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definedNames>
    <definedName name="nNIA">DATOS!$A$2:INDEX(DATOS!$A:$A,CONFIG_METADATA!$B$8)</definedName>
    <definedName name="nCURSO">DATOS!$D$2:INDEX(DATOS!$D:$D,CONFIG_METADATA!$B$8)</definedName>
    <definedName name="nESPEC">DATOS!$E$2:INDEX(DATOS!$E:$E,CONFIG_METADATA!$B$8)</definedName>
    <definedName name="nEVAL">DATOS!$G$2:INDEX(DATOS!$G:$G,CONFIG_METADATA!$B$8)</definedName>
    <definedName name="nASIG">DATOS!$I$2:INDEX(DATOS!$I:$I,CONFIG_METADATA!$B$8)</definedName>
    <definedName name="nNOTA">DATOS!$K$2:INDEX(DATOS!$K:$K,CONFIG_METADATA!$B$8)</definedName>
    <definedName name="nAPTO">DATOS!$L$2:INDEX(DATOS!$L:$L,CONFIG_METADATA!$B$8)</definedName>
    <definedName name="nCUENTA">CONFIG_METADATA!$G$2:INDEX(CONFIG_METADATA!$G:$G,CONFIG_METADATA!$B$8)</definedName>
    <definedName name="nCLAVE">CONFIG_METADATA!$F$2:INDEX(CONFIG_METADATA!$F:$F,CONFIG_METADATA!$B$8)</definedName>
    <definedName name="nEXSINOR">CONFIG_METADATA!$H$2:INDEX(CONFIG_METADATA!$H:$H,CONFIG_METADATA!$B$8)</definedName>
    <definedName name="nCLASE_I">CONFIG_METADATA!$I$2:INDEX(CONFIG_METADATA!$I:$I,CONFIG_METADATA!$B$8)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<sst xmlns="http://schemas.openxmlformats.org/spreadsheetml/2006/main" count="1444" uniqueCount="211">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</sst>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30"/>
      <color rgb="FF111827"/>
      <name val="Calibri Light"/>
      <family val="2"/>
    </font>
    <font>
      <sz val="13"/>
      <color rgb="FF6B7280"/>
      <name val="Calibri"/>
      <family val="2"/>
    </font>
    <font>
      <b/>
      <sz val="12"/>
      <color rgb="FF1D4ED8"/>
      <name val="Calibri"/>
      <family val="2"/>
    </font>
    <font>
      <sz val="11"/>
      <color rgb="FF374151"/>
      <name val="Calibri"/>
      <family val="2"/>
    </font>
    <font>
      <b/>
      <sz val="11"/>
      <color rgb="FF111827"/>
      <name val="Calibri"/>
      <family val="2"/>
    </font>
    <font>
      <sz val="9"/>
      <color rgb="FF9CA3AF"/>
      <name val="Calibri"/>
      <family val="2"/>
    </font>
    <font>
      <b/>
      <sz val="11"/>
      <color rgb="FF1D4ED8"/>
      <name val="Consolas"/>
      <family val="3"/>
    </font>
    <font>
      <b/>
      <sz val="12"/>
      <color rgb="FF92400E"/>
      <name val="Calibri"/>
      <family val="2"/>
    </font>
    <font>
      <sz val="11"/>
      <color rgb="FF92400E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  <fill>
      <patternFill patternType="solid">
        <fgColor rgb="FFF8FAFC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EF7E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/>
      <bottom style="medium">
        <color rgb="FF1D4ED8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40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  <xf numFmtId="0" fontId="22" fillId="0" borderId="0" xfId="2" applyFont="1" applyAlignment="1">
      <alignment horizontal="left" vertical="center" wrapText="1"/>
    </xf>
    <xf numFmtId="0" fontId="23" fillId="0" borderId="0" xfId="2" applyFont="1" applyAlignment="1">
      <alignment horizontal="left" vertical="center" wrapText="1"/>
    </xf>
    <xf numFmtId="0" fontId="24" fillId="0" borderId="2" xfId="2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0" fontId="26" fillId="0" borderId="0" xfId="2" applyFont="1" applyAlignment="1">
      <alignment horizontal="left" vertical="center" wrapText="1"/>
    </xf>
    <xf numFmtId="0" fontId="27" fillId="0" borderId="0" xfId="2" applyFont="1" applyAlignment="1">
      <alignment horizontal="left" vertical="center" wrapText="1"/>
    </xf>
    <xf numFmtId="0" fontId="28" fillId="9" borderId="0" xfId="2" applyFont="1" applyFill="1" applyAlignment="1">
      <alignment horizontal="left" vertical="center" wrapText="1"/>
    </xf>
    <xf numFmtId="0" fontId="29" fillId="10" borderId="0" xfId="2" applyFont="1" applyFill="1" applyAlignment="1">
      <alignment horizontal="left" vertical="center" wrapText="1"/>
    </xf>
    <xf numFmtId="0" fontId="30" fillId="10" borderId="0" xfId="2" applyFont="1" applyFill="1" applyAlignment="1">
      <alignment horizontal="left" vertical="center" wrapText="1"/>
    </xf>
    <xf numFmtId="0" fontId="25" fillId="8" borderId="0" xfId="2" applyFont="1" applyFill="1" applyAlignment="1">
      <alignment horizontal="left" vertical="center" wrapText="1"/>
    </xf>
    <xf numFmtId="0" fontId="26" fillId="0" borderId="1" xfId="2" applyFont="1" applyBorder="1" applyAlignment="1">
      <alignment horizontal="left" vertical="center" wrapText="1"/>
    </xf>
    <xf numFmtId="0" fontId="25" fillId="0" borderId="0" xfId="2" applyFont="1" applyAlignment="1">
      <alignment horizontal="right" vertical="center" wrapText="1"/>
    </xf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1">
    <dxf>
      <font>
        <color rgb="FF9CA3AF"/>
      </font>
      <fill>
        <patternFill>
          <bgColor rgb="FFFD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A1:C61"/>
  <sheetViews>
    <sheetView showGridLines="0" tabSelected="1" workbookViewId="0">
      <selection activeCell="F14" sqref="F14"/>
    </sheetView>
  </sheetViews>
  <sheetFormatPr baseColWidth="10" defaultColWidth="8.83203125" defaultRowHeight="15" x14ac:dyDescent="0.2"/>
  <cols>
    <col min="1" max="1" width="4" customWidth="1"/>
    <col min="2" max="2" width="104" customWidth="1"/>
    <col min="3" max="3" width="4" customWidth="1"/>
  </cols>
  <sheetData>
    <row r="2" ht="34" customHeight="1">
      <c r="B2" s="28" t="inlineStr">
        <is>
          <t xml:space="preserve">Analizador de calificaciones</t>
        </is>
      </c>
    </row>
    <row r="3" ht="20" customHeight="1">
      <c r="B3" s="29" t="inlineStr">
        <is>
          <t xml:space="preserve">Enseñanzas Profesionales de Música · Conservatorios</t>
        </is>
      </c>
    </row>
    <row r="5" ht="20" customHeight="1">
      <c r="B5" s="30" t="inlineStr">
        <is>
          <t xml:space="preserve">EMPEZAR</t>
        </is>
      </c>
    </row>
    <row r="6" ht="16" customHeight="1">
      <c r="B6" s="32" t="inlineStr">
        <is>
          <t xml:space="preserve">1 · Pega las calificaciones en la hoja DATOS</t>
        </is>
      </c>
    </row>
    <row r="7" ht="16" customHeight="1">
      <c r="B7" s="31" t="inlineStr">
        <is>
          <t xml:space="preserve">Una fila por alumno, asignatura y evaluación. Las columnas ya están puestas: respeta su orden y sus nombres.</t>
        </is>
      </c>
    </row>
    <row r="9" ht="16" customHeight="1">
      <c r="B9" s="32" t="inlineStr">
        <is>
          <t xml:space="preserve">2 · Elige la evaluación</t>
        </is>
      </c>
    </row>
    <row r="10" ht="16" customHeight="1">
      <c r="B10" s="34" t="inlineStr">
        <is>
          <t xml:space="preserve">CONFIG_METADATA!B4</t>
        </is>
      </c>
    </row>
    <row r="11" ht="16" customHeight="1">
      <c r="B11" s="31" t="inlineStr">
        <is>
          <t xml:space="preserve">Códigos: 1EV · 2EV · 3EV · OR · EX · OR+EX</t>
        </is>
      </c>
    </row>
    <row r="12" ht="16" customHeight="1">
      <c r="B12" s="31" t="inlineStr">
        <is>
          <t xml:space="preserve">OR+EX es la foto definitiva del curso: la ordinaria como base, y cada recuperación de la extraordinaria sustituyendo a la suya.</t>
        </is>
      </c>
    </row>
    <row r="13" ht="16" customHeight="1">
      <c r="B13" s="31" t="inlineStr">
        <is>
          <t xml:space="preserve">Para usarla, pega la ordinaria y AÑADE DEBAJO las filas de la extraordinaria. No las sustituyas: hacen falta las dos.</t>
        </is>
      </c>
    </row>
    <row r="14" ht="16" customHeight="1">
      <c r="B14" s="31" t="inlineStr">
        <is>
          <t xml:space="preserve">EX a solas enseña solo lo que se suspendió en junio, así que su media no es la del centro.</t>
        </is>
      </c>
    </row>
    <row r="16" ht="16" customHeight="1">
      <c r="B16" s="32" t="inlineStr">
        <is>
          <t xml:space="preserve">3 · Mira los avisos antes de fiarte de las cifras</t>
        </is>
      </c>
    </row>
    <row r="17" ht="16" customHeight="1">
      <c r="B17" s="31" t="inlineStr">
        <is>
          <t xml:space="preserve">Están en CONFIG_METADATA, debajo de la configuración. Cada uno dice qué significa que no sea cero.</t>
        </is>
      </c>
    </row>
    <row r="19" ht="16" customHeight="1">
      <c r="B19" s="32" t="inlineStr">
        <is>
          <t xml:space="preserve">4 · Exporta</t>
        </is>
      </c>
    </row>
    <row r="20" ht="16" customHeight="1">
      <c r="B20" s="31" t="inlineStr">
        <is>
          <t xml:space="preserve">Copia la hoja EXPORTADOR entera y guárdala como CSV. Ese CSV es lo que lee la aplicación de visualización.</t>
        </is>
      </c>
    </row>
    <row r="22" ht="20" customHeight="1">
      <c r="B22" s="30" t="inlineStr">
        <is>
          <t xml:space="preserve">AÑADIR UNA ASIGNATURA</t>
        </is>
      </c>
    </row>
    <row r="23" ht="16" customHeight="1">
      <c r="B23" s="31" t="inlineStr">
        <is>
          <t xml:space="preserve">Escríbela en la primera fila libre de CONFIG_ASIGNATURAS: está marcada con una flecha, y al lado tienes las instrucciones.</t>
        </is>
      </c>
    </row>
    <row r="24" ht="16" customHeight="1">
      <c r="B24" s="32" t="inlineStr">
        <is>
          <t xml:space="preserve">No hay que insertar filas ni ordenar nada.</t>
        </is>
      </c>
    </row>
    <row r="25" ht="16" customHeight="1">
      <c r="B25" s="31" t="inlineStr">
        <is>
          <t xml:space="preserve">Las fórmulas no miran posiciones, miran columnas.</t>
        </is>
      </c>
    </row>
    <row r="27" ht="16" customHeight="1">
      <c r="B27" s="32" t="inlineStr">
        <is>
          <t xml:space="preserve">El nombre tiene que coincidir letra por letra con el que traen tus datos.</t>
        </is>
      </c>
    </row>
    <row r="28" ht="16" customHeight="1">
      <c r="B28" s="31" t="inlineStr">
        <is>
          <t xml:space="preserve">Si no coincide, esa asignatura no aparece: ni siquiera con un cero. Los registros que se queden fuera los cuenta el aviso «FueraDeLasCifras».</t>
        </is>
      </c>
    </row>
    <row r="30" ht="20" customHeight="1">
      <c r="B30" s="30" t="inlineStr">
        <is>
          <t xml:space="preserve">QUÉ HAY EN CADA HOJA</t>
        </is>
      </c>
    </row>
    <row r="31" ht="16" customHeight="1">
      <c r="B31" s="32" t="inlineStr">
        <is>
          <t xml:space="preserve">CONFIG_ASIGNATURAS</t>
        </is>
      </c>
    </row>
    <row r="32" ht="16" customHeight="1">
      <c r="B32" s="31" t="inlineStr">
        <is>
          <t xml:space="preserve">La lista maestra. Manda ella: de aquí salen los nombres, los cursos y qué cuenta como especialidad.</t>
        </is>
      </c>
    </row>
    <row r="33" ht="16" customHeight="1">
      <c r="B33" s="32" t="inlineStr">
        <is>
          <t xml:space="preserve">CONFIG_METADATA</t>
        </is>
      </c>
    </row>
    <row r="34" ht="16" customHeight="1">
      <c r="B34" s="31" t="inlineStr">
        <is>
          <t xml:space="preserve">Centro, curso académico, selector de evaluación y los avisos.</t>
        </is>
      </c>
    </row>
    <row r="35" ht="16" customHeight="1">
      <c r="B35" s="32" t="inlineStr">
        <is>
          <t xml:space="preserve">CONFIG_CORRELACIONES</t>
        </is>
      </c>
    </row>
    <row r="36" ht="16" customHeight="1">
      <c r="B36" s="31" t="inlineStr">
        <is>
          <t xml:space="preserve">Los pares de asignaturas que se comparan entre sí.</t>
        </is>
      </c>
    </row>
    <row r="37" ht="16" customHeight="1">
      <c r="B37" s="32" t="inlineStr">
        <is>
          <t xml:space="preserve">DATOS</t>
        </is>
      </c>
    </row>
    <row r="38" ht="16" customHeight="1">
      <c r="B38" s="31" t="inlineStr">
        <is>
          <t xml:space="preserve">Donde se pegan las calificaciones. Es la única hoja que se toca a mano.</t>
        </is>
      </c>
    </row>
    <row r="39" ht="16" customHeight="1">
      <c r="B39" s="32" t="inlineStr">
        <is>
          <t xml:space="preserve">CALC_EPM</t>
        </is>
      </c>
    </row>
    <row r="40" ht="16" customHeight="1">
      <c r="B40" s="31" t="inlineStr">
        <is>
          <t xml:space="preserve">Los cálculos: recuento, media, desviación, moda, aprobados y reparto de notas.</t>
        </is>
      </c>
    </row>
    <row r="41" ht="16" customHeight="1">
      <c r="B41" s="32" t="inlineStr">
        <is>
          <t xml:space="preserve">DAT_CORRELACION  ·  CALC_CORRELACIONES</t>
        </is>
      </c>
    </row>
    <row r="42" ht="16" customHeight="1">
      <c r="B42" s="31" t="inlineStr">
        <is>
          <t xml:space="preserve">El cruce entre asignaturas y su resultado.</t>
        </is>
      </c>
    </row>
    <row r="43" ht="16" customHeight="1">
      <c r="B43" s="32" t="inlineStr">
        <is>
          <t xml:space="preserve">EXPORTADOR</t>
        </is>
      </c>
    </row>
    <row r="44" ht="16" customHeight="1">
      <c r="B44" s="31" t="inlineStr">
        <is>
          <t xml:space="preserve">La salida en CSV, con sus secciones #METADATA, #ESTADISTICAS, #CORRELACIONES y #AGRUPACIONES.</t>
        </is>
      </c>
    </row>
    <row r="46" ht="20" customHeight="1">
      <c r="B46" s="35" t="inlineStr">
        <is>
          <t xml:space="preserve">ANTES DE FIARTE</t>
        </is>
      </c>
    </row>
    <row r="47" ht="16" customHeight="1">
      <c r="B47" s="36" t="inlineStr">
        <is>
          <t xml:space="preserve">El plan de estudios sigue la normativa de la Comunitat Valenciana. Otra comunidad puede necesitar ajustes en CONFIG_ASIGNATURAS.</t>
        </is>
      </c>
    </row>
    <row r="48" ht="16" customHeight="1">
      <c r="B48" s="36" t="inlineStr">
        <is>
          <t xml:space="preserve">Comprueba que las asignaturas activas son las de tu centro. Lo que no esté activo no sale por ningún sitio.</t>
        </is>
      </c>
    </row>
    <row r="49" ht="16" customHeight="1">
      <c r="B49" s="36" t="inlineStr">
        <is>
          <t xml:space="preserve">Caben hasta 20.000 filas de calificaciones. Los cálculos llegan hasta la última fila con datos, no más allá.</t>
        </is>
      </c>
    </row>
    <row r="50" ht="16" customHeight="1">
      <c r="B50" s="36" t="inlineStr">
        <is>
          <t xml:space="preserve">El libro se recalcula solo al abrirse. Si lo cierras sin guardar, no pasa nada: las cifras se rehacen.</t>
        </is>
      </c>
    </row>
    <row r="52" ht="20" customHeight="1">
      <c r="B52" s="30" t="inlineStr">
        <is>
          <t xml:space="preserve">ENLACES</t>
        </is>
      </c>
    </row>
    <row r="53" ht="16" customHeight="1">
      <c r="B53" s="31" t="inlineStr">
        <is>
          <t xml:space="preserve">Aplicación para visualizar los datos exportados</t>
        </is>
      </c>
    </row>
    <row r="54" ht="16" customHeight="1">
      <c r="B54" s="31" t="inlineStr">
        <is>
          <t xml:space="preserve">Repositorio del proyecto</t>
        </is>
      </c>
    </row>
    <row r="55" ht="16" customHeight="1">
      <c r="B55" s="31" t="inlineStr">
        <is>
          <t xml:space="preserve">Avisar de un fallo</t>
        </is>
      </c>
    </row>
    <row r="56" ht="16" customHeight="1">
      <c r="B56" s="31" t="inlineStr">
        <is>
          <t xml:space="preserve">¿Te ha resultado útil? Invita a un café al desarrollador</t>
        </is>
      </c>
    </row>
    <row r="58" ht="16" customHeight="1">
      <c r="B58" s="33" t="inlineStr">
        <is>
          <t xml:space="preserve">José Luis Miralles Bono · www.jlmirall.es · joseluismirallesbono@gmail.com</t>
        </is>
      </c>
    </row>
    <row r="59" ht="16" customHeight="1">
      <c r="B59" s="33" t="inlineStr">
        <is>
          <t xml:space="preserve">Desarrollado con Claude (Anthropic)</t>
        </is>
      </c>
    </row>
    <row r="61" ht="16" customHeight="1">
      <c r="B61" s="33" t="inlineStr">
        <is>
          <t xml:space="preserve">Versión 2.0 · agosto 2026</t>
        </is>
      </c>
    </row>
  </sheetData>
  <hyperlinks>
    <hyperlink ref="B53" r:id="rId1"/>
    <hyperlink ref="B54" r:id="rId2"/>
    <hyperlink ref="B55" r:id="rId3"/>
    <hyperlink ref="B5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inlineStr">
        <is>
          <t xml:space="preserve">UnaSolaVez</t>
        </is>
      </c>
      <c r="I1" s="2" t="inlineStr">
        <is>
          <t xml:space="preserve">Tipo</t>
        </is>
      </c>
      <c r="J1" s="2" t="inlineStr">
        <is>
          <t xml:space="preserve">Clase (calculada)</t>
        </is>
      </c>
      <c r="K1" t="inlineStr">
        <is>
          <t xml:space="preserve">CÓMO AÑADIR UNA ASIGNATURA</t>
        </is>
      </c>
    </row>
    <row r="2">
      <c r="A2">
        <v>1</v>
      </c>
      <c r="B2" t="inlineStr">
        <is>
          <t xml:space="preserve">Lenguaje Musical</t>
        </is>
      </c>
      <c r="C2" t="inlineStr">
        <is>
          <t xml:space="preserve">1EPM;2EPM</t>
        </is>
      </c>
      <c r="D2" t="inlineStr">
        <is>
          <t xml:space="preserve">Referencia</t>
        </is>
      </c>
      <c r="E2" t="inlineStr">
        <is>
          <t xml:space="preserve">TeoricaTroncal</t>
        </is>
      </c>
      <c r="F2" t="inlineStr">
        <is>
          <t xml:space="preserve">No</t>
        </is>
      </c>
      <c r="G2" t="inlineStr">
        <is>
          <t xml:space="preserve">Sí</t>
        </is>
      </c>
      <c r="H2" t="inlineStr">
        <is>
          <t xml:space="preserve">Sí</t>
        </is>
      </c>
      <c r="I2" t="inlineStr">
        <is>
          <t xml:space="preserve">Obligatoria</t>
        </is>
      </c>
      <c r="J2">
        <f>IF($G2&lt;&gt;"Sí","",IF($D2="Especialidad","E",IF($E2="TeoricaTroncal","NT","N")))</f>
      </c>
      <c r="K2" t="inlineStr">
        <is>
          <t xml:space="preserve">1. Escríbela en la primera fila libre (marcada abajo con una flecha). No hace falta</t>
        </is>
      </c>
    </row>
    <row r="3">
      <c r="A3">
        <v>2</v>
      </c>
      <c r="B3" t="inlineStr">
        <is>
          <t xml:space="preserve">Armonía</t>
        </is>
      </c>
      <c r="C3" t="inlineStr">
        <is>
          <t xml:space="preserve">3EPM;4EPM</t>
        </is>
      </c>
      <c r="D3" t="inlineStr">
        <is>
          <t xml:space="preserve">Referencia</t>
        </is>
      </c>
      <c r="E3" t="inlineStr">
        <is>
          <t xml:space="preserve">TeoricaTroncal</t>
        </is>
      </c>
      <c r="F3" t="inlineStr">
        <is>
          <t xml:space="preserve">No</t>
        </is>
      </c>
      <c r="G3" t="inlineStr">
        <is>
          <t xml:space="preserve">Sí</t>
        </is>
      </c>
      <c r="H3" t="inlineStr">
        <is>
          <t xml:space="preserve">Sí</t>
        </is>
      </c>
      <c r="I3" t="inlineStr">
        <is>
          <t xml:space="preserve">Obligatoria</t>
        </is>
      </c>
      <c r="J3">
        <f>IF($G3&lt;&gt;"Sí","",IF($D3="Especialidad","E",IF($E3="TeoricaTroncal","NT","N")))</f>
      </c>
      <c r="K3" t="inlineStr">
        <is>
          <t xml:space="preserve">   insertar filas ni ordenar nada: las fórmulas no miran POSICIONES, miran columnas.</t>
        </is>
      </c>
    </row>
    <row r="4">
      <c r="A4">
        <v>3</v>
      </c>
      <c r="B4" t="inlineStr">
        <is>
          <t xml:space="preserve">Análisis</t>
        </is>
      </c>
      <c r="C4" t="inlineStr">
        <is>
          <t xml:space="preserve">5EPM;6EPM</t>
        </is>
      </c>
      <c r="D4" t="inlineStr">
        <is>
          <t xml:space="preserve">Referencia</t>
        </is>
      </c>
      <c r="E4" t="inlineStr">
        <is>
          <t xml:space="preserve">TeoricaTroncal</t>
        </is>
      </c>
      <c r="F4" t="inlineStr">
        <is>
          <t xml:space="preserve">No</t>
        </is>
      </c>
      <c r="G4" t="inlineStr">
        <is>
          <t xml:space="preserve">Sí</t>
        </is>
      </c>
      <c r="H4" t="inlineStr">
        <is>
          <t xml:space="preserve">Sí</t>
        </is>
      </c>
      <c r="I4" t="inlineStr">
        <is>
          <t xml:space="preserve">Obligatoria</t>
        </is>
      </c>
      <c r="J4">
        <f>IF($G4&lt;&gt;"Sí","",IF($D4="Especialidad","E",IF($E4="TeoricaTroncal","NT","N")))</f>
      </c>
      <c r="K4" t="inlineStr">
        <is>
          <t xml:space="preserve">2. B  Asignatura — EXACTAMENTE igual que en el fichero de calificaciones que</t>
        </is>
      </c>
    </row>
    <row r="5">
      <c r="A5">
        <v>4</v>
      </c>
      <c r="B5" t="inlineStr">
        <is>
          <t xml:space="preserve">Música de Cámara</t>
        </is>
      </c>
      <c r="C5" t="inlineStr">
        <is>
          <t xml:space="preserve">3EPM;4EPM;5EPM;6EPM</t>
        </is>
      </c>
      <c r="D5" t="inlineStr">
        <is>
          <t xml:space="preserve">Referencia</t>
        </is>
      </c>
      <c r="E5" t="inlineStr">
        <is>
          <t xml:space="preserve">NoEspecialidad</t>
        </is>
      </c>
      <c r="F5" t="inlineStr">
        <is>
          <t xml:space="preserve">No</t>
        </is>
      </c>
      <c r="G5" t="inlineStr">
        <is>
          <t xml:space="preserve">Sí</t>
        </is>
      </c>
      <c r="H5" t="inlineStr">
        <is>
          <t xml:space="preserve">No</t>
        </is>
      </c>
      <c r="I5" t="inlineStr">
        <is>
          <t xml:space="preserve">Obligatoria</t>
        </is>
      </c>
      <c r="J5">
        <f>IF($G5&lt;&gt;"Sí","",IF($D5="Especialidad","E",IF($E5="TeoricaTroncal","NT","N")))</f>
      </c>
      <c r="K5" t="inlineStr">
        <is>
          <t xml:space="preserve">      pegas en DATOS. Si no coincide letra por letra, esa asignatura no aparece</t>
        </is>
      </c>
    </row>
    <row r="6">
      <c r="A6">
        <v>5</v>
      </c>
      <c r="B6" t="inlineStr">
        <is>
          <t xml:space="preserve">Orquesta/Banda/Conjunto</t>
        </is>
      </c>
      <c r="C6" t="inlineStr">
        <is>
          <t xml:space="preserve">1EPM;2EPM;3EPM;4EPM;5EPM;6EPM</t>
        </is>
      </c>
      <c r="D6" t="inlineStr">
        <is>
          <t xml:space="preserve">Referencia</t>
        </is>
      </c>
      <c r="E6" t="inlineStr">
        <is>
          <t xml:space="preserve">NoEspecialidad</t>
        </is>
      </c>
      <c r="F6" t="inlineStr">
        <is>
          <t xml:space="preserve">No</t>
        </is>
      </c>
      <c r="G6" t="inlineStr">
        <is>
          <t xml:space="preserve">Sí</t>
        </is>
      </c>
      <c r="H6" t="inlineStr">
        <is>
          <t xml:space="preserve">No</t>
        </is>
      </c>
      <c r="I6" t="inlineStr">
        <is>
          <t xml:space="preserve">Obligatoria</t>
        </is>
      </c>
      <c r="J6">
        <f>IF($G6&lt;&gt;"Sí","",IF($D6="Especialidad","E",IF($E6="TeoricaTroncal","NT","N")))</f>
      </c>
      <c r="K6" t="inlineStr">
        <is>
          <t xml:space="preserve">      ni con un cero, y sus registros los cuenta el aviso «FueraDeLasCifras».</t>
        </is>
      </c>
    </row>
    <row r="7">
      <c r="A7">
        <v>6</v>
      </c>
      <c r="B7" t="inlineStr">
        <is>
          <t xml:space="preserve">Arpa</t>
        </is>
      </c>
      <c r="C7" t="inlineStr">
        <is>
          <t xml:space="preserve">1EPM;2EPM;3EPM;4EPM;5EPM;6EPM</t>
        </is>
      </c>
      <c r="D7" t="inlineStr">
        <is>
          <t xml:space="preserve">Especialidad</t>
        </is>
      </c>
      <c r="E7" t="inlineStr">
        <is>
          <t xml:space="preserve">Cuerda</t>
        </is>
      </c>
      <c r="F7" t="inlineStr">
        <is>
          <t xml:space="preserve">Sí</t>
        </is>
      </c>
      <c r="G7" t="inlineStr">
        <is>
          <t xml:space="preserve">Sí</t>
        </is>
      </c>
      <c r="H7" t="inlineStr">
        <is>
          <t xml:space="preserve">No</t>
        </is>
      </c>
      <c r="I7" t="inlineStr">
        <is>
          <t xml:space="preserve">Obligatoria</t>
        </is>
      </c>
      <c r="J7">
        <f>IF($G7&lt;&gt;"Sí","",IF($D7="Especialidad","E",IF($E7="TeoricaTroncal","NT","N")))</f>
      </c>
      <c r="K7" t="inlineStr">
        <is>
          <t xml:space="preserve">3. C  Cursos — separados por punto y coma. Solo sale en los cursos que pongas.</t>
        </is>
      </c>
    </row>
    <row r="8">
      <c r="A8">
        <v>7</v>
      </c>
      <c r="B8" t="inlineStr">
        <is>
          <t xml:space="preserve">Bajo Eléctrico</t>
        </is>
      </c>
      <c r="C8" t="inlineStr">
        <is>
          <t xml:space="preserve">1EPM;2EPM;3EPM;4EPM;5EPM;6EPM</t>
        </is>
      </c>
      <c r="D8" t="inlineStr">
        <is>
          <t xml:space="preserve">Especialidad</t>
        </is>
      </c>
      <c r="E8" t="inlineStr">
        <is>
          <t xml:space="preserve">Cuerda</t>
        </is>
      </c>
      <c r="F8" t="inlineStr">
        <is>
          <t xml:space="preserve">Sí</t>
        </is>
      </c>
      <c r="G8" t="inlineStr">
        <is>
          <t xml:space="preserve">Sí</t>
        </is>
      </c>
      <c r="H8" t="inlineStr">
        <is>
          <t xml:space="preserve">No</t>
        </is>
      </c>
      <c r="I8" t="inlineStr">
        <is>
          <t xml:space="preserve">Obligatoria</t>
        </is>
      </c>
      <c r="J8">
        <f>IF($G8&lt;&gt;"Sí","",IF($D8="Especialidad","E",IF($E8="TeoricaTroncal","NT","N")))</f>
      </c>
      <c r="K8" t="inlineStr">
        <is>
          <t xml:space="preserve">4. D  Grupo1 — «Especialidad» si es un instrumento: decide en qué total cuenta.</t>
        </is>
      </c>
    </row>
    <row r="9">
      <c r="A9">
        <v>8</v>
      </c>
      <c r="B9" t="inlineStr">
        <is>
          <t xml:space="preserve">Canto</t>
        </is>
      </c>
      <c r="C9" t="inlineStr">
        <is>
          <t xml:space="preserve">1EPM;2EPM;3EPM;4EPM;5EPM;6EPM</t>
        </is>
      </c>
      <c r="D9" t="inlineStr">
        <is>
          <t xml:space="preserve">Especialidad</t>
        </is>
      </c>
      <c r="E9"/>
      <c r="F9" t="inlineStr">
        <is>
          <t xml:space="preserve">Sí</t>
        </is>
      </c>
      <c r="G9" t="inlineStr">
        <is>
          <t xml:space="preserve">Sí</t>
        </is>
      </c>
      <c r="H9" t="inlineStr">
        <is>
          <t xml:space="preserve">No</t>
        </is>
      </c>
      <c r="I9" t="inlineStr">
        <is>
          <t xml:space="preserve">Obligatoria</t>
        </is>
      </c>
      <c r="J9">
        <f>IF($G9&lt;&gt;"Sí","",IF($D9="Especialidad","E",IF($E9="TeoricaTroncal","NT","N")))</f>
      </c>
      <c r="K9" t="inlineStr">
        <is>
          <t xml:space="preserve">5. G  Activa — «Sí». Sin eso no sale por ningún sitio.</t>
        </is>
      </c>
    </row>
    <row r="10">
      <c r="A10">
        <v>9</v>
      </c>
      <c r="B10" t="inlineStr">
        <is>
          <t xml:space="preserve">Clarinete</t>
        </is>
      </c>
      <c r="C10" t="inlineStr">
        <is>
          <t xml:space="preserve">1EPM;2EPM;3EPM;4EPM;5EPM;6EPM</t>
        </is>
      </c>
      <c r="D10" t="inlineStr">
        <is>
          <t xml:space="preserve">Especialidad</t>
        </is>
      </c>
      <c r="E10" t="inlineStr">
        <is>
          <t xml:space="preserve">Madera</t>
        </is>
      </c>
      <c r="F10" t="inlineStr">
        <is>
          <t xml:space="preserve">Sí</t>
        </is>
      </c>
      <c r="G10" t="inlineStr">
        <is>
          <t xml:space="preserve">Sí</t>
        </is>
      </c>
      <c r="H10" t="inlineStr">
        <is>
          <t xml:space="preserve">No</t>
        </is>
      </c>
      <c r="I10" t="inlineStr">
        <is>
          <t xml:space="preserve">Obligatoria</t>
        </is>
      </c>
      <c r="J10">
        <f>IF($G10&lt;&gt;"Sí","",IF($D10="Especialidad","E",IF($E10="TeoricaTroncal","NT","N")))</f>
      </c>
      <c r="K10" t="inlineStr">
        <is>
          <t xml:space="preserve">6. H  UnaSolaVez — «Sí» solo si NO se vuelve a cursar con un segundo instrumento.</t>
        </is>
      </c>
    </row>
    <row r="11">
      <c r="A11">
        <v>10</v>
      </c>
      <c r="B11" t="inlineStr">
        <is>
          <t xml:space="preserve">Contrabajo</t>
        </is>
      </c>
      <c r="C11" t="inlineStr">
        <is>
          <t xml:space="preserve">1EPM;2EPM;3EPM;4EPM;5EPM;6EPM</t>
        </is>
      </c>
      <c r="D11" t="inlineStr">
        <is>
          <t xml:space="preserve">Especialidad</t>
        </is>
      </c>
      <c r="E11" t="inlineStr">
        <is>
          <t xml:space="preserve">Cuerda</t>
        </is>
      </c>
      <c r="F11" t="inlineStr">
        <is>
          <t xml:space="preserve">Sí</t>
        </is>
      </c>
      <c r="G11" t="inlineStr">
        <is>
          <t xml:space="preserve">Sí</t>
        </is>
      </c>
      <c r="H11" t="inlineStr">
        <is>
          <t xml:space="preserve">No</t>
        </is>
      </c>
      <c r="I11" t="inlineStr">
        <is>
          <t xml:space="preserve">Obligatoria</t>
        </is>
      </c>
      <c r="J11">
        <f>IF($G11&lt;&gt;"Sí","",IF($D11="Especialidad","E",IF($E11="TeoricaTroncal","NT","N")))</f>
      </c>
      <c r="K11" t="inlineStr">
        <is>
          <t xml:space="preserve">7. I  Tipo — Obligatoria / Optativa / De centro.</t>
        </is>
      </c>
    </row>
    <row r="12">
      <c r="A12">
        <v>11</v>
      </c>
      <c r="B12" t="inlineStr">
        <is>
          <t xml:space="preserve">Dulzaina</t>
        </is>
      </c>
      <c r="C12" t="inlineStr">
        <is>
          <t xml:space="preserve">1EPM;2EPM;3EPM;4EPM;5EPM;6EPM</t>
        </is>
      </c>
      <c r="D12" t="inlineStr">
        <is>
          <t xml:space="preserve">Especialidad</t>
        </is>
      </c>
      <c r="E12" t="inlineStr">
        <is>
          <t xml:space="preserve">Madera</t>
        </is>
      </c>
      <c r="F12" t="inlineStr">
        <is>
          <t xml:space="preserve">Sí</t>
        </is>
      </c>
      <c r="G12" t="inlineStr">
        <is>
          <t xml:space="preserve">Sí</t>
        </is>
      </c>
      <c r="H12" t="inlineStr">
        <is>
          <t xml:space="preserve">No</t>
        </is>
      </c>
      <c r="I12" t="inlineStr">
        <is>
          <t xml:space="preserve">Obligatoria</t>
        </is>
      </c>
      <c r="J12">
        <f>IF($G12&lt;&gt;"Sí","",IF($D12="Especialidad","E",IF($E12="TeoricaTroncal","NT","N")))</f>
      </c>
      <c r="K12" t="inlineStr">
        <is>
          <t xml:space="preserve">J  Clase se calcula sola. Si sale vacía, esa fila no está activa.</t>
        </is>
      </c>
    </row>
    <row r="13">
      <c r="A13">
        <v>12</v>
      </c>
      <c r="B13" t="inlineStr">
        <is>
          <t xml:space="preserve">Fagot</t>
        </is>
      </c>
      <c r="C13" t="inlineStr">
        <is>
          <t xml:space="preserve">1EPM;2EPM;3EPM;4EPM;5EPM;6EPM</t>
        </is>
      </c>
      <c r="D13" t="inlineStr">
        <is>
          <t xml:space="preserve">Especialidad</t>
        </is>
      </c>
      <c r="E13" t="inlineStr">
        <is>
          <t xml:space="preserve">Madera</t>
        </is>
      </c>
      <c r="F13" t="inlineStr">
        <is>
          <t xml:space="preserve">Sí</t>
        </is>
      </c>
      <c r="G13" t="inlineStr">
        <is>
          <t xml:space="preserve">Sí</t>
        </is>
      </c>
      <c r="H13" t="inlineStr">
        <is>
          <t xml:space="preserve">No</t>
        </is>
      </c>
      <c r="I13" t="inlineStr">
        <is>
          <t xml:space="preserve">Obligatoria</t>
        </is>
      </c>
      <c r="J13">
        <f>IF($G13&lt;&gt;"Sí","",IF($D13="Especialidad","E",IF($E13="TeoricaTroncal","NT","N")))</f>
      </c>
    </row>
    <row r="14">
      <c r="A14">
        <v>13</v>
      </c>
      <c r="B14" t="inlineStr">
        <is>
          <t xml:space="preserve">Flauta Travesera</t>
        </is>
      </c>
      <c r="C14" t="inlineStr">
        <is>
          <t xml:space="preserve">1EPM;2EPM;3EPM;4EPM;5EPM;6EPM</t>
        </is>
      </c>
      <c r="D14" t="inlineStr">
        <is>
          <t xml:space="preserve">Especialidad</t>
        </is>
      </c>
      <c r="E14" t="inlineStr">
        <is>
          <t xml:space="preserve">Madera</t>
        </is>
      </c>
      <c r="F14" t="inlineStr">
        <is>
          <t xml:space="preserve">Sí</t>
        </is>
      </c>
      <c r="G14" t="inlineStr">
        <is>
          <t xml:space="preserve">Sí</t>
        </is>
      </c>
      <c r="H14" t="inlineStr">
        <is>
          <t xml:space="preserve">No</t>
        </is>
      </c>
      <c r="I14" t="inlineStr">
        <is>
          <t xml:space="preserve">Obligatoria</t>
        </is>
      </c>
      <c r="J14">
        <f>IF($G14&lt;&gt;"Sí","",IF($D14="Especialidad","E",IF($E14="TeoricaTroncal","NT","N")))</f>
      </c>
    </row>
    <row r="15">
      <c r="A15">
        <v>14</v>
      </c>
      <c r="B15" t="inlineStr">
        <is>
          <t xml:space="preserve">Guitarra</t>
        </is>
      </c>
      <c r="C15" t="inlineStr">
        <is>
          <t xml:space="preserve">1EPM;2EPM;3EPM;4EPM;5EPM;6EPM</t>
        </is>
      </c>
      <c r="D15" t="inlineStr">
        <is>
          <t xml:space="preserve">Especialidad</t>
        </is>
      </c>
      <c r="E15" t="inlineStr">
        <is>
          <t xml:space="preserve">Cuerda</t>
        </is>
      </c>
      <c r="F15" t="inlineStr">
        <is>
          <t xml:space="preserve">Sí</t>
        </is>
      </c>
      <c r="G15" t="inlineStr">
        <is>
          <t xml:space="preserve">Sí</t>
        </is>
      </c>
      <c r="H15" t="inlineStr">
        <is>
          <t xml:space="preserve">No</t>
        </is>
      </c>
      <c r="I15" t="inlineStr">
        <is>
          <t xml:space="preserve">Obligatoria</t>
        </is>
      </c>
      <c r="J15">
        <f>IF($G15&lt;&gt;"Sí","",IF($D15="Especialidad","E",IF($E15="TeoricaTroncal","NT","N")))</f>
      </c>
    </row>
    <row r="16">
      <c r="A16">
        <v>15</v>
      </c>
      <c r="B16" t="inlineStr">
        <is>
          <t xml:space="preserve">Guitarra Eléctrica</t>
        </is>
      </c>
      <c r="C16" t="inlineStr">
        <is>
          <t xml:space="preserve">1EPM;2EPM;3EPM;4EPM;5EPM;6EPM</t>
        </is>
      </c>
      <c r="D16" t="inlineStr">
        <is>
          <t xml:space="preserve">Especialidad</t>
        </is>
      </c>
      <c r="E16" t="inlineStr">
        <is>
          <t xml:space="preserve">Cuerda</t>
        </is>
      </c>
      <c r="F16" t="inlineStr">
        <is>
          <t xml:space="preserve">Sí</t>
        </is>
      </c>
      <c r="G16" t="inlineStr">
        <is>
          <t xml:space="preserve">Sí</t>
        </is>
      </c>
      <c r="H16" t="inlineStr">
        <is>
          <t xml:space="preserve">No</t>
        </is>
      </c>
      <c r="I16" t="inlineStr">
        <is>
          <t xml:space="preserve">Obligatoria</t>
        </is>
      </c>
      <c r="J16">
        <f>IF($G16&lt;&gt;"Sí","",IF($D16="Especialidad","E",IF($E16="TeoricaTroncal","NT","N")))</f>
      </c>
    </row>
    <row r="17">
      <c r="A17">
        <v>16</v>
      </c>
      <c r="B17" t="inlineStr">
        <is>
          <t xml:space="preserve">Oboe</t>
        </is>
      </c>
      <c r="C17" t="inlineStr">
        <is>
          <t xml:space="preserve">1EPM;2EPM;3EPM;4EPM;5EPM;6EPM</t>
        </is>
      </c>
      <c r="D17" t="inlineStr">
        <is>
          <t xml:space="preserve">Especialidad</t>
        </is>
      </c>
      <c r="E17" t="inlineStr">
        <is>
          <t xml:space="preserve">Madera</t>
        </is>
      </c>
      <c r="F17" t="inlineStr">
        <is>
          <t xml:space="preserve">Sí</t>
        </is>
      </c>
      <c r="G17" t="inlineStr">
        <is>
          <t xml:space="preserve">Sí</t>
        </is>
      </c>
      <c r="H17" t="inlineStr">
        <is>
          <t xml:space="preserve">No</t>
        </is>
      </c>
      <c r="I17" t="inlineStr">
        <is>
          <t xml:space="preserve">Obligatoria</t>
        </is>
      </c>
      <c r="J17">
        <f>IF($G17&lt;&gt;"Sí","",IF($D17="Especialidad","E",IF($E17="TeoricaTroncal","NT","N")))</f>
      </c>
    </row>
    <row r="18">
      <c r="A18">
        <v>17</v>
      </c>
      <c r="B18" t="inlineStr">
        <is>
          <t xml:space="preserve">Percusión</t>
        </is>
      </c>
      <c r="C18" t="inlineStr">
        <is>
          <t xml:space="preserve">1EPM;2EPM;3EPM;4EPM;5EPM;6EPM</t>
        </is>
      </c>
      <c r="D18" t="inlineStr">
        <is>
          <t xml:space="preserve">Especialidad</t>
        </is>
      </c>
      <c r="E18" t="inlineStr">
        <is>
          <t xml:space="preserve">Metal</t>
        </is>
      </c>
      <c r="F18" t="inlineStr">
        <is>
          <t xml:space="preserve">Sí</t>
        </is>
      </c>
      <c r="G18" t="inlineStr">
        <is>
          <t xml:space="preserve">Sí</t>
        </is>
      </c>
      <c r="H18" t="inlineStr">
        <is>
          <t xml:space="preserve">No</t>
        </is>
      </c>
      <c r="I18" t="inlineStr">
        <is>
          <t xml:space="preserve">Obligatoria</t>
        </is>
      </c>
      <c r="J18">
        <f>IF($G18&lt;&gt;"Sí","",IF($D18="Especialidad","E",IF($E18="TeoricaTroncal","NT","N")))</f>
      </c>
    </row>
    <row r="19">
      <c r="A19">
        <v>18</v>
      </c>
      <c r="B19" t="inlineStr">
        <is>
          <t xml:space="preserve">Piano</t>
        </is>
      </c>
      <c r="C19" t="inlineStr">
        <is>
          <t xml:space="preserve">1EPM;2EPM;3EPM;4EPM;5EPM;6EPM</t>
        </is>
      </c>
      <c r="D19" t="inlineStr">
        <is>
          <t xml:space="preserve">Especialidad</t>
        </is>
      </c>
      <c r="E19" t="inlineStr">
        <is>
          <t xml:space="preserve">Tecla</t>
        </is>
      </c>
      <c r="F19" t="inlineStr">
        <is>
          <t xml:space="preserve">Sí</t>
        </is>
      </c>
      <c r="G19" t="inlineStr">
        <is>
          <t xml:space="preserve">Sí</t>
        </is>
      </c>
      <c r="H19" t="inlineStr">
        <is>
          <t xml:space="preserve">No</t>
        </is>
      </c>
      <c r="I19" t="inlineStr">
        <is>
          <t xml:space="preserve">Obligatoria</t>
        </is>
      </c>
      <c r="J19">
        <f>IF($G19&lt;&gt;"Sí","",IF($D19="Especialidad","E",IF($E19="TeoricaTroncal","NT","N")))</f>
      </c>
    </row>
    <row r="20">
      <c r="A20">
        <v>19</v>
      </c>
      <c r="B20" t="inlineStr">
        <is>
          <t xml:space="preserve">Saxofón</t>
        </is>
      </c>
      <c r="C20" t="inlineStr">
        <is>
          <t xml:space="preserve">1EPM;2EPM;3EPM;4EPM;5EPM;6EPM</t>
        </is>
      </c>
      <c r="D20" t="inlineStr">
        <is>
          <t xml:space="preserve">Especialidad</t>
        </is>
      </c>
      <c r="E20" t="inlineStr">
        <is>
          <t xml:space="preserve">Madera</t>
        </is>
      </c>
      <c r="F20" t="inlineStr">
        <is>
          <t xml:space="preserve">Sí</t>
        </is>
      </c>
      <c r="G20" t="inlineStr">
        <is>
          <t xml:space="preserve">Sí</t>
        </is>
      </c>
      <c r="H20" t="inlineStr">
        <is>
          <t xml:space="preserve">No</t>
        </is>
      </c>
      <c r="I20" t="inlineStr">
        <is>
          <t xml:space="preserve">Obligatoria</t>
        </is>
      </c>
      <c r="J20">
        <f>IF($G20&lt;&gt;"Sí","",IF($D20="Especialidad","E",IF($E20="TeoricaTroncal","NT","N")))</f>
      </c>
    </row>
    <row r="21">
      <c r="A21">
        <v>20</v>
      </c>
      <c r="B21" t="inlineStr">
        <is>
          <t xml:space="preserve">Trombón</t>
        </is>
      </c>
      <c r="C21" t="inlineStr">
        <is>
          <t xml:space="preserve">1EPM;2EPM;3EPM;4EPM;5EPM;6EPM</t>
        </is>
      </c>
      <c r="D21" t="inlineStr">
        <is>
          <t xml:space="preserve">Especialidad</t>
        </is>
      </c>
      <c r="E21" t="inlineStr">
        <is>
          <t xml:space="preserve">Metal</t>
        </is>
      </c>
      <c r="F21" t="inlineStr">
        <is>
          <t xml:space="preserve">Sí</t>
        </is>
      </c>
      <c r="G21" t="inlineStr">
        <is>
          <t xml:space="preserve">Sí</t>
        </is>
      </c>
      <c r="H21" t="inlineStr">
        <is>
          <t xml:space="preserve">No</t>
        </is>
      </c>
      <c r="I21" t="inlineStr">
        <is>
          <t xml:space="preserve">Obligatoria</t>
        </is>
      </c>
      <c r="J21">
        <f>IF($G21&lt;&gt;"Sí","",IF($D21="Especialidad","E",IF($E21="TeoricaTroncal","NT","N")))</f>
      </c>
    </row>
    <row r="22">
      <c r="A22">
        <v>21</v>
      </c>
      <c r="B22" t="inlineStr">
        <is>
          <t xml:space="preserve">Trompa</t>
        </is>
      </c>
      <c r="C22" t="inlineStr">
        <is>
          <t xml:space="preserve">1EPM;2EPM;3EPM;4EPM;5EPM;6EPM</t>
        </is>
      </c>
      <c r="D22" t="inlineStr">
        <is>
          <t xml:space="preserve">Especialidad</t>
        </is>
      </c>
      <c r="E22" t="inlineStr">
        <is>
          <t xml:space="preserve">Metal</t>
        </is>
      </c>
      <c r="F22" t="inlineStr">
        <is>
          <t xml:space="preserve">Sí</t>
        </is>
      </c>
      <c r="G22" t="inlineStr">
        <is>
          <t xml:space="preserve">Sí</t>
        </is>
      </c>
      <c r="H22" t="inlineStr">
        <is>
          <t xml:space="preserve">No</t>
        </is>
      </c>
      <c r="I22" t="inlineStr">
        <is>
          <t xml:space="preserve">Obligatoria</t>
        </is>
      </c>
      <c r="J22">
        <f>IF($G22&lt;&gt;"Sí","",IF($D22="Especialidad","E",IF($E22="TeoricaTroncal","NT","N")))</f>
      </c>
    </row>
    <row r="23">
      <c r="A23">
        <v>22</v>
      </c>
      <c r="B23" t="inlineStr">
        <is>
          <t xml:space="preserve">Trompeta</t>
        </is>
      </c>
      <c r="C23" t="inlineStr">
        <is>
          <t xml:space="preserve">1EPM;2EPM;3EPM;4EPM;5EPM;6EPM</t>
        </is>
      </c>
      <c r="D23" t="inlineStr">
        <is>
          <t xml:space="preserve">Especialidad</t>
        </is>
      </c>
      <c r="E23" t="inlineStr">
        <is>
          <t xml:space="preserve">Metal</t>
        </is>
      </c>
      <c r="F23" t="inlineStr">
        <is>
          <t xml:space="preserve">Sí</t>
        </is>
      </c>
      <c r="G23" t="inlineStr">
        <is>
          <t xml:space="preserve">Sí</t>
        </is>
      </c>
      <c r="H23" t="inlineStr">
        <is>
          <t xml:space="preserve">No</t>
        </is>
      </c>
      <c r="I23" t="inlineStr">
        <is>
          <t xml:space="preserve">Obligatoria</t>
        </is>
      </c>
      <c r="J23">
        <f>IF($G23&lt;&gt;"Sí","",IF($D23="Especialidad","E",IF($E23="TeoricaTroncal","NT","N")))</f>
      </c>
    </row>
    <row r="24">
      <c r="A24">
        <v>23</v>
      </c>
      <c r="B24" t="inlineStr">
        <is>
          <t xml:space="preserve">Tuba</t>
        </is>
      </c>
      <c r="C24" t="inlineStr">
        <is>
          <t xml:space="preserve">1EPM;2EPM;3EPM;4EPM;5EPM;6EPM</t>
        </is>
      </c>
      <c r="D24" t="inlineStr">
        <is>
          <t xml:space="preserve">Especialidad</t>
        </is>
      </c>
      <c r="E24" t="inlineStr">
        <is>
          <t xml:space="preserve">Metal</t>
        </is>
      </c>
      <c r="F24" t="inlineStr">
        <is>
          <t xml:space="preserve">Sí</t>
        </is>
      </c>
      <c r="G24" t="inlineStr">
        <is>
          <t xml:space="preserve">Sí</t>
        </is>
      </c>
      <c r="H24" t="inlineStr">
        <is>
          <t xml:space="preserve">No</t>
        </is>
      </c>
      <c r="I24" t="inlineStr">
        <is>
          <t xml:space="preserve">Obligatoria</t>
        </is>
      </c>
      <c r="J24">
        <f>IF($G24&lt;&gt;"Sí","",IF($D24="Especialidad","E",IF($E24="TeoricaTroncal","NT","N")))</f>
      </c>
    </row>
    <row r="25">
      <c r="A25">
        <v>24</v>
      </c>
      <c r="B25" t="inlineStr">
        <is>
          <t xml:space="preserve">Viola</t>
        </is>
      </c>
      <c r="C25" t="inlineStr">
        <is>
          <t xml:space="preserve">1EPM;2EPM;3EPM;4EPM;5EPM;6EPM</t>
        </is>
      </c>
      <c r="D25" t="inlineStr">
        <is>
          <t xml:space="preserve">Especialidad</t>
        </is>
      </c>
      <c r="E25" t="inlineStr">
        <is>
          <t xml:space="preserve">Cuerda</t>
        </is>
      </c>
      <c r="F25" t="inlineStr">
        <is>
          <t xml:space="preserve">Sí</t>
        </is>
      </c>
      <c r="G25" t="inlineStr">
        <is>
          <t xml:space="preserve">Sí</t>
        </is>
      </c>
      <c r="H25" t="inlineStr">
        <is>
          <t xml:space="preserve">No</t>
        </is>
      </c>
      <c r="I25" t="inlineStr">
        <is>
          <t xml:space="preserve">Obligatoria</t>
        </is>
      </c>
      <c r="J25">
        <f>IF($G25&lt;&gt;"Sí","",IF($D25="Especialidad","E",IF($E25="TeoricaTroncal","NT","N")))</f>
      </c>
    </row>
    <row r="26">
      <c r="A26">
        <v>25</v>
      </c>
      <c r="B26" t="inlineStr">
        <is>
          <t xml:space="preserve">Violín</t>
        </is>
      </c>
      <c r="C26" t="inlineStr">
        <is>
          <t xml:space="preserve">1EPM;2EPM;3EPM;4EPM;5EPM;6EPM</t>
        </is>
      </c>
      <c r="D26" t="inlineStr">
        <is>
          <t xml:space="preserve">Especialidad</t>
        </is>
      </c>
      <c r="E26" t="inlineStr">
        <is>
          <t xml:space="preserve">Cuerda</t>
        </is>
      </c>
      <c r="F26" t="inlineStr">
        <is>
          <t xml:space="preserve">Sí</t>
        </is>
      </c>
      <c r="G26" t="inlineStr">
        <is>
          <t xml:space="preserve">Sí</t>
        </is>
      </c>
      <c r="H26" t="inlineStr">
        <is>
          <t xml:space="preserve">No</t>
        </is>
      </c>
      <c r="I26" t="inlineStr">
        <is>
          <t xml:space="preserve">Obligatoria</t>
        </is>
      </c>
      <c r="J26">
        <f>IF($G26&lt;&gt;"Sí","",IF($D26="Especialidad","E",IF($E26="TeoricaTroncal","NT","N")))</f>
      </c>
    </row>
    <row r="27">
      <c r="A27">
        <v>26</v>
      </c>
      <c r="B27" t="inlineStr">
        <is>
          <t xml:space="preserve">Violoncello</t>
        </is>
      </c>
      <c r="C27" t="inlineStr">
        <is>
          <t xml:space="preserve">1EPM;2EPM;3EPM;4EPM;5EPM;6EPM</t>
        </is>
      </c>
      <c r="D27" t="inlineStr">
        <is>
          <t xml:space="preserve">Especialidad</t>
        </is>
      </c>
      <c r="E27" t="inlineStr">
        <is>
          <t xml:space="preserve">Cuerda</t>
        </is>
      </c>
      <c r="F27" t="inlineStr">
        <is>
          <t xml:space="preserve">Sí</t>
        </is>
      </c>
      <c r="G27" t="inlineStr">
        <is>
          <t xml:space="preserve">Sí</t>
        </is>
      </c>
      <c r="H27" t="inlineStr">
        <is>
          <t xml:space="preserve">No</t>
        </is>
      </c>
      <c r="I27" t="inlineStr">
        <is>
          <t xml:space="preserve">Obligatoria</t>
        </is>
      </c>
      <c r="J27">
        <f>IF($G27&lt;&gt;"Sí","",IF($D27="Especialidad","E",IF($E27="TeoricaTroncal","NT","N")))</f>
      </c>
    </row>
    <row r="28">
      <c r="A28">
        <v>27</v>
      </c>
      <c r="B28" t="inlineStr">
        <is>
          <t xml:space="preserve">Piano Complementario</t>
        </is>
      </c>
      <c r="C28" t="inlineStr">
        <is>
          <t xml:space="preserve">2EPM;3EPM;4EPM</t>
        </is>
      </c>
      <c r="D28" t="inlineStr">
        <is>
          <t xml:space="preserve">NoEspecialidad</t>
        </is>
      </c>
      <c r="E28"/>
      <c r="F28" t="inlineStr">
        <is>
          <t xml:space="preserve">No</t>
        </is>
      </c>
      <c r="G28" t="inlineStr">
        <is>
          <t xml:space="preserve">Sí</t>
        </is>
      </c>
      <c r="H28" t="inlineStr">
        <is>
          <t xml:space="preserve">Sí</t>
        </is>
      </c>
      <c r="I28" t="inlineStr">
        <is>
          <t xml:space="preserve">Obligatoria</t>
        </is>
      </c>
      <c r="J28">
        <f>IF($G28&lt;&gt;"Sí","",IF($D28="Especialidad","E",IF($E28="TeoricaTroncal","NT","N")))</f>
      </c>
    </row>
    <row r="29">
      <c r="A29">
        <v>28</v>
      </c>
      <c r="B29" t="inlineStr">
        <is>
          <t xml:space="preserve">Conjunto</t>
        </is>
      </c>
      <c r="C29" t="inlineStr">
        <is>
          <t xml:space="preserve">1EPM;2EPM</t>
        </is>
      </c>
      <c r="D29" t="inlineStr">
        <is>
          <t xml:space="preserve">NoEspecialidad</t>
        </is>
      </c>
      <c r="E29"/>
      <c r="F29" t="inlineStr">
        <is>
          <t xml:space="preserve">No</t>
        </is>
      </c>
      <c r="G29" t="inlineStr">
        <is>
          <t xml:space="preserve">Sí</t>
        </is>
      </c>
      <c r="H29" t="inlineStr">
        <is>
          <t xml:space="preserve">No</t>
        </is>
      </c>
      <c r="I29" t="inlineStr">
        <is>
          <t xml:space="preserve">Obligatoria</t>
        </is>
      </c>
      <c r="J29">
        <f>IF($G29&lt;&gt;"Sí","",IF($D29="Especialidad","E",IF($E29="TeoricaTroncal","NT","N")))</f>
      </c>
    </row>
    <row r="30">
      <c r="A30">
        <v>29</v>
      </c>
      <c r="B30" t="inlineStr">
        <is>
          <t xml:space="preserve">Acompañamiento</t>
        </is>
      </c>
      <c r="C30" t="inlineStr">
        <is>
          <t xml:space="preserve">5EPM;6EPM</t>
        </is>
      </c>
      <c r="D30" t="inlineStr">
        <is>
          <t xml:space="preserve">NoEspecialidad</t>
        </is>
      </c>
      <c r="E30"/>
      <c r="F30" t="inlineStr">
        <is>
          <t xml:space="preserve">No</t>
        </is>
      </c>
      <c r="G30" t="inlineStr">
        <is>
          <t xml:space="preserve">Sí</t>
        </is>
      </c>
      <c r="H30" t="inlineStr">
        <is>
          <t xml:space="preserve">No</t>
        </is>
      </c>
      <c r="I30" t="inlineStr">
        <is>
          <t xml:space="preserve">Obligatoria</t>
        </is>
      </c>
      <c r="J30">
        <f>IF($G30&lt;&gt;"Sí","",IF($D30="Especialidad","E",IF($E30="TeoricaTroncal","NT","N")))</f>
      </c>
    </row>
    <row r="31">
      <c r="A31">
        <v>30</v>
      </c>
      <c r="B31" t="inlineStr">
        <is>
          <t xml:space="preserve">Coro</t>
        </is>
      </c>
      <c r="C31" t="inlineStr">
        <is>
          <t xml:space="preserve">3EPM;4EPM</t>
        </is>
      </c>
      <c r="D31" t="inlineStr">
        <is>
          <t xml:space="preserve">NoEspecialidad</t>
        </is>
      </c>
      <c r="E31"/>
      <c r="F31" t="inlineStr">
        <is>
          <t xml:space="preserve">No</t>
        </is>
      </c>
      <c r="G31" t="inlineStr">
        <is>
          <t xml:space="preserve">Sí</t>
        </is>
      </c>
      <c r="H31" t="inlineStr">
        <is>
          <t xml:space="preserve">Sí</t>
        </is>
      </c>
      <c r="I31" t="inlineStr">
        <is>
          <t xml:space="preserve">Obligatoria</t>
        </is>
      </c>
      <c r="J31">
        <f>IF($G31&lt;&gt;"Sí","",IF($D31="Especialidad","E",IF($E31="TeoricaTroncal","NT","N")))</f>
      </c>
    </row>
    <row r="32">
      <c r="A32">
        <v>31</v>
      </c>
      <c r="B32" t="inlineStr">
        <is>
          <t xml:space="preserve">Idioma Aplicado al Canto</t>
        </is>
      </c>
      <c r="C32" t="inlineStr">
        <is>
          <t xml:space="preserve">1EPM;2EPM;3EPM;4EPM;5EPM;6EPM</t>
        </is>
      </c>
      <c r="D32" t="inlineStr">
        <is>
          <t xml:space="preserve">NoEspecialidad</t>
        </is>
      </c>
      <c r="E32"/>
      <c r="F32" t="inlineStr">
        <is>
          <t xml:space="preserve">No</t>
        </is>
      </c>
      <c r="G32" t="inlineStr">
        <is>
          <t xml:space="preserve">Sí</t>
        </is>
      </c>
      <c r="H32" t="inlineStr">
        <is>
          <t xml:space="preserve">No</t>
        </is>
      </c>
      <c r="I32" t="inlineStr">
        <is>
          <t xml:space="preserve">Obligatoria</t>
        </is>
      </c>
      <c r="J32">
        <f>IF($G32&lt;&gt;"Sí","",IF($D32="Especialidad","E",IF($E32="TeoricaTroncal","NT","N")))</f>
      </c>
    </row>
    <row r="33">
      <c r="A33">
        <v>32</v>
      </c>
      <c r="B33" t="inlineStr">
        <is>
          <t xml:space="preserve">Tabalet</t>
        </is>
      </c>
      <c r="C33" t="inlineStr">
        <is>
          <t xml:space="preserve">1EPM;2EPM</t>
        </is>
      </c>
      <c r="D33" t="inlineStr">
        <is>
          <t xml:space="preserve">NoEspecialidad</t>
        </is>
      </c>
      <c r="E33"/>
      <c r="F33" t="inlineStr">
        <is>
          <t xml:space="preserve">No</t>
        </is>
      </c>
      <c r="G33" t="inlineStr">
        <is>
          <t xml:space="preserve">Sí</t>
        </is>
      </c>
      <c r="H33" t="inlineStr">
        <is>
          <t xml:space="preserve">No</t>
        </is>
      </c>
      <c r="I33" t="inlineStr">
        <is>
          <t xml:space="preserve">Obligatoria</t>
        </is>
      </c>
      <c r="J33">
        <f>IF($G33&lt;&gt;"Sí","",IF($D33="Especialidad","E",IF($E33="TeoricaTroncal","NT","N")))</f>
      </c>
    </row>
    <row r="34">
      <c r="A34">
        <v>33</v>
      </c>
      <c r="B34" t="inlineStr">
        <is>
          <t xml:space="preserve">Historia de la Música</t>
        </is>
      </c>
      <c r="C34" t="inlineStr">
        <is>
          <t xml:space="preserve">5EPM;6EPM</t>
        </is>
      </c>
      <c r="D34" t="inlineStr">
        <is>
          <t xml:space="preserve">NoEspecialidad</t>
        </is>
      </c>
      <c r="E34"/>
      <c r="F34" t="inlineStr">
        <is>
          <t xml:space="preserve">No</t>
        </is>
      </c>
      <c r="G34" t="inlineStr">
        <is>
          <t xml:space="preserve">Sí</t>
        </is>
      </c>
      <c r="H34" t="inlineStr">
        <is>
          <t xml:space="preserve">Sí</t>
        </is>
      </c>
      <c r="I34" t="inlineStr">
        <is>
          <t xml:space="preserve">Obligatoria</t>
        </is>
      </c>
      <c r="J34">
        <f>IF($G34&lt;&gt;"Sí","",IF($D34="Especialidad","E",IF($E34="TeoricaTroncal","NT","N")))</f>
      </c>
    </row>
    <row r="35">
      <c r="A35">
        <v>34</v>
      </c>
      <c r="B35" t="inlineStr">
        <is>
          <t xml:space="preserve">Creatividad y Música</t>
        </is>
      </c>
      <c r="C35" t="inlineStr">
        <is>
          <t xml:space="preserve">5EPM;6EPM</t>
        </is>
      </c>
      <c r="D35" t="inlineStr">
        <is>
          <t xml:space="preserve">Optativas</t>
        </is>
      </c>
      <c r="E35"/>
      <c r="F35" t="inlineStr">
        <is>
          <t xml:space="preserve">No</t>
        </is>
      </c>
      <c r="G35" t="inlineStr">
        <is>
          <t xml:space="preserve">Sí</t>
        </is>
      </c>
      <c r="H35" t="inlineStr">
        <is>
          <t xml:space="preserve">No</t>
        </is>
      </c>
      <c r="I35" t="inlineStr">
        <is>
          <t xml:space="preserve">Optativa</t>
        </is>
      </c>
      <c r="J35">
        <f>IF($G35&lt;&gt;"Sí","",IF($D35="Especialidad","E",IF($E35="TeoricaTroncal","NT","N")))</f>
      </c>
    </row>
    <row r="36">
      <c r="A36">
        <v>35</v>
      </c>
      <c r="B36" t="inlineStr">
        <is>
          <t xml:space="preserve">Cultura Audiovisual</t>
        </is>
      </c>
      <c r="C36" t="inlineStr">
        <is>
          <t xml:space="preserve">5EPM;6EPM</t>
        </is>
      </c>
      <c r="D36" t="inlineStr">
        <is>
          <t xml:space="preserve">Optativas</t>
        </is>
      </c>
      <c r="E36"/>
      <c r="F36" t="inlineStr">
        <is>
          <t xml:space="preserve">No</t>
        </is>
      </c>
      <c r="G36" t="inlineStr">
        <is>
          <t xml:space="preserve">Sí</t>
        </is>
      </c>
      <c r="H36" t="inlineStr">
        <is>
          <t xml:space="preserve">No</t>
        </is>
      </c>
      <c r="I36" t="inlineStr">
        <is>
          <t xml:space="preserve">Optativa</t>
        </is>
      </c>
      <c r="J36">
        <f>IF($G36&lt;&gt;"Sí","",IF($D36="Especialidad","E",IF($E36="TeoricaTroncal","NT","N")))</f>
      </c>
    </row>
    <row r="37">
      <c r="A37">
        <v>36</v>
      </c>
      <c r="B37" t="inlineStr">
        <is>
          <t xml:space="preserve">Complemento Coral</t>
        </is>
      </c>
      <c r="C37" t="inlineStr">
        <is>
          <t xml:space="preserve">5EPM;6EPM</t>
        </is>
      </c>
      <c r="D37" t="inlineStr">
        <is>
          <t xml:space="preserve">Optativas</t>
        </is>
      </c>
      <c r="E37"/>
      <c r="F37" t="inlineStr">
        <is>
          <t xml:space="preserve">No</t>
        </is>
      </c>
      <c r="G37" t="inlineStr">
        <is>
          <t xml:space="preserve">Sí</t>
        </is>
      </c>
      <c r="H37" t="inlineStr">
        <is>
          <t xml:space="preserve">No</t>
        </is>
      </c>
      <c r="I37" t="inlineStr">
        <is>
          <t xml:space="preserve">Optativa</t>
        </is>
      </c>
      <c r="J37">
        <f>IF($G37&lt;&gt;"Sí","",IF($D37="Especialidad","E",IF($E37="TeoricaTroncal","NT","N")))</f>
      </c>
    </row>
    <row r="38">
      <c r="A38">
        <v>37</v>
      </c>
      <c r="B38" t="inlineStr">
        <is>
          <t xml:space="preserve">Fundamentos de Composición</t>
        </is>
      </c>
      <c r="C38" t="inlineStr">
        <is>
          <t xml:space="preserve">5EPM;6EPM</t>
        </is>
      </c>
      <c r="D38" t="inlineStr">
        <is>
          <t xml:space="preserve">Optativas</t>
        </is>
      </c>
      <c r="E38"/>
      <c r="F38" t="inlineStr">
        <is>
          <t xml:space="preserve">No</t>
        </is>
      </c>
      <c r="G38" t="inlineStr">
        <is>
          <t xml:space="preserve">Sí</t>
        </is>
      </c>
      <c r="H38" t="inlineStr">
        <is>
          <t xml:space="preserve">No</t>
        </is>
      </c>
      <c r="I38" t="inlineStr">
        <is>
          <t xml:space="preserve">Optativa</t>
        </is>
      </c>
      <c r="J38">
        <f>IF($G38&lt;&gt;"Sí","",IF($D38="Especialidad","E",IF($E38="TeoricaTroncal","NT","N")))</f>
      </c>
    </row>
    <row r="39">
      <c r="A39">
        <v>38</v>
      </c>
      <c r="B39" t="inlineStr">
        <is>
          <t xml:space="preserve">Introducción a la Pedagogía Musical</t>
        </is>
      </c>
      <c r="C39" t="inlineStr">
        <is>
          <t xml:space="preserve">5EPM;6EPM</t>
        </is>
      </c>
      <c r="D39" t="inlineStr">
        <is>
          <t xml:space="preserve">Optativas</t>
        </is>
      </c>
      <c r="E39"/>
      <c r="F39" t="inlineStr">
        <is>
          <t xml:space="preserve">No</t>
        </is>
      </c>
      <c r="G39" t="inlineStr">
        <is>
          <t xml:space="preserve">Sí</t>
        </is>
      </c>
      <c r="H39" t="inlineStr">
        <is>
          <t xml:space="preserve">No</t>
        </is>
      </c>
      <c r="I39" t="inlineStr">
        <is>
          <t xml:space="preserve">De centro</t>
        </is>
      </c>
      <c r="J39">
        <f>IF($G39&lt;&gt;"Sí","",IF($D39="Especialidad","E",IF($E39="TeoricaTroncal","NT","N")))</f>
      </c>
    </row>
    <row r="40">
      <c r="A40">
        <v>39</v>
      </c>
      <c r="B40" t="inlineStr">
        <is>
          <t xml:space="preserve">Fundamentos de Informática Musical y Edición de Partituras</t>
        </is>
      </c>
      <c r="C40" t="inlineStr">
        <is>
          <t xml:space="preserve">5EPM;6EPM</t>
        </is>
      </c>
      <c r="D40" t="inlineStr">
        <is>
          <t xml:space="preserve">Optativas</t>
        </is>
      </c>
      <c r="E40"/>
      <c r="F40" t="inlineStr">
        <is>
          <t xml:space="preserve">No</t>
        </is>
      </c>
      <c r="G40" t="inlineStr">
        <is>
          <t xml:space="preserve">Sí</t>
        </is>
      </c>
      <c r="H40" t="inlineStr">
        <is>
          <t xml:space="preserve">No</t>
        </is>
      </c>
      <c r="I40" t="inlineStr">
        <is>
          <t xml:space="preserve">Optativa</t>
        </is>
      </c>
      <c r="J40">
        <f>IF($G40&lt;&gt;"Sí","",IF($D40="Especialidad","E",IF($E40="TeoricaTroncal","NT","N")))</f>
      </c>
    </row>
    <row r="41">
      <c r="A41">
        <v>40</v>
      </c>
      <c r="B41" t="inlineStr">
        <is>
          <t xml:space="preserve">Complemento Pianístico / Clavecinístico</t>
        </is>
      </c>
      <c r="C41" t="inlineStr">
        <is>
          <t xml:space="preserve">5EPM;6EPM</t>
        </is>
      </c>
      <c r="D41" t="inlineStr">
        <is>
          <t xml:space="preserve">Optativas</t>
        </is>
      </c>
      <c r="E41"/>
      <c r="F41" t="inlineStr">
        <is>
          <t xml:space="preserve">No</t>
        </is>
      </c>
      <c r="G41" t="inlineStr">
        <is>
          <t xml:space="preserve">Sí</t>
        </is>
      </c>
      <c r="H41" t="inlineStr">
        <is>
          <t xml:space="preserve">No</t>
        </is>
      </c>
      <c r="I41" t="inlineStr">
        <is>
          <t xml:space="preserve">Optativa</t>
        </is>
      </c>
      <c r="J41">
        <f>IF($G41&lt;&gt;"Sí","",IF($D41="Especialidad","E",IF($E41="TeoricaTroncal","NT","N")))</f>
      </c>
    </row>
    <row r="42">
      <c r="A42">
        <v>41</v>
      </c>
      <c r="B42" t="inlineStr">
        <is>
          <t xml:space="preserve">Estética de la Música</t>
        </is>
      </c>
      <c r="C42" t="inlineStr">
        <is>
          <t xml:space="preserve">5EPM;6EPM</t>
        </is>
      </c>
      <c r="D42" t="inlineStr">
        <is>
          <t xml:space="preserve">Optativas</t>
        </is>
      </c>
      <c r="E42"/>
      <c r="F42" t="inlineStr">
        <is>
          <t xml:space="preserve">No</t>
        </is>
      </c>
      <c r="G42" t="inlineStr">
        <is>
          <t xml:space="preserve">Sí</t>
        </is>
      </c>
      <c r="H42" t="inlineStr">
        <is>
          <t xml:space="preserve">No</t>
        </is>
      </c>
      <c r="I42" t="inlineStr">
        <is>
          <t xml:space="preserve">Optativa</t>
        </is>
      </c>
      <c r="J42">
        <f>IF($G42&lt;&gt;"Sí","",IF($D42="Especialidad","E",IF($E42="TeoricaTroncal","NT","N")))</f>
      </c>
    </row>
    <row r="43">
      <c r="A43">
        <v>42</v>
      </c>
      <c r="B43" t="inlineStr">
        <is>
          <t xml:space="preserve">Improvisación y Jazz</t>
        </is>
      </c>
      <c r="C43" t="inlineStr">
        <is>
          <t xml:space="preserve">5EPM;6EPM</t>
        </is>
      </c>
      <c r="D43" t="inlineStr">
        <is>
          <t xml:space="preserve">Optativas</t>
        </is>
      </c>
      <c r="E43"/>
      <c r="F43" t="inlineStr">
        <is>
          <t xml:space="preserve">No</t>
        </is>
      </c>
      <c r="G43" t="inlineStr">
        <is>
          <t xml:space="preserve">Sí</t>
        </is>
      </c>
      <c r="H43" t="inlineStr">
        <is>
          <t xml:space="preserve">No</t>
        </is>
      </c>
      <c r="I43" t="inlineStr">
        <is>
          <t xml:space="preserve">De centro</t>
        </is>
      </c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  <c r="M44" t="inlineStr">
        <is>
          <t xml:space="preserve">↓ primera fila libre</t>
        </is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</row>
    <row r="62">
      <c r="J62">
        <f>IF($G62&lt;&gt;"Sí","",IF($D62="Especialidad","E",IF($E62="TeoricaTroncal","NT","N")))</f>
      </c>
    </row>
    <row r="63">
      <c r="J63">
        <f>IF($G63&lt;&gt;"Sí","",IF($D63="Especialidad","E",IF($E63="TeoricaTroncal","NT","N")))</f>
      </c>
    </row>
    <row r="64">
      <c r="J64">
        <f>IF($G64&lt;&gt;"Sí","",IF($D64="Especialidad","E",IF($E64="TeoricaTroncal","NT","N")))</f>
      </c>
    </row>
    <row r="65">
      <c r="J65">
        <f>IF($G65&lt;&gt;"Sí","",IF($D65="Especialidad","E",IF($E65="TeoricaTroncal","NT","N")))</f>
      </c>
    </row>
    <row r="66">
      <c r="J66">
        <f>IF($G66&lt;&gt;"Sí","",IF($D66="Especialidad","E",IF($E66="TeoricaTroncal","NT","N")))</f>
      </c>
    </row>
    <row r="67">
      <c r="J67">
        <f>IF($G67&lt;&gt;"Sí","",IF($D67="Especialidad","E",IF($E67="TeoricaTroncal","NT","N")))</f>
      </c>
    </row>
    <row r="68">
      <c r="J68">
        <f>IF($G68&lt;&gt;"Sí","",IF($D68="Especialidad","E",IF($E68="TeoricaTroncal","NT","N")))</f>
      </c>
    </row>
    <row r="69">
      <c r="J69">
        <f>IF($G69&lt;&gt;"Sí","",IF($D69="Especialidad","E",IF($E69="TeoricaTroncal","NT","N")))</f>
      </c>
    </row>
    <row r="70">
      <c r="J70">
        <f>IF($G70&lt;&gt;"Sí","",IF($D70="Especialidad","E",IF($E70="TeoricaTroncal","NT","N")))</f>
      </c>
    </row>
    <row r="71">
      <c r="J71">
        <f>IF($G71&lt;&gt;"Sí","",IF($D71="Especialidad","E",IF($E71="TeoricaTroncal","NT","N")))</f>
      </c>
    </row>
    <row r="72">
      <c r="J72">
        <f>IF($G72&lt;&gt;"Sí","",IF($D72="Especialidad","E",IF($E72="TeoricaTroncal","NT","N")))</f>
      </c>
    </row>
    <row r="73">
      <c r="J73">
        <f>IF($G73&lt;&gt;"Sí","",IF($D73="Especialidad","E",IF($E73="TeoricaTroncal","NT","N")))</f>
      </c>
    </row>
    <row r="74">
      <c r="J74">
        <f>IF($G74&lt;&gt;"Sí","",IF($D74="Especialidad","E",IF($E74="TeoricaTroncal","NT","N")))</f>
      </c>
    </row>
    <row r="75">
      <c r="J75">
        <f>IF($G75&lt;&gt;"Sí","",IF($D75="Especialidad","E",IF($E75="TeoricaTroncal","NT","N")))</f>
      </c>
    </row>
    <row r="76">
      <c r="J76">
        <f>IF($G76&lt;&gt;"Sí","",IF($D76="Especialidad","E",IF($E76="TeoricaTroncal","NT","N")))</f>
      </c>
    </row>
    <row r="77">
      <c r="J77">
        <f>IF($G77&lt;&gt;"Sí","",IF($D77="Especialidad","E",IF($E77="TeoricaTroncal","NT","N")))</f>
      </c>
    </row>
    <row r="78">
      <c r="J78">
        <f>IF($G78&lt;&gt;"Sí","",IF($D78="Especialidad","E",IF($E78="TeoricaTroncal","NT","N")))</f>
      </c>
    </row>
    <row r="79">
      <c r="J79">
        <f>IF($G79&lt;&gt;"Sí","",IF($D79="Especialidad","E",IF($E79="TeoricaTroncal","NT","N")))</f>
      </c>
    </row>
    <row r="80">
      <c r="J80">
        <f>IF($G80&lt;&gt;"Sí","",IF($D80="Especialidad","E",IF($E80="TeoricaTroncal","NT","N")))</f>
      </c>
    </row>
    <row r="81">
      <c r="J81">
        <f>IF($G81&lt;&gt;"Sí","",IF($D81="Especialidad","E",IF($E81="TeoricaTroncal","NT","N")))</f>
      </c>
    </row>
    <row r="82">
      <c r="J82">
        <f>IF($G82&lt;&gt;"Sí","",IF($D82="Especialidad","E",IF($E82="TeoricaTroncal","NT","N")))</f>
      </c>
    </row>
    <row r="83">
      <c r="J83">
        <f>IF($G83&lt;&gt;"Sí","",IF($D83="Especialidad","E",IF($E83="TeoricaTroncal","NT","N")))</f>
      </c>
    </row>
    <row r="84">
      <c r="J84">
        <f>IF($G84&lt;&gt;"Sí","",IF($D84="Especialidad","E",IF($E84="TeoricaTroncal","NT","N")))</f>
      </c>
    </row>
    <row r="85">
      <c r="J85">
        <f>IF($G85&lt;&gt;"Sí","",IF($D85="Especialidad","E",IF($E85="TeoricaTroncal","NT","N")))</f>
      </c>
    </row>
    <row r="86">
      <c r="J86">
        <f>IF($G86&lt;&gt;"Sí","",IF($D86="Especialidad","E",IF($E86="TeoricaTroncal","NT","N")))</f>
      </c>
    </row>
    <row r="87">
      <c r="J87">
        <f>IF($G87&lt;&gt;"Sí","",IF($D87="Especialidad","E",IF($E87="TeoricaTroncal","NT","N")))</f>
      </c>
    </row>
    <row r="88">
      <c r="J88">
        <f>IF($G88&lt;&gt;"Sí","",IF($D88="Especialidad","E",IF($E88="TeoricaTroncal","NT","N")))</f>
      </c>
    </row>
    <row r="89">
      <c r="J89">
        <f>IF($G89&lt;&gt;"Sí","",IF($D89="Especialidad","E",IF($E89="TeoricaTroncal","NT","N")))</f>
      </c>
    </row>
    <row r="90">
      <c r="J90">
        <f>IF($G90&lt;&gt;"Sí","",IF($D90="Especialidad","E",IF($E90="TeoricaTroncal","NT","N")))</f>
      </c>
    </row>
    <row r="91">
      <c r="J91">
        <f>IF($G91&lt;&gt;"Sí","",IF($D91="Especialidad","E",IF($E91="TeoricaTroncal","NT","N")))</f>
      </c>
      <c r="M91" t="inlineStr">
        <is>
          <t xml:space="preserve">↑ última fila que miran las fórmulas</t>
        </is>
      </c>
    </row>
  </sheetData>
  <conditionalFormatting sqref="A2:J91">
    <cfRule type="expression" dxfId="0" priority="1">
      <formula>AND($B2&lt;&gt;"",$G2&lt;&gt;"Sí")</formula>
    </cfRule>
  </conditionalFormatting>
  <dataValidations count="5">
    <dataValidation type="list" allowBlank="1" showInputMessage="1" showErrorMessage="1" errorTitle="Valor no válido" error="Elige uno de la lista: Referencia, NoEspecialidad, Especialidad, Optativas." promptTitle="Grupo1" prompt="Decide en qué total cuenta la asignatura. «Especialidad» es un instrumento." sqref="D2:D91">
      <formula1>"Referencia,NoEspecialidad,Especialidad,Optativas"</formula1>
    </dataValidation>
    <dataValidation type="list" allowBlank="1" showInputMessage="1" showErrorMessage="1" errorTitle="Valor no válido" error="Elige uno de la lista: Sí, No." promptTitle="¿Es especialidad?" prompt="Tiene que decir lo mismo que Grupo1." sqref="F2:F91">
      <formula1>"Sí,No"</formula1>
    </dataValidation>
    <dataValidation type="list" allowBlank="1" showInputMessage="1" showErrorMessage="1" errorTitle="Valor no válido" error="Elige uno de la lista: Sí, No." promptTitle="Activa" prompt="Con «No» la asignatura no sale por ningún sitio, y sus registros los cuenta el aviso «FueraDeLasCifras»." sqref="G2:G91">
      <formula1>"Sí,No"</formula1>
    </dataValidation>
    <dataValidation type="list" allowBlank="1" showInputMessage="1" showErrorMessage="1" errorTitle="Valor no válido" error="Elige uno de la lista: Sí, No." promptTitle="¿Se cursa una sola vez?" prompt="«Sí» solo si NO se vuelve a cursar al coger un segundo instrumento." sqref="H2:H91">
      <formula1>"Sí,No"</formula1>
    </dataValidation>
    <dataValidation type="list" allowBlank="1" showInputMessage="1" showErrorMessage="1" errorTitle="Valor no válido" error="Elige uno de la lista: Obligatoria, Optativa, De centro." promptTitle="Tipo" prompt="Obligatoria la pone el currículo; De centro es de diseño propio." sqref="I2:I91">
      <formula1>"Obligatoria,Optativa,De centro"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  <c r="I1">
        <f>IF(DATOS!$I1="","",IFERROR(VLOOKUP(DATOS!$I1,CONFIG_ASIGNATURAS!$B$2:$J$91,9,FALSE()),""))</f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IF(DATOS!$A2="",0,IF(CONFIG_METADATA!$B$4&lt;&gt;"OR+EX",--(DATOS!$G2=CONFIG_METADATA!$B$4),IF(DATOS!$G2="EX",1,IF(DATOS!$G2="OR",--(COUNTIFS(nNIA,DATOS!$A2,nCURSO,DATOS!$D2,nESPEC,DATOS!$E2,nASIG,DATOS!$I2,nEVAL,"EX")=0),0))))</f>
      </c>
      <c r="H2">
        <f>IF(DATOS!$G2&lt;&gt;"EX",0,--(COUNTIFS(nNIA,DATOS!$A2,nCURSO,DATOS!$D2,nESPEC,DATOS!$E2,nASIG,DATOS!$I2,nEVAL,"OR")=0))</f>
      </c>
      <c r="I2">
        <f>IF(DATOS!$I2="","",IFERROR(VLOOKUP(DATOS!$I2,CONFIG_ASIGNATURAS!$B$2:$J$91,9,FALSE()),""))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IF(DATOS!$A3="",0,IF(CONFIG_METADATA!$B$4&lt;&gt;"OR+EX",--(DATOS!$G3=CONFIG_METADATA!$B$4),IF(DATOS!$G3="EX",1,IF(DATOS!$G3="OR",--(COUNTIFS(nNIA,DATOS!$A3,nCURSO,DATOS!$D3,nESPEC,DATOS!$E3,nASIG,DATOS!$I3,nEVAL,"EX")=0),0))))</f>
      </c>
      <c r="H3">
        <f>IF(DATOS!$G3&lt;&gt;"EX",0,--(COUNTIFS(nNIA,DATOS!$A3,nCURSO,DATOS!$D3,nESPEC,DATOS!$E3,nASIG,DATOS!$I3,nEVAL,"OR")=0))</f>
      </c>
      <c r="I3">
        <f>IF(DATOS!$I3="","",IFERROR(VLOOKUP(DATOS!$I3,CONFIG_ASIGNATURAS!$B$2:$J$91,9,FALSE()),""))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IF(DATOS!$A4="",0,IF(CONFIG_METADATA!$B$4&lt;&gt;"OR+EX",--(DATOS!$G4=CONFIG_METADATA!$B$4),IF(DATOS!$G4="EX",1,IF(DATOS!$G4="OR",--(COUNTIFS(nNIA,DATOS!$A4,nCURSO,DATOS!$D4,nESPEC,DATOS!$E4,nASIG,DATOS!$I4,nEVAL,"EX")=0),0))))</f>
      </c>
      <c r="H4">
        <f>IF(DATOS!$G4&lt;&gt;"EX",0,--(COUNTIFS(nNIA,DATOS!$A4,nCURSO,DATOS!$D4,nESPEC,DATOS!$E4,nASIG,DATOS!$I4,nEVAL,"OR")=0))</f>
      </c>
      <c r="I4">
        <f>IF(DATOS!$I4="","",IFERROR(VLOOKUP(DATOS!$I4,CONFIG_ASIGNATURAS!$B$2:$J$91,9,FALSE()),""))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IF(DATOS!$A5="",0,IF(CONFIG_METADATA!$B$4&lt;&gt;"OR+EX",--(DATOS!$G5=CONFIG_METADATA!$B$4),IF(DATOS!$G5="EX",1,IF(DATOS!$G5="OR",--(COUNTIFS(nNIA,DATOS!$A5,nCURSO,DATOS!$D5,nESPEC,DATOS!$E5,nASIG,DATOS!$I5,nEVAL,"EX")=0),0))))</f>
      </c>
      <c r="H5">
        <f>IF(DATOS!$G5&lt;&gt;"EX",0,--(COUNTIFS(nNIA,DATOS!$A5,nCURSO,DATOS!$D5,nESPEC,DATOS!$E5,nASIG,DATOS!$I5,nEVAL,"OR")=0))</f>
      </c>
      <c r="I5">
        <f>IF(DATOS!$I5="","",IFERROR(VLOOKUP(DATOS!$I5,CONFIG_ASIGNATURAS!$B$2:$J$91,9,FALSE()),""))</f>
      </c>
    </row>
    <row r="6">
      <c r="A6" t="inlineStr">
        <is>
          <t xml:space="preserve">ExtraordinariaSinOrdinaria</t>
        </is>
      </c>
      <c r="B6">
        <f>SUM(nEXSINOR)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IF(DATOS!$A6="",0,IF(CONFIG_METADATA!$B$4&lt;&gt;"OR+EX",--(DATOS!$G6=CONFIG_METADATA!$B$4),IF(DATOS!$G6="EX",1,IF(DATOS!$G6="OR",--(COUNTIFS(nNIA,DATOS!$A6,nCURSO,DATOS!$D6,nESPEC,DATOS!$E6,nASIG,DATOS!$I6,nEVAL,"EX")=0),0))))</f>
      </c>
      <c r="H6">
        <f>IF(DATOS!$G6&lt;&gt;"EX",0,--(COUNTIFS(nNIA,DATOS!$A6,nCURSO,DATOS!$D6,nESPEC,DATOS!$E6,nASIG,DATOS!$I6,nEVAL,"OR")=0))</f>
      </c>
      <c r="I6">
        <f>IF(DATOS!$I6="","",IFERROR(VLOOKUP(DATOS!$I6,CONFIG_ASIGNATURAS!$B$2:$J$91,9,FALSE()),""))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IF(DATOS!$A7="",0,IF(CONFIG_METADATA!$B$4&lt;&gt;"OR+EX",--(DATOS!$G7=CONFIG_METADATA!$B$4),IF(DATOS!$G7="EX",1,IF(DATOS!$G7="OR",--(COUNTIFS(nNIA,DATOS!$A7,nCURSO,DATOS!$D7,nESPEC,DATOS!$E7,nASIG,DATOS!$I7,nEVAL,"EX")=0),0))))</f>
      </c>
      <c r="H7">
        <f>IF(DATOS!$G7&lt;&gt;"EX",0,--(COUNTIFS(nNIA,DATOS!$A7,nCURSO,DATOS!$D7,nESPEC,DATOS!$E7,nASIG,DATOS!$I7,nEVAL,"OR")=0))</f>
      </c>
      <c r="I7">
        <f>IF(DATOS!$I7="","",IFERROR(VLOOKUP(DATOS!$I7,CONFIG_ASIGNATURAS!$B$2:$J$91,9,FALSE()),""))</f>
      </c>
    </row>
    <row r="8">
      <c r="A8" t="inlineStr">
        <is>
          <t>FilasConDatos</t>
        </is>
      </c>
      <c r="B8">
        <f>IFERROR(LOOKUP(2,1/(DATOS!$A$2:$A20000&lt;&gt;""),ROW(DATOS!$A$2:$A20000)),2)</f>
      </c>
      <c r="C8" t="inlineStr">
        <is>
          <t xml:space="preserve">Última fila de DATOS con algo. Es hasta donde miran todas las fórmulas: sin esto recorrerían las 20.000 filas siempre, y diecinueve de cada veinte lecturas serían de celdas vacías.</t>
        </is>
      </c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IF(DATOS!$A8="",0,IF(CONFIG_METADATA!$B$4&lt;&gt;"OR+EX",--(DATOS!$G8=CONFIG_METADATA!$B$4),IF(DATOS!$G8="EX",1,IF(DATOS!$G8="OR",--(COUNTIFS(nNIA,DATOS!$A8,nCURSO,DATOS!$D8,nESPEC,DATOS!$E8,nASIG,DATOS!$I8,nEVAL,"EX")=0),0))))</f>
      </c>
      <c r="H8">
        <f>IF(DATOS!$G8&lt;&gt;"EX",0,--(COUNTIFS(nNIA,DATOS!$A8,nCURSO,DATOS!$D8,nESPEC,DATOS!$E8,nASIG,DATOS!$I8,nEVAL,"OR")=0))</f>
      </c>
      <c r="I8">
        <f>IF(DATOS!$I8="","",IFERROR(VLOOKUP(DATOS!$I8,CONFIG_ASIGNATURAS!$B$2:$J$91,9,FALSE()),""))</f>
      </c>
    </row>
    <row r="9">
      <c r="A9" t="inlineStr">
        <is>
          <t xml:space="preserve">DobleEspecialidad</t>
        </is>
      </c>
      <c r="B9" cm="1">
        <f t="array" ref="B9">IFERROR(SUMPRODUCT((nCUENTA=1)*(COUNTIFS(CONFIG_ASIGNATURAS!$B$2:$B$91,nASIG,CONFIG_ASIGNATURAS!$H$2:$H$91,"Sí",CONFIG_ASIGNATURAS!$G$2:$G$91,"Sí")&gt;0)*1)-COUNTA(_xlfn.UNIQUE(_xlfn._xlws.FILTER(nCLAVE,(nCUENTA=1)*(COUNTIFS(CONFIG_ASIGNATURAS!$B$2:$B$91,nASIG,CONFIG_ASIGNATURAS!$H$2:$H$91,"Sí",CONFIG_ASIGNATURAS!$G$2:$G$91,"Sí")&gt;0)))),0)</f>
      </c>
      <c r="C9" t="inlineStr">
        <is>
          <t xml:space="preserve">Registros de más: quien cursa dos especialidades aparece dos veces en las asignaturas de una sola vez, con la misma nota. Cuentan doble en la media, en la moda y en el reparto.</t>
        </is>
      </c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IF(DATOS!$A9="",0,IF(CONFIG_METADATA!$B$4&lt;&gt;"OR+EX",--(DATOS!$G9=CONFIG_METADATA!$B$4),IF(DATOS!$G9="EX",1,IF(DATOS!$G9="OR",--(COUNTIFS(nNIA,DATOS!$A9,nCURSO,DATOS!$D9,nESPEC,DATOS!$E9,nASIG,DATOS!$I9,nEVAL,"EX")=0),0))))</f>
      </c>
      <c r="H9">
        <f>IF(DATOS!$G9&lt;&gt;"EX",0,--(COUNTIFS(nNIA,DATOS!$A9,nCURSO,DATOS!$D9,nESPEC,DATOS!$E9,nASIG,DATOS!$I9,nEVAL,"OR")=0))</f>
      </c>
      <c r="I9">
        <f>IF(DATOS!$I9="","",IFERROR(VLOOKUP(DATOS!$I9,CONFIG_ASIGNATURAS!$B$2:$J$91,9,FALSE()),""))</f>
      </c>
    </row>
    <row r="10">
      <c r="A10" t="inlineStr">
        <is>
          <t xml:space="preserve">FueraDeLasCifras</t>
        </is>
      </c>
      <c r="B10">
        <f>CALC_EPM!$D$2-CALC_EPM!$D$3-CALC_EPM!$D$4</f>
      </c>
      <c r="C10" t="inlineStr">
        <is>
          <t xml:space="preserve">Registros que no entran en ninguna cifra: su asignatura no está en CONFIG_ASIGNATURAS, o está pero con Activa = No. Si no es cero, falta algo en la configuración o sobra un No.</t>
        </is>
      </c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IF(DATOS!$A10="",0,IF(CONFIG_METADATA!$B$4&lt;&gt;"OR+EX",--(DATOS!$G10=CONFIG_METADATA!$B$4),IF(DATOS!$G10="EX",1,IF(DATOS!$G10="OR",--(COUNTIFS(nNIA,DATOS!$A10,nCURSO,DATOS!$D10,nESPEC,DATOS!$E10,nASIG,DATOS!$I10,nEVAL,"EX")=0),0))))</f>
      </c>
      <c r="H10">
        <f>IF(DATOS!$G10&lt;&gt;"EX",0,--(COUNTIFS(nNIA,DATOS!$A10,nCURSO,DATOS!$D10,nESPEC,DATOS!$E10,nASIG,DATOS!$I10,nEVAL,"OR")=0))</f>
      </c>
      <c r="I10">
        <f>IF(DATOS!$I10="","",IFERROR(VLOOKUP(DATOS!$I10,CONFIG_ASIGNATURAS!$B$2:$J$91,9,FALSE()),""))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IF(DATOS!$A11="",0,IF(CONFIG_METADATA!$B$4&lt;&gt;"OR+EX",--(DATOS!$G11=CONFIG_METADATA!$B$4),IF(DATOS!$G11="EX",1,IF(DATOS!$G11="OR",--(COUNTIFS(nNIA,DATOS!$A11,nCURSO,DATOS!$D11,nESPEC,DATOS!$E11,nASIG,DATOS!$I11,nEVAL,"EX")=0),0))))</f>
      </c>
      <c r="H11">
        <f>IF(DATOS!$G11&lt;&gt;"EX",0,--(COUNTIFS(nNIA,DATOS!$A11,nCURSO,DATOS!$D11,nESPEC,DATOS!$E11,nASIG,DATOS!$I11,nEVAL,"OR")=0))</f>
      </c>
      <c r="I11">
        <f>IF(DATOS!$I11="","",IFERROR(VLOOKUP(DATOS!$I11,CONFIG_ASIGNATURAS!$B$2:$J$91,9,FALSE()),""))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IF(DATOS!$A12="",0,IF(CONFIG_METADATA!$B$4&lt;&gt;"OR+EX",--(DATOS!$G12=CONFIG_METADATA!$B$4),IF(DATOS!$G12="EX",1,IF(DATOS!$G12="OR",--(COUNTIFS(nNIA,DATOS!$A12,nCURSO,DATOS!$D12,nESPEC,DATOS!$E12,nASIG,DATOS!$I12,nEVAL,"EX")=0),0))))</f>
      </c>
      <c r="H12">
        <f>IF(DATOS!$G12&lt;&gt;"EX",0,--(COUNTIFS(nNIA,DATOS!$A12,nCURSO,DATOS!$D12,nESPEC,DATOS!$E12,nASIG,DATOS!$I12,nEVAL,"OR")=0))</f>
      </c>
      <c r="I12">
        <f>IF(DATOS!$I12="","",IFERROR(VLOOKUP(DATOS!$I12,CONFIG_ASIGNATURAS!$B$2:$J$91,9,FALSE()),""))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IF(DATOS!$A13="",0,IF(CONFIG_METADATA!$B$4&lt;&gt;"OR+EX",--(DATOS!$G13=CONFIG_METADATA!$B$4),IF(DATOS!$G13="EX",1,IF(DATOS!$G13="OR",--(COUNTIFS(nNIA,DATOS!$A13,nCURSO,DATOS!$D13,nESPEC,DATOS!$E13,nASIG,DATOS!$I13,nEVAL,"EX")=0),0))))</f>
      </c>
      <c r="H13">
        <f>IF(DATOS!$G13&lt;&gt;"EX",0,--(COUNTIFS(nNIA,DATOS!$A13,nCURSO,DATOS!$D13,nESPEC,DATOS!$E13,nASIG,DATOS!$I13,nEVAL,"OR")=0))</f>
      </c>
      <c r="I13">
        <f>IF(DATOS!$I13="","",IFERROR(VLOOKUP(DATOS!$I13,CONFIG_ASIGNATURAS!$B$2:$J$91,9,FALSE()),""))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IF(DATOS!$A14="",0,IF(CONFIG_METADATA!$B$4&lt;&gt;"OR+EX",--(DATOS!$G14=CONFIG_METADATA!$B$4),IF(DATOS!$G14="EX",1,IF(DATOS!$G14="OR",--(COUNTIFS(nNIA,DATOS!$A14,nCURSO,DATOS!$D14,nESPEC,DATOS!$E14,nASIG,DATOS!$I14,nEVAL,"EX")=0),0))))</f>
      </c>
      <c r="H14">
        <f>IF(DATOS!$G14&lt;&gt;"EX",0,--(COUNTIFS(nNIA,DATOS!$A14,nCURSO,DATOS!$D14,nESPEC,DATOS!$E14,nASIG,DATOS!$I14,nEVAL,"OR")=0))</f>
      </c>
      <c r="I14">
        <f>IF(DATOS!$I14="","",IFERROR(VLOOKUP(DATOS!$I14,CONFIG_ASIGNATURAS!$B$2:$J$91,9,FALSE()),""))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IF(DATOS!$A15="",0,IF(CONFIG_METADATA!$B$4&lt;&gt;"OR+EX",--(DATOS!$G15=CONFIG_METADATA!$B$4),IF(DATOS!$G15="EX",1,IF(DATOS!$G15="OR",--(COUNTIFS(nNIA,DATOS!$A15,nCURSO,DATOS!$D15,nESPEC,DATOS!$E15,nASIG,DATOS!$I15,nEVAL,"EX")=0),0))))</f>
      </c>
      <c r="H15">
        <f>IF(DATOS!$G15&lt;&gt;"EX",0,--(COUNTIFS(nNIA,DATOS!$A15,nCURSO,DATOS!$D15,nESPEC,DATOS!$E15,nASIG,DATOS!$I15,nEVAL,"OR")=0))</f>
      </c>
      <c r="I15">
        <f>IF(DATOS!$I15="","",IFERROR(VLOOKUP(DATOS!$I15,CONFIG_ASIGNATURAS!$B$2:$J$91,9,FALSE()),""))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IF(DATOS!$A16="",0,IF(CONFIG_METADATA!$B$4&lt;&gt;"OR+EX",--(DATOS!$G16=CONFIG_METADATA!$B$4),IF(DATOS!$G16="EX",1,IF(DATOS!$G16="OR",--(COUNTIFS(nNIA,DATOS!$A16,nCURSO,DATOS!$D16,nESPEC,DATOS!$E16,nASIG,DATOS!$I16,nEVAL,"EX")=0),0))))</f>
      </c>
      <c r="H16">
        <f>IF(DATOS!$G16&lt;&gt;"EX",0,--(COUNTIFS(nNIA,DATOS!$A16,nCURSO,DATOS!$D16,nESPEC,DATOS!$E16,nASIG,DATOS!$I16,nEVAL,"OR")=0))</f>
      </c>
      <c r="I16">
        <f>IF(DATOS!$I16="","",IFERROR(VLOOKUP(DATOS!$I16,CONFIG_ASIGNATURAS!$B$2:$J$91,9,FALSE()),""))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IF(DATOS!$A17="",0,IF(CONFIG_METADATA!$B$4&lt;&gt;"OR+EX",--(DATOS!$G17=CONFIG_METADATA!$B$4),IF(DATOS!$G17="EX",1,IF(DATOS!$G17="OR",--(COUNTIFS(nNIA,DATOS!$A17,nCURSO,DATOS!$D17,nESPEC,DATOS!$E17,nASIG,DATOS!$I17,nEVAL,"EX")=0),0))))</f>
      </c>
      <c r="H17">
        <f>IF(DATOS!$G17&lt;&gt;"EX",0,--(COUNTIFS(nNIA,DATOS!$A17,nCURSO,DATOS!$D17,nESPEC,DATOS!$E17,nASIG,DATOS!$I17,nEVAL,"OR")=0))</f>
      </c>
      <c r="I17">
        <f>IF(DATOS!$I17="","",IFERROR(VLOOKUP(DATOS!$I17,CONFIG_ASIGNATURAS!$B$2:$J$91,9,FALSE()),""))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IF(DATOS!$A18="",0,IF(CONFIG_METADATA!$B$4&lt;&gt;"OR+EX",--(DATOS!$G18=CONFIG_METADATA!$B$4),IF(DATOS!$G18="EX",1,IF(DATOS!$G18="OR",--(COUNTIFS(nNIA,DATOS!$A18,nCURSO,DATOS!$D18,nESPEC,DATOS!$E18,nASIG,DATOS!$I18,nEVAL,"EX")=0),0))))</f>
      </c>
      <c r="H18">
        <f>IF(DATOS!$G18&lt;&gt;"EX",0,--(COUNTIFS(nNIA,DATOS!$A18,nCURSO,DATOS!$D18,nESPEC,DATOS!$E18,nASIG,DATOS!$I18,nEVAL,"OR")=0))</f>
      </c>
      <c r="I18">
        <f>IF(DATOS!$I18="","",IFERROR(VLOOKUP(DATOS!$I18,CONFIG_ASIGNATURAS!$B$2:$J$91,9,FALSE()),""))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IF(DATOS!$A19="",0,IF(CONFIG_METADATA!$B$4&lt;&gt;"OR+EX",--(DATOS!$G19=CONFIG_METADATA!$B$4),IF(DATOS!$G19="EX",1,IF(DATOS!$G19="OR",--(COUNTIFS(nNIA,DATOS!$A19,nCURSO,DATOS!$D19,nESPEC,DATOS!$E19,nASIG,DATOS!$I19,nEVAL,"EX")=0),0))))</f>
      </c>
      <c r="H19">
        <f>IF(DATOS!$G19&lt;&gt;"EX",0,--(COUNTIFS(nNIA,DATOS!$A19,nCURSO,DATOS!$D19,nESPEC,DATOS!$E19,nASIG,DATOS!$I19,nEVAL,"OR")=0))</f>
      </c>
      <c r="I19">
        <f>IF(DATOS!$I19="","",IFERROR(VLOOKUP(DATOS!$I19,CONFIG_ASIGNATURAS!$B$2:$J$91,9,FALSE()),""))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IF(DATOS!$A20="",0,IF(CONFIG_METADATA!$B$4&lt;&gt;"OR+EX",--(DATOS!$G20=CONFIG_METADATA!$B$4),IF(DATOS!$G20="EX",1,IF(DATOS!$G20="OR",--(COUNTIFS(nNIA,DATOS!$A20,nCURSO,DATOS!$D20,nESPEC,DATOS!$E20,nASIG,DATOS!$I20,nEVAL,"EX")=0),0))))</f>
      </c>
      <c r="H20">
        <f>IF(DATOS!$G20&lt;&gt;"EX",0,--(COUNTIFS(nNIA,DATOS!$A20,nCURSO,DATOS!$D20,nESPEC,DATOS!$E20,nASIG,DATOS!$I20,nEVAL,"OR")=0))</f>
      </c>
      <c r="I20">
        <f>IF(DATOS!$I20="","",IFERROR(VLOOKUP(DATOS!$I20,CONFIG_ASIGNATURAS!$B$2:$J$91,9,FALSE()),""))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IF(DATOS!$A21="",0,IF(CONFIG_METADATA!$B$4&lt;&gt;"OR+EX",--(DATOS!$G21=CONFIG_METADATA!$B$4),IF(DATOS!$G21="EX",1,IF(DATOS!$G21="OR",--(COUNTIFS(nNIA,DATOS!$A21,nCURSO,DATOS!$D21,nESPEC,DATOS!$E21,nASIG,DATOS!$I21,nEVAL,"EX")=0),0))))</f>
      </c>
      <c r="H21">
        <f>IF(DATOS!$G21&lt;&gt;"EX",0,--(COUNTIFS(nNIA,DATOS!$A21,nCURSO,DATOS!$D21,nESPEC,DATOS!$E21,nASIG,DATOS!$I21,nEVAL,"OR")=0))</f>
      </c>
      <c r="I21">
        <f>IF(DATOS!$I21="","",IFERROR(VLOOKUP(DATOS!$I21,CONFIG_ASIGNATURAS!$B$2:$J$91,9,FALSE()),""))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IF(DATOS!$A22="",0,IF(CONFIG_METADATA!$B$4&lt;&gt;"OR+EX",--(DATOS!$G22=CONFIG_METADATA!$B$4),IF(DATOS!$G22="EX",1,IF(DATOS!$G22="OR",--(COUNTIFS(nNIA,DATOS!$A22,nCURSO,DATOS!$D22,nESPEC,DATOS!$E22,nASIG,DATOS!$I22,nEVAL,"EX")=0),0))))</f>
      </c>
      <c r="H22">
        <f>IF(DATOS!$G22&lt;&gt;"EX",0,--(COUNTIFS(nNIA,DATOS!$A22,nCURSO,DATOS!$D22,nESPEC,DATOS!$E22,nASIG,DATOS!$I22,nEVAL,"OR")=0))</f>
      </c>
      <c r="I22">
        <f>IF(DATOS!$I22="","",IFERROR(VLOOKUP(DATOS!$I22,CONFIG_ASIGNATURAS!$B$2:$J$91,9,FALSE()),""))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IF(DATOS!$A23="",0,IF(CONFIG_METADATA!$B$4&lt;&gt;"OR+EX",--(DATOS!$G23=CONFIG_METADATA!$B$4),IF(DATOS!$G23="EX",1,IF(DATOS!$G23="OR",--(COUNTIFS(nNIA,DATOS!$A23,nCURSO,DATOS!$D23,nESPEC,DATOS!$E23,nASIG,DATOS!$I23,nEVAL,"EX")=0),0))))</f>
      </c>
      <c r="H23">
        <f>IF(DATOS!$G23&lt;&gt;"EX",0,--(COUNTIFS(nNIA,DATOS!$A23,nCURSO,DATOS!$D23,nESPEC,DATOS!$E23,nASIG,DATOS!$I23,nEVAL,"OR")=0))</f>
      </c>
      <c r="I23">
        <f>IF(DATOS!$I23="","",IFERROR(VLOOKUP(DATOS!$I23,CONFIG_ASIGNATURAS!$B$2:$J$91,9,FALSE()),""))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IF(DATOS!$A24="",0,IF(CONFIG_METADATA!$B$4&lt;&gt;"OR+EX",--(DATOS!$G24=CONFIG_METADATA!$B$4),IF(DATOS!$G24="EX",1,IF(DATOS!$G24="OR",--(COUNTIFS(nNIA,DATOS!$A24,nCURSO,DATOS!$D24,nESPEC,DATOS!$E24,nASIG,DATOS!$I24,nEVAL,"EX")=0),0))))</f>
      </c>
      <c r="H24">
        <f>IF(DATOS!$G24&lt;&gt;"EX",0,--(COUNTIFS(nNIA,DATOS!$A24,nCURSO,DATOS!$D24,nESPEC,DATOS!$E24,nASIG,DATOS!$I24,nEVAL,"OR")=0))</f>
      </c>
      <c r="I24">
        <f>IF(DATOS!$I24="","",IFERROR(VLOOKUP(DATOS!$I24,CONFIG_ASIGNATURAS!$B$2:$J$91,9,FALSE()),""))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IF(DATOS!$A25="",0,IF(CONFIG_METADATA!$B$4&lt;&gt;"OR+EX",--(DATOS!$G25=CONFIG_METADATA!$B$4),IF(DATOS!$G25="EX",1,IF(DATOS!$G25="OR",--(COUNTIFS(nNIA,DATOS!$A25,nCURSO,DATOS!$D25,nESPEC,DATOS!$E25,nASIG,DATOS!$I25,nEVAL,"EX")=0),0))))</f>
      </c>
      <c r="H25">
        <f>IF(DATOS!$G25&lt;&gt;"EX",0,--(COUNTIFS(nNIA,DATOS!$A25,nCURSO,DATOS!$D25,nESPEC,DATOS!$E25,nASIG,DATOS!$I25,nEVAL,"OR")=0))</f>
      </c>
      <c r="I25">
        <f>IF(DATOS!$I25="","",IFERROR(VLOOKUP(DATOS!$I25,CONFIG_ASIGNATURAS!$B$2:$J$91,9,FALSE()),""))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IF(DATOS!$A26="",0,IF(CONFIG_METADATA!$B$4&lt;&gt;"OR+EX",--(DATOS!$G26=CONFIG_METADATA!$B$4),IF(DATOS!$G26="EX",1,IF(DATOS!$G26="OR",--(COUNTIFS(nNIA,DATOS!$A26,nCURSO,DATOS!$D26,nESPEC,DATOS!$E26,nASIG,DATOS!$I26,nEVAL,"EX")=0),0))))</f>
      </c>
      <c r="H26">
        <f>IF(DATOS!$G26&lt;&gt;"EX",0,--(COUNTIFS(nNIA,DATOS!$A26,nCURSO,DATOS!$D26,nESPEC,DATOS!$E26,nASIG,DATOS!$I26,nEVAL,"OR")=0))</f>
      </c>
      <c r="I26">
        <f>IF(DATOS!$I26="","",IFERROR(VLOOKUP(DATOS!$I26,CONFIG_ASIGNATURAS!$B$2:$J$91,9,FALSE()),""))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IF(DATOS!$A27="",0,IF(CONFIG_METADATA!$B$4&lt;&gt;"OR+EX",--(DATOS!$G27=CONFIG_METADATA!$B$4),IF(DATOS!$G27="EX",1,IF(DATOS!$G27="OR",--(COUNTIFS(nNIA,DATOS!$A27,nCURSO,DATOS!$D27,nESPEC,DATOS!$E27,nASIG,DATOS!$I27,nEVAL,"EX")=0),0))))</f>
      </c>
      <c r="H27">
        <f>IF(DATOS!$G27&lt;&gt;"EX",0,--(COUNTIFS(nNIA,DATOS!$A27,nCURSO,DATOS!$D27,nESPEC,DATOS!$E27,nASIG,DATOS!$I27,nEVAL,"OR")=0))</f>
      </c>
      <c r="I27">
        <f>IF(DATOS!$I27="","",IFERROR(VLOOKUP(DATOS!$I27,CONFIG_ASIGNATURAS!$B$2:$J$91,9,FALSE()),""))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IF(DATOS!$A28="",0,IF(CONFIG_METADATA!$B$4&lt;&gt;"OR+EX",--(DATOS!$G28=CONFIG_METADATA!$B$4),IF(DATOS!$G28="EX",1,IF(DATOS!$G28="OR",--(COUNTIFS(nNIA,DATOS!$A28,nCURSO,DATOS!$D28,nESPEC,DATOS!$E28,nASIG,DATOS!$I28,nEVAL,"EX")=0),0))))</f>
      </c>
      <c r="H28">
        <f>IF(DATOS!$G28&lt;&gt;"EX",0,--(COUNTIFS(nNIA,DATOS!$A28,nCURSO,DATOS!$D28,nESPEC,DATOS!$E28,nASIG,DATOS!$I28,nEVAL,"OR")=0))</f>
      </c>
      <c r="I28">
        <f>IF(DATOS!$I28="","",IFERROR(VLOOKUP(DATOS!$I28,CONFIG_ASIGNATURAS!$B$2:$J$91,9,FALSE()),""))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IF(DATOS!$A29="",0,IF(CONFIG_METADATA!$B$4&lt;&gt;"OR+EX",--(DATOS!$G29=CONFIG_METADATA!$B$4),IF(DATOS!$G29="EX",1,IF(DATOS!$G29="OR",--(COUNTIFS(nNIA,DATOS!$A29,nCURSO,DATOS!$D29,nESPEC,DATOS!$E29,nASIG,DATOS!$I29,nEVAL,"EX")=0),0))))</f>
      </c>
      <c r="H29">
        <f>IF(DATOS!$G29&lt;&gt;"EX",0,--(COUNTIFS(nNIA,DATOS!$A29,nCURSO,DATOS!$D29,nESPEC,DATOS!$E29,nASIG,DATOS!$I29,nEVAL,"OR")=0))</f>
      </c>
      <c r="I29">
        <f>IF(DATOS!$I29="","",IFERROR(VLOOKUP(DATOS!$I29,CONFIG_ASIGNATURAS!$B$2:$J$91,9,FALSE()),""))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IF(DATOS!$A30="",0,IF(CONFIG_METADATA!$B$4&lt;&gt;"OR+EX",--(DATOS!$G30=CONFIG_METADATA!$B$4),IF(DATOS!$G30="EX",1,IF(DATOS!$G30="OR",--(COUNTIFS(nNIA,DATOS!$A30,nCURSO,DATOS!$D30,nESPEC,DATOS!$E30,nASIG,DATOS!$I30,nEVAL,"EX")=0),0))))</f>
      </c>
      <c r="H30">
        <f>IF(DATOS!$G30&lt;&gt;"EX",0,--(COUNTIFS(nNIA,DATOS!$A30,nCURSO,DATOS!$D30,nESPEC,DATOS!$E30,nASIG,DATOS!$I30,nEVAL,"OR")=0))</f>
      </c>
      <c r="I30">
        <f>IF(DATOS!$I30="","",IFERROR(VLOOKUP(DATOS!$I30,CONFIG_ASIGNATURAS!$B$2:$J$91,9,FALSE()),""))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IF(DATOS!$A31="",0,IF(CONFIG_METADATA!$B$4&lt;&gt;"OR+EX",--(DATOS!$G31=CONFIG_METADATA!$B$4),IF(DATOS!$G31="EX",1,IF(DATOS!$G31="OR",--(COUNTIFS(nNIA,DATOS!$A31,nCURSO,DATOS!$D31,nESPEC,DATOS!$E31,nASIG,DATOS!$I31,nEVAL,"EX")=0),0))))</f>
      </c>
      <c r="H31">
        <f>IF(DATOS!$G31&lt;&gt;"EX",0,--(COUNTIFS(nNIA,DATOS!$A31,nCURSO,DATOS!$D31,nESPEC,DATOS!$E31,nASIG,DATOS!$I31,nEVAL,"OR")=0))</f>
      </c>
      <c r="I31">
        <f>IF(DATOS!$I31="","",IFERROR(VLOOKUP(DATOS!$I31,CONFIG_ASIGNATURAS!$B$2:$J$91,9,FALSE()),""))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IF(DATOS!$A32="",0,IF(CONFIG_METADATA!$B$4&lt;&gt;"OR+EX",--(DATOS!$G32=CONFIG_METADATA!$B$4),IF(DATOS!$G32="EX",1,IF(DATOS!$G32="OR",--(COUNTIFS(nNIA,DATOS!$A32,nCURSO,DATOS!$D32,nESPEC,DATOS!$E32,nASIG,DATOS!$I32,nEVAL,"EX")=0),0))))</f>
      </c>
      <c r="H32">
        <f>IF(DATOS!$G32&lt;&gt;"EX",0,--(COUNTIFS(nNIA,DATOS!$A32,nCURSO,DATOS!$D32,nESPEC,DATOS!$E32,nASIG,DATOS!$I32,nEVAL,"OR")=0))</f>
      </c>
      <c r="I32">
        <f>IF(DATOS!$I32="","",IFERROR(VLOOKUP(DATOS!$I32,CONFIG_ASIGNATURAS!$B$2:$J$91,9,FALSE()),""))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IF(DATOS!$A33="",0,IF(CONFIG_METADATA!$B$4&lt;&gt;"OR+EX",--(DATOS!$G33=CONFIG_METADATA!$B$4),IF(DATOS!$G33="EX",1,IF(DATOS!$G33="OR",--(COUNTIFS(nNIA,DATOS!$A33,nCURSO,DATOS!$D33,nESPEC,DATOS!$E33,nASIG,DATOS!$I33,nEVAL,"EX")=0),0))))</f>
      </c>
      <c r="H33">
        <f>IF(DATOS!$G33&lt;&gt;"EX",0,--(COUNTIFS(nNIA,DATOS!$A33,nCURSO,DATOS!$D33,nESPEC,DATOS!$E33,nASIG,DATOS!$I33,nEVAL,"OR")=0))</f>
      </c>
      <c r="I33">
        <f>IF(DATOS!$I33="","",IFERROR(VLOOKUP(DATOS!$I33,CONFIG_ASIGNATURAS!$B$2:$J$91,9,FALSE()),""))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IF(DATOS!$A34="",0,IF(CONFIG_METADATA!$B$4&lt;&gt;"OR+EX",--(DATOS!$G34=CONFIG_METADATA!$B$4),IF(DATOS!$G34="EX",1,IF(DATOS!$G34="OR",--(COUNTIFS(nNIA,DATOS!$A34,nCURSO,DATOS!$D34,nESPEC,DATOS!$E34,nASIG,DATOS!$I34,nEVAL,"EX")=0),0))))</f>
      </c>
      <c r="H34">
        <f>IF(DATOS!$G34&lt;&gt;"EX",0,--(COUNTIFS(nNIA,DATOS!$A34,nCURSO,DATOS!$D34,nESPEC,DATOS!$E34,nASIG,DATOS!$I34,nEVAL,"OR")=0))</f>
      </c>
      <c r="I34">
        <f>IF(DATOS!$I34="","",IFERROR(VLOOKUP(DATOS!$I34,CONFIG_ASIGNATURAS!$B$2:$J$91,9,FALSE()),""))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IF(DATOS!$A35="",0,IF(CONFIG_METADATA!$B$4&lt;&gt;"OR+EX",--(DATOS!$G35=CONFIG_METADATA!$B$4),IF(DATOS!$G35="EX",1,IF(DATOS!$G35="OR",--(COUNTIFS(nNIA,DATOS!$A35,nCURSO,DATOS!$D35,nESPEC,DATOS!$E35,nASIG,DATOS!$I35,nEVAL,"EX")=0),0))))</f>
      </c>
      <c r="H35">
        <f>IF(DATOS!$G35&lt;&gt;"EX",0,--(COUNTIFS(nNIA,DATOS!$A35,nCURSO,DATOS!$D35,nESPEC,DATOS!$E35,nASIG,DATOS!$I35,nEVAL,"OR")=0))</f>
      </c>
      <c r="I35">
        <f>IF(DATOS!$I35="","",IFERROR(VLOOKUP(DATOS!$I35,CONFIG_ASIGNATURAS!$B$2:$J$91,9,FALSE()),""))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IF(DATOS!$A36="",0,IF(CONFIG_METADATA!$B$4&lt;&gt;"OR+EX",--(DATOS!$G36=CONFIG_METADATA!$B$4),IF(DATOS!$G36="EX",1,IF(DATOS!$G36="OR",--(COUNTIFS(nNIA,DATOS!$A36,nCURSO,DATOS!$D36,nESPEC,DATOS!$E36,nASIG,DATOS!$I36,nEVAL,"EX")=0),0))))</f>
      </c>
      <c r="H36">
        <f>IF(DATOS!$G36&lt;&gt;"EX",0,--(COUNTIFS(nNIA,DATOS!$A36,nCURSO,DATOS!$D36,nESPEC,DATOS!$E36,nASIG,DATOS!$I36,nEVAL,"OR")=0))</f>
      </c>
      <c r="I36">
        <f>IF(DATOS!$I36="","",IFERROR(VLOOKUP(DATOS!$I36,CONFIG_ASIGNATURAS!$B$2:$J$91,9,FALSE()),""))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IF(DATOS!$A37="",0,IF(CONFIG_METADATA!$B$4&lt;&gt;"OR+EX",--(DATOS!$G37=CONFIG_METADATA!$B$4),IF(DATOS!$G37="EX",1,IF(DATOS!$G37="OR",--(COUNTIFS(nNIA,DATOS!$A37,nCURSO,DATOS!$D37,nESPEC,DATOS!$E37,nASIG,DATOS!$I37,nEVAL,"EX")=0),0))))</f>
      </c>
      <c r="H37">
        <f>IF(DATOS!$G37&lt;&gt;"EX",0,--(COUNTIFS(nNIA,DATOS!$A37,nCURSO,DATOS!$D37,nESPEC,DATOS!$E37,nASIG,DATOS!$I37,nEVAL,"OR")=0))</f>
      </c>
      <c r="I37">
        <f>IF(DATOS!$I37="","",IFERROR(VLOOKUP(DATOS!$I37,CONFIG_ASIGNATURAS!$B$2:$J$91,9,FALSE()),""))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IF(DATOS!$A38="",0,IF(CONFIG_METADATA!$B$4&lt;&gt;"OR+EX",--(DATOS!$G38=CONFIG_METADATA!$B$4),IF(DATOS!$G38="EX",1,IF(DATOS!$G38="OR",--(COUNTIFS(nNIA,DATOS!$A38,nCURSO,DATOS!$D38,nESPEC,DATOS!$E38,nASIG,DATOS!$I38,nEVAL,"EX")=0),0))))</f>
      </c>
      <c r="H38">
        <f>IF(DATOS!$G38&lt;&gt;"EX",0,--(COUNTIFS(nNIA,DATOS!$A38,nCURSO,DATOS!$D38,nESPEC,DATOS!$E38,nASIG,DATOS!$I38,nEVAL,"OR")=0))</f>
      </c>
      <c r="I38">
        <f>IF(DATOS!$I38="","",IFERROR(VLOOKUP(DATOS!$I38,CONFIG_ASIGNATURAS!$B$2:$J$91,9,FALSE()),""))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IF(DATOS!$A39="",0,IF(CONFIG_METADATA!$B$4&lt;&gt;"OR+EX",--(DATOS!$G39=CONFIG_METADATA!$B$4),IF(DATOS!$G39="EX",1,IF(DATOS!$G39="OR",--(COUNTIFS(nNIA,DATOS!$A39,nCURSO,DATOS!$D39,nESPEC,DATOS!$E39,nASIG,DATOS!$I39,nEVAL,"EX")=0),0))))</f>
      </c>
      <c r="H39">
        <f>IF(DATOS!$G39&lt;&gt;"EX",0,--(COUNTIFS(nNIA,DATOS!$A39,nCURSO,DATOS!$D39,nESPEC,DATOS!$E39,nASIG,DATOS!$I39,nEVAL,"OR")=0))</f>
      </c>
      <c r="I39">
        <f>IF(DATOS!$I39="","",IFERROR(VLOOKUP(DATOS!$I39,CONFIG_ASIGNATURAS!$B$2:$J$91,9,FALSE()),""))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IF(DATOS!$A40="",0,IF(CONFIG_METADATA!$B$4&lt;&gt;"OR+EX",--(DATOS!$G40=CONFIG_METADATA!$B$4),IF(DATOS!$G40="EX",1,IF(DATOS!$G40="OR",--(COUNTIFS(nNIA,DATOS!$A40,nCURSO,DATOS!$D40,nESPEC,DATOS!$E40,nASIG,DATOS!$I40,nEVAL,"EX")=0),0))))</f>
      </c>
      <c r="H40">
        <f>IF(DATOS!$G40&lt;&gt;"EX",0,--(COUNTIFS(nNIA,DATOS!$A40,nCURSO,DATOS!$D40,nESPEC,DATOS!$E40,nASIG,DATOS!$I40,nEVAL,"OR")=0))</f>
      </c>
      <c r="I40">
        <f>IF(DATOS!$I40="","",IFERROR(VLOOKUP(DATOS!$I40,CONFIG_ASIGNATURAS!$B$2:$J$91,9,FALSE()),""))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IF(DATOS!$A41="",0,IF(CONFIG_METADATA!$B$4&lt;&gt;"OR+EX",--(DATOS!$G41=CONFIG_METADATA!$B$4),IF(DATOS!$G41="EX",1,IF(DATOS!$G41="OR",--(COUNTIFS(nNIA,DATOS!$A41,nCURSO,DATOS!$D41,nESPEC,DATOS!$E41,nASIG,DATOS!$I41,nEVAL,"EX")=0),0))))</f>
      </c>
      <c r="H41">
        <f>IF(DATOS!$G41&lt;&gt;"EX",0,--(COUNTIFS(nNIA,DATOS!$A41,nCURSO,DATOS!$D41,nESPEC,DATOS!$E41,nASIG,DATOS!$I41,nEVAL,"OR")=0))</f>
      </c>
      <c r="I41">
        <f>IF(DATOS!$I41="","",IFERROR(VLOOKUP(DATOS!$I41,CONFIG_ASIGNATURAS!$B$2:$J$91,9,FALSE()),""))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IF(DATOS!$A42="",0,IF(CONFIG_METADATA!$B$4&lt;&gt;"OR+EX",--(DATOS!$G42=CONFIG_METADATA!$B$4),IF(DATOS!$G42="EX",1,IF(DATOS!$G42="OR",--(COUNTIFS(nNIA,DATOS!$A42,nCURSO,DATOS!$D42,nESPEC,DATOS!$E42,nASIG,DATOS!$I42,nEVAL,"EX")=0),0))))</f>
      </c>
      <c r="H42">
        <f>IF(DATOS!$G42&lt;&gt;"EX",0,--(COUNTIFS(nNIA,DATOS!$A42,nCURSO,DATOS!$D42,nESPEC,DATOS!$E42,nASIG,DATOS!$I42,nEVAL,"OR")=0))</f>
      </c>
      <c r="I42">
        <f>IF(DATOS!$I42="","",IFERROR(VLOOKUP(DATOS!$I42,CONFIG_ASIGNATURAS!$B$2:$J$91,9,FALSE()),""))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IF(DATOS!$A43="",0,IF(CONFIG_METADATA!$B$4&lt;&gt;"OR+EX",--(DATOS!$G43=CONFIG_METADATA!$B$4),IF(DATOS!$G43="EX",1,IF(DATOS!$G43="OR",--(COUNTIFS(nNIA,DATOS!$A43,nCURSO,DATOS!$D43,nESPEC,DATOS!$E43,nASIG,DATOS!$I43,nEVAL,"EX")=0),0))))</f>
      </c>
      <c r="H43">
        <f>IF(DATOS!$G43&lt;&gt;"EX",0,--(COUNTIFS(nNIA,DATOS!$A43,nCURSO,DATOS!$D43,nESPEC,DATOS!$E43,nASIG,DATOS!$I43,nEVAL,"OR")=0))</f>
      </c>
      <c r="I43">
        <f>IF(DATOS!$I43="","",IFERROR(VLOOKUP(DATOS!$I43,CONFIG_ASIGNATURAS!$B$2:$J$91,9,FALSE()),""))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IF(DATOS!$A44="",0,IF(CONFIG_METADATA!$B$4&lt;&gt;"OR+EX",--(DATOS!$G44=CONFIG_METADATA!$B$4),IF(DATOS!$G44="EX",1,IF(DATOS!$G44="OR",--(COUNTIFS(nNIA,DATOS!$A44,nCURSO,DATOS!$D44,nESPEC,DATOS!$E44,nASIG,DATOS!$I44,nEVAL,"EX")=0),0))))</f>
      </c>
      <c r="H44">
        <f>IF(DATOS!$G44&lt;&gt;"EX",0,--(COUNTIFS(nNIA,DATOS!$A44,nCURSO,DATOS!$D44,nESPEC,DATOS!$E44,nASIG,DATOS!$I44,nEVAL,"OR")=0))</f>
      </c>
      <c r="I44">
        <f>IF(DATOS!$I44="","",IFERROR(VLOOKUP(DATOS!$I44,CONFIG_ASIGNATURAS!$B$2:$J$91,9,FALSE()),""))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IF(DATOS!$A45="",0,IF(CONFIG_METADATA!$B$4&lt;&gt;"OR+EX",--(DATOS!$G45=CONFIG_METADATA!$B$4),IF(DATOS!$G45="EX",1,IF(DATOS!$G45="OR",--(COUNTIFS(nNIA,DATOS!$A45,nCURSO,DATOS!$D45,nESPEC,DATOS!$E45,nASIG,DATOS!$I45,nEVAL,"EX")=0),0))))</f>
      </c>
      <c r="H45">
        <f>IF(DATOS!$G45&lt;&gt;"EX",0,--(COUNTIFS(nNIA,DATOS!$A45,nCURSO,DATOS!$D45,nESPEC,DATOS!$E45,nASIG,DATOS!$I45,nEVAL,"OR")=0))</f>
      </c>
      <c r="I45">
        <f>IF(DATOS!$I45="","",IFERROR(VLOOKUP(DATOS!$I45,CONFIG_ASIGNATURAS!$B$2:$J$91,9,FALSE()),""))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IF(DATOS!$A46="",0,IF(CONFIG_METADATA!$B$4&lt;&gt;"OR+EX",--(DATOS!$G46=CONFIG_METADATA!$B$4),IF(DATOS!$G46="EX",1,IF(DATOS!$G46="OR",--(COUNTIFS(nNIA,DATOS!$A46,nCURSO,DATOS!$D46,nESPEC,DATOS!$E46,nASIG,DATOS!$I46,nEVAL,"EX")=0),0))))</f>
      </c>
      <c r="H46">
        <f>IF(DATOS!$G46&lt;&gt;"EX",0,--(COUNTIFS(nNIA,DATOS!$A46,nCURSO,DATOS!$D46,nESPEC,DATOS!$E46,nASIG,DATOS!$I46,nEVAL,"OR")=0))</f>
      </c>
      <c r="I46">
        <f>IF(DATOS!$I46="","",IFERROR(VLOOKUP(DATOS!$I46,CONFIG_ASIGNATURAS!$B$2:$J$91,9,FALSE()),""))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IF(DATOS!$A47="",0,IF(CONFIG_METADATA!$B$4&lt;&gt;"OR+EX",--(DATOS!$G47=CONFIG_METADATA!$B$4),IF(DATOS!$G47="EX",1,IF(DATOS!$G47="OR",--(COUNTIFS(nNIA,DATOS!$A47,nCURSO,DATOS!$D47,nESPEC,DATOS!$E47,nASIG,DATOS!$I47,nEVAL,"EX")=0),0))))</f>
      </c>
      <c r="H47">
        <f>IF(DATOS!$G47&lt;&gt;"EX",0,--(COUNTIFS(nNIA,DATOS!$A47,nCURSO,DATOS!$D47,nESPEC,DATOS!$E47,nASIG,DATOS!$I47,nEVAL,"OR")=0))</f>
      </c>
      <c r="I47">
        <f>IF(DATOS!$I47="","",IFERROR(VLOOKUP(DATOS!$I47,CONFIG_ASIGNATURAS!$B$2:$J$91,9,FALSE()),""))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IF(DATOS!$A48="",0,IF(CONFIG_METADATA!$B$4&lt;&gt;"OR+EX",--(DATOS!$G48=CONFIG_METADATA!$B$4),IF(DATOS!$G48="EX",1,IF(DATOS!$G48="OR",--(COUNTIFS(nNIA,DATOS!$A48,nCURSO,DATOS!$D48,nESPEC,DATOS!$E48,nASIG,DATOS!$I48,nEVAL,"EX")=0),0))))</f>
      </c>
      <c r="H48">
        <f>IF(DATOS!$G48&lt;&gt;"EX",0,--(COUNTIFS(nNIA,DATOS!$A48,nCURSO,DATOS!$D48,nESPEC,DATOS!$E48,nASIG,DATOS!$I48,nEVAL,"OR")=0))</f>
      </c>
      <c r="I48">
        <f>IF(DATOS!$I48="","",IFERROR(VLOOKUP(DATOS!$I48,CONFIG_ASIGNATURAS!$B$2:$J$91,9,FALSE()),""))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IF(DATOS!$A49="",0,IF(CONFIG_METADATA!$B$4&lt;&gt;"OR+EX",--(DATOS!$G49=CONFIG_METADATA!$B$4),IF(DATOS!$G49="EX",1,IF(DATOS!$G49="OR",--(COUNTIFS(nNIA,DATOS!$A49,nCURSO,DATOS!$D49,nESPEC,DATOS!$E49,nASIG,DATOS!$I49,nEVAL,"EX")=0),0))))</f>
      </c>
      <c r="H49">
        <f>IF(DATOS!$G49&lt;&gt;"EX",0,--(COUNTIFS(nNIA,DATOS!$A49,nCURSO,DATOS!$D49,nESPEC,DATOS!$E49,nASIG,DATOS!$I49,nEVAL,"OR")=0))</f>
      </c>
      <c r="I49">
        <f>IF(DATOS!$I49="","",IFERROR(VLOOKUP(DATOS!$I49,CONFIG_ASIGNATURAS!$B$2:$J$91,9,FALSE()),""))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IF(DATOS!$A50="",0,IF(CONFIG_METADATA!$B$4&lt;&gt;"OR+EX",--(DATOS!$G50=CONFIG_METADATA!$B$4),IF(DATOS!$G50="EX",1,IF(DATOS!$G50="OR",--(COUNTIFS(nNIA,DATOS!$A50,nCURSO,DATOS!$D50,nESPEC,DATOS!$E50,nASIG,DATOS!$I50,nEVAL,"EX")=0),0))))</f>
      </c>
      <c r="H50">
        <f>IF(DATOS!$G50&lt;&gt;"EX",0,--(COUNTIFS(nNIA,DATOS!$A50,nCURSO,DATOS!$D50,nESPEC,DATOS!$E50,nASIG,DATOS!$I50,nEVAL,"OR")=0))</f>
      </c>
      <c r="I50">
        <f>IF(DATOS!$I50="","",IFERROR(VLOOKUP(DATOS!$I50,CONFIG_ASIGNATURAS!$B$2:$J$91,9,FALSE()),""))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IF(DATOS!$A51="",0,IF(CONFIG_METADATA!$B$4&lt;&gt;"OR+EX",--(DATOS!$G51=CONFIG_METADATA!$B$4),IF(DATOS!$G51="EX",1,IF(DATOS!$G51="OR",--(COUNTIFS(nNIA,DATOS!$A51,nCURSO,DATOS!$D51,nESPEC,DATOS!$E51,nASIG,DATOS!$I51,nEVAL,"EX")=0),0))))</f>
      </c>
      <c r="H51">
        <f>IF(DATOS!$G51&lt;&gt;"EX",0,--(COUNTIFS(nNIA,DATOS!$A51,nCURSO,DATOS!$D51,nESPEC,DATOS!$E51,nASIG,DATOS!$I51,nEVAL,"OR")=0))</f>
      </c>
      <c r="I51">
        <f>IF(DATOS!$I51="","",IFERROR(VLOOKUP(DATOS!$I51,CONFIG_ASIGNATURAS!$B$2:$J$91,9,FALSE()),""))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IF(DATOS!$A52="",0,IF(CONFIG_METADATA!$B$4&lt;&gt;"OR+EX",--(DATOS!$G52=CONFIG_METADATA!$B$4),IF(DATOS!$G52="EX",1,IF(DATOS!$G52="OR",--(COUNTIFS(nNIA,DATOS!$A52,nCURSO,DATOS!$D52,nESPEC,DATOS!$E52,nASIG,DATOS!$I52,nEVAL,"EX")=0),0))))</f>
      </c>
      <c r="H52">
        <f>IF(DATOS!$G52&lt;&gt;"EX",0,--(COUNTIFS(nNIA,DATOS!$A52,nCURSO,DATOS!$D52,nESPEC,DATOS!$E52,nASIG,DATOS!$I52,nEVAL,"OR")=0))</f>
      </c>
      <c r="I52">
        <f>IF(DATOS!$I52="","",IFERROR(VLOOKUP(DATOS!$I52,CONFIG_ASIGNATURAS!$B$2:$J$91,9,FALSE()),""))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IF(DATOS!$A53="",0,IF(CONFIG_METADATA!$B$4&lt;&gt;"OR+EX",--(DATOS!$G53=CONFIG_METADATA!$B$4),IF(DATOS!$G53="EX",1,IF(DATOS!$G53="OR",--(COUNTIFS(nNIA,DATOS!$A53,nCURSO,DATOS!$D53,nESPEC,DATOS!$E53,nASIG,DATOS!$I53,nEVAL,"EX")=0),0))))</f>
      </c>
      <c r="H53">
        <f>IF(DATOS!$G53&lt;&gt;"EX",0,--(COUNTIFS(nNIA,DATOS!$A53,nCURSO,DATOS!$D53,nESPEC,DATOS!$E53,nASIG,DATOS!$I53,nEVAL,"OR")=0))</f>
      </c>
      <c r="I53">
        <f>IF(DATOS!$I53="","",IFERROR(VLOOKUP(DATOS!$I53,CONFIG_ASIGNATURAS!$B$2:$J$91,9,FALSE()),""))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IF(DATOS!$A54="",0,IF(CONFIG_METADATA!$B$4&lt;&gt;"OR+EX",--(DATOS!$G54=CONFIG_METADATA!$B$4),IF(DATOS!$G54="EX",1,IF(DATOS!$G54="OR",--(COUNTIFS(nNIA,DATOS!$A54,nCURSO,DATOS!$D54,nESPEC,DATOS!$E54,nASIG,DATOS!$I54,nEVAL,"EX")=0),0))))</f>
      </c>
      <c r="H54">
        <f>IF(DATOS!$G54&lt;&gt;"EX",0,--(COUNTIFS(nNIA,DATOS!$A54,nCURSO,DATOS!$D54,nESPEC,DATOS!$E54,nASIG,DATOS!$I54,nEVAL,"OR")=0))</f>
      </c>
      <c r="I54">
        <f>IF(DATOS!$I54="","",IFERROR(VLOOKUP(DATOS!$I54,CONFIG_ASIGNATURAS!$B$2:$J$91,9,FALSE()),""))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IF(DATOS!$A55="",0,IF(CONFIG_METADATA!$B$4&lt;&gt;"OR+EX",--(DATOS!$G55=CONFIG_METADATA!$B$4),IF(DATOS!$G55="EX",1,IF(DATOS!$G55="OR",--(COUNTIFS(nNIA,DATOS!$A55,nCURSO,DATOS!$D55,nESPEC,DATOS!$E55,nASIG,DATOS!$I55,nEVAL,"EX")=0),0))))</f>
      </c>
      <c r="H55">
        <f>IF(DATOS!$G55&lt;&gt;"EX",0,--(COUNTIFS(nNIA,DATOS!$A55,nCURSO,DATOS!$D55,nESPEC,DATOS!$E55,nASIG,DATOS!$I55,nEVAL,"OR")=0))</f>
      </c>
      <c r="I55">
        <f>IF(DATOS!$I55="","",IFERROR(VLOOKUP(DATOS!$I55,CONFIG_ASIGNATURAS!$B$2:$J$91,9,FALSE()),""))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IF(DATOS!$A56="",0,IF(CONFIG_METADATA!$B$4&lt;&gt;"OR+EX",--(DATOS!$G56=CONFIG_METADATA!$B$4),IF(DATOS!$G56="EX",1,IF(DATOS!$G56="OR",--(COUNTIFS(nNIA,DATOS!$A56,nCURSO,DATOS!$D56,nESPEC,DATOS!$E56,nASIG,DATOS!$I56,nEVAL,"EX")=0),0))))</f>
      </c>
      <c r="H56">
        <f>IF(DATOS!$G56&lt;&gt;"EX",0,--(COUNTIFS(nNIA,DATOS!$A56,nCURSO,DATOS!$D56,nESPEC,DATOS!$E56,nASIG,DATOS!$I56,nEVAL,"OR")=0))</f>
      </c>
      <c r="I56">
        <f>IF(DATOS!$I56="","",IFERROR(VLOOKUP(DATOS!$I56,CONFIG_ASIGNATURAS!$B$2:$J$91,9,FALSE()),""))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IF(DATOS!$A57="",0,IF(CONFIG_METADATA!$B$4&lt;&gt;"OR+EX",--(DATOS!$G57=CONFIG_METADATA!$B$4),IF(DATOS!$G57="EX",1,IF(DATOS!$G57="OR",--(COUNTIFS(nNIA,DATOS!$A57,nCURSO,DATOS!$D57,nESPEC,DATOS!$E57,nASIG,DATOS!$I57,nEVAL,"EX")=0),0))))</f>
      </c>
      <c r="H57">
        <f>IF(DATOS!$G57&lt;&gt;"EX",0,--(COUNTIFS(nNIA,DATOS!$A57,nCURSO,DATOS!$D57,nESPEC,DATOS!$E57,nASIG,DATOS!$I57,nEVAL,"OR")=0))</f>
      </c>
      <c r="I57">
        <f>IF(DATOS!$I57="","",IFERROR(VLOOKUP(DATOS!$I57,CONFIG_ASIGNATURAS!$B$2:$J$91,9,FALSE()),""))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IF(DATOS!$A58="",0,IF(CONFIG_METADATA!$B$4&lt;&gt;"OR+EX",--(DATOS!$G58=CONFIG_METADATA!$B$4),IF(DATOS!$G58="EX",1,IF(DATOS!$G58="OR",--(COUNTIFS(nNIA,DATOS!$A58,nCURSO,DATOS!$D58,nESPEC,DATOS!$E58,nASIG,DATOS!$I58,nEVAL,"EX")=0),0))))</f>
      </c>
      <c r="H58">
        <f>IF(DATOS!$G58&lt;&gt;"EX",0,--(COUNTIFS(nNIA,DATOS!$A58,nCURSO,DATOS!$D58,nESPEC,DATOS!$E58,nASIG,DATOS!$I58,nEVAL,"OR")=0))</f>
      </c>
      <c r="I58">
        <f>IF(DATOS!$I58="","",IFERROR(VLOOKUP(DATOS!$I58,CONFIG_ASIGNATURAS!$B$2:$J$91,9,FALSE()),""))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IF(DATOS!$A59="",0,IF(CONFIG_METADATA!$B$4&lt;&gt;"OR+EX",--(DATOS!$G59=CONFIG_METADATA!$B$4),IF(DATOS!$G59="EX",1,IF(DATOS!$G59="OR",--(COUNTIFS(nNIA,DATOS!$A59,nCURSO,DATOS!$D59,nESPEC,DATOS!$E59,nASIG,DATOS!$I59,nEVAL,"EX")=0),0))))</f>
      </c>
      <c r="H59">
        <f>IF(DATOS!$G59&lt;&gt;"EX",0,--(COUNTIFS(nNIA,DATOS!$A59,nCURSO,DATOS!$D59,nESPEC,DATOS!$E59,nASIG,DATOS!$I59,nEVAL,"OR")=0))</f>
      </c>
      <c r="I59">
        <f>IF(DATOS!$I59="","",IFERROR(VLOOKUP(DATOS!$I59,CONFIG_ASIGNATURAS!$B$2:$J$91,9,FALSE()),""))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IF(DATOS!$A60="",0,IF(CONFIG_METADATA!$B$4&lt;&gt;"OR+EX",--(DATOS!$G60=CONFIG_METADATA!$B$4),IF(DATOS!$G60="EX",1,IF(DATOS!$G60="OR",--(COUNTIFS(nNIA,DATOS!$A60,nCURSO,DATOS!$D60,nESPEC,DATOS!$E60,nASIG,DATOS!$I60,nEVAL,"EX")=0),0))))</f>
      </c>
      <c r="H60">
        <f>IF(DATOS!$G60&lt;&gt;"EX",0,--(COUNTIFS(nNIA,DATOS!$A60,nCURSO,DATOS!$D60,nESPEC,DATOS!$E60,nASIG,DATOS!$I60,nEVAL,"OR")=0))</f>
      </c>
      <c r="I60">
        <f>IF(DATOS!$I60="","",IFERROR(VLOOKUP(DATOS!$I60,CONFIG_ASIGNATURAS!$B$2:$J$91,9,FALSE()),""))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IF(DATOS!$A61="",0,IF(CONFIG_METADATA!$B$4&lt;&gt;"OR+EX",--(DATOS!$G61=CONFIG_METADATA!$B$4),IF(DATOS!$G61="EX",1,IF(DATOS!$G61="OR",--(COUNTIFS(nNIA,DATOS!$A61,nCURSO,DATOS!$D61,nESPEC,DATOS!$E61,nASIG,DATOS!$I61,nEVAL,"EX")=0),0))))</f>
      </c>
      <c r="H61">
        <f>IF(DATOS!$G61&lt;&gt;"EX",0,--(COUNTIFS(nNIA,DATOS!$A61,nCURSO,DATOS!$D61,nESPEC,DATOS!$E61,nASIG,DATOS!$I61,nEVAL,"OR")=0))</f>
      </c>
      <c r="I61">
        <f>IF(DATOS!$I61="","",IFERROR(VLOOKUP(DATOS!$I61,CONFIG_ASIGNATURAS!$B$2:$J$91,9,FALSE()),""))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IF(DATOS!$A62="",0,IF(CONFIG_METADATA!$B$4&lt;&gt;"OR+EX",--(DATOS!$G62=CONFIG_METADATA!$B$4),IF(DATOS!$G62="EX",1,IF(DATOS!$G62="OR",--(COUNTIFS(nNIA,DATOS!$A62,nCURSO,DATOS!$D62,nESPEC,DATOS!$E62,nASIG,DATOS!$I62,nEVAL,"EX")=0),0))))</f>
      </c>
      <c r="H62">
        <f>IF(DATOS!$G62&lt;&gt;"EX",0,--(COUNTIFS(nNIA,DATOS!$A62,nCURSO,DATOS!$D62,nESPEC,DATOS!$E62,nASIG,DATOS!$I62,nEVAL,"OR")=0))</f>
      </c>
      <c r="I62">
        <f>IF(DATOS!$I62="","",IFERROR(VLOOKUP(DATOS!$I62,CONFIG_ASIGNATURAS!$B$2:$J$91,9,FALSE()),""))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IF(DATOS!$A63="",0,IF(CONFIG_METADATA!$B$4&lt;&gt;"OR+EX",--(DATOS!$G63=CONFIG_METADATA!$B$4),IF(DATOS!$G63="EX",1,IF(DATOS!$G63="OR",--(COUNTIFS(nNIA,DATOS!$A63,nCURSO,DATOS!$D63,nESPEC,DATOS!$E63,nASIG,DATOS!$I63,nEVAL,"EX")=0),0))))</f>
      </c>
      <c r="H63">
        <f>IF(DATOS!$G63&lt;&gt;"EX",0,--(COUNTIFS(nNIA,DATOS!$A63,nCURSO,DATOS!$D63,nESPEC,DATOS!$E63,nASIG,DATOS!$I63,nEVAL,"OR")=0))</f>
      </c>
      <c r="I63">
        <f>IF(DATOS!$I63="","",IFERROR(VLOOKUP(DATOS!$I63,CONFIG_ASIGNATURAS!$B$2:$J$91,9,FALSE()),""))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IF(DATOS!$A64="",0,IF(CONFIG_METADATA!$B$4&lt;&gt;"OR+EX",--(DATOS!$G64=CONFIG_METADATA!$B$4),IF(DATOS!$G64="EX",1,IF(DATOS!$G64="OR",--(COUNTIFS(nNIA,DATOS!$A64,nCURSO,DATOS!$D64,nESPEC,DATOS!$E64,nASIG,DATOS!$I64,nEVAL,"EX")=0),0))))</f>
      </c>
      <c r="H64">
        <f>IF(DATOS!$G64&lt;&gt;"EX",0,--(COUNTIFS(nNIA,DATOS!$A64,nCURSO,DATOS!$D64,nESPEC,DATOS!$E64,nASIG,DATOS!$I64,nEVAL,"OR")=0))</f>
      </c>
      <c r="I64">
        <f>IF(DATOS!$I64="","",IFERROR(VLOOKUP(DATOS!$I64,CONFIG_ASIGNATURAS!$B$2:$J$91,9,FALSE()),""))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IF(DATOS!$A65="",0,IF(CONFIG_METADATA!$B$4&lt;&gt;"OR+EX",--(DATOS!$G65=CONFIG_METADATA!$B$4),IF(DATOS!$G65="EX",1,IF(DATOS!$G65="OR",--(COUNTIFS(nNIA,DATOS!$A65,nCURSO,DATOS!$D65,nESPEC,DATOS!$E65,nASIG,DATOS!$I65,nEVAL,"EX")=0),0))))</f>
      </c>
      <c r="H65">
        <f>IF(DATOS!$G65&lt;&gt;"EX",0,--(COUNTIFS(nNIA,DATOS!$A65,nCURSO,DATOS!$D65,nESPEC,DATOS!$E65,nASIG,DATOS!$I65,nEVAL,"OR")=0))</f>
      </c>
      <c r="I65">
        <f>IF(DATOS!$I65="","",IFERROR(VLOOKUP(DATOS!$I65,CONFIG_ASIGNATURAS!$B$2:$J$91,9,FALSE()),""))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IF(DATOS!$A66="",0,IF(CONFIG_METADATA!$B$4&lt;&gt;"OR+EX",--(DATOS!$G66=CONFIG_METADATA!$B$4),IF(DATOS!$G66="EX",1,IF(DATOS!$G66="OR",--(COUNTIFS(nNIA,DATOS!$A66,nCURSO,DATOS!$D66,nESPEC,DATOS!$E66,nASIG,DATOS!$I66,nEVAL,"EX")=0),0))))</f>
      </c>
      <c r="H66">
        <f>IF(DATOS!$G66&lt;&gt;"EX",0,--(COUNTIFS(nNIA,DATOS!$A66,nCURSO,DATOS!$D66,nESPEC,DATOS!$E66,nASIG,DATOS!$I66,nEVAL,"OR")=0))</f>
      </c>
      <c r="I66">
        <f>IF(DATOS!$I66="","",IFERROR(VLOOKUP(DATOS!$I66,CONFIG_ASIGNATURAS!$B$2:$J$91,9,FALSE()),""))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IF(DATOS!$A67="",0,IF(CONFIG_METADATA!$B$4&lt;&gt;"OR+EX",--(DATOS!$G67=CONFIG_METADATA!$B$4),IF(DATOS!$G67="EX",1,IF(DATOS!$G67="OR",--(COUNTIFS(nNIA,DATOS!$A67,nCURSO,DATOS!$D67,nESPEC,DATOS!$E67,nASIG,DATOS!$I67,nEVAL,"EX")=0),0))))</f>
      </c>
      <c r="H67">
        <f>IF(DATOS!$G67&lt;&gt;"EX",0,--(COUNTIFS(nNIA,DATOS!$A67,nCURSO,DATOS!$D67,nESPEC,DATOS!$E67,nASIG,DATOS!$I67,nEVAL,"OR")=0))</f>
      </c>
      <c r="I67">
        <f>IF(DATOS!$I67="","",IFERROR(VLOOKUP(DATOS!$I67,CONFIG_ASIGNATURAS!$B$2:$J$91,9,FALSE()),""))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IF(DATOS!$A68="",0,IF(CONFIG_METADATA!$B$4&lt;&gt;"OR+EX",--(DATOS!$G68=CONFIG_METADATA!$B$4),IF(DATOS!$G68="EX",1,IF(DATOS!$G68="OR",--(COUNTIFS(nNIA,DATOS!$A68,nCURSO,DATOS!$D68,nESPEC,DATOS!$E68,nASIG,DATOS!$I68,nEVAL,"EX")=0),0))))</f>
      </c>
      <c r="H68">
        <f>IF(DATOS!$G68&lt;&gt;"EX",0,--(COUNTIFS(nNIA,DATOS!$A68,nCURSO,DATOS!$D68,nESPEC,DATOS!$E68,nASIG,DATOS!$I68,nEVAL,"OR")=0))</f>
      </c>
      <c r="I68">
        <f>IF(DATOS!$I68="","",IFERROR(VLOOKUP(DATOS!$I68,CONFIG_ASIGNATURAS!$B$2:$J$91,9,FALSE()),""))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IF(DATOS!$A69="",0,IF(CONFIG_METADATA!$B$4&lt;&gt;"OR+EX",--(DATOS!$G69=CONFIG_METADATA!$B$4),IF(DATOS!$G69="EX",1,IF(DATOS!$G69="OR",--(COUNTIFS(nNIA,DATOS!$A69,nCURSO,DATOS!$D69,nESPEC,DATOS!$E69,nASIG,DATOS!$I69,nEVAL,"EX")=0),0))))</f>
      </c>
      <c r="H69">
        <f>IF(DATOS!$G69&lt;&gt;"EX",0,--(COUNTIFS(nNIA,DATOS!$A69,nCURSO,DATOS!$D69,nESPEC,DATOS!$E69,nASIG,DATOS!$I69,nEVAL,"OR")=0))</f>
      </c>
      <c r="I69">
        <f>IF(DATOS!$I69="","",IFERROR(VLOOKUP(DATOS!$I69,CONFIG_ASIGNATURAS!$B$2:$J$91,9,FALSE()),""))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IF(DATOS!$A70="",0,IF(CONFIG_METADATA!$B$4&lt;&gt;"OR+EX",--(DATOS!$G70=CONFIG_METADATA!$B$4),IF(DATOS!$G70="EX",1,IF(DATOS!$G70="OR",--(COUNTIFS(nNIA,DATOS!$A70,nCURSO,DATOS!$D70,nESPEC,DATOS!$E70,nASIG,DATOS!$I70,nEVAL,"EX")=0),0))))</f>
      </c>
      <c r="H70">
        <f>IF(DATOS!$G70&lt;&gt;"EX",0,--(COUNTIFS(nNIA,DATOS!$A70,nCURSO,DATOS!$D70,nESPEC,DATOS!$E70,nASIG,DATOS!$I70,nEVAL,"OR")=0))</f>
      </c>
      <c r="I70">
        <f>IF(DATOS!$I70="","",IFERROR(VLOOKUP(DATOS!$I70,CONFIG_ASIGNATURAS!$B$2:$J$91,9,FALSE()),""))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IF(DATOS!$A71="",0,IF(CONFIG_METADATA!$B$4&lt;&gt;"OR+EX",--(DATOS!$G71=CONFIG_METADATA!$B$4),IF(DATOS!$G71="EX",1,IF(DATOS!$G71="OR",--(COUNTIFS(nNIA,DATOS!$A71,nCURSO,DATOS!$D71,nESPEC,DATOS!$E71,nASIG,DATOS!$I71,nEVAL,"EX")=0),0))))</f>
      </c>
      <c r="H71">
        <f>IF(DATOS!$G71&lt;&gt;"EX",0,--(COUNTIFS(nNIA,DATOS!$A71,nCURSO,DATOS!$D71,nESPEC,DATOS!$E71,nASIG,DATOS!$I71,nEVAL,"OR")=0))</f>
      </c>
      <c r="I71">
        <f>IF(DATOS!$I71="","",IFERROR(VLOOKUP(DATOS!$I71,CONFIG_ASIGNATURAS!$B$2:$J$91,9,FALSE()),""))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IF(DATOS!$A72="",0,IF(CONFIG_METADATA!$B$4&lt;&gt;"OR+EX",--(DATOS!$G72=CONFIG_METADATA!$B$4),IF(DATOS!$G72="EX",1,IF(DATOS!$G72="OR",--(COUNTIFS(nNIA,DATOS!$A72,nCURSO,DATOS!$D72,nESPEC,DATOS!$E72,nASIG,DATOS!$I72,nEVAL,"EX")=0),0))))</f>
      </c>
      <c r="H72">
        <f>IF(DATOS!$G72&lt;&gt;"EX",0,--(COUNTIFS(nNIA,DATOS!$A72,nCURSO,DATOS!$D72,nESPEC,DATOS!$E72,nASIG,DATOS!$I72,nEVAL,"OR")=0))</f>
      </c>
      <c r="I72">
        <f>IF(DATOS!$I72="","",IFERROR(VLOOKUP(DATOS!$I72,CONFIG_ASIGNATURAS!$B$2:$J$91,9,FALSE()),""))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IF(DATOS!$A73="",0,IF(CONFIG_METADATA!$B$4&lt;&gt;"OR+EX",--(DATOS!$G73=CONFIG_METADATA!$B$4),IF(DATOS!$G73="EX",1,IF(DATOS!$G73="OR",--(COUNTIFS(nNIA,DATOS!$A73,nCURSO,DATOS!$D73,nESPEC,DATOS!$E73,nASIG,DATOS!$I73,nEVAL,"EX")=0),0))))</f>
      </c>
      <c r="H73">
        <f>IF(DATOS!$G73&lt;&gt;"EX",0,--(COUNTIFS(nNIA,DATOS!$A73,nCURSO,DATOS!$D73,nESPEC,DATOS!$E73,nASIG,DATOS!$I73,nEVAL,"OR")=0))</f>
      </c>
      <c r="I73">
        <f>IF(DATOS!$I73="","",IFERROR(VLOOKUP(DATOS!$I73,CONFIG_ASIGNATURAS!$B$2:$J$91,9,FALSE()),""))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IF(DATOS!$A74="",0,IF(CONFIG_METADATA!$B$4&lt;&gt;"OR+EX",--(DATOS!$G74=CONFIG_METADATA!$B$4),IF(DATOS!$G74="EX",1,IF(DATOS!$G74="OR",--(COUNTIFS(nNIA,DATOS!$A74,nCURSO,DATOS!$D74,nESPEC,DATOS!$E74,nASIG,DATOS!$I74,nEVAL,"EX")=0),0))))</f>
      </c>
      <c r="H74">
        <f>IF(DATOS!$G74&lt;&gt;"EX",0,--(COUNTIFS(nNIA,DATOS!$A74,nCURSO,DATOS!$D74,nESPEC,DATOS!$E74,nASIG,DATOS!$I74,nEVAL,"OR")=0))</f>
      </c>
      <c r="I74">
        <f>IF(DATOS!$I74="","",IFERROR(VLOOKUP(DATOS!$I74,CONFIG_ASIGNATURAS!$B$2:$J$91,9,FALSE()),""))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IF(DATOS!$A75="",0,IF(CONFIG_METADATA!$B$4&lt;&gt;"OR+EX",--(DATOS!$G75=CONFIG_METADATA!$B$4),IF(DATOS!$G75="EX",1,IF(DATOS!$G75="OR",--(COUNTIFS(nNIA,DATOS!$A75,nCURSO,DATOS!$D75,nESPEC,DATOS!$E75,nASIG,DATOS!$I75,nEVAL,"EX")=0),0))))</f>
      </c>
      <c r="H75">
        <f>IF(DATOS!$G75&lt;&gt;"EX",0,--(COUNTIFS(nNIA,DATOS!$A75,nCURSO,DATOS!$D75,nESPEC,DATOS!$E75,nASIG,DATOS!$I75,nEVAL,"OR")=0))</f>
      </c>
      <c r="I75">
        <f>IF(DATOS!$I75="","",IFERROR(VLOOKUP(DATOS!$I75,CONFIG_ASIGNATURAS!$B$2:$J$91,9,FALSE()),""))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IF(DATOS!$A76="",0,IF(CONFIG_METADATA!$B$4&lt;&gt;"OR+EX",--(DATOS!$G76=CONFIG_METADATA!$B$4),IF(DATOS!$G76="EX",1,IF(DATOS!$G76="OR",--(COUNTIFS(nNIA,DATOS!$A76,nCURSO,DATOS!$D76,nESPEC,DATOS!$E76,nASIG,DATOS!$I76,nEVAL,"EX")=0),0))))</f>
      </c>
      <c r="H76">
        <f>IF(DATOS!$G76&lt;&gt;"EX",0,--(COUNTIFS(nNIA,DATOS!$A76,nCURSO,DATOS!$D76,nESPEC,DATOS!$E76,nASIG,DATOS!$I76,nEVAL,"OR")=0))</f>
      </c>
      <c r="I76">
        <f>IF(DATOS!$I76="","",IFERROR(VLOOKUP(DATOS!$I76,CONFIG_ASIGNATURAS!$B$2:$J$91,9,FALSE()),""))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IF(DATOS!$A77="",0,IF(CONFIG_METADATA!$B$4&lt;&gt;"OR+EX",--(DATOS!$G77=CONFIG_METADATA!$B$4),IF(DATOS!$G77="EX",1,IF(DATOS!$G77="OR",--(COUNTIFS(nNIA,DATOS!$A77,nCURSO,DATOS!$D77,nESPEC,DATOS!$E77,nASIG,DATOS!$I77,nEVAL,"EX")=0),0))))</f>
      </c>
      <c r="H77">
        <f>IF(DATOS!$G77&lt;&gt;"EX",0,--(COUNTIFS(nNIA,DATOS!$A77,nCURSO,DATOS!$D77,nESPEC,DATOS!$E77,nASIG,DATOS!$I77,nEVAL,"OR")=0))</f>
      </c>
      <c r="I77">
        <f>IF(DATOS!$I77="","",IFERROR(VLOOKUP(DATOS!$I77,CONFIG_ASIGNATURAS!$B$2:$J$91,9,FALSE()),""))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IF(DATOS!$A78="",0,IF(CONFIG_METADATA!$B$4&lt;&gt;"OR+EX",--(DATOS!$G78=CONFIG_METADATA!$B$4),IF(DATOS!$G78="EX",1,IF(DATOS!$G78="OR",--(COUNTIFS(nNIA,DATOS!$A78,nCURSO,DATOS!$D78,nESPEC,DATOS!$E78,nASIG,DATOS!$I78,nEVAL,"EX")=0),0))))</f>
      </c>
      <c r="H78">
        <f>IF(DATOS!$G78&lt;&gt;"EX",0,--(COUNTIFS(nNIA,DATOS!$A78,nCURSO,DATOS!$D78,nESPEC,DATOS!$E78,nASIG,DATOS!$I78,nEVAL,"OR")=0))</f>
      </c>
      <c r="I78">
        <f>IF(DATOS!$I78="","",IFERROR(VLOOKUP(DATOS!$I78,CONFIG_ASIGNATURAS!$B$2:$J$91,9,FALSE()),""))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IF(DATOS!$A79="",0,IF(CONFIG_METADATA!$B$4&lt;&gt;"OR+EX",--(DATOS!$G79=CONFIG_METADATA!$B$4),IF(DATOS!$G79="EX",1,IF(DATOS!$G79="OR",--(COUNTIFS(nNIA,DATOS!$A79,nCURSO,DATOS!$D79,nESPEC,DATOS!$E79,nASIG,DATOS!$I79,nEVAL,"EX")=0),0))))</f>
      </c>
      <c r="H79">
        <f>IF(DATOS!$G79&lt;&gt;"EX",0,--(COUNTIFS(nNIA,DATOS!$A79,nCURSO,DATOS!$D79,nESPEC,DATOS!$E79,nASIG,DATOS!$I79,nEVAL,"OR")=0))</f>
      </c>
      <c r="I79">
        <f>IF(DATOS!$I79="","",IFERROR(VLOOKUP(DATOS!$I79,CONFIG_ASIGNATURAS!$B$2:$J$91,9,FALSE()),""))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IF(DATOS!$A80="",0,IF(CONFIG_METADATA!$B$4&lt;&gt;"OR+EX",--(DATOS!$G80=CONFIG_METADATA!$B$4),IF(DATOS!$G80="EX",1,IF(DATOS!$G80="OR",--(COUNTIFS(nNIA,DATOS!$A80,nCURSO,DATOS!$D80,nESPEC,DATOS!$E80,nASIG,DATOS!$I80,nEVAL,"EX")=0),0))))</f>
      </c>
      <c r="H80">
        <f>IF(DATOS!$G80&lt;&gt;"EX",0,--(COUNTIFS(nNIA,DATOS!$A80,nCURSO,DATOS!$D80,nESPEC,DATOS!$E80,nASIG,DATOS!$I80,nEVAL,"OR")=0))</f>
      </c>
      <c r="I80">
        <f>IF(DATOS!$I80="","",IFERROR(VLOOKUP(DATOS!$I80,CONFIG_ASIGNATURAS!$B$2:$J$91,9,FALSE()),""))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IF(DATOS!$A81="",0,IF(CONFIG_METADATA!$B$4&lt;&gt;"OR+EX",--(DATOS!$G81=CONFIG_METADATA!$B$4),IF(DATOS!$G81="EX",1,IF(DATOS!$G81="OR",--(COUNTIFS(nNIA,DATOS!$A81,nCURSO,DATOS!$D81,nESPEC,DATOS!$E81,nASIG,DATOS!$I81,nEVAL,"EX")=0),0))))</f>
      </c>
      <c r="H81">
        <f>IF(DATOS!$G81&lt;&gt;"EX",0,--(COUNTIFS(nNIA,DATOS!$A81,nCURSO,DATOS!$D81,nESPEC,DATOS!$E81,nASIG,DATOS!$I81,nEVAL,"OR")=0))</f>
      </c>
      <c r="I81">
        <f>IF(DATOS!$I81="","",IFERROR(VLOOKUP(DATOS!$I81,CONFIG_ASIGNATURAS!$B$2:$J$91,9,FALSE()),""))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IF(DATOS!$A82="",0,IF(CONFIG_METADATA!$B$4&lt;&gt;"OR+EX",--(DATOS!$G82=CONFIG_METADATA!$B$4),IF(DATOS!$G82="EX",1,IF(DATOS!$G82="OR",--(COUNTIFS(nNIA,DATOS!$A82,nCURSO,DATOS!$D82,nESPEC,DATOS!$E82,nASIG,DATOS!$I82,nEVAL,"EX")=0),0))))</f>
      </c>
      <c r="H82">
        <f>IF(DATOS!$G82&lt;&gt;"EX",0,--(COUNTIFS(nNIA,DATOS!$A82,nCURSO,DATOS!$D82,nESPEC,DATOS!$E82,nASIG,DATOS!$I82,nEVAL,"OR")=0))</f>
      </c>
      <c r="I82">
        <f>IF(DATOS!$I82="","",IFERROR(VLOOKUP(DATOS!$I82,CONFIG_ASIGNATURAS!$B$2:$J$91,9,FALSE()),""))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IF(DATOS!$A83="",0,IF(CONFIG_METADATA!$B$4&lt;&gt;"OR+EX",--(DATOS!$G83=CONFIG_METADATA!$B$4),IF(DATOS!$G83="EX",1,IF(DATOS!$G83="OR",--(COUNTIFS(nNIA,DATOS!$A83,nCURSO,DATOS!$D83,nESPEC,DATOS!$E83,nASIG,DATOS!$I83,nEVAL,"EX")=0),0))))</f>
      </c>
      <c r="H83">
        <f>IF(DATOS!$G83&lt;&gt;"EX",0,--(COUNTIFS(nNIA,DATOS!$A83,nCURSO,DATOS!$D83,nESPEC,DATOS!$E83,nASIG,DATOS!$I83,nEVAL,"OR")=0))</f>
      </c>
      <c r="I83">
        <f>IF(DATOS!$I83="","",IFERROR(VLOOKUP(DATOS!$I83,CONFIG_ASIGNATURAS!$B$2:$J$91,9,FALSE()),""))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IF(DATOS!$A84="",0,IF(CONFIG_METADATA!$B$4&lt;&gt;"OR+EX",--(DATOS!$G84=CONFIG_METADATA!$B$4),IF(DATOS!$G84="EX",1,IF(DATOS!$G84="OR",--(COUNTIFS(nNIA,DATOS!$A84,nCURSO,DATOS!$D84,nESPEC,DATOS!$E84,nASIG,DATOS!$I84,nEVAL,"EX")=0),0))))</f>
      </c>
      <c r="H84">
        <f>IF(DATOS!$G84&lt;&gt;"EX",0,--(COUNTIFS(nNIA,DATOS!$A84,nCURSO,DATOS!$D84,nESPEC,DATOS!$E84,nASIG,DATOS!$I84,nEVAL,"OR")=0))</f>
      </c>
      <c r="I84">
        <f>IF(DATOS!$I84="","",IFERROR(VLOOKUP(DATOS!$I84,CONFIG_ASIGNATURAS!$B$2:$J$91,9,FALSE()),""))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IF(DATOS!$A85="",0,IF(CONFIG_METADATA!$B$4&lt;&gt;"OR+EX",--(DATOS!$G85=CONFIG_METADATA!$B$4),IF(DATOS!$G85="EX",1,IF(DATOS!$G85="OR",--(COUNTIFS(nNIA,DATOS!$A85,nCURSO,DATOS!$D85,nESPEC,DATOS!$E85,nASIG,DATOS!$I85,nEVAL,"EX")=0),0))))</f>
      </c>
      <c r="H85">
        <f>IF(DATOS!$G85&lt;&gt;"EX",0,--(COUNTIFS(nNIA,DATOS!$A85,nCURSO,DATOS!$D85,nESPEC,DATOS!$E85,nASIG,DATOS!$I85,nEVAL,"OR")=0))</f>
      </c>
      <c r="I85">
        <f>IF(DATOS!$I85="","",IFERROR(VLOOKUP(DATOS!$I85,CONFIG_ASIGNATURAS!$B$2:$J$91,9,FALSE()),""))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IF(DATOS!$A86="",0,IF(CONFIG_METADATA!$B$4&lt;&gt;"OR+EX",--(DATOS!$G86=CONFIG_METADATA!$B$4),IF(DATOS!$G86="EX",1,IF(DATOS!$G86="OR",--(COUNTIFS(nNIA,DATOS!$A86,nCURSO,DATOS!$D86,nESPEC,DATOS!$E86,nASIG,DATOS!$I86,nEVAL,"EX")=0),0))))</f>
      </c>
      <c r="H86">
        <f>IF(DATOS!$G86&lt;&gt;"EX",0,--(COUNTIFS(nNIA,DATOS!$A86,nCURSO,DATOS!$D86,nESPEC,DATOS!$E86,nASIG,DATOS!$I86,nEVAL,"OR")=0))</f>
      </c>
      <c r="I86">
        <f>IF(DATOS!$I86="","",IFERROR(VLOOKUP(DATOS!$I86,CONFIG_ASIGNATURAS!$B$2:$J$91,9,FALSE()),""))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IF(DATOS!$A87="",0,IF(CONFIG_METADATA!$B$4&lt;&gt;"OR+EX",--(DATOS!$G87=CONFIG_METADATA!$B$4),IF(DATOS!$G87="EX",1,IF(DATOS!$G87="OR",--(COUNTIFS(nNIA,DATOS!$A87,nCURSO,DATOS!$D87,nESPEC,DATOS!$E87,nASIG,DATOS!$I87,nEVAL,"EX")=0),0))))</f>
      </c>
      <c r="H87">
        <f>IF(DATOS!$G87&lt;&gt;"EX",0,--(COUNTIFS(nNIA,DATOS!$A87,nCURSO,DATOS!$D87,nESPEC,DATOS!$E87,nASIG,DATOS!$I87,nEVAL,"OR")=0))</f>
      </c>
      <c r="I87">
        <f>IF(DATOS!$I87="","",IFERROR(VLOOKUP(DATOS!$I87,CONFIG_ASIGNATURAS!$B$2:$J$91,9,FALSE()),""))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IF(DATOS!$A88="",0,IF(CONFIG_METADATA!$B$4&lt;&gt;"OR+EX",--(DATOS!$G88=CONFIG_METADATA!$B$4),IF(DATOS!$G88="EX",1,IF(DATOS!$G88="OR",--(COUNTIFS(nNIA,DATOS!$A88,nCURSO,DATOS!$D88,nESPEC,DATOS!$E88,nASIG,DATOS!$I88,nEVAL,"EX")=0),0))))</f>
      </c>
      <c r="H88">
        <f>IF(DATOS!$G88&lt;&gt;"EX",0,--(COUNTIFS(nNIA,DATOS!$A88,nCURSO,DATOS!$D88,nESPEC,DATOS!$E88,nASIG,DATOS!$I88,nEVAL,"OR")=0))</f>
      </c>
      <c r="I88">
        <f>IF(DATOS!$I88="","",IFERROR(VLOOKUP(DATOS!$I88,CONFIG_ASIGNATURAS!$B$2:$J$91,9,FALSE()),""))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IF(DATOS!$A89="",0,IF(CONFIG_METADATA!$B$4&lt;&gt;"OR+EX",--(DATOS!$G89=CONFIG_METADATA!$B$4),IF(DATOS!$G89="EX",1,IF(DATOS!$G89="OR",--(COUNTIFS(nNIA,DATOS!$A89,nCURSO,DATOS!$D89,nESPEC,DATOS!$E89,nASIG,DATOS!$I89,nEVAL,"EX")=0),0))))</f>
      </c>
      <c r="H89">
        <f>IF(DATOS!$G89&lt;&gt;"EX",0,--(COUNTIFS(nNIA,DATOS!$A89,nCURSO,DATOS!$D89,nESPEC,DATOS!$E89,nASIG,DATOS!$I89,nEVAL,"OR")=0))</f>
      </c>
      <c r="I89">
        <f>IF(DATOS!$I89="","",IFERROR(VLOOKUP(DATOS!$I89,CONFIG_ASIGNATURAS!$B$2:$J$91,9,FALSE()),""))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IF(DATOS!$A90="",0,IF(CONFIG_METADATA!$B$4&lt;&gt;"OR+EX",--(DATOS!$G90=CONFIG_METADATA!$B$4),IF(DATOS!$G90="EX",1,IF(DATOS!$G90="OR",--(COUNTIFS(nNIA,DATOS!$A90,nCURSO,DATOS!$D90,nESPEC,DATOS!$E90,nASIG,DATOS!$I90,nEVAL,"EX")=0),0))))</f>
      </c>
      <c r="H90">
        <f>IF(DATOS!$G90&lt;&gt;"EX",0,--(COUNTIFS(nNIA,DATOS!$A90,nCURSO,DATOS!$D90,nESPEC,DATOS!$E90,nASIG,DATOS!$I90,nEVAL,"OR")=0))</f>
      </c>
      <c r="I90">
        <f>IF(DATOS!$I90="","",IFERROR(VLOOKUP(DATOS!$I90,CONFIG_ASIGNATURAS!$B$2:$J$91,9,FALSE()),""))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IF(DATOS!$A91="",0,IF(CONFIG_METADATA!$B$4&lt;&gt;"OR+EX",--(DATOS!$G91=CONFIG_METADATA!$B$4),IF(DATOS!$G91="EX",1,IF(DATOS!$G91="OR",--(COUNTIFS(nNIA,DATOS!$A91,nCURSO,DATOS!$D91,nESPEC,DATOS!$E91,nASIG,DATOS!$I91,nEVAL,"EX")=0),0))))</f>
      </c>
      <c r="H91">
        <f>IF(DATOS!$G91&lt;&gt;"EX",0,--(COUNTIFS(nNIA,DATOS!$A91,nCURSO,DATOS!$D91,nESPEC,DATOS!$E91,nASIG,DATOS!$I91,nEVAL,"OR")=0))</f>
      </c>
      <c r="I91">
        <f>IF(DATOS!$I91="","",IFERROR(VLOOKUP(DATOS!$I91,CONFIG_ASIGNATURAS!$B$2:$J$91,9,FALSE()),""))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IF(DATOS!$A92="",0,IF(CONFIG_METADATA!$B$4&lt;&gt;"OR+EX",--(DATOS!$G92=CONFIG_METADATA!$B$4),IF(DATOS!$G92="EX",1,IF(DATOS!$G92="OR",--(COUNTIFS(nNIA,DATOS!$A92,nCURSO,DATOS!$D92,nESPEC,DATOS!$E92,nASIG,DATOS!$I92,nEVAL,"EX")=0),0))))</f>
      </c>
      <c r="H92">
        <f>IF(DATOS!$G92&lt;&gt;"EX",0,--(COUNTIFS(nNIA,DATOS!$A92,nCURSO,DATOS!$D92,nESPEC,DATOS!$E92,nASIG,DATOS!$I92,nEVAL,"OR")=0))</f>
      </c>
      <c r="I92">
        <f>IF(DATOS!$I92="","",IFERROR(VLOOKUP(DATOS!$I92,CONFIG_ASIGNATURAS!$B$2:$J$91,9,FALSE()),""))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IF(DATOS!$A93="",0,IF(CONFIG_METADATA!$B$4&lt;&gt;"OR+EX",--(DATOS!$G93=CONFIG_METADATA!$B$4),IF(DATOS!$G93="EX",1,IF(DATOS!$G93="OR",--(COUNTIFS(nNIA,DATOS!$A93,nCURSO,DATOS!$D93,nESPEC,DATOS!$E93,nASIG,DATOS!$I93,nEVAL,"EX")=0),0))))</f>
      </c>
      <c r="H93">
        <f>IF(DATOS!$G93&lt;&gt;"EX",0,--(COUNTIFS(nNIA,DATOS!$A93,nCURSO,DATOS!$D93,nESPEC,DATOS!$E93,nASIG,DATOS!$I93,nEVAL,"OR")=0))</f>
      </c>
      <c r="I93">
        <f>IF(DATOS!$I93="","",IFERROR(VLOOKUP(DATOS!$I93,CONFIG_ASIGNATURAS!$B$2:$J$91,9,FALSE()),""))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IF(DATOS!$A94="",0,IF(CONFIG_METADATA!$B$4&lt;&gt;"OR+EX",--(DATOS!$G94=CONFIG_METADATA!$B$4),IF(DATOS!$G94="EX",1,IF(DATOS!$G94="OR",--(COUNTIFS(nNIA,DATOS!$A94,nCURSO,DATOS!$D94,nESPEC,DATOS!$E94,nASIG,DATOS!$I94,nEVAL,"EX")=0),0))))</f>
      </c>
      <c r="H94">
        <f>IF(DATOS!$G94&lt;&gt;"EX",0,--(COUNTIFS(nNIA,DATOS!$A94,nCURSO,DATOS!$D94,nESPEC,DATOS!$E94,nASIG,DATOS!$I94,nEVAL,"OR")=0))</f>
      </c>
      <c r="I94">
        <f>IF(DATOS!$I94="","",IFERROR(VLOOKUP(DATOS!$I94,CONFIG_ASIGNATURAS!$B$2:$J$91,9,FALSE()),""))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IF(DATOS!$A95="",0,IF(CONFIG_METADATA!$B$4&lt;&gt;"OR+EX",--(DATOS!$G95=CONFIG_METADATA!$B$4),IF(DATOS!$G95="EX",1,IF(DATOS!$G95="OR",--(COUNTIFS(nNIA,DATOS!$A95,nCURSO,DATOS!$D95,nESPEC,DATOS!$E95,nASIG,DATOS!$I95,nEVAL,"EX")=0),0))))</f>
      </c>
      <c r="H95">
        <f>IF(DATOS!$G95&lt;&gt;"EX",0,--(COUNTIFS(nNIA,DATOS!$A95,nCURSO,DATOS!$D95,nESPEC,DATOS!$E95,nASIG,DATOS!$I95,nEVAL,"OR")=0))</f>
      </c>
      <c r="I95">
        <f>IF(DATOS!$I95="","",IFERROR(VLOOKUP(DATOS!$I95,CONFIG_ASIGNATURAS!$B$2:$J$91,9,FALSE()),""))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IF(DATOS!$A96="",0,IF(CONFIG_METADATA!$B$4&lt;&gt;"OR+EX",--(DATOS!$G96=CONFIG_METADATA!$B$4),IF(DATOS!$G96="EX",1,IF(DATOS!$G96="OR",--(COUNTIFS(nNIA,DATOS!$A96,nCURSO,DATOS!$D96,nESPEC,DATOS!$E96,nASIG,DATOS!$I96,nEVAL,"EX")=0),0))))</f>
      </c>
      <c r="H96">
        <f>IF(DATOS!$G96&lt;&gt;"EX",0,--(COUNTIFS(nNIA,DATOS!$A96,nCURSO,DATOS!$D96,nESPEC,DATOS!$E96,nASIG,DATOS!$I96,nEVAL,"OR")=0))</f>
      </c>
      <c r="I96">
        <f>IF(DATOS!$I96="","",IFERROR(VLOOKUP(DATOS!$I96,CONFIG_ASIGNATURAS!$B$2:$J$91,9,FALSE()),""))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IF(DATOS!$A97="",0,IF(CONFIG_METADATA!$B$4&lt;&gt;"OR+EX",--(DATOS!$G97=CONFIG_METADATA!$B$4),IF(DATOS!$G97="EX",1,IF(DATOS!$G97="OR",--(COUNTIFS(nNIA,DATOS!$A97,nCURSO,DATOS!$D97,nESPEC,DATOS!$E97,nASIG,DATOS!$I97,nEVAL,"EX")=0),0))))</f>
      </c>
      <c r="H97">
        <f>IF(DATOS!$G97&lt;&gt;"EX",0,--(COUNTIFS(nNIA,DATOS!$A97,nCURSO,DATOS!$D97,nESPEC,DATOS!$E97,nASIG,DATOS!$I97,nEVAL,"OR")=0))</f>
      </c>
      <c r="I97">
        <f>IF(DATOS!$I97="","",IFERROR(VLOOKUP(DATOS!$I97,CONFIG_ASIGNATURAS!$B$2:$J$91,9,FALSE()),""))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IF(DATOS!$A98="",0,IF(CONFIG_METADATA!$B$4&lt;&gt;"OR+EX",--(DATOS!$G98=CONFIG_METADATA!$B$4),IF(DATOS!$G98="EX",1,IF(DATOS!$G98="OR",--(COUNTIFS(nNIA,DATOS!$A98,nCURSO,DATOS!$D98,nESPEC,DATOS!$E98,nASIG,DATOS!$I98,nEVAL,"EX")=0),0))))</f>
      </c>
      <c r="H98">
        <f>IF(DATOS!$G98&lt;&gt;"EX",0,--(COUNTIFS(nNIA,DATOS!$A98,nCURSO,DATOS!$D98,nESPEC,DATOS!$E98,nASIG,DATOS!$I98,nEVAL,"OR")=0))</f>
      </c>
      <c r="I98">
        <f>IF(DATOS!$I98="","",IFERROR(VLOOKUP(DATOS!$I98,CONFIG_ASIGNATURAS!$B$2:$J$91,9,FALSE()),""))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IF(DATOS!$A99="",0,IF(CONFIG_METADATA!$B$4&lt;&gt;"OR+EX",--(DATOS!$G99=CONFIG_METADATA!$B$4),IF(DATOS!$G99="EX",1,IF(DATOS!$G99="OR",--(COUNTIFS(nNIA,DATOS!$A99,nCURSO,DATOS!$D99,nESPEC,DATOS!$E99,nASIG,DATOS!$I99,nEVAL,"EX")=0),0))))</f>
      </c>
      <c r="H99">
        <f>IF(DATOS!$G99&lt;&gt;"EX",0,--(COUNTIFS(nNIA,DATOS!$A99,nCURSO,DATOS!$D99,nESPEC,DATOS!$E99,nASIG,DATOS!$I99,nEVAL,"OR")=0))</f>
      </c>
      <c r="I99">
        <f>IF(DATOS!$I99="","",IFERROR(VLOOKUP(DATOS!$I99,CONFIG_ASIGNATURAS!$B$2:$J$91,9,FALSE()),""))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IF(DATOS!$A100="",0,IF(CONFIG_METADATA!$B$4&lt;&gt;"OR+EX",--(DATOS!$G100=CONFIG_METADATA!$B$4),IF(DATOS!$G100="EX",1,IF(DATOS!$G100="OR",--(COUNTIFS(nNIA,DATOS!$A100,nCURSO,DATOS!$D100,nESPEC,DATOS!$E100,nASIG,DATOS!$I100,nEVAL,"EX")=0),0))))</f>
      </c>
      <c r="H100">
        <f>IF(DATOS!$G100&lt;&gt;"EX",0,--(COUNTIFS(nNIA,DATOS!$A100,nCURSO,DATOS!$D100,nESPEC,DATOS!$E100,nASIG,DATOS!$I100,nEVAL,"OR")=0))</f>
      </c>
      <c r="I100">
        <f>IF(DATOS!$I100="","",IFERROR(VLOOKUP(DATOS!$I100,CONFIG_ASIGNATURAS!$B$2:$J$91,9,FALSE()),""))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IF(DATOS!$A101="",0,IF(CONFIG_METADATA!$B$4&lt;&gt;"OR+EX",--(DATOS!$G101=CONFIG_METADATA!$B$4),IF(DATOS!$G101="EX",1,IF(DATOS!$G101="OR",--(COUNTIFS(nNIA,DATOS!$A101,nCURSO,DATOS!$D101,nESPEC,DATOS!$E101,nASIG,DATOS!$I101,nEVAL,"EX")=0),0))))</f>
      </c>
      <c r="H101">
        <f>IF(DATOS!$G101&lt;&gt;"EX",0,--(COUNTIFS(nNIA,DATOS!$A101,nCURSO,DATOS!$D101,nESPEC,DATOS!$E101,nASIG,DATOS!$I101,nEVAL,"OR")=0))</f>
      </c>
      <c r="I101">
        <f>IF(DATOS!$I101="","",IFERROR(VLOOKUP(DATOS!$I101,CONFIG_ASIGNATURAS!$B$2:$J$91,9,FALSE()),""))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IF(DATOS!$A102="",0,IF(CONFIG_METADATA!$B$4&lt;&gt;"OR+EX",--(DATOS!$G102=CONFIG_METADATA!$B$4),IF(DATOS!$G102="EX",1,IF(DATOS!$G102="OR",--(COUNTIFS(nNIA,DATOS!$A102,nCURSO,DATOS!$D102,nESPEC,DATOS!$E102,nASIG,DATOS!$I102,nEVAL,"EX")=0),0))))</f>
      </c>
      <c r="H102">
        <f>IF(DATOS!$G102&lt;&gt;"EX",0,--(COUNTIFS(nNIA,DATOS!$A102,nCURSO,DATOS!$D102,nESPEC,DATOS!$E102,nASIG,DATOS!$I102,nEVAL,"OR")=0))</f>
      </c>
      <c r="I102">
        <f>IF(DATOS!$I102="","",IFERROR(VLOOKUP(DATOS!$I102,CONFIG_ASIGNATURAS!$B$2:$J$91,9,FALSE()),""))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IF(DATOS!$A103="",0,IF(CONFIG_METADATA!$B$4&lt;&gt;"OR+EX",--(DATOS!$G103=CONFIG_METADATA!$B$4),IF(DATOS!$G103="EX",1,IF(DATOS!$G103="OR",--(COUNTIFS(nNIA,DATOS!$A103,nCURSO,DATOS!$D103,nESPEC,DATOS!$E103,nASIG,DATOS!$I103,nEVAL,"EX")=0),0))))</f>
      </c>
      <c r="H103">
        <f>IF(DATOS!$G103&lt;&gt;"EX",0,--(COUNTIFS(nNIA,DATOS!$A103,nCURSO,DATOS!$D103,nESPEC,DATOS!$E103,nASIG,DATOS!$I103,nEVAL,"OR")=0))</f>
      </c>
      <c r="I103">
        <f>IF(DATOS!$I103="","",IFERROR(VLOOKUP(DATOS!$I103,CONFIG_ASIGNATURAS!$B$2:$J$91,9,FALSE()),""))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IF(DATOS!$A104="",0,IF(CONFIG_METADATA!$B$4&lt;&gt;"OR+EX",--(DATOS!$G104=CONFIG_METADATA!$B$4),IF(DATOS!$G104="EX",1,IF(DATOS!$G104="OR",--(COUNTIFS(nNIA,DATOS!$A104,nCURSO,DATOS!$D104,nESPEC,DATOS!$E104,nASIG,DATOS!$I104,nEVAL,"EX")=0),0))))</f>
      </c>
      <c r="H104">
        <f>IF(DATOS!$G104&lt;&gt;"EX",0,--(COUNTIFS(nNIA,DATOS!$A104,nCURSO,DATOS!$D104,nESPEC,DATOS!$E104,nASIG,DATOS!$I104,nEVAL,"OR")=0))</f>
      </c>
      <c r="I104">
        <f>IF(DATOS!$I104="","",IFERROR(VLOOKUP(DATOS!$I104,CONFIG_ASIGNATURAS!$B$2:$J$91,9,FALSE()),""))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IF(DATOS!$A105="",0,IF(CONFIG_METADATA!$B$4&lt;&gt;"OR+EX",--(DATOS!$G105=CONFIG_METADATA!$B$4),IF(DATOS!$G105="EX",1,IF(DATOS!$G105="OR",--(COUNTIFS(nNIA,DATOS!$A105,nCURSO,DATOS!$D105,nESPEC,DATOS!$E105,nASIG,DATOS!$I105,nEVAL,"EX")=0),0))))</f>
      </c>
      <c r="H105">
        <f>IF(DATOS!$G105&lt;&gt;"EX",0,--(COUNTIFS(nNIA,DATOS!$A105,nCURSO,DATOS!$D105,nESPEC,DATOS!$E105,nASIG,DATOS!$I105,nEVAL,"OR")=0))</f>
      </c>
      <c r="I105">
        <f>IF(DATOS!$I105="","",IFERROR(VLOOKUP(DATOS!$I105,CONFIG_ASIGNATURAS!$B$2:$J$91,9,FALSE()),""))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IF(DATOS!$A106="",0,IF(CONFIG_METADATA!$B$4&lt;&gt;"OR+EX",--(DATOS!$G106=CONFIG_METADATA!$B$4),IF(DATOS!$G106="EX",1,IF(DATOS!$G106="OR",--(COUNTIFS(nNIA,DATOS!$A106,nCURSO,DATOS!$D106,nESPEC,DATOS!$E106,nASIG,DATOS!$I106,nEVAL,"EX")=0),0))))</f>
      </c>
      <c r="H106">
        <f>IF(DATOS!$G106&lt;&gt;"EX",0,--(COUNTIFS(nNIA,DATOS!$A106,nCURSO,DATOS!$D106,nESPEC,DATOS!$E106,nASIG,DATOS!$I106,nEVAL,"OR")=0))</f>
      </c>
      <c r="I106">
        <f>IF(DATOS!$I106="","",IFERROR(VLOOKUP(DATOS!$I106,CONFIG_ASIGNATURAS!$B$2:$J$91,9,FALSE()),""))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IF(DATOS!$A107="",0,IF(CONFIG_METADATA!$B$4&lt;&gt;"OR+EX",--(DATOS!$G107=CONFIG_METADATA!$B$4),IF(DATOS!$G107="EX",1,IF(DATOS!$G107="OR",--(COUNTIFS(nNIA,DATOS!$A107,nCURSO,DATOS!$D107,nESPEC,DATOS!$E107,nASIG,DATOS!$I107,nEVAL,"EX")=0),0))))</f>
      </c>
      <c r="H107">
        <f>IF(DATOS!$G107&lt;&gt;"EX",0,--(COUNTIFS(nNIA,DATOS!$A107,nCURSO,DATOS!$D107,nESPEC,DATOS!$E107,nASIG,DATOS!$I107,nEVAL,"OR")=0))</f>
      </c>
      <c r="I107">
        <f>IF(DATOS!$I107="","",IFERROR(VLOOKUP(DATOS!$I107,CONFIG_ASIGNATURAS!$B$2:$J$91,9,FALSE()),""))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IF(DATOS!$A108="",0,IF(CONFIG_METADATA!$B$4&lt;&gt;"OR+EX",--(DATOS!$G108=CONFIG_METADATA!$B$4),IF(DATOS!$G108="EX",1,IF(DATOS!$G108="OR",--(COUNTIFS(nNIA,DATOS!$A108,nCURSO,DATOS!$D108,nESPEC,DATOS!$E108,nASIG,DATOS!$I108,nEVAL,"EX")=0),0))))</f>
      </c>
      <c r="H108">
        <f>IF(DATOS!$G108&lt;&gt;"EX",0,--(COUNTIFS(nNIA,DATOS!$A108,nCURSO,DATOS!$D108,nESPEC,DATOS!$E108,nASIG,DATOS!$I108,nEVAL,"OR")=0))</f>
      </c>
      <c r="I108">
        <f>IF(DATOS!$I108="","",IFERROR(VLOOKUP(DATOS!$I108,CONFIG_ASIGNATURAS!$B$2:$J$91,9,FALSE()),""))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IF(DATOS!$A109="",0,IF(CONFIG_METADATA!$B$4&lt;&gt;"OR+EX",--(DATOS!$G109=CONFIG_METADATA!$B$4),IF(DATOS!$G109="EX",1,IF(DATOS!$G109="OR",--(COUNTIFS(nNIA,DATOS!$A109,nCURSO,DATOS!$D109,nESPEC,DATOS!$E109,nASIG,DATOS!$I109,nEVAL,"EX")=0),0))))</f>
      </c>
      <c r="H109">
        <f>IF(DATOS!$G109&lt;&gt;"EX",0,--(COUNTIFS(nNIA,DATOS!$A109,nCURSO,DATOS!$D109,nESPEC,DATOS!$E109,nASIG,DATOS!$I109,nEVAL,"OR")=0))</f>
      </c>
      <c r="I109">
        <f>IF(DATOS!$I109="","",IFERROR(VLOOKUP(DATOS!$I109,CONFIG_ASIGNATURAS!$B$2:$J$91,9,FALSE()),""))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IF(DATOS!$A110="",0,IF(CONFIG_METADATA!$B$4&lt;&gt;"OR+EX",--(DATOS!$G110=CONFIG_METADATA!$B$4),IF(DATOS!$G110="EX",1,IF(DATOS!$G110="OR",--(COUNTIFS(nNIA,DATOS!$A110,nCURSO,DATOS!$D110,nESPEC,DATOS!$E110,nASIG,DATOS!$I110,nEVAL,"EX")=0),0))))</f>
      </c>
      <c r="H110">
        <f>IF(DATOS!$G110&lt;&gt;"EX",0,--(COUNTIFS(nNIA,DATOS!$A110,nCURSO,DATOS!$D110,nESPEC,DATOS!$E110,nASIG,DATOS!$I110,nEVAL,"OR")=0))</f>
      </c>
      <c r="I110">
        <f>IF(DATOS!$I110="","",IFERROR(VLOOKUP(DATOS!$I110,CONFIG_ASIGNATURAS!$B$2:$J$91,9,FALSE()),""))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IF(DATOS!$A111="",0,IF(CONFIG_METADATA!$B$4&lt;&gt;"OR+EX",--(DATOS!$G111=CONFIG_METADATA!$B$4),IF(DATOS!$G111="EX",1,IF(DATOS!$G111="OR",--(COUNTIFS(nNIA,DATOS!$A111,nCURSO,DATOS!$D111,nESPEC,DATOS!$E111,nASIG,DATOS!$I111,nEVAL,"EX")=0),0))))</f>
      </c>
      <c r="H111">
        <f>IF(DATOS!$G111&lt;&gt;"EX",0,--(COUNTIFS(nNIA,DATOS!$A111,nCURSO,DATOS!$D111,nESPEC,DATOS!$E111,nASIG,DATOS!$I111,nEVAL,"OR")=0))</f>
      </c>
      <c r="I111">
        <f>IF(DATOS!$I111="","",IFERROR(VLOOKUP(DATOS!$I111,CONFIG_ASIGNATURAS!$B$2:$J$91,9,FALSE()),""))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IF(DATOS!$A112="",0,IF(CONFIG_METADATA!$B$4&lt;&gt;"OR+EX",--(DATOS!$G112=CONFIG_METADATA!$B$4),IF(DATOS!$G112="EX",1,IF(DATOS!$G112="OR",--(COUNTIFS(nNIA,DATOS!$A112,nCURSO,DATOS!$D112,nESPEC,DATOS!$E112,nASIG,DATOS!$I112,nEVAL,"EX")=0),0))))</f>
      </c>
      <c r="H112">
        <f>IF(DATOS!$G112&lt;&gt;"EX",0,--(COUNTIFS(nNIA,DATOS!$A112,nCURSO,DATOS!$D112,nESPEC,DATOS!$E112,nASIG,DATOS!$I112,nEVAL,"OR")=0))</f>
      </c>
      <c r="I112">
        <f>IF(DATOS!$I112="","",IFERROR(VLOOKUP(DATOS!$I112,CONFIG_ASIGNATURAS!$B$2:$J$91,9,FALSE()),""))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IF(DATOS!$A113="",0,IF(CONFIG_METADATA!$B$4&lt;&gt;"OR+EX",--(DATOS!$G113=CONFIG_METADATA!$B$4),IF(DATOS!$G113="EX",1,IF(DATOS!$G113="OR",--(COUNTIFS(nNIA,DATOS!$A113,nCURSO,DATOS!$D113,nESPEC,DATOS!$E113,nASIG,DATOS!$I113,nEVAL,"EX")=0),0))))</f>
      </c>
      <c r="H113">
        <f>IF(DATOS!$G113&lt;&gt;"EX",0,--(COUNTIFS(nNIA,DATOS!$A113,nCURSO,DATOS!$D113,nESPEC,DATOS!$E113,nASIG,DATOS!$I113,nEVAL,"OR")=0))</f>
      </c>
      <c r="I113">
        <f>IF(DATOS!$I113="","",IFERROR(VLOOKUP(DATOS!$I113,CONFIG_ASIGNATURAS!$B$2:$J$91,9,FALSE()),""))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IF(DATOS!$A114="",0,IF(CONFIG_METADATA!$B$4&lt;&gt;"OR+EX",--(DATOS!$G114=CONFIG_METADATA!$B$4),IF(DATOS!$G114="EX",1,IF(DATOS!$G114="OR",--(COUNTIFS(nNIA,DATOS!$A114,nCURSO,DATOS!$D114,nESPEC,DATOS!$E114,nASIG,DATOS!$I114,nEVAL,"EX")=0),0))))</f>
      </c>
      <c r="H114">
        <f>IF(DATOS!$G114&lt;&gt;"EX",0,--(COUNTIFS(nNIA,DATOS!$A114,nCURSO,DATOS!$D114,nESPEC,DATOS!$E114,nASIG,DATOS!$I114,nEVAL,"OR")=0))</f>
      </c>
      <c r="I114">
        <f>IF(DATOS!$I114="","",IFERROR(VLOOKUP(DATOS!$I114,CONFIG_ASIGNATURAS!$B$2:$J$91,9,FALSE()),""))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IF(DATOS!$A115="",0,IF(CONFIG_METADATA!$B$4&lt;&gt;"OR+EX",--(DATOS!$G115=CONFIG_METADATA!$B$4),IF(DATOS!$G115="EX",1,IF(DATOS!$G115="OR",--(COUNTIFS(nNIA,DATOS!$A115,nCURSO,DATOS!$D115,nESPEC,DATOS!$E115,nASIG,DATOS!$I115,nEVAL,"EX")=0),0))))</f>
      </c>
      <c r="H115">
        <f>IF(DATOS!$G115&lt;&gt;"EX",0,--(COUNTIFS(nNIA,DATOS!$A115,nCURSO,DATOS!$D115,nESPEC,DATOS!$E115,nASIG,DATOS!$I115,nEVAL,"OR")=0))</f>
      </c>
      <c r="I115">
        <f>IF(DATOS!$I115="","",IFERROR(VLOOKUP(DATOS!$I115,CONFIG_ASIGNATURAS!$B$2:$J$91,9,FALSE()),""))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IF(DATOS!$A116="",0,IF(CONFIG_METADATA!$B$4&lt;&gt;"OR+EX",--(DATOS!$G116=CONFIG_METADATA!$B$4),IF(DATOS!$G116="EX",1,IF(DATOS!$G116="OR",--(COUNTIFS(nNIA,DATOS!$A116,nCURSO,DATOS!$D116,nESPEC,DATOS!$E116,nASIG,DATOS!$I116,nEVAL,"EX")=0),0))))</f>
      </c>
      <c r="H116">
        <f>IF(DATOS!$G116&lt;&gt;"EX",0,--(COUNTIFS(nNIA,DATOS!$A116,nCURSO,DATOS!$D116,nESPEC,DATOS!$E116,nASIG,DATOS!$I116,nEVAL,"OR")=0))</f>
      </c>
      <c r="I116">
        <f>IF(DATOS!$I116="","",IFERROR(VLOOKUP(DATOS!$I116,CONFIG_ASIGNATURAS!$B$2:$J$91,9,FALSE()),""))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IF(DATOS!$A117="",0,IF(CONFIG_METADATA!$B$4&lt;&gt;"OR+EX",--(DATOS!$G117=CONFIG_METADATA!$B$4),IF(DATOS!$G117="EX",1,IF(DATOS!$G117="OR",--(COUNTIFS(nNIA,DATOS!$A117,nCURSO,DATOS!$D117,nESPEC,DATOS!$E117,nASIG,DATOS!$I117,nEVAL,"EX")=0),0))))</f>
      </c>
      <c r="H117">
        <f>IF(DATOS!$G117&lt;&gt;"EX",0,--(COUNTIFS(nNIA,DATOS!$A117,nCURSO,DATOS!$D117,nESPEC,DATOS!$E117,nASIG,DATOS!$I117,nEVAL,"OR")=0))</f>
      </c>
      <c r="I117">
        <f>IF(DATOS!$I117="","",IFERROR(VLOOKUP(DATOS!$I117,CONFIG_ASIGNATURAS!$B$2:$J$91,9,FALSE()),""))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IF(DATOS!$A118="",0,IF(CONFIG_METADATA!$B$4&lt;&gt;"OR+EX",--(DATOS!$G118=CONFIG_METADATA!$B$4),IF(DATOS!$G118="EX",1,IF(DATOS!$G118="OR",--(COUNTIFS(nNIA,DATOS!$A118,nCURSO,DATOS!$D118,nESPEC,DATOS!$E118,nASIG,DATOS!$I118,nEVAL,"EX")=0),0))))</f>
      </c>
      <c r="H118">
        <f>IF(DATOS!$G118&lt;&gt;"EX",0,--(COUNTIFS(nNIA,DATOS!$A118,nCURSO,DATOS!$D118,nESPEC,DATOS!$E118,nASIG,DATOS!$I118,nEVAL,"OR")=0))</f>
      </c>
      <c r="I118">
        <f>IF(DATOS!$I118="","",IFERROR(VLOOKUP(DATOS!$I118,CONFIG_ASIGNATURAS!$B$2:$J$91,9,FALSE()),""))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IF(DATOS!$A119="",0,IF(CONFIG_METADATA!$B$4&lt;&gt;"OR+EX",--(DATOS!$G119=CONFIG_METADATA!$B$4),IF(DATOS!$G119="EX",1,IF(DATOS!$G119="OR",--(COUNTIFS(nNIA,DATOS!$A119,nCURSO,DATOS!$D119,nESPEC,DATOS!$E119,nASIG,DATOS!$I119,nEVAL,"EX")=0),0))))</f>
      </c>
      <c r="H119">
        <f>IF(DATOS!$G119&lt;&gt;"EX",0,--(COUNTIFS(nNIA,DATOS!$A119,nCURSO,DATOS!$D119,nESPEC,DATOS!$E119,nASIG,DATOS!$I119,nEVAL,"OR")=0))</f>
      </c>
      <c r="I119">
        <f>IF(DATOS!$I119="","",IFERROR(VLOOKUP(DATOS!$I119,CONFIG_ASIGNATURAS!$B$2:$J$91,9,FALSE()),""))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IF(DATOS!$A120="",0,IF(CONFIG_METADATA!$B$4&lt;&gt;"OR+EX",--(DATOS!$G120=CONFIG_METADATA!$B$4),IF(DATOS!$G120="EX",1,IF(DATOS!$G120="OR",--(COUNTIFS(nNIA,DATOS!$A120,nCURSO,DATOS!$D120,nESPEC,DATOS!$E120,nASIG,DATOS!$I120,nEVAL,"EX")=0),0))))</f>
      </c>
      <c r="H120">
        <f>IF(DATOS!$G120&lt;&gt;"EX",0,--(COUNTIFS(nNIA,DATOS!$A120,nCURSO,DATOS!$D120,nESPEC,DATOS!$E120,nASIG,DATOS!$I120,nEVAL,"OR")=0))</f>
      </c>
      <c r="I120">
        <f>IF(DATOS!$I120="","",IFERROR(VLOOKUP(DATOS!$I120,CONFIG_ASIGNATURAS!$B$2:$J$91,9,FALSE()),""))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IF(DATOS!$A121="",0,IF(CONFIG_METADATA!$B$4&lt;&gt;"OR+EX",--(DATOS!$G121=CONFIG_METADATA!$B$4),IF(DATOS!$G121="EX",1,IF(DATOS!$G121="OR",--(COUNTIFS(nNIA,DATOS!$A121,nCURSO,DATOS!$D121,nESPEC,DATOS!$E121,nASIG,DATOS!$I121,nEVAL,"EX")=0),0))))</f>
      </c>
      <c r="H121">
        <f>IF(DATOS!$G121&lt;&gt;"EX",0,--(COUNTIFS(nNIA,DATOS!$A121,nCURSO,DATOS!$D121,nESPEC,DATOS!$E121,nASIG,DATOS!$I121,nEVAL,"OR")=0))</f>
      </c>
      <c r="I121">
        <f>IF(DATOS!$I121="","",IFERROR(VLOOKUP(DATOS!$I121,CONFIG_ASIGNATURAS!$B$2:$J$91,9,FALSE()),""))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IF(DATOS!$A122="",0,IF(CONFIG_METADATA!$B$4&lt;&gt;"OR+EX",--(DATOS!$G122=CONFIG_METADATA!$B$4),IF(DATOS!$G122="EX",1,IF(DATOS!$G122="OR",--(COUNTIFS(nNIA,DATOS!$A122,nCURSO,DATOS!$D122,nESPEC,DATOS!$E122,nASIG,DATOS!$I122,nEVAL,"EX")=0),0))))</f>
      </c>
      <c r="H122">
        <f>IF(DATOS!$G122&lt;&gt;"EX",0,--(COUNTIFS(nNIA,DATOS!$A122,nCURSO,DATOS!$D122,nESPEC,DATOS!$E122,nASIG,DATOS!$I122,nEVAL,"OR")=0))</f>
      </c>
      <c r="I122">
        <f>IF(DATOS!$I122="","",IFERROR(VLOOKUP(DATOS!$I122,CONFIG_ASIGNATURAS!$B$2:$J$91,9,FALSE()),""))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IF(DATOS!$A123="",0,IF(CONFIG_METADATA!$B$4&lt;&gt;"OR+EX",--(DATOS!$G123=CONFIG_METADATA!$B$4),IF(DATOS!$G123="EX",1,IF(DATOS!$G123="OR",--(COUNTIFS(nNIA,DATOS!$A123,nCURSO,DATOS!$D123,nESPEC,DATOS!$E123,nASIG,DATOS!$I123,nEVAL,"EX")=0),0))))</f>
      </c>
      <c r="H123">
        <f>IF(DATOS!$G123&lt;&gt;"EX",0,--(COUNTIFS(nNIA,DATOS!$A123,nCURSO,DATOS!$D123,nESPEC,DATOS!$E123,nASIG,DATOS!$I123,nEVAL,"OR")=0))</f>
      </c>
      <c r="I123">
        <f>IF(DATOS!$I123="","",IFERROR(VLOOKUP(DATOS!$I123,CONFIG_ASIGNATURAS!$B$2:$J$91,9,FALSE()),""))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IF(DATOS!$A124="",0,IF(CONFIG_METADATA!$B$4&lt;&gt;"OR+EX",--(DATOS!$G124=CONFIG_METADATA!$B$4),IF(DATOS!$G124="EX",1,IF(DATOS!$G124="OR",--(COUNTIFS(nNIA,DATOS!$A124,nCURSO,DATOS!$D124,nESPEC,DATOS!$E124,nASIG,DATOS!$I124,nEVAL,"EX")=0),0))))</f>
      </c>
      <c r="H124">
        <f>IF(DATOS!$G124&lt;&gt;"EX",0,--(COUNTIFS(nNIA,DATOS!$A124,nCURSO,DATOS!$D124,nESPEC,DATOS!$E124,nASIG,DATOS!$I124,nEVAL,"OR")=0))</f>
      </c>
      <c r="I124">
        <f>IF(DATOS!$I124="","",IFERROR(VLOOKUP(DATOS!$I124,CONFIG_ASIGNATURAS!$B$2:$J$91,9,FALSE()),""))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IF(DATOS!$A125="",0,IF(CONFIG_METADATA!$B$4&lt;&gt;"OR+EX",--(DATOS!$G125=CONFIG_METADATA!$B$4),IF(DATOS!$G125="EX",1,IF(DATOS!$G125="OR",--(COUNTIFS(nNIA,DATOS!$A125,nCURSO,DATOS!$D125,nESPEC,DATOS!$E125,nASIG,DATOS!$I125,nEVAL,"EX")=0),0))))</f>
      </c>
      <c r="H125">
        <f>IF(DATOS!$G125&lt;&gt;"EX",0,--(COUNTIFS(nNIA,DATOS!$A125,nCURSO,DATOS!$D125,nESPEC,DATOS!$E125,nASIG,DATOS!$I125,nEVAL,"OR")=0))</f>
      </c>
      <c r="I125">
        <f>IF(DATOS!$I125="","",IFERROR(VLOOKUP(DATOS!$I125,CONFIG_ASIGNATURAS!$B$2:$J$91,9,FALSE()),""))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IF(DATOS!$A126="",0,IF(CONFIG_METADATA!$B$4&lt;&gt;"OR+EX",--(DATOS!$G126=CONFIG_METADATA!$B$4),IF(DATOS!$G126="EX",1,IF(DATOS!$G126="OR",--(COUNTIFS(nNIA,DATOS!$A126,nCURSO,DATOS!$D126,nESPEC,DATOS!$E126,nASIG,DATOS!$I126,nEVAL,"EX")=0),0))))</f>
      </c>
      <c r="H126">
        <f>IF(DATOS!$G126&lt;&gt;"EX",0,--(COUNTIFS(nNIA,DATOS!$A126,nCURSO,DATOS!$D126,nESPEC,DATOS!$E126,nASIG,DATOS!$I126,nEVAL,"OR")=0))</f>
      </c>
      <c r="I126">
        <f>IF(DATOS!$I126="","",IFERROR(VLOOKUP(DATOS!$I126,CONFIG_ASIGNATURAS!$B$2:$J$91,9,FALSE()),""))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IF(DATOS!$A127="",0,IF(CONFIG_METADATA!$B$4&lt;&gt;"OR+EX",--(DATOS!$G127=CONFIG_METADATA!$B$4),IF(DATOS!$G127="EX",1,IF(DATOS!$G127="OR",--(COUNTIFS(nNIA,DATOS!$A127,nCURSO,DATOS!$D127,nESPEC,DATOS!$E127,nASIG,DATOS!$I127,nEVAL,"EX")=0),0))))</f>
      </c>
      <c r="H127">
        <f>IF(DATOS!$G127&lt;&gt;"EX",0,--(COUNTIFS(nNIA,DATOS!$A127,nCURSO,DATOS!$D127,nESPEC,DATOS!$E127,nASIG,DATOS!$I127,nEVAL,"OR")=0))</f>
      </c>
      <c r="I127">
        <f>IF(DATOS!$I127="","",IFERROR(VLOOKUP(DATOS!$I127,CONFIG_ASIGNATURAS!$B$2:$J$91,9,FALSE()),""))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IF(DATOS!$A128="",0,IF(CONFIG_METADATA!$B$4&lt;&gt;"OR+EX",--(DATOS!$G128=CONFIG_METADATA!$B$4),IF(DATOS!$G128="EX",1,IF(DATOS!$G128="OR",--(COUNTIFS(nNIA,DATOS!$A128,nCURSO,DATOS!$D128,nESPEC,DATOS!$E128,nASIG,DATOS!$I128,nEVAL,"EX")=0),0))))</f>
      </c>
      <c r="H128">
        <f>IF(DATOS!$G128&lt;&gt;"EX",0,--(COUNTIFS(nNIA,DATOS!$A128,nCURSO,DATOS!$D128,nESPEC,DATOS!$E128,nASIG,DATOS!$I128,nEVAL,"OR")=0))</f>
      </c>
      <c r="I128">
        <f>IF(DATOS!$I128="","",IFERROR(VLOOKUP(DATOS!$I128,CONFIG_ASIGNATURAS!$B$2:$J$91,9,FALSE()),""))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IF(DATOS!$A129="",0,IF(CONFIG_METADATA!$B$4&lt;&gt;"OR+EX",--(DATOS!$G129=CONFIG_METADATA!$B$4),IF(DATOS!$G129="EX",1,IF(DATOS!$G129="OR",--(COUNTIFS(nNIA,DATOS!$A129,nCURSO,DATOS!$D129,nESPEC,DATOS!$E129,nASIG,DATOS!$I129,nEVAL,"EX")=0),0))))</f>
      </c>
      <c r="H129">
        <f>IF(DATOS!$G129&lt;&gt;"EX",0,--(COUNTIFS(nNIA,DATOS!$A129,nCURSO,DATOS!$D129,nESPEC,DATOS!$E129,nASIG,DATOS!$I129,nEVAL,"OR")=0))</f>
      </c>
      <c r="I129">
        <f>IF(DATOS!$I129="","",IFERROR(VLOOKUP(DATOS!$I129,CONFIG_ASIGNATURAS!$B$2:$J$91,9,FALSE()),""))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IF(DATOS!$A130="",0,IF(CONFIG_METADATA!$B$4&lt;&gt;"OR+EX",--(DATOS!$G130=CONFIG_METADATA!$B$4),IF(DATOS!$G130="EX",1,IF(DATOS!$G130="OR",--(COUNTIFS(nNIA,DATOS!$A130,nCURSO,DATOS!$D130,nESPEC,DATOS!$E130,nASIG,DATOS!$I130,nEVAL,"EX")=0),0))))</f>
      </c>
      <c r="H130">
        <f>IF(DATOS!$G130&lt;&gt;"EX",0,--(COUNTIFS(nNIA,DATOS!$A130,nCURSO,DATOS!$D130,nESPEC,DATOS!$E130,nASIG,DATOS!$I130,nEVAL,"OR")=0))</f>
      </c>
      <c r="I130">
        <f>IF(DATOS!$I130="","",IFERROR(VLOOKUP(DATOS!$I130,CONFIG_ASIGNATURAS!$B$2:$J$91,9,FALSE()),""))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IF(DATOS!$A131="",0,IF(CONFIG_METADATA!$B$4&lt;&gt;"OR+EX",--(DATOS!$G131=CONFIG_METADATA!$B$4),IF(DATOS!$G131="EX",1,IF(DATOS!$G131="OR",--(COUNTIFS(nNIA,DATOS!$A131,nCURSO,DATOS!$D131,nESPEC,DATOS!$E131,nASIG,DATOS!$I131,nEVAL,"EX")=0),0))))</f>
      </c>
      <c r="H131">
        <f>IF(DATOS!$G131&lt;&gt;"EX",0,--(COUNTIFS(nNIA,DATOS!$A131,nCURSO,DATOS!$D131,nESPEC,DATOS!$E131,nASIG,DATOS!$I131,nEVAL,"OR")=0))</f>
      </c>
      <c r="I131">
        <f>IF(DATOS!$I131="","",IFERROR(VLOOKUP(DATOS!$I131,CONFIG_ASIGNATURAS!$B$2:$J$91,9,FALSE()),""))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IF(DATOS!$A132="",0,IF(CONFIG_METADATA!$B$4&lt;&gt;"OR+EX",--(DATOS!$G132=CONFIG_METADATA!$B$4),IF(DATOS!$G132="EX",1,IF(DATOS!$G132="OR",--(COUNTIFS(nNIA,DATOS!$A132,nCURSO,DATOS!$D132,nESPEC,DATOS!$E132,nASIG,DATOS!$I132,nEVAL,"EX")=0),0))))</f>
      </c>
      <c r="H132">
        <f>IF(DATOS!$G132&lt;&gt;"EX",0,--(COUNTIFS(nNIA,DATOS!$A132,nCURSO,DATOS!$D132,nESPEC,DATOS!$E132,nASIG,DATOS!$I132,nEVAL,"OR")=0))</f>
      </c>
      <c r="I132">
        <f>IF(DATOS!$I132="","",IFERROR(VLOOKUP(DATOS!$I132,CONFIG_ASIGNATURAS!$B$2:$J$91,9,FALSE()),""))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IF(DATOS!$A133="",0,IF(CONFIG_METADATA!$B$4&lt;&gt;"OR+EX",--(DATOS!$G133=CONFIG_METADATA!$B$4),IF(DATOS!$G133="EX",1,IF(DATOS!$G133="OR",--(COUNTIFS(nNIA,DATOS!$A133,nCURSO,DATOS!$D133,nESPEC,DATOS!$E133,nASIG,DATOS!$I133,nEVAL,"EX")=0),0))))</f>
      </c>
      <c r="H133">
        <f>IF(DATOS!$G133&lt;&gt;"EX",0,--(COUNTIFS(nNIA,DATOS!$A133,nCURSO,DATOS!$D133,nESPEC,DATOS!$E133,nASIG,DATOS!$I133,nEVAL,"OR")=0))</f>
      </c>
      <c r="I133">
        <f>IF(DATOS!$I133="","",IFERROR(VLOOKUP(DATOS!$I133,CONFIG_ASIGNATURAS!$B$2:$J$91,9,FALSE()),""))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IF(DATOS!$A134="",0,IF(CONFIG_METADATA!$B$4&lt;&gt;"OR+EX",--(DATOS!$G134=CONFIG_METADATA!$B$4),IF(DATOS!$G134="EX",1,IF(DATOS!$G134="OR",--(COUNTIFS(nNIA,DATOS!$A134,nCURSO,DATOS!$D134,nESPEC,DATOS!$E134,nASIG,DATOS!$I134,nEVAL,"EX")=0),0))))</f>
      </c>
      <c r="H134">
        <f>IF(DATOS!$G134&lt;&gt;"EX",0,--(COUNTIFS(nNIA,DATOS!$A134,nCURSO,DATOS!$D134,nESPEC,DATOS!$E134,nASIG,DATOS!$I134,nEVAL,"OR")=0))</f>
      </c>
      <c r="I134">
        <f>IF(DATOS!$I134="","",IFERROR(VLOOKUP(DATOS!$I134,CONFIG_ASIGNATURAS!$B$2:$J$91,9,FALSE()),""))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IF(DATOS!$A135="",0,IF(CONFIG_METADATA!$B$4&lt;&gt;"OR+EX",--(DATOS!$G135=CONFIG_METADATA!$B$4),IF(DATOS!$G135="EX",1,IF(DATOS!$G135="OR",--(COUNTIFS(nNIA,DATOS!$A135,nCURSO,DATOS!$D135,nESPEC,DATOS!$E135,nASIG,DATOS!$I135,nEVAL,"EX")=0),0))))</f>
      </c>
      <c r="H135">
        <f>IF(DATOS!$G135&lt;&gt;"EX",0,--(COUNTIFS(nNIA,DATOS!$A135,nCURSO,DATOS!$D135,nESPEC,DATOS!$E135,nASIG,DATOS!$I135,nEVAL,"OR")=0))</f>
      </c>
      <c r="I135">
        <f>IF(DATOS!$I135="","",IFERROR(VLOOKUP(DATOS!$I135,CONFIG_ASIGNATURAS!$B$2:$J$91,9,FALSE()),""))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IF(DATOS!$A136="",0,IF(CONFIG_METADATA!$B$4&lt;&gt;"OR+EX",--(DATOS!$G136=CONFIG_METADATA!$B$4),IF(DATOS!$G136="EX",1,IF(DATOS!$G136="OR",--(COUNTIFS(nNIA,DATOS!$A136,nCURSO,DATOS!$D136,nESPEC,DATOS!$E136,nASIG,DATOS!$I136,nEVAL,"EX")=0),0))))</f>
      </c>
      <c r="H136">
        <f>IF(DATOS!$G136&lt;&gt;"EX",0,--(COUNTIFS(nNIA,DATOS!$A136,nCURSO,DATOS!$D136,nESPEC,DATOS!$E136,nASIG,DATOS!$I136,nEVAL,"OR")=0))</f>
      </c>
      <c r="I136">
        <f>IF(DATOS!$I136="","",IFERROR(VLOOKUP(DATOS!$I136,CONFIG_ASIGNATURAS!$B$2:$J$91,9,FALSE()),""))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IF(DATOS!$A137="",0,IF(CONFIG_METADATA!$B$4&lt;&gt;"OR+EX",--(DATOS!$G137=CONFIG_METADATA!$B$4),IF(DATOS!$G137="EX",1,IF(DATOS!$G137="OR",--(COUNTIFS(nNIA,DATOS!$A137,nCURSO,DATOS!$D137,nESPEC,DATOS!$E137,nASIG,DATOS!$I137,nEVAL,"EX")=0),0))))</f>
      </c>
      <c r="H137">
        <f>IF(DATOS!$G137&lt;&gt;"EX",0,--(COUNTIFS(nNIA,DATOS!$A137,nCURSO,DATOS!$D137,nESPEC,DATOS!$E137,nASIG,DATOS!$I137,nEVAL,"OR")=0))</f>
      </c>
      <c r="I137">
        <f>IF(DATOS!$I137="","",IFERROR(VLOOKUP(DATOS!$I137,CONFIG_ASIGNATURAS!$B$2:$J$91,9,FALSE()),""))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IF(DATOS!$A138="",0,IF(CONFIG_METADATA!$B$4&lt;&gt;"OR+EX",--(DATOS!$G138=CONFIG_METADATA!$B$4),IF(DATOS!$G138="EX",1,IF(DATOS!$G138="OR",--(COUNTIFS(nNIA,DATOS!$A138,nCURSO,DATOS!$D138,nESPEC,DATOS!$E138,nASIG,DATOS!$I138,nEVAL,"EX")=0),0))))</f>
      </c>
      <c r="H138">
        <f>IF(DATOS!$G138&lt;&gt;"EX",0,--(COUNTIFS(nNIA,DATOS!$A138,nCURSO,DATOS!$D138,nESPEC,DATOS!$E138,nASIG,DATOS!$I138,nEVAL,"OR")=0))</f>
      </c>
      <c r="I138">
        <f>IF(DATOS!$I138="","",IFERROR(VLOOKUP(DATOS!$I138,CONFIG_ASIGNATURAS!$B$2:$J$91,9,FALSE()),""))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IF(DATOS!$A139="",0,IF(CONFIG_METADATA!$B$4&lt;&gt;"OR+EX",--(DATOS!$G139=CONFIG_METADATA!$B$4),IF(DATOS!$G139="EX",1,IF(DATOS!$G139="OR",--(COUNTIFS(nNIA,DATOS!$A139,nCURSO,DATOS!$D139,nESPEC,DATOS!$E139,nASIG,DATOS!$I139,nEVAL,"EX")=0),0))))</f>
      </c>
      <c r="H139">
        <f>IF(DATOS!$G139&lt;&gt;"EX",0,--(COUNTIFS(nNIA,DATOS!$A139,nCURSO,DATOS!$D139,nESPEC,DATOS!$E139,nASIG,DATOS!$I139,nEVAL,"OR")=0))</f>
      </c>
      <c r="I139">
        <f>IF(DATOS!$I139="","",IFERROR(VLOOKUP(DATOS!$I139,CONFIG_ASIGNATURAS!$B$2:$J$91,9,FALSE()),""))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IF(DATOS!$A140="",0,IF(CONFIG_METADATA!$B$4&lt;&gt;"OR+EX",--(DATOS!$G140=CONFIG_METADATA!$B$4),IF(DATOS!$G140="EX",1,IF(DATOS!$G140="OR",--(COUNTIFS(nNIA,DATOS!$A140,nCURSO,DATOS!$D140,nESPEC,DATOS!$E140,nASIG,DATOS!$I140,nEVAL,"EX")=0),0))))</f>
      </c>
      <c r="H140">
        <f>IF(DATOS!$G140&lt;&gt;"EX",0,--(COUNTIFS(nNIA,DATOS!$A140,nCURSO,DATOS!$D140,nESPEC,DATOS!$E140,nASIG,DATOS!$I140,nEVAL,"OR")=0))</f>
      </c>
      <c r="I140">
        <f>IF(DATOS!$I140="","",IFERROR(VLOOKUP(DATOS!$I140,CONFIG_ASIGNATURAS!$B$2:$J$91,9,FALSE()),""))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IF(DATOS!$A141="",0,IF(CONFIG_METADATA!$B$4&lt;&gt;"OR+EX",--(DATOS!$G141=CONFIG_METADATA!$B$4),IF(DATOS!$G141="EX",1,IF(DATOS!$G141="OR",--(COUNTIFS(nNIA,DATOS!$A141,nCURSO,DATOS!$D141,nESPEC,DATOS!$E141,nASIG,DATOS!$I141,nEVAL,"EX")=0),0))))</f>
      </c>
      <c r="H141">
        <f>IF(DATOS!$G141&lt;&gt;"EX",0,--(COUNTIFS(nNIA,DATOS!$A141,nCURSO,DATOS!$D141,nESPEC,DATOS!$E141,nASIG,DATOS!$I141,nEVAL,"OR")=0))</f>
      </c>
      <c r="I141">
        <f>IF(DATOS!$I141="","",IFERROR(VLOOKUP(DATOS!$I141,CONFIG_ASIGNATURAS!$B$2:$J$91,9,FALSE()),""))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IF(DATOS!$A142="",0,IF(CONFIG_METADATA!$B$4&lt;&gt;"OR+EX",--(DATOS!$G142=CONFIG_METADATA!$B$4),IF(DATOS!$G142="EX",1,IF(DATOS!$G142="OR",--(COUNTIFS(nNIA,DATOS!$A142,nCURSO,DATOS!$D142,nESPEC,DATOS!$E142,nASIG,DATOS!$I142,nEVAL,"EX")=0),0))))</f>
      </c>
      <c r="H142">
        <f>IF(DATOS!$G142&lt;&gt;"EX",0,--(COUNTIFS(nNIA,DATOS!$A142,nCURSO,DATOS!$D142,nESPEC,DATOS!$E142,nASIG,DATOS!$I142,nEVAL,"OR")=0))</f>
      </c>
      <c r="I142">
        <f>IF(DATOS!$I142="","",IFERROR(VLOOKUP(DATOS!$I142,CONFIG_ASIGNATURAS!$B$2:$J$91,9,FALSE()),""))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IF(DATOS!$A143="",0,IF(CONFIG_METADATA!$B$4&lt;&gt;"OR+EX",--(DATOS!$G143=CONFIG_METADATA!$B$4),IF(DATOS!$G143="EX",1,IF(DATOS!$G143="OR",--(COUNTIFS(nNIA,DATOS!$A143,nCURSO,DATOS!$D143,nESPEC,DATOS!$E143,nASIG,DATOS!$I143,nEVAL,"EX")=0),0))))</f>
      </c>
      <c r="H143">
        <f>IF(DATOS!$G143&lt;&gt;"EX",0,--(COUNTIFS(nNIA,DATOS!$A143,nCURSO,DATOS!$D143,nESPEC,DATOS!$E143,nASIG,DATOS!$I143,nEVAL,"OR")=0))</f>
      </c>
      <c r="I143">
        <f>IF(DATOS!$I143="","",IFERROR(VLOOKUP(DATOS!$I143,CONFIG_ASIGNATURAS!$B$2:$J$91,9,FALSE()),""))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IF(DATOS!$A144="",0,IF(CONFIG_METADATA!$B$4&lt;&gt;"OR+EX",--(DATOS!$G144=CONFIG_METADATA!$B$4),IF(DATOS!$G144="EX",1,IF(DATOS!$G144="OR",--(COUNTIFS(nNIA,DATOS!$A144,nCURSO,DATOS!$D144,nESPEC,DATOS!$E144,nASIG,DATOS!$I144,nEVAL,"EX")=0),0))))</f>
      </c>
      <c r="H144">
        <f>IF(DATOS!$G144&lt;&gt;"EX",0,--(COUNTIFS(nNIA,DATOS!$A144,nCURSO,DATOS!$D144,nESPEC,DATOS!$E144,nASIG,DATOS!$I144,nEVAL,"OR")=0))</f>
      </c>
      <c r="I144">
        <f>IF(DATOS!$I144="","",IFERROR(VLOOKUP(DATOS!$I144,CONFIG_ASIGNATURAS!$B$2:$J$91,9,FALSE()),""))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IF(DATOS!$A145="",0,IF(CONFIG_METADATA!$B$4&lt;&gt;"OR+EX",--(DATOS!$G145=CONFIG_METADATA!$B$4),IF(DATOS!$G145="EX",1,IF(DATOS!$G145="OR",--(COUNTIFS(nNIA,DATOS!$A145,nCURSO,DATOS!$D145,nESPEC,DATOS!$E145,nASIG,DATOS!$I145,nEVAL,"EX")=0),0))))</f>
      </c>
      <c r="H145">
        <f>IF(DATOS!$G145&lt;&gt;"EX",0,--(COUNTIFS(nNIA,DATOS!$A145,nCURSO,DATOS!$D145,nESPEC,DATOS!$E145,nASIG,DATOS!$I145,nEVAL,"OR")=0))</f>
      </c>
      <c r="I145">
        <f>IF(DATOS!$I145="","",IFERROR(VLOOKUP(DATOS!$I145,CONFIG_ASIGNATURAS!$B$2:$J$91,9,FALSE()),""))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IF(DATOS!$A146="",0,IF(CONFIG_METADATA!$B$4&lt;&gt;"OR+EX",--(DATOS!$G146=CONFIG_METADATA!$B$4),IF(DATOS!$G146="EX",1,IF(DATOS!$G146="OR",--(COUNTIFS(nNIA,DATOS!$A146,nCURSO,DATOS!$D146,nESPEC,DATOS!$E146,nASIG,DATOS!$I146,nEVAL,"EX")=0),0))))</f>
      </c>
      <c r="H146">
        <f>IF(DATOS!$G146&lt;&gt;"EX",0,--(COUNTIFS(nNIA,DATOS!$A146,nCURSO,DATOS!$D146,nESPEC,DATOS!$E146,nASIG,DATOS!$I146,nEVAL,"OR")=0))</f>
      </c>
      <c r="I146">
        <f>IF(DATOS!$I146="","",IFERROR(VLOOKUP(DATOS!$I146,CONFIG_ASIGNATURAS!$B$2:$J$91,9,FALSE()),""))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IF(DATOS!$A147="",0,IF(CONFIG_METADATA!$B$4&lt;&gt;"OR+EX",--(DATOS!$G147=CONFIG_METADATA!$B$4),IF(DATOS!$G147="EX",1,IF(DATOS!$G147="OR",--(COUNTIFS(nNIA,DATOS!$A147,nCURSO,DATOS!$D147,nESPEC,DATOS!$E147,nASIG,DATOS!$I147,nEVAL,"EX")=0),0))))</f>
      </c>
      <c r="H147">
        <f>IF(DATOS!$G147&lt;&gt;"EX",0,--(COUNTIFS(nNIA,DATOS!$A147,nCURSO,DATOS!$D147,nESPEC,DATOS!$E147,nASIG,DATOS!$I147,nEVAL,"OR")=0))</f>
      </c>
      <c r="I147">
        <f>IF(DATOS!$I147="","",IFERROR(VLOOKUP(DATOS!$I147,CONFIG_ASIGNATURAS!$B$2:$J$91,9,FALSE()),""))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IF(DATOS!$A148="",0,IF(CONFIG_METADATA!$B$4&lt;&gt;"OR+EX",--(DATOS!$G148=CONFIG_METADATA!$B$4),IF(DATOS!$G148="EX",1,IF(DATOS!$G148="OR",--(COUNTIFS(nNIA,DATOS!$A148,nCURSO,DATOS!$D148,nESPEC,DATOS!$E148,nASIG,DATOS!$I148,nEVAL,"EX")=0),0))))</f>
      </c>
      <c r="H148">
        <f>IF(DATOS!$G148&lt;&gt;"EX",0,--(COUNTIFS(nNIA,DATOS!$A148,nCURSO,DATOS!$D148,nESPEC,DATOS!$E148,nASIG,DATOS!$I148,nEVAL,"OR")=0))</f>
      </c>
      <c r="I148">
        <f>IF(DATOS!$I148="","",IFERROR(VLOOKUP(DATOS!$I148,CONFIG_ASIGNATURAS!$B$2:$J$91,9,FALSE()),""))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IF(DATOS!$A149="",0,IF(CONFIG_METADATA!$B$4&lt;&gt;"OR+EX",--(DATOS!$G149=CONFIG_METADATA!$B$4),IF(DATOS!$G149="EX",1,IF(DATOS!$G149="OR",--(COUNTIFS(nNIA,DATOS!$A149,nCURSO,DATOS!$D149,nESPEC,DATOS!$E149,nASIG,DATOS!$I149,nEVAL,"EX")=0),0))))</f>
      </c>
      <c r="H149">
        <f>IF(DATOS!$G149&lt;&gt;"EX",0,--(COUNTIFS(nNIA,DATOS!$A149,nCURSO,DATOS!$D149,nESPEC,DATOS!$E149,nASIG,DATOS!$I149,nEVAL,"OR")=0))</f>
      </c>
      <c r="I149">
        <f>IF(DATOS!$I149="","",IFERROR(VLOOKUP(DATOS!$I149,CONFIG_ASIGNATURAS!$B$2:$J$91,9,FALSE()),""))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IF(DATOS!$A150="",0,IF(CONFIG_METADATA!$B$4&lt;&gt;"OR+EX",--(DATOS!$G150=CONFIG_METADATA!$B$4),IF(DATOS!$G150="EX",1,IF(DATOS!$G150="OR",--(COUNTIFS(nNIA,DATOS!$A150,nCURSO,DATOS!$D150,nESPEC,DATOS!$E150,nASIG,DATOS!$I150,nEVAL,"EX")=0),0))))</f>
      </c>
      <c r="H150">
        <f>IF(DATOS!$G150&lt;&gt;"EX",0,--(COUNTIFS(nNIA,DATOS!$A150,nCURSO,DATOS!$D150,nESPEC,DATOS!$E150,nASIG,DATOS!$I150,nEVAL,"OR")=0))</f>
      </c>
      <c r="I150">
        <f>IF(DATOS!$I150="","",IFERROR(VLOOKUP(DATOS!$I150,CONFIG_ASIGNATURAS!$B$2:$J$91,9,FALSE()),""))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IF(DATOS!$A151="",0,IF(CONFIG_METADATA!$B$4&lt;&gt;"OR+EX",--(DATOS!$G151=CONFIG_METADATA!$B$4),IF(DATOS!$G151="EX",1,IF(DATOS!$G151="OR",--(COUNTIFS(nNIA,DATOS!$A151,nCURSO,DATOS!$D151,nESPEC,DATOS!$E151,nASIG,DATOS!$I151,nEVAL,"EX")=0),0))))</f>
      </c>
      <c r="H151">
        <f>IF(DATOS!$G151&lt;&gt;"EX",0,--(COUNTIFS(nNIA,DATOS!$A151,nCURSO,DATOS!$D151,nESPEC,DATOS!$E151,nASIG,DATOS!$I151,nEVAL,"OR")=0))</f>
      </c>
      <c r="I151">
        <f>IF(DATOS!$I151="","",IFERROR(VLOOKUP(DATOS!$I151,CONFIG_ASIGNATURAS!$B$2:$J$91,9,FALSE()),""))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IF(DATOS!$A152="",0,IF(CONFIG_METADATA!$B$4&lt;&gt;"OR+EX",--(DATOS!$G152=CONFIG_METADATA!$B$4),IF(DATOS!$G152="EX",1,IF(DATOS!$G152="OR",--(COUNTIFS(nNIA,DATOS!$A152,nCURSO,DATOS!$D152,nESPEC,DATOS!$E152,nASIG,DATOS!$I152,nEVAL,"EX")=0),0))))</f>
      </c>
      <c r="H152">
        <f>IF(DATOS!$G152&lt;&gt;"EX",0,--(COUNTIFS(nNIA,DATOS!$A152,nCURSO,DATOS!$D152,nESPEC,DATOS!$E152,nASIG,DATOS!$I152,nEVAL,"OR")=0))</f>
      </c>
      <c r="I152">
        <f>IF(DATOS!$I152="","",IFERROR(VLOOKUP(DATOS!$I152,CONFIG_ASIGNATURAS!$B$2:$J$91,9,FALSE()),""))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IF(DATOS!$A153="",0,IF(CONFIG_METADATA!$B$4&lt;&gt;"OR+EX",--(DATOS!$G153=CONFIG_METADATA!$B$4),IF(DATOS!$G153="EX",1,IF(DATOS!$G153="OR",--(COUNTIFS(nNIA,DATOS!$A153,nCURSO,DATOS!$D153,nESPEC,DATOS!$E153,nASIG,DATOS!$I153,nEVAL,"EX")=0),0))))</f>
      </c>
      <c r="H153">
        <f>IF(DATOS!$G153&lt;&gt;"EX",0,--(COUNTIFS(nNIA,DATOS!$A153,nCURSO,DATOS!$D153,nESPEC,DATOS!$E153,nASIG,DATOS!$I153,nEVAL,"OR")=0))</f>
      </c>
      <c r="I153">
        <f>IF(DATOS!$I153="","",IFERROR(VLOOKUP(DATOS!$I153,CONFIG_ASIGNATURAS!$B$2:$J$91,9,FALSE()),""))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IF(DATOS!$A154="",0,IF(CONFIG_METADATA!$B$4&lt;&gt;"OR+EX",--(DATOS!$G154=CONFIG_METADATA!$B$4),IF(DATOS!$G154="EX",1,IF(DATOS!$G154="OR",--(COUNTIFS(nNIA,DATOS!$A154,nCURSO,DATOS!$D154,nESPEC,DATOS!$E154,nASIG,DATOS!$I154,nEVAL,"EX")=0),0))))</f>
      </c>
      <c r="H154">
        <f>IF(DATOS!$G154&lt;&gt;"EX",0,--(COUNTIFS(nNIA,DATOS!$A154,nCURSO,DATOS!$D154,nESPEC,DATOS!$E154,nASIG,DATOS!$I154,nEVAL,"OR")=0))</f>
      </c>
      <c r="I154">
        <f>IF(DATOS!$I154="","",IFERROR(VLOOKUP(DATOS!$I154,CONFIG_ASIGNATURAS!$B$2:$J$91,9,FALSE()),""))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IF(DATOS!$A155="",0,IF(CONFIG_METADATA!$B$4&lt;&gt;"OR+EX",--(DATOS!$G155=CONFIG_METADATA!$B$4),IF(DATOS!$G155="EX",1,IF(DATOS!$G155="OR",--(COUNTIFS(nNIA,DATOS!$A155,nCURSO,DATOS!$D155,nESPEC,DATOS!$E155,nASIG,DATOS!$I155,nEVAL,"EX")=0),0))))</f>
      </c>
      <c r="H155">
        <f>IF(DATOS!$G155&lt;&gt;"EX",0,--(COUNTIFS(nNIA,DATOS!$A155,nCURSO,DATOS!$D155,nESPEC,DATOS!$E155,nASIG,DATOS!$I155,nEVAL,"OR")=0))</f>
      </c>
      <c r="I155">
        <f>IF(DATOS!$I155="","",IFERROR(VLOOKUP(DATOS!$I155,CONFIG_ASIGNATURAS!$B$2:$J$91,9,FALSE()),""))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IF(DATOS!$A156="",0,IF(CONFIG_METADATA!$B$4&lt;&gt;"OR+EX",--(DATOS!$G156=CONFIG_METADATA!$B$4),IF(DATOS!$G156="EX",1,IF(DATOS!$G156="OR",--(COUNTIFS(nNIA,DATOS!$A156,nCURSO,DATOS!$D156,nESPEC,DATOS!$E156,nASIG,DATOS!$I156,nEVAL,"EX")=0),0))))</f>
      </c>
      <c r="H156">
        <f>IF(DATOS!$G156&lt;&gt;"EX",0,--(COUNTIFS(nNIA,DATOS!$A156,nCURSO,DATOS!$D156,nESPEC,DATOS!$E156,nASIG,DATOS!$I156,nEVAL,"OR")=0))</f>
      </c>
      <c r="I156">
        <f>IF(DATOS!$I156="","",IFERROR(VLOOKUP(DATOS!$I156,CONFIG_ASIGNATURAS!$B$2:$J$91,9,FALSE()),""))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IF(DATOS!$A157="",0,IF(CONFIG_METADATA!$B$4&lt;&gt;"OR+EX",--(DATOS!$G157=CONFIG_METADATA!$B$4),IF(DATOS!$G157="EX",1,IF(DATOS!$G157="OR",--(COUNTIFS(nNIA,DATOS!$A157,nCURSO,DATOS!$D157,nESPEC,DATOS!$E157,nASIG,DATOS!$I157,nEVAL,"EX")=0),0))))</f>
      </c>
      <c r="H157">
        <f>IF(DATOS!$G157&lt;&gt;"EX",0,--(COUNTIFS(nNIA,DATOS!$A157,nCURSO,DATOS!$D157,nESPEC,DATOS!$E157,nASIG,DATOS!$I157,nEVAL,"OR")=0))</f>
      </c>
      <c r="I157">
        <f>IF(DATOS!$I157="","",IFERROR(VLOOKUP(DATOS!$I157,CONFIG_ASIGNATURAS!$B$2:$J$91,9,FALSE()),""))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IF(DATOS!$A158="",0,IF(CONFIG_METADATA!$B$4&lt;&gt;"OR+EX",--(DATOS!$G158=CONFIG_METADATA!$B$4),IF(DATOS!$G158="EX",1,IF(DATOS!$G158="OR",--(COUNTIFS(nNIA,DATOS!$A158,nCURSO,DATOS!$D158,nESPEC,DATOS!$E158,nASIG,DATOS!$I158,nEVAL,"EX")=0),0))))</f>
      </c>
      <c r="H158">
        <f>IF(DATOS!$G158&lt;&gt;"EX",0,--(COUNTIFS(nNIA,DATOS!$A158,nCURSO,DATOS!$D158,nESPEC,DATOS!$E158,nASIG,DATOS!$I158,nEVAL,"OR")=0))</f>
      </c>
      <c r="I158">
        <f>IF(DATOS!$I158="","",IFERROR(VLOOKUP(DATOS!$I158,CONFIG_ASIGNATURAS!$B$2:$J$91,9,FALSE()),""))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IF(DATOS!$A159="",0,IF(CONFIG_METADATA!$B$4&lt;&gt;"OR+EX",--(DATOS!$G159=CONFIG_METADATA!$B$4),IF(DATOS!$G159="EX",1,IF(DATOS!$G159="OR",--(COUNTIFS(nNIA,DATOS!$A159,nCURSO,DATOS!$D159,nESPEC,DATOS!$E159,nASIG,DATOS!$I159,nEVAL,"EX")=0),0))))</f>
      </c>
      <c r="H159">
        <f>IF(DATOS!$G159&lt;&gt;"EX",0,--(COUNTIFS(nNIA,DATOS!$A159,nCURSO,DATOS!$D159,nESPEC,DATOS!$E159,nASIG,DATOS!$I159,nEVAL,"OR")=0))</f>
      </c>
      <c r="I159">
        <f>IF(DATOS!$I159="","",IFERROR(VLOOKUP(DATOS!$I159,CONFIG_ASIGNATURAS!$B$2:$J$91,9,FALSE()),""))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IF(DATOS!$A160="",0,IF(CONFIG_METADATA!$B$4&lt;&gt;"OR+EX",--(DATOS!$G160=CONFIG_METADATA!$B$4),IF(DATOS!$G160="EX",1,IF(DATOS!$G160="OR",--(COUNTIFS(nNIA,DATOS!$A160,nCURSO,DATOS!$D160,nESPEC,DATOS!$E160,nASIG,DATOS!$I160,nEVAL,"EX")=0),0))))</f>
      </c>
      <c r="H160">
        <f>IF(DATOS!$G160&lt;&gt;"EX",0,--(COUNTIFS(nNIA,DATOS!$A160,nCURSO,DATOS!$D160,nESPEC,DATOS!$E160,nASIG,DATOS!$I160,nEVAL,"OR")=0))</f>
      </c>
      <c r="I160">
        <f>IF(DATOS!$I160="","",IFERROR(VLOOKUP(DATOS!$I160,CONFIG_ASIGNATURAS!$B$2:$J$91,9,FALSE()),""))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IF(DATOS!$A161="",0,IF(CONFIG_METADATA!$B$4&lt;&gt;"OR+EX",--(DATOS!$G161=CONFIG_METADATA!$B$4),IF(DATOS!$G161="EX",1,IF(DATOS!$G161="OR",--(COUNTIFS(nNIA,DATOS!$A161,nCURSO,DATOS!$D161,nESPEC,DATOS!$E161,nASIG,DATOS!$I161,nEVAL,"EX")=0),0))))</f>
      </c>
      <c r="H161">
        <f>IF(DATOS!$G161&lt;&gt;"EX",0,--(COUNTIFS(nNIA,DATOS!$A161,nCURSO,DATOS!$D161,nESPEC,DATOS!$E161,nASIG,DATOS!$I161,nEVAL,"OR")=0))</f>
      </c>
      <c r="I161">
        <f>IF(DATOS!$I161="","",IFERROR(VLOOKUP(DATOS!$I161,CONFIG_ASIGNATURAS!$B$2:$J$91,9,FALSE()),""))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IF(DATOS!$A162="",0,IF(CONFIG_METADATA!$B$4&lt;&gt;"OR+EX",--(DATOS!$G162=CONFIG_METADATA!$B$4),IF(DATOS!$G162="EX",1,IF(DATOS!$G162="OR",--(COUNTIFS(nNIA,DATOS!$A162,nCURSO,DATOS!$D162,nESPEC,DATOS!$E162,nASIG,DATOS!$I162,nEVAL,"EX")=0),0))))</f>
      </c>
      <c r="H162">
        <f>IF(DATOS!$G162&lt;&gt;"EX",0,--(COUNTIFS(nNIA,DATOS!$A162,nCURSO,DATOS!$D162,nESPEC,DATOS!$E162,nASIG,DATOS!$I162,nEVAL,"OR")=0))</f>
      </c>
      <c r="I162">
        <f>IF(DATOS!$I162="","",IFERROR(VLOOKUP(DATOS!$I162,CONFIG_ASIGNATURAS!$B$2:$J$91,9,FALSE()),""))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IF(DATOS!$A163="",0,IF(CONFIG_METADATA!$B$4&lt;&gt;"OR+EX",--(DATOS!$G163=CONFIG_METADATA!$B$4),IF(DATOS!$G163="EX",1,IF(DATOS!$G163="OR",--(COUNTIFS(nNIA,DATOS!$A163,nCURSO,DATOS!$D163,nESPEC,DATOS!$E163,nASIG,DATOS!$I163,nEVAL,"EX")=0),0))))</f>
      </c>
      <c r="H163">
        <f>IF(DATOS!$G163&lt;&gt;"EX",0,--(COUNTIFS(nNIA,DATOS!$A163,nCURSO,DATOS!$D163,nESPEC,DATOS!$E163,nASIG,DATOS!$I163,nEVAL,"OR")=0))</f>
      </c>
      <c r="I163">
        <f>IF(DATOS!$I163="","",IFERROR(VLOOKUP(DATOS!$I163,CONFIG_ASIGNATURAS!$B$2:$J$91,9,FALSE()),""))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IF(DATOS!$A164="",0,IF(CONFIG_METADATA!$B$4&lt;&gt;"OR+EX",--(DATOS!$G164=CONFIG_METADATA!$B$4),IF(DATOS!$G164="EX",1,IF(DATOS!$G164="OR",--(COUNTIFS(nNIA,DATOS!$A164,nCURSO,DATOS!$D164,nESPEC,DATOS!$E164,nASIG,DATOS!$I164,nEVAL,"EX")=0),0))))</f>
      </c>
      <c r="H164">
        <f>IF(DATOS!$G164&lt;&gt;"EX",0,--(COUNTIFS(nNIA,DATOS!$A164,nCURSO,DATOS!$D164,nESPEC,DATOS!$E164,nASIG,DATOS!$I164,nEVAL,"OR")=0))</f>
      </c>
      <c r="I164">
        <f>IF(DATOS!$I164="","",IFERROR(VLOOKUP(DATOS!$I164,CONFIG_ASIGNATURAS!$B$2:$J$91,9,FALSE()),""))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IF(DATOS!$A165="",0,IF(CONFIG_METADATA!$B$4&lt;&gt;"OR+EX",--(DATOS!$G165=CONFIG_METADATA!$B$4),IF(DATOS!$G165="EX",1,IF(DATOS!$G165="OR",--(COUNTIFS(nNIA,DATOS!$A165,nCURSO,DATOS!$D165,nESPEC,DATOS!$E165,nASIG,DATOS!$I165,nEVAL,"EX")=0),0))))</f>
      </c>
      <c r="H165">
        <f>IF(DATOS!$G165&lt;&gt;"EX",0,--(COUNTIFS(nNIA,DATOS!$A165,nCURSO,DATOS!$D165,nESPEC,DATOS!$E165,nASIG,DATOS!$I165,nEVAL,"OR")=0))</f>
      </c>
      <c r="I165">
        <f>IF(DATOS!$I165="","",IFERROR(VLOOKUP(DATOS!$I165,CONFIG_ASIGNATURAS!$B$2:$J$91,9,FALSE()),""))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IF(DATOS!$A166="",0,IF(CONFIG_METADATA!$B$4&lt;&gt;"OR+EX",--(DATOS!$G166=CONFIG_METADATA!$B$4),IF(DATOS!$G166="EX",1,IF(DATOS!$G166="OR",--(COUNTIFS(nNIA,DATOS!$A166,nCURSO,DATOS!$D166,nESPEC,DATOS!$E166,nASIG,DATOS!$I166,nEVAL,"EX")=0),0))))</f>
      </c>
      <c r="H166">
        <f>IF(DATOS!$G166&lt;&gt;"EX",0,--(COUNTIFS(nNIA,DATOS!$A166,nCURSO,DATOS!$D166,nESPEC,DATOS!$E166,nASIG,DATOS!$I166,nEVAL,"OR")=0))</f>
      </c>
      <c r="I166">
        <f>IF(DATOS!$I166="","",IFERROR(VLOOKUP(DATOS!$I166,CONFIG_ASIGNATURAS!$B$2:$J$91,9,FALSE()),""))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IF(DATOS!$A167="",0,IF(CONFIG_METADATA!$B$4&lt;&gt;"OR+EX",--(DATOS!$G167=CONFIG_METADATA!$B$4),IF(DATOS!$G167="EX",1,IF(DATOS!$G167="OR",--(COUNTIFS(nNIA,DATOS!$A167,nCURSO,DATOS!$D167,nESPEC,DATOS!$E167,nASIG,DATOS!$I167,nEVAL,"EX")=0),0))))</f>
      </c>
      <c r="H167">
        <f>IF(DATOS!$G167&lt;&gt;"EX",0,--(COUNTIFS(nNIA,DATOS!$A167,nCURSO,DATOS!$D167,nESPEC,DATOS!$E167,nASIG,DATOS!$I167,nEVAL,"OR")=0))</f>
      </c>
      <c r="I167">
        <f>IF(DATOS!$I167="","",IFERROR(VLOOKUP(DATOS!$I167,CONFIG_ASIGNATURAS!$B$2:$J$91,9,FALSE()),""))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IF(DATOS!$A168="",0,IF(CONFIG_METADATA!$B$4&lt;&gt;"OR+EX",--(DATOS!$G168=CONFIG_METADATA!$B$4),IF(DATOS!$G168="EX",1,IF(DATOS!$G168="OR",--(COUNTIFS(nNIA,DATOS!$A168,nCURSO,DATOS!$D168,nESPEC,DATOS!$E168,nASIG,DATOS!$I168,nEVAL,"EX")=0),0))))</f>
      </c>
      <c r="H168">
        <f>IF(DATOS!$G168&lt;&gt;"EX",0,--(COUNTIFS(nNIA,DATOS!$A168,nCURSO,DATOS!$D168,nESPEC,DATOS!$E168,nASIG,DATOS!$I168,nEVAL,"OR")=0))</f>
      </c>
      <c r="I168">
        <f>IF(DATOS!$I168="","",IFERROR(VLOOKUP(DATOS!$I168,CONFIG_ASIGNATURAS!$B$2:$J$91,9,FALSE()),""))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IF(DATOS!$A169="",0,IF(CONFIG_METADATA!$B$4&lt;&gt;"OR+EX",--(DATOS!$G169=CONFIG_METADATA!$B$4),IF(DATOS!$G169="EX",1,IF(DATOS!$G169="OR",--(COUNTIFS(nNIA,DATOS!$A169,nCURSO,DATOS!$D169,nESPEC,DATOS!$E169,nASIG,DATOS!$I169,nEVAL,"EX")=0),0))))</f>
      </c>
      <c r="H169">
        <f>IF(DATOS!$G169&lt;&gt;"EX",0,--(COUNTIFS(nNIA,DATOS!$A169,nCURSO,DATOS!$D169,nESPEC,DATOS!$E169,nASIG,DATOS!$I169,nEVAL,"OR")=0))</f>
      </c>
      <c r="I169">
        <f>IF(DATOS!$I169="","",IFERROR(VLOOKUP(DATOS!$I169,CONFIG_ASIGNATURAS!$B$2:$J$91,9,FALSE()),""))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IF(DATOS!$A170="",0,IF(CONFIG_METADATA!$B$4&lt;&gt;"OR+EX",--(DATOS!$G170=CONFIG_METADATA!$B$4),IF(DATOS!$G170="EX",1,IF(DATOS!$G170="OR",--(COUNTIFS(nNIA,DATOS!$A170,nCURSO,DATOS!$D170,nESPEC,DATOS!$E170,nASIG,DATOS!$I170,nEVAL,"EX")=0),0))))</f>
      </c>
      <c r="H170">
        <f>IF(DATOS!$G170&lt;&gt;"EX",0,--(COUNTIFS(nNIA,DATOS!$A170,nCURSO,DATOS!$D170,nESPEC,DATOS!$E170,nASIG,DATOS!$I170,nEVAL,"OR")=0))</f>
      </c>
      <c r="I170">
        <f>IF(DATOS!$I170="","",IFERROR(VLOOKUP(DATOS!$I170,CONFIG_ASIGNATURAS!$B$2:$J$91,9,FALSE()),""))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IF(DATOS!$A171="",0,IF(CONFIG_METADATA!$B$4&lt;&gt;"OR+EX",--(DATOS!$G171=CONFIG_METADATA!$B$4),IF(DATOS!$G171="EX",1,IF(DATOS!$G171="OR",--(COUNTIFS(nNIA,DATOS!$A171,nCURSO,DATOS!$D171,nESPEC,DATOS!$E171,nASIG,DATOS!$I171,nEVAL,"EX")=0),0))))</f>
      </c>
      <c r="H171">
        <f>IF(DATOS!$G171&lt;&gt;"EX",0,--(COUNTIFS(nNIA,DATOS!$A171,nCURSO,DATOS!$D171,nESPEC,DATOS!$E171,nASIG,DATOS!$I171,nEVAL,"OR")=0))</f>
      </c>
      <c r="I171">
        <f>IF(DATOS!$I171="","",IFERROR(VLOOKUP(DATOS!$I171,CONFIG_ASIGNATURAS!$B$2:$J$91,9,FALSE()),""))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IF(DATOS!$A172="",0,IF(CONFIG_METADATA!$B$4&lt;&gt;"OR+EX",--(DATOS!$G172=CONFIG_METADATA!$B$4),IF(DATOS!$G172="EX",1,IF(DATOS!$G172="OR",--(COUNTIFS(nNIA,DATOS!$A172,nCURSO,DATOS!$D172,nESPEC,DATOS!$E172,nASIG,DATOS!$I172,nEVAL,"EX")=0),0))))</f>
      </c>
      <c r="H172">
        <f>IF(DATOS!$G172&lt;&gt;"EX",0,--(COUNTIFS(nNIA,DATOS!$A172,nCURSO,DATOS!$D172,nESPEC,DATOS!$E172,nASIG,DATOS!$I172,nEVAL,"OR")=0))</f>
      </c>
      <c r="I172">
        <f>IF(DATOS!$I172="","",IFERROR(VLOOKUP(DATOS!$I172,CONFIG_ASIGNATURAS!$B$2:$J$91,9,FALSE()),""))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IF(DATOS!$A173="",0,IF(CONFIG_METADATA!$B$4&lt;&gt;"OR+EX",--(DATOS!$G173=CONFIG_METADATA!$B$4),IF(DATOS!$G173="EX",1,IF(DATOS!$G173="OR",--(COUNTIFS(nNIA,DATOS!$A173,nCURSO,DATOS!$D173,nESPEC,DATOS!$E173,nASIG,DATOS!$I173,nEVAL,"EX")=0),0))))</f>
      </c>
      <c r="H173">
        <f>IF(DATOS!$G173&lt;&gt;"EX",0,--(COUNTIFS(nNIA,DATOS!$A173,nCURSO,DATOS!$D173,nESPEC,DATOS!$E173,nASIG,DATOS!$I173,nEVAL,"OR")=0))</f>
      </c>
      <c r="I173">
        <f>IF(DATOS!$I173="","",IFERROR(VLOOKUP(DATOS!$I173,CONFIG_ASIGNATURAS!$B$2:$J$91,9,FALSE()),""))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IF(DATOS!$A174="",0,IF(CONFIG_METADATA!$B$4&lt;&gt;"OR+EX",--(DATOS!$G174=CONFIG_METADATA!$B$4),IF(DATOS!$G174="EX",1,IF(DATOS!$G174="OR",--(COUNTIFS(nNIA,DATOS!$A174,nCURSO,DATOS!$D174,nESPEC,DATOS!$E174,nASIG,DATOS!$I174,nEVAL,"EX")=0),0))))</f>
      </c>
      <c r="H174">
        <f>IF(DATOS!$G174&lt;&gt;"EX",0,--(COUNTIFS(nNIA,DATOS!$A174,nCURSO,DATOS!$D174,nESPEC,DATOS!$E174,nASIG,DATOS!$I174,nEVAL,"OR")=0))</f>
      </c>
      <c r="I174">
        <f>IF(DATOS!$I174="","",IFERROR(VLOOKUP(DATOS!$I174,CONFIG_ASIGNATURAS!$B$2:$J$91,9,FALSE()),""))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IF(DATOS!$A175="",0,IF(CONFIG_METADATA!$B$4&lt;&gt;"OR+EX",--(DATOS!$G175=CONFIG_METADATA!$B$4),IF(DATOS!$G175="EX",1,IF(DATOS!$G175="OR",--(COUNTIFS(nNIA,DATOS!$A175,nCURSO,DATOS!$D175,nESPEC,DATOS!$E175,nASIG,DATOS!$I175,nEVAL,"EX")=0),0))))</f>
      </c>
      <c r="H175">
        <f>IF(DATOS!$G175&lt;&gt;"EX",0,--(COUNTIFS(nNIA,DATOS!$A175,nCURSO,DATOS!$D175,nESPEC,DATOS!$E175,nASIG,DATOS!$I175,nEVAL,"OR")=0))</f>
      </c>
      <c r="I175">
        <f>IF(DATOS!$I175="","",IFERROR(VLOOKUP(DATOS!$I175,CONFIG_ASIGNATURAS!$B$2:$J$91,9,FALSE()),""))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IF(DATOS!$A176="",0,IF(CONFIG_METADATA!$B$4&lt;&gt;"OR+EX",--(DATOS!$G176=CONFIG_METADATA!$B$4),IF(DATOS!$G176="EX",1,IF(DATOS!$G176="OR",--(COUNTIFS(nNIA,DATOS!$A176,nCURSO,DATOS!$D176,nESPEC,DATOS!$E176,nASIG,DATOS!$I176,nEVAL,"EX")=0),0))))</f>
      </c>
      <c r="H176">
        <f>IF(DATOS!$G176&lt;&gt;"EX",0,--(COUNTIFS(nNIA,DATOS!$A176,nCURSO,DATOS!$D176,nESPEC,DATOS!$E176,nASIG,DATOS!$I176,nEVAL,"OR")=0))</f>
      </c>
      <c r="I176">
        <f>IF(DATOS!$I176="","",IFERROR(VLOOKUP(DATOS!$I176,CONFIG_ASIGNATURAS!$B$2:$J$91,9,FALSE()),""))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IF(DATOS!$A177="",0,IF(CONFIG_METADATA!$B$4&lt;&gt;"OR+EX",--(DATOS!$G177=CONFIG_METADATA!$B$4),IF(DATOS!$G177="EX",1,IF(DATOS!$G177="OR",--(COUNTIFS(nNIA,DATOS!$A177,nCURSO,DATOS!$D177,nESPEC,DATOS!$E177,nASIG,DATOS!$I177,nEVAL,"EX")=0),0))))</f>
      </c>
      <c r="H177">
        <f>IF(DATOS!$G177&lt;&gt;"EX",0,--(COUNTIFS(nNIA,DATOS!$A177,nCURSO,DATOS!$D177,nESPEC,DATOS!$E177,nASIG,DATOS!$I177,nEVAL,"OR")=0))</f>
      </c>
      <c r="I177">
        <f>IF(DATOS!$I177="","",IFERROR(VLOOKUP(DATOS!$I177,CONFIG_ASIGNATURAS!$B$2:$J$91,9,FALSE()),""))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IF(DATOS!$A178="",0,IF(CONFIG_METADATA!$B$4&lt;&gt;"OR+EX",--(DATOS!$G178=CONFIG_METADATA!$B$4),IF(DATOS!$G178="EX",1,IF(DATOS!$G178="OR",--(COUNTIFS(nNIA,DATOS!$A178,nCURSO,DATOS!$D178,nESPEC,DATOS!$E178,nASIG,DATOS!$I178,nEVAL,"EX")=0),0))))</f>
      </c>
      <c r="H178">
        <f>IF(DATOS!$G178&lt;&gt;"EX",0,--(COUNTIFS(nNIA,DATOS!$A178,nCURSO,DATOS!$D178,nESPEC,DATOS!$E178,nASIG,DATOS!$I178,nEVAL,"OR")=0))</f>
      </c>
      <c r="I178">
        <f>IF(DATOS!$I178="","",IFERROR(VLOOKUP(DATOS!$I178,CONFIG_ASIGNATURAS!$B$2:$J$91,9,FALSE()),""))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IF(DATOS!$A179="",0,IF(CONFIG_METADATA!$B$4&lt;&gt;"OR+EX",--(DATOS!$G179=CONFIG_METADATA!$B$4),IF(DATOS!$G179="EX",1,IF(DATOS!$G179="OR",--(COUNTIFS(nNIA,DATOS!$A179,nCURSO,DATOS!$D179,nESPEC,DATOS!$E179,nASIG,DATOS!$I179,nEVAL,"EX")=0),0))))</f>
      </c>
      <c r="H179">
        <f>IF(DATOS!$G179&lt;&gt;"EX",0,--(COUNTIFS(nNIA,DATOS!$A179,nCURSO,DATOS!$D179,nESPEC,DATOS!$E179,nASIG,DATOS!$I179,nEVAL,"OR")=0))</f>
      </c>
      <c r="I179">
        <f>IF(DATOS!$I179="","",IFERROR(VLOOKUP(DATOS!$I179,CONFIG_ASIGNATURAS!$B$2:$J$91,9,FALSE()),""))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IF(DATOS!$A180="",0,IF(CONFIG_METADATA!$B$4&lt;&gt;"OR+EX",--(DATOS!$G180=CONFIG_METADATA!$B$4),IF(DATOS!$G180="EX",1,IF(DATOS!$G180="OR",--(COUNTIFS(nNIA,DATOS!$A180,nCURSO,DATOS!$D180,nESPEC,DATOS!$E180,nASIG,DATOS!$I180,nEVAL,"EX")=0),0))))</f>
      </c>
      <c r="H180">
        <f>IF(DATOS!$G180&lt;&gt;"EX",0,--(COUNTIFS(nNIA,DATOS!$A180,nCURSO,DATOS!$D180,nESPEC,DATOS!$E180,nASIG,DATOS!$I180,nEVAL,"OR")=0))</f>
      </c>
      <c r="I180">
        <f>IF(DATOS!$I180="","",IFERROR(VLOOKUP(DATOS!$I180,CONFIG_ASIGNATURAS!$B$2:$J$91,9,FALSE()),""))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IF(DATOS!$A181="",0,IF(CONFIG_METADATA!$B$4&lt;&gt;"OR+EX",--(DATOS!$G181=CONFIG_METADATA!$B$4),IF(DATOS!$G181="EX",1,IF(DATOS!$G181="OR",--(COUNTIFS(nNIA,DATOS!$A181,nCURSO,DATOS!$D181,nESPEC,DATOS!$E181,nASIG,DATOS!$I181,nEVAL,"EX")=0),0))))</f>
      </c>
      <c r="H181">
        <f>IF(DATOS!$G181&lt;&gt;"EX",0,--(COUNTIFS(nNIA,DATOS!$A181,nCURSO,DATOS!$D181,nESPEC,DATOS!$E181,nASIG,DATOS!$I181,nEVAL,"OR")=0))</f>
      </c>
      <c r="I181">
        <f>IF(DATOS!$I181="","",IFERROR(VLOOKUP(DATOS!$I181,CONFIG_ASIGNATURAS!$B$2:$J$91,9,FALSE()),""))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IF(DATOS!$A182="",0,IF(CONFIG_METADATA!$B$4&lt;&gt;"OR+EX",--(DATOS!$G182=CONFIG_METADATA!$B$4),IF(DATOS!$G182="EX",1,IF(DATOS!$G182="OR",--(COUNTIFS(nNIA,DATOS!$A182,nCURSO,DATOS!$D182,nESPEC,DATOS!$E182,nASIG,DATOS!$I182,nEVAL,"EX")=0),0))))</f>
      </c>
      <c r="H182">
        <f>IF(DATOS!$G182&lt;&gt;"EX",0,--(COUNTIFS(nNIA,DATOS!$A182,nCURSO,DATOS!$D182,nESPEC,DATOS!$E182,nASIG,DATOS!$I182,nEVAL,"OR")=0))</f>
      </c>
      <c r="I182">
        <f>IF(DATOS!$I182="","",IFERROR(VLOOKUP(DATOS!$I182,CONFIG_ASIGNATURAS!$B$2:$J$91,9,FALSE()),""))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IF(DATOS!$A183="",0,IF(CONFIG_METADATA!$B$4&lt;&gt;"OR+EX",--(DATOS!$G183=CONFIG_METADATA!$B$4),IF(DATOS!$G183="EX",1,IF(DATOS!$G183="OR",--(COUNTIFS(nNIA,DATOS!$A183,nCURSO,DATOS!$D183,nESPEC,DATOS!$E183,nASIG,DATOS!$I183,nEVAL,"EX")=0),0))))</f>
      </c>
      <c r="H183">
        <f>IF(DATOS!$G183&lt;&gt;"EX",0,--(COUNTIFS(nNIA,DATOS!$A183,nCURSO,DATOS!$D183,nESPEC,DATOS!$E183,nASIG,DATOS!$I183,nEVAL,"OR")=0))</f>
      </c>
      <c r="I183">
        <f>IF(DATOS!$I183="","",IFERROR(VLOOKUP(DATOS!$I183,CONFIG_ASIGNATURAS!$B$2:$J$91,9,FALSE()),""))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IF(DATOS!$A184="",0,IF(CONFIG_METADATA!$B$4&lt;&gt;"OR+EX",--(DATOS!$G184=CONFIG_METADATA!$B$4),IF(DATOS!$G184="EX",1,IF(DATOS!$G184="OR",--(COUNTIFS(nNIA,DATOS!$A184,nCURSO,DATOS!$D184,nESPEC,DATOS!$E184,nASIG,DATOS!$I184,nEVAL,"EX")=0),0))))</f>
      </c>
      <c r="H184">
        <f>IF(DATOS!$G184&lt;&gt;"EX",0,--(COUNTIFS(nNIA,DATOS!$A184,nCURSO,DATOS!$D184,nESPEC,DATOS!$E184,nASIG,DATOS!$I184,nEVAL,"OR")=0))</f>
      </c>
      <c r="I184">
        <f>IF(DATOS!$I184="","",IFERROR(VLOOKUP(DATOS!$I184,CONFIG_ASIGNATURAS!$B$2:$J$91,9,FALSE()),""))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IF(DATOS!$A185="",0,IF(CONFIG_METADATA!$B$4&lt;&gt;"OR+EX",--(DATOS!$G185=CONFIG_METADATA!$B$4),IF(DATOS!$G185="EX",1,IF(DATOS!$G185="OR",--(COUNTIFS(nNIA,DATOS!$A185,nCURSO,DATOS!$D185,nESPEC,DATOS!$E185,nASIG,DATOS!$I185,nEVAL,"EX")=0),0))))</f>
      </c>
      <c r="H185">
        <f>IF(DATOS!$G185&lt;&gt;"EX",0,--(COUNTIFS(nNIA,DATOS!$A185,nCURSO,DATOS!$D185,nESPEC,DATOS!$E185,nASIG,DATOS!$I185,nEVAL,"OR")=0))</f>
      </c>
      <c r="I185">
        <f>IF(DATOS!$I185="","",IFERROR(VLOOKUP(DATOS!$I185,CONFIG_ASIGNATURAS!$B$2:$J$91,9,FALSE()),""))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IF(DATOS!$A186="",0,IF(CONFIG_METADATA!$B$4&lt;&gt;"OR+EX",--(DATOS!$G186=CONFIG_METADATA!$B$4),IF(DATOS!$G186="EX",1,IF(DATOS!$G186="OR",--(COUNTIFS(nNIA,DATOS!$A186,nCURSO,DATOS!$D186,nESPEC,DATOS!$E186,nASIG,DATOS!$I186,nEVAL,"EX")=0),0))))</f>
      </c>
      <c r="H186">
        <f>IF(DATOS!$G186&lt;&gt;"EX",0,--(COUNTIFS(nNIA,DATOS!$A186,nCURSO,DATOS!$D186,nESPEC,DATOS!$E186,nASIG,DATOS!$I186,nEVAL,"OR")=0))</f>
      </c>
      <c r="I186">
        <f>IF(DATOS!$I186="","",IFERROR(VLOOKUP(DATOS!$I186,CONFIG_ASIGNATURAS!$B$2:$J$91,9,FALSE()),""))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IF(DATOS!$A187="",0,IF(CONFIG_METADATA!$B$4&lt;&gt;"OR+EX",--(DATOS!$G187=CONFIG_METADATA!$B$4),IF(DATOS!$G187="EX",1,IF(DATOS!$G187="OR",--(COUNTIFS(nNIA,DATOS!$A187,nCURSO,DATOS!$D187,nESPEC,DATOS!$E187,nASIG,DATOS!$I187,nEVAL,"EX")=0),0))))</f>
      </c>
      <c r="H187">
        <f>IF(DATOS!$G187&lt;&gt;"EX",0,--(COUNTIFS(nNIA,DATOS!$A187,nCURSO,DATOS!$D187,nESPEC,DATOS!$E187,nASIG,DATOS!$I187,nEVAL,"OR")=0))</f>
      </c>
      <c r="I187">
        <f>IF(DATOS!$I187="","",IFERROR(VLOOKUP(DATOS!$I187,CONFIG_ASIGNATURAS!$B$2:$J$91,9,FALSE()),""))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IF(DATOS!$A188="",0,IF(CONFIG_METADATA!$B$4&lt;&gt;"OR+EX",--(DATOS!$G188=CONFIG_METADATA!$B$4),IF(DATOS!$G188="EX",1,IF(DATOS!$G188="OR",--(COUNTIFS(nNIA,DATOS!$A188,nCURSO,DATOS!$D188,nESPEC,DATOS!$E188,nASIG,DATOS!$I188,nEVAL,"EX")=0),0))))</f>
      </c>
      <c r="H188">
        <f>IF(DATOS!$G188&lt;&gt;"EX",0,--(COUNTIFS(nNIA,DATOS!$A188,nCURSO,DATOS!$D188,nESPEC,DATOS!$E188,nASIG,DATOS!$I188,nEVAL,"OR")=0))</f>
      </c>
      <c r="I188">
        <f>IF(DATOS!$I188="","",IFERROR(VLOOKUP(DATOS!$I188,CONFIG_ASIGNATURAS!$B$2:$J$91,9,FALSE()),""))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IF(DATOS!$A189="",0,IF(CONFIG_METADATA!$B$4&lt;&gt;"OR+EX",--(DATOS!$G189=CONFIG_METADATA!$B$4),IF(DATOS!$G189="EX",1,IF(DATOS!$G189="OR",--(COUNTIFS(nNIA,DATOS!$A189,nCURSO,DATOS!$D189,nESPEC,DATOS!$E189,nASIG,DATOS!$I189,nEVAL,"EX")=0),0))))</f>
      </c>
      <c r="H189">
        <f>IF(DATOS!$G189&lt;&gt;"EX",0,--(COUNTIFS(nNIA,DATOS!$A189,nCURSO,DATOS!$D189,nESPEC,DATOS!$E189,nASIG,DATOS!$I189,nEVAL,"OR")=0))</f>
      </c>
      <c r="I189">
        <f>IF(DATOS!$I189="","",IFERROR(VLOOKUP(DATOS!$I189,CONFIG_ASIGNATURAS!$B$2:$J$91,9,FALSE()),""))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IF(DATOS!$A190="",0,IF(CONFIG_METADATA!$B$4&lt;&gt;"OR+EX",--(DATOS!$G190=CONFIG_METADATA!$B$4),IF(DATOS!$G190="EX",1,IF(DATOS!$G190="OR",--(COUNTIFS(nNIA,DATOS!$A190,nCURSO,DATOS!$D190,nESPEC,DATOS!$E190,nASIG,DATOS!$I190,nEVAL,"EX")=0),0))))</f>
      </c>
      <c r="H190">
        <f>IF(DATOS!$G190&lt;&gt;"EX",0,--(COUNTIFS(nNIA,DATOS!$A190,nCURSO,DATOS!$D190,nESPEC,DATOS!$E190,nASIG,DATOS!$I190,nEVAL,"OR")=0))</f>
      </c>
      <c r="I190">
        <f>IF(DATOS!$I190="","",IFERROR(VLOOKUP(DATOS!$I190,CONFIG_ASIGNATURAS!$B$2:$J$91,9,FALSE()),""))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IF(DATOS!$A191="",0,IF(CONFIG_METADATA!$B$4&lt;&gt;"OR+EX",--(DATOS!$G191=CONFIG_METADATA!$B$4),IF(DATOS!$G191="EX",1,IF(DATOS!$G191="OR",--(COUNTIFS(nNIA,DATOS!$A191,nCURSO,DATOS!$D191,nESPEC,DATOS!$E191,nASIG,DATOS!$I191,nEVAL,"EX")=0),0))))</f>
      </c>
      <c r="H191">
        <f>IF(DATOS!$G191&lt;&gt;"EX",0,--(COUNTIFS(nNIA,DATOS!$A191,nCURSO,DATOS!$D191,nESPEC,DATOS!$E191,nASIG,DATOS!$I191,nEVAL,"OR")=0))</f>
      </c>
      <c r="I191">
        <f>IF(DATOS!$I191="","",IFERROR(VLOOKUP(DATOS!$I191,CONFIG_ASIGNATURAS!$B$2:$J$91,9,FALSE()),""))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IF(DATOS!$A192="",0,IF(CONFIG_METADATA!$B$4&lt;&gt;"OR+EX",--(DATOS!$G192=CONFIG_METADATA!$B$4),IF(DATOS!$G192="EX",1,IF(DATOS!$G192="OR",--(COUNTIFS(nNIA,DATOS!$A192,nCURSO,DATOS!$D192,nESPEC,DATOS!$E192,nASIG,DATOS!$I192,nEVAL,"EX")=0),0))))</f>
      </c>
      <c r="H192">
        <f>IF(DATOS!$G192&lt;&gt;"EX",0,--(COUNTIFS(nNIA,DATOS!$A192,nCURSO,DATOS!$D192,nESPEC,DATOS!$E192,nASIG,DATOS!$I192,nEVAL,"OR")=0))</f>
      </c>
      <c r="I192">
        <f>IF(DATOS!$I192="","",IFERROR(VLOOKUP(DATOS!$I192,CONFIG_ASIGNATURAS!$B$2:$J$91,9,FALSE()),""))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IF(DATOS!$A193="",0,IF(CONFIG_METADATA!$B$4&lt;&gt;"OR+EX",--(DATOS!$G193=CONFIG_METADATA!$B$4),IF(DATOS!$G193="EX",1,IF(DATOS!$G193="OR",--(COUNTIFS(nNIA,DATOS!$A193,nCURSO,DATOS!$D193,nESPEC,DATOS!$E193,nASIG,DATOS!$I193,nEVAL,"EX")=0),0))))</f>
      </c>
      <c r="H193">
        <f>IF(DATOS!$G193&lt;&gt;"EX",0,--(COUNTIFS(nNIA,DATOS!$A193,nCURSO,DATOS!$D193,nESPEC,DATOS!$E193,nASIG,DATOS!$I193,nEVAL,"OR")=0))</f>
      </c>
      <c r="I193">
        <f>IF(DATOS!$I193="","",IFERROR(VLOOKUP(DATOS!$I193,CONFIG_ASIGNATURAS!$B$2:$J$91,9,FALSE()),""))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IF(DATOS!$A194="",0,IF(CONFIG_METADATA!$B$4&lt;&gt;"OR+EX",--(DATOS!$G194=CONFIG_METADATA!$B$4),IF(DATOS!$G194="EX",1,IF(DATOS!$G194="OR",--(COUNTIFS(nNIA,DATOS!$A194,nCURSO,DATOS!$D194,nESPEC,DATOS!$E194,nASIG,DATOS!$I194,nEVAL,"EX")=0),0))))</f>
      </c>
      <c r="H194">
        <f>IF(DATOS!$G194&lt;&gt;"EX",0,--(COUNTIFS(nNIA,DATOS!$A194,nCURSO,DATOS!$D194,nESPEC,DATOS!$E194,nASIG,DATOS!$I194,nEVAL,"OR")=0))</f>
      </c>
      <c r="I194">
        <f>IF(DATOS!$I194="","",IFERROR(VLOOKUP(DATOS!$I194,CONFIG_ASIGNATURAS!$B$2:$J$91,9,FALSE()),""))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IF(DATOS!$A195="",0,IF(CONFIG_METADATA!$B$4&lt;&gt;"OR+EX",--(DATOS!$G195=CONFIG_METADATA!$B$4),IF(DATOS!$G195="EX",1,IF(DATOS!$G195="OR",--(COUNTIFS(nNIA,DATOS!$A195,nCURSO,DATOS!$D195,nESPEC,DATOS!$E195,nASIG,DATOS!$I195,nEVAL,"EX")=0),0))))</f>
      </c>
      <c r="H195">
        <f>IF(DATOS!$G195&lt;&gt;"EX",0,--(COUNTIFS(nNIA,DATOS!$A195,nCURSO,DATOS!$D195,nESPEC,DATOS!$E195,nASIG,DATOS!$I195,nEVAL,"OR")=0))</f>
      </c>
      <c r="I195">
        <f>IF(DATOS!$I195="","",IFERROR(VLOOKUP(DATOS!$I195,CONFIG_ASIGNATURAS!$B$2:$J$91,9,FALSE()),""))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IF(DATOS!$A196="",0,IF(CONFIG_METADATA!$B$4&lt;&gt;"OR+EX",--(DATOS!$G196=CONFIG_METADATA!$B$4),IF(DATOS!$G196="EX",1,IF(DATOS!$G196="OR",--(COUNTIFS(nNIA,DATOS!$A196,nCURSO,DATOS!$D196,nESPEC,DATOS!$E196,nASIG,DATOS!$I196,nEVAL,"EX")=0),0))))</f>
      </c>
      <c r="H196">
        <f>IF(DATOS!$G196&lt;&gt;"EX",0,--(COUNTIFS(nNIA,DATOS!$A196,nCURSO,DATOS!$D196,nESPEC,DATOS!$E196,nASIG,DATOS!$I196,nEVAL,"OR")=0))</f>
      </c>
      <c r="I196">
        <f>IF(DATOS!$I196="","",IFERROR(VLOOKUP(DATOS!$I196,CONFIG_ASIGNATURAS!$B$2:$J$91,9,FALSE()),""))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IF(DATOS!$A197="",0,IF(CONFIG_METADATA!$B$4&lt;&gt;"OR+EX",--(DATOS!$G197=CONFIG_METADATA!$B$4),IF(DATOS!$G197="EX",1,IF(DATOS!$G197="OR",--(COUNTIFS(nNIA,DATOS!$A197,nCURSO,DATOS!$D197,nESPEC,DATOS!$E197,nASIG,DATOS!$I197,nEVAL,"EX")=0),0))))</f>
      </c>
      <c r="H197">
        <f>IF(DATOS!$G197&lt;&gt;"EX",0,--(COUNTIFS(nNIA,DATOS!$A197,nCURSO,DATOS!$D197,nESPEC,DATOS!$E197,nASIG,DATOS!$I197,nEVAL,"OR")=0))</f>
      </c>
      <c r="I197">
        <f>IF(DATOS!$I197="","",IFERROR(VLOOKUP(DATOS!$I197,CONFIG_ASIGNATURAS!$B$2:$J$91,9,FALSE()),""))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IF(DATOS!$A198="",0,IF(CONFIG_METADATA!$B$4&lt;&gt;"OR+EX",--(DATOS!$G198=CONFIG_METADATA!$B$4),IF(DATOS!$G198="EX",1,IF(DATOS!$G198="OR",--(COUNTIFS(nNIA,DATOS!$A198,nCURSO,DATOS!$D198,nESPEC,DATOS!$E198,nASIG,DATOS!$I198,nEVAL,"EX")=0),0))))</f>
      </c>
      <c r="H198">
        <f>IF(DATOS!$G198&lt;&gt;"EX",0,--(COUNTIFS(nNIA,DATOS!$A198,nCURSO,DATOS!$D198,nESPEC,DATOS!$E198,nASIG,DATOS!$I198,nEVAL,"OR")=0))</f>
      </c>
      <c r="I198">
        <f>IF(DATOS!$I198="","",IFERROR(VLOOKUP(DATOS!$I198,CONFIG_ASIGNATURAS!$B$2:$J$91,9,FALSE()),""))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IF(DATOS!$A199="",0,IF(CONFIG_METADATA!$B$4&lt;&gt;"OR+EX",--(DATOS!$G199=CONFIG_METADATA!$B$4),IF(DATOS!$G199="EX",1,IF(DATOS!$G199="OR",--(COUNTIFS(nNIA,DATOS!$A199,nCURSO,DATOS!$D199,nESPEC,DATOS!$E199,nASIG,DATOS!$I199,nEVAL,"EX")=0),0))))</f>
      </c>
      <c r="H199">
        <f>IF(DATOS!$G199&lt;&gt;"EX",0,--(COUNTIFS(nNIA,DATOS!$A199,nCURSO,DATOS!$D199,nESPEC,DATOS!$E199,nASIG,DATOS!$I199,nEVAL,"OR")=0))</f>
      </c>
      <c r="I199">
        <f>IF(DATOS!$I199="","",IFERROR(VLOOKUP(DATOS!$I199,CONFIG_ASIGNATURAS!$B$2:$J$91,9,FALSE()),""))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IF(DATOS!$A200="",0,IF(CONFIG_METADATA!$B$4&lt;&gt;"OR+EX",--(DATOS!$G200=CONFIG_METADATA!$B$4),IF(DATOS!$G200="EX",1,IF(DATOS!$G200="OR",--(COUNTIFS(nNIA,DATOS!$A200,nCURSO,DATOS!$D200,nESPEC,DATOS!$E200,nASIG,DATOS!$I200,nEVAL,"EX")=0),0))))</f>
      </c>
      <c r="H200">
        <f>IF(DATOS!$G200&lt;&gt;"EX",0,--(COUNTIFS(nNIA,DATOS!$A200,nCURSO,DATOS!$D200,nESPEC,DATOS!$E200,nASIG,DATOS!$I200,nEVAL,"OR")=0))</f>
      </c>
      <c r="I200">
        <f>IF(DATOS!$I200="","",IFERROR(VLOOKUP(DATOS!$I200,CONFIG_ASIGNATURAS!$B$2:$J$91,9,FALSE()),""))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IF(DATOS!$A201="",0,IF(CONFIG_METADATA!$B$4&lt;&gt;"OR+EX",--(DATOS!$G201=CONFIG_METADATA!$B$4),IF(DATOS!$G201="EX",1,IF(DATOS!$G201="OR",--(COUNTIFS(nNIA,DATOS!$A201,nCURSO,DATOS!$D201,nESPEC,DATOS!$E201,nASIG,DATOS!$I201,nEVAL,"EX")=0),0))))</f>
      </c>
      <c r="H201">
        <f>IF(DATOS!$G201&lt;&gt;"EX",0,--(COUNTIFS(nNIA,DATOS!$A201,nCURSO,DATOS!$D201,nESPEC,DATOS!$E201,nASIG,DATOS!$I201,nEVAL,"OR")=0))</f>
      </c>
      <c r="I201">
        <f>IF(DATOS!$I201="","",IFERROR(VLOOKUP(DATOS!$I201,CONFIG_ASIGNATURAS!$B$2:$J$91,9,FALSE()),""))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IF(DATOS!$A202="",0,IF(CONFIG_METADATA!$B$4&lt;&gt;"OR+EX",--(DATOS!$G202=CONFIG_METADATA!$B$4),IF(DATOS!$G202="EX",1,IF(DATOS!$G202="OR",--(COUNTIFS(nNIA,DATOS!$A202,nCURSO,DATOS!$D202,nESPEC,DATOS!$E202,nASIG,DATOS!$I202,nEVAL,"EX")=0),0))))</f>
      </c>
      <c r="H202">
        <f>IF(DATOS!$G202&lt;&gt;"EX",0,--(COUNTIFS(nNIA,DATOS!$A202,nCURSO,DATOS!$D202,nESPEC,DATOS!$E202,nASIG,DATOS!$I202,nEVAL,"OR")=0))</f>
      </c>
      <c r="I202">
        <f>IF(DATOS!$I202="","",IFERROR(VLOOKUP(DATOS!$I202,CONFIG_ASIGNATURAS!$B$2:$J$91,9,FALSE()),""))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IF(DATOS!$A203="",0,IF(CONFIG_METADATA!$B$4&lt;&gt;"OR+EX",--(DATOS!$G203=CONFIG_METADATA!$B$4),IF(DATOS!$G203="EX",1,IF(DATOS!$G203="OR",--(COUNTIFS(nNIA,DATOS!$A203,nCURSO,DATOS!$D203,nESPEC,DATOS!$E203,nASIG,DATOS!$I203,nEVAL,"EX")=0),0))))</f>
      </c>
      <c r="H203">
        <f>IF(DATOS!$G203&lt;&gt;"EX",0,--(COUNTIFS(nNIA,DATOS!$A203,nCURSO,DATOS!$D203,nESPEC,DATOS!$E203,nASIG,DATOS!$I203,nEVAL,"OR")=0))</f>
      </c>
      <c r="I203">
        <f>IF(DATOS!$I203="","",IFERROR(VLOOKUP(DATOS!$I203,CONFIG_ASIGNATURAS!$B$2:$J$91,9,FALSE()),""))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IF(DATOS!$A204="",0,IF(CONFIG_METADATA!$B$4&lt;&gt;"OR+EX",--(DATOS!$G204=CONFIG_METADATA!$B$4),IF(DATOS!$G204="EX",1,IF(DATOS!$G204="OR",--(COUNTIFS(nNIA,DATOS!$A204,nCURSO,DATOS!$D204,nESPEC,DATOS!$E204,nASIG,DATOS!$I204,nEVAL,"EX")=0),0))))</f>
      </c>
      <c r="H204">
        <f>IF(DATOS!$G204&lt;&gt;"EX",0,--(COUNTIFS(nNIA,DATOS!$A204,nCURSO,DATOS!$D204,nESPEC,DATOS!$E204,nASIG,DATOS!$I204,nEVAL,"OR")=0))</f>
      </c>
      <c r="I204">
        <f>IF(DATOS!$I204="","",IFERROR(VLOOKUP(DATOS!$I204,CONFIG_ASIGNATURAS!$B$2:$J$91,9,FALSE()),""))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IF(DATOS!$A205="",0,IF(CONFIG_METADATA!$B$4&lt;&gt;"OR+EX",--(DATOS!$G205=CONFIG_METADATA!$B$4),IF(DATOS!$G205="EX",1,IF(DATOS!$G205="OR",--(COUNTIFS(nNIA,DATOS!$A205,nCURSO,DATOS!$D205,nESPEC,DATOS!$E205,nASIG,DATOS!$I205,nEVAL,"EX")=0),0))))</f>
      </c>
      <c r="H205">
        <f>IF(DATOS!$G205&lt;&gt;"EX",0,--(COUNTIFS(nNIA,DATOS!$A205,nCURSO,DATOS!$D205,nESPEC,DATOS!$E205,nASIG,DATOS!$I205,nEVAL,"OR")=0))</f>
      </c>
      <c r="I205">
        <f>IF(DATOS!$I205="","",IFERROR(VLOOKUP(DATOS!$I205,CONFIG_ASIGNATURAS!$B$2:$J$91,9,FALSE()),""))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IF(DATOS!$A206="",0,IF(CONFIG_METADATA!$B$4&lt;&gt;"OR+EX",--(DATOS!$G206=CONFIG_METADATA!$B$4),IF(DATOS!$G206="EX",1,IF(DATOS!$G206="OR",--(COUNTIFS(nNIA,DATOS!$A206,nCURSO,DATOS!$D206,nESPEC,DATOS!$E206,nASIG,DATOS!$I206,nEVAL,"EX")=0),0))))</f>
      </c>
      <c r="H206">
        <f>IF(DATOS!$G206&lt;&gt;"EX",0,--(COUNTIFS(nNIA,DATOS!$A206,nCURSO,DATOS!$D206,nESPEC,DATOS!$E206,nASIG,DATOS!$I206,nEVAL,"OR")=0))</f>
      </c>
      <c r="I206">
        <f>IF(DATOS!$I206="","",IFERROR(VLOOKUP(DATOS!$I206,CONFIG_ASIGNATURAS!$B$2:$J$91,9,FALSE()),""))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IF(DATOS!$A207="",0,IF(CONFIG_METADATA!$B$4&lt;&gt;"OR+EX",--(DATOS!$G207=CONFIG_METADATA!$B$4),IF(DATOS!$G207="EX",1,IF(DATOS!$G207="OR",--(COUNTIFS(nNIA,DATOS!$A207,nCURSO,DATOS!$D207,nESPEC,DATOS!$E207,nASIG,DATOS!$I207,nEVAL,"EX")=0),0))))</f>
      </c>
      <c r="H207">
        <f>IF(DATOS!$G207&lt;&gt;"EX",0,--(COUNTIFS(nNIA,DATOS!$A207,nCURSO,DATOS!$D207,nESPEC,DATOS!$E207,nASIG,DATOS!$I207,nEVAL,"OR")=0))</f>
      </c>
      <c r="I207">
        <f>IF(DATOS!$I207="","",IFERROR(VLOOKUP(DATOS!$I207,CONFIG_ASIGNATURAS!$B$2:$J$91,9,FALSE()),""))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IF(DATOS!$A208="",0,IF(CONFIG_METADATA!$B$4&lt;&gt;"OR+EX",--(DATOS!$G208=CONFIG_METADATA!$B$4),IF(DATOS!$G208="EX",1,IF(DATOS!$G208="OR",--(COUNTIFS(nNIA,DATOS!$A208,nCURSO,DATOS!$D208,nESPEC,DATOS!$E208,nASIG,DATOS!$I208,nEVAL,"EX")=0),0))))</f>
      </c>
      <c r="H208">
        <f>IF(DATOS!$G208&lt;&gt;"EX",0,--(COUNTIFS(nNIA,DATOS!$A208,nCURSO,DATOS!$D208,nESPEC,DATOS!$E208,nASIG,DATOS!$I208,nEVAL,"OR")=0))</f>
      </c>
      <c r="I208">
        <f>IF(DATOS!$I208="","",IFERROR(VLOOKUP(DATOS!$I208,CONFIG_ASIGNATURAS!$B$2:$J$91,9,FALSE()),""))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IF(DATOS!$A209="",0,IF(CONFIG_METADATA!$B$4&lt;&gt;"OR+EX",--(DATOS!$G209=CONFIG_METADATA!$B$4),IF(DATOS!$G209="EX",1,IF(DATOS!$G209="OR",--(COUNTIFS(nNIA,DATOS!$A209,nCURSO,DATOS!$D209,nESPEC,DATOS!$E209,nASIG,DATOS!$I209,nEVAL,"EX")=0),0))))</f>
      </c>
      <c r="H209">
        <f>IF(DATOS!$G209&lt;&gt;"EX",0,--(COUNTIFS(nNIA,DATOS!$A209,nCURSO,DATOS!$D209,nESPEC,DATOS!$E209,nASIG,DATOS!$I209,nEVAL,"OR")=0))</f>
      </c>
      <c r="I209">
        <f>IF(DATOS!$I209="","",IFERROR(VLOOKUP(DATOS!$I209,CONFIG_ASIGNATURAS!$B$2:$J$91,9,FALSE()),""))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IF(DATOS!$A210="",0,IF(CONFIG_METADATA!$B$4&lt;&gt;"OR+EX",--(DATOS!$G210=CONFIG_METADATA!$B$4),IF(DATOS!$G210="EX",1,IF(DATOS!$G210="OR",--(COUNTIFS(nNIA,DATOS!$A210,nCURSO,DATOS!$D210,nESPEC,DATOS!$E210,nASIG,DATOS!$I210,nEVAL,"EX")=0),0))))</f>
      </c>
      <c r="H210">
        <f>IF(DATOS!$G210&lt;&gt;"EX",0,--(COUNTIFS(nNIA,DATOS!$A210,nCURSO,DATOS!$D210,nESPEC,DATOS!$E210,nASIG,DATOS!$I210,nEVAL,"OR")=0))</f>
      </c>
      <c r="I210">
        <f>IF(DATOS!$I210="","",IFERROR(VLOOKUP(DATOS!$I210,CONFIG_ASIGNATURAS!$B$2:$J$91,9,FALSE()),""))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IF(DATOS!$A211="",0,IF(CONFIG_METADATA!$B$4&lt;&gt;"OR+EX",--(DATOS!$G211=CONFIG_METADATA!$B$4),IF(DATOS!$G211="EX",1,IF(DATOS!$G211="OR",--(COUNTIFS(nNIA,DATOS!$A211,nCURSO,DATOS!$D211,nESPEC,DATOS!$E211,nASIG,DATOS!$I211,nEVAL,"EX")=0),0))))</f>
      </c>
      <c r="H211">
        <f>IF(DATOS!$G211&lt;&gt;"EX",0,--(COUNTIFS(nNIA,DATOS!$A211,nCURSO,DATOS!$D211,nESPEC,DATOS!$E211,nASIG,DATOS!$I211,nEVAL,"OR")=0))</f>
      </c>
      <c r="I211">
        <f>IF(DATOS!$I211="","",IFERROR(VLOOKUP(DATOS!$I211,CONFIG_ASIGNATURAS!$B$2:$J$91,9,FALSE()),""))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IF(DATOS!$A212="",0,IF(CONFIG_METADATA!$B$4&lt;&gt;"OR+EX",--(DATOS!$G212=CONFIG_METADATA!$B$4),IF(DATOS!$G212="EX",1,IF(DATOS!$G212="OR",--(COUNTIFS(nNIA,DATOS!$A212,nCURSO,DATOS!$D212,nESPEC,DATOS!$E212,nASIG,DATOS!$I212,nEVAL,"EX")=0),0))))</f>
      </c>
      <c r="H212">
        <f>IF(DATOS!$G212&lt;&gt;"EX",0,--(COUNTIFS(nNIA,DATOS!$A212,nCURSO,DATOS!$D212,nESPEC,DATOS!$E212,nASIG,DATOS!$I212,nEVAL,"OR")=0))</f>
      </c>
      <c r="I212">
        <f>IF(DATOS!$I212="","",IFERROR(VLOOKUP(DATOS!$I212,CONFIG_ASIGNATURAS!$B$2:$J$91,9,FALSE()),""))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IF(DATOS!$A213="",0,IF(CONFIG_METADATA!$B$4&lt;&gt;"OR+EX",--(DATOS!$G213=CONFIG_METADATA!$B$4),IF(DATOS!$G213="EX",1,IF(DATOS!$G213="OR",--(COUNTIFS(nNIA,DATOS!$A213,nCURSO,DATOS!$D213,nESPEC,DATOS!$E213,nASIG,DATOS!$I213,nEVAL,"EX")=0),0))))</f>
      </c>
      <c r="H213">
        <f>IF(DATOS!$G213&lt;&gt;"EX",0,--(COUNTIFS(nNIA,DATOS!$A213,nCURSO,DATOS!$D213,nESPEC,DATOS!$E213,nASIG,DATOS!$I213,nEVAL,"OR")=0))</f>
      </c>
      <c r="I213">
        <f>IF(DATOS!$I213="","",IFERROR(VLOOKUP(DATOS!$I213,CONFIG_ASIGNATURAS!$B$2:$J$91,9,FALSE()),""))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IF(DATOS!$A214="",0,IF(CONFIG_METADATA!$B$4&lt;&gt;"OR+EX",--(DATOS!$G214=CONFIG_METADATA!$B$4),IF(DATOS!$G214="EX",1,IF(DATOS!$G214="OR",--(COUNTIFS(nNIA,DATOS!$A214,nCURSO,DATOS!$D214,nESPEC,DATOS!$E214,nASIG,DATOS!$I214,nEVAL,"EX")=0),0))))</f>
      </c>
      <c r="H214">
        <f>IF(DATOS!$G214&lt;&gt;"EX",0,--(COUNTIFS(nNIA,DATOS!$A214,nCURSO,DATOS!$D214,nESPEC,DATOS!$E214,nASIG,DATOS!$I214,nEVAL,"OR")=0))</f>
      </c>
      <c r="I214">
        <f>IF(DATOS!$I214="","",IFERROR(VLOOKUP(DATOS!$I214,CONFIG_ASIGNATURAS!$B$2:$J$91,9,FALSE()),""))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IF(DATOS!$A215="",0,IF(CONFIG_METADATA!$B$4&lt;&gt;"OR+EX",--(DATOS!$G215=CONFIG_METADATA!$B$4),IF(DATOS!$G215="EX",1,IF(DATOS!$G215="OR",--(COUNTIFS(nNIA,DATOS!$A215,nCURSO,DATOS!$D215,nESPEC,DATOS!$E215,nASIG,DATOS!$I215,nEVAL,"EX")=0),0))))</f>
      </c>
      <c r="H215">
        <f>IF(DATOS!$G215&lt;&gt;"EX",0,--(COUNTIFS(nNIA,DATOS!$A215,nCURSO,DATOS!$D215,nESPEC,DATOS!$E215,nASIG,DATOS!$I215,nEVAL,"OR")=0))</f>
      </c>
      <c r="I215">
        <f>IF(DATOS!$I215="","",IFERROR(VLOOKUP(DATOS!$I215,CONFIG_ASIGNATURAS!$B$2:$J$91,9,FALSE()),""))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IF(DATOS!$A216="",0,IF(CONFIG_METADATA!$B$4&lt;&gt;"OR+EX",--(DATOS!$G216=CONFIG_METADATA!$B$4),IF(DATOS!$G216="EX",1,IF(DATOS!$G216="OR",--(COUNTIFS(nNIA,DATOS!$A216,nCURSO,DATOS!$D216,nESPEC,DATOS!$E216,nASIG,DATOS!$I216,nEVAL,"EX")=0),0))))</f>
      </c>
      <c r="H216">
        <f>IF(DATOS!$G216&lt;&gt;"EX",0,--(COUNTIFS(nNIA,DATOS!$A216,nCURSO,DATOS!$D216,nESPEC,DATOS!$E216,nASIG,DATOS!$I216,nEVAL,"OR")=0))</f>
      </c>
      <c r="I216">
        <f>IF(DATOS!$I216="","",IFERROR(VLOOKUP(DATOS!$I216,CONFIG_ASIGNATURAS!$B$2:$J$91,9,FALSE()),""))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IF(DATOS!$A217="",0,IF(CONFIG_METADATA!$B$4&lt;&gt;"OR+EX",--(DATOS!$G217=CONFIG_METADATA!$B$4),IF(DATOS!$G217="EX",1,IF(DATOS!$G217="OR",--(COUNTIFS(nNIA,DATOS!$A217,nCURSO,DATOS!$D217,nESPEC,DATOS!$E217,nASIG,DATOS!$I217,nEVAL,"EX")=0),0))))</f>
      </c>
      <c r="H217">
        <f>IF(DATOS!$G217&lt;&gt;"EX",0,--(COUNTIFS(nNIA,DATOS!$A217,nCURSO,DATOS!$D217,nESPEC,DATOS!$E217,nASIG,DATOS!$I217,nEVAL,"OR")=0))</f>
      </c>
      <c r="I217">
        <f>IF(DATOS!$I217="","",IFERROR(VLOOKUP(DATOS!$I217,CONFIG_ASIGNATURAS!$B$2:$J$91,9,FALSE()),""))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IF(DATOS!$A218="",0,IF(CONFIG_METADATA!$B$4&lt;&gt;"OR+EX",--(DATOS!$G218=CONFIG_METADATA!$B$4),IF(DATOS!$G218="EX",1,IF(DATOS!$G218="OR",--(COUNTIFS(nNIA,DATOS!$A218,nCURSO,DATOS!$D218,nESPEC,DATOS!$E218,nASIG,DATOS!$I218,nEVAL,"EX")=0),0))))</f>
      </c>
      <c r="H218">
        <f>IF(DATOS!$G218&lt;&gt;"EX",0,--(COUNTIFS(nNIA,DATOS!$A218,nCURSO,DATOS!$D218,nESPEC,DATOS!$E218,nASIG,DATOS!$I218,nEVAL,"OR")=0))</f>
      </c>
      <c r="I218">
        <f>IF(DATOS!$I218="","",IFERROR(VLOOKUP(DATOS!$I218,CONFIG_ASIGNATURAS!$B$2:$J$91,9,FALSE()),""))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IF(DATOS!$A219="",0,IF(CONFIG_METADATA!$B$4&lt;&gt;"OR+EX",--(DATOS!$G219=CONFIG_METADATA!$B$4),IF(DATOS!$G219="EX",1,IF(DATOS!$G219="OR",--(COUNTIFS(nNIA,DATOS!$A219,nCURSO,DATOS!$D219,nESPEC,DATOS!$E219,nASIG,DATOS!$I219,nEVAL,"EX")=0),0))))</f>
      </c>
      <c r="H219">
        <f>IF(DATOS!$G219&lt;&gt;"EX",0,--(COUNTIFS(nNIA,DATOS!$A219,nCURSO,DATOS!$D219,nESPEC,DATOS!$E219,nASIG,DATOS!$I219,nEVAL,"OR")=0))</f>
      </c>
      <c r="I219">
        <f>IF(DATOS!$I219="","",IFERROR(VLOOKUP(DATOS!$I219,CONFIG_ASIGNATURAS!$B$2:$J$91,9,FALSE()),""))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IF(DATOS!$A220="",0,IF(CONFIG_METADATA!$B$4&lt;&gt;"OR+EX",--(DATOS!$G220=CONFIG_METADATA!$B$4),IF(DATOS!$G220="EX",1,IF(DATOS!$G220="OR",--(COUNTIFS(nNIA,DATOS!$A220,nCURSO,DATOS!$D220,nESPEC,DATOS!$E220,nASIG,DATOS!$I220,nEVAL,"EX")=0),0))))</f>
      </c>
      <c r="H220">
        <f>IF(DATOS!$G220&lt;&gt;"EX",0,--(COUNTIFS(nNIA,DATOS!$A220,nCURSO,DATOS!$D220,nESPEC,DATOS!$E220,nASIG,DATOS!$I220,nEVAL,"OR")=0))</f>
      </c>
      <c r="I220">
        <f>IF(DATOS!$I220="","",IFERROR(VLOOKUP(DATOS!$I220,CONFIG_ASIGNATURAS!$B$2:$J$91,9,FALSE()),""))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IF(DATOS!$A221="",0,IF(CONFIG_METADATA!$B$4&lt;&gt;"OR+EX",--(DATOS!$G221=CONFIG_METADATA!$B$4),IF(DATOS!$G221="EX",1,IF(DATOS!$G221="OR",--(COUNTIFS(nNIA,DATOS!$A221,nCURSO,DATOS!$D221,nESPEC,DATOS!$E221,nASIG,DATOS!$I221,nEVAL,"EX")=0),0))))</f>
      </c>
      <c r="H221">
        <f>IF(DATOS!$G221&lt;&gt;"EX",0,--(COUNTIFS(nNIA,DATOS!$A221,nCURSO,DATOS!$D221,nESPEC,DATOS!$E221,nASIG,DATOS!$I221,nEVAL,"OR")=0))</f>
      </c>
      <c r="I221">
        <f>IF(DATOS!$I221="","",IFERROR(VLOOKUP(DATOS!$I221,CONFIG_ASIGNATURAS!$B$2:$J$91,9,FALSE()),""))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IF(DATOS!$A222="",0,IF(CONFIG_METADATA!$B$4&lt;&gt;"OR+EX",--(DATOS!$G222=CONFIG_METADATA!$B$4),IF(DATOS!$G222="EX",1,IF(DATOS!$G222="OR",--(COUNTIFS(nNIA,DATOS!$A222,nCURSO,DATOS!$D222,nESPEC,DATOS!$E222,nASIG,DATOS!$I222,nEVAL,"EX")=0),0))))</f>
      </c>
      <c r="H222">
        <f>IF(DATOS!$G222&lt;&gt;"EX",0,--(COUNTIFS(nNIA,DATOS!$A222,nCURSO,DATOS!$D222,nESPEC,DATOS!$E222,nASIG,DATOS!$I222,nEVAL,"OR")=0))</f>
      </c>
      <c r="I222">
        <f>IF(DATOS!$I222="","",IFERROR(VLOOKUP(DATOS!$I222,CONFIG_ASIGNATURAS!$B$2:$J$91,9,FALSE()),""))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IF(DATOS!$A223="",0,IF(CONFIG_METADATA!$B$4&lt;&gt;"OR+EX",--(DATOS!$G223=CONFIG_METADATA!$B$4),IF(DATOS!$G223="EX",1,IF(DATOS!$G223="OR",--(COUNTIFS(nNIA,DATOS!$A223,nCURSO,DATOS!$D223,nESPEC,DATOS!$E223,nASIG,DATOS!$I223,nEVAL,"EX")=0),0))))</f>
      </c>
      <c r="H223">
        <f>IF(DATOS!$G223&lt;&gt;"EX",0,--(COUNTIFS(nNIA,DATOS!$A223,nCURSO,DATOS!$D223,nESPEC,DATOS!$E223,nASIG,DATOS!$I223,nEVAL,"OR")=0))</f>
      </c>
      <c r="I223">
        <f>IF(DATOS!$I223="","",IFERROR(VLOOKUP(DATOS!$I223,CONFIG_ASIGNATURAS!$B$2:$J$91,9,FALSE()),""))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IF(DATOS!$A224="",0,IF(CONFIG_METADATA!$B$4&lt;&gt;"OR+EX",--(DATOS!$G224=CONFIG_METADATA!$B$4),IF(DATOS!$G224="EX",1,IF(DATOS!$G224="OR",--(COUNTIFS(nNIA,DATOS!$A224,nCURSO,DATOS!$D224,nESPEC,DATOS!$E224,nASIG,DATOS!$I224,nEVAL,"EX")=0),0))))</f>
      </c>
      <c r="H224">
        <f>IF(DATOS!$G224&lt;&gt;"EX",0,--(COUNTIFS(nNIA,DATOS!$A224,nCURSO,DATOS!$D224,nESPEC,DATOS!$E224,nASIG,DATOS!$I224,nEVAL,"OR")=0))</f>
      </c>
      <c r="I224">
        <f>IF(DATOS!$I224="","",IFERROR(VLOOKUP(DATOS!$I224,CONFIG_ASIGNATURAS!$B$2:$J$91,9,FALSE()),""))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IF(DATOS!$A225="",0,IF(CONFIG_METADATA!$B$4&lt;&gt;"OR+EX",--(DATOS!$G225=CONFIG_METADATA!$B$4),IF(DATOS!$G225="EX",1,IF(DATOS!$G225="OR",--(COUNTIFS(nNIA,DATOS!$A225,nCURSO,DATOS!$D225,nESPEC,DATOS!$E225,nASIG,DATOS!$I225,nEVAL,"EX")=0),0))))</f>
      </c>
      <c r="H225">
        <f>IF(DATOS!$G225&lt;&gt;"EX",0,--(COUNTIFS(nNIA,DATOS!$A225,nCURSO,DATOS!$D225,nESPEC,DATOS!$E225,nASIG,DATOS!$I225,nEVAL,"OR")=0))</f>
      </c>
      <c r="I225">
        <f>IF(DATOS!$I225="","",IFERROR(VLOOKUP(DATOS!$I225,CONFIG_ASIGNATURAS!$B$2:$J$91,9,FALSE()),""))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IF(DATOS!$A226="",0,IF(CONFIG_METADATA!$B$4&lt;&gt;"OR+EX",--(DATOS!$G226=CONFIG_METADATA!$B$4),IF(DATOS!$G226="EX",1,IF(DATOS!$G226="OR",--(COUNTIFS(nNIA,DATOS!$A226,nCURSO,DATOS!$D226,nESPEC,DATOS!$E226,nASIG,DATOS!$I226,nEVAL,"EX")=0),0))))</f>
      </c>
      <c r="H226">
        <f>IF(DATOS!$G226&lt;&gt;"EX",0,--(COUNTIFS(nNIA,DATOS!$A226,nCURSO,DATOS!$D226,nESPEC,DATOS!$E226,nASIG,DATOS!$I226,nEVAL,"OR")=0))</f>
      </c>
      <c r="I226">
        <f>IF(DATOS!$I226="","",IFERROR(VLOOKUP(DATOS!$I226,CONFIG_ASIGNATURAS!$B$2:$J$91,9,FALSE()),""))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IF(DATOS!$A227="",0,IF(CONFIG_METADATA!$B$4&lt;&gt;"OR+EX",--(DATOS!$G227=CONFIG_METADATA!$B$4),IF(DATOS!$G227="EX",1,IF(DATOS!$G227="OR",--(COUNTIFS(nNIA,DATOS!$A227,nCURSO,DATOS!$D227,nESPEC,DATOS!$E227,nASIG,DATOS!$I227,nEVAL,"EX")=0),0))))</f>
      </c>
      <c r="H227">
        <f>IF(DATOS!$G227&lt;&gt;"EX",0,--(COUNTIFS(nNIA,DATOS!$A227,nCURSO,DATOS!$D227,nESPEC,DATOS!$E227,nASIG,DATOS!$I227,nEVAL,"OR")=0))</f>
      </c>
      <c r="I227">
        <f>IF(DATOS!$I227="","",IFERROR(VLOOKUP(DATOS!$I227,CONFIG_ASIGNATURAS!$B$2:$J$91,9,FALSE()),""))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IF(DATOS!$A228="",0,IF(CONFIG_METADATA!$B$4&lt;&gt;"OR+EX",--(DATOS!$G228=CONFIG_METADATA!$B$4),IF(DATOS!$G228="EX",1,IF(DATOS!$G228="OR",--(COUNTIFS(nNIA,DATOS!$A228,nCURSO,DATOS!$D228,nESPEC,DATOS!$E228,nASIG,DATOS!$I228,nEVAL,"EX")=0),0))))</f>
      </c>
      <c r="H228">
        <f>IF(DATOS!$G228&lt;&gt;"EX",0,--(COUNTIFS(nNIA,DATOS!$A228,nCURSO,DATOS!$D228,nESPEC,DATOS!$E228,nASIG,DATOS!$I228,nEVAL,"OR")=0))</f>
      </c>
      <c r="I228">
        <f>IF(DATOS!$I228="","",IFERROR(VLOOKUP(DATOS!$I228,CONFIG_ASIGNATURAS!$B$2:$J$91,9,FALSE()),""))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IF(DATOS!$A229="",0,IF(CONFIG_METADATA!$B$4&lt;&gt;"OR+EX",--(DATOS!$G229=CONFIG_METADATA!$B$4),IF(DATOS!$G229="EX",1,IF(DATOS!$G229="OR",--(COUNTIFS(nNIA,DATOS!$A229,nCURSO,DATOS!$D229,nESPEC,DATOS!$E229,nASIG,DATOS!$I229,nEVAL,"EX")=0),0))))</f>
      </c>
      <c r="H229">
        <f>IF(DATOS!$G229&lt;&gt;"EX",0,--(COUNTIFS(nNIA,DATOS!$A229,nCURSO,DATOS!$D229,nESPEC,DATOS!$E229,nASIG,DATOS!$I229,nEVAL,"OR")=0))</f>
      </c>
      <c r="I229">
        <f>IF(DATOS!$I229="","",IFERROR(VLOOKUP(DATOS!$I229,CONFIG_ASIGNATURAS!$B$2:$J$91,9,FALSE()),""))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IF(DATOS!$A230="",0,IF(CONFIG_METADATA!$B$4&lt;&gt;"OR+EX",--(DATOS!$G230=CONFIG_METADATA!$B$4),IF(DATOS!$G230="EX",1,IF(DATOS!$G230="OR",--(COUNTIFS(nNIA,DATOS!$A230,nCURSO,DATOS!$D230,nESPEC,DATOS!$E230,nASIG,DATOS!$I230,nEVAL,"EX")=0),0))))</f>
      </c>
      <c r="H230">
        <f>IF(DATOS!$G230&lt;&gt;"EX",0,--(COUNTIFS(nNIA,DATOS!$A230,nCURSO,DATOS!$D230,nESPEC,DATOS!$E230,nASIG,DATOS!$I230,nEVAL,"OR")=0))</f>
      </c>
      <c r="I230">
        <f>IF(DATOS!$I230="","",IFERROR(VLOOKUP(DATOS!$I230,CONFIG_ASIGNATURAS!$B$2:$J$91,9,FALSE()),""))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IF(DATOS!$A231="",0,IF(CONFIG_METADATA!$B$4&lt;&gt;"OR+EX",--(DATOS!$G231=CONFIG_METADATA!$B$4),IF(DATOS!$G231="EX",1,IF(DATOS!$G231="OR",--(COUNTIFS(nNIA,DATOS!$A231,nCURSO,DATOS!$D231,nESPEC,DATOS!$E231,nASIG,DATOS!$I231,nEVAL,"EX")=0),0))))</f>
      </c>
      <c r="H231">
        <f>IF(DATOS!$G231&lt;&gt;"EX",0,--(COUNTIFS(nNIA,DATOS!$A231,nCURSO,DATOS!$D231,nESPEC,DATOS!$E231,nASIG,DATOS!$I231,nEVAL,"OR")=0))</f>
      </c>
      <c r="I231">
        <f>IF(DATOS!$I231="","",IFERROR(VLOOKUP(DATOS!$I231,CONFIG_ASIGNATURAS!$B$2:$J$91,9,FALSE()),""))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IF(DATOS!$A232="",0,IF(CONFIG_METADATA!$B$4&lt;&gt;"OR+EX",--(DATOS!$G232=CONFIG_METADATA!$B$4),IF(DATOS!$G232="EX",1,IF(DATOS!$G232="OR",--(COUNTIFS(nNIA,DATOS!$A232,nCURSO,DATOS!$D232,nESPEC,DATOS!$E232,nASIG,DATOS!$I232,nEVAL,"EX")=0),0))))</f>
      </c>
      <c r="H232">
        <f>IF(DATOS!$G232&lt;&gt;"EX",0,--(COUNTIFS(nNIA,DATOS!$A232,nCURSO,DATOS!$D232,nESPEC,DATOS!$E232,nASIG,DATOS!$I232,nEVAL,"OR")=0))</f>
      </c>
      <c r="I232">
        <f>IF(DATOS!$I232="","",IFERROR(VLOOKUP(DATOS!$I232,CONFIG_ASIGNATURAS!$B$2:$J$91,9,FALSE()),""))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IF(DATOS!$A233="",0,IF(CONFIG_METADATA!$B$4&lt;&gt;"OR+EX",--(DATOS!$G233=CONFIG_METADATA!$B$4),IF(DATOS!$G233="EX",1,IF(DATOS!$G233="OR",--(COUNTIFS(nNIA,DATOS!$A233,nCURSO,DATOS!$D233,nESPEC,DATOS!$E233,nASIG,DATOS!$I233,nEVAL,"EX")=0),0))))</f>
      </c>
      <c r="H233">
        <f>IF(DATOS!$G233&lt;&gt;"EX",0,--(COUNTIFS(nNIA,DATOS!$A233,nCURSO,DATOS!$D233,nESPEC,DATOS!$E233,nASIG,DATOS!$I233,nEVAL,"OR")=0))</f>
      </c>
      <c r="I233">
        <f>IF(DATOS!$I233="","",IFERROR(VLOOKUP(DATOS!$I233,CONFIG_ASIGNATURAS!$B$2:$J$91,9,FALSE()),""))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IF(DATOS!$A234="",0,IF(CONFIG_METADATA!$B$4&lt;&gt;"OR+EX",--(DATOS!$G234=CONFIG_METADATA!$B$4),IF(DATOS!$G234="EX",1,IF(DATOS!$G234="OR",--(COUNTIFS(nNIA,DATOS!$A234,nCURSO,DATOS!$D234,nESPEC,DATOS!$E234,nASIG,DATOS!$I234,nEVAL,"EX")=0),0))))</f>
      </c>
      <c r="H234">
        <f>IF(DATOS!$G234&lt;&gt;"EX",0,--(COUNTIFS(nNIA,DATOS!$A234,nCURSO,DATOS!$D234,nESPEC,DATOS!$E234,nASIG,DATOS!$I234,nEVAL,"OR")=0))</f>
      </c>
      <c r="I234">
        <f>IF(DATOS!$I234="","",IFERROR(VLOOKUP(DATOS!$I234,CONFIG_ASIGNATURAS!$B$2:$J$91,9,FALSE()),""))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IF(DATOS!$A235="",0,IF(CONFIG_METADATA!$B$4&lt;&gt;"OR+EX",--(DATOS!$G235=CONFIG_METADATA!$B$4),IF(DATOS!$G235="EX",1,IF(DATOS!$G235="OR",--(COUNTIFS(nNIA,DATOS!$A235,nCURSO,DATOS!$D235,nESPEC,DATOS!$E235,nASIG,DATOS!$I235,nEVAL,"EX")=0),0))))</f>
      </c>
      <c r="H235">
        <f>IF(DATOS!$G235&lt;&gt;"EX",0,--(COUNTIFS(nNIA,DATOS!$A235,nCURSO,DATOS!$D235,nESPEC,DATOS!$E235,nASIG,DATOS!$I235,nEVAL,"OR")=0))</f>
      </c>
      <c r="I235">
        <f>IF(DATOS!$I235="","",IFERROR(VLOOKUP(DATOS!$I235,CONFIG_ASIGNATURAS!$B$2:$J$91,9,FALSE()),""))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IF(DATOS!$A236="",0,IF(CONFIG_METADATA!$B$4&lt;&gt;"OR+EX",--(DATOS!$G236=CONFIG_METADATA!$B$4),IF(DATOS!$G236="EX",1,IF(DATOS!$G236="OR",--(COUNTIFS(nNIA,DATOS!$A236,nCURSO,DATOS!$D236,nESPEC,DATOS!$E236,nASIG,DATOS!$I236,nEVAL,"EX")=0),0))))</f>
      </c>
      <c r="H236">
        <f>IF(DATOS!$G236&lt;&gt;"EX",0,--(COUNTIFS(nNIA,DATOS!$A236,nCURSO,DATOS!$D236,nESPEC,DATOS!$E236,nASIG,DATOS!$I236,nEVAL,"OR")=0))</f>
      </c>
      <c r="I236">
        <f>IF(DATOS!$I236="","",IFERROR(VLOOKUP(DATOS!$I236,CONFIG_ASIGNATURAS!$B$2:$J$91,9,FALSE()),""))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IF(DATOS!$A237="",0,IF(CONFIG_METADATA!$B$4&lt;&gt;"OR+EX",--(DATOS!$G237=CONFIG_METADATA!$B$4),IF(DATOS!$G237="EX",1,IF(DATOS!$G237="OR",--(COUNTIFS(nNIA,DATOS!$A237,nCURSO,DATOS!$D237,nESPEC,DATOS!$E237,nASIG,DATOS!$I237,nEVAL,"EX")=0),0))))</f>
      </c>
      <c r="H237">
        <f>IF(DATOS!$G237&lt;&gt;"EX",0,--(COUNTIFS(nNIA,DATOS!$A237,nCURSO,DATOS!$D237,nESPEC,DATOS!$E237,nASIG,DATOS!$I237,nEVAL,"OR")=0))</f>
      </c>
      <c r="I237">
        <f>IF(DATOS!$I237="","",IFERROR(VLOOKUP(DATOS!$I237,CONFIG_ASIGNATURAS!$B$2:$J$91,9,FALSE()),""))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IF(DATOS!$A238="",0,IF(CONFIG_METADATA!$B$4&lt;&gt;"OR+EX",--(DATOS!$G238=CONFIG_METADATA!$B$4),IF(DATOS!$G238="EX",1,IF(DATOS!$G238="OR",--(COUNTIFS(nNIA,DATOS!$A238,nCURSO,DATOS!$D238,nESPEC,DATOS!$E238,nASIG,DATOS!$I238,nEVAL,"EX")=0),0))))</f>
      </c>
      <c r="H238">
        <f>IF(DATOS!$G238&lt;&gt;"EX",0,--(COUNTIFS(nNIA,DATOS!$A238,nCURSO,DATOS!$D238,nESPEC,DATOS!$E238,nASIG,DATOS!$I238,nEVAL,"OR")=0))</f>
      </c>
      <c r="I238">
        <f>IF(DATOS!$I238="","",IFERROR(VLOOKUP(DATOS!$I238,CONFIG_ASIGNATURAS!$B$2:$J$91,9,FALSE()),""))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IF(DATOS!$A239="",0,IF(CONFIG_METADATA!$B$4&lt;&gt;"OR+EX",--(DATOS!$G239=CONFIG_METADATA!$B$4),IF(DATOS!$G239="EX",1,IF(DATOS!$G239="OR",--(COUNTIFS(nNIA,DATOS!$A239,nCURSO,DATOS!$D239,nESPEC,DATOS!$E239,nASIG,DATOS!$I239,nEVAL,"EX")=0),0))))</f>
      </c>
      <c r="H239">
        <f>IF(DATOS!$G239&lt;&gt;"EX",0,--(COUNTIFS(nNIA,DATOS!$A239,nCURSO,DATOS!$D239,nESPEC,DATOS!$E239,nASIG,DATOS!$I239,nEVAL,"OR")=0))</f>
      </c>
      <c r="I239">
        <f>IF(DATOS!$I239="","",IFERROR(VLOOKUP(DATOS!$I239,CONFIG_ASIGNATURAS!$B$2:$J$91,9,FALSE()),""))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IF(DATOS!$A240="",0,IF(CONFIG_METADATA!$B$4&lt;&gt;"OR+EX",--(DATOS!$G240=CONFIG_METADATA!$B$4),IF(DATOS!$G240="EX",1,IF(DATOS!$G240="OR",--(COUNTIFS(nNIA,DATOS!$A240,nCURSO,DATOS!$D240,nESPEC,DATOS!$E240,nASIG,DATOS!$I240,nEVAL,"EX")=0),0))))</f>
      </c>
      <c r="H240">
        <f>IF(DATOS!$G240&lt;&gt;"EX",0,--(COUNTIFS(nNIA,DATOS!$A240,nCURSO,DATOS!$D240,nESPEC,DATOS!$E240,nASIG,DATOS!$I240,nEVAL,"OR")=0))</f>
      </c>
      <c r="I240">
        <f>IF(DATOS!$I240="","",IFERROR(VLOOKUP(DATOS!$I240,CONFIG_ASIGNATURAS!$B$2:$J$91,9,FALSE()),""))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IF(DATOS!$A241="",0,IF(CONFIG_METADATA!$B$4&lt;&gt;"OR+EX",--(DATOS!$G241=CONFIG_METADATA!$B$4),IF(DATOS!$G241="EX",1,IF(DATOS!$G241="OR",--(COUNTIFS(nNIA,DATOS!$A241,nCURSO,DATOS!$D241,nESPEC,DATOS!$E241,nASIG,DATOS!$I241,nEVAL,"EX")=0),0))))</f>
      </c>
      <c r="H241">
        <f>IF(DATOS!$G241&lt;&gt;"EX",0,--(COUNTIFS(nNIA,DATOS!$A241,nCURSO,DATOS!$D241,nESPEC,DATOS!$E241,nASIG,DATOS!$I241,nEVAL,"OR")=0))</f>
      </c>
      <c r="I241">
        <f>IF(DATOS!$I241="","",IFERROR(VLOOKUP(DATOS!$I241,CONFIG_ASIGNATURAS!$B$2:$J$91,9,FALSE()),""))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IF(DATOS!$A242="",0,IF(CONFIG_METADATA!$B$4&lt;&gt;"OR+EX",--(DATOS!$G242=CONFIG_METADATA!$B$4),IF(DATOS!$G242="EX",1,IF(DATOS!$G242="OR",--(COUNTIFS(nNIA,DATOS!$A242,nCURSO,DATOS!$D242,nESPEC,DATOS!$E242,nASIG,DATOS!$I242,nEVAL,"EX")=0),0))))</f>
      </c>
      <c r="H242">
        <f>IF(DATOS!$G242&lt;&gt;"EX",0,--(COUNTIFS(nNIA,DATOS!$A242,nCURSO,DATOS!$D242,nESPEC,DATOS!$E242,nASIG,DATOS!$I242,nEVAL,"OR")=0))</f>
      </c>
      <c r="I242">
        <f>IF(DATOS!$I242="","",IFERROR(VLOOKUP(DATOS!$I242,CONFIG_ASIGNATURAS!$B$2:$J$91,9,FALSE()),""))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IF(DATOS!$A243="",0,IF(CONFIG_METADATA!$B$4&lt;&gt;"OR+EX",--(DATOS!$G243=CONFIG_METADATA!$B$4),IF(DATOS!$G243="EX",1,IF(DATOS!$G243="OR",--(COUNTIFS(nNIA,DATOS!$A243,nCURSO,DATOS!$D243,nESPEC,DATOS!$E243,nASIG,DATOS!$I243,nEVAL,"EX")=0),0))))</f>
      </c>
      <c r="H243">
        <f>IF(DATOS!$G243&lt;&gt;"EX",0,--(COUNTIFS(nNIA,DATOS!$A243,nCURSO,DATOS!$D243,nESPEC,DATOS!$E243,nASIG,DATOS!$I243,nEVAL,"OR")=0))</f>
      </c>
      <c r="I243">
        <f>IF(DATOS!$I243="","",IFERROR(VLOOKUP(DATOS!$I243,CONFIG_ASIGNATURAS!$B$2:$J$91,9,FALSE()),""))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IF(DATOS!$A244="",0,IF(CONFIG_METADATA!$B$4&lt;&gt;"OR+EX",--(DATOS!$G244=CONFIG_METADATA!$B$4),IF(DATOS!$G244="EX",1,IF(DATOS!$G244="OR",--(COUNTIFS(nNIA,DATOS!$A244,nCURSO,DATOS!$D244,nESPEC,DATOS!$E244,nASIG,DATOS!$I244,nEVAL,"EX")=0),0))))</f>
      </c>
      <c r="H244">
        <f>IF(DATOS!$G244&lt;&gt;"EX",0,--(COUNTIFS(nNIA,DATOS!$A244,nCURSO,DATOS!$D244,nESPEC,DATOS!$E244,nASIG,DATOS!$I244,nEVAL,"OR")=0))</f>
      </c>
      <c r="I244">
        <f>IF(DATOS!$I244="","",IFERROR(VLOOKUP(DATOS!$I244,CONFIG_ASIGNATURAS!$B$2:$J$91,9,FALSE()),""))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IF(DATOS!$A245="",0,IF(CONFIG_METADATA!$B$4&lt;&gt;"OR+EX",--(DATOS!$G245=CONFIG_METADATA!$B$4),IF(DATOS!$G245="EX",1,IF(DATOS!$G245="OR",--(COUNTIFS(nNIA,DATOS!$A245,nCURSO,DATOS!$D245,nESPEC,DATOS!$E245,nASIG,DATOS!$I245,nEVAL,"EX")=0),0))))</f>
      </c>
      <c r="H245">
        <f>IF(DATOS!$G245&lt;&gt;"EX",0,--(COUNTIFS(nNIA,DATOS!$A245,nCURSO,DATOS!$D245,nESPEC,DATOS!$E245,nASIG,DATOS!$I245,nEVAL,"OR")=0))</f>
      </c>
      <c r="I245">
        <f>IF(DATOS!$I245="","",IFERROR(VLOOKUP(DATOS!$I245,CONFIG_ASIGNATURAS!$B$2:$J$91,9,FALSE()),""))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IF(DATOS!$A246="",0,IF(CONFIG_METADATA!$B$4&lt;&gt;"OR+EX",--(DATOS!$G246=CONFIG_METADATA!$B$4),IF(DATOS!$G246="EX",1,IF(DATOS!$G246="OR",--(COUNTIFS(nNIA,DATOS!$A246,nCURSO,DATOS!$D246,nESPEC,DATOS!$E246,nASIG,DATOS!$I246,nEVAL,"EX")=0),0))))</f>
      </c>
      <c r="H246">
        <f>IF(DATOS!$G246&lt;&gt;"EX",0,--(COUNTIFS(nNIA,DATOS!$A246,nCURSO,DATOS!$D246,nESPEC,DATOS!$E246,nASIG,DATOS!$I246,nEVAL,"OR")=0))</f>
      </c>
      <c r="I246">
        <f>IF(DATOS!$I246="","",IFERROR(VLOOKUP(DATOS!$I246,CONFIG_ASIGNATURAS!$B$2:$J$91,9,FALSE()),""))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IF(DATOS!$A247="",0,IF(CONFIG_METADATA!$B$4&lt;&gt;"OR+EX",--(DATOS!$G247=CONFIG_METADATA!$B$4),IF(DATOS!$G247="EX",1,IF(DATOS!$G247="OR",--(COUNTIFS(nNIA,DATOS!$A247,nCURSO,DATOS!$D247,nESPEC,DATOS!$E247,nASIG,DATOS!$I247,nEVAL,"EX")=0),0))))</f>
      </c>
      <c r="H247">
        <f>IF(DATOS!$G247&lt;&gt;"EX",0,--(COUNTIFS(nNIA,DATOS!$A247,nCURSO,DATOS!$D247,nESPEC,DATOS!$E247,nASIG,DATOS!$I247,nEVAL,"OR")=0))</f>
      </c>
      <c r="I247">
        <f>IF(DATOS!$I247="","",IFERROR(VLOOKUP(DATOS!$I247,CONFIG_ASIGNATURAS!$B$2:$J$91,9,FALSE()),""))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IF(DATOS!$A248="",0,IF(CONFIG_METADATA!$B$4&lt;&gt;"OR+EX",--(DATOS!$G248=CONFIG_METADATA!$B$4),IF(DATOS!$G248="EX",1,IF(DATOS!$G248="OR",--(COUNTIFS(nNIA,DATOS!$A248,nCURSO,DATOS!$D248,nESPEC,DATOS!$E248,nASIG,DATOS!$I248,nEVAL,"EX")=0),0))))</f>
      </c>
      <c r="H248">
        <f>IF(DATOS!$G248&lt;&gt;"EX",0,--(COUNTIFS(nNIA,DATOS!$A248,nCURSO,DATOS!$D248,nESPEC,DATOS!$E248,nASIG,DATOS!$I248,nEVAL,"OR")=0))</f>
      </c>
      <c r="I248">
        <f>IF(DATOS!$I248="","",IFERROR(VLOOKUP(DATOS!$I248,CONFIG_ASIGNATURAS!$B$2:$J$91,9,FALSE()),""))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IF(DATOS!$A249="",0,IF(CONFIG_METADATA!$B$4&lt;&gt;"OR+EX",--(DATOS!$G249=CONFIG_METADATA!$B$4),IF(DATOS!$G249="EX",1,IF(DATOS!$G249="OR",--(COUNTIFS(nNIA,DATOS!$A249,nCURSO,DATOS!$D249,nESPEC,DATOS!$E249,nASIG,DATOS!$I249,nEVAL,"EX")=0),0))))</f>
      </c>
      <c r="H249">
        <f>IF(DATOS!$G249&lt;&gt;"EX",0,--(COUNTIFS(nNIA,DATOS!$A249,nCURSO,DATOS!$D249,nESPEC,DATOS!$E249,nASIG,DATOS!$I249,nEVAL,"OR")=0))</f>
      </c>
      <c r="I249">
        <f>IF(DATOS!$I249="","",IFERROR(VLOOKUP(DATOS!$I249,CONFIG_ASIGNATURAS!$B$2:$J$91,9,FALSE()),""))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IF(DATOS!$A250="",0,IF(CONFIG_METADATA!$B$4&lt;&gt;"OR+EX",--(DATOS!$G250=CONFIG_METADATA!$B$4),IF(DATOS!$G250="EX",1,IF(DATOS!$G250="OR",--(COUNTIFS(nNIA,DATOS!$A250,nCURSO,DATOS!$D250,nESPEC,DATOS!$E250,nASIG,DATOS!$I250,nEVAL,"EX")=0),0))))</f>
      </c>
      <c r="H250">
        <f>IF(DATOS!$G250&lt;&gt;"EX",0,--(COUNTIFS(nNIA,DATOS!$A250,nCURSO,DATOS!$D250,nESPEC,DATOS!$E250,nASIG,DATOS!$I250,nEVAL,"OR")=0))</f>
      </c>
      <c r="I250">
        <f>IF(DATOS!$I250="","",IFERROR(VLOOKUP(DATOS!$I250,CONFIG_ASIGNATURAS!$B$2:$J$91,9,FALSE()),""))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IF(DATOS!$A251="",0,IF(CONFIG_METADATA!$B$4&lt;&gt;"OR+EX",--(DATOS!$G251=CONFIG_METADATA!$B$4),IF(DATOS!$G251="EX",1,IF(DATOS!$G251="OR",--(COUNTIFS(nNIA,DATOS!$A251,nCURSO,DATOS!$D251,nESPEC,DATOS!$E251,nASIG,DATOS!$I251,nEVAL,"EX")=0),0))))</f>
      </c>
      <c r="H251">
        <f>IF(DATOS!$G251&lt;&gt;"EX",0,--(COUNTIFS(nNIA,DATOS!$A251,nCURSO,DATOS!$D251,nESPEC,DATOS!$E251,nASIG,DATOS!$I251,nEVAL,"OR")=0))</f>
      </c>
      <c r="I251">
        <f>IF(DATOS!$I251="","",IFERROR(VLOOKUP(DATOS!$I251,CONFIG_ASIGNATURAS!$B$2:$J$91,9,FALSE()),""))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IF(DATOS!$A252="",0,IF(CONFIG_METADATA!$B$4&lt;&gt;"OR+EX",--(DATOS!$G252=CONFIG_METADATA!$B$4),IF(DATOS!$G252="EX",1,IF(DATOS!$G252="OR",--(COUNTIFS(nNIA,DATOS!$A252,nCURSO,DATOS!$D252,nESPEC,DATOS!$E252,nASIG,DATOS!$I252,nEVAL,"EX")=0),0))))</f>
      </c>
      <c r="H252">
        <f>IF(DATOS!$G252&lt;&gt;"EX",0,--(COUNTIFS(nNIA,DATOS!$A252,nCURSO,DATOS!$D252,nESPEC,DATOS!$E252,nASIG,DATOS!$I252,nEVAL,"OR")=0))</f>
      </c>
      <c r="I252">
        <f>IF(DATOS!$I252="","",IFERROR(VLOOKUP(DATOS!$I252,CONFIG_ASIGNATURAS!$B$2:$J$91,9,FALSE()),""))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IF(DATOS!$A253="",0,IF(CONFIG_METADATA!$B$4&lt;&gt;"OR+EX",--(DATOS!$G253=CONFIG_METADATA!$B$4),IF(DATOS!$G253="EX",1,IF(DATOS!$G253="OR",--(COUNTIFS(nNIA,DATOS!$A253,nCURSO,DATOS!$D253,nESPEC,DATOS!$E253,nASIG,DATOS!$I253,nEVAL,"EX")=0),0))))</f>
      </c>
      <c r="H253">
        <f>IF(DATOS!$G253&lt;&gt;"EX",0,--(COUNTIFS(nNIA,DATOS!$A253,nCURSO,DATOS!$D253,nESPEC,DATOS!$E253,nASIG,DATOS!$I253,nEVAL,"OR")=0))</f>
      </c>
      <c r="I253">
        <f>IF(DATOS!$I253="","",IFERROR(VLOOKUP(DATOS!$I253,CONFIG_ASIGNATURAS!$B$2:$J$91,9,FALSE()),""))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IF(DATOS!$A254="",0,IF(CONFIG_METADATA!$B$4&lt;&gt;"OR+EX",--(DATOS!$G254=CONFIG_METADATA!$B$4),IF(DATOS!$G254="EX",1,IF(DATOS!$G254="OR",--(COUNTIFS(nNIA,DATOS!$A254,nCURSO,DATOS!$D254,nESPEC,DATOS!$E254,nASIG,DATOS!$I254,nEVAL,"EX")=0),0))))</f>
      </c>
      <c r="H254">
        <f>IF(DATOS!$G254&lt;&gt;"EX",0,--(COUNTIFS(nNIA,DATOS!$A254,nCURSO,DATOS!$D254,nESPEC,DATOS!$E254,nASIG,DATOS!$I254,nEVAL,"OR")=0))</f>
      </c>
      <c r="I254">
        <f>IF(DATOS!$I254="","",IFERROR(VLOOKUP(DATOS!$I254,CONFIG_ASIGNATURAS!$B$2:$J$91,9,FALSE()),""))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IF(DATOS!$A255="",0,IF(CONFIG_METADATA!$B$4&lt;&gt;"OR+EX",--(DATOS!$G255=CONFIG_METADATA!$B$4),IF(DATOS!$G255="EX",1,IF(DATOS!$G255="OR",--(COUNTIFS(nNIA,DATOS!$A255,nCURSO,DATOS!$D255,nESPEC,DATOS!$E255,nASIG,DATOS!$I255,nEVAL,"EX")=0),0))))</f>
      </c>
      <c r="H255">
        <f>IF(DATOS!$G255&lt;&gt;"EX",0,--(COUNTIFS(nNIA,DATOS!$A255,nCURSO,DATOS!$D255,nESPEC,DATOS!$E255,nASIG,DATOS!$I255,nEVAL,"OR")=0))</f>
      </c>
      <c r="I255">
        <f>IF(DATOS!$I255="","",IFERROR(VLOOKUP(DATOS!$I255,CONFIG_ASIGNATURAS!$B$2:$J$91,9,FALSE()),""))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IF(DATOS!$A256="",0,IF(CONFIG_METADATA!$B$4&lt;&gt;"OR+EX",--(DATOS!$G256=CONFIG_METADATA!$B$4),IF(DATOS!$G256="EX",1,IF(DATOS!$G256="OR",--(COUNTIFS(nNIA,DATOS!$A256,nCURSO,DATOS!$D256,nESPEC,DATOS!$E256,nASIG,DATOS!$I256,nEVAL,"EX")=0),0))))</f>
      </c>
      <c r="H256">
        <f>IF(DATOS!$G256&lt;&gt;"EX",0,--(COUNTIFS(nNIA,DATOS!$A256,nCURSO,DATOS!$D256,nESPEC,DATOS!$E256,nASIG,DATOS!$I256,nEVAL,"OR")=0))</f>
      </c>
      <c r="I256">
        <f>IF(DATOS!$I256="","",IFERROR(VLOOKUP(DATOS!$I256,CONFIG_ASIGNATURAS!$B$2:$J$91,9,FALSE()),""))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IF(DATOS!$A257="",0,IF(CONFIG_METADATA!$B$4&lt;&gt;"OR+EX",--(DATOS!$G257=CONFIG_METADATA!$B$4),IF(DATOS!$G257="EX",1,IF(DATOS!$G257="OR",--(COUNTIFS(nNIA,DATOS!$A257,nCURSO,DATOS!$D257,nESPEC,DATOS!$E257,nASIG,DATOS!$I257,nEVAL,"EX")=0),0))))</f>
      </c>
      <c r="H257">
        <f>IF(DATOS!$G257&lt;&gt;"EX",0,--(COUNTIFS(nNIA,DATOS!$A257,nCURSO,DATOS!$D257,nESPEC,DATOS!$E257,nASIG,DATOS!$I257,nEVAL,"OR")=0))</f>
      </c>
      <c r="I257">
        <f>IF(DATOS!$I257="","",IFERROR(VLOOKUP(DATOS!$I257,CONFIG_ASIGNATURAS!$B$2:$J$91,9,FALSE()),""))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IF(DATOS!$A258="",0,IF(CONFIG_METADATA!$B$4&lt;&gt;"OR+EX",--(DATOS!$G258=CONFIG_METADATA!$B$4),IF(DATOS!$G258="EX",1,IF(DATOS!$G258="OR",--(COUNTIFS(nNIA,DATOS!$A258,nCURSO,DATOS!$D258,nESPEC,DATOS!$E258,nASIG,DATOS!$I258,nEVAL,"EX")=0),0))))</f>
      </c>
      <c r="H258">
        <f>IF(DATOS!$G258&lt;&gt;"EX",0,--(COUNTIFS(nNIA,DATOS!$A258,nCURSO,DATOS!$D258,nESPEC,DATOS!$E258,nASIG,DATOS!$I258,nEVAL,"OR")=0))</f>
      </c>
      <c r="I258">
        <f>IF(DATOS!$I258="","",IFERROR(VLOOKUP(DATOS!$I258,CONFIG_ASIGNATURAS!$B$2:$J$91,9,FALSE()),""))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IF(DATOS!$A259="",0,IF(CONFIG_METADATA!$B$4&lt;&gt;"OR+EX",--(DATOS!$G259=CONFIG_METADATA!$B$4),IF(DATOS!$G259="EX",1,IF(DATOS!$G259="OR",--(COUNTIFS(nNIA,DATOS!$A259,nCURSO,DATOS!$D259,nESPEC,DATOS!$E259,nASIG,DATOS!$I259,nEVAL,"EX")=0),0))))</f>
      </c>
      <c r="H259">
        <f>IF(DATOS!$G259&lt;&gt;"EX",0,--(COUNTIFS(nNIA,DATOS!$A259,nCURSO,DATOS!$D259,nESPEC,DATOS!$E259,nASIG,DATOS!$I259,nEVAL,"OR")=0))</f>
      </c>
      <c r="I259">
        <f>IF(DATOS!$I259="","",IFERROR(VLOOKUP(DATOS!$I259,CONFIG_ASIGNATURAS!$B$2:$J$91,9,FALSE()),""))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IF(DATOS!$A260="",0,IF(CONFIG_METADATA!$B$4&lt;&gt;"OR+EX",--(DATOS!$G260=CONFIG_METADATA!$B$4),IF(DATOS!$G260="EX",1,IF(DATOS!$G260="OR",--(COUNTIFS(nNIA,DATOS!$A260,nCURSO,DATOS!$D260,nESPEC,DATOS!$E260,nASIG,DATOS!$I260,nEVAL,"EX")=0),0))))</f>
      </c>
      <c r="H260">
        <f>IF(DATOS!$G260&lt;&gt;"EX",0,--(COUNTIFS(nNIA,DATOS!$A260,nCURSO,DATOS!$D260,nESPEC,DATOS!$E260,nASIG,DATOS!$I260,nEVAL,"OR")=0))</f>
      </c>
      <c r="I260">
        <f>IF(DATOS!$I260="","",IFERROR(VLOOKUP(DATOS!$I260,CONFIG_ASIGNATURAS!$B$2:$J$91,9,FALSE()),""))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IF(DATOS!$A261="",0,IF(CONFIG_METADATA!$B$4&lt;&gt;"OR+EX",--(DATOS!$G261=CONFIG_METADATA!$B$4),IF(DATOS!$G261="EX",1,IF(DATOS!$G261="OR",--(COUNTIFS(nNIA,DATOS!$A261,nCURSO,DATOS!$D261,nESPEC,DATOS!$E261,nASIG,DATOS!$I261,nEVAL,"EX")=0),0))))</f>
      </c>
      <c r="H261">
        <f>IF(DATOS!$G261&lt;&gt;"EX",0,--(COUNTIFS(nNIA,DATOS!$A261,nCURSO,DATOS!$D261,nESPEC,DATOS!$E261,nASIG,DATOS!$I261,nEVAL,"OR")=0))</f>
      </c>
      <c r="I261">
        <f>IF(DATOS!$I261="","",IFERROR(VLOOKUP(DATOS!$I261,CONFIG_ASIGNATURAS!$B$2:$J$91,9,FALSE()),""))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IF(DATOS!$A262="",0,IF(CONFIG_METADATA!$B$4&lt;&gt;"OR+EX",--(DATOS!$G262=CONFIG_METADATA!$B$4),IF(DATOS!$G262="EX",1,IF(DATOS!$G262="OR",--(COUNTIFS(nNIA,DATOS!$A262,nCURSO,DATOS!$D262,nESPEC,DATOS!$E262,nASIG,DATOS!$I262,nEVAL,"EX")=0),0))))</f>
      </c>
      <c r="H262">
        <f>IF(DATOS!$G262&lt;&gt;"EX",0,--(COUNTIFS(nNIA,DATOS!$A262,nCURSO,DATOS!$D262,nESPEC,DATOS!$E262,nASIG,DATOS!$I262,nEVAL,"OR")=0))</f>
      </c>
      <c r="I262">
        <f>IF(DATOS!$I262="","",IFERROR(VLOOKUP(DATOS!$I262,CONFIG_ASIGNATURAS!$B$2:$J$91,9,FALSE()),""))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IF(DATOS!$A263="",0,IF(CONFIG_METADATA!$B$4&lt;&gt;"OR+EX",--(DATOS!$G263=CONFIG_METADATA!$B$4),IF(DATOS!$G263="EX",1,IF(DATOS!$G263="OR",--(COUNTIFS(nNIA,DATOS!$A263,nCURSO,DATOS!$D263,nESPEC,DATOS!$E263,nASIG,DATOS!$I263,nEVAL,"EX")=0),0))))</f>
      </c>
      <c r="H263">
        <f>IF(DATOS!$G263&lt;&gt;"EX",0,--(COUNTIFS(nNIA,DATOS!$A263,nCURSO,DATOS!$D263,nESPEC,DATOS!$E263,nASIG,DATOS!$I263,nEVAL,"OR")=0))</f>
      </c>
      <c r="I263">
        <f>IF(DATOS!$I263="","",IFERROR(VLOOKUP(DATOS!$I263,CONFIG_ASIGNATURAS!$B$2:$J$91,9,FALSE()),""))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IF(DATOS!$A264="",0,IF(CONFIG_METADATA!$B$4&lt;&gt;"OR+EX",--(DATOS!$G264=CONFIG_METADATA!$B$4),IF(DATOS!$G264="EX",1,IF(DATOS!$G264="OR",--(COUNTIFS(nNIA,DATOS!$A264,nCURSO,DATOS!$D264,nESPEC,DATOS!$E264,nASIG,DATOS!$I264,nEVAL,"EX")=0),0))))</f>
      </c>
      <c r="H264">
        <f>IF(DATOS!$G264&lt;&gt;"EX",0,--(COUNTIFS(nNIA,DATOS!$A264,nCURSO,DATOS!$D264,nESPEC,DATOS!$E264,nASIG,DATOS!$I264,nEVAL,"OR")=0))</f>
      </c>
      <c r="I264">
        <f>IF(DATOS!$I264="","",IFERROR(VLOOKUP(DATOS!$I264,CONFIG_ASIGNATURAS!$B$2:$J$91,9,FALSE()),""))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IF(DATOS!$A265="",0,IF(CONFIG_METADATA!$B$4&lt;&gt;"OR+EX",--(DATOS!$G265=CONFIG_METADATA!$B$4),IF(DATOS!$G265="EX",1,IF(DATOS!$G265="OR",--(COUNTIFS(nNIA,DATOS!$A265,nCURSO,DATOS!$D265,nESPEC,DATOS!$E265,nASIG,DATOS!$I265,nEVAL,"EX")=0),0))))</f>
      </c>
      <c r="H265">
        <f>IF(DATOS!$G265&lt;&gt;"EX",0,--(COUNTIFS(nNIA,DATOS!$A265,nCURSO,DATOS!$D265,nESPEC,DATOS!$E265,nASIG,DATOS!$I265,nEVAL,"OR")=0))</f>
      </c>
      <c r="I265">
        <f>IF(DATOS!$I265="","",IFERROR(VLOOKUP(DATOS!$I265,CONFIG_ASIGNATURAS!$B$2:$J$91,9,FALSE()),""))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IF(DATOS!$A266="",0,IF(CONFIG_METADATA!$B$4&lt;&gt;"OR+EX",--(DATOS!$G266=CONFIG_METADATA!$B$4),IF(DATOS!$G266="EX",1,IF(DATOS!$G266="OR",--(COUNTIFS(nNIA,DATOS!$A266,nCURSO,DATOS!$D266,nESPEC,DATOS!$E266,nASIG,DATOS!$I266,nEVAL,"EX")=0),0))))</f>
      </c>
      <c r="H266">
        <f>IF(DATOS!$G266&lt;&gt;"EX",0,--(COUNTIFS(nNIA,DATOS!$A266,nCURSO,DATOS!$D266,nESPEC,DATOS!$E266,nASIG,DATOS!$I266,nEVAL,"OR")=0))</f>
      </c>
      <c r="I266">
        <f>IF(DATOS!$I266="","",IFERROR(VLOOKUP(DATOS!$I266,CONFIG_ASIGNATURAS!$B$2:$J$91,9,FALSE()),""))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IF(DATOS!$A267="",0,IF(CONFIG_METADATA!$B$4&lt;&gt;"OR+EX",--(DATOS!$G267=CONFIG_METADATA!$B$4),IF(DATOS!$G267="EX",1,IF(DATOS!$G267="OR",--(COUNTIFS(nNIA,DATOS!$A267,nCURSO,DATOS!$D267,nESPEC,DATOS!$E267,nASIG,DATOS!$I267,nEVAL,"EX")=0),0))))</f>
      </c>
      <c r="H267">
        <f>IF(DATOS!$G267&lt;&gt;"EX",0,--(COUNTIFS(nNIA,DATOS!$A267,nCURSO,DATOS!$D267,nESPEC,DATOS!$E267,nASIG,DATOS!$I267,nEVAL,"OR")=0))</f>
      </c>
      <c r="I267">
        <f>IF(DATOS!$I267="","",IFERROR(VLOOKUP(DATOS!$I267,CONFIG_ASIGNATURAS!$B$2:$J$91,9,FALSE()),""))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IF(DATOS!$A268="",0,IF(CONFIG_METADATA!$B$4&lt;&gt;"OR+EX",--(DATOS!$G268=CONFIG_METADATA!$B$4),IF(DATOS!$G268="EX",1,IF(DATOS!$G268="OR",--(COUNTIFS(nNIA,DATOS!$A268,nCURSO,DATOS!$D268,nESPEC,DATOS!$E268,nASIG,DATOS!$I268,nEVAL,"EX")=0),0))))</f>
      </c>
      <c r="H268">
        <f>IF(DATOS!$G268&lt;&gt;"EX",0,--(COUNTIFS(nNIA,DATOS!$A268,nCURSO,DATOS!$D268,nESPEC,DATOS!$E268,nASIG,DATOS!$I268,nEVAL,"OR")=0))</f>
      </c>
      <c r="I268">
        <f>IF(DATOS!$I268="","",IFERROR(VLOOKUP(DATOS!$I268,CONFIG_ASIGNATURAS!$B$2:$J$91,9,FALSE()),""))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IF(DATOS!$A269="",0,IF(CONFIG_METADATA!$B$4&lt;&gt;"OR+EX",--(DATOS!$G269=CONFIG_METADATA!$B$4),IF(DATOS!$G269="EX",1,IF(DATOS!$G269="OR",--(COUNTIFS(nNIA,DATOS!$A269,nCURSO,DATOS!$D269,nESPEC,DATOS!$E269,nASIG,DATOS!$I269,nEVAL,"EX")=0),0))))</f>
      </c>
      <c r="H269">
        <f>IF(DATOS!$G269&lt;&gt;"EX",0,--(COUNTIFS(nNIA,DATOS!$A269,nCURSO,DATOS!$D269,nESPEC,DATOS!$E269,nASIG,DATOS!$I269,nEVAL,"OR")=0))</f>
      </c>
      <c r="I269">
        <f>IF(DATOS!$I269="","",IFERROR(VLOOKUP(DATOS!$I269,CONFIG_ASIGNATURAS!$B$2:$J$91,9,FALSE()),""))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IF(DATOS!$A270="",0,IF(CONFIG_METADATA!$B$4&lt;&gt;"OR+EX",--(DATOS!$G270=CONFIG_METADATA!$B$4),IF(DATOS!$G270="EX",1,IF(DATOS!$G270="OR",--(COUNTIFS(nNIA,DATOS!$A270,nCURSO,DATOS!$D270,nESPEC,DATOS!$E270,nASIG,DATOS!$I270,nEVAL,"EX")=0),0))))</f>
      </c>
      <c r="H270">
        <f>IF(DATOS!$G270&lt;&gt;"EX",0,--(COUNTIFS(nNIA,DATOS!$A270,nCURSO,DATOS!$D270,nESPEC,DATOS!$E270,nASIG,DATOS!$I270,nEVAL,"OR")=0))</f>
      </c>
      <c r="I270">
        <f>IF(DATOS!$I270="","",IFERROR(VLOOKUP(DATOS!$I270,CONFIG_ASIGNATURAS!$B$2:$J$91,9,FALSE()),""))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IF(DATOS!$A271="",0,IF(CONFIG_METADATA!$B$4&lt;&gt;"OR+EX",--(DATOS!$G271=CONFIG_METADATA!$B$4),IF(DATOS!$G271="EX",1,IF(DATOS!$G271="OR",--(COUNTIFS(nNIA,DATOS!$A271,nCURSO,DATOS!$D271,nESPEC,DATOS!$E271,nASIG,DATOS!$I271,nEVAL,"EX")=0),0))))</f>
      </c>
      <c r="H271">
        <f>IF(DATOS!$G271&lt;&gt;"EX",0,--(COUNTIFS(nNIA,DATOS!$A271,nCURSO,DATOS!$D271,nESPEC,DATOS!$E271,nASIG,DATOS!$I271,nEVAL,"OR")=0))</f>
      </c>
      <c r="I271">
        <f>IF(DATOS!$I271="","",IFERROR(VLOOKUP(DATOS!$I271,CONFIG_ASIGNATURAS!$B$2:$J$91,9,FALSE()),""))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IF(DATOS!$A272="",0,IF(CONFIG_METADATA!$B$4&lt;&gt;"OR+EX",--(DATOS!$G272=CONFIG_METADATA!$B$4),IF(DATOS!$G272="EX",1,IF(DATOS!$G272="OR",--(COUNTIFS(nNIA,DATOS!$A272,nCURSO,DATOS!$D272,nESPEC,DATOS!$E272,nASIG,DATOS!$I272,nEVAL,"EX")=0),0))))</f>
      </c>
      <c r="H272">
        <f>IF(DATOS!$G272&lt;&gt;"EX",0,--(COUNTIFS(nNIA,DATOS!$A272,nCURSO,DATOS!$D272,nESPEC,DATOS!$E272,nASIG,DATOS!$I272,nEVAL,"OR")=0))</f>
      </c>
      <c r="I272">
        <f>IF(DATOS!$I272="","",IFERROR(VLOOKUP(DATOS!$I272,CONFIG_ASIGNATURAS!$B$2:$J$91,9,FALSE()),""))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IF(DATOS!$A273="",0,IF(CONFIG_METADATA!$B$4&lt;&gt;"OR+EX",--(DATOS!$G273=CONFIG_METADATA!$B$4),IF(DATOS!$G273="EX",1,IF(DATOS!$G273="OR",--(COUNTIFS(nNIA,DATOS!$A273,nCURSO,DATOS!$D273,nESPEC,DATOS!$E273,nASIG,DATOS!$I273,nEVAL,"EX")=0),0))))</f>
      </c>
      <c r="H273">
        <f>IF(DATOS!$G273&lt;&gt;"EX",0,--(COUNTIFS(nNIA,DATOS!$A273,nCURSO,DATOS!$D273,nESPEC,DATOS!$E273,nASIG,DATOS!$I273,nEVAL,"OR")=0))</f>
      </c>
      <c r="I273">
        <f>IF(DATOS!$I273="","",IFERROR(VLOOKUP(DATOS!$I273,CONFIG_ASIGNATURAS!$B$2:$J$91,9,FALSE()),""))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IF(DATOS!$A274="",0,IF(CONFIG_METADATA!$B$4&lt;&gt;"OR+EX",--(DATOS!$G274=CONFIG_METADATA!$B$4),IF(DATOS!$G274="EX",1,IF(DATOS!$G274="OR",--(COUNTIFS(nNIA,DATOS!$A274,nCURSO,DATOS!$D274,nESPEC,DATOS!$E274,nASIG,DATOS!$I274,nEVAL,"EX")=0),0))))</f>
      </c>
      <c r="H274">
        <f>IF(DATOS!$G274&lt;&gt;"EX",0,--(COUNTIFS(nNIA,DATOS!$A274,nCURSO,DATOS!$D274,nESPEC,DATOS!$E274,nASIG,DATOS!$I274,nEVAL,"OR")=0))</f>
      </c>
      <c r="I274">
        <f>IF(DATOS!$I274="","",IFERROR(VLOOKUP(DATOS!$I274,CONFIG_ASIGNATURAS!$B$2:$J$91,9,FALSE()),""))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IF(DATOS!$A275="",0,IF(CONFIG_METADATA!$B$4&lt;&gt;"OR+EX",--(DATOS!$G275=CONFIG_METADATA!$B$4),IF(DATOS!$G275="EX",1,IF(DATOS!$G275="OR",--(COUNTIFS(nNIA,DATOS!$A275,nCURSO,DATOS!$D275,nESPEC,DATOS!$E275,nASIG,DATOS!$I275,nEVAL,"EX")=0),0))))</f>
      </c>
      <c r="H275">
        <f>IF(DATOS!$G275&lt;&gt;"EX",0,--(COUNTIFS(nNIA,DATOS!$A275,nCURSO,DATOS!$D275,nESPEC,DATOS!$E275,nASIG,DATOS!$I275,nEVAL,"OR")=0))</f>
      </c>
      <c r="I275">
        <f>IF(DATOS!$I275="","",IFERROR(VLOOKUP(DATOS!$I275,CONFIG_ASIGNATURAS!$B$2:$J$91,9,FALSE()),""))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IF(DATOS!$A276="",0,IF(CONFIG_METADATA!$B$4&lt;&gt;"OR+EX",--(DATOS!$G276=CONFIG_METADATA!$B$4),IF(DATOS!$G276="EX",1,IF(DATOS!$G276="OR",--(COUNTIFS(nNIA,DATOS!$A276,nCURSO,DATOS!$D276,nESPEC,DATOS!$E276,nASIG,DATOS!$I276,nEVAL,"EX")=0),0))))</f>
      </c>
      <c r="H276">
        <f>IF(DATOS!$G276&lt;&gt;"EX",0,--(COUNTIFS(nNIA,DATOS!$A276,nCURSO,DATOS!$D276,nESPEC,DATOS!$E276,nASIG,DATOS!$I276,nEVAL,"OR")=0))</f>
      </c>
      <c r="I276">
        <f>IF(DATOS!$I276="","",IFERROR(VLOOKUP(DATOS!$I276,CONFIG_ASIGNATURAS!$B$2:$J$91,9,FALSE()),""))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IF(DATOS!$A277="",0,IF(CONFIG_METADATA!$B$4&lt;&gt;"OR+EX",--(DATOS!$G277=CONFIG_METADATA!$B$4),IF(DATOS!$G277="EX",1,IF(DATOS!$G277="OR",--(COUNTIFS(nNIA,DATOS!$A277,nCURSO,DATOS!$D277,nESPEC,DATOS!$E277,nASIG,DATOS!$I277,nEVAL,"EX")=0),0))))</f>
      </c>
      <c r="H277">
        <f>IF(DATOS!$G277&lt;&gt;"EX",0,--(COUNTIFS(nNIA,DATOS!$A277,nCURSO,DATOS!$D277,nESPEC,DATOS!$E277,nASIG,DATOS!$I277,nEVAL,"OR")=0))</f>
      </c>
      <c r="I277">
        <f>IF(DATOS!$I277="","",IFERROR(VLOOKUP(DATOS!$I277,CONFIG_ASIGNATURAS!$B$2:$J$91,9,FALSE()),""))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IF(DATOS!$A278="",0,IF(CONFIG_METADATA!$B$4&lt;&gt;"OR+EX",--(DATOS!$G278=CONFIG_METADATA!$B$4),IF(DATOS!$G278="EX",1,IF(DATOS!$G278="OR",--(COUNTIFS(nNIA,DATOS!$A278,nCURSO,DATOS!$D278,nESPEC,DATOS!$E278,nASIG,DATOS!$I278,nEVAL,"EX")=0),0))))</f>
      </c>
      <c r="H278">
        <f>IF(DATOS!$G278&lt;&gt;"EX",0,--(COUNTIFS(nNIA,DATOS!$A278,nCURSO,DATOS!$D278,nESPEC,DATOS!$E278,nASIG,DATOS!$I278,nEVAL,"OR")=0))</f>
      </c>
      <c r="I278">
        <f>IF(DATOS!$I278="","",IFERROR(VLOOKUP(DATOS!$I278,CONFIG_ASIGNATURAS!$B$2:$J$91,9,FALSE()),""))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IF(DATOS!$A279="",0,IF(CONFIG_METADATA!$B$4&lt;&gt;"OR+EX",--(DATOS!$G279=CONFIG_METADATA!$B$4),IF(DATOS!$G279="EX",1,IF(DATOS!$G279="OR",--(COUNTIFS(nNIA,DATOS!$A279,nCURSO,DATOS!$D279,nESPEC,DATOS!$E279,nASIG,DATOS!$I279,nEVAL,"EX")=0),0))))</f>
      </c>
      <c r="H279">
        <f>IF(DATOS!$G279&lt;&gt;"EX",0,--(COUNTIFS(nNIA,DATOS!$A279,nCURSO,DATOS!$D279,nESPEC,DATOS!$E279,nASIG,DATOS!$I279,nEVAL,"OR")=0))</f>
      </c>
      <c r="I279">
        <f>IF(DATOS!$I279="","",IFERROR(VLOOKUP(DATOS!$I279,CONFIG_ASIGNATURAS!$B$2:$J$91,9,FALSE()),""))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IF(DATOS!$A280="",0,IF(CONFIG_METADATA!$B$4&lt;&gt;"OR+EX",--(DATOS!$G280=CONFIG_METADATA!$B$4),IF(DATOS!$G280="EX",1,IF(DATOS!$G280="OR",--(COUNTIFS(nNIA,DATOS!$A280,nCURSO,DATOS!$D280,nESPEC,DATOS!$E280,nASIG,DATOS!$I280,nEVAL,"EX")=0),0))))</f>
      </c>
      <c r="H280">
        <f>IF(DATOS!$G280&lt;&gt;"EX",0,--(COUNTIFS(nNIA,DATOS!$A280,nCURSO,DATOS!$D280,nESPEC,DATOS!$E280,nASIG,DATOS!$I280,nEVAL,"OR")=0))</f>
      </c>
      <c r="I280">
        <f>IF(DATOS!$I280="","",IFERROR(VLOOKUP(DATOS!$I280,CONFIG_ASIGNATURAS!$B$2:$J$91,9,FALSE()),""))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IF(DATOS!$A281="",0,IF(CONFIG_METADATA!$B$4&lt;&gt;"OR+EX",--(DATOS!$G281=CONFIG_METADATA!$B$4),IF(DATOS!$G281="EX",1,IF(DATOS!$G281="OR",--(COUNTIFS(nNIA,DATOS!$A281,nCURSO,DATOS!$D281,nESPEC,DATOS!$E281,nASIG,DATOS!$I281,nEVAL,"EX")=0),0))))</f>
      </c>
      <c r="H281">
        <f>IF(DATOS!$G281&lt;&gt;"EX",0,--(COUNTIFS(nNIA,DATOS!$A281,nCURSO,DATOS!$D281,nESPEC,DATOS!$E281,nASIG,DATOS!$I281,nEVAL,"OR")=0))</f>
      </c>
      <c r="I281">
        <f>IF(DATOS!$I281="","",IFERROR(VLOOKUP(DATOS!$I281,CONFIG_ASIGNATURAS!$B$2:$J$91,9,FALSE()),""))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IF(DATOS!$A282="",0,IF(CONFIG_METADATA!$B$4&lt;&gt;"OR+EX",--(DATOS!$G282=CONFIG_METADATA!$B$4),IF(DATOS!$G282="EX",1,IF(DATOS!$G282="OR",--(COUNTIFS(nNIA,DATOS!$A282,nCURSO,DATOS!$D282,nESPEC,DATOS!$E282,nASIG,DATOS!$I282,nEVAL,"EX")=0),0))))</f>
      </c>
      <c r="H282">
        <f>IF(DATOS!$G282&lt;&gt;"EX",0,--(COUNTIFS(nNIA,DATOS!$A282,nCURSO,DATOS!$D282,nESPEC,DATOS!$E282,nASIG,DATOS!$I282,nEVAL,"OR")=0))</f>
      </c>
      <c r="I282">
        <f>IF(DATOS!$I282="","",IFERROR(VLOOKUP(DATOS!$I282,CONFIG_ASIGNATURAS!$B$2:$J$91,9,FALSE()),""))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IF(DATOS!$A283="",0,IF(CONFIG_METADATA!$B$4&lt;&gt;"OR+EX",--(DATOS!$G283=CONFIG_METADATA!$B$4),IF(DATOS!$G283="EX",1,IF(DATOS!$G283="OR",--(COUNTIFS(nNIA,DATOS!$A283,nCURSO,DATOS!$D283,nESPEC,DATOS!$E283,nASIG,DATOS!$I283,nEVAL,"EX")=0),0))))</f>
      </c>
      <c r="H283">
        <f>IF(DATOS!$G283&lt;&gt;"EX",0,--(COUNTIFS(nNIA,DATOS!$A283,nCURSO,DATOS!$D283,nESPEC,DATOS!$E283,nASIG,DATOS!$I283,nEVAL,"OR")=0))</f>
      </c>
      <c r="I283">
        <f>IF(DATOS!$I283="","",IFERROR(VLOOKUP(DATOS!$I283,CONFIG_ASIGNATURAS!$B$2:$J$91,9,FALSE()),""))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IF(DATOS!$A284="",0,IF(CONFIG_METADATA!$B$4&lt;&gt;"OR+EX",--(DATOS!$G284=CONFIG_METADATA!$B$4),IF(DATOS!$G284="EX",1,IF(DATOS!$G284="OR",--(COUNTIFS(nNIA,DATOS!$A284,nCURSO,DATOS!$D284,nESPEC,DATOS!$E284,nASIG,DATOS!$I284,nEVAL,"EX")=0),0))))</f>
      </c>
      <c r="H284">
        <f>IF(DATOS!$G284&lt;&gt;"EX",0,--(COUNTIFS(nNIA,DATOS!$A284,nCURSO,DATOS!$D284,nESPEC,DATOS!$E284,nASIG,DATOS!$I284,nEVAL,"OR")=0))</f>
      </c>
      <c r="I284">
        <f>IF(DATOS!$I284="","",IFERROR(VLOOKUP(DATOS!$I284,CONFIG_ASIGNATURAS!$B$2:$J$91,9,FALSE()),""))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IF(DATOS!$A285="",0,IF(CONFIG_METADATA!$B$4&lt;&gt;"OR+EX",--(DATOS!$G285=CONFIG_METADATA!$B$4),IF(DATOS!$G285="EX",1,IF(DATOS!$G285="OR",--(COUNTIFS(nNIA,DATOS!$A285,nCURSO,DATOS!$D285,nESPEC,DATOS!$E285,nASIG,DATOS!$I285,nEVAL,"EX")=0),0))))</f>
      </c>
      <c r="H285">
        <f>IF(DATOS!$G285&lt;&gt;"EX",0,--(COUNTIFS(nNIA,DATOS!$A285,nCURSO,DATOS!$D285,nESPEC,DATOS!$E285,nASIG,DATOS!$I285,nEVAL,"OR")=0))</f>
      </c>
      <c r="I285">
        <f>IF(DATOS!$I285="","",IFERROR(VLOOKUP(DATOS!$I285,CONFIG_ASIGNATURAS!$B$2:$J$91,9,FALSE()),""))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IF(DATOS!$A286="",0,IF(CONFIG_METADATA!$B$4&lt;&gt;"OR+EX",--(DATOS!$G286=CONFIG_METADATA!$B$4),IF(DATOS!$G286="EX",1,IF(DATOS!$G286="OR",--(COUNTIFS(nNIA,DATOS!$A286,nCURSO,DATOS!$D286,nESPEC,DATOS!$E286,nASIG,DATOS!$I286,nEVAL,"EX")=0),0))))</f>
      </c>
      <c r="H286">
        <f>IF(DATOS!$G286&lt;&gt;"EX",0,--(COUNTIFS(nNIA,DATOS!$A286,nCURSO,DATOS!$D286,nESPEC,DATOS!$E286,nASIG,DATOS!$I286,nEVAL,"OR")=0))</f>
      </c>
      <c r="I286">
        <f>IF(DATOS!$I286="","",IFERROR(VLOOKUP(DATOS!$I286,CONFIG_ASIGNATURAS!$B$2:$J$91,9,FALSE()),""))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IF(DATOS!$A287="",0,IF(CONFIG_METADATA!$B$4&lt;&gt;"OR+EX",--(DATOS!$G287=CONFIG_METADATA!$B$4),IF(DATOS!$G287="EX",1,IF(DATOS!$G287="OR",--(COUNTIFS(nNIA,DATOS!$A287,nCURSO,DATOS!$D287,nESPEC,DATOS!$E287,nASIG,DATOS!$I287,nEVAL,"EX")=0),0))))</f>
      </c>
      <c r="H287">
        <f>IF(DATOS!$G287&lt;&gt;"EX",0,--(COUNTIFS(nNIA,DATOS!$A287,nCURSO,DATOS!$D287,nESPEC,DATOS!$E287,nASIG,DATOS!$I287,nEVAL,"OR")=0))</f>
      </c>
      <c r="I287">
        <f>IF(DATOS!$I287="","",IFERROR(VLOOKUP(DATOS!$I287,CONFIG_ASIGNATURAS!$B$2:$J$91,9,FALSE()),""))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IF(DATOS!$A288="",0,IF(CONFIG_METADATA!$B$4&lt;&gt;"OR+EX",--(DATOS!$G288=CONFIG_METADATA!$B$4),IF(DATOS!$G288="EX",1,IF(DATOS!$G288="OR",--(COUNTIFS(nNIA,DATOS!$A288,nCURSO,DATOS!$D288,nESPEC,DATOS!$E288,nASIG,DATOS!$I288,nEVAL,"EX")=0),0))))</f>
      </c>
      <c r="H288">
        <f>IF(DATOS!$G288&lt;&gt;"EX",0,--(COUNTIFS(nNIA,DATOS!$A288,nCURSO,DATOS!$D288,nESPEC,DATOS!$E288,nASIG,DATOS!$I288,nEVAL,"OR")=0))</f>
      </c>
      <c r="I288">
        <f>IF(DATOS!$I288="","",IFERROR(VLOOKUP(DATOS!$I288,CONFIG_ASIGNATURAS!$B$2:$J$91,9,FALSE()),""))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IF(DATOS!$A289="",0,IF(CONFIG_METADATA!$B$4&lt;&gt;"OR+EX",--(DATOS!$G289=CONFIG_METADATA!$B$4),IF(DATOS!$G289="EX",1,IF(DATOS!$G289="OR",--(COUNTIFS(nNIA,DATOS!$A289,nCURSO,DATOS!$D289,nESPEC,DATOS!$E289,nASIG,DATOS!$I289,nEVAL,"EX")=0),0))))</f>
      </c>
      <c r="H289">
        <f>IF(DATOS!$G289&lt;&gt;"EX",0,--(COUNTIFS(nNIA,DATOS!$A289,nCURSO,DATOS!$D289,nESPEC,DATOS!$E289,nASIG,DATOS!$I289,nEVAL,"OR")=0))</f>
      </c>
      <c r="I289">
        <f>IF(DATOS!$I289="","",IFERROR(VLOOKUP(DATOS!$I289,CONFIG_ASIGNATURAS!$B$2:$J$91,9,FALSE()),""))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IF(DATOS!$A290="",0,IF(CONFIG_METADATA!$B$4&lt;&gt;"OR+EX",--(DATOS!$G290=CONFIG_METADATA!$B$4),IF(DATOS!$G290="EX",1,IF(DATOS!$G290="OR",--(COUNTIFS(nNIA,DATOS!$A290,nCURSO,DATOS!$D290,nESPEC,DATOS!$E290,nASIG,DATOS!$I290,nEVAL,"EX")=0),0))))</f>
      </c>
      <c r="H290">
        <f>IF(DATOS!$G290&lt;&gt;"EX",0,--(COUNTIFS(nNIA,DATOS!$A290,nCURSO,DATOS!$D290,nESPEC,DATOS!$E290,nASIG,DATOS!$I290,nEVAL,"OR")=0))</f>
      </c>
      <c r="I290">
        <f>IF(DATOS!$I290="","",IFERROR(VLOOKUP(DATOS!$I290,CONFIG_ASIGNATURAS!$B$2:$J$91,9,FALSE()),""))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IF(DATOS!$A291="",0,IF(CONFIG_METADATA!$B$4&lt;&gt;"OR+EX",--(DATOS!$G291=CONFIG_METADATA!$B$4),IF(DATOS!$G291="EX",1,IF(DATOS!$G291="OR",--(COUNTIFS(nNIA,DATOS!$A291,nCURSO,DATOS!$D291,nESPEC,DATOS!$E291,nASIG,DATOS!$I291,nEVAL,"EX")=0),0))))</f>
      </c>
      <c r="H291">
        <f>IF(DATOS!$G291&lt;&gt;"EX",0,--(COUNTIFS(nNIA,DATOS!$A291,nCURSO,DATOS!$D291,nESPEC,DATOS!$E291,nASIG,DATOS!$I291,nEVAL,"OR")=0))</f>
      </c>
      <c r="I291">
        <f>IF(DATOS!$I291="","",IFERROR(VLOOKUP(DATOS!$I291,CONFIG_ASIGNATURAS!$B$2:$J$91,9,FALSE()),""))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IF(DATOS!$A292="",0,IF(CONFIG_METADATA!$B$4&lt;&gt;"OR+EX",--(DATOS!$G292=CONFIG_METADATA!$B$4),IF(DATOS!$G292="EX",1,IF(DATOS!$G292="OR",--(COUNTIFS(nNIA,DATOS!$A292,nCURSO,DATOS!$D292,nESPEC,DATOS!$E292,nASIG,DATOS!$I292,nEVAL,"EX")=0),0))))</f>
      </c>
      <c r="H292">
        <f>IF(DATOS!$G292&lt;&gt;"EX",0,--(COUNTIFS(nNIA,DATOS!$A292,nCURSO,DATOS!$D292,nESPEC,DATOS!$E292,nASIG,DATOS!$I292,nEVAL,"OR")=0))</f>
      </c>
      <c r="I292">
        <f>IF(DATOS!$I292="","",IFERROR(VLOOKUP(DATOS!$I292,CONFIG_ASIGNATURAS!$B$2:$J$91,9,FALSE()),""))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IF(DATOS!$A293="",0,IF(CONFIG_METADATA!$B$4&lt;&gt;"OR+EX",--(DATOS!$G293=CONFIG_METADATA!$B$4),IF(DATOS!$G293="EX",1,IF(DATOS!$G293="OR",--(COUNTIFS(nNIA,DATOS!$A293,nCURSO,DATOS!$D293,nESPEC,DATOS!$E293,nASIG,DATOS!$I293,nEVAL,"EX")=0),0))))</f>
      </c>
      <c r="H293">
        <f>IF(DATOS!$G293&lt;&gt;"EX",0,--(COUNTIFS(nNIA,DATOS!$A293,nCURSO,DATOS!$D293,nESPEC,DATOS!$E293,nASIG,DATOS!$I293,nEVAL,"OR")=0))</f>
      </c>
      <c r="I293">
        <f>IF(DATOS!$I293="","",IFERROR(VLOOKUP(DATOS!$I293,CONFIG_ASIGNATURAS!$B$2:$J$91,9,FALSE()),""))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IF(DATOS!$A294="",0,IF(CONFIG_METADATA!$B$4&lt;&gt;"OR+EX",--(DATOS!$G294=CONFIG_METADATA!$B$4),IF(DATOS!$G294="EX",1,IF(DATOS!$G294="OR",--(COUNTIFS(nNIA,DATOS!$A294,nCURSO,DATOS!$D294,nESPEC,DATOS!$E294,nASIG,DATOS!$I294,nEVAL,"EX")=0),0))))</f>
      </c>
      <c r="H294">
        <f>IF(DATOS!$G294&lt;&gt;"EX",0,--(COUNTIFS(nNIA,DATOS!$A294,nCURSO,DATOS!$D294,nESPEC,DATOS!$E294,nASIG,DATOS!$I294,nEVAL,"OR")=0))</f>
      </c>
      <c r="I294">
        <f>IF(DATOS!$I294="","",IFERROR(VLOOKUP(DATOS!$I294,CONFIG_ASIGNATURAS!$B$2:$J$91,9,FALSE()),""))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IF(DATOS!$A295="",0,IF(CONFIG_METADATA!$B$4&lt;&gt;"OR+EX",--(DATOS!$G295=CONFIG_METADATA!$B$4),IF(DATOS!$G295="EX",1,IF(DATOS!$G295="OR",--(COUNTIFS(nNIA,DATOS!$A295,nCURSO,DATOS!$D295,nESPEC,DATOS!$E295,nASIG,DATOS!$I295,nEVAL,"EX")=0),0))))</f>
      </c>
      <c r="H295">
        <f>IF(DATOS!$G295&lt;&gt;"EX",0,--(COUNTIFS(nNIA,DATOS!$A295,nCURSO,DATOS!$D295,nESPEC,DATOS!$E295,nASIG,DATOS!$I295,nEVAL,"OR")=0))</f>
      </c>
      <c r="I295">
        <f>IF(DATOS!$I295="","",IFERROR(VLOOKUP(DATOS!$I295,CONFIG_ASIGNATURAS!$B$2:$J$91,9,FALSE()),""))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IF(DATOS!$A296="",0,IF(CONFIG_METADATA!$B$4&lt;&gt;"OR+EX",--(DATOS!$G296=CONFIG_METADATA!$B$4),IF(DATOS!$G296="EX",1,IF(DATOS!$G296="OR",--(COUNTIFS(nNIA,DATOS!$A296,nCURSO,DATOS!$D296,nESPEC,DATOS!$E296,nASIG,DATOS!$I296,nEVAL,"EX")=0),0))))</f>
      </c>
      <c r="H296">
        <f>IF(DATOS!$G296&lt;&gt;"EX",0,--(COUNTIFS(nNIA,DATOS!$A296,nCURSO,DATOS!$D296,nESPEC,DATOS!$E296,nASIG,DATOS!$I296,nEVAL,"OR")=0))</f>
      </c>
      <c r="I296">
        <f>IF(DATOS!$I296="","",IFERROR(VLOOKUP(DATOS!$I296,CONFIG_ASIGNATURAS!$B$2:$J$91,9,FALSE()),""))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IF(DATOS!$A297="",0,IF(CONFIG_METADATA!$B$4&lt;&gt;"OR+EX",--(DATOS!$G297=CONFIG_METADATA!$B$4),IF(DATOS!$G297="EX",1,IF(DATOS!$G297="OR",--(COUNTIFS(nNIA,DATOS!$A297,nCURSO,DATOS!$D297,nESPEC,DATOS!$E297,nASIG,DATOS!$I297,nEVAL,"EX")=0),0))))</f>
      </c>
      <c r="H297">
        <f>IF(DATOS!$G297&lt;&gt;"EX",0,--(COUNTIFS(nNIA,DATOS!$A297,nCURSO,DATOS!$D297,nESPEC,DATOS!$E297,nASIG,DATOS!$I297,nEVAL,"OR")=0))</f>
      </c>
      <c r="I297">
        <f>IF(DATOS!$I297="","",IFERROR(VLOOKUP(DATOS!$I297,CONFIG_ASIGNATURAS!$B$2:$J$91,9,FALSE()),""))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IF(DATOS!$A298="",0,IF(CONFIG_METADATA!$B$4&lt;&gt;"OR+EX",--(DATOS!$G298=CONFIG_METADATA!$B$4),IF(DATOS!$G298="EX",1,IF(DATOS!$G298="OR",--(COUNTIFS(nNIA,DATOS!$A298,nCURSO,DATOS!$D298,nESPEC,DATOS!$E298,nASIG,DATOS!$I298,nEVAL,"EX")=0),0))))</f>
      </c>
      <c r="H298">
        <f>IF(DATOS!$G298&lt;&gt;"EX",0,--(COUNTIFS(nNIA,DATOS!$A298,nCURSO,DATOS!$D298,nESPEC,DATOS!$E298,nASIG,DATOS!$I298,nEVAL,"OR")=0))</f>
      </c>
      <c r="I298">
        <f>IF(DATOS!$I298="","",IFERROR(VLOOKUP(DATOS!$I298,CONFIG_ASIGNATURAS!$B$2:$J$91,9,FALSE()),""))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IF(DATOS!$A299="",0,IF(CONFIG_METADATA!$B$4&lt;&gt;"OR+EX",--(DATOS!$G299=CONFIG_METADATA!$B$4),IF(DATOS!$G299="EX",1,IF(DATOS!$G299="OR",--(COUNTIFS(nNIA,DATOS!$A299,nCURSO,DATOS!$D299,nESPEC,DATOS!$E299,nASIG,DATOS!$I299,nEVAL,"EX")=0),0))))</f>
      </c>
      <c r="H299">
        <f>IF(DATOS!$G299&lt;&gt;"EX",0,--(COUNTIFS(nNIA,DATOS!$A299,nCURSO,DATOS!$D299,nESPEC,DATOS!$E299,nASIG,DATOS!$I299,nEVAL,"OR")=0))</f>
      </c>
      <c r="I299">
        <f>IF(DATOS!$I299="","",IFERROR(VLOOKUP(DATOS!$I299,CONFIG_ASIGNATURAS!$B$2:$J$91,9,FALSE()),""))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IF(DATOS!$A300="",0,IF(CONFIG_METADATA!$B$4&lt;&gt;"OR+EX",--(DATOS!$G300=CONFIG_METADATA!$B$4),IF(DATOS!$G300="EX",1,IF(DATOS!$G300="OR",--(COUNTIFS(nNIA,DATOS!$A300,nCURSO,DATOS!$D300,nESPEC,DATOS!$E300,nASIG,DATOS!$I300,nEVAL,"EX")=0),0))))</f>
      </c>
      <c r="H300">
        <f>IF(DATOS!$G300&lt;&gt;"EX",0,--(COUNTIFS(nNIA,DATOS!$A300,nCURSO,DATOS!$D300,nESPEC,DATOS!$E300,nASIG,DATOS!$I300,nEVAL,"OR")=0))</f>
      </c>
      <c r="I300">
        <f>IF(DATOS!$I300="","",IFERROR(VLOOKUP(DATOS!$I300,CONFIG_ASIGNATURAS!$B$2:$J$91,9,FALSE()),""))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IF(DATOS!$A301="",0,IF(CONFIG_METADATA!$B$4&lt;&gt;"OR+EX",--(DATOS!$G301=CONFIG_METADATA!$B$4),IF(DATOS!$G301="EX",1,IF(DATOS!$G301="OR",--(COUNTIFS(nNIA,DATOS!$A301,nCURSO,DATOS!$D301,nESPEC,DATOS!$E301,nASIG,DATOS!$I301,nEVAL,"EX")=0),0))))</f>
      </c>
      <c r="H301">
        <f>IF(DATOS!$G301&lt;&gt;"EX",0,--(COUNTIFS(nNIA,DATOS!$A301,nCURSO,DATOS!$D301,nESPEC,DATOS!$E301,nASIG,DATOS!$I301,nEVAL,"OR")=0))</f>
      </c>
      <c r="I301">
        <f>IF(DATOS!$I301="","",IFERROR(VLOOKUP(DATOS!$I301,CONFIG_ASIGNATURAS!$B$2:$J$91,9,FALSE()),""))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IF(DATOS!$A302="",0,IF(CONFIG_METADATA!$B$4&lt;&gt;"OR+EX",--(DATOS!$G302=CONFIG_METADATA!$B$4),IF(DATOS!$G302="EX",1,IF(DATOS!$G302="OR",--(COUNTIFS(nNIA,DATOS!$A302,nCURSO,DATOS!$D302,nESPEC,DATOS!$E302,nASIG,DATOS!$I302,nEVAL,"EX")=0),0))))</f>
      </c>
      <c r="H302">
        <f>IF(DATOS!$G302&lt;&gt;"EX",0,--(COUNTIFS(nNIA,DATOS!$A302,nCURSO,DATOS!$D302,nESPEC,DATOS!$E302,nASIG,DATOS!$I302,nEVAL,"OR")=0))</f>
      </c>
      <c r="I302">
        <f>IF(DATOS!$I302="","",IFERROR(VLOOKUP(DATOS!$I302,CONFIG_ASIGNATURAS!$B$2:$J$91,9,FALSE()),""))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IF(DATOS!$A303="",0,IF(CONFIG_METADATA!$B$4&lt;&gt;"OR+EX",--(DATOS!$G303=CONFIG_METADATA!$B$4),IF(DATOS!$G303="EX",1,IF(DATOS!$G303="OR",--(COUNTIFS(nNIA,DATOS!$A303,nCURSO,DATOS!$D303,nESPEC,DATOS!$E303,nASIG,DATOS!$I303,nEVAL,"EX")=0),0))))</f>
      </c>
      <c r="H303">
        <f>IF(DATOS!$G303&lt;&gt;"EX",0,--(COUNTIFS(nNIA,DATOS!$A303,nCURSO,DATOS!$D303,nESPEC,DATOS!$E303,nASIG,DATOS!$I303,nEVAL,"OR")=0))</f>
      </c>
      <c r="I303">
        <f>IF(DATOS!$I303="","",IFERROR(VLOOKUP(DATOS!$I303,CONFIG_ASIGNATURAS!$B$2:$J$91,9,FALSE()),""))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IF(DATOS!$A304="",0,IF(CONFIG_METADATA!$B$4&lt;&gt;"OR+EX",--(DATOS!$G304=CONFIG_METADATA!$B$4),IF(DATOS!$G304="EX",1,IF(DATOS!$G304="OR",--(COUNTIFS(nNIA,DATOS!$A304,nCURSO,DATOS!$D304,nESPEC,DATOS!$E304,nASIG,DATOS!$I304,nEVAL,"EX")=0),0))))</f>
      </c>
      <c r="H304">
        <f>IF(DATOS!$G304&lt;&gt;"EX",0,--(COUNTIFS(nNIA,DATOS!$A304,nCURSO,DATOS!$D304,nESPEC,DATOS!$E304,nASIG,DATOS!$I304,nEVAL,"OR")=0))</f>
      </c>
      <c r="I304">
        <f>IF(DATOS!$I304="","",IFERROR(VLOOKUP(DATOS!$I304,CONFIG_ASIGNATURAS!$B$2:$J$91,9,FALSE()),""))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IF(DATOS!$A305="",0,IF(CONFIG_METADATA!$B$4&lt;&gt;"OR+EX",--(DATOS!$G305=CONFIG_METADATA!$B$4),IF(DATOS!$G305="EX",1,IF(DATOS!$G305="OR",--(COUNTIFS(nNIA,DATOS!$A305,nCURSO,DATOS!$D305,nESPEC,DATOS!$E305,nASIG,DATOS!$I305,nEVAL,"EX")=0),0))))</f>
      </c>
      <c r="H305">
        <f>IF(DATOS!$G305&lt;&gt;"EX",0,--(COUNTIFS(nNIA,DATOS!$A305,nCURSO,DATOS!$D305,nESPEC,DATOS!$E305,nASIG,DATOS!$I305,nEVAL,"OR")=0))</f>
      </c>
      <c r="I305">
        <f>IF(DATOS!$I305="","",IFERROR(VLOOKUP(DATOS!$I305,CONFIG_ASIGNATURAS!$B$2:$J$91,9,FALSE()),""))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IF(DATOS!$A306="",0,IF(CONFIG_METADATA!$B$4&lt;&gt;"OR+EX",--(DATOS!$G306=CONFIG_METADATA!$B$4),IF(DATOS!$G306="EX",1,IF(DATOS!$G306="OR",--(COUNTIFS(nNIA,DATOS!$A306,nCURSO,DATOS!$D306,nESPEC,DATOS!$E306,nASIG,DATOS!$I306,nEVAL,"EX")=0),0))))</f>
      </c>
      <c r="H306">
        <f>IF(DATOS!$G306&lt;&gt;"EX",0,--(COUNTIFS(nNIA,DATOS!$A306,nCURSO,DATOS!$D306,nESPEC,DATOS!$E306,nASIG,DATOS!$I306,nEVAL,"OR")=0))</f>
      </c>
      <c r="I306">
        <f>IF(DATOS!$I306="","",IFERROR(VLOOKUP(DATOS!$I306,CONFIG_ASIGNATURAS!$B$2:$J$91,9,FALSE()),""))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IF(DATOS!$A307="",0,IF(CONFIG_METADATA!$B$4&lt;&gt;"OR+EX",--(DATOS!$G307=CONFIG_METADATA!$B$4),IF(DATOS!$G307="EX",1,IF(DATOS!$G307="OR",--(COUNTIFS(nNIA,DATOS!$A307,nCURSO,DATOS!$D307,nESPEC,DATOS!$E307,nASIG,DATOS!$I307,nEVAL,"EX")=0),0))))</f>
      </c>
      <c r="H307">
        <f>IF(DATOS!$G307&lt;&gt;"EX",0,--(COUNTIFS(nNIA,DATOS!$A307,nCURSO,DATOS!$D307,nESPEC,DATOS!$E307,nASIG,DATOS!$I307,nEVAL,"OR")=0))</f>
      </c>
      <c r="I307">
        <f>IF(DATOS!$I307="","",IFERROR(VLOOKUP(DATOS!$I307,CONFIG_ASIGNATURAS!$B$2:$J$91,9,FALSE()),""))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IF(DATOS!$A308="",0,IF(CONFIG_METADATA!$B$4&lt;&gt;"OR+EX",--(DATOS!$G308=CONFIG_METADATA!$B$4),IF(DATOS!$G308="EX",1,IF(DATOS!$G308="OR",--(COUNTIFS(nNIA,DATOS!$A308,nCURSO,DATOS!$D308,nESPEC,DATOS!$E308,nASIG,DATOS!$I308,nEVAL,"EX")=0),0))))</f>
      </c>
      <c r="H308">
        <f>IF(DATOS!$G308&lt;&gt;"EX",0,--(COUNTIFS(nNIA,DATOS!$A308,nCURSO,DATOS!$D308,nESPEC,DATOS!$E308,nASIG,DATOS!$I308,nEVAL,"OR")=0))</f>
      </c>
      <c r="I308">
        <f>IF(DATOS!$I308="","",IFERROR(VLOOKUP(DATOS!$I308,CONFIG_ASIGNATURAS!$B$2:$J$91,9,FALSE()),""))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IF(DATOS!$A309="",0,IF(CONFIG_METADATA!$B$4&lt;&gt;"OR+EX",--(DATOS!$G309=CONFIG_METADATA!$B$4),IF(DATOS!$G309="EX",1,IF(DATOS!$G309="OR",--(COUNTIFS(nNIA,DATOS!$A309,nCURSO,DATOS!$D309,nESPEC,DATOS!$E309,nASIG,DATOS!$I309,nEVAL,"EX")=0),0))))</f>
      </c>
      <c r="H309">
        <f>IF(DATOS!$G309&lt;&gt;"EX",0,--(COUNTIFS(nNIA,DATOS!$A309,nCURSO,DATOS!$D309,nESPEC,DATOS!$E309,nASIG,DATOS!$I309,nEVAL,"OR")=0))</f>
      </c>
      <c r="I309">
        <f>IF(DATOS!$I309="","",IFERROR(VLOOKUP(DATOS!$I309,CONFIG_ASIGNATURAS!$B$2:$J$91,9,FALSE()),""))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IF(DATOS!$A310="",0,IF(CONFIG_METADATA!$B$4&lt;&gt;"OR+EX",--(DATOS!$G310=CONFIG_METADATA!$B$4),IF(DATOS!$G310="EX",1,IF(DATOS!$G310="OR",--(COUNTIFS(nNIA,DATOS!$A310,nCURSO,DATOS!$D310,nESPEC,DATOS!$E310,nASIG,DATOS!$I310,nEVAL,"EX")=0),0))))</f>
      </c>
      <c r="H310">
        <f>IF(DATOS!$G310&lt;&gt;"EX",0,--(COUNTIFS(nNIA,DATOS!$A310,nCURSO,DATOS!$D310,nESPEC,DATOS!$E310,nASIG,DATOS!$I310,nEVAL,"OR")=0))</f>
      </c>
      <c r="I310">
        <f>IF(DATOS!$I310="","",IFERROR(VLOOKUP(DATOS!$I310,CONFIG_ASIGNATURAS!$B$2:$J$91,9,FALSE()),""))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IF(DATOS!$A311="",0,IF(CONFIG_METADATA!$B$4&lt;&gt;"OR+EX",--(DATOS!$G311=CONFIG_METADATA!$B$4),IF(DATOS!$G311="EX",1,IF(DATOS!$G311="OR",--(COUNTIFS(nNIA,DATOS!$A311,nCURSO,DATOS!$D311,nESPEC,DATOS!$E311,nASIG,DATOS!$I311,nEVAL,"EX")=0),0))))</f>
      </c>
      <c r="H311">
        <f>IF(DATOS!$G311&lt;&gt;"EX",0,--(COUNTIFS(nNIA,DATOS!$A311,nCURSO,DATOS!$D311,nESPEC,DATOS!$E311,nASIG,DATOS!$I311,nEVAL,"OR")=0))</f>
      </c>
      <c r="I311">
        <f>IF(DATOS!$I311="","",IFERROR(VLOOKUP(DATOS!$I311,CONFIG_ASIGNATURAS!$B$2:$J$91,9,FALSE()),""))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IF(DATOS!$A312="",0,IF(CONFIG_METADATA!$B$4&lt;&gt;"OR+EX",--(DATOS!$G312=CONFIG_METADATA!$B$4),IF(DATOS!$G312="EX",1,IF(DATOS!$G312="OR",--(COUNTIFS(nNIA,DATOS!$A312,nCURSO,DATOS!$D312,nESPEC,DATOS!$E312,nASIG,DATOS!$I312,nEVAL,"EX")=0),0))))</f>
      </c>
      <c r="H312">
        <f>IF(DATOS!$G312&lt;&gt;"EX",0,--(COUNTIFS(nNIA,DATOS!$A312,nCURSO,DATOS!$D312,nESPEC,DATOS!$E312,nASIG,DATOS!$I312,nEVAL,"OR")=0))</f>
      </c>
      <c r="I312">
        <f>IF(DATOS!$I312="","",IFERROR(VLOOKUP(DATOS!$I312,CONFIG_ASIGNATURAS!$B$2:$J$91,9,FALSE()),""))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IF(DATOS!$A313="",0,IF(CONFIG_METADATA!$B$4&lt;&gt;"OR+EX",--(DATOS!$G313=CONFIG_METADATA!$B$4),IF(DATOS!$G313="EX",1,IF(DATOS!$G313="OR",--(COUNTIFS(nNIA,DATOS!$A313,nCURSO,DATOS!$D313,nESPEC,DATOS!$E313,nASIG,DATOS!$I313,nEVAL,"EX")=0),0))))</f>
      </c>
      <c r="H313">
        <f>IF(DATOS!$G313&lt;&gt;"EX",0,--(COUNTIFS(nNIA,DATOS!$A313,nCURSO,DATOS!$D313,nESPEC,DATOS!$E313,nASIG,DATOS!$I313,nEVAL,"OR")=0))</f>
      </c>
      <c r="I313">
        <f>IF(DATOS!$I313="","",IFERROR(VLOOKUP(DATOS!$I313,CONFIG_ASIGNATURAS!$B$2:$J$91,9,FALSE()),""))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IF(DATOS!$A314="",0,IF(CONFIG_METADATA!$B$4&lt;&gt;"OR+EX",--(DATOS!$G314=CONFIG_METADATA!$B$4),IF(DATOS!$G314="EX",1,IF(DATOS!$G314="OR",--(COUNTIFS(nNIA,DATOS!$A314,nCURSO,DATOS!$D314,nESPEC,DATOS!$E314,nASIG,DATOS!$I314,nEVAL,"EX")=0),0))))</f>
      </c>
      <c r="H314">
        <f>IF(DATOS!$G314&lt;&gt;"EX",0,--(COUNTIFS(nNIA,DATOS!$A314,nCURSO,DATOS!$D314,nESPEC,DATOS!$E314,nASIG,DATOS!$I314,nEVAL,"OR")=0))</f>
      </c>
      <c r="I314">
        <f>IF(DATOS!$I314="","",IFERROR(VLOOKUP(DATOS!$I314,CONFIG_ASIGNATURAS!$B$2:$J$91,9,FALSE()),""))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IF(DATOS!$A315="",0,IF(CONFIG_METADATA!$B$4&lt;&gt;"OR+EX",--(DATOS!$G315=CONFIG_METADATA!$B$4),IF(DATOS!$G315="EX",1,IF(DATOS!$G315="OR",--(COUNTIFS(nNIA,DATOS!$A315,nCURSO,DATOS!$D315,nESPEC,DATOS!$E315,nASIG,DATOS!$I315,nEVAL,"EX")=0),0))))</f>
      </c>
      <c r="H315">
        <f>IF(DATOS!$G315&lt;&gt;"EX",0,--(COUNTIFS(nNIA,DATOS!$A315,nCURSO,DATOS!$D315,nESPEC,DATOS!$E315,nASIG,DATOS!$I315,nEVAL,"OR")=0))</f>
      </c>
      <c r="I315">
        <f>IF(DATOS!$I315="","",IFERROR(VLOOKUP(DATOS!$I315,CONFIG_ASIGNATURAS!$B$2:$J$91,9,FALSE()),""))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IF(DATOS!$A316="",0,IF(CONFIG_METADATA!$B$4&lt;&gt;"OR+EX",--(DATOS!$G316=CONFIG_METADATA!$B$4),IF(DATOS!$G316="EX",1,IF(DATOS!$G316="OR",--(COUNTIFS(nNIA,DATOS!$A316,nCURSO,DATOS!$D316,nESPEC,DATOS!$E316,nASIG,DATOS!$I316,nEVAL,"EX")=0),0))))</f>
      </c>
      <c r="H316">
        <f>IF(DATOS!$G316&lt;&gt;"EX",0,--(COUNTIFS(nNIA,DATOS!$A316,nCURSO,DATOS!$D316,nESPEC,DATOS!$E316,nASIG,DATOS!$I316,nEVAL,"OR")=0))</f>
      </c>
      <c r="I316">
        <f>IF(DATOS!$I316="","",IFERROR(VLOOKUP(DATOS!$I316,CONFIG_ASIGNATURAS!$B$2:$J$91,9,FALSE()),""))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IF(DATOS!$A317="",0,IF(CONFIG_METADATA!$B$4&lt;&gt;"OR+EX",--(DATOS!$G317=CONFIG_METADATA!$B$4),IF(DATOS!$G317="EX",1,IF(DATOS!$G317="OR",--(COUNTIFS(nNIA,DATOS!$A317,nCURSO,DATOS!$D317,nESPEC,DATOS!$E317,nASIG,DATOS!$I317,nEVAL,"EX")=0),0))))</f>
      </c>
      <c r="H317">
        <f>IF(DATOS!$G317&lt;&gt;"EX",0,--(COUNTIFS(nNIA,DATOS!$A317,nCURSO,DATOS!$D317,nESPEC,DATOS!$E317,nASIG,DATOS!$I317,nEVAL,"OR")=0))</f>
      </c>
      <c r="I317">
        <f>IF(DATOS!$I317="","",IFERROR(VLOOKUP(DATOS!$I317,CONFIG_ASIGNATURAS!$B$2:$J$91,9,FALSE()),""))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IF(DATOS!$A318="",0,IF(CONFIG_METADATA!$B$4&lt;&gt;"OR+EX",--(DATOS!$G318=CONFIG_METADATA!$B$4),IF(DATOS!$G318="EX",1,IF(DATOS!$G318="OR",--(COUNTIFS(nNIA,DATOS!$A318,nCURSO,DATOS!$D318,nESPEC,DATOS!$E318,nASIG,DATOS!$I318,nEVAL,"EX")=0),0))))</f>
      </c>
      <c r="H318">
        <f>IF(DATOS!$G318&lt;&gt;"EX",0,--(COUNTIFS(nNIA,DATOS!$A318,nCURSO,DATOS!$D318,nESPEC,DATOS!$E318,nASIG,DATOS!$I318,nEVAL,"OR")=0))</f>
      </c>
      <c r="I318">
        <f>IF(DATOS!$I318="","",IFERROR(VLOOKUP(DATOS!$I318,CONFIG_ASIGNATURAS!$B$2:$J$91,9,FALSE()),""))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IF(DATOS!$A319="",0,IF(CONFIG_METADATA!$B$4&lt;&gt;"OR+EX",--(DATOS!$G319=CONFIG_METADATA!$B$4),IF(DATOS!$G319="EX",1,IF(DATOS!$G319="OR",--(COUNTIFS(nNIA,DATOS!$A319,nCURSO,DATOS!$D319,nESPEC,DATOS!$E319,nASIG,DATOS!$I319,nEVAL,"EX")=0),0))))</f>
      </c>
      <c r="H319">
        <f>IF(DATOS!$G319&lt;&gt;"EX",0,--(COUNTIFS(nNIA,DATOS!$A319,nCURSO,DATOS!$D319,nESPEC,DATOS!$E319,nASIG,DATOS!$I319,nEVAL,"OR")=0))</f>
      </c>
      <c r="I319">
        <f>IF(DATOS!$I319="","",IFERROR(VLOOKUP(DATOS!$I319,CONFIG_ASIGNATURAS!$B$2:$J$91,9,FALSE()),""))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IF(DATOS!$A320="",0,IF(CONFIG_METADATA!$B$4&lt;&gt;"OR+EX",--(DATOS!$G320=CONFIG_METADATA!$B$4),IF(DATOS!$G320="EX",1,IF(DATOS!$G320="OR",--(COUNTIFS(nNIA,DATOS!$A320,nCURSO,DATOS!$D320,nESPEC,DATOS!$E320,nASIG,DATOS!$I320,nEVAL,"EX")=0),0))))</f>
      </c>
      <c r="H320">
        <f>IF(DATOS!$G320&lt;&gt;"EX",0,--(COUNTIFS(nNIA,DATOS!$A320,nCURSO,DATOS!$D320,nESPEC,DATOS!$E320,nASIG,DATOS!$I320,nEVAL,"OR")=0))</f>
      </c>
      <c r="I320">
        <f>IF(DATOS!$I320="","",IFERROR(VLOOKUP(DATOS!$I320,CONFIG_ASIGNATURAS!$B$2:$J$91,9,FALSE()),""))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IF(DATOS!$A321="",0,IF(CONFIG_METADATA!$B$4&lt;&gt;"OR+EX",--(DATOS!$G321=CONFIG_METADATA!$B$4),IF(DATOS!$G321="EX",1,IF(DATOS!$G321="OR",--(COUNTIFS(nNIA,DATOS!$A321,nCURSO,DATOS!$D321,nESPEC,DATOS!$E321,nASIG,DATOS!$I321,nEVAL,"EX")=0),0))))</f>
      </c>
      <c r="H321">
        <f>IF(DATOS!$G321&lt;&gt;"EX",0,--(COUNTIFS(nNIA,DATOS!$A321,nCURSO,DATOS!$D321,nESPEC,DATOS!$E321,nASIG,DATOS!$I321,nEVAL,"OR")=0))</f>
      </c>
      <c r="I321">
        <f>IF(DATOS!$I321="","",IFERROR(VLOOKUP(DATOS!$I321,CONFIG_ASIGNATURAS!$B$2:$J$91,9,FALSE()),""))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IF(DATOS!$A322="",0,IF(CONFIG_METADATA!$B$4&lt;&gt;"OR+EX",--(DATOS!$G322=CONFIG_METADATA!$B$4),IF(DATOS!$G322="EX",1,IF(DATOS!$G322="OR",--(COUNTIFS(nNIA,DATOS!$A322,nCURSO,DATOS!$D322,nESPEC,DATOS!$E322,nASIG,DATOS!$I322,nEVAL,"EX")=0),0))))</f>
      </c>
      <c r="H322">
        <f>IF(DATOS!$G322&lt;&gt;"EX",0,--(COUNTIFS(nNIA,DATOS!$A322,nCURSO,DATOS!$D322,nESPEC,DATOS!$E322,nASIG,DATOS!$I322,nEVAL,"OR")=0))</f>
      </c>
      <c r="I322">
        <f>IF(DATOS!$I322="","",IFERROR(VLOOKUP(DATOS!$I322,CONFIG_ASIGNATURAS!$B$2:$J$91,9,FALSE()),""))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IF(DATOS!$A323="",0,IF(CONFIG_METADATA!$B$4&lt;&gt;"OR+EX",--(DATOS!$G323=CONFIG_METADATA!$B$4),IF(DATOS!$G323="EX",1,IF(DATOS!$G323="OR",--(COUNTIFS(nNIA,DATOS!$A323,nCURSO,DATOS!$D323,nESPEC,DATOS!$E323,nASIG,DATOS!$I323,nEVAL,"EX")=0),0))))</f>
      </c>
      <c r="H323">
        <f>IF(DATOS!$G323&lt;&gt;"EX",0,--(COUNTIFS(nNIA,DATOS!$A323,nCURSO,DATOS!$D323,nESPEC,DATOS!$E323,nASIG,DATOS!$I323,nEVAL,"OR")=0))</f>
      </c>
      <c r="I323">
        <f>IF(DATOS!$I323="","",IFERROR(VLOOKUP(DATOS!$I323,CONFIG_ASIGNATURAS!$B$2:$J$91,9,FALSE()),""))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IF(DATOS!$A324="",0,IF(CONFIG_METADATA!$B$4&lt;&gt;"OR+EX",--(DATOS!$G324=CONFIG_METADATA!$B$4),IF(DATOS!$G324="EX",1,IF(DATOS!$G324="OR",--(COUNTIFS(nNIA,DATOS!$A324,nCURSO,DATOS!$D324,nESPEC,DATOS!$E324,nASIG,DATOS!$I324,nEVAL,"EX")=0),0))))</f>
      </c>
      <c r="H324">
        <f>IF(DATOS!$G324&lt;&gt;"EX",0,--(COUNTIFS(nNIA,DATOS!$A324,nCURSO,DATOS!$D324,nESPEC,DATOS!$E324,nASIG,DATOS!$I324,nEVAL,"OR")=0))</f>
      </c>
      <c r="I324">
        <f>IF(DATOS!$I324="","",IFERROR(VLOOKUP(DATOS!$I324,CONFIG_ASIGNATURAS!$B$2:$J$91,9,FALSE()),""))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IF(DATOS!$A325="",0,IF(CONFIG_METADATA!$B$4&lt;&gt;"OR+EX",--(DATOS!$G325=CONFIG_METADATA!$B$4),IF(DATOS!$G325="EX",1,IF(DATOS!$G325="OR",--(COUNTIFS(nNIA,DATOS!$A325,nCURSO,DATOS!$D325,nESPEC,DATOS!$E325,nASIG,DATOS!$I325,nEVAL,"EX")=0),0))))</f>
      </c>
      <c r="H325">
        <f>IF(DATOS!$G325&lt;&gt;"EX",0,--(COUNTIFS(nNIA,DATOS!$A325,nCURSO,DATOS!$D325,nESPEC,DATOS!$E325,nASIG,DATOS!$I325,nEVAL,"OR")=0))</f>
      </c>
      <c r="I325">
        <f>IF(DATOS!$I325="","",IFERROR(VLOOKUP(DATOS!$I325,CONFIG_ASIGNATURAS!$B$2:$J$91,9,FALSE()),""))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IF(DATOS!$A326="",0,IF(CONFIG_METADATA!$B$4&lt;&gt;"OR+EX",--(DATOS!$G326=CONFIG_METADATA!$B$4),IF(DATOS!$G326="EX",1,IF(DATOS!$G326="OR",--(COUNTIFS(nNIA,DATOS!$A326,nCURSO,DATOS!$D326,nESPEC,DATOS!$E326,nASIG,DATOS!$I326,nEVAL,"EX")=0),0))))</f>
      </c>
      <c r="H326">
        <f>IF(DATOS!$G326&lt;&gt;"EX",0,--(COUNTIFS(nNIA,DATOS!$A326,nCURSO,DATOS!$D326,nESPEC,DATOS!$E326,nASIG,DATOS!$I326,nEVAL,"OR")=0))</f>
      </c>
      <c r="I326">
        <f>IF(DATOS!$I326="","",IFERROR(VLOOKUP(DATOS!$I326,CONFIG_ASIGNATURAS!$B$2:$J$91,9,FALSE()),""))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IF(DATOS!$A327="",0,IF(CONFIG_METADATA!$B$4&lt;&gt;"OR+EX",--(DATOS!$G327=CONFIG_METADATA!$B$4),IF(DATOS!$G327="EX",1,IF(DATOS!$G327="OR",--(COUNTIFS(nNIA,DATOS!$A327,nCURSO,DATOS!$D327,nESPEC,DATOS!$E327,nASIG,DATOS!$I327,nEVAL,"EX")=0),0))))</f>
      </c>
      <c r="H327">
        <f>IF(DATOS!$G327&lt;&gt;"EX",0,--(COUNTIFS(nNIA,DATOS!$A327,nCURSO,DATOS!$D327,nESPEC,DATOS!$E327,nASIG,DATOS!$I327,nEVAL,"OR")=0))</f>
      </c>
      <c r="I327">
        <f>IF(DATOS!$I327="","",IFERROR(VLOOKUP(DATOS!$I327,CONFIG_ASIGNATURAS!$B$2:$J$91,9,FALSE()),""))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IF(DATOS!$A328="",0,IF(CONFIG_METADATA!$B$4&lt;&gt;"OR+EX",--(DATOS!$G328=CONFIG_METADATA!$B$4),IF(DATOS!$G328="EX",1,IF(DATOS!$G328="OR",--(COUNTIFS(nNIA,DATOS!$A328,nCURSO,DATOS!$D328,nESPEC,DATOS!$E328,nASIG,DATOS!$I328,nEVAL,"EX")=0),0))))</f>
      </c>
      <c r="H328">
        <f>IF(DATOS!$G328&lt;&gt;"EX",0,--(COUNTIFS(nNIA,DATOS!$A328,nCURSO,DATOS!$D328,nESPEC,DATOS!$E328,nASIG,DATOS!$I328,nEVAL,"OR")=0))</f>
      </c>
      <c r="I328">
        <f>IF(DATOS!$I328="","",IFERROR(VLOOKUP(DATOS!$I328,CONFIG_ASIGNATURAS!$B$2:$J$91,9,FALSE()),""))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IF(DATOS!$A329="",0,IF(CONFIG_METADATA!$B$4&lt;&gt;"OR+EX",--(DATOS!$G329=CONFIG_METADATA!$B$4),IF(DATOS!$G329="EX",1,IF(DATOS!$G329="OR",--(COUNTIFS(nNIA,DATOS!$A329,nCURSO,DATOS!$D329,nESPEC,DATOS!$E329,nASIG,DATOS!$I329,nEVAL,"EX")=0),0))))</f>
      </c>
      <c r="H329">
        <f>IF(DATOS!$G329&lt;&gt;"EX",0,--(COUNTIFS(nNIA,DATOS!$A329,nCURSO,DATOS!$D329,nESPEC,DATOS!$E329,nASIG,DATOS!$I329,nEVAL,"OR")=0))</f>
      </c>
      <c r="I329">
        <f>IF(DATOS!$I329="","",IFERROR(VLOOKUP(DATOS!$I329,CONFIG_ASIGNATURAS!$B$2:$J$91,9,FALSE()),""))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IF(DATOS!$A330="",0,IF(CONFIG_METADATA!$B$4&lt;&gt;"OR+EX",--(DATOS!$G330=CONFIG_METADATA!$B$4),IF(DATOS!$G330="EX",1,IF(DATOS!$G330="OR",--(COUNTIFS(nNIA,DATOS!$A330,nCURSO,DATOS!$D330,nESPEC,DATOS!$E330,nASIG,DATOS!$I330,nEVAL,"EX")=0),0))))</f>
      </c>
      <c r="H330">
        <f>IF(DATOS!$G330&lt;&gt;"EX",0,--(COUNTIFS(nNIA,DATOS!$A330,nCURSO,DATOS!$D330,nESPEC,DATOS!$E330,nASIG,DATOS!$I330,nEVAL,"OR")=0))</f>
      </c>
      <c r="I330">
        <f>IF(DATOS!$I330="","",IFERROR(VLOOKUP(DATOS!$I330,CONFIG_ASIGNATURAS!$B$2:$J$91,9,FALSE()),""))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IF(DATOS!$A331="",0,IF(CONFIG_METADATA!$B$4&lt;&gt;"OR+EX",--(DATOS!$G331=CONFIG_METADATA!$B$4),IF(DATOS!$G331="EX",1,IF(DATOS!$G331="OR",--(COUNTIFS(nNIA,DATOS!$A331,nCURSO,DATOS!$D331,nESPEC,DATOS!$E331,nASIG,DATOS!$I331,nEVAL,"EX")=0),0))))</f>
      </c>
      <c r="H331">
        <f>IF(DATOS!$G331&lt;&gt;"EX",0,--(COUNTIFS(nNIA,DATOS!$A331,nCURSO,DATOS!$D331,nESPEC,DATOS!$E331,nASIG,DATOS!$I331,nEVAL,"OR")=0))</f>
      </c>
      <c r="I331">
        <f>IF(DATOS!$I331="","",IFERROR(VLOOKUP(DATOS!$I331,CONFIG_ASIGNATURAS!$B$2:$J$91,9,FALSE()),""))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IF(DATOS!$A332="",0,IF(CONFIG_METADATA!$B$4&lt;&gt;"OR+EX",--(DATOS!$G332=CONFIG_METADATA!$B$4),IF(DATOS!$G332="EX",1,IF(DATOS!$G332="OR",--(COUNTIFS(nNIA,DATOS!$A332,nCURSO,DATOS!$D332,nESPEC,DATOS!$E332,nASIG,DATOS!$I332,nEVAL,"EX")=0),0))))</f>
      </c>
      <c r="H332">
        <f>IF(DATOS!$G332&lt;&gt;"EX",0,--(COUNTIFS(nNIA,DATOS!$A332,nCURSO,DATOS!$D332,nESPEC,DATOS!$E332,nASIG,DATOS!$I332,nEVAL,"OR")=0))</f>
      </c>
      <c r="I332">
        <f>IF(DATOS!$I332="","",IFERROR(VLOOKUP(DATOS!$I332,CONFIG_ASIGNATURAS!$B$2:$J$91,9,FALSE()),""))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IF(DATOS!$A333="",0,IF(CONFIG_METADATA!$B$4&lt;&gt;"OR+EX",--(DATOS!$G333=CONFIG_METADATA!$B$4),IF(DATOS!$G333="EX",1,IF(DATOS!$G333="OR",--(COUNTIFS(nNIA,DATOS!$A333,nCURSO,DATOS!$D333,nESPEC,DATOS!$E333,nASIG,DATOS!$I333,nEVAL,"EX")=0),0))))</f>
      </c>
      <c r="H333">
        <f>IF(DATOS!$G333&lt;&gt;"EX",0,--(COUNTIFS(nNIA,DATOS!$A333,nCURSO,DATOS!$D333,nESPEC,DATOS!$E333,nASIG,DATOS!$I333,nEVAL,"OR")=0))</f>
      </c>
      <c r="I333">
        <f>IF(DATOS!$I333="","",IFERROR(VLOOKUP(DATOS!$I333,CONFIG_ASIGNATURAS!$B$2:$J$91,9,FALSE()),""))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IF(DATOS!$A334="",0,IF(CONFIG_METADATA!$B$4&lt;&gt;"OR+EX",--(DATOS!$G334=CONFIG_METADATA!$B$4),IF(DATOS!$G334="EX",1,IF(DATOS!$G334="OR",--(COUNTIFS(nNIA,DATOS!$A334,nCURSO,DATOS!$D334,nESPEC,DATOS!$E334,nASIG,DATOS!$I334,nEVAL,"EX")=0),0))))</f>
      </c>
      <c r="H334">
        <f>IF(DATOS!$G334&lt;&gt;"EX",0,--(COUNTIFS(nNIA,DATOS!$A334,nCURSO,DATOS!$D334,nESPEC,DATOS!$E334,nASIG,DATOS!$I334,nEVAL,"OR")=0))</f>
      </c>
      <c r="I334">
        <f>IF(DATOS!$I334="","",IFERROR(VLOOKUP(DATOS!$I334,CONFIG_ASIGNATURAS!$B$2:$J$91,9,FALSE()),""))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IF(DATOS!$A335="",0,IF(CONFIG_METADATA!$B$4&lt;&gt;"OR+EX",--(DATOS!$G335=CONFIG_METADATA!$B$4),IF(DATOS!$G335="EX",1,IF(DATOS!$G335="OR",--(COUNTIFS(nNIA,DATOS!$A335,nCURSO,DATOS!$D335,nESPEC,DATOS!$E335,nASIG,DATOS!$I335,nEVAL,"EX")=0),0))))</f>
      </c>
      <c r="H335">
        <f>IF(DATOS!$G335&lt;&gt;"EX",0,--(COUNTIFS(nNIA,DATOS!$A335,nCURSO,DATOS!$D335,nESPEC,DATOS!$E335,nASIG,DATOS!$I335,nEVAL,"OR")=0))</f>
      </c>
      <c r="I335">
        <f>IF(DATOS!$I335="","",IFERROR(VLOOKUP(DATOS!$I335,CONFIG_ASIGNATURAS!$B$2:$J$91,9,FALSE()),""))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IF(DATOS!$A336="",0,IF(CONFIG_METADATA!$B$4&lt;&gt;"OR+EX",--(DATOS!$G336=CONFIG_METADATA!$B$4),IF(DATOS!$G336="EX",1,IF(DATOS!$G336="OR",--(COUNTIFS(nNIA,DATOS!$A336,nCURSO,DATOS!$D336,nESPEC,DATOS!$E336,nASIG,DATOS!$I336,nEVAL,"EX")=0),0))))</f>
      </c>
      <c r="H336">
        <f>IF(DATOS!$G336&lt;&gt;"EX",0,--(COUNTIFS(nNIA,DATOS!$A336,nCURSO,DATOS!$D336,nESPEC,DATOS!$E336,nASIG,DATOS!$I336,nEVAL,"OR")=0))</f>
      </c>
      <c r="I336">
        <f>IF(DATOS!$I336="","",IFERROR(VLOOKUP(DATOS!$I336,CONFIG_ASIGNATURAS!$B$2:$J$91,9,FALSE()),""))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IF(DATOS!$A337="",0,IF(CONFIG_METADATA!$B$4&lt;&gt;"OR+EX",--(DATOS!$G337=CONFIG_METADATA!$B$4),IF(DATOS!$G337="EX",1,IF(DATOS!$G337="OR",--(COUNTIFS(nNIA,DATOS!$A337,nCURSO,DATOS!$D337,nESPEC,DATOS!$E337,nASIG,DATOS!$I337,nEVAL,"EX")=0),0))))</f>
      </c>
      <c r="H337">
        <f>IF(DATOS!$G337&lt;&gt;"EX",0,--(COUNTIFS(nNIA,DATOS!$A337,nCURSO,DATOS!$D337,nESPEC,DATOS!$E337,nASIG,DATOS!$I337,nEVAL,"OR")=0))</f>
      </c>
      <c r="I337">
        <f>IF(DATOS!$I337="","",IFERROR(VLOOKUP(DATOS!$I337,CONFIG_ASIGNATURAS!$B$2:$J$91,9,FALSE()),""))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IF(DATOS!$A338="",0,IF(CONFIG_METADATA!$B$4&lt;&gt;"OR+EX",--(DATOS!$G338=CONFIG_METADATA!$B$4),IF(DATOS!$G338="EX",1,IF(DATOS!$G338="OR",--(COUNTIFS(nNIA,DATOS!$A338,nCURSO,DATOS!$D338,nESPEC,DATOS!$E338,nASIG,DATOS!$I338,nEVAL,"EX")=0),0))))</f>
      </c>
      <c r="H338">
        <f>IF(DATOS!$G338&lt;&gt;"EX",0,--(COUNTIFS(nNIA,DATOS!$A338,nCURSO,DATOS!$D338,nESPEC,DATOS!$E338,nASIG,DATOS!$I338,nEVAL,"OR")=0))</f>
      </c>
      <c r="I338">
        <f>IF(DATOS!$I338="","",IFERROR(VLOOKUP(DATOS!$I338,CONFIG_ASIGNATURAS!$B$2:$J$91,9,FALSE()),""))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IF(DATOS!$A339="",0,IF(CONFIG_METADATA!$B$4&lt;&gt;"OR+EX",--(DATOS!$G339=CONFIG_METADATA!$B$4),IF(DATOS!$G339="EX",1,IF(DATOS!$G339="OR",--(COUNTIFS(nNIA,DATOS!$A339,nCURSO,DATOS!$D339,nESPEC,DATOS!$E339,nASIG,DATOS!$I339,nEVAL,"EX")=0),0))))</f>
      </c>
      <c r="H339">
        <f>IF(DATOS!$G339&lt;&gt;"EX",0,--(COUNTIFS(nNIA,DATOS!$A339,nCURSO,DATOS!$D339,nESPEC,DATOS!$E339,nASIG,DATOS!$I339,nEVAL,"OR")=0))</f>
      </c>
      <c r="I339">
        <f>IF(DATOS!$I339="","",IFERROR(VLOOKUP(DATOS!$I339,CONFIG_ASIGNATURAS!$B$2:$J$91,9,FALSE()),""))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IF(DATOS!$A340="",0,IF(CONFIG_METADATA!$B$4&lt;&gt;"OR+EX",--(DATOS!$G340=CONFIG_METADATA!$B$4),IF(DATOS!$G340="EX",1,IF(DATOS!$G340="OR",--(COUNTIFS(nNIA,DATOS!$A340,nCURSO,DATOS!$D340,nESPEC,DATOS!$E340,nASIG,DATOS!$I340,nEVAL,"EX")=0),0))))</f>
      </c>
      <c r="H340">
        <f>IF(DATOS!$G340&lt;&gt;"EX",0,--(COUNTIFS(nNIA,DATOS!$A340,nCURSO,DATOS!$D340,nESPEC,DATOS!$E340,nASIG,DATOS!$I340,nEVAL,"OR")=0))</f>
      </c>
      <c r="I340">
        <f>IF(DATOS!$I340="","",IFERROR(VLOOKUP(DATOS!$I340,CONFIG_ASIGNATURAS!$B$2:$J$91,9,FALSE()),""))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IF(DATOS!$A341="",0,IF(CONFIG_METADATA!$B$4&lt;&gt;"OR+EX",--(DATOS!$G341=CONFIG_METADATA!$B$4),IF(DATOS!$G341="EX",1,IF(DATOS!$G341="OR",--(COUNTIFS(nNIA,DATOS!$A341,nCURSO,DATOS!$D341,nESPEC,DATOS!$E341,nASIG,DATOS!$I341,nEVAL,"EX")=0),0))))</f>
      </c>
      <c r="H341">
        <f>IF(DATOS!$G341&lt;&gt;"EX",0,--(COUNTIFS(nNIA,DATOS!$A341,nCURSO,DATOS!$D341,nESPEC,DATOS!$E341,nASIG,DATOS!$I341,nEVAL,"OR")=0))</f>
      </c>
      <c r="I341">
        <f>IF(DATOS!$I341="","",IFERROR(VLOOKUP(DATOS!$I341,CONFIG_ASIGNATURAS!$B$2:$J$91,9,FALSE()),""))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IF(DATOS!$A342="",0,IF(CONFIG_METADATA!$B$4&lt;&gt;"OR+EX",--(DATOS!$G342=CONFIG_METADATA!$B$4),IF(DATOS!$G342="EX",1,IF(DATOS!$G342="OR",--(COUNTIFS(nNIA,DATOS!$A342,nCURSO,DATOS!$D342,nESPEC,DATOS!$E342,nASIG,DATOS!$I342,nEVAL,"EX")=0),0))))</f>
      </c>
      <c r="H342">
        <f>IF(DATOS!$G342&lt;&gt;"EX",0,--(COUNTIFS(nNIA,DATOS!$A342,nCURSO,DATOS!$D342,nESPEC,DATOS!$E342,nASIG,DATOS!$I342,nEVAL,"OR")=0))</f>
      </c>
      <c r="I342">
        <f>IF(DATOS!$I342="","",IFERROR(VLOOKUP(DATOS!$I342,CONFIG_ASIGNATURAS!$B$2:$J$91,9,FALSE()),""))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IF(DATOS!$A343="",0,IF(CONFIG_METADATA!$B$4&lt;&gt;"OR+EX",--(DATOS!$G343=CONFIG_METADATA!$B$4),IF(DATOS!$G343="EX",1,IF(DATOS!$G343="OR",--(COUNTIFS(nNIA,DATOS!$A343,nCURSO,DATOS!$D343,nESPEC,DATOS!$E343,nASIG,DATOS!$I343,nEVAL,"EX")=0),0))))</f>
      </c>
      <c r="H343">
        <f>IF(DATOS!$G343&lt;&gt;"EX",0,--(COUNTIFS(nNIA,DATOS!$A343,nCURSO,DATOS!$D343,nESPEC,DATOS!$E343,nASIG,DATOS!$I343,nEVAL,"OR")=0))</f>
      </c>
      <c r="I343">
        <f>IF(DATOS!$I343="","",IFERROR(VLOOKUP(DATOS!$I343,CONFIG_ASIGNATURAS!$B$2:$J$91,9,FALSE()),""))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IF(DATOS!$A344="",0,IF(CONFIG_METADATA!$B$4&lt;&gt;"OR+EX",--(DATOS!$G344=CONFIG_METADATA!$B$4),IF(DATOS!$G344="EX",1,IF(DATOS!$G344="OR",--(COUNTIFS(nNIA,DATOS!$A344,nCURSO,DATOS!$D344,nESPEC,DATOS!$E344,nASIG,DATOS!$I344,nEVAL,"EX")=0),0))))</f>
      </c>
      <c r="H344">
        <f>IF(DATOS!$G344&lt;&gt;"EX",0,--(COUNTIFS(nNIA,DATOS!$A344,nCURSO,DATOS!$D344,nESPEC,DATOS!$E344,nASIG,DATOS!$I344,nEVAL,"OR")=0))</f>
      </c>
      <c r="I344">
        <f>IF(DATOS!$I344="","",IFERROR(VLOOKUP(DATOS!$I344,CONFIG_ASIGNATURAS!$B$2:$J$91,9,FALSE()),""))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IF(DATOS!$A345="",0,IF(CONFIG_METADATA!$B$4&lt;&gt;"OR+EX",--(DATOS!$G345=CONFIG_METADATA!$B$4),IF(DATOS!$G345="EX",1,IF(DATOS!$G345="OR",--(COUNTIFS(nNIA,DATOS!$A345,nCURSO,DATOS!$D345,nESPEC,DATOS!$E345,nASIG,DATOS!$I345,nEVAL,"EX")=0),0))))</f>
      </c>
      <c r="H345">
        <f>IF(DATOS!$G345&lt;&gt;"EX",0,--(COUNTIFS(nNIA,DATOS!$A345,nCURSO,DATOS!$D345,nESPEC,DATOS!$E345,nASIG,DATOS!$I345,nEVAL,"OR")=0))</f>
      </c>
      <c r="I345">
        <f>IF(DATOS!$I345="","",IFERROR(VLOOKUP(DATOS!$I345,CONFIG_ASIGNATURAS!$B$2:$J$91,9,FALSE()),""))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IF(DATOS!$A346="",0,IF(CONFIG_METADATA!$B$4&lt;&gt;"OR+EX",--(DATOS!$G346=CONFIG_METADATA!$B$4),IF(DATOS!$G346="EX",1,IF(DATOS!$G346="OR",--(COUNTIFS(nNIA,DATOS!$A346,nCURSO,DATOS!$D346,nESPEC,DATOS!$E346,nASIG,DATOS!$I346,nEVAL,"EX")=0),0))))</f>
      </c>
      <c r="H346">
        <f>IF(DATOS!$G346&lt;&gt;"EX",0,--(COUNTIFS(nNIA,DATOS!$A346,nCURSO,DATOS!$D346,nESPEC,DATOS!$E346,nASIG,DATOS!$I346,nEVAL,"OR")=0))</f>
      </c>
      <c r="I346">
        <f>IF(DATOS!$I346="","",IFERROR(VLOOKUP(DATOS!$I346,CONFIG_ASIGNATURAS!$B$2:$J$91,9,FALSE()),""))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IF(DATOS!$A347="",0,IF(CONFIG_METADATA!$B$4&lt;&gt;"OR+EX",--(DATOS!$G347=CONFIG_METADATA!$B$4),IF(DATOS!$G347="EX",1,IF(DATOS!$G347="OR",--(COUNTIFS(nNIA,DATOS!$A347,nCURSO,DATOS!$D347,nESPEC,DATOS!$E347,nASIG,DATOS!$I347,nEVAL,"EX")=0),0))))</f>
      </c>
      <c r="H347">
        <f>IF(DATOS!$G347&lt;&gt;"EX",0,--(COUNTIFS(nNIA,DATOS!$A347,nCURSO,DATOS!$D347,nESPEC,DATOS!$E347,nASIG,DATOS!$I347,nEVAL,"OR")=0))</f>
      </c>
      <c r="I347">
        <f>IF(DATOS!$I347="","",IFERROR(VLOOKUP(DATOS!$I347,CONFIG_ASIGNATURAS!$B$2:$J$91,9,FALSE()),""))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IF(DATOS!$A348="",0,IF(CONFIG_METADATA!$B$4&lt;&gt;"OR+EX",--(DATOS!$G348=CONFIG_METADATA!$B$4),IF(DATOS!$G348="EX",1,IF(DATOS!$G348="OR",--(COUNTIFS(nNIA,DATOS!$A348,nCURSO,DATOS!$D348,nESPEC,DATOS!$E348,nASIG,DATOS!$I348,nEVAL,"EX")=0),0))))</f>
      </c>
      <c r="H348">
        <f>IF(DATOS!$G348&lt;&gt;"EX",0,--(COUNTIFS(nNIA,DATOS!$A348,nCURSO,DATOS!$D348,nESPEC,DATOS!$E348,nASIG,DATOS!$I348,nEVAL,"OR")=0))</f>
      </c>
      <c r="I348">
        <f>IF(DATOS!$I348="","",IFERROR(VLOOKUP(DATOS!$I348,CONFIG_ASIGNATURAS!$B$2:$J$91,9,FALSE()),""))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IF(DATOS!$A349="",0,IF(CONFIG_METADATA!$B$4&lt;&gt;"OR+EX",--(DATOS!$G349=CONFIG_METADATA!$B$4),IF(DATOS!$G349="EX",1,IF(DATOS!$G349="OR",--(COUNTIFS(nNIA,DATOS!$A349,nCURSO,DATOS!$D349,nESPEC,DATOS!$E349,nASIG,DATOS!$I349,nEVAL,"EX")=0),0))))</f>
      </c>
      <c r="H349">
        <f>IF(DATOS!$G349&lt;&gt;"EX",0,--(COUNTIFS(nNIA,DATOS!$A349,nCURSO,DATOS!$D349,nESPEC,DATOS!$E349,nASIG,DATOS!$I349,nEVAL,"OR")=0))</f>
      </c>
      <c r="I349">
        <f>IF(DATOS!$I349="","",IFERROR(VLOOKUP(DATOS!$I349,CONFIG_ASIGNATURAS!$B$2:$J$91,9,FALSE()),""))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IF(DATOS!$A350="",0,IF(CONFIG_METADATA!$B$4&lt;&gt;"OR+EX",--(DATOS!$G350=CONFIG_METADATA!$B$4),IF(DATOS!$G350="EX",1,IF(DATOS!$G350="OR",--(COUNTIFS(nNIA,DATOS!$A350,nCURSO,DATOS!$D350,nESPEC,DATOS!$E350,nASIG,DATOS!$I350,nEVAL,"EX")=0),0))))</f>
      </c>
      <c r="H350">
        <f>IF(DATOS!$G350&lt;&gt;"EX",0,--(COUNTIFS(nNIA,DATOS!$A350,nCURSO,DATOS!$D350,nESPEC,DATOS!$E350,nASIG,DATOS!$I350,nEVAL,"OR")=0))</f>
      </c>
      <c r="I350">
        <f>IF(DATOS!$I350="","",IFERROR(VLOOKUP(DATOS!$I350,CONFIG_ASIGNATURAS!$B$2:$J$91,9,FALSE()),""))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IF(DATOS!$A351="",0,IF(CONFIG_METADATA!$B$4&lt;&gt;"OR+EX",--(DATOS!$G351=CONFIG_METADATA!$B$4),IF(DATOS!$G351="EX",1,IF(DATOS!$G351="OR",--(COUNTIFS(nNIA,DATOS!$A351,nCURSO,DATOS!$D351,nESPEC,DATOS!$E351,nASIG,DATOS!$I351,nEVAL,"EX")=0),0))))</f>
      </c>
      <c r="H351">
        <f>IF(DATOS!$G351&lt;&gt;"EX",0,--(COUNTIFS(nNIA,DATOS!$A351,nCURSO,DATOS!$D351,nESPEC,DATOS!$E351,nASIG,DATOS!$I351,nEVAL,"OR")=0))</f>
      </c>
      <c r="I351">
        <f>IF(DATOS!$I351="","",IFERROR(VLOOKUP(DATOS!$I351,CONFIG_ASIGNATURAS!$B$2:$J$91,9,FALSE()),""))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IF(DATOS!$A352="",0,IF(CONFIG_METADATA!$B$4&lt;&gt;"OR+EX",--(DATOS!$G352=CONFIG_METADATA!$B$4),IF(DATOS!$G352="EX",1,IF(DATOS!$G352="OR",--(COUNTIFS(nNIA,DATOS!$A352,nCURSO,DATOS!$D352,nESPEC,DATOS!$E352,nASIG,DATOS!$I352,nEVAL,"EX")=0),0))))</f>
      </c>
      <c r="H352">
        <f>IF(DATOS!$G352&lt;&gt;"EX",0,--(COUNTIFS(nNIA,DATOS!$A352,nCURSO,DATOS!$D352,nESPEC,DATOS!$E352,nASIG,DATOS!$I352,nEVAL,"OR")=0))</f>
      </c>
      <c r="I352">
        <f>IF(DATOS!$I352="","",IFERROR(VLOOKUP(DATOS!$I352,CONFIG_ASIGNATURAS!$B$2:$J$91,9,FALSE()),""))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IF(DATOS!$A353="",0,IF(CONFIG_METADATA!$B$4&lt;&gt;"OR+EX",--(DATOS!$G353=CONFIG_METADATA!$B$4),IF(DATOS!$G353="EX",1,IF(DATOS!$G353="OR",--(COUNTIFS(nNIA,DATOS!$A353,nCURSO,DATOS!$D353,nESPEC,DATOS!$E353,nASIG,DATOS!$I353,nEVAL,"EX")=0),0))))</f>
      </c>
      <c r="H353">
        <f>IF(DATOS!$G353&lt;&gt;"EX",0,--(COUNTIFS(nNIA,DATOS!$A353,nCURSO,DATOS!$D353,nESPEC,DATOS!$E353,nASIG,DATOS!$I353,nEVAL,"OR")=0))</f>
      </c>
      <c r="I353">
        <f>IF(DATOS!$I353="","",IFERROR(VLOOKUP(DATOS!$I353,CONFIG_ASIGNATURAS!$B$2:$J$91,9,FALSE()),""))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IF(DATOS!$A354="",0,IF(CONFIG_METADATA!$B$4&lt;&gt;"OR+EX",--(DATOS!$G354=CONFIG_METADATA!$B$4),IF(DATOS!$G354="EX",1,IF(DATOS!$G354="OR",--(COUNTIFS(nNIA,DATOS!$A354,nCURSO,DATOS!$D354,nESPEC,DATOS!$E354,nASIG,DATOS!$I354,nEVAL,"EX")=0),0))))</f>
      </c>
      <c r="H354">
        <f>IF(DATOS!$G354&lt;&gt;"EX",0,--(COUNTIFS(nNIA,DATOS!$A354,nCURSO,DATOS!$D354,nESPEC,DATOS!$E354,nASIG,DATOS!$I354,nEVAL,"OR")=0))</f>
      </c>
      <c r="I354">
        <f>IF(DATOS!$I354="","",IFERROR(VLOOKUP(DATOS!$I354,CONFIG_ASIGNATURAS!$B$2:$J$91,9,FALSE()),""))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IF(DATOS!$A355="",0,IF(CONFIG_METADATA!$B$4&lt;&gt;"OR+EX",--(DATOS!$G355=CONFIG_METADATA!$B$4),IF(DATOS!$G355="EX",1,IF(DATOS!$G355="OR",--(COUNTIFS(nNIA,DATOS!$A355,nCURSO,DATOS!$D355,nESPEC,DATOS!$E355,nASIG,DATOS!$I355,nEVAL,"EX")=0),0))))</f>
      </c>
      <c r="H355">
        <f>IF(DATOS!$G355&lt;&gt;"EX",0,--(COUNTIFS(nNIA,DATOS!$A355,nCURSO,DATOS!$D355,nESPEC,DATOS!$E355,nASIG,DATOS!$I355,nEVAL,"OR")=0))</f>
      </c>
      <c r="I355">
        <f>IF(DATOS!$I355="","",IFERROR(VLOOKUP(DATOS!$I355,CONFIG_ASIGNATURAS!$B$2:$J$91,9,FALSE()),""))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IF(DATOS!$A356="",0,IF(CONFIG_METADATA!$B$4&lt;&gt;"OR+EX",--(DATOS!$G356=CONFIG_METADATA!$B$4),IF(DATOS!$G356="EX",1,IF(DATOS!$G356="OR",--(COUNTIFS(nNIA,DATOS!$A356,nCURSO,DATOS!$D356,nESPEC,DATOS!$E356,nASIG,DATOS!$I356,nEVAL,"EX")=0),0))))</f>
      </c>
      <c r="H356">
        <f>IF(DATOS!$G356&lt;&gt;"EX",0,--(COUNTIFS(nNIA,DATOS!$A356,nCURSO,DATOS!$D356,nESPEC,DATOS!$E356,nASIG,DATOS!$I356,nEVAL,"OR")=0))</f>
      </c>
      <c r="I356">
        <f>IF(DATOS!$I356="","",IFERROR(VLOOKUP(DATOS!$I356,CONFIG_ASIGNATURAS!$B$2:$J$91,9,FALSE()),""))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IF(DATOS!$A357="",0,IF(CONFIG_METADATA!$B$4&lt;&gt;"OR+EX",--(DATOS!$G357=CONFIG_METADATA!$B$4),IF(DATOS!$G357="EX",1,IF(DATOS!$G357="OR",--(COUNTIFS(nNIA,DATOS!$A357,nCURSO,DATOS!$D357,nESPEC,DATOS!$E357,nASIG,DATOS!$I357,nEVAL,"EX")=0),0))))</f>
      </c>
      <c r="H357">
        <f>IF(DATOS!$G357&lt;&gt;"EX",0,--(COUNTIFS(nNIA,DATOS!$A357,nCURSO,DATOS!$D357,nESPEC,DATOS!$E357,nASIG,DATOS!$I357,nEVAL,"OR")=0))</f>
      </c>
      <c r="I357">
        <f>IF(DATOS!$I357="","",IFERROR(VLOOKUP(DATOS!$I357,CONFIG_ASIGNATURAS!$B$2:$J$91,9,FALSE()),""))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IF(DATOS!$A358="",0,IF(CONFIG_METADATA!$B$4&lt;&gt;"OR+EX",--(DATOS!$G358=CONFIG_METADATA!$B$4),IF(DATOS!$G358="EX",1,IF(DATOS!$G358="OR",--(COUNTIFS(nNIA,DATOS!$A358,nCURSO,DATOS!$D358,nESPEC,DATOS!$E358,nASIG,DATOS!$I358,nEVAL,"EX")=0),0))))</f>
      </c>
      <c r="H358">
        <f>IF(DATOS!$G358&lt;&gt;"EX",0,--(COUNTIFS(nNIA,DATOS!$A358,nCURSO,DATOS!$D358,nESPEC,DATOS!$E358,nASIG,DATOS!$I358,nEVAL,"OR")=0))</f>
      </c>
      <c r="I358">
        <f>IF(DATOS!$I358="","",IFERROR(VLOOKUP(DATOS!$I358,CONFIG_ASIGNATURAS!$B$2:$J$91,9,FALSE()),""))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IF(DATOS!$A359="",0,IF(CONFIG_METADATA!$B$4&lt;&gt;"OR+EX",--(DATOS!$G359=CONFIG_METADATA!$B$4),IF(DATOS!$G359="EX",1,IF(DATOS!$G359="OR",--(COUNTIFS(nNIA,DATOS!$A359,nCURSO,DATOS!$D359,nESPEC,DATOS!$E359,nASIG,DATOS!$I359,nEVAL,"EX")=0),0))))</f>
      </c>
      <c r="H359">
        <f>IF(DATOS!$G359&lt;&gt;"EX",0,--(COUNTIFS(nNIA,DATOS!$A359,nCURSO,DATOS!$D359,nESPEC,DATOS!$E359,nASIG,DATOS!$I359,nEVAL,"OR")=0))</f>
      </c>
      <c r="I359">
        <f>IF(DATOS!$I359="","",IFERROR(VLOOKUP(DATOS!$I359,CONFIG_ASIGNATURAS!$B$2:$J$91,9,FALSE()),""))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IF(DATOS!$A360="",0,IF(CONFIG_METADATA!$B$4&lt;&gt;"OR+EX",--(DATOS!$G360=CONFIG_METADATA!$B$4),IF(DATOS!$G360="EX",1,IF(DATOS!$G360="OR",--(COUNTIFS(nNIA,DATOS!$A360,nCURSO,DATOS!$D360,nESPEC,DATOS!$E360,nASIG,DATOS!$I360,nEVAL,"EX")=0),0))))</f>
      </c>
      <c r="H360">
        <f>IF(DATOS!$G360&lt;&gt;"EX",0,--(COUNTIFS(nNIA,DATOS!$A360,nCURSO,DATOS!$D360,nESPEC,DATOS!$E360,nASIG,DATOS!$I360,nEVAL,"OR")=0))</f>
      </c>
      <c r="I360">
        <f>IF(DATOS!$I360="","",IFERROR(VLOOKUP(DATOS!$I360,CONFIG_ASIGNATURAS!$B$2:$J$91,9,FALSE()),""))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IF(DATOS!$A361="",0,IF(CONFIG_METADATA!$B$4&lt;&gt;"OR+EX",--(DATOS!$G361=CONFIG_METADATA!$B$4),IF(DATOS!$G361="EX",1,IF(DATOS!$G361="OR",--(COUNTIFS(nNIA,DATOS!$A361,nCURSO,DATOS!$D361,nESPEC,DATOS!$E361,nASIG,DATOS!$I361,nEVAL,"EX")=0),0))))</f>
      </c>
      <c r="H361">
        <f>IF(DATOS!$G361&lt;&gt;"EX",0,--(COUNTIFS(nNIA,DATOS!$A361,nCURSO,DATOS!$D361,nESPEC,DATOS!$E361,nASIG,DATOS!$I361,nEVAL,"OR")=0))</f>
      </c>
      <c r="I361">
        <f>IF(DATOS!$I361="","",IFERROR(VLOOKUP(DATOS!$I361,CONFIG_ASIGNATURAS!$B$2:$J$91,9,FALSE()),""))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IF(DATOS!$A362="",0,IF(CONFIG_METADATA!$B$4&lt;&gt;"OR+EX",--(DATOS!$G362=CONFIG_METADATA!$B$4),IF(DATOS!$G362="EX",1,IF(DATOS!$G362="OR",--(COUNTIFS(nNIA,DATOS!$A362,nCURSO,DATOS!$D362,nESPEC,DATOS!$E362,nASIG,DATOS!$I362,nEVAL,"EX")=0),0))))</f>
      </c>
      <c r="H362">
        <f>IF(DATOS!$G362&lt;&gt;"EX",0,--(COUNTIFS(nNIA,DATOS!$A362,nCURSO,DATOS!$D362,nESPEC,DATOS!$E362,nASIG,DATOS!$I362,nEVAL,"OR")=0))</f>
      </c>
      <c r="I362">
        <f>IF(DATOS!$I362="","",IFERROR(VLOOKUP(DATOS!$I362,CONFIG_ASIGNATURAS!$B$2:$J$91,9,FALSE()),""))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IF(DATOS!$A363="",0,IF(CONFIG_METADATA!$B$4&lt;&gt;"OR+EX",--(DATOS!$G363=CONFIG_METADATA!$B$4),IF(DATOS!$G363="EX",1,IF(DATOS!$G363="OR",--(COUNTIFS(nNIA,DATOS!$A363,nCURSO,DATOS!$D363,nESPEC,DATOS!$E363,nASIG,DATOS!$I363,nEVAL,"EX")=0),0))))</f>
      </c>
      <c r="H363">
        <f>IF(DATOS!$G363&lt;&gt;"EX",0,--(COUNTIFS(nNIA,DATOS!$A363,nCURSO,DATOS!$D363,nESPEC,DATOS!$E363,nASIG,DATOS!$I363,nEVAL,"OR")=0))</f>
      </c>
      <c r="I363">
        <f>IF(DATOS!$I363="","",IFERROR(VLOOKUP(DATOS!$I363,CONFIG_ASIGNATURAS!$B$2:$J$91,9,FALSE()),""))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IF(DATOS!$A364="",0,IF(CONFIG_METADATA!$B$4&lt;&gt;"OR+EX",--(DATOS!$G364=CONFIG_METADATA!$B$4),IF(DATOS!$G364="EX",1,IF(DATOS!$G364="OR",--(COUNTIFS(nNIA,DATOS!$A364,nCURSO,DATOS!$D364,nESPEC,DATOS!$E364,nASIG,DATOS!$I364,nEVAL,"EX")=0),0))))</f>
      </c>
      <c r="H364">
        <f>IF(DATOS!$G364&lt;&gt;"EX",0,--(COUNTIFS(nNIA,DATOS!$A364,nCURSO,DATOS!$D364,nESPEC,DATOS!$E364,nASIG,DATOS!$I364,nEVAL,"OR")=0))</f>
      </c>
      <c r="I364">
        <f>IF(DATOS!$I364="","",IFERROR(VLOOKUP(DATOS!$I364,CONFIG_ASIGNATURAS!$B$2:$J$91,9,FALSE()),""))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IF(DATOS!$A365="",0,IF(CONFIG_METADATA!$B$4&lt;&gt;"OR+EX",--(DATOS!$G365=CONFIG_METADATA!$B$4),IF(DATOS!$G365="EX",1,IF(DATOS!$G365="OR",--(COUNTIFS(nNIA,DATOS!$A365,nCURSO,DATOS!$D365,nESPEC,DATOS!$E365,nASIG,DATOS!$I365,nEVAL,"EX")=0),0))))</f>
      </c>
      <c r="H365">
        <f>IF(DATOS!$G365&lt;&gt;"EX",0,--(COUNTIFS(nNIA,DATOS!$A365,nCURSO,DATOS!$D365,nESPEC,DATOS!$E365,nASIG,DATOS!$I365,nEVAL,"OR")=0))</f>
      </c>
      <c r="I365">
        <f>IF(DATOS!$I365="","",IFERROR(VLOOKUP(DATOS!$I365,CONFIG_ASIGNATURAS!$B$2:$J$91,9,FALSE()),""))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IF(DATOS!$A366="",0,IF(CONFIG_METADATA!$B$4&lt;&gt;"OR+EX",--(DATOS!$G366=CONFIG_METADATA!$B$4),IF(DATOS!$G366="EX",1,IF(DATOS!$G366="OR",--(COUNTIFS(nNIA,DATOS!$A366,nCURSO,DATOS!$D366,nESPEC,DATOS!$E366,nASIG,DATOS!$I366,nEVAL,"EX")=0),0))))</f>
      </c>
      <c r="H366">
        <f>IF(DATOS!$G366&lt;&gt;"EX",0,--(COUNTIFS(nNIA,DATOS!$A366,nCURSO,DATOS!$D366,nESPEC,DATOS!$E366,nASIG,DATOS!$I366,nEVAL,"OR")=0))</f>
      </c>
      <c r="I366">
        <f>IF(DATOS!$I366="","",IFERROR(VLOOKUP(DATOS!$I366,CONFIG_ASIGNATURAS!$B$2:$J$91,9,FALSE()),""))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IF(DATOS!$A367="",0,IF(CONFIG_METADATA!$B$4&lt;&gt;"OR+EX",--(DATOS!$G367=CONFIG_METADATA!$B$4),IF(DATOS!$G367="EX",1,IF(DATOS!$G367="OR",--(COUNTIFS(nNIA,DATOS!$A367,nCURSO,DATOS!$D367,nESPEC,DATOS!$E367,nASIG,DATOS!$I367,nEVAL,"EX")=0),0))))</f>
      </c>
      <c r="H367">
        <f>IF(DATOS!$G367&lt;&gt;"EX",0,--(COUNTIFS(nNIA,DATOS!$A367,nCURSO,DATOS!$D367,nESPEC,DATOS!$E367,nASIG,DATOS!$I367,nEVAL,"OR")=0))</f>
      </c>
      <c r="I367">
        <f>IF(DATOS!$I367="","",IFERROR(VLOOKUP(DATOS!$I367,CONFIG_ASIGNATURAS!$B$2:$J$91,9,FALSE()),""))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IF(DATOS!$A368="",0,IF(CONFIG_METADATA!$B$4&lt;&gt;"OR+EX",--(DATOS!$G368=CONFIG_METADATA!$B$4),IF(DATOS!$G368="EX",1,IF(DATOS!$G368="OR",--(COUNTIFS(nNIA,DATOS!$A368,nCURSO,DATOS!$D368,nESPEC,DATOS!$E368,nASIG,DATOS!$I368,nEVAL,"EX")=0),0))))</f>
      </c>
      <c r="H368">
        <f>IF(DATOS!$G368&lt;&gt;"EX",0,--(COUNTIFS(nNIA,DATOS!$A368,nCURSO,DATOS!$D368,nESPEC,DATOS!$E368,nASIG,DATOS!$I368,nEVAL,"OR")=0))</f>
      </c>
      <c r="I368">
        <f>IF(DATOS!$I368="","",IFERROR(VLOOKUP(DATOS!$I368,CONFIG_ASIGNATURAS!$B$2:$J$91,9,FALSE()),""))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IF(DATOS!$A369="",0,IF(CONFIG_METADATA!$B$4&lt;&gt;"OR+EX",--(DATOS!$G369=CONFIG_METADATA!$B$4),IF(DATOS!$G369="EX",1,IF(DATOS!$G369="OR",--(COUNTIFS(nNIA,DATOS!$A369,nCURSO,DATOS!$D369,nESPEC,DATOS!$E369,nASIG,DATOS!$I369,nEVAL,"EX")=0),0))))</f>
      </c>
      <c r="H369">
        <f>IF(DATOS!$G369&lt;&gt;"EX",0,--(COUNTIFS(nNIA,DATOS!$A369,nCURSO,DATOS!$D369,nESPEC,DATOS!$E369,nASIG,DATOS!$I369,nEVAL,"OR")=0))</f>
      </c>
      <c r="I369">
        <f>IF(DATOS!$I369="","",IFERROR(VLOOKUP(DATOS!$I369,CONFIG_ASIGNATURAS!$B$2:$J$91,9,FALSE()),""))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IF(DATOS!$A370="",0,IF(CONFIG_METADATA!$B$4&lt;&gt;"OR+EX",--(DATOS!$G370=CONFIG_METADATA!$B$4),IF(DATOS!$G370="EX",1,IF(DATOS!$G370="OR",--(COUNTIFS(nNIA,DATOS!$A370,nCURSO,DATOS!$D370,nESPEC,DATOS!$E370,nASIG,DATOS!$I370,nEVAL,"EX")=0),0))))</f>
      </c>
      <c r="H370">
        <f>IF(DATOS!$G370&lt;&gt;"EX",0,--(COUNTIFS(nNIA,DATOS!$A370,nCURSO,DATOS!$D370,nESPEC,DATOS!$E370,nASIG,DATOS!$I370,nEVAL,"OR")=0))</f>
      </c>
      <c r="I370">
        <f>IF(DATOS!$I370="","",IFERROR(VLOOKUP(DATOS!$I370,CONFIG_ASIGNATURAS!$B$2:$J$91,9,FALSE()),""))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IF(DATOS!$A371="",0,IF(CONFIG_METADATA!$B$4&lt;&gt;"OR+EX",--(DATOS!$G371=CONFIG_METADATA!$B$4),IF(DATOS!$G371="EX",1,IF(DATOS!$G371="OR",--(COUNTIFS(nNIA,DATOS!$A371,nCURSO,DATOS!$D371,nESPEC,DATOS!$E371,nASIG,DATOS!$I371,nEVAL,"EX")=0),0))))</f>
      </c>
      <c r="H371">
        <f>IF(DATOS!$G371&lt;&gt;"EX",0,--(COUNTIFS(nNIA,DATOS!$A371,nCURSO,DATOS!$D371,nESPEC,DATOS!$E371,nASIG,DATOS!$I371,nEVAL,"OR")=0))</f>
      </c>
      <c r="I371">
        <f>IF(DATOS!$I371="","",IFERROR(VLOOKUP(DATOS!$I371,CONFIG_ASIGNATURAS!$B$2:$J$91,9,FALSE()),""))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IF(DATOS!$A372="",0,IF(CONFIG_METADATA!$B$4&lt;&gt;"OR+EX",--(DATOS!$G372=CONFIG_METADATA!$B$4),IF(DATOS!$G372="EX",1,IF(DATOS!$G372="OR",--(COUNTIFS(nNIA,DATOS!$A372,nCURSO,DATOS!$D372,nESPEC,DATOS!$E372,nASIG,DATOS!$I372,nEVAL,"EX")=0),0))))</f>
      </c>
      <c r="H372">
        <f>IF(DATOS!$G372&lt;&gt;"EX",0,--(COUNTIFS(nNIA,DATOS!$A372,nCURSO,DATOS!$D372,nESPEC,DATOS!$E372,nASIG,DATOS!$I372,nEVAL,"OR")=0))</f>
      </c>
      <c r="I372">
        <f>IF(DATOS!$I372="","",IFERROR(VLOOKUP(DATOS!$I372,CONFIG_ASIGNATURAS!$B$2:$J$91,9,FALSE()),""))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IF(DATOS!$A373="",0,IF(CONFIG_METADATA!$B$4&lt;&gt;"OR+EX",--(DATOS!$G373=CONFIG_METADATA!$B$4),IF(DATOS!$G373="EX",1,IF(DATOS!$G373="OR",--(COUNTIFS(nNIA,DATOS!$A373,nCURSO,DATOS!$D373,nESPEC,DATOS!$E373,nASIG,DATOS!$I373,nEVAL,"EX")=0),0))))</f>
      </c>
      <c r="H373">
        <f>IF(DATOS!$G373&lt;&gt;"EX",0,--(COUNTIFS(nNIA,DATOS!$A373,nCURSO,DATOS!$D373,nESPEC,DATOS!$E373,nASIG,DATOS!$I373,nEVAL,"OR")=0))</f>
      </c>
      <c r="I373">
        <f>IF(DATOS!$I373="","",IFERROR(VLOOKUP(DATOS!$I373,CONFIG_ASIGNATURAS!$B$2:$J$91,9,FALSE()),""))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IF(DATOS!$A374="",0,IF(CONFIG_METADATA!$B$4&lt;&gt;"OR+EX",--(DATOS!$G374=CONFIG_METADATA!$B$4),IF(DATOS!$G374="EX",1,IF(DATOS!$G374="OR",--(COUNTIFS(nNIA,DATOS!$A374,nCURSO,DATOS!$D374,nESPEC,DATOS!$E374,nASIG,DATOS!$I374,nEVAL,"EX")=0),0))))</f>
      </c>
      <c r="H374">
        <f>IF(DATOS!$G374&lt;&gt;"EX",0,--(COUNTIFS(nNIA,DATOS!$A374,nCURSO,DATOS!$D374,nESPEC,DATOS!$E374,nASIG,DATOS!$I374,nEVAL,"OR")=0))</f>
      </c>
      <c r="I374">
        <f>IF(DATOS!$I374="","",IFERROR(VLOOKUP(DATOS!$I374,CONFIG_ASIGNATURAS!$B$2:$J$91,9,FALSE()),""))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IF(DATOS!$A375="",0,IF(CONFIG_METADATA!$B$4&lt;&gt;"OR+EX",--(DATOS!$G375=CONFIG_METADATA!$B$4),IF(DATOS!$G375="EX",1,IF(DATOS!$G375="OR",--(COUNTIFS(nNIA,DATOS!$A375,nCURSO,DATOS!$D375,nESPEC,DATOS!$E375,nASIG,DATOS!$I375,nEVAL,"EX")=0),0))))</f>
      </c>
      <c r="H375">
        <f>IF(DATOS!$G375&lt;&gt;"EX",0,--(COUNTIFS(nNIA,DATOS!$A375,nCURSO,DATOS!$D375,nESPEC,DATOS!$E375,nASIG,DATOS!$I375,nEVAL,"OR")=0))</f>
      </c>
      <c r="I375">
        <f>IF(DATOS!$I375="","",IFERROR(VLOOKUP(DATOS!$I375,CONFIG_ASIGNATURAS!$B$2:$J$91,9,FALSE()),""))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IF(DATOS!$A376="",0,IF(CONFIG_METADATA!$B$4&lt;&gt;"OR+EX",--(DATOS!$G376=CONFIG_METADATA!$B$4),IF(DATOS!$G376="EX",1,IF(DATOS!$G376="OR",--(COUNTIFS(nNIA,DATOS!$A376,nCURSO,DATOS!$D376,nESPEC,DATOS!$E376,nASIG,DATOS!$I376,nEVAL,"EX")=0),0))))</f>
      </c>
      <c r="H376">
        <f>IF(DATOS!$G376&lt;&gt;"EX",0,--(COUNTIFS(nNIA,DATOS!$A376,nCURSO,DATOS!$D376,nESPEC,DATOS!$E376,nASIG,DATOS!$I376,nEVAL,"OR")=0))</f>
      </c>
      <c r="I376">
        <f>IF(DATOS!$I376="","",IFERROR(VLOOKUP(DATOS!$I376,CONFIG_ASIGNATURAS!$B$2:$J$91,9,FALSE()),""))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IF(DATOS!$A377="",0,IF(CONFIG_METADATA!$B$4&lt;&gt;"OR+EX",--(DATOS!$G377=CONFIG_METADATA!$B$4),IF(DATOS!$G377="EX",1,IF(DATOS!$G377="OR",--(COUNTIFS(nNIA,DATOS!$A377,nCURSO,DATOS!$D377,nESPEC,DATOS!$E377,nASIG,DATOS!$I377,nEVAL,"EX")=0),0))))</f>
      </c>
      <c r="H377">
        <f>IF(DATOS!$G377&lt;&gt;"EX",0,--(COUNTIFS(nNIA,DATOS!$A377,nCURSO,DATOS!$D377,nESPEC,DATOS!$E377,nASIG,DATOS!$I377,nEVAL,"OR")=0))</f>
      </c>
      <c r="I377">
        <f>IF(DATOS!$I377="","",IFERROR(VLOOKUP(DATOS!$I377,CONFIG_ASIGNATURAS!$B$2:$J$91,9,FALSE()),""))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IF(DATOS!$A378="",0,IF(CONFIG_METADATA!$B$4&lt;&gt;"OR+EX",--(DATOS!$G378=CONFIG_METADATA!$B$4),IF(DATOS!$G378="EX",1,IF(DATOS!$G378="OR",--(COUNTIFS(nNIA,DATOS!$A378,nCURSO,DATOS!$D378,nESPEC,DATOS!$E378,nASIG,DATOS!$I378,nEVAL,"EX")=0),0))))</f>
      </c>
      <c r="H378">
        <f>IF(DATOS!$G378&lt;&gt;"EX",0,--(COUNTIFS(nNIA,DATOS!$A378,nCURSO,DATOS!$D378,nESPEC,DATOS!$E378,nASIG,DATOS!$I378,nEVAL,"OR")=0))</f>
      </c>
      <c r="I378">
        <f>IF(DATOS!$I378="","",IFERROR(VLOOKUP(DATOS!$I378,CONFIG_ASIGNATURAS!$B$2:$J$91,9,FALSE()),""))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IF(DATOS!$A379="",0,IF(CONFIG_METADATA!$B$4&lt;&gt;"OR+EX",--(DATOS!$G379=CONFIG_METADATA!$B$4),IF(DATOS!$G379="EX",1,IF(DATOS!$G379="OR",--(COUNTIFS(nNIA,DATOS!$A379,nCURSO,DATOS!$D379,nESPEC,DATOS!$E379,nASIG,DATOS!$I379,nEVAL,"EX")=0),0))))</f>
      </c>
      <c r="H379">
        <f>IF(DATOS!$G379&lt;&gt;"EX",0,--(COUNTIFS(nNIA,DATOS!$A379,nCURSO,DATOS!$D379,nESPEC,DATOS!$E379,nASIG,DATOS!$I379,nEVAL,"OR")=0))</f>
      </c>
      <c r="I379">
        <f>IF(DATOS!$I379="","",IFERROR(VLOOKUP(DATOS!$I379,CONFIG_ASIGNATURAS!$B$2:$J$91,9,FALSE()),""))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IF(DATOS!$A380="",0,IF(CONFIG_METADATA!$B$4&lt;&gt;"OR+EX",--(DATOS!$G380=CONFIG_METADATA!$B$4),IF(DATOS!$G380="EX",1,IF(DATOS!$G380="OR",--(COUNTIFS(nNIA,DATOS!$A380,nCURSO,DATOS!$D380,nESPEC,DATOS!$E380,nASIG,DATOS!$I380,nEVAL,"EX")=0),0))))</f>
      </c>
      <c r="H380">
        <f>IF(DATOS!$G380&lt;&gt;"EX",0,--(COUNTIFS(nNIA,DATOS!$A380,nCURSO,DATOS!$D380,nESPEC,DATOS!$E380,nASIG,DATOS!$I380,nEVAL,"OR")=0))</f>
      </c>
      <c r="I380">
        <f>IF(DATOS!$I380="","",IFERROR(VLOOKUP(DATOS!$I380,CONFIG_ASIGNATURAS!$B$2:$J$91,9,FALSE()),""))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IF(DATOS!$A381="",0,IF(CONFIG_METADATA!$B$4&lt;&gt;"OR+EX",--(DATOS!$G381=CONFIG_METADATA!$B$4),IF(DATOS!$G381="EX",1,IF(DATOS!$G381="OR",--(COUNTIFS(nNIA,DATOS!$A381,nCURSO,DATOS!$D381,nESPEC,DATOS!$E381,nASIG,DATOS!$I381,nEVAL,"EX")=0),0))))</f>
      </c>
      <c r="H381">
        <f>IF(DATOS!$G381&lt;&gt;"EX",0,--(COUNTIFS(nNIA,DATOS!$A381,nCURSO,DATOS!$D381,nESPEC,DATOS!$E381,nASIG,DATOS!$I381,nEVAL,"OR")=0))</f>
      </c>
      <c r="I381">
        <f>IF(DATOS!$I381="","",IFERROR(VLOOKUP(DATOS!$I381,CONFIG_ASIGNATURAS!$B$2:$J$91,9,FALSE()),""))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IF(DATOS!$A382="",0,IF(CONFIG_METADATA!$B$4&lt;&gt;"OR+EX",--(DATOS!$G382=CONFIG_METADATA!$B$4),IF(DATOS!$G382="EX",1,IF(DATOS!$G382="OR",--(COUNTIFS(nNIA,DATOS!$A382,nCURSO,DATOS!$D382,nESPEC,DATOS!$E382,nASIG,DATOS!$I382,nEVAL,"EX")=0),0))))</f>
      </c>
      <c r="H382">
        <f>IF(DATOS!$G382&lt;&gt;"EX",0,--(COUNTIFS(nNIA,DATOS!$A382,nCURSO,DATOS!$D382,nESPEC,DATOS!$E382,nASIG,DATOS!$I382,nEVAL,"OR")=0))</f>
      </c>
      <c r="I382">
        <f>IF(DATOS!$I382="","",IFERROR(VLOOKUP(DATOS!$I382,CONFIG_ASIGNATURAS!$B$2:$J$91,9,FALSE()),""))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IF(DATOS!$A383="",0,IF(CONFIG_METADATA!$B$4&lt;&gt;"OR+EX",--(DATOS!$G383=CONFIG_METADATA!$B$4),IF(DATOS!$G383="EX",1,IF(DATOS!$G383="OR",--(COUNTIFS(nNIA,DATOS!$A383,nCURSO,DATOS!$D383,nESPEC,DATOS!$E383,nASIG,DATOS!$I383,nEVAL,"EX")=0),0))))</f>
      </c>
      <c r="H383">
        <f>IF(DATOS!$G383&lt;&gt;"EX",0,--(COUNTIFS(nNIA,DATOS!$A383,nCURSO,DATOS!$D383,nESPEC,DATOS!$E383,nASIG,DATOS!$I383,nEVAL,"OR")=0))</f>
      </c>
      <c r="I383">
        <f>IF(DATOS!$I383="","",IFERROR(VLOOKUP(DATOS!$I383,CONFIG_ASIGNATURAS!$B$2:$J$91,9,FALSE()),""))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IF(DATOS!$A384="",0,IF(CONFIG_METADATA!$B$4&lt;&gt;"OR+EX",--(DATOS!$G384=CONFIG_METADATA!$B$4),IF(DATOS!$G384="EX",1,IF(DATOS!$G384="OR",--(COUNTIFS(nNIA,DATOS!$A384,nCURSO,DATOS!$D384,nESPEC,DATOS!$E384,nASIG,DATOS!$I384,nEVAL,"EX")=0),0))))</f>
      </c>
      <c r="H384">
        <f>IF(DATOS!$G384&lt;&gt;"EX",0,--(COUNTIFS(nNIA,DATOS!$A384,nCURSO,DATOS!$D384,nESPEC,DATOS!$E384,nASIG,DATOS!$I384,nEVAL,"OR")=0))</f>
      </c>
      <c r="I384">
        <f>IF(DATOS!$I384="","",IFERROR(VLOOKUP(DATOS!$I384,CONFIG_ASIGNATURAS!$B$2:$J$91,9,FALSE()),""))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IF(DATOS!$A385="",0,IF(CONFIG_METADATA!$B$4&lt;&gt;"OR+EX",--(DATOS!$G385=CONFIG_METADATA!$B$4),IF(DATOS!$G385="EX",1,IF(DATOS!$G385="OR",--(COUNTIFS(nNIA,DATOS!$A385,nCURSO,DATOS!$D385,nESPEC,DATOS!$E385,nASIG,DATOS!$I385,nEVAL,"EX")=0),0))))</f>
      </c>
      <c r="H385">
        <f>IF(DATOS!$G385&lt;&gt;"EX",0,--(COUNTIFS(nNIA,DATOS!$A385,nCURSO,DATOS!$D385,nESPEC,DATOS!$E385,nASIG,DATOS!$I385,nEVAL,"OR")=0))</f>
      </c>
      <c r="I385">
        <f>IF(DATOS!$I385="","",IFERROR(VLOOKUP(DATOS!$I385,CONFIG_ASIGNATURAS!$B$2:$J$91,9,FALSE()),""))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IF(DATOS!$A386="",0,IF(CONFIG_METADATA!$B$4&lt;&gt;"OR+EX",--(DATOS!$G386=CONFIG_METADATA!$B$4),IF(DATOS!$G386="EX",1,IF(DATOS!$G386="OR",--(COUNTIFS(nNIA,DATOS!$A386,nCURSO,DATOS!$D386,nESPEC,DATOS!$E386,nASIG,DATOS!$I386,nEVAL,"EX")=0),0))))</f>
      </c>
      <c r="H386">
        <f>IF(DATOS!$G386&lt;&gt;"EX",0,--(COUNTIFS(nNIA,DATOS!$A386,nCURSO,DATOS!$D386,nESPEC,DATOS!$E386,nASIG,DATOS!$I386,nEVAL,"OR")=0))</f>
      </c>
      <c r="I386">
        <f>IF(DATOS!$I386="","",IFERROR(VLOOKUP(DATOS!$I386,CONFIG_ASIGNATURAS!$B$2:$J$91,9,FALSE()),""))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IF(DATOS!$A387="",0,IF(CONFIG_METADATA!$B$4&lt;&gt;"OR+EX",--(DATOS!$G387=CONFIG_METADATA!$B$4),IF(DATOS!$G387="EX",1,IF(DATOS!$G387="OR",--(COUNTIFS(nNIA,DATOS!$A387,nCURSO,DATOS!$D387,nESPEC,DATOS!$E387,nASIG,DATOS!$I387,nEVAL,"EX")=0),0))))</f>
      </c>
      <c r="H387">
        <f>IF(DATOS!$G387&lt;&gt;"EX",0,--(COUNTIFS(nNIA,DATOS!$A387,nCURSO,DATOS!$D387,nESPEC,DATOS!$E387,nASIG,DATOS!$I387,nEVAL,"OR")=0))</f>
      </c>
      <c r="I387">
        <f>IF(DATOS!$I387="","",IFERROR(VLOOKUP(DATOS!$I387,CONFIG_ASIGNATURAS!$B$2:$J$91,9,FALSE()),""))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IF(DATOS!$A388="",0,IF(CONFIG_METADATA!$B$4&lt;&gt;"OR+EX",--(DATOS!$G388=CONFIG_METADATA!$B$4),IF(DATOS!$G388="EX",1,IF(DATOS!$G388="OR",--(COUNTIFS(nNIA,DATOS!$A388,nCURSO,DATOS!$D388,nESPEC,DATOS!$E388,nASIG,DATOS!$I388,nEVAL,"EX")=0),0))))</f>
      </c>
      <c r="H388">
        <f>IF(DATOS!$G388&lt;&gt;"EX",0,--(COUNTIFS(nNIA,DATOS!$A388,nCURSO,DATOS!$D388,nESPEC,DATOS!$E388,nASIG,DATOS!$I388,nEVAL,"OR")=0))</f>
      </c>
      <c r="I388">
        <f>IF(DATOS!$I388="","",IFERROR(VLOOKUP(DATOS!$I388,CONFIG_ASIGNATURAS!$B$2:$J$91,9,FALSE()),""))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IF(DATOS!$A389="",0,IF(CONFIG_METADATA!$B$4&lt;&gt;"OR+EX",--(DATOS!$G389=CONFIG_METADATA!$B$4),IF(DATOS!$G389="EX",1,IF(DATOS!$G389="OR",--(COUNTIFS(nNIA,DATOS!$A389,nCURSO,DATOS!$D389,nESPEC,DATOS!$E389,nASIG,DATOS!$I389,nEVAL,"EX")=0),0))))</f>
      </c>
      <c r="H389">
        <f>IF(DATOS!$G389&lt;&gt;"EX",0,--(COUNTIFS(nNIA,DATOS!$A389,nCURSO,DATOS!$D389,nESPEC,DATOS!$E389,nASIG,DATOS!$I389,nEVAL,"OR")=0))</f>
      </c>
      <c r="I389">
        <f>IF(DATOS!$I389="","",IFERROR(VLOOKUP(DATOS!$I389,CONFIG_ASIGNATURAS!$B$2:$J$91,9,FALSE()),""))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IF(DATOS!$A390="",0,IF(CONFIG_METADATA!$B$4&lt;&gt;"OR+EX",--(DATOS!$G390=CONFIG_METADATA!$B$4),IF(DATOS!$G390="EX",1,IF(DATOS!$G390="OR",--(COUNTIFS(nNIA,DATOS!$A390,nCURSO,DATOS!$D390,nESPEC,DATOS!$E390,nASIG,DATOS!$I390,nEVAL,"EX")=0),0))))</f>
      </c>
      <c r="H390">
        <f>IF(DATOS!$G390&lt;&gt;"EX",0,--(COUNTIFS(nNIA,DATOS!$A390,nCURSO,DATOS!$D390,nESPEC,DATOS!$E390,nASIG,DATOS!$I390,nEVAL,"OR")=0))</f>
      </c>
      <c r="I390">
        <f>IF(DATOS!$I390="","",IFERROR(VLOOKUP(DATOS!$I390,CONFIG_ASIGNATURAS!$B$2:$J$91,9,FALSE()),""))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IF(DATOS!$A391="",0,IF(CONFIG_METADATA!$B$4&lt;&gt;"OR+EX",--(DATOS!$G391=CONFIG_METADATA!$B$4),IF(DATOS!$G391="EX",1,IF(DATOS!$G391="OR",--(COUNTIFS(nNIA,DATOS!$A391,nCURSO,DATOS!$D391,nESPEC,DATOS!$E391,nASIG,DATOS!$I391,nEVAL,"EX")=0),0))))</f>
      </c>
      <c r="H391">
        <f>IF(DATOS!$G391&lt;&gt;"EX",0,--(COUNTIFS(nNIA,DATOS!$A391,nCURSO,DATOS!$D391,nESPEC,DATOS!$E391,nASIG,DATOS!$I391,nEVAL,"OR")=0))</f>
      </c>
      <c r="I391">
        <f>IF(DATOS!$I391="","",IFERROR(VLOOKUP(DATOS!$I391,CONFIG_ASIGNATURAS!$B$2:$J$91,9,FALSE()),""))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IF(DATOS!$A392="",0,IF(CONFIG_METADATA!$B$4&lt;&gt;"OR+EX",--(DATOS!$G392=CONFIG_METADATA!$B$4),IF(DATOS!$G392="EX",1,IF(DATOS!$G392="OR",--(COUNTIFS(nNIA,DATOS!$A392,nCURSO,DATOS!$D392,nESPEC,DATOS!$E392,nASIG,DATOS!$I392,nEVAL,"EX")=0),0))))</f>
      </c>
      <c r="H392">
        <f>IF(DATOS!$G392&lt;&gt;"EX",0,--(COUNTIFS(nNIA,DATOS!$A392,nCURSO,DATOS!$D392,nESPEC,DATOS!$E392,nASIG,DATOS!$I392,nEVAL,"OR")=0))</f>
      </c>
      <c r="I392">
        <f>IF(DATOS!$I392="","",IFERROR(VLOOKUP(DATOS!$I392,CONFIG_ASIGNATURAS!$B$2:$J$91,9,FALSE()),""))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IF(DATOS!$A393="",0,IF(CONFIG_METADATA!$B$4&lt;&gt;"OR+EX",--(DATOS!$G393=CONFIG_METADATA!$B$4),IF(DATOS!$G393="EX",1,IF(DATOS!$G393="OR",--(COUNTIFS(nNIA,DATOS!$A393,nCURSO,DATOS!$D393,nESPEC,DATOS!$E393,nASIG,DATOS!$I393,nEVAL,"EX")=0),0))))</f>
      </c>
      <c r="H393">
        <f>IF(DATOS!$G393&lt;&gt;"EX",0,--(COUNTIFS(nNIA,DATOS!$A393,nCURSO,DATOS!$D393,nESPEC,DATOS!$E393,nASIG,DATOS!$I393,nEVAL,"OR")=0))</f>
      </c>
      <c r="I393">
        <f>IF(DATOS!$I393="","",IFERROR(VLOOKUP(DATOS!$I393,CONFIG_ASIGNATURAS!$B$2:$J$91,9,FALSE()),""))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IF(DATOS!$A394="",0,IF(CONFIG_METADATA!$B$4&lt;&gt;"OR+EX",--(DATOS!$G394=CONFIG_METADATA!$B$4),IF(DATOS!$G394="EX",1,IF(DATOS!$G394="OR",--(COUNTIFS(nNIA,DATOS!$A394,nCURSO,DATOS!$D394,nESPEC,DATOS!$E394,nASIG,DATOS!$I394,nEVAL,"EX")=0),0))))</f>
      </c>
      <c r="H394">
        <f>IF(DATOS!$G394&lt;&gt;"EX",0,--(COUNTIFS(nNIA,DATOS!$A394,nCURSO,DATOS!$D394,nESPEC,DATOS!$E394,nASIG,DATOS!$I394,nEVAL,"OR")=0))</f>
      </c>
      <c r="I394">
        <f>IF(DATOS!$I394="","",IFERROR(VLOOKUP(DATOS!$I394,CONFIG_ASIGNATURAS!$B$2:$J$91,9,FALSE()),""))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IF(DATOS!$A395="",0,IF(CONFIG_METADATA!$B$4&lt;&gt;"OR+EX",--(DATOS!$G395=CONFIG_METADATA!$B$4),IF(DATOS!$G395="EX",1,IF(DATOS!$G395="OR",--(COUNTIFS(nNIA,DATOS!$A395,nCURSO,DATOS!$D395,nESPEC,DATOS!$E395,nASIG,DATOS!$I395,nEVAL,"EX")=0),0))))</f>
      </c>
      <c r="H395">
        <f>IF(DATOS!$G395&lt;&gt;"EX",0,--(COUNTIFS(nNIA,DATOS!$A395,nCURSO,DATOS!$D395,nESPEC,DATOS!$E395,nASIG,DATOS!$I395,nEVAL,"OR")=0))</f>
      </c>
      <c r="I395">
        <f>IF(DATOS!$I395="","",IFERROR(VLOOKUP(DATOS!$I395,CONFIG_ASIGNATURAS!$B$2:$J$91,9,FALSE()),""))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IF(DATOS!$A396="",0,IF(CONFIG_METADATA!$B$4&lt;&gt;"OR+EX",--(DATOS!$G396=CONFIG_METADATA!$B$4),IF(DATOS!$G396="EX",1,IF(DATOS!$G396="OR",--(COUNTIFS(nNIA,DATOS!$A396,nCURSO,DATOS!$D396,nESPEC,DATOS!$E396,nASIG,DATOS!$I396,nEVAL,"EX")=0),0))))</f>
      </c>
      <c r="H396">
        <f>IF(DATOS!$G396&lt;&gt;"EX",0,--(COUNTIFS(nNIA,DATOS!$A396,nCURSO,DATOS!$D396,nESPEC,DATOS!$E396,nASIG,DATOS!$I396,nEVAL,"OR")=0))</f>
      </c>
      <c r="I396">
        <f>IF(DATOS!$I396="","",IFERROR(VLOOKUP(DATOS!$I396,CONFIG_ASIGNATURAS!$B$2:$J$91,9,FALSE()),""))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IF(DATOS!$A397="",0,IF(CONFIG_METADATA!$B$4&lt;&gt;"OR+EX",--(DATOS!$G397=CONFIG_METADATA!$B$4),IF(DATOS!$G397="EX",1,IF(DATOS!$G397="OR",--(COUNTIFS(nNIA,DATOS!$A397,nCURSO,DATOS!$D397,nESPEC,DATOS!$E397,nASIG,DATOS!$I397,nEVAL,"EX")=0),0))))</f>
      </c>
      <c r="H397">
        <f>IF(DATOS!$G397&lt;&gt;"EX",0,--(COUNTIFS(nNIA,DATOS!$A397,nCURSO,DATOS!$D397,nESPEC,DATOS!$E397,nASIG,DATOS!$I397,nEVAL,"OR")=0))</f>
      </c>
      <c r="I397">
        <f>IF(DATOS!$I397="","",IFERROR(VLOOKUP(DATOS!$I397,CONFIG_ASIGNATURAS!$B$2:$J$91,9,FALSE()),""))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IF(DATOS!$A398="",0,IF(CONFIG_METADATA!$B$4&lt;&gt;"OR+EX",--(DATOS!$G398=CONFIG_METADATA!$B$4),IF(DATOS!$G398="EX",1,IF(DATOS!$G398="OR",--(COUNTIFS(nNIA,DATOS!$A398,nCURSO,DATOS!$D398,nESPEC,DATOS!$E398,nASIG,DATOS!$I398,nEVAL,"EX")=0),0))))</f>
      </c>
      <c r="H398">
        <f>IF(DATOS!$G398&lt;&gt;"EX",0,--(COUNTIFS(nNIA,DATOS!$A398,nCURSO,DATOS!$D398,nESPEC,DATOS!$E398,nASIG,DATOS!$I398,nEVAL,"OR")=0))</f>
      </c>
      <c r="I398">
        <f>IF(DATOS!$I398="","",IFERROR(VLOOKUP(DATOS!$I398,CONFIG_ASIGNATURAS!$B$2:$J$91,9,FALSE()),""))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IF(DATOS!$A399="",0,IF(CONFIG_METADATA!$B$4&lt;&gt;"OR+EX",--(DATOS!$G399=CONFIG_METADATA!$B$4),IF(DATOS!$G399="EX",1,IF(DATOS!$G399="OR",--(COUNTIFS(nNIA,DATOS!$A399,nCURSO,DATOS!$D399,nESPEC,DATOS!$E399,nASIG,DATOS!$I399,nEVAL,"EX")=0),0))))</f>
      </c>
      <c r="H399">
        <f>IF(DATOS!$G399&lt;&gt;"EX",0,--(COUNTIFS(nNIA,DATOS!$A399,nCURSO,DATOS!$D399,nESPEC,DATOS!$E399,nASIG,DATOS!$I399,nEVAL,"OR")=0))</f>
      </c>
      <c r="I399">
        <f>IF(DATOS!$I399="","",IFERROR(VLOOKUP(DATOS!$I399,CONFIG_ASIGNATURAS!$B$2:$J$91,9,FALSE()),""))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IF(DATOS!$A400="",0,IF(CONFIG_METADATA!$B$4&lt;&gt;"OR+EX",--(DATOS!$G400=CONFIG_METADATA!$B$4),IF(DATOS!$G400="EX",1,IF(DATOS!$G400="OR",--(COUNTIFS(nNIA,DATOS!$A400,nCURSO,DATOS!$D400,nESPEC,DATOS!$E400,nASIG,DATOS!$I400,nEVAL,"EX")=0),0))))</f>
      </c>
      <c r="H400">
        <f>IF(DATOS!$G400&lt;&gt;"EX",0,--(COUNTIFS(nNIA,DATOS!$A400,nCURSO,DATOS!$D400,nESPEC,DATOS!$E400,nASIG,DATOS!$I400,nEVAL,"OR")=0))</f>
      </c>
      <c r="I400">
        <f>IF(DATOS!$I400="","",IFERROR(VLOOKUP(DATOS!$I400,CONFIG_ASIGNATURAS!$B$2:$J$91,9,FALSE()),""))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IF(DATOS!$A401="",0,IF(CONFIG_METADATA!$B$4&lt;&gt;"OR+EX",--(DATOS!$G401=CONFIG_METADATA!$B$4),IF(DATOS!$G401="EX",1,IF(DATOS!$G401="OR",--(COUNTIFS(nNIA,DATOS!$A401,nCURSO,DATOS!$D401,nESPEC,DATOS!$E401,nASIG,DATOS!$I401,nEVAL,"EX")=0),0))))</f>
      </c>
      <c r="H401">
        <f>IF(DATOS!$G401&lt;&gt;"EX",0,--(COUNTIFS(nNIA,DATOS!$A401,nCURSO,DATOS!$D401,nESPEC,DATOS!$E401,nASIG,DATOS!$I401,nEVAL,"OR")=0))</f>
      </c>
      <c r="I401">
        <f>IF(DATOS!$I401="","",IFERROR(VLOOKUP(DATOS!$I401,CONFIG_ASIGNATURAS!$B$2:$J$91,9,FALSE()),""))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IF(DATOS!$A402="",0,IF(CONFIG_METADATA!$B$4&lt;&gt;"OR+EX",--(DATOS!$G402=CONFIG_METADATA!$B$4),IF(DATOS!$G402="EX",1,IF(DATOS!$G402="OR",--(COUNTIFS(nNIA,DATOS!$A402,nCURSO,DATOS!$D402,nESPEC,DATOS!$E402,nASIG,DATOS!$I402,nEVAL,"EX")=0),0))))</f>
      </c>
      <c r="H402">
        <f>IF(DATOS!$G402&lt;&gt;"EX",0,--(COUNTIFS(nNIA,DATOS!$A402,nCURSO,DATOS!$D402,nESPEC,DATOS!$E402,nASIG,DATOS!$I402,nEVAL,"OR")=0))</f>
      </c>
      <c r="I402">
        <f>IF(DATOS!$I402="","",IFERROR(VLOOKUP(DATOS!$I402,CONFIG_ASIGNATURAS!$B$2:$J$91,9,FALSE()),""))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IF(DATOS!$A403="",0,IF(CONFIG_METADATA!$B$4&lt;&gt;"OR+EX",--(DATOS!$G403=CONFIG_METADATA!$B$4),IF(DATOS!$G403="EX",1,IF(DATOS!$G403="OR",--(COUNTIFS(nNIA,DATOS!$A403,nCURSO,DATOS!$D403,nESPEC,DATOS!$E403,nASIG,DATOS!$I403,nEVAL,"EX")=0),0))))</f>
      </c>
      <c r="H403">
        <f>IF(DATOS!$G403&lt;&gt;"EX",0,--(COUNTIFS(nNIA,DATOS!$A403,nCURSO,DATOS!$D403,nESPEC,DATOS!$E403,nASIG,DATOS!$I403,nEVAL,"OR")=0))</f>
      </c>
      <c r="I403">
        <f>IF(DATOS!$I403="","",IFERROR(VLOOKUP(DATOS!$I403,CONFIG_ASIGNATURAS!$B$2:$J$91,9,FALSE()),""))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IF(DATOS!$A404="",0,IF(CONFIG_METADATA!$B$4&lt;&gt;"OR+EX",--(DATOS!$G404=CONFIG_METADATA!$B$4),IF(DATOS!$G404="EX",1,IF(DATOS!$G404="OR",--(COUNTIFS(nNIA,DATOS!$A404,nCURSO,DATOS!$D404,nESPEC,DATOS!$E404,nASIG,DATOS!$I404,nEVAL,"EX")=0),0))))</f>
      </c>
      <c r="H404">
        <f>IF(DATOS!$G404&lt;&gt;"EX",0,--(COUNTIFS(nNIA,DATOS!$A404,nCURSO,DATOS!$D404,nESPEC,DATOS!$E404,nASIG,DATOS!$I404,nEVAL,"OR")=0))</f>
      </c>
      <c r="I404">
        <f>IF(DATOS!$I404="","",IFERROR(VLOOKUP(DATOS!$I404,CONFIG_ASIGNATURAS!$B$2:$J$91,9,FALSE()),""))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IF(DATOS!$A405="",0,IF(CONFIG_METADATA!$B$4&lt;&gt;"OR+EX",--(DATOS!$G405=CONFIG_METADATA!$B$4),IF(DATOS!$G405="EX",1,IF(DATOS!$G405="OR",--(COUNTIFS(nNIA,DATOS!$A405,nCURSO,DATOS!$D405,nESPEC,DATOS!$E405,nASIG,DATOS!$I405,nEVAL,"EX")=0),0))))</f>
      </c>
      <c r="H405">
        <f>IF(DATOS!$G405&lt;&gt;"EX",0,--(COUNTIFS(nNIA,DATOS!$A405,nCURSO,DATOS!$D405,nESPEC,DATOS!$E405,nASIG,DATOS!$I405,nEVAL,"OR")=0))</f>
      </c>
      <c r="I405">
        <f>IF(DATOS!$I405="","",IFERROR(VLOOKUP(DATOS!$I405,CONFIG_ASIGNATURAS!$B$2:$J$91,9,FALSE()),""))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IF(DATOS!$A406="",0,IF(CONFIG_METADATA!$B$4&lt;&gt;"OR+EX",--(DATOS!$G406=CONFIG_METADATA!$B$4),IF(DATOS!$G406="EX",1,IF(DATOS!$G406="OR",--(COUNTIFS(nNIA,DATOS!$A406,nCURSO,DATOS!$D406,nESPEC,DATOS!$E406,nASIG,DATOS!$I406,nEVAL,"EX")=0),0))))</f>
      </c>
      <c r="H406">
        <f>IF(DATOS!$G406&lt;&gt;"EX",0,--(COUNTIFS(nNIA,DATOS!$A406,nCURSO,DATOS!$D406,nESPEC,DATOS!$E406,nASIG,DATOS!$I406,nEVAL,"OR")=0))</f>
      </c>
      <c r="I406">
        <f>IF(DATOS!$I406="","",IFERROR(VLOOKUP(DATOS!$I406,CONFIG_ASIGNATURAS!$B$2:$J$91,9,FALSE()),""))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IF(DATOS!$A407="",0,IF(CONFIG_METADATA!$B$4&lt;&gt;"OR+EX",--(DATOS!$G407=CONFIG_METADATA!$B$4),IF(DATOS!$G407="EX",1,IF(DATOS!$G407="OR",--(COUNTIFS(nNIA,DATOS!$A407,nCURSO,DATOS!$D407,nESPEC,DATOS!$E407,nASIG,DATOS!$I407,nEVAL,"EX")=0),0))))</f>
      </c>
      <c r="H407">
        <f>IF(DATOS!$G407&lt;&gt;"EX",0,--(COUNTIFS(nNIA,DATOS!$A407,nCURSO,DATOS!$D407,nESPEC,DATOS!$E407,nASIG,DATOS!$I407,nEVAL,"OR")=0))</f>
      </c>
      <c r="I407">
        <f>IF(DATOS!$I407="","",IFERROR(VLOOKUP(DATOS!$I407,CONFIG_ASIGNATURAS!$B$2:$J$91,9,FALSE()),""))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IF(DATOS!$A408="",0,IF(CONFIG_METADATA!$B$4&lt;&gt;"OR+EX",--(DATOS!$G408=CONFIG_METADATA!$B$4),IF(DATOS!$G408="EX",1,IF(DATOS!$G408="OR",--(COUNTIFS(nNIA,DATOS!$A408,nCURSO,DATOS!$D408,nESPEC,DATOS!$E408,nASIG,DATOS!$I408,nEVAL,"EX")=0),0))))</f>
      </c>
      <c r="H408">
        <f>IF(DATOS!$G408&lt;&gt;"EX",0,--(COUNTIFS(nNIA,DATOS!$A408,nCURSO,DATOS!$D408,nESPEC,DATOS!$E408,nASIG,DATOS!$I408,nEVAL,"OR")=0))</f>
      </c>
      <c r="I408">
        <f>IF(DATOS!$I408="","",IFERROR(VLOOKUP(DATOS!$I408,CONFIG_ASIGNATURAS!$B$2:$J$91,9,FALSE()),""))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IF(DATOS!$A409="",0,IF(CONFIG_METADATA!$B$4&lt;&gt;"OR+EX",--(DATOS!$G409=CONFIG_METADATA!$B$4),IF(DATOS!$G409="EX",1,IF(DATOS!$G409="OR",--(COUNTIFS(nNIA,DATOS!$A409,nCURSO,DATOS!$D409,nESPEC,DATOS!$E409,nASIG,DATOS!$I409,nEVAL,"EX")=0),0))))</f>
      </c>
      <c r="H409">
        <f>IF(DATOS!$G409&lt;&gt;"EX",0,--(COUNTIFS(nNIA,DATOS!$A409,nCURSO,DATOS!$D409,nESPEC,DATOS!$E409,nASIG,DATOS!$I409,nEVAL,"OR")=0))</f>
      </c>
      <c r="I409">
        <f>IF(DATOS!$I409="","",IFERROR(VLOOKUP(DATOS!$I409,CONFIG_ASIGNATURAS!$B$2:$J$91,9,FALSE()),""))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IF(DATOS!$A410="",0,IF(CONFIG_METADATA!$B$4&lt;&gt;"OR+EX",--(DATOS!$G410=CONFIG_METADATA!$B$4),IF(DATOS!$G410="EX",1,IF(DATOS!$G410="OR",--(COUNTIFS(nNIA,DATOS!$A410,nCURSO,DATOS!$D410,nESPEC,DATOS!$E410,nASIG,DATOS!$I410,nEVAL,"EX")=0),0))))</f>
      </c>
      <c r="H410">
        <f>IF(DATOS!$G410&lt;&gt;"EX",0,--(COUNTIFS(nNIA,DATOS!$A410,nCURSO,DATOS!$D410,nESPEC,DATOS!$E410,nASIG,DATOS!$I410,nEVAL,"OR")=0))</f>
      </c>
      <c r="I410">
        <f>IF(DATOS!$I410="","",IFERROR(VLOOKUP(DATOS!$I410,CONFIG_ASIGNATURAS!$B$2:$J$91,9,FALSE()),""))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IF(DATOS!$A411="",0,IF(CONFIG_METADATA!$B$4&lt;&gt;"OR+EX",--(DATOS!$G411=CONFIG_METADATA!$B$4),IF(DATOS!$G411="EX",1,IF(DATOS!$G411="OR",--(COUNTIFS(nNIA,DATOS!$A411,nCURSO,DATOS!$D411,nESPEC,DATOS!$E411,nASIG,DATOS!$I411,nEVAL,"EX")=0),0))))</f>
      </c>
      <c r="H411">
        <f>IF(DATOS!$G411&lt;&gt;"EX",0,--(COUNTIFS(nNIA,DATOS!$A411,nCURSO,DATOS!$D411,nESPEC,DATOS!$E411,nASIG,DATOS!$I411,nEVAL,"OR")=0))</f>
      </c>
      <c r="I411">
        <f>IF(DATOS!$I411="","",IFERROR(VLOOKUP(DATOS!$I411,CONFIG_ASIGNATURAS!$B$2:$J$91,9,FALSE()),""))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IF(DATOS!$A412="",0,IF(CONFIG_METADATA!$B$4&lt;&gt;"OR+EX",--(DATOS!$G412=CONFIG_METADATA!$B$4),IF(DATOS!$G412="EX",1,IF(DATOS!$G412="OR",--(COUNTIFS(nNIA,DATOS!$A412,nCURSO,DATOS!$D412,nESPEC,DATOS!$E412,nASIG,DATOS!$I412,nEVAL,"EX")=0),0))))</f>
      </c>
      <c r="H412">
        <f>IF(DATOS!$G412&lt;&gt;"EX",0,--(COUNTIFS(nNIA,DATOS!$A412,nCURSO,DATOS!$D412,nESPEC,DATOS!$E412,nASIG,DATOS!$I412,nEVAL,"OR")=0))</f>
      </c>
      <c r="I412">
        <f>IF(DATOS!$I412="","",IFERROR(VLOOKUP(DATOS!$I412,CONFIG_ASIGNATURAS!$B$2:$J$91,9,FALSE()),""))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IF(DATOS!$A413="",0,IF(CONFIG_METADATA!$B$4&lt;&gt;"OR+EX",--(DATOS!$G413=CONFIG_METADATA!$B$4),IF(DATOS!$G413="EX",1,IF(DATOS!$G413="OR",--(COUNTIFS(nNIA,DATOS!$A413,nCURSO,DATOS!$D413,nESPEC,DATOS!$E413,nASIG,DATOS!$I413,nEVAL,"EX")=0),0))))</f>
      </c>
      <c r="H413">
        <f>IF(DATOS!$G413&lt;&gt;"EX",0,--(COUNTIFS(nNIA,DATOS!$A413,nCURSO,DATOS!$D413,nESPEC,DATOS!$E413,nASIG,DATOS!$I413,nEVAL,"OR")=0))</f>
      </c>
      <c r="I413">
        <f>IF(DATOS!$I413="","",IFERROR(VLOOKUP(DATOS!$I413,CONFIG_ASIGNATURAS!$B$2:$J$91,9,FALSE()),""))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IF(DATOS!$A414="",0,IF(CONFIG_METADATA!$B$4&lt;&gt;"OR+EX",--(DATOS!$G414=CONFIG_METADATA!$B$4),IF(DATOS!$G414="EX",1,IF(DATOS!$G414="OR",--(COUNTIFS(nNIA,DATOS!$A414,nCURSO,DATOS!$D414,nESPEC,DATOS!$E414,nASIG,DATOS!$I414,nEVAL,"EX")=0),0))))</f>
      </c>
      <c r="H414">
        <f>IF(DATOS!$G414&lt;&gt;"EX",0,--(COUNTIFS(nNIA,DATOS!$A414,nCURSO,DATOS!$D414,nESPEC,DATOS!$E414,nASIG,DATOS!$I414,nEVAL,"OR")=0))</f>
      </c>
      <c r="I414">
        <f>IF(DATOS!$I414="","",IFERROR(VLOOKUP(DATOS!$I414,CONFIG_ASIGNATURAS!$B$2:$J$91,9,FALSE()),""))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IF(DATOS!$A415="",0,IF(CONFIG_METADATA!$B$4&lt;&gt;"OR+EX",--(DATOS!$G415=CONFIG_METADATA!$B$4),IF(DATOS!$G415="EX",1,IF(DATOS!$G415="OR",--(COUNTIFS(nNIA,DATOS!$A415,nCURSO,DATOS!$D415,nESPEC,DATOS!$E415,nASIG,DATOS!$I415,nEVAL,"EX")=0),0))))</f>
      </c>
      <c r="H415">
        <f>IF(DATOS!$G415&lt;&gt;"EX",0,--(COUNTIFS(nNIA,DATOS!$A415,nCURSO,DATOS!$D415,nESPEC,DATOS!$E415,nASIG,DATOS!$I415,nEVAL,"OR")=0))</f>
      </c>
      <c r="I415">
        <f>IF(DATOS!$I415="","",IFERROR(VLOOKUP(DATOS!$I415,CONFIG_ASIGNATURAS!$B$2:$J$91,9,FALSE()),""))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IF(DATOS!$A416="",0,IF(CONFIG_METADATA!$B$4&lt;&gt;"OR+EX",--(DATOS!$G416=CONFIG_METADATA!$B$4),IF(DATOS!$G416="EX",1,IF(DATOS!$G416="OR",--(COUNTIFS(nNIA,DATOS!$A416,nCURSO,DATOS!$D416,nESPEC,DATOS!$E416,nASIG,DATOS!$I416,nEVAL,"EX")=0),0))))</f>
      </c>
      <c r="H416">
        <f>IF(DATOS!$G416&lt;&gt;"EX",0,--(COUNTIFS(nNIA,DATOS!$A416,nCURSO,DATOS!$D416,nESPEC,DATOS!$E416,nASIG,DATOS!$I416,nEVAL,"OR")=0))</f>
      </c>
      <c r="I416">
        <f>IF(DATOS!$I416="","",IFERROR(VLOOKUP(DATOS!$I416,CONFIG_ASIGNATURAS!$B$2:$J$91,9,FALSE()),""))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IF(DATOS!$A417="",0,IF(CONFIG_METADATA!$B$4&lt;&gt;"OR+EX",--(DATOS!$G417=CONFIG_METADATA!$B$4),IF(DATOS!$G417="EX",1,IF(DATOS!$G417="OR",--(COUNTIFS(nNIA,DATOS!$A417,nCURSO,DATOS!$D417,nESPEC,DATOS!$E417,nASIG,DATOS!$I417,nEVAL,"EX")=0),0))))</f>
      </c>
      <c r="H417">
        <f>IF(DATOS!$G417&lt;&gt;"EX",0,--(COUNTIFS(nNIA,DATOS!$A417,nCURSO,DATOS!$D417,nESPEC,DATOS!$E417,nASIG,DATOS!$I417,nEVAL,"OR")=0))</f>
      </c>
      <c r="I417">
        <f>IF(DATOS!$I417="","",IFERROR(VLOOKUP(DATOS!$I417,CONFIG_ASIGNATURAS!$B$2:$J$91,9,FALSE()),""))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IF(DATOS!$A418="",0,IF(CONFIG_METADATA!$B$4&lt;&gt;"OR+EX",--(DATOS!$G418=CONFIG_METADATA!$B$4),IF(DATOS!$G418="EX",1,IF(DATOS!$G418="OR",--(COUNTIFS(nNIA,DATOS!$A418,nCURSO,DATOS!$D418,nESPEC,DATOS!$E418,nASIG,DATOS!$I418,nEVAL,"EX")=0),0))))</f>
      </c>
      <c r="H418">
        <f>IF(DATOS!$G418&lt;&gt;"EX",0,--(COUNTIFS(nNIA,DATOS!$A418,nCURSO,DATOS!$D418,nESPEC,DATOS!$E418,nASIG,DATOS!$I418,nEVAL,"OR")=0))</f>
      </c>
      <c r="I418">
        <f>IF(DATOS!$I418="","",IFERROR(VLOOKUP(DATOS!$I418,CONFIG_ASIGNATURAS!$B$2:$J$91,9,FALSE()),""))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IF(DATOS!$A419="",0,IF(CONFIG_METADATA!$B$4&lt;&gt;"OR+EX",--(DATOS!$G419=CONFIG_METADATA!$B$4),IF(DATOS!$G419="EX",1,IF(DATOS!$G419="OR",--(COUNTIFS(nNIA,DATOS!$A419,nCURSO,DATOS!$D419,nESPEC,DATOS!$E419,nASIG,DATOS!$I419,nEVAL,"EX")=0),0))))</f>
      </c>
      <c r="H419">
        <f>IF(DATOS!$G419&lt;&gt;"EX",0,--(COUNTIFS(nNIA,DATOS!$A419,nCURSO,DATOS!$D419,nESPEC,DATOS!$E419,nASIG,DATOS!$I419,nEVAL,"OR")=0))</f>
      </c>
      <c r="I419">
        <f>IF(DATOS!$I419="","",IFERROR(VLOOKUP(DATOS!$I419,CONFIG_ASIGNATURAS!$B$2:$J$91,9,FALSE()),""))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IF(DATOS!$A420="",0,IF(CONFIG_METADATA!$B$4&lt;&gt;"OR+EX",--(DATOS!$G420=CONFIG_METADATA!$B$4),IF(DATOS!$G420="EX",1,IF(DATOS!$G420="OR",--(COUNTIFS(nNIA,DATOS!$A420,nCURSO,DATOS!$D420,nESPEC,DATOS!$E420,nASIG,DATOS!$I420,nEVAL,"EX")=0),0))))</f>
      </c>
      <c r="H420">
        <f>IF(DATOS!$G420&lt;&gt;"EX",0,--(COUNTIFS(nNIA,DATOS!$A420,nCURSO,DATOS!$D420,nESPEC,DATOS!$E420,nASIG,DATOS!$I420,nEVAL,"OR")=0))</f>
      </c>
      <c r="I420">
        <f>IF(DATOS!$I420="","",IFERROR(VLOOKUP(DATOS!$I420,CONFIG_ASIGNATURAS!$B$2:$J$91,9,FALSE()),""))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IF(DATOS!$A421="",0,IF(CONFIG_METADATA!$B$4&lt;&gt;"OR+EX",--(DATOS!$G421=CONFIG_METADATA!$B$4),IF(DATOS!$G421="EX",1,IF(DATOS!$G421="OR",--(COUNTIFS(nNIA,DATOS!$A421,nCURSO,DATOS!$D421,nESPEC,DATOS!$E421,nASIG,DATOS!$I421,nEVAL,"EX")=0),0))))</f>
      </c>
      <c r="H421">
        <f>IF(DATOS!$G421&lt;&gt;"EX",0,--(COUNTIFS(nNIA,DATOS!$A421,nCURSO,DATOS!$D421,nESPEC,DATOS!$E421,nASIG,DATOS!$I421,nEVAL,"OR")=0))</f>
      </c>
      <c r="I421">
        <f>IF(DATOS!$I421="","",IFERROR(VLOOKUP(DATOS!$I421,CONFIG_ASIGNATURAS!$B$2:$J$91,9,FALSE()),""))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IF(DATOS!$A422="",0,IF(CONFIG_METADATA!$B$4&lt;&gt;"OR+EX",--(DATOS!$G422=CONFIG_METADATA!$B$4),IF(DATOS!$G422="EX",1,IF(DATOS!$G422="OR",--(COUNTIFS(nNIA,DATOS!$A422,nCURSO,DATOS!$D422,nESPEC,DATOS!$E422,nASIG,DATOS!$I422,nEVAL,"EX")=0),0))))</f>
      </c>
      <c r="H422">
        <f>IF(DATOS!$G422&lt;&gt;"EX",0,--(COUNTIFS(nNIA,DATOS!$A422,nCURSO,DATOS!$D422,nESPEC,DATOS!$E422,nASIG,DATOS!$I422,nEVAL,"OR")=0))</f>
      </c>
      <c r="I422">
        <f>IF(DATOS!$I422="","",IFERROR(VLOOKUP(DATOS!$I422,CONFIG_ASIGNATURAS!$B$2:$J$91,9,FALSE()),""))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IF(DATOS!$A423="",0,IF(CONFIG_METADATA!$B$4&lt;&gt;"OR+EX",--(DATOS!$G423=CONFIG_METADATA!$B$4),IF(DATOS!$G423="EX",1,IF(DATOS!$G423="OR",--(COUNTIFS(nNIA,DATOS!$A423,nCURSO,DATOS!$D423,nESPEC,DATOS!$E423,nASIG,DATOS!$I423,nEVAL,"EX")=0),0))))</f>
      </c>
      <c r="H423">
        <f>IF(DATOS!$G423&lt;&gt;"EX",0,--(COUNTIFS(nNIA,DATOS!$A423,nCURSO,DATOS!$D423,nESPEC,DATOS!$E423,nASIG,DATOS!$I423,nEVAL,"OR")=0))</f>
      </c>
      <c r="I423">
        <f>IF(DATOS!$I423="","",IFERROR(VLOOKUP(DATOS!$I423,CONFIG_ASIGNATURAS!$B$2:$J$91,9,FALSE()),""))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IF(DATOS!$A424="",0,IF(CONFIG_METADATA!$B$4&lt;&gt;"OR+EX",--(DATOS!$G424=CONFIG_METADATA!$B$4),IF(DATOS!$G424="EX",1,IF(DATOS!$G424="OR",--(COUNTIFS(nNIA,DATOS!$A424,nCURSO,DATOS!$D424,nESPEC,DATOS!$E424,nASIG,DATOS!$I424,nEVAL,"EX")=0),0))))</f>
      </c>
      <c r="H424">
        <f>IF(DATOS!$G424&lt;&gt;"EX",0,--(COUNTIFS(nNIA,DATOS!$A424,nCURSO,DATOS!$D424,nESPEC,DATOS!$E424,nASIG,DATOS!$I424,nEVAL,"OR")=0))</f>
      </c>
      <c r="I424">
        <f>IF(DATOS!$I424="","",IFERROR(VLOOKUP(DATOS!$I424,CONFIG_ASIGNATURAS!$B$2:$J$91,9,FALSE()),""))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IF(DATOS!$A425="",0,IF(CONFIG_METADATA!$B$4&lt;&gt;"OR+EX",--(DATOS!$G425=CONFIG_METADATA!$B$4),IF(DATOS!$G425="EX",1,IF(DATOS!$G425="OR",--(COUNTIFS(nNIA,DATOS!$A425,nCURSO,DATOS!$D425,nESPEC,DATOS!$E425,nASIG,DATOS!$I425,nEVAL,"EX")=0),0))))</f>
      </c>
      <c r="H425">
        <f>IF(DATOS!$G425&lt;&gt;"EX",0,--(COUNTIFS(nNIA,DATOS!$A425,nCURSO,DATOS!$D425,nESPEC,DATOS!$E425,nASIG,DATOS!$I425,nEVAL,"OR")=0))</f>
      </c>
      <c r="I425">
        <f>IF(DATOS!$I425="","",IFERROR(VLOOKUP(DATOS!$I425,CONFIG_ASIGNATURAS!$B$2:$J$91,9,FALSE()),""))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IF(DATOS!$A426="",0,IF(CONFIG_METADATA!$B$4&lt;&gt;"OR+EX",--(DATOS!$G426=CONFIG_METADATA!$B$4),IF(DATOS!$G426="EX",1,IF(DATOS!$G426="OR",--(COUNTIFS(nNIA,DATOS!$A426,nCURSO,DATOS!$D426,nESPEC,DATOS!$E426,nASIG,DATOS!$I426,nEVAL,"EX")=0),0))))</f>
      </c>
      <c r="H426">
        <f>IF(DATOS!$G426&lt;&gt;"EX",0,--(COUNTIFS(nNIA,DATOS!$A426,nCURSO,DATOS!$D426,nESPEC,DATOS!$E426,nASIG,DATOS!$I426,nEVAL,"OR")=0))</f>
      </c>
      <c r="I426">
        <f>IF(DATOS!$I426="","",IFERROR(VLOOKUP(DATOS!$I426,CONFIG_ASIGNATURAS!$B$2:$J$91,9,FALSE()),""))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IF(DATOS!$A427="",0,IF(CONFIG_METADATA!$B$4&lt;&gt;"OR+EX",--(DATOS!$G427=CONFIG_METADATA!$B$4),IF(DATOS!$G427="EX",1,IF(DATOS!$G427="OR",--(COUNTIFS(nNIA,DATOS!$A427,nCURSO,DATOS!$D427,nESPEC,DATOS!$E427,nASIG,DATOS!$I427,nEVAL,"EX")=0),0))))</f>
      </c>
      <c r="H427">
        <f>IF(DATOS!$G427&lt;&gt;"EX",0,--(COUNTIFS(nNIA,DATOS!$A427,nCURSO,DATOS!$D427,nESPEC,DATOS!$E427,nASIG,DATOS!$I427,nEVAL,"OR")=0))</f>
      </c>
      <c r="I427">
        <f>IF(DATOS!$I427="","",IFERROR(VLOOKUP(DATOS!$I427,CONFIG_ASIGNATURAS!$B$2:$J$91,9,FALSE()),""))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IF(DATOS!$A428="",0,IF(CONFIG_METADATA!$B$4&lt;&gt;"OR+EX",--(DATOS!$G428=CONFIG_METADATA!$B$4),IF(DATOS!$G428="EX",1,IF(DATOS!$G428="OR",--(COUNTIFS(nNIA,DATOS!$A428,nCURSO,DATOS!$D428,nESPEC,DATOS!$E428,nASIG,DATOS!$I428,nEVAL,"EX")=0),0))))</f>
      </c>
      <c r="H428">
        <f>IF(DATOS!$G428&lt;&gt;"EX",0,--(COUNTIFS(nNIA,DATOS!$A428,nCURSO,DATOS!$D428,nESPEC,DATOS!$E428,nASIG,DATOS!$I428,nEVAL,"OR")=0))</f>
      </c>
      <c r="I428">
        <f>IF(DATOS!$I428="","",IFERROR(VLOOKUP(DATOS!$I428,CONFIG_ASIGNATURAS!$B$2:$J$91,9,FALSE()),""))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IF(DATOS!$A429="",0,IF(CONFIG_METADATA!$B$4&lt;&gt;"OR+EX",--(DATOS!$G429=CONFIG_METADATA!$B$4),IF(DATOS!$G429="EX",1,IF(DATOS!$G429="OR",--(COUNTIFS(nNIA,DATOS!$A429,nCURSO,DATOS!$D429,nESPEC,DATOS!$E429,nASIG,DATOS!$I429,nEVAL,"EX")=0),0))))</f>
      </c>
      <c r="H429">
        <f>IF(DATOS!$G429&lt;&gt;"EX",0,--(COUNTIFS(nNIA,DATOS!$A429,nCURSO,DATOS!$D429,nESPEC,DATOS!$E429,nASIG,DATOS!$I429,nEVAL,"OR")=0))</f>
      </c>
      <c r="I429">
        <f>IF(DATOS!$I429="","",IFERROR(VLOOKUP(DATOS!$I429,CONFIG_ASIGNATURAS!$B$2:$J$91,9,FALSE()),""))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IF(DATOS!$A430="",0,IF(CONFIG_METADATA!$B$4&lt;&gt;"OR+EX",--(DATOS!$G430=CONFIG_METADATA!$B$4),IF(DATOS!$G430="EX",1,IF(DATOS!$G430="OR",--(COUNTIFS(nNIA,DATOS!$A430,nCURSO,DATOS!$D430,nESPEC,DATOS!$E430,nASIG,DATOS!$I430,nEVAL,"EX")=0),0))))</f>
      </c>
      <c r="H430">
        <f>IF(DATOS!$G430&lt;&gt;"EX",0,--(COUNTIFS(nNIA,DATOS!$A430,nCURSO,DATOS!$D430,nESPEC,DATOS!$E430,nASIG,DATOS!$I430,nEVAL,"OR")=0))</f>
      </c>
      <c r="I430">
        <f>IF(DATOS!$I430="","",IFERROR(VLOOKUP(DATOS!$I430,CONFIG_ASIGNATURAS!$B$2:$J$91,9,FALSE()),""))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IF(DATOS!$A431="",0,IF(CONFIG_METADATA!$B$4&lt;&gt;"OR+EX",--(DATOS!$G431=CONFIG_METADATA!$B$4),IF(DATOS!$G431="EX",1,IF(DATOS!$G431="OR",--(COUNTIFS(nNIA,DATOS!$A431,nCURSO,DATOS!$D431,nESPEC,DATOS!$E431,nASIG,DATOS!$I431,nEVAL,"EX")=0),0))))</f>
      </c>
      <c r="H431">
        <f>IF(DATOS!$G431&lt;&gt;"EX",0,--(COUNTIFS(nNIA,DATOS!$A431,nCURSO,DATOS!$D431,nESPEC,DATOS!$E431,nASIG,DATOS!$I431,nEVAL,"OR")=0))</f>
      </c>
      <c r="I431">
        <f>IF(DATOS!$I431="","",IFERROR(VLOOKUP(DATOS!$I431,CONFIG_ASIGNATURAS!$B$2:$J$91,9,FALSE()),""))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IF(DATOS!$A432="",0,IF(CONFIG_METADATA!$B$4&lt;&gt;"OR+EX",--(DATOS!$G432=CONFIG_METADATA!$B$4),IF(DATOS!$G432="EX",1,IF(DATOS!$G432="OR",--(COUNTIFS(nNIA,DATOS!$A432,nCURSO,DATOS!$D432,nESPEC,DATOS!$E432,nASIG,DATOS!$I432,nEVAL,"EX")=0),0))))</f>
      </c>
      <c r="H432">
        <f>IF(DATOS!$G432&lt;&gt;"EX",0,--(COUNTIFS(nNIA,DATOS!$A432,nCURSO,DATOS!$D432,nESPEC,DATOS!$E432,nASIG,DATOS!$I432,nEVAL,"OR")=0))</f>
      </c>
      <c r="I432">
        <f>IF(DATOS!$I432="","",IFERROR(VLOOKUP(DATOS!$I432,CONFIG_ASIGNATURAS!$B$2:$J$91,9,FALSE()),""))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IF(DATOS!$A433="",0,IF(CONFIG_METADATA!$B$4&lt;&gt;"OR+EX",--(DATOS!$G433=CONFIG_METADATA!$B$4),IF(DATOS!$G433="EX",1,IF(DATOS!$G433="OR",--(COUNTIFS(nNIA,DATOS!$A433,nCURSO,DATOS!$D433,nESPEC,DATOS!$E433,nASIG,DATOS!$I433,nEVAL,"EX")=0),0))))</f>
      </c>
      <c r="H433">
        <f>IF(DATOS!$G433&lt;&gt;"EX",0,--(COUNTIFS(nNIA,DATOS!$A433,nCURSO,DATOS!$D433,nESPEC,DATOS!$E433,nASIG,DATOS!$I433,nEVAL,"OR")=0))</f>
      </c>
      <c r="I433">
        <f>IF(DATOS!$I433="","",IFERROR(VLOOKUP(DATOS!$I433,CONFIG_ASIGNATURAS!$B$2:$J$91,9,FALSE()),""))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IF(DATOS!$A434="",0,IF(CONFIG_METADATA!$B$4&lt;&gt;"OR+EX",--(DATOS!$G434=CONFIG_METADATA!$B$4),IF(DATOS!$G434="EX",1,IF(DATOS!$G434="OR",--(COUNTIFS(nNIA,DATOS!$A434,nCURSO,DATOS!$D434,nESPEC,DATOS!$E434,nASIG,DATOS!$I434,nEVAL,"EX")=0),0))))</f>
      </c>
      <c r="H434">
        <f>IF(DATOS!$G434&lt;&gt;"EX",0,--(COUNTIFS(nNIA,DATOS!$A434,nCURSO,DATOS!$D434,nESPEC,DATOS!$E434,nASIG,DATOS!$I434,nEVAL,"OR")=0))</f>
      </c>
      <c r="I434">
        <f>IF(DATOS!$I434="","",IFERROR(VLOOKUP(DATOS!$I434,CONFIG_ASIGNATURAS!$B$2:$J$91,9,FALSE()),""))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IF(DATOS!$A435="",0,IF(CONFIG_METADATA!$B$4&lt;&gt;"OR+EX",--(DATOS!$G435=CONFIG_METADATA!$B$4),IF(DATOS!$G435="EX",1,IF(DATOS!$G435="OR",--(COUNTIFS(nNIA,DATOS!$A435,nCURSO,DATOS!$D435,nESPEC,DATOS!$E435,nASIG,DATOS!$I435,nEVAL,"EX")=0),0))))</f>
      </c>
      <c r="H435">
        <f>IF(DATOS!$G435&lt;&gt;"EX",0,--(COUNTIFS(nNIA,DATOS!$A435,nCURSO,DATOS!$D435,nESPEC,DATOS!$E435,nASIG,DATOS!$I435,nEVAL,"OR")=0))</f>
      </c>
      <c r="I435">
        <f>IF(DATOS!$I435="","",IFERROR(VLOOKUP(DATOS!$I435,CONFIG_ASIGNATURAS!$B$2:$J$91,9,FALSE()),""))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IF(DATOS!$A436="",0,IF(CONFIG_METADATA!$B$4&lt;&gt;"OR+EX",--(DATOS!$G436=CONFIG_METADATA!$B$4),IF(DATOS!$G436="EX",1,IF(DATOS!$G436="OR",--(COUNTIFS(nNIA,DATOS!$A436,nCURSO,DATOS!$D436,nESPEC,DATOS!$E436,nASIG,DATOS!$I436,nEVAL,"EX")=0),0))))</f>
      </c>
      <c r="H436">
        <f>IF(DATOS!$G436&lt;&gt;"EX",0,--(COUNTIFS(nNIA,DATOS!$A436,nCURSO,DATOS!$D436,nESPEC,DATOS!$E436,nASIG,DATOS!$I436,nEVAL,"OR")=0))</f>
      </c>
      <c r="I436">
        <f>IF(DATOS!$I436="","",IFERROR(VLOOKUP(DATOS!$I436,CONFIG_ASIGNATURAS!$B$2:$J$91,9,FALSE()),""))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IF(DATOS!$A437="",0,IF(CONFIG_METADATA!$B$4&lt;&gt;"OR+EX",--(DATOS!$G437=CONFIG_METADATA!$B$4),IF(DATOS!$G437="EX",1,IF(DATOS!$G437="OR",--(COUNTIFS(nNIA,DATOS!$A437,nCURSO,DATOS!$D437,nESPEC,DATOS!$E437,nASIG,DATOS!$I437,nEVAL,"EX")=0),0))))</f>
      </c>
      <c r="H437">
        <f>IF(DATOS!$G437&lt;&gt;"EX",0,--(COUNTIFS(nNIA,DATOS!$A437,nCURSO,DATOS!$D437,nESPEC,DATOS!$E437,nASIG,DATOS!$I437,nEVAL,"OR")=0))</f>
      </c>
      <c r="I437">
        <f>IF(DATOS!$I437="","",IFERROR(VLOOKUP(DATOS!$I437,CONFIG_ASIGNATURAS!$B$2:$J$91,9,FALSE()),""))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IF(DATOS!$A438="",0,IF(CONFIG_METADATA!$B$4&lt;&gt;"OR+EX",--(DATOS!$G438=CONFIG_METADATA!$B$4),IF(DATOS!$G438="EX",1,IF(DATOS!$G438="OR",--(COUNTIFS(nNIA,DATOS!$A438,nCURSO,DATOS!$D438,nESPEC,DATOS!$E438,nASIG,DATOS!$I438,nEVAL,"EX")=0),0))))</f>
      </c>
      <c r="H438">
        <f>IF(DATOS!$G438&lt;&gt;"EX",0,--(COUNTIFS(nNIA,DATOS!$A438,nCURSO,DATOS!$D438,nESPEC,DATOS!$E438,nASIG,DATOS!$I438,nEVAL,"OR")=0))</f>
      </c>
      <c r="I438">
        <f>IF(DATOS!$I438="","",IFERROR(VLOOKUP(DATOS!$I438,CONFIG_ASIGNATURAS!$B$2:$J$91,9,FALSE()),""))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IF(DATOS!$A439="",0,IF(CONFIG_METADATA!$B$4&lt;&gt;"OR+EX",--(DATOS!$G439=CONFIG_METADATA!$B$4),IF(DATOS!$G439="EX",1,IF(DATOS!$G439="OR",--(COUNTIFS(nNIA,DATOS!$A439,nCURSO,DATOS!$D439,nESPEC,DATOS!$E439,nASIG,DATOS!$I439,nEVAL,"EX")=0),0))))</f>
      </c>
      <c r="H439">
        <f>IF(DATOS!$G439&lt;&gt;"EX",0,--(COUNTIFS(nNIA,DATOS!$A439,nCURSO,DATOS!$D439,nESPEC,DATOS!$E439,nASIG,DATOS!$I439,nEVAL,"OR")=0))</f>
      </c>
      <c r="I439">
        <f>IF(DATOS!$I439="","",IFERROR(VLOOKUP(DATOS!$I439,CONFIG_ASIGNATURAS!$B$2:$J$91,9,FALSE()),""))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IF(DATOS!$A440="",0,IF(CONFIG_METADATA!$B$4&lt;&gt;"OR+EX",--(DATOS!$G440=CONFIG_METADATA!$B$4),IF(DATOS!$G440="EX",1,IF(DATOS!$G440="OR",--(COUNTIFS(nNIA,DATOS!$A440,nCURSO,DATOS!$D440,nESPEC,DATOS!$E440,nASIG,DATOS!$I440,nEVAL,"EX")=0),0))))</f>
      </c>
      <c r="H440">
        <f>IF(DATOS!$G440&lt;&gt;"EX",0,--(COUNTIFS(nNIA,DATOS!$A440,nCURSO,DATOS!$D440,nESPEC,DATOS!$E440,nASIG,DATOS!$I440,nEVAL,"OR")=0))</f>
      </c>
      <c r="I440">
        <f>IF(DATOS!$I440="","",IFERROR(VLOOKUP(DATOS!$I440,CONFIG_ASIGNATURAS!$B$2:$J$91,9,FALSE()),""))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IF(DATOS!$A441="",0,IF(CONFIG_METADATA!$B$4&lt;&gt;"OR+EX",--(DATOS!$G441=CONFIG_METADATA!$B$4),IF(DATOS!$G441="EX",1,IF(DATOS!$G441="OR",--(COUNTIFS(nNIA,DATOS!$A441,nCURSO,DATOS!$D441,nESPEC,DATOS!$E441,nASIG,DATOS!$I441,nEVAL,"EX")=0),0))))</f>
      </c>
      <c r="H441">
        <f>IF(DATOS!$G441&lt;&gt;"EX",0,--(COUNTIFS(nNIA,DATOS!$A441,nCURSO,DATOS!$D441,nESPEC,DATOS!$E441,nASIG,DATOS!$I441,nEVAL,"OR")=0))</f>
      </c>
      <c r="I441">
        <f>IF(DATOS!$I441="","",IFERROR(VLOOKUP(DATOS!$I441,CONFIG_ASIGNATURAS!$B$2:$J$91,9,FALSE()),""))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IF(DATOS!$A442="",0,IF(CONFIG_METADATA!$B$4&lt;&gt;"OR+EX",--(DATOS!$G442=CONFIG_METADATA!$B$4),IF(DATOS!$G442="EX",1,IF(DATOS!$G442="OR",--(COUNTIFS(nNIA,DATOS!$A442,nCURSO,DATOS!$D442,nESPEC,DATOS!$E442,nASIG,DATOS!$I442,nEVAL,"EX")=0),0))))</f>
      </c>
      <c r="H442">
        <f>IF(DATOS!$G442&lt;&gt;"EX",0,--(COUNTIFS(nNIA,DATOS!$A442,nCURSO,DATOS!$D442,nESPEC,DATOS!$E442,nASIG,DATOS!$I442,nEVAL,"OR")=0))</f>
      </c>
      <c r="I442">
        <f>IF(DATOS!$I442="","",IFERROR(VLOOKUP(DATOS!$I442,CONFIG_ASIGNATURAS!$B$2:$J$91,9,FALSE()),""))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IF(DATOS!$A443="",0,IF(CONFIG_METADATA!$B$4&lt;&gt;"OR+EX",--(DATOS!$G443=CONFIG_METADATA!$B$4),IF(DATOS!$G443="EX",1,IF(DATOS!$G443="OR",--(COUNTIFS(nNIA,DATOS!$A443,nCURSO,DATOS!$D443,nESPEC,DATOS!$E443,nASIG,DATOS!$I443,nEVAL,"EX")=0),0))))</f>
      </c>
      <c r="H443">
        <f>IF(DATOS!$G443&lt;&gt;"EX",0,--(COUNTIFS(nNIA,DATOS!$A443,nCURSO,DATOS!$D443,nESPEC,DATOS!$E443,nASIG,DATOS!$I443,nEVAL,"OR")=0))</f>
      </c>
      <c r="I443">
        <f>IF(DATOS!$I443="","",IFERROR(VLOOKUP(DATOS!$I443,CONFIG_ASIGNATURAS!$B$2:$J$91,9,FALSE()),""))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IF(DATOS!$A444="",0,IF(CONFIG_METADATA!$B$4&lt;&gt;"OR+EX",--(DATOS!$G444=CONFIG_METADATA!$B$4),IF(DATOS!$G444="EX",1,IF(DATOS!$G444="OR",--(COUNTIFS(nNIA,DATOS!$A444,nCURSO,DATOS!$D444,nESPEC,DATOS!$E444,nASIG,DATOS!$I444,nEVAL,"EX")=0),0))))</f>
      </c>
      <c r="H444">
        <f>IF(DATOS!$G444&lt;&gt;"EX",0,--(COUNTIFS(nNIA,DATOS!$A444,nCURSO,DATOS!$D444,nESPEC,DATOS!$E444,nASIG,DATOS!$I444,nEVAL,"OR")=0))</f>
      </c>
      <c r="I444">
        <f>IF(DATOS!$I444="","",IFERROR(VLOOKUP(DATOS!$I444,CONFIG_ASIGNATURAS!$B$2:$J$91,9,FALSE()),""))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IF(DATOS!$A445="",0,IF(CONFIG_METADATA!$B$4&lt;&gt;"OR+EX",--(DATOS!$G445=CONFIG_METADATA!$B$4),IF(DATOS!$G445="EX",1,IF(DATOS!$G445="OR",--(COUNTIFS(nNIA,DATOS!$A445,nCURSO,DATOS!$D445,nESPEC,DATOS!$E445,nASIG,DATOS!$I445,nEVAL,"EX")=0),0))))</f>
      </c>
      <c r="H445">
        <f>IF(DATOS!$G445&lt;&gt;"EX",0,--(COUNTIFS(nNIA,DATOS!$A445,nCURSO,DATOS!$D445,nESPEC,DATOS!$E445,nASIG,DATOS!$I445,nEVAL,"OR")=0))</f>
      </c>
      <c r="I445">
        <f>IF(DATOS!$I445="","",IFERROR(VLOOKUP(DATOS!$I445,CONFIG_ASIGNATURAS!$B$2:$J$91,9,FALSE()),""))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IF(DATOS!$A446="",0,IF(CONFIG_METADATA!$B$4&lt;&gt;"OR+EX",--(DATOS!$G446=CONFIG_METADATA!$B$4),IF(DATOS!$G446="EX",1,IF(DATOS!$G446="OR",--(COUNTIFS(nNIA,DATOS!$A446,nCURSO,DATOS!$D446,nESPEC,DATOS!$E446,nASIG,DATOS!$I446,nEVAL,"EX")=0),0))))</f>
      </c>
      <c r="H446">
        <f>IF(DATOS!$G446&lt;&gt;"EX",0,--(COUNTIFS(nNIA,DATOS!$A446,nCURSO,DATOS!$D446,nESPEC,DATOS!$E446,nASIG,DATOS!$I446,nEVAL,"OR")=0))</f>
      </c>
      <c r="I446">
        <f>IF(DATOS!$I446="","",IFERROR(VLOOKUP(DATOS!$I446,CONFIG_ASIGNATURAS!$B$2:$J$91,9,FALSE()),""))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IF(DATOS!$A447="",0,IF(CONFIG_METADATA!$B$4&lt;&gt;"OR+EX",--(DATOS!$G447=CONFIG_METADATA!$B$4),IF(DATOS!$G447="EX",1,IF(DATOS!$G447="OR",--(COUNTIFS(nNIA,DATOS!$A447,nCURSO,DATOS!$D447,nESPEC,DATOS!$E447,nASIG,DATOS!$I447,nEVAL,"EX")=0),0))))</f>
      </c>
      <c r="H447">
        <f>IF(DATOS!$G447&lt;&gt;"EX",0,--(COUNTIFS(nNIA,DATOS!$A447,nCURSO,DATOS!$D447,nESPEC,DATOS!$E447,nASIG,DATOS!$I447,nEVAL,"OR")=0))</f>
      </c>
      <c r="I447">
        <f>IF(DATOS!$I447="","",IFERROR(VLOOKUP(DATOS!$I447,CONFIG_ASIGNATURAS!$B$2:$J$91,9,FALSE()),""))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IF(DATOS!$A448="",0,IF(CONFIG_METADATA!$B$4&lt;&gt;"OR+EX",--(DATOS!$G448=CONFIG_METADATA!$B$4),IF(DATOS!$G448="EX",1,IF(DATOS!$G448="OR",--(COUNTIFS(nNIA,DATOS!$A448,nCURSO,DATOS!$D448,nESPEC,DATOS!$E448,nASIG,DATOS!$I448,nEVAL,"EX")=0),0))))</f>
      </c>
      <c r="H448">
        <f>IF(DATOS!$G448&lt;&gt;"EX",0,--(COUNTIFS(nNIA,DATOS!$A448,nCURSO,DATOS!$D448,nESPEC,DATOS!$E448,nASIG,DATOS!$I448,nEVAL,"OR")=0))</f>
      </c>
      <c r="I448">
        <f>IF(DATOS!$I448="","",IFERROR(VLOOKUP(DATOS!$I448,CONFIG_ASIGNATURAS!$B$2:$J$91,9,FALSE()),""))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IF(DATOS!$A449="",0,IF(CONFIG_METADATA!$B$4&lt;&gt;"OR+EX",--(DATOS!$G449=CONFIG_METADATA!$B$4),IF(DATOS!$G449="EX",1,IF(DATOS!$G449="OR",--(COUNTIFS(nNIA,DATOS!$A449,nCURSO,DATOS!$D449,nESPEC,DATOS!$E449,nASIG,DATOS!$I449,nEVAL,"EX")=0),0))))</f>
      </c>
      <c r="H449">
        <f>IF(DATOS!$G449&lt;&gt;"EX",0,--(COUNTIFS(nNIA,DATOS!$A449,nCURSO,DATOS!$D449,nESPEC,DATOS!$E449,nASIG,DATOS!$I449,nEVAL,"OR")=0))</f>
      </c>
      <c r="I449">
        <f>IF(DATOS!$I449="","",IFERROR(VLOOKUP(DATOS!$I449,CONFIG_ASIGNATURAS!$B$2:$J$91,9,FALSE()),""))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IF(DATOS!$A450="",0,IF(CONFIG_METADATA!$B$4&lt;&gt;"OR+EX",--(DATOS!$G450=CONFIG_METADATA!$B$4),IF(DATOS!$G450="EX",1,IF(DATOS!$G450="OR",--(COUNTIFS(nNIA,DATOS!$A450,nCURSO,DATOS!$D450,nESPEC,DATOS!$E450,nASIG,DATOS!$I450,nEVAL,"EX")=0),0))))</f>
      </c>
      <c r="H450">
        <f>IF(DATOS!$G450&lt;&gt;"EX",0,--(COUNTIFS(nNIA,DATOS!$A450,nCURSO,DATOS!$D450,nESPEC,DATOS!$E450,nASIG,DATOS!$I450,nEVAL,"OR")=0))</f>
      </c>
      <c r="I450">
        <f>IF(DATOS!$I450="","",IFERROR(VLOOKUP(DATOS!$I450,CONFIG_ASIGNATURAS!$B$2:$J$91,9,FALSE()),""))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IF(DATOS!$A451="",0,IF(CONFIG_METADATA!$B$4&lt;&gt;"OR+EX",--(DATOS!$G451=CONFIG_METADATA!$B$4),IF(DATOS!$G451="EX",1,IF(DATOS!$G451="OR",--(COUNTIFS(nNIA,DATOS!$A451,nCURSO,DATOS!$D451,nESPEC,DATOS!$E451,nASIG,DATOS!$I451,nEVAL,"EX")=0),0))))</f>
      </c>
      <c r="H451">
        <f>IF(DATOS!$G451&lt;&gt;"EX",0,--(COUNTIFS(nNIA,DATOS!$A451,nCURSO,DATOS!$D451,nESPEC,DATOS!$E451,nASIG,DATOS!$I451,nEVAL,"OR")=0))</f>
      </c>
      <c r="I451">
        <f>IF(DATOS!$I451="","",IFERROR(VLOOKUP(DATOS!$I451,CONFIG_ASIGNATURAS!$B$2:$J$91,9,FALSE()),""))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IF(DATOS!$A452="",0,IF(CONFIG_METADATA!$B$4&lt;&gt;"OR+EX",--(DATOS!$G452=CONFIG_METADATA!$B$4),IF(DATOS!$G452="EX",1,IF(DATOS!$G452="OR",--(COUNTIFS(nNIA,DATOS!$A452,nCURSO,DATOS!$D452,nESPEC,DATOS!$E452,nASIG,DATOS!$I452,nEVAL,"EX")=0),0))))</f>
      </c>
      <c r="H452">
        <f>IF(DATOS!$G452&lt;&gt;"EX",0,--(COUNTIFS(nNIA,DATOS!$A452,nCURSO,DATOS!$D452,nESPEC,DATOS!$E452,nASIG,DATOS!$I452,nEVAL,"OR")=0))</f>
      </c>
      <c r="I452">
        <f>IF(DATOS!$I452="","",IFERROR(VLOOKUP(DATOS!$I452,CONFIG_ASIGNATURAS!$B$2:$J$91,9,FALSE()),""))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IF(DATOS!$A453="",0,IF(CONFIG_METADATA!$B$4&lt;&gt;"OR+EX",--(DATOS!$G453=CONFIG_METADATA!$B$4),IF(DATOS!$G453="EX",1,IF(DATOS!$G453="OR",--(COUNTIFS(nNIA,DATOS!$A453,nCURSO,DATOS!$D453,nESPEC,DATOS!$E453,nASIG,DATOS!$I453,nEVAL,"EX")=0),0))))</f>
      </c>
      <c r="H453">
        <f>IF(DATOS!$G453&lt;&gt;"EX",0,--(COUNTIFS(nNIA,DATOS!$A453,nCURSO,DATOS!$D453,nESPEC,DATOS!$E453,nASIG,DATOS!$I453,nEVAL,"OR")=0))</f>
      </c>
      <c r="I453">
        <f>IF(DATOS!$I453="","",IFERROR(VLOOKUP(DATOS!$I453,CONFIG_ASIGNATURAS!$B$2:$J$91,9,FALSE()),""))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IF(DATOS!$A454="",0,IF(CONFIG_METADATA!$B$4&lt;&gt;"OR+EX",--(DATOS!$G454=CONFIG_METADATA!$B$4),IF(DATOS!$G454="EX",1,IF(DATOS!$G454="OR",--(COUNTIFS(nNIA,DATOS!$A454,nCURSO,DATOS!$D454,nESPEC,DATOS!$E454,nASIG,DATOS!$I454,nEVAL,"EX")=0),0))))</f>
      </c>
      <c r="H454">
        <f>IF(DATOS!$G454&lt;&gt;"EX",0,--(COUNTIFS(nNIA,DATOS!$A454,nCURSO,DATOS!$D454,nESPEC,DATOS!$E454,nASIG,DATOS!$I454,nEVAL,"OR")=0))</f>
      </c>
      <c r="I454">
        <f>IF(DATOS!$I454="","",IFERROR(VLOOKUP(DATOS!$I454,CONFIG_ASIGNATURAS!$B$2:$J$91,9,FALSE()),""))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IF(DATOS!$A455="",0,IF(CONFIG_METADATA!$B$4&lt;&gt;"OR+EX",--(DATOS!$G455=CONFIG_METADATA!$B$4),IF(DATOS!$G455="EX",1,IF(DATOS!$G455="OR",--(COUNTIFS(nNIA,DATOS!$A455,nCURSO,DATOS!$D455,nESPEC,DATOS!$E455,nASIG,DATOS!$I455,nEVAL,"EX")=0),0))))</f>
      </c>
      <c r="H455">
        <f>IF(DATOS!$G455&lt;&gt;"EX",0,--(COUNTIFS(nNIA,DATOS!$A455,nCURSO,DATOS!$D455,nESPEC,DATOS!$E455,nASIG,DATOS!$I455,nEVAL,"OR")=0))</f>
      </c>
      <c r="I455">
        <f>IF(DATOS!$I455="","",IFERROR(VLOOKUP(DATOS!$I455,CONFIG_ASIGNATURAS!$B$2:$J$91,9,FALSE()),""))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IF(DATOS!$A456="",0,IF(CONFIG_METADATA!$B$4&lt;&gt;"OR+EX",--(DATOS!$G456=CONFIG_METADATA!$B$4),IF(DATOS!$G456="EX",1,IF(DATOS!$G456="OR",--(COUNTIFS(nNIA,DATOS!$A456,nCURSO,DATOS!$D456,nESPEC,DATOS!$E456,nASIG,DATOS!$I456,nEVAL,"EX")=0),0))))</f>
      </c>
      <c r="H456">
        <f>IF(DATOS!$G456&lt;&gt;"EX",0,--(COUNTIFS(nNIA,DATOS!$A456,nCURSO,DATOS!$D456,nESPEC,DATOS!$E456,nASIG,DATOS!$I456,nEVAL,"OR")=0))</f>
      </c>
      <c r="I456">
        <f>IF(DATOS!$I456="","",IFERROR(VLOOKUP(DATOS!$I456,CONFIG_ASIGNATURAS!$B$2:$J$91,9,FALSE()),""))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IF(DATOS!$A457="",0,IF(CONFIG_METADATA!$B$4&lt;&gt;"OR+EX",--(DATOS!$G457=CONFIG_METADATA!$B$4),IF(DATOS!$G457="EX",1,IF(DATOS!$G457="OR",--(COUNTIFS(nNIA,DATOS!$A457,nCURSO,DATOS!$D457,nESPEC,DATOS!$E457,nASIG,DATOS!$I457,nEVAL,"EX")=0),0))))</f>
      </c>
      <c r="H457">
        <f>IF(DATOS!$G457&lt;&gt;"EX",0,--(COUNTIFS(nNIA,DATOS!$A457,nCURSO,DATOS!$D457,nESPEC,DATOS!$E457,nASIG,DATOS!$I457,nEVAL,"OR")=0))</f>
      </c>
      <c r="I457">
        <f>IF(DATOS!$I457="","",IFERROR(VLOOKUP(DATOS!$I457,CONFIG_ASIGNATURAS!$B$2:$J$91,9,FALSE()),""))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IF(DATOS!$A458="",0,IF(CONFIG_METADATA!$B$4&lt;&gt;"OR+EX",--(DATOS!$G458=CONFIG_METADATA!$B$4),IF(DATOS!$G458="EX",1,IF(DATOS!$G458="OR",--(COUNTIFS(nNIA,DATOS!$A458,nCURSO,DATOS!$D458,nESPEC,DATOS!$E458,nASIG,DATOS!$I458,nEVAL,"EX")=0),0))))</f>
      </c>
      <c r="H458">
        <f>IF(DATOS!$G458&lt;&gt;"EX",0,--(COUNTIFS(nNIA,DATOS!$A458,nCURSO,DATOS!$D458,nESPEC,DATOS!$E458,nASIG,DATOS!$I458,nEVAL,"OR")=0))</f>
      </c>
      <c r="I458">
        <f>IF(DATOS!$I458="","",IFERROR(VLOOKUP(DATOS!$I458,CONFIG_ASIGNATURAS!$B$2:$J$91,9,FALSE()),""))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IF(DATOS!$A459="",0,IF(CONFIG_METADATA!$B$4&lt;&gt;"OR+EX",--(DATOS!$G459=CONFIG_METADATA!$B$4),IF(DATOS!$G459="EX",1,IF(DATOS!$G459="OR",--(COUNTIFS(nNIA,DATOS!$A459,nCURSO,DATOS!$D459,nESPEC,DATOS!$E459,nASIG,DATOS!$I459,nEVAL,"EX")=0),0))))</f>
      </c>
      <c r="H459">
        <f>IF(DATOS!$G459&lt;&gt;"EX",0,--(COUNTIFS(nNIA,DATOS!$A459,nCURSO,DATOS!$D459,nESPEC,DATOS!$E459,nASIG,DATOS!$I459,nEVAL,"OR")=0))</f>
      </c>
      <c r="I459">
        <f>IF(DATOS!$I459="","",IFERROR(VLOOKUP(DATOS!$I459,CONFIG_ASIGNATURAS!$B$2:$J$91,9,FALSE()),""))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IF(DATOS!$A460="",0,IF(CONFIG_METADATA!$B$4&lt;&gt;"OR+EX",--(DATOS!$G460=CONFIG_METADATA!$B$4),IF(DATOS!$G460="EX",1,IF(DATOS!$G460="OR",--(COUNTIFS(nNIA,DATOS!$A460,nCURSO,DATOS!$D460,nESPEC,DATOS!$E460,nASIG,DATOS!$I460,nEVAL,"EX")=0),0))))</f>
      </c>
      <c r="H460">
        <f>IF(DATOS!$G460&lt;&gt;"EX",0,--(COUNTIFS(nNIA,DATOS!$A460,nCURSO,DATOS!$D460,nESPEC,DATOS!$E460,nASIG,DATOS!$I460,nEVAL,"OR")=0))</f>
      </c>
      <c r="I460">
        <f>IF(DATOS!$I460="","",IFERROR(VLOOKUP(DATOS!$I460,CONFIG_ASIGNATURAS!$B$2:$J$91,9,FALSE()),""))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IF(DATOS!$A461="",0,IF(CONFIG_METADATA!$B$4&lt;&gt;"OR+EX",--(DATOS!$G461=CONFIG_METADATA!$B$4),IF(DATOS!$G461="EX",1,IF(DATOS!$G461="OR",--(COUNTIFS(nNIA,DATOS!$A461,nCURSO,DATOS!$D461,nESPEC,DATOS!$E461,nASIG,DATOS!$I461,nEVAL,"EX")=0),0))))</f>
      </c>
      <c r="H461">
        <f>IF(DATOS!$G461&lt;&gt;"EX",0,--(COUNTIFS(nNIA,DATOS!$A461,nCURSO,DATOS!$D461,nESPEC,DATOS!$E461,nASIG,DATOS!$I461,nEVAL,"OR")=0))</f>
      </c>
      <c r="I461">
        <f>IF(DATOS!$I461="","",IFERROR(VLOOKUP(DATOS!$I461,CONFIG_ASIGNATURAS!$B$2:$J$91,9,FALSE()),""))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IF(DATOS!$A462="",0,IF(CONFIG_METADATA!$B$4&lt;&gt;"OR+EX",--(DATOS!$G462=CONFIG_METADATA!$B$4),IF(DATOS!$G462="EX",1,IF(DATOS!$G462="OR",--(COUNTIFS(nNIA,DATOS!$A462,nCURSO,DATOS!$D462,nESPEC,DATOS!$E462,nASIG,DATOS!$I462,nEVAL,"EX")=0),0))))</f>
      </c>
      <c r="H462">
        <f>IF(DATOS!$G462&lt;&gt;"EX",0,--(COUNTIFS(nNIA,DATOS!$A462,nCURSO,DATOS!$D462,nESPEC,DATOS!$E462,nASIG,DATOS!$I462,nEVAL,"OR")=0))</f>
      </c>
      <c r="I462">
        <f>IF(DATOS!$I462="","",IFERROR(VLOOKUP(DATOS!$I462,CONFIG_ASIGNATURAS!$B$2:$J$91,9,FALSE()),""))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IF(DATOS!$A463="",0,IF(CONFIG_METADATA!$B$4&lt;&gt;"OR+EX",--(DATOS!$G463=CONFIG_METADATA!$B$4),IF(DATOS!$G463="EX",1,IF(DATOS!$G463="OR",--(COUNTIFS(nNIA,DATOS!$A463,nCURSO,DATOS!$D463,nESPEC,DATOS!$E463,nASIG,DATOS!$I463,nEVAL,"EX")=0),0))))</f>
      </c>
      <c r="H463">
        <f>IF(DATOS!$G463&lt;&gt;"EX",0,--(COUNTIFS(nNIA,DATOS!$A463,nCURSO,DATOS!$D463,nESPEC,DATOS!$E463,nASIG,DATOS!$I463,nEVAL,"OR")=0))</f>
      </c>
      <c r="I463">
        <f>IF(DATOS!$I463="","",IFERROR(VLOOKUP(DATOS!$I463,CONFIG_ASIGNATURAS!$B$2:$J$91,9,FALSE()),""))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IF(DATOS!$A464="",0,IF(CONFIG_METADATA!$B$4&lt;&gt;"OR+EX",--(DATOS!$G464=CONFIG_METADATA!$B$4),IF(DATOS!$G464="EX",1,IF(DATOS!$G464="OR",--(COUNTIFS(nNIA,DATOS!$A464,nCURSO,DATOS!$D464,nESPEC,DATOS!$E464,nASIG,DATOS!$I464,nEVAL,"EX")=0),0))))</f>
      </c>
      <c r="H464">
        <f>IF(DATOS!$G464&lt;&gt;"EX",0,--(COUNTIFS(nNIA,DATOS!$A464,nCURSO,DATOS!$D464,nESPEC,DATOS!$E464,nASIG,DATOS!$I464,nEVAL,"OR")=0))</f>
      </c>
      <c r="I464">
        <f>IF(DATOS!$I464="","",IFERROR(VLOOKUP(DATOS!$I464,CONFIG_ASIGNATURAS!$B$2:$J$91,9,FALSE()),""))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IF(DATOS!$A465="",0,IF(CONFIG_METADATA!$B$4&lt;&gt;"OR+EX",--(DATOS!$G465=CONFIG_METADATA!$B$4),IF(DATOS!$G465="EX",1,IF(DATOS!$G465="OR",--(COUNTIFS(nNIA,DATOS!$A465,nCURSO,DATOS!$D465,nESPEC,DATOS!$E465,nASIG,DATOS!$I465,nEVAL,"EX")=0),0))))</f>
      </c>
      <c r="H465">
        <f>IF(DATOS!$G465&lt;&gt;"EX",0,--(COUNTIFS(nNIA,DATOS!$A465,nCURSO,DATOS!$D465,nESPEC,DATOS!$E465,nASIG,DATOS!$I465,nEVAL,"OR")=0))</f>
      </c>
      <c r="I465">
        <f>IF(DATOS!$I465="","",IFERROR(VLOOKUP(DATOS!$I465,CONFIG_ASIGNATURAS!$B$2:$J$91,9,FALSE()),""))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IF(DATOS!$A466="",0,IF(CONFIG_METADATA!$B$4&lt;&gt;"OR+EX",--(DATOS!$G466=CONFIG_METADATA!$B$4),IF(DATOS!$G466="EX",1,IF(DATOS!$G466="OR",--(COUNTIFS(nNIA,DATOS!$A466,nCURSO,DATOS!$D466,nESPEC,DATOS!$E466,nASIG,DATOS!$I466,nEVAL,"EX")=0),0))))</f>
      </c>
      <c r="H466">
        <f>IF(DATOS!$G466&lt;&gt;"EX",0,--(COUNTIFS(nNIA,DATOS!$A466,nCURSO,DATOS!$D466,nESPEC,DATOS!$E466,nASIG,DATOS!$I466,nEVAL,"OR")=0))</f>
      </c>
      <c r="I466">
        <f>IF(DATOS!$I466="","",IFERROR(VLOOKUP(DATOS!$I466,CONFIG_ASIGNATURAS!$B$2:$J$91,9,FALSE()),""))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IF(DATOS!$A467="",0,IF(CONFIG_METADATA!$B$4&lt;&gt;"OR+EX",--(DATOS!$G467=CONFIG_METADATA!$B$4),IF(DATOS!$G467="EX",1,IF(DATOS!$G467="OR",--(COUNTIFS(nNIA,DATOS!$A467,nCURSO,DATOS!$D467,nESPEC,DATOS!$E467,nASIG,DATOS!$I467,nEVAL,"EX")=0),0))))</f>
      </c>
      <c r="H467">
        <f>IF(DATOS!$G467&lt;&gt;"EX",0,--(COUNTIFS(nNIA,DATOS!$A467,nCURSO,DATOS!$D467,nESPEC,DATOS!$E467,nASIG,DATOS!$I467,nEVAL,"OR")=0))</f>
      </c>
      <c r="I467">
        <f>IF(DATOS!$I467="","",IFERROR(VLOOKUP(DATOS!$I467,CONFIG_ASIGNATURAS!$B$2:$J$91,9,FALSE()),""))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IF(DATOS!$A468="",0,IF(CONFIG_METADATA!$B$4&lt;&gt;"OR+EX",--(DATOS!$G468=CONFIG_METADATA!$B$4),IF(DATOS!$G468="EX",1,IF(DATOS!$G468="OR",--(COUNTIFS(nNIA,DATOS!$A468,nCURSO,DATOS!$D468,nESPEC,DATOS!$E468,nASIG,DATOS!$I468,nEVAL,"EX")=0),0))))</f>
      </c>
      <c r="H468">
        <f>IF(DATOS!$G468&lt;&gt;"EX",0,--(COUNTIFS(nNIA,DATOS!$A468,nCURSO,DATOS!$D468,nESPEC,DATOS!$E468,nASIG,DATOS!$I468,nEVAL,"OR")=0))</f>
      </c>
      <c r="I468">
        <f>IF(DATOS!$I468="","",IFERROR(VLOOKUP(DATOS!$I468,CONFIG_ASIGNATURAS!$B$2:$J$91,9,FALSE()),""))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IF(DATOS!$A469="",0,IF(CONFIG_METADATA!$B$4&lt;&gt;"OR+EX",--(DATOS!$G469=CONFIG_METADATA!$B$4),IF(DATOS!$G469="EX",1,IF(DATOS!$G469="OR",--(COUNTIFS(nNIA,DATOS!$A469,nCURSO,DATOS!$D469,nESPEC,DATOS!$E469,nASIG,DATOS!$I469,nEVAL,"EX")=0),0))))</f>
      </c>
      <c r="H469">
        <f>IF(DATOS!$G469&lt;&gt;"EX",0,--(COUNTIFS(nNIA,DATOS!$A469,nCURSO,DATOS!$D469,nESPEC,DATOS!$E469,nASIG,DATOS!$I469,nEVAL,"OR")=0))</f>
      </c>
      <c r="I469">
        <f>IF(DATOS!$I469="","",IFERROR(VLOOKUP(DATOS!$I469,CONFIG_ASIGNATURAS!$B$2:$J$91,9,FALSE()),""))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IF(DATOS!$A470="",0,IF(CONFIG_METADATA!$B$4&lt;&gt;"OR+EX",--(DATOS!$G470=CONFIG_METADATA!$B$4),IF(DATOS!$G470="EX",1,IF(DATOS!$G470="OR",--(COUNTIFS(nNIA,DATOS!$A470,nCURSO,DATOS!$D470,nESPEC,DATOS!$E470,nASIG,DATOS!$I470,nEVAL,"EX")=0),0))))</f>
      </c>
      <c r="H470">
        <f>IF(DATOS!$G470&lt;&gt;"EX",0,--(COUNTIFS(nNIA,DATOS!$A470,nCURSO,DATOS!$D470,nESPEC,DATOS!$E470,nASIG,DATOS!$I470,nEVAL,"OR")=0))</f>
      </c>
      <c r="I470">
        <f>IF(DATOS!$I470="","",IFERROR(VLOOKUP(DATOS!$I470,CONFIG_ASIGNATURAS!$B$2:$J$91,9,FALSE()),""))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IF(DATOS!$A471="",0,IF(CONFIG_METADATA!$B$4&lt;&gt;"OR+EX",--(DATOS!$G471=CONFIG_METADATA!$B$4),IF(DATOS!$G471="EX",1,IF(DATOS!$G471="OR",--(COUNTIFS(nNIA,DATOS!$A471,nCURSO,DATOS!$D471,nESPEC,DATOS!$E471,nASIG,DATOS!$I471,nEVAL,"EX")=0),0))))</f>
      </c>
      <c r="H471">
        <f>IF(DATOS!$G471&lt;&gt;"EX",0,--(COUNTIFS(nNIA,DATOS!$A471,nCURSO,DATOS!$D471,nESPEC,DATOS!$E471,nASIG,DATOS!$I471,nEVAL,"OR")=0))</f>
      </c>
      <c r="I471">
        <f>IF(DATOS!$I471="","",IFERROR(VLOOKUP(DATOS!$I471,CONFIG_ASIGNATURAS!$B$2:$J$91,9,FALSE()),""))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IF(DATOS!$A472="",0,IF(CONFIG_METADATA!$B$4&lt;&gt;"OR+EX",--(DATOS!$G472=CONFIG_METADATA!$B$4),IF(DATOS!$G472="EX",1,IF(DATOS!$G472="OR",--(COUNTIFS(nNIA,DATOS!$A472,nCURSO,DATOS!$D472,nESPEC,DATOS!$E472,nASIG,DATOS!$I472,nEVAL,"EX")=0),0))))</f>
      </c>
      <c r="H472">
        <f>IF(DATOS!$G472&lt;&gt;"EX",0,--(COUNTIFS(nNIA,DATOS!$A472,nCURSO,DATOS!$D472,nESPEC,DATOS!$E472,nASIG,DATOS!$I472,nEVAL,"OR")=0))</f>
      </c>
      <c r="I472">
        <f>IF(DATOS!$I472="","",IFERROR(VLOOKUP(DATOS!$I472,CONFIG_ASIGNATURAS!$B$2:$J$91,9,FALSE()),""))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IF(DATOS!$A473="",0,IF(CONFIG_METADATA!$B$4&lt;&gt;"OR+EX",--(DATOS!$G473=CONFIG_METADATA!$B$4),IF(DATOS!$G473="EX",1,IF(DATOS!$G473="OR",--(COUNTIFS(nNIA,DATOS!$A473,nCURSO,DATOS!$D473,nESPEC,DATOS!$E473,nASIG,DATOS!$I473,nEVAL,"EX")=0),0))))</f>
      </c>
      <c r="H473">
        <f>IF(DATOS!$G473&lt;&gt;"EX",0,--(COUNTIFS(nNIA,DATOS!$A473,nCURSO,DATOS!$D473,nESPEC,DATOS!$E473,nASIG,DATOS!$I473,nEVAL,"OR")=0))</f>
      </c>
      <c r="I473">
        <f>IF(DATOS!$I473="","",IFERROR(VLOOKUP(DATOS!$I473,CONFIG_ASIGNATURAS!$B$2:$J$91,9,FALSE()),""))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IF(DATOS!$A474="",0,IF(CONFIG_METADATA!$B$4&lt;&gt;"OR+EX",--(DATOS!$G474=CONFIG_METADATA!$B$4),IF(DATOS!$G474="EX",1,IF(DATOS!$G474="OR",--(COUNTIFS(nNIA,DATOS!$A474,nCURSO,DATOS!$D474,nESPEC,DATOS!$E474,nASIG,DATOS!$I474,nEVAL,"EX")=0),0))))</f>
      </c>
      <c r="H474">
        <f>IF(DATOS!$G474&lt;&gt;"EX",0,--(COUNTIFS(nNIA,DATOS!$A474,nCURSO,DATOS!$D474,nESPEC,DATOS!$E474,nASIG,DATOS!$I474,nEVAL,"OR")=0))</f>
      </c>
      <c r="I474">
        <f>IF(DATOS!$I474="","",IFERROR(VLOOKUP(DATOS!$I474,CONFIG_ASIGNATURAS!$B$2:$J$91,9,FALSE()),""))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IF(DATOS!$A475="",0,IF(CONFIG_METADATA!$B$4&lt;&gt;"OR+EX",--(DATOS!$G475=CONFIG_METADATA!$B$4),IF(DATOS!$G475="EX",1,IF(DATOS!$G475="OR",--(COUNTIFS(nNIA,DATOS!$A475,nCURSO,DATOS!$D475,nESPEC,DATOS!$E475,nASIG,DATOS!$I475,nEVAL,"EX")=0),0))))</f>
      </c>
      <c r="H475">
        <f>IF(DATOS!$G475&lt;&gt;"EX",0,--(COUNTIFS(nNIA,DATOS!$A475,nCURSO,DATOS!$D475,nESPEC,DATOS!$E475,nASIG,DATOS!$I475,nEVAL,"OR")=0))</f>
      </c>
      <c r="I475">
        <f>IF(DATOS!$I475="","",IFERROR(VLOOKUP(DATOS!$I475,CONFIG_ASIGNATURAS!$B$2:$J$91,9,FALSE()),""))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IF(DATOS!$A476="",0,IF(CONFIG_METADATA!$B$4&lt;&gt;"OR+EX",--(DATOS!$G476=CONFIG_METADATA!$B$4),IF(DATOS!$G476="EX",1,IF(DATOS!$G476="OR",--(COUNTIFS(nNIA,DATOS!$A476,nCURSO,DATOS!$D476,nESPEC,DATOS!$E476,nASIG,DATOS!$I476,nEVAL,"EX")=0),0))))</f>
      </c>
      <c r="H476">
        <f>IF(DATOS!$G476&lt;&gt;"EX",0,--(COUNTIFS(nNIA,DATOS!$A476,nCURSO,DATOS!$D476,nESPEC,DATOS!$E476,nASIG,DATOS!$I476,nEVAL,"OR")=0))</f>
      </c>
      <c r="I476">
        <f>IF(DATOS!$I476="","",IFERROR(VLOOKUP(DATOS!$I476,CONFIG_ASIGNATURAS!$B$2:$J$91,9,FALSE()),""))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IF(DATOS!$A477="",0,IF(CONFIG_METADATA!$B$4&lt;&gt;"OR+EX",--(DATOS!$G477=CONFIG_METADATA!$B$4),IF(DATOS!$G477="EX",1,IF(DATOS!$G477="OR",--(COUNTIFS(nNIA,DATOS!$A477,nCURSO,DATOS!$D477,nESPEC,DATOS!$E477,nASIG,DATOS!$I477,nEVAL,"EX")=0),0))))</f>
      </c>
      <c r="H477">
        <f>IF(DATOS!$G477&lt;&gt;"EX",0,--(COUNTIFS(nNIA,DATOS!$A477,nCURSO,DATOS!$D477,nESPEC,DATOS!$E477,nASIG,DATOS!$I477,nEVAL,"OR")=0))</f>
      </c>
      <c r="I477">
        <f>IF(DATOS!$I477="","",IFERROR(VLOOKUP(DATOS!$I477,CONFIG_ASIGNATURAS!$B$2:$J$91,9,FALSE()),""))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IF(DATOS!$A478="",0,IF(CONFIG_METADATA!$B$4&lt;&gt;"OR+EX",--(DATOS!$G478=CONFIG_METADATA!$B$4),IF(DATOS!$G478="EX",1,IF(DATOS!$G478="OR",--(COUNTIFS(nNIA,DATOS!$A478,nCURSO,DATOS!$D478,nESPEC,DATOS!$E478,nASIG,DATOS!$I478,nEVAL,"EX")=0),0))))</f>
      </c>
      <c r="H478">
        <f>IF(DATOS!$G478&lt;&gt;"EX",0,--(COUNTIFS(nNIA,DATOS!$A478,nCURSO,DATOS!$D478,nESPEC,DATOS!$E478,nASIG,DATOS!$I478,nEVAL,"OR")=0))</f>
      </c>
      <c r="I478">
        <f>IF(DATOS!$I478="","",IFERROR(VLOOKUP(DATOS!$I478,CONFIG_ASIGNATURAS!$B$2:$J$91,9,FALSE()),""))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IF(DATOS!$A479="",0,IF(CONFIG_METADATA!$B$4&lt;&gt;"OR+EX",--(DATOS!$G479=CONFIG_METADATA!$B$4),IF(DATOS!$G479="EX",1,IF(DATOS!$G479="OR",--(COUNTIFS(nNIA,DATOS!$A479,nCURSO,DATOS!$D479,nESPEC,DATOS!$E479,nASIG,DATOS!$I479,nEVAL,"EX")=0),0))))</f>
      </c>
      <c r="H479">
        <f>IF(DATOS!$G479&lt;&gt;"EX",0,--(COUNTIFS(nNIA,DATOS!$A479,nCURSO,DATOS!$D479,nESPEC,DATOS!$E479,nASIG,DATOS!$I479,nEVAL,"OR")=0))</f>
      </c>
      <c r="I479">
        <f>IF(DATOS!$I479="","",IFERROR(VLOOKUP(DATOS!$I479,CONFIG_ASIGNATURAS!$B$2:$J$91,9,FALSE()),""))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IF(DATOS!$A480="",0,IF(CONFIG_METADATA!$B$4&lt;&gt;"OR+EX",--(DATOS!$G480=CONFIG_METADATA!$B$4),IF(DATOS!$G480="EX",1,IF(DATOS!$G480="OR",--(COUNTIFS(nNIA,DATOS!$A480,nCURSO,DATOS!$D480,nESPEC,DATOS!$E480,nASIG,DATOS!$I480,nEVAL,"EX")=0),0))))</f>
      </c>
      <c r="H480">
        <f>IF(DATOS!$G480&lt;&gt;"EX",0,--(COUNTIFS(nNIA,DATOS!$A480,nCURSO,DATOS!$D480,nESPEC,DATOS!$E480,nASIG,DATOS!$I480,nEVAL,"OR")=0))</f>
      </c>
      <c r="I480">
        <f>IF(DATOS!$I480="","",IFERROR(VLOOKUP(DATOS!$I480,CONFIG_ASIGNATURAS!$B$2:$J$91,9,FALSE()),""))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IF(DATOS!$A481="",0,IF(CONFIG_METADATA!$B$4&lt;&gt;"OR+EX",--(DATOS!$G481=CONFIG_METADATA!$B$4),IF(DATOS!$G481="EX",1,IF(DATOS!$G481="OR",--(COUNTIFS(nNIA,DATOS!$A481,nCURSO,DATOS!$D481,nESPEC,DATOS!$E481,nASIG,DATOS!$I481,nEVAL,"EX")=0),0))))</f>
      </c>
      <c r="H481">
        <f>IF(DATOS!$G481&lt;&gt;"EX",0,--(COUNTIFS(nNIA,DATOS!$A481,nCURSO,DATOS!$D481,nESPEC,DATOS!$E481,nASIG,DATOS!$I481,nEVAL,"OR")=0))</f>
      </c>
      <c r="I481">
        <f>IF(DATOS!$I481="","",IFERROR(VLOOKUP(DATOS!$I481,CONFIG_ASIGNATURAS!$B$2:$J$91,9,FALSE()),""))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IF(DATOS!$A482="",0,IF(CONFIG_METADATA!$B$4&lt;&gt;"OR+EX",--(DATOS!$G482=CONFIG_METADATA!$B$4),IF(DATOS!$G482="EX",1,IF(DATOS!$G482="OR",--(COUNTIFS(nNIA,DATOS!$A482,nCURSO,DATOS!$D482,nESPEC,DATOS!$E482,nASIG,DATOS!$I482,nEVAL,"EX")=0),0))))</f>
      </c>
      <c r="H482">
        <f>IF(DATOS!$G482&lt;&gt;"EX",0,--(COUNTIFS(nNIA,DATOS!$A482,nCURSO,DATOS!$D482,nESPEC,DATOS!$E482,nASIG,DATOS!$I482,nEVAL,"OR")=0))</f>
      </c>
      <c r="I482">
        <f>IF(DATOS!$I482="","",IFERROR(VLOOKUP(DATOS!$I482,CONFIG_ASIGNATURAS!$B$2:$J$91,9,FALSE()),""))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IF(DATOS!$A483="",0,IF(CONFIG_METADATA!$B$4&lt;&gt;"OR+EX",--(DATOS!$G483=CONFIG_METADATA!$B$4),IF(DATOS!$G483="EX",1,IF(DATOS!$G483="OR",--(COUNTIFS(nNIA,DATOS!$A483,nCURSO,DATOS!$D483,nESPEC,DATOS!$E483,nASIG,DATOS!$I483,nEVAL,"EX")=0),0))))</f>
      </c>
      <c r="H483">
        <f>IF(DATOS!$G483&lt;&gt;"EX",0,--(COUNTIFS(nNIA,DATOS!$A483,nCURSO,DATOS!$D483,nESPEC,DATOS!$E483,nASIG,DATOS!$I483,nEVAL,"OR")=0))</f>
      </c>
      <c r="I483">
        <f>IF(DATOS!$I483="","",IFERROR(VLOOKUP(DATOS!$I483,CONFIG_ASIGNATURAS!$B$2:$J$91,9,FALSE()),""))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IF(DATOS!$A484="",0,IF(CONFIG_METADATA!$B$4&lt;&gt;"OR+EX",--(DATOS!$G484=CONFIG_METADATA!$B$4),IF(DATOS!$G484="EX",1,IF(DATOS!$G484="OR",--(COUNTIFS(nNIA,DATOS!$A484,nCURSO,DATOS!$D484,nESPEC,DATOS!$E484,nASIG,DATOS!$I484,nEVAL,"EX")=0),0))))</f>
      </c>
      <c r="H484">
        <f>IF(DATOS!$G484&lt;&gt;"EX",0,--(COUNTIFS(nNIA,DATOS!$A484,nCURSO,DATOS!$D484,nESPEC,DATOS!$E484,nASIG,DATOS!$I484,nEVAL,"OR")=0))</f>
      </c>
      <c r="I484">
        <f>IF(DATOS!$I484="","",IFERROR(VLOOKUP(DATOS!$I484,CONFIG_ASIGNATURAS!$B$2:$J$91,9,FALSE()),""))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IF(DATOS!$A485="",0,IF(CONFIG_METADATA!$B$4&lt;&gt;"OR+EX",--(DATOS!$G485=CONFIG_METADATA!$B$4),IF(DATOS!$G485="EX",1,IF(DATOS!$G485="OR",--(COUNTIFS(nNIA,DATOS!$A485,nCURSO,DATOS!$D485,nESPEC,DATOS!$E485,nASIG,DATOS!$I485,nEVAL,"EX")=0),0))))</f>
      </c>
      <c r="H485">
        <f>IF(DATOS!$G485&lt;&gt;"EX",0,--(COUNTIFS(nNIA,DATOS!$A485,nCURSO,DATOS!$D485,nESPEC,DATOS!$E485,nASIG,DATOS!$I485,nEVAL,"OR")=0))</f>
      </c>
      <c r="I485">
        <f>IF(DATOS!$I485="","",IFERROR(VLOOKUP(DATOS!$I485,CONFIG_ASIGNATURAS!$B$2:$J$91,9,FALSE()),""))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IF(DATOS!$A486="",0,IF(CONFIG_METADATA!$B$4&lt;&gt;"OR+EX",--(DATOS!$G486=CONFIG_METADATA!$B$4),IF(DATOS!$G486="EX",1,IF(DATOS!$G486="OR",--(COUNTIFS(nNIA,DATOS!$A486,nCURSO,DATOS!$D486,nESPEC,DATOS!$E486,nASIG,DATOS!$I486,nEVAL,"EX")=0),0))))</f>
      </c>
      <c r="H486">
        <f>IF(DATOS!$G486&lt;&gt;"EX",0,--(COUNTIFS(nNIA,DATOS!$A486,nCURSO,DATOS!$D486,nESPEC,DATOS!$E486,nASIG,DATOS!$I486,nEVAL,"OR")=0))</f>
      </c>
      <c r="I486">
        <f>IF(DATOS!$I486="","",IFERROR(VLOOKUP(DATOS!$I486,CONFIG_ASIGNATURAS!$B$2:$J$91,9,FALSE()),""))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IF(DATOS!$A487="",0,IF(CONFIG_METADATA!$B$4&lt;&gt;"OR+EX",--(DATOS!$G487=CONFIG_METADATA!$B$4),IF(DATOS!$G487="EX",1,IF(DATOS!$G487="OR",--(COUNTIFS(nNIA,DATOS!$A487,nCURSO,DATOS!$D487,nESPEC,DATOS!$E487,nASIG,DATOS!$I487,nEVAL,"EX")=0),0))))</f>
      </c>
      <c r="H487">
        <f>IF(DATOS!$G487&lt;&gt;"EX",0,--(COUNTIFS(nNIA,DATOS!$A487,nCURSO,DATOS!$D487,nESPEC,DATOS!$E487,nASIG,DATOS!$I487,nEVAL,"OR")=0))</f>
      </c>
      <c r="I487">
        <f>IF(DATOS!$I487="","",IFERROR(VLOOKUP(DATOS!$I487,CONFIG_ASIGNATURAS!$B$2:$J$91,9,FALSE()),""))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IF(DATOS!$A488="",0,IF(CONFIG_METADATA!$B$4&lt;&gt;"OR+EX",--(DATOS!$G488=CONFIG_METADATA!$B$4),IF(DATOS!$G488="EX",1,IF(DATOS!$G488="OR",--(COUNTIFS(nNIA,DATOS!$A488,nCURSO,DATOS!$D488,nESPEC,DATOS!$E488,nASIG,DATOS!$I488,nEVAL,"EX")=0),0))))</f>
      </c>
      <c r="H488">
        <f>IF(DATOS!$G488&lt;&gt;"EX",0,--(COUNTIFS(nNIA,DATOS!$A488,nCURSO,DATOS!$D488,nESPEC,DATOS!$E488,nASIG,DATOS!$I488,nEVAL,"OR")=0))</f>
      </c>
      <c r="I488">
        <f>IF(DATOS!$I488="","",IFERROR(VLOOKUP(DATOS!$I488,CONFIG_ASIGNATURAS!$B$2:$J$91,9,FALSE()),""))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IF(DATOS!$A489="",0,IF(CONFIG_METADATA!$B$4&lt;&gt;"OR+EX",--(DATOS!$G489=CONFIG_METADATA!$B$4),IF(DATOS!$G489="EX",1,IF(DATOS!$G489="OR",--(COUNTIFS(nNIA,DATOS!$A489,nCURSO,DATOS!$D489,nESPEC,DATOS!$E489,nASIG,DATOS!$I489,nEVAL,"EX")=0),0))))</f>
      </c>
      <c r="H489">
        <f>IF(DATOS!$G489&lt;&gt;"EX",0,--(COUNTIFS(nNIA,DATOS!$A489,nCURSO,DATOS!$D489,nESPEC,DATOS!$E489,nASIG,DATOS!$I489,nEVAL,"OR")=0))</f>
      </c>
      <c r="I489">
        <f>IF(DATOS!$I489="","",IFERROR(VLOOKUP(DATOS!$I489,CONFIG_ASIGNATURAS!$B$2:$J$91,9,FALSE()),""))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IF(DATOS!$A490="",0,IF(CONFIG_METADATA!$B$4&lt;&gt;"OR+EX",--(DATOS!$G490=CONFIG_METADATA!$B$4),IF(DATOS!$G490="EX",1,IF(DATOS!$G490="OR",--(COUNTIFS(nNIA,DATOS!$A490,nCURSO,DATOS!$D490,nESPEC,DATOS!$E490,nASIG,DATOS!$I490,nEVAL,"EX")=0),0))))</f>
      </c>
      <c r="H490">
        <f>IF(DATOS!$G490&lt;&gt;"EX",0,--(COUNTIFS(nNIA,DATOS!$A490,nCURSO,DATOS!$D490,nESPEC,DATOS!$E490,nASIG,DATOS!$I490,nEVAL,"OR")=0))</f>
      </c>
      <c r="I490">
        <f>IF(DATOS!$I490="","",IFERROR(VLOOKUP(DATOS!$I490,CONFIG_ASIGNATURAS!$B$2:$J$91,9,FALSE()),""))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IF(DATOS!$A491="",0,IF(CONFIG_METADATA!$B$4&lt;&gt;"OR+EX",--(DATOS!$G491=CONFIG_METADATA!$B$4),IF(DATOS!$G491="EX",1,IF(DATOS!$G491="OR",--(COUNTIFS(nNIA,DATOS!$A491,nCURSO,DATOS!$D491,nESPEC,DATOS!$E491,nASIG,DATOS!$I491,nEVAL,"EX")=0),0))))</f>
      </c>
      <c r="H491">
        <f>IF(DATOS!$G491&lt;&gt;"EX",0,--(COUNTIFS(nNIA,DATOS!$A491,nCURSO,DATOS!$D491,nESPEC,DATOS!$E491,nASIG,DATOS!$I491,nEVAL,"OR")=0))</f>
      </c>
      <c r="I491">
        <f>IF(DATOS!$I491="","",IFERROR(VLOOKUP(DATOS!$I491,CONFIG_ASIGNATURAS!$B$2:$J$91,9,FALSE()),""))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IF(DATOS!$A492="",0,IF(CONFIG_METADATA!$B$4&lt;&gt;"OR+EX",--(DATOS!$G492=CONFIG_METADATA!$B$4),IF(DATOS!$G492="EX",1,IF(DATOS!$G492="OR",--(COUNTIFS(nNIA,DATOS!$A492,nCURSO,DATOS!$D492,nESPEC,DATOS!$E492,nASIG,DATOS!$I492,nEVAL,"EX")=0),0))))</f>
      </c>
      <c r="H492">
        <f>IF(DATOS!$G492&lt;&gt;"EX",0,--(COUNTIFS(nNIA,DATOS!$A492,nCURSO,DATOS!$D492,nESPEC,DATOS!$E492,nASIG,DATOS!$I492,nEVAL,"OR")=0))</f>
      </c>
      <c r="I492">
        <f>IF(DATOS!$I492="","",IFERROR(VLOOKUP(DATOS!$I492,CONFIG_ASIGNATURAS!$B$2:$J$91,9,FALSE()),""))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IF(DATOS!$A493="",0,IF(CONFIG_METADATA!$B$4&lt;&gt;"OR+EX",--(DATOS!$G493=CONFIG_METADATA!$B$4),IF(DATOS!$G493="EX",1,IF(DATOS!$G493="OR",--(COUNTIFS(nNIA,DATOS!$A493,nCURSO,DATOS!$D493,nESPEC,DATOS!$E493,nASIG,DATOS!$I493,nEVAL,"EX")=0),0))))</f>
      </c>
      <c r="H493">
        <f>IF(DATOS!$G493&lt;&gt;"EX",0,--(COUNTIFS(nNIA,DATOS!$A493,nCURSO,DATOS!$D493,nESPEC,DATOS!$E493,nASIG,DATOS!$I493,nEVAL,"OR")=0))</f>
      </c>
      <c r="I493">
        <f>IF(DATOS!$I493="","",IFERROR(VLOOKUP(DATOS!$I493,CONFIG_ASIGNATURAS!$B$2:$J$91,9,FALSE()),""))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IF(DATOS!$A494="",0,IF(CONFIG_METADATA!$B$4&lt;&gt;"OR+EX",--(DATOS!$G494=CONFIG_METADATA!$B$4),IF(DATOS!$G494="EX",1,IF(DATOS!$G494="OR",--(COUNTIFS(nNIA,DATOS!$A494,nCURSO,DATOS!$D494,nESPEC,DATOS!$E494,nASIG,DATOS!$I494,nEVAL,"EX")=0),0))))</f>
      </c>
      <c r="H494">
        <f>IF(DATOS!$G494&lt;&gt;"EX",0,--(COUNTIFS(nNIA,DATOS!$A494,nCURSO,DATOS!$D494,nESPEC,DATOS!$E494,nASIG,DATOS!$I494,nEVAL,"OR")=0))</f>
      </c>
      <c r="I494">
        <f>IF(DATOS!$I494="","",IFERROR(VLOOKUP(DATOS!$I494,CONFIG_ASIGNATURAS!$B$2:$J$91,9,FALSE()),""))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IF(DATOS!$A495="",0,IF(CONFIG_METADATA!$B$4&lt;&gt;"OR+EX",--(DATOS!$G495=CONFIG_METADATA!$B$4),IF(DATOS!$G495="EX",1,IF(DATOS!$G495="OR",--(COUNTIFS(nNIA,DATOS!$A495,nCURSO,DATOS!$D495,nESPEC,DATOS!$E495,nASIG,DATOS!$I495,nEVAL,"EX")=0),0))))</f>
      </c>
      <c r="H495">
        <f>IF(DATOS!$G495&lt;&gt;"EX",0,--(COUNTIFS(nNIA,DATOS!$A495,nCURSO,DATOS!$D495,nESPEC,DATOS!$E495,nASIG,DATOS!$I495,nEVAL,"OR")=0))</f>
      </c>
      <c r="I495">
        <f>IF(DATOS!$I495="","",IFERROR(VLOOKUP(DATOS!$I495,CONFIG_ASIGNATURAS!$B$2:$J$91,9,FALSE()),""))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IF(DATOS!$A496="",0,IF(CONFIG_METADATA!$B$4&lt;&gt;"OR+EX",--(DATOS!$G496=CONFIG_METADATA!$B$4),IF(DATOS!$G496="EX",1,IF(DATOS!$G496="OR",--(COUNTIFS(nNIA,DATOS!$A496,nCURSO,DATOS!$D496,nESPEC,DATOS!$E496,nASIG,DATOS!$I496,nEVAL,"EX")=0),0))))</f>
      </c>
      <c r="H496">
        <f>IF(DATOS!$G496&lt;&gt;"EX",0,--(COUNTIFS(nNIA,DATOS!$A496,nCURSO,DATOS!$D496,nESPEC,DATOS!$E496,nASIG,DATOS!$I496,nEVAL,"OR")=0))</f>
      </c>
      <c r="I496">
        <f>IF(DATOS!$I496="","",IFERROR(VLOOKUP(DATOS!$I496,CONFIG_ASIGNATURAS!$B$2:$J$91,9,FALSE()),""))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IF(DATOS!$A497="",0,IF(CONFIG_METADATA!$B$4&lt;&gt;"OR+EX",--(DATOS!$G497=CONFIG_METADATA!$B$4),IF(DATOS!$G497="EX",1,IF(DATOS!$G497="OR",--(COUNTIFS(nNIA,DATOS!$A497,nCURSO,DATOS!$D497,nESPEC,DATOS!$E497,nASIG,DATOS!$I497,nEVAL,"EX")=0),0))))</f>
      </c>
      <c r="H497">
        <f>IF(DATOS!$G497&lt;&gt;"EX",0,--(COUNTIFS(nNIA,DATOS!$A497,nCURSO,DATOS!$D497,nESPEC,DATOS!$E497,nASIG,DATOS!$I497,nEVAL,"OR")=0))</f>
      </c>
      <c r="I497">
        <f>IF(DATOS!$I497="","",IFERROR(VLOOKUP(DATOS!$I497,CONFIG_ASIGNATURAS!$B$2:$J$91,9,FALSE()),""))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IF(DATOS!$A498="",0,IF(CONFIG_METADATA!$B$4&lt;&gt;"OR+EX",--(DATOS!$G498=CONFIG_METADATA!$B$4),IF(DATOS!$G498="EX",1,IF(DATOS!$G498="OR",--(COUNTIFS(nNIA,DATOS!$A498,nCURSO,DATOS!$D498,nESPEC,DATOS!$E498,nASIG,DATOS!$I498,nEVAL,"EX")=0),0))))</f>
      </c>
      <c r="H498">
        <f>IF(DATOS!$G498&lt;&gt;"EX",0,--(COUNTIFS(nNIA,DATOS!$A498,nCURSO,DATOS!$D498,nESPEC,DATOS!$E498,nASIG,DATOS!$I498,nEVAL,"OR")=0))</f>
      </c>
      <c r="I498">
        <f>IF(DATOS!$I498="","",IFERROR(VLOOKUP(DATOS!$I498,CONFIG_ASIGNATURAS!$B$2:$J$91,9,FALSE()),""))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IF(DATOS!$A499="",0,IF(CONFIG_METADATA!$B$4&lt;&gt;"OR+EX",--(DATOS!$G499=CONFIG_METADATA!$B$4),IF(DATOS!$G499="EX",1,IF(DATOS!$G499="OR",--(COUNTIFS(nNIA,DATOS!$A499,nCURSO,DATOS!$D499,nESPEC,DATOS!$E499,nASIG,DATOS!$I499,nEVAL,"EX")=0),0))))</f>
      </c>
      <c r="H499">
        <f>IF(DATOS!$G499&lt;&gt;"EX",0,--(COUNTIFS(nNIA,DATOS!$A499,nCURSO,DATOS!$D499,nESPEC,DATOS!$E499,nASIG,DATOS!$I499,nEVAL,"OR")=0))</f>
      </c>
      <c r="I499">
        <f>IF(DATOS!$I499="","",IFERROR(VLOOKUP(DATOS!$I499,CONFIG_ASIGNATURAS!$B$2:$J$91,9,FALSE()),""))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IF(DATOS!$A500="",0,IF(CONFIG_METADATA!$B$4&lt;&gt;"OR+EX",--(DATOS!$G500=CONFIG_METADATA!$B$4),IF(DATOS!$G500="EX",1,IF(DATOS!$G500="OR",--(COUNTIFS(nNIA,DATOS!$A500,nCURSO,DATOS!$D500,nESPEC,DATOS!$E500,nASIG,DATOS!$I500,nEVAL,"EX")=0),0))))</f>
      </c>
      <c r="H500">
        <f>IF(DATOS!$G500&lt;&gt;"EX",0,--(COUNTIFS(nNIA,DATOS!$A500,nCURSO,DATOS!$D500,nESPEC,DATOS!$E500,nASIG,DATOS!$I500,nEVAL,"OR")=0))</f>
      </c>
      <c r="I500">
        <f>IF(DATOS!$I500="","",IFERROR(VLOOKUP(DATOS!$I500,CONFIG_ASIGNATURAS!$B$2:$J$91,9,FALSE()),""))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IF(DATOS!$A501="",0,IF(CONFIG_METADATA!$B$4&lt;&gt;"OR+EX",--(DATOS!$G501=CONFIG_METADATA!$B$4),IF(DATOS!$G501="EX",1,IF(DATOS!$G501="OR",--(COUNTIFS(nNIA,DATOS!$A501,nCURSO,DATOS!$D501,nESPEC,DATOS!$E501,nASIG,DATOS!$I501,nEVAL,"EX")=0),0))))</f>
      </c>
      <c r="H501">
        <f>IF(DATOS!$G501&lt;&gt;"EX",0,--(COUNTIFS(nNIA,DATOS!$A501,nCURSO,DATOS!$D501,nESPEC,DATOS!$E501,nASIG,DATOS!$I501,nEVAL,"OR")=0))</f>
      </c>
      <c r="I501">
        <f>IF(DATOS!$I501="","",IFERROR(VLOOKUP(DATOS!$I501,CONFIG_ASIGNATURAS!$B$2:$J$91,9,FALSE()),""))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IF(DATOS!$A502="",0,IF(CONFIG_METADATA!$B$4&lt;&gt;"OR+EX",--(DATOS!$G502=CONFIG_METADATA!$B$4),IF(DATOS!$G502="EX",1,IF(DATOS!$G502="OR",--(COUNTIFS(nNIA,DATOS!$A502,nCURSO,DATOS!$D502,nESPEC,DATOS!$E502,nASIG,DATOS!$I502,nEVAL,"EX")=0),0))))</f>
      </c>
      <c r="H502">
        <f>IF(DATOS!$G502&lt;&gt;"EX",0,--(COUNTIFS(nNIA,DATOS!$A502,nCURSO,DATOS!$D502,nESPEC,DATOS!$E502,nASIG,DATOS!$I502,nEVAL,"OR")=0))</f>
      </c>
      <c r="I502">
        <f>IF(DATOS!$I502="","",IFERROR(VLOOKUP(DATOS!$I502,CONFIG_ASIGNATURAS!$B$2:$J$91,9,FALSE()),""))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IF(DATOS!$A503="",0,IF(CONFIG_METADATA!$B$4&lt;&gt;"OR+EX",--(DATOS!$G503=CONFIG_METADATA!$B$4),IF(DATOS!$G503="EX",1,IF(DATOS!$G503="OR",--(COUNTIFS(nNIA,DATOS!$A503,nCURSO,DATOS!$D503,nESPEC,DATOS!$E503,nASIG,DATOS!$I503,nEVAL,"EX")=0),0))))</f>
      </c>
      <c r="H503">
        <f>IF(DATOS!$G503&lt;&gt;"EX",0,--(COUNTIFS(nNIA,DATOS!$A503,nCURSO,DATOS!$D503,nESPEC,DATOS!$E503,nASIG,DATOS!$I503,nEVAL,"OR")=0))</f>
      </c>
      <c r="I503">
        <f>IF(DATOS!$I503="","",IFERROR(VLOOKUP(DATOS!$I503,CONFIG_ASIGNATURAS!$B$2:$J$91,9,FALSE()),""))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IF(DATOS!$A504="",0,IF(CONFIG_METADATA!$B$4&lt;&gt;"OR+EX",--(DATOS!$G504=CONFIG_METADATA!$B$4),IF(DATOS!$G504="EX",1,IF(DATOS!$G504="OR",--(COUNTIFS(nNIA,DATOS!$A504,nCURSO,DATOS!$D504,nESPEC,DATOS!$E504,nASIG,DATOS!$I504,nEVAL,"EX")=0),0))))</f>
      </c>
      <c r="H504">
        <f>IF(DATOS!$G504&lt;&gt;"EX",0,--(COUNTIFS(nNIA,DATOS!$A504,nCURSO,DATOS!$D504,nESPEC,DATOS!$E504,nASIG,DATOS!$I504,nEVAL,"OR")=0))</f>
      </c>
      <c r="I504">
        <f>IF(DATOS!$I504="","",IFERROR(VLOOKUP(DATOS!$I504,CONFIG_ASIGNATURAS!$B$2:$J$91,9,FALSE()),""))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IF(DATOS!$A505="",0,IF(CONFIG_METADATA!$B$4&lt;&gt;"OR+EX",--(DATOS!$G505=CONFIG_METADATA!$B$4),IF(DATOS!$G505="EX",1,IF(DATOS!$G505="OR",--(COUNTIFS(nNIA,DATOS!$A505,nCURSO,DATOS!$D505,nESPEC,DATOS!$E505,nASIG,DATOS!$I505,nEVAL,"EX")=0),0))))</f>
      </c>
      <c r="H505">
        <f>IF(DATOS!$G505&lt;&gt;"EX",0,--(COUNTIFS(nNIA,DATOS!$A505,nCURSO,DATOS!$D505,nESPEC,DATOS!$E505,nASIG,DATOS!$I505,nEVAL,"OR")=0))</f>
      </c>
      <c r="I505">
        <f>IF(DATOS!$I505="","",IFERROR(VLOOKUP(DATOS!$I505,CONFIG_ASIGNATURAS!$B$2:$J$91,9,FALSE()),""))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IF(DATOS!$A506="",0,IF(CONFIG_METADATA!$B$4&lt;&gt;"OR+EX",--(DATOS!$G506=CONFIG_METADATA!$B$4),IF(DATOS!$G506="EX",1,IF(DATOS!$G506="OR",--(COUNTIFS(nNIA,DATOS!$A506,nCURSO,DATOS!$D506,nESPEC,DATOS!$E506,nASIG,DATOS!$I506,nEVAL,"EX")=0),0))))</f>
      </c>
      <c r="H506">
        <f>IF(DATOS!$G506&lt;&gt;"EX",0,--(COUNTIFS(nNIA,DATOS!$A506,nCURSO,DATOS!$D506,nESPEC,DATOS!$E506,nASIG,DATOS!$I506,nEVAL,"OR")=0))</f>
      </c>
      <c r="I506">
        <f>IF(DATOS!$I506="","",IFERROR(VLOOKUP(DATOS!$I506,CONFIG_ASIGNATURAS!$B$2:$J$91,9,FALSE()),""))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IF(DATOS!$A507="",0,IF(CONFIG_METADATA!$B$4&lt;&gt;"OR+EX",--(DATOS!$G507=CONFIG_METADATA!$B$4),IF(DATOS!$G507="EX",1,IF(DATOS!$G507="OR",--(COUNTIFS(nNIA,DATOS!$A507,nCURSO,DATOS!$D507,nESPEC,DATOS!$E507,nASIG,DATOS!$I507,nEVAL,"EX")=0),0))))</f>
      </c>
      <c r="H507">
        <f>IF(DATOS!$G507&lt;&gt;"EX",0,--(COUNTIFS(nNIA,DATOS!$A507,nCURSO,DATOS!$D507,nESPEC,DATOS!$E507,nASIG,DATOS!$I507,nEVAL,"OR")=0))</f>
      </c>
      <c r="I507">
        <f>IF(DATOS!$I507="","",IFERROR(VLOOKUP(DATOS!$I507,CONFIG_ASIGNATURAS!$B$2:$J$91,9,FALSE()),""))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IF(DATOS!$A508="",0,IF(CONFIG_METADATA!$B$4&lt;&gt;"OR+EX",--(DATOS!$G508=CONFIG_METADATA!$B$4),IF(DATOS!$G508="EX",1,IF(DATOS!$G508="OR",--(COUNTIFS(nNIA,DATOS!$A508,nCURSO,DATOS!$D508,nESPEC,DATOS!$E508,nASIG,DATOS!$I508,nEVAL,"EX")=0),0))))</f>
      </c>
      <c r="H508">
        <f>IF(DATOS!$G508&lt;&gt;"EX",0,--(COUNTIFS(nNIA,DATOS!$A508,nCURSO,DATOS!$D508,nESPEC,DATOS!$E508,nASIG,DATOS!$I508,nEVAL,"OR")=0))</f>
      </c>
      <c r="I508">
        <f>IF(DATOS!$I508="","",IFERROR(VLOOKUP(DATOS!$I508,CONFIG_ASIGNATURAS!$B$2:$J$91,9,FALSE()),""))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IF(DATOS!$A509="",0,IF(CONFIG_METADATA!$B$4&lt;&gt;"OR+EX",--(DATOS!$G509=CONFIG_METADATA!$B$4),IF(DATOS!$G509="EX",1,IF(DATOS!$G509="OR",--(COUNTIFS(nNIA,DATOS!$A509,nCURSO,DATOS!$D509,nESPEC,DATOS!$E509,nASIG,DATOS!$I509,nEVAL,"EX")=0),0))))</f>
      </c>
      <c r="H509">
        <f>IF(DATOS!$G509&lt;&gt;"EX",0,--(COUNTIFS(nNIA,DATOS!$A509,nCURSO,DATOS!$D509,nESPEC,DATOS!$E509,nASIG,DATOS!$I509,nEVAL,"OR")=0))</f>
      </c>
      <c r="I509">
        <f>IF(DATOS!$I509="","",IFERROR(VLOOKUP(DATOS!$I509,CONFIG_ASIGNATURAS!$B$2:$J$91,9,FALSE()),""))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IF(DATOS!$A510="",0,IF(CONFIG_METADATA!$B$4&lt;&gt;"OR+EX",--(DATOS!$G510=CONFIG_METADATA!$B$4),IF(DATOS!$G510="EX",1,IF(DATOS!$G510="OR",--(COUNTIFS(nNIA,DATOS!$A510,nCURSO,DATOS!$D510,nESPEC,DATOS!$E510,nASIG,DATOS!$I510,nEVAL,"EX")=0),0))))</f>
      </c>
      <c r="H510">
        <f>IF(DATOS!$G510&lt;&gt;"EX",0,--(COUNTIFS(nNIA,DATOS!$A510,nCURSO,DATOS!$D510,nESPEC,DATOS!$E510,nASIG,DATOS!$I510,nEVAL,"OR")=0))</f>
      </c>
      <c r="I510">
        <f>IF(DATOS!$I510="","",IFERROR(VLOOKUP(DATOS!$I510,CONFIG_ASIGNATURAS!$B$2:$J$91,9,FALSE()),""))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IF(DATOS!$A511="",0,IF(CONFIG_METADATA!$B$4&lt;&gt;"OR+EX",--(DATOS!$G511=CONFIG_METADATA!$B$4),IF(DATOS!$G511="EX",1,IF(DATOS!$G511="OR",--(COUNTIFS(nNIA,DATOS!$A511,nCURSO,DATOS!$D511,nESPEC,DATOS!$E511,nASIG,DATOS!$I511,nEVAL,"EX")=0),0))))</f>
      </c>
      <c r="H511">
        <f>IF(DATOS!$G511&lt;&gt;"EX",0,--(COUNTIFS(nNIA,DATOS!$A511,nCURSO,DATOS!$D511,nESPEC,DATOS!$E511,nASIG,DATOS!$I511,nEVAL,"OR")=0))</f>
      </c>
      <c r="I511">
        <f>IF(DATOS!$I511="","",IFERROR(VLOOKUP(DATOS!$I511,CONFIG_ASIGNATURAS!$B$2:$J$91,9,FALSE()),""))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IF(DATOS!$A512="",0,IF(CONFIG_METADATA!$B$4&lt;&gt;"OR+EX",--(DATOS!$G512=CONFIG_METADATA!$B$4),IF(DATOS!$G512="EX",1,IF(DATOS!$G512="OR",--(COUNTIFS(nNIA,DATOS!$A512,nCURSO,DATOS!$D512,nESPEC,DATOS!$E512,nASIG,DATOS!$I512,nEVAL,"EX")=0),0))))</f>
      </c>
      <c r="H512">
        <f>IF(DATOS!$G512&lt;&gt;"EX",0,--(COUNTIFS(nNIA,DATOS!$A512,nCURSO,DATOS!$D512,nESPEC,DATOS!$E512,nASIG,DATOS!$I512,nEVAL,"OR")=0))</f>
      </c>
      <c r="I512">
        <f>IF(DATOS!$I512="","",IFERROR(VLOOKUP(DATOS!$I512,CONFIG_ASIGNATURAS!$B$2:$J$91,9,FALSE()),""))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IF(DATOS!$A513="",0,IF(CONFIG_METADATA!$B$4&lt;&gt;"OR+EX",--(DATOS!$G513=CONFIG_METADATA!$B$4),IF(DATOS!$G513="EX",1,IF(DATOS!$G513="OR",--(COUNTIFS(nNIA,DATOS!$A513,nCURSO,DATOS!$D513,nESPEC,DATOS!$E513,nASIG,DATOS!$I513,nEVAL,"EX")=0),0))))</f>
      </c>
      <c r="H513">
        <f>IF(DATOS!$G513&lt;&gt;"EX",0,--(COUNTIFS(nNIA,DATOS!$A513,nCURSO,DATOS!$D513,nESPEC,DATOS!$E513,nASIG,DATOS!$I513,nEVAL,"OR")=0))</f>
      </c>
      <c r="I513">
        <f>IF(DATOS!$I513="","",IFERROR(VLOOKUP(DATOS!$I513,CONFIG_ASIGNATURAS!$B$2:$J$91,9,FALSE()),""))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IF(DATOS!$A514="",0,IF(CONFIG_METADATA!$B$4&lt;&gt;"OR+EX",--(DATOS!$G514=CONFIG_METADATA!$B$4),IF(DATOS!$G514="EX",1,IF(DATOS!$G514="OR",--(COUNTIFS(nNIA,DATOS!$A514,nCURSO,DATOS!$D514,nESPEC,DATOS!$E514,nASIG,DATOS!$I514,nEVAL,"EX")=0),0))))</f>
      </c>
      <c r="H514">
        <f>IF(DATOS!$G514&lt;&gt;"EX",0,--(COUNTIFS(nNIA,DATOS!$A514,nCURSO,DATOS!$D514,nESPEC,DATOS!$E514,nASIG,DATOS!$I514,nEVAL,"OR")=0))</f>
      </c>
      <c r="I514">
        <f>IF(DATOS!$I514="","",IFERROR(VLOOKUP(DATOS!$I514,CONFIG_ASIGNATURAS!$B$2:$J$91,9,FALSE()),""))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IF(DATOS!$A515="",0,IF(CONFIG_METADATA!$B$4&lt;&gt;"OR+EX",--(DATOS!$G515=CONFIG_METADATA!$B$4),IF(DATOS!$G515="EX",1,IF(DATOS!$G515="OR",--(COUNTIFS(nNIA,DATOS!$A515,nCURSO,DATOS!$D515,nESPEC,DATOS!$E515,nASIG,DATOS!$I515,nEVAL,"EX")=0),0))))</f>
      </c>
      <c r="H515">
        <f>IF(DATOS!$G515&lt;&gt;"EX",0,--(COUNTIFS(nNIA,DATOS!$A515,nCURSO,DATOS!$D515,nESPEC,DATOS!$E515,nASIG,DATOS!$I515,nEVAL,"OR")=0))</f>
      </c>
      <c r="I515">
        <f>IF(DATOS!$I515="","",IFERROR(VLOOKUP(DATOS!$I515,CONFIG_ASIGNATURAS!$B$2:$J$91,9,FALSE()),""))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IF(DATOS!$A516="",0,IF(CONFIG_METADATA!$B$4&lt;&gt;"OR+EX",--(DATOS!$G516=CONFIG_METADATA!$B$4),IF(DATOS!$G516="EX",1,IF(DATOS!$G516="OR",--(COUNTIFS(nNIA,DATOS!$A516,nCURSO,DATOS!$D516,nESPEC,DATOS!$E516,nASIG,DATOS!$I516,nEVAL,"EX")=0),0))))</f>
      </c>
      <c r="H516">
        <f>IF(DATOS!$G516&lt;&gt;"EX",0,--(COUNTIFS(nNIA,DATOS!$A516,nCURSO,DATOS!$D516,nESPEC,DATOS!$E516,nASIG,DATOS!$I516,nEVAL,"OR")=0))</f>
      </c>
      <c r="I516">
        <f>IF(DATOS!$I516="","",IFERROR(VLOOKUP(DATOS!$I516,CONFIG_ASIGNATURAS!$B$2:$J$91,9,FALSE()),""))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IF(DATOS!$A517="",0,IF(CONFIG_METADATA!$B$4&lt;&gt;"OR+EX",--(DATOS!$G517=CONFIG_METADATA!$B$4),IF(DATOS!$G517="EX",1,IF(DATOS!$G517="OR",--(COUNTIFS(nNIA,DATOS!$A517,nCURSO,DATOS!$D517,nESPEC,DATOS!$E517,nASIG,DATOS!$I517,nEVAL,"EX")=0),0))))</f>
      </c>
      <c r="H517">
        <f>IF(DATOS!$G517&lt;&gt;"EX",0,--(COUNTIFS(nNIA,DATOS!$A517,nCURSO,DATOS!$D517,nESPEC,DATOS!$E517,nASIG,DATOS!$I517,nEVAL,"OR")=0))</f>
      </c>
      <c r="I517">
        <f>IF(DATOS!$I517="","",IFERROR(VLOOKUP(DATOS!$I517,CONFIG_ASIGNATURAS!$B$2:$J$91,9,FALSE()),""))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IF(DATOS!$A518="",0,IF(CONFIG_METADATA!$B$4&lt;&gt;"OR+EX",--(DATOS!$G518=CONFIG_METADATA!$B$4),IF(DATOS!$G518="EX",1,IF(DATOS!$G518="OR",--(COUNTIFS(nNIA,DATOS!$A518,nCURSO,DATOS!$D518,nESPEC,DATOS!$E518,nASIG,DATOS!$I518,nEVAL,"EX")=0),0))))</f>
      </c>
      <c r="H518">
        <f>IF(DATOS!$G518&lt;&gt;"EX",0,--(COUNTIFS(nNIA,DATOS!$A518,nCURSO,DATOS!$D518,nESPEC,DATOS!$E518,nASIG,DATOS!$I518,nEVAL,"OR")=0))</f>
      </c>
      <c r="I518">
        <f>IF(DATOS!$I518="","",IFERROR(VLOOKUP(DATOS!$I518,CONFIG_ASIGNATURAS!$B$2:$J$91,9,FALSE()),""))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IF(DATOS!$A519="",0,IF(CONFIG_METADATA!$B$4&lt;&gt;"OR+EX",--(DATOS!$G519=CONFIG_METADATA!$B$4),IF(DATOS!$G519="EX",1,IF(DATOS!$G519="OR",--(COUNTIFS(nNIA,DATOS!$A519,nCURSO,DATOS!$D519,nESPEC,DATOS!$E519,nASIG,DATOS!$I519,nEVAL,"EX")=0),0))))</f>
      </c>
      <c r="H519">
        <f>IF(DATOS!$G519&lt;&gt;"EX",0,--(COUNTIFS(nNIA,DATOS!$A519,nCURSO,DATOS!$D519,nESPEC,DATOS!$E519,nASIG,DATOS!$I519,nEVAL,"OR")=0))</f>
      </c>
      <c r="I519">
        <f>IF(DATOS!$I519="","",IFERROR(VLOOKUP(DATOS!$I519,CONFIG_ASIGNATURAS!$B$2:$J$91,9,FALSE()),""))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IF(DATOS!$A520="",0,IF(CONFIG_METADATA!$B$4&lt;&gt;"OR+EX",--(DATOS!$G520=CONFIG_METADATA!$B$4),IF(DATOS!$G520="EX",1,IF(DATOS!$G520="OR",--(COUNTIFS(nNIA,DATOS!$A520,nCURSO,DATOS!$D520,nESPEC,DATOS!$E520,nASIG,DATOS!$I520,nEVAL,"EX")=0),0))))</f>
      </c>
      <c r="H520">
        <f>IF(DATOS!$G520&lt;&gt;"EX",0,--(COUNTIFS(nNIA,DATOS!$A520,nCURSO,DATOS!$D520,nESPEC,DATOS!$E520,nASIG,DATOS!$I520,nEVAL,"OR")=0))</f>
      </c>
      <c r="I520">
        <f>IF(DATOS!$I520="","",IFERROR(VLOOKUP(DATOS!$I520,CONFIG_ASIGNATURAS!$B$2:$J$91,9,FALSE()),""))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IF(DATOS!$A521="",0,IF(CONFIG_METADATA!$B$4&lt;&gt;"OR+EX",--(DATOS!$G521=CONFIG_METADATA!$B$4),IF(DATOS!$G521="EX",1,IF(DATOS!$G521="OR",--(COUNTIFS(nNIA,DATOS!$A521,nCURSO,DATOS!$D521,nESPEC,DATOS!$E521,nASIG,DATOS!$I521,nEVAL,"EX")=0),0))))</f>
      </c>
      <c r="H521">
        <f>IF(DATOS!$G521&lt;&gt;"EX",0,--(COUNTIFS(nNIA,DATOS!$A521,nCURSO,DATOS!$D521,nESPEC,DATOS!$E521,nASIG,DATOS!$I521,nEVAL,"OR")=0))</f>
      </c>
      <c r="I521">
        <f>IF(DATOS!$I521="","",IFERROR(VLOOKUP(DATOS!$I521,CONFIG_ASIGNATURAS!$B$2:$J$91,9,FALSE()),""))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IF(DATOS!$A522="",0,IF(CONFIG_METADATA!$B$4&lt;&gt;"OR+EX",--(DATOS!$G522=CONFIG_METADATA!$B$4),IF(DATOS!$G522="EX",1,IF(DATOS!$G522="OR",--(COUNTIFS(nNIA,DATOS!$A522,nCURSO,DATOS!$D522,nESPEC,DATOS!$E522,nASIG,DATOS!$I522,nEVAL,"EX")=0),0))))</f>
      </c>
      <c r="H522">
        <f>IF(DATOS!$G522&lt;&gt;"EX",0,--(COUNTIFS(nNIA,DATOS!$A522,nCURSO,DATOS!$D522,nESPEC,DATOS!$E522,nASIG,DATOS!$I522,nEVAL,"OR")=0))</f>
      </c>
      <c r="I522">
        <f>IF(DATOS!$I522="","",IFERROR(VLOOKUP(DATOS!$I522,CONFIG_ASIGNATURAS!$B$2:$J$91,9,FALSE()),""))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IF(DATOS!$A523="",0,IF(CONFIG_METADATA!$B$4&lt;&gt;"OR+EX",--(DATOS!$G523=CONFIG_METADATA!$B$4),IF(DATOS!$G523="EX",1,IF(DATOS!$G523="OR",--(COUNTIFS(nNIA,DATOS!$A523,nCURSO,DATOS!$D523,nESPEC,DATOS!$E523,nASIG,DATOS!$I523,nEVAL,"EX")=0),0))))</f>
      </c>
      <c r="H523">
        <f>IF(DATOS!$G523&lt;&gt;"EX",0,--(COUNTIFS(nNIA,DATOS!$A523,nCURSO,DATOS!$D523,nESPEC,DATOS!$E523,nASIG,DATOS!$I523,nEVAL,"OR")=0))</f>
      </c>
      <c r="I523">
        <f>IF(DATOS!$I523="","",IFERROR(VLOOKUP(DATOS!$I523,CONFIG_ASIGNATURAS!$B$2:$J$91,9,FALSE()),""))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IF(DATOS!$A524="",0,IF(CONFIG_METADATA!$B$4&lt;&gt;"OR+EX",--(DATOS!$G524=CONFIG_METADATA!$B$4),IF(DATOS!$G524="EX",1,IF(DATOS!$G524="OR",--(COUNTIFS(nNIA,DATOS!$A524,nCURSO,DATOS!$D524,nESPEC,DATOS!$E524,nASIG,DATOS!$I524,nEVAL,"EX")=0),0))))</f>
      </c>
      <c r="H524">
        <f>IF(DATOS!$G524&lt;&gt;"EX",0,--(COUNTIFS(nNIA,DATOS!$A524,nCURSO,DATOS!$D524,nESPEC,DATOS!$E524,nASIG,DATOS!$I524,nEVAL,"OR")=0))</f>
      </c>
      <c r="I524">
        <f>IF(DATOS!$I524="","",IFERROR(VLOOKUP(DATOS!$I524,CONFIG_ASIGNATURAS!$B$2:$J$91,9,FALSE()),""))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IF(DATOS!$A525="",0,IF(CONFIG_METADATA!$B$4&lt;&gt;"OR+EX",--(DATOS!$G525=CONFIG_METADATA!$B$4),IF(DATOS!$G525="EX",1,IF(DATOS!$G525="OR",--(COUNTIFS(nNIA,DATOS!$A525,nCURSO,DATOS!$D525,nESPEC,DATOS!$E525,nASIG,DATOS!$I525,nEVAL,"EX")=0),0))))</f>
      </c>
      <c r="H525">
        <f>IF(DATOS!$G525&lt;&gt;"EX",0,--(COUNTIFS(nNIA,DATOS!$A525,nCURSO,DATOS!$D525,nESPEC,DATOS!$E525,nASIG,DATOS!$I525,nEVAL,"OR")=0))</f>
      </c>
      <c r="I525">
        <f>IF(DATOS!$I525="","",IFERROR(VLOOKUP(DATOS!$I525,CONFIG_ASIGNATURAS!$B$2:$J$91,9,FALSE()),""))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IF(DATOS!$A526="",0,IF(CONFIG_METADATA!$B$4&lt;&gt;"OR+EX",--(DATOS!$G526=CONFIG_METADATA!$B$4),IF(DATOS!$G526="EX",1,IF(DATOS!$G526="OR",--(COUNTIFS(nNIA,DATOS!$A526,nCURSO,DATOS!$D526,nESPEC,DATOS!$E526,nASIG,DATOS!$I526,nEVAL,"EX")=0),0))))</f>
      </c>
      <c r="H526">
        <f>IF(DATOS!$G526&lt;&gt;"EX",0,--(COUNTIFS(nNIA,DATOS!$A526,nCURSO,DATOS!$D526,nESPEC,DATOS!$E526,nASIG,DATOS!$I526,nEVAL,"OR")=0))</f>
      </c>
      <c r="I526">
        <f>IF(DATOS!$I526="","",IFERROR(VLOOKUP(DATOS!$I526,CONFIG_ASIGNATURAS!$B$2:$J$91,9,FALSE()),""))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IF(DATOS!$A527="",0,IF(CONFIG_METADATA!$B$4&lt;&gt;"OR+EX",--(DATOS!$G527=CONFIG_METADATA!$B$4),IF(DATOS!$G527="EX",1,IF(DATOS!$G527="OR",--(COUNTIFS(nNIA,DATOS!$A527,nCURSO,DATOS!$D527,nESPEC,DATOS!$E527,nASIG,DATOS!$I527,nEVAL,"EX")=0),0))))</f>
      </c>
      <c r="H527">
        <f>IF(DATOS!$G527&lt;&gt;"EX",0,--(COUNTIFS(nNIA,DATOS!$A527,nCURSO,DATOS!$D527,nESPEC,DATOS!$E527,nASIG,DATOS!$I527,nEVAL,"OR")=0))</f>
      </c>
      <c r="I527">
        <f>IF(DATOS!$I527="","",IFERROR(VLOOKUP(DATOS!$I527,CONFIG_ASIGNATURAS!$B$2:$J$91,9,FALSE()),""))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IF(DATOS!$A528="",0,IF(CONFIG_METADATA!$B$4&lt;&gt;"OR+EX",--(DATOS!$G528=CONFIG_METADATA!$B$4),IF(DATOS!$G528="EX",1,IF(DATOS!$G528="OR",--(COUNTIFS(nNIA,DATOS!$A528,nCURSO,DATOS!$D528,nESPEC,DATOS!$E528,nASIG,DATOS!$I528,nEVAL,"EX")=0),0))))</f>
      </c>
      <c r="H528">
        <f>IF(DATOS!$G528&lt;&gt;"EX",0,--(COUNTIFS(nNIA,DATOS!$A528,nCURSO,DATOS!$D528,nESPEC,DATOS!$E528,nASIG,DATOS!$I528,nEVAL,"OR")=0))</f>
      </c>
      <c r="I528">
        <f>IF(DATOS!$I528="","",IFERROR(VLOOKUP(DATOS!$I528,CONFIG_ASIGNATURAS!$B$2:$J$91,9,FALSE()),""))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IF(DATOS!$A529="",0,IF(CONFIG_METADATA!$B$4&lt;&gt;"OR+EX",--(DATOS!$G529=CONFIG_METADATA!$B$4),IF(DATOS!$G529="EX",1,IF(DATOS!$G529="OR",--(COUNTIFS(nNIA,DATOS!$A529,nCURSO,DATOS!$D529,nESPEC,DATOS!$E529,nASIG,DATOS!$I529,nEVAL,"EX")=0),0))))</f>
      </c>
      <c r="H529">
        <f>IF(DATOS!$G529&lt;&gt;"EX",0,--(COUNTIFS(nNIA,DATOS!$A529,nCURSO,DATOS!$D529,nESPEC,DATOS!$E529,nASIG,DATOS!$I529,nEVAL,"OR")=0))</f>
      </c>
      <c r="I529">
        <f>IF(DATOS!$I529="","",IFERROR(VLOOKUP(DATOS!$I529,CONFIG_ASIGNATURAS!$B$2:$J$91,9,FALSE()),""))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IF(DATOS!$A530="",0,IF(CONFIG_METADATA!$B$4&lt;&gt;"OR+EX",--(DATOS!$G530=CONFIG_METADATA!$B$4),IF(DATOS!$G530="EX",1,IF(DATOS!$G530="OR",--(COUNTIFS(nNIA,DATOS!$A530,nCURSO,DATOS!$D530,nESPEC,DATOS!$E530,nASIG,DATOS!$I530,nEVAL,"EX")=0),0))))</f>
      </c>
      <c r="H530">
        <f>IF(DATOS!$G530&lt;&gt;"EX",0,--(COUNTIFS(nNIA,DATOS!$A530,nCURSO,DATOS!$D530,nESPEC,DATOS!$E530,nASIG,DATOS!$I530,nEVAL,"OR")=0))</f>
      </c>
      <c r="I530">
        <f>IF(DATOS!$I530="","",IFERROR(VLOOKUP(DATOS!$I530,CONFIG_ASIGNATURAS!$B$2:$J$91,9,FALSE()),""))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IF(DATOS!$A531="",0,IF(CONFIG_METADATA!$B$4&lt;&gt;"OR+EX",--(DATOS!$G531=CONFIG_METADATA!$B$4),IF(DATOS!$G531="EX",1,IF(DATOS!$G531="OR",--(COUNTIFS(nNIA,DATOS!$A531,nCURSO,DATOS!$D531,nESPEC,DATOS!$E531,nASIG,DATOS!$I531,nEVAL,"EX")=0),0))))</f>
      </c>
      <c r="H531">
        <f>IF(DATOS!$G531&lt;&gt;"EX",0,--(COUNTIFS(nNIA,DATOS!$A531,nCURSO,DATOS!$D531,nESPEC,DATOS!$E531,nASIG,DATOS!$I531,nEVAL,"OR")=0))</f>
      </c>
      <c r="I531">
        <f>IF(DATOS!$I531="","",IFERROR(VLOOKUP(DATOS!$I531,CONFIG_ASIGNATURAS!$B$2:$J$91,9,FALSE()),""))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IF(DATOS!$A532="",0,IF(CONFIG_METADATA!$B$4&lt;&gt;"OR+EX",--(DATOS!$G532=CONFIG_METADATA!$B$4),IF(DATOS!$G532="EX",1,IF(DATOS!$G532="OR",--(COUNTIFS(nNIA,DATOS!$A532,nCURSO,DATOS!$D532,nESPEC,DATOS!$E532,nASIG,DATOS!$I532,nEVAL,"EX")=0),0))))</f>
      </c>
      <c r="H532">
        <f>IF(DATOS!$G532&lt;&gt;"EX",0,--(COUNTIFS(nNIA,DATOS!$A532,nCURSO,DATOS!$D532,nESPEC,DATOS!$E532,nASIG,DATOS!$I532,nEVAL,"OR")=0))</f>
      </c>
      <c r="I532">
        <f>IF(DATOS!$I532="","",IFERROR(VLOOKUP(DATOS!$I532,CONFIG_ASIGNATURAS!$B$2:$J$91,9,FALSE()),""))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IF(DATOS!$A533="",0,IF(CONFIG_METADATA!$B$4&lt;&gt;"OR+EX",--(DATOS!$G533=CONFIG_METADATA!$B$4),IF(DATOS!$G533="EX",1,IF(DATOS!$G533="OR",--(COUNTIFS(nNIA,DATOS!$A533,nCURSO,DATOS!$D533,nESPEC,DATOS!$E533,nASIG,DATOS!$I533,nEVAL,"EX")=0),0))))</f>
      </c>
      <c r="H533">
        <f>IF(DATOS!$G533&lt;&gt;"EX",0,--(COUNTIFS(nNIA,DATOS!$A533,nCURSO,DATOS!$D533,nESPEC,DATOS!$E533,nASIG,DATOS!$I533,nEVAL,"OR")=0))</f>
      </c>
      <c r="I533">
        <f>IF(DATOS!$I533="","",IFERROR(VLOOKUP(DATOS!$I533,CONFIG_ASIGNATURAS!$B$2:$J$91,9,FALSE()),""))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IF(DATOS!$A534="",0,IF(CONFIG_METADATA!$B$4&lt;&gt;"OR+EX",--(DATOS!$G534=CONFIG_METADATA!$B$4),IF(DATOS!$G534="EX",1,IF(DATOS!$G534="OR",--(COUNTIFS(nNIA,DATOS!$A534,nCURSO,DATOS!$D534,nESPEC,DATOS!$E534,nASIG,DATOS!$I534,nEVAL,"EX")=0),0))))</f>
      </c>
      <c r="H534">
        <f>IF(DATOS!$G534&lt;&gt;"EX",0,--(COUNTIFS(nNIA,DATOS!$A534,nCURSO,DATOS!$D534,nESPEC,DATOS!$E534,nASIG,DATOS!$I534,nEVAL,"OR")=0))</f>
      </c>
      <c r="I534">
        <f>IF(DATOS!$I534="","",IFERROR(VLOOKUP(DATOS!$I534,CONFIG_ASIGNATURAS!$B$2:$J$91,9,FALSE()),""))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IF(DATOS!$A535="",0,IF(CONFIG_METADATA!$B$4&lt;&gt;"OR+EX",--(DATOS!$G535=CONFIG_METADATA!$B$4),IF(DATOS!$G535="EX",1,IF(DATOS!$G535="OR",--(COUNTIFS(nNIA,DATOS!$A535,nCURSO,DATOS!$D535,nESPEC,DATOS!$E535,nASIG,DATOS!$I535,nEVAL,"EX")=0),0))))</f>
      </c>
      <c r="H535">
        <f>IF(DATOS!$G535&lt;&gt;"EX",0,--(COUNTIFS(nNIA,DATOS!$A535,nCURSO,DATOS!$D535,nESPEC,DATOS!$E535,nASIG,DATOS!$I535,nEVAL,"OR")=0))</f>
      </c>
      <c r="I535">
        <f>IF(DATOS!$I535="","",IFERROR(VLOOKUP(DATOS!$I535,CONFIG_ASIGNATURAS!$B$2:$J$91,9,FALSE()),""))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IF(DATOS!$A536="",0,IF(CONFIG_METADATA!$B$4&lt;&gt;"OR+EX",--(DATOS!$G536=CONFIG_METADATA!$B$4),IF(DATOS!$G536="EX",1,IF(DATOS!$G536="OR",--(COUNTIFS(nNIA,DATOS!$A536,nCURSO,DATOS!$D536,nESPEC,DATOS!$E536,nASIG,DATOS!$I536,nEVAL,"EX")=0),0))))</f>
      </c>
      <c r="H536">
        <f>IF(DATOS!$G536&lt;&gt;"EX",0,--(COUNTIFS(nNIA,DATOS!$A536,nCURSO,DATOS!$D536,nESPEC,DATOS!$E536,nASIG,DATOS!$I536,nEVAL,"OR")=0))</f>
      </c>
      <c r="I536">
        <f>IF(DATOS!$I536="","",IFERROR(VLOOKUP(DATOS!$I536,CONFIG_ASIGNATURAS!$B$2:$J$91,9,FALSE()),""))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IF(DATOS!$A537="",0,IF(CONFIG_METADATA!$B$4&lt;&gt;"OR+EX",--(DATOS!$G537=CONFIG_METADATA!$B$4),IF(DATOS!$G537="EX",1,IF(DATOS!$G537="OR",--(COUNTIFS(nNIA,DATOS!$A537,nCURSO,DATOS!$D537,nESPEC,DATOS!$E537,nASIG,DATOS!$I537,nEVAL,"EX")=0),0))))</f>
      </c>
      <c r="H537">
        <f>IF(DATOS!$G537&lt;&gt;"EX",0,--(COUNTIFS(nNIA,DATOS!$A537,nCURSO,DATOS!$D537,nESPEC,DATOS!$E537,nASIG,DATOS!$I537,nEVAL,"OR")=0))</f>
      </c>
      <c r="I537">
        <f>IF(DATOS!$I537="","",IFERROR(VLOOKUP(DATOS!$I537,CONFIG_ASIGNATURAS!$B$2:$J$91,9,FALSE()),""))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IF(DATOS!$A538="",0,IF(CONFIG_METADATA!$B$4&lt;&gt;"OR+EX",--(DATOS!$G538=CONFIG_METADATA!$B$4),IF(DATOS!$G538="EX",1,IF(DATOS!$G538="OR",--(COUNTIFS(nNIA,DATOS!$A538,nCURSO,DATOS!$D538,nESPEC,DATOS!$E538,nASIG,DATOS!$I538,nEVAL,"EX")=0),0))))</f>
      </c>
      <c r="H538">
        <f>IF(DATOS!$G538&lt;&gt;"EX",0,--(COUNTIFS(nNIA,DATOS!$A538,nCURSO,DATOS!$D538,nESPEC,DATOS!$E538,nASIG,DATOS!$I538,nEVAL,"OR")=0))</f>
      </c>
      <c r="I538">
        <f>IF(DATOS!$I538="","",IFERROR(VLOOKUP(DATOS!$I538,CONFIG_ASIGNATURAS!$B$2:$J$91,9,FALSE()),""))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IF(DATOS!$A539="",0,IF(CONFIG_METADATA!$B$4&lt;&gt;"OR+EX",--(DATOS!$G539=CONFIG_METADATA!$B$4),IF(DATOS!$G539="EX",1,IF(DATOS!$G539="OR",--(COUNTIFS(nNIA,DATOS!$A539,nCURSO,DATOS!$D539,nESPEC,DATOS!$E539,nASIG,DATOS!$I539,nEVAL,"EX")=0),0))))</f>
      </c>
      <c r="H539">
        <f>IF(DATOS!$G539&lt;&gt;"EX",0,--(COUNTIFS(nNIA,DATOS!$A539,nCURSO,DATOS!$D539,nESPEC,DATOS!$E539,nASIG,DATOS!$I539,nEVAL,"OR")=0))</f>
      </c>
      <c r="I539">
        <f>IF(DATOS!$I539="","",IFERROR(VLOOKUP(DATOS!$I539,CONFIG_ASIGNATURAS!$B$2:$J$91,9,FALSE()),""))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IF(DATOS!$A540="",0,IF(CONFIG_METADATA!$B$4&lt;&gt;"OR+EX",--(DATOS!$G540=CONFIG_METADATA!$B$4),IF(DATOS!$G540="EX",1,IF(DATOS!$G540="OR",--(COUNTIFS(nNIA,DATOS!$A540,nCURSO,DATOS!$D540,nESPEC,DATOS!$E540,nASIG,DATOS!$I540,nEVAL,"EX")=0),0))))</f>
      </c>
      <c r="H540">
        <f>IF(DATOS!$G540&lt;&gt;"EX",0,--(COUNTIFS(nNIA,DATOS!$A540,nCURSO,DATOS!$D540,nESPEC,DATOS!$E540,nASIG,DATOS!$I540,nEVAL,"OR")=0))</f>
      </c>
      <c r="I540">
        <f>IF(DATOS!$I540="","",IFERROR(VLOOKUP(DATOS!$I540,CONFIG_ASIGNATURAS!$B$2:$J$91,9,FALSE()),""))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IF(DATOS!$A541="",0,IF(CONFIG_METADATA!$B$4&lt;&gt;"OR+EX",--(DATOS!$G541=CONFIG_METADATA!$B$4),IF(DATOS!$G541="EX",1,IF(DATOS!$G541="OR",--(COUNTIFS(nNIA,DATOS!$A541,nCURSO,DATOS!$D541,nESPEC,DATOS!$E541,nASIG,DATOS!$I541,nEVAL,"EX")=0),0))))</f>
      </c>
      <c r="H541">
        <f>IF(DATOS!$G541&lt;&gt;"EX",0,--(COUNTIFS(nNIA,DATOS!$A541,nCURSO,DATOS!$D541,nESPEC,DATOS!$E541,nASIG,DATOS!$I541,nEVAL,"OR")=0))</f>
      </c>
      <c r="I541">
        <f>IF(DATOS!$I541="","",IFERROR(VLOOKUP(DATOS!$I541,CONFIG_ASIGNATURAS!$B$2:$J$91,9,FALSE()),""))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IF(DATOS!$A542="",0,IF(CONFIG_METADATA!$B$4&lt;&gt;"OR+EX",--(DATOS!$G542=CONFIG_METADATA!$B$4),IF(DATOS!$G542="EX",1,IF(DATOS!$G542="OR",--(COUNTIFS(nNIA,DATOS!$A542,nCURSO,DATOS!$D542,nESPEC,DATOS!$E542,nASIG,DATOS!$I542,nEVAL,"EX")=0),0))))</f>
      </c>
      <c r="H542">
        <f>IF(DATOS!$G542&lt;&gt;"EX",0,--(COUNTIFS(nNIA,DATOS!$A542,nCURSO,DATOS!$D542,nESPEC,DATOS!$E542,nASIG,DATOS!$I542,nEVAL,"OR")=0))</f>
      </c>
      <c r="I542">
        <f>IF(DATOS!$I542="","",IFERROR(VLOOKUP(DATOS!$I542,CONFIG_ASIGNATURAS!$B$2:$J$91,9,FALSE()),""))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IF(DATOS!$A543="",0,IF(CONFIG_METADATA!$B$4&lt;&gt;"OR+EX",--(DATOS!$G543=CONFIG_METADATA!$B$4),IF(DATOS!$G543="EX",1,IF(DATOS!$G543="OR",--(COUNTIFS(nNIA,DATOS!$A543,nCURSO,DATOS!$D543,nESPEC,DATOS!$E543,nASIG,DATOS!$I543,nEVAL,"EX")=0),0))))</f>
      </c>
      <c r="H543">
        <f>IF(DATOS!$G543&lt;&gt;"EX",0,--(COUNTIFS(nNIA,DATOS!$A543,nCURSO,DATOS!$D543,nESPEC,DATOS!$E543,nASIG,DATOS!$I543,nEVAL,"OR")=0))</f>
      </c>
      <c r="I543">
        <f>IF(DATOS!$I543="","",IFERROR(VLOOKUP(DATOS!$I543,CONFIG_ASIGNATURAS!$B$2:$J$91,9,FALSE()),""))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IF(DATOS!$A544="",0,IF(CONFIG_METADATA!$B$4&lt;&gt;"OR+EX",--(DATOS!$G544=CONFIG_METADATA!$B$4),IF(DATOS!$G544="EX",1,IF(DATOS!$G544="OR",--(COUNTIFS(nNIA,DATOS!$A544,nCURSO,DATOS!$D544,nESPEC,DATOS!$E544,nASIG,DATOS!$I544,nEVAL,"EX")=0),0))))</f>
      </c>
      <c r="H544">
        <f>IF(DATOS!$G544&lt;&gt;"EX",0,--(COUNTIFS(nNIA,DATOS!$A544,nCURSO,DATOS!$D544,nESPEC,DATOS!$E544,nASIG,DATOS!$I544,nEVAL,"OR")=0))</f>
      </c>
      <c r="I544">
        <f>IF(DATOS!$I544="","",IFERROR(VLOOKUP(DATOS!$I544,CONFIG_ASIGNATURAS!$B$2:$J$91,9,FALSE()),""))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IF(DATOS!$A545="",0,IF(CONFIG_METADATA!$B$4&lt;&gt;"OR+EX",--(DATOS!$G545=CONFIG_METADATA!$B$4),IF(DATOS!$G545="EX",1,IF(DATOS!$G545="OR",--(COUNTIFS(nNIA,DATOS!$A545,nCURSO,DATOS!$D545,nESPEC,DATOS!$E545,nASIG,DATOS!$I545,nEVAL,"EX")=0),0))))</f>
      </c>
      <c r="H545">
        <f>IF(DATOS!$G545&lt;&gt;"EX",0,--(COUNTIFS(nNIA,DATOS!$A545,nCURSO,DATOS!$D545,nESPEC,DATOS!$E545,nASIG,DATOS!$I545,nEVAL,"OR")=0))</f>
      </c>
      <c r="I545">
        <f>IF(DATOS!$I545="","",IFERROR(VLOOKUP(DATOS!$I545,CONFIG_ASIGNATURAS!$B$2:$J$91,9,FALSE()),""))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IF(DATOS!$A546="",0,IF(CONFIG_METADATA!$B$4&lt;&gt;"OR+EX",--(DATOS!$G546=CONFIG_METADATA!$B$4),IF(DATOS!$G546="EX",1,IF(DATOS!$G546="OR",--(COUNTIFS(nNIA,DATOS!$A546,nCURSO,DATOS!$D546,nESPEC,DATOS!$E546,nASIG,DATOS!$I546,nEVAL,"EX")=0),0))))</f>
      </c>
      <c r="H546">
        <f>IF(DATOS!$G546&lt;&gt;"EX",0,--(COUNTIFS(nNIA,DATOS!$A546,nCURSO,DATOS!$D546,nESPEC,DATOS!$E546,nASIG,DATOS!$I546,nEVAL,"OR")=0))</f>
      </c>
      <c r="I546">
        <f>IF(DATOS!$I546="","",IFERROR(VLOOKUP(DATOS!$I546,CONFIG_ASIGNATURAS!$B$2:$J$91,9,FALSE()),""))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IF(DATOS!$A547="",0,IF(CONFIG_METADATA!$B$4&lt;&gt;"OR+EX",--(DATOS!$G547=CONFIG_METADATA!$B$4),IF(DATOS!$G547="EX",1,IF(DATOS!$G547="OR",--(COUNTIFS(nNIA,DATOS!$A547,nCURSO,DATOS!$D547,nESPEC,DATOS!$E547,nASIG,DATOS!$I547,nEVAL,"EX")=0),0))))</f>
      </c>
      <c r="H547">
        <f>IF(DATOS!$G547&lt;&gt;"EX",0,--(COUNTIFS(nNIA,DATOS!$A547,nCURSO,DATOS!$D547,nESPEC,DATOS!$E547,nASIG,DATOS!$I547,nEVAL,"OR")=0))</f>
      </c>
      <c r="I547">
        <f>IF(DATOS!$I547="","",IFERROR(VLOOKUP(DATOS!$I547,CONFIG_ASIGNATURAS!$B$2:$J$91,9,FALSE()),""))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IF(DATOS!$A548="",0,IF(CONFIG_METADATA!$B$4&lt;&gt;"OR+EX",--(DATOS!$G548=CONFIG_METADATA!$B$4),IF(DATOS!$G548="EX",1,IF(DATOS!$G548="OR",--(COUNTIFS(nNIA,DATOS!$A548,nCURSO,DATOS!$D548,nESPEC,DATOS!$E548,nASIG,DATOS!$I548,nEVAL,"EX")=0),0))))</f>
      </c>
      <c r="H548">
        <f>IF(DATOS!$G548&lt;&gt;"EX",0,--(COUNTIFS(nNIA,DATOS!$A548,nCURSO,DATOS!$D548,nESPEC,DATOS!$E548,nASIG,DATOS!$I548,nEVAL,"OR")=0))</f>
      </c>
      <c r="I548">
        <f>IF(DATOS!$I548="","",IFERROR(VLOOKUP(DATOS!$I548,CONFIG_ASIGNATURAS!$B$2:$J$91,9,FALSE()),""))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IF(DATOS!$A549="",0,IF(CONFIG_METADATA!$B$4&lt;&gt;"OR+EX",--(DATOS!$G549=CONFIG_METADATA!$B$4),IF(DATOS!$G549="EX",1,IF(DATOS!$G549="OR",--(COUNTIFS(nNIA,DATOS!$A549,nCURSO,DATOS!$D549,nESPEC,DATOS!$E549,nASIG,DATOS!$I549,nEVAL,"EX")=0),0))))</f>
      </c>
      <c r="H549">
        <f>IF(DATOS!$G549&lt;&gt;"EX",0,--(COUNTIFS(nNIA,DATOS!$A549,nCURSO,DATOS!$D549,nESPEC,DATOS!$E549,nASIG,DATOS!$I549,nEVAL,"OR")=0))</f>
      </c>
      <c r="I549">
        <f>IF(DATOS!$I549="","",IFERROR(VLOOKUP(DATOS!$I549,CONFIG_ASIGNATURAS!$B$2:$J$91,9,FALSE()),""))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IF(DATOS!$A550="",0,IF(CONFIG_METADATA!$B$4&lt;&gt;"OR+EX",--(DATOS!$G550=CONFIG_METADATA!$B$4),IF(DATOS!$G550="EX",1,IF(DATOS!$G550="OR",--(COUNTIFS(nNIA,DATOS!$A550,nCURSO,DATOS!$D550,nESPEC,DATOS!$E550,nASIG,DATOS!$I550,nEVAL,"EX")=0),0))))</f>
      </c>
      <c r="H550">
        <f>IF(DATOS!$G550&lt;&gt;"EX",0,--(COUNTIFS(nNIA,DATOS!$A550,nCURSO,DATOS!$D550,nESPEC,DATOS!$E550,nASIG,DATOS!$I550,nEVAL,"OR")=0))</f>
      </c>
      <c r="I550">
        <f>IF(DATOS!$I550="","",IFERROR(VLOOKUP(DATOS!$I550,CONFIG_ASIGNATURAS!$B$2:$J$91,9,FALSE()),""))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IF(DATOS!$A551="",0,IF(CONFIG_METADATA!$B$4&lt;&gt;"OR+EX",--(DATOS!$G551=CONFIG_METADATA!$B$4),IF(DATOS!$G551="EX",1,IF(DATOS!$G551="OR",--(COUNTIFS(nNIA,DATOS!$A551,nCURSO,DATOS!$D551,nESPEC,DATOS!$E551,nASIG,DATOS!$I551,nEVAL,"EX")=0),0))))</f>
      </c>
      <c r="H551">
        <f>IF(DATOS!$G551&lt;&gt;"EX",0,--(COUNTIFS(nNIA,DATOS!$A551,nCURSO,DATOS!$D551,nESPEC,DATOS!$E551,nASIG,DATOS!$I551,nEVAL,"OR")=0))</f>
      </c>
      <c r="I551">
        <f>IF(DATOS!$I551="","",IFERROR(VLOOKUP(DATOS!$I551,CONFIG_ASIGNATURAS!$B$2:$J$91,9,FALSE()),""))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IF(DATOS!$A552="",0,IF(CONFIG_METADATA!$B$4&lt;&gt;"OR+EX",--(DATOS!$G552=CONFIG_METADATA!$B$4),IF(DATOS!$G552="EX",1,IF(DATOS!$G552="OR",--(COUNTIFS(nNIA,DATOS!$A552,nCURSO,DATOS!$D552,nESPEC,DATOS!$E552,nASIG,DATOS!$I552,nEVAL,"EX")=0),0))))</f>
      </c>
      <c r="H552">
        <f>IF(DATOS!$G552&lt;&gt;"EX",0,--(COUNTIFS(nNIA,DATOS!$A552,nCURSO,DATOS!$D552,nESPEC,DATOS!$E552,nASIG,DATOS!$I552,nEVAL,"OR")=0))</f>
      </c>
      <c r="I552">
        <f>IF(DATOS!$I552="","",IFERROR(VLOOKUP(DATOS!$I552,CONFIG_ASIGNATURAS!$B$2:$J$91,9,FALSE()),""))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IF(DATOS!$A553="",0,IF(CONFIG_METADATA!$B$4&lt;&gt;"OR+EX",--(DATOS!$G553=CONFIG_METADATA!$B$4),IF(DATOS!$G553="EX",1,IF(DATOS!$G553="OR",--(COUNTIFS(nNIA,DATOS!$A553,nCURSO,DATOS!$D553,nESPEC,DATOS!$E553,nASIG,DATOS!$I553,nEVAL,"EX")=0),0))))</f>
      </c>
      <c r="H553">
        <f>IF(DATOS!$G553&lt;&gt;"EX",0,--(COUNTIFS(nNIA,DATOS!$A553,nCURSO,DATOS!$D553,nESPEC,DATOS!$E553,nASIG,DATOS!$I553,nEVAL,"OR")=0))</f>
      </c>
      <c r="I553">
        <f>IF(DATOS!$I553="","",IFERROR(VLOOKUP(DATOS!$I553,CONFIG_ASIGNATURAS!$B$2:$J$91,9,FALSE()),""))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IF(DATOS!$A554="",0,IF(CONFIG_METADATA!$B$4&lt;&gt;"OR+EX",--(DATOS!$G554=CONFIG_METADATA!$B$4),IF(DATOS!$G554="EX",1,IF(DATOS!$G554="OR",--(COUNTIFS(nNIA,DATOS!$A554,nCURSO,DATOS!$D554,nESPEC,DATOS!$E554,nASIG,DATOS!$I554,nEVAL,"EX")=0),0))))</f>
      </c>
      <c r="H554">
        <f>IF(DATOS!$G554&lt;&gt;"EX",0,--(COUNTIFS(nNIA,DATOS!$A554,nCURSO,DATOS!$D554,nESPEC,DATOS!$E554,nASIG,DATOS!$I554,nEVAL,"OR")=0))</f>
      </c>
      <c r="I554">
        <f>IF(DATOS!$I554="","",IFERROR(VLOOKUP(DATOS!$I554,CONFIG_ASIGNATURAS!$B$2:$J$91,9,FALSE()),""))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IF(DATOS!$A555="",0,IF(CONFIG_METADATA!$B$4&lt;&gt;"OR+EX",--(DATOS!$G555=CONFIG_METADATA!$B$4),IF(DATOS!$G555="EX",1,IF(DATOS!$G555="OR",--(COUNTIFS(nNIA,DATOS!$A555,nCURSO,DATOS!$D555,nESPEC,DATOS!$E555,nASIG,DATOS!$I555,nEVAL,"EX")=0),0))))</f>
      </c>
      <c r="H555">
        <f>IF(DATOS!$G555&lt;&gt;"EX",0,--(COUNTIFS(nNIA,DATOS!$A555,nCURSO,DATOS!$D555,nESPEC,DATOS!$E555,nASIG,DATOS!$I555,nEVAL,"OR")=0))</f>
      </c>
      <c r="I555">
        <f>IF(DATOS!$I555="","",IFERROR(VLOOKUP(DATOS!$I555,CONFIG_ASIGNATURAS!$B$2:$J$91,9,FALSE()),""))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IF(DATOS!$A556="",0,IF(CONFIG_METADATA!$B$4&lt;&gt;"OR+EX",--(DATOS!$G556=CONFIG_METADATA!$B$4),IF(DATOS!$G556="EX",1,IF(DATOS!$G556="OR",--(COUNTIFS(nNIA,DATOS!$A556,nCURSO,DATOS!$D556,nESPEC,DATOS!$E556,nASIG,DATOS!$I556,nEVAL,"EX")=0),0))))</f>
      </c>
      <c r="H556">
        <f>IF(DATOS!$G556&lt;&gt;"EX",0,--(COUNTIFS(nNIA,DATOS!$A556,nCURSO,DATOS!$D556,nESPEC,DATOS!$E556,nASIG,DATOS!$I556,nEVAL,"OR")=0))</f>
      </c>
      <c r="I556">
        <f>IF(DATOS!$I556="","",IFERROR(VLOOKUP(DATOS!$I556,CONFIG_ASIGNATURAS!$B$2:$J$91,9,FALSE()),""))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IF(DATOS!$A557="",0,IF(CONFIG_METADATA!$B$4&lt;&gt;"OR+EX",--(DATOS!$G557=CONFIG_METADATA!$B$4),IF(DATOS!$G557="EX",1,IF(DATOS!$G557="OR",--(COUNTIFS(nNIA,DATOS!$A557,nCURSO,DATOS!$D557,nESPEC,DATOS!$E557,nASIG,DATOS!$I557,nEVAL,"EX")=0),0))))</f>
      </c>
      <c r="H557">
        <f>IF(DATOS!$G557&lt;&gt;"EX",0,--(COUNTIFS(nNIA,DATOS!$A557,nCURSO,DATOS!$D557,nESPEC,DATOS!$E557,nASIG,DATOS!$I557,nEVAL,"OR")=0))</f>
      </c>
      <c r="I557">
        <f>IF(DATOS!$I557="","",IFERROR(VLOOKUP(DATOS!$I557,CONFIG_ASIGNATURAS!$B$2:$J$91,9,FALSE()),""))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IF(DATOS!$A558="",0,IF(CONFIG_METADATA!$B$4&lt;&gt;"OR+EX",--(DATOS!$G558=CONFIG_METADATA!$B$4),IF(DATOS!$G558="EX",1,IF(DATOS!$G558="OR",--(COUNTIFS(nNIA,DATOS!$A558,nCURSO,DATOS!$D558,nESPEC,DATOS!$E558,nASIG,DATOS!$I558,nEVAL,"EX")=0),0))))</f>
      </c>
      <c r="H558">
        <f>IF(DATOS!$G558&lt;&gt;"EX",0,--(COUNTIFS(nNIA,DATOS!$A558,nCURSO,DATOS!$D558,nESPEC,DATOS!$E558,nASIG,DATOS!$I558,nEVAL,"OR")=0))</f>
      </c>
      <c r="I558">
        <f>IF(DATOS!$I558="","",IFERROR(VLOOKUP(DATOS!$I558,CONFIG_ASIGNATURAS!$B$2:$J$91,9,FALSE()),""))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IF(DATOS!$A559="",0,IF(CONFIG_METADATA!$B$4&lt;&gt;"OR+EX",--(DATOS!$G559=CONFIG_METADATA!$B$4),IF(DATOS!$G559="EX",1,IF(DATOS!$G559="OR",--(COUNTIFS(nNIA,DATOS!$A559,nCURSO,DATOS!$D559,nESPEC,DATOS!$E559,nASIG,DATOS!$I559,nEVAL,"EX")=0),0))))</f>
      </c>
      <c r="H559">
        <f>IF(DATOS!$G559&lt;&gt;"EX",0,--(COUNTIFS(nNIA,DATOS!$A559,nCURSO,DATOS!$D559,nESPEC,DATOS!$E559,nASIG,DATOS!$I559,nEVAL,"OR")=0))</f>
      </c>
      <c r="I559">
        <f>IF(DATOS!$I559="","",IFERROR(VLOOKUP(DATOS!$I559,CONFIG_ASIGNATURAS!$B$2:$J$91,9,FALSE()),""))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IF(DATOS!$A560="",0,IF(CONFIG_METADATA!$B$4&lt;&gt;"OR+EX",--(DATOS!$G560=CONFIG_METADATA!$B$4),IF(DATOS!$G560="EX",1,IF(DATOS!$G560="OR",--(COUNTIFS(nNIA,DATOS!$A560,nCURSO,DATOS!$D560,nESPEC,DATOS!$E560,nASIG,DATOS!$I560,nEVAL,"EX")=0),0))))</f>
      </c>
      <c r="H560">
        <f>IF(DATOS!$G560&lt;&gt;"EX",0,--(COUNTIFS(nNIA,DATOS!$A560,nCURSO,DATOS!$D560,nESPEC,DATOS!$E560,nASIG,DATOS!$I560,nEVAL,"OR")=0))</f>
      </c>
      <c r="I560">
        <f>IF(DATOS!$I560="","",IFERROR(VLOOKUP(DATOS!$I560,CONFIG_ASIGNATURAS!$B$2:$J$91,9,FALSE()),""))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IF(DATOS!$A561="",0,IF(CONFIG_METADATA!$B$4&lt;&gt;"OR+EX",--(DATOS!$G561=CONFIG_METADATA!$B$4),IF(DATOS!$G561="EX",1,IF(DATOS!$G561="OR",--(COUNTIFS(nNIA,DATOS!$A561,nCURSO,DATOS!$D561,nESPEC,DATOS!$E561,nASIG,DATOS!$I561,nEVAL,"EX")=0),0))))</f>
      </c>
      <c r="H561">
        <f>IF(DATOS!$G561&lt;&gt;"EX",0,--(COUNTIFS(nNIA,DATOS!$A561,nCURSO,DATOS!$D561,nESPEC,DATOS!$E561,nASIG,DATOS!$I561,nEVAL,"OR")=0))</f>
      </c>
      <c r="I561">
        <f>IF(DATOS!$I561="","",IFERROR(VLOOKUP(DATOS!$I561,CONFIG_ASIGNATURAS!$B$2:$J$91,9,FALSE()),""))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IF(DATOS!$A562="",0,IF(CONFIG_METADATA!$B$4&lt;&gt;"OR+EX",--(DATOS!$G562=CONFIG_METADATA!$B$4),IF(DATOS!$G562="EX",1,IF(DATOS!$G562="OR",--(COUNTIFS(nNIA,DATOS!$A562,nCURSO,DATOS!$D562,nESPEC,DATOS!$E562,nASIG,DATOS!$I562,nEVAL,"EX")=0),0))))</f>
      </c>
      <c r="H562">
        <f>IF(DATOS!$G562&lt;&gt;"EX",0,--(COUNTIFS(nNIA,DATOS!$A562,nCURSO,DATOS!$D562,nESPEC,DATOS!$E562,nASIG,DATOS!$I562,nEVAL,"OR")=0))</f>
      </c>
      <c r="I562">
        <f>IF(DATOS!$I562="","",IFERROR(VLOOKUP(DATOS!$I562,CONFIG_ASIGNATURAS!$B$2:$J$91,9,FALSE()),""))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IF(DATOS!$A563="",0,IF(CONFIG_METADATA!$B$4&lt;&gt;"OR+EX",--(DATOS!$G563=CONFIG_METADATA!$B$4),IF(DATOS!$G563="EX",1,IF(DATOS!$G563="OR",--(COUNTIFS(nNIA,DATOS!$A563,nCURSO,DATOS!$D563,nESPEC,DATOS!$E563,nASIG,DATOS!$I563,nEVAL,"EX")=0),0))))</f>
      </c>
      <c r="H563">
        <f>IF(DATOS!$G563&lt;&gt;"EX",0,--(COUNTIFS(nNIA,DATOS!$A563,nCURSO,DATOS!$D563,nESPEC,DATOS!$E563,nASIG,DATOS!$I563,nEVAL,"OR")=0))</f>
      </c>
      <c r="I563">
        <f>IF(DATOS!$I563="","",IFERROR(VLOOKUP(DATOS!$I563,CONFIG_ASIGNATURAS!$B$2:$J$91,9,FALSE()),""))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IF(DATOS!$A564="",0,IF(CONFIG_METADATA!$B$4&lt;&gt;"OR+EX",--(DATOS!$G564=CONFIG_METADATA!$B$4),IF(DATOS!$G564="EX",1,IF(DATOS!$G564="OR",--(COUNTIFS(nNIA,DATOS!$A564,nCURSO,DATOS!$D564,nESPEC,DATOS!$E564,nASIG,DATOS!$I564,nEVAL,"EX")=0),0))))</f>
      </c>
      <c r="H564">
        <f>IF(DATOS!$G564&lt;&gt;"EX",0,--(COUNTIFS(nNIA,DATOS!$A564,nCURSO,DATOS!$D564,nESPEC,DATOS!$E564,nASIG,DATOS!$I564,nEVAL,"OR")=0))</f>
      </c>
      <c r="I564">
        <f>IF(DATOS!$I564="","",IFERROR(VLOOKUP(DATOS!$I564,CONFIG_ASIGNATURAS!$B$2:$J$91,9,FALSE()),""))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IF(DATOS!$A565="",0,IF(CONFIG_METADATA!$B$4&lt;&gt;"OR+EX",--(DATOS!$G565=CONFIG_METADATA!$B$4),IF(DATOS!$G565="EX",1,IF(DATOS!$G565="OR",--(COUNTIFS(nNIA,DATOS!$A565,nCURSO,DATOS!$D565,nESPEC,DATOS!$E565,nASIG,DATOS!$I565,nEVAL,"EX")=0),0))))</f>
      </c>
      <c r="H565">
        <f>IF(DATOS!$G565&lt;&gt;"EX",0,--(COUNTIFS(nNIA,DATOS!$A565,nCURSO,DATOS!$D565,nESPEC,DATOS!$E565,nASIG,DATOS!$I565,nEVAL,"OR")=0))</f>
      </c>
      <c r="I565">
        <f>IF(DATOS!$I565="","",IFERROR(VLOOKUP(DATOS!$I565,CONFIG_ASIGNATURAS!$B$2:$J$91,9,FALSE()),""))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IF(DATOS!$A566="",0,IF(CONFIG_METADATA!$B$4&lt;&gt;"OR+EX",--(DATOS!$G566=CONFIG_METADATA!$B$4),IF(DATOS!$G566="EX",1,IF(DATOS!$G566="OR",--(COUNTIFS(nNIA,DATOS!$A566,nCURSO,DATOS!$D566,nESPEC,DATOS!$E566,nASIG,DATOS!$I566,nEVAL,"EX")=0),0))))</f>
      </c>
      <c r="H566">
        <f>IF(DATOS!$G566&lt;&gt;"EX",0,--(COUNTIFS(nNIA,DATOS!$A566,nCURSO,DATOS!$D566,nESPEC,DATOS!$E566,nASIG,DATOS!$I566,nEVAL,"OR")=0))</f>
      </c>
      <c r="I566">
        <f>IF(DATOS!$I566="","",IFERROR(VLOOKUP(DATOS!$I566,CONFIG_ASIGNATURAS!$B$2:$J$91,9,FALSE()),""))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IF(DATOS!$A567="",0,IF(CONFIG_METADATA!$B$4&lt;&gt;"OR+EX",--(DATOS!$G567=CONFIG_METADATA!$B$4),IF(DATOS!$G567="EX",1,IF(DATOS!$G567="OR",--(COUNTIFS(nNIA,DATOS!$A567,nCURSO,DATOS!$D567,nESPEC,DATOS!$E567,nASIG,DATOS!$I567,nEVAL,"EX")=0),0))))</f>
      </c>
      <c r="H567">
        <f>IF(DATOS!$G567&lt;&gt;"EX",0,--(COUNTIFS(nNIA,DATOS!$A567,nCURSO,DATOS!$D567,nESPEC,DATOS!$E567,nASIG,DATOS!$I567,nEVAL,"OR")=0))</f>
      </c>
      <c r="I567">
        <f>IF(DATOS!$I567="","",IFERROR(VLOOKUP(DATOS!$I567,CONFIG_ASIGNATURAS!$B$2:$J$91,9,FALSE()),""))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IF(DATOS!$A568="",0,IF(CONFIG_METADATA!$B$4&lt;&gt;"OR+EX",--(DATOS!$G568=CONFIG_METADATA!$B$4),IF(DATOS!$G568="EX",1,IF(DATOS!$G568="OR",--(COUNTIFS(nNIA,DATOS!$A568,nCURSO,DATOS!$D568,nESPEC,DATOS!$E568,nASIG,DATOS!$I568,nEVAL,"EX")=0),0))))</f>
      </c>
      <c r="H568">
        <f>IF(DATOS!$G568&lt;&gt;"EX",0,--(COUNTIFS(nNIA,DATOS!$A568,nCURSO,DATOS!$D568,nESPEC,DATOS!$E568,nASIG,DATOS!$I568,nEVAL,"OR")=0))</f>
      </c>
      <c r="I568">
        <f>IF(DATOS!$I568="","",IFERROR(VLOOKUP(DATOS!$I568,CONFIG_ASIGNATURAS!$B$2:$J$91,9,FALSE()),""))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IF(DATOS!$A569="",0,IF(CONFIG_METADATA!$B$4&lt;&gt;"OR+EX",--(DATOS!$G569=CONFIG_METADATA!$B$4),IF(DATOS!$G569="EX",1,IF(DATOS!$G569="OR",--(COUNTIFS(nNIA,DATOS!$A569,nCURSO,DATOS!$D569,nESPEC,DATOS!$E569,nASIG,DATOS!$I569,nEVAL,"EX")=0),0))))</f>
      </c>
      <c r="H569">
        <f>IF(DATOS!$G569&lt;&gt;"EX",0,--(COUNTIFS(nNIA,DATOS!$A569,nCURSO,DATOS!$D569,nESPEC,DATOS!$E569,nASIG,DATOS!$I569,nEVAL,"OR")=0))</f>
      </c>
      <c r="I569">
        <f>IF(DATOS!$I569="","",IFERROR(VLOOKUP(DATOS!$I569,CONFIG_ASIGNATURAS!$B$2:$J$91,9,FALSE()),""))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IF(DATOS!$A570="",0,IF(CONFIG_METADATA!$B$4&lt;&gt;"OR+EX",--(DATOS!$G570=CONFIG_METADATA!$B$4),IF(DATOS!$G570="EX",1,IF(DATOS!$G570="OR",--(COUNTIFS(nNIA,DATOS!$A570,nCURSO,DATOS!$D570,nESPEC,DATOS!$E570,nASIG,DATOS!$I570,nEVAL,"EX")=0),0))))</f>
      </c>
      <c r="H570">
        <f>IF(DATOS!$G570&lt;&gt;"EX",0,--(COUNTIFS(nNIA,DATOS!$A570,nCURSO,DATOS!$D570,nESPEC,DATOS!$E570,nASIG,DATOS!$I570,nEVAL,"OR")=0))</f>
      </c>
      <c r="I570">
        <f>IF(DATOS!$I570="","",IFERROR(VLOOKUP(DATOS!$I570,CONFIG_ASIGNATURAS!$B$2:$J$91,9,FALSE()),""))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IF(DATOS!$A571="",0,IF(CONFIG_METADATA!$B$4&lt;&gt;"OR+EX",--(DATOS!$G571=CONFIG_METADATA!$B$4),IF(DATOS!$G571="EX",1,IF(DATOS!$G571="OR",--(COUNTIFS(nNIA,DATOS!$A571,nCURSO,DATOS!$D571,nESPEC,DATOS!$E571,nASIG,DATOS!$I571,nEVAL,"EX")=0),0))))</f>
      </c>
      <c r="H571">
        <f>IF(DATOS!$G571&lt;&gt;"EX",0,--(COUNTIFS(nNIA,DATOS!$A571,nCURSO,DATOS!$D571,nESPEC,DATOS!$E571,nASIG,DATOS!$I571,nEVAL,"OR")=0))</f>
      </c>
      <c r="I571">
        <f>IF(DATOS!$I571="","",IFERROR(VLOOKUP(DATOS!$I571,CONFIG_ASIGNATURAS!$B$2:$J$91,9,FALSE()),""))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IF(DATOS!$A572="",0,IF(CONFIG_METADATA!$B$4&lt;&gt;"OR+EX",--(DATOS!$G572=CONFIG_METADATA!$B$4),IF(DATOS!$G572="EX",1,IF(DATOS!$G572="OR",--(COUNTIFS(nNIA,DATOS!$A572,nCURSO,DATOS!$D572,nESPEC,DATOS!$E572,nASIG,DATOS!$I572,nEVAL,"EX")=0),0))))</f>
      </c>
      <c r="H572">
        <f>IF(DATOS!$G572&lt;&gt;"EX",0,--(COUNTIFS(nNIA,DATOS!$A572,nCURSO,DATOS!$D572,nESPEC,DATOS!$E572,nASIG,DATOS!$I572,nEVAL,"OR")=0))</f>
      </c>
      <c r="I572">
        <f>IF(DATOS!$I572="","",IFERROR(VLOOKUP(DATOS!$I572,CONFIG_ASIGNATURAS!$B$2:$J$91,9,FALSE()),""))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IF(DATOS!$A573="",0,IF(CONFIG_METADATA!$B$4&lt;&gt;"OR+EX",--(DATOS!$G573=CONFIG_METADATA!$B$4),IF(DATOS!$G573="EX",1,IF(DATOS!$G573="OR",--(COUNTIFS(nNIA,DATOS!$A573,nCURSO,DATOS!$D573,nESPEC,DATOS!$E573,nASIG,DATOS!$I573,nEVAL,"EX")=0),0))))</f>
      </c>
      <c r="H573">
        <f>IF(DATOS!$G573&lt;&gt;"EX",0,--(COUNTIFS(nNIA,DATOS!$A573,nCURSO,DATOS!$D573,nESPEC,DATOS!$E573,nASIG,DATOS!$I573,nEVAL,"OR")=0))</f>
      </c>
      <c r="I573">
        <f>IF(DATOS!$I573="","",IFERROR(VLOOKUP(DATOS!$I573,CONFIG_ASIGNATURAS!$B$2:$J$91,9,FALSE()),""))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IF(DATOS!$A574="",0,IF(CONFIG_METADATA!$B$4&lt;&gt;"OR+EX",--(DATOS!$G574=CONFIG_METADATA!$B$4),IF(DATOS!$G574="EX",1,IF(DATOS!$G574="OR",--(COUNTIFS(nNIA,DATOS!$A574,nCURSO,DATOS!$D574,nESPEC,DATOS!$E574,nASIG,DATOS!$I574,nEVAL,"EX")=0),0))))</f>
      </c>
      <c r="H574">
        <f>IF(DATOS!$G574&lt;&gt;"EX",0,--(COUNTIFS(nNIA,DATOS!$A574,nCURSO,DATOS!$D574,nESPEC,DATOS!$E574,nASIG,DATOS!$I574,nEVAL,"OR")=0))</f>
      </c>
      <c r="I574">
        <f>IF(DATOS!$I574="","",IFERROR(VLOOKUP(DATOS!$I574,CONFIG_ASIGNATURAS!$B$2:$J$91,9,FALSE()),""))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IF(DATOS!$A575="",0,IF(CONFIG_METADATA!$B$4&lt;&gt;"OR+EX",--(DATOS!$G575=CONFIG_METADATA!$B$4),IF(DATOS!$G575="EX",1,IF(DATOS!$G575="OR",--(COUNTIFS(nNIA,DATOS!$A575,nCURSO,DATOS!$D575,nESPEC,DATOS!$E575,nASIG,DATOS!$I575,nEVAL,"EX")=0),0))))</f>
      </c>
      <c r="H575">
        <f>IF(DATOS!$G575&lt;&gt;"EX",0,--(COUNTIFS(nNIA,DATOS!$A575,nCURSO,DATOS!$D575,nESPEC,DATOS!$E575,nASIG,DATOS!$I575,nEVAL,"OR")=0))</f>
      </c>
      <c r="I575">
        <f>IF(DATOS!$I575="","",IFERROR(VLOOKUP(DATOS!$I575,CONFIG_ASIGNATURAS!$B$2:$J$91,9,FALSE()),""))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IF(DATOS!$A576="",0,IF(CONFIG_METADATA!$B$4&lt;&gt;"OR+EX",--(DATOS!$G576=CONFIG_METADATA!$B$4),IF(DATOS!$G576="EX",1,IF(DATOS!$G576="OR",--(COUNTIFS(nNIA,DATOS!$A576,nCURSO,DATOS!$D576,nESPEC,DATOS!$E576,nASIG,DATOS!$I576,nEVAL,"EX")=0),0))))</f>
      </c>
      <c r="H576">
        <f>IF(DATOS!$G576&lt;&gt;"EX",0,--(COUNTIFS(nNIA,DATOS!$A576,nCURSO,DATOS!$D576,nESPEC,DATOS!$E576,nASIG,DATOS!$I576,nEVAL,"OR")=0))</f>
      </c>
      <c r="I576">
        <f>IF(DATOS!$I576="","",IFERROR(VLOOKUP(DATOS!$I576,CONFIG_ASIGNATURAS!$B$2:$J$91,9,FALSE()),""))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IF(DATOS!$A577="",0,IF(CONFIG_METADATA!$B$4&lt;&gt;"OR+EX",--(DATOS!$G577=CONFIG_METADATA!$B$4),IF(DATOS!$G577="EX",1,IF(DATOS!$G577="OR",--(COUNTIFS(nNIA,DATOS!$A577,nCURSO,DATOS!$D577,nESPEC,DATOS!$E577,nASIG,DATOS!$I577,nEVAL,"EX")=0),0))))</f>
      </c>
      <c r="H577">
        <f>IF(DATOS!$G577&lt;&gt;"EX",0,--(COUNTIFS(nNIA,DATOS!$A577,nCURSO,DATOS!$D577,nESPEC,DATOS!$E577,nASIG,DATOS!$I577,nEVAL,"OR")=0))</f>
      </c>
      <c r="I577">
        <f>IF(DATOS!$I577="","",IFERROR(VLOOKUP(DATOS!$I577,CONFIG_ASIGNATURAS!$B$2:$J$91,9,FALSE()),""))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IF(DATOS!$A578="",0,IF(CONFIG_METADATA!$B$4&lt;&gt;"OR+EX",--(DATOS!$G578=CONFIG_METADATA!$B$4),IF(DATOS!$G578="EX",1,IF(DATOS!$G578="OR",--(COUNTIFS(nNIA,DATOS!$A578,nCURSO,DATOS!$D578,nESPEC,DATOS!$E578,nASIG,DATOS!$I578,nEVAL,"EX")=0),0))))</f>
      </c>
      <c r="H578">
        <f>IF(DATOS!$G578&lt;&gt;"EX",0,--(COUNTIFS(nNIA,DATOS!$A578,nCURSO,DATOS!$D578,nESPEC,DATOS!$E578,nASIG,DATOS!$I578,nEVAL,"OR")=0))</f>
      </c>
      <c r="I578">
        <f>IF(DATOS!$I578="","",IFERROR(VLOOKUP(DATOS!$I578,CONFIG_ASIGNATURAS!$B$2:$J$91,9,FALSE()),""))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IF(DATOS!$A579="",0,IF(CONFIG_METADATA!$B$4&lt;&gt;"OR+EX",--(DATOS!$G579=CONFIG_METADATA!$B$4),IF(DATOS!$G579="EX",1,IF(DATOS!$G579="OR",--(COUNTIFS(nNIA,DATOS!$A579,nCURSO,DATOS!$D579,nESPEC,DATOS!$E579,nASIG,DATOS!$I579,nEVAL,"EX")=0),0))))</f>
      </c>
      <c r="H579">
        <f>IF(DATOS!$G579&lt;&gt;"EX",0,--(COUNTIFS(nNIA,DATOS!$A579,nCURSO,DATOS!$D579,nESPEC,DATOS!$E579,nASIG,DATOS!$I579,nEVAL,"OR")=0))</f>
      </c>
      <c r="I579">
        <f>IF(DATOS!$I579="","",IFERROR(VLOOKUP(DATOS!$I579,CONFIG_ASIGNATURAS!$B$2:$J$91,9,FALSE()),""))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IF(DATOS!$A580="",0,IF(CONFIG_METADATA!$B$4&lt;&gt;"OR+EX",--(DATOS!$G580=CONFIG_METADATA!$B$4),IF(DATOS!$G580="EX",1,IF(DATOS!$G580="OR",--(COUNTIFS(nNIA,DATOS!$A580,nCURSO,DATOS!$D580,nESPEC,DATOS!$E580,nASIG,DATOS!$I580,nEVAL,"EX")=0),0))))</f>
      </c>
      <c r="H580">
        <f>IF(DATOS!$G580&lt;&gt;"EX",0,--(COUNTIFS(nNIA,DATOS!$A580,nCURSO,DATOS!$D580,nESPEC,DATOS!$E580,nASIG,DATOS!$I580,nEVAL,"OR")=0))</f>
      </c>
      <c r="I580">
        <f>IF(DATOS!$I580="","",IFERROR(VLOOKUP(DATOS!$I580,CONFIG_ASIGNATURAS!$B$2:$J$91,9,FALSE()),""))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IF(DATOS!$A581="",0,IF(CONFIG_METADATA!$B$4&lt;&gt;"OR+EX",--(DATOS!$G581=CONFIG_METADATA!$B$4),IF(DATOS!$G581="EX",1,IF(DATOS!$G581="OR",--(COUNTIFS(nNIA,DATOS!$A581,nCURSO,DATOS!$D581,nESPEC,DATOS!$E581,nASIG,DATOS!$I581,nEVAL,"EX")=0),0))))</f>
      </c>
      <c r="H581">
        <f>IF(DATOS!$G581&lt;&gt;"EX",0,--(COUNTIFS(nNIA,DATOS!$A581,nCURSO,DATOS!$D581,nESPEC,DATOS!$E581,nASIG,DATOS!$I581,nEVAL,"OR")=0))</f>
      </c>
      <c r="I581">
        <f>IF(DATOS!$I581="","",IFERROR(VLOOKUP(DATOS!$I581,CONFIG_ASIGNATURAS!$B$2:$J$91,9,FALSE()),""))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IF(DATOS!$A582="",0,IF(CONFIG_METADATA!$B$4&lt;&gt;"OR+EX",--(DATOS!$G582=CONFIG_METADATA!$B$4),IF(DATOS!$G582="EX",1,IF(DATOS!$G582="OR",--(COUNTIFS(nNIA,DATOS!$A582,nCURSO,DATOS!$D582,nESPEC,DATOS!$E582,nASIG,DATOS!$I582,nEVAL,"EX")=0),0))))</f>
      </c>
      <c r="H582">
        <f>IF(DATOS!$G582&lt;&gt;"EX",0,--(COUNTIFS(nNIA,DATOS!$A582,nCURSO,DATOS!$D582,nESPEC,DATOS!$E582,nASIG,DATOS!$I582,nEVAL,"OR")=0))</f>
      </c>
      <c r="I582">
        <f>IF(DATOS!$I582="","",IFERROR(VLOOKUP(DATOS!$I582,CONFIG_ASIGNATURAS!$B$2:$J$91,9,FALSE()),""))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IF(DATOS!$A583="",0,IF(CONFIG_METADATA!$B$4&lt;&gt;"OR+EX",--(DATOS!$G583=CONFIG_METADATA!$B$4),IF(DATOS!$G583="EX",1,IF(DATOS!$G583="OR",--(COUNTIFS(nNIA,DATOS!$A583,nCURSO,DATOS!$D583,nESPEC,DATOS!$E583,nASIG,DATOS!$I583,nEVAL,"EX")=0),0))))</f>
      </c>
      <c r="H583">
        <f>IF(DATOS!$G583&lt;&gt;"EX",0,--(COUNTIFS(nNIA,DATOS!$A583,nCURSO,DATOS!$D583,nESPEC,DATOS!$E583,nASIG,DATOS!$I583,nEVAL,"OR")=0))</f>
      </c>
      <c r="I583">
        <f>IF(DATOS!$I583="","",IFERROR(VLOOKUP(DATOS!$I583,CONFIG_ASIGNATURAS!$B$2:$J$91,9,FALSE()),""))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IF(DATOS!$A584="",0,IF(CONFIG_METADATA!$B$4&lt;&gt;"OR+EX",--(DATOS!$G584=CONFIG_METADATA!$B$4),IF(DATOS!$G584="EX",1,IF(DATOS!$G584="OR",--(COUNTIFS(nNIA,DATOS!$A584,nCURSO,DATOS!$D584,nESPEC,DATOS!$E584,nASIG,DATOS!$I584,nEVAL,"EX")=0),0))))</f>
      </c>
      <c r="H584">
        <f>IF(DATOS!$G584&lt;&gt;"EX",0,--(COUNTIFS(nNIA,DATOS!$A584,nCURSO,DATOS!$D584,nESPEC,DATOS!$E584,nASIG,DATOS!$I584,nEVAL,"OR")=0))</f>
      </c>
      <c r="I584">
        <f>IF(DATOS!$I584="","",IFERROR(VLOOKUP(DATOS!$I584,CONFIG_ASIGNATURAS!$B$2:$J$91,9,FALSE()),""))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IF(DATOS!$A585="",0,IF(CONFIG_METADATA!$B$4&lt;&gt;"OR+EX",--(DATOS!$G585=CONFIG_METADATA!$B$4),IF(DATOS!$G585="EX",1,IF(DATOS!$G585="OR",--(COUNTIFS(nNIA,DATOS!$A585,nCURSO,DATOS!$D585,nESPEC,DATOS!$E585,nASIG,DATOS!$I585,nEVAL,"EX")=0),0))))</f>
      </c>
      <c r="H585">
        <f>IF(DATOS!$G585&lt;&gt;"EX",0,--(COUNTIFS(nNIA,DATOS!$A585,nCURSO,DATOS!$D585,nESPEC,DATOS!$E585,nASIG,DATOS!$I585,nEVAL,"OR")=0))</f>
      </c>
      <c r="I585">
        <f>IF(DATOS!$I585="","",IFERROR(VLOOKUP(DATOS!$I585,CONFIG_ASIGNATURAS!$B$2:$J$91,9,FALSE()),""))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IF(DATOS!$A586="",0,IF(CONFIG_METADATA!$B$4&lt;&gt;"OR+EX",--(DATOS!$G586=CONFIG_METADATA!$B$4),IF(DATOS!$G586="EX",1,IF(DATOS!$G586="OR",--(COUNTIFS(nNIA,DATOS!$A586,nCURSO,DATOS!$D586,nESPEC,DATOS!$E586,nASIG,DATOS!$I586,nEVAL,"EX")=0),0))))</f>
      </c>
      <c r="H586">
        <f>IF(DATOS!$G586&lt;&gt;"EX",0,--(COUNTIFS(nNIA,DATOS!$A586,nCURSO,DATOS!$D586,nESPEC,DATOS!$E586,nASIG,DATOS!$I586,nEVAL,"OR")=0))</f>
      </c>
      <c r="I586">
        <f>IF(DATOS!$I586="","",IFERROR(VLOOKUP(DATOS!$I586,CONFIG_ASIGNATURAS!$B$2:$J$91,9,FALSE()),""))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IF(DATOS!$A587="",0,IF(CONFIG_METADATA!$B$4&lt;&gt;"OR+EX",--(DATOS!$G587=CONFIG_METADATA!$B$4),IF(DATOS!$G587="EX",1,IF(DATOS!$G587="OR",--(COUNTIFS(nNIA,DATOS!$A587,nCURSO,DATOS!$D587,nESPEC,DATOS!$E587,nASIG,DATOS!$I587,nEVAL,"EX")=0),0))))</f>
      </c>
      <c r="H587">
        <f>IF(DATOS!$G587&lt;&gt;"EX",0,--(COUNTIFS(nNIA,DATOS!$A587,nCURSO,DATOS!$D587,nESPEC,DATOS!$E587,nASIG,DATOS!$I587,nEVAL,"OR")=0))</f>
      </c>
      <c r="I587">
        <f>IF(DATOS!$I587="","",IFERROR(VLOOKUP(DATOS!$I587,CONFIG_ASIGNATURAS!$B$2:$J$91,9,FALSE()),""))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IF(DATOS!$A588="",0,IF(CONFIG_METADATA!$B$4&lt;&gt;"OR+EX",--(DATOS!$G588=CONFIG_METADATA!$B$4),IF(DATOS!$G588="EX",1,IF(DATOS!$G588="OR",--(COUNTIFS(nNIA,DATOS!$A588,nCURSO,DATOS!$D588,nESPEC,DATOS!$E588,nASIG,DATOS!$I588,nEVAL,"EX")=0),0))))</f>
      </c>
      <c r="H588">
        <f>IF(DATOS!$G588&lt;&gt;"EX",0,--(COUNTIFS(nNIA,DATOS!$A588,nCURSO,DATOS!$D588,nESPEC,DATOS!$E588,nASIG,DATOS!$I588,nEVAL,"OR")=0))</f>
      </c>
      <c r="I588">
        <f>IF(DATOS!$I588="","",IFERROR(VLOOKUP(DATOS!$I588,CONFIG_ASIGNATURAS!$B$2:$J$91,9,FALSE()),""))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IF(DATOS!$A589="",0,IF(CONFIG_METADATA!$B$4&lt;&gt;"OR+EX",--(DATOS!$G589=CONFIG_METADATA!$B$4),IF(DATOS!$G589="EX",1,IF(DATOS!$G589="OR",--(COUNTIFS(nNIA,DATOS!$A589,nCURSO,DATOS!$D589,nESPEC,DATOS!$E589,nASIG,DATOS!$I589,nEVAL,"EX")=0),0))))</f>
      </c>
      <c r="H589">
        <f>IF(DATOS!$G589&lt;&gt;"EX",0,--(COUNTIFS(nNIA,DATOS!$A589,nCURSO,DATOS!$D589,nESPEC,DATOS!$E589,nASIG,DATOS!$I589,nEVAL,"OR")=0))</f>
      </c>
      <c r="I589">
        <f>IF(DATOS!$I589="","",IFERROR(VLOOKUP(DATOS!$I589,CONFIG_ASIGNATURAS!$B$2:$J$91,9,FALSE()),""))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IF(DATOS!$A590="",0,IF(CONFIG_METADATA!$B$4&lt;&gt;"OR+EX",--(DATOS!$G590=CONFIG_METADATA!$B$4),IF(DATOS!$G590="EX",1,IF(DATOS!$G590="OR",--(COUNTIFS(nNIA,DATOS!$A590,nCURSO,DATOS!$D590,nESPEC,DATOS!$E590,nASIG,DATOS!$I590,nEVAL,"EX")=0),0))))</f>
      </c>
      <c r="H590">
        <f>IF(DATOS!$G590&lt;&gt;"EX",0,--(COUNTIFS(nNIA,DATOS!$A590,nCURSO,DATOS!$D590,nESPEC,DATOS!$E590,nASIG,DATOS!$I590,nEVAL,"OR")=0))</f>
      </c>
      <c r="I590">
        <f>IF(DATOS!$I590="","",IFERROR(VLOOKUP(DATOS!$I590,CONFIG_ASIGNATURAS!$B$2:$J$91,9,FALSE()),""))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IF(DATOS!$A591="",0,IF(CONFIG_METADATA!$B$4&lt;&gt;"OR+EX",--(DATOS!$G591=CONFIG_METADATA!$B$4),IF(DATOS!$G591="EX",1,IF(DATOS!$G591="OR",--(COUNTIFS(nNIA,DATOS!$A591,nCURSO,DATOS!$D591,nESPEC,DATOS!$E591,nASIG,DATOS!$I591,nEVAL,"EX")=0),0))))</f>
      </c>
      <c r="H591">
        <f>IF(DATOS!$G591&lt;&gt;"EX",0,--(COUNTIFS(nNIA,DATOS!$A591,nCURSO,DATOS!$D591,nESPEC,DATOS!$E591,nASIG,DATOS!$I591,nEVAL,"OR")=0))</f>
      </c>
      <c r="I591">
        <f>IF(DATOS!$I591="","",IFERROR(VLOOKUP(DATOS!$I591,CONFIG_ASIGNATURAS!$B$2:$J$91,9,FALSE()),""))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IF(DATOS!$A592="",0,IF(CONFIG_METADATA!$B$4&lt;&gt;"OR+EX",--(DATOS!$G592=CONFIG_METADATA!$B$4),IF(DATOS!$G592="EX",1,IF(DATOS!$G592="OR",--(COUNTIFS(nNIA,DATOS!$A592,nCURSO,DATOS!$D592,nESPEC,DATOS!$E592,nASIG,DATOS!$I592,nEVAL,"EX")=0),0))))</f>
      </c>
      <c r="H592">
        <f>IF(DATOS!$G592&lt;&gt;"EX",0,--(COUNTIFS(nNIA,DATOS!$A592,nCURSO,DATOS!$D592,nESPEC,DATOS!$E592,nASIG,DATOS!$I592,nEVAL,"OR")=0))</f>
      </c>
      <c r="I592">
        <f>IF(DATOS!$I592="","",IFERROR(VLOOKUP(DATOS!$I592,CONFIG_ASIGNATURAS!$B$2:$J$91,9,FALSE()),""))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IF(DATOS!$A593="",0,IF(CONFIG_METADATA!$B$4&lt;&gt;"OR+EX",--(DATOS!$G593=CONFIG_METADATA!$B$4),IF(DATOS!$G593="EX",1,IF(DATOS!$G593="OR",--(COUNTIFS(nNIA,DATOS!$A593,nCURSO,DATOS!$D593,nESPEC,DATOS!$E593,nASIG,DATOS!$I593,nEVAL,"EX")=0),0))))</f>
      </c>
      <c r="H593">
        <f>IF(DATOS!$G593&lt;&gt;"EX",0,--(COUNTIFS(nNIA,DATOS!$A593,nCURSO,DATOS!$D593,nESPEC,DATOS!$E593,nASIG,DATOS!$I593,nEVAL,"OR")=0))</f>
      </c>
      <c r="I593">
        <f>IF(DATOS!$I593="","",IFERROR(VLOOKUP(DATOS!$I593,CONFIG_ASIGNATURAS!$B$2:$J$91,9,FALSE()),""))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IF(DATOS!$A594="",0,IF(CONFIG_METADATA!$B$4&lt;&gt;"OR+EX",--(DATOS!$G594=CONFIG_METADATA!$B$4),IF(DATOS!$G594="EX",1,IF(DATOS!$G594="OR",--(COUNTIFS(nNIA,DATOS!$A594,nCURSO,DATOS!$D594,nESPEC,DATOS!$E594,nASIG,DATOS!$I594,nEVAL,"EX")=0),0))))</f>
      </c>
      <c r="H594">
        <f>IF(DATOS!$G594&lt;&gt;"EX",0,--(COUNTIFS(nNIA,DATOS!$A594,nCURSO,DATOS!$D594,nESPEC,DATOS!$E594,nASIG,DATOS!$I594,nEVAL,"OR")=0))</f>
      </c>
      <c r="I594">
        <f>IF(DATOS!$I594="","",IFERROR(VLOOKUP(DATOS!$I594,CONFIG_ASIGNATURAS!$B$2:$J$91,9,FALSE()),""))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IF(DATOS!$A595="",0,IF(CONFIG_METADATA!$B$4&lt;&gt;"OR+EX",--(DATOS!$G595=CONFIG_METADATA!$B$4),IF(DATOS!$G595="EX",1,IF(DATOS!$G595="OR",--(COUNTIFS(nNIA,DATOS!$A595,nCURSO,DATOS!$D595,nESPEC,DATOS!$E595,nASIG,DATOS!$I595,nEVAL,"EX")=0),0))))</f>
      </c>
      <c r="H595">
        <f>IF(DATOS!$G595&lt;&gt;"EX",0,--(COUNTIFS(nNIA,DATOS!$A595,nCURSO,DATOS!$D595,nESPEC,DATOS!$E595,nASIG,DATOS!$I595,nEVAL,"OR")=0))</f>
      </c>
      <c r="I595">
        <f>IF(DATOS!$I595="","",IFERROR(VLOOKUP(DATOS!$I595,CONFIG_ASIGNATURAS!$B$2:$J$91,9,FALSE()),""))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IF(DATOS!$A596="",0,IF(CONFIG_METADATA!$B$4&lt;&gt;"OR+EX",--(DATOS!$G596=CONFIG_METADATA!$B$4),IF(DATOS!$G596="EX",1,IF(DATOS!$G596="OR",--(COUNTIFS(nNIA,DATOS!$A596,nCURSO,DATOS!$D596,nESPEC,DATOS!$E596,nASIG,DATOS!$I596,nEVAL,"EX")=0),0))))</f>
      </c>
      <c r="H596">
        <f>IF(DATOS!$G596&lt;&gt;"EX",0,--(COUNTIFS(nNIA,DATOS!$A596,nCURSO,DATOS!$D596,nESPEC,DATOS!$E596,nASIG,DATOS!$I596,nEVAL,"OR")=0))</f>
      </c>
      <c r="I596">
        <f>IF(DATOS!$I596="","",IFERROR(VLOOKUP(DATOS!$I596,CONFIG_ASIGNATURAS!$B$2:$J$91,9,FALSE()),""))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IF(DATOS!$A597="",0,IF(CONFIG_METADATA!$B$4&lt;&gt;"OR+EX",--(DATOS!$G597=CONFIG_METADATA!$B$4),IF(DATOS!$G597="EX",1,IF(DATOS!$G597="OR",--(COUNTIFS(nNIA,DATOS!$A597,nCURSO,DATOS!$D597,nESPEC,DATOS!$E597,nASIG,DATOS!$I597,nEVAL,"EX")=0),0))))</f>
      </c>
      <c r="H597">
        <f>IF(DATOS!$G597&lt;&gt;"EX",0,--(COUNTIFS(nNIA,DATOS!$A597,nCURSO,DATOS!$D597,nESPEC,DATOS!$E597,nASIG,DATOS!$I597,nEVAL,"OR")=0))</f>
      </c>
      <c r="I597">
        <f>IF(DATOS!$I597="","",IFERROR(VLOOKUP(DATOS!$I597,CONFIG_ASIGNATURAS!$B$2:$J$91,9,FALSE()),""))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IF(DATOS!$A598="",0,IF(CONFIG_METADATA!$B$4&lt;&gt;"OR+EX",--(DATOS!$G598=CONFIG_METADATA!$B$4),IF(DATOS!$G598="EX",1,IF(DATOS!$G598="OR",--(COUNTIFS(nNIA,DATOS!$A598,nCURSO,DATOS!$D598,nESPEC,DATOS!$E598,nASIG,DATOS!$I598,nEVAL,"EX")=0),0))))</f>
      </c>
      <c r="H598">
        <f>IF(DATOS!$G598&lt;&gt;"EX",0,--(COUNTIFS(nNIA,DATOS!$A598,nCURSO,DATOS!$D598,nESPEC,DATOS!$E598,nASIG,DATOS!$I598,nEVAL,"OR")=0))</f>
      </c>
      <c r="I598">
        <f>IF(DATOS!$I598="","",IFERROR(VLOOKUP(DATOS!$I598,CONFIG_ASIGNATURAS!$B$2:$J$91,9,FALSE()),""))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IF(DATOS!$A599="",0,IF(CONFIG_METADATA!$B$4&lt;&gt;"OR+EX",--(DATOS!$G599=CONFIG_METADATA!$B$4),IF(DATOS!$G599="EX",1,IF(DATOS!$G599="OR",--(COUNTIFS(nNIA,DATOS!$A599,nCURSO,DATOS!$D599,nESPEC,DATOS!$E599,nASIG,DATOS!$I599,nEVAL,"EX")=0),0))))</f>
      </c>
      <c r="H599">
        <f>IF(DATOS!$G599&lt;&gt;"EX",0,--(COUNTIFS(nNIA,DATOS!$A599,nCURSO,DATOS!$D599,nESPEC,DATOS!$E599,nASIG,DATOS!$I599,nEVAL,"OR")=0))</f>
      </c>
      <c r="I599">
        <f>IF(DATOS!$I599="","",IFERROR(VLOOKUP(DATOS!$I599,CONFIG_ASIGNATURAS!$B$2:$J$91,9,FALSE()),""))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IF(DATOS!$A600="",0,IF(CONFIG_METADATA!$B$4&lt;&gt;"OR+EX",--(DATOS!$G600=CONFIG_METADATA!$B$4),IF(DATOS!$G600="EX",1,IF(DATOS!$G600="OR",--(COUNTIFS(nNIA,DATOS!$A600,nCURSO,DATOS!$D600,nESPEC,DATOS!$E600,nASIG,DATOS!$I600,nEVAL,"EX")=0),0))))</f>
      </c>
      <c r="H600">
        <f>IF(DATOS!$G600&lt;&gt;"EX",0,--(COUNTIFS(nNIA,DATOS!$A600,nCURSO,DATOS!$D600,nESPEC,DATOS!$E600,nASIG,DATOS!$I600,nEVAL,"OR")=0))</f>
      </c>
      <c r="I600">
        <f>IF(DATOS!$I600="","",IFERROR(VLOOKUP(DATOS!$I600,CONFIG_ASIGNATURAS!$B$2:$J$91,9,FALSE()),""))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IF(DATOS!$A601="",0,IF(CONFIG_METADATA!$B$4&lt;&gt;"OR+EX",--(DATOS!$G601=CONFIG_METADATA!$B$4),IF(DATOS!$G601="EX",1,IF(DATOS!$G601="OR",--(COUNTIFS(nNIA,DATOS!$A601,nCURSO,DATOS!$D601,nESPEC,DATOS!$E601,nASIG,DATOS!$I601,nEVAL,"EX")=0),0))))</f>
      </c>
      <c r="H601">
        <f>IF(DATOS!$G601&lt;&gt;"EX",0,--(COUNTIFS(nNIA,DATOS!$A601,nCURSO,DATOS!$D601,nESPEC,DATOS!$E601,nASIG,DATOS!$I601,nEVAL,"OR")=0))</f>
      </c>
      <c r="I601">
        <f>IF(DATOS!$I601="","",IFERROR(VLOOKUP(DATOS!$I601,CONFIG_ASIGNATURAS!$B$2:$J$91,9,FALSE()),""))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IF(DATOS!$A602="",0,IF(CONFIG_METADATA!$B$4&lt;&gt;"OR+EX",--(DATOS!$G602=CONFIG_METADATA!$B$4),IF(DATOS!$G602="EX",1,IF(DATOS!$G602="OR",--(COUNTIFS(nNIA,DATOS!$A602,nCURSO,DATOS!$D602,nESPEC,DATOS!$E602,nASIG,DATOS!$I602,nEVAL,"EX")=0),0))))</f>
      </c>
      <c r="H602">
        <f>IF(DATOS!$G602&lt;&gt;"EX",0,--(COUNTIFS(nNIA,DATOS!$A602,nCURSO,DATOS!$D602,nESPEC,DATOS!$E602,nASIG,DATOS!$I602,nEVAL,"OR")=0))</f>
      </c>
      <c r="I602">
        <f>IF(DATOS!$I602="","",IFERROR(VLOOKUP(DATOS!$I602,CONFIG_ASIGNATURAS!$B$2:$J$91,9,FALSE()),""))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IF(DATOS!$A603="",0,IF(CONFIG_METADATA!$B$4&lt;&gt;"OR+EX",--(DATOS!$G603=CONFIG_METADATA!$B$4),IF(DATOS!$G603="EX",1,IF(DATOS!$G603="OR",--(COUNTIFS(nNIA,DATOS!$A603,nCURSO,DATOS!$D603,nESPEC,DATOS!$E603,nASIG,DATOS!$I603,nEVAL,"EX")=0),0))))</f>
      </c>
      <c r="H603">
        <f>IF(DATOS!$G603&lt;&gt;"EX",0,--(COUNTIFS(nNIA,DATOS!$A603,nCURSO,DATOS!$D603,nESPEC,DATOS!$E603,nASIG,DATOS!$I603,nEVAL,"OR")=0))</f>
      </c>
      <c r="I603">
        <f>IF(DATOS!$I603="","",IFERROR(VLOOKUP(DATOS!$I603,CONFIG_ASIGNATURAS!$B$2:$J$91,9,FALSE()),""))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IF(DATOS!$A604="",0,IF(CONFIG_METADATA!$B$4&lt;&gt;"OR+EX",--(DATOS!$G604=CONFIG_METADATA!$B$4),IF(DATOS!$G604="EX",1,IF(DATOS!$G604="OR",--(COUNTIFS(nNIA,DATOS!$A604,nCURSO,DATOS!$D604,nESPEC,DATOS!$E604,nASIG,DATOS!$I604,nEVAL,"EX")=0),0))))</f>
      </c>
      <c r="H604">
        <f>IF(DATOS!$G604&lt;&gt;"EX",0,--(COUNTIFS(nNIA,DATOS!$A604,nCURSO,DATOS!$D604,nESPEC,DATOS!$E604,nASIG,DATOS!$I604,nEVAL,"OR")=0))</f>
      </c>
      <c r="I604">
        <f>IF(DATOS!$I604="","",IFERROR(VLOOKUP(DATOS!$I604,CONFIG_ASIGNATURAS!$B$2:$J$91,9,FALSE()),""))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IF(DATOS!$A605="",0,IF(CONFIG_METADATA!$B$4&lt;&gt;"OR+EX",--(DATOS!$G605=CONFIG_METADATA!$B$4),IF(DATOS!$G605="EX",1,IF(DATOS!$G605="OR",--(COUNTIFS(nNIA,DATOS!$A605,nCURSO,DATOS!$D605,nESPEC,DATOS!$E605,nASIG,DATOS!$I605,nEVAL,"EX")=0),0))))</f>
      </c>
      <c r="H605">
        <f>IF(DATOS!$G605&lt;&gt;"EX",0,--(COUNTIFS(nNIA,DATOS!$A605,nCURSO,DATOS!$D605,nESPEC,DATOS!$E605,nASIG,DATOS!$I605,nEVAL,"OR")=0))</f>
      </c>
      <c r="I605">
        <f>IF(DATOS!$I605="","",IFERROR(VLOOKUP(DATOS!$I605,CONFIG_ASIGNATURAS!$B$2:$J$91,9,FALSE()),""))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IF(DATOS!$A606="",0,IF(CONFIG_METADATA!$B$4&lt;&gt;"OR+EX",--(DATOS!$G606=CONFIG_METADATA!$B$4),IF(DATOS!$G606="EX",1,IF(DATOS!$G606="OR",--(COUNTIFS(nNIA,DATOS!$A606,nCURSO,DATOS!$D606,nESPEC,DATOS!$E606,nASIG,DATOS!$I606,nEVAL,"EX")=0),0))))</f>
      </c>
      <c r="H606">
        <f>IF(DATOS!$G606&lt;&gt;"EX",0,--(COUNTIFS(nNIA,DATOS!$A606,nCURSO,DATOS!$D606,nESPEC,DATOS!$E606,nASIG,DATOS!$I606,nEVAL,"OR")=0))</f>
      </c>
      <c r="I606">
        <f>IF(DATOS!$I606="","",IFERROR(VLOOKUP(DATOS!$I606,CONFIG_ASIGNATURAS!$B$2:$J$91,9,FALSE()),""))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IF(DATOS!$A607="",0,IF(CONFIG_METADATA!$B$4&lt;&gt;"OR+EX",--(DATOS!$G607=CONFIG_METADATA!$B$4),IF(DATOS!$G607="EX",1,IF(DATOS!$G607="OR",--(COUNTIFS(nNIA,DATOS!$A607,nCURSO,DATOS!$D607,nESPEC,DATOS!$E607,nASIG,DATOS!$I607,nEVAL,"EX")=0),0))))</f>
      </c>
      <c r="H607">
        <f>IF(DATOS!$G607&lt;&gt;"EX",0,--(COUNTIFS(nNIA,DATOS!$A607,nCURSO,DATOS!$D607,nESPEC,DATOS!$E607,nASIG,DATOS!$I607,nEVAL,"OR")=0))</f>
      </c>
      <c r="I607">
        <f>IF(DATOS!$I607="","",IFERROR(VLOOKUP(DATOS!$I607,CONFIG_ASIGNATURAS!$B$2:$J$91,9,FALSE()),""))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IF(DATOS!$A608="",0,IF(CONFIG_METADATA!$B$4&lt;&gt;"OR+EX",--(DATOS!$G608=CONFIG_METADATA!$B$4),IF(DATOS!$G608="EX",1,IF(DATOS!$G608="OR",--(COUNTIFS(nNIA,DATOS!$A608,nCURSO,DATOS!$D608,nESPEC,DATOS!$E608,nASIG,DATOS!$I608,nEVAL,"EX")=0),0))))</f>
      </c>
      <c r="H608">
        <f>IF(DATOS!$G608&lt;&gt;"EX",0,--(COUNTIFS(nNIA,DATOS!$A608,nCURSO,DATOS!$D608,nESPEC,DATOS!$E608,nASIG,DATOS!$I608,nEVAL,"OR")=0))</f>
      </c>
      <c r="I608">
        <f>IF(DATOS!$I608="","",IFERROR(VLOOKUP(DATOS!$I608,CONFIG_ASIGNATURAS!$B$2:$J$91,9,FALSE()),""))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IF(DATOS!$A609="",0,IF(CONFIG_METADATA!$B$4&lt;&gt;"OR+EX",--(DATOS!$G609=CONFIG_METADATA!$B$4),IF(DATOS!$G609="EX",1,IF(DATOS!$G609="OR",--(COUNTIFS(nNIA,DATOS!$A609,nCURSO,DATOS!$D609,nESPEC,DATOS!$E609,nASIG,DATOS!$I609,nEVAL,"EX")=0),0))))</f>
      </c>
      <c r="H609">
        <f>IF(DATOS!$G609&lt;&gt;"EX",0,--(COUNTIFS(nNIA,DATOS!$A609,nCURSO,DATOS!$D609,nESPEC,DATOS!$E609,nASIG,DATOS!$I609,nEVAL,"OR")=0))</f>
      </c>
      <c r="I609">
        <f>IF(DATOS!$I609="","",IFERROR(VLOOKUP(DATOS!$I609,CONFIG_ASIGNATURAS!$B$2:$J$91,9,FALSE()),""))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IF(DATOS!$A610="",0,IF(CONFIG_METADATA!$B$4&lt;&gt;"OR+EX",--(DATOS!$G610=CONFIG_METADATA!$B$4),IF(DATOS!$G610="EX",1,IF(DATOS!$G610="OR",--(COUNTIFS(nNIA,DATOS!$A610,nCURSO,DATOS!$D610,nESPEC,DATOS!$E610,nASIG,DATOS!$I610,nEVAL,"EX")=0),0))))</f>
      </c>
      <c r="H610">
        <f>IF(DATOS!$G610&lt;&gt;"EX",0,--(COUNTIFS(nNIA,DATOS!$A610,nCURSO,DATOS!$D610,nESPEC,DATOS!$E610,nASIG,DATOS!$I610,nEVAL,"OR")=0))</f>
      </c>
      <c r="I610">
        <f>IF(DATOS!$I610="","",IFERROR(VLOOKUP(DATOS!$I610,CONFIG_ASIGNATURAS!$B$2:$J$91,9,FALSE()),""))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IF(DATOS!$A611="",0,IF(CONFIG_METADATA!$B$4&lt;&gt;"OR+EX",--(DATOS!$G611=CONFIG_METADATA!$B$4),IF(DATOS!$G611="EX",1,IF(DATOS!$G611="OR",--(COUNTIFS(nNIA,DATOS!$A611,nCURSO,DATOS!$D611,nESPEC,DATOS!$E611,nASIG,DATOS!$I611,nEVAL,"EX")=0),0))))</f>
      </c>
      <c r="H611">
        <f>IF(DATOS!$G611&lt;&gt;"EX",0,--(COUNTIFS(nNIA,DATOS!$A611,nCURSO,DATOS!$D611,nESPEC,DATOS!$E611,nASIG,DATOS!$I611,nEVAL,"OR")=0))</f>
      </c>
      <c r="I611">
        <f>IF(DATOS!$I611="","",IFERROR(VLOOKUP(DATOS!$I611,CONFIG_ASIGNATURAS!$B$2:$J$91,9,FALSE()),""))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IF(DATOS!$A612="",0,IF(CONFIG_METADATA!$B$4&lt;&gt;"OR+EX",--(DATOS!$G612=CONFIG_METADATA!$B$4),IF(DATOS!$G612="EX",1,IF(DATOS!$G612="OR",--(COUNTIFS(nNIA,DATOS!$A612,nCURSO,DATOS!$D612,nESPEC,DATOS!$E612,nASIG,DATOS!$I612,nEVAL,"EX")=0),0))))</f>
      </c>
      <c r="H612">
        <f>IF(DATOS!$G612&lt;&gt;"EX",0,--(COUNTIFS(nNIA,DATOS!$A612,nCURSO,DATOS!$D612,nESPEC,DATOS!$E612,nASIG,DATOS!$I612,nEVAL,"OR")=0))</f>
      </c>
      <c r="I612">
        <f>IF(DATOS!$I612="","",IFERROR(VLOOKUP(DATOS!$I612,CONFIG_ASIGNATURAS!$B$2:$J$91,9,FALSE()),""))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IF(DATOS!$A613="",0,IF(CONFIG_METADATA!$B$4&lt;&gt;"OR+EX",--(DATOS!$G613=CONFIG_METADATA!$B$4),IF(DATOS!$G613="EX",1,IF(DATOS!$G613="OR",--(COUNTIFS(nNIA,DATOS!$A613,nCURSO,DATOS!$D613,nESPEC,DATOS!$E613,nASIG,DATOS!$I613,nEVAL,"EX")=0),0))))</f>
      </c>
      <c r="H613">
        <f>IF(DATOS!$G613&lt;&gt;"EX",0,--(COUNTIFS(nNIA,DATOS!$A613,nCURSO,DATOS!$D613,nESPEC,DATOS!$E613,nASIG,DATOS!$I613,nEVAL,"OR")=0))</f>
      </c>
      <c r="I613">
        <f>IF(DATOS!$I613="","",IFERROR(VLOOKUP(DATOS!$I613,CONFIG_ASIGNATURAS!$B$2:$J$91,9,FALSE()),""))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IF(DATOS!$A614="",0,IF(CONFIG_METADATA!$B$4&lt;&gt;"OR+EX",--(DATOS!$G614=CONFIG_METADATA!$B$4),IF(DATOS!$G614="EX",1,IF(DATOS!$G614="OR",--(COUNTIFS(nNIA,DATOS!$A614,nCURSO,DATOS!$D614,nESPEC,DATOS!$E614,nASIG,DATOS!$I614,nEVAL,"EX")=0),0))))</f>
      </c>
      <c r="H614">
        <f>IF(DATOS!$G614&lt;&gt;"EX",0,--(COUNTIFS(nNIA,DATOS!$A614,nCURSO,DATOS!$D614,nESPEC,DATOS!$E614,nASIG,DATOS!$I614,nEVAL,"OR")=0))</f>
      </c>
      <c r="I614">
        <f>IF(DATOS!$I614="","",IFERROR(VLOOKUP(DATOS!$I614,CONFIG_ASIGNATURAS!$B$2:$J$91,9,FALSE()),""))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IF(DATOS!$A615="",0,IF(CONFIG_METADATA!$B$4&lt;&gt;"OR+EX",--(DATOS!$G615=CONFIG_METADATA!$B$4),IF(DATOS!$G615="EX",1,IF(DATOS!$G615="OR",--(COUNTIFS(nNIA,DATOS!$A615,nCURSO,DATOS!$D615,nESPEC,DATOS!$E615,nASIG,DATOS!$I615,nEVAL,"EX")=0),0))))</f>
      </c>
      <c r="H615">
        <f>IF(DATOS!$G615&lt;&gt;"EX",0,--(COUNTIFS(nNIA,DATOS!$A615,nCURSO,DATOS!$D615,nESPEC,DATOS!$E615,nASIG,DATOS!$I615,nEVAL,"OR")=0))</f>
      </c>
      <c r="I615">
        <f>IF(DATOS!$I615="","",IFERROR(VLOOKUP(DATOS!$I615,CONFIG_ASIGNATURAS!$B$2:$J$91,9,FALSE()),""))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IF(DATOS!$A616="",0,IF(CONFIG_METADATA!$B$4&lt;&gt;"OR+EX",--(DATOS!$G616=CONFIG_METADATA!$B$4),IF(DATOS!$G616="EX",1,IF(DATOS!$G616="OR",--(COUNTIFS(nNIA,DATOS!$A616,nCURSO,DATOS!$D616,nESPEC,DATOS!$E616,nASIG,DATOS!$I616,nEVAL,"EX")=0),0))))</f>
      </c>
      <c r="H616">
        <f>IF(DATOS!$G616&lt;&gt;"EX",0,--(COUNTIFS(nNIA,DATOS!$A616,nCURSO,DATOS!$D616,nESPEC,DATOS!$E616,nASIG,DATOS!$I616,nEVAL,"OR")=0))</f>
      </c>
      <c r="I616">
        <f>IF(DATOS!$I616="","",IFERROR(VLOOKUP(DATOS!$I616,CONFIG_ASIGNATURAS!$B$2:$J$91,9,FALSE()),""))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IF(DATOS!$A617="",0,IF(CONFIG_METADATA!$B$4&lt;&gt;"OR+EX",--(DATOS!$G617=CONFIG_METADATA!$B$4),IF(DATOS!$G617="EX",1,IF(DATOS!$G617="OR",--(COUNTIFS(nNIA,DATOS!$A617,nCURSO,DATOS!$D617,nESPEC,DATOS!$E617,nASIG,DATOS!$I617,nEVAL,"EX")=0),0))))</f>
      </c>
      <c r="H617">
        <f>IF(DATOS!$G617&lt;&gt;"EX",0,--(COUNTIFS(nNIA,DATOS!$A617,nCURSO,DATOS!$D617,nESPEC,DATOS!$E617,nASIG,DATOS!$I617,nEVAL,"OR")=0))</f>
      </c>
      <c r="I617">
        <f>IF(DATOS!$I617="","",IFERROR(VLOOKUP(DATOS!$I617,CONFIG_ASIGNATURAS!$B$2:$J$91,9,FALSE()),""))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IF(DATOS!$A618="",0,IF(CONFIG_METADATA!$B$4&lt;&gt;"OR+EX",--(DATOS!$G618=CONFIG_METADATA!$B$4),IF(DATOS!$G618="EX",1,IF(DATOS!$G618="OR",--(COUNTIFS(nNIA,DATOS!$A618,nCURSO,DATOS!$D618,nESPEC,DATOS!$E618,nASIG,DATOS!$I618,nEVAL,"EX")=0),0))))</f>
      </c>
      <c r="H618">
        <f>IF(DATOS!$G618&lt;&gt;"EX",0,--(COUNTIFS(nNIA,DATOS!$A618,nCURSO,DATOS!$D618,nESPEC,DATOS!$E618,nASIG,DATOS!$I618,nEVAL,"OR")=0))</f>
      </c>
      <c r="I618">
        <f>IF(DATOS!$I618="","",IFERROR(VLOOKUP(DATOS!$I618,CONFIG_ASIGNATURAS!$B$2:$J$91,9,FALSE()),""))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IF(DATOS!$A619="",0,IF(CONFIG_METADATA!$B$4&lt;&gt;"OR+EX",--(DATOS!$G619=CONFIG_METADATA!$B$4),IF(DATOS!$G619="EX",1,IF(DATOS!$G619="OR",--(COUNTIFS(nNIA,DATOS!$A619,nCURSO,DATOS!$D619,nESPEC,DATOS!$E619,nASIG,DATOS!$I619,nEVAL,"EX")=0),0))))</f>
      </c>
      <c r="H619">
        <f>IF(DATOS!$G619&lt;&gt;"EX",0,--(COUNTIFS(nNIA,DATOS!$A619,nCURSO,DATOS!$D619,nESPEC,DATOS!$E619,nASIG,DATOS!$I619,nEVAL,"OR")=0))</f>
      </c>
      <c r="I619">
        <f>IF(DATOS!$I619="","",IFERROR(VLOOKUP(DATOS!$I619,CONFIG_ASIGNATURAS!$B$2:$J$91,9,FALSE()),""))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IF(DATOS!$A620="",0,IF(CONFIG_METADATA!$B$4&lt;&gt;"OR+EX",--(DATOS!$G620=CONFIG_METADATA!$B$4),IF(DATOS!$G620="EX",1,IF(DATOS!$G620="OR",--(COUNTIFS(nNIA,DATOS!$A620,nCURSO,DATOS!$D620,nESPEC,DATOS!$E620,nASIG,DATOS!$I620,nEVAL,"EX")=0),0))))</f>
      </c>
      <c r="H620">
        <f>IF(DATOS!$G620&lt;&gt;"EX",0,--(COUNTIFS(nNIA,DATOS!$A620,nCURSO,DATOS!$D620,nESPEC,DATOS!$E620,nASIG,DATOS!$I620,nEVAL,"OR")=0))</f>
      </c>
      <c r="I620">
        <f>IF(DATOS!$I620="","",IFERROR(VLOOKUP(DATOS!$I620,CONFIG_ASIGNATURAS!$B$2:$J$91,9,FALSE()),""))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IF(DATOS!$A621="",0,IF(CONFIG_METADATA!$B$4&lt;&gt;"OR+EX",--(DATOS!$G621=CONFIG_METADATA!$B$4),IF(DATOS!$G621="EX",1,IF(DATOS!$G621="OR",--(COUNTIFS(nNIA,DATOS!$A621,nCURSO,DATOS!$D621,nESPEC,DATOS!$E621,nASIG,DATOS!$I621,nEVAL,"EX")=0),0))))</f>
      </c>
      <c r="H621">
        <f>IF(DATOS!$G621&lt;&gt;"EX",0,--(COUNTIFS(nNIA,DATOS!$A621,nCURSO,DATOS!$D621,nESPEC,DATOS!$E621,nASIG,DATOS!$I621,nEVAL,"OR")=0))</f>
      </c>
      <c r="I621">
        <f>IF(DATOS!$I621="","",IFERROR(VLOOKUP(DATOS!$I621,CONFIG_ASIGNATURAS!$B$2:$J$91,9,FALSE()),""))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IF(DATOS!$A622="",0,IF(CONFIG_METADATA!$B$4&lt;&gt;"OR+EX",--(DATOS!$G622=CONFIG_METADATA!$B$4),IF(DATOS!$G622="EX",1,IF(DATOS!$G622="OR",--(COUNTIFS(nNIA,DATOS!$A622,nCURSO,DATOS!$D622,nESPEC,DATOS!$E622,nASIG,DATOS!$I622,nEVAL,"EX")=0),0))))</f>
      </c>
      <c r="H622">
        <f>IF(DATOS!$G622&lt;&gt;"EX",0,--(COUNTIFS(nNIA,DATOS!$A622,nCURSO,DATOS!$D622,nESPEC,DATOS!$E622,nASIG,DATOS!$I622,nEVAL,"OR")=0))</f>
      </c>
      <c r="I622">
        <f>IF(DATOS!$I622="","",IFERROR(VLOOKUP(DATOS!$I622,CONFIG_ASIGNATURAS!$B$2:$J$91,9,FALSE()),""))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IF(DATOS!$A623="",0,IF(CONFIG_METADATA!$B$4&lt;&gt;"OR+EX",--(DATOS!$G623=CONFIG_METADATA!$B$4),IF(DATOS!$G623="EX",1,IF(DATOS!$G623="OR",--(COUNTIFS(nNIA,DATOS!$A623,nCURSO,DATOS!$D623,nESPEC,DATOS!$E623,nASIG,DATOS!$I623,nEVAL,"EX")=0),0))))</f>
      </c>
      <c r="H623">
        <f>IF(DATOS!$G623&lt;&gt;"EX",0,--(COUNTIFS(nNIA,DATOS!$A623,nCURSO,DATOS!$D623,nESPEC,DATOS!$E623,nASIG,DATOS!$I623,nEVAL,"OR")=0))</f>
      </c>
      <c r="I623">
        <f>IF(DATOS!$I623="","",IFERROR(VLOOKUP(DATOS!$I623,CONFIG_ASIGNATURAS!$B$2:$J$91,9,FALSE()),""))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IF(DATOS!$A624="",0,IF(CONFIG_METADATA!$B$4&lt;&gt;"OR+EX",--(DATOS!$G624=CONFIG_METADATA!$B$4),IF(DATOS!$G624="EX",1,IF(DATOS!$G624="OR",--(COUNTIFS(nNIA,DATOS!$A624,nCURSO,DATOS!$D624,nESPEC,DATOS!$E624,nASIG,DATOS!$I624,nEVAL,"EX")=0),0))))</f>
      </c>
      <c r="H624">
        <f>IF(DATOS!$G624&lt;&gt;"EX",0,--(COUNTIFS(nNIA,DATOS!$A624,nCURSO,DATOS!$D624,nESPEC,DATOS!$E624,nASIG,DATOS!$I624,nEVAL,"OR")=0))</f>
      </c>
      <c r="I624">
        <f>IF(DATOS!$I624="","",IFERROR(VLOOKUP(DATOS!$I624,CONFIG_ASIGNATURAS!$B$2:$J$91,9,FALSE()),""))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IF(DATOS!$A625="",0,IF(CONFIG_METADATA!$B$4&lt;&gt;"OR+EX",--(DATOS!$G625=CONFIG_METADATA!$B$4),IF(DATOS!$G625="EX",1,IF(DATOS!$G625="OR",--(COUNTIFS(nNIA,DATOS!$A625,nCURSO,DATOS!$D625,nESPEC,DATOS!$E625,nASIG,DATOS!$I625,nEVAL,"EX")=0),0))))</f>
      </c>
      <c r="H625">
        <f>IF(DATOS!$G625&lt;&gt;"EX",0,--(COUNTIFS(nNIA,DATOS!$A625,nCURSO,DATOS!$D625,nESPEC,DATOS!$E625,nASIG,DATOS!$I625,nEVAL,"OR")=0))</f>
      </c>
      <c r="I625">
        <f>IF(DATOS!$I625="","",IFERROR(VLOOKUP(DATOS!$I625,CONFIG_ASIGNATURAS!$B$2:$J$91,9,FALSE()),""))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IF(DATOS!$A626="",0,IF(CONFIG_METADATA!$B$4&lt;&gt;"OR+EX",--(DATOS!$G626=CONFIG_METADATA!$B$4),IF(DATOS!$G626="EX",1,IF(DATOS!$G626="OR",--(COUNTIFS(nNIA,DATOS!$A626,nCURSO,DATOS!$D626,nESPEC,DATOS!$E626,nASIG,DATOS!$I626,nEVAL,"EX")=0),0))))</f>
      </c>
      <c r="H626">
        <f>IF(DATOS!$G626&lt;&gt;"EX",0,--(COUNTIFS(nNIA,DATOS!$A626,nCURSO,DATOS!$D626,nESPEC,DATOS!$E626,nASIG,DATOS!$I626,nEVAL,"OR")=0))</f>
      </c>
      <c r="I626">
        <f>IF(DATOS!$I626="","",IFERROR(VLOOKUP(DATOS!$I626,CONFIG_ASIGNATURAS!$B$2:$J$91,9,FALSE()),""))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IF(DATOS!$A627="",0,IF(CONFIG_METADATA!$B$4&lt;&gt;"OR+EX",--(DATOS!$G627=CONFIG_METADATA!$B$4),IF(DATOS!$G627="EX",1,IF(DATOS!$G627="OR",--(COUNTIFS(nNIA,DATOS!$A627,nCURSO,DATOS!$D627,nESPEC,DATOS!$E627,nASIG,DATOS!$I627,nEVAL,"EX")=0),0))))</f>
      </c>
      <c r="H627">
        <f>IF(DATOS!$G627&lt;&gt;"EX",0,--(COUNTIFS(nNIA,DATOS!$A627,nCURSO,DATOS!$D627,nESPEC,DATOS!$E627,nASIG,DATOS!$I627,nEVAL,"OR")=0))</f>
      </c>
      <c r="I627">
        <f>IF(DATOS!$I627="","",IFERROR(VLOOKUP(DATOS!$I627,CONFIG_ASIGNATURAS!$B$2:$J$91,9,FALSE()),""))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IF(DATOS!$A628="",0,IF(CONFIG_METADATA!$B$4&lt;&gt;"OR+EX",--(DATOS!$G628=CONFIG_METADATA!$B$4),IF(DATOS!$G628="EX",1,IF(DATOS!$G628="OR",--(COUNTIFS(nNIA,DATOS!$A628,nCURSO,DATOS!$D628,nESPEC,DATOS!$E628,nASIG,DATOS!$I628,nEVAL,"EX")=0),0))))</f>
      </c>
      <c r="H628">
        <f>IF(DATOS!$G628&lt;&gt;"EX",0,--(COUNTIFS(nNIA,DATOS!$A628,nCURSO,DATOS!$D628,nESPEC,DATOS!$E628,nASIG,DATOS!$I628,nEVAL,"OR")=0))</f>
      </c>
      <c r="I628">
        <f>IF(DATOS!$I628="","",IFERROR(VLOOKUP(DATOS!$I628,CONFIG_ASIGNATURAS!$B$2:$J$91,9,FALSE()),""))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IF(DATOS!$A629="",0,IF(CONFIG_METADATA!$B$4&lt;&gt;"OR+EX",--(DATOS!$G629=CONFIG_METADATA!$B$4),IF(DATOS!$G629="EX",1,IF(DATOS!$G629="OR",--(COUNTIFS(nNIA,DATOS!$A629,nCURSO,DATOS!$D629,nESPEC,DATOS!$E629,nASIG,DATOS!$I629,nEVAL,"EX")=0),0))))</f>
      </c>
      <c r="H629">
        <f>IF(DATOS!$G629&lt;&gt;"EX",0,--(COUNTIFS(nNIA,DATOS!$A629,nCURSO,DATOS!$D629,nESPEC,DATOS!$E629,nASIG,DATOS!$I629,nEVAL,"OR")=0))</f>
      </c>
      <c r="I629">
        <f>IF(DATOS!$I629="","",IFERROR(VLOOKUP(DATOS!$I629,CONFIG_ASIGNATURAS!$B$2:$J$91,9,FALSE()),""))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IF(DATOS!$A630="",0,IF(CONFIG_METADATA!$B$4&lt;&gt;"OR+EX",--(DATOS!$G630=CONFIG_METADATA!$B$4),IF(DATOS!$G630="EX",1,IF(DATOS!$G630="OR",--(COUNTIFS(nNIA,DATOS!$A630,nCURSO,DATOS!$D630,nESPEC,DATOS!$E630,nASIG,DATOS!$I630,nEVAL,"EX")=0),0))))</f>
      </c>
      <c r="H630">
        <f>IF(DATOS!$G630&lt;&gt;"EX",0,--(COUNTIFS(nNIA,DATOS!$A630,nCURSO,DATOS!$D630,nESPEC,DATOS!$E630,nASIG,DATOS!$I630,nEVAL,"OR")=0))</f>
      </c>
      <c r="I630">
        <f>IF(DATOS!$I630="","",IFERROR(VLOOKUP(DATOS!$I630,CONFIG_ASIGNATURAS!$B$2:$J$91,9,FALSE()),""))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IF(DATOS!$A631="",0,IF(CONFIG_METADATA!$B$4&lt;&gt;"OR+EX",--(DATOS!$G631=CONFIG_METADATA!$B$4),IF(DATOS!$G631="EX",1,IF(DATOS!$G631="OR",--(COUNTIFS(nNIA,DATOS!$A631,nCURSO,DATOS!$D631,nESPEC,DATOS!$E631,nASIG,DATOS!$I631,nEVAL,"EX")=0),0))))</f>
      </c>
      <c r="H631">
        <f>IF(DATOS!$G631&lt;&gt;"EX",0,--(COUNTIFS(nNIA,DATOS!$A631,nCURSO,DATOS!$D631,nESPEC,DATOS!$E631,nASIG,DATOS!$I631,nEVAL,"OR")=0))</f>
      </c>
      <c r="I631">
        <f>IF(DATOS!$I631="","",IFERROR(VLOOKUP(DATOS!$I631,CONFIG_ASIGNATURAS!$B$2:$J$91,9,FALSE()),""))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IF(DATOS!$A632="",0,IF(CONFIG_METADATA!$B$4&lt;&gt;"OR+EX",--(DATOS!$G632=CONFIG_METADATA!$B$4),IF(DATOS!$G632="EX",1,IF(DATOS!$G632="OR",--(COUNTIFS(nNIA,DATOS!$A632,nCURSO,DATOS!$D632,nESPEC,DATOS!$E632,nASIG,DATOS!$I632,nEVAL,"EX")=0),0))))</f>
      </c>
      <c r="H632">
        <f>IF(DATOS!$G632&lt;&gt;"EX",0,--(COUNTIFS(nNIA,DATOS!$A632,nCURSO,DATOS!$D632,nESPEC,DATOS!$E632,nASIG,DATOS!$I632,nEVAL,"OR")=0))</f>
      </c>
      <c r="I632">
        <f>IF(DATOS!$I632="","",IFERROR(VLOOKUP(DATOS!$I632,CONFIG_ASIGNATURAS!$B$2:$J$91,9,FALSE()),""))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IF(DATOS!$A633="",0,IF(CONFIG_METADATA!$B$4&lt;&gt;"OR+EX",--(DATOS!$G633=CONFIG_METADATA!$B$4),IF(DATOS!$G633="EX",1,IF(DATOS!$G633="OR",--(COUNTIFS(nNIA,DATOS!$A633,nCURSO,DATOS!$D633,nESPEC,DATOS!$E633,nASIG,DATOS!$I633,nEVAL,"EX")=0),0))))</f>
      </c>
      <c r="H633">
        <f>IF(DATOS!$G633&lt;&gt;"EX",0,--(COUNTIFS(nNIA,DATOS!$A633,nCURSO,DATOS!$D633,nESPEC,DATOS!$E633,nASIG,DATOS!$I633,nEVAL,"OR")=0))</f>
      </c>
      <c r="I633">
        <f>IF(DATOS!$I633="","",IFERROR(VLOOKUP(DATOS!$I633,CONFIG_ASIGNATURAS!$B$2:$J$91,9,FALSE()),""))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IF(DATOS!$A634="",0,IF(CONFIG_METADATA!$B$4&lt;&gt;"OR+EX",--(DATOS!$G634=CONFIG_METADATA!$B$4),IF(DATOS!$G634="EX",1,IF(DATOS!$G634="OR",--(COUNTIFS(nNIA,DATOS!$A634,nCURSO,DATOS!$D634,nESPEC,DATOS!$E634,nASIG,DATOS!$I634,nEVAL,"EX")=0),0))))</f>
      </c>
      <c r="H634">
        <f>IF(DATOS!$G634&lt;&gt;"EX",0,--(COUNTIFS(nNIA,DATOS!$A634,nCURSO,DATOS!$D634,nESPEC,DATOS!$E634,nASIG,DATOS!$I634,nEVAL,"OR")=0))</f>
      </c>
      <c r="I634">
        <f>IF(DATOS!$I634="","",IFERROR(VLOOKUP(DATOS!$I634,CONFIG_ASIGNATURAS!$B$2:$J$91,9,FALSE()),""))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IF(DATOS!$A635="",0,IF(CONFIG_METADATA!$B$4&lt;&gt;"OR+EX",--(DATOS!$G635=CONFIG_METADATA!$B$4),IF(DATOS!$G635="EX",1,IF(DATOS!$G635="OR",--(COUNTIFS(nNIA,DATOS!$A635,nCURSO,DATOS!$D635,nESPEC,DATOS!$E635,nASIG,DATOS!$I635,nEVAL,"EX")=0),0))))</f>
      </c>
      <c r="H635">
        <f>IF(DATOS!$G635&lt;&gt;"EX",0,--(COUNTIFS(nNIA,DATOS!$A635,nCURSO,DATOS!$D635,nESPEC,DATOS!$E635,nASIG,DATOS!$I635,nEVAL,"OR")=0))</f>
      </c>
      <c r="I635">
        <f>IF(DATOS!$I635="","",IFERROR(VLOOKUP(DATOS!$I635,CONFIG_ASIGNATURAS!$B$2:$J$91,9,FALSE()),""))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IF(DATOS!$A636="",0,IF(CONFIG_METADATA!$B$4&lt;&gt;"OR+EX",--(DATOS!$G636=CONFIG_METADATA!$B$4),IF(DATOS!$G636="EX",1,IF(DATOS!$G636="OR",--(COUNTIFS(nNIA,DATOS!$A636,nCURSO,DATOS!$D636,nESPEC,DATOS!$E636,nASIG,DATOS!$I636,nEVAL,"EX")=0),0))))</f>
      </c>
      <c r="H636">
        <f>IF(DATOS!$G636&lt;&gt;"EX",0,--(COUNTIFS(nNIA,DATOS!$A636,nCURSO,DATOS!$D636,nESPEC,DATOS!$E636,nASIG,DATOS!$I636,nEVAL,"OR")=0))</f>
      </c>
      <c r="I636">
        <f>IF(DATOS!$I636="","",IFERROR(VLOOKUP(DATOS!$I636,CONFIG_ASIGNATURAS!$B$2:$J$91,9,FALSE()),""))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IF(DATOS!$A637="",0,IF(CONFIG_METADATA!$B$4&lt;&gt;"OR+EX",--(DATOS!$G637=CONFIG_METADATA!$B$4),IF(DATOS!$G637="EX",1,IF(DATOS!$G637="OR",--(COUNTIFS(nNIA,DATOS!$A637,nCURSO,DATOS!$D637,nESPEC,DATOS!$E637,nASIG,DATOS!$I637,nEVAL,"EX")=0),0))))</f>
      </c>
      <c r="H637">
        <f>IF(DATOS!$G637&lt;&gt;"EX",0,--(COUNTIFS(nNIA,DATOS!$A637,nCURSO,DATOS!$D637,nESPEC,DATOS!$E637,nASIG,DATOS!$I637,nEVAL,"OR")=0))</f>
      </c>
      <c r="I637">
        <f>IF(DATOS!$I637="","",IFERROR(VLOOKUP(DATOS!$I637,CONFIG_ASIGNATURAS!$B$2:$J$91,9,FALSE()),""))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IF(DATOS!$A638="",0,IF(CONFIG_METADATA!$B$4&lt;&gt;"OR+EX",--(DATOS!$G638=CONFIG_METADATA!$B$4),IF(DATOS!$G638="EX",1,IF(DATOS!$G638="OR",--(COUNTIFS(nNIA,DATOS!$A638,nCURSO,DATOS!$D638,nESPEC,DATOS!$E638,nASIG,DATOS!$I638,nEVAL,"EX")=0),0))))</f>
      </c>
      <c r="H638">
        <f>IF(DATOS!$G638&lt;&gt;"EX",0,--(COUNTIFS(nNIA,DATOS!$A638,nCURSO,DATOS!$D638,nESPEC,DATOS!$E638,nASIG,DATOS!$I638,nEVAL,"OR")=0))</f>
      </c>
      <c r="I638">
        <f>IF(DATOS!$I638="","",IFERROR(VLOOKUP(DATOS!$I638,CONFIG_ASIGNATURAS!$B$2:$J$91,9,FALSE()),""))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IF(DATOS!$A639="",0,IF(CONFIG_METADATA!$B$4&lt;&gt;"OR+EX",--(DATOS!$G639=CONFIG_METADATA!$B$4),IF(DATOS!$G639="EX",1,IF(DATOS!$G639="OR",--(COUNTIFS(nNIA,DATOS!$A639,nCURSO,DATOS!$D639,nESPEC,DATOS!$E639,nASIG,DATOS!$I639,nEVAL,"EX")=0),0))))</f>
      </c>
      <c r="H639">
        <f>IF(DATOS!$G639&lt;&gt;"EX",0,--(COUNTIFS(nNIA,DATOS!$A639,nCURSO,DATOS!$D639,nESPEC,DATOS!$E639,nASIG,DATOS!$I639,nEVAL,"OR")=0))</f>
      </c>
      <c r="I639">
        <f>IF(DATOS!$I639="","",IFERROR(VLOOKUP(DATOS!$I639,CONFIG_ASIGNATURAS!$B$2:$J$91,9,FALSE()),""))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IF(DATOS!$A640="",0,IF(CONFIG_METADATA!$B$4&lt;&gt;"OR+EX",--(DATOS!$G640=CONFIG_METADATA!$B$4),IF(DATOS!$G640="EX",1,IF(DATOS!$G640="OR",--(COUNTIFS(nNIA,DATOS!$A640,nCURSO,DATOS!$D640,nESPEC,DATOS!$E640,nASIG,DATOS!$I640,nEVAL,"EX")=0),0))))</f>
      </c>
      <c r="H640">
        <f>IF(DATOS!$G640&lt;&gt;"EX",0,--(COUNTIFS(nNIA,DATOS!$A640,nCURSO,DATOS!$D640,nESPEC,DATOS!$E640,nASIG,DATOS!$I640,nEVAL,"OR")=0))</f>
      </c>
      <c r="I640">
        <f>IF(DATOS!$I640="","",IFERROR(VLOOKUP(DATOS!$I640,CONFIG_ASIGNATURAS!$B$2:$J$91,9,FALSE()),""))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IF(DATOS!$A641="",0,IF(CONFIG_METADATA!$B$4&lt;&gt;"OR+EX",--(DATOS!$G641=CONFIG_METADATA!$B$4),IF(DATOS!$G641="EX",1,IF(DATOS!$G641="OR",--(COUNTIFS(nNIA,DATOS!$A641,nCURSO,DATOS!$D641,nESPEC,DATOS!$E641,nASIG,DATOS!$I641,nEVAL,"EX")=0),0))))</f>
      </c>
      <c r="H641">
        <f>IF(DATOS!$G641&lt;&gt;"EX",0,--(COUNTIFS(nNIA,DATOS!$A641,nCURSO,DATOS!$D641,nESPEC,DATOS!$E641,nASIG,DATOS!$I641,nEVAL,"OR")=0))</f>
      </c>
      <c r="I641">
        <f>IF(DATOS!$I641="","",IFERROR(VLOOKUP(DATOS!$I641,CONFIG_ASIGNATURAS!$B$2:$J$91,9,FALSE()),""))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IF(DATOS!$A642="",0,IF(CONFIG_METADATA!$B$4&lt;&gt;"OR+EX",--(DATOS!$G642=CONFIG_METADATA!$B$4),IF(DATOS!$G642="EX",1,IF(DATOS!$G642="OR",--(COUNTIFS(nNIA,DATOS!$A642,nCURSO,DATOS!$D642,nESPEC,DATOS!$E642,nASIG,DATOS!$I642,nEVAL,"EX")=0),0))))</f>
      </c>
      <c r="H642">
        <f>IF(DATOS!$G642&lt;&gt;"EX",0,--(COUNTIFS(nNIA,DATOS!$A642,nCURSO,DATOS!$D642,nESPEC,DATOS!$E642,nASIG,DATOS!$I642,nEVAL,"OR")=0))</f>
      </c>
      <c r="I642">
        <f>IF(DATOS!$I642="","",IFERROR(VLOOKUP(DATOS!$I642,CONFIG_ASIGNATURAS!$B$2:$J$91,9,FALSE()),""))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IF(DATOS!$A643="",0,IF(CONFIG_METADATA!$B$4&lt;&gt;"OR+EX",--(DATOS!$G643=CONFIG_METADATA!$B$4),IF(DATOS!$G643="EX",1,IF(DATOS!$G643="OR",--(COUNTIFS(nNIA,DATOS!$A643,nCURSO,DATOS!$D643,nESPEC,DATOS!$E643,nASIG,DATOS!$I643,nEVAL,"EX")=0),0))))</f>
      </c>
      <c r="H643">
        <f>IF(DATOS!$G643&lt;&gt;"EX",0,--(COUNTIFS(nNIA,DATOS!$A643,nCURSO,DATOS!$D643,nESPEC,DATOS!$E643,nASIG,DATOS!$I643,nEVAL,"OR")=0))</f>
      </c>
      <c r="I643">
        <f>IF(DATOS!$I643="","",IFERROR(VLOOKUP(DATOS!$I643,CONFIG_ASIGNATURAS!$B$2:$J$91,9,FALSE()),""))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IF(DATOS!$A644="",0,IF(CONFIG_METADATA!$B$4&lt;&gt;"OR+EX",--(DATOS!$G644=CONFIG_METADATA!$B$4),IF(DATOS!$G644="EX",1,IF(DATOS!$G644="OR",--(COUNTIFS(nNIA,DATOS!$A644,nCURSO,DATOS!$D644,nESPEC,DATOS!$E644,nASIG,DATOS!$I644,nEVAL,"EX")=0),0))))</f>
      </c>
      <c r="H644">
        <f>IF(DATOS!$G644&lt;&gt;"EX",0,--(COUNTIFS(nNIA,DATOS!$A644,nCURSO,DATOS!$D644,nESPEC,DATOS!$E644,nASIG,DATOS!$I644,nEVAL,"OR")=0))</f>
      </c>
      <c r="I644">
        <f>IF(DATOS!$I644="","",IFERROR(VLOOKUP(DATOS!$I644,CONFIG_ASIGNATURAS!$B$2:$J$91,9,FALSE()),""))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IF(DATOS!$A645="",0,IF(CONFIG_METADATA!$B$4&lt;&gt;"OR+EX",--(DATOS!$G645=CONFIG_METADATA!$B$4),IF(DATOS!$G645="EX",1,IF(DATOS!$G645="OR",--(COUNTIFS(nNIA,DATOS!$A645,nCURSO,DATOS!$D645,nESPEC,DATOS!$E645,nASIG,DATOS!$I645,nEVAL,"EX")=0),0))))</f>
      </c>
      <c r="H645">
        <f>IF(DATOS!$G645&lt;&gt;"EX",0,--(COUNTIFS(nNIA,DATOS!$A645,nCURSO,DATOS!$D645,nESPEC,DATOS!$E645,nASIG,DATOS!$I645,nEVAL,"OR")=0))</f>
      </c>
      <c r="I645">
        <f>IF(DATOS!$I645="","",IFERROR(VLOOKUP(DATOS!$I645,CONFIG_ASIGNATURAS!$B$2:$J$91,9,FALSE()),""))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IF(DATOS!$A646="",0,IF(CONFIG_METADATA!$B$4&lt;&gt;"OR+EX",--(DATOS!$G646=CONFIG_METADATA!$B$4),IF(DATOS!$G646="EX",1,IF(DATOS!$G646="OR",--(COUNTIFS(nNIA,DATOS!$A646,nCURSO,DATOS!$D646,nESPEC,DATOS!$E646,nASIG,DATOS!$I646,nEVAL,"EX")=0),0))))</f>
      </c>
      <c r="H646">
        <f>IF(DATOS!$G646&lt;&gt;"EX",0,--(COUNTIFS(nNIA,DATOS!$A646,nCURSO,DATOS!$D646,nESPEC,DATOS!$E646,nASIG,DATOS!$I646,nEVAL,"OR")=0))</f>
      </c>
      <c r="I646">
        <f>IF(DATOS!$I646="","",IFERROR(VLOOKUP(DATOS!$I646,CONFIG_ASIGNATURAS!$B$2:$J$91,9,FALSE()),""))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IF(DATOS!$A647="",0,IF(CONFIG_METADATA!$B$4&lt;&gt;"OR+EX",--(DATOS!$G647=CONFIG_METADATA!$B$4),IF(DATOS!$G647="EX",1,IF(DATOS!$G647="OR",--(COUNTIFS(nNIA,DATOS!$A647,nCURSO,DATOS!$D647,nESPEC,DATOS!$E647,nASIG,DATOS!$I647,nEVAL,"EX")=0),0))))</f>
      </c>
      <c r="H647">
        <f>IF(DATOS!$G647&lt;&gt;"EX",0,--(COUNTIFS(nNIA,DATOS!$A647,nCURSO,DATOS!$D647,nESPEC,DATOS!$E647,nASIG,DATOS!$I647,nEVAL,"OR")=0))</f>
      </c>
      <c r="I647">
        <f>IF(DATOS!$I647="","",IFERROR(VLOOKUP(DATOS!$I647,CONFIG_ASIGNATURAS!$B$2:$J$91,9,FALSE()),""))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IF(DATOS!$A648="",0,IF(CONFIG_METADATA!$B$4&lt;&gt;"OR+EX",--(DATOS!$G648=CONFIG_METADATA!$B$4),IF(DATOS!$G648="EX",1,IF(DATOS!$G648="OR",--(COUNTIFS(nNIA,DATOS!$A648,nCURSO,DATOS!$D648,nESPEC,DATOS!$E648,nASIG,DATOS!$I648,nEVAL,"EX")=0),0))))</f>
      </c>
      <c r="H648">
        <f>IF(DATOS!$G648&lt;&gt;"EX",0,--(COUNTIFS(nNIA,DATOS!$A648,nCURSO,DATOS!$D648,nESPEC,DATOS!$E648,nASIG,DATOS!$I648,nEVAL,"OR")=0))</f>
      </c>
      <c r="I648">
        <f>IF(DATOS!$I648="","",IFERROR(VLOOKUP(DATOS!$I648,CONFIG_ASIGNATURAS!$B$2:$J$91,9,FALSE()),""))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IF(DATOS!$A649="",0,IF(CONFIG_METADATA!$B$4&lt;&gt;"OR+EX",--(DATOS!$G649=CONFIG_METADATA!$B$4),IF(DATOS!$G649="EX",1,IF(DATOS!$G649="OR",--(COUNTIFS(nNIA,DATOS!$A649,nCURSO,DATOS!$D649,nESPEC,DATOS!$E649,nASIG,DATOS!$I649,nEVAL,"EX")=0),0))))</f>
      </c>
      <c r="H649">
        <f>IF(DATOS!$G649&lt;&gt;"EX",0,--(COUNTIFS(nNIA,DATOS!$A649,nCURSO,DATOS!$D649,nESPEC,DATOS!$E649,nASIG,DATOS!$I649,nEVAL,"OR")=0))</f>
      </c>
      <c r="I649">
        <f>IF(DATOS!$I649="","",IFERROR(VLOOKUP(DATOS!$I649,CONFIG_ASIGNATURAS!$B$2:$J$91,9,FALSE()),""))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IF(DATOS!$A650="",0,IF(CONFIG_METADATA!$B$4&lt;&gt;"OR+EX",--(DATOS!$G650=CONFIG_METADATA!$B$4),IF(DATOS!$G650="EX",1,IF(DATOS!$G650="OR",--(COUNTIFS(nNIA,DATOS!$A650,nCURSO,DATOS!$D650,nESPEC,DATOS!$E650,nASIG,DATOS!$I650,nEVAL,"EX")=0),0))))</f>
      </c>
      <c r="H650">
        <f>IF(DATOS!$G650&lt;&gt;"EX",0,--(COUNTIFS(nNIA,DATOS!$A650,nCURSO,DATOS!$D650,nESPEC,DATOS!$E650,nASIG,DATOS!$I650,nEVAL,"OR")=0))</f>
      </c>
      <c r="I650">
        <f>IF(DATOS!$I650="","",IFERROR(VLOOKUP(DATOS!$I650,CONFIG_ASIGNATURAS!$B$2:$J$91,9,FALSE()),""))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IF(DATOS!$A651="",0,IF(CONFIG_METADATA!$B$4&lt;&gt;"OR+EX",--(DATOS!$G651=CONFIG_METADATA!$B$4),IF(DATOS!$G651="EX",1,IF(DATOS!$G651="OR",--(COUNTIFS(nNIA,DATOS!$A651,nCURSO,DATOS!$D651,nESPEC,DATOS!$E651,nASIG,DATOS!$I651,nEVAL,"EX")=0),0))))</f>
      </c>
      <c r="H651">
        <f>IF(DATOS!$G651&lt;&gt;"EX",0,--(COUNTIFS(nNIA,DATOS!$A651,nCURSO,DATOS!$D651,nESPEC,DATOS!$E651,nASIG,DATOS!$I651,nEVAL,"OR")=0))</f>
      </c>
      <c r="I651">
        <f>IF(DATOS!$I651="","",IFERROR(VLOOKUP(DATOS!$I651,CONFIG_ASIGNATURAS!$B$2:$J$91,9,FALSE()),""))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IF(DATOS!$A652="",0,IF(CONFIG_METADATA!$B$4&lt;&gt;"OR+EX",--(DATOS!$G652=CONFIG_METADATA!$B$4),IF(DATOS!$G652="EX",1,IF(DATOS!$G652="OR",--(COUNTIFS(nNIA,DATOS!$A652,nCURSO,DATOS!$D652,nESPEC,DATOS!$E652,nASIG,DATOS!$I652,nEVAL,"EX")=0),0))))</f>
      </c>
      <c r="H652">
        <f>IF(DATOS!$G652&lt;&gt;"EX",0,--(COUNTIFS(nNIA,DATOS!$A652,nCURSO,DATOS!$D652,nESPEC,DATOS!$E652,nASIG,DATOS!$I652,nEVAL,"OR")=0))</f>
      </c>
      <c r="I652">
        <f>IF(DATOS!$I652="","",IFERROR(VLOOKUP(DATOS!$I652,CONFIG_ASIGNATURAS!$B$2:$J$91,9,FALSE()),""))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IF(DATOS!$A653="",0,IF(CONFIG_METADATA!$B$4&lt;&gt;"OR+EX",--(DATOS!$G653=CONFIG_METADATA!$B$4),IF(DATOS!$G653="EX",1,IF(DATOS!$G653="OR",--(COUNTIFS(nNIA,DATOS!$A653,nCURSO,DATOS!$D653,nESPEC,DATOS!$E653,nASIG,DATOS!$I653,nEVAL,"EX")=0),0))))</f>
      </c>
      <c r="H653">
        <f>IF(DATOS!$G653&lt;&gt;"EX",0,--(COUNTIFS(nNIA,DATOS!$A653,nCURSO,DATOS!$D653,nESPEC,DATOS!$E653,nASIG,DATOS!$I653,nEVAL,"OR")=0))</f>
      </c>
      <c r="I653">
        <f>IF(DATOS!$I653="","",IFERROR(VLOOKUP(DATOS!$I653,CONFIG_ASIGNATURAS!$B$2:$J$91,9,FALSE()),""))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IF(DATOS!$A654="",0,IF(CONFIG_METADATA!$B$4&lt;&gt;"OR+EX",--(DATOS!$G654=CONFIG_METADATA!$B$4),IF(DATOS!$G654="EX",1,IF(DATOS!$G654="OR",--(COUNTIFS(nNIA,DATOS!$A654,nCURSO,DATOS!$D654,nESPEC,DATOS!$E654,nASIG,DATOS!$I654,nEVAL,"EX")=0),0))))</f>
      </c>
      <c r="H654">
        <f>IF(DATOS!$G654&lt;&gt;"EX",0,--(COUNTIFS(nNIA,DATOS!$A654,nCURSO,DATOS!$D654,nESPEC,DATOS!$E654,nASIG,DATOS!$I654,nEVAL,"OR")=0))</f>
      </c>
      <c r="I654">
        <f>IF(DATOS!$I654="","",IFERROR(VLOOKUP(DATOS!$I654,CONFIG_ASIGNATURAS!$B$2:$J$91,9,FALSE()),""))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IF(DATOS!$A655="",0,IF(CONFIG_METADATA!$B$4&lt;&gt;"OR+EX",--(DATOS!$G655=CONFIG_METADATA!$B$4),IF(DATOS!$G655="EX",1,IF(DATOS!$G655="OR",--(COUNTIFS(nNIA,DATOS!$A655,nCURSO,DATOS!$D655,nESPEC,DATOS!$E655,nASIG,DATOS!$I655,nEVAL,"EX")=0),0))))</f>
      </c>
      <c r="H655">
        <f>IF(DATOS!$G655&lt;&gt;"EX",0,--(COUNTIFS(nNIA,DATOS!$A655,nCURSO,DATOS!$D655,nESPEC,DATOS!$E655,nASIG,DATOS!$I655,nEVAL,"OR")=0))</f>
      </c>
      <c r="I655">
        <f>IF(DATOS!$I655="","",IFERROR(VLOOKUP(DATOS!$I655,CONFIG_ASIGNATURAS!$B$2:$J$91,9,FALSE()),""))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IF(DATOS!$A656="",0,IF(CONFIG_METADATA!$B$4&lt;&gt;"OR+EX",--(DATOS!$G656=CONFIG_METADATA!$B$4),IF(DATOS!$G656="EX",1,IF(DATOS!$G656="OR",--(COUNTIFS(nNIA,DATOS!$A656,nCURSO,DATOS!$D656,nESPEC,DATOS!$E656,nASIG,DATOS!$I656,nEVAL,"EX")=0),0))))</f>
      </c>
      <c r="H656">
        <f>IF(DATOS!$G656&lt;&gt;"EX",0,--(COUNTIFS(nNIA,DATOS!$A656,nCURSO,DATOS!$D656,nESPEC,DATOS!$E656,nASIG,DATOS!$I656,nEVAL,"OR")=0))</f>
      </c>
      <c r="I656">
        <f>IF(DATOS!$I656="","",IFERROR(VLOOKUP(DATOS!$I656,CONFIG_ASIGNATURAS!$B$2:$J$91,9,FALSE()),""))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IF(DATOS!$A657="",0,IF(CONFIG_METADATA!$B$4&lt;&gt;"OR+EX",--(DATOS!$G657=CONFIG_METADATA!$B$4),IF(DATOS!$G657="EX",1,IF(DATOS!$G657="OR",--(COUNTIFS(nNIA,DATOS!$A657,nCURSO,DATOS!$D657,nESPEC,DATOS!$E657,nASIG,DATOS!$I657,nEVAL,"EX")=0),0))))</f>
      </c>
      <c r="H657">
        <f>IF(DATOS!$G657&lt;&gt;"EX",0,--(COUNTIFS(nNIA,DATOS!$A657,nCURSO,DATOS!$D657,nESPEC,DATOS!$E657,nASIG,DATOS!$I657,nEVAL,"OR")=0))</f>
      </c>
      <c r="I657">
        <f>IF(DATOS!$I657="","",IFERROR(VLOOKUP(DATOS!$I657,CONFIG_ASIGNATURAS!$B$2:$J$91,9,FALSE()),""))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IF(DATOS!$A658="",0,IF(CONFIG_METADATA!$B$4&lt;&gt;"OR+EX",--(DATOS!$G658=CONFIG_METADATA!$B$4),IF(DATOS!$G658="EX",1,IF(DATOS!$G658="OR",--(COUNTIFS(nNIA,DATOS!$A658,nCURSO,DATOS!$D658,nESPEC,DATOS!$E658,nASIG,DATOS!$I658,nEVAL,"EX")=0),0))))</f>
      </c>
      <c r="H658">
        <f>IF(DATOS!$G658&lt;&gt;"EX",0,--(COUNTIFS(nNIA,DATOS!$A658,nCURSO,DATOS!$D658,nESPEC,DATOS!$E658,nASIG,DATOS!$I658,nEVAL,"OR")=0))</f>
      </c>
      <c r="I658">
        <f>IF(DATOS!$I658="","",IFERROR(VLOOKUP(DATOS!$I658,CONFIG_ASIGNATURAS!$B$2:$J$91,9,FALSE()),""))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IF(DATOS!$A659="",0,IF(CONFIG_METADATA!$B$4&lt;&gt;"OR+EX",--(DATOS!$G659=CONFIG_METADATA!$B$4),IF(DATOS!$G659="EX",1,IF(DATOS!$G659="OR",--(COUNTIFS(nNIA,DATOS!$A659,nCURSO,DATOS!$D659,nESPEC,DATOS!$E659,nASIG,DATOS!$I659,nEVAL,"EX")=0),0))))</f>
      </c>
      <c r="H659">
        <f>IF(DATOS!$G659&lt;&gt;"EX",0,--(COUNTIFS(nNIA,DATOS!$A659,nCURSO,DATOS!$D659,nESPEC,DATOS!$E659,nASIG,DATOS!$I659,nEVAL,"OR")=0))</f>
      </c>
      <c r="I659">
        <f>IF(DATOS!$I659="","",IFERROR(VLOOKUP(DATOS!$I659,CONFIG_ASIGNATURAS!$B$2:$J$91,9,FALSE()),""))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IF(DATOS!$A660="",0,IF(CONFIG_METADATA!$B$4&lt;&gt;"OR+EX",--(DATOS!$G660=CONFIG_METADATA!$B$4),IF(DATOS!$G660="EX",1,IF(DATOS!$G660="OR",--(COUNTIFS(nNIA,DATOS!$A660,nCURSO,DATOS!$D660,nESPEC,DATOS!$E660,nASIG,DATOS!$I660,nEVAL,"EX")=0),0))))</f>
      </c>
      <c r="H660">
        <f>IF(DATOS!$G660&lt;&gt;"EX",0,--(COUNTIFS(nNIA,DATOS!$A660,nCURSO,DATOS!$D660,nESPEC,DATOS!$E660,nASIG,DATOS!$I660,nEVAL,"OR")=0))</f>
      </c>
      <c r="I660">
        <f>IF(DATOS!$I660="","",IFERROR(VLOOKUP(DATOS!$I660,CONFIG_ASIGNATURAS!$B$2:$J$91,9,FALSE()),""))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IF(DATOS!$A661="",0,IF(CONFIG_METADATA!$B$4&lt;&gt;"OR+EX",--(DATOS!$G661=CONFIG_METADATA!$B$4),IF(DATOS!$G661="EX",1,IF(DATOS!$G661="OR",--(COUNTIFS(nNIA,DATOS!$A661,nCURSO,DATOS!$D661,nESPEC,DATOS!$E661,nASIG,DATOS!$I661,nEVAL,"EX")=0),0))))</f>
      </c>
      <c r="H661">
        <f>IF(DATOS!$G661&lt;&gt;"EX",0,--(COUNTIFS(nNIA,DATOS!$A661,nCURSO,DATOS!$D661,nESPEC,DATOS!$E661,nASIG,DATOS!$I661,nEVAL,"OR")=0))</f>
      </c>
      <c r="I661">
        <f>IF(DATOS!$I661="","",IFERROR(VLOOKUP(DATOS!$I661,CONFIG_ASIGNATURAS!$B$2:$J$91,9,FALSE()),""))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IF(DATOS!$A662="",0,IF(CONFIG_METADATA!$B$4&lt;&gt;"OR+EX",--(DATOS!$G662=CONFIG_METADATA!$B$4),IF(DATOS!$G662="EX",1,IF(DATOS!$G662="OR",--(COUNTIFS(nNIA,DATOS!$A662,nCURSO,DATOS!$D662,nESPEC,DATOS!$E662,nASIG,DATOS!$I662,nEVAL,"EX")=0),0))))</f>
      </c>
      <c r="H662">
        <f>IF(DATOS!$G662&lt;&gt;"EX",0,--(COUNTIFS(nNIA,DATOS!$A662,nCURSO,DATOS!$D662,nESPEC,DATOS!$E662,nASIG,DATOS!$I662,nEVAL,"OR")=0))</f>
      </c>
      <c r="I662">
        <f>IF(DATOS!$I662="","",IFERROR(VLOOKUP(DATOS!$I662,CONFIG_ASIGNATURAS!$B$2:$J$91,9,FALSE()),""))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IF(DATOS!$A663="",0,IF(CONFIG_METADATA!$B$4&lt;&gt;"OR+EX",--(DATOS!$G663=CONFIG_METADATA!$B$4),IF(DATOS!$G663="EX",1,IF(DATOS!$G663="OR",--(COUNTIFS(nNIA,DATOS!$A663,nCURSO,DATOS!$D663,nESPEC,DATOS!$E663,nASIG,DATOS!$I663,nEVAL,"EX")=0),0))))</f>
      </c>
      <c r="H663">
        <f>IF(DATOS!$G663&lt;&gt;"EX",0,--(COUNTIFS(nNIA,DATOS!$A663,nCURSO,DATOS!$D663,nESPEC,DATOS!$E663,nASIG,DATOS!$I663,nEVAL,"OR")=0))</f>
      </c>
      <c r="I663">
        <f>IF(DATOS!$I663="","",IFERROR(VLOOKUP(DATOS!$I663,CONFIG_ASIGNATURAS!$B$2:$J$91,9,FALSE()),""))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IF(DATOS!$A664="",0,IF(CONFIG_METADATA!$B$4&lt;&gt;"OR+EX",--(DATOS!$G664=CONFIG_METADATA!$B$4),IF(DATOS!$G664="EX",1,IF(DATOS!$G664="OR",--(COUNTIFS(nNIA,DATOS!$A664,nCURSO,DATOS!$D664,nESPEC,DATOS!$E664,nASIG,DATOS!$I664,nEVAL,"EX")=0),0))))</f>
      </c>
      <c r="H664">
        <f>IF(DATOS!$G664&lt;&gt;"EX",0,--(COUNTIFS(nNIA,DATOS!$A664,nCURSO,DATOS!$D664,nESPEC,DATOS!$E664,nASIG,DATOS!$I664,nEVAL,"OR")=0))</f>
      </c>
      <c r="I664">
        <f>IF(DATOS!$I664="","",IFERROR(VLOOKUP(DATOS!$I664,CONFIG_ASIGNATURAS!$B$2:$J$91,9,FALSE()),""))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IF(DATOS!$A665="",0,IF(CONFIG_METADATA!$B$4&lt;&gt;"OR+EX",--(DATOS!$G665=CONFIG_METADATA!$B$4),IF(DATOS!$G665="EX",1,IF(DATOS!$G665="OR",--(COUNTIFS(nNIA,DATOS!$A665,nCURSO,DATOS!$D665,nESPEC,DATOS!$E665,nASIG,DATOS!$I665,nEVAL,"EX")=0),0))))</f>
      </c>
      <c r="H665">
        <f>IF(DATOS!$G665&lt;&gt;"EX",0,--(COUNTIFS(nNIA,DATOS!$A665,nCURSO,DATOS!$D665,nESPEC,DATOS!$E665,nASIG,DATOS!$I665,nEVAL,"OR")=0))</f>
      </c>
      <c r="I665">
        <f>IF(DATOS!$I665="","",IFERROR(VLOOKUP(DATOS!$I665,CONFIG_ASIGNATURAS!$B$2:$J$91,9,FALSE()),""))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IF(DATOS!$A666="",0,IF(CONFIG_METADATA!$B$4&lt;&gt;"OR+EX",--(DATOS!$G666=CONFIG_METADATA!$B$4),IF(DATOS!$G666="EX",1,IF(DATOS!$G666="OR",--(COUNTIFS(nNIA,DATOS!$A666,nCURSO,DATOS!$D666,nESPEC,DATOS!$E666,nASIG,DATOS!$I666,nEVAL,"EX")=0),0))))</f>
      </c>
      <c r="H666">
        <f>IF(DATOS!$G666&lt;&gt;"EX",0,--(COUNTIFS(nNIA,DATOS!$A666,nCURSO,DATOS!$D666,nESPEC,DATOS!$E666,nASIG,DATOS!$I666,nEVAL,"OR")=0))</f>
      </c>
      <c r="I666">
        <f>IF(DATOS!$I666="","",IFERROR(VLOOKUP(DATOS!$I666,CONFIG_ASIGNATURAS!$B$2:$J$91,9,FALSE()),""))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IF(DATOS!$A667="",0,IF(CONFIG_METADATA!$B$4&lt;&gt;"OR+EX",--(DATOS!$G667=CONFIG_METADATA!$B$4),IF(DATOS!$G667="EX",1,IF(DATOS!$G667="OR",--(COUNTIFS(nNIA,DATOS!$A667,nCURSO,DATOS!$D667,nESPEC,DATOS!$E667,nASIG,DATOS!$I667,nEVAL,"EX")=0),0))))</f>
      </c>
      <c r="H667">
        <f>IF(DATOS!$G667&lt;&gt;"EX",0,--(COUNTIFS(nNIA,DATOS!$A667,nCURSO,DATOS!$D667,nESPEC,DATOS!$E667,nASIG,DATOS!$I667,nEVAL,"OR")=0))</f>
      </c>
      <c r="I667">
        <f>IF(DATOS!$I667="","",IFERROR(VLOOKUP(DATOS!$I667,CONFIG_ASIGNATURAS!$B$2:$J$91,9,FALSE()),""))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IF(DATOS!$A668="",0,IF(CONFIG_METADATA!$B$4&lt;&gt;"OR+EX",--(DATOS!$G668=CONFIG_METADATA!$B$4),IF(DATOS!$G668="EX",1,IF(DATOS!$G668="OR",--(COUNTIFS(nNIA,DATOS!$A668,nCURSO,DATOS!$D668,nESPEC,DATOS!$E668,nASIG,DATOS!$I668,nEVAL,"EX")=0),0))))</f>
      </c>
      <c r="H668">
        <f>IF(DATOS!$G668&lt;&gt;"EX",0,--(COUNTIFS(nNIA,DATOS!$A668,nCURSO,DATOS!$D668,nESPEC,DATOS!$E668,nASIG,DATOS!$I668,nEVAL,"OR")=0))</f>
      </c>
      <c r="I668">
        <f>IF(DATOS!$I668="","",IFERROR(VLOOKUP(DATOS!$I668,CONFIG_ASIGNATURAS!$B$2:$J$91,9,FALSE()),""))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IF(DATOS!$A669="",0,IF(CONFIG_METADATA!$B$4&lt;&gt;"OR+EX",--(DATOS!$G669=CONFIG_METADATA!$B$4),IF(DATOS!$G669="EX",1,IF(DATOS!$G669="OR",--(COUNTIFS(nNIA,DATOS!$A669,nCURSO,DATOS!$D669,nESPEC,DATOS!$E669,nASIG,DATOS!$I669,nEVAL,"EX")=0),0))))</f>
      </c>
      <c r="H669">
        <f>IF(DATOS!$G669&lt;&gt;"EX",0,--(COUNTIFS(nNIA,DATOS!$A669,nCURSO,DATOS!$D669,nESPEC,DATOS!$E669,nASIG,DATOS!$I669,nEVAL,"OR")=0))</f>
      </c>
      <c r="I669">
        <f>IF(DATOS!$I669="","",IFERROR(VLOOKUP(DATOS!$I669,CONFIG_ASIGNATURAS!$B$2:$J$91,9,FALSE()),""))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IF(DATOS!$A670="",0,IF(CONFIG_METADATA!$B$4&lt;&gt;"OR+EX",--(DATOS!$G670=CONFIG_METADATA!$B$4),IF(DATOS!$G670="EX",1,IF(DATOS!$G670="OR",--(COUNTIFS(nNIA,DATOS!$A670,nCURSO,DATOS!$D670,nESPEC,DATOS!$E670,nASIG,DATOS!$I670,nEVAL,"EX")=0),0))))</f>
      </c>
      <c r="H670">
        <f>IF(DATOS!$G670&lt;&gt;"EX",0,--(COUNTIFS(nNIA,DATOS!$A670,nCURSO,DATOS!$D670,nESPEC,DATOS!$E670,nASIG,DATOS!$I670,nEVAL,"OR")=0))</f>
      </c>
      <c r="I670">
        <f>IF(DATOS!$I670="","",IFERROR(VLOOKUP(DATOS!$I670,CONFIG_ASIGNATURAS!$B$2:$J$91,9,FALSE()),""))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IF(DATOS!$A671="",0,IF(CONFIG_METADATA!$B$4&lt;&gt;"OR+EX",--(DATOS!$G671=CONFIG_METADATA!$B$4),IF(DATOS!$G671="EX",1,IF(DATOS!$G671="OR",--(COUNTIFS(nNIA,DATOS!$A671,nCURSO,DATOS!$D671,nESPEC,DATOS!$E671,nASIG,DATOS!$I671,nEVAL,"EX")=0),0))))</f>
      </c>
      <c r="H671">
        <f>IF(DATOS!$G671&lt;&gt;"EX",0,--(COUNTIFS(nNIA,DATOS!$A671,nCURSO,DATOS!$D671,nESPEC,DATOS!$E671,nASIG,DATOS!$I671,nEVAL,"OR")=0))</f>
      </c>
      <c r="I671">
        <f>IF(DATOS!$I671="","",IFERROR(VLOOKUP(DATOS!$I671,CONFIG_ASIGNATURAS!$B$2:$J$91,9,FALSE()),""))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IF(DATOS!$A672="",0,IF(CONFIG_METADATA!$B$4&lt;&gt;"OR+EX",--(DATOS!$G672=CONFIG_METADATA!$B$4),IF(DATOS!$G672="EX",1,IF(DATOS!$G672="OR",--(COUNTIFS(nNIA,DATOS!$A672,nCURSO,DATOS!$D672,nESPEC,DATOS!$E672,nASIG,DATOS!$I672,nEVAL,"EX")=0),0))))</f>
      </c>
      <c r="H672">
        <f>IF(DATOS!$G672&lt;&gt;"EX",0,--(COUNTIFS(nNIA,DATOS!$A672,nCURSO,DATOS!$D672,nESPEC,DATOS!$E672,nASIG,DATOS!$I672,nEVAL,"OR")=0))</f>
      </c>
      <c r="I672">
        <f>IF(DATOS!$I672="","",IFERROR(VLOOKUP(DATOS!$I672,CONFIG_ASIGNATURAS!$B$2:$J$91,9,FALSE()),""))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IF(DATOS!$A673="",0,IF(CONFIG_METADATA!$B$4&lt;&gt;"OR+EX",--(DATOS!$G673=CONFIG_METADATA!$B$4),IF(DATOS!$G673="EX",1,IF(DATOS!$G673="OR",--(COUNTIFS(nNIA,DATOS!$A673,nCURSO,DATOS!$D673,nESPEC,DATOS!$E673,nASIG,DATOS!$I673,nEVAL,"EX")=0),0))))</f>
      </c>
      <c r="H673">
        <f>IF(DATOS!$G673&lt;&gt;"EX",0,--(COUNTIFS(nNIA,DATOS!$A673,nCURSO,DATOS!$D673,nESPEC,DATOS!$E673,nASIG,DATOS!$I673,nEVAL,"OR")=0))</f>
      </c>
      <c r="I673">
        <f>IF(DATOS!$I673="","",IFERROR(VLOOKUP(DATOS!$I673,CONFIG_ASIGNATURAS!$B$2:$J$91,9,FALSE()),""))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IF(DATOS!$A674="",0,IF(CONFIG_METADATA!$B$4&lt;&gt;"OR+EX",--(DATOS!$G674=CONFIG_METADATA!$B$4),IF(DATOS!$G674="EX",1,IF(DATOS!$G674="OR",--(COUNTIFS(nNIA,DATOS!$A674,nCURSO,DATOS!$D674,nESPEC,DATOS!$E674,nASIG,DATOS!$I674,nEVAL,"EX")=0),0))))</f>
      </c>
      <c r="H674">
        <f>IF(DATOS!$G674&lt;&gt;"EX",0,--(COUNTIFS(nNIA,DATOS!$A674,nCURSO,DATOS!$D674,nESPEC,DATOS!$E674,nASIG,DATOS!$I674,nEVAL,"OR")=0))</f>
      </c>
      <c r="I674">
        <f>IF(DATOS!$I674="","",IFERROR(VLOOKUP(DATOS!$I674,CONFIG_ASIGNATURAS!$B$2:$J$91,9,FALSE()),""))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IF(DATOS!$A675="",0,IF(CONFIG_METADATA!$B$4&lt;&gt;"OR+EX",--(DATOS!$G675=CONFIG_METADATA!$B$4),IF(DATOS!$G675="EX",1,IF(DATOS!$G675="OR",--(COUNTIFS(nNIA,DATOS!$A675,nCURSO,DATOS!$D675,nESPEC,DATOS!$E675,nASIG,DATOS!$I675,nEVAL,"EX")=0),0))))</f>
      </c>
      <c r="H675">
        <f>IF(DATOS!$G675&lt;&gt;"EX",0,--(COUNTIFS(nNIA,DATOS!$A675,nCURSO,DATOS!$D675,nESPEC,DATOS!$E675,nASIG,DATOS!$I675,nEVAL,"OR")=0))</f>
      </c>
      <c r="I675">
        <f>IF(DATOS!$I675="","",IFERROR(VLOOKUP(DATOS!$I675,CONFIG_ASIGNATURAS!$B$2:$J$91,9,FALSE()),""))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IF(DATOS!$A676="",0,IF(CONFIG_METADATA!$B$4&lt;&gt;"OR+EX",--(DATOS!$G676=CONFIG_METADATA!$B$4),IF(DATOS!$G676="EX",1,IF(DATOS!$G676="OR",--(COUNTIFS(nNIA,DATOS!$A676,nCURSO,DATOS!$D676,nESPEC,DATOS!$E676,nASIG,DATOS!$I676,nEVAL,"EX")=0),0))))</f>
      </c>
      <c r="H676">
        <f>IF(DATOS!$G676&lt;&gt;"EX",0,--(COUNTIFS(nNIA,DATOS!$A676,nCURSO,DATOS!$D676,nESPEC,DATOS!$E676,nASIG,DATOS!$I676,nEVAL,"OR")=0))</f>
      </c>
      <c r="I676">
        <f>IF(DATOS!$I676="","",IFERROR(VLOOKUP(DATOS!$I676,CONFIG_ASIGNATURAS!$B$2:$J$91,9,FALSE()),""))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IF(DATOS!$A677="",0,IF(CONFIG_METADATA!$B$4&lt;&gt;"OR+EX",--(DATOS!$G677=CONFIG_METADATA!$B$4),IF(DATOS!$G677="EX",1,IF(DATOS!$G677="OR",--(COUNTIFS(nNIA,DATOS!$A677,nCURSO,DATOS!$D677,nESPEC,DATOS!$E677,nASIG,DATOS!$I677,nEVAL,"EX")=0),0))))</f>
      </c>
      <c r="H677">
        <f>IF(DATOS!$G677&lt;&gt;"EX",0,--(COUNTIFS(nNIA,DATOS!$A677,nCURSO,DATOS!$D677,nESPEC,DATOS!$E677,nASIG,DATOS!$I677,nEVAL,"OR")=0))</f>
      </c>
      <c r="I677">
        <f>IF(DATOS!$I677="","",IFERROR(VLOOKUP(DATOS!$I677,CONFIG_ASIGNATURAS!$B$2:$J$91,9,FALSE()),""))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IF(DATOS!$A678="",0,IF(CONFIG_METADATA!$B$4&lt;&gt;"OR+EX",--(DATOS!$G678=CONFIG_METADATA!$B$4),IF(DATOS!$G678="EX",1,IF(DATOS!$G678="OR",--(COUNTIFS(nNIA,DATOS!$A678,nCURSO,DATOS!$D678,nESPEC,DATOS!$E678,nASIG,DATOS!$I678,nEVAL,"EX")=0),0))))</f>
      </c>
      <c r="H678">
        <f>IF(DATOS!$G678&lt;&gt;"EX",0,--(COUNTIFS(nNIA,DATOS!$A678,nCURSO,DATOS!$D678,nESPEC,DATOS!$E678,nASIG,DATOS!$I678,nEVAL,"OR")=0))</f>
      </c>
      <c r="I678">
        <f>IF(DATOS!$I678="","",IFERROR(VLOOKUP(DATOS!$I678,CONFIG_ASIGNATURAS!$B$2:$J$91,9,FALSE()),""))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IF(DATOS!$A679="",0,IF(CONFIG_METADATA!$B$4&lt;&gt;"OR+EX",--(DATOS!$G679=CONFIG_METADATA!$B$4),IF(DATOS!$G679="EX",1,IF(DATOS!$G679="OR",--(COUNTIFS(nNIA,DATOS!$A679,nCURSO,DATOS!$D679,nESPEC,DATOS!$E679,nASIG,DATOS!$I679,nEVAL,"EX")=0),0))))</f>
      </c>
      <c r="H679">
        <f>IF(DATOS!$G679&lt;&gt;"EX",0,--(COUNTIFS(nNIA,DATOS!$A679,nCURSO,DATOS!$D679,nESPEC,DATOS!$E679,nASIG,DATOS!$I679,nEVAL,"OR")=0))</f>
      </c>
      <c r="I679">
        <f>IF(DATOS!$I679="","",IFERROR(VLOOKUP(DATOS!$I679,CONFIG_ASIGNATURAS!$B$2:$J$91,9,FALSE()),""))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IF(DATOS!$A680="",0,IF(CONFIG_METADATA!$B$4&lt;&gt;"OR+EX",--(DATOS!$G680=CONFIG_METADATA!$B$4),IF(DATOS!$G680="EX",1,IF(DATOS!$G680="OR",--(COUNTIFS(nNIA,DATOS!$A680,nCURSO,DATOS!$D680,nESPEC,DATOS!$E680,nASIG,DATOS!$I680,nEVAL,"EX")=0),0))))</f>
      </c>
      <c r="H680">
        <f>IF(DATOS!$G680&lt;&gt;"EX",0,--(COUNTIFS(nNIA,DATOS!$A680,nCURSO,DATOS!$D680,nESPEC,DATOS!$E680,nASIG,DATOS!$I680,nEVAL,"OR")=0))</f>
      </c>
      <c r="I680">
        <f>IF(DATOS!$I680="","",IFERROR(VLOOKUP(DATOS!$I680,CONFIG_ASIGNATURAS!$B$2:$J$91,9,FALSE()),""))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IF(DATOS!$A681="",0,IF(CONFIG_METADATA!$B$4&lt;&gt;"OR+EX",--(DATOS!$G681=CONFIG_METADATA!$B$4),IF(DATOS!$G681="EX",1,IF(DATOS!$G681="OR",--(COUNTIFS(nNIA,DATOS!$A681,nCURSO,DATOS!$D681,nESPEC,DATOS!$E681,nASIG,DATOS!$I681,nEVAL,"EX")=0),0))))</f>
      </c>
      <c r="H681">
        <f>IF(DATOS!$G681&lt;&gt;"EX",0,--(COUNTIFS(nNIA,DATOS!$A681,nCURSO,DATOS!$D681,nESPEC,DATOS!$E681,nASIG,DATOS!$I681,nEVAL,"OR")=0))</f>
      </c>
      <c r="I681">
        <f>IF(DATOS!$I681="","",IFERROR(VLOOKUP(DATOS!$I681,CONFIG_ASIGNATURAS!$B$2:$J$91,9,FALSE()),""))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IF(DATOS!$A682="",0,IF(CONFIG_METADATA!$B$4&lt;&gt;"OR+EX",--(DATOS!$G682=CONFIG_METADATA!$B$4),IF(DATOS!$G682="EX",1,IF(DATOS!$G682="OR",--(COUNTIFS(nNIA,DATOS!$A682,nCURSO,DATOS!$D682,nESPEC,DATOS!$E682,nASIG,DATOS!$I682,nEVAL,"EX")=0),0))))</f>
      </c>
      <c r="H682">
        <f>IF(DATOS!$G682&lt;&gt;"EX",0,--(COUNTIFS(nNIA,DATOS!$A682,nCURSO,DATOS!$D682,nESPEC,DATOS!$E682,nASIG,DATOS!$I682,nEVAL,"OR")=0))</f>
      </c>
      <c r="I682">
        <f>IF(DATOS!$I682="","",IFERROR(VLOOKUP(DATOS!$I682,CONFIG_ASIGNATURAS!$B$2:$J$91,9,FALSE()),""))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IF(DATOS!$A683="",0,IF(CONFIG_METADATA!$B$4&lt;&gt;"OR+EX",--(DATOS!$G683=CONFIG_METADATA!$B$4),IF(DATOS!$G683="EX",1,IF(DATOS!$G683="OR",--(COUNTIFS(nNIA,DATOS!$A683,nCURSO,DATOS!$D683,nESPEC,DATOS!$E683,nASIG,DATOS!$I683,nEVAL,"EX")=0),0))))</f>
      </c>
      <c r="H683">
        <f>IF(DATOS!$G683&lt;&gt;"EX",0,--(COUNTIFS(nNIA,DATOS!$A683,nCURSO,DATOS!$D683,nESPEC,DATOS!$E683,nASIG,DATOS!$I683,nEVAL,"OR")=0))</f>
      </c>
      <c r="I683">
        <f>IF(DATOS!$I683="","",IFERROR(VLOOKUP(DATOS!$I683,CONFIG_ASIGNATURAS!$B$2:$J$91,9,FALSE()),""))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IF(DATOS!$A684="",0,IF(CONFIG_METADATA!$B$4&lt;&gt;"OR+EX",--(DATOS!$G684=CONFIG_METADATA!$B$4),IF(DATOS!$G684="EX",1,IF(DATOS!$G684="OR",--(COUNTIFS(nNIA,DATOS!$A684,nCURSO,DATOS!$D684,nESPEC,DATOS!$E684,nASIG,DATOS!$I684,nEVAL,"EX")=0),0))))</f>
      </c>
      <c r="H684">
        <f>IF(DATOS!$G684&lt;&gt;"EX",0,--(COUNTIFS(nNIA,DATOS!$A684,nCURSO,DATOS!$D684,nESPEC,DATOS!$E684,nASIG,DATOS!$I684,nEVAL,"OR")=0))</f>
      </c>
      <c r="I684">
        <f>IF(DATOS!$I684="","",IFERROR(VLOOKUP(DATOS!$I684,CONFIG_ASIGNATURAS!$B$2:$J$91,9,FALSE()),""))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IF(DATOS!$A685="",0,IF(CONFIG_METADATA!$B$4&lt;&gt;"OR+EX",--(DATOS!$G685=CONFIG_METADATA!$B$4),IF(DATOS!$G685="EX",1,IF(DATOS!$G685="OR",--(COUNTIFS(nNIA,DATOS!$A685,nCURSO,DATOS!$D685,nESPEC,DATOS!$E685,nASIG,DATOS!$I685,nEVAL,"EX")=0),0))))</f>
      </c>
      <c r="H685">
        <f>IF(DATOS!$G685&lt;&gt;"EX",0,--(COUNTIFS(nNIA,DATOS!$A685,nCURSO,DATOS!$D685,nESPEC,DATOS!$E685,nASIG,DATOS!$I685,nEVAL,"OR")=0))</f>
      </c>
      <c r="I685">
        <f>IF(DATOS!$I685="","",IFERROR(VLOOKUP(DATOS!$I685,CONFIG_ASIGNATURAS!$B$2:$J$91,9,FALSE()),""))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IF(DATOS!$A686="",0,IF(CONFIG_METADATA!$B$4&lt;&gt;"OR+EX",--(DATOS!$G686=CONFIG_METADATA!$B$4),IF(DATOS!$G686="EX",1,IF(DATOS!$G686="OR",--(COUNTIFS(nNIA,DATOS!$A686,nCURSO,DATOS!$D686,nESPEC,DATOS!$E686,nASIG,DATOS!$I686,nEVAL,"EX")=0),0))))</f>
      </c>
      <c r="H686">
        <f>IF(DATOS!$G686&lt;&gt;"EX",0,--(COUNTIFS(nNIA,DATOS!$A686,nCURSO,DATOS!$D686,nESPEC,DATOS!$E686,nASIG,DATOS!$I686,nEVAL,"OR")=0))</f>
      </c>
      <c r="I686">
        <f>IF(DATOS!$I686="","",IFERROR(VLOOKUP(DATOS!$I686,CONFIG_ASIGNATURAS!$B$2:$J$91,9,FALSE()),""))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IF(DATOS!$A687="",0,IF(CONFIG_METADATA!$B$4&lt;&gt;"OR+EX",--(DATOS!$G687=CONFIG_METADATA!$B$4),IF(DATOS!$G687="EX",1,IF(DATOS!$G687="OR",--(COUNTIFS(nNIA,DATOS!$A687,nCURSO,DATOS!$D687,nESPEC,DATOS!$E687,nASIG,DATOS!$I687,nEVAL,"EX")=0),0))))</f>
      </c>
      <c r="H687">
        <f>IF(DATOS!$G687&lt;&gt;"EX",0,--(COUNTIFS(nNIA,DATOS!$A687,nCURSO,DATOS!$D687,nESPEC,DATOS!$E687,nASIG,DATOS!$I687,nEVAL,"OR")=0))</f>
      </c>
      <c r="I687">
        <f>IF(DATOS!$I687="","",IFERROR(VLOOKUP(DATOS!$I687,CONFIG_ASIGNATURAS!$B$2:$J$91,9,FALSE()),""))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IF(DATOS!$A688="",0,IF(CONFIG_METADATA!$B$4&lt;&gt;"OR+EX",--(DATOS!$G688=CONFIG_METADATA!$B$4),IF(DATOS!$G688="EX",1,IF(DATOS!$G688="OR",--(COUNTIFS(nNIA,DATOS!$A688,nCURSO,DATOS!$D688,nESPEC,DATOS!$E688,nASIG,DATOS!$I688,nEVAL,"EX")=0),0))))</f>
      </c>
      <c r="H688">
        <f>IF(DATOS!$G688&lt;&gt;"EX",0,--(COUNTIFS(nNIA,DATOS!$A688,nCURSO,DATOS!$D688,nESPEC,DATOS!$E688,nASIG,DATOS!$I688,nEVAL,"OR")=0))</f>
      </c>
      <c r="I688">
        <f>IF(DATOS!$I688="","",IFERROR(VLOOKUP(DATOS!$I688,CONFIG_ASIGNATURAS!$B$2:$J$91,9,FALSE()),""))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IF(DATOS!$A689="",0,IF(CONFIG_METADATA!$B$4&lt;&gt;"OR+EX",--(DATOS!$G689=CONFIG_METADATA!$B$4),IF(DATOS!$G689="EX",1,IF(DATOS!$G689="OR",--(COUNTIFS(nNIA,DATOS!$A689,nCURSO,DATOS!$D689,nESPEC,DATOS!$E689,nASIG,DATOS!$I689,nEVAL,"EX")=0),0))))</f>
      </c>
      <c r="H689">
        <f>IF(DATOS!$G689&lt;&gt;"EX",0,--(COUNTIFS(nNIA,DATOS!$A689,nCURSO,DATOS!$D689,nESPEC,DATOS!$E689,nASIG,DATOS!$I689,nEVAL,"OR")=0))</f>
      </c>
      <c r="I689">
        <f>IF(DATOS!$I689="","",IFERROR(VLOOKUP(DATOS!$I689,CONFIG_ASIGNATURAS!$B$2:$J$91,9,FALSE()),""))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IF(DATOS!$A690="",0,IF(CONFIG_METADATA!$B$4&lt;&gt;"OR+EX",--(DATOS!$G690=CONFIG_METADATA!$B$4),IF(DATOS!$G690="EX",1,IF(DATOS!$G690="OR",--(COUNTIFS(nNIA,DATOS!$A690,nCURSO,DATOS!$D690,nESPEC,DATOS!$E690,nASIG,DATOS!$I690,nEVAL,"EX")=0),0))))</f>
      </c>
      <c r="H690">
        <f>IF(DATOS!$G690&lt;&gt;"EX",0,--(COUNTIFS(nNIA,DATOS!$A690,nCURSO,DATOS!$D690,nESPEC,DATOS!$E690,nASIG,DATOS!$I690,nEVAL,"OR")=0))</f>
      </c>
      <c r="I690">
        <f>IF(DATOS!$I690="","",IFERROR(VLOOKUP(DATOS!$I690,CONFIG_ASIGNATURAS!$B$2:$J$91,9,FALSE()),""))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IF(DATOS!$A691="",0,IF(CONFIG_METADATA!$B$4&lt;&gt;"OR+EX",--(DATOS!$G691=CONFIG_METADATA!$B$4),IF(DATOS!$G691="EX",1,IF(DATOS!$G691="OR",--(COUNTIFS(nNIA,DATOS!$A691,nCURSO,DATOS!$D691,nESPEC,DATOS!$E691,nASIG,DATOS!$I691,nEVAL,"EX")=0),0))))</f>
      </c>
      <c r="H691">
        <f>IF(DATOS!$G691&lt;&gt;"EX",0,--(COUNTIFS(nNIA,DATOS!$A691,nCURSO,DATOS!$D691,nESPEC,DATOS!$E691,nASIG,DATOS!$I691,nEVAL,"OR")=0))</f>
      </c>
      <c r="I691">
        <f>IF(DATOS!$I691="","",IFERROR(VLOOKUP(DATOS!$I691,CONFIG_ASIGNATURAS!$B$2:$J$91,9,FALSE()),""))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IF(DATOS!$A692="",0,IF(CONFIG_METADATA!$B$4&lt;&gt;"OR+EX",--(DATOS!$G692=CONFIG_METADATA!$B$4),IF(DATOS!$G692="EX",1,IF(DATOS!$G692="OR",--(COUNTIFS(nNIA,DATOS!$A692,nCURSO,DATOS!$D692,nESPEC,DATOS!$E692,nASIG,DATOS!$I692,nEVAL,"EX")=0),0))))</f>
      </c>
      <c r="H692">
        <f>IF(DATOS!$G692&lt;&gt;"EX",0,--(COUNTIFS(nNIA,DATOS!$A692,nCURSO,DATOS!$D692,nESPEC,DATOS!$E692,nASIG,DATOS!$I692,nEVAL,"OR")=0))</f>
      </c>
      <c r="I692">
        <f>IF(DATOS!$I692="","",IFERROR(VLOOKUP(DATOS!$I692,CONFIG_ASIGNATURAS!$B$2:$J$91,9,FALSE()),""))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IF(DATOS!$A693="",0,IF(CONFIG_METADATA!$B$4&lt;&gt;"OR+EX",--(DATOS!$G693=CONFIG_METADATA!$B$4),IF(DATOS!$G693="EX",1,IF(DATOS!$G693="OR",--(COUNTIFS(nNIA,DATOS!$A693,nCURSO,DATOS!$D693,nESPEC,DATOS!$E693,nASIG,DATOS!$I693,nEVAL,"EX")=0),0))))</f>
      </c>
      <c r="H693">
        <f>IF(DATOS!$G693&lt;&gt;"EX",0,--(COUNTIFS(nNIA,DATOS!$A693,nCURSO,DATOS!$D693,nESPEC,DATOS!$E693,nASIG,DATOS!$I693,nEVAL,"OR")=0))</f>
      </c>
      <c r="I693">
        <f>IF(DATOS!$I693="","",IFERROR(VLOOKUP(DATOS!$I693,CONFIG_ASIGNATURAS!$B$2:$J$91,9,FALSE()),""))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IF(DATOS!$A694="",0,IF(CONFIG_METADATA!$B$4&lt;&gt;"OR+EX",--(DATOS!$G694=CONFIG_METADATA!$B$4),IF(DATOS!$G694="EX",1,IF(DATOS!$G694="OR",--(COUNTIFS(nNIA,DATOS!$A694,nCURSO,DATOS!$D694,nESPEC,DATOS!$E694,nASIG,DATOS!$I694,nEVAL,"EX")=0),0))))</f>
      </c>
      <c r="H694">
        <f>IF(DATOS!$G694&lt;&gt;"EX",0,--(COUNTIFS(nNIA,DATOS!$A694,nCURSO,DATOS!$D694,nESPEC,DATOS!$E694,nASIG,DATOS!$I694,nEVAL,"OR")=0))</f>
      </c>
      <c r="I694">
        <f>IF(DATOS!$I694="","",IFERROR(VLOOKUP(DATOS!$I694,CONFIG_ASIGNATURAS!$B$2:$J$91,9,FALSE()),""))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IF(DATOS!$A695="",0,IF(CONFIG_METADATA!$B$4&lt;&gt;"OR+EX",--(DATOS!$G695=CONFIG_METADATA!$B$4),IF(DATOS!$G695="EX",1,IF(DATOS!$G695="OR",--(COUNTIFS(nNIA,DATOS!$A695,nCURSO,DATOS!$D695,nESPEC,DATOS!$E695,nASIG,DATOS!$I695,nEVAL,"EX")=0),0))))</f>
      </c>
      <c r="H695">
        <f>IF(DATOS!$G695&lt;&gt;"EX",0,--(COUNTIFS(nNIA,DATOS!$A695,nCURSO,DATOS!$D695,nESPEC,DATOS!$E695,nASIG,DATOS!$I695,nEVAL,"OR")=0))</f>
      </c>
      <c r="I695">
        <f>IF(DATOS!$I695="","",IFERROR(VLOOKUP(DATOS!$I695,CONFIG_ASIGNATURAS!$B$2:$J$91,9,FALSE()),""))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IF(DATOS!$A696="",0,IF(CONFIG_METADATA!$B$4&lt;&gt;"OR+EX",--(DATOS!$G696=CONFIG_METADATA!$B$4),IF(DATOS!$G696="EX",1,IF(DATOS!$G696="OR",--(COUNTIFS(nNIA,DATOS!$A696,nCURSO,DATOS!$D696,nESPEC,DATOS!$E696,nASIG,DATOS!$I696,nEVAL,"EX")=0),0))))</f>
      </c>
      <c r="H696">
        <f>IF(DATOS!$G696&lt;&gt;"EX",0,--(COUNTIFS(nNIA,DATOS!$A696,nCURSO,DATOS!$D696,nESPEC,DATOS!$E696,nASIG,DATOS!$I696,nEVAL,"OR")=0))</f>
      </c>
      <c r="I696">
        <f>IF(DATOS!$I696="","",IFERROR(VLOOKUP(DATOS!$I696,CONFIG_ASIGNATURAS!$B$2:$J$91,9,FALSE()),""))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IF(DATOS!$A697="",0,IF(CONFIG_METADATA!$B$4&lt;&gt;"OR+EX",--(DATOS!$G697=CONFIG_METADATA!$B$4),IF(DATOS!$G697="EX",1,IF(DATOS!$G697="OR",--(COUNTIFS(nNIA,DATOS!$A697,nCURSO,DATOS!$D697,nESPEC,DATOS!$E697,nASIG,DATOS!$I697,nEVAL,"EX")=0),0))))</f>
      </c>
      <c r="H697">
        <f>IF(DATOS!$G697&lt;&gt;"EX",0,--(COUNTIFS(nNIA,DATOS!$A697,nCURSO,DATOS!$D697,nESPEC,DATOS!$E697,nASIG,DATOS!$I697,nEVAL,"OR")=0))</f>
      </c>
      <c r="I697">
        <f>IF(DATOS!$I697="","",IFERROR(VLOOKUP(DATOS!$I697,CONFIG_ASIGNATURAS!$B$2:$J$91,9,FALSE()),""))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IF(DATOS!$A698="",0,IF(CONFIG_METADATA!$B$4&lt;&gt;"OR+EX",--(DATOS!$G698=CONFIG_METADATA!$B$4),IF(DATOS!$G698="EX",1,IF(DATOS!$G698="OR",--(COUNTIFS(nNIA,DATOS!$A698,nCURSO,DATOS!$D698,nESPEC,DATOS!$E698,nASIG,DATOS!$I698,nEVAL,"EX")=0),0))))</f>
      </c>
      <c r="H698">
        <f>IF(DATOS!$G698&lt;&gt;"EX",0,--(COUNTIFS(nNIA,DATOS!$A698,nCURSO,DATOS!$D698,nESPEC,DATOS!$E698,nASIG,DATOS!$I698,nEVAL,"OR")=0))</f>
      </c>
      <c r="I698">
        <f>IF(DATOS!$I698="","",IFERROR(VLOOKUP(DATOS!$I698,CONFIG_ASIGNATURAS!$B$2:$J$91,9,FALSE()),""))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IF(DATOS!$A699="",0,IF(CONFIG_METADATA!$B$4&lt;&gt;"OR+EX",--(DATOS!$G699=CONFIG_METADATA!$B$4),IF(DATOS!$G699="EX",1,IF(DATOS!$G699="OR",--(COUNTIFS(nNIA,DATOS!$A699,nCURSO,DATOS!$D699,nESPEC,DATOS!$E699,nASIG,DATOS!$I699,nEVAL,"EX")=0),0))))</f>
      </c>
      <c r="H699">
        <f>IF(DATOS!$G699&lt;&gt;"EX",0,--(COUNTIFS(nNIA,DATOS!$A699,nCURSO,DATOS!$D699,nESPEC,DATOS!$E699,nASIG,DATOS!$I699,nEVAL,"OR")=0))</f>
      </c>
      <c r="I699">
        <f>IF(DATOS!$I699="","",IFERROR(VLOOKUP(DATOS!$I699,CONFIG_ASIGNATURAS!$B$2:$J$91,9,FALSE()),""))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IF(DATOS!$A700="",0,IF(CONFIG_METADATA!$B$4&lt;&gt;"OR+EX",--(DATOS!$G700=CONFIG_METADATA!$B$4),IF(DATOS!$G700="EX",1,IF(DATOS!$G700="OR",--(COUNTIFS(nNIA,DATOS!$A700,nCURSO,DATOS!$D700,nESPEC,DATOS!$E700,nASIG,DATOS!$I700,nEVAL,"EX")=0),0))))</f>
      </c>
      <c r="H700">
        <f>IF(DATOS!$G700&lt;&gt;"EX",0,--(COUNTIFS(nNIA,DATOS!$A700,nCURSO,DATOS!$D700,nESPEC,DATOS!$E700,nASIG,DATOS!$I700,nEVAL,"OR")=0))</f>
      </c>
      <c r="I700">
        <f>IF(DATOS!$I700="","",IFERROR(VLOOKUP(DATOS!$I700,CONFIG_ASIGNATURAS!$B$2:$J$91,9,FALSE()),""))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IF(DATOS!$A701="",0,IF(CONFIG_METADATA!$B$4&lt;&gt;"OR+EX",--(DATOS!$G701=CONFIG_METADATA!$B$4),IF(DATOS!$G701="EX",1,IF(DATOS!$G701="OR",--(COUNTIFS(nNIA,DATOS!$A701,nCURSO,DATOS!$D701,nESPEC,DATOS!$E701,nASIG,DATOS!$I701,nEVAL,"EX")=0),0))))</f>
      </c>
      <c r="H701">
        <f>IF(DATOS!$G701&lt;&gt;"EX",0,--(COUNTIFS(nNIA,DATOS!$A701,nCURSO,DATOS!$D701,nESPEC,DATOS!$E701,nASIG,DATOS!$I701,nEVAL,"OR")=0))</f>
      </c>
      <c r="I701">
        <f>IF(DATOS!$I701="","",IFERROR(VLOOKUP(DATOS!$I701,CONFIG_ASIGNATURAS!$B$2:$J$91,9,FALSE()),""))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IF(DATOS!$A702="",0,IF(CONFIG_METADATA!$B$4&lt;&gt;"OR+EX",--(DATOS!$G702=CONFIG_METADATA!$B$4),IF(DATOS!$G702="EX",1,IF(DATOS!$G702="OR",--(COUNTIFS(nNIA,DATOS!$A702,nCURSO,DATOS!$D702,nESPEC,DATOS!$E702,nASIG,DATOS!$I702,nEVAL,"EX")=0),0))))</f>
      </c>
      <c r="H702">
        <f>IF(DATOS!$G702&lt;&gt;"EX",0,--(COUNTIFS(nNIA,DATOS!$A702,nCURSO,DATOS!$D702,nESPEC,DATOS!$E702,nASIG,DATOS!$I702,nEVAL,"OR")=0))</f>
      </c>
      <c r="I702">
        <f>IF(DATOS!$I702="","",IFERROR(VLOOKUP(DATOS!$I702,CONFIG_ASIGNATURAS!$B$2:$J$91,9,FALSE()),""))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IF(DATOS!$A703="",0,IF(CONFIG_METADATA!$B$4&lt;&gt;"OR+EX",--(DATOS!$G703=CONFIG_METADATA!$B$4),IF(DATOS!$G703="EX",1,IF(DATOS!$G703="OR",--(COUNTIFS(nNIA,DATOS!$A703,nCURSO,DATOS!$D703,nESPEC,DATOS!$E703,nASIG,DATOS!$I703,nEVAL,"EX")=0),0))))</f>
      </c>
      <c r="H703">
        <f>IF(DATOS!$G703&lt;&gt;"EX",0,--(COUNTIFS(nNIA,DATOS!$A703,nCURSO,DATOS!$D703,nESPEC,DATOS!$E703,nASIG,DATOS!$I703,nEVAL,"OR")=0))</f>
      </c>
      <c r="I703">
        <f>IF(DATOS!$I703="","",IFERROR(VLOOKUP(DATOS!$I703,CONFIG_ASIGNATURAS!$B$2:$J$91,9,FALSE()),""))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IF(DATOS!$A704="",0,IF(CONFIG_METADATA!$B$4&lt;&gt;"OR+EX",--(DATOS!$G704=CONFIG_METADATA!$B$4),IF(DATOS!$G704="EX",1,IF(DATOS!$G704="OR",--(COUNTIFS(nNIA,DATOS!$A704,nCURSO,DATOS!$D704,nESPEC,DATOS!$E704,nASIG,DATOS!$I704,nEVAL,"EX")=0),0))))</f>
      </c>
      <c r="H704">
        <f>IF(DATOS!$G704&lt;&gt;"EX",0,--(COUNTIFS(nNIA,DATOS!$A704,nCURSO,DATOS!$D704,nESPEC,DATOS!$E704,nASIG,DATOS!$I704,nEVAL,"OR")=0))</f>
      </c>
      <c r="I704">
        <f>IF(DATOS!$I704="","",IFERROR(VLOOKUP(DATOS!$I704,CONFIG_ASIGNATURAS!$B$2:$J$91,9,FALSE()),""))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IF(DATOS!$A705="",0,IF(CONFIG_METADATA!$B$4&lt;&gt;"OR+EX",--(DATOS!$G705=CONFIG_METADATA!$B$4),IF(DATOS!$G705="EX",1,IF(DATOS!$G705="OR",--(COUNTIFS(nNIA,DATOS!$A705,nCURSO,DATOS!$D705,nESPEC,DATOS!$E705,nASIG,DATOS!$I705,nEVAL,"EX")=0),0))))</f>
      </c>
      <c r="H705">
        <f>IF(DATOS!$G705&lt;&gt;"EX",0,--(COUNTIFS(nNIA,DATOS!$A705,nCURSO,DATOS!$D705,nESPEC,DATOS!$E705,nASIG,DATOS!$I705,nEVAL,"OR")=0))</f>
      </c>
      <c r="I705">
        <f>IF(DATOS!$I705="","",IFERROR(VLOOKUP(DATOS!$I705,CONFIG_ASIGNATURAS!$B$2:$J$91,9,FALSE()),""))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IF(DATOS!$A706="",0,IF(CONFIG_METADATA!$B$4&lt;&gt;"OR+EX",--(DATOS!$G706=CONFIG_METADATA!$B$4),IF(DATOS!$G706="EX",1,IF(DATOS!$G706="OR",--(COUNTIFS(nNIA,DATOS!$A706,nCURSO,DATOS!$D706,nESPEC,DATOS!$E706,nASIG,DATOS!$I706,nEVAL,"EX")=0),0))))</f>
      </c>
      <c r="H706">
        <f>IF(DATOS!$G706&lt;&gt;"EX",0,--(COUNTIFS(nNIA,DATOS!$A706,nCURSO,DATOS!$D706,nESPEC,DATOS!$E706,nASIG,DATOS!$I706,nEVAL,"OR")=0))</f>
      </c>
      <c r="I706">
        <f>IF(DATOS!$I706="","",IFERROR(VLOOKUP(DATOS!$I706,CONFIG_ASIGNATURAS!$B$2:$J$91,9,FALSE()),""))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IF(DATOS!$A707="",0,IF(CONFIG_METADATA!$B$4&lt;&gt;"OR+EX",--(DATOS!$G707=CONFIG_METADATA!$B$4),IF(DATOS!$G707="EX",1,IF(DATOS!$G707="OR",--(COUNTIFS(nNIA,DATOS!$A707,nCURSO,DATOS!$D707,nESPEC,DATOS!$E707,nASIG,DATOS!$I707,nEVAL,"EX")=0),0))))</f>
      </c>
      <c r="H707">
        <f>IF(DATOS!$G707&lt;&gt;"EX",0,--(COUNTIFS(nNIA,DATOS!$A707,nCURSO,DATOS!$D707,nESPEC,DATOS!$E707,nASIG,DATOS!$I707,nEVAL,"OR")=0))</f>
      </c>
      <c r="I707">
        <f>IF(DATOS!$I707="","",IFERROR(VLOOKUP(DATOS!$I707,CONFIG_ASIGNATURAS!$B$2:$J$91,9,FALSE()),""))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IF(DATOS!$A708="",0,IF(CONFIG_METADATA!$B$4&lt;&gt;"OR+EX",--(DATOS!$G708=CONFIG_METADATA!$B$4),IF(DATOS!$G708="EX",1,IF(DATOS!$G708="OR",--(COUNTIFS(nNIA,DATOS!$A708,nCURSO,DATOS!$D708,nESPEC,DATOS!$E708,nASIG,DATOS!$I708,nEVAL,"EX")=0),0))))</f>
      </c>
      <c r="H708">
        <f>IF(DATOS!$G708&lt;&gt;"EX",0,--(COUNTIFS(nNIA,DATOS!$A708,nCURSO,DATOS!$D708,nESPEC,DATOS!$E708,nASIG,DATOS!$I708,nEVAL,"OR")=0))</f>
      </c>
      <c r="I708">
        <f>IF(DATOS!$I708="","",IFERROR(VLOOKUP(DATOS!$I708,CONFIG_ASIGNATURAS!$B$2:$J$91,9,FALSE()),""))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IF(DATOS!$A709="",0,IF(CONFIG_METADATA!$B$4&lt;&gt;"OR+EX",--(DATOS!$G709=CONFIG_METADATA!$B$4),IF(DATOS!$G709="EX",1,IF(DATOS!$G709="OR",--(COUNTIFS(nNIA,DATOS!$A709,nCURSO,DATOS!$D709,nESPEC,DATOS!$E709,nASIG,DATOS!$I709,nEVAL,"EX")=0),0))))</f>
      </c>
      <c r="H709">
        <f>IF(DATOS!$G709&lt;&gt;"EX",0,--(COUNTIFS(nNIA,DATOS!$A709,nCURSO,DATOS!$D709,nESPEC,DATOS!$E709,nASIG,DATOS!$I709,nEVAL,"OR")=0))</f>
      </c>
      <c r="I709">
        <f>IF(DATOS!$I709="","",IFERROR(VLOOKUP(DATOS!$I709,CONFIG_ASIGNATURAS!$B$2:$J$91,9,FALSE()),""))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IF(DATOS!$A710="",0,IF(CONFIG_METADATA!$B$4&lt;&gt;"OR+EX",--(DATOS!$G710=CONFIG_METADATA!$B$4),IF(DATOS!$G710="EX",1,IF(DATOS!$G710="OR",--(COUNTIFS(nNIA,DATOS!$A710,nCURSO,DATOS!$D710,nESPEC,DATOS!$E710,nASIG,DATOS!$I710,nEVAL,"EX")=0),0))))</f>
      </c>
      <c r="H710">
        <f>IF(DATOS!$G710&lt;&gt;"EX",0,--(COUNTIFS(nNIA,DATOS!$A710,nCURSO,DATOS!$D710,nESPEC,DATOS!$E710,nASIG,DATOS!$I710,nEVAL,"OR")=0))</f>
      </c>
      <c r="I710">
        <f>IF(DATOS!$I710="","",IFERROR(VLOOKUP(DATOS!$I710,CONFIG_ASIGNATURAS!$B$2:$J$91,9,FALSE()),""))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IF(DATOS!$A711="",0,IF(CONFIG_METADATA!$B$4&lt;&gt;"OR+EX",--(DATOS!$G711=CONFIG_METADATA!$B$4),IF(DATOS!$G711="EX",1,IF(DATOS!$G711="OR",--(COUNTIFS(nNIA,DATOS!$A711,nCURSO,DATOS!$D711,nESPEC,DATOS!$E711,nASIG,DATOS!$I711,nEVAL,"EX")=0),0))))</f>
      </c>
      <c r="H711">
        <f>IF(DATOS!$G711&lt;&gt;"EX",0,--(COUNTIFS(nNIA,DATOS!$A711,nCURSO,DATOS!$D711,nESPEC,DATOS!$E711,nASIG,DATOS!$I711,nEVAL,"OR")=0))</f>
      </c>
      <c r="I711">
        <f>IF(DATOS!$I711="","",IFERROR(VLOOKUP(DATOS!$I711,CONFIG_ASIGNATURAS!$B$2:$J$91,9,FALSE()),""))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IF(DATOS!$A712="",0,IF(CONFIG_METADATA!$B$4&lt;&gt;"OR+EX",--(DATOS!$G712=CONFIG_METADATA!$B$4),IF(DATOS!$G712="EX",1,IF(DATOS!$G712="OR",--(COUNTIFS(nNIA,DATOS!$A712,nCURSO,DATOS!$D712,nESPEC,DATOS!$E712,nASIG,DATOS!$I712,nEVAL,"EX")=0),0))))</f>
      </c>
      <c r="H712">
        <f>IF(DATOS!$G712&lt;&gt;"EX",0,--(COUNTIFS(nNIA,DATOS!$A712,nCURSO,DATOS!$D712,nESPEC,DATOS!$E712,nASIG,DATOS!$I712,nEVAL,"OR")=0))</f>
      </c>
      <c r="I712">
        <f>IF(DATOS!$I712="","",IFERROR(VLOOKUP(DATOS!$I712,CONFIG_ASIGNATURAS!$B$2:$J$91,9,FALSE()),""))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IF(DATOS!$A713="",0,IF(CONFIG_METADATA!$B$4&lt;&gt;"OR+EX",--(DATOS!$G713=CONFIG_METADATA!$B$4),IF(DATOS!$G713="EX",1,IF(DATOS!$G713="OR",--(COUNTIFS(nNIA,DATOS!$A713,nCURSO,DATOS!$D713,nESPEC,DATOS!$E713,nASIG,DATOS!$I713,nEVAL,"EX")=0),0))))</f>
      </c>
      <c r="H713">
        <f>IF(DATOS!$G713&lt;&gt;"EX",0,--(COUNTIFS(nNIA,DATOS!$A713,nCURSO,DATOS!$D713,nESPEC,DATOS!$E713,nASIG,DATOS!$I713,nEVAL,"OR")=0))</f>
      </c>
      <c r="I713">
        <f>IF(DATOS!$I713="","",IFERROR(VLOOKUP(DATOS!$I713,CONFIG_ASIGNATURAS!$B$2:$J$91,9,FALSE()),""))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IF(DATOS!$A714="",0,IF(CONFIG_METADATA!$B$4&lt;&gt;"OR+EX",--(DATOS!$G714=CONFIG_METADATA!$B$4),IF(DATOS!$G714="EX",1,IF(DATOS!$G714="OR",--(COUNTIFS(nNIA,DATOS!$A714,nCURSO,DATOS!$D714,nESPEC,DATOS!$E714,nASIG,DATOS!$I714,nEVAL,"EX")=0),0))))</f>
      </c>
      <c r="H714">
        <f>IF(DATOS!$G714&lt;&gt;"EX",0,--(COUNTIFS(nNIA,DATOS!$A714,nCURSO,DATOS!$D714,nESPEC,DATOS!$E714,nASIG,DATOS!$I714,nEVAL,"OR")=0))</f>
      </c>
      <c r="I714">
        <f>IF(DATOS!$I714="","",IFERROR(VLOOKUP(DATOS!$I714,CONFIG_ASIGNATURAS!$B$2:$J$91,9,FALSE()),""))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IF(DATOS!$A715="",0,IF(CONFIG_METADATA!$B$4&lt;&gt;"OR+EX",--(DATOS!$G715=CONFIG_METADATA!$B$4),IF(DATOS!$G715="EX",1,IF(DATOS!$G715="OR",--(COUNTIFS(nNIA,DATOS!$A715,nCURSO,DATOS!$D715,nESPEC,DATOS!$E715,nASIG,DATOS!$I715,nEVAL,"EX")=0),0))))</f>
      </c>
      <c r="H715">
        <f>IF(DATOS!$G715&lt;&gt;"EX",0,--(COUNTIFS(nNIA,DATOS!$A715,nCURSO,DATOS!$D715,nESPEC,DATOS!$E715,nASIG,DATOS!$I715,nEVAL,"OR")=0))</f>
      </c>
      <c r="I715">
        <f>IF(DATOS!$I715="","",IFERROR(VLOOKUP(DATOS!$I715,CONFIG_ASIGNATURAS!$B$2:$J$91,9,FALSE()),""))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IF(DATOS!$A716="",0,IF(CONFIG_METADATA!$B$4&lt;&gt;"OR+EX",--(DATOS!$G716=CONFIG_METADATA!$B$4),IF(DATOS!$G716="EX",1,IF(DATOS!$G716="OR",--(COUNTIFS(nNIA,DATOS!$A716,nCURSO,DATOS!$D716,nESPEC,DATOS!$E716,nASIG,DATOS!$I716,nEVAL,"EX")=0),0))))</f>
      </c>
      <c r="H716">
        <f>IF(DATOS!$G716&lt;&gt;"EX",0,--(COUNTIFS(nNIA,DATOS!$A716,nCURSO,DATOS!$D716,nESPEC,DATOS!$E716,nASIG,DATOS!$I716,nEVAL,"OR")=0))</f>
      </c>
      <c r="I716">
        <f>IF(DATOS!$I716="","",IFERROR(VLOOKUP(DATOS!$I716,CONFIG_ASIGNATURAS!$B$2:$J$91,9,FALSE()),""))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IF(DATOS!$A717="",0,IF(CONFIG_METADATA!$B$4&lt;&gt;"OR+EX",--(DATOS!$G717=CONFIG_METADATA!$B$4),IF(DATOS!$G717="EX",1,IF(DATOS!$G717="OR",--(COUNTIFS(nNIA,DATOS!$A717,nCURSO,DATOS!$D717,nESPEC,DATOS!$E717,nASIG,DATOS!$I717,nEVAL,"EX")=0),0))))</f>
      </c>
      <c r="H717">
        <f>IF(DATOS!$G717&lt;&gt;"EX",0,--(COUNTIFS(nNIA,DATOS!$A717,nCURSO,DATOS!$D717,nESPEC,DATOS!$E717,nASIG,DATOS!$I717,nEVAL,"OR")=0))</f>
      </c>
      <c r="I717">
        <f>IF(DATOS!$I717="","",IFERROR(VLOOKUP(DATOS!$I717,CONFIG_ASIGNATURAS!$B$2:$J$91,9,FALSE()),""))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IF(DATOS!$A718="",0,IF(CONFIG_METADATA!$B$4&lt;&gt;"OR+EX",--(DATOS!$G718=CONFIG_METADATA!$B$4),IF(DATOS!$G718="EX",1,IF(DATOS!$G718="OR",--(COUNTIFS(nNIA,DATOS!$A718,nCURSO,DATOS!$D718,nESPEC,DATOS!$E718,nASIG,DATOS!$I718,nEVAL,"EX")=0),0))))</f>
      </c>
      <c r="H718">
        <f>IF(DATOS!$G718&lt;&gt;"EX",0,--(COUNTIFS(nNIA,DATOS!$A718,nCURSO,DATOS!$D718,nESPEC,DATOS!$E718,nASIG,DATOS!$I718,nEVAL,"OR")=0))</f>
      </c>
      <c r="I718">
        <f>IF(DATOS!$I718="","",IFERROR(VLOOKUP(DATOS!$I718,CONFIG_ASIGNATURAS!$B$2:$J$91,9,FALSE()),""))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IF(DATOS!$A719="",0,IF(CONFIG_METADATA!$B$4&lt;&gt;"OR+EX",--(DATOS!$G719=CONFIG_METADATA!$B$4),IF(DATOS!$G719="EX",1,IF(DATOS!$G719="OR",--(COUNTIFS(nNIA,DATOS!$A719,nCURSO,DATOS!$D719,nESPEC,DATOS!$E719,nASIG,DATOS!$I719,nEVAL,"EX")=0),0))))</f>
      </c>
      <c r="H719">
        <f>IF(DATOS!$G719&lt;&gt;"EX",0,--(COUNTIFS(nNIA,DATOS!$A719,nCURSO,DATOS!$D719,nESPEC,DATOS!$E719,nASIG,DATOS!$I719,nEVAL,"OR")=0))</f>
      </c>
      <c r="I719">
        <f>IF(DATOS!$I719="","",IFERROR(VLOOKUP(DATOS!$I719,CONFIG_ASIGNATURAS!$B$2:$J$91,9,FALSE()),""))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IF(DATOS!$A720="",0,IF(CONFIG_METADATA!$B$4&lt;&gt;"OR+EX",--(DATOS!$G720=CONFIG_METADATA!$B$4),IF(DATOS!$G720="EX",1,IF(DATOS!$G720="OR",--(COUNTIFS(nNIA,DATOS!$A720,nCURSO,DATOS!$D720,nESPEC,DATOS!$E720,nASIG,DATOS!$I720,nEVAL,"EX")=0),0))))</f>
      </c>
      <c r="H720">
        <f>IF(DATOS!$G720&lt;&gt;"EX",0,--(COUNTIFS(nNIA,DATOS!$A720,nCURSO,DATOS!$D720,nESPEC,DATOS!$E720,nASIG,DATOS!$I720,nEVAL,"OR")=0))</f>
      </c>
      <c r="I720">
        <f>IF(DATOS!$I720="","",IFERROR(VLOOKUP(DATOS!$I720,CONFIG_ASIGNATURAS!$B$2:$J$91,9,FALSE()),""))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IF(DATOS!$A721="",0,IF(CONFIG_METADATA!$B$4&lt;&gt;"OR+EX",--(DATOS!$G721=CONFIG_METADATA!$B$4),IF(DATOS!$G721="EX",1,IF(DATOS!$G721="OR",--(COUNTIFS(nNIA,DATOS!$A721,nCURSO,DATOS!$D721,nESPEC,DATOS!$E721,nASIG,DATOS!$I721,nEVAL,"EX")=0),0))))</f>
      </c>
      <c r="H721">
        <f>IF(DATOS!$G721&lt;&gt;"EX",0,--(COUNTIFS(nNIA,DATOS!$A721,nCURSO,DATOS!$D721,nESPEC,DATOS!$E721,nASIG,DATOS!$I721,nEVAL,"OR")=0))</f>
      </c>
      <c r="I721">
        <f>IF(DATOS!$I721="","",IFERROR(VLOOKUP(DATOS!$I721,CONFIG_ASIGNATURAS!$B$2:$J$91,9,FALSE()),""))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IF(DATOS!$A722="",0,IF(CONFIG_METADATA!$B$4&lt;&gt;"OR+EX",--(DATOS!$G722=CONFIG_METADATA!$B$4),IF(DATOS!$G722="EX",1,IF(DATOS!$G722="OR",--(COUNTIFS(nNIA,DATOS!$A722,nCURSO,DATOS!$D722,nESPEC,DATOS!$E722,nASIG,DATOS!$I722,nEVAL,"EX")=0),0))))</f>
      </c>
      <c r="H722">
        <f>IF(DATOS!$G722&lt;&gt;"EX",0,--(COUNTIFS(nNIA,DATOS!$A722,nCURSO,DATOS!$D722,nESPEC,DATOS!$E722,nASIG,DATOS!$I722,nEVAL,"OR")=0))</f>
      </c>
      <c r="I722">
        <f>IF(DATOS!$I722="","",IFERROR(VLOOKUP(DATOS!$I722,CONFIG_ASIGNATURAS!$B$2:$J$91,9,FALSE()),""))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IF(DATOS!$A723="",0,IF(CONFIG_METADATA!$B$4&lt;&gt;"OR+EX",--(DATOS!$G723=CONFIG_METADATA!$B$4),IF(DATOS!$G723="EX",1,IF(DATOS!$G723="OR",--(COUNTIFS(nNIA,DATOS!$A723,nCURSO,DATOS!$D723,nESPEC,DATOS!$E723,nASIG,DATOS!$I723,nEVAL,"EX")=0),0))))</f>
      </c>
      <c r="H723">
        <f>IF(DATOS!$G723&lt;&gt;"EX",0,--(COUNTIFS(nNIA,DATOS!$A723,nCURSO,DATOS!$D723,nESPEC,DATOS!$E723,nASIG,DATOS!$I723,nEVAL,"OR")=0))</f>
      </c>
      <c r="I723">
        <f>IF(DATOS!$I723="","",IFERROR(VLOOKUP(DATOS!$I723,CONFIG_ASIGNATURAS!$B$2:$J$91,9,FALSE()),""))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IF(DATOS!$A724="",0,IF(CONFIG_METADATA!$B$4&lt;&gt;"OR+EX",--(DATOS!$G724=CONFIG_METADATA!$B$4),IF(DATOS!$G724="EX",1,IF(DATOS!$G724="OR",--(COUNTIFS(nNIA,DATOS!$A724,nCURSO,DATOS!$D724,nESPEC,DATOS!$E724,nASIG,DATOS!$I724,nEVAL,"EX")=0),0))))</f>
      </c>
      <c r="H724">
        <f>IF(DATOS!$G724&lt;&gt;"EX",0,--(COUNTIFS(nNIA,DATOS!$A724,nCURSO,DATOS!$D724,nESPEC,DATOS!$E724,nASIG,DATOS!$I724,nEVAL,"OR")=0))</f>
      </c>
      <c r="I724">
        <f>IF(DATOS!$I724="","",IFERROR(VLOOKUP(DATOS!$I724,CONFIG_ASIGNATURAS!$B$2:$J$91,9,FALSE()),""))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IF(DATOS!$A725="",0,IF(CONFIG_METADATA!$B$4&lt;&gt;"OR+EX",--(DATOS!$G725=CONFIG_METADATA!$B$4),IF(DATOS!$G725="EX",1,IF(DATOS!$G725="OR",--(COUNTIFS(nNIA,DATOS!$A725,nCURSO,DATOS!$D725,nESPEC,DATOS!$E725,nASIG,DATOS!$I725,nEVAL,"EX")=0),0))))</f>
      </c>
      <c r="H725">
        <f>IF(DATOS!$G725&lt;&gt;"EX",0,--(COUNTIFS(nNIA,DATOS!$A725,nCURSO,DATOS!$D725,nESPEC,DATOS!$E725,nASIG,DATOS!$I725,nEVAL,"OR")=0))</f>
      </c>
      <c r="I725">
        <f>IF(DATOS!$I725="","",IFERROR(VLOOKUP(DATOS!$I725,CONFIG_ASIGNATURAS!$B$2:$J$91,9,FALSE()),""))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IF(DATOS!$A726="",0,IF(CONFIG_METADATA!$B$4&lt;&gt;"OR+EX",--(DATOS!$G726=CONFIG_METADATA!$B$4),IF(DATOS!$G726="EX",1,IF(DATOS!$G726="OR",--(COUNTIFS(nNIA,DATOS!$A726,nCURSO,DATOS!$D726,nESPEC,DATOS!$E726,nASIG,DATOS!$I726,nEVAL,"EX")=0),0))))</f>
      </c>
      <c r="H726">
        <f>IF(DATOS!$G726&lt;&gt;"EX",0,--(COUNTIFS(nNIA,DATOS!$A726,nCURSO,DATOS!$D726,nESPEC,DATOS!$E726,nASIG,DATOS!$I726,nEVAL,"OR")=0))</f>
      </c>
      <c r="I726">
        <f>IF(DATOS!$I726="","",IFERROR(VLOOKUP(DATOS!$I726,CONFIG_ASIGNATURAS!$B$2:$J$91,9,FALSE()),""))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IF(DATOS!$A727="",0,IF(CONFIG_METADATA!$B$4&lt;&gt;"OR+EX",--(DATOS!$G727=CONFIG_METADATA!$B$4),IF(DATOS!$G727="EX",1,IF(DATOS!$G727="OR",--(COUNTIFS(nNIA,DATOS!$A727,nCURSO,DATOS!$D727,nESPEC,DATOS!$E727,nASIG,DATOS!$I727,nEVAL,"EX")=0),0))))</f>
      </c>
      <c r="H727">
        <f>IF(DATOS!$G727&lt;&gt;"EX",0,--(COUNTIFS(nNIA,DATOS!$A727,nCURSO,DATOS!$D727,nESPEC,DATOS!$E727,nASIG,DATOS!$I727,nEVAL,"OR")=0))</f>
      </c>
      <c r="I727">
        <f>IF(DATOS!$I727="","",IFERROR(VLOOKUP(DATOS!$I727,CONFIG_ASIGNATURAS!$B$2:$J$91,9,FALSE()),""))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IF(DATOS!$A728="",0,IF(CONFIG_METADATA!$B$4&lt;&gt;"OR+EX",--(DATOS!$G728=CONFIG_METADATA!$B$4),IF(DATOS!$G728="EX",1,IF(DATOS!$G728="OR",--(COUNTIFS(nNIA,DATOS!$A728,nCURSO,DATOS!$D728,nESPEC,DATOS!$E728,nASIG,DATOS!$I728,nEVAL,"EX")=0),0))))</f>
      </c>
      <c r="H728">
        <f>IF(DATOS!$G728&lt;&gt;"EX",0,--(COUNTIFS(nNIA,DATOS!$A728,nCURSO,DATOS!$D728,nESPEC,DATOS!$E728,nASIG,DATOS!$I728,nEVAL,"OR")=0))</f>
      </c>
      <c r="I728">
        <f>IF(DATOS!$I728="","",IFERROR(VLOOKUP(DATOS!$I728,CONFIG_ASIGNATURAS!$B$2:$J$91,9,FALSE()),""))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IF(DATOS!$A729="",0,IF(CONFIG_METADATA!$B$4&lt;&gt;"OR+EX",--(DATOS!$G729=CONFIG_METADATA!$B$4),IF(DATOS!$G729="EX",1,IF(DATOS!$G729="OR",--(COUNTIFS(nNIA,DATOS!$A729,nCURSO,DATOS!$D729,nESPEC,DATOS!$E729,nASIG,DATOS!$I729,nEVAL,"EX")=0),0))))</f>
      </c>
      <c r="H729">
        <f>IF(DATOS!$G729&lt;&gt;"EX",0,--(COUNTIFS(nNIA,DATOS!$A729,nCURSO,DATOS!$D729,nESPEC,DATOS!$E729,nASIG,DATOS!$I729,nEVAL,"OR")=0))</f>
      </c>
      <c r="I729">
        <f>IF(DATOS!$I729="","",IFERROR(VLOOKUP(DATOS!$I729,CONFIG_ASIGNATURAS!$B$2:$J$91,9,FALSE()),""))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IF(DATOS!$A730="",0,IF(CONFIG_METADATA!$B$4&lt;&gt;"OR+EX",--(DATOS!$G730=CONFIG_METADATA!$B$4),IF(DATOS!$G730="EX",1,IF(DATOS!$G730="OR",--(COUNTIFS(nNIA,DATOS!$A730,nCURSO,DATOS!$D730,nESPEC,DATOS!$E730,nASIG,DATOS!$I730,nEVAL,"EX")=0),0))))</f>
      </c>
      <c r="H730">
        <f>IF(DATOS!$G730&lt;&gt;"EX",0,--(COUNTIFS(nNIA,DATOS!$A730,nCURSO,DATOS!$D730,nESPEC,DATOS!$E730,nASIG,DATOS!$I730,nEVAL,"OR")=0))</f>
      </c>
      <c r="I730">
        <f>IF(DATOS!$I730="","",IFERROR(VLOOKUP(DATOS!$I730,CONFIG_ASIGNATURAS!$B$2:$J$91,9,FALSE()),""))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IF(DATOS!$A731="",0,IF(CONFIG_METADATA!$B$4&lt;&gt;"OR+EX",--(DATOS!$G731=CONFIG_METADATA!$B$4),IF(DATOS!$G731="EX",1,IF(DATOS!$G731="OR",--(COUNTIFS(nNIA,DATOS!$A731,nCURSO,DATOS!$D731,nESPEC,DATOS!$E731,nASIG,DATOS!$I731,nEVAL,"EX")=0),0))))</f>
      </c>
      <c r="H731">
        <f>IF(DATOS!$G731&lt;&gt;"EX",0,--(COUNTIFS(nNIA,DATOS!$A731,nCURSO,DATOS!$D731,nESPEC,DATOS!$E731,nASIG,DATOS!$I731,nEVAL,"OR")=0))</f>
      </c>
      <c r="I731">
        <f>IF(DATOS!$I731="","",IFERROR(VLOOKUP(DATOS!$I731,CONFIG_ASIGNATURAS!$B$2:$J$91,9,FALSE()),""))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IF(DATOS!$A732="",0,IF(CONFIG_METADATA!$B$4&lt;&gt;"OR+EX",--(DATOS!$G732=CONFIG_METADATA!$B$4),IF(DATOS!$G732="EX",1,IF(DATOS!$G732="OR",--(COUNTIFS(nNIA,DATOS!$A732,nCURSO,DATOS!$D732,nESPEC,DATOS!$E732,nASIG,DATOS!$I732,nEVAL,"EX")=0),0))))</f>
      </c>
      <c r="H732">
        <f>IF(DATOS!$G732&lt;&gt;"EX",0,--(COUNTIFS(nNIA,DATOS!$A732,nCURSO,DATOS!$D732,nESPEC,DATOS!$E732,nASIG,DATOS!$I732,nEVAL,"OR")=0))</f>
      </c>
      <c r="I732">
        <f>IF(DATOS!$I732="","",IFERROR(VLOOKUP(DATOS!$I732,CONFIG_ASIGNATURAS!$B$2:$J$91,9,FALSE()),""))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IF(DATOS!$A733="",0,IF(CONFIG_METADATA!$B$4&lt;&gt;"OR+EX",--(DATOS!$G733=CONFIG_METADATA!$B$4),IF(DATOS!$G733="EX",1,IF(DATOS!$G733="OR",--(COUNTIFS(nNIA,DATOS!$A733,nCURSO,DATOS!$D733,nESPEC,DATOS!$E733,nASIG,DATOS!$I733,nEVAL,"EX")=0),0))))</f>
      </c>
      <c r="H733">
        <f>IF(DATOS!$G733&lt;&gt;"EX",0,--(COUNTIFS(nNIA,DATOS!$A733,nCURSO,DATOS!$D733,nESPEC,DATOS!$E733,nASIG,DATOS!$I733,nEVAL,"OR")=0))</f>
      </c>
      <c r="I733">
        <f>IF(DATOS!$I733="","",IFERROR(VLOOKUP(DATOS!$I733,CONFIG_ASIGNATURAS!$B$2:$J$91,9,FALSE()),""))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IF(DATOS!$A734="",0,IF(CONFIG_METADATA!$B$4&lt;&gt;"OR+EX",--(DATOS!$G734=CONFIG_METADATA!$B$4),IF(DATOS!$G734="EX",1,IF(DATOS!$G734="OR",--(COUNTIFS(nNIA,DATOS!$A734,nCURSO,DATOS!$D734,nESPEC,DATOS!$E734,nASIG,DATOS!$I734,nEVAL,"EX")=0),0))))</f>
      </c>
      <c r="H734">
        <f>IF(DATOS!$G734&lt;&gt;"EX",0,--(COUNTIFS(nNIA,DATOS!$A734,nCURSO,DATOS!$D734,nESPEC,DATOS!$E734,nASIG,DATOS!$I734,nEVAL,"OR")=0))</f>
      </c>
      <c r="I734">
        <f>IF(DATOS!$I734="","",IFERROR(VLOOKUP(DATOS!$I734,CONFIG_ASIGNATURAS!$B$2:$J$91,9,FALSE()),""))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IF(DATOS!$A735="",0,IF(CONFIG_METADATA!$B$4&lt;&gt;"OR+EX",--(DATOS!$G735=CONFIG_METADATA!$B$4),IF(DATOS!$G735="EX",1,IF(DATOS!$G735="OR",--(COUNTIFS(nNIA,DATOS!$A735,nCURSO,DATOS!$D735,nESPEC,DATOS!$E735,nASIG,DATOS!$I735,nEVAL,"EX")=0),0))))</f>
      </c>
      <c r="H735">
        <f>IF(DATOS!$G735&lt;&gt;"EX",0,--(COUNTIFS(nNIA,DATOS!$A735,nCURSO,DATOS!$D735,nESPEC,DATOS!$E735,nASIG,DATOS!$I735,nEVAL,"OR")=0))</f>
      </c>
      <c r="I735">
        <f>IF(DATOS!$I735="","",IFERROR(VLOOKUP(DATOS!$I735,CONFIG_ASIGNATURAS!$B$2:$J$91,9,FALSE()),""))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IF(DATOS!$A736="",0,IF(CONFIG_METADATA!$B$4&lt;&gt;"OR+EX",--(DATOS!$G736=CONFIG_METADATA!$B$4),IF(DATOS!$G736="EX",1,IF(DATOS!$G736="OR",--(COUNTIFS(nNIA,DATOS!$A736,nCURSO,DATOS!$D736,nESPEC,DATOS!$E736,nASIG,DATOS!$I736,nEVAL,"EX")=0),0))))</f>
      </c>
      <c r="H736">
        <f>IF(DATOS!$G736&lt;&gt;"EX",0,--(COUNTIFS(nNIA,DATOS!$A736,nCURSO,DATOS!$D736,nESPEC,DATOS!$E736,nASIG,DATOS!$I736,nEVAL,"OR")=0))</f>
      </c>
      <c r="I736">
        <f>IF(DATOS!$I736="","",IFERROR(VLOOKUP(DATOS!$I736,CONFIG_ASIGNATURAS!$B$2:$J$91,9,FALSE()),""))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IF(DATOS!$A737="",0,IF(CONFIG_METADATA!$B$4&lt;&gt;"OR+EX",--(DATOS!$G737=CONFIG_METADATA!$B$4),IF(DATOS!$G737="EX",1,IF(DATOS!$G737="OR",--(COUNTIFS(nNIA,DATOS!$A737,nCURSO,DATOS!$D737,nESPEC,DATOS!$E737,nASIG,DATOS!$I737,nEVAL,"EX")=0),0))))</f>
      </c>
      <c r="H737">
        <f>IF(DATOS!$G737&lt;&gt;"EX",0,--(COUNTIFS(nNIA,DATOS!$A737,nCURSO,DATOS!$D737,nESPEC,DATOS!$E737,nASIG,DATOS!$I737,nEVAL,"OR")=0))</f>
      </c>
      <c r="I737">
        <f>IF(DATOS!$I737="","",IFERROR(VLOOKUP(DATOS!$I737,CONFIG_ASIGNATURAS!$B$2:$J$91,9,FALSE()),""))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IF(DATOS!$A738="",0,IF(CONFIG_METADATA!$B$4&lt;&gt;"OR+EX",--(DATOS!$G738=CONFIG_METADATA!$B$4),IF(DATOS!$G738="EX",1,IF(DATOS!$G738="OR",--(COUNTIFS(nNIA,DATOS!$A738,nCURSO,DATOS!$D738,nESPEC,DATOS!$E738,nASIG,DATOS!$I738,nEVAL,"EX")=0),0))))</f>
      </c>
      <c r="H738">
        <f>IF(DATOS!$G738&lt;&gt;"EX",0,--(COUNTIFS(nNIA,DATOS!$A738,nCURSO,DATOS!$D738,nESPEC,DATOS!$E738,nASIG,DATOS!$I738,nEVAL,"OR")=0))</f>
      </c>
      <c r="I738">
        <f>IF(DATOS!$I738="","",IFERROR(VLOOKUP(DATOS!$I738,CONFIG_ASIGNATURAS!$B$2:$J$91,9,FALSE()),""))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IF(DATOS!$A739="",0,IF(CONFIG_METADATA!$B$4&lt;&gt;"OR+EX",--(DATOS!$G739=CONFIG_METADATA!$B$4),IF(DATOS!$G739="EX",1,IF(DATOS!$G739="OR",--(COUNTIFS(nNIA,DATOS!$A739,nCURSO,DATOS!$D739,nESPEC,DATOS!$E739,nASIG,DATOS!$I739,nEVAL,"EX")=0),0))))</f>
      </c>
      <c r="H739">
        <f>IF(DATOS!$G739&lt;&gt;"EX",0,--(COUNTIFS(nNIA,DATOS!$A739,nCURSO,DATOS!$D739,nESPEC,DATOS!$E739,nASIG,DATOS!$I739,nEVAL,"OR")=0))</f>
      </c>
      <c r="I739">
        <f>IF(DATOS!$I739="","",IFERROR(VLOOKUP(DATOS!$I739,CONFIG_ASIGNATURAS!$B$2:$J$91,9,FALSE()),""))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IF(DATOS!$A740="",0,IF(CONFIG_METADATA!$B$4&lt;&gt;"OR+EX",--(DATOS!$G740=CONFIG_METADATA!$B$4),IF(DATOS!$G740="EX",1,IF(DATOS!$G740="OR",--(COUNTIFS(nNIA,DATOS!$A740,nCURSO,DATOS!$D740,nESPEC,DATOS!$E740,nASIG,DATOS!$I740,nEVAL,"EX")=0),0))))</f>
      </c>
      <c r="H740">
        <f>IF(DATOS!$G740&lt;&gt;"EX",0,--(COUNTIFS(nNIA,DATOS!$A740,nCURSO,DATOS!$D740,nESPEC,DATOS!$E740,nASIG,DATOS!$I740,nEVAL,"OR")=0))</f>
      </c>
      <c r="I740">
        <f>IF(DATOS!$I740="","",IFERROR(VLOOKUP(DATOS!$I740,CONFIG_ASIGNATURAS!$B$2:$J$91,9,FALSE()),""))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IF(DATOS!$A741="",0,IF(CONFIG_METADATA!$B$4&lt;&gt;"OR+EX",--(DATOS!$G741=CONFIG_METADATA!$B$4),IF(DATOS!$G741="EX",1,IF(DATOS!$G741="OR",--(COUNTIFS(nNIA,DATOS!$A741,nCURSO,DATOS!$D741,nESPEC,DATOS!$E741,nASIG,DATOS!$I741,nEVAL,"EX")=0),0))))</f>
      </c>
      <c r="H741">
        <f>IF(DATOS!$G741&lt;&gt;"EX",0,--(COUNTIFS(nNIA,DATOS!$A741,nCURSO,DATOS!$D741,nESPEC,DATOS!$E741,nASIG,DATOS!$I741,nEVAL,"OR")=0))</f>
      </c>
      <c r="I741">
        <f>IF(DATOS!$I741="","",IFERROR(VLOOKUP(DATOS!$I741,CONFIG_ASIGNATURAS!$B$2:$J$91,9,FALSE()),""))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IF(DATOS!$A742="",0,IF(CONFIG_METADATA!$B$4&lt;&gt;"OR+EX",--(DATOS!$G742=CONFIG_METADATA!$B$4),IF(DATOS!$G742="EX",1,IF(DATOS!$G742="OR",--(COUNTIFS(nNIA,DATOS!$A742,nCURSO,DATOS!$D742,nESPEC,DATOS!$E742,nASIG,DATOS!$I742,nEVAL,"EX")=0),0))))</f>
      </c>
      <c r="H742">
        <f>IF(DATOS!$G742&lt;&gt;"EX",0,--(COUNTIFS(nNIA,DATOS!$A742,nCURSO,DATOS!$D742,nESPEC,DATOS!$E742,nASIG,DATOS!$I742,nEVAL,"OR")=0))</f>
      </c>
      <c r="I742">
        <f>IF(DATOS!$I742="","",IFERROR(VLOOKUP(DATOS!$I742,CONFIG_ASIGNATURAS!$B$2:$J$91,9,FALSE()),""))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IF(DATOS!$A743="",0,IF(CONFIG_METADATA!$B$4&lt;&gt;"OR+EX",--(DATOS!$G743=CONFIG_METADATA!$B$4),IF(DATOS!$G743="EX",1,IF(DATOS!$G743="OR",--(COUNTIFS(nNIA,DATOS!$A743,nCURSO,DATOS!$D743,nESPEC,DATOS!$E743,nASIG,DATOS!$I743,nEVAL,"EX")=0),0))))</f>
      </c>
      <c r="H743">
        <f>IF(DATOS!$G743&lt;&gt;"EX",0,--(COUNTIFS(nNIA,DATOS!$A743,nCURSO,DATOS!$D743,nESPEC,DATOS!$E743,nASIG,DATOS!$I743,nEVAL,"OR")=0))</f>
      </c>
      <c r="I743">
        <f>IF(DATOS!$I743="","",IFERROR(VLOOKUP(DATOS!$I743,CONFIG_ASIGNATURAS!$B$2:$J$91,9,FALSE()),""))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IF(DATOS!$A744="",0,IF(CONFIG_METADATA!$B$4&lt;&gt;"OR+EX",--(DATOS!$G744=CONFIG_METADATA!$B$4),IF(DATOS!$G744="EX",1,IF(DATOS!$G744="OR",--(COUNTIFS(nNIA,DATOS!$A744,nCURSO,DATOS!$D744,nESPEC,DATOS!$E744,nASIG,DATOS!$I744,nEVAL,"EX")=0),0))))</f>
      </c>
      <c r="H744">
        <f>IF(DATOS!$G744&lt;&gt;"EX",0,--(COUNTIFS(nNIA,DATOS!$A744,nCURSO,DATOS!$D744,nESPEC,DATOS!$E744,nASIG,DATOS!$I744,nEVAL,"OR")=0))</f>
      </c>
      <c r="I744">
        <f>IF(DATOS!$I744="","",IFERROR(VLOOKUP(DATOS!$I744,CONFIG_ASIGNATURAS!$B$2:$J$91,9,FALSE()),""))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IF(DATOS!$A745="",0,IF(CONFIG_METADATA!$B$4&lt;&gt;"OR+EX",--(DATOS!$G745=CONFIG_METADATA!$B$4),IF(DATOS!$G745="EX",1,IF(DATOS!$G745="OR",--(COUNTIFS(nNIA,DATOS!$A745,nCURSO,DATOS!$D745,nESPEC,DATOS!$E745,nASIG,DATOS!$I745,nEVAL,"EX")=0),0))))</f>
      </c>
      <c r="H745">
        <f>IF(DATOS!$G745&lt;&gt;"EX",0,--(COUNTIFS(nNIA,DATOS!$A745,nCURSO,DATOS!$D745,nESPEC,DATOS!$E745,nASIG,DATOS!$I745,nEVAL,"OR")=0))</f>
      </c>
      <c r="I745">
        <f>IF(DATOS!$I745="","",IFERROR(VLOOKUP(DATOS!$I745,CONFIG_ASIGNATURAS!$B$2:$J$91,9,FALSE()),""))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IF(DATOS!$A746="",0,IF(CONFIG_METADATA!$B$4&lt;&gt;"OR+EX",--(DATOS!$G746=CONFIG_METADATA!$B$4),IF(DATOS!$G746="EX",1,IF(DATOS!$G746="OR",--(COUNTIFS(nNIA,DATOS!$A746,nCURSO,DATOS!$D746,nESPEC,DATOS!$E746,nASIG,DATOS!$I746,nEVAL,"EX")=0),0))))</f>
      </c>
      <c r="H746">
        <f>IF(DATOS!$G746&lt;&gt;"EX",0,--(COUNTIFS(nNIA,DATOS!$A746,nCURSO,DATOS!$D746,nESPEC,DATOS!$E746,nASIG,DATOS!$I746,nEVAL,"OR")=0))</f>
      </c>
      <c r="I746">
        <f>IF(DATOS!$I746="","",IFERROR(VLOOKUP(DATOS!$I746,CONFIG_ASIGNATURAS!$B$2:$J$91,9,FALSE()),""))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IF(DATOS!$A747="",0,IF(CONFIG_METADATA!$B$4&lt;&gt;"OR+EX",--(DATOS!$G747=CONFIG_METADATA!$B$4),IF(DATOS!$G747="EX",1,IF(DATOS!$G747="OR",--(COUNTIFS(nNIA,DATOS!$A747,nCURSO,DATOS!$D747,nESPEC,DATOS!$E747,nASIG,DATOS!$I747,nEVAL,"EX")=0),0))))</f>
      </c>
      <c r="H747">
        <f>IF(DATOS!$G747&lt;&gt;"EX",0,--(COUNTIFS(nNIA,DATOS!$A747,nCURSO,DATOS!$D747,nESPEC,DATOS!$E747,nASIG,DATOS!$I747,nEVAL,"OR")=0))</f>
      </c>
      <c r="I747">
        <f>IF(DATOS!$I747="","",IFERROR(VLOOKUP(DATOS!$I747,CONFIG_ASIGNATURAS!$B$2:$J$91,9,FALSE()),""))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IF(DATOS!$A748="",0,IF(CONFIG_METADATA!$B$4&lt;&gt;"OR+EX",--(DATOS!$G748=CONFIG_METADATA!$B$4),IF(DATOS!$G748="EX",1,IF(DATOS!$G748="OR",--(COUNTIFS(nNIA,DATOS!$A748,nCURSO,DATOS!$D748,nESPEC,DATOS!$E748,nASIG,DATOS!$I748,nEVAL,"EX")=0),0))))</f>
      </c>
      <c r="H748">
        <f>IF(DATOS!$G748&lt;&gt;"EX",0,--(COUNTIFS(nNIA,DATOS!$A748,nCURSO,DATOS!$D748,nESPEC,DATOS!$E748,nASIG,DATOS!$I748,nEVAL,"OR")=0))</f>
      </c>
      <c r="I748">
        <f>IF(DATOS!$I748="","",IFERROR(VLOOKUP(DATOS!$I748,CONFIG_ASIGNATURAS!$B$2:$J$91,9,FALSE()),""))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IF(DATOS!$A749="",0,IF(CONFIG_METADATA!$B$4&lt;&gt;"OR+EX",--(DATOS!$G749=CONFIG_METADATA!$B$4),IF(DATOS!$G749="EX",1,IF(DATOS!$G749="OR",--(COUNTIFS(nNIA,DATOS!$A749,nCURSO,DATOS!$D749,nESPEC,DATOS!$E749,nASIG,DATOS!$I749,nEVAL,"EX")=0),0))))</f>
      </c>
      <c r="H749">
        <f>IF(DATOS!$G749&lt;&gt;"EX",0,--(COUNTIFS(nNIA,DATOS!$A749,nCURSO,DATOS!$D749,nESPEC,DATOS!$E749,nASIG,DATOS!$I749,nEVAL,"OR")=0))</f>
      </c>
      <c r="I749">
        <f>IF(DATOS!$I749="","",IFERROR(VLOOKUP(DATOS!$I749,CONFIG_ASIGNATURAS!$B$2:$J$91,9,FALSE()),""))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IF(DATOS!$A750="",0,IF(CONFIG_METADATA!$B$4&lt;&gt;"OR+EX",--(DATOS!$G750=CONFIG_METADATA!$B$4),IF(DATOS!$G750="EX",1,IF(DATOS!$G750="OR",--(COUNTIFS(nNIA,DATOS!$A750,nCURSO,DATOS!$D750,nESPEC,DATOS!$E750,nASIG,DATOS!$I750,nEVAL,"EX")=0),0))))</f>
      </c>
      <c r="H750">
        <f>IF(DATOS!$G750&lt;&gt;"EX",0,--(COUNTIFS(nNIA,DATOS!$A750,nCURSO,DATOS!$D750,nESPEC,DATOS!$E750,nASIG,DATOS!$I750,nEVAL,"OR")=0))</f>
      </c>
      <c r="I750">
        <f>IF(DATOS!$I750="","",IFERROR(VLOOKUP(DATOS!$I750,CONFIG_ASIGNATURAS!$B$2:$J$91,9,FALSE()),""))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IF(DATOS!$A751="",0,IF(CONFIG_METADATA!$B$4&lt;&gt;"OR+EX",--(DATOS!$G751=CONFIG_METADATA!$B$4),IF(DATOS!$G751="EX",1,IF(DATOS!$G751="OR",--(COUNTIFS(nNIA,DATOS!$A751,nCURSO,DATOS!$D751,nESPEC,DATOS!$E751,nASIG,DATOS!$I751,nEVAL,"EX")=0),0))))</f>
      </c>
      <c r="H751">
        <f>IF(DATOS!$G751&lt;&gt;"EX",0,--(COUNTIFS(nNIA,DATOS!$A751,nCURSO,DATOS!$D751,nESPEC,DATOS!$E751,nASIG,DATOS!$I751,nEVAL,"OR")=0))</f>
      </c>
      <c r="I751">
        <f>IF(DATOS!$I751="","",IFERROR(VLOOKUP(DATOS!$I751,CONFIG_ASIGNATURAS!$B$2:$J$91,9,FALSE()),""))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IF(DATOS!$A752="",0,IF(CONFIG_METADATA!$B$4&lt;&gt;"OR+EX",--(DATOS!$G752=CONFIG_METADATA!$B$4),IF(DATOS!$G752="EX",1,IF(DATOS!$G752="OR",--(COUNTIFS(nNIA,DATOS!$A752,nCURSO,DATOS!$D752,nESPEC,DATOS!$E752,nASIG,DATOS!$I752,nEVAL,"EX")=0),0))))</f>
      </c>
      <c r="H752">
        <f>IF(DATOS!$G752&lt;&gt;"EX",0,--(COUNTIFS(nNIA,DATOS!$A752,nCURSO,DATOS!$D752,nESPEC,DATOS!$E752,nASIG,DATOS!$I752,nEVAL,"OR")=0))</f>
      </c>
      <c r="I752">
        <f>IF(DATOS!$I752="","",IFERROR(VLOOKUP(DATOS!$I752,CONFIG_ASIGNATURAS!$B$2:$J$91,9,FALSE()),""))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IF(DATOS!$A753="",0,IF(CONFIG_METADATA!$B$4&lt;&gt;"OR+EX",--(DATOS!$G753=CONFIG_METADATA!$B$4),IF(DATOS!$G753="EX",1,IF(DATOS!$G753="OR",--(COUNTIFS(nNIA,DATOS!$A753,nCURSO,DATOS!$D753,nESPEC,DATOS!$E753,nASIG,DATOS!$I753,nEVAL,"EX")=0),0))))</f>
      </c>
      <c r="H753">
        <f>IF(DATOS!$G753&lt;&gt;"EX",0,--(COUNTIFS(nNIA,DATOS!$A753,nCURSO,DATOS!$D753,nESPEC,DATOS!$E753,nASIG,DATOS!$I753,nEVAL,"OR")=0))</f>
      </c>
      <c r="I753">
        <f>IF(DATOS!$I753="","",IFERROR(VLOOKUP(DATOS!$I753,CONFIG_ASIGNATURAS!$B$2:$J$91,9,FALSE()),""))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IF(DATOS!$A754="",0,IF(CONFIG_METADATA!$B$4&lt;&gt;"OR+EX",--(DATOS!$G754=CONFIG_METADATA!$B$4),IF(DATOS!$G754="EX",1,IF(DATOS!$G754="OR",--(COUNTIFS(nNIA,DATOS!$A754,nCURSO,DATOS!$D754,nESPEC,DATOS!$E754,nASIG,DATOS!$I754,nEVAL,"EX")=0),0))))</f>
      </c>
      <c r="H754">
        <f>IF(DATOS!$G754&lt;&gt;"EX",0,--(COUNTIFS(nNIA,DATOS!$A754,nCURSO,DATOS!$D754,nESPEC,DATOS!$E754,nASIG,DATOS!$I754,nEVAL,"OR")=0))</f>
      </c>
      <c r="I754">
        <f>IF(DATOS!$I754="","",IFERROR(VLOOKUP(DATOS!$I754,CONFIG_ASIGNATURAS!$B$2:$J$91,9,FALSE()),""))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IF(DATOS!$A755="",0,IF(CONFIG_METADATA!$B$4&lt;&gt;"OR+EX",--(DATOS!$G755=CONFIG_METADATA!$B$4),IF(DATOS!$G755="EX",1,IF(DATOS!$G755="OR",--(COUNTIFS(nNIA,DATOS!$A755,nCURSO,DATOS!$D755,nESPEC,DATOS!$E755,nASIG,DATOS!$I755,nEVAL,"EX")=0),0))))</f>
      </c>
      <c r="H755">
        <f>IF(DATOS!$G755&lt;&gt;"EX",0,--(COUNTIFS(nNIA,DATOS!$A755,nCURSO,DATOS!$D755,nESPEC,DATOS!$E755,nASIG,DATOS!$I755,nEVAL,"OR")=0))</f>
      </c>
      <c r="I755">
        <f>IF(DATOS!$I755="","",IFERROR(VLOOKUP(DATOS!$I755,CONFIG_ASIGNATURAS!$B$2:$J$91,9,FALSE()),""))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IF(DATOS!$A756="",0,IF(CONFIG_METADATA!$B$4&lt;&gt;"OR+EX",--(DATOS!$G756=CONFIG_METADATA!$B$4),IF(DATOS!$G756="EX",1,IF(DATOS!$G756="OR",--(COUNTIFS(nNIA,DATOS!$A756,nCURSO,DATOS!$D756,nESPEC,DATOS!$E756,nASIG,DATOS!$I756,nEVAL,"EX")=0),0))))</f>
      </c>
      <c r="H756">
        <f>IF(DATOS!$G756&lt;&gt;"EX",0,--(COUNTIFS(nNIA,DATOS!$A756,nCURSO,DATOS!$D756,nESPEC,DATOS!$E756,nASIG,DATOS!$I756,nEVAL,"OR")=0))</f>
      </c>
      <c r="I756">
        <f>IF(DATOS!$I756="","",IFERROR(VLOOKUP(DATOS!$I756,CONFIG_ASIGNATURAS!$B$2:$J$91,9,FALSE()),""))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IF(DATOS!$A757="",0,IF(CONFIG_METADATA!$B$4&lt;&gt;"OR+EX",--(DATOS!$G757=CONFIG_METADATA!$B$4),IF(DATOS!$G757="EX",1,IF(DATOS!$G757="OR",--(COUNTIFS(nNIA,DATOS!$A757,nCURSO,DATOS!$D757,nESPEC,DATOS!$E757,nASIG,DATOS!$I757,nEVAL,"EX")=0),0))))</f>
      </c>
      <c r="H757">
        <f>IF(DATOS!$G757&lt;&gt;"EX",0,--(COUNTIFS(nNIA,DATOS!$A757,nCURSO,DATOS!$D757,nESPEC,DATOS!$E757,nASIG,DATOS!$I757,nEVAL,"OR")=0))</f>
      </c>
      <c r="I757">
        <f>IF(DATOS!$I757="","",IFERROR(VLOOKUP(DATOS!$I757,CONFIG_ASIGNATURAS!$B$2:$J$91,9,FALSE()),""))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IF(DATOS!$A758="",0,IF(CONFIG_METADATA!$B$4&lt;&gt;"OR+EX",--(DATOS!$G758=CONFIG_METADATA!$B$4),IF(DATOS!$G758="EX",1,IF(DATOS!$G758="OR",--(COUNTIFS(nNIA,DATOS!$A758,nCURSO,DATOS!$D758,nESPEC,DATOS!$E758,nASIG,DATOS!$I758,nEVAL,"EX")=0),0))))</f>
      </c>
      <c r="H758">
        <f>IF(DATOS!$G758&lt;&gt;"EX",0,--(COUNTIFS(nNIA,DATOS!$A758,nCURSO,DATOS!$D758,nESPEC,DATOS!$E758,nASIG,DATOS!$I758,nEVAL,"OR")=0))</f>
      </c>
      <c r="I758">
        <f>IF(DATOS!$I758="","",IFERROR(VLOOKUP(DATOS!$I758,CONFIG_ASIGNATURAS!$B$2:$J$91,9,FALSE()),""))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IF(DATOS!$A759="",0,IF(CONFIG_METADATA!$B$4&lt;&gt;"OR+EX",--(DATOS!$G759=CONFIG_METADATA!$B$4),IF(DATOS!$G759="EX",1,IF(DATOS!$G759="OR",--(COUNTIFS(nNIA,DATOS!$A759,nCURSO,DATOS!$D759,nESPEC,DATOS!$E759,nASIG,DATOS!$I759,nEVAL,"EX")=0),0))))</f>
      </c>
      <c r="H759">
        <f>IF(DATOS!$G759&lt;&gt;"EX",0,--(COUNTIFS(nNIA,DATOS!$A759,nCURSO,DATOS!$D759,nESPEC,DATOS!$E759,nASIG,DATOS!$I759,nEVAL,"OR")=0))</f>
      </c>
      <c r="I759">
        <f>IF(DATOS!$I759="","",IFERROR(VLOOKUP(DATOS!$I759,CONFIG_ASIGNATURAS!$B$2:$J$91,9,FALSE()),""))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IF(DATOS!$A760="",0,IF(CONFIG_METADATA!$B$4&lt;&gt;"OR+EX",--(DATOS!$G760=CONFIG_METADATA!$B$4),IF(DATOS!$G760="EX",1,IF(DATOS!$G760="OR",--(COUNTIFS(nNIA,DATOS!$A760,nCURSO,DATOS!$D760,nESPEC,DATOS!$E760,nASIG,DATOS!$I760,nEVAL,"EX")=0),0))))</f>
      </c>
      <c r="H760">
        <f>IF(DATOS!$G760&lt;&gt;"EX",0,--(COUNTIFS(nNIA,DATOS!$A760,nCURSO,DATOS!$D760,nESPEC,DATOS!$E760,nASIG,DATOS!$I760,nEVAL,"OR")=0))</f>
      </c>
      <c r="I760">
        <f>IF(DATOS!$I760="","",IFERROR(VLOOKUP(DATOS!$I760,CONFIG_ASIGNATURAS!$B$2:$J$91,9,FALSE()),""))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IF(DATOS!$A761="",0,IF(CONFIG_METADATA!$B$4&lt;&gt;"OR+EX",--(DATOS!$G761=CONFIG_METADATA!$B$4),IF(DATOS!$G761="EX",1,IF(DATOS!$G761="OR",--(COUNTIFS(nNIA,DATOS!$A761,nCURSO,DATOS!$D761,nESPEC,DATOS!$E761,nASIG,DATOS!$I761,nEVAL,"EX")=0),0))))</f>
      </c>
      <c r="H761">
        <f>IF(DATOS!$G761&lt;&gt;"EX",0,--(COUNTIFS(nNIA,DATOS!$A761,nCURSO,DATOS!$D761,nESPEC,DATOS!$E761,nASIG,DATOS!$I761,nEVAL,"OR")=0))</f>
      </c>
      <c r="I761">
        <f>IF(DATOS!$I761="","",IFERROR(VLOOKUP(DATOS!$I761,CONFIG_ASIGNATURAS!$B$2:$J$91,9,FALSE()),""))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IF(DATOS!$A762="",0,IF(CONFIG_METADATA!$B$4&lt;&gt;"OR+EX",--(DATOS!$G762=CONFIG_METADATA!$B$4),IF(DATOS!$G762="EX",1,IF(DATOS!$G762="OR",--(COUNTIFS(nNIA,DATOS!$A762,nCURSO,DATOS!$D762,nESPEC,DATOS!$E762,nASIG,DATOS!$I762,nEVAL,"EX")=0),0))))</f>
      </c>
      <c r="H762">
        <f>IF(DATOS!$G762&lt;&gt;"EX",0,--(COUNTIFS(nNIA,DATOS!$A762,nCURSO,DATOS!$D762,nESPEC,DATOS!$E762,nASIG,DATOS!$I762,nEVAL,"OR")=0))</f>
      </c>
      <c r="I762">
        <f>IF(DATOS!$I762="","",IFERROR(VLOOKUP(DATOS!$I762,CONFIG_ASIGNATURAS!$B$2:$J$91,9,FALSE()),""))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IF(DATOS!$A763="",0,IF(CONFIG_METADATA!$B$4&lt;&gt;"OR+EX",--(DATOS!$G763=CONFIG_METADATA!$B$4),IF(DATOS!$G763="EX",1,IF(DATOS!$G763="OR",--(COUNTIFS(nNIA,DATOS!$A763,nCURSO,DATOS!$D763,nESPEC,DATOS!$E763,nASIG,DATOS!$I763,nEVAL,"EX")=0),0))))</f>
      </c>
      <c r="H763">
        <f>IF(DATOS!$G763&lt;&gt;"EX",0,--(COUNTIFS(nNIA,DATOS!$A763,nCURSO,DATOS!$D763,nESPEC,DATOS!$E763,nASIG,DATOS!$I763,nEVAL,"OR")=0))</f>
      </c>
      <c r="I763">
        <f>IF(DATOS!$I763="","",IFERROR(VLOOKUP(DATOS!$I763,CONFIG_ASIGNATURAS!$B$2:$J$91,9,FALSE()),""))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IF(DATOS!$A764="",0,IF(CONFIG_METADATA!$B$4&lt;&gt;"OR+EX",--(DATOS!$G764=CONFIG_METADATA!$B$4),IF(DATOS!$G764="EX",1,IF(DATOS!$G764="OR",--(COUNTIFS(nNIA,DATOS!$A764,nCURSO,DATOS!$D764,nESPEC,DATOS!$E764,nASIG,DATOS!$I764,nEVAL,"EX")=0),0))))</f>
      </c>
      <c r="H764">
        <f>IF(DATOS!$G764&lt;&gt;"EX",0,--(COUNTIFS(nNIA,DATOS!$A764,nCURSO,DATOS!$D764,nESPEC,DATOS!$E764,nASIG,DATOS!$I764,nEVAL,"OR")=0))</f>
      </c>
      <c r="I764">
        <f>IF(DATOS!$I764="","",IFERROR(VLOOKUP(DATOS!$I764,CONFIG_ASIGNATURAS!$B$2:$J$91,9,FALSE()),""))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IF(DATOS!$A765="",0,IF(CONFIG_METADATA!$B$4&lt;&gt;"OR+EX",--(DATOS!$G765=CONFIG_METADATA!$B$4),IF(DATOS!$G765="EX",1,IF(DATOS!$G765="OR",--(COUNTIFS(nNIA,DATOS!$A765,nCURSO,DATOS!$D765,nESPEC,DATOS!$E765,nASIG,DATOS!$I765,nEVAL,"EX")=0),0))))</f>
      </c>
      <c r="H765">
        <f>IF(DATOS!$G765&lt;&gt;"EX",0,--(COUNTIFS(nNIA,DATOS!$A765,nCURSO,DATOS!$D765,nESPEC,DATOS!$E765,nASIG,DATOS!$I765,nEVAL,"OR")=0))</f>
      </c>
      <c r="I765">
        <f>IF(DATOS!$I765="","",IFERROR(VLOOKUP(DATOS!$I765,CONFIG_ASIGNATURAS!$B$2:$J$91,9,FALSE()),""))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IF(DATOS!$A766="",0,IF(CONFIG_METADATA!$B$4&lt;&gt;"OR+EX",--(DATOS!$G766=CONFIG_METADATA!$B$4),IF(DATOS!$G766="EX",1,IF(DATOS!$G766="OR",--(COUNTIFS(nNIA,DATOS!$A766,nCURSO,DATOS!$D766,nESPEC,DATOS!$E766,nASIG,DATOS!$I766,nEVAL,"EX")=0),0))))</f>
      </c>
      <c r="H766">
        <f>IF(DATOS!$G766&lt;&gt;"EX",0,--(COUNTIFS(nNIA,DATOS!$A766,nCURSO,DATOS!$D766,nESPEC,DATOS!$E766,nASIG,DATOS!$I766,nEVAL,"OR")=0))</f>
      </c>
      <c r="I766">
        <f>IF(DATOS!$I766="","",IFERROR(VLOOKUP(DATOS!$I766,CONFIG_ASIGNATURAS!$B$2:$J$91,9,FALSE()),""))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IF(DATOS!$A767="",0,IF(CONFIG_METADATA!$B$4&lt;&gt;"OR+EX",--(DATOS!$G767=CONFIG_METADATA!$B$4),IF(DATOS!$G767="EX",1,IF(DATOS!$G767="OR",--(COUNTIFS(nNIA,DATOS!$A767,nCURSO,DATOS!$D767,nESPEC,DATOS!$E767,nASIG,DATOS!$I767,nEVAL,"EX")=0),0))))</f>
      </c>
      <c r="H767">
        <f>IF(DATOS!$G767&lt;&gt;"EX",0,--(COUNTIFS(nNIA,DATOS!$A767,nCURSO,DATOS!$D767,nESPEC,DATOS!$E767,nASIG,DATOS!$I767,nEVAL,"OR")=0))</f>
      </c>
      <c r="I767">
        <f>IF(DATOS!$I767="","",IFERROR(VLOOKUP(DATOS!$I767,CONFIG_ASIGNATURAS!$B$2:$J$91,9,FALSE()),""))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IF(DATOS!$A768="",0,IF(CONFIG_METADATA!$B$4&lt;&gt;"OR+EX",--(DATOS!$G768=CONFIG_METADATA!$B$4),IF(DATOS!$G768="EX",1,IF(DATOS!$G768="OR",--(COUNTIFS(nNIA,DATOS!$A768,nCURSO,DATOS!$D768,nESPEC,DATOS!$E768,nASIG,DATOS!$I768,nEVAL,"EX")=0),0))))</f>
      </c>
      <c r="H768">
        <f>IF(DATOS!$G768&lt;&gt;"EX",0,--(COUNTIFS(nNIA,DATOS!$A768,nCURSO,DATOS!$D768,nESPEC,DATOS!$E768,nASIG,DATOS!$I768,nEVAL,"OR")=0))</f>
      </c>
      <c r="I768">
        <f>IF(DATOS!$I768="","",IFERROR(VLOOKUP(DATOS!$I768,CONFIG_ASIGNATURAS!$B$2:$J$91,9,FALSE()),""))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IF(DATOS!$A769="",0,IF(CONFIG_METADATA!$B$4&lt;&gt;"OR+EX",--(DATOS!$G769=CONFIG_METADATA!$B$4),IF(DATOS!$G769="EX",1,IF(DATOS!$G769="OR",--(COUNTIFS(nNIA,DATOS!$A769,nCURSO,DATOS!$D769,nESPEC,DATOS!$E769,nASIG,DATOS!$I769,nEVAL,"EX")=0),0))))</f>
      </c>
      <c r="H769">
        <f>IF(DATOS!$G769&lt;&gt;"EX",0,--(COUNTIFS(nNIA,DATOS!$A769,nCURSO,DATOS!$D769,nESPEC,DATOS!$E769,nASIG,DATOS!$I769,nEVAL,"OR")=0))</f>
      </c>
      <c r="I769">
        <f>IF(DATOS!$I769="","",IFERROR(VLOOKUP(DATOS!$I769,CONFIG_ASIGNATURAS!$B$2:$J$91,9,FALSE()),""))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IF(DATOS!$A770="",0,IF(CONFIG_METADATA!$B$4&lt;&gt;"OR+EX",--(DATOS!$G770=CONFIG_METADATA!$B$4),IF(DATOS!$G770="EX",1,IF(DATOS!$G770="OR",--(COUNTIFS(nNIA,DATOS!$A770,nCURSO,DATOS!$D770,nESPEC,DATOS!$E770,nASIG,DATOS!$I770,nEVAL,"EX")=0),0))))</f>
      </c>
      <c r="H770">
        <f>IF(DATOS!$G770&lt;&gt;"EX",0,--(COUNTIFS(nNIA,DATOS!$A770,nCURSO,DATOS!$D770,nESPEC,DATOS!$E770,nASIG,DATOS!$I770,nEVAL,"OR")=0))</f>
      </c>
      <c r="I770">
        <f>IF(DATOS!$I770="","",IFERROR(VLOOKUP(DATOS!$I770,CONFIG_ASIGNATURAS!$B$2:$J$91,9,FALSE()),""))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IF(DATOS!$A771="",0,IF(CONFIG_METADATA!$B$4&lt;&gt;"OR+EX",--(DATOS!$G771=CONFIG_METADATA!$B$4),IF(DATOS!$G771="EX",1,IF(DATOS!$G771="OR",--(COUNTIFS(nNIA,DATOS!$A771,nCURSO,DATOS!$D771,nESPEC,DATOS!$E771,nASIG,DATOS!$I771,nEVAL,"EX")=0),0))))</f>
      </c>
      <c r="H771">
        <f>IF(DATOS!$G771&lt;&gt;"EX",0,--(COUNTIFS(nNIA,DATOS!$A771,nCURSO,DATOS!$D771,nESPEC,DATOS!$E771,nASIG,DATOS!$I771,nEVAL,"OR")=0))</f>
      </c>
      <c r="I771">
        <f>IF(DATOS!$I771="","",IFERROR(VLOOKUP(DATOS!$I771,CONFIG_ASIGNATURAS!$B$2:$J$91,9,FALSE()),""))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IF(DATOS!$A772="",0,IF(CONFIG_METADATA!$B$4&lt;&gt;"OR+EX",--(DATOS!$G772=CONFIG_METADATA!$B$4),IF(DATOS!$G772="EX",1,IF(DATOS!$G772="OR",--(COUNTIFS(nNIA,DATOS!$A772,nCURSO,DATOS!$D772,nESPEC,DATOS!$E772,nASIG,DATOS!$I772,nEVAL,"EX")=0),0))))</f>
      </c>
      <c r="H772">
        <f>IF(DATOS!$G772&lt;&gt;"EX",0,--(COUNTIFS(nNIA,DATOS!$A772,nCURSO,DATOS!$D772,nESPEC,DATOS!$E772,nASIG,DATOS!$I772,nEVAL,"OR")=0))</f>
      </c>
      <c r="I772">
        <f>IF(DATOS!$I772="","",IFERROR(VLOOKUP(DATOS!$I772,CONFIG_ASIGNATURAS!$B$2:$J$91,9,FALSE()),""))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IF(DATOS!$A773="",0,IF(CONFIG_METADATA!$B$4&lt;&gt;"OR+EX",--(DATOS!$G773=CONFIG_METADATA!$B$4),IF(DATOS!$G773="EX",1,IF(DATOS!$G773="OR",--(COUNTIFS(nNIA,DATOS!$A773,nCURSO,DATOS!$D773,nESPEC,DATOS!$E773,nASIG,DATOS!$I773,nEVAL,"EX")=0),0))))</f>
      </c>
      <c r="H773">
        <f>IF(DATOS!$G773&lt;&gt;"EX",0,--(COUNTIFS(nNIA,DATOS!$A773,nCURSO,DATOS!$D773,nESPEC,DATOS!$E773,nASIG,DATOS!$I773,nEVAL,"OR")=0))</f>
      </c>
      <c r="I773">
        <f>IF(DATOS!$I773="","",IFERROR(VLOOKUP(DATOS!$I773,CONFIG_ASIGNATURAS!$B$2:$J$91,9,FALSE()),""))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IF(DATOS!$A774="",0,IF(CONFIG_METADATA!$B$4&lt;&gt;"OR+EX",--(DATOS!$G774=CONFIG_METADATA!$B$4),IF(DATOS!$G774="EX",1,IF(DATOS!$G774="OR",--(COUNTIFS(nNIA,DATOS!$A774,nCURSO,DATOS!$D774,nESPEC,DATOS!$E774,nASIG,DATOS!$I774,nEVAL,"EX")=0),0))))</f>
      </c>
      <c r="H774">
        <f>IF(DATOS!$G774&lt;&gt;"EX",0,--(COUNTIFS(nNIA,DATOS!$A774,nCURSO,DATOS!$D774,nESPEC,DATOS!$E774,nASIG,DATOS!$I774,nEVAL,"OR")=0))</f>
      </c>
      <c r="I774">
        <f>IF(DATOS!$I774="","",IFERROR(VLOOKUP(DATOS!$I774,CONFIG_ASIGNATURAS!$B$2:$J$91,9,FALSE()),""))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IF(DATOS!$A775="",0,IF(CONFIG_METADATA!$B$4&lt;&gt;"OR+EX",--(DATOS!$G775=CONFIG_METADATA!$B$4),IF(DATOS!$G775="EX",1,IF(DATOS!$G775="OR",--(COUNTIFS(nNIA,DATOS!$A775,nCURSO,DATOS!$D775,nESPEC,DATOS!$E775,nASIG,DATOS!$I775,nEVAL,"EX")=0),0))))</f>
      </c>
      <c r="H775">
        <f>IF(DATOS!$G775&lt;&gt;"EX",0,--(COUNTIFS(nNIA,DATOS!$A775,nCURSO,DATOS!$D775,nESPEC,DATOS!$E775,nASIG,DATOS!$I775,nEVAL,"OR")=0))</f>
      </c>
      <c r="I775">
        <f>IF(DATOS!$I775="","",IFERROR(VLOOKUP(DATOS!$I775,CONFIG_ASIGNATURAS!$B$2:$J$91,9,FALSE()),""))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IF(DATOS!$A776="",0,IF(CONFIG_METADATA!$B$4&lt;&gt;"OR+EX",--(DATOS!$G776=CONFIG_METADATA!$B$4),IF(DATOS!$G776="EX",1,IF(DATOS!$G776="OR",--(COUNTIFS(nNIA,DATOS!$A776,nCURSO,DATOS!$D776,nESPEC,DATOS!$E776,nASIG,DATOS!$I776,nEVAL,"EX")=0),0))))</f>
      </c>
      <c r="H776">
        <f>IF(DATOS!$G776&lt;&gt;"EX",0,--(COUNTIFS(nNIA,DATOS!$A776,nCURSO,DATOS!$D776,nESPEC,DATOS!$E776,nASIG,DATOS!$I776,nEVAL,"OR")=0))</f>
      </c>
      <c r="I776">
        <f>IF(DATOS!$I776="","",IFERROR(VLOOKUP(DATOS!$I776,CONFIG_ASIGNATURAS!$B$2:$J$91,9,FALSE()),""))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IF(DATOS!$A777="",0,IF(CONFIG_METADATA!$B$4&lt;&gt;"OR+EX",--(DATOS!$G777=CONFIG_METADATA!$B$4),IF(DATOS!$G777="EX",1,IF(DATOS!$G777="OR",--(COUNTIFS(nNIA,DATOS!$A777,nCURSO,DATOS!$D777,nESPEC,DATOS!$E777,nASIG,DATOS!$I777,nEVAL,"EX")=0),0))))</f>
      </c>
      <c r="H777">
        <f>IF(DATOS!$G777&lt;&gt;"EX",0,--(COUNTIFS(nNIA,DATOS!$A777,nCURSO,DATOS!$D777,nESPEC,DATOS!$E777,nASIG,DATOS!$I777,nEVAL,"OR")=0))</f>
      </c>
      <c r="I777">
        <f>IF(DATOS!$I777="","",IFERROR(VLOOKUP(DATOS!$I777,CONFIG_ASIGNATURAS!$B$2:$J$91,9,FALSE()),""))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IF(DATOS!$A778="",0,IF(CONFIG_METADATA!$B$4&lt;&gt;"OR+EX",--(DATOS!$G778=CONFIG_METADATA!$B$4),IF(DATOS!$G778="EX",1,IF(DATOS!$G778="OR",--(COUNTIFS(nNIA,DATOS!$A778,nCURSO,DATOS!$D778,nESPEC,DATOS!$E778,nASIG,DATOS!$I778,nEVAL,"EX")=0),0))))</f>
      </c>
      <c r="H778">
        <f>IF(DATOS!$G778&lt;&gt;"EX",0,--(COUNTIFS(nNIA,DATOS!$A778,nCURSO,DATOS!$D778,nESPEC,DATOS!$E778,nASIG,DATOS!$I778,nEVAL,"OR")=0))</f>
      </c>
      <c r="I778">
        <f>IF(DATOS!$I778="","",IFERROR(VLOOKUP(DATOS!$I778,CONFIG_ASIGNATURAS!$B$2:$J$91,9,FALSE()),""))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IF(DATOS!$A779="",0,IF(CONFIG_METADATA!$B$4&lt;&gt;"OR+EX",--(DATOS!$G779=CONFIG_METADATA!$B$4),IF(DATOS!$G779="EX",1,IF(DATOS!$G779="OR",--(COUNTIFS(nNIA,DATOS!$A779,nCURSO,DATOS!$D779,nESPEC,DATOS!$E779,nASIG,DATOS!$I779,nEVAL,"EX")=0),0))))</f>
      </c>
      <c r="H779">
        <f>IF(DATOS!$G779&lt;&gt;"EX",0,--(COUNTIFS(nNIA,DATOS!$A779,nCURSO,DATOS!$D779,nESPEC,DATOS!$E779,nASIG,DATOS!$I779,nEVAL,"OR")=0))</f>
      </c>
      <c r="I779">
        <f>IF(DATOS!$I779="","",IFERROR(VLOOKUP(DATOS!$I779,CONFIG_ASIGNATURAS!$B$2:$J$91,9,FALSE()),""))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IF(DATOS!$A780="",0,IF(CONFIG_METADATA!$B$4&lt;&gt;"OR+EX",--(DATOS!$G780=CONFIG_METADATA!$B$4),IF(DATOS!$G780="EX",1,IF(DATOS!$G780="OR",--(COUNTIFS(nNIA,DATOS!$A780,nCURSO,DATOS!$D780,nESPEC,DATOS!$E780,nASIG,DATOS!$I780,nEVAL,"EX")=0),0))))</f>
      </c>
      <c r="H780">
        <f>IF(DATOS!$G780&lt;&gt;"EX",0,--(COUNTIFS(nNIA,DATOS!$A780,nCURSO,DATOS!$D780,nESPEC,DATOS!$E780,nASIG,DATOS!$I780,nEVAL,"OR")=0))</f>
      </c>
      <c r="I780">
        <f>IF(DATOS!$I780="","",IFERROR(VLOOKUP(DATOS!$I780,CONFIG_ASIGNATURAS!$B$2:$J$91,9,FALSE()),""))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IF(DATOS!$A781="",0,IF(CONFIG_METADATA!$B$4&lt;&gt;"OR+EX",--(DATOS!$G781=CONFIG_METADATA!$B$4),IF(DATOS!$G781="EX",1,IF(DATOS!$G781="OR",--(COUNTIFS(nNIA,DATOS!$A781,nCURSO,DATOS!$D781,nESPEC,DATOS!$E781,nASIG,DATOS!$I781,nEVAL,"EX")=0),0))))</f>
      </c>
      <c r="H781">
        <f>IF(DATOS!$G781&lt;&gt;"EX",0,--(COUNTIFS(nNIA,DATOS!$A781,nCURSO,DATOS!$D781,nESPEC,DATOS!$E781,nASIG,DATOS!$I781,nEVAL,"OR")=0))</f>
      </c>
      <c r="I781">
        <f>IF(DATOS!$I781="","",IFERROR(VLOOKUP(DATOS!$I781,CONFIG_ASIGNATURAS!$B$2:$J$91,9,FALSE()),""))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IF(DATOS!$A782="",0,IF(CONFIG_METADATA!$B$4&lt;&gt;"OR+EX",--(DATOS!$G782=CONFIG_METADATA!$B$4),IF(DATOS!$G782="EX",1,IF(DATOS!$G782="OR",--(COUNTIFS(nNIA,DATOS!$A782,nCURSO,DATOS!$D782,nESPEC,DATOS!$E782,nASIG,DATOS!$I782,nEVAL,"EX")=0),0))))</f>
      </c>
      <c r="H782">
        <f>IF(DATOS!$G782&lt;&gt;"EX",0,--(COUNTIFS(nNIA,DATOS!$A782,nCURSO,DATOS!$D782,nESPEC,DATOS!$E782,nASIG,DATOS!$I782,nEVAL,"OR")=0))</f>
      </c>
      <c r="I782">
        <f>IF(DATOS!$I782="","",IFERROR(VLOOKUP(DATOS!$I782,CONFIG_ASIGNATURAS!$B$2:$J$91,9,FALSE()),""))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IF(DATOS!$A783="",0,IF(CONFIG_METADATA!$B$4&lt;&gt;"OR+EX",--(DATOS!$G783=CONFIG_METADATA!$B$4),IF(DATOS!$G783="EX",1,IF(DATOS!$G783="OR",--(COUNTIFS(nNIA,DATOS!$A783,nCURSO,DATOS!$D783,nESPEC,DATOS!$E783,nASIG,DATOS!$I783,nEVAL,"EX")=0),0))))</f>
      </c>
      <c r="H783">
        <f>IF(DATOS!$G783&lt;&gt;"EX",0,--(COUNTIFS(nNIA,DATOS!$A783,nCURSO,DATOS!$D783,nESPEC,DATOS!$E783,nASIG,DATOS!$I783,nEVAL,"OR")=0))</f>
      </c>
      <c r="I783">
        <f>IF(DATOS!$I783="","",IFERROR(VLOOKUP(DATOS!$I783,CONFIG_ASIGNATURAS!$B$2:$J$91,9,FALSE()),""))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IF(DATOS!$A784="",0,IF(CONFIG_METADATA!$B$4&lt;&gt;"OR+EX",--(DATOS!$G784=CONFIG_METADATA!$B$4),IF(DATOS!$G784="EX",1,IF(DATOS!$G784="OR",--(COUNTIFS(nNIA,DATOS!$A784,nCURSO,DATOS!$D784,nESPEC,DATOS!$E784,nASIG,DATOS!$I784,nEVAL,"EX")=0),0))))</f>
      </c>
      <c r="H784">
        <f>IF(DATOS!$G784&lt;&gt;"EX",0,--(COUNTIFS(nNIA,DATOS!$A784,nCURSO,DATOS!$D784,nESPEC,DATOS!$E784,nASIG,DATOS!$I784,nEVAL,"OR")=0))</f>
      </c>
      <c r="I784">
        <f>IF(DATOS!$I784="","",IFERROR(VLOOKUP(DATOS!$I784,CONFIG_ASIGNATURAS!$B$2:$J$91,9,FALSE()),""))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IF(DATOS!$A785="",0,IF(CONFIG_METADATA!$B$4&lt;&gt;"OR+EX",--(DATOS!$G785=CONFIG_METADATA!$B$4),IF(DATOS!$G785="EX",1,IF(DATOS!$G785="OR",--(COUNTIFS(nNIA,DATOS!$A785,nCURSO,DATOS!$D785,nESPEC,DATOS!$E785,nASIG,DATOS!$I785,nEVAL,"EX")=0),0))))</f>
      </c>
      <c r="H785">
        <f>IF(DATOS!$G785&lt;&gt;"EX",0,--(COUNTIFS(nNIA,DATOS!$A785,nCURSO,DATOS!$D785,nESPEC,DATOS!$E785,nASIG,DATOS!$I785,nEVAL,"OR")=0))</f>
      </c>
      <c r="I785">
        <f>IF(DATOS!$I785="","",IFERROR(VLOOKUP(DATOS!$I785,CONFIG_ASIGNATURAS!$B$2:$J$91,9,FALSE()),""))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IF(DATOS!$A786="",0,IF(CONFIG_METADATA!$B$4&lt;&gt;"OR+EX",--(DATOS!$G786=CONFIG_METADATA!$B$4),IF(DATOS!$G786="EX",1,IF(DATOS!$G786="OR",--(COUNTIFS(nNIA,DATOS!$A786,nCURSO,DATOS!$D786,nESPEC,DATOS!$E786,nASIG,DATOS!$I786,nEVAL,"EX")=0),0))))</f>
      </c>
      <c r="H786">
        <f>IF(DATOS!$G786&lt;&gt;"EX",0,--(COUNTIFS(nNIA,DATOS!$A786,nCURSO,DATOS!$D786,nESPEC,DATOS!$E786,nASIG,DATOS!$I786,nEVAL,"OR")=0))</f>
      </c>
      <c r="I786">
        <f>IF(DATOS!$I786="","",IFERROR(VLOOKUP(DATOS!$I786,CONFIG_ASIGNATURAS!$B$2:$J$91,9,FALSE()),""))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IF(DATOS!$A787="",0,IF(CONFIG_METADATA!$B$4&lt;&gt;"OR+EX",--(DATOS!$G787=CONFIG_METADATA!$B$4),IF(DATOS!$G787="EX",1,IF(DATOS!$G787="OR",--(COUNTIFS(nNIA,DATOS!$A787,nCURSO,DATOS!$D787,nESPEC,DATOS!$E787,nASIG,DATOS!$I787,nEVAL,"EX")=0),0))))</f>
      </c>
      <c r="H787">
        <f>IF(DATOS!$G787&lt;&gt;"EX",0,--(COUNTIFS(nNIA,DATOS!$A787,nCURSO,DATOS!$D787,nESPEC,DATOS!$E787,nASIG,DATOS!$I787,nEVAL,"OR")=0))</f>
      </c>
      <c r="I787">
        <f>IF(DATOS!$I787="","",IFERROR(VLOOKUP(DATOS!$I787,CONFIG_ASIGNATURAS!$B$2:$J$91,9,FALSE()),""))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IF(DATOS!$A788="",0,IF(CONFIG_METADATA!$B$4&lt;&gt;"OR+EX",--(DATOS!$G788=CONFIG_METADATA!$B$4),IF(DATOS!$G788="EX",1,IF(DATOS!$G788="OR",--(COUNTIFS(nNIA,DATOS!$A788,nCURSO,DATOS!$D788,nESPEC,DATOS!$E788,nASIG,DATOS!$I788,nEVAL,"EX")=0),0))))</f>
      </c>
      <c r="H788">
        <f>IF(DATOS!$G788&lt;&gt;"EX",0,--(COUNTIFS(nNIA,DATOS!$A788,nCURSO,DATOS!$D788,nESPEC,DATOS!$E788,nASIG,DATOS!$I788,nEVAL,"OR")=0))</f>
      </c>
      <c r="I788">
        <f>IF(DATOS!$I788="","",IFERROR(VLOOKUP(DATOS!$I788,CONFIG_ASIGNATURAS!$B$2:$J$91,9,FALSE()),""))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IF(DATOS!$A789="",0,IF(CONFIG_METADATA!$B$4&lt;&gt;"OR+EX",--(DATOS!$G789=CONFIG_METADATA!$B$4),IF(DATOS!$G789="EX",1,IF(DATOS!$G789="OR",--(COUNTIFS(nNIA,DATOS!$A789,nCURSO,DATOS!$D789,nESPEC,DATOS!$E789,nASIG,DATOS!$I789,nEVAL,"EX")=0),0))))</f>
      </c>
      <c r="H789">
        <f>IF(DATOS!$G789&lt;&gt;"EX",0,--(COUNTIFS(nNIA,DATOS!$A789,nCURSO,DATOS!$D789,nESPEC,DATOS!$E789,nASIG,DATOS!$I789,nEVAL,"OR")=0))</f>
      </c>
      <c r="I789">
        <f>IF(DATOS!$I789="","",IFERROR(VLOOKUP(DATOS!$I789,CONFIG_ASIGNATURAS!$B$2:$J$91,9,FALSE()),""))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IF(DATOS!$A790="",0,IF(CONFIG_METADATA!$B$4&lt;&gt;"OR+EX",--(DATOS!$G790=CONFIG_METADATA!$B$4),IF(DATOS!$G790="EX",1,IF(DATOS!$G790="OR",--(COUNTIFS(nNIA,DATOS!$A790,nCURSO,DATOS!$D790,nESPEC,DATOS!$E790,nASIG,DATOS!$I790,nEVAL,"EX")=0),0))))</f>
      </c>
      <c r="H790">
        <f>IF(DATOS!$G790&lt;&gt;"EX",0,--(COUNTIFS(nNIA,DATOS!$A790,nCURSO,DATOS!$D790,nESPEC,DATOS!$E790,nASIG,DATOS!$I790,nEVAL,"OR")=0))</f>
      </c>
      <c r="I790">
        <f>IF(DATOS!$I790="","",IFERROR(VLOOKUP(DATOS!$I790,CONFIG_ASIGNATURAS!$B$2:$J$91,9,FALSE()),""))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IF(DATOS!$A791="",0,IF(CONFIG_METADATA!$B$4&lt;&gt;"OR+EX",--(DATOS!$G791=CONFIG_METADATA!$B$4),IF(DATOS!$G791="EX",1,IF(DATOS!$G791="OR",--(COUNTIFS(nNIA,DATOS!$A791,nCURSO,DATOS!$D791,nESPEC,DATOS!$E791,nASIG,DATOS!$I791,nEVAL,"EX")=0),0))))</f>
      </c>
      <c r="H791">
        <f>IF(DATOS!$G791&lt;&gt;"EX",0,--(COUNTIFS(nNIA,DATOS!$A791,nCURSO,DATOS!$D791,nESPEC,DATOS!$E791,nASIG,DATOS!$I791,nEVAL,"OR")=0))</f>
      </c>
      <c r="I791">
        <f>IF(DATOS!$I791="","",IFERROR(VLOOKUP(DATOS!$I791,CONFIG_ASIGNATURAS!$B$2:$J$91,9,FALSE()),""))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IF(DATOS!$A792="",0,IF(CONFIG_METADATA!$B$4&lt;&gt;"OR+EX",--(DATOS!$G792=CONFIG_METADATA!$B$4),IF(DATOS!$G792="EX",1,IF(DATOS!$G792="OR",--(COUNTIFS(nNIA,DATOS!$A792,nCURSO,DATOS!$D792,nESPEC,DATOS!$E792,nASIG,DATOS!$I792,nEVAL,"EX")=0),0))))</f>
      </c>
      <c r="H792">
        <f>IF(DATOS!$G792&lt;&gt;"EX",0,--(COUNTIFS(nNIA,DATOS!$A792,nCURSO,DATOS!$D792,nESPEC,DATOS!$E792,nASIG,DATOS!$I792,nEVAL,"OR")=0))</f>
      </c>
      <c r="I792">
        <f>IF(DATOS!$I792="","",IFERROR(VLOOKUP(DATOS!$I792,CONFIG_ASIGNATURAS!$B$2:$J$91,9,FALSE()),""))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IF(DATOS!$A793="",0,IF(CONFIG_METADATA!$B$4&lt;&gt;"OR+EX",--(DATOS!$G793=CONFIG_METADATA!$B$4),IF(DATOS!$G793="EX",1,IF(DATOS!$G793="OR",--(COUNTIFS(nNIA,DATOS!$A793,nCURSO,DATOS!$D793,nESPEC,DATOS!$E793,nASIG,DATOS!$I793,nEVAL,"EX")=0),0))))</f>
      </c>
      <c r="H793">
        <f>IF(DATOS!$G793&lt;&gt;"EX",0,--(COUNTIFS(nNIA,DATOS!$A793,nCURSO,DATOS!$D793,nESPEC,DATOS!$E793,nASIG,DATOS!$I793,nEVAL,"OR")=0))</f>
      </c>
      <c r="I793">
        <f>IF(DATOS!$I793="","",IFERROR(VLOOKUP(DATOS!$I793,CONFIG_ASIGNATURAS!$B$2:$J$91,9,FALSE()),""))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IF(DATOS!$A794="",0,IF(CONFIG_METADATA!$B$4&lt;&gt;"OR+EX",--(DATOS!$G794=CONFIG_METADATA!$B$4),IF(DATOS!$G794="EX",1,IF(DATOS!$G794="OR",--(COUNTIFS(nNIA,DATOS!$A794,nCURSO,DATOS!$D794,nESPEC,DATOS!$E794,nASIG,DATOS!$I794,nEVAL,"EX")=0),0))))</f>
      </c>
      <c r="H794">
        <f>IF(DATOS!$G794&lt;&gt;"EX",0,--(COUNTIFS(nNIA,DATOS!$A794,nCURSO,DATOS!$D794,nESPEC,DATOS!$E794,nASIG,DATOS!$I794,nEVAL,"OR")=0))</f>
      </c>
      <c r="I794">
        <f>IF(DATOS!$I794="","",IFERROR(VLOOKUP(DATOS!$I794,CONFIG_ASIGNATURAS!$B$2:$J$91,9,FALSE()),""))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IF(DATOS!$A795="",0,IF(CONFIG_METADATA!$B$4&lt;&gt;"OR+EX",--(DATOS!$G795=CONFIG_METADATA!$B$4),IF(DATOS!$G795="EX",1,IF(DATOS!$G795="OR",--(COUNTIFS(nNIA,DATOS!$A795,nCURSO,DATOS!$D795,nESPEC,DATOS!$E795,nASIG,DATOS!$I795,nEVAL,"EX")=0),0))))</f>
      </c>
      <c r="H795">
        <f>IF(DATOS!$G795&lt;&gt;"EX",0,--(COUNTIFS(nNIA,DATOS!$A795,nCURSO,DATOS!$D795,nESPEC,DATOS!$E795,nASIG,DATOS!$I795,nEVAL,"OR")=0))</f>
      </c>
      <c r="I795">
        <f>IF(DATOS!$I795="","",IFERROR(VLOOKUP(DATOS!$I795,CONFIG_ASIGNATURAS!$B$2:$J$91,9,FALSE()),""))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IF(DATOS!$A796="",0,IF(CONFIG_METADATA!$B$4&lt;&gt;"OR+EX",--(DATOS!$G796=CONFIG_METADATA!$B$4),IF(DATOS!$G796="EX",1,IF(DATOS!$G796="OR",--(COUNTIFS(nNIA,DATOS!$A796,nCURSO,DATOS!$D796,nESPEC,DATOS!$E796,nASIG,DATOS!$I796,nEVAL,"EX")=0),0))))</f>
      </c>
      <c r="H796">
        <f>IF(DATOS!$G796&lt;&gt;"EX",0,--(COUNTIFS(nNIA,DATOS!$A796,nCURSO,DATOS!$D796,nESPEC,DATOS!$E796,nASIG,DATOS!$I796,nEVAL,"OR")=0))</f>
      </c>
      <c r="I796">
        <f>IF(DATOS!$I796="","",IFERROR(VLOOKUP(DATOS!$I796,CONFIG_ASIGNATURAS!$B$2:$J$91,9,FALSE()),""))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IF(DATOS!$A797="",0,IF(CONFIG_METADATA!$B$4&lt;&gt;"OR+EX",--(DATOS!$G797=CONFIG_METADATA!$B$4),IF(DATOS!$G797="EX",1,IF(DATOS!$G797="OR",--(COUNTIFS(nNIA,DATOS!$A797,nCURSO,DATOS!$D797,nESPEC,DATOS!$E797,nASIG,DATOS!$I797,nEVAL,"EX")=0),0))))</f>
      </c>
      <c r="H797">
        <f>IF(DATOS!$G797&lt;&gt;"EX",0,--(COUNTIFS(nNIA,DATOS!$A797,nCURSO,DATOS!$D797,nESPEC,DATOS!$E797,nASIG,DATOS!$I797,nEVAL,"OR")=0))</f>
      </c>
      <c r="I797">
        <f>IF(DATOS!$I797="","",IFERROR(VLOOKUP(DATOS!$I797,CONFIG_ASIGNATURAS!$B$2:$J$91,9,FALSE()),""))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IF(DATOS!$A798="",0,IF(CONFIG_METADATA!$B$4&lt;&gt;"OR+EX",--(DATOS!$G798=CONFIG_METADATA!$B$4),IF(DATOS!$G798="EX",1,IF(DATOS!$G798="OR",--(COUNTIFS(nNIA,DATOS!$A798,nCURSO,DATOS!$D798,nESPEC,DATOS!$E798,nASIG,DATOS!$I798,nEVAL,"EX")=0),0))))</f>
      </c>
      <c r="H798">
        <f>IF(DATOS!$G798&lt;&gt;"EX",0,--(COUNTIFS(nNIA,DATOS!$A798,nCURSO,DATOS!$D798,nESPEC,DATOS!$E798,nASIG,DATOS!$I798,nEVAL,"OR")=0))</f>
      </c>
      <c r="I798">
        <f>IF(DATOS!$I798="","",IFERROR(VLOOKUP(DATOS!$I798,CONFIG_ASIGNATURAS!$B$2:$J$91,9,FALSE()),""))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IF(DATOS!$A799="",0,IF(CONFIG_METADATA!$B$4&lt;&gt;"OR+EX",--(DATOS!$G799=CONFIG_METADATA!$B$4),IF(DATOS!$G799="EX",1,IF(DATOS!$G799="OR",--(COUNTIFS(nNIA,DATOS!$A799,nCURSO,DATOS!$D799,nESPEC,DATOS!$E799,nASIG,DATOS!$I799,nEVAL,"EX")=0),0))))</f>
      </c>
      <c r="H799">
        <f>IF(DATOS!$G799&lt;&gt;"EX",0,--(COUNTIFS(nNIA,DATOS!$A799,nCURSO,DATOS!$D799,nESPEC,DATOS!$E799,nASIG,DATOS!$I799,nEVAL,"OR")=0))</f>
      </c>
      <c r="I799">
        <f>IF(DATOS!$I799="","",IFERROR(VLOOKUP(DATOS!$I799,CONFIG_ASIGNATURAS!$B$2:$J$91,9,FALSE()),""))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IF(DATOS!$A800="",0,IF(CONFIG_METADATA!$B$4&lt;&gt;"OR+EX",--(DATOS!$G800=CONFIG_METADATA!$B$4),IF(DATOS!$G800="EX",1,IF(DATOS!$G800="OR",--(COUNTIFS(nNIA,DATOS!$A800,nCURSO,DATOS!$D800,nESPEC,DATOS!$E800,nASIG,DATOS!$I800,nEVAL,"EX")=0),0))))</f>
      </c>
      <c r="H800">
        <f>IF(DATOS!$G800&lt;&gt;"EX",0,--(COUNTIFS(nNIA,DATOS!$A800,nCURSO,DATOS!$D800,nESPEC,DATOS!$E800,nASIG,DATOS!$I800,nEVAL,"OR")=0))</f>
      </c>
      <c r="I800">
        <f>IF(DATOS!$I800="","",IFERROR(VLOOKUP(DATOS!$I800,CONFIG_ASIGNATURAS!$B$2:$J$91,9,FALSE()),""))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IF(DATOS!$A801="",0,IF(CONFIG_METADATA!$B$4&lt;&gt;"OR+EX",--(DATOS!$G801=CONFIG_METADATA!$B$4),IF(DATOS!$G801="EX",1,IF(DATOS!$G801="OR",--(COUNTIFS(nNIA,DATOS!$A801,nCURSO,DATOS!$D801,nESPEC,DATOS!$E801,nASIG,DATOS!$I801,nEVAL,"EX")=0),0))))</f>
      </c>
      <c r="H801">
        <f>IF(DATOS!$G801&lt;&gt;"EX",0,--(COUNTIFS(nNIA,DATOS!$A801,nCURSO,DATOS!$D801,nESPEC,DATOS!$E801,nASIG,DATOS!$I801,nEVAL,"OR")=0))</f>
      </c>
      <c r="I801">
        <f>IF(DATOS!$I801="","",IFERROR(VLOOKUP(DATOS!$I801,CONFIG_ASIGNATURAS!$B$2:$J$91,9,FALSE()),""))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IF(DATOS!$A802="",0,IF(CONFIG_METADATA!$B$4&lt;&gt;"OR+EX",--(DATOS!$G802=CONFIG_METADATA!$B$4),IF(DATOS!$G802="EX",1,IF(DATOS!$G802="OR",--(COUNTIFS(nNIA,DATOS!$A802,nCURSO,DATOS!$D802,nESPEC,DATOS!$E802,nASIG,DATOS!$I802,nEVAL,"EX")=0),0))))</f>
      </c>
      <c r="H802">
        <f>IF(DATOS!$G802&lt;&gt;"EX",0,--(COUNTIFS(nNIA,DATOS!$A802,nCURSO,DATOS!$D802,nESPEC,DATOS!$E802,nASIG,DATOS!$I802,nEVAL,"OR")=0))</f>
      </c>
      <c r="I802">
        <f>IF(DATOS!$I802="","",IFERROR(VLOOKUP(DATOS!$I802,CONFIG_ASIGNATURAS!$B$2:$J$91,9,FALSE()),""))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IF(DATOS!$A803="",0,IF(CONFIG_METADATA!$B$4&lt;&gt;"OR+EX",--(DATOS!$G803=CONFIG_METADATA!$B$4),IF(DATOS!$G803="EX",1,IF(DATOS!$G803="OR",--(COUNTIFS(nNIA,DATOS!$A803,nCURSO,DATOS!$D803,nESPEC,DATOS!$E803,nASIG,DATOS!$I803,nEVAL,"EX")=0),0))))</f>
      </c>
      <c r="H803">
        <f>IF(DATOS!$G803&lt;&gt;"EX",0,--(COUNTIFS(nNIA,DATOS!$A803,nCURSO,DATOS!$D803,nESPEC,DATOS!$E803,nASIG,DATOS!$I803,nEVAL,"OR")=0))</f>
      </c>
      <c r="I803">
        <f>IF(DATOS!$I803="","",IFERROR(VLOOKUP(DATOS!$I803,CONFIG_ASIGNATURAS!$B$2:$J$91,9,FALSE()),""))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IF(DATOS!$A804="",0,IF(CONFIG_METADATA!$B$4&lt;&gt;"OR+EX",--(DATOS!$G804=CONFIG_METADATA!$B$4),IF(DATOS!$G804="EX",1,IF(DATOS!$G804="OR",--(COUNTIFS(nNIA,DATOS!$A804,nCURSO,DATOS!$D804,nESPEC,DATOS!$E804,nASIG,DATOS!$I804,nEVAL,"EX")=0),0))))</f>
      </c>
      <c r="H804">
        <f>IF(DATOS!$G804&lt;&gt;"EX",0,--(COUNTIFS(nNIA,DATOS!$A804,nCURSO,DATOS!$D804,nESPEC,DATOS!$E804,nASIG,DATOS!$I804,nEVAL,"OR")=0))</f>
      </c>
      <c r="I804">
        <f>IF(DATOS!$I804="","",IFERROR(VLOOKUP(DATOS!$I804,CONFIG_ASIGNATURAS!$B$2:$J$91,9,FALSE()),""))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IF(DATOS!$A805="",0,IF(CONFIG_METADATA!$B$4&lt;&gt;"OR+EX",--(DATOS!$G805=CONFIG_METADATA!$B$4),IF(DATOS!$G805="EX",1,IF(DATOS!$G805="OR",--(COUNTIFS(nNIA,DATOS!$A805,nCURSO,DATOS!$D805,nESPEC,DATOS!$E805,nASIG,DATOS!$I805,nEVAL,"EX")=0),0))))</f>
      </c>
      <c r="H805">
        <f>IF(DATOS!$G805&lt;&gt;"EX",0,--(COUNTIFS(nNIA,DATOS!$A805,nCURSO,DATOS!$D805,nESPEC,DATOS!$E805,nASIG,DATOS!$I805,nEVAL,"OR")=0))</f>
      </c>
      <c r="I805">
        <f>IF(DATOS!$I805="","",IFERROR(VLOOKUP(DATOS!$I805,CONFIG_ASIGNATURAS!$B$2:$J$91,9,FALSE()),""))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IF(DATOS!$A806="",0,IF(CONFIG_METADATA!$B$4&lt;&gt;"OR+EX",--(DATOS!$G806=CONFIG_METADATA!$B$4),IF(DATOS!$G806="EX",1,IF(DATOS!$G806="OR",--(COUNTIFS(nNIA,DATOS!$A806,nCURSO,DATOS!$D806,nESPEC,DATOS!$E806,nASIG,DATOS!$I806,nEVAL,"EX")=0),0))))</f>
      </c>
      <c r="H806">
        <f>IF(DATOS!$G806&lt;&gt;"EX",0,--(COUNTIFS(nNIA,DATOS!$A806,nCURSO,DATOS!$D806,nESPEC,DATOS!$E806,nASIG,DATOS!$I806,nEVAL,"OR")=0))</f>
      </c>
      <c r="I806">
        <f>IF(DATOS!$I806="","",IFERROR(VLOOKUP(DATOS!$I806,CONFIG_ASIGNATURAS!$B$2:$J$91,9,FALSE()),""))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IF(DATOS!$A807="",0,IF(CONFIG_METADATA!$B$4&lt;&gt;"OR+EX",--(DATOS!$G807=CONFIG_METADATA!$B$4),IF(DATOS!$G807="EX",1,IF(DATOS!$G807="OR",--(COUNTIFS(nNIA,DATOS!$A807,nCURSO,DATOS!$D807,nESPEC,DATOS!$E807,nASIG,DATOS!$I807,nEVAL,"EX")=0),0))))</f>
      </c>
      <c r="H807">
        <f>IF(DATOS!$G807&lt;&gt;"EX",0,--(COUNTIFS(nNIA,DATOS!$A807,nCURSO,DATOS!$D807,nESPEC,DATOS!$E807,nASIG,DATOS!$I807,nEVAL,"OR")=0))</f>
      </c>
      <c r="I807">
        <f>IF(DATOS!$I807="","",IFERROR(VLOOKUP(DATOS!$I807,CONFIG_ASIGNATURAS!$B$2:$J$91,9,FALSE()),""))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IF(DATOS!$A808="",0,IF(CONFIG_METADATA!$B$4&lt;&gt;"OR+EX",--(DATOS!$G808=CONFIG_METADATA!$B$4),IF(DATOS!$G808="EX",1,IF(DATOS!$G808="OR",--(COUNTIFS(nNIA,DATOS!$A808,nCURSO,DATOS!$D808,nESPEC,DATOS!$E808,nASIG,DATOS!$I808,nEVAL,"EX")=0),0))))</f>
      </c>
      <c r="H808">
        <f>IF(DATOS!$G808&lt;&gt;"EX",0,--(COUNTIFS(nNIA,DATOS!$A808,nCURSO,DATOS!$D808,nESPEC,DATOS!$E808,nASIG,DATOS!$I808,nEVAL,"OR")=0))</f>
      </c>
      <c r="I808">
        <f>IF(DATOS!$I808="","",IFERROR(VLOOKUP(DATOS!$I808,CONFIG_ASIGNATURAS!$B$2:$J$91,9,FALSE()),""))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IF(DATOS!$A809="",0,IF(CONFIG_METADATA!$B$4&lt;&gt;"OR+EX",--(DATOS!$G809=CONFIG_METADATA!$B$4),IF(DATOS!$G809="EX",1,IF(DATOS!$G809="OR",--(COUNTIFS(nNIA,DATOS!$A809,nCURSO,DATOS!$D809,nESPEC,DATOS!$E809,nASIG,DATOS!$I809,nEVAL,"EX")=0),0))))</f>
      </c>
      <c r="H809">
        <f>IF(DATOS!$G809&lt;&gt;"EX",0,--(COUNTIFS(nNIA,DATOS!$A809,nCURSO,DATOS!$D809,nESPEC,DATOS!$E809,nASIG,DATOS!$I809,nEVAL,"OR")=0))</f>
      </c>
      <c r="I809">
        <f>IF(DATOS!$I809="","",IFERROR(VLOOKUP(DATOS!$I809,CONFIG_ASIGNATURAS!$B$2:$J$91,9,FALSE()),""))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IF(DATOS!$A810="",0,IF(CONFIG_METADATA!$B$4&lt;&gt;"OR+EX",--(DATOS!$G810=CONFIG_METADATA!$B$4),IF(DATOS!$G810="EX",1,IF(DATOS!$G810="OR",--(COUNTIFS(nNIA,DATOS!$A810,nCURSO,DATOS!$D810,nESPEC,DATOS!$E810,nASIG,DATOS!$I810,nEVAL,"EX")=0),0))))</f>
      </c>
      <c r="H810">
        <f>IF(DATOS!$G810&lt;&gt;"EX",0,--(COUNTIFS(nNIA,DATOS!$A810,nCURSO,DATOS!$D810,nESPEC,DATOS!$E810,nASIG,DATOS!$I810,nEVAL,"OR")=0))</f>
      </c>
      <c r="I810">
        <f>IF(DATOS!$I810="","",IFERROR(VLOOKUP(DATOS!$I810,CONFIG_ASIGNATURAS!$B$2:$J$91,9,FALSE()),""))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IF(DATOS!$A811="",0,IF(CONFIG_METADATA!$B$4&lt;&gt;"OR+EX",--(DATOS!$G811=CONFIG_METADATA!$B$4),IF(DATOS!$G811="EX",1,IF(DATOS!$G811="OR",--(COUNTIFS(nNIA,DATOS!$A811,nCURSO,DATOS!$D811,nESPEC,DATOS!$E811,nASIG,DATOS!$I811,nEVAL,"EX")=0),0))))</f>
      </c>
      <c r="H811">
        <f>IF(DATOS!$G811&lt;&gt;"EX",0,--(COUNTIFS(nNIA,DATOS!$A811,nCURSO,DATOS!$D811,nESPEC,DATOS!$E811,nASIG,DATOS!$I811,nEVAL,"OR")=0))</f>
      </c>
      <c r="I811">
        <f>IF(DATOS!$I811="","",IFERROR(VLOOKUP(DATOS!$I811,CONFIG_ASIGNATURAS!$B$2:$J$91,9,FALSE()),""))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IF(DATOS!$A812="",0,IF(CONFIG_METADATA!$B$4&lt;&gt;"OR+EX",--(DATOS!$G812=CONFIG_METADATA!$B$4),IF(DATOS!$G812="EX",1,IF(DATOS!$G812="OR",--(COUNTIFS(nNIA,DATOS!$A812,nCURSO,DATOS!$D812,nESPEC,DATOS!$E812,nASIG,DATOS!$I812,nEVAL,"EX")=0),0))))</f>
      </c>
      <c r="H812">
        <f>IF(DATOS!$G812&lt;&gt;"EX",0,--(COUNTIFS(nNIA,DATOS!$A812,nCURSO,DATOS!$D812,nESPEC,DATOS!$E812,nASIG,DATOS!$I812,nEVAL,"OR")=0))</f>
      </c>
      <c r="I812">
        <f>IF(DATOS!$I812="","",IFERROR(VLOOKUP(DATOS!$I812,CONFIG_ASIGNATURAS!$B$2:$J$91,9,FALSE()),""))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IF(DATOS!$A813="",0,IF(CONFIG_METADATA!$B$4&lt;&gt;"OR+EX",--(DATOS!$G813=CONFIG_METADATA!$B$4),IF(DATOS!$G813="EX",1,IF(DATOS!$G813="OR",--(COUNTIFS(nNIA,DATOS!$A813,nCURSO,DATOS!$D813,nESPEC,DATOS!$E813,nASIG,DATOS!$I813,nEVAL,"EX")=0),0))))</f>
      </c>
      <c r="H813">
        <f>IF(DATOS!$G813&lt;&gt;"EX",0,--(COUNTIFS(nNIA,DATOS!$A813,nCURSO,DATOS!$D813,nESPEC,DATOS!$E813,nASIG,DATOS!$I813,nEVAL,"OR")=0))</f>
      </c>
      <c r="I813">
        <f>IF(DATOS!$I813="","",IFERROR(VLOOKUP(DATOS!$I813,CONFIG_ASIGNATURAS!$B$2:$J$91,9,FALSE()),""))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IF(DATOS!$A814="",0,IF(CONFIG_METADATA!$B$4&lt;&gt;"OR+EX",--(DATOS!$G814=CONFIG_METADATA!$B$4),IF(DATOS!$G814="EX",1,IF(DATOS!$G814="OR",--(COUNTIFS(nNIA,DATOS!$A814,nCURSO,DATOS!$D814,nESPEC,DATOS!$E814,nASIG,DATOS!$I814,nEVAL,"EX")=0),0))))</f>
      </c>
      <c r="H814">
        <f>IF(DATOS!$G814&lt;&gt;"EX",0,--(COUNTIFS(nNIA,DATOS!$A814,nCURSO,DATOS!$D814,nESPEC,DATOS!$E814,nASIG,DATOS!$I814,nEVAL,"OR")=0))</f>
      </c>
      <c r="I814">
        <f>IF(DATOS!$I814="","",IFERROR(VLOOKUP(DATOS!$I814,CONFIG_ASIGNATURAS!$B$2:$J$91,9,FALSE()),""))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IF(DATOS!$A815="",0,IF(CONFIG_METADATA!$B$4&lt;&gt;"OR+EX",--(DATOS!$G815=CONFIG_METADATA!$B$4),IF(DATOS!$G815="EX",1,IF(DATOS!$G815="OR",--(COUNTIFS(nNIA,DATOS!$A815,nCURSO,DATOS!$D815,nESPEC,DATOS!$E815,nASIG,DATOS!$I815,nEVAL,"EX")=0),0))))</f>
      </c>
      <c r="H815">
        <f>IF(DATOS!$G815&lt;&gt;"EX",0,--(COUNTIFS(nNIA,DATOS!$A815,nCURSO,DATOS!$D815,nESPEC,DATOS!$E815,nASIG,DATOS!$I815,nEVAL,"OR")=0))</f>
      </c>
      <c r="I815">
        <f>IF(DATOS!$I815="","",IFERROR(VLOOKUP(DATOS!$I815,CONFIG_ASIGNATURAS!$B$2:$J$91,9,FALSE()),""))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IF(DATOS!$A816="",0,IF(CONFIG_METADATA!$B$4&lt;&gt;"OR+EX",--(DATOS!$G816=CONFIG_METADATA!$B$4),IF(DATOS!$G816="EX",1,IF(DATOS!$G816="OR",--(COUNTIFS(nNIA,DATOS!$A816,nCURSO,DATOS!$D816,nESPEC,DATOS!$E816,nASIG,DATOS!$I816,nEVAL,"EX")=0),0))))</f>
      </c>
      <c r="H816">
        <f>IF(DATOS!$G816&lt;&gt;"EX",0,--(COUNTIFS(nNIA,DATOS!$A816,nCURSO,DATOS!$D816,nESPEC,DATOS!$E816,nASIG,DATOS!$I816,nEVAL,"OR")=0))</f>
      </c>
      <c r="I816">
        <f>IF(DATOS!$I816="","",IFERROR(VLOOKUP(DATOS!$I816,CONFIG_ASIGNATURAS!$B$2:$J$91,9,FALSE()),""))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IF(DATOS!$A817="",0,IF(CONFIG_METADATA!$B$4&lt;&gt;"OR+EX",--(DATOS!$G817=CONFIG_METADATA!$B$4),IF(DATOS!$G817="EX",1,IF(DATOS!$G817="OR",--(COUNTIFS(nNIA,DATOS!$A817,nCURSO,DATOS!$D817,nESPEC,DATOS!$E817,nASIG,DATOS!$I817,nEVAL,"EX")=0),0))))</f>
      </c>
      <c r="H817">
        <f>IF(DATOS!$G817&lt;&gt;"EX",0,--(COUNTIFS(nNIA,DATOS!$A817,nCURSO,DATOS!$D817,nESPEC,DATOS!$E817,nASIG,DATOS!$I817,nEVAL,"OR")=0))</f>
      </c>
      <c r="I817">
        <f>IF(DATOS!$I817="","",IFERROR(VLOOKUP(DATOS!$I817,CONFIG_ASIGNATURAS!$B$2:$J$91,9,FALSE()),""))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IF(DATOS!$A818="",0,IF(CONFIG_METADATA!$B$4&lt;&gt;"OR+EX",--(DATOS!$G818=CONFIG_METADATA!$B$4),IF(DATOS!$G818="EX",1,IF(DATOS!$G818="OR",--(COUNTIFS(nNIA,DATOS!$A818,nCURSO,DATOS!$D818,nESPEC,DATOS!$E818,nASIG,DATOS!$I818,nEVAL,"EX")=0),0))))</f>
      </c>
      <c r="H818">
        <f>IF(DATOS!$G818&lt;&gt;"EX",0,--(COUNTIFS(nNIA,DATOS!$A818,nCURSO,DATOS!$D818,nESPEC,DATOS!$E818,nASIG,DATOS!$I818,nEVAL,"OR")=0))</f>
      </c>
      <c r="I818">
        <f>IF(DATOS!$I818="","",IFERROR(VLOOKUP(DATOS!$I818,CONFIG_ASIGNATURAS!$B$2:$J$91,9,FALSE()),""))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IF(DATOS!$A819="",0,IF(CONFIG_METADATA!$B$4&lt;&gt;"OR+EX",--(DATOS!$G819=CONFIG_METADATA!$B$4),IF(DATOS!$G819="EX",1,IF(DATOS!$G819="OR",--(COUNTIFS(nNIA,DATOS!$A819,nCURSO,DATOS!$D819,nESPEC,DATOS!$E819,nASIG,DATOS!$I819,nEVAL,"EX")=0),0))))</f>
      </c>
      <c r="H819">
        <f>IF(DATOS!$G819&lt;&gt;"EX",0,--(COUNTIFS(nNIA,DATOS!$A819,nCURSO,DATOS!$D819,nESPEC,DATOS!$E819,nASIG,DATOS!$I819,nEVAL,"OR")=0))</f>
      </c>
      <c r="I819">
        <f>IF(DATOS!$I819="","",IFERROR(VLOOKUP(DATOS!$I819,CONFIG_ASIGNATURAS!$B$2:$J$91,9,FALSE()),""))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IF(DATOS!$A820="",0,IF(CONFIG_METADATA!$B$4&lt;&gt;"OR+EX",--(DATOS!$G820=CONFIG_METADATA!$B$4),IF(DATOS!$G820="EX",1,IF(DATOS!$G820="OR",--(COUNTIFS(nNIA,DATOS!$A820,nCURSO,DATOS!$D820,nESPEC,DATOS!$E820,nASIG,DATOS!$I820,nEVAL,"EX")=0),0))))</f>
      </c>
      <c r="H820">
        <f>IF(DATOS!$G820&lt;&gt;"EX",0,--(COUNTIFS(nNIA,DATOS!$A820,nCURSO,DATOS!$D820,nESPEC,DATOS!$E820,nASIG,DATOS!$I820,nEVAL,"OR")=0))</f>
      </c>
      <c r="I820">
        <f>IF(DATOS!$I820="","",IFERROR(VLOOKUP(DATOS!$I820,CONFIG_ASIGNATURAS!$B$2:$J$91,9,FALSE()),""))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IF(DATOS!$A821="",0,IF(CONFIG_METADATA!$B$4&lt;&gt;"OR+EX",--(DATOS!$G821=CONFIG_METADATA!$B$4),IF(DATOS!$G821="EX",1,IF(DATOS!$G821="OR",--(COUNTIFS(nNIA,DATOS!$A821,nCURSO,DATOS!$D821,nESPEC,DATOS!$E821,nASIG,DATOS!$I821,nEVAL,"EX")=0),0))))</f>
      </c>
      <c r="H821">
        <f>IF(DATOS!$G821&lt;&gt;"EX",0,--(COUNTIFS(nNIA,DATOS!$A821,nCURSO,DATOS!$D821,nESPEC,DATOS!$E821,nASIG,DATOS!$I821,nEVAL,"OR")=0))</f>
      </c>
      <c r="I821">
        <f>IF(DATOS!$I821="","",IFERROR(VLOOKUP(DATOS!$I821,CONFIG_ASIGNATURAS!$B$2:$J$91,9,FALSE()),""))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IF(DATOS!$A822="",0,IF(CONFIG_METADATA!$B$4&lt;&gt;"OR+EX",--(DATOS!$G822=CONFIG_METADATA!$B$4),IF(DATOS!$G822="EX",1,IF(DATOS!$G822="OR",--(COUNTIFS(nNIA,DATOS!$A822,nCURSO,DATOS!$D822,nESPEC,DATOS!$E822,nASIG,DATOS!$I822,nEVAL,"EX")=0),0))))</f>
      </c>
      <c r="H822">
        <f>IF(DATOS!$G822&lt;&gt;"EX",0,--(COUNTIFS(nNIA,DATOS!$A822,nCURSO,DATOS!$D822,nESPEC,DATOS!$E822,nASIG,DATOS!$I822,nEVAL,"OR")=0))</f>
      </c>
      <c r="I822">
        <f>IF(DATOS!$I822="","",IFERROR(VLOOKUP(DATOS!$I822,CONFIG_ASIGNATURAS!$B$2:$J$91,9,FALSE()),""))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IF(DATOS!$A823="",0,IF(CONFIG_METADATA!$B$4&lt;&gt;"OR+EX",--(DATOS!$G823=CONFIG_METADATA!$B$4),IF(DATOS!$G823="EX",1,IF(DATOS!$G823="OR",--(COUNTIFS(nNIA,DATOS!$A823,nCURSO,DATOS!$D823,nESPEC,DATOS!$E823,nASIG,DATOS!$I823,nEVAL,"EX")=0),0))))</f>
      </c>
      <c r="H823">
        <f>IF(DATOS!$G823&lt;&gt;"EX",0,--(COUNTIFS(nNIA,DATOS!$A823,nCURSO,DATOS!$D823,nESPEC,DATOS!$E823,nASIG,DATOS!$I823,nEVAL,"OR")=0))</f>
      </c>
      <c r="I823">
        <f>IF(DATOS!$I823="","",IFERROR(VLOOKUP(DATOS!$I823,CONFIG_ASIGNATURAS!$B$2:$J$91,9,FALSE()),""))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IF(DATOS!$A824="",0,IF(CONFIG_METADATA!$B$4&lt;&gt;"OR+EX",--(DATOS!$G824=CONFIG_METADATA!$B$4),IF(DATOS!$G824="EX",1,IF(DATOS!$G824="OR",--(COUNTIFS(nNIA,DATOS!$A824,nCURSO,DATOS!$D824,nESPEC,DATOS!$E824,nASIG,DATOS!$I824,nEVAL,"EX")=0),0))))</f>
      </c>
      <c r="H824">
        <f>IF(DATOS!$G824&lt;&gt;"EX",0,--(COUNTIFS(nNIA,DATOS!$A824,nCURSO,DATOS!$D824,nESPEC,DATOS!$E824,nASIG,DATOS!$I824,nEVAL,"OR")=0))</f>
      </c>
      <c r="I824">
        <f>IF(DATOS!$I824="","",IFERROR(VLOOKUP(DATOS!$I824,CONFIG_ASIGNATURAS!$B$2:$J$91,9,FALSE()),""))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IF(DATOS!$A825="",0,IF(CONFIG_METADATA!$B$4&lt;&gt;"OR+EX",--(DATOS!$G825=CONFIG_METADATA!$B$4),IF(DATOS!$G825="EX",1,IF(DATOS!$G825="OR",--(COUNTIFS(nNIA,DATOS!$A825,nCURSO,DATOS!$D825,nESPEC,DATOS!$E825,nASIG,DATOS!$I825,nEVAL,"EX")=0),0))))</f>
      </c>
      <c r="H825">
        <f>IF(DATOS!$G825&lt;&gt;"EX",0,--(COUNTIFS(nNIA,DATOS!$A825,nCURSO,DATOS!$D825,nESPEC,DATOS!$E825,nASIG,DATOS!$I825,nEVAL,"OR")=0))</f>
      </c>
      <c r="I825">
        <f>IF(DATOS!$I825="","",IFERROR(VLOOKUP(DATOS!$I825,CONFIG_ASIGNATURAS!$B$2:$J$91,9,FALSE()),""))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IF(DATOS!$A826="",0,IF(CONFIG_METADATA!$B$4&lt;&gt;"OR+EX",--(DATOS!$G826=CONFIG_METADATA!$B$4),IF(DATOS!$G826="EX",1,IF(DATOS!$G826="OR",--(COUNTIFS(nNIA,DATOS!$A826,nCURSO,DATOS!$D826,nESPEC,DATOS!$E826,nASIG,DATOS!$I826,nEVAL,"EX")=0),0))))</f>
      </c>
      <c r="H826">
        <f>IF(DATOS!$G826&lt;&gt;"EX",0,--(COUNTIFS(nNIA,DATOS!$A826,nCURSO,DATOS!$D826,nESPEC,DATOS!$E826,nASIG,DATOS!$I826,nEVAL,"OR")=0))</f>
      </c>
      <c r="I826">
        <f>IF(DATOS!$I826="","",IFERROR(VLOOKUP(DATOS!$I826,CONFIG_ASIGNATURAS!$B$2:$J$91,9,FALSE()),""))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IF(DATOS!$A827="",0,IF(CONFIG_METADATA!$B$4&lt;&gt;"OR+EX",--(DATOS!$G827=CONFIG_METADATA!$B$4),IF(DATOS!$G827="EX",1,IF(DATOS!$G827="OR",--(COUNTIFS(nNIA,DATOS!$A827,nCURSO,DATOS!$D827,nESPEC,DATOS!$E827,nASIG,DATOS!$I827,nEVAL,"EX")=0),0))))</f>
      </c>
      <c r="H827">
        <f>IF(DATOS!$G827&lt;&gt;"EX",0,--(COUNTIFS(nNIA,DATOS!$A827,nCURSO,DATOS!$D827,nESPEC,DATOS!$E827,nASIG,DATOS!$I827,nEVAL,"OR")=0))</f>
      </c>
      <c r="I827">
        <f>IF(DATOS!$I827="","",IFERROR(VLOOKUP(DATOS!$I827,CONFIG_ASIGNATURAS!$B$2:$J$91,9,FALSE()),""))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IF(DATOS!$A828="",0,IF(CONFIG_METADATA!$B$4&lt;&gt;"OR+EX",--(DATOS!$G828=CONFIG_METADATA!$B$4),IF(DATOS!$G828="EX",1,IF(DATOS!$G828="OR",--(COUNTIFS(nNIA,DATOS!$A828,nCURSO,DATOS!$D828,nESPEC,DATOS!$E828,nASIG,DATOS!$I828,nEVAL,"EX")=0),0))))</f>
      </c>
      <c r="H828">
        <f>IF(DATOS!$G828&lt;&gt;"EX",0,--(COUNTIFS(nNIA,DATOS!$A828,nCURSO,DATOS!$D828,nESPEC,DATOS!$E828,nASIG,DATOS!$I828,nEVAL,"OR")=0))</f>
      </c>
      <c r="I828">
        <f>IF(DATOS!$I828="","",IFERROR(VLOOKUP(DATOS!$I828,CONFIG_ASIGNATURAS!$B$2:$J$91,9,FALSE()),""))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IF(DATOS!$A829="",0,IF(CONFIG_METADATA!$B$4&lt;&gt;"OR+EX",--(DATOS!$G829=CONFIG_METADATA!$B$4),IF(DATOS!$G829="EX",1,IF(DATOS!$G829="OR",--(COUNTIFS(nNIA,DATOS!$A829,nCURSO,DATOS!$D829,nESPEC,DATOS!$E829,nASIG,DATOS!$I829,nEVAL,"EX")=0),0))))</f>
      </c>
      <c r="H829">
        <f>IF(DATOS!$G829&lt;&gt;"EX",0,--(COUNTIFS(nNIA,DATOS!$A829,nCURSO,DATOS!$D829,nESPEC,DATOS!$E829,nASIG,DATOS!$I829,nEVAL,"OR")=0))</f>
      </c>
      <c r="I829">
        <f>IF(DATOS!$I829="","",IFERROR(VLOOKUP(DATOS!$I829,CONFIG_ASIGNATURAS!$B$2:$J$91,9,FALSE()),""))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IF(DATOS!$A830="",0,IF(CONFIG_METADATA!$B$4&lt;&gt;"OR+EX",--(DATOS!$G830=CONFIG_METADATA!$B$4),IF(DATOS!$G830="EX",1,IF(DATOS!$G830="OR",--(COUNTIFS(nNIA,DATOS!$A830,nCURSO,DATOS!$D830,nESPEC,DATOS!$E830,nASIG,DATOS!$I830,nEVAL,"EX")=0),0))))</f>
      </c>
      <c r="H830">
        <f>IF(DATOS!$G830&lt;&gt;"EX",0,--(COUNTIFS(nNIA,DATOS!$A830,nCURSO,DATOS!$D830,nESPEC,DATOS!$E830,nASIG,DATOS!$I830,nEVAL,"OR")=0))</f>
      </c>
      <c r="I830">
        <f>IF(DATOS!$I830="","",IFERROR(VLOOKUP(DATOS!$I830,CONFIG_ASIGNATURAS!$B$2:$J$91,9,FALSE()),""))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IF(DATOS!$A831="",0,IF(CONFIG_METADATA!$B$4&lt;&gt;"OR+EX",--(DATOS!$G831=CONFIG_METADATA!$B$4),IF(DATOS!$G831="EX",1,IF(DATOS!$G831="OR",--(COUNTIFS(nNIA,DATOS!$A831,nCURSO,DATOS!$D831,nESPEC,DATOS!$E831,nASIG,DATOS!$I831,nEVAL,"EX")=0),0))))</f>
      </c>
      <c r="H831">
        <f>IF(DATOS!$G831&lt;&gt;"EX",0,--(COUNTIFS(nNIA,DATOS!$A831,nCURSO,DATOS!$D831,nESPEC,DATOS!$E831,nASIG,DATOS!$I831,nEVAL,"OR")=0))</f>
      </c>
      <c r="I831">
        <f>IF(DATOS!$I831="","",IFERROR(VLOOKUP(DATOS!$I831,CONFIG_ASIGNATURAS!$B$2:$J$91,9,FALSE()),""))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IF(DATOS!$A832="",0,IF(CONFIG_METADATA!$B$4&lt;&gt;"OR+EX",--(DATOS!$G832=CONFIG_METADATA!$B$4),IF(DATOS!$G832="EX",1,IF(DATOS!$G832="OR",--(COUNTIFS(nNIA,DATOS!$A832,nCURSO,DATOS!$D832,nESPEC,DATOS!$E832,nASIG,DATOS!$I832,nEVAL,"EX")=0),0))))</f>
      </c>
      <c r="H832">
        <f>IF(DATOS!$G832&lt;&gt;"EX",0,--(COUNTIFS(nNIA,DATOS!$A832,nCURSO,DATOS!$D832,nESPEC,DATOS!$E832,nASIG,DATOS!$I832,nEVAL,"OR")=0))</f>
      </c>
      <c r="I832">
        <f>IF(DATOS!$I832="","",IFERROR(VLOOKUP(DATOS!$I832,CONFIG_ASIGNATURAS!$B$2:$J$91,9,FALSE()),""))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IF(DATOS!$A833="",0,IF(CONFIG_METADATA!$B$4&lt;&gt;"OR+EX",--(DATOS!$G833=CONFIG_METADATA!$B$4),IF(DATOS!$G833="EX",1,IF(DATOS!$G833="OR",--(COUNTIFS(nNIA,DATOS!$A833,nCURSO,DATOS!$D833,nESPEC,DATOS!$E833,nASIG,DATOS!$I833,nEVAL,"EX")=0),0))))</f>
      </c>
      <c r="H833">
        <f>IF(DATOS!$G833&lt;&gt;"EX",0,--(COUNTIFS(nNIA,DATOS!$A833,nCURSO,DATOS!$D833,nESPEC,DATOS!$E833,nASIG,DATOS!$I833,nEVAL,"OR")=0))</f>
      </c>
      <c r="I833">
        <f>IF(DATOS!$I833="","",IFERROR(VLOOKUP(DATOS!$I833,CONFIG_ASIGNATURAS!$B$2:$J$91,9,FALSE()),""))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IF(DATOS!$A834="",0,IF(CONFIG_METADATA!$B$4&lt;&gt;"OR+EX",--(DATOS!$G834=CONFIG_METADATA!$B$4),IF(DATOS!$G834="EX",1,IF(DATOS!$G834="OR",--(COUNTIFS(nNIA,DATOS!$A834,nCURSO,DATOS!$D834,nESPEC,DATOS!$E834,nASIG,DATOS!$I834,nEVAL,"EX")=0),0))))</f>
      </c>
      <c r="H834">
        <f>IF(DATOS!$G834&lt;&gt;"EX",0,--(COUNTIFS(nNIA,DATOS!$A834,nCURSO,DATOS!$D834,nESPEC,DATOS!$E834,nASIG,DATOS!$I834,nEVAL,"OR")=0))</f>
      </c>
      <c r="I834">
        <f>IF(DATOS!$I834="","",IFERROR(VLOOKUP(DATOS!$I834,CONFIG_ASIGNATURAS!$B$2:$J$91,9,FALSE()),""))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IF(DATOS!$A835="",0,IF(CONFIG_METADATA!$B$4&lt;&gt;"OR+EX",--(DATOS!$G835=CONFIG_METADATA!$B$4),IF(DATOS!$G835="EX",1,IF(DATOS!$G835="OR",--(COUNTIFS(nNIA,DATOS!$A835,nCURSO,DATOS!$D835,nESPEC,DATOS!$E835,nASIG,DATOS!$I835,nEVAL,"EX")=0),0))))</f>
      </c>
      <c r="H835">
        <f>IF(DATOS!$G835&lt;&gt;"EX",0,--(COUNTIFS(nNIA,DATOS!$A835,nCURSO,DATOS!$D835,nESPEC,DATOS!$E835,nASIG,DATOS!$I835,nEVAL,"OR")=0))</f>
      </c>
      <c r="I835">
        <f>IF(DATOS!$I835="","",IFERROR(VLOOKUP(DATOS!$I835,CONFIG_ASIGNATURAS!$B$2:$J$91,9,FALSE()),""))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IF(DATOS!$A836="",0,IF(CONFIG_METADATA!$B$4&lt;&gt;"OR+EX",--(DATOS!$G836=CONFIG_METADATA!$B$4),IF(DATOS!$G836="EX",1,IF(DATOS!$G836="OR",--(COUNTIFS(nNIA,DATOS!$A836,nCURSO,DATOS!$D836,nESPEC,DATOS!$E836,nASIG,DATOS!$I836,nEVAL,"EX")=0),0))))</f>
      </c>
      <c r="H836">
        <f>IF(DATOS!$G836&lt;&gt;"EX",0,--(COUNTIFS(nNIA,DATOS!$A836,nCURSO,DATOS!$D836,nESPEC,DATOS!$E836,nASIG,DATOS!$I836,nEVAL,"OR")=0))</f>
      </c>
      <c r="I836">
        <f>IF(DATOS!$I836="","",IFERROR(VLOOKUP(DATOS!$I836,CONFIG_ASIGNATURAS!$B$2:$J$91,9,FALSE()),""))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IF(DATOS!$A837="",0,IF(CONFIG_METADATA!$B$4&lt;&gt;"OR+EX",--(DATOS!$G837=CONFIG_METADATA!$B$4),IF(DATOS!$G837="EX",1,IF(DATOS!$G837="OR",--(COUNTIFS(nNIA,DATOS!$A837,nCURSO,DATOS!$D837,nESPEC,DATOS!$E837,nASIG,DATOS!$I837,nEVAL,"EX")=0),0))))</f>
      </c>
      <c r="H837">
        <f>IF(DATOS!$G837&lt;&gt;"EX",0,--(COUNTIFS(nNIA,DATOS!$A837,nCURSO,DATOS!$D837,nESPEC,DATOS!$E837,nASIG,DATOS!$I837,nEVAL,"OR")=0))</f>
      </c>
      <c r="I837">
        <f>IF(DATOS!$I837="","",IFERROR(VLOOKUP(DATOS!$I837,CONFIG_ASIGNATURAS!$B$2:$J$91,9,FALSE()),""))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IF(DATOS!$A838="",0,IF(CONFIG_METADATA!$B$4&lt;&gt;"OR+EX",--(DATOS!$G838=CONFIG_METADATA!$B$4),IF(DATOS!$G838="EX",1,IF(DATOS!$G838="OR",--(COUNTIFS(nNIA,DATOS!$A838,nCURSO,DATOS!$D838,nESPEC,DATOS!$E838,nASIG,DATOS!$I838,nEVAL,"EX")=0),0))))</f>
      </c>
      <c r="H838">
        <f>IF(DATOS!$G838&lt;&gt;"EX",0,--(COUNTIFS(nNIA,DATOS!$A838,nCURSO,DATOS!$D838,nESPEC,DATOS!$E838,nASIG,DATOS!$I838,nEVAL,"OR")=0))</f>
      </c>
      <c r="I838">
        <f>IF(DATOS!$I838="","",IFERROR(VLOOKUP(DATOS!$I838,CONFIG_ASIGNATURAS!$B$2:$J$91,9,FALSE()),""))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IF(DATOS!$A839="",0,IF(CONFIG_METADATA!$B$4&lt;&gt;"OR+EX",--(DATOS!$G839=CONFIG_METADATA!$B$4),IF(DATOS!$G839="EX",1,IF(DATOS!$G839="OR",--(COUNTIFS(nNIA,DATOS!$A839,nCURSO,DATOS!$D839,nESPEC,DATOS!$E839,nASIG,DATOS!$I839,nEVAL,"EX")=0),0))))</f>
      </c>
      <c r="H839">
        <f>IF(DATOS!$G839&lt;&gt;"EX",0,--(COUNTIFS(nNIA,DATOS!$A839,nCURSO,DATOS!$D839,nESPEC,DATOS!$E839,nASIG,DATOS!$I839,nEVAL,"OR")=0))</f>
      </c>
      <c r="I839">
        <f>IF(DATOS!$I839="","",IFERROR(VLOOKUP(DATOS!$I839,CONFIG_ASIGNATURAS!$B$2:$J$91,9,FALSE()),""))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IF(DATOS!$A840="",0,IF(CONFIG_METADATA!$B$4&lt;&gt;"OR+EX",--(DATOS!$G840=CONFIG_METADATA!$B$4),IF(DATOS!$G840="EX",1,IF(DATOS!$G840="OR",--(COUNTIFS(nNIA,DATOS!$A840,nCURSO,DATOS!$D840,nESPEC,DATOS!$E840,nASIG,DATOS!$I840,nEVAL,"EX")=0),0))))</f>
      </c>
      <c r="H840">
        <f>IF(DATOS!$G840&lt;&gt;"EX",0,--(COUNTIFS(nNIA,DATOS!$A840,nCURSO,DATOS!$D840,nESPEC,DATOS!$E840,nASIG,DATOS!$I840,nEVAL,"OR")=0))</f>
      </c>
      <c r="I840">
        <f>IF(DATOS!$I840="","",IFERROR(VLOOKUP(DATOS!$I840,CONFIG_ASIGNATURAS!$B$2:$J$91,9,FALSE()),""))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IF(DATOS!$A841="",0,IF(CONFIG_METADATA!$B$4&lt;&gt;"OR+EX",--(DATOS!$G841=CONFIG_METADATA!$B$4),IF(DATOS!$G841="EX",1,IF(DATOS!$G841="OR",--(COUNTIFS(nNIA,DATOS!$A841,nCURSO,DATOS!$D841,nESPEC,DATOS!$E841,nASIG,DATOS!$I841,nEVAL,"EX")=0),0))))</f>
      </c>
      <c r="H841">
        <f>IF(DATOS!$G841&lt;&gt;"EX",0,--(COUNTIFS(nNIA,DATOS!$A841,nCURSO,DATOS!$D841,nESPEC,DATOS!$E841,nASIG,DATOS!$I841,nEVAL,"OR")=0))</f>
      </c>
      <c r="I841">
        <f>IF(DATOS!$I841="","",IFERROR(VLOOKUP(DATOS!$I841,CONFIG_ASIGNATURAS!$B$2:$J$91,9,FALSE()),""))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IF(DATOS!$A842="",0,IF(CONFIG_METADATA!$B$4&lt;&gt;"OR+EX",--(DATOS!$G842=CONFIG_METADATA!$B$4),IF(DATOS!$G842="EX",1,IF(DATOS!$G842="OR",--(COUNTIFS(nNIA,DATOS!$A842,nCURSO,DATOS!$D842,nESPEC,DATOS!$E842,nASIG,DATOS!$I842,nEVAL,"EX")=0),0))))</f>
      </c>
      <c r="H842">
        <f>IF(DATOS!$G842&lt;&gt;"EX",0,--(COUNTIFS(nNIA,DATOS!$A842,nCURSO,DATOS!$D842,nESPEC,DATOS!$E842,nASIG,DATOS!$I842,nEVAL,"OR")=0))</f>
      </c>
      <c r="I842">
        <f>IF(DATOS!$I842="","",IFERROR(VLOOKUP(DATOS!$I842,CONFIG_ASIGNATURAS!$B$2:$J$91,9,FALSE()),""))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IF(DATOS!$A843="",0,IF(CONFIG_METADATA!$B$4&lt;&gt;"OR+EX",--(DATOS!$G843=CONFIG_METADATA!$B$4),IF(DATOS!$G843="EX",1,IF(DATOS!$G843="OR",--(COUNTIFS(nNIA,DATOS!$A843,nCURSO,DATOS!$D843,nESPEC,DATOS!$E843,nASIG,DATOS!$I843,nEVAL,"EX")=0),0))))</f>
      </c>
      <c r="H843">
        <f>IF(DATOS!$G843&lt;&gt;"EX",0,--(COUNTIFS(nNIA,DATOS!$A843,nCURSO,DATOS!$D843,nESPEC,DATOS!$E843,nASIG,DATOS!$I843,nEVAL,"OR")=0))</f>
      </c>
      <c r="I843">
        <f>IF(DATOS!$I843="","",IFERROR(VLOOKUP(DATOS!$I843,CONFIG_ASIGNATURAS!$B$2:$J$91,9,FALSE()),""))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IF(DATOS!$A844="",0,IF(CONFIG_METADATA!$B$4&lt;&gt;"OR+EX",--(DATOS!$G844=CONFIG_METADATA!$B$4),IF(DATOS!$G844="EX",1,IF(DATOS!$G844="OR",--(COUNTIFS(nNIA,DATOS!$A844,nCURSO,DATOS!$D844,nESPEC,DATOS!$E844,nASIG,DATOS!$I844,nEVAL,"EX")=0),0))))</f>
      </c>
      <c r="H844">
        <f>IF(DATOS!$G844&lt;&gt;"EX",0,--(COUNTIFS(nNIA,DATOS!$A844,nCURSO,DATOS!$D844,nESPEC,DATOS!$E844,nASIG,DATOS!$I844,nEVAL,"OR")=0))</f>
      </c>
      <c r="I844">
        <f>IF(DATOS!$I844="","",IFERROR(VLOOKUP(DATOS!$I844,CONFIG_ASIGNATURAS!$B$2:$J$91,9,FALSE()),""))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IF(DATOS!$A845="",0,IF(CONFIG_METADATA!$B$4&lt;&gt;"OR+EX",--(DATOS!$G845=CONFIG_METADATA!$B$4),IF(DATOS!$G845="EX",1,IF(DATOS!$G845="OR",--(COUNTIFS(nNIA,DATOS!$A845,nCURSO,DATOS!$D845,nESPEC,DATOS!$E845,nASIG,DATOS!$I845,nEVAL,"EX")=0),0))))</f>
      </c>
      <c r="H845">
        <f>IF(DATOS!$G845&lt;&gt;"EX",0,--(COUNTIFS(nNIA,DATOS!$A845,nCURSO,DATOS!$D845,nESPEC,DATOS!$E845,nASIG,DATOS!$I845,nEVAL,"OR")=0))</f>
      </c>
      <c r="I845">
        <f>IF(DATOS!$I845="","",IFERROR(VLOOKUP(DATOS!$I845,CONFIG_ASIGNATURAS!$B$2:$J$91,9,FALSE()),""))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IF(DATOS!$A846="",0,IF(CONFIG_METADATA!$B$4&lt;&gt;"OR+EX",--(DATOS!$G846=CONFIG_METADATA!$B$4),IF(DATOS!$G846="EX",1,IF(DATOS!$G846="OR",--(COUNTIFS(nNIA,DATOS!$A846,nCURSO,DATOS!$D846,nESPEC,DATOS!$E846,nASIG,DATOS!$I846,nEVAL,"EX")=0),0))))</f>
      </c>
      <c r="H846">
        <f>IF(DATOS!$G846&lt;&gt;"EX",0,--(COUNTIFS(nNIA,DATOS!$A846,nCURSO,DATOS!$D846,nESPEC,DATOS!$E846,nASIG,DATOS!$I846,nEVAL,"OR")=0))</f>
      </c>
      <c r="I846">
        <f>IF(DATOS!$I846="","",IFERROR(VLOOKUP(DATOS!$I846,CONFIG_ASIGNATURAS!$B$2:$J$91,9,FALSE()),""))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IF(DATOS!$A847="",0,IF(CONFIG_METADATA!$B$4&lt;&gt;"OR+EX",--(DATOS!$G847=CONFIG_METADATA!$B$4),IF(DATOS!$G847="EX",1,IF(DATOS!$G847="OR",--(COUNTIFS(nNIA,DATOS!$A847,nCURSO,DATOS!$D847,nESPEC,DATOS!$E847,nASIG,DATOS!$I847,nEVAL,"EX")=0),0))))</f>
      </c>
      <c r="H847">
        <f>IF(DATOS!$G847&lt;&gt;"EX",0,--(COUNTIFS(nNIA,DATOS!$A847,nCURSO,DATOS!$D847,nESPEC,DATOS!$E847,nASIG,DATOS!$I847,nEVAL,"OR")=0))</f>
      </c>
      <c r="I847">
        <f>IF(DATOS!$I847="","",IFERROR(VLOOKUP(DATOS!$I847,CONFIG_ASIGNATURAS!$B$2:$J$91,9,FALSE()),""))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IF(DATOS!$A848="",0,IF(CONFIG_METADATA!$B$4&lt;&gt;"OR+EX",--(DATOS!$G848=CONFIG_METADATA!$B$4),IF(DATOS!$G848="EX",1,IF(DATOS!$G848="OR",--(COUNTIFS(nNIA,DATOS!$A848,nCURSO,DATOS!$D848,nESPEC,DATOS!$E848,nASIG,DATOS!$I848,nEVAL,"EX")=0),0))))</f>
      </c>
      <c r="H848">
        <f>IF(DATOS!$G848&lt;&gt;"EX",0,--(COUNTIFS(nNIA,DATOS!$A848,nCURSO,DATOS!$D848,nESPEC,DATOS!$E848,nASIG,DATOS!$I848,nEVAL,"OR")=0))</f>
      </c>
      <c r="I848">
        <f>IF(DATOS!$I848="","",IFERROR(VLOOKUP(DATOS!$I848,CONFIG_ASIGNATURAS!$B$2:$J$91,9,FALSE()),""))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IF(DATOS!$A849="",0,IF(CONFIG_METADATA!$B$4&lt;&gt;"OR+EX",--(DATOS!$G849=CONFIG_METADATA!$B$4),IF(DATOS!$G849="EX",1,IF(DATOS!$G849="OR",--(COUNTIFS(nNIA,DATOS!$A849,nCURSO,DATOS!$D849,nESPEC,DATOS!$E849,nASIG,DATOS!$I849,nEVAL,"EX")=0),0))))</f>
      </c>
      <c r="H849">
        <f>IF(DATOS!$G849&lt;&gt;"EX",0,--(COUNTIFS(nNIA,DATOS!$A849,nCURSO,DATOS!$D849,nESPEC,DATOS!$E849,nASIG,DATOS!$I849,nEVAL,"OR")=0))</f>
      </c>
      <c r="I849">
        <f>IF(DATOS!$I849="","",IFERROR(VLOOKUP(DATOS!$I849,CONFIG_ASIGNATURAS!$B$2:$J$91,9,FALSE()),""))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IF(DATOS!$A850="",0,IF(CONFIG_METADATA!$B$4&lt;&gt;"OR+EX",--(DATOS!$G850=CONFIG_METADATA!$B$4),IF(DATOS!$G850="EX",1,IF(DATOS!$G850="OR",--(COUNTIFS(nNIA,DATOS!$A850,nCURSO,DATOS!$D850,nESPEC,DATOS!$E850,nASIG,DATOS!$I850,nEVAL,"EX")=0),0))))</f>
      </c>
      <c r="H850">
        <f>IF(DATOS!$G850&lt;&gt;"EX",0,--(COUNTIFS(nNIA,DATOS!$A850,nCURSO,DATOS!$D850,nESPEC,DATOS!$E850,nASIG,DATOS!$I850,nEVAL,"OR")=0))</f>
      </c>
      <c r="I850">
        <f>IF(DATOS!$I850="","",IFERROR(VLOOKUP(DATOS!$I850,CONFIG_ASIGNATURAS!$B$2:$J$91,9,FALSE()),""))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IF(DATOS!$A851="",0,IF(CONFIG_METADATA!$B$4&lt;&gt;"OR+EX",--(DATOS!$G851=CONFIG_METADATA!$B$4),IF(DATOS!$G851="EX",1,IF(DATOS!$G851="OR",--(COUNTIFS(nNIA,DATOS!$A851,nCURSO,DATOS!$D851,nESPEC,DATOS!$E851,nASIG,DATOS!$I851,nEVAL,"EX")=0),0))))</f>
      </c>
      <c r="H851">
        <f>IF(DATOS!$G851&lt;&gt;"EX",0,--(COUNTIFS(nNIA,DATOS!$A851,nCURSO,DATOS!$D851,nESPEC,DATOS!$E851,nASIG,DATOS!$I851,nEVAL,"OR")=0))</f>
      </c>
      <c r="I851">
        <f>IF(DATOS!$I851="","",IFERROR(VLOOKUP(DATOS!$I851,CONFIG_ASIGNATURAS!$B$2:$J$91,9,FALSE()),""))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IF(DATOS!$A852="",0,IF(CONFIG_METADATA!$B$4&lt;&gt;"OR+EX",--(DATOS!$G852=CONFIG_METADATA!$B$4),IF(DATOS!$G852="EX",1,IF(DATOS!$G852="OR",--(COUNTIFS(nNIA,DATOS!$A852,nCURSO,DATOS!$D852,nESPEC,DATOS!$E852,nASIG,DATOS!$I852,nEVAL,"EX")=0),0))))</f>
      </c>
      <c r="H852">
        <f>IF(DATOS!$G852&lt;&gt;"EX",0,--(COUNTIFS(nNIA,DATOS!$A852,nCURSO,DATOS!$D852,nESPEC,DATOS!$E852,nASIG,DATOS!$I852,nEVAL,"OR")=0))</f>
      </c>
      <c r="I852">
        <f>IF(DATOS!$I852="","",IFERROR(VLOOKUP(DATOS!$I852,CONFIG_ASIGNATURAS!$B$2:$J$91,9,FALSE()),""))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IF(DATOS!$A853="",0,IF(CONFIG_METADATA!$B$4&lt;&gt;"OR+EX",--(DATOS!$G853=CONFIG_METADATA!$B$4),IF(DATOS!$G853="EX",1,IF(DATOS!$G853="OR",--(COUNTIFS(nNIA,DATOS!$A853,nCURSO,DATOS!$D853,nESPEC,DATOS!$E853,nASIG,DATOS!$I853,nEVAL,"EX")=0),0))))</f>
      </c>
      <c r="H853">
        <f>IF(DATOS!$G853&lt;&gt;"EX",0,--(COUNTIFS(nNIA,DATOS!$A853,nCURSO,DATOS!$D853,nESPEC,DATOS!$E853,nASIG,DATOS!$I853,nEVAL,"OR")=0))</f>
      </c>
      <c r="I853">
        <f>IF(DATOS!$I853="","",IFERROR(VLOOKUP(DATOS!$I853,CONFIG_ASIGNATURAS!$B$2:$J$91,9,FALSE()),""))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IF(DATOS!$A854="",0,IF(CONFIG_METADATA!$B$4&lt;&gt;"OR+EX",--(DATOS!$G854=CONFIG_METADATA!$B$4),IF(DATOS!$G854="EX",1,IF(DATOS!$G854="OR",--(COUNTIFS(nNIA,DATOS!$A854,nCURSO,DATOS!$D854,nESPEC,DATOS!$E854,nASIG,DATOS!$I854,nEVAL,"EX")=0),0))))</f>
      </c>
      <c r="H854">
        <f>IF(DATOS!$G854&lt;&gt;"EX",0,--(COUNTIFS(nNIA,DATOS!$A854,nCURSO,DATOS!$D854,nESPEC,DATOS!$E854,nASIG,DATOS!$I854,nEVAL,"OR")=0))</f>
      </c>
      <c r="I854">
        <f>IF(DATOS!$I854="","",IFERROR(VLOOKUP(DATOS!$I854,CONFIG_ASIGNATURAS!$B$2:$J$91,9,FALSE()),""))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IF(DATOS!$A855="",0,IF(CONFIG_METADATA!$B$4&lt;&gt;"OR+EX",--(DATOS!$G855=CONFIG_METADATA!$B$4),IF(DATOS!$G855="EX",1,IF(DATOS!$G855="OR",--(COUNTIFS(nNIA,DATOS!$A855,nCURSO,DATOS!$D855,nESPEC,DATOS!$E855,nASIG,DATOS!$I855,nEVAL,"EX")=0),0))))</f>
      </c>
      <c r="H855">
        <f>IF(DATOS!$G855&lt;&gt;"EX",0,--(COUNTIFS(nNIA,DATOS!$A855,nCURSO,DATOS!$D855,nESPEC,DATOS!$E855,nASIG,DATOS!$I855,nEVAL,"OR")=0))</f>
      </c>
      <c r="I855">
        <f>IF(DATOS!$I855="","",IFERROR(VLOOKUP(DATOS!$I855,CONFIG_ASIGNATURAS!$B$2:$J$91,9,FALSE()),""))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IF(DATOS!$A856="",0,IF(CONFIG_METADATA!$B$4&lt;&gt;"OR+EX",--(DATOS!$G856=CONFIG_METADATA!$B$4),IF(DATOS!$G856="EX",1,IF(DATOS!$G856="OR",--(COUNTIFS(nNIA,DATOS!$A856,nCURSO,DATOS!$D856,nESPEC,DATOS!$E856,nASIG,DATOS!$I856,nEVAL,"EX")=0),0))))</f>
      </c>
      <c r="H856">
        <f>IF(DATOS!$G856&lt;&gt;"EX",0,--(COUNTIFS(nNIA,DATOS!$A856,nCURSO,DATOS!$D856,nESPEC,DATOS!$E856,nASIG,DATOS!$I856,nEVAL,"OR")=0))</f>
      </c>
      <c r="I856">
        <f>IF(DATOS!$I856="","",IFERROR(VLOOKUP(DATOS!$I856,CONFIG_ASIGNATURAS!$B$2:$J$91,9,FALSE()),""))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IF(DATOS!$A857="",0,IF(CONFIG_METADATA!$B$4&lt;&gt;"OR+EX",--(DATOS!$G857=CONFIG_METADATA!$B$4),IF(DATOS!$G857="EX",1,IF(DATOS!$G857="OR",--(COUNTIFS(nNIA,DATOS!$A857,nCURSO,DATOS!$D857,nESPEC,DATOS!$E857,nASIG,DATOS!$I857,nEVAL,"EX")=0),0))))</f>
      </c>
      <c r="H857">
        <f>IF(DATOS!$G857&lt;&gt;"EX",0,--(COUNTIFS(nNIA,DATOS!$A857,nCURSO,DATOS!$D857,nESPEC,DATOS!$E857,nASIG,DATOS!$I857,nEVAL,"OR")=0))</f>
      </c>
      <c r="I857">
        <f>IF(DATOS!$I857="","",IFERROR(VLOOKUP(DATOS!$I857,CONFIG_ASIGNATURAS!$B$2:$J$91,9,FALSE()),""))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IF(DATOS!$A858="",0,IF(CONFIG_METADATA!$B$4&lt;&gt;"OR+EX",--(DATOS!$G858=CONFIG_METADATA!$B$4),IF(DATOS!$G858="EX",1,IF(DATOS!$G858="OR",--(COUNTIFS(nNIA,DATOS!$A858,nCURSO,DATOS!$D858,nESPEC,DATOS!$E858,nASIG,DATOS!$I858,nEVAL,"EX")=0),0))))</f>
      </c>
      <c r="H858">
        <f>IF(DATOS!$G858&lt;&gt;"EX",0,--(COUNTIFS(nNIA,DATOS!$A858,nCURSO,DATOS!$D858,nESPEC,DATOS!$E858,nASIG,DATOS!$I858,nEVAL,"OR")=0))</f>
      </c>
      <c r="I858">
        <f>IF(DATOS!$I858="","",IFERROR(VLOOKUP(DATOS!$I858,CONFIG_ASIGNATURAS!$B$2:$J$91,9,FALSE()),""))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IF(DATOS!$A859="",0,IF(CONFIG_METADATA!$B$4&lt;&gt;"OR+EX",--(DATOS!$G859=CONFIG_METADATA!$B$4),IF(DATOS!$G859="EX",1,IF(DATOS!$G859="OR",--(COUNTIFS(nNIA,DATOS!$A859,nCURSO,DATOS!$D859,nESPEC,DATOS!$E859,nASIG,DATOS!$I859,nEVAL,"EX")=0),0))))</f>
      </c>
      <c r="H859">
        <f>IF(DATOS!$G859&lt;&gt;"EX",0,--(COUNTIFS(nNIA,DATOS!$A859,nCURSO,DATOS!$D859,nESPEC,DATOS!$E859,nASIG,DATOS!$I859,nEVAL,"OR")=0))</f>
      </c>
      <c r="I859">
        <f>IF(DATOS!$I859="","",IFERROR(VLOOKUP(DATOS!$I859,CONFIG_ASIGNATURAS!$B$2:$J$91,9,FALSE()),""))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IF(DATOS!$A860="",0,IF(CONFIG_METADATA!$B$4&lt;&gt;"OR+EX",--(DATOS!$G860=CONFIG_METADATA!$B$4),IF(DATOS!$G860="EX",1,IF(DATOS!$G860="OR",--(COUNTIFS(nNIA,DATOS!$A860,nCURSO,DATOS!$D860,nESPEC,DATOS!$E860,nASIG,DATOS!$I860,nEVAL,"EX")=0),0))))</f>
      </c>
      <c r="H860">
        <f>IF(DATOS!$G860&lt;&gt;"EX",0,--(COUNTIFS(nNIA,DATOS!$A860,nCURSO,DATOS!$D860,nESPEC,DATOS!$E860,nASIG,DATOS!$I860,nEVAL,"OR")=0))</f>
      </c>
      <c r="I860">
        <f>IF(DATOS!$I860="","",IFERROR(VLOOKUP(DATOS!$I860,CONFIG_ASIGNATURAS!$B$2:$J$91,9,FALSE()),""))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IF(DATOS!$A861="",0,IF(CONFIG_METADATA!$B$4&lt;&gt;"OR+EX",--(DATOS!$G861=CONFIG_METADATA!$B$4),IF(DATOS!$G861="EX",1,IF(DATOS!$G861="OR",--(COUNTIFS(nNIA,DATOS!$A861,nCURSO,DATOS!$D861,nESPEC,DATOS!$E861,nASIG,DATOS!$I861,nEVAL,"EX")=0),0))))</f>
      </c>
      <c r="H861">
        <f>IF(DATOS!$G861&lt;&gt;"EX",0,--(COUNTIFS(nNIA,DATOS!$A861,nCURSO,DATOS!$D861,nESPEC,DATOS!$E861,nASIG,DATOS!$I861,nEVAL,"OR")=0))</f>
      </c>
      <c r="I861">
        <f>IF(DATOS!$I861="","",IFERROR(VLOOKUP(DATOS!$I861,CONFIG_ASIGNATURAS!$B$2:$J$91,9,FALSE()),""))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IF(DATOS!$A862="",0,IF(CONFIG_METADATA!$B$4&lt;&gt;"OR+EX",--(DATOS!$G862=CONFIG_METADATA!$B$4),IF(DATOS!$G862="EX",1,IF(DATOS!$G862="OR",--(COUNTIFS(nNIA,DATOS!$A862,nCURSO,DATOS!$D862,nESPEC,DATOS!$E862,nASIG,DATOS!$I862,nEVAL,"EX")=0),0))))</f>
      </c>
      <c r="H862">
        <f>IF(DATOS!$G862&lt;&gt;"EX",0,--(COUNTIFS(nNIA,DATOS!$A862,nCURSO,DATOS!$D862,nESPEC,DATOS!$E862,nASIG,DATOS!$I862,nEVAL,"OR")=0))</f>
      </c>
      <c r="I862">
        <f>IF(DATOS!$I862="","",IFERROR(VLOOKUP(DATOS!$I862,CONFIG_ASIGNATURAS!$B$2:$J$91,9,FALSE()),""))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IF(DATOS!$A863="",0,IF(CONFIG_METADATA!$B$4&lt;&gt;"OR+EX",--(DATOS!$G863=CONFIG_METADATA!$B$4),IF(DATOS!$G863="EX",1,IF(DATOS!$G863="OR",--(COUNTIFS(nNIA,DATOS!$A863,nCURSO,DATOS!$D863,nESPEC,DATOS!$E863,nASIG,DATOS!$I863,nEVAL,"EX")=0),0))))</f>
      </c>
      <c r="H863">
        <f>IF(DATOS!$G863&lt;&gt;"EX",0,--(COUNTIFS(nNIA,DATOS!$A863,nCURSO,DATOS!$D863,nESPEC,DATOS!$E863,nASIG,DATOS!$I863,nEVAL,"OR")=0))</f>
      </c>
      <c r="I863">
        <f>IF(DATOS!$I863="","",IFERROR(VLOOKUP(DATOS!$I863,CONFIG_ASIGNATURAS!$B$2:$J$91,9,FALSE()),""))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IF(DATOS!$A864="",0,IF(CONFIG_METADATA!$B$4&lt;&gt;"OR+EX",--(DATOS!$G864=CONFIG_METADATA!$B$4),IF(DATOS!$G864="EX",1,IF(DATOS!$G864="OR",--(COUNTIFS(nNIA,DATOS!$A864,nCURSO,DATOS!$D864,nESPEC,DATOS!$E864,nASIG,DATOS!$I864,nEVAL,"EX")=0),0))))</f>
      </c>
      <c r="H864">
        <f>IF(DATOS!$G864&lt;&gt;"EX",0,--(COUNTIFS(nNIA,DATOS!$A864,nCURSO,DATOS!$D864,nESPEC,DATOS!$E864,nASIG,DATOS!$I864,nEVAL,"OR")=0))</f>
      </c>
      <c r="I864">
        <f>IF(DATOS!$I864="","",IFERROR(VLOOKUP(DATOS!$I864,CONFIG_ASIGNATURAS!$B$2:$J$91,9,FALSE()),""))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IF(DATOS!$A865="",0,IF(CONFIG_METADATA!$B$4&lt;&gt;"OR+EX",--(DATOS!$G865=CONFIG_METADATA!$B$4),IF(DATOS!$G865="EX",1,IF(DATOS!$G865="OR",--(COUNTIFS(nNIA,DATOS!$A865,nCURSO,DATOS!$D865,nESPEC,DATOS!$E865,nASIG,DATOS!$I865,nEVAL,"EX")=0),0))))</f>
      </c>
      <c r="H865">
        <f>IF(DATOS!$G865&lt;&gt;"EX",0,--(COUNTIFS(nNIA,DATOS!$A865,nCURSO,DATOS!$D865,nESPEC,DATOS!$E865,nASIG,DATOS!$I865,nEVAL,"OR")=0))</f>
      </c>
      <c r="I865">
        <f>IF(DATOS!$I865="","",IFERROR(VLOOKUP(DATOS!$I865,CONFIG_ASIGNATURAS!$B$2:$J$91,9,FALSE()),""))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IF(DATOS!$A866="",0,IF(CONFIG_METADATA!$B$4&lt;&gt;"OR+EX",--(DATOS!$G866=CONFIG_METADATA!$B$4),IF(DATOS!$G866="EX",1,IF(DATOS!$G866="OR",--(COUNTIFS(nNIA,DATOS!$A866,nCURSO,DATOS!$D866,nESPEC,DATOS!$E866,nASIG,DATOS!$I866,nEVAL,"EX")=0),0))))</f>
      </c>
      <c r="H866">
        <f>IF(DATOS!$G866&lt;&gt;"EX",0,--(COUNTIFS(nNIA,DATOS!$A866,nCURSO,DATOS!$D866,nESPEC,DATOS!$E866,nASIG,DATOS!$I866,nEVAL,"OR")=0))</f>
      </c>
      <c r="I866">
        <f>IF(DATOS!$I866="","",IFERROR(VLOOKUP(DATOS!$I866,CONFIG_ASIGNATURAS!$B$2:$J$91,9,FALSE()),""))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IF(DATOS!$A867="",0,IF(CONFIG_METADATA!$B$4&lt;&gt;"OR+EX",--(DATOS!$G867=CONFIG_METADATA!$B$4),IF(DATOS!$G867="EX",1,IF(DATOS!$G867="OR",--(COUNTIFS(nNIA,DATOS!$A867,nCURSO,DATOS!$D867,nESPEC,DATOS!$E867,nASIG,DATOS!$I867,nEVAL,"EX")=0),0))))</f>
      </c>
      <c r="H867">
        <f>IF(DATOS!$G867&lt;&gt;"EX",0,--(COUNTIFS(nNIA,DATOS!$A867,nCURSO,DATOS!$D867,nESPEC,DATOS!$E867,nASIG,DATOS!$I867,nEVAL,"OR")=0))</f>
      </c>
      <c r="I867">
        <f>IF(DATOS!$I867="","",IFERROR(VLOOKUP(DATOS!$I867,CONFIG_ASIGNATURAS!$B$2:$J$91,9,FALSE()),""))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IF(DATOS!$A868="",0,IF(CONFIG_METADATA!$B$4&lt;&gt;"OR+EX",--(DATOS!$G868=CONFIG_METADATA!$B$4),IF(DATOS!$G868="EX",1,IF(DATOS!$G868="OR",--(COUNTIFS(nNIA,DATOS!$A868,nCURSO,DATOS!$D868,nESPEC,DATOS!$E868,nASIG,DATOS!$I868,nEVAL,"EX")=0),0))))</f>
      </c>
      <c r="H868">
        <f>IF(DATOS!$G868&lt;&gt;"EX",0,--(COUNTIFS(nNIA,DATOS!$A868,nCURSO,DATOS!$D868,nESPEC,DATOS!$E868,nASIG,DATOS!$I868,nEVAL,"OR")=0))</f>
      </c>
      <c r="I868">
        <f>IF(DATOS!$I868="","",IFERROR(VLOOKUP(DATOS!$I868,CONFIG_ASIGNATURAS!$B$2:$J$91,9,FALSE()),""))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IF(DATOS!$A869="",0,IF(CONFIG_METADATA!$B$4&lt;&gt;"OR+EX",--(DATOS!$G869=CONFIG_METADATA!$B$4),IF(DATOS!$G869="EX",1,IF(DATOS!$G869="OR",--(COUNTIFS(nNIA,DATOS!$A869,nCURSO,DATOS!$D869,nESPEC,DATOS!$E869,nASIG,DATOS!$I869,nEVAL,"EX")=0),0))))</f>
      </c>
      <c r="H869">
        <f>IF(DATOS!$G869&lt;&gt;"EX",0,--(COUNTIFS(nNIA,DATOS!$A869,nCURSO,DATOS!$D869,nESPEC,DATOS!$E869,nASIG,DATOS!$I869,nEVAL,"OR")=0))</f>
      </c>
      <c r="I869">
        <f>IF(DATOS!$I869="","",IFERROR(VLOOKUP(DATOS!$I869,CONFIG_ASIGNATURAS!$B$2:$J$91,9,FALSE()),""))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IF(DATOS!$A870="",0,IF(CONFIG_METADATA!$B$4&lt;&gt;"OR+EX",--(DATOS!$G870=CONFIG_METADATA!$B$4),IF(DATOS!$G870="EX",1,IF(DATOS!$G870="OR",--(COUNTIFS(nNIA,DATOS!$A870,nCURSO,DATOS!$D870,nESPEC,DATOS!$E870,nASIG,DATOS!$I870,nEVAL,"EX")=0),0))))</f>
      </c>
      <c r="H870">
        <f>IF(DATOS!$G870&lt;&gt;"EX",0,--(COUNTIFS(nNIA,DATOS!$A870,nCURSO,DATOS!$D870,nESPEC,DATOS!$E870,nASIG,DATOS!$I870,nEVAL,"OR")=0))</f>
      </c>
      <c r="I870">
        <f>IF(DATOS!$I870="","",IFERROR(VLOOKUP(DATOS!$I870,CONFIG_ASIGNATURAS!$B$2:$J$91,9,FALSE()),""))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IF(DATOS!$A871="",0,IF(CONFIG_METADATA!$B$4&lt;&gt;"OR+EX",--(DATOS!$G871=CONFIG_METADATA!$B$4),IF(DATOS!$G871="EX",1,IF(DATOS!$G871="OR",--(COUNTIFS(nNIA,DATOS!$A871,nCURSO,DATOS!$D871,nESPEC,DATOS!$E871,nASIG,DATOS!$I871,nEVAL,"EX")=0),0))))</f>
      </c>
      <c r="H871">
        <f>IF(DATOS!$G871&lt;&gt;"EX",0,--(COUNTIFS(nNIA,DATOS!$A871,nCURSO,DATOS!$D871,nESPEC,DATOS!$E871,nASIG,DATOS!$I871,nEVAL,"OR")=0))</f>
      </c>
      <c r="I871">
        <f>IF(DATOS!$I871="","",IFERROR(VLOOKUP(DATOS!$I871,CONFIG_ASIGNATURAS!$B$2:$J$91,9,FALSE()),""))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IF(DATOS!$A872="",0,IF(CONFIG_METADATA!$B$4&lt;&gt;"OR+EX",--(DATOS!$G872=CONFIG_METADATA!$B$4),IF(DATOS!$G872="EX",1,IF(DATOS!$G872="OR",--(COUNTIFS(nNIA,DATOS!$A872,nCURSO,DATOS!$D872,nESPEC,DATOS!$E872,nASIG,DATOS!$I872,nEVAL,"EX")=0),0))))</f>
      </c>
      <c r="H872">
        <f>IF(DATOS!$G872&lt;&gt;"EX",0,--(COUNTIFS(nNIA,DATOS!$A872,nCURSO,DATOS!$D872,nESPEC,DATOS!$E872,nASIG,DATOS!$I872,nEVAL,"OR")=0))</f>
      </c>
      <c r="I872">
        <f>IF(DATOS!$I872="","",IFERROR(VLOOKUP(DATOS!$I872,CONFIG_ASIGNATURAS!$B$2:$J$91,9,FALSE()),""))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IF(DATOS!$A873="",0,IF(CONFIG_METADATA!$B$4&lt;&gt;"OR+EX",--(DATOS!$G873=CONFIG_METADATA!$B$4),IF(DATOS!$G873="EX",1,IF(DATOS!$G873="OR",--(COUNTIFS(nNIA,DATOS!$A873,nCURSO,DATOS!$D873,nESPEC,DATOS!$E873,nASIG,DATOS!$I873,nEVAL,"EX")=0),0))))</f>
      </c>
      <c r="H873">
        <f>IF(DATOS!$G873&lt;&gt;"EX",0,--(COUNTIFS(nNIA,DATOS!$A873,nCURSO,DATOS!$D873,nESPEC,DATOS!$E873,nASIG,DATOS!$I873,nEVAL,"OR")=0))</f>
      </c>
      <c r="I873">
        <f>IF(DATOS!$I873="","",IFERROR(VLOOKUP(DATOS!$I873,CONFIG_ASIGNATURAS!$B$2:$J$91,9,FALSE()),""))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IF(DATOS!$A874="",0,IF(CONFIG_METADATA!$B$4&lt;&gt;"OR+EX",--(DATOS!$G874=CONFIG_METADATA!$B$4),IF(DATOS!$G874="EX",1,IF(DATOS!$G874="OR",--(COUNTIFS(nNIA,DATOS!$A874,nCURSO,DATOS!$D874,nESPEC,DATOS!$E874,nASIG,DATOS!$I874,nEVAL,"EX")=0),0))))</f>
      </c>
      <c r="H874">
        <f>IF(DATOS!$G874&lt;&gt;"EX",0,--(COUNTIFS(nNIA,DATOS!$A874,nCURSO,DATOS!$D874,nESPEC,DATOS!$E874,nASIG,DATOS!$I874,nEVAL,"OR")=0))</f>
      </c>
      <c r="I874">
        <f>IF(DATOS!$I874="","",IFERROR(VLOOKUP(DATOS!$I874,CONFIG_ASIGNATURAS!$B$2:$J$91,9,FALSE()),""))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IF(DATOS!$A875="",0,IF(CONFIG_METADATA!$B$4&lt;&gt;"OR+EX",--(DATOS!$G875=CONFIG_METADATA!$B$4),IF(DATOS!$G875="EX",1,IF(DATOS!$G875="OR",--(COUNTIFS(nNIA,DATOS!$A875,nCURSO,DATOS!$D875,nESPEC,DATOS!$E875,nASIG,DATOS!$I875,nEVAL,"EX")=0),0))))</f>
      </c>
      <c r="H875">
        <f>IF(DATOS!$G875&lt;&gt;"EX",0,--(COUNTIFS(nNIA,DATOS!$A875,nCURSO,DATOS!$D875,nESPEC,DATOS!$E875,nASIG,DATOS!$I875,nEVAL,"OR")=0))</f>
      </c>
      <c r="I875">
        <f>IF(DATOS!$I875="","",IFERROR(VLOOKUP(DATOS!$I875,CONFIG_ASIGNATURAS!$B$2:$J$91,9,FALSE()),""))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IF(DATOS!$A876="",0,IF(CONFIG_METADATA!$B$4&lt;&gt;"OR+EX",--(DATOS!$G876=CONFIG_METADATA!$B$4),IF(DATOS!$G876="EX",1,IF(DATOS!$G876="OR",--(COUNTIFS(nNIA,DATOS!$A876,nCURSO,DATOS!$D876,nESPEC,DATOS!$E876,nASIG,DATOS!$I876,nEVAL,"EX")=0),0))))</f>
      </c>
      <c r="H876">
        <f>IF(DATOS!$G876&lt;&gt;"EX",0,--(COUNTIFS(nNIA,DATOS!$A876,nCURSO,DATOS!$D876,nESPEC,DATOS!$E876,nASIG,DATOS!$I876,nEVAL,"OR")=0))</f>
      </c>
      <c r="I876">
        <f>IF(DATOS!$I876="","",IFERROR(VLOOKUP(DATOS!$I876,CONFIG_ASIGNATURAS!$B$2:$J$91,9,FALSE()),""))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IF(DATOS!$A877="",0,IF(CONFIG_METADATA!$B$4&lt;&gt;"OR+EX",--(DATOS!$G877=CONFIG_METADATA!$B$4),IF(DATOS!$G877="EX",1,IF(DATOS!$G877="OR",--(COUNTIFS(nNIA,DATOS!$A877,nCURSO,DATOS!$D877,nESPEC,DATOS!$E877,nASIG,DATOS!$I877,nEVAL,"EX")=0),0))))</f>
      </c>
      <c r="H877">
        <f>IF(DATOS!$G877&lt;&gt;"EX",0,--(COUNTIFS(nNIA,DATOS!$A877,nCURSO,DATOS!$D877,nESPEC,DATOS!$E877,nASIG,DATOS!$I877,nEVAL,"OR")=0))</f>
      </c>
      <c r="I877">
        <f>IF(DATOS!$I877="","",IFERROR(VLOOKUP(DATOS!$I877,CONFIG_ASIGNATURAS!$B$2:$J$91,9,FALSE()),""))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IF(DATOS!$A878="",0,IF(CONFIG_METADATA!$B$4&lt;&gt;"OR+EX",--(DATOS!$G878=CONFIG_METADATA!$B$4),IF(DATOS!$G878="EX",1,IF(DATOS!$G878="OR",--(COUNTIFS(nNIA,DATOS!$A878,nCURSO,DATOS!$D878,nESPEC,DATOS!$E878,nASIG,DATOS!$I878,nEVAL,"EX")=0),0))))</f>
      </c>
      <c r="H878">
        <f>IF(DATOS!$G878&lt;&gt;"EX",0,--(COUNTIFS(nNIA,DATOS!$A878,nCURSO,DATOS!$D878,nESPEC,DATOS!$E878,nASIG,DATOS!$I878,nEVAL,"OR")=0))</f>
      </c>
      <c r="I878">
        <f>IF(DATOS!$I878="","",IFERROR(VLOOKUP(DATOS!$I878,CONFIG_ASIGNATURAS!$B$2:$J$91,9,FALSE()),""))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IF(DATOS!$A879="",0,IF(CONFIG_METADATA!$B$4&lt;&gt;"OR+EX",--(DATOS!$G879=CONFIG_METADATA!$B$4),IF(DATOS!$G879="EX",1,IF(DATOS!$G879="OR",--(COUNTIFS(nNIA,DATOS!$A879,nCURSO,DATOS!$D879,nESPEC,DATOS!$E879,nASIG,DATOS!$I879,nEVAL,"EX")=0),0))))</f>
      </c>
      <c r="H879">
        <f>IF(DATOS!$G879&lt;&gt;"EX",0,--(COUNTIFS(nNIA,DATOS!$A879,nCURSO,DATOS!$D879,nESPEC,DATOS!$E879,nASIG,DATOS!$I879,nEVAL,"OR")=0))</f>
      </c>
      <c r="I879">
        <f>IF(DATOS!$I879="","",IFERROR(VLOOKUP(DATOS!$I879,CONFIG_ASIGNATURAS!$B$2:$J$91,9,FALSE()),""))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IF(DATOS!$A880="",0,IF(CONFIG_METADATA!$B$4&lt;&gt;"OR+EX",--(DATOS!$G880=CONFIG_METADATA!$B$4),IF(DATOS!$G880="EX",1,IF(DATOS!$G880="OR",--(COUNTIFS(nNIA,DATOS!$A880,nCURSO,DATOS!$D880,nESPEC,DATOS!$E880,nASIG,DATOS!$I880,nEVAL,"EX")=0),0))))</f>
      </c>
      <c r="H880">
        <f>IF(DATOS!$G880&lt;&gt;"EX",0,--(COUNTIFS(nNIA,DATOS!$A880,nCURSO,DATOS!$D880,nESPEC,DATOS!$E880,nASIG,DATOS!$I880,nEVAL,"OR")=0))</f>
      </c>
      <c r="I880">
        <f>IF(DATOS!$I880="","",IFERROR(VLOOKUP(DATOS!$I880,CONFIG_ASIGNATURAS!$B$2:$J$91,9,FALSE()),""))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IF(DATOS!$A881="",0,IF(CONFIG_METADATA!$B$4&lt;&gt;"OR+EX",--(DATOS!$G881=CONFIG_METADATA!$B$4),IF(DATOS!$G881="EX",1,IF(DATOS!$G881="OR",--(COUNTIFS(nNIA,DATOS!$A881,nCURSO,DATOS!$D881,nESPEC,DATOS!$E881,nASIG,DATOS!$I881,nEVAL,"EX")=0),0))))</f>
      </c>
      <c r="H881">
        <f>IF(DATOS!$G881&lt;&gt;"EX",0,--(COUNTIFS(nNIA,DATOS!$A881,nCURSO,DATOS!$D881,nESPEC,DATOS!$E881,nASIG,DATOS!$I881,nEVAL,"OR")=0))</f>
      </c>
      <c r="I881">
        <f>IF(DATOS!$I881="","",IFERROR(VLOOKUP(DATOS!$I881,CONFIG_ASIGNATURAS!$B$2:$J$91,9,FALSE()),""))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IF(DATOS!$A882="",0,IF(CONFIG_METADATA!$B$4&lt;&gt;"OR+EX",--(DATOS!$G882=CONFIG_METADATA!$B$4),IF(DATOS!$G882="EX",1,IF(DATOS!$G882="OR",--(COUNTIFS(nNIA,DATOS!$A882,nCURSO,DATOS!$D882,nESPEC,DATOS!$E882,nASIG,DATOS!$I882,nEVAL,"EX")=0),0))))</f>
      </c>
      <c r="H882">
        <f>IF(DATOS!$G882&lt;&gt;"EX",0,--(COUNTIFS(nNIA,DATOS!$A882,nCURSO,DATOS!$D882,nESPEC,DATOS!$E882,nASIG,DATOS!$I882,nEVAL,"OR")=0))</f>
      </c>
      <c r="I882">
        <f>IF(DATOS!$I882="","",IFERROR(VLOOKUP(DATOS!$I882,CONFIG_ASIGNATURAS!$B$2:$J$91,9,FALSE()),""))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IF(DATOS!$A883="",0,IF(CONFIG_METADATA!$B$4&lt;&gt;"OR+EX",--(DATOS!$G883=CONFIG_METADATA!$B$4),IF(DATOS!$G883="EX",1,IF(DATOS!$G883="OR",--(COUNTIFS(nNIA,DATOS!$A883,nCURSO,DATOS!$D883,nESPEC,DATOS!$E883,nASIG,DATOS!$I883,nEVAL,"EX")=0),0))))</f>
      </c>
      <c r="H883">
        <f>IF(DATOS!$G883&lt;&gt;"EX",0,--(COUNTIFS(nNIA,DATOS!$A883,nCURSO,DATOS!$D883,nESPEC,DATOS!$E883,nASIG,DATOS!$I883,nEVAL,"OR")=0))</f>
      </c>
      <c r="I883">
        <f>IF(DATOS!$I883="","",IFERROR(VLOOKUP(DATOS!$I883,CONFIG_ASIGNATURAS!$B$2:$J$91,9,FALSE()),""))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IF(DATOS!$A884="",0,IF(CONFIG_METADATA!$B$4&lt;&gt;"OR+EX",--(DATOS!$G884=CONFIG_METADATA!$B$4),IF(DATOS!$G884="EX",1,IF(DATOS!$G884="OR",--(COUNTIFS(nNIA,DATOS!$A884,nCURSO,DATOS!$D884,nESPEC,DATOS!$E884,nASIG,DATOS!$I884,nEVAL,"EX")=0),0))))</f>
      </c>
      <c r="H884">
        <f>IF(DATOS!$G884&lt;&gt;"EX",0,--(COUNTIFS(nNIA,DATOS!$A884,nCURSO,DATOS!$D884,nESPEC,DATOS!$E884,nASIG,DATOS!$I884,nEVAL,"OR")=0))</f>
      </c>
      <c r="I884">
        <f>IF(DATOS!$I884="","",IFERROR(VLOOKUP(DATOS!$I884,CONFIG_ASIGNATURAS!$B$2:$J$91,9,FALSE()),""))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IF(DATOS!$A885="",0,IF(CONFIG_METADATA!$B$4&lt;&gt;"OR+EX",--(DATOS!$G885=CONFIG_METADATA!$B$4),IF(DATOS!$G885="EX",1,IF(DATOS!$G885="OR",--(COUNTIFS(nNIA,DATOS!$A885,nCURSO,DATOS!$D885,nESPEC,DATOS!$E885,nASIG,DATOS!$I885,nEVAL,"EX")=0),0))))</f>
      </c>
      <c r="H885">
        <f>IF(DATOS!$G885&lt;&gt;"EX",0,--(COUNTIFS(nNIA,DATOS!$A885,nCURSO,DATOS!$D885,nESPEC,DATOS!$E885,nASIG,DATOS!$I885,nEVAL,"OR")=0))</f>
      </c>
      <c r="I885">
        <f>IF(DATOS!$I885="","",IFERROR(VLOOKUP(DATOS!$I885,CONFIG_ASIGNATURAS!$B$2:$J$91,9,FALSE()),""))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IF(DATOS!$A886="",0,IF(CONFIG_METADATA!$B$4&lt;&gt;"OR+EX",--(DATOS!$G886=CONFIG_METADATA!$B$4),IF(DATOS!$G886="EX",1,IF(DATOS!$G886="OR",--(COUNTIFS(nNIA,DATOS!$A886,nCURSO,DATOS!$D886,nESPEC,DATOS!$E886,nASIG,DATOS!$I886,nEVAL,"EX")=0),0))))</f>
      </c>
      <c r="H886">
        <f>IF(DATOS!$G886&lt;&gt;"EX",0,--(COUNTIFS(nNIA,DATOS!$A886,nCURSO,DATOS!$D886,nESPEC,DATOS!$E886,nASIG,DATOS!$I886,nEVAL,"OR")=0))</f>
      </c>
      <c r="I886">
        <f>IF(DATOS!$I886="","",IFERROR(VLOOKUP(DATOS!$I886,CONFIG_ASIGNATURAS!$B$2:$J$91,9,FALSE()),""))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IF(DATOS!$A887="",0,IF(CONFIG_METADATA!$B$4&lt;&gt;"OR+EX",--(DATOS!$G887=CONFIG_METADATA!$B$4),IF(DATOS!$G887="EX",1,IF(DATOS!$G887="OR",--(COUNTIFS(nNIA,DATOS!$A887,nCURSO,DATOS!$D887,nESPEC,DATOS!$E887,nASIG,DATOS!$I887,nEVAL,"EX")=0),0))))</f>
      </c>
      <c r="H887">
        <f>IF(DATOS!$G887&lt;&gt;"EX",0,--(COUNTIFS(nNIA,DATOS!$A887,nCURSO,DATOS!$D887,nESPEC,DATOS!$E887,nASIG,DATOS!$I887,nEVAL,"OR")=0))</f>
      </c>
      <c r="I887">
        <f>IF(DATOS!$I887="","",IFERROR(VLOOKUP(DATOS!$I887,CONFIG_ASIGNATURAS!$B$2:$J$91,9,FALSE()),""))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IF(DATOS!$A888="",0,IF(CONFIG_METADATA!$B$4&lt;&gt;"OR+EX",--(DATOS!$G888=CONFIG_METADATA!$B$4),IF(DATOS!$G888="EX",1,IF(DATOS!$G888="OR",--(COUNTIFS(nNIA,DATOS!$A888,nCURSO,DATOS!$D888,nESPEC,DATOS!$E888,nASIG,DATOS!$I888,nEVAL,"EX")=0),0))))</f>
      </c>
      <c r="H888">
        <f>IF(DATOS!$G888&lt;&gt;"EX",0,--(COUNTIFS(nNIA,DATOS!$A888,nCURSO,DATOS!$D888,nESPEC,DATOS!$E888,nASIG,DATOS!$I888,nEVAL,"OR")=0))</f>
      </c>
      <c r="I888">
        <f>IF(DATOS!$I888="","",IFERROR(VLOOKUP(DATOS!$I888,CONFIG_ASIGNATURAS!$B$2:$J$91,9,FALSE()),""))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IF(DATOS!$A889="",0,IF(CONFIG_METADATA!$B$4&lt;&gt;"OR+EX",--(DATOS!$G889=CONFIG_METADATA!$B$4),IF(DATOS!$G889="EX",1,IF(DATOS!$G889="OR",--(COUNTIFS(nNIA,DATOS!$A889,nCURSO,DATOS!$D889,nESPEC,DATOS!$E889,nASIG,DATOS!$I889,nEVAL,"EX")=0),0))))</f>
      </c>
      <c r="H889">
        <f>IF(DATOS!$G889&lt;&gt;"EX",0,--(COUNTIFS(nNIA,DATOS!$A889,nCURSO,DATOS!$D889,nESPEC,DATOS!$E889,nASIG,DATOS!$I889,nEVAL,"OR")=0))</f>
      </c>
      <c r="I889">
        <f>IF(DATOS!$I889="","",IFERROR(VLOOKUP(DATOS!$I889,CONFIG_ASIGNATURAS!$B$2:$J$91,9,FALSE()),""))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IF(DATOS!$A890="",0,IF(CONFIG_METADATA!$B$4&lt;&gt;"OR+EX",--(DATOS!$G890=CONFIG_METADATA!$B$4),IF(DATOS!$G890="EX",1,IF(DATOS!$G890="OR",--(COUNTIFS(nNIA,DATOS!$A890,nCURSO,DATOS!$D890,nESPEC,DATOS!$E890,nASIG,DATOS!$I890,nEVAL,"EX")=0),0))))</f>
      </c>
      <c r="H890">
        <f>IF(DATOS!$G890&lt;&gt;"EX",0,--(COUNTIFS(nNIA,DATOS!$A890,nCURSO,DATOS!$D890,nESPEC,DATOS!$E890,nASIG,DATOS!$I890,nEVAL,"OR")=0))</f>
      </c>
      <c r="I890">
        <f>IF(DATOS!$I890="","",IFERROR(VLOOKUP(DATOS!$I890,CONFIG_ASIGNATURAS!$B$2:$J$91,9,FALSE()),""))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IF(DATOS!$A891="",0,IF(CONFIG_METADATA!$B$4&lt;&gt;"OR+EX",--(DATOS!$G891=CONFIG_METADATA!$B$4),IF(DATOS!$G891="EX",1,IF(DATOS!$G891="OR",--(COUNTIFS(nNIA,DATOS!$A891,nCURSO,DATOS!$D891,nESPEC,DATOS!$E891,nASIG,DATOS!$I891,nEVAL,"EX")=0),0))))</f>
      </c>
      <c r="H891">
        <f>IF(DATOS!$G891&lt;&gt;"EX",0,--(COUNTIFS(nNIA,DATOS!$A891,nCURSO,DATOS!$D891,nESPEC,DATOS!$E891,nASIG,DATOS!$I891,nEVAL,"OR")=0))</f>
      </c>
      <c r="I891">
        <f>IF(DATOS!$I891="","",IFERROR(VLOOKUP(DATOS!$I891,CONFIG_ASIGNATURAS!$B$2:$J$91,9,FALSE()),""))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IF(DATOS!$A892="",0,IF(CONFIG_METADATA!$B$4&lt;&gt;"OR+EX",--(DATOS!$G892=CONFIG_METADATA!$B$4),IF(DATOS!$G892="EX",1,IF(DATOS!$G892="OR",--(COUNTIFS(nNIA,DATOS!$A892,nCURSO,DATOS!$D892,nESPEC,DATOS!$E892,nASIG,DATOS!$I892,nEVAL,"EX")=0),0))))</f>
      </c>
      <c r="H892">
        <f>IF(DATOS!$G892&lt;&gt;"EX",0,--(COUNTIFS(nNIA,DATOS!$A892,nCURSO,DATOS!$D892,nESPEC,DATOS!$E892,nASIG,DATOS!$I892,nEVAL,"OR")=0))</f>
      </c>
      <c r="I892">
        <f>IF(DATOS!$I892="","",IFERROR(VLOOKUP(DATOS!$I892,CONFIG_ASIGNATURAS!$B$2:$J$91,9,FALSE()),""))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IF(DATOS!$A893="",0,IF(CONFIG_METADATA!$B$4&lt;&gt;"OR+EX",--(DATOS!$G893=CONFIG_METADATA!$B$4),IF(DATOS!$G893="EX",1,IF(DATOS!$G893="OR",--(COUNTIFS(nNIA,DATOS!$A893,nCURSO,DATOS!$D893,nESPEC,DATOS!$E893,nASIG,DATOS!$I893,nEVAL,"EX")=0),0))))</f>
      </c>
      <c r="H893">
        <f>IF(DATOS!$G893&lt;&gt;"EX",0,--(COUNTIFS(nNIA,DATOS!$A893,nCURSO,DATOS!$D893,nESPEC,DATOS!$E893,nASIG,DATOS!$I893,nEVAL,"OR")=0))</f>
      </c>
      <c r="I893">
        <f>IF(DATOS!$I893="","",IFERROR(VLOOKUP(DATOS!$I893,CONFIG_ASIGNATURAS!$B$2:$J$91,9,FALSE()),""))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IF(DATOS!$A894="",0,IF(CONFIG_METADATA!$B$4&lt;&gt;"OR+EX",--(DATOS!$G894=CONFIG_METADATA!$B$4),IF(DATOS!$G894="EX",1,IF(DATOS!$G894="OR",--(COUNTIFS(nNIA,DATOS!$A894,nCURSO,DATOS!$D894,nESPEC,DATOS!$E894,nASIG,DATOS!$I894,nEVAL,"EX")=0),0))))</f>
      </c>
      <c r="H894">
        <f>IF(DATOS!$G894&lt;&gt;"EX",0,--(COUNTIFS(nNIA,DATOS!$A894,nCURSO,DATOS!$D894,nESPEC,DATOS!$E894,nASIG,DATOS!$I894,nEVAL,"OR")=0))</f>
      </c>
      <c r="I894">
        <f>IF(DATOS!$I894="","",IFERROR(VLOOKUP(DATOS!$I894,CONFIG_ASIGNATURAS!$B$2:$J$91,9,FALSE()),""))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IF(DATOS!$A895="",0,IF(CONFIG_METADATA!$B$4&lt;&gt;"OR+EX",--(DATOS!$G895=CONFIG_METADATA!$B$4),IF(DATOS!$G895="EX",1,IF(DATOS!$G895="OR",--(COUNTIFS(nNIA,DATOS!$A895,nCURSO,DATOS!$D895,nESPEC,DATOS!$E895,nASIG,DATOS!$I895,nEVAL,"EX")=0),0))))</f>
      </c>
      <c r="H895">
        <f>IF(DATOS!$G895&lt;&gt;"EX",0,--(COUNTIFS(nNIA,DATOS!$A895,nCURSO,DATOS!$D895,nESPEC,DATOS!$E895,nASIG,DATOS!$I895,nEVAL,"OR")=0))</f>
      </c>
      <c r="I895">
        <f>IF(DATOS!$I895="","",IFERROR(VLOOKUP(DATOS!$I895,CONFIG_ASIGNATURAS!$B$2:$J$91,9,FALSE()),""))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IF(DATOS!$A896="",0,IF(CONFIG_METADATA!$B$4&lt;&gt;"OR+EX",--(DATOS!$G896=CONFIG_METADATA!$B$4),IF(DATOS!$G896="EX",1,IF(DATOS!$G896="OR",--(COUNTIFS(nNIA,DATOS!$A896,nCURSO,DATOS!$D896,nESPEC,DATOS!$E896,nASIG,DATOS!$I896,nEVAL,"EX")=0),0))))</f>
      </c>
      <c r="H896">
        <f>IF(DATOS!$G896&lt;&gt;"EX",0,--(COUNTIFS(nNIA,DATOS!$A896,nCURSO,DATOS!$D896,nESPEC,DATOS!$E896,nASIG,DATOS!$I896,nEVAL,"OR")=0))</f>
      </c>
      <c r="I896">
        <f>IF(DATOS!$I896="","",IFERROR(VLOOKUP(DATOS!$I896,CONFIG_ASIGNATURAS!$B$2:$J$91,9,FALSE()),""))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IF(DATOS!$A897="",0,IF(CONFIG_METADATA!$B$4&lt;&gt;"OR+EX",--(DATOS!$G897=CONFIG_METADATA!$B$4),IF(DATOS!$G897="EX",1,IF(DATOS!$G897="OR",--(COUNTIFS(nNIA,DATOS!$A897,nCURSO,DATOS!$D897,nESPEC,DATOS!$E897,nASIG,DATOS!$I897,nEVAL,"EX")=0),0))))</f>
      </c>
      <c r="H897">
        <f>IF(DATOS!$G897&lt;&gt;"EX",0,--(COUNTIFS(nNIA,DATOS!$A897,nCURSO,DATOS!$D897,nESPEC,DATOS!$E897,nASIG,DATOS!$I897,nEVAL,"OR")=0))</f>
      </c>
      <c r="I897">
        <f>IF(DATOS!$I897="","",IFERROR(VLOOKUP(DATOS!$I897,CONFIG_ASIGNATURAS!$B$2:$J$91,9,FALSE()),""))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IF(DATOS!$A898="",0,IF(CONFIG_METADATA!$B$4&lt;&gt;"OR+EX",--(DATOS!$G898=CONFIG_METADATA!$B$4),IF(DATOS!$G898="EX",1,IF(DATOS!$G898="OR",--(COUNTIFS(nNIA,DATOS!$A898,nCURSO,DATOS!$D898,nESPEC,DATOS!$E898,nASIG,DATOS!$I898,nEVAL,"EX")=0),0))))</f>
      </c>
      <c r="H898">
        <f>IF(DATOS!$G898&lt;&gt;"EX",0,--(COUNTIFS(nNIA,DATOS!$A898,nCURSO,DATOS!$D898,nESPEC,DATOS!$E898,nASIG,DATOS!$I898,nEVAL,"OR")=0))</f>
      </c>
      <c r="I898">
        <f>IF(DATOS!$I898="","",IFERROR(VLOOKUP(DATOS!$I898,CONFIG_ASIGNATURAS!$B$2:$J$91,9,FALSE()),""))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IF(DATOS!$A899="",0,IF(CONFIG_METADATA!$B$4&lt;&gt;"OR+EX",--(DATOS!$G899=CONFIG_METADATA!$B$4),IF(DATOS!$G899="EX",1,IF(DATOS!$G899="OR",--(COUNTIFS(nNIA,DATOS!$A899,nCURSO,DATOS!$D899,nESPEC,DATOS!$E899,nASIG,DATOS!$I899,nEVAL,"EX")=0),0))))</f>
      </c>
      <c r="H899">
        <f>IF(DATOS!$G899&lt;&gt;"EX",0,--(COUNTIFS(nNIA,DATOS!$A899,nCURSO,DATOS!$D899,nESPEC,DATOS!$E899,nASIG,DATOS!$I899,nEVAL,"OR")=0))</f>
      </c>
      <c r="I899">
        <f>IF(DATOS!$I899="","",IFERROR(VLOOKUP(DATOS!$I899,CONFIG_ASIGNATURAS!$B$2:$J$91,9,FALSE()),""))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IF(DATOS!$A900="",0,IF(CONFIG_METADATA!$B$4&lt;&gt;"OR+EX",--(DATOS!$G900=CONFIG_METADATA!$B$4),IF(DATOS!$G900="EX",1,IF(DATOS!$G900="OR",--(COUNTIFS(nNIA,DATOS!$A900,nCURSO,DATOS!$D900,nESPEC,DATOS!$E900,nASIG,DATOS!$I900,nEVAL,"EX")=0),0))))</f>
      </c>
      <c r="H900">
        <f>IF(DATOS!$G900&lt;&gt;"EX",0,--(COUNTIFS(nNIA,DATOS!$A900,nCURSO,DATOS!$D900,nESPEC,DATOS!$E900,nASIG,DATOS!$I900,nEVAL,"OR")=0))</f>
      </c>
      <c r="I900">
        <f>IF(DATOS!$I900="","",IFERROR(VLOOKUP(DATOS!$I900,CONFIG_ASIGNATURAS!$B$2:$J$91,9,FALSE()),""))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IF(DATOS!$A901="",0,IF(CONFIG_METADATA!$B$4&lt;&gt;"OR+EX",--(DATOS!$G901=CONFIG_METADATA!$B$4),IF(DATOS!$G901="EX",1,IF(DATOS!$G901="OR",--(COUNTIFS(nNIA,DATOS!$A901,nCURSO,DATOS!$D901,nESPEC,DATOS!$E901,nASIG,DATOS!$I901,nEVAL,"EX")=0),0))))</f>
      </c>
      <c r="H901">
        <f>IF(DATOS!$G901&lt;&gt;"EX",0,--(COUNTIFS(nNIA,DATOS!$A901,nCURSO,DATOS!$D901,nESPEC,DATOS!$E901,nASIG,DATOS!$I901,nEVAL,"OR")=0))</f>
      </c>
      <c r="I901">
        <f>IF(DATOS!$I901="","",IFERROR(VLOOKUP(DATOS!$I901,CONFIG_ASIGNATURAS!$B$2:$J$91,9,FALSE()),""))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IF(DATOS!$A902="",0,IF(CONFIG_METADATA!$B$4&lt;&gt;"OR+EX",--(DATOS!$G902=CONFIG_METADATA!$B$4),IF(DATOS!$G902="EX",1,IF(DATOS!$G902="OR",--(COUNTIFS(nNIA,DATOS!$A902,nCURSO,DATOS!$D902,nESPEC,DATOS!$E902,nASIG,DATOS!$I902,nEVAL,"EX")=0),0))))</f>
      </c>
      <c r="H902">
        <f>IF(DATOS!$G902&lt;&gt;"EX",0,--(COUNTIFS(nNIA,DATOS!$A902,nCURSO,DATOS!$D902,nESPEC,DATOS!$E902,nASIG,DATOS!$I902,nEVAL,"OR")=0))</f>
      </c>
      <c r="I902">
        <f>IF(DATOS!$I902="","",IFERROR(VLOOKUP(DATOS!$I902,CONFIG_ASIGNATURAS!$B$2:$J$91,9,FALSE()),""))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IF(DATOS!$A903="",0,IF(CONFIG_METADATA!$B$4&lt;&gt;"OR+EX",--(DATOS!$G903=CONFIG_METADATA!$B$4),IF(DATOS!$G903="EX",1,IF(DATOS!$G903="OR",--(COUNTIFS(nNIA,DATOS!$A903,nCURSO,DATOS!$D903,nESPEC,DATOS!$E903,nASIG,DATOS!$I903,nEVAL,"EX")=0),0))))</f>
      </c>
      <c r="H903">
        <f>IF(DATOS!$G903&lt;&gt;"EX",0,--(COUNTIFS(nNIA,DATOS!$A903,nCURSO,DATOS!$D903,nESPEC,DATOS!$E903,nASIG,DATOS!$I903,nEVAL,"OR")=0))</f>
      </c>
      <c r="I903">
        <f>IF(DATOS!$I903="","",IFERROR(VLOOKUP(DATOS!$I903,CONFIG_ASIGNATURAS!$B$2:$J$91,9,FALSE()),""))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IF(DATOS!$A904="",0,IF(CONFIG_METADATA!$B$4&lt;&gt;"OR+EX",--(DATOS!$G904=CONFIG_METADATA!$B$4),IF(DATOS!$G904="EX",1,IF(DATOS!$G904="OR",--(COUNTIFS(nNIA,DATOS!$A904,nCURSO,DATOS!$D904,nESPEC,DATOS!$E904,nASIG,DATOS!$I904,nEVAL,"EX")=0),0))))</f>
      </c>
      <c r="H904">
        <f>IF(DATOS!$G904&lt;&gt;"EX",0,--(COUNTIFS(nNIA,DATOS!$A904,nCURSO,DATOS!$D904,nESPEC,DATOS!$E904,nASIG,DATOS!$I904,nEVAL,"OR")=0))</f>
      </c>
      <c r="I904">
        <f>IF(DATOS!$I904="","",IFERROR(VLOOKUP(DATOS!$I904,CONFIG_ASIGNATURAS!$B$2:$J$91,9,FALSE()),""))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IF(DATOS!$A905="",0,IF(CONFIG_METADATA!$B$4&lt;&gt;"OR+EX",--(DATOS!$G905=CONFIG_METADATA!$B$4),IF(DATOS!$G905="EX",1,IF(DATOS!$G905="OR",--(COUNTIFS(nNIA,DATOS!$A905,nCURSO,DATOS!$D905,nESPEC,DATOS!$E905,nASIG,DATOS!$I905,nEVAL,"EX")=0),0))))</f>
      </c>
      <c r="H905">
        <f>IF(DATOS!$G905&lt;&gt;"EX",0,--(COUNTIFS(nNIA,DATOS!$A905,nCURSO,DATOS!$D905,nESPEC,DATOS!$E905,nASIG,DATOS!$I905,nEVAL,"OR")=0))</f>
      </c>
      <c r="I905">
        <f>IF(DATOS!$I905="","",IFERROR(VLOOKUP(DATOS!$I905,CONFIG_ASIGNATURAS!$B$2:$J$91,9,FALSE()),""))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IF(DATOS!$A906="",0,IF(CONFIG_METADATA!$B$4&lt;&gt;"OR+EX",--(DATOS!$G906=CONFIG_METADATA!$B$4),IF(DATOS!$G906="EX",1,IF(DATOS!$G906="OR",--(COUNTIFS(nNIA,DATOS!$A906,nCURSO,DATOS!$D906,nESPEC,DATOS!$E906,nASIG,DATOS!$I906,nEVAL,"EX")=0),0))))</f>
      </c>
      <c r="H906">
        <f>IF(DATOS!$G906&lt;&gt;"EX",0,--(COUNTIFS(nNIA,DATOS!$A906,nCURSO,DATOS!$D906,nESPEC,DATOS!$E906,nASIG,DATOS!$I906,nEVAL,"OR")=0))</f>
      </c>
      <c r="I906">
        <f>IF(DATOS!$I906="","",IFERROR(VLOOKUP(DATOS!$I906,CONFIG_ASIGNATURAS!$B$2:$J$91,9,FALSE()),""))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IF(DATOS!$A907="",0,IF(CONFIG_METADATA!$B$4&lt;&gt;"OR+EX",--(DATOS!$G907=CONFIG_METADATA!$B$4),IF(DATOS!$G907="EX",1,IF(DATOS!$G907="OR",--(COUNTIFS(nNIA,DATOS!$A907,nCURSO,DATOS!$D907,nESPEC,DATOS!$E907,nASIG,DATOS!$I907,nEVAL,"EX")=0),0))))</f>
      </c>
      <c r="H907">
        <f>IF(DATOS!$G907&lt;&gt;"EX",0,--(COUNTIFS(nNIA,DATOS!$A907,nCURSO,DATOS!$D907,nESPEC,DATOS!$E907,nASIG,DATOS!$I907,nEVAL,"OR")=0))</f>
      </c>
      <c r="I907">
        <f>IF(DATOS!$I907="","",IFERROR(VLOOKUP(DATOS!$I907,CONFIG_ASIGNATURAS!$B$2:$J$91,9,FALSE()),""))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IF(DATOS!$A908="",0,IF(CONFIG_METADATA!$B$4&lt;&gt;"OR+EX",--(DATOS!$G908=CONFIG_METADATA!$B$4),IF(DATOS!$G908="EX",1,IF(DATOS!$G908="OR",--(COUNTIFS(nNIA,DATOS!$A908,nCURSO,DATOS!$D908,nESPEC,DATOS!$E908,nASIG,DATOS!$I908,nEVAL,"EX")=0),0))))</f>
      </c>
      <c r="H908">
        <f>IF(DATOS!$G908&lt;&gt;"EX",0,--(COUNTIFS(nNIA,DATOS!$A908,nCURSO,DATOS!$D908,nESPEC,DATOS!$E908,nASIG,DATOS!$I908,nEVAL,"OR")=0))</f>
      </c>
      <c r="I908">
        <f>IF(DATOS!$I908="","",IFERROR(VLOOKUP(DATOS!$I908,CONFIG_ASIGNATURAS!$B$2:$J$91,9,FALSE()),""))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IF(DATOS!$A909="",0,IF(CONFIG_METADATA!$B$4&lt;&gt;"OR+EX",--(DATOS!$G909=CONFIG_METADATA!$B$4),IF(DATOS!$G909="EX",1,IF(DATOS!$G909="OR",--(COUNTIFS(nNIA,DATOS!$A909,nCURSO,DATOS!$D909,nESPEC,DATOS!$E909,nASIG,DATOS!$I909,nEVAL,"EX")=0),0))))</f>
      </c>
      <c r="H909">
        <f>IF(DATOS!$G909&lt;&gt;"EX",0,--(COUNTIFS(nNIA,DATOS!$A909,nCURSO,DATOS!$D909,nESPEC,DATOS!$E909,nASIG,DATOS!$I909,nEVAL,"OR")=0))</f>
      </c>
      <c r="I909">
        <f>IF(DATOS!$I909="","",IFERROR(VLOOKUP(DATOS!$I909,CONFIG_ASIGNATURAS!$B$2:$J$91,9,FALSE()),""))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IF(DATOS!$A910="",0,IF(CONFIG_METADATA!$B$4&lt;&gt;"OR+EX",--(DATOS!$G910=CONFIG_METADATA!$B$4),IF(DATOS!$G910="EX",1,IF(DATOS!$G910="OR",--(COUNTIFS(nNIA,DATOS!$A910,nCURSO,DATOS!$D910,nESPEC,DATOS!$E910,nASIG,DATOS!$I910,nEVAL,"EX")=0),0))))</f>
      </c>
      <c r="H910">
        <f>IF(DATOS!$G910&lt;&gt;"EX",0,--(COUNTIFS(nNIA,DATOS!$A910,nCURSO,DATOS!$D910,nESPEC,DATOS!$E910,nASIG,DATOS!$I910,nEVAL,"OR")=0))</f>
      </c>
      <c r="I910">
        <f>IF(DATOS!$I910="","",IFERROR(VLOOKUP(DATOS!$I910,CONFIG_ASIGNATURAS!$B$2:$J$91,9,FALSE()),""))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IF(DATOS!$A911="",0,IF(CONFIG_METADATA!$B$4&lt;&gt;"OR+EX",--(DATOS!$G911=CONFIG_METADATA!$B$4),IF(DATOS!$G911="EX",1,IF(DATOS!$G911="OR",--(COUNTIFS(nNIA,DATOS!$A911,nCURSO,DATOS!$D911,nESPEC,DATOS!$E911,nASIG,DATOS!$I911,nEVAL,"EX")=0),0))))</f>
      </c>
      <c r="H911">
        <f>IF(DATOS!$G911&lt;&gt;"EX",0,--(COUNTIFS(nNIA,DATOS!$A911,nCURSO,DATOS!$D911,nESPEC,DATOS!$E911,nASIG,DATOS!$I911,nEVAL,"OR")=0))</f>
      </c>
      <c r="I911">
        <f>IF(DATOS!$I911="","",IFERROR(VLOOKUP(DATOS!$I911,CONFIG_ASIGNATURAS!$B$2:$J$91,9,FALSE()),""))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IF(DATOS!$A912="",0,IF(CONFIG_METADATA!$B$4&lt;&gt;"OR+EX",--(DATOS!$G912=CONFIG_METADATA!$B$4),IF(DATOS!$G912="EX",1,IF(DATOS!$G912="OR",--(COUNTIFS(nNIA,DATOS!$A912,nCURSO,DATOS!$D912,nESPEC,DATOS!$E912,nASIG,DATOS!$I912,nEVAL,"EX")=0),0))))</f>
      </c>
      <c r="H912">
        <f>IF(DATOS!$G912&lt;&gt;"EX",0,--(COUNTIFS(nNIA,DATOS!$A912,nCURSO,DATOS!$D912,nESPEC,DATOS!$E912,nASIG,DATOS!$I912,nEVAL,"OR")=0))</f>
      </c>
      <c r="I912">
        <f>IF(DATOS!$I912="","",IFERROR(VLOOKUP(DATOS!$I912,CONFIG_ASIGNATURAS!$B$2:$J$91,9,FALSE()),""))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IF(DATOS!$A913="",0,IF(CONFIG_METADATA!$B$4&lt;&gt;"OR+EX",--(DATOS!$G913=CONFIG_METADATA!$B$4),IF(DATOS!$G913="EX",1,IF(DATOS!$G913="OR",--(COUNTIFS(nNIA,DATOS!$A913,nCURSO,DATOS!$D913,nESPEC,DATOS!$E913,nASIG,DATOS!$I913,nEVAL,"EX")=0),0))))</f>
      </c>
      <c r="H913">
        <f>IF(DATOS!$G913&lt;&gt;"EX",0,--(COUNTIFS(nNIA,DATOS!$A913,nCURSO,DATOS!$D913,nESPEC,DATOS!$E913,nASIG,DATOS!$I913,nEVAL,"OR")=0))</f>
      </c>
      <c r="I913">
        <f>IF(DATOS!$I913="","",IFERROR(VLOOKUP(DATOS!$I913,CONFIG_ASIGNATURAS!$B$2:$J$91,9,FALSE()),""))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IF(DATOS!$A914="",0,IF(CONFIG_METADATA!$B$4&lt;&gt;"OR+EX",--(DATOS!$G914=CONFIG_METADATA!$B$4),IF(DATOS!$G914="EX",1,IF(DATOS!$G914="OR",--(COUNTIFS(nNIA,DATOS!$A914,nCURSO,DATOS!$D914,nESPEC,DATOS!$E914,nASIG,DATOS!$I914,nEVAL,"EX")=0),0))))</f>
      </c>
      <c r="H914">
        <f>IF(DATOS!$G914&lt;&gt;"EX",0,--(COUNTIFS(nNIA,DATOS!$A914,nCURSO,DATOS!$D914,nESPEC,DATOS!$E914,nASIG,DATOS!$I914,nEVAL,"OR")=0))</f>
      </c>
      <c r="I914">
        <f>IF(DATOS!$I914="","",IFERROR(VLOOKUP(DATOS!$I914,CONFIG_ASIGNATURAS!$B$2:$J$91,9,FALSE()),""))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IF(DATOS!$A915="",0,IF(CONFIG_METADATA!$B$4&lt;&gt;"OR+EX",--(DATOS!$G915=CONFIG_METADATA!$B$4),IF(DATOS!$G915="EX",1,IF(DATOS!$G915="OR",--(COUNTIFS(nNIA,DATOS!$A915,nCURSO,DATOS!$D915,nESPEC,DATOS!$E915,nASIG,DATOS!$I915,nEVAL,"EX")=0),0))))</f>
      </c>
      <c r="H915">
        <f>IF(DATOS!$G915&lt;&gt;"EX",0,--(COUNTIFS(nNIA,DATOS!$A915,nCURSO,DATOS!$D915,nESPEC,DATOS!$E915,nASIG,DATOS!$I915,nEVAL,"OR")=0))</f>
      </c>
      <c r="I915">
        <f>IF(DATOS!$I915="","",IFERROR(VLOOKUP(DATOS!$I915,CONFIG_ASIGNATURAS!$B$2:$J$91,9,FALSE()),""))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IF(DATOS!$A916="",0,IF(CONFIG_METADATA!$B$4&lt;&gt;"OR+EX",--(DATOS!$G916=CONFIG_METADATA!$B$4),IF(DATOS!$G916="EX",1,IF(DATOS!$G916="OR",--(COUNTIFS(nNIA,DATOS!$A916,nCURSO,DATOS!$D916,nESPEC,DATOS!$E916,nASIG,DATOS!$I916,nEVAL,"EX")=0),0))))</f>
      </c>
      <c r="H916">
        <f>IF(DATOS!$G916&lt;&gt;"EX",0,--(COUNTIFS(nNIA,DATOS!$A916,nCURSO,DATOS!$D916,nESPEC,DATOS!$E916,nASIG,DATOS!$I916,nEVAL,"OR")=0))</f>
      </c>
      <c r="I916">
        <f>IF(DATOS!$I916="","",IFERROR(VLOOKUP(DATOS!$I916,CONFIG_ASIGNATURAS!$B$2:$J$91,9,FALSE()),""))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IF(DATOS!$A917="",0,IF(CONFIG_METADATA!$B$4&lt;&gt;"OR+EX",--(DATOS!$G917=CONFIG_METADATA!$B$4),IF(DATOS!$G917="EX",1,IF(DATOS!$G917="OR",--(COUNTIFS(nNIA,DATOS!$A917,nCURSO,DATOS!$D917,nESPEC,DATOS!$E917,nASIG,DATOS!$I917,nEVAL,"EX")=0),0))))</f>
      </c>
      <c r="H917">
        <f>IF(DATOS!$G917&lt;&gt;"EX",0,--(COUNTIFS(nNIA,DATOS!$A917,nCURSO,DATOS!$D917,nESPEC,DATOS!$E917,nASIG,DATOS!$I917,nEVAL,"OR")=0))</f>
      </c>
      <c r="I917">
        <f>IF(DATOS!$I917="","",IFERROR(VLOOKUP(DATOS!$I917,CONFIG_ASIGNATURAS!$B$2:$J$91,9,FALSE()),""))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IF(DATOS!$A918="",0,IF(CONFIG_METADATA!$B$4&lt;&gt;"OR+EX",--(DATOS!$G918=CONFIG_METADATA!$B$4),IF(DATOS!$G918="EX",1,IF(DATOS!$G918="OR",--(COUNTIFS(nNIA,DATOS!$A918,nCURSO,DATOS!$D918,nESPEC,DATOS!$E918,nASIG,DATOS!$I918,nEVAL,"EX")=0),0))))</f>
      </c>
      <c r="H918">
        <f>IF(DATOS!$G918&lt;&gt;"EX",0,--(COUNTIFS(nNIA,DATOS!$A918,nCURSO,DATOS!$D918,nESPEC,DATOS!$E918,nASIG,DATOS!$I918,nEVAL,"OR")=0))</f>
      </c>
      <c r="I918">
        <f>IF(DATOS!$I918="","",IFERROR(VLOOKUP(DATOS!$I918,CONFIG_ASIGNATURAS!$B$2:$J$91,9,FALSE()),""))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IF(DATOS!$A919="",0,IF(CONFIG_METADATA!$B$4&lt;&gt;"OR+EX",--(DATOS!$G919=CONFIG_METADATA!$B$4),IF(DATOS!$G919="EX",1,IF(DATOS!$G919="OR",--(COUNTIFS(nNIA,DATOS!$A919,nCURSO,DATOS!$D919,nESPEC,DATOS!$E919,nASIG,DATOS!$I919,nEVAL,"EX")=0),0))))</f>
      </c>
      <c r="H919">
        <f>IF(DATOS!$G919&lt;&gt;"EX",0,--(COUNTIFS(nNIA,DATOS!$A919,nCURSO,DATOS!$D919,nESPEC,DATOS!$E919,nASIG,DATOS!$I919,nEVAL,"OR")=0))</f>
      </c>
      <c r="I919">
        <f>IF(DATOS!$I919="","",IFERROR(VLOOKUP(DATOS!$I919,CONFIG_ASIGNATURAS!$B$2:$J$91,9,FALSE()),""))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IF(DATOS!$A920="",0,IF(CONFIG_METADATA!$B$4&lt;&gt;"OR+EX",--(DATOS!$G920=CONFIG_METADATA!$B$4),IF(DATOS!$G920="EX",1,IF(DATOS!$G920="OR",--(COUNTIFS(nNIA,DATOS!$A920,nCURSO,DATOS!$D920,nESPEC,DATOS!$E920,nASIG,DATOS!$I920,nEVAL,"EX")=0),0))))</f>
      </c>
      <c r="H920">
        <f>IF(DATOS!$G920&lt;&gt;"EX",0,--(COUNTIFS(nNIA,DATOS!$A920,nCURSO,DATOS!$D920,nESPEC,DATOS!$E920,nASIG,DATOS!$I920,nEVAL,"OR")=0))</f>
      </c>
      <c r="I920">
        <f>IF(DATOS!$I920="","",IFERROR(VLOOKUP(DATOS!$I920,CONFIG_ASIGNATURAS!$B$2:$J$91,9,FALSE()),""))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IF(DATOS!$A921="",0,IF(CONFIG_METADATA!$B$4&lt;&gt;"OR+EX",--(DATOS!$G921=CONFIG_METADATA!$B$4),IF(DATOS!$G921="EX",1,IF(DATOS!$G921="OR",--(COUNTIFS(nNIA,DATOS!$A921,nCURSO,DATOS!$D921,nESPEC,DATOS!$E921,nASIG,DATOS!$I921,nEVAL,"EX")=0),0))))</f>
      </c>
      <c r="H921">
        <f>IF(DATOS!$G921&lt;&gt;"EX",0,--(COUNTIFS(nNIA,DATOS!$A921,nCURSO,DATOS!$D921,nESPEC,DATOS!$E921,nASIG,DATOS!$I921,nEVAL,"OR")=0))</f>
      </c>
      <c r="I921">
        <f>IF(DATOS!$I921="","",IFERROR(VLOOKUP(DATOS!$I921,CONFIG_ASIGNATURAS!$B$2:$J$91,9,FALSE()),""))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IF(DATOS!$A922="",0,IF(CONFIG_METADATA!$B$4&lt;&gt;"OR+EX",--(DATOS!$G922=CONFIG_METADATA!$B$4),IF(DATOS!$G922="EX",1,IF(DATOS!$G922="OR",--(COUNTIFS(nNIA,DATOS!$A922,nCURSO,DATOS!$D922,nESPEC,DATOS!$E922,nASIG,DATOS!$I922,nEVAL,"EX")=0),0))))</f>
      </c>
      <c r="H922">
        <f>IF(DATOS!$G922&lt;&gt;"EX",0,--(COUNTIFS(nNIA,DATOS!$A922,nCURSO,DATOS!$D922,nESPEC,DATOS!$E922,nASIG,DATOS!$I922,nEVAL,"OR")=0))</f>
      </c>
      <c r="I922">
        <f>IF(DATOS!$I922="","",IFERROR(VLOOKUP(DATOS!$I922,CONFIG_ASIGNATURAS!$B$2:$J$91,9,FALSE()),""))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IF(DATOS!$A923="",0,IF(CONFIG_METADATA!$B$4&lt;&gt;"OR+EX",--(DATOS!$G923=CONFIG_METADATA!$B$4),IF(DATOS!$G923="EX",1,IF(DATOS!$G923="OR",--(COUNTIFS(nNIA,DATOS!$A923,nCURSO,DATOS!$D923,nESPEC,DATOS!$E923,nASIG,DATOS!$I923,nEVAL,"EX")=0),0))))</f>
      </c>
      <c r="H923">
        <f>IF(DATOS!$G923&lt;&gt;"EX",0,--(COUNTIFS(nNIA,DATOS!$A923,nCURSO,DATOS!$D923,nESPEC,DATOS!$E923,nASIG,DATOS!$I923,nEVAL,"OR")=0))</f>
      </c>
      <c r="I923">
        <f>IF(DATOS!$I923="","",IFERROR(VLOOKUP(DATOS!$I923,CONFIG_ASIGNATURAS!$B$2:$J$91,9,FALSE()),""))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IF(DATOS!$A924="",0,IF(CONFIG_METADATA!$B$4&lt;&gt;"OR+EX",--(DATOS!$G924=CONFIG_METADATA!$B$4),IF(DATOS!$G924="EX",1,IF(DATOS!$G924="OR",--(COUNTIFS(nNIA,DATOS!$A924,nCURSO,DATOS!$D924,nESPEC,DATOS!$E924,nASIG,DATOS!$I924,nEVAL,"EX")=0),0))))</f>
      </c>
      <c r="H924">
        <f>IF(DATOS!$G924&lt;&gt;"EX",0,--(COUNTIFS(nNIA,DATOS!$A924,nCURSO,DATOS!$D924,nESPEC,DATOS!$E924,nASIG,DATOS!$I924,nEVAL,"OR")=0))</f>
      </c>
      <c r="I924">
        <f>IF(DATOS!$I924="","",IFERROR(VLOOKUP(DATOS!$I924,CONFIG_ASIGNATURAS!$B$2:$J$91,9,FALSE()),""))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IF(DATOS!$A925="",0,IF(CONFIG_METADATA!$B$4&lt;&gt;"OR+EX",--(DATOS!$G925=CONFIG_METADATA!$B$4),IF(DATOS!$G925="EX",1,IF(DATOS!$G925="OR",--(COUNTIFS(nNIA,DATOS!$A925,nCURSO,DATOS!$D925,nESPEC,DATOS!$E925,nASIG,DATOS!$I925,nEVAL,"EX")=0),0))))</f>
      </c>
      <c r="H925">
        <f>IF(DATOS!$G925&lt;&gt;"EX",0,--(COUNTIFS(nNIA,DATOS!$A925,nCURSO,DATOS!$D925,nESPEC,DATOS!$E925,nASIG,DATOS!$I925,nEVAL,"OR")=0))</f>
      </c>
      <c r="I925">
        <f>IF(DATOS!$I925="","",IFERROR(VLOOKUP(DATOS!$I925,CONFIG_ASIGNATURAS!$B$2:$J$91,9,FALSE()),""))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IF(DATOS!$A926="",0,IF(CONFIG_METADATA!$B$4&lt;&gt;"OR+EX",--(DATOS!$G926=CONFIG_METADATA!$B$4),IF(DATOS!$G926="EX",1,IF(DATOS!$G926="OR",--(COUNTIFS(nNIA,DATOS!$A926,nCURSO,DATOS!$D926,nESPEC,DATOS!$E926,nASIG,DATOS!$I926,nEVAL,"EX")=0),0))))</f>
      </c>
      <c r="H926">
        <f>IF(DATOS!$G926&lt;&gt;"EX",0,--(COUNTIFS(nNIA,DATOS!$A926,nCURSO,DATOS!$D926,nESPEC,DATOS!$E926,nASIG,DATOS!$I926,nEVAL,"OR")=0))</f>
      </c>
      <c r="I926">
        <f>IF(DATOS!$I926="","",IFERROR(VLOOKUP(DATOS!$I926,CONFIG_ASIGNATURAS!$B$2:$J$91,9,FALSE()),""))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IF(DATOS!$A927="",0,IF(CONFIG_METADATA!$B$4&lt;&gt;"OR+EX",--(DATOS!$G927=CONFIG_METADATA!$B$4),IF(DATOS!$G927="EX",1,IF(DATOS!$G927="OR",--(COUNTIFS(nNIA,DATOS!$A927,nCURSO,DATOS!$D927,nESPEC,DATOS!$E927,nASIG,DATOS!$I927,nEVAL,"EX")=0),0))))</f>
      </c>
      <c r="H927">
        <f>IF(DATOS!$G927&lt;&gt;"EX",0,--(COUNTIFS(nNIA,DATOS!$A927,nCURSO,DATOS!$D927,nESPEC,DATOS!$E927,nASIG,DATOS!$I927,nEVAL,"OR")=0))</f>
      </c>
      <c r="I927">
        <f>IF(DATOS!$I927="","",IFERROR(VLOOKUP(DATOS!$I927,CONFIG_ASIGNATURAS!$B$2:$J$91,9,FALSE()),""))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IF(DATOS!$A928="",0,IF(CONFIG_METADATA!$B$4&lt;&gt;"OR+EX",--(DATOS!$G928=CONFIG_METADATA!$B$4),IF(DATOS!$G928="EX",1,IF(DATOS!$G928="OR",--(COUNTIFS(nNIA,DATOS!$A928,nCURSO,DATOS!$D928,nESPEC,DATOS!$E928,nASIG,DATOS!$I928,nEVAL,"EX")=0),0))))</f>
      </c>
      <c r="H928">
        <f>IF(DATOS!$G928&lt;&gt;"EX",0,--(COUNTIFS(nNIA,DATOS!$A928,nCURSO,DATOS!$D928,nESPEC,DATOS!$E928,nASIG,DATOS!$I928,nEVAL,"OR")=0))</f>
      </c>
      <c r="I928">
        <f>IF(DATOS!$I928="","",IFERROR(VLOOKUP(DATOS!$I928,CONFIG_ASIGNATURAS!$B$2:$J$91,9,FALSE()),""))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IF(DATOS!$A929="",0,IF(CONFIG_METADATA!$B$4&lt;&gt;"OR+EX",--(DATOS!$G929=CONFIG_METADATA!$B$4),IF(DATOS!$G929="EX",1,IF(DATOS!$G929="OR",--(COUNTIFS(nNIA,DATOS!$A929,nCURSO,DATOS!$D929,nESPEC,DATOS!$E929,nASIG,DATOS!$I929,nEVAL,"EX")=0),0))))</f>
      </c>
      <c r="H929">
        <f>IF(DATOS!$G929&lt;&gt;"EX",0,--(COUNTIFS(nNIA,DATOS!$A929,nCURSO,DATOS!$D929,nESPEC,DATOS!$E929,nASIG,DATOS!$I929,nEVAL,"OR")=0))</f>
      </c>
      <c r="I929">
        <f>IF(DATOS!$I929="","",IFERROR(VLOOKUP(DATOS!$I929,CONFIG_ASIGNATURAS!$B$2:$J$91,9,FALSE()),""))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IF(DATOS!$A930="",0,IF(CONFIG_METADATA!$B$4&lt;&gt;"OR+EX",--(DATOS!$G930=CONFIG_METADATA!$B$4),IF(DATOS!$G930="EX",1,IF(DATOS!$G930="OR",--(COUNTIFS(nNIA,DATOS!$A930,nCURSO,DATOS!$D930,nESPEC,DATOS!$E930,nASIG,DATOS!$I930,nEVAL,"EX")=0),0))))</f>
      </c>
      <c r="H930">
        <f>IF(DATOS!$G930&lt;&gt;"EX",0,--(COUNTIFS(nNIA,DATOS!$A930,nCURSO,DATOS!$D930,nESPEC,DATOS!$E930,nASIG,DATOS!$I930,nEVAL,"OR")=0))</f>
      </c>
      <c r="I930">
        <f>IF(DATOS!$I930="","",IFERROR(VLOOKUP(DATOS!$I930,CONFIG_ASIGNATURAS!$B$2:$J$91,9,FALSE()),""))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IF(DATOS!$A931="",0,IF(CONFIG_METADATA!$B$4&lt;&gt;"OR+EX",--(DATOS!$G931=CONFIG_METADATA!$B$4),IF(DATOS!$G931="EX",1,IF(DATOS!$G931="OR",--(COUNTIFS(nNIA,DATOS!$A931,nCURSO,DATOS!$D931,nESPEC,DATOS!$E931,nASIG,DATOS!$I931,nEVAL,"EX")=0),0))))</f>
      </c>
      <c r="H931">
        <f>IF(DATOS!$G931&lt;&gt;"EX",0,--(COUNTIFS(nNIA,DATOS!$A931,nCURSO,DATOS!$D931,nESPEC,DATOS!$E931,nASIG,DATOS!$I931,nEVAL,"OR")=0))</f>
      </c>
      <c r="I931">
        <f>IF(DATOS!$I931="","",IFERROR(VLOOKUP(DATOS!$I931,CONFIG_ASIGNATURAS!$B$2:$J$91,9,FALSE()),""))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IF(DATOS!$A932="",0,IF(CONFIG_METADATA!$B$4&lt;&gt;"OR+EX",--(DATOS!$G932=CONFIG_METADATA!$B$4),IF(DATOS!$G932="EX",1,IF(DATOS!$G932="OR",--(COUNTIFS(nNIA,DATOS!$A932,nCURSO,DATOS!$D932,nESPEC,DATOS!$E932,nASIG,DATOS!$I932,nEVAL,"EX")=0),0))))</f>
      </c>
      <c r="H932">
        <f>IF(DATOS!$G932&lt;&gt;"EX",0,--(COUNTIFS(nNIA,DATOS!$A932,nCURSO,DATOS!$D932,nESPEC,DATOS!$E932,nASIG,DATOS!$I932,nEVAL,"OR")=0))</f>
      </c>
      <c r="I932">
        <f>IF(DATOS!$I932="","",IFERROR(VLOOKUP(DATOS!$I932,CONFIG_ASIGNATURAS!$B$2:$J$91,9,FALSE()),""))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IF(DATOS!$A933="",0,IF(CONFIG_METADATA!$B$4&lt;&gt;"OR+EX",--(DATOS!$G933=CONFIG_METADATA!$B$4),IF(DATOS!$G933="EX",1,IF(DATOS!$G933="OR",--(COUNTIFS(nNIA,DATOS!$A933,nCURSO,DATOS!$D933,nESPEC,DATOS!$E933,nASIG,DATOS!$I933,nEVAL,"EX")=0),0))))</f>
      </c>
      <c r="H933">
        <f>IF(DATOS!$G933&lt;&gt;"EX",0,--(COUNTIFS(nNIA,DATOS!$A933,nCURSO,DATOS!$D933,nESPEC,DATOS!$E933,nASIG,DATOS!$I933,nEVAL,"OR")=0))</f>
      </c>
      <c r="I933">
        <f>IF(DATOS!$I933="","",IFERROR(VLOOKUP(DATOS!$I933,CONFIG_ASIGNATURAS!$B$2:$J$91,9,FALSE()),""))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IF(DATOS!$A934="",0,IF(CONFIG_METADATA!$B$4&lt;&gt;"OR+EX",--(DATOS!$G934=CONFIG_METADATA!$B$4),IF(DATOS!$G934="EX",1,IF(DATOS!$G934="OR",--(COUNTIFS(nNIA,DATOS!$A934,nCURSO,DATOS!$D934,nESPEC,DATOS!$E934,nASIG,DATOS!$I934,nEVAL,"EX")=0),0))))</f>
      </c>
      <c r="H934">
        <f>IF(DATOS!$G934&lt;&gt;"EX",0,--(COUNTIFS(nNIA,DATOS!$A934,nCURSO,DATOS!$D934,nESPEC,DATOS!$E934,nASIG,DATOS!$I934,nEVAL,"OR")=0))</f>
      </c>
      <c r="I934">
        <f>IF(DATOS!$I934="","",IFERROR(VLOOKUP(DATOS!$I934,CONFIG_ASIGNATURAS!$B$2:$J$91,9,FALSE()),""))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IF(DATOS!$A935="",0,IF(CONFIG_METADATA!$B$4&lt;&gt;"OR+EX",--(DATOS!$G935=CONFIG_METADATA!$B$4),IF(DATOS!$G935="EX",1,IF(DATOS!$G935="OR",--(COUNTIFS(nNIA,DATOS!$A935,nCURSO,DATOS!$D935,nESPEC,DATOS!$E935,nASIG,DATOS!$I935,nEVAL,"EX")=0),0))))</f>
      </c>
      <c r="H935">
        <f>IF(DATOS!$G935&lt;&gt;"EX",0,--(COUNTIFS(nNIA,DATOS!$A935,nCURSO,DATOS!$D935,nESPEC,DATOS!$E935,nASIG,DATOS!$I935,nEVAL,"OR")=0))</f>
      </c>
      <c r="I935">
        <f>IF(DATOS!$I935="","",IFERROR(VLOOKUP(DATOS!$I935,CONFIG_ASIGNATURAS!$B$2:$J$91,9,FALSE()),""))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IF(DATOS!$A936="",0,IF(CONFIG_METADATA!$B$4&lt;&gt;"OR+EX",--(DATOS!$G936=CONFIG_METADATA!$B$4),IF(DATOS!$G936="EX",1,IF(DATOS!$G936="OR",--(COUNTIFS(nNIA,DATOS!$A936,nCURSO,DATOS!$D936,nESPEC,DATOS!$E936,nASIG,DATOS!$I936,nEVAL,"EX")=0),0))))</f>
      </c>
      <c r="H936">
        <f>IF(DATOS!$G936&lt;&gt;"EX",0,--(COUNTIFS(nNIA,DATOS!$A936,nCURSO,DATOS!$D936,nESPEC,DATOS!$E936,nASIG,DATOS!$I936,nEVAL,"OR")=0))</f>
      </c>
      <c r="I936">
        <f>IF(DATOS!$I936="","",IFERROR(VLOOKUP(DATOS!$I936,CONFIG_ASIGNATURAS!$B$2:$J$91,9,FALSE()),""))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IF(DATOS!$A937="",0,IF(CONFIG_METADATA!$B$4&lt;&gt;"OR+EX",--(DATOS!$G937=CONFIG_METADATA!$B$4),IF(DATOS!$G937="EX",1,IF(DATOS!$G937="OR",--(COUNTIFS(nNIA,DATOS!$A937,nCURSO,DATOS!$D937,nESPEC,DATOS!$E937,nASIG,DATOS!$I937,nEVAL,"EX")=0),0))))</f>
      </c>
      <c r="H937">
        <f>IF(DATOS!$G937&lt;&gt;"EX",0,--(COUNTIFS(nNIA,DATOS!$A937,nCURSO,DATOS!$D937,nESPEC,DATOS!$E937,nASIG,DATOS!$I937,nEVAL,"OR")=0))</f>
      </c>
      <c r="I937">
        <f>IF(DATOS!$I937="","",IFERROR(VLOOKUP(DATOS!$I937,CONFIG_ASIGNATURAS!$B$2:$J$91,9,FALSE()),""))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IF(DATOS!$A938="",0,IF(CONFIG_METADATA!$B$4&lt;&gt;"OR+EX",--(DATOS!$G938=CONFIG_METADATA!$B$4),IF(DATOS!$G938="EX",1,IF(DATOS!$G938="OR",--(COUNTIFS(nNIA,DATOS!$A938,nCURSO,DATOS!$D938,nESPEC,DATOS!$E938,nASIG,DATOS!$I938,nEVAL,"EX")=0),0))))</f>
      </c>
      <c r="H938">
        <f>IF(DATOS!$G938&lt;&gt;"EX",0,--(COUNTIFS(nNIA,DATOS!$A938,nCURSO,DATOS!$D938,nESPEC,DATOS!$E938,nASIG,DATOS!$I938,nEVAL,"OR")=0))</f>
      </c>
      <c r="I938">
        <f>IF(DATOS!$I938="","",IFERROR(VLOOKUP(DATOS!$I938,CONFIG_ASIGNATURAS!$B$2:$J$91,9,FALSE()),""))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IF(DATOS!$A939="",0,IF(CONFIG_METADATA!$B$4&lt;&gt;"OR+EX",--(DATOS!$G939=CONFIG_METADATA!$B$4),IF(DATOS!$G939="EX",1,IF(DATOS!$G939="OR",--(COUNTIFS(nNIA,DATOS!$A939,nCURSO,DATOS!$D939,nESPEC,DATOS!$E939,nASIG,DATOS!$I939,nEVAL,"EX")=0),0))))</f>
      </c>
      <c r="H939">
        <f>IF(DATOS!$G939&lt;&gt;"EX",0,--(COUNTIFS(nNIA,DATOS!$A939,nCURSO,DATOS!$D939,nESPEC,DATOS!$E939,nASIG,DATOS!$I939,nEVAL,"OR")=0))</f>
      </c>
      <c r="I939">
        <f>IF(DATOS!$I939="","",IFERROR(VLOOKUP(DATOS!$I939,CONFIG_ASIGNATURAS!$B$2:$J$91,9,FALSE()),""))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IF(DATOS!$A940="",0,IF(CONFIG_METADATA!$B$4&lt;&gt;"OR+EX",--(DATOS!$G940=CONFIG_METADATA!$B$4),IF(DATOS!$G940="EX",1,IF(DATOS!$G940="OR",--(COUNTIFS(nNIA,DATOS!$A940,nCURSO,DATOS!$D940,nESPEC,DATOS!$E940,nASIG,DATOS!$I940,nEVAL,"EX")=0),0))))</f>
      </c>
      <c r="H940">
        <f>IF(DATOS!$G940&lt;&gt;"EX",0,--(COUNTIFS(nNIA,DATOS!$A940,nCURSO,DATOS!$D940,nESPEC,DATOS!$E940,nASIG,DATOS!$I940,nEVAL,"OR")=0))</f>
      </c>
      <c r="I940">
        <f>IF(DATOS!$I940="","",IFERROR(VLOOKUP(DATOS!$I940,CONFIG_ASIGNATURAS!$B$2:$J$91,9,FALSE()),""))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IF(DATOS!$A941="",0,IF(CONFIG_METADATA!$B$4&lt;&gt;"OR+EX",--(DATOS!$G941=CONFIG_METADATA!$B$4),IF(DATOS!$G941="EX",1,IF(DATOS!$G941="OR",--(COUNTIFS(nNIA,DATOS!$A941,nCURSO,DATOS!$D941,nESPEC,DATOS!$E941,nASIG,DATOS!$I941,nEVAL,"EX")=0),0))))</f>
      </c>
      <c r="H941">
        <f>IF(DATOS!$G941&lt;&gt;"EX",0,--(COUNTIFS(nNIA,DATOS!$A941,nCURSO,DATOS!$D941,nESPEC,DATOS!$E941,nASIG,DATOS!$I941,nEVAL,"OR")=0))</f>
      </c>
      <c r="I941">
        <f>IF(DATOS!$I941="","",IFERROR(VLOOKUP(DATOS!$I941,CONFIG_ASIGNATURAS!$B$2:$J$91,9,FALSE()),""))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IF(DATOS!$A942="",0,IF(CONFIG_METADATA!$B$4&lt;&gt;"OR+EX",--(DATOS!$G942=CONFIG_METADATA!$B$4),IF(DATOS!$G942="EX",1,IF(DATOS!$G942="OR",--(COUNTIFS(nNIA,DATOS!$A942,nCURSO,DATOS!$D942,nESPEC,DATOS!$E942,nASIG,DATOS!$I942,nEVAL,"EX")=0),0))))</f>
      </c>
      <c r="H942">
        <f>IF(DATOS!$G942&lt;&gt;"EX",0,--(COUNTIFS(nNIA,DATOS!$A942,nCURSO,DATOS!$D942,nESPEC,DATOS!$E942,nASIG,DATOS!$I942,nEVAL,"OR")=0))</f>
      </c>
      <c r="I942">
        <f>IF(DATOS!$I942="","",IFERROR(VLOOKUP(DATOS!$I942,CONFIG_ASIGNATURAS!$B$2:$J$91,9,FALSE()),""))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IF(DATOS!$A943="",0,IF(CONFIG_METADATA!$B$4&lt;&gt;"OR+EX",--(DATOS!$G943=CONFIG_METADATA!$B$4),IF(DATOS!$G943="EX",1,IF(DATOS!$G943="OR",--(COUNTIFS(nNIA,DATOS!$A943,nCURSO,DATOS!$D943,nESPEC,DATOS!$E943,nASIG,DATOS!$I943,nEVAL,"EX")=0),0))))</f>
      </c>
      <c r="H943">
        <f>IF(DATOS!$G943&lt;&gt;"EX",0,--(COUNTIFS(nNIA,DATOS!$A943,nCURSO,DATOS!$D943,nESPEC,DATOS!$E943,nASIG,DATOS!$I943,nEVAL,"OR")=0))</f>
      </c>
      <c r="I943">
        <f>IF(DATOS!$I943="","",IFERROR(VLOOKUP(DATOS!$I943,CONFIG_ASIGNATURAS!$B$2:$J$91,9,FALSE()),""))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IF(DATOS!$A944="",0,IF(CONFIG_METADATA!$B$4&lt;&gt;"OR+EX",--(DATOS!$G944=CONFIG_METADATA!$B$4),IF(DATOS!$G944="EX",1,IF(DATOS!$G944="OR",--(COUNTIFS(nNIA,DATOS!$A944,nCURSO,DATOS!$D944,nESPEC,DATOS!$E944,nASIG,DATOS!$I944,nEVAL,"EX")=0),0))))</f>
      </c>
      <c r="H944">
        <f>IF(DATOS!$G944&lt;&gt;"EX",0,--(COUNTIFS(nNIA,DATOS!$A944,nCURSO,DATOS!$D944,nESPEC,DATOS!$E944,nASIG,DATOS!$I944,nEVAL,"OR")=0))</f>
      </c>
      <c r="I944">
        <f>IF(DATOS!$I944="","",IFERROR(VLOOKUP(DATOS!$I944,CONFIG_ASIGNATURAS!$B$2:$J$91,9,FALSE()),""))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IF(DATOS!$A945="",0,IF(CONFIG_METADATA!$B$4&lt;&gt;"OR+EX",--(DATOS!$G945=CONFIG_METADATA!$B$4),IF(DATOS!$G945="EX",1,IF(DATOS!$G945="OR",--(COUNTIFS(nNIA,DATOS!$A945,nCURSO,DATOS!$D945,nESPEC,DATOS!$E945,nASIG,DATOS!$I945,nEVAL,"EX")=0),0))))</f>
      </c>
      <c r="H945">
        <f>IF(DATOS!$G945&lt;&gt;"EX",0,--(COUNTIFS(nNIA,DATOS!$A945,nCURSO,DATOS!$D945,nESPEC,DATOS!$E945,nASIG,DATOS!$I945,nEVAL,"OR")=0))</f>
      </c>
      <c r="I945">
        <f>IF(DATOS!$I945="","",IFERROR(VLOOKUP(DATOS!$I945,CONFIG_ASIGNATURAS!$B$2:$J$91,9,FALSE()),""))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IF(DATOS!$A946="",0,IF(CONFIG_METADATA!$B$4&lt;&gt;"OR+EX",--(DATOS!$G946=CONFIG_METADATA!$B$4),IF(DATOS!$G946="EX",1,IF(DATOS!$G946="OR",--(COUNTIFS(nNIA,DATOS!$A946,nCURSO,DATOS!$D946,nESPEC,DATOS!$E946,nASIG,DATOS!$I946,nEVAL,"EX")=0),0))))</f>
      </c>
      <c r="H946">
        <f>IF(DATOS!$G946&lt;&gt;"EX",0,--(COUNTIFS(nNIA,DATOS!$A946,nCURSO,DATOS!$D946,nESPEC,DATOS!$E946,nASIG,DATOS!$I946,nEVAL,"OR")=0))</f>
      </c>
      <c r="I946">
        <f>IF(DATOS!$I946="","",IFERROR(VLOOKUP(DATOS!$I946,CONFIG_ASIGNATURAS!$B$2:$J$91,9,FALSE()),""))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IF(DATOS!$A947="",0,IF(CONFIG_METADATA!$B$4&lt;&gt;"OR+EX",--(DATOS!$G947=CONFIG_METADATA!$B$4),IF(DATOS!$G947="EX",1,IF(DATOS!$G947="OR",--(COUNTIFS(nNIA,DATOS!$A947,nCURSO,DATOS!$D947,nESPEC,DATOS!$E947,nASIG,DATOS!$I947,nEVAL,"EX")=0),0))))</f>
      </c>
      <c r="H947">
        <f>IF(DATOS!$G947&lt;&gt;"EX",0,--(COUNTIFS(nNIA,DATOS!$A947,nCURSO,DATOS!$D947,nESPEC,DATOS!$E947,nASIG,DATOS!$I947,nEVAL,"OR")=0))</f>
      </c>
      <c r="I947">
        <f>IF(DATOS!$I947="","",IFERROR(VLOOKUP(DATOS!$I947,CONFIG_ASIGNATURAS!$B$2:$J$91,9,FALSE()),""))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IF(DATOS!$A948="",0,IF(CONFIG_METADATA!$B$4&lt;&gt;"OR+EX",--(DATOS!$G948=CONFIG_METADATA!$B$4),IF(DATOS!$G948="EX",1,IF(DATOS!$G948="OR",--(COUNTIFS(nNIA,DATOS!$A948,nCURSO,DATOS!$D948,nESPEC,DATOS!$E948,nASIG,DATOS!$I948,nEVAL,"EX")=0),0))))</f>
      </c>
      <c r="H948">
        <f>IF(DATOS!$G948&lt;&gt;"EX",0,--(COUNTIFS(nNIA,DATOS!$A948,nCURSO,DATOS!$D948,nESPEC,DATOS!$E948,nASIG,DATOS!$I948,nEVAL,"OR")=0))</f>
      </c>
      <c r="I948">
        <f>IF(DATOS!$I948="","",IFERROR(VLOOKUP(DATOS!$I948,CONFIG_ASIGNATURAS!$B$2:$J$91,9,FALSE()),""))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IF(DATOS!$A949="",0,IF(CONFIG_METADATA!$B$4&lt;&gt;"OR+EX",--(DATOS!$G949=CONFIG_METADATA!$B$4),IF(DATOS!$G949="EX",1,IF(DATOS!$G949="OR",--(COUNTIFS(nNIA,DATOS!$A949,nCURSO,DATOS!$D949,nESPEC,DATOS!$E949,nASIG,DATOS!$I949,nEVAL,"EX")=0),0))))</f>
      </c>
      <c r="H949">
        <f>IF(DATOS!$G949&lt;&gt;"EX",0,--(COUNTIFS(nNIA,DATOS!$A949,nCURSO,DATOS!$D949,nESPEC,DATOS!$E949,nASIG,DATOS!$I949,nEVAL,"OR")=0))</f>
      </c>
      <c r="I949">
        <f>IF(DATOS!$I949="","",IFERROR(VLOOKUP(DATOS!$I949,CONFIG_ASIGNATURAS!$B$2:$J$91,9,FALSE()),""))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IF(DATOS!$A950="",0,IF(CONFIG_METADATA!$B$4&lt;&gt;"OR+EX",--(DATOS!$G950=CONFIG_METADATA!$B$4),IF(DATOS!$G950="EX",1,IF(DATOS!$G950="OR",--(COUNTIFS(nNIA,DATOS!$A950,nCURSO,DATOS!$D950,nESPEC,DATOS!$E950,nASIG,DATOS!$I950,nEVAL,"EX")=0),0))))</f>
      </c>
      <c r="H950">
        <f>IF(DATOS!$G950&lt;&gt;"EX",0,--(COUNTIFS(nNIA,DATOS!$A950,nCURSO,DATOS!$D950,nESPEC,DATOS!$E950,nASIG,DATOS!$I950,nEVAL,"OR")=0))</f>
      </c>
      <c r="I950">
        <f>IF(DATOS!$I950="","",IFERROR(VLOOKUP(DATOS!$I950,CONFIG_ASIGNATURAS!$B$2:$J$91,9,FALSE()),""))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IF(DATOS!$A951="",0,IF(CONFIG_METADATA!$B$4&lt;&gt;"OR+EX",--(DATOS!$G951=CONFIG_METADATA!$B$4),IF(DATOS!$G951="EX",1,IF(DATOS!$G951="OR",--(COUNTIFS(nNIA,DATOS!$A951,nCURSO,DATOS!$D951,nESPEC,DATOS!$E951,nASIG,DATOS!$I951,nEVAL,"EX")=0),0))))</f>
      </c>
      <c r="H951">
        <f>IF(DATOS!$G951&lt;&gt;"EX",0,--(COUNTIFS(nNIA,DATOS!$A951,nCURSO,DATOS!$D951,nESPEC,DATOS!$E951,nASIG,DATOS!$I951,nEVAL,"OR")=0))</f>
      </c>
      <c r="I951">
        <f>IF(DATOS!$I951="","",IFERROR(VLOOKUP(DATOS!$I951,CONFIG_ASIGNATURAS!$B$2:$J$91,9,FALSE()),""))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IF(DATOS!$A952="",0,IF(CONFIG_METADATA!$B$4&lt;&gt;"OR+EX",--(DATOS!$G952=CONFIG_METADATA!$B$4),IF(DATOS!$G952="EX",1,IF(DATOS!$G952="OR",--(COUNTIFS(nNIA,DATOS!$A952,nCURSO,DATOS!$D952,nESPEC,DATOS!$E952,nASIG,DATOS!$I952,nEVAL,"EX")=0),0))))</f>
      </c>
      <c r="H952">
        <f>IF(DATOS!$G952&lt;&gt;"EX",0,--(COUNTIFS(nNIA,DATOS!$A952,nCURSO,DATOS!$D952,nESPEC,DATOS!$E952,nASIG,DATOS!$I952,nEVAL,"OR")=0))</f>
      </c>
      <c r="I952">
        <f>IF(DATOS!$I952="","",IFERROR(VLOOKUP(DATOS!$I952,CONFIG_ASIGNATURAS!$B$2:$J$91,9,FALSE()),""))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IF(DATOS!$A953="",0,IF(CONFIG_METADATA!$B$4&lt;&gt;"OR+EX",--(DATOS!$G953=CONFIG_METADATA!$B$4),IF(DATOS!$G953="EX",1,IF(DATOS!$G953="OR",--(COUNTIFS(nNIA,DATOS!$A953,nCURSO,DATOS!$D953,nESPEC,DATOS!$E953,nASIG,DATOS!$I953,nEVAL,"EX")=0),0))))</f>
      </c>
      <c r="H953">
        <f>IF(DATOS!$G953&lt;&gt;"EX",0,--(COUNTIFS(nNIA,DATOS!$A953,nCURSO,DATOS!$D953,nESPEC,DATOS!$E953,nASIG,DATOS!$I953,nEVAL,"OR")=0))</f>
      </c>
      <c r="I953">
        <f>IF(DATOS!$I953="","",IFERROR(VLOOKUP(DATOS!$I953,CONFIG_ASIGNATURAS!$B$2:$J$91,9,FALSE()),""))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IF(DATOS!$A954="",0,IF(CONFIG_METADATA!$B$4&lt;&gt;"OR+EX",--(DATOS!$G954=CONFIG_METADATA!$B$4),IF(DATOS!$G954="EX",1,IF(DATOS!$G954="OR",--(COUNTIFS(nNIA,DATOS!$A954,nCURSO,DATOS!$D954,nESPEC,DATOS!$E954,nASIG,DATOS!$I954,nEVAL,"EX")=0),0))))</f>
      </c>
      <c r="H954">
        <f>IF(DATOS!$G954&lt;&gt;"EX",0,--(COUNTIFS(nNIA,DATOS!$A954,nCURSO,DATOS!$D954,nESPEC,DATOS!$E954,nASIG,DATOS!$I954,nEVAL,"OR")=0))</f>
      </c>
      <c r="I954">
        <f>IF(DATOS!$I954="","",IFERROR(VLOOKUP(DATOS!$I954,CONFIG_ASIGNATURAS!$B$2:$J$91,9,FALSE()),""))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IF(DATOS!$A955="",0,IF(CONFIG_METADATA!$B$4&lt;&gt;"OR+EX",--(DATOS!$G955=CONFIG_METADATA!$B$4),IF(DATOS!$G955="EX",1,IF(DATOS!$G955="OR",--(COUNTIFS(nNIA,DATOS!$A955,nCURSO,DATOS!$D955,nESPEC,DATOS!$E955,nASIG,DATOS!$I955,nEVAL,"EX")=0),0))))</f>
      </c>
      <c r="H955">
        <f>IF(DATOS!$G955&lt;&gt;"EX",0,--(COUNTIFS(nNIA,DATOS!$A955,nCURSO,DATOS!$D955,nESPEC,DATOS!$E955,nASIG,DATOS!$I955,nEVAL,"OR")=0))</f>
      </c>
      <c r="I955">
        <f>IF(DATOS!$I955="","",IFERROR(VLOOKUP(DATOS!$I955,CONFIG_ASIGNATURAS!$B$2:$J$91,9,FALSE()),""))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IF(DATOS!$A956="",0,IF(CONFIG_METADATA!$B$4&lt;&gt;"OR+EX",--(DATOS!$G956=CONFIG_METADATA!$B$4),IF(DATOS!$G956="EX",1,IF(DATOS!$G956="OR",--(COUNTIFS(nNIA,DATOS!$A956,nCURSO,DATOS!$D956,nESPEC,DATOS!$E956,nASIG,DATOS!$I956,nEVAL,"EX")=0),0))))</f>
      </c>
      <c r="H956">
        <f>IF(DATOS!$G956&lt;&gt;"EX",0,--(COUNTIFS(nNIA,DATOS!$A956,nCURSO,DATOS!$D956,nESPEC,DATOS!$E956,nASIG,DATOS!$I956,nEVAL,"OR")=0))</f>
      </c>
      <c r="I956">
        <f>IF(DATOS!$I956="","",IFERROR(VLOOKUP(DATOS!$I956,CONFIG_ASIGNATURAS!$B$2:$J$91,9,FALSE()),""))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IF(DATOS!$A957="",0,IF(CONFIG_METADATA!$B$4&lt;&gt;"OR+EX",--(DATOS!$G957=CONFIG_METADATA!$B$4),IF(DATOS!$G957="EX",1,IF(DATOS!$G957="OR",--(COUNTIFS(nNIA,DATOS!$A957,nCURSO,DATOS!$D957,nESPEC,DATOS!$E957,nASIG,DATOS!$I957,nEVAL,"EX")=0),0))))</f>
      </c>
      <c r="H957">
        <f>IF(DATOS!$G957&lt;&gt;"EX",0,--(COUNTIFS(nNIA,DATOS!$A957,nCURSO,DATOS!$D957,nESPEC,DATOS!$E957,nASIG,DATOS!$I957,nEVAL,"OR")=0))</f>
      </c>
      <c r="I957">
        <f>IF(DATOS!$I957="","",IFERROR(VLOOKUP(DATOS!$I957,CONFIG_ASIGNATURAS!$B$2:$J$91,9,FALSE()),""))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IF(DATOS!$A958="",0,IF(CONFIG_METADATA!$B$4&lt;&gt;"OR+EX",--(DATOS!$G958=CONFIG_METADATA!$B$4),IF(DATOS!$G958="EX",1,IF(DATOS!$G958="OR",--(COUNTIFS(nNIA,DATOS!$A958,nCURSO,DATOS!$D958,nESPEC,DATOS!$E958,nASIG,DATOS!$I958,nEVAL,"EX")=0),0))))</f>
      </c>
      <c r="H958">
        <f>IF(DATOS!$G958&lt;&gt;"EX",0,--(COUNTIFS(nNIA,DATOS!$A958,nCURSO,DATOS!$D958,nESPEC,DATOS!$E958,nASIG,DATOS!$I958,nEVAL,"OR")=0))</f>
      </c>
      <c r="I958">
        <f>IF(DATOS!$I958="","",IFERROR(VLOOKUP(DATOS!$I958,CONFIG_ASIGNATURAS!$B$2:$J$91,9,FALSE()),""))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IF(DATOS!$A959="",0,IF(CONFIG_METADATA!$B$4&lt;&gt;"OR+EX",--(DATOS!$G959=CONFIG_METADATA!$B$4),IF(DATOS!$G959="EX",1,IF(DATOS!$G959="OR",--(COUNTIFS(nNIA,DATOS!$A959,nCURSO,DATOS!$D959,nESPEC,DATOS!$E959,nASIG,DATOS!$I959,nEVAL,"EX")=0),0))))</f>
      </c>
      <c r="H959">
        <f>IF(DATOS!$G959&lt;&gt;"EX",0,--(COUNTIFS(nNIA,DATOS!$A959,nCURSO,DATOS!$D959,nESPEC,DATOS!$E959,nASIG,DATOS!$I959,nEVAL,"OR")=0))</f>
      </c>
      <c r="I959">
        <f>IF(DATOS!$I959="","",IFERROR(VLOOKUP(DATOS!$I959,CONFIG_ASIGNATURAS!$B$2:$J$91,9,FALSE()),""))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IF(DATOS!$A960="",0,IF(CONFIG_METADATA!$B$4&lt;&gt;"OR+EX",--(DATOS!$G960=CONFIG_METADATA!$B$4),IF(DATOS!$G960="EX",1,IF(DATOS!$G960="OR",--(COUNTIFS(nNIA,DATOS!$A960,nCURSO,DATOS!$D960,nESPEC,DATOS!$E960,nASIG,DATOS!$I960,nEVAL,"EX")=0),0))))</f>
      </c>
      <c r="H960">
        <f>IF(DATOS!$G960&lt;&gt;"EX",0,--(COUNTIFS(nNIA,DATOS!$A960,nCURSO,DATOS!$D960,nESPEC,DATOS!$E960,nASIG,DATOS!$I960,nEVAL,"OR")=0))</f>
      </c>
      <c r="I960">
        <f>IF(DATOS!$I960="","",IFERROR(VLOOKUP(DATOS!$I960,CONFIG_ASIGNATURAS!$B$2:$J$91,9,FALSE()),""))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IF(DATOS!$A961="",0,IF(CONFIG_METADATA!$B$4&lt;&gt;"OR+EX",--(DATOS!$G961=CONFIG_METADATA!$B$4),IF(DATOS!$G961="EX",1,IF(DATOS!$G961="OR",--(COUNTIFS(nNIA,DATOS!$A961,nCURSO,DATOS!$D961,nESPEC,DATOS!$E961,nASIG,DATOS!$I961,nEVAL,"EX")=0),0))))</f>
      </c>
      <c r="H961">
        <f>IF(DATOS!$G961&lt;&gt;"EX",0,--(COUNTIFS(nNIA,DATOS!$A961,nCURSO,DATOS!$D961,nESPEC,DATOS!$E961,nASIG,DATOS!$I961,nEVAL,"OR")=0))</f>
      </c>
      <c r="I961">
        <f>IF(DATOS!$I961="","",IFERROR(VLOOKUP(DATOS!$I961,CONFIG_ASIGNATURAS!$B$2:$J$91,9,FALSE()),""))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IF(DATOS!$A962="",0,IF(CONFIG_METADATA!$B$4&lt;&gt;"OR+EX",--(DATOS!$G962=CONFIG_METADATA!$B$4),IF(DATOS!$G962="EX",1,IF(DATOS!$G962="OR",--(COUNTIFS(nNIA,DATOS!$A962,nCURSO,DATOS!$D962,nESPEC,DATOS!$E962,nASIG,DATOS!$I962,nEVAL,"EX")=0),0))))</f>
      </c>
      <c r="H962">
        <f>IF(DATOS!$G962&lt;&gt;"EX",0,--(COUNTIFS(nNIA,DATOS!$A962,nCURSO,DATOS!$D962,nESPEC,DATOS!$E962,nASIG,DATOS!$I962,nEVAL,"OR")=0))</f>
      </c>
      <c r="I962">
        <f>IF(DATOS!$I962="","",IFERROR(VLOOKUP(DATOS!$I962,CONFIG_ASIGNATURAS!$B$2:$J$91,9,FALSE()),""))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IF(DATOS!$A963="",0,IF(CONFIG_METADATA!$B$4&lt;&gt;"OR+EX",--(DATOS!$G963=CONFIG_METADATA!$B$4),IF(DATOS!$G963="EX",1,IF(DATOS!$G963="OR",--(COUNTIFS(nNIA,DATOS!$A963,nCURSO,DATOS!$D963,nESPEC,DATOS!$E963,nASIG,DATOS!$I963,nEVAL,"EX")=0),0))))</f>
      </c>
      <c r="H963">
        <f>IF(DATOS!$G963&lt;&gt;"EX",0,--(COUNTIFS(nNIA,DATOS!$A963,nCURSO,DATOS!$D963,nESPEC,DATOS!$E963,nASIG,DATOS!$I963,nEVAL,"OR")=0))</f>
      </c>
      <c r="I963">
        <f>IF(DATOS!$I963="","",IFERROR(VLOOKUP(DATOS!$I963,CONFIG_ASIGNATURAS!$B$2:$J$91,9,FALSE()),""))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IF(DATOS!$A964="",0,IF(CONFIG_METADATA!$B$4&lt;&gt;"OR+EX",--(DATOS!$G964=CONFIG_METADATA!$B$4),IF(DATOS!$G964="EX",1,IF(DATOS!$G964="OR",--(COUNTIFS(nNIA,DATOS!$A964,nCURSO,DATOS!$D964,nESPEC,DATOS!$E964,nASIG,DATOS!$I964,nEVAL,"EX")=0),0))))</f>
      </c>
      <c r="H964">
        <f>IF(DATOS!$G964&lt;&gt;"EX",0,--(COUNTIFS(nNIA,DATOS!$A964,nCURSO,DATOS!$D964,nESPEC,DATOS!$E964,nASIG,DATOS!$I964,nEVAL,"OR")=0))</f>
      </c>
      <c r="I964">
        <f>IF(DATOS!$I964="","",IFERROR(VLOOKUP(DATOS!$I964,CONFIG_ASIGNATURAS!$B$2:$J$91,9,FALSE()),""))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IF(DATOS!$A965="",0,IF(CONFIG_METADATA!$B$4&lt;&gt;"OR+EX",--(DATOS!$G965=CONFIG_METADATA!$B$4),IF(DATOS!$G965="EX",1,IF(DATOS!$G965="OR",--(COUNTIFS(nNIA,DATOS!$A965,nCURSO,DATOS!$D965,nESPEC,DATOS!$E965,nASIG,DATOS!$I965,nEVAL,"EX")=0),0))))</f>
      </c>
      <c r="H965">
        <f>IF(DATOS!$G965&lt;&gt;"EX",0,--(COUNTIFS(nNIA,DATOS!$A965,nCURSO,DATOS!$D965,nESPEC,DATOS!$E965,nASIG,DATOS!$I965,nEVAL,"OR")=0))</f>
      </c>
      <c r="I965">
        <f>IF(DATOS!$I965="","",IFERROR(VLOOKUP(DATOS!$I965,CONFIG_ASIGNATURAS!$B$2:$J$91,9,FALSE()),""))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IF(DATOS!$A966="",0,IF(CONFIG_METADATA!$B$4&lt;&gt;"OR+EX",--(DATOS!$G966=CONFIG_METADATA!$B$4),IF(DATOS!$G966="EX",1,IF(DATOS!$G966="OR",--(COUNTIFS(nNIA,DATOS!$A966,nCURSO,DATOS!$D966,nESPEC,DATOS!$E966,nASIG,DATOS!$I966,nEVAL,"EX")=0),0))))</f>
      </c>
      <c r="H966">
        <f>IF(DATOS!$G966&lt;&gt;"EX",0,--(COUNTIFS(nNIA,DATOS!$A966,nCURSO,DATOS!$D966,nESPEC,DATOS!$E966,nASIG,DATOS!$I966,nEVAL,"OR")=0))</f>
      </c>
      <c r="I966">
        <f>IF(DATOS!$I966="","",IFERROR(VLOOKUP(DATOS!$I966,CONFIG_ASIGNATURAS!$B$2:$J$91,9,FALSE()),""))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IF(DATOS!$A967="",0,IF(CONFIG_METADATA!$B$4&lt;&gt;"OR+EX",--(DATOS!$G967=CONFIG_METADATA!$B$4),IF(DATOS!$G967="EX",1,IF(DATOS!$G967="OR",--(COUNTIFS(nNIA,DATOS!$A967,nCURSO,DATOS!$D967,nESPEC,DATOS!$E967,nASIG,DATOS!$I967,nEVAL,"EX")=0),0))))</f>
      </c>
      <c r="H967">
        <f>IF(DATOS!$G967&lt;&gt;"EX",0,--(COUNTIFS(nNIA,DATOS!$A967,nCURSO,DATOS!$D967,nESPEC,DATOS!$E967,nASIG,DATOS!$I967,nEVAL,"OR")=0))</f>
      </c>
      <c r="I967">
        <f>IF(DATOS!$I967="","",IFERROR(VLOOKUP(DATOS!$I967,CONFIG_ASIGNATURAS!$B$2:$J$91,9,FALSE()),""))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IF(DATOS!$A968="",0,IF(CONFIG_METADATA!$B$4&lt;&gt;"OR+EX",--(DATOS!$G968=CONFIG_METADATA!$B$4),IF(DATOS!$G968="EX",1,IF(DATOS!$G968="OR",--(COUNTIFS(nNIA,DATOS!$A968,nCURSO,DATOS!$D968,nESPEC,DATOS!$E968,nASIG,DATOS!$I968,nEVAL,"EX")=0),0))))</f>
      </c>
      <c r="H968">
        <f>IF(DATOS!$G968&lt;&gt;"EX",0,--(COUNTIFS(nNIA,DATOS!$A968,nCURSO,DATOS!$D968,nESPEC,DATOS!$E968,nASIG,DATOS!$I968,nEVAL,"OR")=0))</f>
      </c>
      <c r="I968">
        <f>IF(DATOS!$I968="","",IFERROR(VLOOKUP(DATOS!$I968,CONFIG_ASIGNATURAS!$B$2:$J$91,9,FALSE()),""))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IF(DATOS!$A969="",0,IF(CONFIG_METADATA!$B$4&lt;&gt;"OR+EX",--(DATOS!$G969=CONFIG_METADATA!$B$4),IF(DATOS!$G969="EX",1,IF(DATOS!$G969="OR",--(COUNTIFS(nNIA,DATOS!$A969,nCURSO,DATOS!$D969,nESPEC,DATOS!$E969,nASIG,DATOS!$I969,nEVAL,"EX")=0),0))))</f>
      </c>
      <c r="H969">
        <f>IF(DATOS!$G969&lt;&gt;"EX",0,--(COUNTIFS(nNIA,DATOS!$A969,nCURSO,DATOS!$D969,nESPEC,DATOS!$E969,nASIG,DATOS!$I969,nEVAL,"OR")=0))</f>
      </c>
      <c r="I969">
        <f>IF(DATOS!$I969="","",IFERROR(VLOOKUP(DATOS!$I969,CONFIG_ASIGNATURAS!$B$2:$J$91,9,FALSE()),""))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IF(DATOS!$A970="",0,IF(CONFIG_METADATA!$B$4&lt;&gt;"OR+EX",--(DATOS!$G970=CONFIG_METADATA!$B$4),IF(DATOS!$G970="EX",1,IF(DATOS!$G970="OR",--(COUNTIFS(nNIA,DATOS!$A970,nCURSO,DATOS!$D970,nESPEC,DATOS!$E970,nASIG,DATOS!$I970,nEVAL,"EX")=0),0))))</f>
      </c>
      <c r="H970">
        <f>IF(DATOS!$G970&lt;&gt;"EX",0,--(COUNTIFS(nNIA,DATOS!$A970,nCURSO,DATOS!$D970,nESPEC,DATOS!$E970,nASIG,DATOS!$I970,nEVAL,"OR")=0))</f>
      </c>
      <c r="I970">
        <f>IF(DATOS!$I970="","",IFERROR(VLOOKUP(DATOS!$I970,CONFIG_ASIGNATURAS!$B$2:$J$91,9,FALSE()),""))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IF(DATOS!$A971="",0,IF(CONFIG_METADATA!$B$4&lt;&gt;"OR+EX",--(DATOS!$G971=CONFIG_METADATA!$B$4),IF(DATOS!$G971="EX",1,IF(DATOS!$G971="OR",--(COUNTIFS(nNIA,DATOS!$A971,nCURSO,DATOS!$D971,nESPEC,DATOS!$E971,nASIG,DATOS!$I971,nEVAL,"EX")=0),0))))</f>
      </c>
      <c r="H971">
        <f>IF(DATOS!$G971&lt;&gt;"EX",0,--(COUNTIFS(nNIA,DATOS!$A971,nCURSO,DATOS!$D971,nESPEC,DATOS!$E971,nASIG,DATOS!$I971,nEVAL,"OR")=0))</f>
      </c>
      <c r="I971">
        <f>IF(DATOS!$I971="","",IFERROR(VLOOKUP(DATOS!$I971,CONFIG_ASIGNATURAS!$B$2:$J$91,9,FALSE()),""))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IF(DATOS!$A972="",0,IF(CONFIG_METADATA!$B$4&lt;&gt;"OR+EX",--(DATOS!$G972=CONFIG_METADATA!$B$4),IF(DATOS!$G972="EX",1,IF(DATOS!$G972="OR",--(COUNTIFS(nNIA,DATOS!$A972,nCURSO,DATOS!$D972,nESPEC,DATOS!$E972,nASIG,DATOS!$I972,nEVAL,"EX")=0),0))))</f>
      </c>
      <c r="H972">
        <f>IF(DATOS!$G972&lt;&gt;"EX",0,--(COUNTIFS(nNIA,DATOS!$A972,nCURSO,DATOS!$D972,nESPEC,DATOS!$E972,nASIG,DATOS!$I972,nEVAL,"OR")=0))</f>
      </c>
      <c r="I972">
        <f>IF(DATOS!$I972="","",IFERROR(VLOOKUP(DATOS!$I972,CONFIG_ASIGNATURAS!$B$2:$J$91,9,FALSE()),""))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IF(DATOS!$A973="",0,IF(CONFIG_METADATA!$B$4&lt;&gt;"OR+EX",--(DATOS!$G973=CONFIG_METADATA!$B$4),IF(DATOS!$G973="EX",1,IF(DATOS!$G973="OR",--(COUNTIFS(nNIA,DATOS!$A973,nCURSO,DATOS!$D973,nESPEC,DATOS!$E973,nASIG,DATOS!$I973,nEVAL,"EX")=0),0))))</f>
      </c>
      <c r="H973">
        <f>IF(DATOS!$G973&lt;&gt;"EX",0,--(COUNTIFS(nNIA,DATOS!$A973,nCURSO,DATOS!$D973,nESPEC,DATOS!$E973,nASIG,DATOS!$I973,nEVAL,"OR")=0))</f>
      </c>
      <c r="I973">
        <f>IF(DATOS!$I973="","",IFERROR(VLOOKUP(DATOS!$I973,CONFIG_ASIGNATURAS!$B$2:$J$91,9,FALSE()),""))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IF(DATOS!$A974="",0,IF(CONFIG_METADATA!$B$4&lt;&gt;"OR+EX",--(DATOS!$G974=CONFIG_METADATA!$B$4),IF(DATOS!$G974="EX",1,IF(DATOS!$G974="OR",--(COUNTIFS(nNIA,DATOS!$A974,nCURSO,DATOS!$D974,nESPEC,DATOS!$E974,nASIG,DATOS!$I974,nEVAL,"EX")=0),0))))</f>
      </c>
      <c r="H974">
        <f>IF(DATOS!$G974&lt;&gt;"EX",0,--(COUNTIFS(nNIA,DATOS!$A974,nCURSO,DATOS!$D974,nESPEC,DATOS!$E974,nASIG,DATOS!$I974,nEVAL,"OR")=0))</f>
      </c>
      <c r="I974">
        <f>IF(DATOS!$I974="","",IFERROR(VLOOKUP(DATOS!$I974,CONFIG_ASIGNATURAS!$B$2:$J$91,9,FALSE()),""))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IF(DATOS!$A975="",0,IF(CONFIG_METADATA!$B$4&lt;&gt;"OR+EX",--(DATOS!$G975=CONFIG_METADATA!$B$4),IF(DATOS!$G975="EX",1,IF(DATOS!$G975="OR",--(COUNTIFS(nNIA,DATOS!$A975,nCURSO,DATOS!$D975,nESPEC,DATOS!$E975,nASIG,DATOS!$I975,nEVAL,"EX")=0),0))))</f>
      </c>
      <c r="H975">
        <f>IF(DATOS!$G975&lt;&gt;"EX",0,--(COUNTIFS(nNIA,DATOS!$A975,nCURSO,DATOS!$D975,nESPEC,DATOS!$E975,nASIG,DATOS!$I975,nEVAL,"OR")=0))</f>
      </c>
      <c r="I975">
        <f>IF(DATOS!$I975="","",IFERROR(VLOOKUP(DATOS!$I975,CONFIG_ASIGNATURAS!$B$2:$J$91,9,FALSE()),""))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IF(DATOS!$A976="",0,IF(CONFIG_METADATA!$B$4&lt;&gt;"OR+EX",--(DATOS!$G976=CONFIG_METADATA!$B$4),IF(DATOS!$G976="EX",1,IF(DATOS!$G976="OR",--(COUNTIFS(nNIA,DATOS!$A976,nCURSO,DATOS!$D976,nESPEC,DATOS!$E976,nASIG,DATOS!$I976,nEVAL,"EX")=0),0))))</f>
      </c>
      <c r="H976">
        <f>IF(DATOS!$G976&lt;&gt;"EX",0,--(COUNTIFS(nNIA,DATOS!$A976,nCURSO,DATOS!$D976,nESPEC,DATOS!$E976,nASIG,DATOS!$I976,nEVAL,"OR")=0))</f>
      </c>
      <c r="I976">
        <f>IF(DATOS!$I976="","",IFERROR(VLOOKUP(DATOS!$I976,CONFIG_ASIGNATURAS!$B$2:$J$91,9,FALSE()),""))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IF(DATOS!$A977="",0,IF(CONFIG_METADATA!$B$4&lt;&gt;"OR+EX",--(DATOS!$G977=CONFIG_METADATA!$B$4),IF(DATOS!$G977="EX",1,IF(DATOS!$G977="OR",--(COUNTIFS(nNIA,DATOS!$A977,nCURSO,DATOS!$D977,nESPEC,DATOS!$E977,nASIG,DATOS!$I977,nEVAL,"EX")=0),0))))</f>
      </c>
      <c r="H977">
        <f>IF(DATOS!$G977&lt;&gt;"EX",0,--(COUNTIFS(nNIA,DATOS!$A977,nCURSO,DATOS!$D977,nESPEC,DATOS!$E977,nASIG,DATOS!$I977,nEVAL,"OR")=0))</f>
      </c>
      <c r="I977">
        <f>IF(DATOS!$I977="","",IFERROR(VLOOKUP(DATOS!$I977,CONFIG_ASIGNATURAS!$B$2:$J$91,9,FALSE()),""))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IF(DATOS!$A978="",0,IF(CONFIG_METADATA!$B$4&lt;&gt;"OR+EX",--(DATOS!$G978=CONFIG_METADATA!$B$4),IF(DATOS!$G978="EX",1,IF(DATOS!$G978="OR",--(COUNTIFS(nNIA,DATOS!$A978,nCURSO,DATOS!$D978,nESPEC,DATOS!$E978,nASIG,DATOS!$I978,nEVAL,"EX")=0),0))))</f>
      </c>
      <c r="H978">
        <f>IF(DATOS!$G978&lt;&gt;"EX",0,--(COUNTIFS(nNIA,DATOS!$A978,nCURSO,DATOS!$D978,nESPEC,DATOS!$E978,nASIG,DATOS!$I978,nEVAL,"OR")=0))</f>
      </c>
      <c r="I978">
        <f>IF(DATOS!$I978="","",IFERROR(VLOOKUP(DATOS!$I978,CONFIG_ASIGNATURAS!$B$2:$J$91,9,FALSE()),""))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IF(DATOS!$A979="",0,IF(CONFIG_METADATA!$B$4&lt;&gt;"OR+EX",--(DATOS!$G979=CONFIG_METADATA!$B$4),IF(DATOS!$G979="EX",1,IF(DATOS!$G979="OR",--(COUNTIFS(nNIA,DATOS!$A979,nCURSO,DATOS!$D979,nESPEC,DATOS!$E979,nASIG,DATOS!$I979,nEVAL,"EX")=0),0))))</f>
      </c>
      <c r="H979">
        <f>IF(DATOS!$G979&lt;&gt;"EX",0,--(COUNTIFS(nNIA,DATOS!$A979,nCURSO,DATOS!$D979,nESPEC,DATOS!$E979,nASIG,DATOS!$I979,nEVAL,"OR")=0))</f>
      </c>
      <c r="I979">
        <f>IF(DATOS!$I979="","",IFERROR(VLOOKUP(DATOS!$I979,CONFIG_ASIGNATURAS!$B$2:$J$91,9,FALSE()),""))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IF(DATOS!$A980="",0,IF(CONFIG_METADATA!$B$4&lt;&gt;"OR+EX",--(DATOS!$G980=CONFIG_METADATA!$B$4),IF(DATOS!$G980="EX",1,IF(DATOS!$G980="OR",--(COUNTIFS(nNIA,DATOS!$A980,nCURSO,DATOS!$D980,nESPEC,DATOS!$E980,nASIG,DATOS!$I980,nEVAL,"EX")=0),0))))</f>
      </c>
      <c r="H980">
        <f>IF(DATOS!$G980&lt;&gt;"EX",0,--(COUNTIFS(nNIA,DATOS!$A980,nCURSO,DATOS!$D980,nESPEC,DATOS!$E980,nASIG,DATOS!$I980,nEVAL,"OR")=0))</f>
      </c>
      <c r="I980">
        <f>IF(DATOS!$I980="","",IFERROR(VLOOKUP(DATOS!$I980,CONFIG_ASIGNATURAS!$B$2:$J$91,9,FALSE()),""))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IF(DATOS!$A981="",0,IF(CONFIG_METADATA!$B$4&lt;&gt;"OR+EX",--(DATOS!$G981=CONFIG_METADATA!$B$4),IF(DATOS!$G981="EX",1,IF(DATOS!$G981="OR",--(COUNTIFS(nNIA,DATOS!$A981,nCURSO,DATOS!$D981,nESPEC,DATOS!$E981,nASIG,DATOS!$I981,nEVAL,"EX")=0),0))))</f>
      </c>
      <c r="H981">
        <f>IF(DATOS!$G981&lt;&gt;"EX",0,--(COUNTIFS(nNIA,DATOS!$A981,nCURSO,DATOS!$D981,nESPEC,DATOS!$E981,nASIG,DATOS!$I981,nEVAL,"OR")=0))</f>
      </c>
      <c r="I981">
        <f>IF(DATOS!$I981="","",IFERROR(VLOOKUP(DATOS!$I981,CONFIG_ASIGNATURAS!$B$2:$J$91,9,FALSE()),""))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IF(DATOS!$A982="",0,IF(CONFIG_METADATA!$B$4&lt;&gt;"OR+EX",--(DATOS!$G982=CONFIG_METADATA!$B$4),IF(DATOS!$G982="EX",1,IF(DATOS!$G982="OR",--(COUNTIFS(nNIA,DATOS!$A982,nCURSO,DATOS!$D982,nESPEC,DATOS!$E982,nASIG,DATOS!$I982,nEVAL,"EX")=0),0))))</f>
      </c>
      <c r="H982">
        <f>IF(DATOS!$G982&lt;&gt;"EX",0,--(COUNTIFS(nNIA,DATOS!$A982,nCURSO,DATOS!$D982,nESPEC,DATOS!$E982,nASIG,DATOS!$I982,nEVAL,"OR")=0))</f>
      </c>
      <c r="I982">
        <f>IF(DATOS!$I982="","",IFERROR(VLOOKUP(DATOS!$I982,CONFIG_ASIGNATURAS!$B$2:$J$91,9,FALSE()),""))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IF(DATOS!$A983="",0,IF(CONFIG_METADATA!$B$4&lt;&gt;"OR+EX",--(DATOS!$G983=CONFIG_METADATA!$B$4),IF(DATOS!$G983="EX",1,IF(DATOS!$G983="OR",--(COUNTIFS(nNIA,DATOS!$A983,nCURSO,DATOS!$D983,nESPEC,DATOS!$E983,nASIG,DATOS!$I983,nEVAL,"EX")=0),0))))</f>
      </c>
      <c r="H983">
        <f>IF(DATOS!$G983&lt;&gt;"EX",0,--(COUNTIFS(nNIA,DATOS!$A983,nCURSO,DATOS!$D983,nESPEC,DATOS!$E983,nASIG,DATOS!$I983,nEVAL,"OR")=0))</f>
      </c>
      <c r="I983">
        <f>IF(DATOS!$I983="","",IFERROR(VLOOKUP(DATOS!$I983,CONFIG_ASIGNATURAS!$B$2:$J$91,9,FALSE()),""))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IF(DATOS!$A984="",0,IF(CONFIG_METADATA!$B$4&lt;&gt;"OR+EX",--(DATOS!$G984=CONFIG_METADATA!$B$4),IF(DATOS!$G984="EX",1,IF(DATOS!$G984="OR",--(COUNTIFS(nNIA,DATOS!$A984,nCURSO,DATOS!$D984,nESPEC,DATOS!$E984,nASIG,DATOS!$I984,nEVAL,"EX")=0),0))))</f>
      </c>
      <c r="H984">
        <f>IF(DATOS!$G984&lt;&gt;"EX",0,--(COUNTIFS(nNIA,DATOS!$A984,nCURSO,DATOS!$D984,nESPEC,DATOS!$E984,nASIG,DATOS!$I984,nEVAL,"OR")=0))</f>
      </c>
      <c r="I984">
        <f>IF(DATOS!$I984="","",IFERROR(VLOOKUP(DATOS!$I984,CONFIG_ASIGNATURAS!$B$2:$J$91,9,FALSE()),""))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IF(DATOS!$A985="",0,IF(CONFIG_METADATA!$B$4&lt;&gt;"OR+EX",--(DATOS!$G985=CONFIG_METADATA!$B$4),IF(DATOS!$G985="EX",1,IF(DATOS!$G985="OR",--(COUNTIFS(nNIA,DATOS!$A985,nCURSO,DATOS!$D985,nESPEC,DATOS!$E985,nASIG,DATOS!$I985,nEVAL,"EX")=0),0))))</f>
      </c>
      <c r="H985">
        <f>IF(DATOS!$G985&lt;&gt;"EX",0,--(COUNTIFS(nNIA,DATOS!$A985,nCURSO,DATOS!$D985,nESPEC,DATOS!$E985,nASIG,DATOS!$I985,nEVAL,"OR")=0))</f>
      </c>
      <c r="I985">
        <f>IF(DATOS!$I985="","",IFERROR(VLOOKUP(DATOS!$I985,CONFIG_ASIGNATURAS!$B$2:$J$91,9,FALSE()),""))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IF(DATOS!$A986="",0,IF(CONFIG_METADATA!$B$4&lt;&gt;"OR+EX",--(DATOS!$G986=CONFIG_METADATA!$B$4),IF(DATOS!$G986="EX",1,IF(DATOS!$G986="OR",--(COUNTIFS(nNIA,DATOS!$A986,nCURSO,DATOS!$D986,nESPEC,DATOS!$E986,nASIG,DATOS!$I986,nEVAL,"EX")=0),0))))</f>
      </c>
      <c r="H986">
        <f>IF(DATOS!$G986&lt;&gt;"EX",0,--(COUNTIFS(nNIA,DATOS!$A986,nCURSO,DATOS!$D986,nESPEC,DATOS!$E986,nASIG,DATOS!$I986,nEVAL,"OR")=0))</f>
      </c>
      <c r="I986">
        <f>IF(DATOS!$I986="","",IFERROR(VLOOKUP(DATOS!$I986,CONFIG_ASIGNATURAS!$B$2:$J$91,9,FALSE()),""))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IF(DATOS!$A987="",0,IF(CONFIG_METADATA!$B$4&lt;&gt;"OR+EX",--(DATOS!$G987=CONFIG_METADATA!$B$4),IF(DATOS!$G987="EX",1,IF(DATOS!$G987="OR",--(COUNTIFS(nNIA,DATOS!$A987,nCURSO,DATOS!$D987,nESPEC,DATOS!$E987,nASIG,DATOS!$I987,nEVAL,"EX")=0),0))))</f>
      </c>
      <c r="H987">
        <f>IF(DATOS!$G987&lt;&gt;"EX",0,--(COUNTIFS(nNIA,DATOS!$A987,nCURSO,DATOS!$D987,nESPEC,DATOS!$E987,nASIG,DATOS!$I987,nEVAL,"OR")=0))</f>
      </c>
      <c r="I987">
        <f>IF(DATOS!$I987="","",IFERROR(VLOOKUP(DATOS!$I987,CONFIG_ASIGNATURAS!$B$2:$J$91,9,FALSE()),""))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IF(DATOS!$A988="",0,IF(CONFIG_METADATA!$B$4&lt;&gt;"OR+EX",--(DATOS!$G988=CONFIG_METADATA!$B$4),IF(DATOS!$G988="EX",1,IF(DATOS!$G988="OR",--(COUNTIFS(nNIA,DATOS!$A988,nCURSO,DATOS!$D988,nESPEC,DATOS!$E988,nASIG,DATOS!$I988,nEVAL,"EX")=0),0))))</f>
      </c>
      <c r="H988">
        <f>IF(DATOS!$G988&lt;&gt;"EX",0,--(COUNTIFS(nNIA,DATOS!$A988,nCURSO,DATOS!$D988,nESPEC,DATOS!$E988,nASIG,DATOS!$I988,nEVAL,"OR")=0))</f>
      </c>
      <c r="I988">
        <f>IF(DATOS!$I988="","",IFERROR(VLOOKUP(DATOS!$I988,CONFIG_ASIGNATURAS!$B$2:$J$91,9,FALSE()),""))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IF(DATOS!$A989="",0,IF(CONFIG_METADATA!$B$4&lt;&gt;"OR+EX",--(DATOS!$G989=CONFIG_METADATA!$B$4),IF(DATOS!$G989="EX",1,IF(DATOS!$G989="OR",--(COUNTIFS(nNIA,DATOS!$A989,nCURSO,DATOS!$D989,nESPEC,DATOS!$E989,nASIG,DATOS!$I989,nEVAL,"EX")=0),0))))</f>
      </c>
      <c r="H989">
        <f>IF(DATOS!$G989&lt;&gt;"EX",0,--(COUNTIFS(nNIA,DATOS!$A989,nCURSO,DATOS!$D989,nESPEC,DATOS!$E989,nASIG,DATOS!$I989,nEVAL,"OR")=0))</f>
      </c>
      <c r="I989">
        <f>IF(DATOS!$I989="","",IFERROR(VLOOKUP(DATOS!$I989,CONFIG_ASIGNATURAS!$B$2:$J$91,9,FALSE()),""))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IF(DATOS!$A990="",0,IF(CONFIG_METADATA!$B$4&lt;&gt;"OR+EX",--(DATOS!$G990=CONFIG_METADATA!$B$4),IF(DATOS!$G990="EX",1,IF(DATOS!$G990="OR",--(COUNTIFS(nNIA,DATOS!$A990,nCURSO,DATOS!$D990,nESPEC,DATOS!$E990,nASIG,DATOS!$I990,nEVAL,"EX")=0),0))))</f>
      </c>
      <c r="H990">
        <f>IF(DATOS!$G990&lt;&gt;"EX",0,--(COUNTIFS(nNIA,DATOS!$A990,nCURSO,DATOS!$D990,nESPEC,DATOS!$E990,nASIG,DATOS!$I990,nEVAL,"OR")=0))</f>
      </c>
      <c r="I990">
        <f>IF(DATOS!$I990="","",IFERROR(VLOOKUP(DATOS!$I990,CONFIG_ASIGNATURAS!$B$2:$J$91,9,FALSE()),""))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IF(DATOS!$A991="",0,IF(CONFIG_METADATA!$B$4&lt;&gt;"OR+EX",--(DATOS!$G991=CONFIG_METADATA!$B$4),IF(DATOS!$G991="EX",1,IF(DATOS!$G991="OR",--(COUNTIFS(nNIA,DATOS!$A991,nCURSO,DATOS!$D991,nESPEC,DATOS!$E991,nASIG,DATOS!$I991,nEVAL,"EX")=0),0))))</f>
      </c>
      <c r="H991">
        <f>IF(DATOS!$G991&lt;&gt;"EX",0,--(COUNTIFS(nNIA,DATOS!$A991,nCURSO,DATOS!$D991,nESPEC,DATOS!$E991,nASIG,DATOS!$I991,nEVAL,"OR")=0))</f>
      </c>
      <c r="I991">
        <f>IF(DATOS!$I991="","",IFERROR(VLOOKUP(DATOS!$I991,CONFIG_ASIGNATURAS!$B$2:$J$91,9,FALSE()),""))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IF(DATOS!$A992="",0,IF(CONFIG_METADATA!$B$4&lt;&gt;"OR+EX",--(DATOS!$G992=CONFIG_METADATA!$B$4),IF(DATOS!$G992="EX",1,IF(DATOS!$G992="OR",--(COUNTIFS(nNIA,DATOS!$A992,nCURSO,DATOS!$D992,nESPEC,DATOS!$E992,nASIG,DATOS!$I992,nEVAL,"EX")=0),0))))</f>
      </c>
      <c r="H992">
        <f>IF(DATOS!$G992&lt;&gt;"EX",0,--(COUNTIFS(nNIA,DATOS!$A992,nCURSO,DATOS!$D992,nESPEC,DATOS!$E992,nASIG,DATOS!$I992,nEVAL,"OR")=0))</f>
      </c>
      <c r="I992">
        <f>IF(DATOS!$I992="","",IFERROR(VLOOKUP(DATOS!$I992,CONFIG_ASIGNATURAS!$B$2:$J$91,9,FALSE()),""))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IF(DATOS!$A993="",0,IF(CONFIG_METADATA!$B$4&lt;&gt;"OR+EX",--(DATOS!$G993=CONFIG_METADATA!$B$4),IF(DATOS!$G993="EX",1,IF(DATOS!$G993="OR",--(COUNTIFS(nNIA,DATOS!$A993,nCURSO,DATOS!$D993,nESPEC,DATOS!$E993,nASIG,DATOS!$I993,nEVAL,"EX")=0),0))))</f>
      </c>
      <c r="H993">
        <f>IF(DATOS!$G993&lt;&gt;"EX",0,--(COUNTIFS(nNIA,DATOS!$A993,nCURSO,DATOS!$D993,nESPEC,DATOS!$E993,nASIG,DATOS!$I993,nEVAL,"OR")=0))</f>
      </c>
      <c r="I993">
        <f>IF(DATOS!$I993="","",IFERROR(VLOOKUP(DATOS!$I993,CONFIG_ASIGNATURAS!$B$2:$J$91,9,FALSE()),""))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IF(DATOS!$A994="",0,IF(CONFIG_METADATA!$B$4&lt;&gt;"OR+EX",--(DATOS!$G994=CONFIG_METADATA!$B$4),IF(DATOS!$G994="EX",1,IF(DATOS!$G994="OR",--(COUNTIFS(nNIA,DATOS!$A994,nCURSO,DATOS!$D994,nESPEC,DATOS!$E994,nASIG,DATOS!$I994,nEVAL,"EX")=0),0))))</f>
      </c>
      <c r="H994">
        <f>IF(DATOS!$G994&lt;&gt;"EX",0,--(COUNTIFS(nNIA,DATOS!$A994,nCURSO,DATOS!$D994,nESPEC,DATOS!$E994,nASIG,DATOS!$I994,nEVAL,"OR")=0))</f>
      </c>
      <c r="I994">
        <f>IF(DATOS!$I994="","",IFERROR(VLOOKUP(DATOS!$I994,CONFIG_ASIGNATURAS!$B$2:$J$91,9,FALSE()),""))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IF(DATOS!$A995="",0,IF(CONFIG_METADATA!$B$4&lt;&gt;"OR+EX",--(DATOS!$G995=CONFIG_METADATA!$B$4),IF(DATOS!$G995="EX",1,IF(DATOS!$G995="OR",--(COUNTIFS(nNIA,DATOS!$A995,nCURSO,DATOS!$D995,nESPEC,DATOS!$E995,nASIG,DATOS!$I995,nEVAL,"EX")=0),0))))</f>
      </c>
      <c r="H995">
        <f>IF(DATOS!$G995&lt;&gt;"EX",0,--(COUNTIFS(nNIA,DATOS!$A995,nCURSO,DATOS!$D995,nESPEC,DATOS!$E995,nASIG,DATOS!$I995,nEVAL,"OR")=0))</f>
      </c>
      <c r="I995">
        <f>IF(DATOS!$I995="","",IFERROR(VLOOKUP(DATOS!$I995,CONFIG_ASIGNATURAS!$B$2:$J$91,9,FALSE()),""))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IF(DATOS!$A996="",0,IF(CONFIG_METADATA!$B$4&lt;&gt;"OR+EX",--(DATOS!$G996=CONFIG_METADATA!$B$4),IF(DATOS!$G996="EX",1,IF(DATOS!$G996="OR",--(COUNTIFS(nNIA,DATOS!$A996,nCURSO,DATOS!$D996,nESPEC,DATOS!$E996,nASIG,DATOS!$I996,nEVAL,"EX")=0),0))))</f>
      </c>
      <c r="H996">
        <f>IF(DATOS!$G996&lt;&gt;"EX",0,--(COUNTIFS(nNIA,DATOS!$A996,nCURSO,DATOS!$D996,nESPEC,DATOS!$E996,nASIG,DATOS!$I996,nEVAL,"OR")=0))</f>
      </c>
      <c r="I996">
        <f>IF(DATOS!$I996="","",IFERROR(VLOOKUP(DATOS!$I996,CONFIG_ASIGNATURAS!$B$2:$J$91,9,FALSE()),""))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IF(DATOS!$A997="",0,IF(CONFIG_METADATA!$B$4&lt;&gt;"OR+EX",--(DATOS!$G997=CONFIG_METADATA!$B$4),IF(DATOS!$G997="EX",1,IF(DATOS!$G997="OR",--(COUNTIFS(nNIA,DATOS!$A997,nCURSO,DATOS!$D997,nESPEC,DATOS!$E997,nASIG,DATOS!$I997,nEVAL,"EX")=0),0))))</f>
      </c>
      <c r="H997">
        <f>IF(DATOS!$G997&lt;&gt;"EX",0,--(COUNTIFS(nNIA,DATOS!$A997,nCURSO,DATOS!$D997,nESPEC,DATOS!$E997,nASIG,DATOS!$I997,nEVAL,"OR")=0))</f>
      </c>
      <c r="I997">
        <f>IF(DATOS!$I997="","",IFERROR(VLOOKUP(DATOS!$I997,CONFIG_ASIGNATURAS!$B$2:$J$91,9,FALSE()),""))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IF(DATOS!$A998="",0,IF(CONFIG_METADATA!$B$4&lt;&gt;"OR+EX",--(DATOS!$G998=CONFIG_METADATA!$B$4),IF(DATOS!$G998="EX",1,IF(DATOS!$G998="OR",--(COUNTIFS(nNIA,DATOS!$A998,nCURSO,DATOS!$D998,nESPEC,DATOS!$E998,nASIG,DATOS!$I998,nEVAL,"EX")=0),0))))</f>
      </c>
      <c r="H998">
        <f>IF(DATOS!$G998&lt;&gt;"EX",0,--(COUNTIFS(nNIA,DATOS!$A998,nCURSO,DATOS!$D998,nESPEC,DATOS!$E998,nASIG,DATOS!$I998,nEVAL,"OR")=0))</f>
      </c>
      <c r="I998">
        <f>IF(DATOS!$I998="","",IFERROR(VLOOKUP(DATOS!$I998,CONFIG_ASIGNATURAS!$B$2:$J$91,9,FALSE()),""))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IF(DATOS!$A999="",0,IF(CONFIG_METADATA!$B$4&lt;&gt;"OR+EX",--(DATOS!$G999=CONFIG_METADATA!$B$4),IF(DATOS!$G999="EX",1,IF(DATOS!$G999="OR",--(COUNTIFS(nNIA,DATOS!$A999,nCURSO,DATOS!$D999,nESPEC,DATOS!$E999,nASIG,DATOS!$I999,nEVAL,"EX")=0),0))))</f>
      </c>
      <c r="H999">
        <f>IF(DATOS!$G999&lt;&gt;"EX",0,--(COUNTIFS(nNIA,DATOS!$A999,nCURSO,DATOS!$D999,nESPEC,DATOS!$E999,nASIG,DATOS!$I999,nEVAL,"OR")=0))</f>
      </c>
      <c r="I999">
        <f>IF(DATOS!$I999="","",IFERROR(VLOOKUP(DATOS!$I999,CONFIG_ASIGNATURAS!$B$2:$J$91,9,FALSE()),""))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IF(DATOS!$A1000="",0,IF(CONFIG_METADATA!$B$4&lt;&gt;"OR+EX",--(DATOS!$G1000=CONFIG_METADATA!$B$4),IF(DATOS!$G1000="EX",1,IF(DATOS!$G1000="OR",--(COUNTIFS(nNIA,DATOS!$A1000,nCURSO,DATOS!$D1000,nESPEC,DATOS!$E1000,nASIG,DATOS!$I1000,nEVAL,"EX")=0),0))))</f>
      </c>
      <c r="H1000">
        <f>IF(DATOS!$G1000&lt;&gt;"EX",0,--(COUNTIFS(nNIA,DATOS!$A1000,nCURSO,DATOS!$D1000,nESPEC,DATOS!$E1000,nASIG,DATOS!$I1000,nEVAL,"OR")=0))</f>
      </c>
      <c r="I1000">
        <f>IF(DATOS!$I1000="","",IFERROR(VLOOKUP(DATOS!$I1000,CONFIG_ASIGNATURAS!$B$2:$J$91,9,FALSE()),""))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IF(DATOS!$A1001="",0,IF(CONFIG_METADATA!$B$4&lt;&gt;"OR+EX",--(DATOS!$G1001=CONFIG_METADATA!$B$4),IF(DATOS!$G1001="EX",1,IF(DATOS!$G1001="OR",--(COUNTIFS(nNIA,DATOS!$A1001,nCURSO,DATOS!$D1001,nESPEC,DATOS!$E1001,nASIG,DATOS!$I1001,nEVAL,"EX")=0),0))))</f>
      </c>
      <c r="H1001">
        <f>IF(DATOS!$G1001&lt;&gt;"EX",0,--(COUNTIFS(nNIA,DATOS!$A1001,nCURSO,DATOS!$D1001,nESPEC,DATOS!$E1001,nASIG,DATOS!$I1001,nEVAL,"OR")=0))</f>
      </c>
      <c r="I1001">
        <f>IF(DATOS!$I1001="","",IFERROR(VLOOKUP(DATOS!$I1001,CONFIG_ASIGNATURAS!$B$2:$J$91,9,FALSE()),""))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IF(DATOS!$A1002="",0,IF(CONFIG_METADATA!$B$4&lt;&gt;"OR+EX",--(DATOS!$G1002=CONFIG_METADATA!$B$4),IF(DATOS!$G1002="EX",1,IF(DATOS!$G1002="OR",--(COUNTIFS(nNIA,DATOS!$A1002,nCURSO,DATOS!$D1002,nESPEC,DATOS!$E1002,nASIG,DATOS!$I1002,nEVAL,"EX")=0),0))))</f>
      </c>
      <c r="H1002">
        <f>IF(DATOS!$G1002&lt;&gt;"EX",0,--(COUNTIFS(nNIA,DATOS!$A1002,nCURSO,DATOS!$D1002,nESPEC,DATOS!$E1002,nASIG,DATOS!$I1002,nEVAL,"OR")=0))</f>
      </c>
      <c r="I1002">
        <f>IF(DATOS!$I1002="","",IFERROR(VLOOKUP(DATOS!$I1002,CONFIG_ASIGNATURAS!$B$2:$J$91,9,FALSE()),""))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IF(DATOS!$A1003="",0,IF(CONFIG_METADATA!$B$4&lt;&gt;"OR+EX",--(DATOS!$G1003=CONFIG_METADATA!$B$4),IF(DATOS!$G1003="EX",1,IF(DATOS!$G1003="OR",--(COUNTIFS(nNIA,DATOS!$A1003,nCURSO,DATOS!$D1003,nESPEC,DATOS!$E1003,nASIG,DATOS!$I1003,nEVAL,"EX")=0),0))))</f>
      </c>
      <c r="H1003">
        <f>IF(DATOS!$G1003&lt;&gt;"EX",0,--(COUNTIFS(nNIA,DATOS!$A1003,nCURSO,DATOS!$D1003,nESPEC,DATOS!$E1003,nASIG,DATOS!$I1003,nEVAL,"OR")=0))</f>
      </c>
      <c r="I1003">
        <f>IF(DATOS!$I1003="","",IFERROR(VLOOKUP(DATOS!$I1003,CONFIG_ASIGNATURAS!$B$2:$J$91,9,FALSE()),""))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IF(DATOS!$A1004="",0,IF(CONFIG_METADATA!$B$4&lt;&gt;"OR+EX",--(DATOS!$G1004=CONFIG_METADATA!$B$4),IF(DATOS!$G1004="EX",1,IF(DATOS!$G1004="OR",--(COUNTIFS(nNIA,DATOS!$A1004,nCURSO,DATOS!$D1004,nESPEC,DATOS!$E1004,nASIG,DATOS!$I1004,nEVAL,"EX")=0),0))))</f>
      </c>
      <c r="H1004">
        <f>IF(DATOS!$G1004&lt;&gt;"EX",0,--(COUNTIFS(nNIA,DATOS!$A1004,nCURSO,DATOS!$D1004,nESPEC,DATOS!$E1004,nASIG,DATOS!$I1004,nEVAL,"OR")=0))</f>
      </c>
      <c r="I1004">
        <f>IF(DATOS!$I1004="","",IFERROR(VLOOKUP(DATOS!$I1004,CONFIG_ASIGNATURAS!$B$2:$J$91,9,FALSE()),""))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IF(DATOS!$A1005="",0,IF(CONFIG_METADATA!$B$4&lt;&gt;"OR+EX",--(DATOS!$G1005=CONFIG_METADATA!$B$4),IF(DATOS!$G1005="EX",1,IF(DATOS!$G1005="OR",--(COUNTIFS(nNIA,DATOS!$A1005,nCURSO,DATOS!$D1005,nESPEC,DATOS!$E1005,nASIG,DATOS!$I1005,nEVAL,"EX")=0),0))))</f>
      </c>
      <c r="H1005">
        <f>IF(DATOS!$G1005&lt;&gt;"EX",0,--(COUNTIFS(nNIA,DATOS!$A1005,nCURSO,DATOS!$D1005,nESPEC,DATOS!$E1005,nASIG,DATOS!$I1005,nEVAL,"OR")=0))</f>
      </c>
      <c r="I1005">
        <f>IF(DATOS!$I1005="","",IFERROR(VLOOKUP(DATOS!$I1005,CONFIG_ASIGNATURAS!$B$2:$J$91,9,FALSE()),""))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IF(DATOS!$A1006="",0,IF(CONFIG_METADATA!$B$4&lt;&gt;"OR+EX",--(DATOS!$G1006=CONFIG_METADATA!$B$4),IF(DATOS!$G1006="EX",1,IF(DATOS!$G1006="OR",--(COUNTIFS(nNIA,DATOS!$A1006,nCURSO,DATOS!$D1006,nESPEC,DATOS!$E1006,nASIG,DATOS!$I1006,nEVAL,"EX")=0),0))))</f>
      </c>
      <c r="H1006">
        <f>IF(DATOS!$G1006&lt;&gt;"EX",0,--(COUNTIFS(nNIA,DATOS!$A1006,nCURSO,DATOS!$D1006,nESPEC,DATOS!$E1006,nASIG,DATOS!$I1006,nEVAL,"OR")=0))</f>
      </c>
      <c r="I1006">
        <f>IF(DATOS!$I1006="","",IFERROR(VLOOKUP(DATOS!$I1006,CONFIG_ASIGNATURAS!$B$2:$J$91,9,FALSE()),""))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IF(DATOS!$A1007="",0,IF(CONFIG_METADATA!$B$4&lt;&gt;"OR+EX",--(DATOS!$G1007=CONFIG_METADATA!$B$4),IF(DATOS!$G1007="EX",1,IF(DATOS!$G1007="OR",--(COUNTIFS(nNIA,DATOS!$A1007,nCURSO,DATOS!$D1007,nESPEC,DATOS!$E1007,nASIG,DATOS!$I1007,nEVAL,"EX")=0),0))))</f>
      </c>
      <c r="H1007">
        <f>IF(DATOS!$G1007&lt;&gt;"EX",0,--(COUNTIFS(nNIA,DATOS!$A1007,nCURSO,DATOS!$D1007,nESPEC,DATOS!$E1007,nASIG,DATOS!$I1007,nEVAL,"OR")=0))</f>
      </c>
      <c r="I1007">
        <f>IF(DATOS!$I1007="","",IFERROR(VLOOKUP(DATOS!$I1007,CONFIG_ASIGNATURAS!$B$2:$J$91,9,FALSE()),""))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IF(DATOS!$A1008="",0,IF(CONFIG_METADATA!$B$4&lt;&gt;"OR+EX",--(DATOS!$G1008=CONFIG_METADATA!$B$4),IF(DATOS!$G1008="EX",1,IF(DATOS!$G1008="OR",--(COUNTIFS(nNIA,DATOS!$A1008,nCURSO,DATOS!$D1008,nESPEC,DATOS!$E1008,nASIG,DATOS!$I1008,nEVAL,"EX")=0),0))))</f>
      </c>
      <c r="H1008">
        <f>IF(DATOS!$G1008&lt;&gt;"EX",0,--(COUNTIFS(nNIA,DATOS!$A1008,nCURSO,DATOS!$D1008,nESPEC,DATOS!$E1008,nASIG,DATOS!$I1008,nEVAL,"OR")=0))</f>
      </c>
      <c r="I1008">
        <f>IF(DATOS!$I1008="","",IFERROR(VLOOKUP(DATOS!$I1008,CONFIG_ASIGNATURAS!$B$2:$J$91,9,FALSE()),""))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IF(DATOS!$A1009="",0,IF(CONFIG_METADATA!$B$4&lt;&gt;"OR+EX",--(DATOS!$G1009=CONFIG_METADATA!$B$4),IF(DATOS!$G1009="EX",1,IF(DATOS!$G1009="OR",--(COUNTIFS(nNIA,DATOS!$A1009,nCURSO,DATOS!$D1009,nESPEC,DATOS!$E1009,nASIG,DATOS!$I1009,nEVAL,"EX")=0),0))))</f>
      </c>
      <c r="H1009">
        <f>IF(DATOS!$G1009&lt;&gt;"EX",0,--(COUNTIFS(nNIA,DATOS!$A1009,nCURSO,DATOS!$D1009,nESPEC,DATOS!$E1009,nASIG,DATOS!$I1009,nEVAL,"OR")=0))</f>
      </c>
      <c r="I1009">
        <f>IF(DATOS!$I1009="","",IFERROR(VLOOKUP(DATOS!$I1009,CONFIG_ASIGNATURAS!$B$2:$J$91,9,FALSE()),""))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IF(DATOS!$A1010="",0,IF(CONFIG_METADATA!$B$4&lt;&gt;"OR+EX",--(DATOS!$G1010=CONFIG_METADATA!$B$4),IF(DATOS!$G1010="EX",1,IF(DATOS!$G1010="OR",--(COUNTIFS(nNIA,DATOS!$A1010,nCURSO,DATOS!$D1010,nESPEC,DATOS!$E1010,nASIG,DATOS!$I1010,nEVAL,"EX")=0),0))))</f>
      </c>
      <c r="H1010">
        <f>IF(DATOS!$G1010&lt;&gt;"EX",0,--(COUNTIFS(nNIA,DATOS!$A1010,nCURSO,DATOS!$D1010,nESPEC,DATOS!$E1010,nASIG,DATOS!$I1010,nEVAL,"OR")=0))</f>
      </c>
      <c r="I1010">
        <f>IF(DATOS!$I1010="","",IFERROR(VLOOKUP(DATOS!$I1010,CONFIG_ASIGNATURAS!$B$2:$J$91,9,FALSE()),""))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IF(DATOS!$A1011="",0,IF(CONFIG_METADATA!$B$4&lt;&gt;"OR+EX",--(DATOS!$G1011=CONFIG_METADATA!$B$4),IF(DATOS!$G1011="EX",1,IF(DATOS!$G1011="OR",--(COUNTIFS(nNIA,DATOS!$A1011,nCURSO,DATOS!$D1011,nESPEC,DATOS!$E1011,nASIG,DATOS!$I1011,nEVAL,"EX")=0),0))))</f>
      </c>
      <c r="H1011">
        <f>IF(DATOS!$G1011&lt;&gt;"EX",0,--(COUNTIFS(nNIA,DATOS!$A1011,nCURSO,DATOS!$D1011,nESPEC,DATOS!$E1011,nASIG,DATOS!$I1011,nEVAL,"OR")=0))</f>
      </c>
      <c r="I1011">
        <f>IF(DATOS!$I1011="","",IFERROR(VLOOKUP(DATOS!$I1011,CONFIG_ASIGNATURAS!$B$2:$J$91,9,FALSE()),""))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IF(DATOS!$A1012="",0,IF(CONFIG_METADATA!$B$4&lt;&gt;"OR+EX",--(DATOS!$G1012=CONFIG_METADATA!$B$4),IF(DATOS!$G1012="EX",1,IF(DATOS!$G1012="OR",--(COUNTIFS(nNIA,DATOS!$A1012,nCURSO,DATOS!$D1012,nESPEC,DATOS!$E1012,nASIG,DATOS!$I1012,nEVAL,"EX")=0),0))))</f>
      </c>
      <c r="H1012">
        <f>IF(DATOS!$G1012&lt;&gt;"EX",0,--(COUNTIFS(nNIA,DATOS!$A1012,nCURSO,DATOS!$D1012,nESPEC,DATOS!$E1012,nASIG,DATOS!$I1012,nEVAL,"OR")=0))</f>
      </c>
      <c r="I1012">
        <f>IF(DATOS!$I1012="","",IFERROR(VLOOKUP(DATOS!$I1012,CONFIG_ASIGNATURAS!$B$2:$J$91,9,FALSE()),""))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IF(DATOS!$A1013="",0,IF(CONFIG_METADATA!$B$4&lt;&gt;"OR+EX",--(DATOS!$G1013=CONFIG_METADATA!$B$4),IF(DATOS!$G1013="EX",1,IF(DATOS!$G1013="OR",--(COUNTIFS(nNIA,DATOS!$A1013,nCURSO,DATOS!$D1013,nESPEC,DATOS!$E1013,nASIG,DATOS!$I1013,nEVAL,"EX")=0),0))))</f>
      </c>
      <c r="H1013">
        <f>IF(DATOS!$G1013&lt;&gt;"EX",0,--(COUNTIFS(nNIA,DATOS!$A1013,nCURSO,DATOS!$D1013,nESPEC,DATOS!$E1013,nASIG,DATOS!$I1013,nEVAL,"OR")=0))</f>
      </c>
      <c r="I1013">
        <f>IF(DATOS!$I1013="","",IFERROR(VLOOKUP(DATOS!$I1013,CONFIG_ASIGNATURAS!$B$2:$J$91,9,FALSE()),""))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IF(DATOS!$A1014="",0,IF(CONFIG_METADATA!$B$4&lt;&gt;"OR+EX",--(DATOS!$G1014=CONFIG_METADATA!$B$4),IF(DATOS!$G1014="EX",1,IF(DATOS!$G1014="OR",--(COUNTIFS(nNIA,DATOS!$A1014,nCURSO,DATOS!$D1014,nESPEC,DATOS!$E1014,nASIG,DATOS!$I1014,nEVAL,"EX")=0),0))))</f>
      </c>
      <c r="H1014">
        <f>IF(DATOS!$G1014&lt;&gt;"EX",0,--(COUNTIFS(nNIA,DATOS!$A1014,nCURSO,DATOS!$D1014,nESPEC,DATOS!$E1014,nASIG,DATOS!$I1014,nEVAL,"OR")=0))</f>
      </c>
      <c r="I1014">
        <f>IF(DATOS!$I1014="","",IFERROR(VLOOKUP(DATOS!$I1014,CONFIG_ASIGNATURAS!$B$2:$J$91,9,FALSE()),""))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IF(DATOS!$A1015="",0,IF(CONFIG_METADATA!$B$4&lt;&gt;"OR+EX",--(DATOS!$G1015=CONFIG_METADATA!$B$4),IF(DATOS!$G1015="EX",1,IF(DATOS!$G1015="OR",--(COUNTIFS(nNIA,DATOS!$A1015,nCURSO,DATOS!$D1015,nESPEC,DATOS!$E1015,nASIG,DATOS!$I1015,nEVAL,"EX")=0),0))))</f>
      </c>
      <c r="H1015">
        <f>IF(DATOS!$G1015&lt;&gt;"EX",0,--(COUNTIFS(nNIA,DATOS!$A1015,nCURSO,DATOS!$D1015,nESPEC,DATOS!$E1015,nASIG,DATOS!$I1015,nEVAL,"OR")=0))</f>
      </c>
      <c r="I1015">
        <f>IF(DATOS!$I1015="","",IFERROR(VLOOKUP(DATOS!$I1015,CONFIG_ASIGNATURAS!$B$2:$J$91,9,FALSE()),""))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IF(DATOS!$A1016="",0,IF(CONFIG_METADATA!$B$4&lt;&gt;"OR+EX",--(DATOS!$G1016=CONFIG_METADATA!$B$4),IF(DATOS!$G1016="EX",1,IF(DATOS!$G1016="OR",--(COUNTIFS(nNIA,DATOS!$A1016,nCURSO,DATOS!$D1016,nESPEC,DATOS!$E1016,nASIG,DATOS!$I1016,nEVAL,"EX")=0),0))))</f>
      </c>
      <c r="H1016">
        <f>IF(DATOS!$G1016&lt;&gt;"EX",0,--(COUNTIFS(nNIA,DATOS!$A1016,nCURSO,DATOS!$D1016,nESPEC,DATOS!$E1016,nASIG,DATOS!$I1016,nEVAL,"OR")=0))</f>
      </c>
      <c r="I1016">
        <f>IF(DATOS!$I1016="","",IFERROR(VLOOKUP(DATOS!$I1016,CONFIG_ASIGNATURAS!$B$2:$J$91,9,FALSE()),""))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IF(DATOS!$A1017="",0,IF(CONFIG_METADATA!$B$4&lt;&gt;"OR+EX",--(DATOS!$G1017=CONFIG_METADATA!$B$4),IF(DATOS!$G1017="EX",1,IF(DATOS!$G1017="OR",--(COUNTIFS(nNIA,DATOS!$A1017,nCURSO,DATOS!$D1017,nESPEC,DATOS!$E1017,nASIG,DATOS!$I1017,nEVAL,"EX")=0),0))))</f>
      </c>
      <c r="H1017">
        <f>IF(DATOS!$G1017&lt;&gt;"EX",0,--(COUNTIFS(nNIA,DATOS!$A1017,nCURSO,DATOS!$D1017,nESPEC,DATOS!$E1017,nASIG,DATOS!$I1017,nEVAL,"OR")=0))</f>
      </c>
      <c r="I1017">
        <f>IF(DATOS!$I1017="","",IFERROR(VLOOKUP(DATOS!$I1017,CONFIG_ASIGNATURAS!$B$2:$J$91,9,FALSE()),""))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IF(DATOS!$A1018="",0,IF(CONFIG_METADATA!$B$4&lt;&gt;"OR+EX",--(DATOS!$G1018=CONFIG_METADATA!$B$4),IF(DATOS!$G1018="EX",1,IF(DATOS!$G1018="OR",--(COUNTIFS(nNIA,DATOS!$A1018,nCURSO,DATOS!$D1018,nESPEC,DATOS!$E1018,nASIG,DATOS!$I1018,nEVAL,"EX")=0),0))))</f>
      </c>
      <c r="H1018">
        <f>IF(DATOS!$G1018&lt;&gt;"EX",0,--(COUNTIFS(nNIA,DATOS!$A1018,nCURSO,DATOS!$D1018,nESPEC,DATOS!$E1018,nASIG,DATOS!$I1018,nEVAL,"OR")=0))</f>
      </c>
      <c r="I1018">
        <f>IF(DATOS!$I1018="","",IFERROR(VLOOKUP(DATOS!$I1018,CONFIG_ASIGNATURAS!$B$2:$J$91,9,FALSE()),""))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IF(DATOS!$A1019="",0,IF(CONFIG_METADATA!$B$4&lt;&gt;"OR+EX",--(DATOS!$G1019=CONFIG_METADATA!$B$4),IF(DATOS!$G1019="EX",1,IF(DATOS!$G1019="OR",--(COUNTIFS(nNIA,DATOS!$A1019,nCURSO,DATOS!$D1019,nESPEC,DATOS!$E1019,nASIG,DATOS!$I1019,nEVAL,"EX")=0),0))))</f>
      </c>
      <c r="H1019">
        <f>IF(DATOS!$G1019&lt;&gt;"EX",0,--(COUNTIFS(nNIA,DATOS!$A1019,nCURSO,DATOS!$D1019,nESPEC,DATOS!$E1019,nASIG,DATOS!$I1019,nEVAL,"OR")=0))</f>
      </c>
      <c r="I1019">
        <f>IF(DATOS!$I1019="","",IFERROR(VLOOKUP(DATOS!$I1019,CONFIG_ASIGNATURAS!$B$2:$J$91,9,FALSE()),""))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IF(DATOS!$A1020="",0,IF(CONFIG_METADATA!$B$4&lt;&gt;"OR+EX",--(DATOS!$G1020=CONFIG_METADATA!$B$4),IF(DATOS!$G1020="EX",1,IF(DATOS!$G1020="OR",--(COUNTIFS(nNIA,DATOS!$A1020,nCURSO,DATOS!$D1020,nESPEC,DATOS!$E1020,nASIG,DATOS!$I1020,nEVAL,"EX")=0),0))))</f>
      </c>
      <c r="H1020">
        <f>IF(DATOS!$G1020&lt;&gt;"EX",0,--(COUNTIFS(nNIA,DATOS!$A1020,nCURSO,DATOS!$D1020,nESPEC,DATOS!$E1020,nASIG,DATOS!$I1020,nEVAL,"OR")=0))</f>
      </c>
      <c r="I1020">
        <f>IF(DATOS!$I1020="","",IFERROR(VLOOKUP(DATOS!$I1020,CONFIG_ASIGNATURAS!$B$2:$J$91,9,FALSE()),""))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IF(DATOS!$A1021="",0,IF(CONFIG_METADATA!$B$4&lt;&gt;"OR+EX",--(DATOS!$G1021=CONFIG_METADATA!$B$4),IF(DATOS!$G1021="EX",1,IF(DATOS!$G1021="OR",--(COUNTIFS(nNIA,DATOS!$A1021,nCURSO,DATOS!$D1021,nESPEC,DATOS!$E1021,nASIG,DATOS!$I1021,nEVAL,"EX")=0),0))))</f>
      </c>
      <c r="H1021">
        <f>IF(DATOS!$G1021&lt;&gt;"EX",0,--(COUNTIFS(nNIA,DATOS!$A1021,nCURSO,DATOS!$D1021,nESPEC,DATOS!$E1021,nASIG,DATOS!$I1021,nEVAL,"OR")=0))</f>
      </c>
      <c r="I1021">
        <f>IF(DATOS!$I1021="","",IFERROR(VLOOKUP(DATOS!$I1021,CONFIG_ASIGNATURAS!$B$2:$J$91,9,FALSE()),""))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IF(DATOS!$A1022="",0,IF(CONFIG_METADATA!$B$4&lt;&gt;"OR+EX",--(DATOS!$G1022=CONFIG_METADATA!$B$4),IF(DATOS!$G1022="EX",1,IF(DATOS!$G1022="OR",--(COUNTIFS(nNIA,DATOS!$A1022,nCURSO,DATOS!$D1022,nESPEC,DATOS!$E1022,nASIG,DATOS!$I1022,nEVAL,"EX")=0),0))))</f>
      </c>
      <c r="H1022">
        <f>IF(DATOS!$G1022&lt;&gt;"EX",0,--(COUNTIFS(nNIA,DATOS!$A1022,nCURSO,DATOS!$D1022,nESPEC,DATOS!$E1022,nASIG,DATOS!$I1022,nEVAL,"OR")=0))</f>
      </c>
      <c r="I1022">
        <f>IF(DATOS!$I1022="","",IFERROR(VLOOKUP(DATOS!$I1022,CONFIG_ASIGNATURAS!$B$2:$J$91,9,FALSE()),""))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IF(DATOS!$A1023="",0,IF(CONFIG_METADATA!$B$4&lt;&gt;"OR+EX",--(DATOS!$G1023=CONFIG_METADATA!$B$4),IF(DATOS!$G1023="EX",1,IF(DATOS!$G1023="OR",--(COUNTIFS(nNIA,DATOS!$A1023,nCURSO,DATOS!$D1023,nESPEC,DATOS!$E1023,nASIG,DATOS!$I1023,nEVAL,"EX")=0),0))))</f>
      </c>
      <c r="H1023">
        <f>IF(DATOS!$G1023&lt;&gt;"EX",0,--(COUNTIFS(nNIA,DATOS!$A1023,nCURSO,DATOS!$D1023,nESPEC,DATOS!$E1023,nASIG,DATOS!$I1023,nEVAL,"OR")=0))</f>
      </c>
      <c r="I1023">
        <f>IF(DATOS!$I1023="","",IFERROR(VLOOKUP(DATOS!$I1023,CONFIG_ASIGNATURAS!$B$2:$J$91,9,FALSE()),""))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IF(DATOS!$A1024="",0,IF(CONFIG_METADATA!$B$4&lt;&gt;"OR+EX",--(DATOS!$G1024=CONFIG_METADATA!$B$4),IF(DATOS!$G1024="EX",1,IF(DATOS!$G1024="OR",--(COUNTIFS(nNIA,DATOS!$A1024,nCURSO,DATOS!$D1024,nESPEC,DATOS!$E1024,nASIG,DATOS!$I1024,nEVAL,"EX")=0),0))))</f>
      </c>
      <c r="H1024">
        <f>IF(DATOS!$G1024&lt;&gt;"EX",0,--(COUNTIFS(nNIA,DATOS!$A1024,nCURSO,DATOS!$D1024,nESPEC,DATOS!$E1024,nASIG,DATOS!$I1024,nEVAL,"OR")=0))</f>
      </c>
      <c r="I1024">
        <f>IF(DATOS!$I1024="","",IFERROR(VLOOKUP(DATOS!$I1024,CONFIG_ASIGNATURAS!$B$2:$J$91,9,FALSE()),""))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IF(DATOS!$A1025="",0,IF(CONFIG_METADATA!$B$4&lt;&gt;"OR+EX",--(DATOS!$G1025=CONFIG_METADATA!$B$4),IF(DATOS!$G1025="EX",1,IF(DATOS!$G1025="OR",--(COUNTIFS(nNIA,DATOS!$A1025,nCURSO,DATOS!$D1025,nESPEC,DATOS!$E1025,nASIG,DATOS!$I1025,nEVAL,"EX")=0),0))))</f>
      </c>
      <c r="H1025">
        <f>IF(DATOS!$G1025&lt;&gt;"EX",0,--(COUNTIFS(nNIA,DATOS!$A1025,nCURSO,DATOS!$D1025,nESPEC,DATOS!$E1025,nASIG,DATOS!$I1025,nEVAL,"OR")=0))</f>
      </c>
      <c r="I1025">
        <f>IF(DATOS!$I1025="","",IFERROR(VLOOKUP(DATOS!$I1025,CONFIG_ASIGNATURAS!$B$2:$J$91,9,FALSE()),""))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IF(DATOS!$A1026="",0,IF(CONFIG_METADATA!$B$4&lt;&gt;"OR+EX",--(DATOS!$G1026=CONFIG_METADATA!$B$4),IF(DATOS!$G1026="EX",1,IF(DATOS!$G1026="OR",--(COUNTIFS(nNIA,DATOS!$A1026,nCURSO,DATOS!$D1026,nESPEC,DATOS!$E1026,nASIG,DATOS!$I1026,nEVAL,"EX")=0),0))))</f>
      </c>
      <c r="H1026">
        <f>IF(DATOS!$G1026&lt;&gt;"EX",0,--(COUNTIFS(nNIA,DATOS!$A1026,nCURSO,DATOS!$D1026,nESPEC,DATOS!$E1026,nASIG,DATOS!$I1026,nEVAL,"OR")=0))</f>
      </c>
      <c r="I1026">
        <f>IF(DATOS!$I1026="","",IFERROR(VLOOKUP(DATOS!$I1026,CONFIG_ASIGNATURAS!$B$2:$J$91,9,FALSE()),""))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IF(DATOS!$A1027="",0,IF(CONFIG_METADATA!$B$4&lt;&gt;"OR+EX",--(DATOS!$G1027=CONFIG_METADATA!$B$4),IF(DATOS!$G1027="EX",1,IF(DATOS!$G1027="OR",--(COUNTIFS(nNIA,DATOS!$A1027,nCURSO,DATOS!$D1027,nESPEC,DATOS!$E1027,nASIG,DATOS!$I1027,nEVAL,"EX")=0),0))))</f>
      </c>
      <c r="H1027">
        <f>IF(DATOS!$G1027&lt;&gt;"EX",0,--(COUNTIFS(nNIA,DATOS!$A1027,nCURSO,DATOS!$D1027,nESPEC,DATOS!$E1027,nASIG,DATOS!$I1027,nEVAL,"OR")=0))</f>
      </c>
      <c r="I1027">
        <f>IF(DATOS!$I1027="","",IFERROR(VLOOKUP(DATOS!$I1027,CONFIG_ASIGNATURAS!$B$2:$J$91,9,FALSE()),""))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IF(DATOS!$A1028="",0,IF(CONFIG_METADATA!$B$4&lt;&gt;"OR+EX",--(DATOS!$G1028=CONFIG_METADATA!$B$4),IF(DATOS!$G1028="EX",1,IF(DATOS!$G1028="OR",--(COUNTIFS(nNIA,DATOS!$A1028,nCURSO,DATOS!$D1028,nESPEC,DATOS!$E1028,nASIG,DATOS!$I1028,nEVAL,"EX")=0),0))))</f>
      </c>
      <c r="H1028">
        <f>IF(DATOS!$G1028&lt;&gt;"EX",0,--(COUNTIFS(nNIA,DATOS!$A1028,nCURSO,DATOS!$D1028,nESPEC,DATOS!$E1028,nASIG,DATOS!$I1028,nEVAL,"OR")=0))</f>
      </c>
      <c r="I1028">
        <f>IF(DATOS!$I1028="","",IFERROR(VLOOKUP(DATOS!$I1028,CONFIG_ASIGNATURAS!$B$2:$J$91,9,FALSE()),""))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IF(DATOS!$A1029="",0,IF(CONFIG_METADATA!$B$4&lt;&gt;"OR+EX",--(DATOS!$G1029=CONFIG_METADATA!$B$4),IF(DATOS!$G1029="EX",1,IF(DATOS!$G1029="OR",--(COUNTIFS(nNIA,DATOS!$A1029,nCURSO,DATOS!$D1029,nESPEC,DATOS!$E1029,nASIG,DATOS!$I1029,nEVAL,"EX")=0),0))))</f>
      </c>
      <c r="H1029">
        <f>IF(DATOS!$G1029&lt;&gt;"EX",0,--(COUNTIFS(nNIA,DATOS!$A1029,nCURSO,DATOS!$D1029,nESPEC,DATOS!$E1029,nASIG,DATOS!$I1029,nEVAL,"OR")=0))</f>
      </c>
      <c r="I1029">
        <f>IF(DATOS!$I1029="","",IFERROR(VLOOKUP(DATOS!$I1029,CONFIG_ASIGNATURAS!$B$2:$J$91,9,FALSE()),""))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IF(DATOS!$A1030="",0,IF(CONFIG_METADATA!$B$4&lt;&gt;"OR+EX",--(DATOS!$G1030=CONFIG_METADATA!$B$4),IF(DATOS!$G1030="EX",1,IF(DATOS!$G1030="OR",--(COUNTIFS(nNIA,DATOS!$A1030,nCURSO,DATOS!$D1030,nESPEC,DATOS!$E1030,nASIG,DATOS!$I1030,nEVAL,"EX")=0),0))))</f>
      </c>
      <c r="H1030">
        <f>IF(DATOS!$G1030&lt;&gt;"EX",0,--(COUNTIFS(nNIA,DATOS!$A1030,nCURSO,DATOS!$D1030,nESPEC,DATOS!$E1030,nASIG,DATOS!$I1030,nEVAL,"OR")=0))</f>
      </c>
      <c r="I1030">
        <f>IF(DATOS!$I1030="","",IFERROR(VLOOKUP(DATOS!$I1030,CONFIG_ASIGNATURAS!$B$2:$J$91,9,FALSE()),""))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IF(DATOS!$A1031="",0,IF(CONFIG_METADATA!$B$4&lt;&gt;"OR+EX",--(DATOS!$G1031=CONFIG_METADATA!$B$4),IF(DATOS!$G1031="EX",1,IF(DATOS!$G1031="OR",--(COUNTIFS(nNIA,DATOS!$A1031,nCURSO,DATOS!$D1031,nESPEC,DATOS!$E1031,nASIG,DATOS!$I1031,nEVAL,"EX")=0),0))))</f>
      </c>
      <c r="H1031">
        <f>IF(DATOS!$G1031&lt;&gt;"EX",0,--(COUNTIFS(nNIA,DATOS!$A1031,nCURSO,DATOS!$D1031,nESPEC,DATOS!$E1031,nASIG,DATOS!$I1031,nEVAL,"OR")=0))</f>
      </c>
      <c r="I1031">
        <f>IF(DATOS!$I1031="","",IFERROR(VLOOKUP(DATOS!$I1031,CONFIG_ASIGNATURAS!$B$2:$J$91,9,FALSE()),""))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IF(DATOS!$A1032="",0,IF(CONFIG_METADATA!$B$4&lt;&gt;"OR+EX",--(DATOS!$G1032=CONFIG_METADATA!$B$4),IF(DATOS!$G1032="EX",1,IF(DATOS!$G1032="OR",--(COUNTIFS(nNIA,DATOS!$A1032,nCURSO,DATOS!$D1032,nESPEC,DATOS!$E1032,nASIG,DATOS!$I1032,nEVAL,"EX")=0),0))))</f>
      </c>
      <c r="H1032">
        <f>IF(DATOS!$G1032&lt;&gt;"EX",0,--(COUNTIFS(nNIA,DATOS!$A1032,nCURSO,DATOS!$D1032,nESPEC,DATOS!$E1032,nASIG,DATOS!$I1032,nEVAL,"OR")=0))</f>
      </c>
      <c r="I1032">
        <f>IF(DATOS!$I1032="","",IFERROR(VLOOKUP(DATOS!$I1032,CONFIG_ASIGNATURAS!$B$2:$J$91,9,FALSE()),""))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IF(DATOS!$A1033="",0,IF(CONFIG_METADATA!$B$4&lt;&gt;"OR+EX",--(DATOS!$G1033=CONFIG_METADATA!$B$4),IF(DATOS!$G1033="EX",1,IF(DATOS!$G1033="OR",--(COUNTIFS(nNIA,DATOS!$A1033,nCURSO,DATOS!$D1033,nESPEC,DATOS!$E1033,nASIG,DATOS!$I1033,nEVAL,"EX")=0),0))))</f>
      </c>
      <c r="H1033">
        <f>IF(DATOS!$G1033&lt;&gt;"EX",0,--(COUNTIFS(nNIA,DATOS!$A1033,nCURSO,DATOS!$D1033,nESPEC,DATOS!$E1033,nASIG,DATOS!$I1033,nEVAL,"OR")=0))</f>
      </c>
      <c r="I1033">
        <f>IF(DATOS!$I1033="","",IFERROR(VLOOKUP(DATOS!$I1033,CONFIG_ASIGNATURAS!$B$2:$J$91,9,FALSE()),""))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IF(DATOS!$A1034="",0,IF(CONFIG_METADATA!$B$4&lt;&gt;"OR+EX",--(DATOS!$G1034=CONFIG_METADATA!$B$4),IF(DATOS!$G1034="EX",1,IF(DATOS!$G1034="OR",--(COUNTIFS(nNIA,DATOS!$A1034,nCURSO,DATOS!$D1034,nESPEC,DATOS!$E1034,nASIG,DATOS!$I1034,nEVAL,"EX")=0),0))))</f>
      </c>
      <c r="H1034">
        <f>IF(DATOS!$G1034&lt;&gt;"EX",0,--(COUNTIFS(nNIA,DATOS!$A1034,nCURSO,DATOS!$D1034,nESPEC,DATOS!$E1034,nASIG,DATOS!$I1034,nEVAL,"OR")=0))</f>
      </c>
      <c r="I1034">
        <f>IF(DATOS!$I1034="","",IFERROR(VLOOKUP(DATOS!$I1034,CONFIG_ASIGNATURAS!$B$2:$J$91,9,FALSE()),""))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IF(DATOS!$A1035="",0,IF(CONFIG_METADATA!$B$4&lt;&gt;"OR+EX",--(DATOS!$G1035=CONFIG_METADATA!$B$4),IF(DATOS!$G1035="EX",1,IF(DATOS!$G1035="OR",--(COUNTIFS(nNIA,DATOS!$A1035,nCURSO,DATOS!$D1035,nESPEC,DATOS!$E1035,nASIG,DATOS!$I1035,nEVAL,"EX")=0),0))))</f>
      </c>
      <c r="H1035">
        <f>IF(DATOS!$G1035&lt;&gt;"EX",0,--(COUNTIFS(nNIA,DATOS!$A1035,nCURSO,DATOS!$D1035,nESPEC,DATOS!$E1035,nASIG,DATOS!$I1035,nEVAL,"OR")=0))</f>
      </c>
      <c r="I1035">
        <f>IF(DATOS!$I1035="","",IFERROR(VLOOKUP(DATOS!$I1035,CONFIG_ASIGNATURAS!$B$2:$J$91,9,FALSE()),""))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IF(DATOS!$A1036="",0,IF(CONFIG_METADATA!$B$4&lt;&gt;"OR+EX",--(DATOS!$G1036=CONFIG_METADATA!$B$4),IF(DATOS!$G1036="EX",1,IF(DATOS!$G1036="OR",--(COUNTIFS(nNIA,DATOS!$A1036,nCURSO,DATOS!$D1036,nESPEC,DATOS!$E1036,nASIG,DATOS!$I1036,nEVAL,"EX")=0),0))))</f>
      </c>
      <c r="H1036">
        <f>IF(DATOS!$G1036&lt;&gt;"EX",0,--(COUNTIFS(nNIA,DATOS!$A1036,nCURSO,DATOS!$D1036,nESPEC,DATOS!$E1036,nASIG,DATOS!$I1036,nEVAL,"OR")=0))</f>
      </c>
      <c r="I1036">
        <f>IF(DATOS!$I1036="","",IFERROR(VLOOKUP(DATOS!$I1036,CONFIG_ASIGNATURAS!$B$2:$J$91,9,FALSE()),""))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IF(DATOS!$A1037="",0,IF(CONFIG_METADATA!$B$4&lt;&gt;"OR+EX",--(DATOS!$G1037=CONFIG_METADATA!$B$4),IF(DATOS!$G1037="EX",1,IF(DATOS!$G1037="OR",--(COUNTIFS(nNIA,DATOS!$A1037,nCURSO,DATOS!$D1037,nESPEC,DATOS!$E1037,nASIG,DATOS!$I1037,nEVAL,"EX")=0),0))))</f>
      </c>
      <c r="H1037">
        <f>IF(DATOS!$G1037&lt;&gt;"EX",0,--(COUNTIFS(nNIA,DATOS!$A1037,nCURSO,DATOS!$D1037,nESPEC,DATOS!$E1037,nASIG,DATOS!$I1037,nEVAL,"OR")=0))</f>
      </c>
      <c r="I1037">
        <f>IF(DATOS!$I1037="","",IFERROR(VLOOKUP(DATOS!$I1037,CONFIG_ASIGNATURAS!$B$2:$J$91,9,FALSE()),""))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IF(DATOS!$A1038="",0,IF(CONFIG_METADATA!$B$4&lt;&gt;"OR+EX",--(DATOS!$G1038=CONFIG_METADATA!$B$4),IF(DATOS!$G1038="EX",1,IF(DATOS!$G1038="OR",--(COUNTIFS(nNIA,DATOS!$A1038,nCURSO,DATOS!$D1038,nESPEC,DATOS!$E1038,nASIG,DATOS!$I1038,nEVAL,"EX")=0),0))))</f>
      </c>
      <c r="H1038">
        <f>IF(DATOS!$G1038&lt;&gt;"EX",0,--(COUNTIFS(nNIA,DATOS!$A1038,nCURSO,DATOS!$D1038,nESPEC,DATOS!$E1038,nASIG,DATOS!$I1038,nEVAL,"OR")=0))</f>
      </c>
      <c r="I1038">
        <f>IF(DATOS!$I1038="","",IFERROR(VLOOKUP(DATOS!$I1038,CONFIG_ASIGNATURAS!$B$2:$J$91,9,FALSE()),""))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IF(DATOS!$A1039="",0,IF(CONFIG_METADATA!$B$4&lt;&gt;"OR+EX",--(DATOS!$G1039=CONFIG_METADATA!$B$4),IF(DATOS!$G1039="EX",1,IF(DATOS!$G1039="OR",--(COUNTIFS(nNIA,DATOS!$A1039,nCURSO,DATOS!$D1039,nESPEC,DATOS!$E1039,nASIG,DATOS!$I1039,nEVAL,"EX")=0),0))))</f>
      </c>
      <c r="H1039">
        <f>IF(DATOS!$G1039&lt;&gt;"EX",0,--(COUNTIFS(nNIA,DATOS!$A1039,nCURSO,DATOS!$D1039,nESPEC,DATOS!$E1039,nASIG,DATOS!$I1039,nEVAL,"OR")=0))</f>
      </c>
      <c r="I1039">
        <f>IF(DATOS!$I1039="","",IFERROR(VLOOKUP(DATOS!$I1039,CONFIG_ASIGNATURAS!$B$2:$J$91,9,FALSE()),""))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IF(DATOS!$A1040="",0,IF(CONFIG_METADATA!$B$4&lt;&gt;"OR+EX",--(DATOS!$G1040=CONFIG_METADATA!$B$4),IF(DATOS!$G1040="EX",1,IF(DATOS!$G1040="OR",--(COUNTIFS(nNIA,DATOS!$A1040,nCURSO,DATOS!$D1040,nESPEC,DATOS!$E1040,nASIG,DATOS!$I1040,nEVAL,"EX")=0),0))))</f>
      </c>
      <c r="H1040">
        <f>IF(DATOS!$G1040&lt;&gt;"EX",0,--(COUNTIFS(nNIA,DATOS!$A1040,nCURSO,DATOS!$D1040,nESPEC,DATOS!$E1040,nASIG,DATOS!$I1040,nEVAL,"OR")=0))</f>
      </c>
      <c r="I1040">
        <f>IF(DATOS!$I1040="","",IFERROR(VLOOKUP(DATOS!$I1040,CONFIG_ASIGNATURAS!$B$2:$J$91,9,FALSE()),""))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IF(DATOS!$A1041="",0,IF(CONFIG_METADATA!$B$4&lt;&gt;"OR+EX",--(DATOS!$G1041=CONFIG_METADATA!$B$4),IF(DATOS!$G1041="EX",1,IF(DATOS!$G1041="OR",--(COUNTIFS(nNIA,DATOS!$A1041,nCURSO,DATOS!$D1041,nESPEC,DATOS!$E1041,nASIG,DATOS!$I1041,nEVAL,"EX")=0),0))))</f>
      </c>
      <c r="H1041">
        <f>IF(DATOS!$G1041&lt;&gt;"EX",0,--(COUNTIFS(nNIA,DATOS!$A1041,nCURSO,DATOS!$D1041,nESPEC,DATOS!$E1041,nASIG,DATOS!$I1041,nEVAL,"OR")=0))</f>
      </c>
      <c r="I1041">
        <f>IF(DATOS!$I1041="","",IFERROR(VLOOKUP(DATOS!$I1041,CONFIG_ASIGNATURAS!$B$2:$J$91,9,FALSE()),""))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IF(DATOS!$A1042="",0,IF(CONFIG_METADATA!$B$4&lt;&gt;"OR+EX",--(DATOS!$G1042=CONFIG_METADATA!$B$4),IF(DATOS!$G1042="EX",1,IF(DATOS!$G1042="OR",--(COUNTIFS(nNIA,DATOS!$A1042,nCURSO,DATOS!$D1042,nESPEC,DATOS!$E1042,nASIG,DATOS!$I1042,nEVAL,"EX")=0),0))))</f>
      </c>
      <c r="H1042">
        <f>IF(DATOS!$G1042&lt;&gt;"EX",0,--(COUNTIFS(nNIA,DATOS!$A1042,nCURSO,DATOS!$D1042,nESPEC,DATOS!$E1042,nASIG,DATOS!$I1042,nEVAL,"OR")=0))</f>
      </c>
      <c r="I1042">
        <f>IF(DATOS!$I1042="","",IFERROR(VLOOKUP(DATOS!$I1042,CONFIG_ASIGNATURAS!$B$2:$J$91,9,FALSE()),""))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IF(DATOS!$A1043="",0,IF(CONFIG_METADATA!$B$4&lt;&gt;"OR+EX",--(DATOS!$G1043=CONFIG_METADATA!$B$4),IF(DATOS!$G1043="EX",1,IF(DATOS!$G1043="OR",--(COUNTIFS(nNIA,DATOS!$A1043,nCURSO,DATOS!$D1043,nESPEC,DATOS!$E1043,nASIG,DATOS!$I1043,nEVAL,"EX")=0),0))))</f>
      </c>
      <c r="H1043">
        <f>IF(DATOS!$G1043&lt;&gt;"EX",0,--(COUNTIFS(nNIA,DATOS!$A1043,nCURSO,DATOS!$D1043,nESPEC,DATOS!$E1043,nASIG,DATOS!$I1043,nEVAL,"OR")=0))</f>
      </c>
      <c r="I1043">
        <f>IF(DATOS!$I1043="","",IFERROR(VLOOKUP(DATOS!$I1043,CONFIG_ASIGNATURAS!$B$2:$J$91,9,FALSE()),""))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IF(DATOS!$A1044="",0,IF(CONFIG_METADATA!$B$4&lt;&gt;"OR+EX",--(DATOS!$G1044=CONFIG_METADATA!$B$4),IF(DATOS!$G1044="EX",1,IF(DATOS!$G1044="OR",--(COUNTIFS(nNIA,DATOS!$A1044,nCURSO,DATOS!$D1044,nESPEC,DATOS!$E1044,nASIG,DATOS!$I1044,nEVAL,"EX")=0),0))))</f>
      </c>
      <c r="H1044">
        <f>IF(DATOS!$G1044&lt;&gt;"EX",0,--(COUNTIFS(nNIA,DATOS!$A1044,nCURSO,DATOS!$D1044,nESPEC,DATOS!$E1044,nASIG,DATOS!$I1044,nEVAL,"OR")=0))</f>
      </c>
      <c r="I1044">
        <f>IF(DATOS!$I1044="","",IFERROR(VLOOKUP(DATOS!$I1044,CONFIG_ASIGNATURAS!$B$2:$J$91,9,FALSE()),""))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IF(DATOS!$A1045="",0,IF(CONFIG_METADATA!$B$4&lt;&gt;"OR+EX",--(DATOS!$G1045=CONFIG_METADATA!$B$4),IF(DATOS!$G1045="EX",1,IF(DATOS!$G1045="OR",--(COUNTIFS(nNIA,DATOS!$A1045,nCURSO,DATOS!$D1045,nESPEC,DATOS!$E1045,nASIG,DATOS!$I1045,nEVAL,"EX")=0),0))))</f>
      </c>
      <c r="H1045">
        <f>IF(DATOS!$G1045&lt;&gt;"EX",0,--(COUNTIFS(nNIA,DATOS!$A1045,nCURSO,DATOS!$D1045,nESPEC,DATOS!$E1045,nASIG,DATOS!$I1045,nEVAL,"OR")=0))</f>
      </c>
      <c r="I1045">
        <f>IF(DATOS!$I1045="","",IFERROR(VLOOKUP(DATOS!$I1045,CONFIG_ASIGNATURAS!$B$2:$J$91,9,FALSE()),""))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IF(DATOS!$A1046="",0,IF(CONFIG_METADATA!$B$4&lt;&gt;"OR+EX",--(DATOS!$G1046=CONFIG_METADATA!$B$4),IF(DATOS!$G1046="EX",1,IF(DATOS!$G1046="OR",--(COUNTIFS(nNIA,DATOS!$A1046,nCURSO,DATOS!$D1046,nESPEC,DATOS!$E1046,nASIG,DATOS!$I1046,nEVAL,"EX")=0),0))))</f>
      </c>
      <c r="H1046">
        <f>IF(DATOS!$G1046&lt;&gt;"EX",0,--(COUNTIFS(nNIA,DATOS!$A1046,nCURSO,DATOS!$D1046,nESPEC,DATOS!$E1046,nASIG,DATOS!$I1046,nEVAL,"OR")=0))</f>
      </c>
      <c r="I1046">
        <f>IF(DATOS!$I1046="","",IFERROR(VLOOKUP(DATOS!$I1046,CONFIG_ASIGNATURAS!$B$2:$J$91,9,FALSE()),""))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IF(DATOS!$A1047="",0,IF(CONFIG_METADATA!$B$4&lt;&gt;"OR+EX",--(DATOS!$G1047=CONFIG_METADATA!$B$4),IF(DATOS!$G1047="EX",1,IF(DATOS!$G1047="OR",--(COUNTIFS(nNIA,DATOS!$A1047,nCURSO,DATOS!$D1047,nESPEC,DATOS!$E1047,nASIG,DATOS!$I1047,nEVAL,"EX")=0),0))))</f>
      </c>
      <c r="H1047">
        <f>IF(DATOS!$G1047&lt;&gt;"EX",0,--(COUNTIFS(nNIA,DATOS!$A1047,nCURSO,DATOS!$D1047,nESPEC,DATOS!$E1047,nASIG,DATOS!$I1047,nEVAL,"OR")=0))</f>
      </c>
      <c r="I1047">
        <f>IF(DATOS!$I1047="","",IFERROR(VLOOKUP(DATOS!$I1047,CONFIG_ASIGNATURAS!$B$2:$J$91,9,FALSE()),""))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IF(DATOS!$A1048="",0,IF(CONFIG_METADATA!$B$4&lt;&gt;"OR+EX",--(DATOS!$G1048=CONFIG_METADATA!$B$4),IF(DATOS!$G1048="EX",1,IF(DATOS!$G1048="OR",--(COUNTIFS(nNIA,DATOS!$A1048,nCURSO,DATOS!$D1048,nESPEC,DATOS!$E1048,nASIG,DATOS!$I1048,nEVAL,"EX")=0),0))))</f>
      </c>
      <c r="H1048">
        <f>IF(DATOS!$G1048&lt;&gt;"EX",0,--(COUNTIFS(nNIA,DATOS!$A1048,nCURSO,DATOS!$D1048,nESPEC,DATOS!$E1048,nASIG,DATOS!$I1048,nEVAL,"OR")=0))</f>
      </c>
      <c r="I1048">
        <f>IF(DATOS!$I1048="","",IFERROR(VLOOKUP(DATOS!$I1048,CONFIG_ASIGNATURAS!$B$2:$J$91,9,FALSE()),""))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IF(DATOS!$A1049="",0,IF(CONFIG_METADATA!$B$4&lt;&gt;"OR+EX",--(DATOS!$G1049=CONFIG_METADATA!$B$4),IF(DATOS!$G1049="EX",1,IF(DATOS!$G1049="OR",--(COUNTIFS(nNIA,DATOS!$A1049,nCURSO,DATOS!$D1049,nESPEC,DATOS!$E1049,nASIG,DATOS!$I1049,nEVAL,"EX")=0),0))))</f>
      </c>
      <c r="H1049">
        <f>IF(DATOS!$G1049&lt;&gt;"EX",0,--(COUNTIFS(nNIA,DATOS!$A1049,nCURSO,DATOS!$D1049,nESPEC,DATOS!$E1049,nASIG,DATOS!$I1049,nEVAL,"OR")=0))</f>
      </c>
      <c r="I1049">
        <f>IF(DATOS!$I1049="","",IFERROR(VLOOKUP(DATOS!$I1049,CONFIG_ASIGNATURAS!$B$2:$J$91,9,FALSE()),""))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IF(DATOS!$A1050="",0,IF(CONFIG_METADATA!$B$4&lt;&gt;"OR+EX",--(DATOS!$G1050=CONFIG_METADATA!$B$4),IF(DATOS!$G1050="EX",1,IF(DATOS!$G1050="OR",--(COUNTIFS(nNIA,DATOS!$A1050,nCURSO,DATOS!$D1050,nESPEC,DATOS!$E1050,nASIG,DATOS!$I1050,nEVAL,"EX")=0),0))))</f>
      </c>
      <c r="H1050">
        <f>IF(DATOS!$G1050&lt;&gt;"EX",0,--(COUNTIFS(nNIA,DATOS!$A1050,nCURSO,DATOS!$D1050,nESPEC,DATOS!$E1050,nASIG,DATOS!$I1050,nEVAL,"OR")=0))</f>
      </c>
      <c r="I1050">
        <f>IF(DATOS!$I1050="","",IFERROR(VLOOKUP(DATOS!$I1050,CONFIG_ASIGNATURAS!$B$2:$J$91,9,FALSE()),""))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IF(DATOS!$A1051="",0,IF(CONFIG_METADATA!$B$4&lt;&gt;"OR+EX",--(DATOS!$G1051=CONFIG_METADATA!$B$4),IF(DATOS!$G1051="EX",1,IF(DATOS!$G1051="OR",--(COUNTIFS(nNIA,DATOS!$A1051,nCURSO,DATOS!$D1051,nESPEC,DATOS!$E1051,nASIG,DATOS!$I1051,nEVAL,"EX")=0),0))))</f>
      </c>
      <c r="H1051">
        <f>IF(DATOS!$G1051&lt;&gt;"EX",0,--(COUNTIFS(nNIA,DATOS!$A1051,nCURSO,DATOS!$D1051,nESPEC,DATOS!$E1051,nASIG,DATOS!$I1051,nEVAL,"OR")=0))</f>
      </c>
      <c r="I1051">
        <f>IF(DATOS!$I1051="","",IFERROR(VLOOKUP(DATOS!$I1051,CONFIG_ASIGNATURAS!$B$2:$J$91,9,FALSE()),""))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IF(DATOS!$A1052="",0,IF(CONFIG_METADATA!$B$4&lt;&gt;"OR+EX",--(DATOS!$G1052=CONFIG_METADATA!$B$4),IF(DATOS!$G1052="EX",1,IF(DATOS!$G1052="OR",--(COUNTIFS(nNIA,DATOS!$A1052,nCURSO,DATOS!$D1052,nESPEC,DATOS!$E1052,nASIG,DATOS!$I1052,nEVAL,"EX")=0),0))))</f>
      </c>
      <c r="H1052">
        <f>IF(DATOS!$G1052&lt;&gt;"EX",0,--(COUNTIFS(nNIA,DATOS!$A1052,nCURSO,DATOS!$D1052,nESPEC,DATOS!$E1052,nASIG,DATOS!$I1052,nEVAL,"OR")=0))</f>
      </c>
      <c r="I1052">
        <f>IF(DATOS!$I1052="","",IFERROR(VLOOKUP(DATOS!$I1052,CONFIG_ASIGNATURAS!$B$2:$J$91,9,FALSE()),""))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IF(DATOS!$A1053="",0,IF(CONFIG_METADATA!$B$4&lt;&gt;"OR+EX",--(DATOS!$G1053=CONFIG_METADATA!$B$4),IF(DATOS!$G1053="EX",1,IF(DATOS!$G1053="OR",--(COUNTIFS(nNIA,DATOS!$A1053,nCURSO,DATOS!$D1053,nESPEC,DATOS!$E1053,nASIG,DATOS!$I1053,nEVAL,"EX")=0),0))))</f>
      </c>
      <c r="H1053">
        <f>IF(DATOS!$G1053&lt;&gt;"EX",0,--(COUNTIFS(nNIA,DATOS!$A1053,nCURSO,DATOS!$D1053,nESPEC,DATOS!$E1053,nASIG,DATOS!$I1053,nEVAL,"OR")=0))</f>
      </c>
      <c r="I1053">
        <f>IF(DATOS!$I1053="","",IFERROR(VLOOKUP(DATOS!$I1053,CONFIG_ASIGNATURAS!$B$2:$J$91,9,FALSE()),""))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IF(DATOS!$A1054="",0,IF(CONFIG_METADATA!$B$4&lt;&gt;"OR+EX",--(DATOS!$G1054=CONFIG_METADATA!$B$4),IF(DATOS!$G1054="EX",1,IF(DATOS!$G1054="OR",--(COUNTIFS(nNIA,DATOS!$A1054,nCURSO,DATOS!$D1054,nESPEC,DATOS!$E1054,nASIG,DATOS!$I1054,nEVAL,"EX")=0),0))))</f>
      </c>
      <c r="H1054">
        <f>IF(DATOS!$G1054&lt;&gt;"EX",0,--(COUNTIFS(nNIA,DATOS!$A1054,nCURSO,DATOS!$D1054,nESPEC,DATOS!$E1054,nASIG,DATOS!$I1054,nEVAL,"OR")=0))</f>
      </c>
      <c r="I1054">
        <f>IF(DATOS!$I1054="","",IFERROR(VLOOKUP(DATOS!$I1054,CONFIG_ASIGNATURAS!$B$2:$J$91,9,FALSE()),""))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IF(DATOS!$A1055="",0,IF(CONFIG_METADATA!$B$4&lt;&gt;"OR+EX",--(DATOS!$G1055=CONFIG_METADATA!$B$4),IF(DATOS!$G1055="EX",1,IF(DATOS!$G1055="OR",--(COUNTIFS(nNIA,DATOS!$A1055,nCURSO,DATOS!$D1055,nESPEC,DATOS!$E1055,nASIG,DATOS!$I1055,nEVAL,"EX")=0),0))))</f>
      </c>
      <c r="H1055">
        <f>IF(DATOS!$G1055&lt;&gt;"EX",0,--(COUNTIFS(nNIA,DATOS!$A1055,nCURSO,DATOS!$D1055,nESPEC,DATOS!$E1055,nASIG,DATOS!$I1055,nEVAL,"OR")=0))</f>
      </c>
      <c r="I1055">
        <f>IF(DATOS!$I1055="","",IFERROR(VLOOKUP(DATOS!$I1055,CONFIG_ASIGNATURAS!$B$2:$J$91,9,FALSE()),""))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IF(DATOS!$A1056="",0,IF(CONFIG_METADATA!$B$4&lt;&gt;"OR+EX",--(DATOS!$G1056=CONFIG_METADATA!$B$4),IF(DATOS!$G1056="EX",1,IF(DATOS!$G1056="OR",--(COUNTIFS(nNIA,DATOS!$A1056,nCURSO,DATOS!$D1056,nESPEC,DATOS!$E1056,nASIG,DATOS!$I1056,nEVAL,"EX")=0),0))))</f>
      </c>
      <c r="H1056">
        <f>IF(DATOS!$G1056&lt;&gt;"EX",0,--(COUNTIFS(nNIA,DATOS!$A1056,nCURSO,DATOS!$D1056,nESPEC,DATOS!$E1056,nASIG,DATOS!$I1056,nEVAL,"OR")=0))</f>
      </c>
      <c r="I1056">
        <f>IF(DATOS!$I1056="","",IFERROR(VLOOKUP(DATOS!$I1056,CONFIG_ASIGNATURAS!$B$2:$J$91,9,FALSE()),""))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IF(DATOS!$A1057="",0,IF(CONFIG_METADATA!$B$4&lt;&gt;"OR+EX",--(DATOS!$G1057=CONFIG_METADATA!$B$4),IF(DATOS!$G1057="EX",1,IF(DATOS!$G1057="OR",--(COUNTIFS(nNIA,DATOS!$A1057,nCURSO,DATOS!$D1057,nESPEC,DATOS!$E1057,nASIG,DATOS!$I1057,nEVAL,"EX")=0),0))))</f>
      </c>
      <c r="H1057">
        <f>IF(DATOS!$G1057&lt;&gt;"EX",0,--(COUNTIFS(nNIA,DATOS!$A1057,nCURSO,DATOS!$D1057,nESPEC,DATOS!$E1057,nASIG,DATOS!$I1057,nEVAL,"OR")=0))</f>
      </c>
      <c r="I1057">
        <f>IF(DATOS!$I1057="","",IFERROR(VLOOKUP(DATOS!$I1057,CONFIG_ASIGNATURAS!$B$2:$J$91,9,FALSE()),""))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IF(DATOS!$A1058="",0,IF(CONFIG_METADATA!$B$4&lt;&gt;"OR+EX",--(DATOS!$G1058=CONFIG_METADATA!$B$4),IF(DATOS!$G1058="EX",1,IF(DATOS!$G1058="OR",--(COUNTIFS(nNIA,DATOS!$A1058,nCURSO,DATOS!$D1058,nESPEC,DATOS!$E1058,nASIG,DATOS!$I1058,nEVAL,"EX")=0),0))))</f>
      </c>
      <c r="H1058">
        <f>IF(DATOS!$G1058&lt;&gt;"EX",0,--(COUNTIFS(nNIA,DATOS!$A1058,nCURSO,DATOS!$D1058,nESPEC,DATOS!$E1058,nASIG,DATOS!$I1058,nEVAL,"OR")=0))</f>
      </c>
      <c r="I1058">
        <f>IF(DATOS!$I1058="","",IFERROR(VLOOKUP(DATOS!$I1058,CONFIG_ASIGNATURAS!$B$2:$J$91,9,FALSE()),""))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IF(DATOS!$A1059="",0,IF(CONFIG_METADATA!$B$4&lt;&gt;"OR+EX",--(DATOS!$G1059=CONFIG_METADATA!$B$4),IF(DATOS!$G1059="EX",1,IF(DATOS!$G1059="OR",--(COUNTIFS(nNIA,DATOS!$A1059,nCURSO,DATOS!$D1059,nESPEC,DATOS!$E1059,nASIG,DATOS!$I1059,nEVAL,"EX")=0),0))))</f>
      </c>
      <c r="H1059">
        <f>IF(DATOS!$G1059&lt;&gt;"EX",0,--(COUNTIFS(nNIA,DATOS!$A1059,nCURSO,DATOS!$D1059,nESPEC,DATOS!$E1059,nASIG,DATOS!$I1059,nEVAL,"OR")=0))</f>
      </c>
      <c r="I1059">
        <f>IF(DATOS!$I1059="","",IFERROR(VLOOKUP(DATOS!$I1059,CONFIG_ASIGNATURAS!$B$2:$J$91,9,FALSE()),""))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IF(DATOS!$A1060="",0,IF(CONFIG_METADATA!$B$4&lt;&gt;"OR+EX",--(DATOS!$G1060=CONFIG_METADATA!$B$4),IF(DATOS!$G1060="EX",1,IF(DATOS!$G1060="OR",--(COUNTIFS(nNIA,DATOS!$A1060,nCURSO,DATOS!$D1060,nESPEC,DATOS!$E1060,nASIG,DATOS!$I1060,nEVAL,"EX")=0),0))))</f>
      </c>
      <c r="H1060">
        <f>IF(DATOS!$G1060&lt;&gt;"EX",0,--(COUNTIFS(nNIA,DATOS!$A1060,nCURSO,DATOS!$D1060,nESPEC,DATOS!$E1060,nASIG,DATOS!$I1060,nEVAL,"OR")=0))</f>
      </c>
      <c r="I1060">
        <f>IF(DATOS!$I1060="","",IFERROR(VLOOKUP(DATOS!$I1060,CONFIG_ASIGNATURAS!$B$2:$J$91,9,FALSE()),""))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IF(DATOS!$A1061="",0,IF(CONFIG_METADATA!$B$4&lt;&gt;"OR+EX",--(DATOS!$G1061=CONFIG_METADATA!$B$4),IF(DATOS!$G1061="EX",1,IF(DATOS!$G1061="OR",--(COUNTIFS(nNIA,DATOS!$A1061,nCURSO,DATOS!$D1061,nESPEC,DATOS!$E1061,nASIG,DATOS!$I1061,nEVAL,"EX")=0),0))))</f>
      </c>
      <c r="H1061">
        <f>IF(DATOS!$G1061&lt;&gt;"EX",0,--(COUNTIFS(nNIA,DATOS!$A1061,nCURSO,DATOS!$D1061,nESPEC,DATOS!$E1061,nASIG,DATOS!$I1061,nEVAL,"OR")=0))</f>
      </c>
      <c r="I1061">
        <f>IF(DATOS!$I1061="","",IFERROR(VLOOKUP(DATOS!$I1061,CONFIG_ASIGNATURAS!$B$2:$J$91,9,FALSE()),""))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IF(DATOS!$A1062="",0,IF(CONFIG_METADATA!$B$4&lt;&gt;"OR+EX",--(DATOS!$G1062=CONFIG_METADATA!$B$4),IF(DATOS!$G1062="EX",1,IF(DATOS!$G1062="OR",--(COUNTIFS(nNIA,DATOS!$A1062,nCURSO,DATOS!$D1062,nESPEC,DATOS!$E1062,nASIG,DATOS!$I1062,nEVAL,"EX")=0),0))))</f>
      </c>
      <c r="H1062">
        <f>IF(DATOS!$G1062&lt;&gt;"EX",0,--(COUNTIFS(nNIA,DATOS!$A1062,nCURSO,DATOS!$D1062,nESPEC,DATOS!$E1062,nASIG,DATOS!$I1062,nEVAL,"OR")=0))</f>
      </c>
      <c r="I1062">
        <f>IF(DATOS!$I1062="","",IFERROR(VLOOKUP(DATOS!$I1062,CONFIG_ASIGNATURAS!$B$2:$J$91,9,FALSE()),""))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IF(DATOS!$A1063="",0,IF(CONFIG_METADATA!$B$4&lt;&gt;"OR+EX",--(DATOS!$G1063=CONFIG_METADATA!$B$4),IF(DATOS!$G1063="EX",1,IF(DATOS!$G1063="OR",--(COUNTIFS(nNIA,DATOS!$A1063,nCURSO,DATOS!$D1063,nESPEC,DATOS!$E1063,nASIG,DATOS!$I1063,nEVAL,"EX")=0),0))))</f>
      </c>
      <c r="H1063">
        <f>IF(DATOS!$G1063&lt;&gt;"EX",0,--(COUNTIFS(nNIA,DATOS!$A1063,nCURSO,DATOS!$D1063,nESPEC,DATOS!$E1063,nASIG,DATOS!$I1063,nEVAL,"OR")=0))</f>
      </c>
      <c r="I1063">
        <f>IF(DATOS!$I1063="","",IFERROR(VLOOKUP(DATOS!$I1063,CONFIG_ASIGNATURAS!$B$2:$J$91,9,FALSE()),""))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IF(DATOS!$A1064="",0,IF(CONFIG_METADATA!$B$4&lt;&gt;"OR+EX",--(DATOS!$G1064=CONFIG_METADATA!$B$4),IF(DATOS!$G1064="EX",1,IF(DATOS!$G1064="OR",--(COUNTIFS(nNIA,DATOS!$A1064,nCURSO,DATOS!$D1064,nESPEC,DATOS!$E1064,nASIG,DATOS!$I1064,nEVAL,"EX")=0),0))))</f>
      </c>
      <c r="H1064">
        <f>IF(DATOS!$G1064&lt;&gt;"EX",0,--(COUNTIFS(nNIA,DATOS!$A1064,nCURSO,DATOS!$D1064,nESPEC,DATOS!$E1064,nASIG,DATOS!$I1064,nEVAL,"OR")=0))</f>
      </c>
      <c r="I1064">
        <f>IF(DATOS!$I1064="","",IFERROR(VLOOKUP(DATOS!$I1064,CONFIG_ASIGNATURAS!$B$2:$J$91,9,FALSE()),""))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IF(DATOS!$A1065="",0,IF(CONFIG_METADATA!$B$4&lt;&gt;"OR+EX",--(DATOS!$G1065=CONFIG_METADATA!$B$4),IF(DATOS!$G1065="EX",1,IF(DATOS!$G1065="OR",--(COUNTIFS(nNIA,DATOS!$A1065,nCURSO,DATOS!$D1065,nESPEC,DATOS!$E1065,nASIG,DATOS!$I1065,nEVAL,"EX")=0),0))))</f>
      </c>
      <c r="H1065">
        <f>IF(DATOS!$G1065&lt;&gt;"EX",0,--(COUNTIFS(nNIA,DATOS!$A1065,nCURSO,DATOS!$D1065,nESPEC,DATOS!$E1065,nASIG,DATOS!$I1065,nEVAL,"OR")=0))</f>
      </c>
      <c r="I1065">
        <f>IF(DATOS!$I1065="","",IFERROR(VLOOKUP(DATOS!$I1065,CONFIG_ASIGNATURAS!$B$2:$J$91,9,FALSE()),""))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IF(DATOS!$A1066="",0,IF(CONFIG_METADATA!$B$4&lt;&gt;"OR+EX",--(DATOS!$G1066=CONFIG_METADATA!$B$4),IF(DATOS!$G1066="EX",1,IF(DATOS!$G1066="OR",--(COUNTIFS(nNIA,DATOS!$A1066,nCURSO,DATOS!$D1066,nESPEC,DATOS!$E1066,nASIG,DATOS!$I1066,nEVAL,"EX")=0),0))))</f>
      </c>
      <c r="H1066">
        <f>IF(DATOS!$G1066&lt;&gt;"EX",0,--(COUNTIFS(nNIA,DATOS!$A1066,nCURSO,DATOS!$D1066,nESPEC,DATOS!$E1066,nASIG,DATOS!$I1066,nEVAL,"OR")=0))</f>
      </c>
      <c r="I1066">
        <f>IF(DATOS!$I1066="","",IFERROR(VLOOKUP(DATOS!$I1066,CONFIG_ASIGNATURAS!$B$2:$J$91,9,FALSE()),""))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IF(DATOS!$A1067="",0,IF(CONFIG_METADATA!$B$4&lt;&gt;"OR+EX",--(DATOS!$G1067=CONFIG_METADATA!$B$4),IF(DATOS!$G1067="EX",1,IF(DATOS!$G1067="OR",--(COUNTIFS(nNIA,DATOS!$A1067,nCURSO,DATOS!$D1067,nESPEC,DATOS!$E1067,nASIG,DATOS!$I1067,nEVAL,"EX")=0),0))))</f>
      </c>
      <c r="H1067">
        <f>IF(DATOS!$G1067&lt;&gt;"EX",0,--(COUNTIFS(nNIA,DATOS!$A1067,nCURSO,DATOS!$D1067,nESPEC,DATOS!$E1067,nASIG,DATOS!$I1067,nEVAL,"OR")=0))</f>
      </c>
      <c r="I1067">
        <f>IF(DATOS!$I1067="","",IFERROR(VLOOKUP(DATOS!$I1067,CONFIG_ASIGNATURAS!$B$2:$J$91,9,FALSE()),""))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IF(DATOS!$A1068="",0,IF(CONFIG_METADATA!$B$4&lt;&gt;"OR+EX",--(DATOS!$G1068=CONFIG_METADATA!$B$4),IF(DATOS!$G1068="EX",1,IF(DATOS!$G1068="OR",--(COUNTIFS(nNIA,DATOS!$A1068,nCURSO,DATOS!$D1068,nESPEC,DATOS!$E1068,nASIG,DATOS!$I1068,nEVAL,"EX")=0),0))))</f>
      </c>
      <c r="H1068">
        <f>IF(DATOS!$G1068&lt;&gt;"EX",0,--(COUNTIFS(nNIA,DATOS!$A1068,nCURSO,DATOS!$D1068,nESPEC,DATOS!$E1068,nASIG,DATOS!$I1068,nEVAL,"OR")=0))</f>
      </c>
      <c r="I1068">
        <f>IF(DATOS!$I1068="","",IFERROR(VLOOKUP(DATOS!$I1068,CONFIG_ASIGNATURAS!$B$2:$J$91,9,FALSE()),""))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IF(DATOS!$A1069="",0,IF(CONFIG_METADATA!$B$4&lt;&gt;"OR+EX",--(DATOS!$G1069=CONFIG_METADATA!$B$4),IF(DATOS!$G1069="EX",1,IF(DATOS!$G1069="OR",--(COUNTIFS(nNIA,DATOS!$A1069,nCURSO,DATOS!$D1069,nESPEC,DATOS!$E1069,nASIG,DATOS!$I1069,nEVAL,"EX")=0),0))))</f>
      </c>
      <c r="H1069">
        <f>IF(DATOS!$G1069&lt;&gt;"EX",0,--(COUNTIFS(nNIA,DATOS!$A1069,nCURSO,DATOS!$D1069,nESPEC,DATOS!$E1069,nASIG,DATOS!$I1069,nEVAL,"OR")=0))</f>
      </c>
      <c r="I1069">
        <f>IF(DATOS!$I1069="","",IFERROR(VLOOKUP(DATOS!$I1069,CONFIG_ASIGNATURAS!$B$2:$J$91,9,FALSE()),""))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IF(DATOS!$A1070="",0,IF(CONFIG_METADATA!$B$4&lt;&gt;"OR+EX",--(DATOS!$G1070=CONFIG_METADATA!$B$4),IF(DATOS!$G1070="EX",1,IF(DATOS!$G1070="OR",--(COUNTIFS(nNIA,DATOS!$A1070,nCURSO,DATOS!$D1070,nESPEC,DATOS!$E1070,nASIG,DATOS!$I1070,nEVAL,"EX")=0),0))))</f>
      </c>
      <c r="H1070">
        <f>IF(DATOS!$G1070&lt;&gt;"EX",0,--(COUNTIFS(nNIA,DATOS!$A1070,nCURSO,DATOS!$D1070,nESPEC,DATOS!$E1070,nASIG,DATOS!$I1070,nEVAL,"OR")=0))</f>
      </c>
      <c r="I1070">
        <f>IF(DATOS!$I1070="","",IFERROR(VLOOKUP(DATOS!$I1070,CONFIG_ASIGNATURAS!$B$2:$J$91,9,FALSE()),""))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IF(DATOS!$A1071="",0,IF(CONFIG_METADATA!$B$4&lt;&gt;"OR+EX",--(DATOS!$G1071=CONFIG_METADATA!$B$4),IF(DATOS!$G1071="EX",1,IF(DATOS!$G1071="OR",--(COUNTIFS(nNIA,DATOS!$A1071,nCURSO,DATOS!$D1071,nESPEC,DATOS!$E1071,nASIG,DATOS!$I1071,nEVAL,"EX")=0),0))))</f>
      </c>
      <c r="H1071">
        <f>IF(DATOS!$G1071&lt;&gt;"EX",0,--(COUNTIFS(nNIA,DATOS!$A1071,nCURSO,DATOS!$D1071,nESPEC,DATOS!$E1071,nASIG,DATOS!$I1071,nEVAL,"OR")=0))</f>
      </c>
      <c r="I1071">
        <f>IF(DATOS!$I1071="","",IFERROR(VLOOKUP(DATOS!$I1071,CONFIG_ASIGNATURAS!$B$2:$J$91,9,FALSE()),""))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IF(DATOS!$A1072="",0,IF(CONFIG_METADATA!$B$4&lt;&gt;"OR+EX",--(DATOS!$G1072=CONFIG_METADATA!$B$4),IF(DATOS!$G1072="EX",1,IF(DATOS!$G1072="OR",--(COUNTIFS(nNIA,DATOS!$A1072,nCURSO,DATOS!$D1072,nESPEC,DATOS!$E1072,nASIG,DATOS!$I1072,nEVAL,"EX")=0),0))))</f>
      </c>
      <c r="H1072">
        <f>IF(DATOS!$G1072&lt;&gt;"EX",0,--(COUNTIFS(nNIA,DATOS!$A1072,nCURSO,DATOS!$D1072,nESPEC,DATOS!$E1072,nASIG,DATOS!$I1072,nEVAL,"OR")=0))</f>
      </c>
      <c r="I1072">
        <f>IF(DATOS!$I1072="","",IFERROR(VLOOKUP(DATOS!$I1072,CONFIG_ASIGNATURAS!$B$2:$J$91,9,FALSE()),""))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IF(DATOS!$A1073="",0,IF(CONFIG_METADATA!$B$4&lt;&gt;"OR+EX",--(DATOS!$G1073=CONFIG_METADATA!$B$4),IF(DATOS!$G1073="EX",1,IF(DATOS!$G1073="OR",--(COUNTIFS(nNIA,DATOS!$A1073,nCURSO,DATOS!$D1073,nESPEC,DATOS!$E1073,nASIG,DATOS!$I1073,nEVAL,"EX")=0),0))))</f>
      </c>
      <c r="H1073">
        <f>IF(DATOS!$G1073&lt;&gt;"EX",0,--(COUNTIFS(nNIA,DATOS!$A1073,nCURSO,DATOS!$D1073,nESPEC,DATOS!$E1073,nASIG,DATOS!$I1073,nEVAL,"OR")=0))</f>
      </c>
      <c r="I1073">
        <f>IF(DATOS!$I1073="","",IFERROR(VLOOKUP(DATOS!$I1073,CONFIG_ASIGNATURAS!$B$2:$J$91,9,FALSE()),""))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IF(DATOS!$A1074="",0,IF(CONFIG_METADATA!$B$4&lt;&gt;"OR+EX",--(DATOS!$G1074=CONFIG_METADATA!$B$4),IF(DATOS!$G1074="EX",1,IF(DATOS!$G1074="OR",--(COUNTIFS(nNIA,DATOS!$A1074,nCURSO,DATOS!$D1074,nESPEC,DATOS!$E1074,nASIG,DATOS!$I1074,nEVAL,"EX")=0),0))))</f>
      </c>
      <c r="H1074">
        <f>IF(DATOS!$G1074&lt;&gt;"EX",0,--(COUNTIFS(nNIA,DATOS!$A1074,nCURSO,DATOS!$D1074,nESPEC,DATOS!$E1074,nASIG,DATOS!$I1074,nEVAL,"OR")=0))</f>
      </c>
      <c r="I1074">
        <f>IF(DATOS!$I1074="","",IFERROR(VLOOKUP(DATOS!$I1074,CONFIG_ASIGNATURAS!$B$2:$J$91,9,FALSE()),""))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IF(DATOS!$A1075="",0,IF(CONFIG_METADATA!$B$4&lt;&gt;"OR+EX",--(DATOS!$G1075=CONFIG_METADATA!$B$4),IF(DATOS!$G1075="EX",1,IF(DATOS!$G1075="OR",--(COUNTIFS(nNIA,DATOS!$A1075,nCURSO,DATOS!$D1075,nESPEC,DATOS!$E1075,nASIG,DATOS!$I1075,nEVAL,"EX")=0),0))))</f>
      </c>
      <c r="H1075">
        <f>IF(DATOS!$G1075&lt;&gt;"EX",0,--(COUNTIFS(nNIA,DATOS!$A1075,nCURSO,DATOS!$D1075,nESPEC,DATOS!$E1075,nASIG,DATOS!$I1075,nEVAL,"OR")=0))</f>
      </c>
      <c r="I1075">
        <f>IF(DATOS!$I1075="","",IFERROR(VLOOKUP(DATOS!$I1075,CONFIG_ASIGNATURAS!$B$2:$J$91,9,FALSE()),""))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IF(DATOS!$A1076="",0,IF(CONFIG_METADATA!$B$4&lt;&gt;"OR+EX",--(DATOS!$G1076=CONFIG_METADATA!$B$4),IF(DATOS!$G1076="EX",1,IF(DATOS!$G1076="OR",--(COUNTIFS(nNIA,DATOS!$A1076,nCURSO,DATOS!$D1076,nESPEC,DATOS!$E1076,nASIG,DATOS!$I1076,nEVAL,"EX")=0),0))))</f>
      </c>
      <c r="H1076">
        <f>IF(DATOS!$G1076&lt;&gt;"EX",0,--(COUNTIFS(nNIA,DATOS!$A1076,nCURSO,DATOS!$D1076,nESPEC,DATOS!$E1076,nASIG,DATOS!$I1076,nEVAL,"OR")=0))</f>
      </c>
      <c r="I1076">
        <f>IF(DATOS!$I1076="","",IFERROR(VLOOKUP(DATOS!$I1076,CONFIG_ASIGNATURAS!$B$2:$J$91,9,FALSE()),""))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IF(DATOS!$A1077="",0,IF(CONFIG_METADATA!$B$4&lt;&gt;"OR+EX",--(DATOS!$G1077=CONFIG_METADATA!$B$4),IF(DATOS!$G1077="EX",1,IF(DATOS!$G1077="OR",--(COUNTIFS(nNIA,DATOS!$A1077,nCURSO,DATOS!$D1077,nESPEC,DATOS!$E1077,nASIG,DATOS!$I1077,nEVAL,"EX")=0),0))))</f>
      </c>
      <c r="H1077">
        <f>IF(DATOS!$G1077&lt;&gt;"EX",0,--(COUNTIFS(nNIA,DATOS!$A1077,nCURSO,DATOS!$D1077,nESPEC,DATOS!$E1077,nASIG,DATOS!$I1077,nEVAL,"OR")=0))</f>
      </c>
      <c r="I1077">
        <f>IF(DATOS!$I1077="","",IFERROR(VLOOKUP(DATOS!$I1077,CONFIG_ASIGNATURAS!$B$2:$J$91,9,FALSE()),""))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IF(DATOS!$A1078="",0,IF(CONFIG_METADATA!$B$4&lt;&gt;"OR+EX",--(DATOS!$G1078=CONFIG_METADATA!$B$4),IF(DATOS!$G1078="EX",1,IF(DATOS!$G1078="OR",--(COUNTIFS(nNIA,DATOS!$A1078,nCURSO,DATOS!$D1078,nESPEC,DATOS!$E1078,nASIG,DATOS!$I1078,nEVAL,"EX")=0),0))))</f>
      </c>
      <c r="H1078">
        <f>IF(DATOS!$G1078&lt;&gt;"EX",0,--(COUNTIFS(nNIA,DATOS!$A1078,nCURSO,DATOS!$D1078,nESPEC,DATOS!$E1078,nASIG,DATOS!$I1078,nEVAL,"OR")=0))</f>
      </c>
      <c r="I1078">
        <f>IF(DATOS!$I1078="","",IFERROR(VLOOKUP(DATOS!$I1078,CONFIG_ASIGNATURAS!$B$2:$J$91,9,FALSE()),""))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IF(DATOS!$A1079="",0,IF(CONFIG_METADATA!$B$4&lt;&gt;"OR+EX",--(DATOS!$G1079=CONFIG_METADATA!$B$4),IF(DATOS!$G1079="EX",1,IF(DATOS!$G1079="OR",--(COUNTIFS(nNIA,DATOS!$A1079,nCURSO,DATOS!$D1079,nESPEC,DATOS!$E1079,nASIG,DATOS!$I1079,nEVAL,"EX")=0),0))))</f>
      </c>
      <c r="H1079">
        <f>IF(DATOS!$G1079&lt;&gt;"EX",0,--(COUNTIFS(nNIA,DATOS!$A1079,nCURSO,DATOS!$D1079,nESPEC,DATOS!$E1079,nASIG,DATOS!$I1079,nEVAL,"OR")=0))</f>
      </c>
      <c r="I1079">
        <f>IF(DATOS!$I1079="","",IFERROR(VLOOKUP(DATOS!$I1079,CONFIG_ASIGNATURAS!$B$2:$J$91,9,FALSE()),""))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IF(DATOS!$A1080="",0,IF(CONFIG_METADATA!$B$4&lt;&gt;"OR+EX",--(DATOS!$G1080=CONFIG_METADATA!$B$4),IF(DATOS!$G1080="EX",1,IF(DATOS!$G1080="OR",--(COUNTIFS(nNIA,DATOS!$A1080,nCURSO,DATOS!$D1080,nESPEC,DATOS!$E1080,nASIG,DATOS!$I1080,nEVAL,"EX")=0),0))))</f>
      </c>
      <c r="H1080">
        <f>IF(DATOS!$G1080&lt;&gt;"EX",0,--(COUNTIFS(nNIA,DATOS!$A1080,nCURSO,DATOS!$D1080,nESPEC,DATOS!$E1080,nASIG,DATOS!$I1080,nEVAL,"OR")=0))</f>
      </c>
      <c r="I1080">
        <f>IF(DATOS!$I1080="","",IFERROR(VLOOKUP(DATOS!$I1080,CONFIG_ASIGNATURAS!$B$2:$J$91,9,FALSE()),""))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IF(DATOS!$A1081="",0,IF(CONFIG_METADATA!$B$4&lt;&gt;"OR+EX",--(DATOS!$G1081=CONFIG_METADATA!$B$4),IF(DATOS!$G1081="EX",1,IF(DATOS!$G1081="OR",--(COUNTIFS(nNIA,DATOS!$A1081,nCURSO,DATOS!$D1081,nESPEC,DATOS!$E1081,nASIG,DATOS!$I1081,nEVAL,"EX")=0),0))))</f>
      </c>
      <c r="H1081">
        <f>IF(DATOS!$G1081&lt;&gt;"EX",0,--(COUNTIFS(nNIA,DATOS!$A1081,nCURSO,DATOS!$D1081,nESPEC,DATOS!$E1081,nASIG,DATOS!$I1081,nEVAL,"OR")=0))</f>
      </c>
      <c r="I1081">
        <f>IF(DATOS!$I1081="","",IFERROR(VLOOKUP(DATOS!$I1081,CONFIG_ASIGNATURAS!$B$2:$J$91,9,FALSE()),""))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IF(DATOS!$A1082="",0,IF(CONFIG_METADATA!$B$4&lt;&gt;"OR+EX",--(DATOS!$G1082=CONFIG_METADATA!$B$4),IF(DATOS!$G1082="EX",1,IF(DATOS!$G1082="OR",--(COUNTIFS(nNIA,DATOS!$A1082,nCURSO,DATOS!$D1082,nESPEC,DATOS!$E1082,nASIG,DATOS!$I1082,nEVAL,"EX")=0),0))))</f>
      </c>
      <c r="H1082">
        <f>IF(DATOS!$G1082&lt;&gt;"EX",0,--(COUNTIFS(nNIA,DATOS!$A1082,nCURSO,DATOS!$D1082,nESPEC,DATOS!$E1082,nASIG,DATOS!$I1082,nEVAL,"OR")=0))</f>
      </c>
      <c r="I1082">
        <f>IF(DATOS!$I1082="","",IFERROR(VLOOKUP(DATOS!$I1082,CONFIG_ASIGNATURAS!$B$2:$J$91,9,FALSE()),""))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IF(DATOS!$A1083="",0,IF(CONFIG_METADATA!$B$4&lt;&gt;"OR+EX",--(DATOS!$G1083=CONFIG_METADATA!$B$4),IF(DATOS!$G1083="EX",1,IF(DATOS!$G1083="OR",--(COUNTIFS(nNIA,DATOS!$A1083,nCURSO,DATOS!$D1083,nESPEC,DATOS!$E1083,nASIG,DATOS!$I1083,nEVAL,"EX")=0),0))))</f>
      </c>
      <c r="H1083">
        <f>IF(DATOS!$G1083&lt;&gt;"EX",0,--(COUNTIFS(nNIA,DATOS!$A1083,nCURSO,DATOS!$D1083,nESPEC,DATOS!$E1083,nASIG,DATOS!$I1083,nEVAL,"OR")=0))</f>
      </c>
      <c r="I1083">
        <f>IF(DATOS!$I1083="","",IFERROR(VLOOKUP(DATOS!$I1083,CONFIG_ASIGNATURAS!$B$2:$J$91,9,FALSE()),""))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IF(DATOS!$A1084="",0,IF(CONFIG_METADATA!$B$4&lt;&gt;"OR+EX",--(DATOS!$G1084=CONFIG_METADATA!$B$4),IF(DATOS!$G1084="EX",1,IF(DATOS!$G1084="OR",--(COUNTIFS(nNIA,DATOS!$A1084,nCURSO,DATOS!$D1084,nESPEC,DATOS!$E1084,nASIG,DATOS!$I1084,nEVAL,"EX")=0),0))))</f>
      </c>
      <c r="H1084">
        <f>IF(DATOS!$G1084&lt;&gt;"EX",0,--(COUNTIFS(nNIA,DATOS!$A1084,nCURSO,DATOS!$D1084,nESPEC,DATOS!$E1084,nASIG,DATOS!$I1084,nEVAL,"OR")=0))</f>
      </c>
      <c r="I1084">
        <f>IF(DATOS!$I1084="","",IFERROR(VLOOKUP(DATOS!$I1084,CONFIG_ASIGNATURAS!$B$2:$J$91,9,FALSE()),""))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IF(DATOS!$A1085="",0,IF(CONFIG_METADATA!$B$4&lt;&gt;"OR+EX",--(DATOS!$G1085=CONFIG_METADATA!$B$4),IF(DATOS!$G1085="EX",1,IF(DATOS!$G1085="OR",--(COUNTIFS(nNIA,DATOS!$A1085,nCURSO,DATOS!$D1085,nESPEC,DATOS!$E1085,nASIG,DATOS!$I1085,nEVAL,"EX")=0),0))))</f>
      </c>
      <c r="H1085">
        <f>IF(DATOS!$G1085&lt;&gt;"EX",0,--(COUNTIFS(nNIA,DATOS!$A1085,nCURSO,DATOS!$D1085,nESPEC,DATOS!$E1085,nASIG,DATOS!$I1085,nEVAL,"OR")=0))</f>
      </c>
      <c r="I1085">
        <f>IF(DATOS!$I1085="","",IFERROR(VLOOKUP(DATOS!$I1085,CONFIG_ASIGNATURAS!$B$2:$J$91,9,FALSE()),""))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IF(DATOS!$A1086="",0,IF(CONFIG_METADATA!$B$4&lt;&gt;"OR+EX",--(DATOS!$G1086=CONFIG_METADATA!$B$4),IF(DATOS!$G1086="EX",1,IF(DATOS!$G1086="OR",--(COUNTIFS(nNIA,DATOS!$A1086,nCURSO,DATOS!$D1086,nESPEC,DATOS!$E1086,nASIG,DATOS!$I1086,nEVAL,"EX")=0),0))))</f>
      </c>
      <c r="H1086">
        <f>IF(DATOS!$G1086&lt;&gt;"EX",0,--(COUNTIFS(nNIA,DATOS!$A1086,nCURSO,DATOS!$D1086,nESPEC,DATOS!$E1086,nASIG,DATOS!$I1086,nEVAL,"OR")=0))</f>
      </c>
      <c r="I1086">
        <f>IF(DATOS!$I1086="","",IFERROR(VLOOKUP(DATOS!$I1086,CONFIG_ASIGNATURAS!$B$2:$J$91,9,FALSE()),""))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IF(DATOS!$A1087="",0,IF(CONFIG_METADATA!$B$4&lt;&gt;"OR+EX",--(DATOS!$G1087=CONFIG_METADATA!$B$4),IF(DATOS!$G1087="EX",1,IF(DATOS!$G1087="OR",--(COUNTIFS(nNIA,DATOS!$A1087,nCURSO,DATOS!$D1087,nESPEC,DATOS!$E1087,nASIG,DATOS!$I1087,nEVAL,"EX")=0),0))))</f>
      </c>
      <c r="H1087">
        <f>IF(DATOS!$G1087&lt;&gt;"EX",0,--(COUNTIFS(nNIA,DATOS!$A1087,nCURSO,DATOS!$D1087,nESPEC,DATOS!$E1087,nASIG,DATOS!$I1087,nEVAL,"OR")=0))</f>
      </c>
      <c r="I1087">
        <f>IF(DATOS!$I1087="","",IFERROR(VLOOKUP(DATOS!$I1087,CONFIG_ASIGNATURAS!$B$2:$J$91,9,FALSE()),""))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IF(DATOS!$A1088="",0,IF(CONFIG_METADATA!$B$4&lt;&gt;"OR+EX",--(DATOS!$G1088=CONFIG_METADATA!$B$4),IF(DATOS!$G1088="EX",1,IF(DATOS!$G1088="OR",--(COUNTIFS(nNIA,DATOS!$A1088,nCURSO,DATOS!$D1088,nESPEC,DATOS!$E1088,nASIG,DATOS!$I1088,nEVAL,"EX")=0),0))))</f>
      </c>
      <c r="H1088">
        <f>IF(DATOS!$G1088&lt;&gt;"EX",0,--(COUNTIFS(nNIA,DATOS!$A1088,nCURSO,DATOS!$D1088,nESPEC,DATOS!$E1088,nASIG,DATOS!$I1088,nEVAL,"OR")=0))</f>
      </c>
      <c r="I1088">
        <f>IF(DATOS!$I1088="","",IFERROR(VLOOKUP(DATOS!$I1088,CONFIG_ASIGNATURAS!$B$2:$J$91,9,FALSE()),""))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IF(DATOS!$A1089="",0,IF(CONFIG_METADATA!$B$4&lt;&gt;"OR+EX",--(DATOS!$G1089=CONFIG_METADATA!$B$4),IF(DATOS!$G1089="EX",1,IF(DATOS!$G1089="OR",--(COUNTIFS(nNIA,DATOS!$A1089,nCURSO,DATOS!$D1089,nESPEC,DATOS!$E1089,nASIG,DATOS!$I1089,nEVAL,"EX")=0),0))))</f>
      </c>
      <c r="H1089">
        <f>IF(DATOS!$G1089&lt;&gt;"EX",0,--(COUNTIFS(nNIA,DATOS!$A1089,nCURSO,DATOS!$D1089,nESPEC,DATOS!$E1089,nASIG,DATOS!$I1089,nEVAL,"OR")=0))</f>
      </c>
      <c r="I1089">
        <f>IF(DATOS!$I1089="","",IFERROR(VLOOKUP(DATOS!$I1089,CONFIG_ASIGNATURAS!$B$2:$J$91,9,FALSE()),""))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IF(DATOS!$A1090="",0,IF(CONFIG_METADATA!$B$4&lt;&gt;"OR+EX",--(DATOS!$G1090=CONFIG_METADATA!$B$4),IF(DATOS!$G1090="EX",1,IF(DATOS!$G1090="OR",--(COUNTIFS(nNIA,DATOS!$A1090,nCURSO,DATOS!$D1090,nESPEC,DATOS!$E1090,nASIG,DATOS!$I1090,nEVAL,"EX")=0),0))))</f>
      </c>
      <c r="H1090">
        <f>IF(DATOS!$G1090&lt;&gt;"EX",0,--(COUNTIFS(nNIA,DATOS!$A1090,nCURSO,DATOS!$D1090,nESPEC,DATOS!$E1090,nASIG,DATOS!$I1090,nEVAL,"OR")=0))</f>
      </c>
      <c r="I1090">
        <f>IF(DATOS!$I1090="","",IFERROR(VLOOKUP(DATOS!$I1090,CONFIG_ASIGNATURAS!$B$2:$J$91,9,FALSE()),""))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IF(DATOS!$A1091="",0,IF(CONFIG_METADATA!$B$4&lt;&gt;"OR+EX",--(DATOS!$G1091=CONFIG_METADATA!$B$4),IF(DATOS!$G1091="EX",1,IF(DATOS!$G1091="OR",--(COUNTIFS(nNIA,DATOS!$A1091,nCURSO,DATOS!$D1091,nESPEC,DATOS!$E1091,nASIG,DATOS!$I1091,nEVAL,"EX")=0),0))))</f>
      </c>
      <c r="H1091">
        <f>IF(DATOS!$G1091&lt;&gt;"EX",0,--(COUNTIFS(nNIA,DATOS!$A1091,nCURSO,DATOS!$D1091,nESPEC,DATOS!$E1091,nASIG,DATOS!$I1091,nEVAL,"OR")=0))</f>
      </c>
      <c r="I1091">
        <f>IF(DATOS!$I1091="","",IFERROR(VLOOKUP(DATOS!$I1091,CONFIG_ASIGNATURAS!$B$2:$J$91,9,FALSE()),""))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IF(DATOS!$A1092="",0,IF(CONFIG_METADATA!$B$4&lt;&gt;"OR+EX",--(DATOS!$G1092=CONFIG_METADATA!$B$4),IF(DATOS!$G1092="EX",1,IF(DATOS!$G1092="OR",--(COUNTIFS(nNIA,DATOS!$A1092,nCURSO,DATOS!$D1092,nESPEC,DATOS!$E1092,nASIG,DATOS!$I1092,nEVAL,"EX")=0),0))))</f>
      </c>
      <c r="H1092">
        <f>IF(DATOS!$G1092&lt;&gt;"EX",0,--(COUNTIFS(nNIA,DATOS!$A1092,nCURSO,DATOS!$D1092,nESPEC,DATOS!$E1092,nASIG,DATOS!$I1092,nEVAL,"OR")=0))</f>
      </c>
      <c r="I1092">
        <f>IF(DATOS!$I1092="","",IFERROR(VLOOKUP(DATOS!$I1092,CONFIG_ASIGNATURAS!$B$2:$J$91,9,FALSE()),""))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IF(DATOS!$A1093="",0,IF(CONFIG_METADATA!$B$4&lt;&gt;"OR+EX",--(DATOS!$G1093=CONFIG_METADATA!$B$4),IF(DATOS!$G1093="EX",1,IF(DATOS!$G1093="OR",--(COUNTIFS(nNIA,DATOS!$A1093,nCURSO,DATOS!$D1093,nESPEC,DATOS!$E1093,nASIG,DATOS!$I1093,nEVAL,"EX")=0),0))))</f>
      </c>
      <c r="H1093">
        <f>IF(DATOS!$G1093&lt;&gt;"EX",0,--(COUNTIFS(nNIA,DATOS!$A1093,nCURSO,DATOS!$D1093,nESPEC,DATOS!$E1093,nASIG,DATOS!$I1093,nEVAL,"OR")=0))</f>
      </c>
      <c r="I1093">
        <f>IF(DATOS!$I1093="","",IFERROR(VLOOKUP(DATOS!$I1093,CONFIG_ASIGNATURAS!$B$2:$J$91,9,FALSE()),""))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IF(DATOS!$A1094="",0,IF(CONFIG_METADATA!$B$4&lt;&gt;"OR+EX",--(DATOS!$G1094=CONFIG_METADATA!$B$4),IF(DATOS!$G1094="EX",1,IF(DATOS!$G1094="OR",--(COUNTIFS(nNIA,DATOS!$A1094,nCURSO,DATOS!$D1094,nESPEC,DATOS!$E1094,nASIG,DATOS!$I1094,nEVAL,"EX")=0),0))))</f>
      </c>
      <c r="H1094">
        <f>IF(DATOS!$G1094&lt;&gt;"EX",0,--(COUNTIFS(nNIA,DATOS!$A1094,nCURSO,DATOS!$D1094,nESPEC,DATOS!$E1094,nASIG,DATOS!$I1094,nEVAL,"OR")=0))</f>
      </c>
      <c r="I1094">
        <f>IF(DATOS!$I1094="","",IFERROR(VLOOKUP(DATOS!$I1094,CONFIG_ASIGNATURAS!$B$2:$J$91,9,FALSE()),""))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IF(DATOS!$A1095="",0,IF(CONFIG_METADATA!$B$4&lt;&gt;"OR+EX",--(DATOS!$G1095=CONFIG_METADATA!$B$4),IF(DATOS!$G1095="EX",1,IF(DATOS!$G1095="OR",--(COUNTIFS(nNIA,DATOS!$A1095,nCURSO,DATOS!$D1095,nESPEC,DATOS!$E1095,nASIG,DATOS!$I1095,nEVAL,"EX")=0),0))))</f>
      </c>
      <c r="H1095">
        <f>IF(DATOS!$G1095&lt;&gt;"EX",0,--(COUNTIFS(nNIA,DATOS!$A1095,nCURSO,DATOS!$D1095,nESPEC,DATOS!$E1095,nASIG,DATOS!$I1095,nEVAL,"OR")=0))</f>
      </c>
      <c r="I1095">
        <f>IF(DATOS!$I1095="","",IFERROR(VLOOKUP(DATOS!$I1095,CONFIG_ASIGNATURAS!$B$2:$J$91,9,FALSE()),""))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IF(DATOS!$A1096="",0,IF(CONFIG_METADATA!$B$4&lt;&gt;"OR+EX",--(DATOS!$G1096=CONFIG_METADATA!$B$4),IF(DATOS!$G1096="EX",1,IF(DATOS!$G1096="OR",--(COUNTIFS(nNIA,DATOS!$A1096,nCURSO,DATOS!$D1096,nESPEC,DATOS!$E1096,nASIG,DATOS!$I1096,nEVAL,"EX")=0),0))))</f>
      </c>
      <c r="H1096">
        <f>IF(DATOS!$G1096&lt;&gt;"EX",0,--(COUNTIFS(nNIA,DATOS!$A1096,nCURSO,DATOS!$D1096,nESPEC,DATOS!$E1096,nASIG,DATOS!$I1096,nEVAL,"OR")=0))</f>
      </c>
      <c r="I1096">
        <f>IF(DATOS!$I1096="","",IFERROR(VLOOKUP(DATOS!$I1096,CONFIG_ASIGNATURAS!$B$2:$J$91,9,FALSE()),""))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IF(DATOS!$A1097="",0,IF(CONFIG_METADATA!$B$4&lt;&gt;"OR+EX",--(DATOS!$G1097=CONFIG_METADATA!$B$4),IF(DATOS!$G1097="EX",1,IF(DATOS!$G1097="OR",--(COUNTIFS(nNIA,DATOS!$A1097,nCURSO,DATOS!$D1097,nESPEC,DATOS!$E1097,nASIG,DATOS!$I1097,nEVAL,"EX")=0),0))))</f>
      </c>
      <c r="H1097">
        <f>IF(DATOS!$G1097&lt;&gt;"EX",0,--(COUNTIFS(nNIA,DATOS!$A1097,nCURSO,DATOS!$D1097,nESPEC,DATOS!$E1097,nASIG,DATOS!$I1097,nEVAL,"OR")=0))</f>
      </c>
      <c r="I1097">
        <f>IF(DATOS!$I1097="","",IFERROR(VLOOKUP(DATOS!$I1097,CONFIG_ASIGNATURAS!$B$2:$J$91,9,FALSE()),""))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IF(DATOS!$A1098="",0,IF(CONFIG_METADATA!$B$4&lt;&gt;"OR+EX",--(DATOS!$G1098=CONFIG_METADATA!$B$4),IF(DATOS!$G1098="EX",1,IF(DATOS!$G1098="OR",--(COUNTIFS(nNIA,DATOS!$A1098,nCURSO,DATOS!$D1098,nESPEC,DATOS!$E1098,nASIG,DATOS!$I1098,nEVAL,"EX")=0),0))))</f>
      </c>
      <c r="H1098">
        <f>IF(DATOS!$G1098&lt;&gt;"EX",0,--(COUNTIFS(nNIA,DATOS!$A1098,nCURSO,DATOS!$D1098,nESPEC,DATOS!$E1098,nASIG,DATOS!$I1098,nEVAL,"OR")=0))</f>
      </c>
      <c r="I1098">
        <f>IF(DATOS!$I1098="","",IFERROR(VLOOKUP(DATOS!$I1098,CONFIG_ASIGNATURAS!$B$2:$J$91,9,FALSE()),""))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IF(DATOS!$A1099="",0,IF(CONFIG_METADATA!$B$4&lt;&gt;"OR+EX",--(DATOS!$G1099=CONFIG_METADATA!$B$4),IF(DATOS!$G1099="EX",1,IF(DATOS!$G1099="OR",--(COUNTIFS(nNIA,DATOS!$A1099,nCURSO,DATOS!$D1099,nESPEC,DATOS!$E1099,nASIG,DATOS!$I1099,nEVAL,"EX")=0),0))))</f>
      </c>
      <c r="H1099">
        <f>IF(DATOS!$G1099&lt;&gt;"EX",0,--(COUNTIFS(nNIA,DATOS!$A1099,nCURSO,DATOS!$D1099,nESPEC,DATOS!$E1099,nASIG,DATOS!$I1099,nEVAL,"OR")=0))</f>
      </c>
      <c r="I1099">
        <f>IF(DATOS!$I1099="","",IFERROR(VLOOKUP(DATOS!$I1099,CONFIG_ASIGNATURAS!$B$2:$J$91,9,FALSE()),""))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IF(DATOS!$A1100="",0,IF(CONFIG_METADATA!$B$4&lt;&gt;"OR+EX",--(DATOS!$G1100=CONFIG_METADATA!$B$4),IF(DATOS!$G1100="EX",1,IF(DATOS!$G1100="OR",--(COUNTIFS(nNIA,DATOS!$A1100,nCURSO,DATOS!$D1100,nESPEC,DATOS!$E1100,nASIG,DATOS!$I1100,nEVAL,"EX")=0),0))))</f>
      </c>
      <c r="H1100">
        <f>IF(DATOS!$G1100&lt;&gt;"EX",0,--(COUNTIFS(nNIA,DATOS!$A1100,nCURSO,DATOS!$D1100,nESPEC,DATOS!$E1100,nASIG,DATOS!$I1100,nEVAL,"OR")=0))</f>
      </c>
      <c r="I1100">
        <f>IF(DATOS!$I1100="","",IFERROR(VLOOKUP(DATOS!$I1100,CONFIG_ASIGNATURAS!$B$2:$J$91,9,FALSE()),""))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IF(DATOS!$A1101="",0,IF(CONFIG_METADATA!$B$4&lt;&gt;"OR+EX",--(DATOS!$G1101=CONFIG_METADATA!$B$4),IF(DATOS!$G1101="EX",1,IF(DATOS!$G1101="OR",--(COUNTIFS(nNIA,DATOS!$A1101,nCURSO,DATOS!$D1101,nESPEC,DATOS!$E1101,nASIG,DATOS!$I1101,nEVAL,"EX")=0),0))))</f>
      </c>
      <c r="H1101">
        <f>IF(DATOS!$G1101&lt;&gt;"EX",0,--(COUNTIFS(nNIA,DATOS!$A1101,nCURSO,DATOS!$D1101,nESPEC,DATOS!$E1101,nASIG,DATOS!$I1101,nEVAL,"OR")=0))</f>
      </c>
      <c r="I1101">
        <f>IF(DATOS!$I1101="","",IFERROR(VLOOKUP(DATOS!$I1101,CONFIG_ASIGNATURAS!$B$2:$J$91,9,FALSE()),""))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IF(DATOS!$A1102="",0,IF(CONFIG_METADATA!$B$4&lt;&gt;"OR+EX",--(DATOS!$G1102=CONFIG_METADATA!$B$4),IF(DATOS!$G1102="EX",1,IF(DATOS!$G1102="OR",--(COUNTIFS(nNIA,DATOS!$A1102,nCURSO,DATOS!$D1102,nESPEC,DATOS!$E1102,nASIG,DATOS!$I1102,nEVAL,"EX")=0),0))))</f>
      </c>
      <c r="H1102">
        <f>IF(DATOS!$G1102&lt;&gt;"EX",0,--(COUNTIFS(nNIA,DATOS!$A1102,nCURSO,DATOS!$D1102,nESPEC,DATOS!$E1102,nASIG,DATOS!$I1102,nEVAL,"OR")=0))</f>
      </c>
      <c r="I1102">
        <f>IF(DATOS!$I1102="","",IFERROR(VLOOKUP(DATOS!$I1102,CONFIG_ASIGNATURAS!$B$2:$J$91,9,FALSE()),""))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IF(DATOS!$A1103="",0,IF(CONFIG_METADATA!$B$4&lt;&gt;"OR+EX",--(DATOS!$G1103=CONFIG_METADATA!$B$4),IF(DATOS!$G1103="EX",1,IF(DATOS!$G1103="OR",--(COUNTIFS(nNIA,DATOS!$A1103,nCURSO,DATOS!$D1103,nESPEC,DATOS!$E1103,nASIG,DATOS!$I1103,nEVAL,"EX")=0),0))))</f>
      </c>
      <c r="H1103">
        <f>IF(DATOS!$G1103&lt;&gt;"EX",0,--(COUNTIFS(nNIA,DATOS!$A1103,nCURSO,DATOS!$D1103,nESPEC,DATOS!$E1103,nASIG,DATOS!$I1103,nEVAL,"OR")=0))</f>
      </c>
      <c r="I1103">
        <f>IF(DATOS!$I1103="","",IFERROR(VLOOKUP(DATOS!$I1103,CONFIG_ASIGNATURAS!$B$2:$J$91,9,FALSE()),""))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IF(DATOS!$A1104="",0,IF(CONFIG_METADATA!$B$4&lt;&gt;"OR+EX",--(DATOS!$G1104=CONFIG_METADATA!$B$4),IF(DATOS!$G1104="EX",1,IF(DATOS!$G1104="OR",--(COUNTIFS(nNIA,DATOS!$A1104,nCURSO,DATOS!$D1104,nESPEC,DATOS!$E1104,nASIG,DATOS!$I1104,nEVAL,"EX")=0),0))))</f>
      </c>
      <c r="H1104">
        <f>IF(DATOS!$G1104&lt;&gt;"EX",0,--(COUNTIFS(nNIA,DATOS!$A1104,nCURSO,DATOS!$D1104,nESPEC,DATOS!$E1104,nASIG,DATOS!$I1104,nEVAL,"OR")=0))</f>
      </c>
      <c r="I1104">
        <f>IF(DATOS!$I1104="","",IFERROR(VLOOKUP(DATOS!$I1104,CONFIG_ASIGNATURAS!$B$2:$J$91,9,FALSE()),""))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IF(DATOS!$A1105="",0,IF(CONFIG_METADATA!$B$4&lt;&gt;"OR+EX",--(DATOS!$G1105=CONFIG_METADATA!$B$4),IF(DATOS!$G1105="EX",1,IF(DATOS!$G1105="OR",--(COUNTIFS(nNIA,DATOS!$A1105,nCURSO,DATOS!$D1105,nESPEC,DATOS!$E1105,nASIG,DATOS!$I1105,nEVAL,"EX")=0),0))))</f>
      </c>
      <c r="H1105">
        <f>IF(DATOS!$G1105&lt;&gt;"EX",0,--(COUNTIFS(nNIA,DATOS!$A1105,nCURSO,DATOS!$D1105,nESPEC,DATOS!$E1105,nASIG,DATOS!$I1105,nEVAL,"OR")=0))</f>
      </c>
      <c r="I1105">
        <f>IF(DATOS!$I1105="","",IFERROR(VLOOKUP(DATOS!$I1105,CONFIG_ASIGNATURAS!$B$2:$J$91,9,FALSE()),""))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IF(DATOS!$A1106="",0,IF(CONFIG_METADATA!$B$4&lt;&gt;"OR+EX",--(DATOS!$G1106=CONFIG_METADATA!$B$4),IF(DATOS!$G1106="EX",1,IF(DATOS!$G1106="OR",--(COUNTIFS(nNIA,DATOS!$A1106,nCURSO,DATOS!$D1106,nESPEC,DATOS!$E1106,nASIG,DATOS!$I1106,nEVAL,"EX")=0),0))))</f>
      </c>
      <c r="H1106">
        <f>IF(DATOS!$G1106&lt;&gt;"EX",0,--(COUNTIFS(nNIA,DATOS!$A1106,nCURSO,DATOS!$D1106,nESPEC,DATOS!$E1106,nASIG,DATOS!$I1106,nEVAL,"OR")=0))</f>
      </c>
      <c r="I1106">
        <f>IF(DATOS!$I1106="","",IFERROR(VLOOKUP(DATOS!$I1106,CONFIG_ASIGNATURAS!$B$2:$J$91,9,FALSE()),""))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IF(DATOS!$A1107="",0,IF(CONFIG_METADATA!$B$4&lt;&gt;"OR+EX",--(DATOS!$G1107=CONFIG_METADATA!$B$4),IF(DATOS!$G1107="EX",1,IF(DATOS!$G1107="OR",--(COUNTIFS(nNIA,DATOS!$A1107,nCURSO,DATOS!$D1107,nESPEC,DATOS!$E1107,nASIG,DATOS!$I1107,nEVAL,"EX")=0),0))))</f>
      </c>
      <c r="H1107">
        <f>IF(DATOS!$G1107&lt;&gt;"EX",0,--(COUNTIFS(nNIA,DATOS!$A1107,nCURSO,DATOS!$D1107,nESPEC,DATOS!$E1107,nASIG,DATOS!$I1107,nEVAL,"OR")=0))</f>
      </c>
      <c r="I1107">
        <f>IF(DATOS!$I1107="","",IFERROR(VLOOKUP(DATOS!$I1107,CONFIG_ASIGNATURAS!$B$2:$J$91,9,FALSE()),""))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IF(DATOS!$A1108="",0,IF(CONFIG_METADATA!$B$4&lt;&gt;"OR+EX",--(DATOS!$G1108=CONFIG_METADATA!$B$4),IF(DATOS!$G1108="EX",1,IF(DATOS!$G1108="OR",--(COUNTIFS(nNIA,DATOS!$A1108,nCURSO,DATOS!$D1108,nESPEC,DATOS!$E1108,nASIG,DATOS!$I1108,nEVAL,"EX")=0),0))))</f>
      </c>
      <c r="H1108">
        <f>IF(DATOS!$G1108&lt;&gt;"EX",0,--(COUNTIFS(nNIA,DATOS!$A1108,nCURSO,DATOS!$D1108,nESPEC,DATOS!$E1108,nASIG,DATOS!$I1108,nEVAL,"OR")=0))</f>
      </c>
      <c r="I1108">
        <f>IF(DATOS!$I1108="","",IFERROR(VLOOKUP(DATOS!$I1108,CONFIG_ASIGNATURAS!$B$2:$J$91,9,FALSE()),""))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IF(DATOS!$A1109="",0,IF(CONFIG_METADATA!$B$4&lt;&gt;"OR+EX",--(DATOS!$G1109=CONFIG_METADATA!$B$4),IF(DATOS!$G1109="EX",1,IF(DATOS!$G1109="OR",--(COUNTIFS(nNIA,DATOS!$A1109,nCURSO,DATOS!$D1109,nESPEC,DATOS!$E1109,nASIG,DATOS!$I1109,nEVAL,"EX")=0),0))))</f>
      </c>
      <c r="H1109">
        <f>IF(DATOS!$G1109&lt;&gt;"EX",0,--(COUNTIFS(nNIA,DATOS!$A1109,nCURSO,DATOS!$D1109,nESPEC,DATOS!$E1109,nASIG,DATOS!$I1109,nEVAL,"OR")=0))</f>
      </c>
      <c r="I1109">
        <f>IF(DATOS!$I1109="","",IFERROR(VLOOKUP(DATOS!$I1109,CONFIG_ASIGNATURAS!$B$2:$J$91,9,FALSE()),""))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IF(DATOS!$A1110="",0,IF(CONFIG_METADATA!$B$4&lt;&gt;"OR+EX",--(DATOS!$G1110=CONFIG_METADATA!$B$4),IF(DATOS!$G1110="EX",1,IF(DATOS!$G1110="OR",--(COUNTIFS(nNIA,DATOS!$A1110,nCURSO,DATOS!$D1110,nESPEC,DATOS!$E1110,nASIG,DATOS!$I1110,nEVAL,"EX")=0),0))))</f>
      </c>
      <c r="H1110">
        <f>IF(DATOS!$G1110&lt;&gt;"EX",0,--(COUNTIFS(nNIA,DATOS!$A1110,nCURSO,DATOS!$D1110,nESPEC,DATOS!$E1110,nASIG,DATOS!$I1110,nEVAL,"OR")=0))</f>
      </c>
      <c r="I1110">
        <f>IF(DATOS!$I1110="","",IFERROR(VLOOKUP(DATOS!$I1110,CONFIG_ASIGNATURAS!$B$2:$J$91,9,FALSE()),""))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IF(DATOS!$A1111="",0,IF(CONFIG_METADATA!$B$4&lt;&gt;"OR+EX",--(DATOS!$G1111=CONFIG_METADATA!$B$4),IF(DATOS!$G1111="EX",1,IF(DATOS!$G1111="OR",--(COUNTIFS(nNIA,DATOS!$A1111,nCURSO,DATOS!$D1111,nESPEC,DATOS!$E1111,nASIG,DATOS!$I1111,nEVAL,"EX")=0),0))))</f>
      </c>
      <c r="H1111">
        <f>IF(DATOS!$G1111&lt;&gt;"EX",0,--(COUNTIFS(nNIA,DATOS!$A1111,nCURSO,DATOS!$D1111,nESPEC,DATOS!$E1111,nASIG,DATOS!$I1111,nEVAL,"OR")=0))</f>
      </c>
      <c r="I1111">
        <f>IF(DATOS!$I1111="","",IFERROR(VLOOKUP(DATOS!$I1111,CONFIG_ASIGNATURAS!$B$2:$J$91,9,FALSE()),""))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IF(DATOS!$A1112="",0,IF(CONFIG_METADATA!$B$4&lt;&gt;"OR+EX",--(DATOS!$G1112=CONFIG_METADATA!$B$4),IF(DATOS!$G1112="EX",1,IF(DATOS!$G1112="OR",--(COUNTIFS(nNIA,DATOS!$A1112,nCURSO,DATOS!$D1112,nESPEC,DATOS!$E1112,nASIG,DATOS!$I1112,nEVAL,"EX")=0),0))))</f>
      </c>
      <c r="H1112">
        <f>IF(DATOS!$G1112&lt;&gt;"EX",0,--(COUNTIFS(nNIA,DATOS!$A1112,nCURSO,DATOS!$D1112,nESPEC,DATOS!$E1112,nASIG,DATOS!$I1112,nEVAL,"OR")=0))</f>
      </c>
      <c r="I1112">
        <f>IF(DATOS!$I1112="","",IFERROR(VLOOKUP(DATOS!$I1112,CONFIG_ASIGNATURAS!$B$2:$J$91,9,FALSE()),""))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IF(DATOS!$A1113="",0,IF(CONFIG_METADATA!$B$4&lt;&gt;"OR+EX",--(DATOS!$G1113=CONFIG_METADATA!$B$4),IF(DATOS!$G1113="EX",1,IF(DATOS!$G1113="OR",--(COUNTIFS(nNIA,DATOS!$A1113,nCURSO,DATOS!$D1113,nESPEC,DATOS!$E1113,nASIG,DATOS!$I1113,nEVAL,"EX")=0),0))))</f>
      </c>
      <c r="H1113">
        <f>IF(DATOS!$G1113&lt;&gt;"EX",0,--(COUNTIFS(nNIA,DATOS!$A1113,nCURSO,DATOS!$D1113,nESPEC,DATOS!$E1113,nASIG,DATOS!$I1113,nEVAL,"OR")=0))</f>
      </c>
      <c r="I1113">
        <f>IF(DATOS!$I1113="","",IFERROR(VLOOKUP(DATOS!$I1113,CONFIG_ASIGNATURAS!$B$2:$J$91,9,FALSE()),""))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IF(DATOS!$A1114="",0,IF(CONFIG_METADATA!$B$4&lt;&gt;"OR+EX",--(DATOS!$G1114=CONFIG_METADATA!$B$4),IF(DATOS!$G1114="EX",1,IF(DATOS!$G1114="OR",--(COUNTIFS(nNIA,DATOS!$A1114,nCURSO,DATOS!$D1114,nESPEC,DATOS!$E1114,nASIG,DATOS!$I1114,nEVAL,"EX")=0),0))))</f>
      </c>
      <c r="H1114">
        <f>IF(DATOS!$G1114&lt;&gt;"EX",0,--(COUNTIFS(nNIA,DATOS!$A1114,nCURSO,DATOS!$D1114,nESPEC,DATOS!$E1114,nASIG,DATOS!$I1114,nEVAL,"OR")=0))</f>
      </c>
      <c r="I1114">
        <f>IF(DATOS!$I1114="","",IFERROR(VLOOKUP(DATOS!$I1114,CONFIG_ASIGNATURAS!$B$2:$J$91,9,FALSE()),""))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IF(DATOS!$A1115="",0,IF(CONFIG_METADATA!$B$4&lt;&gt;"OR+EX",--(DATOS!$G1115=CONFIG_METADATA!$B$4),IF(DATOS!$G1115="EX",1,IF(DATOS!$G1115="OR",--(COUNTIFS(nNIA,DATOS!$A1115,nCURSO,DATOS!$D1115,nESPEC,DATOS!$E1115,nASIG,DATOS!$I1115,nEVAL,"EX")=0),0))))</f>
      </c>
      <c r="H1115">
        <f>IF(DATOS!$G1115&lt;&gt;"EX",0,--(COUNTIFS(nNIA,DATOS!$A1115,nCURSO,DATOS!$D1115,nESPEC,DATOS!$E1115,nASIG,DATOS!$I1115,nEVAL,"OR")=0))</f>
      </c>
      <c r="I1115">
        <f>IF(DATOS!$I1115="","",IFERROR(VLOOKUP(DATOS!$I1115,CONFIG_ASIGNATURAS!$B$2:$J$91,9,FALSE()),""))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IF(DATOS!$A1116="",0,IF(CONFIG_METADATA!$B$4&lt;&gt;"OR+EX",--(DATOS!$G1116=CONFIG_METADATA!$B$4),IF(DATOS!$G1116="EX",1,IF(DATOS!$G1116="OR",--(COUNTIFS(nNIA,DATOS!$A1116,nCURSO,DATOS!$D1116,nESPEC,DATOS!$E1116,nASIG,DATOS!$I1116,nEVAL,"EX")=0),0))))</f>
      </c>
      <c r="H1116">
        <f>IF(DATOS!$G1116&lt;&gt;"EX",0,--(COUNTIFS(nNIA,DATOS!$A1116,nCURSO,DATOS!$D1116,nESPEC,DATOS!$E1116,nASIG,DATOS!$I1116,nEVAL,"OR")=0))</f>
      </c>
      <c r="I1116">
        <f>IF(DATOS!$I1116="","",IFERROR(VLOOKUP(DATOS!$I1116,CONFIG_ASIGNATURAS!$B$2:$J$91,9,FALSE()),""))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IF(DATOS!$A1117="",0,IF(CONFIG_METADATA!$B$4&lt;&gt;"OR+EX",--(DATOS!$G1117=CONFIG_METADATA!$B$4),IF(DATOS!$G1117="EX",1,IF(DATOS!$G1117="OR",--(COUNTIFS(nNIA,DATOS!$A1117,nCURSO,DATOS!$D1117,nESPEC,DATOS!$E1117,nASIG,DATOS!$I1117,nEVAL,"EX")=0),0))))</f>
      </c>
      <c r="H1117">
        <f>IF(DATOS!$G1117&lt;&gt;"EX",0,--(COUNTIFS(nNIA,DATOS!$A1117,nCURSO,DATOS!$D1117,nESPEC,DATOS!$E1117,nASIG,DATOS!$I1117,nEVAL,"OR")=0))</f>
      </c>
      <c r="I1117">
        <f>IF(DATOS!$I1117="","",IFERROR(VLOOKUP(DATOS!$I1117,CONFIG_ASIGNATURAS!$B$2:$J$91,9,FALSE()),""))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IF(DATOS!$A1118="",0,IF(CONFIG_METADATA!$B$4&lt;&gt;"OR+EX",--(DATOS!$G1118=CONFIG_METADATA!$B$4),IF(DATOS!$G1118="EX",1,IF(DATOS!$G1118="OR",--(COUNTIFS(nNIA,DATOS!$A1118,nCURSO,DATOS!$D1118,nESPEC,DATOS!$E1118,nASIG,DATOS!$I1118,nEVAL,"EX")=0),0))))</f>
      </c>
      <c r="H1118">
        <f>IF(DATOS!$G1118&lt;&gt;"EX",0,--(COUNTIFS(nNIA,DATOS!$A1118,nCURSO,DATOS!$D1118,nESPEC,DATOS!$E1118,nASIG,DATOS!$I1118,nEVAL,"OR")=0))</f>
      </c>
      <c r="I1118">
        <f>IF(DATOS!$I1118="","",IFERROR(VLOOKUP(DATOS!$I1118,CONFIG_ASIGNATURAS!$B$2:$J$91,9,FALSE()),""))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IF(DATOS!$A1119="",0,IF(CONFIG_METADATA!$B$4&lt;&gt;"OR+EX",--(DATOS!$G1119=CONFIG_METADATA!$B$4),IF(DATOS!$G1119="EX",1,IF(DATOS!$G1119="OR",--(COUNTIFS(nNIA,DATOS!$A1119,nCURSO,DATOS!$D1119,nESPEC,DATOS!$E1119,nASIG,DATOS!$I1119,nEVAL,"EX")=0),0))))</f>
      </c>
      <c r="H1119">
        <f>IF(DATOS!$G1119&lt;&gt;"EX",0,--(COUNTIFS(nNIA,DATOS!$A1119,nCURSO,DATOS!$D1119,nESPEC,DATOS!$E1119,nASIG,DATOS!$I1119,nEVAL,"OR")=0))</f>
      </c>
      <c r="I1119">
        <f>IF(DATOS!$I1119="","",IFERROR(VLOOKUP(DATOS!$I1119,CONFIG_ASIGNATURAS!$B$2:$J$91,9,FALSE()),""))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IF(DATOS!$A1120="",0,IF(CONFIG_METADATA!$B$4&lt;&gt;"OR+EX",--(DATOS!$G1120=CONFIG_METADATA!$B$4),IF(DATOS!$G1120="EX",1,IF(DATOS!$G1120="OR",--(COUNTIFS(nNIA,DATOS!$A1120,nCURSO,DATOS!$D1120,nESPEC,DATOS!$E1120,nASIG,DATOS!$I1120,nEVAL,"EX")=0),0))))</f>
      </c>
      <c r="H1120">
        <f>IF(DATOS!$G1120&lt;&gt;"EX",0,--(COUNTIFS(nNIA,DATOS!$A1120,nCURSO,DATOS!$D1120,nESPEC,DATOS!$E1120,nASIG,DATOS!$I1120,nEVAL,"OR")=0))</f>
      </c>
      <c r="I1120">
        <f>IF(DATOS!$I1120="","",IFERROR(VLOOKUP(DATOS!$I1120,CONFIG_ASIGNATURAS!$B$2:$J$91,9,FALSE()),""))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IF(DATOS!$A1121="",0,IF(CONFIG_METADATA!$B$4&lt;&gt;"OR+EX",--(DATOS!$G1121=CONFIG_METADATA!$B$4),IF(DATOS!$G1121="EX",1,IF(DATOS!$G1121="OR",--(COUNTIFS(nNIA,DATOS!$A1121,nCURSO,DATOS!$D1121,nESPEC,DATOS!$E1121,nASIG,DATOS!$I1121,nEVAL,"EX")=0),0))))</f>
      </c>
      <c r="H1121">
        <f>IF(DATOS!$G1121&lt;&gt;"EX",0,--(COUNTIFS(nNIA,DATOS!$A1121,nCURSO,DATOS!$D1121,nESPEC,DATOS!$E1121,nASIG,DATOS!$I1121,nEVAL,"OR")=0))</f>
      </c>
      <c r="I1121">
        <f>IF(DATOS!$I1121="","",IFERROR(VLOOKUP(DATOS!$I1121,CONFIG_ASIGNATURAS!$B$2:$J$91,9,FALSE()),""))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IF(DATOS!$A1122="",0,IF(CONFIG_METADATA!$B$4&lt;&gt;"OR+EX",--(DATOS!$G1122=CONFIG_METADATA!$B$4),IF(DATOS!$G1122="EX",1,IF(DATOS!$G1122="OR",--(COUNTIFS(nNIA,DATOS!$A1122,nCURSO,DATOS!$D1122,nESPEC,DATOS!$E1122,nASIG,DATOS!$I1122,nEVAL,"EX")=0),0))))</f>
      </c>
      <c r="H1122">
        <f>IF(DATOS!$G1122&lt;&gt;"EX",0,--(COUNTIFS(nNIA,DATOS!$A1122,nCURSO,DATOS!$D1122,nESPEC,DATOS!$E1122,nASIG,DATOS!$I1122,nEVAL,"OR")=0))</f>
      </c>
      <c r="I1122">
        <f>IF(DATOS!$I1122="","",IFERROR(VLOOKUP(DATOS!$I1122,CONFIG_ASIGNATURAS!$B$2:$J$91,9,FALSE()),""))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IF(DATOS!$A1123="",0,IF(CONFIG_METADATA!$B$4&lt;&gt;"OR+EX",--(DATOS!$G1123=CONFIG_METADATA!$B$4),IF(DATOS!$G1123="EX",1,IF(DATOS!$G1123="OR",--(COUNTIFS(nNIA,DATOS!$A1123,nCURSO,DATOS!$D1123,nESPEC,DATOS!$E1123,nASIG,DATOS!$I1123,nEVAL,"EX")=0),0))))</f>
      </c>
      <c r="H1123">
        <f>IF(DATOS!$G1123&lt;&gt;"EX",0,--(COUNTIFS(nNIA,DATOS!$A1123,nCURSO,DATOS!$D1123,nESPEC,DATOS!$E1123,nASIG,DATOS!$I1123,nEVAL,"OR")=0))</f>
      </c>
      <c r="I1123">
        <f>IF(DATOS!$I1123="","",IFERROR(VLOOKUP(DATOS!$I1123,CONFIG_ASIGNATURAS!$B$2:$J$91,9,FALSE()),""))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IF(DATOS!$A1124="",0,IF(CONFIG_METADATA!$B$4&lt;&gt;"OR+EX",--(DATOS!$G1124=CONFIG_METADATA!$B$4),IF(DATOS!$G1124="EX",1,IF(DATOS!$G1124="OR",--(COUNTIFS(nNIA,DATOS!$A1124,nCURSO,DATOS!$D1124,nESPEC,DATOS!$E1124,nASIG,DATOS!$I1124,nEVAL,"EX")=0),0))))</f>
      </c>
      <c r="H1124">
        <f>IF(DATOS!$G1124&lt;&gt;"EX",0,--(COUNTIFS(nNIA,DATOS!$A1124,nCURSO,DATOS!$D1124,nESPEC,DATOS!$E1124,nASIG,DATOS!$I1124,nEVAL,"OR")=0))</f>
      </c>
      <c r="I1124">
        <f>IF(DATOS!$I1124="","",IFERROR(VLOOKUP(DATOS!$I1124,CONFIG_ASIGNATURAS!$B$2:$J$91,9,FALSE()),""))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IF(DATOS!$A1125="",0,IF(CONFIG_METADATA!$B$4&lt;&gt;"OR+EX",--(DATOS!$G1125=CONFIG_METADATA!$B$4),IF(DATOS!$G1125="EX",1,IF(DATOS!$G1125="OR",--(COUNTIFS(nNIA,DATOS!$A1125,nCURSO,DATOS!$D1125,nESPEC,DATOS!$E1125,nASIG,DATOS!$I1125,nEVAL,"EX")=0),0))))</f>
      </c>
      <c r="H1125">
        <f>IF(DATOS!$G1125&lt;&gt;"EX",0,--(COUNTIFS(nNIA,DATOS!$A1125,nCURSO,DATOS!$D1125,nESPEC,DATOS!$E1125,nASIG,DATOS!$I1125,nEVAL,"OR")=0))</f>
      </c>
      <c r="I1125">
        <f>IF(DATOS!$I1125="","",IFERROR(VLOOKUP(DATOS!$I1125,CONFIG_ASIGNATURAS!$B$2:$J$91,9,FALSE()),""))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IF(DATOS!$A1126="",0,IF(CONFIG_METADATA!$B$4&lt;&gt;"OR+EX",--(DATOS!$G1126=CONFIG_METADATA!$B$4),IF(DATOS!$G1126="EX",1,IF(DATOS!$G1126="OR",--(COUNTIFS(nNIA,DATOS!$A1126,nCURSO,DATOS!$D1126,nESPEC,DATOS!$E1126,nASIG,DATOS!$I1126,nEVAL,"EX")=0),0))))</f>
      </c>
      <c r="H1126">
        <f>IF(DATOS!$G1126&lt;&gt;"EX",0,--(COUNTIFS(nNIA,DATOS!$A1126,nCURSO,DATOS!$D1126,nESPEC,DATOS!$E1126,nASIG,DATOS!$I1126,nEVAL,"OR")=0))</f>
      </c>
      <c r="I1126">
        <f>IF(DATOS!$I1126="","",IFERROR(VLOOKUP(DATOS!$I1126,CONFIG_ASIGNATURAS!$B$2:$J$91,9,FALSE()),""))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IF(DATOS!$A1127="",0,IF(CONFIG_METADATA!$B$4&lt;&gt;"OR+EX",--(DATOS!$G1127=CONFIG_METADATA!$B$4),IF(DATOS!$G1127="EX",1,IF(DATOS!$G1127="OR",--(COUNTIFS(nNIA,DATOS!$A1127,nCURSO,DATOS!$D1127,nESPEC,DATOS!$E1127,nASIG,DATOS!$I1127,nEVAL,"EX")=0),0))))</f>
      </c>
      <c r="H1127">
        <f>IF(DATOS!$G1127&lt;&gt;"EX",0,--(COUNTIFS(nNIA,DATOS!$A1127,nCURSO,DATOS!$D1127,nESPEC,DATOS!$E1127,nASIG,DATOS!$I1127,nEVAL,"OR")=0))</f>
      </c>
      <c r="I1127">
        <f>IF(DATOS!$I1127="","",IFERROR(VLOOKUP(DATOS!$I1127,CONFIG_ASIGNATURAS!$B$2:$J$91,9,FALSE()),""))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IF(DATOS!$A1128="",0,IF(CONFIG_METADATA!$B$4&lt;&gt;"OR+EX",--(DATOS!$G1128=CONFIG_METADATA!$B$4),IF(DATOS!$G1128="EX",1,IF(DATOS!$G1128="OR",--(COUNTIFS(nNIA,DATOS!$A1128,nCURSO,DATOS!$D1128,nESPEC,DATOS!$E1128,nASIG,DATOS!$I1128,nEVAL,"EX")=0),0))))</f>
      </c>
      <c r="H1128">
        <f>IF(DATOS!$G1128&lt;&gt;"EX",0,--(COUNTIFS(nNIA,DATOS!$A1128,nCURSO,DATOS!$D1128,nESPEC,DATOS!$E1128,nASIG,DATOS!$I1128,nEVAL,"OR")=0))</f>
      </c>
      <c r="I1128">
        <f>IF(DATOS!$I1128="","",IFERROR(VLOOKUP(DATOS!$I1128,CONFIG_ASIGNATURAS!$B$2:$J$91,9,FALSE()),""))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IF(DATOS!$A1129="",0,IF(CONFIG_METADATA!$B$4&lt;&gt;"OR+EX",--(DATOS!$G1129=CONFIG_METADATA!$B$4),IF(DATOS!$G1129="EX",1,IF(DATOS!$G1129="OR",--(COUNTIFS(nNIA,DATOS!$A1129,nCURSO,DATOS!$D1129,nESPEC,DATOS!$E1129,nASIG,DATOS!$I1129,nEVAL,"EX")=0),0))))</f>
      </c>
      <c r="H1129">
        <f>IF(DATOS!$G1129&lt;&gt;"EX",0,--(COUNTIFS(nNIA,DATOS!$A1129,nCURSO,DATOS!$D1129,nESPEC,DATOS!$E1129,nASIG,DATOS!$I1129,nEVAL,"OR")=0))</f>
      </c>
      <c r="I1129">
        <f>IF(DATOS!$I1129="","",IFERROR(VLOOKUP(DATOS!$I1129,CONFIG_ASIGNATURAS!$B$2:$J$91,9,FALSE()),""))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IF(DATOS!$A1130="",0,IF(CONFIG_METADATA!$B$4&lt;&gt;"OR+EX",--(DATOS!$G1130=CONFIG_METADATA!$B$4),IF(DATOS!$G1130="EX",1,IF(DATOS!$G1130="OR",--(COUNTIFS(nNIA,DATOS!$A1130,nCURSO,DATOS!$D1130,nESPEC,DATOS!$E1130,nASIG,DATOS!$I1130,nEVAL,"EX")=0),0))))</f>
      </c>
      <c r="H1130">
        <f>IF(DATOS!$G1130&lt;&gt;"EX",0,--(COUNTIFS(nNIA,DATOS!$A1130,nCURSO,DATOS!$D1130,nESPEC,DATOS!$E1130,nASIG,DATOS!$I1130,nEVAL,"OR")=0))</f>
      </c>
      <c r="I1130">
        <f>IF(DATOS!$I1130="","",IFERROR(VLOOKUP(DATOS!$I1130,CONFIG_ASIGNATURAS!$B$2:$J$91,9,FALSE()),""))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IF(DATOS!$A1131="",0,IF(CONFIG_METADATA!$B$4&lt;&gt;"OR+EX",--(DATOS!$G1131=CONFIG_METADATA!$B$4),IF(DATOS!$G1131="EX",1,IF(DATOS!$G1131="OR",--(COUNTIFS(nNIA,DATOS!$A1131,nCURSO,DATOS!$D1131,nESPEC,DATOS!$E1131,nASIG,DATOS!$I1131,nEVAL,"EX")=0),0))))</f>
      </c>
      <c r="H1131">
        <f>IF(DATOS!$G1131&lt;&gt;"EX",0,--(COUNTIFS(nNIA,DATOS!$A1131,nCURSO,DATOS!$D1131,nESPEC,DATOS!$E1131,nASIG,DATOS!$I1131,nEVAL,"OR")=0))</f>
      </c>
      <c r="I1131">
        <f>IF(DATOS!$I1131="","",IFERROR(VLOOKUP(DATOS!$I1131,CONFIG_ASIGNATURAS!$B$2:$J$91,9,FALSE()),""))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IF(DATOS!$A1132="",0,IF(CONFIG_METADATA!$B$4&lt;&gt;"OR+EX",--(DATOS!$G1132=CONFIG_METADATA!$B$4),IF(DATOS!$G1132="EX",1,IF(DATOS!$G1132="OR",--(COUNTIFS(nNIA,DATOS!$A1132,nCURSO,DATOS!$D1132,nESPEC,DATOS!$E1132,nASIG,DATOS!$I1132,nEVAL,"EX")=0),0))))</f>
      </c>
      <c r="H1132">
        <f>IF(DATOS!$G1132&lt;&gt;"EX",0,--(COUNTIFS(nNIA,DATOS!$A1132,nCURSO,DATOS!$D1132,nESPEC,DATOS!$E1132,nASIG,DATOS!$I1132,nEVAL,"OR")=0))</f>
      </c>
      <c r="I1132">
        <f>IF(DATOS!$I1132="","",IFERROR(VLOOKUP(DATOS!$I1132,CONFIG_ASIGNATURAS!$B$2:$J$91,9,FALSE()),""))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IF(DATOS!$A1133="",0,IF(CONFIG_METADATA!$B$4&lt;&gt;"OR+EX",--(DATOS!$G1133=CONFIG_METADATA!$B$4),IF(DATOS!$G1133="EX",1,IF(DATOS!$G1133="OR",--(COUNTIFS(nNIA,DATOS!$A1133,nCURSO,DATOS!$D1133,nESPEC,DATOS!$E1133,nASIG,DATOS!$I1133,nEVAL,"EX")=0),0))))</f>
      </c>
      <c r="H1133">
        <f>IF(DATOS!$G1133&lt;&gt;"EX",0,--(COUNTIFS(nNIA,DATOS!$A1133,nCURSO,DATOS!$D1133,nESPEC,DATOS!$E1133,nASIG,DATOS!$I1133,nEVAL,"OR")=0))</f>
      </c>
      <c r="I1133">
        <f>IF(DATOS!$I1133="","",IFERROR(VLOOKUP(DATOS!$I1133,CONFIG_ASIGNATURAS!$B$2:$J$91,9,FALSE()),""))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IF(DATOS!$A1134="",0,IF(CONFIG_METADATA!$B$4&lt;&gt;"OR+EX",--(DATOS!$G1134=CONFIG_METADATA!$B$4),IF(DATOS!$G1134="EX",1,IF(DATOS!$G1134="OR",--(COUNTIFS(nNIA,DATOS!$A1134,nCURSO,DATOS!$D1134,nESPEC,DATOS!$E1134,nASIG,DATOS!$I1134,nEVAL,"EX")=0),0))))</f>
      </c>
      <c r="H1134">
        <f>IF(DATOS!$G1134&lt;&gt;"EX",0,--(COUNTIFS(nNIA,DATOS!$A1134,nCURSO,DATOS!$D1134,nESPEC,DATOS!$E1134,nASIG,DATOS!$I1134,nEVAL,"OR")=0))</f>
      </c>
      <c r="I1134">
        <f>IF(DATOS!$I1134="","",IFERROR(VLOOKUP(DATOS!$I1134,CONFIG_ASIGNATURAS!$B$2:$J$91,9,FALSE()),""))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IF(DATOS!$A1135="",0,IF(CONFIG_METADATA!$B$4&lt;&gt;"OR+EX",--(DATOS!$G1135=CONFIG_METADATA!$B$4),IF(DATOS!$G1135="EX",1,IF(DATOS!$G1135="OR",--(COUNTIFS(nNIA,DATOS!$A1135,nCURSO,DATOS!$D1135,nESPEC,DATOS!$E1135,nASIG,DATOS!$I1135,nEVAL,"EX")=0),0))))</f>
      </c>
      <c r="H1135">
        <f>IF(DATOS!$G1135&lt;&gt;"EX",0,--(COUNTIFS(nNIA,DATOS!$A1135,nCURSO,DATOS!$D1135,nESPEC,DATOS!$E1135,nASIG,DATOS!$I1135,nEVAL,"OR")=0))</f>
      </c>
      <c r="I1135">
        <f>IF(DATOS!$I1135="","",IFERROR(VLOOKUP(DATOS!$I1135,CONFIG_ASIGNATURAS!$B$2:$J$91,9,FALSE()),""))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IF(DATOS!$A1136="",0,IF(CONFIG_METADATA!$B$4&lt;&gt;"OR+EX",--(DATOS!$G1136=CONFIG_METADATA!$B$4),IF(DATOS!$G1136="EX",1,IF(DATOS!$G1136="OR",--(COUNTIFS(nNIA,DATOS!$A1136,nCURSO,DATOS!$D1136,nESPEC,DATOS!$E1136,nASIG,DATOS!$I1136,nEVAL,"EX")=0),0))))</f>
      </c>
      <c r="H1136">
        <f>IF(DATOS!$G1136&lt;&gt;"EX",0,--(COUNTIFS(nNIA,DATOS!$A1136,nCURSO,DATOS!$D1136,nESPEC,DATOS!$E1136,nASIG,DATOS!$I1136,nEVAL,"OR")=0))</f>
      </c>
      <c r="I1136">
        <f>IF(DATOS!$I1136="","",IFERROR(VLOOKUP(DATOS!$I1136,CONFIG_ASIGNATURAS!$B$2:$J$91,9,FALSE()),""))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IF(DATOS!$A1137="",0,IF(CONFIG_METADATA!$B$4&lt;&gt;"OR+EX",--(DATOS!$G1137=CONFIG_METADATA!$B$4),IF(DATOS!$G1137="EX",1,IF(DATOS!$G1137="OR",--(COUNTIFS(nNIA,DATOS!$A1137,nCURSO,DATOS!$D1137,nESPEC,DATOS!$E1137,nASIG,DATOS!$I1137,nEVAL,"EX")=0),0))))</f>
      </c>
      <c r="H1137">
        <f>IF(DATOS!$G1137&lt;&gt;"EX",0,--(COUNTIFS(nNIA,DATOS!$A1137,nCURSO,DATOS!$D1137,nESPEC,DATOS!$E1137,nASIG,DATOS!$I1137,nEVAL,"OR")=0))</f>
      </c>
      <c r="I1137">
        <f>IF(DATOS!$I1137="","",IFERROR(VLOOKUP(DATOS!$I1137,CONFIG_ASIGNATURAS!$B$2:$J$91,9,FALSE()),""))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IF(DATOS!$A1138="",0,IF(CONFIG_METADATA!$B$4&lt;&gt;"OR+EX",--(DATOS!$G1138=CONFIG_METADATA!$B$4),IF(DATOS!$G1138="EX",1,IF(DATOS!$G1138="OR",--(COUNTIFS(nNIA,DATOS!$A1138,nCURSO,DATOS!$D1138,nESPEC,DATOS!$E1138,nASIG,DATOS!$I1138,nEVAL,"EX")=0),0))))</f>
      </c>
      <c r="H1138">
        <f>IF(DATOS!$G1138&lt;&gt;"EX",0,--(COUNTIFS(nNIA,DATOS!$A1138,nCURSO,DATOS!$D1138,nESPEC,DATOS!$E1138,nASIG,DATOS!$I1138,nEVAL,"OR")=0))</f>
      </c>
      <c r="I1138">
        <f>IF(DATOS!$I1138="","",IFERROR(VLOOKUP(DATOS!$I1138,CONFIG_ASIGNATURAS!$B$2:$J$91,9,FALSE()),""))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IF(DATOS!$A1139="",0,IF(CONFIG_METADATA!$B$4&lt;&gt;"OR+EX",--(DATOS!$G1139=CONFIG_METADATA!$B$4),IF(DATOS!$G1139="EX",1,IF(DATOS!$G1139="OR",--(COUNTIFS(nNIA,DATOS!$A1139,nCURSO,DATOS!$D1139,nESPEC,DATOS!$E1139,nASIG,DATOS!$I1139,nEVAL,"EX")=0),0))))</f>
      </c>
      <c r="H1139">
        <f>IF(DATOS!$G1139&lt;&gt;"EX",0,--(COUNTIFS(nNIA,DATOS!$A1139,nCURSO,DATOS!$D1139,nESPEC,DATOS!$E1139,nASIG,DATOS!$I1139,nEVAL,"OR")=0))</f>
      </c>
      <c r="I1139">
        <f>IF(DATOS!$I1139="","",IFERROR(VLOOKUP(DATOS!$I1139,CONFIG_ASIGNATURAS!$B$2:$J$91,9,FALSE()),""))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IF(DATOS!$A1140="",0,IF(CONFIG_METADATA!$B$4&lt;&gt;"OR+EX",--(DATOS!$G1140=CONFIG_METADATA!$B$4),IF(DATOS!$G1140="EX",1,IF(DATOS!$G1140="OR",--(COUNTIFS(nNIA,DATOS!$A1140,nCURSO,DATOS!$D1140,nESPEC,DATOS!$E1140,nASIG,DATOS!$I1140,nEVAL,"EX")=0),0))))</f>
      </c>
      <c r="H1140">
        <f>IF(DATOS!$G1140&lt;&gt;"EX",0,--(COUNTIFS(nNIA,DATOS!$A1140,nCURSO,DATOS!$D1140,nESPEC,DATOS!$E1140,nASIG,DATOS!$I1140,nEVAL,"OR")=0))</f>
      </c>
      <c r="I1140">
        <f>IF(DATOS!$I1140="","",IFERROR(VLOOKUP(DATOS!$I1140,CONFIG_ASIGNATURAS!$B$2:$J$91,9,FALSE()),""))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IF(DATOS!$A1141="",0,IF(CONFIG_METADATA!$B$4&lt;&gt;"OR+EX",--(DATOS!$G1141=CONFIG_METADATA!$B$4),IF(DATOS!$G1141="EX",1,IF(DATOS!$G1141="OR",--(COUNTIFS(nNIA,DATOS!$A1141,nCURSO,DATOS!$D1141,nESPEC,DATOS!$E1141,nASIG,DATOS!$I1141,nEVAL,"EX")=0),0))))</f>
      </c>
      <c r="H1141">
        <f>IF(DATOS!$G1141&lt;&gt;"EX",0,--(COUNTIFS(nNIA,DATOS!$A1141,nCURSO,DATOS!$D1141,nESPEC,DATOS!$E1141,nASIG,DATOS!$I1141,nEVAL,"OR")=0))</f>
      </c>
      <c r="I1141">
        <f>IF(DATOS!$I1141="","",IFERROR(VLOOKUP(DATOS!$I1141,CONFIG_ASIGNATURAS!$B$2:$J$91,9,FALSE()),""))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IF(DATOS!$A1142="",0,IF(CONFIG_METADATA!$B$4&lt;&gt;"OR+EX",--(DATOS!$G1142=CONFIG_METADATA!$B$4),IF(DATOS!$G1142="EX",1,IF(DATOS!$G1142="OR",--(COUNTIFS(nNIA,DATOS!$A1142,nCURSO,DATOS!$D1142,nESPEC,DATOS!$E1142,nASIG,DATOS!$I1142,nEVAL,"EX")=0),0))))</f>
      </c>
      <c r="H1142">
        <f>IF(DATOS!$G1142&lt;&gt;"EX",0,--(COUNTIFS(nNIA,DATOS!$A1142,nCURSO,DATOS!$D1142,nESPEC,DATOS!$E1142,nASIG,DATOS!$I1142,nEVAL,"OR")=0))</f>
      </c>
      <c r="I1142">
        <f>IF(DATOS!$I1142="","",IFERROR(VLOOKUP(DATOS!$I1142,CONFIG_ASIGNATURAS!$B$2:$J$91,9,FALSE()),""))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IF(DATOS!$A1143="",0,IF(CONFIG_METADATA!$B$4&lt;&gt;"OR+EX",--(DATOS!$G1143=CONFIG_METADATA!$B$4),IF(DATOS!$G1143="EX",1,IF(DATOS!$G1143="OR",--(COUNTIFS(nNIA,DATOS!$A1143,nCURSO,DATOS!$D1143,nESPEC,DATOS!$E1143,nASIG,DATOS!$I1143,nEVAL,"EX")=0),0))))</f>
      </c>
      <c r="H1143">
        <f>IF(DATOS!$G1143&lt;&gt;"EX",0,--(COUNTIFS(nNIA,DATOS!$A1143,nCURSO,DATOS!$D1143,nESPEC,DATOS!$E1143,nASIG,DATOS!$I1143,nEVAL,"OR")=0))</f>
      </c>
      <c r="I1143">
        <f>IF(DATOS!$I1143="","",IFERROR(VLOOKUP(DATOS!$I1143,CONFIG_ASIGNATURAS!$B$2:$J$91,9,FALSE()),""))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IF(DATOS!$A1144="",0,IF(CONFIG_METADATA!$B$4&lt;&gt;"OR+EX",--(DATOS!$G1144=CONFIG_METADATA!$B$4),IF(DATOS!$G1144="EX",1,IF(DATOS!$G1144="OR",--(COUNTIFS(nNIA,DATOS!$A1144,nCURSO,DATOS!$D1144,nESPEC,DATOS!$E1144,nASIG,DATOS!$I1144,nEVAL,"EX")=0),0))))</f>
      </c>
      <c r="H1144">
        <f>IF(DATOS!$G1144&lt;&gt;"EX",0,--(COUNTIFS(nNIA,DATOS!$A1144,nCURSO,DATOS!$D1144,nESPEC,DATOS!$E1144,nASIG,DATOS!$I1144,nEVAL,"OR")=0))</f>
      </c>
      <c r="I1144">
        <f>IF(DATOS!$I1144="","",IFERROR(VLOOKUP(DATOS!$I1144,CONFIG_ASIGNATURAS!$B$2:$J$91,9,FALSE()),""))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IF(DATOS!$A1145="",0,IF(CONFIG_METADATA!$B$4&lt;&gt;"OR+EX",--(DATOS!$G1145=CONFIG_METADATA!$B$4),IF(DATOS!$G1145="EX",1,IF(DATOS!$G1145="OR",--(COUNTIFS(nNIA,DATOS!$A1145,nCURSO,DATOS!$D1145,nESPEC,DATOS!$E1145,nASIG,DATOS!$I1145,nEVAL,"EX")=0),0))))</f>
      </c>
      <c r="H1145">
        <f>IF(DATOS!$G1145&lt;&gt;"EX",0,--(COUNTIFS(nNIA,DATOS!$A1145,nCURSO,DATOS!$D1145,nESPEC,DATOS!$E1145,nASIG,DATOS!$I1145,nEVAL,"OR")=0))</f>
      </c>
      <c r="I1145">
        <f>IF(DATOS!$I1145="","",IFERROR(VLOOKUP(DATOS!$I1145,CONFIG_ASIGNATURAS!$B$2:$J$91,9,FALSE()),""))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IF(DATOS!$A1146="",0,IF(CONFIG_METADATA!$B$4&lt;&gt;"OR+EX",--(DATOS!$G1146=CONFIG_METADATA!$B$4),IF(DATOS!$G1146="EX",1,IF(DATOS!$G1146="OR",--(COUNTIFS(nNIA,DATOS!$A1146,nCURSO,DATOS!$D1146,nESPEC,DATOS!$E1146,nASIG,DATOS!$I1146,nEVAL,"EX")=0),0))))</f>
      </c>
      <c r="H1146">
        <f>IF(DATOS!$G1146&lt;&gt;"EX",0,--(COUNTIFS(nNIA,DATOS!$A1146,nCURSO,DATOS!$D1146,nESPEC,DATOS!$E1146,nASIG,DATOS!$I1146,nEVAL,"OR")=0))</f>
      </c>
      <c r="I1146">
        <f>IF(DATOS!$I1146="","",IFERROR(VLOOKUP(DATOS!$I1146,CONFIG_ASIGNATURAS!$B$2:$J$91,9,FALSE()),""))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IF(DATOS!$A1147="",0,IF(CONFIG_METADATA!$B$4&lt;&gt;"OR+EX",--(DATOS!$G1147=CONFIG_METADATA!$B$4),IF(DATOS!$G1147="EX",1,IF(DATOS!$G1147="OR",--(COUNTIFS(nNIA,DATOS!$A1147,nCURSO,DATOS!$D1147,nESPEC,DATOS!$E1147,nASIG,DATOS!$I1147,nEVAL,"EX")=0),0))))</f>
      </c>
      <c r="H1147">
        <f>IF(DATOS!$G1147&lt;&gt;"EX",0,--(COUNTIFS(nNIA,DATOS!$A1147,nCURSO,DATOS!$D1147,nESPEC,DATOS!$E1147,nASIG,DATOS!$I1147,nEVAL,"OR")=0))</f>
      </c>
      <c r="I1147">
        <f>IF(DATOS!$I1147="","",IFERROR(VLOOKUP(DATOS!$I1147,CONFIG_ASIGNATURAS!$B$2:$J$91,9,FALSE()),""))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IF(DATOS!$A1148="",0,IF(CONFIG_METADATA!$B$4&lt;&gt;"OR+EX",--(DATOS!$G1148=CONFIG_METADATA!$B$4),IF(DATOS!$G1148="EX",1,IF(DATOS!$G1148="OR",--(COUNTIFS(nNIA,DATOS!$A1148,nCURSO,DATOS!$D1148,nESPEC,DATOS!$E1148,nASIG,DATOS!$I1148,nEVAL,"EX")=0),0))))</f>
      </c>
      <c r="H1148">
        <f>IF(DATOS!$G1148&lt;&gt;"EX",0,--(COUNTIFS(nNIA,DATOS!$A1148,nCURSO,DATOS!$D1148,nESPEC,DATOS!$E1148,nASIG,DATOS!$I1148,nEVAL,"OR")=0))</f>
      </c>
      <c r="I1148">
        <f>IF(DATOS!$I1148="","",IFERROR(VLOOKUP(DATOS!$I1148,CONFIG_ASIGNATURAS!$B$2:$J$91,9,FALSE()),""))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IF(DATOS!$A1149="",0,IF(CONFIG_METADATA!$B$4&lt;&gt;"OR+EX",--(DATOS!$G1149=CONFIG_METADATA!$B$4),IF(DATOS!$G1149="EX",1,IF(DATOS!$G1149="OR",--(COUNTIFS(nNIA,DATOS!$A1149,nCURSO,DATOS!$D1149,nESPEC,DATOS!$E1149,nASIG,DATOS!$I1149,nEVAL,"EX")=0),0))))</f>
      </c>
      <c r="H1149">
        <f>IF(DATOS!$G1149&lt;&gt;"EX",0,--(COUNTIFS(nNIA,DATOS!$A1149,nCURSO,DATOS!$D1149,nESPEC,DATOS!$E1149,nASIG,DATOS!$I1149,nEVAL,"OR")=0))</f>
      </c>
      <c r="I1149">
        <f>IF(DATOS!$I1149="","",IFERROR(VLOOKUP(DATOS!$I1149,CONFIG_ASIGNATURAS!$B$2:$J$91,9,FALSE()),""))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IF(DATOS!$A1150="",0,IF(CONFIG_METADATA!$B$4&lt;&gt;"OR+EX",--(DATOS!$G1150=CONFIG_METADATA!$B$4),IF(DATOS!$G1150="EX",1,IF(DATOS!$G1150="OR",--(COUNTIFS(nNIA,DATOS!$A1150,nCURSO,DATOS!$D1150,nESPEC,DATOS!$E1150,nASIG,DATOS!$I1150,nEVAL,"EX")=0),0))))</f>
      </c>
      <c r="H1150">
        <f>IF(DATOS!$G1150&lt;&gt;"EX",0,--(COUNTIFS(nNIA,DATOS!$A1150,nCURSO,DATOS!$D1150,nESPEC,DATOS!$E1150,nASIG,DATOS!$I1150,nEVAL,"OR")=0))</f>
      </c>
      <c r="I1150">
        <f>IF(DATOS!$I1150="","",IFERROR(VLOOKUP(DATOS!$I1150,CONFIG_ASIGNATURAS!$B$2:$J$91,9,FALSE()),""))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IF(DATOS!$A1151="",0,IF(CONFIG_METADATA!$B$4&lt;&gt;"OR+EX",--(DATOS!$G1151=CONFIG_METADATA!$B$4),IF(DATOS!$G1151="EX",1,IF(DATOS!$G1151="OR",--(COUNTIFS(nNIA,DATOS!$A1151,nCURSO,DATOS!$D1151,nESPEC,DATOS!$E1151,nASIG,DATOS!$I1151,nEVAL,"EX")=0),0))))</f>
      </c>
      <c r="H1151">
        <f>IF(DATOS!$G1151&lt;&gt;"EX",0,--(COUNTIFS(nNIA,DATOS!$A1151,nCURSO,DATOS!$D1151,nESPEC,DATOS!$E1151,nASIG,DATOS!$I1151,nEVAL,"OR")=0))</f>
      </c>
      <c r="I1151">
        <f>IF(DATOS!$I1151="","",IFERROR(VLOOKUP(DATOS!$I1151,CONFIG_ASIGNATURAS!$B$2:$J$91,9,FALSE()),""))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IF(DATOS!$A1152="",0,IF(CONFIG_METADATA!$B$4&lt;&gt;"OR+EX",--(DATOS!$G1152=CONFIG_METADATA!$B$4),IF(DATOS!$G1152="EX",1,IF(DATOS!$G1152="OR",--(COUNTIFS(nNIA,DATOS!$A1152,nCURSO,DATOS!$D1152,nESPEC,DATOS!$E1152,nASIG,DATOS!$I1152,nEVAL,"EX")=0),0))))</f>
      </c>
      <c r="H1152">
        <f>IF(DATOS!$G1152&lt;&gt;"EX",0,--(COUNTIFS(nNIA,DATOS!$A1152,nCURSO,DATOS!$D1152,nESPEC,DATOS!$E1152,nASIG,DATOS!$I1152,nEVAL,"OR")=0))</f>
      </c>
      <c r="I1152">
        <f>IF(DATOS!$I1152="","",IFERROR(VLOOKUP(DATOS!$I1152,CONFIG_ASIGNATURAS!$B$2:$J$91,9,FALSE()),""))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IF(DATOS!$A1153="",0,IF(CONFIG_METADATA!$B$4&lt;&gt;"OR+EX",--(DATOS!$G1153=CONFIG_METADATA!$B$4),IF(DATOS!$G1153="EX",1,IF(DATOS!$G1153="OR",--(COUNTIFS(nNIA,DATOS!$A1153,nCURSO,DATOS!$D1153,nESPEC,DATOS!$E1153,nASIG,DATOS!$I1153,nEVAL,"EX")=0),0))))</f>
      </c>
      <c r="H1153">
        <f>IF(DATOS!$G1153&lt;&gt;"EX",0,--(COUNTIFS(nNIA,DATOS!$A1153,nCURSO,DATOS!$D1153,nESPEC,DATOS!$E1153,nASIG,DATOS!$I1153,nEVAL,"OR")=0))</f>
      </c>
      <c r="I1153">
        <f>IF(DATOS!$I1153="","",IFERROR(VLOOKUP(DATOS!$I1153,CONFIG_ASIGNATURAS!$B$2:$J$91,9,FALSE()),""))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IF(DATOS!$A1154="",0,IF(CONFIG_METADATA!$B$4&lt;&gt;"OR+EX",--(DATOS!$G1154=CONFIG_METADATA!$B$4),IF(DATOS!$G1154="EX",1,IF(DATOS!$G1154="OR",--(COUNTIFS(nNIA,DATOS!$A1154,nCURSO,DATOS!$D1154,nESPEC,DATOS!$E1154,nASIG,DATOS!$I1154,nEVAL,"EX")=0),0))))</f>
      </c>
      <c r="H1154">
        <f>IF(DATOS!$G1154&lt;&gt;"EX",0,--(COUNTIFS(nNIA,DATOS!$A1154,nCURSO,DATOS!$D1154,nESPEC,DATOS!$E1154,nASIG,DATOS!$I1154,nEVAL,"OR")=0))</f>
      </c>
      <c r="I1154">
        <f>IF(DATOS!$I1154="","",IFERROR(VLOOKUP(DATOS!$I1154,CONFIG_ASIGNATURAS!$B$2:$J$91,9,FALSE()),""))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IF(DATOS!$A1155="",0,IF(CONFIG_METADATA!$B$4&lt;&gt;"OR+EX",--(DATOS!$G1155=CONFIG_METADATA!$B$4),IF(DATOS!$G1155="EX",1,IF(DATOS!$G1155="OR",--(COUNTIFS(nNIA,DATOS!$A1155,nCURSO,DATOS!$D1155,nESPEC,DATOS!$E1155,nASIG,DATOS!$I1155,nEVAL,"EX")=0),0))))</f>
      </c>
      <c r="H1155">
        <f>IF(DATOS!$G1155&lt;&gt;"EX",0,--(COUNTIFS(nNIA,DATOS!$A1155,nCURSO,DATOS!$D1155,nESPEC,DATOS!$E1155,nASIG,DATOS!$I1155,nEVAL,"OR")=0))</f>
      </c>
      <c r="I1155">
        <f>IF(DATOS!$I1155="","",IFERROR(VLOOKUP(DATOS!$I1155,CONFIG_ASIGNATURAS!$B$2:$J$91,9,FALSE()),""))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IF(DATOS!$A1156="",0,IF(CONFIG_METADATA!$B$4&lt;&gt;"OR+EX",--(DATOS!$G1156=CONFIG_METADATA!$B$4),IF(DATOS!$G1156="EX",1,IF(DATOS!$G1156="OR",--(COUNTIFS(nNIA,DATOS!$A1156,nCURSO,DATOS!$D1156,nESPEC,DATOS!$E1156,nASIG,DATOS!$I1156,nEVAL,"EX")=0),0))))</f>
      </c>
      <c r="H1156">
        <f>IF(DATOS!$G1156&lt;&gt;"EX",0,--(COUNTIFS(nNIA,DATOS!$A1156,nCURSO,DATOS!$D1156,nESPEC,DATOS!$E1156,nASIG,DATOS!$I1156,nEVAL,"OR")=0))</f>
      </c>
      <c r="I1156">
        <f>IF(DATOS!$I1156="","",IFERROR(VLOOKUP(DATOS!$I1156,CONFIG_ASIGNATURAS!$B$2:$J$91,9,FALSE()),""))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IF(DATOS!$A1157="",0,IF(CONFIG_METADATA!$B$4&lt;&gt;"OR+EX",--(DATOS!$G1157=CONFIG_METADATA!$B$4),IF(DATOS!$G1157="EX",1,IF(DATOS!$G1157="OR",--(COUNTIFS(nNIA,DATOS!$A1157,nCURSO,DATOS!$D1157,nESPEC,DATOS!$E1157,nASIG,DATOS!$I1157,nEVAL,"EX")=0),0))))</f>
      </c>
      <c r="H1157">
        <f>IF(DATOS!$G1157&lt;&gt;"EX",0,--(COUNTIFS(nNIA,DATOS!$A1157,nCURSO,DATOS!$D1157,nESPEC,DATOS!$E1157,nASIG,DATOS!$I1157,nEVAL,"OR")=0))</f>
      </c>
      <c r="I1157">
        <f>IF(DATOS!$I1157="","",IFERROR(VLOOKUP(DATOS!$I1157,CONFIG_ASIGNATURAS!$B$2:$J$91,9,FALSE()),""))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IF(DATOS!$A1158="",0,IF(CONFIG_METADATA!$B$4&lt;&gt;"OR+EX",--(DATOS!$G1158=CONFIG_METADATA!$B$4),IF(DATOS!$G1158="EX",1,IF(DATOS!$G1158="OR",--(COUNTIFS(nNIA,DATOS!$A1158,nCURSO,DATOS!$D1158,nESPEC,DATOS!$E1158,nASIG,DATOS!$I1158,nEVAL,"EX")=0),0))))</f>
      </c>
      <c r="H1158">
        <f>IF(DATOS!$G1158&lt;&gt;"EX",0,--(COUNTIFS(nNIA,DATOS!$A1158,nCURSO,DATOS!$D1158,nESPEC,DATOS!$E1158,nASIG,DATOS!$I1158,nEVAL,"OR")=0))</f>
      </c>
      <c r="I1158">
        <f>IF(DATOS!$I1158="","",IFERROR(VLOOKUP(DATOS!$I1158,CONFIG_ASIGNATURAS!$B$2:$J$91,9,FALSE()),""))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IF(DATOS!$A1159="",0,IF(CONFIG_METADATA!$B$4&lt;&gt;"OR+EX",--(DATOS!$G1159=CONFIG_METADATA!$B$4),IF(DATOS!$G1159="EX",1,IF(DATOS!$G1159="OR",--(COUNTIFS(nNIA,DATOS!$A1159,nCURSO,DATOS!$D1159,nESPEC,DATOS!$E1159,nASIG,DATOS!$I1159,nEVAL,"EX")=0),0))))</f>
      </c>
      <c r="H1159">
        <f>IF(DATOS!$G1159&lt;&gt;"EX",0,--(COUNTIFS(nNIA,DATOS!$A1159,nCURSO,DATOS!$D1159,nESPEC,DATOS!$E1159,nASIG,DATOS!$I1159,nEVAL,"OR")=0))</f>
      </c>
      <c r="I1159">
        <f>IF(DATOS!$I1159="","",IFERROR(VLOOKUP(DATOS!$I1159,CONFIG_ASIGNATURAS!$B$2:$J$91,9,FALSE()),""))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IF(DATOS!$A1160="",0,IF(CONFIG_METADATA!$B$4&lt;&gt;"OR+EX",--(DATOS!$G1160=CONFIG_METADATA!$B$4),IF(DATOS!$G1160="EX",1,IF(DATOS!$G1160="OR",--(COUNTIFS(nNIA,DATOS!$A1160,nCURSO,DATOS!$D1160,nESPEC,DATOS!$E1160,nASIG,DATOS!$I1160,nEVAL,"EX")=0),0))))</f>
      </c>
      <c r="H1160">
        <f>IF(DATOS!$G1160&lt;&gt;"EX",0,--(COUNTIFS(nNIA,DATOS!$A1160,nCURSO,DATOS!$D1160,nESPEC,DATOS!$E1160,nASIG,DATOS!$I1160,nEVAL,"OR")=0))</f>
      </c>
      <c r="I1160">
        <f>IF(DATOS!$I1160="","",IFERROR(VLOOKUP(DATOS!$I1160,CONFIG_ASIGNATURAS!$B$2:$J$91,9,FALSE()),""))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IF(DATOS!$A1161="",0,IF(CONFIG_METADATA!$B$4&lt;&gt;"OR+EX",--(DATOS!$G1161=CONFIG_METADATA!$B$4),IF(DATOS!$G1161="EX",1,IF(DATOS!$G1161="OR",--(COUNTIFS(nNIA,DATOS!$A1161,nCURSO,DATOS!$D1161,nESPEC,DATOS!$E1161,nASIG,DATOS!$I1161,nEVAL,"EX")=0),0))))</f>
      </c>
      <c r="H1161">
        <f>IF(DATOS!$G1161&lt;&gt;"EX",0,--(COUNTIFS(nNIA,DATOS!$A1161,nCURSO,DATOS!$D1161,nESPEC,DATOS!$E1161,nASIG,DATOS!$I1161,nEVAL,"OR")=0))</f>
      </c>
      <c r="I1161">
        <f>IF(DATOS!$I1161="","",IFERROR(VLOOKUP(DATOS!$I1161,CONFIG_ASIGNATURAS!$B$2:$J$91,9,FALSE()),""))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IF(DATOS!$A1162="",0,IF(CONFIG_METADATA!$B$4&lt;&gt;"OR+EX",--(DATOS!$G1162=CONFIG_METADATA!$B$4),IF(DATOS!$G1162="EX",1,IF(DATOS!$G1162="OR",--(COUNTIFS(nNIA,DATOS!$A1162,nCURSO,DATOS!$D1162,nESPEC,DATOS!$E1162,nASIG,DATOS!$I1162,nEVAL,"EX")=0),0))))</f>
      </c>
      <c r="H1162">
        <f>IF(DATOS!$G1162&lt;&gt;"EX",0,--(COUNTIFS(nNIA,DATOS!$A1162,nCURSO,DATOS!$D1162,nESPEC,DATOS!$E1162,nASIG,DATOS!$I1162,nEVAL,"OR")=0))</f>
      </c>
      <c r="I1162">
        <f>IF(DATOS!$I1162="","",IFERROR(VLOOKUP(DATOS!$I1162,CONFIG_ASIGNATURAS!$B$2:$J$91,9,FALSE()),""))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IF(DATOS!$A1163="",0,IF(CONFIG_METADATA!$B$4&lt;&gt;"OR+EX",--(DATOS!$G1163=CONFIG_METADATA!$B$4),IF(DATOS!$G1163="EX",1,IF(DATOS!$G1163="OR",--(COUNTIFS(nNIA,DATOS!$A1163,nCURSO,DATOS!$D1163,nESPEC,DATOS!$E1163,nASIG,DATOS!$I1163,nEVAL,"EX")=0),0))))</f>
      </c>
      <c r="H1163">
        <f>IF(DATOS!$G1163&lt;&gt;"EX",0,--(COUNTIFS(nNIA,DATOS!$A1163,nCURSO,DATOS!$D1163,nESPEC,DATOS!$E1163,nASIG,DATOS!$I1163,nEVAL,"OR")=0))</f>
      </c>
      <c r="I1163">
        <f>IF(DATOS!$I1163="","",IFERROR(VLOOKUP(DATOS!$I1163,CONFIG_ASIGNATURAS!$B$2:$J$91,9,FALSE()),""))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IF(DATOS!$A1164="",0,IF(CONFIG_METADATA!$B$4&lt;&gt;"OR+EX",--(DATOS!$G1164=CONFIG_METADATA!$B$4),IF(DATOS!$G1164="EX",1,IF(DATOS!$G1164="OR",--(COUNTIFS(nNIA,DATOS!$A1164,nCURSO,DATOS!$D1164,nESPEC,DATOS!$E1164,nASIG,DATOS!$I1164,nEVAL,"EX")=0),0))))</f>
      </c>
      <c r="H1164">
        <f>IF(DATOS!$G1164&lt;&gt;"EX",0,--(COUNTIFS(nNIA,DATOS!$A1164,nCURSO,DATOS!$D1164,nESPEC,DATOS!$E1164,nASIG,DATOS!$I1164,nEVAL,"OR")=0))</f>
      </c>
      <c r="I1164">
        <f>IF(DATOS!$I1164="","",IFERROR(VLOOKUP(DATOS!$I1164,CONFIG_ASIGNATURAS!$B$2:$J$91,9,FALSE()),""))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IF(DATOS!$A1165="",0,IF(CONFIG_METADATA!$B$4&lt;&gt;"OR+EX",--(DATOS!$G1165=CONFIG_METADATA!$B$4),IF(DATOS!$G1165="EX",1,IF(DATOS!$G1165="OR",--(COUNTIFS(nNIA,DATOS!$A1165,nCURSO,DATOS!$D1165,nESPEC,DATOS!$E1165,nASIG,DATOS!$I1165,nEVAL,"EX")=0),0))))</f>
      </c>
      <c r="H1165">
        <f>IF(DATOS!$G1165&lt;&gt;"EX",0,--(COUNTIFS(nNIA,DATOS!$A1165,nCURSO,DATOS!$D1165,nESPEC,DATOS!$E1165,nASIG,DATOS!$I1165,nEVAL,"OR")=0))</f>
      </c>
      <c r="I1165">
        <f>IF(DATOS!$I1165="","",IFERROR(VLOOKUP(DATOS!$I1165,CONFIG_ASIGNATURAS!$B$2:$J$91,9,FALSE()),""))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IF(DATOS!$A1166="",0,IF(CONFIG_METADATA!$B$4&lt;&gt;"OR+EX",--(DATOS!$G1166=CONFIG_METADATA!$B$4),IF(DATOS!$G1166="EX",1,IF(DATOS!$G1166="OR",--(COUNTIFS(nNIA,DATOS!$A1166,nCURSO,DATOS!$D1166,nESPEC,DATOS!$E1166,nASIG,DATOS!$I1166,nEVAL,"EX")=0),0))))</f>
      </c>
      <c r="H1166">
        <f>IF(DATOS!$G1166&lt;&gt;"EX",0,--(COUNTIFS(nNIA,DATOS!$A1166,nCURSO,DATOS!$D1166,nESPEC,DATOS!$E1166,nASIG,DATOS!$I1166,nEVAL,"OR")=0))</f>
      </c>
      <c r="I1166">
        <f>IF(DATOS!$I1166="","",IFERROR(VLOOKUP(DATOS!$I1166,CONFIG_ASIGNATURAS!$B$2:$J$91,9,FALSE()),""))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IF(DATOS!$A1167="",0,IF(CONFIG_METADATA!$B$4&lt;&gt;"OR+EX",--(DATOS!$G1167=CONFIG_METADATA!$B$4),IF(DATOS!$G1167="EX",1,IF(DATOS!$G1167="OR",--(COUNTIFS(nNIA,DATOS!$A1167,nCURSO,DATOS!$D1167,nESPEC,DATOS!$E1167,nASIG,DATOS!$I1167,nEVAL,"EX")=0),0))))</f>
      </c>
      <c r="H1167">
        <f>IF(DATOS!$G1167&lt;&gt;"EX",0,--(COUNTIFS(nNIA,DATOS!$A1167,nCURSO,DATOS!$D1167,nESPEC,DATOS!$E1167,nASIG,DATOS!$I1167,nEVAL,"OR")=0))</f>
      </c>
      <c r="I1167">
        <f>IF(DATOS!$I1167="","",IFERROR(VLOOKUP(DATOS!$I1167,CONFIG_ASIGNATURAS!$B$2:$J$91,9,FALSE()),""))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IF(DATOS!$A1168="",0,IF(CONFIG_METADATA!$B$4&lt;&gt;"OR+EX",--(DATOS!$G1168=CONFIG_METADATA!$B$4),IF(DATOS!$G1168="EX",1,IF(DATOS!$G1168="OR",--(COUNTIFS(nNIA,DATOS!$A1168,nCURSO,DATOS!$D1168,nESPEC,DATOS!$E1168,nASIG,DATOS!$I1168,nEVAL,"EX")=0),0))))</f>
      </c>
      <c r="H1168">
        <f>IF(DATOS!$G1168&lt;&gt;"EX",0,--(COUNTIFS(nNIA,DATOS!$A1168,nCURSO,DATOS!$D1168,nESPEC,DATOS!$E1168,nASIG,DATOS!$I1168,nEVAL,"OR")=0))</f>
      </c>
      <c r="I1168">
        <f>IF(DATOS!$I1168="","",IFERROR(VLOOKUP(DATOS!$I1168,CONFIG_ASIGNATURAS!$B$2:$J$91,9,FALSE()),""))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IF(DATOS!$A1169="",0,IF(CONFIG_METADATA!$B$4&lt;&gt;"OR+EX",--(DATOS!$G1169=CONFIG_METADATA!$B$4),IF(DATOS!$G1169="EX",1,IF(DATOS!$G1169="OR",--(COUNTIFS(nNIA,DATOS!$A1169,nCURSO,DATOS!$D1169,nESPEC,DATOS!$E1169,nASIG,DATOS!$I1169,nEVAL,"EX")=0),0))))</f>
      </c>
      <c r="H1169">
        <f>IF(DATOS!$G1169&lt;&gt;"EX",0,--(COUNTIFS(nNIA,DATOS!$A1169,nCURSO,DATOS!$D1169,nESPEC,DATOS!$E1169,nASIG,DATOS!$I1169,nEVAL,"OR")=0))</f>
      </c>
      <c r="I1169">
        <f>IF(DATOS!$I1169="","",IFERROR(VLOOKUP(DATOS!$I1169,CONFIG_ASIGNATURAS!$B$2:$J$91,9,FALSE()),""))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IF(DATOS!$A1170="",0,IF(CONFIG_METADATA!$B$4&lt;&gt;"OR+EX",--(DATOS!$G1170=CONFIG_METADATA!$B$4),IF(DATOS!$G1170="EX",1,IF(DATOS!$G1170="OR",--(COUNTIFS(nNIA,DATOS!$A1170,nCURSO,DATOS!$D1170,nESPEC,DATOS!$E1170,nASIG,DATOS!$I1170,nEVAL,"EX")=0),0))))</f>
      </c>
      <c r="H1170">
        <f>IF(DATOS!$G1170&lt;&gt;"EX",0,--(COUNTIFS(nNIA,DATOS!$A1170,nCURSO,DATOS!$D1170,nESPEC,DATOS!$E1170,nASIG,DATOS!$I1170,nEVAL,"OR")=0))</f>
      </c>
      <c r="I1170">
        <f>IF(DATOS!$I1170="","",IFERROR(VLOOKUP(DATOS!$I1170,CONFIG_ASIGNATURAS!$B$2:$J$91,9,FALSE()),""))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IF(DATOS!$A1171="",0,IF(CONFIG_METADATA!$B$4&lt;&gt;"OR+EX",--(DATOS!$G1171=CONFIG_METADATA!$B$4),IF(DATOS!$G1171="EX",1,IF(DATOS!$G1171="OR",--(COUNTIFS(nNIA,DATOS!$A1171,nCURSO,DATOS!$D1171,nESPEC,DATOS!$E1171,nASIG,DATOS!$I1171,nEVAL,"EX")=0),0))))</f>
      </c>
      <c r="H1171">
        <f>IF(DATOS!$G1171&lt;&gt;"EX",0,--(COUNTIFS(nNIA,DATOS!$A1171,nCURSO,DATOS!$D1171,nESPEC,DATOS!$E1171,nASIG,DATOS!$I1171,nEVAL,"OR")=0))</f>
      </c>
      <c r="I1171">
        <f>IF(DATOS!$I1171="","",IFERROR(VLOOKUP(DATOS!$I1171,CONFIG_ASIGNATURAS!$B$2:$J$91,9,FALSE()),""))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IF(DATOS!$A1172="",0,IF(CONFIG_METADATA!$B$4&lt;&gt;"OR+EX",--(DATOS!$G1172=CONFIG_METADATA!$B$4),IF(DATOS!$G1172="EX",1,IF(DATOS!$G1172="OR",--(COUNTIFS(nNIA,DATOS!$A1172,nCURSO,DATOS!$D1172,nESPEC,DATOS!$E1172,nASIG,DATOS!$I1172,nEVAL,"EX")=0),0))))</f>
      </c>
      <c r="H1172">
        <f>IF(DATOS!$G1172&lt;&gt;"EX",0,--(COUNTIFS(nNIA,DATOS!$A1172,nCURSO,DATOS!$D1172,nESPEC,DATOS!$E1172,nASIG,DATOS!$I1172,nEVAL,"OR")=0))</f>
      </c>
      <c r="I1172">
        <f>IF(DATOS!$I1172="","",IFERROR(VLOOKUP(DATOS!$I1172,CONFIG_ASIGNATURAS!$B$2:$J$91,9,FALSE()),""))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IF(DATOS!$A1173="",0,IF(CONFIG_METADATA!$B$4&lt;&gt;"OR+EX",--(DATOS!$G1173=CONFIG_METADATA!$B$4),IF(DATOS!$G1173="EX",1,IF(DATOS!$G1173="OR",--(COUNTIFS(nNIA,DATOS!$A1173,nCURSO,DATOS!$D1173,nESPEC,DATOS!$E1173,nASIG,DATOS!$I1173,nEVAL,"EX")=0),0))))</f>
      </c>
      <c r="H1173">
        <f>IF(DATOS!$G1173&lt;&gt;"EX",0,--(COUNTIFS(nNIA,DATOS!$A1173,nCURSO,DATOS!$D1173,nESPEC,DATOS!$E1173,nASIG,DATOS!$I1173,nEVAL,"OR")=0))</f>
      </c>
      <c r="I1173">
        <f>IF(DATOS!$I1173="","",IFERROR(VLOOKUP(DATOS!$I1173,CONFIG_ASIGNATURAS!$B$2:$J$91,9,FALSE()),""))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IF(DATOS!$A1174="",0,IF(CONFIG_METADATA!$B$4&lt;&gt;"OR+EX",--(DATOS!$G1174=CONFIG_METADATA!$B$4),IF(DATOS!$G1174="EX",1,IF(DATOS!$G1174="OR",--(COUNTIFS(nNIA,DATOS!$A1174,nCURSO,DATOS!$D1174,nESPEC,DATOS!$E1174,nASIG,DATOS!$I1174,nEVAL,"EX")=0),0))))</f>
      </c>
      <c r="H1174">
        <f>IF(DATOS!$G1174&lt;&gt;"EX",0,--(COUNTIFS(nNIA,DATOS!$A1174,nCURSO,DATOS!$D1174,nESPEC,DATOS!$E1174,nASIG,DATOS!$I1174,nEVAL,"OR")=0))</f>
      </c>
      <c r="I1174">
        <f>IF(DATOS!$I1174="","",IFERROR(VLOOKUP(DATOS!$I1174,CONFIG_ASIGNATURAS!$B$2:$J$91,9,FALSE()),""))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IF(DATOS!$A1175="",0,IF(CONFIG_METADATA!$B$4&lt;&gt;"OR+EX",--(DATOS!$G1175=CONFIG_METADATA!$B$4),IF(DATOS!$G1175="EX",1,IF(DATOS!$G1175="OR",--(COUNTIFS(nNIA,DATOS!$A1175,nCURSO,DATOS!$D1175,nESPEC,DATOS!$E1175,nASIG,DATOS!$I1175,nEVAL,"EX")=0),0))))</f>
      </c>
      <c r="H1175">
        <f>IF(DATOS!$G1175&lt;&gt;"EX",0,--(COUNTIFS(nNIA,DATOS!$A1175,nCURSO,DATOS!$D1175,nESPEC,DATOS!$E1175,nASIG,DATOS!$I1175,nEVAL,"OR")=0))</f>
      </c>
      <c r="I1175">
        <f>IF(DATOS!$I1175="","",IFERROR(VLOOKUP(DATOS!$I1175,CONFIG_ASIGNATURAS!$B$2:$J$91,9,FALSE()),""))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IF(DATOS!$A1176="",0,IF(CONFIG_METADATA!$B$4&lt;&gt;"OR+EX",--(DATOS!$G1176=CONFIG_METADATA!$B$4),IF(DATOS!$G1176="EX",1,IF(DATOS!$G1176="OR",--(COUNTIFS(nNIA,DATOS!$A1176,nCURSO,DATOS!$D1176,nESPEC,DATOS!$E1176,nASIG,DATOS!$I1176,nEVAL,"EX")=0),0))))</f>
      </c>
      <c r="H1176">
        <f>IF(DATOS!$G1176&lt;&gt;"EX",0,--(COUNTIFS(nNIA,DATOS!$A1176,nCURSO,DATOS!$D1176,nESPEC,DATOS!$E1176,nASIG,DATOS!$I1176,nEVAL,"OR")=0))</f>
      </c>
      <c r="I1176">
        <f>IF(DATOS!$I1176="","",IFERROR(VLOOKUP(DATOS!$I1176,CONFIG_ASIGNATURAS!$B$2:$J$91,9,FALSE()),""))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IF(DATOS!$A1177="",0,IF(CONFIG_METADATA!$B$4&lt;&gt;"OR+EX",--(DATOS!$G1177=CONFIG_METADATA!$B$4),IF(DATOS!$G1177="EX",1,IF(DATOS!$G1177="OR",--(COUNTIFS(nNIA,DATOS!$A1177,nCURSO,DATOS!$D1177,nESPEC,DATOS!$E1177,nASIG,DATOS!$I1177,nEVAL,"EX")=0),0))))</f>
      </c>
      <c r="H1177">
        <f>IF(DATOS!$G1177&lt;&gt;"EX",0,--(COUNTIFS(nNIA,DATOS!$A1177,nCURSO,DATOS!$D1177,nESPEC,DATOS!$E1177,nASIG,DATOS!$I1177,nEVAL,"OR")=0))</f>
      </c>
      <c r="I1177">
        <f>IF(DATOS!$I1177="","",IFERROR(VLOOKUP(DATOS!$I1177,CONFIG_ASIGNATURAS!$B$2:$J$91,9,FALSE()),""))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IF(DATOS!$A1178="",0,IF(CONFIG_METADATA!$B$4&lt;&gt;"OR+EX",--(DATOS!$G1178=CONFIG_METADATA!$B$4),IF(DATOS!$G1178="EX",1,IF(DATOS!$G1178="OR",--(COUNTIFS(nNIA,DATOS!$A1178,nCURSO,DATOS!$D1178,nESPEC,DATOS!$E1178,nASIG,DATOS!$I1178,nEVAL,"EX")=0),0))))</f>
      </c>
      <c r="H1178">
        <f>IF(DATOS!$G1178&lt;&gt;"EX",0,--(COUNTIFS(nNIA,DATOS!$A1178,nCURSO,DATOS!$D1178,nESPEC,DATOS!$E1178,nASIG,DATOS!$I1178,nEVAL,"OR")=0))</f>
      </c>
      <c r="I1178">
        <f>IF(DATOS!$I1178="","",IFERROR(VLOOKUP(DATOS!$I1178,CONFIG_ASIGNATURAS!$B$2:$J$91,9,FALSE()),""))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IF(DATOS!$A1179="",0,IF(CONFIG_METADATA!$B$4&lt;&gt;"OR+EX",--(DATOS!$G1179=CONFIG_METADATA!$B$4),IF(DATOS!$G1179="EX",1,IF(DATOS!$G1179="OR",--(COUNTIFS(nNIA,DATOS!$A1179,nCURSO,DATOS!$D1179,nESPEC,DATOS!$E1179,nASIG,DATOS!$I1179,nEVAL,"EX")=0),0))))</f>
      </c>
      <c r="H1179">
        <f>IF(DATOS!$G1179&lt;&gt;"EX",0,--(COUNTIFS(nNIA,DATOS!$A1179,nCURSO,DATOS!$D1179,nESPEC,DATOS!$E1179,nASIG,DATOS!$I1179,nEVAL,"OR")=0))</f>
      </c>
      <c r="I1179">
        <f>IF(DATOS!$I1179="","",IFERROR(VLOOKUP(DATOS!$I1179,CONFIG_ASIGNATURAS!$B$2:$J$91,9,FALSE()),""))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IF(DATOS!$A1180="",0,IF(CONFIG_METADATA!$B$4&lt;&gt;"OR+EX",--(DATOS!$G1180=CONFIG_METADATA!$B$4),IF(DATOS!$G1180="EX",1,IF(DATOS!$G1180="OR",--(COUNTIFS(nNIA,DATOS!$A1180,nCURSO,DATOS!$D1180,nESPEC,DATOS!$E1180,nASIG,DATOS!$I1180,nEVAL,"EX")=0),0))))</f>
      </c>
      <c r="H1180">
        <f>IF(DATOS!$G1180&lt;&gt;"EX",0,--(COUNTIFS(nNIA,DATOS!$A1180,nCURSO,DATOS!$D1180,nESPEC,DATOS!$E1180,nASIG,DATOS!$I1180,nEVAL,"OR")=0))</f>
      </c>
      <c r="I1180">
        <f>IF(DATOS!$I1180="","",IFERROR(VLOOKUP(DATOS!$I1180,CONFIG_ASIGNATURAS!$B$2:$J$91,9,FALSE()),""))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IF(DATOS!$A1181="",0,IF(CONFIG_METADATA!$B$4&lt;&gt;"OR+EX",--(DATOS!$G1181=CONFIG_METADATA!$B$4),IF(DATOS!$G1181="EX",1,IF(DATOS!$G1181="OR",--(COUNTIFS(nNIA,DATOS!$A1181,nCURSO,DATOS!$D1181,nESPEC,DATOS!$E1181,nASIG,DATOS!$I1181,nEVAL,"EX")=0),0))))</f>
      </c>
      <c r="H1181">
        <f>IF(DATOS!$G1181&lt;&gt;"EX",0,--(COUNTIFS(nNIA,DATOS!$A1181,nCURSO,DATOS!$D1181,nESPEC,DATOS!$E1181,nASIG,DATOS!$I1181,nEVAL,"OR")=0))</f>
      </c>
      <c r="I1181">
        <f>IF(DATOS!$I1181="","",IFERROR(VLOOKUP(DATOS!$I1181,CONFIG_ASIGNATURAS!$B$2:$J$91,9,FALSE()),""))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IF(DATOS!$A1182="",0,IF(CONFIG_METADATA!$B$4&lt;&gt;"OR+EX",--(DATOS!$G1182=CONFIG_METADATA!$B$4),IF(DATOS!$G1182="EX",1,IF(DATOS!$G1182="OR",--(COUNTIFS(nNIA,DATOS!$A1182,nCURSO,DATOS!$D1182,nESPEC,DATOS!$E1182,nASIG,DATOS!$I1182,nEVAL,"EX")=0),0))))</f>
      </c>
      <c r="H1182">
        <f>IF(DATOS!$G1182&lt;&gt;"EX",0,--(COUNTIFS(nNIA,DATOS!$A1182,nCURSO,DATOS!$D1182,nESPEC,DATOS!$E1182,nASIG,DATOS!$I1182,nEVAL,"OR")=0))</f>
      </c>
      <c r="I1182">
        <f>IF(DATOS!$I1182="","",IFERROR(VLOOKUP(DATOS!$I1182,CONFIG_ASIGNATURAS!$B$2:$J$91,9,FALSE()),""))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IF(DATOS!$A1183="",0,IF(CONFIG_METADATA!$B$4&lt;&gt;"OR+EX",--(DATOS!$G1183=CONFIG_METADATA!$B$4),IF(DATOS!$G1183="EX",1,IF(DATOS!$G1183="OR",--(COUNTIFS(nNIA,DATOS!$A1183,nCURSO,DATOS!$D1183,nESPEC,DATOS!$E1183,nASIG,DATOS!$I1183,nEVAL,"EX")=0),0))))</f>
      </c>
      <c r="H1183">
        <f>IF(DATOS!$G1183&lt;&gt;"EX",0,--(COUNTIFS(nNIA,DATOS!$A1183,nCURSO,DATOS!$D1183,nESPEC,DATOS!$E1183,nASIG,DATOS!$I1183,nEVAL,"OR")=0))</f>
      </c>
      <c r="I1183">
        <f>IF(DATOS!$I1183="","",IFERROR(VLOOKUP(DATOS!$I1183,CONFIG_ASIGNATURAS!$B$2:$J$91,9,FALSE()),""))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IF(DATOS!$A1184="",0,IF(CONFIG_METADATA!$B$4&lt;&gt;"OR+EX",--(DATOS!$G1184=CONFIG_METADATA!$B$4),IF(DATOS!$G1184="EX",1,IF(DATOS!$G1184="OR",--(COUNTIFS(nNIA,DATOS!$A1184,nCURSO,DATOS!$D1184,nESPEC,DATOS!$E1184,nASIG,DATOS!$I1184,nEVAL,"EX")=0),0))))</f>
      </c>
      <c r="H1184">
        <f>IF(DATOS!$G1184&lt;&gt;"EX",0,--(COUNTIFS(nNIA,DATOS!$A1184,nCURSO,DATOS!$D1184,nESPEC,DATOS!$E1184,nASIG,DATOS!$I1184,nEVAL,"OR")=0))</f>
      </c>
      <c r="I1184">
        <f>IF(DATOS!$I1184="","",IFERROR(VLOOKUP(DATOS!$I1184,CONFIG_ASIGNATURAS!$B$2:$J$91,9,FALSE()),""))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IF(DATOS!$A1185="",0,IF(CONFIG_METADATA!$B$4&lt;&gt;"OR+EX",--(DATOS!$G1185=CONFIG_METADATA!$B$4),IF(DATOS!$G1185="EX",1,IF(DATOS!$G1185="OR",--(COUNTIFS(nNIA,DATOS!$A1185,nCURSO,DATOS!$D1185,nESPEC,DATOS!$E1185,nASIG,DATOS!$I1185,nEVAL,"EX")=0),0))))</f>
      </c>
      <c r="H1185">
        <f>IF(DATOS!$G1185&lt;&gt;"EX",0,--(COUNTIFS(nNIA,DATOS!$A1185,nCURSO,DATOS!$D1185,nESPEC,DATOS!$E1185,nASIG,DATOS!$I1185,nEVAL,"OR")=0))</f>
      </c>
      <c r="I1185">
        <f>IF(DATOS!$I1185="","",IFERROR(VLOOKUP(DATOS!$I1185,CONFIG_ASIGNATURAS!$B$2:$J$91,9,FALSE()),""))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IF(DATOS!$A1186="",0,IF(CONFIG_METADATA!$B$4&lt;&gt;"OR+EX",--(DATOS!$G1186=CONFIG_METADATA!$B$4),IF(DATOS!$G1186="EX",1,IF(DATOS!$G1186="OR",--(COUNTIFS(nNIA,DATOS!$A1186,nCURSO,DATOS!$D1186,nESPEC,DATOS!$E1186,nASIG,DATOS!$I1186,nEVAL,"EX")=0),0))))</f>
      </c>
      <c r="H1186">
        <f>IF(DATOS!$G1186&lt;&gt;"EX",0,--(COUNTIFS(nNIA,DATOS!$A1186,nCURSO,DATOS!$D1186,nESPEC,DATOS!$E1186,nASIG,DATOS!$I1186,nEVAL,"OR")=0))</f>
      </c>
      <c r="I1186">
        <f>IF(DATOS!$I1186="","",IFERROR(VLOOKUP(DATOS!$I1186,CONFIG_ASIGNATURAS!$B$2:$J$91,9,FALSE()),""))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IF(DATOS!$A1187="",0,IF(CONFIG_METADATA!$B$4&lt;&gt;"OR+EX",--(DATOS!$G1187=CONFIG_METADATA!$B$4),IF(DATOS!$G1187="EX",1,IF(DATOS!$G1187="OR",--(COUNTIFS(nNIA,DATOS!$A1187,nCURSO,DATOS!$D1187,nESPEC,DATOS!$E1187,nASIG,DATOS!$I1187,nEVAL,"EX")=0),0))))</f>
      </c>
      <c r="H1187">
        <f>IF(DATOS!$G1187&lt;&gt;"EX",0,--(COUNTIFS(nNIA,DATOS!$A1187,nCURSO,DATOS!$D1187,nESPEC,DATOS!$E1187,nASIG,DATOS!$I1187,nEVAL,"OR")=0))</f>
      </c>
      <c r="I1187">
        <f>IF(DATOS!$I1187="","",IFERROR(VLOOKUP(DATOS!$I1187,CONFIG_ASIGNATURAS!$B$2:$J$91,9,FALSE()),""))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IF(DATOS!$A1188="",0,IF(CONFIG_METADATA!$B$4&lt;&gt;"OR+EX",--(DATOS!$G1188=CONFIG_METADATA!$B$4),IF(DATOS!$G1188="EX",1,IF(DATOS!$G1188="OR",--(COUNTIFS(nNIA,DATOS!$A1188,nCURSO,DATOS!$D1188,nESPEC,DATOS!$E1188,nASIG,DATOS!$I1188,nEVAL,"EX")=0),0))))</f>
      </c>
      <c r="H1188">
        <f>IF(DATOS!$G1188&lt;&gt;"EX",0,--(COUNTIFS(nNIA,DATOS!$A1188,nCURSO,DATOS!$D1188,nESPEC,DATOS!$E1188,nASIG,DATOS!$I1188,nEVAL,"OR")=0))</f>
      </c>
      <c r="I1188">
        <f>IF(DATOS!$I1188="","",IFERROR(VLOOKUP(DATOS!$I1188,CONFIG_ASIGNATURAS!$B$2:$J$91,9,FALSE()),""))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IF(DATOS!$A1189="",0,IF(CONFIG_METADATA!$B$4&lt;&gt;"OR+EX",--(DATOS!$G1189=CONFIG_METADATA!$B$4),IF(DATOS!$G1189="EX",1,IF(DATOS!$G1189="OR",--(COUNTIFS(nNIA,DATOS!$A1189,nCURSO,DATOS!$D1189,nESPEC,DATOS!$E1189,nASIG,DATOS!$I1189,nEVAL,"EX")=0),0))))</f>
      </c>
      <c r="H1189">
        <f>IF(DATOS!$G1189&lt;&gt;"EX",0,--(COUNTIFS(nNIA,DATOS!$A1189,nCURSO,DATOS!$D1189,nESPEC,DATOS!$E1189,nASIG,DATOS!$I1189,nEVAL,"OR")=0))</f>
      </c>
      <c r="I1189">
        <f>IF(DATOS!$I1189="","",IFERROR(VLOOKUP(DATOS!$I1189,CONFIG_ASIGNATURAS!$B$2:$J$91,9,FALSE()),""))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IF(DATOS!$A1190="",0,IF(CONFIG_METADATA!$B$4&lt;&gt;"OR+EX",--(DATOS!$G1190=CONFIG_METADATA!$B$4),IF(DATOS!$G1190="EX",1,IF(DATOS!$G1190="OR",--(COUNTIFS(nNIA,DATOS!$A1190,nCURSO,DATOS!$D1190,nESPEC,DATOS!$E1190,nASIG,DATOS!$I1190,nEVAL,"EX")=0),0))))</f>
      </c>
      <c r="H1190">
        <f>IF(DATOS!$G1190&lt;&gt;"EX",0,--(COUNTIFS(nNIA,DATOS!$A1190,nCURSO,DATOS!$D1190,nESPEC,DATOS!$E1190,nASIG,DATOS!$I1190,nEVAL,"OR")=0))</f>
      </c>
      <c r="I1190">
        <f>IF(DATOS!$I1190="","",IFERROR(VLOOKUP(DATOS!$I1190,CONFIG_ASIGNATURAS!$B$2:$J$91,9,FALSE()),""))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IF(DATOS!$A1191="",0,IF(CONFIG_METADATA!$B$4&lt;&gt;"OR+EX",--(DATOS!$G1191=CONFIG_METADATA!$B$4),IF(DATOS!$G1191="EX",1,IF(DATOS!$G1191="OR",--(COUNTIFS(nNIA,DATOS!$A1191,nCURSO,DATOS!$D1191,nESPEC,DATOS!$E1191,nASIG,DATOS!$I1191,nEVAL,"EX")=0),0))))</f>
      </c>
      <c r="H1191">
        <f>IF(DATOS!$G1191&lt;&gt;"EX",0,--(COUNTIFS(nNIA,DATOS!$A1191,nCURSO,DATOS!$D1191,nESPEC,DATOS!$E1191,nASIG,DATOS!$I1191,nEVAL,"OR")=0))</f>
      </c>
      <c r="I1191">
        <f>IF(DATOS!$I1191="","",IFERROR(VLOOKUP(DATOS!$I1191,CONFIG_ASIGNATURAS!$B$2:$J$91,9,FALSE()),""))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IF(DATOS!$A1192="",0,IF(CONFIG_METADATA!$B$4&lt;&gt;"OR+EX",--(DATOS!$G1192=CONFIG_METADATA!$B$4),IF(DATOS!$G1192="EX",1,IF(DATOS!$G1192="OR",--(COUNTIFS(nNIA,DATOS!$A1192,nCURSO,DATOS!$D1192,nESPEC,DATOS!$E1192,nASIG,DATOS!$I1192,nEVAL,"EX")=0),0))))</f>
      </c>
      <c r="H1192">
        <f>IF(DATOS!$G1192&lt;&gt;"EX",0,--(COUNTIFS(nNIA,DATOS!$A1192,nCURSO,DATOS!$D1192,nESPEC,DATOS!$E1192,nASIG,DATOS!$I1192,nEVAL,"OR")=0))</f>
      </c>
      <c r="I1192">
        <f>IF(DATOS!$I1192="","",IFERROR(VLOOKUP(DATOS!$I1192,CONFIG_ASIGNATURAS!$B$2:$J$91,9,FALSE()),""))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IF(DATOS!$A1193="",0,IF(CONFIG_METADATA!$B$4&lt;&gt;"OR+EX",--(DATOS!$G1193=CONFIG_METADATA!$B$4),IF(DATOS!$G1193="EX",1,IF(DATOS!$G1193="OR",--(COUNTIFS(nNIA,DATOS!$A1193,nCURSO,DATOS!$D1193,nESPEC,DATOS!$E1193,nASIG,DATOS!$I1193,nEVAL,"EX")=0),0))))</f>
      </c>
      <c r="H1193">
        <f>IF(DATOS!$G1193&lt;&gt;"EX",0,--(COUNTIFS(nNIA,DATOS!$A1193,nCURSO,DATOS!$D1193,nESPEC,DATOS!$E1193,nASIG,DATOS!$I1193,nEVAL,"OR")=0))</f>
      </c>
      <c r="I1193">
        <f>IF(DATOS!$I1193="","",IFERROR(VLOOKUP(DATOS!$I1193,CONFIG_ASIGNATURAS!$B$2:$J$91,9,FALSE()),""))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IF(DATOS!$A1194="",0,IF(CONFIG_METADATA!$B$4&lt;&gt;"OR+EX",--(DATOS!$G1194=CONFIG_METADATA!$B$4),IF(DATOS!$G1194="EX",1,IF(DATOS!$G1194="OR",--(COUNTIFS(nNIA,DATOS!$A1194,nCURSO,DATOS!$D1194,nESPEC,DATOS!$E1194,nASIG,DATOS!$I1194,nEVAL,"EX")=0),0))))</f>
      </c>
      <c r="H1194">
        <f>IF(DATOS!$G1194&lt;&gt;"EX",0,--(COUNTIFS(nNIA,DATOS!$A1194,nCURSO,DATOS!$D1194,nESPEC,DATOS!$E1194,nASIG,DATOS!$I1194,nEVAL,"OR")=0))</f>
      </c>
      <c r="I1194">
        <f>IF(DATOS!$I1194="","",IFERROR(VLOOKUP(DATOS!$I1194,CONFIG_ASIGNATURAS!$B$2:$J$91,9,FALSE()),""))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IF(DATOS!$A1195="",0,IF(CONFIG_METADATA!$B$4&lt;&gt;"OR+EX",--(DATOS!$G1195=CONFIG_METADATA!$B$4),IF(DATOS!$G1195="EX",1,IF(DATOS!$G1195="OR",--(COUNTIFS(nNIA,DATOS!$A1195,nCURSO,DATOS!$D1195,nESPEC,DATOS!$E1195,nASIG,DATOS!$I1195,nEVAL,"EX")=0),0))))</f>
      </c>
      <c r="H1195">
        <f>IF(DATOS!$G1195&lt;&gt;"EX",0,--(COUNTIFS(nNIA,DATOS!$A1195,nCURSO,DATOS!$D1195,nESPEC,DATOS!$E1195,nASIG,DATOS!$I1195,nEVAL,"OR")=0))</f>
      </c>
      <c r="I1195">
        <f>IF(DATOS!$I1195="","",IFERROR(VLOOKUP(DATOS!$I1195,CONFIG_ASIGNATURAS!$B$2:$J$91,9,FALSE()),""))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IF(DATOS!$A1196="",0,IF(CONFIG_METADATA!$B$4&lt;&gt;"OR+EX",--(DATOS!$G1196=CONFIG_METADATA!$B$4),IF(DATOS!$G1196="EX",1,IF(DATOS!$G1196="OR",--(COUNTIFS(nNIA,DATOS!$A1196,nCURSO,DATOS!$D1196,nESPEC,DATOS!$E1196,nASIG,DATOS!$I1196,nEVAL,"EX")=0),0))))</f>
      </c>
      <c r="H1196">
        <f>IF(DATOS!$G1196&lt;&gt;"EX",0,--(COUNTIFS(nNIA,DATOS!$A1196,nCURSO,DATOS!$D1196,nESPEC,DATOS!$E1196,nASIG,DATOS!$I1196,nEVAL,"OR")=0))</f>
      </c>
      <c r="I1196">
        <f>IF(DATOS!$I1196="","",IFERROR(VLOOKUP(DATOS!$I1196,CONFIG_ASIGNATURAS!$B$2:$J$91,9,FALSE()),""))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IF(DATOS!$A1197="",0,IF(CONFIG_METADATA!$B$4&lt;&gt;"OR+EX",--(DATOS!$G1197=CONFIG_METADATA!$B$4),IF(DATOS!$G1197="EX",1,IF(DATOS!$G1197="OR",--(COUNTIFS(nNIA,DATOS!$A1197,nCURSO,DATOS!$D1197,nESPEC,DATOS!$E1197,nASIG,DATOS!$I1197,nEVAL,"EX")=0),0))))</f>
      </c>
      <c r="H1197">
        <f>IF(DATOS!$G1197&lt;&gt;"EX",0,--(COUNTIFS(nNIA,DATOS!$A1197,nCURSO,DATOS!$D1197,nESPEC,DATOS!$E1197,nASIG,DATOS!$I1197,nEVAL,"OR")=0))</f>
      </c>
      <c r="I1197">
        <f>IF(DATOS!$I1197="","",IFERROR(VLOOKUP(DATOS!$I1197,CONFIG_ASIGNATURAS!$B$2:$J$91,9,FALSE()),""))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IF(DATOS!$A1198="",0,IF(CONFIG_METADATA!$B$4&lt;&gt;"OR+EX",--(DATOS!$G1198=CONFIG_METADATA!$B$4),IF(DATOS!$G1198="EX",1,IF(DATOS!$G1198="OR",--(COUNTIFS(nNIA,DATOS!$A1198,nCURSO,DATOS!$D1198,nESPEC,DATOS!$E1198,nASIG,DATOS!$I1198,nEVAL,"EX")=0),0))))</f>
      </c>
      <c r="H1198">
        <f>IF(DATOS!$G1198&lt;&gt;"EX",0,--(COUNTIFS(nNIA,DATOS!$A1198,nCURSO,DATOS!$D1198,nESPEC,DATOS!$E1198,nASIG,DATOS!$I1198,nEVAL,"OR")=0))</f>
      </c>
      <c r="I1198">
        <f>IF(DATOS!$I1198="","",IFERROR(VLOOKUP(DATOS!$I1198,CONFIG_ASIGNATURAS!$B$2:$J$91,9,FALSE()),""))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IF(DATOS!$A1199="",0,IF(CONFIG_METADATA!$B$4&lt;&gt;"OR+EX",--(DATOS!$G1199=CONFIG_METADATA!$B$4),IF(DATOS!$G1199="EX",1,IF(DATOS!$G1199="OR",--(COUNTIFS(nNIA,DATOS!$A1199,nCURSO,DATOS!$D1199,nESPEC,DATOS!$E1199,nASIG,DATOS!$I1199,nEVAL,"EX")=0),0))))</f>
      </c>
      <c r="H1199">
        <f>IF(DATOS!$G1199&lt;&gt;"EX",0,--(COUNTIFS(nNIA,DATOS!$A1199,nCURSO,DATOS!$D1199,nESPEC,DATOS!$E1199,nASIG,DATOS!$I1199,nEVAL,"OR")=0))</f>
      </c>
      <c r="I1199">
        <f>IF(DATOS!$I1199="","",IFERROR(VLOOKUP(DATOS!$I1199,CONFIG_ASIGNATURAS!$B$2:$J$91,9,FALSE()),""))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IF(DATOS!$A1200="",0,IF(CONFIG_METADATA!$B$4&lt;&gt;"OR+EX",--(DATOS!$G1200=CONFIG_METADATA!$B$4),IF(DATOS!$G1200="EX",1,IF(DATOS!$G1200="OR",--(COUNTIFS(nNIA,DATOS!$A1200,nCURSO,DATOS!$D1200,nESPEC,DATOS!$E1200,nASIG,DATOS!$I1200,nEVAL,"EX")=0),0))))</f>
      </c>
      <c r="H1200">
        <f>IF(DATOS!$G1200&lt;&gt;"EX",0,--(COUNTIFS(nNIA,DATOS!$A1200,nCURSO,DATOS!$D1200,nESPEC,DATOS!$E1200,nASIG,DATOS!$I1200,nEVAL,"OR")=0))</f>
      </c>
      <c r="I1200">
        <f>IF(DATOS!$I1200="","",IFERROR(VLOOKUP(DATOS!$I1200,CONFIG_ASIGNATURAS!$B$2:$J$91,9,FALSE()),""))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IF(DATOS!$A1201="",0,IF(CONFIG_METADATA!$B$4&lt;&gt;"OR+EX",--(DATOS!$G1201=CONFIG_METADATA!$B$4),IF(DATOS!$G1201="EX",1,IF(DATOS!$G1201="OR",--(COUNTIFS(nNIA,DATOS!$A1201,nCURSO,DATOS!$D1201,nESPEC,DATOS!$E1201,nASIG,DATOS!$I1201,nEVAL,"EX")=0),0))))</f>
      </c>
      <c r="H1201">
        <f>IF(DATOS!$G1201&lt;&gt;"EX",0,--(COUNTIFS(nNIA,DATOS!$A1201,nCURSO,DATOS!$D1201,nESPEC,DATOS!$E1201,nASIG,DATOS!$I1201,nEVAL,"OR")=0))</f>
      </c>
      <c r="I1201">
        <f>IF(DATOS!$I1201="","",IFERROR(VLOOKUP(DATOS!$I1201,CONFIG_ASIGNATURAS!$B$2:$J$91,9,FALSE()),""))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IF(DATOS!$A1202="",0,IF(CONFIG_METADATA!$B$4&lt;&gt;"OR+EX",--(DATOS!$G1202=CONFIG_METADATA!$B$4),IF(DATOS!$G1202="EX",1,IF(DATOS!$G1202="OR",--(COUNTIFS(nNIA,DATOS!$A1202,nCURSO,DATOS!$D1202,nESPEC,DATOS!$E1202,nASIG,DATOS!$I1202,nEVAL,"EX")=0),0))))</f>
      </c>
      <c r="H1202">
        <f>IF(DATOS!$G1202&lt;&gt;"EX",0,--(COUNTIFS(nNIA,DATOS!$A1202,nCURSO,DATOS!$D1202,nESPEC,DATOS!$E1202,nASIG,DATOS!$I1202,nEVAL,"OR")=0))</f>
      </c>
      <c r="I1202">
        <f>IF(DATOS!$I1202="","",IFERROR(VLOOKUP(DATOS!$I1202,CONFIG_ASIGNATURAS!$B$2:$J$91,9,FALSE()),""))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IF(DATOS!$A1203="",0,IF(CONFIG_METADATA!$B$4&lt;&gt;"OR+EX",--(DATOS!$G1203=CONFIG_METADATA!$B$4),IF(DATOS!$G1203="EX",1,IF(DATOS!$G1203="OR",--(COUNTIFS(nNIA,DATOS!$A1203,nCURSO,DATOS!$D1203,nESPEC,DATOS!$E1203,nASIG,DATOS!$I1203,nEVAL,"EX")=0),0))))</f>
      </c>
      <c r="H1203">
        <f>IF(DATOS!$G1203&lt;&gt;"EX",0,--(COUNTIFS(nNIA,DATOS!$A1203,nCURSO,DATOS!$D1203,nESPEC,DATOS!$E1203,nASIG,DATOS!$I1203,nEVAL,"OR")=0))</f>
      </c>
      <c r="I1203">
        <f>IF(DATOS!$I1203="","",IFERROR(VLOOKUP(DATOS!$I1203,CONFIG_ASIGNATURAS!$B$2:$J$91,9,FALSE()),""))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IF(DATOS!$A1204="",0,IF(CONFIG_METADATA!$B$4&lt;&gt;"OR+EX",--(DATOS!$G1204=CONFIG_METADATA!$B$4),IF(DATOS!$G1204="EX",1,IF(DATOS!$G1204="OR",--(COUNTIFS(nNIA,DATOS!$A1204,nCURSO,DATOS!$D1204,nESPEC,DATOS!$E1204,nASIG,DATOS!$I1204,nEVAL,"EX")=0),0))))</f>
      </c>
      <c r="H1204">
        <f>IF(DATOS!$G1204&lt;&gt;"EX",0,--(COUNTIFS(nNIA,DATOS!$A1204,nCURSO,DATOS!$D1204,nESPEC,DATOS!$E1204,nASIG,DATOS!$I1204,nEVAL,"OR")=0))</f>
      </c>
      <c r="I1204">
        <f>IF(DATOS!$I1204="","",IFERROR(VLOOKUP(DATOS!$I1204,CONFIG_ASIGNATURAS!$B$2:$J$91,9,FALSE()),""))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IF(DATOS!$A1205="",0,IF(CONFIG_METADATA!$B$4&lt;&gt;"OR+EX",--(DATOS!$G1205=CONFIG_METADATA!$B$4),IF(DATOS!$G1205="EX",1,IF(DATOS!$G1205="OR",--(COUNTIFS(nNIA,DATOS!$A1205,nCURSO,DATOS!$D1205,nESPEC,DATOS!$E1205,nASIG,DATOS!$I1205,nEVAL,"EX")=0),0))))</f>
      </c>
      <c r="H1205">
        <f>IF(DATOS!$G1205&lt;&gt;"EX",0,--(COUNTIFS(nNIA,DATOS!$A1205,nCURSO,DATOS!$D1205,nESPEC,DATOS!$E1205,nASIG,DATOS!$I1205,nEVAL,"OR")=0))</f>
      </c>
      <c r="I1205">
        <f>IF(DATOS!$I1205="","",IFERROR(VLOOKUP(DATOS!$I1205,CONFIG_ASIGNATURAS!$B$2:$J$91,9,FALSE()),""))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IF(DATOS!$A1206="",0,IF(CONFIG_METADATA!$B$4&lt;&gt;"OR+EX",--(DATOS!$G1206=CONFIG_METADATA!$B$4),IF(DATOS!$G1206="EX",1,IF(DATOS!$G1206="OR",--(COUNTIFS(nNIA,DATOS!$A1206,nCURSO,DATOS!$D1206,nESPEC,DATOS!$E1206,nASIG,DATOS!$I1206,nEVAL,"EX")=0),0))))</f>
      </c>
      <c r="H1206">
        <f>IF(DATOS!$G1206&lt;&gt;"EX",0,--(COUNTIFS(nNIA,DATOS!$A1206,nCURSO,DATOS!$D1206,nESPEC,DATOS!$E1206,nASIG,DATOS!$I1206,nEVAL,"OR")=0))</f>
      </c>
      <c r="I1206">
        <f>IF(DATOS!$I1206="","",IFERROR(VLOOKUP(DATOS!$I1206,CONFIG_ASIGNATURAS!$B$2:$J$91,9,FALSE()),""))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IF(DATOS!$A1207="",0,IF(CONFIG_METADATA!$B$4&lt;&gt;"OR+EX",--(DATOS!$G1207=CONFIG_METADATA!$B$4),IF(DATOS!$G1207="EX",1,IF(DATOS!$G1207="OR",--(COUNTIFS(nNIA,DATOS!$A1207,nCURSO,DATOS!$D1207,nESPEC,DATOS!$E1207,nASIG,DATOS!$I1207,nEVAL,"EX")=0),0))))</f>
      </c>
      <c r="H1207">
        <f>IF(DATOS!$G1207&lt;&gt;"EX",0,--(COUNTIFS(nNIA,DATOS!$A1207,nCURSO,DATOS!$D1207,nESPEC,DATOS!$E1207,nASIG,DATOS!$I1207,nEVAL,"OR")=0))</f>
      </c>
      <c r="I1207">
        <f>IF(DATOS!$I1207="","",IFERROR(VLOOKUP(DATOS!$I1207,CONFIG_ASIGNATURAS!$B$2:$J$91,9,FALSE()),""))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IF(DATOS!$A1208="",0,IF(CONFIG_METADATA!$B$4&lt;&gt;"OR+EX",--(DATOS!$G1208=CONFIG_METADATA!$B$4),IF(DATOS!$G1208="EX",1,IF(DATOS!$G1208="OR",--(COUNTIFS(nNIA,DATOS!$A1208,nCURSO,DATOS!$D1208,nESPEC,DATOS!$E1208,nASIG,DATOS!$I1208,nEVAL,"EX")=0),0))))</f>
      </c>
      <c r="H1208">
        <f>IF(DATOS!$G1208&lt;&gt;"EX",0,--(COUNTIFS(nNIA,DATOS!$A1208,nCURSO,DATOS!$D1208,nESPEC,DATOS!$E1208,nASIG,DATOS!$I1208,nEVAL,"OR")=0))</f>
      </c>
      <c r="I1208">
        <f>IF(DATOS!$I1208="","",IFERROR(VLOOKUP(DATOS!$I1208,CONFIG_ASIGNATURAS!$B$2:$J$91,9,FALSE()),""))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IF(DATOS!$A1209="",0,IF(CONFIG_METADATA!$B$4&lt;&gt;"OR+EX",--(DATOS!$G1209=CONFIG_METADATA!$B$4),IF(DATOS!$G1209="EX",1,IF(DATOS!$G1209="OR",--(COUNTIFS(nNIA,DATOS!$A1209,nCURSO,DATOS!$D1209,nESPEC,DATOS!$E1209,nASIG,DATOS!$I1209,nEVAL,"EX")=0),0))))</f>
      </c>
      <c r="H1209">
        <f>IF(DATOS!$G1209&lt;&gt;"EX",0,--(COUNTIFS(nNIA,DATOS!$A1209,nCURSO,DATOS!$D1209,nESPEC,DATOS!$E1209,nASIG,DATOS!$I1209,nEVAL,"OR")=0))</f>
      </c>
      <c r="I1209">
        <f>IF(DATOS!$I1209="","",IFERROR(VLOOKUP(DATOS!$I1209,CONFIG_ASIGNATURAS!$B$2:$J$91,9,FALSE()),""))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IF(DATOS!$A1210="",0,IF(CONFIG_METADATA!$B$4&lt;&gt;"OR+EX",--(DATOS!$G1210=CONFIG_METADATA!$B$4),IF(DATOS!$G1210="EX",1,IF(DATOS!$G1210="OR",--(COUNTIFS(nNIA,DATOS!$A1210,nCURSO,DATOS!$D1210,nESPEC,DATOS!$E1210,nASIG,DATOS!$I1210,nEVAL,"EX")=0),0))))</f>
      </c>
      <c r="H1210">
        <f>IF(DATOS!$G1210&lt;&gt;"EX",0,--(COUNTIFS(nNIA,DATOS!$A1210,nCURSO,DATOS!$D1210,nESPEC,DATOS!$E1210,nASIG,DATOS!$I1210,nEVAL,"OR")=0))</f>
      </c>
      <c r="I1210">
        <f>IF(DATOS!$I1210="","",IFERROR(VLOOKUP(DATOS!$I1210,CONFIG_ASIGNATURAS!$B$2:$J$91,9,FALSE()),""))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IF(DATOS!$A1211="",0,IF(CONFIG_METADATA!$B$4&lt;&gt;"OR+EX",--(DATOS!$G1211=CONFIG_METADATA!$B$4),IF(DATOS!$G1211="EX",1,IF(DATOS!$G1211="OR",--(COUNTIFS(nNIA,DATOS!$A1211,nCURSO,DATOS!$D1211,nESPEC,DATOS!$E1211,nASIG,DATOS!$I1211,nEVAL,"EX")=0),0))))</f>
      </c>
      <c r="H1211">
        <f>IF(DATOS!$G1211&lt;&gt;"EX",0,--(COUNTIFS(nNIA,DATOS!$A1211,nCURSO,DATOS!$D1211,nESPEC,DATOS!$E1211,nASIG,DATOS!$I1211,nEVAL,"OR")=0))</f>
      </c>
      <c r="I1211">
        <f>IF(DATOS!$I1211="","",IFERROR(VLOOKUP(DATOS!$I1211,CONFIG_ASIGNATURAS!$B$2:$J$91,9,FALSE()),""))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IF(DATOS!$A1212="",0,IF(CONFIG_METADATA!$B$4&lt;&gt;"OR+EX",--(DATOS!$G1212=CONFIG_METADATA!$B$4),IF(DATOS!$G1212="EX",1,IF(DATOS!$G1212="OR",--(COUNTIFS(nNIA,DATOS!$A1212,nCURSO,DATOS!$D1212,nESPEC,DATOS!$E1212,nASIG,DATOS!$I1212,nEVAL,"EX")=0),0))))</f>
      </c>
      <c r="H1212">
        <f>IF(DATOS!$G1212&lt;&gt;"EX",0,--(COUNTIFS(nNIA,DATOS!$A1212,nCURSO,DATOS!$D1212,nESPEC,DATOS!$E1212,nASIG,DATOS!$I1212,nEVAL,"OR")=0))</f>
      </c>
      <c r="I1212">
        <f>IF(DATOS!$I1212="","",IFERROR(VLOOKUP(DATOS!$I1212,CONFIG_ASIGNATURAS!$B$2:$J$91,9,FALSE()),""))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IF(DATOS!$A1213="",0,IF(CONFIG_METADATA!$B$4&lt;&gt;"OR+EX",--(DATOS!$G1213=CONFIG_METADATA!$B$4),IF(DATOS!$G1213="EX",1,IF(DATOS!$G1213="OR",--(COUNTIFS(nNIA,DATOS!$A1213,nCURSO,DATOS!$D1213,nESPEC,DATOS!$E1213,nASIG,DATOS!$I1213,nEVAL,"EX")=0),0))))</f>
      </c>
      <c r="H1213">
        <f>IF(DATOS!$G1213&lt;&gt;"EX",0,--(COUNTIFS(nNIA,DATOS!$A1213,nCURSO,DATOS!$D1213,nESPEC,DATOS!$E1213,nASIG,DATOS!$I1213,nEVAL,"OR")=0))</f>
      </c>
      <c r="I1213">
        <f>IF(DATOS!$I1213="","",IFERROR(VLOOKUP(DATOS!$I1213,CONFIG_ASIGNATURAS!$B$2:$J$91,9,FALSE()),""))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IF(DATOS!$A1214="",0,IF(CONFIG_METADATA!$B$4&lt;&gt;"OR+EX",--(DATOS!$G1214=CONFIG_METADATA!$B$4),IF(DATOS!$G1214="EX",1,IF(DATOS!$G1214="OR",--(COUNTIFS(nNIA,DATOS!$A1214,nCURSO,DATOS!$D1214,nESPEC,DATOS!$E1214,nASIG,DATOS!$I1214,nEVAL,"EX")=0),0))))</f>
      </c>
      <c r="H1214">
        <f>IF(DATOS!$G1214&lt;&gt;"EX",0,--(COUNTIFS(nNIA,DATOS!$A1214,nCURSO,DATOS!$D1214,nESPEC,DATOS!$E1214,nASIG,DATOS!$I1214,nEVAL,"OR")=0))</f>
      </c>
      <c r="I1214">
        <f>IF(DATOS!$I1214="","",IFERROR(VLOOKUP(DATOS!$I1214,CONFIG_ASIGNATURAS!$B$2:$J$91,9,FALSE()),""))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IF(DATOS!$A1215="",0,IF(CONFIG_METADATA!$B$4&lt;&gt;"OR+EX",--(DATOS!$G1215=CONFIG_METADATA!$B$4),IF(DATOS!$G1215="EX",1,IF(DATOS!$G1215="OR",--(COUNTIFS(nNIA,DATOS!$A1215,nCURSO,DATOS!$D1215,nESPEC,DATOS!$E1215,nASIG,DATOS!$I1215,nEVAL,"EX")=0),0))))</f>
      </c>
      <c r="H1215">
        <f>IF(DATOS!$G1215&lt;&gt;"EX",0,--(COUNTIFS(nNIA,DATOS!$A1215,nCURSO,DATOS!$D1215,nESPEC,DATOS!$E1215,nASIG,DATOS!$I1215,nEVAL,"OR")=0))</f>
      </c>
      <c r="I1215">
        <f>IF(DATOS!$I1215="","",IFERROR(VLOOKUP(DATOS!$I1215,CONFIG_ASIGNATURAS!$B$2:$J$91,9,FALSE()),""))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IF(DATOS!$A1216="",0,IF(CONFIG_METADATA!$B$4&lt;&gt;"OR+EX",--(DATOS!$G1216=CONFIG_METADATA!$B$4),IF(DATOS!$G1216="EX",1,IF(DATOS!$G1216="OR",--(COUNTIFS(nNIA,DATOS!$A1216,nCURSO,DATOS!$D1216,nESPEC,DATOS!$E1216,nASIG,DATOS!$I1216,nEVAL,"EX")=0),0))))</f>
      </c>
      <c r="H1216">
        <f>IF(DATOS!$G1216&lt;&gt;"EX",0,--(COUNTIFS(nNIA,DATOS!$A1216,nCURSO,DATOS!$D1216,nESPEC,DATOS!$E1216,nASIG,DATOS!$I1216,nEVAL,"OR")=0))</f>
      </c>
      <c r="I1216">
        <f>IF(DATOS!$I1216="","",IFERROR(VLOOKUP(DATOS!$I1216,CONFIG_ASIGNATURAS!$B$2:$J$91,9,FALSE()),""))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IF(DATOS!$A1217="",0,IF(CONFIG_METADATA!$B$4&lt;&gt;"OR+EX",--(DATOS!$G1217=CONFIG_METADATA!$B$4),IF(DATOS!$G1217="EX",1,IF(DATOS!$G1217="OR",--(COUNTIFS(nNIA,DATOS!$A1217,nCURSO,DATOS!$D1217,nESPEC,DATOS!$E1217,nASIG,DATOS!$I1217,nEVAL,"EX")=0),0))))</f>
      </c>
      <c r="H1217">
        <f>IF(DATOS!$G1217&lt;&gt;"EX",0,--(COUNTIFS(nNIA,DATOS!$A1217,nCURSO,DATOS!$D1217,nESPEC,DATOS!$E1217,nASIG,DATOS!$I1217,nEVAL,"OR")=0))</f>
      </c>
      <c r="I1217">
        <f>IF(DATOS!$I1217="","",IFERROR(VLOOKUP(DATOS!$I1217,CONFIG_ASIGNATURAS!$B$2:$J$91,9,FALSE()),""))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IF(DATOS!$A1218="",0,IF(CONFIG_METADATA!$B$4&lt;&gt;"OR+EX",--(DATOS!$G1218=CONFIG_METADATA!$B$4),IF(DATOS!$G1218="EX",1,IF(DATOS!$G1218="OR",--(COUNTIFS(nNIA,DATOS!$A1218,nCURSO,DATOS!$D1218,nESPEC,DATOS!$E1218,nASIG,DATOS!$I1218,nEVAL,"EX")=0),0))))</f>
      </c>
      <c r="H1218">
        <f>IF(DATOS!$G1218&lt;&gt;"EX",0,--(COUNTIFS(nNIA,DATOS!$A1218,nCURSO,DATOS!$D1218,nESPEC,DATOS!$E1218,nASIG,DATOS!$I1218,nEVAL,"OR")=0))</f>
      </c>
      <c r="I1218">
        <f>IF(DATOS!$I1218="","",IFERROR(VLOOKUP(DATOS!$I1218,CONFIG_ASIGNATURAS!$B$2:$J$91,9,FALSE()),""))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IF(DATOS!$A1219="",0,IF(CONFIG_METADATA!$B$4&lt;&gt;"OR+EX",--(DATOS!$G1219=CONFIG_METADATA!$B$4),IF(DATOS!$G1219="EX",1,IF(DATOS!$G1219="OR",--(COUNTIFS(nNIA,DATOS!$A1219,nCURSO,DATOS!$D1219,nESPEC,DATOS!$E1219,nASIG,DATOS!$I1219,nEVAL,"EX")=0),0))))</f>
      </c>
      <c r="H1219">
        <f>IF(DATOS!$G1219&lt;&gt;"EX",0,--(COUNTIFS(nNIA,DATOS!$A1219,nCURSO,DATOS!$D1219,nESPEC,DATOS!$E1219,nASIG,DATOS!$I1219,nEVAL,"OR")=0))</f>
      </c>
      <c r="I1219">
        <f>IF(DATOS!$I1219="","",IFERROR(VLOOKUP(DATOS!$I1219,CONFIG_ASIGNATURAS!$B$2:$J$91,9,FALSE()),""))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IF(DATOS!$A1220="",0,IF(CONFIG_METADATA!$B$4&lt;&gt;"OR+EX",--(DATOS!$G1220=CONFIG_METADATA!$B$4),IF(DATOS!$G1220="EX",1,IF(DATOS!$G1220="OR",--(COUNTIFS(nNIA,DATOS!$A1220,nCURSO,DATOS!$D1220,nESPEC,DATOS!$E1220,nASIG,DATOS!$I1220,nEVAL,"EX")=0),0))))</f>
      </c>
      <c r="H1220">
        <f>IF(DATOS!$G1220&lt;&gt;"EX",0,--(COUNTIFS(nNIA,DATOS!$A1220,nCURSO,DATOS!$D1220,nESPEC,DATOS!$E1220,nASIG,DATOS!$I1220,nEVAL,"OR")=0))</f>
      </c>
      <c r="I1220">
        <f>IF(DATOS!$I1220="","",IFERROR(VLOOKUP(DATOS!$I1220,CONFIG_ASIGNATURAS!$B$2:$J$91,9,FALSE()),""))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IF(DATOS!$A1221="",0,IF(CONFIG_METADATA!$B$4&lt;&gt;"OR+EX",--(DATOS!$G1221=CONFIG_METADATA!$B$4),IF(DATOS!$G1221="EX",1,IF(DATOS!$G1221="OR",--(COUNTIFS(nNIA,DATOS!$A1221,nCURSO,DATOS!$D1221,nESPEC,DATOS!$E1221,nASIG,DATOS!$I1221,nEVAL,"EX")=0),0))))</f>
      </c>
      <c r="H1221">
        <f>IF(DATOS!$G1221&lt;&gt;"EX",0,--(COUNTIFS(nNIA,DATOS!$A1221,nCURSO,DATOS!$D1221,nESPEC,DATOS!$E1221,nASIG,DATOS!$I1221,nEVAL,"OR")=0))</f>
      </c>
      <c r="I1221">
        <f>IF(DATOS!$I1221="","",IFERROR(VLOOKUP(DATOS!$I1221,CONFIG_ASIGNATURAS!$B$2:$J$91,9,FALSE()),""))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IF(DATOS!$A1222="",0,IF(CONFIG_METADATA!$B$4&lt;&gt;"OR+EX",--(DATOS!$G1222=CONFIG_METADATA!$B$4),IF(DATOS!$G1222="EX",1,IF(DATOS!$G1222="OR",--(COUNTIFS(nNIA,DATOS!$A1222,nCURSO,DATOS!$D1222,nESPEC,DATOS!$E1222,nASIG,DATOS!$I1222,nEVAL,"EX")=0),0))))</f>
      </c>
      <c r="H1222">
        <f>IF(DATOS!$G1222&lt;&gt;"EX",0,--(COUNTIFS(nNIA,DATOS!$A1222,nCURSO,DATOS!$D1222,nESPEC,DATOS!$E1222,nASIG,DATOS!$I1222,nEVAL,"OR")=0))</f>
      </c>
      <c r="I1222">
        <f>IF(DATOS!$I1222="","",IFERROR(VLOOKUP(DATOS!$I1222,CONFIG_ASIGNATURAS!$B$2:$J$91,9,FALSE()),""))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IF(DATOS!$A1223="",0,IF(CONFIG_METADATA!$B$4&lt;&gt;"OR+EX",--(DATOS!$G1223=CONFIG_METADATA!$B$4),IF(DATOS!$G1223="EX",1,IF(DATOS!$G1223="OR",--(COUNTIFS(nNIA,DATOS!$A1223,nCURSO,DATOS!$D1223,nESPEC,DATOS!$E1223,nASIG,DATOS!$I1223,nEVAL,"EX")=0),0))))</f>
      </c>
      <c r="H1223">
        <f>IF(DATOS!$G1223&lt;&gt;"EX",0,--(COUNTIFS(nNIA,DATOS!$A1223,nCURSO,DATOS!$D1223,nESPEC,DATOS!$E1223,nASIG,DATOS!$I1223,nEVAL,"OR")=0))</f>
      </c>
      <c r="I1223">
        <f>IF(DATOS!$I1223="","",IFERROR(VLOOKUP(DATOS!$I1223,CONFIG_ASIGNATURAS!$B$2:$J$91,9,FALSE()),""))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IF(DATOS!$A1224="",0,IF(CONFIG_METADATA!$B$4&lt;&gt;"OR+EX",--(DATOS!$G1224=CONFIG_METADATA!$B$4),IF(DATOS!$G1224="EX",1,IF(DATOS!$G1224="OR",--(COUNTIFS(nNIA,DATOS!$A1224,nCURSO,DATOS!$D1224,nESPEC,DATOS!$E1224,nASIG,DATOS!$I1224,nEVAL,"EX")=0),0))))</f>
      </c>
      <c r="H1224">
        <f>IF(DATOS!$G1224&lt;&gt;"EX",0,--(COUNTIFS(nNIA,DATOS!$A1224,nCURSO,DATOS!$D1224,nESPEC,DATOS!$E1224,nASIG,DATOS!$I1224,nEVAL,"OR")=0))</f>
      </c>
      <c r="I1224">
        <f>IF(DATOS!$I1224="","",IFERROR(VLOOKUP(DATOS!$I1224,CONFIG_ASIGNATURAS!$B$2:$J$91,9,FALSE()),""))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IF(DATOS!$A1225="",0,IF(CONFIG_METADATA!$B$4&lt;&gt;"OR+EX",--(DATOS!$G1225=CONFIG_METADATA!$B$4),IF(DATOS!$G1225="EX",1,IF(DATOS!$G1225="OR",--(COUNTIFS(nNIA,DATOS!$A1225,nCURSO,DATOS!$D1225,nESPEC,DATOS!$E1225,nASIG,DATOS!$I1225,nEVAL,"EX")=0),0))))</f>
      </c>
      <c r="H1225">
        <f>IF(DATOS!$G1225&lt;&gt;"EX",0,--(COUNTIFS(nNIA,DATOS!$A1225,nCURSO,DATOS!$D1225,nESPEC,DATOS!$E1225,nASIG,DATOS!$I1225,nEVAL,"OR")=0))</f>
      </c>
      <c r="I1225">
        <f>IF(DATOS!$I1225="","",IFERROR(VLOOKUP(DATOS!$I1225,CONFIG_ASIGNATURAS!$B$2:$J$91,9,FALSE()),""))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IF(DATOS!$A1226="",0,IF(CONFIG_METADATA!$B$4&lt;&gt;"OR+EX",--(DATOS!$G1226=CONFIG_METADATA!$B$4),IF(DATOS!$G1226="EX",1,IF(DATOS!$G1226="OR",--(COUNTIFS(nNIA,DATOS!$A1226,nCURSO,DATOS!$D1226,nESPEC,DATOS!$E1226,nASIG,DATOS!$I1226,nEVAL,"EX")=0),0))))</f>
      </c>
      <c r="H1226">
        <f>IF(DATOS!$G1226&lt;&gt;"EX",0,--(COUNTIFS(nNIA,DATOS!$A1226,nCURSO,DATOS!$D1226,nESPEC,DATOS!$E1226,nASIG,DATOS!$I1226,nEVAL,"OR")=0))</f>
      </c>
      <c r="I1226">
        <f>IF(DATOS!$I1226="","",IFERROR(VLOOKUP(DATOS!$I1226,CONFIG_ASIGNATURAS!$B$2:$J$91,9,FALSE()),""))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IF(DATOS!$A1227="",0,IF(CONFIG_METADATA!$B$4&lt;&gt;"OR+EX",--(DATOS!$G1227=CONFIG_METADATA!$B$4),IF(DATOS!$G1227="EX",1,IF(DATOS!$G1227="OR",--(COUNTIFS(nNIA,DATOS!$A1227,nCURSO,DATOS!$D1227,nESPEC,DATOS!$E1227,nASIG,DATOS!$I1227,nEVAL,"EX")=0),0))))</f>
      </c>
      <c r="H1227">
        <f>IF(DATOS!$G1227&lt;&gt;"EX",0,--(COUNTIFS(nNIA,DATOS!$A1227,nCURSO,DATOS!$D1227,nESPEC,DATOS!$E1227,nASIG,DATOS!$I1227,nEVAL,"OR")=0))</f>
      </c>
      <c r="I1227">
        <f>IF(DATOS!$I1227="","",IFERROR(VLOOKUP(DATOS!$I1227,CONFIG_ASIGNATURAS!$B$2:$J$91,9,FALSE()),""))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IF(DATOS!$A1228="",0,IF(CONFIG_METADATA!$B$4&lt;&gt;"OR+EX",--(DATOS!$G1228=CONFIG_METADATA!$B$4),IF(DATOS!$G1228="EX",1,IF(DATOS!$G1228="OR",--(COUNTIFS(nNIA,DATOS!$A1228,nCURSO,DATOS!$D1228,nESPEC,DATOS!$E1228,nASIG,DATOS!$I1228,nEVAL,"EX")=0),0))))</f>
      </c>
      <c r="H1228">
        <f>IF(DATOS!$G1228&lt;&gt;"EX",0,--(COUNTIFS(nNIA,DATOS!$A1228,nCURSO,DATOS!$D1228,nESPEC,DATOS!$E1228,nASIG,DATOS!$I1228,nEVAL,"OR")=0))</f>
      </c>
      <c r="I1228">
        <f>IF(DATOS!$I1228="","",IFERROR(VLOOKUP(DATOS!$I1228,CONFIG_ASIGNATURAS!$B$2:$J$91,9,FALSE()),""))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IF(DATOS!$A1229="",0,IF(CONFIG_METADATA!$B$4&lt;&gt;"OR+EX",--(DATOS!$G1229=CONFIG_METADATA!$B$4),IF(DATOS!$G1229="EX",1,IF(DATOS!$G1229="OR",--(COUNTIFS(nNIA,DATOS!$A1229,nCURSO,DATOS!$D1229,nESPEC,DATOS!$E1229,nASIG,DATOS!$I1229,nEVAL,"EX")=0),0))))</f>
      </c>
      <c r="H1229">
        <f>IF(DATOS!$G1229&lt;&gt;"EX",0,--(COUNTIFS(nNIA,DATOS!$A1229,nCURSO,DATOS!$D1229,nESPEC,DATOS!$E1229,nASIG,DATOS!$I1229,nEVAL,"OR")=0))</f>
      </c>
      <c r="I1229">
        <f>IF(DATOS!$I1229="","",IFERROR(VLOOKUP(DATOS!$I1229,CONFIG_ASIGNATURAS!$B$2:$J$91,9,FALSE()),""))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IF(DATOS!$A1230="",0,IF(CONFIG_METADATA!$B$4&lt;&gt;"OR+EX",--(DATOS!$G1230=CONFIG_METADATA!$B$4),IF(DATOS!$G1230="EX",1,IF(DATOS!$G1230="OR",--(COUNTIFS(nNIA,DATOS!$A1230,nCURSO,DATOS!$D1230,nESPEC,DATOS!$E1230,nASIG,DATOS!$I1230,nEVAL,"EX")=0),0))))</f>
      </c>
      <c r="H1230">
        <f>IF(DATOS!$G1230&lt;&gt;"EX",0,--(COUNTIFS(nNIA,DATOS!$A1230,nCURSO,DATOS!$D1230,nESPEC,DATOS!$E1230,nASIG,DATOS!$I1230,nEVAL,"OR")=0))</f>
      </c>
      <c r="I1230">
        <f>IF(DATOS!$I1230="","",IFERROR(VLOOKUP(DATOS!$I1230,CONFIG_ASIGNATURAS!$B$2:$J$91,9,FALSE()),""))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IF(DATOS!$A1231="",0,IF(CONFIG_METADATA!$B$4&lt;&gt;"OR+EX",--(DATOS!$G1231=CONFIG_METADATA!$B$4),IF(DATOS!$G1231="EX",1,IF(DATOS!$G1231="OR",--(COUNTIFS(nNIA,DATOS!$A1231,nCURSO,DATOS!$D1231,nESPEC,DATOS!$E1231,nASIG,DATOS!$I1231,nEVAL,"EX")=0),0))))</f>
      </c>
      <c r="H1231">
        <f>IF(DATOS!$G1231&lt;&gt;"EX",0,--(COUNTIFS(nNIA,DATOS!$A1231,nCURSO,DATOS!$D1231,nESPEC,DATOS!$E1231,nASIG,DATOS!$I1231,nEVAL,"OR")=0))</f>
      </c>
      <c r="I1231">
        <f>IF(DATOS!$I1231="","",IFERROR(VLOOKUP(DATOS!$I1231,CONFIG_ASIGNATURAS!$B$2:$J$91,9,FALSE()),""))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IF(DATOS!$A1232="",0,IF(CONFIG_METADATA!$B$4&lt;&gt;"OR+EX",--(DATOS!$G1232=CONFIG_METADATA!$B$4),IF(DATOS!$G1232="EX",1,IF(DATOS!$G1232="OR",--(COUNTIFS(nNIA,DATOS!$A1232,nCURSO,DATOS!$D1232,nESPEC,DATOS!$E1232,nASIG,DATOS!$I1232,nEVAL,"EX")=0),0))))</f>
      </c>
      <c r="H1232">
        <f>IF(DATOS!$G1232&lt;&gt;"EX",0,--(COUNTIFS(nNIA,DATOS!$A1232,nCURSO,DATOS!$D1232,nESPEC,DATOS!$E1232,nASIG,DATOS!$I1232,nEVAL,"OR")=0))</f>
      </c>
      <c r="I1232">
        <f>IF(DATOS!$I1232="","",IFERROR(VLOOKUP(DATOS!$I1232,CONFIG_ASIGNATURAS!$B$2:$J$91,9,FALSE()),""))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IF(DATOS!$A1233="",0,IF(CONFIG_METADATA!$B$4&lt;&gt;"OR+EX",--(DATOS!$G1233=CONFIG_METADATA!$B$4),IF(DATOS!$G1233="EX",1,IF(DATOS!$G1233="OR",--(COUNTIFS(nNIA,DATOS!$A1233,nCURSO,DATOS!$D1233,nESPEC,DATOS!$E1233,nASIG,DATOS!$I1233,nEVAL,"EX")=0),0))))</f>
      </c>
      <c r="H1233">
        <f>IF(DATOS!$G1233&lt;&gt;"EX",0,--(COUNTIFS(nNIA,DATOS!$A1233,nCURSO,DATOS!$D1233,nESPEC,DATOS!$E1233,nASIG,DATOS!$I1233,nEVAL,"OR")=0))</f>
      </c>
      <c r="I1233">
        <f>IF(DATOS!$I1233="","",IFERROR(VLOOKUP(DATOS!$I1233,CONFIG_ASIGNATURAS!$B$2:$J$91,9,FALSE()),""))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IF(DATOS!$A1234="",0,IF(CONFIG_METADATA!$B$4&lt;&gt;"OR+EX",--(DATOS!$G1234=CONFIG_METADATA!$B$4),IF(DATOS!$G1234="EX",1,IF(DATOS!$G1234="OR",--(COUNTIFS(nNIA,DATOS!$A1234,nCURSO,DATOS!$D1234,nESPEC,DATOS!$E1234,nASIG,DATOS!$I1234,nEVAL,"EX")=0),0))))</f>
      </c>
      <c r="H1234">
        <f>IF(DATOS!$G1234&lt;&gt;"EX",0,--(COUNTIFS(nNIA,DATOS!$A1234,nCURSO,DATOS!$D1234,nESPEC,DATOS!$E1234,nASIG,DATOS!$I1234,nEVAL,"OR")=0))</f>
      </c>
      <c r="I1234">
        <f>IF(DATOS!$I1234="","",IFERROR(VLOOKUP(DATOS!$I1234,CONFIG_ASIGNATURAS!$B$2:$J$91,9,FALSE()),""))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IF(DATOS!$A1235="",0,IF(CONFIG_METADATA!$B$4&lt;&gt;"OR+EX",--(DATOS!$G1235=CONFIG_METADATA!$B$4),IF(DATOS!$G1235="EX",1,IF(DATOS!$G1235="OR",--(COUNTIFS(nNIA,DATOS!$A1235,nCURSO,DATOS!$D1235,nESPEC,DATOS!$E1235,nASIG,DATOS!$I1235,nEVAL,"EX")=0),0))))</f>
      </c>
      <c r="H1235">
        <f>IF(DATOS!$G1235&lt;&gt;"EX",0,--(COUNTIFS(nNIA,DATOS!$A1235,nCURSO,DATOS!$D1235,nESPEC,DATOS!$E1235,nASIG,DATOS!$I1235,nEVAL,"OR")=0))</f>
      </c>
      <c r="I1235">
        <f>IF(DATOS!$I1235="","",IFERROR(VLOOKUP(DATOS!$I1235,CONFIG_ASIGNATURAS!$B$2:$J$91,9,FALSE()),""))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IF(DATOS!$A1236="",0,IF(CONFIG_METADATA!$B$4&lt;&gt;"OR+EX",--(DATOS!$G1236=CONFIG_METADATA!$B$4),IF(DATOS!$G1236="EX",1,IF(DATOS!$G1236="OR",--(COUNTIFS(nNIA,DATOS!$A1236,nCURSO,DATOS!$D1236,nESPEC,DATOS!$E1236,nASIG,DATOS!$I1236,nEVAL,"EX")=0),0))))</f>
      </c>
      <c r="H1236">
        <f>IF(DATOS!$G1236&lt;&gt;"EX",0,--(COUNTIFS(nNIA,DATOS!$A1236,nCURSO,DATOS!$D1236,nESPEC,DATOS!$E1236,nASIG,DATOS!$I1236,nEVAL,"OR")=0))</f>
      </c>
      <c r="I1236">
        <f>IF(DATOS!$I1236="","",IFERROR(VLOOKUP(DATOS!$I1236,CONFIG_ASIGNATURAS!$B$2:$J$91,9,FALSE()),""))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IF(DATOS!$A1237="",0,IF(CONFIG_METADATA!$B$4&lt;&gt;"OR+EX",--(DATOS!$G1237=CONFIG_METADATA!$B$4),IF(DATOS!$G1237="EX",1,IF(DATOS!$G1237="OR",--(COUNTIFS(nNIA,DATOS!$A1237,nCURSO,DATOS!$D1237,nESPEC,DATOS!$E1237,nASIG,DATOS!$I1237,nEVAL,"EX")=0),0))))</f>
      </c>
      <c r="H1237">
        <f>IF(DATOS!$G1237&lt;&gt;"EX",0,--(COUNTIFS(nNIA,DATOS!$A1237,nCURSO,DATOS!$D1237,nESPEC,DATOS!$E1237,nASIG,DATOS!$I1237,nEVAL,"OR")=0))</f>
      </c>
      <c r="I1237">
        <f>IF(DATOS!$I1237="","",IFERROR(VLOOKUP(DATOS!$I1237,CONFIG_ASIGNATURAS!$B$2:$J$91,9,FALSE()),""))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IF(DATOS!$A1238="",0,IF(CONFIG_METADATA!$B$4&lt;&gt;"OR+EX",--(DATOS!$G1238=CONFIG_METADATA!$B$4),IF(DATOS!$G1238="EX",1,IF(DATOS!$G1238="OR",--(COUNTIFS(nNIA,DATOS!$A1238,nCURSO,DATOS!$D1238,nESPEC,DATOS!$E1238,nASIG,DATOS!$I1238,nEVAL,"EX")=0),0))))</f>
      </c>
      <c r="H1238">
        <f>IF(DATOS!$G1238&lt;&gt;"EX",0,--(COUNTIFS(nNIA,DATOS!$A1238,nCURSO,DATOS!$D1238,nESPEC,DATOS!$E1238,nASIG,DATOS!$I1238,nEVAL,"OR")=0))</f>
      </c>
      <c r="I1238">
        <f>IF(DATOS!$I1238="","",IFERROR(VLOOKUP(DATOS!$I1238,CONFIG_ASIGNATURAS!$B$2:$J$91,9,FALSE()),""))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IF(DATOS!$A1239="",0,IF(CONFIG_METADATA!$B$4&lt;&gt;"OR+EX",--(DATOS!$G1239=CONFIG_METADATA!$B$4),IF(DATOS!$G1239="EX",1,IF(DATOS!$G1239="OR",--(COUNTIFS(nNIA,DATOS!$A1239,nCURSO,DATOS!$D1239,nESPEC,DATOS!$E1239,nASIG,DATOS!$I1239,nEVAL,"EX")=0),0))))</f>
      </c>
      <c r="H1239">
        <f>IF(DATOS!$G1239&lt;&gt;"EX",0,--(COUNTIFS(nNIA,DATOS!$A1239,nCURSO,DATOS!$D1239,nESPEC,DATOS!$E1239,nASIG,DATOS!$I1239,nEVAL,"OR")=0))</f>
      </c>
      <c r="I1239">
        <f>IF(DATOS!$I1239="","",IFERROR(VLOOKUP(DATOS!$I1239,CONFIG_ASIGNATURAS!$B$2:$J$91,9,FALSE()),""))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IF(DATOS!$A1240="",0,IF(CONFIG_METADATA!$B$4&lt;&gt;"OR+EX",--(DATOS!$G1240=CONFIG_METADATA!$B$4),IF(DATOS!$G1240="EX",1,IF(DATOS!$G1240="OR",--(COUNTIFS(nNIA,DATOS!$A1240,nCURSO,DATOS!$D1240,nESPEC,DATOS!$E1240,nASIG,DATOS!$I1240,nEVAL,"EX")=0),0))))</f>
      </c>
      <c r="H1240">
        <f>IF(DATOS!$G1240&lt;&gt;"EX",0,--(COUNTIFS(nNIA,DATOS!$A1240,nCURSO,DATOS!$D1240,nESPEC,DATOS!$E1240,nASIG,DATOS!$I1240,nEVAL,"OR")=0))</f>
      </c>
      <c r="I1240">
        <f>IF(DATOS!$I1240="","",IFERROR(VLOOKUP(DATOS!$I1240,CONFIG_ASIGNATURAS!$B$2:$J$91,9,FALSE()),""))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IF(DATOS!$A1241="",0,IF(CONFIG_METADATA!$B$4&lt;&gt;"OR+EX",--(DATOS!$G1241=CONFIG_METADATA!$B$4),IF(DATOS!$G1241="EX",1,IF(DATOS!$G1241="OR",--(COUNTIFS(nNIA,DATOS!$A1241,nCURSO,DATOS!$D1241,nESPEC,DATOS!$E1241,nASIG,DATOS!$I1241,nEVAL,"EX")=0),0))))</f>
      </c>
      <c r="H1241">
        <f>IF(DATOS!$G1241&lt;&gt;"EX",0,--(COUNTIFS(nNIA,DATOS!$A1241,nCURSO,DATOS!$D1241,nESPEC,DATOS!$E1241,nASIG,DATOS!$I1241,nEVAL,"OR")=0))</f>
      </c>
      <c r="I1241">
        <f>IF(DATOS!$I1241="","",IFERROR(VLOOKUP(DATOS!$I1241,CONFIG_ASIGNATURAS!$B$2:$J$91,9,FALSE()),""))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IF(DATOS!$A1242="",0,IF(CONFIG_METADATA!$B$4&lt;&gt;"OR+EX",--(DATOS!$G1242=CONFIG_METADATA!$B$4),IF(DATOS!$G1242="EX",1,IF(DATOS!$G1242="OR",--(COUNTIFS(nNIA,DATOS!$A1242,nCURSO,DATOS!$D1242,nESPEC,DATOS!$E1242,nASIG,DATOS!$I1242,nEVAL,"EX")=0),0))))</f>
      </c>
      <c r="H1242">
        <f>IF(DATOS!$G1242&lt;&gt;"EX",0,--(COUNTIFS(nNIA,DATOS!$A1242,nCURSO,DATOS!$D1242,nESPEC,DATOS!$E1242,nASIG,DATOS!$I1242,nEVAL,"OR")=0))</f>
      </c>
      <c r="I1242">
        <f>IF(DATOS!$I1242="","",IFERROR(VLOOKUP(DATOS!$I1242,CONFIG_ASIGNATURAS!$B$2:$J$91,9,FALSE()),""))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IF(DATOS!$A1243="",0,IF(CONFIG_METADATA!$B$4&lt;&gt;"OR+EX",--(DATOS!$G1243=CONFIG_METADATA!$B$4),IF(DATOS!$G1243="EX",1,IF(DATOS!$G1243="OR",--(COUNTIFS(nNIA,DATOS!$A1243,nCURSO,DATOS!$D1243,nESPEC,DATOS!$E1243,nASIG,DATOS!$I1243,nEVAL,"EX")=0),0))))</f>
      </c>
      <c r="H1243">
        <f>IF(DATOS!$G1243&lt;&gt;"EX",0,--(COUNTIFS(nNIA,DATOS!$A1243,nCURSO,DATOS!$D1243,nESPEC,DATOS!$E1243,nASIG,DATOS!$I1243,nEVAL,"OR")=0))</f>
      </c>
      <c r="I1243">
        <f>IF(DATOS!$I1243="","",IFERROR(VLOOKUP(DATOS!$I1243,CONFIG_ASIGNATURAS!$B$2:$J$91,9,FALSE()),""))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IF(DATOS!$A1244="",0,IF(CONFIG_METADATA!$B$4&lt;&gt;"OR+EX",--(DATOS!$G1244=CONFIG_METADATA!$B$4),IF(DATOS!$G1244="EX",1,IF(DATOS!$G1244="OR",--(COUNTIFS(nNIA,DATOS!$A1244,nCURSO,DATOS!$D1244,nESPEC,DATOS!$E1244,nASIG,DATOS!$I1244,nEVAL,"EX")=0),0))))</f>
      </c>
      <c r="H1244">
        <f>IF(DATOS!$G1244&lt;&gt;"EX",0,--(COUNTIFS(nNIA,DATOS!$A1244,nCURSO,DATOS!$D1244,nESPEC,DATOS!$E1244,nASIG,DATOS!$I1244,nEVAL,"OR")=0))</f>
      </c>
      <c r="I1244">
        <f>IF(DATOS!$I1244="","",IFERROR(VLOOKUP(DATOS!$I1244,CONFIG_ASIGNATURAS!$B$2:$J$91,9,FALSE()),""))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IF(DATOS!$A1245="",0,IF(CONFIG_METADATA!$B$4&lt;&gt;"OR+EX",--(DATOS!$G1245=CONFIG_METADATA!$B$4),IF(DATOS!$G1245="EX",1,IF(DATOS!$G1245="OR",--(COUNTIFS(nNIA,DATOS!$A1245,nCURSO,DATOS!$D1245,nESPEC,DATOS!$E1245,nASIG,DATOS!$I1245,nEVAL,"EX")=0),0))))</f>
      </c>
      <c r="H1245">
        <f>IF(DATOS!$G1245&lt;&gt;"EX",0,--(COUNTIFS(nNIA,DATOS!$A1245,nCURSO,DATOS!$D1245,nESPEC,DATOS!$E1245,nASIG,DATOS!$I1245,nEVAL,"OR")=0))</f>
      </c>
      <c r="I1245">
        <f>IF(DATOS!$I1245="","",IFERROR(VLOOKUP(DATOS!$I1245,CONFIG_ASIGNATURAS!$B$2:$J$91,9,FALSE()),""))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IF(DATOS!$A1246="",0,IF(CONFIG_METADATA!$B$4&lt;&gt;"OR+EX",--(DATOS!$G1246=CONFIG_METADATA!$B$4),IF(DATOS!$G1246="EX",1,IF(DATOS!$G1246="OR",--(COUNTIFS(nNIA,DATOS!$A1246,nCURSO,DATOS!$D1246,nESPEC,DATOS!$E1246,nASIG,DATOS!$I1246,nEVAL,"EX")=0),0))))</f>
      </c>
      <c r="H1246">
        <f>IF(DATOS!$G1246&lt;&gt;"EX",0,--(COUNTIFS(nNIA,DATOS!$A1246,nCURSO,DATOS!$D1246,nESPEC,DATOS!$E1246,nASIG,DATOS!$I1246,nEVAL,"OR")=0))</f>
      </c>
      <c r="I1246">
        <f>IF(DATOS!$I1246="","",IFERROR(VLOOKUP(DATOS!$I1246,CONFIG_ASIGNATURAS!$B$2:$J$91,9,FALSE()),""))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IF(DATOS!$A1247="",0,IF(CONFIG_METADATA!$B$4&lt;&gt;"OR+EX",--(DATOS!$G1247=CONFIG_METADATA!$B$4),IF(DATOS!$G1247="EX",1,IF(DATOS!$G1247="OR",--(COUNTIFS(nNIA,DATOS!$A1247,nCURSO,DATOS!$D1247,nESPEC,DATOS!$E1247,nASIG,DATOS!$I1247,nEVAL,"EX")=0),0))))</f>
      </c>
      <c r="H1247">
        <f>IF(DATOS!$G1247&lt;&gt;"EX",0,--(COUNTIFS(nNIA,DATOS!$A1247,nCURSO,DATOS!$D1247,nESPEC,DATOS!$E1247,nASIG,DATOS!$I1247,nEVAL,"OR")=0))</f>
      </c>
      <c r="I1247">
        <f>IF(DATOS!$I1247="","",IFERROR(VLOOKUP(DATOS!$I1247,CONFIG_ASIGNATURAS!$B$2:$J$91,9,FALSE()),""))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IF(DATOS!$A1248="",0,IF(CONFIG_METADATA!$B$4&lt;&gt;"OR+EX",--(DATOS!$G1248=CONFIG_METADATA!$B$4),IF(DATOS!$G1248="EX",1,IF(DATOS!$G1248="OR",--(COUNTIFS(nNIA,DATOS!$A1248,nCURSO,DATOS!$D1248,nESPEC,DATOS!$E1248,nASIG,DATOS!$I1248,nEVAL,"EX")=0),0))))</f>
      </c>
      <c r="H1248">
        <f>IF(DATOS!$G1248&lt;&gt;"EX",0,--(COUNTIFS(nNIA,DATOS!$A1248,nCURSO,DATOS!$D1248,nESPEC,DATOS!$E1248,nASIG,DATOS!$I1248,nEVAL,"OR")=0))</f>
      </c>
      <c r="I1248">
        <f>IF(DATOS!$I1248="","",IFERROR(VLOOKUP(DATOS!$I1248,CONFIG_ASIGNATURAS!$B$2:$J$91,9,FALSE()),""))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IF(DATOS!$A1249="",0,IF(CONFIG_METADATA!$B$4&lt;&gt;"OR+EX",--(DATOS!$G1249=CONFIG_METADATA!$B$4),IF(DATOS!$G1249="EX",1,IF(DATOS!$G1249="OR",--(COUNTIFS(nNIA,DATOS!$A1249,nCURSO,DATOS!$D1249,nESPEC,DATOS!$E1249,nASIG,DATOS!$I1249,nEVAL,"EX")=0),0))))</f>
      </c>
      <c r="H1249">
        <f>IF(DATOS!$G1249&lt;&gt;"EX",0,--(COUNTIFS(nNIA,DATOS!$A1249,nCURSO,DATOS!$D1249,nESPEC,DATOS!$E1249,nASIG,DATOS!$I1249,nEVAL,"OR")=0))</f>
      </c>
      <c r="I1249">
        <f>IF(DATOS!$I1249="","",IFERROR(VLOOKUP(DATOS!$I1249,CONFIG_ASIGNATURAS!$B$2:$J$91,9,FALSE()),""))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IF(DATOS!$A1250="",0,IF(CONFIG_METADATA!$B$4&lt;&gt;"OR+EX",--(DATOS!$G1250=CONFIG_METADATA!$B$4),IF(DATOS!$G1250="EX",1,IF(DATOS!$G1250="OR",--(COUNTIFS(nNIA,DATOS!$A1250,nCURSO,DATOS!$D1250,nESPEC,DATOS!$E1250,nASIG,DATOS!$I1250,nEVAL,"EX")=0),0))))</f>
      </c>
      <c r="H1250">
        <f>IF(DATOS!$G1250&lt;&gt;"EX",0,--(COUNTIFS(nNIA,DATOS!$A1250,nCURSO,DATOS!$D1250,nESPEC,DATOS!$E1250,nASIG,DATOS!$I1250,nEVAL,"OR")=0))</f>
      </c>
      <c r="I1250">
        <f>IF(DATOS!$I1250="","",IFERROR(VLOOKUP(DATOS!$I1250,CONFIG_ASIGNATURAS!$B$2:$J$91,9,FALSE()),""))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IF(DATOS!$A1251="",0,IF(CONFIG_METADATA!$B$4&lt;&gt;"OR+EX",--(DATOS!$G1251=CONFIG_METADATA!$B$4),IF(DATOS!$G1251="EX",1,IF(DATOS!$G1251="OR",--(COUNTIFS(nNIA,DATOS!$A1251,nCURSO,DATOS!$D1251,nESPEC,DATOS!$E1251,nASIG,DATOS!$I1251,nEVAL,"EX")=0),0))))</f>
      </c>
      <c r="H1251">
        <f>IF(DATOS!$G1251&lt;&gt;"EX",0,--(COUNTIFS(nNIA,DATOS!$A1251,nCURSO,DATOS!$D1251,nESPEC,DATOS!$E1251,nASIG,DATOS!$I1251,nEVAL,"OR")=0))</f>
      </c>
      <c r="I1251">
        <f>IF(DATOS!$I1251="","",IFERROR(VLOOKUP(DATOS!$I1251,CONFIG_ASIGNATURAS!$B$2:$J$91,9,FALSE()),""))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IF(DATOS!$A1252="",0,IF(CONFIG_METADATA!$B$4&lt;&gt;"OR+EX",--(DATOS!$G1252=CONFIG_METADATA!$B$4),IF(DATOS!$G1252="EX",1,IF(DATOS!$G1252="OR",--(COUNTIFS(nNIA,DATOS!$A1252,nCURSO,DATOS!$D1252,nESPEC,DATOS!$E1252,nASIG,DATOS!$I1252,nEVAL,"EX")=0),0))))</f>
      </c>
      <c r="H1252">
        <f>IF(DATOS!$G1252&lt;&gt;"EX",0,--(COUNTIFS(nNIA,DATOS!$A1252,nCURSO,DATOS!$D1252,nESPEC,DATOS!$E1252,nASIG,DATOS!$I1252,nEVAL,"OR")=0))</f>
      </c>
      <c r="I1252">
        <f>IF(DATOS!$I1252="","",IFERROR(VLOOKUP(DATOS!$I1252,CONFIG_ASIGNATURAS!$B$2:$J$91,9,FALSE()),""))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IF(DATOS!$A1253="",0,IF(CONFIG_METADATA!$B$4&lt;&gt;"OR+EX",--(DATOS!$G1253=CONFIG_METADATA!$B$4),IF(DATOS!$G1253="EX",1,IF(DATOS!$G1253="OR",--(COUNTIFS(nNIA,DATOS!$A1253,nCURSO,DATOS!$D1253,nESPEC,DATOS!$E1253,nASIG,DATOS!$I1253,nEVAL,"EX")=0),0))))</f>
      </c>
      <c r="H1253">
        <f>IF(DATOS!$G1253&lt;&gt;"EX",0,--(COUNTIFS(nNIA,DATOS!$A1253,nCURSO,DATOS!$D1253,nESPEC,DATOS!$E1253,nASIG,DATOS!$I1253,nEVAL,"OR")=0))</f>
      </c>
      <c r="I1253">
        <f>IF(DATOS!$I1253="","",IFERROR(VLOOKUP(DATOS!$I1253,CONFIG_ASIGNATURAS!$B$2:$J$91,9,FALSE()),""))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IF(DATOS!$A1254="",0,IF(CONFIG_METADATA!$B$4&lt;&gt;"OR+EX",--(DATOS!$G1254=CONFIG_METADATA!$B$4),IF(DATOS!$G1254="EX",1,IF(DATOS!$G1254="OR",--(COUNTIFS(nNIA,DATOS!$A1254,nCURSO,DATOS!$D1254,nESPEC,DATOS!$E1254,nASIG,DATOS!$I1254,nEVAL,"EX")=0),0))))</f>
      </c>
      <c r="H1254">
        <f>IF(DATOS!$G1254&lt;&gt;"EX",0,--(COUNTIFS(nNIA,DATOS!$A1254,nCURSO,DATOS!$D1254,nESPEC,DATOS!$E1254,nASIG,DATOS!$I1254,nEVAL,"OR")=0))</f>
      </c>
      <c r="I1254">
        <f>IF(DATOS!$I1254="","",IFERROR(VLOOKUP(DATOS!$I1254,CONFIG_ASIGNATURAS!$B$2:$J$91,9,FALSE()),""))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IF(DATOS!$A1255="",0,IF(CONFIG_METADATA!$B$4&lt;&gt;"OR+EX",--(DATOS!$G1255=CONFIG_METADATA!$B$4),IF(DATOS!$G1255="EX",1,IF(DATOS!$G1255="OR",--(COUNTIFS(nNIA,DATOS!$A1255,nCURSO,DATOS!$D1255,nESPEC,DATOS!$E1255,nASIG,DATOS!$I1255,nEVAL,"EX")=0),0))))</f>
      </c>
      <c r="H1255">
        <f>IF(DATOS!$G1255&lt;&gt;"EX",0,--(COUNTIFS(nNIA,DATOS!$A1255,nCURSO,DATOS!$D1255,nESPEC,DATOS!$E1255,nASIG,DATOS!$I1255,nEVAL,"OR")=0))</f>
      </c>
      <c r="I1255">
        <f>IF(DATOS!$I1255="","",IFERROR(VLOOKUP(DATOS!$I1255,CONFIG_ASIGNATURAS!$B$2:$J$91,9,FALSE()),""))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IF(DATOS!$A1256="",0,IF(CONFIG_METADATA!$B$4&lt;&gt;"OR+EX",--(DATOS!$G1256=CONFIG_METADATA!$B$4),IF(DATOS!$G1256="EX",1,IF(DATOS!$G1256="OR",--(COUNTIFS(nNIA,DATOS!$A1256,nCURSO,DATOS!$D1256,nESPEC,DATOS!$E1256,nASIG,DATOS!$I1256,nEVAL,"EX")=0),0))))</f>
      </c>
      <c r="H1256">
        <f>IF(DATOS!$G1256&lt;&gt;"EX",0,--(COUNTIFS(nNIA,DATOS!$A1256,nCURSO,DATOS!$D1256,nESPEC,DATOS!$E1256,nASIG,DATOS!$I1256,nEVAL,"OR")=0))</f>
      </c>
      <c r="I1256">
        <f>IF(DATOS!$I1256="","",IFERROR(VLOOKUP(DATOS!$I1256,CONFIG_ASIGNATURAS!$B$2:$J$91,9,FALSE()),""))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IF(DATOS!$A1257="",0,IF(CONFIG_METADATA!$B$4&lt;&gt;"OR+EX",--(DATOS!$G1257=CONFIG_METADATA!$B$4),IF(DATOS!$G1257="EX",1,IF(DATOS!$G1257="OR",--(COUNTIFS(nNIA,DATOS!$A1257,nCURSO,DATOS!$D1257,nESPEC,DATOS!$E1257,nASIG,DATOS!$I1257,nEVAL,"EX")=0),0))))</f>
      </c>
      <c r="H1257">
        <f>IF(DATOS!$G1257&lt;&gt;"EX",0,--(COUNTIFS(nNIA,DATOS!$A1257,nCURSO,DATOS!$D1257,nESPEC,DATOS!$E1257,nASIG,DATOS!$I1257,nEVAL,"OR")=0))</f>
      </c>
      <c r="I1257">
        <f>IF(DATOS!$I1257="","",IFERROR(VLOOKUP(DATOS!$I1257,CONFIG_ASIGNATURAS!$B$2:$J$91,9,FALSE()),""))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IF(DATOS!$A1258="",0,IF(CONFIG_METADATA!$B$4&lt;&gt;"OR+EX",--(DATOS!$G1258=CONFIG_METADATA!$B$4),IF(DATOS!$G1258="EX",1,IF(DATOS!$G1258="OR",--(COUNTIFS(nNIA,DATOS!$A1258,nCURSO,DATOS!$D1258,nESPEC,DATOS!$E1258,nASIG,DATOS!$I1258,nEVAL,"EX")=0),0))))</f>
      </c>
      <c r="H1258">
        <f>IF(DATOS!$G1258&lt;&gt;"EX",0,--(COUNTIFS(nNIA,DATOS!$A1258,nCURSO,DATOS!$D1258,nESPEC,DATOS!$E1258,nASIG,DATOS!$I1258,nEVAL,"OR")=0))</f>
      </c>
      <c r="I1258">
        <f>IF(DATOS!$I1258="","",IFERROR(VLOOKUP(DATOS!$I1258,CONFIG_ASIGNATURAS!$B$2:$J$91,9,FALSE()),""))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IF(DATOS!$A1259="",0,IF(CONFIG_METADATA!$B$4&lt;&gt;"OR+EX",--(DATOS!$G1259=CONFIG_METADATA!$B$4),IF(DATOS!$G1259="EX",1,IF(DATOS!$G1259="OR",--(COUNTIFS(nNIA,DATOS!$A1259,nCURSO,DATOS!$D1259,nESPEC,DATOS!$E1259,nASIG,DATOS!$I1259,nEVAL,"EX")=0),0))))</f>
      </c>
      <c r="H1259">
        <f>IF(DATOS!$G1259&lt;&gt;"EX",0,--(COUNTIFS(nNIA,DATOS!$A1259,nCURSO,DATOS!$D1259,nESPEC,DATOS!$E1259,nASIG,DATOS!$I1259,nEVAL,"OR")=0))</f>
      </c>
      <c r="I1259">
        <f>IF(DATOS!$I1259="","",IFERROR(VLOOKUP(DATOS!$I1259,CONFIG_ASIGNATURAS!$B$2:$J$91,9,FALSE()),""))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IF(DATOS!$A1260="",0,IF(CONFIG_METADATA!$B$4&lt;&gt;"OR+EX",--(DATOS!$G1260=CONFIG_METADATA!$B$4),IF(DATOS!$G1260="EX",1,IF(DATOS!$G1260="OR",--(COUNTIFS(nNIA,DATOS!$A1260,nCURSO,DATOS!$D1260,nESPEC,DATOS!$E1260,nASIG,DATOS!$I1260,nEVAL,"EX")=0),0))))</f>
      </c>
      <c r="H1260">
        <f>IF(DATOS!$G1260&lt;&gt;"EX",0,--(COUNTIFS(nNIA,DATOS!$A1260,nCURSO,DATOS!$D1260,nESPEC,DATOS!$E1260,nASIG,DATOS!$I1260,nEVAL,"OR")=0))</f>
      </c>
      <c r="I1260">
        <f>IF(DATOS!$I1260="","",IFERROR(VLOOKUP(DATOS!$I1260,CONFIG_ASIGNATURAS!$B$2:$J$91,9,FALSE()),""))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IF(DATOS!$A1261="",0,IF(CONFIG_METADATA!$B$4&lt;&gt;"OR+EX",--(DATOS!$G1261=CONFIG_METADATA!$B$4),IF(DATOS!$G1261="EX",1,IF(DATOS!$G1261="OR",--(COUNTIFS(nNIA,DATOS!$A1261,nCURSO,DATOS!$D1261,nESPEC,DATOS!$E1261,nASIG,DATOS!$I1261,nEVAL,"EX")=0),0))))</f>
      </c>
      <c r="H1261">
        <f>IF(DATOS!$G1261&lt;&gt;"EX",0,--(COUNTIFS(nNIA,DATOS!$A1261,nCURSO,DATOS!$D1261,nESPEC,DATOS!$E1261,nASIG,DATOS!$I1261,nEVAL,"OR")=0))</f>
      </c>
      <c r="I1261">
        <f>IF(DATOS!$I1261="","",IFERROR(VLOOKUP(DATOS!$I1261,CONFIG_ASIGNATURAS!$B$2:$J$91,9,FALSE()),""))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IF(DATOS!$A1262="",0,IF(CONFIG_METADATA!$B$4&lt;&gt;"OR+EX",--(DATOS!$G1262=CONFIG_METADATA!$B$4),IF(DATOS!$G1262="EX",1,IF(DATOS!$G1262="OR",--(COUNTIFS(nNIA,DATOS!$A1262,nCURSO,DATOS!$D1262,nESPEC,DATOS!$E1262,nASIG,DATOS!$I1262,nEVAL,"EX")=0),0))))</f>
      </c>
      <c r="H1262">
        <f>IF(DATOS!$G1262&lt;&gt;"EX",0,--(COUNTIFS(nNIA,DATOS!$A1262,nCURSO,DATOS!$D1262,nESPEC,DATOS!$E1262,nASIG,DATOS!$I1262,nEVAL,"OR")=0))</f>
      </c>
      <c r="I1262">
        <f>IF(DATOS!$I1262="","",IFERROR(VLOOKUP(DATOS!$I1262,CONFIG_ASIGNATURAS!$B$2:$J$91,9,FALSE()),""))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IF(DATOS!$A1263="",0,IF(CONFIG_METADATA!$B$4&lt;&gt;"OR+EX",--(DATOS!$G1263=CONFIG_METADATA!$B$4),IF(DATOS!$G1263="EX",1,IF(DATOS!$G1263="OR",--(COUNTIFS(nNIA,DATOS!$A1263,nCURSO,DATOS!$D1263,nESPEC,DATOS!$E1263,nASIG,DATOS!$I1263,nEVAL,"EX")=0),0))))</f>
      </c>
      <c r="H1263">
        <f>IF(DATOS!$G1263&lt;&gt;"EX",0,--(COUNTIFS(nNIA,DATOS!$A1263,nCURSO,DATOS!$D1263,nESPEC,DATOS!$E1263,nASIG,DATOS!$I1263,nEVAL,"OR")=0))</f>
      </c>
      <c r="I1263">
        <f>IF(DATOS!$I1263="","",IFERROR(VLOOKUP(DATOS!$I1263,CONFIG_ASIGNATURAS!$B$2:$J$91,9,FALSE()),""))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IF(DATOS!$A1264="",0,IF(CONFIG_METADATA!$B$4&lt;&gt;"OR+EX",--(DATOS!$G1264=CONFIG_METADATA!$B$4),IF(DATOS!$G1264="EX",1,IF(DATOS!$G1264="OR",--(COUNTIFS(nNIA,DATOS!$A1264,nCURSO,DATOS!$D1264,nESPEC,DATOS!$E1264,nASIG,DATOS!$I1264,nEVAL,"EX")=0),0))))</f>
      </c>
      <c r="H1264">
        <f>IF(DATOS!$G1264&lt;&gt;"EX",0,--(COUNTIFS(nNIA,DATOS!$A1264,nCURSO,DATOS!$D1264,nESPEC,DATOS!$E1264,nASIG,DATOS!$I1264,nEVAL,"OR")=0))</f>
      </c>
      <c r="I1264">
        <f>IF(DATOS!$I1264="","",IFERROR(VLOOKUP(DATOS!$I1264,CONFIG_ASIGNATURAS!$B$2:$J$91,9,FALSE()),""))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IF(DATOS!$A1265="",0,IF(CONFIG_METADATA!$B$4&lt;&gt;"OR+EX",--(DATOS!$G1265=CONFIG_METADATA!$B$4),IF(DATOS!$G1265="EX",1,IF(DATOS!$G1265="OR",--(COUNTIFS(nNIA,DATOS!$A1265,nCURSO,DATOS!$D1265,nESPEC,DATOS!$E1265,nASIG,DATOS!$I1265,nEVAL,"EX")=0),0))))</f>
      </c>
      <c r="H1265">
        <f>IF(DATOS!$G1265&lt;&gt;"EX",0,--(COUNTIFS(nNIA,DATOS!$A1265,nCURSO,DATOS!$D1265,nESPEC,DATOS!$E1265,nASIG,DATOS!$I1265,nEVAL,"OR")=0))</f>
      </c>
      <c r="I1265">
        <f>IF(DATOS!$I1265="","",IFERROR(VLOOKUP(DATOS!$I1265,CONFIG_ASIGNATURAS!$B$2:$J$91,9,FALSE()),""))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IF(DATOS!$A1266="",0,IF(CONFIG_METADATA!$B$4&lt;&gt;"OR+EX",--(DATOS!$G1266=CONFIG_METADATA!$B$4),IF(DATOS!$G1266="EX",1,IF(DATOS!$G1266="OR",--(COUNTIFS(nNIA,DATOS!$A1266,nCURSO,DATOS!$D1266,nESPEC,DATOS!$E1266,nASIG,DATOS!$I1266,nEVAL,"EX")=0),0))))</f>
      </c>
      <c r="H1266">
        <f>IF(DATOS!$G1266&lt;&gt;"EX",0,--(COUNTIFS(nNIA,DATOS!$A1266,nCURSO,DATOS!$D1266,nESPEC,DATOS!$E1266,nASIG,DATOS!$I1266,nEVAL,"OR")=0))</f>
      </c>
      <c r="I1266">
        <f>IF(DATOS!$I1266="","",IFERROR(VLOOKUP(DATOS!$I1266,CONFIG_ASIGNATURAS!$B$2:$J$91,9,FALSE()),""))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IF(DATOS!$A1267="",0,IF(CONFIG_METADATA!$B$4&lt;&gt;"OR+EX",--(DATOS!$G1267=CONFIG_METADATA!$B$4),IF(DATOS!$G1267="EX",1,IF(DATOS!$G1267="OR",--(COUNTIFS(nNIA,DATOS!$A1267,nCURSO,DATOS!$D1267,nESPEC,DATOS!$E1267,nASIG,DATOS!$I1267,nEVAL,"EX")=0),0))))</f>
      </c>
      <c r="H1267">
        <f>IF(DATOS!$G1267&lt;&gt;"EX",0,--(COUNTIFS(nNIA,DATOS!$A1267,nCURSO,DATOS!$D1267,nESPEC,DATOS!$E1267,nASIG,DATOS!$I1267,nEVAL,"OR")=0))</f>
      </c>
      <c r="I1267">
        <f>IF(DATOS!$I1267="","",IFERROR(VLOOKUP(DATOS!$I1267,CONFIG_ASIGNATURAS!$B$2:$J$91,9,FALSE()),""))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IF(DATOS!$A1268="",0,IF(CONFIG_METADATA!$B$4&lt;&gt;"OR+EX",--(DATOS!$G1268=CONFIG_METADATA!$B$4),IF(DATOS!$G1268="EX",1,IF(DATOS!$G1268="OR",--(COUNTIFS(nNIA,DATOS!$A1268,nCURSO,DATOS!$D1268,nESPEC,DATOS!$E1268,nASIG,DATOS!$I1268,nEVAL,"EX")=0),0))))</f>
      </c>
      <c r="H1268">
        <f>IF(DATOS!$G1268&lt;&gt;"EX",0,--(COUNTIFS(nNIA,DATOS!$A1268,nCURSO,DATOS!$D1268,nESPEC,DATOS!$E1268,nASIG,DATOS!$I1268,nEVAL,"OR")=0))</f>
      </c>
      <c r="I1268">
        <f>IF(DATOS!$I1268="","",IFERROR(VLOOKUP(DATOS!$I1268,CONFIG_ASIGNATURAS!$B$2:$J$91,9,FALSE()),""))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IF(DATOS!$A1269="",0,IF(CONFIG_METADATA!$B$4&lt;&gt;"OR+EX",--(DATOS!$G1269=CONFIG_METADATA!$B$4),IF(DATOS!$G1269="EX",1,IF(DATOS!$G1269="OR",--(COUNTIFS(nNIA,DATOS!$A1269,nCURSO,DATOS!$D1269,nESPEC,DATOS!$E1269,nASIG,DATOS!$I1269,nEVAL,"EX")=0),0))))</f>
      </c>
      <c r="H1269">
        <f>IF(DATOS!$G1269&lt;&gt;"EX",0,--(COUNTIFS(nNIA,DATOS!$A1269,nCURSO,DATOS!$D1269,nESPEC,DATOS!$E1269,nASIG,DATOS!$I1269,nEVAL,"OR")=0))</f>
      </c>
      <c r="I1269">
        <f>IF(DATOS!$I1269="","",IFERROR(VLOOKUP(DATOS!$I1269,CONFIG_ASIGNATURAS!$B$2:$J$91,9,FALSE()),""))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IF(DATOS!$A1270="",0,IF(CONFIG_METADATA!$B$4&lt;&gt;"OR+EX",--(DATOS!$G1270=CONFIG_METADATA!$B$4),IF(DATOS!$G1270="EX",1,IF(DATOS!$G1270="OR",--(COUNTIFS(nNIA,DATOS!$A1270,nCURSO,DATOS!$D1270,nESPEC,DATOS!$E1270,nASIG,DATOS!$I1270,nEVAL,"EX")=0),0))))</f>
      </c>
      <c r="H1270">
        <f>IF(DATOS!$G1270&lt;&gt;"EX",0,--(COUNTIFS(nNIA,DATOS!$A1270,nCURSO,DATOS!$D1270,nESPEC,DATOS!$E1270,nASIG,DATOS!$I1270,nEVAL,"OR")=0))</f>
      </c>
      <c r="I1270">
        <f>IF(DATOS!$I1270="","",IFERROR(VLOOKUP(DATOS!$I1270,CONFIG_ASIGNATURAS!$B$2:$J$91,9,FALSE()),""))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IF(DATOS!$A1271="",0,IF(CONFIG_METADATA!$B$4&lt;&gt;"OR+EX",--(DATOS!$G1271=CONFIG_METADATA!$B$4),IF(DATOS!$G1271="EX",1,IF(DATOS!$G1271="OR",--(COUNTIFS(nNIA,DATOS!$A1271,nCURSO,DATOS!$D1271,nESPEC,DATOS!$E1271,nASIG,DATOS!$I1271,nEVAL,"EX")=0),0))))</f>
      </c>
      <c r="H1271">
        <f>IF(DATOS!$G1271&lt;&gt;"EX",0,--(COUNTIFS(nNIA,DATOS!$A1271,nCURSO,DATOS!$D1271,nESPEC,DATOS!$E1271,nASIG,DATOS!$I1271,nEVAL,"OR")=0))</f>
      </c>
      <c r="I1271">
        <f>IF(DATOS!$I1271="","",IFERROR(VLOOKUP(DATOS!$I1271,CONFIG_ASIGNATURAS!$B$2:$J$91,9,FALSE()),""))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IF(DATOS!$A1272="",0,IF(CONFIG_METADATA!$B$4&lt;&gt;"OR+EX",--(DATOS!$G1272=CONFIG_METADATA!$B$4),IF(DATOS!$G1272="EX",1,IF(DATOS!$G1272="OR",--(COUNTIFS(nNIA,DATOS!$A1272,nCURSO,DATOS!$D1272,nESPEC,DATOS!$E1272,nASIG,DATOS!$I1272,nEVAL,"EX")=0),0))))</f>
      </c>
      <c r="H1272">
        <f>IF(DATOS!$G1272&lt;&gt;"EX",0,--(COUNTIFS(nNIA,DATOS!$A1272,nCURSO,DATOS!$D1272,nESPEC,DATOS!$E1272,nASIG,DATOS!$I1272,nEVAL,"OR")=0))</f>
      </c>
      <c r="I1272">
        <f>IF(DATOS!$I1272="","",IFERROR(VLOOKUP(DATOS!$I1272,CONFIG_ASIGNATURAS!$B$2:$J$91,9,FALSE()),""))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IF(DATOS!$A1273="",0,IF(CONFIG_METADATA!$B$4&lt;&gt;"OR+EX",--(DATOS!$G1273=CONFIG_METADATA!$B$4),IF(DATOS!$G1273="EX",1,IF(DATOS!$G1273="OR",--(COUNTIFS(nNIA,DATOS!$A1273,nCURSO,DATOS!$D1273,nESPEC,DATOS!$E1273,nASIG,DATOS!$I1273,nEVAL,"EX")=0),0))))</f>
      </c>
      <c r="H1273">
        <f>IF(DATOS!$G1273&lt;&gt;"EX",0,--(COUNTIFS(nNIA,DATOS!$A1273,nCURSO,DATOS!$D1273,nESPEC,DATOS!$E1273,nASIG,DATOS!$I1273,nEVAL,"OR")=0))</f>
      </c>
      <c r="I1273">
        <f>IF(DATOS!$I1273="","",IFERROR(VLOOKUP(DATOS!$I1273,CONFIG_ASIGNATURAS!$B$2:$J$91,9,FALSE()),""))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IF(DATOS!$A1274="",0,IF(CONFIG_METADATA!$B$4&lt;&gt;"OR+EX",--(DATOS!$G1274=CONFIG_METADATA!$B$4),IF(DATOS!$G1274="EX",1,IF(DATOS!$G1274="OR",--(COUNTIFS(nNIA,DATOS!$A1274,nCURSO,DATOS!$D1274,nESPEC,DATOS!$E1274,nASIG,DATOS!$I1274,nEVAL,"EX")=0),0))))</f>
      </c>
      <c r="H1274">
        <f>IF(DATOS!$G1274&lt;&gt;"EX",0,--(COUNTIFS(nNIA,DATOS!$A1274,nCURSO,DATOS!$D1274,nESPEC,DATOS!$E1274,nASIG,DATOS!$I1274,nEVAL,"OR")=0))</f>
      </c>
      <c r="I1274">
        <f>IF(DATOS!$I1274="","",IFERROR(VLOOKUP(DATOS!$I1274,CONFIG_ASIGNATURAS!$B$2:$J$91,9,FALSE()),""))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IF(DATOS!$A1275="",0,IF(CONFIG_METADATA!$B$4&lt;&gt;"OR+EX",--(DATOS!$G1275=CONFIG_METADATA!$B$4),IF(DATOS!$G1275="EX",1,IF(DATOS!$G1275="OR",--(COUNTIFS(nNIA,DATOS!$A1275,nCURSO,DATOS!$D1275,nESPEC,DATOS!$E1275,nASIG,DATOS!$I1275,nEVAL,"EX")=0),0))))</f>
      </c>
      <c r="H1275">
        <f>IF(DATOS!$G1275&lt;&gt;"EX",0,--(COUNTIFS(nNIA,DATOS!$A1275,nCURSO,DATOS!$D1275,nESPEC,DATOS!$E1275,nASIG,DATOS!$I1275,nEVAL,"OR")=0))</f>
      </c>
      <c r="I1275">
        <f>IF(DATOS!$I1275="","",IFERROR(VLOOKUP(DATOS!$I1275,CONFIG_ASIGNATURAS!$B$2:$J$91,9,FALSE()),""))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IF(DATOS!$A1276="",0,IF(CONFIG_METADATA!$B$4&lt;&gt;"OR+EX",--(DATOS!$G1276=CONFIG_METADATA!$B$4),IF(DATOS!$G1276="EX",1,IF(DATOS!$G1276="OR",--(COUNTIFS(nNIA,DATOS!$A1276,nCURSO,DATOS!$D1276,nESPEC,DATOS!$E1276,nASIG,DATOS!$I1276,nEVAL,"EX")=0),0))))</f>
      </c>
      <c r="H1276">
        <f>IF(DATOS!$G1276&lt;&gt;"EX",0,--(COUNTIFS(nNIA,DATOS!$A1276,nCURSO,DATOS!$D1276,nESPEC,DATOS!$E1276,nASIG,DATOS!$I1276,nEVAL,"OR")=0))</f>
      </c>
      <c r="I1276">
        <f>IF(DATOS!$I1276="","",IFERROR(VLOOKUP(DATOS!$I1276,CONFIG_ASIGNATURAS!$B$2:$J$91,9,FALSE()),""))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IF(DATOS!$A1277="",0,IF(CONFIG_METADATA!$B$4&lt;&gt;"OR+EX",--(DATOS!$G1277=CONFIG_METADATA!$B$4),IF(DATOS!$G1277="EX",1,IF(DATOS!$G1277="OR",--(COUNTIFS(nNIA,DATOS!$A1277,nCURSO,DATOS!$D1277,nESPEC,DATOS!$E1277,nASIG,DATOS!$I1277,nEVAL,"EX")=0),0))))</f>
      </c>
      <c r="H1277">
        <f>IF(DATOS!$G1277&lt;&gt;"EX",0,--(COUNTIFS(nNIA,DATOS!$A1277,nCURSO,DATOS!$D1277,nESPEC,DATOS!$E1277,nASIG,DATOS!$I1277,nEVAL,"OR")=0))</f>
      </c>
      <c r="I1277">
        <f>IF(DATOS!$I1277="","",IFERROR(VLOOKUP(DATOS!$I1277,CONFIG_ASIGNATURAS!$B$2:$J$91,9,FALSE()),""))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IF(DATOS!$A1278="",0,IF(CONFIG_METADATA!$B$4&lt;&gt;"OR+EX",--(DATOS!$G1278=CONFIG_METADATA!$B$4),IF(DATOS!$G1278="EX",1,IF(DATOS!$G1278="OR",--(COUNTIFS(nNIA,DATOS!$A1278,nCURSO,DATOS!$D1278,nESPEC,DATOS!$E1278,nASIG,DATOS!$I1278,nEVAL,"EX")=0),0))))</f>
      </c>
      <c r="H1278">
        <f>IF(DATOS!$G1278&lt;&gt;"EX",0,--(COUNTIFS(nNIA,DATOS!$A1278,nCURSO,DATOS!$D1278,nESPEC,DATOS!$E1278,nASIG,DATOS!$I1278,nEVAL,"OR")=0))</f>
      </c>
      <c r="I1278">
        <f>IF(DATOS!$I1278="","",IFERROR(VLOOKUP(DATOS!$I1278,CONFIG_ASIGNATURAS!$B$2:$J$91,9,FALSE()),""))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IF(DATOS!$A1279="",0,IF(CONFIG_METADATA!$B$4&lt;&gt;"OR+EX",--(DATOS!$G1279=CONFIG_METADATA!$B$4),IF(DATOS!$G1279="EX",1,IF(DATOS!$G1279="OR",--(COUNTIFS(nNIA,DATOS!$A1279,nCURSO,DATOS!$D1279,nESPEC,DATOS!$E1279,nASIG,DATOS!$I1279,nEVAL,"EX")=0),0))))</f>
      </c>
      <c r="H1279">
        <f>IF(DATOS!$G1279&lt;&gt;"EX",0,--(COUNTIFS(nNIA,DATOS!$A1279,nCURSO,DATOS!$D1279,nESPEC,DATOS!$E1279,nASIG,DATOS!$I1279,nEVAL,"OR")=0))</f>
      </c>
      <c r="I1279">
        <f>IF(DATOS!$I1279="","",IFERROR(VLOOKUP(DATOS!$I1279,CONFIG_ASIGNATURAS!$B$2:$J$91,9,FALSE()),""))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IF(DATOS!$A1280="",0,IF(CONFIG_METADATA!$B$4&lt;&gt;"OR+EX",--(DATOS!$G1280=CONFIG_METADATA!$B$4),IF(DATOS!$G1280="EX",1,IF(DATOS!$G1280="OR",--(COUNTIFS(nNIA,DATOS!$A1280,nCURSO,DATOS!$D1280,nESPEC,DATOS!$E1280,nASIG,DATOS!$I1280,nEVAL,"EX")=0),0))))</f>
      </c>
      <c r="H1280">
        <f>IF(DATOS!$G1280&lt;&gt;"EX",0,--(COUNTIFS(nNIA,DATOS!$A1280,nCURSO,DATOS!$D1280,nESPEC,DATOS!$E1280,nASIG,DATOS!$I1280,nEVAL,"OR")=0))</f>
      </c>
      <c r="I1280">
        <f>IF(DATOS!$I1280="","",IFERROR(VLOOKUP(DATOS!$I1280,CONFIG_ASIGNATURAS!$B$2:$J$91,9,FALSE()),""))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IF(DATOS!$A1281="",0,IF(CONFIG_METADATA!$B$4&lt;&gt;"OR+EX",--(DATOS!$G1281=CONFIG_METADATA!$B$4),IF(DATOS!$G1281="EX",1,IF(DATOS!$G1281="OR",--(COUNTIFS(nNIA,DATOS!$A1281,nCURSO,DATOS!$D1281,nESPEC,DATOS!$E1281,nASIG,DATOS!$I1281,nEVAL,"EX")=0),0))))</f>
      </c>
      <c r="H1281">
        <f>IF(DATOS!$G1281&lt;&gt;"EX",0,--(COUNTIFS(nNIA,DATOS!$A1281,nCURSO,DATOS!$D1281,nESPEC,DATOS!$E1281,nASIG,DATOS!$I1281,nEVAL,"OR")=0))</f>
      </c>
      <c r="I1281">
        <f>IF(DATOS!$I1281="","",IFERROR(VLOOKUP(DATOS!$I1281,CONFIG_ASIGNATURAS!$B$2:$J$91,9,FALSE()),""))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IF(DATOS!$A1282="",0,IF(CONFIG_METADATA!$B$4&lt;&gt;"OR+EX",--(DATOS!$G1282=CONFIG_METADATA!$B$4),IF(DATOS!$G1282="EX",1,IF(DATOS!$G1282="OR",--(COUNTIFS(nNIA,DATOS!$A1282,nCURSO,DATOS!$D1282,nESPEC,DATOS!$E1282,nASIG,DATOS!$I1282,nEVAL,"EX")=0),0))))</f>
      </c>
      <c r="H1282">
        <f>IF(DATOS!$G1282&lt;&gt;"EX",0,--(COUNTIFS(nNIA,DATOS!$A1282,nCURSO,DATOS!$D1282,nESPEC,DATOS!$E1282,nASIG,DATOS!$I1282,nEVAL,"OR")=0))</f>
      </c>
      <c r="I1282">
        <f>IF(DATOS!$I1282="","",IFERROR(VLOOKUP(DATOS!$I1282,CONFIG_ASIGNATURAS!$B$2:$J$91,9,FALSE()),""))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IF(DATOS!$A1283="",0,IF(CONFIG_METADATA!$B$4&lt;&gt;"OR+EX",--(DATOS!$G1283=CONFIG_METADATA!$B$4),IF(DATOS!$G1283="EX",1,IF(DATOS!$G1283="OR",--(COUNTIFS(nNIA,DATOS!$A1283,nCURSO,DATOS!$D1283,nESPEC,DATOS!$E1283,nASIG,DATOS!$I1283,nEVAL,"EX")=0),0))))</f>
      </c>
      <c r="H1283">
        <f>IF(DATOS!$G1283&lt;&gt;"EX",0,--(COUNTIFS(nNIA,DATOS!$A1283,nCURSO,DATOS!$D1283,nESPEC,DATOS!$E1283,nASIG,DATOS!$I1283,nEVAL,"OR")=0))</f>
      </c>
      <c r="I1283">
        <f>IF(DATOS!$I1283="","",IFERROR(VLOOKUP(DATOS!$I1283,CONFIG_ASIGNATURAS!$B$2:$J$91,9,FALSE()),""))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IF(DATOS!$A1284="",0,IF(CONFIG_METADATA!$B$4&lt;&gt;"OR+EX",--(DATOS!$G1284=CONFIG_METADATA!$B$4),IF(DATOS!$G1284="EX",1,IF(DATOS!$G1284="OR",--(COUNTIFS(nNIA,DATOS!$A1284,nCURSO,DATOS!$D1284,nESPEC,DATOS!$E1284,nASIG,DATOS!$I1284,nEVAL,"EX")=0),0))))</f>
      </c>
      <c r="H1284">
        <f>IF(DATOS!$G1284&lt;&gt;"EX",0,--(COUNTIFS(nNIA,DATOS!$A1284,nCURSO,DATOS!$D1284,nESPEC,DATOS!$E1284,nASIG,DATOS!$I1284,nEVAL,"OR")=0))</f>
      </c>
      <c r="I1284">
        <f>IF(DATOS!$I1284="","",IFERROR(VLOOKUP(DATOS!$I1284,CONFIG_ASIGNATURAS!$B$2:$J$91,9,FALSE()),""))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IF(DATOS!$A1285="",0,IF(CONFIG_METADATA!$B$4&lt;&gt;"OR+EX",--(DATOS!$G1285=CONFIG_METADATA!$B$4),IF(DATOS!$G1285="EX",1,IF(DATOS!$G1285="OR",--(COUNTIFS(nNIA,DATOS!$A1285,nCURSO,DATOS!$D1285,nESPEC,DATOS!$E1285,nASIG,DATOS!$I1285,nEVAL,"EX")=0),0))))</f>
      </c>
      <c r="H1285">
        <f>IF(DATOS!$G1285&lt;&gt;"EX",0,--(COUNTIFS(nNIA,DATOS!$A1285,nCURSO,DATOS!$D1285,nESPEC,DATOS!$E1285,nASIG,DATOS!$I1285,nEVAL,"OR")=0))</f>
      </c>
      <c r="I1285">
        <f>IF(DATOS!$I1285="","",IFERROR(VLOOKUP(DATOS!$I1285,CONFIG_ASIGNATURAS!$B$2:$J$91,9,FALSE()),""))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IF(DATOS!$A1286="",0,IF(CONFIG_METADATA!$B$4&lt;&gt;"OR+EX",--(DATOS!$G1286=CONFIG_METADATA!$B$4),IF(DATOS!$G1286="EX",1,IF(DATOS!$G1286="OR",--(COUNTIFS(nNIA,DATOS!$A1286,nCURSO,DATOS!$D1286,nESPEC,DATOS!$E1286,nASIG,DATOS!$I1286,nEVAL,"EX")=0),0))))</f>
      </c>
      <c r="H1286">
        <f>IF(DATOS!$G1286&lt;&gt;"EX",0,--(COUNTIFS(nNIA,DATOS!$A1286,nCURSO,DATOS!$D1286,nESPEC,DATOS!$E1286,nASIG,DATOS!$I1286,nEVAL,"OR")=0))</f>
      </c>
      <c r="I1286">
        <f>IF(DATOS!$I1286="","",IFERROR(VLOOKUP(DATOS!$I1286,CONFIG_ASIGNATURAS!$B$2:$J$91,9,FALSE()),""))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IF(DATOS!$A1287="",0,IF(CONFIG_METADATA!$B$4&lt;&gt;"OR+EX",--(DATOS!$G1287=CONFIG_METADATA!$B$4),IF(DATOS!$G1287="EX",1,IF(DATOS!$G1287="OR",--(COUNTIFS(nNIA,DATOS!$A1287,nCURSO,DATOS!$D1287,nESPEC,DATOS!$E1287,nASIG,DATOS!$I1287,nEVAL,"EX")=0),0))))</f>
      </c>
      <c r="H1287">
        <f>IF(DATOS!$G1287&lt;&gt;"EX",0,--(COUNTIFS(nNIA,DATOS!$A1287,nCURSO,DATOS!$D1287,nESPEC,DATOS!$E1287,nASIG,DATOS!$I1287,nEVAL,"OR")=0))</f>
      </c>
      <c r="I1287">
        <f>IF(DATOS!$I1287="","",IFERROR(VLOOKUP(DATOS!$I1287,CONFIG_ASIGNATURAS!$B$2:$J$91,9,FALSE()),""))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IF(DATOS!$A1288="",0,IF(CONFIG_METADATA!$B$4&lt;&gt;"OR+EX",--(DATOS!$G1288=CONFIG_METADATA!$B$4),IF(DATOS!$G1288="EX",1,IF(DATOS!$G1288="OR",--(COUNTIFS(nNIA,DATOS!$A1288,nCURSO,DATOS!$D1288,nESPEC,DATOS!$E1288,nASIG,DATOS!$I1288,nEVAL,"EX")=0),0))))</f>
      </c>
      <c r="H1288">
        <f>IF(DATOS!$G1288&lt;&gt;"EX",0,--(COUNTIFS(nNIA,DATOS!$A1288,nCURSO,DATOS!$D1288,nESPEC,DATOS!$E1288,nASIG,DATOS!$I1288,nEVAL,"OR")=0))</f>
      </c>
      <c r="I1288">
        <f>IF(DATOS!$I1288="","",IFERROR(VLOOKUP(DATOS!$I1288,CONFIG_ASIGNATURAS!$B$2:$J$91,9,FALSE()),""))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IF(DATOS!$A1289="",0,IF(CONFIG_METADATA!$B$4&lt;&gt;"OR+EX",--(DATOS!$G1289=CONFIG_METADATA!$B$4),IF(DATOS!$G1289="EX",1,IF(DATOS!$G1289="OR",--(COUNTIFS(nNIA,DATOS!$A1289,nCURSO,DATOS!$D1289,nESPEC,DATOS!$E1289,nASIG,DATOS!$I1289,nEVAL,"EX")=0),0))))</f>
      </c>
      <c r="H1289">
        <f>IF(DATOS!$G1289&lt;&gt;"EX",0,--(COUNTIFS(nNIA,DATOS!$A1289,nCURSO,DATOS!$D1289,nESPEC,DATOS!$E1289,nASIG,DATOS!$I1289,nEVAL,"OR")=0))</f>
      </c>
      <c r="I1289">
        <f>IF(DATOS!$I1289="","",IFERROR(VLOOKUP(DATOS!$I1289,CONFIG_ASIGNATURAS!$B$2:$J$91,9,FALSE()),""))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IF(DATOS!$A1290="",0,IF(CONFIG_METADATA!$B$4&lt;&gt;"OR+EX",--(DATOS!$G1290=CONFIG_METADATA!$B$4),IF(DATOS!$G1290="EX",1,IF(DATOS!$G1290="OR",--(COUNTIFS(nNIA,DATOS!$A1290,nCURSO,DATOS!$D1290,nESPEC,DATOS!$E1290,nASIG,DATOS!$I1290,nEVAL,"EX")=0),0))))</f>
      </c>
      <c r="H1290">
        <f>IF(DATOS!$G1290&lt;&gt;"EX",0,--(COUNTIFS(nNIA,DATOS!$A1290,nCURSO,DATOS!$D1290,nESPEC,DATOS!$E1290,nASIG,DATOS!$I1290,nEVAL,"OR")=0))</f>
      </c>
      <c r="I1290">
        <f>IF(DATOS!$I1290="","",IFERROR(VLOOKUP(DATOS!$I1290,CONFIG_ASIGNATURAS!$B$2:$J$91,9,FALSE()),""))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IF(DATOS!$A1291="",0,IF(CONFIG_METADATA!$B$4&lt;&gt;"OR+EX",--(DATOS!$G1291=CONFIG_METADATA!$B$4),IF(DATOS!$G1291="EX",1,IF(DATOS!$G1291="OR",--(COUNTIFS(nNIA,DATOS!$A1291,nCURSO,DATOS!$D1291,nESPEC,DATOS!$E1291,nASIG,DATOS!$I1291,nEVAL,"EX")=0),0))))</f>
      </c>
      <c r="H1291">
        <f>IF(DATOS!$G1291&lt;&gt;"EX",0,--(COUNTIFS(nNIA,DATOS!$A1291,nCURSO,DATOS!$D1291,nESPEC,DATOS!$E1291,nASIG,DATOS!$I1291,nEVAL,"OR")=0))</f>
      </c>
      <c r="I1291">
        <f>IF(DATOS!$I1291="","",IFERROR(VLOOKUP(DATOS!$I1291,CONFIG_ASIGNATURAS!$B$2:$J$91,9,FALSE()),""))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IF(DATOS!$A1292="",0,IF(CONFIG_METADATA!$B$4&lt;&gt;"OR+EX",--(DATOS!$G1292=CONFIG_METADATA!$B$4),IF(DATOS!$G1292="EX",1,IF(DATOS!$G1292="OR",--(COUNTIFS(nNIA,DATOS!$A1292,nCURSO,DATOS!$D1292,nESPEC,DATOS!$E1292,nASIG,DATOS!$I1292,nEVAL,"EX")=0),0))))</f>
      </c>
      <c r="H1292">
        <f>IF(DATOS!$G1292&lt;&gt;"EX",0,--(COUNTIFS(nNIA,DATOS!$A1292,nCURSO,DATOS!$D1292,nESPEC,DATOS!$E1292,nASIG,DATOS!$I1292,nEVAL,"OR")=0))</f>
      </c>
      <c r="I1292">
        <f>IF(DATOS!$I1292="","",IFERROR(VLOOKUP(DATOS!$I1292,CONFIG_ASIGNATURAS!$B$2:$J$91,9,FALSE()),""))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IF(DATOS!$A1293="",0,IF(CONFIG_METADATA!$B$4&lt;&gt;"OR+EX",--(DATOS!$G1293=CONFIG_METADATA!$B$4),IF(DATOS!$G1293="EX",1,IF(DATOS!$G1293="OR",--(COUNTIFS(nNIA,DATOS!$A1293,nCURSO,DATOS!$D1293,nESPEC,DATOS!$E1293,nASIG,DATOS!$I1293,nEVAL,"EX")=0),0))))</f>
      </c>
      <c r="H1293">
        <f>IF(DATOS!$G1293&lt;&gt;"EX",0,--(COUNTIFS(nNIA,DATOS!$A1293,nCURSO,DATOS!$D1293,nESPEC,DATOS!$E1293,nASIG,DATOS!$I1293,nEVAL,"OR")=0))</f>
      </c>
      <c r="I1293">
        <f>IF(DATOS!$I1293="","",IFERROR(VLOOKUP(DATOS!$I1293,CONFIG_ASIGNATURAS!$B$2:$J$91,9,FALSE()),""))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IF(DATOS!$A1294="",0,IF(CONFIG_METADATA!$B$4&lt;&gt;"OR+EX",--(DATOS!$G1294=CONFIG_METADATA!$B$4),IF(DATOS!$G1294="EX",1,IF(DATOS!$G1294="OR",--(COUNTIFS(nNIA,DATOS!$A1294,nCURSO,DATOS!$D1294,nESPEC,DATOS!$E1294,nASIG,DATOS!$I1294,nEVAL,"EX")=0),0))))</f>
      </c>
      <c r="H1294">
        <f>IF(DATOS!$G1294&lt;&gt;"EX",0,--(COUNTIFS(nNIA,DATOS!$A1294,nCURSO,DATOS!$D1294,nESPEC,DATOS!$E1294,nASIG,DATOS!$I1294,nEVAL,"OR")=0))</f>
      </c>
      <c r="I1294">
        <f>IF(DATOS!$I1294="","",IFERROR(VLOOKUP(DATOS!$I1294,CONFIG_ASIGNATURAS!$B$2:$J$91,9,FALSE()),""))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IF(DATOS!$A1295="",0,IF(CONFIG_METADATA!$B$4&lt;&gt;"OR+EX",--(DATOS!$G1295=CONFIG_METADATA!$B$4),IF(DATOS!$G1295="EX",1,IF(DATOS!$G1295="OR",--(COUNTIFS(nNIA,DATOS!$A1295,nCURSO,DATOS!$D1295,nESPEC,DATOS!$E1295,nASIG,DATOS!$I1295,nEVAL,"EX")=0),0))))</f>
      </c>
      <c r="H1295">
        <f>IF(DATOS!$G1295&lt;&gt;"EX",0,--(COUNTIFS(nNIA,DATOS!$A1295,nCURSO,DATOS!$D1295,nESPEC,DATOS!$E1295,nASIG,DATOS!$I1295,nEVAL,"OR")=0))</f>
      </c>
      <c r="I1295">
        <f>IF(DATOS!$I1295="","",IFERROR(VLOOKUP(DATOS!$I1295,CONFIG_ASIGNATURAS!$B$2:$J$91,9,FALSE()),""))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IF(DATOS!$A1296="",0,IF(CONFIG_METADATA!$B$4&lt;&gt;"OR+EX",--(DATOS!$G1296=CONFIG_METADATA!$B$4),IF(DATOS!$G1296="EX",1,IF(DATOS!$G1296="OR",--(COUNTIFS(nNIA,DATOS!$A1296,nCURSO,DATOS!$D1296,nESPEC,DATOS!$E1296,nASIG,DATOS!$I1296,nEVAL,"EX")=0),0))))</f>
      </c>
      <c r="H1296">
        <f>IF(DATOS!$G1296&lt;&gt;"EX",0,--(COUNTIFS(nNIA,DATOS!$A1296,nCURSO,DATOS!$D1296,nESPEC,DATOS!$E1296,nASIG,DATOS!$I1296,nEVAL,"OR")=0))</f>
      </c>
      <c r="I1296">
        <f>IF(DATOS!$I1296="","",IFERROR(VLOOKUP(DATOS!$I1296,CONFIG_ASIGNATURAS!$B$2:$J$91,9,FALSE()),""))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IF(DATOS!$A1297="",0,IF(CONFIG_METADATA!$B$4&lt;&gt;"OR+EX",--(DATOS!$G1297=CONFIG_METADATA!$B$4),IF(DATOS!$G1297="EX",1,IF(DATOS!$G1297="OR",--(COUNTIFS(nNIA,DATOS!$A1297,nCURSO,DATOS!$D1297,nESPEC,DATOS!$E1297,nASIG,DATOS!$I1297,nEVAL,"EX")=0),0))))</f>
      </c>
      <c r="H1297">
        <f>IF(DATOS!$G1297&lt;&gt;"EX",0,--(COUNTIFS(nNIA,DATOS!$A1297,nCURSO,DATOS!$D1297,nESPEC,DATOS!$E1297,nASIG,DATOS!$I1297,nEVAL,"OR")=0))</f>
      </c>
      <c r="I1297">
        <f>IF(DATOS!$I1297="","",IFERROR(VLOOKUP(DATOS!$I1297,CONFIG_ASIGNATURAS!$B$2:$J$91,9,FALSE()),""))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IF(DATOS!$A1298="",0,IF(CONFIG_METADATA!$B$4&lt;&gt;"OR+EX",--(DATOS!$G1298=CONFIG_METADATA!$B$4),IF(DATOS!$G1298="EX",1,IF(DATOS!$G1298="OR",--(COUNTIFS(nNIA,DATOS!$A1298,nCURSO,DATOS!$D1298,nESPEC,DATOS!$E1298,nASIG,DATOS!$I1298,nEVAL,"EX")=0),0))))</f>
      </c>
      <c r="H1298">
        <f>IF(DATOS!$G1298&lt;&gt;"EX",0,--(COUNTIFS(nNIA,DATOS!$A1298,nCURSO,DATOS!$D1298,nESPEC,DATOS!$E1298,nASIG,DATOS!$I1298,nEVAL,"OR")=0))</f>
      </c>
      <c r="I1298">
        <f>IF(DATOS!$I1298="","",IFERROR(VLOOKUP(DATOS!$I1298,CONFIG_ASIGNATURAS!$B$2:$J$91,9,FALSE()),""))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IF(DATOS!$A1299="",0,IF(CONFIG_METADATA!$B$4&lt;&gt;"OR+EX",--(DATOS!$G1299=CONFIG_METADATA!$B$4),IF(DATOS!$G1299="EX",1,IF(DATOS!$G1299="OR",--(COUNTIFS(nNIA,DATOS!$A1299,nCURSO,DATOS!$D1299,nESPEC,DATOS!$E1299,nASIG,DATOS!$I1299,nEVAL,"EX")=0),0))))</f>
      </c>
      <c r="H1299">
        <f>IF(DATOS!$G1299&lt;&gt;"EX",0,--(COUNTIFS(nNIA,DATOS!$A1299,nCURSO,DATOS!$D1299,nESPEC,DATOS!$E1299,nASIG,DATOS!$I1299,nEVAL,"OR")=0))</f>
      </c>
      <c r="I1299">
        <f>IF(DATOS!$I1299="","",IFERROR(VLOOKUP(DATOS!$I1299,CONFIG_ASIGNATURAS!$B$2:$J$91,9,FALSE()),""))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IF(DATOS!$A1300="",0,IF(CONFIG_METADATA!$B$4&lt;&gt;"OR+EX",--(DATOS!$G1300=CONFIG_METADATA!$B$4),IF(DATOS!$G1300="EX",1,IF(DATOS!$G1300="OR",--(COUNTIFS(nNIA,DATOS!$A1300,nCURSO,DATOS!$D1300,nESPEC,DATOS!$E1300,nASIG,DATOS!$I1300,nEVAL,"EX")=0),0))))</f>
      </c>
      <c r="H1300">
        <f>IF(DATOS!$G1300&lt;&gt;"EX",0,--(COUNTIFS(nNIA,DATOS!$A1300,nCURSO,DATOS!$D1300,nESPEC,DATOS!$E1300,nASIG,DATOS!$I1300,nEVAL,"OR")=0))</f>
      </c>
      <c r="I1300">
        <f>IF(DATOS!$I1300="","",IFERROR(VLOOKUP(DATOS!$I1300,CONFIG_ASIGNATURAS!$B$2:$J$91,9,FALSE()),""))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IF(DATOS!$A1301="",0,IF(CONFIG_METADATA!$B$4&lt;&gt;"OR+EX",--(DATOS!$G1301=CONFIG_METADATA!$B$4),IF(DATOS!$G1301="EX",1,IF(DATOS!$G1301="OR",--(COUNTIFS(nNIA,DATOS!$A1301,nCURSO,DATOS!$D1301,nESPEC,DATOS!$E1301,nASIG,DATOS!$I1301,nEVAL,"EX")=0),0))))</f>
      </c>
      <c r="H1301">
        <f>IF(DATOS!$G1301&lt;&gt;"EX",0,--(COUNTIFS(nNIA,DATOS!$A1301,nCURSO,DATOS!$D1301,nESPEC,DATOS!$E1301,nASIG,DATOS!$I1301,nEVAL,"OR")=0))</f>
      </c>
      <c r="I1301">
        <f>IF(DATOS!$I1301="","",IFERROR(VLOOKUP(DATOS!$I1301,CONFIG_ASIGNATURAS!$B$2:$J$91,9,FALSE()),""))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IF(DATOS!$A1302="",0,IF(CONFIG_METADATA!$B$4&lt;&gt;"OR+EX",--(DATOS!$G1302=CONFIG_METADATA!$B$4),IF(DATOS!$G1302="EX",1,IF(DATOS!$G1302="OR",--(COUNTIFS(nNIA,DATOS!$A1302,nCURSO,DATOS!$D1302,nESPEC,DATOS!$E1302,nASIG,DATOS!$I1302,nEVAL,"EX")=0),0))))</f>
      </c>
      <c r="H1302">
        <f>IF(DATOS!$G1302&lt;&gt;"EX",0,--(COUNTIFS(nNIA,DATOS!$A1302,nCURSO,DATOS!$D1302,nESPEC,DATOS!$E1302,nASIG,DATOS!$I1302,nEVAL,"OR")=0))</f>
      </c>
      <c r="I1302">
        <f>IF(DATOS!$I1302="","",IFERROR(VLOOKUP(DATOS!$I1302,CONFIG_ASIGNATURAS!$B$2:$J$91,9,FALSE()),""))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IF(DATOS!$A1303="",0,IF(CONFIG_METADATA!$B$4&lt;&gt;"OR+EX",--(DATOS!$G1303=CONFIG_METADATA!$B$4),IF(DATOS!$G1303="EX",1,IF(DATOS!$G1303="OR",--(COUNTIFS(nNIA,DATOS!$A1303,nCURSO,DATOS!$D1303,nESPEC,DATOS!$E1303,nASIG,DATOS!$I1303,nEVAL,"EX")=0),0))))</f>
      </c>
      <c r="H1303">
        <f>IF(DATOS!$G1303&lt;&gt;"EX",0,--(COUNTIFS(nNIA,DATOS!$A1303,nCURSO,DATOS!$D1303,nESPEC,DATOS!$E1303,nASIG,DATOS!$I1303,nEVAL,"OR")=0))</f>
      </c>
      <c r="I1303">
        <f>IF(DATOS!$I1303="","",IFERROR(VLOOKUP(DATOS!$I1303,CONFIG_ASIGNATURAS!$B$2:$J$91,9,FALSE()),""))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IF(DATOS!$A1304="",0,IF(CONFIG_METADATA!$B$4&lt;&gt;"OR+EX",--(DATOS!$G1304=CONFIG_METADATA!$B$4),IF(DATOS!$G1304="EX",1,IF(DATOS!$G1304="OR",--(COUNTIFS(nNIA,DATOS!$A1304,nCURSO,DATOS!$D1304,nESPEC,DATOS!$E1304,nASIG,DATOS!$I1304,nEVAL,"EX")=0),0))))</f>
      </c>
      <c r="H1304">
        <f>IF(DATOS!$G1304&lt;&gt;"EX",0,--(COUNTIFS(nNIA,DATOS!$A1304,nCURSO,DATOS!$D1304,nESPEC,DATOS!$E1304,nASIG,DATOS!$I1304,nEVAL,"OR")=0))</f>
      </c>
      <c r="I1304">
        <f>IF(DATOS!$I1304="","",IFERROR(VLOOKUP(DATOS!$I1304,CONFIG_ASIGNATURAS!$B$2:$J$91,9,FALSE()),""))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IF(DATOS!$A1305="",0,IF(CONFIG_METADATA!$B$4&lt;&gt;"OR+EX",--(DATOS!$G1305=CONFIG_METADATA!$B$4),IF(DATOS!$G1305="EX",1,IF(DATOS!$G1305="OR",--(COUNTIFS(nNIA,DATOS!$A1305,nCURSO,DATOS!$D1305,nESPEC,DATOS!$E1305,nASIG,DATOS!$I1305,nEVAL,"EX")=0),0))))</f>
      </c>
      <c r="H1305">
        <f>IF(DATOS!$G1305&lt;&gt;"EX",0,--(COUNTIFS(nNIA,DATOS!$A1305,nCURSO,DATOS!$D1305,nESPEC,DATOS!$E1305,nASIG,DATOS!$I1305,nEVAL,"OR")=0))</f>
      </c>
      <c r="I1305">
        <f>IF(DATOS!$I1305="","",IFERROR(VLOOKUP(DATOS!$I1305,CONFIG_ASIGNATURAS!$B$2:$J$91,9,FALSE()),""))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IF(DATOS!$A1306="",0,IF(CONFIG_METADATA!$B$4&lt;&gt;"OR+EX",--(DATOS!$G1306=CONFIG_METADATA!$B$4),IF(DATOS!$G1306="EX",1,IF(DATOS!$G1306="OR",--(COUNTIFS(nNIA,DATOS!$A1306,nCURSO,DATOS!$D1306,nESPEC,DATOS!$E1306,nASIG,DATOS!$I1306,nEVAL,"EX")=0),0))))</f>
      </c>
      <c r="H1306">
        <f>IF(DATOS!$G1306&lt;&gt;"EX",0,--(COUNTIFS(nNIA,DATOS!$A1306,nCURSO,DATOS!$D1306,nESPEC,DATOS!$E1306,nASIG,DATOS!$I1306,nEVAL,"OR")=0))</f>
      </c>
      <c r="I1306">
        <f>IF(DATOS!$I1306="","",IFERROR(VLOOKUP(DATOS!$I1306,CONFIG_ASIGNATURAS!$B$2:$J$91,9,FALSE()),""))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IF(DATOS!$A1307="",0,IF(CONFIG_METADATA!$B$4&lt;&gt;"OR+EX",--(DATOS!$G1307=CONFIG_METADATA!$B$4),IF(DATOS!$G1307="EX",1,IF(DATOS!$G1307="OR",--(COUNTIFS(nNIA,DATOS!$A1307,nCURSO,DATOS!$D1307,nESPEC,DATOS!$E1307,nASIG,DATOS!$I1307,nEVAL,"EX")=0),0))))</f>
      </c>
      <c r="H1307">
        <f>IF(DATOS!$G1307&lt;&gt;"EX",0,--(COUNTIFS(nNIA,DATOS!$A1307,nCURSO,DATOS!$D1307,nESPEC,DATOS!$E1307,nASIG,DATOS!$I1307,nEVAL,"OR")=0))</f>
      </c>
      <c r="I1307">
        <f>IF(DATOS!$I1307="","",IFERROR(VLOOKUP(DATOS!$I1307,CONFIG_ASIGNATURAS!$B$2:$J$91,9,FALSE()),""))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IF(DATOS!$A1308="",0,IF(CONFIG_METADATA!$B$4&lt;&gt;"OR+EX",--(DATOS!$G1308=CONFIG_METADATA!$B$4),IF(DATOS!$G1308="EX",1,IF(DATOS!$G1308="OR",--(COUNTIFS(nNIA,DATOS!$A1308,nCURSO,DATOS!$D1308,nESPEC,DATOS!$E1308,nASIG,DATOS!$I1308,nEVAL,"EX")=0),0))))</f>
      </c>
      <c r="H1308">
        <f>IF(DATOS!$G1308&lt;&gt;"EX",0,--(COUNTIFS(nNIA,DATOS!$A1308,nCURSO,DATOS!$D1308,nESPEC,DATOS!$E1308,nASIG,DATOS!$I1308,nEVAL,"OR")=0))</f>
      </c>
      <c r="I1308">
        <f>IF(DATOS!$I1308="","",IFERROR(VLOOKUP(DATOS!$I1308,CONFIG_ASIGNATURAS!$B$2:$J$91,9,FALSE()),""))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IF(DATOS!$A1309="",0,IF(CONFIG_METADATA!$B$4&lt;&gt;"OR+EX",--(DATOS!$G1309=CONFIG_METADATA!$B$4),IF(DATOS!$G1309="EX",1,IF(DATOS!$G1309="OR",--(COUNTIFS(nNIA,DATOS!$A1309,nCURSO,DATOS!$D1309,nESPEC,DATOS!$E1309,nASIG,DATOS!$I1309,nEVAL,"EX")=0),0))))</f>
      </c>
      <c r="H1309">
        <f>IF(DATOS!$G1309&lt;&gt;"EX",0,--(COUNTIFS(nNIA,DATOS!$A1309,nCURSO,DATOS!$D1309,nESPEC,DATOS!$E1309,nASIG,DATOS!$I1309,nEVAL,"OR")=0))</f>
      </c>
      <c r="I1309">
        <f>IF(DATOS!$I1309="","",IFERROR(VLOOKUP(DATOS!$I1309,CONFIG_ASIGNATURAS!$B$2:$J$91,9,FALSE()),""))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IF(DATOS!$A1310="",0,IF(CONFIG_METADATA!$B$4&lt;&gt;"OR+EX",--(DATOS!$G1310=CONFIG_METADATA!$B$4),IF(DATOS!$G1310="EX",1,IF(DATOS!$G1310="OR",--(COUNTIFS(nNIA,DATOS!$A1310,nCURSO,DATOS!$D1310,nESPEC,DATOS!$E1310,nASIG,DATOS!$I1310,nEVAL,"EX")=0),0))))</f>
      </c>
      <c r="H1310">
        <f>IF(DATOS!$G1310&lt;&gt;"EX",0,--(COUNTIFS(nNIA,DATOS!$A1310,nCURSO,DATOS!$D1310,nESPEC,DATOS!$E1310,nASIG,DATOS!$I1310,nEVAL,"OR")=0))</f>
      </c>
      <c r="I1310">
        <f>IF(DATOS!$I1310="","",IFERROR(VLOOKUP(DATOS!$I1310,CONFIG_ASIGNATURAS!$B$2:$J$91,9,FALSE()),""))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IF(DATOS!$A1311="",0,IF(CONFIG_METADATA!$B$4&lt;&gt;"OR+EX",--(DATOS!$G1311=CONFIG_METADATA!$B$4),IF(DATOS!$G1311="EX",1,IF(DATOS!$G1311="OR",--(COUNTIFS(nNIA,DATOS!$A1311,nCURSO,DATOS!$D1311,nESPEC,DATOS!$E1311,nASIG,DATOS!$I1311,nEVAL,"EX")=0),0))))</f>
      </c>
      <c r="H1311">
        <f>IF(DATOS!$G1311&lt;&gt;"EX",0,--(COUNTIFS(nNIA,DATOS!$A1311,nCURSO,DATOS!$D1311,nESPEC,DATOS!$E1311,nASIG,DATOS!$I1311,nEVAL,"OR")=0))</f>
      </c>
      <c r="I1311">
        <f>IF(DATOS!$I1311="","",IFERROR(VLOOKUP(DATOS!$I1311,CONFIG_ASIGNATURAS!$B$2:$J$91,9,FALSE()),""))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IF(DATOS!$A1312="",0,IF(CONFIG_METADATA!$B$4&lt;&gt;"OR+EX",--(DATOS!$G1312=CONFIG_METADATA!$B$4),IF(DATOS!$G1312="EX",1,IF(DATOS!$G1312="OR",--(COUNTIFS(nNIA,DATOS!$A1312,nCURSO,DATOS!$D1312,nESPEC,DATOS!$E1312,nASIG,DATOS!$I1312,nEVAL,"EX")=0),0))))</f>
      </c>
      <c r="H1312">
        <f>IF(DATOS!$G1312&lt;&gt;"EX",0,--(COUNTIFS(nNIA,DATOS!$A1312,nCURSO,DATOS!$D1312,nESPEC,DATOS!$E1312,nASIG,DATOS!$I1312,nEVAL,"OR")=0))</f>
      </c>
      <c r="I1312">
        <f>IF(DATOS!$I1312="","",IFERROR(VLOOKUP(DATOS!$I1312,CONFIG_ASIGNATURAS!$B$2:$J$91,9,FALSE()),""))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IF(DATOS!$A1313="",0,IF(CONFIG_METADATA!$B$4&lt;&gt;"OR+EX",--(DATOS!$G1313=CONFIG_METADATA!$B$4),IF(DATOS!$G1313="EX",1,IF(DATOS!$G1313="OR",--(COUNTIFS(nNIA,DATOS!$A1313,nCURSO,DATOS!$D1313,nESPEC,DATOS!$E1313,nASIG,DATOS!$I1313,nEVAL,"EX")=0),0))))</f>
      </c>
      <c r="H1313">
        <f>IF(DATOS!$G1313&lt;&gt;"EX",0,--(COUNTIFS(nNIA,DATOS!$A1313,nCURSO,DATOS!$D1313,nESPEC,DATOS!$E1313,nASIG,DATOS!$I1313,nEVAL,"OR")=0))</f>
      </c>
      <c r="I1313">
        <f>IF(DATOS!$I1313="","",IFERROR(VLOOKUP(DATOS!$I1313,CONFIG_ASIGNATURAS!$B$2:$J$91,9,FALSE()),""))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IF(DATOS!$A1314="",0,IF(CONFIG_METADATA!$B$4&lt;&gt;"OR+EX",--(DATOS!$G1314=CONFIG_METADATA!$B$4),IF(DATOS!$G1314="EX",1,IF(DATOS!$G1314="OR",--(COUNTIFS(nNIA,DATOS!$A1314,nCURSO,DATOS!$D1314,nESPEC,DATOS!$E1314,nASIG,DATOS!$I1314,nEVAL,"EX")=0),0))))</f>
      </c>
      <c r="H1314">
        <f>IF(DATOS!$G1314&lt;&gt;"EX",0,--(COUNTIFS(nNIA,DATOS!$A1314,nCURSO,DATOS!$D1314,nESPEC,DATOS!$E1314,nASIG,DATOS!$I1314,nEVAL,"OR")=0))</f>
      </c>
      <c r="I1314">
        <f>IF(DATOS!$I1314="","",IFERROR(VLOOKUP(DATOS!$I1314,CONFIG_ASIGNATURAS!$B$2:$J$91,9,FALSE()),""))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IF(DATOS!$A1315="",0,IF(CONFIG_METADATA!$B$4&lt;&gt;"OR+EX",--(DATOS!$G1315=CONFIG_METADATA!$B$4),IF(DATOS!$G1315="EX",1,IF(DATOS!$G1315="OR",--(COUNTIFS(nNIA,DATOS!$A1315,nCURSO,DATOS!$D1315,nESPEC,DATOS!$E1315,nASIG,DATOS!$I1315,nEVAL,"EX")=0),0))))</f>
      </c>
      <c r="H1315">
        <f>IF(DATOS!$G1315&lt;&gt;"EX",0,--(COUNTIFS(nNIA,DATOS!$A1315,nCURSO,DATOS!$D1315,nESPEC,DATOS!$E1315,nASIG,DATOS!$I1315,nEVAL,"OR")=0))</f>
      </c>
      <c r="I1315">
        <f>IF(DATOS!$I1315="","",IFERROR(VLOOKUP(DATOS!$I1315,CONFIG_ASIGNATURAS!$B$2:$J$91,9,FALSE()),""))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IF(DATOS!$A1316="",0,IF(CONFIG_METADATA!$B$4&lt;&gt;"OR+EX",--(DATOS!$G1316=CONFIG_METADATA!$B$4),IF(DATOS!$G1316="EX",1,IF(DATOS!$G1316="OR",--(COUNTIFS(nNIA,DATOS!$A1316,nCURSO,DATOS!$D1316,nESPEC,DATOS!$E1316,nASIG,DATOS!$I1316,nEVAL,"EX")=0),0))))</f>
      </c>
      <c r="H1316">
        <f>IF(DATOS!$G1316&lt;&gt;"EX",0,--(COUNTIFS(nNIA,DATOS!$A1316,nCURSO,DATOS!$D1316,nESPEC,DATOS!$E1316,nASIG,DATOS!$I1316,nEVAL,"OR")=0))</f>
      </c>
      <c r="I1316">
        <f>IF(DATOS!$I1316="","",IFERROR(VLOOKUP(DATOS!$I1316,CONFIG_ASIGNATURAS!$B$2:$J$91,9,FALSE()),""))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IF(DATOS!$A1317="",0,IF(CONFIG_METADATA!$B$4&lt;&gt;"OR+EX",--(DATOS!$G1317=CONFIG_METADATA!$B$4),IF(DATOS!$G1317="EX",1,IF(DATOS!$G1317="OR",--(COUNTIFS(nNIA,DATOS!$A1317,nCURSO,DATOS!$D1317,nESPEC,DATOS!$E1317,nASIG,DATOS!$I1317,nEVAL,"EX")=0),0))))</f>
      </c>
      <c r="H1317">
        <f>IF(DATOS!$G1317&lt;&gt;"EX",0,--(COUNTIFS(nNIA,DATOS!$A1317,nCURSO,DATOS!$D1317,nESPEC,DATOS!$E1317,nASIG,DATOS!$I1317,nEVAL,"OR")=0))</f>
      </c>
      <c r="I1317">
        <f>IF(DATOS!$I1317="","",IFERROR(VLOOKUP(DATOS!$I1317,CONFIG_ASIGNATURAS!$B$2:$J$91,9,FALSE()),""))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IF(DATOS!$A1318="",0,IF(CONFIG_METADATA!$B$4&lt;&gt;"OR+EX",--(DATOS!$G1318=CONFIG_METADATA!$B$4),IF(DATOS!$G1318="EX",1,IF(DATOS!$G1318="OR",--(COUNTIFS(nNIA,DATOS!$A1318,nCURSO,DATOS!$D1318,nESPEC,DATOS!$E1318,nASIG,DATOS!$I1318,nEVAL,"EX")=0),0))))</f>
      </c>
      <c r="H1318">
        <f>IF(DATOS!$G1318&lt;&gt;"EX",0,--(COUNTIFS(nNIA,DATOS!$A1318,nCURSO,DATOS!$D1318,nESPEC,DATOS!$E1318,nASIG,DATOS!$I1318,nEVAL,"OR")=0))</f>
      </c>
      <c r="I1318">
        <f>IF(DATOS!$I1318="","",IFERROR(VLOOKUP(DATOS!$I1318,CONFIG_ASIGNATURAS!$B$2:$J$91,9,FALSE()),""))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IF(DATOS!$A1319="",0,IF(CONFIG_METADATA!$B$4&lt;&gt;"OR+EX",--(DATOS!$G1319=CONFIG_METADATA!$B$4),IF(DATOS!$G1319="EX",1,IF(DATOS!$G1319="OR",--(COUNTIFS(nNIA,DATOS!$A1319,nCURSO,DATOS!$D1319,nESPEC,DATOS!$E1319,nASIG,DATOS!$I1319,nEVAL,"EX")=0),0))))</f>
      </c>
      <c r="H1319">
        <f>IF(DATOS!$G1319&lt;&gt;"EX",0,--(COUNTIFS(nNIA,DATOS!$A1319,nCURSO,DATOS!$D1319,nESPEC,DATOS!$E1319,nASIG,DATOS!$I1319,nEVAL,"OR")=0))</f>
      </c>
      <c r="I1319">
        <f>IF(DATOS!$I1319="","",IFERROR(VLOOKUP(DATOS!$I1319,CONFIG_ASIGNATURAS!$B$2:$J$91,9,FALSE()),""))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IF(DATOS!$A1320="",0,IF(CONFIG_METADATA!$B$4&lt;&gt;"OR+EX",--(DATOS!$G1320=CONFIG_METADATA!$B$4),IF(DATOS!$G1320="EX",1,IF(DATOS!$G1320="OR",--(COUNTIFS(nNIA,DATOS!$A1320,nCURSO,DATOS!$D1320,nESPEC,DATOS!$E1320,nASIG,DATOS!$I1320,nEVAL,"EX")=0),0))))</f>
      </c>
      <c r="H1320">
        <f>IF(DATOS!$G1320&lt;&gt;"EX",0,--(COUNTIFS(nNIA,DATOS!$A1320,nCURSO,DATOS!$D1320,nESPEC,DATOS!$E1320,nASIG,DATOS!$I1320,nEVAL,"OR")=0))</f>
      </c>
      <c r="I1320">
        <f>IF(DATOS!$I1320="","",IFERROR(VLOOKUP(DATOS!$I1320,CONFIG_ASIGNATURAS!$B$2:$J$91,9,FALSE()),""))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IF(DATOS!$A1321="",0,IF(CONFIG_METADATA!$B$4&lt;&gt;"OR+EX",--(DATOS!$G1321=CONFIG_METADATA!$B$4),IF(DATOS!$G1321="EX",1,IF(DATOS!$G1321="OR",--(COUNTIFS(nNIA,DATOS!$A1321,nCURSO,DATOS!$D1321,nESPEC,DATOS!$E1321,nASIG,DATOS!$I1321,nEVAL,"EX")=0),0))))</f>
      </c>
      <c r="H1321">
        <f>IF(DATOS!$G1321&lt;&gt;"EX",0,--(COUNTIFS(nNIA,DATOS!$A1321,nCURSO,DATOS!$D1321,nESPEC,DATOS!$E1321,nASIG,DATOS!$I1321,nEVAL,"OR")=0))</f>
      </c>
      <c r="I1321">
        <f>IF(DATOS!$I1321="","",IFERROR(VLOOKUP(DATOS!$I1321,CONFIG_ASIGNATURAS!$B$2:$J$91,9,FALSE()),""))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IF(DATOS!$A1322="",0,IF(CONFIG_METADATA!$B$4&lt;&gt;"OR+EX",--(DATOS!$G1322=CONFIG_METADATA!$B$4),IF(DATOS!$G1322="EX",1,IF(DATOS!$G1322="OR",--(COUNTIFS(nNIA,DATOS!$A1322,nCURSO,DATOS!$D1322,nESPEC,DATOS!$E1322,nASIG,DATOS!$I1322,nEVAL,"EX")=0),0))))</f>
      </c>
      <c r="H1322">
        <f>IF(DATOS!$G1322&lt;&gt;"EX",0,--(COUNTIFS(nNIA,DATOS!$A1322,nCURSO,DATOS!$D1322,nESPEC,DATOS!$E1322,nASIG,DATOS!$I1322,nEVAL,"OR")=0))</f>
      </c>
      <c r="I1322">
        <f>IF(DATOS!$I1322="","",IFERROR(VLOOKUP(DATOS!$I1322,CONFIG_ASIGNATURAS!$B$2:$J$91,9,FALSE()),""))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IF(DATOS!$A1323="",0,IF(CONFIG_METADATA!$B$4&lt;&gt;"OR+EX",--(DATOS!$G1323=CONFIG_METADATA!$B$4),IF(DATOS!$G1323="EX",1,IF(DATOS!$G1323="OR",--(COUNTIFS(nNIA,DATOS!$A1323,nCURSO,DATOS!$D1323,nESPEC,DATOS!$E1323,nASIG,DATOS!$I1323,nEVAL,"EX")=0),0))))</f>
      </c>
      <c r="H1323">
        <f>IF(DATOS!$G1323&lt;&gt;"EX",0,--(COUNTIFS(nNIA,DATOS!$A1323,nCURSO,DATOS!$D1323,nESPEC,DATOS!$E1323,nASIG,DATOS!$I1323,nEVAL,"OR")=0))</f>
      </c>
      <c r="I1323">
        <f>IF(DATOS!$I1323="","",IFERROR(VLOOKUP(DATOS!$I1323,CONFIG_ASIGNATURAS!$B$2:$J$91,9,FALSE()),""))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IF(DATOS!$A1324="",0,IF(CONFIG_METADATA!$B$4&lt;&gt;"OR+EX",--(DATOS!$G1324=CONFIG_METADATA!$B$4),IF(DATOS!$G1324="EX",1,IF(DATOS!$G1324="OR",--(COUNTIFS(nNIA,DATOS!$A1324,nCURSO,DATOS!$D1324,nESPEC,DATOS!$E1324,nASIG,DATOS!$I1324,nEVAL,"EX")=0),0))))</f>
      </c>
      <c r="H1324">
        <f>IF(DATOS!$G1324&lt;&gt;"EX",0,--(COUNTIFS(nNIA,DATOS!$A1324,nCURSO,DATOS!$D1324,nESPEC,DATOS!$E1324,nASIG,DATOS!$I1324,nEVAL,"OR")=0))</f>
      </c>
      <c r="I1324">
        <f>IF(DATOS!$I1324="","",IFERROR(VLOOKUP(DATOS!$I1324,CONFIG_ASIGNATURAS!$B$2:$J$91,9,FALSE()),""))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IF(DATOS!$A1325="",0,IF(CONFIG_METADATA!$B$4&lt;&gt;"OR+EX",--(DATOS!$G1325=CONFIG_METADATA!$B$4),IF(DATOS!$G1325="EX",1,IF(DATOS!$G1325="OR",--(COUNTIFS(nNIA,DATOS!$A1325,nCURSO,DATOS!$D1325,nESPEC,DATOS!$E1325,nASIG,DATOS!$I1325,nEVAL,"EX")=0),0))))</f>
      </c>
      <c r="H1325">
        <f>IF(DATOS!$G1325&lt;&gt;"EX",0,--(COUNTIFS(nNIA,DATOS!$A1325,nCURSO,DATOS!$D1325,nESPEC,DATOS!$E1325,nASIG,DATOS!$I1325,nEVAL,"OR")=0))</f>
      </c>
      <c r="I1325">
        <f>IF(DATOS!$I1325="","",IFERROR(VLOOKUP(DATOS!$I1325,CONFIG_ASIGNATURAS!$B$2:$J$91,9,FALSE()),""))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IF(DATOS!$A1326="",0,IF(CONFIG_METADATA!$B$4&lt;&gt;"OR+EX",--(DATOS!$G1326=CONFIG_METADATA!$B$4),IF(DATOS!$G1326="EX",1,IF(DATOS!$G1326="OR",--(COUNTIFS(nNIA,DATOS!$A1326,nCURSO,DATOS!$D1326,nESPEC,DATOS!$E1326,nASIG,DATOS!$I1326,nEVAL,"EX")=0),0))))</f>
      </c>
      <c r="H1326">
        <f>IF(DATOS!$G1326&lt;&gt;"EX",0,--(COUNTIFS(nNIA,DATOS!$A1326,nCURSO,DATOS!$D1326,nESPEC,DATOS!$E1326,nASIG,DATOS!$I1326,nEVAL,"OR")=0))</f>
      </c>
      <c r="I1326">
        <f>IF(DATOS!$I1326="","",IFERROR(VLOOKUP(DATOS!$I1326,CONFIG_ASIGNATURAS!$B$2:$J$91,9,FALSE()),""))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IF(DATOS!$A1327="",0,IF(CONFIG_METADATA!$B$4&lt;&gt;"OR+EX",--(DATOS!$G1327=CONFIG_METADATA!$B$4),IF(DATOS!$G1327="EX",1,IF(DATOS!$G1327="OR",--(COUNTIFS(nNIA,DATOS!$A1327,nCURSO,DATOS!$D1327,nESPEC,DATOS!$E1327,nASIG,DATOS!$I1327,nEVAL,"EX")=0),0))))</f>
      </c>
      <c r="H1327">
        <f>IF(DATOS!$G1327&lt;&gt;"EX",0,--(COUNTIFS(nNIA,DATOS!$A1327,nCURSO,DATOS!$D1327,nESPEC,DATOS!$E1327,nASIG,DATOS!$I1327,nEVAL,"OR")=0))</f>
      </c>
      <c r="I1327">
        <f>IF(DATOS!$I1327="","",IFERROR(VLOOKUP(DATOS!$I1327,CONFIG_ASIGNATURAS!$B$2:$J$91,9,FALSE()),""))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IF(DATOS!$A1328="",0,IF(CONFIG_METADATA!$B$4&lt;&gt;"OR+EX",--(DATOS!$G1328=CONFIG_METADATA!$B$4),IF(DATOS!$G1328="EX",1,IF(DATOS!$G1328="OR",--(COUNTIFS(nNIA,DATOS!$A1328,nCURSO,DATOS!$D1328,nESPEC,DATOS!$E1328,nASIG,DATOS!$I1328,nEVAL,"EX")=0),0))))</f>
      </c>
      <c r="H1328">
        <f>IF(DATOS!$G1328&lt;&gt;"EX",0,--(COUNTIFS(nNIA,DATOS!$A1328,nCURSO,DATOS!$D1328,nESPEC,DATOS!$E1328,nASIG,DATOS!$I1328,nEVAL,"OR")=0))</f>
      </c>
      <c r="I1328">
        <f>IF(DATOS!$I1328="","",IFERROR(VLOOKUP(DATOS!$I1328,CONFIG_ASIGNATURAS!$B$2:$J$91,9,FALSE()),""))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IF(DATOS!$A1329="",0,IF(CONFIG_METADATA!$B$4&lt;&gt;"OR+EX",--(DATOS!$G1329=CONFIG_METADATA!$B$4),IF(DATOS!$G1329="EX",1,IF(DATOS!$G1329="OR",--(COUNTIFS(nNIA,DATOS!$A1329,nCURSO,DATOS!$D1329,nESPEC,DATOS!$E1329,nASIG,DATOS!$I1329,nEVAL,"EX")=0),0))))</f>
      </c>
      <c r="H1329">
        <f>IF(DATOS!$G1329&lt;&gt;"EX",0,--(COUNTIFS(nNIA,DATOS!$A1329,nCURSO,DATOS!$D1329,nESPEC,DATOS!$E1329,nASIG,DATOS!$I1329,nEVAL,"OR")=0))</f>
      </c>
      <c r="I1329">
        <f>IF(DATOS!$I1329="","",IFERROR(VLOOKUP(DATOS!$I1329,CONFIG_ASIGNATURAS!$B$2:$J$91,9,FALSE()),""))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IF(DATOS!$A1330="",0,IF(CONFIG_METADATA!$B$4&lt;&gt;"OR+EX",--(DATOS!$G1330=CONFIG_METADATA!$B$4),IF(DATOS!$G1330="EX",1,IF(DATOS!$G1330="OR",--(COUNTIFS(nNIA,DATOS!$A1330,nCURSO,DATOS!$D1330,nESPEC,DATOS!$E1330,nASIG,DATOS!$I1330,nEVAL,"EX")=0),0))))</f>
      </c>
      <c r="H1330">
        <f>IF(DATOS!$G1330&lt;&gt;"EX",0,--(COUNTIFS(nNIA,DATOS!$A1330,nCURSO,DATOS!$D1330,nESPEC,DATOS!$E1330,nASIG,DATOS!$I1330,nEVAL,"OR")=0))</f>
      </c>
      <c r="I1330">
        <f>IF(DATOS!$I1330="","",IFERROR(VLOOKUP(DATOS!$I1330,CONFIG_ASIGNATURAS!$B$2:$J$91,9,FALSE()),""))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IF(DATOS!$A1331="",0,IF(CONFIG_METADATA!$B$4&lt;&gt;"OR+EX",--(DATOS!$G1331=CONFIG_METADATA!$B$4),IF(DATOS!$G1331="EX",1,IF(DATOS!$G1331="OR",--(COUNTIFS(nNIA,DATOS!$A1331,nCURSO,DATOS!$D1331,nESPEC,DATOS!$E1331,nASIG,DATOS!$I1331,nEVAL,"EX")=0),0))))</f>
      </c>
      <c r="H1331">
        <f>IF(DATOS!$G1331&lt;&gt;"EX",0,--(COUNTIFS(nNIA,DATOS!$A1331,nCURSO,DATOS!$D1331,nESPEC,DATOS!$E1331,nASIG,DATOS!$I1331,nEVAL,"OR")=0))</f>
      </c>
      <c r="I1331">
        <f>IF(DATOS!$I1331="","",IFERROR(VLOOKUP(DATOS!$I1331,CONFIG_ASIGNATURAS!$B$2:$J$91,9,FALSE()),""))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IF(DATOS!$A1332="",0,IF(CONFIG_METADATA!$B$4&lt;&gt;"OR+EX",--(DATOS!$G1332=CONFIG_METADATA!$B$4),IF(DATOS!$G1332="EX",1,IF(DATOS!$G1332="OR",--(COUNTIFS(nNIA,DATOS!$A1332,nCURSO,DATOS!$D1332,nESPEC,DATOS!$E1332,nASIG,DATOS!$I1332,nEVAL,"EX")=0),0))))</f>
      </c>
      <c r="H1332">
        <f>IF(DATOS!$G1332&lt;&gt;"EX",0,--(COUNTIFS(nNIA,DATOS!$A1332,nCURSO,DATOS!$D1332,nESPEC,DATOS!$E1332,nASIG,DATOS!$I1332,nEVAL,"OR")=0))</f>
      </c>
      <c r="I1332">
        <f>IF(DATOS!$I1332="","",IFERROR(VLOOKUP(DATOS!$I1332,CONFIG_ASIGNATURAS!$B$2:$J$91,9,FALSE()),""))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IF(DATOS!$A1333="",0,IF(CONFIG_METADATA!$B$4&lt;&gt;"OR+EX",--(DATOS!$G1333=CONFIG_METADATA!$B$4),IF(DATOS!$G1333="EX",1,IF(DATOS!$G1333="OR",--(COUNTIFS(nNIA,DATOS!$A1333,nCURSO,DATOS!$D1333,nESPEC,DATOS!$E1333,nASIG,DATOS!$I1333,nEVAL,"EX")=0),0))))</f>
      </c>
      <c r="H1333">
        <f>IF(DATOS!$G1333&lt;&gt;"EX",0,--(COUNTIFS(nNIA,DATOS!$A1333,nCURSO,DATOS!$D1333,nESPEC,DATOS!$E1333,nASIG,DATOS!$I1333,nEVAL,"OR")=0))</f>
      </c>
      <c r="I1333">
        <f>IF(DATOS!$I1333="","",IFERROR(VLOOKUP(DATOS!$I1333,CONFIG_ASIGNATURAS!$B$2:$J$91,9,FALSE()),""))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IF(DATOS!$A1334="",0,IF(CONFIG_METADATA!$B$4&lt;&gt;"OR+EX",--(DATOS!$G1334=CONFIG_METADATA!$B$4),IF(DATOS!$G1334="EX",1,IF(DATOS!$G1334="OR",--(COUNTIFS(nNIA,DATOS!$A1334,nCURSO,DATOS!$D1334,nESPEC,DATOS!$E1334,nASIG,DATOS!$I1334,nEVAL,"EX")=0),0))))</f>
      </c>
      <c r="H1334">
        <f>IF(DATOS!$G1334&lt;&gt;"EX",0,--(COUNTIFS(nNIA,DATOS!$A1334,nCURSO,DATOS!$D1334,nESPEC,DATOS!$E1334,nASIG,DATOS!$I1334,nEVAL,"OR")=0))</f>
      </c>
      <c r="I1334">
        <f>IF(DATOS!$I1334="","",IFERROR(VLOOKUP(DATOS!$I1334,CONFIG_ASIGNATURAS!$B$2:$J$91,9,FALSE()),""))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IF(DATOS!$A1335="",0,IF(CONFIG_METADATA!$B$4&lt;&gt;"OR+EX",--(DATOS!$G1335=CONFIG_METADATA!$B$4),IF(DATOS!$G1335="EX",1,IF(DATOS!$G1335="OR",--(COUNTIFS(nNIA,DATOS!$A1335,nCURSO,DATOS!$D1335,nESPEC,DATOS!$E1335,nASIG,DATOS!$I1335,nEVAL,"EX")=0),0))))</f>
      </c>
      <c r="H1335">
        <f>IF(DATOS!$G1335&lt;&gt;"EX",0,--(COUNTIFS(nNIA,DATOS!$A1335,nCURSO,DATOS!$D1335,nESPEC,DATOS!$E1335,nASIG,DATOS!$I1335,nEVAL,"OR")=0))</f>
      </c>
      <c r="I1335">
        <f>IF(DATOS!$I1335="","",IFERROR(VLOOKUP(DATOS!$I1335,CONFIG_ASIGNATURAS!$B$2:$J$91,9,FALSE()),""))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IF(DATOS!$A1336="",0,IF(CONFIG_METADATA!$B$4&lt;&gt;"OR+EX",--(DATOS!$G1336=CONFIG_METADATA!$B$4),IF(DATOS!$G1336="EX",1,IF(DATOS!$G1336="OR",--(COUNTIFS(nNIA,DATOS!$A1336,nCURSO,DATOS!$D1336,nESPEC,DATOS!$E1336,nASIG,DATOS!$I1336,nEVAL,"EX")=0),0))))</f>
      </c>
      <c r="H1336">
        <f>IF(DATOS!$G1336&lt;&gt;"EX",0,--(COUNTIFS(nNIA,DATOS!$A1336,nCURSO,DATOS!$D1336,nESPEC,DATOS!$E1336,nASIG,DATOS!$I1336,nEVAL,"OR")=0))</f>
      </c>
      <c r="I1336">
        <f>IF(DATOS!$I1336="","",IFERROR(VLOOKUP(DATOS!$I1336,CONFIG_ASIGNATURAS!$B$2:$J$91,9,FALSE()),""))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IF(DATOS!$A1337="",0,IF(CONFIG_METADATA!$B$4&lt;&gt;"OR+EX",--(DATOS!$G1337=CONFIG_METADATA!$B$4),IF(DATOS!$G1337="EX",1,IF(DATOS!$G1337="OR",--(COUNTIFS(nNIA,DATOS!$A1337,nCURSO,DATOS!$D1337,nESPEC,DATOS!$E1337,nASIG,DATOS!$I1337,nEVAL,"EX")=0),0))))</f>
      </c>
      <c r="H1337">
        <f>IF(DATOS!$G1337&lt;&gt;"EX",0,--(COUNTIFS(nNIA,DATOS!$A1337,nCURSO,DATOS!$D1337,nESPEC,DATOS!$E1337,nASIG,DATOS!$I1337,nEVAL,"OR")=0))</f>
      </c>
      <c r="I1337">
        <f>IF(DATOS!$I1337="","",IFERROR(VLOOKUP(DATOS!$I1337,CONFIG_ASIGNATURAS!$B$2:$J$91,9,FALSE()),""))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IF(DATOS!$A1338="",0,IF(CONFIG_METADATA!$B$4&lt;&gt;"OR+EX",--(DATOS!$G1338=CONFIG_METADATA!$B$4),IF(DATOS!$G1338="EX",1,IF(DATOS!$G1338="OR",--(COUNTIFS(nNIA,DATOS!$A1338,nCURSO,DATOS!$D1338,nESPEC,DATOS!$E1338,nASIG,DATOS!$I1338,nEVAL,"EX")=0),0))))</f>
      </c>
      <c r="H1338">
        <f>IF(DATOS!$G1338&lt;&gt;"EX",0,--(COUNTIFS(nNIA,DATOS!$A1338,nCURSO,DATOS!$D1338,nESPEC,DATOS!$E1338,nASIG,DATOS!$I1338,nEVAL,"OR")=0))</f>
      </c>
      <c r="I1338">
        <f>IF(DATOS!$I1338="","",IFERROR(VLOOKUP(DATOS!$I1338,CONFIG_ASIGNATURAS!$B$2:$J$91,9,FALSE()),""))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IF(DATOS!$A1339="",0,IF(CONFIG_METADATA!$B$4&lt;&gt;"OR+EX",--(DATOS!$G1339=CONFIG_METADATA!$B$4),IF(DATOS!$G1339="EX",1,IF(DATOS!$G1339="OR",--(COUNTIFS(nNIA,DATOS!$A1339,nCURSO,DATOS!$D1339,nESPEC,DATOS!$E1339,nASIG,DATOS!$I1339,nEVAL,"EX")=0),0))))</f>
      </c>
      <c r="H1339">
        <f>IF(DATOS!$G1339&lt;&gt;"EX",0,--(COUNTIFS(nNIA,DATOS!$A1339,nCURSO,DATOS!$D1339,nESPEC,DATOS!$E1339,nASIG,DATOS!$I1339,nEVAL,"OR")=0))</f>
      </c>
      <c r="I1339">
        <f>IF(DATOS!$I1339="","",IFERROR(VLOOKUP(DATOS!$I1339,CONFIG_ASIGNATURAS!$B$2:$J$91,9,FALSE()),""))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IF(DATOS!$A1340="",0,IF(CONFIG_METADATA!$B$4&lt;&gt;"OR+EX",--(DATOS!$G1340=CONFIG_METADATA!$B$4),IF(DATOS!$G1340="EX",1,IF(DATOS!$G1340="OR",--(COUNTIFS(nNIA,DATOS!$A1340,nCURSO,DATOS!$D1340,nESPEC,DATOS!$E1340,nASIG,DATOS!$I1340,nEVAL,"EX")=0),0))))</f>
      </c>
      <c r="H1340">
        <f>IF(DATOS!$G1340&lt;&gt;"EX",0,--(COUNTIFS(nNIA,DATOS!$A1340,nCURSO,DATOS!$D1340,nESPEC,DATOS!$E1340,nASIG,DATOS!$I1340,nEVAL,"OR")=0))</f>
      </c>
      <c r="I1340">
        <f>IF(DATOS!$I1340="","",IFERROR(VLOOKUP(DATOS!$I1340,CONFIG_ASIGNATURAS!$B$2:$J$91,9,FALSE()),""))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IF(DATOS!$A1341="",0,IF(CONFIG_METADATA!$B$4&lt;&gt;"OR+EX",--(DATOS!$G1341=CONFIG_METADATA!$B$4),IF(DATOS!$G1341="EX",1,IF(DATOS!$G1341="OR",--(COUNTIFS(nNIA,DATOS!$A1341,nCURSO,DATOS!$D1341,nESPEC,DATOS!$E1341,nASIG,DATOS!$I1341,nEVAL,"EX")=0),0))))</f>
      </c>
      <c r="H1341">
        <f>IF(DATOS!$G1341&lt;&gt;"EX",0,--(COUNTIFS(nNIA,DATOS!$A1341,nCURSO,DATOS!$D1341,nESPEC,DATOS!$E1341,nASIG,DATOS!$I1341,nEVAL,"OR")=0))</f>
      </c>
      <c r="I1341">
        <f>IF(DATOS!$I1341="","",IFERROR(VLOOKUP(DATOS!$I1341,CONFIG_ASIGNATURAS!$B$2:$J$91,9,FALSE()),""))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IF(DATOS!$A1342="",0,IF(CONFIG_METADATA!$B$4&lt;&gt;"OR+EX",--(DATOS!$G1342=CONFIG_METADATA!$B$4),IF(DATOS!$G1342="EX",1,IF(DATOS!$G1342="OR",--(COUNTIFS(nNIA,DATOS!$A1342,nCURSO,DATOS!$D1342,nESPEC,DATOS!$E1342,nASIG,DATOS!$I1342,nEVAL,"EX")=0),0))))</f>
      </c>
      <c r="H1342">
        <f>IF(DATOS!$G1342&lt;&gt;"EX",0,--(COUNTIFS(nNIA,DATOS!$A1342,nCURSO,DATOS!$D1342,nESPEC,DATOS!$E1342,nASIG,DATOS!$I1342,nEVAL,"OR")=0))</f>
      </c>
      <c r="I1342">
        <f>IF(DATOS!$I1342="","",IFERROR(VLOOKUP(DATOS!$I1342,CONFIG_ASIGNATURAS!$B$2:$J$91,9,FALSE()),""))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IF(DATOS!$A1343="",0,IF(CONFIG_METADATA!$B$4&lt;&gt;"OR+EX",--(DATOS!$G1343=CONFIG_METADATA!$B$4),IF(DATOS!$G1343="EX",1,IF(DATOS!$G1343="OR",--(COUNTIFS(nNIA,DATOS!$A1343,nCURSO,DATOS!$D1343,nESPEC,DATOS!$E1343,nASIG,DATOS!$I1343,nEVAL,"EX")=0),0))))</f>
      </c>
      <c r="H1343">
        <f>IF(DATOS!$G1343&lt;&gt;"EX",0,--(COUNTIFS(nNIA,DATOS!$A1343,nCURSO,DATOS!$D1343,nESPEC,DATOS!$E1343,nASIG,DATOS!$I1343,nEVAL,"OR")=0))</f>
      </c>
      <c r="I1343">
        <f>IF(DATOS!$I1343="","",IFERROR(VLOOKUP(DATOS!$I1343,CONFIG_ASIGNATURAS!$B$2:$J$91,9,FALSE()),""))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IF(DATOS!$A1344="",0,IF(CONFIG_METADATA!$B$4&lt;&gt;"OR+EX",--(DATOS!$G1344=CONFIG_METADATA!$B$4),IF(DATOS!$G1344="EX",1,IF(DATOS!$G1344="OR",--(COUNTIFS(nNIA,DATOS!$A1344,nCURSO,DATOS!$D1344,nESPEC,DATOS!$E1344,nASIG,DATOS!$I1344,nEVAL,"EX")=0),0))))</f>
      </c>
      <c r="H1344">
        <f>IF(DATOS!$G1344&lt;&gt;"EX",0,--(COUNTIFS(nNIA,DATOS!$A1344,nCURSO,DATOS!$D1344,nESPEC,DATOS!$E1344,nASIG,DATOS!$I1344,nEVAL,"OR")=0))</f>
      </c>
      <c r="I1344">
        <f>IF(DATOS!$I1344="","",IFERROR(VLOOKUP(DATOS!$I1344,CONFIG_ASIGNATURAS!$B$2:$J$91,9,FALSE()),""))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IF(DATOS!$A1345="",0,IF(CONFIG_METADATA!$B$4&lt;&gt;"OR+EX",--(DATOS!$G1345=CONFIG_METADATA!$B$4),IF(DATOS!$G1345="EX",1,IF(DATOS!$G1345="OR",--(COUNTIFS(nNIA,DATOS!$A1345,nCURSO,DATOS!$D1345,nESPEC,DATOS!$E1345,nASIG,DATOS!$I1345,nEVAL,"EX")=0),0))))</f>
      </c>
      <c r="H1345">
        <f>IF(DATOS!$G1345&lt;&gt;"EX",0,--(COUNTIFS(nNIA,DATOS!$A1345,nCURSO,DATOS!$D1345,nESPEC,DATOS!$E1345,nASIG,DATOS!$I1345,nEVAL,"OR")=0))</f>
      </c>
      <c r="I1345">
        <f>IF(DATOS!$I1345="","",IFERROR(VLOOKUP(DATOS!$I1345,CONFIG_ASIGNATURAS!$B$2:$J$91,9,FALSE()),""))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IF(DATOS!$A1346="",0,IF(CONFIG_METADATA!$B$4&lt;&gt;"OR+EX",--(DATOS!$G1346=CONFIG_METADATA!$B$4),IF(DATOS!$G1346="EX",1,IF(DATOS!$G1346="OR",--(COUNTIFS(nNIA,DATOS!$A1346,nCURSO,DATOS!$D1346,nESPEC,DATOS!$E1346,nASIG,DATOS!$I1346,nEVAL,"EX")=0),0))))</f>
      </c>
      <c r="H1346">
        <f>IF(DATOS!$G1346&lt;&gt;"EX",0,--(COUNTIFS(nNIA,DATOS!$A1346,nCURSO,DATOS!$D1346,nESPEC,DATOS!$E1346,nASIG,DATOS!$I1346,nEVAL,"OR")=0))</f>
      </c>
      <c r="I1346">
        <f>IF(DATOS!$I1346="","",IFERROR(VLOOKUP(DATOS!$I1346,CONFIG_ASIGNATURAS!$B$2:$J$91,9,FALSE()),""))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IF(DATOS!$A1347="",0,IF(CONFIG_METADATA!$B$4&lt;&gt;"OR+EX",--(DATOS!$G1347=CONFIG_METADATA!$B$4),IF(DATOS!$G1347="EX",1,IF(DATOS!$G1347="OR",--(COUNTIFS(nNIA,DATOS!$A1347,nCURSO,DATOS!$D1347,nESPEC,DATOS!$E1347,nASIG,DATOS!$I1347,nEVAL,"EX")=0),0))))</f>
      </c>
      <c r="H1347">
        <f>IF(DATOS!$G1347&lt;&gt;"EX",0,--(COUNTIFS(nNIA,DATOS!$A1347,nCURSO,DATOS!$D1347,nESPEC,DATOS!$E1347,nASIG,DATOS!$I1347,nEVAL,"OR")=0))</f>
      </c>
      <c r="I1347">
        <f>IF(DATOS!$I1347="","",IFERROR(VLOOKUP(DATOS!$I1347,CONFIG_ASIGNATURAS!$B$2:$J$91,9,FALSE()),""))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IF(DATOS!$A1348="",0,IF(CONFIG_METADATA!$B$4&lt;&gt;"OR+EX",--(DATOS!$G1348=CONFIG_METADATA!$B$4),IF(DATOS!$G1348="EX",1,IF(DATOS!$G1348="OR",--(COUNTIFS(nNIA,DATOS!$A1348,nCURSO,DATOS!$D1348,nESPEC,DATOS!$E1348,nASIG,DATOS!$I1348,nEVAL,"EX")=0),0))))</f>
      </c>
      <c r="H1348">
        <f>IF(DATOS!$G1348&lt;&gt;"EX",0,--(COUNTIFS(nNIA,DATOS!$A1348,nCURSO,DATOS!$D1348,nESPEC,DATOS!$E1348,nASIG,DATOS!$I1348,nEVAL,"OR")=0))</f>
      </c>
      <c r="I1348">
        <f>IF(DATOS!$I1348="","",IFERROR(VLOOKUP(DATOS!$I1348,CONFIG_ASIGNATURAS!$B$2:$J$91,9,FALSE()),""))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IF(DATOS!$A1349="",0,IF(CONFIG_METADATA!$B$4&lt;&gt;"OR+EX",--(DATOS!$G1349=CONFIG_METADATA!$B$4),IF(DATOS!$G1349="EX",1,IF(DATOS!$G1349="OR",--(COUNTIFS(nNIA,DATOS!$A1349,nCURSO,DATOS!$D1349,nESPEC,DATOS!$E1349,nASIG,DATOS!$I1349,nEVAL,"EX")=0),0))))</f>
      </c>
      <c r="H1349">
        <f>IF(DATOS!$G1349&lt;&gt;"EX",0,--(COUNTIFS(nNIA,DATOS!$A1349,nCURSO,DATOS!$D1349,nESPEC,DATOS!$E1349,nASIG,DATOS!$I1349,nEVAL,"OR")=0))</f>
      </c>
      <c r="I1349">
        <f>IF(DATOS!$I1349="","",IFERROR(VLOOKUP(DATOS!$I1349,CONFIG_ASIGNATURAS!$B$2:$J$91,9,FALSE()),""))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IF(DATOS!$A1350="",0,IF(CONFIG_METADATA!$B$4&lt;&gt;"OR+EX",--(DATOS!$G1350=CONFIG_METADATA!$B$4),IF(DATOS!$G1350="EX",1,IF(DATOS!$G1350="OR",--(COUNTIFS(nNIA,DATOS!$A1350,nCURSO,DATOS!$D1350,nESPEC,DATOS!$E1350,nASIG,DATOS!$I1350,nEVAL,"EX")=0),0))))</f>
      </c>
      <c r="H1350">
        <f>IF(DATOS!$G1350&lt;&gt;"EX",0,--(COUNTIFS(nNIA,DATOS!$A1350,nCURSO,DATOS!$D1350,nESPEC,DATOS!$E1350,nASIG,DATOS!$I1350,nEVAL,"OR")=0))</f>
      </c>
      <c r="I1350">
        <f>IF(DATOS!$I1350="","",IFERROR(VLOOKUP(DATOS!$I1350,CONFIG_ASIGNATURAS!$B$2:$J$91,9,FALSE()),""))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IF(DATOS!$A1351="",0,IF(CONFIG_METADATA!$B$4&lt;&gt;"OR+EX",--(DATOS!$G1351=CONFIG_METADATA!$B$4),IF(DATOS!$G1351="EX",1,IF(DATOS!$G1351="OR",--(COUNTIFS(nNIA,DATOS!$A1351,nCURSO,DATOS!$D1351,nESPEC,DATOS!$E1351,nASIG,DATOS!$I1351,nEVAL,"EX")=0),0))))</f>
      </c>
      <c r="H1351">
        <f>IF(DATOS!$G1351&lt;&gt;"EX",0,--(COUNTIFS(nNIA,DATOS!$A1351,nCURSO,DATOS!$D1351,nESPEC,DATOS!$E1351,nASIG,DATOS!$I1351,nEVAL,"OR")=0))</f>
      </c>
      <c r="I1351">
        <f>IF(DATOS!$I1351="","",IFERROR(VLOOKUP(DATOS!$I1351,CONFIG_ASIGNATURAS!$B$2:$J$91,9,FALSE()),""))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IF(DATOS!$A1352="",0,IF(CONFIG_METADATA!$B$4&lt;&gt;"OR+EX",--(DATOS!$G1352=CONFIG_METADATA!$B$4),IF(DATOS!$G1352="EX",1,IF(DATOS!$G1352="OR",--(COUNTIFS(nNIA,DATOS!$A1352,nCURSO,DATOS!$D1352,nESPEC,DATOS!$E1352,nASIG,DATOS!$I1352,nEVAL,"EX")=0),0))))</f>
      </c>
      <c r="H1352">
        <f>IF(DATOS!$G1352&lt;&gt;"EX",0,--(COUNTIFS(nNIA,DATOS!$A1352,nCURSO,DATOS!$D1352,nESPEC,DATOS!$E1352,nASIG,DATOS!$I1352,nEVAL,"OR")=0))</f>
      </c>
      <c r="I1352">
        <f>IF(DATOS!$I1352="","",IFERROR(VLOOKUP(DATOS!$I1352,CONFIG_ASIGNATURAS!$B$2:$J$91,9,FALSE()),""))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IF(DATOS!$A1353="",0,IF(CONFIG_METADATA!$B$4&lt;&gt;"OR+EX",--(DATOS!$G1353=CONFIG_METADATA!$B$4),IF(DATOS!$G1353="EX",1,IF(DATOS!$G1353="OR",--(COUNTIFS(nNIA,DATOS!$A1353,nCURSO,DATOS!$D1353,nESPEC,DATOS!$E1353,nASIG,DATOS!$I1353,nEVAL,"EX")=0),0))))</f>
      </c>
      <c r="H1353">
        <f>IF(DATOS!$G1353&lt;&gt;"EX",0,--(COUNTIFS(nNIA,DATOS!$A1353,nCURSO,DATOS!$D1353,nESPEC,DATOS!$E1353,nASIG,DATOS!$I1353,nEVAL,"OR")=0))</f>
      </c>
      <c r="I1353">
        <f>IF(DATOS!$I1353="","",IFERROR(VLOOKUP(DATOS!$I1353,CONFIG_ASIGNATURAS!$B$2:$J$91,9,FALSE()),""))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IF(DATOS!$A1354="",0,IF(CONFIG_METADATA!$B$4&lt;&gt;"OR+EX",--(DATOS!$G1354=CONFIG_METADATA!$B$4),IF(DATOS!$G1354="EX",1,IF(DATOS!$G1354="OR",--(COUNTIFS(nNIA,DATOS!$A1354,nCURSO,DATOS!$D1354,nESPEC,DATOS!$E1354,nASIG,DATOS!$I1354,nEVAL,"EX")=0),0))))</f>
      </c>
      <c r="H1354">
        <f>IF(DATOS!$G1354&lt;&gt;"EX",0,--(COUNTIFS(nNIA,DATOS!$A1354,nCURSO,DATOS!$D1354,nESPEC,DATOS!$E1354,nASIG,DATOS!$I1354,nEVAL,"OR")=0))</f>
      </c>
      <c r="I1354">
        <f>IF(DATOS!$I1354="","",IFERROR(VLOOKUP(DATOS!$I1354,CONFIG_ASIGNATURAS!$B$2:$J$91,9,FALSE()),""))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IF(DATOS!$A1355="",0,IF(CONFIG_METADATA!$B$4&lt;&gt;"OR+EX",--(DATOS!$G1355=CONFIG_METADATA!$B$4),IF(DATOS!$G1355="EX",1,IF(DATOS!$G1355="OR",--(COUNTIFS(nNIA,DATOS!$A1355,nCURSO,DATOS!$D1355,nESPEC,DATOS!$E1355,nASIG,DATOS!$I1355,nEVAL,"EX")=0),0))))</f>
      </c>
      <c r="H1355">
        <f>IF(DATOS!$G1355&lt;&gt;"EX",0,--(COUNTIFS(nNIA,DATOS!$A1355,nCURSO,DATOS!$D1355,nESPEC,DATOS!$E1355,nASIG,DATOS!$I1355,nEVAL,"OR")=0))</f>
      </c>
      <c r="I1355">
        <f>IF(DATOS!$I1355="","",IFERROR(VLOOKUP(DATOS!$I1355,CONFIG_ASIGNATURAS!$B$2:$J$91,9,FALSE()),""))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IF(DATOS!$A1356="",0,IF(CONFIG_METADATA!$B$4&lt;&gt;"OR+EX",--(DATOS!$G1356=CONFIG_METADATA!$B$4),IF(DATOS!$G1356="EX",1,IF(DATOS!$G1356="OR",--(COUNTIFS(nNIA,DATOS!$A1356,nCURSO,DATOS!$D1356,nESPEC,DATOS!$E1356,nASIG,DATOS!$I1356,nEVAL,"EX")=0),0))))</f>
      </c>
      <c r="H1356">
        <f>IF(DATOS!$G1356&lt;&gt;"EX",0,--(COUNTIFS(nNIA,DATOS!$A1356,nCURSO,DATOS!$D1356,nESPEC,DATOS!$E1356,nASIG,DATOS!$I1356,nEVAL,"OR")=0))</f>
      </c>
      <c r="I1356">
        <f>IF(DATOS!$I1356="","",IFERROR(VLOOKUP(DATOS!$I1356,CONFIG_ASIGNATURAS!$B$2:$J$91,9,FALSE()),""))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IF(DATOS!$A1357="",0,IF(CONFIG_METADATA!$B$4&lt;&gt;"OR+EX",--(DATOS!$G1357=CONFIG_METADATA!$B$4),IF(DATOS!$G1357="EX",1,IF(DATOS!$G1357="OR",--(COUNTIFS(nNIA,DATOS!$A1357,nCURSO,DATOS!$D1357,nESPEC,DATOS!$E1357,nASIG,DATOS!$I1357,nEVAL,"EX")=0),0))))</f>
      </c>
      <c r="H1357">
        <f>IF(DATOS!$G1357&lt;&gt;"EX",0,--(COUNTIFS(nNIA,DATOS!$A1357,nCURSO,DATOS!$D1357,nESPEC,DATOS!$E1357,nASIG,DATOS!$I1357,nEVAL,"OR")=0))</f>
      </c>
      <c r="I1357">
        <f>IF(DATOS!$I1357="","",IFERROR(VLOOKUP(DATOS!$I1357,CONFIG_ASIGNATURAS!$B$2:$J$91,9,FALSE()),""))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IF(DATOS!$A1358="",0,IF(CONFIG_METADATA!$B$4&lt;&gt;"OR+EX",--(DATOS!$G1358=CONFIG_METADATA!$B$4),IF(DATOS!$G1358="EX",1,IF(DATOS!$G1358="OR",--(COUNTIFS(nNIA,DATOS!$A1358,nCURSO,DATOS!$D1358,nESPEC,DATOS!$E1358,nASIG,DATOS!$I1358,nEVAL,"EX")=0),0))))</f>
      </c>
      <c r="H1358">
        <f>IF(DATOS!$G1358&lt;&gt;"EX",0,--(COUNTIFS(nNIA,DATOS!$A1358,nCURSO,DATOS!$D1358,nESPEC,DATOS!$E1358,nASIG,DATOS!$I1358,nEVAL,"OR")=0))</f>
      </c>
      <c r="I1358">
        <f>IF(DATOS!$I1358="","",IFERROR(VLOOKUP(DATOS!$I1358,CONFIG_ASIGNATURAS!$B$2:$J$91,9,FALSE()),""))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IF(DATOS!$A1359="",0,IF(CONFIG_METADATA!$B$4&lt;&gt;"OR+EX",--(DATOS!$G1359=CONFIG_METADATA!$B$4),IF(DATOS!$G1359="EX",1,IF(DATOS!$G1359="OR",--(COUNTIFS(nNIA,DATOS!$A1359,nCURSO,DATOS!$D1359,nESPEC,DATOS!$E1359,nASIG,DATOS!$I1359,nEVAL,"EX")=0),0))))</f>
      </c>
      <c r="H1359">
        <f>IF(DATOS!$G1359&lt;&gt;"EX",0,--(COUNTIFS(nNIA,DATOS!$A1359,nCURSO,DATOS!$D1359,nESPEC,DATOS!$E1359,nASIG,DATOS!$I1359,nEVAL,"OR")=0))</f>
      </c>
      <c r="I1359">
        <f>IF(DATOS!$I1359="","",IFERROR(VLOOKUP(DATOS!$I1359,CONFIG_ASIGNATURAS!$B$2:$J$91,9,FALSE()),""))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IF(DATOS!$A1360="",0,IF(CONFIG_METADATA!$B$4&lt;&gt;"OR+EX",--(DATOS!$G1360=CONFIG_METADATA!$B$4),IF(DATOS!$G1360="EX",1,IF(DATOS!$G1360="OR",--(COUNTIFS(nNIA,DATOS!$A1360,nCURSO,DATOS!$D1360,nESPEC,DATOS!$E1360,nASIG,DATOS!$I1360,nEVAL,"EX")=0),0))))</f>
      </c>
      <c r="H1360">
        <f>IF(DATOS!$G1360&lt;&gt;"EX",0,--(COUNTIFS(nNIA,DATOS!$A1360,nCURSO,DATOS!$D1360,nESPEC,DATOS!$E1360,nASIG,DATOS!$I1360,nEVAL,"OR")=0))</f>
      </c>
      <c r="I1360">
        <f>IF(DATOS!$I1360="","",IFERROR(VLOOKUP(DATOS!$I1360,CONFIG_ASIGNATURAS!$B$2:$J$91,9,FALSE()),""))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IF(DATOS!$A1361="",0,IF(CONFIG_METADATA!$B$4&lt;&gt;"OR+EX",--(DATOS!$G1361=CONFIG_METADATA!$B$4),IF(DATOS!$G1361="EX",1,IF(DATOS!$G1361="OR",--(COUNTIFS(nNIA,DATOS!$A1361,nCURSO,DATOS!$D1361,nESPEC,DATOS!$E1361,nASIG,DATOS!$I1361,nEVAL,"EX")=0),0))))</f>
      </c>
      <c r="H1361">
        <f>IF(DATOS!$G1361&lt;&gt;"EX",0,--(COUNTIFS(nNIA,DATOS!$A1361,nCURSO,DATOS!$D1361,nESPEC,DATOS!$E1361,nASIG,DATOS!$I1361,nEVAL,"OR")=0))</f>
      </c>
      <c r="I1361">
        <f>IF(DATOS!$I1361="","",IFERROR(VLOOKUP(DATOS!$I1361,CONFIG_ASIGNATURAS!$B$2:$J$91,9,FALSE()),""))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IF(DATOS!$A1362="",0,IF(CONFIG_METADATA!$B$4&lt;&gt;"OR+EX",--(DATOS!$G1362=CONFIG_METADATA!$B$4),IF(DATOS!$G1362="EX",1,IF(DATOS!$G1362="OR",--(COUNTIFS(nNIA,DATOS!$A1362,nCURSO,DATOS!$D1362,nESPEC,DATOS!$E1362,nASIG,DATOS!$I1362,nEVAL,"EX")=0),0))))</f>
      </c>
      <c r="H1362">
        <f>IF(DATOS!$G1362&lt;&gt;"EX",0,--(COUNTIFS(nNIA,DATOS!$A1362,nCURSO,DATOS!$D1362,nESPEC,DATOS!$E1362,nASIG,DATOS!$I1362,nEVAL,"OR")=0))</f>
      </c>
      <c r="I1362">
        <f>IF(DATOS!$I1362="","",IFERROR(VLOOKUP(DATOS!$I1362,CONFIG_ASIGNATURAS!$B$2:$J$91,9,FALSE()),""))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IF(DATOS!$A1363="",0,IF(CONFIG_METADATA!$B$4&lt;&gt;"OR+EX",--(DATOS!$G1363=CONFIG_METADATA!$B$4),IF(DATOS!$G1363="EX",1,IF(DATOS!$G1363="OR",--(COUNTIFS(nNIA,DATOS!$A1363,nCURSO,DATOS!$D1363,nESPEC,DATOS!$E1363,nASIG,DATOS!$I1363,nEVAL,"EX")=0),0))))</f>
      </c>
      <c r="H1363">
        <f>IF(DATOS!$G1363&lt;&gt;"EX",0,--(COUNTIFS(nNIA,DATOS!$A1363,nCURSO,DATOS!$D1363,nESPEC,DATOS!$E1363,nASIG,DATOS!$I1363,nEVAL,"OR")=0))</f>
      </c>
      <c r="I1363">
        <f>IF(DATOS!$I1363="","",IFERROR(VLOOKUP(DATOS!$I1363,CONFIG_ASIGNATURAS!$B$2:$J$91,9,FALSE()),""))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IF(DATOS!$A1364="",0,IF(CONFIG_METADATA!$B$4&lt;&gt;"OR+EX",--(DATOS!$G1364=CONFIG_METADATA!$B$4),IF(DATOS!$G1364="EX",1,IF(DATOS!$G1364="OR",--(COUNTIFS(nNIA,DATOS!$A1364,nCURSO,DATOS!$D1364,nESPEC,DATOS!$E1364,nASIG,DATOS!$I1364,nEVAL,"EX")=0),0))))</f>
      </c>
      <c r="H1364">
        <f>IF(DATOS!$G1364&lt;&gt;"EX",0,--(COUNTIFS(nNIA,DATOS!$A1364,nCURSO,DATOS!$D1364,nESPEC,DATOS!$E1364,nASIG,DATOS!$I1364,nEVAL,"OR")=0))</f>
      </c>
      <c r="I1364">
        <f>IF(DATOS!$I1364="","",IFERROR(VLOOKUP(DATOS!$I1364,CONFIG_ASIGNATURAS!$B$2:$J$91,9,FALSE()),""))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IF(DATOS!$A1365="",0,IF(CONFIG_METADATA!$B$4&lt;&gt;"OR+EX",--(DATOS!$G1365=CONFIG_METADATA!$B$4),IF(DATOS!$G1365="EX",1,IF(DATOS!$G1365="OR",--(COUNTIFS(nNIA,DATOS!$A1365,nCURSO,DATOS!$D1365,nESPEC,DATOS!$E1365,nASIG,DATOS!$I1365,nEVAL,"EX")=0),0))))</f>
      </c>
      <c r="H1365">
        <f>IF(DATOS!$G1365&lt;&gt;"EX",0,--(COUNTIFS(nNIA,DATOS!$A1365,nCURSO,DATOS!$D1365,nESPEC,DATOS!$E1365,nASIG,DATOS!$I1365,nEVAL,"OR")=0))</f>
      </c>
      <c r="I1365">
        <f>IF(DATOS!$I1365="","",IFERROR(VLOOKUP(DATOS!$I1365,CONFIG_ASIGNATURAS!$B$2:$J$91,9,FALSE()),""))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IF(DATOS!$A1366="",0,IF(CONFIG_METADATA!$B$4&lt;&gt;"OR+EX",--(DATOS!$G1366=CONFIG_METADATA!$B$4),IF(DATOS!$G1366="EX",1,IF(DATOS!$G1366="OR",--(COUNTIFS(nNIA,DATOS!$A1366,nCURSO,DATOS!$D1366,nESPEC,DATOS!$E1366,nASIG,DATOS!$I1366,nEVAL,"EX")=0),0))))</f>
      </c>
      <c r="H1366">
        <f>IF(DATOS!$G1366&lt;&gt;"EX",0,--(COUNTIFS(nNIA,DATOS!$A1366,nCURSO,DATOS!$D1366,nESPEC,DATOS!$E1366,nASIG,DATOS!$I1366,nEVAL,"OR")=0))</f>
      </c>
      <c r="I1366">
        <f>IF(DATOS!$I1366="","",IFERROR(VLOOKUP(DATOS!$I1366,CONFIG_ASIGNATURAS!$B$2:$J$91,9,FALSE()),""))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IF(DATOS!$A1367="",0,IF(CONFIG_METADATA!$B$4&lt;&gt;"OR+EX",--(DATOS!$G1367=CONFIG_METADATA!$B$4),IF(DATOS!$G1367="EX",1,IF(DATOS!$G1367="OR",--(COUNTIFS(nNIA,DATOS!$A1367,nCURSO,DATOS!$D1367,nESPEC,DATOS!$E1367,nASIG,DATOS!$I1367,nEVAL,"EX")=0),0))))</f>
      </c>
      <c r="H1367">
        <f>IF(DATOS!$G1367&lt;&gt;"EX",0,--(COUNTIFS(nNIA,DATOS!$A1367,nCURSO,DATOS!$D1367,nESPEC,DATOS!$E1367,nASIG,DATOS!$I1367,nEVAL,"OR")=0))</f>
      </c>
      <c r="I1367">
        <f>IF(DATOS!$I1367="","",IFERROR(VLOOKUP(DATOS!$I1367,CONFIG_ASIGNATURAS!$B$2:$J$91,9,FALSE()),""))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IF(DATOS!$A1368="",0,IF(CONFIG_METADATA!$B$4&lt;&gt;"OR+EX",--(DATOS!$G1368=CONFIG_METADATA!$B$4),IF(DATOS!$G1368="EX",1,IF(DATOS!$G1368="OR",--(COUNTIFS(nNIA,DATOS!$A1368,nCURSO,DATOS!$D1368,nESPEC,DATOS!$E1368,nASIG,DATOS!$I1368,nEVAL,"EX")=0),0))))</f>
      </c>
      <c r="H1368">
        <f>IF(DATOS!$G1368&lt;&gt;"EX",0,--(COUNTIFS(nNIA,DATOS!$A1368,nCURSO,DATOS!$D1368,nESPEC,DATOS!$E1368,nASIG,DATOS!$I1368,nEVAL,"OR")=0))</f>
      </c>
      <c r="I1368">
        <f>IF(DATOS!$I1368="","",IFERROR(VLOOKUP(DATOS!$I1368,CONFIG_ASIGNATURAS!$B$2:$J$91,9,FALSE()),""))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IF(DATOS!$A1369="",0,IF(CONFIG_METADATA!$B$4&lt;&gt;"OR+EX",--(DATOS!$G1369=CONFIG_METADATA!$B$4),IF(DATOS!$G1369="EX",1,IF(DATOS!$G1369="OR",--(COUNTIFS(nNIA,DATOS!$A1369,nCURSO,DATOS!$D1369,nESPEC,DATOS!$E1369,nASIG,DATOS!$I1369,nEVAL,"EX")=0),0))))</f>
      </c>
      <c r="H1369">
        <f>IF(DATOS!$G1369&lt;&gt;"EX",0,--(COUNTIFS(nNIA,DATOS!$A1369,nCURSO,DATOS!$D1369,nESPEC,DATOS!$E1369,nASIG,DATOS!$I1369,nEVAL,"OR")=0))</f>
      </c>
      <c r="I1369">
        <f>IF(DATOS!$I1369="","",IFERROR(VLOOKUP(DATOS!$I1369,CONFIG_ASIGNATURAS!$B$2:$J$91,9,FALSE()),""))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IF(DATOS!$A1370="",0,IF(CONFIG_METADATA!$B$4&lt;&gt;"OR+EX",--(DATOS!$G1370=CONFIG_METADATA!$B$4),IF(DATOS!$G1370="EX",1,IF(DATOS!$G1370="OR",--(COUNTIFS(nNIA,DATOS!$A1370,nCURSO,DATOS!$D1370,nESPEC,DATOS!$E1370,nASIG,DATOS!$I1370,nEVAL,"EX")=0),0))))</f>
      </c>
      <c r="H1370">
        <f>IF(DATOS!$G1370&lt;&gt;"EX",0,--(COUNTIFS(nNIA,DATOS!$A1370,nCURSO,DATOS!$D1370,nESPEC,DATOS!$E1370,nASIG,DATOS!$I1370,nEVAL,"OR")=0))</f>
      </c>
      <c r="I1370">
        <f>IF(DATOS!$I1370="","",IFERROR(VLOOKUP(DATOS!$I1370,CONFIG_ASIGNATURAS!$B$2:$J$91,9,FALSE()),""))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IF(DATOS!$A1371="",0,IF(CONFIG_METADATA!$B$4&lt;&gt;"OR+EX",--(DATOS!$G1371=CONFIG_METADATA!$B$4),IF(DATOS!$G1371="EX",1,IF(DATOS!$G1371="OR",--(COUNTIFS(nNIA,DATOS!$A1371,nCURSO,DATOS!$D1371,nESPEC,DATOS!$E1371,nASIG,DATOS!$I1371,nEVAL,"EX")=0),0))))</f>
      </c>
      <c r="H1371">
        <f>IF(DATOS!$G1371&lt;&gt;"EX",0,--(COUNTIFS(nNIA,DATOS!$A1371,nCURSO,DATOS!$D1371,nESPEC,DATOS!$E1371,nASIG,DATOS!$I1371,nEVAL,"OR")=0))</f>
      </c>
      <c r="I1371">
        <f>IF(DATOS!$I1371="","",IFERROR(VLOOKUP(DATOS!$I1371,CONFIG_ASIGNATURAS!$B$2:$J$91,9,FALSE()),""))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IF(DATOS!$A1372="",0,IF(CONFIG_METADATA!$B$4&lt;&gt;"OR+EX",--(DATOS!$G1372=CONFIG_METADATA!$B$4),IF(DATOS!$G1372="EX",1,IF(DATOS!$G1372="OR",--(COUNTIFS(nNIA,DATOS!$A1372,nCURSO,DATOS!$D1372,nESPEC,DATOS!$E1372,nASIG,DATOS!$I1372,nEVAL,"EX")=0),0))))</f>
      </c>
      <c r="H1372">
        <f>IF(DATOS!$G1372&lt;&gt;"EX",0,--(COUNTIFS(nNIA,DATOS!$A1372,nCURSO,DATOS!$D1372,nESPEC,DATOS!$E1372,nASIG,DATOS!$I1372,nEVAL,"OR")=0))</f>
      </c>
      <c r="I1372">
        <f>IF(DATOS!$I1372="","",IFERROR(VLOOKUP(DATOS!$I1372,CONFIG_ASIGNATURAS!$B$2:$J$91,9,FALSE()),""))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IF(DATOS!$A1373="",0,IF(CONFIG_METADATA!$B$4&lt;&gt;"OR+EX",--(DATOS!$G1373=CONFIG_METADATA!$B$4),IF(DATOS!$G1373="EX",1,IF(DATOS!$G1373="OR",--(COUNTIFS(nNIA,DATOS!$A1373,nCURSO,DATOS!$D1373,nESPEC,DATOS!$E1373,nASIG,DATOS!$I1373,nEVAL,"EX")=0),0))))</f>
      </c>
      <c r="H1373">
        <f>IF(DATOS!$G1373&lt;&gt;"EX",0,--(COUNTIFS(nNIA,DATOS!$A1373,nCURSO,DATOS!$D1373,nESPEC,DATOS!$E1373,nASIG,DATOS!$I1373,nEVAL,"OR")=0))</f>
      </c>
      <c r="I1373">
        <f>IF(DATOS!$I1373="","",IFERROR(VLOOKUP(DATOS!$I1373,CONFIG_ASIGNATURAS!$B$2:$J$91,9,FALSE()),""))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IF(DATOS!$A1374="",0,IF(CONFIG_METADATA!$B$4&lt;&gt;"OR+EX",--(DATOS!$G1374=CONFIG_METADATA!$B$4),IF(DATOS!$G1374="EX",1,IF(DATOS!$G1374="OR",--(COUNTIFS(nNIA,DATOS!$A1374,nCURSO,DATOS!$D1374,nESPEC,DATOS!$E1374,nASIG,DATOS!$I1374,nEVAL,"EX")=0),0))))</f>
      </c>
      <c r="H1374">
        <f>IF(DATOS!$G1374&lt;&gt;"EX",0,--(COUNTIFS(nNIA,DATOS!$A1374,nCURSO,DATOS!$D1374,nESPEC,DATOS!$E1374,nASIG,DATOS!$I1374,nEVAL,"OR")=0))</f>
      </c>
      <c r="I1374">
        <f>IF(DATOS!$I1374="","",IFERROR(VLOOKUP(DATOS!$I1374,CONFIG_ASIGNATURAS!$B$2:$J$91,9,FALSE()),""))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IF(DATOS!$A1375="",0,IF(CONFIG_METADATA!$B$4&lt;&gt;"OR+EX",--(DATOS!$G1375=CONFIG_METADATA!$B$4),IF(DATOS!$G1375="EX",1,IF(DATOS!$G1375="OR",--(COUNTIFS(nNIA,DATOS!$A1375,nCURSO,DATOS!$D1375,nESPEC,DATOS!$E1375,nASIG,DATOS!$I1375,nEVAL,"EX")=0),0))))</f>
      </c>
      <c r="H1375">
        <f>IF(DATOS!$G1375&lt;&gt;"EX",0,--(COUNTIFS(nNIA,DATOS!$A1375,nCURSO,DATOS!$D1375,nESPEC,DATOS!$E1375,nASIG,DATOS!$I1375,nEVAL,"OR")=0))</f>
      </c>
      <c r="I1375">
        <f>IF(DATOS!$I1375="","",IFERROR(VLOOKUP(DATOS!$I1375,CONFIG_ASIGNATURAS!$B$2:$J$91,9,FALSE()),""))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IF(DATOS!$A1376="",0,IF(CONFIG_METADATA!$B$4&lt;&gt;"OR+EX",--(DATOS!$G1376=CONFIG_METADATA!$B$4),IF(DATOS!$G1376="EX",1,IF(DATOS!$G1376="OR",--(COUNTIFS(nNIA,DATOS!$A1376,nCURSO,DATOS!$D1376,nESPEC,DATOS!$E1376,nASIG,DATOS!$I1376,nEVAL,"EX")=0),0))))</f>
      </c>
      <c r="H1376">
        <f>IF(DATOS!$G1376&lt;&gt;"EX",0,--(COUNTIFS(nNIA,DATOS!$A1376,nCURSO,DATOS!$D1376,nESPEC,DATOS!$E1376,nASIG,DATOS!$I1376,nEVAL,"OR")=0))</f>
      </c>
      <c r="I1376">
        <f>IF(DATOS!$I1376="","",IFERROR(VLOOKUP(DATOS!$I1376,CONFIG_ASIGNATURAS!$B$2:$J$91,9,FALSE()),""))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IF(DATOS!$A1377="",0,IF(CONFIG_METADATA!$B$4&lt;&gt;"OR+EX",--(DATOS!$G1377=CONFIG_METADATA!$B$4),IF(DATOS!$G1377="EX",1,IF(DATOS!$G1377="OR",--(COUNTIFS(nNIA,DATOS!$A1377,nCURSO,DATOS!$D1377,nESPEC,DATOS!$E1377,nASIG,DATOS!$I1377,nEVAL,"EX")=0),0))))</f>
      </c>
      <c r="H1377">
        <f>IF(DATOS!$G1377&lt;&gt;"EX",0,--(COUNTIFS(nNIA,DATOS!$A1377,nCURSO,DATOS!$D1377,nESPEC,DATOS!$E1377,nASIG,DATOS!$I1377,nEVAL,"OR")=0))</f>
      </c>
      <c r="I1377">
        <f>IF(DATOS!$I1377="","",IFERROR(VLOOKUP(DATOS!$I1377,CONFIG_ASIGNATURAS!$B$2:$J$91,9,FALSE()),""))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IF(DATOS!$A1378="",0,IF(CONFIG_METADATA!$B$4&lt;&gt;"OR+EX",--(DATOS!$G1378=CONFIG_METADATA!$B$4),IF(DATOS!$G1378="EX",1,IF(DATOS!$G1378="OR",--(COUNTIFS(nNIA,DATOS!$A1378,nCURSO,DATOS!$D1378,nESPEC,DATOS!$E1378,nASIG,DATOS!$I1378,nEVAL,"EX")=0),0))))</f>
      </c>
      <c r="H1378">
        <f>IF(DATOS!$G1378&lt;&gt;"EX",0,--(COUNTIFS(nNIA,DATOS!$A1378,nCURSO,DATOS!$D1378,nESPEC,DATOS!$E1378,nASIG,DATOS!$I1378,nEVAL,"OR")=0))</f>
      </c>
      <c r="I1378">
        <f>IF(DATOS!$I1378="","",IFERROR(VLOOKUP(DATOS!$I1378,CONFIG_ASIGNATURAS!$B$2:$J$91,9,FALSE()),""))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IF(DATOS!$A1379="",0,IF(CONFIG_METADATA!$B$4&lt;&gt;"OR+EX",--(DATOS!$G1379=CONFIG_METADATA!$B$4),IF(DATOS!$G1379="EX",1,IF(DATOS!$G1379="OR",--(COUNTIFS(nNIA,DATOS!$A1379,nCURSO,DATOS!$D1379,nESPEC,DATOS!$E1379,nASIG,DATOS!$I1379,nEVAL,"EX")=0),0))))</f>
      </c>
      <c r="H1379">
        <f>IF(DATOS!$G1379&lt;&gt;"EX",0,--(COUNTIFS(nNIA,DATOS!$A1379,nCURSO,DATOS!$D1379,nESPEC,DATOS!$E1379,nASIG,DATOS!$I1379,nEVAL,"OR")=0))</f>
      </c>
      <c r="I1379">
        <f>IF(DATOS!$I1379="","",IFERROR(VLOOKUP(DATOS!$I1379,CONFIG_ASIGNATURAS!$B$2:$J$91,9,FALSE()),""))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IF(DATOS!$A1380="",0,IF(CONFIG_METADATA!$B$4&lt;&gt;"OR+EX",--(DATOS!$G1380=CONFIG_METADATA!$B$4),IF(DATOS!$G1380="EX",1,IF(DATOS!$G1380="OR",--(COUNTIFS(nNIA,DATOS!$A1380,nCURSO,DATOS!$D1380,nESPEC,DATOS!$E1380,nASIG,DATOS!$I1380,nEVAL,"EX")=0),0))))</f>
      </c>
      <c r="H1380">
        <f>IF(DATOS!$G1380&lt;&gt;"EX",0,--(COUNTIFS(nNIA,DATOS!$A1380,nCURSO,DATOS!$D1380,nESPEC,DATOS!$E1380,nASIG,DATOS!$I1380,nEVAL,"OR")=0))</f>
      </c>
      <c r="I1380">
        <f>IF(DATOS!$I1380="","",IFERROR(VLOOKUP(DATOS!$I1380,CONFIG_ASIGNATURAS!$B$2:$J$91,9,FALSE()),""))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IF(DATOS!$A1381="",0,IF(CONFIG_METADATA!$B$4&lt;&gt;"OR+EX",--(DATOS!$G1381=CONFIG_METADATA!$B$4),IF(DATOS!$G1381="EX",1,IF(DATOS!$G1381="OR",--(COUNTIFS(nNIA,DATOS!$A1381,nCURSO,DATOS!$D1381,nESPEC,DATOS!$E1381,nASIG,DATOS!$I1381,nEVAL,"EX")=0),0))))</f>
      </c>
      <c r="H1381">
        <f>IF(DATOS!$G1381&lt;&gt;"EX",0,--(COUNTIFS(nNIA,DATOS!$A1381,nCURSO,DATOS!$D1381,nESPEC,DATOS!$E1381,nASIG,DATOS!$I1381,nEVAL,"OR")=0))</f>
      </c>
      <c r="I1381">
        <f>IF(DATOS!$I1381="","",IFERROR(VLOOKUP(DATOS!$I1381,CONFIG_ASIGNATURAS!$B$2:$J$91,9,FALSE()),""))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IF(DATOS!$A1382="",0,IF(CONFIG_METADATA!$B$4&lt;&gt;"OR+EX",--(DATOS!$G1382=CONFIG_METADATA!$B$4),IF(DATOS!$G1382="EX",1,IF(DATOS!$G1382="OR",--(COUNTIFS(nNIA,DATOS!$A1382,nCURSO,DATOS!$D1382,nESPEC,DATOS!$E1382,nASIG,DATOS!$I1382,nEVAL,"EX")=0),0))))</f>
      </c>
      <c r="H1382">
        <f>IF(DATOS!$G1382&lt;&gt;"EX",0,--(COUNTIFS(nNIA,DATOS!$A1382,nCURSO,DATOS!$D1382,nESPEC,DATOS!$E1382,nASIG,DATOS!$I1382,nEVAL,"OR")=0))</f>
      </c>
      <c r="I1382">
        <f>IF(DATOS!$I1382="","",IFERROR(VLOOKUP(DATOS!$I1382,CONFIG_ASIGNATURAS!$B$2:$J$91,9,FALSE()),""))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IF(DATOS!$A1383="",0,IF(CONFIG_METADATA!$B$4&lt;&gt;"OR+EX",--(DATOS!$G1383=CONFIG_METADATA!$B$4),IF(DATOS!$G1383="EX",1,IF(DATOS!$G1383="OR",--(COUNTIFS(nNIA,DATOS!$A1383,nCURSO,DATOS!$D1383,nESPEC,DATOS!$E1383,nASIG,DATOS!$I1383,nEVAL,"EX")=0),0))))</f>
      </c>
      <c r="H1383">
        <f>IF(DATOS!$G1383&lt;&gt;"EX",0,--(COUNTIFS(nNIA,DATOS!$A1383,nCURSO,DATOS!$D1383,nESPEC,DATOS!$E1383,nASIG,DATOS!$I1383,nEVAL,"OR")=0))</f>
      </c>
      <c r="I1383">
        <f>IF(DATOS!$I1383="","",IFERROR(VLOOKUP(DATOS!$I1383,CONFIG_ASIGNATURAS!$B$2:$J$91,9,FALSE()),""))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IF(DATOS!$A1384="",0,IF(CONFIG_METADATA!$B$4&lt;&gt;"OR+EX",--(DATOS!$G1384=CONFIG_METADATA!$B$4),IF(DATOS!$G1384="EX",1,IF(DATOS!$G1384="OR",--(COUNTIFS(nNIA,DATOS!$A1384,nCURSO,DATOS!$D1384,nESPEC,DATOS!$E1384,nASIG,DATOS!$I1384,nEVAL,"EX")=0),0))))</f>
      </c>
      <c r="H1384">
        <f>IF(DATOS!$G1384&lt;&gt;"EX",0,--(COUNTIFS(nNIA,DATOS!$A1384,nCURSO,DATOS!$D1384,nESPEC,DATOS!$E1384,nASIG,DATOS!$I1384,nEVAL,"OR")=0))</f>
      </c>
      <c r="I1384">
        <f>IF(DATOS!$I1384="","",IFERROR(VLOOKUP(DATOS!$I1384,CONFIG_ASIGNATURAS!$B$2:$J$91,9,FALSE()),""))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IF(DATOS!$A1385="",0,IF(CONFIG_METADATA!$B$4&lt;&gt;"OR+EX",--(DATOS!$G1385=CONFIG_METADATA!$B$4),IF(DATOS!$G1385="EX",1,IF(DATOS!$G1385="OR",--(COUNTIFS(nNIA,DATOS!$A1385,nCURSO,DATOS!$D1385,nESPEC,DATOS!$E1385,nASIG,DATOS!$I1385,nEVAL,"EX")=0),0))))</f>
      </c>
      <c r="H1385">
        <f>IF(DATOS!$G1385&lt;&gt;"EX",0,--(COUNTIFS(nNIA,DATOS!$A1385,nCURSO,DATOS!$D1385,nESPEC,DATOS!$E1385,nASIG,DATOS!$I1385,nEVAL,"OR")=0))</f>
      </c>
      <c r="I1385">
        <f>IF(DATOS!$I1385="","",IFERROR(VLOOKUP(DATOS!$I1385,CONFIG_ASIGNATURAS!$B$2:$J$91,9,FALSE()),""))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IF(DATOS!$A1386="",0,IF(CONFIG_METADATA!$B$4&lt;&gt;"OR+EX",--(DATOS!$G1386=CONFIG_METADATA!$B$4),IF(DATOS!$G1386="EX",1,IF(DATOS!$G1386="OR",--(COUNTIFS(nNIA,DATOS!$A1386,nCURSO,DATOS!$D1386,nESPEC,DATOS!$E1386,nASIG,DATOS!$I1386,nEVAL,"EX")=0),0))))</f>
      </c>
      <c r="H1386">
        <f>IF(DATOS!$G1386&lt;&gt;"EX",0,--(COUNTIFS(nNIA,DATOS!$A1386,nCURSO,DATOS!$D1386,nESPEC,DATOS!$E1386,nASIG,DATOS!$I1386,nEVAL,"OR")=0))</f>
      </c>
      <c r="I1386">
        <f>IF(DATOS!$I1386="","",IFERROR(VLOOKUP(DATOS!$I1386,CONFIG_ASIGNATURAS!$B$2:$J$91,9,FALSE()),""))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IF(DATOS!$A1387="",0,IF(CONFIG_METADATA!$B$4&lt;&gt;"OR+EX",--(DATOS!$G1387=CONFIG_METADATA!$B$4),IF(DATOS!$G1387="EX",1,IF(DATOS!$G1387="OR",--(COUNTIFS(nNIA,DATOS!$A1387,nCURSO,DATOS!$D1387,nESPEC,DATOS!$E1387,nASIG,DATOS!$I1387,nEVAL,"EX")=0),0))))</f>
      </c>
      <c r="H1387">
        <f>IF(DATOS!$G1387&lt;&gt;"EX",0,--(COUNTIFS(nNIA,DATOS!$A1387,nCURSO,DATOS!$D1387,nESPEC,DATOS!$E1387,nASIG,DATOS!$I1387,nEVAL,"OR")=0))</f>
      </c>
      <c r="I1387">
        <f>IF(DATOS!$I1387="","",IFERROR(VLOOKUP(DATOS!$I1387,CONFIG_ASIGNATURAS!$B$2:$J$91,9,FALSE()),""))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IF(DATOS!$A1388="",0,IF(CONFIG_METADATA!$B$4&lt;&gt;"OR+EX",--(DATOS!$G1388=CONFIG_METADATA!$B$4),IF(DATOS!$G1388="EX",1,IF(DATOS!$G1388="OR",--(COUNTIFS(nNIA,DATOS!$A1388,nCURSO,DATOS!$D1388,nESPEC,DATOS!$E1388,nASIG,DATOS!$I1388,nEVAL,"EX")=0),0))))</f>
      </c>
      <c r="H1388">
        <f>IF(DATOS!$G1388&lt;&gt;"EX",0,--(COUNTIFS(nNIA,DATOS!$A1388,nCURSO,DATOS!$D1388,nESPEC,DATOS!$E1388,nASIG,DATOS!$I1388,nEVAL,"OR")=0))</f>
      </c>
      <c r="I1388">
        <f>IF(DATOS!$I1388="","",IFERROR(VLOOKUP(DATOS!$I1388,CONFIG_ASIGNATURAS!$B$2:$J$91,9,FALSE()),""))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IF(DATOS!$A1389="",0,IF(CONFIG_METADATA!$B$4&lt;&gt;"OR+EX",--(DATOS!$G1389=CONFIG_METADATA!$B$4),IF(DATOS!$G1389="EX",1,IF(DATOS!$G1389="OR",--(COUNTIFS(nNIA,DATOS!$A1389,nCURSO,DATOS!$D1389,nESPEC,DATOS!$E1389,nASIG,DATOS!$I1389,nEVAL,"EX")=0),0))))</f>
      </c>
      <c r="H1389">
        <f>IF(DATOS!$G1389&lt;&gt;"EX",0,--(COUNTIFS(nNIA,DATOS!$A1389,nCURSO,DATOS!$D1389,nESPEC,DATOS!$E1389,nASIG,DATOS!$I1389,nEVAL,"OR")=0))</f>
      </c>
      <c r="I1389">
        <f>IF(DATOS!$I1389="","",IFERROR(VLOOKUP(DATOS!$I1389,CONFIG_ASIGNATURAS!$B$2:$J$91,9,FALSE()),""))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IF(DATOS!$A1390="",0,IF(CONFIG_METADATA!$B$4&lt;&gt;"OR+EX",--(DATOS!$G1390=CONFIG_METADATA!$B$4),IF(DATOS!$G1390="EX",1,IF(DATOS!$G1390="OR",--(COUNTIFS(nNIA,DATOS!$A1390,nCURSO,DATOS!$D1390,nESPEC,DATOS!$E1390,nASIG,DATOS!$I1390,nEVAL,"EX")=0),0))))</f>
      </c>
      <c r="H1390">
        <f>IF(DATOS!$G1390&lt;&gt;"EX",0,--(COUNTIFS(nNIA,DATOS!$A1390,nCURSO,DATOS!$D1390,nESPEC,DATOS!$E1390,nASIG,DATOS!$I1390,nEVAL,"OR")=0))</f>
      </c>
      <c r="I1390">
        <f>IF(DATOS!$I1390="","",IFERROR(VLOOKUP(DATOS!$I1390,CONFIG_ASIGNATURAS!$B$2:$J$91,9,FALSE()),""))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IF(DATOS!$A1391="",0,IF(CONFIG_METADATA!$B$4&lt;&gt;"OR+EX",--(DATOS!$G1391=CONFIG_METADATA!$B$4),IF(DATOS!$G1391="EX",1,IF(DATOS!$G1391="OR",--(COUNTIFS(nNIA,DATOS!$A1391,nCURSO,DATOS!$D1391,nESPEC,DATOS!$E1391,nASIG,DATOS!$I1391,nEVAL,"EX")=0),0))))</f>
      </c>
      <c r="H1391">
        <f>IF(DATOS!$G1391&lt;&gt;"EX",0,--(COUNTIFS(nNIA,DATOS!$A1391,nCURSO,DATOS!$D1391,nESPEC,DATOS!$E1391,nASIG,DATOS!$I1391,nEVAL,"OR")=0))</f>
      </c>
      <c r="I1391">
        <f>IF(DATOS!$I1391="","",IFERROR(VLOOKUP(DATOS!$I1391,CONFIG_ASIGNATURAS!$B$2:$J$91,9,FALSE()),""))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IF(DATOS!$A1392="",0,IF(CONFIG_METADATA!$B$4&lt;&gt;"OR+EX",--(DATOS!$G1392=CONFIG_METADATA!$B$4),IF(DATOS!$G1392="EX",1,IF(DATOS!$G1392="OR",--(COUNTIFS(nNIA,DATOS!$A1392,nCURSO,DATOS!$D1392,nESPEC,DATOS!$E1392,nASIG,DATOS!$I1392,nEVAL,"EX")=0),0))))</f>
      </c>
      <c r="H1392">
        <f>IF(DATOS!$G1392&lt;&gt;"EX",0,--(COUNTIFS(nNIA,DATOS!$A1392,nCURSO,DATOS!$D1392,nESPEC,DATOS!$E1392,nASIG,DATOS!$I1392,nEVAL,"OR")=0))</f>
      </c>
      <c r="I1392">
        <f>IF(DATOS!$I1392="","",IFERROR(VLOOKUP(DATOS!$I1392,CONFIG_ASIGNATURAS!$B$2:$J$91,9,FALSE()),""))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IF(DATOS!$A1393="",0,IF(CONFIG_METADATA!$B$4&lt;&gt;"OR+EX",--(DATOS!$G1393=CONFIG_METADATA!$B$4),IF(DATOS!$G1393="EX",1,IF(DATOS!$G1393="OR",--(COUNTIFS(nNIA,DATOS!$A1393,nCURSO,DATOS!$D1393,nESPEC,DATOS!$E1393,nASIG,DATOS!$I1393,nEVAL,"EX")=0),0))))</f>
      </c>
      <c r="H1393">
        <f>IF(DATOS!$G1393&lt;&gt;"EX",0,--(COUNTIFS(nNIA,DATOS!$A1393,nCURSO,DATOS!$D1393,nESPEC,DATOS!$E1393,nASIG,DATOS!$I1393,nEVAL,"OR")=0))</f>
      </c>
      <c r="I1393">
        <f>IF(DATOS!$I1393="","",IFERROR(VLOOKUP(DATOS!$I1393,CONFIG_ASIGNATURAS!$B$2:$J$91,9,FALSE()),""))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IF(DATOS!$A1394="",0,IF(CONFIG_METADATA!$B$4&lt;&gt;"OR+EX",--(DATOS!$G1394=CONFIG_METADATA!$B$4),IF(DATOS!$G1394="EX",1,IF(DATOS!$G1394="OR",--(COUNTIFS(nNIA,DATOS!$A1394,nCURSO,DATOS!$D1394,nESPEC,DATOS!$E1394,nASIG,DATOS!$I1394,nEVAL,"EX")=0),0))))</f>
      </c>
      <c r="H1394">
        <f>IF(DATOS!$G1394&lt;&gt;"EX",0,--(COUNTIFS(nNIA,DATOS!$A1394,nCURSO,DATOS!$D1394,nESPEC,DATOS!$E1394,nASIG,DATOS!$I1394,nEVAL,"OR")=0))</f>
      </c>
      <c r="I1394">
        <f>IF(DATOS!$I1394="","",IFERROR(VLOOKUP(DATOS!$I1394,CONFIG_ASIGNATURAS!$B$2:$J$91,9,FALSE()),""))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IF(DATOS!$A1395="",0,IF(CONFIG_METADATA!$B$4&lt;&gt;"OR+EX",--(DATOS!$G1395=CONFIG_METADATA!$B$4),IF(DATOS!$G1395="EX",1,IF(DATOS!$G1395="OR",--(COUNTIFS(nNIA,DATOS!$A1395,nCURSO,DATOS!$D1395,nESPEC,DATOS!$E1395,nASIG,DATOS!$I1395,nEVAL,"EX")=0),0))))</f>
      </c>
      <c r="H1395">
        <f>IF(DATOS!$G1395&lt;&gt;"EX",0,--(COUNTIFS(nNIA,DATOS!$A1395,nCURSO,DATOS!$D1395,nESPEC,DATOS!$E1395,nASIG,DATOS!$I1395,nEVAL,"OR")=0))</f>
      </c>
      <c r="I1395">
        <f>IF(DATOS!$I1395="","",IFERROR(VLOOKUP(DATOS!$I1395,CONFIG_ASIGNATURAS!$B$2:$J$91,9,FALSE()),""))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IF(DATOS!$A1396="",0,IF(CONFIG_METADATA!$B$4&lt;&gt;"OR+EX",--(DATOS!$G1396=CONFIG_METADATA!$B$4),IF(DATOS!$G1396="EX",1,IF(DATOS!$G1396="OR",--(COUNTIFS(nNIA,DATOS!$A1396,nCURSO,DATOS!$D1396,nESPEC,DATOS!$E1396,nASIG,DATOS!$I1396,nEVAL,"EX")=0),0))))</f>
      </c>
      <c r="H1396">
        <f>IF(DATOS!$G1396&lt;&gt;"EX",0,--(COUNTIFS(nNIA,DATOS!$A1396,nCURSO,DATOS!$D1396,nESPEC,DATOS!$E1396,nASIG,DATOS!$I1396,nEVAL,"OR")=0))</f>
      </c>
      <c r="I1396">
        <f>IF(DATOS!$I1396="","",IFERROR(VLOOKUP(DATOS!$I1396,CONFIG_ASIGNATURAS!$B$2:$J$91,9,FALSE()),""))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IF(DATOS!$A1397="",0,IF(CONFIG_METADATA!$B$4&lt;&gt;"OR+EX",--(DATOS!$G1397=CONFIG_METADATA!$B$4),IF(DATOS!$G1397="EX",1,IF(DATOS!$G1397="OR",--(COUNTIFS(nNIA,DATOS!$A1397,nCURSO,DATOS!$D1397,nESPEC,DATOS!$E1397,nASIG,DATOS!$I1397,nEVAL,"EX")=0),0))))</f>
      </c>
      <c r="H1397">
        <f>IF(DATOS!$G1397&lt;&gt;"EX",0,--(COUNTIFS(nNIA,DATOS!$A1397,nCURSO,DATOS!$D1397,nESPEC,DATOS!$E1397,nASIG,DATOS!$I1397,nEVAL,"OR")=0))</f>
      </c>
      <c r="I1397">
        <f>IF(DATOS!$I1397="","",IFERROR(VLOOKUP(DATOS!$I1397,CONFIG_ASIGNATURAS!$B$2:$J$91,9,FALSE()),""))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IF(DATOS!$A1398="",0,IF(CONFIG_METADATA!$B$4&lt;&gt;"OR+EX",--(DATOS!$G1398=CONFIG_METADATA!$B$4),IF(DATOS!$G1398="EX",1,IF(DATOS!$G1398="OR",--(COUNTIFS(nNIA,DATOS!$A1398,nCURSO,DATOS!$D1398,nESPEC,DATOS!$E1398,nASIG,DATOS!$I1398,nEVAL,"EX")=0),0))))</f>
      </c>
      <c r="H1398">
        <f>IF(DATOS!$G1398&lt;&gt;"EX",0,--(COUNTIFS(nNIA,DATOS!$A1398,nCURSO,DATOS!$D1398,nESPEC,DATOS!$E1398,nASIG,DATOS!$I1398,nEVAL,"OR")=0))</f>
      </c>
      <c r="I1398">
        <f>IF(DATOS!$I1398="","",IFERROR(VLOOKUP(DATOS!$I1398,CONFIG_ASIGNATURAS!$B$2:$J$91,9,FALSE()),""))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IF(DATOS!$A1399="",0,IF(CONFIG_METADATA!$B$4&lt;&gt;"OR+EX",--(DATOS!$G1399=CONFIG_METADATA!$B$4),IF(DATOS!$G1399="EX",1,IF(DATOS!$G1399="OR",--(COUNTIFS(nNIA,DATOS!$A1399,nCURSO,DATOS!$D1399,nESPEC,DATOS!$E1399,nASIG,DATOS!$I1399,nEVAL,"EX")=0),0))))</f>
      </c>
      <c r="H1399">
        <f>IF(DATOS!$G1399&lt;&gt;"EX",0,--(COUNTIFS(nNIA,DATOS!$A1399,nCURSO,DATOS!$D1399,nESPEC,DATOS!$E1399,nASIG,DATOS!$I1399,nEVAL,"OR")=0))</f>
      </c>
      <c r="I1399">
        <f>IF(DATOS!$I1399="","",IFERROR(VLOOKUP(DATOS!$I1399,CONFIG_ASIGNATURAS!$B$2:$J$91,9,FALSE()),""))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IF(DATOS!$A1400="",0,IF(CONFIG_METADATA!$B$4&lt;&gt;"OR+EX",--(DATOS!$G1400=CONFIG_METADATA!$B$4),IF(DATOS!$G1400="EX",1,IF(DATOS!$G1400="OR",--(COUNTIFS(nNIA,DATOS!$A1400,nCURSO,DATOS!$D1400,nESPEC,DATOS!$E1400,nASIG,DATOS!$I1400,nEVAL,"EX")=0),0))))</f>
      </c>
      <c r="H1400">
        <f>IF(DATOS!$G1400&lt;&gt;"EX",0,--(COUNTIFS(nNIA,DATOS!$A1400,nCURSO,DATOS!$D1400,nESPEC,DATOS!$E1400,nASIG,DATOS!$I1400,nEVAL,"OR")=0))</f>
      </c>
      <c r="I1400">
        <f>IF(DATOS!$I1400="","",IFERROR(VLOOKUP(DATOS!$I1400,CONFIG_ASIGNATURAS!$B$2:$J$91,9,FALSE()),""))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IF(DATOS!$A1401="",0,IF(CONFIG_METADATA!$B$4&lt;&gt;"OR+EX",--(DATOS!$G1401=CONFIG_METADATA!$B$4),IF(DATOS!$G1401="EX",1,IF(DATOS!$G1401="OR",--(COUNTIFS(nNIA,DATOS!$A1401,nCURSO,DATOS!$D1401,nESPEC,DATOS!$E1401,nASIG,DATOS!$I1401,nEVAL,"EX")=0),0))))</f>
      </c>
      <c r="H1401">
        <f>IF(DATOS!$G1401&lt;&gt;"EX",0,--(COUNTIFS(nNIA,DATOS!$A1401,nCURSO,DATOS!$D1401,nESPEC,DATOS!$E1401,nASIG,DATOS!$I1401,nEVAL,"OR")=0))</f>
      </c>
      <c r="I1401">
        <f>IF(DATOS!$I1401="","",IFERROR(VLOOKUP(DATOS!$I1401,CONFIG_ASIGNATURAS!$B$2:$J$91,9,FALSE()),""))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IF(DATOS!$A1402="",0,IF(CONFIG_METADATA!$B$4&lt;&gt;"OR+EX",--(DATOS!$G1402=CONFIG_METADATA!$B$4),IF(DATOS!$G1402="EX",1,IF(DATOS!$G1402="OR",--(COUNTIFS(nNIA,DATOS!$A1402,nCURSO,DATOS!$D1402,nESPEC,DATOS!$E1402,nASIG,DATOS!$I1402,nEVAL,"EX")=0),0))))</f>
      </c>
      <c r="H1402">
        <f>IF(DATOS!$G1402&lt;&gt;"EX",0,--(COUNTIFS(nNIA,DATOS!$A1402,nCURSO,DATOS!$D1402,nESPEC,DATOS!$E1402,nASIG,DATOS!$I1402,nEVAL,"OR")=0))</f>
      </c>
      <c r="I1402">
        <f>IF(DATOS!$I1402="","",IFERROR(VLOOKUP(DATOS!$I1402,CONFIG_ASIGNATURAS!$B$2:$J$91,9,FALSE()),""))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IF(DATOS!$A1403="",0,IF(CONFIG_METADATA!$B$4&lt;&gt;"OR+EX",--(DATOS!$G1403=CONFIG_METADATA!$B$4),IF(DATOS!$G1403="EX",1,IF(DATOS!$G1403="OR",--(COUNTIFS(nNIA,DATOS!$A1403,nCURSO,DATOS!$D1403,nESPEC,DATOS!$E1403,nASIG,DATOS!$I1403,nEVAL,"EX")=0),0))))</f>
      </c>
      <c r="H1403">
        <f>IF(DATOS!$G1403&lt;&gt;"EX",0,--(COUNTIFS(nNIA,DATOS!$A1403,nCURSO,DATOS!$D1403,nESPEC,DATOS!$E1403,nASIG,DATOS!$I1403,nEVAL,"OR")=0))</f>
      </c>
      <c r="I1403">
        <f>IF(DATOS!$I1403="","",IFERROR(VLOOKUP(DATOS!$I1403,CONFIG_ASIGNATURAS!$B$2:$J$91,9,FALSE()),""))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IF(DATOS!$A1404="",0,IF(CONFIG_METADATA!$B$4&lt;&gt;"OR+EX",--(DATOS!$G1404=CONFIG_METADATA!$B$4),IF(DATOS!$G1404="EX",1,IF(DATOS!$G1404="OR",--(COUNTIFS(nNIA,DATOS!$A1404,nCURSO,DATOS!$D1404,nESPEC,DATOS!$E1404,nASIG,DATOS!$I1404,nEVAL,"EX")=0),0))))</f>
      </c>
      <c r="H1404">
        <f>IF(DATOS!$G1404&lt;&gt;"EX",0,--(COUNTIFS(nNIA,DATOS!$A1404,nCURSO,DATOS!$D1404,nESPEC,DATOS!$E1404,nASIG,DATOS!$I1404,nEVAL,"OR")=0))</f>
      </c>
      <c r="I1404">
        <f>IF(DATOS!$I1404="","",IFERROR(VLOOKUP(DATOS!$I1404,CONFIG_ASIGNATURAS!$B$2:$J$91,9,FALSE()),""))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IF(DATOS!$A1405="",0,IF(CONFIG_METADATA!$B$4&lt;&gt;"OR+EX",--(DATOS!$G1405=CONFIG_METADATA!$B$4),IF(DATOS!$G1405="EX",1,IF(DATOS!$G1405="OR",--(COUNTIFS(nNIA,DATOS!$A1405,nCURSO,DATOS!$D1405,nESPEC,DATOS!$E1405,nASIG,DATOS!$I1405,nEVAL,"EX")=0),0))))</f>
      </c>
      <c r="H1405">
        <f>IF(DATOS!$G1405&lt;&gt;"EX",0,--(COUNTIFS(nNIA,DATOS!$A1405,nCURSO,DATOS!$D1405,nESPEC,DATOS!$E1405,nASIG,DATOS!$I1405,nEVAL,"OR")=0))</f>
      </c>
      <c r="I1405">
        <f>IF(DATOS!$I1405="","",IFERROR(VLOOKUP(DATOS!$I1405,CONFIG_ASIGNATURAS!$B$2:$J$91,9,FALSE()),""))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IF(DATOS!$A1406="",0,IF(CONFIG_METADATA!$B$4&lt;&gt;"OR+EX",--(DATOS!$G1406=CONFIG_METADATA!$B$4),IF(DATOS!$G1406="EX",1,IF(DATOS!$G1406="OR",--(COUNTIFS(nNIA,DATOS!$A1406,nCURSO,DATOS!$D1406,nESPEC,DATOS!$E1406,nASIG,DATOS!$I1406,nEVAL,"EX")=0),0))))</f>
      </c>
      <c r="H1406">
        <f>IF(DATOS!$G1406&lt;&gt;"EX",0,--(COUNTIFS(nNIA,DATOS!$A1406,nCURSO,DATOS!$D1406,nESPEC,DATOS!$E1406,nASIG,DATOS!$I1406,nEVAL,"OR")=0))</f>
      </c>
      <c r="I1406">
        <f>IF(DATOS!$I1406="","",IFERROR(VLOOKUP(DATOS!$I1406,CONFIG_ASIGNATURAS!$B$2:$J$91,9,FALSE()),""))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IF(DATOS!$A1407="",0,IF(CONFIG_METADATA!$B$4&lt;&gt;"OR+EX",--(DATOS!$G1407=CONFIG_METADATA!$B$4),IF(DATOS!$G1407="EX",1,IF(DATOS!$G1407="OR",--(COUNTIFS(nNIA,DATOS!$A1407,nCURSO,DATOS!$D1407,nESPEC,DATOS!$E1407,nASIG,DATOS!$I1407,nEVAL,"EX")=0),0))))</f>
      </c>
      <c r="H1407">
        <f>IF(DATOS!$G1407&lt;&gt;"EX",0,--(COUNTIFS(nNIA,DATOS!$A1407,nCURSO,DATOS!$D1407,nESPEC,DATOS!$E1407,nASIG,DATOS!$I1407,nEVAL,"OR")=0))</f>
      </c>
      <c r="I1407">
        <f>IF(DATOS!$I1407="","",IFERROR(VLOOKUP(DATOS!$I1407,CONFIG_ASIGNATURAS!$B$2:$J$91,9,FALSE()),""))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IF(DATOS!$A1408="",0,IF(CONFIG_METADATA!$B$4&lt;&gt;"OR+EX",--(DATOS!$G1408=CONFIG_METADATA!$B$4),IF(DATOS!$G1408="EX",1,IF(DATOS!$G1408="OR",--(COUNTIFS(nNIA,DATOS!$A1408,nCURSO,DATOS!$D1408,nESPEC,DATOS!$E1408,nASIG,DATOS!$I1408,nEVAL,"EX")=0),0))))</f>
      </c>
      <c r="H1408">
        <f>IF(DATOS!$G1408&lt;&gt;"EX",0,--(COUNTIFS(nNIA,DATOS!$A1408,nCURSO,DATOS!$D1408,nESPEC,DATOS!$E1408,nASIG,DATOS!$I1408,nEVAL,"OR")=0))</f>
      </c>
      <c r="I1408">
        <f>IF(DATOS!$I1408="","",IFERROR(VLOOKUP(DATOS!$I1408,CONFIG_ASIGNATURAS!$B$2:$J$91,9,FALSE()),""))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IF(DATOS!$A1409="",0,IF(CONFIG_METADATA!$B$4&lt;&gt;"OR+EX",--(DATOS!$G1409=CONFIG_METADATA!$B$4),IF(DATOS!$G1409="EX",1,IF(DATOS!$G1409="OR",--(COUNTIFS(nNIA,DATOS!$A1409,nCURSO,DATOS!$D1409,nESPEC,DATOS!$E1409,nASIG,DATOS!$I1409,nEVAL,"EX")=0),0))))</f>
      </c>
      <c r="H1409">
        <f>IF(DATOS!$G1409&lt;&gt;"EX",0,--(COUNTIFS(nNIA,DATOS!$A1409,nCURSO,DATOS!$D1409,nESPEC,DATOS!$E1409,nASIG,DATOS!$I1409,nEVAL,"OR")=0))</f>
      </c>
      <c r="I1409">
        <f>IF(DATOS!$I1409="","",IFERROR(VLOOKUP(DATOS!$I1409,CONFIG_ASIGNATURAS!$B$2:$J$91,9,FALSE()),""))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IF(DATOS!$A1410="",0,IF(CONFIG_METADATA!$B$4&lt;&gt;"OR+EX",--(DATOS!$G1410=CONFIG_METADATA!$B$4),IF(DATOS!$G1410="EX",1,IF(DATOS!$G1410="OR",--(COUNTIFS(nNIA,DATOS!$A1410,nCURSO,DATOS!$D1410,nESPEC,DATOS!$E1410,nASIG,DATOS!$I1410,nEVAL,"EX")=0),0))))</f>
      </c>
      <c r="H1410">
        <f>IF(DATOS!$G1410&lt;&gt;"EX",0,--(COUNTIFS(nNIA,DATOS!$A1410,nCURSO,DATOS!$D1410,nESPEC,DATOS!$E1410,nASIG,DATOS!$I1410,nEVAL,"OR")=0))</f>
      </c>
      <c r="I1410">
        <f>IF(DATOS!$I1410="","",IFERROR(VLOOKUP(DATOS!$I1410,CONFIG_ASIGNATURAS!$B$2:$J$91,9,FALSE()),""))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IF(DATOS!$A1411="",0,IF(CONFIG_METADATA!$B$4&lt;&gt;"OR+EX",--(DATOS!$G1411=CONFIG_METADATA!$B$4),IF(DATOS!$G1411="EX",1,IF(DATOS!$G1411="OR",--(COUNTIFS(nNIA,DATOS!$A1411,nCURSO,DATOS!$D1411,nESPEC,DATOS!$E1411,nASIG,DATOS!$I1411,nEVAL,"EX")=0),0))))</f>
      </c>
      <c r="H1411">
        <f>IF(DATOS!$G1411&lt;&gt;"EX",0,--(COUNTIFS(nNIA,DATOS!$A1411,nCURSO,DATOS!$D1411,nESPEC,DATOS!$E1411,nASIG,DATOS!$I1411,nEVAL,"OR")=0))</f>
      </c>
      <c r="I1411">
        <f>IF(DATOS!$I1411="","",IFERROR(VLOOKUP(DATOS!$I1411,CONFIG_ASIGNATURAS!$B$2:$J$91,9,FALSE()),""))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IF(DATOS!$A1412="",0,IF(CONFIG_METADATA!$B$4&lt;&gt;"OR+EX",--(DATOS!$G1412=CONFIG_METADATA!$B$4),IF(DATOS!$G1412="EX",1,IF(DATOS!$G1412="OR",--(COUNTIFS(nNIA,DATOS!$A1412,nCURSO,DATOS!$D1412,nESPEC,DATOS!$E1412,nASIG,DATOS!$I1412,nEVAL,"EX")=0),0))))</f>
      </c>
      <c r="H1412">
        <f>IF(DATOS!$G1412&lt;&gt;"EX",0,--(COUNTIFS(nNIA,DATOS!$A1412,nCURSO,DATOS!$D1412,nESPEC,DATOS!$E1412,nASIG,DATOS!$I1412,nEVAL,"OR")=0))</f>
      </c>
      <c r="I1412">
        <f>IF(DATOS!$I1412="","",IFERROR(VLOOKUP(DATOS!$I1412,CONFIG_ASIGNATURAS!$B$2:$J$91,9,FALSE()),""))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IF(DATOS!$A1413="",0,IF(CONFIG_METADATA!$B$4&lt;&gt;"OR+EX",--(DATOS!$G1413=CONFIG_METADATA!$B$4),IF(DATOS!$G1413="EX",1,IF(DATOS!$G1413="OR",--(COUNTIFS(nNIA,DATOS!$A1413,nCURSO,DATOS!$D1413,nESPEC,DATOS!$E1413,nASIG,DATOS!$I1413,nEVAL,"EX")=0),0))))</f>
      </c>
      <c r="H1413">
        <f>IF(DATOS!$G1413&lt;&gt;"EX",0,--(COUNTIFS(nNIA,DATOS!$A1413,nCURSO,DATOS!$D1413,nESPEC,DATOS!$E1413,nASIG,DATOS!$I1413,nEVAL,"OR")=0))</f>
      </c>
      <c r="I1413">
        <f>IF(DATOS!$I1413="","",IFERROR(VLOOKUP(DATOS!$I1413,CONFIG_ASIGNATURAS!$B$2:$J$91,9,FALSE()),""))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IF(DATOS!$A1414="",0,IF(CONFIG_METADATA!$B$4&lt;&gt;"OR+EX",--(DATOS!$G1414=CONFIG_METADATA!$B$4),IF(DATOS!$G1414="EX",1,IF(DATOS!$G1414="OR",--(COUNTIFS(nNIA,DATOS!$A1414,nCURSO,DATOS!$D1414,nESPEC,DATOS!$E1414,nASIG,DATOS!$I1414,nEVAL,"EX")=0),0))))</f>
      </c>
      <c r="H1414">
        <f>IF(DATOS!$G1414&lt;&gt;"EX",0,--(COUNTIFS(nNIA,DATOS!$A1414,nCURSO,DATOS!$D1414,nESPEC,DATOS!$E1414,nASIG,DATOS!$I1414,nEVAL,"OR")=0))</f>
      </c>
      <c r="I1414">
        <f>IF(DATOS!$I1414="","",IFERROR(VLOOKUP(DATOS!$I1414,CONFIG_ASIGNATURAS!$B$2:$J$91,9,FALSE()),""))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IF(DATOS!$A1415="",0,IF(CONFIG_METADATA!$B$4&lt;&gt;"OR+EX",--(DATOS!$G1415=CONFIG_METADATA!$B$4),IF(DATOS!$G1415="EX",1,IF(DATOS!$G1415="OR",--(COUNTIFS(nNIA,DATOS!$A1415,nCURSO,DATOS!$D1415,nESPEC,DATOS!$E1415,nASIG,DATOS!$I1415,nEVAL,"EX")=0),0))))</f>
      </c>
      <c r="H1415">
        <f>IF(DATOS!$G1415&lt;&gt;"EX",0,--(COUNTIFS(nNIA,DATOS!$A1415,nCURSO,DATOS!$D1415,nESPEC,DATOS!$E1415,nASIG,DATOS!$I1415,nEVAL,"OR")=0))</f>
      </c>
      <c r="I1415">
        <f>IF(DATOS!$I1415="","",IFERROR(VLOOKUP(DATOS!$I1415,CONFIG_ASIGNATURAS!$B$2:$J$91,9,FALSE()),""))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IF(DATOS!$A1416="",0,IF(CONFIG_METADATA!$B$4&lt;&gt;"OR+EX",--(DATOS!$G1416=CONFIG_METADATA!$B$4),IF(DATOS!$G1416="EX",1,IF(DATOS!$G1416="OR",--(COUNTIFS(nNIA,DATOS!$A1416,nCURSO,DATOS!$D1416,nESPEC,DATOS!$E1416,nASIG,DATOS!$I1416,nEVAL,"EX")=0),0))))</f>
      </c>
      <c r="H1416">
        <f>IF(DATOS!$G1416&lt;&gt;"EX",0,--(COUNTIFS(nNIA,DATOS!$A1416,nCURSO,DATOS!$D1416,nESPEC,DATOS!$E1416,nASIG,DATOS!$I1416,nEVAL,"OR")=0))</f>
      </c>
      <c r="I1416">
        <f>IF(DATOS!$I1416="","",IFERROR(VLOOKUP(DATOS!$I1416,CONFIG_ASIGNATURAS!$B$2:$J$91,9,FALSE()),""))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IF(DATOS!$A1417="",0,IF(CONFIG_METADATA!$B$4&lt;&gt;"OR+EX",--(DATOS!$G1417=CONFIG_METADATA!$B$4),IF(DATOS!$G1417="EX",1,IF(DATOS!$G1417="OR",--(COUNTIFS(nNIA,DATOS!$A1417,nCURSO,DATOS!$D1417,nESPEC,DATOS!$E1417,nASIG,DATOS!$I1417,nEVAL,"EX")=0),0))))</f>
      </c>
      <c r="H1417">
        <f>IF(DATOS!$G1417&lt;&gt;"EX",0,--(COUNTIFS(nNIA,DATOS!$A1417,nCURSO,DATOS!$D1417,nESPEC,DATOS!$E1417,nASIG,DATOS!$I1417,nEVAL,"OR")=0))</f>
      </c>
      <c r="I1417">
        <f>IF(DATOS!$I1417="","",IFERROR(VLOOKUP(DATOS!$I1417,CONFIG_ASIGNATURAS!$B$2:$J$91,9,FALSE()),""))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IF(DATOS!$A1418="",0,IF(CONFIG_METADATA!$B$4&lt;&gt;"OR+EX",--(DATOS!$G1418=CONFIG_METADATA!$B$4),IF(DATOS!$G1418="EX",1,IF(DATOS!$G1418="OR",--(COUNTIFS(nNIA,DATOS!$A1418,nCURSO,DATOS!$D1418,nESPEC,DATOS!$E1418,nASIG,DATOS!$I1418,nEVAL,"EX")=0),0))))</f>
      </c>
      <c r="H1418">
        <f>IF(DATOS!$G1418&lt;&gt;"EX",0,--(COUNTIFS(nNIA,DATOS!$A1418,nCURSO,DATOS!$D1418,nESPEC,DATOS!$E1418,nASIG,DATOS!$I1418,nEVAL,"OR")=0))</f>
      </c>
      <c r="I1418">
        <f>IF(DATOS!$I1418="","",IFERROR(VLOOKUP(DATOS!$I1418,CONFIG_ASIGNATURAS!$B$2:$J$91,9,FALSE()),""))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IF(DATOS!$A1419="",0,IF(CONFIG_METADATA!$B$4&lt;&gt;"OR+EX",--(DATOS!$G1419=CONFIG_METADATA!$B$4),IF(DATOS!$G1419="EX",1,IF(DATOS!$G1419="OR",--(COUNTIFS(nNIA,DATOS!$A1419,nCURSO,DATOS!$D1419,nESPEC,DATOS!$E1419,nASIG,DATOS!$I1419,nEVAL,"EX")=0),0))))</f>
      </c>
      <c r="H1419">
        <f>IF(DATOS!$G1419&lt;&gt;"EX",0,--(COUNTIFS(nNIA,DATOS!$A1419,nCURSO,DATOS!$D1419,nESPEC,DATOS!$E1419,nASIG,DATOS!$I1419,nEVAL,"OR")=0))</f>
      </c>
      <c r="I1419">
        <f>IF(DATOS!$I1419="","",IFERROR(VLOOKUP(DATOS!$I1419,CONFIG_ASIGNATURAS!$B$2:$J$91,9,FALSE()),""))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IF(DATOS!$A1420="",0,IF(CONFIG_METADATA!$B$4&lt;&gt;"OR+EX",--(DATOS!$G1420=CONFIG_METADATA!$B$4),IF(DATOS!$G1420="EX",1,IF(DATOS!$G1420="OR",--(COUNTIFS(nNIA,DATOS!$A1420,nCURSO,DATOS!$D1420,nESPEC,DATOS!$E1420,nASIG,DATOS!$I1420,nEVAL,"EX")=0),0))))</f>
      </c>
      <c r="H1420">
        <f>IF(DATOS!$G1420&lt;&gt;"EX",0,--(COUNTIFS(nNIA,DATOS!$A1420,nCURSO,DATOS!$D1420,nESPEC,DATOS!$E1420,nASIG,DATOS!$I1420,nEVAL,"OR")=0))</f>
      </c>
      <c r="I1420">
        <f>IF(DATOS!$I1420="","",IFERROR(VLOOKUP(DATOS!$I1420,CONFIG_ASIGNATURAS!$B$2:$J$91,9,FALSE()),""))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IF(DATOS!$A1421="",0,IF(CONFIG_METADATA!$B$4&lt;&gt;"OR+EX",--(DATOS!$G1421=CONFIG_METADATA!$B$4),IF(DATOS!$G1421="EX",1,IF(DATOS!$G1421="OR",--(COUNTIFS(nNIA,DATOS!$A1421,nCURSO,DATOS!$D1421,nESPEC,DATOS!$E1421,nASIG,DATOS!$I1421,nEVAL,"EX")=0),0))))</f>
      </c>
      <c r="H1421">
        <f>IF(DATOS!$G1421&lt;&gt;"EX",0,--(COUNTIFS(nNIA,DATOS!$A1421,nCURSO,DATOS!$D1421,nESPEC,DATOS!$E1421,nASIG,DATOS!$I1421,nEVAL,"OR")=0))</f>
      </c>
      <c r="I1421">
        <f>IF(DATOS!$I1421="","",IFERROR(VLOOKUP(DATOS!$I1421,CONFIG_ASIGNATURAS!$B$2:$J$91,9,FALSE()),""))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IF(DATOS!$A1422="",0,IF(CONFIG_METADATA!$B$4&lt;&gt;"OR+EX",--(DATOS!$G1422=CONFIG_METADATA!$B$4),IF(DATOS!$G1422="EX",1,IF(DATOS!$G1422="OR",--(COUNTIFS(nNIA,DATOS!$A1422,nCURSO,DATOS!$D1422,nESPEC,DATOS!$E1422,nASIG,DATOS!$I1422,nEVAL,"EX")=0),0))))</f>
      </c>
      <c r="H1422">
        <f>IF(DATOS!$G1422&lt;&gt;"EX",0,--(COUNTIFS(nNIA,DATOS!$A1422,nCURSO,DATOS!$D1422,nESPEC,DATOS!$E1422,nASIG,DATOS!$I1422,nEVAL,"OR")=0))</f>
      </c>
      <c r="I1422">
        <f>IF(DATOS!$I1422="","",IFERROR(VLOOKUP(DATOS!$I1422,CONFIG_ASIGNATURAS!$B$2:$J$91,9,FALSE()),""))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IF(DATOS!$A1423="",0,IF(CONFIG_METADATA!$B$4&lt;&gt;"OR+EX",--(DATOS!$G1423=CONFIG_METADATA!$B$4),IF(DATOS!$G1423="EX",1,IF(DATOS!$G1423="OR",--(COUNTIFS(nNIA,DATOS!$A1423,nCURSO,DATOS!$D1423,nESPEC,DATOS!$E1423,nASIG,DATOS!$I1423,nEVAL,"EX")=0),0))))</f>
      </c>
      <c r="H1423">
        <f>IF(DATOS!$G1423&lt;&gt;"EX",0,--(COUNTIFS(nNIA,DATOS!$A1423,nCURSO,DATOS!$D1423,nESPEC,DATOS!$E1423,nASIG,DATOS!$I1423,nEVAL,"OR")=0))</f>
      </c>
      <c r="I1423">
        <f>IF(DATOS!$I1423="","",IFERROR(VLOOKUP(DATOS!$I1423,CONFIG_ASIGNATURAS!$B$2:$J$91,9,FALSE()),""))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IF(DATOS!$A1424="",0,IF(CONFIG_METADATA!$B$4&lt;&gt;"OR+EX",--(DATOS!$G1424=CONFIG_METADATA!$B$4),IF(DATOS!$G1424="EX",1,IF(DATOS!$G1424="OR",--(COUNTIFS(nNIA,DATOS!$A1424,nCURSO,DATOS!$D1424,nESPEC,DATOS!$E1424,nASIG,DATOS!$I1424,nEVAL,"EX")=0),0))))</f>
      </c>
      <c r="H1424">
        <f>IF(DATOS!$G1424&lt;&gt;"EX",0,--(COUNTIFS(nNIA,DATOS!$A1424,nCURSO,DATOS!$D1424,nESPEC,DATOS!$E1424,nASIG,DATOS!$I1424,nEVAL,"OR")=0))</f>
      </c>
      <c r="I1424">
        <f>IF(DATOS!$I1424="","",IFERROR(VLOOKUP(DATOS!$I1424,CONFIG_ASIGNATURAS!$B$2:$J$91,9,FALSE()),""))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IF(DATOS!$A1425="",0,IF(CONFIG_METADATA!$B$4&lt;&gt;"OR+EX",--(DATOS!$G1425=CONFIG_METADATA!$B$4),IF(DATOS!$G1425="EX",1,IF(DATOS!$G1425="OR",--(COUNTIFS(nNIA,DATOS!$A1425,nCURSO,DATOS!$D1425,nESPEC,DATOS!$E1425,nASIG,DATOS!$I1425,nEVAL,"EX")=0),0))))</f>
      </c>
      <c r="H1425">
        <f>IF(DATOS!$G1425&lt;&gt;"EX",0,--(COUNTIFS(nNIA,DATOS!$A1425,nCURSO,DATOS!$D1425,nESPEC,DATOS!$E1425,nASIG,DATOS!$I1425,nEVAL,"OR")=0))</f>
      </c>
      <c r="I1425">
        <f>IF(DATOS!$I1425="","",IFERROR(VLOOKUP(DATOS!$I1425,CONFIG_ASIGNATURAS!$B$2:$J$91,9,FALSE()),""))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IF(DATOS!$A1426="",0,IF(CONFIG_METADATA!$B$4&lt;&gt;"OR+EX",--(DATOS!$G1426=CONFIG_METADATA!$B$4),IF(DATOS!$G1426="EX",1,IF(DATOS!$G1426="OR",--(COUNTIFS(nNIA,DATOS!$A1426,nCURSO,DATOS!$D1426,nESPEC,DATOS!$E1426,nASIG,DATOS!$I1426,nEVAL,"EX")=0),0))))</f>
      </c>
      <c r="H1426">
        <f>IF(DATOS!$G1426&lt;&gt;"EX",0,--(COUNTIFS(nNIA,DATOS!$A1426,nCURSO,DATOS!$D1426,nESPEC,DATOS!$E1426,nASIG,DATOS!$I1426,nEVAL,"OR")=0))</f>
      </c>
      <c r="I1426">
        <f>IF(DATOS!$I1426="","",IFERROR(VLOOKUP(DATOS!$I1426,CONFIG_ASIGNATURAS!$B$2:$J$91,9,FALSE()),""))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IF(DATOS!$A1427="",0,IF(CONFIG_METADATA!$B$4&lt;&gt;"OR+EX",--(DATOS!$G1427=CONFIG_METADATA!$B$4),IF(DATOS!$G1427="EX",1,IF(DATOS!$G1427="OR",--(COUNTIFS(nNIA,DATOS!$A1427,nCURSO,DATOS!$D1427,nESPEC,DATOS!$E1427,nASIG,DATOS!$I1427,nEVAL,"EX")=0),0))))</f>
      </c>
      <c r="H1427">
        <f>IF(DATOS!$G1427&lt;&gt;"EX",0,--(COUNTIFS(nNIA,DATOS!$A1427,nCURSO,DATOS!$D1427,nESPEC,DATOS!$E1427,nASIG,DATOS!$I1427,nEVAL,"OR")=0))</f>
      </c>
      <c r="I1427">
        <f>IF(DATOS!$I1427="","",IFERROR(VLOOKUP(DATOS!$I1427,CONFIG_ASIGNATURAS!$B$2:$J$91,9,FALSE()),""))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IF(DATOS!$A1428="",0,IF(CONFIG_METADATA!$B$4&lt;&gt;"OR+EX",--(DATOS!$G1428=CONFIG_METADATA!$B$4),IF(DATOS!$G1428="EX",1,IF(DATOS!$G1428="OR",--(COUNTIFS(nNIA,DATOS!$A1428,nCURSO,DATOS!$D1428,nESPEC,DATOS!$E1428,nASIG,DATOS!$I1428,nEVAL,"EX")=0),0))))</f>
      </c>
      <c r="H1428">
        <f>IF(DATOS!$G1428&lt;&gt;"EX",0,--(COUNTIFS(nNIA,DATOS!$A1428,nCURSO,DATOS!$D1428,nESPEC,DATOS!$E1428,nASIG,DATOS!$I1428,nEVAL,"OR")=0))</f>
      </c>
      <c r="I1428">
        <f>IF(DATOS!$I1428="","",IFERROR(VLOOKUP(DATOS!$I1428,CONFIG_ASIGNATURAS!$B$2:$J$91,9,FALSE()),""))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IF(DATOS!$A1429="",0,IF(CONFIG_METADATA!$B$4&lt;&gt;"OR+EX",--(DATOS!$G1429=CONFIG_METADATA!$B$4),IF(DATOS!$G1429="EX",1,IF(DATOS!$G1429="OR",--(COUNTIFS(nNIA,DATOS!$A1429,nCURSO,DATOS!$D1429,nESPEC,DATOS!$E1429,nASIG,DATOS!$I1429,nEVAL,"EX")=0),0))))</f>
      </c>
      <c r="H1429">
        <f>IF(DATOS!$G1429&lt;&gt;"EX",0,--(COUNTIFS(nNIA,DATOS!$A1429,nCURSO,DATOS!$D1429,nESPEC,DATOS!$E1429,nASIG,DATOS!$I1429,nEVAL,"OR")=0))</f>
      </c>
      <c r="I1429">
        <f>IF(DATOS!$I1429="","",IFERROR(VLOOKUP(DATOS!$I1429,CONFIG_ASIGNATURAS!$B$2:$J$91,9,FALSE()),""))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IF(DATOS!$A1430="",0,IF(CONFIG_METADATA!$B$4&lt;&gt;"OR+EX",--(DATOS!$G1430=CONFIG_METADATA!$B$4),IF(DATOS!$G1430="EX",1,IF(DATOS!$G1430="OR",--(COUNTIFS(nNIA,DATOS!$A1430,nCURSO,DATOS!$D1430,nESPEC,DATOS!$E1430,nASIG,DATOS!$I1430,nEVAL,"EX")=0),0))))</f>
      </c>
      <c r="H1430">
        <f>IF(DATOS!$G1430&lt;&gt;"EX",0,--(COUNTIFS(nNIA,DATOS!$A1430,nCURSO,DATOS!$D1430,nESPEC,DATOS!$E1430,nASIG,DATOS!$I1430,nEVAL,"OR")=0))</f>
      </c>
      <c r="I1430">
        <f>IF(DATOS!$I1430="","",IFERROR(VLOOKUP(DATOS!$I1430,CONFIG_ASIGNATURAS!$B$2:$J$91,9,FALSE()),""))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IF(DATOS!$A1431="",0,IF(CONFIG_METADATA!$B$4&lt;&gt;"OR+EX",--(DATOS!$G1431=CONFIG_METADATA!$B$4),IF(DATOS!$G1431="EX",1,IF(DATOS!$G1431="OR",--(COUNTIFS(nNIA,DATOS!$A1431,nCURSO,DATOS!$D1431,nESPEC,DATOS!$E1431,nASIG,DATOS!$I1431,nEVAL,"EX")=0),0))))</f>
      </c>
      <c r="H1431">
        <f>IF(DATOS!$G1431&lt;&gt;"EX",0,--(COUNTIFS(nNIA,DATOS!$A1431,nCURSO,DATOS!$D1431,nESPEC,DATOS!$E1431,nASIG,DATOS!$I1431,nEVAL,"OR")=0))</f>
      </c>
      <c r="I1431">
        <f>IF(DATOS!$I1431="","",IFERROR(VLOOKUP(DATOS!$I1431,CONFIG_ASIGNATURAS!$B$2:$J$91,9,FALSE()),""))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IF(DATOS!$A1432="",0,IF(CONFIG_METADATA!$B$4&lt;&gt;"OR+EX",--(DATOS!$G1432=CONFIG_METADATA!$B$4),IF(DATOS!$G1432="EX",1,IF(DATOS!$G1432="OR",--(COUNTIFS(nNIA,DATOS!$A1432,nCURSO,DATOS!$D1432,nESPEC,DATOS!$E1432,nASIG,DATOS!$I1432,nEVAL,"EX")=0),0))))</f>
      </c>
      <c r="H1432">
        <f>IF(DATOS!$G1432&lt;&gt;"EX",0,--(COUNTIFS(nNIA,DATOS!$A1432,nCURSO,DATOS!$D1432,nESPEC,DATOS!$E1432,nASIG,DATOS!$I1432,nEVAL,"OR")=0))</f>
      </c>
      <c r="I1432">
        <f>IF(DATOS!$I1432="","",IFERROR(VLOOKUP(DATOS!$I1432,CONFIG_ASIGNATURAS!$B$2:$J$91,9,FALSE()),""))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IF(DATOS!$A1433="",0,IF(CONFIG_METADATA!$B$4&lt;&gt;"OR+EX",--(DATOS!$G1433=CONFIG_METADATA!$B$4),IF(DATOS!$G1433="EX",1,IF(DATOS!$G1433="OR",--(COUNTIFS(nNIA,DATOS!$A1433,nCURSO,DATOS!$D1433,nESPEC,DATOS!$E1433,nASIG,DATOS!$I1433,nEVAL,"EX")=0),0))))</f>
      </c>
      <c r="H1433">
        <f>IF(DATOS!$G1433&lt;&gt;"EX",0,--(COUNTIFS(nNIA,DATOS!$A1433,nCURSO,DATOS!$D1433,nESPEC,DATOS!$E1433,nASIG,DATOS!$I1433,nEVAL,"OR")=0))</f>
      </c>
      <c r="I1433">
        <f>IF(DATOS!$I1433="","",IFERROR(VLOOKUP(DATOS!$I1433,CONFIG_ASIGNATURAS!$B$2:$J$91,9,FALSE()),""))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IF(DATOS!$A1434="",0,IF(CONFIG_METADATA!$B$4&lt;&gt;"OR+EX",--(DATOS!$G1434=CONFIG_METADATA!$B$4),IF(DATOS!$G1434="EX",1,IF(DATOS!$G1434="OR",--(COUNTIFS(nNIA,DATOS!$A1434,nCURSO,DATOS!$D1434,nESPEC,DATOS!$E1434,nASIG,DATOS!$I1434,nEVAL,"EX")=0),0))))</f>
      </c>
      <c r="H1434">
        <f>IF(DATOS!$G1434&lt;&gt;"EX",0,--(COUNTIFS(nNIA,DATOS!$A1434,nCURSO,DATOS!$D1434,nESPEC,DATOS!$E1434,nASIG,DATOS!$I1434,nEVAL,"OR")=0))</f>
      </c>
      <c r="I1434">
        <f>IF(DATOS!$I1434="","",IFERROR(VLOOKUP(DATOS!$I1434,CONFIG_ASIGNATURAS!$B$2:$J$91,9,FALSE()),""))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IF(DATOS!$A1435="",0,IF(CONFIG_METADATA!$B$4&lt;&gt;"OR+EX",--(DATOS!$G1435=CONFIG_METADATA!$B$4),IF(DATOS!$G1435="EX",1,IF(DATOS!$G1435="OR",--(COUNTIFS(nNIA,DATOS!$A1435,nCURSO,DATOS!$D1435,nESPEC,DATOS!$E1435,nASIG,DATOS!$I1435,nEVAL,"EX")=0),0))))</f>
      </c>
      <c r="H1435">
        <f>IF(DATOS!$G1435&lt;&gt;"EX",0,--(COUNTIFS(nNIA,DATOS!$A1435,nCURSO,DATOS!$D1435,nESPEC,DATOS!$E1435,nASIG,DATOS!$I1435,nEVAL,"OR")=0))</f>
      </c>
      <c r="I1435">
        <f>IF(DATOS!$I1435="","",IFERROR(VLOOKUP(DATOS!$I1435,CONFIG_ASIGNATURAS!$B$2:$J$91,9,FALSE()),""))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IF(DATOS!$A1436="",0,IF(CONFIG_METADATA!$B$4&lt;&gt;"OR+EX",--(DATOS!$G1436=CONFIG_METADATA!$B$4),IF(DATOS!$G1436="EX",1,IF(DATOS!$G1436="OR",--(COUNTIFS(nNIA,DATOS!$A1436,nCURSO,DATOS!$D1436,nESPEC,DATOS!$E1436,nASIG,DATOS!$I1436,nEVAL,"EX")=0),0))))</f>
      </c>
      <c r="H1436">
        <f>IF(DATOS!$G1436&lt;&gt;"EX",0,--(COUNTIFS(nNIA,DATOS!$A1436,nCURSO,DATOS!$D1436,nESPEC,DATOS!$E1436,nASIG,DATOS!$I1436,nEVAL,"OR")=0))</f>
      </c>
      <c r="I1436">
        <f>IF(DATOS!$I1436="","",IFERROR(VLOOKUP(DATOS!$I1436,CONFIG_ASIGNATURAS!$B$2:$J$91,9,FALSE()),""))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IF(DATOS!$A1437="",0,IF(CONFIG_METADATA!$B$4&lt;&gt;"OR+EX",--(DATOS!$G1437=CONFIG_METADATA!$B$4),IF(DATOS!$G1437="EX",1,IF(DATOS!$G1437="OR",--(COUNTIFS(nNIA,DATOS!$A1437,nCURSO,DATOS!$D1437,nESPEC,DATOS!$E1437,nASIG,DATOS!$I1437,nEVAL,"EX")=0),0))))</f>
      </c>
      <c r="H1437">
        <f>IF(DATOS!$G1437&lt;&gt;"EX",0,--(COUNTIFS(nNIA,DATOS!$A1437,nCURSO,DATOS!$D1437,nESPEC,DATOS!$E1437,nASIG,DATOS!$I1437,nEVAL,"OR")=0))</f>
      </c>
      <c r="I1437">
        <f>IF(DATOS!$I1437="","",IFERROR(VLOOKUP(DATOS!$I1437,CONFIG_ASIGNATURAS!$B$2:$J$91,9,FALSE()),""))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IF(DATOS!$A1438="",0,IF(CONFIG_METADATA!$B$4&lt;&gt;"OR+EX",--(DATOS!$G1438=CONFIG_METADATA!$B$4),IF(DATOS!$G1438="EX",1,IF(DATOS!$G1438="OR",--(COUNTIFS(nNIA,DATOS!$A1438,nCURSO,DATOS!$D1438,nESPEC,DATOS!$E1438,nASIG,DATOS!$I1438,nEVAL,"EX")=0),0))))</f>
      </c>
      <c r="H1438">
        <f>IF(DATOS!$G1438&lt;&gt;"EX",0,--(COUNTIFS(nNIA,DATOS!$A1438,nCURSO,DATOS!$D1438,nESPEC,DATOS!$E1438,nASIG,DATOS!$I1438,nEVAL,"OR")=0))</f>
      </c>
      <c r="I1438">
        <f>IF(DATOS!$I1438="","",IFERROR(VLOOKUP(DATOS!$I1438,CONFIG_ASIGNATURAS!$B$2:$J$91,9,FALSE()),""))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IF(DATOS!$A1439="",0,IF(CONFIG_METADATA!$B$4&lt;&gt;"OR+EX",--(DATOS!$G1439=CONFIG_METADATA!$B$4),IF(DATOS!$G1439="EX",1,IF(DATOS!$G1439="OR",--(COUNTIFS(nNIA,DATOS!$A1439,nCURSO,DATOS!$D1439,nESPEC,DATOS!$E1439,nASIG,DATOS!$I1439,nEVAL,"EX")=0),0))))</f>
      </c>
      <c r="H1439">
        <f>IF(DATOS!$G1439&lt;&gt;"EX",0,--(COUNTIFS(nNIA,DATOS!$A1439,nCURSO,DATOS!$D1439,nESPEC,DATOS!$E1439,nASIG,DATOS!$I1439,nEVAL,"OR")=0))</f>
      </c>
      <c r="I1439">
        <f>IF(DATOS!$I1439="","",IFERROR(VLOOKUP(DATOS!$I1439,CONFIG_ASIGNATURAS!$B$2:$J$91,9,FALSE()),""))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IF(DATOS!$A1440="",0,IF(CONFIG_METADATA!$B$4&lt;&gt;"OR+EX",--(DATOS!$G1440=CONFIG_METADATA!$B$4),IF(DATOS!$G1440="EX",1,IF(DATOS!$G1440="OR",--(COUNTIFS(nNIA,DATOS!$A1440,nCURSO,DATOS!$D1440,nESPEC,DATOS!$E1440,nASIG,DATOS!$I1440,nEVAL,"EX")=0),0))))</f>
      </c>
      <c r="H1440">
        <f>IF(DATOS!$G1440&lt;&gt;"EX",0,--(COUNTIFS(nNIA,DATOS!$A1440,nCURSO,DATOS!$D1440,nESPEC,DATOS!$E1440,nASIG,DATOS!$I1440,nEVAL,"OR")=0))</f>
      </c>
      <c r="I1440">
        <f>IF(DATOS!$I1440="","",IFERROR(VLOOKUP(DATOS!$I1440,CONFIG_ASIGNATURAS!$B$2:$J$91,9,FALSE()),""))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IF(DATOS!$A1441="",0,IF(CONFIG_METADATA!$B$4&lt;&gt;"OR+EX",--(DATOS!$G1441=CONFIG_METADATA!$B$4),IF(DATOS!$G1441="EX",1,IF(DATOS!$G1441="OR",--(COUNTIFS(nNIA,DATOS!$A1441,nCURSO,DATOS!$D1441,nESPEC,DATOS!$E1441,nASIG,DATOS!$I1441,nEVAL,"EX")=0),0))))</f>
      </c>
      <c r="H1441">
        <f>IF(DATOS!$G1441&lt;&gt;"EX",0,--(COUNTIFS(nNIA,DATOS!$A1441,nCURSO,DATOS!$D1441,nESPEC,DATOS!$E1441,nASIG,DATOS!$I1441,nEVAL,"OR")=0))</f>
      </c>
      <c r="I1441">
        <f>IF(DATOS!$I1441="","",IFERROR(VLOOKUP(DATOS!$I1441,CONFIG_ASIGNATURAS!$B$2:$J$91,9,FALSE()),""))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IF(DATOS!$A1442="",0,IF(CONFIG_METADATA!$B$4&lt;&gt;"OR+EX",--(DATOS!$G1442=CONFIG_METADATA!$B$4),IF(DATOS!$G1442="EX",1,IF(DATOS!$G1442="OR",--(COUNTIFS(nNIA,DATOS!$A1442,nCURSO,DATOS!$D1442,nESPEC,DATOS!$E1442,nASIG,DATOS!$I1442,nEVAL,"EX")=0),0))))</f>
      </c>
      <c r="H1442">
        <f>IF(DATOS!$G1442&lt;&gt;"EX",0,--(COUNTIFS(nNIA,DATOS!$A1442,nCURSO,DATOS!$D1442,nESPEC,DATOS!$E1442,nASIG,DATOS!$I1442,nEVAL,"OR")=0))</f>
      </c>
      <c r="I1442">
        <f>IF(DATOS!$I1442="","",IFERROR(VLOOKUP(DATOS!$I1442,CONFIG_ASIGNATURAS!$B$2:$J$91,9,FALSE()),""))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IF(DATOS!$A1443="",0,IF(CONFIG_METADATA!$B$4&lt;&gt;"OR+EX",--(DATOS!$G1443=CONFIG_METADATA!$B$4),IF(DATOS!$G1443="EX",1,IF(DATOS!$G1443="OR",--(COUNTIFS(nNIA,DATOS!$A1443,nCURSO,DATOS!$D1443,nESPEC,DATOS!$E1443,nASIG,DATOS!$I1443,nEVAL,"EX")=0),0))))</f>
      </c>
      <c r="H1443">
        <f>IF(DATOS!$G1443&lt;&gt;"EX",0,--(COUNTIFS(nNIA,DATOS!$A1443,nCURSO,DATOS!$D1443,nESPEC,DATOS!$E1443,nASIG,DATOS!$I1443,nEVAL,"OR")=0))</f>
      </c>
      <c r="I1443">
        <f>IF(DATOS!$I1443="","",IFERROR(VLOOKUP(DATOS!$I1443,CONFIG_ASIGNATURAS!$B$2:$J$91,9,FALSE()),""))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IF(DATOS!$A1444="",0,IF(CONFIG_METADATA!$B$4&lt;&gt;"OR+EX",--(DATOS!$G1444=CONFIG_METADATA!$B$4),IF(DATOS!$G1444="EX",1,IF(DATOS!$G1444="OR",--(COUNTIFS(nNIA,DATOS!$A1444,nCURSO,DATOS!$D1444,nESPEC,DATOS!$E1444,nASIG,DATOS!$I1444,nEVAL,"EX")=0),0))))</f>
      </c>
      <c r="H1444">
        <f>IF(DATOS!$G1444&lt;&gt;"EX",0,--(COUNTIFS(nNIA,DATOS!$A1444,nCURSO,DATOS!$D1444,nESPEC,DATOS!$E1444,nASIG,DATOS!$I1444,nEVAL,"OR")=0))</f>
      </c>
      <c r="I1444">
        <f>IF(DATOS!$I1444="","",IFERROR(VLOOKUP(DATOS!$I1444,CONFIG_ASIGNATURAS!$B$2:$J$91,9,FALSE()),""))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IF(DATOS!$A1445="",0,IF(CONFIG_METADATA!$B$4&lt;&gt;"OR+EX",--(DATOS!$G1445=CONFIG_METADATA!$B$4),IF(DATOS!$G1445="EX",1,IF(DATOS!$G1445="OR",--(COUNTIFS(nNIA,DATOS!$A1445,nCURSO,DATOS!$D1445,nESPEC,DATOS!$E1445,nASIG,DATOS!$I1445,nEVAL,"EX")=0),0))))</f>
      </c>
      <c r="H1445">
        <f>IF(DATOS!$G1445&lt;&gt;"EX",0,--(COUNTIFS(nNIA,DATOS!$A1445,nCURSO,DATOS!$D1445,nESPEC,DATOS!$E1445,nASIG,DATOS!$I1445,nEVAL,"OR")=0))</f>
      </c>
      <c r="I1445">
        <f>IF(DATOS!$I1445="","",IFERROR(VLOOKUP(DATOS!$I1445,CONFIG_ASIGNATURAS!$B$2:$J$91,9,FALSE()),""))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IF(DATOS!$A1446="",0,IF(CONFIG_METADATA!$B$4&lt;&gt;"OR+EX",--(DATOS!$G1446=CONFIG_METADATA!$B$4),IF(DATOS!$G1446="EX",1,IF(DATOS!$G1446="OR",--(COUNTIFS(nNIA,DATOS!$A1446,nCURSO,DATOS!$D1446,nESPEC,DATOS!$E1446,nASIG,DATOS!$I1446,nEVAL,"EX")=0),0))))</f>
      </c>
      <c r="H1446">
        <f>IF(DATOS!$G1446&lt;&gt;"EX",0,--(COUNTIFS(nNIA,DATOS!$A1446,nCURSO,DATOS!$D1446,nESPEC,DATOS!$E1446,nASIG,DATOS!$I1446,nEVAL,"OR")=0))</f>
      </c>
      <c r="I1446">
        <f>IF(DATOS!$I1446="","",IFERROR(VLOOKUP(DATOS!$I1446,CONFIG_ASIGNATURAS!$B$2:$J$91,9,FALSE()),""))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IF(DATOS!$A1447="",0,IF(CONFIG_METADATA!$B$4&lt;&gt;"OR+EX",--(DATOS!$G1447=CONFIG_METADATA!$B$4),IF(DATOS!$G1447="EX",1,IF(DATOS!$G1447="OR",--(COUNTIFS(nNIA,DATOS!$A1447,nCURSO,DATOS!$D1447,nESPEC,DATOS!$E1447,nASIG,DATOS!$I1447,nEVAL,"EX")=0),0))))</f>
      </c>
      <c r="H1447">
        <f>IF(DATOS!$G1447&lt;&gt;"EX",0,--(COUNTIFS(nNIA,DATOS!$A1447,nCURSO,DATOS!$D1447,nESPEC,DATOS!$E1447,nASIG,DATOS!$I1447,nEVAL,"OR")=0))</f>
      </c>
      <c r="I1447">
        <f>IF(DATOS!$I1447="","",IFERROR(VLOOKUP(DATOS!$I1447,CONFIG_ASIGNATURAS!$B$2:$J$91,9,FALSE()),""))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IF(DATOS!$A1448="",0,IF(CONFIG_METADATA!$B$4&lt;&gt;"OR+EX",--(DATOS!$G1448=CONFIG_METADATA!$B$4),IF(DATOS!$G1448="EX",1,IF(DATOS!$G1448="OR",--(COUNTIFS(nNIA,DATOS!$A1448,nCURSO,DATOS!$D1448,nESPEC,DATOS!$E1448,nASIG,DATOS!$I1448,nEVAL,"EX")=0),0))))</f>
      </c>
      <c r="H1448">
        <f>IF(DATOS!$G1448&lt;&gt;"EX",0,--(COUNTIFS(nNIA,DATOS!$A1448,nCURSO,DATOS!$D1448,nESPEC,DATOS!$E1448,nASIG,DATOS!$I1448,nEVAL,"OR")=0))</f>
      </c>
      <c r="I1448">
        <f>IF(DATOS!$I1448="","",IFERROR(VLOOKUP(DATOS!$I1448,CONFIG_ASIGNATURAS!$B$2:$J$91,9,FALSE()),""))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IF(DATOS!$A1449="",0,IF(CONFIG_METADATA!$B$4&lt;&gt;"OR+EX",--(DATOS!$G1449=CONFIG_METADATA!$B$4),IF(DATOS!$G1449="EX",1,IF(DATOS!$G1449="OR",--(COUNTIFS(nNIA,DATOS!$A1449,nCURSO,DATOS!$D1449,nESPEC,DATOS!$E1449,nASIG,DATOS!$I1449,nEVAL,"EX")=0),0))))</f>
      </c>
      <c r="H1449">
        <f>IF(DATOS!$G1449&lt;&gt;"EX",0,--(COUNTIFS(nNIA,DATOS!$A1449,nCURSO,DATOS!$D1449,nESPEC,DATOS!$E1449,nASIG,DATOS!$I1449,nEVAL,"OR")=0))</f>
      </c>
      <c r="I1449">
        <f>IF(DATOS!$I1449="","",IFERROR(VLOOKUP(DATOS!$I1449,CONFIG_ASIGNATURAS!$B$2:$J$91,9,FALSE()),""))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IF(DATOS!$A1450="",0,IF(CONFIG_METADATA!$B$4&lt;&gt;"OR+EX",--(DATOS!$G1450=CONFIG_METADATA!$B$4),IF(DATOS!$G1450="EX",1,IF(DATOS!$G1450="OR",--(COUNTIFS(nNIA,DATOS!$A1450,nCURSO,DATOS!$D1450,nESPEC,DATOS!$E1450,nASIG,DATOS!$I1450,nEVAL,"EX")=0),0))))</f>
      </c>
      <c r="H1450">
        <f>IF(DATOS!$G1450&lt;&gt;"EX",0,--(COUNTIFS(nNIA,DATOS!$A1450,nCURSO,DATOS!$D1450,nESPEC,DATOS!$E1450,nASIG,DATOS!$I1450,nEVAL,"OR")=0))</f>
      </c>
      <c r="I1450">
        <f>IF(DATOS!$I1450="","",IFERROR(VLOOKUP(DATOS!$I1450,CONFIG_ASIGNATURAS!$B$2:$J$91,9,FALSE()),""))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IF(DATOS!$A1451="",0,IF(CONFIG_METADATA!$B$4&lt;&gt;"OR+EX",--(DATOS!$G1451=CONFIG_METADATA!$B$4),IF(DATOS!$G1451="EX",1,IF(DATOS!$G1451="OR",--(COUNTIFS(nNIA,DATOS!$A1451,nCURSO,DATOS!$D1451,nESPEC,DATOS!$E1451,nASIG,DATOS!$I1451,nEVAL,"EX")=0),0))))</f>
      </c>
      <c r="H1451">
        <f>IF(DATOS!$G1451&lt;&gt;"EX",0,--(COUNTIFS(nNIA,DATOS!$A1451,nCURSO,DATOS!$D1451,nESPEC,DATOS!$E1451,nASIG,DATOS!$I1451,nEVAL,"OR")=0))</f>
      </c>
      <c r="I1451">
        <f>IF(DATOS!$I1451="","",IFERROR(VLOOKUP(DATOS!$I1451,CONFIG_ASIGNATURAS!$B$2:$J$91,9,FALSE()),""))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IF(DATOS!$A1452="",0,IF(CONFIG_METADATA!$B$4&lt;&gt;"OR+EX",--(DATOS!$G1452=CONFIG_METADATA!$B$4),IF(DATOS!$G1452="EX",1,IF(DATOS!$G1452="OR",--(COUNTIFS(nNIA,DATOS!$A1452,nCURSO,DATOS!$D1452,nESPEC,DATOS!$E1452,nASIG,DATOS!$I1452,nEVAL,"EX")=0),0))))</f>
      </c>
      <c r="H1452">
        <f>IF(DATOS!$G1452&lt;&gt;"EX",0,--(COUNTIFS(nNIA,DATOS!$A1452,nCURSO,DATOS!$D1452,nESPEC,DATOS!$E1452,nASIG,DATOS!$I1452,nEVAL,"OR")=0))</f>
      </c>
      <c r="I1452">
        <f>IF(DATOS!$I1452="","",IFERROR(VLOOKUP(DATOS!$I1452,CONFIG_ASIGNATURAS!$B$2:$J$91,9,FALSE()),""))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IF(DATOS!$A1453="",0,IF(CONFIG_METADATA!$B$4&lt;&gt;"OR+EX",--(DATOS!$G1453=CONFIG_METADATA!$B$4),IF(DATOS!$G1453="EX",1,IF(DATOS!$G1453="OR",--(COUNTIFS(nNIA,DATOS!$A1453,nCURSO,DATOS!$D1453,nESPEC,DATOS!$E1453,nASIG,DATOS!$I1453,nEVAL,"EX")=0),0))))</f>
      </c>
      <c r="H1453">
        <f>IF(DATOS!$G1453&lt;&gt;"EX",0,--(COUNTIFS(nNIA,DATOS!$A1453,nCURSO,DATOS!$D1453,nESPEC,DATOS!$E1453,nASIG,DATOS!$I1453,nEVAL,"OR")=0))</f>
      </c>
      <c r="I1453">
        <f>IF(DATOS!$I1453="","",IFERROR(VLOOKUP(DATOS!$I1453,CONFIG_ASIGNATURAS!$B$2:$J$91,9,FALSE()),""))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IF(DATOS!$A1454="",0,IF(CONFIG_METADATA!$B$4&lt;&gt;"OR+EX",--(DATOS!$G1454=CONFIG_METADATA!$B$4),IF(DATOS!$G1454="EX",1,IF(DATOS!$G1454="OR",--(COUNTIFS(nNIA,DATOS!$A1454,nCURSO,DATOS!$D1454,nESPEC,DATOS!$E1454,nASIG,DATOS!$I1454,nEVAL,"EX")=0),0))))</f>
      </c>
      <c r="H1454">
        <f>IF(DATOS!$G1454&lt;&gt;"EX",0,--(COUNTIFS(nNIA,DATOS!$A1454,nCURSO,DATOS!$D1454,nESPEC,DATOS!$E1454,nASIG,DATOS!$I1454,nEVAL,"OR")=0))</f>
      </c>
      <c r="I1454">
        <f>IF(DATOS!$I1454="","",IFERROR(VLOOKUP(DATOS!$I1454,CONFIG_ASIGNATURAS!$B$2:$J$91,9,FALSE()),""))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IF(DATOS!$A1455="",0,IF(CONFIG_METADATA!$B$4&lt;&gt;"OR+EX",--(DATOS!$G1455=CONFIG_METADATA!$B$4),IF(DATOS!$G1455="EX",1,IF(DATOS!$G1455="OR",--(COUNTIFS(nNIA,DATOS!$A1455,nCURSO,DATOS!$D1455,nESPEC,DATOS!$E1455,nASIG,DATOS!$I1455,nEVAL,"EX")=0),0))))</f>
      </c>
      <c r="H1455">
        <f>IF(DATOS!$G1455&lt;&gt;"EX",0,--(COUNTIFS(nNIA,DATOS!$A1455,nCURSO,DATOS!$D1455,nESPEC,DATOS!$E1455,nASIG,DATOS!$I1455,nEVAL,"OR")=0))</f>
      </c>
      <c r="I1455">
        <f>IF(DATOS!$I1455="","",IFERROR(VLOOKUP(DATOS!$I1455,CONFIG_ASIGNATURAS!$B$2:$J$91,9,FALSE()),""))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IF(DATOS!$A1456="",0,IF(CONFIG_METADATA!$B$4&lt;&gt;"OR+EX",--(DATOS!$G1456=CONFIG_METADATA!$B$4),IF(DATOS!$G1456="EX",1,IF(DATOS!$G1456="OR",--(COUNTIFS(nNIA,DATOS!$A1456,nCURSO,DATOS!$D1456,nESPEC,DATOS!$E1456,nASIG,DATOS!$I1456,nEVAL,"EX")=0),0))))</f>
      </c>
      <c r="H1456">
        <f>IF(DATOS!$G1456&lt;&gt;"EX",0,--(COUNTIFS(nNIA,DATOS!$A1456,nCURSO,DATOS!$D1456,nESPEC,DATOS!$E1456,nASIG,DATOS!$I1456,nEVAL,"OR")=0))</f>
      </c>
      <c r="I1456">
        <f>IF(DATOS!$I1456="","",IFERROR(VLOOKUP(DATOS!$I1456,CONFIG_ASIGNATURAS!$B$2:$J$91,9,FALSE()),""))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IF(DATOS!$A1457="",0,IF(CONFIG_METADATA!$B$4&lt;&gt;"OR+EX",--(DATOS!$G1457=CONFIG_METADATA!$B$4),IF(DATOS!$G1457="EX",1,IF(DATOS!$G1457="OR",--(COUNTIFS(nNIA,DATOS!$A1457,nCURSO,DATOS!$D1457,nESPEC,DATOS!$E1457,nASIG,DATOS!$I1457,nEVAL,"EX")=0),0))))</f>
      </c>
      <c r="H1457">
        <f>IF(DATOS!$G1457&lt;&gt;"EX",0,--(COUNTIFS(nNIA,DATOS!$A1457,nCURSO,DATOS!$D1457,nESPEC,DATOS!$E1457,nASIG,DATOS!$I1457,nEVAL,"OR")=0))</f>
      </c>
      <c r="I1457">
        <f>IF(DATOS!$I1457="","",IFERROR(VLOOKUP(DATOS!$I1457,CONFIG_ASIGNATURAS!$B$2:$J$91,9,FALSE()),""))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IF(DATOS!$A1458="",0,IF(CONFIG_METADATA!$B$4&lt;&gt;"OR+EX",--(DATOS!$G1458=CONFIG_METADATA!$B$4),IF(DATOS!$G1458="EX",1,IF(DATOS!$G1458="OR",--(COUNTIFS(nNIA,DATOS!$A1458,nCURSO,DATOS!$D1458,nESPEC,DATOS!$E1458,nASIG,DATOS!$I1458,nEVAL,"EX")=0),0))))</f>
      </c>
      <c r="H1458">
        <f>IF(DATOS!$G1458&lt;&gt;"EX",0,--(COUNTIFS(nNIA,DATOS!$A1458,nCURSO,DATOS!$D1458,nESPEC,DATOS!$E1458,nASIG,DATOS!$I1458,nEVAL,"OR")=0))</f>
      </c>
      <c r="I1458">
        <f>IF(DATOS!$I1458="","",IFERROR(VLOOKUP(DATOS!$I1458,CONFIG_ASIGNATURAS!$B$2:$J$91,9,FALSE()),""))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IF(DATOS!$A1459="",0,IF(CONFIG_METADATA!$B$4&lt;&gt;"OR+EX",--(DATOS!$G1459=CONFIG_METADATA!$B$4),IF(DATOS!$G1459="EX",1,IF(DATOS!$G1459="OR",--(COUNTIFS(nNIA,DATOS!$A1459,nCURSO,DATOS!$D1459,nESPEC,DATOS!$E1459,nASIG,DATOS!$I1459,nEVAL,"EX")=0),0))))</f>
      </c>
      <c r="H1459">
        <f>IF(DATOS!$G1459&lt;&gt;"EX",0,--(COUNTIFS(nNIA,DATOS!$A1459,nCURSO,DATOS!$D1459,nESPEC,DATOS!$E1459,nASIG,DATOS!$I1459,nEVAL,"OR")=0))</f>
      </c>
      <c r="I1459">
        <f>IF(DATOS!$I1459="","",IFERROR(VLOOKUP(DATOS!$I1459,CONFIG_ASIGNATURAS!$B$2:$J$91,9,FALSE()),""))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IF(DATOS!$A1460="",0,IF(CONFIG_METADATA!$B$4&lt;&gt;"OR+EX",--(DATOS!$G1460=CONFIG_METADATA!$B$4),IF(DATOS!$G1460="EX",1,IF(DATOS!$G1460="OR",--(COUNTIFS(nNIA,DATOS!$A1460,nCURSO,DATOS!$D1460,nESPEC,DATOS!$E1460,nASIG,DATOS!$I1460,nEVAL,"EX")=0),0))))</f>
      </c>
      <c r="H1460">
        <f>IF(DATOS!$G1460&lt;&gt;"EX",0,--(COUNTIFS(nNIA,DATOS!$A1460,nCURSO,DATOS!$D1460,nESPEC,DATOS!$E1460,nASIG,DATOS!$I1460,nEVAL,"OR")=0))</f>
      </c>
      <c r="I1460">
        <f>IF(DATOS!$I1460="","",IFERROR(VLOOKUP(DATOS!$I1460,CONFIG_ASIGNATURAS!$B$2:$J$91,9,FALSE()),""))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IF(DATOS!$A1461="",0,IF(CONFIG_METADATA!$B$4&lt;&gt;"OR+EX",--(DATOS!$G1461=CONFIG_METADATA!$B$4),IF(DATOS!$G1461="EX",1,IF(DATOS!$G1461="OR",--(COUNTIFS(nNIA,DATOS!$A1461,nCURSO,DATOS!$D1461,nESPEC,DATOS!$E1461,nASIG,DATOS!$I1461,nEVAL,"EX")=0),0))))</f>
      </c>
      <c r="H1461">
        <f>IF(DATOS!$G1461&lt;&gt;"EX",0,--(COUNTIFS(nNIA,DATOS!$A1461,nCURSO,DATOS!$D1461,nESPEC,DATOS!$E1461,nASIG,DATOS!$I1461,nEVAL,"OR")=0))</f>
      </c>
      <c r="I1461">
        <f>IF(DATOS!$I1461="","",IFERROR(VLOOKUP(DATOS!$I1461,CONFIG_ASIGNATURAS!$B$2:$J$91,9,FALSE()),""))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IF(DATOS!$A1462="",0,IF(CONFIG_METADATA!$B$4&lt;&gt;"OR+EX",--(DATOS!$G1462=CONFIG_METADATA!$B$4),IF(DATOS!$G1462="EX",1,IF(DATOS!$G1462="OR",--(COUNTIFS(nNIA,DATOS!$A1462,nCURSO,DATOS!$D1462,nESPEC,DATOS!$E1462,nASIG,DATOS!$I1462,nEVAL,"EX")=0),0))))</f>
      </c>
      <c r="H1462">
        <f>IF(DATOS!$G1462&lt;&gt;"EX",0,--(COUNTIFS(nNIA,DATOS!$A1462,nCURSO,DATOS!$D1462,nESPEC,DATOS!$E1462,nASIG,DATOS!$I1462,nEVAL,"OR")=0))</f>
      </c>
      <c r="I1462">
        <f>IF(DATOS!$I1462="","",IFERROR(VLOOKUP(DATOS!$I1462,CONFIG_ASIGNATURAS!$B$2:$J$91,9,FALSE()),""))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IF(DATOS!$A1463="",0,IF(CONFIG_METADATA!$B$4&lt;&gt;"OR+EX",--(DATOS!$G1463=CONFIG_METADATA!$B$4),IF(DATOS!$G1463="EX",1,IF(DATOS!$G1463="OR",--(COUNTIFS(nNIA,DATOS!$A1463,nCURSO,DATOS!$D1463,nESPEC,DATOS!$E1463,nASIG,DATOS!$I1463,nEVAL,"EX")=0),0))))</f>
      </c>
      <c r="H1463">
        <f>IF(DATOS!$G1463&lt;&gt;"EX",0,--(COUNTIFS(nNIA,DATOS!$A1463,nCURSO,DATOS!$D1463,nESPEC,DATOS!$E1463,nASIG,DATOS!$I1463,nEVAL,"OR")=0))</f>
      </c>
      <c r="I1463">
        <f>IF(DATOS!$I1463="","",IFERROR(VLOOKUP(DATOS!$I1463,CONFIG_ASIGNATURAS!$B$2:$J$91,9,FALSE()),""))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IF(DATOS!$A1464="",0,IF(CONFIG_METADATA!$B$4&lt;&gt;"OR+EX",--(DATOS!$G1464=CONFIG_METADATA!$B$4),IF(DATOS!$G1464="EX",1,IF(DATOS!$G1464="OR",--(COUNTIFS(nNIA,DATOS!$A1464,nCURSO,DATOS!$D1464,nESPEC,DATOS!$E1464,nASIG,DATOS!$I1464,nEVAL,"EX")=0),0))))</f>
      </c>
      <c r="H1464">
        <f>IF(DATOS!$G1464&lt;&gt;"EX",0,--(COUNTIFS(nNIA,DATOS!$A1464,nCURSO,DATOS!$D1464,nESPEC,DATOS!$E1464,nASIG,DATOS!$I1464,nEVAL,"OR")=0))</f>
      </c>
      <c r="I1464">
        <f>IF(DATOS!$I1464="","",IFERROR(VLOOKUP(DATOS!$I1464,CONFIG_ASIGNATURAS!$B$2:$J$91,9,FALSE()),""))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IF(DATOS!$A1465="",0,IF(CONFIG_METADATA!$B$4&lt;&gt;"OR+EX",--(DATOS!$G1465=CONFIG_METADATA!$B$4),IF(DATOS!$G1465="EX",1,IF(DATOS!$G1465="OR",--(COUNTIFS(nNIA,DATOS!$A1465,nCURSO,DATOS!$D1465,nESPEC,DATOS!$E1465,nASIG,DATOS!$I1465,nEVAL,"EX")=0),0))))</f>
      </c>
      <c r="H1465">
        <f>IF(DATOS!$G1465&lt;&gt;"EX",0,--(COUNTIFS(nNIA,DATOS!$A1465,nCURSO,DATOS!$D1465,nESPEC,DATOS!$E1465,nASIG,DATOS!$I1465,nEVAL,"OR")=0))</f>
      </c>
      <c r="I1465">
        <f>IF(DATOS!$I1465="","",IFERROR(VLOOKUP(DATOS!$I1465,CONFIG_ASIGNATURAS!$B$2:$J$91,9,FALSE()),""))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IF(DATOS!$A1466="",0,IF(CONFIG_METADATA!$B$4&lt;&gt;"OR+EX",--(DATOS!$G1466=CONFIG_METADATA!$B$4),IF(DATOS!$G1466="EX",1,IF(DATOS!$G1466="OR",--(COUNTIFS(nNIA,DATOS!$A1466,nCURSO,DATOS!$D1466,nESPEC,DATOS!$E1466,nASIG,DATOS!$I1466,nEVAL,"EX")=0),0))))</f>
      </c>
      <c r="H1466">
        <f>IF(DATOS!$G1466&lt;&gt;"EX",0,--(COUNTIFS(nNIA,DATOS!$A1466,nCURSO,DATOS!$D1466,nESPEC,DATOS!$E1466,nASIG,DATOS!$I1466,nEVAL,"OR")=0))</f>
      </c>
      <c r="I1466">
        <f>IF(DATOS!$I1466="","",IFERROR(VLOOKUP(DATOS!$I1466,CONFIG_ASIGNATURAS!$B$2:$J$91,9,FALSE()),""))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IF(DATOS!$A1467="",0,IF(CONFIG_METADATA!$B$4&lt;&gt;"OR+EX",--(DATOS!$G1467=CONFIG_METADATA!$B$4),IF(DATOS!$G1467="EX",1,IF(DATOS!$G1467="OR",--(COUNTIFS(nNIA,DATOS!$A1467,nCURSO,DATOS!$D1467,nESPEC,DATOS!$E1467,nASIG,DATOS!$I1467,nEVAL,"EX")=0),0))))</f>
      </c>
      <c r="H1467">
        <f>IF(DATOS!$G1467&lt;&gt;"EX",0,--(COUNTIFS(nNIA,DATOS!$A1467,nCURSO,DATOS!$D1467,nESPEC,DATOS!$E1467,nASIG,DATOS!$I1467,nEVAL,"OR")=0))</f>
      </c>
      <c r="I1467">
        <f>IF(DATOS!$I1467="","",IFERROR(VLOOKUP(DATOS!$I1467,CONFIG_ASIGNATURAS!$B$2:$J$91,9,FALSE()),""))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IF(DATOS!$A1468="",0,IF(CONFIG_METADATA!$B$4&lt;&gt;"OR+EX",--(DATOS!$G1468=CONFIG_METADATA!$B$4),IF(DATOS!$G1468="EX",1,IF(DATOS!$G1468="OR",--(COUNTIFS(nNIA,DATOS!$A1468,nCURSO,DATOS!$D1468,nESPEC,DATOS!$E1468,nASIG,DATOS!$I1468,nEVAL,"EX")=0),0))))</f>
      </c>
      <c r="H1468">
        <f>IF(DATOS!$G1468&lt;&gt;"EX",0,--(COUNTIFS(nNIA,DATOS!$A1468,nCURSO,DATOS!$D1468,nESPEC,DATOS!$E1468,nASIG,DATOS!$I1468,nEVAL,"OR")=0))</f>
      </c>
      <c r="I1468">
        <f>IF(DATOS!$I1468="","",IFERROR(VLOOKUP(DATOS!$I1468,CONFIG_ASIGNATURAS!$B$2:$J$91,9,FALSE()),""))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IF(DATOS!$A1469="",0,IF(CONFIG_METADATA!$B$4&lt;&gt;"OR+EX",--(DATOS!$G1469=CONFIG_METADATA!$B$4),IF(DATOS!$G1469="EX",1,IF(DATOS!$G1469="OR",--(COUNTIFS(nNIA,DATOS!$A1469,nCURSO,DATOS!$D1469,nESPEC,DATOS!$E1469,nASIG,DATOS!$I1469,nEVAL,"EX")=0),0))))</f>
      </c>
      <c r="H1469">
        <f>IF(DATOS!$G1469&lt;&gt;"EX",0,--(COUNTIFS(nNIA,DATOS!$A1469,nCURSO,DATOS!$D1469,nESPEC,DATOS!$E1469,nASIG,DATOS!$I1469,nEVAL,"OR")=0))</f>
      </c>
      <c r="I1469">
        <f>IF(DATOS!$I1469="","",IFERROR(VLOOKUP(DATOS!$I1469,CONFIG_ASIGNATURAS!$B$2:$J$91,9,FALSE()),""))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IF(DATOS!$A1470="",0,IF(CONFIG_METADATA!$B$4&lt;&gt;"OR+EX",--(DATOS!$G1470=CONFIG_METADATA!$B$4),IF(DATOS!$G1470="EX",1,IF(DATOS!$G1470="OR",--(COUNTIFS(nNIA,DATOS!$A1470,nCURSO,DATOS!$D1470,nESPEC,DATOS!$E1470,nASIG,DATOS!$I1470,nEVAL,"EX")=0),0))))</f>
      </c>
      <c r="H1470">
        <f>IF(DATOS!$G1470&lt;&gt;"EX",0,--(COUNTIFS(nNIA,DATOS!$A1470,nCURSO,DATOS!$D1470,nESPEC,DATOS!$E1470,nASIG,DATOS!$I1470,nEVAL,"OR")=0))</f>
      </c>
      <c r="I1470">
        <f>IF(DATOS!$I1470="","",IFERROR(VLOOKUP(DATOS!$I1470,CONFIG_ASIGNATURAS!$B$2:$J$91,9,FALSE()),""))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IF(DATOS!$A1471="",0,IF(CONFIG_METADATA!$B$4&lt;&gt;"OR+EX",--(DATOS!$G1471=CONFIG_METADATA!$B$4),IF(DATOS!$G1471="EX",1,IF(DATOS!$G1471="OR",--(COUNTIFS(nNIA,DATOS!$A1471,nCURSO,DATOS!$D1471,nESPEC,DATOS!$E1471,nASIG,DATOS!$I1471,nEVAL,"EX")=0),0))))</f>
      </c>
      <c r="H1471">
        <f>IF(DATOS!$G1471&lt;&gt;"EX",0,--(COUNTIFS(nNIA,DATOS!$A1471,nCURSO,DATOS!$D1471,nESPEC,DATOS!$E1471,nASIG,DATOS!$I1471,nEVAL,"OR")=0))</f>
      </c>
      <c r="I1471">
        <f>IF(DATOS!$I1471="","",IFERROR(VLOOKUP(DATOS!$I1471,CONFIG_ASIGNATURAS!$B$2:$J$91,9,FALSE()),""))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IF(DATOS!$A1472="",0,IF(CONFIG_METADATA!$B$4&lt;&gt;"OR+EX",--(DATOS!$G1472=CONFIG_METADATA!$B$4),IF(DATOS!$G1472="EX",1,IF(DATOS!$G1472="OR",--(COUNTIFS(nNIA,DATOS!$A1472,nCURSO,DATOS!$D1472,nESPEC,DATOS!$E1472,nASIG,DATOS!$I1472,nEVAL,"EX")=0),0))))</f>
      </c>
      <c r="H1472">
        <f>IF(DATOS!$G1472&lt;&gt;"EX",0,--(COUNTIFS(nNIA,DATOS!$A1472,nCURSO,DATOS!$D1472,nESPEC,DATOS!$E1472,nASIG,DATOS!$I1472,nEVAL,"OR")=0))</f>
      </c>
      <c r="I1472">
        <f>IF(DATOS!$I1472="","",IFERROR(VLOOKUP(DATOS!$I1472,CONFIG_ASIGNATURAS!$B$2:$J$91,9,FALSE()),""))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IF(DATOS!$A1473="",0,IF(CONFIG_METADATA!$B$4&lt;&gt;"OR+EX",--(DATOS!$G1473=CONFIG_METADATA!$B$4),IF(DATOS!$G1473="EX",1,IF(DATOS!$G1473="OR",--(COUNTIFS(nNIA,DATOS!$A1473,nCURSO,DATOS!$D1473,nESPEC,DATOS!$E1473,nASIG,DATOS!$I1473,nEVAL,"EX")=0),0))))</f>
      </c>
      <c r="H1473">
        <f>IF(DATOS!$G1473&lt;&gt;"EX",0,--(COUNTIFS(nNIA,DATOS!$A1473,nCURSO,DATOS!$D1473,nESPEC,DATOS!$E1473,nASIG,DATOS!$I1473,nEVAL,"OR")=0))</f>
      </c>
      <c r="I1473">
        <f>IF(DATOS!$I1473="","",IFERROR(VLOOKUP(DATOS!$I1473,CONFIG_ASIGNATURAS!$B$2:$J$91,9,FALSE()),""))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IF(DATOS!$A1474="",0,IF(CONFIG_METADATA!$B$4&lt;&gt;"OR+EX",--(DATOS!$G1474=CONFIG_METADATA!$B$4),IF(DATOS!$G1474="EX",1,IF(DATOS!$G1474="OR",--(COUNTIFS(nNIA,DATOS!$A1474,nCURSO,DATOS!$D1474,nESPEC,DATOS!$E1474,nASIG,DATOS!$I1474,nEVAL,"EX")=0),0))))</f>
      </c>
      <c r="H1474">
        <f>IF(DATOS!$G1474&lt;&gt;"EX",0,--(COUNTIFS(nNIA,DATOS!$A1474,nCURSO,DATOS!$D1474,nESPEC,DATOS!$E1474,nASIG,DATOS!$I1474,nEVAL,"OR")=0))</f>
      </c>
      <c r="I1474">
        <f>IF(DATOS!$I1474="","",IFERROR(VLOOKUP(DATOS!$I1474,CONFIG_ASIGNATURAS!$B$2:$J$91,9,FALSE()),""))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IF(DATOS!$A1475="",0,IF(CONFIG_METADATA!$B$4&lt;&gt;"OR+EX",--(DATOS!$G1475=CONFIG_METADATA!$B$4),IF(DATOS!$G1475="EX",1,IF(DATOS!$G1475="OR",--(COUNTIFS(nNIA,DATOS!$A1475,nCURSO,DATOS!$D1475,nESPEC,DATOS!$E1475,nASIG,DATOS!$I1475,nEVAL,"EX")=0),0))))</f>
      </c>
      <c r="H1475">
        <f>IF(DATOS!$G1475&lt;&gt;"EX",0,--(COUNTIFS(nNIA,DATOS!$A1475,nCURSO,DATOS!$D1475,nESPEC,DATOS!$E1475,nASIG,DATOS!$I1475,nEVAL,"OR")=0))</f>
      </c>
      <c r="I1475">
        <f>IF(DATOS!$I1475="","",IFERROR(VLOOKUP(DATOS!$I1475,CONFIG_ASIGNATURAS!$B$2:$J$91,9,FALSE()),""))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IF(DATOS!$A1476="",0,IF(CONFIG_METADATA!$B$4&lt;&gt;"OR+EX",--(DATOS!$G1476=CONFIG_METADATA!$B$4),IF(DATOS!$G1476="EX",1,IF(DATOS!$G1476="OR",--(COUNTIFS(nNIA,DATOS!$A1476,nCURSO,DATOS!$D1476,nESPEC,DATOS!$E1476,nASIG,DATOS!$I1476,nEVAL,"EX")=0),0))))</f>
      </c>
      <c r="H1476">
        <f>IF(DATOS!$G1476&lt;&gt;"EX",0,--(COUNTIFS(nNIA,DATOS!$A1476,nCURSO,DATOS!$D1476,nESPEC,DATOS!$E1476,nASIG,DATOS!$I1476,nEVAL,"OR")=0))</f>
      </c>
      <c r="I1476">
        <f>IF(DATOS!$I1476="","",IFERROR(VLOOKUP(DATOS!$I1476,CONFIG_ASIGNATURAS!$B$2:$J$91,9,FALSE()),""))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IF(DATOS!$A1477="",0,IF(CONFIG_METADATA!$B$4&lt;&gt;"OR+EX",--(DATOS!$G1477=CONFIG_METADATA!$B$4),IF(DATOS!$G1477="EX",1,IF(DATOS!$G1477="OR",--(COUNTIFS(nNIA,DATOS!$A1477,nCURSO,DATOS!$D1477,nESPEC,DATOS!$E1477,nASIG,DATOS!$I1477,nEVAL,"EX")=0),0))))</f>
      </c>
      <c r="H1477">
        <f>IF(DATOS!$G1477&lt;&gt;"EX",0,--(COUNTIFS(nNIA,DATOS!$A1477,nCURSO,DATOS!$D1477,nESPEC,DATOS!$E1477,nASIG,DATOS!$I1477,nEVAL,"OR")=0))</f>
      </c>
      <c r="I1477">
        <f>IF(DATOS!$I1477="","",IFERROR(VLOOKUP(DATOS!$I1477,CONFIG_ASIGNATURAS!$B$2:$J$91,9,FALSE()),""))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IF(DATOS!$A1478="",0,IF(CONFIG_METADATA!$B$4&lt;&gt;"OR+EX",--(DATOS!$G1478=CONFIG_METADATA!$B$4),IF(DATOS!$G1478="EX",1,IF(DATOS!$G1478="OR",--(COUNTIFS(nNIA,DATOS!$A1478,nCURSO,DATOS!$D1478,nESPEC,DATOS!$E1478,nASIG,DATOS!$I1478,nEVAL,"EX")=0),0))))</f>
      </c>
      <c r="H1478">
        <f>IF(DATOS!$G1478&lt;&gt;"EX",0,--(COUNTIFS(nNIA,DATOS!$A1478,nCURSO,DATOS!$D1478,nESPEC,DATOS!$E1478,nASIG,DATOS!$I1478,nEVAL,"OR")=0))</f>
      </c>
      <c r="I1478">
        <f>IF(DATOS!$I1478="","",IFERROR(VLOOKUP(DATOS!$I1478,CONFIG_ASIGNATURAS!$B$2:$J$91,9,FALSE()),""))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IF(DATOS!$A1479="",0,IF(CONFIG_METADATA!$B$4&lt;&gt;"OR+EX",--(DATOS!$G1479=CONFIG_METADATA!$B$4),IF(DATOS!$G1479="EX",1,IF(DATOS!$G1479="OR",--(COUNTIFS(nNIA,DATOS!$A1479,nCURSO,DATOS!$D1479,nESPEC,DATOS!$E1479,nASIG,DATOS!$I1479,nEVAL,"EX")=0),0))))</f>
      </c>
      <c r="H1479">
        <f>IF(DATOS!$G1479&lt;&gt;"EX",0,--(COUNTIFS(nNIA,DATOS!$A1479,nCURSO,DATOS!$D1479,nESPEC,DATOS!$E1479,nASIG,DATOS!$I1479,nEVAL,"OR")=0))</f>
      </c>
      <c r="I1479">
        <f>IF(DATOS!$I1479="","",IFERROR(VLOOKUP(DATOS!$I1479,CONFIG_ASIGNATURAS!$B$2:$J$91,9,FALSE()),""))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IF(DATOS!$A1480="",0,IF(CONFIG_METADATA!$B$4&lt;&gt;"OR+EX",--(DATOS!$G1480=CONFIG_METADATA!$B$4),IF(DATOS!$G1480="EX",1,IF(DATOS!$G1480="OR",--(COUNTIFS(nNIA,DATOS!$A1480,nCURSO,DATOS!$D1480,nESPEC,DATOS!$E1480,nASIG,DATOS!$I1480,nEVAL,"EX")=0),0))))</f>
      </c>
      <c r="H1480">
        <f>IF(DATOS!$G1480&lt;&gt;"EX",0,--(COUNTIFS(nNIA,DATOS!$A1480,nCURSO,DATOS!$D1480,nESPEC,DATOS!$E1480,nASIG,DATOS!$I1480,nEVAL,"OR")=0))</f>
      </c>
      <c r="I1480">
        <f>IF(DATOS!$I1480="","",IFERROR(VLOOKUP(DATOS!$I1480,CONFIG_ASIGNATURAS!$B$2:$J$91,9,FALSE()),""))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IF(DATOS!$A1481="",0,IF(CONFIG_METADATA!$B$4&lt;&gt;"OR+EX",--(DATOS!$G1481=CONFIG_METADATA!$B$4),IF(DATOS!$G1481="EX",1,IF(DATOS!$G1481="OR",--(COUNTIFS(nNIA,DATOS!$A1481,nCURSO,DATOS!$D1481,nESPEC,DATOS!$E1481,nASIG,DATOS!$I1481,nEVAL,"EX")=0),0))))</f>
      </c>
      <c r="H1481">
        <f>IF(DATOS!$G1481&lt;&gt;"EX",0,--(COUNTIFS(nNIA,DATOS!$A1481,nCURSO,DATOS!$D1481,nESPEC,DATOS!$E1481,nASIG,DATOS!$I1481,nEVAL,"OR")=0))</f>
      </c>
      <c r="I1481">
        <f>IF(DATOS!$I1481="","",IFERROR(VLOOKUP(DATOS!$I1481,CONFIG_ASIGNATURAS!$B$2:$J$91,9,FALSE()),""))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IF(DATOS!$A1482="",0,IF(CONFIG_METADATA!$B$4&lt;&gt;"OR+EX",--(DATOS!$G1482=CONFIG_METADATA!$B$4),IF(DATOS!$G1482="EX",1,IF(DATOS!$G1482="OR",--(COUNTIFS(nNIA,DATOS!$A1482,nCURSO,DATOS!$D1482,nESPEC,DATOS!$E1482,nASIG,DATOS!$I1482,nEVAL,"EX")=0),0))))</f>
      </c>
      <c r="H1482">
        <f>IF(DATOS!$G1482&lt;&gt;"EX",0,--(COUNTIFS(nNIA,DATOS!$A1482,nCURSO,DATOS!$D1482,nESPEC,DATOS!$E1482,nASIG,DATOS!$I1482,nEVAL,"OR")=0))</f>
      </c>
      <c r="I1482">
        <f>IF(DATOS!$I1482="","",IFERROR(VLOOKUP(DATOS!$I1482,CONFIG_ASIGNATURAS!$B$2:$J$91,9,FALSE()),""))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IF(DATOS!$A1483="",0,IF(CONFIG_METADATA!$B$4&lt;&gt;"OR+EX",--(DATOS!$G1483=CONFIG_METADATA!$B$4),IF(DATOS!$G1483="EX",1,IF(DATOS!$G1483="OR",--(COUNTIFS(nNIA,DATOS!$A1483,nCURSO,DATOS!$D1483,nESPEC,DATOS!$E1483,nASIG,DATOS!$I1483,nEVAL,"EX")=0),0))))</f>
      </c>
      <c r="H1483">
        <f>IF(DATOS!$G1483&lt;&gt;"EX",0,--(COUNTIFS(nNIA,DATOS!$A1483,nCURSO,DATOS!$D1483,nESPEC,DATOS!$E1483,nASIG,DATOS!$I1483,nEVAL,"OR")=0))</f>
      </c>
      <c r="I1483">
        <f>IF(DATOS!$I1483="","",IFERROR(VLOOKUP(DATOS!$I1483,CONFIG_ASIGNATURAS!$B$2:$J$91,9,FALSE()),""))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IF(DATOS!$A1484="",0,IF(CONFIG_METADATA!$B$4&lt;&gt;"OR+EX",--(DATOS!$G1484=CONFIG_METADATA!$B$4),IF(DATOS!$G1484="EX",1,IF(DATOS!$G1484="OR",--(COUNTIFS(nNIA,DATOS!$A1484,nCURSO,DATOS!$D1484,nESPEC,DATOS!$E1484,nASIG,DATOS!$I1484,nEVAL,"EX")=0),0))))</f>
      </c>
      <c r="H1484">
        <f>IF(DATOS!$G1484&lt;&gt;"EX",0,--(COUNTIFS(nNIA,DATOS!$A1484,nCURSO,DATOS!$D1484,nESPEC,DATOS!$E1484,nASIG,DATOS!$I1484,nEVAL,"OR")=0))</f>
      </c>
      <c r="I1484">
        <f>IF(DATOS!$I1484="","",IFERROR(VLOOKUP(DATOS!$I1484,CONFIG_ASIGNATURAS!$B$2:$J$91,9,FALSE()),""))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IF(DATOS!$A1485="",0,IF(CONFIG_METADATA!$B$4&lt;&gt;"OR+EX",--(DATOS!$G1485=CONFIG_METADATA!$B$4),IF(DATOS!$G1485="EX",1,IF(DATOS!$G1485="OR",--(COUNTIFS(nNIA,DATOS!$A1485,nCURSO,DATOS!$D1485,nESPEC,DATOS!$E1485,nASIG,DATOS!$I1485,nEVAL,"EX")=0),0))))</f>
      </c>
      <c r="H1485">
        <f>IF(DATOS!$G1485&lt;&gt;"EX",0,--(COUNTIFS(nNIA,DATOS!$A1485,nCURSO,DATOS!$D1485,nESPEC,DATOS!$E1485,nASIG,DATOS!$I1485,nEVAL,"OR")=0))</f>
      </c>
      <c r="I1485">
        <f>IF(DATOS!$I1485="","",IFERROR(VLOOKUP(DATOS!$I1485,CONFIG_ASIGNATURAS!$B$2:$J$91,9,FALSE()),""))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IF(DATOS!$A1486="",0,IF(CONFIG_METADATA!$B$4&lt;&gt;"OR+EX",--(DATOS!$G1486=CONFIG_METADATA!$B$4),IF(DATOS!$G1486="EX",1,IF(DATOS!$G1486="OR",--(COUNTIFS(nNIA,DATOS!$A1486,nCURSO,DATOS!$D1486,nESPEC,DATOS!$E1486,nASIG,DATOS!$I1486,nEVAL,"EX")=0),0))))</f>
      </c>
      <c r="H1486">
        <f>IF(DATOS!$G1486&lt;&gt;"EX",0,--(COUNTIFS(nNIA,DATOS!$A1486,nCURSO,DATOS!$D1486,nESPEC,DATOS!$E1486,nASIG,DATOS!$I1486,nEVAL,"OR")=0))</f>
      </c>
      <c r="I1486">
        <f>IF(DATOS!$I1486="","",IFERROR(VLOOKUP(DATOS!$I1486,CONFIG_ASIGNATURAS!$B$2:$J$91,9,FALSE()),""))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IF(DATOS!$A1487="",0,IF(CONFIG_METADATA!$B$4&lt;&gt;"OR+EX",--(DATOS!$G1487=CONFIG_METADATA!$B$4),IF(DATOS!$G1487="EX",1,IF(DATOS!$G1487="OR",--(COUNTIFS(nNIA,DATOS!$A1487,nCURSO,DATOS!$D1487,nESPEC,DATOS!$E1487,nASIG,DATOS!$I1487,nEVAL,"EX")=0),0))))</f>
      </c>
      <c r="H1487">
        <f>IF(DATOS!$G1487&lt;&gt;"EX",0,--(COUNTIFS(nNIA,DATOS!$A1487,nCURSO,DATOS!$D1487,nESPEC,DATOS!$E1487,nASIG,DATOS!$I1487,nEVAL,"OR")=0))</f>
      </c>
      <c r="I1487">
        <f>IF(DATOS!$I1487="","",IFERROR(VLOOKUP(DATOS!$I1487,CONFIG_ASIGNATURAS!$B$2:$J$91,9,FALSE()),""))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IF(DATOS!$A1488="",0,IF(CONFIG_METADATA!$B$4&lt;&gt;"OR+EX",--(DATOS!$G1488=CONFIG_METADATA!$B$4),IF(DATOS!$G1488="EX",1,IF(DATOS!$G1488="OR",--(COUNTIFS(nNIA,DATOS!$A1488,nCURSO,DATOS!$D1488,nESPEC,DATOS!$E1488,nASIG,DATOS!$I1488,nEVAL,"EX")=0),0))))</f>
      </c>
      <c r="H1488">
        <f>IF(DATOS!$G1488&lt;&gt;"EX",0,--(COUNTIFS(nNIA,DATOS!$A1488,nCURSO,DATOS!$D1488,nESPEC,DATOS!$E1488,nASIG,DATOS!$I1488,nEVAL,"OR")=0))</f>
      </c>
      <c r="I1488">
        <f>IF(DATOS!$I1488="","",IFERROR(VLOOKUP(DATOS!$I1488,CONFIG_ASIGNATURAS!$B$2:$J$91,9,FALSE()),""))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IF(DATOS!$A1489="",0,IF(CONFIG_METADATA!$B$4&lt;&gt;"OR+EX",--(DATOS!$G1489=CONFIG_METADATA!$B$4),IF(DATOS!$G1489="EX",1,IF(DATOS!$G1489="OR",--(COUNTIFS(nNIA,DATOS!$A1489,nCURSO,DATOS!$D1489,nESPEC,DATOS!$E1489,nASIG,DATOS!$I1489,nEVAL,"EX")=0),0))))</f>
      </c>
      <c r="H1489">
        <f>IF(DATOS!$G1489&lt;&gt;"EX",0,--(COUNTIFS(nNIA,DATOS!$A1489,nCURSO,DATOS!$D1489,nESPEC,DATOS!$E1489,nASIG,DATOS!$I1489,nEVAL,"OR")=0))</f>
      </c>
      <c r="I1489">
        <f>IF(DATOS!$I1489="","",IFERROR(VLOOKUP(DATOS!$I1489,CONFIG_ASIGNATURAS!$B$2:$J$91,9,FALSE()),""))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IF(DATOS!$A1490="",0,IF(CONFIG_METADATA!$B$4&lt;&gt;"OR+EX",--(DATOS!$G1490=CONFIG_METADATA!$B$4),IF(DATOS!$G1490="EX",1,IF(DATOS!$G1490="OR",--(COUNTIFS(nNIA,DATOS!$A1490,nCURSO,DATOS!$D1490,nESPEC,DATOS!$E1490,nASIG,DATOS!$I1490,nEVAL,"EX")=0),0))))</f>
      </c>
      <c r="H1490">
        <f>IF(DATOS!$G1490&lt;&gt;"EX",0,--(COUNTIFS(nNIA,DATOS!$A1490,nCURSO,DATOS!$D1490,nESPEC,DATOS!$E1490,nASIG,DATOS!$I1490,nEVAL,"OR")=0))</f>
      </c>
      <c r="I1490">
        <f>IF(DATOS!$I1490="","",IFERROR(VLOOKUP(DATOS!$I1490,CONFIG_ASIGNATURAS!$B$2:$J$91,9,FALSE()),""))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IF(DATOS!$A1491="",0,IF(CONFIG_METADATA!$B$4&lt;&gt;"OR+EX",--(DATOS!$G1491=CONFIG_METADATA!$B$4),IF(DATOS!$G1491="EX",1,IF(DATOS!$G1491="OR",--(COUNTIFS(nNIA,DATOS!$A1491,nCURSO,DATOS!$D1491,nESPEC,DATOS!$E1491,nASIG,DATOS!$I1491,nEVAL,"EX")=0),0))))</f>
      </c>
      <c r="H1491">
        <f>IF(DATOS!$G1491&lt;&gt;"EX",0,--(COUNTIFS(nNIA,DATOS!$A1491,nCURSO,DATOS!$D1491,nESPEC,DATOS!$E1491,nASIG,DATOS!$I1491,nEVAL,"OR")=0))</f>
      </c>
      <c r="I1491">
        <f>IF(DATOS!$I1491="","",IFERROR(VLOOKUP(DATOS!$I1491,CONFIG_ASIGNATURAS!$B$2:$J$91,9,FALSE()),""))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IF(DATOS!$A1492="",0,IF(CONFIG_METADATA!$B$4&lt;&gt;"OR+EX",--(DATOS!$G1492=CONFIG_METADATA!$B$4),IF(DATOS!$G1492="EX",1,IF(DATOS!$G1492="OR",--(COUNTIFS(nNIA,DATOS!$A1492,nCURSO,DATOS!$D1492,nESPEC,DATOS!$E1492,nASIG,DATOS!$I1492,nEVAL,"EX")=0),0))))</f>
      </c>
      <c r="H1492">
        <f>IF(DATOS!$G1492&lt;&gt;"EX",0,--(COUNTIFS(nNIA,DATOS!$A1492,nCURSO,DATOS!$D1492,nESPEC,DATOS!$E1492,nASIG,DATOS!$I1492,nEVAL,"OR")=0))</f>
      </c>
      <c r="I1492">
        <f>IF(DATOS!$I1492="","",IFERROR(VLOOKUP(DATOS!$I1492,CONFIG_ASIGNATURAS!$B$2:$J$91,9,FALSE()),""))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IF(DATOS!$A1493="",0,IF(CONFIG_METADATA!$B$4&lt;&gt;"OR+EX",--(DATOS!$G1493=CONFIG_METADATA!$B$4),IF(DATOS!$G1493="EX",1,IF(DATOS!$G1493="OR",--(COUNTIFS(nNIA,DATOS!$A1493,nCURSO,DATOS!$D1493,nESPEC,DATOS!$E1493,nASIG,DATOS!$I1493,nEVAL,"EX")=0),0))))</f>
      </c>
      <c r="H1493">
        <f>IF(DATOS!$G1493&lt;&gt;"EX",0,--(COUNTIFS(nNIA,DATOS!$A1493,nCURSO,DATOS!$D1493,nESPEC,DATOS!$E1493,nASIG,DATOS!$I1493,nEVAL,"OR")=0))</f>
      </c>
      <c r="I1493">
        <f>IF(DATOS!$I1493="","",IFERROR(VLOOKUP(DATOS!$I1493,CONFIG_ASIGNATURAS!$B$2:$J$91,9,FALSE()),""))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IF(DATOS!$A1494="",0,IF(CONFIG_METADATA!$B$4&lt;&gt;"OR+EX",--(DATOS!$G1494=CONFIG_METADATA!$B$4),IF(DATOS!$G1494="EX",1,IF(DATOS!$G1494="OR",--(COUNTIFS(nNIA,DATOS!$A1494,nCURSO,DATOS!$D1494,nESPEC,DATOS!$E1494,nASIG,DATOS!$I1494,nEVAL,"EX")=0),0))))</f>
      </c>
      <c r="H1494">
        <f>IF(DATOS!$G1494&lt;&gt;"EX",0,--(COUNTIFS(nNIA,DATOS!$A1494,nCURSO,DATOS!$D1494,nESPEC,DATOS!$E1494,nASIG,DATOS!$I1494,nEVAL,"OR")=0))</f>
      </c>
      <c r="I1494">
        <f>IF(DATOS!$I1494="","",IFERROR(VLOOKUP(DATOS!$I1494,CONFIG_ASIGNATURAS!$B$2:$J$91,9,FALSE()),""))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IF(DATOS!$A1495="",0,IF(CONFIG_METADATA!$B$4&lt;&gt;"OR+EX",--(DATOS!$G1495=CONFIG_METADATA!$B$4),IF(DATOS!$G1495="EX",1,IF(DATOS!$G1495="OR",--(COUNTIFS(nNIA,DATOS!$A1495,nCURSO,DATOS!$D1495,nESPEC,DATOS!$E1495,nASIG,DATOS!$I1495,nEVAL,"EX")=0),0))))</f>
      </c>
      <c r="H1495">
        <f>IF(DATOS!$G1495&lt;&gt;"EX",0,--(COUNTIFS(nNIA,DATOS!$A1495,nCURSO,DATOS!$D1495,nESPEC,DATOS!$E1495,nASIG,DATOS!$I1495,nEVAL,"OR")=0))</f>
      </c>
      <c r="I1495">
        <f>IF(DATOS!$I1495="","",IFERROR(VLOOKUP(DATOS!$I1495,CONFIG_ASIGNATURAS!$B$2:$J$91,9,FALSE()),""))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IF(DATOS!$A1496="",0,IF(CONFIG_METADATA!$B$4&lt;&gt;"OR+EX",--(DATOS!$G1496=CONFIG_METADATA!$B$4),IF(DATOS!$G1496="EX",1,IF(DATOS!$G1496="OR",--(COUNTIFS(nNIA,DATOS!$A1496,nCURSO,DATOS!$D1496,nESPEC,DATOS!$E1496,nASIG,DATOS!$I1496,nEVAL,"EX")=0),0))))</f>
      </c>
      <c r="H1496">
        <f>IF(DATOS!$G1496&lt;&gt;"EX",0,--(COUNTIFS(nNIA,DATOS!$A1496,nCURSO,DATOS!$D1496,nESPEC,DATOS!$E1496,nASIG,DATOS!$I1496,nEVAL,"OR")=0))</f>
      </c>
      <c r="I1496">
        <f>IF(DATOS!$I1496="","",IFERROR(VLOOKUP(DATOS!$I1496,CONFIG_ASIGNATURAS!$B$2:$J$91,9,FALSE()),""))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IF(DATOS!$A1497="",0,IF(CONFIG_METADATA!$B$4&lt;&gt;"OR+EX",--(DATOS!$G1497=CONFIG_METADATA!$B$4),IF(DATOS!$G1497="EX",1,IF(DATOS!$G1497="OR",--(COUNTIFS(nNIA,DATOS!$A1497,nCURSO,DATOS!$D1497,nESPEC,DATOS!$E1497,nASIG,DATOS!$I1497,nEVAL,"EX")=0),0))))</f>
      </c>
      <c r="H1497">
        <f>IF(DATOS!$G1497&lt;&gt;"EX",0,--(COUNTIFS(nNIA,DATOS!$A1497,nCURSO,DATOS!$D1497,nESPEC,DATOS!$E1497,nASIG,DATOS!$I1497,nEVAL,"OR")=0))</f>
      </c>
      <c r="I1497">
        <f>IF(DATOS!$I1497="","",IFERROR(VLOOKUP(DATOS!$I1497,CONFIG_ASIGNATURAS!$B$2:$J$91,9,FALSE()),""))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IF(DATOS!$A1498="",0,IF(CONFIG_METADATA!$B$4&lt;&gt;"OR+EX",--(DATOS!$G1498=CONFIG_METADATA!$B$4),IF(DATOS!$G1498="EX",1,IF(DATOS!$G1498="OR",--(COUNTIFS(nNIA,DATOS!$A1498,nCURSO,DATOS!$D1498,nESPEC,DATOS!$E1498,nASIG,DATOS!$I1498,nEVAL,"EX")=0),0))))</f>
      </c>
      <c r="H1498">
        <f>IF(DATOS!$G1498&lt;&gt;"EX",0,--(COUNTIFS(nNIA,DATOS!$A1498,nCURSO,DATOS!$D1498,nESPEC,DATOS!$E1498,nASIG,DATOS!$I1498,nEVAL,"OR")=0))</f>
      </c>
      <c r="I1498">
        <f>IF(DATOS!$I1498="","",IFERROR(VLOOKUP(DATOS!$I1498,CONFIG_ASIGNATURAS!$B$2:$J$91,9,FALSE()),""))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IF(DATOS!$A1499="",0,IF(CONFIG_METADATA!$B$4&lt;&gt;"OR+EX",--(DATOS!$G1499=CONFIG_METADATA!$B$4),IF(DATOS!$G1499="EX",1,IF(DATOS!$G1499="OR",--(COUNTIFS(nNIA,DATOS!$A1499,nCURSO,DATOS!$D1499,nESPEC,DATOS!$E1499,nASIG,DATOS!$I1499,nEVAL,"EX")=0),0))))</f>
      </c>
      <c r="H1499">
        <f>IF(DATOS!$G1499&lt;&gt;"EX",0,--(COUNTIFS(nNIA,DATOS!$A1499,nCURSO,DATOS!$D1499,nESPEC,DATOS!$E1499,nASIG,DATOS!$I1499,nEVAL,"OR")=0))</f>
      </c>
      <c r="I1499">
        <f>IF(DATOS!$I1499="","",IFERROR(VLOOKUP(DATOS!$I1499,CONFIG_ASIGNATURAS!$B$2:$J$91,9,FALSE()),""))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IF(DATOS!$A1500="",0,IF(CONFIG_METADATA!$B$4&lt;&gt;"OR+EX",--(DATOS!$G1500=CONFIG_METADATA!$B$4),IF(DATOS!$G1500="EX",1,IF(DATOS!$G1500="OR",--(COUNTIFS(nNIA,DATOS!$A1500,nCURSO,DATOS!$D1500,nESPEC,DATOS!$E1500,nASIG,DATOS!$I1500,nEVAL,"EX")=0),0))))</f>
      </c>
      <c r="H1500">
        <f>IF(DATOS!$G1500&lt;&gt;"EX",0,--(COUNTIFS(nNIA,DATOS!$A1500,nCURSO,DATOS!$D1500,nESPEC,DATOS!$E1500,nASIG,DATOS!$I1500,nEVAL,"OR")=0))</f>
      </c>
      <c r="I1500">
        <f>IF(DATOS!$I1500="","",IFERROR(VLOOKUP(DATOS!$I1500,CONFIG_ASIGNATURAS!$B$2:$J$91,9,FALSE()),""))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IF(DATOS!$A1501="",0,IF(CONFIG_METADATA!$B$4&lt;&gt;"OR+EX",--(DATOS!$G1501=CONFIG_METADATA!$B$4),IF(DATOS!$G1501="EX",1,IF(DATOS!$G1501="OR",--(COUNTIFS(nNIA,DATOS!$A1501,nCURSO,DATOS!$D1501,nESPEC,DATOS!$E1501,nASIG,DATOS!$I1501,nEVAL,"EX")=0),0))))</f>
      </c>
      <c r="H1501">
        <f>IF(DATOS!$G1501&lt;&gt;"EX",0,--(COUNTIFS(nNIA,DATOS!$A1501,nCURSO,DATOS!$D1501,nESPEC,DATOS!$E1501,nASIG,DATOS!$I1501,nEVAL,"OR")=0))</f>
      </c>
      <c r="I1501">
        <f>IF(DATOS!$I1501="","",IFERROR(VLOOKUP(DATOS!$I1501,CONFIG_ASIGNATURAS!$B$2:$J$91,9,FALSE()),""))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IF(DATOS!$A1502="",0,IF(CONFIG_METADATA!$B$4&lt;&gt;"OR+EX",--(DATOS!$G1502=CONFIG_METADATA!$B$4),IF(DATOS!$G1502="EX",1,IF(DATOS!$G1502="OR",--(COUNTIFS(nNIA,DATOS!$A1502,nCURSO,DATOS!$D1502,nESPEC,DATOS!$E1502,nASIG,DATOS!$I1502,nEVAL,"EX")=0),0))))</f>
      </c>
      <c r="H1502">
        <f>IF(DATOS!$G1502&lt;&gt;"EX",0,--(COUNTIFS(nNIA,DATOS!$A1502,nCURSO,DATOS!$D1502,nESPEC,DATOS!$E1502,nASIG,DATOS!$I1502,nEVAL,"OR")=0))</f>
      </c>
      <c r="I1502">
        <f>IF(DATOS!$I1502="","",IFERROR(VLOOKUP(DATOS!$I1502,CONFIG_ASIGNATURAS!$B$2:$J$91,9,FALSE()),""))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IF(DATOS!$A1503="",0,IF(CONFIG_METADATA!$B$4&lt;&gt;"OR+EX",--(DATOS!$G1503=CONFIG_METADATA!$B$4),IF(DATOS!$G1503="EX",1,IF(DATOS!$G1503="OR",--(COUNTIFS(nNIA,DATOS!$A1503,nCURSO,DATOS!$D1503,nESPEC,DATOS!$E1503,nASIG,DATOS!$I1503,nEVAL,"EX")=0),0))))</f>
      </c>
      <c r="H1503">
        <f>IF(DATOS!$G1503&lt;&gt;"EX",0,--(COUNTIFS(nNIA,DATOS!$A1503,nCURSO,DATOS!$D1503,nESPEC,DATOS!$E1503,nASIG,DATOS!$I1503,nEVAL,"OR")=0))</f>
      </c>
      <c r="I1503">
        <f>IF(DATOS!$I1503="","",IFERROR(VLOOKUP(DATOS!$I1503,CONFIG_ASIGNATURAS!$B$2:$J$91,9,FALSE()),""))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IF(DATOS!$A1504="",0,IF(CONFIG_METADATA!$B$4&lt;&gt;"OR+EX",--(DATOS!$G1504=CONFIG_METADATA!$B$4),IF(DATOS!$G1504="EX",1,IF(DATOS!$G1504="OR",--(COUNTIFS(nNIA,DATOS!$A1504,nCURSO,DATOS!$D1504,nESPEC,DATOS!$E1504,nASIG,DATOS!$I1504,nEVAL,"EX")=0),0))))</f>
      </c>
      <c r="H1504">
        <f>IF(DATOS!$G1504&lt;&gt;"EX",0,--(COUNTIFS(nNIA,DATOS!$A1504,nCURSO,DATOS!$D1504,nESPEC,DATOS!$E1504,nASIG,DATOS!$I1504,nEVAL,"OR")=0))</f>
      </c>
      <c r="I1504">
        <f>IF(DATOS!$I1504="","",IFERROR(VLOOKUP(DATOS!$I1504,CONFIG_ASIGNATURAS!$B$2:$J$91,9,FALSE()),""))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IF(DATOS!$A1505="",0,IF(CONFIG_METADATA!$B$4&lt;&gt;"OR+EX",--(DATOS!$G1505=CONFIG_METADATA!$B$4),IF(DATOS!$G1505="EX",1,IF(DATOS!$G1505="OR",--(COUNTIFS(nNIA,DATOS!$A1505,nCURSO,DATOS!$D1505,nESPEC,DATOS!$E1505,nASIG,DATOS!$I1505,nEVAL,"EX")=0),0))))</f>
      </c>
      <c r="H1505">
        <f>IF(DATOS!$G1505&lt;&gt;"EX",0,--(COUNTIFS(nNIA,DATOS!$A1505,nCURSO,DATOS!$D1505,nESPEC,DATOS!$E1505,nASIG,DATOS!$I1505,nEVAL,"OR")=0))</f>
      </c>
      <c r="I1505">
        <f>IF(DATOS!$I1505="","",IFERROR(VLOOKUP(DATOS!$I1505,CONFIG_ASIGNATURAS!$B$2:$J$91,9,FALSE()),""))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IF(DATOS!$A1506="",0,IF(CONFIG_METADATA!$B$4&lt;&gt;"OR+EX",--(DATOS!$G1506=CONFIG_METADATA!$B$4),IF(DATOS!$G1506="EX",1,IF(DATOS!$G1506="OR",--(COUNTIFS(nNIA,DATOS!$A1506,nCURSO,DATOS!$D1506,nESPEC,DATOS!$E1506,nASIG,DATOS!$I1506,nEVAL,"EX")=0),0))))</f>
      </c>
      <c r="H1506">
        <f>IF(DATOS!$G1506&lt;&gt;"EX",0,--(COUNTIFS(nNIA,DATOS!$A1506,nCURSO,DATOS!$D1506,nESPEC,DATOS!$E1506,nASIG,DATOS!$I1506,nEVAL,"OR")=0))</f>
      </c>
      <c r="I1506">
        <f>IF(DATOS!$I1506="","",IFERROR(VLOOKUP(DATOS!$I1506,CONFIG_ASIGNATURAS!$B$2:$J$91,9,FALSE()),""))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IF(DATOS!$A1507="",0,IF(CONFIG_METADATA!$B$4&lt;&gt;"OR+EX",--(DATOS!$G1507=CONFIG_METADATA!$B$4),IF(DATOS!$G1507="EX",1,IF(DATOS!$G1507="OR",--(COUNTIFS(nNIA,DATOS!$A1507,nCURSO,DATOS!$D1507,nESPEC,DATOS!$E1507,nASIG,DATOS!$I1507,nEVAL,"EX")=0),0))))</f>
      </c>
      <c r="H1507">
        <f>IF(DATOS!$G1507&lt;&gt;"EX",0,--(COUNTIFS(nNIA,DATOS!$A1507,nCURSO,DATOS!$D1507,nESPEC,DATOS!$E1507,nASIG,DATOS!$I1507,nEVAL,"OR")=0))</f>
      </c>
      <c r="I1507">
        <f>IF(DATOS!$I1507="","",IFERROR(VLOOKUP(DATOS!$I1507,CONFIG_ASIGNATURAS!$B$2:$J$91,9,FALSE()),""))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IF(DATOS!$A1508="",0,IF(CONFIG_METADATA!$B$4&lt;&gt;"OR+EX",--(DATOS!$G1508=CONFIG_METADATA!$B$4),IF(DATOS!$G1508="EX",1,IF(DATOS!$G1508="OR",--(COUNTIFS(nNIA,DATOS!$A1508,nCURSO,DATOS!$D1508,nESPEC,DATOS!$E1508,nASIG,DATOS!$I1508,nEVAL,"EX")=0),0))))</f>
      </c>
      <c r="H1508">
        <f>IF(DATOS!$G1508&lt;&gt;"EX",0,--(COUNTIFS(nNIA,DATOS!$A1508,nCURSO,DATOS!$D1508,nESPEC,DATOS!$E1508,nASIG,DATOS!$I1508,nEVAL,"OR")=0))</f>
      </c>
      <c r="I1508">
        <f>IF(DATOS!$I1508="","",IFERROR(VLOOKUP(DATOS!$I1508,CONFIG_ASIGNATURAS!$B$2:$J$91,9,FALSE()),""))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IF(DATOS!$A1509="",0,IF(CONFIG_METADATA!$B$4&lt;&gt;"OR+EX",--(DATOS!$G1509=CONFIG_METADATA!$B$4),IF(DATOS!$G1509="EX",1,IF(DATOS!$G1509="OR",--(COUNTIFS(nNIA,DATOS!$A1509,nCURSO,DATOS!$D1509,nESPEC,DATOS!$E1509,nASIG,DATOS!$I1509,nEVAL,"EX")=0),0))))</f>
      </c>
      <c r="H1509">
        <f>IF(DATOS!$G1509&lt;&gt;"EX",0,--(COUNTIFS(nNIA,DATOS!$A1509,nCURSO,DATOS!$D1509,nESPEC,DATOS!$E1509,nASIG,DATOS!$I1509,nEVAL,"OR")=0))</f>
      </c>
      <c r="I1509">
        <f>IF(DATOS!$I1509="","",IFERROR(VLOOKUP(DATOS!$I1509,CONFIG_ASIGNATURAS!$B$2:$J$91,9,FALSE()),""))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IF(DATOS!$A1510="",0,IF(CONFIG_METADATA!$B$4&lt;&gt;"OR+EX",--(DATOS!$G1510=CONFIG_METADATA!$B$4),IF(DATOS!$G1510="EX",1,IF(DATOS!$G1510="OR",--(COUNTIFS(nNIA,DATOS!$A1510,nCURSO,DATOS!$D1510,nESPEC,DATOS!$E1510,nASIG,DATOS!$I1510,nEVAL,"EX")=0),0))))</f>
      </c>
      <c r="H1510">
        <f>IF(DATOS!$G1510&lt;&gt;"EX",0,--(COUNTIFS(nNIA,DATOS!$A1510,nCURSO,DATOS!$D1510,nESPEC,DATOS!$E1510,nASIG,DATOS!$I1510,nEVAL,"OR")=0))</f>
      </c>
      <c r="I1510">
        <f>IF(DATOS!$I1510="","",IFERROR(VLOOKUP(DATOS!$I1510,CONFIG_ASIGNATURAS!$B$2:$J$91,9,FALSE()),""))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IF(DATOS!$A1511="",0,IF(CONFIG_METADATA!$B$4&lt;&gt;"OR+EX",--(DATOS!$G1511=CONFIG_METADATA!$B$4),IF(DATOS!$G1511="EX",1,IF(DATOS!$G1511="OR",--(COUNTIFS(nNIA,DATOS!$A1511,nCURSO,DATOS!$D1511,nESPEC,DATOS!$E1511,nASIG,DATOS!$I1511,nEVAL,"EX")=0),0))))</f>
      </c>
      <c r="H1511">
        <f>IF(DATOS!$G1511&lt;&gt;"EX",0,--(COUNTIFS(nNIA,DATOS!$A1511,nCURSO,DATOS!$D1511,nESPEC,DATOS!$E1511,nASIG,DATOS!$I1511,nEVAL,"OR")=0))</f>
      </c>
      <c r="I1511">
        <f>IF(DATOS!$I1511="","",IFERROR(VLOOKUP(DATOS!$I1511,CONFIG_ASIGNATURAS!$B$2:$J$91,9,FALSE()),""))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IF(DATOS!$A1512="",0,IF(CONFIG_METADATA!$B$4&lt;&gt;"OR+EX",--(DATOS!$G1512=CONFIG_METADATA!$B$4),IF(DATOS!$G1512="EX",1,IF(DATOS!$G1512="OR",--(COUNTIFS(nNIA,DATOS!$A1512,nCURSO,DATOS!$D1512,nESPEC,DATOS!$E1512,nASIG,DATOS!$I1512,nEVAL,"EX")=0),0))))</f>
      </c>
      <c r="H1512">
        <f>IF(DATOS!$G1512&lt;&gt;"EX",0,--(COUNTIFS(nNIA,DATOS!$A1512,nCURSO,DATOS!$D1512,nESPEC,DATOS!$E1512,nASIG,DATOS!$I1512,nEVAL,"OR")=0))</f>
      </c>
      <c r="I1512">
        <f>IF(DATOS!$I1512="","",IFERROR(VLOOKUP(DATOS!$I1512,CONFIG_ASIGNATURAS!$B$2:$J$91,9,FALSE()),""))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IF(DATOS!$A1513="",0,IF(CONFIG_METADATA!$B$4&lt;&gt;"OR+EX",--(DATOS!$G1513=CONFIG_METADATA!$B$4),IF(DATOS!$G1513="EX",1,IF(DATOS!$G1513="OR",--(COUNTIFS(nNIA,DATOS!$A1513,nCURSO,DATOS!$D1513,nESPEC,DATOS!$E1513,nASIG,DATOS!$I1513,nEVAL,"EX")=0),0))))</f>
      </c>
      <c r="H1513">
        <f>IF(DATOS!$G1513&lt;&gt;"EX",0,--(COUNTIFS(nNIA,DATOS!$A1513,nCURSO,DATOS!$D1513,nESPEC,DATOS!$E1513,nASIG,DATOS!$I1513,nEVAL,"OR")=0))</f>
      </c>
      <c r="I1513">
        <f>IF(DATOS!$I1513="","",IFERROR(VLOOKUP(DATOS!$I1513,CONFIG_ASIGNATURAS!$B$2:$J$91,9,FALSE()),""))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IF(DATOS!$A1514="",0,IF(CONFIG_METADATA!$B$4&lt;&gt;"OR+EX",--(DATOS!$G1514=CONFIG_METADATA!$B$4),IF(DATOS!$G1514="EX",1,IF(DATOS!$G1514="OR",--(COUNTIFS(nNIA,DATOS!$A1514,nCURSO,DATOS!$D1514,nESPEC,DATOS!$E1514,nASIG,DATOS!$I1514,nEVAL,"EX")=0),0))))</f>
      </c>
      <c r="H1514">
        <f>IF(DATOS!$G1514&lt;&gt;"EX",0,--(COUNTIFS(nNIA,DATOS!$A1514,nCURSO,DATOS!$D1514,nESPEC,DATOS!$E1514,nASIG,DATOS!$I1514,nEVAL,"OR")=0))</f>
      </c>
      <c r="I1514">
        <f>IF(DATOS!$I1514="","",IFERROR(VLOOKUP(DATOS!$I1514,CONFIG_ASIGNATURAS!$B$2:$J$91,9,FALSE()),""))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IF(DATOS!$A1515="",0,IF(CONFIG_METADATA!$B$4&lt;&gt;"OR+EX",--(DATOS!$G1515=CONFIG_METADATA!$B$4),IF(DATOS!$G1515="EX",1,IF(DATOS!$G1515="OR",--(COUNTIFS(nNIA,DATOS!$A1515,nCURSO,DATOS!$D1515,nESPEC,DATOS!$E1515,nASIG,DATOS!$I1515,nEVAL,"EX")=0),0))))</f>
      </c>
      <c r="H1515">
        <f>IF(DATOS!$G1515&lt;&gt;"EX",0,--(COUNTIFS(nNIA,DATOS!$A1515,nCURSO,DATOS!$D1515,nESPEC,DATOS!$E1515,nASIG,DATOS!$I1515,nEVAL,"OR")=0))</f>
      </c>
      <c r="I1515">
        <f>IF(DATOS!$I1515="","",IFERROR(VLOOKUP(DATOS!$I1515,CONFIG_ASIGNATURAS!$B$2:$J$91,9,FALSE()),""))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IF(DATOS!$A1516="",0,IF(CONFIG_METADATA!$B$4&lt;&gt;"OR+EX",--(DATOS!$G1516=CONFIG_METADATA!$B$4),IF(DATOS!$G1516="EX",1,IF(DATOS!$G1516="OR",--(COUNTIFS(nNIA,DATOS!$A1516,nCURSO,DATOS!$D1516,nESPEC,DATOS!$E1516,nASIG,DATOS!$I1516,nEVAL,"EX")=0),0))))</f>
      </c>
      <c r="H1516">
        <f>IF(DATOS!$G1516&lt;&gt;"EX",0,--(COUNTIFS(nNIA,DATOS!$A1516,nCURSO,DATOS!$D1516,nESPEC,DATOS!$E1516,nASIG,DATOS!$I1516,nEVAL,"OR")=0))</f>
      </c>
      <c r="I1516">
        <f>IF(DATOS!$I1516="","",IFERROR(VLOOKUP(DATOS!$I1516,CONFIG_ASIGNATURAS!$B$2:$J$91,9,FALSE()),""))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IF(DATOS!$A1517="",0,IF(CONFIG_METADATA!$B$4&lt;&gt;"OR+EX",--(DATOS!$G1517=CONFIG_METADATA!$B$4),IF(DATOS!$G1517="EX",1,IF(DATOS!$G1517="OR",--(COUNTIFS(nNIA,DATOS!$A1517,nCURSO,DATOS!$D1517,nESPEC,DATOS!$E1517,nASIG,DATOS!$I1517,nEVAL,"EX")=0),0))))</f>
      </c>
      <c r="H1517">
        <f>IF(DATOS!$G1517&lt;&gt;"EX",0,--(COUNTIFS(nNIA,DATOS!$A1517,nCURSO,DATOS!$D1517,nESPEC,DATOS!$E1517,nASIG,DATOS!$I1517,nEVAL,"OR")=0))</f>
      </c>
      <c r="I1517">
        <f>IF(DATOS!$I1517="","",IFERROR(VLOOKUP(DATOS!$I1517,CONFIG_ASIGNATURAS!$B$2:$J$91,9,FALSE()),""))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IF(DATOS!$A1518="",0,IF(CONFIG_METADATA!$B$4&lt;&gt;"OR+EX",--(DATOS!$G1518=CONFIG_METADATA!$B$4),IF(DATOS!$G1518="EX",1,IF(DATOS!$G1518="OR",--(COUNTIFS(nNIA,DATOS!$A1518,nCURSO,DATOS!$D1518,nESPEC,DATOS!$E1518,nASIG,DATOS!$I1518,nEVAL,"EX")=0),0))))</f>
      </c>
      <c r="H1518">
        <f>IF(DATOS!$G1518&lt;&gt;"EX",0,--(COUNTIFS(nNIA,DATOS!$A1518,nCURSO,DATOS!$D1518,nESPEC,DATOS!$E1518,nASIG,DATOS!$I1518,nEVAL,"OR")=0))</f>
      </c>
      <c r="I1518">
        <f>IF(DATOS!$I1518="","",IFERROR(VLOOKUP(DATOS!$I1518,CONFIG_ASIGNATURAS!$B$2:$J$91,9,FALSE()),""))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IF(DATOS!$A1519="",0,IF(CONFIG_METADATA!$B$4&lt;&gt;"OR+EX",--(DATOS!$G1519=CONFIG_METADATA!$B$4),IF(DATOS!$G1519="EX",1,IF(DATOS!$G1519="OR",--(COUNTIFS(nNIA,DATOS!$A1519,nCURSO,DATOS!$D1519,nESPEC,DATOS!$E1519,nASIG,DATOS!$I1519,nEVAL,"EX")=0),0))))</f>
      </c>
      <c r="H1519">
        <f>IF(DATOS!$G1519&lt;&gt;"EX",0,--(COUNTIFS(nNIA,DATOS!$A1519,nCURSO,DATOS!$D1519,nESPEC,DATOS!$E1519,nASIG,DATOS!$I1519,nEVAL,"OR")=0))</f>
      </c>
      <c r="I1519">
        <f>IF(DATOS!$I1519="","",IFERROR(VLOOKUP(DATOS!$I1519,CONFIG_ASIGNATURAS!$B$2:$J$91,9,FALSE()),""))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IF(DATOS!$A1520="",0,IF(CONFIG_METADATA!$B$4&lt;&gt;"OR+EX",--(DATOS!$G1520=CONFIG_METADATA!$B$4),IF(DATOS!$G1520="EX",1,IF(DATOS!$G1520="OR",--(COUNTIFS(nNIA,DATOS!$A1520,nCURSO,DATOS!$D1520,nESPEC,DATOS!$E1520,nASIG,DATOS!$I1520,nEVAL,"EX")=0),0))))</f>
      </c>
      <c r="H1520">
        <f>IF(DATOS!$G1520&lt;&gt;"EX",0,--(COUNTIFS(nNIA,DATOS!$A1520,nCURSO,DATOS!$D1520,nESPEC,DATOS!$E1520,nASIG,DATOS!$I1520,nEVAL,"OR")=0))</f>
      </c>
      <c r="I1520">
        <f>IF(DATOS!$I1520="","",IFERROR(VLOOKUP(DATOS!$I1520,CONFIG_ASIGNATURAS!$B$2:$J$91,9,FALSE()),""))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IF(DATOS!$A1521="",0,IF(CONFIG_METADATA!$B$4&lt;&gt;"OR+EX",--(DATOS!$G1521=CONFIG_METADATA!$B$4),IF(DATOS!$G1521="EX",1,IF(DATOS!$G1521="OR",--(COUNTIFS(nNIA,DATOS!$A1521,nCURSO,DATOS!$D1521,nESPEC,DATOS!$E1521,nASIG,DATOS!$I1521,nEVAL,"EX")=0),0))))</f>
      </c>
      <c r="H1521">
        <f>IF(DATOS!$G1521&lt;&gt;"EX",0,--(COUNTIFS(nNIA,DATOS!$A1521,nCURSO,DATOS!$D1521,nESPEC,DATOS!$E1521,nASIG,DATOS!$I1521,nEVAL,"OR")=0))</f>
      </c>
      <c r="I1521">
        <f>IF(DATOS!$I1521="","",IFERROR(VLOOKUP(DATOS!$I1521,CONFIG_ASIGNATURAS!$B$2:$J$91,9,FALSE()),""))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IF(DATOS!$A1522="",0,IF(CONFIG_METADATA!$B$4&lt;&gt;"OR+EX",--(DATOS!$G1522=CONFIG_METADATA!$B$4),IF(DATOS!$G1522="EX",1,IF(DATOS!$G1522="OR",--(COUNTIFS(nNIA,DATOS!$A1522,nCURSO,DATOS!$D1522,nESPEC,DATOS!$E1522,nASIG,DATOS!$I1522,nEVAL,"EX")=0),0))))</f>
      </c>
      <c r="H1522">
        <f>IF(DATOS!$G1522&lt;&gt;"EX",0,--(COUNTIFS(nNIA,DATOS!$A1522,nCURSO,DATOS!$D1522,nESPEC,DATOS!$E1522,nASIG,DATOS!$I1522,nEVAL,"OR")=0))</f>
      </c>
      <c r="I1522">
        <f>IF(DATOS!$I1522="","",IFERROR(VLOOKUP(DATOS!$I1522,CONFIG_ASIGNATURAS!$B$2:$J$91,9,FALSE()),""))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IF(DATOS!$A1523="",0,IF(CONFIG_METADATA!$B$4&lt;&gt;"OR+EX",--(DATOS!$G1523=CONFIG_METADATA!$B$4),IF(DATOS!$G1523="EX",1,IF(DATOS!$G1523="OR",--(COUNTIFS(nNIA,DATOS!$A1523,nCURSO,DATOS!$D1523,nESPEC,DATOS!$E1523,nASIG,DATOS!$I1523,nEVAL,"EX")=0),0))))</f>
      </c>
      <c r="H1523">
        <f>IF(DATOS!$G1523&lt;&gt;"EX",0,--(COUNTIFS(nNIA,DATOS!$A1523,nCURSO,DATOS!$D1523,nESPEC,DATOS!$E1523,nASIG,DATOS!$I1523,nEVAL,"OR")=0))</f>
      </c>
      <c r="I1523">
        <f>IF(DATOS!$I1523="","",IFERROR(VLOOKUP(DATOS!$I1523,CONFIG_ASIGNATURAS!$B$2:$J$91,9,FALSE()),""))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IF(DATOS!$A1524="",0,IF(CONFIG_METADATA!$B$4&lt;&gt;"OR+EX",--(DATOS!$G1524=CONFIG_METADATA!$B$4),IF(DATOS!$G1524="EX",1,IF(DATOS!$G1524="OR",--(COUNTIFS(nNIA,DATOS!$A1524,nCURSO,DATOS!$D1524,nESPEC,DATOS!$E1524,nASIG,DATOS!$I1524,nEVAL,"EX")=0),0))))</f>
      </c>
      <c r="H1524">
        <f>IF(DATOS!$G1524&lt;&gt;"EX",0,--(COUNTIFS(nNIA,DATOS!$A1524,nCURSO,DATOS!$D1524,nESPEC,DATOS!$E1524,nASIG,DATOS!$I1524,nEVAL,"OR")=0))</f>
      </c>
      <c r="I1524">
        <f>IF(DATOS!$I1524="","",IFERROR(VLOOKUP(DATOS!$I1524,CONFIG_ASIGNATURAS!$B$2:$J$91,9,FALSE()),""))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IF(DATOS!$A1525="",0,IF(CONFIG_METADATA!$B$4&lt;&gt;"OR+EX",--(DATOS!$G1525=CONFIG_METADATA!$B$4),IF(DATOS!$G1525="EX",1,IF(DATOS!$G1525="OR",--(COUNTIFS(nNIA,DATOS!$A1525,nCURSO,DATOS!$D1525,nESPEC,DATOS!$E1525,nASIG,DATOS!$I1525,nEVAL,"EX")=0),0))))</f>
      </c>
      <c r="H1525">
        <f>IF(DATOS!$G1525&lt;&gt;"EX",0,--(COUNTIFS(nNIA,DATOS!$A1525,nCURSO,DATOS!$D1525,nESPEC,DATOS!$E1525,nASIG,DATOS!$I1525,nEVAL,"OR")=0))</f>
      </c>
      <c r="I1525">
        <f>IF(DATOS!$I1525="","",IFERROR(VLOOKUP(DATOS!$I1525,CONFIG_ASIGNATURAS!$B$2:$J$91,9,FALSE()),""))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IF(DATOS!$A1526="",0,IF(CONFIG_METADATA!$B$4&lt;&gt;"OR+EX",--(DATOS!$G1526=CONFIG_METADATA!$B$4),IF(DATOS!$G1526="EX",1,IF(DATOS!$G1526="OR",--(COUNTIFS(nNIA,DATOS!$A1526,nCURSO,DATOS!$D1526,nESPEC,DATOS!$E1526,nASIG,DATOS!$I1526,nEVAL,"EX")=0),0))))</f>
      </c>
      <c r="H1526">
        <f>IF(DATOS!$G1526&lt;&gt;"EX",0,--(COUNTIFS(nNIA,DATOS!$A1526,nCURSO,DATOS!$D1526,nESPEC,DATOS!$E1526,nASIG,DATOS!$I1526,nEVAL,"OR")=0))</f>
      </c>
      <c r="I1526">
        <f>IF(DATOS!$I1526="","",IFERROR(VLOOKUP(DATOS!$I1526,CONFIG_ASIGNATURAS!$B$2:$J$91,9,FALSE()),""))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IF(DATOS!$A1527="",0,IF(CONFIG_METADATA!$B$4&lt;&gt;"OR+EX",--(DATOS!$G1527=CONFIG_METADATA!$B$4),IF(DATOS!$G1527="EX",1,IF(DATOS!$G1527="OR",--(COUNTIFS(nNIA,DATOS!$A1527,nCURSO,DATOS!$D1527,nESPEC,DATOS!$E1527,nASIG,DATOS!$I1527,nEVAL,"EX")=0),0))))</f>
      </c>
      <c r="H1527">
        <f>IF(DATOS!$G1527&lt;&gt;"EX",0,--(COUNTIFS(nNIA,DATOS!$A1527,nCURSO,DATOS!$D1527,nESPEC,DATOS!$E1527,nASIG,DATOS!$I1527,nEVAL,"OR")=0))</f>
      </c>
      <c r="I1527">
        <f>IF(DATOS!$I1527="","",IFERROR(VLOOKUP(DATOS!$I1527,CONFIG_ASIGNATURAS!$B$2:$J$91,9,FALSE()),""))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IF(DATOS!$A1528="",0,IF(CONFIG_METADATA!$B$4&lt;&gt;"OR+EX",--(DATOS!$G1528=CONFIG_METADATA!$B$4),IF(DATOS!$G1528="EX",1,IF(DATOS!$G1528="OR",--(COUNTIFS(nNIA,DATOS!$A1528,nCURSO,DATOS!$D1528,nESPEC,DATOS!$E1528,nASIG,DATOS!$I1528,nEVAL,"EX")=0),0))))</f>
      </c>
      <c r="H1528">
        <f>IF(DATOS!$G1528&lt;&gt;"EX",0,--(COUNTIFS(nNIA,DATOS!$A1528,nCURSO,DATOS!$D1528,nESPEC,DATOS!$E1528,nASIG,DATOS!$I1528,nEVAL,"OR")=0))</f>
      </c>
      <c r="I1528">
        <f>IF(DATOS!$I1528="","",IFERROR(VLOOKUP(DATOS!$I1528,CONFIG_ASIGNATURAS!$B$2:$J$91,9,FALSE()),""))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IF(DATOS!$A1529="",0,IF(CONFIG_METADATA!$B$4&lt;&gt;"OR+EX",--(DATOS!$G1529=CONFIG_METADATA!$B$4),IF(DATOS!$G1529="EX",1,IF(DATOS!$G1529="OR",--(COUNTIFS(nNIA,DATOS!$A1529,nCURSO,DATOS!$D1529,nESPEC,DATOS!$E1529,nASIG,DATOS!$I1529,nEVAL,"EX")=0),0))))</f>
      </c>
      <c r="H1529">
        <f>IF(DATOS!$G1529&lt;&gt;"EX",0,--(COUNTIFS(nNIA,DATOS!$A1529,nCURSO,DATOS!$D1529,nESPEC,DATOS!$E1529,nASIG,DATOS!$I1529,nEVAL,"OR")=0))</f>
      </c>
      <c r="I1529">
        <f>IF(DATOS!$I1529="","",IFERROR(VLOOKUP(DATOS!$I1529,CONFIG_ASIGNATURAS!$B$2:$J$91,9,FALSE()),""))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IF(DATOS!$A1530="",0,IF(CONFIG_METADATA!$B$4&lt;&gt;"OR+EX",--(DATOS!$G1530=CONFIG_METADATA!$B$4),IF(DATOS!$G1530="EX",1,IF(DATOS!$G1530="OR",--(COUNTIFS(nNIA,DATOS!$A1530,nCURSO,DATOS!$D1530,nESPEC,DATOS!$E1530,nASIG,DATOS!$I1530,nEVAL,"EX")=0),0))))</f>
      </c>
      <c r="H1530">
        <f>IF(DATOS!$G1530&lt;&gt;"EX",0,--(COUNTIFS(nNIA,DATOS!$A1530,nCURSO,DATOS!$D1530,nESPEC,DATOS!$E1530,nASIG,DATOS!$I1530,nEVAL,"OR")=0))</f>
      </c>
      <c r="I1530">
        <f>IF(DATOS!$I1530="","",IFERROR(VLOOKUP(DATOS!$I1530,CONFIG_ASIGNATURAS!$B$2:$J$91,9,FALSE()),""))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IF(DATOS!$A1531="",0,IF(CONFIG_METADATA!$B$4&lt;&gt;"OR+EX",--(DATOS!$G1531=CONFIG_METADATA!$B$4),IF(DATOS!$G1531="EX",1,IF(DATOS!$G1531="OR",--(COUNTIFS(nNIA,DATOS!$A1531,nCURSO,DATOS!$D1531,nESPEC,DATOS!$E1531,nASIG,DATOS!$I1531,nEVAL,"EX")=0),0))))</f>
      </c>
      <c r="H1531">
        <f>IF(DATOS!$G1531&lt;&gt;"EX",0,--(COUNTIFS(nNIA,DATOS!$A1531,nCURSO,DATOS!$D1531,nESPEC,DATOS!$E1531,nASIG,DATOS!$I1531,nEVAL,"OR")=0))</f>
      </c>
      <c r="I1531">
        <f>IF(DATOS!$I1531="","",IFERROR(VLOOKUP(DATOS!$I1531,CONFIG_ASIGNATURAS!$B$2:$J$91,9,FALSE()),""))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IF(DATOS!$A1532="",0,IF(CONFIG_METADATA!$B$4&lt;&gt;"OR+EX",--(DATOS!$G1532=CONFIG_METADATA!$B$4),IF(DATOS!$G1532="EX",1,IF(DATOS!$G1532="OR",--(COUNTIFS(nNIA,DATOS!$A1532,nCURSO,DATOS!$D1532,nESPEC,DATOS!$E1532,nASIG,DATOS!$I1532,nEVAL,"EX")=0),0))))</f>
      </c>
      <c r="H1532">
        <f>IF(DATOS!$G1532&lt;&gt;"EX",0,--(COUNTIFS(nNIA,DATOS!$A1532,nCURSO,DATOS!$D1532,nESPEC,DATOS!$E1532,nASIG,DATOS!$I1532,nEVAL,"OR")=0))</f>
      </c>
      <c r="I1532">
        <f>IF(DATOS!$I1532="","",IFERROR(VLOOKUP(DATOS!$I1532,CONFIG_ASIGNATURAS!$B$2:$J$91,9,FALSE()),""))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IF(DATOS!$A1533="",0,IF(CONFIG_METADATA!$B$4&lt;&gt;"OR+EX",--(DATOS!$G1533=CONFIG_METADATA!$B$4),IF(DATOS!$G1533="EX",1,IF(DATOS!$G1533="OR",--(COUNTIFS(nNIA,DATOS!$A1533,nCURSO,DATOS!$D1533,nESPEC,DATOS!$E1533,nASIG,DATOS!$I1533,nEVAL,"EX")=0),0))))</f>
      </c>
      <c r="H1533">
        <f>IF(DATOS!$G1533&lt;&gt;"EX",0,--(COUNTIFS(nNIA,DATOS!$A1533,nCURSO,DATOS!$D1533,nESPEC,DATOS!$E1533,nASIG,DATOS!$I1533,nEVAL,"OR")=0))</f>
      </c>
      <c r="I1533">
        <f>IF(DATOS!$I1533="","",IFERROR(VLOOKUP(DATOS!$I1533,CONFIG_ASIGNATURAS!$B$2:$J$91,9,FALSE()),""))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IF(DATOS!$A1534="",0,IF(CONFIG_METADATA!$B$4&lt;&gt;"OR+EX",--(DATOS!$G1534=CONFIG_METADATA!$B$4),IF(DATOS!$G1534="EX",1,IF(DATOS!$G1534="OR",--(COUNTIFS(nNIA,DATOS!$A1534,nCURSO,DATOS!$D1534,nESPEC,DATOS!$E1534,nASIG,DATOS!$I1534,nEVAL,"EX")=0),0))))</f>
      </c>
      <c r="H1534">
        <f>IF(DATOS!$G1534&lt;&gt;"EX",0,--(COUNTIFS(nNIA,DATOS!$A1534,nCURSO,DATOS!$D1534,nESPEC,DATOS!$E1534,nASIG,DATOS!$I1534,nEVAL,"OR")=0))</f>
      </c>
      <c r="I1534">
        <f>IF(DATOS!$I1534="","",IFERROR(VLOOKUP(DATOS!$I1534,CONFIG_ASIGNATURAS!$B$2:$J$91,9,FALSE()),""))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IF(DATOS!$A1535="",0,IF(CONFIG_METADATA!$B$4&lt;&gt;"OR+EX",--(DATOS!$G1535=CONFIG_METADATA!$B$4),IF(DATOS!$G1535="EX",1,IF(DATOS!$G1535="OR",--(COUNTIFS(nNIA,DATOS!$A1535,nCURSO,DATOS!$D1535,nESPEC,DATOS!$E1535,nASIG,DATOS!$I1535,nEVAL,"EX")=0),0))))</f>
      </c>
      <c r="H1535">
        <f>IF(DATOS!$G1535&lt;&gt;"EX",0,--(COUNTIFS(nNIA,DATOS!$A1535,nCURSO,DATOS!$D1535,nESPEC,DATOS!$E1535,nASIG,DATOS!$I1535,nEVAL,"OR")=0))</f>
      </c>
      <c r="I1535">
        <f>IF(DATOS!$I1535="","",IFERROR(VLOOKUP(DATOS!$I1535,CONFIG_ASIGNATURAS!$B$2:$J$91,9,FALSE()),""))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IF(DATOS!$A1536="",0,IF(CONFIG_METADATA!$B$4&lt;&gt;"OR+EX",--(DATOS!$G1536=CONFIG_METADATA!$B$4),IF(DATOS!$G1536="EX",1,IF(DATOS!$G1536="OR",--(COUNTIFS(nNIA,DATOS!$A1536,nCURSO,DATOS!$D1536,nESPEC,DATOS!$E1536,nASIG,DATOS!$I1536,nEVAL,"EX")=0),0))))</f>
      </c>
      <c r="H1536">
        <f>IF(DATOS!$G1536&lt;&gt;"EX",0,--(COUNTIFS(nNIA,DATOS!$A1536,nCURSO,DATOS!$D1536,nESPEC,DATOS!$E1536,nASIG,DATOS!$I1536,nEVAL,"OR")=0))</f>
      </c>
      <c r="I1536">
        <f>IF(DATOS!$I1536="","",IFERROR(VLOOKUP(DATOS!$I1536,CONFIG_ASIGNATURAS!$B$2:$J$91,9,FALSE()),""))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IF(DATOS!$A1537="",0,IF(CONFIG_METADATA!$B$4&lt;&gt;"OR+EX",--(DATOS!$G1537=CONFIG_METADATA!$B$4),IF(DATOS!$G1537="EX",1,IF(DATOS!$G1537="OR",--(COUNTIFS(nNIA,DATOS!$A1537,nCURSO,DATOS!$D1537,nESPEC,DATOS!$E1537,nASIG,DATOS!$I1537,nEVAL,"EX")=0),0))))</f>
      </c>
      <c r="H1537">
        <f>IF(DATOS!$G1537&lt;&gt;"EX",0,--(COUNTIFS(nNIA,DATOS!$A1537,nCURSO,DATOS!$D1537,nESPEC,DATOS!$E1537,nASIG,DATOS!$I1537,nEVAL,"OR")=0))</f>
      </c>
      <c r="I1537">
        <f>IF(DATOS!$I1537="","",IFERROR(VLOOKUP(DATOS!$I1537,CONFIG_ASIGNATURAS!$B$2:$J$91,9,FALSE()),""))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IF(DATOS!$A1538="",0,IF(CONFIG_METADATA!$B$4&lt;&gt;"OR+EX",--(DATOS!$G1538=CONFIG_METADATA!$B$4),IF(DATOS!$G1538="EX",1,IF(DATOS!$G1538="OR",--(COUNTIFS(nNIA,DATOS!$A1538,nCURSO,DATOS!$D1538,nESPEC,DATOS!$E1538,nASIG,DATOS!$I1538,nEVAL,"EX")=0),0))))</f>
      </c>
      <c r="H1538">
        <f>IF(DATOS!$G1538&lt;&gt;"EX",0,--(COUNTIFS(nNIA,DATOS!$A1538,nCURSO,DATOS!$D1538,nESPEC,DATOS!$E1538,nASIG,DATOS!$I1538,nEVAL,"OR")=0))</f>
      </c>
      <c r="I1538">
        <f>IF(DATOS!$I1538="","",IFERROR(VLOOKUP(DATOS!$I1538,CONFIG_ASIGNATURAS!$B$2:$J$91,9,FALSE()),""))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IF(DATOS!$A1539="",0,IF(CONFIG_METADATA!$B$4&lt;&gt;"OR+EX",--(DATOS!$G1539=CONFIG_METADATA!$B$4),IF(DATOS!$G1539="EX",1,IF(DATOS!$G1539="OR",--(COUNTIFS(nNIA,DATOS!$A1539,nCURSO,DATOS!$D1539,nESPEC,DATOS!$E1539,nASIG,DATOS!$I1539,nEVAL,"EX")=0),0))))</f>
      </c>
      <c r="H1539">
        <f>IF(DATOS!$G1539&lt;&gt;"EX",0,--(COUNTIFS(nNIA,DATOS!$A1539,nCURSO,DATOS!$D1539,nESPEC,DATOS!$E1539,nASIG,DATOS!$I1539,nEVAL,"OR")=0))</f>
      </c>
      <c r="I1539">
        <f>IF(DATOS!$I1539="","",IFERROR(VLOOKUP(DATOS!$I1539,CONFIG_ASIGNATURAS!$B$2:$J$91,9,FALSE()),""))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IF(DATOS!$A1540="",0,IF(CONFIG_METADATA!$B$4&lt;&gt;"OR+EX",--(DATOS!$G1540=CONFIG_METADATA!$B$4),IF(DATOS!$G1540="EX",1,IF(DATOS!$G1540="OR",--(COUNTIFS(nNIA,DATOS!$A1540,nCURSO,DATOS!$D1540,nESPEC,DATOS!$E1540,nASIG,DATOS!$I1540,nEVAL,"EX")=0),0))))</f>
      </c>
      <c r="H1540">
        <f>IF(DATOS!$G1540&lt;&gt;"EX",0,--(COUNTIFS(nNIA,DATOS!$A1540,nCURSO,DATOS!$D1540,nESPEC,DATOS!$E1540,nASIG,DATOS!$I1540,nEVAL,"OR")=0))</f>
      </c>
      <c r="I1540">
        <f>IF(DATOS!$I1540="","",IFERROR(VLOOKUP(DATOS!$I1540,CONFIG_ASIGNATURAS!$B$2:$J$91,9,FALSE()),""))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IF(DATOS!$A1541="",0,IF(CONFIG_METADATA!$B$4&lt;&gt;"OR+EX",--(DATOS!$G1541=CONFIG_METADATA!$B$4),IF(DATOS!$G1541="EX",1,IF(DATOS!$G1541="OR",--(COUNTIFS(nNIA,DATOS!$A1541,nCURSO,DATOS!$D1541,nESPEC,DATOS!$E1541,nASIG,DATOS!$I1541,nEVAL,"EX")=0),0))))</f>
      </c>
      <c r="H1541">
        <f>IF(DATOS!$G1541&lt;&gt;"EX",0,--(COUNTIFS(nNIA,DATOS!$A1541,nCURSO,DATOS!$D1541,nESPEC,DATOS!$E1541,nASIG,DATOS!$I1541,nEVAL,"OR")=0))</f>
      </c>
      <c r="I1541">
        <f>IF(DATOS!$I1541="","",IFERROR(VLOOKUP(DATOS!$I1541,CONFIG_ASIGNATURAS!$B$2:$J$91,9,FALSE()),""))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IF(DATOS!$A1542="",0,IF(CONFIG_METADATA!$B$4&lt;&gt;"OR+EX",--(DATOS!$G1542=CONFIG_METADATA!$B$4),IF(DATOS!$G1542="EX",1,IF(DATOS!$G1542="OR",--(COUNTIFS(nNIA,DATOS!$A1542,nCURSO,DATOS!$D1542,nESPEC,DATOS!$E1542,nASIG,DATOS!$I1542,nEVAL,"EX")=0),0))))</f>
      </c>
      <c r="H1542">
        <f>IF(DATOS!$G1542&lt;&gt;"EX",0,--(COUNTIFS(nNIA,DATOS!$A1542,nCURSO,DATOS!$D1542,nESPEC,DATOS!$E1542,nASIG,DATOS!$I1542,nEVAL,"OR")=0))</f>
      </c>
      <c r="I1542">
        <f>IF(DATOS!$I1542="","",IFERROR(VLOOKUP(DATOS!$I1542,CONFIG_ASIGNATURAS!$B$2:$J$91,9,FALSE()),""))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IF(DATOS!$A1543="",0,IF(CONFIG_METADATA!$B$4&lt;&gt;"OR+EX",--(DATOS!$G1543=CONFIG_METADATA!$B$4),IF(DATOS!$G1543="EX",1,IF(DATOS!$G1543="OR",--(COUNTIFS(nNIA,DATOS!$A1543,nCURSO,DATOS!$D1543,nESPEC,DATOS!$E1543,nASIG,DATOS!$I1543,nEVAL,"EX")=0),0))))</f>
      </c>
      <c r="H1543">
        <f>IF(DATOS!$G1543&lt;&gt;"EX",0,--(COUNTIFS(nNIA,DATOS!$A1543,nCURSO,DATOS!$D1543,nESPEC,DATOS!$E1543,nASIG,DATOS!$I1543,nEVAL,"OR")=0))</f>
      </c>
      <c r="I1543">
        <f>IF(DATOS!$I1543="","",IFERROR(VLOOKUP(DATOS!$I1543,CONFIG_ASIGNATURAS!$B$2:$J$91,9,FALSE()),""))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IF(DATOS!$A1544="",0,IF(CONFIG_METADATA!$B$4&lt;&gt;"OR+EX",--(DATOS!$G1544=CONFIG_METADATA!$B$4),IF(DATOS!$G1544="EX",1,IF(DATOS!$G1544="OR",--(COUNTIFS(nNIA,DATOS!$A1544,nCURSO,DATOS!$D1544,nESPEC,DATOS!$E1544,nASIG,DATOS!$I1544,nEVAL,"EX")=0),0))))</f>
      </c>
      <c r="H1544">
        <f>IF(DATOS!$G1544&lt;&gt;"EX",0,--(COUNTIFS(nNIA,DATOS!$A1544,nCURSO,DATOS!$D1544,nESPEC,DATOS!$E1544,nASIG,DATOS!$I1544,nEVAL,"OR")=0))</f>
      </c>
      <c r="I1544">
        <f>IF(DATOS!$I1544="","",IFERROR(VLOOKUP(DATOS!$I1544,CONFIG_ASIGNATURAS!$B$2:$J$91,9,FALSE()),""))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IF(DATOS!$A1545="",0,IF(CONFIG_METADATA!$B$4&lt;&gt;"OR+EX",--(DATOS!$G1545=CONFIG_METADATA!$B$4),IF(DATOS!$G1545="EX",1,IF(DATOS!$G1545="OR",--(COUNTIFS(nNIA,DATOS!$A1545,nCURSO,DATOS!$D1545,nESPEC,DATOS!$E1545,nASIG,DATOS!$I1545,nEVAL,"EX")=0),0))))</f>
      </c>
      <c r="H1545">
        <f>IF(DATOS!$G1545&lt;&gt;"EX",0,--(COUNTIFS(nNIA,DATOS!$A1545,nCURSO,DATOS!$D1545,nESPEC,DATOS!$E1545,nASIG,DATOS!$I1545,nEVAL,"OR")=0))</f>
      </c>
      <c r="I1545">
        <f>IF(DATOS!$I1545="","",IFERROR(VLOOKUP(DATOS!$I1545,CONFIG_ASIGNATURAS!$B$2:$J$91,9,FALSE()),""))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IF(DATOS!$A1546="",0,IF(CONFIG_METADATA!$B$4&lt;&gt;"OR+EX",--(DATOS!$G1546=CONFIG_METADATA!$B$4),IF(DATOS!$G1546="EX",1,IF(DATOS!$G1546="OR",--(COUNTIFS(nNIA,DATOS!$A1546,nCURSO,DATOS!$D1546,nESPEC,DATOS!$E1546,nASIG,DATOS!$I1546,nEVAL,"EX")=0),0))))</f>
      </c>
      <c r="H1546">
        <f>IF(DATOS!$G1546&lt;&gt;"EX",0,--(COUNTIFS(nNIA,DATOS!$A1546,nCURSO,DATOS!$D1546,nESPEC,DATOS!$E1546,nASIG,DATOS!$I1546,nEVAL,"OR")=0))</f>
      </c>
      <c r="I1546">
        <f>IF(DATOS!$I1546="","",IFERROR(VLOOKUP(DATOS!$I1546,CONFIG_ASIGNATURAS!$B$2:$J$91,9,FALSE()),""))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IF(DATOS!$A1547="",0,IF(CONFIG_METADATA!$B$4&lt;&gt;"OR+EX",--(DATOS!$G1547=CONFIG_METADATA!$B$4),IF(DATOS!$G1547="EX",1,IF(DATOS!$G1547="OR",--(COUNTIFS(nNIA,DATOS!$A1547,nCURSO,DATOS!$D1547,nESPEC,DATOS!$E1547,nASIG,DATOS!$I1547,nEVAL,"EX")=0),0))))</f>
      </c>
      <c r="H1547">
        <f>IF(DATOS!$G1547&lt;&gt;"EX",0,--(COUNTIFS(nNIA,DATOS!$A1547,nCURSO,DATOS!$D1547,nESPEC,DATOS!$E1547,nASIG,DATOS!$I1547,nEVAL,"OR")=0))</f>
      </c>
      <c r="I1547">
        <f>IF(DATOS!$I1547="","",IFERROR(VLOOKUP(DATOS!$I1547,CONFIG_ASIGNATURAS!$B$2:$J$91,9,FALSE()),""))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IF(DATOS!$A1548="",0,IF(CONFIG_METADATA!$B$4&lt;&gt;"OR+EX",--(DATOS!$G1548=CONFIG_METADATA!$B$4),IF(DATOS!$G1548="EX",1,IF(DATOS!$G1548="OR",--(COUNTIFS(nNIA,DATOS!$A1548,nCURSO,DATOS!$D1548,nESPEC,DATOS!$E1548,nASIG,DATOS!$I1548,nEVAL,"EX")=0),0))))</f>
      </c>
      <c r="H1548">
        <f>IF(DATOS!$G1548&lt;&gt;"EX",0,--(COUNTIFS(nNIA,DATOS!$A1548,nCURSO,DATOS!$D1548,nESPEC,DATOS!$E1548,nASIG,DATOS!$I1548,nEVAL,"OR")=0))</f>
      </c>
      <c r="I1548">
        <f>IF(DATOS!$I1548="","",IFERROR(VLOOKUP(DATOS!$I1548,CONFIG_ASIGNATURAS!$B$2:$J$91,9,FALSE()),""))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IF(DATOS!$A1549="",0,IF(CONFIG_METADATA!$B$4&lt;&gt;"OR+EX",--(DATOS!$G1549=CONFIG_METADATA!$B$4),IF(DATOS!$G1549="EX",1,IF(DATOS!$G1549="OR",--(COUNTIFS(nNIA,DATOS!$A1549,nCURSO,DATOS!$D1549,nESPEC,DATOS!$E1549,nASIG,DATOS!$I1549,nEVAL,"EX")=0),0))))</f>
      </c>
      <c r="H1549">
        <f>IF(DATOS!$G1549&lt;&gt;"EX",0,--(COUNTIFS(nNIA,DATOS!$A1549,nCURSO,DATOS!$D1549,nESPEC,DATOS!$E1549,nASIG,DATOS!$I1549,nEVAL,"OR")=0))</f>
      </c>
      <c r="I1549">
        <f>IF(DATOS!$I1549="","",IFERROR(VLOOKUP(DATOS!$I1549,CONFIG_ASIGNATURAS!$B$2:$J$91,9,FALSE()),""))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IF(DATOS!$A1550="",0,IF(CONFIG_METADATA!$B$4&lt;&gt;"OR+EX",--(DATOS!$G1550=CONFIG_METADATA!$B$4),IF(DATOS!$G1550="EX",1,IF(DATOS!$G1550="OR",--(COUNTIFS(nNIA,DATOS!$A1550,nCURSO,DATOS!$D1550,nESPEC,DATOS!$E1550,nASIG,DATOS!$I1550,nEVAL,"EX")=0),0))))</f>
      </c>
      <c r="H1550">
        <f>IF(DATOS!$G1550&lt;&gt;"EX",0,--(COUNTIFS(nNIA,DATOS!$A1550,nCURSO,DATOS!$D1550,nESPEC,DATOS!$E1550,nASIG,DATOS!$I1550,nEVAL,"OR")=0))</f>
      </c>
      <c r="I1550">
        <f>IF(DATOS!$I1550="","",IFERROR(VLOOKUP(DATOS!$I1550,CONFIG_ASIGNATURAS!$B$2:$J$91,9,FALSE()),""))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IF(DATOS!$A1551="",0,IF(CONFIG_METADATA!$B$4&lt;&gt;"OR+EX",--(DATOS!$G1551=CONFIG_METADATA!$B$4),IF(DATOS!$G1551="EX",1,IF(DATOS!$G1551="OR",--(COUNTIFS(nNIA,DATOS!$A1551,nCURSO,DATOS!$D1551,nESPEC,DATOS!$E1551,nASIG,DATOS!$I1551,nEVAL,"EX")=0),0))))</f>
      </c>
      <c r="H1551">
        <f>IF(DATOS!$G1551&lt;&gt;"EX",0,--(COUNTIFS(nNIA,DATOS!$A1551,nCURSO,DATOS!$D1551,nESPEC,DATOS!$E1551,nASIG,DATOS!$I1551,nEVAL,"OR")=0))</f>
      </c>
      <c r="I1551">
        <f>IF(DATOS!$I1551="","",IFERROR(VLOOKUP(DATOS!$I1551,CONFIG_ASIGNATURAS!$B$2:$J$91,9,FALSE()),""))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IF(DATOS!$A1552="",0,IF(CONFIG_METADATA!$B$4&lt;&gt;"OR+EX",--(DATOS!$G1552=CONFIG_METADATA!$B$4),IF(DATOS!$G1552="EX",1,IF(DATOS!$G1552="OR",--(COUNTIFS(nNIA,DATOS!$A1552,nCURSO,DATOS!$D1552,nESPEC,DATOS!$E1552,nASIG,DATOS!$I1552,nEVAL,"EX")=0),0))))</f>
      </c>
      <c r="H1552">
        <f>IF(DATOS!$G1552&lt;&gt;"EX",0,--(COUNTIFS(nNIA,DATOS!$A1552,nCURSO,DATOS!$D1552,nESPEC,DATOS!$E1552,nASIG,DATOS!$I1552,nEVAL,"OR")=0))</f>
      </c>
      <c r="I1552">
        <f>IF(DATOS!$I1552="","",IFERROR(VLOOKUP(DATOS!$I1552,CONFIG_ASIGNATURAS!$B$2:$J$91,9,FALSE()),""))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IF(DATOS!$A1553="",0,IF(CONFIG_METADATA!$B$4&lt;&gt;"OR+EX",--(DATOS!$G1553=CONFIG_METADATA!$B$4),IF(DATOS!$G1553="EX",1,IF(DATOS!$G1553="OR",--(COUNTIFS(nNIA,DATOS!$A1553,nCURSO,DATOS!$D1553,nESPEC,DATOS!$E1553,nASIG,DATOS!$I1553,nEVAL,"EX")=0),0))))</f>
      </c>
      <c r="H1553">
        <f>IF(DATOS!$G1553&lt;&gt;"EX",0,--(COUNTIFS(nNIA,DATOS!$A1553,nCURSO,DATOS!$D1553,nESPEC,DATOS!$E1553,nASIG,DATOS!$I1553,nEVAL,"OR")=0))</f>
      </c>
      <c r="I1553">
        <f>IF(DATOS!$I1553="","",IFERROR(VLOOKUP(DATOS!$I1553,CONFIG_ASIGNATURAS!$B$2:$J$91,9,FALSE()),""))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IF(DATOS!$A1554="",0,IF(CONFIG_METADATA!$B$4&lt;&gt;"OR+EX",--(DATOS!$G1554=CONFIG_METADATA!$B$4),IF(DATOS!$G1554="EX",1,IF(DATOS!$G1554="OR",--(COUNTIFS(nNIA,DATOS!$A1554,nCURSO,DATOS!$D1554,nESPEC,DATOS!$E1554,nASIG,DATOS!$I1554,nEVAL,"EX")=0),0))))</f>
      </c>
      <c r="H1554">
        <f>IF(DATOS!$G1554&lt;&gt;"EX",0,--(COUNTIFS(nNIA,DATOS!$A1554,nCURSO,DATOS!$D1554,nESPEC,DATOS!$E1554,nASIG,DATOS!$I1554,nEVAL,"OR")=0))</f>
      </c>
      <c r="I1554">
        <f>IF(DATOS!$I1554="","",IFERROR(VLOOKUP(DATOS!$I1554,CONFIG_ASIGNATURAS!$B$2:$J$91,9,FALSE()),""))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IF(DATOS!$A1555="",0,IF(CONFIG_METADATA!$B$4&lt;&gt;"OR+EX",--(DATOS!$G1555=CONFIG_METADATA!$B$4),IF(DATOS!$G1555="EX",1,IF(DATOS!$G1555="OR",--(COUNTIFS(nNIA,DATOS!$A1555,nCURSO,DATOS!$D1555,nESPEC,DATOS!$E1555,nASIG,DATOS!$I1555,nEVAL,"EX")=0),0))))</f>
      </c>
      <c r="H1555">
        <f>IF(DATOS!$G1555&lt;&gt;"EX",0,--(COUNTIFS(nNIA,DATOS!$A1555,nCURSO,DATOS!$D1555,nESPEC,DATOS!$E1555,nASIG,DATOS!$I1555,nEVAL,"OR")=0))</f>
      </c>
      <c r="I1555">
        <f>IF(DATOS!$I1555="","",IFERROR(VLOOKUP(DATOS!$I1555,CONFIG_ASIGNATURAS!$B$2:$J$91,9,FALSE()),""))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IF(DATOS!$A1556="",0,IF(CONFIG_METADATA!$B$4&lt;&gt;"OR+EX",--(DATOS!$G1556=CONFIG_METADATA!$B$4),IF(DATOS!$G1556="EX",1,IF(DATOS!$G1556="OR",--(COUNTIFS(nNIA,DATOS!$A1556,nCURSO,DATOS!$D1556,nESPEC,DATOS!$E1556,nASIG,DATOS!$I1556,nEVAL,"EX")=0),0))))</f>
      </c>
      <c r="H1556">
        <f>IF(DATOS!$G1556&lt;&gt;"EX",0,--(COUNTIFS(nNIA,DATOS!$A1556,nCURSO,DATOS!$D1556,nESPEC,DATOS!$E1556,nASIG,DATOS!$I1556,nEVAL,"OR")=0))</f>
      </c>
      <c r="I1556">
        <f>IF(DATOS!$I1556="","",IFERROR(VLOOKUP(DATOS!$I1556,CONFIG_ASIGNATURAS!$B$2:$J$91,9,FALSE()),""))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IF(DATOS!$A1557="",0,IF(CONFIG_METADATA!$B$4&lt;&gt;"OR+EX",--(DATOS!$G1557=CONFIG_METADATA!$B$4),IF(DATOS!$G1557="EX",1,IF(DATOS!$G1557="OR",--(COUNTIFS(nNIA,DATOS!$A1557,nCURSO,DATOS!$D1557,nESPEC,DATOS!$E1557,nASIG,DATOS!$I1557,nEVAL,"EX")=0),0))))</f>
      </c>
      <c r="H1557">
        <f>IF(DATOS!$G1557&lt;&gt;"EX",0,--(COUNTIFS(nNIA,DATOS!$A1557,nCURSO,DATOS!$D1557,nESPEC,DATOS!$E1557,nASIG,DATOS!$I1557,nEVAL,"OR")=0))</f>
      </c>
      <c r="I1557">
        <f>IF(DATOS!$I1557="","",IFERROR(VLOOKUP(DATOS!$I1557,CONFIG_ASIGNATURAS!$B$2:$J$91,9,FALSE()),""))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IF(DATOS!$A1558="",0,IF(CONFIG_METADATA!$B$4&lt;&gt;"OR+EX",--(DATOS!$G1558=CONFIG_METADATA!$B$4),IF(DATOS!$G1558="EX",1,IF(DATOS!$G1558="OR",--(COUNTIFS(nNIA,DATOS!$A1558,nCURSO,DATOS!$D1558,nESPEC,DATOS!$E1558,nASIG,DATOS!$I1558,nEVAL,"EX")=0),0))))</f>
      </c>
      <c r="H1558">
        <f>IF(DATOS!$G1558&lt;&gt;"EX",0,--(COUNTIFS(nNIA,DATOS!$A1558,nCURSO,DATOS!$D1558,nESPEC,DATOS!$E1558,nASIG,DATOS!$I1558,nEVAL,"OR")=0))</f>
      </c>
      <c r="I1558">
        <f>IF(DATOS!$I1558="","",IFERROR(VLOOKUP(DATOS!$I1558,CONFIG_ASIGNATURAS!$B$2:$J$91,9,FALSE()),""))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IF(DATOS!$A1559="",0,IF(CONFIG_METADATA!$B$4&lt;&gt;"OR+EX",--(DATOS!$G1559=CONFIG_METADATA!$B$4),IF(DATOS!$G1559="EX",1,IF(DATOS!$G1559="OR",--(COUNTIFS(nNIA,DATOS!$A1559,nCURSO,DATOS!$D1559,nESPEC,DATOS!$E1559,nASIG,DATOS!$I1559,nEVAL,"EX")=0),0))))</f>
      </c>
      <c r="H1559">
        <f>IF(DATOS!$G1559&lt;&gt;"EX",0,--(COUNTIFS(nNIA,DATOS!$A1559,nCURSO,DATOS!$D1559,nESPEC,DATOS!$E1559,nASIG,DATOS!$I1559,nEVAL,"OR")=0))</f>
      </c>
      <c r="I1559">
        <f>IF(DATOS!$I1559="","",IFERROR(VLOOKUP(DATOS!$I1559,CONFIG_ASIGNATURAS!$B$2:$J$91,9,FALSE()),""))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IF(DATOS!$A1560="",0,IF(CONFIG_METADATA!$B$4&lt;&gt;"OR+EX",--(DATOS!$G1560=CONFIG_METADATA!$B$4),IF(DATOS!$G1560="EX",1,IF(DATOS!$G1560="OR",--(COUNTIFS(nNIA,DATOS!$A1560,nCURSO,DATOS!$D1560,nESPEC,DATOS!$E1560,nASIG,DATOS!$I1560,nEVAL,"EX")=0),0))))</f>
      </c>
      <c r="H1560">
        <f>IF(DATOS!$G1560&lt;&gt;"EX",0,--(COUNTIFS(nNIA,DATOS!$A1560,nCURSO,DATOS!$D1560,nESPEC,DATOS!$E1560,nASIG,DATOS!$I1560,nEVAL,"OR")=0))</f>
      </c>
      <c r="I1560">
        <f>IF(DATOS!$I1560="","",IFERROR(VLOOKUP(DATOS!$I1560,CONFIG_ASIGNATURAS!$B$2:$J$91,9,FALSE()),""))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IF(DATOS!$A1561="",0,IF(CONFIG_METADATA!$B$4&lt;&gt;"OR+EX",--(DATOS!$G1561=CONFIG_METADATA!$B$4),IF(DATOS!$G1561="EX",1,IF(DATOS!$G1561="OR",--(COUNTIFS(nNIA,DATOS!$A1561,nCURSO,DATOS!$D1561,nESPEC,DATOS!$E1561,nASIG,DATOS!$I1561,nEVAL,"EX")=0),0))))</f>
      </c>
      <c r="H1561">
        <f>IF(DATOS!$G1561&lt;&gt;"EX",0,--(COUNTIFS(nNIA,DATOS!$A1561,nCURSO,DATOS!$D1561,nESPEC,DATOS!$E1561,nASIG,DATOS!$I1561,nEVAL,"OR")=0))</f>
      </c>
      <c r="I1561">
        <f>IF(DATOS!$I1561="","",IFERROR(VLOOKUP(DATOS!$I1561,CONFIG_ASIGNATURAS!$B$2:$J$91,9,FALSE()),""))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IF(DATOS!$A1562="",0,IF(CONFIG_METADATA!$B$4&lt;&gt;"OR+EX",--(DATOS!$G1562=CONFIG_METADATA!$B$4),IF(DATOS!$G1562="EX",1,IF(DATOS!$G1562="OR",--(COUNTIFS(nNIA,DATOS!$A1562,nCURSO,DATOS!$D1562,nESPEC,DATOS!$E1562,nASIG,DATOS!$I1562,nEVAL,"EX")=0),0))))</f>
      </c>
      <c r="H1562">
        <f>IF(DATOS!$G1562&lt;&gt;"EX",0,--(COUNTIFS(nNIA,DATOS!$A1562,nCURSO,DATOS!$D1562,nESPEC,DATOS!$E1562,nASIG,DATOS!$I1562,nEVAL,"OR")=0))</f>
      </c>
      <c r="I1562">
        <f>IF(DATOS!$I1562="","",IFERROR(VLOOKUP(DATOS!$I1562,CONFIG_ASIGNATURAS!$B$2:$J$91,9,FALSE()),""))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IF(DATOS!$A1563="",0,IF(CONFIG_METADATA!$B$4&lt;&gt;"OR+EX",--(DATOS!$G1563=CONFIG_METADATA!$B$4),IF(DATOS!$G1563="EX",1,IF(DATOS!$G1563="OR",--(COUNTIFS(nNIA,DATOS!$A1563,nCURSO,DATOS!$D1563,nESPEC,DATOS!$E1563,nASIG,DATOS!$I1563,nEVAL,"EX")=0),0))))</f>
      </c>
      <c r="H1563">
        <f>IF(DATOS!$G1563&lt;&gt;"EX",0,--(COUNTIFS(nNIA,DATOS!$A1563,nCURSO,DATOS!$D1563,nESPEC,DATOS!$E1563,nASIG,DATOS!$I1563,nEVAL,"OR")=0))</f>
      </c>
      <c r="I1563">
        <f>IF(DATOS!$I1563="","",IFERROR(VLOOKUP(DATOS!$I1563,CONFIG_ASIGNATURAS!$B$2:$J$91,9,FALSE()),""))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IF(DATOS!$A1564="",0,IF(CONFIG_METADATA!$B$4&lt;&gt;"OR+EX",--(DATOS!$G1564=CONFIG_METADATA!$B$4),IF(DATOS!$G1564="EX",1,IF(DATOS!$G1564="OR",--(COUNTIFS(nNIA,DATOS!$A1564,nCURSO,DATOS!$D1564,nESPEC,DATOS!$E1564,nASIG,DATOS!$I1564,nEVAL,"EX")=0),0))))</f>
      </c>
      <c r="H1564">
        <f>IF(DATOS!$G1564&lt;&gt;"EX",0,--(COUNTIFS(nNIA,DATOS!$A1564,nCURSO,DATOS!$D1564,nESPEC,DATOS!$E1564,nASIG,DATOS!$I1564,nEVAL,"OR")=0))</f>
      </c>
      <c r="I1564">
        <f>IF(DATOS!$I1564="","",IFERROR(VLOOKUP(DATOS!$I1564,CONFIG_ASIGNATURAS!$B$2:$J$91,9,FALSE()),""))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IF(DATOS!$A1565="",0,IF(CONFIG_METADATA!$B$4&lt;&gt;"OR+EX",--(DATOS!$G1565=CONFIG_METADATA!$B$4),IF(DATOS!$G1565="EX",1,IF(DATOS!$G1565="OR",--(COUNTIFS(nNIA,DATOS!$A1565,nCURSO,DATOS!$D1565,nESPEC,DATOS!$E1565,nASIG,DATOS!$I1565,nEVAL,"EX")=0),0))))</f>
      </c>
      <c r="H1565">
        <f>IF(DATOS!$G1565&lt;&gt;"EX",0,--(COUNTIFS(nNIA,DATOS!$A1565,nCURSO,DATOS!$D1565,nESPEC,DATOS!$E1565,nASIG,DATOS!$I1565,nEVAL,"OR")=0))</f>
      </c>
      <c r="I1565">
        <f>IF(DATOS!$I1565="","",IFERROR(VLOOKUP(DATOS!$I1565,CONFIG_ASIGNATURAS!$B$2:$J$91,9,FALSE()),""))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IF(DATOS!$A1566="",0,IF(CONFIG_METADATA!$B$4&lt;&gt;"OR+EX",--(DATOS!$G1566=CONFIG_METADATA!$B$4),IF(DATOS!$G1566="EX",1,IF(DATOS!$G1566="OR",--(COUNTIFS(nNIA,DATOS!$A1566,nCURSO,DATOS!$D1566,nESPEC,DATOS!$E1566,nASIG,DATOS!$I1566,nEVAL,"EX")=0),0))))</f>
      </c>
      <c r="H1566">
        <f>IF(DATOS!$G1566&lt;&gt;"EX",0,--(COUNTIFS(nNIA,DATOS!$A1566,nCURSO,DATOS!$D1566,nESPEC,DATOS!$E1566,nASIG,DATOS!$I1566,nEVAL,"OR")=0))</f>
      </c>
      <c r="I1566">
        <f>IF(DATOS!$I1566="","",IFERROR(VLOOKUP(DATOS!$I1566,CONFIG_ASIGNATURAS!$B$2:$J$91,9,FALSE()),""))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IF(DATOS!$A1567="",0,IF(CONFIG_METADATA!$B$4&lt;&gt;"OR+EX",--(DATOS!$G1567=CONFIG_METADATA!$B$4),IF(DATOS!$G1567="EX",1,IF(DATOS!$G1567="OR",--(COUNTIFS(nNIA,DATOS!$A1567,nCURSO,DATOS!$D1567,nESPEC,DATOS!$E1567,nASIG,DATOS!$I1567,nEVAL,"EX")=0),0))))</f>
      </c>
      <c r="H1567">
        <f>IF(DATOS!$G1567&lt;&gt;"EX",0,--(COUNTIFS(nNIA,DATOS!$A1567,nCURSO,DATOS!$D1567,nESPEC,DATOS!$E1567,nASIG,DATOS!$I1567,nEVAL,"OR")=0))</f>
      </c>
      <c r="I1567">
        <f>IF(DATOS!$I1567="","",IFERROR(VLOOKUP(DATOS!$I1567,CONFIG_ASIGNATURAS!$B$2:$J$91,9,FALSE()),""))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IF(DATOS!$A1568="",0,IF(CONFIG_METADATA!$B$4&lt;&gt;"OR+EX",--(DATOS!$G1568=CONFIG_METADATA!$B$4),IF(DATOS!$G1568="EX",1,IF(DATOS!$G1568="OR",--(COUNTIFS(nNIA,DATOS!$A1568,nCURSO,DATOS!$D1568,nESPEC,DATOS!$E1568,nASIG,DATOS!$I1568,nEVAL,"EX")=0),0))))</f>
      </c>
      <c r="H1568">
        <f>IF(DATOS!$G1568&lt;&gt;"EX",0,--(COUNTIFS(nNIA,DATOS!$A1568,nCURSO,DATOS!$D1568,nESPEC,DATOS!$E1568,nASIG,DATOS!$I1568,nEVAL,"OR")=0))</f>
      </c>
      <c r="I1568">
        <f>IF(DATOS!$I1568="","",IFERROR(VLOOKUP(DATOS!$I1568,CONFIG_ASIGNATURAS!$B$2:$J$91,9,FALSE()),""))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IF(DATOS!$A1569="",0,IF(CONFIG_METADATA!$B$4&lt;&gt;"OR+EX",--(DATOS!$G1569=CONFIG_METADATA!$B$4),IF(DATOS!$G1569="EX",1,IF(DATOS!$G1569="OR",--(COUNTIFS(nNIA,DATOS!$A1569,nCURSO,DATOS!$D1569,nESPEC,DATOS!$E1569,nASIG,DATOS!$I1569,nEVAL,"EX")=0),0))))</f>
      </c>
      <c r="H1569">
        <f>IF(DATOS!$G1569&lt;&gt;"EX",0,--(COUNTIFS(nNIA,DATOS!$A1569,nCURSO,DATOS!$D1569,nESPEC,DATOS!$E1569,nASIG,DATOS!$I1569,nEVAL,"OR")=0))</f>
      </c>
      <c r="I1569">
        <f>IF(DATOS!$I1569="","",IFERROR(VLOOKUP(DATOS!$I1569,CONFIG_ASIGNATURAS!$B$2:$J$91,9,FALSE()),""))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IF(DATOS!$A1570="",0,IF(CONFIG_METADATA!$B$4&lt;&gt;"OR+EX",--(DATOS!$G1570=CONFIG_METADATA!$B$4),IF(DATOS!$G1570="EX",1,IF(DATOS!$G1570="OR",--(COUNTIFS(nNIA,DATOS!$A1570,nCURSO,DATOS!$D1570,nESPEC,DATOS!$E1570,nASIG,DATOS!$I1570,nEVAL,"EX")=0),0))))</f>
      </c>
      <c r="H1570">
        <f>IF(DATOS!$G1570&lt;&gt;"EX",0,--(COUNTIFS(nNIA,DATOS!$A1570,nCURSO,DATOS!$D1570,nESPEC,DATOS!$E1570,nASIG,DATOS!$I1570,nEVAL,"OR")=0))</f>
      </c>
      <c r="I1570">
        <f>IF(DATOS!$I1570="","",IFERROR(VLOOKUP(DATOS!$I1570,CONFIG_ASIGNATURAS!$B$2:$J$91,9,FALSE()),""))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IF(DATOS!$A1571="",0,IF(CONFIG_METADATA!$B$4&lt;&gt;"OR+EX",--(DATOS!$G1571=CONFIG_METADATA!$B$4),IF(DATOS!$G1571="EX",1,IF(DATOS!$G1571="OR",--(COUNTIFS(nNIA,DATOS!$A1571,nCURSO,DATOS!$D1571,nESPEC,DATOS!$E1571,nASIG,DATOS!$I1571,nEVAL,"EX")=0),0))))</f>
      </c>
      <c r="H1571">
        <f>IF(DATOS!$G1571&lt;&gt;"EX",0,--(COUNTIFS(nNIA,DATOS!$A1571,nCURSO,DATOS!$D1571,nESPEC,DATOS!$E1571,nASIG,DATOS!$I1571,nEVAL,"OR")=0))</f>
      </c>
      <c r="I1571">
        <f>IF(DATOS!$I1571="","",IFERROR(VLOOKUP(DATOS!$I1571,CONFIG_ASIGNATURAS!$B$2:$J$91,9,FALSE()),""))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IF(DATOS!$A1572="",0,IF(CONFIG_METADATA!$B$4&lt;&gt;"OR+EX",--(DATOS!$G1572=CONFIG_METADATA!$B$4),IF(DATOS!$G1572="EX",1,IF(DATOS!$G1572="OR",--(COUNTIFS(nNIA,DATOS!$A1572,nCURSO,DATOS!$D1572,nESPEC,DATOS!$E1572,nASIG,DATOS!$I1572,nEVAL,"EX")=0),0))))</f>
      </c>
      <c r="H1572">
        <f>IF(DATOS!$G1572&lt;&gt;"EX",0,--(COUNTIFS(nNIA,DATOS!$A1572,nCURSO,DATOS!$D1572,nESPEC,DATOS!$E1572,nASIG,DATOS!$I1572,nEVAL,"OR")=0))</f>
      </c>
      <c r="I1572">
        <f>IF(DATOS!$I1572="","",IFERROR(VLOOKUP(DATOS!$I1572,CONFIG_ASIGNATURAS!$B$2:$J$91,9,FALSE()),""))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IF(DATOS!$A1573="",0,IF(CONFIG_METADATA!$B$4&lt;&gt;"OR+EX",--(DATOS!$G1573=CONFIG_METADATA!$B$4),IF(DATOS!$G1573="EX",1,IF(DATOS!$G1573="OR",--(COUNTIFS(nNIA,DATOS!$A1573,nCURSO,DATOS!$D1573,nESPEC,DATOS!$E1573,nASIG,DATOS!$I1573,nEVAL,"EX")=0),0))))</f>
      </c>
      <c r="H1573">
        <f>IF(DATOS!$G1573&lt;&gt;"EX",0,--(COUNTIFS(nNIA,DATOS!$A1573,nCURSO,DATOS!$D1573,nESPEC,DATOS!$E1573,nASIG,DATOS!$I1573,nEVAL,"OR")=0))</f>
      </c>
      <c r="I1573">
        <f>IF(DATOS!$I1573="","",IFERROR(VLOOKUP(DATOS!$I1573,CONFIG_ASIGNATURAS!$B$2:$J$91,9,FALSE()),""))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IF(DATOS!$A1574="",0,IF(CONFIG_METADATA!$B$4&lt;&gt;"OR+EX",--(DATOS!$G1574=CONFIG_METADATA!$B$4),IF(DATOS!$G1574="EX",1,IF(DATOS!$G1574="OR",--(COUNTIFS(nNIA,DATOS!$A1574,nCURSO,DATOS!$D1574,nESPEC,DATOS!$E1574,nASIG,DATOS!$I1574,nEVAL,"EX")=0),0))))</f>
      </c>
      <c r="H1574">
        <f>IF(DATOS!$G1574&lt;&gt;"EX",0,--(COUNTIFS(nNIA,DATOS!$A1574,nCURSO,DATOS!$D1574,nESPEC,DATOS!$E1574,nASIG,DATOS!$I1574,nEVAL,"OR")=0))</f>
      </c>
      <c r="I1574">
        <f>IF(DATOS!$I1574="","",IFERROR(VLOOKUP(DATOS!$I1574,CONFIG_ASIGNATURAS!$B$2:$J$91,9,FALSE()),""))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IF(DATOS!$A1575="",0,IF(CONFIG_METADATA!$B$4&lt;&gt;"OR+EX",--(DATOS!$G1575=CONFIG_METADATA!$B$4),IF(DATOS!$G1575="EX",1,IF(DATOS!$G1575="OR",--(COUNTIFS(nNIA,DATOS!$A1575,nCURSO,DATOS!$D1575,nESPEC,DATOS!$E1575,nASIG,DATOS!$I1575,nEVAL,"EX")=0),0))))</f>
      </c>
      <c r="H1575">
        <f>IF(DATOS!$G1575&lt;&gt;"EX",0,--(COUNTIFS(nNIA,DATOS!$A1575,nCURSO,DATOS!$D1575,nESPEC,DATOS!$E1575,nASIG,DATOS!$I1575,nEVAL,"OR")=0))</f>
      </c>
      <c r="I1575">
        <f>IF(DATOS!$I1575="","",IFERROR(VLOOKUP(DATOS!$I1575,CONFIG_ASIGNATURAS!$B$2:$J$91,9,FALSE()),""))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IF(DATOS!$A1576="",0,IF(CONFIG_METADATA!$B$4&lt;&gt;"OR+EX",--(DATOS!$G1576=CONFIG_METADATA!$B$4),IF(DATOS!$G1576="EX",1,IF(DATOS!$G1576="OR",--(COUNTIFS(nNIA,DATOS!$A1576,nCURSO,DATOS!$D1576,nESPEC,DATOS!$E1576,nASIG,DATOS!$I1576,nEVAL,"EX")=0),0))))</f>
      </c>
      <c r="H1576">
        <f>IF(DATOS!$G1576&lt;&gt;"EX",0,--(COUNTIFS(nNIA,DATOS!$A1576,nCURSO,DATOS!$D1576,nESPEC,DATOS!$E1576,nASIG,DATOS!$I1576,nEVAL,"OR")=0))</f>
      </c>
      <c r="I1576">
        <f>IF(DATOS!$I1576="","",IFERROR(VLOOKUP(DATOS!$I1576,CONFIG_ASIGNATURAS!$B$2:$J$91,9,FALSE()),""))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IF(DATOS!$A1577="",0,IF(CONFIG_METADATA!$B$4&lt;&gt;"OR+EX",--(DATOS!$G1577=CONFIG_METADATA!$B$4),IF(DATOS!$G1577="EX",1,IF(DATOS!$G1577="OR",--(COUNTIFS(nNIA,DATOS!$A1577,nCURSO,DATOS!$D1577,nESPEC,DATOS!$E1577,nASIG,DATOS!$I1577,nEVAL,"EX")=0),0))))</f>
      </c>
      <c r="H1577">
        <f>IF(DATOS!$G1577&lt;&gt;"EX",0,--(COUNTIFS(nNIA,DATOS!$A1577,nCURSO,DATOS!$D1577,nESPEC,DATOS!$E1577,nASIG,DATOS!$I1577,nEVAL,"OR")=0))</f>
      </c>
      <c r="I1577">
        <f>IF(DATOS!$I1577="","",IFERROR(VLOOKUP(DATOS!$I1577,CONFIG_ASIGNATURAS!$B$2:$J$91,9,FALSE()),""))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IF(DATOS!$A1578="",0,IF(CONFIG_METADATA!$B$4&lt;&gt;"OR+EX",--(DATOS!$G1578=CONFIG_METADATA!$B$4),IF(DATOS!$G1578="EX",1,IF(DATOS!$G1578="OR",--(COUNTIFS(nNIA,DATOS!$A1578,nCURSO,DATOS!$D1578,nESPEC,DATOS!$E1578,nASIG,DATOS!$I1578,nEVAL,"EX")=0),0))))</f>
      </c>
      <c r="H1578">
        <f>IF(DATOS!$G1578&lt;&gt;"EX",0,--(COUNTIFS(nNIA,DATOS!$A1578,nCURSO,DATOS!$D1578,nESPEC,DATOS!$E1578,nASIG,DATOS!$I1578,nEVAL,"OR")=0))</f>
      </c>
      <c r="I1578">
        <f>IF(DATOS!$I1578="","",IFERROR(VLOOKUP(DATOS!$I1578,CONFIG_ASIGNATURAS!$B$2:$J$91,9,FALSE()),""))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IF(DATOS!$A1579="",0,IF(CONFIG_METADATA!$B$4&lt;&gt;"OR+EX",--(DATOS!$G1579=CONFIG_METADATA!$B$4),IF(DATOS!$G1579="EX",1,IF(DATOS!$G1579="OR",--(COUNTIFS(nNIA,DATOS!$A1579,nCURSO,DATOS!$D1579,nESPEC,DATOS!$E1579,nASIG,DATOS!$I1579,nEVAL,"EX")=0),0))))</f>
      </c>
      <c r="H1579">
        <f>IF(DATOS!$G1579&lt;&gt;"EX",0,--(COUNTIFS(nNIA,DATOS!$A1579,nCURSO,DATOS!$D1579,nESPEC,DATOS!$E1579,nASIG,DATOS!$I1579,nEVAL,"OR")=0))</f>
      </c>
      <c r="I1579">
        <f>IF(DATOS!$I1579="","",IFERROR(VLOOKUP(DATOS!$I1579,CONFIG_ASIGNATURAS!$B$2:$J$91,9,FALSE()),""))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IF(DATOS!$A1580="",0,IF(CONFIG_METADATA!$B$4&lt;&gt;"OR+EX",--(DATOS!$G1580=CONFIG_METADATA!$B$4),IF(DATOS!$G1580="EX",1,IF(DATOS!$G1580="OR",--(COUNTIFS(nNIA,DATOS!$A1580,nCURSO,DATOS!$D1580,nESPEC,DATOS!$E1580,nASIG,DATOS!$I1580,nEVAL,"EX")=0),0))))</f>
      </c>
      <c r="H1580">
        <f>IF(DATOS!$G1580&lt;&gt;"EX",0,--(COUNTIFS(nNIA,DATOS!$A1580,nCURSO,DATOS!$D1580,nESPEC,DATOS!$E1580,nASIG,DATOS!$I1580,nEVAL,"OR")=0))</f>
      </c>
      <c r="I1580">
        <f>IF(DATOS!$I1580="","",IFERROR(VLOOKUP(DATOS!$I1580,CONFIG_ASIGNATURAS!$B$2:$J$91,9,FALSE()),""))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IF(DATOS!$A1581="",0,IF(CONFIG_METADATA!$B$4&lt;&gt;"OR+EX",--(DATOS!$G1581=CONFIG_METADATA!$B$4),IF(DATOS!$G1581="EX",1,IF(DATOS!$G1581="OR",--(COUNTIFS(nNIA,DATOS!$A1581,nCURSO,DATOS!$D1581,nESPEC,DATOS!$E1581,nASIG,DATOS!$I1581,nEVAL,"EX")=0),0))))</f>
      </c>
      <c r="H1581">
        <f>IF(DATOS!$G1581&lt;&gt;"EX",0,--(COUNTIFS(nNIA,DATOS!$A1581,nCURSO,DATOS!$D1581,nESPEC,DATOS!$E1581,nASIG,DATOS!$I1581,nEVAL,"OR")=0))</f>
      </c>
      <c r="I1581">
        <f>IF(DATOS!$I1581="","",IFERROR(VLOOKUP(DATOS!$I1581,CONFIG_ASIGNATURAS!$B$2:$J$91,9,FALSE()),""))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IF(DATOS!$A1582="",0,IF(CONFIG_METADATA!$B$4&lt;&gt;"OR+EX",--(DATOS!$G1582=CONFIG_METADATA!$B$4),IF(DATOS!$G1582="EX",1,IF(DATOS!$G1582="OR",--(COUNTIFS(nNIA,DATOS!$A1582,nCURSO,DATOS!$D1582,nESPEC,DATOS!$E1582,nASIG,DATOS!$I1582,nEVAL,"EX")=0),0))))</f>
      </c>
      <c r="H1582">
        <f>IF(DATOS!$G1582&lt;&gt;"EX",0,--(COUNTIFS(nNIA,DATOS!$A1582,nCURSO,DATOS!$D1582,nESPEC,DATOS!$E1582,nASIG,DATOS!$I1582,nEVAL,"OR")=0))</f>
      </c>
      <c r="I1582">
        <f>IF(DATOS!$I1582="","",IFERROR(VLOOKUP(DATOS!$I1582,CONFIG_ASIGNATURAS!$B$2:$J$91,9,FALSE()),""))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IF(DATOS!$A1583="",0,IF(CONFIG_METADATA!$B$4&lt;&gt;"OR+EX",--(DATOS!$G1583=CONFIG_METADATA!$B$4),IF(DATOS!$G1583="EX",1,IF(DATOS!$G1583="OR",--(COUNTIFS(nNIA,DATOS!$A1583,nCURSO,DATOS!$D1583,nESPEC,DATOS!$E1583,nASIG,DATOS!$I1583,nEVAL,"EX")=0),0))))</f>
      </c>
      <c r="H1583">
        <f>IF(DATOS!$G1583&lt;&gt;"EX",0,--(COUNTIFS(nNIA,DATOS!$A1583,nCURSO,DATOS!$D1583,nESPEC,DATOS!$E1583,nASIG,DATOS!$I1583,nEVAL,"OR")=0))</f>
      </c>
      <c r="I1583">
        <f>IF(DATOS!$I1583="","",IFERROR(VLOOKUP(DATOS!$I1583,CONFIG_ASIGNATURAS!$B$2:$J$91,9,FALSE()),""))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IF(DATOS!$A1584="",0,IF(CONFIG_METADATA!$B$4&lt;&gt;"OR+EX",--(DATOS!$G1584=CONFIG_METADATA!$B$4),IF(DATOS!$G1584="EX",1,IF(DATOS!$G1584="OR",--(COUNTIFS(nNIA,DATOS!$A1584,nCURSO,DATOS!$D1584,nESPEC,DATOS!$E1584,nASIG,DATOS!$I1584,nEVAL,"EX")=0),0))))</f>
      </c>
      <c r="H1584">
        <f>IF(DATOS!$G1584&lt;&gt;"EX",0,--(COUNTIFS(nNIA,DATOS!$A1584,nCURSO,DATOS!$D1584,nESPEC,DATOS!$E1584,nASIG,DATOS!$I1584,nEVAL,"OR")=0))</f>
      </c>
      <c r="I1584">
        <f>IF(DATOS!$I1584="","",IFERROR(VLOOKUP(DATOS!$I1584,CONFIG_ASIGNATURAS!$B$2:$J$91,9,FALSE()),""))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IF(DATOS!$A1585="",0,IF(CONFIG_METADATA!$B$4&lt;&gt;"OR+EX",--(DATOS!$G1585=CONFIG_METADATA!$B$4),IF(DATOS!$G1585="EX",1,IF(DATOS!$G1585="OR",--(COUNTIFS(nNIA,DATOS!$A1585,nCURSO,DATOS!$D1585,nESPEC,DATOS!$E1585,nASIG,DATOS!$I1585,nEVAL,"EX")=0),0))))</f>
      </c>
      <c r="H1585">
        <f>IF(DATOS!$G1585&lt;&gt;"EX",0,--(COUNTIFS(nNIA,DATOS!$A1585,nCURSO,DATOS!$D1585,nESPEC,DATOS!$E1585,nASIG,DATOS!$I1585,nEVAL,"OR")=0))</f>
      </c>
      <c r="I1585">
        <f>IF(DATOS!$I1585="","",IFERROR(VLOOKUP(DATOS!$I1585,CONFIG_ASIGNATURAS!$B$2:$J$91,9,FALSE()),""))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IF(DATOS!$A1586="",0,IF(CONFIG_METADATA!$B$4&lt;&gt;"OR+EX",--(DATOS!$G1586=CONFIG_METADATA!$B$4),IF(DATOS!$G1586="EX",1,IF(DATOS!$G1586="OR",--(COUNTIFS(nNIA,DATOS!$A1586,nCURSO,DATOS!$D1586,nESPEC,DATOS!$E1586,nASIG,DATOS!$I1586,nEVAL,"EX")=0),0))))</f>
      </c>
      <c r="H1586">
        <f>IF(DATOS!$G1586&lt;&gt;"EX",0,--(COUNTIFS(nNIA,DATOS!$A1586,nCURSO,DATOS!$D1586,nESPEC,DATOS!$E1586,nASIG,DATOS!$I1586,nEVAL,"OR")=0))</f>
      </c>
      <c r="I1586">
        <f>IF(DATOS!$I1586="","",IFERROR(VLOOKUP(DATOS!$I1586,CONFIG_ASIGNATURAS!$B$2:$J$91,9,FALSE()),""))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IF(DATOS!$A1587="",0,IF(CONFIG_METADATA!$B$4&lt;&gt;"OR+EX",--(DATOS!$G1587=CONFIG_METADATA!$B$4),IF(DATOS!$G1587="EX",1,IF(DATOS!$G1587="OR",--(COUNTIFS(nNIA,DATOS!$A1587,nCURSO,DATOS!$D1587,nESPEC,DATOS!$E1587,nASIG,DATOS!$I1587,nEVAL,"EX")=0),0))))</f>
      </c>
      <c r="H1587">
        <f>IF(DATOS!$G1587&lt;&gt;"EX",0,--(COUNTIFS(nNIA,DATOS!$A1587,nCURSO,DATOS!$D1587,nESPEC,DATOS!$E1587,nASIG,DATOS!$I1587,nEVAL,"OR")=0))</f>
      </c>
      <c r="I1587">
        <f>IF(DATOS!$I1587="","",IFERROR(VLOOKUP(DATOS!$I1587,CONFIG_ASIGNATURAS!$B$2:$J$91,9,FALSE()),""))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IF(DATOS!$A1588="",0,IF(CONFIG_METADATA!$B$4&lt;&gt;"OR+EX",--(DATOS!$G1588=CONFIG_METADATA!$B$4),IF(DATOS!$G1588="EX",1,IF(DATOS!$G1588="OR",--(COUNTIFS(nNIA,DATOS!$A1588,nCURSO,DATOS!$D1588,nESPEC,DATOS!$E1588,nASIG,DATOS!$I1588,nEVAL,"EX")=0),0))))</f>
      </c>
      <c r="H1588">
        <f>IF(DATOS!$G1588&lt;&gt;"EX",0,--(COUNTIFS(nNIA,DATOS!$A1588,nCURSO,DATOS!$D1588,nESPEC,DATOS!$E1588,nASIG,DATOS!$I1588,nEVAL,"OR")=0))</f>
      </c>
      <c r="I1588">
        <f>IF(DATOS!$I1588="","",IFERROR(VLOOKUP(DATOS!$I1588,CONFIG_ASIGNATURAS!$B$2:$J$91,9,FALSE()),""))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IF(DATOS!$A1589="",0,IF(CONFIG_METADATA!$B$4&lt;&gt;"OR+EX",--(DATOS!$G1589=CONFIG_METADATA!$B$4),IF(DATOS!$G1589="EX",1,IF(DATOS!$G1589="OR",--(COUNTIFS(nNIA,DATOS!$A1589,nCURSO,DATOS!$D1589,nESPEC,DATOS!$E1589,nASIG,DATOS!$I1589,nEVAL,"EX")=0),0))))</f>
      </c>
      <c r="H1589">
        <f>IF(DATOS!$G1589&lt;&gt;"EX",0,--(COUNTIFS(nNIA,DATOS!$A1589,nCURSO,DATOS!$D1589,nESPEC,DATOS!$E1589,nASIG,DATOS!$I1589,nEVAL,"OR")=0))</f>
      </c>
      <c r="I1589">
        <f>IF(DATOS!$I1589="","",IFERROR(VLOOKUP(DATOS!$I1589,CONFIG_ASIGNATURAS!$B$2:$J$91,9,FALSE()),""))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IF(DATOS!$A1590="",0,IF(CONFIG_METADATA!$B$4&lt;&gt;"OR+EX",--(DATOS!$G1590=CONFIG_METADATA!$B$4),IF(DATOS!$G1590="EX",1,IF(DATOS!$G1590="OR",--(COUNTIFS(nNIA,DATOS!$A1590,nCURSO,DATOS!$D1590,nESPEC,DATOS!$E1590,nASIG,DATOS!$I1590,nEVAL,"EX")=0),0))))</f>
      </c>
      <c r="H1590">
        <f>IF(DATOS!$G1590&lt;&gt;"EX",0,--(COUNTIFS(nNIA,DATOS!$A1590,nCURSO,DATOS!$D1590,nESPEC,DATOS!$E1590,nASIG,DATOS!$I1590,nEVAL,"OR")=0))</f>
      </c>
      <c r="I1590">
        <f>IF(DATOS!$I1590="","",IFERROR(VLOOKUP(DATOS!$I1590,CONFIG_ASIGNATURAS!$B$2:$J$91,9,FALSE()),""))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IF(DATOS!$A1591="",0,IF(CONFIG_METADATA!$B$4&lt;&gt;"OR+EX",--(DATOS!$G1591=CONFIG_METADATA!$B$4),IF(DATOS!$G1591="EX",1,IF(DATOS!$G1591="OR",--(COUNTIFS(nNIA,DATOS!$A1591,nCURSO,DATOS!$D1591,nESPEC,DATOS!$E1591,nASIG,DATOS!$I1591,nEVAL,"EX")=0),0))))</f>
      </c>
      <c r="H1591">
        <f>IF(DATOS!$G1591&lt;&gt;"EX",0,--(COUNTIFS(nNIA,DATOS!$A1591,nCURSO,DATOS!$D1591,nESPEC,DATOS!$E1591,nASIG,DATOS!$I1591,nEVAL,"OR")=0))</f>
      </c>
      <c r="I1591">
        <f>IF(DATOS!$I1591="","",IFERROR(VLOOKUP(DATOS!$I1591,CONFIG_ASIGNATURAS!$B$2:$J$91,9,FALSE()),""))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IF(DATOS!$A1592="",0,IF(CONFIG_METADATA!$B$4&lt;&gt;"OR+EX",--(DATOS!$G1592=CONFIG_METADATA!$B$4),IF(DATOS!$G1592="EX",1,IF(DATOS!$G1592="OR",--(COUNTIFS(nNIA,DATOS!$A1592,nCURSO,DATOS!$D1592,nESPEC,DATOS!$E1592,nASIG,DATOS!$I1592,nEVAL,"EX")=0),0))))</f>
      </c>
      <c r="H1592">
        <f>IF(DATOS!$G1592&lt;&gt;"EX",0,--(COUNTIFS(nNIA,DATOS!$A1592,nCURSO,DATOS!$D1592,nESPEC,DATOS!$E1592,nASIG,DATOS!$I1592,nEVAL,"OR")=0))</f>
      </c>
      <c r="I1592">
        <f>IF(DATOS!$I1592="","",IFERROR(VLOOKUP(DATOS!$I1592,CONFIG_ASIGNATURAS!$B$2:$J$91,9,FALSE()),""))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IF(DATOS!$A1593="",0,IF(CONFIG_METADATA!$B$4&lt;&gt;"OR+EX",--(DATOS!$G1593=CONFIG_METADATA!$B$4),IF(DATOS!$G1593="EX",1,IF(DATOS!$G1593="OR",--(COUNTIFS(nNIA,DATOS!$A1593,nCURSO,DATOS!$D1593,nESPEC,DATOS!$E1593,nASIG,DATOS!$I1593,nEVAL,"EX")=0),0))))</f>
      </c>
      <c r="H1593">
        <f>IF(DATOS!$G1593&lt;&gt;"EX",0,--(COUNTIFS(nNIA,DATOS!$A1593,nCURSO,DATOS!$D1593,nESPEC,DATOS!$E1593,nASIG,DATOS!$I1593,nEVAL,"OR")=0))</f>
      </c>
      <c r="I1593">
        <f>IF(DATOS!$I1593="","",IFERROR(VLOOKUP(DATOS!$I1593,CONFIG_ASIGNATURAS!$B$2:$J$91,9,FALSE()),""))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IF(DATOS!$A1594="",0,IF(CONFIG_METADATA!$B$4&lt;&gt;"OR+EX",--(DATOS!$G1594=CONFIG_METADATA!$B$4),IF(DATOS!$G1594="EX",1,IF(DATOS!$G1594="OR",--(COUNTIFS(nNIA,DATOS!$A1594,nCURSO,DATOS!$D1594,nESPEC,DATOS!$E1594,nASIG,DATOS!$I1594,nEVAL,"EX")=0),0))))</f>
      </c>
      <c r="H1594">
        <f>IF(DATOS!$G1594&lt;&gt;"EX",0,--(COUNTIFS(nNIA,DATOS!$A1594,nCURSO,DATOS!$D1594,nESPEC,DATOS!$E1594,nASIG,DATOS!$I1594,nEVAL,"OR")=0))</f>
      </c>
      <c r="I1594">
        <f>IF(DATOS!$I1594="","",IFERROR(VLOOKUP(DATOS!$I1594,CONFIG_ASIGNATURAS!$B$2:$J$91,9,FALSE()),""))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IF(DATOS!$A1595="",0,IF(CONFIG_METADATA!$B$4&lt;&gt;"OR+EX",--(DATOS!$G1595=CONFIG_METADATA!$B$4),IF(DATOS!$G1595="EX",1,IF(DATOS!$G1595="OR",--(COUNTIFS(nNIA,DATOS!$A1595,nCURSO,DATOS!$D1595,nESPEC,DATOS!$E1595,nASIG,DATOS!$I1595,nEVAL,"EX")=0),0))))</f>
      </c>
      <c r="H1595">
        <f>IF(DATOS!$G1595&lt;&gt;"EX",0,--(COUNTIFS(nNIA,DATOS!$A1595,nCURSO,DATOS!$D1595,nESPEC,DATOS!$E1595,nASIG,DATOS!$I1595,nEVAL,"OR")=0))</f>
      </c>
      <c r="I1595">
        <f>IF(DATOS!$I1595="","",IFERROR(VLOOKUP(DATOS!$I1595,CONFIG_ASIGNATURAS!$B$2:$J$91,9,FALSE()),""))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IF(DATOS!$A1596="",0,IF(CONFIG_METADATA!$B$4&lt;&gt;"OR+EX",--(DATOS!$G1596=CONFIG_METADATA!$B$4),IF(DATOS!$G1596="EX",1,IF(DATOS!$G1596="OR",--(COUNTIFS(nNIA,DATOS!$A1596,nCURSO,DATOS!$D1596,nESPEC,DATOS!$E1596,nASIG,DATOS!$I1596,nEVAL,"EX")=0),0))))</f>
      </c>
      <c r="H1596">
        <f>IF(DATOS!$G1596&lt;&gt;"EX",0,--(COUNTIFS(nNIA,DATOS!$A1596,nCURSO,DATOS!$D1596,nESPEC,DATOS!$E1596,nASIG,DATOS!$I1596,nEVAL,"OR")=0))</f>
      </c>
      <c r="I1596">
        <f>IF(DATOS!$I1596="","",IFERROR(VLOOKUP(DATOS!$I1596,CONFIG_ASIGNATURAS!$B$2:$J$91,9,FALSE()),""))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IF(DATOS!$A1597="",0,IF(CONFIG_METADATA!$B$4&lt;&gt;"OR+EX",--(DATOS!$G1597=CONFIG_METADATA!$B$4),IF(DATOS!$G1597="EX",1,IF(DATOS!$G1597="OR",--(COUNTIFS(nNIA,DATOS!$A1597,nCURSO,DATOS!$D1597,nESPEC,DATOS!$E1597,nASIG,DATOS!$I1597,nEVAL,"EX")=0),0))))</f>
      </c>
      <c r="H1597">
        <f>IF(DATOS!$G1597&lt;&gt;"EX",0,--(COUNTIFS(nNIA,DATOS!$A1597,nCURSO,DATOS!$D1597,nESPEC,DATOS!$E1597,nASIG,DATOS!$I1597,nEVAL,"OR")=0))</f>
      </c>
      <c r="I1597">
        <f>IF(DATOS!$I1597="","",IFERROR(VLOOKUP(DATOS!$I1597,CONFIG_ASIGNATURAS!$B$2:$J$91,9,FALSE()),""))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IF(DATOS!$A1598="",0,IF(CONFIG_METADATA!$B$4&lt;&gt;"OR+EX",--(DATOS!$G1598=CONFIG_METADATA!$B$4),IF(DATOS!$G1598="EX",1,IF(DATOS!$G1598="OR",--(COUNTIFS(nNIA,DATOS!$A1598,nCURSO,DATOS!$D1598,nESPEC,DATOS!$E1598,nASIG,DATOS!$I1598,nEVAL,"EX")=0),0))))</f>
      </c>
      <c r="H1598">
        <f>IF(DATOS!$G1598&lt;&gt;"EX",0,--(COUNTIFS(nNIA,DATOS!$A1598,nCURSO,DATOS!$D1598,nESPEC,DATOS!$E1598,nASIG,DATOS!$I1598,nEVAL,"OR")=0))</f>
      </c>
      <c r="I1598">
        <f>IF(DATOS!$I1598="","",IFERROR(VLOOKUP(DATOS!$I1598,CONFIG_ASIGNATURAS!$B$2:$J$91,9,FALSE()),""))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IF(DATOS!$A1599="",0,IF(CONFIG_METADATA!$B$4&lt;&gt;"OR+EX",--(DATOS!$G1599=CONFIG_METADATA!$B$4),IF(DATOS!$G1599="EX",1,IF(DATOS!$G1599="OR",--(COUNTIFS(nNIA,DATOS!$A1599,nCURSO,DATOS!$D1599,nESPEC,DATOS!$E1599,nASIG,DATOS!$I1599,nEVAL,"EX")=0),0))))</f>
      </c>
      <c r="H1599">
        <f>IF(DATOS!$G1599&lt;&gt;"EX",0,--(COUNTIFS(nNIA,DATOS!$A1599,nCURSO,DATOS!$D1599,nESPEC,DATOS!$E1599,nASIG,DATOS!$I1599,nEVAL,"OR")=0))</f>
      </c>
      <c r="I1599">
        <f>IF(DATOS!$I1599="","",IFERROR(VLOOKUP(DATOS!$I1599,CONFIG_ASIGNATURAS!$B$2:$J$91,9,FALSE()),""))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IF(DATOS!$A1600="",0,IF(CONFIG_METADATA!$B$4&lt;&gt;"OR+EX",--(DATOS!$G1600=CONFIG_METADATA!$B$4),IF(DATOS!$G1600="EX",1,IF(DATOS!$G1600="OR",--(COUNTIFS(nNIA,DATOS!$A1600,nCURSO,DATOS!$D1600,nESPEC,DATOS!$E1600,nASIG,DATOS!$I1600,nEVAL,"EX")=0),0))))</f>
      </c>
      <c r="H1600">
        <f>IF(DATOS!$G1600&lt;&gt;"EX",0,--(COUNTIFS(nNIA,DATOS!$A1600,nCURSO,DATOS!$D1600,nESPEC,DATOS!$E1600,nASIG,DATOS!$I1600,nEVAL,"OR")=0))</f>
      </c>
      <c r="I1600">
        <f>IF(DATOS!$I1600="","",IFERROR(VLOOKUP(DATOS!$I1600,CONFIG_ASIGNATURAS!$B$2:$J$91,9,FALSE()),""))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IF(DATOS!$A1601="",0,IF(CONFIG_METADATA!$B$4&lt;&gt;"OR+EX",--(DATOS!$G1601=CONFIG_METADATA!$B$4),IF(DATOS!$G1601="EX",1,IF(DATOS!$G1601="OR",--(COUNTIFS(nNIA,DATOS!$A1601,nCURSO,DATOS!$D1601,nESPEC,DATOS!$E1601,nASIG,DATOS!$I1601,nEVAL,"EX")=0),0))))</f>
      </c>
      <c r="H1601">
        <f>IF(DATOS!$G1601&lt;&gt;"EX",0,--(COUNTIFS(nNIA,DATOS!$A1601,nCURSO,DATOS!$D1601,nESPEC,DATOS!$E1601,nASIG,DATOS!$I1601,nEVAL,"OR")=0))</f>
      </c>
      <c r="I1601">
        <f>IF(DATOS!$I1601="","",IFERROR(VLOOKUP(DATOS!$I1601,CONFIG_ASIGNATURAS!$B$2:$J$91,9,FALSE()),""))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IF(DATOS!$A1602="",0,IF(CONFIG_METADATA!$B$4&lt;&gt;"OR+EX",--(DATOS!$G1602=CONFIG_METADATA!$B$4),IF(DATOS!$G1602="EX",1,IF(DATOS!$G1602="OR",--(COUNTIFS(nNIA,DATOS!$A1602,nCURSO,DATOS!$D1602,nESPEC,DATOS!$E1602,nASIG,DATOS!$I1602,nEVAL,"EX")=0),0))))</f>
      </c>
      <c r="H1602">
        <f>IF(DATOS!$G1602&lt;&gt;"EX",0,--(COUNTIFS(nNIA,DATOS!$A1602,nCURSO,DATOS!$D1602,nESPEC,DATOS!$E1602,nASIG,DATOS!$I1602,nEVAL,"OR")=0))</f>
      </c>
      <c r="I1602">
        <f>IF(DATOS!$I1602="","",IFERROR(VLOOKUP(DATOS!$I1602,CONFIG_ASIGNATURAS!$B$2:$J$91,9,FALSE()),""))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IF(DATOS!$A1603="",0,IF(CONFIG_METADATA!$B$4&lt;&gt;"OR+EX",--(DATOS!$G1603=CONFIG_METADATA!$B$4),IF(DATOS!$G1603="EX",1,IF(DATOS!$G1603="OR",--(COUNTIFS(nNIA,DATOS!$A1603,nCURSO,DATOS!$D1603,nESPEC,DATOS!$E1603,nASIG,DATOS!$I1603,nEVAL,"EX")=0),0))))</f>
      </c>
      <c r="H1603">
        <f>IF(DATOS!$G1603&lt;&gt;"EX",0,--(COUNTIFS(nNIA,DATOS!$A1603,nCURSO,DATOS!$D1603,nESPEC,DATOS!$E1603,nASIG,DATOS!$I1603,nEVAL,"OR")=0))</f>
      </c>
      <c r="I1603">
        <f>IF(DATOS!$I1603="","",IFERROR(VLOOKUP(DATOS!$I1603,CONFIG_ASIGNATURAS!$B$2:$J$91,9,FALSE()),""))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IF(DATOS!$A1604="",0,IF(CONFIG_METADATA!$B$4&lt;&gt;"OR+EX",--(DATOS!$G1604=CONFIG_METADATA!$B$4),IF(DATOS!$G1604="EX",1,IF(DATOS!$G1604="OR",--(COUNTIFS(nNIA,DATOS!$A1604,nCURSO,DATOS!$D1604,nESPEC,DATOS!$E1604,nASIG,DATOS!$I1604,nEVAL,"EX")=0),0))))</f>
      </c>
      <c r="H1604">
        <f>IF(DATOS!$G1604&lt;&gt;"EX",0,--(COUNTIFS(nNIA,DATOS!$A1604,nCURSO,DATOS!$D1604,nESPEC,DATOS!$E1604,nASIG,DATOS!$I1604,nEVAL,"OR")=0))</f>
      </c>
      <c r="I1604">
        <f>IF(DATOS!$I1604="","",IFERROR(VLOOKUP(DATOS!$I1604,CONFIG_ASIGNATURAS!$B$2:$J$91,9,FALSE()),""))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IF(DATOS!$A1605="",0,IF(CONFIG_METADATA!$B$4&lt;&gt;"OR+EX",--(DATOS!$G1605=CONFIG_METADATA!$B$4),IF(DATOS!$G1605="EX",1,IF(DATOS!$G1605="OR",--(COUNTIFS(nNIA,DATOS!$A1605,nCURSO,DATOS!$D1605,nESPEC,DATOS!$E1605,nASIG,DATOS!$I1605,nEVAL,"EX")=0),0))))</f>
      </c>
      <c r="H1605">
        <f>IF(DATOS!$G1605&lt;&gt;"EX",0,--(COUNTIFS(nNIA,DATOS!$A1605,nCURSO,DATOS!$D1605,nESPEC,DATOS!$E1605,nASIG,DATOS!$I1605,nEVAL,"OR")=0))</f>
      </c>
      <c r="I1605">
        <f>IF(DATOS!$I1605="","",IFERROR(VLOOKUP(DATOS!$I1605,CONFIG_ASIGNATURAS!$B$2:$J$91,9,FALSE()),""))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IF(DATOS!$A1606="",0,IF(CONFIG_METADATA!$B$4&lt;&gt;"OR+EX",--(DATOS!$G1606=CONFIG_METADATA!$B$4),IF(DATOS!$G1606="EX",1,IF(DATOS!$G1606="OR",--(COUNTIFS(nNIA,DATOS!$A1606,nCURSO,DATOS!$D1606,nESPEC,DATOS!$E1606,nASIG,DATOS!$I1606,nEVAL,"EX")=0),0))))</f>
      </c>
      <c r="H1606">
        <f>IF(DATOS!$G1606&lt;&gt;"EX",0,--(COUNTIFS(nNIA,DATOS!$A1606,nCURSO,DATOS!$D1606,nESPEC,DATOS!$E1606,nASIG,DATOS!$I1606,nEVAL,"OR")=0))</f>
      </c>
      <c r="I1606">
        <f>IF(DATOS!$I1606="","",IFERROR(VLOOKUP(DATOS!$I1606,CONFIG_ASIGNATURAS!$B$2:$J$91,9,FALSE()),""))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IF(DATOS!$A1607="",0,IF(CONFIG_METADATA!$B$4&lt;&gt;"OR+EX",--(DATOS!$G1607=CONFIG_METADATA!$B$4),IF(DATOS!$G1607="EX",1,IF(DATOS!$G1607="OR",--(COUNTIFS(nNIA,DATOS!$A1607,nCURSO,DATOS!$D1607,nESPEC,DATOS!$E1607,nASIG,DATOS!$I1607,nEVAL,"EX")=0),0))))</f>
      </c>
      <c r="H1607">
        <f>IF(DATOS!$G1607&lt;&gt;"EX",0,--(COUNTIFS(nNIA,DATOS!$A1607,nCURSO,DATOS!$D1607,nESPEC,DATOS!$E1607,nASIG,DATOS!$I1607,nEVAL,"OR")=0))</f>
      </c>
      <c r="I1607">
        <f>IF(DATOS!$I1607="","",IFERROR(VLOOKUP(DATOS!$I1607,CONFIG_ASIGNATURAS!$B$2:$J$91,9,FALSE()),""))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IF(DATOS!$A1608="",0,IF(CONFIG_METADATA!$B$4&lt;&gt;"OR+EX",--(DATOS!$G1608=CONFIG_METADATA!$B$4),IF(DATOS!$G1608="EX",1,IF(DATOS!$G1608="OR",--(COUNTIFS(nNIA,DATOS!$A1608,nCURSO,DATOS!$D1608,nESPEC,DATOS!$E1608,nASIG,DATOS!$I1608,nEVAL,"EX")=0),0))))</f>
      </c>
      <c r="H1608">
        <f>IF(DATOS!$G1608&lt;&gt;"EX",0,--(COUNTIFS(nNIA,DATOS!$A1608,nCURSO,DATOS!$D1608,nESPEC,DATOS!$E1608,nASIG,DATOS!$I1608,nEVAL,"OR")=0))</f>
      </c>
      <c r="I1608">
        <f>IF(DATOS!$I1608="","",IFERROR(VLOOKUP(DATOS!$I1608,CONFIG_ASIGNATURAS!$B$2:$J$91,9,FALSE()),""))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IF(DATOS!$A1609="",0,IF(CONFIG_METADATA!$B$4&lt;&gt;"OR+EX",--(DATOS!$G1609=CONFIG_METADATA!$B$4),IF(DATOS!$G1609="EX",1,IF(DATOS!$G1609="OR",--(COUNTIFS(nNIA,DATOS!$A1609,nCURSO,DATOS!$D1609,nESPEC,DATOS!$E1609,nASIG,DATOS!$I1609,nEVAL,"EX")=0),0))))</f>
      </c>
      <c r="H1609">
        <f>IF(DATOS!$G1609&lt;&gt;"EX",0,--(COUNTIFS(nNIA,DATOS!$A1609,nCURSO,DATOS!$D1609,nESPEC,DATOS!$E1609,nASIG,DATOS!$I1609,nEVAL,"OR")=0))</f>
      </c>
      <c r="I1609">
        <f>IF(DATOS!$I1609="","",IFERROR(VLOOKUP(DATOS!$I1609,CONFIG_ASIGNATURAS!$B$2:$J$91,9,FALSE()),""))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IF(DATOS!$A1610="",0,IF(CONFIG_METADATA!$B$4&lt;&gt;"OR+EX",--(DATOS!$G1610=CONFIG_METADATA!$B$4),IF(DATOS!$G1610="EX",1,IF(DATOS!$G1610="OR",--(COUNTIFS(nNIA,DATOS!$A1610,nCURSO,DATOS!$D1610,nESPEC,DATOS!$E1610,nASIG,DATOS!$I1610,nEVAL,"EX")=0),0))))</f>
      </c>
      <c r="H1610">
        <f>IF(DATOS!$G1610&lt;&gt;"EX",0,--(COUNTIFS(nNIA,DATOS!$A1610,nCURSO,DATOS!$D1610,nESPEC,DATOS!$E1610,nASIG,DATOS!$I1610,nEVAL,"OR")=0))</f>
      </c>
      <c r="I1610">
        <f>IF(DATOS!$I1610="","",IFERROR(VLOOKUP(DATOS!$I1610,CONFIG_ASIGNATURAS!$B$2:$J$91,9,FALSE()),""))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IF(DATOS!$A1611="",0,IF(CONFIG_METADATA!$B$4&lt;&gt;"OR+EX",--(DATOS!$G1611=CONFIG_METADATA!$B$4),IF(DATOS!$G1611="EX",1,IF(DATOS!$G1611="OR",--(COUNTIFS(nNIA,DATOS!$A1611,nCURSO,DATOS!$D1611,nESPEC,DATOS!$E1611,nASIG,DATOS!$I1611,nEVAL,"EX")=0),0))))</f>
      </c>
      <c r="H1611">
        <f>IF(DATOS!$G1611&lt;&gt;"EX",0,--(COUNTIFS(nNIA,DATOS!$A1611,nCURSO,DATOS!$D1611,nESPEC,DATOS!$E1611,nASIG,DATOS!$I1611,nEVAL,"OR")=0))</f>
      </c>
      <c r="I1611">
        <f>IF(DATOS!$I1611="","",IFERROR(VLOOKUP(DATOS!$I1611,CONFIG_ASIGNATURAS!$B$2:$J$91,9,FALSE()),""))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IF(DATOS!$A1612="",0,IF(CONFIG_METADATA!$B$4&lt;&gt;"OR+EX",--(DATOS!$G1612=CONFIG_METADATA!$B$4),IF(DATOS!$G1612="EX",1,IF(DATOS!$G1612="OR",--(COUNTIFS(nNIA,DATOS!$A1612,nCURSO,DATOS!$D1612,nESPEC,DATOS!$E1612,nASIG,DATOS!$I1612,nEVAL,"EX")=0),0))))</f>
      </c>
      <c r="H1612">
        <f>IF(DATOS!$G1612&lt;&gt;"EX",0,--(COUNTIFS(nNIA,DATOS!$A1612,nCURSO,DATOS!$D1612,nESPEC,DATOS!$E1612,nASIG,DATOS!$I1612,nEVAL,"OR")=0))</f>
      </c>
      <c r="I1612">
        <f>IF(DATOS!$I1612="","",IFERROR(VLOOKUP(DATOS!$I1612,CONFIG_ASIGNATURAS!$B$2:$J$91,9,FALSE()),""))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IF(DATOS!$A1613="",0,IF(CONFIG_METADATA!$B$4&lt;&gt;"OR+EX",--(DATOS!$G1613=CONFIG_METADATA!$B$4),IF(DATOS!$G1613="EX",1,IF(DATOS!$G1613="OR",--(COUNTIFS(nNIA,DATOS!$A1613,nCURSO,DATOS!$D1613,nESPEC,DATOS!$E1613,nASIG,DATOS!$I1613,nEVAL,"EX")=0),0))))</f>
      </c>
      <c r="H1613">
        <f>IF(DATOS!$G1613&lt;&gt;"EX",0,--(COUNTIFS(nNIA,DATOS!$A1613,nCURSO,DATOS!$D1613,nESPEC,DATOS!$E1613,nASIG,DATOS!$I1613,nEVAL,"OR")=0))</f>
      </c>
      <c r="I1613">
        <f>IF(DATOS!$I1613="","",IFERROR(VLOOKUP(DATOS!$I1613,CONFIG_ASIGNATURAS!$B$2:$J$91,9,FALSE()),""))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IF(DATOS!$A1614="",0,IF(CONFIG_METADATA!$B$4&lt;&gt;"OR+EX",--(DATOS!$G1614=CONFIG_METADATA!$B$4),IF(DATOS!$G1614="EX",1,IF(DATOS!$G1614="OR",--(COUNTIFS(nNIA,DATOS!$A1614,nCURSO,DATOS!$D1614,nESPEC,DATOS!$E1614,nASIG,DATOS!$I1614,nEVAL,"EX")=0),0))))</f>
      </c>
      <c r="H1614">
        <f>IF(DATOS!$G1614&lt;&gt;"EX",0,--(COUNTIFS(nNIA,DATOS!$A1614,nCURSO,DATOS!$D1614,nESPEC,DATOS!$E1614,nASIG,DATOS!$I1614,nEVAL,"OR")=0))</f>
      </c>
      <c r="I1614">
        <f>IF(DATOS!$I1614="","",IFERROR(VLOOKUP(DATOS!$I1614,CONFIG_ASIGNATURAS!$B$2:$J$91,9,FALSE()),""))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IF(DATOS!$A1615="",0,IF(CONFIG_METADATA!$B$4&lt;&gt;"OR+EX",--(DATOS!$G1615=CONFIG_METADATA!$B$4),IF(DATOS!$G1615="EX",1,IF(DATOS!$G1615="OR",--(COUNTIFS(nNIA,DATOS!$A1615,nCURSO,DATOS!$D1615,nESPEC,DATOS!$E1615,nASIG,DATOS!$I1615,nEVAL,"EX")=0),0))))</f>
      </c>
      <c r="H1615">
        <f>IF(DATOS!$G1615&lt;&gt;"EX",0,--(COUNTIFS(nNIA,DATOS!$A1615,nCURSO,DATOS!$D1615,nESPEC,DATOS!$E1615,nASIG,DATOS!$I1615,nEVAL,"OR")=0))</f>
      </c>
      <c r="I1615">
        <f>IF(DATOS!$I1615="","",IFERROR(VLOOKUP(DATOS!$I1615,CONFIG_ASIGNATURAS!$B$2:$J$91,9,FALSE()),""))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IF(DATOS!$A1616="",0,IF(CONFIG_METADATA!$B$4&lt;&gt;"OR+EX",--(DATOS!$G1616=CONFIG_METADATA!$B$4),IF(DATOS!$G1616="EX",1,IF(DATOS!$G1616="OR",--(COUNTIFS(nNIA,DATOS!$A1616,nCURSO,DATOS!$D1616,nESPEC,DATOS!$E1616,nASIG,DATOS!$I1616,nEVAL,"EX")=0),0))))</f>
      </c>
      <c r="H1616">
        <f>IF(DATOS!$G1616&lt;&gt;"EX",0,--(COUNTIFS(nNIA,DATOS!$A1616,nCURSO,DATOS!$D1616,nESPEC,DATOS!$E1616,nASIG,DATOS!$I1616,nEVAL,"OR")=0))</f>
      </c>
      <c r="I1616">
        <f>IF(DATOS!$I1616="","",IFERROR(VLOOKUP(DATOS!$I1616,CONFIG_ASIGNATURAS!$B$2:$J$91,9,FALSE()),""))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IF(DATOS!$A1617="",0,IF(CONFIG_METADATA!$B$4&lt;&gt;"OR+EX",--(DATOS!$G1617=CONFIG_METADATA!$B$4),IF(DATOS!$G1617="EX",1,IF(DATOS!$G1617="OR",--(COUNTIFS(nNIA,DATOS!$A1617,nCURSO,DATOS!$D1617,nESPEC,DATOS!$E1617,nASIG,DATOS!$I1617,nEVAL,"EX")=0),0))))</f>
      </c>
      <c r="H1617">
        <f>IF(DATOS!$G1617&lt;&gt;"EX",0,--(COUNTIFS(nNIA,DATOS!$A1617,nCURSO,DATOS!$D1617,nESPEC,DATOS!$E1617,nASIG,DATOS!$I1617,nEVAL,"OR")=0))</f>
      </c>
      <c r="I1617">
        <f>IF(DATOS!$I1617="","",IFERROR(VLOOKUP(DATOS!$I1617,CONFIG_ASIGNATURAS!$B$2:$J$91,9,FALSE()),""))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IF(DATOS!$A1618="",0,IF(CONFIG_METADATA!$B$4&lt;&gt;"OR+EX",--(DATOS!$G1618=CONFIG_METADATA!$B$4),IF(DATOS!$G1618="EX",1,IF(DATOS!$G1618="OR",--(COUNTIFS(nNIA,DATOS!$A1618,nCURSO,DATOS!$D1618,nESPEC,DATOS!$E1618,nASIG,DATOS!$I1618,nEVAL,"EX")=0),0))))</f>
      </c>
      <c r="H1618">
        <f>IF(DATOS!$G1618&lt;&gt;"EX",0,--(COUNTIFS(nNIA,DATOS!$A1618,nCURSO,DATOS!$D1618,nESPEC,DATOS!$E1618,nASIG,DATOS!$I1618,nEVAL,"OR")=0))</f>
      </c>
      <c r="I1618">
        <f>IF(DATOS!$I1618="","",IFERROR(VLOOKUP(DATOS!$I1618,CONFIG_ASIGNATURAS!$B$2:$J$91,9,FALSE()),""))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IF(DATOS!$A1619="",0,IF(CONFIG_METADATA!$B$4&lt;&gt;"OR+EX",--(DATOS!$G1619=CONFIG_METADATA!$B$4),IF(DATOS!$G1619="EX",1,IF(DATOS!$G1619="OR",--(COUNTIFS(nNIA,DATOS!$A1619,nCURSO,DATOS!$D1619,nESPEC,DATOS!$E1619,nASIG,DATOS!$I1619,nEVAL,"EX")=0),0))))</f>
      </c>
      <c r="H1619">
        <f>IF(DATOS!$G1619&lt;&gt;"EX",0,--(COUNTIFS(nNIA,DATOS!$A1619,nCURSO,DATOS!$D1619,nESPEC,DATOS!$E1619,nASIG,DATOS!$I1619,nEVAL,"OR")=0))</f>
      </c>
      <c r="I1619">
        <f>IF(DATOS!$I1619="","",IFERROR(VLOOKUP(DATOS!$I1619,CONFIG_ASIGNATURAS!$B$2:$J$91,9,FALSE()),""))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IF(DATOS!$A1620="",0,IF(CONFIG_METADATA!$B$4&lt;&gt;"OR+EX",--(DATOS!$G1620=CONFIG_METADATA!$B$4),IF(DATOS!$G1620="EX",1,IF(DATOS!$G1620="OR",--(COUNTIFS(nNIA,DATOS!$A1620,nCURSO,DATOS!$D1620,nESPEC,DATOS!$E1620,nASIG,DATOS!$I1620,nEVAL,"EX")=0),0))))</f>
      </c>
      <c r="H1620">
        <f>IF(DATOS!$G1620&lt;&gt;"EX",0,--(COUNTIFS(nNIA,DATOS!$A1620,nCURSO,DATOS!$D1620,nESPEC,DATOS!$E1620,nASIG,DATOS!$I1620,nEVAL,"OR")=0))</f>
      </c>
      <c r="I1620">
        <f>IF(DATOS!$I1620="","",IFERROR(VLOOKUP(DATOS!$I1620,CONFIG_ASIGNATURAS!$B$2:$J$91,9,FALSE()),""))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IF(DATOS!$A1621="",0,IF(CONFIG_METADATA!$B$4&lt;&gt;"OR+EX",--(DATOS!$G1621=CONFIG_METADATA!$B$4),IF(DATOS!$G1621="EX",1,IF(DATOS!$G1621="OR",--(COUNTIFS(nNIA,DATOS!$A1621,nCURSO,DATOS!$D1621,nESPEC,DATOS!$E1621,nASIG,DATOS!$I1621,nEVAL,"EX")=0),0))))</f>
      </c>
      <c r="H1621">
        <f>IF(DATOS!$G1621&lt;&gt;"EX",0,--(COUNTIFS(nNIA,DATOS!$A1621,nCURSO,DATOS!$D1621,nESPEC,DATOS!$E1621,nASIG,DATOS!$I1621,nEVAL,"OR")=0))</f>
      </c>
      <c r="I1621">
        <f>IF(DATOS!$I1621="","",IFERROR(VLOOKUP(DATOS!$I1621,CONFIG_ASIGNATURAS!$B$2:$J$91,9,FALSE()),""))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IF(DATOS!$A1622="",0,IF(CONFIG_METADATA!$B$4&lt;&gt;"OR+EX",--(DATOS!$G1622=CONFIG_METADATA!$B$4),IF(DATOS!$G1622="EX",1,IF(DATOS!$G1622="OR",--(COUNTIFS(nNIA,DATOS!$A1622,nCURSO,DATOS!$D1622,nESPEC,DATOS!$E1622,nASIG,DATOS!$I1622,nEVAL,"EX")=0),0))))</f>
      </c>
      <c r="H1622">
        <f>IF(DATOS!$G1622&lt;&gt;"EX",0,--(COUNTIFS(nNIA,DATOS!$A1622,nCURSO,DATOS!$D1622,nESPEC,DATOS!$E1622,nASIG,DATOS!$I1622,nEVAL,"OR")=0))</f>
      </c>
      <c r="I1622">
        <f>IF(DATOS!$I1622="","",IFERROR(VLOOKUP(DATOS!$I1622,CONFIG_ASIGNATURAS!$B$2:$J$91,9,FALSE()),""))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IF(DATOS!$A1623="",0,IF(CONFIG_METADATA!$B$4&lt;&gt;"OR+EX",--(DATOS!$G1623=CONFIG_METADATA!$B$4),IF(DATOS!$G1623="EX",1,IF(DATOS!$G1623="OR",--(COUNTIFS(nNIA,DATOS!$A1623,nCURSO,DATOS!$D1623,nESPEC,DATOS!$E1623,nASIG,DATOS!$I1623,nEVAL,"EX")=0),0))))</f>
      </c>
      <c r="H1623">
        <f>IF(DATOS!$G1623&lt;&gt;"EX",0,--(COUNTIFS(nNIA,DATOS!$A1623,nCURSO,DATOS!$D1623,nESPEC,DATOS!$E1623,nASIG,DATOS!$I1623,nEVAL,"OR")=0))</f>
      </c>
      <c r="I1623">
        <f>IF(DATOS!$I1623="","",IFERROR(VLOOKUP(DATOS!$I1623,CONFIG_ASIGNATURAS!$B$2:$J$91,9,FALSE()),""))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IF(DATOS!$A1624="",0,IF(CONFIG_METADATA!$B$4&lt;&gt;"OR+EX",--(DATOS!$G1624=CONFIG_METADATA!$B$4),IF(DATOS!$G1624="EX",1,IF(DATOS!$G1624="OR",--(COUNTIFS(nNIA,DATOS!$A1624,nCURSO,DATOS!$D1624,nESPEC,DATOS!$E1624,nASIG,DATOS!$I1624,nEVAL,"EX")=0),0))))</f>
      </c>
      <c r="H1624">
        <f>IF(DATOS!$G1624&lt;&gt;"EX",0,--(COUNTIFS(nNIA,DATOS!$A1624,nCURSO,DATOS!$D1624,nESPEC,DATOS!$E1624,nASIG,DATOS!$I1624,nEVAL,"OR")=0))</f>
      </c>
      <c r="I1624">
        <f>IF(DATOS!$I1624="","",IFERROR(VLOOKUP(DATOS!$I1624,CONFIG_ASIGNATURAS!$B$2:$J$91,9,FALSE()),""))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IF(DATOS!$A1625="",0,IF(CONFIG_METADATA!$B$4&lt;&gt;"OR+EX",--(DATOS!$G1625=CONFIG_METADATA!$B$4),IF(DATOS!$G1625="EX",1,IF(DATOS!$G1625="OR",--(COUNTIFS(nNIA,DATOS!$A1625,nCURSO,DATOS!$D1625,nESPEC,DATOS!$E1625,nASIG,DATOS!$I1625,nEVAL,"EX")=0),0))))</f>
      </c>
      <c r="H1625">
        <f>IF(DATOS!$G1625&lt;&gt;"EX",0,--(COUNTIFS(nNIA,DATOS!$A1625,nCURSO,DATOS!$D1625,nESPEC,DATOS!$E1625,nASIG,DATOS!$I1625,nEVAL,"OR")=0))</f>
      </c>
      <c r="I1625">
        <f>IF(DATOS!$I1625="","",IFERROR(VLOOKUP(DATOS!$I1625,CONFIG_ASIGNATURAS!$B$2:$J$91,9,FALSE()),""))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IF(DATOS!$A1626="",0,IF(CONFIG_METADATA!$B$4&lt;&gt;"OR+EX",--(DATOS!$G1626=CONFIG_METADATA!$B$4),IF(DATOS!$G1626="EX",1,IF(DATOS!$G1626="OR",--(COUNTIFS(nNIA,DATOS!$A1626,nCURSO,DATOS!$D1626,nESPEC,DATOS!$E1626,nASIG,DATOS!$I1626,nEVAL,"EX")=0),0))))</f>
      </c>
      <c r="H1626">
        <f>IF(DATOS!$G1626&lt;&gt;"EX",0,--(COUNTIFS(nNIA,DATOS!$A1626,nCURSO,DATOS!$D1626,nESPEC,DATOS!$E1626,nASIG,DATOS!$I1626,nEVAL,"OR")=0))</f>
      </c>
      <c r="I1626">
        <f>IF(DATOS!$I1626="","",IFERROR(VLOOKUP(DATOS!$I1626,CONFIG_ASIGNATURAS!$B$2:$J$91,9,FALSE()),""))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IF(DATOS!$A1627="",0,IF(CONFIG_METADATA!$B$4&lt;&gt;"OR+EX",--(DATOS!$G1627=CONFIG_METADATA!$B$4),IF(DATOS!$G1627="EX",1,IF(DATOS!$G1627="OR",--(COUNTIFS(nNIA,DATOS!$A1627,nCURSO,DATOS!$D1627,nESPEC,DATOS!$E1627,nASIG,DATOS!$I1627,nEVAL,"EX")=0),0))))</f>
      </c>
      <c r="H1627">
        <f>IF(DATOS!$G1627&lt;&gt;"EX",0,--(COUNTIFS(nNIA,DATOS!$A1627,nCURSO,DATOS!$D1627,nESPEC,DATOS!$E1627,nASIG,DATOS!$I1627,nEVAL,"OR")=0))</f>
      </c>
      <c r="I1627">
        <f>IF(DATOS!$I1627="","",IFERROR(VLOOKUP(DATOS!$I1627,CONFIG_ASIGNATURAS!$B$2:$J$91,9,FALSE()),""))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IF(DATOS!$A1628="",0,IF(CONFIG_METADATA!$B$4&lt;&gt;"OR+EX",--(DATOS!$G1628=CONFIG_METADATA!$B$4),IF(DATOS!$G1628="EX",1,IF(DATOS!$G1628="OR",--(COUNTIFS(nNIA,DATOS!$A1628,nCURSO,DATOS!$D1628,nESPEC,DATOS!$E1628,nASIG,DATOS!$I1628,nEVAL,"EX")=0),0))))</f>
      </c>
      <c r="H1628">
        <f>IF(DATOS!$G1628&lt;&gt;"EX",0,--(COUNTIFS(nNIA,DATOS!$A1628,nCURSO,DATOS!$D1628,nESPEC,DATOS!$E1628,nASIG,DATOS!$I1628,nEVAL,"OR")=0))</f>
      </c>
      <c r="I1628">
        <f>IF(DATOS!$I1628="","",IFERROR(VLOOKUP(DATOS!$I1628,CONFIG_ASIGNATURAS!$B$2:$J$91,9,FALSE()),""))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IF(DATOS!$A1629="",0,IF(CONFIG_METADATA!$B$4&lt;&gt;"OR+EX",--(DATOS!$G1629=CONFIG_METADATA!$B$4),IF(DATOS!$G1629="EX",1,IF(DATOS!$G1629="OR",--(COUNTIFS(nNIA,DATOS!$A1629,nCURSO,DATOS!$D1629,nESPEC,DATOS!$E1629,nASIG,DATOS!$I1629,nEVAL,"EX")=0),0))))</f>
      </c>
      <c r="H1629">
        <f>IF(DATOS!$G1629&lt;&gt;"EX",0,--(COUNTIFS(nNIA,DATOS!$A1629,nCURSO,DATOS!$D1629,nESPEC,DATOS!$E1629,nASIG,DATOS!$I1629,nEVAL,"OR")=0))</f>
      </c>
      <c r="I1629">
        <f>IF(DATOS!$I1629="","",IFERROR(VLOOKUP(DATOS!$I1629,CONFIG_ASIGNATURAS!$B$2:$J$91,9,FALSE()),""))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IF(DATOS!$A1630="",0,IF(CONFIG_METADATA!$B$4&lt;&gt;"OR+EX",--(DATOS!$G1630=CONFIG_METADATA!$B$4),IF(DATOS!$G1630="EX",1,IF(DATOS!$G1630="OR",--(COUNTIFS(nNIA,DATOS!$A1630,nCURSO,DATOS!$D1630,nESPEC,DATOS!$E1630,nASIG,DATOS!$I1630,nEVAL,"EX")=0),0))))</f>
      </c>
      <c r="H1630">
        <f>IF(DATOS!$G1630&lt;&gt;"EX",0,--(COUNTIFS(nNIA,DATOS!$A1630,nCURSO,DATOS!$D1630,nESPEC,DATOS!$E1630,nASIG,DATOS!$I1630,nEVAL,"OR")=0))</f>
      </c>
      <c r="I1630">
        <f>IF(DATOS!$I1630="","",IFERROR(VLOOKUP(DATOS!$I1630,CONFIG_ASIGNATURAS!$B$2:$J$91,9,FALSE()),""))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IF(DATOS!$A1631="",0,IF(CONFIG_METADATA!$B$4&lt;&gt;"OR+EX",--(DATOS!$G1631=CONFIG_METADATA!$B$4),IF(DATOS!$G1631="EX",1,IF(DATOS!$G1631="OR",--(COUNTIFS(nNIA,DATOS!$A1631,nCURSO,DATOS!$D1631,nESPEC,DATOS!$E1631,nASIG,DATOS!$I1631,nEVAL,"EX")=0),0))))</f>
      </c>
      <c r="H1631">
        <f>IF(DATOS!$G1631&lt;&gt;"EX",0,--(COUNTIFS(nNIA,DATOS!$A1631,nCURSO,DATOS!$D1631,nESPEC,DATOS!$E1631,nASIG,DATOS!$I1631,nEVAL,"OR")=0))</f>
      </c>
      <c r="I1631">
        <f>IF(DATOS!$I1631="","",IFERROR(VLOOKUP(DATOS!$I1631,CONFIG_ASIGNATURAS!$B$2:$J$91,9,FALSE()),""))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IF(DATOS!$A1632="",0,IF(CONFIG_METADATA!$B$4&lt;&gt;"OR+EX",--(DATOS!$G1632=CONFIG_METADATA!$B$4),IF(DATOS!$G1632="EX",1,IF(DATOS!$G1632="OR",--(COUNTIFS(nNIA,DATOS!$A1632,nCURSO,DATOS!$D1632,nESPEC,DATOS!$E1632,nASIG,DATOS!$I1632,nEVAL,"EX")=0),0))))</f>
      </c>
      <c r="H1632">
        <f>IF(DATOS!$G1632&lt;&gt;"EX",0,--(COUNTIFS(nNIA,DATOS!$A1632,nCURSO,DATOS!$D1632,nESPEC,DATOS!$E1632,nASIG,DATOS!$I1632,nEVAL,"OR")=0))</f>
      </c>
      <c r="I1632">
        <f>IF(DATOS!$I1632="","",IFERROR(VLOOKUP(DATOS!$I1632,CONFIG_ASIGNATURAS!$B$2:$J$91,9,FALSE()),""))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IF(DATOS!$A1633="",0,IF(CONFIG_METADATA!$B$4&lt;&gt;"OR+EX",--(DATOS!$G1633=CONFIG_METADATA!$B$4),IF(DATOS!$G1633="EX",1,IF(DATOS!$G1633="OR",--(COUNTIFS(nNIA,DATOS!$A1633,nCURSO,DATOS!$D1633,nESPEC,DATOS!$E1633,nASIG,DATOS!$I1633,nEVAL,"EX")=0),0))))</f>
      </c>
      <c r="H1633">
        <f>IF(DATOS!$G1633&lt;&gt;"EX",0,--(COUNTIFS(nNIA,DATOS!$A1633,nCURSO,DATOS!$D1633,nESPEC,DATOS!$E1633,nASIG,DATOS!$I1633,nEVAL,"OR")=0))</f>
      </c>
      <c r="I1633">
        <f>IF(DATOS!$I1633="","",IFERROR(VLOOKUP(DATOS!$I1633,CONFIG_ASIGNATURAS!$B$2:$J$91,9,FALSE()),""))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IF(DATOS!$A1634="",0,IF(CONFIG_METADATA!$B$4&lt;&gt;"OR+EX",--(DATOS!$G1634=CONFIG_METADATA!$B$4),IF(DATOS!$G1634="EX",1,IF(DATOS!$G1634="OR",--(COUNTIFS(nNIA,DATOS!$A1634,nCURSO,DATOS!$D1634,nESPEC,DATOS!$E1634,nASIG,DATOS!$I1634,nEVAL,"EX")=0),0))))</f>
      </c>
      <c r="H1634">
        <f>IF(DATOS!$G1634&lt;&gt;"EX",0,--(COUNTIFS(nNIA,DATOS!$A1634,nCURSO,DATOS!$D1634,nESPEC,DATOS!$E1634,nASIG,DATOS!$I1634,nEVAL,"OR")=0))</f>
      </c>
      <c r="I1634">
        <f>IF(DATOS!$I1634="","",IFERROR(VLOOKUP(DATOS!$I1634,CONFIG_ASIGNATURAS!$B$2:$J$91,9,FALSE()),""))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IF(DATOS!$A1635="",0,IF(CONFIG_METADATA!$B$4&lt;&gt;"OR+EX",--(DATOS!$G1635=CONFIG_METADATA!$B$4),IF(DATOS!$G1635="EX",1,IF(DATOS!$G1635="OR",--(COUNTIFS(nNIA,DATOS!$A1635,nCURSO,DATOS!$D1635,nESPEC,DATOS!$E1635,nASIG,DATOS!$I1635,nEVAL,"EX")=0),0))))</f>
      </c>
      <c r="H1635">
        <f>IF(DATOS!$G1635&lt;&gt;"EX",0,--(COUNTIFS(nNIA,DATOS!$A1635,nCURSO,DATOS!$D1635,nESPEC,DATOS!$E1635,nASIG,DATOS!$I1635,nEVAL,"OR")=0))</f>
      </c>
      <c r="I1635">
        <f>IF(DATOS!$I1635="","",IFERROR(VLOOKUP(DATOS!$I1635,CONFIG_ASIGNATURAS!$B$2:$J$91,9,FALSE()),""))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IF(DATOS!$A1636="",0,IF(CONFIG_METADATA!$B$4&lt;&gt;"OR+EX",--(DATOS!$G1636=CONFIG_METADATA!$B$4),IF(DATOS!$G1636="EX",1,IF(DATOS!$G1636="OR",--(COUNTIFS(nNIA,DATOS!$A1636,nCURSO,DATOS!$D1636,nESPEC,DATOS!$E1636,nASIG,DATOS!$I1636,nEVAL,"EX")=0),0))))</f>
      </c>
      <c r="H1636">
        <f>IF(DATOS!$G1636&lt;&gt;"EX",0,--(COUNTIFS(nNIA,DATOS!$A1636,nCURSO,DATOS!$D1636,nESPEC,DATOS!$E1636,nASIG,DATOS!$I1636,nEVAL,"OR")=0))</f>
      </c>
      <c r="I1636">
        <f>IF(DATOS!$I1636="","",IFERROR(VLOOKUP(DATOS!$I1636,CONFIG_ASIGNATURAS!$B$2:$J$91,9,FALSE()),""))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IF(DATOS!$A1637="",0,IF(CONFIG_METADATA!$B$4&lt;&gt;"OR+EX",--(DATOS!$G1637=CONFIG_METADATA!$B$4),IF(DATOS!$G1637="EX",1,IF(DATOS!$G1637="OR",--(COUNTIFS(nNIA,DATOS!$A1637,nCURSO,DATOS!$D1637,nESPEC,DATOS!$E1637,nASIG,DATOS!$I1637,nEVAL,"EX")=0),0))))</f>
      </c>
      <c r="H1637">
        <f>IF(DATOS!$G1637&lt;&gt;"EX",0,--(COUNTIFS(nNIA,DATOS!$A1637,nCURSO,DATOS!$D1637,nESPEC,DATOS!$E1637,nASIG,DATOS!$I1637,nEVAL,"OR")=0))</f>
      </c>
      <c r="I1637">
        <f>IF(DATOS!$I1637="","",IFERROR(VLOOKUP(DATOS!$I1637,CONFIG_ASIGNATURAS!$B$2:$J$91,9,FALSE()),""))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IF(DATOS!$A1638="",0,IF(CONFIG_METADATA!$B$4&lt;&gt;"OR+EX",--(DATOS!$G1638=CONFIG_METADATA!$B$4),IF(DATOS!$G1638="EX",1,IF(DATOS!$G1638="OR",--(COUNTIFS(nNIA,DATOS!$A1638,nCURSO,DATOS!$D1638,nESPEC,DATOS!$E1638,nASIG,DATOS!$I1638,nEVAL,"EX")=0),0))))</f>
      </c>
      <c r="H1638">
        <f>IF(DATOS!$G1638&lt;&gt;"EX",0,--(COUNTIFS(nNIA,DATOS!$A1638,nCURSO,DATOS!$D1638,nESPEC,DATOS!$E1638,nASIG,DATOS!$I1638,nEVAL,"OR")=0))</f>
      </c>
      <c r="I1638">
        <f>IF(DATOS!$I1638="","",IFERROR(VLOOKUP(DATOS!$I1638,CONFIG_ASIGNATURAS!$B$2:$J$91,9,FALSE()),""))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IF(DATOS!$A1639="",0,IF(CONFIG_METADATA!$B$4&lt;&gt;"OR+EX",--(DATOS!$G1639=CONFIG_METADATA!$B$4),IF(DATOS!$G1639="EX",1,IF(DATOS!$G1639="OR",--(COUNTIFS(nNIA,DATOS!$A1639,nCURSO,DATOS!$D1639,nESPEC,DATOS!$E1639,nASIG,DATOS!$I1639,nEVAL,"EX")=0),0))))</f>
      </c>
      <c r="H1639">
        <f>IF(DATOS!$G1639&lt;&gt;"EX",0,--(COUNTIFS(nNIA,DATOS!$A1639,nCURSO,DATOS!$D1639,nESPEC,DATOS!$E1639,nASIG,DATOS!$I1639,nEVAL,"OR")=0))</f>
      </c>
      <c r="I1639">
        <f>IF(DATOS!$I1639="","",IFERROR(VLOOKUP(DATOS!$I1639,CONFIG_ASIGNATURAS!$B$2:$J$91,9,FALSE()),""))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IF(DATOS!$A1640="",0,IF(CONFIG_METADATA!$B$4&lt;&gt;"OR+EX",--(DATOS!$G1640=CONFIG_METADATA!$B$4),IF(DATOS!$G1640="EX",1,IF(DATOS!$G1640="OR",--(COUNTIFS(nNIA,DATOS!$A1640,nCURSO,DATOS!$D1640,nESPEC,DATOS!$E1640,nASIG,DATOS!$I1640,nEVAL,"EX")=0),0))))</f>
      </c>
      <c r="H1640">
        <f>IF(DATOS!$G1640&lt;&gt;"EX",0,--(COUNTIFS(nNIA,DATOS!$A1640,nCURSO,DATOS!$D1640,nESPEC,DATOS!$E1640,nASIG,DATOS!$I1640,nEVAL,"OR")=0))</f>
      </c>
      <c r="I1640">
        <f>IF(DATOS!$I1640="","",IFERROR(VLOOKUP(DATOS!$I1640,CONFIG_ASIGNATURAS!$B$2:$J$91,9,FALSE()),""))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IF(DATOS!$A1641="",0,IF(CONFIG_METADATA!$B$4&lt;&gt;"OR+EX",--(DATOS!$G1641=CONFIG_METADATA!$B$4),IF(DATOS!$G1641="EX",1,IF(DATOS!$G1641="OR",--(COUNTIFS(nNIA,DATOS!$A1641,nCURSO,DATOS!$D1641,nESPEC,DATOS!$E1641,nASIG,DATOS!$I1641,nEVAL,"EX")=0),0))))</f>
      </c>
      <c r="H1641">
        <f>IF(DATOS!$G1641&lt;&gt;"EX",0,--(COUNTIFS(nNIA,DATOS!$A1641,nCURSO,DATOS!$D1641,nESPEC,DATOS!$E1641,nASIG,DATOS!$I1641,nEVAL,"OR")=0))</f>
      </c>
      <c r="I1641">
        <f>IF(DATOS!$I1641="","",IFERROR(VLOOKUP(DATOS!$I1641,CONFIG_ASIGNATURAS!$B$2:$J$91,9,FALSE()),""))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IF(DATOS!$A1642="",0,IF(CONFIG_METADATA!$B$4&lt;&gt;"OR+EX",--(DATOS!$G1642=CONFIG_METADATA!$B$4),IF(DATOS!$G1642="EX",1,IF(DATOS!$G1642="OR",--(COUNTIFS(nNIA,DATOS!$A1642,nCURSO,DATOS!$D1642,nESPEC,DATOS!$E1642,nASIG,DATOS!$I1642,nEVAL,"EX")=0),0))))</f>
      </c>
      <c r="H1642">
        <f>IF(DATOS!$G1642&lt;&gt;"EX",0,--(COUNTIFS(nNIA,DATOS!$A1642,nCURSO,DATOS!$D1642,nESPEC,DATOS!$E1642,nASIG,DATOS!$I1642,nEVAL,"OR")=0))</f>
      </c>
      <c r="I1642">
        <f>IF(DATOS!$I1642="","",IFERROR(VLOOKUP(DATOS!$I1642,CONFIG_ASIGNATURAS!$B$2:$J$91,9,FALSE()),""))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IF(DATOS!$A1643="",0,IF(CONFIG_METADATA!$B$4&lt;&gt;"OR+EX",--(DATOS!$G1643=CONFIG_METADATA!$B$4),IF(DATOS!$G1643="EX",1,IF(DATOS!$G1643="OR",--(COUNTIFS(nNIA,DATOS!$A1643,nCURSO,DATOS!$D1643,nESPEC,DATOS!$E1643,nASIG,DATOS!$I1643,nEVAL,"EX")=0),0))))</f>
      </c>
      <c r="H1643">
        <f>IF(DATOS!$G1643&lt;&gt;"EX",0,--(COUNTIFS(nNIA,DATOS!$A1643,nCURSO,DATOS!$D1643,nESPEC,DATOS!$E1643,nASIG,DATOS!$I1643,nEVAL,"OR")=0))</f>
      </c>
      <c r="I1643">
        <f>IF(DATOS!$I1643="","",IFERROR(VLOOKUP(DATOS!$I1643,CONFIG_ASIGNATURAS!$B$2:$J$91,9,FALSE()),""))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IF(DATOS!$A1644="",0,IF(CONFIG_METADATA!$B$4&lt;&gt;"OR+EX",--(DATOS!$G1644=CONFIG_METADATA!$B$4),IF(DATOS!$G1644="EX",1,IF(DATOS!$G1644="OR",--(COUNTIFS(nNIA,DATOS!$A1644,nCURSO,DATOS!$D1644,nESPEC,DATOS!$E1644,nASIG,DATOS!$I1644,nEVAL,"EX")=0),0))))</f>
      </c>
      <c r="H1644">
        <f>IF(DATOS!$G1644&lt;&gt;"EX",0,--(COUNTIFS(nNIA,DATOS!$A1644,nCURSO,DATOS!$D1644,nESPEC,DATOS!$E1644,nASIG,DATOS!$I1644,nEVAL,"OR")=0))</f>
      </c>
      <c r="I1644">
        <f>IF(DATOS!$I1644="","",IFERROR(VLOOKUP(DATOS!$I1644,CONFIG_ASIGNATURAS!$B$2:$J$91,9,FALSE()),""))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IF(DATOS!$A1645="",0,IF(CONFIG_METADATA!$B$4&lt;&gt;"OR+EX",--(DATOS!$G1645=CONFIG_METADATA!$B$4),IF(DATOS!$G1645="EX",1,IF(DATOS!$G1645="OR",--(COUNTIFS(nNIA,DATOS!$A1645,nCURSO,DATOS!$D1645,nESPEC,DATOS!$E1645,nASIG,DATOS!$I1645,nEVAL,"EX")=0),0))))</f>
      </c>
      <c r="H1645">
        <f>IF(DATOS!$G1645&lt;&gt;"EX",0,--(COUNTIFS(nNIA,DATOS!$A1645,nCURSO,DATOS!$D1645,nESPEC,DATOS!$E1645,nASIG,DATOS!$I1645,nEVAL,"OR")=0))</f>
      </c>
      <c r="I1645">
        <f>IF(DATOS!$I1645="","",IFERROR(VLOOKUP(DATOS!$I1645,CONFIG_ASIGNATURAS!$B$2:$J$91,9,FALSE()),""))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IF(DATOS!$A1646="",0,IF(CONFIG_METADATA!$B$4&lt;&gt;"OR+EX",--(DATOS!$G1646=CONFIG_METADATA!$B$4),IF(DATOS!$G1646="EX",1,IF(DATOS!$G1646="OR",--(COUNTIFS(nNIA,DATOS!$A1646,nCURSO,DATOS!$D1646,nESPEC,DATOS!$E1646,nASIG,DATOS!$I1646,nEVAL,"EX")=0),0))))</f>
      </c>
      <c r="H1646">
        <f>IF(DATOS!$G1646&lt;&gt;"EX",0,--(COUNTIFS(nNIA,DATOS!$A1646,nCURSO,DATOS!$D1646,nESPEC,DATOS!$E1646,nASIG,DATOS!$I1646,nEVAL,"OR")=0))</f>
      </c>
      <c r="I1646">
        <f>IF(DATOS!$I1646="","",IFERROR(VLOOKUP(DATOS!$I1646,CONFIG_ASIGNATURAS!$B$2:$J$91,9,FALSE()),""))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IF(DATOS!$A1647="",0,IF(CONFIG_METADATA!$B$4&lt;&gt;"OR+EX",--(DATOS!$G1647=CONFIG_METADATA!$B$4),IF(DATOS!$G1647="EX",1,IF(DATOS!$G1647="OR",--(COUNTIFS(nNIA,DATOS!$A1647,nCURSO,DATOS!$D1647,nESPEC,DATOS!$E1647,nASIG,DATOS!$I1647,nEVAL,"EX")=0),0))))</f>
      </c>
      <c r="H1647">
        <f>IF(DATOS!$G1647&lt;&gt;"EX",0,--(COUNTIFS(nNIA,DATOS!$A1647,nCURSO,DATOS!$D1647,nESPEC,DATOS!$E1647,nASIG,DATOS!$I1647,nEVAL,"OR")=0))</f>
      </c>
      <c r="I1647">
        <f>IF(DATOS!$I1647="","",IFERROR(VLOOKUP(DATOS!$I1647,CONFIG_ASIGNATURAS!$B$2:$J$91,9,FALSE()),""))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IF(DATOS!$A1648="",0,IF(CONFIG_METADATA!$B$4&lt;&gt;"OR+EX",--(DATOS!$G1648=CONFIG_METADATA!$B$4),IF(DATOS!$G1648="EX",1,IF(DATOS!$G1648="OR",--(COUNTIFS(nNIA,DATOS!$A1648,nCURSO,DATOS!$D1648,nESPEC,DATOS!$E1648,nASIG,DATOS!$I1648,nEVAL,"EX")=0),0))))</f>
      </c>
      <c r="H1648">
        <f>IF(DATOS!$G1648&lt;&gt;"EX",0,--(COUNTIFS(nNIA,DATOS!$A1648,nCURSO,DATOS!$D1648,nESPEC,DATOS!$E1648,nASIG,DATOS!$I1648,nEVAL,"OR")=0))</f>
      </c>
      <c r="I1648">
        <f>IF(DATOS!$I1648="","",IFERROR(VLOOKUP(DATOS!$I1648,CONFIG_ASIGNATURAS!$B$2:$J$91,9,FALSE()),""))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IF(DATOS!$A1649="",0,IF(CONFIG_METADATA!$B$4&lt;&gt;"OR+EX",--(DATOS!$G1649=CONFIG_METADATA!$B$4),IF(DATOS!$G1649="EX",1,IF(DATOS!$G1649="OR",--(COUNTIFS(nNIA,DATOS!$A1649,nCURSO,DATOS!$D1649,nESPEC,DATOS!$E1649,nASIG,DATOS!$I1649,nEVAL,"EX")=0),0))))</f>
      </c>
      <c r="H1649">
        <f>IF(DATOS!$G1649&lt;&gt;"EX",0,--(COUNTIFS(nNIA,DATOS!$A1649,nCURSO,DATOS!$D1649,nESPEC,DATOS!$E1649,nASIG,DATOS!$I1649,nEVAL,"OR")=0))</f>
      </c>
      <c r="I1649">
        <f>IF(DATOS!$I1649="","",IFERROR(VLOOKUP(DATOS!$I1649,CONFIG_ASIGNATURAS!$B$2:$J$91,9,FALSE()),""))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IF(DATOS!$A1650="",0,IF(CONFIG_METADATA!$B$4&lt;&gt;"OR+EX",--(DATOS!$G1650=CONFIG_METADATA!$B$4),IF(DATOS!$G1650="EX",1,IF(DATOS!$G1650="OR",--(COUNTIFS(nNIA,DATOS!$A1650,nCURSO,DATOS!$D1650,nESPEC,DATOS!$E1650,nASIG,DATOS!$I1650,nEVAL,"EX")=0),0))))</f>
      </c>
      <c r="H1650">
        <f>IF(DATOS!$G1650&lt;&gt;"EX",0,--(COUNTIFS(nNIA,DATOS!$A1650,nCURSO,DATOS!$D1650,nESPEC,DATOS!$E1650,nASIG,DATOS!$I1650,nEVAL,"OR")=0))</f>
      </c>
      <c r="I1650">
        <f>IF(DATOS!$I1650="","",IFERROR(VLOOKUP(DATOS!$I1650,CONFIG_ASIGNATURAS!$B$2:$J$91,9,FALSE()),""))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IF(DATOS!$A1651="",0,IF(CONFIG_METADATA!$B$4&lt;&gt;"OR+EX",--(DATOS!$G1651=CONFIG_METADATA!$B$4),IF(DATOS!$G1651="EX",1,IF(DATOS!$G1651="OR",--(COUNTIFS(nNIA,DATOS!$A1651,nCURSO,DATOS!$D1651,nESPEC,DATOS!$E1651,nASIG,DATOS!$I1651,nEVAL,"EX")=0),0))))</f>
      </c>
      <c r="H1651">
        <f>IF(DATOS!$G1651&lt;&gt;"EX",0,--(COUNTIFS(nNIA,DATOS!$A1651,nCURSO,DATOS!$D1651,nESPEC,DATOS!$E1651,nASIG,DATOS!$I1651,nEVAL,"OR")=0))</f>
      </c>
      <c r="I1651">
        <f>IF(DATOS!$I1651="","",IFERROR(VLOOKUP(DATOS!$I1651,CONFIG_ASIGNATURAS!$B$2:$J$91,9,FALSE()),""))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IF(DATOS!$A1652="",0,IF(CONFIG_METADATA!$B$4&lt;&gt;"OR+EX",--(DATOS!$G1652=CONFIG_METADATA!$B$4),IF(DATOS!$G1652="EX",1,IF(DATOS!$G1652="OR",--(COUNTIFS(nNIA,DATOS!$A1652,nCURSO,DATOS!$D1652,nESPEC,DATOS!$E1652,nASIG,DATOS!$I1652,nEVAL,"EX")=0),0))))</f>
      </c>
      <c r="H1652">
        <f>IF(DATOS!$G1652&lt;&gt;"EX",0,--(COUNTIFS(nNIA,DATOS!$A1652,nCURSO,DATOS!$D1652,nESPEC,DATOS!$E1652,nASIG,DATOS!$I1652,nEVAL,"OR")=0))</f>
      </c>
      <c r="I1652">
        <f>IF(DATOS!$I1652="","",IFERROR(VLOOKUP(DATOS!$I1652,CONFIG_ASIGNATURAS!$B$2:$J$91,9,FALSE()),""))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IF(DATOS!$A1653="",0,IF(CONFIG_METADATA!$B$4&lt;&gt;"OR+EX",--(DATOS!$G1653=CONFIG_METADATA!$B$4),IF(DATOS!$G1653="EX",1,IF(DATOS!$G1653="OR",--(COUNTIFS(nNIA,DATOS!$A1653,nCURSO,DATOS!$D1653,nESPEC,DATOS!$E1653,nASIG,DATOS!$I1653,nEVAL,"EX")=0),0))))</f>
      </c>
      <c r="H1653">
        <f>IF(DATOS!$G1653&lt;&gt;"EX",0,--(COUNTIFS(nNIA,DATOS!$A1653,nCURSO,DATOS!$D1653,nESPEC,DATOS!$E1653,nASIG,DATOS!$I1653,nEVAL,"OR")=0))</f>
      </c>
      <c r="I1653">
        <f>IF(DATOS!$I1653="","",IFERROR(VLOOKUP(DATOS!$I1653,CONFIG_ASIGNATURAS!$B$2:$J$91,9,FALSE()),""))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IF(DATOS!$A1654="",0,IF(CONFIG_METADATA!$B$4&lt;&gt;"OR+EX",--(DATOS!$G1654=CONFIG_METADATA!$B$4),IF(DATOS!$G1654="EX",1,IF(DATOS!$G1654="OR",--(COUNTIFS(nNIA,DATOS!$A1654,nCURSO,DATOS!$D1654,nESPEC,DATOS!$E1654,nASIG,DATOS!$I1654,nEVAL,"EX")=0),0))))</f>
      </c>
      <c r="H1654">
        <f>IF(DATOS!$G1654&lt;&gt;"EX",0,--(COUNTIFS(nNIA,DATOS!$A1654,nCURSO,DATOS!$D1654,nESPEC,DATOS!$E1654,nASIG,DATOS!$I1654,nEVAL,"OR")=0))</f>
      </c>
      <c r="I1654">
        <f>IF(DATOS!$I1654="","",IFERROR(VLOOKUP(DATOS!$I1654,CONFIG_ASIGNATURAS!$B$2:$J$91,9,FALSE()),""))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IF(DATOS!$A1655="",0,IF(CONFIG_METADATA!$B$4&lt;&gt;"OR+EX",--(DATOS!$G1655=CONFIG_METADATA!$B$4),IF(DATOS!$G1655="EX",1,IF(DATOS!$G1655="OR",--(COUNTIFS(nNIA,DATOS!$A1655,nCURSO,DATOS!$D1655,nESPEC,DATOS!$E1655,nASIG,DATOS!$I1655,nEVAL,"EX")=0),0))))</f>
      </c>
      <c r="H1655">
        <f>IF(DATOS!$G1655&lt;&gt;"EX",0,--(COUNTIFS(nNIA,DATOS!$A1655,nCURSO,DATOS!$D1655,nESPEC,DATOS!$E1655,nASIG,DATOS!$I1655,nEVAL,"OR")=0))</f>
      </c>
      <c r="I1655">
        <f>IF(DATOS!$I1655="","",IFERROR(VLOOKUP(DATOS!$I1655,CONFIG_ASIGNATURAS!$B$2:$J$91,9,FALSE()),""))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IF(DATOS!$A1656="",0,IF(CONFIG_METADATA!$B$4&lt;&gt;"OR+EX",--(DATOS!$G1656=CONFIG_METADATA!$B$4),IF(DATOS!$G1656="EX",1,IF(DATOS!$G1656="OR",--(COUNTIFS(nNIA,DATOS!$A1656,nCURSO,DATOS!$D1656,nESPEC,DATOS!$E1656,nASIG,DATOS!$I1656,nEVAL,"EX")=0),0))))</f>
      </c>
      <c r="H1656">
        <f>IF(DATOS!$G1656&lt;&gt;"EX",0,--(COUNTIFS(nNIA,DATOS!$A1656,nCURSO,DATOS!$D1656,nESPEC,DATOS!$E1656,nASIG,DATOS!$I1656,nEVAL,"OR")=0))</f>
      </c>
      <c r="I1656">
        <f>IF(DATOS!$I1656="","",IFERROR(VLOOKUP(DATOS!$I1656,CONFIG_ASIGNATURAS!$B$2:$J$91,9,FALSE()),""))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IF(DATOS!$A1657="",0,IF(CONFIG_METADATA!$B$4&lt;&gt;"OR+EX",--(DATOS!$G1657=CONFIG_METADATA!$B$4),IF(DATOS!$G1657="EX",1,IF(DATOS!$G1657="OR",--(COUNTIFS(nNIA,DATOS!$A1657,nCURSO,DATOS!$D1657,nESPEC,DATOS!$E1657,nASIG,DATOS!$I1657,nEVAL,"EX")=0),0))))</f>
      </c>
      <c r="H1657">
        <f>IF(DATOS!$G1657&lt;&gt;"EX",0,--(COUNTIFS(nNIA,DATOS!$A1657,nCURSO,DATOS!$D1657,nESPEC,DATOS!$E1657,nASIG,DATOS!$I1657,nEVAL,"OR")=0))</f>
      </c>
      <c r="I1657">
        <f>IF(DATOS!$I1657="","",IFERROR(VLOOKUP(DATOS!$I1657,CONFIG_ASIGNATURAS!$B$2:$J$91,9,FALSE()),""))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IF(DATOS!$A1658="",0,IF(CONFIG_METADATA!$B$4&lt;&gt;"OR+EX",--(DATOS!$G1658=CONFIG_METADATA!$B$4),IF(DATOS!$G1658="EX",1,IF(DATOS!$G1658="OR",--(COUNTIFS(nNIA,DATOS!$A1658,nCURSO,DATOS!$D1658,nESPEC,DATOS!$E1658,nASIG,DATOS!$I1658,nEVAL,"EX")=0),0))))</f>
      </c>
      <c r="H1658">
        <f>IF(DATOS!$G1658&lt;&gt;"EX",0,--(COUNTIFS(nNIA,DATOS!$A1658,nCURSO,DATOS!$D1658,nESPEC,DATOS!$E1658,nASIG,DATOS!$I1658,nEVAL,"OR")=0))</f>
      </c>
      <c r="I1658">
        <f>IF(DATOS!$I1658="","",IFERROR(VLOOKUP(DATOS!$I1658,CONFIG_ASIGNATURAS!$B$2:$J$91,9,FALSE()),""))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IF(DATOS!$A1659="",0,IF(CONFIG_METADATA!$B$4&lt;&gt;"OR+EX",--(DATOS!$G1659=CONFIG_METADATA!$B$4),IF(DATOS!$G1659="EX",1,IF(DATOS!$G1659="OR",--(COUNTIFS(nNIA,DATOS!$A1659,nCURSO,DATOS!$D1659,nESPEC,DATOS!$E1659,nASIG,DATOS!$I1659,nEVAL,"EX")=0),0))))</f>
      </c>
      <c r="H1659">
        <f>IF(DATOS!$G1659&lt;&gt;"EX",0,--(COUNTIFS(nNIA,DATOS!$A1659,nCURSO,DATOS!$D1659,nESPEC,DATOS!$E1659,nASIG,DATOS!$I1659,nEVAL,"OR")=0))</f>
      </c>
      <c r="I1659">
        <f>IF(DATOS!$I1659="","",IFERROR(VLOOKUP(DATOS!$I1659,CONFIG_ASIGNATURAS!$B$2:$J$91,9,FALSE()),""))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IF(DATOS!$A1660="",0,IF(CONFIG_METADATA!$B$4&lt;&gt;"OR+EX",--(DATOS!$G1660=CONFIG_METADATA!$B$4),IF(DATOS!$G1660="EX",1,IF(DATOS!$G1660="OR",--(COUNTIFS(nNIA,DATOS!$A1660,nCURSO,DATOS!$D1660,nESPEC,DATOS!$E1660,nASIG,DATOS!$I1660,nEVAL,"EX")=0),0))))</f>
      </c>
      <c r="H1660">
        <f>IF(DATOS!$G1660&lt;&gt;"EX",0,--(COUNTIFS(nNIA,DATOS!$A1660,nCURSO,DATOS!$D1660,nESPEC,DATOS!$E1660,nASIG,DATOS!$I1660,nEVAL,"OR")=0))</f>
      </c>
      <c r="I1660">
        <f>IF(DATOS!$I1660="","",IFERROR(VLOOKUP(DATOS!$I1660,CONFIG_ASIGNATURAS!$B$2:$J$91,9,FALSE()),""))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IF(DATOS!$A1661="",0,IF(CONFIG_METADATA!$B$4&lt;&gt;"OR+EX",--(DATOS!$G1661=CONFIG_METADATA!$B$4),IF(DATOS!$G1661="EX",1,IF(DATOS!$G1661="OR",--(COUNTIFS(nNIA,DATOS!$A1661,nCURSO,DATOS!$D1661,nESPEC,DATOS!$E1661,nASIG,DATOS!$I1661,nEVAL,"EX")=0),0))))</f>
      </c>
      <c r="H1661">
        <f>IF(DATOS!$G1661&lt;&gt;"EX",0,--(COUNTIFS(nNIA,DATOS!$A1661,nCURSO,DATOS!$D1661,nESPEC,DATOS!$E1661,nASIG,DATOS!$I1661,nEVAL,"OR")=0))</f>
      </c>
      <c r="I1661">
        <f>IF(DATOS!$I1661="","",IFERROR(VLOOKUP(DATOS!$I1661,CONFIG_ASIGNATURAS!$B$2:$J$91,9,FALSE()),""))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IF(DATOS!$A1662="",0,IF(CONFIG_METADATA!$B$4&lt;&gt;"OR+EX",--(DATOS!$G1662=CONFIG_METADATA!$B$4),IF(DATOS!$G1662="EX",1,IF(DATOS!$G1662="OR",--(COUNTIFS(nNIA,DATOS!$A1662,nCURSO,DATOS!$D1662,nESPEC,DATOS!$E1662,nASIG,DATOS!$I1662,nEVAL,"EX")=0),0))))</f>
      </c>
      <c r="H1662">
        <f>IF(DATOS!$G1662&lt;&gt;"EX",0,--(COUNTIFS(nNIA,DATOS!$A1662,nCURSO,DATOS!$D1662,nESPEC,DATOS!$E1662,nASIG,DATOS!$I1662,nEVAL,"OR")=0))</f>
      </c>
      <c r="I1662">
        <f>IF(DATOS!$I1662="","",IFERROR(VLOOKUP(DATOS!$I1662,CONFIG_ASIGNATURAS!$B$2:$J$91,9,FALSE()),""))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IF(DATOS!$A1663="",0,IF(CONFIG_METADATA!$B$4&lt;&gt;"OR+EX",--(DATOS!$G1663=CONFIG_METADATA!$B$4),IF(DATOS!$G1663="EX",1,IF(DATOS!$G1663="OR",--(COUNTIFS(nNIA,DATOS!$A1663,nCURSO,DATOS!$D1663,nESPEC,DATOS!$E1663,nASIG,DATOS!$I1663,nEVAL,"EX")=0),0))))</f>
      </c>
      <c r="H1663">
        <f>IF(DATOS!$G1663&lt;&gt;"EX",0,--(COUNTIFS(nNIA,DATOS!$A1663,nCURSO,DATOS!$D1663,nESPEC,DATOS!$E1663,nASIG,DATOS!$I1663,nEVAL,"OR")=0))</f>
      </c>
      <c r="I1663">
        <f>IF(DATOS!$I1663="","",IFERROR(VLOOKUP(DATOS!$I1663,CONFIG_ASIGNATURAS!$B$2:$J$91,9,FALSE()),""))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IF(DATOS!$A1664="",0,IF(CONFIG_METADATA!$B$4&lt;&gt;"OR+EX",--(DATOS!$G1664=CONFIG_METADATA!$B$4),IF(DATOS!$G1664="EX",1,IF(DATOS!$G1664="OR",--(COUNTIFS(nNIA,DATOS!$A1664,nCURSO,DATOS!$D1664,nESPEC,DATOS!$E1664,nASIG,DATOS!$I1664,nEVAL,"EX")=0),0))))</f>
      </c>
      <c r="H1664">
        <f>IF(DATOS!$G1664&lt;&gt;"EX",0,--(COUNTIFS(nNIA,DATOS!$A1664,nCURSO,DATOS!$D1664,nESPEC,DATOS!$E1664,nASIG,DATOS!$I1664,nEVAL,"OR")=0))</f>
      </c>
      <c r="I1664">
        <f>IF(DATOS!$I1664="","",IFERROR(VLOOKUP(DATOS!$I1664,CONFIG_ASIGNATURAS!$B$2:$J$91,9,FALSE()),""))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IF(DATOS!$A1665="",0,IF(CONFIG_METADATA!$B$4&lt;&gt;"OR+EX",--(DATOS!$G1665=CONFIG_METADATA!$B$4),IF(DATOS!$G1665="EX",1,IF(DATOS!$G1665="OR",--(COUNTIFS(nNIA,DATOS!$A1665,nCURSO,DATOS!$D1665,nESPEC,DATOS!$E1665,nASIG,DATOS!$I1665,nEVAL,"EX")=0),0))))</f>
      </c>
      <c r="H1665">
        <f>IF(DATOS!$G1665&lt;&gt;"EX",0,--(COUNTIFS(nNIA,DATOS!$A1665,nCURSO,DATOS!$D1665,nESPEC,DATOS!$E1665,nASIG,DATOS!$I1665,nEVAL,"OR")=0))</f>
      </c>
      <c r="I1665">
        <f>IF(DATOS!$I1665="","",IFERROR(VLOOKUP(DATOS!$I1665,CONFIG_ASIGNATURAS!$B$2:$J$91,9,FALSE()),""))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IF(DATOS!$A1666="",0,IF(CONFIG_METADATA!$B$4&lt;&gt;"OR+EX",--(DATOS!$G1666=CONFIG_METADATA!$B$4),IF(DATOS!$G1666="EX",1,IF(DATOS!$G1666="OR",--(COUNTIFS(nNIA,DATOS!$A1666,nCURSO,DATOS!$D1666,nESPEC,DATOS!$E1666,nASIG,DATOS!$I1666,nEVAL,"EX")=0),0))))</f>
      </c>
      <c r="H1666">
        <f>IF(DATOS!$G1666&lt;&gt;"EX",0,--(COUNTIFS(nNIA,DATOS!$A1666,nCURSO,DATOS!$D1666,nESPEC,DATOS!$E1666,nASIG,DATOS!$I1666,nEVAL,"OR")=0))</f>
      </c>
      <c r="I1666">
        <f>IF(DATOS!$I1666="","",IFERROR(VLOOKUP(DATOS!$I1666,CONFIG_ASIGNATURAS!$B$2:$J$91,9,FALSE()),""))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IF(DATOS!$A1667="",0,IF(CONFIG_METADATA!$B$4&lt;&gt;"OR+EX",--(DATOS!$G1667=CONFIG_METADATA!$B$4),IF(DATOS!$G1667="EX",1,IF(DATOS!$G1667="OR",--(COUNTIFS(nNIA,DATOS!$A1667,nCURSO,DATOS!$D1667,nESPEC,DATOS!$E1667,nASIG,DATOS!$I1667,nEVAL,"EX")=0),0))))</f>
      </c>
      <c r="H1667">
        <f>IF(DATOS!$G1667&lt;&gt;"EX",0,--(COUNTIFS(nNIA,DATOS!$A1667,nCURSO,DATOS!$D1667,nESPEC,DATOS!$E1667,nASIG,DATOS!$I1667,nEVAL,"OR")=0))</f>
      </c>
      <c r="I1667">
        <f>IF(DATOS!$I1667="","",IFERROR(VLOOKUP(DATOS!$I1667,CONFIG_ASIGNATURAS!$B$2:$J$91,9,FALSE()),""))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IF(DATOS!$A1668="",0,IF(CONFIG_METADATA!$B$4&lt;&gt;"OR+EX",--(DATOS!$G1668=CONFIG_METADATA!$B$4),IF(DATOS!$G1668="EX",1,IF(DATOS!$G1668="OR",--(COUNTIFS(nNIA,DATOS!$A1668,nCURSO,DATOS!$D1668,nESPEC,DATOS!$E1668,nASIG,DATOS!$I1668,nEVAL,"EX")=0),0))))</f>
      </c>
      <c r="H1668">
        <f>IF(DATOS!$G1668&lt;&gt;"EX",0,--(COUNTIFS(nNIA,DATOS!$A1668,nCURSO,DATOS!$D1668,nESPEC,DATOS!$E1668,nASIG,DATOS!$I1668,nEVAL,"OR")=0))</f>
      </c>
      <c r="I1668">
        <f>IF(DATOS!$I1668="","",IFERROR(VLOOKUP(DATOS!$I1668,CONFIG_ASIGNATURAS!$B$2:$J$91,9,FALSE()),""))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IF(DATOS!$A1669="",0,IF(CONFIG_METADATA!$B$4&lt;&gt;"OR+EX",--(DATOS!$G1669=CONFIG_METADATA!$B$4),IF(DATOS!$G1669="EX",1,IF(DATOS!$G1669="OR",--(COUNTIFS(nNIA,DATOS!$A1669,nCURSO,DATOS!$D1669,nESPEC,DATOS!$E1669,nASIG,DATOS!$I1669,nEVAL,"EX")=0),0))))</f>
      </c>
      <c r="H1669">
        <f>IF(DATOS!$G1669&lt;&gt;"EX",0,--(COUNTIFS(nNIA,DATOS!$A1669,nCURSO,DATOS!$D1669,nESPEC,DATOS!$E1669,nASIG,DATOS!$I1669,nEVAL,"OR")=0))</f>
      </c>
      <c r="I1669">
        <f>IF(DATOS!$I1669="","",IFERROR(VLOOKUP(DATOS!$I1669,CONFIG_ASIGNATURAS!$B$2:$J$91,9,FALSE()),""))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IF(DATOS!$A1670="",0,IF(CONFIG_METADATA!$B$4&lt;&gt;"OR+EX",--(DATOS!$G1670=CONFIG_METADATA!$B$4),IF(DATOS!$G1670="EX",1,IF(DATOS!$G1670="OR",--(COUNTIFS(nNIA,DATOS!$A1670,nCURSO,DATOS!$D1670,nESPEC,DATOS!$E1670,nASIG,DATOS!$I1670,nEVAL,"EX")=0),0))))</f>
      </c>
      <c r="H1670">
        <f>IF(DATOS!$G1670&lt;&gt;"EX",0,--(COUNTIFS(nNIA,DATOS!$A1670,nCURSO,DATOS!$D1670,nESPEC,DATOS!$E1670,nASIG,DATOS!$I1670,nEVAL,"OR")=0))</f>
      </c>
      <c r="I1670">
        <f>IF(DATOS!$I1670="","",IFERROR(VLOOKUP(DATOS!$I1670,CONFIG_ASIGNATURAS!$B$2:$J$91,9,FALSE()),""))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IF(DATOS!$A1671="",0,IF(CONFIG_METADATA!$B$4&lt;&gt;"OR+EX",--(DATOS!$G1671=CONFIG_METADATA!$B$4),IF(DATOS!$G1671="EX",1,IF(DATOS!$G1671="OR",--(COUNTIFS(nNIA,DATOS!$A1671,nCURSO,DATOS!$D1671,nESPEC,DATOS!$E1671,nASIG,DATOS!$I1671,nEVAL,"EX")=0),0))))</f>
      </c>
      <c r="H1671">
        <f>IF(DATOS!$G1671&lt;&gt;"EX",0,--(COUNTIFS(nNIA,DATOS!$A1671,nCURSO,DATOS!$D1671,nESPEC,DATOS!$E1671,nASIG,DATOS!$I1671,nEVAL,"OR")=0))</f>
      </c>
      <c r="I1671">
        <f>IF(DATOS!$I1671="","",IFERROR(VLOOKUP(DATOS!$I1671,CONFIG_ASIGNATURAS!$B$2:$J$91,9,FALSE()),""))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IF(DATOS!$A1672="",0,IF(CONFIG_METADATA!$B$4&lt;&gt;"OR+EX",--(DATOS!$G1672=CONFIG_METADATA!$B$4),IF(DATOS!$G1672="EX",1,IF(DATOS!$G1672="OR",--(COUNTIFS(nNIA,DATOS!$A1672,nCURSO,DATOS!$D1672,nESPEC,DATOS!$E1672,nASIG,DATOS!$I1672,nEVAL,"EX")=0),0))))</f>
      </c>
      <c r="H1672">
        <f>IF(DATOS!$G1672&lt;&gt;"EX",0,--(COUNTIFS(nNIA,DATOS!$A1672,nCURSO,DATOS!$D1672,nESPEC,DATOS!$E1672,nASIG,DATOS!$I1672,nEVAL,"OR")=0))</f>
      </c>
      <c r="I1672">
        <f>IF(DATOS!$I1672="","",IFERROR(VLOOKUP(DATOS!$I1672,CONFIG_ASIGNATURAS!$B$2:$J$91,9,FALSE()),""))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IF(DATOS!$A1673="",0,IF(CONFIG_METADATA!$B$4&lt;&gt;"OR+EX",--(DATOS!$G1673=CONFIG_METADATA!$B$4),IF(DATOS!$G1673="EX",1,IF(DATOS!$G1673="OR",--(COUNTIFS(nNIA,DATOS!$A1673,nCURSO,DATOS!$D1673,nESPEC,DATOS!$E1673,nASIG,DATOS!$I1673,nEVAL,"EX")=0),0))))</f>
      </c>
      <c r="H1673">
        <f>IF(DATOS!$G1673&lt;&gt;"EX",0,--(COUNTIFS(nNIA,DATOS!$A1673,nCURSO,DATOS!$D1673,nESPEC,DATOS!$E1673,nASIG,DATOS!$I1673,nEVAL,"OR")=0))</f>
      </c>
      <c r="I1673">
        <f>IF(DATOS!$I1673="","",IFERROR(VLOOKUP(DATOS!$I1673,CONFIG_ASIGNATURAS!$B$2:$J$91,9,FALSE()),""))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IF(DATOS!$A1674="",0,IF(CONFIG_METADATA!$B$4&lt;&gt;"OR+EX",--(DATOS!$G1674=CONFIG_METADATA!$B$4),IF(DATOS!$G1674="EX",1,IF(DATOS!$G1674="OR",--(COUNTIFS(nNIA,DATOS!$A1674,nCURSO,DATOS!$D1674,nESPEC,DATOS!$E1674,nASIG,DATOS!$I1674,nEVAL,"EX")=0),0))))</f>
      </c>
      <c r="H1674">
        <f>IF(DATOS!$G1674&lt;&gt;"EX",0,--(COUNTIFS(nNIA,DATOS!$A1674,nCURSO,DATOS!$D1674,nESPEC,DATOS!$E1674,nASIG,DATOS!$I1674,nEVAL,"OR")=0))</f>
      </c>
      <c r="I1674">
        <f>IF(DATOS!$I1674="","",IFERROR(VLOOKUP(DATOS!$I1674,CONFIG_ASIGNATURAS!$B$2:$J$91,9,FALSE()),""))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IF(DATOS!$A1675="",0,IF(CONFIG_METADATA!$B$4&lt;&gt;"OR+EX",--(DATOS!$G1675=CONFIG_METADATA!$B$4),IF(DATOS!$G1675="EX",1,IF(DATOS!$G1675="OR",--(COUNTIFS(nNIA,DATOS!$A1675,nCURSO,DATOS!$D1675,nESPEC,DATOS!$E1675,nASIG,DATOS!$I1675,nEVAL,"EX")=0),0))))</f>
      </c>
      <c r="H1675">
        <f>IF(DATOS!$G1675&lt;&gt;"EX",0,--(COUNTIFS(nNIA,DATOS!$A1675,nCURSO,DATOS!$D1675,nESPEC,DATOS!$E1675,nASIG,DATOS!$I1675,nEVAL,"OR")=0))</f>
      </c>
      <c r="I1675">
        <f>IF(DATOS!$I1675="","",IFERROR(VLOOKUP(DATOS!$I1675,CONFIG_ASIGNATURAS!$B$2:$J$91,9,FALSE()),""))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IF(DATOS!$A1676="",0,IF(CONFIG_METADATA!$B$4&lt;&gt;"OR+EX",--(DATOS!$G1676=CONFIG_METADATA!$B$4),IF(DATOS!$G1676="EX",1,IF(DATOS!$G1676="OR",--(COUNTIFS(nNIA,DATOS!$A1676,nCURSO,DATOS!$D1676,nESPEC,DATOS!$E1676,nASIG,DATOS!$I1676,nEVAL,"EX")=0),0))))</f>
      </c>
      <c r="H1676">
        <f>IF(DATOS!$G1676&lt;&gt;"EX",0,--(COUNTIFS(nNIA,DATOS!$A1676,nCURSO,DATOS!$D1676,nESPEC,DATOS!$E1676,nASIG,DATOS!$I1676,nEVAL,"OR")=0))</f>
      </c>
      <c r="I1676">
        <f>IF(DATOS!$I1676="","",IFERROR(VLOOKUP(DATOS!$I1676,CONFIG_ASIGNATURAS!$B$2:$J$91,9,FALSE()),""))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IF(DATOS!$A1677="",0,IF(CONFIG_METADATA!$B$4&lt;&gt;"OR+EX",--(DATOS!$G1677=CONFIG_METADATA!$B$4),IF(DATOS!$G1677="EX",1,IF(DATOS!$G1677="OR",--(COUNTIFS(nNIA,DATOS!$A1677,nCURSO,DATOS!$D1677,nESPEC,DATOS!$E1677,nASIG,DATOS!$I1677,nEVAL,"EX")=0),0))))</f>
      </c>
      <c r="H1677">
        <f>IF(DATOS!$G1677&lt;&gt;"EX",0,--(COUNTIFS(nNIA,DATOS!$A1677,nCURSO,DATOS!$D1677,nESPEC,DATOS!$E1677,nASIG,DATOS!$I1677,nEVAL,"OR")=0))</f>
      </c>
      <c r="I1677">
        <f>IF(DATOS!$I1677="","",IFERROR(VLOOKUP(DATOS!$I1677,CONFIG_ASIGNATURAS!$B$2:$J$91,9,FALSE()),""))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IF(DATOS!$A1678="",0,IF(CONFIG_METADATA!$B$4&lt;&gt;"OR+EX",--(DATOS!$G1678=CONFIG_METADATA!$B$4),IF(DATOS!$G1678="EX",1,IF(DATOS!$G1678="OR",--(COUNTIFS(nNIA,DATOS!$A1678,nCURSO,DATOS!$D1678,nESPEC,DATOS!$E1678,nASIG,DATOS!$I1678,nEVAL,"EX")=0),0))))</f>
      </c>
      <c r="H1678">
        <f>IF(DATOS!$G1678&lt;&gt;"EX",0,--(COUNTIFS(nNIA,DATOS!$A1678,nCURSO,DATOS!$D1678,nESPEC,DATOS!$E1678,nASIG,DATOS!$I1678,nEVAL,"OR")=0))</f>
      </c>
      <c r="I1678">
        <f>IF(DATOS!$I1678="","",IFERROR(VLOOKUP(DATOS!$I1678,CONFIG_ASIGNATURAS!$B$2:$J$91,9,FALSE()),""))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IF(DATOS!$A1679="",0,IF(CONFIG_METADATA!$B$4&lt;&gt;"OR+EX",--(DATOS!$G1679=CONFIG_METADATA!$B$4),IF(DATOS!$G1679="EX",1,IF(DATOS!$G1679="OR",--(COUNTIFS(nNIA,DATOS!$A1679,nCURSO,DATOS!$D1679,nESPEC,DATOS!$E1679,nASIG,DATOS!$I1679,nEVAL,"EX")=0),0))))</f>
      </c>
      <c r="H1679">
        <f>IF(DATOS!$G1679&lt;&gt;"EX",0,--(COUNTIFS(nNIA,DATOS!$A1679,nCURSO,DATOS!$D1679,nESPEC,DATOS!$E1679,nASIG,DATOS!$I1679,nEVAL,"OR")=0))</f>
      </c>
      <c r="I1679">
        <f>IF(DATOS!$I1679="","",IFERROR(VLOOKUP(DATOS!$I1679,CONFIG_ASIGNATURAS!$B$2:$J$91,9,FALSE()),""))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IF(DATOS!$A1680="",0,IF(CONFIG_METADATA!$B$4&lt;&gt;"OR+EX",--(DATOS!$G1680=CONFIG_METADATA!$B$4),IF(DATOS!$G1680="EX",1,IF(DATOS!$G1680="OR",--(COUNTIFS(nNIA,DATOS!$A1680,nCURSO,DATOS!$D1680,nESPEC,DATOS!$E1680,nASIG,DATOS!$I1680,nEVAL,"EX")=0),0))))</f>
      </c>
      <c r="H1680">
        <f>IF(DATOS!$G1680&lt;&gt;"EX",0,--(COUNTIFS(nNIA,DATOS!$A1680,nCURSO,DATOS!$D1680,nESPEC,DATOS!$E1680,nASIG,DATOS!$I1680,nEVAL,"OR")=0))</f>
      </c>
      <c r="I1680">
        <f>IF(DATOS!$I1680="","",IFERROR(VLOOKUP(DATOS!$I1680,CONFIG_ASIGNATURAS!$B$2:$J$91,9,FALSE()),""))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IF(DATOS!$A1681="",0,IF(CONFIG_METADATA!$B$4&lt;&gt;"OR+EX",--(DATOS!$G1681=CONFIG_METADATA!$B$4),IF(DATOS!$G1681="EX",1,IF(DATOS!$G1681="OR",--(COUNTIFS(nNIA,DATOS!$A1681,nCURSO,DATOS!$D1681,nESPEC,DATOS!$E1681,nASIG,DATOS!$I1681,nEVAL,"EX")=0),0))))</f>
      </c>
      <c r="H1681">
        <f>IF(DATOS!$G1681&lt;&gt;"EX",0,--(COUNTIFS(nNIA,DATOS!$A1681,nCURSO,DATOS!$D1681,nESPEC,DATOS!$E1681,nASIG,DATOS!$I1681,nEVAL,"OR")=0))</f>
      </c>
      <c r="I1681">
        <f>IF(DATOS!$I1681="","",IFERROR(VLOOKUP(DATOS!$I1681,CONFIG_ASIGNATURAS!$B$2:$J$91,9,FALSE()),""))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IF(DATOS!$A1682="",0,IF(CONFIG_METADATA!$B$4&lt;&gt;"OR+EX",--(DATOS!$G1682=CONFIG_METADATA!$B$4),IF(DATOS!$G1682="EX",1,IF(DATOS!$G1682="OR",--(COUNTIFS(nNIA,DATOS!$A1682,nCURSO,DATOS!$D1682,nESPEC,DATOS!$E1682,nASIG,DATOS!$I1682,nEVAL,"EX")=0),0))))</f>
      </c>
      <c r="H1682">
        <f>IF(DATOS!$G1682&lt;&gt;"EX",0,--(COUNTIFS(nNIA,DATOS!$A1682,nCURSO,DATOS!$D1682,nESPEC,DATOS!$E1682,nASIG,DATOS!$I1682,nEVAL,"OR")=0))</f>
      </c>
      <c r="I1682">
        <f>IF(DATOS!$I1682="","",IFERROR(VLOOKUP(DATOS!$I1682,CONFIG_ASIGNATURAS!$B$2:$J$91,9,FALSE()),""))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IF(DATOS!$A1683="",0,IF(CONFIG_METADATA!$B$4&lt;&gt;"OR+EX",--(DATOS!$G1683=CONFIG_METADATA!$B$4),IF(DATOS!$G1683="EX",1,IF(DATOS!$G1683="OR",--(COUNTIFS(nNIA,DATOS!$A1683,nCURSO,DATOS!$D1683,nESPEC,DATOS!$E1683,nASIG,DATOS!$I1683,nEVAL,"EX")=0),0))))</f>
      </c>
      <c r="H1683">
        <f>IF(DATOS!$G1683&lt;&gt;"EX",0,--(COUNTIFS(nNIA,DATOS!$A1683,nCURSO,DATOS!$D1683,nESPEC,DATOS!$E1683,nASIG,DATOS!$I1683,nEVAL,"OR")=0))</f>
      </c>
      <c r="I1683">
        <f>IF(DATOS!$I1683="","",IFERROR(VLOOKUP(DATOS!$I1683,CONFIG_ASIGNATURAS!$B$2:$J$91,9,FALSE()),""))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IF(DATOS!$A1684="",0,IF(CONFIG_METADATA!$B$4&lt;&gt;"OR+EX",--(DATOS!$G1684=CONFIG_METADATA!$B$4),IF(DATOS!$G1684="EX",1,IF(DATOS!$G1684="OR",--(COUNTIFS(nNIA,DATOS!$A1684,nCURSO,DATOS!$D1684,nESPEC,DATOS!$E1684,nASIG,DATOS!$I1684,nEVAL,"EX")=0),0))))</f>
      </c>
      <c r="H1684">
        <f>IF(DATOS!$G1684&lt;&gt;"EX",0,--(COUNTIFS(nNIA,DATOS!$A1684,nCURSO,DATOS!$D1684,nESPEC,DATOS!$E1684,nASIG,DATOS!$I1684,nEVAL,"OR")=0))</f>
      </c>
      <c r="I1684">
        <f>IF(DATOS!$I1684="","",IFERROR(VLOOKUP(DATOS!$I1684,CONFIG_ASIGNATURAS!$B$2:$J$91,9,FALSE()),""))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IF(DATOS!$A1685="",0,IF(CONFIG_METADATA!$B$4&lt;&gt;"OR+EX",--(DATOS!$G1685=CONFIG_METADATA!$B$4),IF(DATOS!$G1685="EX",1,IF(DATOS!$G1685="OR",--(COUNTIFS(nNIA,DATOS!$A1685,nCURSO,DATOS!$D1685,nESPEC,DATOS!$E1685,nASIG,DATOS!$I1685,nEVAL,"EX")=0),0))))</f>
      </c>
      <c r="H1685">
        <f>IF(DATOS!$G1685&lt;&gt;"EX",0,--(COUNTIFS(nNIA,DATOS!$A1685,nCURSO,DATOS!$D1685,nESPEC,DATOS!$E1685,nASIG,DATOS!$I1685,nEVAL,"OR")=0))</f>
      </c>
      <c r="I1685">
        <f>IF(DATOS!$I1685="","",IFERROR(VLOOKUP(DATOS!$I1685,CONFIG_ASIGNATURAS!$B$2:$J$91,9,FALSE()),""))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IF(DATOS!$A1686="",0,IF(CONFIG_METADATA!$B$4&lt;&gt;"OR+EX",--(DATOS!$G1686=CONFIG_METADATA!$B$4),IF(DATOS!$G1686="EX",1,IF(DATOS!$G1686="OR",--(COUNTIFS(nNIA,DATOS!$A1686,nCURSO,DATOS!$D1686,nESPEC,DATOS!$E1686,nASIG,DATOS!$I1686,nEVAL,"EX")=0),0))))</f>
      </c>
      <c r="H1686">
        <f>IF(DATOS!$G1686&lt;&gt;"EX",0,--(COUNTIFS(nNIA,DATOS!$A1686,nCURSO,DATOS!$D1686,nESPEC,DATOS!$E1686,nASIG,DATOS!$I1686,nEVAL,"OR")=0))</f>
      </c>
      <c r="I1686">
        <f>IF(DATOS!$I1686="","",IFERROR(VLOOKUP(DATOS!$I1686,CONFIG_ASIGNATURAS!$B$2:$J$91,9,FALSE()),""))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IF(DATOS!$A1687="",0,IF(CONFIG_METADATA!$B$4&lt;&gt;"OR+EX",--(DATOS!$G1687=CONFIG_METADATA!$B$4),IF(DATOS!$G1687="EX",1,IF(DATOS!$G1687="OR",--(COUNTIFS(nNIA,DATOS!$A1687,nCURSO,DATOS!$D1687,nESPEC,DATOS!$E1687,nASIG,DATOS!$I1687,nEVAL,"EX")=0),0))))</f>
      </c>
      <c r="H1687">
        <f>IF(DATOS!$G1687&lt;&gt;"EX",0,--(COUNTIFS(nNIA,DATOS!$A1687,nCURSO,DATOS!$D1687,nESPEC,DATOS!$E1687,nASIG,DATOS!$I1687,nEVAL,"OR")=0))</f>
      </c>
      <c r="I1687">
        <f>IF(DATOS!$I1687="","",IFERROR(VLOOKUP(DATOS!$I1687,CONFIG_ASIGNATURAS!$B$2:$J$91,9,FALSE()),""))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IF(DATOS!$A1688="",0,IF(CONFIG_METADATA!$B$4&lt;&gt;"OR+EX",--(DATOS!$G1688=CONFIG_METADATA!$B$4),IF(DATOS!$G1688="EX",1,IF(DATOS!$G1688="OR",--(COUNTIFS(nNIA,DATOS!$A1688,nCURSO,DATOS!$D1688,nESPEC,DATOS!$E1688,nASIG,DATOS!$I1688,nEVAL,"EX")=0),0))))</f>
      </c>
      <c r="H1688">
        <f>IF(DATOS!$G1688&lt;&gt;"EX",0,--(COUNTIFS(nNIA,DATOS!$A1688,nCURSO,DATOS!$D1688,nESPEC,DATOS!$E1688,nASIG,DATOS!$I1688,nEVAL,"OR")=0))</f>
      </c>
      <c r="I1688">
        <f>IF(DATOS!$I1688="","",IFERROR(VLOOKUP(DATOS!$I1688,CONFIG_ASIGNATURAS!$B$2:$J$91,9,FALSE()),""))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IF(DATOS!$A1689="",0,IF(CONFIG_METADATA!$B$4&lt;&gt;"OR+EX",--(DATOS!$G1689=CONFIG_METADATA!$B$4),IF(DATOS!$G1689="EX",1,IF(DATOS!$G1689="OR",--(COUNTIFS(nNIA,DATOS!$A1689,nCURSO,DATOS!$D1689,nESPEC,DATOS!$E1689,nASIG,DATOS!$I1689,nEVAL,"EX")=0),0))))</f>
      </c>
      <c r="H1689">
        <f>IF(DATOS!$G1689&lt;&gt;"EX",0,--(COUNTIFS(nNIA,DATOS!$A1689,nCURSO,DATOS!$D1689,nESPEC,DATOS!$E1689,nASIG,DATOS!$I1689,nEVAL,"OR")=0))</f>
      </c>
      <c r="I1689">
        <f>IF(DATOS!$I1689="","",IFERROR(VLOOKUP(DATOS!$I1689,CONFIG_ASIGNATURAS!$B$2:$J$91,9,FALSE()),""))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IF(DATOS!$A1690="",0,IF(CONFIG_METADATA!$B$4&lt;&gt;"OR+EX",--(DATOS!$G1690=CONFIG_METADATA!$B$4),IF(DATOS!$G1690="EX",1,IF(DATOS!$G1690="OR",--(COUNTIFS(nNIA,DATOS!$A1690,nCURSO,DATOS!$D1690,nESPEC,DATOS!$E1690,nASIG,DATOS!$I1690,nEVAL,"EX")=0),0))))</f>
      </c>
      <c r="H1690">
        <f>IF(DATOS!$G1690&lt;&gt;"EX",0,--(COUNTIFS(nNIA,DATOS!$A1690,nCURSO,DATOS!$D1690,nESPEC,DATOS!$E1690,nASIG,DATOS!$I1690,nEVAL,"OR")=0))</f>
      </c>
      <c r="I1690">
        <f>IF(DATOS!$I1690="","",IFERROR(VLOOKUP(DATOS!$I1690,CONFIG_ASIGNATURAS!$B$2:$J$91,9,FALSE()),""))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IF(DATOS!$A1691="",0,IF(CONFIG_METADATA!$B$4&lt;&gt;"OR+EX",--(DATOS!$G1691=CONFIG_METADATA!$B$4),IF(DATOS!$G1691="EX",1,IF(DATOS!$G1691="OR",--(COUNTIFS(nNIA,DATOS!$A1691,nCURSO,DATOS!$D1691,nESPEC,DATOS!$E1691,nASIG,DATOS!$I1691,nEVAL,"EX")=0),0))))</f>
      </c>
      <c r="H1691">
        <f>IF(DATOS!$G1691&lt;&gt;"EX",0,--(COUNTIFS(nNIA,DATOS!$A1691,nCURSO,DATOS!$D1691,nESPEC,DATOS!$E1691,nASIG,DATOS!$I1691,nEVAL,"OR")=0))</f>
      </c>
      <c r="I1691">
        <f>IF(DATOS!$I1691="","",IFERROR(VLOOKUP(DATOS!$I1691,CONFIG_ASIGNATURAS!$B$2:$J$91,9,FALSE()),""))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IF(DATOS!$A1692="",0,IF(CONFIG_METADATA!$B$4&lt;&gt;"OR+EX",--(DATOS!$G1692=CONFIG_METADATA!$B$4),IF(DATOS!$G1692="EX",1,IF(DATOS!$G1692="OR",--(COUNTIFS(nNIA,DATOS!$A1692,nCURSO,DATOS!$D1692,nESPEC,DATOS!$E1692,nASIG,DATOS!$I1692,nEVAL,"EX")=0),0))))</f>
      </c>
      <c r="H1692">
        <f>IF(DATOS!$G1692&lt;&gt;"EX",0,--(COUNTIFS(nNIA,DATOS!$A1692,nCURSO,DATOS!$D1692,nESPEC,DATOS!$E1692,nASIG,DATOS!$I1692,nEVAL,"OR")=0))</f>
      </c>
      <c r="I1692">
        <f>IF(DATOS!$I1692="","",IFERROR(VLOOKUP(DATOS!$I1692,CONFIG_ASIGNATURAS!$B$2:$J$91,9,FALSE()),""))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IF(DATOS!$A1693="",0,IF(CONFIG_METADATA!$B$4&lt;&gt;"OR+EX",--(DATOS!$G1693=CONFIG_METADATA!$B$4),IF(DATOS!$G1693="EX",1,IF(DATOS!$G1693="OR",--(COUNTIFS(nNIA,DATOS!$A1693,nCURSO,DATOS!$D1693,nESPEC,DATOS!$E1693,nASIG,DATOS!$I1693,nEVAL,"EX")=0),0))))</f>
      </c>
      <c r="H1693">
        <f>IF(DATOS!$G1693&lt;&gt;"EX",0,--(COUNTIFS(nNIA,DATOS!$A1693,nCURSO,DATOS!$D1693,nESPEC,DATOS!$E1693,nASIG,DATOS!$I1693,nEVAL,"OR")=0))</f>
      </c>
      <c r="I1693">
        <f>IF(DATOS!$I1693="","",IFERROR(VLOOKUP(DATOS!$I1693,CONFIG_ASIGNATURAS!$B$2:$J$91,9,FALSE()),""))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IF(DATOS!$A1694="",0,IF(CONFIG_METADATA!$B$4&lt;&gt;"OR+EX",--(DATOS!$G1694=CONFIG_METADATA!$B$4),IF(DATOS!$G1694="EX",1,IF(DATOS!$G1694="OR",--(COUNTIFS(nNIA,DATOS!$A1694,nCURSO,DATOS!$D1694,nESPEC,DATOS!$E1694,nASIG,DATOS!$I1694,nEVAL,"EX")=0),0))))</f>
      </c>
      <c r="H1694">
        <f>IF(DATOS!$G1694&lt;&gt;"EX",0,--(COUNTIFS(nNIA,DATOS!$A1694,nCURSO,DATOS!$D1694,nESPEC,DATOS!$E1694,nASIG,DATOS!$I1694,nEVAL,"OR")=0))</f>
      </c>
      <c r="I1694">
        <f>IF(DATOS!$I1694="","",IFERROR(VLOOKUP(DATOS!$I1694,CONFIG_ASIGNATURAS!$B$2:$J$91,9,FALSE()),""))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IF(DATOS!$A1695="",0,IF(CONFIG_METADATA!$B$4&lt;&gt;"OR+EX",--(DATOS!$G1695=CONFIG_METADATA!$B$4),IF(DATOS!$G1695="EX",1,IF(DATOS!$G1695="OR",--(COUNTIFS(nNIA,DATOS!$A1695,nCURSO,DATOS!$D1695,nESPEC,DATOS!$E1695,nASIG,DATOS!$I1695,nEVAL,"EX")=0),0))))</f>
      </c>
      <c r="H1695">
        <f>IF(DATOS!$G1695&lt;&gt;"EX",0,--(COUNTIFS(nNIA,DATOS!$A1695,nCURSO,DATOS!$D1695,nESPEC,DATOS!$E1695,nASIG,DATOS!$I1695,nEVAL,"OR")=0))</f>
      </c>
      <c r="I1695">
        <f>IF(DATOS!$I1695="","",IFERROR(VLOOKUP(DATOS!$I1695,CONFIG_ASIGNATURAS!$B$2:$J$91,9,FALSE()),""))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IF(DATOS!$A1696="",0,IF(CONFIG_METADATA!$B$4&lt;&gt;"OR+EX",--(DATOS!$G1696=CONFIG_METADATA!$B$4),IF(DATOS!$G1696="EX",1,IF(DATOS!$G1696="OR",--(COUNTIFS(nNIA,DATOS!$A1696,nCURSO,DATOS!$D1696,nESPEC,DATOS!$E1696,nASIG,DATOS!$I1696,nEVAL,"EX")=0),0))))</f>
      </c>
      <c r="H1696">
        <f>IF(DATOS!$G1696&lt;&gt;"EX",0,--(COUNTIFS(nNIA,DATOS!$A1696,nCURSO,DATOS!$D1696,nESPEC,DATOS!$E1696,nASIG,DATOS!$I1696,nEVAL,"OR")=0))</f>
      </c>
      <c r="I1696">
        <f>IF(DATOS!$I1696="","",IFERROR(VLOOKUP(DATOS!$I1696,CONFIG_ASIGNATURAS!$B$2:$J$91,9,FALSE()),""))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IF(DATOS!$A1697="",0,IF(CONFIG_METADATA!$B$4&lt;&gt;"OR+EX",--(DATOS!$G1697=CONFIG_METADATA!$B$4),IF(DATOS!$G1697="EX",1,IF(DATOS!$G1697="OR",--(COUNTIFS(nNIA,DATOS!$A1697,nCURSO,DATOS!$D1697,nESPEC,DATOS!$E1697,nASIG,DATOS!$I1697,nEVAL,"EX")=0),0))))</f>
      </c>
      <c r="H1697">
        <f>IF(DATOS!$G1697&lt;&gt;"EX",0,--(COUNTIFS(nNIA,DATOS!$A1697,nCURSO,DATOS!$D1697,nESPEC,DATOS!$E1697,nASIG,DATOS!$I1697,nEVAL,"OR")=0))</f>
      </c>
      <c r="I1697">
        <f>IF(DATOS!$I1697="","",IFERROR(VLOOKUP(DATOS!$I1697,CONFIG_ASIGNATURAS!$B$2:$J$91,9,FALSE()),""))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IF(DATOS!$A1698="",0,IF(CONFIG_METADATA!$B$4&lt;&gt;"OR+EX",--(DATOS!$G1698=CONFIG_METADATA!$B$4),IF(DATOS!$G1698="EX",1,IF(DATOS!$G1698="OR",--(COUNTIFS(nNIA,DATOS!$A1698,nCURSO,DATOS!$D1698,nESPEC,DATOS!$E1698,nASIG,DATOS!$I1698,nEVAL,"EX")=0),0))))</f>
      </c>
      <c r="H1698">
        <f>IF(DATOS!$G1698&lt;&gt;"EX",0,--(COUNTIFS(nNIA,DATOS!$A1698,nCURSO,DATOS!$D1698,nESPEC,DATOS!$E1698,nASIG,DATOS!$I1698,nEVAL,"OR")=0))</f>
      </c>
      <c r="I1698">
        <f>IF(DATOS!$I1698="","",IFERROR(VLOOKUP(DATOS!$I1698,CONFIG_ASIGNATURAS!$B$2:$J$91,9,FALSE()),""))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IF(DATOS!$A1699="",0,IF(CONFIG_METADATA!$B$4&lt;&gt;"OR+EX",--(DATOS!$G1699=CONFIG_METADATA!$B$4),IF(DATOS!$G1699="EX",1,IF(DATOS!$G1699="OR",--(COUNTIFS(nNIA,DATOS!$A1699,nCURSO,DATOS!$D1699,nESPEC,DATOS!$E1699,nASIG,DATOS!$I1699,nEVAL,"EX")=0),0))))</f>
      </c>
      <c r="H1699">
        <f>IF(DATOS!$G1699&lt;&gt;"EX",0,--(COUNTIFS(nNIA,DATOS!$A1699,nCURSO,DATOS!$D1699,nESPEC,DATOS!$E1699,nASIG,DATOS!$I1699,nEVAL,"OR")=0))</f>
      </c>
      <c r="I1699">
        <f>IF(DATOS!$I1699="","",IFERROR(VLOOKUP(DATOS!$I1699,CONFIG_ASIGNATURAS!$B$2:$J$91,9,FALSE()),""))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IF(DATOS!$A1700="",0,IF(CONFIG_METADATA!$B$4&lt;&gt;"OR+EX",--(DATOS!$G1700=CONFIG_METADATA!$B$4),IF(DATOS!$G1700="EX",1,IF(DATOS!$G1700="OR",--(COUNTIFS(nNIA,DATOS!$A1700,nCURSO,DATOS!$D1700,nESPEC,DATOS!$E1700,nASIG,DATOS!$I1700,nEVAL,"EX")=0),0))))</f>
      </c>
      <c r="H1700">
        <f>IF(DATOS!$G1700&lt;&gt;"EX",0,--(COUNTIFS(nNIA,DATOS!$A1700,nCURSO,DATOS!$D1700,nESPEC,DATOS!$E1700,nASIG,DATOS!$I1700,nEVAL,"OR")=0))</f>
      </c>
      <c r="I1700">
        <f>IF(DATOS!$I1700="","",IFERROR(VLOOKUP(DATOS!$I1700,CONFIG_ASIGNATURAS!$B$2:$J$91,9,FALSE()),""))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IF(DATOS!$A1701="",0,IF(CONFIG_METADATA!$B$4&lt;&gt;"OR+EX",--(DATOS!$G1701=CONFIG_METADATA!$B$4),IF(DATOS!$G1701="EX",1,IF(DATOS!$G1701="OR",--(COUNTIFS(nNIA,DATOS!$A1701,nCURSO,DATOS!$D1701,nESPEC,DATOS!$E1701,nASIG,DATOS!$I1701,nEVAL,"EX")=0),0))))</f>
      </c>
      <c r="H1701">
        <f>IF(DATOS!$G1701&lt;&gt;"EX",0,--(COUNTIFS(nNIA,DATOS!$A1701,nCURSO,DATOS!$D1701,nESPEC,DATOS!$E1701,nASIG,DATOS!$I1701,nEVAL,"OR")=0))</f>
      </c>
      <c r="I1701">
        <f>IF(DATOS!$I1701="","",IFERROR(VLOOKUP(DATOS!$I1701,CONFIG_ASIGNATURAS!$B$2:$J$91,9,FALSE()),""))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IF(DATOS!$A1702="",0,IF(CONFIG_METADATA!$B$4&lt;&gt;"OR+EX",--(DATOS!$G1702=CONFIG_METADATA!$B$4),IF(DATOS!$G1702="EX",1,IF(DATOS!$G1702="OR",--(COUNTIFS(nNIA,DATOS!$A1702,nCURSO,DATOS!$D1702,nESPEC,DATOS!$E1702,nASIG,DATOS!$I1702,nEVAL,"EX")=0),0))))</f>
      </c>
      <c r="H1702">
        <f>IF(DATOS!$G1702&lt;&gt;"EX",0,--(COUNTIFS(nNIA,DATOS!$A1702,nCURSO,DATOS!$D1702,nESPEC,DATOS!$E1702,nASIG,DATOS!$I1702,nEVAL,"OR")=0))</f>
      </c>
      <c r="I1702">
        <f>IF(DATOS!$I1702="","",IFERROR(VLOOKUP(DATOS!$I1702,CONFIG_ASIGNATURAS!$B$2:$J$91,9,FALSE()),""))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IF(DATOS!$A1703="",0,IF(CONFIG_METADATA!$B$4&lt;&gt;"OR+EX",--(DATOS!$G1703=CONFIG_METADATA!$B$4),IF(DATOS!$G1703="EX",1,IF(DATOS!$G1703="OR",--(COUNTIFS(nNIA,DATOS!$A1703,nCURSO,DATOS!$D1703,nESPEC,DATOS!$E1703,nASIG,DATOS!$I1703,nEVAL,"EX")=0),0))))</f>
      </c>
      <c r="H1703">
        <f>IF(DATOS!$G1703&lt;&gt;"EX",0,--(COUNTIFS(nNIA,DATOS!$A1703,nCURSO,DATOS!$D1703,nESPEC,DATOS!$E1703,nASIG,DATOS!$I1703,nEVAL,"OR")=0))</f>
      </c>
      <c r="I1703">
        <f>IF(DATOS!$I1703="","",IFERROR(VLOOKUP(DATOS!$I1703,CONFIG_ASIGNATURAS!$B$2:$J$91,9,FALSE()),""))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IF(DATOS!$A1704="",0,IF(CONFIG_METADATA!$B$4&lt;&gt;"OR+EX",--(DATOS!$G1704=CONFIG_METADATA!$B$4),IF(DATOS!$G1704="EX",1,IF(DATOS!$G1704="OR",--(COUNTIFS(nNIA,DATOS!$A1704,nCURSO,DATOS!$D1704,nESPEC,DATOS!$E1704,nASIG,DATOS!$I1704,nEVAL,"EX")=0),0))))</f>
      </c>
      <c r="H1704">
        <f>IF(DATOS!$G1704&lt;&gt;"EX",0,--(COUNTIFS(nNIA,DATOS!$A1704,nCURSO,DATOS!$D1704,nESPEC,DATOS!$E1704,nASIG,DATOS!$I1704,nEVAL,"OR")=0))</f>
      </c>
      <c r="I1704">
        <f>IF(DATOS!$I1704="","",IFERROR(VLOOKUP(DATOS!$I1704,CONFIG_ASIGNATURAS!$B$2:$J$91,9,FALSE()),""))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IF(DATOS!$A1705="",0,IF(CONFIG_METADATA!$B$4&lt;&gt;"OR+EX",--(DATOS!$G1705=CONFIG_METADATA!$B$4),IF(DATOS!$G1705="EX",1,IF(DATOS!$G1705="OR",--(COUNTIFS(nNIA,DATOS!$A1705,nCURSO,DATOS!$D1705,nESPEC,DATOS!$E1705,nASIG,DATOS!$I1705,nEVAL,"EX")=0),0))))</f>
      </c>
      <c r="H1705">
        <f>IF(DATOS!$G1705&lt;&gt;"EX",0,--(COUNTIFS(nNIA,DATOS!$A1705,nCURSO,DATOS!$D1705,nESPEC,DATOS!$E1705,nASIG,DATOS!$I1705,nEVAL,"OR")=0))</f>
      </c>
      <c r="I1705">
        <f>IF(DATOS!$I1705="","",IFERROR(VLOOKUP(DATOS!$I1705,CONFIG_ASIGNATURAS!$B$2:$J$91,9,FALSE()),""))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IF(DATOS!$A1706="",0,IF(CONFIG_METADATA!$B$4&lt;&gt;"OR+EX",--(DATOS!$G1706=CONFIG_METADATA!$B$4),IF(DATOS!$G1706="EX",1,IF(DATOS!$G1706="OR",--(COUNTIFS(nNIA,DATOS!$A1706,nCURSO,DATOS!$D1706,nESPEC,DATOS!$E1706,nASIG,DATOS!$I1706,nEVAL,"EX")=0),0))))</f>
      </c>
      <c r="H1706">
        <f>IF(DATOS!$G1706&lt;&gt;"EX",0,--(COUNTIFS(nNIA,DATOS!$A1706,nCURSO,DATOS!$D1706,nESPEC,DATOS!$E1706,nASIG,DATOS!$I1706,nEVAL,"OR")=0))</f>
      </c>
      <c r="I1706">
        <f>IF(DATOS!$I1706="","",IFERROR(VLOOKUP(DATOS!$I1706,CONFIG_ASIGNATURAS!$B$2:$J$91,9,FALSE()),""))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IF(DATOS!$A1707="",0,IF(CONFIG_METADATA!$B$4&lt;&gt;"OR+EX",--(DATOS!$G1707=CONFIG_METADATA!$B$4),IF(DATOS!$G1707="EX",1,IF(DATOS!$G1707="OR",--(COUNTIFS(nNIA,DATOS!$A1707,nCURSO,DATOS!$D1707,nESPEC,DATOS!$E1707,nASIG,DATOS!$I1707,nEVAL,"EX")=0),0))))</f>
      </c>
      <c r="H1707">
        <f>IF(DATOS!$G1707&lt;&gt;"EX",0,--(COUNTIFS(nNIA,DATOS!$A1707,nCURSO,DATOS!$D1707,nESPEC,DATOS!$E1707,nASIG,DATOS!$I1707,nEVAL,"OR")=0))</f>
      </c>
      <c r="I1707">
        <f>IF(DATOS!$I1707="","",IFERROR(VLOOKUP(DATOS!$I1707,CONFIG_ASIGNATURAS!$B$2:$J$91,9,FALSE()),""))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IF(DATOS!$A1708="",0,IF(CONFIG_METADATA!$B$4&lt;&gt;"OR+EX",--(DATOS!$G1708=CONFIG_METADATA!$B$4),IF(DATOS!$G1708="EX",1,IF(DATOS!$G1708="OR",--(COUNTIFS(nNIA,DATOS!$A1708,nCURSO,DATOS!$D1708,nESPEC,DATOS!$E1708,nASIG,DATOS!$I1708,nEVAL,"EX")=0),0))))</f>
      </c>
      <c r="H1708">
        <f>IF(DATOS!$G1708&lt;&gt;"EX",0,--(COUNTIFS(nNIA,DATOS!$A1708,nCURSO,DATOS!$D1708,nESPEC,DATOS!$E1708,nASIG,DATOS!$I1708,nEVAL,"OR")=0))</f>
      </c>
      <c r="I1708">
        <f>IF(DATOS!$I1708="","",IFERROR(VLOOKUP(DATOS!$I1708,CONFIG_ASIGNATURAS!$B$2:$J$91,9,FALSE()),""))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IF(DATOS!$A1709="",0,IF(CONFIG_METADATA!$B$4&lt;&gt;"OR+EX",--(DATOS!$G1709=CONFIG_METADATA!$B$4),IF(DATOS!$G1709="EX",1,IF(DATOS!$G1709="OR",--(COUNTIFS(nNIA,DATOS!$A1709,nCURSO,DATOS!$D1709,nESPEC,DATOS!$E1709,nASIG,DATOS!$I1709,nEVAL,"EX")=0),0))))</f>
      </c>
      <c r="H1709">
        <f>IF(DATOS!$G1709&lt;&gt;"EX",0,--(COUNTIFS(nNIA,DATOS!$A1709,nCURSO,DATOS!$D1709,nESPEC,DATOS!$E1709,nASIG,DATOS!$I1709,nEVAL,"OR")=0))</f>
      </c>
      <c r="I1709">
        <f>IF(DATOS!$I1709="","",IFERROR(VLOOKUP(DATOS!$I1709,CONFIG_ASIGNATURAS!$B$2:$J$91,9,FALSE()),""))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IF(DATOS!$A1710="",0,IF(CONFIG_METADATA!$B$4&lt;&gt;"OR+EX",--(DATOS!$G1710=CONFIG_METADATA!$B$4),IF(DATOS!$G1710="EX",1,IF(DATOS!$G1710="OR",--(COUNTIFS(nNIA,DATOS!$A1710,nCURSO,DATOS!$D1710,nESPEC,DATOS!$E1710,nASIG,DATOS!$I1710,nEVAL,"EX")=0),0))))</f>
      </c>
      <c r="H1710">
        <f>IF(DATOS!$G1710&lt;&gt;"EX",0,--(COUNTIFS(nNIA,DATOS!$A1710,nCURSO,DATOS!$D1710,nESPEC,DATOS!$E1710,nASIG,DATOS!$I1710,nEVAL,"OR")=0))</f>
      </c>
      <c r="I1710">
        <f>IF(DATOS!$I1710="","",IFERROR(VLOOKUP(DATOS!$I1710,CONFIG_ASIGNATURAS!$B$2:$J$91,9,FALSE()),""))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IF(DATOS!$A1711="",0,IF(CONFIG_METADATA!$B$4&lt;&gt;"OR+EX",--(DATOS!$G1711=CONFIG_METADATA!$B$4),IF(DATOS!$G1711="EX",1,IF(DATOS!$G1711="OR",--(COUNTIFS(nNIA,DATOS!$A1711,nCURSO,DATOS!$D1711,nESPEC,DATOS!$E1711,nASIG,DATOS!$I1711,nEVAL,"EX")=0),0))))</f>
      </c>
      <c r="H1711">
        <f>IF(DATOS!$G1711&lt;&gt;"EX",0,--(COUNTIFS(nNIA,DATOS!$A1711,nCURSO,DATOS!$D1711,nESPEC,DATOS!$E1711,nASIG,DATOS!$I1711,nEVAL,"OR")=0))</f>
      </c>
      <c r="I1711">
        <f>IF(DATOS!$I1711="","",IFERROR(VLOOKUP(DATOS!$I1711,CONFIG_ASIGNATURAS!$B$2:$J$91,9,FALSE()),""))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IF(DATOS!$A1712="",0,IF(CONFIG_METADATA!$B$4&lt;&gt;"OR+EX",--(DATOS!$G1712=CONFIG_METADATA!$B$4),IF(DATOS!$G1712="EX",1,IF(DATOS!$G1712="OR",--(COUNTIFS(nNIA,DATOS!$A1712,nCURSO,DATOS!$D1712,nESPEC,DATOS!$E1712,nASIG,DATOS!$I1712,nEVAL,"EX")=0),0))))</f>
      </c>
      <c r="H1712">
        <f>IF(DATOS!$G1712&lt;&gt;"EX",0,--(COUNTIFS(nNIA,DATOS!$A1712,nCURSO,DATOS!$D1712,nESPEC,DATOS!$E1712,nASIG,DATOS!$I1712,nEVAL,"OR")=0))</f>
      </c>
      <c r="I1712">
        <f>IF(DATOS!$I1712="","",IFERROR(VLOOKUP(DATOS!$I1712,CONFIG_ASIGNATURAS!$B$2:$J$91,9,FALSE()),""))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IF(DATOS!$A1713="",0,IF(CONFIG_METADATA!$B$4&lt;&gt;"OR+EX",--(DATOS!$G1713=CONFIG_METADATA!$B$4),IF(DATOS!$G1713="EX",1,IF(DATOS!$G1713="OR",--(COUNTIFS(nNIA,DATOS!$A1713,nCURSO,DATOS!$D1713,nESPEC,DATOS!$E1713,nASIG,DATOS!$I1713,nEVAL,"EX")=0),0))))</f>
      </c>
      <c r="H1713">
        <f>IF(DATOS!$G1713&lt;&gt;"EX",0,--(COUNTIFS(nNIA,DATOS!$A1713,nCURSO,DATOS!$D1713,nESPEC,DATOS!$E1713,nASIG,DATOS!$I1713,nEVAL,"OR")=0))</f>
      </c>
      <c r="I1713">
        <f>IF(DATOS!$I1713="","",IFERROR(VLOOKUP(DATOS!$I1713,CONFIG_ASIGNATURAS!$B$2:$J$91,9,FALSE()),""))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IF(DATOS!$A1714="",0,IF(CONFIG_METADATA!$B$4&lt;&gt;"OR+EX",--(DATOS!$G1714=CONFIG_METADATA!$B$4),IF(DATOS!$G1714="EX",1,IF(DATOS!$G1714="OR",--(COUNTIFS(nNIA,DATOS!$A1714,nCURSO,DATOS!$D1714,nESPEC,DATOS!$E1714,nASIG,DATOS!$I1714,nEVAL,"EX")=0),0))))</f>
      </c>
      <c r="H1714">
        <f>IF(DATOS!$G1714&lt;&gt;"EX",0,--(COUNTIFS(nNIA,DATOS!$A1714,nCURSO,DATOS!$D1714,nESPEC,DATOS!$E1714,nASIG,DATOS!$I1714,nEVAL,"OR")=0))</f>
      </c>
      <c r="I1714">
        <f>IF(DATOS!$I1714="","",IFERROR(VLOOKUP(DATOS!$I1714,CONFIG_ASIGNATURAS!$B$2:$J$91,9,FALSE()),""))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IF(DATOS!$A1715="",0,IF(CONFIG_METADATA!$B$4&lt;&gt;"OR+EX",--(DATOS!$G1715=CONFIG_METADATA!$B$4),IF(DATOS!$G1715="EX",1,IF(DATOS!$G1715="OR",--(COUNTIFS(nNIA,DATOS!$A1715,nCURSO,DATOS!$D1715,nESPEC,DATOS!$E1715,nASIG,DATOS!$I1715,nEVAL,"EX")=0),0))))</f>
      </c>
      <c r="H1715">
        <f>IF(DATOS!$G1715&lt;&gt;"EX",0,--(COUNTIFS(nNIA,DATOS!$A1715,nCURSO,DATOS!$D1715,nESPEC,DATOS!$E1715,nASIG,DATOS!$I1715,nEVAL,"OR")=0))</f>
      </c>
      <c r="I1715">
        <f>IF(DATOS!$I1715="","",IFERROR(VLOOKUP(DATOS!$I1715,CONFIG_ASIGNATURAS!$B$2:$J$91,9,FALSE()),""))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IF(DATOS!$A1716="",0,IF(CONFIG_METADATA!$B$4&lt;&gt;"OR+EX",--(DATOS!$G1716=CONFIG_METADATA!$B$4),IF(DATOS!$G1716="EX",1,IF(DATOS!$G1716="OR",--(COUNTIFS(nNIA,DATOS!$A1716,nCURSO,DATOS!$D1716,nESPEC,DATOS!$E1716,nASIG,DATOS!$I1716,nEVAL,"EX")=0),0))))</f>
      </c>
      <c r="H1716">
        <f>IF(DATOS!$G1716&lt;&gt;"EX",0,--(COUNTIFS(nNIA,DATOS!$A1716,nCURSO,DATOS!$D1716,nESPEC,DATOS!$E1716,nASIG,DATOS!$I1716,nEVAL,"OR")=0))</f>
      </c>
      <c r="I1716">
        <f>IF(DATOS!$I1716="","",IFERROR(VLOOKUP(DATOS!$I1716,CONFIG_ASIGNATURAS!$B$2:$J$91,9,FALSE()),""))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IF(DATOS!$A1717="",0,IF(CONFIG_METADATA!$B$4&lt;&gt;"OR+EX",--(DATOS!$G1717=CONFIG_METADATA!$B$4),IF(DATOS!$G1717="EX",1,IF(DATOS!$G1717="OR",--(COUNTIFS(nNIA,DATOS!$A1717,nCURSO,DATOS!$D1717,nESPEC,DATOS!$E1717,nASIG,DATOS!$I1717,nEVAL,"EX")=0),0))))</f>
      </c>
      <c r="H1717">
        <f>IF(DATOS!$G1717&lt;&gt;"EX",0,--(COUNTIFS(nNIA,DATOS!$A1717,nCURSO,DATOS!$D1717,nESPEC,DATOS!$E1717,nASIG,DATOS!$I1717,nEVAL,"OR")=0))</f>
      </c>
      <c r="I1717">
        <f>IF(DATOS!$I1717="","",IFERROR(VLOOKUP(DATOS!$I1717,CONFIG_ASIGNATURAS!$B$2:$J$91,9,FALSE()),""))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IF(DATOS!$A1718="",0,IF(CONFIG_METADATA!$B$4&lt;&gt;"OR+EX",--(DATOS!$G1718=CONFIG_METADATA!$B$4),IF(DATOS!$G1718="EX",1,IF(DATOS!$G1718="OR",--(COUNTIFS(nNIA,DATOS!$A1718,nCURSO,DATOS!$D1718,nESPEC,DATOS!$E1718,nASIG,DATOS!$I1718,nEVAL,"EX")=0),0))))</f>
      </c>
      <c r="H1718">
        <f>IF(DATOS!$G1718&lt;&gt;"EX",0,--(COUNTIFS(nNIA,DATOS!$A1718,nCURSO,DATOS!$D1718,nESPEC,DATOS!$E1718,nASIG,DATOS!$I1718,nEVAL,"OR")=0))</f>
      </c>
      <c r="I1718">
        <f>IF(DATOS!$I1718="","",IFERROR(VLOOKUP(DATOS!$I1718,CONFIG_ASIGNATURAS!$B$2:$J$91,9,FALSE()),""))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IF(DATOS!$A1719="",0,IF(CONFIG_METADATA!$B$4&lt;&gt;"OR+EX",--(DATOS!$G1719=CONFIG_METADATA!$B$4),IF(DATOS!$G1719="EX",1,IF(DATOS!$G1719="OR",--(COUNTIFS(nNIA,DATOS!$A1719,nCURSO,DATOS!$D1719,nESPEC,DATOS!$E1719,nASIG,DATOS!$I1719,nEVAL,"EX")=0),0))))</f>
      </c>
      <c r="H1719">
        <f>IF(DATOS!$G1719&lt;&gt;"EX",0,--(COUNTIFS(nNIA,DATOS!$A1719,nCURSO,DATOS!$D1719,nESPEC,DATOS!$E1719,nASIG,DATOS!$I1719,nEVAL,"OR")=0))</f>
      </c>
      <c r="I1719">
        <f>IF(DATOS!$I1719="","",IFERROR(VLOOKUP(DATOS!$I1719,CONFIG_ASIGNATURAS!$B$2:$J$91,9,FALSE()),""))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IF(DATOS!$A1720="",0,IF(CONFIG_METADATA!$B$4&lt;&gt;"OR+EX",--(DATOS!$G1720=CONFIG_METADATA!$B$4),IF(DATOS!$G1720="EX",1,IF(DATOS!$G1720="OR",--(COUNTIFS(nNIA,DATOS!$A1720,nCURSO,DATOS!$D1720,nESPEC,DATOS!$E1720,nASIG,DATOS!$I1720,nEVAL,"EX")=0),0))))</f>
      </c>
      <c r="H1720">
        <f>IF(DATOS!$G1720&lt;&gt;"EX",0,--(COUNTIFS(nNIA,DATOS!$A1720,nCURSO,DATOS!$D1720,nESPEC,DATOS!$E1720,nASIG,DATOS!$I1720,nEVAL,"OR")=0))</f>
      </c>
      <c r="I1720">
        <f>IF(DATOS!$I1720="","",IFERROR(VLOOKUP(DATOS!$I1720,CONFIG_ASIGNATURAS!$B$2:$J$91,9,FALSE()),""))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IF(DATOS!$A1721="",0,IF(CONFIG_METADATA!$B$4&lt;&gt;"OR+EX",--(DATOS!$G1721=CONFIG_METADATA!$B$4),IF(DATOS!$G1721="EX",1,IF(DATOS!$G1721="OR",--(COUNTIFS(nNIA,DATOS!$A1721,nCURSO,DATOS!$D1721,nESPEC,DATOS!$E1721,nASIG,DATOS!$I1721,nEVAL,"EX")=0),0))))</f>
      </c>
      <c r="H1721">
        <f>IF(DATOS!$G1721&lt;&gt;"EX",0,--(COUNTIFS(nNIA,DATOS!$A1721,nCURSO,DATOS!$D1721,nESPEC,DATOS!$E1721,nASIG,DATOS!$I1721,nEVAL,"OR")=0))</f>
      </c>
      <c r="I1721">
        <f>IF(DATOS!$I1721="","",IFERROR(VLOOKUP(DATOS!$I1721,CONFIG_ASIGNATURAS!$B$2:$J$91,9,FALSE()),""))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IF(DATOS!$A1722="",0,IF(CONFIG_METADATA!$B$4&lt;&gt;"OR+EX",--(DATOS!$G1722=CONFIG_METADATA!$B$4),IF(DATOS!$G1722="EX",1,IF(DATOS!$G1722="OR",--(COUNTIFS(nNIA,DATOS!$A1722,nCURSO,DATOS!$D1722,nESPEC,DATOS!$E1722,nASIG,DATOS!$I1722,nEVAL,"EX")=0),0))))</f>
      </c>
      <c r="H1722">
        <f>IF(DATOS!$G1722&lt;&gt;"EX",0,--(COUNTIFS(nNIA,DATOS!$A1722,nCURSO,DATOS!$D1722,nESPEC,DATOS!$E1722,nASIG,DATOS!$I1722,nEVAL,"OR")=0))</f>
      </c>
      <c r="I1722">
        <f>IF(DATOS!$I1722="","",IFERROR(VLOOKUP(DATOS!$I1722,CONFIG_ASIGNATURAS!$B$2:$J$91,9,FALSE()),""))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IF(DATOS!$A1723="",0,IF(CONFIG_METADATA!$B$4&lt;&gt;"OR+EX",--(DATOS!$G1723=CONFIG_METADATA!$B$4),IF(DATOS!$G1723="EX",1,IF(DATOS!$G1723="OR",--(COUNTIFS(nNIA,DATOS!$A1723,nCURSO,DATOS!$D1723,nESPEC,DATOS!$E1723,nASIG,DATOS!$I1723,nEVAL,"EX")=0),0))))</f>
      </c>
      <c r="H1723">
        <f>IF(DATOS!$G1723&lt;&gt;"EX",0,--(COUNTIFS(nNIA,DATOS!$A1723,nCURSO,DATOS!$D1723,nESPEC,DATOS!$E1723,nASIG,DATOS!$I1723,nEVAL,"OR")=0))</f>
      </c>
      <c r="I1723">
        <f>IF(DATOS!$I1723="","",IFERROR(VLOOKUP(DATOS!$I1723,CONFIG_ASIGNATURAS!$B$2:$J$91,9,FALSE()),""))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IF(DATOS!$A1724="",0,IF(CONFIG_METADATA!$B$4&lt;&gt;"OR+EX",--(DATOS!$G1724=CONFIG_METADATA!$B$4),IF(DATOS!$G1724="EX",1,IF(DATOS!$G1724="OR",--(COUNTIFS(nNIA,DATOS!$A1724,nCURSO,DATOS!$D1724,nESPEC,DATOS!$E1724,nASIG,DATOS!$I1724,nEVAL,"EX")=0),0))))</f>
      </c>
      <c r="H1724">
        <f>IF(DATOS!$G1724&lt;&gt;"EX",0,--(COUNTIFS(nNIA,DATOS!$A1724,nCURSO,DATOS!$D1724,nESPEC,DATOS!$E1724,nASIG,DATOS!$I1724,nEVAL,"OR")=0))</f>
      </c>
      <c r="I1724">
        <f>IF(DATOS!$I1724="","",IFERROR(VLOOKUP(DATOS!$I1724,CONFIG_ASIGNATURAS!$B$2:$J$91,9,FALSE()),""))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IF(DATOS!$A1725="",0,IF(CONFIG_METADATA!$B$4&lt;&gt;"OR+EX",--(DATOS!$G1725=CONFIG_METADATA!$B$4),IF(DATOS!$G1725="EX",1,IF(DATOS!$G1725="OR",--(COUNTIFS(nNIA,DATOS!$A1725,nCURSO,DATOS!$D1725,nESPEC,DATOS!$E1725,nASIG,DATOS!$I1725,nEVAL,"EX")=0),0))))</f>
      </c>
      <c r="H1725">
        <f>IF(DATOS!$G1725&lt;&gt;"EX",0,--(COUNTIFS(nNIA,DATOS!$A1725,nCURSO,DATOS!$D1725,nESPEC,DATOS!$E1725,nASIG,DATOS!$I1725,nEVAL,"OR")=0))</f>
      </c>
      <c r="I1725">
        <f>IF(DATOS!$I1725="","",IFERROR(VLOOKUP(DATOS!$I1725,CONFIG_ASIGNATURAS!$B$2:$J$91,9,FALSE()),""))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IF(DATOS!$A1726="",0,IF(CONFIG_METADATA!$B$4&lt;&gt;"OR+EX",--(DATOS!$G1726=CONFIG_METADATA!$B$4),IF(DATOS!$G1726="EX",1,IF(DATOS!$G1726="OR",--(COUNTIFS(nNIA,DATOS!$A1726,nCURSO,DATOS!$D1726,nESPEC,DATOS!$E1726,nASIG,DATOS!$I1726,nEVAL,"EX")=0),0))))</f>
      </c>
      <c r="H1726">
        <f>IF(DATOS!$G1726&lt;&gt;"EX",0,--(COUNTIFS(nNIA,DATOS!$A1726,nCURSO,DATOS!$D1726,nESPEC,DATOS!$E1726,nASIG,DATOS!$I1726,nEVAL,"OR")=0))</f>
      </c>
      <c r="I1726">
        <f>IF(DATOS!$I1726="","",IFERROR(VLOOKUP(DATOS!$I1726,CONFIG_ASIGNATURAS!$B$2:$J$91,9,FALSE()),""))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IF(DATOS!$A1727="",0,IF(CONFIG_METADATA!$B$4&lt;&gt;"OR+EX",--(DATOS!$G1727=CONFIG_METADATA!$B$4),IF(DATOS!$G1727="EX",1,IF(DATOS!$G1727="OR",--(COUNTIFS(nNIA,DATOS!$A1727,nCURSO,DATOS!$D1727,nESPEC,DATOS!$E1727,nASIG,DATOS!$I1727,nEVAL,"EX")=0),0))))</f>
      </c>
      <c r="H1727">
        <f>IF(DATOS!$G1727&lt;&gt;"EX",0,--(COUNTIFS(nNIA,DATOS!$A1727,nCURSO,DATOS!$D1727,nESPEC,DATOS!$E1727,nASIG,DATOS!$I1727,nEVAL,"OR")=0))</f>
      </c>
      <c r="I1727">
        <f>IF(DATOS!$I1727="","",IFERROR(VLOOKUP(DATOS!$I1727,CONFIG_ASIGNATURAS!$B$2:$J$91,9,FALSE()),""))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IF(DATOS!$A1728="",0,IF(CONFIG_METADATA!$B$4&lt;&gt;"OR+EX",--(DATOS!$G1728=CONFIG_METADATA!$B$4),IF(DATOS!$G1728="EX",1,IF(DATOS!$G1728="OR",--(COUNTIFS(nNIA,DATOS!$A1728,nCURSO,DATOS!$D1728,nESPEC,DATOS!$E1728,nASIG,DATOS!$I1728,nEVAL,"EX")=0),0))))</f>
      </c>
      <c r="H1728">
        <f>IF(DATOS!$G1728&lt;&gt;"EX",0,--(COUNTIFS(nNIA,DATOS!$A1728,nCURSO,DATOS!$D1728,nESPEC,DATOS!$E1728,nASIG,DATOS!$I1728,nEVAL,"OR")=0))</f>
      </c>
      <c r="I1728">
        <f>IF(DATOS!$I1728="","",IFERROR(VLOOKUP(DATOS!$I1728,CONFIG_ASIGNATURAS!$B$2:$J$91,9,FALSE()),""))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IF(DATOS!$A1729="",0,IF(CONFIG_METADATA!$B$4&lt;&gt;"OR+EX",--(DATOS!$G1729=CONFIG_METADATA!$B$4),IF(DATOS!$G1729="EX",1,IF(DATOS!$G1729="OR",--(COUNTIFS(nNIA,DATOS!$A1729,nCURSO,DATOS!$D1729,nESPEC,DATOS!$E1729,nASIG,DATOS!$I1729,nEVAL,"EX")=0),0))))</f>
      </c>
      <c r="H1729">
        <f>IF(DATOS!$G1729&lt;&gt;"EX",0,--(COUNTIFS(nNIA,DATOS!$A1729,nCURSO,DATOS!$D1729,nESPEC,DATOS!$E1729,nASIG,DATOS!$I1729,nEVAL,"OR")=0))</f>
      </c>
      <c r="I1729">
        <f>IF(DATOS!$I1729="","",IFERROR(VLOOKUP(DATOS!$I1729,CONFIG_ASIGNATURAS!$B$2:$J$91,9,FALSE()),""))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IF(DATOS!$A1730="",0,IF(CONFIG_METADATA!$B$4&lt;&gt;"OR+EX",--(DATOS!$G1730=CONFIG_METADATA!$B$4),IF(DATOS!$G1730="EX",1,IF(DATOS!$G1730="OR",--(COUNTIFS(nNIA,DATOS!$A1730,nCURSO,DATOS!$D1730,nESPEC,DATOS!$E1730,nASIG,DATOS!$I1730,nEVAL,"EX")=0),0))))</f>
      </c>
      <c r="H1730">
        <f>IF(DATOS!$G1730&lt;&gt;"EX",0,--(COUNTIFS(nNIA,DATOS!$A1730,nCURSO,DATOS!$D1730,nESPEC,DATOS!$E1730,nASIG,DATOS!$I1730,nEVAL,"OR")=0))</f>
      </c>
      <c r="I1730">
        <f>IF(DATOS!$I1730="","",IFERROR(VLOOKUP(DATOS!$I1730,CONFIG_ASIGNATURAS!$B$2:$J$91,9,FALSE()),""))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IF(DATOS!$A1731="",0,IF(CONFIG_METADATA!$B$4&lt;&gt;"OR+EX",--(DATOS!$G1731=CONFIG_METADATA!$B$4),IF(DATOS!$G1731="EX",1,IF(DATOS!$G1731="OR",--(COUNTIFS(nNIA,DATOS!$A1731,nCURSO,DATOS!$D1731,nESPEC,DATOS!$E1731,nASIG,DATOS!$I1731,nEVAL,"EX")=0),0))))</f>
      </c>
      <c r="H1731">
        <f>IF(DATOS!$G1731&lt;&gt;"EX",0,--(COUNTIFS(nNIA,DATOS!$A1731,nCURSO,DATOS!$D1731,nESPEC,DATOS!$E1731,nASIG,DATOS!$I1731,nEVAL,"OR")=0))</f>
      </c>
      <c r="I1731">
        <f>IF(DATOS!$I1731="","",IFERROR(VLOOKUP(DATOS!$I1731,CONFIG_ASIGNATURAS!$B$2:$J$91,9,FALSE()),""))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IF(DATOS!$A1732="",0,IF(CONFIG_METADATA!$B$4&lt;&gt;"OR+EX",--(DATOS!$G1732=CONFIG_METADATA!$B$4),IF(DATOS!$G1732="EX",1,IF(DATOS!$G1732="OR",--(COUNTIFS(nNIA,DATOS!$A1732,nCURSO,DATOS!$D1732,nESPEC,DATOS!$E1732,nASIG,DATOS!$I1732,nEVAL,"EX")=0),0))))</f>
      </c>
      <c r="H1732">
        <f>IF(DATOS!$G1732&lt;&gt;"EX",0,--(COUNTIFS(nNIA,DATOS!$A1732,nCURSO,DATOS!$D1732,nESPEC,DATOS!$E1732,nASIG,DATOS!$I1732,nEVAL,"OR")=0))</f>
      </c>
      <c r="I1732">
        <f>IF(DATOS!$I1732="","",IFERROR(VLOOKUP(DATOS!$I1732,CONFIG_ASIGNATURAS!$B$2:$J$91,9,FALSE()),""))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IF(DATOS!$A1733="",0,IF(CONFIG_METADATA!$B$4&lt;&gt;"OR+EX",--(DATOS!$G1733=CONFIG_METADATA!$B$4),IF(DATOS!$G1733="EX",1,IF(DATOS!$G1733="OR",--(COUNTIFS(nNIA,DATOS!$A1733,nCURSO,DATOS!$D1733,nESPEC,DATOS!$E1733,nASIG,DATOS!$I1733,nEVAL,"EX")=0),0))))</f>
      </c>
      <c r="H1733">
        <f>IF(DATOS!$G1733&lt;&gt;"EX",0,--(COUNTIFS(nNIA,DATOS!$A1733,nCURSO,DATOS!$D1733,nESPEC,DATOS!$E1733,nASIG,DATOS!$I1733,nEVAL,"OR")=0))</f>
      </c>
      <c r="I1733">
        <f>IF(DATOS!$I1733="","",IFERROR(VLOOKUP(DATOS!$I1733,CONFIG_ASIGNATURAS!$B$2:$J$91,9,FALSE()),""))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IF(DATOS!$A1734="",0,IF(CONFIG_METADATA!$B$4&lt;&gt;"OR+EX",--(DATOS!$G1734=CONFIG_METADATA!$B$4),IF(DATOS!$G1734="EX",1,IF(DATOS!$G1734="OR",--(COUNTIFS(nNIA,DATOS!$A1734,nCURSO,DATOS!$D1734,nESPEC,DATOS!$E1734,nASIG,DATOS!$I1734,nEVAL,"EX")=0),0))))</f>
      </c>
      <c r="H1734">
        <f>IF(DATOS!$G1734&lt;&gt;"EX",0,--(COUNTIFS(nNIA,DATOS!$A1734,nCURSO,DATOS!$D1734,nESPEC,DATOS!$E1734,nASIG,DATOS!$I1734,nEVAL,"OR")=0))</f>
      </c>
      <c r="I1734">
        <f>IF(DATOS!$I1734="","",IFERROR(VLOOKUP(DATOS!$I1734,CONFIG_ASIGNATURAS!$B$2:$J$91,9,FALSE()),""))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IF(DATOS!$A1735="",0,IF(CONFIG_METADATA!$B$4&lt;&gt;"OR+EX",--(DATOS!$G1735=CONFIG_METADATA!$B$4),IF(DATOS!$G1735="EX",1,IF(DATOS!$G1735="OR",--(COUNTIFS(nNIA,DATOS!$A1735,nCURSO,DATOS!$D1735,nESPEC,DATOS!$E1735,nASIG,DATOS!$I1735,nEVAL,"EX")=0),0))))</f>
      </c>
      <c r="H1735">
        <f>IF(DATOS!$G1735&lt;&gt;"EX",0,--(COUNTIFS(nNIA,DATOS!$A1735,nCURSO,DATOS!$D1735,nESPEC,DATOS!$E1735,nASIG,DATOS!$I1735,nEVAL,"OR")=0))</f>
      </c>
      <c r="I1735">
        <f>IF(DATOS!$I1735="","",IFERROR(VLOOKUP(DATOS!$I1735,CONFIG_ASIGNATURAS!$B$2:$J$91,9,FALSE()),""))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IF(DATOS!$A1736="",0,IF(CONFIG_METADATA!$B$4&lt;&gt;"OR+EX",--(DATOS!$G1736=CONFIG_METADATA!$B$4),IF(DATOS!$G1736="EX",1,IF(DATOS!$G1736="OR",--(COUNTIFS(nNIA,DATOS!$A1736,nCURSO,DATOS!$D1736,nESPEC,DATOS!$E1736,nASIG,DATOS!$I1736,nEVAL,"EX")=0),0))))</f>
      </c>
      <c r="H1736">
        <f>IF(DATOS!$G1736&lt;&gt;"EX",0,--(COUNTIFS(nNIA,DATOS!$A1736,nCURSO,DATOS!$D1736,nESPEC,DATOS!$E1736,nASIG,DATOS!$I1736,nEVAL,"OR")=0))</f>
      </c>
      <c r="I1736">
        <f>IF(DATOS!$I1736="","",IFERROR(VLOOKUP(DATOS!$I1736,CONFIG_ASIGNATURAS!$B$2:$J$91,9,FALSE()),""))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IF(DATOS!$A1737="",0,IF(CONFIG_METADATA!$B$4&lt;&gt;"OR+EX",--(DATOS!$G1737=CONFIG_METADATA!$B$4),IF(DATOS!$G1737="EX",1,IF(DATOS!$G1737="OR",--(COUNTIFS(nNIA,DATOS!$A1737,nCURSO,DATOS!$D1737,nESPEC,DATOS!$E1737,nASIG,DATOS!$I1737,nEVAL,"EX")=0),0))))</f>
      </c>
      <c r="H1737">
        <f>IF(DATOS!$G1737&lt;&gt;"EX",0,--(COUNTIFS(nNIA,DATOS!$A1737,nCURSO,DATOS!$D1737,nESPEC,DATOS!$E1737,nASIG,DATOS!$I1737,nEVAL,"OR")=0))</f>
      </c>
      <c r="I1737">
        <f>IF(DATOS!$I1737="","",IFERROR(VLOOKUP(DATOS!$I1737,CONFIG_ASIGNATURAS!$B$2:$J$91,9,FALSE()),""))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IF(DATOS!$A1738="",0,IF(CONFIG_METADATA!$B$4&lt;&gt;"OR+EX",--(DATOS!$G1738=CONFIG_METADATA!$B$4),IF(DATOS!$G1738="EX",1,IF(DATOS!$G1738="OR",--(COUNTIFS(nNIA,DATOS!$A1738,nCURSO,DATOS!$D1738,nESPEC,DATOS!$E1738,nASIG,DATOS!$I1738,nEVAL,"EX")=0),0))))</f>
      </c>
      <c r="H1738">
        <f>IF(DATOS!$G1738&lt;&gt;"EX",0,--(COUNTIFS(nNIA,DATOS!$A1738,nCURSO,DATOS!$D1738,nESPEC,DATOS!$E1738,nASIG,DATOS!$I1738,nEVAL,"OR")=0))</f>
      </c>
      <c r="I1738">
        <f>IF(DATOS!$I1738="","",IFERROR(VLOOKUP(DATOS!$I1738,CONFIG_ASIGNATURAS!$B$2:$J$91,9,FALSE()),""))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IF(DATOS!$A1739="",0,IF(CONFIG_METADATA!$B$4&lt;&gt;"OR+EX",--(DATOS!$G1739=CONFIG_METADATA!$B$4),IF(DATOS!$G1739="EX",1,IF(DATOS!$G1739="OR",--(COUNTIFS(nNIA,DATOS!$A1739,nCURSO,DATOS!$D1739,nESPEC,DATOS!$E1739,nASIG,DATOS!$I1739,nEVAL,"EX")=0),0))))</f>
      </c>
      <c r="H1739">
        <f>IF(DATOS!$G1739&lt;&gt;"EX",0,--(COUNTIFS(nNIA,DATOS!$A1739,nCURSO,DATOS!$D1739,nESPEC,DATOS!$E1739,nASIG,DATOS!$I1739,nEVAL,"OR")=0))</f>
      </c>
      <c r="I1739">
        <f>IF(DATOS!$I1739="","",IFERROR(VLOOKUP(DATOS!$I1739,CONFIG_ASIGNATURAS!$B$2:$J$91,9,FALSE()),""))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IF(DATOS!$A1740="",0,IF(CONFIG_METADATA!$B$4&lt;&gt;"OR+EX",--(DATOS!$G1740=CONFIG_METADATA!$B$4),IF(DATOS!$G1740="EX",1,IF(DATOS!$G1740="OR",--(COUNTIFS(nNIA,DATOS!$A1740,nCURSO,DATOS!$D1740,nESPEC,DATOS!$E1740,nASIG,DATOS!$I1740,nEVAL,"EX")=0),0))))</f>
      </c>
      <c r="H1740">
        <f>IF(DATOS!$G1740&lt;&gt;"EX",0,--(COUNTIFS(nNIA,DATOS!$A1740,nCURSO,DATOS!$D1740,nESPEC,DATOS!$E1740,nASIG,DATOS!$I1740,nEVAL,"OR")=0))</f>
      </c>
      <c r="I1740">
        <f>IF(DATOS!$I1740="","",IFERROR(VLOOKUP(DATOS!$I1740,CONFIG_ASIGNATURAS!$B$2:$J$91,9,FALSE()),""))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IF(DATOS!$A1741="",0,IF(CONFIG_METADATA!$B$4&lt;&gt;"OR+EX",--(DATOS!$G1741=CONFIG_METADATA!$B$4),IF(DATOS!$G1741="EX",1,IF(DATOS!$G1741="OR",--(COUNTIFS(nNIA,DATOS!$A1741,nCURSO,DATOS!$D1741,nESPEC,DATOS!$E1741,nASIG,DATOS!$I1741,nEVAL,"EX")=0),0))))</f>
      </c>
      <c r="H1741">
        <f>IF(DATOS!$G1741&lt;&gt;"EX",0,--(COUNTIFS(nNIA,DATOS!$A1741,nCURSO,DATOS!$D1741,nESPEC,DATOS!$E1741,nASIG,DATOS!$I1741,nEVAL,"OR")=0))</f>
      </c>
      <c r="I1741">
        <f>IF(DATOS!$I1741="","",IFERROR(VLOOKUP(DATOS!$I1741,CONFIG_ASIGNATURAS!$B$2:$J$91,9,FALSE()),""))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IF(DATOS!$A1742="",0,IF(CONFIG_METADATA!$B$4&lt;&gt;"OR+EX",--(DATOS!$G1742=CONFIG_METADATA!$B$4),IF(DATOS!$G1742="EX",1,IF(DATOS!$G1742="OR",--(COUNTIFS(nNIA,DATOS!$A1742,nCURSO,DATOS!$D1742,nESPEC,DATOS!$E1742,nASIG,DATOS!$I1742,nEVAL,"EX")=0),0))))</f>
      </c>
      <c r="H1742">
        <f>IF(DATOS!$G1742&lt;&gt;"EX",0,--(COUNTIFS(nNIA,DATOS!$A1742,nCURSO,DATOS!$D1742,nESPEC,DATOS!$E1742,nASIG,DATOS!$I1742,nEVAL,"OR")=0))</f>
      </c>
      <c r="I1742">
        <f>IF(DATOS!$I1742="","",IFERROR(VLOOKUP(DATOS!$I1742,CONFIG_ASIGNATURAS!$B$2:$J$91,9,FALSE()),""))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IF(DATOS!$A1743="",0,IF(CONFIG_METADATA!$B$4&lt;&gt;"OR+EX",--(DATOS!$G1743=CONFIG_METADATA!$B$4),IF(DATOS!$G1743="EX",1,IF(DATOS!$G1743="OR",--(COUNTIFS(nNIA,DATOS!$A1743,nCURSO,DATOS!$D1743,nESPEC,DATOS!$E1743,nASIG,DATOS!$I1743,nEVAL,"EX")=0),0))))</f>
      </c>
      <c r="H1743">
        <f>IF(DATOS!$G1743&lt;&gt;"EX",0,--(COUNTIFS(nNIA,DATOS!$A1743,nCURSO,DATOS!$D1743,nESPEC,DATOS!$E1743,nASIG,DATOS!$I1743,nEVAL,"OR")=0))</f>
      </c>
      <c r="I1743">
        <f>IF(DATOS!$I1743="","",IFERROR(VLOOKUP(DATOS!$I1743,CONFIG_ASIGNATURAS!$B$2:$J$91,9,FALSE()),""))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IF(DATOS!$A1744="",0,IF(CONFIG_METADATA!$B$4&lt;&gt;"OR+EX",--(DATOS!$G1744=CONFIG_METADATA!$B$4),IF(DATOS!$G1744="EX",1,IF(DATOS!$G1744="OR",--(COUNTIFS(nNIA,DATOS!$A1744,nCURSO,DATOS!$D1744,nESPEC,DATOS!$E1744,nASIG,DATOS!$I1744,nEVAL,"EX")=0),0))))</f>
      </c>
      <c r="H1744">
        <f>IF(DATOS!$G1744&lt;&gt;"EX",0,--(COUNTIFS(nNIA,DATOS!$A1744,nCURSO,DATOS!$D1744,nESPEC,DATOS!$E1744,nASIG,DATOS!$I1744,nEVAL,"OR")=0))</f>
      </c>
      <c r="I1744">
        <f>IF(DATOS!$I1744="","",IFERROR(VLOOKUP(DATOS!$I1744,CONFIG_ASIGNATURAS!$B$2:$J$91,9,FALSE()),""))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IF(DATOS!$A1745="",0,IF(CONFIG_METADATA!$B$4&lt;&gt;"OR+EX",--(DATOS!$G1745=CONFIG_METADATA!$B$4),IF(DATOS!$G1745="EX",1,IF(DATOS!$G1745="OR",--(COUNTIFS(nNIA,DATOS!$A1745,nCURSO,DATOS!$D1745,nESPEC,DATOS!$E1745,nASIG,DATOS!$I1745,nEVAL,"EX")=0),0))))</f>
      </c>
      <c r="H1745">
        <f>IF(DATOS!$G1745&lt;&gt;"EX",0,--(COUNTIFS(nNIA,DATOS!$A1745,nCURSO,DATOS!$D1745,nESPEC,DATOS!$E1745,nASIG,DATOS!$I1745,nEVAL,"OR")=0))</f>
      </c>
      <c r="I1745">
        <f>IF(DATOS!$I1745="","",IFERROR(VLOOKUP(DATOS!$I1745,CONFIG_ASIGNATURAS!$B$2:$J$91,9,FALSE()),""))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IF(DATOS!$A1746="",0,IF(CONFIG_METADATA!$B$4&lt;&gt;"OR+EX",--(DATOS!$G1746=CONFIG_METADATA!$B$4),IF(DATOS!$G1746="EX",1,IF(DATOS!$G1746="OR",--(COUNTIFS(nNIA,DATOS!$A1746,nCURSO,DATOS!$D1746,nESPEC,DATOS!$E1746,nASIG,DATOS!$I1746,nEVAL,"EX")=0),0))))</f>
      </c>
      <c r="H1746">
        <f>IF(DATOS!$G1746&lt;&gt;"EX",0,--(COUNTIFS(nNIA,DATOS!$A1746,nCURSO,DATOS!$D1746,nESPEC,DATOS!$E1746,nASIG,DATOS!$I1746,nEVAL,"OR")=0))</f>
      </c>
      <c r="I1746">
        <f>IF(DATOS!$I1746="","",IFERROR(VLOOKUP(DATOS!$I1746,CONFIG_ASIGNATURAS!$B$2:$J$91,9,FALSE()),""))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IF(DATOS!$A1747="",0,IF(CONFIG_METADATA!$B$4&lt;&gt;"OR+EX",--(DATOS!$G1747=CONFIG_METADATA!$B$4),IF(DATOS!$G1747="EX",1,IF(DATOS!$G1747="OR",--(COUNTIFS(nNIA,DATOS!$A1747,nCURSO,DATOS!$D1747,nESPEC,DATOS!$E1747,nASIG,DATOS!$I1747,nEVAL,"EX")=0),0))))</f>
      </c>
      <c r="H1747">
        <f>IF(DATOS!$G1747&lt;&gt;"EX",0,--(COUNTIFS(nNIA,DATOS!$A1747,nCURSO,DATOS!$D1747,nESPEC,DATOS!$E1747,nASIG,DATOS!$I1747,nEVAL,"OR")=0))</f>
      </c>
      <c r="I1747">
        <f>IF(DATOS!$I1747="","",IFERROR(VLOOKUP(DATOS!$I1747,CONFIG_ASIGNATURAS!$B$2:$J$91,9,FALSE()),""))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IF(DATOS!$A1748="",0,IF(CONFIG_METADATA!$B$4&lt;&gt;"OR+EX",--(DATOS!$G1748=CONFIG_METADATA!$B$4),IF(DATOS!$G1748="EX",1,IF(DATOS!$G1748="OR",--(COUNTIFS(nNIA,DATOS!$A1748,nCURSO,DATOS!$D1748,nESPEC,DATOS!$E1748,nASIG,DATOS!$I1748,nEVAL,"EX")=0),0))))</f>
      </c>
      <c r="H1748">
        <f>IF(DATOS!$G1748&lt;&gt;"EX",0,--(COUNTIFS(nNIA,DATOS!$A1748,nCURSO,DATOS!$D1748,nESPEC,DATOS!$E1748,nASIG,DATOS!$I1748,nEVAL,"OR")=0))</f>
      </c>
      <c r="I1748">
        <f>IF(DATOS!$I1748="","",IFERROR(VLOOKUP(DATOS!$I1748,CONFIG_ASIGNATURAS!$B$2:$J$91,9,FALSE()),""))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IF(DATOS!$A1749="",0,IF(CONFIG_METADATA!$B$4&lt;&gt;"OR+EX",--(DATOS!$G1749=CONFIG_METADATA!$B$4),IF(DATOS!$G1749="EX",1,IF(DATOS!$G1749="OR",--(COUNTIFS(nNIA,DATOS!$A1749,nCURSO,DATOS!$D1749,nESPEC,DATOS!$E1749,nASIG,DATOS!$I1749,nEVAL,"EX")=0),0))))</f>
      </c>
      <c r="H1749">
        <f>IF(DATOS!$G1749&lt;&gt;"EX",0,--(COUNTIFS(nNIA,DATOS!$A1749,nCURSO,DATOS!$D1749,nESPEC,DATOS!$E1749,nASIG,DATOS!$I1749,nEVAL,"OR")=0))</f>
      </c>
      <c r="I1749">
        <f>IF(DATOS!$I1749="","",IFERROR(VLOOKUP(DATOS!$I1749,CONFIG_ASIGNATURAS!$B$2:$J$91,9,FALSE()),""))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IF(DATOS!$A1750="",0,IF(CONFIG_METADATA!$B$4&lt;&gt;"OR+EX",--(DATOS!$G1750=CONFIG_METADATA!$B$4),IF(DATOS!$G1750="EX",1,IF(DATOS!$G1750="OR",--(COUNTIFS(nNIA,DATOS!$A1750,nCURSO,DATOS!$D1750,nESPEC,DATOS!$E1750,nASIG,DATOS!$I1750,nEVAL,"EX")=0),0))))</f>
      </c>
      <c r="H1750">
        <f>IF(DATOS!$G1750&lt;&gt;"EX",0,--(COUNTIFS(nNIA,DATOS!$A1750,nCURSO,DATOS!$D1750,nESPEC,DATOS!$E1750,nASIG,DATOS!$I1750,nEVAL,"OR")=0))</f>
      </c>
      <c r="I1750">
        <f>IF(DATOS!$I1750="","",IFERROR(VLOOKUP(DATOS!$I1750,CONFIG_ASIGNATURAS!$B$2:$J$91,9,FALSE()),""))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IF(DATOS!$A1751="",0,IF(CONFIG_METADATA!$B$4&lt;&gt;"OR+EX",--(DATOS!$G1751=CONFIG_METADATA!$B$4),IF(DATOS!$G1751="EX",1,IF(DATOS!$G1751="OR",--(COUNTIFS(nNIA,DATOS!$A1751,nCURSO,DATOS!$D1751,nESPEC,DATOS!$E1751,nASIG,DATOS!$I1751,nEVAL,"EX")=0),0))))</f>
      </c>
      <c r="H1751">
        <f>IF(DATOS!$G1751&lt;&gt;"EX",0,--(COUNTIFS(nNIA,DATOS!$A1751,nCURSO,DATOS!$D1751,nESPEC,DATOS!$E1751,nASIG,DATOS!$I1751,nEVAL,"OR")=0))</f>
      </c>
      <c r="I1751">
        <f>IF(DATOS!$I1751="","",IFERROR(VLOOKUP(DATOS!$I1751,CONFIG_ASIGNATURAS!$B$2:$J$91,9,FALSE()),""))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IF(DATOS!$A1752="",0,IF(CONFIG_METADATA!$B$4&lt;&gt;"OR+EX",--(DATOS!$G1752=CONFIG_METADATA!$B$4),IF(DATOS!$G1752="EX",1,IF(DATOS!$G1752="OR",--(COUNTIFS(nNIA,DATOS!$A1752,nCURSO,DATOS!$D1752,nESPEC,DATOS!$E1752,nASIG,DATOS!$I1752,nEVAL,"EX")=0),0))))</f>
      </c>
      <c r="H1752">
        <f>IF(DATOS!$G1752&lt;&gt;"EX",0,--(COUNTIFS(nNIA,DATOS!$A1752,nCURSO,DATOS!$D1752,nESPEC,DATOS!$E1752,nASIG,DATOS!$I1752,nEVAL,"OR")=0))</f>
      </c>
      <c r="I1752">
        <f>IF(DATOS!$I1752="","",IFERROR(VLOOKUP(DATOS!$I1752,CONFIG_ASIGNATURAS!$B$2:$J$91,9,FALSE()),""))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IF(DATOS!$A1753="",0,IF(CONFIG_METADATA!$B$4&lt;&gt;"OR+EX",--(DATOS!$G1753=CONFIG_METADATA!$B$4),IF(DATOS!$G1753="EX",1,IF(DATOS!$G1753="OR",--(COUNTIFS(nNIA,DATOS!$A1753,nCURSO,DATOS!$D1753,nESPEC,DATOS!$E1753,nASIG,DATOS!$I1753,nEVAL,"EX")=0),0))))</f>
      </c>
      <c r="H1753">
        <f>IF(DATOS!$G1753&lt;&gt;"EX",0,--(COUNTIFS(nNIA,DATOS!$A1753,nCURSO,DATOS!$D1753,nESPEC,DATOS!$E1753,nASIG,DATOS!$I1753,nEVAL,"OR")=0))</f>
      </c>
      <c r="I1753">
        <f>IF(DATOS!$I1753="","",IFERROR(VLOOKUP(DATOS!$I1753,CONFIG_ASIGNATURAS!$B$2:$J$91,9,FALSE()),""))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IF(DATOS!$A1754="",0,IF(CONFIG_METADATA!$B$4&lt;&gt;"OR+EX",--(DATOS!$G1754=CONFIG_METADATA!$B$4),IF(DATOS!$G1754="EX",1,IF(DATOS!$G1754="OR",--(COUNTIFS(nNIA,DATOS!$A1754,nCURSO,DATOS!$D1754,nESPEC,DATOS!$E1754,nASIG,DATOS!$I1754,nEVAL,"EX")=0),0))))</f>
      </c>
      <c r="H1754">
        <f>IF(DATOS!$G1754&lt;&gt;"EX",0,--(COUNTIFS(nNIA,DATOS!$A1754,nCURSO,DATOS!$D1754,nESPEC,DATOS!$E1754,nASIG,DATOS!$I1754,nEVAL,"OR")=0))</f>
      </c>
      <c r="I1754">
        <f>IF(DATOS!$I1754="","",IFERROR(VLOOKUP(DATOS!$I1754,CONFIG_ASIGNATURAS!$B$2:$J$91,9,FALSE()),""))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IF(DATOS!$A1755="",0,IF(CONFIG_METADATA!$B$4&lt;&gt;"OR+EX",--(DATOS!$G1755=CONFIG_METADATA!$B$4),IF(DATOS!$G1755="EX",1,IF(DATOS!$G1755="OR",--(COUNTIFS(nNIA,DATOS!$A1755,nCURSO,DATOS!$D1755,nESPEC,DATOS!$E1755,nASIG,DATOS!$I1755,nEVAL,"EX")=0),0))))</f>
      </c>
      <c r="H1755">
        <f>IF(DATOS!$G1755&lt;&gt;"EX",0,--(COUNTIFS(nNIA,DATOS!$A1755,nCURSO,DATOS!$D1755,nESPEC,DATOS!$E1755,nASIG,DATOS!$I1755,nEVAL,"OR")=0))</f>
      </c>
      <c r="I1755">
        <f>IF(DATOS!$I1755="","",IFERROR(VLOOKUP(DATOS!$I1755,CONFIG_ASIGNATURAS!$B$2:$J$91,9,FALSE()),""))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IF(DATOS!$A1756="",0,IF(CONFIG_METADATA!$B$4&lt;&gt;"OR+EX",--(DATOS!$G1756=CONFIG_METADATA!$B$4),IF(DATOS!$G1756="EX",1,IF(DATOS!$G1756="OR",--(COUNTIFS(nNIA,DATOS!$A1756,nCURSO,DATOS!$D1756,nESPEC,DATOS!$E1756,nASIG,DATOS!$I1756,nEVAL,"EX")=0),0))))</f>
      </c>
      <c r="H1756">
        <f>IF(DATOS!$G1756&lt;&gt;"EX",0,--(COUNTIFS(nNIA,DATOS!$A1756,nCURSO,DATOS!$D1756,nESPEC,DATOS!$E1756,nASIG,DATOS!$I1756,nEVAL,"OR")=0))</f>
      </c>
      <c r="I1756">
        <f>IF(DATOS!$I1756="","",IFERROR(VLOOKUP(DATOS!$I1756,CONFIG_ASIGNATURAS!$B$2:$J$91,9,FALSE()),""))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IF(DATOS!$A1757="",0,IF(CONFIG_METADATA!$B$4&lt;&gt;"OR+EX",--(DATOS!$G1757=CONFIG_METADATA!$B$4),IF(DATOS!$G1757="EX",1,IF(DATOS!$G1757="OR",--(COUNTIFS(nNIA,DATOS!$A1757,nCURSO,DATOS!$D1757,nESPEC,DATOS!$E1757,nASIG,DATOS!$I1757,nEVAL,"EX")=0),0))))</f>
      </c>
      <c r="H1757">
        <f>IF(DATOS!$G1757&lt;&gt;"EX",0,--(COUNTIFS(nNIA,DATOS!$A1757,nCURSO,DATOS!$D1757,nESPEC,DATOS!$E1757,nASIG,DATOS!$I1757,nEVAL,"OR")=0))</f>
      </c>
      <c r="I1757">
        <f>IF(DATOS!$I1757="","",IFERROR(VLOOKUP(DATOS!$I1757,CONFIG_ASIGNATURAS!$B$2:$J$91,9,FALSE()),""))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IF(DATOS!$A1758="",0,IF(CONFIG_METADATA!$B$4&lt;&gt;"OR+EX",--(DATOS!$G1758=CONFIG_METADATA!$B$4),IF(DATOS!$G1758="EX",1,IF(DATOS!$G1758="OR",--(COUNTIFS(nNIA,DATOS!$A1758,nCURSO,DATOS!$D1758,nESPEC,DATOS!$E1758,nASIG,DATOS!$I1758,nEVAL,"EX")=0),0))))</f>
      </c>
      <c r="H1758">
        <f>IF(DATOS!$G1758&lt;&gt;"EX",0,--(COUNTIFS(nNIA,DATOS!$A1758,nCURSO,DATOS!$D1758,nESPEC,DATOS!$E1758,nASIG,DATOS!$I1758,nEVAL,"OR")=0))</f>
      </c>
      <c r="I1758">
        <f>IF(DATOS!$I1758="","",IFERROR(VLOOKUP(DATOS!$I1758,CONFIG_ASIGNATURAS!$B$2:$J$91,9,FALSE()),""))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IF(DATOS!$A1759="",0,IF(CONFIG_METADATA!$B$4&lt;&gt;"OR+EX",--(DATOS!$G1759=CONFIG_METADATA!$B$4),IF(DATOS!$G1759="EX",1,IF(DATOS!$G1759="OR",--(COUNTIFS(nNIA,DATOS!$A1759,nCURSO,DATOS!$D1759,nESPEC,DATOS!$E1759,nASIG,DATOS!$I1759,nEVAL,"EX")=0),0))))</f>
      </c>
      <c r="H1759">
        <f>IF(DATOS!$G1759&lt;&gt;"EX",0,--(COUNTIFS(nNIA,DATOS!$A1759,nCURSO,DATOS!$D1759,nESPEC,DATOS!$E1759,nASIG,DATOS!$I1759,nEVAL,"OR")=0))</f>
      </c>
      <c r="I1759">
        <f>IF(DATOS!$I1759="","",IFERROR(VLOOKUP(DATOS!$I1759,CONFIG_ASIGNATURAS!$B$2:$J$91,9,FALSE()),""))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IF(DATOS!$A1760="",0,IF(CONFIG_METADATA!$B$4&lt;&gt;"OR+EX",--(DATOS!$G1760=CONFIG_METADATA!$B$4),IF(DATOS!$G1760="EX",1,IF(DATOS!$G1760="OR",--(COUNTIFS(nNIA,DATOS!$A1760,nCURSO,DATOS!$D1760,nESPEC,DATOS!$E1760,nASIG,DATOS!$I1760,nEVAL,"EX")=0),0))))</f>
      </c>
      <c r="H1760">
        <f>IF(DATOS!$G1760&lt;&gt;"EX",0,--(COUNTIFS(nNIA,DATOS!$A1760,nCURSO,DATOS!$D1760,nESPEC,DATOS!$E1760,nASIG,DATOS!$I1760,nEVAL,"OR")=0))</f>
      </c>
      <c r="I1760">
        <f>IF(DATOS!$I1760="","",IFERROR(VLOOKUP(DATOS!$I1760,CONFIG_ASIGNATURAS!$B$2:$J$91,9,FALSE()),""))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IF(DATOS!$A1761="",0,IF(CONFIG_METADATA!$B$4&lt;&gt;"OR+EX",--(DATOS!$G1761=CONFIG_METADATA!$B$4),IF(DATOS!$G1761="EX",1,IF(DATOS!$G1761="OR",--(COUNTIFS(nNIA,DATOS!$A1761,nCURSO,DATOS!$D1761,nESPEC,DATOS!$E1761,nASIG,DATOS!$I1761,nEVAL,"EX")=0),0))))</f>
      </c>
      <c r="H1761">
        <f>IF(DATOS!$G1761&lt;&gt;"EX",0,--(COUNTIFS(nNIA,DATOS!$A1761,nCURSO,DATOS!$D1761,nESPEC,DATOS!$E1761,nASIG,DATOS!$I1761,nEVAL,"OR")=0))</f>
      </c>
      <c r="I1761">
        <f>IF(DATOS!$I1761="","",IFERROR(VLOOKUP(DATOS!$I1761,CONFIG_ASIGNATURAS!$B$2:$J$91,9,FALSE()),""))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IF(DATOS!$A1762="",0,IF(CONFIG_METADATA!$B$4&lt;&gt;"OR+EX",--(DATOS!$G1762=CONFIG_METADATA!$B$4),IF(DATOS!$G1762="EX",1,IF(DATOS!$G1762="OR",--(COUNTIFS(nNIA,DATOS!$A1762,nCURSO,DATOS!$D1762,nESPEC,DATOS!$E1762,nASIG,DATOS!$I1762,nEVAL,"EX")=0),0))))</f>
      </c>
      <c r="H1762">
        <f>IF(DATOS!$G1762&lt;&gt;"EX",0,--(COUNTIFS(nNIA,DATOS!$A1762,nCURSO,DATOS!$D1762,nESPEC,DATOS!$E1762,nASIG,DATOS!$I1762,nEVAL,"OR")=0))</f>
      </c>
      <c r="I1762">
        <f>IF(DATOS!$I1762="","",IFERROR(VLOOKUP(DATOS!$I1762,CONFIG_ASIGNATURAS!$B$2:$J$91,9,FALSE()),""))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IF(DATOS!$A1763="",0,IF(CONFIG_METADATA!$B$4&lt;&gt;"OR+EX",--(DATOS!$G1763=CONFIG_METADATA!$B$4),IF(DATOS!$G1763="EX",1,IF(DATOS!$G1763="OR",--(COUNTIFS(nNIA,DATOS!$A1763,nCURSO,DATOS!$D1763,nESPEC,DATOS!$E1763,nASIG,DATOS!$I1763,nEVAL,"EX")=0),0))))</f>
      </c>
      <c r="H1763">
        <f>IF(DATOS!$G1763&lt;&gt;"EX",0,--(COUNTIFS(nNIA,DATOS!$A1763,nCURSO,DATOS!$D1763,nESPEC,DATOS!$E1763,nASIG,DATOS!$I1763,nEVAL,"OR")=0))</f>
      </c>
      <c r="I1763">
        <f>IF(DATOS!$I1763="","",IFERROR(VLOOKUP(DATOS!$I1763,CONFIG_ASIGNATURAS!$B$2:$J$91,9,FALSE()),""))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IF(DATOS!$A1764="",0,IF(CONFIG_METADATA!$B$4&lt;&gt;"OR+EX",--(DATOS!$G1764=CONFIG_METADATA!$B$4),IF(DATOS!$G1764="EX",1,IF(DATOS!$G1764="OR",--(COUNTIFS(nNIA,DATOS!$A1764,nCURSO,DATOS!$D1764,nESPEC,DATOS!$E1764,nASIG,DATOS!$I1764,nEVAL,"EX")=0),0))))</f>
      </c>
      <c r="H1764">
        <f>IF(DATOS!$G1764&lt;&gt;"EX",0,--(COUNTIFS(nNIA,DATOS!$A1764,nCURSO,DATOS!$D1764,nESPEC,DATOS!$E1764,nASIG,DATOS!$I1764,nEVAL,"OR")=0))</f>
      </c>
      <c r="I1764">
        <f>IF(DATOS!$I1764="","",IFERROR(VLOOKUP(DATOS!$I1764,CONFIG_ASIGNATURAS!$B$2:$J$91,9,FALSE()),""))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IF(DATOS!$A1765="",0,IF(CONFIG_METADATA!$B$4&lt;&gt;"OR+EX",--(DATOS!$G1765=CONFIG_METADATA!$B$4),IF(DATOS!$G1765="EX",1,IF(DATOS!$G1765="OR",--(COUNTIFS(nNIA,DATOS!$A1765,nCURSO,DATOS!$D1765,nESPEC,DATOS!$E1765,nASIG,DATOS!$I1765,nEVAL,"EX")=0),0))))</f>
      </c>
      <c r="H1765">
        <f>IF(DATOS!$G1765&lt;&gt;"EX",0,--(COUNTIFS(nNIA,DATOS!$A1765,nCURSO,DATOS!$D1765,nESPEC,DATOS!$E1765,nASIG,DATOS!$I1765,nEVAL,"OR")=0))</f>
      </c>
      <c r="I1765">
        <f>IF(DATOS!$I1765="","",IFERROR(VLOOKUP(DATOS!$I1765,CONFIG_ASIGNATURAS!$B$2:$J$91,9,FALSE()),""))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IF(DATOS!$A1766="",0,IF(CONFIG_METADATA!$B$4&lt;&gt;"OR+EX",--(DATOS!$G1766=CONFIG_METADATA!$B$4),IF(DATOS!$G1766="EX",1,IF(DATOS!$G1766="OR",--(COUNTIFS(nNIA,DATOS!$A1766,nCURSO,DATOS!$D1766,nESPEC,DATOS!$E1766,nASIG,DATOS!$I1766,nEVAL,"EX")=0),0))))</f>
      </c>
      <c r="H1766">
        <f>IF(DATOS!$G1766&lt;&gt;"EX",0,--(COUNTIFS(nNIA,DATOS!$A1766,nCURSO,DATOS!$D1766,nESPEC,DATOS!$E1766,nASIG,DATOS!$I1766,nEVAL,"OR")=0))</f>
      </c>
      <c r="I1766">
        <f>IF(DATOS!$I1766="","",IFERROR(VLOOKUP(DATOS!$I1766,CONFIG_ASIGNATURAS!$B$2:$J$91,9,FALSE()),""))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IF(DATOS!$A1767="",0,IF(CONFIG_METADATA!$B$4&lt;&gt;"OR+EX",--(DATOS!$G1767=CONFIG_METADATA!$B$4),IF(DATOS!$G1767="EX",1,IF(DATOS!$G1767="OR",--(COUNTIFS(nNIA,DATOS!$A1767,nCURSO,DATOS!$D1767,nESPEC,DATOS!$E1767,nASIG,DATOS!$I1767,nEVAL,"EX")=0),0))))</f>
      </c>
      <c r="H1767">
        <f>IF(DATOS!$G1767&lt;&gt;"EX",0,--(COUNTIFS(nNIA,DATOS!$A1767,nCURSO,DATOS!$D1767,nESPEC,DATOS!$E1767,nASIG,DATOS!$I1767,nEVAL,"OR")=0))</f>
      </c>
      <c r="I1767">
        <f>IF(DATOS!$I1767="","",IFERROR(VLOOKUP(DATOS!$I1767,CONFIG_ASIGNATURAS!$B$2:$J$91,9,FALSE()),""))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IF(DATOS!$A1768="",0,IF(CONFIG_METADATA!$B$4&lt;&gt;"OR+EX",--(DATOS!$G1768=CONFIG_METADATA!$B$4),IF(DATOS!$G1768="EX",1,IF(DATOS!$G1768="OR",--(COUNTIFS(nNIA,DATOS!$A1768,nCURSO,DATOS!$D1768,nESPEC,DATOS!$E1768,nASIG,DATOS!$I1768,nEVAL,"EX")=0),0))))</f>
      </c>
      <c r="H1768">
        <f>IF(DATOS!$G1768&lt;&gt;"EX",0,--(COUNTIFS(nNIA,DATOS!$A1768,nCURSO,DATOS!$D1768,nESPEC,DATOS!$E1768,nASIG,DATOS!$I1768,nEVAL,"OR")=0))</f>
      </c>
      <c r="I1768">
        <f>IF(DATOS!$I1768="","",IFERROR(VLOOKUP(DATOS!$I1768,CONFIG_ASIGNATURAS!$B$2:$J$91,9,FALSE()),""))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IF(DATOS!$A1769="",0,IF(CONFIG_METADATA!$B$4&lt;&gt;"OR+EX",--(DATOS!$G1769=CONFIG_METADATA!$B$4),IF(DATOS!$G1769="EX",1,IF(DATOS!$G1769="OR",--(COUNTIFS(nNIA,DATOS!$A1769,nCURSO,DATOS!$D1769,nESPEC,DATOS!$E1769,nASIG,DATOS!$I1769,nEVAL,"EX")=0),0))))</f>
      </c>
      <c r="H1769">
        <f>IF(DATOS!$G1769&lt;&gt;"EX",0,--(COUNTIFS(nNIA,DATOS!$A1769,nCURSO,DATOS!$D1769,nESPEC,DATOS!$E1769,nASIG,DATOS!$I1769,nEVAL,"OR")=0))</f>
      </c>
      <c r="I1769">
        <f>IF(DATOS!$I1769="","",IFERROR(VLOOKUP(DATOS!$I1769,CONFIG_ASIGNATURAS!$B$2:$J$91,9,FALSE()),""))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IF(DATOS!$A1770="",0,IF(CONFIG_METADATA!$B$4&lt;&gt;"OR+EX",--(DATOS!$G1770=CONFIG_METADATA!$B$4),IF(DATOS!$G1770="EX",1,IF(DATOS!$G1770="OR",--(COUNTIFS(nNIA,DATOS!$A1770,nCURSO,DATOS!$D1770,nESPEC,DATOS!$E1770,nASIG,DATOS!$I1770,nEVAL,"EX")=0),0))))</f>
      </c>
      <c r="H1770">
        <f>IF(DATOS!$G1770&lt;&gt;"EX",0,--(COUNTIFS(nNIA,DATOS!$A1770,nCURSO,DATOS!$D1770,nESPEC,DATOS!$E1770,nASIG,DATOS!$I1770,nEVAL,"OR")=0))</f>
      </c>
      <c r="I1770">
        <f>IF(DATOS!$I1770="","",IFERROR(VLOOKUP(DATOS!$I1770,CONFIG_ASIGNATURAS!$B$2:$J$91,9,FALSE()),""))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IF(DATOS!$A1771="",0,IF(CONFIG_METADATA!$B$4&lt;&gt;"OR+EX",--(DATOS!$G1771=CONFIG_METADATA!$B$4),IF(DATOS!$G1771="EX",1,IF(DATOS!$G1771="OR",--(COUNTIFS(nNIA,DATOS!$A1771,nCURSO,DATOS!$D1771,nESPEC,DATOS!$E1771,nASIG,DATOS!$I1771,nEVAL,"EX")=0),0))))</f>
      </c>
      <c r="H1771">
        <f>IF(DATOS!$G1771&lt;&gt;"EX",0,--(COUNTIFS(nNIA,DATOS!$A1771,nCURSO,DATOS!$D1771,nESPEC,DATOS!$E1771,nASIG,DATOS!$I1771,nEVAL,"OR")=0))</f>
      </c>
      <c r="I1771">
        <f>IF(DATOS!$I1771="","",IFERROR(VLOOKUP(DATOS!$I1771,CONFIG_ASIGNATURAS!$B$2:$J$91,9,FALSE()),""))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IF(DATOS!$A1772="",0,IF(CONFIG_METADATA!$B$4&lt;&gt;"OR+EX",--(DATOS!$G1772=CONFIG_METADATA!$B$4),IF(DATOS!$G1772="EX",1,IF(DATOS!$G1772="OR",--(COUNTIFS(nNIA,DATOS!$A1772,nCURSO,DATOS!$D1772,nESPEC,DATOS!$E1772,nASIG,DATOS!$I1772,nEVAL,"EX")=0),0))))</f>
      </c>
      <c r="H1772">
        <f>IF(DATOS!$G1772&lt;&gt;"EX",0,--(COUNTIFS(nNIA,DATOS!$A1772,nCURSO,DATOS!$D1772,nESPEC,DATOS!$E1772,nASIG,DATOS!$I1772,nEVAL,"OR")=0))</f>
      </c>
      <c r="I1772">
        <f>IF(DATOS!$I1772="","",IFERROR(VLOOKUP(DATOS!$I1772,CONFIG_ASIGNATURAS!$B$2:$J$91,9,FALSE()),""))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IF(DATOS!$A1773="",0,IF(CONFIG_METADATA!$B$4&lt;&gt;"OR+EX",--(DATOS!$G1773=CONFIG_METADATA!$B$4),IF(DATOS!$G1773="EX",1,IF(DATOS!$G1773="OR",--(COUNTIFS(nNIA,DATOS!$A1773,nCURSO,DATOS!$D1773,nESPEC,DATOS!$E1773,nASIG,DATOS!$I1773,nEVAL,"EX")=0),0))))</f>
      </c>
      <c r="H1773">
        <f>IF(DATOS!$G1773&lt;&gt;"EX",0,--(COUNTIFS(nNIA,DATOS!$A1773,nCURSO,DATOS!$D1773,nESPEC,DATOS!$E1773,nASIG,DATOS!$I1773,nEVAL,"OR")=0))</f>
      </c>
      <c r="I1773">
        <f>IF(DATOS!$I1773="","",IFERROR(VLOOKUP(DATOS!$I1773,CONFIG_ASIGNATURAS!$B$2:$J$91,9,FALSE()),""))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IF(DATOS!$A1774="",0,IF(CONFIG_METADATA!$B$4&lt;&gt;"OR+EX",--(DATOS!$G1774=CONFIG_METADATA!$B$4),IF(DATOS!$G1774="EX",1,IF(DATOS!$G1774="OR",--(COUNTIFS(nNIA,DATOS!$A1774,nCURSO,DATOS!$D1774,nESPEC,DATOS!$E1774,nASIG,DATOS!$I1774,nEVAL,"EX")=0),0))))</f>
      </c>
      <c r="H1774">
        <f>IF(DATOS!$G1774&lt;&gt;"EX",0,--(COUNTIFS(nNIA,DATOS!$A1774,nCURSO,DATOS!$D1774,nESPEC,DATOS!$E1774,nASIG,DATOS!$I1774,nEVAL,"OR")=0))</f>
      </c>
      <c r="I1774">
        <f>IF(DATOS!$I1774="","",IFERROR(VLOOKUP(DATOS!$I1774,CONFIG_ASIGNATURAS!$B$2:$J$91,9,FALSE()),""))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IF(DATOS!$A1775="",0,IF(CONFIG_METADATA!$B$4&lt;&gt;"OR+EX",--(DATOS!$G1775=CONFIG_METADATA!$B$4),IF(DATOS!$G1775="EX",1,IF(DATOS!$G1775="OR",--(COUNTIFS(nNIA,DATOS!$A1775,nCURSO,DATOS!$D1775,nESPEC,DATOS!$E1775,nASIG,DATOS!$I1775,nEVAL,"EX")=0),0))))</f>
      </c>
      <c r="H1775">
        <f>IF(DATOS!$G1775&lt;&gt;"EX",0,--(COUNTIFS(nNIA,DATOS!$A1775,nCURSO,DATOS!$D1775,nESPEC,DATOS!$E1775,nASIG,DATOS!$I1775,nEVAL,"OR")=0))</f>
      </c>
      <c r="I1775">
        <f>IF(DATOS!$I1775="","",IFERROR(VLOOKUP(DATOS!$I1775,CONFIG_ASIGNATURAS!$B$2:$J$91,9,FALSE()),""))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IF(DATOS!$A1776="",0,IF(CONFIG_METADATA!$B$4&lt;&gt;"OR+EX",--(DATOS!$G1776=CONFIG_METADATA!$B$4),IF(DATOS!$G1776="EX",1,IF(DATOS!$G1776="OR",--(COUNTIFS(nNIA,DATOS!$A1776,nCURSO,DATOS!$D1776,nESPEC,DATOS!$E1776,nASIG,DATOS!$I1776,nEVAL,"EX")=0),0))))</f>
      </c>
      <c r="H1776">
        <f>IF(DATOS!$G1776&lt;&gt;"EX",0,--(COUNTIFS(nNIA,DATOS!$A1776,nCURSO,DATOS!$D1776,nESPEC,DATOS!$E1776,nASIG,DATOS!$I1776,nEVAL,"OR")=0))</f>
      </c>
      <c r="I1776">
        <f>IF(DATOS!$I1776="","",IFERROR(VLOOKUP(DATOS!$I1776,CONFIG_ASIGNATURAS!$B$2:$J$91,9,FALSE()),""))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IF(DATOS!$A1777="",0,IF(CONFIG_METADATA!$B$4&lt;&gt;"OR+EX",--(DATOS!$G1777=CONFIG_METADATA!$B$4),IF(DATOS!$G1777="EX",1,IF(DATOS!$G1777="OR",--(COUNTIFS(nNIA,DATOS!$A1777,nCURSO,DATOS!$D1777,nESPEC,DATOS!$E1777,nASIG,DATOS!$I1777,nEVAL,"EX")=0),0))))</f>
      </c>
      <c r="H1777">
        <f>IF(DATOS!$G1777&lt;&gt;"EX",0,--(COUNTIFS(nNIA,DATOS!$A1777,nCURSO,DATOS!$D1777,nESPEC,DATOS!$E1777,nASIG,DATOS!$I1777,nEVAL,"OR")=0))</f>
      </c>
      <c r="I1777">
        <f>IF(DATOS!$I1777="","",IFERROR(VLOOKUP(DATOS!$I1777,CONFIG_ASIGNATURAS!$B$2:$J$91,9,FALSE()),""))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IF(DATOS!$A1778="",0,IF(CONFIG_METADATA!$B$4&lt;&gt;"OR+EX",--(DATOS!$G1778=CONFIG_METADATA!$B$4),IF(DATOS!$G1778="EX",1,IF(DATOS!$G1778="OR",--(COUNTIFS(nNIA,DATOS!$A1778,nCURSO,DATOS!$D1778,nESPEC,DATOS!$E1778,nASIG,DATOS!$I1778,nEVAL,"EX")=0),0))))</f>
      </c>
      <c r="H1778">
        <f>IF(DATOS!$G1778&lt;&gt;"EX",0,--(COUNTIFS(nNIA,DATOS!$A1778,nCURSO,DATOS!$D1778,nESPEC,DATOS!$E1778,nASIG,DATOS!$I1778,nEVAL,"OR")=0))</f>
      </c>
      <c r="I1778">
        <f>IF(DATOS!$I1778="","",IFERROR(VLOOKUP(DATOS!$I1778,CONFIG_ASIGNATURAS!$B$2:$J$91,9,FALSE()),""))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IF(DATOS!$A1779="",0,IF(CONFIG_METADATA!$B$4&lt;&gt;"OR+EX",--(DATOS!$G1779=CONFIG_METADATA!$B$4),IF(DATOS!$G1779="EX",1,IF(DATOS!$G1779="OR",--(COUNTIFS(nNIA,DATOS!$A1779,nCURSO,DATOS!$D1779,nESPEC,DATOS!$E1779,nASIG,DATOS!$I1779,nEVAL,"EX")=0),0))))</f>
      </c>
      <c r="H1779">
        <f>IF(DATOS!$G1779&lt;&gt;"EX",0,--(COUNTIFS(nNIA,DATOS!$A1779,nCURSO,DATOS!$D1779,nESPEC,DATOS!$E1779,nASIG,DATOS!$I1779,nEVAL,"OR")=0))</f>
      </c>
      <c r="I1779">
        <f>IF(DATOS!$I1779="","",IFERROR(VLOOKUP(DATOS!$I1779,CONFIG_ASIGNATURAS!$B$2:$J$91,9,FALSE()),""))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IF(DATOS!$A1780="",0,IF(CONFIG_METADATA!$B$4&lt;&gt;"OR+EX",--(DATOS!$G1780=CONFIG_METADATA!$B$4),IF(DATOS!$G1780="EX",1,IF(DATOS!$G1780="OR",--(COUNTIFS(nNIA,DATOS!$A1780,nCURSO,DATOS!$D1780,nESPEC,DATOS!$E1780,nASIG,DATOS!$I1780,nEVAL,"EX")=0),0))))</f>
      </c>
      <c r="H1780">
        <f>IF(DATOS!$G1780&lt;&gt;"EX",0,--(COUNTIFS(nNIA,DATOS!$A1780,nCURSO,DATOS!$D1780,nESPEC,DATOS!$E1780,nASIG,DATOS!$I1780,nEVAL,"OR")=0))</f>
      </c>
      <c r="I1780">
        <f>IF(DATOS!$I1780="","",IFERROR(VLOOKUP(DATOS!$I1780,CONFIG_ASIGNATURAS!$B$2:$J$91,9,FALSE()),""))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IF(DATOS!$A1781="",0,IF(CONFIG_METADATA!$B$4&lt;&gt;"OR+EX",--(DATOS!$G1781=CONFIG_METADATA!$B$4),IF(DATOS!$G1781="EX",1,IF(DATOS!$G1781="OR",--(COUNTIFS(nNIA,DATOS!$A1781,nCURSO,DATOS!$D1781,nESPEC,DATOS!$E1781,nASIG,DATOS!$I1781,nEVAL,"EX")=0),0))))</f>
      </c>
      <c r="H1781">
        <f>IF(DATOS!$G1781&lt;&gt;"EX",0,--(COUNTIFS(nNIA,DATOS!$A1781,nCURSO,DATOS!$D1781,nESPEC,DATOS!$E1781,nASIG,DATOS!$I1781,nEVAL,"OR")=0))</f>
      </c>
      <c r="I1781">
        <f>IF(DATOS!$I1781="","",IFERROR(VLOOKUP(DATOS!$I1781,CONFIG_ASIGNATURAS!$B$2:$J$91,9,FALSE()),""))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IF(DATOS!$A1782="",0,IF(CONFIG_METADATA!$B$4&lt;&gt;"OR+EX",--(DATOS!$G1782=CONFIG_METADATA!$B$4),IF(DATOS!$G1782="EX",1,IF(DATOS!$G1782="OR",--(COUNTIFS(nNIA,DATOS!$A1782,nCURSO,DATOS!$D1782,nESPEC,DATOS!$E1782,nASIG,DATOS!$I1782,nEVAL,"EX")=0),0))))</f>
      </c>
      <c r="H1782">
        <f>IF(DATOS!$G1782&lt;&gt;"EX",0,--(COUNTIFS(nNIA,DATOS!$A1782,nCURSO,DATOS!$D1782,nESPEC,DATOS!$E1782,nASIG,DATOS!$I1782,nEVAL,"OR")=0))</f>
      </c>
      <c r="I1782">
        <f>IF(DATOS!$I1782="","",IFERROR(VLOOKUP(DATOS!$I1782,CONFIG_ASIGNATURAS!$B$2:$J$91,9,FALSE()),""))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IF(DATOS!$A1783="",0,IF(CONFIG_METADATA!$B$4&lt;&gt;"OR+EX",--(DATOS!$G1783=CONFIG_METADATA!$B$4),IF(DATOS!$G1783="EX",1,IF(DATOS!$G1783="OR",--(COUNTIFS(nNIA,DATOS!$A1783,nCURSO,DATOS!$D1783,nESPEC,DATOS!$E1783,nASIG,DATOS!$I1783,nEVAL,"EX")=0),0))))</f>
      </c>
      <c r="H1783">
        <f>IF(DATOS!$G1783&lt;&gt;"EX",0,--(COUNTIFS(nNIA,DATOS!$A1783,nCURSO,DATOS!$D1783,nESPEC,DATOS!$E1783,nASIG,DATOS!$I1783,nEVAL,"OR")=0))</f>
      </c>
      <c r="I1783">
        <f>IF(DATOS!$I1783="","",IFERROR(VLOOKUP(DATOS!$I1783,CONFIG_ASIGNATURAS!$B$2:$J$91,9,FALSE()),""))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IF(DATOS!$A1784="",0,IF(CONFIG_METADATA!$B$4&lt;&gt;"OR+EX",--(DATOS!$G1784=CONFIG_METADATA!$B$4),IF(DATOS!$G1784="EX",1,IF(DATOS!$G1784="OR",--(COUNTIFS(nNIA,DATOS!$A1784,nCURSO,DATOS!$D1784,nESPEC,DATOS!$E1784,nASIG,DATOS!$I1784,nEVAL,"EX")=0),0))))</f>
      </c>
      <c r="H1784">
        <f>IF(DATOS!$G1784&lt;&gt;"EX",0,--(COUNTIFS(nNIA,DATOS!$A1784,nCURSO,DATOS!$D1784,nESPEC,DATOS!$E1784,nASIG,DATOS!$I1784,nEVAL,"OR")=0))</f>
      </c>
      <c r="I1784">
        <f>IF(DATOS!$I1784="","",IFERROR(VLOOKUP(DATOS!$I1784,CONFIG_ASIGNATURAS!$B$2:$J$91,9,FALSE()),""))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IF(DATOS!$A1785="",0,IF(CONFIG_METADATA!$B$4&lt;&gt;"OR+EX",--(DATOS!$G1785=CONFIG_METADATA!$B$4),IF(DATOS!$G1785="EX",1,IF(DATOS!$G1785="OR",--(COUNTIFS(nNIA,DATOS!$A1785,nCURSO,DATOS!$D1785,nESPEC,DATOS!$E1785,nASIG,DATOS!$I1785,nEVAL,"EX")=0),0))))</f>
      </c>
      <c r="H1785">
        <f>IF(DATOS!$G1785&lt;&gt;"EX",0,--(COUNTIFS(nNIA,DATOS!$A1785,nCURSO,DATOS!$D1785,nESPEC,DATOS!$E1785,nASIG,DATOS!$I1785,nEVAL,"OR")=0))</f>
      </c>
      <c r="I1785">
        <f>IF(DATOS!$I1785="","",IFERROR(VLOOKUP(DATOS!$I1785,CONFIG_ASIGNATURAS!$B$2:$J$91,9,FALSE()),""))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IF(DATOS!$A1786="",0,IF(CONFIG_METADATA!$B$4&lt;&gt;"OR+EX",--(DATOS!$G1786=CONFIG_METADATA!$B$4),IF(DATOS!$G1786="EX",1,IF(DATOS!$G1786="OR",--(COUNTIFS(nNIA,DATOS!$A1786,nCURSO,DATOS!$D1786,nESPEC,DATOS!$E1786,nASIG,DATOS!$I1786,nEVAL,"EX")=0),0))))</f>
      </c>
      <c r="H1786">
        <f>IF(DATOS!$G1786&lt;&gt;"EX",0,--(COUNTIFS(nNIA,DATOS!$A1786,nCURSO,DATOS!$D1786,nESPEC,DATOS!$E1786,nASIG,DATOS!$I1786,nEVAL,"OR")=0))</f>
      </c>
      <c r="I1786">
        <f>IF(DATOS!$I1786="","",IFERROR(VLOOKUP(DATOS!$I1786,CONFIG_ASIGNATURAS!$B$2:$J$91,9,FALSE()),""))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IF(DATOS!$A1787="",0,IF(CONFIG_METADATA!$B$4&lt;&gt;"OR+EX",--(DATOS!$G1787=CONFIG_METADATA!$B$4),IF(DATOS!$G1787="EX",1,IF(DATOS!$G1787="OR",--(COUNTIFS(nNIA,DATOS!$A1787,nCURSO,DATOS!$D1787,nESPEC,DATOS!$E1787,nASIG,DATOS!$I1787,nEVAL,"EX")=0),0))))</f>
      </c>
      <c r="H1787">
        <f>IF(DATOS!$G1787&lt;&gt;"EX",0,--(COUNTIFS(nNIA,DATOS!$A1787,nCURSO,DATOS!$D1787,nESPEC,DATOS!$E1787,nASIG,DATOS!$I1787,nEVAL,"OR")=0))</f>
      </c>
      <c r="I1787">
        <f>IF(DATOS!$I1787="","",IFERROR(VLOOKUP(DATOS!$I1787,CONFIG_ASIGNATURAS!$B$2:$J$91,9,FALSE()),""))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IF(DATOS!$A1788="",0,IF(CONFIG_METADATA!$B$4&lt;&gt;"OR+EX",--(DATOS!$G1788=CONFIG_METADATA!$B$4),IF(DATOS!$G1788="EX",1,IF(DATOS!$G1788="OR",--(COUNTIFS(nNIA,DATOS!$A1788,nCURSO,DATOS!$D1788,nESPEC,DATOS!$E1788,nASIG,DATOS!$I1788,nEVAL,"EX")=0),0))))</f>
      </c>
      <c r="H1788">
        <f>IF(DATOS!$G1788&lt;&gt;"EX",0,--(COUNTIFS(nNIA,DATOS!$A1788,nCURSO,DATOS!$D1788,nESPEC,DATOS!$E1788,nASIG,DATOS!$I1788,nEVAL,"OR")=0))</f>
      </c>
      <c r="I1788">
        <f>IF(DATOS!$I1788="","",IFERROR(VLOOKUP(DATOS!$I1788,CONFIG_ASIGNATURAS!$B$2:$J$91,9,FALSE()),""))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IF(DATOS!$A1789="",0,IF(CONFIG_METADATA!$B$4&lt;&gt;"OR+EX",--(DATOS!$G1789=CONFIG_METADATA!$B$4),IF(DATOS!$G1789="EX",1,IF(DATOS!$G1789="OR",--(COUNTIFS(nNIA,DATOS!$A1789,nCURSO,DATOS!$D1789,nESPEC,DATOS!$E1789,nASIG,DATOS!$I1789,nEVAL,"EX")=0),0))))</f>
      </c>
      <c r="H1789">
        <f>IF(DATOS!$G1789&lt;&gt;"EX",0,--(COUNTIFS(nNIA,DATOS!$A1789,nCURSO,DATOS!$D1789,nESPEC,DATOS!$E1789,nASIG,DATOS!$I1789,nEVAL,"OR")=0))</f>
      </c>
      <c r="I1789">
        <f>IF(DATOS!$I1789="","",IFERROR(VLOOKUP(DATOS!$I1789,CONFIG_ASIGNATURAS!$B$2:$J$91,9,FALSE()),""))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IF(DATOS!$A1790="",0,IF(CONFIG_METADATA!$B$4&lt;&gt;"OR+EX",--(DATOS!$G1790=CONFIG_METADATA!$B$4),IF(DATOS!$G1790="EX",1,IF(DATOS!$G1790="OR",--(COUNTIFS(nNIA,DATOS!$A1790,nCURSO,DATOS!$D1790,nESPEC,DATOS!$E1790,nASIG,DATOS!$I1790,nEVAL,"EX")=0),0))))</f>
      </c>
      <c r="H1790">
        <f>IF(DATOS!$G1790&lt;&gt;"EX",0,--(COUNTIFS(nNIA,DATOS!$A1790,nCURSO,DATOS!$D1790,nESPEC,DATOS!$E1790,nASIG,DATOS!$I1790,nEVAL,"OR")=0))</f>
      </c>
      <c r="I1790">
        <f>IF(DATOS!$I1790="","",IFERROR(VLOOKUP(DATOS!$I1790,CONFIG_ASIGNATURAS!$B$2:$J$91,9,FALSE()),""))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IF(DATOS!$A1791="",0,IF(CONFIG_METADATA!$B$4&lt;&gt;"OR+EX",--(DATOS!$G1791=CONFIG_METADATA!$B$4),IF(DATOS!$G1791="EX",1,IF(DATOS!$G1791="OR",--(COUNTIFS(nNIA,DATOS!$A1791,nCURSO,DATOS!$D1791,nESPEC,DATOS!$E1791,nASIG,DATOS!$I1791,nEVAL,"EX")=0),0))))</f>
      </c>
      <c r="H1791">
        <f>IF(DATOS!$G1791&lt;&gt;"EX",0,--(COUNTIFS(nNIA,DATOS!$A1791,nCURSO,DATOS!$D1791,nESPEC,DATOS!$E1791,nASIG,DATOS!$I1791,nEVAL,"OR")=0))</f>
      </c>
      <c r="I1791">
        <f>IF(DATOS!$I1791="","",IFERROR(VLOOKUP(DATOS!$I1791,CONFIG_ASIGNATURAS!$B$2:$J$91,9,FALSE()),""))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IF(DATOS!$A1792="",0,IF(CONFIG_METADATA!$B$4&lt;&gt;"OR+EX",--(DATOS!$G1792=CONFIG_METADATA!$B$4),IF(DATOS!$G1792="EX",1,IF(DATOS!$G1792="OR",--(COUNTIFS(nNIA,DATOS!$A1792,nCURSO,DATOS!$D1792,nESPEC,DATOS!$E1792,nASIG,DATOS!$I1792,nEVAL,"EX")=0),0))))</f>
      </c>
      <c r="H1792">
        <f>IF(DATOS!$G1792&lt;&gt;"EX",0,--(COUNTIFS(nNIA,DATOS!$A1792,nCURSO,DATOS!$D1792,nESPEC,DATOS!$E1792,nASIG,DATOS!$I1792,nEVAL,"OR")=0))</f>
      </c>
      <c r="I1792">
        <f>IF(DATOS!$I1792="","",IFERROR(VLOOKUP(DATOS!$I1792,CONFIG_ASIGNATURAS!$B$2:$J$91,9,FALSE()),""))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IF(DATOS!$A1793="",0,IF(CONFIG_METADATA!$B$4&lt;&gt;"OR+EX",--(DATOS!$G1793=CONFIG_METADATA!$B$4),IF(DATOS!$G1793="EX",1,IF(DATOS!$G1793="OR",--(COUNTIFS(nNIA,DATOS!$A1793,nCURSO,DATOS!$D1793,nESPEC,DATOS!$E1793,nASIG,DATOS!$I1793,nEVAL,"EX")=0),0))))</f>
      </c>
      <c r="H1793">
        <f>IF(DATOS!$G1793&lt;&gt;"EX",0,--(COUNTIFS(nNIA,DATOS!$A1793,nCURSO,DATOS!$D1793,nESPEC,DATOS!$E1793,nASIG,DATOS!$I1793,nEVAL,"OR")=0))</f>
      </c>
      <c r="I1793">
        <f>IF(DATOS!$I1793="","",IFERROR(VLOOKUP(DATOS!$I1793,CONFIG_ASIGNATURAS!$B$2:$J$91,9,FALSE()),""))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IF(DATOS!$A1794="",0,IF(CONFIG_METADATA!$B$4&lt;&gt;"OR+EX",--(DATOS!$G1794=CONFIG_METADATA!$B$4),IF(DATOS!$G1794="EX",1,IF(DATOS!$G1794="OR",--(COUNTIFS(nNIA,DATOS!$A1794,nCURSO,DATOS!$D1794,nESPEC,DATOS!$E1794,nASIG,DATOS!$I1794,nEVAL,"EX")=0),0))))</f>
      </c>
      <c r="H1794">
        <f>IF(DATOS!$G1794&lt;&gt;"EX",0,--(COUNTIFS(nNIA,DATOS!$A1794,nCURSO,DATOS!$D1794,nESPEC,DATOS!$E1794,nASIG,DATOS!$I1794,nEVAL,"OR")=0))</f>
      </c>
      <c r="I1794">
        <f>IF(DATOS!$I1794="","",IFERROR(VLOOKUP(DATOS!$I1794,CONFIG_ASIGNATURAS!$B$2:$J$91,9,FALSE()),""))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IF(DATOS!$A1795="",0,IF(CONFIG_METADATA!$B$4&lt;&gt;"OR+EX",--(DATOS!$G1795=CONFIG_METADATA!$B$4),IF(DATOS!$G1795="EX",1,IF(DATOS!$G1795="OR",--(COUNTIFS(nNIA,DATOS!$A1795,nCURSO,DATOS!$D1795,nESPEC,DATOS!$E1795,nASIG,DATOS!$I1795,nEVAL,"EX")=0),0))))</f>
      </c>
      <c r="H1795">
        <f>IF(DATOS!$G1795&lt;&gt;"EX",0,--(COUNTIFS(nNIA,DATOS!$A1795,nCURSO,DATOS!$D1795,nESPEC,DATOS!$E1795,nASIG,DATOS!$I1795,nEVAL,"OR")=0))</f>
      </c>
      <c r="I1795">
        <f>IF(DATOS!$I1795="","",IFERROR(VLOOKUP(DATOS!$I1795,CONFIG_ASIGNATURAS!$B$2:$J$91,9,FALSE()),""))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IF(DATOS!$A1796="",0,IF(CONFIG_METADATA!$B$4&lt;&gt;"OR+EX",--(DATOS!$G1796=CONFIG_METADATA!$B$4),IF(DATOS!$G1796="EX",1,IF(DATOS!$G1796="OR",--(COUNTIFS(nNIA,DATOS!$A1796,nCURSO,DATOS!$D1796,nESPEC,DATOS!$E1796,nASIG,DATOS!$I1796,nEVAL,"EX")=0),0))))</f>
      </c>
      <c r="H1796">
        <f>IF(DATOS!$G1796&lt;&gt;"EX",0,--(COUNTIFS(nNIA,DATOS!$A1796,nCURSO,DATOS!$D1796,nESPEC,DATOS!$E1796,nASIG,DATOS!$I1796,nEVAL,"OR")=0))</f>
      </c>
      <c r="I1796">
        <f>IF(DATOS!$I1796="","",IFERROR(VLOOKUP(DATOS!$I1796,CONFIG_ASIGNATURAS!$B$2:$J$91,9,FALSE()),""))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IF(DATOS!$A1797="",0,IF(CONFIG_METADATA!$B$4&lt;&gt;"OR+EX",--(DATOS!$G1797=CONFIG_METADATA!$B$4),IF(DATOS!$G1797="EX",1,IF(DATOS!$G1797="OR",--(COUNTIFS(nNIA,DATOS!$A1797,nCURSO,DATOS!$D1797,nESPEC,DATOS!$E1797,nASIG,DATOS!$I1797,nEVAL,"EX")=0),0))))</f>
      </c>
      <c r="H1797">
        <f>IF(DATOS!$G1797&lt;&gt;"EX",0,--(COUNTIFS(nNIA,DATOS!$A1797,nCURSO,DATOS!$D1797,nESPEC,DATOS!$E1797,nASIG,DATOS!$I1797,nEVAL,"OR")=0))</f>
      </c>
      <c r="I1797">
        <f>IF(DATOS!$I1797="","",IFERROR(VLOOKUP(DATOS!$I1797,CONFIG_ASIGNATURAS!$B$2:$J$91,9,FALSE()),""))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IF(DATOS!$A1798="",0,IF(CONFIG_METADATA!$B$4&lt;&gt;"OR+EX",--(DATOS!$G1798=CONFIG_METADATA!$B$4),IF(DATOS!$G1798="EX",1,IF(DATOS!$G1798="OR",--(COUNTIFS(nNIA,DATOS!$A1798,nCURSO,DATOS!$D1798,nESPEC,DATOS!$E1798,nASIG,DATOS!$I1798,nEVAL,"EX")=0),0))))</f>
      </c>
      <c r="H1798">
        <f>IF(DATOS!$G1798&lt;&gt;"EX",0,--(COUNTIFS(nNIA,DATOS!$A1798,nCURSO,DATOS!$D1798,nESPEC,DATOS!$E1798,nASIG,DATOS!$I1798,nEVAL,"OR")=0))</f>
      </c>
      <c r="I1798">
        <f>IF(DATOS!$I1798="","",IFERROR(VLOOKUP(DATOS!$I1798,CONFIG_ASIGNATURAS!$B$2:$J$91,9,FALSE()),""))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IF(DATOS!$A1799="",0,IF(CONFIG_METADATA!$B$4&lt;&gt;"OR+EX",--(DATOS!$G1799=CONFIG_METADATA!$B$4),IF(DATOS!$G1799="EX",1,IF(DATOS!$G1799="OR",--(COUNTIFS(nNIA,DATOS!$A1799,nCURSO,DATOS!$D1799,nESPEC,DATOS!$E1799,nASIG,DATOS!$I1799,nEVAL,"EX")=0),0))))</f>
      </c>
      <c r="H1799">
        <f>IF(DATOS!$G1799&lt;&gt;"EX",0,--(COUNTIFS(nNIA,DATOS!$A1799,nCURSO,DATOS!$D1799,nESPEC,DATOS!$E1799,nASIG,DATOS!$I1799,nEVAL,"OR")=0))</f>
      </c>
      <c r="I1799">
        <f>IF(DATOS!$I1799="","",IFERROR(VLOOKUP(DATOS!$I1799,CONFIG_ASIGNATURAS!$B$2:$J$91,9,FALSE()),""))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IF(DATOS!$A1800="",0,IF(CONFIG_METADATA!$B$4&lt;&gt;"OR+EX",--(DATOS!$G1800=CONFIG_METADATA!$B$4),IF(DATOS!$G1800="EX",1,IF(DATOS!$G1800="OR",--(COUNTIFS(nNIA,DATOS!$A1800,nCURSO,DATOS!$D1800,nESPEC,DATOS!$E1800,nASIG,DATOS!$I1800,nEVAL,"EX")=0),0))))</f>
      </c>
      <c r="H1800">
        <f>IF(DATOS!$G1800&lt;&gt;"EX",0,--(COUNTIFS(nNIA,DATOS!$A1800,nCURSO,DATOS!$D1800,nESPEC,DATOS!$E1800,nASIG,DATOS!$I1800,nEVAL,"OR")=0))</f>
      </c>
      <c r="I1800">
        <f>IF(DATOS!$I1800="","",IFERROR(VLOOKUP(DATOS!$I1800,CONFIG_ASIGNATURAS!$B$2:$J$91,9,FALSE()),""))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IF(DATOS!$A1801="",0,IF(CONFIG_METADATA!$B$4&lt;&gt;"OR+EX",--(DATOS!$G1801=CONFIG_METADATA!$B$4),IF(DATOS!$G1801="EX",1,IF(DATOS!$G1801="OR",--(COUNTIFS(nNIA,DATOS!$A1801,nCURSO,DATOS!$D1801,nESPEC,DATOS!$E1801,nASIG,DATOS!$I1801,nEVAL,"EX")=0),0))))</f>
      </c>
      <c r="H1801">
        <f>IF(DATOS!$G1801&lt;&gt;"EX",0,--(COUNTIFS(nNIA,DATOS!$A1801,nCURSO,DATOS!$D1801,nESPEC,DATOS!$E1801,nASIG,DATOS!$I1801,nEVAL,"OR")=0))</f>
      </c>
      <c r="I1801">
        <f>IF(DATOS!$I1801="","",IFERROR(VLOOKUP(DATOS!$I1801,CONFIG_ASIGNATURAS!$B$2:$J$91,9,FALSE()),""))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IF(DATOS!$A1802="",0,IF(CONFIG_METADATA!$B$4&lt;&gt;"OR+EX",--(DATOS!$G1802=CONFIG_METADATA!$B$4),IF(DATOS!$G1802="EX",1,IF(DATOS!$G1802="OR",--(COUNTIFS(nNIA,DATOS!$A1802,nCURSO,DATOS!$D1802,nESPEC,DATOS!$E1802,nASIG,DATOS!$I1802,nEVAL,"EX")=0),0))))</f>
      </c>
      <c r="H1802">
        <f>IF(DATOS!$G1802&lt;&gt;"EX",0,--(COUNTIFS(nNIA,DATOS!$A1802,nCURSO,DATOS!$D1802,nESPEC,DATOS!$E1802,nASIG,DATOS!$I1802,nEVAL,"OR")=0))</f>
      </c>
      <c r="I1802">
        <f>IF(DATOS!$I1802="","",IFERROR(VLOOKUP(DATOS!$I1802,CONFIG_ASIGNATURAS!$B$2:$J$91,9,FALSE()),""))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IF(DATOS!$A1803="",0,IF(CONFIG_METADATA!$B$4&lt;&gt;"OR+EX",--(DATOS!$G1803=CONFIG_METADATA!$B$4),IF(DATOS!$G1803="EX",1,IF(DATOS!$G1803="OR",--(COUNTIFS(nNIA,DATOS!$A1803,nCURSO,DATOS!$D1803,nESPEC,DATOS!$E1803,nASIG,DATOS!$I1803,nEVAL,"EX")=0),0))))</f>
      </c>
      <c r="H1803">
        <f>IF(DATOS!$G1803&lt;&gt;"EX",0,--(COUNTIFS(nNIA,DATOS!$A1803,nCURSO,DATOS!$D1803,nESPEC,DATOS!$E1803,nASIG,DATOS!$I1803,nEVAL,"OR")=0))</f>
      </c>
      <c r="I1803">
        <f>IF(DATOS!$I1803="","",IFERROR(VLOOKUP(DATOS!$I1803,CONFIG_ASIGNATURAS!$B$2:$J$91,9,FALSE()),""))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IF(DATOS!$A1804="",0,IF(CONFIG_METADATA!$B$4&lt;&gt;"OR+EX",--(DATOS!$G1804=CONFIG_METADATA!$B$4),IF(DATOS!$G1804="EX",1,IF(DATOS!$G1804="OR",--(COUNTIFS(nNIA,DATOS!$A1804,nCURSO,DATOS!$D1804,nESPEC,DATOS!$E1804,nASIG,DATOS!$I1804,nEVAL,"EX")=0),0))))</f>
      </c>
      <c r="H1804">
        <f>IF(DATOS!$G1804&lt;&gt;"EX",0,--(COUNTIFS(nNIA,DATOS!$A1804,nCURSO,DATOS!$D1804,nESPEC,DATOS!$E1804,nASIG,DATOS!$I1804,nEVAL,"OR")=0))</f>
      </c>
      <c r="I1804">
        <f>IF(DATOS!$I1804="","",IFERROR(VLOOKUP(DATOS!$I1804,CONFIG_ASIGNATURAS!$B$2:$J$91,9,FALSE()),""))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IF(DATOS!$A1805="",0,IF(CONFIG_METADATA!$B$4&lt;&gt;"OR+EX",--(DATOS!$G1805=CONFIG_METADATA!$B$4),IF(DATOS!$G1805="EX",1,IF(DATOS!$G1805="OR",--(COUNTIFS(nNIA,DATOS!$A1805,nCURSO,DATOS!$D1805,nESPEC,DATOS!$E1805,nASIG,DATOS!$I1805,nEVAL,"EX")=0),0))))</f>
      </c>
      <c r="H1805">
        <f>IF(DATOS!$G1805&lt;&gt;"EX",0,--(COUNTIFS(nNIA,DATOS!$A1805,nCURSO,DATOS!$D1805,nESPEC,DATOS!$E1805,nASIG,DATOS!$I1805,nEVAL,"OR")=0))</f>
      </c>
      <c r="I1805">
        <f>IF(DATOS!$I1805="","",IFERROR(VLOOKUP(DATOS!$I1805,CONFIG_ASIGNATURAS!$B$2:$J$91,9,FALSE()),""))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IF(DATOS!$A1806="",0,IF(CONFIG_METADATA!$B$4&lt;&gt;"OR+EX",--(DATOS!$G1806=CONFIG_METADATA!$B$4),IF(DATOS!$G1806="EX",1,IF(DATOS!$G1806="OR",--(COUNTIFS(nNIA,DATOS!$A1806,nCURSO,DATOS!$D1806,nESPEC,DATOS!$E1806,nASIG,DATOS!$I1806,nEVAL,"EX")=0),0))))</f>
      </c>
      <c r="H1806">
        <f>IF(DATOS!$G1806&lt;&gt;"EX",0,--(COUNTIFS(nNIA,DATOS!$A1806,nCURSO,DATOS!$D1806,nESPEC,DATOS!$E1806,nASIG,DATOS!$I1806,nEVAL,"OR")=0))</f>
      </c>
      <c r="I1806">
        <f>IF(DATOS!$I1806="","",IFERROR(VLOOKUP(DATOS!$I1806,CONFIG_ASIGNATURAS!$B$2:$J$91,9,FALSE()),""))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IF(DATOS!$A1807="",0,IF(CONFIG_METADATA!$B$4&lt;&gt;"OR+EX",--(DATOS!$G1807=CONFIG_METADATA!$B$4),IF(DATOS!$G1807="EX",1,IF(DATOS!$G1807="OR",--(COUNTIFS(nNIA,DATOS!$A1807,nCURSO,DATOS!$D1807,nESPEC,DATOS!$E1807,nASIG,DATOS!$I1807,nEVAL,"EX")=0),0))))</f>
      </c>
      <c r="H1807">
        <f>IF(DATOS!$G1807&lt;&gt;"EX",0,--(COUNTIFS(nNIA,DATOS!$A1807,nCURSO,DATOS!$D1807,nESPEC,DATOS!$E1807,nASIG,DATOS!$I1807,nEVAL,"OR")=0))</f>
      </c>
      <c r="I1807">
        <f>IF(DATOS!$I1807="","",IFERROR(VLOOKUP(DATOS!$I1807,CONFIG_ASIGNATURAS!$B$2:$J$91,9,FALSE()),""))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IF(DATOS!$A1808="",0,IF(CONFIG_METADATA!$B$4&lt;&gt;"OR+EX",--(DATOS!$G1808=CONFIG_METADATA!$B$4),IF(DATOS!$G1808="EX",1,IF(DATOS!$G1808="OR",--(COUNTIFS(nNIA,DATOS!$A1808,nCURSO,DATOS!$D1808,nESPEC,DATOS!$E1808,nASIG,DATOS!$I1808,nEVAL,"EX")=0),0))))</f>
      </c>
      <c r="H1808">
        <f>IF(DATOS!$G1808&lt;&gt;"EX",0,--(COUNTIFS(nNIA,DATOS!$A1808,nCURSO,DATOS!$D1808,nESPEC,DATOS!$E1808,nASIG,DATOS!$I1808,nEVAL,"OR")=0))</f>
      </c>
      <c r="I1808">
        <f>IF(DATOS!$I1808="","",IFERROR(VLOOKUP(DATOS!$I1808,CONFIG_ASIGNATURAS!$B$2:$J$91,9,FALSE()),""))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IF(DATOS!$A1809="",0,IF(CONFIG_METADATA!$B$4&lt;&gt;"OR+EX",--(DATOS!$G1809=CONFIG_METADATA!$B$4),IF(DATOS!$G1809="EX",1,IF(DATOS!$G1809="OR",--(COUNTIFS(nNIA,DATOS!$A1809,nCURSO,DATOS!$D1809,nESPEC,DATOS!$E1809,nASIG,DATOS!$I1809,nEVAL,"EX")=0),0))))</f>
      </c>
      <c r="H1809">
        <f>IF(DATOS!$G1809&lt;&gt;"EX",0,--(COUNTIFS(nNIA,DATOS!$A1809,nCURSO,DATOS!$D1809,nESPEC,DATOS!$E1809,nASIG,DATOS!$I1809,nEVAL,"OR")=0))</f>
      </c>
      <c r="I1809">
        <f>IF(DATOS!$I1809="","",IFERROR(VLOOKUP(DATOS!$I1809,CONFIG_ASIGNATURAS!$B$2:$J$91,9,FALSE()),""))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IF(DATOS!$A1810="",0,IF(CONFIG_METADATA!$B$4&lt;&gt;"OR+EX",--(DATOS!$G1810=CONFIG_METADATA!$B$4),IF(DATOS!$G1810="EX",1,IF(DATOS!$G1810="OR",--(COUNTIFS(nNIA,DATOS!$A1810,nCURSO,DATOS!$D1810,nESPEC,DATOS!$E1810,nASIG,DATOS!$I1810,nEVAL,"EX")=0),0))))</f>
      </c>
      <c r="H1810">
        <f>IF(DATOS!$G1810&lt;&gt;"EX",0,--(COUNTIFS(nNIA,DATOS!$A1810,nCURSO,DATOS!$D1810,nESPEC,DATOS!$E1810,nASIG,DATOS!$I1810,nEVAL,"OR")=0))</f>
      </c>
      <c r="I1810">
        <f>IF(DATOS!$I1810="","",IFERROR(VLOOKUP(DATOS!$I1810,CONFIG_ASIGNATURAS!$B$2:$J$91,9,FALSE()),""))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IF(DATOS!$A1811="",0,IF(CONFIG_METADATA!$B$4&lt;&gt;"OR+EX",--(DATOS!$G1811=CONFIG_METADATA!$B$4),IF(DATOS!$G1811="EX",1,IF(DATOS!$G1811="OR",--(COUNTIFS(nNIA,DATOS!$A1811,nCURSO,DATOS!$D1811,nESPEC,DATOS!$E1811,nASIG,DATOS!$I1811,nEVAL,"EX")=0),0))))</f>
      </c>
      <c r="H1811">
        <f>IF(DATOS!$G1811&lt;&gt;"EX",0,--(COUNTIFS(nNIA,DATOS!$A1811,nCURSO,DATOS!$D1811,nESPEC,DATOS!$E1811,nASIG,DATOS!$I1811,nEVAL,"OR")=0))</f>
      </c>
      <c r="I1811">
        <f>IF(DATOS!$I1811="","",IFERROR(VLOOKUP(DATOS!$I1811,CONFIG_ASIGNATURAS!$B$2:$J$91,9,FALSE()),""))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IF(DATOS!$A1812="",0,IF(CONFIG_METADATA!$B$4&lt;&gt;"OR+EX",--(DATOS!$G1812=CONFIG_METADATA!$B$4),IF(DATOS!$G1812="EX",1,IF(DATOS!$G1812="OR",--(COUNTIFS(nNIA,DATOS!$A1812,nCURSO,DATOS!$D1812,nESPEC,DATOS!$E1812,nASIG,DATOS!$I1812,nEVAL,"EX")=0),0))))</f>
      </c>
      <c r="H1812">
        <f>IF(DATOS!$G1812&lt;&gt;"EX",0,--(COUNTIFS(nNIA,DATOS!$A1812,nCURSO,DATOS!$D1812,nESPEC,DATOS!$E1812,nASIG,DATOS!$I1812,nEVAL,"OR")=0))</f>
      </c>
      <c r="I1812">
        <f>IF(DATOS!$I1812="","",IFERROR(VLOOKUP(DATOS!$I1812,CONFIG_ASIGNATURAS!$B$2:$J$91,9,FALSE()),""))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IF(DATOS!$A1813="",0,IF(CONFIG_METADATA!$B$4&lt;&gt;"OR+EX",--(DATOS!$G1813=CONFIG_METADATA!$B$4),IF(DATOS!$G1813="EX",1,IF(DATOS!$G1813="OR",--(COUNTIFS(nNIA,DATOS!$A1813,nCURSO,DATOS!$D1813,nESPEC,DATOS!$E1813,nASIG,DATOS!$I1813,nEVAL,"EX")=0),0))))</f>
      </c>
      <c r="H1813">
        <f>IF(DATOS!$G1813&lt;&gt;"EX",0,--(COUNTIFS(nNIA,DATOS!$A1813,nCURSO,DATOS!$D1813,nESPEC,DATOS!$E1813,nASIG,DATOS!$I1813,nEVAL,"OR")=0))</f>
      </c>
      <c r="I1813">
        <f>IF(DATOS!$I1813="","",IFERROR(VLOOKUP(DATOS!$I1813,CONFIG_ASIGNATURAS!$B$2:$J$91,9,FALSE()),""))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IF(DATOS!$A1814="",0,IF(CONFIG_METADATA!$B$4&lt;&gt;"OR+EX",--(DATOS!$G1814=CONFIG_METADATA!$B$4),IF(DATOS!$G1814="EX",1,IF(DATOS!$G1814="OR",--(COUNTIFS(nNIA,DATOS!$A1814,nCURSO,DATOS!$D1814,nESPEC,DATOS!$E1814,nASIG,DATOS!$I1814,nEVAL,"EX")=0),0))))</f>
      </c>
      <c r="H1814">
        <f>IF(DATOS!$G1814&lt;&gt;"EX",0,--(COUNTIFS(nNIA,DATOS!$A1814,nCURSO,DATOS!$D1814,nESPEC,DATOS!$E1814,nASIG,DATOS!$I1814,nEVAL,"OR")=0))</f>
      </c>
      <c r="I1814">
        <f>IF(DATOS!$I1814="","",IFERROR(VLOOKUP(DATOS!$I1814,CONFIG_ASIGNATURAS!$B$2:$J$91,9,FALSE()),""))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IF(DATOS!$A1815="",0,IF(CONFIG_METADATA!$B$4&lt;&gt;"OR+EX",--(DATOS!$G1815=CONFIG_METADATA!$B$4),IF(DATOS!$G1815="EX",1,IF(DATOS!$G1815="OR",--(COUNTIFS(nNIA,DATOS!$A1815,nCURSO,DATOS!$D1815,nESPEC,DATOS!$E1815,nASIG,DATOS!$I1815,nEVAL,"EX")=0),0))))</f>
      </c>
      <c r="H1815">
        <f>IF(DATOS!$G1815&lt;&gt;"EX",0,--(COUNTIFS(nNIA,DATOS!$A1815,nCURSO,DATOS!$D1815,nESPEC,DATOS!$E1815,nASIG,DATOS!$I1815,nEVAL,"OR")=0))</f>
      </c>
      <c r="I1815">
        <f>IF(DATOS!$I1815="","",IFERROR(VLOOKUP(DATOS!$I1815,CONFIG_ASIGNATURAS!$B$2:$J$91,9,FALSE()),""))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IF(DATOS!$A1816="",0,IF(CONFIG_METADATA!$B$4&lt;&gt;"OR+EX",--(DATOS!$G1816=CONFIG_METADATA!$B$4),IF(DATOS!$G1816="EX",1,IF(DATOS!$G1816="OR",--(COUNTIFS(nNIA,DATOS!$A1816,nCURSO,DATOS!$D1816,nESPEC,DATOS!$E1816,nASIG,DATOS!$I1816,nEVAL,"EX")=0),0))))</f>
      </c>
      <c r="H1816">
        <f>IF(DATOS!$G1816&lt;&gt;"EX",0,--(COUNTIFS(nNIA,DATOS!$A1816,nCURSO,DATOS!$D1816,nESPEC,DATOS!$E1816,nASIG,DATOS!$I1816,nEVAL,"OR")=0))</f>
      </c>
      <c r="I1816">
        <f>IF(DATOS!$I1816="","",IFERROR(VLOOKUP(DATOS!$I1816,CONFIG_ASIGNATURAS!$B$2:$J$91,9,FALSE()),""))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IF(DATOS!$A1817="",0,IF(CONFIG_METADATA!$B$4&lt;&gt;"OR+EX",--(DATOS!$G1817=CONFIG_METADATA!$B$4),IF(DATOS!$G1817="EX",1,IF(DATOS!$G1817="OR",--(COUNTIFS(nNIA,DATOS!$A1817,nCURSO,DATOS!$D1817,nESPEC,DATOS!$E1817,nASIG,DATOS!$I1817,nEVAL,"EX")=0),0))))</f>
      </c>
      <c r="H1817">
        <f>IF(DATOS!$G1817&lt;&gt;"EX",0,--(COUNTIFS(nNIA,DATOS!$A1817,nCURSO,DATOS!$D1817,nESPEC,DATOS!$E1817,nASIG,DATOS!$I1817,nEVAL,"OR")=0))</f>
      </c>
      <c r="I1817">
        <f>IF(DATOS!$I1817="","",IFERROR(VLOOKUP(DATOS!$I1817,CONFIG_ASIGNATURAS!$B$2:$J$91,9,FALSE()),""))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IF(DATOS!$A1818="",0,IF(CONFIG_METADATA!$B$4&lt;&gt;"OR+EX",--(DATOS!$G1818=CONFIG_METADATA!$B$4),IF(DATOS!$G1818="EX",1,IF(DATOS!$G1818="OR",--(COUNTIFS(nNIA,DATOS!$A1818,nCURSO,DATOS!$D1818,nESPEC,DATOS!$E1818,nASIG,DATOS!$I1818,nEVAL,"EX")=0),0))))</f>
      </c>
      <c r="H1818">
        <f>IF(DATOS!$G1818&lt;&gt;"EX",0,--(COUNTIFS(nNIA,DATOS!$A1818,nCURSO,DATOS!$D1818,nESPEC,DATOS!$E1818,nASIG,DATOS!$I1818,nEVAL,"OR")=0))</f>
      </c>
      <c r="I1818">
        <f>IF(DATOS!$I1818="","",IFERROR(VLOOKUP(DATOS!$I1818,CONFIG_ASIGNATURAS!$B$2:$J$91,9,FALSE()),""))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IF(DATOS!$A1819="",0,IF(CONFIG_METADATA!$B$4&lt;&gt;"OR+EX",--(DATOS!$G1819=CONFIG_METADATA!$B$4),IF(DATOS!$G1819="EX",1,IF(DATOS!$G1819="OR",--(COUNTIFS(nNIA,DATOS!$A1819,nCURSO,DATOS!$D1819,nESPEC,DATOS!$E1819,nASIG,DATOS!$I1819,nEVAL,"EX")=0),0))))</f>
      </c>
      <c r="H1819">
        <f>IF(DATOS!$G1819&lt;&gt;"EX",0,--(COUNTIFS(nNIA,DATOS!$A1819,nCURSO,DATOS!$D1819,nESPEC,DATOS!$E1819,nASIG,DATOS!$I1819,nEVAL,"OR")=0))</f>
      </c>
      <c r="I1819">
        <f>IF(DATOS!$I1819="","",IFERROR(VLOOKUP(DATOS!$I1819,CONFIG_ASIGNATURAS!$B$2:$J$91,9,FALSE()),""))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IF(DATOS!$A1820="",0,IF(CONFIG_METADATA!$B$4&lt;&gt;"OR+EX",--(DATOS!$G1820=CONFIG_METADATA!$B$4),IF(DATOS!$G1820="EX",1,IF(DATOS!$G1820="OR",--(COUNTIFS(nNIA,DATOS!$A1820,nCURSO,DATOS!$D1820,nESPEC,DATOS!$E1820,nASIG,DATOS!$I1820,nEVAL,"EX")=0),0))))</f>
      </c>
      <c r="H1820">
        <f>IF(DATOS!$G1820&lt;&gt;"EX",0,--(COUNTIFS(nNIA,DATOS!$A1820,nCURSO,DATOS!$D1820,nESPEC,DATOS!$E1820,nASIG,DATOS!$I1820,nEVAL,"OR")=0))</f>
      </c>
      <c r="I1820">
        <f>IF(DATOS!$I1820="","",IFERROR(VLOOKUP(DATOS!$I1820,CONFIG_ASIGNATURAS!$B$2:$J$91,9,FALSE()),""))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IF(DATOS!$A1821="",0,IF(CONFIG_METADATA!$B$4&lt;&gt;"OR+EX",--(DATOS!$G1821=CONFIG_METADATA!$B$4),IF(DATOS!$G1821="EX",1,IF(DATOS!$G1821="OR",--(COUNTIFS(nNIA,DATOS!$A1821,nCURSO,DATOS!$D1821,nESPEC,DATOS!$E1821,nASIG,DATOS!$I1821,nEVAL,"EX")=0),0))))</f>
      </c>
      <c r="H1821">
        <f>IF(DATOS!$G1821&lt;&gt;"EX",0,--(COUNTIFS(nNIA,DATOS!$A1821,nCURSO,DATOS!$D1821,nESPEC,DATOS!$E1821,nASIG,DATOS!$I1821,nEVAL,"OR")=0))</f>
      </c>
      <c r="I1821">
        <f>IF(DATOS!$I1821="","",IFERROR(VLOOKUP(DATOS!$I1821,CONFIG_ASIGNATURAS!$B$2:$J$91,9,FALSE()),""))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IF(DATOS!$A1822="",0,IF(CONFIG_METADATA!$B$4&lt;&gt;"OR+EX",--(DATOS!$G1822=CONFIG_METADATA!$B$4),IF(DATOS!$G1822="EX",1,IF(DATOS!$G1822="OR",--(COUNTIFS(nNIA,DATOS!$A1822,nCURSO,DATOS!$D1822,nESPEC,DATOS!$E1822,nASIG,DATOS!$I1822,nEVAL,"EX")=0),0))))</f>
      </c>
      <c r="H1822">
        <f>IF(DATOS!$G1822&lt;&gt;"EX",0,--(COUNTIFS(nNIA,DATOS!$A1822,nCURSO,DATOS!$D1822,nESPEC,DATOS!$E1822,nASIG,DATOS!$I1822,nEVAL,"OR")=0))</f>
      </c>
      <c r="I1822">
        <f>IF(DATOS!$I1822="","",IFERROR(VLOOKUP(DATOS!$I1822,CONFIG_ASIGNATURAS!$B$2:$J$91,9,FALSE()),""))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IF(DATOS!$A1823="",0,IF(CONFIG_METADATA!$B$4&lt;&gt;"OR+EX",--(DATOS!$G1823=CONFIG_METADATA!$B$4),IF(DATOS!$G1823="EX",1,IF(DATOS!$G1823="OR",--(COUNTIFS(nNIA,DATOS!$A1823,nCURSO,DATOS!$D1823,nESPEC,DATOS!$E1823,nASIG,DATOS!$I1823,nEVAL,"EX")=0),0))))</f>
      </c>
      <c r="H1823">
        <f>IF(DATOS!$G1823&lt;&gt;"EX",0,--(COUNTIFS(nNIA,DATOS!$A1823,nCURSO,DATOS!$D1823,nESPEC,DATOS!$E1823,nASIG,DATOS!$I1823,nEVAL,"OR")=0))</f>
      </c>
      <c r="I1823">
        <f>IF(DATOS!$I1823="","",IFERROR(VLOOKUP(DATOS!$I1823,CONFIG_ASIGNATURAS!$B$2:$J$91,9,FALSE()),""))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IF(DATOS!$A1824="",0,IF(CONFIG_METADATA!$B$4&lt;&gt;"OR+EX",--(DATOS!$G1824=CONFIG_METADATA!$B$4),IF(DATOS!$G1824="EX",1,IF(DATOS!$G1824="OR",--(COUNTIFS(nNIA,DATOS!$A1824,nCURSO,DATOS!$D1824,nESPEC,DATOS!$E1824,nASIG,DATOS!$I1824,nEVAL,"EX")=0),0))))</f>
      </c>
      <c r="H1824">
        <f>IF(DATOS!$G1824&lt;&gt;"EX",0,--(COUNTIFS(nNIA,DATOS!$A1824,nCURSO,DATOS!$D1824,nESPEC,DATOS!$E1824,nASIG,DATOS!$I1824,nEVAL,"OR")=0))</f>
      </c>
      <c r="I1824">
        <f>IF(DATOS!$I1824="","",IFERROR(VLOOKUP(DATOS!$I1824,CONFIG_ASIGNATURAS!$B$2:$J$91,9,FALSE()),""))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IF(DATOS!$A1825="",0,IF(CONFIG_METADATA!$B$4&lt;&gt;"OR+EX",--(DATOS!$G1825=CONFIG_METADATA!$B$4),IF(DATOS!$G1825="EX",1,IF(DATOS!$G1825="OR",--(COUNTIFS(nNIA,DATOS!$A1825,nCURSO,DATOS!$D1825,nESPEC,DATOS!$E1825,nASIG,DATOS!$I1825,nEVAL,"EX")=0),0))))</f>
      </c>
      <c r="H1825">
        <f>IF(DATOS!$G1825&lt;&gt;"EX",0,--(COUNTIFS(nNIA,DATOS!$A1825,nCURSO,DATOS!$D1825,nESPEC,DATOS!$E1825,nASIG,DATOS!$I1825,nEVAL,"OR")=0))</f>
      </c>
      <c r="I1825">
        <f>IF(DATOS!$I1825="","",IFERROR(VLOOKUP(DATOS!$I1825,CONFIG_ASIGNATURAS!$B$2:$J$91,9,FALSE()),""))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IF(DATOS!$A1826="",0,IF(CONFIG_METADATA!$B$4&lt;&gt;"OR+EX",--(DATOS!$G1826=CONFIG_METADATA!$B$4),IF(DATOS!$G1826="EX",1,IF(DATOS!$G1826="OR",--(COUNTIFS(nNIA,DATOS!$A1826,nCURSO,DATOS!$D1826,nESPEC,DATOS!$E1826,nASIG,DATOS!$I1826,nEVAL,"EX")=0),0))))</f>
      </c>
      <c r="H1826">
        <f>IF(DATOS!$G1826&lt;&gt;"EX",0,--(COUNTIFS(nNIA,DATOS!$A1826,nCURSO,DATOS!$D1826,nESPEC,DATOS!$E1826,nASIG,DATOS!$I1826,nEVAL,"OR")=0))</f>
      </c>
      <c r="I1826">
        <f>IF(DATOS!$I1826="","",IFERROR(VLOOKUP(DATOS!$I1826,CONFIG_ASIGNATURAS!$B$2:$J$91,9,FALSE()),""))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IF(DATOS!$A1827="",0,IF(CONFIG_METADATA!$B$4&lt;&gt;"OR+EX",--(DATOS!$G1827=CONFIG_METADATA!$B$4),IF(DATOS!$G1827="EX",1,IF(DATOS!$G1827="OR",--(COUNTIFS(nNIA,DATOS!$A1827,nCURSO,DATOS!$D1827,nESPEC,DATOS!$E1827,nASIG,DATOS!$I1827,nEVAL,"EX")=0),0))))</f>
      </c>
      <c r="H1827">
        <f>IF(DATOS!$G1827&lt;&gt;"EX",0,--(COUNTIFS(nNIA,DATOS!$A1827,nCURSO,DATOS!$D1827,nESPEC,DATOS!$E1827,nASIG,DATOS!$I1827,nEVAL,"OR")=0))</f>
      </c>
      <c r="I1827">
        <f>IF(DATOS!$I1827="","",IFERROR(VLOOKUP(DATOS!$I1827,CONFIG_ASIGNATURAS!$B$2:$J$91,9,FALSE()),""))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IF(DATOS!$A1828="",0,IF(CONFIG_METADATA!$B$4&lt;&gt;"OR+EX",--(DATOS!$G1828=CONFIG_METADATA!$B$4),IF(DATOS!$G1828="EX",1,IF(DATOS!$G1828="OR",--(COUNTIFS(nNIA,DATOS!$A1828,nCURSO,DATOS!$D1828,nESPEC,DATOS!$E1828,nASIG,DATOS!$I1828,nEVAL,"EX")=0),0))))</f>
      </c>
      <c r="H1828">
        <f>IF(DATOS!$G1828&lt;&gt;"EX",0,--(COUNTIFS(nNIA,DATOS!$A1828,nCURSO,DATOS!$D1828,nESPEC,DATOS!$E1828,nASIG,DATOS!$I1828,nEVAL,"OR")=0))</f>
      </c>
      <c r="I1828">
        <f>IF(DATOS!$I1828="","",IFERROR(VLOOKUP(DATOS!$I1828,CONFIG_ASIGNATURAS!$B$2:$J$91,9,FALSE()),""))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IF(DATOS!$A1829="",0,IF(CONFIG_METADATA!$B$4&lt;&gt;"OR+EX",--(DATOS!$G1829=CONFIG_METADATA!$B$4),IF(DATOS!$G1829="EX",1,IF(DATOS!$G1829="OR",--(COUNTIFS(nNIA,DATOS!$A1829,nCURSO,DATOS!$D1829,nESPEC,DATOS!$E1829,nASIG,DATOS!$I1829,nEVAL,"EX")=0),0))))</f>
      </c>
      <c r="H1829">
        <f>IF(DATOS!$G1829&lt;&gt;"EX",0,--(COUNTIFS(nNIA,DATOS!$A1829,nCURSO,DATOS!$D1829,nESPEC,DATOS!$E1829,nASIG,DATOS!$I1829,nEVAL,"OR")=0))</f>
      </c>
      <c r="I1829">
        <f>IF(DATOS!$I1829="","",IFERROR(VLOOKUP(DATOS!$I1829,CONFIG_ASIGNATURAS!$B$2:$J$91,9,FALSE()),""))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IF(DATOS!$A1830="",0,IF(CONFIG_METADATA!$B$4&lt;&gt;"OR+EX",--(DATOS!$G1830=CONFIG_METADATA!$B$4),IF(DATOS!$G1830="EX",1,IF(DATOS!$G1830="OR",--(COUNTIFS(nNIA,DATOS!$A1830,nCURSO,DATOS!$D1830,nESPEC,DATOS!$E1830,nASIG,DATOS!$I1830,nEVAL,"EX")=0),0))))</f>
      </c>
      <c r="H1830">
        <f>IF(DATOS!$G1830&lt;&gt;"EX",0,--(COUNTIFS(nNIA,DATOS!$A1830,nCURSO,DATOS!$D1830,nESPEC,DATOS!$E1830,nASIG,DATOS!$I1830,nEVAL,"OR")=0))</f>
      </c>
      <c r="I1830">
        <f>IF(DATOS!$I1830="","",IFERROR(VLOOKUP(DATOS!$I1830,CONFIG_ASIGNATURAS!$B$2:$J$91,9,FALSE()),""))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IF(DATOS!$A1831="",0,IF(CONFIG_METADATA!$B$4&lt;&gt;"OR+EX",--(DATOS!$G1831=CONFIG_METADATA!$B$4),IF(DATOS!$G1831="EX",1,IF(DATOS!$G1831="OR",--(COUNTIFS(nNIA,DATOS!$A1831,nCURSO,DATOS!$D1831,nESPEC,DATOS!$E1831,nASIG,DATOS!$I1831,nEVAL,"EX")=0),0))))</f>
      </c>
      <c r="H1831">
        <f>IF(DATOS!$G1831&lt;&gt;"EX",0,--(COUNTIFS(nNIA,DATOS!$A1831,nCURSO,DATOS!$D1831,nESPEC,DATOS!$E1831,nASIG,DATOS!$I1831,nEVAL,"OR")=0))</f>
      </c>
      <c r="I1831">
        <f>IF(DATOS!$I1831="","",IFERROR(VLOOKUP(DATOS!$I1831,CONFIG_ASIGNATURAS!$B$2:$J$91,9,FALSE()),""))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IF(DATOS!$A1832="",0,IF(CONFIG_METADATA!$B$4&lt;&gt;"OR+EX",--(DATOS!$G1832=CONFIG_METADATA!$B$4),IF(DATOS!$G1832="EX",1,IF(DATOS!$G1832="OR",--(COUNTIFS(nNIA,DATOS!$A1832,nCURSO,DATOS!$D1832,nESPEC,DATOS!$E1832,nASIG,DATOS!$I1832,nEVAL,"EX")=0),0))))</f>
      </c>
      <c r="H1832">
        <f>IF(DATOS!$G1832&lt;&gt;"EX",0,--(COUNTIFS(nNIA,DATOS!$A1832,nCURSO,DATOS!$D1832,nESPEC,DATOS!$E1832,nASIG,DATOS!$I1832,nEVAL,"OR")=0))</f>
      </c>
      <c r="I1832">
        <f>IF(DATOS!$I1832="","",IFERROR(VLOOKUP(DATOS!$I1832,CONFIG_ASIGNATURAS!$B$2:$J$91,9,FALSE()),""))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IF(DATOS!$A1833="",0,IF(CONFIG_METADATA!$B$4&lt;&gt;"OR+EX",--(DATOS!$G1833=CONFIG_METADATA!$B$4),IF(DATOS!$G1833="EX",1,IF(DATOS!$G1833="OR",--(COUNTIFS(nNIA,DATOS!$A1833,nCURSO,DATOS!$D1833,nESPEC,DATOS!$E1833,nASIG,DATOS!$I1833,nEVAL,"EX")=0),0))))</f>
      </c>
      <c r="H1833">
        <f>IF(DATOS!$G1833&lt;&gt;"EX",0,--(COUNTIFS(nNIA,DATOS!$A1833,nCURSO,DATOS!$D1833,nESPEC,DATOS!$E1833,nASIG,DATOS!$I1833,nEVAL,"OR")=0))</f>
      </c>
      <c r="I1833">
        <f>IF(DATOS!$I1833="","",IFERROR(VLOOKUP(DATOS!$I1833,CONFIG_ASIGNATURAS!$B$2:$J$91,9,FALSE()),""))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IF(DATOS!$A1834="",0,IF(CONFIG_METADATA!$B$4&lt;&gt;"OR+EX",--(DATOS!$G1834=CONFIG_METADATA!$B$4),IF(DATOS!$G1834="EX",1,IF(DATOS!$G1834="OR",--(COUNTIFS(nNIA,DATOS!$A1834,nCURSO,DATOS!$D1834,nESPEC,DATOS!$E1834,nASIG,DATOS!$I1834,nEVAL,"EX")=0),0))))</f>
      </c>
      <c r="H1834">
        <f>IF(DATOS!$G1834&lt;&gt;"EX",0,--(COUNTIFS(nNIA,DATOS!$A1834,nCURSO,DATOS!$D1834,nESPEC,DATOS!$E1834,nASIG,DATOS!$I1834,nEVAL,"OR")=0))</f>
      </c>
      <c r="I1834">
        <f>IF(DATOS!$I1834="","",IFERROR(VLOOKUP(DATOS!$I1834,CONFIG_ASIGNATURAS!$B$2:$J$91,9,FALSE()),""))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IF(DATOS!$A1835="",0,IF(CONFIG_METADATA!$B$4&lt;&gt;"OR+EX",--(DATOS!$G1835=CONFIG_METADATA!$B$4),IF(DATOS!$G1835="EX",1,IF(DATOS!$G1835="OR",--(COUNTIFS(nNIA,DATOS!$A1835,nCURSO,DATOS!$D1835,nESPEC,DATOS!$E1835,nASIG,DATOS!$I1835,nEVAL,"EX")=0),0))))</f>
      </c>
      <c r="H1835">
        <f>IF(DATOS!$G1835&lt;&gt;"EX",0,--(COUNTIFS(nNIA,DATOS!$A1835,nCURSO,DATOS!$D1835,nESPEC,DATOS!$E1835,nASIG,DATOS!$I1835,nEVAL,"OR")=0))</f>
      </c>
      <c r="I1835">
        <f>IF(DATOS!$I1835="","",IFERROR(VLOOKUP(DATOS!$I1835,CONFIG_ASIGNATURAS!$B$2:$J$91,9,FALSE()),""))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IF(DATOS!$A1836="",0,IF(CONFIG_METADATA!$B$4&lt;&gt;"OR+EX",--(DATOS!$G1836=CONFIG_METADATA!$B$4),IF(DATOS!$G1836="EX",1,IF(DATOS!$G1836="OR",--(COUNTIFS(nNIA,DATOS!$A1836,nCURSO,DATOS!$D1836,nESPEC,DATOS!$E1836,nASIG,DATOS!$I1836,nEVAL,"EX")=0),0))))</f>
      </c>
      <c r="H1836">
        <f>IF(DATOS!$G1836&lt;&gt;"EX",0,--(COUNTIFS(nNIA,DATOS!$A1836,nCURSO,DATOS!$D1836,nESPEC,DATOS!$E1836,nASIG,DATOS!$I1836,nEVAL,"OR")=0))</f>
      </c>
      <c r="I1836">
        <f>IF(DATOS!$I1836="","",IFERROR(VLOOKUP(DATOS!$I1836,CONFIG_ASIGNATURAS!$B$2:$J$91,9,FALSE()),""))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IF(DATOS!$A1837="",0,IF(CONFIG_METADATA!$B$4&lt;&gt;"OR+EX",--(DATOS!$G1837=CONFIG_METADATA!$B$4),IF(DATOS!$G1837="EX",1,IF(DATOS!$G1837="OR",--(COUNTIFS(nNIA,DATOS!$A1837,nCURSO,DATOS!$D1837,nESPEC,DATOS!$E1837,nASIG,DATOS!$I1837,nEVAL,"EX")=0),0))))</f>
      </c>
      <c r="H1837">
        <f>IF(DATOS!$G1837&lt;&gt;"EX",0,--(COUNTIFS(nNIA,DATOS!$A1837,nCURSO,DATOS!$D1837,nESPEC,DATOS!$E1837,nASIG,DATOS!$I1837,nEVAL,"OR")=0))</f>
      </c>
      <c r="I1837">
        <f>IF(DATOS!$I1837="","",IFERROR(VLOOKUP(DATOS!$I1837,CONFIG_ASIGNATURAS!$B$2:$J$91,9,FALSE()),""))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IF(DATOS!$A1838="",0,IF(CONFIG_METADATA!$B$4&lt;&gt;"OR+EX",--(DATOS!$G1838=CONFIG_METADATA!$B$4),IF(DATOS!$G1838="EX",1,IF(DATOS!$G1838="OR",--(COUNTIFS(nNIA,DATOS!$A1838,nCURSO,DATOS!$D1838,nESPEC,DATOS!$E1838,nASIG,DATOS!$I1838,nEVAL,"EX")=0),0))))</f>
      </c>
      <c r="H1838">
        <f>IF(DATOS!$G1838&lt;&gt;"EX",0,--(COUNTIFS(nNIA,DATOS!$A1838,nCURSO,DATOS!$D1838,nESPEC,DATOS!$E1838,nASIG,DATOS!$I1838,nEVAL,"OR")=0))</f>
      </c>
      <c r="I1838">
        <f>IF(DATOS!$I1838="","",IFERROR(VLOOKUP(DATOS!$I1838,CONFIG_ASIGNATURAS!$B$2:$J$91,9,FALSE()),""))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IF(DATOS!$A1839="",0,IF(CONFIG_METADATA!$B$4&lt;&gt;"OR+EX",--(DATOS!$G1839=CONFIG_METADATA!$B$4),IF(DATOS!$G1839="EX",1,IF(DATOS!$G1839="OR",--(COUNTIFS(nNIA,DATOS!$A1839,nCURSO,DATOS!$D1839,nESPEC,DATOS!$E1839,nASIG,DATOS!$I1839,nEVAL,"EX")=0),0))))</f>
      </c>
      <c r="H1839">
        <f>IF(DATOS!$G1839&lt;&gt;"EX",0,--(COUNTIFS(nNIA,DATOS!$A1839,nCURSO,DATOS!$D1839,nESPEC,DATOS!$E1839,nASIG,DATOS!$I1839,nEVAL,"OR")=0))</f>
      </c>
      <c r="I1839">
        <f>IF(DATOS!$I1839="","",IFERROR(VLOOKUP(DATOS!$I1839,CONFIG_ASIGNATURAS!$B$2:$J$91,9,FALSE()),""))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IF(DATOS!$A1840="",0,IF(CONFIG_METADATA!$B$4&lt;&gt;"OR+EX",--(DATOS!$G1840=CONFIG_METADATA!$B$4),IF(DATOS!$G1840="EX",1,IF(DATOS!$G1840="OR",--(COUNTIFS(nNIA,DATOS!$A1840,nCURSO,DATOS!$D1840,nESPEC,DATOS!$E1840,nASIG,DATOS!$I1840,nEVAL,"EX")=0),0))))</f>
      </c>
      <c r="H1840">
        <f>IF(DATOS!$G1840&lt;&gt;"EX",0,--(COUNTIFS(nNIA,DATOS!$A1840,nCURSO,DATOS!$D1840,nESPEC,DATOS!$E1840,nASIG,DATOS!$I1840,nEVAL,"OR")=0))</f>
      </c>
      <c r="I1840">
        <f>IF(DATOS!$I1840="","",IFERROR(VLOOKUP(DATOS!$I1840,CONFIG_ASIGNATURAS!$B$2:$J$91,9,FALSE()),""))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IF(DATOS!$A1841="",0,IF(CONFIG_METADATA!$B$4&lt;&gt;"OR+EX",--(DATOS!$G1841=CONFIG_METADATA!$B$4),IF(DATOS!$G1841="EX",1,IF(DATOS!$G1841="OR",--(COUNTIFS(nNIA,DATOS!$A1841,nCURSO,DATOS!$D1841,nESPEC,DATOS!$E1841,nASIG,DATOS!$I1841,nEVAL,"EX")=0),0))))</f>
      </c>
      <c r="H1841">
        <f>IF(DATOS!$G1841&lt;&gt;"EX",0,--(COUNTIFS(nNIA,DATOS!$A1841,nCURSO,DATOS!$D1841,nESPEC,DATOS!$E1841,nASIG,DATOS!$I1841,nEVAL,"OR")=0))</f>
      </c>
      <c r="I1841">
        <f>IF(DATOS!$I1841="","",IFERROR(VLOOKUP(DATOS!$I1841,CONFIG_ASIGNATURAS!$B$2:$J$91,9,FALSE()),""))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IF(DATOS!$A1842="",0,IF(CONFIG_METADATA!$B$4&lt;&gt;"OR+EX",--(DATOS!$G1842=CONFIG_METADATA!$B$4),IF(DATOS!$G1842="EX",1,IF(DATOS!$G1842="OR",--(COUNTIFS(nNIA,DATOS!$A1842,nCURSO,DATOS!$D1842,nESPEC,DATOS!$E1842,nASIG,DATOS!$I1842,nEVAL,"EX")=0),0))))</f>
      </c>
      <c r="H1842">
        <f>IF(DATOS!$G1842&lt;&gt;"EX",0,--(COUNTIFS(nNIA,DATOS!$A1842,nCURSO,DATOS!$D1842,nESPEC,DATOS!$E1842,nASIG,DATOS!$I1842,nEVAL,"OR")=0))</f>
      </c>
      <c r="I1842">
        <f>IF(DATOS!$I1842="","",IFERROR(VLOOKUP(DATOS!$I1842,CONFIG_ASIGNATURAS!$B$2:$J$91,9,FALSE()),""))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IF(DATOS!$A1843="",0,IF(CONFIG_METADATA!$B$4&lt;&gt;"OR+EX",--(DATOS!$G1843=CONFIG_METADATA!$B$4),IF(DATOS!$G1843="EX",1,IF(DATOS!$G1843="OR",--(COUNTIFS(nNIA,DATOS!$A1843,nCURSO,DATOS!$D1843,nESPEC,DATOS!$E1843,nASIG,DATOS!$I1843,nEVAL,"EX")=0),0))))</f>
      </c>
      <c r="H1843">
        <f>IF(DATOS!$G1843&lt;&gt;"EX",0,--(COUNTIFS(nNIA,DATOS!$A1843,nCURSO,DATOS!$D1843,nESPEC,DATOS!$E1843,nASIG,DATOS!$I1843,nEVAL,"OR")=0))</f>
      </c>
      <c r="I1843">
        <f>IF(DATOS!$I1843="","",IFERROR(VLOOKUP(DATOS!$I1843,CONFIG_ASIGNATURAS!$B$2:$J$91,9,FALSE()),""))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IF(DATOS!$A1844="",0,IF(CONFIG_METADATA!$B$4&lt;&gt;"OR+EX",--(DATOS!$G1844=CONFIG_METADATA!$B$4),IF(DATOS!$G1844="EX",1,IF(DATOS!$G1844="OR",--(COUNTIFS(nNIA,DATOS!$A1844,nCURSO,DATOS!$D1844,nESPEC,DATOS!$E1844,nASIG,DATOS!$I1844,nEVAL,"EX")=0),0))))</f>
      </c>
      <c r="H1844">
        <f>IF(DATOS!$G1844&lt;&gt;"EX",0,--(COUNTIFS(nNIA,DATOS!$A1844,nCURSO,DATOS!$D1844,nESPEC,DATOS!$E1844,nASIG,DATOS!$I1844,nEVAL,"OR")=0))</f>
      </c>
      <c r="I1844">
        <f>IF(DATOS!$I1844="","",IFERROR(VLOOKUP(DATOS!$I1844,CONFIG_ASIGNATURAS!$B$2:$J$91,9,FALSE()),""))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IF(DATOS!$A1845="",0,IF(CONFIG_METADATA!$B$4&lt;&gt;"OR+EX",--(DATOS!$G1845=CONFIG_METADATA!$B$4),IF(DATOS!$G1845="EX",1,IF(DATOS!$G1845="OR",--(COUNTIFS(nNIA,DATOS!$A1845,nCURSO,DATOS!$D1845,nESPEC,DATOS!$E1845,nASIG,DATOS!$I1845,nEVAL,"EX")=0),0))))</f>
      </c>
      <c r="H1845">
        <f>IF(DATOS!$G1845&lt;&gt;"EX",0,--(COUNTIFS(nNIA,DATOS!$A1845,nCURSO,DATOS!$D1845,nESPEC,DATOS!$E1845,nASIG,DATOS!$I1845,nEVAL,"OR")=0))</f>
      </c>
      <c r="I1845">
        <f>IF(DATOS!$I1845="","",IFERROR(VLOOKUP(DATOS!$I1845,CONFIG_ASIGNATURAS!$B$2:$J$91,9,FALSE()),""))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IF(DATOS!$A1846="",0,IF(CONFIG_METADATA!$B$4&lt;&gt;"OR+EX",--(DATOS!$G1846=CONFIG_METADATA!$B$4),IF(DATOS!$G1846="EX",1,IF(DATOS!$G1846="OR",--(COUNTIFS(nNIA,DATOS!$A1846,nCURSO,DATOS!$D1846,nESPEC,DATOS!$E1846,nASIG,DATOS!$I1846,nEVAL,"EX")=0),0))))</f>
      </c>
      <c r="H1846">
        <f>IF(DATOS!$G1846&lt;&gt;"EX",0,--(COUNTIFS(nNIA,DATOS!$A1846,nCURSO,DATOS!$D1846,nESPEC,DATOS!$E1846,nASIG,DATOS!$I1846,nEVAL,"OR")=0))</f>
      </c>
      <c r="I1846">
        <f>IF(DATOS!$I1846="","",IFERROR(VLOOKUP(DATOS!$I1846,CONFIG_ASIGNATURAS!$B$2:$J$91,9,FALSE()),""))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IF(DATOS!$A1847="",0,IF(CONFIG_METADATA!$B$4&lt;&gt;"OR+EX",--(DATOS!$G1847=CONFIG_METADATA!$B$4),IF(DATOS!$G1847="EX",1,IF(DATOS!$G1847="OR",--(COUNTIFS(nNIA,DATOS!$A1847,nCURSO,DATOS!$D1847,nESPEC,DATOS!$E1847,nASIG,DATOS!$I1847,nEVAL,"EX")=0),0))))</f>
      </c>
      <c r="H1847">
        <f>IF(DATOS!$G1847&lt;&gt;"EX",0,--(COUNTIFS(nNIA,DATOS!$A1847,nCURSO,DATOS!$D1847,nESPEC,DATOS!$E1847,nASIG,DATOS!$I1847,nEVAL,"OR")=0))</f>
      </c>
      <c r="I1847">
        <f>IF(DATOS!$I1847="","",IFERROR(VLOOKUP(DATOS!$I1847,CONFIG_ASIGNATURAS!$B$2:$J$91,9,FALSE()),""))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IF(DATOS!$A1848="",0,IF(CONFIG_METADATA!$B$4&lt;&gt;"OR+EX",--(DATOS!$G1848=CONFIG_METADATA!$B$4),IF(DATOS!$G1848="EX",1,IF(DATOS!$G1848="OR",--(COUNTIFS(nNIA,DATOS!$A1848,nCURSO,DATOS!$D1848,nESPEC,DATOS!$E1848,nASIG,DATOS!$I1848,nEVAL,"EX")=0),0))))</f>
      </c>
      <c r="H1848">
        <f>IF(DATOS!$G1848&lt;&gt;"EX",0,--(COUNTIFS(nNIA,DATOS!$A1848,nCURSO,DATOS!$D1848,nESPEC,DATOS!$E1848,nASIG,DATOS!$I1848,nEVAL,"OR")=0))</f>
      </c>
      <c r="I1848">
        <f>IF(DATOS!$I1848="","",IFERROR(VLOOKUP(DATOS!$I1848,CONFIG_ASIGNATURAS!$B$2:$J$91,9,FALSE()),""))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IF(DATOS!$A1849="",0,IF(CONFIG_METADATA!$B$4&lt;&gt;"OR+EX",--(DATOS!$G1849=CONFIG_METADATA!$B$4),IF(DATOS!$G1849="EX",1,IF(DATOS!$G1849="OR",--(COUNTIFS(nNIA,DATOS!$A1849,nCURSO,DATOS!$D1849,nESPEC,DATOS!$E1849,nASIG,DATOS!$I1849,nEVAL,"EX")=0),0))))</f>
      </c>
      <c r="H1849">
        <f>IF(DATOS!$G1849&lt;&gt;"EX",0,--(COUNTIFS(nNIA,DATOS!$A1849,nCURSO,DATOS!$D1849,nESPEC,DATOS!$E1849,nASIG,DATOS!$I1849,nEVAL,"OR")=0))</f>
      </c>
      <c r="I1849">
        <f>IF(DATOS!$I1849="","",IFERROR(VLOOKUP(DATOS!$I1849,CONFIG_ASIGNATURAS!$B$2:$J$91,9,FALSE()),""))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IF(DATOS!$A1850="",0,IF(CONFIG_METADATA!$B$4&lt;&gt;"OR+EX",--(DATOS!$G1850=CONFIG_METADATA!$B$4),IF(DATOS!$G1850="EX",1,IF(DATOS!$G1850="OR",--(COUNTIFS(nNIA,DATOS!$A1850,nCURSO,DATOS!$D1850,nESPEC,DATOS!$E1850,nASIG,DATOS!$I1850,nEVAL,"EX")=0),0))))</f>
      </c>
      <c r="H1850">
        <f>IF(DATOS!$G1850&lt;&gt;"EX",0,--(COUNTIFS(nNIA,DATOS!$A1850,nCURSO,DATOS!$D1850,nESPEC,DATOS!$E1850,nASIG,DATOS!$I1850,nEVAL,"OR")=0))</f>
      </c>
      <c r="I1850">
        <f>IF(DATOS!$I1850="","",IFERROR(VLOOKUP(DATOS!$I1850,CONFIG_ASIGNATURAS!$B$2:$J$91,9,FALSE()),""))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IF(DATOS!$A1851="",0,IF(CONFIG_METADATA!$B$4&lt;&gt;"OR+EX",--(DATOS!$G1851=CONFIG_METADATA!$B$4),IF(DATOS!$G1851="EX",1,IF(DATOS!$G1851="OR",--(COUNTIFS(nNIA,DATOS!$A1851,nCURSO,DATOS!$D1851,nESPEC,DATOS!$E1851,nASIG,DATOS!$I1851,nEVAL,"EX")=0),0))))</f>
      </c>
      <c r="H1851">
        <f>IF(DATOS!$G1851&lt;&gt;"EX",0,--(COUNTIFS(nNIA,DATOS!$A1851,nCURSO,DATOS!$D1851,nESPEC,DATOS!$E1851,nASIG,DATOS!$I1851,nEVAL,"OR")=0))</f>
      </c>
      <c r="I1851">
        <f>IF(DATOS!$I1851="","",IFERROR(VLOOKUP(DATOS!$I1851,CONFIG_ASIGNATURAS!$B$2:$J$91,9,FALSE()),""))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IF(DATOS!$A1852="",0,IF(CONFIG_METADATA!$B$4&lt;&gt;"OR+EX",--(DATOS!$G1852=CONFIG_METADATA!$B$4),IF(DATOS!$G1852="EX",1,IF(DATOS!$G1852="OR",--(COUNTIFS(nNIA,DATOS!$A1852,nCURSO,DATOS!$D1852,nESPEC,DATOS!$E1852,nASIG,DATOS!$I1852,nEVAL,"EX")=0),0))))</f>
      </c>
      <c r="H1852">
        <f>IF(DATOS!$G1852&lt;&gt;"EX",0,--(COUNTIFS(nNIA,DATOS!$A1852,nCURSO,DATOS!$D1852,nESPEC,DATOS!$E1852,nASIG,DATOS!$I1852,nEVAL,"OR")=0))</f>
      </c>
      <c r="I1852">
        <f>IF(DATOS!$I1852="","",IFERROR(VLOOKUP(DATOS!$I1852,CONFIG_ASIGNATURAS!$B$2:$J$91,9,FALSE()),""))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IF(DATOS!$A1853="",0,IF(CONFIG_METADATA!$B$4&lt;&gt;"OR+EX",--(DATOS!$G1853=CONFIG_METADATA!$B$4),IF(DATOS!$G1853="EX",1,IF(DATOS!$G1853="OR",--(COUNTIFS(nNIA,DATOS!$A1853,nCURSO,DATOS!$D1853,nESPEC,DATOS!$E1853,nASIG,DATOS!$I1853,nEVAL,"EX")=0),0))))</f>
      </c>
      <c r="H1853">
        <f>IF(DATOS!$G1853&lt;&gt;"EX",0,--(COUNTIFS(nNIA,DATOS!$A1853,nCURSO,DATOS!$D1853,nESPEC,DATOS!$E1853,nASIG,DATOS!$I1853,nEVAL,"OR")=0))</f>
      </c>
      <c r="I1853">
        <f>IF(DATOS!$I1853="","",IFERROR(VLOOKUP(DATOS!$I1853,CONFIG_ASIGNATURAS!$B$2:$J$91,9,FALSE()),""))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IF(DATOS!$A1854="",0,IF(CONFIG_METADATA!$B$4&lt;&gt;"OR+EX",--(DATOS!$G1854=CONFIG_METADATA!$B$4),IF(DATOS!$G1854="EX",1,IF(DATOS!$G1854="OR",--(COUNTIFS(nNIA,DATOS!$A1854,nCURSO,DATOS!$D1854,nESPEC,DATOS!$E1854,nASIG,DATOS!$I1854,nEVAL,"EX")=0),0))))</f>
      </c>
      <c r="H1854">
        <f>IF(DATOS!$G1854&lt;&gt;"EX",0,--(COUNTIFS(nNIA,DATOS!$A1854,nCURSO,DATOS!$D1854,nESPEC,DATOS!$E1854,nASIG,DATOS!$I1854,nEVAL,"OR")=0))</f>
      </c>
      <c r="I1854">
        <f>IF(DATOS!$I1854="","",IFERROR(VLOOKUP(DATOS!$I1854,CONFIG_ASIGNATURAS!$B$2:$J$91,9,FALSE()),""))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IF(DATOS!$A1855="",0,IF(CONFIG_METADATA!$B$4&lt;&gt;"OR+EX",--(DATOS!$G1855=CONFIG_METADATA!$B$4),IF(DATOS!$G1855="EX",1,IF(DATOS!$G1855="OR",--(COUNTIFS(nNIA,DATOS!$A1855,nCURSO,DATOS!$D1855,nESPEC,DATOS!$E1855,nASIG,DATOS!$I1855,nEVAL,"EX")=0),0))))</f>
      </c>
      <c r="H1855">
        <f>IF(DATOS!$G1855&lt;&gt;"EX",0,--(COUNTIFS(nNIA,DATOS!$A1855,nCURSO,DATOS!$D1855,nESPEC,DATOS!$E1855,nASIG,DATOS!$I1855,nEVAL,"OR")=0))</f>
      </c>
      <c r="I1855">
        <f>IF(DATOS!$I1855="","",IFERROR(VLOOKUP(DATOS!$I1855,CONFIG_ASIGNATURAS!$B$2:$J$91,9,FALSE()),""))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IF(DATOS!$A1856="",0,IF(CONFIG_METADATA!$B$4&lt;&gt;"OR+EX",--(DATOS!$G1856=CONFIG_METADATA!$B$4),IF(DATOS!$G1856="EX",1,IF(DATOS!$G1856="OR",--(COUNTIFS(nNIA,DATOS!$A1856,nCURSO,DATOS!$D1856,nESPEC,DATOS!$E1856,nASIG,DATOS!$I1856,nEVAL,"EX")=0),0))))</f>
      </c>
      <c r="H1856">
        <f>IF(DATOS!$G1856&lt;&gt;"EX",0,--(COUNTIFS(nNIA,DATOS!$A1856,nCURSO,DATOS!$D1856,nESPEC,DATOS!$E1856,nASIG,DATOS!$I1856,nEVAL,"OR")=0))</f>
      </c>
      <c r="I1856">
        <f>IF(DATOS!$I1856="","",IFERROR(VLOOKUP(DATOS!$I1856,CONFIG_ASIGNATURAS!$B$2:$J$91,9,FALSE()),""))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IF(DATOS!$A1857="",0,IF(CONFIG_METADATA!$B$4&lt;&gt;"OR+EX",--(DATOS!$G1857=CONFIG_METADATA!$B$4),IF(DATOS!$G1857="EX",1,IF(DATOS!$G1857="OR",--(COUNTIFS(nNIA,DATOS!$A1857,nCURSO,DATOS!$D1857,nESPEC,DATOS!$E1857,nASIG,DATOS!$I1857,nEVAL,"EX")=0),0))))</f>
      </c>
      <c r="H1857">
        <f>IF(DATOS!$G1857&lt;&gt;"EX",0,--(COUNTIFS(nNIA,DATOS!$A1857,nCURSO,DATOS!$D1857,nESPEC,DATOS!$E1857,nASIG,DATOS!$I1857,nEVAL,"OR")=0))</f>
      </c>
      <c r="I1857">
        <f>IF(DATOS!$I1857="","",IFERROR(VLOOKUP(DATOS!$I1857,CONFIG_ASIGNATURAS!$B$2:$J$91,9,FALSE()),""))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IF(DATOS!$A1858="",0,IF(CONFIG_METADATA!$B$4&lt;&gt;"OR+EX",--(DATOS!$G1858=CONFIG_METADATA!$B$4),IF(DATOS!$G1858="EX",1,IF(DATOS!$G1858="OR",--(COUNTIFS(nNIA,DATOS!$A1858,nCURSO,DATOS!$D1858,nESPEC,DATOS!$E1858,nASIG,DATOS!$I1858,nEVAL,"EX")=0),0))))</f>
      </c>
      <c r="H1858">
        <f>IF(DATOS!$G1858&lt;&gt;"EX",0,--(COUNTIFS(nNIA,DATOS!$A1858,nCURSO,DATOS!$D1858,nESPEC,DATOS!$E1858,nASIG,DATOS!$I1858,nEVAL,"OR")=0))</f>
      </c>
      <c r="I1858">
        <f>IF(DATOS!$I1858="","",IFERROR(VLOOKUP(DATOS!$I1858,CONFIG_ASIGNATURAS!$B$2:$J$91,9,FALSE()),""))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IF(DATOS!$A1859="",0,IF(CONFIG_METADATA!$B$4&lt;&gt;"OR+EX",--(DATOS!$G1859=CONFIG_METADATA!$B$4),IF(DATOS!$G1859="EX",1,IF(DATOS!$G1859="OR",--(COUNTIFS(nNIA,DATOS!$A1859,nCURSO,DATOS!$D1859,nESPEC,DATOS!$E1859,nASIG,DATOS!$I1859,nEVAL,"EX")=0),0))))</f>
      </c>
      <c r="H1859">
        <f>IF(DATOS!$G1859&lt;&gt;"EX",0,--(COUNTIFS(nNIA,DATOS!$A1859,nCURSO,DATOS!$D1859,nESPEC,DATOS!$E1859,nASIG,DATOS!$I1859,nEVAL,"OR")=0))</f>
      </c>
      <c r="I1859">
        <f>IF(DATOS!$I1859="","",IFERROR(VLOOKUP(DATOS!$I1859,CONFIG_ASIGNATURAS!$B$2:$J$91,9,FALSE()),""))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IF(DATOS!$A1860="",0,IF(CONFIG_METADATA!$B$4&lt;&gt;"OR+EX",--(DATOS!$G1860=CONFIG_METADATA!$B$4),IF(DATOS!$G1860="EX",1,IF(DATOS!$G1860="OR",--(COUNTIFS(nNIA,DATOS!$A1860,nCURSO,DATOS!$D1860,nESPEC,DATOS!$E1860,nASIG,DATOS!$I1860,nEVAL,"EX")=0),0))))</f>
      </c>
      <c r="H1860">
        <f>IF(DATOS!$G1860&lt;&gt;"EX",0,--(COUNTIFS(nNIA,DATOS!$A1860,nCURSO,DATOS!$D1860,nESPEC,DATOS!$E1860,nASIG,DATOS!$I1860,nEVAL,"OR")=0))</f>
      </c>
      <c r="I1860">
        <f>IF(DATOS!$I1860="","",IFERROR(VLOOKUP(DATOS!$I1860,CONFIG_ASIGNATURAS!$B$2:$J$91,9,FALSE()),""))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IF(DATOS!$A1861="",0,IF(CONFIG_METADATA!$B$4&lt;&gt;"OR+EX",--(DATOS!$G1861=CONFIG_METADATA!$B$4),IF(DATOS!$G1861="EX",1,IF(DATOS!$G1861="OR",--(COUNTIFS(nNIA,DATOS!$A1861,nCURSO,DATOS!$D1861,nESPEC,DATOS!$E1861,nASIG,DATOS!$I1861,nEVAL,"EX")=0),0))))</f>
      </c>
      <c r="H1861">
        <f>IF(DATOS!$G1861&lt;&gt;"EX",0,--(COUNTIFS(nNIA,DATOS!$A1861,nCURSO,DATOS!$D1861,nESPEC,DATOS!$E1861,nASIG,DATOS!$I1861,nEVAL,"OR")=0))</f>
      </c>
      <c r="I1861">
        <f>IF(DATOS!$I1861="","",IFERROR(VLOOKUP(DATOS!$I1861,CONFIG_ASIGNATURAS!$B$2:$J$91,9,FALSE()),""))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IF(DATOS!$A1862="",0,IF(CONFIG_METADATA!$B$4&lt;&gt;"OR+EX",--(DATOS!$G1862=CONFIG_METADATA!$B$4),IF(DATOS!$G1862="EX",1,IF(DATOS!$G1862="OR",--(COUNTIFS(nNIA,DATOS!$A1862,nCURSO,DATOS!$D1862,nESPEC,DATOS!$E1862,nASIG,DATOS!$I1862,nEVAL,"EX")=0),0))))</f>
      </c>
      <c r="H1862">
        <f>IF(DATOS!$G1862&lt;&gt;"EX",0,--(COUNTIFS(nNIA,DATOS!$A1862,nCURSO,DATOS!$D1862,nESPEC,DATOS!$E1862,nASIG,DATOS!$I1862,nEVAL,"OR")=0))</f>
      </c>
      <c r="I1862">
        <f>IF(DATOS!$I1862="","",IFERROR(VLOOKUP(DATOS!$I1862,CONFIG_ASIGNATURAS!$B$2:$J$91,9,FALSE()),""))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IF(DATOS!$A1863="",0,IF(CONFIG_METADATA!$B$4&lt;&gt;"OR+EX",--(DATOS!$G1863=CONFIG_METADATA!$B$4),IF(DATOS!$G1863="EX",1,IF(DATOS!$G1863="OR",--(COUNTIFS(nNIA,DATOS!$A1863,nCURSO,DATOS!$D1863,nESPEC,DATOS!$E1863,nASIG,DATOS!$I1863,nEVAL,"EX")=0),0))))</f>
      </c>
      <c r="H1863">
        <f>IF(DATOS!$G1863&lt;&gt;"EX",0,--(COUNTIFS(nNIA,DATOS!$A1863,nCURSO,DATOS!$D1863,nESPEC,DATOS!$E1863,nASIG,DATOS!$I1863,nEVAL,"OR")=0))</f>
      </c>
      <c r="I1863">
        <f>IF(DATOS!$I1863="","",IFERROR(VLOOKUP(DATOS!$I1863,CONFIG_ASIGNATURAS!$B$2:$J$91,9,FALSE()),""))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IF(DATOS!$A1864="",0,IF(CONFIG_METADATA!$B$4&lt;&gt;"OR+EX",--(DATOS!$G1864=CONFIG_METADATA!$B$4),IF(DATOS!$G1864="EX",1,IF(DATOS!$G1864="OR",--(COUNTIFS(nNIA,DATOS!$A1864,nCURSO,DATOS!$D1864,nESPEC,DATOS!$E1864,nASIG,DATOS!$I1864,nEVAL,"EX")=0),0))))</f>
      </c>
      <c r="H1864">
        <f>IF(DATOS!$G1864&lt;&gt;"EX",0,--(COUNTIFS(nNIA,DATOS!$A1864,nCURSO,DATOS!$D1864,nESPEC,DATOS!$E1864,nASIG,DATOS!$I1864,nEVAL,"OR")=0))</f>
      </c>
      <c r="I1864">
        <f>IF(DATOS!$I1864="","",IFERROR(VLOOKUP(DATOS!$I1864,CONFIG_ASIGNATURAS!$B$2:$J$91,9,FALSE()),""))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IF(DATOS!$A1865="",0,IF(CONFIG_METADATA!$B$4&lt;&gt;"OR+EX",--(DATOS!$G1865=CONFIG_METADATA!$B$4),IF(DATOS!$G1865="EX",1,IF(DATOS!$G1865="OR",--(COUNTIFS(nNIA,DATOS!$A1865,nCURSO,DATOS!$D1865,nESPEC,DATOS!$E1865,nASIG,DATOS!$I1865,nEVAL,"EX")=0),0))))</f>
      </c>
      <c r="H1865">
        <f>IF(DATOS!$G1865&lt;&gt;"EX",0,--(COUNTIFS(nNIA,DATOS!$A1865,nCURSO,DATOS!$D1865,nESPEC,DATOS!$E1865,nASIG,DATOS!$I1865,nEVAL,"OR")=0))</f>
      </c>
      <c r="I1865">
        <f>IF(DATOS!$I1865="","",IFERROR(VLOOKUP(DATOS!$I1865,CONFIG_ASIGNATURAS!$B$2:$J$91,9,FALSE()),""))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IF(DATOS!$A1866="",0,IF(CONFIG_METADATA!$B$4&lt;&gt;"OR+EX",--(DATOS!$G1866=CONFIG_METADATA!$B$4),IF(DATOS!$G1866="EX",1,IF(DATOS!$G1866="OR",--(COUNTIFS(nNIA,DATOS!$A1866,nCURSO,DATOS!$D1866,nESPEC,DATOS!$E1866,nASIG,DATOS!$I1866,nEVAL,"EX")=0),0))))</f>
      </c>
      <c r="H1866">
        <f>IF(DATOS!$G1866&lt;&gt;"EX",0,--(COUNTIFS(nNIA,DATOS!$A1866,nCURSO,DATOS!$D1866,nESPEC,DATOS!$E1866,nASIG,DATOS!$I1866,nEVAL,"OR")=0))</f>
      </c>
      <c r="I1866">
        <f>IF(DATOS!$I1866="","",IFERROR(VLOOKUP(DATOS!$I1866,CONFIG_ASIGNATURAS!$B$2:$J$91,9,FALSE()),""))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IF(DATOS!$A1867="",0,IF(CONFIG_METADATA!$B$4&lt;&gt;"OR+EX",--(DATOS!$G1867=CONFIG_METADATA!$B$4),IF(DATOS!$G1867="EX",1,IF(DATOS!$G1867="OR",--(COUNTIFS(nNIA,DATOS!$A1867,nCURSO,DATOS!$D1867,nESPEC,DATOS!$E1867,nASIG,DATOS!$I1867,nEVAL,"EX")=0),0))))</f>
      </c>
      <c r="H1867">
        <f>IF(DATOS!$G1867&lt;&gt;"EX",0,--(COUNTIFS(nNIA,DATOS!$A1867,nCURSO,DATOS!$D1867,nESPEC,DATOS!$E1867,nASIG,DATOS!$I1867,nEVAL,"OR")=0))</f>
      </c>
      <c r="I1867">
        <f>IF(DATOS!$I1867="","",IFERROR(VLOOKUP(DATOS!$I1867,CONFIG_ASIGNATURAS!$B$2:$J$91,9,FALSE()),""))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IF(DATOS!$A1868="",0,IF(CONFIG_METADATA!$B$4&lt;&gt;"OR+EX",--(DATOS!$G1868=CONFIG_METADATA!$B$4),IF(DATOS!$G1868="EX",1,IF(DATOS!$G1868="OR",--(COUNTIFS(nNIA,DATOS!$A1868,nCURSO,DATOS!$D1868,nESPEC,DATOS!$E1868,nASIG,DATOS!$I1868,nEVAL,"EX")=0),0))))</f>
      </c>
      <c r="H1868">
        <f>IF(DATOS!$G1868&lt;&gt;"EX",0,--(COUNTIFS(nNIA,DATOS!$A1868,nCURSO,DATOS!$D1868,nESPEC,DATOS!$E1868,nASIG,DATOS!$I1868,nEVAL,"OR")=0))</f>
      </c>
      <c r="I1868">
        <f>IF(DATOS!$I1868="","",IFERROR(VLOOKUP(DATOS!$I1868,CONFIG_ASIGNATURAS!$B$2:$J$91,9,FALSE()),""))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IF(DATOS!$A1869="",0,IF(CONFIG_METADATA!$B$4&lt;&gt;"OR+EX",--(DATOS!$G1869=CONFIG_METADATA!$B$4),IF(DATOS!$G1869="EX",1,IF(DATOS!$G1869="OR",--(COUNTIFS(nNIA,DATOS!$A1869,nCURSO,DATOS!$D1869,nESPEC,DATOS!$E1869,nASIG,DATOS!$I1869,nEVAL,"EX")=0),0))))</f>
      </c>
      <c r="H1869">
        <f>IF(DATOS!$G1869&lt;&gt;"EX",0,--(COUNTIFS(nNIA,DATOS!$A1869,nCURSO,DATOS!$D1869,nESPEC,DATOS!$E1869,nASIG,DATOS!$I1869,nEVAL,"OR")=0))</f>
      </c>
      <c r="I1869">
        <f>IF(DATOS!$I1869="","",IFERROR(VLOOKUP(DATOS!$I1869,CONFIG_ASIGNATURAS!$B$2:$J$91,9,FALSE()),""))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IF(DATOS!$A1870="",0,IF(CONFIG_METADATA!$B$4&lt;&gt;"OR+EX",--(DATOS!$G1870=CONFIG_METADATA!$B$4),IF(DATOS!$G1870="EX",1,IF(DATOS!$G1870="OR",--(COUNTIFS(nNIA,DATOS!$A1870,nCURSO,DATOS!$D1870,nESPEC,DATOS!$E1870,nASIG,DATOS!$I1870,nEVAL,"EX")=0),0))))</f>
      </c>
      <c r="H1870">
        <f>IF(DATOS!$G1870&lt;&gt;"EX",0,--(COUNTIFS(nNIA,DATOS!$A1870,nCURSO,DATOS!$D1870,nESPEC,DATOS!$E1870,nASIG,DATOS!$I1870,nEVAL,"OR")=0))</f>
      </c>
      <c r="I1870">
        <f>IF(DATOS!$I1870="","",IFERROR(VLOOKUP(DATOS!$I1870,CONFIG_ASIGNATURAS!$B$2:$J$91,9,FALSE()),""))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IF(DATOS!$A1871="",0,IF(CONFIG_METADATA!$B$4&lt;&gt;"OR+EX",--(DATOS!$G1871=CONFIG_METADATA!$B$4),IF(DATOS!$G1871="EX",1,IF(DATOS!$G1871="OR",--(COUNTIFS(nNIA,DATOS!$A1871,nCURSO,DATOS!$D1871,nESPEC,DATOS!$E1871,nASIG,DATOS!$I1871,nEVAL,"EX")=0),0))))</f>
      </c>
      <c r="H1871">
        <f>IF(DATOS!$G1871&lt;&gt;"EX",0,--(COUNTIFS(nNIA,DATOS!$A1871,nCURSO,DATOS!$D1871,nESPEC,DATOS!$E1871,nASIG,DATOS!$I1871,nEVAL,"OR")=0))</f>
      </c>
      <c r="I1871">
        <f>IF(DATOS!$I1871="","",IFERROR(VLOOKUP(DATOS!$I1871,CONFIG_ASIGNATURAS!$B$2:$J$91,9,FALSE()),""))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IF(DATOS!$A1872="",0,IF(CONFIG_METADATA!$B$4&lt;&gt;"OR+EX",--(DATOS!$G1872=CONFIG_METADATA!$B$4),IF(DATOS!$G1872="EX",1,IF(DATOS!$G1872="OR",--(COUNTIFS(nNIA,DATOS!$A1872,nCURSO,DATOS!$D1872,nESPEC,DATOS!$E1872,nASIG,DATOS!$I1872,nEVAL,"EX")=0),0))))</f>
      </c>
      <c r="H1872">
        <f>IF(DATOS!$G1872&lt;&gt;"EX",0,--(COUNTIFS(nNIA,DATOS!$A1872,nCURSO,DATOS!$D1872,nESPEC,DATOS!$E1872,nASIG,DATOS!$I1872,nEVAL,"OR")=0))</f>
      </c>
      <c r="I1872">
        <f>IF(DATOS!$I1872="","",IFERROR(VLOOKUP(DATOS!$I1872,CONFIG_ASIGNATURAS!$B$2:$J$91,9,FALSE()),""))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IF(DATOS!$A1873="",0,IF(CONFIG_METADATA!$B$4&lt;&gt;"OR+EX",--(DATOS!$G1873=CONFIG_METADATA!$B$4),IF(DATOS!$G1873="EX",1,IF(DATOS!$G1873="OR",--(COUNTIFS(nNIA,DATOS!$A1873,nCURSO,DATOS!$D1873,nESPEC,DATOS!$E1873,nASIG,DATOS!$I1873,nEVAL,"EX")=0),0))))</f>
      </c>
      <c r="H1873">
        <f>IF(DATOS!$G1873&lt;&gt;"EX",0,--(COUNTIFS(nNIA,DATOS!$A1873,nCURSO,DATOS!$D1873,nESPEC,DATOS!$E1873,nASIG,DATOS!$I1873,nEVAL,"OR")=0))</f>
      </c>
      <c r="I1873">
        <f>IF(DATOS!$I1873="","",IFERROR(VLOOKUP(DATOS!$I1873,CONFIG_ASIGNATURAS!$B$2:$J$91,9,FALSE()),""))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IF(DATOS!$A1874="",0,IF(CONFIG_METADATA!$B$4&lt;&gt;"OR+EX",--(DATOS!$G1874=CONFIG_METADATA!$B$4),IF(DATOS!$G1874="EX",1,IF(DATOS!$G1874="OR",--(COUNTIFS(nNIA,DATOS!$A1874,nCURSO,DATOS!$D1874,nESPEC,DATOS!$E1874,nASIG,DATOS!$I1874,nEVAL,"EX")=0),0))))</f>
      </c>
      <c r="H1874">
        <f>IF(DATOS!$G1874&lt;&gt;"EX",0,--(COUNTIFS(nNIA,DATOS!$A1874,nCURSO,DATOS!$D1874,nESPEC,DATOS!$E1874,nASIG,DATOS!$I1874,nEVAL,"OR")=0))</f>
      </c>
      <c r="I1874">
        <f>IF(DATOS!$I1874="","",IFERROR(VLOOKUP(DATOS!$I1874,CONFIG_ASIGNATURAS!$B$2:$J$91,9,FALSE()),""))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IF(DATOS!$A1875="",0,IF(CONFIG_METADATA!$B$4&lt;&gt;"OR+EX",--(DATOS!$G1875=CONFIG_METADATA!$B$4),IF(DATOS!$G1875="EX",1,IF(DATOS!$G1875="OR",--(COUNTIFS(nNIA,DATOS!$A1875,nCURSO,DATOS!$D1875,nESPEC,DATOS!$E1875,nASIG,DATOS!$I1875,nEVAL,"EX")=0),0))))</f>
      </c>
      <c r="H1875">
        <f>IF(DATOS!$G1875&lt;&gt;"EX",0,--(COUNTIFS(nNIA,DATOS!$A1875,nCURSO,DATOS!$D1875,nESPEC,DATOS!$E1875,nASIG,DATOS!$I1875,nEVAL,"OR")=0))</f>
      </c>
      <c r="I1875">
        <f>IF(DATOS!$I1875="","",IFERROR(VLOOKUP(DATOS!$I1875,CONFIG_ASIGNATURAS!$B$2:$J$91,9,FALSE()),""))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IF(DATOS!$A1876="",0,IF(CONFIG_METADATA!$B$4&lt;&gt;"OR+EX",--(DATOS!$G1876=CONFIG_METADATA!$B$4),IF(DATOS!$G1876="EX",1,IF(DATOS!$G1876="OR",--(COUNTIFS(nNIA,DATOS!$A1876,nCURSO,DATOS!$D1876,nESPEC,DATOS!$E1876,nASIG,DATOS!$I1876,nEVAL,"EX")=0),0))))</f>
      </c>
      <c r="H1876">
        <f>IF(DATOS!$G1876&lt;&gt;"EX",0,--(COUNTIFS(nNIA,DATOS!$A1876,nCURSO,DATOS!$D1876,nESPEC,DATOS!$E1876,nASIG,DATOS!$I1876,nEVAL,"OR")=0))</f>
      </c>
      <c r="I1876">
        <f>IF(DATOS!$I1876="","",IFERROR(VLOOKUP(DATOS!$I1876,CONFIG_ASIGNATURAS!$B$2:$J$91,9,FALSE()),""))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IF(DATOS!$A1877="",0,IF(CONFIG_METADATA!$B$4&lt;&gt;"OR+EX",--(DATOS!$G1877=CONFIG_METADATA!$B$4),IF(DATOS!$G1877="EX",1,IF(DATOS!$G1877="OR",--(COUNTIFS(nNIA,DATOS!$A1877,nCURSO,DATOS!$D1877,nESPEC,DATOS!$E1877,nASIG,DATOS!$I1877,nEVAL,"EX")=0),0))))</f>
      </c>
      <c r="H1877">
        <f>IF(DATOS!$G1877&lt;&gt;"EX",0,--(COUNTIFS(nNIA,DATOS!$A1877,nCURSO,DATOS!$D1877,nESPEC,DATOS!$E1877,nASIG,DATOS!$I1877,nEVAL,"OR")=0))</f>
      </c>
      <c r="I1877">
        <f>IF(DATOS!$I1877="","",IFERROR(VLOOKUP(DATOS!$I1877,CONFIG_ASIGNATURAS!$B$2:$J$91,9,FALSE()),""))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IF(DATOS!$A1878="",0,IF(CONFIG_METADATA!$B$4&lt;&gt;"OR+EX",--(DATOS!$G1878=CONFIG_METADATA!$B$4),IF(DATOS!$G1878="EX",1,IF(DATOS!$G1878="OR",--(COUNTIFS(nNIA,DATOS!$A1878,nCURSO,DATOS!$D1878,nESPEC,DATOS!$E1878,nASIG,DATOS!$I1878,nEVAL,"EX")=0),0))))</f>
      </c>
      <c r="H1878">
        <f>IF(DATOS!$G1878&lt;&gt;"EX",0,--(COUNTIFS(nNIA,DATOS!$A1878,nCURSO,DATOS!$D1878,nESPEC,DATOS!$E1878,nASIG,DATOS!$I1878,nEVAL,"OR")=0))</f>
      </c>
      <c r="I1878">
        <f>IF(DATOS!$I1878="","",IFERROR(VLOOKUP(DATOS!$I1878,CONFIG_ASIGNATURAS!$B$2:$J$91,9,FALSE()),""))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IF(DATOS!$A1879="",0,IF(CONFIG_METADATA!$B$4&lt;&gt;"OR+EX",--(DATOS!$G1879=CONFIG_METADATA!$B$4),IF(DATOS!$G1879="EX",1,IF(DATOS!$G1879="OR",--(COUNTIFS(nNIA,DATOS!$A1879,nCURSO,DATOS!$D1879,nESPEC,DATOS!$E1879,nASIG,DATOS!$I1879,nEVAL,"EX")=0),0))))</f>
      </c>
      <c r="H1879">
        <f>IF(DATOS!$G1879&lt;&gt;"EX",0,--(COUNTIFS(nNIA,DATOS!$A1879,nCURSO,DATOS!$D1879,nESPEC,DATOS!$E1879,nASIG,DATOS!$I1879,nEVAL,"OR")=0))</f>
      </c>
      <c r="I1879">
        <f>IF(DATOS!$I1879="","",IFERROR(VLOOKUP(DATOS!$I1879,CONFIG_ASIGNATURAS!$B$2:$J$91,9,FALSE()),""))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IF(DATOS!$A1880="",0,IF(CONFIG_METADATA!$B$4&lt;&gt;"OR+EX",--(DATOS!$G1880=CONFIG_METADATA!$B$4),IF(DATOS!$G1880="EX",1,IF(DATOS!$G1880="OR",--(COUNTIFS(nNIA,DATOS!$A1880,nCURSO,DATOS!$D1880,nESPEC,DATOS!$E1880,nASIG,DATOS!$I1880,nEVAL,"EX")=0),0))))</f>
      </c>
      <c r="H1880">
        <f>IF(DATOS!$G1880&lt;&gt;"EX",0,--(COUNTIFS(nNIA,DATOS!$A1880,nCURSO,DATOS!$D1880,nESPEC,DATOS!$E1880,nASIG,DATOS!$I1880,nEVAL,"OR")=0))</f>
      </c>
      <c r="I1880">
        <f>IF(DATOS!$I1880="","",IFERROR(VLOOKUP(DATOS!$I1880,CONFIG_ASIGNATURAS!$B$2:$J$91,9,FALSE()),""))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IF(DATOS!$A1881="",0,IF(CONFIG_METADATA!$B$4&lt;&gt;"OR+EX",--(DATOS!$G1881=CONFIG_METADATA!$B$4),IF(DATOS!$G1881="EX",1,IF(DATOS!$G1881="OR",--(COUNTIFS(nNIA,DATOS!$A1881,nCURSO,DATOS!$D1881,nESPEC,DATOS!$E1881,nASIG,DATOS!$I1881,nEVAL,"EX")=0),0))))</f>
      </c>
      <c r="H1881">
        <f>IF(DATOS!$G1881&lt;&gt;"EX",0,--(COUNTIFS(nNIA,DATOS!$A1881,nCURSO,DATOS!$D1881,nESPEC,DATOS!$E1881,nASIG,DATOS!$I1881,nEVAL,"OR")=0))</f>
      </c>
      <c r="I1881">
        <f>IF(DATOS!$I1881="","",IFERROR(VLOOKUP(DATOS!$I1881,CONFIG_ASIGNATURAS!$B$2:$J$91,9,FALSE()),""))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IF(DATOS!$A1882="",0,IF(CONFIG_METADATA!$B$4&lt;&gt;"OR+EX",--(DATOS!$G1882=CONFIG_METADATA!$B$4),IF(DATOS!$G1882="EX",1,IF(DATOS!$G1882="OR",--(COUNTIFS(nNIA,DATOS!$A1882,nCURSO,DATOS!$D1882,nESPEC,DATOS!$E1882,nASIG,DATOS!$I1882,nEVAL,"EX")=0),0))))</f>
      </c>
      <c r="H1882">
        <f>IF(DATOS!$G1882&lt;&gt;"EX",0,--(COUNTIFS(nNIA,DATOS!$A1882,nCURSO,DATOS!$D1882,nESPEC,DATOS!$E1882,nASIG,DATOS!$I1882,nEVAL,"OR")=0))</f>
      </c>
      <c r="I1882">
        <f>IF(DATOS!$I1882="","",IFERROR(VLOOKUP(DATOS!$I1882,CONFIG_ASIGNATURAS!$B$2:$J$91,9,FALSE()),""))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IF(DATOS!$A1883="",0,IF(CONFIG_METADATA!$B$4&lt;&gt;"OR+EX",--(DATOS!$G1883=CONFIG_METADATA!$B$4),IF(DATOS!$G1883="EX",1,IF(DATOS!$G1883="OR",--(COUNTIFS(nNIA,DATOS!$A1883,nCURSO,DATOS!$D1883,nESPEC,DATOS!$E1883,nASIG,DATOS!$I1883,nEVAL,"EX")=0),0))))</f>
      </c>
      <c r="H1883">
        <f>IF(DATOS!$G1883&lt;&gt;"EX",0,--(COUNTIFS(nNIA,DATOS!$A1883,nCURSO,DATOS!$D1883,nESPEC,DATOS!$E1883,nASIG,DATOS!$I1883,nEVAL,"OR")=0))</f>
      </c>
      <c r="I1883">
        <f>IF(DATOS!$I1883="","",IFERROR(VLOOKUP(DATOS!$I1883,CONFIG_ASIGNATURAS!$B$2:$J$91,9,FALSE()),""))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IF(DATOS!$A1884="",0,IF(CONFIG_METADATA!$B$4&lt;&gt;"OR+EX",--(DATOS!$G1884=CONFIG_METADATA!$B$4),IF(DATOS!$G1884="EX",1,IF(DATOS!$G1884="OR",--(COUNTIFS(nNIA,DATOS!$A1884,nCURSO,DATOS!$D1884,nESPEC,DATOS!$E1884,nASIG,DATOS!$I1884,nEVAL,"EX")=0),0))))</f>
      </c>
      <c r="H1884">
        <f>IF(DATOS!$G1884&lt;&gt;"EX",0,--(COUNTIFS(nNIA,DATOS!$A1884,nCURSO,DATOS!$D1884,nESPEC,DATOS!$E1884,nASIG,DATOS!$I1884,nEVAL,"OR")=0))</f>
      </c>
      <c r="I1884">
        <f>IF(DATOS!$I1884="","",IFERROR(VLOOKUP(DATOS!$I1884,CONFIG_ASIGNATURAS!$B$2:$J$91,9,FALSE()),""))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IF(DATOS!$A1885="",0,IF(CONFIG_METADATA!$B$4&lt;&gt;"OR+EX",--(DATOS!$G1885=CONFIG_METADATA!$B$4),IF(DATOS!$G1885="EX",1,IF(DATOS!$G1885="OR",--(COUNTIFS(nNIA,DATOS!$A1885,nCURSO,DATOS!$D1885,nESPEC,DATOS!$E1885,nASIG,DATOS!$I1885,nEVAL,"EX")=0),0))))</f>
      </c>
      <c r="H1885">
        <f>IF(DATOS!$G1885&lt;&gt;"EX",0,--(COUNTIFS(nNIA,DATOS!$A1885,nCURSO,DATOS!$D1885,nESPEC,DATOS!$E1885,nASIG,DATOS!$I1885,nEVAL,"OR")=0))</f>
      </c>
      <c r="I1885">
        <f>IF(DATOS!$I1885="","",IFERROR(VLOOKUP(DATOS!$I1885,CONFIG_ASIGNATURAS!$B$2:$J$91,9,FALSE()),""))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IF(DATOS!$A1886="",0,IF(CONFIG_METADATA!$B$4&lt;&gt;"OR+EX",--(DATOS!$G1886=CONFIG_METADATA!$B$4),IF(DATOS!$G1886="EX",1,IF(DATOS!$G1886="OR",--(COUNTIFS(nNIA,DATOS!$A1886,nCURSO,DATOS!$D1886,nESPEC,DATOS!$E1886,nASIG,DATOS!$I1886,nEVAL,"EX")=0),0))))</f>
      </c>
      <c r="H1886">
        <f>IF(DATOS!$G1886&lt;&gt;"EX",0,--(COUNTIFS(nNIA,DATOS!$A1886,nCURSO,DATOS!$D1886,nESPEC,DATOS!$E1886,nASIG,DATOS!$I1886,nEVAL,"OR")=0))</f>
      </c>
      <c r="I1886">
        <f>IF(DATOS!$I1886="","",IFERROR(VLOOKUP(DATOS!$I1886,CONFIG_ASIGNATURAS!$B$2:$J$91,9,FALSE()),""))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IF(DATOS!$A1887="",0,IF(CONFIG_METADATA!$B$4&lt;&gt;"OR+EX",--(DATOS!$G1887=CONFIG_METADATA!$B$4),IF(DATOS!$G1887="EX",1,IF(DATOS!$G1887="OR",--(COUNTIFS(nNIA,DATOS!$A1887,nCURSO,DATOS!$D1887,nESPEC,DATOS!$E1887,nASIG,DATOS!$I1887,nEVAL,"EX")=0),0))))</f>
      </c>
      <c r="H1887">
        <f>IF(DATOS!$G1887&lt;&gt;"EX",0,--(COUNTIFS(nNIA,DATOS!$A1887,nCURSO,DATOS!$D1887,nESPEC,DATOS!$E1887,nASIG,DATOS!$I1887,nEVAL,"OR")=0))</f>
      </c>
      <c r="I1887">
        <f>IF(DATOS!$I1887="","",IFERROR(VLOOKUP(DATOS!$I1887,CONFIG_ASIGNATURAS!$B$2:$J$91,9,FALSE()),""))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IF(DATOS!$A1888="",0,IF(CONFIG_METADATA!$B$4&lt;&gt;"OR+EX",--(DATOS!$G1888=CONFIG_METADATA!$B$4),IF(DATOS!$G1888="EX",1,IF(DATOS!$G1888="OR",--(COUNTIFS(nNIA,DATOS!$A1888,nCURSO,DATOS!$D1888,nESPEC,DATOS!$E1888,nASIG,DATOS!$I1888,nEVAL,"EX")=0),0))))</f>
      </c>
      <c r="H1888">
        <f>IF(DATOS!$G1888&lt;&gt;"EX",0,--(COUNTIFS(nNIA,DATOS!$A1888,nCURSO,DATOS!$D1888,nESPEC,DATOS!$E1888,nASIG,DATOS!$I1888,nEVAL,"OR")=0))</f>
      </c>
      <c r="I1888">
        <f>IF(DATOS!$I1888="","",IFERROR(VLOOKUP(DATOS!$I1888,CONFIG_ASIGNATURAS!$B$2:$J$91,9,FALSE()),""))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IF(DATOS!$A1889="",0,IF(CONFIG_METADATA!$B$4&lt;&gt;"OR+EX",--(DATOS!$G1889=CONFIG_METADATA!$B$4),IF(DATOS!$G1889="EX",1,IF(DATOS!$G1889="OR",--(COUNTIFS(nNIA,DATOS!$A1889,nCURSO,DATOS!$D1889,nESPEC,DATOS!$E1889,nASIG,DATOS!$I1889,nEVAL,"EX")=0),0))))</f>
      </c>
      <c r="H1889">
        <f>IF(DATOS!$G1889&lt;&gt;"EX",0,--(COUNTIFS(nNIA,DATOS!$A1889,nCURSO,DATOS!$D1889,nESPEC,DATOS!$E1889,nASIG,DATOS!$I1889,nEVAL,"OR")=0))</f>
      </c>
      <c r="I1889">
        <f>IF(DATOS!$I1889="","",IFERROR(VLOOKUP(DATOS!$I1889,CONFIG_ASIGNATURAS!$B$2:$J$91,9,FALSE()),""))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IF(DATOS!$A1890="",0,IF(CONFIG_METADATA!$B$4&lt;&gt;"OR+EX",--(DATOS!$G1890=CONFIG_METADATA!$B$4),IF(DATOS!$G1890="EX",1,IF(DATOS!$G1890="OR",--(COUNTIFS(nNIA,DATOS!$A1890,nCURSO,DATOS!$D1890,nESPEC,DATOS!$E1890,nASIG,DATOS!$I1890,nEVAL,"EX")=0),0))))</f>
      </c>
      <c r="H1890">
        <f>IF(DATOS!$G1890&lt;&gt;"EX",0,--(COUNTIFS(nNIA,DATOS!$A1890,nCURSO,DATOS!$D1890,nESPEC,DATOS!$E1890,nASIG,DATOS!$I1890,nEVAL,"OR")=0))</f>
      </c>
      <c r="I1890">
        <f>IF(DATOS!$I1890="","",IFERROR(VLOOKUP(DATOS!$I1890,CONFIG_ASIGNATURAS!$B$2:$J$91,9,FALSE()),""))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IF(DATOS!$A1891="",0,IF(CONFIG_METADATA!$B$4&lt;&gt;"OR+EX",--(DATOS!$G1891=CONFIG_METADATA!$B$4),IF(DATOS!$G1891="EX",1,IF(DATOS!$G1891="OR",--(COUNTIFS(nNIA,DATOS!$A1891,nCURSO,DATOS!$D1891,nESPEC,DATOS!$E1891,nASIG,DATOS!$I1891,nEVAL,"EX")=0),0))))</f>
      </c>
      <c r="H1891">
        <f>IF(DATOS!$G1891&lt;&gt;"EX",0,--(COUNTIFS(nNIA,DATOS!$A1891,nCURSO,DATOS!$D1891,nESPEC,DATOS!$E1891,nASIG,DATOS!$I1891,nEVAL,"OR")=0))</f>
      </c>
      <c r="I1891">
        <f>IF(DATOS!$I1891="","",IFERROR(VLOOKUP(DATOS!$I1891,CONFIG_ASIGNATURAS!$B$2:$J$91,9,FALSE()),""))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IF(DATOS!$A1892="",0,IF(CONFIG_METADATA!$B$4&lt;&gt;"OR+EX",--(DATOS!$G1892=CONFIG_METADATA!$B$4),IF(DATOS!$G1892="EX",1,IF(DATOS!$G1892="OR",--(COUNTIFS(nNIA,DATOS!$A1892,nCURSO,DATOS!$D1892,nESPEC,DATOS!$E1892,nASIG,DATOS!$I1892,nEVAL,"EX")=0),0))))</f>
      </c>
      <c r="H1892">
        <f>IF(DATOS!$G1892&lt;&gt;"EX",0,--(COUNTIFS(nNIA,DATOS!$A1892,nCURSO,DATOS!$D1892,nESPEC,DATOS!$E1892,nASIG,DATOS!$I1892,nEVAL,"OR")=0))</f>
      </c>
      <c r="I1892">
        <f>IF(DATOS!$I1892="","",IFERROR(VLOOKUP(DATOS!$I1892,CONFIG_ASIGNATURAS!$B$2:$J$91,9,FALSE()),""))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IF(DATOS!$A1893="",0,IF(CONFIG_METADATA!$B$4&lt;&gt;"OR+EX",--(DATOS!$G1893=CONFIG_METADATA!$B$4),IF(DATOS!$G1893="EX",1,IF(DATOS!$G1893="OR",--(COUNTIFS(nNIA,DATOS!$A1893,nCURSO,DATOS!$D1893,nESPEC,DATOS!$E1893,nASIG,DATOS!$I1893,nEVAL,"EX")=0),0))))</f>
      </c>
      <c r="H1893">
        <f>IF(DATOS!$G1893&lt;&gt;"EX",0,--(COUNTIFS(nNIA,DATOS!$A1893,nCURSO,DATOS!$D1893,nESPEC,DATOS!$E1893,nASIG,DATOS!$I1893,nEVAL,"OR")=0))</f>
      </c>
      <c r="I1893">
        <f>IF(DATOS!$I1893="","",IFERROR(VLOOKUP(DATOS!$I1893,CONFIG_ASIGNATURAS!$B$2:$J$91,9,FALSE()),""))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IF(DATOS!$A1894="",0,IF(CONFIG_METADATA!$B$4&lt;&gt;"OR+EX",--(DATOS!$G1894=CONFIG_METADATA!$B$4),IF(DATOS!$G1894="EX",1,IF(DATOS!$G1894="OR",--(COUNTIFS(nNIA,DATOS!$A1894,nCURSO,DATOS!$D1894,nESPEC,DATOS!$E1894,nASIG,DATOS!$I1894,nEVAL,"EX")=0),0))))</f>
      </c>
      <c r="H1894">
        <f>IF(DATOS!$G1894&lt;&gt;"EX",0,--(COUNTIFS(nNIA,DATOS!$A1894,nCURSO,DATOS!$D1894,nESPEC,DATOS!$E1894,nASIG,DATOS!$I1894,nEVAL,"OR")=0))</f>
      </c>
      <c r="I1894">
        <f>IF(DATOS!$I1894="","",IFERROR(VLOOKUP(DATOS!$I1894,CONFIG_ASIGNATURAS!$B$2:$J$91,9,FALSE()),""))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IF(DATOS!$A1895="",0,IF(CONFIG_METADATA!$B$4&lt;&gt;"OR+EX",--(DATOS!$G1895=CONFIG_METADATA!$B$4),IF(DATOS!$G1895="EX",1,IF(DATOS!$G1895="OR",--(COUNTIFS(nNIA,DATOS!$A1895,nCURSO,DATOS!$D1895,nESPEC,DATOS!$E1895,nASIG,DATOS!$I1895,nEVAL,"EX")=0),0))))</f>
      </c>
      <c r="H1895">
        <f>IF(DATOS!$G1895&lt;&gt;"EX",0,--(COUNTIFS(nNIA,DATOS!$A1895,nCURSO,DATOS!$D1895,nESPEC,DATOS!$E1895,nASIG,DATOS!$I1895,nEVAL,"OR")=0))</f>
      </c>
      <c r="I1895">
        <f>IF(DATOS!$I1895="","",IFERROR(VLOOKUP(DATOS!$I1895,CONFIG_ASIGNATURAS!$B$2:$J$91,9,FALSE()),""))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IF(DATOS!$A1896="",0,IF(CONFIG_METADATA!$B$4&lt;&gt;"OR+EX",--(DATOS!$G1896=CONFIG_METADATA!$B$4),IF(DATOS!$G1896="EX",1,IF(DATOS!$G1896="OR",--(COUNTIFS(nNIA,DATOS!$A1896,nCURSO,DATOS!$D1896,nESPEC,DATOS!$E1896,nASIG,DATOS!$I1896,nEVAL,"EX")=0),0))))</f>
      </c>
      <c r="H1896">
        <f>IF(DATOS!$G1896&lt;&gt;"EX",0,--(COUNTIFS(nNIA,DATOS!$A1896,nCURSO,DATOS!$D1896,nESPEC,DATOS!$E1896,nASIG,DATOS!$I1896,nEVAL,"OR")=0))</f>
      </c>
      <c r="I1896">
        <f>IF(DATOS!$I1896="","",IFERROR(VLOOKUP(DATOS!$I1896,CONFIG_ASIGNATURAS!$B$2:$J$91,9,FALSE()),""))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IF(DATOS!$A1897="",0,IF(CONFIG_METADATA!$B$4&lt;&gt;"OR+EX",--(DATOS!$G1897=CONFIG_METADATA!$B$4),IF(DATOS!$G1897="EX",1,IF(DATOS!$G1897="OR",--(COUNTIFS(nNIA,DATOS!$A1897,nCURSO,DATOS!$D1897,nESPEC,DATOS!$E1897,nASIG,DATOS!$I1897,nEVAL,"EX")=0),0))))</f>
      </c>
      <c r="H1897">
        <f>IF(DATOS!$G1897&lt;&gt;"EX",0,--(COUNTIFS(nNIA,DATOS!$A1897,nCURSO,DATOS!$D1897,nESPEC,DATOS!$E1897,nASIG,DATOS!$I1897,nEVAL,"OR")=0))</f>
      </c>
      <c r="I1897">
        <f>IF(DATOS!$I1897="","",IFERROR(VLOOKUP(DATOS!$I1897,CONFIG_ASIGNATURAS!$B$2:$J$91,9,FALSE()),""))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IF(DATOS!$A1898="",0,IF(CONFIG_METADATA!$B$4&lt;&gt;"OR+EX",--(DATOS!$G1898=CONFIG_METADATA!$B$4),IF(DATOS!$G1898="EX",1,IF(DATOS!$G1898="OR",--(COUNTIFS(nNIA,DATOS!$A1898,nCURSO,DATOS!$D1898,nESPEC,DATOS!$E1898,nASIG,DATOS!$I1898,nEVAL,"EX")=0),0))))</f>
      </c>
      <c r="H1898">
        <f>IF(DATOS!$G1898&lt;&gt;"EX",0,--(COUNTIFS(nNIA,DATOS!$A1898,nCURSO,DATOS!$D1898,nESPEC,DATOS!$E1898,nASIG,DATOS!$I1898,nEVAL,"OR")=0))</f>
      </c>
      <c r="I1898">
        <f>IF(DATOS!$I1898="","",IFERROR(VLOOKUP(DATOS!$I1898,CONFIG_ASIGNATURAS!$B$2:$J$91,9,FALSE()),""))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IF(DATOS!$A1899="",0,IF(CONFIG_METADATA!$B$4&lt;&gt;"OR+EX",--(DATOS!$G1899=CONFIG_METADATA!$B$4),IF(DATOS!$G1899="EX",1,IF(DATOS!$G1899="OR",--(COUNTIFS(nNIA,DATOS!$A1899,nCURSO,DATOS!$D1899,nESPEC,DATOS!$E1899,nASIG,DATOS!$I1899,nEVAL,"EX")=0),0))))</f>
      </c>
      <c r="H1899">
        <f>IF(DATOS!$G1899&lt;&gt;"EX",0,--(COUNTIFS(nNIA,DATOS!$A1899,nCURSO,DATOS!$D1899,nESPEC,DATOS!$E1899,nASIG,DATOS!$I1899,nEVAL,"OR")=0))</f>
      </c>
      <c r="I1899">
        <f>IF(DATOS!$I1899="","",IFERROR(VLOOKUP(DATOS!$I1899,CONFIG_ASIGNATURAS!$B$2:$J$91,9,FALSE()),""))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IF(DATOS!$A1900="",0,IF(CONFIG_METADATA!$B$4&lt;&gt;"OR+EX",--(DATOS!$G1900=CONFIG_METADATA!$B$4),IF(DATOS!$G1900="EX",1,IF(DATOS!$G1900="OR",--(COUNTIFS(nNIA,DATOS!$A1900,nCURSO,DATOS!$D1900,nESPEC,DATOS!$E1900,nASIG,DATOS!$I1900,nEVAL,"EX")=0),0))))</f>
      </c>
      <c r="H1900">
        <f>IF(DATOS!$G1900&lt;&gt;"EX",0,--(COUNTIFS(nNIA,DATOS!$A1900,nCURSO,DATOS!$D1900,nESPEC,DATOS!$E1900,nASIG,DATOS!$I1900,nEVAL,"OR")=0))</f>
      </c>
      <c r="I1900">
        <f>IF(DATOS!$I1900="","",IFERROR(VLOOKUP(DATOS!$I1900,CONFIG_ASIGNATURAS!$B$2:$J$91,9,FALSE()),""))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IF(DATOS!$A1901="",0,IF(CONFIG_METADATA!$B$4&lt;&gt;"OR+EX",--(DATOS!$G1901=CONFIG_METADATA!$B$4),IF(DATOS!$G1901="EX",1,IF(DATOS!$G1901="OR",--(COUNTIFS(nNIA,DATOS!$A1901,nCURSO,DATOS!$D1901,nESPEC,DATOS!$E1901,nASIG,DATOS!$I1901,nEVAL,"EX")=0),0))))</f>
      </c>
      <c r="H1901">
        <f>IF(DATOS!$G1901&lt;&gt;"EX",0,--(COUNTIFS(nNIA,DATOS!$A1901,nCURSO,DATOS!$D1901,nESPEC,DATOS!$E1901,nASIG,DATOS!$I1901,nEVAL,"OR")=0))</f>
      </c>
      <c r="I1901">
        <f>IF(DATOS!$I1901="","",IFERROR(VLOOKUP(DATOS!$I1901,CONFIG_ASIGNATURAS!$B$2:$J$91,9,FALSE()),""))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IF(DATOS!$A1902="",0,IF(CONFIG_METADATA!$B$4&lt;&gt;"OR+EX",--(DATOS!$G1902=CONFIG_METADATA!$B$4),IF(DATOS!$G1902="EX",1,IF(DATOS!$G1902="OR",--(COUNTIFS(nNIA,DATOS!$A1902,nCURSO,DATOS!$D1902,nESPEC,DATOS!$E1902,nASIG,DATOS!$I1902,nEVAL,"EX")=0),0))))</f>
      </c>
      <c r="H1902">
        <f>IF(DATOS!$G1902&lt;&gt;"EX",0,--(COUNTIFS(nNIA,DATOS!$A1902,nCURSO,DATOS!$D1902,nESPEC,DATOS!$E1902,nASIG,DATOS!$I1902,nEVAL,"OR")=0))</f>
      </c>
      <c r="I1902">
        <f>IF(DATOS!$I1902="","",IFERROR(VLOOKUP(DATOS!$I1902,CONFIG_ASIGNATURAS!$B$2:$J$91,9,FALSE()),""))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IF(DATOS!$A1903="",0,IF(CONFIG_METADATA!$B$4&lt;&gt;"OR+EX",--(DATOS!$G1903=CONFIG_METADATA!$B$4),IF(DATOS!$G1903="EX",1,IF(DATOS!$G1903="OR",--(COUNTIFS(nNIA,DATOS!$A1903,nCURSO,DATOS!$D1903,nESPEC,DATOS!$E1903,nASIG,DATOS!$I1903,nEVAL,"EX")=0),0))))</f>
      </c>
      <c r="H1903">
        <f>IF(DATOS!$G1903&lt;&gt;"EX",0,--(COUNTIFS(nNIA,DATOS!$A1903,nCURSO,DATOS!$D1903,nESPEC,DATOS!$E1903,nASIG,DATOS!$I1903,nEVAL,"OR")=0))</f>
      </c>
      <c r="I1903">
        <f>IF(DATOS!$I1903="","",IFERROR(VLOOKUP(DATOS!$I1903,CONFIG_ASIGNATURAS!$B$2:$J$91,9,FALSE()),""))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IF(DATOS!$A1904="",0,IF(CONFIG_METADATA!$B$4&lt;&gt;"OR+EX",--(DATOS!$G1904=CONFIG_METADATA!$B$4),IF(DATOS!$G1904="EX",1,IF(DATOS!$G1904="OR",--(COUNTIFS(nNIA,DATOS!$A1904,nCURSO,DATOS!$D1904,nESPEC,DATOS!$E1904,nASIG,DATOS!$I1904,nEVAL,"EX")=0),0))))</f>
      </c>
      <c r="H1904">
        <f>IF(DATOS!$G1904&lt;&gt;"EX",0,--(COUNTIFS(nNIA,DATOS!$A1904,nCURSO,DATOS!$D1904,nESPEC,DATOS!$E1904,nASIG,DATOS!$I1904,nEVAL,"OR")=0))</f>
      </c>
      <c r="I1904">
        <f>IF(DATOS!$I1904="","",IFERROR(VLOOKUP(DATOS!$I1904,CONFIG_ASIGNATURAS!$B$2:$J$91,9,FALSE()),""))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IF(DATOS!$A1905="",0,IF(CONFIG_METADATA!$B$4&lt;&gt;"OR+EX",--(DATOS!$G1905=CONFIG_METADATA!$B$4),IF(DATOS!$G1905="EX",1,IF(DATOS!$G1905="OR",--(COUNTIFS(nNIA,DATOS!$A1905,nCURSO,DATOS!$D1905,nESPEC,DATOS!$E1905,nASIG,DATOS!$I1905,nEVAL,"EX")=0),0))))</f>
      </c>
      <c r="H1905">
        <f>IF(DATOS!$G1905&lt;&gt;"EX",0,--(COUNTIFS(nNIA,DATOS!$A1905,nCURSO,DATOS!$D1905,nESPEC,DATOS!$E1905,nASIG,DATOS!$I1905,nEVAL,"OR")=0))</f>
      </c>
      <c r="I1905">
        <f>IF(DATOS!$I1905="","",IFERROR(VLOOKUP(DATOS!$I1905,CONFIG_ASIGNATURAS!$B$2:$J$91,9,FALSE()),""))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IF(DATOS!$A1906="",0,IF(CONFIG_METADATA!$B$4&lt;&gt;"OR+EX",--(DATOS!$G1906=CONFIG_METADATA!$B$4),IF(DATOS!$G1906="EX",1,IF(DATOS!$G1906="OR",--(COUNTIFS(nNIA,DATOS!$A1906,nCURSO,DATOS!$D1906,nESPEC,DATOS!$E1906,nASIG,DATOS!$I1906,nEVAL,"EX")=0),0))))</f>
      </c>
      <c r="H1906">
        <f>IF(DATOS!$G1906&lt;&gt;"EX",0,--(COUNTIFS(nNIA,DATOS!$A1906,nCURSO,DATOS!$D1906,nESPEC,DATOS!$E1906,nASIG,DATOS!$I1906,nEVAL,"OR")=0))</f>
      </c>
      <c r="I1906">
        <f>IF(DATOS!$I1906="","",IFERROR(VLOOKUP(DATOS!$I1906,CONFIG_ASIGNATURAS!$B$2:$J$91,9,FALSE()),""))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IF(DATOS!$A1907="",0,IF(CONFIG_METADATA!$B$4&lt;&gt;"OR+EX",--(DATOS!$G1907=CONFIG_METADATA!$B$4),IF(DATOS!$G1907="EX",1,IF(DATOS!$G1907="OR",--(COUNTIFS(nNIA,DATOS!$A1907,nCURSO,DATOS!$D1907,nESPEC,DATOS!$E1907,nASIG,DATOS!$I1907,nEVAL,"EX")=0),0))))</f>
      </c>
      <c r="H1907">
        <f>IF(DATOS!$G1907&lt;&gt;"EX",0,--(COUNTIFS(nNIA,DATOS!$A1907,nCURSO,DATOS!$D1907,nESPEC,DATOS!$E1907,nASIG,DATOS!$I1907,nEVAL,"OR")=0))</f>
      </c>
      <c r="I1907">
        <f>IF(DATOS!$I1907="","",IFERROR(VLOOKUP(DATOS!$I1907,CONFIG_ASIGNATURAS!$B$2:$J$91,9,FALSE()),""))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IF(DATOS!$A1908="",0,IF(CONFIG_METADATA!$B$4&lt;&gt;"OR+EX",--(DATOS!$G1908=CONFIG_METADATA!$B$4),IF(DATOS!$G1908="EX",1,IF(DATOS!$G1908="OR",--(COUNTIFS(nNIA,DATOS!$A1908,nCURSO,DATOS!$D1908,nESPEC,DATOS!$E1908,nASIG,DATOS!$I1908,nEVAL,"EX")=0),0))))</f>
      </c>
      <c r="H1908">
        <f>IF(DATOS!$G1908&lt;&gt;"EX",0,--(COUNTIFS(nNIA,DATOS!$A1908,nCURSO,DATOS!$D1908,nESPEC,DATOS!$E1908,nASIG,DATOS!$I1908,nEVAL,"OR")=0))</f>
      </c>
      <c r="I1908">
        <f>IF(DATOS!$I1908="","",IFERROR(VLOOKUP(DATOS!$I1908,CONFIG_ASIGNATURAS!$B$2:$J$91,9,FALSE()),""))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IF(DATOS!$A1909="",0,IF(CONFIG_METADATA!$B$4&lt;&gt;"OR+EX",--(DATOS!$G1909=CONFIG_METADATA!$B$4),IF(DATOS!$G1909="EX",1,IF(DATOS!$G1909="OR",--(COUNTIFS(nNIA,DATOS!$A1909,nCURSO,DATOS!$D1909,nESPEC,DATOS!$E1909,nASIG,DATOS!$I1909,nEVAL,"EX")=0),0))))</f>
      </c>
      <c r="H1909">
        <f>IF(DATOS!$G1909&lt;&gt;"EX",0,--(COUNTIFS(nNIA,DATOS!$A1909,nCURSO,DATOS!$D1909,nESPEC,DATOS!$E1909,nASIG,DATOS!$I1909,nEVAL,"OR")=0))</f>
      </c>
      <c r="I1909">
        <f>IF(DATOS!$I1909="","",IFERROR(VLOOKUP(DATOS!$I1909,CONFIG_ASIGNATURAS!$B$2:$J$91,9,FALSE()),""))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IF(DATOS!$A1910="",0,IF(CONFIG_METADATA!$B$4&lt;&gt;"OR+EX",--(DATOS!$G1910=CONFIG_METADATA!$B$4),IF(DATOS!$G1910="EX",1,IF(DATOS!$G1910="OR",--(COUNTIFS(nNIA,DATOS!$A1910,nCURSO,DATOS!$D1910,nESPEC,DATOS!$E1910,nASIG,DATOS!$I1910,nEVAL,"EX")=0),0))))</f>
      </c>
      <c r="H1910">
        <f>IF(DATOS!$G1910&lt;&gt;"EX",0,--(COUNTIFS(nNIA,DATOS!$A1910,nCURSO,DATOS!$D1910,nESPEC,DATOS!$E1910,nASIG,DATOS!$I1910,nEVAL,"OR")=0))</f>
      </c>
      <c r="I1910">
        <f>IF(DATOS!$I1910="","",IFERROR(VLOOKUP(DATOS!$I1910,CONFIG_ASIGNATURAS!$B$2:$J$91,9,FALSE()),""))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IF(DATOS!$A1911="",0,IF(CONFIG_METADATA!$B$4&lt;&gt;"OR+EX",--(DATOS!$G1911=CONFIG_METADATA!$B$4),IF(DATOS!$G1911="EX",1,IF(DATOS!$G1911="OR",--(COUNTIFS(nNIA,DATOS!$A1911,nCURSO,DATOS!$D1911,nESPEC,DATOS!$E1911,nASIG,DATOS!$I1911,nEVAL,"EX")=0),0))))</f>
      </c>
      <c r="H1911">
        <f>IF(DATOS!$G1911&lt;&gt;"EX",0,--(COUNTIFS(nNIA,DATOS!$A1911,nCURSO,DATOS!$D1911,nESPEC,DATOS!$E1911,nASIG,DATOS!$I1911,nEVAL,"OR")=0))</f>
      </c>
      <c r="I1911">
        <f>IF(DATOS!$I1911="","",IFERROR(VLOOKUP(DATOS!$I1911,CONFIG_ASIGNATURAS!$B$2:$J$91,9,FALSE()),""))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IF(DATOS!$A1912="",0,IF(CONFIG_METADATA!$B$4&lt;&gt;"OR+EX",--(DATOS!$G1912=CONFIG_METADATA!$B$4),IF(DATOS!$G1912="EX",1,IF(DATOS!$G1912="OR",--(COUNTIFS(nNIA,DATOS!$A1912,nCURSO,DATOS!$D1912,nESPEC,DATOS!$E1912,nASIG,DATOS!$I1912,nEVAL,"EX")=0),0))))</f>
      </c>
      <c r="H1912">
        <f>IF(DATOS!$G1912&lt;&gt;"EX",0,--(COUNTIFS(nNIA,DATOS!$A1912,nCURSO,DATOS!$D1912,nESPEC,DATOS!$E1912,nASIG,DATOS!$I1912,nEVAL,"OR")=0))</f>
      </c>
      <c r="I1912">
        <f>IF(DATOS!$I1912="","",IFERROR(VLOOKUP(DATOS!$I1912,CONFIG_ASIGNATURAS!$B$2:$J$91,9,FALSE()),""))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IF(DATOS!$A1913="",0,IF(CONFIG_METADATA!$B$4&lt;&gt;"OR+EX",--(DATOS!$G1913=CONFIG_METADATA!$B$4),IF(DATOS!$G1913="EX",1,IF(DATOS!$G1913="OR",--(COUNTIFS(nNIA,DATOS!$A1913,nCURSO,DATOS!$D1913,nESPEC,DATOS!$E1913,nASIG,DATOS!$I1913,nEVAL,"EX")=0),0))))</f>
      </c>
      <c r="H1913">
        <f>IF(DATOS!$G1913&lt;&gt;"EX",0,--(COUNTIFS(nNIA,DATOS!$A1913,nCURSO,DATOS!$D1913,nESPEC,DATOS!$E1913,nASIG,DATOS!$I1913,nEVAL,"OR")=0))</f>
      </c>
      <c r="I1913">
        <f>IF(DATOS!$I1913="","",IFERROR(VLOOKUP(DATOS!$I1913,CONFIG_ASIGNATURAS!$B$2:$J$91,9,FALSE()),""))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IF(DATOS!$A1914="",0,IF(CONFIG_METADATA!$B$4&lt;&gt;"OR+EX",--(DATOS!$G1914=CONFIG_METADATA!$B$4),IF(DATOS!$G1914="EX",1,IF(DATOS!$G1914="OR",--(COUNTIFS(nNIA,DATOS!$A1914,nCURSO,DATOS!$D1914,nESPEC,DATOS!$E1914,nASIG,DATOS!$I1914,nEVAL,"EX")=0),0))))</f>
      </c>
      <c r="H1914">
        <f>IF(DATOS!$G1914&lt;&gt;"EX",0,--(COUNTIFS(nNIA,DATOS!$A1914,nCURSO,DATOS!$D1914,nESPEC,DATOS!$E1914,nASIG,DATOS!$I1914,nEVAL,"OR")=0))</f>
      </c>
      <c r="I1914">
        <f>IF(DATOS!$I1914="","",IFERROR(VLOOKUP(DATOS!$I1914,CONFIG_ASIGNATURAS!$B$2:$J$91,9,FALSE()),""))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IF(DATOS!$A1915="",0,IF(CONFIG_METADATA!$B$4&lt;&gt;"OR+EX",--(DATOS!$G1915=CONFIG_METADATA!$B$4),IF(DATOS!$G1915="EX",1,IF(DATOS!$G1915="OR",--(COUNTIFS(nNIA,DATOS!$A1915,nCURSO,DATOS!$D1915,nESPEC,DATOS!$E1915,nASIG,DATOS!$I1915,nEVAL,"EX")=0),0))))</f>
      </c>
      <c r="H1915">
        <f>IF(DATOS!$G1915&lt;&gt;"EX",0,--(COUNTIFS(nNIA,DATOS!$A1915,nCURSO,DATOS!$D1915,nESPEC,DATOS!$E1915,nASIG,DATOS!$I1915,nEVAL,"OR")=0))</f>
      </c>
      <c r="I1915">
        <f>IF(DATOS!$I1915="","",IFERROR(VLOOKUP(DATOS!$I1915,CONFIG_ASIGNATURAS!$B$2:$J$91,9,FALSE()),""))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IF(DATOS!$A1916="",0,IF(CONFIG_METADATA!$B$4&lt;&gt;"OR+EX",--(DATOS!$G1916=CONFIG_METADATA!$B$4),IF(DATOS!$G1916="EX",1,IF(DATOS!$G1916="OR",--(COUNTIFS(nNIA,DATOS!$A1916,nCURSO,DATOS!$D1916,nESPEC,DATOS!$E1916,nASIG,DATOS!$I1916,nEVAL,"EX")=0),0))))</f>
      </c>
      <c r="H1916">
        <f>IF(DATOS!$G1916&lt;&gt;"EX",0,--(COUNTIFS(nNIA,DATOS!$A1916,nCURSO,DATOS!$D1916,nESPEC,DATOS!$E1916,nASIG,DATOS!$I1916,nEVAL,"OR")=0))</f>
      </c>
      <c r="I1916">
        <f>IF(DATOS!$I1916="","",IFERROR(VLOOKUP(DATOS!$I1916,CONFIG_ASIGNATURAS!$B$2:$J$91,9,FALSE()),""))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IF(DATOS!$A1917="",0,IF(CONFIG_METADATA!$B$4&lt;&gt;"OR+EX",--(DATOS!$G1917=CONFIG_METADATA!$B$4),IF(DATOS!$G1917="EX",1,IF(DATOS!$G1917="OR",--(COUNTIFS(nNIA,DATOS!$A1917,nCURSO,DATOS!$D1917,nESPEC,DATOS!$E1917,nASIG,DATOS!$I1917,nEVAL,"EX")=0),0))))</f>
      </c>
      <c r="H1917">
        <f>IF(DATOS!$G1917&lt;&gt;"EX",0,--(COUNTIFS(nNIA,DATOS!$A1917,nCURSO,DATOS!$D1917,nESPEC,DATOS!$E1917,nASIG,DATOS!$I1917,nEVAL,"OR")=0))</f>
      </c>
      <c r="I1917">
        <f>IF(DATOS!$I1917="","",IFERROR(VLOOKUP(DATOS!$I1917,CONFIG_ASIGNATURAS!$B$2:$J$91,9,FALSE()),""))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IF(DATOS!$A1918="",0,IF(CONFIG_METADATA!$B$4&lt;&gt;"OR+EX",--(DATOS!$G1918=CONFIG_METADATA!$B$4),IF(DATOS!$G1918="EX",1,IF(DATOS!$G1918="OR",--(COUNTIFS(nNIA,DATOS!$A1918,nCURSO,DATOS!$D1918,nESPEC,DATOS!$E1918,nASIG,DATOS!$I1918,nEVAL,"EX")=0),0))))</f>
      </c>
      <c r="H1918">
        <f>IF(DATOS!$G1918&lt;&gt;"EX",0,--(COUNTIFS(nNIA,DATOS!$A1918,nCURSO,DATOS!$D1918,nESPEC,DATOS!$E1918,nASIG,DATOS!$I1918,nEVAL,"OR")=0))</f>
      </c>
      <c r="I1918">
        <f>IF(DATOS!$I1918="","",IFERROR(VLOOKUP(DATOS!$I1918,CONFIG_ASIGNATURAS!$B$2:$J$91,9,FALSE()),""))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IF(DATOS!$A1919="",0,IF(CONFIG_METADATA!$B$4&lt;&gt;"OR+EX",--(DATOS!$G1919=CONFIG_METADATA!$B$4),IF(DATOS!$G1919="EX",1,IF(DATOS!$G1919="OR",--(COUNTIFS(nNIA,DATOS!$A1919,nCURSO,DATOS!$D1919,nESPEC,DATOS!$E1919,nASIG,DATOS!$I1919,nEVAL,"EX")=0),0))))</f>
      </c>
      <c r="H1919">
        <f>IF(DATOS!$G1919&lt;&gt;"EX",0,--(COUNTIFS(nNIA,DATOS!$A1919,nCURSO,DATOS!$D1919,nESPEC,DATOS!$E1919,nASIG,DATOS!$I1919,nEVAL,"OR")=0))</f>
      </c>
      <c r="I1919">
        <f>IF(DATOS!$I1919="","",IFERROR(VLOOKUP(DATOS!$I1919,CONFIG_ASIGNATURAS!$B$2:$J$91,9,FALSE()),""))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IF(DATOS!$A1920="",0,IF(CONFIG_METADATA!$B$4&lt;&gt;"OR+EX",--(DATOS!$G1920=CONFIG_METADATA!$B$4),IF(DATOS!$G1920="EX",1,IF(DATOS!$G1920="OR",--(COUNTIFS(nNIA,DATOS!$A1920,nCURSO,DATOS!$D1920,nESPEC,DATOS!$E1920,nASIG,DATOS!$I1920,nEVAL,"EX")=0),0))))</f>
      </c>
      <c r="H1920">
        <f>IF(DATOS!$G1920&lt;&gt;"EX",0,--(COUNTIFS(nNIA,DATOS!$A1920,nCURSO,DATOS!$D1920,nESPEC,DATOS!$E1920,nASIG,DATOS!$I1920,nEVAL,"OR")=0))</f>
      </c>
      <c r="I1920">
        <f>IF(DATOS!$I1920="","",IFERROR(VLOOKUP(DATOS!$I1920,CONFIG_ASIGNATURAS!$B$2:$J$91,9,FALSE()),""))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IF(DATOS!$A1921="",0,IF(CONFIG_METADATA!$B$4&lt;&gt;"OR+EX",--(DATOS!$G1921=CONFIG_METADATA!$B$4),IF(DATOS!$G1921="EX",1,IF(DATOS!$G1921="OR",--(COUNTIFS(nNIA,DATOS!$A1921,nCURSO,DATOS!$D1921,nESPEC,DATOS!$E1921,nASIG,DATOS!$I1921,nEVAL,"EX")=0),0))))</f>
      </c>
      <c r="H1921">
        <f>IF(DATOS!$G1921&lt;&gt;"EX",0,--(COUNTIFS(nNIA,DATOS!$A1921,nCURSO,DATOS!$D1921,nESPEC,DATOS!$E1921,nASIG,DATOS!$I1921,nEVAL,"OR")=0))</f>
      </c>
      <c r="I1921">
        <f>IF(DATOS!$I1921="","",IFERROR(VLOOKUP(DATOS!$I1921,CONFIG_ASIGNATURAS!$B$2:$J$91,9,FALSE()),""))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IF(DATOS!$A1922="",0,IF(CONFIG_METADATA!$B$4&lt;&gt;"OR+EX",--(DATOS!$G1922=CONFIG_METADATA!$B$4),IF(DATOS!$G1922="EX",1,IF(DATOS!$G1922="OR",--(COUNTIFS(nNIA,DATOS!$A1922,nCURSO,DATOS!$D1922,nESPEC,DATOS!$E1922,nASIG,DATOS!$I1922,nEVAL,"EX")=0),0))))</f>
      </c>
      <c r="H1922">
        <f>IF(DATOS!$G1922&lt;&gt;"EX",0,--(COUNTIFS(nNIA,DATOS!$A1922,nCURSO,DATOS!$D1922,nESPEC,DATOS!$E1922,nASIG,DATOS!$I1922,nEVAL,"OR")=0))</f>
      </c>
      <c r="I1922">
        <f>IF(DATOS!$I1922="","",IFERROR(VLOOKUP(DATOS!$I1922,CONFIG_ASIGNATURAS!$B$2:$J$91,9,FALSE()),""))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IF(DATOS!$A1923="",0,IF(CONFIG_METADATA!$B$4&lt;&gt;"OR+EX",--(DATOS!$G1923=CONFIG_METADATA!$B$4),IF(DATOS!$G1923="EX",1,IF(DATOS!$G1923="OR",--(COUNTIFS(nNIA,DATOS!$A1923,nCURSO,DATOS!$D1923,nESPEC,DATOS!$E1923,nASIG,DATOS!$I1923,nEVAL,"EX")=0),0))))</f>
      </c>
      <c r="H1923">
        <f>IF(DATOS!$G1923&lt;&gt;"EX",0,--(COUNTIFS(nNIA,DATOS!$A1923,nCURSO,DATOS!$D1923,nESPEC,DATOS!$E1923,nASIG,DATOS!$I1923,nEVAL,"OR")=0))</f>
      </c>
      <c r="I1923">
        <f>IF(DATOS!$I1923="","",IFERROR(VLOOKUP(DATOS!$I1923,CONFIG_ASIGNATURAS!$B$2:$J$91,9,FALSE()),""))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IF(DATOS!$A1924="",0,IF(CONFIG_METADATA!$B$4&lt;&gt;"OR+EX",--(DATOS!$G1924=CONFIG_METADATA!$B$4),IF(DATOS!$G1924="EX",1,IF(DATOS!$G1924="OR",--(COUNTIFS(nNIA,DATOS!$A1924,nCURSO,DATOS!$D1924,nESPEC,DATOS!$E1924,nASIG,DATOS!$I1924,nEVAL,"EX")=0),0))))</f>
      </c>
      <c r="H1924">
        <f>IF(DATOS!$G1924&lt;&gt;"EX",0,--(COUNTIFS(nNIA,DATOS!$A1924,nCURSO,DATOS!$D1924,nESPEC,DATOS!$E1924,nASIG,DATOS!$I1924,nEVAL,"OR")=0))</f>
      </c>
      <c r="I1924">
        <f>IF(DATOS!$I1924="","",IFERROR(VLOOKUP(DATOS!$I1924,CONFIG_ASIGNATURAS!$B$2:$J$91,9,FALSE()),""))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IF(DATOS!$A1925="",0,IF(CONFIG_METADATA!$B$4&lt;&gt;"OR+EX",--(DATOS!$G1925=CONFIG_METADATA!$B$4),IF(DATOS!$G1925="EX",1,IF(DATOS!$G1925="OR",--(COUNTIFS(nNIA,DATOS!$A1925,nCURSO,DATOS!$D1925,nESPEC,DATOS!$E1925,nASIG,DATOS!$I1925,nEVAL,"EX")=0),0))))</f>
      </c>
      <c r="H1925">
        <f>IF(DATOS!$G1925&lt;&gt;"EX",0,--(COUNTIFS(nNIA,DATOS!$A1925,nCURSO,DATOS!$D1925,nESPEC,DATOS!$E1925,nASIG,DATOS!$I1925,nEVAL,"OR")=0))</f>
      </c>
      <c r="I1925">
        <f>IF(DATOS!$I1925="","",IFERROR(VLOOKUP(DATOS!$I1925,CONFIG_ASIGNATURAS!$B$2:$J$91,9,FALSE()),""))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IF(DATOS!$A1926="",0,IF(CONFIG_METADATA!$B$4&lt;&gt;"OR+EX",--(DATOS!$G1926=CONFIG_METADATA!$B$4),IF(DATOS!$G1926="EX",1,IF(DATOS!$G1926="OR",--(COUNTIFS(nNIA,DATOS!$A1926,nCURSO,DATOS!$D1926,nESPEC,DATOS!$E1926,nASIG,DATOS!$I1926,nEVAL,"EX")=0),0))))</f>
      </c>
      <c r="H1926">
        <f>IF(DATOS!$G1926&lt;&gt;"EX",0,--(COUNTIFS(nNIA,DATOS!$A1926,nCURSO,DATOS!$D1926,nESPEC,DATOS!$E1926,nASIG,DATOS!$I1926,nEVAL,"OR")=0))</f>
      </c>
      <c r="I1926">
        <f>IF(DATOS!$I1926="","",IFERROR(VLOOKUP(DATOS!$I1926,CONFIG_ASIGNATURAS!$B$2:$J$91,9,FALSE()),""))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IF(DATOS!$A1927="",0,IF(CONFIG_METADATA!$B$4&lt;&gt;"OR+EX",--(DATOS!$G1927=CONFIG_METADATA!$B$4),IF(DATOS!$G1927="EX",1,IF(DATOS!$G1927="OR",--(COUNTIFS(nNIA,DATOS!$A1927,nCURSO,DATOS!$D1927,nESPEC,DATOS!$E1927,nASIG,DATOS!$I1927,nEVAL,"EX")=0),0))))</f>
      </c>
      <c r="H1927">
        <f>IF(DATOS!$G1927&lt;&gt;"EX",0,--(COUNTIFS(nNIA,DATOS!$A1927,nCURSO,DATOS!$D1927,nESPEC,DATOS!$E1927,nASIG,DATOS!$I1927,nEVAL,"OR")=0))</f>
      </c>
      <c r="I1927">
        <f>IF(DATOS!$I1927="","",IFERROR(VLOOKUP(DATOS!$I1927,CONFIG_ASIGNATURAS!$B$2:$J$91,9,FALSE()),""))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IF(DATOS!$A1928="",0,IF(CONFIG_METADATA!$B$4&lt;&gt;"OR+EX",--(DATOS!$G1928=CONFIG_METADATA!$B$4),IF(DATOS!$G1928="EX",1,IF(DATOS!$G1928="OR",--(COUNTIFS(nNIA,DATOS!$A1928,nCURSO,DATOS!$D1928,nESPEC,DATOS!$E1928,nASIG,DATOS!$I1928,nEVAL,"EX")=0),0))))</f>
      </c>
      <c r="H1928">
        <f>IF(DATOS!$G1928&lt;&gt;"EX",0,--(COUNTIFS(nNIA,DATOS!$A1928,nCURSO,DATOS!$D1928,nESPEC,DATOS!$E1928,nASIG,DATOS!$I1928,nEVAL,"OR")=0))</f>
      </c>
      <c r="I1928">
        <f>IF(DATOS!$I1928="","",IFERROR(VLOOKUP(DATOS!$I1928,CONFIG_ASIGNATURAS!$B$2:$J$91,9,FALSE()),""))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IF(DATOS!$A1929="",0,IF(CONFIG_METADATA!$B$4&lt;&gt;"OR+EX",--(DATOS!$G1929=CONFIG_METADATA!$B$4),IF(DATOS!$G1929="EX",1,IF(DATOS!$G1929="OR",--(COUNTIFS(nNIA,DATOS!$A1929,nCURSO,DATOS!$D1929,nESPEC,DATOS!$E1929,nASIG,DATOS!$I1929,nEVAL,"EX")=0),0))))</f>
      </c>
      <c r="H1929">
        <f>IF(DATOS!$G1929&lt;&gt;"EX",0,--(COUNTIFS(nNIA,DATOS!$A1929,nCURSO,DATOS!$D1929,nESPEC,DATOS!$E1929,nASIG,DATOS!$I1929,nEVAL,"OR")=0))</f>
      </c>
      <c r="I1929">
        <f>IF(DATOS!$I1929="","",IFERROR(VLOOKUP(DATOS!$I1929,CONFIG_ASIGNATURAS!$B$2:$J$91,9,FALSE()),""))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IF(DATOS!$A1930="",0,IF(CONFIG_METADATA!$B$4&lt;&gt;"OR+EX",--(DATOS!$G1930=CONFIG_METADATA!$B$4),IF(DATOS!$G1930="EX",1,IF(DATOS!$G1930="OR",--(COUNTIFS(nNIA,DATOS!$A1930,nCURSO,DATOS!$D1930,nESPEC,DATOS!$E1930,nASIG,DATOS!$I1930,nEVAL,"EX")=0),0))))</f>
      </c>
      <c r="H1930">
        <f>IF(DATOS!$G1930&lt;&gt;"EX",0,--(COUNTIFS(nNIA,DATOS!$A1930,nCURSO,DATOS!$D1930,nESPEC,DATOS!$E1930,nASIG,DATOS!$I1930,nEVAL,"OR")=0))</f>
      </c>
      <c r="I1930">
        <f>IF(DATOS!$I1930="","",IFERROR(VLOOKUP(DATOS!$I1930,CONFIG_ASIGNATURAS!$B$2:$J$91,9,FALSE()),""))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IF(DATOS!$A1931="",0,IF(CONFIG_METADATA!$B$4&lt;&gt;"OR+EX",--(DATOS!$G1931=CONFIG_METADATA!$B$4),IF(DATOS!$G1931="EX",1,IF(DATOS!$G1931="OR",--(COUNTIFS(nNIA,DATOS!$A1931,nCURSO,DATOS!$D1931,nESPEC,DATOS!$E1931,nASIG,DATOS!$I1931,nEVAL,"EX")=0),0))))</f>
      </c>
      <c r="H1931">
        <f>IF(DATOS!$G1931&lt;&gt;"EX",0,--(COUNTIFS(nNIA,DATOS!$A1931,nCURSO,DATOS!$D1931,nESPEC,DATOS!$E1931,nASIG,DATOS!$I1931,nEVAL,"OR")=0))</f>
      </c>
      <c r="I1931">
        <f>IF(DATOS!$I1931="","",IFERROR(VLOOKUP(DATOS!$I1931,CONFIG_ASIGNATURAS!$B$2:$J$91,9,FALSE()),""))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IF(DATOS!$A1932="",0,IF(CONFIG_METADATA!$B$4&lt;&gt;"OR+EX",--(DATOS!$G1932=CONFIG_METADATA!$B$4),IF(DATOS!$G1932="EX",1,IF(DATOS!$G1932="OR",--(COUNTIFS(nNIA,DATOS!$A1932,nCURSO,DATOS!$D1932,nESPEC,DATOS!$E1932,nASIG,DATOS!$I1932,nEVAL,"EX")=0),0))))</f>
      </c>
      <c r="H1932">
        <f>IF(DATOS!$G1932&lt;&gt;"EX",0,--(COUNTIFS(nNIA,DATOS!$A1932,nCURSO,DATOS!$D1932,nESPEC,DATOS!$E1932,nASIG,DATOS!$I1932,nEVAL,"OR")=0))</f>
      </c>
      <c r="I1932">
        <f>IF(DATOS!$I1932="","",IFERROR(VLOOKUP(DATOS!$I1932,CONFIG_ASIGNATURAS!$B$2:$J$91,9,FALSE()),""))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IF(DATOS!$A1933="",0,IF(CONFIG_METADATA!$B$4&lt;&gt;"OR+EX",--(DATOS!$G1933=CONFIG_METADATA!$B$4),IF(DATOS!$G1933="EX",1,IF(DATOS!$G1933="OR",--(COUNTIFS(nNIA,DATOS!$A1933,nCURSO,DATOS!$D1933,nESPEC,DATOS!$E1933,nASIG,DATOS!$I1933,nEVAL,"EX")=0),0))))</f>
      </c>
      <c r="H1933">
        <f>IF(DATOS!$G1933&lt;&gt;"EX",0,--(COUNTIFS(nNIA,DATOS!$A1933,nCURSO,DATOS!$D1933,nESPEC,DATOS!$E1933,nASIG,DATOS!$I1933,nEVAL,"OR")=0))</f>
      </c>
      <c r="I1933">
        <f>IF(DATOS!$I1933="","",IFERROR(VLOOKUP(DATOS!$I1933,CONFIG_ASIGNATURAS!$B$2:$J$91,9,FALSE()),""))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IF(DATOS!$A1934="",0,IF(CONFIG_METADATA!$B$4&lt;&gt;"OR+EX",--(DATOS!$G1934=CONFIG_METADATA!$B$4),IF(DATOS!$G1934="EX",1,IF(DATOS!$G1934="OR",--(COUNTIFS(nNIA,DATOS!$A1934,nCURSO,DATOS!$D1934,nESPEC,DATOS!$E1934,nASIG,DATOS!$I1934,nEVAL,"EX")=0),0))))</f>
      </c>
      <c r="H1934">
        <f>IF(DATOS!$G1934&lt;&gt;"EX",0,--(COUNTIFS(nNIA,DATOS!$A1934,nCURSO,DATOS!$D1934,nESPEC,DATOS!$E1934,nASIG,DATOS!$I1934,nEVAL,"OR")=0))</f>
      </c>
      <c r="I1934">
        <f>IF(DATOS!$I1934="","",IFERROR(VLOOKUP(DATOS!$I1934,CONFIG_ASIGNATURAS!$B$2:$J$91,9,FALSE()),""))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IF(DATOS!$A1935="",0,IF(CONFIG_METADATA!$B$4&lt;&gt;"OR+EX",--(DATOS!$G1935=CONFIG_METADATA!$B$4),IF(DATOS!$G1935="EX",1,IF(DATOS!$G1935="OR",--(COUNTIFS(nNIA,DATOS!$A1935,nCURSO,DATOS!$D1935,nESPEC,DATOS!$E1935,nASIG,DATOS!$I1935,nEVAL,"EX")=0),0))))</f>
      </c>
      <c r="H1935">
        <f>IF(DATOS!$G1935&lt;&gt;"EX",0,--(COUNTIFS(nNIA,DATOS!$A1935,nCURSO,DATOS!$D1935,nESPEC,DATOS!$E1935,nASIG,DATOS!$I1935,nEVAL,"OR")=0))</f>
      </c>
      <c r="I1935">
        <f>IF(DATOS!$I1935="","",IFERROR(VLOOKUP(DATOS!$I1935,CONFIG_ASIGNATURAS!$B$2:$J$91,9,FALSE()),""))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IF(DATOS!$A1936="",0,IF(CONFIG_METADATA!$B$4&lt;&gt;"OR+EX",--(DATOS!$G1936=CONFIG_METADATA!$B$4),IF(DATOS!$G1936="EX",1,IF(DATOS!$G1936="OR",--(COUNTIFS(nNIA,DATOS!$A1936,nCURSO,DATOS!$D1936,nESPEC,DATOS!$E1936,nASIG,DATOS!$I1936,nEVAL,"EX")=0),0))))</f>
      </c>
      <c r="H1936">
        <f>IF(DATOS!$G1936&lt;&gt;"EX",0,--(COUNTIFS(nNIA,DATOS!$A1936,nCURSO,DATOS!$D1936,nESPEC,DATOS!$E1936,nASIG,DATOS!$I1936,nEVAL,"OR")=0))</f>
      </c>
      <c r="I1936">
        <f>IF(DATOS!$I1936="","",IFERROR(VLOOKUP(DATOS!$I1936,CONFIG_ASIGNATURAS!$B$2:$J$91,9,FALSE()),""))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IF(DATOS!$A1937="",0,IF(CONFIG_METADATA!$B$4&lt;&gt;"OR+EX",--(DATOS!$G1937=CONFIG_METADATA!$B$4),IF(DATOS!$G1937="EX",1,IF(DATOS!$G1937="OR",--(COUNTIFS(nNIA,DATOS!$A1937,nCURSO,DATOS!$D1937,nESPEC,DATOS!$E1937,nASIG,DATOS!$I1937,nEVAL,"EX")=0),0))))</f>
      </c>
      <c r="H1937">
        <f>IF(DATOS!$G1937&lt;&gt;"EX",0,--(COUNTIFS(nNIA,DATOS!$A1937,nCURSO,DATOS!$D1937,nESPEC,DATOS!$E1937,nASIG,DATOS!$I1937,nEVAL,"OR")=0))</f>
      </c>
      <c r="I1937">
        <f>IF(DATOS!$I1937="","",IFERROR(VLOOKUP(DATOS!$I1937,CONFIG_ASIGNATURAS!$B$2:$J$91,9,FALSE()),""))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IF(DATOS!$A1938="",0,IF(CONFIG_METADATA!$B$4&lt;&gt;"OR+EX",--(DATOS!$G1938=CONFIG_METADATA!$B$4),IF(DATOS!$G1938="EX",1,IF(DATOS!$G1938="OR",--(COUNTIFS(nNIA,DATOS!$A1938,nCURSO,DATOS!$D1938,nESPEC,DATOS!$E1938,nASIG,DATOS!$I1938,nEVAL,"EX")=0),0))))</f>
      </c>
      <c r="H1938">
        <f>IF(DATOS!$G1938&lt;&gt;"EX",0,--(COUNTIFS(nNIA,DATOS!$A1938,nCURSO,DATOS!$D1938,nESPEC,DATOS!$E1938,nASIG,DATOS!$I1938,nEVAL,"OR")=0))</f>
      </c>
      <c r="I1938">
        <f>IF(DATOS!$I1938="","",IFERROR(VLOOKUP(DATOS!$I1938,CONFIG_ASIGNATURAS!$B$2:$J$91,9,FALSE()),""))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IF(DATOS!$A1939="",0,IF(CONFIG_METADATA!$B$4&lt;&gt;"OR+EX",--(DATOS!$G1939=CONFIG_METADATA!$B$4),IF(DATOS!$G1939="EX",1,IF(DATOS!$G1939="OR",--(COUNTIFS(nNIA,DATOS!$A1939,nCURSO,DATOS!$D1939,nESPEC,DATOS!$E1939,nASIG,DATOS!$I1939,nEVAL,"EX")=0),0))))</f>
      </c>
      <c r="H1939">
        <f>IF(DATOS!$G1939&lt;&gt;"EX",0,--(COUNTIFS(nNIA,DATOS!$A1939,nCURSO,DATOS!$D1939,nESPEC,DATOS!$E1939,nASIG,DATOS!$I1939,nEVAL,"OR")=0))</f>
      </c>
      <c r="I1939">
        <f>IF(DATOS!$I1939="","",IFERROR(VLOOKUP(DATOS!$I1939,CONFIG_ASIGNATURAS!$B$2:$J$91,9,FALSE()),""))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IF(DATOS!$A1940="",0,IF(CONFIG_METADATA!$B$4&lt;&gt;"OR+EX",--(DATOS!$G1940=CONFIG_METADATA!$B$4),IF(DATOS!$G1940="EX",1,IF(DATOS!$G1940="OR",--(COUNTIFS(nNIA,DATOS!$A1940,nCURSO,DATOS!$D1940,nESPEC,DATOS!$E1940,nASIG,DATOS!$I1940,nEVAL,"EX")=0),0))))</f>
      </c>
      <c r="H1940">
        <f>IF(DATOS!$G1940&lt;&gt;"EX",0,--(COUNTIFS(nNIA,DATOS!$A1940,nCURSO,DATOS!$D1940,nESPEC,DATOS!$E1940,nASIG,DATOS!$I1940,nEVAL,"OR")=0))</f>
      </c>
      <c r="I1940">
        <f>IF(DATOS!$I1940="","",IFERROR(VLOOKUP(DATOS!$I1940,CONFIG_ASIGNATURAS!$B$2:$J$91,9,FALSE()),""))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IF(DATOS!$A1941="",0,IF(CONFIG_METADATA!$B$4&lt;&gt;"OR+EX",--(DATOS!$G1941=CONFIG_METADATA!$B$4),IF(DATOS!$G1941="EX",1,IF(DATOS!$G1941="OR",--(COUNTIFS(nNIA,DATOS!$A1941,nCURSO,DATOS!$D1941,nESPEC,DATOS!$E1941,nASIG,DATOS!$I1941,nEVAL,"EX")=0),0))))</f>
      </c>
      <c r="H1941">
        <f>IF(DATOS!$G1941&lt;&gt;"EX",0,--(COUNTIFS(nNIA,DATOS!$A1941,nCURSO,DATOS!$D1941,nESPEC,DATOS!$E1941,nASIG,DATOS!$I1941,nEVAL,"OR")=0))</f>
      </c>
      <c r="I1941">
        <f>IF(DATOS!$I1941="","",IFERROR(VLOOKUP(DATOS!$I1941,CONFIG_ASIGNATURAS!$B$2:$J$91,9,FALSE()),""))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IF(DATOS!$A1942="",0,IF(CONFIG_METADATA!$B$4&lt;&gt;"OR+EX",--(DATOS!$G1942=CONFIG_METADATA!$B$4),IF(DATOS!$G1942="EX",1,IF(DATOS!$G1942="OR",--(COUNTIFS(nNIA,DATOS!$A1942,nCURSO,DATOS!$D1942,nESPEC,DATOS!$E1942,nASIG,DATOS!$I1942,nEVAL,"EX")=0),0))))</f>
      </c>
      <c r="H1942">
        <f>IF(DATOS!$G1942&lt;&gt;"EX",0,--(COUNTIFS(nNIA,DATOS!$A1942,nCURSO,DATOS!$D1942,nESPEC,DATOS!$E1942,nASIG,DATOS!$I1942,nEVAL,"OR")=0))</f>
      </c>
      <c r="I1942">
        <f>IF(DATOS!$I1942="","",IFERROR(VLOOKUP(DATOS!$I1942,CONFIG_ASIGNATURAS!$B$2:$J$91,9,FALSE()),""))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IF(DATOS!$A1943="",0,IF(CONFIG_METADATA!$B$4&lt;&gt;"OR+EX",--(DATOS!$G1943=CONFIG_METADATA!$B$4),IF(DATOS!$G1943="EX",1,IF(DATOS!$G1943="OR",--(COUNTIFS(nNIA,DATOS!$A1943,nCURSO,DATOS!$D1943,nESPEC,DATOS!$E1943,nASIG,DATOS!$I1943,nEVAL,"EX")=0),0))))</f>
      </c>
      <c r="H1943">
        <f>IF(DATOS!$G1943&lt;&gt;"EX",0,--(COUNTIFS(nNIA,DATOS!$A1943,nCURSO,DATOS!$D1943,nESPEC,DATOS!$E1943,nASIG,DATOS!$I1943,nEVAL,"OR")=0))</f>
      </c>
      <c r="I1943">
        <f>IF(DATOS!$I1943="","",IFERROR(VLOOKUP(DATOS!$I1943,CONFIG_ASIGNATURAS!$B$2:$J$91,9,FALSE()),""))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IF(DATOS!$A1944="",0,IF(CONFIG_METADATA!$B$4&lt;&gt;"OR+EX",--(DATOS!$G1944=CONFIG_METADATA!$B$4),IF(DATOS!$G1944="EX",1,IF(DATOS!$G1944="OR",--(COUNTIFS(nNIA,DATOS!$A1944,nCURSO,DATOS!$D1944,nESPEC,DATOS!$E1944,nASIG,DATOS!$I1944,nEVAL,"EX")=0),0))))</f>
      </c>
      <c r="H1944">
        <f>IF(DATOS!$G1944&lt;&gt;"EX",0,--(COUNTIFS(nNIA,DATOS!$A1944,nCURSO,DATOS!$D1944,nESPEC,DATOS!$E1944,nASIG,DATOS!$I1944,nEVAL,"OR")=0))</f>
      </c>
      <c r="I1944">
        <f>IF(DATOS!$I1944="","",IFERROR(VLOOKUP(DATOS!$I1944,CONFIG_ASIGNATURAS!$B$2:$J$91,9,FALSE()),""))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IF(DATOS!$A1945="",0,IF(CONFIG_METADATA!$B$4&lt;&gt;"OR+EX",--(DATOS!$G1945=CONFIG_METADATA!$B$4),IF(DATOS!$G1945="EX",1,IF(DATOS!$G1945="OR",--(COUNTIFS(nNIA,DATOS!$A1945,nCURSO,DATOS!$D1945,nESPEC,DATOS!$E1945,nASIG,DATOS!$I1945,nEVAL,"EX")=0),0))))</f>
      </c>
      <c r="H1945">
        <f>IF(DATOS!$G1945&lt;&gt;"EX",0,--(COUNTIFS(nNIA,DATOS!$A1945,nCURSO,DATOS!$D1945,nESPEC,DATOS!$E1945,nASIG,DATOS!$I1945,nEVAL,"OR")=0))</f>
      </c>
      <c r="I1945">
        <f>IF(DATOS!$I1945="","",IFERROR(VLOOKUP(DATOS!$I1945,CONFIG_ASIGNATURAS!$B$2:$J$91,9,FALSE()),""))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IF(DATOS!$A1946="",0,IF(CONFIG_METADATA!$B$4&lt;&gt;"OR+EX",--(DATOS!$G1946=CONFIG_METADATA!$B$4),IF(DATOS!$G1946="EX",1,IF(DATOS!$G1946="OR",--(COUNTIFS(nNIA,DATOS!$A1946,nCURSO,DATOS!$D1946,nESPEC,DATOS!$E1946,nASIG,DATOS!$I1946,nEVAL,"EX")=0),0))))</f>
      </c>
      <c r="H1946">
        <f>IF(DATOS!$G1946&lt;&gt;"EX",0,--(COUNTIFS(nNIA,DATOS!$A1946,nCURSO,DATOS!$D1946,nESPEC,DATOS!$E1946,nASIG,DATOS!$I1946,nEVAL,"OR")=0))</f>
      </c>
      <c r="I1946">
        <f>IF(DATOS!$I1946="","",IFERROR(VLOOKUP(DATOS!$I1946,CONFIG_ASIGNATURAS!$B$2:$J$91,9,FALSE()),""))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IF(DATOS!$A1947="",0,IF(CONFIG_METADATA!$B$4&lt;&gt;"OR+EX",--(DATOS!$G1947=CONFIG_METADATA!$B$4),IF(DATOS!$G1947="EX",1,IF(DATOS!$G1947="OR",--(COUNTIFS(nNIA,DATOS!$A1947,nCURSO,DATOS!$D1947,nESPEC,DATOS!$E1947,nASIG,DATOS!$I1947,nEVAL,"EX")=0),0))))</f>
      </c>
      <c r="H1947">
        <f>IF(DATOS!$G1947&lt;&gt;"EX",0,--(COUNTIFS(nNIA,DATOS!$A1947,nCURSO,DATOS!$D1947,nESPEC,DATOS!$E1947,nASIG,DATOS!$I1947,nEVAL,"OR")=0))</f>
      </c>
      <c r="I1947">
        <f>IF(DATOS!$I1947="","",IFERROR(VLOOKUP(DATOS!$I1947,CONFIG_ASIGNATURAS!$B$2:$J$91,9,FALSE()),""))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IF(DATOS!$A1948="",0,IF(CONFIG_METADATA!$B$4&lt;&gt;"OR+EX",--(DATOS!$G1948=CONFIG_METADATA!$B$4),IF(DATOS!$G1948="EX",1,IF(DATOS!$G1948="OR",--(COUNTIFS(nNIA,DATOS!$A1948,nCURSO,DATOS!$D1948,nESPEC,DATOS!$E1948,nASIG,DATOS!$I1948,nEVAL,"EX")=0),0))))</f>
      </c>
      <c r="H1948">
        <f>IF(DATOS!$G1948&lt;&gt;"EX",0,--(COUNTIFS(nNIA,DATOS!$A1948,nCURSO,DATOS!$D1948,nESPEC,DATOS!$E1948,nASIG,DATOS!$I1948,nEVAL,"OR")=0))</f>
      </c>
      <c r="I1948">
        <f>IF(DATOS!$I1948="","",IFERROR(VLOOKUP(DATOS!$I1948,CONFIG_ASIGNATURAS!$B$2:$J$91,9,FALSE()),""))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IF(DATOS!$A1949="",0,IF(CONFIG_METADATA!$B$4&lt;&gt;"OR+EX",--(DATOS!$G1949=CONFIG_METADATA!$B$4),IF(DATOS!$G1949="EX",1,IF(DATOS!$G1949="OR",--(COUNTIFS(nNIA,DATOS!$A1949,nCURSO,DATOS!$D1949,nESPEC,DATOS!$E1949,nASIG,DATOS!$I1949,nEVAL,"EX")=0),0))))</f>
      </c>
      <c r="H1949">
        <f>IF(DATOS!$G1949&lt;&gt;"EX",0,--(COUNTIFS(nNIA,DATOS!$A1949,nCURSO,DATOS!$D1949,nESPEC,DATOS!$E1949,nASIG,DATOS!$I1949,nEVAL,"OR")=0))</f>
      </c>
      <c r="I1949">
        <f>IF(DATOS!$I1949="","",IFERROR(VLOOKUP(DATOS!$I1949,CONFIG_ASIGNATURAS!$B$2:$J$91,9,FALSE()),""))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IF(DATOS!$A1950="",0,IF(CONFIG_METADATA!$B$4&lt;&gt;"OR+EX",--(DATOS!$G1950=CONFIG_METADATA!$B$4),IF(DATOS!$G1950="EX",1,IF(DATOS!$G1950="OR",--(COUNTIFS(nNIA,DATOS!$A1950,nCURSO,DATOS!$D1950,nESPEC,DATOS!$E1950,nASIG,DATOS!$I1950,nEVAL,"EX")=0),0))))</f>
      </c>
      <c r="H1950">
        <f>IF(DATOS!$G1950&lt;&gt;"EX",0,--(COUNTIFS(nNIA,DATOS!$A1950,nCURSO,DATOS!$D1950,nESPEC,DATOS!$E1950,nASIG,DATOS!$I1950,nEVAL,"OR")=0))</f>
      </c>
      <c r="I1950">
        <f>IF(DATOS!$I1950="","",IFERROR(VLOOKUP(DATOS!$I1950,CONFIG_ASIGNATURAS!$B$2:$J$91,9,FALSE()),""))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IF(DATOS!$A1951="",0,IF(CONFIG_METADATA!$B$4&lt;&gt;"OR+EX",--(DATOS!$G1951=CONFIG_METADATA!$B$4),IF(DATOS!$G1951="EX",1,IF(DATOS!$G1951="OR",--(COUNTIFS(nNIA,DATOS!$A1951,nCURSO,DATOS!$D1951,nESPEC,DATOS!$E1951,nASIG,DATOS!$I1951,nEVAL,"EX")=0),0))))</f>
      </c>
      <c r="H1951">
        <f>IF(DATOS!$G1951&lt;&gt;"EX",0,--(COUNTIFS(nNIA,DATOS!$A1951,nCURSO,DATOS!$D1951,nESPEC,DATOS!$E1951,nASIG,DATOS!$I1951,nEVAL,"OR")=0))</f>
      </c>
      <c r="I1951">
        <f>IF(DATOS!$I1951="","",IFERROR(VLOOKUP(DATOS!$I1951,CONFIG_ASIGNATURAS!$B$2:$J$91,9,FALSE()),""))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IF(DATOS!$A1952="",0,IF(CONFIG_METADATA!$B$4&lt;&gt;"OR+EX",--(DATOS!$G1952=CONFIG_METADATA!$B$4),IF(DATOS!$G1952="EX",1,IF(DATOS!$G1952="OR",--(COUNTIFS(nNIA,DATOS!$A1952,nCURSO,DATOS!$D1952,nESPEC,DATOS!$E1952,nASIG,DATOS!$I1952,nEVAL,"EX")=0),0))))</f>
      </c>
      <c r="H1952">
        <f>IF(DATOS!$G1952&lt;&gt;"EX",0,--(COUNTIFS(nNIA,DATOS!$A1952,nCURSO,DATOS!$D1952,nESPEC,DATOS!$E1952,nASIG,DATOS!$I1952,nEVAL,"OR")=0))</f>
      </c>
      <c r="I1952">
        <f>IF(DATOS!$I1952="","",IFERROR(VLOOKUP(DATOS!$I1952,CONFIG_ASIGNATURAS!$B$2:$J$91,9,FALSE()),""))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IF(DATOS!$A1953="",0,IF(CONFIG_METADATA!$B$4&lt;&gt;"OR+EX",--(DATOS!$G1953=CONFIG_METADATA!$B$4),IF(DATOS!$G1953="EX",1,IF(DATOS!$G1953="OR",--(COUNTIFS(nNIA,DATOS!$A1953,nCURSO,DATOS!$D1953,nESPEC,DATOS!$E1953,nASIG,DATOS!$I1953,nEVAL,"EX")=0),0))))</f>
      </c>
      <c r="H1953">
        <f>IF(DATOS!$G1953&lt;&gt;"EX",0,--(COUNTIFS(nNIA,DATOS!$A1953,nCURSO,DATOS!$D1953,nESPEC,DATOS!$E1953,nASIG,DATOS!$I1953,nEVAL,"OR")=0))</f>
      </c>
      <c r="I1953">
        <f>IF(DATOS!$I1953="","",IFERROR(VLOOKUP(DATOS!$I1953,CONFIG_ASIGNATURAS!$B$2:$J$91,9,FALSE()),""))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IF(DATOS!$A1954="",0,IF(CONFIG_METADATA!$B$4&lt;&gt;"OR+EX",--(DATOS!$G1954=CONFIG_METADATA!$B$4),IF(DATOS!$G1954="EX",1,IF(DATOS!$G1954="OR",--(COUNTIFS(nNIA,DATOS!$A1954,nCURSO,DATOS!$D1954,nESPEC,DATOS!$E1954,nASIG,DATOS!$I1954,nEVAL,"EX")=0),0))))</f>
      </c>
      <c r="H1954">
        <f>IF(DATOS!$G1954&lt;&gt;"EX",0,--(COUNTIFS(nNIA,DATOS!$A1954,nCURSO,DATOS!$D1954,nESPEC,DATOS!$E1954,nASIG,DATOS!$I1954,nEVAL,"OR")=0))</f>
      </c>
      <c r="I1954">
        <f>IF(DATOS!$I1954="","",IFERROR(VLOOKUP(DATOS!$I1954,CONFIG_ASIGNATURAS!$B$2:$J$91,9,FALSE()),""))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IF(DATOS!$A1955="",0,IF(CONFIG_METADATA!$B$4&lt;&gt;"OR+EX",--(DATOS!$G1955=CONFIG_METADATA!$B$4),IF(DATOS!$G1955="EX",1,IF(DATOS!$G1955="OR",--(COUNTIFS(nNIA,DATOS!$A1955,nCURSO,DATOS!$D1955,nESPEC,DATOS!$E1955,nASIG,DATOS!$I1955,nEVAL,"EX")=0),0))))</f>
      </c>
      <c r="H1955">
        <f>IF(DATOS!$G1955&lt;&gt;"EX",0,--(COUNTIFS(nNIA,DATOS!$A1955,nCURSO,DATOS!$D1955,nESPEC,DATOS!$E1955,nASIG,DATOS!$I1955,nEVAL,"OR")=0))</f>
      </c>
      <c r="I1955">
        <f>IF(DATOS!$I1955="","",IFERROR(VLOOKUP(DATOS!$I1955,CONFIG_ASIGNATURAS!$B$2:$J$91,9,FALSE()),""))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IF(DATOS!$A1956="",0,IF(CONFIG_METADATA!$B$4&lt;&gt;"OR+EX",--(DATOS!$G1956=CONFIG_METADATA!$B$4),IF(DATOS!$G1956="EX",1,IF(DATOS!$G1956="OR",--(COUNTIFS(nNIA,DATOS!$A1956,nCURSO,DATOS!$D1956,nESPEC,DATOS!$E1956,nASIG,DATOS!$I1956,nEVAL,"EX")=0),0))))</f>
      </c>
      <c r="H1956">
        <f>IF(DATOS!$G1956&lt;&gt;"EX",0,--(COUNTIFS(nNIA,DATOS!$A1956,nCURSO,DATOS!$D1956,nESPEC,DATOS!$E1956,nASIG,DATOS!$I1956,nEVAL,"OR")=0))</f>
      </c>
      <c r="I1956">
        <f>IF(DATOS!$I1956="","",IFERROR(VLOOKUP(DATOS!$I1956,CONFIG_ASIGNATURAS!$B$2:$J$91,9,FALSE()),""))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IF(DATOS!$A1957="",0,IF(CONFIG_METADATA!$B$4&lt;&gt;"OR+EX",--(DATOS!$G1957=CONFIG_METADATA!$B$4),IF(DATOS!$G1957="EX",1,IF(DATOS!$G1957="OR",--(COUNTIFS(nNIA,DATOS!$A1957,nCURSO,DATOS!$D1957,nESPEC,DATOS!$E1957,nASIG,DATOS!$I1957,nEVAL,"EX")=0),0))))</f>
      </c>
      <c r="H1957">
        <f>IF(DATOS!$G1957&lt;&gt;"EX",0,--(COUNTIFS(nNIA,DATOS!$A1957,nCURSO,DATOS!$D1957,nESPEC,DATOS!$E1957,nASIG,DATOS!$I1957,nEVAL,"OR")=0))</f>
      </c>
      <c r="I1957">
        <f>IF(DATOS!$I1957="","",IFERROR(VLOOKUP(DATOS!$I1957,CONFIG_ASIGNATURAS!$B$2:$J$91,9,FALSE()),""))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IF(DATOS!$A1958="",0,IF(CONFIG_METADATA!$B$4&lt;&gt;"OR+EX",--(DATOS!$G1958=CONFIG_METADATA!$B$4),IF(DATOS!$G1958="EX",1,IF(DATOS!$G1958="OR",--(COUNTIFS(nNIA,DATOS!$A1958,nCURSO,DATOS!$D1958,nESPEC,DATOS!$E1958,nASIG,DATOS!$I1958,nEVAL,"EX")=0),0))))</f>
      </c>
      <c r="H1958">
        <f>IF(DATOS!$G1958&lt;&gt;"EX",0,--(COUNTIFS(nNIA,DATOS!$A1958,nCURSO,DATOS!$D1958,nESPEC,DATOS!$E1958,nASIG,DATOS!$I1958,nEVAL,"OR")=0))</f>
      </c>
      <c r="I1958">
        <f>IF(DATOS!$I1958="","",IFERROR(VLOOKUP(DATOS!$I1958,CONFIG_ASIGNATURAS!$B$2:$J$91,9,FALSE()),""))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IF(DATOS!$A1959="",0,IF(CONFIG_METADATA!$B$4&lt;&gt;"OR+EX",--(DATOS!$G1959=CONFIG_METADATA!$B$4),IF(DATOS!$G1959="EX",1,IF(DATOS!$G1959="OR",--(COUNTIFS(nNIA,DATOS!$A1959,nCURSO,DATOS!$D1959,nESPEC,DATOS!$E1959,nASIG,DATOS!$I1959,nEVAL,"EX")=0),0))))</f>
      </c>
      <c r="H1959">
        <f>IF(DATOS!$G1959&lt;&gt;"EX",0,--(COUNTIFS(nNIA,DATOS!$A1959,nCURSO,DATOS!$D1959,nESPEC,DATOS!$E1959,nASIG,DATOS!$I1959,nEVAL,"OR")=0))</f>
      </c>
      <c r="I1959">
        <f>IF(DATOS!$I1959="","",IFERROR(VLOOKUP(DATOS!$I1959,CONFIG_ASIGNATURAS!$B$2:$J$91,9,FALSE()),""))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IF(DATOS!$A1960="",0,IF(CONFIG_METADATA!$B$4&lt;&gt;"OR+EX",--(DATOS!$G1960=CONFIG_METADATA!$B$4),IF(DATOS!$G1960="EX",1,IF(DATOS!$G1960="OR",--(COUNTIFS(nNIA,DATOS!$A1960,nCURSO,DATOS!$D1960,nESPEC,DATOS!$E1960,nASIG,DATOS!$I1960,nEVAL,"EX")=0),0))))</f>
      </c>
      <c r="H1960">
        <f>IF(DATOS!$G1960&lt;&gt;"EX",0,--(COUNTIFS(nNIA,DATOS!$A1960,nCURSO,DATOS!$D1960,nESPEC,DATOS!$E1960,nASIG,DATOS!$I1960,nEVAL,"OR")=0))</f>
      </c>
      <c r="I1960">
        <f>IF(DATOS!$I1960="","",IFERROR(VLOOKUP(DATOS!$I1960,CONFIG_ASIGNATURAS!$B$2:$J$91,9,FALSE()),""))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IF(DATOS!$A1961="",0,IF(CONFIG_METADATA!$B$4&lt;&gt;"OR+EX",--(DATOS!$G1961=CONFIG_METADATA!$B$4),IF(DATOS!$G1961="EX",1,IF(DATOS!$G1961="OR",--(COUNTIFS(nNIA,DATOS!$A1961,nCURSO,DATOS!$D1961,nESPEC,DATOS!$E1961,nASIG,DATOS!$I1961,nEVAL,"EX")=0),0))))</f>
      </c>
      <c r="H1961">
        <f>IF(DATOS!$G1961&lt;&gt;"EX",0,--(COUNTIFS(nNIA,DATOS!$A1961,nCURSO,DATOS!$D1961,nESPEC,DATOS!$E1961,nASIG,DATOS!$I1961,nEVAL,"OR")=0))</f>
      </c>
      <c r="I1961">
        <f>IF(DATOS!$I1961="","",IFERROR(VLOOKUP(DATOS!$I1961,CONFIG_ASIGNATURAS!$B$2:$J$91,9,FALSE()),""))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IF(DATOS!$A1962="",0,IF(CONFIG_METADATA!$B$4&lt;&gt;"OR+EX",--(DATOS!$G1962=CONFIG_METADATA!$B$4),IF(DATOS!$G1962="EX",1,IF(DATOS!$G1962="OR",--(COUNTIFS(nNIA,DATOS!$A1962,nCURSO,DATOS!$D1962,nESPEC,DATOS!$E1962,nASIG,DATOS!$I1962,nEVAL,"EX")=0),0))))</f>
      </c>
      <c r="H1962">
        <f>IF(DATOS!$G1962&lt;&gt;"EX",0,--(COUNTIFS(nNIA,DATOS!$A1962,nCURSO,DATOS!$D1962,nESPEC,DATOS!$E1962,nASIG,DATOS!$I1962,nEVAL,"OR")=0))</f>
      </c>
      <c r="I1962">
        <f>IF(DATOS!$I1962="","",IFERROR(VLOOKUP(DATOS!$I1962,CONFIG_ASIGNATURAS!$B$2:$J$91,9,FALSE()),""))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IF(DATOS!$A1963="",0,IF(CONFIG_METADATA!$B$4&lt;&gt;"OR+EX",--(DATOS!$G1963=CONFIG_METADATA!$B$4),IF(DATOS!$G1963="EX",1,IF(DATOS!$G1963="OR",--(COUNTIFS(nNIA,DATOS!$A1963,nCURSO,DATOS!$D1963,nESPEC,DATOS!$E1963,nASIG,DATOS!$I1963,nEVAL,"EX")=0),0))))</f>
      </c>
      <c r="H1963">
        <f>IF(DATOS!$G1963&lt;&gt;"EX",0,--(COUNTIFS(nNIA,DATOS!$A1963,nCURSO,DATOS!$D1963,nESPEC,DATOS!$E1963,nASIG,DATOS!$I1963,nEVAL,"OR")=0))</f>
      </c>
      <c r="I1963">
        <f>IF(DATOS!$I1963="","",IFERROR(VLOOKUP(DATOS!$I1963,CONFIG_ASIGNATURAS!$B$2:$J$91,9,FALSE()),""))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IF(DATOS!$A1964="",0,IF(CONFIG_METADATA!$B$4&lt;&gt;"OR+EX",--(DATOS!$G1964=CONFIG_METADATA!$B$4),IF(DATOS!$G1964="EX",1,IF(DATOS!$G1964="OR",--(COUNTIFS(nNIA,DATOS!$A1964,nCURSO,DATOS!$D1964,nESPEC,DATOS!$E1964,nASIG,DATOS!$I1964,nEVAL,"EX")=0),0))))</f>
      </c>
      <c r="H1964">
        <f>IF(DATOS!$G1964&lt;&gt;"EX",0,--(COUNTIFS(nNIA,DATOS!$A1964,nCURSO,DATOS!$D1964,nESPEC,DATOS!$E1964,nASIG,DATOS!$I1964,nEVAL,"OR")=0))</f>
      </c>
      <c r="I1964">
        <f>IF(DATOS!$I1964="","",IFERROR(VLOOKUP(DATOS!$I1964,CONFIG_ASIGNATURAS!$B$2:$J$91,9,FALSE()),""))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IF(DATOS!$A1965="",0,IF(CONFIG_METADATA!$B$4&lt;&gt;"OR+EX",--(DATOS!$G1965=CONFIG_METADATA!$B$4),IF(DATOS!$G1965="EX",1,IF(DATOS!$G1965="OR",--(COUNTIFS(nNIA,DATOS!$A1965,nCURSO,DATOS!$D1965,nESPEC,DATOS!$E1965,nASIG,DATOS!$I1965,nEVAL,"EX")=0),0))))</f>
      </c>
      <c r="H1965">
        <f>IF(DATOS!$G1965&lt;&gt;"EX",0,--(COUNTIFS(nNIA,DATOS!$A1965,nCURSO,DATOS!$D1965,nESPEC,DATOS!$E1965,nASIG,DATOS!$I1965,nEVAL,"OR")=0))</f>
      </c>
      <c r="I1965">
        <f>IF(DATOS!$I1965="","",IFERROR(VLOOKUP(DATOS!$I1965,CONFIG_ASIGNATURAS!$B$2:$J$91,9,FALSE()),""))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IF(DATOS!$A1966="",0,IF(CONFIG_METADATA!$B$4&lt;&gt;"OR+EX",--(DATOS!$G1966=CONFIG_METADATA!$B$4),IF(DATOS!$G1966="EX",1,IF(DATOS!$G1966="OR",--(COUNTIFS(nNIA,DATOS!$A1966,nCURSO,DATOS!$D1966,nESPEC,DATOS!$E1966,nASIG,DATOS!$I1966,nEVAL,"EX")=0),0))))</f>
      </c>
      <c r="H1966">
        <f>IF(DATOS!$G1966&lt;&gt;"EX",0,--(COUNTIFS(nNIA,DATOS!$A1966,nCURSO,DATOS!$D1966,nESPEC,DATOS!$E1966,nASIG,DATOS!$I1966,nEVAL,"OR")=0))</f>
      </c>
      <c r="I1966">
        <f>IF(DATOS!$I1966="","",IFERROR(VLOOKUP(DATOS!$I1966,CONFIG_ASIGNATURAS!$B$2:$J$91,9,FALSE()),""))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IF(DATOS!$A1967="",0,IF(CONFIG_METADATA!$B$4&lt;&gt;"OR+EX",--(DATOS!$G1967=CONFIG_METADATA!$B$4),IF(DATOS!$G1967="EX",1,IF(DATOS!$G1967="OR",--(COUNTIFS(nNIA,DATOS!$A1967,nCURSO,DATOS!$D1967,nESPEC,DATOS!$E1967,nASIG,DATOS!$I1967,nEVAL,"EX")=0),0))))</f>
      </c>
      <c r="H1967">
        <f>IF(DATOS!$G1967&lt;&gt;"EX",0,--(COUNTIFS(nNIA,DATOS!$A1967,nCURSO,DATOS!$D1967,nESPEC,DATOS!$E1967,nASIG,DATOS!$I1967,nEVAL,"OR")=0))</f>
      </c>
      <c r="I1967">
        <f>IF(DATOS!$I1967="","",IFERROR(VLOOKUP(DATOS!$I1967,CONFIG_ASIGNATURAS!$B$2:$J$91,9,FALSE()),""))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IF(DATOS!$A1968="",0,IF(CONFIG_METADATA!$B$4&lt;&gt;"OR+EX",--(DATOS!$G1968=CONFIG_METADATA!$B$4),IF(DATOS!$G1968="EX",1,IF(DATOS!$G1968="OR",--(COUNTIFS(nNIA,DATOS!$A1968,nCURSO,DATOS!$D1968,nESPEC,DATOS!$E1968,nASIG,DATOS!$I1968,nEVAL,"EX")=0),0))))</f>
      </c>
      <c r="H1968">
        <f>IF(DATOS!$G1968&lt;&gt;"EX",0,--(COUNTIFS(nNIA,DATOS!$A1968,nCURSO,DATOS!$D1968,nESPEC,DATOS!$E1968,nASIG,DATOS!$I1968,nEVAL,"OR")=0))</f>
      </c>
      <c r="I1968">
        <f>IF(DATOS!$I1968="","",IFERROR(VLOOKUP(DATOS!$I1968,CONFIG_ASIGNATURAS!$B$2:$J$91,9,FALSE()),""))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IF(DATOS!$A1969="",0,IF(CONFIG_METADATA!$B$4&lt;&gt;"OR+EX",--(DATOS!$G1969=CONFIG_METADATA!$B$4),IF(DATOS!$G1969="EX",1,IF(DATOS!$G1969="OR",--(COUNTIFS(nNIA,DATOS!$A1969,nCURSO,DATOS!$D1969,nESPEC,DATOS!$E1969,nASIG,DATOS!$I1969,nEVAL,"EX")=0),0))))</f>
      </c>
      <c r="H1969">
        <f>IF(DATOS!$G1969&lt;&gt;"EX",0,--(COUNTIFS(nNIA,DATOS!$A1969,nCURSO,DATOS!$D1969,nESPEC,DATOS!$E1969,nASIG,DATOS!$I1969,nEVAL,"OR")=0))</f>
      </c>
      <c r="I1969">
        <f>IF(DATOS!$I1969="","",IFERROR(VLOOKUP(DATOS!$I1969,CONFIG_ASIGNATURAS!$B$2:$J$91,9,FALSE()),""))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IF(DATOS!$A1970="",0,IF(CONFIG_METADATA!$B$4&lt;&gt;"OR+EX",--(DATOS!$G1970=CONFIG_METADATA!$B$4),IF(DATOS!$G1970="EX",1,IF(DATOS!$G1970="OR",--(COUNTIFS(nNIA,DATOS!$A1970,nCURSO,DATOS!$D1970,nESPEC,DATOS!$E1970,nASIG,DATOS!$I1970,nEVAL,"EX")=0),0))))</f>
      </c>
      <c r="H1970">
        <f>IF(DATOS!$G1970&lt;&gt;"EX",0,--(COUNTIFS(nNIA,DATOS!$A1970,nCURSO,DATOS!$D1970,nESPEC,DATOS!$E1970,nASIG,DATOS!$I1970,nEVAL,"OR")=0))</f>
      </c>
      <c r="I1970">
        <f>IF(DATOS!$I1970="","",IFERROR(VLOOKUP(DATOS!$I1970,CONFIG_ASIGNATURAS!$B$2:$J$91,9,FALSE()),""))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IF(DATOS!$A1971="",0,IF(CONFIG_METADATA!$B$4&lt;&gt;"OR+EX",--(DATOS!$G1971=CONFIG_METADATA!$B$4),IF(DATOS!$G1971="EX",1,IF(DATOS!$G1971="OR",--(COUNTIFS(nNIA,DATOS!$A1971,nCURSO,DATOS!$D1971,nESPEC,DATOS!$E1971,nASIG,DATOS!$I1971,nEVAL,"EX")=0),0))))</f>
      </c>
      <c r="H1971">
        <f>IF(DATOS!$G1971&lt;&gt;"EX",0,--(COUNTIFS(nNIA,DATOS!$A1971,nCURSO,DATOS!$D1971,nESPEC,DATOS!$E1971,nASIG,DATOS!$I1971,nEVAL,"OR")=0))</f>
      </c>
      <c r="I1971">
        <f>IF(DATOS!$I1971="","",IFERROR(VLOOKUP(DATOS!$I1971,CONFIG_ASIGNATURAS!$B$2:$J$91,9,FALSE()),""))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IF(DATOS!$A1972="",0,IF(CONFIG_METADATA!$B$4&lt;&gt;"OR+EX",--(DATOS!$G1972=CONFIG_METADATA!$B$4),IF(DATOS!$G1972="EX",1,IF(DATOS!$G1972="OR",--(COUNTIFS(nNIA,DATOS!$A1972,nCURSO,DATOS!$D1972,nESPEC,DATOS!$E1972,nASIG,DATOS!$I1972,nEVAL,"EX")=0),0))))</f>
      </c>
      <c r="H1972">
        <f>IF(DATOS!$G1972&lt;&gt;"EX",0,--(COUNTIFS(nNIA,DATOS!$A1972,nCURSO,DATOS!$D1972,nESPEC,DATOS!$E1972,nASIG,DATOS!$I1972,nEVAL,"OR")=0))</f>
      </c>
      <c r="I1972">
        <f>IF(DATOS!$I1972="","",IFERROR(VLOOKUP(DATOS!$I1972,CONFIG_ASIGNATURAS!$B$2:$J$91,9,FALSE()),""))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IF(DATOS!$A1973="",0,IF(CONFIG_METADATA!$B$4&lt;&gt;"OR+EX",--(DATOS!$G1973=CONFIG_METADATA!$B$4),IF(DATOS!$G1973="EX",1,IF(DATOS!$G1973="OR",--(COUNTIFS(nNIA,DATOS!$A1973,nCURSO,DATOS!$D1973,nESPEC,DATOS!$E1973,nASIG,DATOS!$I1973,nEVAL,"EX")=0),0))))</f>
      </c>
      <c r="H1973">
        <f>IF(DATOS!$G1973&lt;&gt;"EX",0,--(COUNTIFS(nNIA,DATOS!$A1973,nCURSO,DATOS!$D1973,nESPEC,DATOS!$E1973,nASIG,DATOS!$I1973,nEVAL,"OR")=0))</f>
      </c>
      <c r="I1973">
        <f>IF(DATOS!$I1973="","",IFERROR(VLOOKUP(DATOS!$I1973,CONFIG_ASIGNATURAS!$B$2:$J$91,9,FALSE()),""))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IF(DATOS!$A1974="",0,IF(CONFIG_METADATA!$B$4&lt;&gt;"OR+EX",--(DATOS!$G1974=CONFIG_METADATA!$B$4),IF(DATOS!$G1974="EX",1,IF(DATOS!$G1974="OR",--(COUNTIFS(nNIA,DATOS!$A1974,nCURSO,DATOS!$D1974,nESPEC,DATOS!$E1974,nASIG,DATOS!$I1974,nEVAL,"EX")=0),0))))</f>
      </c>
      <c r="H1974">
        <f>IF(DATOS!$G1974&lt;&gt;"EX",0,--(COUNTIFS(nNIA,DATOS!$A1974,nCURSO,DATOS!$D1974,nESPEC,DATOS!$E1974,nASIG,DATOS!$I1974,nEVAL,"OR")=0))</f>
      </c>
      <c r="I1974">
        <f>IF(DATOS!$I1974="","",IFERROR(VLOOKUP(DATOS!$I1974,CONFIG_ASIGNATURAS!$B$2:$J$91,9,FALSE()),""))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IF(DATOS!$A1975="",0,IF(CONFIG_METADATA!$B$4&lt;&gt;"OR+EX",--(DATOS!$G1975=CONFIG_METADATA!$B$4),IF(DATOS!$G1975="EX",1,IF(DATOS!$G1975="OR",--(COUNTIFS(nNIA,DATOS!$A1975,nCURSO,DATOS!$D1975,nESPEC,DATOS!$E1975,nASIG,DATOS!$I1975,nEVAL,"EX")=0),0))))</f>
      </c>
      <c r="H1975">
        <f>IF(DATOS!$G1975&lt;&gt;"EX",0,--(COUNTIFS(nNIA,DATOS!$A1975,nCURSO,DATOS!$D1975,nESPEC,DATOS!$E1975,nASIG,DATOS!$I1975,nEVAL,"OR")=0))</f>
      </c>
      <c r="I1975">
        <f>IF(DATOS!$I1975="","",IFERROR(VLOOKUP(DATOS!$I1975,CONFIG_ASIGNATURAS!$B$2:$J$91,9,FALSE()),""))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IF(DATOS!$A1976="",0,IF(CONFIG_METADATA!$B$4&lt;&gt;"OR+EX",--(DATOS!$G1976=CONFIG_METADATA!$B$4),IF(DATOS!$G1976="EX",1,IF(DATOS!$G1976="OR",--(COUNTIFS(nNIA,DATOS!$A1976,nCURSO,DATOS!$D1976,nESPEC,DATOS!$E1976,nASIG,DATOS!$I1976,nEVAL,"EX")=0),0))))</f>
      </c>
      <c r="H1976">
        <f>IF(DATOS!$G1976&lt;&gt;"EX",0,--(COUNTIFS(nNIA,DATOS!$A1976,nCURSO,DATOS!$D1976,nESPEC,DATOS!$E1976,nASIG,DATOS!$I1976,nEVAL,"OR")=0))</f>
      </c>
      <c r="I1976">
        <f>IF(DATOS!$I1976="","",IFERROR(VLOOKUP(DATOS!$I1976,CONFIG_ASIGNATURAS!$B$2:$J$91,9,FALSE()),""))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IF(DATOS!$A1977="",0,IF(CONFIG_METADATA!$B$4&lt;&gt;"OR+EX",--(DATOS!$G1977=CONFIG_METADATA!$B$4),IF(DATOS!$G1977="EX",1,IF(DATOS!$G1977="OR",--(COUNTIFS(nNIA,DATOS!$A1977,nCURSO,DATOS!$D1977,nESPEC,DATOS!$E1977,nASIG,DATOS!$I1977,nEVAL,"EX")=0),0))))</f>
      </c>
      <c r="H1977">
        <f>IF(DATOS!$G1977&lt;&gt;"EX",0,--(COUNTIFS(nNIA,DATOS!$A1977,nCURSO,DATOS!$D1977,nESPEC,DATOS!$E1977,nASIG,DATOS!$I1977,nEVAL,"OR")=0))</f>
      </c>
      <c r="I1977">
        <f>IF(DATOS!$I1977="","",IFERROR(VLOOKUP(DATOS!$I1977,CONFIG_ASIGNATURAS!$B$2:$J$91,9,FALSE()),""))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IF(DATOS!$A1978="",0,IF(CONFIG_METADATA!$B$4&lt;&gt;"OR+EX",--(DATOS!$G1978=CONFIG_METADATA!$B$4),IF(DATOS!$G1978="EX",1,IF(DATOS!$G1978="OR",--(COUNTIFS(nNIA,DATOS!$A1978,nCURSO,DATOS!$D1978,nESPEC,DATOS!$E1978,nASIG,DATOS!$I1978,nEVAL,"EX")=0),0))))</f>
      </c>
      <c r="H1978">
        <f>IF(DATOS!$G1978&lt;&gt;"EX",0,--(COUNTIFS(nNIA,DATOS!$A1978,nCURSO,DATOS!$D1978,nESPEC,DATOS!$E1978,nASIG,DATOS!$I1978,nEVAL,"OR")=0))</f>
      </c>
      <c r="I1978">
        <f>IF(DATOS!$I1978="","",IFERROR(VLOOKUP(DATOS!$I1978,CONFIG_ASIGNATURAS!$B$2:$J$91,9,FALSE()),""))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IF(DATOS!$A1979="",0,IF(CONFIG_METADATA!$B$4&lt;&gt;"OR+EX",--(DATOS!$G1979=CONFIG_METADATA!$B$4),IF(DATOS!$G1979="EX",1,IF(DATOS!$G1979="OR",--(COUNTIFS(nNIA,DATOS!$A1979,nCURSO,DATOS!$D1979,nESPEC,DATOS!$E1979,nASIG,DATOS!$I1979,nEVAL,"EX")=0),0))))</f>
      </c>
      <c r="H1979">
        <f>IF(DATOS!$G1979&lt;&gt;"EX",0,--(COUNTIFS(nNIA,DATOS!$A1979,nCURSO,DATOS!$D1979,nESPEC,DATOS!$E1979,nASIG,DATOS!$I1979,nEVAL,"OR")=0))</f>
      </c>
      <c r="I1979">
        <f>IF(DATOS!$I1979="","",IFERROR(VLOOKUP(DATOS!$I1979,CONFIG_ASIGNATURAS!$B$2:$J$91,9,FALSE()),""))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IF(DATOS!$A1980="",0,IF(CONFIG_METADATA!$B$4&lt;&gt;"OR+EX",--(DATOS!$G1980=CONFIG_METADATA!$B$4),IF(DATOS!$G1980="EX",1,IF(DATOS!$G1980="OR",--(COUNTIFS(nNIA,DATOS!$A1980,nCURSO,DATOS!$D1980,nESPEC,DATOS!$E1980,nASIG,DATOS!$I1980,nEVAL,"EX")=0),0))))</f>
      </c>
      <c r="H1980">
        <f>IF(DATOS!$G1980&lt;&gt;"EX",0,--(COUNTIFS(nNIA,DATOS!$A1980,nCURSO,DATOS!$D1980,nESPEC,DATOS!$E1980,nASIG,DATOS!$I1980,nEVAL,"OR")=0))</f>
      </c>
      <c r="I1980">
        <f>IF(DATOS!$I1980="","",IFERROR(VLOOKUP(DATOS!$I1980,CONFIG_ASIGNATURAS!$B$2:$J$91,9,FALSE()),""))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IF(DATOS!$A1981="",0,IF(CONFIG_METADATA!$B$4&lt;&gt;"OR+EX",--(DATOS!$G1981=CONFIG_METADATA!$B$4),IF(DATOS!$G1981="EX",1,IF(DATOS!$G1981="OR",--(COUNTIFS(nNIA,DATOS!$A1981,nCURSO,DATOS!$D1981,nESPEC,DATOS!$E1981,nASIG,DATOS!$I1981,nEVAL,"EX")=0),0))))</f>
      </c>
      <c r="H1981">
        <f>IF(DATOS!$G1981&lt;&gt;"EX",0,--(COUNTIFS(nNIA,DATOS!$A1981,nCURSO,DATOS!$D1981,nESPEC,DATOS!$E1981,nASIG,DATOS!$I1981,nEVAL,"OR")=0))</f>
      </c>
      <c r="I1981">
        <f>IF(DATOS!$I1981="","",IFERROR(VLOOKUP(DATOS!$I1981,CONFIG_ASIGNATURAS!$B$2:$J$91,9,FALSE()),""))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IF(DATOS!$A1982="",0,IF(CONFIG_METADATA!$B$4&lt;&gt;"OR+EX",--(DATOS!$G1982=CONFIG_METADATA!$B$4),IF(DATOS!$G1982="EX",1,IF(DATOS!$G1982="OR",--(COUNTIFS(nNIA,DATOS!$A1982,nCURSO,DATOS!$D1982,nESPEC,DATOS!$E1982,nASIG,DATOS!$I1982,nEVAL,"EX")=0),0))))</f>
      </c>
      <c r="H1982">
        <f>IF(DATOS!$G1982&lt;&gt;"EX",0,--(COUNTIFS(nNIA,DATOS!$A1982,nCURSO,DATOS!$D1982,nESPEC,DATOS!$E1982,nASIG,DATOS!$I1982,nEVAL,"OR")=0))</f>
      </c>
      <c r="I1982">
        <f>IF(DATOS!$I1982="","",IFERROR(VLOOKUP(DATOS!$I1982,CONFIG_ASIGNATURAS!$B$2:$J$91,9,FALSE()),""))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IF(DATOS!$A1983="",0,IF(CONFIG_METADATA!$B$4&lt;&gt;"OR+EX",--(DATOS!$G1983=CONFIG_METADATA!$B$4),IF(DATOS!$G1983="EX",1,IF(DATOS!$G1983="OR",--(COUNTIFS(nNIA,DATOS!$A1983,nCURSO,DATOS!$D1983,nESPEC,DATOS!$E1983,nASIG,DATOS!$I1983,nEVAL,"EX")=0),0))))</f>
      </c>
      <c r="H1983">
        <f>IF(DATOS!$G1983&lt;&gt;"EX",0,--(COUNTIFS(nNIA,DATOS!$A1983,nCURSO,DATOS!$D1983,nESPEC,DATOS!$E1983,nASIG,DATOS!$I1983,nEVAL,"OR")=0))</f>
      </c>
      <c r="I1983">
        <f>IF(DATOS!$I1983="","",IFERROR(VLOOKUP(DATOS!$I1983,CONFIG_ASIGNATURAS!$B$2:$J$91,9,FALSE()),""))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IF(DATOS!$A1984="",0,IF(CONFIG_METADATA!$B$4&lt;&gt;"OR+EX",--(DATOS!$G1984=CONFIG_METADATA!$B$4),IF(DATOS!$G1984="EX",1,IF(DATOS!$G1984="OR",--(COUNTIFS(nNIA,DATOS!$A1984,nCURSO,DATOS!$D1984,nESPEC,DATOS!$E1984,nASIG,DATOS!$I1984,nEVAL,"EX")=0),0))))</f>
      </c>
      <c r="H1984">
        <f>IF(DATOS!$G1984&lt;&gt;"EX",0,--(COUNTIFS(nNIA,DATOS!$A1984,nCURSO,DATOS!$D1984,nESPEC,DATOS!$E1984,nASIG,DATOS!$I1984,nEVAL,"OR")=0))</f>
      </c>
      <c r="I1984">
        <f>IF(DATOS!$I1984="","",IFERROR(VLOOKUP(DATOS!$I1984,CONFIG_ASIGNATURAS!$B$2:$J$91,9,FALSE()),""))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IF(DATOS!$A1985="",0,IF(CONFIG_METADATA!$B$4&lt;&gt;"OR+EX",--(DATOS!$G1985=CONFIG_METADATA!$B$4),IF(DATOS!$G1985="EX",1,IF(DATOS!$G1985="OR",--(COUNTIFS(nNIA,DATOS!$A1985,nCURSO,DATOS!$D1985,nESPEC,DATOS!$E1985,nASIG,DATOS!$I1985,nEVAL,"EX")=0),0))))</f>
      </c>
      <c r="H1985">
        <f>IF(DATOS!$G1985&lt;&gt;"EX",0,--(COUNTIFS(nNIA,DATOS!$A1985,nCURSO,DATOS!$D1985,nESPEC,DATOS!$E1985,nASIG,DATOS!$I1985,nEVAL,"OR")=0))</f>
      </c>
      <c r="I1985">
        <f>IF(DATOS!$I1985="","",IFERROR(VLOOKUP(DATOS!$I1985,CONFIG_ASIGNATURAS!$B$2:$J$91,9,FALSE()),""))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IF(DATOS!$A1986="",0,IF(CONFIG_METADATA!$B$4&lt;&gt;"OR+EX",--(DATOS!$G1986=CONFIG_METADATA!$B$4),IF(DATOS!$G1986="EX",1,IF(DATOS!$G1986="OR",--(COUNTIFS(nNIA,DATOS!$A1986,nCURSO,DATOS!$D1986,nESPEC,DATOS!$E1986,nASIG,DATOS!$I1986,nEVAL,"EX")=0),0))))</f>
      </c>
      <c r="H1986">
        <f>IF(DATOS!$G1986&lt;&gt;"EX",0,--(COUNTIFS(nNIA,DATOS!$A1986,nCURSO,DATOS!$D1986,nESPEC,DATOS!$E1986,nASIG,DATOS!$I1986,nEVAL,"OR")=0))</f>
      </c>
      <c r="I1986">
        <f>IF(DATOS!$I1986="","",IFERROR(VLOOKUP(DATOS!$I1986,CONFIG_ASIGNATURAS!$B$2:$J$91,9,FALSE()),""))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IF(DATOS!$A1987="",0,IF(CONFIG_METADATA!$B$4&lt;&gt;"OR+EX",--(DATOS!$G1987=CONFIG_METADATA!$B$4),IF(DATOS!$G1987="EX",1,IF(DATOS!$G1987="OR",--(COUNTIFS(nNIA,DATOS!$A1987,nCURSO,DATOS!$D1987,nESPEC,DATOS!$E1987,nASIG,DATOS!$I1987,nEVAL,"EX")=0),0))))</f>
      </c>
      <c r="H1987">
        <f>IF(DATOS!$G1987&lt;&gt;"EX",0,--(COUNTIFS(nNIA,DATOS!$A1987,nCURSO,DATOS!$D1987,nESPEC,DATOS!$E1987,nASIG,DATOS!$I1987,nEVAL,"OR")=0))</f>
      </c>
      <c r="I1987">
        <f>IF(DATOS!$I1987="","",IFERROR(VLOOKUP(DATOS!$I1987,CONFIG_ASIGNATURAS!$B$2:$J$91,9,FALSE()),""))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IF(DATOS!$A1988="",0,IF(CONFIG_METADATA!$B$4&lt;&gt;"OR+EX",--(DATOS!$G1988=CONFIG_METADATA!$B$4),IF(DATOS!$G1988="EX",1,IF(DATOS!$G1988="OR",--(COUNTIFS(nNIA,DATOS!$A1988,nCURSO,DATOS!$D1988,nESPEC,DATOS!$E1988,nASIG,DATOS!$I1988,nEVAL,"EX")=0),0))))</f>
      </c>
      <c r="H1988">
        <f>IF(DATOS!$G1988&lt;&gt;"EX",0,--(COUNTIFS(nNIA,DATOS!$A1988,nCURSO,DATOS!$D1988,nESPEC,DATOS!$E1988,nASIG,DATOS!$I1988,nEVAL,"OR")=0))</f>
      </c>
      <c r="I1988">
        <f>IF(DATOS!$I1988="","",IFERROR(VLOOKUP(DATOS!$I1988,CONFIG_ASIGNATURAS!$B$2:$J$91,9,FALSE()),""))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IF(DATOS!$A1989="",0,IF(CONFIG_METADATA!$B$4&lt;&gt;"OR+EX",--(DATOS!$G1989=CONFIG_METADATA!$B$4),IF(DATOS!$G1989="EX",1,IF(DATOS!$G1989="OR",--(COUNTIFS(nNIA,DATOS!$A1989,nCURSO,DATOS!$D1989,nESPEC,DATOS!$E1989,nASIG,DATOS!$I1989,nEVAL,"EX")=0),0))))</f>
      </c>
      <c r="H1989">
        <f>IF(DATOS!$G1989&lt;&gt;"EX",0,--(COUNTIFS(nNIA,DATOS!$A1989,nCURSO,DATOS!$D1989,nESPEC,DATOS!$E1989,nASIG,DATOS!$I1989,nEVAL,"OR")=0))</f>
      </c>
      <c r="I1989">
        <f>IF(DATOS!$I1989="","",IFERROR(VLOOKUP(DATOS!$I1989,CONFIG_ASIGNATURAS!$B$2:$J$91,9,FALSE()),""))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IF(DATOS!$A1990="",0,IF(CONFIG_METADATA!$B$4&lt;&gt;"OR+EX",--(DATOS!$G1990=CONFIG_METADATA!$B$4),IF(DATOS!$G1990="EX",1,IF(DATOS!$G1990="OR",--(COUNTIFS(nNIA,DATOS!$A1990,nCURSO,DATOS!$D1990,nESPEC,DATOS!$E1990,nASIG,DATOS!$I1990,nEVAL,"EX")=0),0))))</f>
      </c>
      <c r="H1990">
        <f>IF(DATOS!$G1990&lt;&gt;"EX",0,--(COUNTIFS(nNIA,DATOS!$A1990,nCURSO,DATOS!$D1990,nESPEC,DATOS!$E1990,nASIG,DATOS!$I1990,nEVAL,"OR")=0))</f>
      </c>
      <c r="I1990">
        <f>IF(DATOS!$I1990="","",IFERROR(VLOOKUP(DATOS!$I1990,CONFIG_ASIGNATURAS!$B$2:$J$91,9,FALSE()),""))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IF(DATOS!$A1991="",0,IF(CONFIG_METADATA!$B$4&lt;&gt;"OR+EX",--(DATOS!$G1991=CONFIG_METADATA!$B$4),IF(DATOS!$G1991="EX",1,IF(DATOS!$G1991="OR",--(COUNTIFS(nNIA,DATOS!$A1991,nCURSO,DATOS!$D1991,nESPEC,DATOS!$E1991,nASIG,DATOS!$I1991,nEVAL,"EX")=0),0))))</f>
      </c>
      <c r="H1991">
        <f>IF(DATOS!$G1991&lt;&gt;"EX",0,--(COUNTIFS(nNIA,DATOS!$A1991,nCURSO,DATOS!$D1991,nESPEC,DATOS!$E1991,nASIG,DATOS!$I1991,nEVAL,"OR")=0))</f>
      </c>
      <c r="I1991">
        <f>IF(DATOS!$I1991="","",IFERROR(VLOOKUP(DATOS!$I1991,CONFIG_ASIGNATURAS!$B$2:$J$91,9,FALSE()),""))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IF(DATOS!$A1992="",0,IF(CONFIG_METADATA!$B$4&lt;&gt;"OR+EX",--(DATOS!$G1992=CONFIG_METADATA!$B$4),IF(DATOS!$G1992="EX",1,IF(DATOS!$G1992="OR",--(COUNTIFS(nNIA,DATOS!$A1992,nCURSO,DATOS!$D1992,nESPEC,DATOS!$E1992,nASIG,DATOS!$I1992,nEVAL,"EX")=0),0))))</f>
      </c>
      <c r="H1992">
        <f>IF(DATOS!$G1992&lt;&gt;"EX",0,--(COUNTIFS(nNIA,DATOS!$A1992,nCURSO,DATOS!$D1992,nESPEC,DATOS!$E1992,nASIG,DATOS!$I1992,nEVAL,"OR")=0))</f>
      </c>
      <c r="I1992">
        <f>IF(DATOS!$I1992="","",IFERROR(VLOOKUP(DATOS!$I1992,CONFIG_ASIGNATURAS!$B$2:$J$91,9,FALSE()),""))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IF(DATOS!$A1993="",0,IF(CONFIG_METADATA!$B$4&lt;&gt;"OR+EX",--(DATOS!$G1993=CONFIG_METADATA!$B$4),IF(DATOS!$G1993="EX",1,IF(DATOS!$G1993="OR",--(COUNTIFS(nNIA,DATOS!$A1993,nCURSO,DATOS!$D1993,nESPEC,DATOS!$E1993,nASIG,DATOS!$I1993,nEVAL,"EX")=0),0))))</f>
      </c>
      <c r="H1993">
        <f>IF(DATOS!$G1993&lt;&gt;"EX",0,--(COUNTIFS(nNIA,DATOS!$A1993,nCURSO,DATOS!$D1993,nESPEC,DATOS!$E1993,nASIG,DATOS!$I1993,nEVAL,"OR")=0))</f>
      </c>
      <c r="I1993">
        <f>IF(DATOS!$I1993="","",IFERROR(VLOOKUP(DATOS!$I1993,CONFIG_ASIGNATURAS!$B$2:$J$91,9,FALSE()),""))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IF(DATOS!$A1994="",0,IF(CONFIG_METADATA!$B$4&lt;&gt;"OR+EX",--(DATOS!$G1994=CONFIG_METADATA!$B$4),IF(DATOS!$G1994="EX",1,IF(DATOS!$G1994="OR",--(COUNTIFS(nNIA,DATOS!$A1994,nCURSO,DATOS!$D1994,nESPEC,DATOS!$E1994,nASIG,DATOS!$I1994,nEVAL,"EX")=0),0))))</f>
      </c>
      <c r="H1994">
        <f>IF(DATOS!$G1994&lt;&gt;"EX",0,--(COUNTIFS(nNIA,DATOS!$A1994,nCURSO,DATOS!$D1994,nESPEC,DATOS!$E1994,nASIG,DATOS!$I1994,nEVAL,"OR")=0))</f>
      </c>
      <c r="I1994">
        <f>IF(DATOS!$I1994="","",IFERROR(VLOOKUP(DATOS!$I1994,CONFIG_ASIGNATURAS!$B$2:$J$91,9,FALSE()),""))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IF(DATOS!$A1995="",0,IF(CONFIG_METADATA!$B$4&lt;&gt;"OR+EX",--(DATOS!$G1995=CONFIG_METADATA!$B$4),IF(DATOS!$G1995="EX",1,IF(DATOS!$G1995="OR",--(COUNTIFS(nNIA,DATOS!$A1995,nCURSO,DATOS!$D1995,nESPEC,DATOS!$E1995,nASIG,DATOS!$I1995,nEVAL,"EX")=0),0))))</f>
      </c>
      <c r="H1995">
        <f>IF(DATOS!$G1995&lt;&gt;"EX",0,--(COUNTIFS(nNIA,DATOS!$A1995,nCURSO,DATOS!$D1995,nESPEC,DATOS!$E1995,nASIG,DATOS!$I1995,nEVAL,"OR")=0))</f>
      </c>
      <c r="I1995">
        <f>IF(DATOS!$I1995="","",IFERROR(VLOOKUP(DATOS!$I1995,CONFIG_ASIGNATURAS!$B$2:$J$91,9,FALSE()),""))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IF(DATOS!$A1996="",0,IF(CONFIG_METADATA!$B$4&lt;&gt;"OR+EX",--(DATOS!$G1996=CONFIG_METADATA!$B$4),IF(DATOS!$G1996="EX",1,IF(DATOS!$G1996="OR",--(COUNTIFS(nNIA,DATOS!$A1996,nCURSO,DATOS!$D1996,nESPEC,DATOS!$E1996,nASIG,DATOS!$I1996,nEVAL,"EX")=0),0))))</f>
      </c>
      <c r="H1996">
        <f>IF(DATOS!$G1996&lt;&gt;"EX",0,--(COUNTIFS(nNIA,DATOS!$A1996,nCURSO,DATOS!$D1996,nESPEC,DATOS!$E1996,nASIG,DATOS!$I1996,nEVAL,"OR")=0))</f>
      </c>
      <c r="I1996">
        <f>IF(DATOS!$I1996="","",IFERROR(VLOOKUP(DATOS!$I1996,CONFIG_ASIGNATURAS!$B$2:$J$91,9,FALSE()),""))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IF(DATOS!$A1997="",0,IF(CONFIG_METADATA!$B$4&lt;&gt;"OR+EX",--(DATOS!$G1997=CONFIG_METADATA!$B$4),IF(DATOS!$G1997="EX",1,IF(DATOS!$G1997="OR",--(COUNTIFS(nNIA,DATOS!$A1997,nCURSO,DATOS!$D1997,nESPEC,DATOS!$E1997,nASIG,DATOS!$I1997,nEVAL,"EX")=0),0))))</f>
      </c>
      <c r="H1997">
        <f>IF(DATOS!$G1997&lt;&gt;"EX",0,--(COUNTIFS(nNIA,DATOS!$A1997,nCURSO,DATOS!$D1997,nESPEC,DATOS!$E1997,nASIG,DATOS!$I1997,nEVAL,"OR")=0))</f>
      </c>
      <c r="I1997">
        <f>IF(DATOS!$I1997="","",IFERROR(VLOOKUP(DATOS!$I1997,CONFIG_ASIGNATURAS!$B$2:$J$91,9,FALSE()),""))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IF(DATOS!$A1998="",0,IF(CONFIG_METADATA!$B$4&lt;&gt;"OR+EX",--(DATOS!$G1998=CONFIG_METADATA!$B$4),IF(DATOS!$G1998="EX",1,IF(DATOS!$G1998="OR",--(COUNTIFS(nNIA,DATOS!$A1998,nCURSO,DATOS!$D1998,nESPEC,DATOS!$E1998,nASIG,DATOS!$I1998,nEVAL,"EX")=0),0))))</f>
      </c>
      <c r="H1998">
        <f>IF(DATOS!$G1998&lt;&gt;"EX",0,--(COUNTIFS(nNIA,DATOS!$A1998,nCURSO,DATOS!$D1998,nESPEC,DATOS!$E1998,nASIG,DATOS!$I1998,nEVAL,"OR")=0))</f>
      </c>
      <c r="I1998">
        <f>IF(DATOS!$I1998="","",IFERROR(VLOOKUP(DATOS!$I1998,CONFIG_ASIGNATURAS!$B$2:$J$91,9,FALSE()),""))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IF(DATOS!$A1999="",0,IF(CONFIG_METADATA!$B$4&lt;&gt;"OR+EX",--(DATOS!$G1999=CONFIG_METADATA!$B$4),IF(DATOS!$G1999="EX",1,IF(DATOS!$G1999="OR",--(COUNTIFS(nNIA,DATOS!$A1999,nCURSO,DATOS!$D1999,nESPEC,DATOS!$E1999,nASIG,DATOS!$I1999,nEVAL,"EX")=0),0))))</f>
      </c>
      <c r="H1999">
        <f>IF(DATOS!$G1999&lt;&gt;"EX",0,--(COUNTIFS(nNIA,DATOS!$A1999,nCURSO,DATOS!$D1999,nESPEC,DATOS!$E1999,nASIG,DATOS!$I1999,nEVAL,"OR")=0))</f>
      </c>
      <c r="I1999">
        <f>IF(DATOS!$I1999="","",IFERROR(VLOOKUP(DATOS!$I1999,CONFIG_ASIGNATURAS!$B$2:$J$91,9,FALSE()),""))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IF(DATOS!$A2000="",0,IF(CONFIG_METADATA!$B$4&lt;&gt;"OR+EX",--(DATOS!$G2000=CONFIG_METADATA!$B$4),IF(DATOS!$G2000="EX",1,IF(DATOS!$G2000="OR",--(COUNTIFS(nNIA,DATOS!$A2000,nCURSO,DATOS!$D2000,nESPEC,DATOS!$E2000,nASIG,DATOS!$I2000,nEVAL,"EX")=0),0))))</f>
      </c>
      <c r="H2000">
        <f>IF(DATOS!$G2000&lt;&gt;"EX",0,--(COUNTIFS(nNIA,DATOS!$A2000,nCURSO,DATOS!$D2000,nESPEC,DATOS!$E2000,nASIG,DATOS!$I2000,nEVAL,"OR")=0))</f>
      </c>
      <c r="I2000">
        <f>IF(DATOS!$I2000="","",IFERROR(VLOOKUP(DATOS!$I2000,CONFIG_ASIGNATURAS!$B$2:$J$91,9,FALSE()),""))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IF(DATOS!$A2001="",0,IF(CONFIG_METADATA!$B$4&lt;&gt;"OR+EX",--(DATOS!$G2001=CONFIG_METADATA!$B$4),IF(DATOS!$G2001="EX",1,IF(DATOS!$G2001="OR",--(COUNTIFS(nNIA,DATOS!$A2001,nCURSO,DATOS!$D2001,nESPEC,DATOS!$E2001,nASIG,DATOS!$I2001,nEVAL,"EX")=0),0))))</f>
      </c>
      <c r="H2001">
        <f>IF(DATOS!$G2001&lt;&gt;"EX",0,--(COUNTIFS(nNIA,DATOS!$A2001,nCURSO,DATOS!$D2001,nESPEC,DATOS!$E2001,nASIG,DATOS!$I2001,nEVAL,"OR")=0))</f>
      </c>
      <c r="I2001">
        <f>IF(DATOS!$I2001="","",IFERROR(VLOOKUP(DATOS!$I2001,CONFIG_ASIGNATURAS!$B$2:$J$91,9,FALSE()),""))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IF(DATOS!$A2002="",0,IF(CONFIG_METADATA!$B$4&lt;&gt;"OR+EX",--(DATOS!$G2002=CONFIG_METADATA!$B$4),IF(DATOS!$G2002="EX",1,IF(DATOS!$G2002="OR",--(COUNTIFS(nNIA,DATOS!$A2002,nCURSO,DATOS!$D2002,nESPEC,DATOS!$E2002,nASIG,DATOS!$I2002,nEVAL,"EX")=0),0))))</f>
      </c>
      <c r="H2002">
        <f>IF(DATOS!$G2002&lt;&gt;"EX",0,--(COUNTIFS(nNIA,DATOS!$A2002,nCURSO,DATOS!$D2002,nESPEC,DATOS!$E2002,nASIG,DATOS!$I2002,nEVAL,"OR")=0))</f>
      </c>
      <c r="I2002">
        <f>IF(DATOS!$I2002="","",IFERROR(VLOOKUP(DATOS!$I2002,CONFIG_ASIGNATURAS!$B$2:$J$91,9,FALSE()),""))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IF(DATOS!$A2003="",0,IF(CONFIG_METADATA!$B$4&lt;&gt;"OR+EX",--(DATOS!$G2003=CONFIG_METADATA!$B$4),IF(DATOS!$G2003="EX",1,IF(DATOS!$G2003="OR",--(COUNTIFS(nNIA,DATOS!$A2003,nCURSO,DATOS!$D2003,nESPEC,DATOS!$E2003,nASIG,DATOS!$I2003,nEVAL,"EX")=0),0))))</f>
      </c>
      <c r="H2003">
        <f>IF(DATOS!$G2003&lt;&gt;"EX",0,--(COUNTIFS(nNIA,DATOS!$A2003,nCURSO,DATOS!$D2003,nESPEC,DATOS!$E2003,nASIG,DATOS!$I2003,nEVAL,"OR")=0))</f>
      </c>
      <c r="I2003">
        <f>IF(DATOS!$I2003="","",IFERROR(VLOOKUP(DATOS!$I2003,CONFIG_ASIGNATURAS!$B$2:$J$91,9,FALSE()),""))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IF(DATOS!$A2004="",0,IF(CONFIG_METADATA!$B$4&lt;&gt;"OR+EX",--(DATOS!$G2004=CONFIG_METADATA!$B$4),IF(DATOS!$G2004="EX",1,IF(DATOS!$G2004="OR",--(COUNTIFS(nNIA,DATOS!$A2004,nCURSO,DATOS!$D2004,nESPEC,DATOS!$E2004,nASIG,DATOS!$I2004,nEVAL,"EX")=0),0))))</f>
      </c>
      <c r="H2004">
        <f>IF(DATOS!$G2004&lt;&gt;"EX",0,--(COUNTIFS(nNIA,DATOS!$A2004,nCURSO,DATOS!$D2004,nESPEC,DATOS!$E2004,nASIG,DATOS!$I2004,nEVAL,"OR")=0))</f>
      </c>
      <c r="I2004">
        <f>IF(DATOS!$I2004="","",IFERROR(VLOOKUP(DATOS!$I2004,CONFIG_ASIGNATURAS!$B$2:$J$91,9,FALSE()),""))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IF(DATOS!$A2005="",0,IF(CONFIG_METADATA!$B$4&lt;&gt;"OR+EX",--(DATOS!$G2005=CONFIG_METADATA!$B$4),IF(DATOS!$G2005="EX",1,IF(DATOS!$G2005="OR",--(COUNTIFS(nNIA,DATOS!$A2005,nCURSO,DATOS!$D2005,nESPEC,DATOS!$E2005,nASIG,DATOS!$I2005,nEVAL,"EX")=0),0))))</f>
      </c>
      <c r="H2005">
        <f>IF(DATOS!$G2005&lt;&gt;"EX",0,--(COUNTIFS(nNIA,DATOS!$A2005,nCURSO,DATOS!$D2005,nESPEC,DATOS!$E2005,nASIG,DATOS!$I2005,nEVAL,"OR")=0))</f>
      </c>
      <c r="I2005">
        <f>IF(DATOS!$I2005="","",IFERROR(VLOOKUP(DATOS!$I2005,CONFIG_ASIGNATURAS!$B$2:$J$91,9,FALSE()),""))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IF(DATOS!$A2006="",0,IF(CONFIG_METADATA!$B$4&lt;&gt;"OR+EX",--(DATOS!$G2006=CONFIG_METADATA!$B$4),IF(DATOS!$G2006="EX",1,IF(DATOS!$G2006="OR",--(COUNTIFS(nNIA,DATOS!$A2006,nCURSO,DATOS!$D2006,nESPEC,DATOS!$E2006,nASIG,DATOS!$I2006,nEVAL,"EX")=0),0))))</f>
      </c>
      <c r="H2006">
        <f>IF(DATOS!$G2006&lt;&gt;"EX",0,--(COUNTIFS(nNIA,DATOS!$A2006,nCURSO,DATOS!$D2006,nESPEC,DATOS!$E2006,nASIG,DATOS!$I2006,nEVAL,"OR")=0))</f>
      </c>
      <c r="I2006">
        <f>IF(DATOS!$I2006="","",IFERROR(VLOOKUP(DATOS!$I2006,CONFIG_ASIGNATURAS!$B$2:$J$91,9,FALSE()),""))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IF(DATOS!$A2007="",0,IF(CONFIG_METADATA!$B$4&lt;&gt;"OR+EX",--(DATOS!$G2007=CONFIG_METADATA!$B$4),IF(DATOS!$G2007="EX",1,IF(DATOS!$G2007="OR",--(COUNTIFS(nNIA,DATOS!$A2007,nCURSO,DATOS!$D2007,nESPEC,DATOS!$E2007,nASIG,DATOS!$I2007,nEVAL,"EX")=0),0))))</f>
      </c>
      <c r="H2007">
        <f>IF(DATOS!$G2007&lt;&gt;"EX",0,--(COUNTIFS(nNIA,DATOS!$A2007,nCURSO,DATOS!$D2007,nESPEC,DATOS!$E2007,nASIG,DATOS!$I2007,nEVAL,"OR")=0))</f>
      </c>
      <c r="I2007">
        <f>IF(DATOS!$I2007="","",IFERROR(VLOOKUP(DATOS!$I2007,CONFIG_ASIGNATURAS!$B$2:$J$91,9,FALSE()),""))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IF(DATOS!$A2008="",0,IF(CONFIG_METADATA!$B$4&lt;&gt;"OR+EX",--(DATOS!$G2008=CONFIG_METADATA!$B$4),IF(DATOS!$G2008="EX",1,IF(DATOS!$G2008="OR",--(COUNTIFS(nNIA,DATOS!$A2008,nCURSO,DATOS!$D2008,nESPEC,DATOS!$E2008,nASIG,DATOS!$I2008,nEVAL,"EX")=0),0))))</f>
      </c>
      <c r="H2008">
        <f>IF(DATOS!$G2008&lt;&gt;"EX",0,--(COUNTIFS(nNIA,DATOS!$A2008,nCURSO,DATOS!$D2008,nESPEC,DATOS!$E2008,nASIG,DATOS!$I2008,nEVAL,"OR")=0))</f>
      </c>
      <c r="I2008">
        <f>IF(DATOS!$I2008="","",IFERROR(VLOOKUP(DATOS!$I2008,CONFIG_ASIGNATURAS!$B$2:$J$91,9,FALSE()),""))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IF(DATOS!$A2009="",0,IF(CONFIG_METADATA!$B$4&lt;&gt;"OR+EX",--(DATOS!$G2009=CONFIG_METADATA!$B$4),IF(DATOS!$G2009="EX",1,IF(DATOS!$G2009="OR",--(COUNTIFS(nNIA,DATOS!$A2009,nCURSO,DATOS!$D2009,nESPEC,DATOS!$E2009,nASIG,DATOS!$I2009,nEVAL,"EX")=0),0))))</f>
      </c>
      <c r="H2009">
        <f>IF(DATOS!$G2009&lt;&gt;"EX",0,--(COUNTIFS(nNIA,DATOS!$A2009,nCURSO,DATOS!$D2009,nESPEC,DATOS!$E2009,nASIG,DATOS!$I2009,nEVAL,"OR")=0))</f>
      </c>
      <c r="I2009">
        <f>IF(DATOS!$I2009="","",IFERROR(VLOOKUP(DATOS!$I2009,CONFIG_ASIGNATURAS!$B$2:$J$91,9,FALSE()),""))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IF(DATOS!$A2010="",0,IF(CONFIG_METADATA!$B$4&lt;&gt;"OR+EX",--(DATOS!$G2010=CONFIG_METADATA!$B$4),IF(DATOS!$G2010="EX",1,IF(DATOS!$G2010="OR",--(COUNTIFS(nNIA,DATOS!$A2010,nCURSO,DATOS!$D2010,nESPEC,DATOS!$E2010,nASIG,DATOS!$I2010,nEVAL,"EX")=0),0))))</f>
      </c>
      <c r="H2010">
        <f>IF(DATOS!$G2010&lt;&gt;"EX",0,--(COUNTIFS(nNIA,DATOS!$A2010,nCURSO,DATOS!$D2010,nESPEC,DATOS!$E2010,nASIG,DATOS!$I2010,nEVAL,"OR")=0))</f>
      </c>
      <c r="I2010">
        <f>IF(DATOS!$I2010="","",IFERROR(VLOOKUP(DATOS!$I2010,CONFIG_ASIGNATURAS!$B$2:$J$91,9,FALSE()),""))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IF(DATOS!$A2011="",0,IF(CONFIG_METADATA!$B$4&lt;&gt;"OR+EX",--(DATOS!$G2011=CONFIG_METADATA!$B$4),IF(DATOS!$G2011="EX",1,IF(DATOS!$G2011="OR",--(COUNTIFS(nNIA,DATOS!$A2011,nCURSO,DATOS!$D2011,nESPEC,DATOS!$E2011,nASIG,DATOS!$I2011,nEVAL,"EX")=0),0))))</f>
      </c>
      <c r="H2011">
        <f>IF(DATOS!$G2011&lt;&gt;"EX",0,--(COUNTIFS(nNIA,DATOS!$A2011,nCURSO,DATOS!$D2011,nESPEC,DATOS!$E2011,nASIG,DATOS!$I2011,nEVAL,"OR")=0))</f>
      </c>
      <c r="I2011">
        <f>IF(DATOS!$I2011="","",IFERROR(VLOOKUP(DATOS!$I2011,CONFIG_ASIGNATURAS!$B$2:$J$91,9,FALSE()),""))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IF(DATOS!$A2012="",0,IF(CONFIG_METADATA!$B$4&lt;&gt;"OR+EX",--(DATOS!$G2012=CONFIG_METADATA!$B$4),IF(DATOS!$G2012="EX",1,IF(DATOS!$G2012="OR",--(COUNTIFS(nNIA,DATOS!$A2012,nCURSO,DATOS!$D2012,nESPEC,DATOS!$E2012,nASIG,DATOS!$I2012,nEVAL,"EX")=0),0))))</f>
      </c>
      <c r="H2012">
        <f>IF(DATOS!$G2012&lt;&gt;"EX",0,--(COUNTIFS(nNIA,DATOS!$A2012,nCURSO,DATOS!$D2012,nESPEC,DATOS!$E2012,nASIG,DATOS!$I2012,nEVAL,"OR")=0))</f>
      </c>
      <c r="I2012">
        <f>IF(DATOS!$I2012="","",IFERROR(VLOOKUP(DATOS!$I2012,CONFIG_ASIGNATURAS!$B$2:$J$91,9,FALSE()),""))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IF(DATOS!$A2013="",0,IF(CONFIG_METADATA!$B$4&lt;&gt;"OR+EX",--(DATOS!$G2013=CONFIG_METADATA!$B$4),IF(DATOS!$G2013="EX",1,IF(DATOS!$G2013="OR",--(COUNTIFS(nNIA,DATOS!$A2013,nCURSO,DATOS!$D2013,nESPEC,DATOS!$E2013,nASIG,DATOS!$I2013,nEVAL,"EX")=0),0))))</f>
      </c>
      <c r="H2013">
        <f>IF(DATOS!$G2013&lt;&gt;"EX",0,--(COUNTIFS(nNIA,DATOS!$A2013,nCURSO,DATOS!$D2013,nESPEC,DATOS!$E2013,nASIG,DATOS!$I2013,nEVAL,"OR")=0))</f>
      </c>
      <c r="I2013">
        <f>IF(DATOS!$I2013="","",IFERROR(VLOOKUP(DATOS!$I2013,CONFIG_ASIGNATURAS!$B$2:$J$91,9,FALSE()),""))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IF(DATOS!$A2014="",0,IF(CONFIG_METADATA!$B$4&lt;&gt;"OR+EX",--(DATOS!$G2014=CONFIG_METADATA!$B$4),IF(DATOS!$G2014="EX",1,IF(DATOS!$G2014="OR",--(COUNTIFS(nNIA,DATOS!$A2014,nCURSO,DATOS!$D2014,nESPEC,DATOS!$E2014,nASIG,DATOS!$I2014,nEVAL,"EX")=0),0))))</f>
      </c>
      <c r="H2014">
        <f>IF(DATOS!$G2014&lt;&gt;"EX",0,--(COUNTIFS(nNIA,DATOS!$A2014,nCURSO,DATOS!$D2014,nESPEC,DATOS!$E2014,nASIG,DATOS!$I2014,nEVAL,"OR")=0))</f>
      </c>
      <c r="I2014">
        <f>IF(DATOS!$I2014="","",IFERROR(VLOOKUP(DATOS!$I2014,CONFIG_ASIGNATURAS!$B$2:$J$91,9,FALSE()),""))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IF(DATOS!$A2015="",0,IF(CONFIG_METADATA!$B$4&lt;&gt;"OR+EX",--(DATOS!$G2015=CONFIG_METADATA!$B$4),IF(DATOS!$G2015="EX",1,IF(DATOS!$G2015="OR",--(COUNTIFS(nNIA,DATOS!$A2015,nCURSO,DATOS!$D2015,nESPEC,DATOS!$E2015,nASIG,DATOS!$I2015,nEVAL,"EX")=0),0))))</f>
      </c>
      <c r="H2015">
        <f>IF(DATOS!$G2015&lt;&gt;"EX",0,--(COUNTIFS(nNIA,DATOS!$A2015,nCURSO,DATOS!$D2015,nESPEC,DATOS!$E2015,nASIG,DATOS!$I2015,nEVAL,"OR")=0))</f>
      </c>
      <c r="I2015">
        <f>IF(DATOS!$I2015="","",IFERROR(VLOOKUP(DATOS!$I2015,CONFIG_ASIGNATURAS!$B$2:$J$91,9,FALSE()),""))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IF(DATOS!$A2016="",0,IF(CONFIG_METADATA!$B$4&lt;&gt;"OR+EX",--(DATOS!$G2016=CONFIG_METADATA!$B$4),IF(DATOS!$G2016="EX",1,IF(DATOS!$G2016="OR",--(COUNTIFS(nNIA,DATOS!$A2016,nCURSO,DATOS!$D2016,nESPEC,DATOS!$E2016,nASIG,DATOS!$I2016,nEVAL,"EX")=0),0))))</f>
      </c>
      <c r="H2016">
        <f>IF(DATOS!$G2016&lt;&gt;"EX",0,--(COUNTIFS(nNIA,DATOS!$A2016,nCURSO,DATOS!$D2016,nESPEC,DATOS!$E2016,nASIG,DATOS!$I2016,nEVAL,"OR")=0))</f>
      </c>
      <c r="I2016">
        <f>IF(DATOS!$I2016="","",IFERROR(VLOOKUP(DATOS!$I2016,CONFIG_ASIGNATURAS!$B$2:$J$91,9,FALSE()),""))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IF(DATOS!$A2017="",0,IF(CONFIG_METADATA!$B$4&lt;&gt;"OR+EX",--(DATOS!$G2017=CONFIG_METADATA!$B$4),IF(DATOS!$G2017="EX",1,IF(DATOS!$G2017="OR",--(COUNTIFS(nNIA,DATOS!$A2017,nCURSO,DATOS!$D2017,nESPEC,DATOS!$E2017,nASIG,DATOS!$I2017,nEVAL,"EX")=0),0))))</f>
      </c>
      <c r="H2017">
        <f>IF(DATOS!$G2017&lt;&gt;"EX",0,--(COUNTIFS(nNIA,DATOS!$A2017,nCURSO,DATOS!$D2017,nESPEC,DATOS!$E2017,nASIG,DATOS!$I2017,nEVAL,"OR")=0))</f>
      </c>
      <c r="I2017">
        <f>IF(DATOS!$I2017="","",IFERROR(VLOOKUP(DATOS!$I2017,CONFIG_ASIGNATURAS!$B$2:$J$91,9,FALSE()),""))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IF(DATOS!$A2018="",0,IF(CONFIG_METADATA!$B$4&lt;&gt;"OR+EX",--(DATOS!$G2018=CONFIG_METADATA!$B$4),IF(DATOS!$G2018="EX",1,IF(DATOS!$G2018="OR",--(COUNTIFS(nNIA,DATOS!$A2018,nCURSO,DATOS!$D2018,nESPEC,DATOS!$E2018,nASIG,DATOS!$I2018,nEVAL,"EX")=0),0))))</f>
      </c>
      <c r="H2018">
        <f>IF(DATOS!$G2018&lt;&gt;"EX",0,--(COUNTIFS(nNIA,DATOS!$A2018,nCURSO,DATOS!$D2018,nESPEC,DATOS!$E2018,nASIG,DATOS!$I2018,nEVAL,"OR")=0))</f>
      </c>
      <c r="I2018">
        <f>IF(DATOS!$I2018="","",IFERROR(VLOOKUP(DATOS!$I2018,CONFIG_ASIGNATURAS!$B$2:$J$91,9,FALSE()),""))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IF(DATOS!$A2019="",0,IF(CONFIG_METADATA!$B$4&lt;&gt;"OR+EX",--(DATOS!$G2019=CONFIG_METADATA!$B$4),IF(DATOS!$G2019="EX",1,IF(DATOS!$G2019="OR",--(COUNTIFS(nNIA,DATOS!$A2019,nCURSO,DATOS!$D2019,nESPEC,DATOS!$E2019,nASIG,DATOS!$I2019,nEVAL,"EX")=0),0))))</f>
      </c>
      <c r="H2019">
        <f>IF(DATOS!$G2019&lt;&gt;"EX",0,--(COUNTIFS(nNIA,DATOS!$A2019,nCURSO,DATOS!$D2019,nESPEC,DATOS!$E2019,nASIG,DATOS!$I2019,nEVAL,"OR")=0))</f>
      </c>
      <c r="I2019">
        <f>IF(DATOS!$I2019="","",IFERROR(VLOOKUP(DATOS!$I2019,CONFIG_ASIGNATURAS!$B$2:$J$91,9,FALSE()),""))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IF(DATOS!$A2020="",0,IF(CONFIG_METADATA!$B$4&lt;&gt;"OR+EX",--(DATOS!$G2020=CONFIG_METADATA!$B$4),IF(DATOS!$G2020="EX",1,IF(DATOS!$G2020="OR",--(COUNTIFS(nNIA,DATOS!$A2020,nCURSO,DATOS!$D2020,nESPEC,DATOS!$E2020,nASIG,DATOS!$I2020,nEVAL,"EX")=0),0))))</f>
      </c>
      <c r="H2020">
        <f>IF(DATOS!$G2020&lt;&gt;"EX",0,--(COUNTIFS(nNIA,DATOS!$A2020,nCURSO,DATOS!$D2020,nESPEC,DATOS!$E2020,nASIG,DATOS!$I2020,nEVAL,"OR")=0))</f>
      </c>
      <c r="I2020">
        <f>IF(DATOS!$I2020="","",IFERROR(VLOOKUP(DATOS!$I2020,CONFIG_ASIGNATURAS!$B$2:$J$91,9,FALSE()),""))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IF(DATOS!$A2021="",0,IF(CONFIG_METADATA!$B$4&lt;&gt;"OR+EX",--(DATOS!$G2021=CONFIG_METADATA!$B$4),IF(DATOS!$G2021="EX",1,IF(DATOS!$G2021="OR",--(COUNTIFS(nNIA,DATOS!$A2021,nCURSO,DATOS!$D2021,nESPEC,DATOS!$E2021,nASIG,DATOS!$I2021,nEVAL,"EX")=0),0))))</f>
      </c>
      <c r="H2021">
        <f>IF(DATOS!$G2021&lt;&gt;"EX",0,--(COUNTIFS(nNIA,DATOS!$A2021,nCURSO,DATOS!$D2021,nESPEC,DATOS!$E2021,nASIG,DATOS!$I2021,nEVAL,"OR")=0))</f>
      </c>
      <c r="I2021">
        <f>IF(DATOS!$I2021="","",IFERROR(VLOOKUP(DATOS!$I2021,CONFIG_ASIGNATURAS!$B$2:$J$91,9,FALSE()),""))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IF(DATOS!$A2022="",0,IF(CONFIG_METADATA!$B$4&lt;&gt;"OR+EX",--(DATOS!$G2022=CONFIG_METADATA!$B$4),IF(DATOS!$G2022="EX",1,IF(DATOS!$G2022="OR",--(COUNTIFS(nNIA,DATOS!$A2022,nCURSO,DATOS!$D2022,nESPEC,DATOS!$E2022,nASIG,DATOS!$I2022,nEVAL,"EX")=0),0))))</f>
      </c>
      <c r="H2022">
        <f>IF(DATOS!$G2022&lt;&gt;"EX",0,--(COUNTIFS(nNIA,DATOS!$A2022,nCURSO,DATOS!$D2022,nESPEC,DATOS!$E2022,nASIG,DATOS!$I2022,nEVAL,"OR")=0))</f>
      </c>
      <c r="I2022">
        <f>IF(DATOS!$I2022="","",IFERROR(VLOOKUP(DATOS!$I2022,CONFIG_ASIGNATURAS!$B$2:$J$91,9,FALSE()),""))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IF(DATOS!$A2023="",0,IF(CONFIG_METADATA!$B$4&lt;&gt;"OR+EX",--(DATOS!$G2023=CONFIG_METADATA!$B$4),IF(DATOS!$G2023="EX",1,IF(DATOS!$G2023="OR",--(COUNTIFS(nNIA,DATOS!$A2023,nCURSO,DATOS!$D2023,nESPEC,DATOS!$E2023,nASIG,DATOS!$I2023,nEVAL,"EX")=0),0))))</f>
      </c>
      <c r="H2023">
        <f>IF(DATOS!$G2023&lt;&gt;"EX",0,--(COUNTIFS(nNIA,DATOS!$A2023,nCURSO,DATOS!$D2023,nESPEC,DATOS!$E2023,nASIG,DATOS!$I2023,nEVAL,"OR")=0))</f>
      </c>
      <c r="I2023">
        <f>IF(DATOS!$I2023="","",IFERROR(VLOOKUP(DATOS!$I2023,CONFIG_ASIGNATURAS!$B$2:$J$91,9,FALSE()),""))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IF(DATOS!$A2024="",0,IF(CONFIG_METADATA!$B$4&lt;&gt;"OR+EX",--(DATOS!$G2024=CONFIG_METADATA!$B$4),IF(DATOS!$G2024="EX",1,IF(DATOS!$G2024="OR",--(COUNTIFS(nNIA,DATOS!$A2024,nCURSO,DATOS!$D2024,nESPEC,DATOS!$E2024,nASIG,DATOS!$I2024,nEVAL,"EX")=0),0))))</f>
      </c>
      <c r="H2024">
        <f>IF(DATOS!$G2024&lt;&gt;"EX",0,--(COUNTIFS(nNIA,DATOS!$A2024,nCURSO,DATOS!$D2024,nESPEC,DATOS!$E2024,nASIG,DATOS!$I2024,nEVAL,"OR")=0))</f>
      </c>
      <c r="I2024">
        <f>IF(DATOS!$I2024="","",IFERROR(VLOOKUP(DATOS!$I2024,CONFIG_ASIGNATURAS!$B$2:$J$91,9,FALSE()),""))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IF(DATOS!$A2025="",0,IF(CONFIG_METADATA!$B$4&lt;&gt;"OR+EX",--(DATOS!$G2025=CONFIG_METADATA!$B$4),IF(DATOS!$G2025="EX",1,IF(DATOS!$G2025="OR",--(COUNTIFS(nNIA,DATOS!$A2025,nCURSO,DATOS!$D2025,nESPEC,DATOS!$E2025,nASIG,DATOS!$I2025,nEVAL,"EX")=0),0))))</f>
      </c>
      <c r="H2025">
        <f>IF(DATOS!$G2025&lt;&gt;"EX",0,--(COUNTIFS(nNIA,DATOS!$A2025,nCURSO,DATOS!$D2025,nESPEC,DATOS!$E2025,nASIG,DATOS!$I2025,nEVAL,"OR")=0))</f>
      </c>
      <c r="I2025">
        <f>IF(DATOS!$I2025="","",IFERROR(VLOOKUP(DATOS!$I2025,CONFIG_ASIGNATURAS!$B$2:$J$91,9,FALSE()),""))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IF(DATOS!$A2026="",0,IF(CONFIG_METADATA!$B$4&lt;&gt;"OR+EX",--(DATOS!$G2026=CONFIG_METADATA!$B$4),IF(DATOS!$G2026="EX",1,IF(DATOS!$G2026="OR",--(COUNTIFS(nNIA,DATOS!$A2026,nCURSO,DATOS!$D2026,nESPEC,DATOS!$E2026,nASIG,DATOS!$I2026,nEVAL,"EX")=0),0))))</f>
      </c>
      <c r="H2026">
        <f>IF(DATOS!$G2026&lt;&gt;"EX",0,--(COUNTIFS(nNIA,DATOS!$A2026,nCURSO,DATOS!$D2026,nESPEC,DATOS!$E2026,nASIG,DATOS!$I2026,nEVAL,"OR")=0))</f>
      </c>
      <c r="I2026">
        <f>IF(DATOS!$I2026="","",IFERROR(VLOOKUP(DATOS!$I2026,CONFIG_ASIGNATURAS!$B$2:$J$91,9,FALSE()),""))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IF(DATOS!$A2027="",0,IF(CONFIG_METADATA!$B$4&lt;&gt;"OR+EX",--(DATOS!$G2027=CONFIG_METADATA!$B$4),IF(DATOS!$G2027="EX",1,IF(DATOS!$G2027="OR",--(COUNTIFS(nNIA,DATOS!$A2027,nCURSO,DATOS!$D2027,nESPEC,DATOS!$E2027,nASIG,DATOS!$I2027,nEVAL,"EX")=0),0))))</f>
      </c>
      <c r="H2027">
        <f>IF(DATOS!$G2027&lt;&gt;"EX",0,--(COUNTIFS(nNIA,DATOS!$A2027,nCURSO,DATOS!$D2027,nESPEC,DATOS!$E2027,nASIG,DATOS!$I2027,nEVAL,"OR")=0))</f>
      </c>
      <c r="I2027">
        <f>IF(DATOS!$I2027="","",IFERROR(VLOOKUP(DATOS!$I2027,CONFIG_ASIGNATURAS!$B$2:$J$91,9,FALSE()),""))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IF(DATOS!$A2028="",0,IF(CONFIG_METADATA!$B$4&lt;&gt;"OR+EX",--(DATOS!$G2028=CONFIG_METADATA!$B$4),IF(DATOS!$G2028="EX",1,IF(DATOS!$G2028="OR",--(COUNTIFS(nNIA,DATOS!$A2028,nCURSO,DATOS!$D2028,nESPEC,DATOS!$E2028,nASIG,DATOS!$I2028,nEVAL,"EX")=0),0))))</f>
      </c>
      <c r="H2028">
        <f>IF(DATOS!$G2028&lt;&gt;"EX",0,--(COUNTIFS(nNIA,DATOS!$A2028,nCURSO,DATOS!$D2028,nESPEC,DATOS!$E2028,nASIG,DATOS!$I2028,nEVAL,"OR")=0))</f>
      </c>
      <c r="I2028">
        <f>IF(DATOS!$I2028="","",IFERROR(VLOOKUP(DATOS!$I2028,CONFIG_ASIGNATURAS!$B$2:$J$91,9,FALSE()),""))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IF(DATOS!$A2029="",0,IF(CONFIG_METADATA!$B$4&lt;&gt;"OR+EX",--(DATOS!$G2029=CONFIG_METADATA!$B$4),IF(DATOS!$G2029="EX",1,IF(DATOS!$G2029="OR",--(COUNTIFS(nNIA,DATOS!$A2029,nCURSO,DATOS!$D2029,nESPEC,DATOS!$E2029,nASIG,DATOS!$I2029,nEVAL,"EX")=0),0))))</f>
      </c>
      <c r="H2029">
        <f>IF(DATOS!$G2029&lt;&gt;"EX",0,--(COUNTIFS(nNIA,DATOS!$A2029,nCURSO,DATOS!$D2029,nESPEC,DATOS!$E2029,nASIG,DATOS!$I2029,nEVAL,"OR")=0))</f>
      </c>
      <c r="I2029">
        <f>IF(DATOS!$I2029="","",IFERROR(VLOOKUP(DATOS!$I2029,CONFIG_ASIGNATURAS!$B$2:$J$91,9,FALSE()),""))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IF(DATOS!$A2030="",0,IF(CONFIG_METADATA!$B$4&lt;&gt;"OR+EX",--(DATOS!$G2030=CONFIG_METADATA!$B$4),IF(DATOS!$G2030="EX",1,IF(DATOS!$G2030="OR",--(COUNTIFS(nNIA,DATOS!$A2030,nCURSO,DATOS!$D2030,nESPEC,DATOS!$E2030,nASIG,DATOS!$I2030,nEVAL,"EX")=0),0))))</f>
      </c>
      <c r="H2030">
        <f>IF(DATOS!$G2030&lt;&gt;"EX",0,--(COUNTIFS(nNIA,DATOS!$A2030,nCURSO,DATOS!$D2030,nESPEC,DATOS!$E2030,nASIG,DATOS!$I2030,nEVAL,"OR")=0))</f>
      </c>
      <c r="I2030">
        <f>IF(DATOS!$I2030="","",IFERROR(VLOOKUP(DATOS!$I2030,CONFIG_ASIGNATURAS!$B$2:$J$91,9,FALSE()),""))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IF(DATOS!$A2031="",0,IF(CONFIG_METADATA!$B$4&lt;&gt;"OR+EX",--(DATOS!$G2031=CONFIG_METADATA!$B$4),IF(DATOS!$G2031="EX",1,IF(DATOS!$G2031="OR",--(COUNTIFS(nNIA,DATOS!$A2031,nCURSO,DATOS!$D2031,nESPEC,DATOS!$E2031,nASIG,DATOS!$I2031,nEVAL,"EX")=0),0))))</f>
      </c>
      <c r="H2031">
        <f>IF(DATOS!$G2031&lt;&gt;"EX",0,--(COUNTIFS(nNIA,DATOS!$A2031,nCURSO,DATOS!$D2031,nESPEC,DATOS!$E2031,nASIG,DATOS!$I2031,nEVAL,"OR")=0))</f>
      </c>
      <c r="I2031">
        <f>IF(DATOS!$I2031="","",IFERROR(VLOOKUP(DATOS!$I2031,CONFIG_ASIGNATURAS!$B$2:$J$91,9,FALSE()),""))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IF(DATOS!$A2032="",0,IF(CONFIG_METADATA!$B$4&lt;&gt;"OR+EX",--(DATOS!$G2032=CONFIG_METADATA!$B$4),IF(DATOS!$G2032="EX",1,IF(DATOS!$G2032="OR",--(COUNTIFS(nNIA,DATOS!$A2032,nCURSO,DATOS!$D2032,nESPEC,DATOS!$E2032,nASIG,DATOS!$I2032,nEVAL,"EX")=0),0))))</f>
      </c>
      <c r="H2032">
        <f>IF(DATOS!$G2032&lt;&gt;"EX",0,--(COUNTIFS(nNIA,DATOS!$A2032,nCURSO,DATOS!$D2032,nESPEC,DATOS!$E2032,nASIG,DATOS!$I2032,nEVAL,"OR")=0))</f>
      </c>
      <c r="I2032">
        <f>IF(DATOS!$I2032="","",IFERROR(VLOOKUP(DATOS!$I2032,CONFIG_ASIGNATURAS!$B$2:$J$91,9,FALSE()),""))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IF(DATOS!$A2033="",0,IF(CONFIG_METADATA!$B$4&lt;&gt;"OR+EX",--(DATOS!$G2033=CONFIG_METADATA!$B$4),IF(DATOS!$G2033="EX",1,IF(DATOS!$G2033="OR",--(COUNTIFS(nNIA,DATOS!$A2033,nCURSO,DATOS!$D2033,nESPEC,DATOS!$E2033,nASIG,DATOS!$I2033,nEVAL,"EX")=0),0))))</f>
      </c>
      <c r="H2033">
        <f>IF(DATOS!$G2033&lt;&gt;"EX",0,--(COUNTIFS(nNIA,DATOS!$A2033,nCURSO,DATOS!$D2033,nESPEC,DATOS!$E2033,nASIG,DATOS!$I2033,nEVAL,"OR")=0))</f>
      </c>
      <c r="I2033">
        <f>IF(DATOS!$I2033="","",IFERROR(VLOOKUP(DATOS!$I2033,CONFIG_ASIGNATURAS!$B$2:$J$91,9,FALSE()),""))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IF(DATOS!$A2034="",0,IF(CONFIG_METADATA!$B$4&lt;&gt;"OR+EX",--(DATOS!$G2034=CONFIG_METADATA!$B$4),IF(DATOS!$G2034="EX",1,IF(DATOS!$G2034="OR",--(COUNTIFS(nNIA,DATOS!$A2034,nCURSO,DATOS!$D2034,nESPEC,DATOS!$E2034,nASIG,DATOS!$I2034,nEVAL,"EX")=0),0))))</f>
      </c>
      <c r="H2034">
        <f>IF(DATOS!$G2034&lt;&gt;"EX",0,--(COUNTIFS(nNIA,DATOS!$A2034,nCURSO,DATOS!$D2034,nESPEC,DATOS!$E2034,nASIG,DATOS!$I2034,nEVAL,"OR")=0))</f>
      </c>
      <c r="I2034">
        <f>IF(DATOS!$I2034="","",IFERROR(VLOOKUP(DATOS!$I2034,CONFIG_ASIGNATURAS!$B$2:$J$91,9,FALSE()),""))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IF(DATOS!$A2035="",0,IF(CONFIG_METADATA!$B$4&lt;&gt;"OR+EX",--(DATOS!$G2035=CONFIG_METADATA!$B$4),IF(DATOS!$G2035="EX",1,IF(DATOS!$G2035="OR",--(COUNTIFS(nNIA,DATOS!$A2035,nCURSO,DATOS!$D2035,nESPEC,DATOS!$E2035,nASIG,DATOS!$I2035,nEVAL,"EX")=0),0))))</f>
      </c>
      <c r="H2035">
        <f>IF(DATOS!$G2035&lt;&gt;"EX",0,--(COUNTIFS(nNIA,DATOS!$A2035,nCURSO,DATOS!$D2035,nESPEC,DATOS!$E2035,nASIG,DATOS!$I2035,nEVAL,"OR")=0))</f>
      </c>
      <c r="I2035">
        <f>IF(DATOS!$I2035="","",IFERROR(VLOOKUP(DATOS!$I2035,CONFIG_ASIGNATURAS!$B$2:$J$91,9,FALSE()),""))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IF(DATOS!$A2036="",0,IF(CONFIG_METADATA!$B$4&lt;&gt;"OR+EX",--(DATOS!$G2036=CONFIG_METADATA!$B$4),IF(DATOS!$G2036="EX",1,IF(DATOS!$G2036="OR",--(COUNTIFS(nNIA,DATOS!$A2036,nCURSO,DATOS!$D2036,nESPEC,DATOS!$E2036,nASIG,DATOS!$I2036,nEVAL,"EX")=0),0))))</f>
      </c>
      <c r="H2036">
        <f>IF(DATOS!$G2036&lt;&gt;"EX",0,--(COUNTIFS(nNIA,DATOS!$A2036,nCURSO,DATOS!$D2036,nESPEC,DATOS!$E2036,nASIG,DATOS!$I2036,nEVAL,"OR")=0))</f>
      </c>
      <c r="I2036">
        <f>IF(DATOS!$I2036="","",IFERROR(VLOOKUP(DATOS!$I2036,CONFIG_ASIGNATURAS!$B$2:$J$91,9,FALSE()),""))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IF(DATOS!$A2037="",0,IF(CONFIG_METADATA!$B$4&lt;&gt;"OR+EX",--(DATOS!$G2037=CONFIG_METADATA!$B$4),IF(DATOS!$G2037="EX",1,IF(DATOS!$G2037="OR",--(COUNTIFS(nNIA,DATOS!$A2037,nCURSO,DATOS!$D2037,nESPEC,DATOS!$E2037,nASIG,DATOS!$I2037,nEVAL,"EX")=0),0))))</f>
      </c>
      <c r="H2037">
        <f>IF(DATOS!$G2037&lt;&gt;"EX",0,--(COUNTIFS(nNIA,DATOS!$A2037,nCURSO,DATOS!$D2037,nESPEC,DATOS!$E2037,nASIG,DATOS!$I2037,nEVAL,"OR")=0))</f>
      </c>
      <c r="I2037">
        <f>IF(DATOS!$I2037="","",IFERROR(VLOOKUP(DATOS!$I2037,CONFIG_ASIGNATURAS!$B$2:$J$91,9,FALSE()),""))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IF(DATOS!$A2038="",0,IF(CONFIG_METADATA!$B$4&lt;&gt;"OR+EX",--(DATOS!$G2038=CONFIG_METADATA!$B$4),IF(DATOS!$G2038="EX",1,IF(DATOS!$G2038="OR",--(COUNTIFS(nNIA,DATOS!$A2038,nCURSO,DATOS!$D2038,nESPEC,DATOS!$E2038,nASIG,DATOS!$I2038,nEVAL,"EX")=0),0))))</f>
      </c>
      <c r="H2038">
        <f>IF(DATOS!$G2038&lt;&gt;"EX",0,--(COUNTIFS(nNIA,DATOS!$A2038,nCURSO,DATOS!$D2038,nESPEC,DATOS!$E2038,nASIG,DATOS!$I2038,nEVAL,"OR")=0))</f>
      </c>
      <c r="I2038">
        <f>IF(DATOS!$I2038="","",IFERROR(VLOOKUP(DATOS!$I2038,CONFIG_ASIGNATURAS!$B$2:$J$91,9,FALSE()),""))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IF(DATOS!$A2039="",0,IF(CONFIG_METADATA!$B$4&lt;&gt;"OR+EX",--(DATOS!$G2039=CONFIG_METADATA!$B$4),IF(DATOS!$G2039="EX",1,IF(DATOS!$G2039="OR",--(COUNTIFS(nNIA,DATOS!$A2039,nCURSO,DATOS!$D2039,nESPEC,DATOS!$E2039,nASIG,DATOS!$I2039,nEVAL,"EX")=0),0))))</f>
      </c>
      <c r="H2039">
        <f>IF(DATOS!$G2039&lt;&gt;"EX",0,--(COUNTIFS(nNIA,DATOS!$A2039,nCURSO,DATOS!$D2039,nESPEC,DATOS!$E2039,nASIG,DATOS!$I2039,nEVAL,"OR")=0))</f>
      </c>
      <c r="I2039">
        <f>IF(DATOS!$I2039="","",IFERROR(VLOOKUP(DATOS!$I2039,CONFIG_ASIGNATURAS!$B$2:$J$91,9,FALSE()),""))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IF(DATOS!$A2040="",0,IF(CONFIG_METADATA!$B$4&lt;&gt;"OR+EX",--(DATOS!$G2040=CONFIG_METADATA!$B$4),IF(DATOS!$G2040="EX",1,IF(DATOS!$G2040="OR",--(COUNTIFS(nNIA,DATOS!$A2040,nCURSO,DATOS!$D2040,nESPEC,DATOS!$E2040,nASIG,DATOS!$I2040,nEVAL,"EX")=0),0))))</f>
      </c>
      <c r="H2040">
        <f>IF(DATOS!$G2040&lt;&gt;"EX",0,--(COUNTIFS(nNIA,DATOS!$A2040,nCURSO,DATOS!$D2040,nESPEC,DATOS!$E2040,nASIG,DATOS!$I2040,nEVAL,"OR")=0))</f>
      </c>
      <c r="I2040">
        <f>IF(DATOS!$I2040="","",IFERROR(VLOOKUP(DATOS!$I2040,CONFIG_ASIGNATURAS!$B$2:$J$91,9,FALSE()),""))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IF(DATOS!$A2041="",0,IF(CONFIG_METADATA!$B$4&lt;&gt;"OR+EX",--(DATOS!$G2041=CONFIG_METADATA!$B$4),IF(DATOS!$G2041="EX",1,IF(DATOS!$G2041="OR",--(COUNTIFS(nNIA,DATOS!$A2041,nCURSO,DATOS!$D2041,nESPEC,DATOS!$E2041,nASIG,DATOS!$I2041,nEVAL,"EX")=0),0))))</f>
      </c>
      <c r="H2041">
        <f>IF(DATOS!$G2041&lt;&gt;"EX",0,--(COUNTIFS(nNIA,DATOS!$A2041,nCURSO,DATOS!$D2041,nESPEC,DATOS!$E2041,nASIG,DATOS!$I2041,nEVAL,"OR")=0))</f>
      </c>
      <c r="I2041">
        <f>IF(DATOS!$I2041="","",IFERROR(VLOOKUP(DATOS!$I2041,CONFIG_ASIGNATURAS!$B$2:$J$91,9,FALSE()),""))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IF(DATOS!$A2042="",0,IF(CONFIG_METADATA!$B$4&lt;&gt;"OR+EX",--(DATOS!$G2042=CONFIG_METADATA!$B$4),IF(DATOS!$G2042="EX",1,IF(DATOS!$G2042="OR",--(COUNTIFS(nNIA,DATOS!$A2042,nCURSO,DATOS!$D2042,nESPEC,DATOS!$E2042,nASIG,DATOS!$I2042,nEVAL,"EX")=0),0))))</f>
      </c>
      <c r="H2042">
        <f>IF(DATOS!$G2042&lt;&gt;"EX",0,--(COUNTIFS(nNIA,DATOS!$A2042,nCURSO,DATOS!$D2042,nESPEC,DATOS!$E2042,nASIG,DATOS!$I2042,nEVAL,"OR")=0))</f>
      </c>
      <c r="I2042">
        <f>IF(DATOS!$I2042="","",IFERROR(VLOOKUP(DATOS!$I2042,CONFIG_ASIGNATURAS!$B$2:$J$91,9,FALSE()),""))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IF(DATOS!$A2043="",0,IF(CONFIG_METADATA!$B$4&lt;&gt;"OR+EX",--(DATOS!$G2043=CONFIG_METADATA!$B$4),IF(DATOS!$G2043="EX",1,IF(DATOS!$G2043="OR",--(COUNTIFS(nNIA,DATOS!$A2043,nCURSO,DATOS!$D2043,nESPEC,DATOS!$E2043,nASIG,DATOS!$I2043,nEVAL,"EX")=0),0))))</f>
      </c>
      <c r="H2043">
        <f>IF(DATOS!$G2043&lt;&gt;"EX",0,--(COUNTIFS(nNIA,DATOS!$A2043,nCURSO,DATOS!$D2043,nESPEC,DATOS!$E2043,nASIG,DATOS!$I2043,nEVAL,"OR")=0))</f>
      </c>
      <c r="I2043">
        <f>IF(DATOS!$I2043="","",IFERROR(VLOOKUP(DATOS!$I2043,CONFIG_ASIGNATURAS!$B$2:$J$91,9,FALSE()),""))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IF(DATOS!$A2044="",0,IF(CONFIG_METADATA!$B$4&lt;&gt;"OR+EX",--(DATOS!$G2044=CONFIG_METADATA!$B$4),IF(DATOS!$G2044="EX",1,IF(DATOS!$G2044="OR",--(COUNTIFS(nNIA,DATOS!$A2044,nCURSO,DATOS!$D2044,nESPEC,DATOS!$E2044,nASIG,DATOS!$I2044,nEVAL,"EX")=0),0))))</f>
      </c>
      <c r="H2044">
        <f>IF(DATOS!$G2044&lt;&gt;"EX",0,--(COUNTIFS(nNIA,DATOS!$A2044,nCURSO,DATOS!$D2044,nESPEC,DATOS!$E2044,nASIG,DATOS!$I2044,nEVAL,"OR")=0))</f>
      </c>
      <c r="I2044">
        <f>IF(DATOS!$I2044="","",IFERROR(VLOOKUP(DATOS!$I2044,CONFIG_ASIGNATURAS!$B$2:$J$91,9,FALSE()),""))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IF(DATOS!$A2045="",0,IF(CONFIG_METADATA!$B$4&lt;&gt;"OR+EX",--(DATOS!$G2045=CONFIG_METADATA!$B$4),IF(DATOS!$G2045="EX",1,IF(DATOS!$G2045="OR",--(COUNTIFS(nNIA,DATOS!$A2045,nCURSO,DATOS!$D2045,nESPEC,DATOS!$E2045,nASIG,DATOS!$I2045,nEVAL,"EX")=0),0))))</f>
      </c>
      <c r="H2045">
        <f>IF(DATOS!$G2045&lt;&gt;"EX",0,--(COUNTIFS(nNIA,DATOS!$A2045,nCURSO,DATOS!$D2045,nESPEC,DATOS!$E2045,nASIG,DATOS!$I2045,nEVAL,"OR")=0))</f>
      </c>
      <c r="I2045">
        <f>IF(DATOS!$I2045="","",IFERROR(VLOOKUP(DATOS!$I2045,CONFIG_ASIGNATURAS!$B$2:$J$91,9,FALSE()),""))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IF(DATOS!$A2046="",0,IF(CONFIG_METADATA!$B$4&lt;&gt;"OR+EX",--(DATOS!$G2046=CONFIG_METADATA!$B$4),IF(DATOS!$G2046="EX",1,IF(DATOS!$G2046="OR",--(COUNTIFS(nNIA,DATOS!$A2046,nCURSO,DATOS!$D2046,nESPEC,DATOS!$E2046,nASIG,DATOS!$I2046,nEVAL,"EX")=0),0))))</f>
      </c>
      <c r="H2046">
        <f>IF(DATOS!$G2046&lt;&gt;"EX",0,--(COUNTIFS(nNIA,DATOS!$A2046,nCURSO,DATOS!$D2046,nESPEC,DATOS!$E2046,nASIG,DATOS!$I2046,nEVAL,"OR")=0))</f>
      </c>
      <c r="I2046">
        <f>IF(DATOS!$I2046="","",IFERROR(VLOOKUP(DATOS!$I2046,CONFIG_ASIGNATURAS!$B$2:$J$91,9,FALSE()),""))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IF(DATOS!$A2047="",0,IF(CONFIG_METADATA!$B$4&lt;&gt;"OR+EX",--(DATOS!$G2047=CONFIG_METADATA!$B$4),IF(DATOS!$G2047="EX",1,IF(DATOS!$G2047="OR",--(COUNTIFS(nNIA,DATOS!$A2047,nCURSO,DATOS!$D2047,nESPEC,DATOS!$E2047,nASIG,DATOS!$I2047,nEVAL,"EX")=0),0))))</f>
      </c>
      <c r="H2047">
        <f>IF(DATOS!$G2047&lt;&gt;"EX",0,--(COUNTIFS(nNIA,DATOS!$A2047,nCURSO,DATOS!$D2047,nESPEC,DATOS!$E2047,nASIG,DATOS!$I2047,nEVAL,"OR")=0))</f>
      </c>
      <c r="I2047">
        <f>IF(DATOS!$I2047="","",IFERROR(VLOOKUP(DATOS!$I2047,CONFIG_ASIGNATURAS!$B$2:$J$91,9,FALSE()),""))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IF(DATOS!$A2048="",0,IF(CONFIG_METADATA!$B$4&lt;&gt;"OR+EX",--(DATOS!$G2048=CONFIG_METADATA!$B$4),IF(DATOS!$G2048="EX",1,IF(DATOS!$G2048="OR",--(COUNTIFS(nNIA,DATOS!$A2048,nCURSO,DATOS!$D2048,nESPEC,DATOS!$E2048,nASIG,DATOS!$I2048,nEVAL,"EX")=0),0))))</f>
      </c>
      <c r="H2048">
        <f>IF(DATOS!$G2048&lt;&gt;"EX",0,--(COUNTIFS(nNIA,DATOS!$A2048,nCURSO,DATOS!$D2048,nESPEC,DATOS!$E2048,nASIG,DATOS!$I2048,nEVAL,"OR")=0))</f>
      </c>
      <c r="I2048">
        <f>IF(DATOS!$I2048="","",IFERROR(VLOOKUP(DATOS!$I2048,CONFIG_ASIGNATURAS!$B$2:$J$91,9,FALSE()),""))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IF(DATOS!$A2049="",0,IF(CONFIG_METADATA!$B$4&lt;&gt;"OR+EX",--(DATOS!$G2049=CONFIG_METADATA!$B$4),IF(DATOS!$G2049="EX",1,IF(DATOS!$G2049="OR",--(COUNTIFS(nNIA,DATOS!$A2049,nCURSO,DATOS!$D2049,nESPEC,DATOS!$E2049,nASIG,DATOS!$I2049,nEVAL,"EX")=0),0))))</f>
      </c>
      <c r="H2049">
        <f>IF(DATOS!$G2049&lt;&gt;"EX",0,--(COUNTIFS(nNIA,DATOS!$A2049,nCURSO,DATOS!$D2049,nESPEC,DATOS!$E2049,nASIG,DATOS!$I2049,nEVAL,"OR")=0))</f>
      </c>
      <c r="I2049">
        <f>IF(DATOS!$I2049="","",IFERROR(VLOOKUP(DATOS!$I2049,CONFIG_ASIGNATURAS!$B$2:$J$91,9,FALSE()),""))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IF(DATOS!$A2050="",0,IF(CONFIG_METADATA!$B$4&lt;&gt;"OR+EX",--(DATOS!$G2050=CONFIG_METADATA!$B$4),IF(DATOS!$G2050="EX",1,IF(DATOS!$G2050="OR",--(COUNTIFS(nNIA,DATOS!$A2050,nCURSO,DATOS!$D2050,nESPEC,DATOS!$E2050,nASIG,DATOS!$I2050,nEVAL,"EX")=0),0))))</f>
      </c>
      <c r="H2050">
        <f>IF(DATOS!$G2050&lt;&gt;"EX",0,--(COUNTIFS(nNIA,DATOS!$A2050,nCURSO,DATOS!$D2050,nESPEC,DATOS!$E2050,nASIG,DATOS!$I2050,nEVAL,"OR")=0))</f>
      </c>
      <c r="I2050">
        <f>IF(DATOS!$I2050="","",IFERROR(VLOOKUP(DATOS!$I2050,CONFIG_ASIGNATURAS!$B$2:$J$91,9,FALSE()),""))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IF(DATOS!$A2051="",0,IF(CONFIG_METADATA!$B$4&lt;&gt;"OR+EX",--(DATOS!$G2051=CONFIG_METADATA!$B$4),IF(DATOS!$G2051="EX",1,IF(DATOS!$G2051="OR",--(COUNTIFS(nNIA,DATOS!$A2051,nCURSO,DATOS!$D2051,nESPEC,DATOS!$E2051,nASIG,DATOS!$I2051,nEVAL,"EX")=0),0))))</f>
      </c>
      <c r="H2051">
        <f>IF(DATOS!$G2051&lt;&gt;"EX",0,--(COUNTIFS(nNIA,DATOS!$A2051,nCURSO,DATOS!$D2051,nESPEC,DATOS!$E2051,nASIG,DATOS!$I2051,nEVAL,"OR")=0))</f>
      </c>
      <c r="I2051">
        <f>IF(DATOS!$I2051="","",IFERROR(VLOOKUP(DATOS!$I2051,CONFIG_ASIGNATURAS!$B$2:$J$91,9,FALSE()),""))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IF(DATOS!$A2052="",0,IF(CONFIG_METADATA!$B$4&lt;&gt;"OR+EX",--(DATOS!$G2052=CONFIG_METADATA!$B$4),IF(DATOS!$G2052="EX",1,IF(DATOS!$G2052="OR",--(COUNTIFS(nNIA,DATOS!$A2052,nCURSO,DATOS!$D2052,nESPEC,DATOS!$E2052,nASIG,DATOS!$I2052,nEVAL,"EX")=0),0))))</f>
      </c>
      <c r="H2052">
        <f>IF(DATOS!$G2052&lt;&gt;"EX",0,--(COUNTIFS(nNIA,DATOS!$A2052,nCURSO,DATOS!$D2052,nESPEC,DATOS!$E2052,nASIG,DATOS!$I2052,nEVAL,"OR")=0))</f>
      </c>
      <c r="I2052">
        <f>IF(DATOS!$I2052="","",IFERROR(VLOOKUP(DATOS!$I2052,CONFIG_ASIGNATURAS!$B$2:$J$91,9,FALSE()),""))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IF(DATOS!$A2053="",0,IF(CONFIG_METADATA!$B$4&lt;&gt;"OR+EX",--(DATOS!$G2053=CONFIG_METADATA!$B$4),IF(DATOS!$G2053="EX",1,IF(DATOS!$G2053="OR",--(COUNTIFS(nNIA,DATOS!$A2053,nCURSO,DATOS!$D2053,nESPEC,DATOS!$E2053,nASIG,DATOS!$I2053,nEVAL,"EX")=0),0))))</f>
      </c>
      <c r="H2053">
        <f>IF(DATOS!$G2053&lt;&gt;"EX",0,--(COUNTIFS(nNIA,DATOS!$A2053,nCURSO,DATOS!$D2053,nESPEC,DATOS!$E2053,nASIG,DATOS!$I2053,nEVAL,"OR")=0))</f>
      </c>
      <c r="I2053">
        <f>IF(DATOS!$I2053="","",IFERROR(VLOOKUP(DATOS!$I2053,CONFIG_ASIGNATURAS!$B$2:$J$91,9,FALSE()),""))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IF(DATOS!$A2054="",0,IF(CONFIG_METADATA!$B$4&lt;&gt;"OR+EX",--(DATOS!$G2054=CONFIG_METADATA!$B$4),IF(DATOS!$G2054="EX",1,IF(DATOS!$G2054="OR",--(COUNTIFS(nNIA,DATOS!$A2054,nCURSO,DATOS!$D2054,nESPEC,DATOS!$E2054,nASIG,DATOS!$I2054,nEVAL,"EX")=0),0))))</f>
      </c>
      <c r="H2054">
        <f>IF(DATOS!$G2054&lt;&gt;"EX",0,--(COUNTIFS(nNIA,DATOS!$A2054,nCURSO,DATOS!$D2054,nESPEC,DATOS!$E2054,nASIG,DATOS!$I2054,nEVAL,"OR")=0))</f>
      </c>
      <c r="I2054">
        <f>IF(DATOS!$I2054="","",IFERROR(VLOOKUP(DATOS!$I2054,CONFIG_ASIGNATURAS!$B$2:$J$91,9,FALSE()),""))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IF(DATOS!$A2055="",0,IF(CONFIG_METADATA!$B$4&lt;&gt;"OR+EX",--(DATOS!$G2055=CONFIG_METADATA!$B$4),IF(DATOS!$G2055="EX",1,IF(DATOS!$G2055="OR",--(COUNTIFS(nNIA,DATOS!$A2055,nCURSO,DATOS!$D2055,nESPEC,DATOS!$E2055,nASIG,DATOS!$I2055,nEVAL,"EX")=0),0))))</f>
      </c>
      <c r="H2055">
        <f>IF(DATOS!$G2055&lt;&gt;"EX",0,--(COUNTIFS(nNIA,DATOS!$A2055,nCURSO,DATOS!$D2055,nESPEC,DATOS!$E2055,nASIG,DATOS!$I2055,nEVAL,"OR")=0))</f>
      </c>
      <c r="I2055">
        <f>IF(DATOS!$I2055="","",IFERROR(VLOOKUP(DATOS!$I2055,CONFIG_ASIGNATURAS!$B$2:$J$91,9,FALSE()),""))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IF(DATOS!$A2056="",0,IF(CONFIG_METADATA!$B$4&lt;&gt;"OR+EX",--(DATOS!$G2056=CONFIG_METADATA!$B$4),IF(DATOS!$G2056="EX",1,IF(DATOS!$G2056="OR",--(COUNTIFS(nNIA,DATOS!$A2056,nCURSO,DATOS!$D2056,nESPEC,DATOS!$E2056,nASIG,DATOS!$I2056,nEVAL,"EX")=0),0))))</f>
      </c>
      <c r="H2056">
        <f>IF(DATOS!$G2056&lt;&gt;"EX",0,--(COUNTIFS(nNIA,DATOS!$A2056,nCURSO,DATOS!$D2056,nESPEC,DATOS!$E2056,nASIG,DATOS!$I2056,nEVAL,"OR")=0))</f>
      </c>
      <c r="I2056">
        <f>IF(DATOS!$I2056="","",IFERROR(VLOOKUP(DATOS!$I2056,CONFIG_ASIGNATURAS!$B$2:$J$91,9,FALSE()),""))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IF(DATOS!$A2057="",0,IF(CONFIG_METADATA!$B$4&lt;&gt;"OR+EX",--(DATOS!$G2057=CONFIG_METADATA!$B$4),IF(DATOS!$G2057="EX",1,IF(DATOS!$G2057="OR",--(COUNTIFS(nNIA,DATOS!$A2057,nCURSO,DATOS!$D2057,nESPEC,DATOS!$E2057,nASIG,DATOS!$I2057,nEVAL,"EX")=0),0))))</f>
      </c>
      <c r="H2057">
        <f>IF(DATOS!$G2057&lt;&gt;"EX",0,--(COUNTIFS(nNIA,DATOS!$A2057,nCURSO,DATOS!$D2057,nESPEC,DATOS!$E2057,nASIG,DATOS!$I2057,nEVAL,"OR")=0))</f>
      </c>
      <c r="I2057">
        <f>IF(DATOS!$I2057="","",IFERROR(VLOOKUP(DATOS!$I2057,CONFIG_ASIGNATURAS!$B$2:$J$91,9,FALSE()),""))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IF(DATOS!$A2058="",0,IF(CONFIG_METADATA!$B$4&lt;&gt;"OR+EX",--(DATOS!$G2058=CONFIG_METADATA!$B$4),IF(DATOS!$G2058="EX",1,IF(DATOS!$G2058="OR",--(COUNTIFS(nNIA,DATOS!$A2058,nCURSO,DATOS!$D2058,nESPEC,DATOS!$E2058,nASIG,DATOS!$I2058,nEVAL,"EX")=0),0))))</f>
      </c>
      <c r="H2058">
        <f>IF(DATOS!$G2058&lt;&gt;"EX",0,--(COUNTIFS(nNIA,DATOS!$A2058,nCURSO,DATOS!$D2058,nESPEC,DATOS!$E2058,nASIG,DATOS!$I2058,nEVAL,"OR")=0))</f>
      </c>
      <c r="I2058">
        <f>IF(DATOS!$I2058="","",IFERROR(VLOOKUP(DATOS!$I2058,CONFIG_ASIGNATURAS!$B$2:$J$91,9,FALSE()),""))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IF(DATOS!$A2059="",0,IF(CONFIG_METADATA!$B$4&lt;&gt;"OR+EX",--(DATOS!$G2059=CONFIG_METADATA!$B$4),IF(DATOS!$G2059="EX",1,IF(DATOS!$G2059="OR",--(COUNTIFS(nNIA,DATOS!$A2059,nCURSO,DATOS!$D2059,nESPEC,DATOS!$E2059,nASIG,DATOS!$I2059,nEVAL,"EX")=0),0))))</f>
      </c>
      <c r="H2059">
        <f>IF(DATOS!$G2059&lt;&gt;"EX",0,--(COUNTIFS(nNIA,DATOS!$A2059,nCURSO,DATOS!$D2059,nESPEC,DATOS!$E2059,nASIG,DATOS!$I2059,nEVAL,"OR")=0))</f>
      </c>
      <c r="I2059">
        <f>IF(DATOS!$I2059="","",IFERROR(VLOOKUP(DATOS!$I2059,CONFIG_ASIGNATURAS!$B$2:$J$91,9,FALSE()),""))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IF(DATOS!$A2060="",0,IF(CONFIG_METADATA!$B$4&lt;&gt;"OR+EX",--(DATOS!$G2060=CONFIG_METADATA!$B$4),IF(DATOS!$G2060="EX",1,IF(DATOS!$G2060="OR",--(COUNTIFS(nNIA,DATOS!$A2060,nCURSO,DATOS!$D2060,nESPEC,DATOS!$E2060,nASIG,DATOS!$I2060,nEVAL,"EX")=0),0))))</f>
      </c>
      <c r="H2060">
        <f>IF(DATOS!$G2060&lt;&gt;"EX",0,--(COUNTIFS(nNIA,DATOS!$A2060,nCURSO,DATOS!$D2060,nESPEC,DATOS!$E2060,nASIG,DATOS!$I2060,nEVAL,"OR")=0))</f>
      </c>
      <c r="I2060">
        <f>IF(DATOS!$I2060="","",IFERROR(VLOOKUP(DATOS!$I2060,CONFIG_ASIGNATURAS!$B$2:$J$91,9,FALSE()),""))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IF(DATOS!$A2061="",0,IF(CONFIG_METADATA!$B$4&lt;&gt;"OR+EX",--(DATOS!$G2061=CONFIG_METADATA!$B$4),IF(DATOS!$G2061="EX",1,IF(DATOS!$G2061="OR",--(COUNTIFS(nNIA,DATOS!$A2061,nCURSO,DATOS!$D2061,nESPEC,DATOS!$E2061,nASIG,DATOS!$I2061,nEVAL,"EX")=0),0))))</f>
      </c>
      <c r="H2061">
        <f>IF(DATOS!$G2061&lt;&gt;"EX",0,--(COUNTIFS(nNIA,DATOS!$A2061,nCURSO,DATOS!$D2061,nESPEC,DATOS!$E2061,nASIG,DATOS!$I2061,nEVAL,"OR")=0))</f>
      </c>
      <c r="I2061">
        <f>IF(DATOS!$I2061="","",IFERROR(VLOOKUP(DATOS!$I2061,CONFIG_ASIGNATURAS!$B$2:$J$91,9,FALSE()),""))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IF(DATOS!$A2062="",0,IF(CONFIG_METADATA!$B$4&lt;&gt;"OR+EX",--(DATOS!$G2062=CONFIG_METADATA!$B$4),IF(DATOS!$G2062="EX",1,IF(DATOS!$G2062="OR",--(COUNTIFS(nNIA,DATOS!$A2062,nCURSO,DATOS!$D2062,nESPEC,DATOS!$E2062,nASIG,DATOS!$I2062,nEVAL,"EX")=0),0))))</f>
      </c>
      <c r="H2062">
        <f>IF(DATOS!$G2062&lt;&gt;"EX",0,--(COUNTIFS(nNIA,DATOS!$A2062,nCURSO,DATOS!$D2062,nESPEC,DATOS!$E2062,nASIG,DATOS!$I2062,nEVAL,"OR")=0))</f>
      </c>
      <c r="I2062">
        <f>IF(DATOS!$I2062="","",IFERROR(VLOOKUP(DATOS!$I2062,CONFIG_ASIGNATURAS!$B$2:$J$91,9,FALSE()),""))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IF(DATOS!$A2063="",0,IF(CONFIG_METADATA!$B$4&lt;&gt;"OR+EX",--(DATOS!$G2063=CONFIG_METADATA!$B$4),IF(DATOS!$G2063="EX",1,IF(DATOS!$G2063="OR",--(COUNTIFS(nNIA,DATOS!$A2063,nCURSO,DATOS!$D2063,nESPEC,DATOS!$E2063,nASIG,DATOS!$I2063,nEVAL,"EX")=0),0))))</f>
      </c>
      <c r="H2063">
        <f>IF(DATOS!$G2063&lt;&gt;"EX",0,--(COUNTIFS(nNIA,DATOS!$A2063,nCURSO,DATOS!$D2063,nESPEC,DATOS!$E2063,nASIG,DATOS!$I2063,nEVAL,"OR")=0))</f>
      </c>
      <c r="I2063">
        <f>IF(DATOS!$I2063="","",IFERROR(VLOOKUP(DATOS!$I2063,CONFIG_ASIGNATURAS!$B$2:$J$91,9,FALSE()),""))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IF(DATOS!$A2064="",0,IF(CONFIG_METADATA!$B$4&lt;&gt;"OR+EX",--(DATOS!$G2064=CONFIG_METADATA!$B$4),IF(DATOS!$G2064="EX",1,IF(DATOS!$G2064="OR",--(COUNTIFS(nNIA,DATOS!$A2064,nCURSO,DATOS!$D2064,nESPEC,DATOS!$E2064,nASIG,DATOS!$I2064,nEVAL,"EX")=0),0))))</f>
      </c>
      <c r="H2064">
        <f>IF(DATOS!$G2064&lt;&gt;"EX",0,--(COUNTIFS(nNIA,DATOS!$A2064,nCURSO,DATOS!$D2064,nESPEC,DATOS!$E2064,nASIG,DATOS!$I2064,nEVAL,"OR")=0))</f>
      </c>
      <c r="I2064">
        <f>IF(DATOS!$I2064="","",IFERROR(VLOOKUP(DATOS!$I2064,CONFIG_ASIGNATURAS!$B$2:$J$91,9,FALSE()),""))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IF(DATOS!$A2065="",0,IF(CONFIG_METADATA!$B$4&lt;&gt;"OR+EX",--(DATOS!$G2065=CONFIG_METADATA!$B$4),IF(DATOS!$G2065="EX",1,IF(DATOS!$G2065="OR",--(COUNTIFS(nNIA,DATOS!$A2065,nCURSO,DATOS!$D2065,nESPEC,DATOS!$E2065,nASIG,DATOS!$I2065,nEVAL,"EX")=0),0))))</f>
      </c>
      <c r="H2065">
        <f>IF(DATOS!$G2065&lt;&gt;"EX",0,--(COUNTIFS(nNIA,DATOS!$A2065,nCURSO,DATOS!$D2065,nESPEC,DATOS!$E2065,nASIG,DATOS!$I2065,nEVAL,"OR")=0))</f>
      </c>
      <c r="I2065">
        <f>IF(DATOS!$I2065="","",IFERROR(VLOOKUP(DATOS!$I2065,CONFIG_ASIGNATURAS!$B$2:$J$91,9,FALSE()),""))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IF(DATOS!$A2066="",0,IF(CONFIG_METADATA!$B$4&lt;&gt;"OR+EX",--(DATOS!$G2066=CONFIG_METADATA!$B$4),IF(DATOS!$G2066="EX",1,IF(DATOS!$G2066="OR",--(COUNTIFS(nNIA,DATOS!$A2066,nCURSO,DATOS!$D2066,nESPEC,DATOS!$E2066,nASIG,DATOS!$I2066,nEVAL,"EX")=0),0))))</f>
      </c>
      <c r="H2066">
        <f>IF(DATOS!$G2066&lt;&gt;"EX",0,--(COUNTIFS(nNIA,DATOS!$A2066,nCURSO,DATOS!$D2066,nESPEC,DATOS!$E2066,nASIG,DATOS!$I2066,nEVAL,"OR")=0))</f>
      </c>
      <c r="I2066">
        <f>IF(DATOS!$I2066="","",IFERROR(VLOOKUP(DATOS!$I2066,CONFIG_ASIGNATURAS!$B$2:$J$91,9,FALSE()),""))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IF(DATOS!$A2067="",0,IF(CONFIG_METADATA!$B$4&lt;&gt;"OR+EX",--(DATOS!$G2067=CONFIG_METADATA!$B$4),IF(DATOS!$G2067="EX",1,IF(DATOS!$G2067="OR",--(COUNTIFS(nNIA,DATOS!$A2067,nCURSO,DATOS!$D2067,nESPEC,DATOS!$E2067,nASIG,DATOS!$I2067,nEVAL,"EX")=0),0))))</f>
      </c>
      <c r="H2067">
        <f>IF(DATOS!$G2067&lt;&gt;"EX",0,--(COUNTIFS(nNIA,DATOS!$A2067,nCURSO,DATOS!$D2067,nESPEC,DATOS!$E2067,nASIG,DATOS!$I2067,nEVAL,"OR")=0))</f>
      </c>
      <c r="I2067">
        <f>IF(DATOS!$I2067="","",IFERROR(VLOOKUP(DATOS!$I2067,CONFIG_ASIGNATURAS!$B$2:$J$91,9,FALSE()),""))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IF(DATOS!$A2068="",0,IF(CONFIG_METADATA!$B$4&lt;&gt;"OR+EX",--(DATOS!$G2068=CONFIG_METADATA!$B$4),IF(DATOS!$G2068="EX",1,IF(DATOS!$G2068="OR",--(COUNTIFS(nNIA,DATOS!$A2068,nCURSO,DATOS!$D2068,nESPEC,DATOS!$E2068,nASIG,DATOS!$I2068,nEVAL,"EX")=0),0))))</f>
      </c>
      <c r="H2068">
        <f>IF(DATOS!$G2068&lt;&gt;"EX",0,--(COUNTIFS(nNIA,DATOS!$A2068,nCURSO,DATOS!$D2068,nESPEC,DATOS!$E2068,nASIG,DATOS!$I2068,nEVAL,"OR")=0))</f>
      </c>
      <c r="I2068">
        <f>IF(DATOS!$I2068="","",IFERROR(VLOOKUP(DATOS!$I2068,CONFIG_ASIGNATURAS!$B$2:$J$91,9,FALSE()),""))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IF(DATOS!$A2069="",0,IF(CONFIG_METADATA!$B$4&lt;&gt;"OR+EX",--(DATOS!$G2069=CONFIG_METADATA!$B$4),IF(DATOS!$G2069="EX",1,IF(DATOS!$G2069="OR",--(COUNTIFS(nNIA,DATOS!$A2069,nCURSO,DATOS!$D2069,nESPEC,DATOS!$E2069,nASIG,DATOS!$I2069,nEVAL,"EX")=0),0))))</f>
      </c>
      <c r="H2069">
        <f>IF(DATOS!$G2069&lt;&gt;"EX",0,--(COUNTIFS(nNIA,DATOS!$A2069,nCURSO,DATOS!$D2069,nESPEC,DATOS!$E2069,nASIG,DATOS!$I2069,nEVAL,"OR")=0))</f>
      </c>
      <c r="I2069">
        <f>IF(DATOS!$I2069="","",IFERROR(VLOOKUP(DATOS!$I2069,CONFIG_ASIGNATURAS!$B$2:$J$91,9,FALSE()),""))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IF(DATOS!$A2070="",0,IF(CONFIG_METADATA!$B$4&lt;&gt;"OR+EX",--(DATOS!$G2070=CONFIG_METADATA!$B$4),IF(DATOS!$G2070="EX",1,IF(DATOS!$G2070="OR",--(COUNTIFS(nNIA,DATOS!$A2070,nCURSO,DATOS!$D2070,nESPEC,DATOS!$E2070,nASIG,DATOS!$I2070,nEVAL,"EX")=0),0))))</f>
      </c>
      <c r="H2070">
        <f>IF(DATOS!$G2070&lt;&gt;"EX",0,--(COUNTIFS(nNIA,DATOS!$A2070,nCURSO,DATOS!$D2070,nESPEC,DATOS!$E2070,nASIG,DATOS!$I2070,nEVAL,"OR")=0))</f>
      </c>
      <c r="I2070">
        <f>IF(DATOS!$I2070="","",IFERROR(VLOOKUP(DATOS!$I2070,CONFIG_ASIGNATURAS!$B$2:$J$91,9,FALSE()),""))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IF(DATOS!$A2071="",0,IF(CONFIG_METADATA!$B$4&lt;&gt;"OR+EX",--(DATOS!$G2071=CONFIG_METADATA!$B$4),IF(DATOS!$G2071="EX",1,IF(DATOS!$G2071="OR",--(COUNTIFS(nNIA,DATOS!$A2071,nCURSO,DATOS!$D2071,nESPEC,DATOS!$E2071,nASIG,DATOS!$I2071,nEVAL,"EX")=0),0))))</f>
      </c>
      <c r="H2071">
        <f>IF(DATOS!$G2071&lt;&gt;"EX",0,--(COUNTIFS(nNIA,DATOS!$A2071,nCURSO,DATOS!$D2071,nESPEC,DATOS!$E2071,nASIG,DATOS!$I2071,nEVAL,"OR")=0))</f>
      </c>
      <c r="I2071">
        <f>IF(DATOS!$I2071="","",IFERROR(VLOOKUP(DATOS!$I2071,CONFIG_ASIGNATURAS!$B$2:$J$91,9,FALSE()),""))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IF(DATOS!$A2072="",0,IF(CONFIG_METADATA!$B$4&lt;&gt;"OR+EX",--(DATOS!$G2072=CONFIG_METADATA!$B$4),IF(DATOS!$G2072="EX",1,IF(DATOS!$G2072="OR",--(COUNTIFS(nNIA,DATOS!$A2072,nCURSO,DATOS!$D2072,nESPEC,DATOS!$E2072,nASIG,DATOS!$I2072,nEVAL,"EX")=0),0))))</f>
      </c>
      <c r="H2072">
        <f>IF(DATOS!$G2072&lt;&gt;"EX",0,--(COUNTIFS(nNIA,DATOS!$A2072,nCURSO,DATOS!$D2072,nESPEC,DATOS!$E2072,nASIG,DATOS!$I2072,nEVAL,"OR")=0))</f>
      </c>
      <c r="I2072">
        <f>IF(DATOS!$I2072="","",IFERROR(VLOOKUP(DATOS!$I2072,CONFIG_ASIGNATURAS!$B$2:$J$91,9,FALSE()),""))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IF(DATOS!$A2073="",0,IF(CONFIG_METADATA!$B$4&lt;&gt;"OR+EX",--(DATOS!$G2073=CONFIG_METADATA!$B$4),IF(DATOS!$G2073="EX",1,IF(DATOS!$G2073="OR",--(COUNTIFS(nNIA,DATOS!$A2073,nCURSO,DATOS!$D2073,nESPEC,DATOS!$E2073,nASIG,DATOS!$I2073,nEVAL,"EX")=0),0))))</f>
      </c>
      <c r="H2073">
        <f>IF(DATOS!$G2073&lt;&gt;"EX",0,--(COUNTIFS(nNIA,DATOS!$A2073,nCURSO,DATOS!$D2073,nESPEC,DATOS!$E2073,nASIG,DATOS!$I2073,nEVAL,"OR")=0))</f>
      </c>
      <c r="I2073">
        <f>IF(DATOS!$I2073="","",IFERROR(VLOOKUP(DATOS!$I2073,CONFIG_ASIGNATURAS!$B$2:$J$91,9,FALSE()),""))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IF(DATOS!$A2074="",0,IF(CONFIG_METADATA!$B$4&lt;&gt;"OR+EX",--(DATOS!$G2074=CONFIG_METADATA!$B$4),IF(DATOS!$G2074="EX",1,IF(DATOS!$G2074="OR",--(COUNTIFS(nNIA,DATOS!$A2074,nCURSO,DATOS!$D2074,nESPEC,DATOS!$E2074,nASIG,DATOS!$I2074,nEVAL,"EX")=0),0))))</f>
      </c>
      <c r="H2074">
        <f>IF(DATOS!$G2074&lt;&gt;"EX",0,--(COUNTIFS(nNIA,DATOS!$A2074,nCURSO,DATOS!$D2074,nESPEC,DATOS!$E2074,nASIG,DATOS!$I2074,nEVAL,"OR")=0))</f>
      </c>
      <c r="I2074">
        <f>IF(DATOS!$I2074="","",IFERROR(VLOOKUP(DATOS!$I2074,CONFIG_ASIGNATURAS!$B$2:$J$91,9,FALSE()),""))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IF(DATOS!$A2075="",0,IF(CONFIG_METADATA!$B$4&lt;&gt;"OR+EX",--(DATOS!$G2075=CONFIG_METADATA!$B$4),IF(DATOS!$G2075="EX",1,IF(DATOS!$G2075="OR",--(COUNTIFS(nNIA,DATOS!$A2075,nCURSO,DATOS!$D2075,nESPEC,DATOS!$E2075,nASIG,DATOS!$I2075,nEVAL,"EX")=0),0))))</f>
      </c>
      <c r="H2075">
        <f>IF(DATOS!$G2075&lt;&gt;"EX",0,--(COUNTIFS(nNIA,DATOS!$A2075,nCURSO,DATOS!$D2075,nESPEC,DATOS!$E2075,nASIG,DATOS!$I2075,nEVAL,"OR")=0))</f>
      </c>
      <c r="I2075">
        <f>IF(DATOS!$I2075="","",IFERROR(VLOOKUP(DATOS!$I2075,CONFIG_ASIGNATURAS!$B$2:$J$91,9,FALSE()),""))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IF(DATOS!$A2076="",0,IF(CONFIG_METADATA!$B$4&lt;&gt;"OR+EX",--(DATOS!$G2076=CONFIG_METADATA!$B$4),IF(DATOS!$G2076="EX",1,IF(DATOS!$G2076="OR",--(COUNTIFS(nNIA,DATOS!$A2076,nCURSO,DATOS!$D2076,nESPEC,DATOS!$E2076,nASIG,DATOS!$I2076,nEVAL,"EX")=0),0))))</f>
      </c>
      <c r="H2076">
        <f>IF(DATOS!$G2076&lt;&gt;"EX",0,--(COUNTIFS(nNIA,DATOS!$A2076,nCURSO,DATOS!$D2076,nESPEC,DATOS!$E2076,nASIG,DATOS!$I2076,nEVAL,"OR")=0))</f>
      </c>
      <c r="I2076">
        <f>IF(DATOS!$I2076="","",IFERROR(VLOOKUP(DATOS!$I2076,CONFIG_ASIGNATURAS!$B$2:$J$91,9,FALSE()),""))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IF(DATOS!$A2077="",0,IF(CONFIG_METADATA!$B$4&lt;&gt;"OR+EX",--(DATOS!$G2077=CONFIG_METADATA!$B$4),IF(DATOS!$G2077="EX",1,IF(DATOS!$G2077="OR",--(COUNTIFS(nNIA,DATOS!$A2077,nCURSO,DATOS!$D2077,nESPEC,DATOS!$E2077,nASIG,DATOS!$I2077,nEVAL,"EX")=0),0))))</f>
      </c>
      <c r="H2077">
        <f>IF(DATOS!$G2077&lt;&gt;"EX",0,--(COUNTIFS(nNIA,DATOS!$A2077,nCURSO,DATOS!$D2077,nESPEC,DATOS!$E2077,nASIG,DATOS!$I2077,nEVAL,"OR")=0))</f>
      </c>
      <c r="I2077">
        <f>IF(DATOS!$I2077="","",IFERROR(VLOOKUP(DATOS!$I2077,CONFIG_ASIGNATURAS!$B$2:$J$91,9,FALSE()),""))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IF(DATOS!$A2078="",0,IF(CONFIG_METADATA!$B$4&lt;&gt;"OR+EX",--(DATOS!$G2078=CONFIG_METADATA!$B$4),IF(DATOS!$G2078="EX",1,IF(DATOS!$G2078="OR",--(COUNTIFS(nNIA,DATOS!$A2078,nCURSO,DATOS!$D2078,nESPEC,DATOS!$E2078,nASIG,DATOS!$I2078,nEVAL,"EX")=0),0))))</f>
      </c>
      <c r="H2078">
        <f>IF(DATOS!$G2078&lt;&gt;"EX",0,--(COUNTIFS(nNIA,DATOS!$A2078,nCURSO,DATOS!$D2078,nESPEC,DATOS!$E2078,nASIG,DATOS!$I2078,nEVAL,"OR")=0))</f>
      </c>
      <c r="I2078">
        <f>IF(DATOS!$I2078="","",IFERROR(VLOOKUP(DATOS!$I2078,CONFIG_ASIGNATURAS!$B$2:$J$91,9,FALSE()),""))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IF(DATOS!$A2079="",0,IF(CONFIG_METADATA!$B$4&lt;&gt;"OR+EX",--(DATOS!$G2079=CONFIG_METADATA!$B$4),IF(DATOS!$G2079="EX",1,IF(DATOS!$G2079="OR",--(COUNTIFS(nNIA,DATOS!$A2079,nCURSO,DATOS!$D2079,nESPEC,DATOS!$E2079,nASIG,DATOS!$I2079,nEVAL,"EX")=0),0))))</f>
      </c>
      <c r="H2079">
        <f>IF(DATOS!$G2079&lt;&gt;"EX",0,--(COUNTIFS(nNIA,DATOS!$A2079,nCURSO,DATOS!$D2079,nESPEC,DATOS!$E2079,nASIG,DATOS!$I2079,nEVAL,"OR")=0))</f>
      </c>
      <c r="I2079">
        <f>IF(DATOS!$I2079="","",IFERROR(VLOOKUP(DATOS!$I2079,CONFIG_ASIGNATURAS!$B$2:$J$91,9,FALSE()),""))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IF(DATOS!$A2080="",0,IF(CONFIG_METADATA!$B$4&lt;&gt;"OR+EX",--(DATOS!$G2080=CONFIG_METADATA!$B$4),IF(DATOS!$G2080="EX",1,IF(DATOS!$G2080="OR",--(COUNTIFS(nNIA,DATOS!$A2080,nCURSO,DATOS!$D2080,nESPEC,DATOS!$E2080,nASIG,DATOS!$I2080,nEVAL,"EX")=0),0))))</f>
      </c>
      <c r="H2080">
        <f>IF(DATOS!$G2080&lt;&gt;"EX",0,--(COUNTIFS(nNIA,DATOS!$A2080,nCURSO,DATOS!$D2080,nESPEC,DATOS!$E2080,nASIG,DATOS!$I2080,nEVAL,"OR")=0))</f>
      </c>
      <c r="I2080">
        <f>IF(DATOS!$I2080="","",IFERROR(VLOOKUP(DATOS!$I2080,CONFIG_ASIGNATURAS!$B$2:$J$91,9,FALSE()),""))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IF(DATOS!$A2081="",0,IF(CONFIG_METADATA!$B$4&lt;&gt;"OR+EX",--(DATOS!$G2081=CONFIG_METADATA!$B$4),IF(DATOS!$G2081="EX",1,IF(DATOS!$G2081="OR",--(COUNTIFS(nNIA,DATOS!$A2081,nCURSO,DATOS!$D2081,nESPEC,DATOS!$E2081,nASIG,DATOS!$I2081,nEVAL,"EX")=0),0))))</f>
      </c>
      <c r="H2081">
        <f>IF(DATOS!$G2081&lt;&gt;"EX",0,--(COUNTIFS(nNIA,DATOS!$A2081,nCURSO,DATOS!$D2081,nESPEC,DATOS!$E2081,nASIG,DATOS!$I2081,nEVAL,"OR")=0))</f>
      </c>
      <c r="I2081">
        <f>IF(DATOS!$I2081="","",IFERROR(VLOOKUP(DATOS!$I2081,CONFIG_ASIGNATURAS!$B$2:$J$91,9,FALSE()),""))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IF(DATOS!$A2082="",0,IF(CONFIG_METADATA!$B$4&lt;&gt;"OR+EX",--(DATOS!$G2082=CONFIG_METADATA!$B$4),IF(DATOS!$G2082="EX",1,IF(DATOS!$G2082="OR",--(COUNTIFS(nNIA,DATOS!$A2082,nCURSO,DATOS!$D2082,nESPEC,DATOS!$E2082,nASIG,DATOS!$I2082,nEVAL,"EX")=0),0))))</f>
      </c>
      <c r="H2082">
        <f>IF(DATOS!$G2082&lt;&gt;"EX",0,--(COUNTIFS(nNIA,DATOS!$A2082,nCURSO,DATOS!$D2082,nESPEC,DATOS!$E2082,nASIG,DATOS!$I2082,nEVAL,"OR")=0))</f>
      </c>
      <c r="I2082">
        <f>IF(DATOS!$I2082="","",IFERROR(VLOOKUP(DATOS!$I2082,CONFIG_ASIGNATURAS!$B$2:$J$91,9,FALSE()),""))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IF(DATOS!$A2083="",0,IF(CONFIG_METADATA!$B$4&lt;&gt;"OR+EX",--(DATOS!$G2083=CONFIG_METADATA!$B$4),IF(DATOS!$G2083="EX",1,IF(DATOS!$G2083="OR",--(COUNTIFS(nNIA,DATOS!$A2083,nCURSO,DATOS!$D2083,nESPEC,DATOS!$E2083,nASIG,DATOS!$I2083,nEVAL,"EX")=0),0))))</f>
      </c>
      <c r="H2083">
        <f>IF(DATOS!$G2083&lt;&gt;"EX",0,--(COUNTIFS(nNIA,DATOS!$A2083,nCURSO,DATOS!$D2083,nESPEC,DATOS!$E2083,nASIG,DATOS!$I2083,nEVAL,"OR")=0))</f>
      </c>
      <c r="I2083">
        <f>IF(DATOS!$I2083="","",IFERROR(VLOOKUP(DATOS!$I2083,CONFIG_ASIGNATURAS!$B$2:$J$91,9,FALSE()),""))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IF(DATOS!$A2084="",0,IF(CONFIG_METADATA!$B$4&lt;&gt;"OR+EX",--(DATOS!$G2084=CONFIG_METADATA!$B$4),IF(DATOS!$G2084="EX",1,IF(DATOS!$G2084="OR",--(COUNTIFS(nNIA,DATOS!$A2084,nCURSO,DATOS!$D2084,nESPEC,DATOS!$E2084,nASIG,DATOS!$I2084,nEVAL,"EX")=0),0))))</f>
      </c>
      <c r="H2084">
        <f>IF(DATOS!$G2084&lt;&gt;"EX",0,--(COUNTIFS(nNIA,DATOS!$A2084,nCURSO,DATOS!$D2084,nESPEC,DATOS!$E2084,nASIG,DATOS!$I2084,nEVAL,"OR")=0))</f>
      </c>
      <c r="I2084">
        <f>IF(DATOS!$I2084="","",IFERROR(VLOOKUP(DATOS!$I2084,CONFIG_ASIGNATURAS!$B$2:$J$91,9,FALSE()),""))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IF(DATOS!$A2085="",0,IF(CONFIG_METADATA!$B$4&lt;&gt;"OR+EX",--(DATOS!$G2085=CONFIG_METADATA!$B$4),IF(DATOS!$G2085="EX",1,IF(DATOS!$G2085="OR",--(COUNTIFS(nNIA,DATOS!$A2085,nCURSO,DATOS!$D2085,nESPEC,DATOS!$E2085,nASIG,DATOS!$I2085,nEVAL,"EX")=0),0))))</f>
      </c>
      <c r="H2085">
        <f>IF(DATOS!$G2085&lt;&gt;"EX",0,--(COUNTIFS(nNIA,DATOS!$A2085,nCURSO,DATOS!$D2085,nESPEC,DATOS!$E2085,nASIG,DATOS!$I2085,nEVAL,"OR")=0))</f>
      </c>
      <c r="I2085">
        <f>IF(DATOS!$I2085="","",IFERROR(VLOOKUP(DATOS!$I2085,CONFIG_ASIGNATURAS!$B$2:$J$91,9,FALSE()),""))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IF(DATOS!$A2086="",0,IF(CONFIG_METADATA!$B$4&lt;&gt;"OR+EX",--(DATOS!$G2086=CONFIG_METADATA!$B$4),IF(DATOS!$G2086="EX",1,IF(DATOS!$G2086="OR",--(COUNTIFS(nNIA,DATOS!$A2086,nCURSO,DATOS!$D2086,nESPEC,DATOS!$E2086,nASIG,DATOS!$I2086,nEVAL,"EX")=0),0))))</f>
      </c>
      <c r="H2086">
        <f>IF(DATOS!$G2086&lt;&gt;"EX",0,--(COUNTIFS(nNIA,DATOS!$A2086,nCURSO,DATOS!$D2086,nESPEC,DATOS!$E2086,nASIG,DATOS!$I2086,nEVAL,"OR")=0))</f>
      </c>
      <c r="I2086">
        <f>IF(DATOS!$I2086="","",IFERROR(VLOOKUP(DATOS!$I2086,CONFIG_ASIGNATURAS!$B$2:$J$91,9,FALSE()),""))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IF(DATOS!$A2087="",0,IF(CONFIG_METADATA!$B$4&lt;&gt;"OR+EX",--(DATOS!$G2087=CONFIG_METADATA!$B$4),IF(DATOS!$G2087="EX",1,IF(DATOS!$G2087="OR",--(COUNTIFS(nNIA,DATOS!$A2087,nCURSO,DATOS!$D2087,nESPEC,DATOS!$E2087,nASIG,DATOS!$I2087,nEVAL,"EX")=0),0))))</f>
      </c>
      <c r="H2087">
        <f>IF(DATOS!$G2087&lt;&gt;"EX",0,--(COUNTIFS(nNIA,DATOS!$A2087,nCURSO,DATOS!$D2087,nESPEC,DATOS!$E2087,nASIG,DATOS!$I2087,nEVAL,"OR")=0))</f>
      </c>
      <c r="I2087">
        <f>IF(DATOS!$I2087="","",IFERROR(VLOOKUP(DATOS!$I2087,CONFIG_ASIGNATURAS!$B$2:$J$91,9,FALSE()),""))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IF(DATOS!$A2088="",0,IF(CONFIG_METADATA!$B$4&lt;&gt;"OR+EX",--(DATOS!$G2088=CONFIG_METADATA!$B$4),IF(DATOS!$G2088="EX",1,IF(DATOS!$G2088="OR",--(COUNTIFS(nNIA,DATOS!$A2088,nCURSO,DATOS!$D2088,nESPEC,DATOS!$E2088,nASIG,DATOS!$I2088,nEVAL,"EX")=0),0))))</f>
      </c>
      <c r="H2088">
        <f>IF(DATOS!$G2088&lt;&gt;"EX",0,--(COUNTIFS(nNIA,DATOS!$A2088,nCURSO,DATOS!$D2088,nESPEC,DATOS!$E2088,nASIG,DATOS!$I2088,nEVAL,"OR")=0))</f>
      </c>
      <c r="I2088">
        <f>IF(DATOS!$I2088="","",IFERROR(VLOOKUP(DATOS!$I2088,CONFIG_ASIGNATURAS!$B$2:$J$91,9,FALSE()),""))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IF(DATOS!$A2089="",0,IF(CONFIG_METADATA!$B$4&lt;&gt;"OR+EX",--(DATOS!$G2089=CONFIG_METADATA!$B$4),IF(DATOS!$G2089="EX",1,IF(DATOS!$G2089="OR",--(COUNTIFS(nNIA,DATOS!$A2089,nCURSO,DATOS!$D2089,nESPEC,DATOS!$E2089,nASIG,DATOS!$I2089,nEVAL,"EX")=0),0))))</f>
      </c>
      <c r="H2089">
        <f>IF(DATOS!$G2089&lt;&gt;"EX",0,--(COUNTIFS(nNIA,DATOS!$A2089,nCURSO,DATOS!$D2089,nESPEC,DATOS!$E2089,nASIG,DATOS!$I2089,nEVAL,"OR")=0))</f>
      </c>
      <c r="I2089">
        <f>IF(DATOS!$I2089="","",IFERROR(VLOOKUP(DATOS!$I2089,CONFIG_ASIGNATURAS!$B$2:$J$91,9,FALSE()),""))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IF(DATOS!$A2090="",0,IF(CONFIG_METADATA!$B$4&lt;&gt;"OR+EX",--(DATOS!$G2090=CONFIG_METADATA!$B$4),IF(DATOS!$G2090="EX",1,IF(DATOS!$G2090="OR",--(COUNTIFS(nNIA,DATOS!$A2090,nCURSO,DATOS!$D2090,nESPEC,DATOS!$E2090,nASIG,DATOS!$I2090,nEVAL,"EX")=0),0))))</f>
      </c>
      <c r="H2090">
        <f>IF(DATOS!$G2090&lt;&gt;"EX",0,--(COUNTIFS(nNIA,DATOS!$A2090,nCURSO,DATOS!$D2090,nESPEC,DATOS!$E2090,nASIG,DATOS!$I2090,nEVAL,"OR")=0))</f>
      </c>
      <c r="I2090">
        <f>IF(DATOS!$I2090="","",IFERROR(VLOOKUP(DATOS!$I2090,CONFIG_ASIGNATURAS!$B$2:$J$91,9,FALSE()),""))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IF(DATOS!$A2091="",0,IF(CONFIG_METADATA!$B$4&lt;&gt;"OR+EX",--(DATOS!$G2091=CONFIG_METADATA!$B$4),IF(DATOS!$G2091="EX",1,IF(DATOS!$G2091="OR",--(COUNTIFS(nNIA,DATOS!$A2091,nCURSO,DATOS!$D2091,nESPEC,DATOS!$E2091,nASIG,DATOS!$I2091,nEVAL,"EX")=0),0))))</f>
      </c>
      <c r="H2091">
        <f>IF(DATOS!$G2091&lt;&gt;"EX",0,--(COUNTIFS(nNIA,DATOS!$A2091,nCURSO,DATOS!$D2091,nESPEC,DATOS!$E2091,nASIG,DATOS!$I2091,nEVAL,"OR")=0))</f>
      </c>
      <c r="I2091">
        <f>IF(DATOS!$I2091="","",IFERROR(VLOOKUP(DATOS!$I2091,CONFIG_ASIGNATURAS!$B$2:$J$91,9,FALSE()),""))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IF(DATOS!$A2092="",0,IF(CONFIG_METADATA!$B$4&lt;&gt;"OR+EX",--(DATOS!$G2092=CONFIG_METADATA!$B$4),IF(DATOS!$G2092="EX",1,IF(DATOS!$G2092="OR",--(COUNTIFS(nNIA,DATOS!$A2092,nCURSO,DATOS!$D2092,nESPEC,DATOS!$E2092,nASIG,DATOS!$I2092,nEVAL,"EX")=0),0))))</f>
      </c>
      <c r="H2092">
        <f>IF(DATOS!$G2092&lt;&gt;"EX",0,--(COUNTIFS(nNIA,DATOS!$A2092,nCURSO,DATOS!$D2092,nESPEC,DATOS!$E2092,nASIG,DATOS!$I2092,nEVAL,"OR")=0))</f>
      </c>
      <c r="I2092">
        <f>IF(DATOS!$I2092="","",IFERROR(VLOOKUP(DATOS!$I2092,CONFIG_ASIGNATURAS!$B$2:$J$91,9,FALSE()),""))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IF(DATOS!$A2093="",0,IF(CONFIG_METADATA!$B$4&lt;&gt;"OR+EX",--(DATOS!$G2093=CONFIG_METADATA!$B$4),IF(DATOS!$G2093="EX",1,IF(DATOS!$G2093="OR",--(COUNTIFS(nNIA,DATOS!$A2093,nCURSO,DATOS!$D2093,nESPEC,DATOS!$E2093,nASIG,DATOS!$I2093,nEVAL,"EX")=0),0))))</f>
      </c>
      <c r="H2093">
        <f>IF(DATOS!$G2093&lt;&gt;"EX",0,--(COUNTIFS(nNIA,DATOS!$A2093,nCURSO,DATOS!$D2093,nESPEC,DATOS!$E2093,nASIG,DATOS!$I2093,nEVAL,"OR")=0))</f>
      </c>
      <c r="I2093">
        <f>IF(DATOS!$I2093="","",IFERROR(VLOOKUP(DATOS!$I2093,CONFIG_ASIGNATURAS!$B$2:$J$91,9,FALSE()),""))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IF(DATOS!$A2094="",0,IF(CONFIG_METADATA!$B$4&lt;&gt;"OR+EX",--(DATOS!$G2094=CONFIG_METADATA!$B$4),IF(DATOS!$G2094="EX",1,IF(DATOS!$G2094="OR",--(COUNTIFS(nNIA,DATOS!$A2094,nCURSO,DATOS!$D2094,nESPEC,DATOS!$E2094,nASIG,DATOS!$I2094,nEVAL,"EX")=0),0))))</f>
      </c>
      <c r="H2094">
        <f>IF(DATOS!$G2094&lt;&gt;"EX",0,--(COUNTIFS(nNIA,DATOS!$A2094,nCURSO,DATOS!$D2094,nESPEC,DATOS!$E2094,nASIG,DATOS!$I2094,nEVAL,"OR")=0))</f>
      </c>
      <c r="I2094">
        <f>IF(DATOS!$I2094="","",IFERROR(VLOOKUP(DATOS!$I2094,CONFIG_ASIGNATURAS!$B$2:$J$91,9,FALSE()),""))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IF(DATOS!$A2095="",0,IF(CONFIG_METADATA!$B$4&lt;&gt;"OR+EX",--(DATOS!$G2095=CONFIG_METADATA!$B$4),IF(DATOS!$G2095="EX",1,IF(DATOS!$G2095="OR",--(COUNTIFS(nNIA,DATOS!$A2095,nCURSO,DATOS!$D2095,nESPEC,DATOS!$E2095,nASIG,DATOS!$I2095,nEVAL,"EX")=0),0))))</f>
      </c>
      <c r="H2095">
        <f>IF(DATOS!$G2095&lt;&gt;"EX",0,--(COUNTIFS(nNIA,DATOS!$A2095,nCURSO,DATOS!$D2095,nESPEC,DATOS!$E2095,nASIG,DATOS!$I2095,nEVAL,"OR")=0))</f>
      </c>
      <c r="I2095">
        <f>IF(DATOS!$I2095="","",IFERROR(VLOOKUP(DATOS!$I2095,CONFIG_ASIGNATURAS!$B$2:$J$91,9,FALSE()),""))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IF(DATOS!$A2096="",0,IF(CONFIG_METADATA!$B$4&lt;&gt;"OR+EX",--(DATOS!$G2096=CONFIG_METADATA!$B$4),IF(DATOS!$G2096="EX",1,IF(DATOS!$G2096="OR",--(COUNTIFS(nNIA,DATOS!$A2096,nCURSO,DATOS!$D2096,nESPEC,DATOS!$E2096,nASIG,DATOS!$I2096,nEVAL,"EX")=0),0))))</f>
      </c>
      <c r="H2096">
        <f>IF(DATOS!$G2096&lt;&gt;"EX",0,--(COUNTIFS(nNIA,DATOS!$A2096,nCURSO,DATOS!$D2096,nESPEC,DATOS!$E2096,nASIG,DATOS!$I2096,nEVAL,"OR")=0))</f>
      </c>
      <c r="I2096">
        <f>IF(DATOS!$I2096="","",IFERROR(VLOOKUP(DATOS!$I2096,CONFIG_ASIGNATURAS!$B$2:$J$91,9,FALSE()),""))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IF(DATOS!$A2097="",0,IF(CONFIG_METADATA!$B$4&lt;&gt;"OR+EX",--(DATOS!$G2097=CONFIG_METADATA!$B$4),IF(DATOS!$G2097="EX",1,IF(DATOS!$G2097="OR",--(COUNTIFS(nNIA,DATOS!$A2097,nCURSO,DATOS!$D2097,nESPEC,DATOS!$E2097,nASIG,DATOS!$I2097,nEVAL,"EX")=0),0))))</f>
      </c>
      <c r="H2097">
        <f>IF(DATOS!$G2097&lt;&gt;"EX",0,--(COUNTIFS(nNIA,DATOS!$A2097,nCURSO,DATOS!$D2097,nESPEC,DATOS!$E2097,nASIG,DATOS!$I2097,nEVAL,"OR")=0))</f>
      </c>
      <c r="I2097">
        <f>IF(DATOS!$I2097="","",IFERROR(VLOOKUP(DATOS!$I2097,CONFIG_ASIGNATURAS!$B$2:$J$91,9,FALSE()),""))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IF(DATOS!$A2098="",0,IF(CONFIG_METADATA!$B$4&lt;&gt;"OR+EX",--(DATOS!$G2098=CONFIG_METADATA!$B$4),IF(DATOS!$G2098="EX",1,IF(DATOS!$G2098="OR",--(COUNTIFS(nNIA,DATOS!$A2098,nCURSO,DATOS!$D2098,nESPEC,DATOS!$E2098,nASIG,DATOS!$I2098,nEVAL,"EX")=0),0))))</f>
      </c>
      <c r="H2098">
        <f>IF(DATOS!$G2098&lt;&gt;"EX",0,--(COUNTIFS(nNIA,DATOS!$A2098,nCURSO,DATOS!$D2098,nESPEC,DATOS!$E2098,nASIG,DATOS!$I2098,nEVAL,"OR")=0))</f>
      </c>
      <c r="I2098">
        <f>IF(DATOS!$I2098="","",IFERROR(VLOOKUP(DATOS!$I2098,CONFIG_ASIGNATURAS!$B$2:$J$91,9,FALSE()),""))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IF(DATOS!$A2099="",0,IF(CONFIG_METADATA!$B$4&lt;&gt;"OR+EX",--(DATOS!$G2099=CONFIG_METADATA!$B$4),IF(DATOS!$G2099="EX",1,IF(DATOS!$G2099="OR",--(COUNTIFS(nNIA,DATOS!$A2099,nCURSO,DATOS!$D2099,nESPEC,DATOS!$E2099,nASIG,DATOS!$I2099,nEVAL,"EX")=0),0))))</f>
      </c>
      <c r="H2099">
        <f>IF(DATOS!$G2099&lt;&gt;"EX",0,--(COUNTIFS(nNIA,DATOS!$A2099,nCURSO,DATOS!$D2099,nESPEC,DATOS!$E2099,nASIG,DATOS!$I2099,nEVAL,"OR")=0))</f>
      </c>
      <c r="I2099">
        <f>IF(DATOS!$I2099="","",IFERROR(VLOOKUP(DATOS!$I2099,CONFIG_ASIGNATURAS!$B$2:$J$91,9,FALSE()),""))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IF(DATOS!$A2100="",0,IF(CONFIG_METADATA!$B$4&lt;&gt;"OR+EX",--(DATOS!$G2100=CONFIG_METADATA!$B$4),IF(DATOS!$G2100="EX",1,IF(DATOS!$G2100="OR",--(COUNTIFS(nNIA,DATOS!$A2100,nCURSO,DATOS!$D2100,nESPEC,DATOS!$E2100,nASIG,DATOS!$I2100,nEVAL,"EX")=0),0))))</f>
      </c>
      <c r="H2100">
        <f>IF(DATOS!$G2100&lt;&gt;"EX",0,--(COUNTIFS(nNIA,DATOS!$A2100,nCURSO,DATOS!$D2100,nESPEC,DATOS!$E2100,nASIG,DATOS!$I2100,nEVAL,"OR")=0))</f>
      </c>
      <c r="I2100">
        <f>IF(DATOS!$I2100="","",IFERROR(VLOOKUP(DATOS!$I2100,CONFIG_ASIGNATURAS!$B$2:$J$91,9,FALSE()),""))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IF(DATOS!$A2101="",0,IF(CONFIG_METADATA!$B$4&lt;&gt;"OR+EX",--(DATOS!$G2101=CONFIG_METADATA!$B$4),IF(DATOS!$G2101="EX",1,IF(DATOS!$G2101="OR",--(COUNTIFS(nNIA,DATOS!$A2101,nCURSO,DATOS!$D2101,nESPEC,DATOS!$E2101,nASIG,DATOS!$I2101,nEVAL,"EX")=0),0))))</f>
      </c>
      <c r="H2101">
        <f>IF(DATOS!$G2101&lt;&gt;"EX",0,--(COUNTIFS(nNIA,DATOS!$A2101,nCURSO,DATOS!$D2101,nESPEC,DATOS!$E2101,nASIG,DATOS!$I2101,nEVAL,"OR")=0))</f>
      </c>
      <c r="I2101">
        <f>IF(DATOS!$I2101="","",IFERROR(VLOOKUP(DATOS!$I2101,CONFIG_ASIGNATURAS!$B$2:$J$91,9,FALSE()),""))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IF(DATOS!$A2102="",0,IF(CONFIG_METADATA!$B$4&lt;&gt;"OR+EX",--(DATOS!$G2102=CONFIG_METADATA!$B$4),IF(DATOS!$G2102="EX",1,IF(DATOS!$G2102="OR",--(COUNTIFS(nNIA,DATOS!$A2102,nCURSO,DATOS!$D2102,nESPEC,DATOS!$E2102,nASIG,DATOS!$I2102,nEVAL,"EX")=0),0))))</f>
      </c>
      <c r="H2102">
        <f>IF(DATOS!$G2102&lt;&gt;"EX",0,--(COUNTIFS(nNIA,DATOS!$A2102,nCURSO,DATOS!$D2102,nESPEC,DATOS!$E2102,nASIG,DATOS!$I2102,nEVAL,"OR")=0))</f>
      </c>
      <c r="I2102">
        <f>IF(DATOS!$I2102="","",IFERROR(VLOOKUP(DATOS!$I2102,CONFIG_ASIGNATURAS!$B$2:$J$91,9,FALSE()),""))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IF(DATOS!$A2103="",0,IF(CONFIG_METADATA!$B$4&lt;&gt;"OR+EX",--(DATOS!$G2103=CONFIG_METADATA!$B$4),IF(DATOS!$G2103="EX",1,IF(DATOS!$G2103="OR",--(COUNTIFS(nNIA,DATOS!$A2103,nCURSO,DATOS!$D2103,nESPEC,DATOS!$E2103,nASIG,DATOS!$I2103,nEVAL,"EX")=0),0))))</f>
      </c>
      <c r="H2103">
        <f>IF(DATOS!$G2103&lt;&gt;"EX",0,--(COUNTIFS(nNIA,DATOS!$A2103,nCURSO,DATOS!$D2103,nESPEC,DATOS!$E2103,nASIG,DATOS!$I2103,nEVAL,"OR")=0))</f>
      </c>
      <c r="I2103">
        <f>IF(DATOS!$I2103="","",IFERROR(VLOOKUP(DATOS!$I2103,CONFIG_ASIGNATURAS!$B$2:$J$91,9,FALSE()),""))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IF(DATOS!$A2104="",0,IF(CONFIG_METADATA!$B$4&lt;&gt;"OR+EX",--(DATOS!$G2104=CONFIG_METADATA!$B$4),IF(DATOS!$G2104="EX",1,IF(DATOS!$G2104="OR",--(COUNTIFS(nNIA,DATOS!$A2104,nCURSO,DATOS!$D2104,nESPEC,DATOS!$E2104,nASIG,DATOS!$I2104,nEVAL,"EX")=0),0))))</f>
      </c>
      <c r="H2104">
        <f>IF(DATOS!$G2104&lt;&gt;"EX",0,--(COUNTIFS(nNIA,DATOS!$A2104,nCURSO,DATOS!$D2104,nESPEC,DATOS!$E2104,nASIG,DATOS!$I2104,nEVAL,"OR")=0))</f>
      </c>
      <c r="I2104">
        <f>IF(DATOS!$I2104="","",IFERROR(VLOOKUP(DATOS!$I2104,CONFIG_ASIGNATURAS!$B$2:$J$91,9,FALSE()),""))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IF(DATOS!$A2105="",0,IF(CONFIG_METADATA!$B$4&lt;&gt;"OR+EX",--(DATOS!$G2105=CONFIG_METADATA!$B$4),IF(DATOS!$G2105="EX",1,IF(DATOS!$G2105="OR",--(COUNTIFS(nNIA,DATOS!$A2105,nCURSO,DATOS!$D2105,nESPEC,DATOS!$E2105,nASIG,DATOS!$I2105,nEVAL,"EX")=0),0))))</f>
      </c>
      <c r="H2105">
        <f>IF(DATOS!$G2105&lt;&gt;"EX",0,--(COUNTIFS(nNIA,DATOS!$A2105,nCURSO,DATOS!$D2105,nESPEC,DATOS!$E2105,nASIG,DATOS!$I2105,nEVAL,"OR")=0))</f>
      </c>
      <c r="I2105">
        <f>IF(DATOS!$I2105="","",IFERROR(VLOOKUP(DATOS!$I2105,CONFIG_ASIGNATURAS!$B$2:$J$91,9,FALSE()),""))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IF(DATOS!$A2106="",0,IF(CONFIG_METADATA!$B$4&lt;&gt;"OR+EX",--(DATOS!$G2106=CONFIG_METADATA!$B$4),IF(DATOS!$G2106="EX",1,IF(DATOS!$G2106="OR",--(COUNTIFS(nNIA,DATOS!$A2106,nCURSO,DATOS!$D2106,nESPEC,DATOS!$E2106,nASIG,DATOS!$I2106,nEVAL,"EX")=0),0))))</f>
      </c>
      <c r="H2106">
        <f>IF(DATOS!$G2106&lt;&gt;"EX",0,--(COUNTIFS(nNIA,DATOS!$A2106,nCURSO,DATOS!$D2106,nESPEC,DATOS!$E2106,nASIG,DATOS!$I2106,nEVAL,"OR")=0))</f>
      </c>
      <c r="I2106">
        <f>IF(DATOS!$I2106="","",IFERROR(VLOOKUP(DATOS!$I2106,CONFIG_ASIGNATURAS!$B$2:$J$91,9,FALSE()),""))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IF(DATOS!$A2107="",0,IF(CONFIG_METADATA!$B$4&lt;&gt;"OR+EX",--(DATOS!$G2107=CONFIG_METADATA!$B$4),IF(DATOS!$G2107="EX",1,IF(DATOS!$G2107="OR",--(COUNTIFS(nNIA,DATOS!$A2107,nCURSO,DATOS!$D2107,nESPEC,DATOS!$E2107,nASIG,DATOS!$I2107,nEVAL,"EX")=0),0))))</f>
      </c>
      <c r="H2107">
        <f>IF(DATOS!$G2107&lt;&gt;"EX",0,--(COUNTIFS(nNIA,DATOS!$A2107,nCURSO,DATOS!$D2107,nESPEC,DATOS!$E2107,nASIG,DATOS!$I2107,nEVAL,"OR")=0))</f>
      </c>
      <c r="I2107">
        <f>IF(DATOS!$I2107="","",IFERROR(VLOOKUP(DATOS!$I2107,CONFIG_ASIGNATURAS!$B$2:$J$91,9,FALSE()),""))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IF(DATOS!$A2108="",0,IF(CONFIG_METADATA!$B$4&lt;&gt;"OR+EX",--(DATOS!$G2108=CONFIG_METADATA!$B$4),IF(DATOS!$G2108="EX",1,IF(DATOS!$G2108="OR",--(COUNTIFS(nNIA,DATOS!$A2108,nCURSO,DATOS!$D2108,nESPEC,DATOS!$E2108,nASIG,DATOS!$I2108,nEVAL,"EX")=0),0))))</f>
      </c>
      <c r="H2108">
        <f>IF(DATOS!$G2108&lt;&gt;"EX",0,--(COUNTIFS(nNIA,DATOS!$A2108,nCURSO,DATOS!$D2108,nESPEC,DATOS!$E2108,nASIG,DATOS!$I2108,nEVAL,"OR")=0))</f>
      </c>
      <c r="I2108">
        <f>IF(DATOS!$I2108="","",IFERROR(VLOOKUP(DATOS!$I2108,CONFIG_ASIGNATURAS!$B$2:$J$91,9,FALSE()),""))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IF(DATOS!$A2109="",0,IF(CONFIG_METADATA!$B$4&lt;&gt;"OR+EX",--(DATOS!$G2109=CONFIG_METADATA!$B$4),IF(DATOS!$G2109="EX",1,IF(DATOS!$G2109="OR",--(COUNTIFS(nNIA,DATOS!$A2109,nCURSO,DATOS!$D2109,nESPEC,DATOS!$E2109,nASIG,DATOS!$I2109,nEVAL,"EX")=0),0))))</f>
      </c>
      <c r="H2109">
        <f>IF(DATOS!$G2109&lt;&gt;"EX",0,--(COUNTIFS(nNIA,DATOS!$A2109,nCURSO,DATOS!$D2109,nESPEC,DATOS!$E2109,nASIG,DATOS!$I2109,nEVAL,"OR")=0))</f>
      </c>
      <c r="I2109">
        <f>IF(DATOS!$I2109="","",IFERROR(VLOOKUP(DATOS!$I2109,CONFIG_ASIGNATURAS!$B$2:$J$91,9,FALSE()),""))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IF(DATOS!$A2110="",0,IF(CONFIG_METADATA!$B$4&lt;&gt;"OR+EX",--(DATOS!$G2110=CONFIG_METADATA!$B$4),IF(DATOS!$G2110="EX",1,IF(DATOS!$G2110="OR",--(COUNTIFS(nNIA,DATOS!$A2110,nCURSO,DATOS!$D2110,nESPEC,DATOS!$E2110,nASIG,DATOS!$I2110,nEVAL,"EX")=0),0))))</f>
      </c>
      <c r="H2110">
        <f>IF(DATOS!$G2110&lt;&gt;"EX",0,--(COUNTIFS(nNIA,DATOS!$A2110,nCURSO,DATOS!$D2110,nESPEC,DATOS!$E2110,nASIG,DATOS!$I2110,nEVAL,"OR")=0))</f>
      </c>
      <c r="I2110">
        <f>IF(DATOS!$I2110="","",IFERROR(VLOOKUP(DATOS!$I2110,CONFIG_ASIGNATURAS!$B$2:$J$91,9,FALSE()),""))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IF(DATOS!$A2111="",0,IF(CONFIG_METADATA!$B$4&lt;&gt;"OR+EX",--(DATOS!$G2111=CONFIG_METADATA!$B$4),IF(DATOS!$G2111="EX",1,IF(DATOS!$G2111="OR",--(COUNTIFS(nNIA,DATOS!$A2111,nCURSO,DATOS!$D2111,nESPEC,DATOS!$E2111,nASIG,DATOS!$I2111,nEVAL,"EX")=0),0))))</f>
      </c>
      <c r="H2111">
        <f>IF(DATOS!$G2111&lt;&gt;"EX",0,--(COUNTIFS(nNIA,DATOS!$A2111,nCURSO,DATOS!$D2111,nESPEC,DATOS!$E2111,nASIG,DATOS!$I2111,nEVAL,"OR")=0))</f>
      </c>
      <c r="I2111">
        <f>IF(DATOS!$I2111="","",IFERROR(VLOOKUP(DATOS!$I2111,CONFIG_ASIGNATURAS!$B$2:$J$91,9,FALSE()),""))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IF(DATOS!$A2112="",0,IF(CONFIG_METADATA!$B$4&lt;&gt;"OR+EX",--(DATOS!$G2112=CONFIG_METADATA!$B$4),IF(DATOS!$G2112="EX",1,IF(DATOS!$G2112="OR",--(COUNTIFS(nNIA,DATOS!$A2112,nCURSO,DATOS!$D2112,nESPEC,DATOS!$E2112,nASIG,DATOS!$I2112,nEVAL,"EX")=0),0))))</f>
      </c>
      <c r="H2112">
        <f>IF(DATOS!$G2112&lt;&gt;"EX",0,--(COUNTIFS(nNIA,DATOS!$A2112,nCURSO,DATOS!$D2112,nESPEC,DATOS!$E2112,nASIG,DATOS!$I2112,nEVAL,"OR")=0))</f>
      </c>
      <c r="I2112">
        <f>IF(DATOS!$I2112="","",IFERROR(VLOOKUP(DATOS!$I2112,CONFIG_ASIGNATURAS!$B$2:$J$91,9,FALSE()),""))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IF(DATOS!$A2113="",0,IF(CONFIG_METADATA!$B$4&lt;&gt;"OR+EX",--(DATOS!$G2113=CONFIG_METADATA!$B$4),IF(DATOS!$G2113="EX",1,IF(DATOS!$G2113="OR",--(COUNTIFS(nNIA,DATOS!$A2113,nCURSO,DATOS!$D2113,nESPEC,DATOS!$E2113,nASIG,DATOS!$I2113,nEVAL,"EX")=0),0))))</f>
      </c>
      <c r="H2113">
        <f>IF(DATOS!$G2113&lt;&gt;"EX",0,--(COUNTIFS(nNIA,DATOS!$A2113,nCURSO,DATOS!$D2113,nESPEC,DATOS!$E2113,nASIG,DATOS!$I2113,nEVAL,"OR")=0))</f>
      </c>
      <c r="I2113">
        <f>IF(DATOS!$I2113="","",IFERROR(VLOOKUP(DATOS!$I2113,CONFIG_ASIGNATURAS!$B$2:$J$91,9,FALSE()),""))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IF(DATOS!$A2114="",0,IF(CONFIG_METADATA!$B$4&lt;&gt;"OR+EX",--(DATOS!$G2114=CONFIG_METADATA!$B$4),IF(DATOS!$G2114="EX",1,IF(DATOS!$G2114="OR",--(COUNTIFS(nNIA,DATOS!$A2114,nCURSO,DATOS!$D2114,nESPEC,DATOS!$E2114,nASIG,DATOS!$I2114,nEVAL,"EX")=0),0))))</f>
      </c>
      <c r="H2114">
        <f>IF(DATOS!$G2114&lt;&gt;"EX",0,--(COUNTIFS(nNIA,DATOS!$A2114,nCURSO,DATOS!$D2114,nESPEC,DATOS!$E2114,nASIG,DATOS!$I2114,nEVAL,"OR")=0))</f>
      </c>
      <c r="I2114">
        <f>IF(DATOS!$I2114="","",IFERROR(VLOOKUP(DATOS!$I2114,CONFIG_ASIGNATURAS!$B$2:$J$91,9,FALSE()),""))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IF(DATOS!$A2115="",0,IF(CONFIG_METADATA!$B$4&lt;&gt;"OR+EX",--(DATOS!$G2115=CONFIG_METADATA!$B$4),IF(DATOS!$G2115="EX",1,IF(DATOS!$G2115="OR",--(COUNTIFS(nNIA,DATOS!$A2115,nCURSO,DATOS!$D2115,nESPEC,DATOS!$E2115,nASIG,DATOS!$I2115,nEVAL,"EX")=0),0))))</f>
      </c>
      <c r="H2115">
        <f>IF(DATOS!$G2115&lt;&gt;"EX",0,--(COUNTIFS(nNIA,DATOS!$A2115,nCURSO,DATOS!$D2115,nESPEC,DATOS!$E2115,nASIG,DATOS!$I2115,nEVAL,"OR")=0))</f>
      </c>
      <c r="I2115">
        <f>IF(DATOS!$I2115="","",IFERROR(VLOOKUP(DATOS!$I2115,CONFIG_ASIGNATURAS!$B$2:$J$91,9,FALSE()),""))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IF(DATOS!$A2116="",0,IF(CONFIG_METADATA!$B$4&lt;&gt;"OR+EX",--(DATOS!$G2116=CONFIG_METADATA!$B$4),IF(DATOS!$G2116="EX",1,IF(DATOS!$G2116="OR",--(COUNTIFS(nNIA,DATOS!$A2116,nCURSO,DATOS!$D2116,nESPEC,DATOS!$E2116,nASIG,DATOS!$I2116,nEVAL,"EX")=0),0))))</f>
      </c>
      <c r="H2116">
        <f>IF(DATOS!$G2116&lt;&gt;"EX",0,--(COUNTIFS(nNIA,DATOS!$A2116,nCURSO,DATOS!$D2116,nESPEC,DATOS!$E2116,nASIG,DATOS!$I2116,nEVAL,"OR")=0))</f>
      </c>
      <c r="I2116">
        <f>IF(DATOS!$I2116="","",IFERROR(VLOOKUP(DATOS!$I2116,CONFIG_ASIGNATURAS!$B$2:$J$91,9,FALSE()),""))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IF(DATOS!$A2117="",0,IF(CONFIG_METADATA!$B$4&lt;&gt;"OR+EX",--(DATOS!$G2117=CONFIG_METADATA!$B$4),IF(DATOS!$G2117="EX",1,IF(DATOS!$G2117="OR",--(COUNTIFS(nNIA,DATOS!$A2117,nCURSO,DATOS!$D2117,nESPEC,DATOS!$E2117,nASIG,DATOS!$I2117,nEVAL,"EX")=0),0))))</f>
      </c>
      <c r="H2117">
        <f>IF(DATOS!$G2117&lt;&gt;"EX",0,--(COUNTIFS(nNIA,DATOS!$A2117,nCURSO,DATOS!$D2117,nESPEC,DATOS!$E2117,nASIG,DATOS!$I2117,nEVAL,"OR")=0))</f>
      </c>
      <c r="I2117">
        <f>IF(DATOS!$I2117="","",IFERROR(VLOOKUP(DATOS!$I2117,CONFIG_ASIGNATURAS!$B$2:$J$91,9,FALSE()),""))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IF(DATOS!$A2118="",0,IF(CONFIG_METADATA!$B$4&lt;&gt;"OR+EX",--(DATOS!$G2118=CONFIG_METADATA!$B$4),IF(DATOS!$G2118="EX",1,IF(DATOS!$G2118="OR",--(COUNTIFS(nNIA,DATOS!$A2118,nCURSO,DATOS!$D2118,nESPEC,DATOS!$E2118,nASIG,DATOS!$I2118,nEVAL,"EX")=0),0))))</f>
      </c>
      <c r="H2118">
        <f>IF(DATOS!$G2118&lt;&gt;"EX",0,--(COUNTIFS(nNIA,DATOS!$A2118,nCURSO,DATOS!$D2118,nESPEC,DATOS!$E2118,nASIG,DATOS!$I2118,nEVAL,"OR")=0))</f>
      </c>
      <c r="I2118">
        <f>IF(DATOS!$I2118="","",IFERROR(VLOOKUP(DATOS!$I2118,CONFIG_ASIGNATURAS!$B$2:$J$91,9,FALSE()),""))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IF(DATOS!$A2119="",0,IF(CONFIG_METADATA!$B$4&lt;&gt;"OR+EX",--(DATOS!$G2119=CONFIG_METADATA!$B$4),IF(DATOS!$G2119="EX",1,IF(DATOS!$G2119="OR",--(COUNTIFS(nNIA,DATOS!$A2119,nCURSO,DATOS!$D2119,nESPEC,DATOS!$E2119,nASIG,DATOS!$I2119,nEVAL,"EX")=0),0))))</f>
      </c>
      <c r="H2119">
        <f>IF(DATOS!$G2119&lt;&gt;"EX",0,--(COUNTIFS(nNIA,DATOS!$A2119,nCURSO,DATOS!$D2119,nESPEC,DATOS!$E2119,nASIG,DATOS!$I2119,nEVAL,"OR")=0))</f>
      </c>
      <c r="I2119">
        <f>IF(DATOS!$I2119="","",IFERROR(VLOOKUP(DATOS!$I2119,CONFIG_ASIGNATURAS!$B$2:$J$91,9,FALSE()),""))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IF(DATOS!$A2120="",0,IF(CONFIG_METADATA!$B$4&lt;&gt;"OR+EX",--(DATOS!$G2120=CONFIG_METADATA!$B$4),IF(DATOS!$G2120="EX",1,IF(DATOS!$G2120="OR",--(COUNTIFS(nNIA,DATOS!$A2120,nCURSO,DATOS!$D2120,nESPEC,DATOS!$E2120,nASIG,DATOS!$I2120,nEVAL,"EX")=0),0))))</f>
      </c>
      <c r="H2120">
        <f>IF(DATOS!$G2120&lt;&gt;"EX",0,--(COUNTIFS(nNIA,DATOS!$A2120,nCURSO,DATOS!$D2120,nESPEC,DATOS!$E2120,nASIG,DATOS!$I2120,nEVAL,"OR")=0))</f>
      </c>
      <c r="I2120">
        <f>IF(DATOS!$I2120="","",IFERROR(VLOOKUP(DATOS!$I2120,CONFIG_ASIGNATURAS!$B$2:$J$91,9,FALSE()),""))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IF(DATOS!$A2121="",0,IF(CONFIG_METADATA!$B$4&lt;&gt;"OR+EX",--(DATOS!$G2121=CONFIG_METADATA!$B$4),IF(DATOS!$G2121="EX",1,IF(DATOS!$G2121="OR",--(COUNTIFS(nNIA,DATOS!$A2121,nCURSO,DATOS!$D2121,nESPEC,DATOS!$E2121,nASIG,DATOS!$I2121,nEVAL,"EX")=0),0))))</f>
      </c>
      <c r="H2121">
        <f>IF(DATOS!$G2121&lt;&gt;"EX",0,--(COUNTIFS(nNIA,DATOS!$A2121,nCURSO,DATOS!$D2121,nESPEC,DATOS!$E2121,nASIG,DATOS!$I2121,nEVAL,"OR")=0))</f>
      </c>
      <c r="I2121">
        <f>IF(DATOS!$I2121="","",IFERROR(VLOOKUP(DATOS!$I2121,CONFIG_ASIGNATURAS!$B$2:$J$91,9,FALSE()),""))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IF(DATOS!$A2122="",0,IF(CONFIG_METADATA!$B$4&lt;&gt;"OR+EX",--(DATOS!$G2122=CONFIG_METADATA!$B$4),IF(DATOS!$G2122="EX",1,IF(DATOS!$G2122="OR",--(COUNTIFS(nNIA,DATOS!$A2122,nCURSO,DATOS!$D2122,nESPEC,DATOS!$E2122,nASIG,DATOS!$I2122,nEVAL,"EX")=0),0))))</f>
      </c>
      <c r="H2122">
        <f>IF(DATOS!$G2122&lt;&gt;"EX",0,--(COUNTIFS(nNIA,DATOS!$A2122,nCURSO,DATOS!$D2122,nESPEC,DATOS!$E2122,nASIG,DATOS!$I2122,nEVAL,"OR")=0))</f>
      </c>
      <c r="I2122">
        <f>IF(DATOS!$I2122="","",IFERROR(VLOOKUP(DATOS!$I2122,CONFIG_ASIGNATURAS!$B$2:$J$91,9,FALSE()),""))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IF(DATOS!$A2123="",0,IF(CONFIG_METADATA!$B$4&lt;&gt;"OR+EX",--(DATOS!$G2123=CONFIG_METADATA!$B$4),IF(DATOS!$G2123="EX",1,IF(DATOS!$G2123="OR",--(COUNTIFS(nNIA,DATOS!$A2123,nCURSO,DATOS!$D2123,nESPEC,DATOS!$E2123,nASIG,DATOS!$I2123,nEVAL,"EX")=0),0))))</f>
      </c>
      <c r="H2123">
        <f>IF(DATOS!$G2123&lt;&gt;"EX",0,--(COUNTIFS(nNIA,DATOS!$A2123,nCURSO,DATOS!$D2123,nESPEC,DATOS!$E2123,nASIG,DATOS!$I2123,nEVAL,"OR")=0))</f>
      </c>
      <c r="I2123">
        <f>IF(DATOS!$I2123="","",IFERROR(VLOOKUP(DATOS!$I2123,CONFIG_ASIGNATURAS!$B$2:$J$91,9,FALSE()),""))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IF(DATOS!$A2124="",0,IF(CONFIG_METADATA!$B$4&lt;&gt;"OR+EX",--(DATOS!$G2124=CONFIG_METADATA!$B$4),IF(DATOS!$G2124="EX",1,IF(DATOS!$G2124="OR",--(COUNTIFS(nNIA,DATOS!$A2124,nCURSO,DATOS!$D2124,nESPEC,DATOS!$E2124,nASIG,DATOS!$I2124,nEVAL,"EX")=0),0))))</f>
      </c>
      <c r="H2124">
        <f>IF(DATOS!$G2124&lt;&gt;"EX",0,--(COUNTIFS(nNIA,DATOS!$A2124,nCURSO,DATOS!$D2124,nESPEC,DATOS!$E2124,nASIG,DATOS!$I2124,nEVAL,"OR")=0))</f>
      </c>
      <c r="I2124">
        <f>IF(DATOS!$I2124="","",IFERROR(VLOOKUP(DATOS!$I2124,CONFIG_ASIGNATURAS!$B$2:$J$91,9,FALSE()),""))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IF(DATOS!$A2125="",0,IF(CONFIG_METADATA!$B$4&lt;&gt;"OR+EX",--(DATOS!$G2125=CONFIG_METADATA!$B$4),IF(DATOS!$G2125="EX",1,IF(DATOS!$G2125="OR",--(COUNTIFS(nNIA,DATOS!$A2125,nCURSO,DATOS!$D2125,nESPEC,DATOS!$E2125,nASIG,DATOS!$I2125,nEVAL,"EX")=0),0))))</f>
      </c>
      <c r="H2125">
        <f>IF(DATOS!$G2125&lt;&gt;"EX",0,--(COUNTIFS(nNIA,DATOS!$A2125,nCURSO,DATOS!$D2125,nESPEC,DATOS!$E2125,nASIG,DATOS!$I2125,nEVAL,"OR")=0))</f>
      </c>
      <c r="I2125">
        <f>IF(DATOS!$I2125="","",IFERROR(VLOOKUP(DATOS!$I2125,CONFIG_ASIGNATURAS!$B$2:$J$91,9,FALSE()),""))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IF(DATOS!$A2126="",0,IF(CONFIG_METADATA!$B$4&lt;&gt;"OR+EX",--(DATOS!$G2126=CONFIG_METADATA!$B$4),IF(DATOS!$G2126="EX",1,IF(DATOS!$G2126="OR",--(COUNTIFS(nNIA,DATOS!$A2126,nCURSO,DATOS!$D2126,nESPEC,DATOS!$E2126,nASIG,DATOS!$I2126,nEVAL,"EX")=0),0))))</f>
      </c>
      <c r="H2126">
        <f>IF(DATOS!$G2126&lt;&gt;"EX",0,--(COUNTIFS(nNIA,DATOS!$A2126,nCURSO,DATOS!$D2126,nESPEC,DATOS!$E2126,nASIG,DATOS!$I2126,nEVAL,"OR")=0))</f>
      </c>
      <c r="I2126">
        <f>IF(DATOS!$I2126="","",IFERROR(VLOOKUP(DATOS!$I2126,CONFIG_ASIGNATURAS!$B$2:$J$91,9,FALSE()),""))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IF(DATOS!$A2127="",0,IF(CONFIG_METADATA!$B$4&lt;&gt;"OR+EX",--(DATOS!$G2127=CONFIG_METADATA!$B$4),IF(DATOS!$G2127="EX",1,IF(DATOS!$G2127="OR",--(COUNTIFS(nNIA,DATOS!$A2127,nCURSO,DATOS!$D2127,nESPEC,DATOS!$E2127,nASIG,DATOS!$I2127,nEVAL,"EX")=0),0))))</f>
      </c>
      <c r="H2127">
        <f>IF(DATOS!$G2127&lt;&gt;"EX",0,--(COUNTIFS(nNIA,DATOS!$A2127,nCURSO,DATOS!$D2127,nESPEC,DATOS!$E2127,nASIG,DATOS!$I2127,nEVAL,"OR")=0))</f>
      </c>
      <c r="I2127">
        <f>IF(DATOS!$I2127="","",IFERROR(VLOOKUP(DATOS!$I2127,CONFIG_ASIGNATURAS!$B$2:$J$91,9,FALSE()),""))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IF(DATOS!$A2128="",0,IF(CONFIG_METADATA!$B$4&lt;&gt;"OR+EX",--(DATOS!$G2128=CONFIG_METADATA!$B$4),IF(DATOS!$G2128="EX",1,IF(DATOS!$G2128="OR",--(COUNTIFS(nNIA,DATOS!$A2128,nCURSO,DATOS!$D2128,nESPEC,DATOS!$E2128,nASIG,DATOS!$I2128,nEVAL,"EX")=0),0))))</f>
      </c>
      <c r="H2128">
        <f>IF(DATOS!$G2128&lt;&gt;"EX",0,--(COUNTIFS(nNIA,DATOS!$A2128,nCURSO,DATOS!$D2128,nESPEC,DATOS!$E2128,nASIG,DATOS!$I2128,nEVAL,"OR")=0))</f>
      </c>
      <c r="I2128">
        <f>IF(DATOS!$I2128="","",IFERROR(VLOOKUP(DATOS!$I2128,CONFIG_ASIGNATURAS!$B$2:$J$91,9,FALSE()),""))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IF(DATOS!$A2129="",0,IF(CONFIG_METADATA!$B$4&lt;&gt;"OR+EX",--(DATOS!$G2129=CONFIG_METADATA!$B$4),IF(DATOS!$G2129="EX",1,IF(DATOS!$G2129="OR",--(COUNTIFS(nNIA,DATOS!$A2129,nCURSO,DATOS!$D2129,nESPEC,DATOS!$E2129,nASIG,DATOS!$I2129,nEVAL,"EX")=0),0))))</f>
      </c>
      <c r="H2129">
        <f>IF(DATOS!$G2129&lt;&gt;"EX",0,--(COUNTIFS(nNIA,DATOS!$A2129,nCURSO,DATOS!$D2129,nESPEC,DATOS!$E2129,nASIG,DATOS!$I2129,nEVAL,"OR")=0))</f>
      </c>
      <c r="I2129">
        <f>IF(DATOS!$I2129="","",IFERROR(VLOOKUP(DATOS!$I2129,CONFIG_ASIGNATURAS!$B$2:$J$91,9,FALSE()),""))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IF(DATOS!$A2130="",0,IF(CONFIG_METADATA!$B$4&lt;&gt;"OR+EX",--(DATOS!$G2130=CONFIG_METADATA!$B$4),IF(DATOS!$G2130="EX",1,IF(DATOS!$G2130="OR",--(COUNTIFS(nNIA,DATOS!$A2130,nCURSO,DATOS!$D2130,nESPEC,DATOS!$E2130,nASIG,DATOS!$I2130,nEVAL,"EX")=0),0))))</f>
      </c>
      <c r="H2130">
        <f>IF(DATOS!$G2130&lt;&gt;"EX",0,--(COUNTIFS(nNIA,DATOS!$A2130,nCURSO,DATOS!$D2130,nESPEC,DATOS!$E2130,nASIG,DATOS!$I2130,nEVAL,"OR")=0))</f>
      </c>
      <c r="I2130">
        <f>IF(DATOS!$I2130="","",IFERROR(VLOOKUP(DATOS!$I2130,CONFIG_ASIGNATURAS!$B$2:$J$91,9,FALSE()),""))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IF(DATOS!$A2131="",0,IF(CONFIG_METADATA!$B$4&lt;&gt;"OR+EX",--(DATOS!$G2131=CONFIG_METADATA!$B$4),IF(DATOS!$G2131="EX",1,IF(DATOS!$G2131="OR",--(COUNTIFS(nNIA,DATOS!$A2131,nCURSO,DATOS!$D2131,nESPEC,DATOS!$E2131,nASIG,DATOS!$I2131,nEVAL,"EX")=0),0))))</f>
      </c>
      <c r="H2131">
        <f>IF(DATOS!$G2131&lt;&gt;"EX",0,--(COUNTIFS(nNIA,DATOS!$A2131,nCURSO,DATOS!$D2131,nESPEC,DATOS!$E2131,nASIG,DATOS!$I2131,nEVAL,"OR")=0))</f>
      </c>
      <c r="I2131">
        <f>IF(DATOS!$I2131="","",IFERROR(VLOOKUP(DATOS!$I2131,CONFIG_ASIGNATURAS!$B$2:$J$91,9,FALSE()),""))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IF(DATOS!$A2132="",0,IF(CONFIG_METADATA!$B$4&lt;&gt;"OR+EX",--(DATOS!$G2132=CONFIG_METADATA!$B$4),IF(DATOS!$G2132="EX",1,IF(DATOS!$G2132="OR",--(COUNTIFS(nNIA,DATOS!$A2132,nCURSO,DATOS!$D2132,nESPEC,DATOS!$E2132,nASIG,DATOS!$I2132,nEVAL,"EX")=0),0))))</f>
      </c>
      <c r="H2132">
        <f>IF(DATOS!$G2132&lt;&gt;"EX",0,--(COUNTIFS(nNIA,DATOS!$A2132,nCURSO,DATOS!$D2132,nESPEC,DATOS!$E2132,nASIG,DATOS!$I2132,nEVAL,"OR")=0))</f>
      </c>
      <c r="I2132">
        <f>IF(DATOS!$I2132="","",IFERROR(VLOOKUP(DATOS!$I2132,CONFIG_ASIGNATURAS!$B$2:$J$91,9,FALSE()),""))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IF(DATOS!$A2133="",0,IF(CONFIG_METADATA!$B$4&lt;&gt;"OR+EX",--(DATOS!$G2133=CONFIG_METADATA!$B$4),IF(DATOS!$G2133="EX",1,IF(DATOS!$G2133="OR",--(COUNTIFS(nNIA,DATOS!$A2133,nCURSO,DATOS!$D2133,nESPEC,DATOS!$E2133,nASIG,DATOS!$I2133,nEVAL,"EX")=0),0))))</f>
      </c>
      <c r="H2133">
        <f>IF(DATOS!$G2133&lt;&gt;"EX",0,--(COUNTIFS(nNIA,DATOS!$A2133,nCURSO,DATOS!$D2133,nESPEC,DATOS!$E2133,nASIG,DATOS!$I2133,nEVAL,"OR")=0))</f>
      </c>
      <c r="I2133">
        <f>IF(DATOS!$I2133="","",IFERROR(VLOOKUP(DATOS!$I2133,CONFIG_ASIGNATURAS!$B$2:$J$91,9,FALSE()),""))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IF(DATOS!$A2134="",0,IF(CONFIG_METADATA!$B$4&lt;&gt;"OR+EX",--(DATOS!$G2134=CONFIG_METADATA!$B$4),IF(DATOS!$G2134="EX",1,IF(DATOS!$G2134="OR",--(COUNTIFS(nNIA,DATOS!$A2134,nCURSO,DATOS!$D2134,nESPEC,DATOS!$E2134,nASIG,DATOS!$I2134,nEVAL,"EX")=0),0))))</f>
      </c>
      <c r="H2134">
        <f>IF(DATOS!$G2134&lt;&gt;"EX",0,--(COUNTIFS(nNIA,DATOS!$A2134,nCURSO,DATOS!$D2134,nESPEC,DATOS!$E2134,nASIG,DATOS!$I2134,nEVAL,"OR")=0))</f>
      </c>
      <c r="I2134">
        <f>IF(DATOS!$I2134="","",IFERROR(VLOOKUP(DATOS!$I2134,CONFIG_ASIGNATURAS!$B$2:$J$91,9,FALSE()),""))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IF(DATOS!$A2135="",0,IF(CONFIG_METADATA!$B$4&lt;&gt;"OR+EX",--(DATOS!$G2135=CONFIG_METADATA!$B$4),IF(DATOS!$G2135="EX",1,IF(DATOS!$G2135="OR",--(COUNTIFS(nNIA,DATOS!$A2135,nCURSO,DATOS!$D2135,nESPEC,DATOS!$E2135,nASIG,DATOS!$I2135,nEVAL,"EX")=0),0))))</f>
      </c>
      <c r="H2135">
        <f>IF(DATOS!$G2135&lt;&gt;"EX",0,--(COUNTIFS(nNIA,DATOS!$A2135,nCURSO,DATOS!$D2135,nESPEC,DATOS!$E2135,nASIG,DATOS!$I2135,nEVAL,"OR")=0))</f>
      </c>
      <c r="I2135">
        <f>IF(DATOS!$I2135="","",IFERROR(VLOOKUP(DATOS!$I2135,CONFIG_ASIGNATURAS!$B$2:$J$91,9,FALSE()),""))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IF(DATOS!$A2136="",0,IF(CONFIG_METADATA!$B$4&lt;&gt;"OR+EX",--(DATOS!$G2136=CONFIG_METADATA!$B$4),IF(DATOS!$G2136="EX",1,IF(DATOS!$G2136="OR",--(COUNTIFS(nNIA,DATOS!$A2136,nCURSO,DATOS!$D2136,nESPEC,DATOS!$E2136,nASIG,DATOS!$I2136,nEVAL,"EX")=0),0))))</f>
      </c>
      <c r="H2136">
        <f>IF(DATOS!$G2136&lt;&gt;"EX",0,--(COUNTIFS(nNIA,DATOS!$A2136,nCURSO,DATOS!$D2136,nESPEC,DATOS!$E2136,nASIG,DATOS!$I2136,nEVAL,"OR")=0))</f>
      </c>
      <c r="I2136">
        <f>IF(DATOS!$I2136="","",IFERROR(VLOOKUP(DATOS!$I2136,CONFIG_ASIGNATURAS!$B$2:$J$91,9,FALSE()),""))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IF(DATOS!$A2137="",0,IF(CONFIG_METADATA!$B$4&lt;&gt;"OR+EX",--(DATOS!$G2137=CONFIG_METADATA!$B$4),IF(DATOS!$G2137="EX",1,IF(DATOS!$G2137="OR",--(COUNTIFS(nNIA,DATOS!$A2137,nCURSO,DATOS!$D2137,nESPEC,DATOS!$E2137,nASIG,DATOS!$I2137,nEVAL,"EX")=0),0))))</f>
      </c>
      <c r="H2137">
        <f>IF(DATOS!$G2137&lt;&gt;"EX",0,--(COUNTIFS(nNIA,DATOS!$A2137,nCURSO,DATOS!$D2137,nESPEC,DATOS!$E2137,nASIG,DATOS!$I2137,nEVAL,"OR")=0))</f>
      </c>
      <c r="I2137">
        <f>IF(DATOS!$I2137="","",IFERROR(VLOOKUP(DATOS!$I2137,CONFIG_ASIGNATURAS!$B$2:$J$91,9,FALSE()),""))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IF(DATOS!$A2138="",0,IF(CONFIG_METADATA!$B$4&lt;&gt;"OR+EX",--(DATOS!$G2138=CONFIG_METADATA!$B$4),IF(DATOS!$G2138="EX",1,IF(DATOS!$G2138="OR",--(COUNTIFS(nNIA,DATOS!$A2138,nCURSO,DATOS!$D2138,nESPEC,DATOS!$E2138,nASIG,DATOS!$I2138,nEVAL,"EX")=0),0))))</f>
      </c>
      <c r="H2138">
        <f>IF(DATOS!$G2138&lt;&gt;"EX",0,--(COUNTIFS(nNIA,DATOS!$A2138,nCURSO,DATOS!$D2138,nESPEC,DATOS!$E2138,nASIG,DATOS!$I2138,nEVAL,"OR")=0))</f>
      </c>
      <c r="I2138">
        <f>IF(DATOS!$I2138="","",IFERROR(VLOOKUP(DATOS!$I2138,CONFIG_ASIGNATURAS!$B$2:$J$91,9,FALSE()),""))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IF(DATOS!$A2139="",0,IF(CONFIG_METADATA!$B$4&lt;&gt;"OR+EX",--(DATOS!$G2139=CONFIG_METADATA!$B$4),IF(DATOS!$G2139="EX",1,IF(DATOS!$G2139="OR",--(COUNTIFS(nNIA,DATOS!$A2139,nCURSO,DATOS!$D2139,nESPEC,DATOS!$E2139,nASIG,DATOS!$I2139,nEVAL,"EX")=0),0))))</f>
      </c>
      <c r="H2139">
        <f>IF(DATOS!$G2139&lt;&gt;"EX",0,--(COUNTIFS(nNIA,DATOS!$A2139,nCURSO,DATOS!$D2139,nESPEC,DATOS!$E2139,nASIG,DATOS!$I2139,nEVAL,"OR")=0))</f>
      </c>
      <c r="I2139">
        <f>IF(DATOS!$I2139="","",IFERROR(VLOOKUP(DATOS!$I2139,CONFIG_ASIGNATURAS!$B$2:$J$91,9,FALSE()),""))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IF(DATOS!$A2140="",0,IF(CONFIG_METADATA!$B$4&lt;&gt;"OR+EX",--(DATOS!$G2140=CONFIG_METADATA!$B$4),IF(DATOS!$G2140="EX",1,IF(DATOS!$G2140="OR",--(COUNTIFS(nNIA,DATOS!$A2140,nCURSO,DATOS!$D2140,nESPEC,DATOS!$E2140,nASIG,DATOS!$I2140,nEVAL,"EX")=0),0))))</f>
      </c>
      <c r="H2140">
        <f>IF(DATOS!$G2140&lt;&gt;"EX",0,--(COUNTIFS(nNIA,DATOS!$A2140,nCURSO,DATOS!$D2140,nESPEC,DATOS!$E2140,nASIG,DATOS!$I2140,nEVAL,"OR")=0))</f>
      </c>
      <c r="I2140">
        <f>IF(DATOS!$I2140="","",IFERROR(VLOOKUP(DATOS!$I2140,CONFIG_ASIGNATURAS!$B$2:$J$91,9,FALSE()),""))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IF(DATOS!$A2141="",0,IF(CONFIG_METADATA!$B$4&lt;&gt;"OR+EX",--(DATOS!$G2141=CONFIG_METADATA!$B$4),IF(DATOS!$G2141="EX",1,IF(DATOS!$G2141="OR",--(COUNTIFS(nNIA,DATOS!$A2141,nCURSO,DATOS!$D2141,nESPEC,DATOS!$E2141,nASIG,DATOS!$I2141,nEVAL,"EX")=0),0))))</f>
      </c>
      <c r="H2141">
        <f>IF(DATOS!$G2141&lt;&gt;"EX",0,--(COUNTIFS(nNIA,DATOS!$A2141,nCURSO,DATOS!$D2141,nESPEC,DATOS!$E2141,nASIG,DATOS!$I2141,nEVAL,"OR")=0))</f>
      </c>
      <c r="I2141">
        <f>IF(DATOS!$I2141="","",IFERROR(VLOOKUP(DATOS!$I2141,CONFIG_ASIGNATURAS!$B$2:$J$91,9,FALSE()),""))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IF(DATOS!$A2142="",0,IF(CONFIG_METADATA!$B$4&lt;&gt;"OR+EX",--(DATOS!$G2142=CONFIG_METADATA!$B$4),IF(DATOS!$G2142="EX",1,IF(DATOS!$G2142="OR",--(COUNTIFS(nNIA,DATOS!$A2142,nCURSO,DATOS!$D2142,nESPEC,DATOS!$E2142,nASIG,DATOS!$I2142,nEVAL,"EX")=0),0))))</f>
      </c>
      <c r="H2142">
        <f>IF(DATOS!$G2142&lt;&gt;"EX",0,--(COUNTIFS(nNIA,DATOS!$A2142,nCURSO,DATOS!$D2142,nESPEC,DATOS!$E2142,nASIG,DATOS!$I2142,nEVAL,"OR")=0))</f>
      </c>
      <c r="I2142">
        <f>IF(DATOS!$I2142="","",IFERROR(VLOOKUP(DATOS!$I2142,CONFIG_ASIGNATURAS!$B$2:$J$91,9,FALSE()),""))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IF(DATOS!$A2143="",0,IF(CONFIG_METADATA!$B$4&lt;&gt;"OR+EX",--(DATOS!$G2143=CONFIG_METADATA!$B$4),IF(DATOS!$G2143="EX",1,IF(DATOS!$G2143="OR",--(COUNTIFS(nNIA,DATOS!$A2143,nCURSO,DATOS!$D2143,nESPEC,DATOS!$E2143,nASIG,DATOS!$I2143,nEVAL,"EX")=0),0))))</f>
      </c>
      <c r="H2143">
        <f>IF(DATOS!$G2143&lt;&gt;"EX",0,--(COUNTIFS(nNIA,DATOS!$A2143,nCURSO,DATOS!$D2143,nESPEC,DATOS!$E2143,nASIG,DATOS!$I2143,nEVAL,"OR")=0))</f>
      </c>
      <c r="I2143">
        <f>IF(DATOS!$I2143="","",IFERROR(VLOOKUP(DATOS!$I2143,CONFIG_ASIGNATURAS!$B$2:$J$91,9,FALSE()),""))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IF(DATOS!$A2144="",0,IF(CONFIG_METADATA!$B$4&lt;&gt;"OR+EX",--(DATOS!$G2144=CONFIG_METADATA!$B$4),IF(DATOS!$G2144="EX",1,IF(DATOS!$G2144="OR",--(COUNTIFS(nNIA,DATOS!$A2144,nCURSO,DATOS!$D2144,nESPEC,DATOS!$E2144,nASIG,DATOS!$I2144,nEVAL,"EX")=0),0))))</f>
      </c>
      <c r="H2144">
        <f>IF(DATOS!$G2144&lt;&gt;"EX",0,--(COUNTIFS(nNIA,DATOS!$A2144,nCURSO,DATOS!$D2144,nESPEC,DATOS!$E2144,nASIG,DATOS!$I2144,nEVAL,"OR")=0))</f>
      </c>
      <c r="I2144">
        <f>IF(DATOS!$I2144="","",IFERROR(VLOOKUP(DATOS!$I2144,CONFIG_ASIGNATURAS!$B$2:$J$91,9,FALSE()),""))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IF(DATOS!$A2145="",0,IF(CONFIG_METADATA!$B$4&lt;&gt;"OR+EX",--(DATOS!$G2145=CONFIG_METADATA!$B$4),IF(DATOS!$G2145="EX",1,IF(DATOS!$G2145="OR",--(COUNTIFS(nNIA,DATOS!$A2145,nCURSO,DATOS!$D2145,nESPEC,DATOS!$E2145,nASIG,DATOS!$I2145,nEVAL,"EX")=0),0))))</f>
      </c>
      <c r="H2145">
        <f>IF(DATOS!$G2145&lt;&gt;"EX",0,--(COUNTIFS(nNIA,DATOS!$A2145,nCURSO,DATOS!$D2145,nESPEC,DATOS!$E2145,nASIG,DATOS!$I2145,nEVAL,"OR")=0))</f>
      </c>
      <c r="I2145">
        <f>IF(DATOS!$I2145="","",IFERROR(VLOOKUP(DATOS!$I2145,CONFIG_ASIGNATURAS!$B$2:$J$91,9,FALSE()),""))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IF(DATOS!$A2146="",0,IF(CONFIG_METADATA!$B$4&lt;&gt;"OR+EX",--(DATOS!$G2146=CONFIG_METADATA!$B$4),IF(DATOS!$G2146="EX",1,IF(DATOS!$G2146="OR",--(COUNTIFS(nNIA,DATOS!$A2146,nCURSO,DATOS!$D2146,nESPEC,DATOS!$E2146,nASIG,DATOS!$I2146,nEVAL,"EX")=0),0))))</f>
      </c>
      <c r="H2146">
        <f>IF(DATOS!$G2146&lt;&gt;"EX",0,--(COUNTIFS(nNIA,DATOS!$A2146,nCURSO,DATOS!$D2146,nESPEC,DATOS!$E2146,nASIG,DATOS!$I2146,nEVAL,"OR")=0))</f>
      </c>
      <c r="I2146">
        <f>IF(DATOS!$I2146="","",IFERROR(VLOOKUP(DATOS!$I2146,CONFIG_ASIGNATURAS!$B$2:$J$91,9,FALSE()),""))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IF(DATOS!$A2147="",0,IF(CONFIG_METADATA!$B$4&lt;&gt;"OR+EX",--(DATOS!$G2147=CONFIG_METADATA!$B$4),IF(DATOS!$G2147="EX",1,IF(DATOS!$G2147="OR",--(COUNTIFS(nNIA,DATOS!$A2147,nCURSO,DATOS!$D2147,nESPEC,DATOS!$E2147,nASIG,DATOS!$I2147,nEVAL,"EX")=0),0))))</f>
      </c>
      <c r="H2147">
        <f>IF(DATOS!$G2147&lt;&gt;"EX",0,--(COUNTIFS(nNIA,DATOS!$A2147,nCURSO,DATOS!$D2147,nESPEC,DATOS!$E2147,nASIG,DATOS!$I2147,nEVAL,"OR")=0))</f>
      </c>
      <c r="I2147">
        <f>IF(DATOS!$I2147="","",IFERROR(VLOOKUP(DATOS!$I2147,CONFIG_ASIGNATURAS!$B$2:$J$91,9,FALSE()),""))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IF(DATOS!$A2148="",0,IF(CONFIG_METADATA!$B$4&lt;&gt;"OR+EX",--(DATOS!$G2148=CONFIG_METADATA!$B$4),IF(DATOS!$G2148="EX",1,IF(DATOS!$G2148="OR",--(COUNTIFS(nNIA,DATOS!$A2148,nCURSO,DATOS!$D2148,nESPEC,DATOS!$E2148,nASIG,DATOS!$I2148,nEVAL,"EX")=0),0))))</f>
      </c>
      <c r="H2148">
        <f>IF(DATOS!$G2148&lt;&gt;"EX",0,--(COUNTIFS(nNIA,DATOS!$A2148,nCURSO,DATOS!$D2148,nESPEC,DATOS!$E2148,nASIG,DATOS!$I2148,nEVAL,"OR")=0))</f>
      </c>
      <c r="I2148">
        <f>IF(DATOS!$I2148="","",IFERROR(VLOOKUP(DATOS!$I2148,CONFIG_ASIGNATURAS!$B$2:$J$91,9,FALSE()),""))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IF(DATOS!$A2149="",0,IF(CONFIG_METADATA!$B$4&lt;&gt;"OR+EX",--(DATOS!$G2149=CONFIG_METADATA!$B$4),IF(DATOS!$G2149="EX",1,IF(DATOS!$G2149="OR",--(COUNTIFS(nNIA,DATOS!$A2149,nCURSO,DATOS!$D2149,nESPEC,DATOS!$E2149,nASIG,DATOS!$I2149,nEVAL,"EX")=0),0))))</f>
      </c>
      <c r="H2149">
        <f>IF(DATOS!$G2149&lt;&gt;"EX",0,--(COUNTIFS(nNIA,DATOS!$A2149,nCURSO,DATOS!$D2149,nESPEC,DATOS!$E2149,nASIG,DATOS!$I2149,nEVAL,"OR")=0))</f>
      </c>
      <c r="I2149">
        <f>IF(DATOS!$I2149="","",IFERROR(VLOOKUP(DATOS!$I2149,CONFIG_ASIGNATURAS!$B$2:$J$91,9,FALSE()),""))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IF(DATOS!$A2150="",0,IF(CONFIG_METADATA!$B$4&lt;&gt;"OR+EX",--(DATOS!$G2150=CONFIG_METADATA!$B$4),IF(DATOS!$G2150="EX",1,IF(DATOS!$G2150="OR",--(COUNTIFS(nNIA,DATOS!$A2150,nCURSO,DATOS!$D2150,nESPEC,DATOS!$E2150,nASIG,DATOS!$I2150,nEVAL,"EX")=0),0))))</f>
      </c>
      <c r="H2150">
        <f>IF(DATOS!$G2150&lt;&gt;"EX",0,--(COUNTIFS(nNIA,DATOS!$A2150,nCURSO,DATOS!$D2150,nESPEC,DATOS!$E2150,nASIG,DATOS!$I2150,nEVAL,"OR")=0))</f>
      </c>
      <c r="I2150">
        <f>IF(DATOS!$I2150="","",IFERROR(VLOOKUP(DATOS!$I2150,CONFIG_ASIGNATURAS!$B$2:$J$91,9,FALSE()),""))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IF(DATOS!$A2151="",0,IF(CONFIG_METADATA!$B$4&lt;&gt;"OR+EX",--(DATOS!$G2151=CONFIG_METADATA!$B$4),IF(DATOS!$G2151="EX",1,IF(DATOS!$G2151="OR",--(COUNTIFS(nNIA,DATOS!$A2151,nCURSO,DATOS!$D2151,nESPEC,DATOS!$E2151,nASIG,DATOS!$I2151,nEVAL,"EX")=0),0))))</f>
      </c>
      <c r="H2151">
        <f>IF(DATOS!$G2151&lt;&gt;"EX",0,--(COUNTIFS(nNIA,DATOS!$A2151,nCURSO,DATOS!$D2151,nESPEC,DATOS!$E2151,nASIG,DATOS!$I2151,nEVAL,"OR")=0))</f>
      </c>
      <c r="I2151">
        <f>IF(DATOS!$I2151="","",IFERROR(VLOOKUP(DATOS!$I2151,CONFIG_ASIGNATURAS!$B$2:$J$91,9,FALSE()),""))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IF(DATOS!$A2152="",0,IF(CONFIG_METADATA!$B$4&lt;&gt;"OR+EX",--(DATOS!$G2152=CONFIG_METADATA!$B$4),IF(DATOS!$G2152="EX",1,IF(DATOS!$G2152="OR",--(COUNTIFS(nNIA,DATOS!$A2152,nCURSO,DATOS!$D2152,nESPEC,DATOS!$E2152,nASIG,DATOS!$I2152,nEVAL,"EX")=0),0))))</f>
      </c>
      <c r="H2152">
        <f>IF(DATOS!$G2152&lt;&gt;"EX",0,--(COUNTIFS(nNIA,DATOS!$A2152,nCURSO,DATOS!$D2152,nESPEC,DATOS!$E2152,nASIG,DATOS!$I2152,nEVAL,"OR")=0))</f>
      </c>
      <c r="I2152">
        <f>IF(DATOS!$I2152="","",IFERROR(VLOOKUP(DATOS!$I2152,CONFIG_ASIGNATURAS!$B$2:$J$91,9,FALSE()),""))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IF(DATOS!$A2153="",0,IF(CONFIG_METADATA!$B$4&lt;&gt;"OR+EX",--(DATOS!$G2153=CONFIG_METADATA!$B$4),IF(DATOS!$G2153="EX",1,IF(DATOS!$G2153="OR",--(COUNTIFS(nNIA,DATOS!$A2153,nCURSO,DATOS!$D2153,nESPEC,DATOS!$E2153,nASIG,DATOS!$I2153,nEVAL,"EX")=0),0))))</f>
      </c>
      <c r="H2153">
        <f>IF(DATOS!$G2153&lt;&gt;"EX",0,--(COUNTIFS(nNIA,DATOS!$A2153,nCURSO,DATOS!$D2153,nESPEC,DATOS!$E2153,nASIG,DATOS!$I2153,nEVAL,"OR")=0))</f>
      </c>
      <c r="I2153">
        <f>IF(DATOS!$I2153="","",IFERROR(VLOOKUP(DATOS!$I2153,CONFIG_ASIGNATURAS!$B$2:$J$91,9,FALSE()),""))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IF(DATOS!$A2154="",0,IF(CONFIG_METADATA!$B$4&lt;&gt;"OR+EX",--(DATOS!$G2154=CONFIG_METADATA!$B$4),IF(DATOS!$G2154="EX",1,IF(DATOS!$G2154="OR",--(COUNTIFS(nNIA,DATOS!$A2154,nCURSO,DATOS!$D2154,nESPEC,DATOS!$E2154,nASIG,DATOS!$I2154,nEVAL,"EX")=0),0))))</f>
      </c>
      <c r="H2154">
        <f>IF(DATOS!$G2154&lt;&gt;"EX",0,--(COUNTIFS(nNIA,DATOS!$A2154,nCURSO,DATOS!$D2154,nESPEC,DATOS!$E2154,nASIG,DATOS!$I2154,nEVAL,"OR")=0))</f>
      </c>
      <c r="I2154">
        <f>IF(DATOS!$I2154="","",IFERROR(VLOOKUP(DATOS!$I2154,CONFIG_ASIGNATURAS!$B$2:$J$91,9,FALSE()),""))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IF(DATOS!$A2155="",0,IF(CONFIG_METADATA!$B$4&lt;&gt;"OR+EX",--(DATOS!$G2155=CONFIG_METADATA!$B$4),IF(DATOS!$G2155="EX",1,IF(DATOS!$G2155="OR",--(COUNTIFS(nNIA,DATOS!$A2155,nCURSO,DATOS!$D2155,nESPEC,DATOS!$E2155,nASIG,DATOS!$I2155,nEVAL,"EX")=0),0))))</f>
      </c>
      <c r="H2155">
        <f>IF(DATOS!$G2155&lt;&gt;"EX",0,--(COUNTIFS(nNIA,DATOS!$A2155,nCURSO,DATOS!$D2155,nESPEC,DATOS!$E2155,nASIG,DATOS!$I2155,nEVAL,"OR")=0))</f>
      </c>
      <c r="I2155">
        <f>IF(DATOS!$I2155="","",IFERROR(VLOOKUP(DATOS!$I2155,CONFIG_ASIGNATURAS!$B$2:$J$91,9,FALSE()),""))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IF(DATOS!$A2156="",0,IF(CONFIG_METADATA!$B$4&lt;&gt;"OR+EX",--(DATOS!$G2156=CONFIG_METADATA!$B$4),IF(DATOS!$G2156="EX",1,IF(DATOS!$G2156="OR",--(COUNTIFS(nNIA,DATOS!$A2156,nCURSO,DATOS!$D2156,nESPEC,DATOS!$E2156,nASIG,DATOS!$I2156,nEVAL,"EX")=0),0))))</f>
      </c>
      <c r="H2156">
        <f>IF(DATOS!$G2156&lt;&gt;"EX",0,--(COUNTIFS(nNIA,DATOS!$A2156,nCURSO,DATOS!$D2156,nESPEC,DATOS!$E2156,nASIG,DATOS!$I2156,nEVAL,"OR")=0))</f>
      </c>
      <c r="I2156">
        <f>IF(DATOS!$I2156="","",IFERROR(VLOOKUP(DATOS!$I2156,CONFIG_ASIGNATURAS!$B$2:$J$91,9,FALSE()),""))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IF(DATOS!$A2157="",0,IF(CONFIG_METADATA!$B$4&lt;&gt;"OR+EX",--(DATOS!$G2157=CONFIG_METADATA!$B$4),IF(DATOS!$G2157="EX",1,IF(DATOS!$G2157="OR",--(COUNTIFS(nNIA,DATOS!$A2157,nCURSO,DATOS!$D2157,nESPEC,DATOS!$E2157,nASIG,DATOS!$I2157,nEVAL,"EX")=0),0))))</f>
      </c>
      <c r="H2157">
        <f>IF(DATOS!$G2157&lt;&gt;"EX",0,--(COUNTIFS(nNIA,DATOS!$A2157,nCURSO,DATOS!$D2157,nESPEC,DATOS!$E2157,nASIG,DATOS!$I2157,nEVAL,"OR")=0))</f>
      </c>
      <c r="I2157">
        <f>IF(DATOS!$I2157="","",IFERROR(VLOOKUP(DATOS!$I2157,CONFIG_ASIGNATURAS!$B$2:$J$91,9,FALSE()),""))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IF(DATOS!$A2158="",0,IF(CONFIG_METADATA!$B$4&lt;&gt;"OR+EX",--(DATOS!$G2158=CONFIG_METADATA!$B$4),IF(DATOS!$G2158="EX",1,IF(DATOS!$G2158="OR",--(COUNTIFS(nNIA,DATOS!$A2158,nCURSO,DATOS!$D2158,nESPEC,DATOS!$E2158,nASIG,DATOS!$I2158,nEVAL,"EX")=0),0))))</f>
      </c>
      <c r="H2158">
        <f>IF(DATOS!$G2158&lt;&gt;"EX",0,--(COUNTIFS(nNIA,DATOS!$A2158,nCURSO,DATOS!$D2158,nESPEC,DATOS!$E2158,nASIG,DATOS!$I2158,nEVAL,"OR")=0))</f>
      </c>
      <c r="I2158">
        <f>IF(DATOS!$I2158="","",IFERROR(VLOOKUP(DATOS!$I2158,CONFIG_ASIGNATURAS!$B$2:$J$91,9,FALSE()),""))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IF(DATOS!$A2159="",0,IF(CONFIG_METADATA!$B$4&lt;&gt;"OR+EX",--(DATOS!$G2159=CONFIG_METADATA!$B$4),IF(DATOS!$G2159="EX",1,IF(DATOS!$G2159="OR",--(COUNTIFS(nNIA,DATOS!$A2159,nCURSO,DATOS!$D2159,nESPEC,DATOS!$E2159,nASIG,DATOS!$I2159,nEVAL,"EX")=0),0))))</f>
      </c>
      <c r="H2159">
        <f>IF(DATOS!$G2159&lt;&gt;"EX",0,--(COUNTIFS(nNIA,DATOS!$A2159,nCURSO,DATOS!$D2159,nESPEC,DATOS!$E2159,nASIG,DATOS!$I2159,nEVAL,"OR")=0))</f>
      </c>
      <c r="I2159">
        <f>IF(DATOS!$I2159="","",IFERROR(VLOOKUP(DATOS!$I2159,CONFIG_ASIGNATURAS!$B$2:$J$91,9,FALSE()),""))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IF(DATOS!$A2160="",0,IF(CONFIG_METADATA!$B$4&lt;&gt;"OR+EX",--(DATOS!$G2160=CONFIG_METADATA!$B$4),IF(DATOS!$G2160="EX",1,IF(DATOS!$G2160="OR",--(COUNTIFS(nNIA,DATOS!$A2160,nCURSO,DATOS!$D2160,nESPEC,DATOS!$E2160,nASIG,DATOS!$I2160,nEVAL,"EX")=0),0))))</f>
      </c>
      <c r="H2160">
        <f>IF(DATOS!$G2160&lt;&gt;"EX",0,--(COUNTIFS(nNIA,DATOS!$A2160,nCURSO,DATOS!$D2160,nESPEC,DATOS!$E2160,nASIG,DATOS!$I2160,nEVAL,"OR")=0))</f>
      </c>
      <c r="I2160">
        <f>IF(DATOS!$I2160="","",IFERROR(VLOOKUP(DATOS!$I2160,CONFIG_ASIGNATURAS!$B$2:$J$91,9,FALSE()),""))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IF(DATOS!$A2161="",0,IF(CONFIG_METADATA!$B$4&lt;&gt;"OR+EX",--(DATOS!$G2161=CONFIG_METADATA!$B$4),IF(DATOS!$G2161="EX",1,IF(DATOS!$G2161="OR",--(COUNTIFS(nNIA,DATOS!$A2161,nCURSO,DATOS!$D2161,nESPEC,DATOS!$E2161,nASIG,DATOS!$I2161,nEVAL,"EX")=0),0))))</f>
      </c>
      <c r="H2161">
        <f>IF(DATOS!$G2161&lt;&gt;"EX",0,--(COUNTIFS(nNIA,DATOS!$A2161,nCURSO,DATOS!$D2161,nESPEC,DATOS!$E2161,nASIG,DATOS!$I2161,nEVAL,"OR")=0))</f>
      </c>
      <c r="I2161">
        <f>IF(DATOS!$I2161="","",IFERROR(VLOOKUP(DATOS!$I2161,CONFIG_ASIGNATURAS!$B$2:$J$91,9,FALSE()),""))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IF(DATOS!$A2162="",0,IF(CONFIG_METADATA!$B$4&lt;&gt;"OR+EX",--(DATOS!$G2162=CONFIG_METADATA!$B$4),IF(DATOS!$G2162="EX",1,IF(DATOS!$G2162="OR",--(COUNTIFS(nNIA,DATOS!$A2162,nCURSO,DATOS!$D2162,nESPEC,DATOS!$E2162,nASIG,DATOS!$I2162,nEVAL,"EX")=0),0))))</f>
      </c>
      <c r="H2162">
        <f>IF(DATOS!$G2162&lt;&gt;"EX",0,--(COUNTIFS(nNIA,DATOS!$A2162,nCURSO,DATOS!$D2162,nESPEC,DATOS!$E2162,nASIG,DATOS!$I2162,nEVAL,"OR")=0))</f>
      </c>
      <c r="I2162">
        <f>IF(DATOS!$I2162="","",IFERROR(VLOOKUP(DATOS!$I2162,CONFIG_ASIGNATURAS!$B$2:$J$91,9,FALSE()),""))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IF(DATOS!$A2163="",0,IF(CONFIG_METADATA!$B$4&lt;&gt;"OR+EX",--(DATOS!$G2163=CONFIG_METADATA!$B$4),IF(DATOS!$G2163="EX",1,IF(DATOS!$G2163="OR",--(COUNTIFS(nNIA,DATOS!$A2163,nCURSO,DATOS!$D2163,nESPEC,DATOS!$E2163,nASIG,DATOS!$I2163,nEVAL,"EX")=0),0))))</f>
      </c>
      <c r="H2163">
        <f>IF(DATOS!$G2163&lt;&gt;"EX",0,--(COUNTIFS(nNIA,DATOS!$A2163,nCURSO,DATOS!$D2163,nESPEC,DATOS!$E2163,nASIG,DATOS!$I2163,nEVAL,"OR")=0))</f>
      </c>
      <c r="I2163">
        <f>IF(DATOS!$I2163="","",IFERROR(VLOOKUP(DATOS!$I2163,CONFIG_ASIGNATURAS!$B$2:$J$91,9,FALSE()),""))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IF(DATOS!$A2164="",0,IF(CONFIG_METADATA!$B$4&lt;&gt;"OR+EX",--(DATOS!$G2164=CONFIG_METADATA!$B$4),IF(DATOS!$G2164="EX",1,IF(DATOS!$G2164="OR",--(COUNTIFS(nNIA,DATOS!$A2164,nCURSO,DATOS!$D2164,nESPEC,DATOS!$E2164,nASIG,DATOS!$I2164,nEVAL,"EX")=0),0))))</f>
      </c>
      <c r="H2164">
        <f>IF(DATOS!$G2164&lt;&gt;"EX",0,--(COUNTIFS(nNIA,DATOS!$A2164,nCURSO,DATOS!$D2164,nESPEC,DATOS!$E2164,nASIG,DATOS!$I2164,nEVAL,"OR")=0))</f>
      </c>
      <c r="I2164">
        <f>IF(DATOS!$I2164="","",IFERROR(VLOOKUP(DATOS!$I2164,CONFIG_ASIGNATURAS!$B$2:$J$91,9,FALSE()),""))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IF(DATOS!$A2165="",0,IF(CONFIG_METADATA!$B$4&lt;&gt;"OR+EX",--(DATOS!$G2165=CONFIG_METADATA!$B$4),IF(DATOS!$G2165="EX",1,IF(DATOS!$G2165="OR",--(COUNTIFS(nNIA,DATOS!$A2165,nCURSO,DATOS!$D2165,nESPEC,DATOS!$E2165,nASIG,DATOS!$I2165,nEVAL,"EX")=0),0))))</f>
      </c>
      <c r="H2165">
        <f>IF(DATOS!$G2165&lt;&gt;"EX",0,--(COUNTIFS(nNIA,DATOS!$A2165,nCURSO,DATOS!$D2165,nESPEC,DATOS!$E2165,nASIG,DATOS!$I2165,nEVAL,"OR")=0))</f>
      </c>
      <c r="I2165">
        <f>IF(DATOS!$I2165="","",IFERROR(VLOOKUP(DATOS!$I2165,CONFIG_ASIGNATURAS!$B$2:$J$91,9,FALSE()),""))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IF(DATOS!$A2166="",0,IF(CONFIG_METADATA!$B$4&lt;&gt;"OR+EX",--(DATOS!$G2166=CONFIG_METADATA!$B$4),IF(DATOS!$G2166="EX",1,IF(DATOS!$G2166="OR",--(COUNTIFS(nNIA,DATOS!$A2166,nCURSO,DATOS!$D2166,nESPEC,DATOS!$E2166,nASIG,DATOS!$I2166,nEVAL,"EX")=0),0))))</f>
      </c>
      <c r="H2166">
        <f>IF(DATOS!$G2166&lt;&gt;"EX",0,--(COUNTIFS(nNIA,DATOS!$A2166,nCURSO,DATOS!$D2166,nESPEC,DATOS!$E2166,nASIG,DATOS!$I2166,nEVAL,"OR")=0))</f>
      </c>
      <c r="I2166">
        <f>IF(DATOS!$I2166="","",IFERROR(VLOOKUP(DATOS!$I2166,CONFIG_ASIGNATURAS!$B$2:$J$91,9,FALSE()),""))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IF(DATOS!$A2167="",0,IF(CONFIG_METADATA!$B$4&lt;&gt;"OR+EX",--(DATOS!$G2167=CONFIG_METADATA!$B$4),IF(DATOS!$G2167="EX",1,IF(DATOS!$G2167="OR",--(COUNTIFS(nNIA,DATOS!$A2167,nCURSO,DATOS!$D2167,nESPEC,DATOS!$E2167,nASIG,DATOS!$I2167,nEVAL,"EX")=0),0))))</f>
      </c>
      <c r="H2167">
        <f>IF(DATOS!$G2167&lt;&gt;"EX",0,--(COUNTIFS(nNIA,DATOS!$A2167,nCURSO,DATOS!$D2167,nESPEC,DATOS!$E2167,nASIG,DATOS!$I2167,nEVAL,"OR")=0))</f>
      </c>
      <c r="I2167">
        <f>IF(DATOS!$I2167="","",IFERROR(VLOOKUP(DATOS!$I2167,CONFIG_ASIGNATURAS!$B$2:$J$91,9,FALSE()),""))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IF(DATOS!$A2168="",0,IF(CONFIG_METADATA!$B$4&lt;&gt;"OR+EX",--(DATOS!$G2168=CONFIG_METADATA!$B$4),IF(DATOS!$G2168="EX",1,IF(DATOS!$G2168="OR",--(COUNTIFS(nNIA,DATOS!$A2168,nCURSO,DATOS!$D2168,nESPEC,DATOS!$E2168,nASIG,DATOS!$I2168,nEVAL,"EX")=0),0))))</f>
      </c>
      <c r="H2168">
        <f>IF(DATOS!$G2168&lt;&gt;"EX",0,--(COUNTIFS(nNIA,DATOS!$A2168,nCURSO,DATOS!$D2168,nESPEC,DATOS!$E2168,nASIG,DATOS!$I2168,nEVAL,"OR")=0))</f>
      </c>
      <c r="I2168">
        <f>IF(DATOS!$I2168="","",IFERROR(VLOOKUP(DATOS!$I2168,CONFIG_ASIGNATURAS!$B$2:$J$91,9,FALSE()),""))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IF(DATOS!$A2169="",0,IF(CONFIG_METADATA!$B$4&lt;&gt;"OR+EX",--(DATOS!$G2169=CONFIG_METADATA!$B$4),IF(DATOS!$G2169="EX",1,IF(DATOS!$G2169="OR",--(COUNTIFS(nNIA,DATOS!$A2169,nCURSO,DATOS!$D2169,nESPEC,DATOS!$E2169,nASIG,DATOS!$I2169,nEVAL,"EX")=0),0))))</f>
      </c>
      <c r="H2169">
        <f>IF(DATOS!$G2169&lt;&gt;"EX",0,--(COUNTIFS(nNIA,DATOS!$A2169,nCURSO,DATOS!$D2169,nESPEC,DATOS!$E2169,nASIG,DATOS!$I2169,nEVAL,"OR")=0))</f>
      </c>
      <c r="I2169">
        <f>IF(DATOS!$I2169="","",IFERROR(VLOOKUP(DATOS!$I2169,CONFIG_ASIGNATURAS!$B$2:$J$91,9,FALSE()),""))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IF(DATOS!$A2170="",0,IF(CONFIG_METADATA!$B$4&lt;&gt;"OR+EX",--(DATOS!$G2170=CONFIG_METADATA!$B$4),IF(DATOS!$G2170="EX",1,IF(DATOS!$G2170="OR",--(COUNTIFS(nNIA,DATOS!$A2170,nCURSO,DATOS!$D2170,nESPEC,DATOS!$E2170,nASIG,DATOS!$I2170,nEVAL,"EX")=0),0))))</f>
      </c>
      <c r="H2170">
        <f>IF(DATOS!$G2170&lt;&gt;"EX",0,--(COUNTIFS(nNIA,DATOS!$A2170,nCURSO,DATOS!$D2170,nESPEC,DATOS!$E2170,nASIG,DATOS!$I2170,nEVAL,"OR")=0))</f>
      </c>
      <c r="I2170">
        <f>IF(DATOS!$I2170="","",IFERROR(VLOOKUP(DATOS!$I2170,CONFIG_ASIGNATURAS!$B$2:$J$91,9,FALSE()),""))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IF(DATOS!$A2171="",0,IF(CONFIG_METADATA!$B$4&lt;&gt;"OR+EX",--(DATOS!$G2171=CONFIG_METADATA!$B$4),IF(DATOS!$G2171="EX",1,IF(DATOS!$G2171="OR",--(COUNTIFS(nNIA,DATOS!$A2171,nCURSO,DATOS!$D2171,nESPEC,DATOS!$E2171,nASIG,DATOS!$I2171,nEVAL,"EX")=0),0))))</f>
      </c>
      <c r="H2171">
        <f>IF(DATOS!$G2171&lt;&gt;"EX",0,--(COUNTIFS(nNIA,DATOS!$A2171,nCURSO,DATOS!$D2171,nESPEC,DATOS!$E2171,nASIG,DATOS!$I2171,nEVAL,"OR")=0))</f>
      </c>
      <c r="I2171">
        <f>IF(DATOS!$I2171="","",IFERROR(VLOOKUP(DATOS!$I2171,CONFIG_ASIGNATURAS!$B$2:$J$91,9,FALSE()),""))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IF(DATOS!$A2172="",0,IF(CONFIG_METADATA!$B$4&lt;&gt;"OR+EX",--(DATOS!$G2172=CONFIG_METADATA!$B$4),IF(DATOS!$G2172="EX",1,IF(DATOS!$G2172="OR",--(COUNTIFS(nNIA,DATOS!$A2172,nCURSO,DATOS!$D2172,nESPEC,DATOS!$E2172,nASIG,DATOS!$I2172,nEVAL,"EX")=0),0))))</f>
      </c>
      <c r="H2172">
        <f>IF(DATOS!$G2172&lt;&gt;"EX",0,--(COUNTIFS(nNIA,DATOS!$A2172,nCURSO,DATOS!$D2172,nESPEC,DATOS!$E2172,nASIG,DATOS!$I2172,nEVAL,"OR")=0))</f>
      </c>
      <c r="I2172">
        <f>IF(DATOS!$I2172="","",IFERROR(VLOOKUP(DATOS!$I2172,CONFIG_ASIGNATURAS!$B$2:$J$91,9,FALSE()),""))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IF(DATOS!$A2173="",0,IF(CONFIG_METADATA!$B$4&lt;&gt;"OR+EX",--(DATOS!$G2173=CONFIG_METADATA!$B$4),IF(DATOS!$G2173="EX",1,IF(DATOS!$G2173="OR",--(COUNTIFS(nNIA,DATOS!$A2173,nCURSO,DATOS!$D2173,nESPEC,DATOS!$E2173,nASIG,DATOS!$I2173,nEVAL,"EX")=0),0))))</f>
      </c>
      <c r="H2173">
        <f>IF(DATOS!$G2173&lt;&gt;"EX",0,--(COUNTIFS(nNIA,DATOS!$A2173,nCURSO,DATOS!$D2173,nESPEC,DATOS!$E2173,nASIG,DATOS!$I2173,nEVAL,"OR")=0))</f>
      </c>
      <c r="I2173">
        <f>IF(DATOS!$I2173="","",IFERROR(VLOOKUP(DATOS!$I2173,CONFIG_ASIGNATURAS!$B$2:$J$91,9,FALSE()),""))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IF(DATOS!$A2174="",0,IF(CONFIG_METADATA!$B$4&lt;&gt;"OR+EX",--(DATOS!$G2174=CONFIG_METADATA!$B$4),IF(DATOS!$G2174="EX",1,IF(DATOS!$G2174="OR",--(COUNTIFS(nNIA,DATOS!$A2174,nCURSO,DATOS!$D2174,nESPEC,DATOS!$E2174,nASIG,DATOS!$I2174,nEVAL,"EX")=0),0))))</f>
      </c>
      <c r="H2174">
        <f>IF(DATOS!$G2174&lt;&gt;"EX",0,--(COUNTIFS(nNIA,DATOS!$A2174,nCURSO,DATOS!$D2174,nESPEC,DATOS!$E2174,nASIG,DATOS!$I2174,nEVAL,"OR")=0))</f>
      </c>
      <c r="I2174">
        <f>IF(DATOS!$I2174="","",IFERROR(VLOOKUP(DATOS!$I2174,CONFIG_ASIGNATURAS!$B$2:$J$91,9,FALSE()),""))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IF(DATOS!$A2175="",0,IF(CONFIG_METADATA!$B$4&lt;&gt;"OR+EX",--(DATOS!$G2175=CONFIG_METADATA!$B$4),IF(DATOS!$G2175="EX",1,IF(DATOS!$G2175="OR",--(COUNTIFS(nNIA,DATOS!$A2175,nCURSO,DATOS!$D2175,nESPEC,DATOS!$E2175,nASIG,DATOS!$I2175,nEVAL,"EX")=0),0))))</f>
      </c>
      <c r="H2175">
        <f>IF(DATOS!$G2175&lt;&gt;"EX",0,--(COUNTIFS(nNIA,DATOS!$A2175,nCURSO,DATOS!$D2175,nESPEC,DATOS!$E2175,nASIG,DATOS!$I2175,nEVAL,"OR")=0))</f>
      </c>
      <c r="I2175">
        <f>IF(DATOS!$I2175="","",IFERROR(VLOOKUP(DATOS!$I2175,CONFIG_ASIGNATURAS!$B$2:$J$91,9,FALSE()),""))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IF(DATOS!$A2176="",0,IF(CONFIG_METADATA!$B$4&lt;&gt;"OR+EX",--(DATOS!$G2176=CONFIG_METADATA!$B$4),IF(DATOS!$G2176="EX",1,IF(DATOS!$G2176="OR",--(COUNTIFS(nNIA,DATOS!$A2176,nCURSO,DATOS!$D2176,nESPEC,DATOS!$E2176,nASIG,DATOS!$I2176,nEVAL,"EX")=0),0))))</f>
      </c>
      <c r="H2176">
        <f>IF(DATOS!$G2176&lt;&gt;"EX",0,--(COUNTIFS(nNIA,DATOS!$A2176,nCURSO,DATOS!$D2176,nESPEC,DATOS!$E2176,nASIG,DATOS!$I2176,nEVAL,"OR")=0))</f>
      </c>
      <c r="I2176">
        <f>IF(DATOS!$I2176="","",IFERROR(VLOOKUP(DATOS!$I2176,CONFIG_ASIGNATURAS!$B$2:$J$91,9,FALSE()),""))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IF(DATOS!$A2177="",0,IF(CONFIG_METADATA!$B$4&lt;&gt;"OR+EX",--(DATOS!$G2177=CONFIG_METADATA!$B$4),IF(DATOS!$G2177="EX",1,IF(DATOS!$G2177="OR",--(COUNTIFS(nNIA,DATOS!$A2177,nCURSO,DATOS!$D2177,nESPEC,DATOS!$E2177,nASIG,DATOS!$I2177,nEVAL,"EX")=0),0))))</f>
      </c>
      <c r="H2177">
        <f>IF(DATOS!$G2177&lt;&gt;"EX",0,--(COUNTIFS(nNIA,DATOS!$A2177,nCURSO,DATOS!$D2177,nESPEC,DATOS!$E2177,nASIG,DATOS!$I2177,nEVAL,"OR")=0))</f>
      </c>
      <c r="I2177">
        <f>IF(DATOS!$I2177="","",IFERROR(VLOOKUP(DATOS!$I2177,CONFIG_ASIGNATURAS!$B$2:$J$91,9,FALSE()),""))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IF(DATOS!$A2178="",0,IF(CONFIG_METADATA!$B$4&lt;&gt;"OR+EX",--(DATOS!$G2178=CONFIG_METADATA!$B$4),IF(DATOS!$G2178="EX",1,IF(DATOS!$G2178="OR",--(COUNTIFS(nNIA,DATOS!$A2178,nCURSO,DATOS!$D2178,nESPEC,DATOS!$E2178,nASIG,DATOS!$I2178,nEVAL,"EX")=0),0))))</f>
      </c>
      <c r="H2178">
        <f>IF(DATOS!$G2178&lt;&gt;"EX",0,--(COUNTIFS(nNIA,DATOS!$A2178,nCURSO,DATOS!$D2178,nESPEC,DATOS!$E2178,nASIG,DATOS!$I2178,nEVAL,"OR")=0))</f>
      </c>
      <c r="I2178">
        <f>IF(DATOS!$I2178="","",IFERROR(VLOOKUP(DATOS!$I2178,CONFIG_ASIGNATURAS!$B$2:$J$91,9,FALSE()),""))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IF(DATOS!$A2179="",0,IF(CONFIG_METADATA!$B$4&lt;&gt;"OR+EX",--(DATOS!$G2179=CONFIG_METADATA!$B$4),IF(DATOS!$G2179="EX",1,IF(DATOS!$G2179="OR",--(COUNTIFS(nNIA,DATOS!$A2179,nCURSO,DATOS!$D2179,nESPEC,DATOS!$E2179,nASIG,DATOS!$I2179,nEVAL,"EX")=0),0))))</f>
      </c>
      <c r="H2179">
        <f>IF(DATOS!$G2179&lt;&gt;"EX",0,--(COUNTIFS(nNIA,DATOS!$A2179,nCURSO,DATOS!$D2179,nESPEC,DATOS!$E2179,nASIG,DATOS!$I2179,nEVAL,"OR")=0))</f>
      </c>
      <c r="I2179">
        <f>IF(DATOS!$I2179="","",IFERROR(VLOOKUP(DATOS!$I2179,CONFIG_ASIGNATURAS!$B$2:$J$91,9,FALSE()),""))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IF(DATOS!$A2180="",0,IF(CONFIG_METADATA!$B$4&lt;&gt;"OR+EX",--(DATOS!$G2180=CONFIG_METADATA!$B$4),IF(DATOS!$G2180="EX",1,IF(DATOS!$G2180="OR",--(COUNTIFS(nNIA,DATOS!$A2180,nCURSO,DATOS!$D2180,nESPEC,DATOS!$E2180,nASIG,DATOS!$I2180,nEVAL,"EX")=0),0))))</f>
      </c>
      <c r="H2180">
        <f>IF(DATOS!$G2180&lt;&gt;"EX",0,--(COUNTIFS(nNIA,DATOS!$A2180,nCURSO,DATOS!$D2180,nESPEC,DATOS!$E2180,nASIG,DATOS!$I2180,nEVAL,"OR")=0))</f>
      </c>
      <c r="I2180">
        <f>IF(DATOS!$I2180="","",IFERROR(VLOOKUP(DATOS!$I2180,CONFIG_ASIGNATURAS!$B$2:$J$91,9,FALSE()),""))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IF(DATOS!$A2181="",0,IF(CONFIG_METADATA!$B$4&lt;&gt;"OR+EX",--(DATOS!$G2181=CONFIG_METADATA!$B$4),IF(DATOS!$G2181="EX",1,IF(DATOS!$G2181="OR",--(COUNTIFS(nNIA,DATOS!$A2181,nCURSO,DATOS!$D2181,nESPEC,DATOS!$E2181,nASIG,DATOS!$I2181,nEVAL,"EX")=0),0))))</f>
      </c>
      <c r="H2181">
        <f>IF(DATOS!$G2181&lt;&gt;"EX",0,--(COUNTIFS(nNIA,DATOS!$A2181,nCURSO,DATOS!$D2181,nESPEC,DATOS!$E2181,nASIG,DATOS!$I2181,nEVAL,"OR")=0))</f>
      </c>
      <c r="I2181">
        <f>IF(DATOS!$I2181="","",IFERROR(VLOOKUP(DATOS!$I2181,CONFIG_ASIGNATURAS!$B$2:$J$91,9,FALSE()),""))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IF(DATOS!$A2182="",0,IF(CONFIG_METADATA!$B$4&lt;&gt;"OR+EX",--(DATOS!$G2182=CONFIG_METADATA!$B$4),IF(DATOS!$G2182="EX",1,IF(DATOS!$G2182="OR",--(COUNTIFS(nNIA,DATOS!$A2182,nCURSO,DATOS!$D2182,nESPEC,DATOS!$E2182,nASIG,DATOS!$I2182,nEVAL,"EX")=0),0))))</f>
      </c>
      <c r="H2182">
        <f>IF(DATOS!$G2182&lt;&gt;"EX",0,--(COUNTIFS(nNIA,DATOS!$A2182,nCURSO,DATOS!$D2182,nESPEC,DATOS!$E2182,nASIG,DATOS!$I2182,nEVAL,"OR")=0))</f>
      </c>
      <c r="I2182">
        <f>IF(DATOS!$I2182="","",IFERROR(VLOOKUP(DATOS!$I2182,CONFIG_ASIGNATURAS!$B$2:$J$91,9,FALSE()),""))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IF(DATOS!$A2183="",0,IF(CONFIG_METADATA!$B$4&lt;&gt;"OR+EX",--(DATOS!$G2183=CONFIG_METADATA!$B$4),IF(DATOS!$G2183="EX",1,IF(DATOS!$G2183="OR",--(COUNTIFS(nNIA,DATOS!$A2183,nCURSO,DATOS!$D2183,nESPEC,DATOS!$E2183,nASIG,DATOS!$I2183,nEVAL,"EX")=0),0))))</f>
      </c>
      <c r="H2183">
        <f>IF(DATOS!$G2183&lt;&gt;"EX",0,--(COUNTIFS(nNIA,DATOS!$A2183,nCURSO,DATOS!$D2183,nESPEC,DATOS!$E2183,nASIG,DATOS!$I2183,nEVAL,"OR")=0))</f>
      </c>
      <c r="I2183">
        <f>IF(DATOS!$I2183="","",IFERROR(VLOOKUP(DATOS!$I2183,CONFIG_ASIGNATURAS!$B$2:$J$91,9,FALSE()),""))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IF(DATOS!$A2184="",0,IF(CONFIG_METADATA!$B$4&lt;&gt;"OR+EX",--(DATOS!$G2184=CONFIG_METADATA!$B$4),IF(DATOS!$G2184="EX",1,IF(DATOS!$G2184="OR",--(COUNTIFS(nNIA,DATOS!$A2184,nCURSO,DATOS!$D2184,nESPEC,DATOS!$E2184,nASIG,DATOS!$I2184,nEVAL,"EX")=0),0))))</f>
      </c>
      <c r="H2184">
        <f>IF(DATOS!$G2184&lt;&gt;"EX",0,--(COUNTIFS(nNIA,DATOS!$A2184,nCURSO,DATOS!$D2184,nESPEC,DATOS!$E2184,nASIG,DATOS!$I2184,nEVAL,"OR")=0))</f>
      </c>
      <c r="I2184">
        <f>IF(DATOS!$I2184="","",IFERROR(VLOOKUP(DATOS!$I2184,CONFIG_ASIGNATURAS!$B$2:$J$91,9,FALSE()),""))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IF(DATOS!$A2185="",0,IF(CONFIG_METADATA!$B$4&lt;&gt;"OR+EX",--(DATOS!$G2185=CONFIG_METADATA!$B$4),IF(DATOS!$G2185="EX",1,IF(DATOS!$G2185="OR",--(COUNTIFS(nNIA,DATOS!$A2185,nCURSO,DATOS!$D2185,nESPEC,DATOS!$E2185,nASIG,DATOS!$I2185,nEVAL,"EX")=0),0))))</f>
      </c>
      <c r="H2185">
        <f>IF(DATOS!$G2185&lt;&gt;"EX",0,--(COUNTIFS(nNIA,DATOS!$A2185,nCURSO,DATOS!$D2185,nESPEC,DATOS!$E2185,nASIG,DATOS!$I2185,nEVAL,"OR")=0))</f>
      </c>
      <c r="I2185">
        <f>IF(DATOS!$I2185="","",IFERROR(VLOOKUP(DATOS!$I2185,CONFIG_ASIGNATURAS!$B$2:$J$91,9,FALSE()),""))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IF(DATOS!$A2186="",0,IF(CONFIG_METADATA!$B$4&lt;&gt;"OR+EX",--(DATOS!$G2186=CONFIG_METADATA!$B$4),IF(DATOS!$G2186="EX",1,IF(DATOS!$G2186="OR",--(COUNTIFS(nNIA,DATOS!$A2186,nCURSO,DATOS!$D2186,nESPEC,DATOS!$E2186,nASIG,DATOS!$I2186,nEVAL,"EX")=0),0))))</f>
      </c>
      <c r="H2186">
        <f>IF(DATOS!$G2186&lt;&gt;"EX",0,--(COUNTIFS(nNIA,DATOS!$A2186,nCURSO,DATOS!$D2186,nESPEC,DATOS!$E2186,nASIG,DATOS!$I2186,nEVAL,"OR")=0))</f>
      </c>
      <c r="I2186">
        <f>IF(DATOS!$I2186="","",IFERROR(VLOOKUP(DATOS!$I2186,CONFIG_ASIGNATURAS!$B$2:$J$91,9,FALSE()),""))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IF(DATOS!$A2187="",0,IF(CONFIG_METADATA!$B$4&lt;&gt;"OR+EX",--(DATOS!$G2187=CONFIG_METADATA!$B$4),IF(DATOS!$G2187="EX",1,IF(DATOS!$G2187="OR",--(COUNTIFS(nNIA,DATOS!$A2187,nCURSO,DATOS!$D2187,nESPEC,DATOS!$E2187,nASIG,DATOS!$I2187,nEVAL,"EX")=0),0))))</f>
      </c>
      <c r="H2187">
        <f>IF(DATOS!$G2187&lt;&gt;"EX",0,--(COUNTIFS(nNIA,DATOS!$A2187,nCURSO,DATOS!$D2187,nESPEC,DATOS!$E2187,nASIG,DATOS!$I2187,nEVAL,"OR")=0))</f>
      </c>
      <c r="I2187">
        <f>IF(DATOS!$I2187="","",IFERROR(VLOOKUP(DATOS!$I2187,CONFIG_ASIGNATURAS!$B$2:$J$91,9,FALSE()),""))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IF(DATOS!$A2188="",0,IF(CONFIG_METADATA!$B$4&lt;&gt;"OR+EX",--(DATOS!$G2188=CONFIG_METADATA!$B$4),IF(DATOS!$G2188="EX",1,IF(DATOS!$G2188="OR",--(COUNTIFS(nNIA,DATOS!$A2188,nCURSO,DATOS!$D2188,nESPEC,DATOS!$E2188,nASIG,DATOS!$I2188,nEVAL,"EX")=0),0))))</f>
      </c>
      <c r="H2188">
        <f>IF(DATOS!$G2188&lt;&gt;"EX",0,--(COUNTIFS(nNIA,DATOS!$A2188,nCURSO,DATOS!$D2188,nESPEC,DATOS!$E2188,nASIG,DATOS!$I2188,nEVAL,"OR")=0))</f>
      </c>
      <c r="I2188">
        <f>IF(DATOS!$I2188="","",IFERROR(VLOOKUP(DATOS!$I2188,CONFIG_ASIGNATURAS!$B$2:$J$91,9,FALSE()),""))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IF(DATOS!$A2189="",0,IF(CONFIG_METADATA!$B$4&lt;&gt;"OR+EX",--(DATOS!$G2189=CONFIG_METADATA!$B$4),IF(DATOS!$G2189="EX",1,IF(DATOS!$G2189="OR",--(COUNTIFS(nNIA,DATOS!$A2189,nCURSO,DATOS!$D2189,nESPEC,DATOS!$E2189,nASIG,DATOS!$I2189,nEVAL,"EX")=0),0))))</f>
      </c>
      <c r="H2189">
        <f>IF(DATOS!$G2189&lt;&gt;"EX",0,--(COUNTIFS(nNIA,DATOS!$A2189,nCURSO,DATOS!$D2189,nESPEC,DATOS!$E2189,nASIG,DATOS!$I2189,nEVAL,"OR")=0))</f>
      </c>
      <c r="I2189">
        <f>IF(DATOS!$I2189="","",IFERROR(VLOOKUP(DATOS!$I2189,CONFIG_ASIGNATURAS!$B$2:$J$91,9,FALSE()),""))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IF(DATOS!$A2190="",0,IF(CONFIG_METADATA!$B$4&lt;&gt;"OR+EX",--(DATOS!$G2190=CONFIG_METADATA!$B$4),IF(DATOS!$G2190="EX",1,IF(DATOS!$G2190="OR",--(COUNTIFS(nNIA,DATOS!$A2190,nCURSO,DATOS!$D2190,nESPEC,DATOS!$E2190,nASIG,DATOS!$I2190,nEVAL,"EX")=0),0))))</f>
      </c>
      <c r="H2190">
        <f>IF(DATOS!$G2190&lt;&gt;"EX",0,--(COUNTIFS(nNIA,DATOS!$A2190,nCURSO,DATOS!$D2190,nESPEC,DATOS!$E2190,nASIG,DATOS!$I2190,nEVAL,"OR")=0))</f>
      </c>
      <c r="I2190">
        <f>IF(DATOS!$I2190="","",IFERROR(VLOOKUP(DATOS!$I2190,CONFIG_ASIGNATURAS!$B$2:$J$91,9,FALSE()),""))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IF(DATOS!$A2191="",0,IF(CONFIG_METADATA!$B$4&lt;&gt;"OR+EX",--(DATOS!$G2191=CONFIG_METADATA!$B$4),IF(DATOS!$G2191="EX",1,IF(DATOS!$G2191="OR",--(COUNTIFS(nNIA,DATOS!$A2191,nCURSO,DATOS!$D2191,nESPEC,DATOS!$E2191,nASIG,DATOS!$I2191,nEVAL,"EX")=0),0))))</f>
      </c>
      <c r="H2191">
        <f>IF(DATOS!$G2191&lt;&gt;"EX",0,--(COUNTIFS(nNIA,DATOS!$A2191,nCURSO,DATOS!$D2191,nESPEC,DATOS!$E2191,nASIG,DATOS!$I2191,nEVAL,"OR")=0))</f>
      </c>
      <c r="I2191">
        <f>IF(DATOS!$I2191="","",IFERROR(VLOOKUP(DATOS!$I2191,CONFIG_ASIGNATURAS!$B$2:$J$91,9,FALSE()),""))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IF(DATOS!$A2192="",0,IF(CONFIG_METADATA!$B$4&lt;&gt;"OR+EX",--(DATOS!$G2192=CONFIG_METADATA!$B$4),IF(DATOS!$G2192="EX",1,IF(DATOS!$G2192="OR",--(COUNTIFS(nNIA,DATOS!$A2192,nCURSO,DATOS!$D2192,nESPEC,DATOS!$E2192,nASIG,DATOS!$I2192,nEVAL,"EX")=0),0))))</f>
      </c>
      <c r="H2192">
        <f>IF(DATOS!$G2192&lt;&gt;"EX",0,--(COUNTIFS(nNIA,DATOS!$A2192,nCURSO,DATOS!$D2192,nESPEC,DATOS!$E2192,nASIG,DATOS!$I2192,nEVAL,"OR")=0))</f>
      </c>
      <c r="I2192">
        <f>IF(DATOS!$I2192="","",IFERROR(VLOOKUP(DATOS!$I2192,CONFIG_ASIGNATURAS!$B$2:$J$91,9,FALSE()),""))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IF(DATOS!$A2193="",0,IF(CONFIG_METADATA!$B$4&lt;&gt;"OR+EX",--(DATOS!$G2193=CONFIG_METADATA!$B$4),IF(DATOS!$G2193="EX",1,IF(DATOS!$G2193="OR",--(COUNTIFS(nNIA,DATOS!$A2193,nCURSO,DATOS!$D2193,nESPEC,DATOS!$E2193,nASIG,DATOS!$I2193,nEVAL,"EX")=0),0))))</f>
      </c>
      <c r="H2193">
        <f>IF(DATOS!$G2193&lt;&gt;"EX",0,--(COUNTIFS(nNIA,DATOS!$A2193,nCURSO,DATOS!$D2193,nESPEC,DATOS!$E2193,nASIG,DATOS!$I2193,nEVAL,"OR")=0))</f>
      </c>
      <c r="I2193">
        <f>IF(DATOS!$I2193="","",IFERROR(VLOOKUP(DATOS!$I2193,CONFIG_ASIGNATURAS!$B$2:$J$91,9,FALSE()),""))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IF(DATOS!$A2194="",0,IF(CONFIG_METADATA!$B$4&lt;&gt;"OR+EX",--(DATOS!$G2194=CONFIG_METADATA!$B$4),IF(DATOS!$G2194="EX",1,IF(DATOS!$G2194="OR",--(COUNTIFS(nNIA,DATOS!$A2194,nCURSO,DATOS!$D2194,nESPEC,DATOS!$E2194,nASIG,DATOS!$I2194,nEVAL,"EX")=0),0))))</f>
      </c>
      <c r="H2194">
        <f>IF(DATOS!$G2194&lt;&gt;"EX",0,--(COUNTIFS(nNIA,DATOS!$A2194,nCURSO,DATOS!$D2194,nESPEC,DATOS!$E2194,nASIG,DATOS!$I2194,nEVAL,"OR")=0))</f>
      </c>
      <c r="I2194">
        <f>IF(DATOS!$I2194="","",IFERROR(VLOOKUP(DATOS!$I2194,CONFIG_ASIGNATURAS!$B$2:$J$91,9,FALSE()),""))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IF(DATOS!$A2195="",0,IF(CONFIG_METADATA!$B$4&lt;&gt;"OR+EX",--(DATOS!$G2195=CONFIG_METADATA!$B$4),IF(DATOS!$G2195="EX",1,IF(DATOS!$G2195="OR",--(COUNTIFS(nNIA,DATOS!$A2195,nCURSO,DATOS!$D2195,nESPEC,DATOS!$E2195,nASIG,DATOS!$I2195,nEVAL,"EX")=0),0))))</f>
      </c>
      <c r="H2195">
        <f>IF(DATOS!$G2195&lt;&gt;"EX",0,--(COUNTIFS(nNIA,DATOS!$A2195,nCURSO,DATOS!$D2195,nESPEC,DATOS!$E2195,nASIG,DATOS!$I2195,nEVAL,"OR")=0))</f>
      </c>
      <c r="I2195">
        <f>IF(DATOS!$I2195="","",IFERROR(VLOOKUP(DATOS!$I2195,CONFIG_ASIGNATURAS!$B$2:$J$91,9,FALSE()),""))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IF(DATOS!$A2196="",0,IF(CONFIG_METADATA!$B$4&lt;&gt;"OR+EX",--(DATOS!$G2196=CONFIG_METADATA!$B$4),IF(DATOS!$G2196="EX",1,IF(DATOS!$G2196="OR",--(COUNTIFS(nNIA,DATOS!$A2196,nCURSO,DATOS!$D2196,nESPEC,DATOS!$E2196,nASIG,DATOS!$I2196,nEVAL,"EX")=0),0))))</f>
      </c>
      <c r="H2196">
        <f>IF(DATOS!$G2196&lt;&gt;"EX",0,--(COUNTIFS(nNIA,DATOS!$A2196,nCURSO,DATOS!$D2196,nESPEC,DATOS!$E2196,nASIG,DATOS!$I2196,nEVAL,"OR")=0))</f>
      </c>
      <c r="I2196">
        <f>IF(DATOS!$I2196="","",IFERROR(VLOOKUP(DATOS!$I2196,CONFIG_ASIGNATURAS!$B$2:$J$91,9,FALSE()),""))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IF(DATOS!$A2197="",0,IF(CONFIG_METADATA!$B$4&lt;&gt;"OR+EX",--(DATOS!$G2197=CONFIG_METADATA!$B$4),IF(DATOS!$G2197="EX",1,IF(DATOS!$G2197="OR",--(COUNTIFS(nNIA,DATOS!$A2197,nCURSO,DATOS!$D2197,nESPEC,DATOS!$E2197,nASIG,DATOS!$I2197,nEVAL,"EX")=0),0))))</f>
      </c>
      <c r="H2197">
        <f>IF(DATOS!$G2197&lt;&gt;"EX",0,--(COUNTIFS(nNIA,DATOS!$A2197,nCURSO,DATOS!$D2197,nESPEC,DATOS!$E2197,nASIG,DATOS!$I2197,nEVAL,"OR")=0))</f>
      </c>
      <c r="I2197">
        <f>IF(DATOS!$I2197="","",IFERROR(VLOOKUP(DATOS!$I2197,CONFIG_ASIGNATURAS!$B$2:$J$91,9,FALSE()),""))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IF(DATOS!$A2198="",0,IF(CONFIG_METADATA!$B$4&lt;&gt;"OR+EX",--(DATOS!$G2198=CONFIG_METADATA!$B$4),IF(DATOS!$G2198="EX",1,IF(DATOS!$G2198="OR",--(COUNTIFS(nNIA,DATOS!$A2198,nCURSO,DATOS!$D2198,nESPEC,DATOS!$E2198,nASIG,DATOS!$I2198,nEVAL,"EX")=0),0))))</f>
      </c>
      <c r="H2198">
        <f>IF(DATOS!$G2198&lt;&gt;"EX",0,--(COUNTIFS(nNIA,DATOS!$A2198,nCURSO,DATOS!$D2198,nESPEC,DATOS!$E2198,nASIG,DATOS!$I2198,nEVAL,"OR")=0))</f>
      </c>
      <c r="I2198">
        <f>IF(DATOS!$I2198="","",IFERROR(VLOOKUP(DATOS!$I2198,CONFIG_ASIGNATURAS!$B$2:$J$91,9,FALSE()),""))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IF(DATOS!$A2199="",0,IF(CONFIG_METADATA!$B$4&lt;&gt;"OR+EX",--(DATOS!$G2199=CONFIG_METADATA!$B$4),IF(DATOS!$G2199="EX",1,IF(DATOS!$G2199="OR",--(COUNTIFS(nNIA,DATOS!$A2199,nCURSO,DATOS!$D2199,nESPEC,DATOS!$E2199,nASIG,DATOS!$I2199,nEVAL,"EX")=0),0))))</f>
      </c>
      <c r="H2199">
        <f>IF(DATOS!$G2199&lt;&gt;"EX",0,--(COUNTIFS(nNIA,DATOS!$A2199,nCURSO,DATOS!$D2199,nESPEC,DATOS!$E2199,nASIG,DATOS!$I2199,nEVAL,"OR")=0))</f>
      </c>
      <c r="I2199">
        <f>IF(DATOS!$I2199="","",IFERROR(VLOOKUP(DATOS!$I2199,CONFIG_ASIGNATURAS!$B$2:$J$91,9,FALSE()),""))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IF(DATOS!$A2200="",0,IF(CONFIG_METADATA!$B$4&lt;&gt;"OR+EX",--(DATOS!$G2200=CONFIG_METADATA!$B$4),IF(DATOS!$G2200="EX",1,IF(DATOS!$G2200="OR",--(COUNTIFS(nNIA,DATOS!$A2200,nCURSO,DATOS!$D2200,nESPEC,DATOS!$E2200,nASIG,DATOS!$I2200,nEVAL,"EX")=0),0))))</f>
      </c>
      <c r="H2200">
        <f>IF(DATOS!$G2200&lt;&gt;"EX",0,--(COUNTIFS(nNIA,DATOS!$A2200,nCURSO,DATOS!$D2200,nESPEC,DATOS!$E2200,nASIG,DATOS!$I2200,nEVAL,"OR")=0))</f>
      </c>
      <c r="I2200">
        <f>IF(DATOS!$I2200="","",IFERROR(VLOOKUP(DATOS!$I2200,CONFIG_ASIGNATURAS!$B$2:$J$91,9,FALSE()),""))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IF(DATOS!$A2201="",0,IF(CONFIG_METADATA!$B$4&lt;&gt;"OR+EX",--(DATOS!$G2201=CONFIG_METADATA!$B$4),IF(DATOS!$G2201="EX",1,IF(DATOS!$G2201="OR",--(COUNTIFS(nNIA,DATOS!$A2201,nCURSO,DATOS!$D2201,nESPEC,DATOS!$E2201,nASIG,DATOS!$I2201,nEVAL,"EX")=0),0))))</f>
      </c>
      <c r="H2201">
        <f>IF(DATOS!$G2201&lt;&gt;"EX",0,--(COUNTIFS(nNIA,DATOS!$A2201,nCURSO,DATOS!$D2201,nESPEC,DATOS!$E2201,nASIG,DATOS!$I2201,nEVAL,"OR")=0))</f>
      </c>
      <c r="I2201">
        <f>IF(DATOS!$I2201="","",IFERROR(VLOOKUP(DATOS!$I2201,CONFIG_ASIGNATURAS!$B$2:$J$91,9,FALSE()),""))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IF(DATOS!$A2202="",0,IF(CONFIG_METADATA!$B$4&lt;&gt;"OR+EX",--(DATOS!$G2202=CONFIG_METADATA!$B$4),IF(DATOS!$G2202="EX",1,IF(DATOS!$G2202="OR",--(COUNTIFS(nNIA,DATOS!$A2202,nCURSO,DATOS!$D2202,nESPEC,DATOS!$E2202,nASIG,DATOS!$I2202,nEVAL,"EX")=0),0))))</f>
      </c>
      <c r="H2202">
        <f>IF(DATOS!$G2202&lt;&gt;"EX",0,--(COUNTIFS(nNIA,DATOS!$A2202,nCURSO,DATOS!$D2202,nESPEC,DATOS!$E2202,nASIG,DATOS!$I2202,nEVAL,"OR")=0))</f>
      </c>
      <c r="I2202">
        <f>IF(DATOS!$I2202="","",IFERROR(VLOOKUP(DATOS!$I2202,CONFIG_ASIGNATURAS!$B$2:$J$91,9,FALSE()),""))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IF(DATOS!$A2203="",0,IF(CONFIG_METADATA!$B$4&lt;&gt;"OR+EX",--(DATOS!$G2203=CONFIG_METADATA!$B$4),IF(DATOS!$G2203="EX",1,IF(DATOS!$G2203="OR",--(COUNTIFS(nNIA,DATOS!$A2203,nCURSO,DATOS!$D2203,nESPEC,DATOS!$E2203,nASIG,DATOS!$I2203,nEVAL,"EX")=0),0))))</f>
      </c>
      <c r="H2203">
        <f>IF(DATOS!$G2203&lt;&gt;"EX",0,--(COUNTIFS(nNIA,DATOS!$A2203,nCURSO,DATOS!$D2203,nESPEC,DATOS!$E2203,nASIG,DATOS!$I2203,nEVAL,"OR")=0))</f>
      </c>
      <c r="I2203">
        <f>IF(DATOS!$I2203="","",IFERROR(VLOOKUP(DATOS!$I2203,CONFIG_ASIGNATURAS!$B$2:$J$91,9,FALSE()),""))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IF(DATOS!$A2204="",0,IF(CONFIG_METADATA!$B$4&lt;&gt;"OR+EX",--(DATOS!$G2204=CONFIG_METADATA!$B$4),IF(DATOS!$G2204="EX",1,IF(DATOS!$G2204="OR",--(COUNTIFS(nNIA,DATOS!$A2204,nCURSO,DATOS!$D2204,nESPEC,DATOS!$E2204,nASIG,DATOS!$I2204,nEVAL,"EX")=0),0))))</f>
      </c>
      <c r="H2204">
        <f>IF(DATOS!$G2204&lt;&gt;"EX",0,--(COUNTIFS(nNIA,DATOS!$A2204,nCURSO,DATOS!$D2204,nESPEC,DATOS!$E2204,nASIG,DATOS!$I2204,nEVAL,"OR")=0))</f>
      </c>
      <c r="I2204">
        <f>IF(DATOS!$I2204="","",IFERROR(VLOOKUP(DATOS!$I2204,CONFIG_ASIGNATURAS!$B$2:$J$91,9,FALSE()),""))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IF(DATOS!$A2205="",0,IF(CONFIG_METADATA!$B$4&lt;&gt;"OR+EX",--(DATOS!$G2205=CONFIG_METADATA!$B$4),IF(DATOS!$G2205="EX",1,IF(DATOS!$G2205="OR",--(COUNTIFS(nNIA,DATOS!$A2205,nCURSO,DATOS!$D2205,nESPEC,DATOS!$E2205,nASIG,DATOS!$I2205,nEVAL,"EX")=0),0))))</f>
      </c>
      <c r="H2205">
        <f>IF(DATOS!$G2205&lt;&gt;"EX",0,--(COUNTIFS(nNIA,DATOS!$A2205,nCURSO,DATOS!$D2205,nESPEC,DATOS!$E2205,nASIG,DATOS!$I2205,nEVAL,"OR")=0))</f>
      </c>
      <c r="I2205">
        <f>IF(DATOS!$I2205="","",IFERROR(VLOOKUP(DATOS!$I2205,CONFIG_ASIGNATURAS!$B$2:$J$91,9,FALSE()),""))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IF(DATOS!$A2206="",0,IF(CONFIG_METADATA!$B$4&lt;&gt;"OR+EX",--(DATOS!$G2206=CONFIG_METADATA!$B$4),IF(DATOS!$G2206="EX",1,IF(DATOS!$G2206="OR",--(COUNTIFS(nNIA,DATOS!$A2206,nCURSO,DATOS!$D2206,nESPEC,DATOS!$E2206,nASIG,DATOS!$I2206,nEVAL,"EX")=0),0))))</f>
      </c>
      <c r="H2206">
        <f>IF(DATOS!$G2206&lt;&gt;"EX",0,--(COUNTIFS(nNIA,DATOS!$A2206,nCURSO,DATOS!$D2206,nESPEC,DATOS!$E2206,nASIG,DATOS!$I2206,nEVAL,"OR")=0))</f>
      </c>
      <c r="I2206">
        <f>IF(DATOS!$I2206="","",IFERROR(VLOOKUP(DATOS!$I2206,CONFIG_ASIGNATURAS!$B$2:$J$91,9,FALSE()),""))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IF(DATOS!$A2207="",0,IF(CONFIG_METADATA!$B$4&lt;&gt;"OR+EX",--(DATOS!$G2207=CONFIG_METADATA!$B$4),IF(DATOS!$G2207="EX",1,IF(DATOS!$G2207="OR",--(COUNTIFS(nNIA,DATOS!$A2207,nCURSO,DATOS!$D2207,nESPEC,DATOS!$E2207,nASIG,DATOS!$I2207,nEVAL,"EX")=0),0))))</f>
      </c>
      <c r="H2207">
        <f>IF(DATOS!$G2207&lt;&gt;"EX",0,--(COUNTIFS(nNIA,DATOS!$A2207,nCURSO,DATOS!$D2207,nESPEC,DATOS!$E2207,nASIG,DATOS!$I2207,nEVAL,"OR")=0))</f>
      </c>
      <c r="I2207">
        <f>IF(DATOS!$I2207="","",IFERROR(VLOOKUP(DATOS!$I2207,CONFIG_ASIGNATURAS!$B$2:$J$91,9,FALSE()),""))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IF(DATOS!$A2208="",0,IF(CONFIG_METADATA!$B$4&lt;&gt;"OR+EX",--(DATOS!$G2208=CONFIG_METADATA!$B$4),IF(DATOS!$G2208="EX",1,IF(DATOS!$G2208="OR",--(COUNTIFS(nNIA,DATOS!$A2208,nCURSO,DATOS!$D2208,nESPEC,DATOS!$E2208,nASIG,DATOS!$I2208,nEVAL,"EX")=0),0))))</f>
      </c>
      <c r="H2208">
        <f>IF(DATOS!$G2208&lt;&gt;"EX",0,--(COUNTIFS(nNIA,DATOS!$A2208,nCURSO,DATOS!$D2208,nESPEC,DATOS!$E2208,nASIG,DATOS!$I2208,nEVAL,"OR")=0))</f>
      </c>
      <c r="I2208">
        <f>IF(DATOS!$I2208="","",IFERROR(VLOOKUP(DATOS!$I2208,CONFIG_ASIGNATURAS!$B$2:$J$91,9,FALSE()),""))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IF(DATOS!$A2209="",0,IF(CONFIG_METADATA!$B$4&lt;&gt;"OR+EX",--(DATOS!$G2209=CONFIG_METADATA!$B$4),IF(DATOS!$G2209="EX",1,IF(DATOS!$G2209="OR",--(COUNTIFS(nNIA,DATOS!$A2209,nCURSO,DATOS!$D2209,nESPEC,DATOS!$E2209,nASIG,DATOS!$I2209,nEVAL,"EX")=0),0))))</f>
      </c>
      <c r="H2209">
        <f>IF(DATOS!$G2209&lt;&gt;"EX",0,--(COUNTIFS(nNIA,DATOS!$A2209,nCURSO,DATOS!$D2209,nESPEC,DATOS!$E2209,nASIG,DATOS!$I2209,nEVAL,"OR")=0))</f>
      </c>
      <c r="I2209">
        <f>IF(DATOS!$I2209="","",IFERROR(VLOOKUP(DATOS!$I2209,CONFIG_ASIGNATURAS!$B$2:$J$91,9,FALSE()),""))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IF(DATOS!$A2210="",0,IF(CONFIG_METADATA!$B$4&lt;&gt;"OR+EX",--(DATOS!$G2210=CONFIG_METADATA!$B$4),IF(DATOS!$G2210="EX",1,IF(DATOS!$G2210="OR",--(COUNTIFS(nNIA,DATOS!$A2210,nCURSO,DATOS!$D2210,nESPEC,DATOS!$E2210,nASIG,DATOS!$I2210,nEVAL,"EX")=0),0))))</f>
      </c>
      <c r="H2210">
        <f>IF(DATOS!$G2210&lt;&gt;"EX",0,--(COUNTIFS(nNIA,DATOS!$A2210,nCURSO,DATOS!$D2210,nESPEC,DATOS!$E2210,nASIG,DATOS!$I2210,nEVAL,"OR")=0))</f>
      </c>
      <c r="I2210">
        <f>IF(DATOS!$I2210="","",IFERROR(VLOOKUP(DATOS!$I2210,CONFIG_ASIGNATURAS!$B$2:$J$91,9,FALSE()),""))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IF(DATOS!$A2211="",0,IF(CONFIG_METADATA!$B$4&lt;&gt;"OR+EX",--(DATOS!$G2211=CONFIG_METADATA!$B$4),IF(DATOS!$G2211="EX",1,IF(DATOS!$G2211="OR",--(COUNTIFS(nNIA,DATOS!$A2211,nCURSO,DATOS!$D2211,nESPEC,DATOS!$E2211,nASIG,DATOS!$I2211,nEVAL,"EX")=0),0))))</f>
      </c>
      <c r="H2211">
        <f>IF(DATOS!$G2211&lt;&gt;"EX",0,--(COUNTIFS(nNIA,DATOS!$A2211,nCURSO,DATOS!$D2211,nESPEC,DATOS!$E2211,nASIG,DATOS!$I2211,nEVAL,"OR")=0))</f>
      </c>
      <c r="I2211">
        <f>IF(DATOS!$I2211="","",IFERROR(VLOOKUP(DATOS!$I2211,CONFIG_ASIGNATURAS!$B$2:$J$91,9,FALSE()),""))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IF(DATOS!$A2212="",0,IF(CONFIG_METADATA!$B$4&lt;&gt;"OR+EX",--(DATOS!$G2212=CONFIG_METADATA!$B$4),IF(DATOS!$G2212="EX",1,IF(DATOS!$G2212="OR",--(COUNTIFS(nNIA,DATOS!$A2212,nCURSO,DATOS!$D2212,nESPEC,DATOS!$E2212,nASIG,DATOS!$I2212,nEVAL,"EX")=0),0))))</f>
      </c>
      <c r="H2212">
        <f>IF(DATOS!$G2212&lt;&gt;"EX",0,--(COUNTIFS(nNIA,DATOS!$A2212,nCURSO,DATOS!$D2212,nESPEC,DATOS!$E2212,nASIG,DATOS!$I2212,nEVAL,"OR")=0))</f>
      </c>
      <c r="I2212">
        <f>IF(DATOS!$I2212="","",IFERROR(VLOOKUP(DATOS!$I2212,CONFIG_ASIGNATURAS!$B$2:$J$91,9,FALSE()),""))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IF(DATOS!$A2213="",0,IF(CONFIG_METADATA!$B$4&lt;&gt;"OR+EX",--(DATOS!$G2213=CONFIG_METADATA!$B$4),IF(DATOS!$G2213="EX",1,IF(DATOS!$G2213="OR",--(COUNTIFS(nNIA,DATOS!$A2213,nCURSO,DATOS!$D2213,nESPEC,DATOS!$E2213,nASIG,DATOS!$I2213,nEVAL,"EX")=0),0))))</f>
      </c>
      <c r="H2213">
        <f>IF(DATOS!$G2213&lt;&gt;"EX",0,--(COUNTIFS(nNIA,DATOS!$A2213,nCURSO,DATOS!$D2213,nESPEC,DATOS!$E2213,nASIG,DATOS!$I2213,nEVAL,"OR")=0))</f>
      </c>
      <c r="I2213">
        <f>IF(DATOS!$I2213="","",IFERROR(VLOOKUP(DATOS!$I2213,CONFIG_ASIGNATURAS!$B$2:$J$91,9,FALSE()),""))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IF(DATOS!$A2214="",0,IF(CONFIG_METADATA!$B$4&lt;&gt;"OR+EX",--(DATOS!$G2214=CONFIG_METADATA!$B$4),IF(DATOS!$G2214="EX",1,IF(DATOS!$G2214="OR",--(COUNTIFS(nNIA,DATOS!$A2214,nCURSO,DATOS!$D2214,nESPEC,DATOS!$E2214,nASIG,DATOS!$I2214,nEVAL,"EX")=0),0))))</f>
      </c>
      <c r="H2214">
        <f>IF(DATOS!$G2214&lt;&gt;"EX",0,--(COUNTIFS(nNIA,DATOS!$A2214,nCURSO,DATOS!$D2214,nESPEC,DATOS!$E2214,nASIG,DATOS!$I2214,nEVAL,"OR")=0))</f>
      </c>
      <c r="I2214">
        <f>IF(DATOS!$I2214="","",IFERROR(VLOOKUP(DATOS!$I2214,CONFIG_ASIGNATURAS!$B$2:$J$91,9,FALSE()),""))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IF(DATOS!$A2215="",0,IF(CONFIG_METADATA!$B$4&lt;&gt;"OR+EX",--(DATOS!$G2215=CONFIG_METADATA!$B$4),IF(DATOS!$G2215="EX",1,IF(DATOS!$G2215="OR",--(COUNTIFS(nNIA,DATOS!$A2215,nCURSO,DATOS!$D2215,nESPEC,DATOS!$E2215,nASIG,DATOS!$I2215,nEVAL,"EX")=0),0))))</f>
      </c>
      <c r="H2215">
        <f>IF(DATOS!$G2215&lt;&gt;"EX",0,--(COUNTIFS(nNIA,DATOS!$A2215,nCURSO,DATOS!$D2215,nESPEC,DATOS!$E2215,nASIG,DATOS!$I2215,nEVAL,"OR")=0))</f>
      </c>
      <c r="I2215">
        <f>IF(DATOS!$I2215="","",IFERROR(VLOOKUP(DATOS!$I2215,CONFIG_ASIGNATURAS!$B$2:$J$91,9,FALSE()),""))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IF(DATOS!$A2216="",0,IF(CONFIG_METADATA!$B$4&lt;&gt;"OR+EX",--(DATOS!$G2216=CONFIG_METADATA!$B$4),IF(DATOS!$G2216="EX",1,IF(DATOS!$G2216="OR",--(COUNTIFS(nNIA,DATOS!$A2216,nCURSO,DATOS!$D2216,nESPEC,DATOS!$E2216,nASIG,DATOS!$I2216,nEVAL,"EX")=0),0))))</f>
      </c>
      <c r="H2216">
        <f>IF(DATOS!$G2216&lt;&gt;"EX",0,--(COUNTIFS(nNIA,DATOS!$A2216,nCURSO,DATOS!$D2216,nESPEC,DATOS!$E2216,nASIG,DATOS!$I2216,nEVAL,"OR")=0))</f>
      </c>
      <c r="I2216">
        <f>IF(DATOS!$I2216="","",IFERROR(VLOOKUP(DATOS!$I2216,CONFIG_ASIGNATURAS!$B$2:$J$91,9,FALSE()),""))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IF(DATOS!$A2217="",0,IF(CONFIG_METADATA!$B$4&lt;&gt;"OR+EX",--(DATOS!$G2217=CONFIG_METADATA!$B$4),IF(DATOS!$G2217="EX",1,IF(DATOS!$G2217="OR",--(COUNTIFS(nNIA,DATOS!$A2217,nCURSO,DATOS!$D2217,nESPEC,DATOS!$E2217,nASIG,DATOS!$I2217,nEVAL,"EX")=0),0))))</f>
      </c>
      <c r="H2217">
        <f>IF(DATOS!$G2217&lt;&gt;"EX",0,--(COUNTIFS(nNIA,DATOS!$A2217,nCURSO,DATOS!$D2217,nESPEC,DATOS!$E2217,nASIG,DATOS!$I2217,nEVAL,"OR")=0))</f>
      </c>
      <c r="I2217">
        <f>IF(DATOS!$I2217="","",IFERROR(VLOOKUP(DATOS!$I2217,CONFIG_ASIGNATURAS!$B$2:$J$91,9,FALSE()),""))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IF(DATOS!$A2218="",0,IF(CONFIG_METADATA!$B$4&lt;&gt;"OR+EX",--(DATOS!$G2218=CONFIG_METADATA!$B$4),IF(DATOS!$G2218="EX",1,IF(DATOS!$G2218="OR",--(COUNTIFS(nNIA,DATOS!$A2218,nCURSO,DATOS!$D2218,nESPEC,DATOS!$E2218,nASIG,DATOS!$I2218,nEVAL,"EX")=0),0))))</f>
      </c>
      <c r="H2218">
        <f>IF(DATOS!$G2218&lt;&gt;"EX",0,--(COUNTIFS(nNIA,DATOS!$A2218,nCURSO,DATOS!$D2218,nESPEC,DATOS!$E2218,nASIG,DATOS!$I2218,nEVAL,"OR")=0))</f>
      </c>
      <c r="I2218">
        <f>IF(DATOS!$I2218="","",IFERROR(VLOOKUP(DATOS!$I2218,CONFIG_ASIGNATURAS!$B$2:$J$91,9,FALSE()),""))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IF(DATOS!$A2219="",0,IF(CONFIG_METADATA!$B$4&lt;&gt;"OR+EX",--(DATOS!$G2219=CONFIG_METADATA!$B$4),IF(DATOS!$G2219="EX",1,IF(DATOS!$G2219="OR",--(COUNTIFS(nNIA,DATOS!$A2219,nCURSO,DATOS!$D2219,nESPEC,DATOS!$E2219,nASIG,DATOS!$I2219,nEVAL,"EX")=0),0))))</f>
      </c>
      <c r="H2219">
        <f>IF(DATOS!$G2219&lt;&gt;"EX",0,--(COUNTIFS(nNIA,DATOS!$A2219,nCURSO,DATOS!$D2219,nESPEC,DATOS!$E2219,nASIG,DATOS!$I2219,nEVAL,"OR")=0))</f>
      </c>
      <c r="I2219">
        <f>IF(DATOS!$I2219="","",IFERROR(VLOOKUP(DATOS!$I2219,CONFIG_ASIGNATURAS!$B$2:$J$91,9,FALSE()),""))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IF(DATOS!$A2220="",0,IF(CONFIG_METADATA!$B$4&lt;&gt;"OR+EX",--(DATOS!$G2220=CONFIG_METADATA!$B$4),IF(DATOS!$G2220="EX",1,IF(DATOS!$G2220="OR",--(COUNTIFS(nNIA,DATOS!$A2220,nCURSO,DATOS!$D2220,nESPEC,DATOS!$E2220,nASIG,DATOS!$I2220,nEVAL,"EX")=0),0))))</f>
      </c>
      <c r="H2220">
        <f>IF(DATOS!$G2220&lt;&gt;"EX",0,--(COUNTIFS(nNIA,DATOS!$A2220,nCURSO,DATOS!$D2220,nESPEC,DATOS!$E2220,nASIG,DATOS!$I2220,nEVAL,"OR")=0))</f>
      </c>
      <c r="I2220">
        <f>IF(DATOS!$I2220="","",IFERROR(VLOOKUP(DATOS!$I2220,CONFIG_ASIGNATURAS!$B$2:$J$91,9,FALSE()),""))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IF(DATOS!$A2221="",0,IF(CONFIG_METADATA!$B$4&lt;&gt;"OR+EX",--(DATOS!$G2221=CONFIG_METADATA!$B$4),IF(DATOS!$G2221="EX",1,IF(DATOS!$G2221="OR",--(COUNTIFS(nNIA,DATOS!$A2221,nCURSO,DATOS!$D2221,nESPEC,DATOS!$E2221,nASIG,DATOS!$I2221,nEVAL,"EX")=0),0))))</f>
      </c>
      <c r="H2221">
        <f>IF(DATOS!$G2221&lt;&gt;"EX",0,--(COUNTIFS(nNIA,DATOS!$A2221,nCURSO,DATOS!$D2221,nESPEC,DATOS!$E2221,nASIG,DATOS!$I2221,nEVAL,"OR")=0))</f>
      </c>
      <c r="I2221">
        <f>IF(DATOS!$I2221="","",IFERROR(VLOOKUP(DATOS!$I2221,CONFIG_ASIGNATURAS!$B$2:$J$91,9,FALSE()),""))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IF(DATOS!$A2222="",0,IF(CONFIG_METADATA!$B$4&lt;&gt;"OR+EX",--(DATOS!$G2222=CONFIG_METADATA!$B$4),IF(DATOS!$G2222="EX",1,IF(DATOS!$G2222="OR",--(COUNTIFS(nNIA,DATOS!$A2222,nCURSO,DATOS!$D2222,nESPEC,DATOS!$E2222,nASIG,DATOS!$I2222,nEVAL,"EX")=0),0))))</f>
      </c>
      <c r="H2222">
        <f>IF(DATOS!$G2222&lt;&gt;"EX",0,--(COUNTIFS(nNIA,DATOS!$A2222,nCURSO,DATOS!$D2222,nESPEC,DATOS!$E2222,nASIG,DATOS!$I2222,nEVAL,"OR")=0))</f>
      </c>
      <c r="I2222">
        <f>IF(DATOS!$I2222="","",IFERROR(VLOOKUP(DATOS!$I2222,CONFIG_ASIGNATURAS!$B$2:$J$91,9,FALSE()),""))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IF(DATOS!$A2223="",0,IF(CONFIG_METADATA!$B$4&lt;&gt;"OR+EX",--(DATOS!$G2223=CONFIG_METADATA!$B$4),IF(DATOS!$G2223="EX",1,IF(DATOS!$G2223="OR",--(COUNTIFS(nNIA,DATOS!$A2223,nCURSO,DATOS!$D2223,nESPEC,DATOS!$E2223,nASIG,DATOS!$I2223,nEVAL,"EX")=0),0))))</f>
      </c>
      <c r="H2223">
        <f>IF(DATOS!$G2223&lt;&gt;"EX",0,--(COUNTIFS(nNIA,DATOS!$A2223,nCURSO,DATOS!$D2223,nESPEC,DATOS!$E2223,nASIG,DATOS!$I2223,nEVAL,"OR")=0))</f>
      </c>
      <c r="I2223">
        <f>IF(DATOS!$I2223="","",IFERROR(VLOOKUP(DATOS!$I2223,CONFIG_ASIGNATURAS!$B$2:$J$91,9,FALSE()),""))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IF(DATOS!$A2224="",0,IF(CONFIG_METADATA!$B$4&lt;&gt;"OR+EX",--(DATOS!$G2224=CONFIG_METADATA!$B$4),IF(DATOS!$G2224="EX",1,IF(DATOS!$G2224="OR",--(COUNTIFS(nNIA,DATOS!$A2224,nCURSO,DATOS!$D2224,nESPEC,DATOS!$E2224,nASIG,DATOS!$I2224,nEVAL,"EX")=0),0))))</f>
      </c>
      <c r="H2224">
        <f>IF(DATOS!$G2224&lt;&gt;"EX",0,--(COUNTIFS(nNIA,DATOS!$A2224,nCURSO,DATOS!$D2224,nESPEC,DATOS!$E2224,nASIG,DATOS!$I2224,nEVAL,"OR")=0))</f>
      </c>
      <c r="I2224">
        <f>IF(DATOS!$I2224="","",IFERROR(VLOOKUP(DATOS!$I2224,CONFIG_ASIGNATURAS!$B$2:$J$91,9,FALSE()),""))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IF(DATOS!$A2225="",0,IF(CONFIG_METADATA!$B$4&lt;&gt;"OR+EX",--(DATOS!$G2225=CONFIG_METADATA!$B$4),IF(DATOS!$G2225="EX",1,IF(DATOS!$G2225="OR",--(COUNTIFS(nNIA,DATOS!$A2225,nCURSO,DATOS!$D2225,nESPEC,DATOS!$E2225,nASIG,DATOS!$I2225,nEVAL,"EX")=0),0))))</f>
      </c>
      <c r="H2225">
        <f>IF(DATOS!$G2225&lt;&gt;"EX",0,--(COUNTIFS(nNIA,DATOS!$A2225,nCURSO,DATOS!$D2225,nESPEC,DATOS!$E2225,nASIG,DATOS!$I2225,nEVAL,"OR")=0))</f>
      </c>
      <c r="I2225">
        <f>IF(DATOS!$I2225="","",IFERROR(VLOOKUP(DATOS!$I2225,CONFIG_ASIGNATURAS!$B$2:$J$91,9,FALSE()),""))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IF(DATOS!$A2226="",0,IF(CONFIG_METADATA!$B$4&lt;&gt;"OR+EX",--(DATOS!$G2226=CONFIG_METADATA!$B$4),IF(DATOS!$G2226="EX",1,IF(DATOS!$G2226="OR",--(COUNTIFS(nNIA,DATOS!$A2226,nCURSO,DATOS!$D2226,nESPEC,DATOS!$E2226,nASIG,DATOS!$I2226,nEVAL,"EX")=0),0))))</f>
      </c>
      <c r="H2226">
        <f>IF(DATOS!$G2226&lt;&gt;"EX",0,--(COUNTIFS(nNIA,DATOS!$A2226,nCURSO,DATOS!$D2226,nESPEC,DATOS!$E2226,nASIG,DATOS!$I2226,nEVAL,"OR")=0))</f>
      </c>
      <c r="I2226">
        <f>IF(DATOS!$I2226="","",IFERROR(VLOOKUP(DATOS!$I2226,CONFIG_ASIGNATURAS!$B$2:$J$91,9,FALSE()),""))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IF(DATOS!$A2227="",0,IF(CONFIG_METADATA!$B$4&lt;&gt;"OR+EX",--(DATOS!$G2227=CONFIG_METADATA!$B$4),IF(DATOS!$G2227="EX",1,IF(DATOS!$G2227="OR",--(COUNTIFS(nNIA,DATOS!$A2227,nCURSO,DATOS!$D2227,nESPEC,DATOS!$E2227,nASIG,DATOS!$I2227,nEVAL,"EX")=0),0))))</f>
      </c>
      <c r="H2227">
        <f>IF(DATOS!$G2227&lt;&gt;"EX",0,--(COUNTIFS(nNIA,DATOS!$A2227,nCURSO,DATOS!$D2227,nESPEC,DATOS!$E2227,nASIG,DATOS!$I2227,nEVAL,"OR")=0))</f>
      </c>
      <c r="I2227">
        <f>IF(DATOS!$I2227="","",IFERROR(VLOOKUP(DATOS!$I2227,CONFIG_ASIGNATURAS!$B$2:$J$91,9,FALSE()),""))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IF(DATOS!$A2228="",0,IF(CONFIG_METADATA!$B$4&lt;&gt;"OR+EX",--(DATOS!$G2228=CONFIG_METADATA!$B$4),IF(DATOS!$G2228="EX",1,IF(DATOS!$G2228="OR",--(COUNTIFS(nNIA,DATOS!$A2228,nCURSO,DATOS!$D2228,nESPEC,DATOS!$E2228,nASIG,DATOS!$I2228,nEVAL,"EX")=0),0))))</f>
      </c>
      <c r="H2228">
        <f>IF(DATOS!$G2228&lt;&gt;"EX",0,--(COUNTIFS(nNIA,DATOS!$A2228,nCURSO,DATOS!$D2228,nESPEC,DATOS!$E2228,nASIG,DATOS!$I2228,nEVAL,"OR")=0))</f>
      </c>
      <c r="I2228">
        <f>IF(DATOS!$I2228="","",IFERROR(VLOOKUP(DATOS!$I2228,CONFIG_ASIGNATURAS!$B$2:$J$91,9,FALSE()),""))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IF(DATOS!$A2229="",0,IF(CONFIG_METADATA!$B$4&lt;&gt;"OR+EX",--(DATOS!$G2229=CONFIG_METADATA!$B$4),IF(DATOS!$G2229="EX",1,IF(DATOS!$G2229="OR",--(COUNTIFS(nNIA,DATOS!$A2229,nCURSO,DATOS!$D2229,nESPEC,DATOS!$E2229,nASIG,DATOS!$I2229,nEVAL,"EX")=0),0))))</f>
      </c>
      <c r="H2229">
        <f>IF(DATOS!$G2229&lt;&gt;"EX",0,--(COUNTIFS(nNIA,DATOS!$A2229,nCURSO,DATOS!$D2229,nESPEC,DATOS!$E2229,nASIG,DATOS!$I2229,nEVAL,"OR")=0))</f>
      </c>
      <c r="I2229">
        <f>IF(DATOS!$I2229="","",IFERROR(VLOOKUP(DATOS!$I2229,CONFIG_ASIGNATURAS!$B$2:$J$91,9,FALSE()),""))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IF(DATOS!$A2230="",0,IF(CONFIG_METADATA!$B$4&lt;&gt;"OR+EX",--(DATOS!$G2230=CONFIG_METADATA!$B$4),IF(DATOS!$G2230="EX",1,IF(DATOS!$G2230="OR",--(COUNTIFS(nNIA,DATOS!$A2230,nCURSO,DATOS!$D2230,nESPEC,DATOS!$E2230,nASIG,DATOS!$I2230,nEVAL,"EX")=0),0))))</f>
      </c>
      <c r="H2230">
        <f>IF(DATOS!$G2230&lt;&gt;"EX",0,--(COUNTIFS(nNIA,DATOS!$A2230,nCURSO,DATOS!$D2230,nESPEC,DATOS!$E2230,nASIG,DATOS!$I2230,nEVAL,"OR")=0))</f>
      </c>
      <c r="I2230">
        <f>IF(DATOS!$I2230="","",IFERROR(VLOOKUP(DATOS!$I2230,CONFIG_ASIGNATURAS!$B$2:$J$91,9,FALSE()),""))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IF(DATOS!$A2231="",0,IF(CONFIG_METADATA!$B$4&lt;&gt;"OR+EX",--(DATOS!$G2231=CONFIG_METADATA!$B$4),IF(DATOS!$G2231="EX",1,IF(DATOS!$G2231="OR",--(COUNTIFS(nNIA,DATOS!$A2231,nCURSO,DATOS!$D2231,nESPEC,DATOS!$E2231,nASIG,DATOS!$I2231,nEVAL,"EX")=0),0))))</f>
      </c>
      <c r="H2231">
        <f>IF(DATOS!$G2231&lt;&gt;"EX",0,--(COUNTIFS(nNIA,DATOS!$A2231,nCURSO,DATOS!$D2231,nESPEC,DATOS!$E2231,nASIG,DATOS!$I2231,nEVAL,"OR")=0))</f>
      </c>
      <c r="I2231">
        <f>IF(DATOS!$I2231="","",IFERROR(VLOOKUP(DATOS!$I2231,CONFIG_ASIGNATURAS!$B$2:$J$91,9,FALSE()),""))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IF(DATOS!$A2232="",0,IF(CONFIG_METADATA!$B$4&lt;&gt;"OR+EX",--(DATOS!$G2232=CONFIG_METADATA!$B$4),IF(DATOS!$G2232="EX",1,IF(DATOS!$G2232="OR",--(COUNTIFS(nNIA,DATOS!$A2232,nCURSO,DATOS!$D2232,nESPEC,DATOS!$E2232,nASIG,DATOS!$I2232,nEVAL,"EX")=0),0))))</f>
      </c>
      <c r="H2232">
        <f>IF(DATOS!$G2232&lt;&gt;"EX",0,--(COUNTIFS(nNIA,DATOS!$A2232,nCURSO,DATOS!$D2232,nESPEC,DATOS!$E2232,nASIG,DATOS!$I2232,nEVAL,"OR")=0))</f>
      </c>
      <c r="I2232">
        <f>IF(DATOS!$I2232="","",IFERROR(VLOOKUP(DATOS!$I2232,CONFIG_ASIGNATURAS!$B$2:$J$91,9,FALSE()),""))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IF(DATOS!$A2233="",0,IF(CONFIG_METADATA!$B$4&lt;&gt;"OR+EX",--(DATOS!$G2233=CONFIG_METADATA!$B$4),IF(DATOS!$G2233="EX",1,IF(DATOS!$G2233="OR",--(COUNTIFS(nNIA,DATOS!$A2233,nCURSO,DATOS!$D2233,nESPEC,DATOS!$E2233,nASIG,DATOS!$I2233,nEVAL,"EX")=0),0))))</f>
      </c>
      <c r="H2233">
        <f>IF(DATOS!$G2233&lt;&gt;"EX",0,--(COUNTIFS(nNIA,DATOS!$A2233,nCURSO,DATOS!$D2233,nESPEC,DATOS!$E2233,nASIG,DATOS!$I2233,nEVAL,"OR")=0))</f>
      </c>
      <c r="I2233">
        <f>IF(DATOS!$I2233="","",IFERROR(VLOOKUP(DATOS!$I2233,CONFIG_ASIGNATURAS!$B$2:$J$91,9,FALSE()),""))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IF(DATOS!$A2234="",0,IF(CONFIG_METADATA!$B$4&lt;&gt;"OR+EX",--(DATOS!$G2234=CONFIG_METADATA!$B$4),IF(DATOS!$G2234="EX",1,IF(DATOS!$G2234="OR",--(COUNTIFS(nNIA,DATOS!$A2234,nCURSO,DATOS!$D2234,nESPEC,DATOS!$E2234,nASIG,DATOS!$I2234,nEVAL,"EX")=0),0))))</f>
      </c>
      <c r="H2234">
        <f>IF(DATOS!$G2234&lt;&gt;"EX",0,--(COUNTIFS(nNIA,DATOS!$A2234,nCURSO,DATOS!$D2234,nESPEC,DATOS!$E2234,nASIG,DATOS!$I2234,nEVAL,"OR")=0))</f>
      </c>
      <c r="I2234">
        <f>IF(DATOS!$I2234="","",IFERROR(VLOOKUP(DATOS!$I2234,CONFIG_ASIGNATURAS!$B$2:$J$91,9,FALSE()),""))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IF(DATOS!$A2235="",0,IF(CONFIG_METADATA!$B$4&lt;&gt;"OR+EX",--(DATOS!$G2235=CONFIG_METADATA!$B$4),IF(DATOS!$G2235="EX",1,IF(DATOS!$G2235="OR",--(COUNTIFS(nNIA,DATOS!$A2235,nCURSO,DATOS!$D2235,nESPEC,DATOS!$E2235,nASIG,DATOS!$I2235,nEVAL,"EX")=0),0))))</f>
      </c>
      <c r="H2235">
        <f>IF(DATOS!$G2235&lt;&gt;"EX",0,--(COUNTIFS(nNIA,DATOS!$A2235,nCURSO,DATOS!$D2235,nESPEC,DATOS!$E2235,nASIG,DATOS!$I2235,nEVAL,"OR")=0))</f>
      </c>
      <c r="I2235">
        <f>IF(DATOS!$I2235="","",IFERROR(VLOOKUP(DATOS!$I2235,CONFIG_ASIGNATURAS!$B$2:$J$91,9,FALSE()),""))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IF(DATOS!$A2236="",0,IF(CONFIG_METADATA!$B$4&lt;&gt;"OR+EX",--(DATOS!$G2236=CONFIG_METADATA!$B$4),IF(DATOS!$G2236="EX",1,IF(DATOS!$G2236="OR",--(COUNTIFS(nNIA,DATOS!$A2236,nCURSO,DATOS!$D2236,nESPEC,DATOS!$E2236,nASIG,DATOS!$I2236,nEVAL,"EX")=0),0))))</f>
      </c>
      <c r="H2236">
        <f>IF(DATOS!$G2236&lt;&gt;"EX",0,--(COUNTIFS(nNIA,DATOS!$A2236,nCURSO,DATOS!$D2236,nESPEC,DATOS!$E2236,nASIG,DATOS!$I2236,nEVAL,"OR")=0))</f>
      </c>
      <c r="I2236">
        <f>IF(DATOS!$I2236="","",IFERROR(VLOOKUP(DATOS!$I2236,CONFIG_ASIGNATURAS!$B$2:$J$91,9,FALSE()),""))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IF(DATOS!$A2237="",0,IF(CONFIG_METADATA!$B$4&lt;&gt;"OR+EX",--(DATOS!$G2237=CONFIG_METADATA!$B$4),IF(DATOS!$G2237="EX",1,IF(DATOS!$G2237="OR",--(COUNTIFS(nNIA,DATOS!$A2237,nCURSO,DATOS!$D2237,nESPEC,DATOS!$E2237,nASIG,DATOS!$I2237,nEVAL,"EX")=0),0))))</f>
      </c>
      <c r="H2237">
        <f>IF(DATOS!$G2237&lt;&gt;"EX",0,--(COUNTIFS(nNIA,DATOS!$A2237,nCURSO,DATOS!$D2237,nESPEC,DATOS!$E2237,nASIG,DATOS!$I2237,nEVAL,"OR")=0))</f>
      </c>
      <c r="I2237">
        <f>IF(DATOS!$I2237="","",IFERROR(VLOOKUP(DATOS!$I2237,CONFIG_ASIGNATURAS!$B$2:$J$91,9,FALSE()),""))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IF(DATOS!$A2238="",0,IF(CONFIG_METADATA!$B$4&lt;&gt;"OR+EX",--(DATOS!$G2238=CONFIG_METADATA!$B$4),IF(DATOS!$G2238="EX",1,IF(DATOS!$G2238="OR",--(COUNTIFS(nNIA,DATOS!$A2238,nCURSO,DATOS!$D2238,nESPEC,DATOS!$E2238,nASIG,DATOS!$I2238,nEVAL,"EX")=0),0))))</f>
      </c>
      <c r="H2238">
        <f>IF(DATOS!$G2238&lt;&gt;"EX",0,--(COUNTIFS(nNIA,DATOS!$A2238,nCURSO,DATOS!$D2238,nESPEC,DATOS!$E2238,nASIG,DATOS!$I2238,nEVAL,"OR")=0))</f>
      </c>
      <c r="I2238">
        <f>IF(DATOS!$I2238="","",IFERROR(VLOOKUP(DATOS!$I2238,CONFIG_ASIGNATURAS!$B$2:$J$91,9,FALSE()),""))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IF(DATOS!$A2239="",0,IF(CONFIG_METADATA!$B$4&lt;&gt;"OR+EX",--(DATOS!$G2239=CONFIG_METADATA!$B$4),IF(DATOS!$G2239="EX",1,IF(DATOS!$G2239="OR",--(COUNTIFS(nNIA,DATOS!$A2239,nCURSO,DATOS!$D2239,nESPEC,DATOS!$E2239,nASIG,DATOS!$I2239,nEVAL,"EX")=0),0))))</f>
      </c>
      <c r="H2239">
        <f>IF(DATOS!$G2239&lt;&gt;"EX",0,--(COUNTIFS(nNIA,DATOS!$A2239,nCURSO,DATOS!$D2239,nESPEC,DATOS!$E2239,nASIG,DATOS!$I2239,nEVAL,"OR")=0))</f>
      </c>
      <c r="I2239">
        <f>IF(DATOS!$I2239="","",IFERROR(VLOOKUP(DATOS!$I2239,CONFIG_ASIGNATURAS!$B$2:$J$91,9,FALSE()),""))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IF(DATOS!$A2240="",0,IF(CONFIG_METADATA!$B$4&lt;&gt;"OR+EX",--(DATOS!$G2240=CONFIG_METADATA!$B$4),IF(DATOS!$G2240="EX",1,IF(DATOS!$G2240="OR",--(COUNTIFS(nNIA,DATOS!$A2240,nCURSO,DATOS!$D2240,nESPEC,DATOS!$E2240,nASIG,DATOS!$I2240,nEVAL,"EX")=0),0))))</f>
      </c>
      <c r="H2240">
        <f>IF(DATOS!$G2240&lt;&gt;"EX",0,--(COUNTIFS(nNIA,DATOS!$A2240,nCURSO,DATOS!$D2240,nESPEC,DATOS!$E2240,nASIG,DATOS!$I2240,nEVAL,"OR")=0))</f>
      </c>
      <c r="I2240">
        <f>IF(DATOS!$I2240="","",IFERROR(VLOOKUP(DATOS!$I2240,CONFIG_ASIGNATURAS!$B$2:$J$91,9,FALSE()),""))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IF(DATOS!$A2241="",0,IF(CONFIG_METADATA!$B$4&lt;&gt;"OR+EX",--(DATOS!$G2241=CONFIG_METADATA!$B$4),IF(DATOS!$G2241="EX",1,IF(DATOS!$G2241="OR",--(COUNTIFS(nNIA,DATOS!$A2241,nCURSO,DATOS!$D2241,nESPEC,DATOS!$E2241,nASIG,DATOS!$I2241,nEVAL,"EX")=0),0))))</f>
      </c>
      <c r="H2241">
        <f>IF(DATOS!$G2241&lt;&gt;"EX",0,--(COUNTIFS(nNIA,DATOS!$A2241,nCURSO,DATOS!$D2241,nESPEC,DATOS!$E2241,nASIG,DATOS!$I2241,nEVAL,"OR")=0))</f>
      </c>
      <c r="I2241">
        <f>IF(DATOS!$I2241="","",IFERROR(VLOOKUP(DATOS!$I2241,CONFIG_ASIGNATURAS!$B$2:$J$91,9,FALSE()),""))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IF(DATOS!$A2242="",0,IF(CONFIG_METADATA!$B$4&lt;&gt;"OR+EX",--(DATOS!$G2242=CONFIG_METADATA!$B$4),IF(DATOS!$G2242="EX",1,IF(DATOS!$G2242="OR",--(COUNTIFS(nNIA,DATOS!$A2242,nCURSO,DATOS!$D2242,nESPEC,DATOS!$E2242,nASIG,DATOS!$I2242,nEVAL,"EX")=0),0))))</f>
      </c>
      <c r="H2242">
        <f>IF(DATOS!$G2242&lt;&gt;"EX",0,--(COUNTIFS(nNIA,DATOS!$A2242,nCURSO,DATOS!$D2242,nESPEC,DATOS!$E2242,nASIG,DATOS!$I2242,nEVAL,"OR")=0))</f>
      </c>
      <c r="I2242">
        <f>IF(DATOS!$I2242="","",IFERROR(VLOOKUP(DATOS!$I2242,CONFIG_ASIGNATURAS!$B$2:$J$91,9,FALSE()),""))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IF(DATOS!$A2243="",0,IF(CONFIG_METADATA!$B$4&lt;&gt;"OR+EX",--(DATOS!$G2243=CONFIG_METADATA!$B$4),IF(DATOS!$G2243="EX",1,IF(DATOS!$G2243="OR",--(COUNTIFS(nNIA,DATOS!$A2243,nCURSO,DATOS!$D2243,nESPEC,DATOS!$E2243,nASIG,DATOS!$I2243,nEVAL,"EX")=0),0))))</f>
      </c>
      <c r="H2243">
        <f>IF(DATOS!$G2243&lt;&gt;"EX",0,--(COUNTIFS(nNIA,DATOS!$A2243,nCURSO,DATOS!$D2243,nESPEC,DATOS!$E2243,nASIG,DATOS!$I2243,nEVAL,"OR")=0))</f>
      </c>
      <c r="I2243">
        <f>IF(DATOS!$I2243="","",IFERROR(VLOOKUP(DATOS!$I2243,CONFIG_ASIGNATURAS!$B$2:$J$91,9,FALSE()),""))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IF(DATOS!$A2244="",0,IF(CONFIG_METADATA!$B$4&lt;&gt;"OR+EX",--(DATOS!$G2244=CONFIG_METADATA!$B$4),IF(DATOS!$G2244="EX",1,IF(DATOS!$G2244="OR",--(COUNTIFS(nNIA,DATOS!$A2244,nCURSO,DATOS!$D2244,nESPEC,DATOS!$E2244,nASIG,DATOS!$I2244,nEVAL,"EX")=0),0))))</f>
      </c>
      <c r="H2244">
        <f>IF(DATOS!$G2244&lt;&gt;"EX",0,--(COUNTIFS(nNIA,DATOS!$A2244,nCURSO,DATOS!$D2244,nESPEC,DATOS!$E2244,nASIG,DATOS!$I2244,nEVAL,"OR")=0))</f>
      </c>
      <c r="I2244">
        <f>IF(DATOS!$I2244="","",IFERROR(VLOOKUP(DATOS!$I2244,CONFIG_ASIGNATURAS!$B$2:$J$91,9,FALSE()),""))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IF(DATOS!$A2245="",0,IF(CONFIG_METADATA!$B$4&lt;&gt;"OR+EX",--(DATOS!$G2245=CONFIG_METADATA!$B$4),IF(DATOS!$G2245="EX",1,IF(DATOS!$G2245="OR",--(COUNTIFS(nNIA,DATOS!$A2245,nCURSO,DATOS!$D2245,nESPEC,DATOS!$E2245,nASIG,DATOS!$I2245,nEVAL,"EX")=0),0))))</f>
      </c>
      <c r="H2245">
        <f>IF(DATOS!$G2245&lt;&gt;"EX",0,--(COUNTIFS(nNIA,DATOS!$A2245,nCURSO,DATOS!$D2245,nESPEC,DATOS!$E2245,nASIG,DATOS!$I2245,nEVAL,"OR")=0))</f>
      </c>
      <c r="I2245">
        <f>IF(DATOS!$I2245="","",IFERROR(VLOOKUP(DATOS!$I2245,CONFIG_ASIGNATURAS!$B$2:$J$91,9,FALSE()),""))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IF(DATOS!$A2246="",0,IF(CONFIG_METADATA!$B$4&lt;&gt;"OR+EX",--(DATOS!$G2246=CONFIG_METADATA!$B$4),IF(DATOS!$G2246="EX",1,IF(DATOS!$G2246="OR",--(COUNTIFS(nNIA,DATOS!$A2246,nCURSO,DATOS!$D2246,nESPEC,DATOS!$E2246,nASIG,DATOS!$I2246,nEVAL,"EX")=0),0))))</f>
      </c>
      <c r="H2246">
        <f>IF(DATOS!$G2246&lt;&gt;"EX",0,--(COUNTIFS(nNIA,DATOS!$A2246,nCURSO,DATOS!$D2246,nESPEC,DATOS!$E2246,nASIG,DATOS!$I2246,nEVAL,"OR")=0))</f>
      </c>
      <c r="I2246">
        <f>IF(DATOS!$I2246="","",IFERROR(VLOOKUP(DATOS!$I2246,CONFIG_ASIGNATURAS!$B$2:$J$91,9,FALSE()),""))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IF(DATOS!$A2247="",0,IF(CONFIG_METADATA!$B$4&lt;&gt;"OR+EX",--(DATOS!$G2247=CONFIG_METADATA!$B$4),IF(DATOS!$G2247="EX",1,IF(DATOS!$G2247="OR",--(COUNTIFS(nNIA,DATOS!$A2247,nCURSO,DATOS!$D2247,nESPEC,DATOS!$E2247,nASIG,DATOS!$I2247,nEVAL,"EX")=0),0))))</f>
      </c>
      <c r="H2247">
        <f>IF(DATOS!$G2247&lt;&gt;"EX",0,--(COUNTIFS(nNIA,DATOS!$A2247,nCURSO,DATOS!$D2247,nESPEC,DATOS!$E2247,nASIG,DATOS!$I2247,nEVAL,"OR")=0))</f>
      </c>
      <c r="I2247">
        <f>IF(DATOS!$I2247="","",IFERROR(VLOOKUP(DATOS!$I2247,CONFIG_ASIGNATURAS!$B$2:$J$91,9,FALSE()),""))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IF(DATOS!$A2248="",0,IF(CONFIG_METADATA!$B$4&lt;&gt;"OR+EX",--(DATOS!$G2248=CONFIG_METADATA!$B$4),IF(DATOS!$G2248="EX",1,IF(DATOS!$G2248="OR",--(COUNTIFS(nNIA,DATOS!$A2248,nCURSO,DATOS!$D2248,nESPEC,DATOS!$E2248,nASIG,DATOS!$I2248,nEVAL,"EX")=0),0))))</f>
      </c>
      <c r="H2248">
        <f>IF(DATOS!$G2248&lt;&gt;"EX",0,--(COUNTIFS(nNIA,DATOS!$A2248,nCURSO,DATOS!$D2248,nESPEC,DATOS!$E2248,nASIG,DATOS!$I2248,nEVAL,"OR")=0))</f>
      </c>
      <c r="I2248">
        <f>IF(DATOS!$I2248="","",IFERROR(VLOOKUP(DATOS!$I2248,CONFIG_ASIGNATURAS!$B$2:$J$91,9,FALSE()),""))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IF(DATOS!$A2249="",0,IF(CONFIG_METADATA!$B$4&lt;&gt;"OR+EX",--(DATOS!$G2249=CONFIG_METADATA!$B$4),IF(DATOS!$G2249="EX",1,IF(DATOS!$G2249="OR",--(COUNTIFS(nNIA,DATOS!$A2249,nCURSO,DATOS!$D2249,nESPEC,DATOS!$E2249,nASIG,DATOS!$I2249,nEVAL,"EX")=0),0))))</f>
      </c>
      <c r="H2249">
        <f>IF(DATOS!$G2249&lt;&gt;"EX",0,--(COUNTIFS(nNIA,DATOS!$A2249,nCURSO,DATOS!$D2249,nESPEC,DATOS!$E2249,nASIG,DATOS!$I2249,nEVAL,"OR")=0))</f>
      </c>
      <c r="I2249">
        <f>IF(DATOS!$I2249="","",IFERROR(VLOOKUP(DATOS!$I2249,CONFIG_ASIGNATURAS!$B$2:$J$91,9,FALSE()),""))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IF(DATOS!$A2250="",0,IF(CONFIG_METADATA!$B$4&lt;&gt;"OR+EX",--(DATOS!$G2250=CONFIG_METADATA!$B$4),IF(DATOS!$G2250="EX",1,IF(DATOS!$G2250="OR",--(COUNTIFS(nNIA,DATOS!$A2250,nCURSO,DATOS!$D2250,nESPEC,DATOS!$E2250,nASIG,DATOS!$I2250,nEVAL,"EX")=0),0))))</f>
      </c>
      <c r="H2250">
        <f>IF(DATOS!$G2250&lt;&gt;"EX",0,--(COUNTIFS(nNIA,DATOS!$A2250,nCURSO,DATOS!$D2250,nESPEC,DATOS!$E2250,nASIG,DATOS!$I2250,nEVAL,"OR")=0))</f>
      </c>
      <c r="I2250">
        <f>IF(DATOS!$I2250="","",IFERROR(VLOOKUP(DATOS!$I2250,CONFIG_ASIGNATURAS!$B$2:$J$91,9,FALSE()),""))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IF(DATOS!$A2251="",0,IF(CONFIG_METADATA!$B$4&lt;&gt;"OR+EX",--(DATOS!$G2251=CONFIG_METADATA!$B$4),IF(DATOS!$G2251="EX",1,IF(DATOS!$G2251="OR",--(COUNTIFS(nNIA,DATOS!$A2251,nCURSO,DATOS!$D2251,nESPEC,DATOS!$E2251,nASIG,DATOS!$I2251,nEVAL,"EX")=0),0))))</f>
      </c>
      <c r="H2251">
        <f>IF(DATOS!$G2251&lt;&gt;"EX",0,--(COUNTIFS(nNIA,DATOS!$A2251,nCURSO,DATOS!$D2251,nESPEC,DATOS!$E2251,nASIG,DATOS!$I2251,nEVAL,"OR")=0))</f>
      </c>
      <c r="I2251">
        <f>IF(DATOS!$I2251="","",IFERROR(VLOOKUP(DATOS!$I2251,CONFIG_ASIGNATURAS!$B$2:$J$91,9,FALSE()),""))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IF(DATOS!$A2252="",0,IF(CONFIG_METADATA!$B$4&lt;&gt;"OR+EX",--(DATOS!$G2252=CONFIG_METADATA!$B$4),IF(DATOS!$G2252="EX",1,IF(DATOS!$G2252="OR",--(COUNTIFS(nNIA,DATOS!$A2252,nCURSO,DATOS!$D2252,nESPEC,DATOS!$E2252,nASIG,DATOS!$I2252,nEVAL,"EX")=0),0))))</f>
      </c>
      <c r="H2252">
        <f>IF(DATOS!$G2252&lt;&gt;"EX",0,--(COUNTIFS(nNIA,DATOS!$A2252,nCURSO,DATOS!$D2252,nESPEC,DATOS!$E2252,nASIG,DATOS!$I2252,nEVAL,"OR")=0))</f>
      </c>
      <c r="I2252">
        <f>IF(DATOS!$I2252="","",IFERROR(VLOOKUP(DATOS!$I2252,CONFIG_ASIGNATURAS!$B$2:$J$91,9,FALSE()),""))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IF(DATOS!$A2253="",0,IF(CONFIG_METADATA!$B$4&lt;&gt;"OR+EX",--(DATOS!$G2253=CONFIG_METADATA!$B$4),IF(DATOS!$G2253="EX",1,IF(DATOS!$G2253="OR",--(COUNTIFS(nNIA,DATOS!$A2253,nCURSO,DATOS!$D2253,nESPEC,DATOS!$E2253,nASIG,DATOS!$I2253,nEVAL,"EX")=0),0))))</f>
      </c>
      <c r="H2253">
        <f>IF(DATOS!$G2253&lt;&gt;"EX",0,--(COUNTIFS(nNIA,DATOS!$A2253,nCURSO,DATOS!$D2253,nESPEC,DATOS!$E2253,nASIG,DATOS!$I2253,nEVAL,"OR")=0))</f>
      </c>
      <c r="I2253">
        <f>IF(DATOS!$I2253="","",IFERROR(VLOOKUP(DATOS!$I2253,CONFIG_ASIGNATURAS!$B$2:$J$91,9,FALSE()),""))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IF(DATOS!$A2254="",0,IF(CONFIG_METADATA!$B$4&lt;&gt;"OR+EX",--(DATOS!$G2254=CONFIG_METADATA!$B$4),IF(DATOS!$G2254="EX",1,IF(DATOS!$G2254="OR",--(COUNTIFS(nNIA,DATOS!$A2254,nCURSO,DATOS!$D2254,nESPEC,DATOS!$E2254,nASIG,DATOS!$I2254,nEVAL,"EX")=0),0))))</f>
      </c>
      <c r="H2254">
        <f>IF(DATOS!$G2254&lt;&gt;"EX",0,--(COUNTIFS(nNIA,DATOS!$A2254,nCURSO,DATOS!$D2254,nESPEC,DATOS!$E2254,nASIG,DATOS!$I2254,nEVAL,"OR")=0))</f>
      </c>
      <c r="I2254">
        <f>IF(DATOS!$I2254="","",IFERROR(VLOOKUP(DATOS!$I2254,CONFIG_ASIGNATURAS!$B$2:$J$91,9,FALSE()),""))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IF(DATOS!$A2255="",0,IF(CONFIG_METADATA!$B$4&lt;&gt;"OR+EX",--(DATOS!$G2255=CONFIG_METADATA!$B$4),IF(DATOS!$G2255="EX",1,IF(DATOS!$G2255="OR",--(COUNTIFS(nNIA,DATOS!$A2255,nCURSO,DATOS!$D2255,nESPEC,DATOS!$E2255,nASIG,DATOS!$I2255,nEVAL,"EX")=0),0))))</f>
      </c>
      <c r="H2255">
        <f>IF(DATOS!$G2255&lt;&gt;"EX",0,--(COUNTIFS(nNIA,DATOS!$A2255,nCURSO,DATOS!$D2255,nESPEC,DATOS!$E2255,nASIG,DATOS!$I2255,nEVAL,"OR")=0))</f>
      </c>
      <c r="I2255">
        <f>IF(DATOS!$I2255="","",IFERROR(VLOOKUP(DATOS!$I2255,CONFIG_ASIGNATURAS!$B$2:$J$91,9,FALSE()),""))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IF(DATOS!$A2256="",0,IF(CONFIG_METADATA!$B$4&lt;&gt;"OR+EX",--(DATOS!$G2256=CONFIG_METADATA!$B$4),IF(DATOS!$G2256="EX",1,IF(DATOS!$G2256="OR",--(COUNTIFS(nNIA,DATOS!$A2256,nCURSO,DATOS!$D2256,nESPEC,DATOS!$E2256,nASIG,DATOS!$I2256,nEVAL,"EX")=0),0))))</f>
      </c>
      <c r="H2256">
        <f>IF(DATOS!$G2256&lt;&gt;"EX",0,--(COUNTIFS(nNIA,DATOS!$A2256,nCURSO,DATOS!$D2256,nESPEC,DATOS!$E2256,nASIG,DATOS!$I2256,nEVAL,"OR")=0))</f>
      </c>
      <c r="I2256">
        <f>IF(DATOS!$I2256="","",IFERROR(VLOOKUP(DATOS!$I2256,CONFIG_ASIGNATURAS!$B$2:$J$91,9,FALSE()),""))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IF(DATOS!$A2257="",0,IF(CONFIG_METADATA!$B$4&lt;&gt;"OR+EX",--(DATOS!$G2257=CONFIG_METADATA!$B$4),IF(DATOS!$G2257="EX",1,IF(DATOS!$G2257="OR",--(COUNTIFS(nNIA,DATOS!$A2257,nCURSO,DATOS!$D2257,nESPEC,DATOS!$E2257,nASIG,DATOS!$I2257,nEVAL,"EX")=0),0))))</f>
      </c>
      <c r="H2257">
        <f>IF(DATOS!$G2257&lt;&gt;"EX",0,--(COUNTIFS(nNIA,DATOS!$A2257,nCURSO,DATOS!$D2257,nESPEC,DATOS!$E2257,nASIG,DATOS!$I2257,nEVAL,"OR")=0))</f>
      </c>
      <c r="I2257">
        <f>IF(DATOS!$I2257="","",IFERROR(VLOOKUP(DATOS!$I2257,CONFIG_ASIGNATURAS!$B$2:$J$91,9,FALSE()),""))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IF(DATOS!$A2258="",0,IF(CONFIG_METADATA!$B$4&lt;&gt;"OR+EX",--(DATOS!$G2258=CONFIG_METADATA!$B$4),IF(DATOS!$G2258="EX",1,IF(DATOS!$G2258="OR",--(COUNTIFS(nNIA,DATOS!$A2258,nCURSO,DATOS!$D2258,nESPEC,DATOS!$E2258,nASIG,DATOS!$I2258,nEVAL,"EX")=0),0))))</f>
      </c>
      <c r="H2258">
        <f>IF(DATOS!$G2258&lt;&gt;"EX",0,--(COUNTIFS(nNIA,DATOS!$A2258,nCURSO,DATOS!$D2258,nESPEC,DATOS!$E2258,nASIG,DATOS!$I2258,nEVAL,"OR")=0))</f>
      </c>
      <c r="I2258">
        <f>IF(DATOS!$I2258="","",IFERROR(VLOOKUP(DATOS!$I2258,CONFIG_ASIGNATURAS!$B$2:$J$91,9,FALSE()),""))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IF(DATOS!$A2259="",0,IF(CONFIG_METADATA!$B$4&lt;&gt;"OR+EX",--(DATOS!$G2259=CONFIG_METADATA!$B$4),IF(DATOS!$G2259="EX",1,IF(DATOS!$G2259="OR",--(COUNTIFS(nNIA,DATOS!$A2259,nCURSO,DATOS!$D2259,nESPEC,DATOS!$E2259,nASIG,DATOS!$I2259,nEVAL,"EX")=0),0))))</f>
      </c>
      <c r="H2259">
        <f>IF(DATOS!$G2259&lt;&gt;"EX",0,--(COUNTIFS(nNIA,DATOS!$A2259,nCURSO,DATOS!$D2259,nESPEC,DATOS!$E2259,nASIG,DATOS!$I2259,nEVAL,"OR")=0))</f>
      </c>
      <c r="I2259">
        <f>IF(DATOS!$I2259="","",IFERROR(VLOOKUP(DATOS!$I2259,CONFIG_ASIGNATURAS!$B$2:$J$91,9,FALSE()),""))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IF(DATOS!$A2260="",0,IF(CONFIG_METADATA!$B$4&lt;&gt;"OR+EX",--(DATOS!$G2260=CONFIG_METADATA!$B$4),IF(DATOS!$G2260="EX",1,IF(DATOS!$G2260="OR",--(COUNTIFS(nNIA,DATOS!$A2260,nCURSO,DATOS!$D2260,nESPEC,DATOS!$E2260,nASIG,DATOS!$I2260,nEVAL,"EX")=0),0))))</f>
      </c>
      <c r="H2260">
        <f>IF(DATOS!$G2260&lt;&gt;"EX",0,--(COUNTIFS(nNIA,DATOS!$A2260,nCURSO,DATOS!$D2260,nESPEC,DATOS!$E2260,nASIG,DATOS!$I2260,nEVAL,"OR")=0))</f>
      </c>
      <c r="I2260">
        <f>IF(DATOS!$I2260="","",IFERROR(VLOOKUP(DATOS!$I2260,CONFIG_ASIGNATURAS!$B$2:$J$91,9,FALSE()),""))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IF(DATOS!$A2261="",0,IF(CONFIG_METADATA!$B$4&lt;&gt;"OR+EX",--(DATOS!$G2261=CONFIG_METADATA!$B$4),IF(DATOS!$G2261="EX",1,IF(DATOS!$G2261="OR",--(COUNTIFS(nNIA,DATOS!$A2261,nCURSO,DATOS!$D2261,nESPEC,DATOS!$E2261,nASIG,DATOS!$I2261,nEVAL,"EX")=0),0))))</f>
      </c>
      <c r="H2261">
        <f>IF(DATOS!$G2261&lt;&gt;"EX",0,--(COUNTIFS(nNIA,DATOS!$A2261,nCURSO,DATOS!$D2261,nESPEC,DATOS!$E2261,nASIG,DATOS!$I2261,nEVAL,"OR")=0))</f>
      </c>
      <c r="I2261">
        <f>IF(DATOS!$I2261="","",IFERROR(VLOOKUP(DATOS!$I2261,CONFIG_ASIGNATURAS!$B$2:$J$91,9,FALSE()),""))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IF(DATOS!$A2262="",0,IF(CONFIG_METADATA!$B$4&lt;&gt;"OR+EX",--(DATOS!$G2262=CONFIG_METADATA!$B$4),IF(DATOS!$G2262="EX",1,IF(DATOS!$G2262="OR",--(COUNTIFS(nNIA,DATOS!$A2262,nCURSO,DATOS!$D2262,nESPEC,DATOS!$E2262,nASIG,DATOS!$I2262,nEVAL,"EX")=0),0))))</f>
      </c>
      <c r="H2262">
        <f>IF(DATOS!$G2262&lt;&gt;"EX",0,--(COUNTIFS(nNIA,DATOS!$A2262,nCURSO,DATOS!$D2262,nESPEC,DATOS!$E2262,nASIG,DATOS!$I2262,nEVAL,"OR")=0))</f>
      </c>
      <c r="I2262">
        <f>IF(DATOS!$I2262="","",IFERROR(VLOOKUP(DATOS!$I2262,CONFIG_ASIGNATURAS!$B$2:$J$91,9,FALSE()),""))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IF(DATOS!$A2263="",0,IF(CONFIG_METADATA!$B$4&lt;&gt;"OR+EX",--(DATOS!$G2263=CONFIG_METADATA!$B$4),IF(DATOS!$G2263="EX",1,IF(DATOS!$G2263="OR",--(COUNTIFS(nNIA,DATOS!$A2263,nCURSO,DATOS!$D2263,nESPEC,DATOS!$E2263,nASIG,DATOS!$I2263,nEVAL,"EX")=0),0))))</f>
      </c>
      <c r="H2263">
        <f>IF(DATOS!$G2263&lt;&gt;"EX",0,--(COUNTIFS(nNIA,DATOS!$A2263,nCURSO,DATOS!$D2263,nESPEC,DATOS!$E2263,nASIG,DATOS!$I2263,nEVAL,"OR")=0))</f>
      </c>
      <c r="I2263">
        <f>IF(DATOS!$I2263="","",IFERROR(VLOOKUP(DATOS!$I2263,CONFIG_ASIGNATURAS!$B$2:$J$91,9,FALSE()),""))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IF(DATOS!$A2264="",0,IF(CONFIG_METADATA!$B$4&lt;&gt;"OR+EX",--(DATOS!$G2264=CONFIG_METADATA!$B$4),IF(DATOS!$G2264="EX",1,IF(DATOS!$G2264="OR",--(COUNTIFS(nNIA,DATOS!$A2264,nCURSO,DATOS!$D2264,nESPEC,DATOS!$E2264,nASIG,DATOS!$I2264,nEVAL,"EX")=0),0))))</f>
      </c>
      <c r="H2264">
        <f>IF(DATOS!$G2264&lt;&gt;"EX",0,--(COUNTIFS(nNIA,DATOS!$A2264,nCURSO,DATOS!$D2264,nESPEC,DATOS!$E2264,nASIG,DATOS!$I2264,nEVAL,"OR")=0))</f>
      </c>
      <c r="I2264">
        <f>IF(DATOS!$I2264="","",IFERROR(VLOOKUP(DATOS!$I2264,CONFIG_ASIGNATURAS!$B$2:$J$91,9,FALSE()),""))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IF(DATOS!$A2265="",0,IF(CONFIG_METADATA!$B$4&lt;&gt;"OR+EX",--(DATOS!$G2265=CONFIG_METADATA!$B$4),IF(DATOS!$G2265="EX",1,IF(DATOS!$G2265="OR",--(COUNTIFS(nNIA,DATOS!$A2265,nCURSO,DATOS!$D2265,nESPEC,DATOS!$E2265,nASIG,DATOS!$I2265,nEVAL,"EX")=0),0))))</f>
      </c>
      <c r="H2265">
        <f>IF(DATOS!$G2265&lt;&gt;"EX",0,--(COUNTIFS(nNIA,DATOS!$A2265,nCURSO,DATOS!$D2265,nESPEC,DATOS!$E2265,nASIG,DATOS!$I2265,nEVAL,"OR")=0))</f>
      </c>
      <c r="I2265">
        <f>IF(DATOS!$I2265="","",IFERROR(VLOOKUP(DATOS!$I2265,CONFIG_ASIGNATURAS!$B$2:$J$91,9,FALSE()),""))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IF(DATOS!$A2266="",0,IF(CONFIG_METADATA!$B$4&lt;&gt;"OR+EX",--(DATOS!$G2266=CONFIG_METADATA!$B$4),IF(DATOS!$G2266="EX",1,IF(DATOS!$G2266="OR",--(COUNTIFS(nNIA,DATOS!$A2266,nCURSO,DATOS!$D2266,nESPEC,DATOS!$E2266,nASIG,DATOS!$I2266,nEVAL,"EX")=0),0))))</f>
      </c>
      <c r="H2266">
        <f>IF(DATOS!$G2266&lt;&gt;"EX",0,--(COUNTIFS(nNIA,DATOS!$A2266,nCURSO,DATOS!$D2266,nESPEC,DATOS!$E2266,nASIG,DATOS!$I2266,nEVAL,"OR")=0))</f>
      </c>
      <c r="I2266">
        <f>IF(DATOS!$I2266="","",IFERROR(VLOOKUP(DATOS!$I2266,CONFIG_ASIGNATURAS!$B$2:$J$91,9,FALSE()),""))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IF(DATOS!$A2267="",0,IF(CONFIG_METADATA!$B$4&lt;&gt;"OR+EX",--(DATOS!$G2267=CONFIG_METADATA!$B$4),IF(DATOS!$G2267="EX",1,IF(DATOS!$G2267="OR",--(COUNTIFS(nNIA,DATOS!$A2267,nCURSO,DATOS!$D2267,nESPEC,DATOS!$E2267,nASIG,DATOS!$I2267,nEVAL,"EX")=0),0))))</f>
      </c>
      <c r="H2267">
        <f>IF(DATOS!$G2267&lt;&gt;"EX",0,--(COUNTIFS(nNIA,DATOS!$A2267,nCURSO,DATOS!$D2267,nESPEC,DATOS!$E2267,nASIG,DATOS!$I2267,nEVAL,"OR")=0))</f>
      </c>
      <c r="I2267">
        <f>IF(DATOS!$I2267="","",IFERROR(VLOOKUP(DATOS!$I2267,CONFIG_ASIGNATURAS!$B$2:$J$91,9,FALSE()),""))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IF(DATOS!$A2268="",0,IF(CONFIG_METADATA!$B$4&lt;&gt;"OR+EX",--(DATOS!$G2268=CONFIG_METADATA!$B$4),IF(DATOS!$G2268="EX",1,IF(DATOS!$G2268="OR",--(COUNTIFS(nNIA,DATOS!$A2268,nCURSO,DATOS!$D2268,nESPEC,DATOS!$E2268,nASIG,DATOS!$I2268,nEVAL,"EX")=0),0))))</f>
      </c>
      <c r="H2268">
        <f>IF(DATOS!$G2268&lt;&gt;"EX",0,--(COUNTIFS(nNIA,DATOS!$A2268,nCURSO,DATOS!$D2268,nESPEC,DATOS!$E2268,nASIG,DATOS!$I2268,nEVAL,"OR")=0))</f>
      </c>
      <c r="I2268">
        <f>IF(DATOS!$I2268="","",IFERROR(VLOOKUP(DATOS!$I2268,CONFIG_ASIGNATURAS!$B$2:$J$91,9,FALSE()),""))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IF(DATOS!$A2269="",0,IF(CONFIG_METADATA!$B$4&lt;&gt;"OR+EX",--(DATOS!$G2269=CONFIG_METADATA!$B$4),IF(DATOS!$G2269="EX",1,IF(DATOS!$G2269="OR",--(COUNTIFS(nNIA,DATOS!$A2269,nCURSO,DATOS!$D2269,nESPEC,DATOS!$E2269,nASIG,DATOS!$I2269,nEVAL,"EX")=0),0))))</f>
      </c>
      <c r="H2269">
        <f>IF(DATOS!$G2269&lt;&gt;"EX",0,--(COUNTIFS(nNIA,DATOS!$A2269,nCURSO,DATOS!$D2269,nESPEC,DATOS!$E2269,nASIG,DATOS!$I2269,nEVAL,"OR")=0))</f>
      </c>
      <c r="I2269">
        <f>IF(DATOS!$I2269="","",IFERROR(VLOOKUP(DATOS!$I2269,CONFIG_ASIGNATURAS!$B$2:$J$91,9,FALSE()),""))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IF(DATOS!$A2270="",0,IF(CONFIG_METADATA!$B$4&lt;&gt;"OR+EX",--(DATOS!$G2270=CONFIG_METADATA!$B$4),IF(DATOS!$G2270="EX",1,IF(DATOS!$G2270="OR",--(COUNTIFS(nNIA,DATOS!$A2270,nCURSO,DATOS!$D2270,nESPEC,DATOS!$E2270,nASIG,DATOS!$I2270,nEVAL,"EX")=0),0))))</f>
      </c>
      <c r="H2270">
        <f>IF(DATOS!$G2270&lt;&gt;"EX",0,--(COUNTIFS(nNIA,DATOS!$A2270,nCURSO,DATOS!$D2270,nESPEC,DATOS!$E2270,nASIG,DATOS!$I2270,nEVAL,"OR")=0))</f>
      </c>
      <c r="I2270">
        <f>IF(DATOS!$I2270="","",IFERROR(VLOOKUP(DATOS!$I2270,CONFIG_ASIGNATURAS!$B$2:$J$91,9,FALSE()),""))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IF(DATOS!$A2271="",0,IF(CONFIG_METADATA!$B$4&lt;&gt;"OR+EX",--(DATOS!$G2271=CONFIG_METADATA!$B$4),IF(DATOS!$G2271="EX",1,IF(DATOS!$G2271="OR",--(COUNTIFS(nNIA,DATOS!$A2271,nCURSO,DATOS!$D2271,nESPEC,DATOS!$E2271,nASIG,DATOS!$I2271,nEVAL,"EX")=0),0))))</f>
      </c>
      <c r="H2271">
        <f>IF(DATOS!$G2271&lt;&gt;"EX",0,--(COUNTIFS(nNIA,DATOS!$A2271,nCURSO,DATOS!$D2271,nESPEC,DATOS!$E2271,nASIG,DATOS!$I2271,nEVAL,"OR")=0))</f>
      </c>
      <c r="I2271">
        <f>IF(DATOS!$I2271="","",IFERROR(VLOOKUP(DATOS!$I2271,CONFIG_ASIGNATURAS!$B$2:$J$91,9,FALSE()),""))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IF(DATOS!$A2272="",0,IF(CONFIG_METADATA!$B$4&lt;&gt;"OR+EX",--(DATOS!$G2272=CONFIG_METADATA!$B$4),IF(DATOS!$G2272="EX",1,IF(DATOS!$G2272="OR",--(COUNTIFS(nNIA,DATOS!$A2272,nCURSO,DATOS!$D2272,nESPEC,DATOS!$E2272,nASIG,DATOS!$I2272,nEVAL,"EX")=0),0))))</f>
      </c>
      <c r="H2272">
        <f>IF(DATOS!$G2272&lt;&gt;"EX",0,--(COUNTIFS(nNIA,DATOS!$A2272,nCURSO,DATOS!$D2272,nESPEC,DATOS!$E2272,nASIG,DATOS!$I2272,nEVAL,"OR")=0))</f>
      </c>
      <c r="I2272">
        <f>IF(DATOS!$I2272="","",IFERROR(VLOOKUP(DATOS!$I2272,CONFIG_ASIGNATURAS!$B$2:$J$91,9,FALSE()),""))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IF(DATOS!$A2273="",0,IF(CONFIG_METADATA!$B$4&lt;&gt;"OR+EX",--(DATOS!$G2273=CONFIG_METADATA!$B$4),IF(DATOS!$G2273="EX",1,IF(DATOS!$G2273="OR",--(COUNTIFS(nNIA,DATOS!$A2273,nCURSO,DATOS!$D2273,nESPEC,DATOS!$E2273,nASIG,DATOS!$I2273,nEVAL,"EX")=0),0))))</f>
      </c>
      <c r="H2273">
        <f>IF(DATOS!$G2273&lt;&gt;"EX",0,--(COUNTIFS(nNIA,DATOS!$A2273,nCURSO,DATOS!$D2273,nESPEC,DATOS!$E2273,nASIG,DATOS!$I2273,nEVAL,"OR")=0))</f>
      </c>
      <c r="I2273">
        <f>IF(DATOS!$I2273="","",IFERROR(VLOOKUP(DATOS!$I2273,CONFIG_ASIGNATURAS!$B$2:$J$91,9,FALSE()),""))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IF(DATOS!$A2274="",0,IF(CONFIG_METADATA!$B$4&lt;&gt;"OR+EX",--(DATOS!$G2274=CONFIG_METADATA!$B$4),IF(DATOS!$G2274="EX",1,IF(DATOS!$G2274="OR",--(COUNTIFS(nNIA,DATOS!$A2274,nCURSO,DATOS!$D2274,nESPEC,DATOS!$E2274,nASIG,DATOS!$I2274,nEVAL,"EX")=0),0))))</f>
      </c>
      <c r="H2274">
        <f>IF(DATOS!$G2274&lt;&gt;"EX",0,--(COUNTIFS(nNIA,DATOS!$A2274,nCURSO,DATOS!$D2274,nESPEC,DATOS!$E2274,nASIG,DATOS!$I2274,nEVAL,"OR")=0))</f>
      </c>
      <c r="I2274">
        <f>IF(DATOS!$I2274="","",IFERROR(VLOOKUP(DATOS!$I2274,CONFIG_ASIGNATURAS!$B$2:$J$91,9,FALSE()),""))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IF(DATOS!$A2275="",0,IF(CONFIG_METADATA!$B$4&lt;&gt;"OR+EX",--(DATOS!$G2275=CONFIG_METADATA!$B$4),IF(DATOS!$G2275="EX",1,IF(DATOS!$G2275="OR",--(COUNTIFS(nNIA,DATOS!$A2275,nCURSO,DATOS!$D2275,nESPEC,DATOS!$E2275,nASIG,DATOS!$I2275,nEVAL,"EX")=0),0))))</f>
      </c>
      <c r="H2275">
        <f>IF(DATOS!$G2275&lt;&gt;"EX",0,--(COUNTIFS(nNIA,DATOS!$A2275,nCURSO,DATOS!$D2275,nESPEC,DATOS!$E2275,nASIG,DATOS!$I2275,nEVAL,"OR")=0))</f>
      </c>
      <c r="I2275">
        <f>IF(DATOS!$I2275="","",IFERROR(VLOOKUP(DATOS!$I2275,CONFIG_ASIGNATURAS!$B$2:$J$91,9,FALSE()),""))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IF(DATOS!$A2276="",0,IF(CONFIG_METADATA!$B$4&lt;&gt;"OR+EX",--(DATOS!$G2276=CONFIG_METADATA!$B$4),IF(DATOS!$G2276="EX",1,IF(DATOS!$G2276="OR",--(COUNTIFS(nNIA,DATOS!$A2276,nCURSO,DATOS!$D2276,nESPEC,DATOS!$E2276,nASIG,DATOS!$I2276,nEVAL,"EX")=0),0))))</f>
      </c>
      <c r="H2276">
        <f>IF(DATOS!$G2276&lt;&gt;"EX",0,--(COUNTIFS(nNIA,DATOS!$A2276,nCURSO,DATOS!$D2276,nESPEC,DATOS!$E2276,nASIG,DATOS!$I2276,nEVAL,"OR")=0))</f>
      </c>
      <c r="I2276">
        <f>IF(DATOS!$I2276="","",IFERROR(VLOOKUP(DATOS!$I2276,CONFIG_ASIGNATURAS!$B$2:$J$91,9,FALSE()),""))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IF(DATOS!$A2277="",0,IF(CONFIG_METADATA!$B$4&lt;&gt;"OR+EX",--(DATOS!$G2277=CONFIG_METADATA!$B$4),IF(DATOS!$G2277="EX",1,IF(DATOS!$G2277="OR",--(COUNTIFS(nNIA,DATOS!$A2277,nCURSO,DATOS!$D2277,nESPEC,DATOS!$E2277,nASIG,DATOS!$I2277,nEVAL,"EX")=0),0))))</f>
      </c>
      <c r="H2277">
        <f>IF(DATOS!$G2277&lt;&gt;"EX",0,--(COUNTIFS(nNIA,DATOS!$A2277,nCURSO,DATOS!$D2277,nESPEC,DATOS!$E2277,nASIG,DATOS!$I2277,nEVAL,"OR")=0))</f>
      </c>
      <c r="I2277">
        <f>IF(DATOS!$I2277="","",IFERROR(VLOOKUP(DATOS!$I2277,CONFIG_ASIGNATURAS!$B$2:$J$91,9,FALSE()),""))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IF(DATOS!$A2278="",0,IF(CONFIG_METADATA!$B$4&lt;&gt;"OR+EX",--(DATOS!$G2278=CONFIG_METADATA!$B$4),IF(DATOS!$G2278="EX",1,IF(DATOS!$G2278="OR",--(COUNTIFS(nNIA,DATOS!$A2278,nCURSO,DATOS!$D2278,nESPEC,DATOS!$E2278,nASIG,DATOS!$I2278,nEVAL,"EX")=0),0))))</f>
      </c>
      <c r="H2278">
        <f>IF(DATOS!$G2278&lt;&gt;"EX",0,--(COUNTIFS(nNIA,DATOS!$A2278,nCURSO,DATOS!$D2278,nESPEC,DATOS!$E2278,nASIG,DATOS!$I2278,nEVAL,"OR")=0))</f>
      </c>
      <c r="I2278">
        <f>IF(DATOS!$I2278="","",IFERROR(VLOOKUP(DATOS!$I2278,CONFIG_ASIGNATURAS!$B$2:$J$91,9,FALSE()),""))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IF(DATOS!$A2279="",0,IF(CONFIG_METADATA!$B$4&lt;&gt;"OR+EX",--(DATOS!$G2279=CONFIG_METADATA!$B$4),IF(DATOS!$G2279="EX",1,IF(DATOS!$G2279="OR",--(COUNTIFS(nNIA,DATOS!$A2279,nCURSO,DATOS!$D2279,nESPEC,DATOS!$E2279,nASIG,DATOS!$I2279,nEVAL,"EX")=0),0))))</f>
      </c>
      <c r="H2279">
        <f>IF(DATOS!$G2279&lt;&gt;"EX",0,--(COUNTIFS(nNIA,DATOS!$A2279,nCURSO,DATOS!$D2279,nESPEC,DATOS!$E2279,nASIG,DATOS!$I2279,nEVAL,"OR")=0))</f>
      </c>
      <c r="I2279">
        <f>IF(DATOS!$I2279="","",IFERROR(VLOOKUP(DATOS!$I2279,CONFIG_ASIGNATURAS!$B$2:$J$91,9,FALSE()),""))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IF(DATOS!$A2280="",0,IF(CONFIG_METADATA!$B$4&lt;&gt;"OR+EX",--(DATOS!$G2280=CONFIG_METADATA!$B$4),IF(DATOS!$G2280="EX",1,IF(DATOS!$G2280="OR",--(COUNTIFS(nNIA,DATOS!$A2280,nCURSO,DATOS!$D2280,nESPEC,DATOS!$E2280,nASIG,DATOS!$I2280,nEVAL,"EX")=0),0))))</f>
      </c>
      <c r="H2280">
        <f>IF(DATOS!$G2280&lt;&gt;"EX",0,--(COUNTIFS(nNIA,DATOS!$A2280,nCURSO,DATOS!$D2280,nESPEC,DATOS!$E2280,nASIG,DATOS!$I2280,nEVAL,"OR")=0))</f>
      </c>
      <c r="I2280">
        <f>IF(DATOS!$I2280="","",IFERROR(VLOOKUP(DATOS!$I2280,CONFIG_ASIGNATURAS!$B$2:$J$91,9,FALSE()),""))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IF(DATOS!$A2281="",0,IF(CONFIG_METADATA!$B$4&lt;&gt;"OR+EX",--(DATOS!$G2281=CONFIG_METADATA!$B$4),IF(DATOS!$G2281="EX",1,IF(DATOS!$G2281="OR",--(COUNTIFS(nNIA,DATOS!$A2281,nCURSO,DATOS!$D2281,nESPEC,DATOS!$E2281,nASIG,DATOS!$I2281,nEVAL,"EX")=0),0))))</f>
      </c>
      <c r="H2281">
        <f>IF(DATOS!$G2281&lt;&gt;"EX",0,--(COUNTIFS(nNIA,DATOS!$A2281,nCURSO,DATOS!$D2281,nESPEC,DATOS!$E2281,nASIG,DATOS!$I2281,nEVAL,"OR")=0))</f>
      </c>
      <c r="I2281">
        <f>IF(DATOS!$I2281="","",IFERROR(VLOOKUP(DATOS!$I2281,CONFIG_ASIGNATURAS!$B$2:$J$91,9,FALSE()),""))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IF(DATOS!$A2282="",0,IF(CONFIG_METADATA!$B$4&lt;&gt;"OR+EX",--(DATOS!$G2282=CONFIG_METADATA!$B$4),IF(DATOS!$G2282="EX",1,IF(DATOS!$G2282="OR",--(COUNTIFS(nNIA,DATOS!$A2282,nCURSO,DATOS!$D2282,nESPEC,DATOS!$E2282,nASIG,DATOS!$I2282,nEVAL,"EX")=0),0))))</f>
      </c>
      <c r="H2282">
        <f>IF(DATOS!$G2282&lt;&gt;"EX",0,--(COUNTIFS(nNIA,DATOS!$A2282,nCURSO,DATOS!$D2282,nESPEC,DATOS!$E2282,nASIG,DATOS!$I2282,nEVAL,"OR")=0))</f>
      </c>
      <c r="I2282">
        <f>IF(DATOS!$I2282="","",IFERROR(VLOOKUP(DATOS!$I2282,CONFIG_ASIGNATURAS!$B$2:$J$91,9,FALSE()),""))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IF(DATOS!$A2283="",0,IF(CONFIG_METADATA!$B$4&lt;&gt;"OR+EX",--(DATOS!$G2283=CONFIG_METADATA!$B$4),IF(DATOS!$G2283="EX",1,IF(DATOS!$G2283="OR",--(COUNTIFS(nNIA,DATOS!$A2283,nCURSO,DATOS!$D2283,nESPEC,DATOS!$E2283,nASIG,DATOS!$I2283,nEVAL,"EX")=0),0))))</f>
      </c>
      <c r="H2283">
        <f>IF(DATOS!$G2283&lt;&gt;"EX",0,--(COUNTIFS(nNIA,DATOS!$A2283,nCURSO,DATOS!$D2283,nESPEC,DATOS!$E2283,nASIG,DATOS!$I2283,nEVAL,"OR")=0))</f>
      </c>
      <c r="I2283">
        <f>IF(DATOS!$I2283="","",IFERROR(VLOOKUP(DATOS!$I2283,CONFIG_ASIGNATURAS!$B$2:$J$91,9,FALSE()),""))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IF(DATOS!$A2284="",0,IF(CONFIG_METADATA!$B$4&lt;&gt;"OR+EX",--(DATOS!$G2284=CONFIG_METADATA!$B$4),IF(DATOS!$G2284="EX",1,IF(DATOS!$G2284="OR",--(COUNTIFS(nNIA,DATOS!$A2284,nCURSO,DATOS!$D2284,nESPEC,DATOS!$E2284,nASIG,DATOS!$I2284,nEVAL,"EX")=0),0))))</f>
      </c>
      <c r="H2284">
        <f>IF(DATOS!$G2284&lt;&gt;"EX",0,--(COUNTIFS(nNIA,DATOS!$A2284,nCURSO,DATOS!$D2284,nESPEC,DATOS!$E2284,nASIG,DATOS!$I2284,nEVAL,"OR")=0))</f>
      </c>
      <c r="I2284">
        <f>IF(DATOS!$I2284="","",IFERROR(VLOOKUP(DATOS!$I2284,CONFIG_ASIGNATURAS!$B$2:$J$91,9,FALSE()),""))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IF(DATOS!$A2285="",0,IF(CONFIG_METADATA!$B$4&lt;&gt;"OR+EX",--(DATOS!$G2285=CONFIG_METADATA!$B$4),IF(DATOS!$G2285="EX",1,IF(DATOS!$G2285="OR",--(COUNTIFS(nNIA,DATOS!$A2285,nCURSO,DATOS!$D2285,nESPEC,DATOS!$E2285,nASIG,DATOS!$I2285,nEVAL,"EX")=0),0))))</f>
      </c>
      <c r="H2285">
        <f>IF(DATOS!$G2285&lt;&gt;"EX",0,--(COUNTIFS(nNIA,DATOS!$A2285,nCURSO,DATOS!$D2285,nESPEC,DATOS!$E2285,nASIG,DATOS!$I2285,nEVAL,"OR")=0))</f>
      </c>
      <c r="I2285">
        <f>IF(DATOS!$I2285="","",IFERROR(VLOOKUP(DATOS!$I2285,CONFIG_ASIGNATURAS!$B$2:$J$91,9,FALSE()),""))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IF(DATOS!$A2286="",0,IF(CONFIG_METADATA!$B$4&lt;&gt;"OR+EX",--(DATOS!$G2286=CONFIG_METADATA!$B$4),IF(DATOS!$G2286="EX",1,IF(DATOS!$G2286="OR",--(COUNTIFS(nNIA,DATOS!$A2286,nCURSO,DATOS!$D2286,nESPEC,DATOS!$E2286,nASIG,DATOS!$I2286,nEVAL,"EX")=0),0))))</f>
      </c>
      <c r="H2286">
        <f>IF(DATOS!$G2286&lt;&gt;"EX",0,--(COUNTIFS(nNIA,DATOS!$A2286,nCURSO,DATOS!$D2286,nESPEC,DATOS!$E2286,nASIG,DATOS!$I2286,nEVAL,"OR")=0))</f>
      </c>
      <c r="I2286">
        <f>IF(DATOS!$I2286="","",IFERROR(VLOOKUP(DATOS!$I2286,CONFIG_ASIGNATURAS!$B$2:$J$91,9,FALSE()),""))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IF(DATOS!$A2287="",0,IF(CONFIG_METADATA!$B$4&lt;&gt;"OR+EX",--(DATOS!$G2287=CONFIG_METADATA!$B$4),IF(DATOS!$G2287="EX",1,IF(DATOS!$G2287="OR",--(COUNTIFS(nNIA,DATOS!$A2287,nCURSO,DATOS!$D2287,nESPEC,DATOS!$E2287,nASIG,DATOS!$I2287,nEVAL,"EX")=0),0))))</f>
      </c>
      <c r="H2287">
        <f>IF(DATOS!$G2287&lt;&gt;"EX",0,--(COUNTIFS(nNIA,DATOS!$A2287,nCURSO,DATOS!$D2287,nESPEC,DATOS!$E2287,nASIG,DATOS!$I2287,nEVAL,"OR")=0))</f>
      </c>
      <c r="I2287">
        <f>IF(DATOS!$I2287="","",IFERROR(VLOOKUP(DATOS!$I2287,CONFIG_ASIGNATURAS!$B$2:$J$91,9,FALSE()),""))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IF(DATOS!$A2288="",0,IF(CONFIG_METADATA!$B$4&lt;&gt;"OR+EX",--(DATOS!$G2288=CONFIG_METADATA!$B$4),IF(DATOS!$G2288="EX",1,IF(DATOS!$G2288="OR",--(COUNTIFS(nNIA,DATOS!$A2288,nCURSO,DATOS!$D2288,nESPEC,DATOS!$E2288,nASIG,DATOS!$I2288,nEVAL,"EX")=0),0))))</f>
      </c>
      <c r="H2288">
        <f>IF(DATOS!$G2288&lt;&gt;"EX",0,--(COUNTIFS(nNIA,DATOS!$A2288,nCURSO,DATOS!$D2288,nESPEC,DATOS!$E2288,nASIG,DATOS!$I2288,nEVAL,"OR")=0))</f>
      </c>
      <c r="I2288">
        <f>IF(DATOS!$I2288="","",IFERROR(VLOOKUP(DATOS!$I2288,CONFIG_ASIGNATURAS!$B$2:$J$91,9,FALSE()),""))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IF(DATOS!$A2289="",0,IF(CONFIG_METADATA!$B$4&lt;&gt;"OR+EX",--(DATOS!$G2289=CONFIG_METADATA!$B$4),IF(DATOS!$G2289="EX",1,IF(DATOS!$G2289="OR",--(COUNTIFS(nNIA,DATOS!$A2289,nCURSO,DATOS!$D2289,nESPEC,DATOS!$E2289,nASIG,DATOS!$I2289,nEVAL,"EX")=0),0))))</f>
      </c>
      <c r="H2289">
        <f>IF(DATOS!$G2289&lt;&gt;"EX",0,--(COUNTIFS(nNIA,DATOS!$A2289,nCURSO,DATOS!$D2289,nESPEC,DATOS!$E2289,nASIG,DATOS!$I2289,nEVAL,"OR")=0))</f>
      </c>
      <c r="I2289">
        <f>IF(DATOS!$I2289="","",IFERROR(VLOOKUP(DATOS!$I2289,CONFIG_ASIGNATURAS!$B$2:$J$91,9,FALSE()),""))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IF(DATOS!$A2290="",0,IF(CONFIG_METADATA!$B$4&lt;&gt;"OR+EX",--(DATOS!$G2290=CONFIG_METADATA!$B$4),IF(DATOS!$G2290="EX",1,IF(DATOS!$G2290="OR",--(COUNTIFS(nNIA,DATOS!$A2290,nCURSO,DATOS!$D2290,nESPEC,DATOS!$E2290,nASIG,DATOS!$I2290,nEVAL,"EX")=0),0))))</f>
      </c>
      <c r="H2290">
        <f>IF(DATOS!$G2290&lt;&gt;"EX",0,--(COUNTIFS(nNIA,DATOS!$A2290,nCURSO,DATOS!$D2290,nESPEC,DATOS!$E2290,nASIG,DATOS!$I2290,nEVAL,"OR")=0))</f>
      </c>
      <c r="I2290">
        <f>IF(DATOS!$I2290="","",IFERROR(VLOOKUP(DATOS!$I2290,CONFIG_ASIGNATURAS!$B$2:$J$91,9,FALSE()),""))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IF(DATOS!$A2291="",0,IF(CONFIG_METADATA!$B$4&lt;&gt;"OR+EX",--(DATOS!$G2291=CONFIG_METADATA!$B$4),IF(DATOS!$G2291="EX",1,IF(DATOS!$G2291="OR",--(COUNTIFS(nNIA,DATOS!$A2291,nCURSO,DATOS!$D2291,nESPEC,DATOS!$E2291,nASIG,DATOS!$I2291,nEVAL,"EX")=0),0))))</f>
      </c>
      <c r="H2291">
        <f>IF(DATOS!$G2291&lt;&gt;"EX",0,--(COUNTIFS(nNIA,DATOS!$A2291,nCURSO,DATOS!$D2291,nESPEC,DATOS!$E2291,nASIG,DATOS!$I2291,nEVAL,"OR")=0))</f>
      </c>
      <c r="I2291">
        <f>IF(DATOS!$I2291="","",IFERROR(VLOOKUP(DATOS!$I2291,CONFIG_ASIGNATURAS!$B$2:$J$91,9,FALSE()),""))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IF(DATOS!$A2292="",0,IF(CONFIG_METADATA!$B$4&lt;&gt;"OR+EX",--(DATOS!$G2292=CONFIG_METADATA!$B$4),IF(DATOS!$G2292="EX",1,IF(DATOS!$G2292="OR",--(COUNTIFS(nNIA,DATOS!$A2292,nCURSO,DATOS!$D2292,nESPEC,DATOS!$E2292,nASIG,DATOS!$I2292,nEVAL,"EX")=0),0))))</f>
      </c>
      <c r="H2292">
        <f>IF(DATOS!$G2292&lt;&gt;"EX",0,--(COUNTIFS(nNIA,DATOS!$A2292,nCURSO,DATOS!$D2292,nESPEC,DATOS!$E2292,nASIG,DATOS!$I2292,nEVAL,"OR")=0))</f>
      </c>
      <c r="I2292">
        <f>IF(DATOS!$I2292="","",IFERROR(VLOOKUP(DATOS!$I2292,CONFIG_ASIGNATURAS!$B$2:$J$91,9,FALSE()),""))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IF(DATOS!$A2293="",0,IF(CONFIG_METADATA!$B$4&lt;&gt;"OR+EX",--(DATOS!$G2293=CONFIG_METADATA!$B$4),IF(DATOS!$G2293="EX",1,IF(DATOS!$G2293="OR",--(COUNTIFS(nNIA,DATOS!$A2293,nCURSO,DATOS!$D2293,nESPEC,DATOS!$E2293,nASIG,DATOS!$I2293,nEVAL,"EX")=0),0))))</f>
      </c>
      <c r="H2293">
        <f>IF(DATOS!$G2293&lt;&gt;"EX",0,--(COUNTIFS(nNIA,DATOS!$A2293,nCURSO,DATOS!$D2293,nESPEC,DATOS!$E2293,nASIG,DATOS!$I2293,nEVAL,"OR")=0))</f>
      </c>
      <c r="I2293">
        <f>IF(DATOS!$I2293="","",IFERROR(VLOOKUP(DATOS!$I2293,CONFIG_ASIGNATURAS!$B$2:$J$91,9,FALSE()),""))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IF(DATOS!$A2294="",0,IF(CONFIG_METADATA!$B$4&lt;&gt;"OR+EX",--(DATOS!$G2294=CONFIG_METADATA!$B$4),IF(DATOS!$G2294="EX",1,IF(DATOS!$G2294="OR",--(COUNTIFS(nNIA,DATOS!$A2294,nCURSO,DATOS!$D2294,nESPEC,DATOS!$E2294,nASIG,DATOS!$I2294,nEVAL,"EX")=0),0))))</f>
      </c>
      <c r="H2294">
        <f>IF(DATOS!$G2294&lt;&gt;"EX",0,--(COUNTIFS(nNIA,DATOS!$A2294,nCURSO,DATOS!$D2294,nESPEC,DATOS!$E2294,nASIG,DATOS!$I2294,nEVAL,"OR")=0))</f>
      </c>
      <c r="I2294">
        <f>IF(DATOS!$I2294="","",IFERROR(VLOOKUP(DATOS!$I2294,CONFIG_ASIGNATURAS!$B$2:$J$91,9,FALSE()),""))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IF(DATOS!$A2295="",0,IF(CONFIG_METADATA!$B$4&lt;&gt;"OR+EX",--(DATOS!$G2295=CONFIG_METADATA!$B$4),IF(DATOS!$G2295="EX",1,IF(DATOS!$G2295="OR",--(COUNTIFS(nNIA,DATOS!$A2295,nCURSO,DATOS!$D2295,nESPEC,DATOS!$E2295,nASIG,DATOS!$I2295,nEVAL,"EX")=0),0))))</f>
      </c>
      <c r="H2295">
        <f>IF(DATOS!$G2295&lt;&gt;"EX",0,--(COUNTIFS(nNIA,DATOS!$A2295,nCURSO,DATOS!$D2295,nESPEC,DATOS!$E2295,nASIG,DATOS!$I2295,nEVAL,"OR")=0))</f>
      </c>
      <c r="I2295">
        <f>IF(DATOS!$I2295="","",IFERROR(VLOOKUP(DATOS!$I2295,CONFIG_ASIGNATURAS!$B$2:$J$91,9,FALSE()),""))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IF(DATOS!$A2296="",0,IF(CONFIG_METADATA!$B$4&lt;&gt;"OR+EX",--(DATOS!$G2296=CONFIG_METADATA!$B$4),IF(DATOS!$G2296="EX",1,IF(DATOS!$G2296="OR",--(COUNTIFS(nNIA,DATOS!$A2296,nCURSO,DATOS!$D2296,nESPEC,DATOS!$E2296,nASIG,DATOS!$I2296,nEVAL,"EX")=0),0))))</f>
      </c>
      <c r="H2296">
        <f>IF(DATOS!$G2296&lt;&gt;"EX",0,--(COUNTIFS(nNIA,DATOS!$A2296,nCURSO,DATOS!$D2296,nESPEC,DATOS!$E2296,nASIG,DATOS!$I2296,nEVAL,"OR")=0))</f>
      </c>
      <c r="I2296">
        <f>IF(DATOS!$I2296="","",IFERROR(VLOOKUP(DATOS!$I2296,CONFIG_ASIGNATURAS!$B$2:$J$91,9,FALSE()),""))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IF(DATOS!$A2297="",0,IF(CONFIG_METADATA!$B$4&lt;&gt;"OR+EX",--(DATOS!$G2297=CONFIG_METADATA!$B$4),IF(DATOS!$G2297="EX",1,IF(DATOS!$G2297="OR",--(COUNTIFS(nNIA,DATOS!$A2297,nCURSO,DATOS!$D2297,nESPEC,DATOS!$E2297,nASIG,DATOS!$I2297,nEVAL,"EX")=0),0))))</f>
      </c>
      <c r="H2297">
        <f>IF(DATOS!$G2297&lt;&gt;"EX",0,--(COUNTIFS(nNIA,DATOS!$A2297,nCURSO,DATOS!$D2297,nESPEC,DATOS!$E2297,nASIG,DATOS!$I2297,nEVAL,"OR")=0))</f>
      </c>
      <c r="I2297">
        <f>IF(DATOS!$I2297="","",IFERROR(VLOOKUP(DATOS!$I2297,CONFIG_ASIGNATURAS!$B$2:$J$91,9,FALSE()),""))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IF(DATOS!$A2298="",0,IF(CONFIG_METADATA!$B$4&lt;&gt;"OR+EX",--(DATOS!$G2298=CONFIG_METADATA!$B$4),IF(DATOS!$G2298="EX",1,IF(DATOS!$G2298="OR",--(COUNTIFS(nNIA,DATOS!$A2298,nCURSO,DATOS!$D2298,nESPEC,DATOS!$E2298,nASIG,DATOS!$I2298,nEVAL,"EX")=0),0))))</f>
      </c>
      <c r="H2298">
        <f>IF(DATOS!$G2298&lt;&gt;"EX",0,--(COUNTIFS(nNIA,DATOS!$A2298,nCURSO,DATOS!$D2298,nESPEC,DATOS!$E2298,nASIG,DATOS!$I2298,nEVAL,"OR")=0))</f>
      </c>
      <c r="I2298">
        <f>IF(DATOS!$I2298="","",IFERROR(VLOOKUP(DATOS!$I2298,CONFIG_ASIGNATURAS!$B$2:$J$91,9,FALSE()),""))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IF(DATOS!$A2299="",0,IF(CONFIG_METADATA!$B$4&lt;&gt;"OR+EX",--(DATOS!$G2299=CONFIG_METADATA!$B$4),IF(DATOS!$G2299="EX",1,IF(DATOS!$G2299="OR",--(COUNTIFS(nNIA,DATOS!$A2299,nCURSO,DATOS!$D2299,nESPEC,DATOS!$E2299,nASIG,DATOS!$I2299,nEVAL,"EX")=0),0))))</f>
      </c>
      <c r="H2299">
        <f>IF(DATOS!$G2299&lt;&gt;"EX",0,--(COUNTIFS(nNIA,DATOS!$A2299,nCURSO,DATOS!$D2299,nESPEC,DATOS!$E2299,nASIG,DATOS!$I2299,nEVAL,"OR")=0))</f>
      </c>
      <c r="I2299">
        <f>IF(DATOS!$I2299="","",IFERROR(VLOOKUP(DATOS!$I2299,CONFIG_ASIGNATURAS!$B$2:$J$91,9,FALSE()),""))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IF(DATOS!$A2300="",0,IF(CONFIG_METADATA!$B$4&lt;&gt;"OR+EX",--(DATOS!$G2300=CONFIG_METADATA!$B$4),IF(DATOS!$G2300="EX",1,IF(DATOS!$G2300="OR",--(COUNTIFS(nNIA,DATOS!$A2300,nCURSO,DATOS!$D2300,nESPEC,DATOS!$E2300,nASIG,DATOS!$I2300,nEVAL,"EX")=0),0))))</f>
      </c>
      <c r="H2300">
        <f>IF(DATOS!$G2300&lt;&gt;"EX",0,--(COUNTIFS(nNIA,DATOS!$A2300,nCURSO,DATOS!$D2300,nESPEC,DATOS!$E2300,nASIG,DATOS!$I2300,nEVAL,"OR")=0))</f>
      </c>
      <c r="I2300">
        <f>IF(DATOS!$I2300="","",IFERROR(VLOOKUP(DATOS!$I2300,CONFIG_ASIGNATURAS!$B$2:$J$91,9,FALSE()),""))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IF(DATOS!$A2301="",0,IF(CONFIG_METADATA!$B$4&lt;&gt;"OR+EX",--(DATOS!$G2301=CONFIG_METADATA!$B$4),IF(DATOS!$G2301="EX",1,IF(DATOS!$G2301="OR",--(COUNTIFS(nNIA,DATOS!$A2301,nCURSO,DATOS!$D2301,nESPEC,DATOS!$E2301,nASIG,DATOS!$I2301,nEVAL,"EX")=0),0))))</f>
      </c>
      <c r="H2301">
        <f>IF(DATOS!$G2301&lt;&gt;"EX",0,--(COUNTIFS(nNIA,DATOS!$A2301,nCURSO,DATOS!$D2301,nESPEC,DATOS!$E2301,nASIG,DATOS!$I2301,nEVAL,"OR")=0))</f>
      </c>
      <c r="I2301">
        <f>IF(DATOS!$I2301="","",IFERROR(VLOOKUP(DATOS!$I2301,CONFIG_ASIGNATURAS!$B$2:$J$91,9,FALSE()),""))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IF(DATOS!$A2302="",0,IF(CONFIG_METADATA!$B$4&lt;&gt;"OR+EX",--(DATOS!$G2302=CONFIG_METADATA!$B$4),IF(DATOS!$G2302="EX",1,IF(DATOS!$G2302="OR",--(COUNTIFS(nNIA,DATOS!$A2302,nCURSO,DATOS!$D2302,nESPEC,DATOS!$E2302,nASIG,DATOS!$I2302,nEVAL,"EX")=0),0))))</f>
      </c>
      <c r="H2302">
        <f>IF(DATOS!$G2302&lt;&gt;"EX",0,--(COUNTIFS(nNIA,DATOS!$A2302,nCURSO,DATOS!$D2302,nESPEC,DATOS!$E2302,nASIG,DATOS!$I2302,nEVAL,"OR")=0))</f>
      </c>
      <c r="I2302">
        <f>IF(DATOS!$I2302="","",IFERROR(VLOOKUP(DATOS!$I2302,CONFIG_ASIGNATURAS!$B$2:$J$91,9,FALSE()),""))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IF(DATOS!$A2303="",0,IF(CONFIG_METADATA!$B$4&lt;&gt;"OR+EX",--(DATOS!$G2303=CONFIG_METADATA!$B$4),IF(DATOS!$G2303="EX",1,IF(DATOS!$G2303="OR",--(COUNTIFS(nNIA,DATOS!$A2303,nCURSO,DATOS!$D2303,nESPEC,DATOS!$E2303,nASIG,DATOS!$I2303,nEVAL,"EX")=0),0))))</f>
      </c>
      <c r="H2303">
        <f>IF(DATOS!$G2303&lt;&gt;"EX",0,--(COUNTIFS(nNIA,DATOS!$A2303,nCURSO,DATOS!$D2303,nESPEC,DATOS!$E2303,nASIG,DATOS!$I2303,nEVAL,"OR")=0))</f>
      </c>
      <c r="I2303">
        <f>IF(DATOS!$I2303="","",IFERROR(VLOOKUP(DATOS!$I2303,CONFIG_ASIGNATURAS!$B$2:$J$91,9,FALSE()),""))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IF(DATOS!$A2304="",0,IF(CONFIG_METADATA!$B$4&lt;&gt;"OR+EX",--(DATOS!$G2304=CONFIG_METADATA!$B$4),IF(DATOS!$G2304="EX",1,IF(DATOS!$G2304="OR",--(COUNTIFS(nNIA,DATOS!$A2304,nCURSO,DATOS!$D2304,nESPEC,DATOS!$E2304,nASIG,DATOS!$I2304,nEVAL,"EX")=0),0))))</f>
      </c>
      <c r="H2304">
        <f>IF(DATOS!$G2304&lt;&gt;"EX",0,--(COUNTIFS(nNIA,DATOS!$A2304,nCURSO,DATOS!$D2304,nESPEC,DATOS!$E2304,nASIG,DATOS!$I2304,nEVAL,"OR")=0))</f>
      </c>
      <c r="I2304">
        <f>IF(DATOS!$I2304="","",IFERROR(VLOOKUP(DATOS!$I2304,CONFIG_ASIGNATURAS!$B$2:$J$91,9,FALSE()),""))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IF(DATOS!$A2305="",0,IF(CONFIG_METADATA!$B$4&lt;&gt;"OR+EX",--(DATOS!$G2305=CONFIG_METADATA!$B$4),IF(DATOS!$G2305="EX",1,IF(DATOS!$G2305="OR",--(COUNTIFS(nNIA,DATOS!$A2305,nCURSO,DATOS!$D2305,nESPEC,DATOS!$E2305,nASIG,DATOS!$I2305,nEVAL,"EX")=0),0))))</f>
      </c>
      <c r="H2305">
        <f>IF(DATOS!$G2305&lt;&gt;"EX",0,--(COUNTIFS(nNIA,DATOS!$A2305,nCURSO,DATOS!$D2305,nESPEC,DATOS!$E2305,nASIG,DATOS!$I2305,nEVAL,"OR")=0))</f>
      </c>
      <c r="I2305">
        <f>IF(DATOS!$I2305="","",IFERROR(VLOOKUP(DATOS!$I2305,CONFIG_ASIGNATURAS!$B$2:$J$91,9,FALSE()),""))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IF(DATOS!$A2306="",0,IF(CONFIG_METADATA!$B$4&lt;&gt;"OR+EX",--(DATOS!$G2306=CONFIG_METADATA!$B$4),IF(DATOS!$G2306="EX",1,IF(DATOS!$G2306="OR",--(COUNTIFS(nNIA,DATOS!$A2306,nCURSO,DATOS!$D2306,nESPEC,DATOS!$E2306,nASIG,DATOS!$I2306,nEVAL,"EX")=0),0))))</f>
      </c>
      <c r="H2306">
        <f>IF(DATOS!$G2306&lt;&gt;"EX",0,--(COUNTIFS(nNIA,DATOS!$A2306,nCURSO,DATOS!$D2306,nESPEC,DATOS!$E2306,nASIG,DATOS!$I2306,nEVAL,"OR")=0))</f>
      </c>
      <c r="I2306">
        <f>IF(DATOS!$I2306="","",IFERROR(VLOOKUP(DATOS!$I2306,CONFIG_ASIGNATURAS!$B$2:$J$91,9,FALSE()),""))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IF(DATOS!$A2307="",0,IF(CONFIG_METADATA!$B$4&lt;&gt;"OR+EX",--(DATOS!$G2307=CONFIG_METADATA!$B$4),IF(DATOS!$G2307="EX",1,IF(DATOS!$G2307="OR",--(COUNTIFS(nNIA,DATOS!$A2307,nCURSO,DATOS!$D2307,nESPEC,DATOS!$E2307,nASIG,DATOS!$I2307,nEVAL,"EX")=0),0))))</f>
      </c>
      <c r="H2307">
        <f>IF(DATOS!$G2307&lt;&gt;"EX",0,--(COUNTIFS(nNIA,DATOS!$A2307,nCURSO,DATOS!$D2307,nESPEC,DATOS!$E2307,nASIG,DATOS!$I2307,nEVAL,"OR")=0))</f>
      </c>
      <c r="I2307">
        <f>IF(DATOS!$I2307="","",IFERROR(VLOOKUP(DATOS!$I2307,CONFIG_ASIGNATURAS!$B$2:$J$91,9,FALSE()),""))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IF(DATOS!$A2308="",0,IF(CONFIG_METADATA!$B$4&lt;&gt;"OR+EX",--(DATOS!$G2308=CONFIG_METADATA!$B$4),IF(DATOS!$G2308="EX",1,IF(DATOS!$G2308="OR",--(COUNTIFS(nNIA,DATOS!$A2308,nCURSO,DATOS!$D2308,nESPEC,DATOS!$E2308,nASIG,DATOS!$I2308,nEVAL,"EX")=0),0))))</f>
      </c>
      <c r="H2308">
        <f>IF(DATOS!$G2308&lt;&gt;"EX",0,--(COUNTIFS(nNIA,DATOS!$A2308,nCURSO,DATOS!$D2308,nESPEC,DATOS!$E2308,nASIG,DATOS!$I2308,nEVAL,"OR")=0))</f>
      </c>
      <c r="I2308">
        <f>IF(DATOS!$I2308="","",IFERROR(VLOOKUP(DATOS!$I2308,CONFIG_ASIGNATURAS!$B$2:$J$91,9,FALSE()),""))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IF(DATOS!$A2309="",0,IF(CONFIG_METADATA!$B$4&lt;&gt;"OR+EX",--(DATOS!$G2309=CONFIG_METADATA!$B$4),IF(DATOS!$G2309="EX",1,IF(DATOS!$G2309="OR",--(COUNTIFS(nNIA,DATOS!$A2309,nCURSO,DATOS!$D2309,nESPEC,DATOS!$E2309,nASIG,DATOS!$I2309,nEVAL,"EX")=0),0))))</f>
      </c>
      <c r="H2309">
        <f>IF(DATOS!$G2309&lt;&gt;"EX",0,--(COUNTIFS(nNIA,DATOS!$A2309,nCURSO,DATOS!$D2309,nESPEC,DATOS!$E2309,nASIG,DATOS!$I2309,nEVAL,"OR")=0))</f>
      </c>
      <c r="I2309">
        <f>IF(DATOS!$I2309="","",IFERROR(VLOOKUP(DATOS!$I2309,CONFIG_ASIGNATURAS!$B$2:$J$91,9,FALSE()),""))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IF(DATOS!$A2310="",0,IF(CONFIG_METADATA!$B$4&lt;&gt;"OR+EX",--(DATOS!$G2310=CONFIG_METADATA!$B$4),IF(DATOS!$G2310="EX",1,IF(DATOS!$G2310="OR",--(COUNTIFS(nNIA,DATOS!$A2310,nCURSO,DATOS!$D2310,nESPEC,DATOS!$E2310,nASIG,DATOS!$I2310,nEVAL,"EX")=0),0))))</f>
      </c>
      <c r="H2310">
        <f>IF(DATOS!$G2310&lt;&gt;"EX",0,--(COUNTIFS(nNIA,DATOS!$A2310,nCURSO,DATOS!$D2310,nESPEC,DATOS!$E2310,nASIG,DATOS!$I2310,nEVAL,"OR")=0))</f>
      </c>
      <c r="I2310">
        <f>IF(DATOS!$I2310="","",IFERROR(VLOOKUP(DATOS!$I2310,CONFIG_ASIGNATURAS!$B$2:$J$91,9,FALSE()),""))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IF(DATOS!$A2311="",0,IF(CONFIG_METADATA!$B$4&lt;&gt;"OR+EX",--(DATOS!$G2311=CONFIG_METADATA!$B$4),IF(DATOS!$G2311="EX",1,IF(DATOS!$G2311="OR",--(COUNTIFS(nNIA,DATOS!$A2311,nCURSO,DATOS!$D2311,nESPEC,DATOS!$E2311,nASIG,DATOS!$I2311,nEVAL,"EX")=0),0))))</f>
      </c>
      <c r="H2311">
        <f>IF(DATOS!$G2311&lt;&gt;"EX",0,--(COUNTIFS(nNIA,DATOS!$A2311,nCURSO,DATOS!$D2311,nESPEC,DATOS!$E2311,nASIG,DATOS!$I2311,nEVAL,"OR")=0))</f>
      </c>
      <c r="I2311">
        <f>IF(DATOS!$I2311="","",IFERROR(VLOOKUP(DATOS!$I2311,CONFIG_ASIGNATURAS!$B$2:$J$91,9,FALSE()),""))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IF(DATOS!$A2312="",0,IF(CONFIG_METADATA!$B$4&lt;&gt;"OR+EX",--(DATOS!$G2312=CONFIG_METADATA!$B$4),IF(DATOS!$G2312="EX",1,IF(DATOS!$G2312="OR",--(COUNTIFS(nNIA,DATOS!$A2312,nCURSO,DATOS!$D2312,nESPEC,DATOS!$E2312,nASIG,DATOS!$I2312,nEVAL,"EX")=0),0))))</f>
      </c>
      <c r="H2312">
        <f>IF(DATOS!$G2312&lt;&gt;"EX",0,--(COUNTIFS(nNIA,DATOS!$A2312,nCURSO,DATOS!$D2312,nESPEC,DATOS!$E2312,nASIG,DATOS!$I2312,nEVAL,"OR")=0))</f>
      </c>
      <c r="I2312">
        <f>IF(DATOS!$I2312="","",IFERROR(VLOOKUP(DATOS!$I2312,CONFIG_ASIGNATURAS!$B$2:$J$91,9,FALSE()),""))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IF(DATOS!$A2313="",0,IF(CONFIG_METADATA!$B$4&lt;&gt;"OR+EX",--(DATOS!$G2313=CONFIG_METADATA!$B$4),IF(DATOS!$G2313="EX",1,IF(DATOS!$G2313="OR",--(COUNTIFS(nNIA,DATOS!$A2313,nCURSO,DATOS!$D2313,nESPEC,DATOS!$E2313,nASIG,DATOS!$I2313,nEVAL,"EX")=0),0))))</f>
      </c>
      <c r="H2313">
        <f>IF(DATOS!$G2313&lt;&gt;"EX",0,--(COUNTIFS(nNIA,DATOS!$A2313,nCURSO,DATOS!$D2313,nESPEC,DATOS!$E2313,nASIG,DATOS!$I2313,nEVAL,"OR")=0))</f>
      </c>
      <c r="I2313">
        <f>IF(DATOS!$I2313="","",IFERROR(VLOOKUP(DATOS!$I2313,CONFIG_ASIGNATURAS!$B$2:$J$91,9,FALSE()),""))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IF(DATOS!$A2314="",0,IF(CONFIG_METADATA!$B$4&lt;&gt;"OR+EX",--(DATOS!$G2314=CONFIG_METADATA!$B$4),IF(DATOS!$G2314="EX",1,IF(DATOS!$G2314="OR",--(COUNTIFS(nNIA,DATOS!$A2314,nCURSO,DATOS!$D2314,nESPEC,DATOS!$E2314,nASIG,DATOS!$I2314,nEVAL,"EX")=0),0))))</f>
      </c>
      <c r="H2314">
        <f>IF(DATOS!$G2314&lt;&gt;"EX",0,--(COUNTIFS(nNIA,DATOS!$A2314,nCURSO,DATOS!$D2314,nESPEC,DATOS!$E2314,nASIG,DATOS!$I2314,nEVAL,"OR")=0))</f>
      </c>
      <c r="I2314">
        <f>IF(DATOS!$I2314="","",IFERROR(VLOOKUP(DATOS!$I2314,CONFIG_ASIGNATURAS!$B$2:$J$91,9,FALSE()),""))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IF(DATOS!$A2315="",0,IF(CONFIG_METADATA!$B$4&lt;&gt;"OR+EX",--(DATOS!$G2315=CONFIG_METADATA!$B$4),IF(DATOS!$G2315="EX",1,IF(DATOS!$G2315="OR",--(COUNTIFS(nNIA,DATOS!$A2315,nCURSO,DATOS!$D2315,nESPEC,DATOS!$E2315,nASIG,DATOS!$I2315,nEVAL,"EX")=0),0))))</f>
      </c>
      <c r="H2315">
        <f>IF(DATOS!$G2315&lt;&gt;"EX",0,--(COUNTIFS(nNIA,DATOS!$A2315,nCURSO,DATOS!$D2315,nESPEC,DATOS!$E2315,nASIG,DATOS!$I2315,nEVAL,"OR")=0))</f>
      </c>
      <c r="I2315">
        <f>IF(DATOS!$I2315="","",IFERROR(VLOOKUP(DATOS!$I2315,CONFIG_ASIGNATURAS!$B$2:$J$91,9,FALSE()),""))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IF(DATOS!$A2316="",0,IF(CONFIG_METADATA!$B$4&lt;&gt;"OR+EX",--(DATOS!$G2316=CONFIG_METADATA!$B$4),IF(DATOS!$G2316="EX",1,IF(DATOS!$G2316="OR",--(COUNTIFS(nNIA,DATOS!$A2316,nCURSO,DATOS!$D2316,nESPEC,DATOS!$E2316,nASIG,DATOS!$I2316,nEVAL,"EX")=0),0))))</f>
      </c>
      <c r="H2316">
        <f>IF(DATOS!$G2316&lt;&gt;"EX",0,--(COUNTIFS(nNIA,DATOS!$A2316,nCURSO,DATOS!$D2316,nESPEC,DATOS!$E2316,nASIG,DATOS!$I2316,nEVAL,"OR")=0))</f>
      </c>
      <c r="I2316">
        <f>IF(DATOS!$I2316="","",IFERROR(VLOOKUP(DATOS!$I2316,CONFIG_ASIGNATURAS!$B$2:$J$91,9,FALSE()),""))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IF(DATOS!$A2317="",0,IF(CONFIG_METADATA!$B$4&lt;&gt;"OR+EX",--(DATOS!$G2317=CONFIG_METADATA!$B$4),IF(DATOS!$G2317="EX",1,IF(DATOS!$G2317="OR",--(COUNTIFS(nNIA,DATOS!$A2317,nCURSO,DATOS!$D2317,nESPEC,DATOS!$E2317,nASIG,DATOS!$I2317,nEVAL,"EX")=0),0))))</f>
      </c>
      <c r="H2317">
        <f>IF(DATOS!$G2317&lt;&gt;"EX",0,--(COUNTIFS(nNIA,DATOS!$A2317,nCURSO,DATOS!$D2317,nESPEC,DATOS!$E2317,nASIG,DATOS!$I2317,nEVAL,"OR")=0))</f>
      </c>
      <c r="I2317">
        <f>IF(DATOS!$I2317="","",IFERROR(VLOOKUP(DATOS!$I2317,CONFIG_ASIGNATURAS!$B$2:$J$91,9,FALSE()),""))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IF(DATOS!$A2318="",0,IF(CONFIG_METADATA!$B$4&lt;&gt;"OR+EX",--(DATOS!$G2318=CONFIG_METADATA!$B$4),IF(DATOS!$G2318="EX",1,IF(DATOS!$G2318="OR",--(COUNTIFS(nNIA,DATOS!$A2318,nCURSO,DATOS!$D2318,nESPEC,DATOS!$E2318,nASIG,DATOS!$I2318,nEVAL,"EX")=0),0))))</f>
      </c>
      <c r="H2318">
        <f>IF(DATOS!$G2318&lt;&gt;"EX",0,--(COUNTIFS(nNIA,DATOS!$A2318,nCURSO,DATOS!$D2318,nESPEC,DATOS!$E2318,nASIG,DATOS!$I2318,nEVAL,"OR")=0))</f>
      </c>
      <c r="I2318">
        <f>IF(DATOS!$I2318="","",IFERROR(VLOOKUP(DATOS!$I2318,CONFIG_ASIGNATURAS!$B$2:$J$91,9,FALSE()),""))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IF(DATOS!$A2319="",0,IF(CONFIG_METADATA!$B$4&lt;&gt;"OR+EX",--(DATOS!$G2319=CONFIG_METADATA!$B$4),IF(DATOS!$G2319="EX",1,IF(DATOS!$G2319="OR",--(COUNTIFS(nNIA,DATOS!$A2319,nCURSO,DATOS!$D2319,nESPEC,DATOS!$E2319,nASIG,DATOS!$I2319,nEVAL,"EX")=0),0))))</f>
      </c>
      <c r="H2319">
        <f>IF(DATOS!$G2319&lt;&gt;"EX",0,--(COUNTIFS(nNIA,DATOS!$A2319,nCURSO,DATOS!$D2319,nESPEC,DATOS!$E2319,nASIG,DATOS!$I2319,nEVAL,"OR")=0))</f>
      </c>
      <c r="I2319">
        <f>IF(DATOS!$I2319="","",IFERROR(VLOOKUP(DATOS!$I2319,CONFIG_ASIGNATURAS!$B$2:$J$91,9,FALSE()),""))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IF(DATOS!$A2320="",0,IF(CONFIG_METADATA!$B$4&lt;&gt;"OR+EX",--(DATOS!$G2320=CONFIG_METADATA!$B$4),IF(DATOS!$G2320="EX",1,IF(DATOS!$G2320="OR",--(COUNTIFS(nNIA,DATOS!$A2320,nCURSO,DATOS!$D2320,nESPEC,DATOS!$E2320,nASIG,DATOS!$I2320,nEVAL,"EX")=0),0))))</f>
      </c>
      <c r="H2320">
        <f>IF(DATOS!$G2320&lt;&gt;"EX",0,--(COUNTIFS(nNIA,DATOS!$A2320,nCURSO,DATOS!$D2320,nESPEC,DATOS!$E2320,nASIG,DATOS!$I2320,nEVAL,"OR")=0))</f>
      </c>
      <c r="I2320">
        <f>IF(DATOS!$I2320="","",IFERROR(VLOOKUP(DATOS!$I2320,CONFIG_ASIGNATURAS!$B$2:$J$91,9,FALSE()),""))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IF(DATOS!$A2321="",0,IF(CONFIG_METADATA!$B$4&lt;&gt;"OR+EX",--(DATOS!$G2321=CONFIG_METADATA!$B$4),IF(DATOS!$G2321="EX",1,IF(DATOS!$G2321="OR",--(COUNTIFS(nNIA,DATOS!$A2321,nCURSO,DATOS!$D2321,nESPEC,DATOS!$E2321,nASIG,DATOS!$I2321,nEVAL,"EX")=0),0))))</f>
      </c>
      <c r="H2321">
        <f>IF(DATOS!$G2321&lt;&gt;"EX",0,--(COUNTIFS(nNIA,DATOS!$A2321,nCURSO,DATOS!$D2321,nESPEC,DATOS!$E2321,nASIG,DATOS!$I2321,nEVAL,"OR")=0))</f>
      </c>
      <c r="I2321">
        <f>IF(DATOS!$I2321="","",IFERROR(VLOOKUP(DATOS!$I2321,CONFIG_ASIGNATURAS!$B$2:$J$91,9,FALSE()),""))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IF(DATOS!$A2322="",0,IF(CONFIG_METADATA!$B$4&lt;&gt;"OR+EX",--(DATOS!$G2322=CONFIG_METADATA!$B$4),IF(DATOS!$G2322="EX",1,IF(DATOS!$G2322="OR",--(COUNTIFS(nNIA,DATOS!$A2322,nCURSO,DATOS!$D2322,nESPEC,DATOS!$E2322,nASIG,DATOS!$I2322,nEVAL,"EX")=0),0))))</f>
      </c>
      <c r="H2322">
        <f>IF(DATOS!$G2322&lt;&gt;"EX",0,--(COUNTIFS(nNIA,DATOS!$A2322,nCURSO,DATOS!$D2322,nESPEC,DATOS!$E2322,nASIG,DATOS!$I2322,nEVAL,"OR")=0))</f>
      </c>
      <c r="I2322">
        <f>IF(DATOS!$I2322="","",IFERROR(VLOOKUP(DATOS!$I2322,CONFIG_ASIGNATURAS!$B$2:$J$91,9,FALSE()),""))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IF(DATOS!$A2323="",0,IF(CONFIG_METADATA!$B$4&lt;&gt;"OR+EX",--(DATOS!$G2323=CONFIG_METADATA!$B$4),IF(DATOS!$G2323="EX",1,IF(DATOS!$G2323="OR",--(COUNTIFS(nNIA,DATOS!$A2323,nCURSO,DATOS!$D2323,nESPEC,DATOS!$E2323,nASIG,DATOS!$I2323,nEVAL,"EX")=0),0))))</f>
      </c>
      <c r="H2323">
        <f>IF(DATOS!$G2323&lt;&gt;"EX",0,--(COUNTIFS(nNIA,DATOS!$A2323,nCURSO,DATOS!$D2323,nESPEC,DATOS!$E2323,nASIG,DATOS!$I2323,nEVAL,"OR")=0))</f>
      </c>
      <c r="I2323">
        <f>IF(DATOS!$I2323="","",IFERROR(VLOOKUP(DATOS!$I2323,CONFIG_ASIGNATURAS!$B$2:$J$91,9,FALSE()),""))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IF(DATOS!$A2324="",0,IF(CONFIG_METADATA!$B$4&lt;&gt;"OR+EX",--(DATOS!$G2324=CONFIG_METADATA!$B$4),IF(DATOS!$G2324="EX",1,IF(DATOS!$G2324="OR",--(COUNTIFS(nNIA,DATOS!$A2324,nCURSO,DATOS!$D2324,nESPEC,DATOS!$E2324,nASIG,DATOS!$I2324,nEVAL,"EX")=0),0))))</f>
      </c>
      <c r="H2324">
        <f>IF(DATOS!$G2324&lt;&gt;"EX",0,--(COUNTIFS(nNIA,DATOS!$A2324,nCURSO,DATOS!$D2324,nESPEC,DATOS!$E2324,nASIG,DATOS!$I2324,nEVAL,"OR")=0))</f>
      </c>
      <c r="I2324">
        <f>IF(DATOS!$I2324="","",IFERROR(VLOOKUP(DATOS!$I2324,CONFIG_ASIGNATURAS!$B$2:$J$91,9,FALSE()),""))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IF(DATOS!$A2325="",0,IF(CONFIG_METADATA!$B$4&lt;&gt;"OR+EX",--(DATOS!$G2325=CONFIG_METADATA!$B$4),IF(DATOS!$G2325="EX",1,IF(DATOS!$G2325="OR",--(COUNTIFS(nNIA,DATOS!$A2325,nCURSO,DATOS!$D2325,nESPEC,DATOS!$E2325,nASIG,DATOS!$I2325,nEVAL,"EX")=0),0))))</f>
      </c>
      <c r="H2325">
        <f>IF(DATOS!$G2325&lt;&gt;"EX",0,--(COUNTIFS(nNIA,DATOS!$A2325,nCURSO,DATOS!$D2325,nESPEC,DATOS!$E2325,nASIG,DATOS!$I2325,nEVAL,"OR")=0))</f>
      </c>
      <c r="I2325">
        <f>IF(DATOS!$I2325="","",IFERROR(VLOOKUP(DATOS!$I2325,CONFIG_ASIGNATURAS!$B$2:$J$91,9,FALSE()),""))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IF(DATOS!$A2326="",0,IF(CONFIG_METADATA!$B$4&lt;&gt;"OR+EX",--(DATOS!$G2326=CONFIG_METADATA!$B$4),IF(DATOS!$G2326="EX",1,IF(DATOS!$G2326="OR",--(COUNTIFS(nNIA,DATOS!$A2326,nCURSO,DATOS!$D2326,nESPEC,DATOS!$E2326,nASIG,DATOS!$I2326,nEVAL,"EX")=0),0))))</f>
      </c>
      <c r="H2326">
        <f>IF(DATOS!$G2326&lt;&gt;"EX",0,--(COUNTIFS(nNIA,DATOS!$A2326,nCURSO,DATOS!$D2326,nESPEC,DATOS!$E2326,nASIG,DATOS!$I2326,nEVAL,"OR")=0))</f>
      </c>
      <c r="I2326">
        <f>IF(DATOS!$I2326="","",IFERROR(VLOOKUP(DATOS!$I2326,CONFIG_ASIGNATURAS!$B$2:$J$91,9,FALSE()),""))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IF(DATOS!$A2327="",0,IF(CONFIG_METADATA!$B$4&lt;&gt;"OR+EX",--(DATOS!$G2327=CONFIG_METADATA!$B$4),IF(DATOS!$G2327="EX",1,IF(DATOS!$G2327="OR",--(COUNTIFS(nNIA,DATOS!$A2327,nCURSO,DATOS!$D2327,nESPEC,DATOS!$E2327,nASIG,DATOS!$I2327,nEVAL,"EX")=0),0))))</f>
      </c>
      <c r="H2327">
        <f>IF(DATOS!$G2327&lt;&gt;"EX",0,--(COUNTIFS(nNIA,DATOS!$A2327,nCURSO,DATOS!$D2327,nESPEC,DATOS!$E2327,nASIG,DATOS!$I2327,nEVAL,"OR")=0))</f>
      </c>
      <c r="I2327">
        <f>IF(DATOS!$I2327="","",IFERROR(VLOOKUP(DATOS!$I2327,CONFIG_ASIGNATURAS!$B$2:$J$91,9,FALSE()),""))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IF(DATOS!$A2328="",0,IF(CONFIG_METADATA!$B$4&lt;&gt;"OR+EX",--(DATOS!$G2328=CONFIG_METADATA!$B$4),IF(DATOS!$G2328="EX",1,IF(DATOS!$G2328="OR",--(COUNTIFS(nNIA,DATOS!$A2328,nCURSO,DATOS!$D2328,nESPEC,DATOS!$E2328,nASIG,DATOS!$I2328,nEVAL,"EX")=0),0))))</f>
      </c>
      <c r="H2328">
        <f>IF(DATOS!$G2328&lt;&gt;"EX",0,--(COUNTIFS(nNIA,DATOS!$A2328,nCURSO,DATOS!$D2328,nESPEC,DATOS!$E2328,nASIG,DATOS!$I2328,nEVAL,"OR")=0))</f>
      </c>
      <c r="I2328">
        <f>IF(DATOS!$I2328="","",IFERROR(VLOOKUP(DATOS!$I2328,CONFIG_ASIGNATURAS!$B$2:$J$91,9,FALSE()),""))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IF(DATOS!$A2329="",0,IF(CONFIG_METADATA!$B$4&lt;&gt;"OR+EX",--(DATOS!$G2329=CONFIG_METADATA!$B$4),IF(DATOS!$G2329="EX",1,IF(DATOS!$G2329="OR",--(COUNTIFS(nNIA,DATOS!$A2329,nCURSO,DATOS!$D2329,nESPEC,DATOS!$E2329,nASIG,DATOS!$I2329,nEVAL,"EX")=0),0))))</f>
      </c>
      <c r="H2329">
        <f>IF(DATOS!$G2329&lt;&gt;"EX",0,--(COUNTIFS(nNIA,DATOS!$A2329,nCURSO,DATOS!$D2329,nESPEC,DATOS!$E2329,nASIG,DATOS!$I2329,nEVAL,"OR")=0))</f>
      </c>
      <c r="I2329">
        <f>IF(DATOS!$I2329="","",IFERROR(VLOOKUP(DATOS!$I2329,CONFIG_ASIGNATURAS!$B$2:$J$91,9,FALSE()),""))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IF(DATOS!$A2330="",0,IF(CONFIG_METADATA!$B$4&lt;&gt;"OR+EX",--(DATOS!$G2330=CONFIG_METADATA!$B$4),IF(DATOS!$G2330="EX",1,IF(DATOS!$G2330="OR",--(COUNTIFS(nNIA,DATOS!$A2330,nCURSO,DATOS!$D2330,nESPEC,DATOS!$E2330,nASIG,DATOS!$I2330,nEVAL,"EX")=0),0))))</f>
      </c>
      <c r="H2330">
        <f>IF(DATOS!$G2330&lt;&gt;"EX",0,--(COUNTIFS(nNIA,DATOS!$A2330,nCURSO,DATOS!$D2330,nESPEC,DATOS!$E2330,nASIG,DATOS!$I2330,nEVAL,"OR")=0))</f>
      </c>
      <c r="I2330">
        <f>IF(DATOS!$I2330="","",IFERROR(VLOOKUP(DATOS!$I2330,CONFIG_ASIGNATURAS!$B$2:$J$91,9,FALSE()),""))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IF(DATOS!$A2331="",0,IF(CONFIG_METADATA!$B$4&lt;&gt;"OR+EX",--(DATOS!$G2331=CONFIG_METADATA!$B$4),IF(DATOS!$G2331="EX",1,IF(DATOS!$G2331="OR",--(COUNTIFS(nNIA,DATOS!$A2331,nCURSO,DATOS!$D2331,nESPEC,DATOS!$E2331,nASIG,DATOS!$I2331,nEVAL,"EX")=0),0))))</f>
      </c>
      <c r="H2331">
        <f>IF(DATOS!$G2331&lt;&gt;"EX",0,--(COUNTIFS(nNIA,DATOS!$A2331,nCURSO,DATOS!$D2331,nESPEC,DATOS!$E2331,nASIG,DATOS!$I2331,nEVAL,"OR")=0))</f>
      </c>
      <c r="I2331">
        <f>IF(DATOS!$I2331="","",IFERROR(VLOOKUP(DATOS!$I2331,CONFIG_ASIGNATURAS!$B$2:$J$91,9,FALSE()),""))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IF(DATOS!$A2332="",0,IF(CONFIG_METADATA!$B$4&lt;&gt;"OR+EX",--(DATOS!$G2332=CONFIG_METADATA!$B$4),IF(DATOS!$G2332="EX",1,IF(DATOS!$G2332="OR",--(COUNTIFS(nNIA,DATOS!$A2332,nCURSO,DATOS!$D2332,nESPEC,DATOS!$E2332,nASIG,DATOS!$I2332,nEVAL,"EX")=0),0))))</f>
      </c>
      <c r="H2332">
        <f>IF(DATOS!$G2332&lt;&gt;"EX",0,--(COUNTIFS(nNIA,DATOS!$A2332,nCURSO,DATOS!$D2332,nESPEC,DATOS!$E2332,nASIG,DATOS!$I2332,nEVAL,"OR")=0))</f>
      </c>
      <c r="I2332">
        <f>IF(DATOS!$I2332="","",IFERROR(VLOOKUP(DATOS!$I2332,CONFIG_ASIGNATURAS!$B$2:$J$91,9,FALSE()),""))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IF(DATOS!$A2333="",0,IF(CONFIG_METADATA!$B$4&lt;&gt;"OR+EX",--(DATOS!$G2333=CONFIG_METADATA!$B$4),IF(DATOS!$G2333="EX",1,IF(DATOS!$G2333="OR",--(COUNTIFS(nNIA,DATOS!$A2333,nCURSO,DATOS!$D2333,nESPEC,DATOS!$E2333,nASIG,DATOS!$I2333,nEVAL,"EX")=0),0))))</f>
      </c>
      <c r="H2333">
        <f>IF(DATOS!$G2333&lt;&gt;"EX",0,--(COUNTIFS(nNIA,DATOS!$A2333,nCURSO,DATOS!$D2333,nESPEC,DATOS!$E2333,nASIG,DATOS!$I2333,nEVAL,"OR")=0))</f>
      </c>
      <c r="I2333">
        <f>IF(DATOS!$I2333="","",IFERROR(VLOOKUP(DATOS!$I2333,CONFIG_ASIGNATURAS!$B$2:$J$91,9,FALSE()),""))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IF(DATOS!$A2334="",0,IF(CONFIG_METADATA!$B$4&lt;&gt;"OR+EX",--(DATOS!$G2334=CONFIG_METADATA!$B$4),IF(DATOS!$G2334="EX",1,IF(DATOS!$G2334="OR",--(COUNTIFS(nNIA,DATOS!$A2334,nCURSO,DATOS!$D2334,nESPEC,DATOS!$E2334,nASIG,DATOS!$I2334,nEVAL,"EX")=0),0))))</f>
      </c>
      <c r="H2334">
        <f>IF(DATOS!$G2334&lt;&gt;"EX",0,--(COUNTIFS(nNIA,DATOS!$A2334,nCURSO,DATOS!$D2334,nESPEC,DATOS!$E2334,nASIG,DATOS!$I2334,nEVAL,"OR")=0))</f>
      </c>
      <c r="I2334">
        <f>IF(DATOS!$I2334="","",IFERROR(VLOOKUP(DATOS!$I2334,CONFIG_ASIGNATURAS!$B$2:$J$91,9,FALSE()),""))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IF(DATOS!$A2335="",0,IF(CONFIG_METADATA!$B$4&lt;&gt;"OR+EX",--(DATOS!$G2335=CONFIG_METADATA!$B$4),IF(DATOS!$G2335="EX",1,IF(DATOS!$G2335="OR",--(COUNTIFS(nNIA,DATOS!$A2335,nCURSO,DATOS!$D2335,nESPEC,DATOS!$E2335,nASIG,DATOS!$I2335,nEVAL,"EX")=0),0))))</f>
      </c>
      <c r="H2335">
        <f>IF(DATOS!$G2335&lt;&gt;"EX",0,--(COUNTIFS(nNIA,DATOS!$A2335,nCURSO,DATOS!$D2335,nESPEC,DATOS!$E2335,nASIG,DATOS!$I2335,nEVAL,"OR")=0))</f>
      </c>
      <c r="I2335">
        <f>IF(DATOS!$I2335="","",IFERROR(VLOOKUP(DATOS!$I2335,CONFIG_ASIGNATURAS!$B$2:$J$91,9,FALSE()),""))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IF(DATOS!$A2336="",0,IF(CONFIG_METADATA!$B$4&lt;&gt;"OR+EX",--(DATOS!$G2336=CONFIG_METADATA!$B$4),IF(DATOS!$G2336="EX",1,IF(DATOS!$G2336="OR",--(COUNTIFS(nNIA,DATOS!$A2336,nCURSO,DATOS!$D2336,nESPEC,DATOS!$E2336,nASIG,DATOS!$I2336,nEVAL,"EX")=0),0))))</f>
      </c>
      <c r="H2336">
        <f>IF(DATOS!$G2336&lt;&gt;"EX",0,--(COUNTIFS(nNIA,DATOS!$A2336,nCURSO,DATOS!$D2336,nESPEC,DATOS!$E2336,nASIG,DATOS!$I2336,nEVAL,"OR")=0))</f>
      </c>
      <c r="I2336">
        <f>IF(DATOS!$I2336="","",IFERROR(VLOOKUP(DATOS!$I2336,CONFIG_ASIGNATURAS!$B$2:$J$91,9,FALSE()),""))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IF(DATOS!$A2337="",0,IF(CONFIG_METADATA!$B$4&lt;&gt;"OR+EX",--(DATOS!$G2337=CONFIG_METADATA!$B$4),IF(DATOS!$G2337="EX",1,IF(DATOS!$G2337="OR",--(COUNTIFS(nNIA,DATOS!$A2337,nCURSO,DATOS!$D2337,nESPEC,DATOS!$E2337,nASIG,DATOS!$I2337,nEVAL,"EX")=0),0))))</f>
      </c>
      <c r="H2337">
        <f>IF(DATOS!$G2337&lt;&gt;"EX",0,--(COUNTIFS(nNIA,DATOS!$A2337,nCURSO,DATOS!$D2337,nESPEC,DATOS!$E2337,nASIG,DATOS!$I2337,nEVAL,"OR")=0))</f>
      </c>
      <c r="I2337">
        <f>IF(DATOS!$I2337="","",IFERROR(VLOOKUP(DATOS!$I2337,CONFIG_ASIGNATURAS!$B$2:$J$91,9,FALSE()),""))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IF(DATOS!$A2338="",0,IF(CONFIG_METADATA!$B$4&lt;&gt;"OR+EX",--(DATOS!$G2338=CONFIG_METADATA!$B$4),IF(DATOS!$G2338="EX",1,IF(DATOS!$G2338="OR",--(COUNTIFS(nNIA,DATOS!$A2338,nCURSO,DATOS!$D2338,nESPEC,DATOS!$E2338,nASIG,DATOS!$I2338,nEVAL,"EX")=0),0))))</f>
      </c>
      <c r="H2338">
        <f>IF(DATOS!$G2338&lt;&gt;"EX",0,--(COUNTIFS(nNIA,DATOS!$A2338,nCURSO,DATOS!$D2338,nESPEC,DATOS!$E2338,nASIG,DATOS!$I2338,nEVAL,"OR")=0))</f>
      </c>
      <c r="I2338">
        <f>IF(DATOS!$I2338="","",IFERROR(VLOOKUP(DATOS!$I2338,CONFIG_ASIGNATURAS!$B$2:$J$91,9,FALSE()),""))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IF(DATOS!$A2339="",0,IF(CONFIG_METADATA!$B$4&lt;&gt;"OR+EX",--(DATOS!$G2339=CONFIG_METADATA!$B$4),IF(DATOS!$G2339="EX",1,IF(DATOS!$G2339="OR",--(COUNTIFS(nNIA,DATOS!$A2339,nCURSO,DATOS!$D2339,nESPEC,DATOS!$E2339,nASIG,DATOS!$I2339,nEVAL,"EX")=0),0))))</f>
      </c>
      <c r="H2339">
        <f>IF(DATOS!$G2339&lt;&gt;"EX",0,--(COUNTIFS(nNIA,DATOS!$A2339,nCURSO,DATOS!$D2339,nESPEC,DATOS!$E2339,nASIG,DATOS!$I2339,nEVAL,"OR")=0))</f>
      </c>
      <c r="I2339">
        <f>IF(DATOS!$I2339="","",IFERROR(VLOOKUP(DATOS!$I2339,CONFIG_ASIGNATURAS!$B$2:$J$91,9,FALSE()),""))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IF(DATOS!$A2340="",0,IF(CONFIG_METADATA!$B$4&lt;&gt;"OR+EX",--(DATOS!$G2340=CONFIG_METADATA!$B$4),IF(DATOS!$G2340="EX",1,IF(DATOS!$G2340="OR",--(COUNTIFS(nNIA,DATOS!$A2340,nCURSO,DATOS!$D2340,nESPEC,DATOS!$E2340,nASIG,DATOS!$I2340,nEVAL,"EX")=0),0))))</f>
      </c>
      <c r="H2340">
        <f>IF(DATOS!$G2340&lt;&gt;"EX",0,--(COUNTIFS(nNIA,DATOS!$A2340,nCURSO,DATOS!$D2340,nESPEC,DATOS!$E2340,nASIG,DATOS!$I2340,nEVAL,"OR")=0))</f>
      </c>
      <c r="I2340">
        <f>IF(DATOS!$I2340="","",IFERROR(VLOOKUP(DATOS!$I2340,CONFIG_ASIGNATURAS!$B$2:$J$91,9,FALSE()),""))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IF(DATOS!$A2341="",0,IF(CONFIG_METADATA!$B$4&lt;&gt;"OR+EX",--(DATOS!$G2341=CONFIG_METADATA!$B$4),IF(DATOS!$G2341="EX",1,IF(DATOS!$G2341="OR",--(COUNTIFS(nNIA,DATOS!$A2341,nCURSO,DATOS!$D2341,nESPEC,DATOS!$E2341,nASIG,DATOS!$I2341,nEVAL,"EX")=0),0))))</f>
      </c>
      <c r="H2341">
        <f>IF(DATOS!$G2341&lt;&gt;"EX",0,--(COUNTIFS(nNIA,DATOS!$A2341,nCURSO,DATOS!$D2341,nESPEC,DATOS!$E2341,nASIG,DATOS!$I2341,nEVAL,"OR")=0))</f>
      </c>
      <c r="I2341">
        <f>IF(DATOS!$I2341="","",IFERROR(VLOOKUP(DATOS!$I2341,CONFIG_ASIGNATURAS!$B$2:$J$91,9,FALSE()),""))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IF(DATOS!$A2342="",0,IF(CONFIG_METADATA!$B$4&lt;&gt;"OR+EX",--(DATOS!$G2342=CONFIG_METADATA!$B$4),IF(DATOS!$G2342="EX",1,IF(DATOS!$G2342="OR",--(COUNTIFS(nNIA,DATOS!$A2342,nCURSO,DATOS!$D2342,nESPEC,DATOS!$E2342,nASIG,DATOS!$I2342,nEVAL,"EX")=0),0))))</f>
      </c>
      <c r="H2342">
        <f>IF(DATOS!$G2342&lt;&gt;"EX",0,--(COUNTIFS(nNIA,DATOS!$A2342,nCURSO,DATOS!$D2342,nESPEC,DATOS!$E2342,nASIG,DATOS!$I2342,nEVAL,"OR")=0))</f>
      </c>
      <c r="I2342">
        <f>IF(DATOS!$I2342="","",IFERROR(VLOOKUP(DATOS!$I2342,CONFIG_ASIGNATURAS!$B$2:$J$91,9,FALSE()),""))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IF(DATOS!$A2343="",0,IF(CONFIG_METADATA!$B$4&lt;&gt;"OR+EX",--(DATOS!$G2343=CONFIG_METADATA!$B$4),IF(DATOS!$G2343="EX",1,IF(DATOS!$G2343="OR",--(COUNTIFS(nNIA,DATOS!$A2343,nCURSO,DATOS!$D2343,nESPEC,DATOS!$E2343,nASIG,DATOS!$I2343,nEVAL,"EX")=0),0))))</f>
      </c>
      <c r="H2343">
        <f>IF(DATOS!$G2343&lt;&gt;"EX",0,--(COUNTIFS(nNIA,DATOS!$A2343,nCURSO,DATOS!$D2343,nESPEC,DATOS!$E2343,nASIG,DATOS!$I2343,nEVAL,"OR")=0))</f>
      </c>
      <c r="I2343">
        <f>IF(DATOS!$I2343="","",IFERROR(VLOOKUP(DATOS!$I2343,CONFIG_ASIGNATURAS!$B$2:$J$91,9,FALSE()),""))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IF(DATOS!$A2344="",0,IF(CONFIG_METADATA!$B$4&lt;&gt;"OR+EX",--(DATOS!$G2344=CONFIG_METADATA!$B$4),IF(DATOS!$G2344="EX",1,IF(DATOS!$G2344="OR",--(COUNTIFS(nNIA,DATOS!$A2344,nCURSO,DATOS!$D2344,nESPEC,DATOS!$E2344,nASIG,DATOS!$I2344,nEVAL,"EX")=0),0))))</f>
      </c>
      <c r="H2344">
        <f>IF(DATOS!$G2344&lt;&gt;"EX",0,--(COUNTIFS(nNIA,DATOS!$A2344,nCURSO,DATOS!$D2344,nESPEC,DATOS!$E2344,nASIG,DATOS!$I2344,nEVAL,"OR")=0))</f>
      </c>
      <c r="I2344">
        <f>IF(DATOS!$I2344="","",IFERROR(VLOOKUP(DATOS!$I2344,CONFIG_ASIGNATURAS!$B$2:$J$91,9,FALSE()),""))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IF(DATOS!$A2345="",0,IF(CONFIG_METADATA!$B$4&lt;&gt;"OR+EX",--(DATOS!$G2345=CONFIG_METADATA!$B$4),IF(DATOS!$G2345="EX",1,IF(DATOS!$G2345="OR",--(COUNTIFS(nNIA,DATOS!$A2345,nCURSO,DATOS!$D2345,nESPEC,DATOS!$E2345,nASIG,DATOS!$I2345,nEVAL,"EX")=0),0))))</f>
      </c>
      <c r="H2345">
        <f>IF(DATOS!$G2345&lt;&gt;"EX",0,--(COUNTIFS(nNIA,DATOS!$A2345,nCURSO,DATOS!$D2345,nESPEC,DATOS!$E2345,nASIG,DATOS!$I2345,nEVAL,"OR")=0))</f>
      </c>
      <c r="I2345">
        <f>IF(DATOS!$I2345="","",IFERROR(VLOOKUP(DATOS!$I2345,CONFIG_ASIGNATURAS!$B$2:$J$91,9,FALSE()),""))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IF(DATOS!$A2346="",0,IF(CONFIG_METADATA!$B$4&lt;&gt;"OR+EX",--(DATOS!$G2346=CONFIG_METADATA!$B$4),IF(DATOS!$G2346="EX",1,IF(DATOS!$G2346="OR",--(COUNTIFS(nNIA,DATOS!$A2346,nCURSO,DATOS!$D2346,nESPEC,DATOS!$E2346,nASIG,DATOS!$I2346,nEVAL,"EX")=0),0))))</f>
      </c>
      <c r="H2346">
        <f>IF(DATOS!$G2346&lt;&gt;"EX",0,--(COUNTIFS(nNIA,DATOS!$A2346,nCURSO,DATOS!$D2346,nESPEC,DATOS!$E2346,nASIG,DATOS!$I2346,nEVAL,"OR")=0))</f>
      </c>
      <c r="I2346">
        <f>IF(DATOS!$I2346="","",IFERROR(VLOOKUP(DATOS!$I2346,CONFIG_ASIGNATURAS!$B$2:$J$91,9,FALSE()),""))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IF(DATOS!$A2347="",0,IF(CONFIG_METADATA!$B$4&lt;&gt;"OR+EX",--(DATOS!$G2347=CONFIG_METADATA!$B$4),IF(DATOS!$G2347="EX",1,IF(DATOS!$G2347="OR",--(COUNTIFS(nNIA,DATOS!$A2347,nCURSO,DATOS!$D2347,nESPEC,DATOS!$E2347,nASIG,DATOS!$I2347,nEVAL,"EX")=0),0))))</f>
      </c>
      <c r="H2347">
        <f>IF(DATOS!$G2347&lt;&gt;"EX",0,--(COUNTIFS(nNIA,DATOS!$A2347,nCURSO,DATOS!$D2347,nESPEC,DATOS!$E2347,nASIG,DATOS!$I2347,nEVAL,"OR")=0))</f>
      </c>
      <c r="I2347">
        <f>IF(DATOS!$I2347="","",IFERROR(VLOOKUP(DATOS!$I2347,CONFIG_ASIGNATURAS!$B$2:$J$91,9,FALSE()),""))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IF(DATOS!$A2348="",0,IF(CONFIG_METADATA!$B$4&lt;&gt;"OR+EX",--(DATOS!$G2348=CONFIG_METADATA!$B$4),IF(DATOS!$G2348="EX",1,IF(DATOS!$G2348="OR",--(COUNTIFS(nNIA,DATOS!$A2348,nCURSO,DATOS!$D2348,nESPEC,DATOS!$E2348,nASIG,DATOS!$I2348,nEVAL,"EX")=0),0))))</f>
      </c>
      <c r="H2348">
        <f>IF(DATOS!$G2348&lt;&gt;"EX",0,--(COUNTIFS(nNIA,DATOS!$A2348,nCURSO,DATOS!$D2348,nESPEC,DATOS!$E2348,nASIG,DATOS!$I2348,nEVAL,"OR")=0))</f>
      </c>
      <c r="I2348">
        <f>IF(DATOS!$I2348="","",IFERROR(VLOOKUP(DATOS!$I2348,CONFIG_ASIGNATURAS!$B$2:$J$91,9,FALSE()),""))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IF(DATOS!$A2349="",0,IF(CONFIG_METADATA!$B$4&lt;&gt;"OR+EX",--(DATOS!$G2349=CONFIG_METADATA!$B$4),IF(DATOS!$G2349="EX",1,IF(DATOS!$G2349="OR",--(COUNTIFS(nNIA,DATOS!$A2349,nCURSO,DATOS!$D2349,nESPEC,DATOS!$E2349,nASIG,DATOS!$I2349,nEVAL,"EX")=0),0))))</f>
      </c>
      <c r="H2349">
        <f>IF(DATOS!$G2349&lt;&gt;"EX",0,--(COUNTIFS(nNIA,DATOS!$A2349,nCURSO,DATOS!$D2349,nESPEC,DATOS!$E2349,nASIG,DATOS!$I2349,nEVAL,"OR")=0))</f>
      </c>
      <c r="I2349">
        <f>IF(DATOS!$I2349="","",IFERROR(VLOOKUP(DATOS!$I2349,CONFIG_ASIGNATURAS!$B$2:$J$91,9,FALSE()),""))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IF(DATOS!$A2350="",0,IF(CONFIG_METADATA!$B$4&lt;&gt;"OR+EX",--(DATOS!$G2350=CONFIG_METADATA!$B$4),IF(DATOS!$G2350="EX",1,IF(DATOS!$G2350="OR",--(COUNTIFS(nNIA,DATOS!$A2350,nCURSO,DATOS!$D2350,nESPEC,DATOS!$E2350,nASIG,DATOS!$I2350,nEVAL,"EX")=0),0))))</f>
      </c>
      <c r="H2350">
        <f>IF(DATOS!$G2350&lt;&gt;"EX",0,--(COUNTIFS(nNIA,DATOS!$A2350,nCURSO,DATOS!$D2350,nESPEC,DATOS!$E2350,nASIG,DATOS!$I2350,nEVAL,"OR")=0))</f>
      </c>
      <c r="I2350">
        <f>IF(DATOS!$I2350="","",IFERROR(VLOOKUP(DATOS!$I2350,CONFIG_ASIGNATURAS!$B$2:$J$91,9,FALSE()),""))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IF(DATOS!$A2351="",0,IF(CONFIG_METADATA!$B$4&lt;&gt;"OR+EX",--(DATOS!$G2351=CONFIG_METADATA!$B$4),IF(DATOS!$G2351="EX",1,IF(DATOS!$G2351="OR",--(COUNTIFS(nNIA,DATOS!$A2351,nCURSO,DATOS!$D2351,nESPEC,DATOS!$E2351,nASIG,DATOS!$I2351,nEVAL,"EX")=0),0))))</f>
      </c>
      <c r="H2351">
        <f>IF(DATOS!$G2351&lt;&gt;"EX",0,--(COUNTIFS(nNIA,DATOS!$A2351,nCURSO,DATOS!$D2351,nESPEC,DATOS!$E2351,nASIG,DATOS!$I2351,nEVAL,"OR")=0))</f>
      </c>
      <c r="I2351">
        <f>IF(DATOS!$I2351="","",IFERROR(VLOOKUP(DATOS!$I2351,CONFIG_ASIGNATURAS!$B$2:$J$91,9,FALSE()),""))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IF(DATOS!$A2352="",0,IF(CONFIG_METADATA!$B$4&lt;&gt;"OR+EX",--(DATOS!$G2352=CONFIG_METADATA!$B$4),IF(DATOS!$G2352="EX",1,IF(DATOS!$G2352="OR",--(COUNTIFS(nNIA,DATOS!$A2352,nCURSO,DATOS!$D2352,nESPEC,DATOS!$E2352,nASIG,DATOS!$I2352,nEVAL,"EX")=0),0))))</f>
      </c>
      <c r="H2352">
        <f>IF(DATOS!$G2352&lt;&gt;"EX",0,--(COUNTIFS(nNIA,DATOS!$A2352,nCURSO,DATOS!$D2352,nESPEC,DATOS!$E2352,nASIG,DATOS!$I2352,nEVAL,"OR")=0))</f>
      </c>
      <c r="I2352">
        <f>IF(DATOS!$I2352="","",IFERROR(VLOOKUP(DATOS!$I2352,CONFIG_ASIGNATURAS!$B$2:$J$91,9,FALSE()),""))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IF(DATOS!$A2353="",0,IF(CONFIG_METADATA!$B$4&lt;&gt;"OR+EX",--(DATOS!$G2353=CONFIG_METADATA!$B$4),IF(DATOS!$G2353="EX",1,IF(DATOS!$G2353="OR",--(COUNTIFS(nNIA,DATOS!$A2353,nCURSO,DATOS!$D2353,nESPEC,DATOS!$E2353,nASIG,DATOS!$I2353,nEVAL,"EX")=0),0))))</f>
      </c>
      <c r="H2353">
        <f>IF(DATOS!$G2353&lt;&gt;"EX",0,--(COUNTIFS(nNIA,DATOS!$A2353,nCURSO,DATOS!$D2353,nESPEC,DATOS!$E2353,nASIG,DATOS!$I2353,nEVAL,"OR")=0))</f>
      </c>
      <c r="I2353">
        <f>IF(DATOS!$I2353="","",IFERROR(VLOOKUP(DATOS!$I2353,CONFIG_ASIGNATURAS!$B$2:$J$91,9,FALSE()),""))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IF(DATOS!$A2354="",0,IF(CONFIG_METADATA!$B$4&lt;&gt;"OR+EX",--(DATOS!$G2354=CONFIG_METADATA!$B$4),IF(DATOS!$G2354="EX",1,IF(DATOS!$G2354="OR",--(COUNTIFS(nNIA,DATOS!$A2354,nCURSO,DATOS!$D2354,nESPEC,DATOS!$E2354,nASIG,DATOS!$I2354,nEVAL,"EX")=0),0))))</f>
      </c>
      <c r="H2354">
        <f>IF(DATOS!$G2354&lt;&gt;"EX",0,--(COUNTIFS(nNIA,DATOS!$A2354,nCURSO,DATOS!$D2354,nESPEC,DATOS!$E2354,nASIG,DATOS!$I2354,nEVAL,"OR")=0))</f>
      </c>
      <c r="I2354">
        <f>IF(DATOS!$I2354="","",IFERROR(VLOOKUP(DATOS!$I2354,CONFIG_ASIGNATURAS!$B$2:$J$91,9,FALSE()),""))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IF(DATOS!$A2355="",0,IF(CONFIG_METADATA!$B$4&lt;&gt;"OR+EX",--(DATOS!$G2355=CONFIG_METADATA!$B$4),IF(DATOS!$G2355="EX",1,IF(DATOS!$G2355="OR",--(COUNTIFS(nNIA,DATOS!$A2355,nCURSO,DATOS!$D2355,nESPEC,DATOS!$E2355,nASIG,DATOS!$I2355,nEVAL,"EX")=0),0))))</f>
      </c>
      <c r="H2355">
        <f>IF(DATOS!$G2355&lt;&gt;"EX",0,--(COUNTIFS(nNIA,DATOS!$A2355,nCURSO,DATOS!$D2355,nESPEC,DATOS!$E2355,nASIG,DATOS!$I2355,nEVAL,"OR")=0))</f>
      </c>
      <c r="I2355">
        <f>IF(DATOS!$I2355="","",IFERROR(VLOOKUP(DATOS!$I2355,CONFIG_ASIGNATURAS!$B$2:$J$91,9,FALSE()),""))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IF(DATOS!$A2356="",0,IF(CONFIG_METADATA!$B$4&lt;&gt;"OR+EX",--(DATOS!$G2356=CONFIG_METADATA!$B$4),IF(DATOS!$G2356="EX",1,IF(DATOS!$G2356="OR",--(COUNTIFS(nNIA,DATOS!$A2356,nCURSO,DATOS!$D2356,nESPEC,DATOS!$E2356,nASIG,DATOS!$I2356,nEVAL,"EX")=0),0))))</f>
      </c>
      <c r="H2356">
        <f>IF(DATOS!$G2356&lt;&gt;"EX",0,--(COUNTIFS(nNIA,DATOS!$A2356,nCURSO,DATOS!$D2356,nESPEC,DATOS!$E2356,nASIG,DATOS!$I2356,nEVAL,"OR")=0))</f>
      </c>
      <c r="I2356">
        <f>IF(DATOS!$I2356="","",IFERROR(VLOOKUP(DATOS!$I2356,CONFIG_ASIGNATURAS!$B$2:$J$91,9,FALSE()),""))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IF(DATOS!$A2357="",0,IF(CONFIG_METADATA!$B$4&lt;&gt;"OR+EX",--(DATOS!$G2357=CONFIG_METADATA!$B$4),IF(DATOS!$G2357="EX",1,IF(DATOS!$G2357="OR",--(COUNTIFS(nNIA,DATOS!$A2357,nCURSO,DATOS!$D2357,nESPEC,DATOS!$E2357,nASIG,DATOS!$I2357,nEVAL,"EX")=0),0))))</f>
      </c>
      <c r="H2357">
        <f>IF(DATOS!$G2357&lt;&gt;"EX",0,--(COUNTIFS(nNIA,DATOS!$A2357,nCURSO,DATOS!$D2357,nESPEC,DATOS!$E2357,nASIG,DATOS!$I2357,nEVAL,"OR")=0))</f>
      </c>
      <c r="I2357">
        <f>IF(DATOS!$I2357="","",IFERROR(VLOOKUP(DATOS!$I2357,CONFIG_ASIGNATURAS!$B$2:$J$91,9,FALSE()),""))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IF(DATOS!$A2358="",0,IF(CONFIG_METADATA!$B$4&lt;&gt;"OR+EX",--(DATOS!$G2358=CONFIG_METADATA!$B$4),IF(DATOS!$G2358="EX",1,IF(DATOS!$G2358="OR",--(COUNTIFS(nNIA,DATOS!$A2358,nCURSO,DATOS!$D2358,nESPEC,DATOS!$E2358,nASIG,DATOS!$I2358,nEVAL,"EX")=0),0))))</f>
      </c>
      <c r="H2358">
        <f>IF(DATOS!$G2358&lt;&gt;"EX",0,--(COUNTIFS(nNIA,DATOS!$A2358,nCURSO,DATOS!$D2358,nESPEC,DATOS!$E2358,nASIG,DATOS!$I2358,nEVAL,"OR")=0))</f>
      </c>
      <c r="I2358">
        <f>IF(DATOS!$I2358="","",IFERROR(VLOOKUP(DATOS!$I2358,CONFIG_ASIGNATURAS!$B$2:$J$91,9,FALSE()),""))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IF(DATOS!$A2359="",0,IF(CONFIG_METADATA!$B$4&lt;&gt;"OR+EX",--(DATOS!$G2359=CONFIG_METADATA!$B$4),IF(DATOS!$G2359="EX",1,IF(DATOS!$G2359="OR",--(COUNTIFS(nNIA,DATOS!$A2359,nCURSO,DATOS!$D2359,nESPEC,DATOS!$E2359,nASIG,DATOS!$I2359,nEVAL,"EX")=0),0))))</f>
      </c>
      <c r="H2359">
        <f>IF(DATOS!$G2359&lt;&gt;"EX",0,--(COUNTIFS(nNIA,DATOS!$A2359,nCURSO,DATOS!$D2359,nESPEC,DATOS!$E2359,nASIG,DATOS!$I2359,nEVAL,"OR")=0))</f>
      </c>
      <c r="I2359">
        <f>IF(DATOS!$I2359="","",IFERROR(VLOOKUP(DATOS!$I2359,CONFIG_ASIGNATURAS!$B$2:$J$91,9,FALSE()),""))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IF(DATOS!$A2360="",0,IF(CONFIG_METADATA!$B$4&lt;&gt;"OR+EX",--(DATOS!$G2360=CONFIG_METADATA!$B$4),IF(DATOS!$G2360="EX",1,IF(DATOS!$G2360="OR",--(COUNTIFS(nNIA,DATOS!$A2360,nCURSO,DATOS!$D2360,nESPEC,DATOS!$E2360,nASIG,DATOS!$I2360,nEVAL,"EX")=0),0))))</f>
      </c>
      <c r="H2360">
        <f>IF(DATOS!$G2360&lt;&gt;"EX",0,--(COUNTIFS(nNIA,DATOS!$A2360,nCURSO,DATOS!$D2360,nESPEC,DATOS!$E2360,nASIG,DATOS!$I2360,nEVAL,"OR")=0))</f>
      </c>
      <c r="I2360">
        <f>IF(DATOS!$I2360="","",IFERROR(VLOOKUP(DATOS!$I2360,CONFIG_ASIGNATURAS!$B$2:$J$91,9,FALSE()),""))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IF(DATOS!$A2361="",0,IF(CONFIG_METADATA!$B$4&lt;&gt;"OR+EX",--(DATOS!$G2361=CONFIG_METADATA!$B$4),IF(DATOS!$G2361="EX",1,IF(DATOS!$G2361="OR",--(COUNTIFS(nNIA,DATOS!$A2361,nCURSO,DATOS!$D2361,nESPEC,DATOS!$E2361,nASIG,DATOS!$I2361,nEVAL,"EX")=0),0))))</f>
      </c>
      <c r="H2361">
        <f>IF(DATOS!$G2361&lt;&gt;"EX",0,--(COUNTIFS(nNIA,DATOS!$A2361,nCURSO,DATOS!$D2361,nESPEC,DATOS!$E2361,nASIG,DATOS!$I2361,nEVAL,"OR")=0))</f>
      </c>
      <c r="I2361">
        <f>IF(DATOS!$I2361="","",IFERROR(VLOOKUP(DATOS!$I2361,CONFIG_ASIGNATURAS!$B$2:$J$91,9,FALSE()),""))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IF(DATOS!$A2362="",0,IF(CONFIG_METADATA!$B$4&lt;&gt;"OR+EX",--(DATOS!$G2362=CONFIG_METADATA!$B$4),IF(DATOS!$G2362="EX",1,IF(DATOS!$G2362="OR",--(COUNTIFS(nNIA,DATOS!$A2362,nCURSO,DATOS!$D2362,nESPEC,DATOS!$E2362,nASIG,DATOS!$I2362,nEVAL,"EX")=0),0))))</f>
      </c>
      <c r="H2362">
        <f>IF(DATOS!$G2362&lt;&gt;"EX",0,--(COUNTIFS(nNIA,DATOS!$A2362,nCURSO,DATOS!$D2362,nESPEC,DATOS!$E2362,nASIG,DATOS!$I2362,nEVAL,"OR")=0))</f>
      </c>
      <c r="I2362">
        <f>IF(DATOS!$I2362="","",IFERROR(VLOOKUP(DATOS!$I2362,CONFIG_ASIGNATURAS!$B$2:$J$91,9,FALSE()),""))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IF(DATOS!$A2363="",0,IF(CONFIG_METADATA!$B$4&lt;&gt;"OR+EX",--(DATOS!$G2363=CONFIG_METADATA!$B$4),IF(DATOS!$G2363="EX",1,IF(DATOS!$G2363="OR",--(COUNTIFS(nNIA,DATOS!$A2363,nCURSO,DATOS!$D2363,nESPEC,DATOS!$E2363,nASIG,DATOS!$I2363,nEVAL,"EX")=0),0))))</f>
      </c>
      <c r="H2363">
        <f>IF(DATOS!$G2363&lt;&gt;"EX",0,--(COUNTIFS(nNIA,DATOS!$A2363,nCURSO,DATOS!$D2363,nESPEC,DATOS!$E2363,nASIG,DATOS!$I2363,nEVAL,"OR")=0))</f>
      </c>
      <c r="I2363">
        <f>IF(DATOS!$I2363="","",IFERROR(VLOOKUP(DATOS!$I2363,CONFIG_ASIGNATURAS!$B$2:$J$91,9,FALSE()),""))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IF(DATOS!$A2364="",0,IF(CONFIG_METADATA!$B$4&lt;&gt;"OR+EX",--(DATOS!$G2364=CONFIG_METADATA!$B$4),IF(DATOS!$G2364="EX",1,IF(DATOS!$G2364="OR",--(COUNTIFS(nNIA,DATOS!$A2364,nCURSO,DATOS!$D2364,nESPEC,DATOS!$E2364,nASIG,DATOS!$I2364,nEVAL,"EX")=0),0))))</f>
      </c>
      <c r="H2364">
        <f>IF(DATOS!$G2364&lt;&gt;"EX",0,--(COUNTIFS(nNIA,DATOS!$A2364,nCURSO,DATOS!$D2364,nESPEC,DATOS!$E2364,nASIG,DATOS!$I2364,nEVAL,"OR")=0))</f>
      </c>
      <c r="I2364">
        <f>IF(DATOS!$I2364="","",IFERROR(VLOOKUP(DATOS!$I2364,CONFIG_ASIGNATURAS!$B$2:$J$91,9,FALSE()),""))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IF(DATOS!$A2365="",0,IF(CONFIG_METADATA!$B$4&lt;&gt;"OR+EX",--(DATOS!$G2365=CONFIG_METADATA!$B$4),IF(DATOS!$G2365="EX",1,IF(DATOS!$G2365="OR",--(COUNTIFS(nNIA,DATOS!$A2365,nCURSO,DATOS!$D2365,nESPEC,DATOS!$E2365,nASIG,DATOS!$I2365,nEVAL,"EX")=0),0))))</f>
      </c>
      <c r="H2365">
        <f>IF(DATOS!$G2365&lt;&gt;"EX",0,--(COUNTIFS(nNIA,DATOS!$A2365,nCURSO,DATOS!$D2365,nESPEC,DATOS!$E2365,nASIG,DATOS!$I2365,nEVAL,"OR")=0))</f>
      </c>
      <c r="I2365">
        <f>IF(DATOS!$I2365="","",IFERROR(VLOOKUP(DATOS!$I2365,CONFIG_ASIGNATURAS!$B$2:$J$91,9,FALSE()),""))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IF(DATOS!$A2366="",0,IF(CONFIG_METADATA!$B$4&lt;&gt;"OR+EX",--(DATOS!$G2366=CONFIG_METADATA!$B$4),IF(DATOS!$G2366="EX",1,IF(DATOS!$G2366="OR",--(COUNTIFS(nNIA,DATOS!$A2366,nCURSO,DATOS!$D2366,nESPEC,DATOS!$E2366,nASIG,DATOS!$I2366,nEVAL,"EX")=0),0))))</f>
      </c>
      <c r="H2366">
        <f>IF(DATOS!$G2366&lt;&gt;"EX",0,--(COUNTIFS(nNIA,DATOS!$A2366,nCURSO,DATOS!$D2366,nESPEC,DATOS!$E2366,nASIG,DATOS!$I2366,nEVAL,"OR")=0))</f>
      </c>
      <c r="I2366">
        <f>IF(DATOS!$I2366="","",IFERROR(VLOOKUP(DATOS!$I2366,CONFIG_ASIGNATURAS!$B$2:$J$91,9,FALSE()),""))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IF(DATOS!$A2367="",0,IF(CONFIG_METADATA!$B$4&lt;&gt;"OR+EX",--(DATOS!$G2367=CONFIG_METADATA!$B$4),IF(DATOS!$G2367="EX",1,IF(DATOS!$G2367="OR",--(COUNTIFS(nNIA,DATOS!$A2367,nCURSO,DATOS!$D2367,nESPEC,DATOS!$E2367,nASIG,DATOS!$I2367,nEVAL,"EX")=0),0))))</f>
      </c>
      <c r="H2367">
        <f>IF(DATOS!$G2367&lt;&gt;"EX",0,--(COUNTIFS(nNIA,DATOS!$A2367,nCURSO,DATOS!$D2367,nESPEC,DATOS!$E2367,nASIG,DATOS!$I2367,nEVAL,"OR")=0))</f>
      </c>
      <c r="I2367">
        <f>IF(DATOS!$I2367="","",IFERROR(VLOOKUP(DATOS!$I2367,CONFIG_ASIGNATURAS!$B$2:$J$91,9,FALSE()),""))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IF(DATOS!$A2368="",0,IF(CONFIG_METADATA!$B$4&lt;&gt;"OR+EX",--(DATOS!$G2368=CONFIG_METADATA!$B$4),IF(DATOS!$G2368="EX",1,IF(DATOS!$G2368="OR",--(COUNTIFS(nNIA,DATOS!$A2368,nCURSO,DATOS!$D2368,nESPEC,DATOS!$E2368,nASIG,DATOS!$I2368,nEVAL,"EX")=0),0))))</f>
      </c>
      <c r="H2368">
        <f>IF(DATOS!$G2368&lt;&gt;"EX",0,--(COUNTIFS(nNIA,DATOS!$A2368,nCURSO,DATOS!$D2368,nESPEC,DATOS!$E2368,nASIG,DATOS!$I2368,nEVAL,"OR")=0))</f>
      </c>
      <c r="I2368">
        <f>IF(DATOS!$I2368="","",IFERROR(VLOOKUP(DATOS!$I2368,CONFIG_ASIGNATURAS!$B$2:$J$91,9,FALSE()),""))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IF(DATOS!$A2369="",0,IF(CONFIG_METADATA!$B$4&lt;&gt;"OR+EX",--(DATOS!$G2369=CONFIG_METADATA!$B$4),IF(DATOS!$G2369="EX",1,IF(DATOS!$G2369="OR",--(COUNTIFS(nNIA,DATOS!$A2369,nCURSO,DATOS!$D2369,nESPEC,DATOS!$E2369,nASIG,DATOS!$I2369,nEVAL,"EX")=0),0))))</f>
      </c>
      <c r="H2369">
        <f>IF(DATOS!$G2369&lt;&gt;"EX",0,--(COUNTIFS(nNIA,DATOS!$A2369,nCURSO,DATOS!$D2369,nESPEC,DATOS!$E2369,nASIG,DATOS!$I2369,nEVAL,"OR")=0))</f>
      </c>
      <c r="I2369">
        <f>IF(DATOS!$I2369="","",IFERROR(VLOOKUP(DATOS!$I2369,CONFIG_ASIGNATURAS!$B$2:$J$91,9,FALSE()),""))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IF(DATOS!$A2370="",0,IF(CONFIG_METADATA!$B$4&lt;&gt;"OR+EX",--(DATOS!$G2370=CONFIG_METADATA!$B$4),IF(DATOS!$G2370="EX",1,IF(DATOS!$G2370="OR",--(COUNTIFS(nNIA,DATOS!$A2370,nCURSO,DATOS!$D2370,nESPEC,DATOS!$E2370,nASIG,DATOS!$I2370,nEVAL,"EX")=0),0))))</f>
      </c>
      <c r="H2370">
        <f>IF(DATOS!$G2370&lt;&gt;"EX",0,--(COUNTIFS(nNIA,DATOS!$A2370,nCURSO,DATOS!$D2370,nESPEC,DATOS!$E2370,nASIG,DATOS!$I2370,nEVAL,"OR")=0))</f>
      </c>
      <c r="I2370">
        <f>IF(DATOS!$I2370="","",IFERROR(VLOOKUP(DATOS!$I2370,CONFIG_ASIGNATURAS!$B$2:$J$91,9,FALSE()),""))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IF(DATOS!$A2371="",0,IF(CONFIG_METADATA!$B$4&lt;&gt;"OR+EX",--(DATOS!$G2371=CONFIG_METADATA!$B$4),IF(DATOS!$G2371="EX",1,IF(DATOS!$G2371="OR",--(COUNTIFS(nNIA,DATOS!$A2371,nCURSO,DATOS!$D2371,nESPEC,DATOS!$E2371,nASIG,DATOS!$I2371,nEVAL,"EX")=0),0))))</f>
      </c>
      <c r="H2371">
        <f>IF(DATOS!$G2371&lt;&gt;"EX",0,--(COUNTIFS(nNIA,DATOS!$A2371,nCURSO,DATOS!$D2371,nESPEC,DATOS!$E2371,nASIG,DATOS!$I2371,nEVAL,"OR")=0))</f>
      </c>
      <c r="I2371">
        <f>IF(DATOS!$I2371="","",IFERROR(VLOOKUP(DATOS!$I2371,CONFIG_ASIGNATURAS!$B$2:$J$91,9,FALSE()),""))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IF(DATOS!$A2372="",0,IF(CONFIG_METADATA!$B$4&lt;&gt;"OR+EX",--(DATOS!$G2372=CONFIG_METADATA!$B$4),IF(DATOS!$G2372="EX",1,IF(DATOS!$G2372="OR",--(COUNTIFS(nNIA,DATOS!$A2372,nCURSO,DATOS!$D2372,nESPEC,DATOS!$E2372,nASIG,DATOS!$I2372,nEVAL,"EX")=0),0))))</f>
      </c>
      <c r="H2372">
        <f>IF(DATOS!$G2372&lt;&gt;"EX",0,--(COUNTIFS(nNIA,DATOS!$A2372,nCURSO,DATOS!$D2372,nESPEC,DATOS!$E2372,nASIG,DATOS!$I2372,nEVAL,"OR")=0))</f>
      </c>
      <c r="I2372">
        <f>IF(DATOS!$I2372="","",IFERROR(VLOOKUP(DATOS!$I2372,CONFIG_ASIGNATURAS!$B$2:$J$91,9,FALSE()),""))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IF(DATOS!$A2373="",0,IF(CONFIG_METADATA!$B$4&lt;&gt;"OR+EX",--(DATOS!$G2373=CONFIG_METADATA!$B$4),IF(DATOS!$G2373="EX",1,IF(DATOS!$G2373="OR",--(COUNTIFS(nNIA,DATOS!$A2373,nCURSO,DATOS!$D2373,nESPEC,DATOS!$E2373,nASIG,DATOS!$I2373,nEVAL,"EX")=0),0))))</f>
      </c>
      <c r="H2373">
        <f>IF(DATOS!$G2373&lt;&gt;"EX",0,--(COUNTIFS(nNIA,DATOS!$A2373,nCURSO,DATOS!$D2373,nESPEC,DATOS!$E2373,nASIG,DATOS!$I2373,nEVAL,"OR")=0))</f>
      </c>
      <c r="I2373">
        <f>IF(DATOS!$I2373="","",IFERROR(VLOOKUP(DATOS!$I2373,CONFIG_ASIGNATURAS!$B$2:$J$91,9,FALSE()),""))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IF(DATOS!$A2374="",0,IF(CONFIG_METADATA!$B$4&lt;&gt;"OR+EX",--(DATOS!$G2374=CONFIG_METADATA!$B$4),IF(DATOS!$G2374="EX",1,IF(DATOS!$G2374="OR",--(COUNTIFS(nNIA,DATOS!$A2374,nCURSO,DATOS!$D2374,nESPEC,DATOS!$E2374,nASIG,DATOS!$I2374,nEVAL,"EX")=0),0))))</f>
      </c>
      <c r="H2374">
        <f>IF(DATOS!$G2374&lt;&gt;"EX",0,--(COUNTIFS(nNIA,DATOS!$A2374,nCURSO,DATOS!$D2374,nESPEC,DATOS!$E2374,nASIG,DATOS!$I2374,nEVAL,"OR")=0))</f>
      </c>
      <c r="I2374">
        <f>IF(DATOS!$I2374="","",IFERROR(VLOOKUP(DATOS!$I2374,CONFIG_ASIGNATURAS!$B$2:$J$91,9,FALSE()),""))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IF(DATOS!$A2375="",0,IF(CONFIG_METADATA!$B$4&lt;&gt;"OR+EX",--(DATOS!$G2375=CONFIG_METADATA!$B$4),IF(DATOS!$G2375="EX",1,IF(DATOS!$G2375="OR",--(COUNTIFS(nNIA,DATOS!$A2375,nCURSO,DATOS!$D2375,nESPEC,DATOS!$E2375,nASIG,DATOS!$I2375,nEVAL,"EX")=0),0))))</f>
      </c>
      <c r="H2375">
        <f>IF(DATOS!$G2375&lt;&gt;"EX",0,--(COUNTIFS(nNIA,DATOS!$A2375,nCURSO,DATOS!$D2375,nESPEC,DATOS!$E2375,nASIG,DATOS!$I2375,nEVAL,"OR")=0))</f>
      </c>
      <c r="I2375">
        <f>IF(DATOS!$I2375="","",IFERROR(VLOOKUP(DATOS!$I2375,CONFIG_ASIGNATURAS!$B$2:$J$91,9,FALSE()),""))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IF(DATOS!$A2376="",0,IF(CONFIG_METADATA!$B$4&lt;&gt;"OR+EX",--(DATOS!$G2376=CONFIG_METADATA!$B$4),IF(DATOS!$G2376="EX",1,IF(DATOS!$G2376="OR",--(COUNTIFS(nNIA,DATOS!$A2376,nCURSO,DATOS!$D2376,nESPEC,DATOS!$E2376,nASIG,DATOS!$I2376,nEVAL,"EX")=0),0))))</f>
      </c>
      <c r="H2376">
        <f>IF(DATOS!$G2376&lt;&gt;"EX",0,--(COUNTIFS(nNIA,DATOS!$A2376,nCURSO,DATOS!$D2376,nESPEC,DATOS!$E2376,nASIG,DATOS!$I2376,nEVAL,"OR")=0))</f>
      </c>
      <c r="I2376">
        <f>IF(DATOS!$I2376="","",IFERROR(VLOOKUP(DATOS!$I2376,CONFIG_ASIGNATURAS!$B$2:$J$91,9,FALSE()),""))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IF(DATOS!$A2377="",0,IF(CONFIG_METADATA!$B$4&lt;&gt;"OR+EX",--(DATOS!$G2377=CONFIG_METADATA!$B$4),IF(DATOS!$G2377="EX",1,IF(DATOS!$G2377="OR",--(COUNTIFS(nNIA,DATOS!$A2377,nCURSO,DATOS!$D2377,nESPEC,DATOS!$E2377,nASIG,DATOS!$I2377,nEVAL,"EX")=0),0))))</f>
      </c>
      <c r="H2377">
        <f>IF(DATOS!$G2377&lt;&gt;"EX",0,--(COUNTIFS(nNIA,DATOS!$A2377,nCURSO,DATOS!$D2377,nESPEC,DATOS!$E2377,nASIG,DATOS!$I2377,nEVAL,"OR")=0))</f>
      </c>
      <c r="I2377">
        <f>IF(DATOS!$I2377="","",IFERROR(VLOOKUP(DATOS!$I2377,CONFIG_ASIGNATURAS!$B$2:$J$91,9,FALSE()),""))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IF(DATOS!$A2378="",0,IF(CONFIG_METADATA!$B$4&lt;&gt;"OR+EX",--(DATOS!$G2378=CONFIG_METADATA!$B$4),IF(DATOS!$G2378="EX",1,IF(DATOS!$G2378="OR",--(COUNTIFS(nNIA,DATOS!$A2378,nCURSO,DATOS!$D2378,nESPEC,DATOS!$E2378,nASIG,DATOS!$I2378,nEVAL,"EX")=0),0))))</f>
      </c>
      <c r="H2378">
        <f>IF(DATOS!$G2378&lt;&gt;"EX",0,--(COUNTIFS(nNIA,DATOS!$A2378,nCURSO,DATOS!$D2378,nESPEC,DATOS!$E2378,nASIG,DATOS!$I2378,nEVAL,"OR")=0))</f>
      </c>
      <c r="I2378">
        <f>IF(DATOS!$I2378="","",IFERROR(VLOOKUP(DATOS!$I2378,CONFIG_ASIGNATURAS!$B$2:$J$91,9,FALSE()),""))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IF(DATOS!$A2379="",0,IF(CONFIG_METADATA!$B$4&lt;&gt;"OR+EX",--(DATOS!$G2379=CONFIG_METADATA!$B$4),IF(DATOS!$G2379="EX",1,IF(DATOS!$G2379="OR",--(COUNTIFS(nNIA,DATOS!$A2379,nCURSO,DATOS!$D2379,nESPEC,DATOS!$E2379,nASIG,DATOS!$I2379,nEVAL,"EX")=0),0))))</f>
      </c>
      <c r="H2379">
        <f>IF(DATOS!$G2379&lt;&gt;"EX",0,--(COUNTIFS(nNIA,DATOS!$A2379,nCURSO,DATOS!$D2379,nESPEC,DATOS!$E2379,nASIG,DATOS!$I2379,nEVAL,"OR")=0))</f>
      </c>
      <c r="I2379">
        <f>IF(DATOS!$I2379="","",IFERROR(VLOOKUP(DATOS!$I2379,CONFIG_ASIGNATURAS!$B$2:$J$91,9,FALSE()),""))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IF(DATOS!$A2380="",0,IF(CONFIG_METADATA!$B$4&lt;&gt;"OR+EX",--(DATOS!$G2380=CONFIG_METADATA!$B$4),IF(DATOS!$G2380="EX",1,IF(DATOS!$G2380="OR",--(COUNTIFS(nNIA,DATOS!$A2380,nCURSO,DATOS!$D2380,nESPEC,DATOS!$E2380,nASIG,DATOS!$I2380,nEVAL,"EX")=0),0))))</f>
      </c>
      <c r="H2380">
        <f>IF(DATOS!$G2380&lt;&gt;"EX",0,--(COUNTIFS(nNIA,DATOS!$A2380,nCURSO,DATOS!$D2380,nESPEC,DATOS!$E2380,nASIG,DATOS!$I2380,nEVAL,"OR")=0))</f>
      </c>
      <c r="I2380">
        <f>IF(DATOS!$I2380="","",IFERROR(VLOOKUP(DATOS!$I2380,CONFIG_ASIGNATURAS!$B$2:$J$91,9,FALSE()),""))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IF(DATOS!$A2381="",0,IF(CONFIG_METADATA!$B$4&lt;&gt;"OR+EX",--(DATOS!$G2381=CONFIG_METADATA!$B$4),IF(DATOS!$G2381="EX",1,IF(DATOS!$G2381="OR",--(COUNTIFS(nNIA,DATOS!$A2381,nCURSO,DATOS!$D2381,nESPEC,DATOS!$E2381,nASIG,DATOS!$I2381,nEVAL,"EX")=0),0))))</f>
      </c>
      <c r="H2381">
        <f>IF(DATOS!$G2381&lt;&gt;"EX",0,--(COUNTIFS(nNIA,DATOS!$A2381,nCURSO,DATOS!$D2381,nESPEC,DATOS!$E2381,nASIG,DATOS!$I2381,nEVAL,"OR")=0))</f>
      </c>
      <c r="I2381">
        <f>IF(DATOS!$I2381="","",IFERROR(VLOOKUP(DATOS!$I2381,CONFIG_ASIGNATURAS!$B$2:$J$91,9,FALSE()),""))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IF(DATOS!$A2382="",0,IF(CONFIG_METADATA!$B$4&lt;&gt;"OR+EX",--(DATOS!$G2382=CONFIG_METADATA!$B$4),IF(DATOS!$G2382="EX",1,IF(DATOS!$G2382="OR",--(COUNTIFS(nNIA,DATOS!$A2382,nCURSO,DATOS!$D2382,nESPEC,DATOS!$E2382,nASIG,DATOS!$I2382,nEVAL,"EX")=0),0))))</f>
      </c>
      <c r="H2382">
        <f>IF(DATOS!$G2382&lt;&gt;"EX",0,--(COUNTIFS(nNIA,DATOS!$A2382,nCURSO,DATOS!$D2382,nESPEC,DATOS!$E2382,nASIG,DATOS!$I2382,nEVAL,"OR")=0))</f>
      </c>
      <c r="I2382">
        <f>IF(DATOS!$I2382="","",IFERROR(VLOOKUP(DATOS!$I2382,CONFIG_ASIGNATURAS!$B$2:$J$91,9,FALSE()),""))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IF(DATOS!$A2383="",0,IF(CONFIG_METADATA!$B$4&lt;&gt;"OR+EX",--(DATOS!$G2383=CONFIG_METADATA!$B$4),IF(DATOS!$G2383="EX",1,IF(DATOS!$G2383="OR",--(COUNTIFS(nNIA,DATOS!$A2383,nCURSO,DATOS!$D2383,nESPEC,DATOS!$E2383,nASIG,DATOS!$I2383,nEVAL,"EX")=0),0))))</f>
      </c>
      <c r="H2383">
        <f>IF(DATOS!$G2383&lt;&gt;"EX",0,--(COUNTIFS(nNIA,DATOS!$A2383,nCURSO,DATOS!$D2383,nESPEC,DATOS!$E2383,nASIG,DATOS!$I2383,nEVAL,"OR")=0))</f>
      </c>
      <c r="I2383">
        <f>IF(DATOS!$I2383="","",IFERROR(VLOOKUP(DATOS!$I2383,CONFIG_ASIGNATURAS!$B$2:$J$91,9,FALSE()),""))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IF(DATOS!$A2384="",0,IF(CONFIG_METADATA!$B$4&lt;&gt;"OR+EX",--(DATOS!$G2384=CONFIG_METADATA!$B$4),IF(DATOS!$G2384="EX",1,IF(DATOS!$G2384="OR",--(COUNTIFS(nNIA,DATOS!$A2384,nCURSO,DATOS!$D2384,nESPEC,DATOS!$E2384,nASIG,DATOS!$I2384,nEVAL,"EX")=0),0))))</f>
      </c>
      <c r="H2384">
        <f>IF(DATOS!$G2384&lt;&gt;"EX",0,--(COUNTIFS(nNIA,DATOS!$A2384,nCURSO,DATOS!$D2384,nESPEC,DATOS!$E2384,nASIG,DATOS!$I2384,nEVAL,"OR")=0))</f>
      </c>
      <c r="I2384">
        <f>IF(DATOS!$I2384="","",IFERROR(VLOOKUP(DATOS!$I2384,CONFIG_ASIGNATURAS!$B$2:$J$91,9,FALSE()),""))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IF(DATOS!$A2385="",0,IF(CONFIG_METADATA!$B$4&lt;&gt;"OR+EX",--(DATOS!$G2385=CONFIG_METADATA!$B$4),IF(DATOS!$G2385="EX",1,IF(DATOS!$G2385="OR",--(COUNTIFS(nNIA,DATOS!$A2385,nCURSO,DATOS!$D2385,nESPEC,DATOS!$E2385,nASIG,DATOS!$I2385,nEVAL,"EX")=0),0))))</f>
      </c>
      <c r="H2385">
        <f>IF(DATOS!$G2385&lt;&gt;"EX",0,--(COUNTIFS(nNIA,DATOS!$A2385,nCURSO,DATOS!$D2385,nESPEC,DATOS!$E2385,nASIG,DATOS!$I2385,nEVAL,"OR")=0))</f>
      </c>
      <c r="I2385">
        <f>IF(DATOS!$I2385="","",IFERROR(VLOOKUP(DATOS!$I2385,CONFIG_ASIGNATURAS!$B$2:$J$91,9,FALSE()),""))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IF(DATOS!$A2386="",0,IF(CONFIG_METADATA!$B$4&lt;&gt;"OR+EX",--(DATOS!$G2386=CONFIG_METADATA!$B$4),IF(DATOS!$G2386="EX",1,IF(DATOS!$G2386="OR",--(COUNTIFS(nNIA,DATOS!$A2386,nCURSO,DATOS!$D2386,nESPEC,DATOS!$E2386,nASIG,DATOS!$I2386,nEVAL,"EX")=0),0))))</f>
      </c>
      <c r="H2386">
        <f>IF(DATOS!$G2386&lt;&gt;"EX",0,--(COUNTIFS(nNIA,DATOS!$A2386,nCURSO,DATOS!$D2386,nESPEC,DATOS!$E2386,nASIG,DATOS!$I2386,nEVAL,"OR")=0))</f>
      </c>
      <c r="I2386">
        <f>IF(DATOS!$I2386="","",IFERROR(VLOOKUP(DATOS!$I2386,CONFIG_ASIGNATURAS!$B$2:$J$91,9,FALSE()),""))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IF(DATOS!$A2387="",0,IF(CONFIG_METADATA!$B$4&lt;&gt;"OR+EX",--(DATOS!$G2387=CONFIG_METADATA!$B$4),IF(DATOS!$G2387="EX",1,IF(DATOS!$G2387="OR",--(COUNTIFS(nNIA,DATOS!$A2387,nCURSO,DATOS!$D2387,nESPEC,DATOS!$E2387,nASIG,DATOS!$I2387,nEVAL,"EX")=0),0))))</f>
      </c>
      <c r="H2387">
        <f>IF(DATOS!$G2387&lt;&gt;"EX",0,--(COUNTIFS(nNIA,DATOS!$A2387,nCURSO,DATOS!$D2387,nESPEC,DATOS!$E2387,nASIG,DATOS!$I2387,nEVAL,"OR")=0))</f>
      </c>
      <c r="I2387">
        <f>IF(DATOS!$I2387="","",IFERROR(VLOOKUP(DATOS!$I2387,CONFIG_ASIGNATURAS!$B$2:$J$91,9,FALSE()),""))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IF(DATOS!$A2388="",0,IF(CONFIG_METADATA!$B$4&lt;&gt;"OR+EX",--(DATOS!$G2388=CONFIG_METADATA!$B$4),IF(DATOS!$G2388="EX",1,IF(DATOS!$G2388="OR",--(COUNTIFS(nNIA,DATOS!$A2388,nCURSO,DATOS!$D2388,nESPEC,DATOS!$E2388,nASIG,DATOS!$I2388,nEVAL,"EX")=0),0))))</f>
      </c>
      <c r="H2388">
        <f>IF(DATOS!$G2388&lt;&gt;"EX",0,--(COUNTIFS(nNIA,DATOS!$A2388,nCURSO,DATOS!$D2388,nESPEC,DATOS!$E2388,nASIG,DATOS!$I2388,nEVAL,"OR")=0))</f>
      </c>
      <c r="I2388">
        <f>IF(DATOS!$I2388="","",IFERROR(VLOOKUP(DATOS!$I2388,CONFIG_ASIGNATURAS!$B$2:$J$91,9,FALSE()),""))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IF(DATOS!$A2389="",0,IF(CONFIG_METADATA!$B$4&lt;&gt;"OR+EX",--(DATOS!$G2389=CONFIG_METADATA!$B$4),IF(DATOS!$G2389="EX",1,IF(DATOS!$G2389="OR",--(COUNTIFS(nNIA,DATOS!$A2389,nCURSO,DATOS!$D2389,nESPEC,DATOS!$E2389,nASIG,DATOS!$I2389,nEVAL,"EX")=0),0))))</f>
      </c>
      <c r="H2389">
        <f>IF(DATOS!$G2389&lt;&gt;"EX",0,--(COUNTIFS(nNIA,DATOS!$A2389,nCURSO,DATOS!$D2389,nESPEC,DATOS!$E2389,nASIG,DATOS!$I2389,nEVAL,"OR")=0))</f>
      </c>
      <c r="I2389">
        <f>IF(DATOS!$I2389="","",IFERROR(VLOOKUP(DATOS!$I2389,CONFIG_ASIGNATURAS!$B$2:$J$91,9,FALSE()),""))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IF(DATOS!$A2390="",0,IF(CONFIG_METADATA!$B$4&lt;&gt;"OR+EX",--(DATOS!$G2390=CONFIG_METADATA!$B$4),IF(DATOS!$G2390="EX",1,IF(DATOS!$G2390="OR",--(COUNTIFS(nNIA,DATOS!$A2390,nCURSO,DATOS!$D2390,nESPEC,DATOS!$E2390,nASIG,DATOS!$I2390,nEVAL,"EX")=0),0))))</f>
      </c>
      <c r="H2390">
        <f>IF(DATOS!$G2390&lt;&gt;"EX",0,--(COUNTIFS(nNIA,DATOS!$A2390,nCURSO,DATOS!$D2390,nESPEC,DATOS!$E2390,nASIG,DATOS!$I2390,nEVAL,"OR")=0))</f>
      </c>
      <c r="I2390">
        <f>IF(DATOS!$I2390="","",IFERROR(VLOOKUP(DATOS!$I2390,CONFIG_ASIGNATURAS!$B$2:$J$91,9,FALSE()),""))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IF(DATOS!$A2391="",0,IF(CONFIG_METADATA!$B$4&lt;&gt;"OR+EX",--(DATOS!$G2391=CONFIG_METADATA!$B$4),IF(DATOS!$G2391="EX",1,IF(DATOS!$G2391="OR",--(COUNTIFS(nNIA,DATOS!$A2391,nCURSO,DATOS!$D2391,nESPEC,DATOS!$E2391,nASIG,DATOS!$I2391,nEVAL,"EX")=0),0))))</f>
      </c>
      <c r="H2391">
        <f>IF(DATOS!$G2391&lt;&gt;"EX",0,--(COUNTIFS(nNIA,DATOS!$A2391,nCURSO,DATOS!$D2391,nESPEC,DATOS!$E2391,nASIG,DATOS!$I2391,nEVAL,"OR")=0))</f>
      </c>
      <c r="I2391">
        <f>IF(DATOS!$I2391="","",IFERROR(VLOOKUP(DATOS!$I2391,CONFIG_ASIGNATURAS!$B$2:$J$91,9,FALSE()),""))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IF(DATOS!$A2392="",0,IF(CONFIG_METADATA!$B$4&lt;&gt;"OR+EX",--(DATOS!$G2392=CONFIG_METADATA!$B$4),IF(DATOS!$G2392="EX",1,IF(DATOS!$G2392="OR",--(COUNTIFS(nNIA,DATOS!$A2392,nCURSO,DATOS!$D2392,nESPEC,DATOS!$E2392,nASIG,DATOS!$I2392,nEVAL,"EX")=0),0))))</f>
      </c>
      <c r="H2392">
        <f>IF(DATOS!$G2392&lt;&gt;"EX",0,--(COUNTIFS(nNIA,DATOS!$A2392,nCURSO,DATOS!$D2392,nESPEC,DATOS!$E2392,nASIG,DATOS!$I2392,nEVAL,"OR")=0))</f>
      </c>
      <c r="I2392">
        <f>IF(DATOS!$I2392="","",IFERROR(VLOOKUP(DATOS!$I2392,CONFIG_ASIGNATURAS!$B$2:$J$91,9,FALSE()),""))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IF(DATOS!$A2393="",0,IF(CONFIG_METADATA!$B$4&lt;&gt;"OR+EX",--(DATOS!$G2393=CONFIG_METADATA!$B$4),IF(DATOS!$G2393="EX",1,IF(DATOS!$G2393="OR",--(COUNTIFS(nNIA,DATOS!$A2393,nCURSO,DATOS!$D2393,nESPEC,DATOS!$E2393,nASIG,DATOS!$I2393,nEVAL,"EX")=0),0))))</f>
      </c>
      <c r="H2393">
        <f>IF(DATOS!$G2393&lt;&gt;"EX",0,--(COUNTIFS(nNIA,DATOS!$A2393,nCURSO,DATOS!$D2393,nESPEC,DATOS!$E2393,nASIG,DATOS!$I2393,nEVAL,"OR")=0))</f>
      </c>
      <c r="I2393">
        <f>IF(DATOS!$I2393="","",IFERROR(VLOOKUP(DATOS!$I2393,CONFIG_ASIGNATURAS!$B$2:$J$91,9,FALSE()),""))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IF(DATOS!$A2394="",0,IF(CONFIG_METADATA!$B$4&lt;&gt;"OR+EX",--(DATOS!$G2394=CONFIG_METADATA!$B$4),IF(DATOS!$G2394="EX",1,IF(DATOS!$G2394="OR",--(COUNTIFS(nNIA,DATOS!$A2394,nCURSO,DATOS!$D2394,nESPEC,DATOS!$E2394,nASIG,DATOS!$I2394,nEVAL,"EX")=0),0))))</f>
      </c>
      <c r="H2394">
        <f>IF(DATOS!$G2394&lt;&gt;"EX",0,--(COUNTIFS(nNIA,DATOS!$A2394,nCURSO,DATOS!$D2394,nESPEC,DATOS!$E2394,nASIG,DATOS!$I2394,nEVAL,"OR")=0))</f>
      </c>
      <c r="I2394">
        <f>IF(DATOS!$I2394="","",IFERROR(VLOOKUP(DATOS!$I2394,CONFIG_ASIGNATURAS!$B$2:$J$91,9,FALSE()),""))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IF(DATOS!$A2395="",0,IF(CONFIG_METADATA!$B$4&lt;&gt;"OR+EX",--(DATOS!$G2395=CONFIG_METADATA!$B$4),IF(DATOS!$G2395="EX",1,IF(DATOS!$G2395="OR",--(COUNTIFS(nNIA,DATOS!$A2395,nCURSO,DATOS!$D2395,nESPEC,DATOS!$E2395,nASIG,DATOS!$I2395,nEVAL,"EX")=0),0))))</f>
      </c>
      <c r="H2395">
        <f>IF(DATOS!$G2395&lt;&gt;"EX",0,--(COUNTIFS(nNIA,DATOS!$A2395,nCURSO,DATOS!$D2395,nESPEC,DATOS!$E2395,nASIG,DATOS!$I2395,nEVAL,"OR")=0))</f>
      </c>
      <c r="I2395">
        <f>IF(DATOS!$I2395="","",IFERROR(VLOOKUP(DATOS!$I2395,CONFIG_ASIGNATURAS!$B$2:$J$91,9,FALSE()),""))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IF(DATOS!$A2396="",0,IF(CONFIG_METADATA!$B$4&lt;&gt;"OR+EX",--(DATOS!$G2396=CONFIG_METADATA!$B$4),IF(DATOS!$G2396="EX",1,IF(DATOS!$G2396="OR",--(COUNTIFS(nNIA,DATOS!$A2396,nCURSO,DATOS!$D2396,nESPEC,DATOS!$E2396,nASIG,DATOS!$I2396,nEVAL,"EX")=0),0))))</f>
      </c>
      <c r="H2396">
        <f>IF(DATOS!$G2396&lt;&gt;"EX",0,--(COUNTIFS(nNIA,DATOS!$A2396,nCURSO,DATOS!$D2396,nESPEC,DATOS!$E2396,nASIG,DATOS!$I2396,nEVAL,"OR")=0))</f>
      </c>
      <c r="I2396">
        <f>IF(DATOS!$I2396="","",IFERROR(VLOOKUP(DATOS!$I2396,CONFIG_ASIGNATURAS!$B$2:$J$91,9,FALSE()),""))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IF(DATOS!$A2397="",0,IF(CONFIG_METADATA!$B$4&lt;&gt;"OR+EX",--(DATOS!$G2397=CONFIG_METADATA!$B$4),IF(DATOS!$G2397="EX",1,IF(DATOS!$G2397="OR",--(COUNTIFS(nNIA,DATOS!$A2397,nCURSO,DATOS!$D2397,nESPEC,DATOS!$E2397,nASIG,DATOS!$I2397,nEVAL,"EX")=0),0))))</f>
      </c>
      <c r="H2397">
        <f>IF(DATOS!$G2397&lt;&gt;"EX",0,--(COUNTIFS(nNIA,DATOS!$A2397,nCURSO,DATOS!$D2397,nESPEC,DATOS!$E2397,nASIG,DATOS!$I2397,nEVAL,"OR")=0))</f>
      </c>
      <c r="I2397">
        <f>IF(DATOS!$I2397="","",IFERROR(VLOOKUP(DATOS!$I2397,CONFIG_ASIGNATURAS!$B$2:$J$91,9,FALSE()),""))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IF(DATOS!$A2398="",0,IF(CONFIG_METADATA!$B$4&lt;&gt;"OR+EX",--(DATOS!$G2398=CONFIG_METADATA!$B$4),IF(DATOS!$G2398="EX",1,IF(DATOS!$G2398="OR",--(COUNTIFS(nNIA,DATOS!$A2398,nCURSO,DATOS!$D2398,nESPEC,DATOS!$E2398,nASIG,DATOS!$I2398,nEVAL,"EX")=0),0))))</f>
      </c>
      <c r="H2398">
        <f>IF(DATOS!$G2398&lt;&gt;"EX",0,--(COUNTIFS(nNIA,DATOS!$A2398,nCURSO,DATOS!$D2398,nESPEC,DATOS!$E2398,nASIG,DATOS!$I2398,nEVAL,"OR")=0))</f>
      </c>
      <c r="I2398">
        <f>IF(DATOS!$I2398="","",IFERROR(VLOOKUP(DATOS!$I2398,CONFIG_ASIGNATURAS!$B$2:$J$91,9,FALSE()),""))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IF(DATOS!$A2399="",0,IF(CONFIG_METADATA!$B$4&lt;&gt;"OR+EX",--(DATOS!$G2399=CONFIG_METADATA!$B$4),IF(DATOS!$G2399="EX",1,IF(DATOS!$G2399="OR",--(COUNTIFS(nNIA,DATOS!$A2399,nCURSO,DATOS!$D2399,nESPEC,DATOS!$E2399,nASIG,DATOS!$I2399,nEVAL,"EX")=0),0))))</f>
      </c>
      <c r="H2399">
        <f>IF(DATOS!$G2399&lt;&gt;"EX",0,--(COUNTIFS(nNIA,DATOS!$A2399,nCURSO,DATOS!$D2399,nESPEC,DATOS!$E2399,nASIG,DATOS!$I2399,nEVAL,"OR")=0))</f>
      </c>
      <c r="I2399">
        <f>IF(DATOS!$I2399="","",IFERROR(VLOOKUP(DATOS!$I2399,CONFIG_ASIGNATURAS!$B$2:$J$91,9,FALSE()),""))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IF(DATOS!$A2400="",0,IF(CONFIG_METADATA!$B$4&lt;&gt;"OR+EX",--(DATOS!$G2400=CONFIG_METADATA!$B$4),IF(DATOS!$G2400="EX",1,IF(DATOS!$G2400="OR",--(COUNTIFS(nNIA,DATOS!$A2400,nCURSO,DATOS!$D2400,nESPEC,DATOS!$E2400,nASIG,DATOS!$I2400,nEVAL,"EX")=0),0))))</f>
      </c>
      <c r="H2400">
        <f>IF(DATOS!$G2400&lt;&gt;"EX",0,--(COUNTIFS(nNIA,DATOS!$A2400,nCURSO,DATOS!$D2400,nESPEC,DATOS!$E2400,nASIG,DATOS!$I2400,nEVAL,"OR")=0))</f>
      </c>
      <c r="I2400">
        <f>IF(DATOS!$I2400="","",IFERROR(VLOOKUP(DATOS!$I2400,CONFIG_ASIGNATURAS!$B$2:$J$91,9,FALSE()),""))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IF(DATOS!$A2401="",0,IF(CONFIG_METADATA!$B$4&lt;&gt;"OR+EX",--(DATOS!$G2401=CONFIG_METADATA!$B$4),IF(DATOS!$G2401="EX",1,IF(DATOS!$G2401="OR",--(COUNTIFS(nNIA,DATOS!$A2401,nCURSO,DATOS!$D2401,nESPEC,DATOS!$E2401,nASIG,DATOS!$I2401,nEVAL,"EX")=0),0))))</f>
      </c>
      <c r="H2401">
        <f>IF(DATOS!$G2401&lt;&gt;"EX",0,--(COUNTIFS(nNIA,DATOS!$A2401,nCURSO,DATOS!$D2401,nESPEC,DATOS!$E2401,nASIG,DATOS!$I2401,nEVAL,"OR")=0))</f>
      </c>
      <c r="I2401">
        <f>IF(DATOS!$I2401="","",IFERROR(VLOOKUP(DATOS!$I2401,CONFIG_ASIGNATURAS!$B$2:$J$91,9,FALSE()),""))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IF(DATOS!$A2402="",0,IF(CONFIG_METADATA!$B$4&lt;&gt;"OR+EX",--(DATOS!$G2402=CONFIG_METADATA!$B$4),IF(DATOS!$G2402="EX",1,IF(DATOS!$G2402="OR",--(COUNTIFS(nNIA,DATOS!$A2402,nCURSO,DATOS!$D2402,nESPEC,DATOS!$E2402,nASIG,DATOS!$I2402,nEVAL,"EX")=0),0))))</f>
      </c>
      <c r="H2402">
        <f>IF(DATOS!$G2402&lt;&gt;"EX",0,--(COUNTIFS(nNIA,DATOS!$A2402,nCURSO,DATOS!$D2402,nESPEC,DATOS!$E2402,nASIG,DATOS!$I2402,nEVAL,"OR")=0))</f>
      </c>
      <c r="I2402">
        <f>IF(DATOS!$I2402="","",IFERROR(VLOOKUP(DATOS!$I2402,CONFIG_ASIGNATURAS!$B$2:$J$91,9,FALSE()),""))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IF(DATOS!$A2403="",0,IF(CONFIG_METADATA!$B$4&lt;&gt;"OR+EX",--(DATOS!$G2403=CONFIG_METADATA!$B$4),IF(DATOS!$G2403="EX",1,IF(DATOS!$G2403="OR",--(COUNTIFS(nNIA,DATOS!$A2403,nCURSO,DATOS!$D2403,nESPEC,DATOS!$E2403,nASIG,DATOS!$I2403,nEVAL,"EX")=0),0))))</f>
      </c>
      <c r="H2403">
        <f>IF(DATOS!$G2403&lt;&gt;"EX",0,--(COUNTIFS(nNIA,DATOS!$A2403,nCURSO,DATOS!$D2403,nESPEC,DATOS!$E2403,nASIG,DATOS!$I2403,nEVAL,"OR")=0))</f>
      </c>
      <c r="I2403">
        <f>IF(DATOS!$I2403="","",IFERROR(VLOOKUP(DATOS!$I2403,CONFIG_ASIGNATURAS!$B$2:$J$91,9,FALSE()),""))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IF(DATOS!$A2404="",0,IF(CONFIG_METADATA!$B$4&lt;&gt;"OR+EX",--(DATOS!$G2404=CONFIG_METADATA!$B$4),IF(DATOS!$G2404="EX",1,IF(DATOS!$G2404="OR",--(COUNTIFS(nNIA,DATOS!$A2404,nCURSO,DATOS!$D2404,nESPEC,DATOS!$E2404,nASIG,DATOS!$I2404,nEVAL,"EX")=0),0))))</f>
      </c>
      <c r="H2404">
        <f>IF(DATOS!$G2404&lt;&gt;"EX",0,--(COUNTIFS(nNIA,DATOS!$A2404,nCURSO,DATOS!$D2404,nESPEC,DATOS!$E2404,nASIG,DATOS!$I2404,nEVAL,"OR")=0))</f>
      </c>
      <c r="I2404">
        <f>IF(DATOS!$I2404="","",IFERROR(VLOOKUP(DATOS!$I2404,CONFIG_ASIGNATURAS!$B$2:$J$91,9,FALSE()),""))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IF(DATOS!$A2405="",0,IF(CONFIG_METADATA!$B$4&lt;&gt;"OR+EX",--(DATOS!$G2405=CONFIG_METADATA!$B$4),IF(DATOS!$G2405="EX",1,IF(DATOS!$G2405="OR",--(COUNTIFS(nNIA,DATOS!$A2405,nCURSO,DATOS!$D2405,nESPEC,DATOS!$E2405,nASIG,DATOS!$I2405,nEVAL,"EX")=0),0))))</f>
      </c>
      <c r="H2405">
        <f>IF(DATOS!$G2405&lt;&gt;"EX",0,--(COUNTIFS(nNIA,DATOS!$A2405,nCURSO,DATOS!$D2405,nESPEC,DATOS!$E2405,nASIG,DATOS!$I2405,nEVAL,"OR")=0))</f>
      </c>
      <c r="I2405">
        <f>IF(DATOS!$I2405="","",IFERROR(VLOOKUP(DATOS!$I2405,CONFIG_ASIGNATURAS!$B$2:$J$91,9,FALSE()),""))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IF(DATOS!$A2406="",0,IF(CONFIG_METADATA!$B$4&lt;&gt;"OR+EX",--(DATOS!$G2406=CONFIG_METADATA!$B$4),IF(DATOS!$G2406="EX",1,IF(DATOS!$G2406="OR",--(COUNTIFS(nNIA,DATOS!$A2406,nCURSO,DATOS!$D2406,nESPEC,DATOS!$E2406,nASIG,DATOS!$I2406,nEVAL,"EX")=0),0))))</f>
      </c>
      <c r="H2406">
        <f>IF(DATOS!$G2406&lt;&gt;"EX",0,--(COUNTIFS(nNIA,DATOS!$A2406,nCURSO,DATOS!$D2406,nESPEC,DATOS!$E2406,nASIG,DATOS!$I2406,nEVAL,"OR")=0))</f>
      </c>
      <c r="I2406">
        <f>IF(DATOS!$I2406="","",IFERROR(VLOOKUP(DATOS!$I2406,CONFIG_ASIGNATURAS!$B$2:$J$91,9,FALSE()),""))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IF(DATOS!$A2407="",0,IF(CONFIG_METADATA!$B$4&lt;&gt;"OR+EX",--(DATOS!$G2407=CONFIG_METADATA!$B$4),IF(DATOS!$G2407="EX",1,IF(DATOS!$G2407="OR",--(COUNTIFS(nNIA,DATOS!$A2407,nCURSO,DATOS!$D2407,nESPEC,DATOS!$E2407,nASIG,DATOS!$I2407,nEVAL,"EX")=0),0))))</f>
      </c>
      <c r="H2407">
        <f>IF(DATOS!$G2407&lt;&gt;"EX",0,--(COUNTIFS(nNIA,DATOS!$A2407,nCURSO,DATOS!$D2407,nESPEC,DATOS!$E2407,nASIG,DATOS!$I2407,nEVAL,"OR")=0))</f>
      </c>
      <c r="I2407">
        <f>IF(DATOS!$I2407="","",IFERROR(VLOOKUP(DATOS!$I2407,CONFIG_ASIGNATURAS!$B$2:$J$91,9,FALSE()),""))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IF(DATOS!$A2408="",0,IF(CONFIG_METADATA!$B$4&lt;&gt;"OR+EX",--(DATOS!$G2408=CONFIG_METADATA!$B$4),IF(DATOS!$G2408="EX",1,IF(DATOS!$G2408="OR",--(COUNTIFS(nNIA,DATOS!$A2408,nCURSO,DATOS!$D2408,nESPEC,DATOS!$E2408,nASIG,DATOS!$I2408,nEVAL,"EX")=0),0))))</f>
      </c>
      <c r="H2408">
        <f>IF(DATOS!$G2408&lt;&gt;"EX",0,--(COUNTIFS(nNIA,DATOS!$A2408,nCURSO,DATOS!$D2408,nESPEC,DATOS!$E2408,nASIG,DATOS!$I2408,nEVAL,"OR")=0))</f>
      </c>
      <c r="I2408">
        <f>IF(DATOS!$I2408="","",IFERROR(VLOOKUP(DATOS!$I2408,CONFIG_ASIGNATURAS!$B$2:$J$91,9,FALSE()),""))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IF(DATOS!$A2409="",0,IF(CONFIG_METADATA!$B$4&lt;&gt;"OR+EX",--(DATOS!$G2409=CONFIG_METADATA!$B$4),IF(DATOS!$G2409="EX",1,IF(DATOS!$G2409="OR",--(COUNTIFS(nNIA,DATOS!$A2409,nCURSO,DATOS!$D2409,nESPEC,DATOS!$E2409,nASIG,DATOS!$I2409,nEVAL,"EX")=0),0))))</f>
      </c>
      <c r="H2409">
        <f>IF(DATOS!$G2409&lt;&gt;"EX",0,--(COUNTIFS(nNIA,DATOS!$A2409,nCURSO,DATOS!$D2409,nESPEC,DATOS!$E2409,nASIG,DATOS!$I2409,nEVAL,"OR")=0))</f>
      </c>
      <c r="I2409">
        <f>IF(DATOS!$I2409="","",IFERROR(VLOOKUP(DATOS!$I2409,CONFIG_ASIGNATURAS!$B$2:$J$91,9,FALSE()),""))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IF(DATOS!$A2410="",0,IF(CONFIG_METADATA!$B$4&lt;&gt;"OR+EX",--(DATOS!$G2410=CONFIG_METADATA!$B$4),IF(DATOS!$G2410="EX",1,IF(DATOS!$G2410="OR",--(COUNTIFS(nNIA,DATOS!$A2410,nCURSO,DATOS!$D2410,nESPEC,DATOS!$E2410,nASIG,DATOS!$I2410,nEVAL,"EX")=0),0))))</f>
      </c>
      <c r="H2410">
        <f>IF(DATOS!$G2410&lt;&gt;"EX",0,--(COUNTIFS(nNIA,DATOS!$A2410,nCURSO,DATOS!$D2410,nESPEC,DATOS!$E2410,nASIG,DATOS!$I2410,nEVAL,"OR")=0))</f>
      </c>
      <c r="I2410">
        <f>IF(DATOS!$I2410="","",IFERROR(VLOOKUP(DATOS!$I2410,CONFIG_ASIGNATURAS!$B$2:$J$91,9,FALSE()),""))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IF(DATOS!$A2411="",0,IF(CONFIG_METADATA!$B$4&lt;&gt;"OR+EX",--(DATOS!$G2411=CONFIG_METADATA!$B$4),IF(DATOS!$G2411="EX",1,IF(DATOS!$G2411="OR",--(COUNTIFS(nNIA,DATOS!$A2411,nCURSO,DATOS!$D2411,nESPEC,DATOS!$E2411,nASIG,DATOS!$I2411,nEVAL,"EX")=0),0))))</f>
      </c>
      <c r="H2411">
        <f>IF(DATOS!$G2411&lt;&gt;"EX",0,--(COUNTIFS(nNIA,DATOS!$A2411,nCURSO,DATOS!$D2411,nESPEC,DATOS!$E2411,nASIG,DATOS!$I2411,nEVAL,"OR")=0))</f>
      </c>
      <c r="I2411">
        <f>IF(DATOS!$I2411="","",IFERROR(VLOOKUP(DATOS!$I2411,CONFIG_ASIGNATURAS!$B$2:$J$91,9,FALSE()),""))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IF(DATOS!$A2412="",0,IF(CONFIG_METADATA!$B$4&lt;&gt;"OR+EX",--(DATOS!$G2412=CONFIG_METADATA!$B$4),IF(DATOS!$G2412="EX",1,IF(DATOS!$G2412="OR",--(COUNTIFS(nNIA,DATOS!$A2412,nCURSO,DATOS!$D2412,nESPEC,DATOS!$E2412,nASIG,DATOS!$I2412,nEVAL,"EX")=0),0))))</f>
      </c>
      <c r="H2412">
        <f>IF(DATOS!$G2412&lt;&gt;"EX",0,--(COUNTIFS(nNIA,DATOS!$A2412,nCURSO,DATOS!$D2412,nESPEC,DATOS!$E2412,nASIG,DATOS!$I2412,nEVAL,"OR")=0))</f>
      </c>
      <c r="I2412">
        <f>IF(DATOS!$I2412="","",IFERROR(VLOOKUP(DATOS!$I2412,CONFIG_ASIGNATURAS!$B$2:$J$91,9,FALSE()),""))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IF(DATOS!$A2413="",0,IF(CONFIG_METADATA!$B$4&lt;&gt;"OR+EX",--(DATOS!$G2413=CONFIG_METADATA!$B$4),IF(DATOS!$G2413="EX",1,IF(DATOS!$G2413="OR",--(COUNTIFS(nNIA,DATOS!$A2413,nCURSO,DATOS!$D2413,nESPEC,DATOS!$E2413,nASIG,DATOS!$I2413,nEVAL,"EX")=0),0))))</f>
      </c>
      <c r="H2413">
        <f>IF(DATOS!$G2413&lt;&gt;"EX",0,--(COUNTIFS(nNIA,DATOS!$A2413,nCURSO,DATOS!$D2413,nESPEC,DATOS!$E2413,nASIG,DATOS!$I2413,nEVAL,"OR")=0))</f>
      </c>
      <c r="I2413">
        <f>IF(DATOS!$I2413="","",IFERROR(VLOOKUP(DATOS!$I2413,CONFIG_ASIGNATURAS!$B$2:$J$91,9,FALSE()),""))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IF(DATOS!$A2414="",0,IF(CONFIG_METADATA!$B$4&lt;&gt;"OR+EX",--(DATOS!$G2414=CONFIG_METADATA!$B$4),IF(DATOS!$G2414="EX",1,IF(DATOS!$G2414="OR",--(COUNTIFS(nNIA,DATOS!$A2414,nCURSO,DATOS!$D2414,nESPEC,DATOS!$E2414,nASIG,DATOS!$I2414,nEVAL,"EX")=0),0))))</f>
      </c>
      <c r="H2414">
        <f>IF(DATOS!$G2414&lt;&gt;"EX",0,--(COUNTIFS(nNIA,DATOS!$A2414,nCURSO,DATOS!$D2414,nESPEC,DATOS!$E2414,nASIG,DATOS!$I2414,nEVAL,"OR")=0))</f>
      </c>
      <c r="I2414">
        <f>IF(DATOS!$I2414="","",IFERROR(VLOOKUP(DATOS!$I2414,CONFIG_ASIGNATURAS!$B$2:$J$91,9,FALSE()),""))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IF(DATOS!$A2415="",0,IF(CONFIG_METADATA!$B$4&lt;&gt;"OR+EX",--(DATOS!$G2415=CONFIG_METADATA!$B$4),IF(DATOS!$G2415="EX",1,IF(DATOS!$G2415="OR",--(COUNTIFS(nNIA,DATOS!$A2415,nCURSO,DATOS!$D2415,nESPEC,DATOS!$E2415,nASIG,DATOS!$I2415,nEVAL,"EX")=0),0))))</f>
      </c>
      <c r="H2415">
        <f>IF(DATOS!$G2415&lt;&gt;"EX",0,--(COUNTIFS(nNIA,DATOS!$A2415,nCURSO,DATOS!$D2415,nESPEC,DATOS!$E2415,nASIG,DATOS!$I2415,nEVAL,"OR")=0))</f>
      </c>
      <c r="I2415">
        <f>IF(DATOS!$I2415="","",IFERROR(VLOOKUP(DATOS!$I2415,CONFIG_ASIGNATURAS!$B$2:$J$91,9,FALSE()),""))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IF(DATOS!$A2416="",0,IF(CONFIG_METADATA!$B$4&lt;&gt;"OR+EX",--(DATOS!$G2416=CONFIG_METADATA!$B$4),IF(DATOS!$G2416="EX",1,IF(DATOS!$G2416="OR",--(COUNTIFS(nNIA,DATOS!$A2416,nCURSO,DATOS!$D2416,nESPEC,DATOS!$E2416,nASIG,DATOS!$I2416,nEVAL,"EX")=0),0))))</f>
      </c>
      <c r="H2416">
        <f>IF(DATOS!$G2416&lt;&gt;"EX",0,--(COUNTIFS(nNIA,DATOS!$A2416,nCURSO,DATOS!$D2416,nESPEC,DATOS!$E2416,nASIG,DATOS!$I2416,nEVAL,"OR")=0))</f>
      </c>
      <c r="I2416">
        <f>IF(DATOS!$I2416="","",IFERROR(VLOOKUP(DATOS!$I2416,CONFIG_ASIGNATURAS!$B$2:$J$91,9,FALSE()),""))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IF(DATOS!$A2417="",0,IF(CONFIG_METADATA!$B$4&lt;&gt;"OR+EX",--(DATOS!$G2417=CONFIG_METADATA!$B$4),IF(DATOS!$G2417="EX",1,IF(DATOS!$G2417="OR",--(COUNTIFS(nNIA,DATOS!$A2417,nCURSO,DATOS!$D2417,nESPEC,DATOS!$E2417,nASIG,DATOS!$I2417,nEVAL,"EX")=0),0))))</f>
      </c>
      <c r="H2417">
        <f>IF(DATOS!$G2417&lt;&gt;"EX",0,--(COUNTIFS(nNIA,DATOS!$A2417,nCURSO,DATOS!$D2417,nESPEC,DATOS!$E2417,nASIG,DATOS!$I2417,nEVAL,"OR")=0))</f>
      </c>
      <c r="I2417">
        <f>IF(DATOS!$I2417="","",IFERROR(VLOOKUP(DATOS!$I2417,CONFIG_ASIGNATURAS!$B$2:$J$91,9,FALSE()),""))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IF(DATOS!$A2418="",0,IF(CONFIG_METADATA!$B$4&lt;&gt;"OR+EX",--(DATOS!$G2418=CONFIG_METADATA!$B$4),IF(DATOS!$G2418="EX",1,IF(DATOS!$G2418="OR",--(COUNTIFS(nNIA,DATOS!$A2418,nCURSO,DATOS!$D2418,nESPEC,DATOS!$E2418,nASIG,DATOS!$I2418,nEVAL,"EX")=0),0))))</f>
      </c>
      <c r="H2418">
        <f>IF(DATOS!$G2418&lt;&gt;"EX",0,--(COUNTIFS(nNIA,DATOS!$A2418,nCURSO,DATOS!$D2418,nESPEC,DATOS!$E2418,nASIG,DATOS!$I2418,nEVAL,"OR")=0))</f>
      </c>
      <c r="I2418">
        <f>IF(DATOS!$I2418="","",IFERROR(VLOOKUP(DATOS!$I2418,CONFIG_ASIGNATURAS!$B$2:$J$91,9,FALSE()),""))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IF(DATOS!$A2419="",0,IF(CONFIG_METADATA!$B$4&lt;&gt;"OR+EX",--(DATOS!$G2419=CONFIG_METADATA!$B$4),IF(DATOS!$G2419="EX",1,IF(DATOS!$G2419="OR",--(COUNTIFS(nNIA,DATOS!$A2419,nCURSO,DATOS!$D2419,nESPEC,DATOS!$E2419,nASIG,DATOS!$I2419,nEVAL,"EX")=0),0))))</f>
      </c>
      <c r="H2419">
        <f>IF(DATOS!$G2419&lt;&gt;"EX",0,--(COUNTIFS(nNIA,DATOS!$A2419,nCURSO,DATOS!$D2419,nESPEC,DATOS!$E2419,nASIG,DATOS!$I2419,nEVAL,"OR")=0))</f>
      </c>
      <c r="I2419">
        <f>IF(DATOS!$I2419="","",IFERROR(VLOOKUP(DATOS!$I2419,CONFIG_ASIGNATURAS!$B$2:$J$91,9,FALSE()),""))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IF(DATOS!$A2420="",0,IF(CONFIG_METADATA!$B$4&lt;&gt;"OR+EX",--(DATOS!$G2420=CONFIG_METADATA!$B$4),IF(DATOS!$G2420="EX",1,IF(DATOS!$G2420="OR",--(COUNTIFS(nNIA,DATOS!$A2420,nCURSO,DATOS!$D2420,nESPEC,DATOS!$E2420,nASIG,DATOS!$I2420,nEVAL,"EX")=0),0))))</f>
      </c>
      <c r="H2420">
        <f>IF(DATOS!$G2420&lt;&gt;"EX",0,--(COUNTIFS(nNIA,DATOS!$A2420,nCURSO,DATOS!$D2420,nESPEC,DATOS!$E2420,nASIG,DATOS!$I2420,nEVAL,"OR")=0))</f>
      </c>
      <c r="I2420">
        <f>IF(DATOS!$I2420="","",IFERROR(VLOOKUP(DATOS!$I2420,CONFIG_ASIGNATURAS!$B$2:$J$91,9,FALSE()),""))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IF(DATOS!$A2421="",0,IF(CONFIG_METADATA!$B$4&lt;&gt;"OR+EX",--(DATOS!$G2421=CONFIG_METADATA!$B$4),IF(DATOS!$G2421="EX",1,IF(DATOS!$G2421="OR",--(COUNTIFS(nNIA,DATOS!$A2421,nCURSO,DATOS!$D2421,nESPEC,DATOS!$E2421,nASIG,DATOS!$I2421,nEVAL,"EX")=0),0))))</f>
      </c>
      <c r="H2421">
        <f>IF(DATOS!$G2421&lt;&gt;"EX",0,--(COUNTIFS(nNIA,DATOS!$A2421,nCURSO,DATOS!$D2421,nESPEC,DATOS!$E2421,nASIG,DATOS!$I2421,nEVAL,"OR")=0))</f>
      </c>
      <c r="I2421">
        <f>IF(DATOS!$I2421="","",IFERROR(VLOOKUP(DATOS!$I2421,CONFIG_ASIGNATURAS!$B$2:$J$91,9,FALSE()),""))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IF(DATOS!$A2422="",0,IF(CONFIG_METADATA!$B$4&lt;&gt;"OR+EX",--(DATOS!$G2422=CONFIG_METADATA!$B$4),IF(DATOS!$G2422="EX",1,IF(DATOS!$G2422="OR",--(COUNTIFS(nNIA,DATOS!$A2422,nCURSO,DATOS!$D2422,nESPEC,DATOS!$E2422,nASIG,DATOS!$I2422,nEVAL,"EX")=0),0))))</f>
      </c>
      <c r="H2422">
        <f>IF(DATOS!$G2422&lt;&gt;"EX",0,--(COUNTIFS(nNIA,DATOS!$A2422,nCURSO,DATOS!$D2422,nESPEC,DATOS!$E2422,nASIG,DATOS!$I2422,nEVAL,"OR")=0))</f>
      </c>
      <c r="I2422">
        <f>IF(DATOS!$I2422="","",IFERROR(VLOOKUP(DATOS!$I2422,CONFIG_ASIGNATURAS!$B$2:$J$91,9,FALSE()),""))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IF(DATOS!$A2423="",0,IF(CONFIG_METADATA!$B$4&lt;&gt;"OR+EX",--(DATOS!$G2423=CONFIG_METADATA!$B$4),IF(DATOS!$G2423="EX",1,IF(DATOS!$G2423="OR",--(COUNTIFS(nNIA,DATOS!$A2423,nCURSO,DATOS!$D2423,nESPEC,DATOS!$E2423,nASIG,DATOS!$I2423,nEVAL,"EX")=0),0))))</f>
      </c>
      <c r="H2423">
        <f>IF(DATOS!$G2423&lt;&gt;"EX",0,--(COUNTIFS(nNIA,DATOS!$A2423,nCURSO,DATOS!$D2423,nESPEC,DATOS!$E2423,nASIG,DATOS!$I2423,nEVAL,"OR")=0))</f>
      </c>
      <c r="I2423">
        <f>IF(DATOS!$I2423="","",IFERROR(VLOOKUP(DATOS!$I2423,CONFIG_ASIGNATURAS!$B$2:$J$91,9,FALSE()),""))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IF(DATOS!$A2424="",0,IF(CONFIG_METADATA!$B$4&lt;&gt;"OR+EX",--(DATOS!$G2424=CONFIG_METADATA!$B$4),IF(DATOS!$G2424="EX",1,IF(DATOS!$G2424="OR",--(COUNTIFS(nNIA,DATOS!$A2424,nCURSO,DATOS!$D2424,nESPEC,DATOS!$E2424,nASIG,DATOS!$I2424,nEVAL,"EX")=0),0))))</f>
      </c>
      <c r="H2424">
        <f>IF(DATOS!$G2424&lt;&gt;"EX",0,--(COUNTIFS(nNIA,DATOS!$A2424,nCURSO,DATOS!$D2424,nESPEC,DATOS!$E2424,nASIG,DATOS!$I2424,nEVAL,"OR")=0))</f>
      </c>
      <c r="I2424">
        <f>IF(DATOS!$I2424="","",IFERROR(VLOOKUP(DATOS!$I2424,CONFIG_ASIGNATURAS!$B$2:$J$91,9,FALSE()),""))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IF(DATOS!$A2425="",0,IF(CONFIG_METADATA!$B$4&lt;&gt;"OR+EX",--(DATOS!$G2425=CONFIG_METADATA!$B$4),IF(DATOS!$G2425="EX",1,IF(DATOS!$G2425="OR",--(COUNTIFS(nNIA,DATOS!$A2425,nCURSO,DATOS!$D2425,nESPEC,DATOS!$E2425,nASIG,DATOS!$I2425,nEVAL,"EX")=0),0))))</f>
      </c>
      <c r="H2425">
        <f>IF(DATOS!$G2425&lt;&gt;"EX",0,--(COUNTIFS(nNIA,DATOS!$A2425,nCURSO,DATOS!$D2425,nESPEC,DATOS!$E2425,nASIG,DATOS!$I2425,nEVAL,"OR")=0))</f>
      </c>
      <c r="I2425">
        <f>IF(DATOS!$I2425="","",IFERROR(VLOOKUP(DATOS!$I2425,CONFIG_ASIGNATURAS!$B$2:$J$91,9,FALSE()),""))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IF(DATOS!$A2426="",0,IF(CONFIG_METADATA!$B$4&lt;&gt;"OR+EX",--(DATOS!$G2426=CONFIG_METADATA!$B$4),IF(DATOS!$G2426="EX",1,IF(DATOS!$G2426="OR",--(COUNTIFS(nNIA,DATOS!$A2426,nCURSO,DATOS!$D2426,nESPEC,DATOS!$E2426,nASIG,DATOS!$I2426,nEVAL,"EX")=0),0))))</f>
      </c>
      <c r="H2426">
        <f>IF(DATOS!$G2426&lt;&gt;"EX",0,--(COUNTIFS(nNIA,DATOS!$A2426,nCURSO,DATOS!$D2426,nESPEC,DATOS!$E2426,nASIG,DATOS!$I2426,nEVAL,"OR")=0))</f>
      </c>
      <c r="I2426">
        <f>IF(DATOS!$I2426="","",IFERROR(VLOOKUP(DATOS!$I2426,CONFIG_ASIGNATURAS!$B$2:$J$91,9,FALSE()),""))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IF(DATOS!$A2427="",0,IF(CONFIG_METADATA!$B$4&lt;&gt;"OR+EX",--(DATOS!$G2427=CONFIG_METADATA!$B$4),IF(DATOS!$G2427="EX",1,IF(DATOS!$G2427="OR",--(COUNTIFS(nNIA,DATOS!$A2427,nCURSO,DATOS!$D2427,nESPEC,DATOS!$E2427,nASIG,DATOS!$I2427,nEVAL,"EX")=0),0))))</f>
      </c>
      <c r="H2427">
        <f>IF(DATOS!$G2427&lt;&gt;"EX",0,--(COUNTIFS(nNIA,DATOS!$A2427,nCURSO,DATOS!$D2427,nESPEC,DATOS!$E2427,nASIG,DATOS!$I2427,nEVAL,"OR")=0))</f>
      </c>
      <c r="I2427">
        <f>IF(DATOS!$I2427="","",IFERROR(VLOOKUP(DATOS!$I2427,CONFIG_ASIGNATURAS!$B$2:$J$91,9,FALSE()),""))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IF(DATOS!$A2428="",0,IF(CONFIG_METADATA!$B$4&lt;&gt;"OR+EX",--(DATOS!$G2428=CONFIG_METADATA!$B$4),IF(DATOS!$G2428="EX",1,IF(DATOS!$G2428="OR",--(COUNTIFS(nNIA,DATOS!$A2428,nCURSO,DATOS!$D2428,nESPEC,DATOS!$E2428,nASIG,DATOS!$I2428,nEVAL,"EX")=0),0))))</f>
      </c>
      <c r="H2428">
        <f>IF(DATOS!$G2428&lt;&gt;"EX",0,--(COUNTIFS(nNIA,DATOS!$A2428,nCURSO,DATOS!$D2428,nESPEC,DATOS!$E2428,nASIG,DATOS!$I2428,nEVAL,"OR")=0))</f>
      </c>
      <c r="I2428">
        <f>IF(DATOS!$I2428="","",IFERROR(VLOOKUP(DATOS!$I2428,CONFIG_ASIGNATURAS!$B$2:$J$91,9,FALSE()),""))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IF(DATOS!$A2429="",0,IF(CONFIG_METADATA!$B$4&lt;&gt;"OR+EX",--(DATOS!$G2429=CONFIG_METADATA!$B$4),IF(DATOS!$G2429="EX",1,IF(DATOS!$G2429="OR",--(COUNTIFS(nNIA,DATOS!$A2429,nCURSO,DATOS!$D2429,nESPEC,DATOS!$E2429,nASIG,DATOS!$I2429,nEVAL,"EX")=0),0))))</f>
      </c>
      <c r="H2429">
        <f>IF(DATOS!$G2429&lt;&gt;"EX",0,--(COUNTIFS(nNIA,DATOS!$A2429,nCURSO,DATOS!$D2429,nESPEC,DATOS!$E2429,nASIG,DATOS!$I2429,nEVAL,"OR")=0))</f>
      </c>
      <c r="I2429">
        <f>IF(DATOS!$I2429="","",IFERROR(VLOOKUP(DATOS!$I2429,CONFIG_ASIGNATURAS!$B$2:$J$91,9,FALSE()),""))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IF(DATOS!$A2430="",0,IF(CONFIG_METADATA!$B$4&lt;&gt;"OR+EX",--(DATOS!$G2430=CONFIG_METADATA!$B$4),IF(DATOS!$G2430="EX",1,IF(DATOS!$G2430="OR",--(COUNTIFS(nNIA,DATOS!$A2430,nCURSO,DATOS!$D2430,nESPEC,DATOS!$E2430,nASIG,DATOS!$I2430,nEVAL,"EX")=0),0))))</f>
      </c>
      <c r="H2430">
        <f>IF(DATOS!$G2430&lt;&gt;"EX",0,--(COUNTIFS(nNIA,DATOS!$A2430,nCURSO,DATOS!$D2430,nESPEC,DATOS!$E2430,nASIG,DATOS!$I2430,nEVAL,"OR")=0))</f>
      </c>
      <c r="I2430">
        <f>IF(DATOS!$I2430="","",IFERROR(VLOOKUP(DATOS!$I2430,CONFIG_ASIGNATURAS!$B$2:$J$91,9,FALSE()),""))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IF(DATOS!$A2431="",0,IF(CONFIG_METADATA!$B$4&lt;&gt;"OR+EX",--(DATOS!$G2431=CONFIG_METADATA!$B$4),IF(DATOS!$G2431="EX",1,IF(DATOS!$G2431="OR",--(COUNTIFS(nNIA,DATOS!$A2431,nCURSO,DATOS!$D2431,nESPEC,DATOS!$E2431,nASIG,DATOS!$I2431,nEVAL,"EX")=0),0))))</f>
      </c>
      <c r="H2431">
        <f>IF(DATOS!$G2431&lt;&gt;"EX",0,--(COUNTIFS(nNIA,DATOS!$A2431,nCURSO,DATOS!$D2431,nESPEC,DATOS!$E2431,nASIG,DATOS!$I2431,nEVAL,"OR")=0))</f>
      </c>
      <c r="I2431">
        <f>IF(DATOS!$I2431="","",IFERROR(VLOOKUP(DATOS!$I2431,CONFIG_ASIGNATURAS!$B$2:$J$91,9,FALSE()),""))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IF(DATOS!$A2432="",0,IF(CONFIG_METADATA!$B$4&lt;&gt;"OR+EX",--(DATOS!$G2432=CONFIG_METADATA!$B$4),IF(DATOS!$G2432="EX",1,IF(DATOS!$G2432="OR",--(COUNTIFS(nNIA,DATOS!$A2432,nCURSO,DATOS!$D2432,nESPEC,DATOS!$E2432,nASIG,DATOS!$I2432,nEVAL,"EX")=0),0))))</f>
      </c>
      <c r="H2432">
        <f>IF(DATOS!$G2432&lt;&gt;"EX",0,--(COUNTIFS(nNIA,DATOS!$A2432,nCURSO,DATOS!$D2432,nESPEC,DATOS!$E2432,nASIG,DATOS!$I2432,nEVAL,"OR")=0))</f>
      </c>
      <c r="I2432">
        <f>IF(DATOS!$I2432="","",IFERROR(VLOOKUP(DATOS!$I2432,CONFIG_ASIGNATURAS!$B$2:$J$91,9,FALSE()),""))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IF(DATOS!$A2433="",0,IF(CONFIG_METADATA!$B$4&lt;&gt;"OR+EX",--(DATOS!$G2433=CONFIG_METADATA!$B$4),IF(DATOS!$G2433="EX",1,IF(DATOS!$G2433="OR",--(COUNTIFS(nNIA,DATOS!$A2433,nCURSO,DATOS!$D2433,nESPEC,DATOS!$E2433,nASIG,DATOS!$I2433,nEVAL,"EX")=0),0))))</f>
      </c>
      <c r="H2433">
        <f>IF(DATOS!$G2433&lt;&gt;"EX",0,--(COUNTIFS(nNIA,DATOS!$A2433,nCURSO,DATOS!$D2433,nESPEC,DATOS!$E2433,nASIG,DATOS!$I2433,nEVAL,"OR")=0))</f>
      </c>
      <c r="I2433">
        <f>IF(DATOS!$I2433="","",IFERROR(VLOOKUP(DATOS!$I2433,CONFIG_ASIGNATURAS!$B$2:$J$91,9,FALSE()),""))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IF(DATOS!$A2434="",0,IF(CONFIG_METADATA!$B$4&lt;&gt;"OR+EX",--(DATOS!$G2434=CONFIG_METADATA!$B$4),IF(DATOS!$G2434="EX",1,IF(DATOS!$G2434="OR",--(COUNTIFS(nNIA,DATOS!$A2434,nCURSO,DATOS!$D2434,nESPEC,DATOS!$E2434,nASIG,DATOS!$I2434,nEVAL,"EX")=0),0))))</f>
      </c>
      <c r="H2434">
        <f>IF(DATOS!$G2434&lt;&gt;"EX",0,--(COUNTIFS(nNIA,DATOS!$A2434,nCURSO,DATOS!$D2434,nESPEC,DATOS!$E2434,nASIG,DATOS!$I2434,nEVAL,"OR")=0))</f>
      </c>
      <c r="I2434">
        <f>IF(DATOS!$I2434="","",IFERROR(VLOOKUP(DATOS!$I2434,CONFIG_ASIGNATURAS!$B$2:$J$91,9,FALSE()),""))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IF(DATOS!$A2435="",0,IF(CONFIG_METADATA!$B$4&lt;&gt;"OR+EX",--(DATOS!$G2435=CONFIG_METADATA!$B$4),IF(DATOS!$G2435="EX",1,IF(DATOS!$G2435="OR",--(COUNTIFS(nNIA,DATOS!$A2435,nCURSO,DATOS!$D2435,nESPEC,DATOS!$E2435,nASIG,DATOS!$I2435,nEVAL,"EX")=0),0))))</f>
      </c>
      <c r="H2435">
        <f>IF(DATOS!$G2435&lt;&gt;"EX",0,--(COUNTIFS(nNIA,DATOS!$A2435,nCURSO,DATOS!$D2435,nESPEC,DATOS!$E2435,nASIG,DATOS!$I2435,nEVAL,"OR")=0))</f>
      </c>
      <c r="I2435">
        <f>IF(DATOS!$I2435="","",IFERROR(VLOOKUP(DATOS!$I2435,CONFIG_ASIGNATURAS!$B$2:$J$91,9,FALSE()),""))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IF(DATOS!$A2436="",0,IF(CONFIG_METADATA!$B$4&lt;&gt;"OR+EX",--(DATOS!$G2436=CONFIG_METADATA!$B$4),IF(DATOS!$G2436="EX",1,IF(DATOS!$G2436="OR",--(COUNTIFS(nNIA,DATOS!$A2436,nCURSO,DATOS!$D2436,nESPEC,DATOS!$E2436,nASIG,DATOS!$I2436,nEVAL,"EX")=0),0))))</f>
      </c>
      <c r="H2436">
        <f>IF(DATOS!$G2436&lt;&gt;"EX",0,--(COUNTIFS(nNIA,DATOS!$A2436,nCURSO,DATOS!$D2436,nESPEC,DATOS!$E2436,nASIG,DATOS!$I2436,nEVAL,"OR")=0))</f>
      </c>
      <c r="I2436">
        <f>IF(DATOS!$I2436="","",IFERROR(VLOOKUP(DATOS!$I2436,CONFIG_ASIGNATURAS!$B$2:$J$91,9,FALSE()),""))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IF(DATOS!$A2437="",0,IF(CONFIG_METADATA!$B$4&lt;&gt;"OR+EX",--(DATOS!$G2437=CONFIG_METADATA!$B$4),IF(DATOS!$G2437="EX",1,IF(DATOS!$G2437="OR",--(COUNTIFS(nNIA,DATOS!$A2437,nCURSO,DATOS!$D2437,nESPEC,DATOS!$E2437,nASIG,DATOS!$I2437,nEVAL,"EX")=0),0))))</f>
      </c>
      <c r="H2437">
        <f>IF(DATOS!$G2437&lt;&gt;"EX",0,--(COUNTIFS(nNIA,DATOS!$A2437,nCURSO,DATOS!$D2437,nESPEC,DATOS!$E2437,nASIG,DATOS!$I2437,nEVAL,"OR")=0))</f>
      </c>
      <c r="I2437">
        <f>IF(DATOS!$I2437="","",IFERROR(VLOOKUP(DATOS!$I2437,CONFIG_ASIGNATURAS!$B$2:$J$91,9,FALSE()),""))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IF(DATOS!$A2438="",0,IF(CONFIG_METADATA!$B$4&lt;&gt;"OR+EX",--(DATOS!$G2438=CONFIG_METADATA!$B$4),IF(DATOS!$G2438="EX",1,IF(DATOS!$G2438="OR",--(COUNTIFS(nNIA,DATOS!$A2438,nCURSO,DATOS!$D2438,nESPEC,DATOS!$E2438,nASIG,DATOS!$I2438,nEVAL,"EX")=0),0))))</f>
      </c>
      <c r="H2438">
        <f>IF(DATOS!$G2438&lt;&gt;"EX",0,--(COUNTIFS(nNIA,DATOS!$A2438,nCURSO,DATOS!$D2438,nESPEC,DATOS!$E2438,nASIG,DATOS!$I2438,nEVAL,"OR")=0))</f>
      </c>
      <c r="I2438">
        <f>IF(DATOS!$I2438="","",IFERROR(VLOOKUP(DATOS!$I2438,CONFIG_ASIGNATURAS!$B$2:$J$91,9,FALSE()),""))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IF(DATOS!$A2439="",0,IF(CONFIG_METADATA!$B$4&lt;&gt;"OR+EX",--(DATOS!$G2439=CONFIG_METADATA!$B$4),IF(DATOS!$G2439="EX",1,IF(DATOS!$G2439="OR",--(COUNTIFS(nNIA,DATOS!$A2439,nCURSO,DATOS!$D2439,nESPEC,DATOS!$E2439,nASIG,DATOS!$I2439,nEVAL,"EX")=0),0))))</f>
      </c>
      <c r="H2439">
        <f>IF(DATOS!$G2439&lt;&gt;"EX",0,--(COUNTIFS(nNIA,DATOS!$A2439,nCURSO,DATOS!$D2439,nESPEC,DATOS!$E2439,nASIG,DATOS!$I2439,nEVAL,"OR")=0))</f>
      </c>
      <c r="I2439">
        <f>IF(DATOS!$I2439="","",IFERROR(VLOOKUP(DATOS!$I2439,CONFIG_ASIGNATURAS!$B$2:$J$91,9,FALSE()),""))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IF(DATOS!$A2440="",0,IF(CONFIG_METADATA!$B$4&lt;&gt;"OR+EX",--(DATOS!$G2440=CONFIG_METADATA!$B$4),IF(DATOS!$G2440="EX",1,IF(DATOS!$G2440="OR",--(COUNTIFS(nNIA,DATOS!$A2440,nCURSO,DATOS!$D2440,nESPEC,DATOS!$E2440,nASIG,DATOS!$I2440,nEVAL,"EX")=0),0))))</f>
      </c>
      <c r="H2440">
        <f>IF(DATOS!$G2440&lt;&gt;"EX",0,--(COUNTIFS(nNIA,DATOS!$A2440,nCURSO,DATOS!$D2440,nESPEC,DATOS!$E2440,nASIG,DATOS!$I2440,nEVAL,"OR")=0))</f>
      </c>
      <c r="I2440">
        <f>IF(DATOS!$I2440="","",IFERROR(VLOOKUP(DATOS!$I2440,CONFIG_ASIGNATURAS!$B$2:$J$91,9,FALSE()),""))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IF(DATOS!$A2441="",0,IF(CONFIG_METADATA!$B$4&lt;&gt;"OR+EX",--(DATOS!$G2441=CONFIG_METADATA!$B$4),IF(DATOS!$G2441="EX",1,IF(DATOS!$G2441="OR",--(COUNTIFS(nNIA,DATOS!$A2441,nCURSO,DATOS!$D2441,nESPEC,DATOS!$E2441,nASIG,DATOS!$I2441,nEVAL,"EX")=0),0))))</f>
      </c>
      <c r="H2441">
        <f>IF(DATOS!$G2441&lt;&gt;"EX",0,--(COUNTIFS(nNIA,DATOS!$A2441,nCURSO,DATOS!$D2441,nESPEC,DATOS!$E2441,nASIG,DATOS!$I2441,nEVAL,"OR")=0))</f>
      </c>
      <c r="I2441">
        <f>IF(DATOS!$I2441="","",IFERROR(VLOOKUP(DATOS!$I2441,CONFIG_ASIGNATURAS!$B$2:$J$91,9,FALSE()),""))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IF(DATOS!$A2442="",0,IF(CONFIG_METADATA!$B$4&lt;&gt;"OR+EX",--(DATOS!$G2442=CONFIG_METADATA!$B$4),IF(DATOS!$G2442="EX",1,IF(DATOS!$G2442="OR",--(COUNTIFS(nNIA,DATOS!$A2442,nCURSO,DATOS!$D2442,nESPEC,DATOS!$E2442,nASIG,DATOS!$I2442,nEVAL,"EX")=0),0))))</f>
      </c>
      <c r="H2442">
        <f>IF(DATOS!$G2442&lt;&gt;"EX",0,--(COUNTIFS(nNIA,DATOS!$A2442,nCURSO,DATOS!$D2442,nESPEC,DATOS!$E2442,nASIG,DATOS!$I2442,nEVAL,"OR")=0))</f>
      </c>
      <c r="I2442">
        <f>IF(DATOS!$I2442="","",IFERROR(VLOOKUP(DATOS!$I2442,CONFIG_ASIGNATURAS!$B$2:$J$91,9,FALSE()),""))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IF(DATOS!$A2443="",0,IF(CONFIG_METADATA!$B$4&lt;&gt;"OR+EX",--(DATOS!$G2443=CONFIG_METADATA!$B$4),IF(DATOS!$G2443="EX",1,IF(DATOS!$G2443="OR",--(COUNTIFS(nNIA,DATOS!$A2443,nCURSO,DATOS!$D2443,nESPEC,DATOS!$E2443,nASIG,DATOS!$I2443,nEVAL,"EX")=0),0))))</f>
      </c>
      <c r="H2443">
        <f>IF(DATOS!$G2443&lt;&gt;"EX",0,--(COUNTIFS(nNIA,DATOS!$A2443,nCURSO,DATOS!$D2443,nESPEC,DATOS!$E2443,nASIG,DATOS!$I2443,nEVAL,"OR")=0))</f>
      </c>
      <c r="I2443">
        <f>IF(DATOS!$I2443="","",IFERROR(VLOOKUP(DATOS!$I2443,CONFIG_ASIGNATURAS!$B$2:$J$91,9,FALSE()),""))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IF(DATOS!$A2444="",0,IF(CONFIG_METADATA!$B$4&lt;&gt;"OR+EX",--(DATOS!$G2444=CONFIG_METADATA!$B$4),IF(DATOS!$G2444="EX",1,IF(DATOS!$G2444="OR",--(COUNTIFS(nNIA,DATOS!$A2444,nCURSO,DATOS!$D2444,nESPEC,DATOS!$E2444,nASIG,DATOS!$I2444,nEVAL,"EX")=0),0))))</f>
      </c>
      <c r="H2444">
        <f>IF(DATOS!$G2444&lt;&gt;"EX",0,--(COUNTIFS(nNIA,DATOS!$A2444,nCURSO,DATOS!$D2444,nESPEC,DATOS!$E2444,nASIG,DATOS!$I2444,nEVAL,"OR")=0))</f>
      </c>
      <c r="I2444">
        <f>IF(DATOS!$I2444="","",IFERROR(VLOOKUP(DATOS!$I2444,CONFIG_ASIGNATURAS!$B$2:$J$91,9,FALSE()),""))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IF(DATOS!$A2445="",0,IF(CONFIG_METADATA!$B$4&lt;&gt;"OR+EX",--(DATOS!$G2445=CONFIG_METADATA!$B$4),IF(DATOS!$G2445="EX",1,IF(DATOS!$G2445="OR",--(COUNTIFS(nNIA,DATOS!$A2445,nCURSO,DATOS!$D2445,nESPEC,DATOS!$E2445,nASIG,DATOS!$I2445,nEVAL,"EX")=0),0))))</f>
      </c>
      <c r="H2445">
        <f>IF(DATOS!$G2445&lt;&gt;"EX",0,--(COUNTIFS(nNIA,DATOS!$A2445,nCURSO,DATOS!$D2445,nESPEC,DATOS!$E2445,nASIG,DATOS!$I2445,nEVAL,"OR")=0))</f>
      </c>
      <c r="I2445">
        <f>IF(DATOS!$I2445="","",IFERROR(VLOOKUP(DATOS!$I2445,CONFIG_ASIGNATURAS!$B$2:$J$91,9,FALSE()),""))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IF(DATOS!$A2446="",0,IF(CONFIG_METADATA!$B$4&lt;&gt;"OR+EX",--(DATOS!$G2446=CONFIG_METADATA!$B$4),IF(DATOS!$G2446="EX",1,IF(DATOS!$G2446="OR",--(COUNTIFS(nNIA,DATOS!$A2446,nCURSO,DATOS!$D2446,nESPEC,DATOS!$E2446,nASIG,DATOS!$I2446,nEVAL,"EX")=0),0))))</f>
      </c>
      <c r="H2446">
        <f>IF(DATOS!$G2446&lt;&gt;"EX",0,--(COUNTIFS(nNIA,DATOS!$A2446,nCURSO,DATOS!$D2446,nESPEC,DATOS!$E2446,nASIG,DATOS!$I2446,nEVAL,"OR")=0))</f>
      </c>
      <c r="I2446">
        <f>IF(DATOS!$I2446="","",IFERROR(VLOOKUP(DATOS!$I2446,CONFIG_ASIGNATURAS!$B$2:$J$91,9,FALSE()),""))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IF(DATOS!$A2447="",0,IF(CONFIG_METADATA!$B$4&lt;&gt;"OR+EX",--(DATOS!$G2447=CONFIG_METADATA!$B$4),IF(DATOS!$G2447="EX",1,IF(DATOS!$G2447="OR",--(COUNTIFS(nNIA,DATOS!$A2447,nCURSO,DATOS!$D2447,nESPEC,DATOS!$E2447,nASIG,DATOS!$I2447,nEVAL,"EX")=0),0))))</f>
      </c>
      <c r="H2447">
        <f>IF(DATOS!$G2447&lt;&gt;"EX",0,--(COUNTIFS(nNIA,DATOS!$A2447,nCURSO,DATOS!$D2447,nESPEC,DATOS!$E2447,nASIG,DATOS!$I2447,nEVAL,"OR")=0))</f>
      </c>
      <c r="I2447">
        <f>IF(DATOS!$I2447="","",IFERROR(VLOOKUP(DATOS!$I2447,CONFIG_ASIGNATURAS!$B$2:$J$91,9,FALSE()),""))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IF(DATOS!$A2448="",0,IF(CONFIG_METADATA!$B$4&lt;&gt;"OR+EX",--(DATOS!$G2448=CONFIG_METADATA!$B$4),IF(DATOS!$G2448="EX",1,IF(DATOS!$G2448="OR",--(COUNTIFS(nNIA,DATOS!$A2448,nCURSO,DATOS!$D2448,nESPEC,DATOS!$E2448,nASIG,DATOS!$I2448,nEVAL,"EX")=0),0))))</f>
      </c>
      <c r="H2448">
        <f>IF(DATOS!$G2448&lt;&gt;"EX",0,--(COUNTIFS(nNIA,DATOS!$A2448,nCURSO,DATOS!$D2448,nESPEC,DATOS!$E2448,nASIG,DATOS!$I2448,nEVAL,"OR")=0))</f>
      </c>
      <c r="I2448">
        <f>IF(DATOS!$I2448="","",IFERROR(VLOOKUP(DATOS!$I2448,CONFIG_ASIGNATURAS!$B$2:$J$91,9,FALSE()),""))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IF(DATOS!$A2449="",0,IF(CONFIG_METADATA!$B$4&lt;&gt;"OR+EX",--(DATOS!$G2449=CONFIG_METADATA!$B$4),IF(DATOS!$G2449="EX",1,IF(DATOS!$G2449="OR",--(COUNTIFS(nNIA,DATOS!$A2449,nCURSO,DATOS!$D2449,nESPEC,DATOS!$E2449,nASIG,DATOS!$I2449,nEVAL,"EX")=0),0))))</f>
      </c>
      <c r="H2449">
        <f>IF(DATOS!$G2449&lt;&gt;"EX",0,--(COUNTIFS(nNIA,DATOS!$A2449,nCURSO,DATOS!$D2449,nESPEC,DATOS!$E2449,nASIG,DATOS!$I2449,nEVAL,"OR")=0))</f>
      </c>
      <c r="I2449">
        <f>IF(DATOS!$I2449="","",IFERROR(VLOOKUP(DATOS!$I2449,CONFIG_ASIGNATURAS!$B$2:$J$91,9,FALSE()),""))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IF(DATOS!$A2450="",0,IF(CONFIG_METADATA!$B$4&lt;&gt;"OR+EX",--(DATOS!$G2450=CONFIG_METADATA!$B$4),IF(DATOS!$G2450="EX",1,IF(DATOS!$G2450="OR",--(COUNTIFS(nNIA,DATOS!$A2450,nCURSO,DATOS!$D2450,nESPEC,DATOS!$E2450,nASIG,DATOS!$I2450,nEVAL,"EX")=0),0))))</f>
      </c>
      <c r="H2450">
        <f>IF(DATOS!$G2450&lt;&gt;"EX",0,--(COUNTIFS(nNIA,DATOS!$A2450,nCURSO,DATOS!$D2450,nESPEC,DATOS!$E2450,nASIG,DATOS!$I2450,nEVAL,"OR")=0))</f>
      </c>
      <c r="I2450">
        <f>IF(DATOS!$I2450="","",IFERROR(VLOOKUP(DATOS!$I2450,CONFIG_ASIGNATURAS!$B$2:$J$91,9,FALSE()),""))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IF(DATOS!$A2451="",0,IF(CONFIG_METADATA!$B$4&lt;&gt;"OR+EX",--(DATOS!$G2451=CONFIG_METADATA!$B$4),IF(DATOS!$G2451="EX",1,IF(DATOS!$G2451="OR",--(COUNTIFS(nNIA,DATOS!$A2451,nCURSO,DATOS!$D2451,nESPEC,DATOS!$E2451,nASIG,DATOS!$I2451,nEVAL,"EX")=0),0))))</f>
      </c>
      <c r="H2451">
        <f>IF(DATOS!$G2451&lt;&gt;"EX",0,--(COUNTIFS(nNIA,DATOS!$A2451,nCURSO,DATOS!$D2451,nESPEC,DATOS!$E2451,nASIG,DATOS!$I2451,nEVAL,"OR")=0))</f>
      </c>
      <c r="I2451">
        <f>IF(DATOS!$I2451="","",IFERROR(VLOOKUP(DATOS!$I2451,CONFIG_ASIGNATURAS!$B$2:$J$91,9,FALSE()),""))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IF(DATOS!$A2452="",0,IF(CONFIG_METADATA!$B$4&lt;&gt;"OR+EX",--(DATOS!$G2452=CONFIG_METADATA!$B$4),IF(DATOS!$G2452="EX",1,IF(DATOS!$G2452="OR",--(COUNTIFS(nNIA,DATOS!$A2452,nCURSO,DATOS!$D2452,nESPEC,DATOS!$E2452,nASIG,DATOS!$I2452,nEVAL,"EX")=0),0))))</f>
      </c>
      <c r="H2452">
        <f>IF(DATOS!$G2452&lt;&gt;"EX",0,--(COUNTIFS(nNIA,DATOS!$A2452,nCURSO,DATOS!$D2452,nESPEC,DATOS!$E2452,nASIG,DATOS!$I2452,nEVAL,"OR")=0))</f>
      </c>
      <c r="I2452">
        <f>IF(DATOS!$I2452="","",IFERROR(VLOOKUP(DATOS!$I2452,CONFIG_ASIGNATURAS!$B$2:$J$91,9,FALSE()),""))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IF(DATOS!$A2453="",0,IF(CONFIG_METADATA!$B$4&lt;&gt;"OR+EX",--(DATOS!$G2453=CONFIG_METADATA!$B$4),IF(DATOS!$G2453="EX",1,IF(DATOS!$G2453="OR",--(COUNTIFS(nNIA,DATOS!$A2453,nCURSO,DATOS!$D2453,nESPEC,DATOS!$E2453,nASIG,DATOS!$I2453,nEVAL,"EX")=0),0))))</f>
      </c>
      <c r="H2453">
        <f>IF(DATOS!$G2453&lt;&gt;"EX",0,--(COUNTIFS(nNIA,DATOS!$A2453,nCURSO,DATOS!$D2453,nESPEC,DATOS!$E2453,nASIG,DATOS!$I2453,nEVAL,"OR")=0))</f>
      </c>
      <c r="I2453">
        <f>IF(DATOS!$I2453="","",IFERROR(VLOOKUP(DATOS!$I2453,CONFIG_ASIGNATURAS!$B$2:$J$91,9,FALSE()),""))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IF(DATOS!$A2454="",0,IF(CONFIG_METADATA!$B$4&lt;&gt;"OR+EX",--(DATOS!$G2454=CONFIG_METADATA!$B$4),IF(DATOS!$G2454="EX",1,IF(DATOS!$G2454="OR",--(COUNTIFS(nNIA,DATOS!$A2454,nCURSO,DATOS!$D2454,nESPEC,DATOS!$E2454,nASIG,DATOS!$I2454,nEVAL,"EX")=0),0))))</f>
      </c>
      <c r="H2454">
        <f>IF(DATOS!$G2454&lt;&gt;"EX",0,--(COUNTIFS(nNIA,DATOS!$A2454,nCURSO,DATOS!$D2454,nESPEC,DATOS!$E2454,nASIG,DATOS!$I2454,nEVAL,"OR")=0))</f>
      </c>
      <c r="I2454">
        <f>IF(DATOS!$I2454="","",IFERROR(VLOOKUP(DATOS!$I2454,CONFIG_ASIGNATURAS!$B$2:$J$91,9,FALSE()),""))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IF(DATOS!$A2455="",0,IF(CONFIG_METADATA!$B$4&lt;&gt;"OR+EX",--(DATOS!$G2455=CONFIG_METADATA!$B$4),IF(DATOS!$G2455="EX",1,IF(DATOS!$G2455="OR",--(COUNTIFS(nNIA,DATOS!$A2455,nCURSO,DATOS!$D2455,nESPEC,DATOS!$E2455,nASIG,DATOS!$I2455,nEVAL,"EX")=0),0))))</f>
      </c>
      <c r="H2455">
        <f>IF(DATOS!$G2455&lt;&gt;"EX",0,--(COUNTIFS(nNIA,DATOS!$A2455,nCURSO,DATOS!$D2455,nESPEC,DATOS!$E2455,nASIG,DATOS!$I2455,nEVAL,"OR")=0))</f>
      </c>
      <c r="I2455">
        <f>IF(DATOS!$I2455="","",IFERROR(VLOOKUP(DATOS!$I2455,CONFIG_ASIGNATURAS!$B$2:$J$91,9,FALSE()),""))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IF(DATOS!$A2456="",0,IF(CONFIG_METADATA!$B$4&lt;&gt;"OR+EX",--(DATOS!$G2456=CONFIG_METADATA!$B$4),IF(DATOS!$G2456="EX",1,IF(DATOS!$G2456="OR",--(COUNTIFS(nNIA,DATOS!$A2456,nCURSO,DATOS!$D2456,nESPEC,DATOS!$E2456,nASIG,DATOS!$I2456,nEVAL,"EX")=0),0))))</f>
      </c>
      <c r="H2456">
        <f>IF(DATOS!$G2456&lt;&gt;"EX",0,--(COUNTIFS(nNIA,DATOS!$A2456,nCURSO,DATOS!$D2456,nESPEC,DATOS!$E2456,nASIG,DATOS!$I2456,nEVAL,"OR")=0))</f>
      </c>
      <c r="I2456">
        <f>IF(DATOS!$I2456="","",IFERROR(VLOOKUP(DATOS!$I2456,CONFIG_ASIGNATURAS!$B$2:$J$91,9,FALSE()),""))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IF(DATOS!$A2457="",0,IF(CONFIG_METADATA!$B$4&lt;&gt;"OR+EX",--(DATOS!$G2457=CONFIG_METADATA!$B$4),IF(DATOS!$G2457="EX",1,IF(DATOS!$G2457="OR",--(COUNTIFS(nNIA,DATOS!$A2457,nCURSO,DATOS!$D2457,nESPEC,DATOS!$E2457,nASIG,DATOS!$I2457,nEVAL,"EX")=0),0))))</f>
      </c>
      <c r="H2457">
        <f>IF(DATOS!$G2457&lt;&gt;"EX",0,--(COUNTIFS(nNIA,DATOS!$A2457,nCURSO,DATOS!$D2457,nESPEC,DATOS!$E2457,nASIG,DATOS!$I2457,nEVAL,"OR")=0))</f>
      </c>
      <c r="I2457">
        <f>IF(DATOS!$I2457="","",IFERROR(VLOOKUP(DATOS!$I2457,CONFIG_ASIGNATURAS!$B$2:$J$91,9,FALSE()),""))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IF(DATOS!$A2458="",0,IF(CONFIG_METADATA!$B$4&lt;&gt;"OR+EX",--(DATOS!$G2458=CONFIG_METADATA!$B$4),IF(DATOS!$G2458="EX",1,IF(DATOS!$G2458="OR",--(COUNTIFS(nNIA,DATOS!$A2458,nCURSO,DATOS!$D2458,nESPEC,DATOS!$E2458,nASIG,DATOS!$I2458,nEVAL,"EX")=0),0))))</f>
      </c>
      <c r="H2458">
        <f>IF(DATOS!$G2458&lt;&gt;"EX",0,--(COUNTIFS(nNIA,DATOS!$A2458,nCURSO,DATOS!$D2458,nESPEC,DATOS!$E2458,nASIG,DATOS!$I2458,nEVAL,"OR")=0))</f>
      </c>
      <c r="I2458">
        <f>IF(DATOS!$I2458="","",IFERROR(VLOOKUP(DATOS!$I2458,CONFIG_ASIGNATURAS!$B$2:$J$91,9,FALSE()),""))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IF(DATOS!$A2459="",0,IF(CONFIG_METADATA!$B$4&lt;&gt;"OR+EX",--(DATOS!$G2459=CONFIG_METADATA!$B$4),IF(DATOS!$G2459="EX",1,IF(DATOS!$G2459="OR",--(COUNTIFS(nNIA,DATOS!$A2459,nCURSO,DATOS!$D2459,nESPEC,DATOS!$E2459,nASIG,DATOS!$I2459,nEVAL,"EX")=0),0))))</f>
      </c>
      <c r="H2459">
        <f>IF(DATOS!$G2459&lt;&gt;"EX",0,--(COUNTIFS(nNIA,DATOS!$A2459,nCURSO,DATOS!$D2459,nESPEC,DATOS!$E2459,nASIG,DATOS!$I2459,nEVAL,"OR")=0))</f>
      </c>
      <c r="I2459">
        <f>IF(DATOS!$I2459="","",IFERROR(VLOOKUP(DATOS!$I2459,CONFIG_ASIGNATURAS!$B$2:$J$91,9,FALSE()),""))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IF(DATOS!$A2460="",0,IF(CONFIG_METADATA!$B$4&lt;&gt;"OR+EX",--(DATOS!$G2460=CONFIG_METADATA!$B$4),IF(DATOS!$G2460="EX",1,IF(DATOS!$G2460="OR",--(COUNTIFS(nNIA,DATOS!$A2460,nCURSO,DATOS!$D2460,nESPEC,DATOS!$E2460,nASIG,DATOS!$I2460,nEVAL,"EX")=0),0))))</f>
      </c>
      <c r="H2460">
        <f>IF(DATOS!$G2460&lt;&gt;"EX",0,--(COUNTIFS(nNIA,DATOS!$A2460,nCURSO,DATOS!$D2460,nESPEC,DATOS!$E2460,nASIG,DATOS!$I2460,nEVAL,"OR")=0))</f>
      </c>
      <c r="I2460">
        <f>IF(DATOS!$I2460="","",IFERROR(VLOOKUP(DATOS!$I2460,CONFIG_ASIGNATURAS!$B$2:$J$91,9,FALSE()),""))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IF(DATOS!$A2461="",0,IF(CONFIG_METADATA!$B$4&lt;&gt;"OR+EX",--(DATOS!$G2461=CONFIG_METADATA!$B$4),IF(DATOS!$G2461="EX",1,IF(DATOS!$G2461="OR",--(COUNTIFS(nNIA,DATOS!$A2461,nCURSO,DATOS!$D2461,nESPEC,DATOS!$E2461,nASIG,DATOS!$I2461,nEVAL,"EX")=0),0))))</f>
      </c>
      <c r="H2461">
        <f>IF(DATOS!$G2461&lt;&gt;"EX",0,--(COUNTIFS(nNIA,DATOS!$A2461,nCURSO,DATOS!$D2461,nESPEC,DATOS!$E2461,nASIG,DATOS!$I2461,nEVAL,"OR")=0))</f>
      </c>
      <c r="I2461">
        <f>IF(DATOS!$I2461="","",IFERROR(VLOOKUP(DATOS!$I2461,CONFIG_ASIGNATURAS!$B$2:$J$91,9,FALSE()),""))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IF(DATOS!$A2462="",0,IF(CONFIG_METADATA!$B$4&lt;&gt;"OR+EX",--(DATOS!$G2462=CONFIG_METADATA!$B$4),IF(DATOS!$G2462="EX",1,IF(DATOS!$G2462="OR",--(COUNTIFS(nNIA,DATOS!$A2462,nCURSO,DATOS!$D2462,nESPEC,DATOS!$E2462,nASIG,DATOS!$I2462,nEVAL,"EX")=0),0))))</f>
      </c>
      <c r="H2462">
        <f>IF(DATOS!$G2462&lt;&gt;"EX",0,--(COUNTIFS(nNIA,DATOS!$A2462,nCURSO,DATOS!$D2462,nESPEC,DATOS!$E2462,nASIG,DATOS!$I2462,nEVAL,"OR")=0))</f>
      </c>
      <c r="I2462">
        <f>IF(DATOS!$I2462="","",IFERROR(VLOOKUP(DATOS!$I2462,CONFIG_ASIGNATURAS!$B$2:$J$91,9,FALSE()),""))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IF(DATOS!$A2463="",0,IF(CONFIG_METADATA!$B$4&lt;&gt;"OR+EX",--(DATOS!$G2463=CONFIG_METADATA!$B$4),IF(DATOS!$G2463="EX",1,IF(DATOS!$G2463="OR",--(COUNTIFS(nNIA,DATOS!$A2463,nCURSO,DATOS!$D2463,nESPEC,DATOS!$E2463,nASIG,DATOS!$I2463,nEVAL,"EX")=0),0))))</f>
      </c>
      <c r="H2463">
        <f>IF(DATOS!$G2463&lt;&gt;"EX",0,--(COUNTIFS(nNIA,DATOS!$A2463,nCURSO,DATOS!$D2463,nESPEC,DATOS!$E2463,nASIG,DATOS!$I2463,nEVAL,"OR")=0))</f>
      </c>
      <c r="I2463">
        <f>IF(DATOS!$I2463="","",IFERROR(VLOOKUP(DATOS!$I2463,CONFIG_ASIGNATURAS!$B$2:$J$91,9,FALSE()),""))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IF(DATOS!$A2464="",0,IF(CONFIG_METADATA!$B$4&lt;&gt;"OR+EX",--(DATOS!$G2464=CONFIG_METADATA!$B$4),IF(DATOS!$G2464="EX",1,IF(DATOS!$G2464="OR",--(COUNTIFS(nNIA,DATOS!$A2464,nCURSO,DATOS!$D2464,nESPEC,DATOS!$E2464,nASIG,DATOS!$I2464,nEVAL,"EX")=0),0))))</f>
      </c>
      <c r="H2464">
        <f>IF(DATOS!$G2464&lt;&gt;"EX",0,--(COUNTIFS(nNIA,DATOS!$A2464,nCURSO,DATOS!$D2464,nESPEC,DATOS!$E2464,nASIG,DATOS!$I2464,nEVAL,"OR")=0))</f>
      </c>
      <c r="I2464">
        <f>IF(DATOS!$I2464="","",IFERROR(VLOOKUP(DATOS!$I2464,CONFIG_ASIGNATURAS!$B$2:$J$91,9,FALSE()),""))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IF(DATOS!$A2465="",0,IF(CONFIG_METADATA!$B$4&lt;&gt;"OR+EX",--(DATOS!$G2465=CONFIG_METADATA!$B$4),IF(DATOS!$G2465="EX",1,IF(DATOS!$G2465="OR",--(COUNTIFS(nNIA,DATOS!$A2465,nCURSO,DATOS!$D2465,nESPEC,DATOS!$E2465,nASIG,DATOS!$I2465,nEVAL,"EX")=0),0))))</f>
      </c>
      <c r="H2465">
        <f>IF(DATOS!$G2465&lt;&gt;"EX",0,--(COUNTIFS(nNIA,DATOS!$A2465,nCURSO,DATOS!$D2465,nESPEC,DATOS!$E2465,nASIG,DATOS!$I2465,nEVAL,"OR")=0))</f>
      </c>
      <c r="I2465">
        <f>IF(DATOS!$I2465="","",IFERROR(VLOOKUP(DATOS!$I2465,CONFIG_ASIGNATURAS!$B$2:$J$91,9,FALSE()),""))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IF(DATOS!$A2466="",0,IF(CONFIG_METADATA!$B$4&lt;&gt;"OR+EX",--(DATOS!$G2466=CONFIG_METADATA!$B$4),IF(DATOS!$G2466="EX",1,IF(DATOS!$G2466="OR",--(COUNTIFS(nNIA,DATOS!$A2466,nCURSO,DATOS!$D2466,nESPEC,DATOS!$E2466,nASIG,DATOS!$I2466,nEVAL,"EX")=0),0))))</f>
      </c>
      <c r="H2466">
        <f>IF(DATOS!$G2466&lt;&gt;"EX",0,--(COUNTIFS(nNIA,DATOS!$A2466,nCURSO,DATOS!$D2466,nESPEC,DATOS!$E2466,nASIG,DATOS!$I2466,nEVAL,"OR")=0))</f>
      </c>
      <c r="I2466">
        <f>IF(DATOS!$I2466="","",IFERROR(VLOOKUP(DATOS!$I2466,CONFIG_ASIGNATURAS!$B$2:$J$91,9,FALSE()),""))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IF(DATOS!$A2467="",0,IF(CONFIG_METADATA!$B$4&lt;&gt;"OR+EX",--(DATOS!$G2467=CONFIG_METADATA!$B$4),IF(DATOS!$G2467="EX",1,IF(DATOS!$G2467="OR",--(COUNTIFS(nNIA,DATOS!$A2467,nCURSO,DATOS!$D2467,nESPEC,DATOS!$E2467,nASIG,DATOS!$I2467,nEVAL,"EX")=0),0))))</f>
      </c>
      <c r="H2467">
        <f>IF(DATOS!$G2467&lt;&gt;"EX",0,--(COUNTIFS(nNIA,DATOS!$A2467,nCURSO,DATOS!$D2467,nESPEC,DATOS!$E2467,nASIG,DATOS!$I2467,nEVAL,"OR")=0))</f>
      </c>
      <c r="I2467">
        <f>IF(DATOS!$I2467="","",IFERROR(VLOOKUP(DATOS!$I2467,CONFIG_ASIGNATURAS!$B$2:$J$91,9,FALSE()),""))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IF(DATOS!$A2468="",0,IF(CONFIG_METADATA!$B$4&lt;&gt;"OR+EX",--(DATOS!$G2468=CONFIG_METADATA!$B$4),IF(DATOS!$G2468="EX",1,IF(DATOS!$G2468="OR",--(COUNTIFS(nNIA,DATOS!$A2468,nCURSO,DATOS!$D2468,nESPEC,DATOS!$E2468,nASIG,DATOS!$I2468,nEVAL,"EX")=0),0))))</f>
      </c>
      <c r="H2468">
        <f>IF(DATOS!$G2468&lt;&gt;"EX",0,--(COUNTIFS(nNIA,DATOS!$A2468,nCURSO,DATOS!$D2468,nESPEC,DATOS!$E2468,nASIG,DATOS!$I2468,nEVAL,"OR")=0))</f>
      </c>
      <c r="I2468">
        <f>IF(DATOS!$I2468="","",IFERROR(VLOOKUP(DATOS!$I2468,CONFIG_ASIGNATURAS!$B$2:$J$91,9,FALSE()),""))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IF(DATOS!$A2469="",0,IF(CONFIG_METADATA!$B$4&lt;&gt;"OR+EX",--(DATOS!$G2469=CONFIG_METADATA!$B$4),IF(DATOS!$G2469="EX",1,IF(DATOS!$G2469="OR",--(COUNTIFS(nNIA,DATOS!$A2469,nCURSO,DATOS!$D2469,nESPEC,DATOS!$E2469,nASIG,DATOS!$I2469,nEVAL,"EX")=0),0))))</f>
      </c>
      <c r="H2469">
        <f>IF(DATOS!$G2469&lt;&gt;"EX",0,--(COUNTIFS(nNIA,DATOS!$A2469,nCURSO,DATOS!$D2469,nESPEC,DATOS!$E2469,nASIG,DATOS!$I2469,nEVAL,"OR")=0))</f>
      </c>
      <c r="I2469">
        <f>IF(DATOS!$I2469="","",IFERROR(VLOOKUP(DATOS!$I2469,CONFIG_ASIGNATURAS!$B$2:$J$91,9,FALSE()),""))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IF(DATOS!$A2470="",0,IF(CONFIG_METADATA!$B$4&lt;&gt;"OR+EX",--(DATOS!$G2470=CONFIG_METADATA!$B$4),IF(DATOS!$G2470="EX",1,IF(DATOS!$G2470="OR",--(COUNTIFS(nNIA,DATOS!$A2470,nCURSO,DATOS!$D2470,nESPEC,DATOS!$E2470,nASIG,DATOS!$I2470,nEVAL,"EX")=0),0))))</f>
      </c>
      <c r="H2470">
        <f>IF(DATOS!$G2470&lt;&gt;"EX",0,--(COUNTIFS(nNIA,DATOS!$A2470,nCURSO,DATOS!$D2470,nESPEC,DATOS!$E2470,nASIG,DATOS!$I2470,nEVAL,"OR")=0))</f>
      </c>
      <c r="I2470">
        <f>IF(DATOS!$I2470="","",IFERROR(VLOOKUP(DATOS!$I2470,CONFIG_ASIGNATURAS!$B$2:$J$91,9,FALSE()),""))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IF(DATOS!$A2471="",0,IF(CONFIG_METADATA!$B$4&lt;&gt;"OR+EX",--(DATOS!$G2471=CONFIG_METADATA!$B$4),IF(DATOS!$G2471="EX",1,IF(DATOS!$G2471="OR",--(COUNTIFS(nNIA,DATOS!$A2471,nCURSO,DATOS!$D2471,nESPEC,DATOS!$E2471,nASIG,DATOS!$I2471,nEVAL,"EX")=0),0))))</f>
      </c>
      <c r="H2471">
        <f>IF(DATOS!$G2471&lt;&gt;"EX",0,--(COUNTIFS(nNIA,DATOS!$A2471,nCURSO,DATOS!$D2471,nESPEC,DATOS!$E2471,nASIG,DATOS!$I2471,nEVAL,"OR")=0))</f>
      </c>
      <c r="I2471">
        <f>IF(DATOS!$I2471="","",IFERROR(VLOOKUP(DATOS!$I2471,CONFIG_ASIGNATURAS!$B$2:$J$91,9,FALSE()),""))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IF(DATOS!$A2472="",0,IF(CONFIG_METADATA!$B$4&lt;&gt;"OR+EX",--(DATOS!$G2472=CONFIG_METADATA!$B$4),IF(DATOS!$G2472="EX",1,IF(DATOS!$G2472="OR",--(COUNTIFS(nNIA,DATOS!$A2472,nCURSO,DATOS!$D2472,nESPEC,DATOS!$E2472,nASIG,DATOS!$I2472,nEVAL,"EX")=0),0))))</f>
      </c>
      <c r="H2472">
        <f>IF(DATOS!$G2472&lt;&gt;"EX",0,--(COUNTIFS(nNIA,DATOS!$A2472,nCURSO,DATOS!$D2472,nESPEC,DATOS!$E2472,nASIG,DATOS!$I2472,nEVAL,"OR")=0))</f>
      </c>
      <c r="I2472">
        <f>IF(DATOS!$I2472="","",IFERROR(VLOOKUP(DATOS!$I2472,CONFIG_ASIGNATURAS!$B$2:$J$91,9,FALSE()),""))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IF(DATOS!$A2473="",0,IF(CONFIG_METADATA!$B$4&lt;&gt;"OR+EX",--(DATOS!$G2473=CONFIG_METADATA!$B$4),IF(DATOS!$G2473="EX",1,IF(DATOS!$G2473="OR",--(COUNTIFS(nNIA,DATOS!$A2473,nCURSO,DATOS!$D2473,nESPEC,DATOS!$E2473,nASIG,DATOS!$I2473,nEVAL,"EX")=0),0))))</f>
      </c>
      <c r="H2473">
        <f>IF(DATOS!$G2473&lt;&gt;"EX",0,--(COUNTIFS(nNIA,DATOS!$A2473,nCURSO,DATOS!$D2473,nESPEC,DATOS!$E2473,nASIG,DATOS!$I2473,nEVAL,"OR")=0))</f>
      </c>
      <c r="I2473">
        <f>IF(DATOS!$I2473="","",IFERROR(VLOOKUP(DATOS!$I2473,CONFIG_ASIGNATURAS!$B$2:$J$91,9,FALSE()),""))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IF(DATOS!$A2474="",0,IF(CONFIG_METADATA!$B$4&lt;&gt;"OR+EX",--(DATOS!$G2474=CONFIG_METADATA!$B$4),IF(DATOS!$G2474="EX",1,IF(DATOS!$G2474="OR",--(COUNTIFS(nNIA,DATOS!$A2474,nCURSO,DATOS!$D2474,nESPEC,DATOS!$E2474,nASIG,DATOS!$I2474,nEVAL,"EX")=0),0))))</f>
      </c>
      <c r="H2474">
        <f>IF(DATOS!$G2474&lt;&gt;"EX",0,--(COUNTIFS(nNIA,DATOS!$A2474,nCURSO,DATOS!$D2474,nESPEC,DATOS!$E2474,nASIG,DATOS!$I2474,nEVAL,"OR")=0))</f>
      </c>
      <c r="I2474">
        <f>IF(DATOS!$I2474="","",IFERROR(VLOOKUP(DATOS!$I2474,CONFIG_ASIGNATURAS!$B$2:$J$91,9,FALSE()),""))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IF(DATOS!$A2475="",0,IF(CONFIG_METADATA!$B$4&lt;&gt;"OR+EX",--(DATOS!$G2475=CONFIG_METADATA!$B$4),IF(DATOS!$G2475="EX",1,IF(DATOS!$G2475="OR",--(COUNTIFS(nNIA,DATOS!$A2475,nCURSO,DATOS!$D2475,nESPEC,DATOS!$E2475,nASIG,DATOS!$I2475,nEVAL,"EX")=0),0))))</f>
      </c>
      <c r="H2475">
        <f>IF(DATOS!$G2475&lt;&gt;"EX",0,--(COUNTIFS(nNIA,DATOS!$A2475,nCURSO,DATOS!$D2475,nESPEC,DATOS!$E2475,nASIG,DATOS!$I2475,nEVAL,"OR")=0))</f>
      </c>
      <c r="I2475">
        <f>IF(DATOS!$I2475="","",IFERROR(VLOOKUP(DATOS!$I2475,CONFIG_ASIGNATURAS!$B$2:$J$91,9,FALSE()),""))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IF(DATOS!$A2476="",0,IF(CONFIG_METADATA!$B$4&lt;&gt;"OR+EX",--(DATOS!$G2476=CONFIG_METADATA!$B$4),IF(DATOS!$G2476="EX",1,IF(DATOS!$G2476="OR",--(COUNTIFS(nNIA,DATOS!$A2476,nCURSO,DATOS!$D2476,nESPEC,DATOS!$E2476,nASIG,DATOS!$I2476,nEVAL,"EX")=0),0))))</f>
      </c>
      <c r="H2476">
        <f>IF(DATOS!$G2476&lt;&gt;"EX",0,--(COUNTIFS(nNIA,DATOS!$A2476,nCURSO,DATOS!$D2476,nESPEC,DATOS!$E2476,nASIG,DATOS!$I2476,nEVAL,"OR")=0))</f>
      </c>
      <c r="I2476">
        <f>IF(DATOS!$I2476="","",IFERROR(VLOOKUP(DATOS!$I2476,CONFIG_ASIGNATURAS!$B$2:$J$91,9,FALSE()),""))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IF(DATOS!$A2477="",0,IF(CONFIG_METADATA!$B$4&lt;&gt;"OR+EX",--(DATOS!$G2477=CONFIG_METADATA!$B$4),IF(DATOS!$G2477="EX",1,IF(DATOS!$G2477="OR",--(COUNTIFS(nNIA,DATOS!$A2477,nCURSO,DATOS!$D2477,nESPEC,DATOS!$E2477,nASIG,DATOS!$I2477,nEVAL,"EX")=0),0))))</f>
      </c>
      <c r="H2477">
        <f>IF(DATOS!$G2477&lt;&gt;"EX",0,--(COUNTIFS(nNIA,DATOS!$A2477,nCURSO,DATOS!$D2477,nESPEC,DATOS!$E2477,nASIG,DATOS!$I2477,nEVAL,"OR")=0))</f>
      </c>
      <c r="I2477">
        <f>IF(DATOS!$I2477="","",IFERROR(VLOOKUP(DATOS!$I2477,CONFIG_ASIGNATURAS!$B$2:$J$91,9,FALSE()),""))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IF(DATOS!$A2478="",0,IF(CONFIG_METADATA!$B$4&lt;&gt;"OR+EX",--(DATOS!$G2478=CONFIG_METADATA!$B$4),IF(DATOS!$G2478="EX",1,IF(DATOS!$G2478="OR",--(COUNTIFS(nNIA,DATOS!$A2478,nCURSO,DATOS!$D2478,nESPEC,DATOS!$E2478,nASIG,DATOS!$I2478,nEVAL,"EX")=0),0))))</f>
      </c>
      <c r="H2478">
        <f>IF(DATOS!$G2478&lt;&gt;"EX",0,--(COUNTIFS(nNIA,DATOS!$A2478,nCURSO,DATOS!$D2478,nESPEC,DATOS!$E2478,nASIG,DATOS!$I2478,nEVAL,"OR")=0))</f>
      </c>
      <c r="I2478">
        <f>IF(DATOS!$I2478="","",IFERROR(VLOOKUP(DATOS!$I2478,CONFIG_ASIGNATURAS!$B$2:$J$91,9,FALSE()),""))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IF(DATOS!$A2479="",0,IF(CONFIG_METADATA!$B$4&lt;&gt;"OR+EX",--(DATOS!$G2479=CONFIG_METADATA!$B$4),IF(DATOS!$G2479="EX",1,IF(DATOS!$G2479="OR",--(COUNTIFS(nNIA,DATOS!$A2479,nCURSO,DATOS!$D2479,nESPEC,DATOS!$E2479,nASIG,DATOS!$I2479,nEVAL,"EX")=0),0))))</f>
      </c>
      <c r="H2479">
        <f>IF(DATOS!$G2479&lt;&gt;"EX",0,--(COUNTIFS(nNIA,DATOS!$A2479,nCURSO,DATOS!$D2479,nESPEC,DATOS!$E2479,nASIG,DATOS!$I2479,nEVAL,"OR")=0))</f>
      </c>
      <c r="I2479">
        <f>IF(DATOS!$I2479="","",IFERROR(VLOOKUP(DATOS!$I2479,CONFIG_ASIGNATURAS!$B$2:$J$91,9,FALSE()),""))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IF(DATOS!$A2480="",0,IF(CONFIG_METADATA!$B$4&lt;&gt;"OR+EX",--(DATOS!$G2480=CONFIG_METADATA!$B$4),IF(DATOS!$G2480="EX",1,IF(DATOS!$G2480="OR",--(COUNTIFS(nNIA,DATOS!$A2480,nCURSO,DATOS!$D2480,nESPEC,DATOS!$E2480,nASIG,DATOS!$I2480,nEVAL,"EX")=0),0))))</f>
      </c>
      <c r="H2480">
        <f>IF(DATOS!$G2480&lt;&gt;"EX",0,--(COUNTIFS(nNIA,DATOS!$A2480,nCURSO,DATOS!$D2480,nESPEC,DATOS!$E2480,nASIG,DATOS!$I2480,nEVAL,"OR")=0))</f>
      </c>
      <c r="I2480">
        <f>IF(DATOS!$I2480="","",IFERROR(VLOOKUP(DATOS!$I2480,CONFIG_ASIGNATURAS!$B$2:$J$91,9,FALSE()),""))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IF(DATOS!$A2481="",0,IF(CONFIG_METADATA!$B$4&lt;&gt;"OR+EX",--(DATOS!$G2481=CONFIG_METADATA!$B$4),IF(DATOS!$G2481="EX",1,IF(DATOS!$G2481="OR",--(COUNTIFS(nNIA,DATOS!$A2481,nCURSO,DATOS!$D2481,nESPEC,DATOS!$E2481,nASIG,DATOS!$I2481,nEVAL,"EX")=0),0))))</f>
      </c>
      <c r="H2481">
        <f>IF(DATOS!$G2481&lt;&gt;"EX",0,--(COUNTIFS(nNIA,DATOS!$A2481,nCURSO,DATOS!$D2481,nESPEC,DATOS!$E2481,nASIG,DATOS!$I2481,nEVAL,"OR")=0))</f>
      </c>
      <c r="I2481">
        <f>IF(DATOS!$I2481="","",IFERROR(VLOOKUP(DATOS!$I2481,CONFIG_ASIGNATURAS!$B$2:$J$91,9,FALSE()),""))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IF(DATOS!$A2482="",0,IF(CONFIG_METADATA!$B$4&lt;&gt;"OR+EX",--(DATOS!$G2482=CONFIG_METADATA!$B$4),IF(DATOS!$G2482="EX",1,IF(DATOS!$G2482="OR",--(COUNTIFS(nNIA,DATOS!$A2482,nCURSO,DATOS!$D2482,nESPEC,DATOS!$E2482,nASIG,DATOS!$I2482,nEVAL,"EX")=0),0))))</f>
      </c>
      <c r="H2482">
        <f>IF(DATOS!$G2482&lt;&gt;"EX",0,--(COUNTIFS(nNIA,DATOS!$A2482,nCURSO,DATOS!$D2482,nESPEC,DATOS!$E2482,nASIG,DATOS!$I2482,nEVAL,"OR")=0))</f>
      </c>
      <c r="I2482">
        <f>IF(DATOS!$I2482="","",IFERROR(VLOOKUP(DATOS!$I2482,CONFIG_ASIGNATURAS!$B$2:$J$91,9,FALSE()),""))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IF(DATOS!$A2483="",0,IF(CONFIG_METADATA!$B$4&lt;&gt;"OR+EX",--(DATOS!$G2483=CONFIG_METADATA!$B$4),IF(DATOS!$G2483="EX",1,IF(DATOS!$G2483="OR",--(COUNTIFS(nNIA,DATOS!$A2483,nCURSO,DATOS!$D2483,nESPEC,DATOS!$E2483,nASIG,DATOS!$I2483,nEVAL,"EX")=0),0))))</f>
      </c>
      <c r="H2483">
        <f>IF(DATOS!$G2483&lt;&gt;"EX",0,--(COUNTIFS(nNIA,DATOS!$A2483,nCURSO,DATOS!$D2483,nESPEC,DATOS!$E2483,nASIG,DATOS!$I2483,nEVAL,"OR")=0))</f>
      </c>
      <c r="I2483">
        <f>IF(DATOS!$I2483="","",IFERROR(VLOOKUP(DATOS!$I2483,CONFIG_ASIGNATURAS!$B$2:$J$91,9,FALSE()),""))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IF(DATOS!$A2484="",0,IF(CONFIG_METADATA!$B$4&lt;&gt;"OR+EX",--(DATOS!$G2484=CONFIG_METADATA!$B$4),IF(DATOS!$G2484="EX",1,IF(DATOS!$G2484="OR",--(COUNTIFS(nNIA,DATOS!$A2484,nCURSO,DATOS!$D2484,nESPEC,DATOS!$E2484,nASIG,DATOS!$I2484,nEVAL,"EX")=0),0))))</f>
      </c>
      <c r="H2484">
        <f>IF(DATOS!$G2484&lt;&gt;"EX",0,--(COUNTIFS(nNIA,DATOS!$A2484,nCURSO,DATOS!$D2484,nESPEC,DATOS!$E2484,nASIG,DATOS!$I2484,nEVAL,"OR")=0))</f>
      </c>
      <c r="I2484">
        <f>IF(DATOS!$I2484="","",IFERROR(VLOOKUP(DATOS!$I2484,CONFIG_ASIGNATURAS!$B$2:$J$91,9,FALSE()),""))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IF(DATOS!$A2485="",0,IF(CONFIG_METADATA!$B$4&lt;&gt;"OR+EX",--(DATOS!$G2485=CONFIG_METADATA!$B$4),IF(DATOS!$G2485="EX",1,IF(DATOS!$G2485="OR",--(COUNTIFS(nNIA,DATOS!$A2485,nCURSO,DATOS!$D2485,nESPEC,DATOS!$E2485,nASIG,DATOS!$I2485,nEVAL,"EX")=0),0))))</f>
      </c>
      <c r="H2485">
        <f>IF(DATOS!$G2485&lt;&gt;"EX",0,--(COUNTIFS(nNIA,DATOS!$A2485,nCURSO,DATOS!$D2485,nESPEC,DATOS!$E2485,nASIG,DATOS!$I2485,nEVAL,"OR")=0))</f>
      </c>
      <c r="I2485">
        <f>IF(DATOS!$I2485="","",IFERROR(VLOOKUP(DATOS!$I2485,CONFIG_ASIGNATURAS!$B$2:$J$91,9,FALSE()),""))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IF(DATOS!$A2486="",0,IF(CONFIG_METADATA!$B$4&lt;&gt;"OR+EX",--(DATOS!$G2486=CONFIG_METADATA!$B$4),IF(DATOS!$G2486="EX",1,IF(DATOS!$G2486="OR",--(COUNTIFS(nNIA,DATOS!$A2486,nCURSO,DATOS!$D2486,nESPEC,DATOS!$E2486,nASIG,DATOS!$I2486,nEVAL,"EX")=0),0))))</f>
      </c>
      <c r="H2486">
        <f>IF(DATOS!$G2486&lt;&gt;"EX",0,--(COUNTIFS(nNIA,DATOS!$A2486,nCURSO,DATOS!$D2486,nESPEC,DATOS!$E2486,nASIG,DATOS!$I2486,nEVAL,"OR")=0))</f>
      </c>
      <c r="I2486">
        <f>IF(DATOS!$I2486="","",IFERROR(VLOOKUP(DATOS!$I2486,CONFIG_ASIGNATURAS!$B$2:$J$91,9,FALSE()),""))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IF(DATOS!$A2487="",0,IF(CONFIG_METADATA!$B$4&lt;&gt;"OR+EX",--(DATOS!$G2487=CONFIG_METADATA!$B$4),IF(DATOS!$G2487="EX",1,IF(DATOS!$G2487="OR",--(COUNTIFS(nNIA,DATOS!$A2487,nCURSO,DATOS!$D2487,nESPEC,DATOS!$E2487,nASIG,DATOS!$I2487,nEVAL,"EX")=0),0))))</f>
      </c>
      <c r="H2487">
        <f>IF(DATOS!$G2487&lt;&gt;"EX",0,--(COUNTIFS(nNIA,DATOS!$A2487,nCURSO,DATOS!$D2487,nESPEC,DATOS!$E2487,nASIG,DATOS!$I2487,nEVAL,"OR")=0))</f>
      </c>
      <c r="I2487">
        <f>IF(DATOS!$I2487="","",IFERROR(VLOOKUP(DATOS!$I2487,CONFIG_ASIGNATURAS!$B$2:$J$91,9,FALSE()),""))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IF(DATOS!$A2488="",0,IF(CONFIG_METADATA!$B$4&lt;&gt;"OR+EX",--(DATOS!$G2488=CONFIG_METADATA!$B$4),IF(DATOS!$G2488="EX",1,IF(DATOS!$G2488="OR",--(COUNTIFS(nNIA,DATOS!$A2488,nCURSO,DATOS!$D2488,nESPEC,DATOS!$E2488,nASIG,DATOS!$I2488,nEVAL,"EX")=0),0))))</f>
      </c>
      <c r="H2488">
        <f>IF(DATOS!$G2488&lt;&gt;"EX",0,--(COUNTIFS(nNIA,DATOS!$A2488,nCURSO,DATOS!$D2488,nESPEC,DATOS!$E2488,nASIG,DATOS!$I2488,nEVAL,"OR")=0))</f>
      </c>
      <c r="I2488">
        <f>IF(DATOS!$I2488="","",IFERROR(VLOOKUP(DATOS!$I2488,CONFIG_ASIGNATURAS!$B$2:$J$91,9,FALSE()),""))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IF(DATOS!$A2489="",0,IF(CONFIG_METADATA!$B$4&lt;&gt;"OR+EX",--(DATOS!$G2489=CONFIG_METADATA!$B$4),IF(DATOS!$G2489="EX",1,IF(DATOS!$G2489="OR",--(COUNTIFS(nNIA,DATOS!$A2489,nCURSO,DATOS!$D2489,nESPEC,DATOS!$E2489,nASIG,DATOS!$I2489,nEVAL,"EX")=0),0))))</f>
      </c>
      <c r="H2489">
        <f>IF(DATOS!$G2489&lt;&gt;"EX",0,--(COUNTIFS(nNIA,DATOS!$A2489,nCURSO,DATOS!$D2489,nESPEC,DATOS!$E2489,nASIG,DATOS!$I2489,nEVAL,"OR")=0))</f>
      </c>
      <c r="I2489">
        <f>IF(DATOS!$I2489="","",IFERROR(VLOOKUP(DATOS!$I2489,CONFIG_ASIGNATURAS!$B$2:$J$91,9,FALSE()),""))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IF(DATOS!$A2490="",0,IF(CONFIG_METADATA!$B$4&lt;&gt;"OR+EX",--(DATOS!$G2490=CONFIG_METADATA!$B$4),IF(DATOS!$G2490="EX",1,IF(DATOS!$G2490="OR",--(COUNTIFS(nNIA,DATOS!$A2490,nCURSO,DATOS!$D2490,nESPEC,DATOS!$E2490,nASIG,DATOS!$I2490,nEVAL,"EX")=0),0))))</f>
      </c>
      <c r="H2490">
        <f>IF(DATOS!$G2490&lt;&gt;"EX",0,--(COUNTIFS(nNIA,DATOS!$A2490,nCURSO,DATOS!$D2490,nESPEC,DATOS!$E2490,nASIG,DATOS!$I2490,nEVAL,"OR")=0))</f>
      </c>
      <c r="I2490">
        <f>IF(DATOS!$I2490="","",IFERROR(VLOOKUP(DATOS!$I2490,CONFIG_ASIGNATURAS!$B$2:$J$91,9,FALSE()),""))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IF(DATOS!$A2491="",0,IF(CONFIG_METADATA!$B$4&lt;&gt;"OR+EX",--(DATOS!$G2491=CONFIG_METADATA!$B$4),IF(DATOS!$G2491="EX",1,IF(DATOS!$G2491="OR",--(COUNTIFS(nNIA,DATOS!$A2491,nCURSO,DATOS!$D2491,nESPEC,DATOS!$E2491,nASIG,DATOS!$I2491,nEVAL,"EX")=0),0))))</f>
      </c>
      <c r="H2491">
        <f>IF(DATOS!$G2491&lt;&gt;"EX",0,--(COUNTIFS(nNIA,DATOS!$A2491,nCURSO,DATOS!$D2491,nESPEC,DATOS!$E2491,nASIG,DATOS!$I2491,nEVAL,"OR")=0))</f>
      </c>
      <c r="I2491">
        <f>IF(DATOS!$I2491="","",IFERROR(VLOOKUP(DATOS!$I2491,CONFIG_ASIGNATURAS!$B$2:$J$91,9,FALSE()),""))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IF(DATOS!$A2492="",0,IF(CONFIG_METADATA!$B$4&lt;&gt;"OR+EX",--(DATOS!$G2492=CONFIG_METADATA!$B$4),IF(DATOS!$G2492="EX",1,IF(DATOS!$G2492="OR",--(COUNTIFS(nNIA,DATOS!$A2492,nCURSO,DATOS!$D2492,nESPEC,DATOS!$E2492,nASIG,DATOS!$I2492,nEVAL,"EX")=0),0))))</f>
      </c>
      <c r="H2492">
        <f>IF(DATOS!$G2492&lt;&gt;"EX",0,--(COUNTIFS(nNIA,DATOS!$A2492,nCURSO,DATOS!$D2492,nESPEC,DATOS!$E2492,nASIG,DATOS!$I2492,nEVAL,"OR")=0))</f>
      </c>
      <c r="I2492">
        <f>IF(DATOS!$I2492="","",IFERROR(VLOOKUP(DATOS!$I2492,CONFIG_ASIGNATURAS!$B$2:$J$91,9,FALSE()),""))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IF(DATOS!$A2493="",0,IF(CONFIG_METADATA!$B$4&lt;&gt;"OR+EX",--(DATOS!$G2493=CONFIG_METADATA!$B$4),IF(DATOS!$G2493="EX",1,IF(DATOS!$G2493="OR",--(COUNTIFS(nNIA,DATOS!$A2493,nCURSO,DATOS!$D2493,nESPEC,DATOS!$E2493,nASIG,DATOS!$I2493,nEVAL,"EX")=0),0))))</f>
      </c>
      <c r="H2493">
        <f>IF(DATOS!$G2493&lt;&gt;"EX",0,--(COUNTIFS(nNIA,DATOS!$A2493,nCURSO,DATOS!$D2493,nESPEC,DATOS!$E2493,nASIG,DATOS!$I2493,nEVAL,"OR")=0))</f>
      </c>
      <c r="I2493">
        <f>IF(DATOS!$I2493="","",IFERROR(VLOOKUP(DATOS!$I2493,CONFIG_ASIGNATURAS!$B$2:$J$91,9,FALSE()),""))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IF(DATOS!$A2494="",0,IF(CONFIG_METADATA!$B$4&lt;&gt;"OR+EX",--(DATOS!$G2494=CONFIG_METADATA!$B$4),IF(DATOS!$G2494="EX",1,IF(DATOS!$G2494="OR",--(COUNTIFS(nNIA,DATOS!$A2494,nCURSO,DATOS!$D2494,nESPEC,DATOS!$E2494,nASIG,DATOS!$I2494,nEVAL,"EX")=0),0))))</f>
      </c>
      <c r="H2494">
        <f>IF(DATOS!$G2494&lt;&gt;"EX",0,--(COUNTIFS(nNIA,DATOS!$A2494,nCURSO,DATOS!$D2494,nESPEC,DATOS!$E2494,nASIG,DATOS!$I2494,nEVAL,"OR")=0))</f>
      </c>
      <c r="I2494">
        <f>IF(DATOS!$I2494="","",IFERROR(VLOOKUP(DATOS!$I2494,CONFIG_ASIGNATURAS!$B$2:$J$91,9,FALSE()),""))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IF(DATOS!$A2495="",0,IF(CONFIG_METADATA!$B$4&lt;&gt;"OR+EX",--(DATOS!$G2495=CONFIG_METADATA!$B$4),IF(DATOS!$G2495="EX",1,IF(DATOS!$G2495="OR",--(COUNTIFS(nNIA,DATOS!$A2495,nCURSO,DATOS!$D2495,nESPEC,DATOS!$E2495,nASIG,DATOS!$I2495,nEVAL,"EX")=0),0))))</f>
      </c>
      <c r="H2495">
        <f>IF(DATOS!$G2495&lt;&gt;"EX",0,--(COUNTIFS(nNIA,DATOS!$A2495,nCURSO,DATOS!$D2495,nESPEC,DATOS!$E2495,nASIG,DATOS!$I2495,nEVAL,"OR")=0))</f>
      </c>
      <c r="I2495">
        <f>IF(DATOS!$I2495="","",IFERROR(VLOOKUP(DATOS!$I2495,CONFIG_ASIGNATURAS!$B$2:$J$91,9,FALSE()),""))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IF(DATOS!$A2496="",0,IF(CONFIG_METADATA!$B$4&lt;&gt;"OR+EX",--(DATOS!$G2496=CONFIG_METADATA!$B$4),IF(DATOS!$G2496="EX",1,IF(DATOS!$G2496="OR",--(COUNTIFS(nNIA,DATOS!$A2496,nCURSO,DATOS!$D2496,nESPEC,DATOS!$E2496,nASIG,DATOS!$I2496,nEVAL,"EX")=0),0))))</f>
      </c>
      <c r="H2496">
        <f>IF(DATOS!$G2496&lt;&gt;"EX",0,--(COUNTIFS(nNIA,DATOS!$A2496,nCURSO,DATOS!$D2496,nESPEC,DATOS!$E2496,nASIG,DATOS!$I2496,nEVAL,"OR")=0))</f>
      </c>
      <c r="I2496">
        <f>IF(DATOS!$I2496="","",IFERROR(VLOOKUP(DATOS!$I2496,CONFIG_ASIGNATURAS!$B$2:$J$91,9,FALSE()),""))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IF(DATOS!$A2497="",0,IF(CONFIG_METADATA!$B$4&lt;&gt;"OR+EX",--(DATOS!$G2497=CONFIG_METADATA!$B$4),IF(DATOS!$G2497="EX",1,IF(DATOS!$G2497="OR",--(COUNTIFS(nNIA,DATOS!$A2497,nCURSO,DATOS!$D2497,nESPEC,DATOS!$E2497,nASIG,DATOS!$I2497,nEVAL,"EX")=0),0))))</f>
      </c>
      <c r="H2497">
        <f>IF(DATOS!$G2497&lt;&gt;"EX",0,--(COUNTIFS(nNIA,DATOS!$A2497,nCURSO,DATOS!$D2497,nESPEC,DATOS!$E2497,nASIG,DATOS!$I2497,nEVAL,"OR")=0))</f>
      </c>
      <c r="I2497">
        <f>IF(DATOS!$I2497="","",IFERROR(VLOOKUP(DATOS!$I2497,CONFIG_ASIGNATURAS!$B$2:$J$91,9,FALSE()),""))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IF(DATOS!$A2498="",0,IF(CONFIG_METADATA!$B$4&lt;&gt;"OR+EX",--(DATOS!$G2498=CONFIG_METADATA!$B$4),IF(DATOS!$G2498="EX",1,IF(DATOS!$G2498="OR",--(COUNTIFS(nNIA,DATOS!$A2498,nCURSO,DATOS!$D2498,nESPEC,DATOS!$E2498,nASIG,DATOS!$I2498,nEVAL,"EX")=0),0))))</f>
      </c>
      <c r="H2498">
        <f>IF(DATOS!$G2498&lt;&gt;"EX",0,--(COUNTIFS(nNIA,DATOS!$A2498,nCURSO,DATOS!$D2498,nESPEC,DATOS!$E2498,nASIG,DATOS!$I2498,nEVAL,"OR")=0))</f>
      </c>
      <c r="I2498">
        <f>IF(DATOS!$I2498="","",IFERROR(VLOOKUP(DATOS!$I2498,CONFIG_ASIGNATURAS!$B$2:$J$91,9,FALSE()),""))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IF(DATOS!$A2499="",0,IF(CONFIG_METADATA!$B$4&lt;&gt;"OR+EX",--(DATOS!$G2499=CONFIG_METADATA!$B$4),IF(DATOS!$G2499="EX",1,IF(DATOS!$G2499="OR",--(COUNTIFS(nNIA,DATOS!$A2499,nCURSO,DATOS!$D2499,nESPEC,DATOS!$E2499,nASIG,DATOS!$I2499,nEVAL,"EX")=0),0))))</f>
      </c>
      <c r="H2499">
        <f>IF(DATOS!$G2499&lt;&gt;"EX",0,--(COUNTIFS(nNIA,DATOS!$A2499,nCURSO,DATOS!$D2499,nESPEC,DATOS!$E2499,nASIG,DATOS!$I2499,nEVAL,"OR")=0))</f>
      </c>
      <c r="I2499">
        <f>IF(DATOS!$I2499="","",IFERROR(VLOOKUP(DATOS!$I2499,CONFIG_ASIGNATURAS!$B$2:$J$91,9,FALSE()),""))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IF(DATOS!$A2500="",0,IF(CONFIG_METADATA!$B$4&lt;&gt;"OR+EX",--(DATOS!$G2500=CONFIG_METADATA!$B$4),IF(DATOS!$G2500="EX",1,IF(DATOS!$G2500="OR",--(COUNTIFS(nNIA,DATOS!$A2500,nCURSO,DATOS!$D2500,nESPEC,DATOS!$E2500,nASIG,DATOS!$I2500,nEVAL,"EX")=0),0))))</f>
      </c>
      <c r="H2500">
        <f>IF(DATOS!$G2500&lt;&gt;"EX",0,--(COUNTIFS(nNIA,DATOS!$A2500,nCURSO,DATOS!$D2500,nESPEC,DATOS!$E2500,nASIG,DATOS!$I2500,nEVAL,"OR")=0))</f>
      </c>
      <c r="I2500">
        <f>IF(DATOS!$I2500="","",IFERROR(VLOOKUP(DATOS!$I2500,CONFIG_ASIGNATURAS!$B$2:$J$91,9,FALSE()),""))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IF(DATOS!$A2501="",0,IF(CONFIG_METADATA!$B$4&lt;&gt;"OR+EX",--(DATOS!$G2501=CONFIG_METADATA!$B$4),IF(DATOS!$G2501="EX",1,IF(DATOS!$G2501="OR",--(COUNTIFS(nNIA,DATOS!$A2501,nCURSO,DATOS!$D2501,nESPEC,DATOS!$E2501,nASIG,DATOS!$I2501,nEVAL,"EX")=0),0))))</f>
      </c>
      <c r="H2501">
        <f>IF(DATOS!$G2501&lt;&gt;"EX",0,--(COUNTIFS(nNIA,DATOS!$A2501,nCURSO,DATOS!$D2501,nESPEC,DATOS!$E2501,nASIG,DATOS!$I2501,nEVAL,"OR")=0))</f>
      </c>
      <c r="I2501">
        <f>IF(DATOS!$I2501="","",IFERROR(VLOOKUP(DATOS!$I2501,CONFIG_ASIGNATURAS!$B$2:$J$91,9,FALSE()),""))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IF(DATOS!$A2502="",0,IF(CONFIG_METADATA!$B$4&lt;&gt;"OR+EX",--(DATOS!$G2502=CONFIG_METADATA!$B$4),IF(DATOS!$G2502="EX",1,IF(DATOS!$G2502="OR",--(COUNTIFS(nNIA,DATOS!$A2502,nCURSO,DATOS!$D2502,nESPEC,DATOS!$E2502,nASIG,DATOS!$I2502,nEVAL,"EX")=0),0))))</f>
      </c>
      <c r="H2502">
        <f>IF(DATOS!$G2502&lt;&gt;"EX",0,--(COUNTIFS(nNIA,DATOS!$A2502,nCURSO,DATOS!$D2502,nESPEC,DATOS!$E2502,nASIG,DATOS!$I2502,nEVAL,"OR")=0))</f>
      </c>
      <c r="I2502">
        <f>IF(DATOS!$I2502="","",IFERROR(VLOOKUP(DATOS!$I2502,CONFIG_ASIGNATURAS!$B$2:$J$91,9,FALSE()),""))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IF(DATOS!$A2503="",0,IF(CONFIG_METADATA!$B$4&lt;&gt;"OR+EX",--(DATOS!$G2503=CONFIG_METADATA!$B$4),IF(DATOS!$G2503="EX",1,IF(DATOS!$G2503="OR",--(COUNTIFS(nNIA,DATOS!$A2503,nCURSO,DATOS!$D2503,nESPEC,DATOS!$E2503,nASIG,DATOS!$I2503,nEVAL,"EX")=0),0))))</f>
      </c>
      <c r="H2503">
        <f>IF(DATOS!$G2503&lt;&gt;"EX",0,--(COUNTIFS(nNIA,DATOS!$A2503,nCURSO,DATOS!$D2503,nESPEC,DATOS!$E2503,nASIG,DATOS!$I2503,nEVAL,"OR")=0))</f>
      </c>
      <c r="I2503">
        <f>IF(DATOS!$I2503="","",IFERROR(VLOOKUP(DATOS!$I2503,CONFIG_ASIGNATURAS!$B$2:$J$91,9,FALSE()),""))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IF(DATOS!$A2504="",0,IF(CONFIG_METADATA!$B$4&lt;&gt;"OR+EX",--(DATOS!$G2504=CONFIG_METADATA!$B$4),IF(DATOS!$G2504="EX",1,IF(DATOS!$G2504="OR",--(COUNTIFS(nNIA,DATOS!$A2504,nCURSO,DATOS!$D2504,nESPEC,DATOS!$E2504,nASIG,DATOS!$I2504,nEVAL,"EX")=0),0))))</f>
      </c>
      <c r="H2504">
        <f>IF(DATOS!$G2504&lt;&gt;"EX",0,--(COUNTIFS(nNIA,DATOS!$A2504,nCURSO,DATOS!$D2504,nESPEC,DATOS!$E2504,nASIG,DATOS!$I2504,nEVAL,"OR")=0))</f>
      </c>
      <c r="I2504">
        <f>IF(DATOS!$I2504="","",IFERROR(VLOOKUP(DATOS!$I2504,CONFIG_ASIGNATURAS!$B$2:$J$91,9,FALSE()),""))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IF(DATOS!$A2505="",0,IF(CONFIG_METADATA!$B$4&lt;&gt;"OR+EX",--(DATOS!$G2505=CONFIG_METADATA!$B$4),IF(DATOS!$G2505="EX",1,IF(DATOS!$G2505="OR",--(COUNTIFS(nNIA,DATOS!$A2505,nCURSO,DATOS!$D2505,nESPEC,DATOS!$E2505,nASIG,DATOS!$I2505,nEVAL,"EX")=0),0))))</f>
      </c>
      <c r="H2505">
        <f>IF(DATOS!$G2505&lt;&gt;"EX",0,--(COUNTIFS(nNIA,DATOS!$A2505,nCURSO,DATOS!$D2505,nESPEC,DATOS!$E2505,nASIG,DATOS!$I2505,nEVAL,"OR")=0))</f>
      </c>
      <c r="I2505">
        <f>IF(DATOS!$I2505="","",IFERROR(VLOOKUP(DATOS!$I2505,CONFIG_ASIGNATURAS!$B$2:$J$91,9,FALSE()),""))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IF(DATOS!$A2506="",0,IF(CONFIG_METADATA!$B$4&lt;&gt;"OR+EX",--(DATOS!$G2506=CONFIG_METADATA!$B$4),IF(DATOS!$G2506="EX",1,IF(DATOS!$G2506="OR",--(COUNTIFS(nNIA,DATOS!$A2506,nCURSO,DATOS!$D2506,nESPEC,DATOS!$E2506,nASIG,DATOS!$I2506,nEVAL,"EX")=0),0))))</f>
      </c>
      <c r="H2506">
        <f>IF(DATOS!$G2506&lt;&gt;"EX",0,--(COUNTIFS(nNIA,DATOS!$A2506,nCURSO,DATOS!$D2506,nESPEC,DATOS!$E2506,nASIG,DATOS!$I2506,nEVAL,"OR")=0))</f>
      </c>
      <c r="I2506">
        <f>IF(DATOS!$I2506="","",IFERROR(VLOOKUP(DATOS!$I2506,CONFIG_ASIGNATURAS!$B$2:$J$91,9,FALSE()),""))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IF(DATOS!$A2507="",0,IF(CONFIG_METADATA!$B$4&lt;&gt;"OR+EX",--(DATOS!$G2507=CONFIG_METADATA!$B$4),IF(DATOS!$G2507="EX",1,IF(DATOS!$G2507="OR",--(COUNTIFS(nNIA,DATOS!$A2507,nCURSO,DATOS!$D2507,nESPEC,DATOS!$E2507,nASIG,DATOS!$I2507,nEVAL,"EX")=0),0))))</f>
      </c>
      <c r="H2507">
        <f>IF(DATOS!$G2507&lt;&gt;"EX",0,--(COUNTIFS(nNIA,DATOS!$A2507,nCURSO,DATOS!$D2507,nESPEC,DATOS!$E2507,nASIG,DATOS!$I2507,nEVAL,"OR")=0))</f>
      </c>
      <c r="I2507">
        <f>IF(DATOS!$I2507="","",IFERROR(VLOOKUP(DATOS!$I2507,CONFIG_ASIGNATURAS!$B$2:$J$91,9,FALSE()),""))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IF(DATOS!$A2508="",0,IF(CONFIG_METADATA!$B$4&lt;&gt;"OR+EX",--(DATOS!$G2508=CONFIG_METADATA!$B$4),IF(DATOS!$G2508="EX",1,IF(DATOS!$G2508="OR",--(COUNTIFS(nNIA,DATOS!$A2508,nCURSO,DATOS!$D2508,nESPEC,DATOS!$E2508,nASIG,DATOS!$I2508,nEVAL,"EX")=0),0))))</f>
      </c>
      <c r="H2508">
        <f>IF(DATOS!$G2508&lt;&gt;"EX",0,--(COUNTIFS(nNIA,DATOS!$A2508,nCURSO,DATOS!$D2508,nESPEC,DATOS!$E2508,nASIG,DATOS!$I2508,nEVAL,"OR")=0))</f>
      </c>
      <c r="I2508">
        <f>IF(DATOS!$I2508="","",IFERROR(VLOOKUP(DATOS!$I2508,CONFIG_ASIGNATURAS!$B$2:$J$91,9,FALSE()),""))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IF(DATOS!$A2509="",0,IF(CONFIG_METADATA!$B$4&lt;&gt;"OR+EX",--(DATOS!$G2509=CONFIG_METADATA!$B$4),IF(DATOS!$G2509="EX",1,IF(DATOS!$G2509="OR",--(COUNTIFS(nNIA,DATOS!$A2509,nCURSO,DATOS!$D2509,nESPEC,DATOS!$E2509,nASIG,DATOS!$I2509,nEVAL,"EX")=0),0))))</f>
      </c>
      <c r="H2509">
        <f>IF(DATOS!$G2509&lt;&gt;"EX",0,--(COUNTIFS(nNIA,DATOS!$A2509,nCURSO,DATOS!$D2509,nESPEC,DATOS!$E2509,nASIG,DATOS!$I2509,nEVAL,"OR")=0))</f>
      </c>
      <c r="I2509">
        <f>IF(DATOS!$I2509="","",IFERROR(VLOOKUP(DATOS!$I2509,CONFIG_ASIGNATURAS!$B$2:$J$91,9,FALSE()),""))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IF(DATOS!$A2510="",0,IF(CONFIG_METADATA!$B$4&lt;&gt;"OR+EX",--(DATOS!$G2510=CONFIG_METADATA!$B$4),IF(DATOS!$G2510="EX",1,IF(DATOS!$G2510="OR",--(COUNTIFS(nNIA,DATOS!$A2510,nCURSO,DATOS!$D2510,nESPEC,DATOS!$E2510,nASIG,DATOS!$I2510,nEVAL,"EX")=0),0))))</f>
      </c>
      <c r="H2510">
        <f>IF(DATOS!$G2510&lt;&gt;"EX",0,--(COUNTIFS(nNIA,DATOS!$A2510,nCURSO,DATOS!$D2510,nESPEC,DATOS!$E2510,nASIG,DATOS!$I2510,nEVAL,"OR")=0))</f>
      </c>
      <c r="I2510">
        <f>IF(DATOS!$I2510="","",IFERROR(VLOOKUP(DATOS!$I2510,CONFIG_ASIGNATURAS!$B$2:$J$91,9,FALSE()),""))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IF(DATOS!$A2511="",0,IF(CONFIG_METADATA!$B$4&lt;&gt;"OR+EX",--(DATOS!$G2511=CONFIG_METADATA!$B$4),IF(DATOS!$G2511="EX",1,IF(DATOS!$G2511="OR",--(COUNTIFS(nNIA,DATOS!$A2511,nCURSO,DATOS!$D2511,nESPEC,DATOS!$E2511,nASIG,DATOS!$I2511,nEVAL,"EX")=0),0))))</f>
      </c>
      <c r="H2511">
        <f>IF(DATOS!$G2511&lt;&gt;"EX",0,--(COUNTIFS(nNIA,DATOS!$A2511,nCURSO,DATOS!$D2511,nESPEC,DATOS!$E2511,nASIG,DATOS!$I2511,nEVAL,"OR")=0))</f>
      </c>
      <c r="I2511">
        <f>IF(DATOS!$I2511="","",IFERROR(VLOOKUP(DATOS!$I2511,CONFIG_ASIGNATURAS!$B$2:$J$91,9,FALSE()),""))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IF(DATOS!$A2512="",0,IF(CONFIG_METADATA!$B$4&lt;&gt;"OR+EX",--(DATOS!$G2512=CONFIG_METADATA!$B$4),IF(DATOS!$G2512="EX",1,IF(DATOS!$G2512="OR",--(COUNTIFS(nNIA,DATOS!$A2512,nCURSO,DATOS!$D2512,nESPEC,DATOS!$E2512,nASIG,DATOS!$I2512,nEVAL,"EX")=0),0))))</f>
      </c>
      <c r="H2512">
        <f>IF(DATOS!$G2512&lt;&gt;"EX",0,--(COUNTIFS(nNIA,DATOS!$A2512,nCURSO,DATOS!$D2512,nESPEC,DATOS!$E2512,nASIG,DATOS!$I2512,nEVAL,"OR")=0))</f>
      </c>
      <c r="I2512">
        <f>IF(DATOS!$I2512="","",IFERROR(VLOOKUP(DATOS!$I2512,CONFIG_ASIGNATURAS!$B$2:$J$91,9,FALSE()),""))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IF(DATOS!$A2513="",0,IF(CONFIG_METADATA!$B$4&lt;&gt;"OR+EX",--(DATOS!$G2513=CONFIG_METADATA!$B$4),IF(DATOS!$G2513="EX",1,IF(DATOS!$G2513="OR",--(COUNTIFS(nNIA,DATOS!$A2513,nCURSO,DATOS!$D2513,nESPEC,DATOS!$E2513,nASIG,DATOS!$I2513,nEVAL,"EX")=0),0))))</f>
      </c>
      <c r="H2513">
        <f>IF(DATOS!$G2513&lt;&gt;"EX",0,--(COUNTIFS(nNIA,DATOS!$A2513,nCURSO,DATOS!$D2513,nESPEC,DATOS!$E2513,nASIG,DATOS!$I2513,nEVAL,"OR")=0))</f>
      </c>
      <c r="I2513">
        <f>IF(DATOS!$I2513="","",IFERROR(VLOOKUP(DATOS!$I2513,CONFIG_ASIGNATURAS!$B$2:$J$91,9,FALSE()),""))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IF(DATOS!$A2514="",0,IF(CONFIG_METADATA!$B$4&lt;&gt;"OR+EX",--(DATOS!$G2514=CONFIG_METADATA!$B$4),IF(DATOS!$G2514="EX",1,IF(DATOS!$G2514="OR",--(COUNTIFS(nNIA,DATOS!$A2514,nCURSO,DATOS!$D2514,nESPEC,DATOS!$E2514,nASIG,DATOS!$I2514,nEVAL,"EX")=0),0))))</f>
      </c>
      <c r="H2514">
        <f>IF(DATOS!$G2514&lt;&gt;"EX",0,--(COUNTIFS(nNIA,DATOS!$A2514,nCURSO,DATOS!$D2514,nESPEC,DATOS!$E2514,nASIG,DATOS!$I2514,nEVAL,"OR")=0))</f>
      </c>
      <c r="I2514">
        <f>IF(DATOS!$I2514="","",IFERROR(VLOOKUP(DATOS!$I2514,CONFIG_ASIGNATURAS!$B$2:$J$91,9,FALSE()),""))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IF(DATOS!$A2515="",0,IF(CONFIG_METADATA!$B$4&lt;&gt;"OR+EX",--(DATOS!$G2515=CONFIG_METADATA!$B$4),IF(DATOS!$G2515="EX",1,IF(DATOS!$G2515="OR",--(COUNTIFS(nNIA,DATOS!$A2515,nCURSO,DATOS!$D2515,nESPEC,DATOS!$E2515,nASIG,DATOS!$I2515,nEVAL,"EX")=0),0))))</f>
      </c>
      <c r="H2515">
        <f>IF(DATOS!$G2515&lt;&gt;"EX",0,--(COUNTIFS(nNIA,DATOS!$A2515,nCURSO,DATOS!$D2515,nESPEC,DATOS!$E2515,nASIG,DATOS!$I2515,nEVAL,"OR")=0))</f>
      </c>
      <c r="I2515">
        <f>IF(DATOS!$I2515="","",IFERROR(VLOOKUP(DATOS!$I2515,CONFIG_ASIGNATURAS!$B$2:$J$91,9,FALSE()),""))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IF(DATOS!$A2516="",0,IF(CONFIG_METADATA!$B$4&lt;&gt;"OR+EX",--(DATOS!$G2516=CONFIG_METADATA!$B$4),IF(DATOS!$G2516="EX",1,IF(DATOS!$G2516="OR",--(COUNTIFS(nNIA,DATOS!$A2516,nCURSO,DATOS!$D2516,nESPEC,DATOS!$E2516,nASIG,DATOS!$I2516,nEVAL,"EX")=0),0))))</f>
      </c>
      <c r="H2516">
        <f>IF(DATOS!$G2516&lt;&gt;"EX",0,--(COUNTIFS(nNIA,DATOS!$A2516,nCURSO,DATOS!$D2516,nESPEC,DATOS!$E2516,nASIG,DATOS!$I2516,nEVAL,"OR")=0))</f>
      </c>
      <c r="I2516">
        <f>IF(DATOS!$I2516="","",IFERROR(VLOOKUP(DATOS!$I2516,CONFIG_ASIGNATURAS!$B$2:$J$91,9,FALSE()),""))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IF(DATOS!$A2517="",0,IF(CONFIG_METADATA!$B$4&lt;&gt;"OR+EX",--(DATOS!$G2517=CONFIG_METADATA!$B$4),IF(DATOS!$G2517="EX",1,IF(DATOS!$G2517="OR",--(COUNTIFS(nNIA,DATOS!$A2517,nCURSO,DATOS!$D2517,nESPEC,DATOS!$E2517,nASIG,DATOS!$I2517,nEVAL,"EX")=0),0))))</f>
      </c>
      <c r="H2517">
        <f>IF(DATOS!$G2517&lt;&gt;"EX",0,--(COUNTIFS(nNIA,DATOS!$A2517,nCURSO,DATOS!$D2517,nESPEC,DATOS!$E2517,nASIG,DATOS!$I2517,nEVAL,"OR")=0))</f>
      </c>
      <c r="I2517">
        <f>IF(DATOS!$I2517="","",IFERROR(VLOOKUP(DATOS!$I2517,CONFIG_ASIGNATURAS!$B$2:$J$91,9,FALSE()),""))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IF(DATOS!$A2518="",0,IF(CONFIG_METADATA!$B$4&lt;&gt;"OR+EX",--(DATOS!$G2518=CONFIG_METADATA!$B$4),IF(DATOS!$G2518="EX",1,IF(DATOS!$G2518="OR",--(COUNTIFS(nNIA,DATOS!$A2518,nCURSO,DATOS!$D2518,nESPEC,DATOS!$E2518,nASIG,DATOS!$I2518,nEVAL,"EX")=0),0))))</f>
      </c>
      <c r="H2518">
        <f>IF(DATOS!$G2518&lt;&gt;"EX",0,--(COUNTIFS(nNIA,DATOS!$A2518,nCURSO,DATOS!$D2518,nESPEC,DATOS!$E2518,nASIG,DATOS!$I2518,nEVAL,"OR")=0))</f>
      </c>
      <c r="I2518">
        <f>IF(DATOS!$I2518="","",IFERROR(VLOOKUP(DATOS!$I2518,CONFIG_ASIGNATURAS!$B$2:$J$91,9,FALSE()),""))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IF(DATOS!$A2519="",0,IF(CONFIG_METADATA!$B$4&lt;&gt;"OR+EX",--(DATOS!$G2519=CONFIG_METADATA!$B$4),IF(DATOS!$G2519="EX",1,IF(DATOS!$G2519="OR",--(COUNTIFS(nNIA,DATOS!$A2519,nCURSO,DATOS!$D2519,nESPEC,DATOS!$E2519,nASIG,DATOS!$I2519,nEVAL,"EX")=0),0))))</f>
      </c>
      <c r="H2519">
        <f>IF(DATOS!$G2519&lt;&gt;"EX",0,--(COUNTIFS(nNIA,DATOS!$A2519,nCURSO,DATOS!$D2519,nESPEC,DATOS!$E2519,nASIG,DATOS!$I2519,nEVAL,"OR")=0))</f>
      </c>
      <c r="I2519">
        <f>IF(DATOS!$I2519="","",IFERROR(VLOOKUP(DATOS!$I2519,CONFIG_ASIGNATURAS!$B$2:$J$91,9,FALSE()),""))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IF(DATOS!$A2520="",0,IF(CONFIG_METADATA!$B$4&lt;&gt;"OR+EX",--(DATOS!$G2520=CONFIG_METADATA!$B$4),IF(DATOS!$G2520="EX",1,IF(DATOS!$G2520="OR",--(COUNTIFS(nNIA,DATOS!$A2520,nCURSO,DATOS!$D2520,nESPEC,DATOS!$E2520,nASIG,DATOS!$I2520,nEVAL,"EX")=0),0))))</f>
      </c>
      <c r="H2520">
        <f>IF(DATOS!$G2520&lt;&gt;"EX",0,--(COUNTIFS(nNIA,DATOS!$A2520,nCURSO,DATOS!$D2520,nESPEC,DATOS!$E2520,nASIG,DATOS!$I2520,nEVAL,"OR")=0))</f>
      </c>
      <c r="I2520">
        <f>IF(DATOS!$I2520="","",IFERROR(VLOOKUP(DATOS!$I2520,CONFIG_ASIGNATURAS!$B$2:$J$91,9,FALSE()),""))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IF(DATOS!$A2521="",0,IF(CONFIG_METADATA!$B$4&lt;&gt;"OR+EX",--(DATOS!$G2521=CONFIG_METADATA!$B$4),IF(DATOS!$G2521="EX",1,IF(DATOS!$G2521="OR",--(COUNTIFS(nNIA,DATOS!$A2521,nCURSO,DATOS!$D2521,nESPEC,DATOS!$E2521,nASIG,DATOS!$I2521,nEVAL,"EX")=0),0))))</f>
      </c>
      <c r="H2521">
        <f>IF(DATOS!$G2521&lt;&gt;"EX",0,--(COUNTIFS(nNIA,DATOS!$A2521,nCURSO,DATOS!$D2521,nESPEC,DATOS!$E2521,nASIG,DATOS!$I2521,nEVAL,"OR")=0))</f>
      </c>
      <c r="I2521">
        <f>IF(DATOS!$I2521="","",IFERROR(VLOOKUP(DATOS!$I2521,CONFIG_ASIGNATURAS!$B$2:$J$91,9,FALSE()),""))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IF(DATOS!$A2522="",0,IF(CONFIG_METADATA!$B$4&lt;&gt;"OR+EX",--(DATOS!$G2522=CONFIG_METADATA!$B$4),IF(DATOS!$G2522="EX",1,IF(DATOS!$G2522="OR",--(COUNTIFS(nNIA,DATOS!$A2522,nCURSO,DATOS!$D2522,nESPEC,DATOS!$E2522,nASIG,DATOS!$I2522,nEVAL,"EX")=0),0))))</f>
      </c>
      <c r="H2522">
        <f>IF(DATOS!$G2522&lt;&gt;"EX",0,--(COUNTIFS(nNIA,DATOS!$A2522,nCURSO,DATOS!$D2522,nESPEC,DATOS!$E2522,nASIG,DATOS!$I2522,nEVAL,"OR")=0))</f>
      </c>
      <c r="I2522">
        <f>IF(DATOS!$I2522="","",IFERROR(VLOOKUP(DATOS!$I2522,CONFIG_ASIGNATURAS!$B$2:$J$91,9,FALSE()),""))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IF(DATOS!$A2523="",0,IF(CONFIG_METADATA!$B$4&lt;&gt;"OR+EX",--(DATOS!$G2523=CONFIG_METADATA!$B$4),IF(DATOS!$G2523="EX",1,IF(DATOS!$G2523="OR",--(COUNTIFS(nNIA,DATOS!$A2523,nCURSO,DATOS!$D2523,nESPEC,DATOS!$E2523,nASIG,DATOS!$I2523,nEVAL,"EX")=0),0))))</f>
      </c>
      <c r="H2523">
        <f>IF(DATOS!$G2523&lt;&gt;"EX",0,--(COUNTIFS(nNIA,DATOS!$A2523,nCURSO,DATOS!$D2523,nESPEC,DATOS!$E2523,nASIG,DATOS!$I2523,nEVAL,"OR")=0))</f>
      </c>
      <c r="I2523">
        <f>IF(DATOS!$I2523="","",IFERROR(VLOOKUP(DATOS!$I2523,CONFIG_ASIGNATURAS!$B$2:$J$91,9,FALSE()),""))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IF(DATOS!$A2524="",0,IF(CONFIG_METADATA!$B$4&lt;&gt;"OR+EX",--(DATOS!$G2524=CONFIG_METADATA!$B$4),IF(DATOS!$G2524="EX",1,IF(DATOS!$G2524="OR",--(COUNTIFS(nNIA,DATOS!$A2524,nCURSO,DATOS!$D2524,nESPEC,DATOS!$E2524,nASIG,DATOS!$I2524,nEVAL,"EX")=0),0))))</f>
      </c>
      <c r="H2524">
        <f>IF(DATOS!$G2524&lt;&gt;"EX",0,--(COUNTIFS(nNIA,DATOS!$A2524,nCURSO,DATOS!$D2524,nESPEC,DATOS!$E2524,nASIG,DATOS!$I2524,nEVAL,"OR")=0))</f>
      </c>
      <c r="I2524">
        <f>IF(DATOS!$I2524="","",IFERROR(VLOOKUP(DATOS!$I2524,CONFIG_ASIGNATURAS!$B$2:$J$91,9,FALSE()),""))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IF(DATOS!$A2525="",0,IF(CONFIG_METADATA!$B$4&lt;&gt;"OR+EX",--(DATOS!$G2525=CONFIG_METADATA!$B$4),IF(DATOS!$G2525="EX",1,IF(DATOS!$G2525="OR",--(COUNTIFS(nNIA,DATOS!$A2525,nCURSO,DATOS!$D2525,nESPEC,DATOS!$E2525,nASIG,DATOS!$I2525,nEVAL,"EX")=0),0))))</f>
      </c>
      <c r="H2525">
        <f>IF(DATOS!$G2525&lt;&gt;"EX",0,--(COUNTIFS(nNIA,DATOS!$A2525,nCURSO,DATOS!$D2525,nESPEC,DATOS!$E2525,nASIG,DATOS!$I2525,nEVAL,"OR")=0))</f>
      </c>
      <c r="I2525">
        <f>IF(DATOS!$I2525="","",IFERROR(VLOOKUP(DATOS!$I2525,CONFIG_ASIGNATURAS!$B$2:$J$91,9,FALSE()),""))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IF(DATOS!$A2526="",0,IF(CONFIG_METADATA!$B$4&lt;&gt;"OR+EX",--(DATOS!$G2526=CONFIG_METADATA!$B$4),IF(DATOS!$G2526="EX",1,IF(DATOS!$G2526="OR",--(COUNTIFS(nNIA,DATOS!$A2526,nCURSO,DATOS!$D2526,nESPEC,DATOS!$E2526,nASIG,DATOS!$I2526,nEVAL,"EX")=0),0))))</f>
      </c>
      <c r="H2526">
        <f>IF(DATOS!$G2526&lt;&gt;"EX",0,--(COUNTIFS(nNIA,DATOS!$A2526,nCURSO,DATOS!$D2526,nESPEC,DATOS!$E2526,nASIG,DATOS!$I2526,nEVAL,"OR")=0))</f>
      </c>
      <c r="I2526">
        <f>IF(DATOS!$I2526="","",IFERROR(VLOOKUP(DATOS!$I2526,CONFIG_ASIGNATURAS!$B$2:$J$91,9,FALSE()),""))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IF(DATOS!$A2527="",0,IF(CONFIG_METADATA!$B$4&lt;&gt;"OR+EX",--(DATOS!$G2527=CONFIG_METADATA!$B$4),IF(DATOS!$G2527="EX",1,IF(DATOS!$G2527="OR",--(COUNTIFS(nNIA,DATOS!$A2527,nCURSO,DATOS!$D2527,nESPEC,DATOS!$E2527,nASIG,DATOS!$I2527,nEVAL,"EX")=0),0))))</f>
      </c>
      <c r="H2527">
        <f>IF(DATOS!$G2527&lt;&gt;"EX",0,--(COUNTIFS(nNIA,DATOS!$A2527,nCURSO,DATOS!$D2527,nESPEC,DATOS!$E2527,nASIG,DATOS!$I2527,nEVAL,"OR")=0))</f>
      </c>
      <c r="I2527">
        <f>IF(DATOS!$I2527="","",IFERROR(VLOOKUP(DATOS!$I2527,CONFIG_ASIGNATURAS!$B$2:$J$91,9,FALSE()),""))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IF(DATOS!$A2528="",0,IF(CONFIG_METADATA!$B$4&lt;&gt;"OR+EX",--(DATOS!$G2528=CONFIG_METADATA!$B$4),IF(DATOS!$G2528="EX",1,IF(DATOS!$G2528="OR",--(COUNTIFS(nNIA,DATOS!$A2528,nCURSO,DATOS!$D2528,nESPEC,DATOS!$E2528,nASIG,DATOS!$I2528,nEVAL,"EX")=0),0))))</f>
      </c>
      <c r="H2528">
        <f>IF(DATOS!$G2528&lt;&gt;"EX",0,--(COUNTIFS(nNIA,DATOS!$A2528,nCURSO,DATOS!$D2528,nESPEC,DATOS!$E2528,nASIG,DATOS!$I2528,nEVAL,"OR")=0))</f>
      </c>
      <c r="I2528">
        <f>IF(DATOS!$I2528="","",IFERROR(VLOOKUP(DATOS!$I2528,CONFIG_ASIGNATURAS!$B$2:$J$91,9,FALSE()),""))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IF(DATOS!$A2529="",0,IF(CONFIG_METADATA!$B$4&lt;&gt;"OR+EX",--(DATOS!$G2529=CONFIG_METADATA!$B$4),IF(DATOS!$G2529="EX",1,IF(DATOS!$G2529="OR",--(COUNTIFS(nNIA,DATOS!$A2529,nCURSO,DATOS!$D2529,nESPEC,DATOS!$E2529,nASIG,DATOS!$I2529,nEVAL,"EX")=0),0))))</f>
      </c>
      <c r="H2529">
        <f>IF(DATOS!$G2529&lt;&gt;"EX",0,--(COUNTIFS(nNIA,DATOS!$A2529,nCURSO,DATOS!$D2529,nESPEC,DATOS!$E2529,nASIG,DATOS!$I2529,nEVAL,"OR")=0))</f>
      </c>
      <c r="I2529">
        <f>IF(DATOS!$I2529="","",IFERROR(VLOOKUP(DATOS!$I2529,CONFIG_ASIGNATURAS!$B$2:$J$91,9,FALSE()),""))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IF(DATOS!$A2530="",0,IF(CONFIG_METADATA!$B$4&lt;&gt;"OR+EX",--(DATOS!$G2530=CONFIG_METADATA!$B$4),IF(DATOS!$G2530="EX",1,IF(DATOS!$G2530="OR",--(COUNTIFS(nNIA,DATOS!$A2530,nCURSO,DATOS!$D2530,nESPEC,DATOS!$E2530,nASIG,DATOS!$I2530,nEVAL,"EX")=0),0))))</f>
      </c>
      <c r="H2530">
        <f>IF(DATOS!$G2530&lt;&gt;"EX",0,--(COUNTIFS(nNIA,DATOS!$A2530,nCURSO,DATOS!$D2530,nESPEC,DATOS!$E2530,nASIG,DATOS!$I2530,nEVAL,"OR")=0))</f>
      </c>
      <c r="I2530">
        <f>IF(DATOS!$I2530="","",IFERROR(VLOOKUP(DATOS!$I2530,CONFIG_ASIGNATURAS!$B$2:$J$91,9,FALSE()),""))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IF(DATOS!$A2531="",0,IF(CONFIG_METADATA!$B$4&lt;&gt;"OR+EX",--(DATOS!$G2531=CONFIG_METADATA!$B$4),IF(DATOS!$G2531="EX",1,IF(DATOS!$G2531="OR",--(COUNTIFS(nNIA,DATOS!$A2531,nCURSO,DATOS!$D2531,nESPEC,DATOS!$E2531,nASIG,DATOS!$I2531,nEVAL,"EX")=0),0))))</f>
      </c>
      <c r="H2531">
        <f>IF(DATOS!$G2531&lt;&gt;"EX",0,--(COUNTIFS(nNIA,DATOS!$A2531,nCURSO,DATOS!$D2531,nESPEC,DATOS!$E2531,nASIG,DATOS!$I2531,nEVAL,"OR")=0))</f>
      </c>
      <c r="I2531">
        <f>IF(DATOS!$I2531="","",IFERROR(VLOOKUP(DATOS!$I2531,CONFIG_ASIGNATURAS!$B$2:$J$91,9,FALSE()),""))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IF(DATOS!$A2532="",0,IF(CONFIG_METADATA!$B$4&lt;&gt;"OR+EX",--(DATOS!$G2532=CONFIG_METADATA!$B$4),IF(DATOS!$G2532="EX",1,IF(DATOS!$G2532="OR",--(COUNTIFS(nNIA,DATOS!$A2532,nCURSO,DATOS!$D2532,nESPEC,DATOS!$E2532,nASIG,DATOS!$I2532,nEVAL,"EX")=0),0))))</f>
      </c>
      <c r="H2532">
        <f>IF(DATOS!$G2532&lt;&gt;"EX",0,--(COUNTIFS(nNIA,DATOS!$A2532,nCURSO,DATOS!$D2532,nESPEC,DATOS!$E2532,nASIG,DATOS!$I2532,nEVAL,"OR")=0))</f>
      </c>
      <c r="I2532">
        <f>IF(DATOS!$I2532="","",IFERROR(VLOOKUP(DATOS!$I2532,CONFIG_ASIGNATURAS!$B$2:$J$91,9,FALSE()),""))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IF(DATOS!$A2533="",0,IF(CONFIG_METADATA!$B$4&lt;&gt;"OR+EX",--(DATOS!$G2533=CONFIG_METADATA!$B$4),IF(DATOS!$G2533="EX",1,IF(DATOS!$G2533="OR",--(COUNTIFS(nNIA,DATOS!$A2533,nCURSO,DATOS!$D2533,nESPEC,DATOS!$E2533,nASIG,DATOS!$I2533,nEVAL,"EX")=0),0))))</f>
      </c>
      <c r="H2533">
        <f>IF(DATOS!$G2533&lt;&gt;"EX",0,--(COUNTIFS(nNIA,DATOS!$A2533,nCURSO,DATOS!$D2533,nESPEC,DATOS!$E2533,nASIG,DATOS!$I2533,nEVAL,"OR")=0))</f>
      </c>
      <c r="I2533">
        <f>IF(DATOS!$I2533="","",IFERROR(VLOOKUP(DATOS!$I2533,CONFIG_ASIGNATURAS!$B$2:$J$91,9,FALSE()),""))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IF(DATOS!$A2534="",0,IF(CONFIG_METADATA!$B$4&lt;&gt;"OR+EX",--(DATOS!$G2534=CONFIG_METADATA!$B$4),IF(DATOS!$G2534="EX",1,IF(DATOS!$G2534="OR",--(COUNTIFS(nNIA,DATOS!$A2534,nCURSO,DATOS!$D2534,nESPEC,DATOS!$E2534,nASIG,DATOS!$I2534,nEVAL,"EX")=0),0))))</f>
      </c>
      <c r="H2534">
        <f>IF(DATOS!$G2534&lt;&gt;"EX",0,--(COUNTIFS(nNIA,DATOS!$A2534,nCURSO,DATOS!$D2534,nESPEC,DATOS!$E2534,nASIG,DATOS!$I2534,nEVAL,"OR")=0))</f>
      </c>
      <c r="I2534">
        <f>IF(DATOS!$I2534="","",IFERROR(VLOOKUP(DATOS!$I2534,CONFIG_ASIGNATURAS!$B$2:$J$91,9,FALSE()),""))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IF(DATOS!$A2535="",0,IF(CONFIG_METADATA!$B$4&lt;&gt;"OR+EX",--(DATOS!$G2535=CONFIG_METADATA!$B$4),IF(DATOS!$G2535="EX",1,IF(DATOS!$G2535="OR",--(COUNTIFS(nNIA,DATOS!$A2535,nCURSO,DATOS!$D2535,nESPEC,DATOS!$E2535,nASIG,DATOS!$I2535,nEVAL,"EX")=0),0))))</f>
      </c>
      <c r="H2535">
        <f>IF(DATOS!$G2535&lt;&gt;"EX",0,--(COUNTIFS(nNIA,DATOS!$A2535,nCURSO,DATOS!$D2535,nESPEC,DATOS!$E2535,nASIG,DATOS!$I2535,nEVAL,"OR")=0))</f>
      </c>
      <c r="I2535">
        <f>IF(DATOS!$I2535="","",IFERROR(VLOOKUP(DATOS!$I2535,CONFIG_ASIGNATURAS!$B$2:$J$91,9,FALSE()),""))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IF(DATOS!$A2536="",0,IF(CONFIG_METADATA!$B$4&lt;&gt;"OR+EX",--(DATOS!$G2536=CONFIG_METADATA!$B$4),IF(DATOS!$G2536="EX",1,IF(DATOS!$G2536="OR",--(COUNTIFS(nNIA,DATOS!$A2536,nCURSO,DATOS!$D2536,nESPEC,DATOS!$E2536,nASIG,DATOS!$I2536,nEVAL,"EX")=0),0))))</f>
      </c>
      <c r="H2536">
        <f>IF(DATOS!$G2536&lt;&gt;"EX",0,--(COUNTIFS(nNIA,DATOS!$A2536,nCURSO,DATOS!$D2536,nESPEC,DATOS!$E2536,nASIG,DATOS!$I2536,nEVAL,"OR")=0))</f>
      </c>
      <c r="I2536">
        <f>IF(DATOS!$I2536="","",IFERROR(VLOOKUP(DATOS!$I2536,CONFIG_ASIGNATURAS!$B$2:$J$91,9,FALSE()),""))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IF(DATOS!$A2537="",0,IF(CONFIG_METADATA!$B$4&lt;&gt;"OR+EX",--(DATOS!$G2537=CONFIG_METADATA!$B$4),IF(DATOS!$G2537="EX",1,IF(DATOS!$G2537="OR",--(COUNTIFS(nNIA,DATOS!$A2537,nCURSO,DATOS!$D2537,nESPEC,DATOS!$E2537,nASIG,DATOS!$I2537,nEVAL,"EX")=0),0))))</f>
      </c>
      <c r="H2537">
        <f>IF(DATOS!$G2537&lt;&gt;"EX",0,--(COUNTIFS(nNIA,DATOS!$A2537,nCURSO,DATOS!$D2537,nESPEC,DATOS!$E2537,nASIG,DATOS!$I2537,nEVAL,"OR")=0))</f>
      </c>
      <c r="I2537">
        <f>IF(DATOS!$I2537="","",IFERROR(VLOOKUP(DATOS!$I2537,CONFIG_ASIGNATURAS!$B$2:$J$91,9,FALSE()),""))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IF(DATOS!$A2538="",0,IF(CONFIG_METADATA!$B$4&lt;&gt;"OR+EX",--(DATOS!$G2538=CONFIG_METADATA!$B$4),IF(DATOS!$G2538="EX",1,IF(DATOS!$G2538="OR",--(COUNTIFS(nNIA,DATOS!$A2538,nCURSO,DATOS!$D2538,nESPEC,DATOS!$E2538,nASIG,DATOS!$I2538,nEVAL,"EX")=0),0))))</f>
      </c>
      <c r="H2538">
        <f>IF(DATOS!$G2538&lt;&gt;"EX",0,--(COUNTIFS(nNIA,DATOS!$A2538,nCURSO,DATOS!$D2538,nESPEC,DATOS!$E2538,nASIG,DATOS!$I2538,nEVAL,"OR")=0))</f>
      </c>
      <c r="I2538">
        <f>IF(DATOS!$I2538="","",IFERROR(VLOOKUP(DATOS!$I2538,CONFIG_ASIGNATURAS!$B$2:$J$91,9,FALSE()),""))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IF(DATOS!$A2539="",0,IF(CONFIG_METADATA!$B$4&lt;&gt;"OR+EX",--(DATOS!$G2539=CONFIG_METADATA!$B$4),IF(DATOS!$G2539="EX",1,IF(DATOS!$G2539="OR",--(COUNTIFS(nNIA,DATOS!$A2539,nCURSO,DATOS!$D2539,nESPEC,DATOS!$E2539,nASIG,DATOS!$I2539,nEVAL,"EX")=0),0))))</f>
      </c>
      <c r="H2539">
        <f>IF(DATOS!$G2539&lt;&gt;"EX",0,--(COUNTIFS(nNIA,DATOS!$A2539,nCURSO,DATOS!$D2539,nESPEC,DATOS!$E2539,nASIG,DATOS!$I2539,nEVAL,"OR")=0))</f>
      </c>
      <c r="I2539">
        <f>IF(DATOS!$I2539="","",IFERROR(VLOOKUP(DATOS!$I2539,CONFIG_ASIGNATURAS!$B$2:$J$91,9,FALSE()),""))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IF(DATOS!$A2540="",0,IF(CONFIG_METADATA!$B$4&lt;&gt;"OR+EX",--(DATOS!$G2540=CONFIG_METADATA!$B$4),IF(DATOS!$G2540="EX",1,IF(DATOS!$G2540="OR",--(COUNTIFS(nNIA,DATOS!$A2540,nCURSO,DATOS!$D2540,nESPEC,DATOS!$E2540,nASIG,DATOS!$I2540,nEVAL,"EX")=0),0))))</f>
      </c>
      <c r="H2540">
        <f>IF(DATOS!$G2540&lt;&gt;"EX",0,--(COUNTIFS(nNIA,DATOS!$A2540,nCURSO,DATOS!$D2540,nESPEC,DATOS!$E2540,nASIG,DATOS!$I2540,nEVAL,"OR")=0))</f>
      </c>
      <c r="I2540">
        <f>IF(DATOS!$I2540="","",IFERROR(VLOOKUP(DATOS!$I2540,CONFIG_ASIGNATURAS!$B$2:$J$91,9,FALSE()),""))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IF(DATOS!$A2541="",0,IF(CONFIG_METADATA!$B$4&lt;&gt;"OR+EX",--(DATOS!$G2541=CONFIG_METADATA!$B$4),IF(DATOS!$G2541="EX",1,IF(DATOS!$G2541="OR",--(COUNTIFS(nNIA,DATOS!$A2541,nCURSO,DATOS!$D2541,nESPEC,DATOS!$E2541,nASIG,DATOS!$I2541,nEVAL,"EX")=0),0))))</f>
      </c>
      <c r="H2541">
        <f>IF(DATOS!$G2541&lt;&gt;"EX",0,--(COUNTIFS(nNIA,DATOS!$A2541,nCURSO,DATOS!$D2541,nESPEC,DATOS!$E2541,nASIG,DATOS!$I2541,nEVAL,"OR")=0))</f>
      </c>
      <c r="I2541">
        <f>IF(DATOS!$I2541="","",IFERROR(VLOOKUP(DATOS!$I2541,CONFIG_ASIGNATURAS!$B$2:$J$91,9,FALSE()),""))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IF(DATOS!$A2542="",0,IF(CONFIG_METADATA!$B$4&lt;&gt;"OR+EX",--(DATOS!$G2542=CONFIG_METADATA!$B$4),IF(DATOS!$G2542="EX",1,IF(DATOS!$G2542="OR",--(COUNTIFS(nNIA,DATOS!$A2542,nCURSO,DATOS!$D2542,nESPEC,DATOS!$E2542,nASIG,DATOS!$I2542,nEVAL,"EX")=0),0))))</f>
      </c>
      <c r="H2542">
        <f>IF(DATOS!$G2542&lt;&gt;"EX",0,--(COUNTIFS(nNIA,DATOS!$A2542,nCURSO,DATOS!$D2542,nESPEC,DATOS!$E2542,nASIG,DATOS!$I2542,nEVAL,"OR")=0))</f>
      </c>
      <c r="I2542">
        <f>IF(DATOS!$I2542="","",IFERROR(VLOOKUP(DATOS!$I2542,CONFIG_ASIGNATURAS!$B$2:$J$91,9,FALSE()),""))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IF(DATOS!$A2543="",0,IF(CONFIG_METADATA!$B$4&lt;&gt;"OR+EX",--(DATOS!$G2543=CONFIG_METADATA!$B$4),IF(DATOS!$G2543="EX",1,IF(DATOS!$G2543="OR",--(COUNTIFS(nNIA,DATOS!$A2543,nCURSO,DATOS!$D2543,nESPEC,DATOS!$E2543,nASIG,DATOS!$I2543,nEVAL,"EX")=0),0))))</f>
      </c>
      <c r="H2543">
        <f>IF(DATOS!$G2543&lt;&gt;"EX",0,--(COUNTIFS(nNIA,DATOS!$A2543,nCURSO,DATOS!$D2543,nESPEC,DATOS!$E2543,nASIG,DATOS!$I2543,nEVAL,"OR")=0))</f>
      </c>
      <c r="I2543">
        <f>IF(DATOS!$I2543="","",IFERROR(VLOOKUP(DATOS!$I2543,CONFIG_ASIGNATURAS!$B$2:$J$91,9,FALSE()),""))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IF(DATOS!$A2544="",0,IF(CONFIG_METADATA!$B$4&lt;&gt;"OR+EX",--(DATOS!$G2544=CONFIG_METADATA!$B$4),IF(DATOS!$G2544="EX",1,IF(DATOS!$G2544="OR",--(COUNTIFS(nNIA,DATOS!$A2544,nCURSO,DATOS!$D2544,nESPEC,DATOS!$E2544,nASIG,DATOS!$I2544,nEVAL,"EX")=0),0))))</f>
      </c>
      <c r="H2544">
        <f>IF(DATOS!$G2544&lt;&gt;"EX",0,--(COUNTIFS(nNIA,DATOS!$A2544,nCURSO,DATOS!$D2544,nESPEC,DATOS!$E2544,nASIG,DATOS!$I2544,nEVAL,"OR")=0))</f>
      </c>
      <c r="I2544">
        <f>IF(DATOS!$I2544="","",IFERROR(VLOOKUP(DATOS!$I2544,CONFIG_ASIGNATURAS!$B$2:$J$91,9,FALSE()),""))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IF(DATOS!$A2545="",0,IF(CONFIG_METADATA!$B$4&lt;&gt;"OR+EX",--(DATOS!$G2545=CONFIG_METADATA!$B$4),IF(DATOS!$G2545="EX",1,IF(DATOS!$G2545="OR",--(COUNTIFS(nNIA,DATOS!$A2545,nCURSO,DATOS!$D2545,nESPEC,DATOS!$E2545,nASIG,DATOS!$I2545,nEVAL,"EX")=0),0))))</f>
      </c>
      <c r="H2545">
        <f>IF(DATOS!$G2545&lt;&gt;"EX",0,--(COUNTIFS(nNIA,DATOS!$A2545,nCURSO,DATOS!$D2545,nESPEC,DATOS!$E2545,nASIG,DATOS!$I2545,nEVAL,"OR")=0))</f>
      </c>
      <c r="I2545">
        <f>IF(DATOS!$I2545="","",IFERROR(VLOOKUP(DATOS!$I2545,CONFIG_ASIGNATURAS!$B$2:$J$91,9,FALSE()),""))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IF(DATOS!$A2546="",0,IF(CONFIG_METADATA!$B$4&lt;&gt;"OR+EX",--(DATOS!$G2546=CONFIG_METADATA!$B$4),IF(DATOS!$G2546="EX",1,IF(DATOS!$G2546="OR",--(COUNTIFS(nNIA,DATOS!$A2546,nCURSO,DATOS!$D2546,nESPEC,DATOS!$E2546,nASIG,DATOS!$I2546,nEVAL,"EX")=0),0))))</f>
      </c>
      <c r="H2546">
        <f>IF(DATOS!$G2546&lt;&gt;"EX",0,--(COUNTIFS(nNIA,DATOS!$A2546,nCURSO,DATOS!$D2546,nESPEC,DATOS!$E2546,nASIG,DATOS!$I2546,nEVAL,"OR")=0))</f>
      </c>
      <c r="I2546">
        <f>IF(DATOS!$I2546="","",IFERROR(VLOOKUP(DATOS!$I2546,CONFIG_ASIGNATURAS!$B$2:$J$91,9,FALSE()),""))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IF(DATOS!$A2547="",0,IF(CONFIG_METADATA!$B$4&lt;&gt;"OR+EX",--(DATOS!$G2547=CONFIG_METADATA!$B$4),IF(DATOS!$G2547="EX",1,IF(DATOS!$G2547="OR",--(COUNTIFS(nNIA,DATOS!$A2547,nCURSO,DATOS!$D2547,nESPEC,DATOS!$E2547,nASIG,DATOS!$I2547,nEVAL,"EX")=0),0))))</f>
      </c>
      <c r="H2547">
        <f>IF(DATOS!$G2547&lt;&gt;"EX",0,--(COUNTIFS(nNIA,DATOS!$A2547,nCURSO,DATOS!$D2547,nESPEC,DATOS!$E2547,nASIG,DATOS!$I2547,nEVAL,"OR")=0))</f>
      </c>
      <c r="I2547">
        <f>IF(DATOS!$I2547="","",IFERROR(VLOOKUP(DATOS!$I2547,CONFIG_ASIGNATURAS!$B$2:$J$91,9,FALSE()),""))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IF(DATOS!$A2548="",0,IF(CONFIG_METADATA!$B$4&lt;&gt;"OR+EX",--(DATOS!$G2548=CONFIG_METADATA!$B$4),IF(DATOS!$G2548="EX",1,IF(DATOS!$G2548="OR",--(COUNTIFS(nNIA,DATOS!$A2548,nCURSO,DATOS!$D2548,nESPEC,DATOS!$E2548,nASIG,DATOS!$I2548,nEVAL,"EX")=0),0))))</f>
      </c>
      <c r="H2548">
        <f>IF(DATOS!$G2548&lt;&gt;"EX",0,--(COUNTIFS(nNIA,DATOS!$A2548,nCURSO,DATOS!$D2548,nESPEC,DATOS!$E2548,nASIG,DATOS!$I2548,nEVAL,"OR")=0))</f>
      </c>
      <c r="I2548">
        <f>IF(DATOS!$I2548="","",IFERROR(VLOOKUP(DATOS!$I2548,CONFIG_ASIGNATURAS!$B$2:$J$91,9,FALSE()),""))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IF(DATOS!$A2549="",0,IF(CONFIG_METADATA!$B$4&lt;&gt;"OR+EX",--(DATOS!$G2549=CONFIG_METADATA!$B$4),IF(DATOS!$G2549="EX",1,IF(DATOS!$G2549="OR",--(COUNTIFS(nNIA,DATOS!$A2549,nCURSO,DATOS!$D2549,nESPEC,DATOS!$E2549,nASIG,DATOS!$I2549,nEVAL,"EX")=0),0))))</f>
      </c>
      <c r="H2549">
        <f>IF(DATOS!$G2549&lt;&gt;"EX",0,--(COUNTIFS(nNIA,DATOS!$A2549,nCURSO,DATOS!$D2549,nESPEC,DATOS!$E2549,nASIG,DATOS!$I2549,nEVAL,"OR")=0))</f>
      </c>
      <c r="I2549">
        <f>IF(DATOS!$I2549="","",IFERROR(VLOOKUP(DATOS!$I2549,CONFIG_ASIGNATURAS!$B$2:$J$91,9,FALSE()),""))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IF(DATOS!$A2550="",0,IF(CONFIG_METADATA!$B$4&lt;&gt;"OR+EX",--(DATOS!$G2550=CONFIG_METADATA!$B$4),IF(DATOS!$G2550="EX",1,IF(DATOS!$G2550="OR",--(COUNTIFS(nNIA,DATOS!$A2550,nCURSO,DATOS!$D2550,nESPEC,DATOS!$E2550,nASIG,DATOS!$I2550,nEVAL,"EX")=0),0))))</f>
      </c>
      <c r="H2550">
        <f>IF(DATOS!$G2550&lt;&gt;"EX",0,--(COUNTIFS(nNIA,DATOS!$A2550,nCURSO,DATOS!$D2550,nESPEC,DATOS!$E2550,nASIG,DATOS!$I2550,nEVAL,"OR")=0))</f>
      </c>
      <c r="I2550">
        <f>IF(DATOS!$I2550="","",IFERROR(VLOOKUP(DATOS!$I2550,CONFIG_ASIGNATURAS!$B$2:$J$91,9,FALSE()),""))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IF(DATOS!$A2551="",0,IF(CONFIG_METADATA!$B$4&lt;&gt;"OR+EX",--(DATOS!$G2551=CONFIG_METADATA!$B$4),IF(DATOS!$G2551="EX",1,IF(DATOS!$G2551="OR",--(COUNTIFS(nNIA,DATOS!$A2551,nCURSO,DATOS!$D2551,nESPEC,DATOS!$E2551,nASIG,DATOS!$I2551,nEVAL,"EX")=0),0))))</f>
      </c>
      <c r="H2551">
        <f>IF(DATOS!$G2551&lt;&gt;"EX",0,--(COUNTIFS(nNIA,DATOS!$A2551,nCURSO,DATOS!$D2551,nESPEC,DATOS!$E2551,nASIG,DATOS!$I2551,nEVAL,"OR")=0))</f>
      </c>
      <c r="I2551">
        <f>IF(DATOS!$I2551="","",IFERROR(VLOOKUP(DATOS!$I2551,CONFIG_ASIGNATURAS!$B$2:$J$91,9,FALSE()),""))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IF(DATOS!$A2552="",0,IF(CONFIG_METADATA!$B$4&lt;&gt;"OR+EX",--(DATOS!$G2552=CONFIG_METADATA!$B$4),IF(DATOS!$G2552="EX",1,IF(DATOS!$G2552="OR",--(COUNTIFS(nNIA,DATOS!$A2552,nCURSO,DATOS!$D2552,nESPEC,DATOS!$E2552,nASIG,DATOS!$I2552,nEVAL,"EX")=0),0))))</f>
      </c>
      <c r="H2552">
        <f>IF(DATOS!$G2552&lt;&gt;"EX",0,--(COUNTIFS(nNIA,DATOS!$A2552,nCURSO,DATOS!$D2552,nESPEC,DATOS!$E2552,nASIG,DATOS!$I2552,nEVAL,"OR")=0))</f>
      </c>
      <c r="I2552">
        <f>IF(DATOS!$I2552="","",IFERROR(VLOOKUP(DATOS!$I2552,CONFIG_ASIGNATURAS!$B$2:$J$91,9,FALSE()),""))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IF(DATOS!$A2553="",0,IF(CONFIG_METADATA!$B$4&lt;&gt;"OR+EX",--(DATOS!$G2553=CONFIG_METADATA!$B$4),IF(DATOS!$G2553="EX",1,IF(DATOS!$G2553="OR",--(COUNTIFS(nNIA,DATOS!$A2553,nCURSO,DATOS!$D2553,nESPEC,DATOS!$E2553,nASIG,DATOS!$I2553,nEVAL,"EX")=0),0))))</f>
      </c>
      <c r="H2553">
        <f>IF(DATOS!$G2553&lt;&gt;"EX",0,--(COUNTIFS(nNIA,DATOS!$A2553,nCURSO,DATOS!$D2553,nESPEC,DATOS!$E2553,nASIG,DATOS!$I2553,nEVAL,"OR")=0))</f>
      </c>
      <c r="I2553">
        <f>IF(DATOS!$I2553="","",IFERROR(VLOOKUP(DATOS!$I2553,CONFIG_ASIGNATURAS!$B$2:$J$91,9,FALSE()),""))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IF(DATOS!$A2554="",0,IF(CONFIG_METADATA!$B$4&lt;&gt;"OR+EX",--(DATOS!$G2554=CONFIG_METADATA!$B$4),IF(DATOS!$G2554="EX",1,IF(DATOS!$G2554="OR",--(COUNTIFS(nNIA,DATOS!$A2554,nCURSO,DATOS!$D2554,nESPEC,DATOS!$E2554,nASIG,DATOS!$I2554,nEVAL,"EX")=0),0))))</f>
      </c>
      <c r="H2554">
        <f>IF(DATOS!$G2554&lt;&gt;"EX",0,--(COUNTIFS(nNIA,DATOS!$A2554,nCURSO,DATOS!$D2554,nESPEC,DATOS!$E2554,nASIG,DATOS!$I2554,nEVAL,"OR")=0))</f>
      </c>
      <c r="I2554">
        <f>IF(DATOS!$I2554="","",IFERROR(VLOOKUP(DATOS!$I2554,CONFIG_ASIGNATURAS!$B$2:$J$91,9,FALSE()),""))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IF(DATOS!$A2555="",0,IF(CONFIG_METADATA!$B$4&lt;&gt;"OR+EX",--(DATOS!$G2555=CONFIG_METADATA!$B$4),IF(DATOS!$G2555="EX",1,IF(DATOS!$G2555="OR",--(COUNTIFS(nNIA,DATOS!$A2555,nCURSO,DATOS!$D2555,nESPEC,DATOS!$E2555,nASIG,DATOS!$I2555,nEVAL,"EX")=0),0))))</f>
      </c>
      <c r="H2555">
        <f>IF(DATOS!$G2555&lt;&gt;"EX",0,--(COUNTIFS(nNIA,DATOS!$A2555,nCURSO,DATOS!$D2555,nESPEC,DATOS!$E2555,nASIG,DATOS!$I2555,nEVAL,"OR")=0))</f>
      </c>
      <c r="I2555">
        <f>IF(DATOS!$I2555="","",IFERROR(VLOOKUP(DATOS!$I2555,CONFIG_ASIGNATURAS!$B$2:$J$91,9,FALSE()),""))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IF(DATOS!$A2556="",0,IF(CONFIG_METADATA!$B$4&lt;&gt;"OR+EX",--(DATOS!$G2556=CONFIG_METADATA!$B$4),IF(DATOS!$G2556="EX",1,IF(DATOS!$G2556="OR",--(COUNTIFS(nNIA,DATOS!$A2556,nCURSO,DATOS!$D2556,nESPEC,DATOS!$E2556,nASIG,DATOS!$I2556,nEVAL,"EX")=0),0))))</f>
      </c>
      <c r="H2556">
        <f>IF(DATOS!$G2556&lt;&gt;"EX",0,--(COUNTIFS(nNIA,DATOS!$A2556,nCURSO,DATOS!$D2556,nESPEC,DATOS!$E2556,nASIG,DATOS!$I2556,nEVAL,"OR")=0))</f>
      </c>
      <c r="I2556">
        <f>IF(DATOS!$I2556="","",IFERROR(VLOOKUP(DATOS!$I2556,CONFIG_ASIGNATURAS!$B$2:$J$91,9,FALSE()),""))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IF(DATOS!$A2557="",0,IF(CONFIG_METADATA!$B$4&lt;&gt;"OR+EX",--(DATOS!$G2557=CONFIG_METADATA!$B$4),IF(DATOS!$G2557="EX",1,IF(DATOS!$G2557="OR",--(COUNTIFS(nNIA,DATOS!$A2557,nCURSO,DATOS!$D2557,nESPEC,DATOS!$E2557,nASIG,DATOS!$I2557,nEVAL,"EX")=0),0))))</f>
      </c>
      <c r="H2557">
        <f>IF(DATOS!$G2557&lt;&gt;"EX",0,--(COUNTIFS(nNIA,DATOS!$A2557,nCURSO,DATOS!$D2557,nESPEC,DATOS!$E2557,nASIG,DATOS!$I2557,nEVAL,"OR")=0))</f>
      </c>
      <c r="I2557">
        <f>IF(DATOS!$I2557="","",IFERROR(VLOOKUP(DATOS!$I2557,CONFIG_ASIGNATURAS!$B$2:$J$91,9,FALSE()),""))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IF(DATOS!$A2558="",0,IF(CONFIG_METADATA!$B$4&lt;&gt;"OR+EX",--(DATOS!$G2558=CONFIG_METADATA!$B$4),IF(DATOS!$G2558="EX",1,IF(DATOS!$G2558="OR",--(COUNTIFS(nNIA,DATOS!$A2558,nCURSO,DATOS!$D2558,nESPEC,DATOS!$E2558,nASIG,DATOS!$I2558,nEVAL,"EX")=0),0))))</f>
      </c>
      <c r="H2558">
        <f>IF(DATOS!$G2558&lt;&gt;"EX",0,--(COUNTIFS(nNIA,DATOS!$A2558,nCURSO,DATOS!$D2558,nESPEC,DATOS!$E2558,nASIG,DATOS!$I2558,nEVAL,"OR")=0))</f>
      </c>
      <c r="I2558">
        <f>IF(DATOS!$I2558="","",IFERROR(VLOOKUP(DATOS!$I2558,CONFIG_ASIGNATURAS!$B$2:$J$91,9,FALSE()),""))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IF(DATOS!$A2559="",0,IF(CONFIG_METADATA!$B$4&lt;&gt;"OR+EX",--(DATOS!$G2559=CONFIG_METADATA!$B$4),IF(DATOS!$G2559="EX",1,IF(DATOS!$G2559="OR",--(COUNTIFS(nNIA,DATOS!$A2559,nCURSO,DATOS!$D2559,nESPEC,DATOS!$E2559,nASIG,DATOS!$I2559,nEVAL,"EX")=0),0))))</f>
      </c>
      <c r="H2559">
        <f>IF(DATOS!$G2559&lt;&gt;"EX",0,--(COUNTIFS(nNIA,DATOS!$A2559,nCURSO,DATOS!$D2559,nESPEC,DATOS!$E2559,nASIG,DATOS!$I2559,nEVAL,"OR")=0))</f>
      </c>
      <c r="I2559">
        <f>IF(DATOS!$I2559="","",IFERROR(VLOOKUP(DATOS!$I2559,CONFIG_ASIGNATURAS!$B$2:$J$91,9,FALSE()),""))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IF(DATOS!$A2560="",0,IF(CONFIG_METADATA!$B$4&lt;&gt;"OR+EX",--(DATOS!$G2560=CONFIG_METADATA!$B$4),IF(DATOS!$G2560="EX",1,IF(DATOS!$G2560="OR",--(COUNTIFS(nNIA,DATOS!$A2560,nCURSO,DATOS!$D2560,nESPEC,DATOS!$E2560,nASIG,DATOS!$I2560,nEVAL,"EX")=0),0))))</f>
      </c>
      <c r="H2560">
        <f>IF(DATOS!$G2560&lt;&gt;"EX",0,--(COUNTIFS(nNIA,DATOS!$A2560,nCURSO,DATOS!$D2560,nESPEC,DATOS!$E2560,nASIG,DATOS!$I2560,nEVAL,"OR")=0))</f>
      </c>
      <c r="I2560">
        <f>IF(DATOS!$I2560="","",IFERROR(VLOOKUP(DATOS!$I2560,CONFIG_ASIGNATURAS!$B$2:$J$91,9,FALSE()),""))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IF(DATOS!$A2561="",0,IF(CONFIG_METADATA!$B$4&lt;&gt;"OR+EX",--(DATOS!$G2561=CONFIG_METADATA!$B$4),IF(DATOS!$G2561="EX",1,IF(DATOS!$G2561="OR",--(COUNTIFS(nNIA,DATOS!$A2561,nCURSO,DATOS!$D2561,nESPEC,DATOS!$E2561,nASIG,DATOS!$I2561,nEVAL,"EX")=0),0))))</f>
      </c>
      <c r="H2561">
        <f>IF(DATOS!$G2561&lt;&gt;"EX",0,--(COUNTIFS(nNIA,DATOS!$A2561,nCURSO,DATOS!$D2561,nESPEC,DATOS!$E2561,nASIG,DATOS!$I2561,nEVAL,"OR")=0))</f>
      </c>
      <c r="I2561">
        <f>IF(DATOS!$I2561="","",IFERROR(VLOOKUP(DATOS!$I2561,CONFIG_ASIGNATURAS!$B$2:$J$91,9,FALSE()),""))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IF(DATOS!$A2562="",0,IF(CONFIG_METADATA!$B$4&lt;&gt;"OR+EX",--(DATOS!$G2562=CONFIG_METADATA!$B$4),IF(DATOS!$G2562="EX",1,IF(DATOS!$G2562="OR",--(COUNTIFS(nNIA,DATOS!$A2562,nCURSO,DATOS!$D2562,nESPEC,DATOS!$E2562,nASIG,DATOS!$I2562,nEVAL,"EX")=0),0))))</f>
      </c>
      <c r="H2562">
        <f>IF(DATOS!$G2562&lt;&gt;"EX",0,--(COUNTIFS(nNIA,DATOS!$A2562,nCURSO,DATOS!$D2562,nESPEC,DATOS!$E2562,nASIG,DATOS!$I2562,nEVAL,"OR")=0))</f>
      </c>
      <c r="I2562">
        <f>IF(DATOS!$I2562="","",IFERROR(VLOOKUP(DATOS!$I2562,CONFIG_ASIGNATURAS!$B$2:$J$91,9,FALSE()),""))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IF(DATOS!$A2563="",0,IF(CONFIG_METADATA!$B$4&lt;&gt;"OR+EX",--(DATOS!$G2563=CONFIG_METADATA!$B$4),IF(DATOS!$G2563="EX",1,IF(DATOS!$G2563="OR",--(COUNTIFS(nNIA,DATOS!$A2563,nCURSO,DATOS!$D2563,nESPEC,DATOS!$E2563,nASIG,DATOS!$I2563,nEVAL,"EX")=0),0))))</f>
      </c>
      <c r="H2563">
        <f>IF(DATOS!$G2563&lt;&gt;"EX",0,--(COUNTIFS(nNIA,DATOS!$A2563,nCURSO,DATOS!$D2563,nESPEC,DATOS!$E2563,nASIG,DATOS!$I2563,nEVAL,"OR")=0))</f>
      </c>
      <c r="I2563">
        <f>IF(DATOS!$I2563="","",IFERROR(VLOOKUP(DATOS!$I2563,CONFIG_ASIGNATURAS!$B$2:$J$91,9,FALSE()),""))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IF(DATOS!$A2564="",0,IF(CONFIG_METADATA!$B$4&lt;&gt;"OR+EX",--(DATOS!$G2564=CONFIG_METADATA!$B$4),IF(DATOS!$G2564="EX",1,IF(DATOS!$G2564="OR",--(COUNTIFS(nNIA,DATOS!$A2564,nCURSO,DATOS!$D2564,nESPEC,DATOS!$E2564,nASIG,DATOS!$I2564,nEVAL,"EX")=0),0))))</f>
      </c>
      <c r="H2564">
        <f>IF(DATOS!$G2564&lt;&gt;"EX",0,--(COUNTIFS(nNIA,DATOS!$A2564,nCURSO,DATOS!$D2564,nESPEC,DATOS!$E2564,nASIG,DATOS!$I2564,nEVAL,"OR")=0))</f>
      </c>
      <c r="I2564">
        <f>IF(DATOS!$I2564="","",IFERROR(VLOOKUP(DATOS!$I2564,CONFIG_ASIGNATURAS!$B$2:$J$91,9,FALSE()),""))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IF(DATOS!$A2565="",0,IF(CONFIG_METADATA!$B$4&lt;&gt;"OR+EX",--(DATOS!$G2565=CONFIG_METADATA!$B$4),IF(DATOS!$G2565="EX",1,IF(DATOS!$G2565="OR",--(COUNTIFS(nNIA,DATOS!$A2565,nCURSO,DATOS!$D2565,nESPEC,DATOS!$E2565,nASIG,DATOS!$I2565,nEVAL,"EX")=0),0))))</f>
      </c>
      <c r="H2565">
        <f>IF(DATOS!$G2565&lt;&gt;"EX",0,--(COUNTIFS(nNIA,DATOS!$A2565,nCURSO,DATOS!$D2565,nESPEC,DATOS!$E2565,nASIG,DATOS!$I2565,nEVAL,"OR")=0))</f>
      </c>
      <c r="I2565">
        <f>IF(DATOS!$I2565="","",IFERROR(VLOOKUP(DATOS!$I2565,CONFIG_ASIGNATURAS!$B$2:$J$91,9,FALSE()),""))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IF(DATOS!$A2566="",0,IF(CONFIG_METADATA!$B$4&lt;&gt;"OR+EX",--(DATOS!$G2566=CONFIG_METADATA!$B$4),IF(DATOS!$G2566="EX",1,IF(DATOS!$G2566="OR",--(COUNTIFS(nNIA,DATOS!$A2566,nCURSO,DATOS!$D2566,nESPEC,DATOS!$E2566,nASIG,DATOS!$I2566,nEVAL,"EX")=0),0))))</f>
      </c>
      <c r="H2566">
        <f>IF(DATOS!$G2566&lt;&gt;"EX",0,--(COUNTIFS(nNIA,DATOS!$A2566,nCURSO,DATOS!$D2566,nESPEC,DATOS!$E2566,nASIG,DATOS!$I2566,nEVAL,"OR")=0))</f>
      </c>
      <c r="I2566">
        <f>IF(DATOS!$I2566="","",IFERROR(VLOOKUP(DATOS!$I2566,CONFIG_ASIGNATURAS!$B$2:$J$91,9,FALSE()),""))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IF(DATOS!$A2567="",0,IF(CONFIG_METADATA!$B$4&lt;&gt;"OR+EX",--(DATOS!$G2567=CONFIG_METADATA!$B$4),IF(DATOS!$G2567="EX",1,IF(DATOS!$G2567="OR",--(COUNTIFS(nNIA,DATOS!$A2567,nCURSO,DATOS!$D2567,nESPEC,DATOS!$E2567,nASIG,DATOS!$I2567,nEVAL,"EX")=0),0))))</f>
      </c>
      <c r="H2567">
        <f>IF(DATOS!$G2567&lt;&gt;"EX",0,--(COUNTIFS(nNIA,DATOS!$A2567,nCURSO,DATOS!$D2567,nESPEC,DATOS!$E2567,nASIG,DATOS!$I2567,nEVAL,"OR")=0))</f>
      </c>
      <c r="I2567">
        <f>IF(DATOS!$I2567="","",IFERROR(VLOOKUP(DATOS!$I2567,CONFIG_ASIGNATURAS!$B$2:$J$91,9,FALSE()),""))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IF(DATOS!$A2568="",0,IF(CONFIG_METADATA!$B$4&lt;&gt;"OR+EX",--(DATOS!$G2568=CONFIG_METADATA!$B$4),IF(DATOS!$G2568="EX",1,IF(DATOS!$G2568="OR",--(COUNTIFS(nNIA,DATOS!$A2568,nCURSO,DATOS!$D2568,nESPEC,DATOS!$E2568,nASIG,DATOS!$I2568,nEVAL,"EX")=0),0))))</f>
      </c>
      <c r="H2568">
        <f>IF(DATOS!$G2568&lt;&gt;"EX",0,--(COUNTIFS(nNIA,DATOS!$A2568,nCURSO,DATOS!$D2568,nESPEC,DATOS!$E2568,nASIG,DATOS!$I2568,nEVAL,"OR")=0))</f>
      </c>
      <c r="I2568">
        <f>IF(DATOS!$I2568="","",IFERROR(VLOOKUP(DATOS!$I2568,CONFIG_ASIGNATURAS!$B$2:$J$91,9,FALSE()),""))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IF(DATOS!$A2569="",0,IF(CONFIG_METADATA!$B$4&lt;&gt;"OR+EX",--(DATOS!$G2569=CONFIG_METADATA!$B$4),IF(DATOS!$G2569="EX",1,IF(DATOS!$G2569="OR",--(COUNTIFS(nNIA,DATOS!$A2569,nCURSO,DATOS!$D2569,nESPEC,DATOS!$E2569,nASIG,DATOS!$I2569,nEVAL,"EX")=0),0))))</f>
      </c>
      <c r="H2569">
        <f>IF(DATOS!$G2569&lt;&gt;"EX",0,--(COUNTIFS(nNIA,DATOS!$A2569,nCURSO,DATOS!$D2569,nESPEC,DATOS!$E2569,nASIG,DATOS!$I2569,nEVAL,"OR")=0))</f>
      </c>
      <c r="I2569">
        <f>IF(DATOS!$I2569="","",IFERROR(VLOOKUP(DATOS!$I2569,CONFIG_ASIGNATURAS!$B$2:$J$91,9,FALSE()),""))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IF(DATOS!$A2570="",0,IF(CONFIG_METADATA!$B$4&lt;&gt;"OR+EX",--(DATOS!$G2570=CONFIG_METADATA!$B$4),IF(DATOS!$G2570="EX",1,IF(DATOS!$G2570="OR",--(COUNTIFS(nNIA,DATOS!$A2570,nCURSO,DATOS!$D2570,nESPEC,DATOS!$E2570,nASIG,DATOS!$I2570,nEVAL,"EX")=0),0))))</f>
      </c>
      <c r="H2570">
        <f>IF(DATOS!$G2570&lt;&gt;"EX",0,--(COUNTIFS(nNIA,DATOS!$A2570,nCURSO,DATOS!$D2570,nESPEC,DATOS!$E2570,nASIG,DATOS!$I2570,nEVAL,"OR")=0))</f>
      </c>
      <c r="I2570">
        <f>IF(DATOS!$I2570="","",IFERROR(VLOOKUP(DATOS!$I2570,CONFIG_ASIGNATURAS!$B$2:$J$91,9,FALSE()),""))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IF(DATOS!$A2571="",0,IF(CONFIG_METADATA!$B$4&lt;&gt;"OR+EX",--(DATOS!$G2571=CONFIG_METADATA!$B$4),IF(DATOS!$G2571="EX",1,IF(DATOS!$G2571="OR",--(COUNTIFS(nNIA,DATOS!$A2571,nCURSO,DATOS!$D2571,nESPEC,DATOS!$E2571,nASIG,DATOS!$I2571,nEVAL,"EX")=0),0))))</f>
      </c>
      <c r="H2571">
        <f>IF(DATOS!$G2571&lt;&gt;"EX",0,--(COUNTIFS(nNIA,DATOS!$A2571,nCURSO,DATOS!$D2571,nESPEC,DATOS!$E2571,nASIG,DATOS!$I2571,nEVAL,"OR")=0))</f>
      </c>
      <c r="I2571">
        <f>IF(DATOS!$I2571="","",IFERROR(VLOOKUP(DATOS!$I2571,CONFIG_ASIGNATURAS!$B$2:$J$91,9,FALSE()),""))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IF(DATOS!$A2572="",0,IF(CONFIG_METADATA!$B$4&lt;&gt;"OR+EX",--(DATOS!$G2572=CONFIG_METADATA!$B$4),IF(DATOS!$G2572="EX",1,IF(DATOS!$G2572="OR",--(COUNTIFS(nNIA,DATOS!$A2572,nCURSO,DATOS!$D2572,nESPEC,DATOS!$E2572,nASIG,DATOS!$I2572,nEVAL,"EX")=0),0))))</f>
      </c>
      <c r="H2572">
        <f>IF(DATOS!$G2572&lt;&gt;"EX",0,--(COUNTIFS(nNIA,DATOS!$A2572,nCURSO,DATOS!$D2572,nESPEC,DATOS!$E2572,nASIG,DATOS!$I2572,nEVAL,"OR")=0))</f>
      </c>
      <c r="I2572">
        <f>IF(DATOS!$I2572="","",IFERROR(VLOOKUP(DATOS!$I2572,CONFIG_ASIGNATURAS!$B$2:$J$91,9,FALSE()),""))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IF(DATOS!$A2573="",0,IF(CONFIG_METADATA!$B$4&lt;&gt;"OR+EX",--(DATOS!$G2573=CONFIG_METADATA!$B$4),IF(DATOS!$G2573="EX",1,IF(DATOS!$G2573="OR",--(COUNTIFS(nNIA,DATOS!$A2573,nCURSO,DATOS!$D2573,nESPEC,DATOS!$E2573,nASIG,DATOS!$I2573,nEVAL,"EX")=0),0))))</f>
      </c>
      <c r="H2573">
        <f>IF(DATOS!$G2573&lt;&gt;"EX",0,--(COUNTIFS(nNIA,DATOS!$A2573,nCURSO,DATOS!$D2573,nESPEC,DATOS!$E2573,nASIG,DATOS!$I2573,nEVAL,"OR")=0))</f>
      </c>
      <c r="I2573">
        <f>IF(DATOS!$I2573="","",IFERROR(VLOOKUP(DATOS!$I2573,CONFIG_ASIGNATURAS!$B$2:$J$91,9,FALSE()),""))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IF(DATOS!$A2574="",0,IF(CONFIG_METADATA!$B$4&lt;&gt;"OR+EX",--(DATOS!$G2574=CONFIG_METADATA!$B$4),IF(DATOS!$G2574="EX",1,IF(DATOS!$G2574="OR",--(COUNTIFS(nNIA,DATOS!$A2574,nCURSO,DATOS!$D2574,nESPEC,DATOS!$E2574,nASIG,DATOS!$I2574,nEVAL,"EX")=0),0))))</f>
      </c>
      <c r="H2574">
        <f>IF(DATOS!$G2574&lt;&gt;"EX",0,--(COUNTIFS(nNIA,DATOS!$A2574,nCURSO,DATOS!$D2574,nESPEC,DATOS!$E2574,nASIG,DATOS!$I2574,nEVAL,"OR")=0))</f>
      </c>
      <c r="I2574">
        <f>IF(DATOS!$I2574="","",IFERROR(VLOOKUP(DATOS!$I2574,CONFIG_ASIGNATURAS!$B$2:$J$91,9,FALSE()),""))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IF(DATOS!$A2575="",0,IF(CONFIG_METADATA!$B$4&lt;&gt;"OR+EX",--(DATOS!$G2575=CONFIG_METADATA!$B$4),IF(DATOS!$G2575="EX",1,IF(DATOS!$G2575="OR",--(COUNTIFS(nNIA,DATOS!$A2575,nCURSO,DATOS!$D2575,nESPEC,DATOS!$E2575,nASIG,DATOS!$I2575,nEVAL,"EX")=0),0))))</f>
      </c>
      <c r="H2575">
        <f>IF(DATOS!$G2575&lt;&gt;"EX",0,--(COUNTIFS(nNIA,DATOS!$A2575,nCURSO,DATOS!$D2575,nESPEC,DATOS!$E2575,nASIG,DATOS!$I2575,nEVAL,"OR")=0))</f>
      </c>
      <c r="I2575">
        <f>IF(DATOS!$I2575="","",IFERROR(VLOOKUP(DATOS!$I2575,CONFIG_ASIGNATURAS!$B$2:$J$91,9,FALSE()),""))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IF(DATOS!$A2576="",0,IF(CONFIG_METADATA!$B$4&lt;&gt;"OR+EX",--(DATOS!$G2576=CONFIG_METADATA!$B$4),IF(DATOS!$G2576="EX",1,IF(DATOS!$G2576="OR",--(COUNTIFS(nNIA,DATOS!$A2576,nCURSO,DATOS!$D2576,nESPEC,DATOS!$E2576,nASIG,DATOS!$I2576,nEVAL,"EX")=0),0))))</f>
      </c>
      <c r="H2576">
        <f>IF(DATOS!$G2576&lt;&gt;"EX",0,--(COUNTIFS(nNIA,DATOS!$A2576,nCURSO,DATOS!$D2576,nESPEC,DATOS!$E2576,nASIG,DATOS!$I2576,nEVAL,"OR")=0))</f>
      </c>
      <c r="I2576">
        <f>IF(DATOS!$I2576="","",IFERROR(VLOOKUP(DATOS!$I2576,CONFIG_ASIGNATURAS!$B$2:$J$91,9,FALSE()),""))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IF(DATOS!$A2577="",0,IF(CONFIG_METADATA!$B$4&lt;&gt;"OR+EX",--(DATOS!$G2577=CONFIG_METADATA!$B$4),IF(DATOS!$G2577="EX",1,IF(DATOS!$G2577="OR",--(COUNTIFS(nNIA,DATOS!$A2577,nCURSO,DATOS!$D2577,nESPEC,DATOS!$E2577,nASIG,DATOS!$I2577,nEVAL,"EX")=0),0))))</f>
      </c>
      <c r="H2577">
        <f>IF(DATOS!$G2577&lt;&gt;"EX",0,--(COUNTIFS(nNIA,DATOS!$A2577,nCURSO,DATOS!$D2577,nESPEC,DATOS!$E2577,nASIG,DATOS!$I2577,nEVAL,"OR")=0))</f>
      </c>
      <c r="I2577">
        <f>IF(DATOS!$I2577="","",IFERROR(VLOOKUP(DATOS!$I2577,CONFIG_ASIGNATURAS!$B$2:$J$91,9,FALSE()),""))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IF(DATOS!$A2578="",0,IF(CONFIG_METADATA!$B$4&lt;&gt;"OR+EX",--(DATOS!$G2578=CONFIG_METADATA!$B$4),IF(DATOS!$G2578="EX",1,IF(DATOS!$G2578="OR",--(COUNTIFS(nNIA,DATOS!$A2578,nCURSO,DATOS!$D2578,nESPEC,DATOS!$E2578,nASIG,DATOS!$I2578,nEVAL,"EX")=0),0))))</f>
      </c>
      <c r="H2578">
        <f>IF(DATOS!$G2578&lt;&gt;"EX",0,--(COUNTIFS(nNIA,DATOS!$A2578,nCURSO,DATOS!$D2578,nESPEC,DATOS!$E2578,nASIG,DATOS!$I2578,nEVAL,"OR")=0))</f>
      </c>
      <c r="I2578">
        <f>IF(DATOS!$I2578="","",IFERROR(VLOOKUP(DATOS!$I2578,CONFIG_ASIGNATURAS!$B$2:$J$91,9,FALSE()),""))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IF(DATOS!$A2579="",0,IF(CONFIG_METADATA!$B$4&lt;&gt;"OR+EX",--(DATOS!$G2579=CONFIG_METADATA!$B$4),IF(DATOS!$G2579="EX",1,IF(DATOS!$G2579="OR",--(COUNTIFS(nNIA,DATOS!$A2579,nCURSO,DATOS!$D2579,nESPEC,DATOS!$E2579,nASIG,DATOS!$I2579,nEVAL,"EX")=0),0))))</f>
      </c>
      <c r="H2579">
        <f>IF(DATOS!$G2579&lt;&gt;"EX",0,--(COUNTIFS(nNIA,DATOS!$A2579,nCURSO,DATOS!$D2579,nESPEC,DATOS!$E2579,nASIG,DATOS!$I2579,nEVAL,"OR")=0))</f>
      </c>
      <c r="I2579">
        <f>IF(DATOS!$I2579="","",IFERROR(VLOOKUP(DATOS!$I2579,CONFIG_ASIGNATURAS!$B$2:$J$91,9,FALSE()),""))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IF(DATOS!$A2580="",0,IF(CONFIG_METADATA!$B$4&lt;&gt;"OR+EX",--(DATOS!$G2580=CONFIG_METADATA!$B$4),IF(DATOS!$G2580="EX",1,IF(DATOS!$G2580="OR",--(COUNTIFS(nNIA,DATOS!$A2580,nCURSO,DATOS!$D2580,nESPEC,DATOS!$E2580,nASIG,DATOS!$I2580,nEVAL,"EX")=0),0))))</f>
      </c>
      <c r="H2580">
        <f>IF(DATOS!$G2580&lt;&gt;"EX",0,--(COUNTIFS(nNIA,DATOS!$A2580,nCURSO,DATOS!$D2580,nESPEC,DATOS!$E2580,nASIG,DATOS!$I2580,nEVAL,"OR")=0))</f>
      </c>
      <c r="I2580">
        <f>IF(DATOS!$I2580="","",IFERROR(VLOOKUP(DATOS!$I2580,CONFIG_ASIGNATURAS!$B$2:$J$91,9,FALSE()),""))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IF(DATOS!$A2581="",0,IF(CONFIG_METADATA!$B$4&lt;&gt;"OR+EX",--(DATOS!$G2581=CONFIG_METADATA!$B$4),IF(DATOS!$G2581="EX",1,IF(DATOS!$G2581="OR",--(COUNTIFS(nNIA,DATOS!$A2581,nCURSO,DATOS!$D2581,nESPEC,DATOS!$E2581,nASIG,DATOS!$I2581,nEVAL,"EX")=0),0))))</f>
      </c>
      <c r="H2581">
        <f>IF(DATOS!$G2581&lt;&gt;"EX",0,--(COUNTIFS(nNIA,DATOS!$A2581,nCURSO,DATOS!$D2581,nESPEC,DATOS!$E2581,nASIG,DATOS!$I2581,nEVAL,"OR")=0))</f>
      </c>
      <c r="I2581">
        <f>IF(DATOS!$I2581="","",IFERROR(VLOOKUP(DATOS!$I2581,CONFIG_ASIGNATURAS!$B$2:$J$91,9,FALSE()),""))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IF(DATOS!$A2582="",0,IF(CONFIG_METADATA!$B$4&lt;&gt;"OR+EX",--(DATOS!$G2582=CONFIG_METADATA!$B$4),IF(DATOS!$G2582="EX",1,IF(DATOS!$G2582="OR",--(COUNTIFS(nNIA,DATOS!$A2582,nCURSO,DATOS!$D2582,nESPEC,DATOS!$E2582,nASIG,DATOS!$I2582,nEVAL,"EX")=0),0))))</f>
      </c>
      <c r="H2582">
        <f>IF(DATOS!$G2582&lt;&gt;"EX",0,--(COUNTIFS(nNIA,DATOS!$A2582,nCURSO,DATOS!$D2582,nESPEC,DATOS!$E2582,nASIG,DATOS!$I2582,nEVAL,"OR")=0))</f>
      </c>
      <c r="I2582">
        <f>IF(DATOS!$I2582="","",IFERROR(VLOOKUP(DATOS!$I2582,CONFIG_ASIGNATURAS!$B$2:$J$91,9,FALSE()),""))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IF(DATOS!$A2583="",0,IF(CONFIG_METADATA!$B$4&lt;&gt;"OR+EX",--(DATOS!$G2583=CONFIG_METADATA!$B$4),IF(DATOS!$G2583="EX",1,IF(DATOS!$G2583="OR",--(COUNTIFS(nNIA,DATOS!$A2583,nCURSO,DATOS!$D2583,nESPEC,DATOS!$E2583,nASIG,DATOS!$I2583,nEVAL,"EX")=0),0))))</f>
      </c>
      <c r="H2583">
        <f>IF(DATOS!$G2583&lt;&gt;"EX",0,--(COUNTIFS(nNIA,DATOS!$A2583,nCURSO,DATOS!$D2583,nESPEC,DATOS!$E2583,nASIG,DATOS!$I2583,nEVAL,"OR")=0))</f>
      </c>
      <c r="I2583">
        <f>IF(DATOS!$I2583="","",IFERROR(VLOOKUP(DATOS!$I2583,CONFIG_ASIGNATURAS!$B$2:$J$91,9,FALSE()),""))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IF(DATOS!$A2584="",0,IF(CONFIG_METADATA!$B$4&lt;&gt;"OR+EX",--(DATOS!$G2584=CONFIG_METADATA!$B$4),IF(DATOS!$G2584="EX",1,IF(DATOS!$G2584="OR",--(COUNTIFS(nNIA,DATOS!$A2584,nCURSO,DATOS!$D2584,nESPEC,DATOS!$E2584,nASIG,DATOS!$I2584,nEVAL,"EX")=0),0))))</f>
      </c>
      <c r="H2584">
        <f>IF(DATOS!$G2584&lt;&gt;"EX",0,--(COUNTIFS(nNIA,DATOS!$A2584,nCURSO,DATOS!$D2584,nESPEC,DATOS!$E2584,nASIG,DATOS!$I2584,nEVAL,"OR")=0))</f>
      </c>
      <c r="I2584">
        <f>IF(DATOS!$I2584="","",IFERROR(VLOOKUP(DATOS!$I2584,CONFIG_ASIGNATURAS!$B$2:$J$91,9,FALSE()),""))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IF(DATOS!$A2585="",0,IF(CONFIG_METADATA!$B$4&lt;&gt;"OR+EX",--(DATOS!$G2585=CONFIG_METADATA!$B$4),IF(DATOS!$G2585="EX",1,IF(DATOS!$G2585="OR",--(COUNTIFS(nNIA,DATOS!$A2585,nCURSO,DATOS!$D2585,nESPEC,DATOS!$E2585,nASIG,DATOS!$I2585,nEVAL,"EX")=0),0))))</f>
      </c>
      <c r="H2585">
        <f>IF(DATOS!$G2585&lt;&gt;"EX",0,--(COUNTIFS(nNIA,DATOS!$A2585,nCURSO,DATOS!$D2585,nESPEC,DATOS!$E2585,nASIG,DATOS!$I2585,nEVAL,"OR")=0))</f>
      </c>
      <c r="I2585">
        <f>IF(DATOS!$I2585="","",IFERROR(VLOOKUP(DATOS!$I2585,CONFIG_ASIGNATURAS!$B$2:$J$91,9,FALSE()),""))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IF(DATOS!$A2586="",0,IF(CONFIG_METADATA!$B$4&lt;&gt;"OR+EX",--(DATOS!$G2586=CONFIG_METADATA!$B$4),IF(DATOS!$G2586="EX",1,IF(DATOS!$G2586="OR",--(COUNTIFS(nNIA,DATOS!$A2586,nCURSO,DATOS!$D2586,nESPEC,DATOS!$E2586,nASIG,DATOS!$I2586,nEVAL,"EX")=0),0))))</f>
      </c>
      <c r="H2586">
        <f>IF(DATOS!$G2586&lt;&gt;"EX",0,--(COUNTIFS(nNIA,DATOS!$A2586,nCURSO,DATOS!$D2586,nESPEC,DATOS!$E2586,nASIG,DATOS!$I2586,nEVAL,"OR")=0))</f>
      </c>
      <c r="I2586">
        <f>IF(DATOS!$I2586="","",IFERROR(VLOOKUP(DATOS!$I2586,CONFIG_ASIGNATURAS!$B$2:$J$91,9,FALSE()),""))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IF(DATOS!$A2587="",0,IF(CONFIG_METADATA!$B$4&lt;&gt;"OR+EX",--(DATOS!$G2587=CONFIG_METADATA!$B$4),IF(DATOS!$G2587="EX",1,IF(DATOS!$G2587="OR",--(COUNTIFS(nNIA,DATOS!$A2587,nCURSO,DATOS!$D2587,nESPEC,DATOS!$E2587,nASIG,DATOS!$I2587,nEVAL,"EX")=0),0))))</f>
      </c>
      <c r="H2587">
        <f>IF(DATOS!$G2587&lt;&gt;"EX",0,--(COUNTIFS(nNIA,DATOS!$A2587,nCURSO,DATOS!$D2587,nESPEC,DATOS!$E2587,nASIG,DATOS!$I2587,nEVAL,"OR")=0))</f>
      </c>
      <c r="I2587">
        <f>IF(DATOS!$I2587="","",IFERROR(VLOOKUP(DATOS!$I2587,CONFIG_ASIGNATURAS!$B$2:$J$91,9,FALSE()),""))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IF(DATOS!$A2588="",0,IF(CONFIG_METADATA!$B$4&lt;&gt;"OR+EX",--(DATOS!$G2588=CONFIG_METADATA!$B$4),IF(DATOS!$G2588="EX",1,IF(DATOS!$G2588="OR",--(COUNTIFS(nNIA,DATOS!$A2588,nCURSO,DATOS!$D2588,nESPEC,DATOS!$E2588,nASIG,DATOS!$I2588,nEVAL,"EX")=0),0))))</f>
      </c>
      <c r="H2588">
        <f>IF(DATOS!$G2588&lt;&gt;"EX",0,--(COUNTIFS(nNIA,DATOS!$A2588,nCURSO,DATOS!$D2588,nESPEC,DATOS!$E2588,nASIG,DATOS!$I2588,nEVAL,"OR")=0))</f>
      </c>
      <c r="I2588">
        <f>IF(DATOS!$I2588="","",IFERROR(VLOOKUP(DATOS!$I2588,CONFIG_ASIGNATURAS!$B$2:$J$91,9,FALSE()),""))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IF(DATOS!$A2589="",0,IF(CONFIG_METADATA!$B$4&lt;&gt;"OR+EX",--(DATOS!$G2589=CONFIG_METADATA!$B$4),IF(DATOS!$G2589="EX",1,IF(DATOS!$G2589="OR",--(COUNTIFS(nNIA,DATOS!$A2589,nCURSO,DATOS!$D2589,nESPEC,DATOS!$E2589,nASIG,DATOS!$I2589,nEVAL,"EX")=0),0))))</f>
      </c>
      <c r="H2589">
        <f>IF(DATOS!$G2589&lt;&gt;"EX",0,--(COUNTIFS(nNIA,DATOS!$A2589,nCURSO,DATOS!$D2589,nESPEC,DATOS!$E2589,nASIG,DATOS!$I2589,nEVAL,"OR")=0))</f>
      </c>
      <c r="I2589">
        <f>IF(DATOS!$I2589="","",IFERROR(VLOOKUP(DATOS!$I2589,CONFIG_ASIGNATURAS!$B$2:$J$91,9,FALSE()),""))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IF(DATOS!$A2590="",0,IF(CONFIG_METADATA!$B$4&lt;&gt;"OR+EX",--(DATOS!$G2590=CONFIG_METADATA!$B$4),IF(DATOS!$G2590="EX",1,IF(DATOS!$G2590="OR",--(COUNTIFS(nNIA,DATOS!$A2590,nCURSO,DATOS!$D2590,nESPEC,DATOS!$E2590,nASIG,DATOS!$I2590,nEVAL,"EX")=0),0))))</f>
      </c>
      <c r="H2590">
        <f>IF(DATOS!$G2590&lt;&gt;"EX",0,--(COUNTIFS(nNIA,DATOS!$A2590,nCURSO,DATOS!$D2590,nESPEC,DATOS!$E2590,nASIG,DATOS!$I2590,nEVAL,"OR")=0))</f>
      </c>
      <c r="I2590">
        <f>IF(DATOS!$I2590="","",IFERROR(VLOOKUP(DATOS!$I2590,CONFIG_ASIGNATURAS!$B$2:$J$91,9,FALSE()),""))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IF(DATOS!$A2591="",0,IF(CONFIG_METADATA!$B$4&lt;&gt;"OR+EX",--(DATOS!$G2591=CONFIG_METADATA!$B$4),IF(DATOS!$G2591="EX",1,IF(DATOS!$G2591="OR",--(COUNTIFS(nNIA,DATOS!$A2591,nCURSO,DATOS!$D2591,nESPEC,DATOS!$E2591,nASIG,DATOS!$I2591,nEVAL,"EX")=0),0))))</f>
      </c>
      <c r="H2591">
        <f>IF(DATOS!$G2591&lt;&gt;"EX",0,--(COUNTIFS(nNIA,DATOS!$A2591,nCURSO,DATOS!$D2591,nESPEC,DATOS!$E2591,nASIG,DATOS!$I2591,nEVAL,"OR")=0))</f>
      </c>
      <c r="I2591">
        <f>IF(DATOS!$I2591="","",IFERROR(VLOOKUP(DATOS!$I2591,CONFIG_ASIGNATURAS!$B$2:$J$91,9,FALSE()),""))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IF(DATOS!$A2592="",0,IF(CONFIG_METADATA!$B$4&lt;&gt;"OR+EX",--(DATOS!$G2592=CONFIG_METADATA!$B$4),IF(DATOS!$G2592="EX",1,IF(DATOS!$G2592="OR",--(COUNTIFS(nNIA,DATOS!$A2592,nCURSO,DATOS!$D2592,nESPEC,DATOS!$E2592,nASIG,DATOS!$I2592,nEVAL,"EX")=0),0))))</f>
      </c>
      <c r="H2592">
        <f>IF(DATOS!$G2592&lt;&gt;"EX",0,--(COUNTIFS(nNIA,DATOS!$A2592,nCURSO,DATOS!$D2592,nESPEC,DATOS!$E2592,nASIG,DATOS!$I2592,nEVAL,"OR")=0))</f>
      </c>
      <c r="I2592">
        <f>IF(DATOS!$I2592="","",IFERROR(VLOOKUP(DATOS!$I2592,CONFIG_ASIGNATURAS!$B$2:$J$91,9,FALSE()),""))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IF(DATOS!$A2593="",0,IF(CONFIG_METADATA!$B$4&lt;&gt;"OR+EX",--(DATOS!$G2593=CONFIG_METADATA!$B$4),IF(DATOS!$G2593="EX",1,IF(DATOS!$G2593="OR",--(COUNTIFS(nNIA,DATOS!$A2593,nCURSO,DATOS!$D2593,nESPEC,DATOS!$E2593,nASIG,DATOS!$I2593,nEVAL,"EX")=0),0))))</f>
      </c>
      <c r="H2593">
        <f>IF(DATOS!$G2593&lt;&gt;"EX",0,--(COUNTIFS(nNIA,DATOS!$A2593,nCURSO,DATOS!$D2593,nESPEC,DATOS!$E2593,nASIG,DATOS!$I2593,nEVAL,"OR")=0))</f>
      </c>
      <c r="I2593">
        <f>IF(DATOS!$I2593="","",IFERROR(VLOOKUP(DATOS!$I2593,CONFIG_ASIGNATURAS!$B$2:$J$91,9,FALSE()),""))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IF(DATOS!$A2594="",0,IF(CONFIG_METADATA!$B$4&lt;&gt;"OR+EX",--(DATOS!$G2594=CONFIG_METADATA!$B$4),IF(DATOS!$G2594="EX",1,IF(DATOS!$G2594="OR",--(COUNTIFS(nNIA,DATOS!$A2594,nCURSO,DATOS!$D2594,nESPEC,DATOS!$E2594,nASIG,DATOS!$I2594,nEVAL,"EX")=0),0))))</f>
      </c>
      <c r="H2594">
        <f>IF(DATOS!$G2594&lt;&gt;"EX",0,--(COUNTIFS(nNIA,DATOS!$A2594,nCURSO,DATOS!$D2594,nESPEC,DATOS!$E2594,nASIG,DATOS!$I2594,nEVAL,"OR")=0))</f>
      </c>
      <c r="I2594">
        <f>IF(DATOS!$I2594="","",IFERROR(VLOOKUP(DATOS!$I2594,CONFIG_ASIGNATURAS!$B$2:$J$91,9,FALSE()),""))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IF(DATOS!$A2595="",0,IF(CONFIG_METADATA!$B$4&lt;&gt;"OR+EX",--(DATOS!$G2595=CONFIG_METADATA!$B$4),IF(DATOS!$G2595="EX",1,IF(DATOS!$G2595="OR",--(COUNTIFS(nNIA,DATOS!$A2595,nCURSO,DATOS!$D2595,nESPEC,DATOS!$E2595,nASIG,DATOS!$I2595,nEVAL,"EX")=0),0))))</f>
      </c>
      <c r="H2595">
        <f>IF(DATOS!$G2595&lt;&gt;"EX",0,--(COUNTIFS(nNIA,DATOS!$A2595,nCURSO,DATOS!$D2595,nESPEC,DATOS!$E2595,nASIG,DATOS!$I2595,nEVAL,"OR")=0))</f>
      </c>
      <c r="I2595">
        <f>IF(DATOS!$I2595="","",IFERROR(VLOOKUP(DATOS!$I2595,CONFIG_ASIGNATURAS!$B$2:$J$91,9,FALSE()),""))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IF(DATOS!$A2596="",0,IF(CONFIG_METADATA!$B$4&lt;&gt;"OR+EX",--(DATOS!$G2596=CONFIG_METADATA!$B$4),IF(DATOS!$G2596="EX",1,IF(DATOS!$G2596="OR",--(COUNTIFS(nNIA,DATOS!$A2596,nCURSO,DATOS!$D2596,nESPEC,DATOS!$E2596,nASIG,DATOS!$I2596,nEVAL,"EX")=0),0))))</f>
      </c>
      <c r="H2596">
        <f>IF(DATOS!$G2596&lt;&gt;"EX",0,--(COUNTIFS(nNIA,DATOS!$A2596,nCURSO,DATOS!$D2596,nESPEC,DATOS!$E2596,nASIG,DATOS!$I2596,nEVAL,"OR")=0))</f>
      </c>
      <c r="I2596">
        <f>IF(DATOS!$I2596="","",IFERROR(VLOOKUP(DATOS!$I2596,CONFIG_ASIGNATURAS!$B$2:$J$91,9,FALSE()),""))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IF(DATOS!$A2597="",0,IF(CONFIG_METADATA!$B$4&lt;&gt;"OR+EX",--(DATOS!$G2597=CONFIG_METADATA!$B$4),IF(DATOS!$G2597="EX",1,IF(DATOS!$G2597="OR",--(COUNTIFS(nNIA,DATOS!$A2597,nCURSO,DATOS!$D2597,nESPEC,DATOS!$E2597,nASIG,DATOS!$I2597,nEVAL,"EX")=0),0))))</f>
      </c>
      <c r="H2597">
        <f>IF(DATOS!$G2597&lt;&gt;"EX",0,--(COUNTIFS(nNIA,DATOS!$A2597,nCURSO,DATOS!$D2597,nESPEC,DATOS!$E2597,nASIG,DATOS!$I2597,nEVAL,"OR")=0))</f>
      </c>
      <c r="I2597">
        <f>IF(DATOS!$I2597="","",IFERROR(VLOOKUP(DATOS!$I2597,CONFIG_ASIGNATURAS!$B$2:$J$91,9,FALSE()),""))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IF(DATOS!$A2598="",0,IF(CONFIG_METADATA!$B$4&lt;&gt;"OR+EX",--(DATOS!$G2598=CONFIG_METADATA!$B$4),IF(DATOS!$G2598="EX",1,IF(DATOS!$G2598="OR",--(COUNTIFS(nNIA,DATOS!$A2598,nCURSO,DATOS!$D2598,nESPEC,DATOS!$E2598,nASIG,DATOS!$I2598,nEVAL,"EX")=0),0))))</f>
      </c>
      <c r="H2598">
        <f>IF(DATOS!$G2598&lt;&gt;"EX",0,--(COUNTIFS(nNIA,DATOS!$A2598,nCURSO,DATOS!$D2598,nESPEC,DATOS!$E2598,nASIG,DATOS!$I2598,nEVAL,"OR")=0))</f>
      </c>
      <c r="I2598">
        <f>IF(DATOS!$I2598="","",IFERROR(VLOOKUP(DATOS!$I2598,CONFIG_ASIGNATURAS!$B$2:$J$91,9,FALSE()),""))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IF(DATOS!$A2599="",0,IF(CONFIG_METADATA!$B$4&lt;&gt;"OR+EX",--(DATOS!$G2599=CONFIG_METADATA!$B$4),IF(DATOS!$G2599="EX",1,IF(DATOS!$G2599="OR",--(COUNTIFS(nNIA,DATOS!$A2599,nCURSO,DATOS!$D2599,nESPEC,DATOS!$E2599,nASIG,DATOS!$I2599,nEVAL,"EX")=0),0))))</f>
      </c>
      <c r="H2599">
        <f>IF(DATOS!$G2599&lt;&gt;"EX",0,--(COUNTIFS(nNIA,DATOS!$A2599,nCURSO,DATOS!$D2599,nESPEC,DATOS!$E2599,nASIG,DATOS!$I2599,nEVAL,"OR")=0))</f>
      </c>
      <c r="I2599">
        <f>IF(DATOS!$I2599="","",IFERROR(VLOOKUP(DATOS!$I2599,CONFIG_ASIGNATURAS!$B$2:$J$91,9,FALSE()),""))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IF(DATOS!$A2600="",0,IF(CONFIG_METADATA!$B$4&lt;&gt;"OR+EX",--(DATOS!$G2600=CONFIG_METADATA!$B$4),IF(DATOS!$G2600="EX",1,IF(DATOS!$G2600="OR",--(COUNTIFS(nNIA,DATOS!$A2600,nCURSO,DATOS!$D2600,nESPEC,DATOS!$E2600,nASIG,DATOS!$I2600,nEVAL,"EX")=0),0))))</f>
      </c>
      <c r="H2600">
        <f>IF(DATOS!$G2600&lt;&gt;"EX",0,--(COUNTIFS(nNIA,DATOS!$A2600,nCURSO,DATOS!$D2600,nESPEC,DATOS!$E2600,nASIG,DATOS!$I2600,nEVAL,"OR")=0))</f>
      </c>
      <c r="I2600">
        <f>IF(DATOS!$I2600="","",IFERROR(VLOOKUP(DATOS!$I2600,CONFIG_ASIGNATURAS!$B$2:$J$91,9,FALSE()),""))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IF(DATOS!$A2601="",0,IF(CONFIG_METADATA!$B$4&lt;&gt;"OR+EX",--(DATOS!$G2601=CONFIG_METADATA!$B$4),IF(DATOS!$G2601="EX",1,IF(DATOS!$G2601="OR",--(COUNTIFS(nNIA,DATOS!$A2601,nCURSO,DATOS!$D2601,nESPEC,DATOS!$E2601,nASIG,DATOS!$I2601,nEVAL,"EX")=0),0))))</f>
      </c>
      <c r="H2601">
        <f>IF(DATOS!$G2601&lt;&gt;"EX",0,--(COUNTIFS(nNIA,DATOS!$A2601,nCURSO,DATOS!$D2601,nESPEC,DATOS!$E2601,nASIG,DATOS!$I2601,nEVAL,"OR")=0))</f>
      </c>
      <c r="I2601">
        <f>IF(DATOS!$I2601="","",IFERROR(VLOOKUP(DATOS!$I2601,CONFIG_ASIGNATURAS!$B$2:$J$91,9,FALSE()),""))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IF(DATOS!$A2602="",0,IF(CONFIG_METADATA!$B$4&lt;&gt;"OR+EX",--(DATOS!$G2602=CONFIG_METADATA!$B$4),IF(DATOS!$G2602="EX",1,IF(DATOS!$G2602="OR",--(COUNTIFS(nNIA,DATOS!$A2602,nCURSO,DATOS!$D2602,nESPEC,DATOS!$E2602,nASIG,DATOS!$I2602,nEVAL,"EX")=0),0))))</f>
      </c>
      <c r="H2602">
        <f>IF(DATOS!$G2602&lt;&gt;"EX",0,--(COUNTIFS(nNIA,DATOS!$A2602,nCURSO,DATOS!$D2602,nESPEC,DATOS!$E2602,nASIG,DATOS!$I2602,nEVAL,"OR")=0))</f>
      </c>
      <c r="I2602">
        <f>IF(DATOS!$I2602="","",IFERROR(VLOOKUP(DATOS!$I2602,CONFIG_ASIGNATURAS!$B$2:$J$91,9,FALSE()),""))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IF(DATOS!$A2603="",0,IF(CONFIG_METADATA!$B$4&lt;&gt;"OR+EX",--(DATOS!$G2603=CONFIG_METADATA!$B$4),IF(DATOS!$G2603="EX",1,IF(DATOS!$G2603="OR",--(COUNTIFS(nNIA,DATOS!$A2603,nCURSO,DATOS!$D2603,nESPEC,DATOS!$E2603,nASIG,DATOS!$I2603,nEVAL,"EX")=0),0))))</f>
      </c>
      <c r="H2603">
        <f>IF(DATOS!$G2603&lt;&gt;"EX",0,--(COUNTIFS(nNIA,DATOS!$A2603,nCURSO,DATOS!$D2603,nESPEC,DATOS!$E2603,nASIG,DATOS!$I2603,nEVAL,"OR")=0))</f>
      </c>
      <c r="I2603">
        <f>IF(DATOS!$I2603="","",IFERROR(VLOOKUP(DATOS!$I2603,CONFIG_ASIGNATURAS!$B$2:$J$91,9,FALSE()),""))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IF(DATOS!$A2604="",0,IF(CONFIG_METADATA!$B$4&lt;&gt;"OR+EX",--(DATOS!$G2604=CONFIG_METADATA!$B$4),IF(DATOS!$G2604="EX",1,IF(DATOS!$G2604="OR",--(COUNTIFS(nNIA,DATOS!$A2604,nCURSO,DATOS!$D2604,nESPEC,DATOS!$E2604,nASIG,DATOS!$I2604,nEVAL,"EX")=0),0))))</f>
      </c>
      <c r="H2604">
        <f>IF(DATOS!$G2604&lt;&gt;"EX",0,--(COUNTIFS(nNIA,DATOS!$A2604,nCURSO,DATOS!$D2604,nESPEC,DATOS!$E2604,nASIG,DATOS!$I2604,nEVAL,"OR")=0))</f>
      </c>
      <c r="I2604">
        <f>IF(DATOS!$I2604="","",IFERROR(VLOOKUP(DATOS!$I2604,CONFIG_ASIGNATURAS!$B$2:$J$91,9,FALSE()),""))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IF(DATOS!$A2605="",0,IF(CONFIG_METADATA!$B$4&lt;&gt;"OR+EX",--(DATOS!$G2605=CONFIG_METADATA!$B$4),IF(DATOS!$G2605="EX",1,IF(DATOS!$G2605="OR",--(COUNTIFS(nNIA,DATOS!$A2605,nCURSO,DATOS!$D2605,nESPEC,DATOS!$E2605,nASIG,DATOS!$I2605,nEVAL,"EX")=0),0))))</f>
      </c>
      <c r="H2605">
        <f>IF(DATOS!$G2605&lt;&gt;"EX",0,--(COUNTIFS(nNIA,DATOS!$A2605,nCURSO,DATOS!$D2605,nESPEC,DATOS!$E2605,nASIG,DATOS!$I2605,nEVAL,"OR")=0))</f>
      </c>
      <c r="I2605">
        <f>IF(DATOS!$I2605="","",IFERROR(VLOOKUP(DATOS!$I2605,CONFIG_ASIGNATURAS!$B$2:$J$91,9,FALSE()),""))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IF(DATOS!$A2606="",0,IF(CONFIG_METADATA!$B$4&lt;&gt;"OR+EX",--(DATOS!$G2606=CONFIG_METADATA!$B$4),IF(DATOS!$G2606="EX",1,IF(DATOS!$G2606="OR",--(COUNTIFS(nNIA,DATOS!$A2606,nCURSO,DATOS!$D2606,nESPEC,DATOS!$E2606,nASIG,DATOS!$I2606,nEVAL,"EX")=0),0))))</f>
      </c>
      <c r="H2606">
        <f>IF(DATOS!$G2606&lt;&gt;"EX",0,--(COUNTIFS(nNIA,DATOS!$A2606,nCURSO,DATOS!$D2606,nESPEC,DATOS!$E2606,nASIG,DATOS!$I2606,nEVAL,"OR")=0))</f>
      </c>
      <c r="I2606">
        <f>IF(DATOS!$I2606="","",IFERROR(VLOOKUP(DATOS!$I2606,CONFIG_ASIGNATURAS!$B$2:$J$91,9,FALSE()),""))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IF(DATOS!$A2607="",0,IF(CONFIG_METADATA!$B$4&lt;&gt;"OR+EX",--(DATOS!$G2607=CONFIG_METADATA!$B$4),IF(DATOS!$G2607="EX",1,IF(DATOS!$G2607="OR",--(COUNTIFS(nNIA,DATOS!$A2607,nCURSO,DATOS!$D2607,nESPEC,DATOS!$E2607,nASIG,DATOS!$I2607,nEVAL,"EX")=0),0))))</f>
      </c>
      <c r="H2607">
        <f>IF(DATOS!$G2607&lt;&gt;"EX",0,--(COUNTIFS(nNIA,DATOS!$A2607,nCURSO,DATOS!$D2607,nESPEC,DATOS!$E2607,nASIG,DATOS!$I2607,nEVAL,"OR")=0))</f>
      </c>
      <c r="I2607">
        <f>IF(DATOS!$I2607="","",IFERROR(VLOOKUP(DATOS!$I2607,CONFIG_ASIGNATURAS!$B$2:$J$91,9,FALSE()),""))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IF(DATOS!$A2608="",0,IF(CONFIG_METADATA!$B$4&lt;&gt;"OR+EX",--(DATOS!$G2608=CONFIG_METADATA!$B$4),IF(DATOS!$G2608="EX",1,IF(DATOS!$G2608="OR",--(COUNTIFS(nNIA,DATOS!$A2608,nCURSO,DATOS!$D2608,nESPEC,DATOS!$E2608,nASIG,DATOS!$I2608,nEVAL,"EX")=0),0))))</f>
      </c>
      <c r="H2608">
        <f>IF(DATOS!$G2608&lt;&gt;"EX",0,--(COUNTIFS(nNIA,DATOS!$A2608,nCURSO,DATOS!$D2608,nESPEC,DATOS!$E2608,nASIG,DATOS!$I2608,nEVAL,"OR")=0))</f>
      </c>
      <c r="I2608">
        <f>IF(DATOS!$I2608="","",IFERROR(VLOOKUP(DATOS!$I2608,CONFIG_ASIGNATURAS!$B$2:$J$91,9,FALSE()),""))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IF(DATOS!$A2609="",0,IF(CONFIG_METADATA!$B$4&lt;&gt;"OR+EX",--(DATOS!$G2609=CONFIG_METADATA!$B$4),IF(DATOS!$G2609="EX",1,IF(DATOS!$G2609="OR",--(COUNTIFS(nNIA,DATOS!$A2609,nCURSO,DATOS!$D2609,nESPEC,DATOS!$E2609,nASIG,DATOS!$I2609,nEVAL,"EX")=0),0))))</f>
      </c>
      <c r="H2609">
        <f>IF(DATOS!$G2609&lt;&gt;"EX",0,--(COUNTIFS(nNIA,DATOS!$A2609,nCURSO,DATOS!$D2609,nESPEC,DATOS!$E2609,nASIG,DATOS!$I2609,nEVAL,"OR")=0))</f>
      </c>
      <c r="I2609">
        <f>IF(DATOS!$I2609="","",IFERROR(VLOOKUP(DATOS!$I2609,CONFIG_ASIGNATURAS!$B$2:$J$91,9,FALSE()),""))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IF(DATOS!$A2610="",0,IF(CONFIG_METADATA!$B$4&lt;&gt;"OR+EX",--(DATOS!$G2610=CONFIG_METADATA!$B$4),IF(DATOS!$G2610="EX",1,IF(DATOS!$G2610="OR",--(COUNTIFS(nNIA,DATOS!$A2610,nCURSO,DATOS!$D2610,nESPEC,DATOS!$E2610,nASIG,DATOS!$I2610,nEVAL,"EX")=0),0))))</f>
      </c>
      <c r="H2610">
        <f>IF(DATOS!$G2610&lt;&gt;"EX",0,--(COUNTIFS(nNIA,DATOS!$A2610,nCURSO,DATOS!$D2610,nESPEC,DATOS!$E2610,nASIG,DATOS!$I2610,nEVAL,"OR")=0))</f>
      </c>
      <c r="I2610">
        <f>IF(DATOS!$I2610="","",IFERROR(VLOOKUP(DATOS!$I2610,CONFIG_ASIGNATURAS!$B$2:$J$91,9,FALSE()),""))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IF(DATOS!$A2611="",0,IF(CONFIG_METADATA!$B$4&lt;&gt;"OR+EX",--(DATOS!$G2611=CONFIG_METADATA!$B$4),IF(DATOS!$G2611="EX",1,IF(DATOS!$G2611="OR",--(COUNTIFS(nNIA,DATOS!$A2611,nCURSO,DATOS!$D2611,nESPEC,DATOS!$E2611,nASIG,DATOS!$I2611,nEVAL,"EX")=0),0))))</f>
      </c>
      <c r="H2611">
        <f>IF(DATOS!$G2611&lt;&gt;"EX",0,--(COUNTIFS(nNIA,DATOS!$A2611,nCURSO,DATOS!$D2611,nESPEC,DATOS!$E2611,nASIG,DATOS!$I2611,nEVAL,"OR")=0))</f>
      </c>
      <c r="I2611">
        <f>IF(DATOS!$I2611="","",IFERROR(VLOOKUP(DATOS!$I2611,CONFIG_ASIGNATURAS!$B$2:$J$91,9,FALSE()),""))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IF(DATOS!$A2612="",0,IF(CONFIG_METADATA!$B$4&lt;&gt;"OR+EX",--(DATOS!$G2612=CONFIG_METADATA!$B$4),IF(DATOS!$G2612="EX",1,IF(DATOS!$G2612="OR",--(COUNTIFS(nNIA,DATOS!$A2612,nCURSO,DATOS!$D2612,nESPEC,DATOS!$E2612,nASIG,DATOS!$I2612,nEVAL,"EX")=0),0))))</f>
      </c>
      <c r="H2612">
        <f>IF(DATOS!$G2612&lt;&gt;"EX",0,--(COUNTIFS(nNIA,DATOS!$A2612,nCURSO,DATOS!$D2612,nESPEC,DATOS!$E2612,nASIG,DATOS!$I2612,nEVAL,"OR")=0))</f>
      </c>
      <c r="I2612">
        <f>IF(DATOS!$I2612="","",IFERROR(VLOOKUP(DATOS!$I2612,CONFIG_ASIGNATURAS!$B$2:$J$91,9,FALSE()),""))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IF(DATOS!$A2613="",0,IF(CONFIG_METADATA!$B$4&lt;&gt;"OR+EX",--(DATOS!$G2613=CONFIG_METADATA!$B$4),IF(DATOS!$G2613="EX",1,IF(DATOS!$G2613="OR",--(COUNTIFS(nNIA,DATOS!$A2613,nCURSO,DATOS!$D2613,nESPEC,DATOS!$E2613,nASIG,DATOS!$I2613,nEVAL,"EX")=0),0))))</f>
      </c>
      <c r="H2613">
        <f>IF(DATOS!$G2613&lt;&gt;"EX",0,--(COUNTIFS(nNIA,DATOS!$A2613,nCURSO,DATOS!$D2613,nESPEC,DATOS!$E2613,nASIG,DATOS!$I2613,nEVAL,"OR")=0))</f>
      </c>
      <c r="I2613">
        <f>IF(DATOS!$I2613="","",IFERROR(VLOOKUP(DATOS!$I2613,CONFIG_ASIGNATURAS!$B$2:$J$91,9,FALSE()),""))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IF(DATOS!$A2614="",0,IF(CONFIG_METADATA!$B$4&lt;&gt;"OR+EX",--(DATOS!$G2614=CONFIG_METADATA!$B$4),IF(DATOS!$G2614="EX",1,IF(DATOS!$G2614="OR",--(COUNTIFS(nNIA,DATOS!$A2614,nCURSO,DATOS!$D2614,nESPEC,DATOS!$E2614,nASIG,DATOS!$I2614,nEVAL,"EX")=0),0))))</f>
      </c>
      <c r="H2614">
        <f>IF(DATOS!$G2614&lt;&gt;"EX",0,--(COUNTIFS(nNIA,DATOS!$A2614,nCURSO,DATOS!$D2614,nESPEC,DATOS!$E2614,nASIG,DATOS!$I2614,nEVAL,"OR")=0))</f>
      </c>
      <c r="I2614">
        <f>IF(DATOS!$I2614="","",IFERROR(VLOOKUP(DATOS!$I2614,CONFIG_ASIGNATURAS!$B$2:$J$91,9,FALSE()),""))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IF(DATOS!$A2615="",0,IF(CONFIG_METADATA!$B$4&lt;&gt;"OR+EX",--(DATOS!$G2615=CONFIG_METADATA!$B$4),IF(DATOS!$G2615="EX",1,IF(DATOS!$G2615="OR",--(COUNTIFS(nNIA,DATOS!$A2615,nCURSO,DATOS!$D2615,nESPEC,DATOS!$E2615,nASIG,DATOS!$I2615,nEVAL,"EX")=0),0))))</f>
      </c>
      <c r="H2615">
        <f>IF(DATOS!$G2615&lt;&gt;"EX",0,--(COUNTIFS(nNIA,DATOS!$A2615,nCURSO,DATOS!$D2615,nESPEC,DATOS!$E2615,nASIG,DATOS!$I2615,nEVAL,"OR")=0))</f>
      </c>
      <c r="I2615">
        <f>IF(DATOS!$I2615="","",IFERROR(VLOOKUP(DATOS!$I2615,CONFIG_ASIGNATURAS!$B$2:$J$91,9,FALSE()),""))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IF(DATOS!$A2616="",0,IF(CONFIG_METADATA!$B$4&lt;&gt;"OR+EX",--(DATOS!$G2616=CONFIG_METADATA!$B$4),IF(DATOS!$G2616="EX",1,IF(DATOS!$G2616="OR",--(COUNTIFS(nNIA,DATOS!$A2616,nCURSO,DATOS!$D2616,nESPEC,DATOS!$E2616,nASIG,DATOS!$I2616,nEVAL,"EX")=0),0))))</f>
      </c>
      <c r="H2616">
        <f>IF(DATOS!$G2616&lt;&gt;"EX",0,--(COUNTIFS(nNIA,DATOS!$A2616,nCURSO,DATOS!$D2616,nESPEC,DATOS!$E2616,nASIG,DATOS!$I2616,nEVAL,"OR")=0))</f>
      </c>
      <c r="I2616">
        <f>IF(DATOS!$I2616="","",IFERROR(VLOOKUP(DATOS!$I2616,CONFIG_ASIGNATURAS!$B$2:$J$91,9,FALSE()),""))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IF(DATOS!$A2617="",0,IF(CONFIG_METADATA!$B$4&lt;&gt;"OR+EX",--(DATOS!$G2617=CONFIG_METADATA!$B$4),IF(DATOS!$G2617="EX",1,IF(DATOS!$G2617="OR",--(COUNTIFS(nNIA,DATOS!$A2617,nCURSO,DATOS!$D2617,nESPEC,DATOS!$E2617,nASIG,DATOS!$I2617,nEVAL,"EX")=0),0))))</f>
      </c>
      <c r="H2617">
        <f>IF(DATOS!$G2617&lt;&gt;"EX",0,--(COUNTIFS(nNIA,DATOS!$A2617,nCURSO,DATOS!$D2617,nESPEC,DATOS!$E2617,nASIG,DATOS!$I2617,nEVAL,"OR")=0))</f>
      </c>
      <c r="I2617">
        <f>IF(DATOS!$I2617="","",IFERROR(VLOOKUP(DATOS!$I2617,CONFIG_ASIGNATURAS!$B$2:$J$91,9,FALSE()),""))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IF(DATOS!$A2618="",0,IF(CONFIG_METADATA!$B$4&lt;&gt;"OR+EX",--(DATOS!$G2618=CONFIG_METADATA!$B$4),IF(DATOS!$G2618="EX",1,IF(DATOS!$G2618="OR",--(COUNTIFS(nNIA,DATOS!$A2618,nCURSO,DATOS!$D2618,nESPEC,DATOS!$E2618,nASIG,DATOS!$I2618,nEVAL,"EX")=0),0))))</f>
      </c>
      <c r="H2618">
        <f>IF(DATOS!$G2618&lt;&gt;"EX",0,--(COUNTIFS(nNIA,DATOS!$A2618,nCURSO,DATOS!$D2618,nESPEC,DATOS!$E2618,nASIG,DATOS!$I2618,nEVAL,"OR")=0))</f>
      </c>
      <c r="I2618">
        <f>IF(DATOS!$I2618="","",IFERROR(VLOOKUP(DATOS!$I2618,CONFIG_ASIGNATURAS!$B$2:$J$91,9,FALSE()),""))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IF(DATOS!$A2619="",0,IF(CONFIG_METADATA!$B$4&lt;&gt;"OR+EX",--(DATOS!$G2619=CONFIG_METADATA!$B$4),IF(DATOS!$G2619="EX",1,IF(DATOS!$G2619="OR",--(COUNTIFS(nNIA,DATOS!$A2619,nCURSO,DATOS!$D2619,nESPEC,DATOS!$E2619,nASIG,DATOS!$I2619,nEVAL,"EX")=0),0))))</f>
      </c>
      <c r="H2619">
        <f>IF(DATOS!$G2619&lt;&gt;"EX",0,--(COUNTIFS(nNIA,DATOS!$A2619,nCURSO,DATOS!$D2619,nESPEC,DATOS!$E2619,nASIG,DATOS!$I2619,nEVAL,"OR")=0))</f>
      </c>
      <c r="I2619">
        <f>IF(DATOS!$I2619="","",IFERROR(VLOOKUP(DATOS!$I2619,CONFIG_ASIGNATURAS!$B$2:$J$91,9,FALSE()),""))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IF(DATOS!$A2620="",0,IF(CONFIG_METADATA!$B$4&lt;&gt;"OR+EX",--(DATOS!$G2620=CONFIG_METADATA!$B$4),IF(DATOS!$G2620="EX",1,IF(DATOS!$G2620="OR",--(COUNTIFS(nNIA,DATOS!$A2620,nCURSO,DATOS!$D2620,nESPEC,DATOS!$E2620,nASIG,DATOS!$I2620,nEVAL,"EX")=0),0))))</f>
      </c>
      <c r="H2620">
        <f>IF(DATOS!$G2620&lt;&gt;"EX",0,--(COUNTIFS(nNIA,DATOS!$A2620,nCURSO,DATOS!$D2620,nESPEC,DATOS!$E2620,nASIG,DATOS!$I2620,nEVAL,"OR")=0))</f>
      </c>
      <c r="I2620">
        <f>IF(DATOS!$I2620="","",IFERROR(VLOOKUP(DATOS!$I2620,CONFIG_ASIGNATURAS!$B$2:$J$91,9,FALSE()),""))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IF(DATOS!$A2621="",0,IF(CONFIG_METADATA!$B$4&lt;&gt;"OR+EX",--(DATOS!$G2621=CONFIG_METADATA!$B$4),IF(DATOS!$G2621="EX",1,IF(DATOS!$G2621="OR",--(COUNTIFS(nNIA,DATOS!$A2621,nCURSO,DATOS!$D2621,nESPEC,DATOS!$E2621,nASIG,DATOS!$I2621,nEVAL,"EX")=0),0))))</f>
      </c>
      <c r="H2621">
        <f>IF(DATOS!$G2621&lt;&gt;"EX",0,--(COUNTIFS(nNIA,DATOS!$A2621,nCURSO,DATOS!$D2621,nESPEC,DATOS!$E2621,nASIG,DATOS!$I2621,nEVAL,"OR")=0))</f>
      </c>
      <c r="I2621">
        <f>IF(DATOS!$I2621="","",IFERROR(VLOOKUP(DATOS!$I2621,CONFIG_ASIGNATURAS!$B$2:$J$91,9,FALSE()),""))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IF(DATOS!$A2622="",0,IF(CONFIG_METADATA!$B$4&lt;&gt;"OR+EX",--(DATOS!$G2622=CONFIG_METADATA!$B$4),IF(DATOS!$G2622="EX",1,IF(DATOS!$G2622="OR",--(COUNTIFS(nNIA,DATOS!$A2622,nCURSO,DATOS!$D2622,nESPEC,DATOS!$E2622,nASIG,DATOS!$I2622,nEVAL,"EX")=0),0))))</f>
      </c>
      <c r="H2622">
        <f>IF(DATOS!$G2622&lt;&gt;"EX",0,--(COUNTIFS(nNIA,DATOS!$A2622,nCURSO,DATOS!$D2622,nESPEC,DATOS!$E2622,nASIG,DATOS!$I2622,nEVAL,"OR")=0))</f>
      </c>
      <c r="I2622">
        <f>IF(DATOS!$I2622="","",IFERROR(VLOOKUP(DATOS!$I2622,CONFIG_ASIGNATURAS!$B$2:$J$91,9,FALSE()),""))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IF(DATOS!$A2623="",0,IF(CONFIG_METADATA!$B$4&lt;&gt;"OR+EX",--(DATOS!$G2623=CONFIG_METADATA!$B$4),IF(DATOS!$G2623="EX",1,IF(DATOS!$G2623="OR",--(COUNTIFS(nNIA,DATOS!$A2623,nCURSO,DATOS!$D2623,nESPEC,DATOS!$E2623,nASIG,DATOS!$I2623,nEVAL,"EX")=0),0))))</f>
      </c>
      <c r="H2623">
        <f>IF(DATOS!$G2623&lt;&gt;"EX",0,--(COUNTIFS(nNIA,DATOS!$A2623,nCURSO,DATOS!$D2623,nESPEC,DATOS!$E2623,nASIG,DATOS!$I2623,nEVAL,"OR")=0))</f>
      </c>
      <c r="I2623">
        <f>IF(DATOS!$I2623="","",IFERROR(VLOOKUP(DATOS!$I2623,CONFIG_ASIGNATURAS!$B$2:$J$91,9,FALSE()),""))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IF(DATOS!$A2624="",0,IF(CONFIG_METADATA!$B$4&lt;&gt;"OR+EX",--(DATOS!$G2624=CONFIG_METADATA!$B$4),IF(DATOS!$G2624="EX",1,IF(DATOS!$G2624="OR",--(COUNTIFS(nNIA,DATOS!$A2624,nCURSO,DATOS!$D2624,nESPEC,DATOS!$E2624,nASIG,DATOS!$I2624,nEVAL,"EX")=0),0))))</f>
      </c>
      <c r="H2624">
        <f>IF(DATOS!$G2624&lt;&gt;"EX",0,--(COUNTIFS(nNIA,DATOS!$A2624,nCURSO,DATOS!$D2624,nESPEC,DATOS!$E2624,nASIG,DATOS!$I2624,nEVAL,"OR")=0))</f>
      </c>
      <c r="I2624">
        <f>IF(DATOS!$I2624="","",IFERROR(VLOOKUP(DATOS!$I2624,CONFIG_ASIGNATURAS!$B$2:$J$91,9,FALSE()),""))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IF(DATOS!$A2625="",0,IF(CONFIG_METADATA!$B$4&lt;&gt;"OR+EX",--(DATOS!$G2625=CONFIG_METADATA!$B$4),IF(DATOS!$G2625="EX",1,IF(DATOS!$G2625="OR",--(COUNTIFS(nNIA,DATOS!$A2625,nCURSO,DATOS!$D2625,nESPEC,DATOS!$E2625,nASIG,DATOS!$I2625,nEVAL,"EX")=0),0))))</f>
      </c>
      <c r="H2625">
        <f>IF(DATOS!$G2625&lt;&gt;"EX",0,--(COUNTIFS(nNIA,DATOS!$A2625,nCURSO,DATOS!$D2625,nESPEC,DATOS!$E2625,nASIG,DATOS!$I2625,nEVAL,"OR")=0))</f>
      </c>
      <c r="I2625">
        <f>IF(DATOS!$I2625="","",IFERROR(VLOOKUP(DATOS!$I2625,CONFIG_ASIGNATURAS!$B$2:$J$91,9,FALSE()),""))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IF(DATOS!$A2626="",0,IF(CONFIG_METADATA!$B$4&lt;&gt;"OR+EX",--(DATOS!$G2626=CONFIG_METADATA!$B$4),IF(DATOS!$G2626="EX",1,IF(DATOS!$G2626="OR",--(COUNTIFS(nNIA,DATOS!$A2626,nCURSO,DATOS!$D2626,nESPEC,DATOS!$E2626,nASIG,DATOS!$I2626,nEVAL,"EX")=0),0))))</f>
      </c>
      <c r="H2626">
        <f>IF(DATOS!$G2626&lt;&gt;"EX",0,--(COUNTIFS(nNIA,DATOS!$A2626,nCURSO,DATOS!$D2626,nESPEC,DATOS!$E2626,nASIG,DATOS!$I2626,nEVAL,"OR")=0))</f>
      </c>
      <c r="I2626">
        <f>IF(DATOS!$I2626="","",IFERROR(VLOOKUP(DATOS!$I2626,CONFIG_ASIGNATURAS!$B$2:$J$91,9,FALSE()),""))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IF(DATOS!$A2627="",0,IF(CONFIG_METADATA!$B$4&lt;&gt;"OR+EX",--(DATOS!$G2627=CONFIG_METADATA!$B$4),IF(DATOS!$G2627="EX",1,IF(DATOS!$G2627="OR",--(COUNTIFS(nNIA,DATOS!$A2627,nCURSO,DATOS!$D2627,nESPEC,DATOS!$E2627,nASIG,DATOS!$I2627,nEVAL,"EX")=0),0))))</f>
      </c>
      <c r="H2627">
        <f>IF(DATOS!$G2627&lt;&gt;"EX",0,--(COUNTIFS(nNIA,DATOS!$A2627,nCURSO,DATOS!$D2627,nESPEC,DATOS!$E2627,nASIG,DATOS!$I2627,nEVAL,"OR")=0))</f>
      </c>
      <c r="I2627">
        <f>IF(DATOS!$I2627="","",IFERROR(VLOOKUP(DATOS!$I2627,CONFIG_ASIGNATURAS!$B$2:$J$91,9,FALSE()),""))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IF(DATOS!$A2628="",0,IF(CONFIG_METADATA!$B$4&lt;&gt;"OR+EX",--(DATOS!$G2628=CONFIG_METADATA!$B$4),IF(DATOS!$G2628="EX",1,IF(DATOS!$G2628="OR",--(COUNTIFS(nNIA,DATOS!$A2628,nCURSO,DATOS!$D2628,nESPEC,DATOS!$E2628,nASIG,DATOS!$I2628,nEVAL,"EX")=0),0))))</f>
      </c>
      <c r="H2628">
        <f>IF(DATOS!$G2628&lt;&gt;"EX",0,--(COUNTIFS(nNIA,DATOS!$A2628,nCURSO,DATOS!$D2628,nESPEC,DATOS!$E2628,nASIG,DATOS!$I2628,nEVAL,"OR")=0))</f>
      </c>
      <c r="I2628">
        <f>IF(DATOS!$I2628="","",IFERROR(VLOOKUP(DATOS!$I2628,CONFIG_ASIGNATURAS!$B$2:$J$91,9,FALSE()),""))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IF(DATOS!$A2629="",0,IF(CONFIG_METADATA!$B$4&lt;&gt;"OR+EX",--(DATOS!$G2629=CONFIG_METADATA!$B$4),IF(DATOS!$G2629="EX",1,IF(DATOS!$G2629="OR",--(COUNTIFS(nNIA,DATOS!$A2629,nCURSO,DATOS!$D2629,nESPEC,DATOS!$E2629,nASIG,DATOS!$I2629,nEVAL,"EX")=0),0))))</f>
      </c>
      <c r="H2629">
        <f>IF(DATOS!$G2629&lt;&gt;"EX",0,--(COUNTIFS(nNIA,DATOS!$A2629,nCURSO,DATOS!$D2629,nESPEC,DATOS!$E2629,nASIG,DATOS!$I2629,nEVAL,"OR")=0))</f>
      </c>
      <c r="I2629">
        <f>IF(DATOS!$I2629="","",IFERROR(VLOOKUP(DATOS!$I2629,CONFIG_ASIGNATURAS!$B$2:$J$91,9,FALSE()),""))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IF(DATOS!$A2630="",0,IF(CONFIG_METADATA!$B$4&lt;&gt;"OR+EX",--(DATOS!$G2630=CONFIG_METADATA!$B$4),IF(DATOS!$G2630="EX",1,IF(DATOS!$G2630="OR",--(COUNTIFS(nNIA,DATOS!$A2630,nCURSO,DATOS!$D2630,nESPEC,DATOS!$E2630,nASIG,DATOS!$I2630,nEVAL,"EX")=0),0))))</f>
      </c>
      <c r="H2630">
        <f>IF(DATOS!$G2630&lt;&gt;"EX",0,--(COUNTIFS(nNIA,DATOS!$A2630,nCURSO,DATOS!$D2630,nESPEC,DATOS!$E2630,nASIG,DATOS!$I2630,nEVAL,"OR")=0))</f>
      </c>
      <c r="I2630">
        <f>IF(DATOS!$I2630="","",IFERROR(VLOOKUP(DATOS!$I2630,CONFIG_ASIGNATURAS!$B$2:$J$91,9,FALSE()),""))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IF(DATOS!$A2631="",0,IF(CONFIG_METADATA!$B$4&lt;&gt;"OR+EX",--(DATOS!$G2631=CONFIG_METADATA!$B$4),IF(DATOS!$G2631="EX",1,IF(DATOS!$G2631="OR",--(COUNTIFS(nNIA,DATOS!$A2631,nCURSO,DATOS!$D2631,nESPEC,DATOS!$E2631,nASIG,DATOS!$I2631,nEVAL,"EX")=0),0))))</f>
      </c>
      <c r="H2631">
        <f>IF(DATOS!$G2631&lt;&gt;"EX",0,--(COUNTIFS(nNIA,DATOS!$A2631,nCURSO,DATOS!$D2631,nESPEC,DATOS!$E2631,nASIG,DATOS!$I2631,nEVAL,"OR")=0))</f>
      </c>
      <c r="I2631">
        <f>IF(DATOS!$I2631="","",IFERROR(VLOOKUP(DATOS!$I2631,CONFIG_ASIGNATURAS!$B$2:$J$91,9,FALSE()),""))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IF(DATOS!$A2632="",0,IF(CONFIG_METADATA!$B$4&lt;&gt;"OR+EX",--(DATOS!$G2632=CONFIG_METADATA!$B$4),IF(DATOS!$G2632="EX",1,IF(DATOS!$G2632="OR",--(COUNTIFS(nNIA,DATOS!$A2632,nCURSO,DATOS!$D2632,nESPEC,DATOS!$E2632,nASIG,DATOS!$I2632,nEVAL,"EX")=0),0))))</f>
      </c>
      <c r="H2632">
        <f>IF(DATOS!$G2632&lt;&gt;"EX",0,--(COUNTIFS(nNIA,DATOS!$A2632,nCURSO,DATOS!$D2632,nESPEC,DATOS!$E2632,nASIG,DATOS!$I2632,nEVAL,"OR")=0))</f>
      </c>
      <c r="I2632">
        <f>IF(DATOS!$I2632="","",IFERROR(VLOOKUP(DATOS!$I2632,CONFIG_ASIGNATURAS!$B$2:$J$91,9,FALSE()),""))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IF(DATOS!$A2633="",0,IF(CONFIG_METADATA!$B$4&lt;&gt;"OR+EX",--(DATOS!$G2633=CONFIG_METADATA!$B$4),IF(DATOS!$G2633="EX",1,IF(DATOS!$G2633="OR",--(COUNTIFS(nNIA,DATOS!$A2633,nCURSO,DATOS!$D2633,nESPEC,DATOS!$E2633,nASIG,DATOS!$I2633,nEVAL,"EX")=0),0))))</f>
      </c>
      <c r="H2633">
        <f>IF(DATOS!$G2633&lt;&gt;"EX",0,--(COUNTIFS(nNIA,DATOS!$A2633,nCURSO,DATOS!$D2633,nESPEC,DATOS!$E2633,nASIG,DATOS!$I2633,nEVAL,"OR")=0))</f>
      </c>
      <c r="I2633">
        <f>IF(DATOS!$I2633="","",IFERROR(VLOOKUP(DATOS!$I2633,CONFIG_ASIGNATURAS!$B$2:$J$91,9,FALSE()),""))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IF(DATOS!$A2634="",0,IF(CONFIG_METADATA!$B$4&lt;&gt;"OR+EX",--(DATOS!$G2634=CONFIG_METADATA!$B$4),IF(DATOS!$G2634="EX",1,IF(DATOS!$G2634="OR",--(COUNTIFS(nNIA,DATOS!$A2634,nCURSO,DATOS!$D2634,nESPEC,DATOS!$E2634,nASIG,DATOS!$I2634,nEVAL,"EX")=0),0))))</f>
      </c>
      <c r="H2634">
        <f>IF(DATOS!$G2634&lt;&gt;"EX",0,--(COUNTIFS(nNIA,DATOS!$A2634,nCURSO,DATOS!$D2634,nESPEC,DATOS!$E2634,nASIG,DATOS!$I2634,nEVAL,"OR")=0))</f>
      </c>
      <c r="I2634">
        <f>IF(DATOS!$I2634="","",IFERROR(VLOOKUP(DATOS!$I2634,CONFIG_ASIGNATURAS!$B$2:$J$91,9,FALSE()),""))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IF(DATOS!$A2635="",0,IF(CONFIG_METADATA!$B$4&lt;&gt;"OR+EX",--(DATOS!$G2635=CONFIG_METADATA!$B$4),IF(DATOS!$G2635="EX",1,IF(DATOS!$G2635="OR",--(COUNTIFS(nNIA,DATOS!$A2635,nCURSO,DATOS!$D2635,nESPEC,DATOS!$E2635,nASIG,DATOS!$I2635,nEVAL,"EX")=0),0))))</f>
      </c>
      <c r="H2635">
        <f>IF(DATOS!$G2635&lt;&gt;"EX",0,--(COUNTIFS(nNIA,DATOS!$A2635,nCURSO,DATOS!$D2635,nESPEC,DATOS!$E2635,nASIG,DATOS!$I2635,nEVAL,"OR")=0))</f>
      </c>
      <c r="I2635">
        <f>IF(DATOS!$I2635="","",IFERROR(VLOOKUP(DATOS!$I2635,CONFIG_ASIGNATURAS!$B$2:$J$91,9,FALSE()),""))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IF(DATOS!$A2636="",0,IF(CONFIG_METADATA!$B$4&lt;&gt;"OR+EX",--(DATOS!$G2636=CONFIG_METADATA!$B$4),IF(DATOS!$G2636="EX",1,IF(DATOS!$G2636="OR",--(COUNTIFS(nNIA,DATOS!$A2636,nCURSO,DATOS!$D2636,nESPEC,DATOS!$E2636,nASIG,DATOS!$I2636,nEVAL,"EX")=0),0))))</f>
      </c>
      <c r="H2636">
        <f>IF(DATOS!$G2636&lt;&gt;"EX",0,--(COUNTIFS(nNIA,DATOS!$A2636,nCURSO,DATOS!$D2636,nESPEC,DATOS!$E2636,nASIG,DATOS!$I2636,nEVAL,"OR")=0))</f>
      </c>
      <c r="I2636">
        <f>IF(DATOS!$I2636="","",IFERROR(VLOOKUP(DATOS!$I2636,CONFIG_ASIGNATURAS!$B$2:$J$91,9,FALSE()),""))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IF(DATOS!$A2637="",0,IF(CONFIG_METADATA!$B$4&lt;&gt;"OR+EX",--(DATOS!$G2637=CONFIG_METADATA!$B$4),IF(DATOS!$G2637="EX",1,IF(DATOS!$G2637="OR",--(COUNTIFS(nNIA,DATOS!$A2637,nCURSO,DATOS!$D2637,nESPEC,DATOS!$E2637,nASIG,DATOS!$I2637,nEVAL,"EX")=0),0))))</f>
      </c>
      <c r="H2637">
        <f>IF(DATOS!$G2637&lt;&gt;"EX",0,--(COUNTIFS(nNIA,DATOS!$A2637,nCURSO,DATOS!$D2637,nESPEC,DATOS!$E2637,nASIG,DATOS!$I2637,nEVAL,"OR")=0))</f>
      </c>
      <c r="I2637">
        <f>IF(DATOS!$I2637="","",IFERROR(VLOOKUP(DATOS!$I2637,CONFIG_ASIGNATURAS!$B$2:$J$91,9,FALSE()),""))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IF(DATOS!$A2638="",0,IF(CONFIG_METADATA!$B$4&lt;&gt;"OR+EX",--(DATOS!$G2638=CONFIG_METADATA!$B$4),IF(DATOS!$G2638="EX",1,IF(DATOS!$G2638="OR",--(COUNTIFS(nNIA,DATOS!$A2638,nCURSO,DATOS!$D2638,nESPEC,DATOS!$E2638,nASIG,DATOS!$I2638,nEVAL,"EX")=0),0))))</f>
      </c>
      <c r="H2638">
        <f>IF(DATOS!$G2638&lt;&gt;"EX",0,--(COUNTIFS(nNIA,DATOS!$A2638,nCURSO,DATOS!$D2638,nESPEC,DATOS!$E2638,nASIG,DATOS!$I2638,nEVAL,"OR")=0))</f>
      </c>
      <c r="I2638">
        <f>IF(DATOS!$I2638="","",IFERROR(VLOOKUP(DATOS!$I2638,CONFIG_ASIGNATURAS!$B$2:$J$91,9,FALSE()),""))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IF(DATOS!$A2639="",0,IF(CONFIG_METADATA!$B$4&lt;&gt;"OR+EX",--(DATOS!$G2639=CONFIG_METADATA!$B$4),IF(DATOS!$G2639="EX",1,IF(DATOS!$G2639="OR",--(COUNTIFS(nNIA,DATOS!$A2639,nCURSO,DATOS!$D2639,nESPEC,DATOS!$E2639,nASIG,DATOS!$I2639,nEVAL,"EX")=0),0))))</f>
      </c>
      <c r="H2639">
        <f>IF(DATOS!$G2639&lt;&gt;"EX",0,--(COUNTIFS(nNIA,DATOS!$A2639,nCURSO,DATOS!$D2639,nESPEC,DATOS!$E2639,nASIG,DATOS!$I2639,nEVAL,"OR")=0))</f>
      </c>
      <c r="I2639">
        <f>IF(DATOS!$I2639="","",IFERROR(VLOOKUP(DATOS!$I2639,CONFIG_ASIGNATURAS!$B$2:$J$91,9,FALSE()),""))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IF(DATOS!$A2640="",0,IF(CONFIG_METADATA!$B$4&lt;&gt;"OR+EX",--(DATOS!$G2640=CONFIG_METADATA!$B$4),IF(DATOS!$G2640="EX",1,IF(DATOS!$G2640="OR",--(COUNTIFS(nNIA,DATOS!$A2640,nCURSO,DATOS!$D2640,nESPEC,DATOS!$E2640,nASIG,DATOS!$I2640,nEVAL,"EX")=0),0))))</f>
      </c>
      <c r="H2640">
        <f>IF(DATOS!$G2640&lt;&gt;"EX",0,--(COUNTIFS(nNIA,DATOS!$A2640,nCURSO,DATOS!$D2640,nESPEC,DATOS!$E2640,nASIG,DATOS!$I2640,nEVAL,"OR")=0))</f>
      </c>
      <c r="I2640">
        <f>IF(DATOS!$I2640="","",IFERROR(VLOOKUP(DATOS!$I2640,CONFIG_ASIGNATURAS!$B$2:$J$91,9,FALSE()),""))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IF(DATOS!$A2641="",0,IF(CONFIG_METADATA!$B$4&lt;&gt;"OR+EX",--(DATOS!$G2641=CONFIG_METADATA!$B$4),IF(DATOS!$G2641="EX",1,IF(DATOS!$G2641="OR",--(COUNTIFS(nNIA,DATOS!$A2641,nCURSO,DATOS!$D2641,nESPEC,DATOS!$E2641,nASIG,DATOS!$I2641,nEVAL,"EX")=0),0))))</f>
      </c>
      <c r="H2641">
        <f>IF(DATOS!$G2641&lt;&gt;"EX",0,--(COUNTIFS(nNIA,DATOS!$A2641,nCURSO,DATOS!$D2641,nESPEC,DATOS!$E2641,nASIG,DATOS!$I2641,nEVAL,"OR")=0))</f>
      </c>
      <c r="I2641">
        <f>IF(DATOS!$I2641="","",IFERROR(VLOOKUP(DATOS!$I2641,CONFIG_ASIGNATURAS!$B$2:$J$91,9,FALSE()),""))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IF(DATOS!$A2642="",0,IF(CONFIG_METADATA!$B$4&lt;&gt;"OR+EX",--(DATOS!$G2642=CONFIG_METADATA!$B$4),IF(DATOS!$G2642="EX",1,IF(DATOS!$G2642="OR",--(COUNTIFS(nNIA,DATOS!$A2642,nCURSO,DATOS!$D2642,nESPEC,DATOS!$E2642,nASIG,DATOS!$I2642,nEVAL,"EX")=0),0))))</f>
      </c>
      <c r="H2642">
        <f>IF(DATOS!$G2642&lt;&gt;"EX",0,--(COUNTIFS(nNIA,DATOS!$A2642,nCURSO,DATOS!$D2642,nESPEC,DATOS!$E2642,nASIG,DATOS!$I2642,nEVAL,"OR")=0))</f>
      </c>
      <c r="I2642">
        <f>IF(DATOS!$I2642="","",IFERROR(VLOOKUP(DATOS!$I2642,CONFIG_ASIGNATURAS!$B$2:$J$91,9,FALSE()),""))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IF(DATOS!$A2643="",0,IF(CONFIG_METADATA!$B$4&lt;&gt;"OR+EX",--(DATOS!$G2643=CONFIG_METADATA!$B$4),IF(DATOS!$G2643="EX",1,IF(DATOS!$G2643="OR",--(COUNTIFS(nNIA,DATOS!$A2643,nCURSO,DATOS!$D2643,nESPEC,DATOS!$E2643,nASIG,DATOS!$I2643,nEVAL,"EX")=0),0))))</f>
      </c>
      <c r="H2643">
        <f>IF(DATOS!$G2643&lt;&gt;"EX",0,--(COUNTIFS(nNIA,DATOS!$A2643,nCURSO,DATOS!$D2643,nESPEC,DATOS!$E2643,nASIG,DATOS!$I2643,nEVAL,"OR")=0))</f>
      </c>
      <c r="I2643">
        <f>IF(DATOS!$I2643="","",IFERROR(VLOOKUP(DATOS!$I2643,CONFIG_ASIGNATURAS!$B$2:$J$91,9,FALSE()),""))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IF(DATOS!$A2644="",0,IF(CONFIG_METADATA!$B$4&lt;&gt;"OR+EX",--(DATOS!$G2644=CONFIG_METADATA!$B$4),IF(DATOS!$G2644="EX",1,IF(DATOS!$G2644="OR",--(COUNTIFS(nNIA,DATOS!$A2644,nCURSO,DATOS!$D2644,nESPEC,DATOS!$E2644,nASIG,DATOS!$I2644,nEVAL,"EX")=0),0))))</f>
      </c>
      <c r="H2644">
        <f>IF(DATOS!$G2644&lt;&gt;"EX",0,--(COUNTIFS(nNIA,DATOS!$A2644,nCURSO,DATOS!$D2644,nESPEC,DATOS!$E2644,nASIG,DATOS!$I2644,nEVAL,"OR")=0))</f>
      </c>
      <c r="I2644">
        <f>IF(DATOS!$I2644="","",IFERROR(VLOOKUP(DATOS!$I2644,CONFIG_ASIGNATURAS!$B$2:$J$91,9,FALSE()),""))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IF(DATOS!$A2645="",0,IF(CONFIG_METADATA!$B$4&lt;&gt;"OR+EX",--(DATOS!$G2645=CONFIG_METADATA!$B$4),IF(DATOS!$G2645="EX",1,IF(DATOS!$G2645="OR",--(COUNTIFS(nNIA,DATOS!$A2645,nCURSO,DATOS!$D2645,nESPEC,DATOS!$E2645,nASIG,DATOS!$I2645,nEVAL,"EX")=0),0))))</f>
      </c>
      <c r="H2645">
        <f>IF(DATOS!$G2645&lt;&gt;"EX",0,--(COUNTIFS(nNIA,DATOS!$A2645,nCURSO,DATOS!$D2645,nESPEC,DATOS!$E2645,nASIG,DATOS!$I2645,nEVAL,"OR")=0))</f>
      </c>
      <c r="I2645">
        <f>IF(DATOS!$I2645="","",IFERROR(VLOOKUP(DATOS!$I2645,CONFIG_ASIGNATURAS!$B$2:$J$91,9,FALSE()),""))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IF(DATOS!$A2646="",0,IF(CONFIG_METADATA!$B$4&lt;&gt;"OR+EX",--(DATOS!$G2646=CONFIG_METADATA!$B$4),IF(DATOS!$G2646="EX",1,IF(DATOS!$G2646="OR",--(COUNTIFS(nNIA,DATOS!$A2646,nCURSO,DATOS!$D2646,nESPEC,DATOS!$E2646,nASIG,DATOS!$I2646,nEVAL,"EX")=0),0))))</f>
      </c>
      <c r="H2646">
        <f>IF(DATOS!$G2646&lt;&gt;"EX",0,--(COUNTIFS(nNIA,DATOS!$A2646,nCURSO,DATOS!$D2646,nESPEC,DATOS!$E2646,nASIG,DATOS!$I2646,nEVAL,"OR")=0))</f>
      </c>
      <c r="I2646">
        <f>IF(DATOS!$I2646="","",IFERROR(VLOOKUP(DATOS!$I2646,CONFIG_ASIGNATURAS!$B$2:$J$91,9,FALSE()),""))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IF(DATOS!$A2647="",0,IF(CONFIG_METADATA!$B$4&lt;&gt;"OR+EX",--(DATOS!$G2647=CONFIG_METADATA!$B$4),IF(DATOS!$G2647="EX",1,IF(DATOS!$G2647="OR",--(COUNTIFS(nNIA,DATOS!$A2647,nCURSO,DATOS!$D2647,nESPEC,DATOS!$E2647,nASIG,DATOS!$I2647,nEVAL,"EX")=0),0))))</f>
      </c>
      <c r="H2647">
        <f>IF(DATOS!$G2647&lt;&gt;"EX",0,--(COUNTIFS(nNIA,DATOS!$A2647,nCURSO,DATOS!$D2647,nESPEC,DATOS!$E2647,nASIG,DATOS!$I2647,nEVAL,"OR")=0))</f>
      </c>
      <c r="I2647">
        <f>IF(DATOS!$I2647="","",IFERROR(VLOOKUP(DATOS!$I2647,CONFIG_ASIGNATURAS!$B$2:$J$91,9,FALSE()),""))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IF(DATOS!$A2648="",0,IF(CONFIG_METADATA!$B$4&lt;&gt;"OR+EX",--(DATOS!$G2648=CONFIG_METADATA!$B$4),IF(DATOS!$G2648="EX",1,IF(DATOS!$G2648="OR",--(COUNTIFS(nNIA,DATOS!$A2648,nCURSO,DATOS!$D2648,nESPEC,DATOS!$E2648,nASIG,DATOS!$I2648,nEVAL,"EX")=0),0))))</f>
      </c>
      <c r="H2648">
        <f>IF(DATOS!$G2648&lt;&gt;"EX",0,--(COUNTIFS(nNIA,DATOS!$A2648,nCURSO,DATOS!$D2648,nESPEC,DATOS!$E2648,nASIG,DATOS!$I2648,nEVAL,"OR")=0))</f>
      </c>
      <c r="I2648">
        <f>IF(DATOS!$I2648="","",IFERROR(VLOOKUP(DATOS!$I2648,CONFIG_ASIGNATURAS!$B$2:$J$91,9,FALSE()),""))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IF(DATOS!$A2649="",0,IF(CONFIG_METADATA!$B$4&lt;&gt;"OR+EX",--(DATOS!$G2649=CONFIG_METADATA!$B$4),IF(DATOS!$G2649="EX",1,IF(DATOS!$G2649="OR",--(COUNTIFS(nNIA,DATOS!$A2649,nCURSO,DATOS!$D2649,nESPEC,DATOS!$E2649,nASIG,DATOS!$I2649,nEVAL,"EX")=0),0))))</f>
      </c>
      <c r="H2649">
        <f>IF(DATOS!$G2649&lt;&gt;"EX",0,--(COUNTIFS(nNIA,DATOS!$A2649,nCURSO,DATOS!$D2649,nESPEC,DATOS!$E2649,nASIG,DATOS!$I2649,nEVAL,"OR")=0))</f>
      </c>
      <c r="I2649">
        <f>IF(DATOS!$I2649="","",IFERROR(VLOOKUP(DATOS!$I2649,CONFIG_ASIGNATURAS!$B$2:$J$91,9,FALSE()),""))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IF(DATOS!$A2650="",0,IF(CONFIG_METADATA!$B$4&lt;&gt;"OR+EX",--(DATOS!$G2650=CONFIG_METADATA!$B$4),IF(DATOS!$G2650="EX",1,IF(DATOS!$G2650="OR",--(COUNTIFS(nNIA,DATOS!$A2650,nCURSO,DATOS!$D2650,nESPEC,DATOS!$E2650,nASIG,DATOS!$I2650,nEVAL,"EX")=0),0))))</f>
      </c>
      <c r="H2650">
        <f>IF(DATOS!$G2650&lt;&gt;"EX",0,--(COUNTIFS(nNIA,DATOS!$A2650,nCURSO,DATOS!$D2650,nESPEC,DATOS!$E2650,nASIG,DATOS!$I2650,nEVAL,"OR")=0))</f>
      </c>
      <c r="I2650">
        <f>IF(DATOS!$I2650="","",IFERROR(VLOOKUP(DATOS!$I2650,CONFIG_ASIGNATURAS!$B$2:$J$91,9,FALSE()),""))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IF(DATOS!$A2651="",0,IF(CONFIG_METADATA!$B$4&lt;&gt;"OR+EX",--(DATOS!$G2651=CONFIG_METADATA!$B$4),IF(DATOS!$G2651="EX",1,IF(DATOS!$G2651="OR",--(COUNTIFS(nNIA,DATOS!$A2651,nCURSO,DATOS!$D2651,nESPEC,DATOS!$E2651,nASIG,DATOS!$I2651,nEVAL,"EX")=0),0))))</f>
      </c>
      <c r="H2651">
        <f>IF(DATOS!$G2651&lt;&gt;"EX",0,--(COUNTIFS(nNIA,DATOS!$A2651,nCURSO,DATOS!$D2651,nESPEC,DATOS!$E2651,nASIG,DATOS!$I2651,nEVAL,"OR")=0))</f>
      </c>
      <c r="I2651">
        <f>IF(DATOS!$I2651="","",IFERROR(VLOOKUP(DATOS!$I2651,CONFIG_ASIGNATURAS!$B$2:$J$91,9,FALSE()),""))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IF(DATOS!$A2652="",0,IF(CONFIG_METADATA!$B$4&lt;&gt;"OR+EX",--(DATOS!$G2652=CONFIG_METADATA!$B$4),IF(DATOS!$G2652="EX",1,IF(DATOS!$G2652="OR",--(COUNTIFS(nNIA,DATOS!$A2652,nCURSO,DATOS!$D2652,nESPEC,DATOS!$E2652,nASIG,DATOS!$I2652,nEVAL,"EX")=0),0))))</f>
      </c>
      <c r="H2652">
        <f>IF(DATOS!$G2652&lt;&gt;"EX",0,--(COUNTIFS(nNIA,DATOS!$A2652,nCURSO,DATOS!$D2652,nESPEC,DATOS!$E2652,nASIG,DATOS!$I2652,nEVAL,"OR")=0))</f>
      </c>
      <c r="I2652">
        <f>IF(DATOS!$I2652="","",IFERROR(VLOOKUP(DATOS!$I2652,CONFIG_ASIGNATURAS!$B$2:$J$91,9,FALSE()),""))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IF(DATOS!$A2653="",0,IF(CONFIG_METADATA!$B$4&lt;&gt;"OR+EX",--(DATOS!$G2653=CONFIG_METADATA!$B$4),IF(DATOS!$G2653="EX",1,IF(DATOS!$G2653="OR",--(COUNTIFS(nNIA,DATOS!$A2653,nCURSO,DATOS!$D2653,nESPEC,DATOS!$E2653,nASIG,DATOS!$I2653,nEVAL,"EX")=0),0))))</f>
      </c>
      <c r="H2653">
        <f>IF(DATOS!$G2653&lt;&gt;"EX",0,--(COUNTIFS(nNIA,DATOS!$A2653,nCURSO,DATOS!$D2653,nESPEC,DATOS!$E2653,nASIG,DATOS!$I2653,nEVAL,"OR")=0))</f>
      </c>
      <c r="I2653">
        <f>IF(DATOS!$I2653="","",IFERROR(VLOOKUP(DATOS!$I2653,CONFIG_ASIGNATURAS!$B$2:$J$91,9,FALSE()),""))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IF(DATOS!$A2654="",0,IF(CONFIG_METADATA!$B$4&lt;&gt;"OR+EX",--(DATOS!$G2654=CONFIG_METADATA!$B$4),IF(DATOS!$G2654="EX",1,IF(DATOS!$G2654="OR",--(COUNTIFS(nNIA,DATOS!$A2654,nCURSO,DATOS!$D2654,nESPEC,DATOS!$E2654,nASIG,DATOS!$I2654,nEVAL,"EX")=0),0))))</f>
      </c>
      <c r="H2654">
        <f>IF(DATOS!$G2654&lt;&gt;"EX",0,--(COUNTIFS(nNIA,DATOS!$A2654,nCURSO,DATOS!$D2654,nESPEC,DATOS!$E2654,nASIG,DATOS!$I2654,nEVAL,"OR")=0))</f>
      </c>
      <c r="I2654">
        <f>IF(DATOS!$I2654="","",IFERROR(VLOOKUP(DATOS!$I2654,CONFIG_ASIGNATURAS!$B$2:$J$91,9,FALSE()),""))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IF(DATOS!$A2655="",0,IF(CONFIG_METADATA!$B$4&lt;&gt;"OR+EX",--(DATOS!$G2655=CONFIG_METADATA!$B$4),IF(DATOS!$G2655="EX",1,IF(DATOS!$G2655="OR",--(COUNTIFS(nNIA,DATOS!$A2655,nCURSO,DATOS!$D2655,nESPEC,DATOS!$E2655,nASIG,DATOS!$I2655,nEVAL,"EX")=0),0))))</f>
      </c>
      <c r="H2655">
        <f>IF(DATOS!$G2655&lt;&gt;"EX",0,--(COUNTIFS(nNIA,DATOS!$A2655,nCURSO,DATOS!$D2655,nESPEC,DATOS!$E2655,nASIG,DATOS!$I2655,nEVAL,"OR")=0))</f>
      </c>
      <c r="I2655">
        <f>IF(DATOS!$I2655="","",IFERROR(VLOOKUP(DATOS!$I2655,CONFIG_ASIGNATURAS!$B$2:$J$91,9,FALSE()),""))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IF(DATOS!$A2656="",0,IF(CONFIG_METADATA!$B$4&lt;&gt;"OR+EX",--(DATOS!$G2656=CONFIG_METADATA!$B$4),IF(DATOS!$G2656="EX",1,IF(DATOS!$G2656="OR",--(COUNTIFS(nNIA,DATOS!$A2656,nCURSO,DATOS!$D2656,nESPEC,DATOS!$E2656,nASIG,DATOS!$I2656,nEVAL,"EX")=0),0))))</f>
      </c>
      <c r="H2656">
        <f>IF(DATOS!$G2656&lt;&gt;"EX",0,--(COUNTIFS(nNIA,DATOS!$A2656,nCURSO,DATOS!$D2656,nESPEC,DATOS!$E2656,nASIG,DATOS!$I2656,nEVAL,"OR")=0))</f>
      </c>
      <c r="I2656">
        <f>IF(DATOS!$I2656="","",IFERROR(VLOOKUP(DATOS!$I2656,CONFIG_ASIGNATURAS!$B$2:$J$91,9,FALSE()),""))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IF(DATOS!$A2657="",0,IF(CONFIG_METADATA!$B$4&lt;&gt;"OR+EX",--(DATOS!$G2657=CONFIG_METADATA!$B$4),IF(DATOS!$G2657="EX",1,IF(DATOS!$G2657="OR",--(COUNTIFS(nNIA,DATOS!$A2657,nCURSO,DATOS!$D2657,nESPEC,DATOS!$E2657,nASIG,DATOS!$I2657,nEVAL,"EX")=0),0))))</f>
      </c>
      <c r="H2657">
        <f>IF(DATOS!$G2657&lt;&gt;"EX",0,--(COUNTIFS(nNIA,DATOS!$A2657,nCURSO,DATOS!$D2657,nESPEC,DATOS!$E2657,nASIG,DATOS!$I2657,nEVAL,"OR")=0))</f>
      </c>
      <c r="I2657">
        <f>IF(DATOS!$I2657="","",IFERROR(VLOOKUP(DATOS!$I2657,CONFIG_ASIGNATURAS!$B$2:$J$91,9,FALSE()),""))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IF(DATOS!$A2658="",0,IF(CONFIG_METADATA!$B$4&lt;&gt;"OR+EX",--(DATOS!$G2658=CONFIG_METADATA!$B$4),IF(DATOS!$G2658="EX",1,IF(DATOS!$G2658="OR",--(COUNTIFS(nNIA,DATOS!$A2658,nCURSO,DATOS!$D2658,nESPEC,DATOS!$E2658,nASIG,DATOS!$I2658,nEVAL,"EX")=0),0))))</f>
      </c>
      <c r="H2658">
        <f>IF(DATOS!$G2658&lt;&gt;"EX",0,--(COUNTIFS(nNIA,DATOS!$A2658,nCURSO,DATOS!$D2658,nESPEC,DATOS!$E2658,nASIG,DATOS!$I2658,nEVAL,"OR")=0))</f>
      </c>
      <c r="I2658">
        <f>IF(DATOS!$I2658="","",IFERROR(VLOOKUP(DATOS!$I2658,CONFIG_ASIGNATURAS!$B$2:$J$91,9,FALSE()),""))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IF(DATOS!$A2659="",0,IF(CONFIG_METADATA!$B$4&lt;&gt;"OR+EX",--(DATOS!$G2659=CONFIG_METADATA!$B$4),IF(DATOS!$G2659="EX",1,IF(DATOS!$G2659="OR",--(COUNTIFS(nNIA,DATOS!$A2659,nCURSO,DATOS!$D2659,nESPEC,DATOS!$E2659,nASIG,DATOS!$I2659,nEVAL,"EX")=0),0))))</f>
      </c>
      <c r="H2659">
        <f>IF(DATOS!$G2659&lt;&gt;"EX",0,--(COUNTIFS(nNIA,DATOS!$A2659,nCURSO,DATOS!$D2659,nESPEC,DATOS!$E2659,nASIG,DATOS!$I2659,nEVAL,"OR")=0))</f>
      </c>
      <c r="I2659">
        <f>IF(DATOS!$I2659="","",IFERROR(VLOOKUP(DATOS!$I2659,CONFIG_ASIGNATURAS!$B$2:$J$91,9,FALSE()),""))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IF(DATOS!$A2660="",0,IF(CONFIG_METADATA!$B$4&lt;&gt;"OR+EX",--(DATOS!$G2660=CONFIG_METADATA!$B$4),IF(DATOS!$G2660="EX",1,IF(DATOS!$G2660="OR",--(COUNTIFS(nNIA,DATOS!$A2660,nCURSO,DATOS!$D2660,nESPEC,DATOS!$E2660,nASIG,DATOS!$I2660,nEVAL,"EX")=0),0))))</f>
      </c>
      <c r="H2660">
        <f>IF(DATOS!$G2660&lt;&gt;"EX",0,--(COUNTIFS(nNIA,DATOS!$A2660,nCURSO,DATOS!$D2660,nESPEC,DATOS!$E2660,nASIG,DATOS!$I2660,nEVAL,"OR")=0))</f>
      </c>
      <c r="I2660">
        <f>IF(DATOS!$I2660="","",IFERROR(VLOOKUP(DATOS!$I2660,CONFIG_ASIGNATURAS!$B$2:$J$91,9,FALSE()),""))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IF(DATOS!$A2661="",0,IF(CONFIG_METADATA!$B$4&lt;&gt;"OR+EX",--(DATOS!$G2661=CONFIG_METADATA!$B$4),IF(DATOS!$G2661="EX",1,IF(DATOS!$G2661="OR",--(COUNTIFS(nNIA,DATOS!$A2661,nCURSO,DATOS!$D2661,nESPEC,DATOS!$E2661,nASIG,DATOS!$I2661,nEVAL,"EX")=0),0))))</f>
      </c>
      <c r="H2661">
        <f>IF(DATOS!$G2661&lt;&gt;"EX",0,--(COUNTIFS(nNIA,DATOS!$A2661,nCURSO,DATOS!$D2661,nESPEC,DATOS!$E2661,nASIG,DATOS!$I2661,nEVAL,"OR")=0))</f>
      </c>
      <c r="I2661">
        <f>IF(DATOS!$I2661="","",IFERROR(VLOOKUP(DATOS!$I2661,CONFIG_ASIGNATURAS!$B$2:$J$91,9,FALSE()),""))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IF(DATOS!$A2662="",0,IF(CONFIG_METADATA!$B$4&lt;&gt;"OR+EX",--(DATOS!$G2662=CONFIG_METADATA!$B$4),IF(DATOS!$G2662="EX",1,IF(DATOS!$G2662="OR",--(COUNTIFS(nNIA,DATOS!$A2662,nCURSO,DATOS!$D2662,nESPEC,DATOS!$E2662,nASIG,DATOS!$I2662,nEVAL,"EX")=0),0))))</f>
      </c>
      <c r="H2662">
        <f>IF(DATOS!$G2662&lt;&gt;"EX",0,--(COUNTIFS(nNIA,DATOS!$A2662,nCURSO,DATOS!$D2662,nESPEC,DATOS!$E2662,nASIG,DATOS!$I2662,nEVAL,"OR")=0))</f>
      </c>
      <c r="I2662">
        <f>IF(DATOS!$I2662="","",IFERROR(VLOOKUP(DATOS!$I2662,CONFIG_ASIGNATURAS!$B$2:$J$91,9,FALSE()),""))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IF(DATOS!$A2663="",0,IF(CONFIG_METADATA!$B$4&lt;&gt;"OR+EX",--(DATOS!$G2663=CONFIG_METADATA!$B$4),IF(DATOS!$G2663="EX",1,IF(DATOS!$G2663="OR",--(COUNTIFS(nNIA,DATOS!$A2663,nCURSO,DATOS!$D2663,nESPEC,DATOS!$E2663,nASIG,DATOS!$I2663,nEVAL,"EX")=0),0))))</f>
      </c>
      <c r="H2663">
        <f>IF(DATOS!$G2663&lt;&gt;"EX",0,--(COUNTIFS(nNIA,DATOS!$A2663,nCURSO,DATOS!$D2663,nESPEC,DATOS!$E2663,nASIG,DATOS!$I2663,nEVAL,"OR")=0))</f>
      </c>
      <c r="I2663">
        <f>IF(DATOS!$I2663="","",IFERROR(VLOOKUP(DATOS!$I2663,CONFIG_ASIGNATURAS!$B$2:$J$91,9,FALSE()),""))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IF(DATOS!$A2664="",0,IF(CONFIG_METADATA!$B$4&lt;&gt;"OR+EX",--(DATOS!$G2664=CONFIG_METADATA!$B$4),IF(DATOS!$G2664="EX",1,IF(DATOS!$G2664="OR",--(COUNTIFS(nNIA,DATOS!$A2664,nCURSO,DATOS!$D2664,nESPEC,DATOS!$E2664,nASIG,DATOS!$I2664,nEVAL,"EX")=0),0))))</f>
      </c>
      <c r="H2664">
        <f>IF(DATOS!$G2664&lt;&gt;"EX",0,--(COUNTIFS(nNIA,DATOS!$A2664,nCURSO,DATOS!$D2664,nESPEC,DATOS!$E2664,nASIG,DATOS!$I2664,nEVAL,"OR")=0))</f>
      </c>
      <c r="I2664">
        <f>IF(DATOS!$I2664="","",IFERROR(VLOOKUP(DATOS!$I2664,CONFIG_ASIGNATURAS!$B$2:$J$91,9,FALSE()),""))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IF(DATOS!$A2665="",0,IF(CONFIG_METADATA!$B$4&lt;&gt;"OR+EX",--(DATOS!$G2665=CONFIG_METADATA!$B$4),IF(DATOS!$G2665="EX",1,IF(DATOS!$G2665="OR",--(COUNTIFS(nNIA,DATOS!$A2665,nCURSO,DATOS!$D2665,nESPEC,DATOS!$E2665,nASIG,DATOS!$I2665,nEVAL,"EX")=0),0))))</f>
      </c>
      <c r="H2665">
        <f>IF(DATOS!$G2665&lt;&gt;"EX",0,--(COUNTIFS(nNIA,DATOS!$A2665,nCURSO,DATOS!$D2665,nESPEC,DATOS!$E2665,nASIG,DATOS!$I2665,nEVAL,"OR")=0))</f>
      </c>
      <c r="I2665">
        <f>IF(DATOS!$I2665="","",IFERROR(VLOOKUP(DATOS!$I2665,CONFIG_ASIGNATURAS!$B$2:$J$91,9,FALSE()),""))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IF(DATOS!$A2666="",0,IF(CONFIG_METADATA!$B$4&lt;&gt;"OR+EX",--(DATOS!$G2666=CONFIG_METADATA!$B$4),IF(DATOS!$G2666="EX",1,IF(DATOS!$G2666="OR",--(COUNTIFS(nNIA,DATOS!$A2666,nCURSO,DATOS!$D2666,nESPEC,DATOS!$E2666,nASIG,DATOS!$I2666,nEVAL,"EX")=0),0))))</f>
      </c>
      <c r="H2666">
        <f>IF(DATOS!$G2666&lt;&gt;"EX",0,--(COUNTIFS(nNIA,DATOS!$A2666,nCURSO,DATOS!$D2666,nESPEC,DATOS!$E2666,nASIG,DATOS!$I2666,nEVAL,"OR")=0))</f>
      </c>
      <c r="I2666">
        <f>IF(DATOS!$I2666="","",IFERROR(VLOOKUP(DATOS!$I2666,CONFIG_ASIGNATURAS!$B$2:$J$91,9,FALSE()),""))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IF(DATOS!$A2667="",0,IF(CONFIG_METADATA!$B$4&lt;&gt;"OR+EX",--(DATOS!$G2667=CONFIG_METADATA!$B$4),IF(DATOS!$G2667="EX",1,IF(DATOS!$G2667="OR",--(COUNTIFS(nNIA,DATOS!$A2667,nCURSO,DATOS!$D2667,nESPEC,DATOS!$E2667,nASIG,DATOS!$I2667,nEVAL,"EX")=0),0))))</f>
      </c>
      <c r="H2667">
        <f>IF(DATOS!$G2667&lt;&gt;"EX",0,--(COUNTIFS(nNIA,DATOS!$A2667,nCURSO,DATOS!$D2667,nESPEC,DATOS!$E2667,nASIG,DATOS!$I2667,nEVAL,"OR")=0))</f>
      </c>
      <c r="I2667">
        <f>IF(DATOS!$I2667="","",IFERROR(VLOOKUP(DATOS!$I2667,CONFIG_ASIGNATURAS!$B$2:$J$91,9,FALSE()),""))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IF(DATOS!$A2668="",0,IF(CONFIG_METADATA!$B$4&lt;&gt;"OR+EX",--(DATOS!$G2668=CONFIG_METADATA!$B$4),IF(DATOS!$G2668="EX",1,IF(DATOS!$G2668="OR",--(COUNTIFS(nNIA,DATOS!$A2668,nCURSO,DATOS!$D2668,nESPEC,DATOS!$E2668,nASIG,DATOS!$I2668,nEVAL,"EX")=0),0))))</f>
      </c>
      <c r="H2668">
        <f>IF(DATOS!$G2668&lt;&gt;"EX",0,--(COUNTIFS(nNIA,DATOS!$A2668,nCURSO,DATOS!$D2668,nESPEC,DATOS!$E2668,nASIG,DATOS!$I2668,nEVAL,"OR")=0))</f>
      </c>
      <c r="I2668">
        <f>IF(DATOS!$I2668="","",IFERROR(VLOOKUP(DATOS!$I2668,CONFIG_ASIGNATURAS!$B$2:$J$91,9,FALSE()),""))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IF(DATOS!$A2669="",0,IF(CONFIG_METADATA!$B$4&lt;&gt;"OR+EX",--(DATOS!$G2669=CONFIG_METADATA!$B$4),IF(DATOS!$G2669="EX",1,IF(DATOS!$G2669="OR",--(COUNTIFS(nNIA,DATOS!$A2669,nCURSO,DATOS!$D2669,nESPEC,DATOS!$E2669,nASIG,DATOS!$I2669,nEVAL,"EX")=0),0))))</f>
      </c>
      <c r="H2669">
        <f>IF(DATOS!$G2669&lt;&gt;"EX",0,--(COUNTIFS(nNIA,DATOS!$A2669,nCURSO,DATOS!$D2669,nESPEC,DATOS!$E2669,nASIG,DATOS!$I2669,nEVAL,"OR")=0))</f>
      </c>
      <c r="I2669">
        <f>IF(DATOS!$I2669="","",IFERROR(VLOOKUP(DATOS!$I2669,CONFIG_ASIGNATURAS!$B$2:$J$91,9,FALSE()),""))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IF(DATOS!$A2670="",0,IF(CONFIG_METADATA!$B$4&lt;&gt;"OR+EX",--(DATOS!$G2670=CONFIG_METADATA!$B$4),IF(DATOS!$G2670="EX",1,IF(DATOS!$G2670="OR",--(COUNTIFS(nNIA,DATOS!$A2670,nCURSO,DATOS!$D2670,nESPEC,DATOS!$E2670,nASIG,DATOS!$I2670,nEVAL,"EX")=0),0))))</f>
      </c>
      <c r="H2670">
        <f>IF(DATOS!$G2670&lt;&gt;"EX",0,--(COUNTIFS(nNIA,DATOS!$A2670,nCURSO,DATOS!$D2670,nESPEC,DATOS!$E2670,nASIG,DATOS!$I2670,nEVAL,"OR")=0))</f>
      </c>
      <c r="I2670">
        <f>IF(DATOS!$I2670="","",IFERROR(VLOOKUP(DATOS!$I2670,CONFIG_ASIGNATURAS!$B$2:$J$91,9,FALSE()),""))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IF(DATOS!$A2671="",0,IF(CONFIG_METADATA!$B$4&lt;&gt;"OR+EX",--(DATOS!$G2671=CONFIG_METADATA!$B$4),IF(DATOS!$G2671="EX",1,IF(DATOS!$G2671="OR",--(COUNTIFS(nNIA,DATOS!$A2671,nCURSO,DATOS!$D2671,nESPEC,DATOS!$E2671,nASIG,DATOS!$I2671,nEVAL,"EX")=0),0))))</f>
      </c>
      <c r="H2671">
        <f>IF(DATOS!$G2671&lt;&gt;"EX",0,--(COUNTIFS(nNIA,DATOS!$A2671,nCURSO,DATOS!$D2671,nESPEC,DATOS!$E2671,nASIG,DATOS!$I2671,nEVAL,"OR")=0))</f>
      </c>
      <c r="I2671">
        <f>IF(DATOS!$I2671="","",IFERROR(VLOOKUP(DATOS!$I2671,CONFIG_ASIGNATURAS!$B$2:$J$91,9,FALSE()),""))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IF(DATOS!$A2672="",0,IF(CONFIG_METADATA!$B$4&lt;&gt;"OR+EX",--(DATOS!$G2672=CONFIG_METADATA!$B$4),IF(DATOS!$G2672="EX",1,IF(DATOS!$G2672="OR",--(COUNTIFS(nNIA,DATOS!$A2672,nCURSO,DATOS!$D2672,nESPEC,DATOS!$E2672,nASIG,DATOS!$I2672,nEVAL,"EX")=0),0))))</f>
      </c>
      <c r="H2672">
        <f>IF(DATOS!$G2672&lt;&gt;"EX",0,--(COUNTIFS(nNIA,DATOS!$A2672,nCURSO,DATOS!$D2672,nESPEC,DATOS!$E2672,nASIG,DATOS!$I2672,nEVAL,"OR")=0))</f>
      </c>
      <c r="I2672">
        <f>IF(DATOS!$I2672="","",IFERROR(VLOOKUP(DATOS!$I2672,CONFIG_ASIGNATURAS!$B$2:$J$91,9,FALSE()),""))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IF(DATOS!$A2673="",0,IF(CONFIG_METADATA!$B$4&lt;&gt;"OR+EX",--(DATOS!$G2673=CONFIG_METADATA!$B$4),IF(DATOS!$G2673="EX",1,IF(DATOS!$G2673="OR",--(COUNTIFS(nNIA,DATOS!$A2673,nCURSO,DATOS!$D2673,nESPEC,DATOS!$E2673,nASIG,DATOS!$I2673,nEVAL,"EX")=0),0))))</f>
      </c>
      <c r="H2673">
        <f>IF(DATOS!$G2673&lt;&gt;"EX",0,--(COUNTIFS(nNIA,DATOS!$A2673,nCURSO,DATOS!$D2673,nESPEC,DATOS!$E2673,nASIG,DATOS!$I2673,nEVAL,"OR")=0))</f>
      </c>
      <c r="I2673">
        <f>IF(DATOS!$I2673="","",IFERROR(VLOOKUP(DATOS!$I2673,CONFIG_ASIGNATURAS!$B$2:$J$91,9,FALSE()),""))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IF(DATOS!$A2674="",0,IF(CONFIG_METADATA!$B$4&lt;&gt;"OR+EX",--(DATOS!$G2674=CONFIG_METADATA!$B$4),IF(DATOS!$G2674="EX",1,IF(DATOS!$G2674="OR",--(COUNTIFS(nNIA,DATOS!$A2674,nCURSO,DATOS!$D2674,nESPEC,DATOS!$E2674,nASIG,DATOS!$I2674,nEVAL,"EX")=0),0))))</f>
      </c>
      <c r="H2674">
        <f>IF(DATOS!$G2674&lt;&gt;"EX",0,--(COUNTIFS(nNIA,DATOS!$A2674,nCURSO,DATOS!$D2674,nESPEC,DATOS!$E2674,nASIG,DATOS!$I2674,nEVAL,"OR")=0))</f>
      </c>
      <c r="I2674">
        <f>IF(DATOS!$I2674="","",IFERROR(VLOOKUP(DATOS!$I2674,CONFIG_ASIGNATURAS!$B$2:$J$91,9,FALSE()),""))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IF(DATOS!$A2675="",0,IF(CONFIG_METADATA!$B$4&lt;&gt;"OR+EX",--(DATOS!$G2675=CONFIG_METADATA!$B$4),IF(DATOS!$G2675="EX",1,IF(DATOS!$G2675="OR",--(COUNTIFS(nNIA,DATOS!$A2675,nCURSO,DATOS!$D2675,nESPEC,DATOS!$E2675,nASIG,DATOS!$I2675,nEVAL,"EX")=0),0))))</f>
      </c>
      <c r="H2675">
        <f>IF(DATOS!$G2675&lt;&gt;"EX",0,--(COUNTIFS(nNIA,DATOS!$A2675,nCURSO,DATOS!$D2675,nESPEC,DATOS!$E2675,nASIG,DATOS!$I2675,nEVAL,"OR")=0))</f>
      </c>
      <c r="I2675">
        <f>IF(DATOS!$I2675="","",IFERROR(VLOOKUP(DATOS!$I2675,CONFIG_ASIGNATURAS!$B$2:$J$91,9,FALSE()),""))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IF(DATOS!$A2676="",0,IF(CONFIG_METADATA!$B$4&lt;&gt;"OR+EX",--(DATOS!$G2676=CONFIG_METADATA!$B$4),IF(DATOS!$G2676="EX",1,IF(DATOS!$G2676="OR",--(COUNTIFS(nNIA,DATOS!$A2676,nCURSO,DATOS!$D2676,nESPEC,DATOS!$E2676,nASIG,DATOS!$I2676,nEVAL,"EX")=0),0))))</f>
      </c>
      <c r="H2676">
        <f>IF(DATOS!$G2676&lt;&gt;"EX",0,--(COUNTIFS(nNIA,DATOS!$A2676,nCURSO,DATOS!$D2676,nESPEC,DATOS!$E2676,nASIG,DATOS!$I2676,nEVAL,"OR")=0))</f>
      </c>
      <c r="I2676">
        <f>IF(DATOS!$I2676="","",IFERROR(VLOOKUP(DATOS!$I2676,CONFIG_ASIGNATURAS!$B$2:$J$91,9,FALSE()),""))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IF(DATOS!$A2677="",0,IF(CONFIG_METADATA!$B$4&lt;&gt;"OR+EX",--(DATOS!$G2677=CONFIG_METADATA!$B$4),IF(DATOS!$G2677="EX",1,IF(DATOS!$G2677="OR",--(COUNTIFS(nNIA,DATOS!$A2677,nCURSO,DATOS!$D2677,nESPEC,DATOS!$E2677,nASIG,DATOS!$I2677,nEVAL,"EX")=0),0))))</f>
      </c>
      <c r="H2677">
        <f>IF(DATOS!$G2677&lt;&gt;"EX",0,--(COUNTIFS(nNIA,DATOS!$A2677,nCURSO,DATOS!$D2677,nESPEC,DATOS!$E2677,nASIG,DATOS!$I2677,nEVAL,"OR")=0))</f>
      </c>
      <c r="I2677">
        <f>IF(DATOS!$I2677="","",IFERROR(VLOOKUP(DATOS!$I2677,CONFIG_ASIGNATURAS!$B$2:$J$91,9,FALSE()),""))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IF(DATOS!$A2678="",0,IF(CONFIG_METADATA!$B$4&lt;&gt;"OR+EX",--(DATOS!$G2678=CONFIG_METADATA!$B$4),IF(DATOS!$G2678="EX",1,IF(DATOS!$G2678="OR",--(COUNTIFS(nNIA,DATOS!$A2678,nCURSO,DATOS!$D2678,nESPEC,DATOS!$E2678,nASIG,DATOS!$I2678,nEVAL,"EX")=0),0))))</f>
      </c>
      <c r="H2678">
        <f>IF(DATOS!$G2678&lt;&gt;"EX",0,--(COUNTIFS(nNIA,DATOS!$A2678,nCURSO,DATOS!$D2678,nESPEC,DATOS!$E2678,nASIG,DATOS!$I2678,nEVAL,"OR")=0))</f>
      </c>
      <c r="I2678">
        <f>IF(DATOS!$I2678="","",IFERROR(VLOOKUP(DATOS!$I2678,CONFIG_ASIGNATURAS!$B$2:$J$91,9,FALSE()),""))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IF(DATOS!$A2679="",0,IF(CONFIG_METADATA!$B$4&lt;&gt;"OR+EX",--(DATOS!$G2679=CONFIG_METADATA!$B$4),IF(DATOS!$G2679="EX",1,IF(DATOS!$G2679="OR",--(COUNTIFS(nNIA,DATOS!$A2679,nCURSO,DATOS!$D2679,nESPEC,DATOS!$E2679,nASIG,DATOS!$I2679,nEVAL,"EX")=0),0))))</f>
      </c>
      <c r="H2679">
        <f>IF(DATOS!$G2679&lt;&gt;"EX",0,--(COUNTIFS(nNIA,DATOS!$A2679,nCURSO,DATOS!$D2679,nESPEC,DATOS!$E2679,nASIG,DATOS!$I2679,nEVAL,"OR")=0))</f>
      </c>
      <c r="I2679">
        <f>IF(DATOS!$I2679="","",IFERROR(VLOOKUP(DATOS!$I2679,CONFIG_ASIGNATURAS!$B$2:$J$91,9,FALSE()),""))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IF(DATOS!$A2680="",0,IF(CONFIG_METADATA!$B$4&lt;&gt;"OR+EX",--(DATOS!$G2680=CONFIG_METADATA!$B$4),IF(DATOS!$G2680="EX",1,IF(DATOS!$G2680="OR",--(COUNTIFS(nNIA,DATOS!$A2680,nCURSO,DATOS!$D2680,nESPEC,DATOS!$E2680,nASIG,DATOS!$I2680,nEVAL,"EX")=0),0))))</f>
      </c>
      <c r="H2680">
        <f>IF(DATOS!$G2680&lt;&gt;"EX",0,--(COUNTIFS(nNIA,DATOS!$A2680,nCURSO,DATOS!$D2680,nESPEC,DATOS!$E2680,nASIG,DATOS!$I2680,nEVAL,"OR")=0))</f>
      </c>
      <c r="I2680">
        <f>IF(DATOS!$I2680="","",IFERROR(VLOOKUP(DATOS!$I2680,CONFIG_ASIGNATURAS!$B$2:$J$91,9,FALSE()),""))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IF(DATOS!$A2681="",0,IF(CONFIG_METADATA!$B$4&lt;&gt;"OR+EX",--(DATOS!$G2681=CONFIG_METADATA!$B$4),IF(DATOS!$G2681="EX",1,IF(DATOS!$G2681="OR",--(COUNTIFS(nNIA,DATOS!$A2681,nCURSO,DATOS!$D2681,nESPEC,DATOS!$E2681,nASIG,DATOS!$I2681,nEVAL,"EX")=0),0))))</f>
      </c>
      <c r="H2681">
        <f>IF(DATOS!$G2681&lt;&gt;"EX",0,--(COUNTIFS(nNIA,DATOS!$A2681,nCURSO,DATOS!$D2681,nESPEC,DATOS!$E2681,nASIG,DATOS!$I2681,nEVAL,"OR")=0))</f>
      </c>
      <c r="I2681">
        <f>IF(DATOS!$I2681="","",IFERROR(VLOOKUP(DATOS!$I2681,CONFIG_ASIGNATURAS!$B$2:$J$91,9,FALSE()),""))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IF(DATOS!$A2682="",0,IF(CONFIG_METADATA!$B$4&lt;&gt;"OR+EX",--(DATOS!$G2682=CONFIG_METADATA!$B$4),IF(DATOS!$G2682="EX",1,IF(DATOS!$G2682="OR",--(COUNTIFS(nNIA,DATOS!$A2682,nCURSO,DATOS!$D2682,nESPEC,DATOS!$E2682,nASIG,DATOS!$I2682,nEVAL,"EX")=0),0))))</f>
      </c>
      <c r="H2682">
        <f>IF(DATOS!$G2682&lt;&gt;"EX",0,--(COUNTIFS(nNIA,DATOS!$A2682,nCURSO,DATOS!$D2682,nESPEC,DATOS!$E2682,nASIG,DATOS!$I2682,nEVAL,"OR")=0))</f>
      </c>
      <c r="I2682">
        <f>IF(DATOS!$I2682="","",IFERROR(VLOOKUP(DATOS!$I2682,CONFIG_ASIGNATURAS!$B$2:$J$91,9,FALSE()),""))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IF(DATOS!$A2683="",0,IF(CONFIG_METADATA!$B$4&lt;&gt;"OR+EX",--(DATOS!$G2683=CONFIG_METADATA!$B$4),IF(DATOS!$G2683="EX",1,IF(DATOS!$G2683="OR",--(COUNTIFS(nNIA,DATOS!$A2683,nCURSO,DATOS!$D2683,nESPEC,DATOS!$E2683,nASIG,DATOS!$I2683,nEVAL,"EX")=0),0))))</f>
      </c>
      <c r="H2683">
        <f>IF(DATOS!$G2683&lt;&gt;"EX",0,--(COUNTIFS(nNIA,DATOS!$A2683,nCURSO,DATOS!$D2683,nESPEC,DATOS!$E2683,nASIG,DATOS!$I2683,nEVAL,"OR")=0))</f>
      </c>
      <c r="I2683">
        <f>IF(DATOS!$I2683="","",IFERROR(VLOOKUP(DATOS!$I2683,CONFIG_ASIGNATURAS!$B$2:$J$91,9,FALSE()),""))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IF(DATOS!$A2684="",0,IF(CONFIG_METADATA!$B$4&lt;&gt;"OR+EX",--(DATOS!$G2684=CONFIG_METADATA!$B$4),IF(DATOS!$G2684="EX",1,IF(DATOS!$G2684="OR",--(COUNTIFS(nNIA,DATOS!$A2684,nCURSO,DATOS!$D2684,nESPEC,DATOS!$E2684,nASIG,DATOS!$I2684,nEVAL,"EX")=0),0))))</f>
      </c>
      <c r="H2684">
        <f>IF(DATOS!$G2684&lt;&gt;"EX",0,--(COUNTIFS(nNIA,DATOS!$A2684,nCURSO,DATOS!$D2684,nESPEC,DATOS!$E2684,nASIG,DATOS!$I2684,nEVAL,"OR")=0))</f>
      </c>
      <c r="I2684">
        <f>IF(DATOS!$I2684="","",IFERROR(VLOOKUP(DATOS!$I2684,CONFIG_ASIGNATURAS!$B$2:$J$91,9,FALSE()),""))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IF(DATOS!$A2685="",0,IF(CONFIG_METADATA!$B$4&lt;&gt;"OR+EX",--(DATOS!$G2685=CONFIG_METADATA!$B$4),IF(DATOS!$G2685="EX",1,IF(DATOS!$G2685="OR",--(COUNTIFS(nNIA,DATOS!$A2685,nCURSO,DATOS!$D2685,nESPEC,DATOS!$E2685,nASIG,DATOS!$I2685,nEVAL,"EX")=0),0))))</f>
      </c>
      <c r="H2685">
        <f>IF(DATOS!$G2685&lt;&gt;"EX",0,--(COUNTIFS(nNIA,DATOS!$A2685,nCURSO,DATOS!$D2685,nESPEC,DATOS!$E2685,nASIG,DATOS!$I2685,nEVAL,"OR")=0))</f>
      </c>
      <c r="I2685">
        <f>IF(DATOS!$I2685="","",IFERROR(VLOOKUP(DATOS!$I2685,CONFIG_ASIGNATURAS!$B$2:$J$91,9,FALSE()),""))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IF(DATOS!$A2686="",0,IF(CONFIG_METADATA!$B$4&lt;&gt;"OR+EX",--(DATOS!$G2686=CONFIG_METADATA!$B$4),IF(DATOS!$G2686="EX",1,IF(DATOS!$G2686="OR",--(COUNTIFS(nNIA,DATOS!$A2686,nCURSO,DATOS!$D2686,nESPEC,DATOS!$E2686,nASIG,DATOS!$I2686,nEVAL,"EX")=0),0))))</f>
      </c>
      <c r="H2686">
        <f>IF(DATOS!$G2686&lt;&gt;"EX",0,--(COUNTIFS(nNIA,DATOS!$A2686,nCURSO,DATOS!$D2686,nESPEC,DATOS!$E2686,nASIG,DATOS!$I2686,nEVAL,"OR")=0))</f>
      </c>
      <c r="I2686">
        <f>IF(DATOS!$I2686="","",IFERROR(VLOOKUP(DATOS!$I2686,CONFIG_ASIGNATURAS!$B$2:$J$91,9,FALSE()),""))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IF(DATOS!$A2687="",0,IF(CONFIG_METADATA!$B$4&lt;&gt;"OR+EX",--(DATOS!$G2687=CONFIG_METADATA!$B$4),IF(DATOS!$G2687="EX",1,IF(DATOS!$G2687="OR",--(COUNTIFS(nNIA,DATOS!$A2687,nCURSO,DATOS!$D2687,nESPEC,DATOS!$E2687,nASIG,DATOS!$I2687,nEVAL,"EX")=0),0))))</f>
      </c>
      <c r="H2687">
        <f>IF(DATOS!$G2687&lt;&gt;"EX",0,--(COUNTIFS(nNIA,DATOS!$A2687,nCURSO,DATOS!$D2687,nESPEC,DATOS!$E2687,nASIG,DATOS!$I2687,nEVAL,"OR")=0))</f>
      </c>
      <c r="I2687">
        <f>IF(DATOS!$I2687="","",IFERROR(VLOOKUP(DATOS!$I2687,CONFIG_ASIGNATURAS!$B$2:$J$91,9,FALSE()),""))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IF(DATOS!$A2688="",0,IF(CONFIG_METADATA!$B$4&lt;&gt;"OR+EX",--(DATOS!$G2688=CONFIG_METADATA!$B$4),IF(DATOS!$G2688="EX",1,IF(DATOS!$G2688="OR",--(COUNTIFS(nNIA,DATOS!$A2688,nCURSO,DATOS!$D2688,nESPEC,DATOS!$E2688,nASIG,DATOS!$I2688,nEVAL,"EX")=0),0))))</f>
      </c>
      <c r="H2688">
        <f>IF(DATOS!$G2688&lt;&gt;"EX",0,--(COUNTIFS(nNIA,DATOS!$A2688,nCURSO,DATOS!$D2688,nESPEC,DATOS!$E2688,nASIG,DATOS!$I2688,nEVAL,"OR")=0))</f>
      </c>
      <c r="I2688">
        <f>IF(DATOS!$I2688="","",IFERROR(VLOOKUP(DATOS!$I2688,CONFIG_ASIGNATURAS!$B$2:$J$91,9,FALSE()),""))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IF(DATOS!$A2689="",0,IF(CONFIG_METADATA!$B$4&lt;&gt;"OR+EX",--(DATOS!$G2689=CONFIG_METADATA!$B$4),IF(DATOS!$G2689="EX",1,IF(DATOS!$G2689="OR",--(COUNTIFS(nNIA,DATOS!$A2689,nCURSO,DATOS!$D2689,nESPEC,DATOS!$E2689,nASIG,DATOS!$I2689,nEVAL,"EX")=0),0))))</f>
      </c>
      <c r="H2689">
        <f>IF(DATOS!$G2689&lt;&gt;"EX",0,--(COUNTIFS(nNIA,DATOS!$A2689,nCURSO,DATOS!$D2689,nESPEC,DATOS!$E2689,nASIG,DATOS!$I2689,nEVAL,"OR")=0))</f>
      </c>
      <c r="I2689">
        <f>IF(DATOS!$I2689="","",IFERROR(VLOOKUP(DATOS!$I2689,CONFIG_ASIGNATURAS!$B$2:$J$91,9,FALSE()),""))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IF(DATOS!$A2690="",0,IF(CONFIG_METADATA!$B$4&lt;&gt;"OR+EX",--(DATOS!$G2690=CONFIG_METADATA!$B$4),IF(DATOS!$G2690="EX",1,IF(DATOS!$G2690="OR",--(COUNTIFS(nNIA,DATOS!$A2690,nCURSO,DATOS!$D2690,nESPEC,DATOS!$E2690,nASIG,DATOS!$I2690,nEVAL,"EX")=0),0))))</f>
      </c>
      <c r="H2690">
        <f>IF(DATOS!$G2690&lt;&gt;"EX",0,--(COUNTIFS(nNIA,DATOS!$A2690,nCURSO,DATOS!$D2690,nESPEC,DATOS!$E2690,nASIG,DATOS!$I2690,nEVAL,"OR")=0))</f>
      </c>
      <c r="I2690">
        <f>IF(DATOS!$I2690="","",IFERROR(VLOOKUP(DATOS!$I2690,CONFIG_ASIGNATURAS!$B$2:$J$91,9,FALSE()),""))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IF(DATOS!$A2691="",0,IF(CONFIG_METADATA!$B$4&lt;&gt;"OR+EX",--(DATOS!$G2691=CONFIG_METADATA!$B$4),IF(DATOS!$G2691="EX",1,IF(DATOS!$G2691="OR",--(COUNTIFS(nNIA,DATOS!$A2691,nCURSO,DATOS!$D2691,nESPEC,DATOS!$E2691,nASIG,DATOS!$I2691,nEVAL,"EX")=0),0))))</f>
      </c>
      <c r="H2691">
        <f>IF(DATOS!$G2691&lt;&gt;"EX",0,--(COUNTIFS(nNIA,DATOS!$A2691,nCURSO,DATOS!$D2691,nESPEC,DATOS!$E2691,nASIG,DATOS!$I2691,nEVAL,"OR")=0))</f>
      </c>
      <c r="I2691">
        <f>IF(DATOS!$I2691="","",IFERROR(VLOOKUP(DATOS!$I2691,CONFIG_ASIGNATURAS!$B$2:$J$91,9,FALSE()),""))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IF(DATOS!$A2692="",0,IF(CONFIG_METADATA!$B$4&lt;&gt;"OR+EX",--(DATOS!$G2692=CONFIG_METADATA!$B$4),IF(DATOS!$G2692="EX",1,IF(DATOS!$G2692="OR",--(COUNTIFS(nNIA,DATOS!$A2692,nCURSO,DATOS!$D2692,nESPEC,DATOS!$E2692,nASIG,DATOS!$I2692,nEVAL,"EX")=0),0))))</f>
      </c>
      <c r="H2692">
        <f>IF(DATOS!$G2692&lt;&gt;"EX",0,--(COUNTIFS(nNIA,DATOS!$A2692,nCURSO,DATOS!$D2692,nESPEC,DATOS!$E2692,nASIG,DATOS!$I2692,nEVAL,"OR")=0))</f>
      </c>
      <c r="I2692">
        <f>IF(DATOS!$I2692="","",IFERROR(VLOOKUP(DATOS!$I2692,CONFIG_ASIGNATURAS!$B$2:$J$91,9,FALSE()),""))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IF(DATOS!$A2693="",0,IF(CONFIG_METADATA!$B$4&lt;&gt;"OR+EX",--(DATOS!$G2693=CONFIG_METADATA!$B$4),IF(DATOS!$G2693="EX",1,IF(DATOS!$G2693="OR",--(COUNTIFS(nNIA,DATOS!$A2693,nCURSO,DATOS!$D2693,nESPEC,DATOS!$E2693,nASIG,DATOS!$I2693,nEVAL,"EX")=0),0))))</f>
      </c>
      <c r="H2693">
        <f>IF(DATOS!$G2693&lt;&gt;"EX",0,--(COUNTIFS(nNIA,DATOS!$A2693,nCURSO,DATOS!$D2693,nESPEC,DATOS!$E2693,nASIG,DATOS!$I2693,nEVAL,"OR")=0))</f>
      </c>
      <c r="I2693">
        <f>IF(DATOS!$I2693="","",IFERROR(VLOOKUP(DATOS!$I2693,CONFIG_ASIGNATURAS!$B$2:$J$91,9,FALSE()),""))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IF(DATOS!$A2694="",0,IF(CONFIG_METADATA!$B$4&lt;&gt;"OR+EX",--(DATOS!$G2694=CONFIG_METADATA!$B$4),IF(DATOS!$G2694="EX",1,IF(DATOS!$G2694="OR",--(COUNTIFS(nNIA,DATOS!$A2694,nCURSO,DATOS!$D2694,nESPEC,DATOS!$E2694,nASIG,DATOS!$I2694,nEVAL,"EX")=0),0))))</f>
      </c>
      <c r="H2694">
        <f>IF(DATOS!$G2694&lt;&gt;"EX",0,--(COUNTIFS(nNIA,DATOS!$A2694,nCURSO,DATOS!$D2694,nESPEC,DATOS!$E2694,nASIG,DATOS!$I2694,nEVAL,"OR")=0))</f>
      </c>
      <c r="I2694">
        <f>IF(DATOS!$I2694="","",IFERROR(VLOOKUP(DATOS!$I2694,CONFIG_ASIGNATURAS!$B$2:$J$91,9,FALSE()),""))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IF(DATOS!$A2695="",0,IF(CONFIG_METADATA!$B$4&lt;&gt;"OR+EX",--(DATOS!$G2695=CONFIG_METADATA!$B$4),IF(DATOS!$G2695="EX",1,IF(DATOS!$G2695="OR",--(COUNTIFS(nNIA,DATOS!$A2695,nCURSO,DATOS!$D2695,nESPEC,DATOS!$E2695,nASIG,DATOS!$I2695,nEVAL,"EX")=0),0))))</f>
      </c>
      <c r="H2695">
        <f>IF(DATOS!$G2695&lt;&gt;"EX",0,--(COUNTIFS(nNIA,DATOS!$A2695,nCURSO,DATOS!$D2695,nESPEC,DATOS!$E2695,nASIG,DATOS!$I2695,nEVAL,"OR")=0))</f>
      </c>
      <c r="I2695">
        <f>IF(DATOS!$I2695="","",IFERROR(VLOOKUP(DATOS!$I2695,CONFIG_ASIGNATURAS!$B$2:$J$91,9,FALSE()),""))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IF(DATOS!$A2696="",0,IF(CONFIG_METADATA!$B$4&lt;&gt;"OR+EX",--(DATOS!$G2696=CONFIG_METADATA!$B$4),IF(DATOS!$G2696="EX",1,IF(DATOS!$G2696="OR",--(COUNTIFS(nNIA,DATOS!$A2696,nCURSO,DATOS!$D2696,nESPEC,DATOS!$E2696,nASIG,DATOS!$I2696,nEVAL,"EX")=0),0))))</f>
      </c>
      <c r="H2696">
        <f>IF(DATOS!$G2696&lt;&gt;"EX",0,--(COUNTIFS(nNIA,DATOS!$A2696,nCURSO,DATOS!$D2696,nESPEC,DATOS!$E2696,nASIG,DATOS!$I2696,nEVAL,"OR")=0))</f>
      </c>
      <c r="I2696">
        <f>IF(DATOS!$I2696="","",IFERROR(VLOOKUP(DATOS!$I2696,CONFIG_ASIGNATURAS!$B$2:$J$91,9,FALSE()),""))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IF(DATOS!$A2697="",0,IF(CONFIG_METADATA!$B$4&lt;&gt;"OR+EX",--(DATOS!$G2697=CONFIG_METADATA!$B$4),IF(DATOS!$G2697="EX",1,IF(DATOS!$G2697="OR",--(COUNTIFS(nNIA,DATOS!$A2697,nCURSO,DATOS!$D2697,nESPEC,DATOS!$E2697,nASIG,DATOS!$I2697,nEVAL,"EX")=0),0))))</f>
      </c>
      <c r="H2697">
        <f>IF(DATOS!$G2697&lt;&gt;"EX",0,--(COUNTIFS(nNIA,DATOS!$A2697,nCURSO,DATOS!$D2697,nESPEC,DATOS!$E2697,nASIG,DATOS!$I2697,nEVAL,"OR")=0))</f>
      </c>
      <c r="I2697">
        <f>IF(DATOS!$I2697="","",IFERROR(VLOOKUP(DATOS!$I2697,CONFIG_ASIGNATURAS!$B$2:$J$91,9,FALSE()),""))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IF(DATOS!$A2698="",0,IF(CONFIG_METADATA!$B$4&lt;&gt;"OR+EX",--(DATOS!$G2698=CONFIG_METADATA!$B$4),IF(DATOS!$G2698="EX",1,IF(DATOS!$G2698="OR",--(COUNTIFS(nNIA,DATOS!$A2698,nCURSO,DATOS!$D2698,nESPEC,DATOS!$E2698,nASIG,DATOS!$I2698,nEVAL,"EX")=0),0))))</f>
      </c>
      <c r="H2698">
        <f>IF(DATOS!$G2698&lt;&gt;"EX",0,--(COUNTIFS(nNIA,DATOS!$A2698,nCURSO,DATOS!$D2698,nESPEC,DATOS!$E2698,nASIG,DATOS!$I2698,nEVAL,"OR")=0))</f>
      </c>
      <c r="I2698">
        <f>IF(DATOS!$I2698="","",IFERROR(VLOOKUP(DATOS!$I2698,CONFIG_ASIGNATURAS!$B$2:$J$91,9,FALSE()),""))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IF(DATOS!$A2699="",0,IF(CONFIG_METADATA!$B$4&lt;&gt;"OR+EX",--(DATOS!$G2699=CONFIG_METADATA!$B$4),IF(DATOS!$G2699="EX",1,IF(DATOS!$G2699="OR",--(COUNTIFS(nNIA,DATOS!$A2699,nCURSO,DATOS!$D2699,nESPEC,DATOS!$E2699,nASIG,DATOS!$I2699,nEVAL,"EX")=0),0))))</f>
      </c>
      <c r="H2699">
        <f>IF(DATOS!$G2699&lt;&gt;"EX",0,--(COUNTIFS(nNIA,DATOS!$A2699,nCURSO,DATOS!$D2699,nESPEC,DATOS!$E2699,nASIG,DATOS!$I2699,nEVAL,"OR")=0))</f>
      </c>
      <c r="I2699">
        <f>IF(DATOS!$I2699="","",IFERROR(VLOOKUP(DATOS!$I2699,CONFIG_ASIGNATURAS!$B$2:$J$91,9,FALSE()),""))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IF(DATOS!$A2700="",0,IF(CONFIG_METADATA!$B$4&lt;&gt;"OR+EX",--(DATOS!$G2700=CONFIG_METADATA!$B$4),IF(DATOS!$G2700="EX",1,IF(DATOS!$G2700="OR",--(COUNTIFS(nNIA,DATOS!$A2700,nCURSO,DATOS!$D2700,nESPEC,DATOS!$E2700,nASIG,DATOS!$I2700,nEVAL,"EX")=0),0))))</f>
      </c>
      <c r="H2700">
        <f>IF(DATOS!$G2700&lt;&gt;"EX",0,--(COUNTIFS(nNIA,DATOS!$A2700,nCURSO,DATOS!$D2700,nESPEC,DATOS!$E2700,nASIG,DATOS!$I2700,nEVAL,"OR")=0))</f>
      </c>
      <c r="I2700">
        <f>IF(DATOS!$I2700="","",IFERROR(VLOOKUP(DATOS!$I2700,CONFIG_ASIGNATURAS!$B$2:$J$91,9,FALSE()),""))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IF(DATOS!$A2701="",0,IF(CONFIG_METADATA!$B$4&lt;&gt;"OR+EX",--(DATOS!$G2701=CONFIG_METADATA!$B$4),IF(DATOS!$G2701="EX",1,IF(DATOS!$G2701="OR",--(COUNTIFS(nNIA,DATOS!$A2701,nCURSO,DATOS!$D2701,nESPEC,DATOS!$E2701,nASIG,DATOS!$I2701,nEVAL,"EX")=0),0))))</f>
      </c>
      <c r="H2701">
        <f>IF(DATOS!$G2701&lt;&gt;"EX",0,--(COUNTIFS(nNIA,DATOS!$A2701,nCURSO,DATOS!$D2701,nESPEC,DATOS!$E2701,nASIG,DATOS!$I2701,nEVAL,"OR")=0))</f>
      </c>
      <c r="I2701">
        <f>IF(DATOS!$I2701="","",IFERROR(VLOOKUP(DATOS!$I2701,CONFIG_ASIGNATURAS!$B$2:$J$91,9,FALSE()),""))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IF(DATOS!$A2702="",0,IF(CONFIG_METADATA!$B$4&lt;&gt;"OR+EX",--(DATOS!$G2702=CONFIG_METADATA!$B$4),IF(DATOS!$G2702="EX",1,IF(DATOS!$G2702="OR",--(COUNTIFS(nNIA,DATOS!$A2702,nCURSO,DATOS!$D2702,nESPEC,DATOS!$E2702,nASIG,DATOS!$I2702,nEVAL,"EX")=0),0))))</f>
      </c>
      <c r="H2702">
        <f>IF(DATOS!$G2702&lt;&gt;"EX",0,--(COUNTIFS(nNIA,DATOS!$A2702,nCURSO,DATOS!$D2702,nESPEC,DATOS!$E2702,nASIG,DATOS!$I2702,nEVAL,"OR")=0))</f>
      </c>
      <c r="I2702">
        <f>IF(DATOS!$I2702="","",IFERROR(VLOOKUP(DATOS!$I2702,CONFIG_ASIGNATURAS!$B$2:$J$91,9,FALSE()),""))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IF(DATOS!$A2703="",0,IF(CONFIG_METADATA!$B$4&lt;&gt;"OR+EX",--(DATOS!$G2703=CONFIG_METADATA!$B$4),IF(DATOS!$G2703="EX",1,IF(DATOS!$G2703="OR",--(COUNTIFS(nNIA,DATOS!$A2703,nCURSO,DATOS!$D2703,nESPEC,DATOS!$E2703,nASIG,DATOS!$I2703,nEVAL,"EX")=0),0))))</f>
      </c>
      <c r="H2703">
        <f>IF(DATOS!$G2703&lt;&gt;"EX",0,--(COUNTIFS(nNIA,DATOS!$A2703,nCURSO,DATOS!$D2703,nESPEC,DATOS!$E2703,nASIG,DATOS!$I2703,nEVAL,"OR")=0))</f>
      </c>
      <c r="I2703">
        <f>IF(DATOS!$I2703="","",IFERROR(VLOOKUP(DATOS!$I2703,CONFIG_ASIGNATURAS!$B$2:$J$91,9,FALSE()),""))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IF(DATOS!$A2704="",0,IF(CONFIG_METADATA!$B$4&lt;&gt;"OR+EX",--(DATOS!$G2704=CONFIG_METADATA!$B$4),IF(DATOS!$G2704="EX",1,IF(DATOS!$G2704="OR",--(COUNTIFS(nNIA,DATOS!$A2704,nCURSO,DATOS!$D2704,nESPEC,DATOS!$E2704,nASIG,DATOS!$I2704,nEVAL,"EX")=0),0))))</f>
      </c>
      <c r="H2704">
        <f>IF(DATOS!$G2704&lt;&gt;"EX",0,--(COUNTIFS(nNIA,DATOS!$A2704,nCURSO,DATOS!$D2704,nESPEC,DATOS!$E2704,nASIG,DATOS!$I2704,nEVAL,"OR")=0))</f>
      </c>
      <c r="I2704">
        <f>IF(DATOS!$I2704="","",IFERROR(VLOOKUP(DATOS!$I2704,CONFIG_ASIGNATURAS!$B$2:$J$91,9,FALSE()),""))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IF(DATOS!$A2705="",0,IF(CONFIG_METADATA!$B$4&lt;&gt;"OR+EX",--(DATOS!$G2705=CONFIG_METADATA!$B$4),IF(DATOS!$G2705="EX",1,IF(DATOS!$G2705="OR",--(COUNTIFS(nNIA,DATOS!$A2705,nCURSO,DATOS!$D2705,nESPEC,DATOS!$E2705,nASIG,DATOS!$I2705,nEVAL,"EX")=0),0))))</f>
      </c>
      <c r="H2705">
        <f>IF(DATOS!$G2705&lt;&gt;"EX",0,--(COUNTIFS(nNIA,DATOS!$A2705,nCURSO,DATOS!$D2705,nESPEC,DATOS!$E2705,nASIG,DATOS!$I2705,nEVAL,"OR")=0))</f>
      </c>
      <c r="I2705">
        <f>IF(DATOS!$I2705="","",IFERROR(VLOOKUP(DATOS!$I2705,CONFIG_ASIGNATURAS!$B$2:$J$91,9,FALSE()),""))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IF(DATOS!$A2706="",0,IF(CONFIG_METADATA!$B$4&lt;&gt;"OR+EX",--(DATOS!$G2706=CONFIG_METADATA!$B$4),IF(DATOS!$G2706="EX",1,IF(DATOS!$G2706="OR",--(COUNTIFS(nNIA,DATOS!$A2706,nCURSO,DATOS!$D2706,nESPEC,DATOS!$E2706,nASIG,DATOS!$I2706,nEVAL,"EX")=0),0))))</f>
      </c>
      <c r="H2706">
        <f>IF(DATOS!$G2706&lt;&gt;"EX",0,--(COUNTIFS(nNIA,DATOS!$A2706,nCURSO,DATOS!$D2706,nESPEC,DATOS!$E2706,nASIG,DATOS!$I2706,nEVAL,"OR")=0))</f>
      </c>
      <c r="I2706">
        <f>IF(DATOS!$I2706="","",IFERROR(VLOOKUP(DATOS!$I2706,CONFIG_ASIGNATURAS!$B$2:$J$91,9,FALSE()),""))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IF(DATOS!$A2707="",0,IF(CONFIG_METADATA!$B$4&lt;&gt;"OR+EX",--(DATOS!$G2707=CONFIG_METADATA!$B$4),IF(DATOS!$G2707="EX",1,IF(DATOS!$G2707="OR",--(COUNTIFS(nNIA,DATOS!$A2707,nCURSO,DATOS!$D2707,nESPEC,DATOS!$E2707,nASIG,DATOS!$I2707,nEVAL,"EX")=0),0))))</f>
      </c>
      <c r="H2707">
        <f>IF(DATOS!$G2707&lt;&gt;"EX",0,--(COUNTIFS(nNIA,DATOS!$A2707,nCURSO,DATOS!$D2707,nESPEC,DATOS!$E2707,nASIG,DATOS!$I2707,nEVAL,"OR")=0))</f>
      </c>
      <c r="I2707">
        <f>IF(DATOS!$I2707="","",IFERROR(VLOOKUP(DATOS!$I2707,CONFIG_ASIGNATURAS!$B$2:$J$91,9,FALSE()),""))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IF(DATOS!$A2708="",0,IF(CONFIG_METADATA!$B$4&lt;&gt;"OR+EX",--(DATOS!$G2708=CONFIG_METADATA!$B$4),IF(DATOS!$G2708="EX",1,IF(DATOS!$G2708="OR",--(COUNTIFS(nNIA,DATOS!$A2708,nCURSO,DATOS!$D2708,nESPEC,DATOS!$E2708,nASIG,DATOS!$I2708,nEVAL,"EX")=0),0))))</f>
      </c>
      <c r="H2708">
        <f>IF(DATOS!$G2708&lt;&gt;"EX",0,--(COUNTIFS(nNIA,DATOS!$A2708,nCURSO,DATOS!$D2708,nESPEC,DATOS!$E2708,nASIG,DATOS!$I2708,nEVAL,"OR")=0))</f>
      </c>
      <c r="I2708">
        <f>IF(DATOS!$I2708="","",IFERROR(VLOOKUP(DATOS!$I2708,CONFIG_ASIGNATURAS!$B$2:$J$91,9,FALSE()),""))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IF(DATOS!$A2709="",0,IF(CONFIG_METADATA!$B$4&lt;&gt;"OR+EX",--(DATOS!$G2709=CONFIG_METADATA!$B$4),IF(DATOS!$G2709="EX",1,IF(DATOS!$G2709="OR",--(COUNTIFS(nNIA,DATOS!$A2709,nCURSO,DATOS!$D2709,nESPEC,DATOS!$E2709,nASIG,DATOS!$I2709,nEVAL,"EX")=0),0))))</f>
      </c>
      <c r="H2709">
        <f>IF(DATOS!$G2709&lt;&gt;"EX",0,--(COUNTIFS(nNIA,DATOS!$A2709,nCURSO,DATOS!$D2709,nESPEC,DATOS!$E2709,nASIG,DATOS!$I2709,nEVAL,"OR")=0))</f>
      </c>
      <c r="I2709">
        <f>IF(DATOS!$I2709="","",IFERROR(VLOOKUP(DATOS!$I2709,CONFIG_ASIGNATURAS!$B$2:$J$91,9,FALSE()),""))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IF(DATOS!$A2710="",0,IF(CONFIG_METADATA!$B$4&lt;&gt;"OR+EX",--(DATOS!$G2710=CONFIG_METADATA!$B$4),IF(DATOS!$G2710="EX",1,IF(DATOS!$G2710="OR",--(COUNTIFS(nNIA,DATOS!$A2710,nCURSO,DATOS!$D2710,nESPEC,DATOS!$E2710,nASIG,DATOS!$I2710,nEVAL,"EX")=0),0))))</f>
      </c>
      <c r="H2710">
        <f>IF(DATOS!$G2710&lt;&gt;"EX",0,--(COUNTIFS(nNIA,DATOS!$A2710,nCURSO,DATOS!$D2710,nESPEC,DATOS!$E2710,nASIG,DATOS!$I2710,nEVAL,"OR")=0))</f>
      </c>
      <c r="I2710">
        <f>IF(DATOS!$I2710="","",IFERROR(VLOOKUP(DATOS!$I2710,CONFIG_ASIGNATURAS!$B$2:$J$91,9,FALSE()),""))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IF(DATOS!$A2711="",0,IF(CONFIG_METADATA!$B$4&lt;&gt;"OR+EX",--(DATOS!$G2711=CONFIG_METADATA!$B$4),IF(DATOS!$G2711="EX",1,IF(DATOS!$G2711="OR",--(COUNTIFS(nNIA,DATOS!$A2711,nCURSO,DATOS!$D2711,nESPEC,DATOS!$E2711,nASIG,DATOS!$I2711,nEVAL,"EX")=0),0))))</f>
      </c>
      <c r="H2711">
        <f>IF(DATOS!$G2711&lt;&gt;"EX",0,--(COUNTIFS(nNIA,DATOS!$A2711,nCURSO,DATOS!$D2711,nESPEC,DATOS!$E2711,nASIG,DATOS!$I2711,nEVAL,"OR")=0))</f>
      </c>
      <c r="I2711">
        <f>IF(DATOS!$I2711="","",IFERROR(VLOOKUP(DATOS!$I2711,CONFIG_ASIGNATURAS!$B$2:$J$91,9,FALSE()),""))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IF(DATOS!$A2712="",0,IF(CONFIG_METADATA!$B$4&lt;&gt;"OR+EX",--(DATOS!$G2712=CONFIG_METADATA!$B$4),IF(DATOS!$G2712="EX",1,IF(DATOS!$G2712="OR",--(COUNTIFS(nNIA,DATOS!$A2712,nCURSO,DATOS!$D2712,nESPEC,DATOS!$E2712,nASIG,DATOS!$I2712,nEVAL,"EX")=0),0))))</f>
      </c>
      <c r="H2712">
        <f>IF(DATOS!$G2712&lt;&gt;"EX",0,--(COUNTIFS(nNIA,DATOS!$A2712,nCURSO,DATOS!$D2712,nESPEC,DATOS!$E2712,nASIG,DATOS!$I2712,nEVAL,"OR")=0))</f>
      </c>
      <c r="I2712">
        <f>IF(DATOS!$I2712="","",IFERROR(VLOOKUP(DATOS!$I2712,CONFIG_ASIGNATURAS!$B$2:$J$91,9,FALSE()),""))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IF(DATOS!$A2713="",0,IF(CONFIG_METADATA!$B$4&lt;&gt;"OR+EX",--(DATOS!$G2713=CONFIG_METADATA!$B$4),IF(DATOS!$G2713="EX",1,IF(DATOS!$G2713="OR",--(COUNTIFS(nNIA,DATOS!$A2713,nCURSO,DATOS!$D2713,nESPEC,DATOS!$E2713,nASIG,DATOS!$I2713,nEVAL,"EX")=0),0))))</f>
      </c>
      <c r="H2713">
        <f>IF(DATOS!$G2713&lt;&gt;"EX",0,--(COUNTIFS(nNIA,DATOS!$A2713,nCURSO,DATOS!$D2713,nESPEC,DATOS!$E2713,nASIG,DATOS!$I2713,nEVAL,"OR")=0))</f>
      </c>
      <c r="I2713">
        <f>IF(DATOS!$I2713="","",IFERROR(VLOOKUP(DATOS!$I2713,CONFIG_ASIGNATURAS!$B$2:$J$91,9,FALSE()),""))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IF(DATOS!$A2714="",0,IF(CONFIG_METADATA!$B$4&lt;&gt;"OR+EX",--(DATOS!$G2714=CONFIG_METADATA!$B$4),IF(DATOS!$G2714="EX",1,IF(DATOS!$G2714="OR",--(COUNTIFS(nNIA,DATOS!$A2714,nCURSO,DATOS!$D2714,nESPEC,DATOS!$E2714,nASIG,DATOS!$I2714,nEVAL,"EX")=0),0))))</f>
      </c>
      <c r="H2714">
        <f>IF(DATOS!$G2714&lt;&gt;"EX",0,--(COUNTIFS(nNIA,DATOS!$A2714,nCURSO,DATOS!$D2714,nESPEC,DATOS!$E2714,nASIG,DATOS!$I2714,nEVAL,"OR")=0))</f>
      </c>
      <c r="I2714">
        <f>IF(DATOS!$I2714="","",IFERROR(VLOOKUP(DATOS!$I2714,CONFIG_ASIGNATURAS!$B$2:$J$91,9,FALSE()),""))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IF(DATOS!$A2715="",0,IF(CONFIG_METADATA!$B$4&lt;&gt;"OR+EX",--(DATOS!$G2715=CONFIG_METADATA!$B$4),IF(DATOS!$G2715="EX",1,IF(DATOS!$G2715="OR",--(COUNTIFS(nNIA,DATOS!$A2715,nCURSO,DATOS!$D2715,nESPEC,DATOS!$E2715,nASIG,DATOS!$I2715,nEVAL,"EX")=0),0))))</f>
      </c>
      <c r="H2715">
        <f>IF(DATOS!$G2715&lt;&gt;"EX",0,--(COUNTIFS(nNIA,DATOS!$A2715,nCURSO,DATOS!$D2715,nESPEC,DATOS!$E2715,nASIG,DATOS!$I2715,nEVAL,"OR")=0))</f>
      </c>
      <c r="I2715">
        <f>IF(DATOS!$I2715="","",IFERROR(VLOOKUP(DATOS!$I2715,CONFIG_ASIGNATURAS!$B$2:$J$91,9,FALSE()),""))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IF(DATOS!$A2716="",0,IF(CONFIG_METADATA!$B$4&lt;&gt;"OR+EX",--(DATOS!$G2716=CONFIG_METADATA!$B$4),IF(DATOS!$G2716="EX",1,IF(DATOS!$G2716="OR",--(COUNTIFS(nNIA,DATOS!$A2716,nCURSO,DATOS!$D2716,nESPEC,DATOS!$E2716,nASIG,DATOS!$I2716,nEVAL,"EX")=0),0))))</f>
      </c>
      <c r="H2716">
        <f>IF(DATOS!$G2716&lt;&gt;"EX",0,--(COUNTIFS(nNIA,DATOS!$A2716,nCURSO,DATOS!$D2716,nESPEC,DATOS!$E2716,nASIG,DATOS!$I2716,nEVAL,"OR")=0))</f>
      </c>
      <c r="I2716">
        <f>IF(DATOS!$I2716="","",IFERROR(VLOOKUP(DATOS!$I2716,CONFIG_ASIGNATURAS!$B$2:$J$91,9,FALSE()),""))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IF(DATOS!$A2717="",0,IF(CONFIG_METADATA!$B$4&lt;&gt;"OR+EX",--(DATOS!$G2717=CONFIG_METADATA!$B$4),IF(DATOS!$G2717="EX",1,IF(DATOS!$G2717="OR",--(COUNTIFS(nNIA,DATOS!$A2717,nCURSO,DATOS!$D2717,nESPEC,DATOS!$E2717,nASIG,DATOS!$I2717,nEVAL,"EX")=0),0))))</f>
      </c>
      <c r="H2717">
        <f>IF(DATOS!$G2717&lt;&gt;"EX",0,--(COUNTIFS(nNIA,DATOS!$A2717,nCURSO,DATOS!$D2717,nESPEC,DATOS!$E2717,nASIG,DATOS!$I2717,nEVAL,"OR")=0))</f>
      </c>
      <c r="I2717">
        <f>IF(DATOS!$I2717="","",IFERROR(VLOOKUP(DATOS!$I2717,CONFIG_ASIGNATURAS!$B$2:$J$91,9,FALSE()),""))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IF(DATOS!$A2718="",0,IF(CONFIG_METADATA!$B$4&lt;&gt;"OR+EX",--(DATOS!$G2718=CONFIG_METADATA!$B$4),IF(DATOS!$G2718="EX",1,IF(DATOS!$G2718="OR",--(COUNTIFS(nNIA,DATOS!$A2718,nCURSO,DATOS!$D2718,nESPEC,DATOS!$E2718,nASIG,DATOS!$I2718,nEVAL,"EX")=0),0))))</f>
      </c>
      <c r="H2718">
        <f>IF(DATOS!$G2718&lt;&gt;"EX",0,--(COUNTIFS(nNIA,DATOS!$A2718,nCURSO,DATOS!$D2718,nESPEC,DATOS!$E2718,nASIG,DATOS!$I2718,nEVAL,"OR")=0))</f>
      </c>
      <c r="I2718">
        <f>IF(DATOS!$I2718="","",IFERROR(VLOOKUP(DATOS!$I2718,CONFIG_ASIGNATURAS!$B$2:$J$91,9,FALSE()),""))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IF(DATOS!$A2719="",0,IF(CONFIG_METADATA!$B$4&lt;&gt;"OR+EX",--(DATOS!$G2719=CONFIG_METADATA!$B$4),IF(DATOS!$G2719="EX",1,IF(DATOS!$G2719="OR",--(COUNTIFS(nNIA,DATOS!$A2719,nCURSO,DATOS!$D2719,nESPEC,DATOS!$E2719,nASIG,DATOS!$I2719,nEVAL,"EX")=0),0))))</f>
      </c>
      <c r="H2719">
        <f>IF(DATOS!$G2719&lt;&gt;"EX",0,--(COUNTIFS(nNIA,DATOS!$A2719,nCURSO,DATOS!$D2719,nESPEC,DATOS!$E2719,nASIG,DATOS!$I2719,nEVAL,"OR")=0))</f>
      </c>
      <c r="I2719">
        <f>IF(DATOS!$I2719="","",IFERROR(VLOOKUP(DATOS!$I2719,CONFIG_ASIGNATURAS!$B$2:$J$91,9,FALSE()),""))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IF(DATOS!$A2720="",0,IF(CONFIG_METADATA!$B$4&lt;&gt;"OR+EX",--(DATOS!$G2720=CONFIG_METADATA!$B$4),IF(DATOS!$G2720="EX",1,IF(DATOS!$G2720="OR",--(COUNTIFS(nNIA,DATOS!$A2720,nCURSO,DATOS!$D2720,nESPEC,DATOS!$E2720,nASIG,DATOS!$I2720,nEVAL,"EX")=0),0))))</f>
      </c>
      <c r="H2720">
        <f>IF(DATOS!$G2720&lt;&gt;"EX",0,--(COUNTIFS(nNIA,DATOS!$A2720,nCURSO,DATOS!$D2720,nESPEC,DATOS!$E2720,nASIG,DATOS!$I2720,nEVAL,"OR")=0))</f>
      </c>
      <c r="I2720">
        <f>IF(DATOS!$I2720="","",IFERROR(VLOOKUP(DATOS!$I2720,CONFIG_ASIGNATURAS!$B$2:$J$91,9,FALSE()),""))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IF(DATOS!$A2721="",0,IF(CONFIG_METADATA!$B$4&lt;&gt;"OR+EX",--(DATOS!$G2721=CONFIG_METADATA!$B$4),IF(DATOS!$G2721="EX",1,IF(DATOS!$G2721="OR",--(COUNTIFS(nNIA,DATOS!$A2721,nCURSO,DATOS!$D2721,nESPEC,DATOS!$E2721,nASIG,DATOS!$I2721,nEVAL,"EX")=0),0))))</f>
      </c>
      <c r="H2721">
        <f>IF(DATOS!$G2721&lt;&gt;"EX",0,--(COUNTIFS(nNIA,DATOS!$A2721,nCURSO,DATOS!$D2721,nESPEC,DATOS!$E2721,nASIG,DATOS!$I2721,nEVAL,"OR")=0))</f>
      </c>
      <c r="I2721">
        <f>IF(DATOS!$I2721="","",IFERROR(VLOOKUP(DATOS!$I2721,CONFIG_ASIGNATURAS!$B$2:$J$91,9,FALSE()),""))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IF(DATOS!$A2722="",0,IF(CONFIG_METADATA!$B$4&lt;&gt;"OR+EX",--(DATOS!$G2722=CONFIG_METADATA!$B$4),IF(DATOS!$G2722="EX",1,IF(DATOS!$G2722="OR",--(COUNTIFS(nNIA,DATOS!$A2722,nCURSO,DATOS!$D2722,nESPEC,DATOS!$E2722,nASIG,DATOS!$I2722,nEVAL,"EX")=0),0))))</f>
      </c>
      <c r="H2722">
        <f>IF(DATOS!$G2722&lt;&gt;"EX",0,--(COUNTIFS(nNIA,DATOS!$A2722,nCURSO,DATOS!$D2722,nESPEC,DATOS!$E2722,nASIG,DATOS!$I2722,nEVAL,"OR")=0))</f>
      </c>
      <c r="I2722">
        <f>IF(DATOS!$I2722="","",IFERROR(VLOOKUP(DATOS!$I2722,CONFIG_ASIGNATURAS!$B$2:$J$91,9,FALSE()),""))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IF(DATOS!$A2723="",0,IF(CONFIG_METADATA!$B$4&lt;&gt;"OR+EX",--(DATOS!$G2723=CONFIG_METADATA!$B$4),IF(DATOS!$G2723="EX",1,IF(DATOS!$G2723="OR",--(COUNTIFS(nNIA,DATOS!$A2723,nCURSO,DATOS!$D2723,nESPEC,DATOS!$E2723,nASIG,DATOS!$I2723,nEVAL,"EX")=0),0))))</f>
      </c>
      <c r="H2723">
        <f>IF(DATOS!$G2723&lt;&gt;"EX",0,--(COUNTIFS(nNIA,DATOS!$A2723,nCURSO,DATOS!$D2723,nESPEC,DATOS!$E2723,nASIG,DATOS!$I2723,nEVAL,"OR")=0))</f>
      </c>
      <c r="I2723">
        <f>IF(DATOS!$I2723="","",IFERROR(VLOOKUP(DATOS!$I2723,CONFIG_ASIGNATURAS!$B$2:$J$91,9,FALSE()),""))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IF(DATOS!$A2724="",0,IF(CONFIG_METADATA!$B$4&lt;&gt;"OR+EX",--(DATOS!$G2724=CONFIG_METADATA!$B$4),IF(DATOS!$G2724="EX",1,IF(DATOS!$G2724="OR",--(COUNTIFS(nNIA,DATOS!$A2724,nCURSO,DATOS!$D2724,nESPEC,DATOS!$E2724,nASIG,DATOS!$I2724,nEVAL,"EX")=0),0))))</f>
      </c>
      <c r="H2724">
        <f>IF(DATOS!$G2724&lt;&gt;"EX",0,--(COUNTIFS(nNIA,DATOS!$A2724,nCURSO,DATOS!$D2724,nESPEC,DATOS!$E2724,nASIG,DATOS!$I2724,nEVAL,"OR")=0))</f>
      </c>
      <c r="I2724">
        <f>IF(DATOS!$I2724="","",IFERROR(VLOOKUP(DATOS!$I2724,CONFIG_ASIGNATURAS!$B$2:$J$91,9,FALSE()),""))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IF(DATOS!$A2725="",0,IF(CONFIG_METADATA!$B$4&lt;&gt;"OR+EX",--(DATOS!$G2725=CONFIG_METADATA!$B$4),IF(DATOS!$G2725="EX",1,IF(DATOS!$G2725="OR",--(COUNTIFS(nNIA,DATOS!$A2725,nCURSO,DATOS!$D2725,nESPEC,DATOS!$E2725,nASIG,DATOS!$I2725,nEVAL,"EX")=0),0))))</f>
      </c>
      <c r="H2725">
        <f>IF(DATOS!$G2725&lt;&gt;"EX",0,--(COUNTIFS(nNIA,DATOS!$A2725,nCURSO,DATOS!$D2725,nESPEC,DATOS!$E2725,nASIG,DATOS!$I2725,nEVAL,"OR")=0))</f>
      </c>
      <c r="I2725">
        <f>IF(DATOS!$I2725="","",IFERROR(VLOOKUP(DATOS!$I2725,CONFIG_ASIGNATURAS!$B$2:$J$91,9,FALSE()),""))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IF(DATOS!$A2726="",0,IF(CONFIG_METADATA!$B$4&lt;&gt;"OR+EX",--(DATOS!$G2726=CONFIG_METADATA!$B$4),IF(DATOS!$G2726="EX",1,IF(DATOS!$G2726="OR",--(COUNTIFS(nNIA,DATOS!$A2726,nCURSO,DATOS!$D2726,nESPEC,DATOS!$E2726,nASIG,DATOS!$I2726,nEVAL,"EX")=0),0))))</f>
      </c>
      <c r="H2726">
        <f>IF(DATOS!$G2726&lt;&gt;"EX",0,--(COUNTIFS(nNIA,DATOS!$A2726,nCURSO,DATOS!$D2726,nESPEC,DATOS!$E2726,nASIG,DATOS!$I2726,nEVAL,"OR")=0))</f>
      </c>
      <c r="I2726">
        <f>IF(DATOS!$I2726="","",IFERROR(VLOOKUP(DATOS!$I2726,CONFIG_ASIGNATURAS!$B$2:$J$91,9,FALSE()),""))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IF(DATOS!$A2727="",0,IF(CONFIG_METADATA!$B$4&lt;&gt;"OR+EX",--(DATOS!$G2727=CONFIG_METADATA!$B$4),IF(DATOS!$G2727="EX",1,IF(DATOS!$G2727="OR",--(COUNTIFS(nNIA,DATOS!$A2727,nCURSO,DATOS!$D2727,nESPEC,DATOS!$E2727,nASIG,DATOS!$I2727,nEVAL,"EX")=0),0))))</f>
      </c>
      <c r="H2727">
        <f>IF(DATOS!$G2727&lt;&gt;"EX",0,--(COUNTIFS(nNIA,DATOS!$A2727,nCURSO,DATOS!$D2727,nESPEC,DATOS!$E2727,nASIG,DATOS!$I2727,nEVAL,"OR")=0))</f>
      </c>
      <c r="I2727">
        <f>IF(DATOS!$I2727="","",IFERROR(VLOOKUP(DATOS!$I2727,CONFIG_ASIGNATURAS!$B$2:$J$91,9,FALSE()),""))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IF(DATOS!$A2728="",0,IF(CONFIG_METADATA!$B$4&lt;&gt;"OR+EX",--(DATOS!$G2728=CONFIG_METADATA!$B$4),IF(DATOS!$G2728="EX",1,IF(DATOS!$G2728="OR",--(COUNTIFS(nNIA,DATOS!$A2728,nCURSO,DATOS!$D2728,nESPEC,DATOS!$E2728,nASIG,DATOS!$I2728,nEVAL,"EX")=0),0))))</f>
      </c>
      <c r="H2728">
        <f>IF(DATOS!$G2728&lt;&gt;"EX",0,--(COUNTIFS(nNIA,DATOS!$A2728,nCURSO,DATOS!$D2728,nESPEC,DATOS!$E2728,nASIG,DATOS!$I2728,nEVAL,"OR")=0))</f>
      </c>
      <c r="I2728">
        <f>IF(DATOS!$I2728="","",IFERROR(VLOOKUP(DATOS!$I2728,CONFIG_ASIGNATURAS!$B$2:$J$91,9,FALSE()),""))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IF(DATOS!$A2729="",0,IF(CONFIG_METADATA!$B$4&lt;&gt;"OR+EX",--(DATOS!$G2729=CONFIG_METADATA!$B$4),IF(DATOS!$G2729="EX",1,IF(DATOS!$G2729="OR",--(COUNTIFS(nNIA,DATOS!$A2729,nCURSO,DATOS!$D2729,nESPEC,DATOS!$E2729,nASIG,DATOS!$I2729,nEVAL,"EX")=0),0))))</f>
      </c>
      <c r="H2729">
        <f>IF(DATOS!$G2729&lt;&gt;"EX",0,--(COUNTIFS(nNIA,DATOS!$A2729,nCURSO,DATOS!$D2729,nESPEC,DATOS!$E2729,nASIG,DATOS!$I2729,nEVAL,"OR")=0))</f>
      </c>
      <c r="I2729">
        <f>IF(DATOS!$I2729="","",IFERROR(VLOOKUP(DATOS!$I2729,CONFIG_ASIGNATURAS!$B$2:$J$91,9,FALSE()),""))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IF(DATOS!$A2730="",0,IF(CONFIG_METADATA!$B$4&lt;&gt;"OR+EX",--(DATOS!$G2730=CONFIG_METADATA!$B$4),IF(DATOS!$G2730="EX",1,IF(DATOS!$G2730="OR",--(COUNTIFS(nNIA,DATOS!$A2730,nCURSO,DATOS!$D2730,nESPEC,DATOS!$E2730,nASIG,DATOS!$I2730,nEVAL,"EX")=0),0))))</f>
      </c>
      <c r="H2730">
        <f>IF(DATOS!$G2730&lt;&gt;"EX",0,--(COUNTIFS(nNIA,DATOS!$A2730,nCURSO,DATOS!$D2730,nESPEC,DATOS!$E2730,nASIG,DATOS!$I2730,nEVAL,"OR")=0))</f>
      </c>
      <c r="I2730">
        <f>IF(DATOS!$I2730="","",IFERROR(VLOOKUP(DATOS!$I2730,CONFIG_ASIGNATURAS!$B$2:$J$91,9,FALSE()),""))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IF(DATOS!$A2731="",0,IF(CONFIG_METADATA!$B$4&lt;&gt;"OR+EX",--(DATOS!$G2731=CONFIG_METADATA!$B$4),IF(DATOS!$G2731="EX",1,IF(DATOS!$G2731="OR",--(COUNTIFS(nNIA,DATOS!$A2731,nCURSO,DATOS!$D2731,nESPEC,DATOS!$E2731,nASIG,DATOS!$I2731,nEVAL,"EX")=0),0))))</f>
      </c>
      <c r="H2731">
        <f>IF(DATOS!$G2731&lt;&gt;"EX",0,--(COUNTIFS(nNIA,DATOS!$A2731,nCURSO,DATOS!$D2731,nESPEC,DATOS!$E2731,nASIG,DATOS!$I2731,nEVAL,"OR")=0))</f>
      </c>
      <c r="I2731">
        <f>IF(DATOS!$I2731="","",IFERROR(VLOOKUP(DATOS!$I2731,CONFIG_ASIGNATURAS!$B$2:$J$91,9,FALSE()),""))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IF(DATOS!$A2732="",0,IF(CONFIG_METADATA!$B$4&lt;&gt;"OR+EX",--(DATOS!$G2732=CONFIG_METADATA!$B$4),IF(DATOS!$G2732="EX",1,IF(DATOS!$G2732="OR",--(COUNTIFS(nNIA,DATOS!$A2732,nCURSO,DATOS!$D2732,nESPEC,DATOS!$E2732,nASIG,DATOS!$I2732,nEVAL,"EX")=0),0))))</f>
      </c>
      <c r="H2732">
        <f>IF(DATOS!$G2732&lt;&gt;"EX",0,--(COUNTIFS(nNIA,DATOS!$A2732,nCURSO,DATOS!$D2732,nESPEC,DATOS!$E2732,nASIG,DATOS!$I2732,nEVAL,"OR")=0))</f>
      </c>
      <c r="I2732">
        <f>IF(DATOS!$I2732="","",IFERROR(VLOOKUP(DATOS!$I2732,CONFIG_ASIGNATURAS!$B$2:$J$91,9,FALSE()),""))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IF(DATOS!$A2733="",0,IF(CONFIG_METADATA!$B$4&lt;&gt;"OR+EX",--(DATOS!$G2733=CONFIG_METADATA!$B$4),IF(DATOS!$G2733="EX",1,IF(DATOS!$G2733="OR",--(COUNTIFS(nNIA,DATOS!$A2733,nCURSO,DATOS!$D2733,nESPEC,DATOS!$E2733,nASIG,DATOS!$I2733,nEVAL,"EX")=0),0))))</f>
      </c>
      <c r="H2733">
        <f>IF(DATOS!$G2733&lt;&gt;"EX",0,--(COUNTIFS(nNIA,DATOS!$A2733,nCURSO,DATOS!$D2733,nESPEC,DATOS!$E2733,nASIG,DATOS!$I2733,nEVAL,"OR")=0))</f>
      </c>
      <c r="I2733">
        <f>IF(DATOS!$I2733="","",IFERROR(VLOOKUP(DATOS!$I2733,CONFIG_ASIGNATURAS!$B$2:$J$91,9,FALSE()),""))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IF(DATOS!$A2734="",0,IF(CONFIG_METADATA!$B$4&lt;&gt;"OR+EX",--(DATOS!$G2734=CONFIG_METADATA!$B$4),IF(DATOS!$G2734="EX",1,IF(DATOS!$G2734="OR",--(COUNTIFS(nNIA,DATOS!$A2734,nCURSO,DATOS!$D2734,nESPEC,DATOS!$E2734,nASIG,DATOS!$I2734,nEVAL,"EX")=0),0))))</f>
      </c>
      <c r="H2734">
        <f>IF(DATOS!$G2734&lt;&gt;"EX",0,--(COUNTIFS(nNIA,DATOS!$A2734,nCURSO,DATOS!$D2734,nESPEC,DATOS!$E2734,nASIG,DATOS!$I2734,nEVAL,"OR")=0))</f>
      </c>
      <c r="I2734">
        <f>IF(DATOS!$I2734="","",IFERROR(VLOOKUP(DATOS!$I2734,CONFIG_ASIGNATURAS!$B$2:$J$91,9,FALSE()),""))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IF(DATOS!$A2735="",0,IF(CONFIG_METADATA!$B$4&lt;&gt;"OR+EX",--(DATOS!$G2735=CONFIG_METADATA!$B$4),IF(DATOS!$G2735="EX",1,IF(DATOS!$G2735="OR",--(COUNTIFS(nNIA,DATOS!$A2735,nCURSO,DATOS!$D2735,nESPEC,DATOS!$E2735,nASIG,DATOS!$I2735,nEVAL,"EX")=0),0))))</f>
      </c>
      <c r="H2735">
        <f>IF(DATOS!$G2735&lt;&gt;"EX",0,--(COUNTIFS(nNIA,DATOS!$A2735,nCURSO,DATOS!$D2735,nESPEC,DATOS!$E2735,nASIG,DATOS!$I2735,nEVAL,"OR")=0))</f>
      </c>
      <c r="I2735">
        <f>IF(DATOS!$I2735="","",IFERROR(VLOOKUP(DATOS!$I2735,CONFIG_ASIGNATURAS!$B$2:$J$91,9,FALSE()),""))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IF(DATOS!$A2736="",0,IF(CONFIG_METADATA!$B$4&lt;&gt;"OR+EX",--(DATOS!$G2736=CONFIG_METADATA!$B$4),IF(DATOS!$G2736="EX",1,IF(DATOS!$G2736="OR",--(COUNTIFS(nNIA,DATOS!$A2736,nCURSO,DATOS!$D2736,nESPEC,DATOS!$E2736,nASIG,DATOS!$I2736,nEVAL,"EX")=0),0))))</f>
      </c>
      <c r="H2736">
        <f>IF(DATOS!$G2736&lt;&gt;"EX",0,--(COUNTIFS(nNIA,DATOS!$A2736,nCURSO,DATOS!$D2736,nESPEC,DATOS!$E2736,nASIG,DATOS!$I2736,nEVAL,"OR")=0))</f>
      </c>
      <c r="I2736">
        <f>IF(DATOS!$I2736="","",IFERROR(VLOOKUP(DATOS!$I2736,CONFIG_ASIGNATURAS!$B$2:$J$91,9,FALSE()),""))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IF(DATOS!$A2737="",0,IF(CONFIG_METADATA!$B$4&lt;&gt;"OR+EX",--(DATOS!$G2737=CONFIG_METADATA!$B$4),IF(DATOS!$G2737="EX",1,IF(DATOS!$G2737="OR",--(COUNTIFS(nNIA,DATOS!$A2737,nCURSO,DATOS!$D2737,nESPEC,DATOS!$E2737,nASIG,DATOS!$I2737,nEVAL,"EX")=0),0))))</f>
      </c>
      <c r="H2737">
        <f>IF(DATOS!$G2737&lt;&gt;"EX",0,--(COUNTIFS(nNIA,DATOS!$A2737,nCURSO,DATOS!$D2737,nESPEC,DATOS!$E2737,nASIG,DATOS!$I2737,nEVAL,"OR")=0))</f>
      </c>
      <c r="I2737">
        <f>IF(DATOS!$I2737="","",IFERROR(VLOOKUP(DATOS!$I2737,CONFIG_ASIGNATURAS!$B$2:$J$91,9,FALSE()),""))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IF(DATOS!$A2738="",0,IF(CONFIG_METADATA!$B$4&lt;&gt;"OR+EX",--(DATOS!$G2738=CONFIG_METADATA!$B$4),IF(DATOS!$G2738="EX",1,IF(DATOS!$G2738="OR",--(COUNTIFS(nNIA,DATOS!$A2738,nCURSO,DATOS!$D2738,nESPEC,DATOS!$E2738,nASIG,DATOS!$I2738,nEVAL,"EX")=0),0))))</f>
      </c>
      <c r="H2738">
        <f>IF(DATOS!$G2738&lt;&gt;"EX",0,--(COUNTIFS(nNIA,DATOS!$A2738,nCURSO,DATOS!$D2738,nESPEC,DATOS!$E2738,nASIG,DATOS!$I2738,nEVAL,"OR")=0))</f>
      </c>
      <c r="I2738">
        <f>IF(DATOS!$I2738="","",IFERROR(VLOOKUP(DATOS!$I2738,CONFIG_ASIGNATURAS!$B$2:$J$91,9,FALSE()),""))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IF(DATOS!$A2739="",0,IF(CONFIG_METADATA!$B$4&lt;&gt;"OR+EX",--(DATOS!$G2739=CONFIG_METADATA!$B$4),IF(DATOS!$G2739="EX",1,IF(DATOS!$G2739="OR",--(COUNTIFS(nNIA,DATOS!$A2739,nCURSO,DATOS!$D2739,nESPEC,DATOS!$E2739,nASIG,DATOS!$I2739,nEVAL,"EX")=0),0))))</f>
      </c>
      <c r="H2739">
        <f>IF(DATOS!$G2739&lt;&gt;"EX",0,--(COUNTIFS(nNIA,DATOS!$A2739,nCURSO,DATOS!$D2739,nESPEC,DATOS!$E2739,nASIG,DATOS!$I2739,nEVAL,"OR")=0))</f>
      </c>
      <c r="I2739">
        <f>IF(DATOS!$I2739="","",IFERROR(VLOOKUP(DATOS!$I2739,CONFIG_ASIGNATURAS!$B$2:$J$91,9,FALSE()),""))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IF(DATOS!$A2740="",0,IF(CONFIG_METADATA!$B$4&lt;&gt;"OR+EX",--(DATOS!$G2740=CONFIG_METADATA!$B$4),IF(DATOS!$G2740="EX",1,IF(DATOS!$G2740="OR",--(COUNTIFS(nNIA,DATOS!$A2740,nCURSO,DATOS!$D2740,nESPEC,DATOS!$E2740,nASIG,DATOS!$I2740,nEVAL,"EX")=0),0))))</f>
      </c>
      <c r="H2740">
        <f>IF(DATOS!$G2740&lt;&gt;"EX",0,--(COUNTIFS(nNIA,DATOS!$A2740,nCURSO,DATOS!$D2740,nESPEC,DATOS!$E2740,nASIG,DATOS!$I2740,nEVAL,"OR")=0))</f>
      </c>
      <c r="I2740">
        <f>IF(DATOS!$I2740="","",IFERROR(VLOOKUP(DATOS!$I2740,CONFIG_ASIGNATURAS!$B$2:$J$91,9,FALSE()),""))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IF(DATOS!$A2741="",0,IF(CONFIG_METADATA!$B$4&lt;&gt;"OR+EX",--(DATOS!$G2741=CONFIG_METADATA!$B$4),IF(DATOS!$G2741="EX",1,IF(DATOS!$G2741="OR",--(COUNTIFS(nNIA,DATOS!$A2741,nCURSO,DATOS!$D2741,nESPEC,DATOS!$E2741,nASIG,DATOS!$I2741,nEVAL,"EX")=0),0))))</f>
      </c>
      <c r="H2741">
        <f>IF(DATOS!$G2741&lt;&gt;"EX",0,--(COUNTIFS(nNIA,DATOS!$A2741,nCURSO,DATOS!$D2741,nESPEC,DATOS!$E2741,nASIG,DATOS!$I2741,nEVAL,"OR")=0))</f>
      </c>
      <c r="I2741">
        <f>IF(DATOS!$I2741="","",IFERROR(VLOOKUP(DATOS!$I2741,CONFIG_ASIGNATURAS!$B$2:$J$91,9,FALSE()),""))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IF(DATOS!$A2742="",0,IF(CONFIG_METADATA!$B$4&lt;&gt;"OR+EX",--(DATOS!$G2742=CONFIG_METADATA!$B$4),IF(DATOS!$G2742="EX",1,IF(DATOS!$G2742="OR",--(COUNTIFS(nNIA,DATOS!$A2742,nCURSO,DATOS!$D2742,nESPEC,DATOS!$E2742,nASIG,DATOS!$I2742,nEVAL,"EX")=0),0))))</f>
      </c>
      <c r="H2742">
        <f>IF(DATOS!$G2742&lt;&gt;"EX",0,--(COUNTIFS(nNIA,DATOS!$A2742,nCURSO,DATOS!$D2742,nESPEC,DATOS!$E2742,nASIG,DATOS!$I2742,nEVAL,"OR")=0))</f>
      </c>
      <c r="I2742">
        <f>IF(DATOS!$I2742="","",IFERROR(VLOOKUP(DATOS!$I2742,CONFIG_ASIGNATURAS!$B$2:$J$91,9,FALSE()),""))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IF(DATOS!$A2743="",0,IF(CONFIG_METADATA!$B$4&lt;&gt;"OR+EX",--(DATOS!$G2743=CONFIG_METADATA!$B$4),IF(DATOS!$G2743="EX",1,IF(DATOS!$G2743="OR",--(COUNTIFS(nNIA,DATOS!$A2743,nCURSO,DATOS!$D2743,nESPEC,DATOS!$E2743,nASIG,DATOS!$I2743,nEVAL,"EX")=0),0))))</f>
      </c>
      <c r="H2743">
        <f>IF(DATOS!$G2743&lt;&gt;"EX",0,--(COUNTIFS(nNIA,DATOS!$A2743,nCURSO,DATOS!$D2743,nESPEC,DATOS!$E2743,nASIG,DATOS!$I2743,nEVAL,"OR")=0))</f>
      </c>
      <c r="I2743">
        <f>IF(DATOS!$I2743="","",IFERROR(VLOOKUP(DATOS!$I2743,CONFIG_ASIGNATURAS!$B$2:$J$91,9,FALSE()),""))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IF(DATOS!$A2744="",0,IF(CONFIG_METADATA!$B$4&lt;&gt;"OR+EX",--(DATOS!$G2744=CONFIG_METADATA!$B$4),IF(DATOS!$G2744="EX",1,IF(DATOS!$G2744="OR",--(COUNTIFS(nNIA,DATOS!$A2744,nCURSO,DATOS!$D2744,nESPEC,DATOS!$E2744,nASIG,DATOS!$I2744,nEVAL,"EX")=0),0))))</f>
      </c>
      <c r="H2744">
        <f>IF(DATOS!$G2744&lt;&gt;"EX",0,--(COUNTIFS(nNIA,DATOS!$A2744,nCURSO,DATOS!$D2744,nESPEC,DATOS!$E2744,nASIG,DATOS!$I2744,nEVAL,"OR")=0))</f>
      </c>
      <c r="I2744">
        <f>IF(DATOS!$I2744="","",IFERROR(VLOOKUP(DATOS!$I2744,CONFIG_ASIGNATURAS!$B$2:$J$91,9,FALSE()),""))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IF(DATOS!$A2745="",0,IF(CONFIG_METADATA!$B$4&lt;&gt;"OR+EX",--(DATOS!$G2745=CONFIG_METADATA!$B$4),IF(DATOS!$G2745="EX",1,IF(DATOS!$G2745="OR",--(COUNTIFS(nNIA,DATOS!$A2745,nCURSO,DATOS!$D2745,nESPEC,DATOS!$E2745,nASIG,DATOS!$I2745,nEVAL,"EX")=0),0))))</f>
      </c>
      <c r="H2745">
        <f>IF(DATOS!$G2745&lt;&gt;"EX",0,--(COUNTIFS(nNIA,DATOS!$A2745,nCURSO,DATOS!$D2745,nESPEC,DATOS!$E2745,nASIG,DATOS!$I2745,nEVAL,"OR")=0))</f>
      </c>
      <c r="I2745">
        <f>IF(DATOS!$I2745="","",IFERROR(VLOOKUP(DATOS!$I2745,CONFIG_ASIGNATURAS!$B$2:$J$91,9,FALSE()),""))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IF(DATOS!$A2746="",0,IF(CONFIG_METADATA!$B$4&lt;&gt;"OR+EX",--(DATOS!$G2746=CONFIG_METADATA!$B$4),IF(DATOS!$G2746="EX",1,IF(DATOS!$G2746="OR",--(COUNTIFS(nNIA,DATOS!$A2746,nCURSO,DATOS!$D2746,nESPEC,DATOS!$E2746,nASIG,DATOS!$I2746,nEVAL,"EX")=0),0))))</f>
      </c>
      <c r="H2746">
        <f>IF(DATOS!$G2746&lt;&gt;"EX",0,--(COUNTIFS(nNIA,DATOS!$A2746,nCURSO,DATOS!$D2746,nESPEC,DATOS!$E2746,nASIG,DATOS!$I2746,nEVAL,"OR")=0))</f>
      </c>
      <c r="I2746">
        <f>IF(DATOS!$I2746="","",IFERROR(VLOOKUP(DATOS!$I2746,CONFIG_ASIGNATURAS!$B$2:$J$91,9,FALSE()),""))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IF(DATOS!$A2747="",0,IF(CONFIG_METADATA!$B$4&lt;&gt;"OR+EX",--(DATOS!$G2747=CONFIG_METADATA!$B$4),IF(DATOS!$G2747="EX",1,IF(DATOS!$G2747="OR",--(COUNTIFS(nNIA,DATOS!$A2747,nCURSO,DATOS!$D2747,nESPEC,DATOS!$E2747,nASIG,DATOS!$I2747,nEVAL,"EX")=0),0))))</f>
      </c>
      <c r="H2747">
        <f>IF(DATOS!$G2747&lt;&gt;"EX",0,--(COUNTIFS(nNIA,DATOS!$A2747,nCURSO,DATOS!$D2747,nESPEC,DATOS!$E2747,nASIG,DATOS!$I2747,nEVAL,"OR")=0))</f>
      </c>
      <c r="I2747">
        <f>IF(DATOS!$I2747="","",IFERROR(VLOOKUP(DATOS!$I2747,CONFIG_ASIGNATURAS!$B$2:$J$91,9,FALSE()),""))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IF(DATOS!$A2748="",0,IF(CONFIG_METADATA!$B$4&lt;&gt;"OR+EX",--(DATOS!$G2748=CONFIG_METADATA!$B$4),IF(DATOS!$G2748="EX",1,IF(DATOS!$G2748="OR",--(COUNTIFS(nNIA,DATOS!$A2748,nCURSO,DATOS!$D2748,nESPEC,DATOS!$E2748,nASIG,DATOS!$I2748,nEVAL,"EX")=0),0))))</f>
      </c>
      <c r="H2748">
        <f>IF(DATOS!$G2748&lt;&gt;"EX",0,--(COUNTIFS(nNIA,DATOS!$A2748,nCURSO,DATOS!$D2748,nESPEC,DATOS!$E2748,nASIG,DATOS!$I2748,nEVAL,"OR")=0))</f>
      </c>
      <c r="I2748">
        <f>IF(DATOS!$I2748="","",IFERROR(VLOOKUP(DATOS!$I2748,CONFIG_ASIGNATURAS!$B$2:$J$91,9,FALSE()),""))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IF(DATOS!$A2749="",0,IF(CONFIG_METADATA!$B$4&lt;&gt;"OR+EX",--(DATOS!$G2749=CONFIG_METADATA!$B$4),IF(DATOS!$G2749="EX",1,IF(DATOS!$G2749="OR",--(COUNTIFS(nNIA,DATOS!$A2749,nCURSO,DATOS!$D2749,nESPEC,DATOS!$E2749,nASIG,DATOS!$I2749,nEVAL,"EX")=0),0))))</f>
      </c>
      <c r="H2749">
        <f>IF(DATOS!$G2749&lt;&gt;"EX",0,--(COUNTIFS(nNIA,DATOS!$A2749,nCURSO,DATOS!$D2749,nESPEC,DATOS!$E2749,nASIG,DATOS!$I2749,nEVAL,"OR")=0))</f>
      </c>
      <c r="I2749">
        <f>IF(DATOS!$I2749="","",IFERROR(VLOOKUP(DATOS!$I2749,CONFIG_ASIGNATURAS!$B$2:$J$91,9,FALSE()),""))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IF(DATOS!$A2750="",0,IF(CONFIG_METADATA!$B$4&lt;&gt;"OR+EX",--(DATOS!$G2750=CONFIG_METADATA!$B$4),IF(DATOS!$G2750="EX",1,IF(DATOS!$G2750="OR",--(COUNTIFS(nNIA,DATOS!$A2750,nCURSO,DATOS!$D2750,nESPEC,DATOS!$E2750,nASIG,DATOS!$I2750,nEVAL,"EX")=0),0))))</f>
      </c>
      <c r="H2750">
        <f>IF(DATOS!$G2750&lt;&gt;"EX",0,--(COUNTIFS(nNIA,DATOS!$A2750,nCURSO,DATOS!$D2750,nESPEC,DATOS!$E2750,nASIG,DATOS!$I2750,nEVAL,"OR")=0))</f>
      </c>
      <c r="I2750">
        <f>IF(DATOS!$I2750="","",IFERROR(VLOOKUP(DATOS!$I2750,CONFIG_ASIGNATURAS!$B$2:$J$91,9,FALSE()),""))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IF(DATOS!$A2751="",0,IF(CONFIG_METADATA!$B$4&lt;&gt;"OR+EX",--(DATOS!$G2751=CONFIG_METADATA!$B$4),IF(DATOS!$G2751="EX",1,IF(DATOS!$G2751="OR",--(COUNTIFS(nNIA,DATOS!$A2751,nCURSO,DATOS!$D2751,nESPEC,DATOS!$E2751,nASIG,DATOS!$I2751,nEVAL,"EX")=0),0))))</f>
      </c>
      <c r="H2751">
        <f>IF(DATOS!$G2751&lt;&gt;"EX",0,--(COUNTIFS(nNIA,DATOS!$A2751,nCURSO,DATOS!$D2751,nESPEC,DATOS!$E2751,nASIG,DATOS!$I2751,nEVAL,"OR")=0))</f>
      </c>
      <c r="I2751">
        <f>IF(DATOS!$I2751="","",IFERROR(VLOOKUP(DATOS!$I2751,CONFIG_ASIGNATURAS!$B$2:$J$91,9,FALSE()),""))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IF(DATOS!$A2752="",0,IF(CONFIG_METADATA!$B$4&lt;&gt;"OR+EX",--(DATOS!$G2752=CONFIG_METADATA!$B$4),IF(DATOS!$G2752="EX",1,IF(DATOS!$G2752="OR",--(COUNTIFS(nNIA,DATOS!$A2752,nCURSO,DATOS!$D2752,nESPEC,DATOS!$E2752,nASIG,DATOS!$I2752,nEVAL,"EX")=0),0))))</f>
      </c>
      <c r="H2752">
        <f>IF(DATOS!$G2752&lt;&gt;"EX",0,--(COUNTIFS(nNIA,DATOS!$A2752,nCURSO,DATOS!$D2752,nESPEC,DATOS!$E2752,nASIG,DATOS!$I2752,nEVAL,"OR")=0))</f>
      </c>
      <c r="I2752">
        <f>IF(DATOS!$I2752="","",IFERROR(VLOOKUP(DATOS!$I2752,CONFIG_ASIGNATURAS!$B$2:$J$91,9,FALSE()),""))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IF(DATOS!$A2753="",0,IF(CONFIG_METADATA!$B$4&lt;&gt;"OR+EX",--(DATOS!$G2753=CONFIG_METADATA!$B$4),IF(DATOS!$G2753="EX",1,IF(DATOS!$G2753="OR",--(COUNTIFS(nNIA,DATOS!$A2753,nCURSO,DATOS!$D2753,nESPEC,DATOS!$E2753,nASIG,DATOS!$I2753,nEVAL,"EX")=0),0))))</f>
      </c>
      <c r="H2753">
        <f>IF(DATOS!$G2753&lt;&gt;"EX",0,--(COUNTIFS(nNIA,DATOS!$A2753,nCURSO,DATOS!$D2753,nESPEC,DATOS!$E2753,nASIG,DATOS!$I2753,nEVAL,"OR")=0))</f>
      </c>
      <c r="I2753">
        <f>IF(DATOS!$I2753="","",IFERROR(VLOOKUP(DATOS!$I2753,CONFIG_ASIGNATURAS!$B$2:$J$91,9,FALSE()),""))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IF(DATOS!$A2754="",0,IF(CONFIG_METADATA!$B$4&lt;&gt;"OR+EX",--(DATOS!$G2754=CONFIG_METADATA!$B$4),IF(DATOS!$G2754="EX",1,IF(DATOS!$G2754="OR",--(COUNTIFS(nNIA,DATOS!$A2754,nCURSO,DATOS!$D2754,nESPEC,DATOS!$E2754,nASIG,DATOS!$I2754,nEVAL,"EX")=0),0))))</f>
      </c>
      <c r="H2754">
        <f>IF(DATOS!$G2754&lt;&gt;"EX",0,--(COUNTIFS(nNIA,DATOS!$A2754,nCURSO,DATOS!$D2754,nESPEC,DATOS!$E2754,nASIG,DATOS!$I2754,nEVAL,"OR")=0))</f>
      </c>
      <c r="I2754">
        <f>IF(DATOS!$I2754="","",IFERROR(VLOOKUP(DATOS!$I2754,CONFIG_ASIGNATURAS!$B$2:$J$91,9,FALSE()),""))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IF(DATOS!$A2755="",0,IF(CONFIG_METADATA!$B$4&lt;&gt;"OR+EX",--(DATOS!$G2755=CONFIG_METADATA!$B$4),IF(DATOS!$G2755="EX",1,IF(DATOS!$G2755="OR",--(COUNTIFS(nNIA,DATOS!$A2755,nCURSO,DATOS!$D2755,nESPEC,DATOS!$E2755,nASIG,DATOS!$I2755,nEVAL,"EX")=0),0))))</f>
      </c>
      <c r="H2755">
        <f>IF(DATOS!$G2755&lt;&gt;"EX",0,--(COUNTIFS(nNIA,DATOS!$A2755,nCURSO,DATOS!$D2755,nESPEC,DATOS!$E2755,nASIG,DATOS!$I2755,nEVAL,"OR")=0))</f>
      </c>
      <c r="I2755">
        <f>IF(DATOS!$I2755="","",IFERROR(VLOOKUP(DATOS!$I2755,CONFIG_ASIGNATURAS!$B$2:$J$91,9,FALSE()),""))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IF(DATOS!$A2756="",0,IF(CONFIG_METADATA!$B$4&lt;&gt;"OR+EX",--(DATOS!$G2756=CONFIG_METADATA!$B$4),IF(DATOS!$G2756="EX",1,IF(DATOS!$G2756="OR",--(COUNTIFS(nNIA,DATOS!$A2756,nCURSO,DATOS!$D2756,nESPEC,DATOS!$E2756,nASIG,DATOS!$I2756,nEVAL,"EX")=0),0))))</f>
      </c>
      <c r="H2756">
        <f>IF(DATOS!$G2756&lt;&gt;"EX",0,--(COUNTIFS(nNIA,DATOS!$A2756,nCURSO,DATOS!$D2756,nESPEC,DATOS!$E2756,nASIG,DATOS!$I2756,nEVAL,"OR")=0))</f>
      </c>
      <c r="I2756">
        <f>IF(DATOS!$I2756="","",IFERROR(VLOOKUP(DATOS!$I2756,CONFIG_ASIGNATURAS!$B$2:$J$91,9,FALSE()),""))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IF(DATOS!$A2757="",0,IF(CONFIG_METADATA!$B$4&lt;&gt;"OR+EX",--(DATOS!$G2757=CONFIG_METADATA!$B$4),IF(DATOS!$G2757="EX",1,IF(DATOS!$G2757="OR",--(COUNTIFS(nNIA,DATOS!$A2757,nCURSO,DATOS!$D2757,nESPEC,DATOS!$E2757,nASIG,DATOS!$I2757,nEVAL,"EX")=0),0))))</f>
      </c>
      <c r="H2757">
        <f>IF(DATOS!$G2757&lt;&gt;"EX",0,--(COUNTIFS(nNIA,DATOS!$A2757,nCURSO,DATOS!$D2757,nESPEC,DATOS!$E2757,nASIG,DATOS!$I2757,nEVAL,"OR")=0))</f>
      </c>
      <c r="I2757">
        <f>IF(DATOS!$I2757="","",IFERROR(VLOOKUP(DATOS!$I2757,CONFIG_ASIGNATURAS!$B$2:$J$91,9,FALSE()),""))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IF(DATOS!$A2758="",0,IF(CONFIG_METADATA!$B$4&lt;&gt;"OR+EX",--(DATOS!$G2758=CONFIG_METADATA!$B$4),IF(DATOS!$G2758="EX",1,IF(DATOS!$G2758="OR",--(COUNTIFS(nNIA,DATOS!$A2758,nCURSO,DATOS!$D2758,nESPEC,DATOS!$E2758,nASIG,DATOS!$I2758,nEVAL,"EX")=0),0))))</f>
      </c>
      <c r="H2758">
        <f>IF(DATOS!$G2758&lt;&gt;"EX",0,--(COUNTIFS(nNIA,DATOS!$A2758,nCURSO,DATOS!$D2758,nESPEC,DATOS!$E2758,nASIG,DATOS!$I2758,nEVAL,"OR")=0))</f>
      </c>
      <c r="I2758">
        <f>IF(DATOS!$I2758="","",IFERROR(VLOOKUP(DATOS!$I2758,CONFIG_ASIGNATURAS!$B$2:$J$91,9,FALSE()),""))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IF(DATOS!$A2759="",0,IF(CONFIG_METADATA!$B$4&lt;&gt;"OR+EX",--(DATOS!$G2759=CONFIG_METADATA!$B$4),IF(DATOS!$G2759="EX",1,IF(DATOS!$G2759="OR",--(COUNTIFS(nNIA,DATOS!$A2759,nCURSO,DATOS!$D2759,nESPEC,DATOS!$E2759,nASIG,DATOS!$I2759,nEVAL,"EX")=0),0))))</f>
      </c>
      <c r="H2759">
        <f>IF(DATOS!$G2759&lt;&gt;"EX",0,--(COUNTIFS(nNIA,DATOS!$A2759,nCURSO,DATOS!$D2759,nESPEC,DATOS!$E2759,nASIG,DATOS!$I2759,nEVAL,"OR")=0))</f>
      </c>
      <c r="I2759">
        <f>IF(DATOS!$I2759="","",IFERROR(VLOOKUP(DATOS!$I2759,CONFIG_ASIGNATURAS!$B$2:$J$91,9,FALSE()),""))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IF(DATOS!$A2760="",0,IF(CONFIG_METADATA!$B$4&lt;&gt;"OR+EX",--(DATOS!$G2760=CONFIG_METADATA!$B$4),IF(DATOS!$G2760="EX",1,IF(DATOS!$G2760="OR",--(COUNTIFS(nNIA,DATOS!$A2760,nCURSO,DATOS!$D2760,nESPEC,DATOS!$E2760,nASIG,DATOS!$I2760,nEVAL,"EX")=0),0))))</f>
      </c>
      <c r="H2760">
        <f>IF(DATOS!$G2760&lt;&gt;"EX",0,--(COUNTIFS(nNIA,DATOS!$A2760,nCURSO,DATOS!$D2760,nESPEC,DATOS!$E2760,nASIG,DATOS!$I2760,nEVAL,"OR")=0))</f>
      </c>
      <c r="I2760">
        <f>IF(DATOS!$I2760="","",IFERROR(VLOOKUP(DATOS!$I2760,CONFIG_ASIGNATURAS!$B$2:$J$91,9,FALSE()),""))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IF(DATOS!$A2761="",0,IF(CONFIG_METADATA!$B$4&lt;&gt;"OR+EX",--(DATOS!$G2761=CONFIG_METADATA!$B$4),IF(DATOS!$G2761="EX",1,IF(DATOS!$G2761="OR",--(COUNTIFS(nNIA,DATOS!$A2761,nCURSO,DATOS!$D2761,nESPEC,DATOS!$E2761,nASIG,DATOS!$I2761,nEVAL,"EX")=0),0))))</f>
      </c>
      <c r="H2761">
        <f>IF(DATOS!$G2761&lt;&gt;"EX",0,--(COUNTIFS(nNIA,DATOS!$A2761,nCURSO,DATOS!$D2761,nESPEC,DATOS!$E2761,nASIG,DATOS!$I2761,nEVAL,"OR")=0))</f>
      </c>
      <c r="I2761">
        <f>IF(DATOS!$I2761="","",IFERROR(VLOOKUP(DATOS!$I2761,CONFIG_ASIGNATURAS!$B$2:$J$91,9,FALSE()),""))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IF(DATOS!$A2762="",0,IF(CONFIG_METADATA!$B$4&lt;&gt;"OR+EX",--(DATOS!$G2762=CONFIG_METADATA!$B$4),IF(DATOS!$G2762="EX",1,IF(DATOS!$G2762="OR",--(COUNTIFS(nNIA,DATOS!$A2762,nCURSO,DATOS!$D2762,nESPEC,DATOS!$E2762,nASIG,DATOS!$I2762,nEVAL,"EX")=0),0))))</f>
      </c>
      <c r="H2762">
        <f>IF(DATOS!$G2762&lt;&gt;"EX",0,--(COUNTIFS(nNIA,DATOS!$A2762,nCURSO,DATOS!$D2762,nESPEC,DATOS!$E2762,nASIG,DATOS!$I2762,nEVAL,"OR")=0))</f>
      </c>
      <c r="I2762">
        <f>IF(DATOS!$I2762="","",IFERROR(VLOOKUP(DATOS!$I2762,CONFIG_ASIGNATURAS!$B$2:$J$91,9,FALSE()),""))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IF(DATOS!$A2763="",0,IF(CONFIG_METADATA!$B$4&lt;&gt;"OR+EX",--(DATOS!$G2763=CONFIG_METADATA!$B$4),IF(DATOS!$G2763="EX",1,IF(DATOS!$G2763="OR",--(COUNTIFS(nNIA,DATOS!$A2763,nCURSO,DATOS!$D2763,nESPEC,DATOS!$E2763,nASIG,DATOS!$I2763,nEVAL,"EX")=0),0))))</f>
      </c>
      <c r="H2763">
        <f>IF(DATOS!$G2763&lt;&gt;"EX",0,--(COUNTIFS(nNIA,DATOS!$A2763,nCURSO,DATOS!$D2763,nESPEC,DATOS!$E2763,nASIG,DATOS!$I2763,nEVAL,"OR")=0))</f>
      </c>
      <c r="I2763">
        <f>IF(DATOS!$I2763="","",IFERROR(VLOOKUP(DATOS!$I2763,CONFIG_ASIGNATURAS!$B$2:$J$91,9,FALSE()),""))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IF(DATOS!$A2764="",0,IF(CONFIG_METADATA!$B$4&lt;&gt;"OR+EX",--(DATOS!$G2764=CONFIG_METADATA!$B$4),IF(DATOS!$G2764="EX",1,IF(DATOS!$G2764="OR",--(COUNTIFS(nNIA,DATOS!$A2764,nCURSO,DATOS!$D2764,nESPEC,DATOS!$E2764,nASIG,DATOS!$I2764,nEVAL,"EX")=0),0))))</f>
      </c>
      <c r="H2764">
        <f>IF(DATOS!$G2764&lt;&gt;"EX",0,--(COUNTIFS(nNIA,DATOS!$A2764,nCURSO,DATOS!$D2764,nESPEC,DATOS!$E2764,nASIG,DATOS!$I2764,nEVAL,"OR")=0))</f>
      </c>
      <c r="I2764">
        <f>IF(DATOS!$I2764="","",IFERROR(VLOOKUP(DATOS!$I2764,CONFIG_ASIGNATURAS!$B$2:$J$91,9,FALSE()),""))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IF(DATOS!$A2765="",0,IF(CONFIG_METADATA!$B$4&lt;&gt;"OR+EX",--(DATOS!$G2765=CONFIG_METADATA!$B$4),IF(DATOS!$G2765="EX",1,IF(DATOS!$G2765="OR",--(COUNTIFS(nNIA,DATOS!$A2765,nCURSO,DATOS!$D2765,nESPEC,DATOS!$E2765,nASIG,DATOS!$I2765,nEVAL,"EX")=0),0))))</f>
      </c>
      <c r="H2765">
        <f>IF(DATOS!$G2765&lt;&gt;"EX",0,--(COUNTIFS(nNIA,DATOS!$A2765,nCURSO,DATOS!$D2765,nESPEC,DATOS!$E2765,nASIG,DATOS!$I2765,nEVAL,"OR")=0))</f>
      </c>
      <c r="I2765">
        <f>IF(DATOS!$I2765="","",IFERROR(VLOOKUP(DATOS!$I2765,CONFIG_ASIGNATURAS!$B$2:$J$91,9,FALSE()),""))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IF(DATOS!$A2766="",0,IF(CONFIG_METADATA!$B$4&lt;&gt;"OR+EX",--(DATOS!$G2766=CONFIG_METADATA!$B$4),IF(DATOS!$G2766="EX",1,IF(DATOS!$G2766="OR",--(COUNTIFS(nNIA,DATOS!$A2766,nCURSO,DATOS!$D2766,nESPEC,DATOS!$E2766,nASIG,DATOS!$I2766,nEVAL,"EX")=0),0))))</f>
      </c>
      <c r="H2766">
        <f>IF(DATOS!$G2766&lt;&gt;"EX",0,--(COUNTIFS(nNIA,DATOS!$A2766,nCURSO,DATOS!$D2766,nESPEC,DATOS!$E2766,nASIG,DATOS!$I2766,nEVAL,"OR")=0))</f>
      </c>
      <c r="I2766">
        <f>IF(DATOS!$I2766="","",IFERROR(VLOOKUP(DATOS!$I2766,CONFIG_ASIGNATURAS!$B$2:$J$91,9,FALSE()),""))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IF(DATOS!$A2767="",0,IF(CONFIG_METADATA!$B$4&lt;&gt;"OR+EX",--(DATOS!$G2767=CONFIG_METADATA!$B$4),IF(DATOS!$G2767="EX",1,IF(DATOS!$G2767="OR",--(COUNTIFS(nNIA,DATOS!$A2767,nCURSO,DATOS!$D2767,nESPEC,DATOS!$E2767,nASIG,DATOS!$I2767,nEVAL,"EX")=0),0))))</f>
      </c>
      <c r="H2767">
        <f>IF(DATOS!$G2767&lt;&gt;"EX",0,--(COUNTIFS(nNIA,DATOS!$A2767,nCURSO,DATOS!$D2767,nESPEC,DATOS!$E2767,nASIG,DATOS!$I2767,nEVAL,"OR")=0))</f>
      </c>
      <c r="I2767">
        <f>IF(DATOS!$I2767="","",IFERROR(VLOOKUP(DATOS!$I2767,CONFIG_ASIGNATURAS!$B$2:$J$91,9,FALSE()),""))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IF(DATOS!$A2768="",0,IF(CONFIG_METADATA!$B$4&lt;&gt;"OR+EX",--(DATOS!$G2768=CONFIG_METADATA!$B$4),IF(DATOS!$G2768="EX",1,IF(DATOS!$G2768="OR",--(COUNTIFS(nNIA,DATOS!$A2768,nCURSO,DATOS!$D2768,nESPEC,DATOS!$E2768,nASIG,DATOS!$I2768,nEVAL,"EX")=0),0))))</f>
      </c>
      <c r="H2768">
        <f>IF(DATOS!$G2768&lt;&gt;"EX",0,--(COUNTIFS(nNIA,DATOS!$A2768,nCURSO,DATOS!$D2768,nESPEC,DATOS!$E2768,nASIG,DATOS!$I2768,nEVAL,"OR")=0))</f>
      </c>
      <c r="I2768">
        <f>IF(DATOS!$I2768="","",IFERROR(VLOOKUP(DATOS!$I2768,CONFIG_ASIGNATURAS!$B$2:$J$91,9,FALSE()),""))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IF(DATOS!$A2769="",0,IF(CONFIG_METADATA!$B$4&lt;&gt;"OR+EX",--(DATOS!$G2769=CONFIG_METADATA!$B$4),IF(DATOS!$G2769="EX",1,IF(DATOS!$G2769="OR",--(COUNTIFS(nNIA,DATOS!$A2769,nCURSO,DATOS!$D2769,nESPEC,DATOS!$E2769,nASIG,DATOS!$I2769,nEVAL,"EX")=0),0))))</f>
      </c>
      <c r="H2769">
        <f>IF(DATOS!$G2769&lt;&gt;"EX",0,--(COUNTIFS(nNIA,DATOS!$A2769,nCURSO,DATOS!$D2769,nESPEC,DATOS!$E2769,nASIG,DATOS!$I2769,nEVAL,"OR")=0))</f>
      </c>
      <c r="I2769">
        <f>IF(DATOS!$I2769="","",IFERROR(VLOOKUP(DATOS!$I2769,CONFIG_ASIGNATURAS!$B$2:$J$91,9,FALSE()),""))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IF(DATOS!$A2770="",0,IF(CONFIG_METADATA!$B$4&lt;&gt;"OR+EX",--(DATOS!$G2770=CONFIG_METADATA!$B$4),IF(DATOS!$G2770="EX",1,IF(DATOS!$G2770="OR",--(COUNTIFS(nNIA,DATOS!$A2770,nCURSO,DATOS!$D2770,nESPEC,DATOS!$E2770,nASIG,DATOS!$I2770,nEVAL,"EX")=0),0))))</f>
      </c>
      <c r="H2770">
        <f>IF(DATOS!$G2770&lt;&gt;"EX",0,--(COUNTIFS(nNIA,DATOS!$A2770,nCURSO,DATOS!$D2770,nESPEC,DATOS!$E2770,nASIG,DATOS!$I2770,nEVAL,"OR")=0))</f>
      </c>
      <c r="I2770">
        <f>IF(DATOS!$I2770="","",IFERROR(VLOOKUP(DATOS!$I2770,CONFIG_ASIGNATURAS!$B$2:$J$91,9,FALSE()),""))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IF(DATOS!$A2771="",0,IF(CONFIG_METADATA!$B$4&lt;&gt;"OR+EX",--(DATOS!$G2771=CONFIG_METADATA!$B$4),IF(DATOS!$G2771="EX",1,IF(DATOS!$G2771="OR",--(COUNTIFS(nNIA,DATOS!$A2771,nCURSO,DATOS!$D2771,nESPEC,DATOS!$E2771,nASIG,DATOS!$I2771,nEVAL,"EX")=0),0))))</f>
      </c>
      <c r="H2771">
        <f>IF(DATOS!$G2771&lt;&gt;"EX",0,--(COUNTIFS(nNIA,DATOS!$A2771,nCURSO,DATOS!$D2771,nESPEC,DATOS!$E2771,nASIG,DATOS!$I2771,nEVAL,"OR")=0))</f>
      </c>
      <c r="I2771">
        <f>IF(DATOS!$I2771="","",IFERROR(VLOOKUP(DATOS!$I2771,CONFIG_ASIGNATURAS!$B$2:$J$91,9,FALSE()),""))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IF(DATOS!$A2772="",0,IF(CONFIG_METADATA!$B$4&lt;&gt;"OR+EX",--(DATOS!$G2772=CONFIG_METADATA!$B$4),IF(DATOS!$G2772="EX",1,IF(DATOS!$G2772="OR",--(COUNTIFS(nNIA,DATOS!$A2772,nCURSO,DATOS!$D2772,nESPEC,DATOS!$E2772,nASIG,DATOS!$I2772,nEVAL,"EX")=0),0))))</f>
      </c>
      <c r="H2772">
        <f>IF(DATOS!$G2772&lt;&gt;"EX",0,--(COUNTIFS(nNIA,DATOS!$A2772,nCURSO,DATOS!$D2772,nESPEC,DATOS!$E2772,nASIG,DATOS!$I2772,nEVAL,"OR")=0))</f>
      </c>
      <c r="I2772">
        <f>IF(DATOS!$I2772="","",IFERROR(VLOOKUP(DATOS!$I2772,CONFIG_ASIGNATURAS!$B$2:$J$91,9,FALSE()),""))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IF(DATOS!$A2773="",0,IF(CONFIG_METADATA!$B$4&lt;&gt;"OR+EX",--(DATOS!$G2773=CONFIG_METADATA!$B$4),IF(DATOS!$G2773="EX",1,IF(DATOS!$G2773="OR",--(COUNTIFS(nNIA,DATOS!$A2773,nCURSO,DATOS!$D2773,nESPEC,DATOS!$E2773,nASIG,DATOS!$I2773,nEVAL,"EX")=0),0))))</f>
      </c>
      <c r="H2773">
        <f>IF(DATOS!$G2773&lt;&gt;"EX",0,--(COUNTIFS(nNIA,DATOS!$A2773,nCURSO,DATOS!$D2773,nESPEC,DATOS!$E2773,nASIG,DATOS!$I2773,nEVAL,"OR")=0))</f>
      </c>
      <c r="I2773">
        <f>IF(DATOS!$I2773="","",IFERROR(VLOOKUP(DATOS!$I2773,CONFIG_ASIGNATURAS!$B$2:$J$91,9,FALSE()),""))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IF(DATOS!$A2774="",0,IF(CONFIG_METADATA!$B$4&lt;&gt;"OR+EX",--(DATOS!$G2774=CONFIG_METADATA!$B$4),IF(DATOS!$G2774="EX",1,IF(DATOS!$G2774="OR",--(COUNTIFS(nNIA,DATOS!$A2774,nCURSO,DATOS!$D2774,nESPEC,DATOS!$E2774,nASIG,DATOS!$I2774,nEVAL,"EX")=0),0))))</f>
      </c>
      <c r="H2774">
        <f>IF(DATOS!$G2774&lt;&gt;"EX",0,--(COUNTIFS(nNIA,DATOS!$A2774,nCURSO,DATOS!$D2774,nESPEC,DATOS!$E2774,nASIG,DATOS!$I2774,nEVAL,"OR")=0))</f>
      </c>
      <c r="I2774">
        <f>IF(DATOS!$I2774="","",IFERROR(VLOOKUP(DATOS!$I2774,CONFIG_ASIGNATURAS!$B$2:$J$91,9,FALSE()),""))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IF(DATOS!$A2775="",0,IF(CONFIG_METADATA!$B$4&lt;&gt;"OR+EX",--(DATOS!$G2775=CONFIG_METADATA!$B$4),IF(DATOS!$G2775="EX",1,IF(DATOS!$G2775="OR",--(COUNTIFS(nNIA,DATOS!$A2775,nCURSO,DATOS!$D2775,nESPEC,DATOS!$E2775,nASIG,DATOS!$I2775,nEVAL,"EX")=0),0))))</f>
      </c>
      <c r="H2775">
        <f>IF(DATOS!$G2775&lt;&gt;"EX",0,--(COUNTIFS(nNIA,DATOS!$A2775,nCURSO,DATOS!$D2775,nESPEC,DATOS!$E2775,nASIG,DATOS!$I2775,nEVAL,"OR")=0))</f>
      </c>
      <c r="I2775">
        <f>IF(DATOS!$I2775="","",IFERROR(VLOOKUP(DATOS!$I2775,CONFIG_ASIGNATURAS!$B$2:$J$91,9,FALSE()),""))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IF(DATOS!$A2776="",0,IF(CONFIG_METADATA!$B$4&lt;&gt;"OR+EX",--(DATOS!$G2776=CONFIG_METADATA!$B$4),IF(DATOS!$G2776="EX",1,IF(DATOS!$G2776="OR",--(COUNTIFS(nNIA,DATOS!$A2776,nCURSO,DATOS!$D2776,nESPEC,DATOS!$E2776,nASIG,DATOS!$I2776,nEVAL,"EX")=0),0))))</f>
      </c>
      <c r="H2776">
        <f>IF(DATOS!$G2776&lt;&gt;"EX",0,--(COUNTIFS(nNIA,DATOS!$A2776,nCURSO,DATOS!$D2776,nESPEC,DATOS!$E2776,nASIG,DATOS!$I2776,nEVAL,"OR")=0))</f>
      </c>
      <c r="I2776">
        <f>IF(DATOS!$I2776="","",IFERROR(VLOOKUP(DATOS!$I2776,CONFIG_ASIGNATURAS!$B$2:$J$91,9,FALSE()),""))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IF(DATOS!$A2777="",0,IF(CONFIG_METADATA!$B$4&lt;&gt;"OR+EX",--(DATOS!$G2777=CONFIG_METADATA!$B$4),IF(DATOS!$G2777="EX",1,IF(DATOS!$G2777="OR",--(COUNTIFS(nNIA,DATOS!$A2777,nCURSO,DATOS!$D2777,nESPEC,DATOS!$E2777,nASIG,DATOS!$I2777,nEVAL,"EX")=0),0))))</f>
      </c>
      <c r="H2777">
        <f>IF(DATOS!$G2777&lt;&gt;"EX",0,--(COUNTIFS(nNIA,DATOS!$A2777,nCURSO,DATOS!$D2777,nESPEC,DATOS!$E2777,nASIG,DATOS!$I2777,nEVAL,"OR")=0))</f>
      </c>
      <c r="I2777">
        <f>IF(DATOS!$I2777="","",IFERROR(VLOOKUP(DATOS!$I2777,CONFIG_ASIGNATURAS!$B$2:$J$91,9,FALSE()),""))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IF(DATOS!$A2778="",0,IF(CONFIG_METADATA!$B$4&lt;&gt;"OR+EX",--(DATOS!$G2778=CONFIG_METADATA!$B$4),IF(DATOS!$G2778="EX",1,IF(DATOS!$G2778="OR",--(COUNTIFS(nNIA,DATOS!$A2778,nCURSO,DATOS!$D2778,nESPEC,DATOS!$E2778,nASIG,DATOS!$I2778,nEVAL,"EX")=0),0))))</f>
      </c>
      <c r="H2778">
        <f>IF(DATOS!$G2778&lt;&gt;"EX",0,--(COUNTIFS(nNIA,DATOS!$A2778,nCURSO,DATOS!$D2778,nESPEC,DATOS!$E2778,nASIG,DATOS!$I2778,nEVAL,"OR")=0))</f>
      </c>
      <c r="I2778">
        <f>IF(DATOS!$I2778="","",IFERROR(VLOOKUP(DATOS!$I2778,CONFIG_ASIGNATURAS!$B$2:$J$91,9,FALSE()),""))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IF(DATOS!$A2779="",0,IF(CONFIG_METADATA!$B$4&lt;&gt;"OR+EX",--(DATOS!$G2779=CONFIG_METADATA!$B$4),IF(DATOS!$G2779="EX",1,IF(DATOS!$G2779="OR",--(COUNTIFS(nNIA,DATOS!$A2779,nCURSO,DATOS!$D2779,nESPEC,DATOS!$E2779,nASIG,DATOS!$I2779,nEVAL,"EX")=0),0))))</f>
      </c>
      <c r="H2779">
        <f>IF(DATOS!$G2779&lt;&gt;"EX",0,--(COUNTIFS(nNIA,DATOS!$A2779,nCURSO,DATOS!$D2779,nESPEC,DATOS!$E2779,nASIG,DATOS!$I2779,nEVAL,"OR")=0))</f>
      </c>
      <c r="I2779">
        <f>IF(DATOS!$I2779="","",IFERROR(VLOOKUP(DATOS!$I2779,CONFIG_ASIGNATURAS!$B$2:$J$91,9,FALSE()),""))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IF(DATOS!$A2780="",0,IF(CONFIG_METADATA!$B$4&lt;&gt;"OR+EX",--(DATOS!$G2780=CONFIG_METADATA!$B$4),IF(DATOS!$G2780="EX",1,IF(DATOS!$G2780="OR",--(COUNTIFS(nNIA,DATOS!$A2780,nCURSO,DATOS!$D2780,nESPEC,DATOS!$E2780,nASIG,DATOS!$I2780,nEVAL,"EX")=0),0))))</f>
      </c>
      <c r="H2780">
        <f>IF(DATOS!$G2780&lt;&gt;"EX",0,--(COUNTIFS(nNIA,DATOS!$A2780,nCURSO,DATOS!$D2780,nESPEC,DATOS!$E2780,nASIG,DATOS!$I2780,nEVAL,"OR")=0))</f>
      </c>
      <c r="I2780">
        <f>IF(DATOS!$I2780="","",IFERROR(VLOOKUP(DATOS!$I2780,CONFIG_ASIGNATURAS!$B$2:$J$91,9,FALSE()),""))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IF(DATOS!$A2781="",0,IF(CONFIG_METADATA!$B$4&lt;&gt;"OR+EX",--(DATOS!$G2781=CONFIG_METADATA!$B$4),IF(DATOS!$G2781="EX",1,IF(DATOS!$G2781="OR",--(COUNTIFS(nNIA,DATOS!$A2781,nCURSO,DATOS!$D2781,nESPEC,DATOS!$E2781,nASIG,DATOS!$I2781,nEVAL,"EX")=0),0))))</f>
      </c>
      <c r="H2781">
        <f>IF(DATOS!$G2781&lt;&gt;"EX",0,--(COUNTIFS(nNIA,DATOS!$A2781,nCURSO,DATOS!$D2781,nESPEC,DATOS!$E2781,nASIG,DATOS!$I2781,nEVAL,"OR")=0))</f>
      </c>
      <c r="I2781">
        <f>IF(DATOS!$I2781="","",IFERROR(VLOOKUP(DATOS!$I2781,CONFIG_ASIGNATURAS!$B$2:$J$91,9,FALSE()),""))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IF(DATOS!$A2782="",0,IF(CONFIG_METADATA!$B$4&lt;&gt;"OR+EX",--(DATOS!$G2782=CONFIG_METADATA!$B$4),IF(DATOS!$G2782="EX",1,IF(DATOS!$G2782="OR",--(COUNTIFS(nNIA,DATOS!$A2782,nCURSO,DATOS!$D2782,nESPEC,DATOS!$E2782,nASIG,DATOS!$I2782,nEVAL,"EX")=0),0))))</f>
      </c>
      <c r="H2782">
        <f>IF(DATOS!$G2782&lt;&gt;"EX",0,--(COUNTIFS(nNIA,DATOS!$A2782,nCURSO,DATOS!$D2782,nESPEC,DATOS!$E2782,nASIG,DATOS!$I2782,nEVAL,"OR")=0))</f>
      </c>
      <c r="I2782">
        <f>IF(DATOS!$I2782="","",IFERROR(VLOOKUP(DATOS!$I2782,CONFIG_ASIGNATURAS!$B$2:$J$91,9,FALSE()),""))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IF(DATOS!$A2783="",0,IF(CONFIG_METADATA!$B$4&lt;&gt;"OR+EX",--(DATOS!$G2783=CONFIG_METADATA!$B$4),IF(DATOS!$G2783="EX",1,IF(DATOS!$G2783="OR",--(COUNTIFS(nNIA,DATOS!$A2783,nCURSO,DATOS!$D2783,nESPEC,DATOS!$E2783,nASIG,DATOS!$I2783,nEVAL,"EX")=0),0))))</f>
      </c>
      <c r="H2783">
        <f>IF(DATOS!$G2783&lt;&gt;"EX",0,--(COUNTIFS(nNIA,DATOS!$A2783,nCURSO,DATOS!$D2783,nESPEC,DATOS!$E2783,nASIG,DATOS!$I2783,nEVAL,"OR")=0))</f>
      </c>
      <c r="I2783">
        <f>IF(DATOS!$I2783="","",IFERROR(VLOOKUP(DATOS!$I2783,CONFIG_ASIGNATURAS!$B$2:$J$91,9,FALSE()),""))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IF(DATOS!$A2784="",0,IF(CONFIG_METADATA!$B$4&lt;&gt;"OR+EX",--(DATOS!$G2784=CONFIG_METADATA!$B$4),IF(DATOS!$G2784="EX",1,IF(DATOS!$G2784="OR",--(COUNTIFS(nNIA,DATOS!$A2784,nCURSO,DATOS!$D2784,nESPEC,DATOS!$E2784,nASIG,DATOS!$I2784,nEVAL,"EX")=0),0))))</f>
      </c>
      <c r="H2784">
        <f>IF(DATOS!$G2784&lt;&gt;"EX",0,--(COUNTIFS(nNIA,DATOS!$A2784,nCURSO,DATOS!$D2784,nESPEC,DATOS!$E2784,nASIG,DATOS!$I2784,nEVAL,"OR")=0))</f>
      </c>
      <c r="I2784">
        <f>IF(DATOS!$I2784="","",IFERROR(VLOOKUP(DATOS!$I2784,CONFIG_ASIGNATURAS!$B$2:$J$91,9,FALSE()),""))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IF(DATOS!$A2785="",0,IF(CONFIG_METADATA!$B$4&lt;&gt;"OR+EX",--(DATOS!$G2785=CONFIG_METADATA!$B$4),IF(DATOS!$G2785="EX",1,IF(DATOS!$G2785="OR",--(COUNTIFS(nNIA,DATOS!$A2785,nCURSO,DATOS!$D2785,nESPEC,DATOS!$E2785,nASIG,DATOS!$I2785,nEVAL,"EX")=0),0))))</f>
      </c>
      <c r="H2785">
        <f>IF(DATOS!$G2785&lt;&gt;"EX",0,--(COUNTIFS(nNIA,DATOS!$A2785,nCURSO,DATOS!$D2785,nESPEC,DATOS!$E2785,nASIG,DATOS!$I2785,nEVAL,"OR")=0))</f>
      </c>
      <c r="I2785">
        <f>IF(DATOS!$I2785="","",IFERROR(VLOOKUP(DATOS!$I2785,CONFIG_ASIGNATURAS!$B$2:$J$91,9,FALSE()),""))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IF(DATOS!$A2786="",0,IF(CONFIG_METADATA!$B$4&lt;&gt;"OR+EX",--(DATOS!$G2786=CONFIG_METADATA!$B$4),IF(DATOS!$G2786="EX",1,IF(DATOS!$G2786="OR",--(COUNTIFS(nNIA,DATOS!$A2786,nCURSO,DATOS!$D2786,nESPEC,DATOS!$E2786,nASIG,DATOS!$I2786,nEVAL,"EX")=0),0))))</f>
      </c>
      <c r="H2786">
        <f>IF(DATOS!$G2786&lt;&gt;"EX",0,--(COUNTIFS(nNIA,DATOS!$A2786,nCURSO,DATOS!$D2786,nESPEC,DATOS!$E2786,nASIG,DATOS!$I2786,nEVAL,"OR")=0))</f>
      </c>
      <c r="I2786">
        <f>IF(DATOS!$I2786="","",IFERROR(VLOOKUP(DATOS!$I2786,CONFIG_ASIGNATURAS!$B$2:$J$91,9,FALSE()),""))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IF(DATOS!$A2787="",0,IF(CONFIG_METADATA!$B$4&lt;&gt;"OR+EX",--(DATOS!$G2787=CONFIG_METADATA!$B$4),IF(DATOS!$G2787="EX",1,IF(DATOS!$G2787="OR",--(COUNTIFS(nNIA,DATOS!$A2787,nCURSO,DATOS!$D2787,nESPEC,DATOS!$E2787,nASIG,DATOS!$I2787,nEVAL,"EX")=0),0))))</f>
      </c>
      <c r="H2787">
        <f>IF(DATOS!$G2787&lt;&gt;"EX",0,--(COUNTIFS(nNIA,DATOS!$A2787,nCURSO,DATOS!$D2787,nESPEC,DATOS!$E2787,nASIG,DATOS!$I2787,nEVAL,"OR")=0))</f>
      </c>
      <c r="I2787">
        <f>IF(DATOS!$I2787="","",IFERROR(VLOOKUP(DATOS!$I2787,CONFIG_ASIGNATURAS!$B$2:$J$91,9,FALSE()),""))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IF(DATOS!$A2788="",0,IF(CONFIG_METADATA!$B$4&lt;&gt;"OR+EX",--(DATOS!$G2788=CONFIG_METADATA!$B$4),IF(DATOS!$G2788="EX",1,IF(DATOS!$G2788="OR",--(COUNTIFS(nNIA,DATOS!$A2788,nCURSO,DATOS!$D2788,nESPEC,DATOS!$E2788,nASIG,DATOS!$I2788,nEVAL,"EX")=0),0))))</f>
      </c>
      <c r="H2788">
        <f>IF(DATOS!$G2788&lt;&gt;"EX",0,--(COUNTIFS(nNIA,DATOS!$A2788,nCURSO,DATOS!$D2788,nESPEC,DATOS!$E2788,nASIG,DATOS!$I2788,nEVAL,"OR")=0))</f>
      </c>
      <c r="I2788">
        <f>IF(DATOS!$I2788="","",IFERROR(VLOOKUP(DATOS!$I2788,CONFIG_ASIGNATURAS!$B$2:$J$91,9,FALSE()),""))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IF(DATOS!$A2789="",0,IF(CONFIG_METADATA!$B$4&lt;&gt;"OR+EX",--(DATOS!$G2789=CONFIG_METADATA!$B$4),IF(DATOS!$G2789="EX",1,IF(DATOS!$G2789="OR",--(COUNTIFS(nNIA,DATOS!$A2789,nCURSO,DATOS!$D2789,nESPEC,DATOS!$E2789,nASIG,DATOS!$I2789,nEVAL,"EX")=0),0))))</f>
      </c>
      <c r="H2789">
        <f>IF(DATOS!$G2789&lt;&gt;"EX",0,--(COUNTIFS(nNIA,DATOS!$A2789,nCURSO,DATOS!$D2789,nESPEC,DATOS!$E2789,nASIG,DATOS!$I2789,nEVAL,"OR")=0))</f>
      </c>
      <c r="I2789">
        <f>IF(DATOS!$I2789="","",IFERROR(VLOOKUP(DATOS!$I2789,CONFIG_ASIGNATURAS!$B$2:$J$91,9,FALSE()),""))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IF(DATOS!$A2790="",0,IF(CONFIG_METADATA!$B$4&lt;&gt;"OR+EX",--(DATOS!$G2790=CONFIG_METADATA!$B$4),IF(DATOS!$G2790="EX",1,IF(DATOS!$G2790="OR",--(COUNTIFS(nNIA,DATOS!$A2790,nCURSO,DATOS!$D2790,nESPEC,DATOS!$E2790,nASIG,DATOS!$I2790,nEVAL,"EX")=0),0))))</f>
      </c>
      <c r="H2790">
        <f>IF(DATOS!$G2790&lt;&gt;"EX",0,--(COUNTIFS(nNIA,DATOS!$A2790,nCURSO,DATOS!$D2790,nESPEC,DATOS!$E2790,nASIG,DATOS!$I2790,nEVAL,"OR")=0))</f>
      </c>
      <c r="I2790">
        <f>IF(DATOS!$I2790="","",IFERROR(VLOOKUP(DATOS!$I2790,CONFIG_ASIGNATURAS!$B$2:$J$91,9,FALSE()),""))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IF(DATOS!$A2791="",0,IF(CONFIG_METADATA!$B$4&lt;&gt;"OR+EX",--(DATOS!$G2791=CONFIG_METADATA!$B$4),IF(DATOS!$G2791="EX",1,IF(DATOS!$G2791="OR",--(COUNTIFS(nNIA,DATOS!$A2791,nCURSO,DATOS!$D2791,nESPEC,DATOS!$E2791,nASIG,DATOS!$I2791,nEVAL,"EX")=0),0))))</f>
      </c>
      <c r="H2791">
        <f>IF(DATOS!$G2791&lt;&gt;"EX",0,--(COUNTIFS(nNIA,DATOS!$A2791,nCURSO,DATOS!$D2791,nESPEC,DATOS!$E2791,nASIG,DATOS!$I2791,nEVAL,"OR")=0))</f>
      </c>
      <c r="I2791">
        <f>IF(DATOS!$I2791="","",IFERROR(VLOOKUP(DATOS!$I2791,CONFIG_ASIGNATURAS!$B$2:$J$91,9,FALSE()),""))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IF(DATOS!$A2792="",0,IF(CONFIG_METADATA!$B$4&lt;&gt;"OR+EX",--(DATOS!$G2792=CONFIG_METADATA!$B$4),IF(DATOS!$G2792="EX",1,IF(DATOS!$G2792="OR",--(COUNTIFS(nNIA,DATOS!$A2792,nCURSO,DATOS!$D2792,nESPEC,DATOS!$E2792,nASIG,DATOS!$I2792,nEVAL,"EX")=0),0))))</f>
      </c>
      <c r="H2792">
        <f>IF(DATOS!$G2792&lt;&gt;"EX",0,--(COUNTIFS(nNIA,DATOS!$A2792,nCURSO,DATOS!$D2792,nESPEC,DATOS!$E2792,nASIG,DATOS!$I2792,nEVAL,"OR")=0))</f>
      </c>
      <c r="I2792">
        <f>IF(DATOS!$I2792="","",IFERROR(VLOOKUP(DATOS!$I2792,CONFIG_ASIGNATURAS!$B$2:$J$91,9,FALSE()),""))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IF(DATOS!$A2793="",0,IF(CONFIG_METADATA!$B$4&lt;&gt;"OR+EX",--(DATOS!$G2793=CONFIG_METADATA!$B$4),IF(DATOS!$G2793="EX",1,IF(DATOS!$G2793="OR",--(COUNTIFS(nNIA,DATOS!$A2793,nCURSO,DATOS!$D2793,nESPEC,DATOS!$E2793,nASIG,DATOS!$I2793,nEVAL,"EX")=0),0))))</f>
      </c>
      <c r="H2793">
        <f>IF(DATOS!$G2793&lt;&gt;"EX",0,--(COUNTIFS(nNIA,DATOS!$A2793,nCURSO,DATOS!$D2793,nESPEC,DATOS!$E2793,nASIG,DATOS!$I2793,nEVAL,"OR")=0))</f>
      </c>
      <c r="I2793">
        <f>IF(DATOS!$I2793="","",IFERROR(VLOOKUP(DATOS!$I2793,CONFIG_ASIGNATURAS!$B$2:$J$91,9,FALSE()),""))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IF(DATOS!$A2794="",0,IF(CONFIG_METADATA!$B$4&lt;&gt;"OR+EX",--(DATOS!$G2794=CONFIG_METADATA!$B$4),IF(DATOS!$G2794="EX",1,IF(DATOS!$G2794="OR",--(COUNTIFS(nNIA,DATOS!$A2794,nCURSO,DATOS!$D2794,nESPEC,DATOS!$E2794,nASIG,DATOS!$I2794,nEVAL,"EX")=0),0))))</f>
      </c>
      <c r="H2794">
        <f>IF(DATOS!$G2794&lt;&gt;"EX",0,--(COUNTIFS(nNIA,DATOS!$A2794,nCURSO,DATOS!$D2794,nESPEC,DATOS!$E2794,nASIG,DATOS!$I2794,nEVAL,"OR")=0))</f>
      </c>
      <c r="I2794">
        <f>IF(DATOS!$I2794="","",IFERROR(VLOOKUP(DATOS!$I2794,CONFIG_ASIGNATURAS!$B$2:$J$91,9,FALSE()),""))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IF(DATOS!$A2795="",0,IF(CONFIG_METADATA!$B$4&lt;&gt;"OR+EX",--(DATOS!$G2795=CONFIG_METADATA!$B$4),IF(DATOS!$G2795="EX",1,IF(DATOS!$G2795="OR",--(COUNTIFS(nNIA,DATOS!$A2795,nCURSO,DATOS!$D2795,nESPEC,DATOS!$E2795,nASIG,DATOS!$I2795,nEVAL,"EX")=0),0))))</f>
      </c>
      <c r="H2795">
        <f>IF(DATOS!$G2795&lt;&gt;"EX",0,--(COUNTIFS(nNIA,DATOS!$A2795,nCURSO,DATOS!$D2795,nESPEC,DATOS!$E2795,nASIG,DATOS!$I2795,nEVAL,"OR")=0))</f>
      </c>
      <c r="I2795">
        <f>IF(DATOS!$I2795="","",IFERROR(VLOOKUP(DATOS!$I2795,CONFIG_ASIGNATURAS!$B$2:$J$91,9,FALSE()),""))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IF(DATOS!$A2796="",0,IF(CONFIG_METADATA!$B$4&lt;&gt;"OR+EX",--(DATOS!$G2796=CONFIG_METADATA!$B$4),IF(DATOS!$G2796="EX",1,IF(DATOS!$G2796="OR",--(COUNTIFS(nNIA,DATOS!$A2796,nCURSO,DATOS!$D2796,nESPEC,DATOS!$E2796,nASIG,DATOS!$I2796,nEVAL,"EX")=0),0))))</f>
      </c>
      <c r="H2796">
        <f>IF(DATOS!$G2796&lt;&gt;"EX",0,--(COUNTIFS(nNIA,DATOS!$A2796,nCURSO,DATOS!$D2796,nESPEC,DATOS!$E2796,nASIG,DATOS!$I2796,nEVAL,"OR")=0))</f>
      </c>
      <c r="I2796">
        <f>IF(DATOS!$I2796="","",IFERROR(VLOOKUP(DATOS!$I2796,CONFIG_ASIGNATURAS!$B$2:$J$91,9,FALSE()),""))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IF(DATOS!$A2797="",0,IF(CONFIG_METADATA!$B$4&lt;&gt;"OR+EX",--(DATOS!$G2797=CONFIG_METADATA!$B$4),IF(DATOS!$G2797="EX",1,IF(DATOS!$G2797="OR",--(COUNTIFS(nNIA,DATOS!$A2797,nCURSO,DATOS!$D2797,nESPEC,DATOS!$E2797,nASIG,DATOS!$I2797,nEVAL,"EX")=0),0))))</f>
      </c>
      <c r="H2797">
        <f>IF(DATOS!$G2797&lt;&gt;"EX",0,--(COUNTIFS(nNIA,DATOS!$A2797,nCURSO,DATOS!$D2797,nESPEC,DATOS!$E2797,nASIG,DATOS!$I2797,nEVAL,"OR")=0))</f>
      </c>
      <c r="I2797">
        <f>IF(DATOS!$I2797="","",IFERROR(VLOOKUP(DATOS!$I2797,CONFIG_ASIGNATURAS!$B$2:$J$91,9,FALSE()),""))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IF(DATOS!$A2798="",0,IF(CONFIG_METADATA!$B$4&lt;&gt;"OR+EX",--(DATOS!$G2798=CONFIG_METADATA!$B$4),IF(DATOS!$G2798="EX",1,IF(DATOS!$G2798="OR",--(COUNTIFS(nNIA,DATOS!$A2798,nCURSO,DATOS!$D2798,nESPEC,DATOS!$E2798,nASIG,DATOS!$I2798,nEVAL,"EX")=0),0))))</f>
      </c>
      <c r="H2798">
        <f>IF(DATOS!$G2798&lt;&gt;"EX",0,--(COUNTIFS(nNIA,DATOS!$A2798,nCURSO,DATOS!$D2798,nESPEC,DATOS!$E2798,nASIG,DATOS!$I2798,nEVAL,"OR")=0))</f>
      </c>
      <c r="I2798">
        <f>IF(DATOS!$I2798="","",IFERROR(VLOOKUP(DATOS!$I2798,CONFIG_ASIGNATURAS!$B$2:$J$91,9,FALSE()),""))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IF(DATOS!$A2799="",0,IF(CONFIG_METADATA!$B$4&lt;&gt;"OR+EX",--(DATOS!$G2799=CONFIG_METADATA!$B$4),IF(DATOS!$G2799="EX",1,IF(DATOS!$G2799="OR",--(COUNTIFS(nNIA,DATOS!$A2799,nCURSO,DATOS!$D2799,nESPEC,DATOS!$E2799,nASIG,DATOS!$I2799,nEVAL,"EX")=0),0))))</f>
      </c>
      <c r="H2799">
        <f>IF(DATOS!$G2799&lt;&gt;"EX",0,--(COUNTIFS(nNIA,DATOS!$A2799,nCURSO,DATOS!$D2799,nESPEC,DATOS!$E2799,nASIG,DATOS!$I2799,nEVAL,"OR")=0))</f>
      </c>
      <c r="I2799">
        <f>IF(DATOS!$I2799="","",IFERROR(VLOOKUP(DATOS!$I2799,CONFIG_ASIGNATURAS!$B$2:$J$91,9,FALSE()),""))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IF(DATOS!$A2800="",0,IF(CONFIG_METADATA!$B$4&lt;&gt;"OR+EX",--(DATOS!$G2800=CONFIG_METADATA!$B$4),IF(DATOS!$G2800="EX",1,IF(DATOS!$G2800="OR",--(COUNTIFS(nNIA,DATOS!$A2800,nCURSO,DATOS!$D2800,nESPEC,DATOS!$E2800,nASIG,DATOS!$I2800,nEVAL,"EX")=0),0))))</f>
      </c>
      <c r="H2800">
        <f>IF(DATOS!$G2800&lt;&gt;"EX",0,--(COUNTIFS(nNIA,DATOS!$A2800,nCURSO,DATOS!$D2800,nESPEC,DATOS!$E2800,nASIG,DATOS!$I2800,nEVAL,"OR")=0))</f>
      </c>
      <c r="I2800">
        <f>IF(DATOS!$I2800="","",IFERROR(VLOOKUP(DATOS!$I2800,CONFIG_ASIGNATURAS!$B$2:$J$91,9,FALSE()),""))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IF(DATOS!$A2801="",0,IF(CONFIG_METADATA!$B$4&lt;&gt;"OR+EX",--(DATOS!$G2801=CONFIG_METADATA!$B$4),IF(DATOS!$G2801="EX",1,IF(DATOS!$G2801="OR",--(COUNTIFS(nNIA,DATOS!$A2801,nCURSO,DATOS!$D2801,nESPEC,DATOS!$E2801,nASIG,DATOS!$I2801,nEVAL,"EX")=0),0))))</f>
      </c>
      <c r="H2801">
        <f>IF(DATOS!$G2801&lt;&gt;"EX",0,--(COUNTIFS(nNIA,DATOS!$A2801,nCURSO,DATOS!$D2801,nESPEC,DATOS!$E2801,nASIG,DATOS!$I2801,nEVAL,"OR")=0))</f>
      </c>
      <c r="I2801">
        <f>IF(DATOS!$I2801="","",IFERROR(VLOOKUP(DATOS!$I2801,CONFIG_ASIGNATURAS!$B$2:$J$91,9,FALSE()),""))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IF(DATOS!$A2802="",0,IF(CONFIG_METADATA!$B$4&lt;&gt;"OR+EX",--(DATOS!$G2802=CONFIG_METADATA!$B$4),IF(DATOS!$G2802="EX",1,IF(DATOS!$G2802="OR",--(COUNTIFS(nNIA,DATOS!$A2802,nCURSO,DATOS!$D2802,nESPEC,DATOS!$E2802,nASIG,DATOS!$I2802,nEVAL,"EX")=0),0))))</f>
      </c>
      <c r="H2802">
        <f>IF(DATOS!$G2802&lt;&gt;"EX",0,--(COUNTIFS(nNIA,DATOS!$A2802,nCURSO,DATOS!$D2802,nESPEC,DATOS!$E2802,nASIG,DATOS!$I2802,nEVAL,"OR")=0))</f>
      </c>
      <c r="I2802">
        <f>IF(DATOS!$I2802="","",IFERROR(VLOOKUP(DATOS!$I2802,CONFIG_ASIGNATURAS!$B$2:$J$91,9,FALSE()),""))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IF(DATOS!$A2803="",0,IF(CONFIG_METADATA!$B$4&lt;&gt;"OR+EX",--(DATOS!$G2803=CONFIG_METADATA!$B$4),IF(DATOS!$G2803="EX",1,IF(DATOS!$G2803="OR",--(COUNTIFS(nNIA,DATOS!$A2803,nCURSO,DATOS!$D2803,nESPEC,DATOS!$E2803,nASIG,DATOS!$I2803,nEVAL,"EX")=0),0))))</f>
      </c>
      <c r="H2803">
        <f>IF(DATOS!$G2803&lt;&gt;"EX",0,--(COUNTIFS(nNIA,DATOS!$A2803,nCURSO,DATOS!$D2803,nESPEC,DATOS!$E2803,nASIG,DATOS!$I2803,nEVAL,"OR")=0))</f>
      </c>
      <c r="I2803">
        <f>IF(DATOS!$I2803="","",IFERROR(VLOOKUP(DATOS!$I2803,CONFIG_ASIGNATURAS!$B$2:$J$91,9,FALSE()),""))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IF(DATOS!$A2804="",0,IF(CONFIG_METADATA!$B$4&lt;&gt;"OR+EX",--(DATOS!$G2804=CONFIG_METADATA!$B$4),IF(DATOS!$G2804="EX",1,IF(DATOS!$G2804="OR",--(COUNTIFS(nNIA,DATOS!$A2804,nCURSO,DATOS!$D2804,nESPEC,DATOS!$E2804,nASIG,DATOS!$I2804,nEVAL,"EX")=0),0))))</f>
      </c>
      <c r="H2804">
        <f>IF(DATOS!$G2804&lt;&gt;"EX",0,--(COUNTIFS(nNIA,DATOS!$A2804,nCURSO,DATOS!$D2804,nESPEC,DATOS!$E2804,nASIG,DATOS!$I2804,nEVAL,"OR")=0))</f>
      </c>
      <c r="I2804">
        <f>IF(DATOS!$I2804="","",IFERROR(VLOOKUP(DATOS!$I2804,CONFIG_ASIGNATURAS!$B$2:$J$91,9,FALSE()),""))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IF(DATOS!$A2805="",0,IF(CONFIG_METADATA!$B$4&lt;&gt;"OR+EX",--(DATOS!$G2805=CONFIG_METADATA!$B$4),IF(DATOS!$G2805="EX",1,IF(DATOS!$G2805="OR",--(COUNTIFS(nNIA,DATOS!$A2805,nCURSO,DATOS!$D2805,nESPEC,DATOS!$E2805,nASIG,DATOS!$I2805,nEVAL,"EX")=0),0))))</f>
      </c>
      <c r="H2805">
        <f>IF(DATOS!$G2805&lt;&gt;"EX",0,--(COUNTIFS(nNIA,DATOS!$A2805,nCURSO,DATOS!$D2805,nESPEC,DATOS!$E2805,nASIG,DATOS!$I2805,nEVAL,"OR")=0))</f>
      </c>
      <c r="I2805">
        <f>IF(DATOS!$I2805="","",IFERROR(VLOOKUP(DATOS!$I2805,CONFIG_ASIGNATURAS!$B$2:$J$91,9,FALSE()),""))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IF(DATOS!$A2806="",0,IF(CONFIG_METADATA!$B$4&lt;&gt;"OR+EX",--(DATOS!$G2806=CONFIG_METADATA!$B$4),IF(DATOS!$G2806="EX",1,IF(DATOS!$G2806="OR",--(COUNTIFS(nNIA,DATOS!$A2806,nCURSO,DATOS!$D2806,nESPEC,DATOS!$E2806,nASIG,DATOS!$I2806,nEVAL,"EX")=0),0))))</f>
      </c>
      <c r="H2806">
        <f>IF(DATOS!$G2806&lt;&gt;"EX",0,--(COUNTIFS(nNIA,DATOS!$A2806,nCURSO,DATOS!$D2806,nESPEC,DATOS!$E2806,nASIG,DATOS!$I2806,nEVAL,"OR")=0))</f>
      </c>
      <c r="I2806">
        <f>IF(DATOS!$I2806="","",IFERROR(VLOOKUP(DATOS!$I2806,CONFIG_ASIGNATURAS!$B$2:$J$91,9,FALSE()),""))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IF(DATOS!$A2807="",0,IF(CONFIG_METADATA!$B$4&lt;&gt;"OR+EX",--(DATOS!$G2807=CONFIG_METADATA!$B$4),IF(DATOS!$G2807="EX",1,IF(DATOS!$G2807="OR",--(COUNTIFS(nNIA,DATOS!$A2807,nCURSO,DATOS!$D2807,nESPEC,DATOS!$E2807,nASIG,DATOS!$I2807,nEVAL,"EX")=0),0))))</f>
      </c>
      <c r="H2807">
        <f>IF(DATOS!$G2807&lt;&gt;"EX",0,--(COUNTIFS(nNIA,DATOS!$A2807,nCURSO,DATOS!$D2807,nESPEC,DATOS!$E2807,nASIG,DATOS!$I2807,nEVAL,"OR")=0))</f>
      </c>
      <c r="I2807">
        <f>IF(DATOS!$I2807="","",IFERROR(VLOOKUP(DATOS!$I2807,CONFIG_ASIGNATURAS!$B$2:$J$91,9,FALSE()),""))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IF(DATOS!$A2808="",0,IF(CONFIG_METADATA!$B$4&lt;&gt;"OR+EX",--(DATOS!$G2808=CONFIG_METADATA!$B$4),IF(DATOS!$G2808="EX",1,IF(DATOS!$G2808="OR",--(COUNTIFS(nNIA,DATOS!$A2808,nCURSO,DATOS!$D2808,nESPEC,DATOS!$E2808,nASIG,DATOS!$I2808,nEVAL,"EX")=0),0))))</f>
      </c>
      <c r="H2808">
        <f>IF(DATOS!$G2808&lt;&gt;"EX",0,--(COUNTIFS(nNIA,DATOS!$A2808,nCURSO,DATOS!$D2808,nESPEC,DATOS!$E2808,nASIG,DATOS!$I2808,nEVAL,"OR")=0))</f>
      </c>
      <c r="I2808">
        <f>IF(DATOS!$I2808="","",IFERROR(VLOOKUP(DATOS!$I2808,CONFIG_ASIGNATURAS!$B$2:$J$91,9,FALSE()),""))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IF(DATOS!$A2809="",0,IF(CONFIG_METADATA!$B$4&lt;&gt;"OR+EX",--(DATOS!$G2809=CONFIG_METADATA!$B$4),IF(DATOS!$G2809="EX",1,IF(DATOS!$G2809="OR",--(COUNTIFS(nNIA,DATOS!$A2809,nCURSO,DATOS!$D2809,nESPEC,DATOS!$E2809,nASIG,DATOS!$I2809,nEVAL,"EX")=0),0))))</f>
      </c>
      <c r="H2809">
        <f>IF(DATOS!$G2809&lt;&gt;"EX",0,--(COUNTIFS(nNIA,DATOS!$A2809,nCURSO,DATOS!$D2809,nESPEC,DATOS!$E2809,nASIG,DATOS!$I2809,nEVAL,"OR")=0))</f>
      </c>
      <c r="I2809">
        <f>IF(DATOS!$I2809="","",IFERROR(VLOOKUP(DATOS!$I2809,CONFIG_ASIGNATURAS!$B$2:$J$91,9,FALSE()),""))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IF(DATOS!$A2810="",0,IF(CONFIG_METADATA!$B$4&lt;&gt;"OR+EX",--(DATOS!$G2810=CONFIG_METADATA!$B$4),IF(DATOS!$G2810="EX",1,IF(DATOS!$G2810="OR",--(COUNTIFS(nNIA,DATOS!$A2810,nCURSO,DATOS!$D2810,nESPEC,DATOS!$E2810,nASIG,DATOS!$I2810,nEVAL,"EX")=0),0))))</f>
      </c>
      <c r="H2810">
        <f>IF(DATOS!$G2810&lt;&gt;"EX",0,--(COUNTIFS(nNIA,DATOS!$A2810,nCURSO,DATOS!$D2810,nESPEC,DATOS!$E2810,nASIG,DATOS!$I2810,nEVAL,"OR")=0))</f>
      </c>
      <c r="I2810">
        <f>IF(DATOS!$I2810="","",IFERROR(VLOOKUP(DATOS!$I2810,CONFIG_ASIGNATURAS!$B$2:$J$91,9,FALSE()),""))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IF(DATOS!$A2811="",0,IF(CONFIG_METADATA!$B$4&lt;&gt;"OR+EX",--(DATOS!$G2811=CONFIG_METADATA!$B$4),IF(DATOS!$G2811="EX",1,IF(DATOS!$G2811="OR",--(COUNTIFS(nNIA,DATOS!$A2811,nCURSO,DATOS!$D2811,nESPEC,DATOS!$E2811,nASIG,DATOS!$I2811,nEVAL,"EX")=0),0))))</f>
      </c>
      <c r="H2811">
        <f>IF(DATOS!$G2811&lt;&gt;"EX",0,--(COUNTIFS(nNIA,DATOS!$A2811,nCURSO,DATOS!$D2811,nESPEC,DATOS!$E2811,nASIG,DATOS!$I2811,nEVAL,"OR")=0))</f>
      </c>
      <c r="I2811">
        <f>IF(DATOS!$I2811="","",IFERROR(VLOOKUP(DATOS!$I2811,CONFIG_ASIGNATURAS!$B$2:$J$91,9,FALSE()),""))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IF(DATOS!$A2812="",0,IF(CONFIG_METADATA!$B$4&lt;&gt;"OR+EX",--(DATOS!$G2812=CONFIG_METADATA!$B$4),IF(DATOS!$G2812="EX",1,IF(DATOS!$G2812="OR",--(COUNTIFS(nNIA,DATOS!$A2812,nCURSO,DATOS!$D2812,nESPEC,DATOS!$E2812,nASIG,DATOS!$I2812,nEVAL,"EX")=0),0))))</f>
      </c>
      <c r="H2812">
        <f>IF(DATOS!$G2812&lt;&gt;"EX",0,--(COUNTIFS(nNIA,DATOS!$A2812,nCURSO,DATOS!$D2812,nESPEC,DATOS!$E2812,nASIG,DATOS!$I2812,nEVAL,"OR")=0))</f>
      </c>
      <c r="I2812">
        <f>IF(DATOS!$I2812="","",IFERROR(VLOOKUP(DATOS!$I2812,CONFIG_ASIGNATURAS!$B$2:$J$91,9,FALSE()),""))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IF(DATOS!$A2813="",0,IF(CONFIG_METADATA!$B$4&lt;&gt;"OR+EX",--(DATOS!$G2813=CONFIG_METADATA!$B$4),IF(DATOS!$G2813="EX",1,IF(DATOS!$G2813="OR",--(COUNTIFS(nNIA,DATOS!$A2813,nCURSO,DATOS!$D2813,nESPEC,DATOS!$E2813,nASIG,DATOS!$I2813,nEVAL,"EX")=0),0))))</f>
      </c>
      <c r="H2813">
        <f>IF(DATOS!$G2813&lt;&gt;"EX",0,--(COUNTIFS(nNIA,DATOS!$A2813,nCURSO,DATOS!$D2813,nESPEC,DATOS!$E2813,nASIG,DATOS!$I2813,nEVAL,"OR")=0))</f>
      </c>
      <c r="I2813">
        <f>IF(DATOS!$I2813="","",IFERROR(VLOOKUP(DATOS!$I2813,CONFIG_ASIGNATURAS!$B$2:$J$91,9,FALSE()),""))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IF(DATOS!$A2814="",0,IF(CONFIG_METADATA!$B$4&lt;&gt;"OR+EX",--(DATOS!$G2814=CONFIG_METADATA!$B$4),IF(DATOS!$G2814="EX",1,IF(DATOS!$G2814="OR",--(COUNTIFS(nNIA,DATOS!$A2814,nCURSO,DATOS!$D2814,nESPEC,DATOS!$E2814,nASIG,DATOS!$I2814,nEVAL,"EX")=0),0))))</f>
      </c>
      <c r="H2814">
        <f>IF(DATOS!$G2814&lt;&gt;"EX",0,--(COUNTIFS(nNIA,DATOS!$A2814,nCURSO,DATOS!$D2814,nESPEC,DATOS!$E2814,nASIG,DATOS!$I2814,nEVAL,"OR")=0))</f>
      </c>
      <c r="I2814">
        <f>IF(DATOS!$I2814="","",IFERROR(VLOOKUP(DATOS!$I2814,CONFIG_ASIGNATURAS!$B$2:$J$91,9,FALSE()),""))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IF(DATOS!$A2815="",0,IF(CONFIG_METADATA!$B$4&lt;&gt;"OR+EX",--(DATOS!$G2815=CONFIG_METADATA!$B$4),IF(DATOS!$G2815="EX",1,IF(DATOS!$G2815="OR",--(COUNTIFS(nNIA,DATOS!$A2815,nCURSO,DATOS!$D2815,nESPEC,DATOS!$E2815,nASIG,DATOS!$I2815,nEVAL,"EX")=0),0))))</f>
      </c>
      <c r="H2815">
        <f>IF(DATOS!$G2815&lt;&gt;"EX",0,--(COUNTIFS(nNIA,DATOS!$A2815,nCURSO,DATOS!$D2815,nESPEC,DATOS!$E2815,nASIG,DATOS!$I2815,nEVAL,"OR")=0))</f>
      </c>
      <c r="I2815">
        <f>IF(DATOS!$I2815="","",IFERROR(VLOOKUP(DATOS!$I2815,CONFIG_ASIGNATURAS!$B$2:$J$91,9,FALSE()),""))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IF(DATOS!$A2816="",0,IF(CONFIG_METADATA!$B$4&lt;&gt;"OR+EX",--(DATOS!$G2816=CONFIG_METADATA!$B$4),IF(DATOS!$G2816="EX",1,IF(DATOS!$G2816="OR",--(COUNTIFS(nNIA,DATOS!$A2816,nCURSO,DATOS!$D2816,nESPEC,DATOS!$E2816,nASIG,DATOS!$I2816,nEVAL,"EX")=0),0))))</f>
      </c>
      <c r="H2816">
        <f>IF(DATOS!$G2816&lt;&gt;"EX",0,--(COUNTIFS(nNIA,DATOS!$A2816,nCURSO,DATOS!$D2816,nESPEC,DATOS!$E2816,nASIG,DATOS!$I2816,nEVAL,"OR")=0))</f>
      </c>
      <c r="I2816">
        <f>IF(DATOS!$I2816="","",IFERROR(VLOOKUP(DATOS!$I2816,CONFIG_ASIGNATURAS!$B$2:$J$91,9,FALSE()),""))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IF(DATOS!$A2817="",0,IF(CONFIG_METADATA!$B$4&lt;&gt;"OR+EX",--(DATOS!$G2817=CONFIG_METADATA!$B$4),IF(DATOS!$G2817="EX",1,IF(DATOS!$G2817="OR",--(COUNTIFS(nNIA,DATOS!$A2817,nCURSO,DATOS!$D2817,nESPEC,DATOS!$E2817,nASIG,DATOS!$I2817,nEVAL,"EX")=0),0))))</f>
      </c>
      <c r="H2817">
        <f>IF(DATOS!$G2817&lt;&gt;"EX",0,--(COUNTIFS(nNIA,DATOS!$A2817,nCURSO,DATOS!$D2817,nESPEC,DATOS!$E2817,nASIG,DATOS!$I2817,nEVAL,"OR")=0))</f>
      </c>
      <c r="I2817">
        <f>IF(DATOS!$I2817="","",IFERROR(VLOOKUP(DATOS!$I2817,CONFIG_ASIGNATURAS!$B$2:$J$91,9,FALSE()),""))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IF(DATOS!$A2818="",0,IF(CONFIG_METADATA!$B$4&lt;&gt;"OR+EX",--(DATOS!$G2818=CONFIG_METADATA!$B$4),IF(DATOS!$G2818="EX",1,IF(DATOS!$G2818="OR",--(COUNTIFS(nNIA,DATOS!$A2818,nCURSO,DATOS!$D2818,nESPEC,DATOS!$E2818,nASIG,DATOS!$I2818,nEVAL,"EX")=0),0))))</f>
      </c>
      <c r="H2818">
        <f>IF(DATOS!$G2818&lt;&gt;"EX",0,--(COUNTIFS(nNIA,DATOS!$A2818,nCURSO,DATOS!$D2818,nESPEC,DATOS!$E2818,nASIG,DATOS!$I2818,nEVAL,"OR")=0))</f>
      </c>
      <c r="I2818">
        <f>IF(DATOS!$I2818="","",IFERROR(VLOOKUP(DATOS!$I2818,CONFIG_ASIGNATURAS!$B$2:$J$91,9,FALSE()),""))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IF(DATOS!$A2819="",0,IF(CONFIG_METADATA!$B$4&lt;&gt;"OR+EX",--(DATOS!$G2819=CONFIG_METADATA!$B$4),IF(DATOS!$G2819="EX",1,IF(DATOS!$G2819="OR",--(COUNTIFS(nNIA,DATOS!$A2819,nCURSO,DATOS!$D2819,nESPEC,DATOS!$E2819,nASIG,DATOS!$I2819,nEVAL,"EX")=0),0))))</f>
      </c>
      <c r="H2819">
        <f>IF(DATOS!$G2819&lt;&gt;"EX",0,--(COUNTIFS(nNIA,DATOS!$A2819,nCURSO,DATOS!$D2819,nESPEC,DATOS!$E2819,nASIG,DATOS!$I2819,nEVAL,"OR")=0))</f>
      </c>
      <c r="I2819">
        <f>IF(DATOS!$I2819="","",IFERROR(VLOOKUP(DATOS!$I2819,CONFIG_ASIGNATURAS!$B$2:$J$91,9,FALSE()),""))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IF(DATOS!$A2820="",0,IF(CONFIG_METADATA!$B$4&lt;&gt;"OR+EX",--(DATOS!$G2820=CONFIG_METADATA!$B$4),IF(DATOS!$G2820="EX",1,IF(DATOS!$G2820="OR",--(COUNTIFS(nNIA,DATOS!$A2820,nCURSO,DATOS!$D2820,nESPEC,DATOS!$E2820,nASIG,DATOS!$I2820,nEVAL,"EX")=0),0))))</f>
      </c>
      <c r="H2820">
        <f>IF(DATOS!$G2820&lt;&gt;"EX",0,--(COUNTIFS(nNIA,DATOS!$A2820,nCURSO,DATOS!$D2820,nESPEC,DATOS!$E2820,nASIG,DATOS!$I2820,nEVAL,"OR")=0))</f>
      </c>
      <c r="I2820">
        <f>IF(DATOS!$I2820="","",IFERROR(VLOOKUP(DATOS!$I2820,CONFIG_ASIGNATURAS!$B$2:$J$91,9,FALSE()),""))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IF(DATOS!$A2821="",0,IF(CONFIG_METADATA!$B$4&lt;&gt;"OR+EX",--(DATOS!$G2821=CONFIG_METADATA!$B$4),IF(DATOS!$G2821="EX",1,IF(DATOS!$G2821="OR",--(COUNTIFS(nNIA,DATOS!$A2821,nCURSO,DATOS!$D2821,nESPEC,DATOS!$E2821,nASIG,DATOS!$I2821,nEVAL,"EX")=0),0))))</f>
      </c>
      <c r="H2821">
        <f>IF(DATOS!$G2821&lt;&gt;"EX",0,--(COUNTIFS(nNIA,DATOS!$A2821,nCURSO,DATOS!$D2821,nESPEC,DATOS!$E2821,nASIG,DATOS!$I2821,nEVAL,"OR")=0))</f>
      </c>
      <c r="I2821">
        <f>IF(DATOS!$I2821="","",IFERROR(VLOOKUP(DATOS!$I2821,CONFIG_ASIGNATURAS!$B$2:$J$91,9,FALSE()),""))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IF(DATOS!$A2822="",0,IF(CONFIG_METADATA!$B$4&lt;&gt;"OR+EX",--(DATOS!$G2822=CONFIG_METADATA!$B$4),IF(DATOS!$G2822="EX",1,IF(DATOS!$G2822="OR",--(COUNTIFS(nNIA,DATOS!$A2822,nCURSO,DATOS!$D2822,nESPEC,DATOS!$E2822,nASIG,DATOS!$I2822,nEVAL,"EX")=0),0))))</f>
      </c>
      <c r="H2822">
        <f>IF(DATOS!$G2822&lt;&gt;"EX",0,--(COUNTIFS(nNIA,DATOS!$A2822,nCURSO,DATOS!$D2822,nESPEC,DATOS!$E2822,nASIG,DATOS!$I2822,nEVAL,"OR")=0))</f>
      </c>
      <c r="I2822">
        <f>IF(DATOS!$I2822="","",IFERROR(VLOOKUP(DATOS!$I2822,CONFIG_ASIGNATURAS!$B$2:$J$91,9,FALSE()),""))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IF(DATOS!$A2823="",0,IF(CONFIG_METADATA!$B$4&lt;&gt;"OR+EX",--(DATOS!$G2823=CONFIG_METADATA!$B$4),IF(DATOS!$G2823="EX",1,IF(DATOS!$G2823="OR",--(COUNTIFS(nNIA,DATOS!$A2823,nCURSO,DATOS!$D2823,nESPEC,DATOS!$E2823,nASIG,DATOS!$I2823,nEVAL,"EX")=0),0))))</f>
      </c>
      <c r="H2823">
        <f>IF(DATOS!$G2823&lt;&gt;"EX",0,--(COUNTIFS(nNIA,DATOS!$A2823,nCURSO,DATOS!$D2823,nESPEC,DATOS!$E2823,nASIG,DATOS!$I2823,nEVAL,"OR")=0))</f>
      </c>
      <c r="I2823">
        <f>IF(DATOS!$I2823="","",IFERROR(VLOOKUP(DATOS!$I2823,CONFIG_ASIGNATURAS!$B$2:$J$91,9,FALSE()),""))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IF(DATOS!$A2824="",0,IF(CONFIG_METADATA!$B$4&lt;&gt;"OR+EX",--(DATOS!$G2824=CONFIG_METADATA!$B$4),IF(DATOS!$G2824="EX",1,IF(DATOS!$G2824="OR",--(COUNTIFS(nNIA,DATOS!$A2824,nCURSO,DATOS!$D2824,nESPEC,DATOS!$E2824,nASIG,DATOS!$I2824,nEVAL,"EX")=0),0))))</f>
      </c>
      <c r="H2824">
        <f>IF(DATOS!$G2824&lt;&gt;"EX",0,--(COUNTIFS(nNIA,DATOS!$A2824,nCURSO,DATOS!$D2824,nESPEC,DATOS!$E2824,nASIG,DATOS!$I2824,nEVAL,"OR")=0))</f>
      </c>
      <c r="I2824">
        <f>IF(DATOS!$I2824="","",IFERROR(VLOOKUP(DATOS!$I2824,CONFIG_ASIGNATURAS!$B$2:$J$91,9,FALSE()),""))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IF(DATOS!$A2825="",0,IF(CONFIG_METADATA!$B$4&lt;&gt;"OR+EX",--(DATOS!$G2825=CONFIG_METADATA!$B$4),IF(DATOS!$G2825="EX",1,IF(DATOS!$G2825="OR",--(COUNTIFS(nNIA,DATOS!$A2825,nCURSO,DATOS!$D2825,nESPEC,DATOS!$E2825,nASIG,DATOS!$I2825,nEVAL,"EX")=0),0))))</f>
      </c>
      <c r="H2825">
        <f>IF(DATOS!$G2825&lt;&gt;"EX",0,--(COUNTIFS(nNIA,DATOS!$A2825,nCURSO,DATOS!$D2825,nESPEC,DATOS!$E2825,nASIG,DATOS!$I2825,nEVAL,"OR")=0))</f>
      </c>
      <c r="I2825">
        <f>IF(DATOS!$I2825="","",IFERROR(VLOOKUP(DATOS!$I2825,CONFIG_ASIGNATURAS!$B$2:$J$91,9,FALSE()),""))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IF(DATOS!$A2826="",0,IF(CONFIG_METADATA!$B$4&lt;&gt;"OR+EX",--(DATOS!$G2826=CONFIG_METADATA!$B$4),IF(DATOS!$G2826="EX",1,IF(DATOS!$G2826="OR",--(COUNTIFS(nNIA,DATOS!$A2826,nCURSO,DATOS!$D2826,nESPEC,DATOS!$E2826,nASIG,DATOS!$I2826,nEVAL,"EX")=0),0))))</f>
      </c>
      <c r="H2826">
        <f>IF(DATOS!$G2826&lt;&gt;"EX",0,--(COUNTIFS(nNIA,DATOS!$A2826,nCURSO,DATOS!$D2826,nESPEC,DATOS!$E2826,nASIG,DATOS!$I2826,nEVAL,"OR")=0))</f>
      </c>
      <c r="I2826">
        <f>IF(DATOS!$I2826="","",IFERROR(VLOOKUP(DATOS!$I2826,CONFIG_ASIGNATURAS!$B$2:$J$91,9,FALSE()),""))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IF(DATOS!$A2827="",0,IF(CONFIG_METADATA!$B$4&lt;&gt;"OR+EX",--(DATOS!$G2827=CONFIG_METADATA!$B$4),IF(DATOS!$G2827="EX",1,IF(DATOS!$G2827="OR",--(COUNTIFS(nNIA,DATOS!$A2827,nCURSO,DATOS!$D2827,nESPEC,DATOS!$E2827,nASIG,DATOS!$I2827,nEVAL,"EX")=0),0))))</f>
      </c>
      <c r="H2827">
        <f>IF(DATOS!$G2827&lt;&gt;"EX",0,--(COUNTIFS(nNIA,DATOS!$A2827,nCURSO,DATOS!$D2827,nESPEC,DATOS!$E2827,nASIG,DATOS!$I2827,nEVAL,"OR")=0))</f>
      </c>
      <c r="I2827">
        <f>IF(DATOS!$I2827="","",IFERROR(VLOOKUP(DATOS!$I2827,CONFIG_ASIGNATURAS!$B$2:$J$91,9,FALSE()),""))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IF(DATOS!$A2828="",0,IF(CONFIG_METADATA!$B$4&lt;&gt;"OR+EX",--(DATOS!$G2828=CONFIG_METADATA!$B$4),IF(DATOS!$G2828="EX",1,IF(DATOS!$G2828="OR",--(COUNTIFS(nNIA,DATOS!$A2828,nCURSO,DATOS!$D2828,nESPEC,DATOS!$E2828,nASIG,DATOS!$I2828,nEVAL,"EX")=0),0))))</f>
      </c>
      <c r="H2828">
        <f>IF(DATOS!$G2828&lt;&gt;"EX",0,--(COUNTIFS(nNIA,DATOS!$A2828,nCURSO,DATOS!$D2828,nESPEC,DATOS!$E2828,nASIG,DATOS!$I2828,nEVAL,"OR")=0))</f>
      </c>
      <c r="I2828">
        <f>IF(DATOS!$I2828="","",IFERROR(VLOOKUP(DATOS!$I2828,CONFIG_ASIGNATURAS!$B$2:$J$91,9,FALSE()),""))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IF(DATOS!$A2829="",0,IF(CONFIG_METADATA!$B$4&lt;&gt;"OR+EX",--(DATOS!$G2829=CONFIG_METADATA!$B$4),IF(DATOS!$G2829="EX",1,IF(DATOS!$G2829="OR",--(COUNTIFS(nNIA,DATOS!$A2829,nCURSO,DATOS!$D2829,nESPEC,DATOS!$E2829,nASIG,DATOS!$I2829,nEVAL,"EX")=0),0))))</f>
      </c>
      <c r="H2829">
        <f>IF(DATOS!$G2829&lt;&gt;"EX",0,--(COUNTIFS(nNIA,DATOS!$A2829,nCURSO,DATOS!$D2829,nESPEC,DATOS!$E2829,nASIG,DATOS!$I2829,nEVAL,"OR")=0))</f>
      </c>
      <c r="I2829">
        <f>IF(DATOS!$I2829="","",IFERROR(VLOOKUP(DATOS!$I2829,CONFIG_ASIGNATURAS!$B$2:$J$91,9,FALSE()),""))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IF(DATOS!$A2830="",0,IF(CONFIG_METADATA!$B$4&lt;&gt;"OR+EX",--(DATOS!$G2830=CONFIG_METADATA!$B$4),IF(DATOS!$G2830="EX",1,IF(DATOS!$G2830="OR",--(COUNTIFS(nNIA,DATOS!$A2830,nCURSO,DATOS!$D2830,nESPEC,DATOS!$E2830,nASIG,DATOS!$I2830,nEVAL,"EX")=0),0))))</f>
      </c>
      <c r="H2830">
        <f>IF(DATOS!$G2830&lt;&gt;"EX",0,--(COUNTIFS(nNIA,DATOS!$A2830,nCURSO,DATOS!$D2830,nESPEC,DATOS!$E2830,nASIG,DATOS!$I2830,nEVAL,"OR")=0))</f>
      </c>
      <c r="I2830">
        <f>IF(DATOS!$I2830="","",IFERROR(VLOOKUP(DATOS!$I2830,CONFIG_ASIGNATURAS!$B$2:$J$91,9,FALSE()),""))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IF(DATOS!$A2831="",0,IF(CONFIG_METADATA!$B$4&lt;&gt;"OR+EX",--(DATOS!$G2831=CONFIG_METADATA!$B$4),IF(DATOS!$G2831="EX",1,IF(DATOS!$G2831="OR",--(COUNTIFS(nNIA,DATOS!$A2831,nCURSO,DATOS!$D2831,nESPEC,DATOS!$E2831,nASIG,DATOS!$I2831,nEVAL,"EX")=0),0))))</f>
      </c>
      <c r="H2831">
        <f>IF(DATOS!$G2831&lt;&gt;"EX",0,--(COUNTIFS(nNIA,DATOS!$A2831,nCURSO,DATOS!$D2831,nESPEC,DATOS!$E2831,nASIG,DATOS!$I2831,nEVAL,"OR")=0))</f>
      </c>
      <c r="I2831">
        <f>IF(DATOS!$I2831="","",IFERROR(VLOOKUP(DATOS!$I2831,CONFIG_ASIGNATURAS!$B$2:$J$91,9,FALSE()),""))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IF(DATOS!$A2832="",0,IF(CONFIG_METADATA!$B$4&lt;&gt;"OR+EX",--(DATOS!$G2832=CONFIG_METADATA!$B$4),IF(DATOS!$G2832="EX",1,IF(DATOS!$G2832="OR",--(COUNTIFS(nNIA,DATOS!$A2832,nCURSO,DATOS!$D2832,nESPEC,DATOS!$E2832,nASIG,DATOS!$I2832,nEVAL,"EX")=0),0))))</f>
      </c>
      <c r="H2832">
        <f>IF(DATOS!$G2832&lt;&gt;"EX",0,--(COUNTIFS(nNIA,DATOS!$A2832,nCURSO,DATOS!$D2832,nESPEC,DATOS!$E2832,nASIG,DATOS!$I2832,nEVAL,"OR")=0))</f>
      </c>
      <c r="I2832">
        <f>IF(DATOS!$I2832="","",IFERROR(VLOOKUP(DATOS!$I2832,CONFIG_ASIGNATURAS!$B$2:$J$91,9,FALSE()),""))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IF(DATOS!$A2833="",0,IF(CONFIG_METADATA!$B$4&lt;&gt;"OR+EX",--(DATOS!$G2833=CONFIG_METADATA!$B$4),IF(DATOS!$G2833="EX",1,IF(DATOS!$G2833="OR",--(COUNTIFS(nNIA,DATOS!$A2833,nCURSO,DATOS!$D2833,nESPEC,DATOS!$E2833,nASIG,DATOS!$I2833,nEVAL,"EX")=0),0))))</f>
      </c>
      <c r="H2833">
        <f>IF(DATOS!$G2833&lt;&gt;"EX",0,--(COUNTIFS(nNIA,DATOS!$A2833,nCURSO,DATOS!$D2833,nESPEC,DATOS!$E2833,nASIG,DATOS!$I2833,nEVAL,"OR")=0))</f>
      </c>
      <c r="I2833">
        <f>IF(DATOS!$I2833="","",IFERROR(VLOOKUP(DATOS!$I2833,CONFIG_ASIGNATURAS!$B$2:$J$91,9,FALSE()),""))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IF(DATOS!$A2834="",0,IF(CONFIG_METADATA!$B$4&lt;&gt;"OR+EX",--(DATOS!$G2834=CONFIG_METADATA!$B$4),IF(DATOS!$G2834="EX",1,IF(DATOS!$G2834="OR",--(COUNTIFS(nNIA,DATOS!$A2834,nCURSO,DATOS!$D2834,nESPEC,DATOS!$E2834,nASIG,DATOS!$I2834,nEVAL,"EX")=0),0))))</f>
      </c>
      <c r="H2834">
        <f>IF(DATOS!$G2834&lt;&gt;"EX",0,--(COUNTIFS(nNIA,DATOS!$A2834,nCURSO,DATOS!$D2834,nESPEC,DATOS!$E2834,nASIG,DATOS!$I2834,nEVAL,"OR")=0))</f>
      </c>
      <c r="I2834">
        <f>IF(DATOS!$I2834="","",IFERROR(VLOOKUP(DATOS!$I2834,CONFIG_ASIGNATURAS!$B$2:$J$91,9,FALSE()),""))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IF(DATOS!$A2835="",0,IF(CONFIG_METADATA!$B$4&lt;&gt;"OR+EX",--(DATOS!$G2835=CONFIG_METADATA!$B$4),IF(DATOS!$G2835="EX",1,IF(DATOS!$G2835="OR",--(COUNTIFS(nNIA,DATOS!$A2835,nCURSO,DATOS!$D2835,nESPEC,DATOS!$E2835,nASIG,DATOS!$I2835,nEVAL,"EX")=0),0))))</f>
      </c>
      <c r="H2835">
        <f>IF(DATOS!$G2835&lt;&gt;"EX",0,--(COUNTIFS(nNIA,DATOS!$A2835,nCURSO,DATOS!$D2835,nESPEC,DATOS!$E2835,nASIG,DATOS!$I2835,nEVAL,"OR")=0))</f>
      </c>
      <c r="I2835">
        <f>IF(DATOS!$I2835="","",IFERROR(VLOOKUP(DATOS!$I2835,CONFIG_ASIGNATURAS!$B$2:$J$91,9,FALSE()),""))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IF(DATOS!$A2836="",0,IF(CONFIG_METADATA!$B$4&lt;&gt;"OR+EX",--(DATOS!$G2836=CONFIG_METADATA!$B$4),IF(DATOS!$G2836="EX",1,IF(DATOS!$G2836="OR",--(COUNTIFS(nNIA,DATOS!$A2836,nCURSO,DATOS!$D2836,nESPEC,DATOS!$E2836,nASIG,DATOS!$I2836,nEVAL,"EX")=0),0))))</f>
      </c>
      <c r="H2836">
        <f>IF(DATOS!$G2836&lt;&gt;"EX",0,--(COUNTIFS(nNIA,DATOS!$A2836,nCURSO,DATOS!$D2836,nESPEC,DATOS!$E2836,nASIG,DATOS!$I2836,nEVAL,"OR")=0))</f>
      </c>
      <c r="I2836">
        <f>IF(DATOS!$I2836="","",IFERROR(VLOOKUP(DATOS!$I2836,CONFIG_ASIGNATURAS!$B$2:$J$91,9,FALSE()),""))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IF(DATOS!$A2837="",0,IF(CONFIG_METADATA!$B$4&lt;&gt;"OR+EX",--(DATOS!$G2837=CONFIG_METADATA!$B$4),IF(DATOS!$G2837="EX",1,IF(DATOS!$G2837="OR",--(COUNTIFS(nNIA,DATOS!$A2837,nCURSO,DATOS!$D2837,nESPEC,DATOS!$E2837,nASIG,DATOS!$I2837,nEVAL,"EX")=0),0))))</f>
      </c>
      <c r="H2837">
        <f>IF(DATOS!$G2837&lt;&gt;"EX",0,--(COUNTIFS(nNIA,DATOS!$A2837,nCURSO,DATOS!$D2837,nESPEC,DATOS!$E2837,nASIG,DATOS!$I2837,nEVAL,"OR")=0))</f>
      </c>
      <c r="I2837">
        <f>IF(DATOS!$I2837="","",IFERROR(VLOOKUP(DATOS!$I2837,CONFIG_ASIGNATURAS!$B$2:$J$91,9,FALSE()),""))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IF(DATOS!$A2838="",0,IF(CONFIG_METADATA!$B$4&lt;&gt;"OR+EX",--(DATOS!$G2838=CONFIG_METADATA!$B$4),IF(DATOS!$G2838="EX",1,IF(DATOS!$G2838="OR",--(COUNTIFS(nNIA,DATOS!$A2838,nCURSO,DATOS!$D2838,nESPEC,DATOS!$E2838,nASIG,DATOS!$I2838,nEVAL,"EX")=0),0))))</f>
      </c>
      <c r="H2838">
        <f>IF(DATOS!$G2838&lt;&gt;"EX",0,--(COUNTIFS(nNIA,DATOS!$A2838,nCURSO,DATOS!$D2838,nESPEC,DATOS!$E2838,nASIG,DATOS!$I2838,nEVAL,"OR")=0))</f>
      </c>
      <c r="I2838">
        <f>IF(DATOS!$I2838="","",IFERROR(VLOOKUP(DATOS!$I2838,CONFIG_ASIGNATURAS!$B$2:$J$91,9,FALSE()),""))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IF(DATOS!$A2839="",0,IF(CONFIG_METADATA!$B$4&lt;&gt;"OR+EX",--(DATOS!$G2839=CONFIG_METADATA!$B$4),IF(DATOS!$G2839="EX",1,IF(DATOS!$G2839="OR",--(COUNTIFS(nNIA,DATOS!$A2839,nCURSO,DATOS!$D2839,nESPEC,DATOS!$E2839,nASIG,DATOS!$I2839,nEVAL,"EX")=0),0))))</f>
      </c>
      <c r="H2839">
        <f>IF(DATOS!$G2839&lt;&gt;"EX",0,--(COUNTIFS(nNIA,DATOS!$A2839,nCURSO,DATOS!$D2839,nESPEC,DATOS!$E2839,nASIG,DATOS!$I2839,nEVAL,"OR")=0))</f>
      </c>
      <c r="I2839">
        <f>IF(DATOS!$I2839="","",IFERROR(VLOOKUP(DATOS!$I2839,CONFIG_ASIGNATURAS!$B$2:$J$91,9,FALSE()),""))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IF(DATOS!$A2840="",0,IF(CONFIG_METADATA!$B$4&lt;&gt;"OR+EX",--(DATOS!$G2840=CONFIG_METADATA!$B$4),IF(DATOS!$G2840="EX",1,IF(DATOS!$G2840="OR",--(COUNTIFS(nNIA,DATOS!$A2840,nCURSO,DATOS!$D2840,nESPEC,DATOS!$E2840,nASIG,DATOS!$I2840,nEVAL,"EX")=0),0))))</f>
      </c>
      <c r="H2840">
        <f>IF(DATOS!$G2840&lt;&gt;"EX",0,--(COUNTIFS(nNIA,DATOS!$A2840,nCURSO,DATOS!$D2840,nESPEC,DATOS!$E2840,nASIG,DATOS!$I2840,nEVAL,"OR")=0))</f>
      </c>
      <c r="I2840">
        <f>IF(DATOS!$I2840="","",IFERROR(VLOOKUP(DATOS!$I2840,CONFIG_ASIGNATURAS!$B$2:$J$91,9,FALSE()),""))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IF(DATOS!$A2841="",0,IF(CONFIG_METADATA!$B$4&lt;&gt;"OR+EX",--(DATOS!$G2841=CONFIG_METADATA!$B$4),IF(DATOS!$G2841="EX",1,IF(DATOS!$G2841="OR",--(COUNTIFS(nNIA,DATOS!$A2841,nCURSO,DATOS!$D2841,nESPEC,DATOS!$E2841,nASIG,DATOS!$I2841,nEVAL,"EX")=0),0))))</f>
      </c>
      <c r="H2841">
        <f>IF(DATOS!$G2841&lt;&gt;"EX",0,--(COUNTIFS(nNIA,DATOS!$A2841,nCURSO,DATOS!$D2841,nESPEC,DATOS!$E2841,nASIG,DATOS!$I2841,nEVAL,"OR")=0))</f>
      </c>
      <c r="I2841">
        <f>IF(DATOS!$I2841="","",IFERROR(VLOOKUP(DATOS!$I2841,CONFIG_ASIGNATURAS!$B$2:$J$91,9,FALSE()),""))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IF(DATOS!$A2842="",0,IF(CONFIG_METADATA!$B$4&lt;&gt;"OR+EX",--(DATOS!$G2842=CONFIG_METADATA!$B$4),IF(DATOS!$G2842="EX",1,IF(DATOS!$G2842="OR",--(COUNTIFS(nNIA,DATOS!$A2842,nCURSO,DATOS!$D2842,nESPEC,DATOS!$E2842,nASIG,DATOS!$I2842,nEVAL,"EX")=0),0))))</f>
      </c>
      <c r="H2842">
        <f>IF(DATOS!$G2842&lt;&gt;"EX",0,--(COUNTIFS(nNIA,DATOS!$A2842,nCURSO,DATOS!$D2842,nESPEC,DATOS!$E2842,nASIG,DATOS!$I2842,nEVAL,"OR")=0))</f>
      </c>
      <c r="I2842">
        <f>IF(DATOS!$I2842="","",IFERROR(VLOOKUP(DATOS!$I2842,CONFIG_ASIGNATURAS!$B$2:$J$91,9,FALSE()),""))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IF(DATOS!$A2843="",0,IF(CONFIG_METADATA!$B$4&lt;&gt;"OR+EX",--(DATOS!$G2843=CONFIG_METADATA!$B$4),IF(DATOS!$G2843="EX",1,IF(DATOS!$G2843="OR",--(COUNTIFS(nNIA,DATOS!$A2843,nCURSO,DATOS!$D2843,nESPEC,DATOS!$E2843,nASIG,DATOS!$I2843,nEVAL,"EX")=0),0))))</f>
      </c>
      <c r="H2843">
        <f>IF(DATOS!$G2843&lt;&gt;"EX",0,--(COUNTIFS(nNIA,DATOS!$A2843,nCURSO,DATOS!$D2843,nESPEC,DATOS!$E2843,nASIG,DATOS!$I2843,nEVAL,"OR")=0))</f>
      </c>
      <c r="I2843">
        <f>IF(DATOS!$I2843="","",IFERROR(VLOOKUP(DATOS!$I2843,CONFIG_ASIGNATURAS!$B$2:$J$91,9,FALSE()),""))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IF(DATOS!$A2844="",0,IF(CONFIG_METADATA!$B$4&lt;&gt;"OR+EX",--(DATOS!$G2844=CONFIG_METADATA!$B$4),IF(DATOS!$G2844="EX",1,IF(DATOS!$G2844="OR",--(COUNTIFS(nNIA,DATOS!$A2844,nCURSO,DATOS!$D2844,nESPEC,DATOS!$E2844,nASIG,DATOS!$I2844,nEVAL,"EX")=0),0))))</f>
      </c>
      <c r="H2844">
        <f>IF(DATOS!$G2844&lt;&gt;"EX",0,--(COUNTIFS(nNIA,DATOS!$A2844,nCURSO,DATOS!$D2844,nESPEC,DATOS!$E2844,nASIG,DATOS!$I2844,nEVAL,"OR")=0))</f>
      </c>
      <c r="I2844">
        <f>IF(DATOS!$I2844="","",IFERROR(VLOOKUP(DATOS!$I2844,CONFIG_ASIGNATURAS!$B$2:$J$91,9,FALSE()),""))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IF(DATOS!$A2845="",0,IF(CONFIG_METADATA!$B$4&lt;&gt;"OR+EX",--(DATOS!$G2845=CONFIG_METADATA!$B$4),IF(DATOS!$G2845="EX",1,IF(DATOS!$G2845="OR",--(COUNTIFS(nNIA,DATOS!$A2845,nCURSO,DATOS!$D2845,nESPEC,DATOS!$E2845,nASIG,DATOS!$I2845,nEVAL,"EX")=0),0))))</f>
      </c>
      <c r="H2845">
        <f>IF(DATOS!$G2845&lt;&gt;"EX",0,--(COUNTIFS(nNIA,DATOS!$A2845,nCURSO,DATOS!$D2845,nESPEC,DATOS!$E2845,nASIG,DATOS!$I2845,nEVAL,"OR")=0))</f>
      </c>
      <c r="I2845">
        <f>IF(DATOS!$I2845="","",IFERROR(VLOOKUP(DATOS!$I2845,CONFIG_ASIGNATURAS!$B$2:$J$91,9,FALSE()),""))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IF(DATOS!$A2846="",0,IF(CONFIG_METADATA!$B$4&lt;&gt;"OR+EX",--(DATOS!$G2846=CONFIG_METADATA!$B$4),IF(DATOS!$G2846="EX",1,IF(DATOS!$G2846="OR",--(COUNTIFS(nNIA,DATOS!$A2846,nCURSO,DATOS!$D2846,nESPEC,DATOS!$E2846,nASIG,DATOS!$I2846,nEVAL,"EX")=0),0))))</f>
      </c>
      <c r="H2846">
        <f>IF(DATOS!$G2846&lt;&gt;"EX",0,--(COUNTIFS(nNIA,DATOS!$A2846,nCURSO,DATOS!$D2846,nESPEC,DATOS!$E2846,nASIG,DATOS!$I2846,nEVAL,"OR")=0))</f>
      </c>
      <c r="I2846">
        <f>IF(DATOS!$I2846="","",IFERROR(VLOOKUP(DATOS!$I2846,CONFIG_ASIGNATURAS!$B$2:$J$91,9,FALSE()),""))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IF(DATOS!$A2847="",0,IF(CONFIG_METADATA!$B$4&lt;&gt;"OR+EX",--(DATOS!$G2847=CONFIG_METADATA!$B$4),IF(DATOS!$G2847="EX",1,IF(DATOS!$G2847="OR",--(COUNTIFS(nNIA,DATOS!$A2847,nCURSO,DATOS!$D2847,nESPEC,DATOS!$E2847,nASIG,DATOS!$I2847,nEVAL,"EX")=0),0))))</f>
      </c>
      <c r="H2847">
        <f>IF(DATOS!$G2847&lt;&gt;"EX",0,--(COUNTIFS(nNIA,DATOS!$A2847,nCURSO,DATOS!$D2847,nESPEC,DATOS!$E2847,nASIG,DATOS!$I2847,nEVAL,"OR")=0))</f>
      </c>
      <c r="I2847">
        <f>IF(DATOS!$I2847="","",IFERROR(VLOOKUP(DATOS!$I2847,CONFIG_ASIGNATURAS!$B$2:$J$91,9,FALSE()),""))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IF(DATOS!$A2848="",0,IF(CONFIG_METADATA!$B$4&lt;&gt;"OR+EX",--(DATOS!$G2848=CONFIG_METADATA!$B$4),IF(DATOS!$G2848="EX",1,IF(DATOS!$G2848="OR",--(COUNTIFS(nNIA,DATOS!$A2848,nCURSO,DATOS!$D2848,nESPEC,DATOS!$E2848,nASIG,DATOS!$I2848,nEVAL,"EX")=0),0))))</f>
      </c>
      <c r="H2848">
        <f>IF(DATOS!$G2848&lt;&gt;"EX",0,--(COUNTIFS(nNIA,DATOS!$A2848,nCURSO,DATOS!$D2848,nESPEC,DATOS!$E2848,nASIG,DATOS!$I2848,nEVAL,"OR")=0))</f>
      </c>
      <c r="I2848">
        <f>IF(DATOS!$I2848="","",IFERROR(VLOOKUP(DATOS!$I2848,CONFIG_ASIGNATURAS!$B$2:$J$91,9,FALSE()),""))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IF(DATOS!$A2849="",0,IF(CONFIG_METADATA!$B$4&lt;&gt;"OR+EX",--(DATOS!$G2849=CONFIG_METADATA!$B$4),IF(DATOS!$G2849="EX",1,IF(DATOS!$G2849="OR",--(COUNTIFS(nNIA,DATOS!$A2849,nCURSO,DATOS!$D2849,nESPEC,DATOS!$E2849,nASIG,DATOS!$I2849,nEVAL,"EX")=0),0))))</f>
      </c>
      <c r="H2849">
        <f>IF(DATOS!$G2849&lt;&gt;"EX",0,--(COUNTIFS(nNIA,DATOS!$A2849,nCURSO,DATOS!$D2849,nESPEC,DATOS!$E2849,nASIG,DATOS!$I2849,nEVAL,"OR")=0))</f>
      </c>
      <c r="I2849">
        <f>IF(DATOS!$I2849="","",IFERROR(VLOOKUP(DATOS!$I2849,CONFIG_ASIGNATURAS!$B$2:$J$91,9,FALSE()),""))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IF(DATOS!$A2850="",0,IF(CONFIG_METADATA!$B$4&lt;&gt;"OR+EX",--(DATOS!$G2850=CONFIG_METADATA!$B$4),IF(DATOS!$G2850="EX",1,IF(DATOS!$G2850="OR",--(COUNTIFS(nNIA,DATOS!$A2850,nCURSO,DATOS!$D2850,nESPEC,DATOS!$E2850,nASIG,DATOS!$I2850,nEVAL,"EX")=0),0))))</f>
      </c>
      <c r="H2850">
        <f>IF(DATOS!$G2850&lt;&gt;"EX",0,--(COUNTIFS(nNIA,DATOS!$A2850,nCURSO,DATOS!$D2850,nESPEC,DATOS!$E2850,nASIG,DATOS!$I2850,nEVAL,"OR")=0))</f>
      </c>
      <c r="I2850">
        <f>IF(DATOS!$I2850="","",IFERROR(VLOOKUP(DATOS!$I2850,CONFIG_ASIGNATURAS!$B$2:$J$91,9,FALSE()),""))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IF(DATOS!$A2851="",0,IF(CONFIG_METADATA!$B$4&lt;&gt;"OR+EX",--(DATOS!$G2851=CONFIG_METADATA!$B$4),IF(DATOS!$G2851="EX",1,IF(DATOS!$G2851="OR",--(COUNTIFS(nNIA,DATOS!$A2851,nCURSO,DATOS!$D2851,nESPEC,DATOS!$E2851,nASIG,DATOS!$I2851,nEVAL,"EX")=0),0))))</f>
      </c>
      <c r="H2851">
        <f>IF(DATOS!$G2851&lt;&gt;"EX",0,--(COUNTIFS(nNIA,DATOS!$A2851,nCURSO,DATOS!$D2851,nESPEC,DATOS!$E2851,nASIG,DATOS!$I2851,nEVAL,"OR")=0))</f>
      </c>
      <c r="I2851">
        <f>IF(DATOS!$I2851="","",IFERROR(VLOOKUP(DATOS!$I2851,CONFIG_ASIGNATURAS!$B$2:$J$91,9,FALSE()),""))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IF(DATOS!$A2852="",0,IF(CONFIG_METADATA!$B$4&lt;&gt;"OR+EX",--(DATOS!$G2852=CONFIG_METADATA!$B$4),IF(DATOS!$G2852="EX",1,IF(DATOS!$G2852="OR",--(COUNTIFS(nNIA,DATOS!$A2852,nCURSO,DATOS!$D2852,nESPEC,DATOS!$E2852,nASIG,DATOS!$I2852,nEVAL,"EX")=0),0))))</f>
      </c>
      <c r="H2852">
        <f>IF(DATOS!$G2852&lt;&gt;"EX",0,--(COUNTIFS(nNIA,DATOS!$A2852,nCURSO,DATOS!$D2852,nESPEC,DATOS!$E2852,nASIG,DATOS!$I2852,nEVAL,"OR")=0))</f>
      </c>
      <c r="I2852">
        <f>IF(DATOS!$I2852="","",IFERROR(VLOOKUP(DATOS!$I2852,CONFIG_ASIGNATURAS!$B$2:$J$91,9,FALSE()),""))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IF(DATOS!$A2853="",0,IF(CONFIG_METADATA!$B$4&lt;&gt;"OR+EX",--(DATOS!$G2853=CONFIG_METADATA!$B$4),IF(DATOS!$G2853="EX",1,IF(DATOS!$G2853="OR",--(COUNTIFS(nNIA,DATOS!$A2853,nCURSO,DATOS!$D2853,nESPEC,DATOS!$E2853,nASIG,DATOS!$I2853,nEVAL,"EX")=0),0))))</f>
      </c>
      <c r="H2853">
        <f>IF(DATOS!$G2853&lt;&gt;"EX",0,--(COUNTIFS(nNIA,DATOS!$A2853,nCURSO,DATOS!$D2853,nESPEC,DATOS!$E2853,nASIG,DATOS!$I2853,nEVAL,"OR")=0))</f>
      </c>
      <c r="I2853">
        <f>IF(DATOS!$I2853="","",IFERROR(VLOOKUP(DATOS!$I2853,CONFIG_ASIGNATURAS!$B$2:$J$91,9,FALSE()),""))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IF(DATOS!$A2854="",0,IF(CONFIG_METADATA!$B$4&lt;&gt;"OR+EX",--(DATOS!$G2854=CONFIG_METADATA!$B$4),IF(DATOS!$G2854="EX",1,IF(DATOS!$G2854="OR",--(COUNTIFS(nNIA,DATOS!$A2854,nCURSO,DATOS!$D2854,nESPEC,DATOS!$E2854,nASIG,DATOS!$I2854,nEVAL,"EX")=0),0))))</f>
      </c>
      <c r="H2854">
        <f>IF(DATOS!$G2854&lt;&gt;"EX",0,--(COUNTIFS(nNIA,DATOS!$A2854,nCURSO,DATOS!$D2854,nESPEC,DATOS!$E2854,nASIG,DATOS!$I2854,nEVAL,"OR")=0))</f>
      </c>
      <c r="I2854">
        <f>IF(DATOS!$I2854="","",IFERROR(VLOOKUP(DATOS!$I2854,CONFIG_ASIGNATURAS!$B$2:$J$91,9,FALSE()),""))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IF(DATOS!$A2855="",0,IF(CONFIG_METADATA!$B$4&lt;&gt;"OR+EX",--(DATOS!$G2855=CONFIG_METADATA!$B$4),IF(DATOS!$G2855="EX",1,IF(DATOS!$G2855="OR",--(COUNTIFS(nNIA,DATOS!$A2855,nCURSO,DATOS!$D2855,nESPEC,DATOS!$E2855,nASIG,DATOS!$I2855,nEVAL,"EX")=0),0))))</f>
      </c>
      <c r="H2855">
        <f>IF(DATOS!$G2855&lt;&gt;"EX",0,--(COUNTIFS(nNIA,DATOS!$A2855,nCURSO,DATOS!$D2855,nESPEC,DATOS!$E2855,nASIG,DATOS!$I2855,nEVAL,"OR")=0))</f>
      </c>
      <c r="I2855">
        <f>IF(DATOS!$I2855="","",IFERROR(VLOOKUP(DATOS!$I2855,CONFIG_ASIGNATURAS!$B$2:$J$91,9,FALSE()),""))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IF(DATOS!$A2856="",0,IF(CONFIG_METADATA!$B$4&lt;&gt;"OR+EX",--(DATOS!$G2856=CONFIG_METADATA!$B$4),IF(DATOS!$G2856="EX",1,IF(DATOS!$G2856="OR",--(COUNTIFS(nNIA,DATOS!$A2856,nCURSO,DATOS!$D2856,nESPEC,DATOS!$E2856,nASIG,DATOS!$I2856,nEVAL,"EX")=0),0))))</f>
      </c>
      <c r="H2856">
        <f>IF(DATOS!$G2856&lt;&gt;"EX",0,--(COUNTIFS(nNIA,DATOS!$A2856,nCURSO,DATOS!$D2856,nESPEC,DATOS!$E2856,nASIG,DATOS!$I2856,nEVAL,"OR")=0))</f>
      </c>
      <c r="I2856">
        <f>IF(DATOS!$I2856="","",IFERROR(VLOOKUP(DATOS!$I2856,CONFIG_ASIGNATURAS!$B$2:$J$91,9,FALSE()),""))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IF(DATOS!$A2857="",0,IF(CONFIG_METADATA!$B$4&lt;&gt;"OR+EX",--(DATOS!$G2857=CONFIG_METADATA!$B$4),IF(DATOS!$G2857="EX",1,IF(DATOS!$G2857="OR",--(COUNTIFS(nNIA,DATOS!$A2857,nCURSO,DATOS!$D2857,nESPEC,DATOS!$E2857,nASIG,DATOS!$I2857,nEVAL,"EX")=0),0))))</f>
      </c>
      <c r="H2857">
        <f>IF(DATOS!$G2857&lt;&gt;"EX",0,--(COUNTIFS(nNIA,DATOS!$A2857,nCURSO,DATOS!$D2857,nESPEC,DATOS!$E2857,nASIG,DATOS!$I2857,nEVAL,"OR")=0))</f>
      </c>
      <c r="I2857">
        <f>IF(DATOS!$I2857="","",IFERROR(VLOOKUP(DATOS!$I2857,CONFIG_ASIGNATURAS!$B$2:$J$91,9,FALSE()),""))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IF(DATOS!$A2858="",0,IF(CONFIG_METADATA!$B$4&lt;&gt;"OR+EX",--(DATOS!$G2858=CONFIG_METADATA!$B$4),IF(DATOS!$G2858="EX",1,IF(DATOS!$G2858="OR",--(COUNTIFS(nNIA,DATOS!$A2858,nCURSO,DATOS!$D2858,nESPEC,DATOS!$E2858,nASIG,DATOS!$I2858,nEVAL,"EX")=0),0))))</f>
      </c>
      <c r="H2858">
        <f>IF(DATOS!$G2858&lt;&gt;"EX",0,--(COUNTIFS(nNIA,DATOS!$A2858,nCURSO,DATOS!$D2858,nESPEC,DATOS!$E2858,nASIG,DATOS!$I2858,nEVAL,"OR")=0))</f>
      </c>
      <c r="I2858">
        <f>IF(DATOS!$I2858="","",IFERROR(VLOOKUP(DATOS!$I2858,CONFIG_ASIGNATURAS!$B$2:$J$91,9,FALSE()),""))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IF(DATOS!$A2859="",0,IF(CONFIG_METADATA!$B$4&lt;&gt;"OR+EX",--(DATOS!$G2859=CONFIG_METADATA!$B$4),IF(DATOS!$G2859="EX",1,IF(DATOS!$G2859="OR",--(COUNTIFS(nNIA,DATOS!$A2859,nCURSO,DATOS!$D2859,nESPEC,DATOS!$E2859,nASIG,DATOS!$I2859,nEVAL,"EX")=0),0))))</f>
      </c>
      <c r="H2859">
        <f>IF(DATOS!$G2859&lt;&gt;"EX",0,--(COUNTIFS(nNIA,DATOS!$A2859,nCURSO,DATOS!$D2859,nESPEC,DATOS!$E2859,nASIG,DATOS!$I2859,nEVAL,"OR")=0))</f>
      </c>
      <c r="I2859">
        <f>IF(DATOS!$I2859="","",IFERROR(VLOOKUP(DATOS!$I2859,CONFIG_ASIGNATURAS!$B$2:$J$91,9,FALSE()),""))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IF(DATOS!$A2860="",0,IF(CONFIG_METADATA!$B$4&lt;&gt;"OR+EX",--(DATOS!$G2860=CONFIG_METADATA!$B$4),IF(DATOS!$G2860="EX",1,IF(DATOS!$G2860="OR",--(COUNTIFS(nNIA,DATOS!$A2860,nCURSO,DATOS!$D2860,nESPEC,DATOS!$E2860,nASIG,DATOS!$I2860,nEVAL,"EX")=0),0))))</f>
      </c>
      <c r="H2860">
        <f>IF(DATOS!$G2860&lt;&gt;"EX",0,--(COUNTIFS(nNIA,DATOS!$A2860,nCURSO,DATOS!$D2860,nESPEC,DATOS!$E2860,nASIG,DATOS!$I2860,nEVAL,"OR")=0))</f>
      </c>
      <c r="I2860">
        <f>IF(DATOS!$I2860="","",IFERROR(VLOOKUP(DATOS!$I2860,CONFIG_ASIGNATURAS!$B$2:$J$91,9,FALSE()),""))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IF(DATOS!$A2861="",0,IF(CONFIG_METADATA!$B$4&lt;&gt;"OR+EX",--(DATOS!$G2861=CONFIG_METADATA!$B$4),IF(DATOS!$G2861="EX",1,IF(DATOS!$G2861="OR",--(COUNTIFS(nNIA,DATOS!$A2861,nCURSO,DATOS!$D2861,nESPEC,DATOS!$E2861,nASIG,DATOS!$I2861,nEVAL,"EX")=0),0))))</f>
      </c>
      <c r="H2861">
        <f>IF(DATOS!$G2861&lt;&gt;"EX",0,--(COUNTIFS(nNIA,DATOS!$A2861,nCURSO,DATOS!$D2861,nESPEC,DATOS!$E2861,nASIG,DATOS!$I2861,nEVAL,"OR")=0))</f>
      </c>
      <c r="I2861">
        <f>IF(DATOS!$I2861="","",IFERROR(VLOOKUP(DATOS!$I2861,CONFIG_ASIGNATURAS!$B$2:$J$91,9,FALSE()),""))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IF(DATOS!$A2862="",0,IF(CONFIG_METADATA!$B$4&lt;&gt;"OR+EX",--(DATOS!$G2862=CONFIG_METADATA!$B$4),IF(DATOS!$G2862="EX",1,IF(DATOS!$G2862="OR",--(COUNTIFS(nNIA,DATOS!$A2862,nCURSO,DATOS!$D2862,nESPEC,DATOS!$E2862,nASIG,DATOS!$I2862,nEVAL,"EX")=0),0))))</f>
      </c>
      <c r="H2862">
        <f>IF(DATOS!$G2862&lt;&gt;"EX",0,--(COUNTIFS(nNIA,DATOS!$A2862,nCURSO,DATOS!$D2862,nESPEC,DATOS!$E2862,nASIG,DATOS!$I2862,nEVAL,"OR")=0))</f>
      </c>
      <c r="I2862">
        <f>IF(DATOS!$I2862="","",IFERROR(VLOOKUP(DATOS!$I2862,CONFIG_ASIGNATURAS!$B$2:$J$91,9,FALSE()),""))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IF(DATOS!$A2863="",0,IF(CONFIG_METADATA!$B$4&lt;&gt;"OR+EX",--(DATOS!$G2863=CONFIG_METADATA!$B$4),IF(DATOS!$G2863="EX",1,IF(DATOS!$G2863="OR",--(COUNTIFS(nNIA,DATOS!$A2863,nCURSO,DATOS!$D2863,nESPEC,DATOS!$E2863,nASIG,DATOS!$I2863,nEVAL,"EX")=0),0))))</f>
      </c>
      <c r="H2863">
        <f>IF(DATOS!$G2863&lt;&gt;"EX",0,--(COUNTIFS(nNIA,DATOS!$A2863,nCURSO,DATOS!$D2863,nESPEC,DATOS!$E2863,nASIG,DATOS!$I2863,nEVAL,"OR")=0))</f>
      </c>
      <c r="I2863">
        <f>IF(DATOS!$I2863="","",IFERROR(VLOOKUP(DATOS!$I2863,CONFIG_ASIGNATURAS!$B$2:$J$91,9,FALSE()),""))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IF(DATOS!$A2864="",0,IF(CONFIG_METADATA!$B$4&lt;&gt;"OR+EX",--(DATOS!$G2864=CONFIG_METADATA!$B$4),IF(DATOS!$G2864="EX",1,IF(DATOS!$G2864="OR",--(COUNTIFS(nNIA,DATOS!$A2864,nCURSO,DATOS!$D2864,nESPEC,DATOS!$E2864,nASIG,DATOS!$I2864,nEVAL,"EX")=0),0))))</f>
      </c>
      <c r="H2864">
        <f>IF(DATOS!$G2864&lt;&gt;"EX",0,--(COUNTIFS(nNIA,DATOS!$A2864,nCURSO,DATOS!$D2864,nESPEC,DATOS!$E2864,nASIG,DATOS!$I2864,nEVAL,"OR")=0))</f>
      </c>
      <c r="I2864">
        <f>IF(DATOS!$I2864="","",IFERROR(VLOOKUP(DATOS!$I2864,CONFIG_ASIGNATURAS!$B$2:$J$91,9,FALSE()),""))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IF(DATOS!$A2865="",0,IF(CONFIG_METADATA!$B$4&lt;&gt;"OR+EX",--(DATOS!$G2865=CONFIG_METADATA!$B$4),IF(DATOS!$G2865="EX",1,IF(DATOS!$G2865="OR",--(COUNTIFS(nNIA,DATOS!$A2865,nCURSO,DATOS!$D2865,nESPEC,DATOS!$E2865,nASIG,DATOS!$I2865,nEVAL,"EX")=0),0))))</f>
      </c>
      <c r="H2865">
        <f>IF(DATOS!$G2865&lt;&gt;"EX",0,--(COUNTIFS(nNIA,DATOS!$A2865,nCURSO,DATOS!$D2865,nESPEC,DATOS!$E2865,nASIG,DATOS!$I2865,nEVAL,"OR")=0))</f>
      </c>
      <c r="I2865">
        <f>IF(DATOS!$I2865="","",IFERROR(VLOOKUP(DATOS!$I2865,CONFIG_ASIGNATURAS!$B$2:$J$91,9,FALSE()),""))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IF(DATOS!$A2866="",0,IF(CONFIG_METADATA!$B$4&lt;&gt;"OR+EX",--(DATOS!$G2866=CONFIG_METADATA!$B$4),IF(DATOS!$G2866="EX",1,IF(DATOS!$G2866="OR",--(COUNTIFS(nNIA,DATOS!$A2866,nCURSO,DATOS!$D2866,nESPEC,DATOS!$E2866,nASIG,DATOS!$I2866,nEVAL,"EX")=0),0))))</f>
      </c>
      <c r="H2866">
        <f>IF(DATOS!$G2866&lt;&gt;"EX",0,--(COUNTIFS(nNIA,DATOS!$A2866,nCURSO,DATOS!$D2866,nESPEC,DATOS!$E2866,nASIG,DATOS!$I2866,nEVAL,"OR")=0))</f>
      </c>
      <c r="I2866">
        <f>IF(DATOS!$I2866="","",IFERROR(VLOOKUP(DATOS!$I2866,CONFIG_ASIGNATURAS!$B$2:$J$91,9,FALSE()),""))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IF(DATOS!$A2867="",0,IF(CONFIG_METADATA!$B$4&lt;&gt;"OR+EX",--(DATOS!$G2867=CONFIG_METADATA!$B$4),IF(DATOS!$G2867="EX",1,IF(DATOS!$G2867="OR",--(COUNTIFS(nNIA,DATOS!$A2867,nCURSO,DATOS!$D2867,nESPEC,DATOS!$E2867,nASIG,DATOS!$I2867,nEVAL,"EX")=0),0))))</f>
      </c>
      <c r="H2867">
        <f>IF(DATOS!$G2867&lt;&gt;"EX",0,--(COUNTIFS(nNIA,DATOS!$A2867,nCURSO,DATOS!$D2867,nESPEC,DATOS!$E2867,nASIG,DATOS!$I2867,nEVAL,"OR")=0))</f>
      </c>
      <c r="I2867">
        <f>IF(DATOS!$I2867="","",IFERROR(VLOOKUP(DATOS!$I2867,CONFIG_ASIGNATURAS!$B$2:$J$91,9,FALSE()),""))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IF(DATOS!$A2868="",0,IF(CONFIG_METADATA!$B$4&lt;&gt;"OR+EX",--(DATOS!$G2868=CONFIG_METADATA!$B$4),IF(DATOS!$G2868="EX",1,IF(DATOS!$G2868="OR",--(COUNTIFS(nNIA,DATOS!$A2868,nCURSO,DATOS!$D2868,nESPEC,DATOS!$E2868,nASIG,DATOS!$I2868,nEVAL,"EX")=0),0))))</f>
      </c>
      <c r="H2868">
        <f>IF(DATOS!$G2868&lt;&gt;"EX",0,--(COUNTIFS(nNIA,DATOS!$A2868,nCURSO,DATOS!$D2868,nESPEC,DATOS!$E2868,nASIG,DATOS!$I2868,nEVAL,"OR")=0))</f>
      </c>
      <c r="I2868">
        <f>IF(DATOS!$I2868="","",IFERROR(VLOOKUP(DATOS!$I2868,CONFIG_ASIGNATURAS!$B$2:$J$91,9,FALSE()),""))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IF(DATOS!$A2869="",0,IF(CONFIG_METADATA!$B$4&lt;&gt;"OR+EX",--(DATOS!$G2869=CONFIG_METADATA!$B$4),IF(DATOS!$G2869="EX",1,IF(DATOS!$G2869="OR",--(COUNTIFS(nNIA,DATOS!$A2869,nCURSO,DATOS!$D2869,nESPEC,DATOS!$E2869,nASIG,DATOS!$I2869,nEVAL,"EX")=0),0))))</f>
      </c>
      <c r="H2869">
        <f>IF(DATOS!$G2869&lt;&gt;"EX",0,--(COUNTIFS(nNIA,DATOS!$A2869,nCURSO,DATOS!$D2869,nESPEC,DATOS!$E2869,nASIG,DATOS!$I2869,nEVAL,"OR")=0))</f>
      </c>
      <c r="I2869">
        <f>IF(DATOS!$I2869="","",IFERROR(VLOOKUP(DATOS!$I2869,CONFIG_ASIGNATURAS!$B$2:$J$91,9,FALSE()),""))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IF(DATOS!$A2870="",0,IF(CONFIG_METADATA!$B$4&lt;&gt;"OR+EX",--(DATOS!$G2870=CONFIG_METADATA!$B$4),IF(DATOS!$G2870="EX",1,IF(DATOS!$G2870="OR",--(COUNTIFS(nNIA,DATOS!$A2870,nCURSO,DATOS!$D2870,nESPEC,DATOS!$E2870,nASIG,DATOS!$I2870,nEVAL,"EX")=0),0))))</f>
      </c>
      <c r="H2870">
        <f>IF(DATOS!$G2870&lt;&gt;"EX",0,--(COUNTIFS(nNIA,DATOS!$A2870,nCURSO,DATOS!$D2870,nESPEC,DATOS!$E2870,nASIG,DATOS!$I2870,nEVAL,"OR")=0))</f>
      </c>
      <c r="I2870">
        <f>IF(DATOS!$I2870="","",IFERROR(VLOOKUP(DATOS!$I2870,CONFIG_ASIGNATURAS!$B$2:$J$91,9,FALSE()),""))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IF(DATOS!$A2871="",0,IF(CONFIG_METADATA!$B$4&lt;&gt;"OR+EX",--(DATOS!$G2871=CONFIG_METADATA!$B$4),IF(DATOS!$G2871="EX",1,IF(DATOS!$G2871="OR",--(COUNTIFS(nNIA,DATOS!$A2871,nCURSO,DATOS!$D2871,nESPEC,DATOS!$E2871,nASIG,DATOS!$I2871,nEVAL,"EX")=0),0))))</f>
      </c>
      <c r="H2871">
        <f>IF(DATOS!$G2871&lt;&gt;"EX",0,--(COUNTIFS(nNIA,DATOS!$A2871,nCURSO,DATOS!$D2871,nESPEC,DATOS!$E2871,nASIG,DATOS!$I2871,nEVAL,"OR")=0))</f>
      </c>
      <c r="I2871">
        <f>IF(DATOS!$I2871="","",IFERROR(VLOOKUP(DATOS!$I2871,CONFIG_ASIGNATURAS!$B$2:$J$91,9,FALSE()),""))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IF(DATOS!$A2872="",0,IF(CONFIG_METADATA!$B$4&lt;&gt;"OR+EX",--(DATOS!$G2872=CONFIG_METADATA!$B$4),IF(DATOS!$G2872="EX",1,IF(DATOS!$G2872="OR",--(COUNTIFS(nNIA,DATOS!$A2872,nCURSO,DATOS!$D2872,nESPEC,DATOS!$E2872,nASIG,DATOS!$I2872,nEVAL,"EX")=0),0))))</f>
      </c>
      <c r="H2872">
        <f>IF(DATOS!$G2872&lt;&gt;"EX",0,--(COUNTIFS(nNIA,DATOS!$A2872,nCURSO,DATOS!$D2872,nESPEC,DATOS!$E2872,nASIG,DATOS!$I2872,nEVAL,"OR")=0))</f>
      </c>
      <c r="I2872">
        <f>IF(DATOS!$I2872="","",IFERROR(VLOOKUP(DATOS!$I2872,CONFIG_ASIGNATURAS!$B$2:$J$91,9,FALSE()),""))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IF(DATOS!$A2873="",0,IF(CONFIG_METADATA!$B$4&lt;&gt;"OR+EX",--(DATOS!$G2873=CONFIG_METADATA!$B$4),IF(DATOS!$G2873="EX",1,IF(DATOS!$G2873="OR",--(COUNTIFS(nNIA,DATOS!$A2873,nCURSO,DATOS!$D2873,nESPEC,DATOS!$E2873,nASIG,DATOS!$I2873,nEVAL,"EX")=0),0))))</f>
      </c>
      <c r="H2873">
        <f>IF(DATOS!$G2873&lt;&gt;"EX",0,--(COUNTIFS(nNIA,DATOS!$A2873,nCURSO,DATOS!$D2873,nESPEC,DATOS!$E2873,nASIG,DATOS!$I2873,nEVAL,"OR")=0))</f>
      </c>
      <c r="I2873">
        <f>IF(DATOS!$I2873="","",IFERROR(VLOOKUP(DATOS!$I2873,CONFIG_ASIGNATURAS!$B$2:$J$91,9,FALSE()),""))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IF(DATOS!$A2874="",0,IF(CONFIG_METADATA!$B$4&lt;&gt;"OR+EX",--(DATOS!$G2874=CONFIG_METADATA!$B$4),IF(DATOS!$G2874="EX",1,IF(DATOS!$G2874="OR",--(COUNTIFS(nNIA,DATOS!$A2874,nCURSO,DATOS!$D2874,nESPEC,DATOS!$E2874,nASIG,DATOS!$I2874,nEVAL,"EX")=0),0))))</f>
      </c>
      <c r="H2874">
        <f>IF(DATOS!$G2874&lt;&gt;"EX",0,--(COUNTIFS(nNIA,DATOS!$A2874,nCURSO,DATOS!$D2874,nESPEC,DATOS!$E2874,nASIG,DATOS!$I2874,nEVAL,"OR")=0))</f>
      </c>
      <c r="I2874">
        <f>IF(DATOS!$I2874="","",IFERROR(VLOOKUP(DATOS!$I2874,CONFIG_ASIGNATURAS!$B$2:$J$91,9,FALSE()),""))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IF(DATOS!$A2875="",0,IF(CONFIG_METADATA!$B$4&lt;&gt;"OR+EX",--(DATOS!$G2875=CONFIG_METADATA!$B$4),IF(DATOS!$G2875="EX",1,IF(DATOS!$G2875="OR",--(COUNTIFS(nNIA,DATOS!$A2875,nCURSO,DATOS!$D2875,nESPEC,DATOS!$E2875,nASIG,DATOS!$I2875,nEVAL,"EX")=0),0))))</f>
      </c>
      <c r="H2875">
        <f>IF(DATOS!$G2875&lt;&gt;"EX",0,--(COUNTIFS(nNIA,DATOS!$A2875,nCURSO,DATOS!$D2875,nESPEC,DATOS!$E2875,nASIG,DATOS!$I2875,nEVAL,"OR")=0))</f>
      </c>
      <c r="I2875">
        <f>IF(DATOS!$I2875="","",IFERROR(VLOOKUP(DATOS!$I2875,CONFIG_ASIGNATURAS!$B$2:$J$91,9,FALSE()),""))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IF(DATOS!$A2876="",0,IF(CONFIG_METADATA!$B$4&lt;&gt;"OR+EX",--(DATOS!$G2876=CONFIG_METADATA!$B$4),IF(DATOS!$G2876="EX",1,IF(DATOS!$G2876="OR",--(COUNTIFS(nNIA,DATOS!$A2876,nCURSO,DATOS!$D2876,nESPEC,DATOS!$E2876,nASIG,DATOS!$I2876,nEVAL,"EX")=0),0))))</f>
      </c>
      <c r="H2876">
        <f>IF(DATOS!$G2876&lt;&gt;"EX",0,--(COUNTIFS(nNIA,DATOS!$A2876,nCURSO,DATOS!$D2876,nESPEC,DATOS!$E2876,nASIG,DATOS!$I2876,nEVAL,"OR")=0))</f>
      </c>
      <c r="I2876">
        <f>IF(DATOS!$I2876="","",IFERROR(VLOOKUP(DATOS!$I2876,CONFIG_ASIGNATURAS!$B$2:$J$91,9,FALSE()),""))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IF(DATOS!$A2877="",0,IF(CONFIG_METADATA!$B$4&lt;&gt;"OR+EX",--(DATOS!$G2877=CONFIG_METADATA!$B$4),IF(DATOS!$G2877="EX",1,IF(DATOS!$G2877="OR",--(COUNTIFS(nNIA,DATOS!$A2877,nCURSO,DATOS!$D2877,nESPEC,DATOS!$E2877,nASIG,DATOS!$I2877,nEVAL,"EX")=0),0))))</f>
      </c>
      <c r="H2877">
        <f>IF(DATOS!$G2877&lt;&gt;"EX",0,--(COUNTIFS(nNIA,DATOS!$A2877,nCURSO,DATOS!$D2877,nESPEC,DATOS!$E2877,nASIG,DATOS!$I2877,nEVAL,"OR")=0))</f>
      </c>
      <c r="I2877">
        <f>IF(DATOS!$I2877="","",IFERROR(VLOOKUP(DATOS!$I2877,CONFIG_ASIGNATURAS!$B$2:$J$91,9,FALSE()),""))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IF(DATOS!$A2878="",0,IF(CONFIG_METADATA!$B$4&lt;&gt;"OR+EX",--(DATOS!$G2878=CONFIG_METADATA!$B$4),IF(DATOS!$G2878="EX",1,IF(DATOS!$G2878="OR",--(COUNTIFS(nNIA,DATOS!$A2878,nCURSO,DATOS!$D2878,nESPEC,DATOS!$E2878,nASIG,DATOS!$I2878,nEVAL,"EX")=0),0))))</f>
      </c>
      <c r="H2878">
        <f>IF(DATOS!$G2878&lt;&gt;"EX",0,--(COUNTIFS(nNIA,DATOS!$A2878,nCURSO,DATOS!$D2878,nESPEC,DATOS!$E2878,nASIG,DATOS!$I2878,nEVAL,"OR")=0))</f>
      </c>
      <c r="I2878">
        <f>IF(DATOS!$I2878="","",IFERROR(VLOOKUP(DATOS!$I2878,CONFIG_ASIGNATURAS!$B$2:$J$91,9,FALSE()),""))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IF(DATOS!$A2879="",0,IF(CONFIG_METADATA!$B$4&lt;&gt;"OR+EX",--(DATOS!$G2879=CONFIG_METADATA!$B$4),IF(DATOS!$G2879="EX",1,IF(DATOS!$G2879="OR",--(COUNTIFS(nNIA,DATOS!$A2879,nCURSO,DATOS!$D2879,nESPEC,DATOS!$E2879,nASIG,DATOS!$I2879,nEVAL,"EX")=0),0))))</f>
      </c>
      <c r="H2879">
        <f>IF(DATOS!$G2879&lt;&gt;"EX",0,--(COUNTIFS(nNIA,DATOS!$A2879,nCURSO,DATOS!$D2879,nESPEC,DATOS!$E2879,nASIG,DATOS!$I2879,nEVAL,"OR")=0))</f>
      </c>
      <c r="I2879">
        <f>IF(DATOS!$I2879="","",IFERROR(VLOOKUP(DATOS!$I2879,CONFIG_ASIGNATURAS!$B$2:$J$91,9,FALSE()),""))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IF(DATOS!$A2880="",0,IF(CONFIG_METADATA!$B$4&lt;&gt;"OR+EX",--(DATOS!$G2880=CONFIG_METADATA!$B$4),IF(DATOS!$G2880="EX",1,IF(DATOS!$G2880="OR",--(COUNTIFS(nNIA,DATOS!$A2880,nCURSO,DATOS!$D2880,nESPEC,DATOS!$E2880,nASIG,DATOS!$I2880,nEVAL,"EX")=0),0))))</f>
      </c>
      <c r="H2880">
        <f>IF(DATOS!$G2880&lt;&gt;"EX",0,--(COUNTIFS(nNIA,DATOS!$A2880,nCURSO,DATOS!$D2880,nESPEC,DATOS!$E2880,nASIG,DATOS!$I2880,nEVAL,"OR")=0))</f>
      </c>
      <c r="I2880">
        <f>IF(DATOS!$I2880="","",IFERROR(VLOOKUP(DATOS!$I2880,CONFIG_ASIGNATURAS!$B$2:$J$91,9,FALSE()),""))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IF(DATOS!$A2881="",0,IF(CONFIG_METADATA!$B$4&lt;&gt;"OR+EX",--(DATOS!$G2881=CONFIG_METADATA!$B$4),IF(DATOS!$G2881="EX",1,IF(DATOS!$G2881="OR",--(COUNTIFS(nNIA,DATOS!$A2881,nCURSO,DATOS!$D2881,nESPEC,DATOS!$E2881,nASIG,DATOS!$I2881,nEVAL,"EX")=0),0))))</f>
      </c>
      <c r="H2881">
        <f>IF(DATOS!$G2881&lt;&gt;"EX",0,--(COUNTIFS(nNIA,DATOS!$A2881,nCURSO,DATOS!$D2881,nESPEC,DATOS!$E2881,nASIG,DATOS!$I2881,nEVAL,"OR")=0))</f>
      </c>
      <c r="I2881">
        <f>IF(DATOS!$I2881="","",IFERROR(VLOOKUP(DATOS!$I2881,CONFIG_ASIGNATURAS!$B$2:$J$91,9,FALSE()),""))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IF(DATOS!$A2882="",0,IF(CONFIG_METADATA!$B$4&lt;&gt;"OR+EX",--(DATOS!$G2882=CONFIG_METADATA!$B$4),IF(DATOS!$G2882="EX",1,IF(DATOS!$G2882="OR",--(COUNTIFS(nNIA,DATOS!$A2882,nCURSO,DATOS!$D2882,nESPEC,DATOS!$E2882,nASIG,DATOS!$I2882,nEVAL,"EX")=0),0))))</f>
      </c>
      <c r="H2882">
        <f>IF(DATOS!$G2882&lt;&gt;"EX",0,--(COUNTIFS(nNIA,DATOS!$A2882,nCURSO,DATOS!$D2882,nESPEC,DATOS!$E2882,nASIG,DATOS!$I2882,nEVAL,"OR")=0))</f>
      </c>
      <c r="I2882">
        <f>IF(DATOS!$I2882="","",IFERROR(VLOOKUP(DATOS!$I2882,CONFIG_ASIGNATURAS!$B$2:$J$91,9,FALSE()),""))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IF(DATOS!$A2883="",0,IF(CONFIG_METADATA!$B$4&lt;&gt;"OR+EX",--(DATOS!$G2883=CONFIG_METADATA!$B$4),IF(DATOS!$G2883="EX",1,IF(DATOS!$G2883="OR",--(COUNTIFS(nNIA,DATOS!$A2883,nCURSO,DATOS!$D2883,nESPEC,DATOS!$E2883,nASIG,DATOS!$I2883,nEVAL,"EX")=0),0))))</f>
      </c>
      <c r="H2883">
        <f>IF(DATOS!$G2883&lt;&gt;"EX",0,--(COUNTIFS(nNIA,DATOS!$A2883,nCURSO,DATOS!$D2883,nESPEC,DATOS!$E2883,nASIG,DATOS!$I2883,nEVAL,"OR")=0))</f>
      </c>
      <c r="I2883">
        <f>IF(DATOS!$I2883="","",IFERROR(VLOOKUP(DATOS!$I2883,CONFIG_ASIGNATURAS!$B$2:$J$91,9,FALSE()),""))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IF(DATOS!$A2884="",0,IF(CONFIG_METADATA!$B$4&lt;&gt;"OR+EX",--(DATOS!$G2884=CONFIG_METADATA!$B$4),IF(DATOS!$G2884="EX",1,IF(DATOS!$G2884="OR",--(COUNTIFS(nNIA,DATOS!$A2884,nCURSO,DATOS!$D2884,nESPEC,DATOS!$E2884,nASIG,DATOS!$I2884,nEVAL,"EX")=0),0))))</f>
      </c>
      <c r="H2884">
        <f>IF(DATOS!$G2884&lt;&gt;"EX",0,--(COUNTIFS(nNIA,DATOS!$A2884,nCURSO,DATOS!$D2884,nESPEC,DATOS!$E2884,nASIG,DATOS!$I2884,nEVAL,"OR")=0))</f>
      </c>
      <c r="I2884">
        <f>IF(DATOS!$I2884="","",IFERROR(VLOOKUP(DATOS!$I2884,CONFIG_ASIGNATURAS!$B$2:$J$91,9,FALSE()),""))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IF(DATOS!$A2885="",0,IF(CONFIG_METADATA!$B$4&lt;&gt;"OR+EX",--(DATOS!$G2885=CONFIG_METADATA!$B$4),IF(DATOS!$G2885="EX",1,IF(DATOS!$G2885="OR",--(COUNTIFS(nNIA,DATOS!$A2885,nCURSO,DATOS!$D2885,nESPEC,DATOS!$E2885,nASIG,DATOS!$I2885,nEVAL,"EX")=0),0))))</f>
      </c>
      <c r="H2885">
        <f>IF(DATOS!$G2885&lt;&gt;"EX",0,--(COUNTIFS(nNIA,DATOS!$A2885,nCURSO,DATOS!$D2885,nESPEC,DATOS!$E2885,nASIG,DATOS!$I2885,nEVAL,"OR")=0))</f>
      </c>
      <c r="I2885">
        <f>IF(DATOS!$I2885="","",IFERROR(VLOOKUP(DATOS!$I2885,CONFIG_ASIGNATURAS!$B$2:$J$91,9,FALSE()),""))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IF(DATOS!$A2886="",0,IF(CONFIG_METADATA!$B$4&lt;&gt;"OR+EX",--(DATOS!$G2886=CONFIG_METADATA!$B$4),IF(DATOS!$G2886="EX",1,IF(DATOS!$G2886="OR",--(COUNTIFS(nNIA,DATOS!$A2886,nCURSO,DATOS!$D2886,nESPEC,DATOS!$E2886,nASIG,DATOS!$I2886,nEVAL,"EX")=0),0))))</f>
      </c>
      <c r="H2886">
        <f>IF(DATOS!$G2886&lt;&gt;"EX",0,--(COUNTIFS(nNIA,DATOS!$A2886,nCURSO,DATOS!$D2886,nESPEC,DATOS!$E2886,nASIG,DATOS!$I2886,nEVAL,"OR")=0))</f>
      </c>
      <c r="I2886">
        <f>IF(DATOS!$I2886="","",IFERROR(VLOOKUP(DATOS!$I2886,CONFIG_ASIGNATURAS!$B$2:$J$91,9,FALSE()),""))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IF(DATOS!$A2887="",0,IF(CONFIG_METADATA!$B$4&lt;&gt;"OR+EX",--(DATOS!$G2887=CONFIG_METADATA!$B$4),IF(DATOS!$G2887="EX",1,IF(DATOS!$G2887="OR",--(COUNTIFS(nNIA,DATOS!$A2887,nCURSO,DATOS!$D2887,nESPEC,DATOS!$E2887,nASIG,DATOS!$I2887,nEVAL,"EX")=0),0))))</f>
      </c>
      <c r="H2887">
        <f>IF(DATOS!$G2887&lt;&gt;"EX",0,--(COUNTIFS(nNIA,DATOS!$A2887,nCURSO,DATOS!$D2887,nESPEC,DATOS!$E2887,nASIG,DATOS!$I2887,nEVAL,"OR")=0))</f>
      </c>
      <c r="I2887">
        <f>IF(DATOS!$I2887="","",IFERROR(VLOOKUP(DATOS!$I2887,CONFIG_ASIGNATURAS!$B$2:$J$91,9,FALSE()),""))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IF(DATOS!$A2888="",0,IF(CONFIG_METADATA!$B$4&lt;&gt;"OR+EX",--(DATOS!$G2888=CONFIG_METADATA!$B$4),IF(DATOS!$G2888="EX",1,IF(DATOS!$G2888="OR",--(COUNTIFS(nNIA,DATOS!$A2888,nCURSO,DATOS!$D2888,nESPEC,DATOS!$E2888,nASIG,DATOS!$I2888,nEVAL,"EX")=0),0))))</f>
      </c>
      <c r="H2888">
        <f>IF(DATOS!$G2888&lt;&gt;"EX",0,--(COUNTIFS(nNIA,DATOS!$A2888,nCURSO,DATOS!$D2888,nESPEC,DATOS!$E2888,nASIG,DATOS!$I2888,nEVAL,"OR")=0))</f>
      </c>
      <c r="I2888">
        <f>IF(DATOS!$I2888="","",IFERROR(VLOOKUP(DATOS!$I2888,CONFIG_ASIGNATURAS!$B$2:$J$91,9,FALSE()),""))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IF(DATOS!$A2889="",0,IF(CONFIG_METADATA!$B$4&lt;&gt;"OR+EX",--(DATOS!$G2889=CONFIG_METADATA!$B$4),IF(DATOS!$G2889="EX",1,IF(DATOS!$G2889="OR",--(COUNTIFS(nNIA,DATOS!$A2889,nCURSO,DATOS!$D2889,nESPEC,DATOS!$E2889,nASIG,DATOS!$I2889,nEVAL,"EX")=0),0))))</f>
      </c>
      <c r="H2889">
        <f>IF(DATOS!$G2889&lt;&gt;"EX",0,--(COUNTIFS(nNIA,DATOS!$A2889,nCURSO,DATOS!$D2889,nESPEC,DATOS!$E2889,nASIG,DATOS!$I2889,nEVAL,"OR")=0))</f>
      </c>
      <c r="I2889">
        <f>IF(DATOS!$I2889="","",IFERROR(VLOOKUP(DATOS!$I2889,CONFIG_ASIGNATURAS!$B$2:$J$91,9,FALSE()),""))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IF(DATOS!$A2890="",0,IF(CONFIG_METADATA!$B$4&lt;&gt;"OR+EX",--(DATOS!$G2890=CONFIG_METADATA!$B$4),IF(DATOS!$G2890="EX",1,IF(DATOS!$G2890="OR",--(COUNTIFS(nNIA,DATOS!$A2890,nCURSO,DATOS!$D2890,nESPEC,DATOS!$E2890,nASIG,DATOS!$I2890,nEVAL,"EX")=0),0))))</f>
      </c>
      <c r="H2890">
        <f>IF(DATOS!$G2890&lt;&gt;"EX",0,--(COUNTIFS(nNIA,DATOS!$A2890,nCURSO,DATOS!$D2890,nESPEC,DATOS!$E2890,nASIG,DATOS!$I2890,nEVAL,"OR")=0))</f>
      </c>
      <c r="I2890">
        <f>IF(DATOS!$I2890="","",IFERROR(VLOOKUP(DATOS!$I2890,CONFIG_ASIGNATURAS!$B$2:$J$91,9,FALSE()),""))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IF(DATOS!$A2891="",0,IF(CONFIG_METADATA!$B$4&lt;&gt;"OR+EX",--(DATOS!$G2891=CONFIG_METADATA!$B$4),IF(DATOS!$G2891="EX",1,IF(DATOS!$G2891="OR",--(COUNTIFS(nNIA,DATOS!$A2891,nCURSO,DATOS!$D2891,nESPEC,DATOS!$E2891,nASIG,DATOS!$I2891,nEVAL,"EX")=0),0))))</f>
      </c>
      <c r="H2891">
        <f>IF(DATOS!$G2891&lt;&gt;"EX",0,--(COUNTIFS(nNIA,DATOS!$A2891,nCURSO,DATOS!$D2891,nESPEC,DATOS!$E2891,nASIG,DATOS!$I2891,nEVAL,"OR")=0))</f>
      </c>
      <c r="I2891">
        <f>IF(DATOS!$I2891="","",IFERROR(VLOOKUP(DATOS!$I2891,CONFIG_ASIGNATURAS!$B$2:$J$91,9,FALSE()),""))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IF(DATOS!$A2892="",0,IF(CONFIG_METADATA!$B$4&lt;&gt;"OR+EX",--(DATOS!$G2892=CONFIG_METADATA!$B$4),IF(DATOS!$G2892="EX",1,IF(DATOS!$G2892="OR",--(COUNTIFS(nNIA,DATOS!$A2892,nCURSO,DATOS!$D2892,nESPEC,DATOS!$E2892,nASIG,DATOS!$I2892,nEVAL,"EX")=0),0))))</f>
      </c>
      <c r="H2892">
        <f>IF(DATOS!$G2892&lt;&gt;"EX",0,--(COUNTIFS(nNIA,DATOS!$A2892,nCURSO,DATOS!$D2892,nESPEC,DATOS!$E2892,nASIG,DATOS!$I2892,nEVAL,"OR")=0))</f>
      </c>
      <c r="I2892">
        <f>IF(DATOS!$I2892="","",IFERROR(VLOOKUP(DATOS!$I2892,CONFIG_ASIGNATURAS!$B$2:$J$91,9,FALSE()),""))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IF(DATOS!$A2893="",0,IF(CONFIG_METADATA!$B$4&lt;&gt;"OR+EX",--(DATOS!$G2893=CONFIG_METADATA!$B$4),IF(DATOS!$G2893="EX",1,IF(DATOS!$G2893="OR",--(COUNTIFS(nNIA,DATOS!$A2893,nCURSO,DATOS!$D2893,nESPEC,DATOS!$E2893,nASIG,DATOS!$I2893,nEVAL,"EX")=0),0))))</f>
      </c>
      <c r="H2893">
        <f>IF(DATOS!$G2893&lt;&gt;"EX",0,--(COUNTIFS(nNIA,DATOS!$A2893,nCURSO,DATOS!$D2893,nESPEC,DATOS!$E2893,nASIG,DATOS!$I2893,nEVAL,"OR")=0))</f>
      </c>
      <c r="I2893">
        <f>IF(DATOS!$I2893="","",IFERROR(VLOOKUP(DATOS!$I2893,CONFIG_ASIGNATURAS!$B$2:$J$91,9,FALSE()),""))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IF(DATOS!$A2894="",0,IF(CONFIG_METADATA!$B$4&lt;&gt;"OR+EX",--(DATOS!$G2894=CONFIG_METADATA!$B$4),IF(DATOS!$G2894="EX",1,IF(DATOS!$G2894="OR",--(COUNTIFS(nNIA,DATOS!$A2894,nCURSO,DATOS!$D2894,nESPEC,DATOS!$E2894,nASIG,DATOS!$I2894,nEVAL,"EX")=0),0))))</f>
      </c>
      <c r="H2894">
        <f>IF(DATOS!$G2894&lt;&gt;"EX",0,--(COUNTIFS(nNIA,DATOS!$A2894,nCURSO,DATOS!$D2894,nESPEC,DATOS!$E2894,nASIG,DATOS!$I2894,nEVAL,"OR")=0))</f>
      </c>
      <c r="I2894">
        <f>IF(DATOS!$I2894="","",IFERROR(VLOOKUP(DATOS!$I2894,CONFIG_ASIGNATURAS!$B$2:$J$91,9,FALSE()),""))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IF(DATOS!$A2895="",0,IF(CONFIG_METADATA!$B$4&lt;&gt;"OR+EX",--(DATOS!$G2895=CONFIG_METADATA!$B$4),IF(DATOS!$G2895="EX",1,IF(DATOS!$G2895="OR",--(COUNTIFS(nNIA,DATOS!$A2895,nCURSO,DATOS!$D2895,nESPEC,DATOS!$E2895,nASIG,DATOS!$I2895,nEVAL,"EX")=0),0))))</f>
      </c>
      <c r="H2895">
        <f>IF(DATOS!$G2895&lt;&gt;"EX",0,--(COUNTIFS(nNIA,DATOS!$A2895,nCURSO,DATOS!$D2895,nESPEC,DATOS!$E2895,nASIG,DATOS!$I2895,nEVAL,"OR")=0))</f>
      </c>
      <c r="I2895">
        <f>IF(DATOS!$I2895="","",IFERROR(VLOOKUP(DATOS!$I2895,CONFIG_ASIGNATURAS!$B$2:$J$91,9,FALSE()),""))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IF(DATOS!$A2896="",0,IF(CONFIG_METADATA!$B$4&lt;&gt;"OR+EX",--(DATOS!$G2896=CONFIG_METADATA!$B$4),IF(DATOS!$G2896="EX",1,IF(DATOS!$G2896="OR",--(COUNTIFS(nNIA,DATOS!$A2896,nCURSO,DATOS!$D2896,nESPEC,DATOS!$E2896,nASIG,DATOS!$I2896,nEVAL,"EX")=0),0))))</f>
      </c>
      <c r="H2896">
        <f>IF(DATOS!$G2896&lt;&gt;"EX",0,--(COUNTIFS(nNIA,DATOS!$A2896,nCURSO,DATOS!$D2896,nESPEC,DATOS!$E2896,nASIG,DATOS!$I2896,nEVAL,"OR")=0))</f>
      </c>
      <c r="I2896">
        <f>IF(DATOS!$I2896="","",IFERROR(VLOOKUP(DATOS!$I2896,CONFIG_ASIGNATURAS!$B$2:$J$91,9,FALSE()),""))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IF(DATOS!$A2897="",0,IF(CONFIG_METADATA!$B$4&lt;&gt;"OR+EX",--(DATOS!$G2897=CONFIG_METADATA!$B$4),IF(DATOS!$G2897="EX",1,IF(DATOS!$G2897="OR",--(COUNTIFS(nNIA,DATOS!$A2897,nCURSO,DATOS!$D2897,nESPEC,DATOS!$E2897,nASIG,DATOS!$I2897,nEVAL,"EX")=0),0))))</f>
      </c>
      <c r="H2897">
        <f>IF(DATOS!$G2897&lt;&gt;"EX",0,--(COUNTIFS(nNIA,DATOS!$A2897,nCURSO,DATOS!$D2897,nESPEC,DATOS!$E2897,nASIG,DATOS!$I2897,nEVAL,"OR")=0))</f>
      </c>
      <c r="I2897">
        <f>IF(DATOS!$I2897="","",IFERROR(VLOOKUP(DATOS!$I2897,CONFIG_ASIGNATURAS!$B$2:$J$91,9,FALSE()),""))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IF(DATOS!$A2898="",0,IF(CONFIG_METADATA!$B$4&lt;&gt;"OR+EX",--(DATOS!$G2898=CONFIG_METADATA!$B$4),IF(DATOS!$G2898="EX",1,IF(DATOS!$G2898="OR",--(COUNTIFS(nNIA,DATOS!$A2898,nCURSO,DATOS!$D2898,nESPEC,DATOS!$E2898,nASIG,DATOS!$I2898,nEVAL,"EX")=0),0))))</f>
      </c>
      <c r="H2898">
        <f>IF(DATOS!$G2898&lt;&gt;"EX",0,--(COUNTIFS(nNIA,DATOS!$A2898,nCURSO,DATOS!$D2898,nESPEC,DATOS!$E2898,nASIG,DATOS!$I2898,nEVAL,"OR")=0))</f>
      </c>
      <c r="I2898">
        <f>IF(DATOS!$I2898="","",IFERROR(VLOOKUP(DATOS!$I2898,CONFIG_ASIGNATURAS!$B$2:$J$91,9,FALSE()),""))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IF(DATOS!$A2899="",0,IF(CONFIG_METADATA!$B$4&lt;&gt;"OR+EX",--(DATOS!$G2899=CONFIG_METADATA!$B$4),IF(DATOS!$G2899="EX",1,IF(DATOS!$G2899="OR",--(COUNTIFS(nNIA,DATOS!$A2899,nCURSO,DATOS!$D2899,nESPEC,DATOS!$E2899,nASIG,DATOS!$I2899,nEVAL,"EX")=0),0))))</f>
      </c>
      <c r="H2899">
        <f>IF(DATOS!$G2899&lt;&gt;"EX",0,--(COUNTIFS(nNIA,DATOS!$A2899,nCURSO,DATOS!$D2899,nESPEC,DATOS!$E2899,nASIG,DATOS!$I2899,nEVAL,"OR")=0))</f>
      </c>
      <c r="I2899">
        <f>IF(DATOS!$I2899="","",IFERROR(VLOOKUP(DATOS!$I2899,CONFIG_ASIGNATURAS!$B$2:$J$91,9,FALSE()),""))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IF(DATOS!$A2900="",0,IF(CONFIG_METADATA!$B$4&lt;&gt;"OR+EX",--(DATOS!$G2900=CONFIG_METADATA!$B$4),IF(DATOS!$G2900="EX",1,IF(DATOS!$G2900="OR",--(COUNTIFS(nNIA,DATOS!$A2900,nCURSO,DATOS!$D2900,nESPEC,DATOS!$E2900,nASIG,DATOS!$I2900,nEVAL,"EX")=0),0))))</f>
      </c>
      <c r="H2900">
        <f>IF(DATOS!$G2900&lt;&gt;"EX",0,--(COUNTIFS(nNIA,DATOS!$A2900,nCURSO,DATOS!$D2900,nESPEC,DATOS!$E2900,nASIG,DATOS!$I2900,nEVAL,"OR")=0))</f>
      </c>
      <c r="I2900">
        <f>IF(DATOS!$I2900="","",IFERROR(VLOOKUP(DATOS!$I2900,CONFIG_ASIGNATURAS!$B$2:$J$91,9,FALSE()),""))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IF(DATOS!$A2901="",0,IF(CONFIG_METADATA!$B$4&lt;&gt;"OR+EX",--(DATOS!$G2901=CONFIG_METADATA!$B$4),IF(DATOS!$G2901="EX",1,IF(DATOS!$G2901="OR",--(COUNTIFS(nNIA,DATOS!$A2901,nCURSO,DATOS!$D2901,nESPEC,DATOS!$E2901,nASIG,DATOS!$I2901,nEVAL,"EX")=0),0))))</f>
      </c>
      <c r="H2901">
        <f>IF(DATOS!$G2901&lt;&gt;"EX",0,--(COUNTIFS(nNIA,DATOS!$A2901,nCURSO,DATOS!$D2901,nESPEC,DATOS!$E2901,nASIG,DATOS!$I2901,nEVAL,"OR")=0))</f>
      </c>
      <c r="I2901">
        <f>IF(DATOS!$I2901="","",IFERROR(VLOOKUP(DATOS!$I2901,CONFIG_ASIGNATURAS!$B$2:$J$91,9,FALSE()),""))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IF(DATOS!$A2902="",0,IF(CONFIG_METADATA!$B$4&lt;&gt;"OR+EX",--(DATOS!$G2902=CONFIG_METADATA!$B$4),IF(DATOS!$G2902="EX",1,IF(DATOS!$G2902="OR",--(COUNTIFS(nNIA,DATOS!$A2902,nCURSO,DATOS!$D2902,nESPEC,DATOS!$E2902,nASIG,DATOS!$I2902,nEVAL,"EX")=0),0))))</f>
      </c>
      <c r="H2902">
        <f>IF(DATOS!$G2902&lt;&gt;"EX",0,--(COUNTIFS(nNIA,DATOS!$A2902,nCURSO,DATOS!$D2902,nESPEC,DATOS!$E2902,nASIG,DATOS!$I2902,nEVAL,"OR")=0))</f>
      </c>
      <c r="I2902">
        <f>IF(DATOS!$I2902="","",IFERROR(VLOOKUP(DATOS!$I2902,CONFIG_ASIGNATURAS!$B$2:$J$91,9,FALSE()),""))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IF(DATOS!$A2903="",0,IF(CONFIG_METADATA!$B$4&lt;&gt;"OR+EX",--(DATOS!$G2903=CONFIG_METADATA!$B$4),IF(DATOS!$G2903="EX",1,IF(DATOS!$G2903="OR",--(COUNTIFS(nNIA,DATOS!$A2903,nCURSO,DATOS!$D2903,nESPEC,DATOS!$E2903,nASIG,DATOS!$I2903,nEVAL,"EX")=0),0))))</f>
      </c>
      <c r="H2903">
        <f>IF(DATOS!$G2903&lt;&gt;"EX",0,--(COUNTIFS(nNIA,DATOS!$A2903,nCURSO,DATOS!$D2903,nESPEC,DATOS!$E2903,nASIG,DATOS!$I2903,nEVAL,"OR")=0))</f>
      </c>
      <c r="I2903">
        <f>IF(DATOS!$I2903="","",IFERROR(VLOOKUP(DATOS!$I2903,CONFIG_ASIGNATURAS!$B$2:$J$91,9,FALSE()),""))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IF(DATOS!$A2904="",0,IF(CONFIG_METADATA!$B$4&lt;&gt;"OR+EX",--(DATOS!$G2904=CONFIG_METADATA!$B$4),IF(DATOS!$G2904="EX",1,IF(DATOS!$G2904="OR",--(COUNTIFS(nNIA,DATOS!$A2904,nCURSO,DATOS!$D2904,nESPEC,DATOS!$E2904,nASIG,DATOS!$I2904,nEVAL,"EX")=0),0))))</f>
      </c>
      <c r="H2904">
        <f>IF(DATOS!$G2904&lt;&gt;"EX",0,--(COUNTIFS(nNIA,DATOS!$A2904,nCURSO,DATOS!$D2904,nESPEC,DATOS!$E2904,nASIG,DATOS!$I2904,nEVAL,"OR")=0))</f>
      </c>
      <c r="I2904">
        <f>IF(DATOS!$I2904="","",IFERROR(VLOOKUP(DATOS!$I2904,CONFIG_ASIGNATURAS!$B$2:$J$91,9,FALSE()),""))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IF(DATOS!$A2905="",0,IF(CONFIG_METADATA!$B$4&lt;&gt;"OR+EX",--(DATOS!$G2905=CONFIG_METADATA!$B$4),IF(DATOS!$G2905="EX",1,IF(DATOS!$G2905="OR",--(COUNTIFS(nNIA,DATOS!$A2905,nCURSO,DATOS!$D2905,nESPEC,DATOS!$E2905,nASIG,DATOS!$I2905,nEVAL,"EX")=0),0))))</f>
      </c>
      <c r="H2905">
        <f>IF(DATOS!$G2905&lt;&gt;"EX",0,--(COUNTIFS(nNIA,DATOS!$A2905,nCURSO,DATOS!$D2905,nESPEC,DATOS!$E2905,nASIG,DATOS!$I2905,nEVAL,"OR")=0))</f>
      </c>
      <c r="I2905">
        <f>IF(DATOS!$I2905="","",IFERROR(VLOOKUP(DATOS!$I2905,CONFIG_ASIGNATURAS!$B$2:$J$91,9,FALSE()),""))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IF(DATOS!$A2906="",0,IF(CONFIG_METADATA!$B$4&lt;&gt;"OR+EX",--(DATOS!$G2906=CONFIG_METADATA!$B$4),IF(DATOS!$G2906="EX",1,IF(DATOS!$G2906="OR",--(COUNTIFS(nNIA,DATOS!$A2906,nCURSO,DATOS!$D2906,nESPEC,DATOS!$E2906,nASIG,DATOS!$I2906,nEVAL,"EX")=0),0))))</f>
      </c>
      <c r="H2906">
        <f>IF(DATOS!$G2906&lt;&gt;"EX",0,--(COUNTIFS(nNIA,DATOS!$A2906,nCURSO,DATOS!$D2906,nESPEC,DATOS!$E2906,nASIG,DATOS!$I2906,nEVAL,"OR")=0))</f>
      </c>
      <c r="I2906">
        <f>IF(DATOS!$I2906="","",IFERROR(VLOOKUP(DATOS!$I2906,CONFIG_ASIGNATURAS!$B$2:$J$91,9,FALSE()),""))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IF(DATOS!$A2907="",0,IF(CONFIG_METADATA!$B$4&lt;&gt;"OR+EX",--(DATOS!$G2907=CONFIG_METADATA!$B$4),IF(DATOS!$G2907="EX",1,IF(DATOS!$G2907="OR",--(COUNTIFS(nNIA,DATOS!$A2907,nCURSO,DATOS!$D2907,nESPEC,DATOS!$E2907,nASIG,DATOS!$I2907,nEVAL,"EX")=0),0))))</f>
      </c>
      <c r="H2907">
        <f>IF(DATOS!$G2907&lt;&gt;"EX",0,--(COUNTIFS(nNIA,DATOS!$A2907,nCURSO,DATOS!$D2907,nESPEC,DATOS!$E2907,nASIG,DATOS!$I2907,nEVAL,"OR")=0))</f>
      </c>
      <c r="I2907">
        <f>IF(DATOS!$I2907="","",IFERROR(VLOOKUP(DATOS!$I2907,CONFIG_ASIGNATURAS!$B$2:$J$91,9,FALSE()),""))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IF(DATOS!$A2908="",0,IF(CONFIG_METADATA!$B$4&lt;&gt;"OR+EX",--(DATOS!$G2908=CONFIG_METADATA!$B$4),IF(DATOS!$G2908="EX",1,IF(DATOS!$G2908="OR",--(COUNTIFS(nNIA,DATOS!$A2908,nCURSO,DATOS!$D2908,nESPEC,DATOS!$E2908,nASIG,DATOS!$I2908,nEVAL,"EX")=0),0))))</f>
      </c>
      <c r="H2908">
        <f>IF(DATOS!$G2908&lt;&gt;"EX",0,--(COUNTIFS(nNIA,DATOS!$A2908,nCURSO,DATOS!$D2908,nESPEC,DATOS!$E2908,nASIG,DATOS!$I2908,nEVAL,"OR")=0))</f>
      </c>
      <c r="I2908">
        <f>IF(DATOS!$I2908="","",IFERROR(VLOOKUP(DATOS!$I2908,CONFIG_ASIGNATURAS!$B$2:$J$91,9,FALSE()),""))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IF(DATOS!$A2909="",0,IF(CONFIG_METADATA!$B$4&lt;&gt;"OR+EX",--(DATOS!$G2909=CONFIG_METADATA!$B$4),IF(DATOS!$G2909="EX",1,IF(DATOS!$G2909="OR",--(COUNTIFS(nNIA,DATOS!$A2909,nCURSO,DATOS!$D2909,nESPEC,DATOS!$E2909,nASIG,DATOS!$I2909,nEVAL,"EX")=0),0))))</f>
      </c>
      <c r="H2909">
        <f>IF(DATOS!$G2909&lt;&gt;"EX",0,--(COUNTIFS(nNIA,DATOS!$A2909,nCURSO,DATOS!$D2909,nESPEC,DATOS!$E2909,nASIG,DATOS!$I2909,nEVAL,"OR")=0))</f>
      </c>
      <c r="I2909">
        <f>IF(DATOS!$I2909="","",IFERROR(VLOOKUP(DATOS!$I2909,CONFIG_ASIGNATURAS!$B$2:$J$91,9,FALSE()),""))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IF(DATOS!$A2910="",0,IF(CONFIG_METADATA!$B$4&lt;&gt;"OR+EX",--(DATOS!$G2910=CONFIG_METADATA!$B$4),IF(DATOS!$G2910="EX",1,IF(DATOS!$G2910="OR",--(COUNTIFS(nNIA,DATOS!$A2910,nCURSO,DATOS!$D2910,nESPEC,DATOS!$E2910,nASIG,DATOS!$I2910,nEVAL,"EX")=0),0))))</f>
      </c>
      <c r="H2910">
        <f>IF(DATOS!$G2910&lt;&gt;"EX",0,--(COUNTIFS(nNIA,DATOS!$A2910,nCURSO,DATOS!$D2910,nESPEC,DATOS!$E2910,nASIG,DATOS!$I2910,nEVAL,"OR")=0))</f>
      </c>
      <c r="I2910">
        <f>IF(DATOS!$I2910="","",IFERROR(VLOOKUP(DATOS!$I2910,CONFIG_ASIGNATURAS!$B$2:$J$91,9,FALSE()),""))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IF(DATOS!$A2911="",0,IF(CONFIG_METADATA!$B$4&lt;&gt;"OR+EX",--(DATOS!$G2911=CONFIG_METADATA!$B$4),IF(DATOS!$G2911="EX",1,IF(DATOS!$G2911="OR",--(COUNTIFS(nNIA,DATOS!$A2911,nCURSO,DATOS!$D2911,nESPEC,DATOS!$E2911,nASIG,DATOS!$I2911,nEVAL,"EX")=0),0))))</f>
      </c>
      <c r="H2911">
        <f>IF(DATOS!$G2911&lt;&gt;"EX",0,--(COUNTIFS(nNIA,DATOS!$A2911,nCURSO,DATOS!$D2911,nESPEC,DATOS!$E2911,nASIG,DATOS!$I2911,nEVAL,"OR")=0))</f>
      </c>
      <c r="I2911">
        <f>IF(DATOS!$I2911="","",IFERROR(VLOOKUP(DATOS!$I2911,CONFIG_ASIGNATURAS!$B$2:$J$91,9,FALSE()),""))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IF(DATOS!$A2912="",0,IF(CONFIG_METADATA!$B$4&lt;&gt;"OR+EX",--(DATOS!$G2912=CONFIG_METADATA!$B$4),IF(DATOS!$G2912="EX",1,IF(DATOS!$G2912="OR",--(COUNTIFS(nNIA,DATOS!$A2912,nCURSO,DATOS!$D2912,nESPEC,DATOS!$E2912,nASIG,DATOS!$I2912,nEVAL,"EX")=0),0))))</f>
      </c>
      <c r="H2912">
        <f>IF(DATOS!$G2912&lt;&gt;"EX",0,--(COUNTIFS(nNIA,DATOS!$A2912,nCURSO,DATOS!$D2912,nESPEC,DATOS!$E2912,nASIG,DATOS!$I2912,nEVAL,"OR")=0))</f>
      </c>
      <c r="I2912">
        <f>IF(DATOS!$I2912="","",IFERROR(VLOOKUP(DATOS!$I2912,CONFIG_ASIGNATURAS!$B$2:$J$91,9,FALSE()),""))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IF(DATOS!$A2913="",0,IF(CONFIG_METADATA!$B$4&lt;&gt;"OR+EX",--(DATOS!$G2913=CONFIG_METADATA!$B$4),IF(DATOS!$G2913="EX",1,IF(DATOS!$G2913="OR",--(COUNTIFS(nNIA,DATOS!$A2913,nCURSO,DATOS!$D2913,nESPEC,DATOS!$E2913,nASIG,DATOS!$I2913,nEVAL,"EX")=0),0))))</f>
      </c>
      <c r="H2913">
        <f>IF(DATOS!$G2913&lt;&gt;"EX",0,--(COUNTIFS(nNIA,DATOS!$A2913,nCURSO,DATOS!$D2913,nESPEC,DATOS!$E2913,nASIG,DATOS!$I2913,nEVAL,"OR")=0))</f>
      </c>
      <c r="I2913">
        <f>IF(DATOS!$I2913="","",IFERROR(VLOOKUP(DATOS!$I2913,CONFIG_ASIGNATURAS!$B$2:$J$91,9,FALSE()),""))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IF(DATOS!$A2914="",0,IF(CONFIG_METADATA!$B$4&lt;&gt;"OR+EX",--(DATOS!$G2914=CONFIG_METADATA!$B$4),IF(DATOS!$G2914="EX",1,IF(DATOS!$G2914="OR",--(COUNTIFS(nNIA,DATOS!$A2914,nCURSO,DATOS!$D2914,nESPEC,DATOS!$E2914,nASIG,DATOS!$I2914,nEVAL,"EX")=0),0))))</f>
      </c>
      <c r="H2914">
        <f>IF(DATOS!$G2914&lt;&gt;"EX",0,--(COUNTIFS(nNIA,DATOS!$A2914,nCURSO,DATOS!$D2914,nESPEC,DATOS!$E2914,nASIG,DATOS!$I2914,nEVAL,"OR")=0))</f>
      </c>
      <c r="I2914">
        <f>IF(DATOS!$I2914="","",IFERROR(VLOOKUP(DATOS!$I2914,CONFIG_ASIGNATURAS!$B$2:$J$91,9,FALSE()),""))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IF(DATOS!$A2915="",0,IF(CONFIG_METADATA!$B$4&lt;&gt;"OR+EX",--(DATOS!$G2915=CONFIG_METADATA!$B$4),IF(DATOS!$G2915="EX",1,IF(DATOS!$G2915="OR",--(COUNTIFS(nNIA,DATOS!$A2915,nCURSO,DATOS!$D2915,nESPEC,DATOS!$E2915,nASIG,DATOS!$I2915,nEVAL,"EX")=0),0))))</f>
      </c>
      <c r="H2915">
        <f>IF(DATOS!$G2915&lt;&gt;"EX",0,--(COUNTIFS(nNIA,DATOS!$A2915,nCURSO,DATOS!$D2915,nESPEC,DATOS!$E2915,nASIG,DATOS!$I2915,nEVAL,"OR")=0))</f>
      </c>
      <c r="I2915">
        <f>IF(DATOS!$I2915="","",IFERROR(VLOOKUP(DATOS!$I2915,CONFIG_ASIGNATURAS!$B$2:$J$91,9,FALSE()),""))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IF(DATOS!$A2916="",0,IF(CONFIG_METADATA!$B$4&lt;&gt;"OR+EX",--(DATOS!$G2916=CONFIG_METADATA!$B$4),IF(DATOS!$G2916="EX",1,IF(DATOS!$G2916="OR",--(COUNTIFS(nNIA,DATOS!$A2916,nCURSO,DATOS!$D2916,nESPEC,DATOS!$E2916,nASIG,DATOS!$I2916,nEVAL,"EX")=0),0))))</f>
      </c>
      <c r="H2916">
        <f>IF(DATOS!$G2916&lt;&gt;"EX",0,--(COUNTIFS(nNIA,DATOS!$A2916,nCURSO,DATOS!$D2916,nESPEC,DATOS!$E2916,nASIG,DATOS!$I2916,nEVAL,"OR")=0))</f>
      </c>
      <c r="I2916">
        <f>IF(DATOS!$I2916="","",IFERROR(VLOOKUP(DATOS!$I2916,CONFIG_ASIGNATURAS!$B$2:$J$91,9,FALSE()),""))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IF(DATOS!$A2917="",0,IF(CONFIG_METADATA!$B$4&lt;&gt;"OR+EX",--(DATOS!$G2917=CONFIG_METADATA!$B$4),IF(DATOS!$G2917="EX",1,IF(DATOS!$G2917="OR",--(COUNTIFS(nNIA,DATOS!$A2917,nCURSO,DATOS!$D2917,nESPEC,DATOS!$E2917,nASIG,DATOS!$I2917,nEVAL,"EX")=0),0))))</f>
      </c>
      <c r="H2917">
        <f>IF(DATOS!$G2917&lt;&gt;"EX",0,--(COUNTIFS(nNIA,DATOS!$A2917,nCURSO,DATOS!$D2917,nESPEC,DATOS!$E2917,nASIG,DATOS!$I2917,nEVAL,"OR")=0))</f>
      </c>
      <c r="I2917">
        <f>IF(DATOS!$I2917="","",IFERROR(VLOOKUP(DATOS!$I2917,CONFIG_ASIGNATURAS!$B$2:$J$91,9,FALSE()),""))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IF(DATOS!$A2918="",0,IF(CONFIG_METADATA!$B$4&lt;&gt;"OR+EX",--(DATOS!$G2918=CONFIG_METADATA!$B$4),IF(DATOS!$G2918="EX",1,IF(DATOS!$G2918="OR",--(COUNTIFS(nNIA,DATOS!$A2918,nCURSO,DATOS!$D2918,nESPEC,DATOS!$E2918,nASIG,DATOS!$I2918,nEVAL,"EX")=0),0))))</f>
      </c>
      <c r="H2918">
        <f>IF(DATOS!$G2918&lt;&gt;"EX",0,--(COUNTIFS(nNIA,DATOS!$A2918,nCURSO,DATOS!$D2918,nESPEC,DATOS!$E2918,nASIG,DATOS!$I2918,nEVAL,"OR")=0))</f>
      </c>
      <c r="I2918">
        <f>IF(DATOS!$I2918="","",IFERROR(VLOOKUP(DATOS!$I2918,CONFIG_ASIGNATURAS!$B$2:$J$91,9,FALSE()),""))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IF(DATOS!$A2919="",0,IF(CONFIG_METADATA!$B$4&lt;&gt;"OR+EX",--(DATOS!$G2919=CONFIG_METADATA!$B$4),IF(DATOS!$G2919="EX",1,IF(DATOS!$G2919="OR",--(COUNTIFS(nNIA,DATOS!$A2919,nCURSO,DATOS!$D2919,nESPEC,DATOS!$E2919,nASIG,DATOS!$I2919,nEVAL,"EX")=0),0))))</f>
      </c>
      <c r="H2919">
        <f>IF(DATOS!$G2919&lt;&gt;"EX",0,--(COUNTIFS(nNIA,DATOS!$A2919,nCURSO,DATOS!$D2919,nESPEC,DATOS!$E2919,nASIG,DATOS!$I2919,nEVAL,"OR")=0))</f>
      </c>
      <c r="I2919">
        <f>IF(DATOS!$I2919="","",IFERROR(VLOOKUP(DATOS!$I2919,CONFIG_ASIGNATURAS!$B$2:$J$91,9,FALSE()),""))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IF(DATOS!$A2920="",0,IF(CONFIG_METADATA!$B$4&lt;&gt;"OR+EX",--(DATOS!$G2920=CONFIG_METADATA!$B$4),IF(DATOS!$G2920="EX",1,IF(DATOS!$G2920="OR",--(COUNTIFS(nNIA,DATOS!$A2920,nCURSO,DATOS!$D2920,nESPEC,DATOS!$E2920,nASIG,DATOS!$I2920,nEVAL,"EX")=0),0))))</f>
      </c>
      <c r="H2920">
        <f>IF(DATOS!$G2920&lt;&gt;"EX",0,--(COUNTIFS(nNIA,DATOS!$A2920,nCURSO,DATOS!$D2920,nESPEC,DATOS!$E2920,nASIG,DATOS!$I2920,nEVAL,"OR")=0))</f>
      </c>
      <c r="I2920">
        <f>IF(DATOS!$I2920="","",IFERROR(VLOOKUP(DATOS!$I2920,CONFIG_ASIGNATURAS!$B$2:$J$91,9,FALSE()),""))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IF(DATOS!$A2921="",0,IF(CONFIG_METADATA!$B$4&lt;&gt;"OR+EX",--(DATOS!$G2921=CONFIG_METADATA!$B$4),IF(DATOS!$G2921="EX",1,IF(DATOS!$G2921="OR",--(COUNTIFS(nNIA,DATOS!$A2921,nCURSO,DATOS!$D2921,nESPEC,DATOS!$E2921,nASIG,DATOS!$I2921,nEVAL,"EX")=0),0))))</f>
      </c>
      <c r="H2921">
        <f>IF(DATOS!$G2921&lt;&gt;"EX",0,--(COUNTIFS(nNIA,DATOS!$A2921,nCURSO,DATOS!$D2921,nESPEC,DATOS!$E2921,nASIG,DATOS!$I2921,nEVAL,"OR")=0))</f>
      </c>
      <c r="I2921">
        <f>IF(DATOS!$I2921="","",IFERROR(VLOOKUP(DATOS!$I2921,CONFIG_ASIGNATURAS!$B$2:$J$91,9,FALSE()),""))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IF(DATOS!$A2922="",0,IF(CONFIG_METADATA!$B$4&lt;&gt;"OR+EX",--(DATOS!$G2922=CONFIG_METADATA!$B$4),IF(DATOS!$G2922="EX",1,IF(DATOS!$G2922="OR",--(COUNTIFS(nNIA,DATOS!$A2922,nCURSO,DATOS!$D2922,nESPEC,DATOS!$E2922,nASIG,DATOS!$I2922,nEVAL,"EX")=0),0))))</f>
      </c>
      <c r="H2922">
        <f>IF(DATOS!$G2922&lt;&gt;"EX",0,--(COUNTIFS(nNIA,DATOS!$A2922,nCURSO,DATOS!$D2922,nESPEC,DATOS!$E2922,nASIG,DATOS!$I2922,nEVAL,"OR")=0))</f>
      </c>
      <c r="I2922">
        <f>IF(DATOS!$I2922="","",IFERROR(VLOOKUP(DATOS!$I2922,CONFIG_ASIGNATURAS!$B$2:$J$91,9,FALSE()),""))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IF(DATOS!$A2923="",0,IF(CONFIG_METADATA!$B$4&lt;&gt;"OR+EX",--(DATOS!$G2923=CONFIG_METADATA!$B$4),IF(DATOS!$G2923="EX",1,IF(DATOS!$G2923="OR",--(COUNTIFS(nNIA,DATOS!$A2923,nCURSO,DATOS!$D2923,nESPEC,DATOS!$E2923,nASIG,DATOS!$I2923,nEVAL,"EX")=0),0))))</f>
      </c>
      <c r="H2923">
        <f>IF(DATOS!$G2923&lt;&gt;"EX",0,--(COUNTIFS(nNIA,DATOS!$A2923,nCURSO,DATOS!$D2923,nESPEC,DATOS!$E2923,nASIG,DATOS!$I2923,nEVAL,"OR")=0))</f>
      </c>
      <c r="I2923">
        <f>IF(DATOS!$I2923="","",IFERROR(VLOOKUP(DATOS!$I2923,CONFIG_ASIGNATURAS!$B$2:$J$91,9,FALSE()),""))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IF(DATOS!$A2924="",0,IF(CONFIG_METADATA!$B$4&lt;&gt;"OR+EX",--(DATOS!$G2924=CONFIG_METADATA!$B$4),IF(DATOS!$G2924="EX",1,IF(DATOS!$G2924="OR",--(COUNTIFS(nNIA,DATOS!$A2924,nCURSO,DATOS!$D2924,nESPEC,DATOS!$E2924,nASIG,DATOS!$I2924,nEVAL,"EX")=0),0))))</f>
      </c>
      <c r="H2924">
        <f>IF(DATOS!$G2924&lt;&gt;"EX",0,--(COUNTIFS(nNIA,DATOS!$A2924,nCURSO,DATOS!$D2924,nESPEC,DATOS!$E2924,nASIG,DATOS!$I2924,nEVAL,"OR")=0))</f>
      </c>
      <c r="I2924">
        <f>IF(DATOS!$I2924="","",IFERROR(VLOOKUP(DATOS!$I2924,CONFIG_ASIGNATURAS!$B$2:$J$91,9,FALSE()),""))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IF(DATOS!$A2925="",0,IF(CONFIG_METADATA!$B$4&lt;&gt;"OR+EX",--(DATOS!$G2925=CONFIG_METADATA!$B$4),IF(DATOS!$G2925="EX",1,IF(DATOS!$G2925="OR",--(COUNTIFS(nNIA,DATOS!$A2925,nCURSO,DATOS!$D2925,nESPEC,DATOS!$E2925,nASIG,DATOS!$I2925,nEVAL,"EX")=0),0))))</f>
      </c>
      <c r="H2925">
        <f>IF(DATOS!$G2925&lt;&gt;"EX",0,--(COUNTIFS(nNIA,DATOS!$A2925,nCURSO,DATOS!$D2925,nESPEC,DATOS!$E2925,nASIG,DATOS!$I2925,nEVAL,"OR")=0))</f>
      </c>
      <c r="I2925">
        <f>IF(DATOS!$I2925="","",IFERROR(VLOOKUP(DATOS!$I2925,CONFIG_ASIGNATURAS!$B$2:$J$91,9,FALSE()),""))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IF(DATOS!$A2926="",0,IF(CONFIG_METADATA!$B$4&lt;&gt;"OR+EX",--(DATOS!$G2926=CONFIG_METADATA!$B$4),IF(DATOS!$G2926="EX",1,IF(DATOS!$G2926="OR",--(COUNTIFS(nNIA,DATOS!$A2926,nCURSO,DATOS!$D2926,nESPEC,DATOS!$E2926,nASIG,DATOS!$I2926,nEVAL,"EX")=0),0))))</f>
      </c>
      <c r="H2926">
        <f>IF(DATOS!$G2926&lt;&gt;"EX",0,--(COUNTIFS(nNIA,DATOS!$A2926,nCURSO,DATOS!$D2926,nESPEC,DATOS!$E2926,nASIG,DATOS!$I2926,nEVAL,"OR")=0))</f>
      </c>
      <c r="I2926">
        <f>IF(DATOS!$I2926="","",IFERROR(VLOOKUP(DATOS!$I2926,CONFIG_ASIGNATURAS!$B$2:$J$91,9,FALSE()),""))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IF(DATOS!$A2927="",0,IF(CONFIG_METADATA!$B$4&lt;&gt;"OR+EX",--(DATOS!$G2927=CONFIG_METADATA!$B$4),IF(DATOS!$G2927="EX",1,IF(DATOS!$G2927="OR",--(COUNTIFS(nNIA,DATOS!$A2927,nCURSO,DATOS!$D2927,nESPEC,DATOS!$E2927,nASIG,DATOS!$I2927,nEVAL,"EX")=0),0))))</f>
      </c>
      <c r="H2927">
        <f>IF(DATOS!$G2927&lt;&gt;"EX",0,--(COUNTIFS(nNIA,DATOS!$A2927,nCURSO,DATOS!$D2927,nESPEC,DATOS!$E2927,nASIG,DATOS!$I2927,nEVAL,"OR")=0))</f>
      </c>
      <c r="I2927">
        <f>IF(DATOS!$I2927="","",IFERROR(VLOOKUP(DATOS!$I2927,CONFIG_ASIGNATURAS!$B$2:$J$91,9,FALSE()),""))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IF(DATOS!$A2928="",0,IF(CONFIG_METADATA!$B$4&lt;&gt;"OR+EX",--(DATOS!$G2928=CONFIG_METADATA!$B$4),IF(DATOS!$G2928="EX",1,IF(DATOS!$G2928="OR",--(COUNTIFS(nNIA,DATOS!$A2928,nCURSO,DATOS!$D2928,nESPEC,DATOS!$E2928,nASIG,DATOS!$I2928,nEVAL,"EX")=0),0))))</f>
      </c>
      <c r="H2928">
        <f>IF(DATOS!$G2928&lt;&gt;"EX",0,--(COUNTIFS(nNIA,DATOS!$A2928,nCURSO,DATOS!$D2928,nESPEC,DATOS!$E2928,nASIG,DATOS!$I2928,nEVAL,"OR")=0))</f>
      </c>
      <c r="I2928">
        <f>IF(DATOS!$I2928="","",IFERROR(VLOOKUP(DATOS!$I2928,CONFIG_ASIGNATURAS!$B$2:$J$91,9,FALSE()),""))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IF(DATOS!$A2929="",0,IF(CONFIG_METADATA!$B$4&lt;&gt;"OR+EX",--(DATOS!$G2929=CONFIG_METADATA!$B$4),IF(DATOS!$G2929="EX",1,IF(DATOS!$G2929="OR",--(COUNTIFS(nNIA,DATOS!$A2929,nCURSO,DATOS!$D2929,nESPEC,DATOS!$E2929,nASIG,DATOS!$I2929,nEVAL,"EX")=0),0))))</f>
      </c>
      <c r="H2929">
        <f>IF(DATOS!$G2929&lt;&gt;"EX",0,--(COUNTIFS(nNIA,DATOS!$A2929,nCURSO,DATOS!$D2929,nESPEC,DATOS!$E2929,nASIG,DATOS!$I2929,nEVAL,"OR")=0))</f>
      </c>
      <c r="I2929">
        <f>IF(DATOS!$I2929="","",IFERROR(VLOOKUP(DATOS!$I2929,CONFIG_ASIGNATURAS!$B$2:$J$91,9,FALSE()),""))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IF(DATOS!$A2930="",0,IF(CONFIG_METADATA!$B$4&lt;&gt;"OR+EX",--(DATOS!$G2930=CONFIG_METADATA!$B$4),IF(DATOS!$G2930="EX",1,IF(DATOS!$G2930="OR",--(COUNTIFS(nNIA,DATOS!$A2930,nCURSO,DATOS!$D2930,nESPEC,DATOS!$E2930,nASIG,DATOS!$I2930,nEVAL,"EX")=0),0))))</f>
      </c>
      <c r="H2930">
        <f>IF(DATOS!$G2930&lt;&gt;"EX",0,--(COUNTIFS(nNIA,DATOS!$A2930,nCURSO,DATOS!$D2930,nESPEC,DATOS!$E2930,nASIG,DATOS!$I2930,nEVAL,"OR")=0))</f>
      </c>
      <c r="I2930">
        <f>IF(DATOS!$I2930="","",IFERROR(VLOOKUP(DATOS!$I2930,CONFIG_ASIGNATURAS!$B$2:$J$91,9,FALSE()),""))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IF(DATOS!$A2931="",0,IF(CONFIG_METADATA!$B$4&lt;&gt;"OR+EX",--(DATOS!$G2931=CONFIG_METADATA!$B$4),IF(DATOS!$G2931="EX",1,IF(DATOS!$G2931="OR",--(COUNTIFS(nNIA,DATOS!$A2931,nCURSO,DATOS!$D2931,nESPEC,DATOS!$E2931,nASIG,DATOS!$I2931,nEVAL,"EX")=0),0))))</f>
      </c>
      <c r="H2931">
        <f>IF(DATOS!$G2931&lt;&gt;"EX",0,--(COUNTIFS(nNIA,DATOS!$A2931,nCURSO,DATOS!$D2931,nESPEC,DATOS!$E2931,nASIG,DATOS!$I2931,nEVAL,"OR")=0))</f>
      </c>
      <c r="I2931">
        <f>IF(DATOS!$I2931="","",IFERROR(VLOOKUP(DATOS!$I2931,CONFIG_ASIGNATURAS!$B$2:$J$91,9,FALSE()),""))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IF(DATOS!$A2932="",0,IF(CONFIG_METADATA!$B$4&lt;&gt;"OR+EX",--(DATOS!$G2932=CONFIG_METADATA!$B$4),IF(DATOS!$G2932="EX",1,IF(DATOS!$G2932="OR",--(COUNTIFS(nNIA,DATOS!$A2932,nCURSO,DATOS!$D2932,nESPEC,DATOS!$E2932,nASIG,DATOS!$I2932,nEVAL,"EX")=0),0))))</f>
      </c>
      <c r="H2932">
        <f>IF(DATOS!$G2932&lt;&gt;"EX",0,--(COUNTIFS(nNIA,DATOS!$A2932,nCURSO,DATOS!$D2932,nESPEC,DATOS!$E2932,nASIG,DATOS!$I2932,nEVAL,"OR")=0))</f>
      </c>
      <c r="I2932">
        <f>IF(DATOS!$I2932="","",IFERROR(VLOOKUP(DATOS!$I2932,CONFIG_ASIGNATURAS!$B$2:$J$91,9,FALSE()),""))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IF(DATOS!$A2933="",0,IF(CONFIG_METADATA!$B$4&lt;&gt;"OR+EX",--(DATOS!$G2933=CONFIG_METADATA!$B$4),IF(DATOS!$G2933="EX",1,IF(DATOS!$G2933="OR",--(COUNTIFS(nNIA,DATOS!$A2933,nCURSO,DATOS!$D2933,nESPEC,DATOS!$E2933,nASIG,DATOS!$I2933,nEVAL,"EX")=0),0))))</f>
      </c>
      <c r="H2933">
        <f>IF(DATOS!$G2933&lt;&gt;"EX",0,--(COUNTIFS(nNIA,DATOS!$A2933,nCURSO,DATOS!$D2933,nESPEC,DATOS!$E2933,nASIG,DATOS!$I2933,nEVAL,"OR")=0))</f>
      </c>
      <c r="I2933">
        <f>IF(DATOS!$I2933="","",IFERROR(VLOOKUP(DATOS!$I2933,CONFIG_ASIGNATURAS!$B$2:$J$91,9,FALSE()),""))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IF(DATOS!$A2934="",0,IF(CONFIG_METADATA!$B$4&lt;&gt;"OR+EX",--(DATOS!$G2934=CONFIG_METADATA!$B$4),IF(DATOS!$G2934="EX",1,IF(DATOS!$G2934="OR",--(COUNTIFS(nNIA,DATOS!$A2934,nCURSO,DATOS!$D2934,nESPEC,DATOS!$E2934,nASIG,DATOS!$I2934,nEVAL,"EX")=0),0))))</f>
      </c>
      <c r="H2934">
        <f>IF(DATOS!$G2934&lt;&gt;"EX",0,--(COUNTIFS(nNIA,DATOS!$A2934,nCURSO,DATOS!$D2934,nESPEC,DATOS!$E2934,nASIG,DATOS!$I2934,nEVAL,"OR")=0))</f>
      </c>
      <c r="I2934">
        <f>IF(DATOS!$I2934="","",IFERROR(VLOOKUP(DATOS!$I2934,CONFIG_ASIGNATURAS!$B$2:$J$91,9,FALSE()),""))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IF(DATOS!$A2935="",0,IF(CONFIG_METADATA!$B$4&lt;&gt;"OR+EX",--(DATOS!$G2935=CONFIG_METADATA!$B$4),IF(DATOS!$G2935="EX",1,IF(DATOS!$G2935="OR",--(COUNTIFS(nNIA,DATOS!$A2935,nCURSO,DATOS!$D2935,nESPEC,DATOS!$E2935,nASIG,DATOS!$I2935,nEVAL,"EX")=0),0))))</f>
      </c>
      <c r="H2935">
        <f>IF(DATOS!$G2935&lt;&gt;"EX",0,--(COUNTIFS(nNIA,DATOS!$A2935,nCURSO,DATOS!$D2935,nESPEC,DATOS!$E2935,nASIG,DATOS!$I2935,nEVAL,"OR")=0))</f>
      </c>
      <c r="I2935">
        <f>IF(DATOS!$I2935="","",IFERROR(VLOOKUP(DATOS!$I2935,CONFIG_ASIGNATURAS!$B$2:$J$91,9,FALSE()),""))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IF(DATOS!$A2936="",0,IF(CONFIG_METADATA!$B$4&lt;&gt;"OR+EX",--(DATOS!$G2936=CONFIG_METADATA!$B$4),IF(DATOS!$G2936="EX",1,IF(DATOS!$G2936="OR",--(COUNTIFS(nNIA,DATOS!$A2936,nCURSO,DATOS!$D2936,nESPEC,DATOS!$E2936,nASIG,DATOS!$I2936,nEVAL,"EX")=0),0))))</f>
      </c>
      <c r="H2936">
        <f>IF(DATOS!$G2936&lt;&gt;"EX",0,--(COUNTIFS(nNIA,DATOS!$A2936,nCURSO,DATOS!$D2936,nESPEC,DATOS!$E2936,nASIG,DATOS!$I2936,nEVAL,"OR")=0))</f>
      </c>
      <c r="I2936">
        <f>IF(DATOS!$I2936="","",IFERROR(VLOOKUP(DATOS!$I2936,CONFIG_ASIGNATURAS!$B$2:$J$91,9,FALSE()),""))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IF(DATOS!$A2937="",0,IF(CONFIG_METADATA!$B$4&lt;&gt;"OR+EX",--(DATOS!$G2937=CONFIG_METADATA!$B$4),IF(DATOS!$G2937="EX",1,IF(DATOS!$G2937="OR",--(COUNTIFS(nNIA,DATOS!$A2937,nCURSO,DATOS!$D2937,nESPEC,DATOS!$E2937,nASIG,DATOS!$I2937,nEVAL,"EX")=0),0))))</f>
      </c>
      <c r="H2937">
        <f>IF(DATOS!$G2937&lt;&gt;"EX",0,--(COUNTIFS(nNIA,DATOS!$A2937,nCURSO,DATOS!$D2937,nESPEC,DATOS!$E2937,nASIG,DATOS!$I2937,nEVAL,"OR")=0))</f>
      </c>
      <c r="I2937">
        <f>IF(DATOS!$I2937="","",IFERROR(VLOOKUP(DATOS!$I2937,CONFIG_ASIGNATURAS!$B$2:$J$91,9,FALSE()),""))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IF(DATOS!$A2938="",0,IF(CONFIG_METADATA!$B$4&lt;&gt;"OR+EX",--(DATOS!$G2938=CONFIG_METADATA!$B$4),IF(DATOS!$G2938="EX",1,IF(DATOS!$G2938="OR",--(COUNTIFS(nNIA,DATOS!$A2938,nCURSO,DATOS!$D2938,nESPEC,DATOS!$E2938,nASIG,DATOS!$I2938,nEVAL,"EX")=0),0))))</f>
      </c>
      <c r="H2938">
        <f>IF(DATOS!$G2938&lt;&gt;"EX",0,--(COUNTIFS(nNIA,DATOS!$A2938,nCURSO,DATOS!$D2938,nESPEC,DATOS!$E2938,nASIG,DATOS!$I2938,nEVAL,"OR")=0))</f>
      </c>
      <c r="I2938">
        <f>IF(DATOS!$I2938="","",IFERROR(VLOOKUP(DATOS!$I2938,CONFIG_ASIGNATURAS!$B$2:$J$91,9,FALSE()),""))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IF(DATOS!$A2939="",0,IF(CONFIG_METADATA!$B$4&lt;&gt;"OR+EX",--(DATOS!$G2939=CONFIG_METADATA!$B$4),IF(DATOS!$G2939="EX",1,IF(DATOS!$G2939="OR",--(COUNTIFS(nNIA,DATOS!$A2939,nCURSO,DATOS!$D2939,nESPEC,DATOS!$E2939,nASIG,DATOS!$I2939,nEVAL,"EX")=0),0))))</f>
      </c>
      <c r="H2939">
        <f>IF(DATOS!$G2939&lt;&gt;"EX",0,--(COUNTIFS(nNIA,DATOS!$A2939,nCURSO,DATOS!$D2939,nESPEC,DATOS!$E2939,nASIG,DATOS!$I2939,nEVAL,"OR")=0))</f>
      </c>
      <c r="I2939">
        <f>IF(DATOS!$I2939="","",IFERROR(VLOOKUP(DATOS!$I2939,CONFIG_ASIGNATURAS!$B$2:$J$91,9,FALSE()),""))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IF(DATOS!$A2940="",0,IF(CONFIG_METADATA!$B$4&lt;&gt;"OR+EX",--(DATOS!$G2940=CONFIG_METADATA!$B$4),IF(DATOS!$G2940="EX",1,IF(DATOS!$G2940="OR",--(COUNTIFS(nNIA,DATOS!$A2940,nCURSO,DATOS!$D2940,nESPEC,DATOS!$E2940,nASIG,DATOS!$I2940,nEVAL,"EX")=0),0))))</f>
      </c>
      <c r="H2940">
        <f>IF(DATOS!$G2940&lt;&gt;"EX",0,--(COUNTIFS(nNIA,DATOS!$A2940,nCURSO,DATOS!$D2940,nESPEC,DATOS!$E2940,nASIG,DATOS!$I2940,nEVAL,"OR")=0))</f>
      </c>
      <c r="I2940">
        <f>IF(DATOS!$I2940="","",IFERROR(VLOOKUP(DATOS!$I2940,CONFIG_ASIGNATURAS!$B$2:$J$91,9,FALSE()),""))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IF(DATOS!$A2941="",0,IF(CONFIG_METADATA!$B$4&lt;&gt;"OR+EX",--(DATOS!$G2941=CONFIG_METADATA!$B$4),IF(DATOS!$G2941="EX",1,IF(DATOS!$G2941="OR",--(COUNTIFS(nNIA,DATOS!$A2941,nCURSO,DATOS!$D2941,nESPEC,DATOS!$E2941,nASIG,DATOS!$I2941,nEVAL,"EX")=0),0))))</f>
      </c>
      <c r="H2941">
        <f>IF(DATOS!$G2941&lt;&gt;"EX",0,--(COUNTIFS(nNIA,DATOS!$A2941,nCURSO,DATOS!$D2941,nESPEC,DATOS!$E2941,nASIG,DATOS!$I2941,nEVAL,"OR")=0))</f>
      </c>
      <c r="I2941">
        <f>IF(DATOS!$I2941="","",IFERROR(VLOOKUP(DATOS!$I2941,CONFIG_ASIGNATURAS!$B$2:$J$91,9,FALSE()),""))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IF(DATOS!$A2942="",0,IF(CONFIG_METADATA!$B$4&lt;&gt;"OR+EX",--(DATOS!$G2942=CONFIG_METADATA!$B$4),IF(DATOS!$G2942="EX",1,IF(DATOS!$G2942="OR",--(COUNTIFS(nNIA,DATOS!$A2942,nCURSO,DATOS!$D2942,nESPEC,DATOS!$E2942,nASIG,DATOS!$I2942,nEVAL,"EX")=0),0))))</f>
      </c>
      <c r="H2942">
        <f>IF(DATOS!$G2942&lt;&gt;"EX",0,--(COUNTIFS(nNIA,DATOS!$A2942,nCURSO,DATOS!$D2942,nESPEC,DATOS!$E2942,nASIG,DATOS!$I2942,nEVAL,"OR")=0))</f>
      </c>
      <c r="I2942">
        <f>IF(DATOS!$I2942="","",IFERROR(VLOOKUP(DATOS!$I2942,CONFIG_ASIGNATURAS!$B$2:$J$91,9,FALSE()),""))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IF(DATOS!$A2943="",0,IF(CONFIG_METADATA!$B$4&lt;&gt;"OR+EX",--(DATOS!$G2943=CONFIG_METADATA!$B$4),IF(DATOS!$G2943="EX",1,IF(DATOS!$G2943="OR",--(COUNTIFS(nNIA,DATOS!$A2943,nCURSO,DATOS!$D2943,nESPEC,DATOS!$E2943,nASIG,DATOS!$I2943,nEVAL,"EX")=0),0))))</f>
      </c>
      <c r="H2943">
        <f>IF(DATOS!$G2943&lt;&gt;"EX",0,--(COUNTIFS(nNIA,DATOS!$A2943,nCURSO,DATOS!$D2943,nESPEC,DATOS!$E2943,nASIG,DATOS!$I2943,nEVAL,"OR")=0))</f>
      </c>
      <c r="I2943">
        <f>IF(DATOS!$I2943="","",IFERROR(VLOOKUP(DATOS!$I2943,CONFIG_ASIGNATURAS!$B$2:$J$91,9,FALSE()),""))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IF(DATOS!$A2944="",0,IF(CONFIG_METADATA!$B$4&lt;&gt;"OR+EX",--(DATOS!$G2944=CONFIG_METADATA!$B$4),IF(DATOS!$G2944="EX",1,IF(DATOS!$G2944="OR",--(COUNTIFS(nNIA,DATOS!$A2944,nCURSO,DATOS!$D2944,nESPEC,DATOS!$E2944,nASIG,DATOS!$I2944,nEVAL,"EX")=0),0))))</f>
      </c>
      <c r="H2944">
        <f>IF(DATOS!$G2944&lt;&gt;"EX",0,--(COUNTIFS(nNIA,DATOS!$A2944,nCURSO,DATOS!$D2944,nESPEC,DATOS!$E2944,nASIG,DATOS!$I2944,nEVAL,"OR")=0))</f>
      </c>
      <c r="I2944">
        <f>IF(DATOS!$I2944="","",IFERROR(VLOOKUP(DATOS!$I2944,CONFIG_ASIGNATURAS!$B$2:$J$91,9,FALSE()),""))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IF(DATOS!$A2945="",0,IF(CONFIG_METADATA!$B$4&lt;&gt;"OR+EX",--(DATOS!$G2945=CONFIG_METADATA!$B$4),IF(DATOS!$G2945="EX",1,IF(DATOS!$G2945="OR",--(COUNTIFS(nNIA,DATOS!$A2945,nCURSO,DATOS!$D2945,nESPEC,DATOS!$E2945,nASIG,DATOS!$I2945,nEVAL,"EX")=0),0))))</f>
      </c>
      <c r="H2945">
        <f>IF(DATOS!$G2945&lt;&gt;"EX",0,--(COUNTIFS(nNIA,DATOS!$A2945,nCURSO,DATOS!$D2945,nESPEC,DATOS!$E2945,nASIG,DATOS!$I2945,nEVAL,"OR")=0))</f>
      </c>
      <c r="I2945">
        <f>IF(DATOS!$I2945="","",IFERROR(VLOOKUP(DATOS!$I2945,CONFIG_ASIGNATURAS!$B$2:$J$91,9,FALSE()),""))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IF(DATOS!$A2946="",0,IF(CONFIG_METADATA!$B$4&lt;&gt;"OR+EX",--(DATOS!$G2946=CONFIG_METADATA!$B$4),IF(DATOS!$G2946="EX",1,IF(DATOS!$G2946="OR",--(COUNTIFS(nNIA,DATOS!$A2946,nCURSO,DATOS!$D2946,nESPEC,DATOS!$E2946,nASIG,DATOS!$I2946,nEVAL,"EX")=0),0))))</f>
      </c>
      <c r="H2946">
        <f>IF(DATOS!$G2946&lt;&gt;"EX",0,--(COUNTIFS(nNIA,DATOS!$A2946,nCURSO,DATOS!$D2946,nESPEC,DATOS!$E2946,nASIG,DATOS!$I2946,nEVAL,"OR")=0))</f>
      </c>
      <c r="I2946">
        <f>IF(DATOS!$I2946="","",IFERROR(VLOOKUP(DATOS!$I2946,CONFIG_ASIGNATURAS!$B$2:$J$91,9,FALSE()),""))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IF(DATOS!$A2947="",0,IF(CONFIG_METADATA!$B$4&lt;&gt;"OR+EX",--(DATOS!$G2947=CONFIG_METADATA!$B$4),IF(DATOS!$G2947="EX",1,IF(DATOS!$G2947="OR",--(COUNTIFS(nNIA,DATOS!$A2947,nCURSO,DATOS!$D2947,nESPEC,DATOS!$E2947,nASIG,DATOS!$I2947,nEVAL,"EX")=0),0))))</f>
      </c>
      <c r="H2947">
        <f>IF(DATOS!$G2947&lt;&gt;"EX",0,--(COUNTIFS(nNIA,DATOS!$A2947,nCURSO,DATOS!$D2947,nESPEC,DATOS!$E2947,nASIG,DATOS!$I2947,nEVAL,"OR")=0))</f>
      </c>
      <c r="I2947">
        <f>IF(DATOS!$I2947="","",IFERROR(VLOOKUP(DATOS!$I2947,CONFIG_ASIGNATURAS!$B$2:$J$91,9,FALSE()),""))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IF(DATOS!$A2948="",0,IF(CONFIG_METADATA!$B$4&lt;&gt;"OR+EX",--(DATOS!$G2948=CONFIG_METADATA!$B$4),IF(DATOS!$G2948="EX",1,IF(DATOS!$G2948="OR",--(COUNTIFS(nNIA,DATOS!$A2948,nCURSO,DATOS!$D2948,nESPEC,DATOS!$E2948,nASIG,DATOS!$I2948,nEVAL,"EX")=0),0))))</f>
      </c>
      <c r="H2948">
        <f>IF(DATOS!$G2948&lt;&gt;"EX",0,--(COUNTIFS(nNIA,DATOS!$A2948,nCURSO,DATOS!$D2948,nESPEC,DATOS!$E2948,nASIG,DATOS!$I2948,nEVAL,"OR")=0))</f>
      </c>
      <c r="I2948">
        <f>IF(DATOS!$I2948="","",IFERROR(VLOOKUP(DATOS!$I2948,CONFIG_ASIGNATURAS!$B$2:$J$91,9,FALSE()),""))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IF(DATOS!$A2949="",0,IF(CONFIG_METADATA!$B$4&lt;&gt;"OR+EX",--(DATOS!$G2949=CONFIG_METADATA!$B$4),IF(DATOS!$G2949="EX",1,IF(DATOS!$G2949="OR",--(COUNTIFS(nNIA,DATOS!$A2949,nCURSO,DATOS!$D2949,nESPEC,DATOS!$E2949,nASIG,DATOS!$I2949,nEVAL,"EX")=0),0))))</f>
      </c>
      <c r="H2949">
        <f>IF(DATOS!$G2949&lt;&gt;"EX",0,--(COUNTIFS(nNIA,DATOS!$A2949,nCURSO,DATOS!$D2949,nESPEC,DATOS!$E2949,nASIG,DATOS!$I2949,nEVAL,"OR")=0))</f>
      </c>
      <c r="I2949">
        <f>IF(DATOS!$I2949="","",IFERROR(VLOOKUP(DATOS!$I2949,CONFIG_ASIGNATURAS!$B$2:$J$91,9,FALSE()),""))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IF(DATOS!$A2950="",0,IF(CONFIG_METADATA!$B$4&lt;&gt;"OR+EX",--(DATOS!$G2950=CONFIG_METADATA!$B$4),IF(DATOS!$G2950="EX",1,IF(DATOS!$G2950="OR",--(COUNTIFS(nNIA,DATOS!$A2950,nCURSO,DATOS!$D2950,nESPEC,DATOS!$E2950,nASIG,DATOS!$I2950,nEVAL,"EX")=0),0))))</f>
      </c>
      <c r="H2950">
        <f>IF(DATOS!$G2950&lt;&gt;"EX",0,--(COUNTIFS(nNIA,DATOS!$A2950,nCURSO,DATOS!$D2950,nESPEC,DATOS!$E2950,nASIG,DATOS!$I2950,nEVAL,"OR")=0))</f>
      </c>
      <c r="I2950">
        <f>IF(DATOS!$I2950="","",IFERROR(VLOOKUP(DATOS!$I2950,CONFIG_ASIGNATURAS!$B$2:$J$91,9,FALSE()),""))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IF(DATOS!$A2951="",0,IF(CONFIG_METADATA!$B$4&lt;&gt;"OR+EX",--(DATOS!$G2951=CONFIG_METADATA!$B$4),IF(DATOS!$G2951="EX",1,IF(DATOS!$G2951="OR",--(COUNTIFS(nNIA,DATOS!$A2951,nCURSO,DATOS!$D2951,nESPEC,DATOS!$E2951,nASIG,DATOS!$I2951,nEVAL,"EX")=0),0))))</f>
      </c>
      <c r="H2951">
        <f>IF(DATOS!$G2951&lt;&gt;"EX",0,--(COUNTIFS(nNIA,DATOS!$A2951,nCURSO,DATOS!$D2951,nESPEC,DATOS!$E2951,nASIG,DATOS!$I2951,nEVAL,"OR")=0))</f>
      </c>
      <c r="I2951">
        <f>IF(DATOS!$I2951="","",IFERROR(VLOOKUP(DATOS!$I2951,CONFIG_ASIGNATURAS!$B$2:$J$91,9,FALSE()),""))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IF(DATOS!$A2952="",0,IF(CONFIG_METADATA!$B$4&lt;&gt;"OR+EX",--(DATOS!$G2952=CONFIG_METADATA!$B$4),IF(DATOS!$G2952="EX",1,IF(DATOS!$G2952="OR",--(COUNTIFS(nNIA,DATOS!$A2952,nCURSO,DATOS!$D2952,nESPEC,DATOS!$E2952,nASIG,DATOS!$I2952,nEVAL,"EX")=0),0))))</f>
      </c>
      <c r="H2952">
        <f>IF(DATOS!$G2952&lt;&gt;"EX",0,--(COUNTIFS(nNIA,DATOS!$A2952,nCURSO,DATOS!$D2952,nESPEC,DATOS!$E2952,nASIG,DATOS!$I2952,nEVAL,"OR")=0))</f>
      </c>
      <c r="I2952">
        <f>IF(DATOS!$I2952="","",IFERROR(VLOOKUP(DATOS!$I2952,CONFIG_ASIGNATURAS!$B$2:$J$91,9,FALSE()),""))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IF(DATOS!$A2953="",0,IF(CONFIG_METADATA!$B$4&lt;&gt;"OR+EX",--(DATOS!$G2953=CONFIG_METADATA!$B$4),IF(DATOS!$G2953="EX",1,IF(DATOS!$G2953="OR",--(COUNTIFS(nNIA,DATOS!$A2953,nCURSO,DATOS!$D2953,nESPEC,DATOS!$E2953,nASIG,DATOS!$I2953,nEVAL,"EX")=0),0))))</f>
      </c>
      <c r="H2953">
        <f>IF(DATOS!$G2953&lt;&gt;"EX",0,--(COUNTIFS(nNIA,DATOS!$A2953,nCURSO,DATOS!$D2953,nESPEC,DATOS!$E2953,nASIG,DATOS!$I2953,nEVAL,"OR")=0))</f>
      </c>
      <c r="I2953">
        <f>IF(DATOS!$I2953="","",IFERROR(VLOOKUP(DATOS!$I2953,CONFIG_ASIGNATURAS!$B$2:$J$91,9,FALSE()),""))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IF(DATOS!$A2954="",0,IF(CONFIG_METADATA!$B$4&lt;&gt;"OR+EX",--(DATOS!$G2954=CONFIG_METADATA!$B$4),IF(DATOS!$G2954="EX",1,IF(DATOS!$G2954="OR",--(COUNTIFS(nNIA,DATOS!$A2954,nCURSO,DATOS!$D2954,nESPEC,DATOS!$E2954,nASIG,DATOS!$I2954,nEVAL,"EX")=0),0))))</f>
      </c>
      <c r="H2954">
        <f>IF(DATOS!$G2954&lt;&gt;"EX",0,--(COUNTIFS(nNIA,DATOS!$A2954,nCURSO,DATOS!$D2954,nESPEC,DATOS!$E2954,nASIG,DATOS!$I2954,nEVAL,"OR")=0))</f>
      </c>
      <c r="I2954">
        <f>IF(DATOS!$I2954="","",IFERROR(VLOOKUP(DATOS!$I2954,CONFIG_ASIGNATURAS!$B$2:$J$91,9,FALSE()),""))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IF(DATOS!$A2955="",0,IF(CONFIG_METADATA!$B$4&lt;&gt;"OR+EX",--(DATOS!$G2955=CONFIG_METADATA!$B$4),IF(DATOS!$G2955="EX",1,IF(DATOS!$G2955="OR",--(COUNTIFS(nNIA,DATOS!$A2955,nCURSO,DATOS!$D2955,nESPEC,DATOS!$E2955,nASIG,DATOS!$I2955,nEVAL,"EX")=0),0))))</f>
      </c>
      <c r="H2955">
        <f>IF(DATOS!$G2955&lt;&gt;"EX",0,--(COUNTIFS(nNIA,DATOS!$A2955,nCURSO,DATOS!$D2955,nESPEC,DATOS!$E2955,nASIG,DATOS!$I2955,nEVAL,"OR")=0))</f>
      </c>
      <c r="I2955">
        <f>IF(DATOS!$I2955="","",IFERROR(VLOOKUP(DATOS!$I2955,CONFIG_ASIGNATURAS!$B$2:$J$91,9,FALSE()),""))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IF(DATOS!$A2956="",0,IF(CONFIG_METADATA!$B$4&lt;&gt;"OR+EX",--(DATOS!$G2956=CONFIG_METADATA!$B$4),IF(DATOS!$G2956="EX",1,IF(DATOS!$G2956="OR",--(COUNTIFS(nNIA,DATOS!$A2956,nCURSO,DATOS!$D2956,nESPEC,DATOS!$E2956,nASIG,DATOS!$I2956,nEVAL,"EX")=0),0))))</f>
      </c>
      <c r="H2956">
        <f>IF(DATOS!$G2956&lt;&gt;"EX",0,--(COUNTIFS(nNIA,DATOS!$A2956,nCURSO,DATOS!$D2956,nESPEC,DATOS!$E2956,nASIG,DATOS!$I2956,nEVAL,"OR")=0))</f>
      </c>
      <c r="I2956">
        <f>IF(DATOS!$I2956="","",IFERROR(VLOOKUP(DATOS!$I2956,CONFIG_ASIGNATURAS!$B$2:$J$91,9,FALSE()),""))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IF(DATOS!$A2957="",0,IF(CONFIG_METADATA!$B$4&lt;&gt;"OR+EX",--(DATOS!$G2957=CONFIG_METADATA!$B$4),IF(DATOS!$G2957="EX",1,IF(DATOS!$G2957="OR",--(COUNTIFS(nNIA,DATOS!$A2957,nCURSO,DATOS!$D2957,nESPEC,DATOS!$E2957,nASIG,DATOS!$I2957,nEVAL,"EX")=0),0))))</f>
      </c>
      <c r="H2957">
        <f>IF(DATOS!$G2957&lt;&gt;"EX",0,--(COUNTIFS(nNIA,DATOS!$A2957,nCURSO,DATOS!$D2957,nESPEC,DATOS!$E2957,nASIG,DATOS!$I2957,nEVAL,"OR")=0))</f>
      </c>
      <c r="I2957">
        <f>IF(DATOS!$I2957="","",IFERROR(VLOOKUP(DATOS!$I2957,CONFIG_ASIGNATURAS!$B$2:$J$91,9,FALSE()),""))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IF(DATOS!$A2958="",0,IF(CONFIG_METADATA!$B$4&lt;&gt;"OR+EX",--(DATOS!$G2958=CONFIG_METADATA!$B$4),IF(DATOS!$G2958="EX",1,IF(DATOS!$G2958="OR",--(COUNTIFS(nNIA,DATOS!$A2958,nCURSO,DATOS!$D2958,nESPEC,DATOS!$E2958,nASIG,DATOS!$I2958,nEVAL,"EX")=0),0))))</f>
      </c>
      <c r="H2958">
        <f>IF(DATOS!$G2958&lt;&gt;"EX",0,--(COUNTIFS(nNIA,DATOS!$A2958,nCURSO,DATOS!$D2958,nESPEC,DATOS!$E2958,nASIG,DATOS!$I2958,nEVAL,"OR")=0))</f>
      </c>
      <c r="I2958">
        <f>IF(DATOS!$I2958="","",IFERROR(VLOOKUP(DATOS!$I2958,CONFIG_ASIGNATURAS!$B$2:$J$91,9,FALSE()),""))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IF(DATOS!$A2959="",0,IF(CONFIG_METADATA!$B$4&lt;&gt;"OR+EX",--(DATOS!$G2959=CONFIG_METADATA!$B$4),IF(DATOS!$G2959="EX",1,IF(DATOS!$G2959="OR",--(COUNTIFS(nNIA,DATOS!$A2959,nCURSO,DATOS!$D2959,nESPEC,DATOS!$E2959,nASIG,DATOS!$I2959,nEVAL,"EX")=0),0))))</f>
      </c>
      <c r="H2959">
        <f>IF(DATOS!$G2959&lt;&gt;"EX",0,--(COUNTIFS(nNIA,DATOS!$A2959,nCURSO,DATOS!$D2959,nESPEC,DATOS!$E2959,nASIG,DATOS!$I2959,nEVAL,"OR")=0))</f>
      </c>
      <c r="I2959">
        <f>IF(DATOS!$I2959="","",IFERROR(VLOOKUP(DATOS!$I2959,CONFIG_ASIGNATURAS!$B$2:$J$91,9,FALSE()),""))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IF(DATOS!$A2960="",0,IF(CONFIG_METADATA!$B$4&lt;&gt;"OR+EX",--(DATOS!$G2960=CONFIG_METADATA!$B$4),IF(DATOS!$G2960="EX",1,IF(DATOS!$G2960="OR",--(COUNTIFS(nNIA,DATOS!$A2960,nCURSO,DATOS!$D2960,nESPEC,DATOS!$E2960,nASIG,DATOS!$I2960,nEVAL,"EX")=0),0))))</f>
      </c>
      <c r="H2960">
        <f>IF(DATOS!$G2960&lt;&gt;"EX",0,--(COUNTIFS(nNIA,DATOS!$A2960,nCURSO,DATOS!$D2960,nESPEC,DATOS!$E2960,nASIG,DATOS!$I2960,nEVAL,"OR")=0))</f>
      </c>
      <c r="I2960">
        <f>IF(DATOS!$I2960="","",IFERROR(VLOOKUP(DATOS!$I2960,CONFIG_ASIGNATURAS!$B$2:$J$91,9,FALSE()),""))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IF(DATOS!$A2961="",0,IF(CONFIG_METADATA!$B$4&lt;&gt;"OR+EX",--(DATOS!$G2961=CONFIG_METADATA!$B$4),IF(DATOS!$G2961="EX",1,IF(DATOS!$G2961="OR",--(COUNTIFS(nNIA,DATOS!$A2961,nCURSO,DATOS!$D2961,nESPEC,DATOS!$E2961,nASIG,DATOS!$I2961,nEVAL,"EX")=0),0))))</f>
      </c>
      <c r="H2961">
        <f>IF(DATOS!$G2961&lt;&gt;"EX",0,--(COUNTIFS(nNIA,DATOS!$A2961,nCURSO,DATOS!$D2961,nESPEC,DATOS!$E2961,nASIG,DATOS!$I2961,nEVAL,"OR")=0))</f>
      </c>
      <c r="I2961">
        <f>IF(DATOS!$I2961="","",IFERROR(VLOOKUP(DATOS!$I2961,CONFIG_ASIGNATURAS!$B$2:$J$91,9,FALSE()),""))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IF(DATOS!$A2962="",0,IF(CONFIG_METADATA!$B$4&lt;&gt;"OR+EX",--(DATOS!$G2962=CONFIG_METADATA!$B$4),IF(DATOS!$G2962="EX",1,IF(DATOS!$G2962="OR",--(COUNTIFS(nNIA,DATOS!$A2962,nCURSO,DATOS!$D2962,nESPEC,DATOS!$E2962,nASIG,DATOS!$I2962,nEVAL,"EX")=0),0))))</f>
      </c>
      <c r="H2962">
        <f>IF(DATOS!$G2962&lt;&gt;"EX",0,--(COUNTIFS(nNIA,DATOS!$A2962,nCURSO,DATOS!$D2962,nESPEC,DATOS!$E2962,nASIG,DATOS!$I2962,nEVAL,"OR")=0))</f>
      </c>
      <c r="I2962">
        <f>IF(DATOS!$I2962="","",IFERROR(VLOOKUP(DATOS!$I2962,CONFIG_ASIGNATURAS!$B$2:$J$91,9,FALSE()),""))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IF(DATOS!$A2963="",0,IF(CONFIG_METADATA!$B$4&lt;&gt;"OR+EX",--(DATOS!$G2963=CONFIG_METADATA!$B$4),IF(DATOS!$G2963="EX",1,IF(DATOS!$G2963="OR",--(COUNTIFS(nNIA,DATOS!$A2963,nCURSO,DATOS!$D2963,nESPEC,DATOS!$E2963,nASIG,DATOS!$I2963,nEVAL,"EX")=0),0))))</f>
      </c>
      <c r="H2963">
        <f>IF(DATOS!$G2963&lt;&gt;"EX",0,--(COUNTIFS(nNIA,DATOS!$A2963,nCURSO,DATOS!$D2963,nESPEC,DATOS!$E2963,nASIG,DATOS!$I2963,nEVAL,"OR")=0))</f>
      </c>
      <c r="I2963">
        <f>IF(DATOS!$I2963="","",IFERROR(VLOOKUP(DATOS!$I2963,CONFIG_ASIGNATURAS!$B$2:$J$91,9,FALSE()),""))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IF(DATOS!$A2964="",0,IF(CONFIG_METADATA!$B$4&lt;&gt;"OR+EX",--(DATOS!$G2964=CONFIG_METADATA!$B$4),IF(DATOS!$G2964="EX",1,IF(DATOS!$G2964="OR",--(COUNTIFS(nNIA,DATOS!$A2964,nCURSO,DATOS!$D2964,nESPEC,DATOS!$E2964,nASIG,DATOS!$I2964,nEVAL,"EX")=0),0))))</f>
      </c>
      <c r="H2964">
        <f>IF(DATOS!$G2964&lt;&gt;"EX",0,--(COUNTIFS(nNIA,DATOS!$A2964,nCURSO,DATOS!$D2964,nESPEC,DATOS!$E2964,nASIG,DATOS!$I2964,nEVAL,"OR")=0))</f>
      </c>
      <c r="I2964">
        <f>IF(DATOS!$I2964="","",IFERROR(VLOOKUP(DATOS!$I2964,CONFIG_ASIGNATURAS!$B$2:$J$91,9,FALSE()),""))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IF(DATOS!$A2965="",0,IF(CONFIG_METADATA!$B$4&lt;&gt;"OR+EX",--(DATOS!$G2965=CONFIG_METADATA!$B$4),IF(DATOS!$G2965="EX",1,IF(DATOS!$G2965="OR",--(COUNTIFS(nNIA,DATOS!$A2965,nCURSO,DATOS!$D2965,nESPEC,DATOS!$E2965,nASIG,DATOS!$I2965,nEVAL,"EX")=0),0))))</f>
      </c>
      <c r="H2965">
        <f>IF(DATOS!$G2965&lt;&gt;"EX",0,--(COUNTIFS(nNIA,DATOS!$A2965,nCURSO,DATOS!$D2965,nESPEC,DATOS!$E2965,nASIG,DATOS!$I2965,nEVAL,"OR")=0))</f>
      </c>
      <c r="I2965">
        <f>IF(DATOS!$I2965="","",IFERROR(VLOOKUP(DATOS!$I2965,CONFIG_ASIGNATURAS!$B$2:$J$91,9,FALSE()),""))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IF(DATOS!$A2966="",0,IF(CONFIG_METADATA!$B$4&lt;&gt;"OR+EX",--(DATOS!$G2966=CONFIG_METADATA!$B$4),IF(DATOS!$G2966="EX",1,IF(DATOS!$G2966="OR",--(COUNTIFS(nNIA,DATOS!$A2966,nCURSO,DATOS!$D2966,nESPEC,DATOS!$E2966,nASIG,DATOS!$I2966,nEVAL,"EX")=0),0))))</f>
      </c>
      <c r="H2966">
        <f>IF(DATOS!$G2966&lt;&gt;"EX",0,--(COUNTIFS(nNIA,DATOS!$A2966,nCURSO,DATOS!$D2966,nESPEC,DATOS!$E2966,nASIG,DATOS!$I2966,nEVAL,"OR")=0))</f>
      </c>
      <c r="I2966">
        <f>IF(DATOS!$I2966="","",IFERROR(VLOOKUP(DATOS!$I2966,CONFIG_ASIGNATURAS!$B$2:$J$91,9,FALSE()),""))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IF(DATOS!$A2967="",0,IF(CONFIG_METADATA!$B$4&lt;&gt;"OR+EX",--(DATOS!$G2967=CONFIG_METADATA!$B$4),IF(DATOS!$G2967="EX",1,IF(DATOS!$G2967="OR",--(COUNTIFS(nNIA,DATOS!$A2967,nCURSO,DATOS!$D2967,nESPEC,DATOS!$E2967,nASIG,DATOS!$I2967,nEVAL,"EX")=0),0))))</f>
      </c>
      <c r="H2967">
        <f>IF(DATOS!$G2967&lt;&gt;"EX",0,--(COUNTIFS(nNIA,DATOS!$A2967,nCURSO,DATOS!$D2967,nESPEC,DATOS!$E2967,nASIG,DATOS!$I2967,nEVAL,"OR")=0))</f>
      </c>
      <c r="I2967">
        <f>IF(DATOS!$I2967="","",IFERROR(VLOOKUP(DATOS!$I2967,CONFIG_ASIGNATURAS!$B$2:$J$91,9,FALSE()),""))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IF(DATOS!$A2968="",0,IF(CONFIG_METADATA!$B$4&lt;&gt;"OR+EX",--(DATOS!$G2968=CONFIG_METADATA!$B$4),IF(DATOS!$G2968="EX",1,IF(DATOS!$G2968="OR",--(COUNTIFS(nNIA,DATOS!$A2968,nCURSO,DATOS!$D2968,nESPEC,DATOS!$E2968,nASIG,DATOS!$I2968,nEVAL,"EX")=0),0))))</f>
      </c>
      <c r="H2968">
        <f>IF(DATOS!$G2968&lt;&gt;"EX",0,--(COUNTIFS(nNIA,DATOS!$A2968,nCURSO,DATOS!$D2968,nESPEC,DATOS!$E2968,nASIG,DATOS!$I2968,nEVAL,"OR")=0))</f>
      </c>
      <c r="I2968">
        <f>IF(DATOS!$I2968="","",IFERROR(VLOOKUP(DATOS!$I2968,CONFIG_ASIGNATURAS!$B$2:$J$91,9,FALSE()),""))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IF(DATOS!$A2969="",0,IF(CONFIG_METADATA!$B$4&lt;&gt;"OR+EX",--(DATOS!$G2969=CONFIG_METADATA!$B$4),IF(DATOS!$G2969="EX",1,IF(DATOS!$G2969="OR",--(COUNTIFS(nNIA,DATOS!$A2969,nCURSO,DATOS!$D2969,nESPEC,DATOS!$E2969,nASIG,DATOS!$I2969,nEVAL,"EX")=0),0))))</f>
      </c>
      <c r="H2969">
        <f>IF(DATOS!$G2969&lt;&gt;"EX",0,--(COUNTIFS(nNIA,DATOS!$A2969,nCURSO,DATOS!$D2969,nESPEC,DATOS!$E2969,nASIG,DATOS!$I2969,nEVAL,"OR")=0))</f>
      </c>
      <c r="I2969">
        <f>IF(DATOS!$I2969="","",IFERROR(VLOOKUP(DATOS!$I2969,CONFIG_ASIGNATURAS!$B$2:$J$91,9,FALSE()),""))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IF(DATOS!$A2970="",0,IF(CONFIG_METADATA!$B$4&lt;&gt;"OR+EX",--(DATOS!$G2970=CONFIG_METADATA!$B$4),IF(DATOS!$G2970="EX",1,IF(DATOS!$G2970="OR",--(COUNTIFS(nNIA,DATOS!$A2970,nCURSO,DATOS!$D2970,nESPEC,DATOS!$E2970,nASIG,DATOS!$I2970,nEVAL,"EX")=0),0))))</f>
      </c>
      <c r="H2970">
        <f>IF(DATOS!$G2970&lt;&gt;"EX",0,--(COUNTIFS(nNIA,DATOS!$A2970,nCURSO,DATOS!$D2970,nESPEC,DATOS!$E2970,nASIG,DATOS!$I2970,nEVAL,"OR")=0))</f>
      </c>
      <c r="I2970">
        <f>IF(DATOS!$I2970="","",IFERROR(VLOOKUP(DATOS!$I2970,CONFIG_ASIGNATURAS!$B$2:$J$91,9,FALSE()),""))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IF(DATOS!$A2971="",0,IF(CONFIG_METADATA!$B$4&lt;&gt;"OR+EX",--(DATOS!$G2971=CONFIG_METADATA!$B$4),IF(DATOS!$G2971="EX",1,IF(DATOS!$G2971="OR",--(COUNTIFS(nNIA,DATOS!$A2971,nCURSO,DATOS!$D2971,nESPEC,DATOS!$E2971,nASIG,DATOS!$I2971,nEVAL,"EX")=0),0))))</f>
      </c>
      <c r="H2971">
        <f>IF(DATOS!$G2971&lt;&gt;"EX",0,--(COUNTIFS(nNIA,DATOS!$A2971,nCURSO,DATOS!$D2971,nESPEC,DATOS!$E2971,nASIG,DATOS!$I2971,nEVAL,"OR")=0))</f>
      </c>
      <c r="I2971">
        <f>IF(DATOS!$I2971="","",IFERROR(VLOOKUP(DATOS!$I2971,CONFIG_ASIGNATURAS!$B$2:$J$91,9,FALSE()),""))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IF(DATOS!$A2972="",0,IF(CONFIG_METADATA!$B$4&lt;&gt;"OR+EX",--(DATOS!$G2972=CONFIG_METADATA!$B$4),IF(DATOS!$G2972="EX",1,IF(DATOS!$G2972="OR",--(COUNTIFS(nNIA,DATOS!$A2972,nCURSO,DATOS!$D2972,nESPEC,DATOS!$E2972,nASIG,DATOS!$I2972,nEVAL,"EX")=0),0))))</f>
      </c>
      <c r="H2972">
        <f>IF(DATOS!$G2972&lt;&gt;"EX",0,--(COUNTIFS(nNIA,DATOS!$A2972,nCURSO,DATOS!$D2972,nESPEC,DATOS!$E2972,nASIG,DATOS!$I2972,nEVAL,"OR")=0))</f>
      </c>
      <c r="I2972">
        <f>IF(DATOS!$I2972="","",IFERROR(VLOOKUP(DATOS!$I2972,CONFIG_ASIGNATURAS!$B$2:$J$91,9,FALSE()),""))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IF(DATOS!$A2973="",0,IF(CONFIG_METADATA!$B$4&lt;&gt;"OR+EX",--(DATOS!$G2973=CONFIG_METADATA!$B$4),IF(DATOS!$G2973="EX",1,IF(DATOS!$G2973="OR",--(COUNTIFS(nNIA,DATOS!$A2973,nCURSO,DATOS!$D2973,nESPEC,DATOS!$E2973,nASIG,DATOS!$I2973,nEVAL,"EX")=0),0))))</f>
      </c>
      <c r="H2973">
        <f>IF(DATOS!$G2973&lt;&gt;"EX",0,--(COUNTIFS(nNIA,DATOS!$A2973,nCURSO,DATOS!$D2973,nESPEC,DATOS!$E2973,nASIG,DATOS!$I2973,nEVAL,"OR")=0))</f>
      </c>
      <c r="I2973">
        <f>IF(DATOS!$I2973="","",IFERROR(VLOOKUP(DATOS!$I2973,CONFIG_ASIGNATURAS!$B$2:$J$91,9,FALSE()),""))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IF(DATOS!$A2974="",0,IF(CONFIG_METADATA!$B$4&lt;&gt;"OR+EX",--(DATOS!$G2974=CONFIG_METADATA!$B$4),IF(DATOS!$G2974="EX",1,IF(DATOS!$G2974="OR",--(COUNTIFS(nNIA,DATOS!$A2974,nCURSO,DATOS!$D2974,nESPEC,DATOS!$E2974,nASIG,DATOS!$I2974,nEVAL,"EX")=0),0))))</f>
      </c>
      <c r="H2974">
        <f>IF(DATOS!$G2974&lt;&gt;"EX",0,--(COUNTIFS(nNIA,DATOS!$A2974,nCURSO,DATOS!$D2974,nESPEC,DATOS!$E2974,nASIG,DATOS!$I2974,nEVAL,"OR")=0))</f>
      </c>
      <c r="I2974">
        <f>IF(DATOS!$I2974="","",IFERROR(VLOOKUP(DATOS!$I2974,CONFIG_ASIGNATURAS!$B$2:$J$91,9,FALSE()),""))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IF(DATOS!$A2975="",0,IF(CONFIG_METADATA!$B$4&lt;&gt;"OR+EX",--(DATOS!$G2975=CONFIG_METADATA!$B$4),IF(DATOS!$G2975="EX",1,IF(DATOS!$G2975="OR",--(COUNTIFS(nNIA,DATOS!$A2975,nCURSO,DATOS!$D2975,nESPEC,DATOS!$E2975,nASIG,DATOS!$I2975,nEVAL,"EX")=0),0))))</f>
      </c>
      <c r="H2975">
        <f>IF(DATOS!$G2975&lt;&gt;"EX",0,--(COUNTIFS(nNIA,DATOS!$A2975,nCURSO,DATOS!$D2975,nESPEC,DATOS!$E2975,nASIG,DATOS!$I2975,nEVAL,"OR")=0))</f>
      </c>
      <c r="I2975">
        <f>IF(DATOS!$I2975="","",IFERROR(VLOOKUP(DATOS!$I2975,CONFIG_ASIGNATURAS!$B$2:$J$91,9,FALSE()),""))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IF(DATOS!$A2976="",0,IF(CONFIG_METADATA!$B$4&lt;&gt;"OR+EX",--(DATOS!$G2976=CONFIG_METADATA!$B$4),IF(DATOS!$G2976="EX",1,IF(DATOS!$G2976="OR",--(COUNTIFS(nNIA,DATOS!$A2976,nCURSO,DATOS!$D2976,nESPEC,DATOS!$E2976,nASIG,DATOS!$I2976,nEVAL,"EX")=0),0))))</f>
      </c>
      <c r="H2976">
        <f>IF(DATOS!$G2976&lt;&gt;"EX",0,--(COUNTIFS(nNIA,DATOS!$A2976,nCURSO,DATOS!$D2976,nESPEC,DATOS!$E2976,nASIG,DATOS!$I2976,nEVAL,"OR")=0))</f>
      </c>
      <c r="I2976">
        <f>IF(DATOS!$I2976="","",IFERROR(VLOOKUP(DATOS!$I2976,CONFIG_ASIGNATURAS!$B$2:$J$91,9,FALSE()),""))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IF(DATOS!$A2977="",0,IF(CONFIG_METADATA!$B$4&lt;&gt;"OR+EX",--(DATOS!$G2977=CONFIG_METADATA!$B$4),IF(DATOS!$G2977="EX",1,IF(DATOS!$G2977="OR",--(COUNTIFS(nNIA,DATOS!$A2977,nCURSO,DATOS!$D2977,nESPEC,DATOS!$E2977,nASIG,DATOS!$I2977,nEVAL,"EX")=0),0))))</f>
      </c>
      <c r="H2977">
        <f>IF(DATOS!$G2977&lt;&gt;"EX",0,--(COUNTIFS(nNIA,DATOS!$A2977,nCURSO,DATOS!$D2977,nESPEC,DATOS!$E2977,nASIG,DATOS!$I2977,nEVAL,"OR")=0))</f>
      </c>
      <c r="I2977">
        <f>IF(DATOS!$I2977="","",IFERROR(VLOOKUP(DATOS!$I2977,CONFIG_ASIGNATURAS!$B$2:$J$91,9,FALSE()),""))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IF(DATOS!$A2978="",0,IF(CONFIG_METADATA!$B$4&lt;&gt;"OR+EX",--(DATOS!$G2978=CONFIG_METADATA!$B$4),IF(DATOS!$G2978="EX",1,IF(DATOS!$G2978="OR",--(COUNTIFS(nNIA,DATOS!$A2978,nCURSO,DATOS!$D2978,nESPEC,DATOS!$E2978,nASIG,DATOS!$I2978,nEVAL,"EX")=0),0))))</f>
      </c>
      <c r="H2978">
        <f>IF(DATOS!$G2978&lt;&gt;"EX",0,--(COUNTIFS(nNIA,DATOS!$A2978,nCURSO,DATOS!$D2978,nESPEC,DATOS!$E2978,nASIG,DATOS!$I2978,nEVAL,"OR")=0))</f>
      </c>
      <c r="I2978">
        <f>IF(DATOS!$I2978="","",IFERROR(VLOOKUP(DATOS!$I2978,CONFIG_ASIGNATURAS!$B$2:$J$91,9,FALSE()),""))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IF(DATOS!$A2979="",0,IF(CONFIG_METADATA!$B$4&lt;&gt;"OR+EX",--(DATOS!$G2979=CONFIG_METADATA!$B$4),IF(DATOS!$G2979="EX",1,IF(DATOS!$G2979="OR",--(COUNTIFS(nNIA,DATOS!$A2979,nCURSO,DATOS!$D2979,nESPEC,DATOS!$E2979,nASIG,DATOS!$I2979,nEVAL,"EX")=0),0))))</f>
      </c>
      <c r="H2979">
        <f>IF(DATOS!$G2979&lt;&gt;"EX",0,--(COUNTIFS(nNIA,DATOS!$A2979,nCURSO,DATOS!$D2979,nESPEC,DATOS!$E2979,nASIG,DATOS!$I2979,nEVAL,"OR")=0))</f>
      </c>
      <c r="I2979">
        <f>IF(DATOS!$I2979="","",IFERROR(VLOOKUP(DATOS!$I2979,CONFIG_ASIGNATURAS!$B$2:$J$91,9,FALSE()),""))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IF(DATOS!$A2980="",0,IF(CONFIG_METADATA!$B$4&lt;&gt;"OR+EX",--(DATOS!$G2980=CONFIG_METADATA!$B$4),IF(DATOS!$G2980="EX",1,IF(DATOS!$G2980="OR",--(COUNTIFS(nNIA,DATOS!$A2980,nCURSO,DATOS!$D2980,nESPEC,DATOS!$E2980,nASIG,DATOS!$I2980,nEVAL,"EX")=0),0))))</f>
      </c>
      <c r="H2980">
        <f>IF(DATOS!$G2980&lt;&gt;"EX",0,--(COUNTIFS(nNIA,DATOS!$A2980,nCURSO,DATOS!$D2980,nESPEC,DATOS!$E2980,nASIG,DATOS!$I2980,nEVAL,"OR")=0))</f>
      </c>
      <c r="I2980">
        <f>IF(DATOS!$I2980="","",IFERROR(VLOOKUP(DATOS!$I2980,CONFIG_ASIGNATURAS!$B$2:$J$91,9,FALSE()),""))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IF(DATOS!$A2981="",0,IF(CONFIG_METADATA!$B$4&lt;&gt;"OR+EX",--(DATOS!$G2981=CONFIG_METADATA!$B$4),IF(DATOS!$G2981="EX",1,IF(DATOS!$G2981="OR",--(COUNTIFS(nNIA,DATOS!$A2981,nCURSO,DATOS!$D2981,nESPEC,DATOS!$E2981,nASIG,DATOS!$I2981,nEVAL,"EX")=0),0))))</f>
      </c>
      <c r="H2981">
        <f>IF(DATOS!$G2981&lt;&gt;"EX",0,--(COUNTIFS(nNIA,DATOS!$A2981,nCURSO,DATOS!$D2981,nESPEC,DATOS!$E2981,nASIG,DATOS!$I2981,nEVAL,"OR")=0))</f>
      </c>
      <c r="I2981">
        <f>IF(DATOS!$I2981="","",IFERROR(VLOOKUP(DATOS!$I2981,CONFIG_ASIGNATURAS!$B$2:$J$91,9,FALSE()),""))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IF(DATOS!$A2982="",0,IF(CONFIG_METADATA!$B$4&lt;&gt;"OR+EX",--(DATOS!$G2982=CONFIG_METADATA!$B$4),IF(DATOS!$G2982="EX",1,IF(DATOS!$G2982="OR",--(COUNTIFS(nNIA,DATOS!$A2982,nCURSO,DATOS!$D2982,nESPEC,DATOS!$E2982,nASIG,DATOS!$I2982,nEVAL,"EX")=0),0))))</f>
      </c>
      <c r="H2982">
        <f>IF(DATOS!$G2982&lt;&gt;"EX",0,--(COUNTIFS(nNIA,DATOS!$A2982,nCURSO,DATOS!$D2982,nESPEC,DATOS!$E2982,nASIG,DATOS!$I2982,nEVAL,"OR")=0))</f>
      </c>
      <c r="I2982">
        <f>IF(DATOS!$I2982="","",IFERROR(VLOOKUP(DATOS!$I2982,CONFIG_ASIGNATURAS!$B$2:$J$91,9,FALSE()),""))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IF(DATOS!$A2983="",0,IF(CONFIG_METADATA!$B$4&lt;&gt;"OR+EX",--(DATOS!$G2983=CONFIG_METADATA!$B$4),IF(DATOS!$G2983="EX",1,IF(DATOS!$G2983="OR",--(COUNTIFS(nNIA,DATOS!$A2983,nCURSO,DATOS!$D2983,nESPEC,DATOS!$E2983,nASIG,DATOS!$I2983,nEVAL,"EX")=0),0))))</f>
      </c>
      <c r="H2983">
        <f>IF(DATOS!$G2983&lt;&gt;"EX",0,--(COUNTIFS(nNIA,DATOS!$A2983,nCURSO,DATOS!$D2983,nESPEC,DATOS!$E2983,nASIG,DATOS!$I2983,nEVAL,"OR")=0))</f>
      </c>
      <c r="I2983">
        <f>IF(DATOS!$I2983="","",IFERROR(VLOOKUP(DATOS!$I2983,CONFIG_ASIGNATURAS!$B$2:$J$91,9,FALSE()),""))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IF(DATOS!$A2984="",0,IF(CONFIG_METADATA!$B$4&lt;&gt;"OR+EX",--(DATOS!$G2984=CONFIG_METADATA!$B$4),IF(DATOS!$G2984="EX",1,IF(DATOS!$G2984="OR",--(COUNTIFS(nNIA,DATOS!$A2984,nCURSO,DATOS!$D2984,nESPEC,DATOS!$E2984,nASIG,DATOS!$I2984,nEVAL,"EX")=0),0))))</f>
      </c>
      <c r="H2984">
        <f>IF(DATOS!$G2984&lt;&gt;"EX",0,--(COUNTIFS(nNIA,DATOS!$A2984,nCURSO,DATOS!$D2984,nESPEC,DATOS!$E2984,nASIG,DATOS!$I2984,nEVAL,"OR")=0))</f>
      </c>
      <c r="I2984">
        <f>IF(DATOS!$I2984="","",IFERROR(VLOOKUP(DATOS!$I2984,CONFIG_ASIGNATURAS!$B$2:$J$91,9,FALSE()),""))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IF(DATOS!$A2985="",0,IF(CONFIG_METADATA!$B$4&lt;&gt;"OR+EX",--(DATOS!$G2985=CONFIG_METADATA!$B$4),IF(DATOS!$G2985="EX",1,IF(DATOS!$G2985="OR",--(COUNTIFS(nNIA,DATOS!$A2985,nCURSO,DATOS!$D2985,nESPEC,DATOS!$E2985,nASIG,DATOS!$I2985,nEVAL,"EX")=0),0))))</f>
      </c>
      <c r="H2985">
        <f>IF(DATOS!$G2985&lt;&gt;"EX",0,--(COUNTIFS(nNIA,DATOS!$A2985,nCURSO,DATOS!$D2985,nESPEC,DATOS!$E2985,nASIG,DATOS!$I2985,nEVAL,"OR")=0))</f>
      </c>
      <c r="I2985">
        <f>IF(DATOS!$I2985="","",IFERROR(VLOOKUP(DATOS!$I2985,CONFIG_ASIGNATURAS!$B$2:$J$91,9,FALSE()),""))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IF(DATOS!$A2986="",0,IF(CONFIG_METADATA!$B$4&lt;&gt;"OR+EX",--(DATOS!$G2986=CONFIG_METADATA!$B$4),IF(DATOS!$G2986="EX",1,IF(DATOS!$G2986="OR",--(COUNTIFS(nNIA,DATOS!$A2986,nCURSO,DATOS!$D2986,nESPEC,DATOS!$E2986,nASIG,DATOS!$I2986,nEVAL,"EX")=0),0))))</f>
      </c>
      <c r="H2986">
        <f>IF(DATOS!$G2986&lt;&gt;"EX",0,--(COUNTIFS(nNIA,DATOS!$A2986,nCURSO,DATOS!$D2986,nESPEC,DATOS!$E2986,nASIG,DATOS!$I2986,nEVAL,"OR")=0))</f>
      </c>
      <c r="I2986">
        <f>IF(DATOS!$I2986="","",IFERROR(VLOOKUP(DATOS!$I2986,CONFIG_ASIGNATURAS!$B$2:$J$91,9,FALSE()),""))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IF(DATOS!$A2987="",0,IF(CONFIG_METADATA!$B$4&lt;&gt;"OR+EX",--(DATOS!$G2987=CONFIG_METADATA!$B$4),IF(DATOS!$G2987="EX",1,IF(DATOS!$G2987="OR",--(COUNTIFS(nNIA,DATOS!$A2987,nCURSO,DATOS!$D2987,nESPEC,DATOS!$E2987,nASIG,DATOS!$I2987,nEVAL,"EX")=0),0))))</f>
      </c>
      <c r="H2987">
        <f>IF(DATOS!$G2987&lt;&gt;"EX",0,--(COUNTIFS(nNIA,DATOS!$A2987,nCURSO,DATOS!$D2987,nESPEC,DATOS!$E2987,nASIG,DATOS!$I2987,nEVAL,"OR")=0))</f>
      </c>
      <c r="I2987">
        <f>IF(DATOS!$I2987="","",IFERROR(VLOOKUP(DATOS!$I2987,CONFIG_ASIGNATURAS!$B$2:$J$91,9,FALSE()),""))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IF(DATOS!$A2988="",0,IF(CONFIG_METADATA!$B$4&lt;&gt;"OR+EX",--(DATOS!$G2988=CONFIG_METADATA!$B$4),IF(DATOS!$G2988="EX",1,IF(DATOS!$G2988="OR",--(COUNTIFS(nNIA,DATOS!$A2988,nCURSO,DATOS!$D2988,nESPEC,DATOS!$E2988,nASIG,DATOS!$I2988,nEVAL,"EX")=0),0))))</f>
      </c>
      <c r="H2988">
        <f>IF(DATOS!$G2988&lt;&gt;"EX",0,--(COUNTIFS(nNIA,DATOS!$A2988,nCURSO,DATOS!$D2988,nESPEC,DATOS!$E2988,nASIG,DATOS!$I2988,nEVAL,"OR")=0))</f>
      </c>
      <c r="I2988">
        <f>IF(DATOS!$I2988="","",IFERROR(VLOOKUP(DATOS!$I2988,CONFIG_ASIGNATURAS!$B$2:$J$91,9,FALSE()),""))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IF(DATOS!$A2989="",0,IF(CONFIG_METADATA!$B$4&lt;&gt;"OR+EX",--(DATOS!$G2989=CONFIG_METADATA!$B$4),IF(DATOS!$G2989="EX",1,IF(DATOS!$G2989="OR",--(COUNTIFS(nNIA,DATOS!$A2989,nCURSO,DATOS!$D2989,nESPEC,DATOS!$E2989,nASIG,DATOS!$I2989,nEVAL,"EX")=0),0))))</f>
      </c>
      <c r="H2989">
        <f>IF(DATOS!$G2989&lt;&gt;"EX",0,--(COUNTIFS(nNIA,DATOS!$A2989,nCURSO,DATOS!$D2989,nESPEC,DATOS!$E2989,nASIG,DATOS!$I2989,nEVAL,"OR")=0))</f>
      </c>
      <c r="I2989">
        <f>IF(DATOS!$I2989="","",IFERROR(VLOOKUP(DATOS!$I2989,CONFIG_ASIGNATURAS!$B$2:$J$91,9,FALSE()),""))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IF(DATOS!$A2990="",0,IF(CONFIG_METADATA!$B$4&lt;&gt;"OR+EX",--(DATOS!$G2990=CONFIG_METADATA!$B$4),IF(DATOS!$G2990="EX",1,IF(DATOS!$G2990="OR",--(COUNTIFS(nNIA,DATOS!$A2990,nCURSO,DATOS!$D2990,nESPEC,DATOS!$E2990,nASIG,DATOS!$I2990,nEVAL,"EX")=0),0))))</f>
      </c>
      <c r="H2990">
        <f>IF(DATOS!$G2990&lt;&gt;"EX",0,--(COUNTIFS(nNIA,DATOS!$A2990,nCURSO,DATOS!$D2990,nESPEC,DATOS!$E2990,nASIG,DATOS!$I2990,nEVAL,"OR")=0))</f>
      </c>
      <c r="I2990">
        <f>IF(DATOS!$I2990="","",IFERROR(VLOOKUP(DATOS!$I2990,CONFIG_ASIGNATURAS!$B$2:$J$91,9,FALSE()),""))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IF(DATOS!$A2991="",0,IF(CONFIG_METADATA!$B$4&lt;&gt;"OR+EX",--(DATOS!$G2991=CONFIG_METADATA!$B$4),IF(DATOS!$G2991="EX",1,IF(DATOS!$G2991="OR",--(COUNTIFS(nNIA,DATOS!$A2991,nCURSO,DATOS!$D2991,nESPEC,DATOS!$E2991,nASIG,DATOS!$I2991,nEVAL,"EX")=0),0))))</f>
      </c>
      <c r="H2991">
        <f>IF(DATOS!$G2991&lt;&gt;"EX",0,--(COUNTIFS(nNIA,DATOS!$A2991,nCURSO,DATOS!$D2991,nESPEC,DATOS!$E2991,nASIG,DATOS!$I2991,nEVAL,"OR")=0))</f>
      </c>
      <c r="I2991">
        <f>IF(DATOS!$I2991="","",IFERROR(VLOOKUP(DATOS!$I2991,CONFIG_ASIGNATURAS!$B$2:$J$91,9,FALSE()),""))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IF(DATOS!$A2992="",0,IF(CONFIG_METADATA!$B$4&lt;&gt;"OR+EX",--(DATOS!$G2992=CONFIG_METADATA!$B$4),IF(DATOS!$G2992="EX",1,IF(DATOS!$G2992="OR",--(COUNTIFS(nNIA,DATOS!$A2992,nCURSO,DATOS!$D2992,nESPEC,DATOS!$E2992,nASIG,DATOS!$I2992,nEVAL,"EX")=0),0))))</f>
      </c>
      <c r="H2992">
        <f>IF(DATOS!$G2992&lt;&gt;"EX",0,--(COUNTIFS(nNIA,DATOS!$A2992,nCURSO,DATOS!$D2992,nESPEC,DATOS!$E2992,nASIG,DATOS!$I2992,nEVAL,"OR")=0))</f>
      </c>
      <c r="I2992">
        <f>IF(DATOS!$I2992="","",IFERROR(VLOOKUP(DATOS!$I2992,CONFIG_ASIGNATURAS!$B$2:$J$91,9,FALSE()),""))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IF(DATOS!$A2993="",0,IF(CONFIG_METADATA!$B$4&lt;&gt;"OR+EX",--(DATOS!$G2993=CONFIG_METADATA!$B$4),IF(DATOS!$G2993="EX",1,IF(DATOS!$G2993="OR",--(COUNTIFS(nNIA,DATOS!$A2993,nCURSO,DATOS!$D2993,nESPEC,DATOS!$E2993,nASIG,DATOS!$I2993,nEVAL,"EX")=0),0))))</f>
      </c>
      <c r="H2993">
        <f>IF(DATOS!$G2993&lt;&gt;"EX",0,--(COUNTIFS(nNIA,DATOS!$A2993,nCURSO,DATOS!$D2993,nESPEC,DATOS!$E2993,nASIG,DATOS!$I2993,nEVAL,"OR")=0))</f>
      </c>
      <c r="I2993">
        <f>IF(DATOS!$I2993="","",IFERROR(VLOOKUP(DATOS!$I2993,CONFIG_ASIGNATURAS!$B$2:$J$91,9,FALSE()),""))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IF(DATOS!$A2994="",0,IF(CONFIG_METADATA!$B$4&lt;&gt;"OR+EX",--(DATOS!$G2994=CONFIG_METADATA!$B$4),IF(DATOS!$G2994="EX",1,IF(DATOS!$G2994="OR",--(COUNTIFS(nNIA,DATOS!$A2994,nCURSO,DATOS!$D2994,nESPEC,DATOS!$E2994,nASIG,DATOS!$I2994,nEVAL,"EX")=0),0))))</f>
      </c>
      <c r="H2994">
        <f>IF(DATOS!$G2994&lt;&gt;"EX",0,--(COUNTIFS(nNIA,DATOS!$A2994,nCURSO,DATOS!$D2994,nESPEC,DATOS!$E2994,nASIG,DATOS!$I2994,nEVAL,"OR")=0))</f>
      </c>
      <c r="I2994">
        <f>IF(DATOS!$I2994="","",IFERROR(VLOOKUP(DATOS!$I2994,CONFIG_ASIGNATURAS!$B$2:$J$91,9,FALSE()),""))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IF(DATOS!$A2995="",0,IF(CONFIG_METADATA!$B$4&lt;&gt;"OR+EX",--(DATOS!$G2995=CONFIG_METADATA!$B$4),IF(DATOS!$G2995="EX",1,IF(DATOS!$G2995="OR",--(COUNTIFS(nNIA,DATOS!$A2995,nCURSO,DATOS!$D2995,nESPEC,DATOS!$E2995,nASIG,DATOS!$I2995,nEVAL,"EX")=0),0))))</f>
      </c>
      <c r="H2995">
        <f>IF(DATOS!$G2995&lt;&gt;"EX",0,--(COUNTIFS(nNIA,DATOS!$A2995,nCURSO,DATOS!$D2995,nESPEC,DATOS!$E2995,nASIG,DATOS!$I2995,nEVAL,"OR")=0))</f>
      </c>
      <c r="I2995">
        <f>IF(DATOS!$I2995="","",IFERROR(VLOOKUP(DATOS!$I2995,CONFIG_ASIGNATURAS!$B$2:$J$91,9,FALSE()),""))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IF(DATOS!$A2996="",0,IF(CONFIG_METADATA!$B$4&lt;&gt;"OR+EX",--(DATOS!$G2996=CONFIG_METADATA!$B$4),IF(DATOS!$G2996="EX",1,IF(DATOS!$G2996="OR",--(COUNTIFS(nNIA,DATOS!$A2996,nCURSO,DATOS!$D2996,nESPEC,DATOS!$E2996,nASIG,DATOS!$I2996,nEVAL,"EX")=0),0))))</f>
      </c>
      <c r="H2996">
        <f>IF(DATOS!$G2996&lt;&gt;"EX",0,--(COUNTIFS(nNIA,DATOS!$A2996,nCURSO,DATOS!$D2996,nESPEC,DATOS!$E2996,nASIG,DATOS!$I2996,nEVAL,"OR")=0))</f>
      </c>
      <c r="I2996">
        <f>IF(DATOS!$I2996="","",IFERROR(VLOOKUP(DATOS!$I2996,CONFIG_ASIGNATURAS!$B$2:$J$91,9,FALSE()),""))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IF(DATOS!$A2997="",0,IF(CONFIG_METADATA!$B$4&lt;&gt;"OR+EX",--(DATOS!$G2997=CONFIG_METADATA!$B$4),IF(DATOS!$G2997="EX",1,IF(DATOS!$G2997="OR",--(COUNTIFS(nNIA,DATOS!$A2997,nCURSO,DATOS!$D2997,nESPEC,DATOS!$E2997,nASIG,DATOS!$I2997,nEVAL,"EX")=0),0))))</f>
      </c>
      <c r="H2997">
        <f>IF(DATOS!$G2997&lt;&gt;"EX",0,--(COUNTIFS(nNIA,DATOS!$A2997,nCURSO,DATOS!$D2997,nESPEC,DATOS!$E2997,nASIG,DATOS!$I2997,nEVAL,"OR")=0))</f>
      </c>
      <c r="I2997">
        <f>IF(DATOS!$I2997="","",IFERROR(VLOOKUP(DATOS!$I2997,CONFIG_ASIGNATURAS!$B$2:$J$91,9,FALSE()),""))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IF(DATOS!$A2998="",0,IF(CONFIG_METADATA!$B$4&lt;&gt;"OR+EX",--(DATOS!$G2998=CONFIG_METADATA!$B$4),IF(DATOS!$G2998="EX",1,IF(DATOS!$G2998="OR",--(COUNTIFS(nNIA,DATOS!$A2998,nCURSO,DATOS!$D2998,nESPEC,DATOS!$E2998,nASIG,DATOS!$I2998,nEVAL,"EX")=0),0))))</f>
      </c>
      <c r="H2998">
        <f>IF(DATOS!$G2998&lt;&gt;"EX",0,--(COUNTIFS(nNIA,DATOS!$A2998,nCURSO,DATOS!$D2998,nESPEC,DATOS!$E2998,nASIG,DATOS!$I2998,nEVAL,"OR")=0))</f>
      </c>
      <c r="I2998">
        <f>IF(DATOS!$I2998="","",IFERROR(VLOOKUP(DATOS!$I2998,CONFIG_ASIGNATURAS!$B$2:$J$91,9,FALSE()),""))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IF(DATOS!$A2999="",0,IF(CONFIG_METADATA!$B$4&lt;&gt;"OR+EX",--(DATOS!$G2999=CONFIG_METADATA!$B$4),IF(DATOS!$G2999="EX",1,IF(DATOS!$G2999="OR",--(COUNTIFS(nNIA,DATOS!$A2999,nCURSO,DATOS!$D2999,nESPEC,DATOS!$E2999,nASIG,DATOS!$I2999,nEVAL,"EX")=0),0))))</f>
      </c>
      <c r="H2999">
        <f>IF(DATOS!$G2999&lt;&gt;"EX",0,--(COUNTIFS(nNIA,DATOS!$A2999,nCURSO,DATOS!$D2999,nESPEC,DATOS!$E2999,nASIG,DATOS!$I2999,nEVAL,"OR")=0))</f>
      </c>
      <c r="I2999">
        <f>IF(DATOS!$I2999="","",IFERROR(VLOOKUP(DATOS!$I2999,CONFIG_ASIGNATURAS!$B$2:$J$91,9,FALSE()),""))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IF(DATOS!$A3000="",0,IF(CONFIG_METADATA!$B$4&lt;&gt;"OR+EX",--(DATOS!$G3000=CONFIG_METADATA!$B$4),IF(DATOS!$G3000="EX",1,IF(DATOS!$G3000="OR",--(COUNTIFS(nNIA,DATOS!$A3000,nCURSO,DATOS!$D3000,nESPEC,DATOS!$E3000,nASIG,DATOS!$I3000,nEVAL,"EX")=0),0))))</f>
      </c>
      <c r="H3000">
        <f>IF(DATOS!$G3000&lt;&gt;"EX",0,--(COUNTIFS(nNIA,DATOS!$A3000,nCURSO,DATOS!$D3000,nESPEC,DATOS!$E3000,nASIG,DATOS!$I3000,nEVAL,"OR")=0))</f>
      </c>
      <c r="I3000">
        <f>IF(DATOS!$I3000="","",IFERROR(VLOOKUP(DATOS!$I3000,CONFIG_ASIGNATURAS!$B$2:$J$91,9,FALSE()),""))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IF(DATOS!$A3001="",0,IF(CONFIG_METADATA!$B$4&lt;&gt;"OR+EX",--(DATOS!$G3001=CONFIG_METADATA!$B$4),IF(DATOS!$G3001="EX",1,IF(DATOS!$G3001="OR",--(COUNTIFS(nNIA,DATOS!$A3001,nCURSO,DATOS!$D3001,nESPEC,DATOS!$E3001,nASIG,DATOS!$I3001,nEVAL,"EX")=0),0))))</f>
      </c>
      <c r="H3001">
        <f>IF(DATOS!$G3001&lt;&gt;"EX",0,--(COUNTIFS(nNIA,DATOS!$A3001,nCURSO,DATOS!$D3001,nESPEC,DATOS!$E3001,nASIG,DATOS!$I3001,nEVAL,"OR")=0))</f>
      </c>
      <c r="I3001">
        <f>IF(DATOS!$I3001="","",IFERROR(VLOOKUP(DATOS!$I3001,CONFIG_ASIGNATURAS!$B$2:$J$91,9,FALSE()),""))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IF(DATOS!$A3002="",0,IF(CONFIG_METADATA!$B$4&lt;&gt;"OR+EX",--(DATOS!$G3002=CONFIG_METADATA!$B$4),IF(DATOS!$G3002="EX",1,IF(DATOS!$G3002="OR",--(COUNTIFS(nNIA,DATOS!$A3002,nCURSO,DATOS!$D3002,nESPEC,DATOS!$E3002,nASIG,DATOS!$I3002,nEVAL,"EX")=0),0))))</f>
      </c>
      <c r="H3002">
        <f>IF(DATOS!$G3002&lt;&gt;"EX",0,--(COUNTIFS(nNIA,DATOS!$A3002,nCURSO,DATOS!$D3002,nESPEC,DATOS!$E3002,nASIG,DATOS!$I3002,nEVAL,"OR")=0))</f>
      </c>
      <c r="I3002">
        <f>IF(DATOS!$I3002="","",IFERROR(VLOOKUP(DATOS!$I3002,CONFIG_ASIGNATURAS!$B$2:$J$91,9,FALSE()),""))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IF(DATOS!$A3003="",0,IF(CONFIG_METADATA!$B$4&lt;&gt;"OR+EX",--(DATOS!$G3003=CONFIG_METADATA!$B$4),IF(DATOS!$G3003="EX",1,IF(DATOS!$G3003="OR",--(COUNTIFS(nNIA,DATOS!$A3003,nCURSO,DATOS!$D3003,nESPEC,DATOS!$E3003,nASIG,DATOS!$I3003,nEVAL,"EX")=0),0))))</f>
      </c>
      <c r="H3003">
        <f>IF(DATOS!$G3003&lt;&gt;"EX",0,--(COUNTIFS(nNIA,DATOS!$A3003,nCURSO,DATOS!$D3003,nESPEC,DATOS!$E3003,nASIG,DATOS!$I3003,nEVAL,"OR")=0))</f>
      </c>
      <c r="I3003">
        <f>IF(DATOS!$I3003="","",IFERROR(VLOOKUP(DATOS!$I3003,CONFIG_ASIGNATURAS!$B$2:$J$91,9,FALSE()),""))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IF(DATOS!$A3004="",0,IF(CONFIG_METADATA!$B$4&lt;&gt;"OR+EX",--(DATOS!$G3004=CONFIG_METADATA!$B$4),IF(DATOS!$G3004="EX",1,IF(DATOS!$G3004="OR",--(COUNTIFS(nNIA,DATOS!$A3004,nCURSO,DATOS!$D3004,nESPEC,DATOS!$E3004,nASIG,DATOS!$I3004,nEVAL,"EX")=0),0))))</f>
      </c>
      <c r="H3004">
        <f>IF(DATOS!$G3004&lt;&gt;"EX",0,--(COUNTIFS(nNIA,DATOS!$A3004,nCURSO,DATOS!$D3004,nESPEC,DATOS!$E3004,nASIG,DATOS!$I3004,nEVAL,"OR")=0))</f>
      </c>
      <c r="I3004">
        <f>IF(DATOS!$I3004="","",IFERROR(VLOOKUP(DATOS!$I3004,CONFIG_ASIGNATURAS!$B$2:$J$91,9,FALSE()),""))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IF(DATOS!$A3005="",0,IF(CONFIG_METADATA!$B$4&lt;&gt;"OR+EX",--(DATOS!$G3005=CONFIG_METADATA!$B$4),IF(DATOS!$G3005="EX",1,IF(DATOS!$G3005="OR",--(COUNTIFS(nNIA,DATOS!$A3005,nCURSO,DATOS!$D3005,nESPEC,DATOS!$E3005,nASIG,DATOS!$I3005,nEVAL,"EX")=0),0))))</f>
      </c>
      <c r="H3005">
        <f>IF(DATOS!$G3005&lt;&gt;"EX",0,--(COUNTIFS(nNIA,DATOS!$A3005,nCURSO,DATOS!$D3005,nESPEC,DATOS!$E3005,nASIG,DATOS!$I3005,nEVAL,"OR")=0))</f>
      </c>
      <c r="I3005">
        <f>IF(DATOS!$I3005="","",IFERROR(VLOOKUP(DATOS!$I3005,CONFIG_ASIGNATURAS!$B$2:$J$91,9,FALSE()),""))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IF(DATOS!$A3006="",0,IF(CONFIG_METADATA!$B$4&lt;&gt;"OR+EX",--(DATOS!$G3006=CONFIG_METADATA!$B$4),IF(DATOS!$G3006="EX",1,IF(DATOS!$G3006="OR",--(COUNTIFS(nNIA,DATOS!$A3006,nCURSO,DATOS!$D3006,nESPEC,DATOS!$E3006,nASIG,DATOS!$I3006,nEVAL,"EX")=0),0))))</f>
      </c>
      <c r="H3006">
        <f>IF(DATOS!$G3006&lt;&gt;"EX",0,--(COUNTIFS(nNIA,DATOS!$A3006,nCURSO,DATOS!$D3006,nESPEC,DATOS!$E3006,nASIG,DATOS!$I3006,nEVAL,"OR")=0))</f>
      </c>
      <c r="I3006">
        <f>IF(DATOS!$I3006="","",IFERROR(VLOOKUP(DATOS!$I3006,CONFIG_ASIGNATURAS!$B$2:$J$91,9,FALSE()),""))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IF(DATOS!$A3007="",0,IF(CONFIG_METADATA!$B$4&lt;&gt;"OR+EX",--(DATOS!$G3007=CONFIG_METADATA!$B$4),IF(DATOS!$G3007="EX",1,IF(DATOS!$G3007="OR",--(COUNTIFS(nNIA,DATOS!$A3007,nCURSO,DATOS!$D3007,nESPEC,DATOS!$E3007,nASIG,DATOS!$I3007,nEVAL,"EX")=0),0))))</f>
      </c>
      <c r="H3007">
        <f>IF(DATOS!$G3007&lt;&gt;"EX",0,--(COUNTIFS(nNIA,DATOS!$A3007,nCURSO,DATOS!$D3007,nESPEC,DATOS!$E3007,nASIG,DATOS!$I3007,nEVAL,"OR")=0))</f>
      </c>
      <c r="I3007">
        <f>IF(DATOS!$I3007="","",IFERROR(VLOOKUP(DATOS!$I3007,CONFIG_ASIGNATURAS!$B$2:$J$91,9,FALSE()),""))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IF(DATOS!$A3008="",0,IF(CONFIG_METADATA!$B$4&lt;&gt;"OR+EX",--(DATOS!$G3008=CONFIG_METADATA!$B$4),IF(DATOS!$G3008="EX",1,IF(DATOS!$G3008="OR",--(COUNTIFS(nNIA,DATOS!$A3008,nCURSO,DATOS!$D3008,nESPEC,DATOS!$E3008,nASIG,DATOS!$I3008,nEVAL,"EX")=0),0))))</f>
      </c>
      <c r="H3008">
        <f>IF(DATOS!$G3008&lt;&gt;"EX",0,--(COUNTIFS(nNIA,DATOS!$A3008,nCURSO,DATOS!$D3008,nESPEC,DATOS!$E3008,nASIG,DATOS!$I3008,nEVAL,"OR")=0))</f>
      </c>
      <c r="I3008">
        <f>IF(DATOS!$I3008="","",IFERROR(VLOOKUP(DATOS!$I3008,CONFIG_ASIGNATURAS!$B$2:$J$91,9,FALSE()),""))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IF(DATOS!$A3009="",0,IF(CONFIG_METADATA!$B$4&lt;&gt;"OR+EX",--(DATOS!$G3009=CONFIG_METADATA!$B$4),IF(DATOS!$G3009="EX",1,IF(DATOS!$G3009="OR",--(COUNTIFS(nNIA,DATOS!$A3009,nCURSO,DATOS!$D3009,nESPEC,DATOS!$E3009,nASIG,DATOS!$I3009,nEVAL,"EX")=0),0))))</f>
      </c>
      <c r="H3009">
        <f>IF(DATOS!$G3009&lt;&gt;"EX",0,--(COUNTIFS(nNIA,DATOS!$A3009,nCURSO,DATOS!$D3009,nESPEC,DATOS!$E3009,nASIG,DATOS!$I3009,nEVAL,"OR")=0))</f>
      </c>
      <c r="I3009">
        <f>IF(DATOS!$I3009="","",IFERROR(VLOOKUP(DATOS!$I3009,CONFIG_ASIGNATURAS!$B$2:$J$91,9,FALSE()),""))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IF(DATOS!$A3010="",0,IF(CONFIG_METADATA!$B$4&lt;&gt;"OR+EX",--(DATOS!$G3010=CONFIG_METADATA!$B$4),IF(DATOS!$G3010="EX",1,IF(DATOS!$G3010="OR",--(COUNTIFS(nNIA,DATOS!$A3010,nCURSO,DATOS!$D3010,nESPEC,DATOS!$E3010,nASIG,DATOS!$I3010,nEVAL,"EX")=0),0))))</f>
      </c>
      <c r="H3010">
        <f>IF(DATOS!$G3010&lt;&gt;"EX",0,--(COUNTIFS(nNIA,DATOS!$A3010,nCURSO,DATOS!$D3010,nESPEC,DATOS!$E3010,nASIG,DATOS!$I3010,nEVAL,"OR")=0))</f>
      </c>
      <c r="I3010">
        <f>IF(DATOS!$I3010="","",IFERROR(VLOOKUP(DATOS!$I3010,CONFIG_ASIGNATURAS!$B$2:$J$91,9,FALSE()),""))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IF(DATOS!$A3011="",0,IF(CONFIG_METADATA!$B$4&lt;&gt;"OR+EX",--(DATOS!$G3011=CONFIG_METADATA!$B$4),IF(DATOS!$G3011="EX",1,IF(DATOS!$G3011="OR",--(COUNTIFS(nNIA,DATOS!$A3011,nCURSO,DATOS!$D3011,nESPEC,DATOS!$E3011,nASIG,DATOS!$I3011,nEVAL,"EX")=0),0))))</f>
      </c>
      <c r="H3011">
        <f>IF(DATOS!$G3011&lt;&gt;"EX",0,--(COUNTIFS(nNIA,DATOS!$A3011,nCURSO,DATOS!$D3011,nESPEC,DATOS!$E3011,nASIG,DATOS!$I3011,nEVAL,"OR")=0))</f>
      </c>
      <c r="I3011">
        <f>IF(DATOS!$I3011="","",IFERROR(VLOOKUP(DATOS!$I3011,CONFIG_ASIGNATURAS!$B$2:$J$91,9,FALSE()),""))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IF(DATOS!$A3012="",0,IF(CONFIG_METADATA!$B$4&lt;&gt;"OR+EX",--(DATOS!$G3012=CONFIG_METADATA!$B$4),IF(DATOS!$G3012="EX",1,IF(DATOS!$G3012="OR",--(COUNTIFS(nNIA,DATOS!$A3012,nCURSO,DATOS!$D3012,nESPEC,DATOS!$E3012,nASIG,DATOS!$I3012,nEVAL,"EX")=0),0))))</f>
      </c>
      <c r="H3012">
        <f>IF(DATOS!$G3012&lt;&gt;"EX",0,--(COUNTIFS(nNIA,DATOS!$A3012,nCURSO,DATOS!$D3012,nESPEC,DATOS!$E3012,nASIG,DATOS!$I3012,nEVAL,"OR")=0))</f>
      </c>
      <c r="I3012">
        <f>IF(DATOS!$I3012="","",IFERROR(VLOOKUP(DATOS!$I3012,CONFIG_ASIGNATURAS!$B$2:$J$91,9,FALSE()),""))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IF(DATOS!$A3013="",0,IF(CONFIG_METADATA!$B$4&lt;&gt;"OR+EX",--(DATOS!$G3013=CONFIG_METADATA!$B$4),IF(DATOS!$G3013="EX",1,IF(DATOS!$G3013="OR",--(COUNTIFS(nNIA,DATOS!$A3013,nCURSO,DATOS!$D3013,nESPEC,DATOS!$E3013,nASIG,DATOS!$I3013,nEVAL,"EX")=0),0))))</f>
      </c>
      <c r="H3013">
        <f>IF(DATOS!$G3013&lt;&gt;"EX",0,--(COUNTIFS(nNIA,DATOS!$A3013,nCURSO,DATOS!$D3013,nESPEC,DATOS!$E3013,nASIG,DATOS!$I3013,nEVAL,"OR")=0))</f>
      </c>
      <c r="I3013">
        <f>IF(DATOS!$I3013="","",IFERROR(VLOOKUP(DATOS!$I3013,CONFIG_ASIGNATURAS!$B$2:$J$91,9,FALSE()),""))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IF(DATOS!$A3014="",0,IF(CONFIG_METADATA!$B$4&lt;&gt;"OR+EX",--(DATOS!$G3014=CONFIG_METADATA!$B$4),IF(DATOS!$G3014="EX",1,IF(DATOS!$G3014="OR",--(COUNTIFS(nNIA,DATOS!$A3014,nCURSO,DATOS!$D3014,nESPEC,DATOS!$E3014,nASIG,DATOS!$I3014,nEVAL,"EX")=0),0))))</f>
      </c>
      <c r="H3014">
        <f>IF(DATOS!$G3014&lt;&gt;"EX",0,--(COUNTIFS(nNIA,DATOS!$A3014,nCURSO,DATOS!$D3014,nESPEC,DATOS!$E3014,nASIG,DATOS!$I3014,nEVAL,"OR")=0))</f>
      </c>
      <c r="I3014">
        <f>IF(DATOS!$I3014="","",IFERROR(VLOOKUP(DATOS!$I3014,CONFIG_ASIGNATURAS!$B$2:$J$91,9,FALSE()),""))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IF(DATOS!$A3015="",0,IF(CONFIG_METADATA!$B$4&lt;&gt;"OR+EX",--(DATOS!$G3015=CONFIG_METADATA!$B$4),IF(DATOS!$G3015="EX",1,IF(DATOS!$G3015="OR",--(COUNTIFS(nNIA,DATOS!$A3015,nCURSO,DATOS!$D3015,nESPEC,DATOS!$E3015,nASIG,DATOS!$I3015,nEVAL,"EX")=0),0))))</f>
      </c>
      <c r="H3015">
        <f>IF(DATOS!$G3015&lt;&gt;"EX",0,--(COUNTIFS(nNIA,DATOS!$A3015,nCURSO,DATOS!$D3015,nESPEC,DATOS!$E3015,nASIG,DATOS!$I3015,nEVAL,"OR")=0))</f>
      </c>
      <c r="I3015">
        <f>IF(DATOS!$I3015="","",IFERROR(VLOOKUP(DATOS!$I3015,CONFIG_ASIGNATURAS!$B$2:$J$91,9,FALSE()),""))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IF(DATOS!$A3016="",0,IF(CONFIG_METADATA!$B$4&lt;&gt;"OR+EX",--(DATOS!$G3016=CONFIG_METADATA!$B$4),IF(DATOS!$G3016="EX",1,IF(DATOS!$G3016="OR",--(COUNTIFS(nNIA,DATOS!$A3016,nCURSO,DATOS!$D3016,nESPEC,DATOS!$E3016,nASIG,DATOS!$I3016,nEVAL,"EX")=0),0))))</f>
      </c>
      <c r="H3016">
        <f>IF(DATOS!$G3016&lt;&gt;"EX",0,--(COUNTIFS(nNIA,DATOS!$A3016,nCURSO,DATOS!$D3016,nESPEC,DATOS!$E3016,nASIG,DATOS!$I3016,nEVAL,"OR")=0))</f>
      </c>
      <c r="I3016">
        <f>IF(DATOS!$I3016="","",IFERROR(VLOOKUP(DATOS!$I3016,CONFIG_ASIGNATURAS!$B$2:$J$91,9,FALSE()),""))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IF(DATOS!$A3017="",0,IF(CONFIG_METADATA!$B$4&lt;&gt;"OR+EX",--(DATOS!$G3017=CONFIG_METADATA!$B$4),IF(DATOS!$G3017="EX",1,IF(DATOS!$G3017="OR",--(COUNTIFS(nNIA,DATOS!$A3017,nCURSO,DATOS!$D3017,nESPEC,DATOS!$E3017,nASIG,DATOS!$I3017,nEVAL,"EX")=0),0))))</f>
      </c>
      <c r="H3017">
        <f>IF(DATOS!$G3017&lt;&gt;"EX",0,--(COUNTIFS(nNIA,DATOS!$A3017,nCURSO,DATOS!$D3017,nESPEC,DATOS!$E3017,nASIG,DATOS!$I3017,nEVAL,"OR")=0))</f>
      </c>
      <c r="I3017">
        <f>IF(DATOS!$I3017="","",IFERROR(VLOOKUP(DATOS!$I3017,CONFIG_ASIGNATURAS!$B$2:$J$91,9,FALSE()),""))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IF(DATOS!$A3018="",0,IF(CONFIG_METADATA!$B$4&lt;&gt;"OR+EX",--(DATOS!$G3018=CONFIG_METADATA!$B$4),IF(DATOS!$G3018="EX",1,IF(DATOS!$G3018="OR",--(COUNTIFS(nNIA,DATOS!$A3018,nCURSO,DATOS!$D3018,nESPEC,DATOS!$E3018,nASIG,DATOS!$I3018,nEVAL,"EX")=0),0))))</f>
      </c>
      <c r="H3018">
        <f>IF(DATOS!$G3018&lt;&gt;"EX",0,--(COUNTIFS(nNIA,DATOS!$A3018,nCURSO,DATOS!$D3018,nESPEC,DATOS!$E3018,nASIG,DATOS!$I3018,nEVAL,"OR")=0))</f>
      </c>
      <c r="I3018">
        <f>IF(DATOS!$I3018="","",IFERROR(VLOOKUP(DATOS!$I3018,CONFIG_ASIGNATURAS!$B$2:$J$91,9,FALSE()),""))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IF(DATOS!$A3019="",0,IF(CONFIG_METADATA!$B$4&lt;&gt;"OR+EX",--(DATOS!$G3019=CONFIG_METADATA!$B$4),IF(DATOS!$G3019="EX",1,IF(DATOS!$G3019="OR",--(COUNTIFS(nNIA,DATOS!$A3019,nCURSO,DATOS!$D3019,nESPEC,DATOS!$E3019,nASIG,DATOS!$I3019,nEVAL,"EX")=0),0))))</f>
      </c>
      <c r="H3019">
        <f>IF(DATOS!$G3019&lt;&gt;"EX",0,--(COUNTIFS(nNIA,DATOS!$A3019,nCURSO,DATOS!$D3019,nESPEC,DATOS!$E3019,nASIG,DATOS!$I3019,nEVAL,"OR")=0))</f>
      </c>
      <c r="I3019">
        <f>IF(DATOS!$I3019="","",IFERROR(VLOOKUP(DATOS!$I3019,CONFIG_ASIGNATURAS!$B$2:$J$91,9,FALSE()),""))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IF(DATOS!$A3020="",0,IF(CONFIG_METADATA!$B$4&lt;&gt;"OR+EX",--(DATOS!$G3020=CONFIG_METADATA!$B$4),IF(DATOS!$G3020="EX",1,IF(DATOS!$G3020="OR",--(COUNTIFS(nNIA,DATOS!$A3020,nCURSO,DATOS!$D3020,nESPEC,DATOS!$E3020,nASIG,DATOS!$I3020,nEVAL,"EX")=0),0))))</f>
      </c>
      <c r="H3020">
        <f>IF(DATOS!$G3020&lt;&gt;"EX",0,--(COUNTIFS(nNIA,DATOS!$A3020,nCURSO,DATOS!$D3020,nESPEC,DATOS!$E3020,nASIG,DATOS!$I3020,nEVAL,"OR")=0))</f>
      </c>
      <c r="I3020">
        <f>IF(DATOS!$I3020="","",IFERROR(VLOOKUP(DATOS!$I3020,CONFIG_ASIGNATURAS!$B$2:$J$91,9,FALSE()),""))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IF(DATOS!$A3021="",0,IF(CONFIG_METADATA!$B$4&lt;&gt;"OR+EX",--(DATOS!$G3021=CONFIG_METADATA!$B$4),IF(DATOS!$G3021="EX",1,IF(DATOS!$G3021="OR",--(COUNTIFS(nNIA,DATOS!$A3021,nCURSO,DATOS!$D3021,nESPEC,DATOS!$E3021,nASIG,DATOS!$I3021,nEVAL,"EX")=0),0))))</f>
      </c>
      <c r="H3021">
        <f>IF(DATOS!$G3021&lt;&gt;"EX",0,--(COUNTIFS(nNIA,DATOS!$A3021,nCURSO,DATOS!$D3021,nESPEC,DATOS!$E3021,nASIG,DATOS!$I3021,nEVAL,"OR")=0))</f>
      </c>
      <c r="I3021">
        <f>IF(DATOS!$I3021="","",IFERROR(VLOOKUP(DATOS!$I3021,CONFIG_ASIGNATURAS!$B$2:$J$91,9,FALSE()),""))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IF(DATOS!$A3022="",0,IF(CONFIG_METADATA!$B$4&lt;&gt;"OR+EX",--(DATOS!$G3022=CONFIG_METADATA!$B$4),IF(DATOS!$G3022="EX",1,IF(DATOS!$G3022="OR",--(COUNTIFS(nNIA,DATOS!$A3022,nCURSO,DATOS!$D3022,nESPEC,DATOS!$E3022,nASIG,DATOS!$I3022,nEVAL,"EX")=0),0))))</f>
      </c>
      <c r="H3022">
        <f>IF(DATOS!$G3022&lt;&gt;"EX",0,--(COUNTIFS(nNIA,DATOS!$A3022,nCURSO,DATOS!$D3022,nESPEC,DATOS!$E3022,nASIG,DATOS!$I3022,nEVAL,"OR")=0))</f>
      </c>
      <c r="I3022">
        <f>IF(DATOS!$I3022="","",IFERROR(VLOOKUP(DATOS!$I3022,CONFIG_ASIGNATURAS!$B$2:$J$91,9,FALSE()),""))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IF(DATOS!$A3023="",0,IF(CONFIG_METADATA!$B$4&lt;&gt;"OR+EX",--(DATOS!$G3023=CONFIG_METADATA!$B$4),IF(DATOS!$G3023="EX",1,IF(DATOS!$G3023="OR",--(COUNTIFS(nNIA,DATOS!$A3023,nCURSO,DATOS!$D3023,nESPEC,DATOS!$E3023,nASIG,DATOS!$I3023,nEVAL,"EX")=0),0))))</f>
      </c>
      <c r="H3023">
        <f>IF(DATOS!$G3023&lt;&gt;"EX",0,--(COUNTIFS(nNIA,DATOS!$A3023,nCURSO,DATOS!$D3023,nESPEC,DATOS!$E3023,nASIG,DATOS!$I3023,nEVAL,"OR")=0))</f>
      </c>
      <c r="I3023">
        <f>IF(DATOS!$I3023="","",IFERROR(VLOOKUP(DATOS!$I3023,CONFIG_ASIGNATURAS!$B$2:$J$91,9,FALSE()),""))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IF(DATOS!$A3024="",0,IF(CONFIG_METADATA!$B$4&lt;&gt;"OR+EX",--(DATOS!$G3024=CONFIG_METADATA!$B$4),IF(DATOS!$G3024="EX",1,IF(DATOS!$G3024="OR",--(COUNTIFS(nNIA,DATOS!$A3024,nCURSO,DATOS!$D3024,nESPEC,DATOS!$E3024,nASIG,DATOS!$I3024,nEVAL,"EX")=0),0))))</f>
      </c>
      <c r="H3024">
        <f>IF(DATOS!$G3024&lt;&gt;"EX",0,--(COUNTIFS(nNIA,DATOS!$A3024,nCURSO,DATOS!$D3024,nESPEC,DATOS!$E3024,nASIG,DATOS!$I3024,nEVAL,"OR")=0))</f>
      </c>
      <c r="I3024">
        <f>IF(DATOS!$I3024="","",IFERROR(VLOOKUP(DATOS!$I3024,CONFIG_ASIGNATURAS!$B$2:$J$91,9,FALSE()),""))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IF(DATOS!$A3025="",0,IF(CONFIG_METADATA!$B$4&lt;&gt;"OR+EX",--(DATOS!$G3025=CONFIG_METADATA!$B$4),IF(DATOS!$G3025="EX",1,IF(DATOS!$G3025="OR",--(COUNTIFS(nNIA,DATOS!$A3025,nCURSO,DATOS!$D3025,nESPEC,DATOS!$E3025,nASIG,DATOS!$I3025,nEVAL,"EX")=0),0))))</f>
      </c>
      <c r="H3025">
        <f>IF(DATOS!$G3025&lt;&gt;"EX",0,--(COUNTIFS(nNIA,DATOS!$A3025,nCURSO,DATOS!$D3025,nESPEC,DATOS!$E3025,nASIG,DATOS!$I3025,nEVAL,"OR")=0))</f>
      </c>
      <c r="I3025">
        <f>IF(DATOS!$I3025="","",IFERROR(VLOOKUP(DATOS!$I3025,CONFIG_ASIGNATURAS!$B$2:$J$91,9,FALSE()),""))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IF(DATOS!$A3026="",0,IF(CONFIG_METADATA!$B$4&lt;&gt;"OR+EX",--(DATOS!$G3026=CONFIG_METADATA!$B$4),IF(DATOS!$G3026="EX",1,IF(DATOS!$G3026="OR",--(COUNTIFS(nNIA,DATOS!$A3026,nCURSO,DATOS!$D3026,nESPEC,DATOS!$E3026,nASIG,DATOS!$I3026,nEVAL,"EX")=0),0))))</f>
      </c>
      <c r="H3026">
        <f>IF(DATOS!$G3026&lt;&gt;"EX",0,--(COUNTIFS(nNIA,DATOS!$A3026,nCURSO,DATOS!$D3026,nESPEC,DATOS!$E3026,nASIG,DATOS!$I3026,nEVAL,"OR")=0))</f>
      </c>
      <c r="I3026">
        <f>IF(DATOS!$I3026="","",IFERROR(VLOOKUP(DATOS!$I3026,CONFIG_ASIGNATURAS!$B$2:$J$91,9,FALSE()),""))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IF(DATOS!$A3027="",0,IF(CONFIG_METADATA!$B$4&lt;&gt;"OR+EX",--(DATOS!$G3027=CONFIG_METADATA!$B$4),IF(DATOS!$G3027="EX",1,IF(DATOS!$G3027="OR",--(COUNTIFS(nNIA,DATOS!$A3027,nCURSO,DATOS!$D3027,nESPEC,DATOS!$E3027,nASIG,DATOS!$I3027,nEVAL,"EX")=0),0))))</f>
      </c>
      <c r="H3027">
        <f>IF(DATOS!$G3027&lt;&gt;"EX",0,--(COUNTIFS(nNIA,DATOS!$A3027,nCURSO,DATOS!$D3027,nESPEC,DATOS!$E3027,nASIG,DATOS!$I3027,nEVAL,"OR")=0))</f>
      </c>
      <c r="I3027">
        <f>IF(DATOS!$I3027="","",IFERROR(VLOOKUP(DATOS!$I3027,CONFIG_ASIGNATURAS!$B$2:$J$91,9,FALSE()),""))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IF(DATOS!$A3028="",0,IF(CONFIG_METADATA!$B$4&lt;&gt;"OR+EX",--(DATOS!$G3028=CONFIG_METADATA!$B$4),IF(DATOS!$G3028="EX",1,IF(DATOS!$G3028="OR",--(COUNTIFS(nNIA,DATOS!$A3028,nCURSO,DATOS!$D3028,nESPEC,DATOS!$E3028,nASIG,DATOS!$I3028,nEVAL,"EX")=0),0))))</f>
      </c>
      <c r="H3028">
        <f>IF(DATOS!$G3028&lt;&gt;"EX",0,--(COUNTIFS(nNIA,DATOS!$A3028,nCURSO,DATOS!$D3028,nESPEC,DATOS!$E3028,nASIG,DATOS!$I3028,nEVAL,"OR")=0))</f>
      </c>
      <c r="I3028">
        <f>IF(DATOS!$I3028="","",IFERROR(VLOOKUP(DATOS!$I3028,CONFIG_ASIGNATURAS!$B$2:$J$91,9,FALSE()),""))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IF(DATOS!$A3029="",0,IF(CONFIG_METADATA!$B$4&lt;&gt;"OR+EX",--(DATOS!$G3029=CONFIG_METADATA!$B$4),IF(DATOS!$G3029="EX",1,IF(DATOS!$G3029="OR",--(COUNTIFS(nNIA,DATOS!$A3029,nCURSO,DATOS!$D3029,nESPEC,DATOS!$E3029,nASIG,DATOS!$I3029,nEVAL,"EX")=0),0))))</f>
      </c>
      <c r="H3029">
        <f>IF(DATOS!$G3029&lt;&gt;"EX",0,--(COUNTIFS(nNIA,DATOS!$A3029,nCURSO,DATOS!$D3029,nESPEC,DATOS!$E3029,nASIG,DATOS!$I3029,nEVAL,"OR")=0))</f>
      </c>
      <c r="I3029">
        <f>IF(DATOS!$I3029="","",IFERROR(VLOOKUP(DATOS!$I3029,CONFIG_ASIGNATURAS!$B$2:$J$91,9,FALSE()),""))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IF(DATOS!$A3030="",0,IF(CONFIG_METADATA!$B$4&lt;&gt;"OR+EX",--(DATOS!$G3030=CONFIG_METADATA!$B$4),IF(DATOS!$G3030="EX",1,IF(DATOS!$G3030="OR",--(COUNTIFS(nNIA,DATOS!$A3030,nCURSO,DATOS!$D3030,nESPEC,DATOS!$E3030,nASIG,DATOS!$I3030,nEVAL,"EX")=0),0))))</f>
      </c>
      <c r="H3030">
        <f>IF(DATOS!$G3030&lt;&gt;"EX",0,--(COUNTIFS(nNIA,DATOS!$A3030,nCURSO,DATOS!$D3030,nESPEC,DATOS!$E3030,nASIG,DATOS!$I3030,nEVAL,"OR")=0))</f>
      </c>
      <c r="I3030">
        <f>IF(DATOS!$I3030="","",IFERROR(VLOOKUP(DATOS!$I3030,CONFIG_ASIGNATURAS!$B$2:$J$91,9,FALSE()),""))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IF(DATOS!$A3031="",0,IF(CONFIG_METADATA!$B$4&lt;&gt;"OR+EX",--(DATOS!$G3031=CONFIG_METADATA!$B$4),IF(DATOS!$G3031="EX",1,IF(DATOS!$G3031="OR",--(COUNTIFS(nNIA,DATOS!$A3031,nCURSO,DATOS!$D3031,nESPEC,DATOS!$E3031,nASIG,DATOS!$I3031,nEVAL,"EX")=0),0))))</f>
      </c>
      <c r="H3031">
        <f>IF(DATOS!$G3031&lt;&gt;"EX",0,--(COUNTIFS(nNIA,DATOS!$A3031,nCURSO,DATOS!$D3031,nESPEC,DATOS!$E3031,nASIG,DATOS!$I3031,nEVAL,"OR")=0))</f>
      </c>
      <c r="I3031">
        <f>IF(DATOS!$I3031="","",IFERROR(VLOOKUP(DATOS!$I3031,CONFIG_ASIGNATURAS!$B$2:$J$91,9,FALSE()),""))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IF(DATOS!$A3032="",0,IF(CONFIG_METADATA!$B$4&lt;&gt;"OR+EX",--(DATOS!$G3032=CONFIG_METADATA!$B$4),IF(DATOS!$G3032="EX",1,IF(DATOS!$G3032="OR",--(COUNTIFS(nNIA,DATOS!$A3032,nCURSO,DATOS!$D3032,nESPEC,DATOS!$E3032,nASIG,DATOS!$I3032,nEVAL,"EX")=0),0))))</f>
      </c>
      <c r="H3032">
        <f>IF(DATOS!$G3032&lt;&gt;"EX",0,--(COUNTIFS(nNIA,DATOS!$A3032,nCURSO,DATOS!$D3032,nESPEC,DATOS!$E3032,nASIG,DATOS!$I3032,nEVAL,"OR")=0))</f>
      </c>
      <c r="I3032">
        <f>IF(DATOS!$I3032="","",IFERROR(VLOOKUP(DATOS!$I3032,CONFIG_ASIGNATURAS!$B$2:$J$91,9,FALSE()),""))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IF(DATOS!$A3033="",0,IF(CONFIG_METADATA!$B$4&lt;&gt;"OR+EX",--(DATOS!$G3033=CONFIG_METADATA!$B$4),IF(DATOS!$G3033="EX",1,IF(DATOS!$G3033="OR",--(COUNTIFS(nNIA,DATOS!$A3033,nCURSO,DATOS!$D3033,nESPEC,DATOS!$E3033,nASIG,DATOS!$I3033,nEVAL,"EX")=0),0))))</f>
      </c>
      <c r="H3033">
        <f>IF(DATOS!$G3033&lt;&gt;"EX",0,--(COUNTIFS(nNIA,DATOS!$A3033,nCURSO,DATOS!$D3033,nESPEC,DATOS!$E3033,nASIG,DATOS!$I3033,nEVAL,"OR")=0))</f>
      </c>
      <c r="I3033">
        <f>IF(DATOS!$I3033="","",IFERROR(VLOOKUP(DATOS!$I3033,CONFIG_ASIGNATURAS!$B$2:$J$91,9,FALSE()),""))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IF(DATOS!$A3034="",0,IF(CONFIG_METADATA!$B$4&lt;&gt;"OR+EX",--(DATOS!$G3034=CONFIG_METADATA!$B$4),IF(DATOS!$G3034="EX",1,IF(DATOS!$G3034="OR",--(COUNTIFS(nNIA,DATOS!$A3034,nCURSO,DATOS!$D3034,nESPEC,DATOS!$E3034,nASIG,DATOS!$I3034,nEVAL,"EX")=0),0))))</f>
      </c>
      <c r="H3034">
        <f>IF(DATOS!$G3034&lt;&gt;"EX",0,--(COUNTIFS(nNIA,DATOS!$A3034,nCURSO,DATOS!$D3034,nESPEC,DATOS!$E3034,nASIG,DATOS!$I3034,nEVAL,"OR")=0))</f>
      </c>
      <c r="I3034">
        <f>IF(DATOS!$I3034="","",IFERROR(VLOOKUP(DATOS!$I3034,CONFIG_ASIGNATURAS!$B$2:$J$91,9,FALSE()),""))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IF(DATOS!$A3035="",0,IF(CONFIG_METADATA!$B$4&lt;&gt;"OR+EX",--(DATOS!$G3035=CONFIG_METADATA!$B$4),IF(DATOS!$G3035="EX",1,IF(DATOS!$G3035="OR",--(COUNTIFS(nNIA,DATOS!$A3035,nCURSO,DATOS!$D3035,nESPEC,DATOS!$E3035,nASIG,DATOS!$I3035,nEVAL,"EX")=0),0))))</f>
      </c>
      <c r="H3035">
        <f>IF(DATOS!$G3035&lt;&gt;"EX",0,--(COUNTIFS(nNIA,DATOS!$A3035,nCURSO,DATOS!$D3035,nESPEC,DATOS!$E3035,nASIG,DATOS!$I3035,nEVAL,"OR")=0))</f>
      </c>
      <c r="I3035">
        <f>IF(DATOS!$I3035="","",IFERROR(VLOOKUP(DATOS!$I3035,CONFIG_ASIGNATURAS!$B$2:$J$91,9,FALSE()),""))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IF(DATOS!$A3036="",0,IF(CONFIG_METADATA!$B$4&lt;&gt;"OR+EX",--(DATOS!$G3036=CONFIG_METADATA!$B$4),IF(DATOS!$G3036="EX",1,IF(DATOS!$G3036="OR",--(COUNTIFS(nNIA,DATOS!$A3036,nCURSO,DATOS!$D3036,nESPEC,DATOS!$E3036,nASIG,DATOS!$I3036,nEVAL,"EX")=0),0))))</f>
      </c>
      <c r="H3036">
        <f>IF(DATOS!$G3036&lt;&gt;"EX",0,--(COUNTIFS(nNIA,DATOS!$A3036,nCURSO,DATOS!$D3036,nESPEC,DATOS!$E3036,nASIG,DATOS!$I3036,nEVAL,"OR")=0))</f>
      </c>
      <c r="I3036">
        <f>IF(DATOS!$I3036="","",IFERROR(VLOOKUP(DATOS!$I3036,CONFIG_ASIGNATURAS!$B$2:$J$91,9,FALSE()),""))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IF(DATOS!$A3037="",0,IF(CONFIG_METADATA!$B$4&lt;&gt;"OR+EX",--(DATOS!$G3037=CONFIG_METADATA!$B$4),IF(DATOS!$G3037="EX",1,IF(DATOS!$G3037="OR",--(COUNTIFS(nNIA,DATOS!$A3037,nCURSO,DATOS!$D3037,nESPEC,DATOS!$E3037,nASIG,DATOS!$I3037,nEVAL,"EX")=0),0))))</f>
      </c>
      <c r="H3037">
        <f>IF(DATOS!$G3037&lt;&gt;"EX",0,--(COUNTIFS(nNIA,DATOS!$A3037,nCURSO,DATOS!$D3037,nESPEC,DATOS!$E3037,nASIG,DATOS!$I3037,nEVAL,"OR")=0))</f>
      </c>
      <c r="I3037">
        <f>IF(DATOS!$I3037="","",IFERROR(VLOOKUP(DATOS!$I3037,CONFIG_ASIGNATURAS!$B$2:$J$91,9,FALSE()),""))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IF(DATOS!$A3038="",0,IF(CONFIG_METADATA!$B$4&lt;&gt;"OR+EX",--(DATOS!$G3038=CONFIG_METADATA!$B$4),IF(DATOS!$G3038="EX",1,IF(DATOS!$G3038="OR",--(COUNTIFS(nNIA,DATOS!$A3038,nCURSO,DATOS!$D3038,nESPEC,DATOS!$E3038,nASIG,DATOS!$I3038,nEVAL,"EX")=0),0))))</f>
      </c>
      <c r="H3038">
        <f>IF(DATOS!$G3038&lt;&gt;"EX",0,--(COUNTIFS(nNIA,DATOS!$A3038,nCURSO,DATOS!$D3038,nESPEC,DATOS!$E3038,nASIG,DATOS!$I3038,nEVAL,"OR")=0))</f>
      </c>
      <c r="I3038">
        <f>IF(DATOS!$I3038="","",IFERROR(VLOOKUP(DATOS!$I3038,CONFIG_ASIGNATURAS!$B$2:$J$91,9,FALSE()),""))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IF(DATOS!$A3039="",0,IF(CONFIG_METADATA!$B$4&lt;&gt;"OR+EX",--(DATOS!$G3039=CONFIG_METADATA!$B$4),IF(DATOS!$G3039="EX",1,IF(DATOS!$G3039="OR",--(COUNTIFS(nNIA,DATOS!$A3039,nCURSO,DATOS!$D3039,nESPEC,DATOS!$E3039,nASIG,DATOS!$I3039,nEVAL,"EX")=0),0))))</f>
      </c>
      <c r="H3039">
        <f>IF(DATOS!$G3039&lt;&gt;"EX",0,--(COUNTIFS(nNIA,DATOS!$A3039,nCURSO,DATOS!$D3039,nESPEC,DATOS!$E3039,nASIG,DATOS!$I3039,nEVAL,"OR")=0))</f>
      </c>
      <c r="I3039">
        <f>IF(DATOS!$I3039="","",IFERROR(VLOOKUP(DATOS!$I3039,CONFIG_ASIGNATURAS!$B$2:$J$91,9,FALSE()),""))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IF(DATOS!$A3040="",0,IF(CONFIG_METADATA!$B$4&lt;&gt;"OR+EX",--(DATOS!$G3040=CONFIG_METADATA!$B$4),IF(DATOS!$G3040="EX",1,IF(DATOS!$G3040="OR",--(COUNTIFS(nNIA,DATOS!$A3040,nCURSO,DATOS!$D3040,nESPEC,DATOS!$E3040,nASIG,DATOS!$I3040,nEVAL,"EX")=0),0))))</f>
      </c>
      <c r="H3040">
        <f>IF(DATOS!$G3040&lt;&gt;"EX",0,--(COUNTIFS(nNIA,DATOS!$A3040,nCURSO,DATOS!$D3040,nESPEC,DATOS!$E3040,nASIG,DATOS!$I3040,nEVAL,"OR")=0))</f>
      </c>
      <c r="I3040">
        <f>IF(DATOS!$I3040="","",IFERROR(VLOOKUP(DATOS!$I3040,CONFIG_ASIGNATURAS!$B$2:$J$91,9,FALSE()),""))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IF(DATOS!$A3041="",0,IF(CONFIG_METADATA!$B$4&lt;&gt;"OR+EX",--(DATOS!$G3041=CONFIG_METADATA!$B$4),IF(DATOS!$G3041="EX",1,IF(DATOS!$G3041="OR",--(COUNTIFS(nNIA,DATOS!$A3041,nCURSO,DATOS!$D3041,nESPEC,DATOS!$E3041,nASIG,DATOS!$I3041,nEVAL,"EX")=0),0))))</f>
      </c>
      <c r="H3041">
        <f>IF(DATOS!$G3041&lt;&gt;"EX",0,--(COUNTIFS(nNIA,DATOS!$A3041,nCURSO,DATOS!$D3041,nESPEC,DATOS!$E3041,nASIG,DATOS!$I3041,nEVAL,"OR")=0))</f>
      </c>
      <c r="I3041">
        <f>IF(DATOS!$I3041="","",IFERROR(VLOOKUP(DATOS!$I3041,CONFIG_ASIGNATURAS!$B$2:$J$91,9,FALSE()),""))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IF(DATOS!$A3042="",0,IF(CONFIG_METADATA!$B$4&lt;&gt;"OR+EX",--(DATOS!$G3042=CONFIG_METADATA!$B$4),IF(DATOS!$G3042="EX",1,IF(DATOS!$G3042="OR",--(COUNTIFS(nNIA,DATOS!$A3042,nCURSO,DATOS!$D3042,nESPEC,DATOS!$E3042,nASIG,DATOS!$I3042,nEVAL,"EX")=0),0))))</f>
      </c>
      <c r="H3042">
        <f>IF(DATOS!$G3042&lt;&gt;"EX",0,--(COUNTIFS(nNIA,DATOS!$A3042,nCURSO,DATOS!$D3042,nESPEC,DATOS!$E3042,nASIG,DATOS!$I3042,nEVAL,"OR")=0))</f>
      </c>
      <c r="I3042">
        <f>IF(DATOS!$I3042="","",IFERROR(VLOOKUP(DATOS!$I3042,CONFIG_ASIGNATURAS!$B$2:$J$91,9,FALSE()),""))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IF(DATOS!$A3043="",0,IF(CONFIG_METADATA!$B$4&lt;&gt;"OR+EX",--(DATOS!$G3043=CONFIG_METADATA!$B$4),IF(DATOS!$G3043="EX",1,IF(DATOS!$G3043="OR",--(COUNTIFS(nNIA,DATOS!$A3043,nCURSO,DATOS!$D3043,nESPEC,DATOS!$E3043,nASIG,DATOS!$I3043,nEVAL,"EX")=0),0))))</f>
      </c>
      <c r="H3043">
        <f>IF(DATOS!$G3043&lt;&gt;"EX",0,--(COUNTIFS(nNIA,DATOS!$A3043,nCURSO,DATOS!$D3043,nESPEC,DATOS!$E3043,nASIG,DATOS!$I3043,nEVAL,"OR")=0))</f>
      </c>
      <c r="I3043">
        <f>IF(DATOS!$I3043="","",IFERROR(VLOOKUP(DATOS!$I3043,CONFIG_ASIGNATURAS!$B$2:$J$91,9,FALSE()),""))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IF(DATOS!$A3044="",0,IF(CONFIG_METADATA!$B$4&lt;&gt;"OR+EX",--(DATOS!$G3044=CONFIG_METADATA!$B$4),IF(DATOS!$G3044="EX",1,IF(DATOS!$G3044="OR",--(COUNTIFS(nNIA,DATOS!$A3044,nCURSO,DATOS!$D3044,nESPEC,DATOS!$E3044,nASIG,DATOS!$I3044,nEVAL,"EX")=0),0))))</f>
      </c>
      <c r="H3044">
        <f>IF(DATOS!$G3044&lt;&gt;"EX",0,--(COUNTIFS(nNIA,DATOS!$A3044,nCURSO,DATOS!$D3044,nESPEC,DATOS!$E3044,nASIG,DATOS!$I3044,nEVAL,"OR")=0))</f>
      </c>
      <c r="I3044">
        <f>IF(DATOS!$I3044="","",IFERROR(VLOOKUP(DATOS!$I3044,CONFIG_ASIGNATURAS!$B$2:$J$91,9,FALSE()),""))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IF(DATOS!$A3045="",0,IF(CONFIG_METADATA!$B$4&lt;&gt;"OR+EX",--(DATOS!$G3045=CONFIG_METADATA!$B$4),IF(DATOS!$G3045="EX",1,IF(DATOS!$G3045="OR",--(COUNTIFS(nNIA,DATOS!$A3045,nCURSO,DATOS!$D3045,nESPEC,DATOS!$E3045,nASIG,DATOS!$I3045,nEVAL,"EX")=0),0))))</f>
      </c>
      <c r="H3045">
        <f>IF(DATOS!$G3045&lt;&gt;"EX",0,--(COUNTIFS(nNIA,DATOS!$A3045,nCURSO,DATOS!$D3045,nESPEC,DATOS!$E3045,nASIG,DATOS!$I3045,nEVAL,"OR")=0))</f>
      </c>
      <c r="I3045">
        <f>IF(DATOS!$I3045="","",IFERROR(VLOOKUP(DATOS!$I3045,CONFIG_ASIGNATURAS!$B$2:$J$91,9,FALSE()),""))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IF(DATOS!$A3046="",0,IF(CONFIG_METADATA!$B$4&lt;&gt;"OR+EX",--(DATOS!$G3046=CONFIG_METADATA!$B$4),IF(DATOS!$G3046="EX",1,IF(DATOS!$G3046="OR",--(COUNTIFS(nNIA,DATOS!$A3046,nCURSO,DATOS!$D3046,nESPEC,DATOS!$E3046,nASIG,DATOS!$I3046,nEVAL,"EX")=0),0))))</f>
      </c>
      <c r="H3046">
        <f>IF(DATOS!$G3046&lt;&gt;"EX",0,--(COUNTIFS(nNIA,DATOS!$A3046,nCURSO,DATOS!$D3046,nESPEC,DATOS!$E3046,nASIG,DATOS!$I3046,nEVAL,"OR")=0))</f>
      </c>
      <c r="I3046">
        <f>IF(DATOS!$I3046="","",IFERROR(VLOOKUP(DATOS!$I3046,CONFIG_ASIGNATURAS!$B$2:$J$91,9,FALSE()),""))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IF(DATOS!$A3047="",0,IF(CONFIG_METADATA!$B$4&lt;&gt;"OR+EX",--(DATOS!$G3047=CONFIG_METADATA!$B$4),IF(DATOS!$G3047="EX",1,IF(DATOS!$G3047="OR",--(COUNTIFS(nNIA,DATOS!$A3047,nCURSO,DATOS!$D3047,nESPEC,DATOS!$E3047,nASIG,DATOS!$I3047,nEVAL,"EX")=0),0))))</f>
      </c>
      <c r="H3047">
        <f>IF(DATOS!$G3047&lt;&gt;"EX",0,--(COUNTIFS(nNIA,DATOS!$A3047,nCURSO,DATOS!$D3047,nESPEC,DATOS!$E3047,nASIG,DATOS!$I3047,nEVAL,"OR")=0))</f>
      </c>
      <c r="I3047">
        <f>IF(DATOS!$I3047="","",IFERROR(VLOOKUP(DATOS!$I3047,CONFIG_ASIGNATURAS!$B$2:$J$91,9,FALSE()),""))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IF(DATOS!$A3048="",0,IF(CONFIG_METADATA!$B$4&lt;&gt;"OR+EX",--(DATOS!$G3048=CONFIG_METADATA!$B$4),IF(DATOS!$G3048="EX",1,IF(DATOS!$G3048="OR",--(COUNTIFS(nNIA,DATOS!$A3048,nCURSO,DATOS!$D3048,nESPEC,DATOS!$E3048,nASIG,DATOS!$I3048,nEVAL,"EX")=0),0))))</f>
      </c>
      <c r="H3048">
        <f>IF(DATOS!$G3048&lt;&gt;"EX",0,--(COUNTIFS(nNIA,DATOS!$A3048,nCURSO,DATOS!$D3048,nESPEC,DATOS!$E3048,nASIG,DATOS!$I3048,nEVAL,"OR")=0))</f>
      </c>
      <c r="I3048">
        <f>IF(DATOS!$I3048="","",IFERROR(VLOOKUP(DATOS!$I3048,CONFIG_ASIGNATURAS!$B$2:$J$91,9,FALSE()),""))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IF(DATOS!$A3049="",0,IF(CONFIG_METADATA!$B$4&lt;&gt;"OR+EX",--(DATOS!$G3049=CONFIG_METADATA!$B$4),IF(DATOS!$G3049="EX",1,IF(DATOS!$G3049="OR",--(COUNTIFS(nNIA,DATOS!$A3049,nCURSO,DATOS!$D3049,nESPEC,DATOS!$E3049,nASIG,DATOS!$I3049,nEVAL,"EX")=0),0))))</f>
      </c>
      <c r="H3049">
        <f>IF(DATOS!$G3049&lt;&gt;"EX",0,--(COUNTIFS(nNIA,DATOS!$A3049,nCURSO,DATOS!$D3049,nESPEC,DATOS!$E3049,nASIG,DATOS!$I3049,nEVAL,"OR")=0))</f>
      </c>
      <c r="I3049">
        <f>IF(DATOS!$I3049="","",IFERROR(VLOOKUP(DATOS!$I3049,CONFIG_ASIGNATURAS!$B$2:$J$91,9,FALSE()),""))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IF(DATOS!$A3050="",0,IF(CONFIG_METADATA!$B$4&lt;&gt;"OR+EX",--(DATOS!$G3050=CONFIG_METADATA!$B$4),IF(DATOS!$G3050="EX",1,IF(DATOS!$G3050="OR",--(COUNTIFS(nNIA,DATOS!$A3050,nCURSO,DATOS!$D3050,nESPEC,DATOS!$E3050,nASIG,DATOS!$I3050,nEVAL,"EX")=0),0))))</f>
      </c>
      <c r="H3050">
        <f>IF(DATOS!$G3050&lt;&gt;"EX",0,--(COUNTIFS(nNIA,DATOS!$A3050,nCURSO,DATOS!$D3050,nESPEC,DATOS!$E3050,nASIG,DATOS!$I3050,nEVAL,"OR")=0))</f>
      </c>
      <c r="I3050">
        <f>IF(DATOS!$I3050="","",IFERROR(VLOOKUP(DATOS!$I3050,CONFIG_ASIGNATURAS!$B$2:$J$91,9,FALSE()),""))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IF(DATOS!$A3051="",0,IF(CONFIG_METADATA!$B$4&lt;&gt;"OR+EX",--(DATOS!$G3051=CONFIG_METADATA!$B$4),IF(DATOS!$G3051="EX",1,IF(DATOS!$G3051="OR",--(COUNTIFS(nNIA,DATOS!$A3051,nCURSO,DATOS!$D3051,nESPEC,DATOS!$E3051,nASIG,DATOS!$I3051,nEVAL,"EX")=0),0))))</f>
      </c>
      <c r="H3051">
        <f>IF(DATOS!$G3051&lt;&gt;"EX",0,--(COUNTIFS(nNIA,DATOS!$A3051,nCURSO,DATOS!$D3051,nESPEC,DATOS!$E3051,nASIG,DATOS!$I3051,nEVAL,"OR")=0))</f>
      </c>
      <c r="I3051">
        <f>IF(DATOS!$I3051="","",IFERROR(VLOOKUP(DATOS!$I3051,CONFIG_ASIGNATURAS!$B$2:$J$91,9,FALSE()),""))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IF(DATOS!$A3052="",0,IF(CONFIG_METADATA!$B$4&lt;&gt;"OR+EX",--(DATOS!$G3052=CONFIG_METADATA!$B$4),IF(DATOS!$G3052="EX",1,IF(DATOS!$G3052="OR",--(COUNTIFS(nNIA,DATOS!$A3052,nCURSO,DATOS!$D3052,nESPEC,DATOS!$E3052,nASIG,DATOS!$I3052,nEVAL,"EX")=0),0))))</f>
      </c>
      <c r="H3052">
        <f>IF(DATOS!$G3052&lt;&gt;"EX",0,--(COUNTIFS(nNIA,DATOS!$A3052,nCURSO,DATOS!$D3052,nESPEC,DATOS!$E3052,nASIG,DATOS!$I3052,nEVAL,"OR")=0))</f>
      </c>
      <c r="I3052">
        <f>IF(DATOS!$I3052="","",IFERROR(VLOOKUP(DATOS!$I3052,CONFIG_ASIGNATURAS!$B$2:$J$91,9,FALSE()),""))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IF(DATOS!$A3053="",0,IF(CONFIG_METADATA!$B$4&lt;&gt;"OR+EX",--(DATOS!$G3053=CONFIG_METADATA!$B$4),IF(DATOS!$G3053="EX",1,IF(DATOS!$G3053="OR",--(COUNTIFS(nNIA,DATOS!$A3053,nCURSO,DATOS!$D3053,nESPEC,DATOS!$E3053,nASIG,DATOS!$I3053,nEVAL,"EX")=0),0))))</f>
      </c>
      <c r="H3053">
        <f>IF(DATOS!$G3053&lt;&gt;"EX",0,--(COUNTIFS(nNIA,DATOS!$A3053,nCURSO,DATOS!$D3053,nESPEC,DATOS!$E3053,nASIG,DATOS!$I3053,nEVAL,"OR")=0))</f>
      </c>
      <c r="I3053">
        <f>IF(DATOS!$I3053="","",IFERROR(VLOOKUP(DATOS!$I3053,CONFIG_ASIGNATURAS!$B$2:$J$91,9,FALSE()),""))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IF(DATOS!$A3054="",0,IF(CONFIG_METADATA!$B$4&lt;&gt;"OR+EX",--(DATOS!$G3054=CONFIG_METADATA!$B$4),IF(DATOS!$G3054="EX",1,IF(DATOS!$G3054="OR",--(COUNTIFS(nNIA,DATOS!$A3054,nCURSO,DATOS!$D3054,nESPEC,DATOS!$E3054,nASIG,DATOS!$I3054,nEVAL,"EX")=0),0))))</f>
      </c>
      <c r="H3054">
        <f>IF(DATOS!$G3054&lt;&gt;"EX",0,--(COUNTIFS(nNIA,DATOS!$A3054,nCURSO,DATOS!$D3054,nESPEC,DATOS!$E3054,nASIG,DATOS!$I3054,nEVAL,"OR")=0))</f>
      </c>
      <c r="I3054">
        <f>IF(DATOS!$I3054="","",IFERROR(VLOOKUP(DATOS!$I3054,CONFIG_ASIGNATURAS!$B$2:$J$91,9,FALSE()),""))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IF(DATOS!$A3055="",0,IF(CONFIG_METADATA!$B$4&lt;&gt;"OR+EX",--(DATOS!$G3055=CONFIG_METADATA!$B$4),IF(DATOS!$G3055="EX",1,IF(DATOS!$G3055="OR",--(COUNTIFS(nNIA,DATOS!$A3055,nCURSO,DATOS!$D3055,nESPEC,DATOS!$E3055,nASIG,DATOS!$I3055,nEVAL,"EX")=0),0))))</f>
      </c>
      <c r="H3055">
        <f>IF(DATOS!$G3055&lt;&gt;"EX",0,--(COUNTIFS(nNIA,DATOS!$A3055,nCURSO,DATOS!$D3055,nESPEC,DATOS!$E3055,nASIG,DATOS!$I3055,nEVAL,"OR")=0))</f>
      </c>
      <c r="I3055">
        <f>IF(DATOS!$I3055="","",IFERROR(VLOOKUP(DATOS!$I3055,CONFIG_ASIGNATURAS!$B$2:$J$91,9,FALSE()),""))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IF(DATOS!$A3056="",0,IF(CONFIG_METADATA!$B$4&lt;&gt;"OR+EX",--(DATOS!$G3056=CONFIG_METADATA!$B$4),IF(DATOS!$G3056="EX",1,IF(DATOS!$G3056="OR",--(COUNTIFS(nNIA,DATOS!$A3056,nCURSO,DATOS!$D3056,nESPEC,DATOS!$E3056,nASIG,DATOS!$I3056,nEVAL,"EX")=0),0))))</f>
      </c>
      <c r="H3056">
        <f>IF(DATOS!$G3056&lt;&gt;"EX",0,--(COUNTIFS(nNIA,DATOS!$A3056,nCURSO,DATOS!$D3056,nESPEC,DATOS!$E3056,nASIG,DATOS!$I3056,nEVAL,"OR")=0))</f>
      </c>
      <c r="I3056">
        <f>IF(DATOS!$I3056="","",IFERROR(VLOOKUP(DATOS!$I3056,CONFIG_ASIGNATURAS!$B$2:$J$91,9,FALSE()),""))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IF(DATOS!$A3057="",0,IF(CONFIG_METADATA!$B$4&lt;&gt;"OR+EX",--(DATOS!$G3057=CONFIG_METADATA!$B$4),IF(DATOS!$G3057="EX",1,IF(DATOS!$G3057="OR",--(COUNTIFS(nNIA,DATOS!$A3057,nCURSO,DATOS!$D3057,nESPEC,DATOS!$E3057,nASIG,DATOS!$I3057,nEVAL,"EX")=0),0))))</f>
      </c>
      <c r="H3057">
        <f>IF(DATOS!$G3057&lt;&gt;"EX",0,--(COUNTIFS(nNIA,DATOS!$A3057,nCURSO,DATOS!$D3057,nESPEC,DATOS!$E3057,nASIG,DATOS!$I3057,nEVAL,"OR")=0))</f>
      </c>
      <c r="I3057">
        <f>IF(DATOS!$I3057="","",IFERROR(VLOOKUP(DATOS!$I3057,CONFIG_ASIGNATURAS!$B$2:$J$91,9,FALSE()),""))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IF(DATOS!$A3058="",0,IF(CONFIG_METADATA!$B$4&lt;&gt;"OR+EX",--(DATOS!$G3058=CONFIG_METADATA!$B$4),IF(DATOS!$G3058="EX",1,IF(DATOS!$G3058="OR",--(COUNTIFS(nNIA,DATOS!$A3058,nCURSO,DATOS!$D3058,nESPEC,DATOS!$E3058,nASIG,DATOS!$I3058,nEVAL,"EX")=0),0))))</f>
      </c>
      <c r="H3058">
        <f>IF(DATOS!$G3058&lt;&gt;"EX",0,--(COUNTIFS(nNIA,DATOS!$A3058,nCURSO,DATOS!$D3058,nESPEC,DATOS!$E3058,nASIG,DATOS!$I3058,nEVAL,"OR")=0))</f>
      </c>
      <c r="I3058">
        <f>IF(DATOS!$I3058="","",IFERROR(VLOOKUP(DATOS!$I3058,CONFIG_ASIGNATURAS!$B$2:$J$91,9,FALSE()),""))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IF(DATOS!$A3059="",0,IF(CONFIG_METADATA!$B$4&lt;&gt;"OR+EX",--(DATOS!$G3059=CONFIG_METADATA!$B$4),IF(DATOS!$G3059="EX",1,IF(DATOS!$G3059="OR",--(COUNTIFS(nNIA,DATOS!$A3059,nCURSO,DATOS!$D3059,nESPEC,DATOS!$E3059,nASIG,DATOS!$I3059,nEVAL,"EX")=0),0))))</f>
      </c>
      <c r="H3059">
        <f>IF(DATOS!$G3059&lt;&gt;"EX",0,--(COUNTIFS(nNIA,DATOS!$A3059,nCURSO,DATOS!$D3059,nESPEC,DATOS!$E3059,nASIG,DATOS!$I3059,nEVAL,"OR")=0))</f>
      </c>
      <c r="I3059">
        <f>IF(DATOS!$I3059="","",IFERROR(VLOOKUP(DATOS!$I3059,CONFIG_ASIGNATURAS!$B$2:$J$91,9,FALSE()),""))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IF(DATOS!$A3060="",0,IF(CONFIG_METADATA!$B$4&lt;&gt;"OR+EX",--(DATOS!$G3060=CONFIG_METADATA!$B$4),IF(DATOS!$G3060="EX",1,IF(DATOS!$G3060="OR",--(COUNTIFS(nNIA,DATOS!$A3060,nCURSO,DATOS!$D3060,nESPEC,DATOS!$E3060,nASIG,DATOS!$I3060,nEVAL,"EX")=0),0))))</f>
      </c>
      <c r="H3060">
        <f>IF(DATOS!$G3060&lt;&gt;"EX",0,--(COUNTIFS(nNIA,DATOS!$A3060,nCURSO,DATOS!$D3060,nESPEC,DATOS!$E3060,nASIG,DATOS!$I3060,nEVAL,"OR")=0))</f>
      </c>
      <c r="I3060">
        <f>IF(DATOS!$I3060="","",IFERROR(VLOOKUP(DATOS!$I3060,CONFIG_ASIGNATURAS!$B$2:$J$91,9,FALSE()),""))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IF(DATOS!$A3061="",0,IF(CONFIG_METADATA!$B$4&lt;&gt;"OR+EX",--(DATOS!$G3061=CONFIG_METADATA!$B$4),IF(DATOS!$G3061="EX",1,IF(DATOS!$G3061="OR",--(COUNTIFS(nNIA,DATOS!$A3061,nCURSO,DATOS!$D3061,nESPEC,DATOS!$E3061,nASIG,DATOS!$I3061,nEVAL,"EX")=0),0))))</f>
      </c>
      <c r="H3061">
        <f>IF(DATOS!$G3061&lt;&gt;"EX",0,--(COUNTIFS(nNIA,DATOS!$A3061,nCURSO,DATOS!$D3061,nESPEC,DATOS!$E3061,nASIG,DATOS!$I3061,nEVAL,"OR")=0))</f>
      </c>
      <c r="I3061">
        <f>IF(DATOS!$I3061="","",IFERROR(VLOOKUP(DATOS!$I3061,CONFIG_ASIGNATURAS!$B$2:$J$91,9,FALSE()),""))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IF(DATOS!$A3062="",0,IF(CONFIG_METADATA!$B$4&lt;&gt;"OR+EX",--(DATOS!$G3062=CONFIG_METADATA!$B$4),IF(DATOS!$G3062="EX",1,IF(DATOS!$G3062="OR",--(COUNTIFS(nNIA,DATOS!$A3062,nCURSO,DATOS!$D3062,nESPEC,DATOS!$E3062,nASIG,DATOS!$I3062,nEVAL,"EX")=0),0))))</f>
      </c>
      <c r="H3062">
        <f>IF(DATOS!$G3062&lt;&gt;"EX",0,--(COUNTIFS(nNIA,DATOS!$A3062,nCURSO,DATOS!$D3062,nESPEC,DATOS!$E3062,nASIG,DATOS!$I3062,nEVAL,"OR")=0))</f>
      </c>
      <c r="I3062">
        <f>IF(DATOS!$I3062="","",IFERROR(VLOOKUP(DATOS!$I3062,CONFIG_ASIGNATURAS!$B$2:$J$91,9,FALSE()),""))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IF(DATOS!$A3063="",0,IF(CONFIG_METADATA!$B$4&lt;&gt;"OR+EX",--(DATOS!$G3063=CONFIG_METADATA!$B$4),IF(DATOS!$G3063="EX",1,IF(DATOS!$G3063="OR",--(COUNTIFS(nNIA,DATOS!$A3063,nCURSO,DATOS!$D3063,nESPEC,DATOS!$E3063,nASIG,DATOS!$I3063,nEVAL,"EX")=0),0))))</f>
      </c>
      <c r="H3063">
        <f>IF(DATOS!$G3063&lt;&gt;"EX",0,--(COUNTIFS(nNIA,DATOS!$A3063,nCURSO,DATOS!$D3063,nESPEC,DATOS!$E3063,nASIG,DATOS!$I3063,nEVAL,"OR")=0))</f>
      </c>
      <c r="I3063">
        <f>IF(DATOS!$I3063="","",IFERROR(VLOOKUP(DATOS!$I3063,CONFIG_ASIGNATURAS!$B$2:$J$91,9,FALSE()),""))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IF(DATOS!$A3064="",0,IF(CONFIG_METADATA!$B$4&lt;&gt;"OR+EX",--(DATOS!$G3064=CONFIG_METADATA!$B$4),IF(DATOS!$G3064="EX",1,IF(DATOS!$G3064="OR",--(COUNTIFS(nNIA,DATOS!$A3064,nCURSO,DATOS!$D3064,nESPEC,DATOS!$E3064,nASIG,DATOS!$I3064,nEVAL,"EX")=0),0))))</f>
      </c>
      <c r="H3064">
        <f>IF(DATOS!$G3064&lt;&gt;"EX",0,--(COUNTIFS(nNIA,DATOS!$A3064,nCURSO,DATOS!$D3064,nESPEC,DATOS!$E3064,nASIG,DATOS!$I3064,nEVAL,"OR")=0))</f>
      </c>
      <c r="I3064">
        <f>IF(DATOS!$I3064="","",IFERROR(VLOOKUP(DATOS!$I3064,CONFIG_ASIGNATURAS!$B$2:$J$91,9,FALSE()),""))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IF(DATOS!$A3065="",0,IF(CONFIG_METADATA!$B$4&lt;&gt;"OR+EX",--(DATOS!$G3065=CONFIG_METADATA!$B$4),IF(DATOS!$G3065="EX",1,IF(DATOS!$G3065="OR",--(COUNTIFS(nNIA,DATOS!$A3065,nCURSO,DATOS!$D3065,nESPEC,DATOS!$E3065,nASIG,DATOS!$I3065,nEVAL,"EX")=0),0))))</f>
      </c>
      <c r="H3065">
        <f>IF(DATOS!$G3065&lt;&gt;"EX",0,--(COUNTIFS(nNIA,DATOS!$A3065,nCURSO,DATOS!$D3065,nESPEC,DATOS!$E3065,nASIG,DATOS!$I3065,nEVAL,"OR")=0))</f>
      </c>
      <c r="I3065">
        <f>IF(DATOS!$I3065="","",IFERROR(VLOOKUP(DATOS!$I3065,CONFIG_ASIGNATURAS!$B$2:$J$91,9,FALSE()),""))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IF(DATOS!$A3066="",0,IF(CONFIG_METADATA!$B$4&lt;&gt;"OR+EX",--(DATOS!$G3066=CONFIG_METADATA!$B$4),IF(DATOS!$G3066="EX",1,IF(DATOS!$G3066="OR",--(COUNTIFS(nNIA,DATOS!$A3066,nCURSO,DATOS!$D3066,nESPEC,DATOS!$E3066,nASIG,DATOS!$I3066,nEVAL,"EX")=0),0))))</f>
      </c>
      <c r="H3066">
        <f>IF(DATOS!$G3066&lt;&gt;"EX",0,--(COUNTIFS(nNIA,DATOS!$A3066,nCURSO,DATOS!$D3066,nESPEC,DATOS!$E3066,nASIG,DATOS!$I3066,nEVAL,"OR")=0))</f>
      </c>
      <c r="I3066">
        <f>IF(DATOS!$I3066="","",IFERROR(VLOOKUP(DATOS!$I3066,CONFIG_ASIGNATURAS!$B$2:$J$91,9,FALSE()),""))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IF(DATOS!$A3067="",0,IF(CONFIG_METADATA!$B$4&lt;&gt;"OR+EX",--(DATOS!$G3067=CONFIG_METADATA!$B$4),IF(DATOS!$G3067="EX",1,IF(DATOS!$G3067="OR",--(COUNTIFS(nNIA,DATOS!$A3067,nCURSO,DATOS!$D3067,nESPEC,DATOS!$E3067,nASIG,DATOS!$I3067,nEVAL,"EX")=0),0))))</f>
      </c>
      <c r="H3067">
        <f>IF(DATOS!$G3067&lt;&gt;"EX",0,--(COUNTIFS(nNIA,DATOS!$A3067,nCURSO,DATOS!$D3067,nESPEC,DATOS!$E3067,nASIG,DATOS!$I3067,nEVAL,"OR")=0))</f>
      </c>
      <c r="I3067">
        <f>IF(DATOS!$I3067="","",IFERROR(VLOOKUP(DATOS!$I3067,CONFIG_ASIGNATURAS!$B$2:$J$91,9,FALSE()),""))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IF(DATOS!$A3068="",0,IF(CONFIG_METADATA!$B$4&lt;&gt;"OR+EX",--(DATOS!$G3068=CONFIG_METADATA!$B$4),IF(DATOS!$G3068="EX",1,IF(DATOS!$G3068="OR",--(COUNTIFS(nNIA,DATOS!$A3068,nCURSO,DATOS!$D3068,nESPEC,DATOS!$E3068,nASIG,DATOS!$I3068,nEVAL,"EX")=0),0))))</f>
      </c>
      <c r="H3068">
        <f>IF(DATOS!$G3068&lt;&gt;"EX",0,--(COUNTIFS(nNIA,DATOS!$A3068,nCURSO,DATOS!$D3068,nESPEC,DATOS!$E3068,nASIG,DATOS!$I3068,nEVAL,"OR")=0))</f>
      </c>
      <c r="I3068">
        <f>IF(DATOS!$I3068="","",IFERROR(VLOOKUP(DATOS!$I3068,CONFIG_ASIGNATURAS!$B$2:$J$91,9,FALSE()),""))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IF(DATOS!$A3069="",0,IF(CONFIG_METADATA!$B$4&lt;&gt;"OR+EX",--(DATOS!$G3069=CONFIG_METADATA!$B$4),IF(DATOS!$G3069="EX",1,IF(DATOS!$G3069="OR",--(COUNTIFS(nNIA,DATOS!$A3069,nCURSO,DATOS!$D3069,nESPEC,DATOS!$E3069,nASIG,DATOS!$I3069,nEVAL,"EX")=0),0))))</f>
      </c>
      <c r="H3069">
        <f>IF(DATOS!$G3069&lt;&gt;"EX",0,--(COUNTIFS(nNIA,DATOS!$A3069,nCURSO,DATOS!$D3069,nESPEC,DATOS!$E3069,nASIG,DATOS!$I3069,nEVAL,"OR")=0))</f>
      </c>
      <c r="I3069">
        <f>IF(DATOS!$I3069="","",IFERROR(VLOOKUP(DATOS!$I3069,CONFIG_ASIGNATURAS!$B$2:$J$91,9,FALSE()),""))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IF(DATOS!$A3070="",0,IF(CONFIG_METADATA!$B$4&lt;&gt;"OR+EX",--(DATOS!$G3070=CONFIG_METADATA!$B$4),IF(DATOS!$G3070="EX",1,IF(DATOS!$G3070="OR",--(COUNTIFS(nNIA,DATOS!$A3070,nCURSO,DATOS!$D3070,nESPEC,DATOS!$E3070,nASIG,DATOS!$I3070,nEVAL,"EX")=0),0))))</f>
      </c>
      <c r="H3070">
        <f>IF(DATOS!$G3070&lt;&gt;"EX",0,--(COUNTIFS(nNIA,DATOS!$A3070,nCURSO,DATOS!$D3070,nESPEC,DATOS!$E3070,nASIG,DATOS!$I3070,nEVAL,"OR")=0))</f>
      </c>
      <c r="I3070">
        <f>IF(DATOS!$I3070="","",IFERROR(VLOOKUP(DATOS!$I3070,CONFIG_ASIGNATURAS!$B$2:$J$91,9,FALSE()),""))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IF(DATOS!$A3071="",0,IF(CONFIG_METADATA!$B$4&lt;&gt;"OR+EX",--(DATOS!$G3071=CONFIG_METADATA!$B$4),IF(DATOS!$G3071="EX",1,IF(DATOS!$G3071="OR",--(COUNTIFS(nNIA,DATOS!$A3071,nCURSO,DATOS!$D3071,nESPEC,DATOS!$E3071,nASIG,DATOS!$I3071,nEVAL,"EX")=0),0))))</f>
      </c>
      <c r="H3071">
        <f>IF(DATOS!$G3071&lt;&gt;"EX",0,--(COUNTIFS(nNIA,DATOS!$A3071,nCURSO,DATOS!$D3071,nESPEC,DATOS!$E3071,nASIG,DATOS!$I3071,nEVAL,"OR")=0))</f>
      </c>
      <c r="I3071">
        <f>IF(DATOS!$I3071="","",IFERROR(VLOOKUP(DATOS!$I3071,CONFIG_ASIGNATURAS!$B$2:$J$91,9,FALSE()),""))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IF(DATOS!$A3072="",0,IF(CONFIG_METADATA!$B$4&lt;&gt;"OR+EX",--(DATOS!$G3072=CONFIG_METADATA!$B$4),IF(DATOS!$G3072="EX",1,IF(DATOS!$G3072="OR",--(COUNTIFS(nNIA,DATOS!$A3072,nCURSO,DATOS!$D3072,nESPEC,DATOS!$E3072,nASIG,DATOS!$I3072,nEVAL,"EX")=0),0))))</f>
      </c>
      <c r="H3072">
        <f>IF(DATOS!$G3072&lt;&gt;"EX",0,--(COUNTIFS(nNIA,DATOS!$A3072,nCURSO,DATOS!$D3072,nESPEC,DATOS!$E3072,nASIG,DATOS!$I3072,nEVAL,"OR")=0))</f>
      </c>
      <c r="I3072">
        <f>IF(DATOS!$I3072="","",IFERROR(VLOOKUP(DATOS!$I3072,CONFIG_ASIGNATURAS!$B$2:$J$91,9,FALSE()),""))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IF(DATOS!$A3073="",0,IF(CONFIG_METADATA!$B$4&lt;&gt;"OR+EX",--(DATOS!$G3073=CONFIG_METADATA!$B$4),IF(DATOS!$G3073="EX",1,IF(DATOS!$G3073="OR",--(COUNTIFS(nNIA,DATOS!$A3073,nCURSO,DATOS!$D3073,nESPEC,DATOS!$E3073,nASIG,DATOS!$I3073,nEVAL,"EX")=0),0))))</f>
      </c>
      <c r="H3073">
        <f>IF(DATOS!$G3073&lt;&gt;"EX",0,--(COUNTIFS(nNIA,DATOS!$A3073,nCURSO,DATOS!$D3073,nESPEC,DATOS!$E3073,nASIG,DATOS!$I3073,nEVAL,"OR")=0))</f>
      </c>
      <c r="I3073">
        <f>IF(DATOS!$I3073="","",IFERROR(VLOOKUP(DATOS!$I3073,CONFIG_ASIGNATURAS!$B$2:$J$91,9,FALSE()),""))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IF(DATOS!$A3074="",0,IF(CONFIG_METADATA!$B$4&lt;&gt;"OR+EX",--(DATOS!$G3074=CONFIG_METADATA!$B$4),IF(DATOS!$G3074="EX",1,IF(DATOS!$G3074="OR",--(COUNTIFS(nNIA,DATOS!$A3074,nCURSO,DATOS!$D3074,nESPEC,DATOS!$E3074,nASIG,DATOS!$I3074,nEVAL,"EX")=0),0))))</f>
      </c>
      <c r="H3074">
        <f>IF(DATOS!$G3074&lt;&gt;"EX",0,--(COUNTIFS(nNIA,DATOS!$A3074,nCURSO,DATOS!$D3074,nESPEC,DATOS!$E3074,nASIG,DATOS!$I3074,nEVAL,"OR")=0))</f>
      </c>
      <c r="I3074">
        <f>IF(DATOS!$I3074="","",IFERROR(VLOOKUP(DATOS!$I3074,CONFIG_ASIGNATURAS!$B$2:$J$91,9,FALSE()),""))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IF(DATOS!$A3075="",0,IF(CONFIG_METADATA!$B$4&lt;&gt;"OR+EX",--(DATOS!$G3075=CONFIG_METADATA!$B$4),IF(DATOS!$G3075="EX",1,IF(DATOS!$G3075="OR",--(COUNTIFS(nNIA,DATOS!$A3075,nCURSO,DATOS!$D3075,nESPEC,DATOS!$E3075,nASIG,DATOS!$I3075,nEVAL,"EX")=0),0))))</f>
      </c>
      <c r="H3075">
        <f>IF(DATOS!$G3075&lt;&gt;"EX",0,--(COUNTIFS(nNIA,DATOS!$A3075,nCURSO,DATOS!$D3075,nESPEC,DATOS!$E3075,nASIG,DATOS!$I3075,nEVAL,"OR")=0))</f>
      </c>
      <c r="I3075">
        <f>IF(DATOS!$I3075="","",IFERROR(VLOOKUP(DATOS!$I3075,CONFIG_ASIGNATURAS!$B$2:$J$91,9,FALSE()),""))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IF(DATOS!$A3076="",0,IF(CONFIG_METADATA!$B$4&lt;&gt;"OR+EX",--(DATOS!$G3076=CONFIG_METADATA!$B$4),IF(DATOS!$G3076="EX",1,IF(DATOS!$G3076="OR",--(COUNTIFS(nNIA,DATOS!$A3076,nCURSO,DATOS!$D3076,nESPEC,DATOS!$E3076,nASIG,DATOS!$I3076,nEVAL,"EX")=0),0))))</f>
      </c>
      <c r="H3076">
        <f>IF(DATOS!$G3076&lt;&gt;"EX",0,--(COUNTIFS(nNIA,DATOS!$A3076,nCURSO,DATOS!$D3076,nESPEC,DATOS!$E3076,nASIG,DATOS!$I3076,nEVAL,"OR")=0))</f>
      </c>
      <c r="I3076">
        <f>IF(DATOS!$I3076="","",IFERROR(VLOOKUP(DATOS!$I3076,CONFIG_ASIGNATURAS!$B$2:$J$91,9,FALSE()),""))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IF(DATOS!$A3077="",0,IF(CONFIG_METADATA!$B$4&lt;&gt;"OR+EX",--(DATOS!$G3077=CONFIG_METADATA!$B$4),IF(DATOS!$G3077="EX",1,IF(DATOS!$G3077="OR",--(COUNTIFS(nNIA,DATOS!$A3077,nCURSO,DATOS!$D3077,nESPEC,DATOS!$E3077,nASIG,DATOS!$I3077,nEVAL,"EX")=0),0))))</f>
      </c>
      <c r="H3077">
        <f>IF(DATOS!$G3077&lt;&gt;"EX",0,--(COUNTIFS(nNIA,DATOS!$A3077,nCURSO,DATOS!$D3077,nESPEC,DATOS!$E3077,nASIG,DATOS!$I3077,nEVAL,"OR")=0))</f>
      </c>
      <c r="I3077">
        <f>IF(DATOS!$I3077="","",IFERROR(VLOOKUP(DATOS!$I3077,CONFIG_ASIGNATURAS!$B$2:$J$91,9,FALSE()),""))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IF(DATOS!$A3078="",0,IF(CONFIG_METADATA!$B$4&lt;&gt;"OR+EX",--(DATOS!$G3078=CONFIG_METADATA!$B$4),IF(DATOS!$G3078="EX",1,IF(DATOS!$G3078="OR",--(COUNTIFS(nNIA,DATOS!$A3078,nCURSO,DATOS!$D3078,nESPEC,DATOS!$E3078,nASIG,DATOS!$I3078,nEVAL,"EX")=0),0))))</f>
      </c>
      <c r="H3078">
        <f>IF(DATOS!$G3078&lt;&gt;"EX",0,--(COUNTIFS(nNIA,DATOS!$A3078,nCURSO,DATOS!$D3078,nESPEC,DATOS!$E3078,nASIG,DATOS!$I3078,nEVAL,"OR")=0))</f>
      </c>
      <c r="I3078">
        <f>IF(DATOS!$I3078="","",IFERROR(VLOOKUP(DATOS!$I3078,CONFIG_ASIGNATURAS!$B$2:$J$91,9,FALSE()),""))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IF(DATOS!$A3079="",0,IF(CONFIG_METADATA!$B$4&lt;&gt;"OR+EX",--(DATOS!$G3079=CONFIG_METADATA!$B$4),IF(DATOS!$G3079="EX",1,IF(DATOS!$G3079="OR",--(COUNTIFS(nNIA,DATOS!$A3079,nCURSO,DATOS!$D3079,nESPEC,DATOS!$E3079,nASIG,DATOS!$I3079,nEVAL,"EX")=0),0))))</f>
      </c>
      <c r="H3079">
        <f>IF(DATOS!$G3079&lt;&gt;"EX",0,--(COUNTIFS(nNIA,DATOS!$A3079,nCURSO,DATOS!$D3079,nESPEC,DATOS!$E3079,nASIG,DATOS!$I3079,nEVAL,"OR")=0))</f>
      </c>
      <c r="I3079">
        <f>IF(DATOS!$I3079="","",IFERROR(VLOOKUP(DATOS!$I3079,CONFIG_ASIGNATURAS!$B$2:$J$91,9,FALSE()),""))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IF(DATOS!$A3080="",0,IF(CONFIG_METADATA!$B$4&lt;&gt;"OR+EX",--(DATOS!$G3080=CONFIG_METADATA!$B$4),IF(DATOS!$G3080="EX",1,IF(DATOS!$G3080="OR",--(COUNTIFS(nNIA,DATOS!$A3080,nCURSO,DATOS!$D3080,nESPEC,DATOS!$E3080,nASIG,DATOS!$I3080,nEVAL,"EX")=0),0))))</f>
      </c>
      <c r="H3080">
        <f>IF(DATOS!$G3080&lt;&gt;"EX",0,--(COUNTIFS(nNIA,DATOS!$A3080,nCURSO,DATOS!$D3080,nESPEC,DATOS!$E3080,nASIG,DATOS!$I3080,nEVAL,"OR")=0))</f>
      </c>
      <c r="I3080">
        <f>IF(DATOS!$I3080="","",IFERROR(VLOOKUP(DATOS!$I3080,CONFIG_ASIGNATURAS!$B$2:$J$91,9,FALSE()),""))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IF(DATOS!$A3081="",0,IF(CONFIG_METADATA!$B$4&lt;&gt;"OR+EX",--(DATOS!$G3081=CONFIG_METADATA!$B$4),IF(DATOS!$G3081="EX",1,IF(DATOS!$G3081="OR",--(COUNTIFS(nNIA,DATOS!$A3081,nCURSO,DATOS!$D3081,nESPEC,DATOS!$E3081,nASIG,DATOS!$I3081,nEVAL,"EX")=0),0))))</f>
      </c>
      <c r="H3081">
        <f>IF(DATOS!$G3081&lt;&gt;"EX",0,--(COUNTIFS(nNIA,DATOS!$A3081,nCURSO,DATOS!$D3081,nESPEC,DATOS!$E3081,nASIG,DATOS!$I3081,nEVAL,"OR")=0))</f>
      </c>
      <c r="I3081">
        <f>IF(DATOS!$I3081="","",IFERROR(VLOOKUP(DATOS!$I3081,CONFIG_ASIGNATURAS!$B$2:$J$91,9,FALSE()),""))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IF(DATOS!$A3082="",0,IF(CONFIG_METADATA!$B$4&lt;&gt;"OR+EX",--(DATOS!$G3082=CONFIG_METADATA!$B$4),IF(DATOS!$G3082="EX",1,IF(DATOS!$G3082="OR",--(COUNTIFS(nNIA,DATOS!$A3082,nCURSO,DATOS!$D3082,nESPEC,DATOS!$E3082,nASIG,DATOS!$I3082,nEVAL,"EX")=0),0))))</f>
      </c>
      <c r="H3082">
        <f>IF(DATOS!$G3082&lt;&gt;"EX",0,--(COUNTIFS(nNIA,DATOS!$A3082,nCURSO,DATOS!$D3082,nESPEC,DATOS!$E3082,nASIG,DATOS!$I3082,nEVAL,"OR")=0))</f>
      </c>
      <c r="I3082">
        <f>IF(DATOS!$I3082="","",IFERROR(VLOOKUP(DATOS!$I3082,CONFIG_ASIGNATURAS!$B$2:$J$91,9,FALSE()),""))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IF(DATOS!$A3083="",0,IF(CONFIG_METADATA!$B$4&lt;&gt;"OR+EX",--(DATOS!$G3083=CONFIG_METADATA!$B$4),IF(DATOS!$G3083="EX",1,IF(DATOS!$G3083="OR",--(COUNTIFS(nNIA,DATOS!$A3083,nCURSO,DATOS!$D3083,nESPEC,DATOS!$E3083,nASIG,DATOS!$I3083,nEVAL,"EX")=0),0))))</f>
      </c>
      <c r="H3083">
        <f>IF(DATOS!$G3083&lt;&gt;"EX",0,--(COUNTIFS(nNIA,DATOS!$A3083,nCURSO,DATOS!$D3083,nESPEC,DATOS!$E3083,nASIG,DATOS!$I3083,nEVAL,"OR")=0))</f>
      </c>
      <c r="I3083">
        <f>IF(DATOS!$I3083="","",IFERROR(VLOOKUP(DATOS!$I3083,CONFIG_ASIGNATURAS!$B$2:$J$91,9,FALSE()),""))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IF(DATOS!$A3084="",0,IF(CONFIG_METADATA!$B$4&lt;&gt;"OR+EX",--(DATOS!$G3084=CONFIG_METADATA!$B$4),IF(DATOS!$G3084="EX",1,IF(DATOS!$G3084="OR",--(COUNTIFS(nNIA,DATOS!$A3084,nCURSO,DATOS!$D3084,nESPEC,DATOS!$E3084,nASIG,DATOS!$I3084,nEVAL,"EX")=0),0))))</f>
      </c>
      <c r="H3084">
        <f>IF(DATOS!$G3084&lt;&gt;"EX",0,--(COUNTIFS(nNIA,DATOS!$A3084,nCURSO,DATOS!$D3084,nESPEC,DATOS!$E3084,nASIG,DATOS!$I3084,nEVAL,"OR")=0))</f>
      </c>
      <c r="I3084">
        <f>IF(DATOS!$I3084="","",IFERROR(VLOOKUP(DATOS!$I3084,CONFIG_ASIGNATURAS!$B$2:$J$91,9,FALSE()),""))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IF(DATOS!$A3085="",0,IF(CONFIG_METADATA!$B$4&lt;&gt;"OR+EX",--(DATOS!$G3085=CONFIG_METADATA!$B$4),IF(DATOS!$G3085="EX",1,IF(DATOS!$G3085="OR",--(COUNTIFS(nNIA,DATOS!$A3085,nCURSO,DATOS!$D3085,nESPEC,DATOS!$E3085,nASIG,DATOS!$I3085,nEVAL,"EX")=0),0))))</f>
      </c>
      <c r="H3085">
        <f>IF(DATOS!$G3085&lt;&gt;"EX",0,--(COUNTIFS(nNIA,DATOS!$A3085,nCURSO,DATOS!$D3085,nESPEC,DATOS!$E3085,nASIG,DATOS!$I3085,nEVAL,"OR")=0))</f>
      </c>
      <c r="I3085">
        <f>IF(DATOS!$I3085="","",IFERROR(VLOOKUP(DATOS!$I3085,CONFIG_ASIGNATURAS!$B$2:$J$91,9,FALSE()),""))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IF(DATOS!$A3086="",0,IF(CONFIG_METADATA!$B$4&lt;&gt;"OR+EX",--(DATOS!$G3086=CONFIG_METADATA!$B$4),IF(DATOS!$G3086="EX",1,IF(DATOS!$G3086="OR",--(COUNTIFS(nNIA,DATOS!$A3086,nCURSO,DATOS!$D3086,nESPEC,DATOS!$E3086,nASIG,DATOS!$I3086,nEVAL,"EX")=0),0))))</f>
      </c>
      <c r="H3086">
        <f>IF(DATOS!$G3086&lt;&gt;"EX",0,--(COUNTIFS(nNIA,DATOS!$A3086,nCURSO,DATOS!$D3086,nESPEC,DATOS!$E3086,nASIG,DATOS!$I3086,nEVAL,"OR")=0))</f>
      </c>
      <c r="I3086">
        <f>IF(DATOS!$I3086="","",IFERROR(VLOOKUP(DATOS!$I3086,CONFIG_ASIGNATURAS!$B$2:$J$91,9,FALSE()),""))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IF(DATOS!$A3087="",0,IF(CONFIG_METADATA!$B$4&lt;&gt;"OR+EX",--(DATOS!$G3087=CONFIG_METADATA!$B$4),IF(DATOS!$G3087="EX",1,IF(DATOS!$G3087="OR",--(COUNTIFS(nNIA,DATOS!$A3087,nCURSO,DATOS!$D3087,nESPEC,DATOS!$E3087,nASIG,DATOS!$I3087,nEVAL,"EX")=0),0))))</f>
      </c>
      <c r="H3087">
        <f>IF(DATOS!$G3087&lt;&gt;"EX",0,--(COUNTIFS(nNIA,DATOS!$A3087,nCURSO,DATOS!$D3087,nESPEC,DATOS!$E3087,nASIG,DATOS!$I3087,nEVAL,"OR")=0))</f>
      </c>
      <c r="I3087">
        <f>IF(DATOS!$I3087="","",IFERROR(VLOOKUP(DATOS!$I3087,CONFIG_ASIGNATURAS!$B$2:$J$91,9,FALSE()),""))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IF(DATOS!$A3088="",0,IF(CONFIG_METADATA!$B$4&lt;&gt;"OR+EX",--(DATOS!$G3088=CONFIG_METADATA!$B$4),IF(DATOS!$G3088="EX",1,IF(DATOS!$G3088="OR",--(COUNTIFS(nNIA,DATOS!$A3088,nCURSO,DATOS!$D3088,nESPEC,DATOS!$E3088,nASIG,DATOS!$I3088,nEVAL,"EX")=0),0))))</f>
      </c>
      <c r="H3088">
        <f>IF(DATOS!$G3088&lt;&gt;"EX",0,--(COUNTIFS(nNIA,DATOS!$A3088,nCURSO,DATOS!$D3088,nESPEC,DATOS!$E3088,nASIG,DATOS!$I3088,nEVAL,"OR")=0))</f>
      </c>
      <c r="I3088">
        <f>IF(DATOS!$I3088="","",IFERROR(VLOOKUP(DATOS!$I3088,CONFIG_ASIGNATURAS!$B$2:$J$91,9,FALSE()),""))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IF(DATOS!$A3089="",0,IF(CONFIG_METADATA!$B$4&lt;&gt;"OR+EX",--(DATOS!$G3089=CONFIG_METADATA!$B$4),IF(DATOS!$G3089="EX",1,IF(DATOS!$G3089="OR",--(COUNTIFS(nNIA,DATOS!$A3089,nCURSO,DATOS!$D3089,nESPEC,DATOS!$E3089,nASIG,DATOS!$I3089,nEVAL,"EX")=0),0))))</f>
      </c>
      <c r="H3089">
        <f>IF(DATOS!$G3089&lt;&gt;"EX",0,--(COUNTIFS(nNIA,DATOS!$A3089,nCURSO,DATOS!$D3089,nESPEC,DATOS!$E3089,nASIG,DATOS!$I3089,nEVAL,"OR")=0))</f>
      </c>
      <c r="I3089">
        <f>IF(DATOS!$I3089="","",IFERROR(VLOOKUP(DATOS!$I3089,CONFIG_ASIGNATURAS!$B$2:$J$91,9,FALSE()),""))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IF(DATOS!$A3090="",0,IF(CONFIG_METADATA!$B$4&lt;&gt;"OR+EX",--(DATOS!$G3090=CONFIG_METADATA!$B$4),IF(DATOS!$G3090="EX",1,IF(DATOS!$G3090="OR",--(COUNTIFS(nNIA,DATOS!$A3090,nCURSO,DATOS!$D3090,nESPEC,DATOS!$E3090,nASIG,DATOS!$I3090,nEVAL,"EX")=0),0))))</f>
      </c>
      <c r="H3090">
        <f>IF(DATOS!$G3090&lt;&gt;"EX",0,--(COUNTIFS(nNIA,DATOS!$A3090,nCURSO,DATOS!$D3090,nESPEC,DATOS!$E3090,nASIG,DATOS!$I3090,nEVAL,"OR")=0))</f>
      </c>
      <c r="I3090">
        <f>IF(DATOS!$I3090="","",IFERROR(VLOOKUP(DATOS!$I3090,CONFIG_ASIGNATURAS!$B$2:$J$91,9,FALSE()),""))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IF(DATOS!$A3091="",0,IF(CONFIG_METADATA!$B$4&lt;&gt;"OR+EX",--(DATOS!$G3091=CONFIG_METADATA!$B$4),IF(DATOS!$G3091="EX",1,IF(DATOS!$G3091="OR",--(COUNTIFS(nNIA,DATOS!$A3091,nCURSO,DATOS!$D3091,nESPEC,DATOS!$E3091,nASIG,DATOS!$I3091,nEVAL,"EX")=0),0))))</f>
      </c>
      <c r="H3091">
        <f>IF(DATOS!$G3091&lt;&gt;"EX",0,--(COUNTIFS(nNIA,DATOS!$A3091,nCURSO,DATOS!$D3091,nESPEC,DATOS!$E3091,nASIG,DATOS!$I3091,nEVAL,"OR")=0))</f>
      </c>
      <c r="I3091">
        <f>IF(DATOS!$I3091="","",IFERROR(VLOOKUP(DATOS!$I3091,CONFIG_ASIGNATURAS!$B$2:$J$91,9,FALSE()),""))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IF(DATOS!$A3092="",0,IF(CONFIG_METADATA!$B$4&lt;&gt;"OR+EX",--(DATOS!$G3092=CONFIG_METADATA!$B$4),IF(DATOS!$G3092="EX",1,IF(DATOS!$G3092="OR",--(COUNTIFS(nNIA,DATOS!$A3092,nCURSO,DATOS!$D3092,nESPEC,DATOS!$E3092,nASIG,DATOS!$I3092,nEVAL,"EX")=0),0))))</f>
      </c>
      <c r="H3092">
        <f>IF(DATOS!$G3092&lt;&gt;"EX",0,--(COUNTIFS(nNIA,DATOS!$A3092,nCURSO,DATOS!$D3092,nESPEC,DATOS!$E3092,nASIG,DATOS!$I3092,nEVAL,"OR")=0))</f>
      </c>
      <c r="I3092">
        <f>IF(DATOS!$I3092="","",IFERROR(VLOOKUP(DATOS!$I3092,CONFIG_ASIGNATURAS!$B$2:$J$91,9,FALSE()),""))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IF(DATOS!$A3093="",0,IF(CONFIG_METADATA!$B$4&lt;&gt;"OR+EX",--(DATOS!$G3093=CONFIG_METADATA!$B$4),IF(DATOS!$G3093="EX",1,IF(DATOS!$G3093="OR",--(COUNTIFS(nNIA,DATOS!$A3093,nCURSO,DATOS!$D3093,nESPEC,DATOS!$E3093,nASIG,DATOS!$I3093,nEVAL,"EX")=0),0))))</f>
      </c>
      <c r="H3093">
        <f>IF(DATOS!$G3093&lt;&gt;"EX",0,--(COUNTIFS(nNIA,DATOS!$A3093,nCURSO,DATOS!$D3093,nESPEC,DATOS!$E3093,nASIG,DATOS!$I3093,nEVAL,"OR")=0))</f>
      </c>
      <c r="I3093">
        <f>IF(DATOS!$I3093="","",IFERROR(VLOOKUP(DATOS!$I3093,CONFIG_ASIGNATURAS!$B$2:$J$91,9,FALSE()),""))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IF(DATOS!$A3094="",0,IF(CONFIG_METADATA!$B$4&lt;&gt;"OR+EX",--(DATOS!$G3094=CONFIG_METADATA!$B$4),IF(DATOS!$G3094="EX",1,IF(DATOS!$G3094="OR",--(COUNTIFS(nNIA,DATOS!$A3094,nCURSO,DATOS!$D3094,nESPEC,DATOS!$E3094,nASIG,DATOS!$I3094,nEVAL,"EX")=0),0))))</f>
      </c>
      <c r="H3094">
        <f>IF(DATOS!$G3094&lt;&gt;"EX",0,--(COUNTIFS(nNIA,DATOS!$A3094,nCURSO,DATOS!$D3094,nESPEC,DATOS!$E3094,nASIG,DATOS!$I3094,nEVAL,"OR")=0))</f>
      </c>
      <c r="I3094">
        <f>IF(DATOS!$I3094="","",IFERROR(VLOOKUP(DATOS!$I3094,CONFIG_ASIGNATURAS!$B$2:$J$91,9,FALSE()),""))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IF(DATOS!$A3095="",0,IF(CONFIG_METADATA!$B$4&lt;&gt;"OR+EX",--(DATOS!$G3095=CONFIG_METADATA!$B$4),IF(DATOS!$G3095="EX",1,IF(DATOS!$G3095="OR",--(COUNTIFS(nNIA,DATOS!$A3095,nCURSO,DATOS!$D3095,nESPEC,DATOS!$E3095,nASIG,DATOS!$I3095,nEVAL,"EX")=0),0))))</f>
      </c>
      <c r="H3095">
        <f>IF(DATOS!$G3095&lt;&gt;"EX",0,--(COUNTIFS(nNIA,DATOS!$A3095,nCURSO,DATOS!$D3095,nESPEC,DATOS!$E3095,nASIG,DATOS!$I3095,nEVAL,"OR")=0))</f>
      </c>
      <c r="I3095">
        <f>IF(DATOS!$I3095="","",IFERROR(VLOOKUP(DATOS!$I3095,CONFIG_ASIGNATURAS!$B$2:$J$91,9,FALSE()),""))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IF(DATOS!$A3096="",0,IF(CONFIG_METADATA!$B$4&lt;&gt;"OR+EX",--(DATOS!$G3096=CONFIG_METADATA!$B$4),IF(DATOS!$G3096="EX",1,IF(DATOS!$G3096="OR",--(COUNTIFS(nNIA,DATOS!$A3096,nCURSO,DATOS!$D3096,nESPEC,DATOS!$E3096,nASIG,DATOS!$I3096,nEVAL,"EX")=0),0))))</f>
      </c>
      <c r="H3096">
        <f>IF(DATOS!$G3096&lt;&gt;"EX",0,--(COUNTIFS(nNIA,DATOS!$A3096,nCURSO,DATOS!$D3096,nESPEC,DATOS!$E3096,nASIG,DATOS!$I3096,nEVAL,"OR")=0))</f>
      </c>
      <c r="I3096">
        <f>IF(DATOS!$I3096="","",IFERROR(VLOOKUP(DATOS!$I3096,CONFIG_ASIGNATURAS!$B$2:$J$91,9,FALSE()),""))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IF(DATOS!$A3097="",0,IF(CONFIG_METADATA!$B$4&lt;&gt;"OR+EX",--(DATOS!$G3097=CONFIG_METADATA!$B$4),IF(DATOS!$G3097="EX",1,IF(DATOS!$G3097="OR",--(COUNTIFS(nNIA,DATOS!$A3097,nCURSO,DATOS!$D3097,nESPEC,DATOS!$E3097,nASIG,DATOS!$I3097,nEVAL,"EX")=0),0))))</f>
      </c>
      <c r="H3097">
        <f>IF(DATOS!$G3097&lt;&gt;"EX",0,--(COUNTIFS(nNIA,DATOS!$A3097,nCURSO,DATOS!$D3097,nESPEC,DATOS!$E3097,nASIG,DATOS!$I3097,nEVAL,"OR")=0))</f>
      </c>
      <c r="I3097">
        <f>IF(DATOS!$I3097="","",IFERROR(VLOOKUP(DATOS!$I3097,CONFIG_ASIGNATURAS!$B$2:$J$91,9,FALSE()),""))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IF(DATOS!$A3098="",0,IF(CONFIG_METADATA!$B$4&lt;&gt;"OR+EX",--(DATOS!$G3098=CONFIG_METADATA!$B$4),IF(DATOS!$G3098="EX",1,IF(DATOS!$G3098="OR",--(COUNTIFS(nNIA,DATOS!$A3098,nCURSO,DATOS!$D3098,nESPEC,DATOS!$E3098,nASIG,DATOS!$I3098,nEVAL,"EX")=0),0))))</f>
      </c>
      <c r="H3098">
        <f>IF(DATOS!$G3098&lt;&gt;"EX",0,--(COUNTIFS(nNIA,DATOS!$A3098,nCURSO,DATOS!$D3098,nESPEC,DATOS!$E3098,nASIG,DATOS!$I3098,nEVAL,"OR")=0))</f>
      </c>
      <c r="I3098">
        <f>IF(DATOS!$I3098="","",IFERROR(VLOOKUP(DATOS!$I3098,CONFIG_ASIGNATURAS!$B$2:$J$91,9,FALSE()),""))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IF(DATOS!$A3099="",0,IF(CONFIG_METADATA!$B$4&lt;&gt;"OR+EX",--(DATOS!$G3099=CONFIG_METADATA!$B$4),IF(DATOS!$G3099="EX",1,IF(DATOS!$G3099="OR",--(COUNTIFS(nNIA,DATOS!$A3099,nCURSO,DATOS!$D3099,nESPEC,DATOS!$E3099,nASIG,DATOS!$I3099,nEVAL,"EX")=0),0))))</f>
      </c>
      <c r="H3099">
        <f>IF(DATOS!$G3099&lt;&gt;"EX",0,--(COUNTIFS(nNIA,DATOS!$A3099,nCURSO,DATOS!$D3099,nESPEC,DATOS!$E3099,nASIG,DATOS!$I3099,nEVAL,"OR")=0))</f>
      </c>
      <c r="I3099">
        <f>IF(DATOS!$I3099="","",IFERROR(VLOOKUP(DATOS!$I3099,CONFIG_ASIGNATURAS!$B$2:$J$91,9,FALSE()),""))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IF(DATOS!$A3100="",0,IF(CONFIG_METADATA!$B$4&lt;&gt;"OR+EX",--(DATOS!$G3100=CONFIG_METADATA!$B$4),IF(DATOS!$G3100="EX",1,IF(DATOS!$G3100="OR",--(COUNTIFS(nNIA,DATOS!$A3100,nCURSO,DATOS!$D3100,nESPEC,DATOS!$E3100,nASIG,DATOS!$I3100,nEVAL,"EX")=0),0))))</f>
      </c>
      <c r="H3100">
        <f>IF(DATOS!$G3100&lt;&gt;"EX",0,--(COUNTIFS(nNIA,DATOS!$A3100,nCURSO,DATOS!$D3100,nESPEC,DATOS!$E3100,nASIG,DATOS!$I3100,nEVAL,"OR")=0))</f>
      </c>
      <c r="I3100">
        <f>IF(DATOS!$I3100="","",IFERROR(VLOOKUP(DATOS!$I3100,CONFIG_ASIGNATURAS!$B$2:$J$91,9,FALSE()),""))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IF(DATOS!$A3101="",0,IF(CONFIG_METADATA!$B$4&lt;&gt;"OR+EX",--(DATOS!$G3101=CONFIG_METADATA!$B$4),IF(DATOS!$G3101="EX",1,IF(DATOS!$G3101="OR",--(COUNTIFS(nNIA,DATOS!$A3101,nCURSO,DATOS!$D3101,nESPEC,DATOS!$E3101,nASIG,DATOS!$I3101,nEVAL,"EX")=0),0))))</f>
      </c>
      <c r="H3101">
        <f>IF(DATOS!$G3101&lt;&gt;"EX",0,--(COUNTIFS(nNIA,DATOS!$A3101,nCURSO,DATOS!$D3101,nESPEC,DATOS!$E3101,nASIG,DATOS!$I3101,nEVAL,"OR")=0))</f>
      </c>
      <c r="I3101">
        <f>IF(DATOS!$I3101="","",IFERROR(VLOOKUP(DATOS!$I3101,CONFIG_ASIGNATURAS!$B$2:$J$91,9,FALSE()),""))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IF(DATOS!$A3102="",0,IF(CONFIG_METADATA!$B$4&lt;&gt;"OR+EX",--(DATOS!$G3102=CONFIG_METADATA!$B$4),IF(DATOS!$G3102="EX",1,IF(DATOS!$G3102="OR",--(COUNTIFS(nNIA,DATOS!$A3102,nCURSO,DATOS!$D3102,nESPEC,DATOS!$E3102,nASIG,DATOS!$I3102,nEVAL,"EX")=0),0))))</f>
      </c>
      <c r="H3102">
        <f>IF(DATOS!$G3102&lt;&gt;"EX",0,--(COUNTIFS(nNIA,DATOS!$A3102,nCURSO,DATOS!$D3102,nESPEC,DATOS!$E3102,nASIG,DATOS!$I3102,nEVAL,"OR")=0))</f>
      </c>
      <c r="I3102">
        <f>IF(DATOS!$I3102="","",IFERROR(VLOOKUP(DATOS!$I3102,CONFIG_ASIGNATURAS!$B$2:$J$91,9,FALSE()),""))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IF(DATOS!$A3103="",0,IF(CONFIG_METADATA!$B$4&lt;&gt;"OR+EX",--(DATOS!$G3103=CONFIG_METADATA!$B$4),IF(DATOS!$G3103="EX",1,IF(DATOS!$G3103="OR",--(COUNTIFS(nNIA,DATOS!$A3103,nCURSO,DATOS!$D3103,nESPEC,DATOS!$E3103,nASIG,DATOS!$I3103,nEVAL,"EX")=0),0))))</f>
      </c>
      <c r="H3103">
        <f>IF(DATOS!$G3103&lt;&gt;"EX",0,--(COUNTIFS(nNIA,DATOS!$A3103,nCURSO,DATOS!$D3103,nESPEC,DATOS!$E3103,nASIG,DATOS!$I3103,nEVAL,"OR")=0))</f>
      </c>
      <c r="I3103">
        <f>IF(DATOS!$I3103="","",IFERROR(VLOOKUP(DATOS!$I3103,CONFIG_ASIGNATURAS!$B$2:$J$91,9,FALSE()),""))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IF(DATOS!$A3104="",0,IF(CONFIG_METADATA!$B$4&lt;&gt;"OR+EX",--(DATOS!$G3104=CONFIG_METADATA!$B$4),IF(DATOS!$G3104="EX",1,IF(DATOS!$G3104="OR",--(COUNTIFS(nNIA,DATOS!$A3104,nCURSO,DATOS!$D3104,nESPEC,DATOS!$E3104,nASIG,DATOS!$I3104,nEVAL,"EX")=0),0))))</f>
      </c>
      <c r="H3104">
        <f>IF(DATOS!$G3104&lt;&gt;"EX",0,--(COUNTIFS(nNIA,DATOS!$A3104,nCURSO,DATOS!$D3104,nESPEC,DATOS!$E3104,nASIG,DATOS!$I3104,nEVAL,"OR")=0))</f>
      </c>
      <c r="I3104">
        <f>IF(DATOS!$I3104="","",IFERROR(VLOOKUP(DATOS!$I3104,CONFIG_ASIGNATURAS!$B$2:$J$91,9,FALSE()),""))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IF(DATOS!$A3105="",0,IF(CONFIG_METADATA!$B$4&lt;&gt;"OR+EX",--(DATOS!$G3105=CONFIG_METADATA!$B$4),IF(DATOS!$G3105="EX",1,IF(DATOS!$G3105="OR",--(COUNTIFS(nNIA,DATOS!$A3105,nCURSO,DATOS!$D3105,nESPEC,DATOS!$E3105,nASIG,DATOS!$I3105,nEVAL,"EX")=0),0))))</f>
      </c>
      <c r="H3105">
        <f>IF(DATOS!$G3105&lt;&gt;"EX",0,--(COUNTIFS(nNIA,DATOS!$A3105,nCURSO,DATOS!$D3105,nESPEC,DATOS!$E3105,nASIG,DATOS!$I3105,nEVAL,"OR")=0))</f>
      </c>
      <c r="I3105">
        <f>IF(DATOS!$I3105="","",IFERROR(VLOOKUP(DATOS!$I3105,CONFIG_ASIGNATURAS!$B$2:$J$91,9,FALSE()),""))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IF(DATOS!$A3106="",0,IF(CONFIG_METADATA!$B$4&lt;&gt;"OR+EX",--(DATOS!$G3106=CONFIG_METADATA!$B$4),IF(DATOS!$G3106="EX",1,IF(DATOS!$G3106="OR",--(COUNTIFS(nNIA,DATOS!$A3106,nCURSO,DATOS!$D3106,nESPEC,DATOS!$E3106,nASIG,DATOS!$I3106,nEVAL,"EX")=0),0))))</f>
      </c>
      <c r="H3106">
        <f>IF(DATOS!$G3106&lt;&gt;"EX",0,--(COUNTIFS(nNIA,DATOS!$A3106,nCURSO,DATOS!$D3106,nESPEC,DATOS!$E3106,nASIG,DATOS!$I3106,nEVAL,"OR")=0))</f>
      </c>
      <c r="I3106">
        <f>IF(DATOS!$I3106="","",IFERROR(VLOOKUP(DATOS!$I3106,CONFIG_ASIGNATURAS!$B$2:$J$91,9,FALSE()),""))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IF(DATOS!$A3107="",0,IF(CONFIG_METADATA!$B$4&lt;&gt;"OR+EX",--(DATOS!$G3107=CONFIG_METADATA!$B$4),IF(DATOS!$G3107="EX",1,IF(DATOS!$G3107="OR",--(COUNTIFS(nNIA,DATOS!$A3107,nCURSO,DATOS!$D3107,nESPEC,DATOS!$E3107,nASIG,DATOS!$I3107,nEVAL,"EX")=0),0))))</f>
      </c>
      <c r="H3107">
        <f>IF(DATOS!$G3107&lt;&gt;"EX",0,--(COUNTIFS(nNIA,DATOS!$A3107,nCURSO,DATOS!$D3107,nESPEC,DATOS!$E3107,nASIG,DATOS!$I3107,nEVAL,"OR")=0))</f>
      </c>
      <c r="I3107">
        <f>IF(DATOS!$I3107="","",IFERROR(VLOOKUP(DATOS!$I3107,CONFIG_ASIGNATURAS!$B$2:$J$91,9,FALSE()),""))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IF(DATOS!$A3108="",0,IF(CONFIG_METADATA!$B$4&lt;&gt;"OR+EX",--(DATOS!$G3108=CONFIG_METADATA!$B$4),IF(DATOS!$G3108="EX",1,IF(DATOS!$G3108="OR",--(COUNTIFS(nNIA,DATOS!$A3108,nCURSO,DATOS!$D3108,nESPEC,DATOS!$E3108,nASIG,DATOS!$I3108,nEVAL,"EX")=0),0))))</f>
      </c>
      <c r="H3108">
        <f>IF(DATOS!$G3108&lt;&gt;"EX",0,--(COUNTIFS(nNIA,DATOS!$A3108,nCURSO,DATOS!$D3108,nESPEC,DATOS!$E3108,nASIG,DATOS!$I3108,nEVAL,"OR")=0))</f>
      </c>
      <c r="I3108">
        <f>IF(DATOS!$I3108="","",IFERROR(VLOOKUP(DATOS!$I3108,CONFIG_ASIGNATURAS!$B$2:$J$91,9,FALSE()),""))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IF(DATOS!$A3109="",0,IF(CONFIG_METADATA!$B$4&lt;&gt;"OR+EX",--(DATOS!$G3109=CONFIG_METADATA!$B$4),IF(DATOS!$G3109="EX",1,IF(DATOS!$G3109="OR",--(COUNTIFS(nNIA,DATOS!$A3109,nCURSO,DATOS!$D3109,nESPEC,DATOS!$E3109,nASIG,DATOS!$I3109,nEVAL,"EX")=0),0))))</f>
      </c>
      <c r="H3109">
        <f>IF(DATOS!$G3109&lt;&gt;"EX",0,--(COUNTIFS(nNIA,DATOS!$A3109,nCURSO,DATOS!$D3109,nESPEC,DATOS!$E3109,nASIG,DATOS!$I3109,nEVAL,"OR")=0))</f>
      </c>
      <c r="I3109">
        <f>IF(DATOS!$I3109="","",IFERROR(VLOOKUP(DATOS!$I3109,CONFIG_ASIGNATURAS!$B$2:$J$91,9,FALSE()),""))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IF(DATOS!$A3110="",0,IF(CONFIG_METADATA!$B$4&lt;&gt;"OR+EX",--(DATOS!$G3110=CONFIG_METADATA!$B$4),IF(DATOS!$G3110="EX",1,IF(DATOS!$G3110="OR",--(COUNTIFS(nNIA,DATOS!$A3110,nCURSO,DATOS!$D3110,nESPEC,DATOS!$E3110,nASIG,DATOS!$I3110,nEVAL,"EX")=0),0))))</f>
      </c>
      <c r="H3110">
        <f>IF(DATOS!$G3110&lt;&gt;"EX",0,--(COUNTIFS(nNIA,DATOS!$A3110,nCURSO,DATOS!$D3110,nESPEC,DATOS!$E3110,nASIG,DATOS!$I3110,nEVAL,"OR")=0))</f>
      </c>
      <c r="I3110">
        <f>IF(DATOS!$I3110="","",IFERROR(VLOOKUP(DATOS!$I3110,CONFIG_ASIGNATURAS!$B$2:$J$91,9,FALSE()),""))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IF(DATOS!$A3111="",0,IF(CONFIG_METADATA!$B$4&lt;&gt;"OR+EX",--(DATOS!$G3111=CONFIG_METADATA!$B$4),IF(DATOS!$G3111="EX",1,IF(DATOS!$G3111="OR",--(COUNTIFS(nNIA,DATOS!$A3111,nCURSO,DATOS!$D3111,nESPEC,DATOS!$E3111,nASIG,DATOS!$I3111,nEVAL,"EX")=0),0))))</f>
      </c>
      <c r="H3111">
        <f>IF(DATOS!$G3111&lt;&gt;"EX",0,--(COUNTIFS(nNIA,DATOS!$A3111,nCURSO,DATOS!$D3111,nESPEC,DATOS!$E3111,nASIG,DATOS!$I3111,nEVAL,"OR")=0))</f>
      </c>
      <c r="I3111">
        <f>IF(DATOS!$I3111="","",IFERROR(VLOOKUP(DATOS!$I3111,CONFIG_ASIGNATURAS!$B$2:$J$91,9,FALSE()),""))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IF(DATOS!$A3112="",0,IF(CONFIG_METADATA!$B$4&lt;&gt;"OR+EX",--(DATOS!$G3112=CONFIG_METADATA!$B$4),IF(DATOS!$G3112="EX",1,IF(DATOS!$G3112="OR",--(COUNTIFS(nNIA,DATOS!$A3112,nCURSO,DATOS!$D3112,nESPEC,DATOS!$E3112,nASIG,DATOS!$I3112,nEVAL,"EX")=0),0))))</f>
      </c>
      <c r="H3112">
        <f>IF(DATOS!$G3112&lt;&gt;"EX",0,--(COUNTIFS(nNIA,DATOS!$A3112,nCURSO,DATOS!$D3112,nESPEC,DATOS!$E3112,nASIG,DATOS!$I3112,nEVAL,"OR")=0))</f>
      </c>
      <c r="I3112">
        <f>IF(DATOS!$I3112="","",IFERROR(VLOOKUP(DATOS!$I3112,CONFIG_ASIGNATURAS!$B$2:$J$91,9,FALSE()),""))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IF(DATOS!$A3113="",0,IF(CONFIG_METADATA!$B$4&lt;&gt;"OR+EX",--(DATOS!$G3113=CONFIG_METADATA!$B$4),IF(DATOS!$G3113="EX",1,IF(DATOS!$G3113="OR",--(COUNTIFS(nNIA,DATOS!$A3113,nCURSO,DATOS!$D3113,nESPEC,DATOS!$E3113,nASIG,DATOS!$I3113,nEVAL,"EX")=0),0))))</f>
      </c>
      <c r="H3113">
        <f>IF(DATOS!$G3113&lt;&gt;"EX",0,--(COUNTIFS(nNIA,DATOS!$A3113,nCURSO,DATOS!$D3113,nESPEC,DATOS!$E3113,nASIG,DATOS!$I3113,nEVAL,"OR")=0))</f>
      </c>
      <c r="I3113">
        <f>IF(DATOS!$I3113="","",IFERROR(VLOOKUP(DATOS!$I3113,CONFIG_ASIGNATURAS!$B$2:$J$91,9,FALSE()),""))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IF(DATOS!$A3114="",0,IF(CONFIG_METADATA!$B$4&lt;&gt;"OR+EX",--(DATOS!$G3114=CONFIG_METADATA!$B$4),IF(DATOS!$G3114="EX",1,IF(DATOS!$G3114="OR",--(COUNTIFS(nNIA,DATOS!$A3114,nCURSO,DATOS!$D3114,nESPEC,DATOS!$E3114,nASIG,DATOS!$I3114,nEVAL,"EX")=0),0))))</f>
      </c>
      <c r="H3114">
        <f>IF(DATOS!$G3114&lt;&gt;"EX",0,--(COUNTIFS(nNIA,DATOS!$A3114,nCURSO,DATOS!$D3114,nESPEC,DATOS!$E3114,nASIG,DATOS!$I3114,nEVAL,"OR")=0))</f>
      </c>
      <c r="I3114">
        <f>IF(DATOS!$I3114="","",IFERROR(VLOOKUP(DATOS!$I3114,CONFIG_ASIGNATURAS!$B$2:$J$91,9,FALSE()),""))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IF(DATOS!$A3115="",0,IF(CONFIG_METADATA!$B$4&lt;&gt;"OR+EX",--(DATOS!$G3115=CONFIG_METADATA!$B$4),IF(DATOS!$G3115="EX",1,IF(DATOS!$G3115="OR",--(COUNTIFS(nNIA,DATOS!$A3115,nCURSO,DATOS!$D3115,nESPEC,DATOS!$E3115,nASIG,DATOS!$I3115,nEVAL,"EX")=0),0))))</f>
      </c>
      <c r="H3115">
        <f>IF(DATOS!$G3115&lt;&gt;"EX",0,--(COUNTIFS(nNIA,DATOS!$A3115,nCURSO,DATOS!$D3115,nESPEC,DATOS!$E3115,nASIG,DATOS!$I3115,nEVAL,"OR")=0))</f>
      </c>
      <c r="I3115">
        <f>IF(DATOS!$I3115="","",IFERROR(VLOOKUP(DATOS!$I3115,CONFIG_ASIGNATURAS!$B$2:$J$91,9,FALSE()),""))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IF(DATOS!$A3116="",0,IF(CONFIG_METADATA!$B$4&lt;&gt;"OR+EX",--(DATOS!$G3116=CONFIG_METADATA!$B$4),IF(DATOS!$G3116="EX",1,IF(DATOS!$G3116="OR",--(COUNTIFS(nNIA,DATOS!$A3116,nCURSO,DATOS!$D3116,nESPEC,DATOS!$E3116,nASIG,DATOS!$I3116,nEVAL,"EX")=0),0))))</f>
      </c>
      <c r="H3116">
        <f>IF(DATOS!$G3116&lt;&gt;"EX",0,--(COUNTIFS(nNIA,DATOS!$A3116,nCURSO,DATOS!$D3116,nESPEC,DATOS!$E3116,nASIG,DATOS!$I3116,nEVAL,"OR")=0))</f>
      </c>
      <c r="I3116">
        <f>IF(DATOS!$I3116="","",IFERROR(VLOOKUP(DATOS!$I3116,CONFIG_ASIGNATURAS!$B$2:$J$91,9,FALSE()),""))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IF(DATOS!$A3117="",0,IF(CONFIG_METADATA!$B$4&lt;&gt;"OR+EX",--(DATOS!$G3117=CONFIG_METADATA!$B$4),IF(DATOS!$G3117="EX",1,IF(DATOS!$G3117="OR",--(COUNTIFS(nNIA,DATOS!$A3117,nCURSO,DATOS!$D3117,nESPEC,DATOS!$E3117,nASIG,DATOS!$I3117,nEVAL,"EX")=0),0))))</f>
      </c>
      <c r="H3117">
        <f>IF(DATOS!$G3117&lt;&gt;"EX",0,--(COUNTIFS(nNIA,DATOS!$A3117,nCURSO,DATOS!$D3117,nESPEC,DATOS!$E3117,nASIG,DATOS!$I3117,nEVAL,"OR")=0))</f>
      </c>
      <c r="I3117">
        <f>IF(DATOS!$I3117="","",IFERROR(VLOOKUP(DATOS!$I3117,CONFIG_ASIGNATURAS!$B$2:$J$91,9,FALSE()),""))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IF(DATOS!$A3118="",0,IF(CONFIG_METADATA!$B$4&lt;&gt;"OR+EX",--(DATOS!$G3118=CONFIG_METADATA!$B$4),IF(DATOS!$G3118="EX",1,IF(DATOS!$G3118="OR",--(COUNTIFS(nNIA,DATOS!$A3118,nCURSO,DATOS!$D3118,nESPEC,DATOS!$E3118,nASIG,DATOS!$I3118,nEVAL,"EX")=0),0))))</f>
      </c>
      <c r="H3118">
        <f>IF(DATOS!$G3118&lt;&gt;"EX",0,--(COUNTIFS(nNIA,DATOS!$A3118,nCURSO,DATOS!$D3118,nESPEC,DATOS!$E3118,nASIG,DATOS!$I3118,nEVAL,"OR")=0))</f>
      </c>
      <c r="I3118">
        <f>IF(DATOS!$I3118="","",IFERROR(VLOOKUP(DATOS!$I3118,CONFIG_ASIGNATURAS!$B$2:$J$91,9,FALSE()),""))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IF(DATOS!$A3119="",0,IF(CONFIG_METADATA!$B$4&lt;&gt;"OR+EX",--(DATOS!$G3119=CONFIG_METADATA!$B$4),IF(DATOS!$G3119="EX",1,IF(DATOS!$G3119="OR",--(COUNTIFS(nNIA,DATOS!$A3119,nCURSO,DATOS!$D3119,nESPEC,DATOS!$E3119,nASIG,DATOS!$I3119,nEVAL,"EX")=0),0))))</f>
      </c>
      <c r="H3119">
        <f>IF(DATOS!$G3119&lt;&gt;"EX",0,--(COUNTIFS(nNIA,DATOS!$A3119,nCURSO,DATOS!$D3119,nESPEC,DATOS!$E3119,nASIG,DATOS!$I3119,nEVAL,"OR")=0))</f>
      </c>
      <c r="I3119">
        <f>IF(DATOS!$I3119="","",IFERROR(VLOOKUP(DATOS!$I3119,CONFIG_ASIGNATURAS!$B$2:$J$91,9,FALSE()),""))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IF(DATOS!$A3120="",0,IF(CONFIG_METADATA!$B$4&lt;&gt;"OR+EX",--(DATOS!$G3120=CONFIG_METADATA!$B$4),IF(DATOS!$G3120="EX",1,IF(DATOS!$G3120="OR",--(COUNTIFS(nNIA,DATOS!$A3120,nCURSO,DATOS!$D3120,nESPEC,DATOS!$E3120,nASIG,DATOS!$I3120,nEVAL,"EX")=0),0))))</f>
      </c>
      <c r="H3120">
        <f>IF(DATOS!$G3120&lt;&gt;"EX",0,--(COUNTIFS(nNIA,DATOS!$A3120,nCURSO,DATOS!$D3120,nESPEC,DATOS!$E3120,nASIG,DATOS!$I3120,nEVAL,"OR")=0))</f>
      </c>
      <c r="I3120">
        <f>IF(DATOS!$I3120="","",IFERROR(VLOOKUP(DATOS!$I3120,CONFIG_ASIGNATURAS!$B$2:$J$91,9,FALSE()),""))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IF(DATOS!$A3121="",0,IF(CONFIG_METADATA!$B$4&lt;&gt;"OR+EX",--(DATOS!$G3121=CONFIG_METADATA!$B$4),IF(DATOS!$G3121="EX",1,IF(DATOS!$G3121="OR",--(COUNTIFS(nNIA,DATOS!$A3121,nCURSO,DATOS!$D3121,nESPEC,DATOS!$E3121,nASIG,DATOS!$I3121,nEVAL,"EX")=0),0))))</f>
      </c>
      <c r="H3121">
        <f>IF(DATOS!$G3121&lt;&gt;"EX",0,--(COUNTIFS(nNIA,DATOS!$A3121,nCURSO,DATOS!$D3121,nESPEC,DATOS!$E3121,nASIG,DATOS!$I3121,nEVAL,"OR")=0))</f>
      </c>
      <c r="I3121">
        <f>IF(DATOS!$I3121="","",IFERROR(VLOOKUP(DATOS!$I3121,CONFIG_ASIGNATURAS!$B$2:$J$91,9,FALSE()),""))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IF(DATOS!$A3122="",0,IF(CONFIG_METADATA!$B$4&lt;&gt;"OR+EX",--(DATOS!$G3122=CONFIG_METADATA!$B$4),IF(DATOS!$G3122="EX",1,IF(DATOS!$G3122="OR",--(COUNTIFS(nNIA,DATOS!$A3122,nCURSO,DATOS!$D3122,nESPEC,DATOS!$E3122,nASIG,DATOS!$I3122,nEVAL,"EX")=0),0))))</f>
      </c>
      <c r="H3122">
        <f>IF(DATOS!$G3122&lt;&gt;"EX",0,--(COUNTIFS(nNIA,DATOS!$A3122,nCURSO,DATOS!$D3122,nESPEC,DATOS!$E3122,nASIG,DATOS!$I3122,nEVAL,"OR")=0))</f>
      </c>
      <c r="I3122">
        <f>IF(DATOS!$I3122="","",IFERROR(VLOOKUP(DATOS!$I3122,CONFIG_ASIGNATURAS!$B$2:$J$91,9,FALSE()),""))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IF(DATOS!$A3123="",0,IF(CONFIG_METADATA!$B$4&lt;&gt;"OR+EX",--(DATOS!$G3123=CONFIG_METADATA!$B$4),IF(DATOS!$G3123="EX",1,IF(DATOS!$G3123="OR",--(COUNTIFS(nNIA,DATOS!$A3123,nCURSO,DATOS!$D3123,nESPEC,DATOS!$E3123,nASIG,DATOS!$I3123,nEVAL,"EX")=0),0))))</f>
      </c>
      <c r="H3123">
        <f>IF(DATOS!$G3123&lt;&gt;"EX",0,--(COUNTIFS(nNIA,DATOS!$A3123,nCURSO,DATOS!$D3123,nESPEC,DATOS!$E3123,nASIG,DATOS!$I3123,nEVAL,"OR")=0))</f>
      </c>
      <c r="I3123">
        <f>IF(DATOS!$I3123="","",IFERROR(VLOOKUP(DATOS!$I3123,CONFIG_ASIGNATURAS!$B$2:$J$91,9,FALSE()),""))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IF(DATOS!$A3124="",0,IF(CONFIG_METADATA!$B$4&lt;&gt;"OR+EX",--(DATOS!$G3124=CONFIG_METADATA!$B$4),IF(DATOS!$G3124="EX",1,IF(DATOS!$G3124="OR",--(COUNTIFS(nNIA,DATOS!$A3124,nCURSO,DATOS!$D3124,nESPEC,DATOS!$E3124,nASIG,DATOS!$I3124,nEVAL,"EX")=0),0))))</f>
      </c>
      <c r="H3124">
        <f>IF(DATOS!$G3124&lt;&gt;"EX",0,--(COUNTIFS(nNIA,DATOS!$A3124,nCURSO,DATOS!$D3124,nESPEC,DATOS!$E3124,nASIG,DATOS!$I3124,nEVAL,"OR")=0))</f>
      </c>
      <c r="I3124">
        <f>IF(DATOS!$I3124="","",IFERROR(VLOOKUP(DATOS!$I3124,CONFIG_ASIGNATURAS!$B$2:$J$91,9,FALSE()),""))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IF(DATOS!$A3125="",0,IF(CONFIG_METADATA!$B$4&lt;&gt;"OR+EX",--(DATOS!$G3125=CONFIG_METADATA!$B$4),IF(DATOS!$G3125="EX",1,IF(DATOS!$G3125="OR",--(COUNTIFS(nNIA,DATOS!$A3125,nCURSO,DATOS!$D3125,nESPEC,DATOS!$E3125,nASIG,DATOS!$I3125,nEVAL,"EX")=0),0))))</f>
      </c>
      <c r="H3125">
        <f>IF(DATOS!$G3125&lt;&gt;"EX",0,--(COUNTIFS(nNIA,DATOS!$A3125,nCURSO,DATOS!$D3125,nESPEC,DATOS!$E3125,nASIG,DATOS!$I3125,nEVAL,"OR")=0))</f>
      </c>
      <c r="I3125">
        <f>IF(DATOS!$I3125="","",IFERROR(VLOOKUP(DATOS!$I3125,CONFIG_ASIGNATURAS!$B$2:$J$91,9,FALSE()),""))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IF(DATOS!$A3126="",0,IF(CONFIG_METADATA!$B$4&lt;&gt;"OR+EX",--(DATOS!$G3126=CONFIG_METADATA!$B$4),IF(DATOS!$G3126="EX",1,IF(DATOS!$G3126="OR",--(COUNTIFS(nNIA,DATOS!$A3126,nCURSO,DATOS!$D3126,nESPEC,DATOS!$E3126,nASIG,DATOS!$I3126,nEVAL,"EX")=0),0))))</f>
      </c>
      <c r="H3126">
        <f>IF(DATOS!$G3126&lt;&gt;"EX",0,--(COUNTIFS(nNIA,DATOS!$A3126,nCURSO,DATOS!$D3126,nESPEC,DATOS!$E3126,nASIG,DATOS!$I3126,nEVAL,"OR")=0))</f>
      </c>
      <c r="I3126">
        <f>IF(DATOS!$I3126="","",IFERROR(VLOOKUP(DATOS!$I3126,CONFIG_ASIGNATURAS!$B$2:$J$91,9,FALSE()),""))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IF(DATOS!$A3127="",0,IF(CONFIG_METADATA!$B$4&lt;&gt;"OR+EX",--(DATOS!$G3127=CONFIG_METADATA!$B$4),IF(DATOS!$G3127="EX",1,IF(DATOS!$G3127="OR",--(COUNTIFS(nNIA,DATOS!$A3127,nCURSO,DATOS!$D3127,nESPEC,DATOS!$E3127,nASIG,DATOS!$I3127,nEVAL,"EX")=0),0))))</f>
      </c>
      <c r="H3127">
        <f>IF(DATOS!$G3127&lt;&gt;"EX",0,--(COUNTIFS(nNIA,DATOS!$A3127,nCURSO,DATOS!$D3127,nESPEC,DATOS!$E3127,nASIG,DATOS!$I3127,nEVAL,"OR")=0))</f>
      </c>
      <c r="I3127">
        <f>IF(DATOS!$I3127="","",IFERROR(VLOOKUP(DATOS!$I3127,CONFIG_ASIGNATURAS!$B$2:$J$91,9,FALSE()),""))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IF(DATOS!$A3128="",0,IF(CONFIG_METADATA!$B$4&lt;&gt;"OR+EX",--(DATOS!$G3128=CONFIG_METADATA!$B$4),IF(DATOS!$G3128="EX",1,IF(DATOS!$G3128="OR",--(COUNTIFS(nNIA,DATOS!$A3128,nCURSO,DATOS!$D3128,nESPEC,DATOS!$E3128,nASIG,DATOS!$I3128,nEVAL,"EX")=0),0))))</f>
      </c>
      <c r="H3128">
        <f>IF(DATOS!$G3128&lt;&gt;"EX",0,--(COUNTIFS(nNIA,DATOS!$A3128,nCURSO,DATOS!$D3128,nESPEC,DATOS!$E3128,nASIG,DATOS!$I3128,nEVAL,"OR")=0))</f>
      </c>
      <c r="I3128">
        <f>IF(DATOS!$I3128="","",IFERROR(VLOOKUP(DATOS!$I3128,CONFIG_ASIGNATURAS!$B$2:$J$91,9,FALSE()),""))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IF(DATOS!$A3129="",0,IF(CONFIG_METADATA!$B$4&lt;&gt;"OR+EX",--(DATOS!$G3129=CONFIG_METADATA!$B$4),IF(DATOS!$G3129="EX",1,IF(DATOS!$G3129="OR",--(COUNTIFS(nNIA,DATOS!$A3129,nCURSO,DATOS!$D3129,nESPEC,DATOS!$E3129,nASIG,DATOS!$I3129,nEVAL,"EX")=0),0))))</f>
      </c>
      <c r="H3129">
        <f>IF(DATOS!$G3129&lt;&gt;"EX",0,--(COUNTIFS(nNIA,DATOS!$A3129,nCURSO,DATOS!$D3129,nESPEC,DATOS!$E3129,nASIG,DATOS!$I3129,nEVAL,"OR")=0))</f>
      </c>
      <c r="I3129">
        <f>IF(DATOS!$I3129="","",IFERROR(VLOOKUP(DATOS!$I3129,CONFIG_ASIGNATURAS!$B$2:$J$91,9,FALSE()),""))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IF(DATOS!$A3130="",0,IF(CONFIG_METADATA!$B$4&lt;&gt;"OR+EX",--(DATOS!$G3130=CONFIG_METADATA!$B$4),IF(DATOS!$G3130="EX",1,IF(DATOS!$G3130="OR",--(COUNTIFS(nNIA,DATOS!$A3130,nCURSO,DATOS!$D3130,nESPEC,DATOS!$E3130,nASIG,DATOS!$I3130,nEVAL,"EX")=0),0))))</f>
      </c>
      <c r="H3130">
        <f>IF(DATOS!$G3130&lt;&gt;"EX",0,--(COUNTIFS(nNIA,DATOS!$A3130,nCURSO,DATOS!$D3130,nESPEC,DATOS!$E3130,nASIG,DATOS!$I3130,nEVAL,"OR")=0))</f>
      </c>
      <c r="I3130">
        <f>IF(DATOS!$I3130="","",IFERROR(VLOOKUP(DATOS!$I3130,CONFIG_ASIGNATURAS!$B$2:$J$91,9,FALSE()),""))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IF(DATOS!$A3131="",0,IF(CONFIG_METADATA!$B$4&lt;&gt;"OR+EX",--(DATOS!$G3131=CONFIG_METADATA!$B$4),IF(DATOS!$G3131="EX",1,IF(DATOS!$G3131="OR",--(COUNTIFS(nNIA,DATOS!$A3131,nCURSO,DATOS!$D3131,nESPEC,DATOS!$E3131,nASIG,DATOS!$I3131,nEVAL,"EX")=0),0))))</f>
      </c>
      <c r="H3131">
        <f>IF(DATOS!$G3131&lt;&gt;"EX",0,--(COUNTIFS(nNIA,DATOS!$A3131,nCURSO,DATOS!$D3131,nESPEC,DATOS!$E3131,nASIG,DATOS!$I3131,nEVAL,"OR")=0))</f>
      </c>
      <c r="I3131">
        <f>IF(DATOS!$I3131="","",IFERROR(VLOOKUP(DATOS!$I3131,CONFIG_ASIGNATURAS!$B$2:$J$91,9,FALSE()),""))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IF(DATOS!$A3132="",0,IF(CONFIG_METADATA!$B$4&lt;&gt;"OR+EX",--(DATOS!$G3132=CONFIG_METADATA!$B$4),IF(DATOS!$G3132="EX",1,IF(DATOS!$G3132="OR",--(COUNTIFS(nNIA,DATOS!$A3132,nCURSO,DATOS!$D3132,nESPEC,DATOS!$E3132,nASIG,DATOS!$I3132,nEVAL,"EX")=0),0))))</f>
      </c>
      <c r="H3132">
        <f>IF(DATOS!$G3132&lt;&gt;"EX",0,--(COUNTIFS(nNIA,DATOS!$A3132,nCURSO,DATOS!$D3132,nESPEC,DATOS!$E3132,nASIG,DATOS!$I3132,nEVAL,"OR")=0))</f>
      </c>
      <c r="I3132">
        <f>IF(DATOS!$I3132="","",IFERROR(VLOOKUP(DATOS!$I3132,CONFIG_ASIGNATURAS!$B$2:$J$91,9,FALSE()),""))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IF(DATOS!$A3133="",0,IF(CONFIG_METADATA!$B$4&lt;&gt;"OR+EX",--(DATOS!$G3133=CONFIG_METADATA!$B$4),IF(DATOS!$G3133="EX",1,IF(DATOS!$G3133="OR",--(COUNTIFS(nNIA,DATOS!$A3133,nCURSO,DATOS!$D3133,nESPEC,DATOS!$E3133,nASIG,DATOS!$I3133,nEVAL,"EX")=0),0))))</f>
      </c>
      <c r="H3133">
        <f>IF(DATOS!$G3133&lt;&gt;"EX",0,--(COUNTIFS(nNIA,DATOS!$A3133,nCURSO,DATOS!$D3133,nESPEC,DATOS!$E3133,nASIG,DATOS!$I3133,nEVAL,"OR")=0))</f>
      </c>
      <c r="I3133">
        <f>IF(DATOS!$I3133="","",IFERROR(VLOOKUP(DATOS!$I3133,CONFIG_ASIGNATURAS!$B$2:$J$91,9,FALSE()),""))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IF(DATOS!$A3134="",0,IF(CONFIG_METADATA!$B$4&lt;&gt;"OR+EX",--(DATOS!$G3134=CONFIG_METADATA!$B$4),IF(DATOS!$G3134="EX",1,IF(DATOS!$G3134="OR",--(COUNTIFS(nNIA,DATOS!$A3134,nCURSO,DATOS!$D3134,nESPEC,DATOS!$E3134,nASIG,DATOS!$I3134,nEVAL,"EX")=0),0))))</f>
      </c>
      <c r="H3134">
        <f>IF(DATOS!$G3134&lt;&gt;"EX",0,--(COUNTIFS(nNIA,DATOS!$A3134,nCURSO,DATOS!$D3134,nESPEC,DATOS!$E3134,nASIG,DATOS!$I3134,nEVAL,"OR")=0))</f>
      </c>
      <c r="I3134">
        <f>IF(DATOS!$I3134="","",IFERROR(VLOOKUP(DATOS!$I3134,CONFIG_ASIGNATURAS!$B$2:$J$91,9,FALSE()),""))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IF(DATOS!$A3135="",0,IF(CONFIG_METADATA!$B$4&lt;&gt;"OR+EX",--(DATOS!$G3135=CONFIG_METADATA!$B$4),IF(DATOS!$G3135="EX",1,IF(DATOS!$G3135="OR",--(COUNTIFS(nNIA,DATOS!$A3135,nCURSO,DATOS!$D3135,nESPEC,DATOS!$E3135,nASIG,DATOS!$I3135,nEVAL,"EX")=0),0))))</f>
      </c>
      <c r="H3135">
        <f>IF(DATOS!$G3135&lt;&gt;"EX",0,--(COUNTIFS(nNIA,DATOS!$A3135,nCURSO,DATOS!$D3135,nESPEC,DATOS!$E3135,nASIG,DATOS!$I3135,nEVAL,"OR")=0))</f>
      </c>
      <c r="I3135">
        <f>IF(DATOS!$I3135="","",IFERROR(VLOOKUP(DATOS!$I3135,CONFIG_ASIGNATURAS!$B$2:$J$91,9,FALSE()),""))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IF(DATOS!$A3136="",0,IF(CONFIG_METADATA!$B$4&lt;&gt;"OR+EX",--(DATOS!$G3136=CONFIG_METADATA!$B$4),IF(DATOS!$G3136="EX",1,IF(DATOS!$G3136="OR",--(COUNTIFS(nNIA,DATOS!$A3136,nCURSO,DATOS!$D3136,nESPEC,DATOS!$E3136,nASIG,DATOS!$I3136,nEVAL,"EX")=0),0))))</f>
      </c>
      <c r="H3136">
        <f>IF(DATOS!$G3136&lt;&gt;"EX",0,--(COUNTIFS(nNIA,DATOS!$A3136,nCURSO,DATOS!$D3136,nESPEC,DATOS!$E3136,nASIG,DATOS!$I3136,nEVAL,"OR")=0))</f>
      </c>
      <c r="I3136">
        <f>IF(DATOS!$I3136="","",IFERROR(VLOOKUP(DATOS!$I3136,CONFIG_ASIGNATURAS!$B$2:$J$91,9,FALSE()),""))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IF(DATOS!$A3137="",0,IF(CONFIG_METADATA!$B$4&lt;&gt;"OR+EX",--(DATOS!$G3137=CONFIG_METADATA!$B$4),IF(DATOS!$G3137="EX",1,IF(DATOS!$G3137="OR",--(COUNTIFS(nNIA,DATOS!$A3137,nCURSO,DATOS!$D3137,nESPEC,DATOS!$E3137,nASIG,DATOS!$I3137,nEVAL,"EX")=0),0))))</f>
      </c>
      <c r="H3137">
        <f>IF(DATOS!$G3137&lt;&gt;"EX",0,--(COUNTIFS(nNIA,DATOS!$A3137,nCURSO,DATOS!$D3137,nESPEC,DATOS!$E3137,nASIG,DATOS!$I3137,nEVAL,"OR")=0))</f>
      </c>
      <c r="I3137">
        <f>IF(DATOS!$I3137="","",IFERROR(VLOOKUP(DATOS!$I3137,CONFIG_ASIGNATURAS!$B$2:$J$91,9,FALSE()),""))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IF(DATOS!$A3138="",0,IF(CONFIG_METADATA!$B$4&lt;&gt;"OR+EX",--(DATOS!$G3138=CONFIG_METADATA!$B$4),IF(DATOS!$G3138="EX",1,IF(DATOS!$G3138="OR",--(COUNTIFS(nNIA,DATOS!$A3138,nCURSO,DATOS!$D3138,nESPEC,DATOS!$E3138,nASIG,DATOS!$I3138,nEVAL,"EX")=0),0))))</f>
      </c>
      <c r="H3138">
        <f>IF(DATOS!$G3138&lt;&gt;"EX",0,--(COUNTIFS(nNIA,DATOS!$A3138,nCURSO,DATOS!$D3138,nESPEC,DATOS!$E3138,nASIG,DATOS!$I3138,nEVAL,"OR")=0))</f>
      </c>
      <c r="I3138">
        <f>IF(DATOS!$I3138="","",IFERROR(VLOOKUP(DATOS!$I3138,CONFIG_ASIGNATURAS!$B$2:$J$91,9,FALSE()),""))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IF(DATOS!$A3139="",0,IF(CONFIG_METADATA!$B$4&lt;&gt;"OR+EX",--(DATOS!$G3139=CONFIG_METADATA!$B$4),IF(DATOS!$G3139="EX",1,IF(DATOS!$G3139="OR",--(COUNTIFS(nNIA,DATOS!$A3139,nCURSO,DATOS!$D3139,nESPEC,DATOS!$E3139,nASIG,DATOS!$I3139,nEVAL,"EX")=0),0))))</f>
      </c>
      <c r="H3139">
        <f>IF(DATOS!$G3139&lt;&gt;"EX",0,--(COUNTIFS(nNIA,DATOS!$A3139,nCURSO,DATOS!$D3139,nESPEC,DATOS!$E3139,nASIG,DATOS!$I3139,nEVAL,"OR")=0))</f>
      </c>
      <c r="I3139">
        <f>IF(DATOS!$I3139="","",IFERROR(VLOOKUP(DATOS!$I3139,CONFIG_ASIGNATURAS!$B$2:$J$91,9,FALSE()),""))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IF(DATOS!$A3140="",0,IF(CONFIG_METADATA!$B$4&lt;&gt;"OR+EX",--(DATOS!$G3140=CONFIG_METADATA!$B$4),IF(DATOS!$G3140="EX",1,IF(DATOS!$G3140="OR",--(COUNTIFS(nNIA,DATOS!$A3140,nCURSO,DATOS!$D3140,nESPEC,DATOS!$E3140,nASIG,DATOS!$I3140,nEVAL,"EX")=0),0))))</f>
      </c>
      <c r="H3140">
        <f>IF(DATOS!$G3140&lt;&gt;"EX",0,--(COUNTIFS(nNIA,DATOS!$A3140,nCURSO,DATOS!$D3140,nESPEC,DATOS!$E3140,nASIG,DATOS!$I3140,nEVAL,"OR")=0))</f>
      </c>
      <c r="I3140">
        <f>IF(DATOS!$I3140="","",IFERROR(VLOOKUP(DATOS!$I3140,CONFIG_ASIGNATURAS!$B$2:$J$91,9,FALSE()),""))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IF(DATOS!$A3141="",0,IF(CONFIG_METADATA!$B$4&lt;&gt;"OR+EX",--(DATOS!$G3141=CONFIG_METADATA!$B$4),IF(DATOS!$G3141="EX",1,IF(DATOS!$G3141="OR",--(COUNTIFS(nNIA,DATOS!$A3141,nCURSO,DATOS!$D3141,nESPEC,DATOS!$E3141,nASIG,DATOS!$I3141,nEVAL,"EX")=0),0))))</f>
      </c>
      <c r="H3141">
        <f>IF(DATOS!$G3141&lt;&gt;"EX",0,--(COUNTIFS(nNIA,DATOS!$A3141,nCURSO,DATOS!$D3141,nESPEC,DATOS!$E3141,nASIG,DATOS!$I3141,nEVAL,"OR")=0))</f>
      </c>
      <c r="I3141">
        <f>IF(DATOS!$I3141="","",IFERROR(VLOOKUP(DATOS!$I3141,CONFIG_ASIGNATURAS!$B$2:$J$91,9,FALSE()),""))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IF(DATOS!$A3142="",0,IF(CONFIG_METADATA!$B$4&lt;&gt;"OR+EX",--(DATOS!$G3142=CONFIG_METADATA!$B$4),IF(DATOS!$G3142="EX",1,IF(DATOS!$G3142="OR",--(COUNTIFS(nNIA,DATOS!$A3142,nCURSO,DATOS!$D3142,nESPEC,DATOS!$E3142,nASIG,DATOS!$I3142,nEVAL,"EX")=0),0))))</f>
      </c>
      <c r="H3142">
        <f>IF(DATOS!$G3142&lt;&gt;"EX",0,--(COUNTIFS(nNIA,DATOS!$A3142,nCURSO,DATOS!$D3142,nESPEC,DATOS!$E3142,nASIG,DATOS!$I3142,nEVAL,"OR")=0))</f>
      </c>
      <c r="I3142">
        <f>IF(DATOS!$I3142="","",IFERROR(VLOOKUP(DATOS!$I3142,CONFIG_ASIGNATURAS!$B$2:$J$91,9,FALSE()),""))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IF(DATOS!$A3143="",0,IF(CONFIG_METADATA!$B$4&lt;&gt;"OR+EX",--(DATOS!$G3143=CONFIG_METADATA!$B$4),IF(DATOS!$G3143="EX",1,IF(DATOS!$G3143="OR",--(COUNTIFS(nNIA,DATOS!$A3143,nCURSO,DATOS!$D3143,nESPEC,DATOS!$E3143,nASIG,DATOS!$I3143,nEVAL,"EX")=0),0))))</f>
      </c>
      <c r="H3143">
        <f>IF(DATOS!$G3143&lt;&gt;"EX",0,--(COUNTIFS(nNIA,DATOS!$A3143,nCURSO,DATOS!$D3143,nESPEC,DATOS!$E3143,nASIG,DATOS!$I3143,nEVAL,"OR")=0))</f>
      </c>
      <c r="I3143">
        <f>IF(DATOS!$I3143="","",IFERROR(VLOOKUP(DATOS!$I3143,CONFIG_ASIGNATURAS!$B$2:$J$91,9,FALSE()),""))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IF(DATOS!$A3144="",0,IF(CONFIG_METADATA!$B$4&lt;&gt;"OR+EX",--(DATOS!$G3144=CONFIG_METADATA!$B$4),IF(DATOS!$G3144="EX",1,IF(DATOS!$G3144="OR",--(COUNTIFS(nNIA,DATOS!$A3144,nCURSO,DATOS!$D3144,nESPEC,DATOS!$E3144,nASIG,DATOS!$I3144,nEVAL,"EX")=0),0))))</f>
      </c>
      <c r="H3144">
        <f>IF(DATOS!$G3144&lt;&gt;"EX",0,--(COUNTIFS(nNIA,DATOS!$A3144,nCURSO,DATOS!$D3144,nESPEC,DATOS!$E3144,nASIG,DATOS!$I3144,nEVAL,"OR")=0))</f>
      </c>
      <c r="I3144">
        <f>IF(DATOS!$I3144="","",IFERROR(VLOOKUP(DATOS!$I3144,CONFIG_ASIGNATURAS!$B$2:$J$91,9,FALSE()),""))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IF(DATOS!$A3145="",0,IF(CONFIG_METADATA!$B$4&lt;&gt;"OR+EX",--(DATOS!$G3145=CONFIG_METADATA!$B$4),IF(DATOS!$G3145="EX",1,IF(DATOS!$G3145="OR",--(COUNTIFS(nNIA,DATOS!$A3145,nCURSO,DATOS!$D3145,nESPEC,DATOS!$E3145,nASIG,DATOS!$I3145,nEVAL,"EX")=0),0))))</f>
      </c>
      <c r="H3145">
        <f>IF(DATOS!$G3145&lt;&gt;"EX",0,--(COUNTIFS(nNIA,DATOS!$A3145,nCURSO,DATOS!$D3145,nESPEC,DATOS!$E3145,nASIG,DATOS!$I3145,nEVAL,"OR")=0))</f>
      </c>
      <c r="I3145">
        <f>IF(DATOS!$I3145="","",IFERROR(VLOOKUP(DATOS!$I3145,CONFIG_ASIGNATURAS!$B$2:$J$91,9,FALSE()),""))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IF(DATOS!$A3146="",0,IF(CONFIG_METADATA!$B$4&lt;&gt;"OR+EX",--(DATOS!$G3146=CONFIG_METADATA!$B$4),IF(DATOS!$G3146="EX",1,IF(DATOS!$G3146="OR",--(COUNTIFS(nNIA,DATOS!$A3146,nCURSO,DATOS!$D3146,nESPEC,DATOS!$E3146,nASIG,DATOS!$I3146,nEVAL,"EX")=0),0))))</f>
      </c>
      <c r="H3146">
        <f>IF(DATOS!$G3146&lt;&gt;"EX",0,--(COUNTIFS(nNIA,DATOS!$A3146,nCURSO,DATOS!$D3146,nESPEC,DATOS!$E3146,nASIG,DATOS!$I3146,nEVAL,"OR")=0))</f>
      </c>
      <c r="I3146">
        <f>IF(DATOS!$I3146="","",IFERROR(VLOOKUP(DATOS!$I3146,CONFIG_ASIGNATURAS!$B$2:$J$91,9,FALSE()),""))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IF(DATOS!$A3147="",0,IF(CONFIG_METADATA!$B$4&lt;&gt;"OR+EX",--(DATOS!$G3147=CONFIG_METADATA!$B$4),IF(DATOS!$G3147="EX",1,IF(DATOS!$G3147="OR",--(COUNTIFS(nNIA,DATOS!$A3147,nCURSO,DATOS!$D3147,nESPEC,DATOS!$E3147,nASIG,DATOS!$I3147,nEVAL,"EX")=0),0))))</f>
      </c>
      <c r="H3147">
        <f>IF(DATOS!$G3147&lt;&gt;"EX",0,--(COUNTIFS(nNIA,DATOS!$A3147,nCURSO,DATOS!$D3147,nESPEC,DATOS!$E3147,nASIG,DATOS!$I3147,nEVAL,"OR")=0))</f>
      </c>
      <c r="I3147">
        <f>IF(DATOS!$I3147="","",IFERROR(VLOOKUP(DATOS!$I3147,CONFIG_ASIGNATURAS!$B$2:$J$91,9,FALSE()),""))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IF(DATOS!$A3148="",0,IF(CONFIG_METADATA!$B$4&lt;&gt;"OR+EX",--(DATOS!$G3148=CONFIG_METADATA!$B$4),IF(DATOS!$G3148="EX",1,IF(DATOS!$G3148="OR",--(COUNTIFS(nNIA,DATOS!$A3148,nCURSO,DATOS!$D3148,nESPEC,DATOS!$E3148,nASIG,DATOS!$I3148,nEVAL,"EX")=0),0))))</f>
      </c>
      <c r="H3148">
        <f>IF(DATOS!$G3148&lt;&gt;"EX",0,--(COUNTIFS(nNIA,DATOS!$A3148,nCURSO,DATOS!$D3148,nESPEC,DATOS!$E3148,nASIG,DATOS!$I3148,nEVAL,"OR")=0))</f>
      </c>
      <c r="I3148">
        <f>IF(DATOS!$I3148="","",IFERROR(VLOOKUP(DATOS!$I3148,CONFIG_ASIGNATURAS!$B$2:$J$91,9,FALSE()),""))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IF(DATOS!$A3149="",0,IF(CONFIG_METADATA!$B$4&lt;&gt;"OR+EX",--(DATOS!$G3149=CONFIG_METADATA!$B$4),IF(DATOS!$G3149="EX",1,IF(DATOS!$G3149="OR",--(COUNTIFS(nNIA,DATOS!$A3149,nCURSO,DATOS!$D3149,nESPEC,DATOS!$E3149,nASIG,DATOS!$I3149,nEVAL,"EX")=0),0))))</f>
      </c>
      <c r="H3149">
        <f>IF(DATOS!$G3149&lt;&gt;"EX",0,--(COUNTIFS(nNIA,DATOS!$A3149,nCURSO,DATOS!$D3149,nESPEC,DATOS!$E3149,nASIG,DATOS!$I3149,nEVAL,"OR")=0))</f>
      </c>
      <c r="I3149">
        <f>IF(DATOS!$I3149="","",IFERROR(VLOOKUP(DATOS!$I3149,CONFIG_ASIGNATURAS!$B$2:$J$91,9,FALSE()),""))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IF(DATOS!$A3150="",0,IF(CONFIG_METADATA!$B$4&lt;&gt;"OR+EX",--(DATOS!$G3150=CONFIG_METADATA!$B$4),IF(DATOS!$G3150="EX",1,IF(DATOS!$G3150="OR",--(COUNTIFS(nNIA,DATOS!$A3150,nCURSO,DATOS!$D3150,nESPEC,DATOS!$E3150,nASIG,DATOS!$I3150,nEVAL,"EX")=0),0))))</f>
      </c>
      <c r="H3150">
        <f>IF(DATOS!$G3150&lt;&gt;"EX",0,--(COUNTIFS(nNIA,DATOS!$A3150,nCURSO,DATOS!$D3150,nESPEC,DATOS!$E3150,nASIG,DATOS!$I3150,nEVAL,"OR")=0))</f>
      </c>
      <c r="I3150">
        <f>IF(DATOS!$I3150="","",IFERROR(VLOOKUP(DATOS!$I3150,CONFIG_ASIGNATURAS!$B$2:$J$91,9,FALSE()),""))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IF(DATOS!$A3151="",0,IF(CONFIG_METADATA!$B$4&lt;&gt;"OR+EX",--(DATOS!$G3151=CONFIG_METADATA!$B$4),IF(DATOS!$G3151="EX",1,IF(DATOS!$G3151="OR",--(COUNTIFS(nNIA,DATOS!$A3151,nCURSO,DATOS!$D3151,nESPEC,DATOS!$E3151,nASIG,DATOS!$I3151,nEVAL,"EX")=0),0))))</f>
      </c>
      <c r="H3151">
        <f>IF(DATOS!$G3151&lt;&gt;"EX",0,--(COUNTIFS(nNIA,DATOS!$A3151,nCURSO,DATOS!$D3151,nESPEC,DATOS!$E3151,nASIG,DATOS!$I3151,nEVAL,"OR")=0))</f>
      </c>
      <c r="I3151">
        <f>IF(DATOS!$I3151="","",IFERROR(VLOOKUP(DATOS!$I3151,CONFIG_ASIGNATURAS!$B$2:$J$91,9,FALSE()),""))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IF(DATOS!$A3152="",0,IF(CONFIG_METADATA!$B$4&lt;&gt;"OR+EX",--(DATOS!$G3152=CONFIG_METADATA!$B$4),IF(DATOS!$G3152="EX",1,IF(DATOS!$G3152="OR",--(COUNTIFS(nNIA,DATOS!$A3152,nCURSO,DATOS!$D3152,nESPEC,DATOS!$E3152,nASIG,DATOS!$I3152,nEVAL,"EX")=0),0))))</f>
      </c>
      <c r="H3152">
        <f>IF(DATOS!$G3152&lt;&gt;"EX",0,--(COUNTIFS(nNIA,DATOS!$A3152,nCURSO,DATOS!$D3152,nESPEC,DATOS!$E3152,nASIG,DATOS!$I3152,nEVAL,"OR")=0))</f>
      </c>
      <c r="I3152">
        <f>IF(DATOS!$I3152="","",IFERROR(VLOOKUP(DATOS!$I3152,CONFIG_ASIGNATURAS!$B$2:$J$91,9,FALSE()),""))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IF(DATOS!$A3153="",0,IF(CONFIG_METADATA!$B$4&lt;&gt;"OR+EX",--(DATOS!$G3153=CONFIG_METADATA!$B$4),IF(DATOS!$G3153="EX",1,IF(DATOS!$G3153="OR",--(COUNTIFS(nNIA,DATOS!$A3153,nCURSO,DATOS!$D3153,nESPEC,DATOS!$E3153,nASIG,DATOS!$I3153,nEVAL,"EX")=0),0))))</f>
      </c>
      <c r="H3153">
        <f>IF(DATOS!$G3153&lt;&gt;"EX",0,--(COUNTIFS(nNIA,DATOS!$A3153,nCURSO,DATOS!$D3153,nESPEC,DATOS!$E3153,nASIG,DATOS!$I3153,nEVAL,"OR")=0))</f>
      </c>
      <c r="I3153">
        <f>IF(DATOS!$I3153="","",IFERROR(VLOOKUP(DATOS!$I3153,CONFIG_ASIGNATURAS!$B$2:$J$91,9,FALSE()),""))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IF(DATOS!$A3154="",0,IF(CONFIG_METADATA!$B$4&lt;&gt;"OR+EX",--(DATOS!$G3154=CONFIG_METADATA!$B$4),IF(DATOS!$G3154="EX",1,IF(DATOS!$G3154="OR",--(COUNTIFS(nNIA,DATOS!$A3154,nCURSO,DATOS!$D3154,nESPEC,DATOS!$E3154,nASIG,DATOS!$I3154,nEVAL,"EX")=0),0))))</f>
      </c>
      <c r="H3154">
        <f>IF(DATOS!$G3154&lt;&gt;"EX",0,--(COUNTIFS(nNIA,DATOS!$A3154,nCURSO,DATOS!$D3154,nESPEC,DATOS!$E3154,nASIG,DATOS!$I3154,nEVAL,"OR")=0))</f>
      </c>
      <c r="I3154">
        <f>IF(DATOS!$I3154="","",IFERROR(VLOOKUP(DATOS!$I3154,CONFIG_ASIGNATURAS!$B$2:$J$91,9,FALSE()),""))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IF(DATOS!$A3155="",0,IF(CONFIG_METADATA!$B$4&lt;&gt;"OR+EX",--(DATOS!$G3155=CONFIG_METADATA!$B$4),IF(DATOS!$G3155="EX",1,IF(DATOS!$G3155="OR",--(COUNTIFS(nNIA,DATOS!$A3155,nCURSO,DATOS!$D3155,nESPEC,DATOS!$E3155,nASIG,DATOS!$I3155,nEVAL,"EX")=0),0))))</f>
      </c>
      <c r="H3155">
        <f>IF(DATOS!$G3155&lt;&gt;"EX",0,--(COUNTIFS(nNIA,DATOS!$A3155,nCURSO,DATOS!$D3155,nESPEC,DATOS!$E3155,nASIG,DATOS!$I3155,nEVAL,"OR")=0))</f>
      </c>
      <c r="I3155">
        <f>IF(DATOS!$I3155="","",IFERROR(VLOOKUP(DATOS!$I3155,CONFIG_ASIGNATURAS!$B$2:$J$91,9,FALSE()),""))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IF(DATOS!$A3156="",0,IF(CONFIG_METADATA!$B$4&lt;&gt;"OR+EX",--(DATOS!$G3156=CONFIG_METADATA!$B$4),IF(DATOS!$G3156="EX",1,IF(DATOS!$G3156="OR",--(COUNTIFS(nNIA,DATOS!$A3156,nCURSO,DATOS!$D3156,nESPEC,DATOS!$E3156,nASIG,DATOS!$I3156,nEVAL,"EX")=0),0))))</f>
      </c>
      <c r="H3156">
        <f>IF(DATOS!$G3156&lt;&gt;"EX",0,--(COUNTIFS(nNIA,DATOS!$A3156,nCURSO,DATOS!$D3156,nESPEC,DATOS!$E3156,nASIG,DATOS!$I3156,nEVAL,"OR")=0))</f>
      </c>
      <c r="I3156">
        <f>IF(DATOS!$I3156="","",IFERROR(VLOOKUP(DATOS!$I3156,CONFIG_ASIGNATURAS!$B$2:$J$91,9,FALSE()),""))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IF(DATOS!$A3157="",0,IF(CONFIG_METADATA!$B$4&lt;&gt;"OR+EX",--(DATOS!$G3157=CONFIG_METADATA!$B$4),IF(DATOS!$G3157="EX",1,IF(DATOS!$G3157="OR",--(COUNTIFS(nNIA,DATOS!$A3157,nCURSO,DATOS!$D3157,nESPEC,DATOS!$E3157,nASIG,DATOS!$I3157,nEVAL,"EX")=0),0))))</f>
      </c>
      <c r="H3157">
        <f>IF(DATOS!$G3157&lt;&gt;"EX",0,--(COUNTIFS(nNIA,DATOS!$A3157,nCURSO,DATOS!$D3157,nESPEC,DATOS!$E3157,nASIG,DATOS!$I3157,nEVAL,"OR")=0))</f>
      </c>
      <c r="I3157">
        <f>IF(DATOS!$I3157="","",IFERROR(VLOOKUP(DATOS!$I3157,CONFIG_ASIGNATURAS!$B$2:$J$91,9,FALSE()),""))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IF(DATOS!$A3158="",0,IF(CONFIG_METADATA!$B$4&lt;&gt;"OR+EX",--(DATOS!$G3158=CONFIG_METADATA!$B$4),IF(DATOS!$G3158="EX",1,IF(DATOS!$G3158="OR",--(COUNTIFS(nNIA,DATOS!$A3158,nCURSO,DATOS!$D3158,nESPEC,DATOS!$E3158,nASIG,DATOS!$I3158,nEVAL,"EX")=0),0))))</f>
      </c>
      <c r="H3158">
        <f>IF(DATOS!$G3158&lt;&gt;"EX",0,--(COUNTIFS(nNIA,DATOS!$A3158,nCURSO,DATOS!$D3158,nESPEC,DATOS!$E3158,nASIG,DATOS!$I3158,nEVAL,"OR")=0))</f>
      </c>
      <c r="I3158">
        <f>IF(DATOS!$I3158="","",IFERROR(VLOOKUP(DATOS!$I3158,CONFIG_ASIGNATURAS!$B$2:$J$91,9,FALSE()),""))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IF(DATOS!$A3159="",0,IF(CONFIG_METADATA!$B$4&lt;&gt;"OR+EX",--(DATOS!$G3159=CONFIG_METADATA!$B$4),IF(DATOS!$G3159="EX",1,IF(DATOS!$G3159="OR",--(COUNTIFS(nNIA,DATOS!$A3159,nCURSO,DATOS!$D3159,nESPEC,DATOS!$E3159,nASIG,DATOS!$I3159,nEVAL,"EX")=0),0))))</f>
      </c>
      <c r="H3159">
        <f>IF(DATOS!$G3159&lt;&gt;"EX",0,--(COUNTIFS(nNIA,DATOS!$A3159,nCURSO,DATOS!$D3159,nESPEC,DATOS!$E3159,nASIG,DATOS!$I3159,nEVAL,"OR")=0))</f>
      </c>
      <c r="I3159">
        <f>IF(DATOS!$I3159="","",IFERROR(VLOOKUP(DATOS!$I3159,CONFIG_ASIGNATURAS!$B$2:$J$91,9,FALSE()),""))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IF(DATOS!$A3160="",0,IF(CONFIG_METADATA!$B$4&lt;&gt;"OR+EX",--(DATOS!$G3160=CONFIG_METADATA!$B$4),IF(DATOS!$G3160="EX",1,IF(DATOS!$G3160="OR",--(COUNTIFS(nNIA,DATOS!$A3160,nCURSO,DATOS!$D3160,nESPEC,DATOS!$E3160,nASIG,DATOS!$I3160,nEVAL,"EX")=0),0))))</f>
      </c>
      <c r="H3160">
        <f>IF(DATOS!$G3160&lt;&gt;"EX",0,--(COUNTIFS(nNIA,DATOS!$A3160,nCURSO,DATOS!$D3160,nESPEC,DATOS!$E3160,nASIG,DATOS!$I3160,nEVAL,"OR")=0))</f>
      </c>
      <c r="I3160">
        <f>IF(DATOS!$I3160="","",IFERROR(VLOOKUP(DATOS!$I3160,CONFIG_ASIGNATURAS!$B$2:$J$91,9,FALSE()),""))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IF(DATOS!$A3161="",0,IF(CONFIG_METADATA!$B$4&lt;&gt;"OR+EX",--(DATOS!$G3161=CONFIG_METADATA!$B$4),IF(DATOS!$G3161="EX",1,IF(DATOS!$G3161="OR",--(COUNTIFS(nNIA,DATOS!$A3161,nCURSO,DATOS!$D3161,nESPEC,DATOS!$E3161,nASIG,DATOS!$I3161,nEVAL,"EX")=0),0))))</f>
      </c>
      <c r="H3161">
        <f>IF(DATOS!$G3161&lt;&gt;"EX",0,--(COUNTIFS(nNIA,DATOS!$A3161,nCURSO,DATOS!$D3161,nESPEC,DATOS!$E3161,nASIG,DATOS!$I3161,nEVAL,"OR")=0))</f>
      </c>
      <c r="I3161">
        <f>IF(DATOS!$I3161="","",IFERROR(VLOOKUP(DATOS!$I3161,CONFIG_ASIGNATURAS!$B$2:$J$91,9,FALSE()),""))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IF(DATOS!$A3162="",0,IF(CONFIG_METADATA!$B$4&lt;&gt;"OR+EX",--(DATOS!$G3162=CONFIG_METADATA!$B$4),IF(DATOS!$G3162="EX",1,IF(DATOS!$G3162="OR",--(COUNTIFS(nNIA,DATOS!$A3162,nCURSO,DATOS!$D3162,nESPEC,DATOS!$E3162,nASIG,DATOS!$I3162,nEVAL,"EX")=0),0))))</f>
      </c>
      <c r="H3162">
        <f>IF(DATOS!$G3162&lt;&gt;"EX",0,--(COUNTIFS(nNIA,DATOS!$A3162,nCURSO,DATOS!$D3162,nESPEC,DATOS!$E3162,nASIG,DATOS!$I3162,nEVAL,"OR")=0))</f>
      </c>
      <c r="I3162">
        <f>IF(DATOS!$I3162="","",IFERROR(VLOOKUP(DATOS!$I3162,CONFIG_ASIGNATURAS!$B$2:$J$91,9,FALSE()),""))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IF(DATOS!$A3163="",0,IF(CONFIG_METADATA!$B$4&lt;&gt;"OR+EX",--(DATOS!$G3163=CONFIG_METADATA!$B$4),IF(DATOS!$G3163="EX",1,IF(DATOS!$G3163="OR",--(COUNTIFS(nNIA,DATOS!$A3163,nCURSO,DATOS!$D3163,nESPEC,DATOS!$E3163,nASIG,DATOS!$I3163,nEVAL,"EX")=0),0))))</f>
      </c>
      <c r="H3163">
        <f>IF(DATOS!$G3163&lt;&gt;"EX",0,--(COUNTIFS(nNIA,DATOS!$A3163,nCURSO,DATOS!$D3163,nESPEC,DATOS!$E3163,nASIG,DATOS!$I3163,nEVAL,"OR")=0))</f>
      </c>
      <c r="I3163">
        <f>IF(DATOS!$I3163="","",IFERROR(VLOOKUP(DATOS!$I3163,CONFIG_ASIGNATURAS!$B$2:$J$91,9,FALSE()),""))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IF(DATOS!$A3164="",0,IF(CONFIG_METADATA!$B$4&lt;&gt;"OR+EX",--(DATOS!$G3164=CONFIG_METADATA!$B$4),IF(DATOS!$G3164="EX",1,IF(DATOS!$G3164="OR",--(COUNTIFS(nNIA,DATOS!$A3164,nCURSO,DATOS!$D3164,nESPEC,DATOS!$E3164,nASIG,DATOS!$I3164,nEVAL,"EX")=0),0))))</f>
      </c>
      <c r="H3164">
        <f>IF(DATOS!$G3164&lt;&gt;"EX",0,--(COUNTIFS(nNIA,DATOS!$A3164,nCURSO,DATOS!$D3164,nESPEC,DATOS!$E3164,nASIG,DATOS!$I3164,nEVAL,"OR")=0))</f>
      </c>
      <c r="I3164">
        <f>IF(DATOS!$I3164="","",IFERROR(VLOOKUP(DATOS!$I3164,CONFIG_ASIGNATURAS!$B$2:$J$91,9,FALSE()),""))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IF(DATOS!$A3165="",0,IF(CONFIG_METADATA!$B$4&lt;&gt;"OR+EX",--(DATOS!$G3165=CONFIG_METADATA!$B$4),IF(DATOS!$G3165="EX",1,IF(DATOS!$G3165="OR",--(COUNTIFS(nNIA,DATOS!$A3165,nCURSO,DATOS!$D3165,nESPEC,DATOS!$E3165,nASIG,DATOS!$I3165,nEVAL,"EX")=0),0))))</f>
      </c>
      <c r="H3165">
        <f>IF(DATOS!$G3165&lt;&gt;"EX",0,--(COUNTIFS(nNIA,DATOS!$A3165,nCURSO,DATOS!$D3165,nESPEC,DATOS!$E3165,nASIG,DATOS!$I3165,nEVAL,"OR")=0))</f>
      </c>
      <c r="I3165">
        <f>IF(DATOS!$I3165="","",IFERROR(VLOOKUP(DATOS!$I3165,CONFIG_ASIGNATURAS!$B$2:$J$91,9,FALSE()),""))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IF(DATOS!$A3166="",0,IF(CONFIG_METADATA!$B$4&lt;&gt;"OR+EX",--(DATOS!$G3166=CONFIG_METADATA!$B$4),IF(DATOS!$G3166="EX",1,IF(DATOS!$G3166="OR",--(COUNTIFS(nNIA,DATOS!$A3166,nCURSO,DATOS!$D3166,nESPEC,DATOS!$E3166,nASIG,DATOS!$I3166,nEVAL,"EX")=0),0))))</f>
      </c>
      <c r="H3166">
        <f>IF(DATOS!$G3166&lt;&gt;"EX",0,--(COUNTIFS(nNIA,DATOS!$A3166,nCURSO,DATOS!$D3166,nESPEC,DATOS!$E3166,nASIG,DATOS!$I3166,nEVAL,"OR")=0))</f>
      </c>
      <c r="I3166">
        <f>IF(DATOS!$I3166="","",IFERROR(VLOOKUP(DATOS!$I3166,CONFIG_ASIGNATURAS!$B$2:$J$91,9,FALSE()),""))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IF(DATOS!$A3167="",0,IF(CONFIG_METADATA!$B$4&lt;&gt;"OR+EX",--(DATOS!$G3167=CONFIG_METADATA!$B$4),IF(DATOS!$G3167="EX",1,IF(DATOS!$G3167="OR",--(COUNTIFS(nNIA,DATOS!$A3167,nCURSO,DATOS!$D3167,nESPEC,DATOS!$E3167,nASIG,DATOS!$I3167,nEVAL,"EX")=0),0))))</f>
      </c>
      <c r="H3167">
        <f>IF(DATOS!$G3167&lt;&gt;"EX",0,--(COUNTIFS(nNIA,DATOS!$A3167,nCURSO,DATOS!$D3167,nESPEC,DATOS!$E3167,nASIG,DATOS!$I3167,nEVAL,"OR")=0))</f>
      </c>
      <c r="I3167">
        <f>IF(DATOS!$I3167="","",IFERROR(VLOOKUP(DATOS!$I3167,CONFIG_ASIGNATURAS!$B$2:$J$91,9,FALSE()),""))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IF(DATOS!$A3168="",0,IF(CONFIG_METADATA!$B$4&lt;&gt;"OR+EX",--(DATOS!$G3168=CONFIG_METADATA!$B$4),IF(DATOS!$G3168="EX",1,IF(DATOS!$G3168="OR",--(COUNTIFS(nNIA,DATOS!$A3168,nCURSO,DATOS!$D3168,nESPEC,DATOS!$E3168,nASIG,DATOS!$I3168,nEVAL,"EX")=0),0))))</f>
      </c>
      <c r="H3168">
        <f>IF(DATOS!$G3168&lt;&gt;"EX",0,--(COUNTIFS(nNIA,DATOS!$A3168,nCURSO,DATOS!$D3168,nESPEC,DATOS!$E3168,nASIG,DATOS!$I3168,nEVAL,"OR")=0))</f>
      </c>
      <c r="I3168">
        <f>IF(DATOS!$I3168="","",IFERROR(VLOOKUP(DATOS!$I3168,CONFIG_ASIGNATURAS!$B$2:$J$91,9,FALSE()),""))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IF(DATOS!$A3169="",0,IF(CONFIG_METADATA!$B$4&lt;&gt;"OR+EX",--(DATOS!$G3169=CONFIG_METADATA!$B$4),IF(DATOS!$G3169="EX",1,IF(DATOS!$G3169="OR",--(COUNTIFS(nNIA,DATOS!$A3169,nCURSO,DATOS!$D3169,nESPEC,DATOS!$E3169,nASIG,DATOS!$I3169,nEVAL,"EX")=0),0))))</f>
      </c>
      <c r="H3169">
        <f>IF(DATOS!$G3169&lt;&gt;"EX",0,--(COUNTIFS(nNIA,DATOS!$A3169,nCURSO,DATOS!$D3169,nESPEC,DATOS!$E3169,nASIG,DATOS!$I3169,nEVAL,"OR")=0))</f>
      </c>
      <c r="I3169">
        <f>IF(DATOS!$I3169="","",IFERROR(VLOOKUP(DATOS!$I3169,CONFIG_ASIGNATURAS!$B$2:$J$91,9,FALSE()),""))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IF(DATOS!$A3170="",0,IF(CONFIG_METADATA!$B$4&lt;&gt;"OR+EX",--(DATOS!$G3170=CONFIG_METADATA!$B$4),IF(DATOS!$G3170="EX",1,IF(DATOS!$G3170="OR",--(COUNTIFS(nNIA,DATOS!$A3170,nCURSO,DATOS!$D3170,nESPEC,DATOS!$E3170,nASIG,DATOS!$I3170,nEVAL,"EX")=0),0))))</f>
      </c>
      <c r="H3170">
        <f>IF(DATOS!$G3170&lt;&gt;"EX",0,--(COUNTIFS(nNIA,DATOS!$A3170,nCURSO,DATOS!$D3170,nESPEC,DATOS!$E3170,nASIG,DATOS!$I3170,nEVAL,"OR")=0))</f>
      </c>
      <c r="I3170">
        <f>IF(DATOS!$I3170="","",IFERROR(VLOOKUP(DATOS!$I3170,CONFIG_ASIGNATURAS!$B$2:$J$91,9,FALSE()),""))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IF(DATOS!$A3171="",0,IF(CONFIG_METADATA!$B$4&lt;&gt;"OR+EX",--(DATOS!$G3171=CONFIG_METADATA!$B$4),IF(DATOS!$G3171="EX",1,IF(DATOS!$G3171="OR",--(COUNTIFS(nNIA,DATOS!$A3171,nCURSO,DATOS!$D3171,nESPEC,DATOS!$E3171,nASIG,DATOS!$I3171,nEVAL,"EX")=0),0))))</f>
      </c>
      <c r="H3171">
        <f>IF(DATOS!$G3171&lt;&gt;"EX",0,--(COUNTIFS(nNIA,DATOS!$A3171,nCURSO,DATOS!$D3171,nESPEC,DATOS!$E3171,nASIG,DATOS!$I3171,nEVAL,"OR")=0))</f>
      </c>
      <c r="I3171">
        <f>IF(DATOS!$I3171="","",IFERROR(VLOOKUP(DATOS!$I3171,CONFIG_ASIGNATURAS!$B$2:$J$91,9,FALSE()),""))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IF(DATOS!$A3172="",0,IF(CONFIG_METADATA!$B$4&lt;&gt;"OR+EX",--(DATOS!$G3172=CONFIG_METADATA!$B$4),IF(DATOS!$G3172="EX",1,IF(DATOS!$G3172="OR",--(COUNTIFS(nNIA,DATOS!$A3172,nCURSO,DATOS!$D3172,nESPEC,DATOS!$E3172,nASIG,DATOS!$I3172,nEVAL,"EX")=0),0))))</f>
      </c>
      <c r="H3172">
        <f>IF(DATOS!$G3172&lt;&gt;"EX",0,--(COUNTIFS(nNIA,DATOS!$A3172,nCURSO,DATOS!$D3172,nESPEC,DATOS!$E3172,nASIG,DATOS!$I3172,nEVAL,"OR")=0))</f>
      </c>
      <c r="I3172">
        <f>IF(DATOS!$I3172="","",IFERROR(VLOOKUP(DATOS!$I3172,CONFIG_ASIGNATURAS!$B$2:$J$91,9,FALSE()),""))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IF(DATOS!$A3173="",0,IF(CONFIG_METADATA!$B$4&lt;&gt;"OR+EX",--(DATOS!$G3173=CONFIG_METADATA!$B$4),IF(DATOS!$G3173="EX",1,IF(DATOS!$G3173="OR",--(COUNTIFS(nNIA,DATOS!$A3173,nCURSO,DATOS!$D3173,nESPEC,DATOS!$E3173,nASIG,DATOS!$I3173,nEVAL,"EX")=0),0))))</f>
      </c>
      <c r="H3173">
        <f>IF(DATOS!$G3173&lt;&gt;"EX",0,--(COUNTIFS(nNIA,DATOS!$A3173,nCURSO,DATOS!$D3173,nESPEC,DATOS!$E3173,nASIG,DATOS!$I3173,nEVAL,"OR")=0))</f>
      </c>
      <c r="I3173">
        <f>IF(DATOS!$I3173="","",IFERROR(VLOOKUP(DATOS!$I3173,CONFIG_ASIGNATURAS!$B$2:$J$91,9,FALSE()),""))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IF(DATOS!$A3174="",0,IF(CONFIG_METADATA!$B$4&lt;&gt;"OR+EX",--(DATOS!$G3174=CONFIG_METADATA!$B$4),IF(DATOS!$G3174="EX",1,IF(DATOS!$G3174="OR",--(COUNTIFS(nNIA,DATOS!$A3174,nCURSO,DATOS!$D3174,nESPEC,DATOS!$E3174,nASIG,DATOS!$I3174,nEVAL,"EX")=0),0))))</f>
      </c>
      <c r="H3174">
        <f>IF(DATOS!$G3174&lt;&gt;"EX",0,--(COUNTIFS(nNIA,DATOS!$A3174,nCURSO,DATOS!$D3174,nESPEC,DATOS!$E3174,nASIG,DATOS!$I3174,nEVAL,"OR")=0))</f>
      </c>
      <c r="I3174">
        <f>IF(DATOS!$I3174="","",IFERROR(VLOOKUP(DATOS!$I3174,CONFIG_ASIGNATURAS!$B$2:$J$91,9,FALSE()),""))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IF(DATOS!$A3175="",0,IF(CONFIG_METADATA!$B$4&lt;&gt;"OR+EX",--(DATOS!$G3175=CONFIG_METADATA!$B$4),IF(DATOS!$G3175="EX",1,IF(DATOS!$G3175="OR",--(COUNTIFS(nNIA,DATOS!$A3175,nCURSO,DATOS!$D3175,nESPEC,DATOS!$E3175,nASIG,DATOS!$I3175,nEVAL,"EX")=0),0))))</f>
      </c>
      <c r="H3175">
        <f>IF(DATOS!$G3175&lt;&gt;"EX",0,--(COUNTIFS(nNIA,DATOS!$A3175,nCURSO,DATOS!$D3175,nESPEC,DATOS!$E3175,nASIG,DATOS!$I3175,nEVAL,"OR")=0))</f>
      </c>
      <c r="I3175">
        <f>IF(DATOS!$I3175="","",IFERROR(VLOOKUP(DATOS!$I3175,CONFIG_ASIGNATURAS!$B$2:$J$91,9,FALSE()),""))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IF(DATOS!$A3176="",0,IF(CONFIG_METADATA!$B$4&lt;&gt;"OR+EX",--(DATOS!$G3176=CONFIG_METADATA!$B$4),IF(DATOS!$G3176="EX",1,IF(DATOS!$G3176="OR",--(COUNTIFS(nNIA,DATOS!$A3176,nCURSO,DATOS!$D3176,nESPEC,DATOS!$E3176,nASIG,DATOS!$I3176,nEVAL,"EX")=0),0))))</f>
      </c>
      <c r="H3176">
        <f>IF(DATOS!$G3176&lt;&gt;"EX",0,--(COUNTIFS(nNIA,DATOS!$A3176,nCURSO,DATOS!$D3176,nESPEC,DATOS!$E3176,nASIG,DATOS!$I3176,nEVAL,"OR")=0))</f>
      </c>
      <c r="I3176">
        <f>IF(DATOS!$I3176="","",IFERROR(VLOOKUP(DATOS!$I3176,CONFIG_ASIGNATURAS!$B$2:$J$91,9,FALSE()),""))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IF(DATOS!$A3177="",0,IF(CONFIG_METADATA!$B$4&lt;&gt;"OR+EX",--(DATOS!$G3177=CONFIG_METADATA!$B$4),IF(DATOS!$G3177="EX",1,IF(DATOS!$G3177="OR",--(COUNTIFS(nNIA,DATOS!$A3177,nCURSO,DATOS!$D3177,nESPEC,DATOS!$E3177,nASIG,DATOS!$I3177,nEVAL,"EX")=0),0))))</f>
      </c>
      <c r="H3177">
        <f>IF(DATOS!$G3177&lt;&gt;"EX",0,--(COUNTIFS(nNIA,DATOS!$A3177,nCURSO,DATOS!$D3177,nESPEC,DATOS!$E3177,nASIG,DATOS!$I3177,nEVAL,"OR")=0))</f>
      </c>
      <c r="I3177">
        <f>IF(DATOS!$I3177="","",IFERROR(VLOOKUP(DATOS!$I3177,CONFIG_ASIGNATURAS!$B$2:$J$91,9,FALSE()),""))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IF(DATOS!$A3178="",0,IF(CONFIG_METADATA!$B$4&lt;&gt;"OR+EX",--(DATOS!$G3178=CONFIG_METADATA!$B$4),IF(DATOS!$G3178="EX",1,IF(DATOS!$G3178="OR",--(COUNTIFS(nNIA,DATOS!$A3178,nCURSO,DATOS!$D3178,nESPEC,DATOS!$E3178,nASIG,DATOS!$I3178,nEVAL,"EX")=0),0))))</f>
      </c>
      <c r="H3178">
        <f>IF(DATOS!$G3178&lt;&gt;"EX",0,--(COUNTIFS(nNIA,DATOS!$A3178,nCURSO,DATOS!$D3178,nESPEC,DATOS!$E3178,nASIG,DATOS!$I3178,nEVAL,"OR")=0))</f>
      </c>
      <c r="I3178">
        <f>IF(DATOS!$I3178="","",IFERROR(VLOOKUP(DATOS!$I3178,CONFIG_ASIGNATURAS!$B$2:$J$91,9,FALSE()),""))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IF(DATOS!$A3179="",0,IF(CONFIG_METADATA!$B$4&lt;&gt;"OR+EX",--(DATOS!$G3179=CONFIG_METADATA!$B$4),IF(DATOS!$G3179="EX",1,IF(DATOS!$G3179="OR",--(COUNTIFS(nNIA,DATOS!$A3179,nCURSO,DATOS!$D3179,nESPEC,DATOS!$E3179,nASIG,DATOS!$I3179,nEVAL,"EX")=0),0))))</f>
      </c>
      <c r="H3179">
        <f>IF(DATOS!$G3179&lt;&gt;"EX",0,--(COUNTIFS(nNIA,DATOS!$A3179,nCURSO,DATOS!$D3179,nESPEC,DATOS!$E3179,nASIG,DATOS!$I3179,nEVAL,"OR")=0))</f>
      </c>
      <c r="I3179">
        <f>IF(DATOS!$I3179="","",IFERROR(VLOOKUP(DATOS!$I3179,CONFIG_ASIGNATURAS!$B$2:$J$91,9,FALSE()),""))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IF(DATOS!$A3180="",0,IF(CONFIG_METADATA!$B$4&lt;&gt;"OR+EX",--(DATOS!$G3180=CONFIG_METADATA!$B$4),IF(DATOS!$G3180="EX",1,IF(DATOS!$G3180="OR",--(COUNTIFS(nNIA,DATOS!$A3180,nCURSO,DATOS!$D3180,nESPEC,DATOS!$E3180,nASIG,DATOS!$I3180,nEVAL,"EX")=0),0))))</f>
      </c>
      <c r="H3180">
        <f>IF(DATOS!$G3180&lt;&gt;"EX",0,--(COUNTIFS(nNIA,DATOS!$A3180,nCURSO,DATOS!$D3180,nESPEC,DATOS!$E3180,nASIG,DATOS!$I3180,nEVAL,"OR")=0))</f>
      </c>
      <c r="I3180">
        <f>IF(DATOS!$I3180="","",IFERROR(VLOOKUP(DATOS!$I3180,CONFIG_ASIGNATURAS!$B$2:$J$91,9,FALSE()),""))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IF(DATOS!$A3181="",0,IF(CONFIG_METADATA!$B$4&lt;&gt;"OR+EX",--(DATOS!$G3181=CONFIG_METADATA!$B$4),IF(DATOS!$G3181="EX",1,IF(DATOS!$G3181="OR",--(COUNTIFS(nNIA,DATOS!$A3181,nCURSO,DATOS!$D3181,nESPEC,DATOS!$E3181,nASIG,DATOS!$I3181,nEVAL,"EX")=0),0))))</f>
      </c>
      <c r="H3181">
        <f>IF(DATOS!$G3181&lt;&gt;"EX",0,--(COUNTIFS(nNIA,DATOS!$A3181,nCURSO,DATOS!$D3181,nESPEC,DATOS!$E3181,nASIG,DATOS!$I3181,nEVAL,"OR")=0))</f>
      </c>
      <c r="I3181">
        <f>IF(DATOS!$I3181="","",IFERROR(VLOOKUP(DATOS!$I3181,CONFIG_ASIGNATURAS!$B$2:$J$91,9,FALSE()),""))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IF(DATOS!$A3182="",0,IF(CONFIG_METADATA!$B$4&lt;&gt;"OR+EX",--(DATOS!$G3182=CONFIG_METADATA!$B$4),IF(DATOS!$G3182="EX",1,IF(DATOS!$G3182="OR",--(COUNTIFS(nNIA,DATOS!$A3182,nCURSO,DATOS!$D3182,nESPEC,DATOS!$E3182,nASIG,DATOS!$I3182,nEVAL,"EX")=0),0))))</f>
      </c>
      <c r="H3182">
        <f>IF(DATOS!$G3182&lt;&gt;"EX",0,--(COUNTIFS(nNIA,DATOS!$A3182,nCURSO,DATOS!$D3182,nESPEC,DATOS!$E3182,nASIG,DATOS!$I3182,nEVAL,"OR")=0))</f>
      </c>
      <c r="I3182">
        <f>IF(DATOS!$I3182="","",IFERROR(VLOOKUP(DATOS!$I3182,CONFIG_ASIGNATURAS!$B$2:$J$91,9,FALSE()),""))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IF(DATOS!$A3183="",0,IF(CONFIG_METADATA!$B$4&lt;&gt;"OR+EX",--(DATOS!$G3183=CONFIG_METADATA!$B$4),IF(DATOS!$G3183="EX",1,IF(DATOS!$G3183="OR",--(COUNTIFS(nNIA,DATOS!$A3183,nCURSO,DATOS!$D3183,nESPEC,DATOS!$E3183,nASIG,DATOS!$I3183,nEVAL,"EX")=0),0))))</f>
      </c>
      <c r="H3183">
        <f>IF(DATOS!$G3183&lt;&gt;"EX",0,--(COUNTIFS(nNIA,DATOS!$A3183,nCURSO,DATOS!$D3183,nESPEC,DATOS!$E3183,nASIG,DATOS!$I3183,nEVAL,"OR")=0))</f>
      </c>
      <c r="I3183">
        <f>IF(DATOS!$I3183="","",IFERROR(VLOOKUP(DATOS!$I3183,CONFIG_ASIGNATURAS!$B$2:$J$91,9,FALSE()),""))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IF(DATOS!$A3184="",0,IF(CONFIG_METADATA!$B$4&lt;&gt;"OR+EX",--(DATOS!$G3184=CONFIG_METADATA!$B$4),IF(DATOS!$G3184="EX",1,IF(DATOS!$G3184="OR",--(COUNTIFS(nNIA,DATOS!$A3184,nCURSO,DATOS!$D3184,nESPEC,DATOS!$E3184,nASIG,DATOS!$I3184,nEVAL,"EX")=0),0))))</f>
      </c>
      <c r="H3184">
        <f>IF(DATOS!$G3184&lt;&gt;"EX",0,--(COUNTIFS(nNIA,DATOS!$A3184,nCURSO,DATOS!$D3184,nESPEC,DATOS!$E3184,nASIG,DATOS!$I3184,nEVAL,"OR")=0))</f>
      </c>
      <c r="I3184">
        <f>IF(DATOS!$I3184="","",IFERROR(VLOOKUP(DATOS!$I3184,CONFIG_ASIGNATURAS!$B$2:$J$91,9,FALSE()),""))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IF(DATOS!$A3185="",0,IF(CONFIG_METADATA!$B$4&lt;&gt;"OR+EX",--(DATOS!$G3185=CONFIG_METADATA!$B$4),IF(DATOS!$G3185="EX",1,IF(DATOS!$G3185="OR",--(COUNTIFS(nNIA,DATOS!$A3185,nCURSO,DATOS!$D3185,nESPEC,DATOS!$E3185,nASIG,DATOS!$I3185,nEVAL,"EX")=0),0))))</f>
      </c>
      <c r="H3185">
        <f>IF(DATOS!$G3185&lt;&gt;"EX",0,--(COUNTIFS(nNIA,DATOS!$A3185,nCURSO,DATOS!$D3185,nESPEC,DATOS!$E3185,nASIG,DATOS!$I3185,nEVAL,"OR")=0))</f>
      </c>
      <c r="I3185">
        <f>IF(DATOS!$I3185="","",IFERROR(VLOOKUP(DATOS!$I3185,CONFIG_ASIGNATURAS!$B$2:$J$91,9,FALSE()),""))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IF(DATOS!$A3186="",0,IF(CONFIG_METADATA!$B$4&lt;&gt;"OR+EX",--(DATOS!$G3186=CONFIG_METADATA!$B$4),IF(DATOS!$G3186="EX",1,IF(DATOS!$G3186="OR",--(COUNTIFS(nNIA,DATOS!$A3186,nCURSO,DATOS!$D3186,nESPEC,DATOS!$E3186,nASIG,DATOS!$I3186,nEVAL,"EX")=0),0))))</f>
      </c>
      <c r="H3186">
        <f>IF(DATOS!$G3186&lt;&gt;"EX",0,--(COUNTIFS(nNIA,DATOS!$A3186,nCURSO,DATOS!$D3186,nESPEC,DATOS!$E3186,nASIG,DATOS!$I3186,nEVAL,"OR")=0))</f>
      </c>
      <c r="I3186">
        <f>IF(DATOS!$I3186="","",IFERROR(VLOOKUP(DATOS!$I3186,CONFIG_ASIGNATURAS!$B$2:$J$91,9,FALSE()),""))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IF(DATOS!$A3187="",0,IF(CONFIG_METADATA!$B$4&lt;&gt;"OR+EX",--(DATOS!$G3187=CONFIG_METADATA!$B$4),IF(DATOS!$G3187="EX",1,IF(DATOS!$G3187="OR",--(COUNTIFS(nNIA,DATOS!$A3187,nCURSO,DATOS!$D3187,nESPEC,DATOS!$E3187,nASIG,DATOS!$I3187,nEVAL,"EX")=0),0))))</f>
      </c>
      <c r="H3187">
        <f>IF(DATOS!$G3187&lt;&gt;"EX",0,--(COUNTIFS(nNIA,DATOS!$A3187,nCURSO,DATOS!$D3187,nESPEC,DATOS!$E3187,nASIG,DATOS!$I3187,nEVAL,"OR")=0))</f>
      </c>
      <c r="I3187">
        <f>IF(DATOS!$I3187="","",IFERROR(VLOOKUP(DATOS!$I3187,CONFIG_ASIGNATURAS!$B$2:$J$91,9,FALSE()),""))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IF(DATOS!$A3188="",0,IF(CONFIG_METADATA!$B$4&lt;&gt;"OR+EX",--(DATOS!$G3188=CONFIG_METADATA!$B$4),IF(DATOS!$G3188="EX",1,IF(DATOS!$G3188="OR",--(COUNTIFS(nNIA,DATOS!$A3188,nCURSO,DATOS!$D3188,nESPEC,DATOS!$E3188,nASIG,DATOS!$I3188,nEVAL,"EX")=0),0))))</f>
      </c>
      <c r="H3188">
        <f>IF(DATOS!$G3188&lt;&gt;"EX",0,--(COUNTIFS(nNIA,DATOS!$A3188,nCURSO,DATOS!$D3188,nESPEC,DATOS!$E3188,nASIG,DATOS!$I3188,nEVAL,"OR")=0))</f>
      </c>
      <c r="I3188">
        <f>IF(DATOS!$I3188="","",IFERROR(VLOOKUP(DATOS!$I3188,CONFIG_ASIGNATURAS!$B$2:$J$91,9,FALSE()),""))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IF(DATOS!$A3189="",0,IF(CONFIG_METADATA!$B$4&lt;&gt;"OR+EX",--(DATOS!$G3189=CONFIG_METADATA!$B$4),IF(DATOS!$G3189="EX",1,IF(DATOS!$G3189="OR",--(COUNTIFS(nNIA,DATOS!$A3189,nCURSO,DATOS!$D3189,nESPEC,DATOS!$E3189,nASIG,DATOS!$I3189,nEVAL,"EX")=0),0))))</f>
      </c>
      <c r="H3189">
        <f>IF(DATOS!$G3189&lt;&gt;"EX",0,--(COUNTIFS(nNIA,DATOS!$A3189,nCURSO,DATOS!$D3189,nESPEC,DATOS!$E3189,nASIG,DATOS!$I3189,nEVAL,"OR")=0))</f>
      </c>
      <c r="I3189">
        <f>IF(DATOS!$I3189="","",IFERROR(VLOOKUP(DATOS!$I3189,CONFIG_ASIGNATURAS!$B$2:$J$91,9,FALSE()),""))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IF(DATOS!$A3190="",0,IF(CONFIG_METADATA!$B$4&lt;&gt;"OR+EX",--(DATOS!$G3190=CONFIG_METADATA!$B$4),IF(DATOS!$G3190="EX",1,IF(DATOS!$G3190="OR",--(COUNTIFS(nNIA,DATOS!$A3190,nCURSO,DATOS!$D3190,nESPEC,DATOS!$E3190,nASIG,DATOS!$I3190,nEVAL,"EX")=0),0))))</f>
      </c>
      <c r="H3190">
        <f>IF(DATOS!$G3190&lt;&gt;"EX",0,--(COUNTIFS(nNIA,DATOS!$A3190,nCURSO,DATOS!$D3190,nESPEC,DATOS!$E3190,nASIG,DATOS!$I3190,nEVAL,"OR")=0))</f>
      </c>
      <c r="I3190">
        <f>IF(DATOS!$I3190="","",IFERROR(VLOOKUP(DATOS!$I3190,CONFIG_ASIGNATURAS!$B$2:$J$91,9,FALSE()),""))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IF(DATOS!$A3191="",0,IF(CONFIG_METADATA!$B$4&lt;&gt;"OR+EX",--(DATOS!$G3191=CONFIG_METADATA!$B$4),IF(DATOS!$G3191="EX",1,IF(DATOS!$G3191="OR",--(COUNTIFS(nNIA,DATOS!$A3191,nCURSO,DATOS!$D3191,nESPEC,DATOS!$E3191,nASIG,DATOS!$I3191,nEVAL,"EX")=0),0))))</f>
      </c>
      <c r="H3191">
        <f>IF(DATOS!$G3191&lt;&gt;"EX",0,--(COUNTIFS(nNIA,DATOS!$A3191,nCURSO,DATOS!$D3191,nESPEC,DATOS!$E3191,nASIG,DATOS!$I3191,nEVAL,"OR")=0))</f>
      </c>
      <c r="I3191">
        <f>IF(DATOS!$I3191="","",IFERROR(VLOOKUP(DATOS!$I3191,CONFIG_ASIGNATURAS!$B$2:$J$91,9,FALSE()),""))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IF(DATOS!$A3192="",0,IF(CONFIG_METADATA!$B$4&lt;&gt;"OR+EX",--(DATOS!$G3192=CONFIG_METADATA!$B$4),IF(DATOS!$G3192="EX",1,IF(DATOS!$G3192="OR",--(COUNTIFS(nNIA,DATOS!$A3192,nCURSO,DATOS!$D3192,nESPEC,DATOS!$E3192,nASIG,DATOS!$I3192,nEVAL,"EX")=0),0))))</f>
      </c>
      <c r="H3192">
        <f>IF(DATOS!$G3192&lt;&gt;"EX",0,--(COUNTIFS(nNIA,DATOS!$A3192,nCURSO,DATOS!$D3192,nESPEC,DATOS!$E3192,nASIG,DATOS!$I3192,nEVAL,"OR")=0))</f>
      </c>
      <c r="I3192">
        <f>IF(DATOS!$I3192="","",IFERROR(VLOOKUP(DATOS!$I3192,CONFIG_ASIGNATURAS!$B$2:$J$91,9,FALSE()),""))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IF(DATOS!$A3193="",0,IF(CONFIG_METADATA!$B$4&lt;&gt;"OR+EX",--(DATOS!$G3193=CONFIG_METADATA!$B$4),IF(DATOS!$G3193="EX",1,IF(DATOS!$G3193="OR",--(COUNTIFS(nNIA,DATOS!$A3193,nCURSO,DATOS!$D3193,nESPEC,DATOS!$E3193,nASIG,DATOS!$I3193,nEVAL,"EX")=0),0))))</f>
      </c>
      <c r="H3193">
        <f>IF(DATOS!$G3193&lt;&gt;"EX",0,--(COUNTIFS(nNIA,DATOS!$A3193,nCURSO,DATOS!$D3193,nESPEC,DATOS!$E3193,nASIG,DATOS!$I3193,nEVAL,"OR")=0))</f>
      </c>
      <c r="I3193">
        <f>IF(DATOS!$I3193="","",IFERROR(VLOOKUP(DATOS!$I3193,CONFIG_ASIGNATURAS!$B$2:$J$91,9,FALSE()),""))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IF(DATOS!$A3194="",0,IF(CONFIG_METADATA!$B$4&lt;&gt;"OR+EX",--(DATOS!$G3194=CONFIG_METADATA!$B$4),IF(DATOS!$G3194="EX",1,IF(DATOS!$G3194="OR",--(COUNTIFS(nNIA,DATOS!$A3194,nCURSO,DATOS!$D3194,nESPEC,DATOS!$E3194,nASIG,DATOS!$I3194,nEVAL,"EX")=0),0))))</f>
      </c>
      <c r="H3194">
        <f>IF(DATOS!$G3194&lt;&gt;"EX",0,--(COUNTIFS(nNIA,DATOS!$A3194,nCURSO,DATOS!$D3194,nESPEC,DATOS!$E3194,nASIG,DATOS!$I3194,nEVAL,"OR")=0))</f>
      </c>
      <c r="I3194">
        <f>IF(DATOS!$I3194="","",IFERROR(VLOOKUP(DATOS!$I3194,CONFIG_ASIGNATURAS!$B$2:$J$91,9,FALSE()),""))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IF(DATOS!$A3195="",0,IF(CONFIG_METADATA!$B$4&lt;&gt;"OR+EX",--(DATOS!$G3195=CONFIG_METADATA!$B$4),IF(DATOS!$G3195="EX",1,IF(DATOS!$G3195="OR",--(COUNTIFS(nNIA,DATOS!$A3195,nCURSO,DATOS!$D3195,nESPEC,DATOS!$E3195,nASIG,DATOS!$I3195,nEVAL,"EX")=0),0))))</f>
      </c>
      <c r="H3195">
        <f>IF(DATOS!$G3195&lt;&gt;"EX",0,--(COUNTIFS(nNIA,DATOS!$A3195,nCURSO,DATOS!$D3195,nESPEC,DATOS!$E3195,nASIG,DATOS!$I3195,nEVAL,"OR")=0))</f>
      </c>
      <c r="I3195">
        <f>IF(DATOS!$I3195="","",IFERROR(VLOOKUP(DATOS!$I3195,CONFIG_ASIGNATURAS!$B$2:$J$91,9,FALSE()),""))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IF(DATOS!$A3196="",0,IF(CONFIG_METADATA!$B$4&lt;&gt;"OR+EX",--(DATOS!$G3196=CONFIG_METADATA!$B$4),IF(DATOS!$G3196="EX",1,IF(DATOS!$G3196="OR",--(COUNTIFS(nNIA,DATOS!$A3196,nCURSO,DATOS!$D3196,nESPEC,DATOS!$E3196,nASIG,DATOS!$I3196,nEVAL,"EX")=0),0))))</f>
      </c>
      <c r="H3196">
        <f>IF(DATOS!$G3196&lt;&gt;"EX",0,--(COUNTIFS(nNIA,DATOS!$A3196,nCURSO,DATOS!$D3196,nESPEC,DATOS!$E3196,nASIG,DATOS!$I3196,nEVAL,"OR")=0))</f>
      </c>
      <c r="I3196">
        <f>IF(DATOS!$I3196="","",IFERROR(VLOOKUP(DATOS!$I3196,CONFIG_ASIGNATURAS!$B$2:$J$91,9,FALSE()),""))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IF(DATOS!$A3197="",0,IF(CONFIG_METADATA!$B$4&lt;&gt;"OR+EX",--(DATOS!$G3197=CONFIG_METADATA!$B$4),IF(DATOS!$G3197="EX",1,IF(DATOS!$G3197="OR",--(COUNTIFS(nNIA,DATOS!$A3197,nCURSO,DATOS!$D3197,nESPEC,DATOS!$E3197,nASIG,DATOS!$I3197,nEVAL,"EX")=0),0))))</f>
      </c>
      <c r="H3197">
        <f>IF(DATOS!$G3197&lt;&gt;"EX",0,--(COUNTIFS(nNIA,DATOS!$A3197,nCURSO,DATOS!$D3197,nESPEC,DATOS!$E3197,nASIG,DATOS!$I3197,nEVAL,"OR")=0))</f>
      </c>
      <c r="I3197">
        <f>IF(DATOS!$I3197="","",IFERROR(VLOOKUP(DATOS!$I3197,CONFIG_ASIGNATURAS!$B$2:$J$91,9,FALSE()),""))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IF(DATOS!$A3198="",0,IF(CONFIG_METADATA!$B$4&lt;&gt;"OR+EX",--(DATOS!$G3198=CONFIG_METADATA!$B$4),IF(DATOS!$G3198="EX",1,IF(DATOS!$G3198="OR",--(COUNTIFS(nNIA,DATOS!$A3198,nCURSO,DATOS!$D3198,nESPEC,DATOS!$E3198,nASIG,DATOS!$I3198,nEVAL,"EX")=0),0))))</f>
      </c>
      <c r="H3198">
        <f>IF(DATOS!$G3198&lt;&gt;"EX",0,--(COUNTIFS(nNIA,DATOS!$A3198,nCURSO,DATOS!$D3198,nESPEC,DATOS!$E3198,nASIG,DATOS!$I3198,nEVAL,"OR")=0))</f>
      </c>
      <c r="I3198">
        <f>IF(DATOS!$I3198="","",IFERROR(VLOOKUP(DATOS!$I3198,CONFIG_ASIGNATURAS!$B$2:$J$91,9,FALSE()),""))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IF(DATOS!$A3199="",0,IF(CONFIG_METADATA!$B$4&lt;&gt;"OR+EX",--(DATOS!$G3199=CONFIG_METADATA!$B$4),IF(DATOS!$G3199="EX",1,IF(DATOS!$G3199="OR",--(COUNTIFS(nNIA,DATOS!$A3199,nCURSO,DATOS!$D3199,nESPEC,DATOS!$E3199,nASIG,DATOS!$I3199,nEVAL,"EX")=0),0))))</f>
      </c>
      <c r="H3199">
        <f>IF(DATOS!$G3199&lt;&gt;"EX",0,--(COUNTIFS(nNIA,DATOS!$A3199,nCURSO,DATOS!$D3199,nESPEC,DATOS!$E3199,nASIG,DATOS!$I3199,nEVAL,"OR")=0))</f>
      </c>
      <c r="I3199">
        <f>IF(DATOS!$I3199="","",IFERROR(VLOOKUP(DATOS!$I3199,CONFIG_ASIGNATURAS!$B$2:$J$91,9,FALSE()),""))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IF(DATOS!$A3200="",0,IF(CONFIG_METADATA!$B$4&lt;&gt;"OR+EX",--(DATOS!$G3200=CONFIG_METADATA!$B$4),IF(DATOS!$G3200="EX",1,IF(DATOS!$G3200="OR",--(COUNTIFS(nNIA,DATOS!$A3200,nCURSO,DATOS!$D3200,nESPEC,DATOS!$E3200,nASIG,DATOS!$I3200,nEVAL,"EX")=0),0))))</f>
      </c>
      <c r="H3200">
        <f>IF(DATOS!$G3200&lt;&gt;"EX",0,--(COUNTIFS(nNIA,DATOS!$A3200,nCURSO,DATOS!$D3200,nESPEC,DATOS!$E3200,nASIG,DATOS!$I3200,nEVAL,"OR")=0))</f>
      </c>
      <c r="I3200">
        <f>IF(DATOS!$I3200="","",IFERROR(VLOOKUP(DATOS!$I3200,CONFIG_ASIGNATURAS!$B$2:$J$91,9,FALSE()),""))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IF(DATOS!$A3201="",0,IF(CONFIG_METADATA!$B$4&lt;&gt;"OR+EX",--(DATOS!$G3201=CONFIG_METADATA!$B$4),IF(DATOS!$G3201="EX",1,IF(DATOS!$G3201="OR",--(COUNTIFS(nNIA,DATOS!$A3201,nCURSO,DATOS!$D3201,nESPEC,DATOS!$E3201,nASIG,DATOS!$I3201,nEVAL,"EX")=0),0))))</f>
      </c>
      <c r="H3201">
        <f>IF(DATOS!$G3201&lt;&gt;"EX",0,--(COUNTIFS(nNIA,DATOS!$A3201,nCURSO,DATOS!$D3201,nESPEC,DATOS!$E3201,nASIG,DATOS!$I3201,nEVAL,"OR")=0))</f>
      </c>
      <c r="I3201">
        <f>IF(DATOS!$I3201="","",IFERROR(VLOOKUP(DATOS!$I3201,CONFIG_ASIGNATURAS!$B$2:$J$91,9,FALSE()),""))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IF(DATOS!$A3202="",0,IF(CONFIG_METADATA!$B$4&lt;&gt;"OR+EX",--(DATOS!$G3202=CONFIG_METADATA!$B$4),IF(DATOS!$G3202="EX",1,IF(DATOS!$G3202="OR",--(COUNTIFS(nNIA,DATOS!$A3202,nCURSO,DATOS!$D3202,nESPEC,DATOS!$E3202,nASIG,DATOS!$I3202,nEVAL,"EX")=0),0))))</f>
      </c>
      <c r="H3202">
        <f>IF(DATOS!$G3202&lt;&gt;"EX",0,--(COUNTIFS(nNIA,DATOS!$A3202,nCURSO,DATOS!$D3202,nESPEC,DATOS!$E3202,nASIG,DATOS!$I3202,nEVAL,"OR")=0))</f>
      </c>
      <c r="I3202">
        <f>IF(DATOS!$I3202="","",IFERROR(VLOOKUP(DATOS!$I3202,CONFIG_ASIGNATURAS!$B$2:$J$91,9,FALSE()),""))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IF(DATOS!$A3203="",0,IF(CONFIG_METADATA!$B$4&lt;&gt;"OR+EX",--(DATOS!$G3203=CONFIG_METADATA!$B$4),IF(DATOS!$G3203="EX",1,IF(DATOS!$G3203="OR",--(COUNTIFS(nNIA,DATOS!$A3203,nCURSO,DATOS!$D3203,nESPEC,DATOS!$E3203,nASIG,DATOS!$I3203,nEVAL,"EX")=0),0))))</f>
      </c>
      <c r="H3203">
        <f>IF(DATOS!$G3203&lt;&gt;"EX",0,--(COUNTIFS(nNIA,DATOS!$A3203,nCURSO,DATOS!$D3203,nESPEC,DATOS!$E3203,nASIG,DATOS!$I3203,nEVAL,"OR")=0))</f>
      </c>
      <c r="I3203">
        <f>IF(DATOS!$I3203="","",IFERROR(VLOOKUP(DATOS!$I3203,CONFIG_ASIGNATURAS!$B$2:$J$91,9,FALSE()),""))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IF(DATOS!$A3204="",0,IF(CONFIG_METADATA!$B$4&lt;&gt;"OR+EX",--(DATOS!$G3204=CONFIG_METADATA!$B$4),IF(DATOS!$G3204="EX",1,IF(DATOS!$G3204="OR",--(COUNTIFS(nNIA,DATOS!$A3204,nCURSO,DATOS!$D3204,nESPEC,DATOS!$E3204,nASIG,DATOS!$I3204,nEVAL,"EX")=0),0))))</f>
      </c>
      <c r="H3204">
        <f>IF(DATOS!$G3204&lt;&gt;"EX",0,--(COUNTIFS(nNIA,DATOS!$A3204,nCURSO,DATOS!$D3204,nESPEC,DATOS!$E3204,nASIG,DATOS!$I3204,nEVAL,"OR")=0))</f>
      </c>
      <c r="I3204">
        <f>IF(DATOS!$I3204="","",IFERROR(VLOOKUP(DATOS!$I3204,CONFIG_ASIGNATURAS!$B$2:$J$91,9,FALSE()),""))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IF(DATOS!$A3205="",0,IF(CONFIG_METADATA!$B$4&lt;&gt;"OR+EX",--(DATOS!$G3205=CONFIG_METADATA!$B$4),IF(DATOS!$G3205="EX",1,IF(DATOS!$G3205="OR",--(COUNTIFS(nNIA,DATOS!$A3205,nCURSO,DATOS!$D3205,nESPEC,DATOS!$E3205,nASIG,DATOS!$I3205,nEVAL,"EX")=0),0))))</f>
      </c>
      <c r="H3205">
        <f>IF(DATOS!$G3205&lt;&gt;"EX",0,--(COUNTIFS(nNIA,DATOS!$A3205,nCURSO,DATOS!$D3205,nESPEC,DATOS!$E3205,nASIG,DATOS!$I3205,nEVAL,"OR")=0))</f>
      </c>
      <c r="I3205">
        <f>IF(DATOS!$I3205="","",IFERROR(VLOOKUP(DATOS!$I3205,CONFIG_ASIGNATURAS!$B$2:$J$91,9,FALSE()),""))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IF(DATOS!$A3206="",0,IF(CONFIG_METADATA!$B$4&lt;&gt;"OR+EX",--(DATOS!$G3206=CONFIG_METADATA!$B$4),IF(DATOS!$G3206="EX",1,IF(DATOS!$G3206="OR",--(COUNTIFS(nNIA,DATOS!$A3206,nCURSO,DATOS!$D3206,nESPEC,DATOS!$E3206,nASIG,DATOS!$I3206,nEVAL,"EX")=0),0))))</f>
      </c>
      <c r="H3206">
        <f>IF(DATOS!$G3206&lt;&gt;"EX",0,--(COUNTIFS(nNIA,DATOS!$A3206,nCURSO,DATOS!$D3206,nESPEC,DATOS!$E3206,nASIG,DATOS!$I3206,nEVAL,"OR")=0))</f>
      </c>
      <c r="I3206">
        <f>IF(DATOS!$I3206="","",IFERROR(VLOOKUP(DATOS!$I3206,CONFIG_ASIGNATURAS!$B$2:$J$91,9,FALSE()),""))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IF(DATOS!$A3207="",0,IF(CONFIG_METADATA!$B$4&lt;&gt;"OR+EX",--(DATOS!$G3207=CONFIG_METADATA!$B$4),IF(DATOS!$G3207="EX",1,IF(DATOS!$G3207="OR",--(COUNTIFS(nNIA,DATOS!$A3207,nCURSO,DATOS!$D3207,nESPEC,DATOS!$E3207,nASIG,DATOS!$I3207,nEVAL,"EX")=0),0))))</f>
      </c>
      <c r="H3207">
        <f>IF(DATOS!$G3207&lt;&gt;"EX",0,--(COUNTIFS(nNIA,DATOS!$A3207,nCURSO,DATOS!$D3207,nESPEC,DATOS!$E3207,nASIG,DATOS!$I3207,nEVAL,"OR")=0))</f>
      </c>
      <c r="I3207">
        <f>IF(DATOS!$I3207="","",IFERROR(VLOOKUP(DATOS!$I3207,CONFIG_ASIGNATURAS!$B$2:$J$91,9,FALSE()),""))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IF(DATOS!$A3208="",0,IF(CONFIG_METADATA!$B$4&lt;&gt;"OR+EX",--(DATOS!$G3208=CONFIG_METADATA!$B$4),IF(DATOS!$G3208="EX",1,IF(DATOS!$G3208="OR",--(COUNTIFS(nNIA,DATOS!$A3208,nCURSO,DATOS!$D3208,nESPEC,DATOS!$E3208,nASIG,DATOS!$I3208,nEVAL,"EX")=0),0))))</f>
      </c>
      <c r="H3208">
        <f>IF(DATOS!$G3208&lt;&gt;"EX",0,--(COUNTIFS(nNIA,DATOS!$A3208,nCURSO,DATOS!$D3208,nESPEC,DATOS!$E3208,nASIG,DATOS!$I3208,nEVAL,"OR")=0))</f>
      </c>
      <c r="I3208">
        <f>IF(DATOS!$I3208="","",IFERROR(VLOOKUP(DATOS!$I3208,CONFIG_ASIGNATURAS!$B$2:$J$91,9,FALSE()),""))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IF(DATOS!$A3209="",0,IF(CONFIG_METADATA!$B$4&lt;&gt;"OR+EX",--(DATOS!$G3209=CONFIG_METADATA!$B$4),IF(DATOS!$G3209="EX",1,IF(DATOS!$G3209="OR",--(COUNTIFS(nNIA,DATOS!$A3209,nCURSO,DATOS!$D3209,nESPEC,DATOS!$E3209,nASIG,DATOS!$I3209,nEVAL,"EX")=0),0))))</f>
      </c>
      <c r="H3209">
        <f>IF(DATOS!$G3209&lt;&gt;"EX",0,--(COUNTIFS(nNIA,DATOS!$A3209,nCURSO,DATOS!$D3209,nESPEC,DATOS!$E3209,nASIG,DATOS!$I3209,nEVAL,"OR")=0))</f>
      </c>
      <c r="I3209">
        <f>IF(DATOS!$I3209="","",IFERROR(VLOOKUP(DATOS!$I3209,CONFIG_ASIGNATURAS!$B$2:$J$91,9,FALSE()),""))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IF(DATOS!$A3210="",0,IF(CONFIG_METADATA!$B$4&lt;&gt;"OR+EX",--(DATOS!$G3210=CONFIG_METADATA!$B$4),IF(DATOS!$G3210="EX",1,IF(DATOS!$G3210="OR",--(COUNTIFS(nNIA,DATOS!$A3210,nCURSO,DATOS!$D3210,nESPEC,DATOS!$E3210,nASIG,DATOS!$I3210,nEVAL,"EX")=0),0))))</f>
      </c>
      <c r="H3210">
        <f>IF(DATOS!$G3210&lt;&gt;"EX",0,--(COUNTIFS(nNIA,DATOS!$A3210,nCURSO,DATOS!$D3210,nESPEC,DATOS!$E3210,nASIG,DATOS!$I3210,nEVAL,"OR")=0))</f>
      </c>
      <c r="I3210">
        <f>IF(DATOS!$I3210="","",IFERROR(VLOOKUP(DATOS!$I3210,CONFIG_ASIGNATURAS!$B$2:$J$91,9,FALSE()),""))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IF(DATOS!$A3211="",0,IF(CONFIG_METADATA!$B$4&lt;&gt;"OR+EX",--(DATOS!$G3211=CONFIG_METADATA!$B$4),IF(DATOS!$G3211="EX",1,IF(DATOS!$G3211="OR",--(COUNTIFS(nNIA,DATOS!$A3211,nCURSO,DATOS!$D3211,nESPEC,DATOS!$E3211,nASIG,DATOS!$I3211,nEVAL,"EX")=0),0))))</f>
      </c>
      <c r="H3211">
        <f>IF(DATOS!$G3211&lt;&gt;"EX",0,--(COUNTIFS(nNIA,DATOS!$A3211,nCURSO,DATOS!$D3211,nESPEC,DATOS!$E3211,nASIG,DATOS!$I3211,nEVAL,"OR")=0))</f>
      </c>
      <c r="I3211">
        <f>IF(DATOS!$I3211="","",IFERROR(VLOOKUP(DATOS!$I3211,CONFIG_ASIGNATURAS!$B$2:$J$91,9,FALSE()),""))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IF(DATOS!$A3212="",0,IF(CONFIG_METADATA!$B$4&lt;&gt;"OR+EX",--(DATOS!$G3212=CONFIG_METADATA!$B$4),IF(DATOS!$G3212="EX",1,IF(DATOS!$G3212="OR",--(COUNTIFS(nNIA,DATOS!$A3212,nCURSO,DATOS!$D3212,nESPEC,DATOS!$E3212,nASIG,DATOS!$I3212,nEVAL,"EX")=0),0))))</f>
      </c>
      <c r="H3212">
        <f>IF(DATOS!$G3212&lt;&gt;"EX",0,--(COUNTIFS(nNIA,DATOS!$A3212,nCURSO,DATOS!$D3212,nESPEC,DATOS!$E3212,nASIG,DATOS!$I3212,nEVAL,"OR")=0))</f>
      </c>
      <c r="I3212">
        <f>IF(DATOS!$I3212="","",IFERROR(VLOOKUP(DATOS!$I3212,CONFIG_ASIGNATURAS!$B$2:$J$91,9,FALSE()),""))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IF(DATOS!$A3213="",0,IF(CONFIG_METADATA!$B$4&lt;&gt;"OR+EX",--(DATOS!$G3213=CONFIG_METADATA!$B$4),IF(DATOS!$G3213="EX",1,IF(DATOS!$G3213="OR",--(COUNTIFS(nNIA,DATOS!$A3213,nCURSO,DATOS!$D3213,nESPEC,DATOS!$E3213,nASIG,DATOS!$I3213,nEVAL,"EX")=0),0))))</f>
      </c>
      <c r="H3213">
        <f>IF(DATOS!$G3213&lt;&gt;"EX",0,--(COUNTIFS(nNIA,DATOS!$A3213,nCURSO,DATOS!$D3213,nESPEC,DATOS!$E3213,nASIG,DATOS!$I3213,nEVAL,"OR")=0))</f>
      </c>
      <c r="I3213">
        <f>IF(DATOS!$I3213="","",IFERROR(VLOOKUP(DATOS!$I3213,CONFIG_ASIGNATURAS!$B$2:$J$91,9,FALSE()),""))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IF(DATOS!$A3214="",0,IF(CONFIG_METADATA!$B$4&lt;&gt;"OR+EX",--(DATOS!$G3214=CONFIG_METADATA!$B$4),IF(DATOS!$G3214="EX",1,IF(DATOS!$G3214="OR",--(COUNTIFS(nNIA,DATOS!$A3214,nCURSO,DATOS!$D3214,nESPEC,DATOS!$E3214,nASIG,DATOS!$I3214,nEVAL,"EX")=0),0))))</f>
      </c>
      <c r="H3214">
        <f>IF(DATOS!$G3214&lt;&gt;"EX",0,--(COUNTIFS(nNIA,DATOS!$A3214,nCURSO,DATOS!$D3214,nESPEC,DATOS!$E3214,nASIG,DATOS!$I3214,nEVAL,"OR")=0))</f>
      </c>
      <c r="I3214">
        <f>IF(DATOS!$I3214="","",IFERROR(VLOOKUP(DATOS!$I3214,CONFIG_ASIGNATURAS!$B$2:$J$91,9,FALSE()),""))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IF(DATOS!$A3215="",0,IF(CONFIG_METADATA!$B$4&lt;&gt;"OR+EX",--(DATOS!$G3215=CONFIG_METADATA!$B$4),IF(DATOS!$G3215="EX",1,IF(DATOS!$G3215="OR",--(COUNTIFS(nNIA,DATOS!$A3215,nCURSO,DATOS!$D3215,nESPEC,DATOS!$E3215,nASIG,DATOS!$I3215,nEVAL,"EX")=0),0))))</f>
      </c>
      <c r="H3215">
        <f>IF(DATOS!$G3215&lt;&gt;"EX",0,--(COUNTIFS(nNIA,DATOS!$A3215,nCURSO,DATOS!$D3215,nESPEC,DATOS!$E3215,nASIG,DATOS!$I3215,nEVAL,"OR")=0))</f>
      </c>
      <c r="I3215">
        <f>IF(DATOS!$I3215="","",IFERROR(VLOOKUP(DATOS!$I3215,CONFIG_ASIGNATURAS!$B$2:$J$91,9,FALSE()),""))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IF(DATOS!$A3216="",0,IF(CONFIG_METADATA!$B$4&lt;&gt;"OR+EX",--(DATOS!$G3216=CONFIG_METADATA!$B$4),IF(DATOS!$G3216="EX",1,IF(DATOS!$G3216="OR",--(COUNTIFS(nNIA,DATOS!$A3216,nCURSO,DATOS!$D3216,nESPEC,DATOS!$E3216,nASIG,DATOS!$I3216,nEVAL,"EX")=0),0))))</f>
      </c>
      <c r="H3216">
        <f>IF(DATOS!$G3216&lt;&gt;"EX",0,--(COUNTIFS(nNIA,DATOS!$A3216,nCURSO,DATOS!$D3216,nESPEC,DATOS!$E3216,nASIG,DATOS!$I3216,nEVAL,"OR")=0))</f>
      </c>
      <c r="I3216">
        <f>IF(DATOS!$I3216="","",IFERROR(VLOOKUP(DATOS!$I3216,CONFIG_ASIGNATURAS!$B$2:$J$91,9,FALSE()),""))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IF(DATOS!$A3217="",0,IF(CONFIG_METADATA!$B$4&lt;&gt;"OR+EX",--(DATOS!$G3217=CONFIG_METADATA!$B$4),IF(DATOS!$G3217="EX",1,IF(DATOS!$G3217="OR",--(COUNTIFS(nNIA,DATOS!$A3217,nCURSO,DATOS!$D3217,nESPEC,DATOS!$E3217,nASIG,DATOS!$I3217,nEVAL,"EX")=0),0))))</f>
      </c>
      <c r="H3217">
        <f>IF(DATOS!$G3217&lt;&gt;"EX",0,--(COUNTIFS(nNIA,DATOS!$A3217,nCURSO,DATOS!$D3217,nESPEC,DATOS!$E3217,nASIG,DATOS!$I3217,nEVAL,"OR")=0))</f>
      </c>
      <c r="I3217">
        <f>IF(DATOS!$I3217="","",IFERROR(VLOOKUP(DATOS!$I3217,CONFIG_ASIGNATURAS!$B$2:$J$91,9,FALSE()),""))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IF(DATOS!$A3218="",0,IF(CONFIG_METADATA!$B$4&lt;&gt;"OR+EX",--(DATOS!$G3218=CONFIG_METADATA!$B$4),IF(DATOS!$G3218="EX",1,IF(DATOS!$G3218="OR",--(COUNTIFS(nNIA,DATOS!$A3218,nCURSO,DATOS!$D3218,nESPEC,DATOS!$E3218,nASIG,DATOS!$I3218,nEVAL,"EX")=0),0))))</f>
      </c>
      <c r="H3218">
        <f>IF(DATOS!$G3218&lt;&gt;"EX",0,--(COUNTIFS(nNIA,DATOS!$A3218,nCURSO,DATOS!$D3218,nESPEC,DATOS!$E3218,nASIG,DATOS!$I3218,nEVAL,"OR")=0))</f>
      </c>
      <c r="I3218">
        <f>IF(DATOS!$I3218="","",IFERROR(VLOOKUP(DATOS!$I3218,CONFIG_ASIGNATURAS!$B$2:$J$91,9,FALSE()),""))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IF(DATOS!$A3219="",0,IF(CONFIG_METADATA!$B$4&lt;&gt;"OR+EX",--(DATOS!$G3219=CONFIG_METADATA!$B$4),IF(DATOS!$G3219="EX",1,IF(DATOS!$G3219="OR",--(COUNTIFS(nNIA,DATOS!$A3219,nCURSO,DATOS!$D3219,nESPEC,DATOS!$E3219,nASIG,DATOS!$I3219,nEVAL,"EX")=0),0))))</f>
      </c>
      <c r="H3219">
        <f>IF(DATOS!$G3219&lt;&gt;"EX",0,--(COUNTIFS(nNIA,DATOS!$A3219,nCURSO,DATOS!$D3219,nESPEC,DATOS!$E3219,nASIG,DATOS!$I3219,nEVAL,"OR")=0))</f>
      </c>
      <c r="I3219">
        <f>IF(DATOS!$I3219="","",IFERROR(VLOOKUP(DATOS!$I3219,CONFIG_ASIGNATURAS!$B$2:$J$91,9,FALSE()),""))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IF(DATOS!$A3220="",0,IF(CONFIG_METADATA!$B$4&lt;&gt;"OR+EX",--(DATOS!$G3220=CONFIG_METADATA!$B$4),IF(DATOS!$G3220="EX",1,IF(DATOS!$G3220="OR",--(COUNTIFS(nNIA,DATOS!$A3220,nCURSO,DATOS!$D3220,nESPEC,DATOS!$E3220,nASIG,DATOS!$I3220,nEVAL,"EX")=0),0))))</f>
      </c>
      <c r="H3220">
        <f>IF(DATOS!$G3220&lt;&gt;"EX",0,--(COUNTIFS(nNIA,DATOS!$A3220,nCURSO,DATOS!$D3220,nESPEC,DATOS!$E3220,nASIG,DATOS!$I3220,nEVAL,"OR")=0))</f>
      </c>
      <c r="I3220">
        <f>IF(DATOS!$I3220="","",IFERROR(VLOOKUP(DATOS!$I3220,CONFIG_ASIGNATURAS!$B$2:$J$91,9,FALSE()),""))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IF(DATOS!$A3221="",0,IF(CONFIG_METADATA!$B$4&lt;&gt;"OR+EX",--(DATOS!$G3221=CONFIG_METADATA!$B$4),IF(DATOS!$G3221="EX",1,IF(DATOS!$G3221="OR",--(COUNTIFS(nNIA,DATOS!$A3221,nCURSO,DATOS!$D3221,nESPEC,DATOS!$E3221,nASIG,DATOS!$I3221,nEVAL,"EX")=0),0))))</f>
      </c>
      <c r="H3221">
        <f>IF(DATOS!$G3221&lt;&gt;"EX",0,--(COUNTIFS(nNIA,DATOS!$A3221,nCURSO,DATOS!$D3221,nESPEC,DATOS!$E3221,nASIG,DATOS!$I3221,nEVAL,"OR")=0))</f>
      </c>
      <c r="I3221">
        <f>IF(DATOS!$I3221="","",IFERROR(VLOOKUP(DATOS!$I3221,CONFIG_ASIGNATURAS!$B$2:$J$91,9,FALSE()),""))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IF(DATOS!$A3222="",0,IF(CONFIG_METADATA!$B$4&lt;&gt;"OR+EX",--(DATOS!$G3222=CONFIG_METADATA!$B$4),IF(DATOS!$G3222="EX",1,IF(DATOS!$G3222="OR",--(COUNTIFS(nNIA,DATOS!$A3222,nCURSO,DATOS!$D3222,nESPEC,DATOS!$E3222,nASIG,DATOS!$I3222,nEVAL,"EX")=0),0))))</f>
      </c>
      <c r="H3222">
        <f>IF(DATOS!$G3222&lt;&gt;"EX",0,--(COUNTIFS(nNIA,DATOS!$A3222,nCURSO,DATOS!$D3222,nESPEC,DATOS!$E3222,nASIG,DATOS!$I3222,nEVAL,"OR")=0))</f>
      </c>
      <c r="I3222">
        <f>IF(DATOS!$I3222="","",IFERROR(VLOOKUP(DATOS!$I3222,CONFIG_ASIGNATURAS!$B$2:$J$91,9,FALSE()),""))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IF(DATOS!$A3223="",0,IF(CONFIG_METADATA!$B$4&lt;&gt;"OR+EX",--(DATOS!$G3223=CONFIG_METADATA!$B$4),IF(DATOS!$G3223="EX",1,IF(DATOS!$G3223="OR",--(COUNTIFS(nNIA,DATOS!$A3223,nCURSO,DATOS!$D3223,nESPEC,DATOS!$E3223,nASIG,DATOS!$I3223,nEVAL,"EX")=0),0))))</f>
      </c>
      <c r="H3223">
        <f>IF(DATOS!$G3223&lt;&gt;"EX",0,--(COUNTIFS(nNIA,DATOS!$A3223,nCURSO,DATOS!$D3223,nESPEC,DATOS!$E3223,nASIG,DATOS!$I3223,nEVAL,"OR")=0))</f>
      </c>
      <c r="I3223">
        <f>IF(DATOS!$I3223="","",IFERROR(VLOOKUP(DATOS!$I3223,CONFIG_ASIGNATURAS!$B$2:$J$91,9,FALSE()),""))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IF(DATOS!$A3224="",0,IF(CONFIG_METADATA!$B$4&lt;&gt;"OR+EX",--(DATOS!$G3224=CONFIG_METADATA!$B$4),IF(DATOS!$G3224="EX",1,IF(DATOS!$G3224="OR",--(COUNTIFS(nNIA,DATOS!$A3224,nCURSO,DATOS!$D3224,nESPEC,DATOS!$E3224,nASIG,DATOS!$I3224,nEVAL,"EX")=0),0))))</f>
      </c>
      <c r="H3224">
        <f>IF(DATOS!$G3224&lt;&gt;"EX",0,--(COUNTIFS(nNIA,DATOS!$A3224,nCURSO,DATOS!$D3224,nESPEC,DATOS!$E3224,nASIG,DATOS!$I3224,nEVAL,"OR")=0))</f>
      </c>
      <c r="I3224">
        <f>IF(DATOS!$I3224="","",IFERROR(VLOOKUP(DATOS!$I3224,CONFIG_ASIGNATURAS!$B$2:$J$91,9,FALSE()),""))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IF(DATOS!$A3225="",0,IF(CONFIG_METADATA!$B$4&lt;&gt;"OR+EX",--(DATOS!$G3225=CONFIG_METADATA!$B$4),IF(DATOS!$G3225="EX",1,IF(DATOS!$G3225="OR",--(COUNTIFS(nNIA,DATOS!$A3225,nCURSO,DATOS!$D3225,nESPEC,DATOS!$E3225,nASIG,DATOS!$I3225,nEVAL,"EX")=0),0))))</f>
      </c>
      <c r="H3225">
        <f>IF(DATOS!$G3225&lt;&gt;"EX",0,--(COUNTIFS(nNIA,DATOS!$A3225,nCURSO,DATOS!$D3225,nESPEC,DATOS!$E3225,nASIG,DATOS!$I3225,nEVAL,"OR")=0))</f>
      </c>
      <c r="I3225">
        <f>IF(DATOS!$I3225="","",IFERROR(VLOOKUP(DATOS!$I3225,CONFIG_ASIGNATURAS!$B$2:$J$91,9,FALSE()),""))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IF(DATOS!$A3226="",0,IF(CONFIG_METADATA!$B$4&lt;&gt;"OR+EX",--(DATOS!$G3226=CONFIG_METADATA!$B$4),IF(DATOS!$G3226="EX",1,IF(DATOS!$G3226="OR",--(COUNTIFS(nNIA,DATOS!$A3226,nCURSO,DATOS!$D3226,nESPEC,DATOS!$E3226,nASIG,DATOS!$I3226,nEVAL,"EX")=0),0))))</f>
      </c>
      <c r="H3226">
        <f>IF(DATOS!$G3226&lt;&gt;"EX",0,--(COUNTIFS(nNIA,DATOS!$A3226,nCURSO,DATOS!$D3226,nESPEC,DATOS!$E3226,nASIG,DATOS!$I3226,nEVAL,"OR")=0))</f>
      </c>
      <c r="I3226">
        <f>IF(DATOS!$I3226="","",IFERROR(VLOOKUP(DATOS!$I3226,CONFIG_ASIGNATURAS!$B$2:$J$91,9,FALSE()),""))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IF(DATOS!$A3227="",0,IF(CONFIG_METADATA!$B$4&lt;&gt;"OR+EX",--(DATOS!$G3227=CONFIG_METADATA!$B$4),IF(DATOS!$G3227="EX",1,IF(DATOS!$G3227="OR",--(COUNTIFS(nNIA,DATOS!$A3227,nCURSO,DATOS!$D3227,nESPEC,DATOS!$E3227,nASIG,DATOS!$I3227,nEVAL,"EX")=0),0))))</f>
      </c>
      <c r="H3227">
        <f>IF(DATOS!$G3227&lt;&gt;"EX",0,--(COUNTIFS(nNIA,DATOS!$A3227,nCURSO,DATOS!$D3227,nESPEC,DATOS!$E3227,nASIG,DATOS!$I3227,nEVAL,"OR")=0))</f>
      </c>
      <c r="I3227">
        <f>IF(DATOS!$I3227="","",IFERROR(VLOOKUP(DATOS!$I3227,CONFIG_ASIGNATURAS!$B$2:$J$91,9,FALSE()),""))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IF(DATOS!$A3228="",0,IF(CONFIG_METADATA!$B$4&lt;&gt;"OR+EX",--(DATOS!$G3228=CONFIG_METADATA!$B$4),IF(DATOS!$G3228="EX",1,IF(DATOS!$G3228="OR",--(COUNTIFS(nNIA,DATOS!$A3228,nCURSO,DATOS!$D3228,nESPEC,DATOS!$E3228,nASIG,DATOS!$I3228,nEVAL,"EX")=0),0))))</f>
      </c>
      <c r="H3228">
        <f>IF(DATOS!$G3228&lt;&gt;"EX",0,--(COUNTIFS(nNIA,DATOS!$A3228,nCURSO,DATOS!$D3228,nESPEC,DATOS!$E3228,nASIG,DATOS!$I3228,nEVAL,"OR")=0))</f>
      </c>
      <c r="I3228">
        <f>IF(DATOS!$I3228="","",IFERROR(VLOOKUP(DATOS!$I3228,CONFIG_ASIGNATURAS!$B$2:$J$91,9,FALSE()),""))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IF(DATOS!$A3229="",0,IF(CONFIG_METADATA!$B$4&lt;&gt;"OR+EX",--(DATOS!$G3229=CONFIG_METADATA!$B$4),IF(DATOS!$G3229="EX",1,IF(DATOS!$G3229="OR",--(COUNTIFS(nNIA,DATOS!$A3229,nCURSO,DATOS!$D3229,nESPEC,DATOS!$E3229,nASIG,DATOS!$I3229,nEVAL,"EX")=0),0))))</f>
      </c>
      <c r="H3229">
        <f>IF(DATOS!$G3229&lt;&gt;"EX",0,--(COUNTIFS(nNIA,DATOS!$A3229,nCURSO,DATOS!$D3229,nESPEC,DATOS!$E3229,nASIG,DATOS!$I3229,nEVAL,"OR")=0))</f>
      </c>
      <c r="I3229">
        <f>IF(DATOS!$I3229="","",IFERROR(VLOOKUP(DATOS!$I3229,CONFIG_ASIGNATURAS!$B$2:$J$91,9,FALSE()),""))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IF(DATOS!$A3230="",0,IF(CONFIG_METADATA!$B$4&lt;&gt;"OR+EX",--(DATOS!$G3230=CONFIG_METADATA!$B$4),IF(DATOS!$G3230="EX",1,IF(DATOS!$G3230="OR",--(COUNTIFS(nNIA,DATOS!$A3230,nCURSO,DATOS!$D3230,nESPEC,DATOS!$E3230,nASIG,DATOS!$I3230,nEVAL,"EX")=0),0))))</f>
      </c>
      <c r="H3230">
        <f>IF(DATOS!$G3230&lt;&gt;"EX",0,--(COUNTIFS(nNIA,DATOS!$A3230,nCURSO,DATOS!$D3230,nESPEC,DATOS!$E3230,nASIG,DATOS!$I3230,nEVAL,"OR")=0))</f>
      </c>
      <c r="I3230">
        <f>IF(DATOS!$I3230="","",IFERROR(VLOOKUP(DATOS!$I3230,CONFIG_ASIGNATURAS!$B$2:$J$91,9,FALSE()),""))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IF(DATOS!$A3231="",0,IF(CONFIG_METADATA!$B$4&lt;&gt;"OR+EX",--(DATOS!$G3231=CONFIG_METADATA!$B$4),IF(DATOS!$G3231="EX",1,IF(DATOS!$G3231="OR",--(COUNTIFS(nNIA,DATOS!$A3231,nCURSO,DATOS!$D3231,nESPEC,DATOS!$E3231,nASIG,DATOS!$I3231,nEVAL,"EX")=0),0))))</f>
      </c>
      <c r="H3231">
        <f>IF(DATOS!$G3231&lt;&gt;"EX",0,--(COUNTIFS(nNIA,DATOS!$A3231,nCURSO,DATOS!$D3231,nESPEC,DATOS!$E3231,nASIG,DATOS!$I3231,nEVAL,"OR")=0))</f>
      </c>
      <c r="I3231">
        <f>IF(DATOS!$I3231="","",IFERROR(VLOOKUP(DATOS!$I3231,CONFIG_ASIGNATURAS!$B$2:$J$91,9,FALSE()),""))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IF(DATOS!$A3232="",0,IF(CONFIG_METADATA!$B$4&lt;&gt;"OR+EX",--(DATOS!$G3232=CONFIG_METADATA!$B$4),IF(DATOS!$G3232="EX",1,IF(DATOS!$G3232="OR",--(COUNTIFS(nNIA,DATOS!$A3232,nCURSO,DATOS!$D3232,nESPEC,DATOS!$E3232,nASIG,DATOS!$I3232,nEVAL,"EX")=0),0))))</f>
      </c>
      <c r="H3232">
        <f>IF(DATOS!$G3232&lt;&gt;"EX",0,--(COUNTIFS(nNIA,DATOS!$A3232,nCURSO,DATOS!$D3232,nESPEC,DATOS!$E3232,nASIG,DATOS!$I3232,nEVAL,"OR")=0))</f>
      </c>
      <c r="I3232">
        <f>IF(DATOS!$I3232="","",IFERROR(VLOOKUP(DATOS!$I3232,CONFIG_ASIGNATURAS!$B$2:$J$91,9,FALSE()),""))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IF(DATOS!$A3233="",0,IF(CONFIG_METADATA!$B$4&lt;&gt;"OR+EX",--(DATOS!$G3233=CONFIG_METADATA!$B$4),IF(DATOS!$G3233="EX",1,IF(DATOS!$G3233="OR",--(COUNTIFS(nNIA,DATOS!$A3233,nCURSO,DATOS!$D3233,nESPEC,DATOS!$E3233,nASIG,DATOS!$I3233,nEVAL,"EX")=0),0))))</f>
      </c>
      <c r="H3233">
        <f>IF(DATOS!$G3233&lt;&gt;"EX",0,--(COUNTIFS(nNIA,DATOS!$A3233,nCURSO,DATOS!$D3233,nESPEC,DATOS!$E3233,nASIG,DATOS!$I3233,nEVAL,"OR")=0))</f>
      </c>
      <c r="I3233">
        <f>IF(DATOS!$I3233="","",IFERROR(VLOOKUP(DATOS!$I3233,CONFIG_ASIGNATURAS!$B$2:$J$91,9,FALSE()),""))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IF(DATOS!$A3234="",0,IF(CONFIG_METADATA!$B$4&lt;&gt;"OR+EX",--(DATOS!$G3234=CONFIG_METADATA!$B$4),IF(DATOS!$G3234="EX",1,IF(DATOS!$G3234="OR",--(COUNTIFS(nNIA,DATOS!$A3234,nCURSO,DATOS!$D3234,nESPEC,DATOS!$E3234,nASIG,DATOS!$I3234,nEVAL,"EX")=0),0))))</f>
      </c>
      <c r="H3234">
        <f>IF(DATOS!$G3234&lt;&gt;"EX",0,--(COUNTIFS(nNIA,DATOS!$A3234,nCURSO,DATOS!$D3234,nESPEC,DATOS!$E3234,nASIG,DATOS!$I3234,nEVAL,"OR")=0))</f>
      </c>
      <c r="I3234">
        <f>IF(DATOS!$I3234="","",IFERROR(VLOOKUP(DATOS!$I3234,CONFIG_ASIGNATURAS!$B$2:$J$91,9,FALSE()),""))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IF(DATOS!$A3235="",0,IF(CONFIG_METADATA!$B$4&lt;&gt;"OR+EX",--(DATOS!$G3235=CONFIG_METADATA!$B$4),IF(DATOS!$G3235="EX",1,IF(DATOS!$G3235="OR",--(COUNTIFS(nNIA,DATOS!$A3235,nCURSO,DATOS!$D3235,nESPEC,DATOS!$E3235,nASIG,DATOS!$I3235,nEVAL,"EX")=0),0))))</f>
      </c>
      <c r="H3235">
        <f>IF(DATOS!$G3235&lt;&gt;"EX",0,--(COUNTIFS(nNIA,DATOS!$A3235,nCURSO,DATOS!$D3235,nESPEC,DATOS!$E3235,nASIG,DATOS!$I3235,nEVAL,"OR")=0))</f>
      </c>
      <c r="I3235">
        <f>IF(DATOS!$I3235="","",IFERROR(VLOOKUP(DATOS!$I3235,CONFIG_ASIGNATURAS!$B$2:$J$91,9,FALSE()),""))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IF(DATOS!$A3236="",0,IF(CONFIG_METADATA!$B$4&lt;&gt;"OR+EX",--(DATOS!$G3236=CONFIG_METADATA!$B$4),IF(DATOS!$G3236="EX",1,IF(DATOS!$G3236="OR",--(COUNTIFS(nNIA,DATOS!$A3236,nCURSO,DATOS!$D3236,nESPEC,DATOS!$E3236,nASIG,DATOS!$I3236,nEVAL,"EX")=0),0))))</f>
      </c>
      <c r="H3236">
        <f>IF(DATOS!$G3236&lt;&gt;"EX",0,--(COUNTIFS(nNIA,DATOS!$A3236,nCURSO,DATOS!$D3236,nESPEC,DATOS!$E3236,nASIG,DATOS!$I3236,nEVAL,"OR")=0))</f>
      </c>
      <c r="I3236">
        <f>IF(DATOS!$I3236="","",IFERROR(VLOOKUP(DATOS!$I3236,CONFIG_ASIGNATURAS!$B$2:$J$91,9,FALSE()),""))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IF(DATOS!$A3237="",0,IF(CONFIG_METADATA!$B$4&lt;&gt;"OR+EX",--(DATOS!$G3237=CONFIG_METADATA!$B$4),IF(DATOS!$G3237="EX",1,IF(DATOS!$G3237="OR",--(COUNTIFS(nNIA,DATOS!$A3237,nCURSO,DATOS!$D3237,nESPEC,DATOS!$E3237,nASIG,DATOS!$I3237,nEVAL,"EX")=0),0))))</f>
      </c>
      <c r="H3237">
        <f>IF(DATOS!$G3237&lt;&gt;"EX",0,--(COUNTIFS(nNIA,DATOS!$A3237,nCURSO,DATOS!$D3237,nESPEC,DATOS!$E3237,nASIG,DATOS!$I3237,nEVAL,"OR")=0))</f>
      </c>
      <c r="I3237">
        <f>IF(DATOS!$I3237="","",IFERROR(VLOOKUP(DATOS!$I3237,CONFIG_ASIGNATURAS!$B$2:$J$91,9,FALSE()),""))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IF(DATOS!$A3238="",0,IF(CONFIG_METADATA!$B$4&lt;&gt;"OR+EX",--(DATOS!$G3238=CONFIG_METADATA!$B$4),IF(DATOS!$G3238="EX",1,IF(DATOS!$G3238="OR",--(COUNTIFS(nNIA,DATOS!$A3238,nCURSO,DATOS!$D3238,nESPEC,DATOS!$E3238,nASIG,DATOS!$I3238,nEVAL,"EX")=0),0))))</f>
      </c>
      <c r="H3238">
        <f>IF(DATOS!$G3238&lt;&gt;"EX",0,--(COUNTIFS(nNIA,DATOS!$A3238,nCURSO,DATOS!$D3238,nESPEC,DATOS!$E3238,nASIG,DATOS!$I3238,nEVAL,"OR")=0))</f>
      </c>
      <c r="I3238">
        <f>IF(DATOS!$I3238="","",IFERROR(VLOOKUP(DATOS!$I3238,CONFIG_ASIGNATURAS!$B$2:$J$91,9,FALSE()),""))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IF(DATOS!$A3239="",0,IF(CONFIG_METADATA!$B$4&lt;&gt;"OR+EX",--(DATOS!$G3239=CONFIG_METADATA!$B$4),IF(DATOS!$G3239="EX",1,IF(DATOS!$G3239="OR",--(COUNTIFS(nNIA,DATOS!$A3239,nCURSO,DATOS!$D3239,nESPEC,DATOS!$E3239,nASIG,DATOS!$I3239,nEVAL,"EX")=0),0))))</f>
      </c>
      <c r="H3239">
        <f>IF(DATOS!$G3239&lt;&gt;"EX",0,--(COUNTIFS(nNIA,DATOS!$A3239,nCURSO,DATOS!$D3239,nESPEC,DATOS!$E3239,nASIG,DATOS!$I3239,nEVAL,"OR")=0))</f>
      </c>
      <c r="I3239">
        <f>IF(DATOS!$I3239="","",IFERROR(VLOOKUP(DATOS!$I3239,CONFIG_ASIGNATURAS!$B$2:$J$91,9,FALSE()),""))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IF(DATOS!$A3240="",0,IF(CONFIG_METADATA!$B$4&lt;&gt;"OR+EX",--(DATOS!$G3240=CONFIG_METADATA!$B$4),IF(DATOS!$G3240="EX",1,IF(DATOS!$G3240="OR",--(COUNTIFS(nNIA,DATOS!$A3240,nCURSO,DATOS!$D3240,nESPEC,DATOS!$E3240,nASIG,DATOS!$I3240,nEVAL,"EX")=0),0))))</f>
      </c>
      <c r="H3240">
        <f>IF(DATOS!$G3240&lt;&gt;"EX",0,--(COUNTIFS(nNIA,DATOS!$A3240,nCURSO,DATOS!$D3240,nESPEC,DATOS!$E3240,nASIG,DATOS!$I3240,nEVAL,"OR")=0))</f>
      </c>
      <c r="I3240">
        <f>IF(DATOS!$I3240="","",IFERROR(VLOOKUP(DATOS!$I3240,CONFIG_ASIGNATURAS!$B$2:$J$91,9,FALSE()),""))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IF(DATOS!$A3241="",0,IF(CONFIG_METADATA!$B$4&lt;&gt;"OR+EX",--(DATOS!$G3241=CONFIG_METADATA!$B$4),IF(DATOS!$G3241="EX",1,IF(DATOS!$G3241="OR",--(COUNTIFS(nNIA,DATOS!$A3241,nCURSO,DATOS!$D3241,nESPEC,DATOS!$E3241,nASIG,DATOS!$I3241,nEVAL,"EX")=0),0))))</f>
      </c>
      <c r="H3241">
        <f>IF(DATOS!$G3241&lt;&gt;"EX",0,--(COUNTIFS(nNIA,DATOS!$A3241,nCURSO,DATOS!$D3241,nESPEC,DATOS!$E3241,nASIG,DATOS!$I3241,nEVAL,"OR")=0))</f>
      </c>
      <c r="I3241">
        <f>IF(DATOS!$I3241="","",IFERROR(VLOOKUP(DATOS!$I3241,CONFIG_ASIGNATURAS!$B$2:$J$91,9,FALSE()),""))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IF(DATOS!$A3242="",0,IF(CONFIG_METADATA!$B$4&lt;&gt;"OR+EX",--(DATOS!$G3242=CONFIG_METADATA!$B$4),IF(DATOS!$G3242="EX",1,IF(DATOS!$G3242="OR",--(COUNTIFS(nNIA,DATOS!$A3242,nCURSO,DATOS!$D3242,nESPEC,DATOS!$E3242,nASIG,DATOS!$I3242,nEVAL,"EX")=0),0))))</f>
      </c>
      <c r="H3242">
        <f>IF(DATOS!$G3242&lt;&gt;"EX",0,--(COUNTIFS(nNIA,DATOS!$A3242,nCURSO,DATOS!$D3242,nESPEC,DATOS!$E3242,nASIG,DATOS!$I3242,nEVAL,"OR")=0))</f>
      </c>
      <c r="I3242">
        <f>IF(DATOS!$I3242="","",IFERROR(VLOOKUP(DATOS!$I3242,CONFIG_ASIGNATURAS!$B$2:$J$91,9,FALSE()),""))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IF(DATOS!$A3243="",0,IF(CONFIG_METADATA!$B$4&lt;&gt;"OR+EX",--(DATOS!$G3243=CONFIG_METADATA!$B$4),IF(DATOS!$G3243="EX",1,IF(DATOS!$G3243="OR",--(COUNTIFS(nNIA,DATOS!$A3243,nCURSO,DATOS!$D3243,nESPEC,DATOS!$E3243,nASIG,DATOS!$I3243,nEVAL,"EX")=0),0))))</f>
      </c>
      <c r="H3243">
        <f>IF(DATOS!$G3243&lt;&gt;"EX",0,--(COUNTIFS(nNIA,DATOS!$A3243,nCURSO,DATOS!$D3243,nESPEC,DATOS!$E3243,nASIG,DATOS!$I3243,nEVAL,"OR")=0))</f>
      </c>
      <c r="I3243">
        <f>IF(DATOS!$I3243="","",IFERROR(VLOOKUP(DATOS!$I3243,CONFIG_ASIGNATURAS!$B$2:$J$91,9,FALSE()),""))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IF(DATOS!$A3244="",0,IF(CONFIG_METADATA!$B$4&lt;&gt;"OR+EX",--(DATOS!$G3244=CONFIG_METADATA!$B$4),IF(DATOS!$G3244="EX",1,IF(DATOS!$G3244="OR",--(COUNTIFS(nNIA,DATOS!$A3244,nCURSO,DATOS!$D3244,nESPEC,DATOS!$E3244,nASIG,DATOS!$I3244,nEVAL,"EX")=0),0))))</f>
      </c>
      <c r="H3244">
        <f>IF(DATOS!$G3244&lt;&gt;"EX",0,--(COUNTIFS(nNIA,DATOS!$A3244,nCURSO,DATOS!$D3244,nESPEC,DATOS!$E3244,nASIG,DATOS!$I3244,nEVAL,"OR")=0))</f>
      </c>
      <c r="I3244">
        <f>IF(DATOS!$I3244="","",IFERROR(VLOOKUP(DATOS!$I3244,CONFIG_ASIGNATURAS!$B$2:$J$91,9,FALSE()),""))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IF(DATOS!$A3245="",0,IF(CONFIG_METADATA!$B$4&lt;&gt;"OR+EX",--(DATOS!$G3245=CONFIG_METADATA!$B$4),IF(DATOS!$G3245="EX",1,IF(DATOS!$G3245="OR",--(COUNTIFS(nNIA,DATOS!$A3245,nCURSO,DATOS!$D3245,nESPEC,DATOS!$E3245,nASIG,DATOS!$I3245,nEVAL,"EX")=0),0))))</f>
      </c>
      <c r="H3245">
        <f>IF(DATOS!$G3245&lt;&gt;"EX",0,--(COUNTIFS(nNIA,DATOS!$A3245,nCURSO,DATOS!$D3245,nESPEC,DATOS!$E3245,nASIG,DATOS!$I3245,nEVAL,"OR")=0))</f>
      </c>
      <c r="I3245">
        <f>IF(DATOS!$I3245="","",IFERROR(VLOOKUP(DATOS!$I3245,CONFIG_ASIGNATURAS!$B$2:$J$91,9,FALSE()),""))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IF(DATOS!$A3246="",0,IF(CONFIG_METADATA!$B$4&lt;&gt;"OR+EX",--(DATOS!$G3246=CONFIG_METADATA!$B$4),IF(DATOS!$G3246="EX",1,IF(DATOS!$G3246="OR",--(COUNTIFS(nNIA,DATOS!$A3246,nCURSO,DATOS!$D3246,nESPEC,DATOS!$E3246,nASIG,DATOS!$I3246,nEVAL,"EX")=0),0))))</f>
      </c>
      <c r="H3246">
        <f>IF(DATOS!$G3246&lt;&gt;"EX",0,--(COUNTIFS(nNIA,DATOS!$A3246,nCURSO,DATOS!$D3246,nESPEC,DATOS!$E3246,nASIG,DATOS!$I3246,nEVAL,"OR")=0))</f>
      </c>
      <c r="I3246">
        <f>IF(DATOS!$I3246="","",IFERROR(VLOOKUP(DATOS!$I3246,CONFIG_ASIGNATURAS!$B$2:$J$91,9,FALSE()),""))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IF(DATOS!$A3247="",0,IF(CONFIG_METADATA!$B$4&lt;&gt;"OR+EX",--(DATOS!$G3247=CONFIG_METADATA!$B$4),IF(DATOS!$G3247="EX",1,IF(DATOS!$G3247="OR",--(COUNTIFS(nNIA,DATOS!$A3247,nCURSO,DATOS!$D3247,nESPEC,DATOS!$E3247,nASIG,DATOS!$I3247,nEVAL,"EX")=0),0))))</f>
      </c>
      <c r="H3247">
        <f>IF(DATOS!$G3247&lt;&gt;"EX",0,--(COUNTIFS(nNIA,DATOS!$A3247,nCURSO,DATOS!$D3247,nESPEC,DATOS!$E3247,nASIG,DATOS!$I3247,nEVAL,"OR")=0))</f>
      </c>
      <c r="I3247">
        <f>IF(DATOS!$I3247="","",IFERROR(VLOOKUP(DATOS!$I3247,CONFIG_ASIGNATURAS!$B$2:$J$91,9,FALSE()),""))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IF(DATOS!$A3248="",0,IF(CONFIG_METADATA!$B$4&lt;&gt;"OR+EX",--(DATOS!$G3248=CONFIG_METADATA!$B$4),IF(DATOS!$G3248="EX",1,IF(DATOS!$G3248="OR",--(COUNTIFS(nNIA,DATOS!$A3248,nCURSO,DATOS!$D3248,nESPEC,DATOS!$E3248,nASIG,DATOS!$I3248,nEVAL,"EX")=0),0))))</f>
      </c>
      <c r="H3248">
        <f>IF(DATOS!$G3248&lt;&gt;"EX",0,--(COUNTIFS(nNIA,DATOS!$A3248,nCURSO,DATOS!$D3248,nESPEC,DATOS!$E3248,nASIG,DATOS!$I3248,nEVAL,"OR")=0))</f>
      </c>
      <c r="I3248">
        <f>IF(DATOS!$I3248="","",IFERROR(VLOOKUP(DATOS!$I3248,CONFIG_ASIGNATURAS!$B$2:$J$91,9,FALSE()),""))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IF(DATOS!$A3249="",0,IF(CONFIG_METADATA!$B$4&lt;&gt;"OR+EX",--(DATOS!$G3249=CONFIG_METADATA!$B$4),IF(DATOS!$G3249="EX",1,IF(DATOS!$G3249="OR",--(COUNTIFS(nNIA,DATOS!$A3249,nCURSO,DATOS!$D3249,nESPEC,DATOS!$E3249,nASIG,DATOS!$I3249,nEVAL,"EX")=0),0))))</f>
      </c>
      <c r="H3249">
        <f>IF(DATOS!$G3249&lt;&gt;"EX",0,--(COUNTIFS(nNIA,DATOS!$A3249,nCURSO,DATOS!$D3249,nESPEC,DATOS!$E3249,nASIG,DATOS!$I3249,nEVAL,"OR")=0))</f>
      </c>
      <c r="I3249">
        <f>IF(DATOS!$I3249="","",IFERROR(VLOOKUP(DATOS!$I3249,CONFIG_ASIGNATURAS!$B$2:$J$91,9,FALSE()),""))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IF(DATOS!$A3250="",0,IF(CONFIG_METADATA!$B$4&lt;&gt;"OR+EX",--(DATOS!$G3250=CONFIG_METADATA!$B$4),IF(DATOS!$G3250="EX",1,IF(DATOS!$G3250="OR",--(COUNTIFS(nNIA,DATOS!$A3250,nCURSO,DATOS!$D3250,nESPEC,DATOS!$E3250,nASIG,DATOS!$I3250,nEVAL,"EX")=0),0))))</f>
      </c>
      <c r="H3250">
        <f>IF(DATOS!$G3250&lt;&gt;"EX",0,--(COUNTIFS(nNIA,DATOS!$A3250,nCURSO,DATOS!$D3250,nESPEC,DATOS!$E3250,nASIG,DATOS!$I3250,nEVAL,"OR")=0))</f>
      </c>
      <c r="I3250">
        <f>IF(DATOS!$I3250="","",IFERROR(VLOOKUP(DATOS!$I3250,CONFIG_ASIGNATURAS!$B$2:$J$91,9,FALSE()),""))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IF(DATOS!$A3251="",0,IF(CONFIG_METADATA!$B$4&lt;&gt;"OR+EX",--(DATOS!$G3251=CONFIG_METADATA!$B$4),IF(DATOS!$G3251="EX",1,IF(DATOS!$G3251="OR",--(COUNTIFS(nNIA,DATOS!$A3251,nCURSO,DATOS!$D3251,nESPEC,DATOS!$E3251,nASIG,DATOS!$I3251,nEVAL,"EX")=0),0))))</f>
      </c>
      <c r="H3251">
        <f>IF(DATOS!$G3251&lt;&gt;"EX",0,--(COUNTIFS(nNIA,DATOS!$A3251,nCURSO,DATOS!$D3251,nESPEC,DATOS!$E3251,nASIG,DATOS!$I3251,nEVAL,"OR")=0))</f>
      </c>
      <c r="I3251">
        <f>IF(DATOS!$I3251="","",IFERROR(VLOOKUP(DATOS!$I3251,CONFIG_ASIGNATURAS!$B$2:$J$91,9,FALSE()),""))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IF(DATOS!$A3252="",0,IF(CONFIG_METADATA!$B$4&lt;&gt;"OR+EX",--(DATOS!$G3252=CONFIG_METADATA!$B$4),IF(DATOS!$G3252="EX",1,IF(DATOS!$G3252="OR",--(COUNTIFS(nNIA,DATOS!$A3252,nCURSO,DATOS!$D3252,nESPEC,DATOS!$E3252,nASIG,DATOS!$I3252,nEVAL,"EX")=0),0))))</f>
      </c>
      <c r="H3252">
        <f>IF(DATOS!$G3252&lt;&gt;"EX",0,--(COUNTIFS(nNIA,DATOS!$A3252,nCURSO,DATOS!$D3252,nESPEC,DATOS!$E3252,nASIG,DATOS!$I3252,nEVAL,"OR")=0))</f>
      </c>
      <c r="I3252">
        <f>IF(DATOS!$I3252="","",IFERROR(VLOOKUP(DATOS!$I3252,CONFIG_ASIGNATURAS!$B$2:$J$91,9,FALSE()),""))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IF(DATOS!$A3253="",0,IF(CONFIG_METADATA!$B$4&lt;&gt;"OR+EX",--(DATOS!$G3253=CONFIG_METADATA!$B$4),IF(DATOS!$G3253="EX",1,IF(DATOS!$G3253="OR",--(COUNTIFS(nNIA,DATOS!$A3253,nCURSO,DATOS!$D3253,nESPEC,DATOS!$E3253,nASIG,DATOS!$I3253,nEVAL,"EX")=0),0))))</f>
      </c>
      <c r="H3253">
        <f>IF(DATOS!$G3253&lt;&gt;"EX",0,--(COUNTIFS(nNIA,DATOS!$A3253,nCURSO,DATOS!$D3253,nESPEC,DATOS!$E3253,nASIG,DATOS!$I3253,nEVAL,"OR")=0))</f>
      </c>
      <c r="I3253">
        <f>IF(DATOS!$I3253="","",IFERROR(VLOOKUP(DATOS!$I3253,CONFIG_ASIGNATURAS!$B$2:$J$91,9,FALSE()),""))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IF(DATOS!$A3254="",0,IF(CONFIG_METADATA!$B$4&lt;&gt;"OR+EX",--(DATOS!$G3254=CONFIG_METADATA!$B$4),IF(DATOS!$G3254="EX",1,IF(DATOS!$G3254="OR",--(COUNTIFS(nNIA,DATOS!$A3254,nCURSO,DATOS!$D3254,nESPEC,DATOS!$E3254,nASIG,DATOS!$I3254,nEVAL,"EX")=0),0))))</f>
      </c>
      <c r="H3254">
        <f>IF(DATOS!$G3254&lt;&gt;"EX",0,--(COUNTIFS(nNIA,DATOS!$A3254,nCURSO,DATOS!$D3254,nESPEC,DATOS!$E3254,nASIG,DATOS!$I3254,nEVAL,"OR")=0))</f>
      </c>
      <c r="I3254">
        <f>IF(DATOS!$I3254="","",IFERROR(VLOOKUP(DATOS!$I3254,CONFIG_ASIGNATURAS!$B$2:$J$91,9,FALSE()),""))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IF(DATOS!$A3255="",0,IF(CONFIG_METADATA!$B$4&lt;&gt;"OR+EX",--(DATOS!$G3255=CONFIG_METADATA!$B$4),IF(DATOS!$G3255="EX",1,IF(DATOS!$G3255="OR",--(COUNTIFS(nNIA,DATOS!$A3255,nCURSO,DATOS!$D3255,nESPEC,DATOS!$E3255,nASIG,DATOS!$I3255,nEVAL,"EX")=0),0))))</f>
      </c>
      <c r="H3255">
        <f>IF(DATOS!$G3255&lt;&gt;"EX",0,--(COUNTIFS(nNIA,DATOS!$A3255,nCURSO,DATOS!$D3255,nESPEC,DATOS!$E3255,nASIG,DATOS!$I3255,nEVAL,"OR")=0))</f>
      </c>
      <c r="I3255">
        <f>IF(DATOS!$I3255="","",IFERROR(VLOOKUP(DATOS!$I3255,CONFIG_ASIGNATURAS!$B$2:$J$91,9,FALSE()),""))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IF(DATOS!$A3256="",0,IF(CONFIG_METADATA!$B$4&lt;&gt;"OR+EX",--(DATOS!$G3256=CONFIG_METADATA!$B$4),IF(DATOS!$G3256="EX",1,IF(DATOS!$G3256="OR",--(COUNTIFS(nNIA,DATOS!$A3256,nCURSO,DATOS!$D3256,nESPEC,DATOS!$E3256,nASIG,DATOS!$I3256,nEVAL,"EX")=0),0))))</f>
      </c>
      <c r="H3256">
        <f>IF(DATOS!$G3256&lt;&gt;"EX",0,--(COUNTIFS(nNIA,DATOS!$A3256,nCURSO,DATOS!$D3256,nESPEC,DATOS!$E3256,nASIG,DATOS!$I3256,nEVAL,"OR")=0))</f>
      </c>
      <c r="I3256">
        <f>IF(DATOS!$I3256="","",IFERROR(VLOOKUP(DATOS!$I3256,CONFIG_ASIGNATURAS!$B$2:$J$91,9,FALSE()),""))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IF(DATOS!$A3257="",0,IF(CONFIG_METADATA!$B$4&lt;&gt;"OR+EX",--(DATOS!$G3257=CONFIG_METADATA!$B$4),IF(DATOS!$G3257="EX",1,IF(DATOS!$G3257="OR",--(COUNTIFS(nNIA,DATOS!$A3257,nCURSO,DATOS!$D3257,nESPEC,DATOS!$E3257,nASIG,DATOS!$I3257,nEVAL,"EX")=0),0))))</f>
      </c>
      <c r="H3257">
        <f>IF(DATOS!$G3257&lt;&gt;"EX",0,--(COUNTIFS(nNIA,DATOS!$A3257,nCURSO,DATOS!$D3257,nESPEC,DATOS!$E3257,nASIG,DATOS!$I3257,nEVAL,"OR")=0))</f>
      </c>
      <c r="I3257">
        <f>IF(DATOS!$I3257="","",IFERROR(VLOOKUP(DATOS!$I3257,CONFIG_ASIGNATURAS!$B$2:$J$91,9,FALSE()),""))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IF(DATOS!$A3258="",0,IF(CONFIG_METADATA!$B$4&lt;&gt;"OR+EX",--(DATOS!$G3258=CONFIG_METADATA!$B$4),IF(DATOS!$G3258="EX",1,IF(DATOS!$G3258="OR",--(COUNTIFS(nNIA,DATOS!$A3258,nCURSO,DATOS!$D3258,nESPEC,DATOS!$E3258,nASIG,DATOS!$I3258,nEVAL,"EX")=0),0))))</f>
      </c>
      <c r="H3258">
        <f>IF(DATOS!$G3258&lt;&gt;"EX",0,--(COUNTIFS(nNIA,DATOS!$A3258,nCURSO,DATOS!$D3258,nESPEC,DATOS!$E3258,nASIG,DATOS!$I3258,nEVAL,"OR")=0))</f>
      </c>
      <c r="I3258">
        <f>IF(DATOS!$I3258="","",IFERROR(VLOOKUP(DATOS!$I3258,CONFIG_ASIGNATURAS!$B$2:$J$91,9,FALSE()),""))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IF(DATOS!$A3259="",0,IF(CONFIG_METADATA!$B$4&lt;&gt;"OR+EX",--(DATOS!$G3259=CONFIG_METADATA!$B$4),IF(DATOS!$G3259="EX",1,IF(DATOS!$G3259="OR",--(COUNTIFS(nNIA,DATOS!$A3259,nCURSO,DATOS!$D3259,nESPEC,DATOS!$E3259,nASIG,DATOS!$I3259,nEVAL,"EX")=0),0))))</f>
      </c>
      <c r="H3259">
        <f>IF(DATOS!$G3259&lt;&gt;"EX",0,--(COUNTIFS(nNIA,DATOS!$A3259,nCURSO,DATOS!$D3259,nESPEC,DATOS!$E3259,nASIG,DATOS!$I3259,nEVAL,"OR")=0))</f>
      </c>
      <c r="I3259">
        <f>IF(DATOS!$I3259="","",IFERROR(VLOOKUP(DATOS!$I3259,CONFIG_ASIGNATURAS!$B$2:$J$91,9,FALSE()),""))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IF(DATOS!$A3260="",0,IF(CONFIG_METADATA!$B$4&lt;&gt;"OR+EX",--(DATOS!$G3260=CONFIG_METADATA!$B$4),IF(DATOS!$G3260="EX",1,IF(DATOS!$G3260="OR",--(COUNTIFS(nNIA,DATOS!$A3260,nCURSO,DATOS!$D3260,nESPEC,DATOS!$E3260,nASIG,DATOS!$I3260,nEVAL,"EX")=0),0))))</f>
      </c>
      <c r="H3260">
        <f>IF(DATOS!$G3260&lt;&gt;"EX",0,--(COUNTIFS(nNIA,DATOS!$A3260,nCURSO,DATOS!$D3260,nESPEC,DATOS!$E3260,nASIG,DATOS!$I3260,nEVAL,"OR")=0))</f>
      </c>
      <c r="I3260">
        <f>IF(DATOS!$I3260="","",IFERROR(VLOOKUP(DATOS!$I3260,CONFIG_ASIGNATURAS!$B$2:$J$91,9,FALSE()),""))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IF(DATOS!$A3261="",0,IF(CONFIG_METADATA!$B$4&lt;&gt;"OR+EX",--(DATOS!$G3261=CONFIG_METADATA!$B$4),IF(DATOS!$G3261="EX",1,IF(DATOS!$G3261="OR",--(COUNTIFS(nNIA,DATOS!$A3261,nCURSO,DATOS!$D3261,nESPEC,DATOS!$E3261,nASIG,DATOS!$I3261,nEVAL,"EX")=0),0))))</f>
      </c>
      <c r="H3261">
        <f>IF(DATOS!$G3261&lt;&gt;"EX",0,--(COUNTIFS(nNIA,DATOS!$A3261,nCURSO,DATOS!$D3261,nESPEC,DATOS!$E3261,nASIG,DATOS!$I3261,nEVAL,"OR")=0))</f>
      </c>
      <c r="I3261">
        <f>IF(DATOS!$I3261="","",IFERROR(VLOOKUP(DATOS!$I3261,CONFIG_ASIGNATURAS!$B$2:$J$91,9,FALSE()),""))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IF(DATOS!$A3262="",0,IF(CONFIG_METADATA!$B$4&lt;&gt;"OR+EX",--(DATOS!$G3262=CONFIG_METADATA!$B$4),IF(DATOS!$G3262="EX",1,IF(DATOS!$G3262="OR",--(COUNTIFS(nNIA,DATOS!$A3262,nCURSO,DATOS!$D3262,nESPEC,DATOS!$E3262,nASIG,DATOS!$I3262,nEVAL,"EX")=0),0))))</f>
      </c>
      <c r="H3262">
        <f>IF(DATOS!$G3262&lt;&gt;"EX",0,--(COUNTIFS(nNIA,DATOS!$A3262,nCURSO,DATOS!$D3262,nESPEC,DATOS!$E3262,nASIG,DATOS!$I3262,nEVAL,"OR")=0))</f>
      </c>
      <c r="I3262">
        <f>IF(DATOS!$I3262="","",IFERROR(VLOOKUP(DATOS!$I3262,CONFIG_ASIGNATURAS!$B$2:$J$91,9,FALSE()),""))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IF(DATOS!$A3263="",0,IF(CONFIG_METADATA!$B$4&lt;&gt;"OR+EX",--(DATOS!$G3263=CONFIG_METADATA!$B$4),IF(DATOS!$G3263="EX",1,IF(DATOS!$G3263="OR",--(COUNTIFS(nNIA,DATOS!$A3263,nCURSO,DATOS!$D3263,nESPEC,DATOS!$E3263,nASIG,DATOS!$I3263,nEVAL,"EX")=0),0))))</f>
      </c>
      <c r="H3263">
        <f>IF(DATOS!$G3263&lt;&gt;"EX",0,--(COUNTIFS(nNIA,DATOS!$A3263,nCURSO,DATOS!$D3263,nESPEC,DATOS!$E3263,nASIG,DATOS!$I3263,nEVAL,"OR")=0))</f>
      </c>
      <c r="I3263">
        <f>IF(DATOS!$I3263="","",IFERROR(VLOOKUP(DATOS!$I3263,CONFIG_ASIGNATURAS!$B$2:$J$91,9,FALSE()),""))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IF(DATOS!$A3264="",0,IF(CONFIG_METADATA!$B$4&lt;&gt;"OR+EX",--(DATOS!$G3264=CONFIG_METADATA!$B$4),IF(DATOS!$G3264="EX",1,IF(DATOS!$G3264="OR",--(COUNTIFS(nNIA,DATOS!$A3264,nCURSO,DATOS!$D3264,nESPEC,DATOS!$E3264,nASIG,DATOS!$I3264,nEVAL,"EX")=0),0))))</f>
      </c>
      <c r="H3264">
        <f>IF(DATOS!$G3264&lt;&gt;"EX",0,--(COUNTIFS(nNIA,DATOS!$A3264,nCURSO,DATOS!$D3264,nESPEC,DATOS!$E3264,nASIG,DATOS!$I3264,nEVAL,"OR")=0))</f>
      </c>
      <c r="I3264">
        <f>IF(DATOS!$I3264="","",IFERROR(VLOOKUP(DATOS!$I3264,CONFIG_ASIGNATURAS!$B$2:$J$91,9,FALSE()),""))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IF(DATOS!$A3265="",0,IF(CONFIG_METADATA!$B$4&lt;&gt;"OR+EX",--(DATOS!$G3265=CONFIG_METADATA!$B$4),IF(DATOS!$G3265="EX",1,IF(DATOS!$G3265="OR",--(COUNTIFS(nNIA,DATOS!$A3265,nCURSO,DATOS!$D3265,nESPEC,DATOS!$E3265,nASIG,DATOS!$I3265,nEVAL,"EX")=0),0))))</f>
      </c>
      <c r="H3265">
        <f>IF(DATOS!$G3265&lt;&gt;"EX",0,--(COUNTIFS(nNIA,DATOS!$A3265,nCURSO,DATOS!$D3265,nESPEC,DATOS!$E3265,nASIG,DATOS!$I3265,nEVAL,"OR")=0))</f>
      </c>
      <c r="I3265">
        <f>IF(DATOS!$I3265="","",IFERROR(VLOOKUP(DATOS!$I3265,CONFIG_ASIGNATURAS!$B$2:$J$91,9,FALSE()),""))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IF(DATOS!$A3266="",0,IF(CONFIG_METADATA!$B$4&lt;&gt;"OR+EX",--(DATOS!$G3266=CONFIG_METADATA!$B$4),IF(DATOS!$G3266="EX",1,IF(DATOS!$G3266="OR",--(COUNTIFS(nNIA,DATOS!$A3266,nCURSO,DATOS!$D3266,nESPEC,DATOS!$E3266,nASIG,DATOS!$I3266,nEVAL,"EX")=0),0))))</f>
      </c>
      <c r="H3266">
        <f>IF(DATOS!$G3266&lt;&gt;"EX",0,--(COUNTIFS(nNIA,DATOS!$A3266,nCURSO,DATOS!$D3266,nESPEC,DATOS!$E3266,nASIG,DATOS!$I3266,nEVAL,"OR")=0))</f>
      </c>
      <c r="I3266">
        <f>IF(DATOS!$I3266="","",IFERROR(VLOOKUP(DATOS!$I3266,CONFIG_ASIGNATURAS!$B$2:$J$91,9,FALSE()),""))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IF(DATOS!$A3267="",0,IF(CONFIG_METADATA!$B$4&lt;&gt;"OR+EX",--(DATOS!$G3267=CONFIG_METADATA!$B$4),IF(DATOS!$G3267="EX",1,IF(DATOS!$G3267="OR",--(COUNTIFS(nNIA,DATOS!$A3267,nCURSO,DATOS!$D3267,nESPEC,DATOS!$E3267,nASIG,DATOS!$I3267,nEVAL,"EX")=0),0))))</f>
      </c>
      <c r="H3267">
        <f>IF(DATOS!$G3267&lt;&gt;"EX",0,--(COUNTIFS(nNIA,DATOS!$A3267,nCURSO,DATOS!$D3267,nESPEC,DATOS!$E3267,nASIG,DATOS!$I3267,nEVAL,"OR")=0))</f>
      </c>
      <c r="I3267">
        <f>IF(DATOS!$I3267="","",IFERROR(VLOOKUP(DATOS!$I3267,CONFIG_ASIGNATURAS!$B$2:$J$91,9,FALSE()),""))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IF(DATOS!$A3268="",0,IF(CONFIG_METADATA!$B$4&lt;&gt;"OR+EX",--(DATOS!$G3268=CONFIG_METADATA!$B$4),IF(DATOS!$G3268="EX",1,IF(DATOS!$G3268="OR",--(COUNTIFS(nNIA,DATOS!$A3268,nCURSO,DATOS!$D3268,nESPEC,DATOS!$E3268,nASIG,DATOS!$I3268,nEVAL,"EX")=0),0))))</f>
      </c>
      <c r="H3268">
        <f>IF(DATOS!$G3268&lt;&gt;"EX",0,--(COUNTIFS(nNIA,DATOS!$A3268,nCURSO,DATOS!$D3268,nESPEC,DATOS!$E3268,nASIG,DATOS!$I3268,nEVAL,"OR")=0))</f>
      </c>
      <c r="I3268">
        <f>IF(DATOS!$I3268="","",IFERROR(VLOOKUP(DATOS!$I3268,CONFIG_ASIGNATURAS!$B$2:$J$91,9,FALSE()),""))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IF(DATOS!$A3269="",0,IF(CONFIG_METADATA!$B$4&lt;&gt;"OR+EX",--(DATOS!$G3269=CONFIG_METADATA!$B$4),IF(DATOS!$G3269="EX",1,IF(DATOS!$G3269="OR",--(COUNTIFS(nNIA,DATOS!$A3269,nCURSO,DATOS!$D3269,nESPEC,DATOS!$E3269,nASIG,DATOS!$I3269,nEVAL,"EX")=0),0))))</f>
      </c>
      <c r="H3269">
        <f>IF(DATOS!$G3269&lt;&gt;"EX",0,--(COUNTIFS(nNIA,DATOS!$A3269,nCURSO,DATOS!$D3269,nESPEC,DATOS!$E3269,nASIG,DATOS!$I3269,nEVAL,"OR")=0))</f>
      </c>
      <c r="I3269">
        <f>IF(DATOS!$I3269="","",IFERROR(VLOOKUP(DATOS!$I3269,CONFIG_ASIGNATURAS!$B$2:$J$91,9,FALSE()),""))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IF(DATOS!$A3270="",0,IF(CONFIG_METADATA!$B$4&lt;&gt;"OR+EX",--(DATOS!$G3270=CONFIG_METADATA!$B$4),IF(DATOS!$G3270="EX",1,IF(DATOS!$G3270="OR",--(COUNTIFS(nNIA,DATOS!$A3270,nCURSO,DATOS!$D3270,nESPEC,DATOS!$E3270,nASIG,DATOS!$I3270,nEVAL,"EX")=0),0))))</f>
      </c>
      <c r="H3270">
        <f>IF(DATOS!$G3270&lt;&gt;"EX",0,--(COUNTIFS(nNIA,DATOS!$A3270,nCURSO,DATOS!$D3270,nESPEC,DATOS!$E3270,nASIG,DATOS!$I3270,nEVAL,"OR")=0))</f>
      </c>
      <c r="I3270">
        <f>IF(DATOS!$I3270="","",IFERROR(VLOOKUP(DATOS!$I3270,CONFIG_ASIGNATURAS!$B$2:$J$91,9,FALSE()),""))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IF(DATOS!$A3271="",0,IF(CONFIG_METADATA!$B$4&lt;&gt;"OR+EX",--(DATOS!$G3271=CONFIG_METADATA!$B$4),IF(DATOS!$G3271="EX",1,IF(DATOS!$G3271="OR",--(COUNTIFS(nNIA,DATOS!$A3271,nCURSO,DATOS!$D3271,nESPEC,DATOS!$E3271,nASIG,DATOS!$I3271,nEVAL,"EX")=0),0))))</f>
      </c>
      <c r="H3271">
        <f>IF(DATOS!$G3271&lt;&gt;"EX",0,--(COUNTIFS(nNIA,DATOS!$A3271,nCURSO,DATOS!$D3271,nESPEC,DATOS!$E3271,nASIG,DATOS!$I3271,nEVAL,"OR")=0))</f>
      </c>
      <c r="I3271">
        <f>IF(DATOS!$I3271="","",IFERROR(VLOOKUP(DATOS!$I3271,CONFIG_ASIGNATURAS!$B$2:$J$91,9,FALSE()),""))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IF(DATOS!$A3272="",0,IF(CONFIG_METADATA!$B$4&lt;&gt;"OR+EX",--(DATOS!$G3272=CONFIG_METADATA!$B$4),IF(DATOS!$G3272="EX",1,IF(DATOS!$G3272="OR",--(COUNTIFS(nNIA,DATOS!$A3272,nCURSO,DATOS!$D3272,nESPEC,DATOS!$E3272,nASIG,DATOS!$I3272,nEVAL,"EX")=0),0))))</f>
      </c>
      <c r="H3272">
        <f>IF(DATOS!$G3272&lt;&gt;"EX",0,--(COUNTIFS(nNIA,DATOS!$A3272,nCURSO,DATOS!$D3272,nESPEC,DATOS!$E3272,nASIG,DATOS!$I3272,nEVAL,"OR")=0))</f>
      </c>
      <c r="I3272">
        <f>IF(DATOS!$I3272="","",IFERROR(VLOOKUP(DATOS!$I3272,CONFIG_ASIGNATURAS!$B$2:$J$91,9,FALSE()),""))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IF(DATOS!$A3273="",0,IF(CONFIG_METADATA!$B$4&lt;&gt;"OR+EX",--(DATOS!$G3273=CONFIG_METADATA!$B$4),IF(DATOS!$G3273="EX",1,IF(DATOS!$G3273="OR",--(COUNTIFS(nNIA,DATOS!$A3273,nCURSO,DATOS!$D3273,nESPEC,DATOS!$E3273,nASIG,DATOS!$I3273,nEVAL,"EX")=0),0))))</f>
      </c>
      <c r="H3273">
        <f>IF(DATOS!$G3273&lt;&gt;"EX",0,--(COUNTIFS(nNIA,DATOS!$A3273,nCURSO,DATOS!$D3273,nESPEC,DATOS!$E3273,nASIG,DATOS!$I3273,nEVAL,"OR")=0))</f>
      </c>
      <c r="I3273">
        <f>IF(DATOS!$I3273="","",IFERROR(VLOOKUP(DATOS!$I3273,CONFIG_ASIGNATURAS!$B$2:$J$91,9,FALSE()),""))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IF(DATOS!$A3274="",0,IF(CONFIG_METADATA!$B$4&lt;&gt;"OR+EX",--(DATOS!$G3274=CONFIG_METADATA!$B$4),IF(DATOS!$G3274="EX",1,IF(DATOS!$G3274="OR",--(COUNTIFS(nNIA,DATOS!$A3274,nCURSO,DATOS!$D3274,nESPEC,DATOS!$E3274,nASIG,DATOS!$I3274,nEVAL,"EX")=0),0))))</f>
      </c>
      <c r="H3274">
        <f>IF(DATOS!$G3274&lt;&gt;"EX",0,--(COUNTIFS(nNIA,DATOS!$A3274,nCURSO,DATOS!$D3274,nESPEC,DATOS!$E3274,nASIG,DATOS!$I3274,nEVAL,"OR")=0))</f>
      </c>
      <c r="I3274">
        <f>IF(DATOS!$I3274="","",IFERROR(VLOOKUP(DATOS!$I3274,CONFIG_ASIGNATURAS!$B$2:$J$91,9,FALSE()),""))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IF(DATOS!$A3275="",0,IF(CONFIG_METADATA!$B$4&lt;&gt;"OR+EX",--(DATOS!$G3275=CONFIG_METADATA!$B$4),IF(DATOS!$G3275="EX",1,IF(DATOS!$G3275="OR",--(COUNTIFS(nNIA,DATOS!$A3275,nCURSO,DATOS!$D3275,nESPEC,DATOS!$E3275,nASIG,DATOS!$I3275,nEVAL,"EX")=0),0))))</f>
      </c>
      <c r="H3275">
        <f>IF(DATOS!$G3275&lt;&gt;"EX",0,--(COUNTIFS(nNIA,DATOS!$A3275,nCURSO,DATOS!$D3275,nESPEC,DATOS!$E3275,nASIG,DATOS!$I3275,nEVAL,"OR")=0))</f>
      </c>
      <c r="I3275">
        <f>IF(DATOS!$I3275="","",IFERROR(VLOOKUP(DATOS!$I3275,CONFIG_ASIGNATURAS!$B$2:$J$91,9,FALSE()),""))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IF(DATOS!$A3276="",0,IF(CONFIG_METADATA!$B$4&lt;&gt;"OR+EX",--(DATOS!$G3276=CONFIG_METADATA!$B$4),IF(DATOS!$G3276="EX",1,IF(DATOS!$G3276="OR",--(COUNTIFS(nNIA,DATOS!$A3276,nCURSO,DATOS!$D3276,nESPEC,DATOS!$E3276,nASIG,DATOS!$I3276,nEVAL,"EX")=0),0))))</f>
      </c>
      <c r="H3276">
        <f>IF(DATOS!$G3276&lt;&gt;"EX",0,--(COUNTIFS(nNIA,DATOS!$A3276,nCURSO,DATOS!$D3276,nESPEC,DATOS!$E3276,nASIG,DATOS!$I3276,nEVAL,"OR")=0))</f>
      </c>
      <c r="I3276">
        <f>IF(DATOS!$I3276="","",IFERROR(VLOOKUP(DATOS!$I3276,CONFIG_ASIGNATURAS!$B$2:$J$91,9,FALSE()),""))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IF(DATOS!$A3277="",0,IF(CONFIG_METADATA!$B$4&lt;&gt;"OR+EX",--(DATOS!$G3277=CONFIG_METADATA!$B$4),IF(DATOS!$G3277="EX",1,IF(DATOS!$G3277="OR",--(COUNTIFS(nNIA,DATOS!$A3277,nCURSO,DATOS!$D3277,nESPEC,DATOS!$E3277,nASIG,DATOS!$I3277,nEVAL,"EX")=0),0))))</f>
      </c>
      <c r="H3277">
        <f>IF(DATOS!$G3277&lt;&gt;"EX",0,--(COUNTIFS(nNIA,DATOS!$A3277,nCURSO,DATOS!$D3277,nESPEC,DATOS!$E3277,nASIG,DATOS!$I3277,nEVAL,"OR")=0))</f>
      </c>
      <c r="I3277">
        <f>IF(DATOS!$I3277="","",IFERROR(VLOOKUP(DATOS!$I3277,CONFIG_ASIGNATURAS!$B$2:$J$91,9,FALSE()),""))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IF(DATOS!$A3278="",0,IF(CONFIG_METADATA!$B$4&lt;&gt;"OR+EX",--(DATOS!$G3278=CONFIG_METADATA!$B$4),IF(DATOS!$G3278="EX",1,IF(DATOS!$G3278="OR",--(COUNTIFS(nNIA,DATOS!$A3278,nCURSO,DATOS!$D3278,nESPEC,DATOS!$E3278,nASIG,DATOS!$I3278,nEVAL,"EX")=0),0))))</f>
      </c>
      <c r="H3278">
        <f>IF(DATOS!$G3278&lt;&gt;"EX",0,--(COUNTIFS(nNIA,DATOS!$A3278,nCURSO,DATOS!$D3278,nESPEC,DATOS!$E3278,nASIG,DATOS!$I3278,nEVAL,"OR")=0))</f>
      </c>
      <c r="I3278">
        <f>IF(DATOS!$I3278="","",IFERROR(VLOOKUP(DATOS!$I3278,CONFIG_ASIGNATURAS!$B$2:$J$91,9,FALSE()),""))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IF(DATOS!$A3279="",0,IF(CONFIG_METADATA!$B$4&lt;&gt;"OR+EX",--(DATOS!$G3279=CONFIG_METADATA!$B$4),IF(DATOS!$G3279="EX",1,IF(DATOS!$G3279="OR",--(COUNTIFS(nNIA,DATOS!$A3279,nCURSO,DATOS!$D3279,nESPEC,DATOS!$E3279,nASIG,DATOS!$I3279,nEVAL,"EX")=0),0))))</f>
      </c>
      <c r="H3279">
        <f>IF(DATOS!$G3279&lt;&gt;"EX",0,--(COUNTIFS(nNIA,DATOS!$A3279,nCURSO,DATOS!$D3279,nESPEC,DATOS!$E3279,nASIG,DATOS!$I3279,nEVAL,"OR")=0))</f>
      </c>
      <c r="I3279">
        <f>IF(DATOS!$I3279="","",IFERROR(VLOOKUP(DATOS!$I3279,CONFIG_ASIGNATURAS!$B$2:$J$91,9,FALSE()),""))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IF(DATOS!$A3280="",0,IF(CONFIG_METADATA!$B$4&lt;&gt;"OR+EX",--(DATOS!$G3280=CONFIG_METADATA!$B$4),IF(DATOS!$G3280="EX",1,IF(DATOS!$G3280="OR",--(COUNTIFS(nNIA,DATOS!$A3280,nCURSO,DATOS!$D3280,nESPEC,DATOS!$E3280,nASIG,DATOS!$I3280,nEVAL,"EX")=0),0))))</f>
      </c>
      <c r="H3280">
        <f>IF(DATOS!$G3280&lt;&gt;"EX",0,--(COUNTIFS(nNIA,DATOS!$A3280,nCURSO,DATOS!$D3280,nESPEC,DATOS!$E3280,nASIG,DATOS!$I3280,nEVAL,"OR")=0))</f>
      </c>
      <c r="I3280">
        <f>IF(DATOS!$I3280="","",IFERROR(VLOOKUP(DATOS!$I3280,CONFIG_ASIGNATURAS!$B$2:$J$91,9,FALSE()),""))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IF(DATOS!$A3281="",0,IF(CONFIG_METADATA!$B$4&lt;&gt;"OR+EX",--(DATOS!$G3281=CONFIG_METADATA!$B$4),IF(DATOS!$G3281="EX",1,IF(DATOS!$G3281="OR",--(COUNTIFS(nNIA,DATOS!$A3281,nCURSO,DATOS!$D3281,nESPEC,DATOS!$E3281,nASIG,DATOS!$I3281,nEVAL,"EX")=0),0))))</f>
      </c>
      <c r="H3281">
        <f>IF(DATOS!$G3281&lt;&gt;"EX",0,--(COUNTIFS(nNIA,DATOS!$A3281,nCURSO,DATOS!$D3281,nESPEC,DATOS!$E3281,nASIG,DATOS!$I3281,nEVAL,"OR")=0))</f>
      </c>
      <c r="I3281">
        <f>IF(DATOS!$I3281="","",IFERROR(VLOOKUP(DATOS!$I3281,CONFIG_ASIGNATURAS!$B$2:$J$91,9,FALSE()),""))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IF(DATOS!$A3282="",0,IF(CONFIG_METADATA!$B$4&lt;&gt;"OR+EX",--(DATOS!$G3282=CONFIG_METADATA!$B$4),IF(DATOS!$G3282="EX",1,IF(DATOS!$G3282="OR",--(COUNTIFS(nNIA,DATOS!$A3282,nCURSO,DATOS!$D3282,nESPEC,DATOS!$E3282,nASIG,DATOS!$I3282,nEVAL,"EX")=0),0))))</f>
      </c>
      <c r="H3282">
        <f>IF(DATOS!$G3282&lt;&gt;"EX",0,--(COUNTIFS(nNIA,DATOS!$A3282,nCURSO,DATOS!$D3282,nESPEC,DATOS!$E3282,nASIG,DATOS!$I3282,nEVAL,"OR")=0))</f>
      </c>
      <c r="I3282">
        <f>IF(DATOS!$I3282="","",IFERROR(VLOOKUP(DATOS!$I3282,CONFIG_ASIGNATURAS!$B$2:$J$91,9,FALSE()),""))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IF(DATOS!$A3283="",0,IF(CONFIG_METADATA!$B$4&lt;&gt;"OR+EX",--(DATOS!$G3283=CONFIG_METADATA!$B$4),IF(DATOS!$G3283="EX",1,IF(DATOS!$G3283="OR",--(COUNTIFS(nNIA,DATOS!$A3283,nCURSO,DATOS!$D3283,nESPEC,DATOS!$E3283,nASIG,DATOS!$I3283,nEVAL,"EX")=0),0))))</f>
      </c>
      <c r="H3283">
        <f>IF(DATOS!$G3283&lt;&gt;"EX",0,--(COUNTIFS(nNIA,DATOS!$A3283,nCURSO,DATOS!$D3283,nESPEC,DATOS!$E3283,nASIG,DATOS!$I3283,nEVAL,"OR")=0))</f>
      </c>
      <c r="I3283">
        <f>IF(DATOS!$I3283="","",IFERROR(VLOOKUP(DATOS!$I3283,CONFIG_ASIGNATURAS!$B$2:$J$91,9,FALSE()),""))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IF(DATOS!$A3284="",0,IF(CONFIG_METADATA!$B$4&lt;&gt;"OR+EX",--(DATOS!$G3284=CONFIG_METADATA!$B$4),IF(DATOS!$G3284="EX",1,IF(DATOS!$G3284="OR",--(COUNTIFS(nNIA,DATOS!$A3284,nCURSO,DATOS!$D3284,nESPEC,DATOS!$E3284,nASIG,DATOS!$I3284,nEVAL,"EX")=0),0))))</f>
      </c>
      <c r="H3284">
        <f>IF(DATOS!$G3284&lt;&gt;"EX",0,--(COUNTIFS(nNIA,DATOS!$A3284,nCURSO,DATOS!$D3284,nESPEC,DATOS!$E3284,nASIG,DATOS!$I3284,nEVAL,"OR")=0))</f>
      </c>
      <c r="I3284">
        <f>IF(DATOS!$I3284="","",IFERROR(VLOOKUP(DATOS!$I3284,CONFIG_ASIGNATURAS!$B$2:$J$91,9,FALSE()),""))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IF(DATOS!$A3285="",0,IF(CONFIG_METADATA!$B$4&lt;&gt;"OR+EX",--(DATOS!$G3285=CONFIG_METADATA!$B$4),IF(DATOS!$G3285="EX",1,IF(DATOS!$G3285="OR",--(COUNTIFS(nNIA,DATOS!$A3285,nCURSO,DATOS!$D3285,nESPEC,DATOS!$E3285,nASIG,DATOS!$I3285,nEVAL,"EX")=0),0))))</f>
      </c>
      <c r="H3285">
        <f>IF(DATOS!$G3285&lt;&gt;"EX",0,--(COUNTIFS(nNIA,DATOS!$A3285,nCURSO,DATOS!$D3285,nESPEC,DATOS!$E3285,nASIG,DATOS!$I3285,nEVAL,"OR")=0))</f>
      </c>
      <c r="I3285">
        <f>IF(DATOS!$I3285="","",IFERROR(VLOOKUP(DATOS!$I3285,CONFIG_ASIGNATURAS!$B$2:$J$91,9,FALSE()),""))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IF(DATOS!$A3286="",0,IF(CONFIG_METADATA!$B$4&lt;&gt;"OR+EX",--(DATOS!$G3286=CONFIG_METADATA!$B$4),IF(DATOS!$G3286="EX",1,IF(DATOS!$G3286="OR",--(COUNTIFS(nNIA,DATOS!$A3286,nCURSO,DATOS!$D3286,nESPEC,DATOS!$E3286,nASIG,DATOS!$I3286,nEVAL,"EX")=0),0))))</f>
      </c>
      <c r="H3286">
        <f>IF(DATOS!$G3286&lt;&gt;"EX",0,--(COUNTIFS(nNIA,DATOS!$A3286,nCURSO,DATOS!$D3286,nESPEC,DATOS!$E3286,nASIG,DATOS!$I3286,nEVAL,"OR")=0))</f>
      </c>
      <c r="I3286">
        <f>IF(DATOS!$I3286="","",IFERROR(VLOOKUP(DATOS!$I3286,CONFIG_ASIGNATURAS!$B$2:$J$91,9,FALSE()),""))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IF(DATOS!$A3287="",0,IF(CONFIG_METADATA!$B$4&lt;&gt;"OR+EX",--(DATOS!$G3287=CONFIG_METADATA!$B$4),IF(DATOS!$G3287="EX",1,IF(DATOS!$G3287="OR",--(COUNTIFS(nNIA,DATOS!$A3287,nCURSO,DATOS!$D3287,nESPEC,DATOS!$E3287,nASIG,DATOS!$I3287,nEVAL,"EX")=0),0))))</f>
      </c>
      <c r="H3287">
        <f>IF(DATOS!$G3287&lt;&gt;"EX",0,--(COUNTIFS(nNIA,DATOS!$A3287,nCURSO,DATOS!$D3287,nESPEC,DATOS!$E3287,nASIG,DATOS!$I3287,nEVAL,"OR")=0))</f>
      </c>
      <c r="I3287">
        <f>IF(DATOS!$I3287="","",IFERROR(VLOOKUP(DATOS!$I3287,CONFIG_ASIGNATURAS!$B$2:$J$91,9,FALSE()),""))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IF(DATOS!$A3288="",0,IF(CONFIG_METADATA!$B$4&lt;&gt;"OR+EX",--(DATOS!$G3288=CONFIG_METADATA!$B$4),IF(DATOS!$G3288="EX",1,IF(DATOS!$G3288="OR",--(COUNTIFS(nNIA,DATOS!$A3288,nCURSO,DATOS!$D3288,nESPEC,DATOS!$E3288,nASIG,DATOS!$I3288,nEVAL,"EX")=0),0))))</f>
      </c>
      <c r="H3288">
        <f>IF(DATOS!$G3288&lt;&gt;"EX",0,--(COUNTIFS(nNIA,DATOS!$A3288,nCURSO,DATOS!$D3288,nESPEC,DATOS!$E3288,nASIG,DATOS!$I3288,nEVAL,"OR")=0))</f>
      </c>
      <c r="I3288">
        <f>IF(DATOS!$I3288="","",IFERROR(VLOOKUP(DATOS!$I3288,CONFIG_ASIGNATURAS!$B$2:$J$91,9,FALSE()),""))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IF(DATOS!$A3289="",0,IF(CONFIG_METADATA!$B$4&lt;&gt;"OR+EX",--(DATOS!$G3289=CONFIG_METADATA!$B$4),IF(DATOS!$G3289="EX",1,IF(DATOS!$G3289="OR",--(COUNTIFS(nNIA,DATOS!$A3289,nCURSO,DATOS!$D3289,nESPEC,DATOS!$E3289,nASIG,DATOS!$I3289,nEVAL,"EX")=0),0))))</f>
      </c>
      <c r="H3289">
        <f>IF(DATOS!$G3289&lt;&gt;"EX",0,--(COUNTIFS(nNIA,DATOS!$A3289,nCURSO,DATOS!$D3289,nESPEC,DATOS!$E3289,nASIG,DATOS!$I3289,nEVAL,"OR")=0))</f>
      </c>
      <c r="I3289">
        <f>IF(DATOS!$I3289="","",IFERROR(VLOOKUP(DATOS!$I3289,CONFIG_ASIGNATURAS!$B$2:$J$91,9,FALSE()),""))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IF(DATOS!$A3290="",0,IF(CONFIG_METADATA!$B$4&lt;&gt;"OR+EX",--(DATOS!$G3290=CONFIG_METADATA!$B$4),IF(DATOS!$G3290="EX",1,IF(DATOS!$G3290="OR",--(COUNTIFS(nNIA,DATOS!$A3290,nCURSO,DATOS!$D3290,nESPEC,DATOS!$E3290,nASIG,DATOS!$I3290,nEVAL,"EX")=0),0))))</f>
      </c>
      <c r="H3290">
        <f>IF(DATOS!$G3290&lt;&gt;"EX",0,--(COUNTIFS(nNIA,DATOS!$A3290,nCURSO,DATOS!$D3290,nESPEC,DATOS!$E3290,nASIG,DATOS!$I3290,nEVAL,"OR")=0))</f>
      </c>
      <c r="I3290">
        <f>IF(DATOS!$I3290="","",IFERROR(VLOOKUP(DATOS!$I3290,CONFIG_ASIGNATURAS!$B$2:$J$91,9,FALSE()),""))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IF(DATOS!$A3291="",0,IF(CONFIG_METADATA!$B$4&lt;&gt;"OR+EX",--(DATOS!$G3291=CONFIG_METADATA!$B$4),IF(DATOS!$G3291="EX",1,IF(DATOS!$G3291="OR",--(COUNTIFS(nNIA,DATOS!$A3291,nCURSO,DATOS!$D3291,nESPEC,DATOS!$E3291,nASIG,DATOS!$I3291,nEVAL,"EX")=0),0))))</f>
      </c>
      <c r="H3291">
        <f>IF(DATOS!$G3291&lt;&gt;"EX",0,--(COUNTIFS(nNIA,DATOS!$A3291,nCURSO,DATOS!$D3291,nESPEC,DATOS!$E3291,nASIG,DATOS!$I3291,nEVAL,"OR")=0))</f>
      </c>
      <c r="I3291">
        <f>IF(DATOS!$I3291="","",IFERROR(VLOOKUP(DATOS!$I3291,CONFIG_ASIGNATURAS!$B$2:$J$91,9,FALSE()),""))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IF(DATOS!$A3292="",0,IF(CONFIG_METADATA!$B$4&lt;&gt;"OR+EX",--(DATOS!$G3292=CONFIG_METADATA!$B$4),IF(DATOS!$G3292="EX",1,IF(DATOS!$G3292="OR",--(COUNTIFS(nNIA,DATOS!$A3292,nCURSO,DATOS!$D3292,nESPEC,DATOS!$E3292,nASIG,DATOS!$I3292,nEVAL,"EX")=0),0))))</f>
      </c>
      <c r="H3292">
        <f>IF(DATOS!$G3292&lt;&gt;"EX",0,--(COUNTIFS(nNIA,DATOS!$A3292,nCURSO,DATOS!$D3292,nESPEC,DATOS!$E3292,nASIG,DATOS!$I3292,nEVAL,"OR")=0))</f>
      </c>
      <c r="I3292">
        <f>IF(DATOS!$I3292="","",IFERROR(VLOOKUP(DATOS!$I3292,CONFIG_ASIGNATURAS!$B$2:$J$91,9,FALSE()),""))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IF(DATOS!$A3293="",0,IF(CONFIG_METADATA!$B$4&lt;&gt;"OR+EX",--(DATOS!$G3293=CONFIG_METADATA!$B$4),IF(DATOS!$G3293="EX",1,IF(DATOS!$G3293="OR",--(COUNTIFS(nNIA,DATOS!$A3293,nCURSO,DATOS!$D3293,nESPEC,DATOS!$E3293,nASIG,DATOS!$I3293,nEVAL,"EX")=0),0))))</f>
      </c>
      <c r="H3293">
        <f>IF(DATOS!$G3293&lt;&gt;"EX",0,--(COUNTIFS(nNIA,DATOS!$A3293,nCURSO,DATOS!$D3293,nESPEC,DATOS!$E3293,nASIG,DATOS!$I3293,nEVAL,"OR")=0))</f>
      </c>
      <c r="I3293">
        <f>IF(DATOS!$I3293="","",IFERROR(VLOOKUP(DATOS!$I3293,CONFIG_ASIGNATURAS!$B$2:$J$91,9,FALSE()),""))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IF(DATOS!$A3294="",0,IF(CONFIG_METADATA!$B$4&lt;&gt;"OR+EX",--(DATOS!$G3294=CONFIG_METADATA!$B$4),IF(DATOS!$G3294="EX",1,IF(DATOS!$G3294="OR",--(COUNTIFS(nNIA,DATOS!$A3294,nCURSO,DATOS!$D3294,nESPEC,DATOS!$E3294,nASIG,DATOS!$I3294,nEVAL,"EX")=0),0))))</f>
      </c>
      <c r="H3294">
        <f>IF(DATOS!$G3294&lt;&gt;"EX",0,--(COUNTIFS(nNIA,DATOS!$A3294,nCURSO,DATOS!$D3294,nESPEC,DATOS!$E3294,nASIG,DATOS!$I3294,nEVAL,"OR")=0))</f>
      </c>
      <c r="I3294">
        <f>IF(DATOS!$I3294="","",IFERROR(VLOOKUP(DATOS!$I3294,CONFIG_ASIGNATURAS!$B$2:$J$91,9,FALSE()),""))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IF(DATOS!$A3295="",0,IF(CONFIG_METADATA!$B$4&lt;&gt;"OR+EX",--(DATOS!$G3295=CONFIG_METADATA!$B$4),IF(DATOS!$G3295="EX",1,IF(DATOS!$G3295="OR",--(COUNTIFS(nNIA,DATOS!$A3295,nCURSO,DATOS!$D3295,nESPEC,DATOS!$E3295,nASIG,DATOS!$I3295,nEVAL,"EX")=0),0))))</f>
      </c>
      <c r="H3295">
        <f>IF(DATOS!$G3295&lt;&gt;"EX",0,--(COUNTIFS(nNIA,DATOS!$A3295,nCURSO,DATOS!$D3295,nESPEC,DATOS!$E3295,nASIG,DATOS!$I3295,nEVAL,"OR")=0))</f>
      </c>
      <c r="I3295">
        <f>IF(DATOS!$I3295="","",IFERROR(VLOOKUP(DATOS!$I3295,CONFIG_ASIGNATURAS!$B$2:$J$91,9,FALSE()),""))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IF(DATOS!$A3296="",0,IF(CONFIG_METADATA!$B$4&lt;&gt;"OR+EX",--(DATOS!$G3296=CONFIG_METADATA!$B$4),IF(DATOS!$G3296="EX",1,IF(DATOS!$G3296="OR",--(COUNTIFS(nNIA,DATOS!$A3296,nCURSO,DATOS!$D3296,nESPEC,DATOS!$E3296,nASIG,DATOS!$I3296,nEVAL,"EX")=0),0))))</f>
      </c>
      <c r="H3296">
        <f>IF(DATOS!$G3296&lt;&gt;"EX",0,--(COUNTIFS(nNIA,DATOS!$A3296,nCURSO,DATOS!$D3296,nESPEC,DATOS!$E3296,nASIG,DATOS!$I3296,nEVAL,"OR")=0))</f>
      </c>
      <c r="I3296">
        <f>IF(DATOS!$I3296="","",IFERROR(VLOOKUP(DATOS!$I3296,CONFIG_ASIGNATURAS!$B$2:$J$91,9,FALSE()),""))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IF(DATOS!$A3297="",0,IF(CONFIG_METADATA!$B$4&lt;&gt;"OR+EX",--(DATOS!$G3297=CONFIG_METADATA!$B$4),IF(DATOS!$G3297="EX",1,IF(DATOS!$G3297="OR",--(COUNTIFS(nNIA,DATOS!$A3297,nCURSO,DATOS!$D3297,nESPEC,DATOS!$E3297,nASIG,DATOS!$I3297,nEVAL,"EX")=0),0))))</f>
      </c>
      <c r="H3297">
        <f>IF(DATOS!$G3297&lt;&gt;"EX",0,--(COUNTIFS(nNIA,DATOS!$A3297,nCURSO,DATOS!$D3297,nESPEC,DATOS!$E3297,nASIG,DATOS!$I3297,nEVAL,"OR")=0))</f>
      </c>
      <c r="I3297">
        <f>IF(DATOS!$I3297="","",IFERROR(VLOOKUP(DATOS!$I3297,CONFIG_ASIGNATURAS!$B$2:$J$91,9,FALSE()),""))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IF(DATOS!$A3298="",0,IF(CONFIG_METADATA!$B$4&lt;&gt;"OR+EX",--(DATOS!$G3298=CONFIG_METADATA!$B$4),IF(DATOS!$G3298="EX",1,IF(DATOS!$G3298="OR",--(COUNTIFS(nNIA,DATOS!$A3298,nCURSO,DATOS!$D3298,nESPEC,DATOS!$E3298,nASIG,DATOS!$I3298,nEVAL,"EX")=0),0))))</f>
      </c>
      <c r="H3298">
        <f>IF(DATOS!$G3298&lt;&gt;"EX",0,--(COUNTIFS(nNIA,DATOS!$A3298,nCURSO,DATOS!$D3298,nESPEC,DATOS!$E3298,nASIG,DATOS!$I3298,nEVAL,"OR")=0))</f>
      </c>
      <c r="I3298">
        <f>IF(DATOS!$I3298="","",IFERROR(VLOOKUP(DATOS!$I3298,CONFIG_ASIGNATURAS!$B$2:$J$91,9,FALSE()),""))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IF(DATOS!$A3299="",0,IF(CONFIG_METADATA!$B$4&lt;&gt;"OR+EX",--(DATOS!$G3299=CONFIG_METADATA!$B$4),IF(DATOS!$G3299="EX",1,IF(DATOS!$G3299="OR",--(COUNTIFS(nNIA,DATOS!$A3299,nCURSO,DATOS!$D3299,nESPEC,DATOS!$E3299,nASIG,DATOS!$I3299,nEVAL,"EX")=0),0))))</f>
      </c>
      <c r="H3299">
        <f>IF(DATOS!$G3299&lt;&gt;"EX",0,--(COUNTIFS(nNIA,DATOS!$A3299,nCURSO,DATOS!$D3299,nESPEC,DATOS!$E3299,nASIG,DATOS!$I3299,nEVAL,"OR")=0))</f>
      </c>
      <c r="I3299">
        <f>IF(DATOS!$I3299="","",IFERROR(VLOOKUP(DATOS!$I3299,CONFIG_ASIGNATURAS!$B$2:$J$91,9,FALSE()),""))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IF(DATOS!$A3300="",0,IF(CONFIG_METADATA!$B$4&lt;&gt;"OR+EX",--(DATOS!$G3300=CONFIG_METADATA!$B$4),IF(DATOS!$G3300="EX",1,IF(DATOS!$G3300="OR",--(COUNTIFS(nNIA,DATOS!$A3300,nCURSO,DATOS!$D3300,nESPEC,DATOS!$E3300,nASIG,DATOS!$I3300,nEVAL,"EX")=0),0))))</f>
      </c>
      <c r="H3300">
        <f>IF(DATOS!$G3300&lt;&gt;"EX",0,--(COUNTIFS(nNIA,DATOS!$A3300,nCURSO,DATOS!$D3300,nESPEC,DATOS!$E3300,nASIG,DATOS!$I3300,nEVAL,"OR")=0))</f>
      </c>
      <c r="I3300">
        <f>IF(DATOS!$I3300="","",IFERROR(VLOOKUP(DATOS!$I3300,CONFIG_ASIGNATURAS!$B$2:$J$91,9,FALSE()),""))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IF(DATOS!$A3301="",0,IF(CONFIG_METADATA!$B$4&lt;&gt;"OR+EX",--(DATOS!$G3301=CONFIG_METADATA!$B$4),IF(DATOS!$G3301="EX",1,IF(DATOS!$G3301="OR",--(COUNTIFS(nNIA,DATOS!$A3301,nCURSO,DATOS!$D3301,nESPEC,DATOS!$E3301,nASIG,DATOS!$I3301,nEVAL,"EX")=0),0))))</f>
      </c>
      <c r="H3301">
        <f>IF(DATOS!$G3301&lt;&gt;"EX",0,--(COUNTIFS(nNIA,DATOS!$A3301,nCURSO,DATOS!$D3301,nESPEC,DATOS!$E3301,nASIG,DATOS!$I3301,nEVAL,"OR")=0))</f>
      </c>
      <c r="I3301">
        <f>IF(DATOS!$I3301="","",IFERROR(VLOOKUP(DATOS!$I3301,CONFIG_ASIGNATURAS!$B$2:$J$91,9,FALSE()),""))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IF(DATOS!$A3302="",0,IF(CONFIG_METADATA!$B$4&lt;&gt;"OR+EX",--(DATOS!$G3302=CONFIG_METADATA!$B$4),IF(DATOS!$G3302="EX",1,IF(DATOS!$G3302="OR",--(COUNTIFS(nNIA,DATOS!$A3302,nCURSO,DATOS!$D3302,nESPEC,DATOS!$E3302,nASIG,DATOS!$I3302,nEVAL,"EX")=0),0))))</f>
      </c>
      <c r="H3302">
        <f>IF(DATOS!$G3302&lt;&gt;"EX",0,--(COUNTIFS(nNIA,DATOS!$A3302,nCURSO,DATOS!$D3302,nESPEC,DATOS!$E3302,nASIG,DATOS!$I3302,nEVAL,"OR")=0))</f>
      </c>
      <c r="I3302">
        <f>IF(DATOS!$I3302="","",IFERROR(VLOOKUP(DATOS!$I3302,CONFIG_ASIGNATURAS!$B$2:$J$91,9,FALSE()),""))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IF(DATOS!$A3303="",0,IF(CONFIG_METADATA!$B$4&lt;&gt;"OR+EX",--(DATOS!$G3303=CONFIG_METADATA!$B$4),IF(DATOS!$G3303="EX",1,IF(DATOS!$G3303="OR",--(COUNTIFS(nNIA,DATOS!$A3303,nCURSO,DATOS!$D3303,nESPEC,DATOS!$E3303,nASIG,DATOS!$I3303,nEVAL,"EX")=0),0))))</f>
      </c>
      <c r="H3303">
        <f>IF(DATOS!$G3303&lt;&gt;"EX",0,--(COUNTIFS(nNIA,DATOS!$A3303,nCURSO,DATOS!$D3303,nESPEC,DATOS!$E3303,nASIG,DATOS!$I3303,nEVAL,"OR")=0))</f>
      </c>
      <c r="I3303">
        <f>IF(DATOS!$I3303="","",IFERROR(VLOOKUP(DATOS!$I3303,CONFIG_ASIGNATURAS!$B$2:$J$91,9,FALSE()),""))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IF(DATOS!$A3304="",0,IF(CONFIG_METADATA!$B$4&lt;&gt;"OR+EX",--(DATOS!$G3304=CONFIG_METADATA!$B$4),IF(DATOS!$G3304="EX",1,IF(DATOS!$G3304="OR",--(COUNTIFS(nNIA,DATOS!$A3304,nCURSO,DATOS!$D3304,nESPEC,DATOS!$E3304,nASIG,DATOS!$I3304,nEVAL,"EX")=0),0))))</f>
      </c>
      <c r="H3304">
        <f>IF(DATOS!$G3304&lt;&gt;"EX",0,--(COUNTIFS(nNIA,DATOS!$A3304,nCURSO,DATOS!$D3304,nESPEC,DATOS!$E3304,nASIG,DATOS!$I3304,nEVAL,"OR")=0))</f>
      </c>
      <c r="I3304">
        <f>IF(DATOS!$I3304="","",IFERROR(VLOOKUP(DATOS!$I3304,CONFIG_ASIGNATURAS!$B$2:$J$91,9,FALSE()),""))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IF(DATOS!$A3305="",0,IF(CONFIG_METADATA!$B$4&lt;&gt;"OR+EX",--(DATOS!$G3305=CONFIG_METADATA!$B$4),IF(DATOS!$G3305="EX",1,IF(DATOS!$G3305="OR",--(COUNTIFS(nNIA,DATOS!$A3305,nCURSO,DATOS!$D3305,nESPEC,DATOS!$E3305,nASIG,DATOS!$I3305,nEVAL,"EX")=0),0))))</f>
      </c>
      <c r="H3305">
        <f>IF(DATOS!$G3305&lt;&gt;"EX",0,--(COUNTIFS(nNIA,DATOS!$A3305,nCURSO,DATOS!$D3305,nESPEC,DATOS!$E3305,nASIG,DATOS!$I3305,nEVAL,"OR")=0))</f>
      </c>
      <c r="I3305">
        <f>IF(DATOS!$I3305="","",IFERROR(VLOOKUP(DATOS!$I3305,CONFIG_ASIGNATURAS!$B$2:$J$91,9,FALSE()),""))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IF(DATOS!$A3306="",0,IF(CONFIG_METADATA!$B$4&lt;&gt;"OR+EX",--(DATOS!$G3306=CONFIG_METADATA!$B$4),IF(DATOS!$G3306="EX",1,IF(DATOS!$G3306="OR",--(COUNTIFS(nNIA,DATOS!$A3306,nCURSO,DATOS!$D3306,nESPEC,DATOS!$E3306,nASIG,DATOS!$I3306,nEVAL,"EX")=0),0))))</f>
      </c>
      <c r="H3306">
        <f>IF(DATOS!$G3306&lt;&gt;"EX",0,--(COUNTIFS(nNIA,DATOS!$A3306,nCURSO,DATOS!$D3306,nESPEC,DATOS!$E3306,nASIG,DATOS!$I3306,nEVAL,"OR")=0))</f>
      </c>
      <c r="I3306">
        <f>IF(DATOS!$I3306="","",IFERROR(VLOOKUP(DATOS!$I3306,CONFIG_ASIGNATURAS!$B$2:$J$91,9,FALSE()),""))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IF(DATOS!$A3307="",0,IF(CONFIG_METADATA!$B$4&lt;&gt;"OR+EX",--(DATOS!$G3307=CONFIG_METADATA!$B$4),IF(DATOS!$G3307="EX",1,IF(DATOS!$G3307="OR",--(COUNTIFS(nNIA,DATOS!$A3307,nCURSO,DATOS!$D3307,nESPEC,DATOS!$E3307,nASIG,DATOS!$I3307,nEVAL,"EX")=0),0))))</f>
      </c>
      <c r="H3307">
        <f>IF(DATOS!$G3307&lt;&gt;"EX",0,--(COUNTIFS(nNIA,DATOS!$A3307,nCURSO,DATOS!$D3307,nESPEC,DATOS!$E3307,nASIG,DATOS!$I3307,nEVAL,"OR")=0))</f>
      </c>
      <c r="I3307">
        <f>IF(DATOS!$I3307="","",IFERROR(VLOOKUP(DATOS!$I3307,CONFIG_ASIGNATURAS!$B$2:$J$91,9,FALSE()),""))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IF(DATOS!$A3308="",0,IF(CONFIG_METADATA!$B$4&lt;&gt;"OR+EX",--(DATOS!$G3308=CONFIG_METADATA!$B$4),IF(DATOS!$G3308="EX",1,IF(DATOS!$G3308="OR",--(COUNTIFS(nNIA,DATOS!$A3308,nCURSO,DATOS!$D3308,nESPEC,DATOS!$E3308,nASIG,DATOS!$I3308,nEVAL,"EX")=0),0))))</f>
      </c>
      <c r="H3308">
        <f>IF(DATOS!$G3308&lt;&gt;"EX",0,--(COUNTIFS(nNIA,DATOS!$A3308,nCURSO,DATOS!$D3308,nESPEC,DATOS!$E3308,nASIG,DATOS!$I3308,nEVAL,"OR")=0))</f>
      </c>
      <c r="I3308">
        <f>IF(DATOS!$I3308="","",IFERROR(VLOOKUP(DATOS!$I3308,CONFIG_ASIGNATURAS!$B$2:$J$91,9,FALSE()),""))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IF(DATOS!$A3309="",0,IF(CONFIG_METADATA!$B$4&lt;&gt;"OR+EX",--(DATOS!$G3309=CONFIG_METADATA!$B$4),IF(DATOS!$G3309="EX",1,IF(DATOS!$G3309="OR",--(COUNTIFS(nNIA,DATOS!$A3309,nCURSO,DATOS!$D3309,nESPEC,DATOS!$E3309,nASIG,DATOS!$I3309,nEVAL,"EX")=0),0))))</f>
      </c>
      <c r="H3309">
        <f>IF(DATOS!$G3309&lt;&gt;"EX",0,--(COUNTIFS(nNIA,DATOS!$A3309,nCURSO,DATOS!$D3309,nESPEC,DATOS!$E3309,nASIG,DATOS!$I3309,nEVAL,"OR")=0))</f>
      </c>
      <c r="I3309">
        <f>IF(DATOS!$I3309="","",IFERROR(VLOOKUP(DATOS!$I3309,CONFIG_ASIGNATURAS!$B$2:$J$91,9,FALSE()),""))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IF(DATOS!$A3310="",0,IF(CONFIG_METADATA!$B$4&lt;&gt;"OR+EX",--(DATOS!$G3310=CONFIG_METADATA!$B$4),IF(DATOS!$G3310="EX",1,IF(DATOS!$G3310="OR",--(COUNTIFS(nNIA,DATOS!$A3310,nCURSO,DATOS!$D3310,nESPEC,DATOS!$E3310,nASIG,DATOS!$I3310,nEVAL,"EX")=0),0))))</f>
      </c>
      <c r="H3310">
        <f>IF(DATOS!$G3310&lt;&gt;"EX",0,--(COUNTIFS(nNIA,DATOS!$A3310,nCURSO,DATOS!$D3310,nESPEC,DATOS!$E3310,nASIG,DATOS!$I3310,nEVAL,"OR")=0))</f>
      </c>
      <c r="I3310">
        <f>IF(DATOS!$I3310="","",IFERROR(VLOOKUP(DATOS!$I3310,CONFIG_ASIGNATURAS!$B$2:$J$91,9,FALSE()),""))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IF(DATOS!$A3311="",0,IF(CONFIG_METADATA!$B$4&lt;&gt;"OR+EX",--(DATOS!$G3311=CONFIG_METADATA!$B$4),IF(DATOS!$G3311="EX",1,IF(DATOS!$G3311="OR",--(COUNTIFS(nNIA,DATOS!$A3311,nCURSO,DATOS!$D3311,nESPEC,DATOS!$E3311,nASIG,DATOS!$I3311,nEVAL,"EX")=0),0))))</f>
      </c>
      <c r="H3311">
        <f>IF(DATOS!$G3311&lt;&gt;"EX",0,--(COUNTIFS(nNIA,DATOS!$A3311,nCURSO,DATOS!$D3311,nESPEC,DATOS!$E3311,nASIG,DATOS!$I3311,nEVAL,"OR")=0))</f>
      </c>
      <c r="I3311">
        <f>IF(DATOS!$I3311="","",IFERROR(VLOOKUP(DATOS!$I3311,CONFIG_ASIGNATURAS!$B$2:$J$91,9,FALSE()),""))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IF(DATOS!$A3312="",0,IF(CONFIG_METADATA!$B$4&lt;&gt;"OR+EX",--(DATOS!$G3312=CONFIG_METADATA!$B$4),IF(DATOS!$G3312="EX",1,IF(DATOS!$G3312="OR",--(COUNTIFS(nNIA,DATOS!$A3312,nCURSO,DATOS!$D3312,nESPEC,DATOS!$E3312,nASIG,DATOS!$I3312,nEVAL,"EX")=0),0))))</f>
      </c>
      <c r="H3312">
        <f>IF(DATOS!$G3312&lt;&gt;"EX",0,--(COUNTIFS(nNIA,DATOS!$A3312,nCURSO,DATOS!$D3312,nESPEC,DATOS!$E3312,nASIG,DATOS!$I3312,nEVAL,"OR")=0))</f>
      </c>
      <c r="I3312">
        <f>IF(DATOS!$I3312="","",IFERROR(VLOOKUP(DATOS!$I3312,CONFIG_ASIGNATURAS!$B$2:$J$91,9,FALSE()),""))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IF(DATOS!$A3313="",0,IF(CONFIG_METADATA!$B$4&lt;&gt;"OR+EX",--(DATOS!$G3313=CONFIG_METADATA!$B$4),IF(DATOS!$G3313="EX",1,IF(DATOS!$G3313="OR",--(COUNTIFS(nNIA,DATOS!$A3313,nCURSO,DATOS!$D3313,nESPEC,DATOS!$E3313,nASIG,DATOS!$I3313,nEVAL,"EX")=0),0))))</f>
      </c>
      <c r="H3313">
        <f>IF(DATOS!$G3313&lt;&gt;"EX",0,--(COUNTIFS(nNIA,DATOS!$A3313,nCURSO,DATOS!$D3313,nESPEC,DATOS!$E3313,nASIG,DATOS!$I3313,nEVAL,"OR")=0))</f>
      </c>
      <c r="I3313">
        <f>IF(DATOS!$I3313="","",IFERROR(VLOOKUP(DATOS!$I3313,CONFIG_ASIGNATURAS!$B$2:$J$91,9,FALSE()),""))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IF(DATOS!$A3314="",0,IF(CONFIG_METADATA!$B$4&lt;&gt;"OR+EX",--(DATOS!$G3314=CONFIG_METADATA!$B$4),IF(DATOS!$G3314="EX",1,IF(DATOS!$G3314="OR",--(COUNTIFS(nNIA,DATOS!$A3314,nCURSO,DATOS!$D3314,nESPEC,DATOS!$E3314,nASIG,DATOS!$I3314,nEVAL,"EX")=0),0))))</f>
      </c>
      <c r="H3314">
        <f>IF(DATOS!$G3314&lt;&gt;"EX",0,--(COUNTIFS(nNIA,DATOS!$A3314,nCURSO,DATOS!$D3314,nESPEC,DATOS!$E3314,nASIG,DATOS!$I3314,nEVAL,"OR")=0))</f>
      </c>
      <c r="I3314">
        <f>IF(DATOS!$I3314="","",IFERROR(VLOOKUP(DATOS!$I3314,CONFIG_ASIGNATURAS!$B$2:$J$91,9,FALSE()),""))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IF(DATOS!$A3315="",0,IF(CONFIG_METADATA!$B$4&lt;&gt;"OR+EX",--(DATOS!$G3315=CONFIG_METADATA!$B$4),IF(DATOS!$G3315="EX",1,IF(DATOS!$G3315="OR",--(COUNTIFS(nNIA,DATOS!$A3315,nCURSO,DATOS!$D3315,nESPEC,DATOS!$E3315,nASIG,DATOS!$I3315,nEVAL,"EX")=0),0))))</f>
      </c>
      <c r="H3315">
        <f>IF(DATOS!$G3315&lt;&gt;"EX",0,--(COUNTIFS(nNIA,DATOS!$A3315,nCURSO,DATOS!$D3315,nESPEC,DATOS!$E3315,nASIG,DATOS!$I3315,nEVAL,"OR")=0))</f>
      </c>
      <c r="I3315">
        <f>IF(DATOS!$I3315="","",IFERROR(VLOOKUP(DATOS!$I3315,CONFIG_ASIGNATURAS!$B$2:$J$91,9,FALSE()),""))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IF(DATOS!$A3316="",0,IF(CONFIG_METADATA!$B$4&lt;&gt;"OR+EX",--(DATOS!$G3316=CONFIG_METADATA!$B$4),IF(DATOS!$G3316="EX",1,IF(DATOS!$G3316="OR",--(COUNTIFS(nNIA,DATOS!$A3316,nCURSO,DATOS!$D3316,nESPEC,DATOS!$E3316,nASIG,DATOS!$I3316,nEVAL,"EX")=0),0))))</f>
      </c>
      <c r="H3316">
        <f>IF(DATOS!$G3316&lt;&gt;"EX",0,--(COUNTIFS(nNIA,DATOS!$A3316,nCURSO,DATOS!$D3316,nESPEC,DATOS!$E3316,nASIG,DATOS!$I3316,nEVAL,"OR")=0))</f>
      </c>
      <c r="I3316">
        <f>IF(DATOS!$I3316="","",IFERROR(VLOOKUP(DATOS!$I3316,CONFIG_ASIGNATURAS!$B$2:$J$91,9,FALSE()),""))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IF(DATOS!$A3317="",0,IF(CONFIG_METADATA!$B$4&lt;&gt;"OR+EX",--(DATOS!$G3317=CONFIG_METADATA!$B$4),IF(DATOS!$G3317="EX",1,IF(DATOS!$G3317="OR",--(COUNTIFS(nNIA,DATOS!$A3317,nCURSO,DATOS!$D3317,nESPEC,DATOS!$E3317,nASIG,DATOS!$I3317,nEVAL,"EX")=0),0))))</f>
      </c>
      <c r="H3317">
        <f>IF(DATOS!$G3317&lt;&gt;"EX",0,--(COUNTIFS(nNIA,DATOS!$A3317,nCURSO,DATOS!$D3317,nESPEC,DATOS!$E3317,nASIG,DATOS!$I3317,nEVAL,"OR")=0))</f>
      </c>
      <c r="I3317">
        <f>IF(DATOS!$I3317="","",IFERROR(VLOOKUP(DATOS!$I3317,CONFIG_ASIGNATURAS!$B$2:$J$91,9,FALSE()),""))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IF(DATOS!$A3318="",0,IF(CONFIG_METADATA!$B$4&lt;&gt;"OR+EX",--(DATOS!$G3318=CONFIG_METADATA!$B$4),IF(DATOS!$G3318="EX",1,IF(DATOS!$G3318="OR",--(COUNTIFS(nNIA,DATOS!$A3318,nCURSO,DATOS!$D3318,nESPEC,DATOS!$E3318,nASIG,DATOS!$I3318,nEVAL,"EX")=0),0))))</f>
      </c>
      <c r="H3318">
        <f>IF(DATOS!$G3318&lt;&gt;"EX",0,--(COUNTIFS(nNIA,DATOS!$A3318,nCURSO,DATOS!$D3318,nESPEC,DATOS!$E3318,nASIG,DATOS!$I3318,nEVAL,"OR")=0))</f>
      </c>
      <c r="I3318">
        <f>IF(DATOS!$I3318="","",IFERROR(VLOOKUP(DATOS!$I3318,CONFIG_ASIGNATURAS!$B$2:$J$91,9,FALSE()),""))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IF(DATOS!$A3319="",0,IF(CONFIG_METADATA!$B$4&lt;&gt;"OR+EX",--(DATOS!$G3319=CONFIG_METADATA!$B$4),IF(DATOS!$G3319="EX",1,IF(DATOS!$G3319="OR",--(COUNTIFS(nNIA,DATOS!$A3319,nCURSO,DATOS!$D3319,nESPEC,DATOS!$E3319,nASIG,DATOS!$I3319,nEVAL,"EX")=0),0))))</f>
      </c>
      <c r="H3319">
        <f>IF(DATOS!$G3319&lt;&gt;"EX",0,--(COUNTIFS(nNIA,DATOS!$A3319,nCURSO,DATOS!$D3319,nESPEC,DATOS!$E3319,nASIG,DATOS!$I3319,nEVAL,"OR")=0))</f>
      </c>
      <c r="I3319">
        <f>IF(DATOS!$I3319="","",IFERROR(VLOOKUP(DATOS!$I3319,CONFIG_ASIGNATURAS!$B$2:$J$91,9,FALSE()),""))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IF(DATOS!$A3320="",0,IF(CONFIG_METADATA!$B$4&lt;&gt;"OR+EX",--(DATOS!$G3320=CONFIG_METADATA!$B$4),IF(DATOS!$G3320="EX",1,IF(DATOS!$G3320="OR",--(COUNTIFS(nNIA,DATOS!$A3320,nCURSO,DATOS!$D3320,nESPEC,DATOS!$E3320,nASIG,DATOS!$I3320,nEVAL,"EX")=0),0))))</f>
      </c>
      <c r="H3320">
        <f>IF(DATOS!$G3320&lt;&gt;"EX",0,--(COUNTIFS(nNIA,DATOS!$A3320,nCURSO,DATOS!$D3320,nESPEC,DATOS!$E3320,nASIG,DATOS!$I3320,nEVAL,"OR")=0))</f>
      </c>
      <c r="I3320">
        <f>IF(DATOS!$I3320="","",IFERROR(VLOOKUP(DATOS!$I3320,CONFIG_ASIGNATURAS!$B$2:$J$91,9,FALSE()),""))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IF(DATOS!$A3321="",0,IF(CONFIG_METADATA!$B$4&lt;&gt;"OR+EX",--(DATOS!$G3321=CONFIG_METADATA!$B$4),IF(DATOS!$G3321="EX",1,IF(DATOS!$G3321="OR",--(COUNTIFS(nNIA,DATOS!$A3321,nCURSO,DATOS!$D3321,nESPEC,DATOS!$E3321,nASIG,DATOS!$I3321,nEVAL,"EX")=0),0))))</f>
      </c>
      <c r="H3321">
        <f>IF(DATOS!$G3321&lt;&gt;"EX",0,--(COUNTIFS(nNIA,DATOS!$A3321,nCURSO,DATOS!$D3321,nESPEC,DATOS!$E3321,nASIG,DATOS!$I3321,nEVAL,"OR")=0))</f>
      </c>
      <c r="I3321">
        <f>IF(DATOS!$I3321="","",IFERROR(VLOOKUP(DATOS!$I3321,CONFIG_ASIGNATURAS!$B$2:$J$91,9,FALSE()),""))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IF(DATOS!$A3322="",0,IF(CONFIG_METADATA!$B$4&lt;&gt;"OR+EX",--(DATOS!$G3322=CONFIG_METADATA!$B$4),IF(DATOS!$G3322="EX",1,IF(DATOS!$G3322="OR",--(COUNTIFS(nNIA,DATOS!$A3322,nCURSO,DATOS!$D3322,nESPEC,DATOS!$E3322,nASIG,DATOS!$I3322,nEVAL,"EX")=0),0))))</f>
      </c>
      <c r="H3322">
        <f>IF(DATOS!$G3322&lt;&gt;"EX",0,--(COUNTIFS(nNIA,DATOS!$A3322,nCURSO,DATOS!$D3322,nESPEC,DATOS!$E3322,nASIG,DATOS!$I3322,nEVAL,"OR")=0))</f>
      </c>
      <c r="I3322">
        <f>IF(DATOS!$I3322="","",IFERROR(VLOOKUP(DATOS!$I3322,CONFIG_ASIGNATURAS!$B$2:$J$91,9,FALSE()),""))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IF(DATOS!$A3323="",0,IF(CONFIG_METADATA!$B$4&lt;&gt;"OR+EX",--(DATOS!$G3323=CONFIG_METADATA!$B$4),IF(DATOS!$G3323="EX",1,IF(DATOS!$G3323="OR",--(COUNTIFS(nNIA,DATOS!$A3323,nCURSO,DATOS!$D3323,nESPEC,DATOS!$E3323,nASIG,DATOS!$I3323,nEVAL,"EX")=0),0))))</f>
      </c>
      <c r="H3323">
        <f>IF(DATOS!$G3323&lt;&gt;"EX",0,--(COUNTIFS(nNIA,DATOS!$A3323,nCURSO,DATOS!$D3323,nESPEC,DATOS!$E3323,nASIG,DATOS!$I3323,nEVAL,"OR")=0))</f>
      </c>
      <c r="I3323">
        <f>IF(DATOS!$I3323="","",IFERROR(VLOOKUP(DATOS!$I3323,CONFIG_ASIGNATURAS!$B$2:$J$91,9,FALSE()),""))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IF(DATOS!$A3324="",0,IF(CONFIG_METADATA!$B$4&lt;&gt;"OR+EX",--(DATOS!$G3324=CONFIG_METADATA!$B$4),IF(DATOS!$G3324="EX",1,IF(DATOS!$G3324="OR",--(COUNTIFS(nNIA,DATOS!$A3324,nCURSO,DATOS!$D3324,nESPEC,DATOS!$E3324,nASIG,DATOS!$I3324,nEVAL,"EX")=0),0))))</f>
      </c>
      <c r="H3324">
        <f>IF(DATOS!$G3324&lt;&gt;"EX",0,--(COUNTIFS(nNIA,DATOS!$A3324,nCURSO,DATOS!$D3324,nESPEC,DATOS!$E3324,nASIG,DATOS!$I3324,nEVAL,"OR")=0))</f>
      </c>
      <c r="I3324">
        <f>IF(DATOS!$I3324="","",IFERROR(VLOOKUP(DATOS!$I3324,CONFIG_ASIGNATURAS!$B$2:$J$91,9,FALSE()),""))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IF(DATOS!$A3325="",0,IF(CONFIG_METADATA!$B$4&lt;&gt;"OR+EX",--(DATOS!$G3325=CONFIG_METADATA!$B$4),IF(DATOS!$G3325="EX",1,IF(DATOS!$G3325="OR",--(COUNTIFS(nNIA,DATOS!$A3325,nCURSO,DATOS!$D3325,nESPEC,DATOS!$E3325,nASIG,DATOS!$I3325,nEVAL,"EX")=0),0))))</f>
      </c>
      <c r="H3325">
        <f>IF(DATOS!$G3325&lt;&gt;"EX",0,--(COUNTIFS(nNIA,DATOS!$A3325,nCURSO,DATOS!$D3325,nESPEC,DATOS!$E3325,nASIG,DATOS!$I3325,nEVAL,"OR")=0))</f>
      </c>
      <c r="I3325">
        <f>IF(DATOS!$I3325="","",IFERROR(VLOOKUP(DATOS!$I3325,CONFIG_ASIGNATURAS!$B$2:$J$91,9,FALSE()),""))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IF(DATOS!$A3326="",0,IF(CONFIG_METADATA!$B$4&lt;&gt;"OR+EX",--(DATOS!$G3326=CONFIG_METADATA!$B$4),IF(DATOS!$G3326="EX",1,IF(DATOS!$G3326="OR",--(COUNTIFS(nNIA,DATOS!$A3326,nCURSO,DATOS!$D3326,nESPEC,DATOS!$E3326,nASIG,DATOS!$I3326,nEVAL,"EX")=0),0))))</f>
      </c>
      <c r="H3326">
        <f>IF(DATOS!$G3326&lt;&gt;"EX",0,--(COUNTIFS(nNIA,DATOS!$A3326,nCURSO,DATOS!$D3326,nESPEC,DATOS!$E3326,nASIG,DATOS!$I3326,nEVAL,"OR")=0))</f>
      </c>
      <c r="I3326">
        <f>IF(DATOS!$I3326="","",IFERROR(VLOOKUP(DATOS!$I3326,CONFIG_ASIGNATURAS!$B$2:$J$91,9,FALSE()),""))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IF(DATOS!$A3327="",0,IF(CONFIG_METADATA!$B$4&lt;&gt;"OR+EX",--(DATOS!$G3327=CONFIG_METADATA!$B$4),IF(DATOS!$G3327="EX",1,IF(DATOS!$G3327="OR",--(COUNTIFS(nNIA,DATOS!$A3327,nCURSO,DATOS!$D3327,nESPEC,DATOS!$E3327,nASIG,DATOS!$I3327,nEVAL,"EX")=0),0))))</f>
      </c>
      <c r="H3327">
        <f>IF(DATOS!$G3327&lt;&gt;"EX",0,--(COUNTIFS(nNIA,DATOS!$A3327,nCURSO,DATOS!$D3327,nESPEC,DATOS!$E3327,nASIG,DATOS!$I3327,nEVAL,"OR")=0))</f>
      </c>
      <c r="I3327">
        <f>IF(DATOS!$I3327="","",IFERROR(VLOOKUP(DATOS!$I3327,CONFIG_ASIGNATURAS!$B$2:$J$91,9,FALSE()),""))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IF(DATOS!$A3328="",0,IF(CONFIG_METADATA!$B$4&lt;&gt;"OR+EX",--(DATOS!$G3328=CONFIG_METADATA!$B$4),IF(DATOS!$G3328="EX",1,IF(DATOS!$G3328="OR",--(COUNTIFS(nNIA,DATOS!$A3328,nCURSO,DATOS!$D3328,nESPEC,DATOS!$E3328,nASIG,DATOS!$I3328,nEVAL,"EX")=0),0))))</f>
      </c>
      <c r="H3328">
        <f>IF(DATOS!$G3328&lt;&gt;"EX",0,--(COUNTIFS(nNIA,DATOS!$A3328,nCURSO,DATOS!$D3328,nESPEC,DATOS!$E3328,nASIG,DATOS!$I3328,nEVAL,"OR")=0))</f>
      </c>
      <c r="I3328">
        <f>IF(DATOS!$I3328="","",IFERROR(VLOOKUP(DATOS!$I3328,CONFIG_ASIGNATURAS!$B$2:$J$91,9,FALSE()),""))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IF(DATOS!$A3329="",0,IF(CONFIG_METADATA!$B$4&lt;&gt;"OR+EX",--(DATOS!$G3329=CONFIG_METADATA!$B$4),IF(DATOS!$G3329="EX",1,IF(DATOS!$G3329="OR",--(COUNTIFS(nNIA,DATOS!$A3329,nCURSO,DATOS!$D3329,nESPEC,DATOS!$E3329,nASIG,DATOS!$I3329,nEVAL,"EX")=0),0))))</f>
      </c>
      <c r="H3329">
        <f>IF(DATOS!$G3329&lt;&gt;"EX",0,--(COUNTIFS(nNIA,DATOS!$A3329,nCURSO,DATOS!$D3329,nESPEC,DATOS!$E3329,nASIG,DATOS!$I3329,nEVAL,"OR")=0))</f>
      </c>
      <c r="I3329">
        <f>IF(DATOS!$I3329="","",IFERROR(VLOOKUP(DATOS!$I3329,CONFIG_ASIGNATURAS!$B$2:$J$91,9,FALSE()),""))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IF(DATOS!$A3330="",0,IF(CONFIG_METADATA!$B$4&lt;&gt;"OR+EX",--(DATOS!$G3330=CONFIG_METADATA!$B$4),IF(DATOS!$G3330="EX",1,IF(DATOS!$G3330="OR",--(COUNTIFS(nNIA,DATOS!$A3330,nCURSO,DATOS!$D3330,nESPEC,DATOS!$E3330,nASIG,DATOS!$I3330,nEVAL,"EX")=0),0))))</f>
      </c>
      <c r="H3330">
        <f>IF(DATOS!$G3330&lt;&gt;"EX",0,--(COUNTIFS(nNIA,DATOS!$A3330,nCURSO,DATOS!$D3330,nESPEC,DATOS!$E3330,nASIG,DATOS!$I3330,nEVAL,"OR")=0))</f>
      </c>
      <c r="I3330">
        <f>IF(DATOS!$I3330="","",IFERROR(VLOOKUP(DATOS!$I3330,CONFIG_ASIGNATURAS!$B$2:$J$91,9,FALSE()),""))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IF(DATOS!$A3331="",0,IF(CONFIG_METADATA!$B$4&lt;&gt;"OR+EX",--(DATOS!$G3331=CONFIG_METADATA!$B$4),IF(DATOS!$G3331="EX",1,IF(DATOS!$G3331="OR",--(COUNTIFS(nNIA,DATOS!$A3331,nCURSO,DATOS!$D3331,nESPEC,DATOS!$E3331,nASIG,DATOS!$I3331,nEVAL,"EX")=0),0))))</f>
      </c>
      <c r="H3331">
        <f>IF(DATOS!$G3331&lt;&gt;"EX",0,--(COUNTIFS(nNIA,DATOS!$A3331,nCURSO,DATOS!$D3331,nESPEC,DATOS!$E3331,nASIG,DATOS!$I3331,nEVAL,"OR")=0))</f>
      </c>
      <c r="I3331">
        <f>IF(DATOS!$I3331="","",IFERROR(VLOOKUP(DATOS!$I3331,CONFIG_ASIGNATURAS!$B$2:$J$91,9,FALSE()),""))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IF(DATOS!$A3332="",0,IF(CONFIG_METADATA!$B$4&lt;&gt;"OR+EX",--(DATOS!$G3332=CONFIG_METADATA!$B$4),IF(DATOS!$G3332="EX",1,IF(DATOS!$G3332="OR",--(COUNTIFS(nNIA,DATOS!$A3332,nCURSO,DATOS!$D3332,nESPEC,DATOS!$E3332,nASIG,DATOS!$I3332,nEVAL,"EX")=0),0))))</f>
      </c>
      <c r="H3332">
        <f>IF(DATOS!$G3332&lt;&gt;"EX",0,--(COUNTIFS(nNIA,DATOS!$A3332,nCURSO,DATOS!$D3332,nESPEC,DATOS!$E3332,nASIG,DATOS!$I3332,nEVAL,"OR")=0))</f>
      </c>
      <c r="I3332">
        <f>IF(DATOS!$I3332="","",IFERROR(VLOOKUP(DATOS!$I3332,CONFIG_ASIGNATURAS!$B$2:$J$91,9,FALSE()),""))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IF(DATOS!$A3333="",0,IF(CONFIG_METADATA!$B$4&lt;&gt;"OR+EX",--(DATOS!$G3333=CONFIG_METADATA!$B$4),IF(DATOS!$G3333="EX",1,IF(DATOS!$G3333="OR",--(COUNTIFS(nNIA,DATOS!$A3333,nCURSO,DATOS!$D3333,nESPEC,DATOS!$E3333,nASIG,DATOS!$I3333,nEVAL,"EX")=0),0))))</f>
      </c>
      <c r="H3333">
        <f>IF(DATOS!$G3333&lt;&gt;"EX",0,--(COUNTIFS(nNIA,DATOS!$A3333,nCURSO,DATOS!$D3333,nESPEC,DATOS!$E3333,nASIG,DATOS!$I3333,nEVAL,"OR")=0))</f>
      </c>
      <c r="I3333">
        <f>IF(DATOS!$I3333="","",IFERROR(VLOOKUP(DATOS!$I3333,CONFIG_ASIGNATURAS!$B$2:$J$91,9,FALSE()),""))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IF(DATOS!$A3334="",0,IF(CONFIG_METADATA!$B$4&lt;&gt;"OR+EX",--(DATOS!$G3334=CONFIG_METADATA!$B$4),IF(DATOS!$G3334="EX",1,IF(DATOS!$G3334="OR",--(COUNTIFS(nNIA,DATOS!$A3334,nCURSO,DATOS!$D3334,nESPEC,DATOS!$E3334,nASIG,DATOS!$I3334,nEVAL,"EX")=0),0))))</f>
      </c>
      <c r="H3334">
        <f>IF(DATOS!$G3334&lt;&gt;"EX",0,--(COUNTIFS(nNIA,DATOS!$A3334,nCURSO,DATOS!$D3334,nESPEC,DATOS!$E3334,nASIG,DATOS!$I3334,nEVAL,"OR")=0))</f>
      </c>
      <c r="I3334">
        <f>IF(DATOS!$I3334="","",IFERROR(VLOOKUP(DATOS!$I3334,CONFIG_ASIGNATURAS!$B$2:$J$91,9,FALSE()),""))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IF(DATOS!$A3335="",0,IF(CONFIG_METADATA!$B$4&lt;&gt;"OR+EX",--(DATOS!$G3335=CONFIG_METADATA!$B$4),IF(DATOS!$G3335="EX",1,IF(DATOS!$G3335="OR",--(COUNTIFS(nNIA,DATOS!$A3335,nCURSO,DATOS!$D3335,nESPEC,DATOS!$E3335,nASIG,DATOS!$I3335,nEVAL,"EX")=0),0))))</f>
      </c>
      <c r="H3335">
        <f>IF(DATOS!$G3335&lt;&gt;"EX",0,--(COUNTIFS(nNIA,DATOS!$A3335,nCURSO,DATOS!$D3335,nESPEC,DATOS!$E3335,nASIG,DATOS!$I3335,nEVAL,"OR")=0))</f>
      </c>
      <c r="I3335">
        <f>IF(DATOS!$I3335="","",IFERROR(VLOOKUP(DATOS!$I3335,CONFIG_ASIGNATURAS!$B$2:$J$91,9,FALSE()),""))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IF(DATOS!$A3336="",0,IF(CONFIG_METADATA!$B$4&lt;&gt;"OR+EX",--(DATOS!$G3336=CONFIG_METADATA!$B$4),IF(DATOS!$G3336="EX",1,IF(DATOS!$G3336="OR",--(COUNTIFS(nNIA,DATOS!$A3336,nCURSO,DATOS!$D3336,nESPEC,DATOS!$E3336,nASIG,DATOS!$I3336,nEVAL,"EX")=0),0))))</f>
      </c>
      <c r="H3336">
        <f>IF(DATOS!$G3336&lt;&gt;"EX",0,--(COUNTIFS(nNIA,DATOS!$A3336,nCURSO,DATOS!$D3336,nESPEC,DATOS!$E3336,nASIG,DATOS!$I3336,nEVAL,"OR")=0))</f>
      </c>
      <c r="I3336">
        <f>IF(DATOS!$I3336="","",IFERROR(VLOOKUP(DATOS!$I3336,CONFIG_ASIGNATURAS!$B$2:$J$91,9,FALSE()),""))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IF(DATOS!$A3337="",0,IF(CONFIG_METADATA!$B$4&lt;&gt;"OR+EX",--(DATOS!$G3337=CONFIG_METADATA!$B$4),IF(DATOS!$G3337="EX",1,IF(DATOS!$G3337="OR",--(COUNTIFS(nNIA,DATOS!$A3337,nCURSO,DATOS!$D3337,nESPEC,DATOS!$E3337,nASIG,DATOS!$I3337,nEVAL,"EX")=0),0))))</f>
      </c>
      <c r="H3337">
        <f>IF(DATOS!$G3337&lt;&gt;"EX",0,--(COUNTIFS(nNIA,DATOS!$A3337,nCURSO,DATOS!$D3337,nESPEC,DATOS!$E3337,nASIG,DATOS!$I3337,nEVAL,"OR")=0))</f>
      </c>
      <c r="I3337">
        <f>IF(DATOS!$I3337="","",IFERROR(VLOOKUP(DATOS!$I3337,CONFIG_ASIGNATURAS!$B$2:$J$91,9,FALSE()),""))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IF(DATOS!$A3338="",0,IF(CONFIG_METADATA!$B$4&lt;&gt;"OR+EX",--(DATOS!$G3338=CONFIG_METADATA!$B$4),IF(DATOS!$G3338="EX",1,IF(DATOS!$G3338="OR",--(COUNTIFS(nNIA,DATOS!$A3338,nCURSO,DATOS!$D3338,nESPEC,DATOS!$E3338,nASIG,DATOS!$I3338,nEVAL,"EX")=0),0))))</f>
      </c>
      <c r="H3338">
        <f>IF(DATOS!$G3338&lt;&gt;"EX",0,--(COUNTIFS(nNIA,DATOS!$A3338,nCURSO,DATOS!$D3338,nESPEC,DATOS!$E3338,nASIG,DATOS!$I3338,nEVAL,"OR")=0))</f>
      </c>
      <c r="I3338">
        <f>IF(DATOS!$I3338="","",IFERROR(VLOOKUP(DATOS!$I3338,CONFIG_ASIGNATURAS!$B$2:$J$91,9,FALSE()),""))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IF(DATOS!$A3339="",0,IF(CONFIG_METADATA!$B$4&lt;&gt;"OR+EX",--(DATOS!$G3339=CONFIG_METADATA!$B$4),IF(DATOS!$G3339="EX",1,IF(DATOS!$G3339="OR",--(COUNTIFS(nNIA,DATOS!$A3339,nCURSO,DATOS!$D3339,nESPEC,DATOS!$E3339,nASIG,DATOS!$I3339,nEVAL,"EX")=0),0))))</f>
      </c>
      <c r="H3339">
        <f>IF(DATOS!$G3339&lt;&gt;"EX",0,--(COUNTIFS(nNIA,DATOS!$A3339,nCURSO,DATOS!$D3339,nESPEC,DATOS!$E3339,nASIG,DATOS!$I3339,nEVAL,"OR")=0))</f>
      </c>
      <c r="I3339">
        <f>IF(DATOS!$I3339="","",IFERROR(VLOOKUP(DATOS!$I3339,CONFIG_ASIGNATURAS!$B$2:$J$91,9,FALSE()),""))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IF(DATOS!$A3340="",0,IF(CONFIG_METADATA!$B$4&lt;&gt;"OR+EX",--(DATOS!$G3340=CONFIG_METADATA!$B$4),IF(DATOS!$G3340="EX",1,IF(DATOS!$G3340="OR",--(COUNTIFS(nNIA,DATOS!$A3340,nCURSO,DATOS!$D3340,nESPEC,DATOS!$E3340,nASIG,DATOS!$I3340,nEVAL,"EX")=0),0))))</f>
      </c>
      <c r="H3340">
        <f>IF(DATOS!$G3340&lt;&gt;"EX",0,--(COUNTIFS(nNIA,DATOS!$A3340,nCURSO,DATOS!$D3340,nESPEC,DATOS!$E3340,nASIG,DATOS!$I3340,nEVAL,"OR")=0))</f>
      </c>
      <c r="I3340">
        <f>IF(DATOS!$I3340="","",IFERROR(VLOOKUP(DATOS!$I3340,CONFIG_ASIGNATURAS!$B$2:$J$91,9,FALSE()),""))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IF(DATOS!$A3341="",0,IF(CONFIG_METADATA!$B$4&lt;&gt;"OR+EX",--(DATOS!$G3341=CONFIG_METADATA!$B$4),IF(DATOS!$G3341="EX",1,IF(DATOS!$G3341="OR",--(COUNTIFS(nNIA,DATOS!$A3341,nCURSO,DATOS!$D3341,nESPEC,DATOS!$E3341,nASIG,DATOS!$I3341,nEVAL,"EX")=0),0))))</f>
      </c>
      <c r="H3341">
        <f>IF(DATOS!$G3341&lt;&gt;"EX",0,--(COUNTIFS(nNIA,DATOS!$A3341,nCURSO,DATOS!$D3341,nESPEC,DATOS!$E3341,nASIG,DATOS!$I3341,nEVAL,"OR")=0))</f>
      </c>
      <c r="I3341">
        <f>IF(DATOS!$I3341="","",IFERROR(VLOOKUP(DATOS!$I3341,CONFIG_ASIGNATURAS!$B$2:$J$91,9,FALSE()),""))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IF(DATOS!$A3342="",0,IF(CONFIG_METADATA!$B$4&lt;&gt;"OR+EX",--(DATOS!$G3342=CONFIG_METADATA!$B$4),IF(DATOS!$G3342="EX",1,IF(DATOS!$G3342="OR",--(COUNTIFS(nNIA,DATOS!$A3342,nCURSO,DATOS!$D3342,nESPEC,DATOS!$E3342,nASIG,DATOS!$I3342,nEVAL,"EX")=0),0))))</f>
      </c>
      <c r="H3342">
        <f>IF(DATOS!$G3342&lt;&gt;"EX",0,--(COUNTIFS(nNIA,DATOS!$A3342,nCURSO,DATOS!$D3342,nESPEC,DATOS!$E3342,nASIG,DATOS!$I3342,nEVAL,"OR")=0))</f>
      </c>
      <c r="I3342">
        <f>IF(DATOS!$I3342="","",IFERROR(VLOOKUP(DATOS!$I3342,CONFIG_ASIGNATURAS!$B$2:$J$91,9,FALSE()),""))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IF(DATOS!$A3343="",0,IF(CONFIG_METADATA!$B$4&lt;&gt;"OR+EX",--(DATOS!$G3343=CONFIG_METADATA!$B$4),IF(DATOS!$G3343="EX",1,IF(DATOS!$G3343="OR",--(COUNTIFS(nNIA,DATOS!$A3343,nCURSO,DATOS!$D3343,nESPEC,DATOS!$E3343,nASIG,DATOS!$I3343,nEVAL,"EX")=0),0))))</f>
      </c>
      <c r="H3343">
        <f>IF(DATOS!$G3343&lt;&gt;"EX",0,--(COUNTIFS(nNIA,DATOS!$A3343,nCURSO,DATOS!$D3343,nESPEC,DATOS!$E3343,nASIG,DATOS!$I3343,nEVAL,"OR")=0))</f>
      </c>
      <c r="I3343">
        <f>IF(DATOS!$I3343="","",IFERROR(VLOOKUP(DATOS!$I3343,CONFIG_ASIGNATURAS!$B$2:$J$91,9,FALSE()),""))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IF(DATOS!$A3344="",0,IF(CONFIG_METADATA!$B$4&lt;&gt;"OR+EX",--(DATOS!$G3344=CONFIG_METADATA!$B$4),IF(DATOS!$G3344="EX",1,IF(DATOS!$G3344="OR",--(COUNTIFS(nNIA,DATOS!$A3344,nCURSO,DATOS!$D3344,nESPEC,DATOS!$E3344,nASIG,DATOS!$I3344,nEVAL,"EX")=0),0))))</f>
      </c>
      <c r="H3344">
        <f>IF(DATOS!$G3344&lt;&gt;"EX",0,--(COUNTIFS(nNIA,DATOS!$A3344,nCURSO,DATOS!$D3344,nESPEC,DATOS!$E3344,nASIG,DATOS!$I3344,nEVAL,"OR")=0))</f>
      </c>
      <c r="I3344">
        <f>IF(DATOS!$I3344="","",IFERROR(VLOOKUP(DATOS!$I3344,CONFIG_ASIGNATURAS!$B$2:$J$91,9,FALSE()),""))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IF(DATOS!$A3345="",0,IF(CONFIG_METADATA!$B$4&lt;&gt;"OR+EX",--(DATOS!$G3345=CONFIG_METADATA!$B$4),IF(DATOS!$G3345="EX",1,IF(DATOS!$G3345="OR",--(COUNTIFS(nNIA,DATOS!$A3345,nCURSO,DATOS!$D3345,nESPEC,DATOS!$E3345,nASIG,DATOS!$I3345,nEVAL,"EX")=0),0))))</f>
      </c>
      <c r="H3345">
        <f>IF(DATOS!$G3345&lt;&gt;"EX",0,--(COUNTIFS(nNIA,DATOS!$A3345,nCURSO,DATOS!$D3345,nESPEC,DATOS!$E3345,nASIG,DATOS!$I3345,nEVAL,"OR")=0))</f>
      </c>
      <c r="I3345">
        <f>IF(DATOS!$I3345="","",IFERROR(VLOOKUP(DATOS!$I3345,CONFIG_ASIGNATURAS!$B$2:$J$91,9,FALSE()),""))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IF(DATOS!$A3346="",0,IF(CONFIG_METADATA!$B$4&lt;&gt;"OR+EX",--(DATOS!$G3346=CONFIG_METADATA!$B$4),IF(DATOS!$G3346="EX",1,IF(DATOS!$G3346="OR",--(COUNTIFS(nNIA,DATOS!$A3346,nCURSO,DATOS!$D3346,nESPEC,DATOS!$E3346,nASIG,DATOS!$I3346,nEVAL,"EX")=0),0))))</f>
      </c>
      <c r="H3346">
        <f>IF(DATOS!$G3346&lt;&gt;"EX",0,--(COUNTIFS(nNIA,DATOS!$A3346,nCURSO,DATOS!$D3346,nESPEC,DATOS!$E3346,nASIG,DATOS!$I3346,nEVAL,"OR")=0))</f>
      </c>
      <c r="I3346">
        <f>IF(DATOS!$I3346="","",IFERROR(VLOOKUP(DATOS!$I3346,CONFIG_ASIGNATURAS!$B$2:$J$91,9,FALSE()),""))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IF(DATOS!$A3347="",0,IF(CONFIG_METADATA!$B$4&lt;&gt;"OR+EX",--(DATOS!$G3347=CONFIG_METADATA!$B$4),IF(DATOS!$G3347="EX",1,IF(DATOS!$G3347="OR",--(COUNTIFS(nNIA,DATOS!$A3347,nCURSO,DATOS!$D3347,nESPEC,DATOS!$E3347,nASIG,DATOS!$I3347,nEVAL,"EX")=0),0))))</f>
      </c>
      <c r="H3347">
        <f>IF(DATOS!$G3347&lt;&gt;"EX",0,--(COUNTIFS(nNIA,DATOS!$A3347,nCURSO,DATOS!$D3347,nESPEC,DATOS!$E3347,nASIG,DATOS!$I3347,nEVAL,"OR")=0))</f>
      </c>
      <c r="I3347">
        <f>IF(DATOS!$I3347="","",IFERROR(VLOOKUP(DATOS!$I3347,CONFIG_ASIGNATURAS!$B$2:$J$91,9,FALSE()),""))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IF(DATOS!$A3348="",0,IF(CONFIG_METADATA!$B$4&lt;&gt;"OR+EX",--(DATOS!$G3348=CONFIG_METADATA!$B$4),IF(DATOS!$G3348="EX",1,IF(DATOS!$G3348="OR",--(COUNTIFS(nNIA,DATOS!$A3348,nCURSO,DATOS!$D3348,nESPEC,DATOS!$E3348,nASIG,DATOS!$I3348,nEVAL,"EX")=0),0))))</f>
      </c>
      <c r="H3348">
        <f>IF(DATOS!$G3348&lt;&gt;"EX",0,--(COUNTIFS(nNIA,DATOS!$A3348,nCURSO,DATOS!$D3348,nESPEC,DATOS!$E3348,nASIG,DATOS!$I3348,nEVAL,"OR")=0))</f>
      </c>
      <c r="I3348">
        <f>IF(DATOS!$I3348="","",IFERROR(VLOOKUP(DATOS!$I3348,CONFIG_ASIGNATURAS!$B$2:$J$91,9,FALSE()),""))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IF(DATOS!$A3349="",0,IF(CONFIG_METADATA!$B$4&lt;&gt;"OR+EX",--(DATOS!$G3349=CONFIG_METADATA!$B$4),IF(DATOS!$G3349="EX",1,IF(DATOS!$G3349="OR",--(COUNTIFS(nNIA,DATOS!$A3349,nCURSO,DATOS!$D3349,nESPEC,DATOS!$E3349,nASIG,DATOS!$I3349,nEVAL,"EX")=0),0))))</f>
      </c>
      <c r="H3349">
        <f>IF(DATOS!$G3349&lt;&gt;"EX",0,--(COUNTIFS(nNIA,DATOS!$A3349,nCURSO,DATOS!$D3349,nESPEC,DATOS!$E3349,nASIG,DATOS!$I3349,nEVAL,"OR")=0))</f>
      </c>
      <c r="I3349">
        <f>IF(DATOS!$I3349="","",IFERROR(VLOOKUP(DATOS!$I3349,CONFIG_ASIGNATURAS!$B$2:$J$91,9,FALSE()),""))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IF(DATOS!$A3350="",0,IF(CONFIG_METADATA!$B$4&lt;&gt;"OR+EX",--(DATOS!$G3350=CONFIG_METADATA!$B$4),IF(DATOS!$G3350="EX",1,IF(DATOS!$G3350="OR",--(COUNTIFS(nNIA,DATOS!$A3350,nCURSO,DATOS!$D3350,nESPEC,DATOS!$E3350,nASIG,DATOS!$I3350,nEVAL,"EX")=0),0))))</f>
      </c>
      <c r="H3350">
        <f>IF(DATOS!$G3350&lt;&gt;"EX",0,--(COUNTIFS(nNIA,DATOS!$A3350,nCURSO,DATOS!$D3350,nESPEC,DATOS!$E3350,nASIG,DATOS!$I3350,nEVAL,"OR")=0))</f>
      </c>
      <c r="I3350">
        <f>IF(DATOS!$I3350="","",IFERROR(VLOOKUP(DATOS!$I3350,CONFIG_ASIGNATURAS!$B$2:$J$91,9,FALSE()),""))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IF(DATOS!$A3351="",0,IF(CONFIG_METADATA!$B$4&lt;&gt;"OR+EX",--(DATOS!$G3351=CONFIG_METADATA!$B$4),IF(DATOS!$G3351="EX",1,IF(DATOS!$G3351="OR",--(COUNTIFS(nNIA,DATOS!$A3351,nCURSO,DATOS!$D3351,nESPEC,DATOS!$E3351,nASIG,DATOS!$I3351,nEVAL,"EX")=0),0))))</f>
      </c>
      <c r="H3351">
        <f>IF(DATOS!$G3351&lt;&gt;"EX",0,--(COUNTIFS(nNIA,DATOS!$A3351,nCURSO,DATOS!$D3351,nESPEC,DATOS!$E3351,nASIG,DATOS!$I3351,nEVAL,"OR")=0))</f>
      </c>
      <c r="I3351">
        <f>IF(DATOS!$I3351="","",IFERROR(VLOOKUP(DATOS!$I3351,CONFIG_ASIGNATURAS!$B$2:$J$91,9,FALSE()),""))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IF(DATOS!$A3352="",0,IF(CONFIG_METADATA!$B$4&lt;&gt;"OR+EX",--(DATOS!$G3352=CONFIG_METADATA!$B$4),IF(DATOS!$G3352="EX",1,IF(DATOS!$G3352="OR",--(COUNTIFS(nNIA,DATOS!$A3352,nCURSO,DATOS!$D3352,nESPEC,DATOS!$E3352,nASIG,DATOS!$I3352,nEVAL,"EX")=0),0))))</f>
      </c>
      <c r="H3352">
        <f>IF(DATOS!$G3352&lt;&gt;"EX",0,--(COUNTIFS(nNIA,DATOS!$A3352,nCURSO,DATOS!$D3352,nESPEC,DATOS!$E3352,nASIG,DATOS!$I3352,nEVAL,"OR")=0))</f>
      </c>
      <c r="I3352">
        <f>IF(DATOS!$I3352="","",IFERROR(VLOOKUP(DATOS!$I3352,CONFIG_ASIGNATURAS!$B$2:$J$91,9,FALSE()),""))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IF(DATOS!$A3353="",0,IF(CONFIG_METADATA!$B$4&lt;&gt;"OR+EX",--(DATOS!$G3353=CONFIG_METADATA!$B$4),IF(DATOS!$G3353="EX",1,IF(DATOS!$G3353="OR",--(COUNTIFS(nNIA,DATOS!$A3353,nCURSO,DATOS!$D3353,nESPEC,DATOS!$E3353,nASIG,DATOS!$I3353,nEVAL,"EX")=0),0))))</f>
      </c>
      <c r="H3353">
        <f>IF(DATOS!$G3353&lt;&gt;"EX",0,--(COUNTIFS(nNIA,DATOS!$A3353,nCURSO,DATOS!$D3353,nESPEC,DATOS!$E3353,nASIG,DATOS!$I3353,nEVAL,"OR")=0))</f>
      </c>
      <c r="I3353">
        <f>IF(DATOS!$I3353="","",IFERROR(VLOOKUP(DATOS!$I3353,CONFIG_ASIGNATURAS!$B$2:$J$91,9,FALSE()),""))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IF(DATOS!$A3354="",0,IF(CONFIG_METADATA!$B$4&lt;&gt;"OR+EX",--(DATOS!$G3354=CONFIG_METADATA!$B$4),IF(DATOS!$G3354="EX",1,IF(DATOS!$G3354="OR",--(COUNTIFS(nNIA,DATOS!$A3354,nCURSO,DATOS!$D3354,nESPEC,DATOS!$E3354,nASIG,DATOS!$I3354,nEVAL,"EX")=0),0))))</f>
      </c>
      <c r="H3354">
        <f>IF(DATOS!$G3354&lt;&gt;"EX",0,--(COUNTIFS(nNIA,DATOS!$A3354,nCURSO,DATOS!$D3354,nESPEC,DATOS!$E3354,nASIG,DATOS!$I3354,nEVAL,"OR")=0))</f>
      </c>
      <c r="I3354">
        <f>IF(DATOS!$I3354="","",IFERROR(VLOOKUP(DATOS!$I3354,CONFIG_ASIGNATURAS!$B$2:$J$91,9,FALSE()),""))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IF(DATOS!$A3355="",0,IF(CONFIG_METADATA!$B$4&lt;&gt;"OR+EX",--(DATOS!$G3355=CONFIG_METADATA!$B$4),IF(DATOS!$G3355="EX",1,IF(DATOS!$G3355="OR",--(COUNTIFS(nNIA,DATOS!$A3355,nCURSO,DATOS!$D3355,nESPEC,DATOS!$E3355,nASIG,DATOS!$I3355,nEVAL,"EX")=0),0))))</f>
      </c>
      <c r="H3355">
        <f>IF(DATOS!$G3355&lt;&gt;"EX",0,--(COUNTIFS(nNIA,DATOS!$A3355,nCURSO,DATOS!$D3355,nESPEC,DATOS!$E3355,nASIG,DATOS!$I3355,nEVAL,"OR")=0))</f>
      </c>
      <c r="I3355">
        <f>IF(DATOS!$I3355="","",IFERROR(VLOOKUP(DATOS!$I3355,CONFIG_ASIGNATURAS!$B$2:$J$91,9,FALSE()),""))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IF(DATOS!$A3356="",0,IF(CONFIG_METADATA!$B$4&lt;&gt;"OR+EX",--(DATOS!$G3356=CONFIG_METADATA!$B$4),IF(DATOS!$G3356="EX",1,IF(DATOS!$G3356="OR",--(COUNTIFS(nNIA,DATOS!$A3356,nCURSO,DATOS!$D3356,nESPEC,DATOS!$E3356,nASIG,DATOS!$I3356,nEVAL,"EX")=0),0))))</f>
      </c>
      <c r="H3356">
        <f>IF(DATOS!$G3356&lt;&gt;"EX",0,--(COUNTIFS(nNIA,DATOS!$A3356,nCURSO,DATOS!$D3356,nESPEC,DATOS!$E3356,nASIG,DATOS!$I3356,nEVAL,"OR")=0))</f>
      </c>
      <c r="I3356">
        <f>IF(DATOS!$I3356="","",IFERROR(VLOOKUP(DATOS!$I3356,CONFIG_ASIGNATURAS!$B$2:$J$91,9,FALSE()),""))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IF(DATOS!$A3357="",0,IF(CONFIG_METADATA!$B$4&lt;&gt;"OR+EX",--(DATOS!$G3357=CONFIG_METADATA!$B$4),IF(DATOS!$G3357="EX",1,IF(DATOS!$G3357="OR",--(COUNTIFS(nNIA,DATOS!$A3357,nCURSO,DATOS!$D3357,nESPEC,DATOS!$E3357,nASIG,DATOS!$I3357,nEVAL,"EX")=0),0))))</f>
      </c>
      <c r="H3357">
        <f>IF(DATOS!$G3357&lt;&gt;"EX",0,--(COUNTIFS(nNIA,DATOS!$A3357,nCURSO,DATOS!$D3357,nESPEC,DATOS!$E3357,nASIG,DATOS!$I3357,nEVAL,"OR")=0))</f>
      </c>
      <c r="I3357">
        <f>IF(DATOS!$I3357="","",IFERROR(VLOOKUP(DATOS!$I3357,CONFIG_ASIGNATURAS!$B$2:$J$91,9,FALSE()),""))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IF(DATOS!$A3358="",0,IF(CONFIG_METADATA!$B$4&lt;&gt;"OR+EX",--(DATOS!$G3358=CONFIG_METADATA!$B$4),IF(DATOS!$G3358="EX",1,IF(DATOS!$G3358="OR",--(COUNTIFS(nNIA,DATOS!$A3358,nCURSO,DATOS!$D3358,nESPEC,DATOS!$E3358,nASIG,DATOS!$I3358,nEVAL,"EX")=0),0))))</f>
      </c>
      <c r="H3358">
        <f>IF(DATOS!$G3358&lt;&gt;"EX",0,--(COUNTIFS(nNIA,DATOS!$A3358,nCURSO,DATOS!$D3358,nESPEC,DATOS!$E3358,nASIG,DATOS!$I3358,nEVAL,"OR")=0))</f>
      </c>
      <c r="I3358">
        <f>IF(DATOS!$I3358="","",IFERROR(VLOOKUP(DATOS!$I3358,CONFIG_ASIGNATURAS!$B$2:$J$91,9,FALSE()),""))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IF(DATOS!$A3359="",0,IF(CONFIG_METADATA!$B$4&lt;&gt;"OR+EX",--(DATOS!$G3359=CONFIG_METADATA!$B$4),IF(DATOS!$G3359="EX",1,IF(DATOS!$G3359="OR",--(COUNTIFS(nNIA,DATOS!$A3359,nCURSO,DATOS!$D3359,nESPEC,DATOS!$E3359,nASIG,DATOS!$I3359,nEVAL,"EX")=0),0))))</f>
      </c>
      <c r="H3359">
        <f>IF(DATOS!$G3359&lt;&gt;"EX",0,--(COUNTIFS(nNIA,DATOS!$A3359,nCURSO,DATOS!$D3359,nESPEC,DATOS!$E3359,nASIG,DATOS!$I3359,nEVAL,"OR")=0))</f>
      </c>
      <c r="I3359">
        <f>IF(DATOS!$I3359="","",IFERROR(VLOOKUP(DATOS!$I3359,CONFIG_ASIGNATURAS!$B$2:$J$91,9,FALSE()),""))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IF(DATOS!$A3360="",0,IF(CONFIG_METADATA!$B$4&lt;&gt;"OR+EX",--(DATOS!$G3360=CONFIG_METADATA!$B$4),IF(DATOS!$G3360="EX",1,IF(DATOS!$G3360="OR",--(COUNTIFS(nNIA,DATOS!$A3360,nCURSO,DATOS!$D3360,nESPEC,DATOS!$E3360,nASIG,DATOS!$I3360,nEVAL,"EX")=0),0))))</f>
      </c>
      <c r="H3360">
        <f>IF(DATOS!$G3360&lt;&gt;"EX",0,--(COUNTIFS(nNIA,DATOS!$A3360,nCURSO,DATOS!$D3360,nESPEC,DATOS!$E3360,nASIG,DATOS!$I3360,nEVAL,"OR")=0))</f>
      </c>
      <c r="I3360">
        <f>IF(DATOS!$I3360="","",IFERROR(VLOOKUP(DATOS!$I3360,CONFIG_ASIGNATURAS!$B$2:$J$91,9,FALSE()),""))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IF(DATOS!$A3361="",0,IF(CONFIG_METADATA!$B$4&lt;&gt;"OR+EX",--(DATOS!$G3361=CONFIG_METADATA!$B$4),IF(DATOS!$G3361="EX",1,IF(DATOS!$G3361="OR",--(COUNTIFS(nNIA,DATOS!$A3361,nCURSO,DATOS!$D3361,nESPEC,DATOS!$E3361,nASIG,DATOS!$I3361,nEVAL,"EX")=0),0))))</f>
      </c>
      <c r="H3361">
        <f>IF(DATOS!$G3361&lt;&gt;"EX",0,--(COUNTIFS(nNIA,DATOS!$A3361,nCURSO,DATOS!$D3361,nESPEC,DATOS!$E3361,nASIG,DATOS!$I3361,nEVAL,"OR")=0))</f>
      </c>
      <c r="I3361">
        <f>IF(DATOS!$I3361="","",IFERROR(VLOOKUP(DATOS!$I3361,CONFIG_ASIGNATURAS!$B$2:$J$91,9,FALSE()),""))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IF(DATOS!$A3362="",0,IF(CONFIG_METADATA!$B$4&lt;&gt;"OR+EX",--(DATOS!$G3362=CONFIG_METADATA!$B$4),IF(DATOS!$G3362="EX",1,IF(DATOS!$G3362="OR",--(COUNTIFS(nNIA,DATOS!$A3362,nCURSO,DATOS!$D3362,nESPEC,DATOS!$E3362,nASIG,DATOS!$I3362,nEVAL,"EX")=0),0))))</f>
      </c>
      <c r="H3362">
        <f>IF(DATOS!$G3362&lt;&gt;"EX",0,--(COUNTIFS(nNIA,DATOS!$A3362,nCURSO,DATOS!$D3362,nESPEC,DATOS!$E3362,nASIG,DATOS!$I3362,nEVAL,"OR")=0))</f>
      </c>
      <c r="I3362">
        <f>IF(DATOS!$I3362="","",IFERROR(VLOOKUP(DATOS!$I3362,CONFIG_ASIGNATURAS!$B$2:$J$91,9,FALSE()),""))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IF(DATOS!$A3363="",0,IF(CONFIG_METADATA!$B$4&lt;&gt;"OR+EX",--(DATOS!$G3363=CONFIG_METADATA!$B$4),IF(DATOS!$G3363="EX",1,IF(DATOS!$G3363="OR",--(COUNTIFS(nNIA,DATOS!$A3363,nCURSO,DATOS!$D3363,nESPEC,DATOS!$E3363,nASIG,DATOS!$I3363,nEVAL,"EX")=0),0))))</f>
      </c>
      <c r="H3363">
        <f>IF(DATOS!$G3363&lt;&gt;"EX",0,--(COUNTIFS(nNIA,DATOS!$A3363,nCURSO,DATOS!$D3363,nESPEC,DATOS!$E3363,nASIG,DATOS!$I3363,nEVAL,"OR")=0))</f>
      </c>
      <c r="I3363">
        <f>IF(DATOS!$I3363="","",IFERROR(VLOOKUP(DATOS!$I3363,CONFIG_ASIGNATURAS!$B$2:$J$91,9,FALSE()),""))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IF(DATOS!$A3364="",0,IF(CONFIG_METADATA!$B$4&lt;&gt;"OR+EX",--(DATOS!$G3364=CONFIG_METADATA!$B$4),IF(DATOS!$G3364="EX",1,IF(DATOS!$G3364="OR",--(COUNTIFS(nNIA,DATOS!$A3364,nCURSO,DATOS!$D3364,nESPEC,DATOS!$E3364,nASIG,DATOS!$I3364,nEVAL,"EX")=0),0))))</f>
      </c>
      <c r="H3364">
        <f>IF(DATOS!$G3364&lt;&gt;"EX",0,--(COUNTIFS(nNIA,DATOS!$A3364,nCURSO,DATOS!$D3364,nESPEC,DATOS!$E3364,nASIG,DATOS!$I3364,nEVAL,"OR")=0))</f>
      </c>
      <c r="I3364">
        <f>IF(DATOS!$I3364="","",IFERROR(VLOOKUP(DATOS!$I3364,CONFIG_ASIGNATURAS!$B$2:$J$91,9,FALSE()),""))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IF(DATOS!$A3365="",0,IF(CONFIG_METADATA!$B$4&lt;&gt;"OR+EX",--(DATOS!$G3365=CONFIG_METADATA!$B$4),IF(DATOS!$G3365="EX",1,IF(DATOS!$G3365="OR",--(COUNTIFS(nNIA,DATOS!$A3365,nCURSO,DATOS!$D3365,nESPEC,DATOS!$E3365,nASIG,DATOS!$I3365,nEVAL,"EX")=0),0))))</f>
      </c>
      <c r="H3365">
        <f>IF(DATOS!$G3365&lt;&gt;"EX",0,--(COUNTIFS(nNIA,DATOS!$A3365,nCURSO,DATOS!$D3365,nESPEC,DATOS!$E3365,nASIG,DATOS!$I3365,nEVAL,"OR")=0))</f>
      </c>
      <c r="I3365">
        <f>IF(DATOS!$I3365="","",IFERROR(VLOOKUP(DATOS!$I3365,CONFIG_ASIGNATURAS!$B$2:$J$91,9,FALSE()),""))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IF(DATOS!$A3366="",0,IF(CONFIG_METADATA!$B$4&lt;&gt;"OR+EX",--(DATOS!$G3366=CONFIG_METADATA!$B$4),IF(DATOS!$G3366="EX",1,IF(DATOS!$G3366="OR",--(COUNTIFS(nNIA,DATOS!$A3366,nCURSO,DATOS!$D3366,nESPEC,DATOS!$E3366,nASIG,DATOS!$I3366,nEVAL,"EX")=0),0))))</f>
      </c>
      <c r="H3366">
        <f>IF(DATOS!$G3366&lt;&gt;"EX",0,--(COUNTIFS(nNIA,DATOS!$A3366,nCURSO,DATOS!$D3366,nESPEC,DATOS!$E3366,nASIG,DATOS!$I3366,nEVAL,"OR")=0))</f>
      </c>
      <c r="I3366">
        <f>IF(DATOS!$I3366="","",IFERROR(VLOOKUP(DATOS!$I3366,CONFIG_ASIGNATURAS!$B$2:$J$91,9,FALSE()),""))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IF(DATOS!$A3367="",0,IF(CONFIG_METADATA!$B$4&lt;&gt;"OR+EX",--(DATOS!$G3367=CONFIG_METADATA!$B$4),IF(DATOS!$G3367="EX",1,IF(DATOS!$G3367="OR",--(COUNTIFS(nNIA,DATOS!$A3367,nCURSO,DATOS!$D3367,nESPEC,DATOS!$E3367,nASIG,DATOS!$I3367,nEVAL,"EX")=0),0))))</f>
      </c>
      <c r="H3367">
        <f>IF(DATOS!$G3367&lt;&gt;"EX",0,--(COUNTIFS(nNIA,DATOS!$A3367,nCURSO,DATOS!$D3367,nESPEC,DATOS!$E3367,nASIG,DATOS!$I3367,nEVAL,"OR")=0))</f>
      </c>
      <c r="I3367">
        <f>IF(DATOS!$I3367="","",IFERROR(VLOOKUP(DATOS!$I3367,CONFIG_ASIGNATURAS!$B$2:$J$91,9,FALSE()),""))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IF(DATOS!$A3368="",0,IF(CONFIG_METADATA!$B$4&lt;&gt;"OR+EX",--(DATOS!$G3368=CONFIG_METADATA!$B$4),IF(DATOS!$G3368="EX",1,IF(DATOS!$G3368="OR",--(COUNTIFS(nNIA,DATOS!$A3368,nCURSO,DATOS!$D3368,nESPEC,DATOS!$E3368,nASIG,DATOS!$I3368,nEVAL,"EX")=0),0))))</f>
      </c>
      <c r="H3368">
        <f>IF(DATOS!$G3368&lt;&gt;"EX",0,--(COUNTIFS(nNIA,DATOS!$A3368,nCURSO,DATOS!$D3368,nESPEC,DATOS!$E3368,nASIG,DATOS!$I3368,nEVAL,"OR")=0))</f>
      </c>
      <c r="I3368">
        <f>IF(DATOS!$I3368="","",IFERROR(VLOOKUP(DATOS!$I3368,CONFIG_ASIGNATURAS!$B$2:$J$91,9,FALSE()),""))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IF(DATOS!$A3369="",0,IF(CONFIG_METADATA!$B$4&lt;&gt;"OR+EX",--(DATOS!$G3369=CONFIG_METADATA!$B$4),IF(DATOS!$G3369="EX",1,IF(DATOS!$G3369="OR",--(COUNTIFS(nNIA,DATOS!$A3369,nCURSO,DATOS!$D3369,nESPEC,DATOS!$E3369,nASIG,DATOS!$I3369,nEVAL,"EX")=0),0))))</f>
      </c>
      <c r="H3369">
        <f>IF(DATOS!$G3369&lt;&gt;"EX",0,--(COUNTIFS(nNIA,DATOS!$A3369,nCURSO,DATOS!$D3369,nESPEC,DATOS!$E3369,nASIG,DATOS!$I3369,nEVAL,"OR")=0))</f>
      </c>
      <c r="I3369">
        <f>IF(DATOS!$I3369="","",IFERROR(VLOOKUP(DATOS!$I3369,CONFIG_ASIGNATURAS!$B$2:$J$91,9,FALSE()),""))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IF(DATOS!$A3370="",0,IF(CONFIG_METADATA!$B$4&lt;&gt;"OR+EX",--(DATOS!$G3370=CONFIG_METADATA!$B$4),IF(DATOS!$G3370="EX",1,IF(DATOS!$G3370="OR",--(COUNTIFS(nNIA,DATOS!$A3370,nCURSO,DATOS!$D3370,nESPEC,DATOS!$E3370,nASIG,DATOS!$I3370,nEVAL,"EX")=0),0))))</f>
      </c>
      <c r="H3370">
        <f>IF(DATOS!$G3370&lt;&gt;"EX",0,--(COUNTIFS(nNIA,DATOS!$A3370,nCURSO,DATOS!$D3370,nESPEC,DATOS!$E3370,nASIG,DATOS!$I3370,nEVAL,"OR")=0))</f>
      </c>
      <c r="I3370">
        <f>IF(DATOS!$I3370="","",IFERROR(VLOOKUP(DATOS!$I3370,CONFIG_ASIGNATURAS!$B$2:$J$91,9,FALSE()),""))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IF(DATOS!$A3371="",0,IF(CONFIG_METADATA!$B$4&lt;&gt;"OR+EX",--(DATOS!$G3371=CONFIG_METADATA!$B$4),IF(DATOS!$G3371="EX",1,IF(DATOS!$G3371="OR",--(COUNTIFS(nNIA,DATOS!$A3371,nCURSO,DATOS!$D3371,nESPEC,DATOS!$E3371,nASIG,DATOS!$I3371,nEVAL,"EX")=0),0))))</f>
      </c>
      <c r="H3371">
        <f>IF(DATOS!$G3371&lt;&gt;"EX",0,--(COUNTIFS(nNIA,DATOS!$A3371,nCURSO,DATOS!$D3371,nESPEC,DATOS!$E3371,nASIG,DATOS!$I3371,nEVAL,"OR")=0))</f>
      </c>
      <c r="I3371">
        <f>IF(DATOS!$I3371="","",IFERROR(VLOOKUP(DATOS!$I3371,CONFIG_ASIGNATURAS!$B$2:$J$91,9,FALSE()),""))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IF(DATOS!$A3372="",0,IF(CONFIG_METADATA!$B$4&lt;&gt;"OR+EX",--(DATOS!$G3372=CONFIG_METADATA!$B$4),IF(DATOS!$G3372="EX",1,IF(DATOS!$G3372="OR",--(COUNTIFS(nNIA,DATOS!$A3372,nCURSO,DATOS!$D3372,nESPEC,DATOS!$E3372,nASIG,DATOS!$I3372,nEVAL,"EX")=0),0))))</f>
      </c>
      <c r="H3372">
        <f>IF(DATOS!$G3372&lt;&gt;"EX",0,--(COUNTIFS(nNIA,DATOS!$A3372,nCURSO,DATOS!$D3372,nESPEC,DATOS!$E3372,nASIG,DATOS!$I3372,nEVAL,"OR")=0))</f>
      </c>
      <c r="I3372">
        <f>IF(DATOS!$I3372="","",IFERROR(VLOOKUP(DATOS!$I3372,CONFIG_ASIGNATURAS!$B$2:$J$91,9,FALSE()),""))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IF(DATOS!$A3373="",0,IF(CONFIG_METADATA!$B$4&lt;&gt;"OR+EX",--(DATOS!$G3373=CONFIG_METADATA!$B$4),IF(DATOS!$G3373="EX",1,IF(DATOS!$G3373="OR",--(COUNTIFS(nNIA,DATOS!$A3373,nCURSO,DATOS!$D3373,nESPEC,DATOS!$E3373,nASIG,DATOS!$I3373,nEVAL,"EX")=0),0))))</f>
      </c>
      <c r="H3373">
        <f>IF(DATOS!$G3373&lt;&gt;"EX",0,--(COUNTIFS(nNIA,DATOS!$A3373,nCURSO,DATOS!$D3373,nESPEC,DATOS!$E3373,nASIG,DATOS!$I3373,nEVAL,"OR")=0))</f>
      </c>
      <c r="I3373">
        <f>IF(DATOS!$I3373="","",IFERROR(VLOOKUP(DATOS!$I3373,CONFIG_ASIGNATURAS!$B$2:$J$91,9,FALSE()),""))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IF(DATOS!$A3374="",0,IF(CONFIG_METADATA!$B$4&lt;&gt;"OR+EX",--(DATOS!$G3374=CONFIG_METADATA!$B$4),IF(DATOS!$G3374="EX",1,IF(DATOS!$G3374="OR",--(COUNTIFS(nNIA,DATOS!$A3374,nCURSO,DATOS!$D3374,nESPEC,DATOS!$E3374,nASIG,DATOS!$I3374,nEVAL,"EX")=0),0))))</f>
      </c>
      <c r="H3374">
        <f>IF(DATOS!$G3374&lt;&gt;"EX",0,--(COUNTIFS(nNIA,DATOS!$A3374,nCURSO,DATOS!$D3374,nESPEC,DATOS!$E3374,nASIG,DATOS!$I3374,nEVAL,"OR")=0))</f>
      </c>
      <c r="I3374">
        <f>IF(DATOS!$I3374="","",IFERROR(VLOOKUP(DATOS!$I3374,CONFIG_ASIGNATURAS!$B$2:$J$91,9,FALSE()),""))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IF(DATOS!$A3375="",0,IF(CONFIG_METADATA!$B$4&lt;&gt;"OR+EX",--(DATOS!$G3375=CONFIG_METADATA!$B$4),IF(DATOS!$G3375="EX",1,IF(DATOS!$G3375="OR",--(COUNTIFS(nNIA,DATOS!$A3375,nCURSO,DATOS!$D3375,nESPEC,DATOS!$E3375,nASIG,DATOS!$I3375,nEVAL,"EX")=0),0))))</f>
      </c>
      <c r="H3375">
        <f>IF(DATOS!$G3375&lt;&gt;"EX",0,--(COUNTIFS(nNIA,DATOS!$A3375,nCURSO,DATOS!$D3375,nESPEC,DATOS!$E3375,nASIG,DATOS!$I3375,nEVAL,"OR")=0))</f>
      </c>
      <c r="I3375">
        <f>IF(DATOS!$I3375="","",IFERROR(VLOOKUP(DATOS!$I3375,CONFIG_ASIGNATURAS!$B$2:$J$91,9,FALSE()),""))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IF(DATOS!$A3376="",0,IF(CONFIG_METADATA!$B$4&lt;&gt;"OR+EX",--(DATOS!$G3376=CONFIG_METADATA!$B$4),IF(DATOS!$G3376="EX",1,IF(DATOS!$G3376="OR",--(COUNTIFS(nNIA,DATOS!$A3376,nCURSO,DATOS!$D3376,nESPEC,DATOS!$E3376,nASIG,DATOS!$I3376,nEVAL,"EX")=0),0))))</f>
      </c>
      <c r="H3376">
        <f>IF(DATOS!$G3376&lt;&gt;"EX",0,--(COUNTIFS(nNIA,DATOS!$A3376,nCURSO,DATOS!$D3376,nESPEC,DATOS!$E3376,nASIG,DATOS!$I3376,nEVAL,"OR")=0))</f>
      </c>
      <c r="I3376">
        <f>IF(DATOS!$I3376="","",IFERROR(VLOOKUP(DATOS!$I3376,CONFIG_ASIGNATURAS!$B$2:$J$91,9,FALSE()),""))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IF(DATOS!$A3377="",0,IF(CONFIG_METADATA!$B$4&lt;&gt;"OR+EX",--(DATOS!$G3377=CONFIG_METADATA!$B$4),IF(DATOS!$G3377="EX",1,IF(DATOS!$G3377="OR",--(COUNTIFS(nNIA,DATOS!$A3377,nCURSO,DATOS!$D3377,nESPEC,DATOS!$E3377,nASIG,DATOS!$I3377,nEVAL,"EX")=0),0))))</f>
      </c>
      <c r="H3377">
        <f>IF(DATOS!$G3377&lt;&gt;"EX",0,--(COUNTIFS(nNIA,DATOS!$A3377,nCURSO,DATOS!$D3377,nESPEC,DATOS!$E3377,nASIG,DATOS!$I3377,nEVAL,"OR")=0))</f>
      </c>
      <c r="I3377">
        <f>IF(DATOS!$I3377="","",IFERROR(VLOOKUP(DATOS!$I3377,CONFIG_ASIGNATURAS!$B$2:$J$91,9,FALSE()),""))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IF(DATOS!$A3378="",0,IF(CONFIG_METADATA!$B$4&lt;&gt;"OR+EX",--(DATOS!$G3378=CONFIG_METADATA!$B$4),IF(DATOS!$G3378="EX",1,IF(DATOS!$G3378="OR",--(COUNTIFS(nNIA,DATOS!$A3378,nCURSO,DATOS!$D3378,nESPEC,DATOS!$E3378,nASIG,DATOS!$I3378,nEVAL,"EX")=0),0))))</f>
      </c>
      <c r="H3378">
        <f>IF(DATOS!$G3378&lt;&gt;"EX",0,--(COUNTIFS(nNIA,DATOS!$A3378,nCURSO,DATOS!$D3378,nESPEC,DATOS!$E3378,nASIG,DATOS!$I3378,nEVAL,"OR")=0))</f>
      </c>
      <c r="I3378">
        <f>IF(DATOS!$I3378="","",IFERROR(VLOOKUP(DATOS!$I3378,CONFIG_ASIGNATURAS!$B$2:$J$91,9,FALSE()),""))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IF(DATOS!$A3379="",0,IF(CONFIG_METADATA!$B$4&lt;&gt;"OR+EX",--(DATOS!$G3379=CONFIG_METADATA!$B$4),IF(DATOS!$G3379="EX",1,IF(DATOS!$G3379="OR",--(COUNTIFS(nNIA,DATOS!$A3379,nCURSO,DATOS!$D3379,nESPEC,DATOS!$E3379,nASIG,DATOS!$I3379,nEVAL,"EX")=0),0))))</f>
      </c>
      <c r="H3379">
        <f>IF(DATOS!$G3379&lt;&gt;"EX",0,--(COUNTIFS(nNIA,DATOS!$A3379,nCURSO,DATOS!$D3379,nESPEC,DATOS!$E3379,nASIG,DATOS!$I3379,nEVAL,"OR")=0))</f>
      </c>
      <c r="I3379">
        <f>IF(DATOS!$I3379="","",IFERROR(VLOOKUP(DATOS!$I3379,CONFIG_ASIGNATURAS!$B$2:$J$91,9,FALSE()),""))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IF(DATOS!$A3380="",0,IF(CONFIG_METADATA!$B$4&lt;&gt;"OR+EX",--(DATOS!$G3380=CONFIG_METADATA!$B$4),IF(DATOS!$G3380="EX",1,IF(DATOS!$G3380="OR",--(COUNTIFS(nNIA,DATOS!$A3380,nCURSO,DATOS!$D3380,nESPEC,DATOS!$E3380,nASIG,DATOS!$I3380,nEVAL,"EX")=0),0))))</f>
      </c>
      <c r="H3380">
        <f>IF(DATOS!$G3380&lt;&gt;"EX",0,--(COUNTIFS(nNIA,DATOS!$A3380,nCURSO,DATOS!$D3380,nESPEC,DATOS!$E3380,nASIG,DATOS!$I3380,nEVAL,"OR")=0))</f>
      </c>
      <c r="I3380">
        <f>IF(DATOS!$I3380="","",IFERROR(VLOOKUP(DATOS!$I3380,CONFIG_ASIGNATURAS!$B$2:$J$91,9,FALSE()),""))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IF(DATOS!$A3381="",0,IF(CONFIG_METADATA!$B$4&lt;&gt;"OR+EX",--(DATOS!$G3381=CONFIG_METADATA!$B$4),IF(DATOS!$G3381="EX",1,IF(DATOS!$G3381="OR",--(COUNTIFS(nNIA,DATOS!$A3381,nCURSO,DATOS!$D3381,nESPEC,DATOS!$E3381,nASIG,DATOS!$I3381,nEVAL,"EX")=0),0))))</f>
      </c>
      <c r="H3381">
        <f>IF(DATOS!$G3381&lt;&gt;"EX",0,--(COUNTIFS(nNIA,DATOS!$A3381,nCURSO,DATOS!$D3381,nESPEC,DATOS!$E3381,nASIG,DATOS!$I3381,nEVAL,"OR")=0))</f>
      </c>
      <c r="I3381">
        <f>IF(DATOS!$I3381="","",IFERROR(VLOOKUP(DATOS!$I3381,CONFIG_ASIGNATURAS!$B$2:$J$91,9,FALSE()),""))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IF(DATOS!$A3382="",0,IF(CONFIG_METADATA!$B$4&lt;&gt;"OR+EX",--(DATOS!$G3382=CONFIG_METADATA!$B$4),IF(DATOS!$G3382="EX",1,IF(DATOS!$G3382="OR",--(COUNTIFS(nNIA,DATOS!$A3382,nCURSO,DATOS!$D3382,nESPEC,DATOS!$E3382,nASIG,DATOS!$I3382,nEVAL,"EX")=0),0))))</f>
      </c>
      <c r="H3382">
        <f>IF(DATOS!$G3382&lt;&gt;"EX",0,--(COUNTIFS(nNIA,DATOS!$A3382,nCURSO,DATOS!$D3382,nESPEC,DATOS!$E3382,nASIG,DATOS!$I3382,nEVAL,"OR")=0))</f>
      </c>
      <c r="I3382">
        <f>IF(DATOS!$I3382="","",IFERROR(VLOOKUP(DATOS!$I3382,CONFIG_ASIGNATURAS!$B$2:$J$91,9,FALSE()),""))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IF(DATOS!$A3383="",0,IF(CONFIG_METADATA!$B$4&lt;&gt;"OR+EX",--(DATOS!$G3383=CONFIG_METADATA!$B$4),IF(DATOS!$G3383="EX",1,IF(DATOS!$G3383="OR",--(COUNTIFS(nNIA,DATOS!$A3383,nCURSO,DATOS!$D3383,nESPEC,DATOS!$E3383,nASIG,DATOS!$I3383,nEVAL,"EX")=0),0))))</f>
      </c>
      <c r="H3383">
        <f>IF(DATOS!$G3383&lt;&gt;"EX",0,--(COUNTIFS(nNIA,DATOS!$A3383,nCURSO,DATOS!$D3383,nESPEC,DATOS!$E3383,nASIG,DATOS!$I3383,nEVAL,"OR")=0))</f>
      </c>
      <c r="I3383">
        <f>IF(DATOS!$I3383="","",IFERROR(VLOOKUP(DATOS!$I3383,CONFIG_ASIGNATURAS!$B$2:$J$91,9,FALSE()),""))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IF(DATOS!$A3384="",0,IF(CONFIG_METADATA!$B$4&lt;&gt;"OR+EX",--(DATOS!$G3384=CONFIG_METADATA!$B$4),IF(DATOS!$G3384="EX",1,IF(DATOS!$G3384="OR",--(COUNTIFS(nNIA,DATOS!$A3384,nCURSO,DATOS!$D3384,nESPEC,DATOS!$E3384,nASIG,DATOS!$I3384,nEVAL,"EX")=0),0))))</f>
      </c>
      <c r="H3384">
        <f>IF(DATOS!$G3384&lt;&gt;"EX",0,--(COUNTIFS(nNIA,DATOS!$A3384,nCURSO,DATOS!$D3384,nESPEC,DATOS!$E3384,nASIG,DATOS!$I3384,nEVAL,"OR")=0))</f>
      </c>
      <c r="I3384">
        <f>IF(DATOS!$I3384="","",IFERROR(VLOOKUP(DATOS!$I3384,CONFIG_ASIGNATURAS!$B$2:$J$91,9,FALSE()),""))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IF(DATOS!$A3385="",0,IF(CONFIG_METADATA!$B$4&lt;&gt;"OR+EX",--(DATOS!$G3385=CONFIG_METADATA!$B$4),IF(DATOS!$G3385="EX",1,IF(DATOS!$G3385="OR",--(COUNTIFS(nNIA,DATOS!$A3385,nCURSO,DATOS!$D3385,nESPEC,DATOS!$E3385,nASIG,DATOS!$I3385,nEVAL,"EX")=0),0))))</f>
      </c>
      <c r="H3385">
        <f>IF(DATOS!$G3385&lt;&gt;"EX",0,--(COUNTIFS(nNIA,DATOS!$A3385,nCURSO,DATOS!$D3385,nESPEC,DATOS!$E3385,nASIG,DATOS!$I3385,nEVAL,"OR")=0))</f>
      </c>
      <c r="I3385">
        <f>IF(DATOS!$I3385="","",IFERROR(VLOOKUP(DATOS!$I3385,CONFIG_ASIGNATURAS!$B$2:$J$91,9,FALSE()),""))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IF(DATOS!$A3386="",0,IF(CONFIG_METADATA!$B$4&lt;&gt;"OR+EX",--(DATOS!$G3386=CONFIG_METADATA!$B$4),IF(DATOS!$G3386="EX",1,IF(DATOS!$G3386="OR",--(COUNTIFS(nNIA,DATOS!$A3386,nCURSO,DATOS!$D3386,nESPEC,DATOS!$E3386,nASIG,DATOS!$I3386,nEVAL,"EX")=0),0))))</f>
      </c>
      <c r="H3386">
        <f>IF(DATOS!$G3386&lt;&gt;"EX",0,--(COUNTIFS(nNIA,DATOS!$A3386,nCURSO,DATOS!$D3386,nESPEC,DATOS!$E3386,nASIG,DATOS!$I3386,nEVAL,"OR")=0))</f>
      </c>
      <c r="I3386">
        <f>IF(DATOS!$I3386="","",IFERROR(VLOOKUP(DATOS!$I3386,CONFIG_ASIGNATURAS!$B$2:$J$91,9,FALSE()),""))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IF(DATOS!$A3387="",0,IF(CONFIG_METADATA!$B$4&lt;&gt;"OR+EX",--(DATOS!$G3387=CONFIG_METADATA!$B$4),IF(DATOS!$G3387="EX",1,IF(DATOS!$G3387="OR",--(COUNTIFS(nNIA,DATOS!$A3387,nCURSO,DATOS!$D3387,nESPEC,DATOS!$E3387,nASIG,DATOS!$I3387,nEVAL,"EX")=0),0))))</f>
      </c>
      <c r="H3387">
        <f>IF(DATOS!$G3387&lt;&gt;"EX",0,--(COUNTIFS(nNIA,DATOS!$A3387,nCURSO,DATOS!$D3387,nESPEC,DATOS!$E3387,nASIG,DATOS!$I3387,nEVAL,"OR")=0))</f>
      </c>
      <c r="I3387">
        <f>IF(DATOS!$I3387="","",IFERROR(VLOOKUP(DATOS!$I3387,CONFIG_ASIGNATURAS!$B$2:$J$91,9,FALSE()),""))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IF(DATOS!$A3388="",0,IF(CONFIG_METADATA!$B$4&lt;&gt;"OR+EX",--(DATOS!$G3388=CONFIG_METADATA!$B$4),IF(DATOS!$G3388="EX",1,IF(DATOS!$G3388="OR",--(COUNTIFS(nNIA,DATOS!$A3388,nCURSO,DATOS!$D3388,nESPEC,DATOS!$E3388,nASIG,DATOS!$I3388,nEVAL,"EX")=0),0))))</f>
      </c>
      <c r="H3388">
        <f>IF(DATOS!$G3388&lt;&gt;"EX",0,--(COUNTIFS(nNIA,DATOS!$A3388,nCURSO,DATOS!$D3388,nESPEC,DATOS!$E3388,nASIG,DATOS!$I3388,nEVAL,"OR")=0))</f>
      </c>
      <c r="I3388">
        <f>IF(DATOS!$I3388="","",IFERROR(VLOOKUP(DATOS!$I3388,CONFIG_ASIGNATURAS!$B$2:$J$91,9,FALSE()),""))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IF(DATOS!$A3389="",0,IF(CONFIG_METADATA!$B$4&lt;&gt;"OR+EX",--(DATOS!$G3389=CONFIG_METADATA!$B$4),IF(DATOS!$G3389="EX",1,IF(DATOS!$G3389="OR",--(COUNTIFS(nNIA,DATOS!$A3389,nCURSO,DATOS!$D3389,nESPEC,DATOS!$E3389,nASIG,DATOS!$I3389,nEVAL,"EX")=0),0))))</f>
      </c>
      <c r="H3389">
        <f>IF(DATOS!$G3389&lt;&gt;"EX",0,--(COUNTIFS(nNIA,DATOS!$A3389,nCURSO,DATOS!$D3389,nESPEC,DATOS!$E3389,nASIG,DATOS!$I3389,nEVAL,"OR")=0))</f>
      </c>
      <c r="I3389">
        <f>IF(DATOS!$I3389="","",IFERROR(VLOOKUP(DATOS!$I3389,CONFIG_ASIGNATURAS!$B$2:$J$91,9,FALSE()),""))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IF(DATOS!$A3390="",0,IF(CONFIG_METADATA!$B$4&lt;&gt;"OR+EX",--(DATOS!$G3390=CONFIG_METADATA!$B$4),IF(DATOS!$G3390="EX",1,IF(DATOS!$G3390="OR",--(COUNTIFS(nNIA,DATOS!$A3390,nCURSO,DATOS!$D3390,nESPEC,DATOS!$E3390,nASIG,DATOS!$I3390,nEVAL,"EX")=0),0))))</f>
      </c>
      <c r="H3390">
        <f>IF(DATOS!$G3390&lt;&gt;"EX",0,--(COUNTIFS(nNIA,DATOS!$A3390,nCURSO,DATOS!$D3390,nESPEC,DATOS!$E3390,nASIG,DATOS!$I3390,nEVAL,"OR")=0))</f>
      </c>
      <c r="I3390">
        <f>IF(DATOS!$I3390="","",IFERROR(VLOOKUP(DATOS!$I3390,CONFIG_ASIGNATURAS!$B$2:$J$91,9,FALSE()),""))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IF(DATOS!$A3391="",0,IF(CONFIG_METADATA!$B$4&lt;&gt;"OR+EX",--(DATOS!$G3391=CONFIG_METADATA!$B$4),IF(DATOS!$G3391="EX",1,IF(DATOS!$G3391="OR",--(COUNTIFS(nNIA,DATOS!$A3391,nCURSO,DATOS!$D3391,nESPEC,DATOS!$E3391,nASIG,DATOS!$I3391,nEVAL,"EX")=0),0))))</f>
      </c>
      <c r="H3391">
        <f>IF(DATOS!$G3391&lt;&gt;"EX",0,--(COUNTIFS(nNIA,DATOS!$A3391,nCURSO,DATOS!$D3391,nESPEC,DATOS!$E3391,nASIG,DATOS!$I3391,nEVAL,"OR")=0))</f>
      </c>
      <c r="I3391">
        <f>IF(DATOS!$I3391="","",IFERROR(VLOOKUP(DATOS!$I3391,CONFIG_ASIGNATURAS!$B$2:$J$91,9,FALSE()),""))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IF(DATOS!$A3392="",0,IF(CONFIG_METADATA!$B$4&lt;&gt;"OR+EX",--(DATOS!$G3392=CONFIG_METADATA!$B$4),IF(DATOS!$G3392="EX",1,IF(DATOS!$G3392="OR",--(COUNTIFS(nNIA,DATOS!$A3392,nCURSO,DATOS!$D3392,nESPEC,DATOS!$E3392,nASIG,DATOS!$I3392,nEVAL,"EX")=0),0))))</f>
      </c>
      <c r="H3392">
        <f>IF(DATOS!$G3392&lt;&gt;"EX",0,--(COUNTIFS(nNIA,DATOS!$A3392,nCURSO,DATOS!$D3392,nESPEC,DATOS!$E3392,nASIG,DATOS!$I3392,nEVAL,"OR")=0))</f>
      </c>
      <c r="I3392">
        <f>IF(DATOS!$I3392="","",IFERROR(VLOOKUP(DATOS!$I3392,CONFIG_ASIGNATURAS!$B$2:$J$91,9,FALSE()),""))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IF(DATOS!$A3393="",0,IF(CONFIG_METADATA!$B$4&lt;&gt;"OR+EX",--(DATOS!$G3393=CONFIG_METADATA!$B$4),IF(DATOS!$G3393="EX",1,IF(DATOS!$G3393="OR",--(COUNTIFS(nNIA,DATOS!$A3393,nCURSO,DATOS!$D3393,nESPEC,DATOS!$E3393,nASIG,DATOS!$I3393,nEVAL,"EX")=0),0))))</f>
      </c>
      <c r="H3393">
        <f>IF(DATOS!$G3393&lt;&gt;"EX",0,--(COUNTIFS(nNIA,DATOS!$A3393,nCURSO,DATOS!$D3393,nESPEC,DATOS!$E3393,nASIG,DATOS!$I3393,nEVAL,"OR")=0))</f>
      </c>
      <c r="I3393">
        <f>IF(DATOS!$I3393="","",IFERROR(VLOOKUP(DATOS!$I3393,CONFIG_ASIGNATURAS!$B$2:$J$91,9,FALSE()),""))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IF(DATOS!$A3394="",0,IF(CONFIG_METADATA!$B$4&lt;&gt;"OR+EX",--(DATOS!$G3394=CONFIG_METADATA!$B$4),IF(DATOS!$G3394="EX",1,IF(DATOS!$G3394="OR",--(COUNTIFS(nNIA,DATOS!$A3394,nCURSO,DATOS!$D3394,nESPEC,DATOS!$E3394,nASIG,DATOS!$I3394,nEVAL,"EX")=0),0))))</f>
      </c>
      <c r="H3394">
        <f>IF(DATOS!$G3394&lt;&gt;"EX",0,--(COUNTIFS(nNIA,DATOS!$A3394,nCURSO,DATOS!$D3394,nESPEC,DATOS!$E3394,nASIG,DATOS!$I3394,nEVAL,"OR")=0))</f>
      </c>
      <c r="I3394">
        <f>IF(DATOS!$I3394="","",IFERROR(VLOOKUP(DATOS!$I3394,CONFIG_ASIGNATURAS!$B$2:$J$91,9,FALSE()),""))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IF(DATOS!$A3395="",0,IF(CONFIG_METADATA!$B$4&lt;&gt;"OR+EX",--(DATOS!$G3395=CONFIG_METADATA!$B$4),IF(DATOS!$G3395="EX",1,IF(DATOS!$G3395="OR",--(COUNTIFS(nNIA,DATOS!$A3395,nCURSO,DATOS!$D3395,nESPEC,DATOS!$E3395,nASIG,DATOS!$I3395,nEVAL,"EX")=0),0))))</f>
      </c>
      <c r="H3395">
        <f>IF(DATOS!$G3395&lt;&gt;"EX",0,--(COUNTIFS(nNIA,DATOS!$A3395,nCURSO,DATOS!$D3395,nESPEC,DATOS!$E3395,nASIG,DATOS!$I3395,nEVAL,"OR")=0))</f>
      </c>
      <c r="I3395">
        <f>IF(DATOS!$I3395="","",IFERROR(VLOOKUP(DATOS!$I3395,CONFIG_ASIGNATURAS!$B$2:$J$91,9,FALSE()),""))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IF(DATOS!$A3396="",0,IF(CONFIG_METADATA!$B$4&lt;&gt;"OR+EX",--(DATOS!$G3396=CONFIG_METADATA!$B$4),IF(DATOS!$G3396="EX",1,IF(DATOS!$G3396="OR",--(COUNTIFS(nNIA,DATOS!$A3396,nCURSO,DATOS!$D3396,nESPEC,DATOS!$E3396,nASIG,DATOS!$I3396,nEVAL,"EX")=0),0))))</f>
      </c>
      <c r="H3396">
        <f>IF(DATOS!$G3396&lt;&gt;"EX",0,--(COUNTIFS(nNIA,DATOS!$A3396,nCURSO,DATOS!$D3396,nESPEC,DATOS!$E3396,nASIG,DATOS!$I3396,nEVAL,"OR")=0))</f>
      </c>
      <c r="I3396">
        <f>IF(DATOS!$I3396="","",IFERROR(VLOOKUP(DATOS!$I3396,CONFIG_ASIGNATURAS!$B$2:$J$91,9,FALSE()),""))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IF(DATOS!$A3397="",0,IF(CONFIG_METADATA!$B$4&lt;&gt;"OR+EX",--(DATOS!$G3397=CONFIG_METADATA!$B$4),IF(DATOS!$G3397="EX",1,IF(DATOS!$G3397="OR",--(COUNTIFS(nNIA,DATOS!$A3397,nCURSO,DATOS!$D3397,nESPEC,DATOS!$E3397,nASIG,DATOS!$I3397,nEVAL,"EX")=0),0))))</f>
      </c>
      <c r="H3397">
        <f>IF(DATOS!$G3397&lt;&gt;"EX",0,--(COUNTIFS(nNIA,DATOS!$A3397,nCURSO,DATOS!$D3397,nESPEC,DATOS!$E3397,nASIG,DATOS!$I3397,nEVAL,"OR")=0))</f>
      </c>
      <c r="I3397">
        <f>IF(DATOS!$I3397="","",IFERROR(VLOOKUP(DATOS!$I3397,CONFIG_ASIGNATURAS!$B$2:$J$91,9,FALSE()),""))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IF(DATOS!$A3398="",0,IF(CONFIG_METADATA!$B$4&lt;&gt;"OR+EX",--(DATOS!$G3398=CONFIG_METADATA!$B$4),IF(DATOS!$G3398="EX",1,IF(DATOS!$G3398="OR",--(COUNTIFS(nNIA,DATOS!$A3398,nCURSO,DATOS!$D3398,nESPEC,DATOS!$E3398,nASIG,DATOS!$I3398,nEVAL,"EX")=0),0))))</f>
      </c>
      <c r="H3398">
        <f>IF(DATOS!$G3398&lt;&gt;"EX",0,--(COUNTIFS(nNIA,DATOS!$A3398,nCURSO,DATOS!$D3398,nESPEC,DATOS!$E3398,nASIG,DATOS!$I3398,nEVAL,"OR")=0))</f>
      </c>
      <c r="I3398">
        <f>IF(DATOS!$I3398="","",IFERROR(VLOOKUP(DATOS!$I3398,CONFIG_ASIGNATURAS!$B$2:$J$91,9,FALSE()),""))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IF(DATOS!$A3399="",0,IF(CONFIG_METADATA!$B$4&lt;&gt;"OR+EX",--(DATOS!$G3399=CONFIG_METADATA!$B$4),IF(DATOS!$G3399="EX",1,IF(DATOS!$G3399="OR",--(COUNTIFS(nNIA,DATOS!$A3399,nCURSO,DATOS!$D3399,nESPEC,DATOS!$E3399,nASIG,DATOS!$I3399,nEVAL,"EX")=0),0))))</f>
      </c>
      <c r="H3399">
        <f>IF(DATOS!$G3399&lt;&gt;"EX",0,--(COUNTIFS(nNIA,DATOS!$A3399,nCURSO,DATOS!$D3399,nESPEC,DATOS!$E3399,nASIG,DATOS!$I3399,nEVAL,"OR")=0))</f>
      </c>
      <c r="I3399">
        <f>IF(DATOS!$I3399="","",IFERROR(VLOOKUP(DATOS!$I3399,CONFIG_ASIGNATURAS!$B$2:$J$91,9,FALSE()),""))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IF(DATOS!$A3400="",0,IF(CONFIG_METADATA!$B$4&lt;&gt;"OR+EX",--(DATOS!$G3400=CONFIG_METADATA!$B$4),IF(DATOS!$G3400="EX",1,IF(DATOS!$G3400="OR",--(COUNTIFS(nNIA,DATOS!$A3400,nCURSO,DATOS!$D3400,nESPEC,DATOS!$E3400,nASIG,DATOS!$I3400,nEVAL,"EX")=0),0))))</f>
      </c>
      <c r="H3400">
        <f>IF(DATOS!$G3400&lt;&gt;"EX",0,--(COUNTIFS(nNIA,DATOS!$A3400,nCURSO,DATOS!$D3400,nESPEC,DATOS!$E3400,nASIG,DATOS!$I3400,nEVAL,"OR")=0))</f>
      </c>
      <c r="I3400">
        <f>IF(DATOS!$I3400="","",IFERROR(VLOOKUP(DATOS!$I3400,CONFIG_ASIGNATURAS!$B$2:$J$91,9,FALSE()),""))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IF(DATOS!$A3401="",0,IF(CONFIG_METADATA!$B$4&lt;&gt;"OR+EX",--(DATOS!$G3401=CONFIG_METADATA!$B$4),IF(DATOS!$G3401="EX",1,IF(DATOS!$G3401="OR",--(COUNTIFS(nNIA,DATOS!$A3401,nCURSO,DATOS!$D3401,nESPEC,DATOS!$E3401,nASIG,DATOS!$I3401,nEVAL,"EX")=0),0))))</f>
      </c>
      <c r="H3401">
        <f>IF(DATOS!$G3401&lt;&gt;"EX",0,--(COUNTIFS(nNIA,DATOS!$A3401,nCURSO,DATOS!$D3401,nESPEC,DATOS!$E3401,nASIG,DATOS!$I3401,nEVAL,"OR")=0))</f>
      </c>
      <c r="I3401">
        <f>IF(DATOS!$I3401="","",IFERROR(VLOOKUP(DATOS!$I3401,CONFIG_ASIGNATURAS!$B$2:$J$91,9,FALSE()),""))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IF(DATOS!$A3402="",0,IF(CONFIG_METADATA!$B$4&lt;&gt;"OR+EX",--(DATOS!$G3402=CONFIG_METADATA!$B$4),IF(DATOS!$G3402="EX",1,IF(DATOS!$G3402="OR",--(COUNTIFS(nNIA,DATOS!$A3402,nCURSO,DATOS!$D3402,nESPEC,DATOS!$E3402,nASIG,DATOS!$I3402,nEVAL,"EX")=0),0))))</f>
      </c>
      <c r="H3402">
        <f>IF(DATOS!$G3402&lt;&gt;"EX",0,--(COUNTIFS(nNIA,DATOS!$A3402,nCURSO,DATOS!$D3402,nESPEC,DATOS!$E3402,nASIG,DATOS!$I3402,nEVAL,"OR")=0))</f>
      </c>
      <c r="I3402">
        <f>IF(DATOS!$I3402="","",IFERROR(VLOOKUP(DATOS!$I3402,CONFIG_ASIGNATURAS!$B$2:$J$91,9,FALSE()),""))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IF(DATOS!$A3403="",0,IF(CONFIG_METADATA!$B$4&lt;&gt;"OR+EX",--(DATOS!$G3403=CONFIG_METADATA!$B$4),IF(DATOS!$G3403="EX",1,IF(DATOS!$G3403="OR",--(COUNTIFS(nNIA,DATOS!$A3403,nCURSO,DATOS!$D3403,nESPEC,DATOS!$E3403,nASIG,DATOS!$I3403,nEVAL,"EX")=0),0))))</f>
      </c>
      <c r="H3403">
        <f>IF(DATOS!$G3403&lt;&gt;"EX",0,--(COUNTIFS(nNIA,DATOS!$A3403,nCURSO,DATOS!$D3403,nESPEC,DATOS!$E3403,nASIG,DATOS!$I3403,nEVAL,"OR")=0))</f>
      </c>
      <c r="I3403">
        <f>IF(DATOS!$I3403="","",IFERROR(VLOOKUP(DATOS!$I3403,CONFIG_ASIGNATURAS!$B$2:$J$91,9,FALSE()),""))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IF(DATOS!$A3404="",0,IF(CONFIG_METADATA!$B$4&lt;&gt;"OR+EX",--(DATOS!$G3404=CONFIG_METADATA!$B$4),IF(DATOS!$G3404="EX",1,IF(DATOS!$G3404="OR",--(COUNTIFS(nNIA,DATOS!$A3404,nCURSO,DATOS!$D3404,nESPEC,DATOS!$E3404,nASIG,DATOS!$I3404,nEVAL,"EX")=0),0))))</f>
      </c>
      <c r="H3404">
        <f>IF(DATOS!$G3404&lt;&gt;"EX",0,--(COUNTIFS(nNIA,DATOS!$A3404,nCURSO,DATOS!$D3404,nESPEC,DATOS!$E3404,nASIG,DATOS!$I3404,nEVAL,"OR")=0))</f>
      </c>
      <c r="I3404">
        <f>IF(DATOS!$I3404="","",IFERROR(VLOOKUP(DATOS!$I3404,CONFIG_ASIGNATURAS!$B$2:$J$91,9,FALSE()),""))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IF(DATOS!$A3405="",0,IF(CONFIG_METADATA!$B$4&lt;&gt;"OR+EX",--(DATOS!$G3405=CONFIG_METADATA!$B$4),IF(DATOS!$G3405="EX",1,IF(DATOS!$G3405="OR",--(COUNTIFS(nNIA,DATOS!$A3405,nCURSO,DATOS!$D3405,nESPEC,DATOS!$E3405,nASIG,DATOS!$I3405,nEVAL,"EX")=0),0))))</f>
      </c>
      <c r="H3405">
        <f>IF(DATOS!$G3405&lt;&gt;"EX",0,--(COUNTIFS(nNIA,DATOS!$A3405,nCURSO,DATOS!$D3405,nESPEC,DATOS!$E3405,nASIG,DATOS!$I3405,nEVAL,"OR")=0))</f>
      </c>
      <c r="I3405">
        <f>IF(DATOS!$I3405="","",IFERROR(VLOOKUP(DATOS!$I3405,CONFIG_ASIGNATURAS!$B$2:$J$91,9,FALSE()),""))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IF(DATOS!$A3406="",0,IF(CONFIG_METADATA!$B$4&lt;&gt;"OR+EX",--(DATOS!$G3406=CONFIG_METADATA!$B$4),IF(DATOS!$G3406="EX",1,IF(DATOS!$G3406="OR",--(COUNTIFS(nNIA,DATOS!$A3406,nCURSO,DATOS!$D3406,nESPEC,DATOS!$E3406,nASIG,DATOS!$I3406,nEVAL,"EX")=0),0))))</f>
      </c>
      <c r="H3406">
        <f>IF(DATOS!$G3406&lt;&gt;"EX",0,--(COUNTIFS(nNIA,DATOS!$A3406,nCURSO,DATOS!$D3406,nESPEC,DATOS!$E3406,nASIG,DATOS!$I3406,nEVAL,"OR")=0))</f>
      </c>
      <c r="I3406">
        <f>IF(DATOS!$I3406="","",IFERROR(VLOOKUP(DATOS!$I3406,CONFIG_ASIGNATURAS!$B$2:$J$91,9,FALSE()),""))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IF(DATOS!$A3407="",0,IF(CONFIG_METADATA!$B$4&lt;&gt;"OR+EX",--(DATOS!$G3407=CONFIG_METADATA!$B$4),IF(DATOS!$G3407="EX",1,IF(DATOS!$G3407="OR",--(COUNTIFS(nNIA,DATOS!$A3407,nCURSO,DATOS!$D3407,nESPEC,DATOS!$E3407,nASIG,DATOS!$I3407,nEVAL,"EX")=0),0))))</f>
      </c>
      <c r="H3407">
        <f>IF(DATOS!$G3407&lt;&gt;"EX",0,--(COUNTIFS(nNIA,DATOS!$A3407,nCURSO,DATOS!$D3407,nESPEC,DATOS!$E3407,nASIG,DATOS!$I3407,nEVAL,"OR")=0))</f>
      </c>
      <c r="I3407">
        <f>IF(DATOS!$I3407="","",IFERROR(VLOOKUP(DATOS!$I3407,CONFIG_ASIGNATURAS!$B$2:$J$91,9,FALSE()),""))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IF(DATOS!$A3408="",0,IF(CONFIG_METADATA!$B$4&lt;&gt;"OR+EX",--(DATOS!$G3408=CONFIG_METADATA!$B$4),IF(DATOS!$G3408="EX",1,IF(DATOS!$G3408="OR",--(COUNTIFS(nNIA,DATOS!$A3408,nCURSO,DATOS!$D3408,nESPEC,DATOS!$E3408,nASIG,DATOS!$I3408,nEVAL,"EX")=0),0))))</f>
      </c>
      <c r="H3408">
        <f>IF(DATOS!$G3408&lt;&gt;"EX",0,--(COUNTIFS(nNIA,DATOS!$A3408,nCURSO,DATOS!$D3408,nESPEC,DATOS!$E3408,nASIG,DATOS!$I3408,nEVAL,"OR")=0))</f>
      </c>
      <c r="I3408">
        <f>IF(DATOS!$I3408="","",IFERROR(VLOOKUP(DATOS!$I3408,CONFIG_ASIGNATURAS!$B$2:$J$91,9,FALSE()),""))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IF(DATOS!$A3409="",0,IF(CONFIG_METADATA!$B$4&lt;&gt;"OR+EX",--(DATOS!$G3409=CONFIG_METADATA!$B$4),IF(DATOS!$G3409="EX",1,IF(DATOS!$G3409="OR",--(COUNTIFS(nNIA,DATOS!$A3409,nCURSO,DATOS!$D3409,nESPEC,DATOS!$E3409,nASIG,DATOS!$I3409,nEVAL,"EX")=0),0))))</f>
      </c>
      <c r="H3409">
        <f>IF(DATOS!$G3409&lt;&gt;"EX",0,--(COUNTIFS(nNIA,DATOS!$A3409,nCURSO,DATOS!$D3409,nESPEC,DATOS!$E3409,nASIG,DATOS!$I3409,nEVAL,"OR")=0))</f>
      </c>
      <c r="I3409">
        <f>IF(DATOS!$I3409="","",IFERROR(VLOOKUP(DATOS!$I3409,CONFIG_ASIGNATURAS!$B$2:$J$91,9,FALSE()),""))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IF(DATOS!$A3410="",0,IF(CONFIG_METADATA!$B$4&lt;&gt;"OR+EX",--(DATOS!$G3410=CONFIG_METADATA!$B$4),IF(DATOS!$G3410="EX",1,IF(DATOS!$G3410="OR",--(COUNTIFS(nNIA,DATOS!$A3410,nCURSO,DATOS!$D3410,nESPEC,DATOS!$E3410,nASIG,DATOS!$I3410,nEVAL,"EX")=0),0))))</f>
      </c>
      <c r="H3410">
        <f>IF(DATOS!$G3410&lt;&gt;"EX",0,--(COUNTIFS(nNIA,DATOS!$A3410,nCURSO,DATOS!$D3410,nESPEC,DATOS!$E3410,nASIG,DATOS!$I3410,nEVAL,"OR")=0))</f>
      </c>
      <c r="I3410">
        <f>IF(DATOS!$I3410="","",IFERROR(VLOOKUP(DATOS!$I3410,CONFIG_ASIGNATURAS!$B$2:$J$91,9,FALSE()),""))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IF(DATOS!$A3411="",0,IF(CONFIG_METADATA!$B$4&lt;&gt;"OR+EX",--(DATOS!$G3411=CONFIG_METADATA!$B$4),IF(DATOS!$G3411="EX",1,IF(DATOS!$G3411="OR",--(COUNTIFS(nNIA,DATOS!$A3411,nCURSO,DATOS!$D3411,nESPEC,DATOS!$E3411,nASIG,DATOS!$I3411,nEVAL,"EX")=0),0))))</f>
      </c>
      <c r="H3411">
        <f>IF(DATOS!$G3411&lt;&gt;"EX",0,--(COUNTIFS(nNIA,DATOS!$A3411,nCURSO,DATOS!$D3411,nESPEC,DATOS!$E3411,nASIG,DATOS!$I3411,nEVAL,"OR")=0))</f>
      </c>
      <c r="I3411">
        <f>IF(DATOS!$I3411="","",IFERROR(VLOOKUP(DATOS!$I3411,CONFIG_ASIGNATURAS!$B$2:$J$91,9,FALSE()),""))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IF(DATOS!$A3412="",0,IF(CONFIG_METADATA!$B$4&lt;&gt;"OR+EX",--(DATOS!$G3412=CONFIG_METADATA!$B$4),IF(DATOS!$G3412="EX",1,IF(DATOS!$G3412="OR",--(COUNTIFS(nNIA,DATOS!$A3412,nCURSO,DATOS!$D3412,nESPEC,DATOS!$E3412,nASIG,DATOS!$I3412,nEVAL,"EX")=0),0))))</f>
      </c>
      <c r="H3412">
        <f>IF(DATOS!$G3412&lt;&gt;"EX",0,--(COUNTIFS(nNIA,DATOS!$A3412,nCURSO,DATOS!$D3412,nESPEC,DATOS!$E3412,nASIG,DATOS!$I3412,nEVAL,"OR")=0))</f>
      </c>
      <c r="I3412">
        <f>IF(DATOS!$I3412="","",IFERROR(VLOOKUP(DATOS!$I3412,CONFIG_ASIGNATURAS!$B$2:$J$91,9,FALSE()),""))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IF(DATOS!$A3413="",0,IF(CONFIG_METADATA!$B$4&lt;&gt;"OR+EX",--(DATOS!$G3413=CONFIG_METADATA!$B$4),IF(DATOS!$G3413="EX",1,IF(DATOS!$G3413="OR",--(COUNTIFS(nNIA,DATOS!$A3413,nCURSO,DATOS!$D3413,nESPEC,DATOS!$E3413,nASIG,DATOS!$I3413,nEVAL,"EX")=0),0))))</f>
      </c>
      <c r="H3413">
        <f>IF(DATOS!$G3413&lt;&gt;"EX",0,--(COUNTIFS(nNIA,DATOS!$A3413,nCURSO,DATOS!$D3413,nESPEC,DATOS!$E3413,nASIG,DATOS!$I3413,nEVAL,"OR")=0))</f>
      </c>
      <c r="I3413">
        <f>IF(DATOS!$I3413="","",IFERROR(VLOOKUP(DATOS!$I3413,CONFIG_ASIGNATURAS!$B$2:$J$91,9,FALSE()),""))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IF(DATOS!$A3414="",0,IF(CONFIG_METADATA!$B$4&lt;&gt;"OR+EX",--(DATOS!$G3414=CONFIG_METADATA!$B$4),IF(DATOS!$G3414="EX",1,IF(DATOS!$G3414="OR",--(COUNTIFS(nNIA,DATOS!$A3414,nCURSO,DATOS!$D3414,nESPEC,DATOS!$E3414,nASIG,DATOS!$I3414,nEVAL,"EX")=0),0))))</f>
      </c>
      <c r="H3414">
        <f>IF(DATOS!$G3414&lt;&gt;"EX",0,--(COUNTIFS(nNIA,DATOS!$A3414,nCURSO,DATOS!$D3414,nESPEC,DATOS!$E3414,nASIG,DATOS!$I3414,nEVAL,"OR")=0))</f>
      </c>
      <c r="I3414">
        <f>IF(DATOS!$I3414="","",IFERROR(VLOOKUP(DATOS!$I3414,CONFIG_ASIGNATURAS!$B$2:$J$91,9,FALSE()),""))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IF(DATOS!$A3415="",0,IF(CONFIG_METADATA!$B$4&lt;&gt;"OR+EX",--(DATOS!$G3415=CONFIG_METADATA!$B$4),IF(DATOS!$G3415="EX",1,IF(DATOS!$G3415="OR",--(COUNTIFS(nNIA,DATOS!$A3415,nCURSO,DATOS!$D3415,nESPEC,DATOS!$E3415,nASIG,DATOS!$I3415,nEVAL,"EX")=0),0))))</f>
      </c>
      <c r="H3415">
        <f>IF(DATOS!$G3415&lt;&gt;"EX",0,--(COUNTIFS(nNIA,DATOS!$A3415,nCURSO,DATOS!$D3415,nESPEC,DATOS!$E3415,nASIG,DATOS!$I3415,nEVAL,"OR")=0))</f>
      </c>
      <c r="I3415">
        <f>IF(DATOS!$I3415="","",IFERROR(VLOOKUP(DATOS!$I3415,CONFIG_ASIGNATURAS!$B$2:$J$91,9,FALSE()),""))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IF(DATOS!$A3416="",0,IF(CONFIG_METADATA!$B$4&lt;&gt;"OR+EX",--(DATOS!$G3416=CONFIG_METADATA!$B$4),IF(DATOS!$G3416="EX",1,IF(DATOS!$G3416="OR",--(COUNTIFS(nNIA,DATOS!$A3416,nCURSO,DATOS!$D3416,nESPEC,DATOS!$E3416,nASIG,DATOS!$I3416,nEVAL,"EX")=0),0))))</f>
      </c>
      <c r="H3416">
        <f>IF(DATOS!$G3416&lt;&gt;"EX",0,--(COUNTIFS(nNIA,DATOS!$A3416,nCURSO,DATOS!$D3416,nESPEC,DATOS!$E3416,nASIG,DATOS!$I3416,nEVAL,"OR")=0))</f>
      </c>
      <c r="I3416">
        <f>IF(DATOS!$I3416="","",IFERROR(VLOOKUP(DATOS!$I3416,CONFIG_ASIGNATURAS!$B$2:$J$91,9,FALSE()),""))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IF(DATOS!$A3417="",0,IF(CONFIG_METADATA!$B$4&lt;&gt;"OR+EX",--(DATOS!$G3417=CONFIG_METADATA!$B$4),IF(DATOS!$G3417="EX",1,IF(DATOS!$G3417="OR",--(COUNTIFS(nNIA,DATOS!$A3417,nCURSO,DATOS!$D3417,nESPEC,DATOS!$E3417,nASIG,DATOS!$I3417,nEVAL,"EX")=0),0))))</f>
      </c>
      <c r="H3417">
        <f>IF(DATOS!$G3417&lt;&gt;"EX",0,--(COUNTIFS(nNIA,DATOS!$A3417,nCURSO,DATOS!$D3417,nESPEC,DATOS!$E3417,nASIG,DATOS!$I3417,nEVAL,"OR")=0))</f>
      </c>
      <c r="I3417">
        <f>IF(DATOS!$I3417="","",IFERROR(VLOOKUP(DATOS!$I3417,CONFIG_ASIGNATURAS!$B$2:$J$91,9,FALSE()),""))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IF(DATOS!$A3418="",0,IF(CONFIG_METADATA!$B$4&lt;&gt;"OR+EX",--(DATOS!$G3418=CONFIG_METADATA!$B$4),IF(DATOS!$G3418="EX",1,IF(DATOS!$G3418="OR",--(COUNTIFS(nNIA,DATOS!$A3418,nCURSO,DATOS!$D3418,nESPEC,DATOS!$E3418,nASIG,DATOS!$I3418,nEVAL,"EX")=0),0))))</f>
      </c>
      <c r="H3418">
        <f>IF(DATOS!$G3418&lt;&gt;"EX",0,--(COUNTIFS(nNIA,DATOS!$A3418,nCURSO,DATOS!$D3418,nESPEC,DATOS!$E3418,nASIG,DATOS!$I3418,nEVAL,"OR")=0))</f>
      </c>
      <c r="I3418">
        <f>IF(DATOS!$I3418="","",IFERROR(VLOOKUP(DATOS!$I3418,CONFIG_ASIGNATURAS!$B$2:$J$91,9,FALSE()),""))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IF(DATOS!$A3419="",0,IF(CONFIG_METADATA!$B$4&lt;&gt;"OR+EX",--(DATOS!$G3419=CONFIG_METADATA!$B$4),IF(DATOS!$G3419="EX",1,IF(DATOS!$G3419="OR",--(COUNTIFS(nNIA,DATOS!$A3419,nCURSO,DATOS!$D3419,nESPEC,DATOS!$E3419,nASIG,DATOS!$I3419,nEVAL,"EX")=0),0))))</f>
      </c>
      <c r="H3419">
        <f>IF(DATOS!$G3419&lt;&gt;"EX",0,--(COUNTIFS(nNIA,DATOS!$A3419,nCURSO,DATOS!$D3419,nESPEC,DATOS!$E3419,nASIG,DATOS!$I3419,nEVAL,"OR")=0))</f>
      </c>
      <c r="I3419">
        <f>IF(DATOS!$I3419="","",IFERROR(VLOOKUP(DATOS!$I3419,CONFIG_ASIGNATURAS!$B$2:$J$91,9,FALSE()),""))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IF(DATOS!$A3420="",0,IF(CONFIG_METADATA!$B$4&lt;&gt;"OR+EX",--(DATOS!$G3420=CONFIG_METADATA!$B$4),IF(DATOS!$G3420="EX",1,IF(DATOS!$G3420="OR",--(COUNTIFS(nNIA,DATOS!$A3420,nCURSO,DATOS!$D3420,nESPEC,DATOS!$E3420,nASIG,DATOS!$I3420,nEVAL,"EX")=0),0))))</f>
      </c>
      <c r="H3420">
        <f>IF(DATOS!$G3420&lt;&gt;"EX",0,--(COUNTIFS(nNIA,DATOS!$A3420,nCURSO,DATOS!$D3420,nESPEC,DATOS!$E3420,nASIG,DATOS!$I3420,nEVAL,"OR")=0))</f>
      </c>
      <c r="I3420">
        <f>IF(DATOS!$I3420="","",IFERROR(VLOOKUP(DATOS!$I3420,CONFIG_ASIGNATURAS!$B$2:$J$91,9,FALSE()),""))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IF(DATOS!$A3421="",0,IF(CONFIG_METADATA!$B$4&lt;&gt;"OR+EX",--(DATOS!$G3421=CONFIG_METADATA!$B$4),IF(DATOS!$G3421="EX",1,IF(DATOS!$G3421="OR",--(COUNTIFS(nNIA,DATOS!$A3421,nCURSO,DATOS!$D3421,nESPEC,DATOS!$E3421,nASIG,DATOS!$I3421,nEVAL,"EX")=0),0))))</f>
      </c>
      <c r="H3421">
        <f>IF(DATOS!$G3421&lt;&gt;"EX",0,--(COUNTIFS(nNIA,DATOS!$A3421,nCURSO,DATOS!$D3421,nESPEC,DATOS!$E3421,nASIG,DATOS!$I3421,nEVAL,"OR")=0))</f>
      </c>
      <c r="I3421">
        <f>IF(DATOS!$I3421="","",IFERROR(VLOOKUP(DATOS!$I3421,CONFIG_ASIGNATURAS!$B$2:$J$91,9,FALSE()),""))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IF(DATOS!$A3422="",0,IF(CONFIG_METADATA!$B$4&lt;&gt;"OR+EX",--(DATOS!$G3422=CONFIG_METADATA!$B$4),IF(DATOS!$G3422="EX",1,IF(DATOS!$G3422="OR",--(COUNTIFS(nNIA,DATOS!$A3422,nCURSO,DATOS!$D3422,nESPEC,DATOS!$E3422,nASIG,DATOS!$I3422,nEVAL,"EX")=0),0))))</f>
      </c>
      <c r="H3422">
        <f>IF(DATOS!$G3422&lt;&gt;"EX",0,--(COUNTIFS(nNIA,DATOS!$A3422,nCURSO,DATOS!$D3422,nESPEC,DATOS!$E3422,nASIG,DATOS!$I3422,nEVAL,"OR")=0))</f>
      </c>
      <c r="I3422">
        <f>IF(DATOS!$I3422="","",IFERROR(VLOOKUP(DATOS!$I3422,CONFIG_ASIGNATURAS!$B$2:$J$91,9,FALSE()),""))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IF(DATOS!$A3423="",0,IF(CONFIG_METADATA!$B$4&lt;&gt;"OR+EX",--(DATOS!$G3423=CONFIG_METADATA!$B$4),IF(DATOS!$G3423="EX",1,IF(DATOS!$G3423="OR",--(COUNTIFS(nNIA,DATOS!$A3423,nCURSO,DATOS!$D3423,nESPEC,DATOS!$E3423,nASIG,DATOS!$I3423,nEVAL,"EX")=0),0))))</f>
      </c>
      <c r="H3423">
        <f>IF(DATOS!$G3423&lt;&gt;"EX",0,--(COUNTIFS(nNIA,DATOS!$A3423,nCURSO,DATOS!$D3423,nESPEC,DATOS!$E3423,nASIG,DATOS!$I3423,nEVAL,"OR")=0))</f>
      </c>
      <c r="I3423">
        <f>IF(DATOS!$I3423="","",IFERROR(VLOOKUP(DATOS!$I3423,CONFIG_ASIGNATURAS!$B$2:$J$91,9,FALSE()),""))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IF(DATOS!$A3424="",0,IF(CONFIG_METADATA!$B$4&lt;&gt;"OR+EX",--(DATOS!$G3424=CONFIG_METADATA!$B$4),IF(DATOS!$G3424="EX",1,IF(DATOS!$G3424="OR",--(COUNTIFS(nNIA,DATOS!$A3424,nCURSO,DATOS!$D3424,nESPEC,DATOS!$E3424,nASIG,DATOS!$I3424,nEVAL,"EX")=0),0))))</f>
      </c>
      <c r="H3424">
        <f>IF(DATOS!$G3424&lt;&gt;"EX",0,--(COUNTIFS(nNIA,DATOS!$A3424,nCURSO,DATOS!$D3424,nESPEC,DATOS!$E3424,nASIG,DATOS!$I3424,nEVAL,"OR")=0))</f>
      </c>
      <c r="I3424">
        <f>IF(DATOS!$I3424="","",IFERROR(VLOOKUP(DATOS!$I3424,CONFIG_ASIGNATURAS!$B$2:$J$91,9,FALSE()),""))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IF(DATOS!$A3425="",0,IF(CONFIG_METADATA!$B$4&lt;&gt;"OR+EX",--(DATOS!$G3425=CONFIG_METADATA!$B$4),IF(DATOS!$G3425="EX",1,IF(DATOS!$G3425="OR",--(COUNTIFS(nNIA,DATOS!$A3425,nCURSO,DATOS!$D3425,nESPEC,DATOS!$E3425,nASIG,DATOS!$I3425,nEVAL,"EX")=0),0))))</f>
      </c>
      <c r="H3425">
        <f>IF(DATOS!$G3425&lt;&gt;"EX",0,--(COUNTIFS(nNIA,DATOS!$A3425,nCURSO,DATOS!$D3425,nESPEC,DATOS!$E3425,nASIG,DATOS!$I3425,nEVAL,"OR")=0))</f>
      </c>
      <c r="I3425">
        <f>IF(DATOS!$I3425="","",IFERROR(VLOOKUP(DATOS!$I3425,CONFIG_ASIGNATURAS!$B$2:$J$91,9,FALSE()),""))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IF(DATOS!$A3426="",0,IF(CONFIG_METADATA!$B$4&lt;&gt;"OR+EX",--(DATOS!$G3426=CONFIG_METADATA!$B$4),IF(DATOS!$G3426="EX",1,IF(DATOS!$G3426="OR",--(COUNTIFS(nNIA,DATOS!$A3426,nCURSO,DATOS!$D3426,nESPEC,DATOS!$E3426,nASIG,DATOS!$I3426,nEVAL,"EX")=0),0))))</f>
      </c>
      <c r="H3426">
        <f>IF(DATOS!$G3426&lt;&gt;"EX",0,--(COUNTIFS(nNIA,DATOS!$A3426,nCURSO,DATOS!$D3426,nESPEC,DATOS!$E3426,nASIG,DATOS!$I3426,nEVAL,"OR")=0))</f>
      </c>
      <c r="I3426">
        <f>IF(DATOS!$I3426="","",IFERROR(VLOOKUP(DATOS!$I3426,CONFIG_ASIGNATURAS!$B$2:$J$91,9,FALSE()),""))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IF(DATOS!$A3427="",0,IF(CONFIG_METADATA!$B$4&lt;&gt;"OR+EX",--(DATOS!$G3427=CONFIG_METADATA!$B$4),IF(DATOS!$G3427="EX",1,IF(DATOS!$G3427="OR",--(COUNTIFS(nNIA,DATOS!$A3427,nCURSO,DATOS!$D3427,nESPEC,DATOS!$E3427,nASIG,DATOS!$I3427,nEVAL,"EX")=0),0))))</f>
      </c>
      <c r="H3427">
        <f>IF(DATOS!$G3427&lt;&gt;"EX",0,--(COUNTIFS(nNIA,DATOS!$A3427,nCURSO,DATOS!$D3427,nESPEC,DATOS!$E3427,nASIG,DATOS!$I3427,nEVAL,"OR")=0))</f>
      </c>
      <c r="I3427">
        <f>IF(DATOS!$I3427="","",IFERROR(VLOOKUP(DATOS!$I3427,CONFIG_ASIGNATURAS!$B$2:$J$91,9,FALSE()),""))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IF(DATOS!$A3428="",0,IF(CONFIG_METADATA!$B$4&lt;&gt;"OR+EX",--(DATOS!$G3428=CONFIG_METADATA!$B$4),IF(DATOS!$G3428="EX",1,IF(DATOS!$G3428="OR",--(COUNTIFS(nNIA,DATOS!$A3428,nCURSO,DATOS!$D3428,nESPEC,DATOS!$E3428,nASIG,DATOS!$I3428,nEVAL,"EX")=0),0))))</f>
      </c>
      <c r="H3428">
        <f>IF(DATOS!$G3428&lt;&gt;"EX",0,--(COUNTIFS(nNIA,DATOS!$A3428,nCURSO,DATOS!$D3428,nESPEC,DATOS!$E3428,nASIG,DATOS!$I3428,nEVAL,"OR")=0))</f>
      </c>
      <c r="I3428">
        <f>IF(DATOS!$I3428="","",IFERROR(VLOOKUP(DATOS!$I3428,CONFIG_ASIGNATURAS!$B$2:$J$91,9,FALSE()),""))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IF(DATOS!$A3429="",0,IF(CONFIG_METADATA!$B$4&lt;&gt;"OR+EX",--(DATOS!$G3429=CONFIG_METADATA!$B$4),IF(DATOS!$G3429="EX",1,IF(DATOS!$G3429="OR",--(COUNTIFS(nNIA,DATOS!$A3429,nCURSO,DATOS!$D3429,nESPEC,DATOS!$E3429,nASIG,DATOS!$I3429,nEVAL,"EX")=0),0))))</f>
      </c>
      <c r="H3429">
        <f>IF(DATOS!$G3429&lt;&gt;"EX",0,--(COUNTIFS(nNIA,DATOS!$A3429,nCURSO,DATOS!$D3429,nESPEC,DATOS!$E3429,nASIG,DATOS!$I3429,nEVAL,"OR")=0))</f>
      </c>
      <c r="I3429">
        <f>IF(DATOS!$I3429="","",IFERROR(VLOOKUP(DATOS!$I3429,CONFIG_ASIGNATURAS!$B$2:$J$91,9,FALSE()),""))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IF(DATOS!$A3430="",0,IF(CONFIG_METADATA!$B$4&lt;&gt;"OR+EX",--(DATOS!$G3430=CONFIG_METADATA!$B$4),IF(DATOS!$G3430="EX",1,IF(DATOS!$G3430="OR",--(COUNTIFS(nNIA,DATOS!$A3430,nCURSO,DATOS!$D3430,nESPEC,DATOS!$E3430,nASIG,DATOS!$I3430,nEVAL,"EX")=0),0))))</f>
      </c>
      <c r="H3430">
        <f>IF(DATOS!$G3430&lt;&gt;"EX",0,--(COUNTIFS(nNIA,DATOS!$A3430,nCURSO,DATOS!$D3430,nESPEC,DATOS!$E3430,nASIG,DATOS!$I3430,nEVAL,"OR")=0))</f>
      </c>
      <c r="I3430">
        <f>IF(DATOS!$I3430="","",IFERROR(VLOOKUP(DATOS!$I3430,CONFIG_ASIGNATURAS!$B$2:$J$91,9,FALSE()),""))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IF(DATOS!$A3431="",0,IF(CONFIG_METADATA!$B$4&lt;&gt;"OR+EX",--(DATOS!$G3431=CONFIG_METADATA!$B$4),IF(DATOS!$G3431="EX",1,IF(DATOS!$G3431="OR",--(COUNTIFS(nNIA,DATOS!$A3431,nCURSO,DATOS!$D3431,nESPEC,DATOS!$E3431,nASIG,DATOS!$I3431,nEVAL,"EX")=0),0))))</f>
      </c>
      <c r="H3431">
        <f>IF(DATOS!$G3431&lt;&gt;"EX",0,--(COUNTIFS(nNIA,DATOS!$A3431,nCURSO,DATOS!$D3431,nESPEC,DATOS!$E3431,nASIG,DATOS!$I3431,nEVAL,"OR")=0))</f>
      </c>
      <c r="I3431">
        <f>IF(DATOS!$I3431="","",IFERROR(VLOOKUP(DATOS!$I3431,CONFIG_ASIGNATURAS!$B$2:$J$91,9,FALSE()),""))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IF(DATOS!$A3432="",0,IF(CONFIG_METADATA!$B$4&lt;&gt;"OR+EX",--(DATOS!$G3432=CONFIG_METADATA!$B$4),IF(DATOS!$G3432="EX",1,IF(DATOS!$G3432="OR",--(COUNTIFS(nNIA,DATOS!$A3432,nCURSO,DATOS!$D3432,nESPEC,DATOS!$E3432,nASIG,DATOS!$I3432,nEVAL,"EX")=0),0))))</f>
      </c>
      <c r="H3432">
        <f>IF(DATOS!$G3432&lt;&gt;"EX",0,--(COUNTIFS(nNIA,DATOS!$A3432,nCURSO,DATOS!$D3432,nESPEC,DATOS!$E3432,nASIG,DATOS!$I3432,nEVAL,"OR")=0))</f>
      </c>
      <c r="I3432">
        <f>IF(DATOS!$I3432="","",IFERROR(VLOOKUP(DATOS!$I3432,CONFIG_ASIGNATURAS!$B$2:$J$91,9,FALSE()),""))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IF(DATOS!$A3433="",0,IF(CONFIG_METADATA!$B$4&lt;&gt;"OR+EX",--(DATOS!$G3433=CONFIG_METADATA!$B$4),IF(DATOS!$G3433="EX",1,IF(DATOS!$G3433="OR",--(COUNTIFS(nNIA,DATOS!$A3433,nCURSO,DATOS!$D3433,nESPEC,DATOS!$E3433,nASIG,DATOS!$I3433,nEVAL,"EX")=0),0))))</f>
      </c>
      <c r="H3433">
        <f>IF(DATOS!$G3433&lt;&gt;"EX",0,--(COUNTIFS(nNIA,DATOS!$A3433,nCURSO,DATOS!$D3433,nESPEC,DATOS!$E3433,nASIG,DATOS!$I3433,nEVAL,"OR")=0))</f>
      </c>
      <c r="I3433">
        <f>IF(DATOS!$I3433="","",IFERROR(VLOOKUP(DATOS!$I3433,CONFIG_ASIGNATURAS!$B$2:$J$91,9,FALSE()),""))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IF(DATOS!$A3434="",0,IF(CONFIG_METADATA!$B$4&lt;&gt;"OR+EX",--(DATOS!$G3434=CONFIG_METADATA!$B$4),IF(DATOS!$G3434="EX",1,IF(DATOS!$G3434="OR",--(COUNTIFS(nNIA,DATOS!$A3434,nCURSO,DATOS!$D3434,nESPEC,DATOS!$E3434,nASIG,DATOS!$I3434,nEVAL,"EX")=0),0))))</f>
      </c>
      <c r="H3434">
        <f>IF(DATOS!$G3434&lt;&gt;"EX",0,--(COUNTIFS(nNIA,DATOS!$A3434,nCURSO,DATOS!$D3434,nESPEC,DATOS!$E3434,nASIG,DATOS!$I3434,nEVAL,"OR")=0))</f>
      </c>
      <c r="I3434">
        <f>IF(DATOS!$I3434="","",IFERROR(VLOOKUP(DATOS!$I3434,CONFIG_ASIGNATURAS!$B$2:$J$91,9,FALSE()),""))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IF(DATOS!$A3435="",0,IF(CONFIG_METADATA!$B$4&lt;&gt;"OR+EX",--(DATOS!$G3435=CONFIG_METADATA!$B$4),IF(DATOS!$G3435="EX",1,IF(DATOS!$G3435="OR",--(COUNTIFS(nNIA,DATOS!$A3435,nCURSO,DATOS!$D3435,nESPEC,DATOS!$E3435,nASIG,DATOS!$I3435,nEVAL,"EX")=0),0))))</f>
      </c>
      <c r="H3435">
        <f>IF(DATOS!$G3435&lt;&gt;"EX",0,--(COUNTIFS(nNIA,DATOS!$A3435,nCURSO,DATOS!$D3435,nESPEC,DATOS!$E3435,nASIG,DATOS!$I3435,nEVAL,"OR")=0))</f>
      </c>
      <c r="I3435">
        <f>IF(DATOS!$I3435="","",IFERROR(VLOOKUP(DATOS!$I3435,CONFIG_ASIGNATURAS!$B$2:$J$91,9,FALSE()),""))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IF(DATOS!$A3436="",0,IF(CONFIG_METADATA!$B$4&lt;&gt;"OR+EX",--(DATOS!$G3436=CONFIG_METADATA!$B$4),IF(DATOS!$G3436="EX",1,IF(DATOS!$G3436="OR",--(COUNTIFS(nNIA,DATOS!$A3436,nCURSO,DATOS!$D3436,nESPEC,DATOS!$E3436,nASIG,DATOS!$I3436,nEVAL,"EX")=0),0))))</f>
      </c>
      <c r="H3436">
        <f>IF(DATOS!$G3436&lt;&gt;"EX",0,--(COUNTIFS(nNIA,DATOS!$A3436,nCURSO,DATOS!$D3436,nESPEC,DATOS!$E3436,nASIG,DATOS!$I3436,nEVAL,"OR")=0))</f>
      </c>
      <c r="I3436">
        <f>IF(DATOS!$I3436="","",IFERROR(VLOOKUP(DATOS!$I3436,CONFIG_ASIGNATURAS!$B$2:$J$91,9,FALSE()),""))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IF(DATOS!$A3437="",0,IF(CONFIG_METADATA!$B$4&lt;&gt;"OR+EX",--(DATOS!$G3437=CONFIG_METADATA!$B$4),IF(DATOS!$G3437="EX",1,IF(DATOS!$G3437="OR",--(COUNTIFS(nNIA,DATOS!$A3437,nCURSO,DATOS!$D3437,nESPEC,DATOS!$E3437,nASIG,DATOS!$I3437,nEVAL,"EX")=0),0))))</f>
      </c>
      <c r="H3437">
        <f>IF(DATOS!$G3437&lt;&gt;"EX",0,--(COUNTIFS(nNIA,DATOS!$A3437,nCURSO,DATOS!$D3437,nESPEC,DATOS!$E3437,nASIG,DATOS!$I3437,nEVAL,"OR")=0))</f>
      </c>
      <c r="I3437">
        <f>IF(DATOS!$I3437="","",IFERROR(VLOOKUP(DATOS!$I3437,CONFIG_ASIGNATURAS!$B$2:$J$91,9,FALSE()),""))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IF(DATOS!$A3438="",0,IF(CONFIG_METADATA!$B$4&lt;&gt;"OR+EX",--(DATOS!$G3438=CONFIG_METADATA!$B$4),IF(DATOS!$G3438="EX",1,IF(DATOS!$G3438="OR",--(COUNTIFS(nNIA,DATOS!$A3438,nCURSO,DATOS!$D3438,nESPEC,DATOS!$E3438,nASIG,DATOS!$I3438,nEVAL,"EX")=0),0))))</f>
      </c>
      <c r="H3438">
        <f>IF(DATOS!$G3438&lt;&gt;"EX",0,--(COUNTIFS(nNIA,DATOS!$A3438,nCURSO,DATOS!$D3438,nESPEC,DATOS!$E3438,nASIG,DATOS!$I3438,nEVAL,"OR")=0))</f>
      </c>
      <c r="I3438">
        <f>IF(DATOS!$I3438="","",IFERROR(VLOOKUP(DATOS!$I3438,CONFIG_ASIGNATURAS!$B$2:$J$91,9,FALSE()),""))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IF(DATOS!$A3439="",0,IF(CONFIG_METADATA!$B$4&lt;&gt;"OR+EX",--(DATOS!$G3439=CONFIG_METADATA!$B$4),IF(DATOS!$G3439="EX",1,IF(DATOS!$G3439="OR",--(COUNTIFS(nNIA,DATOS!$A3439,nCURSO,DATOS!$D3439,nESPEC,DATOS!$E3439,nASIG,DATOS!$I3439,nEVAL,"EX")=0),0))))</f>
      </c>
      <c r="H3439">
        <f>IF(DATOS!$G3439&lt;&gt;"EX",0,--(COUNTIFS(nNIA,DATOS!$A3439,nCURSO,DATOS!$D3439,nESPEC,DATOS!$E3439,nASIG,DATOS!$I3439,nEVAL,"OR")=0))</f>
      </c>
      <c r="I3439">
        <f>IF(DATOS!$I3439="","",IFERROR(VLOOKUP(DATOS!$I3439,CONFIG_ASIGNATURAS!$B$2:$J$91,9,FALSE()),""))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IF(DATOS!$A3440="",0,IF(CONFIG_METADATA!$B$4&lt;&gt;"OR+EX",--(DATOS!$G3440=CONFIG_METADATA!$B$4),IF(DATOS!$G3440="EX",1,IF(DATOS!$G3440="OR",--(COUNTIFS(nNIA,DATOS!$A3440,nCURSO,DATOS!$D3440,nESPEC,DATOS!$E3440,nASIG,DATOS!$I3440,nEVAL,"EX")=0),0))))</f>
      </c>
      <c r="H3440">
        <f>IF(DATOS!$G3440&lt;&gt;"EX",0,--(COUNTIFS(nNIA,DATOS!$A3440,nCURSO,DATOS!$D3440,nESPEC,DATOS!$E3440,nASIG,DATOS!$I3440,nEVAL,"OR")=0))</f>
      </c>
      <c r="I3440">
        <f>IF(DATOS!$I3440="","",IFERROR(VLOOKUP(DATOS!$I3440,CONFIG_ASIGNATURAS!$B$2:$J$91,9,FALSE()),""))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IF(DATOS!$A3441="",0,IF(CONFIG_METADATA!$B$4&lt;&gt;"OR+EX",--(DATOS!$G3441=CONFIG_METADATA!$B$4),IF(DATOS!$G3441="EX",1,IF(DATOS!$G3441="OR",--(COUNTIFS(nNIA,DATOS!$A3441,nCURSO,DATOS!$D3441,nESPEC,DATOS!$E3441,nASIG,DATOS!$I3441,nEVAL,"EX")=0),0))))</f>
      </c>
      <c r="H3441">
        <f>IF(DATOS!$G3441&lt;&gt;"EX",0,--(COUNTIFS(nNIA,DATOS!$A3441,nCURSO,DATOS!$D3441,nESPEC,DATOS!$E3441,nASIG,DATOS!$I3441,nEVAL,"OR")=0))</f>
      </c>
      <c r="I3441">
        <f>IF(DATOS!$I3441="","",IFERROR(VLOOKUP(DATOS!$I3441,CONFIG_ASIGNATURAS!$B$2:$J$91,9,FALSE()),""))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IF(DATOS!$A3442="",0,IF(CONFIG_METADATA!$B$4&lt;&gt;"OR+EX",--(DATOS!$G3442=CONFIG_METADATA!$B$4),IF(DATOS!$G3442="EX",1,IF(DATOS!$G3442="OR",--(COUNTIFS(nNIA,DATOS!$A3442,nCURSO,DATOS!$D3442,nESPEC,DATOS!$E3442,nASIG,DATOS!$I3442,nEVAL,"EX")=0),0))))</f>
      </c>
      <c r="H3442">
        <f>IF(DATOS!$G3442&lt;&gt;"EX",0,--(COUNTIFS(nNIA,DATOS!$A3442,nCURSO,DATOS!$D3442,nESPEC,DATOS!$E3442,nASIG,DATOS!$I3442,nEVAL,"OR")=0))</f>
      </c>
      <c r="I3442">
        <f>IF(DATOS!$I3442="","",IFERROR(VLOOKUP(DATOS!$I3442,CONFIG_ASIGNATURAS!$B$2:$J$91,9,FALSE()),""))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IF(DATOS!$A3443="",0,IF(CONFIG_METADATA!$B$4&lt;&gt;"OR+EX",--(DATOS!$G3443=CONFIG_METADATA!$B$4),IF(DATOS!$G3443="EX",1,IF(DATOS!$G3443="OR",--(COUNTIFS(nNIA,DATOS!$A3443,nCURSO,DATOS!$D3443,nESPEC,DATOS!$E3443,nASIG,DATOS!$I3443,nEVAL,"EX")=0),0))))</f>
      </c>
      <c r="H3443">
        <f>IF(DATOS!$G3443&lt;&gt;"EX",0,--(COUNTIFS(nNIA,DATOS!$A3443,nCURSO,DATOS!$D3443,nESPEC,DATOS!$E3443,nASIG,DATOS!$I3443,nEVAL,"OR")=0))</f>
      </c>
      <c r="I3443">
        <f>IF(DATOS!$I3443="","",IFERROR(VLOOKUP(DATOS!$I3443,CONFIG_ASIGNATURAS!$B$2:$J$91,9,FALSE()),""))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IF(DATOS!$A3444="",0,IF(CONFIG_METADATA!$B$4&lt;&gt;"OR+EX",--(DATOS!$G3444=CONFIG_METADATA!$B$4),IF(DATOS!$G3444="EX",1,IF(DATOS!$G3444="OR",--(COUNTIFS(nNIA,DATOS!$A3444,nCURSO,DATOS!$D3444,nESPEC,DATOS!$E3444,nASIG,DATOS!$I3444,nEVAL,"EX")=0),0))))</f>
      </c>
      <c r="H3444">
        <f>IF(DATOS!$G3444&lt;&gt;"EX",0,--(COUNTIFS(nNIA,DATOS!$A3444,nCURSO,DATOS!$D3444,nESPEC,DATOS!$E3444,nASIG,DATOS!$I3444,nEVAL,"OR")=0))</f>
      </c>
      <c r="I3444">
        <f>IF(DATOS!$I3444="","",IFERROR(VLOOKUP(DATOS!$I3444,CONFIG_ASIGNATURAS!$B$2:$J$91,9,FALSE()),""))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IF(DATOS!$A3445="",0,IF(CONFIG_METADATA!$B$4&lt;&gt;"OR+EX",--(DATOS!$G3445=CONFIG_METADATA!$B$4),IF(DATOS!$G3445="EX",1,IF(DATOS!$G3445="OR",--(COUNTIFS(nNIA,DATOS!$A3445,nCURSO,DATOS!$D3445,nESPEC,DATOS!$E3445,nASIG,DATOS!$I3445,nEVAL,"EX")=0),0))))</f>
      </c>
      <c r="H3445">
        <f>IF(DATOS!$G3445&lt;&gt;"EX",0,--(COUNTIFS(nNIA,DATOS!$A3445,nCURSO,DATOS!$D3445,nESPEC,DATOS!$E3445,nASIG,DATOS!$I3445,nEVAL,"OR")=0))</f>
      </c>
      <c r="I3445">
        <f>IF(DATOS!$I3445="","",IFERROR(VLOOKUP(DATOS!$I3445,CONFIG_ASIGNATURAS!$B$2:$J$91,9,FALSE()),""))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IF(DATOS!$A3446="",0,IF(CONFIG_METADATA!$B$4&lt;&gt;"OR+EX",--(DATOS!$G3446=CONFIG_METADATA!$B$4),IF(DATOS!$G3446="EX",1,IF(DATOS!$G3446="OR",--(COUNTIFS(nNIA,DATOS!$A3446,nCURSO,DATOS!$D3446,nESPEC,DATOS!$E3446,nASIG,DATOS!$I3446,nEVAL,"EX")=0),0))))</f>
      </c>
      <c r="H3446">
        <f>IF(DATOS!$G3446&lt;&gt;"EX",0,--(COUNTIFS(nNIA,DATOS!$A3446,nCURSO,DATOS!$D3446,nESPEC,DATOS!$E3446,nASIG,DATOS!$I3446,nEVAL,"OR")=0))</f>
      </c>
      <c r="I3446">
        <f>IF(DATOS!$I3446="","",IFERROR(VLOOKUP(DATOS!$I3446,CONFIG_ASIGNATURAS!$B$2:$J$91,9,FALSE()),""))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IF(DATOS!$A3447="",0,IF(CONFIG_METADATA!$B$4&lt;&gt;"OR+EX",--(DATOS!$G3447=CONFIG_METADATA!$B$4),IF(DATOS!$G3447="EX",1,IF(DATOS!$G3447="OR",--(COUNTIFS(nNIA,DATOS!$A3447,nCURSO,DATOS!$D3447,nESPEC,DATOS!$E3447,nASIG,DATOS!$I3447,nEVAL,"EX")=0),0))))</f>
      </c>
      <c r="H3447">
        <f>IF(DATOS!$G3447&lt;&gt;"EX",0,--(COUNTIFS(nNIA,DATOS!$A3447,nCURSO,DATOS!$D3447,nESPEC,DATOS!$E3447,nASIG,DATOS!$I3447,nEVAL,"OR")=0))</f>
      </c>
      <c r="I3447">
        <f>IF(DATOS!$I3447="","",IFERROR(VLOOKUP(DATOS!$I3447,CONFIG_ASIGNATURAS!$B$2:$J$91,9,FALSE()),""))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IF(DATOS!$A3448="",0,IF(CONFIG_METADATA!$B$4&lt;&gt;"OR+EX",--(DATOS!$G3448=CONFIG_METADATA!$B$4),IF(DATOS!$G3448="EX",1,IF(DATOS!$G3448="OR",--(COUNTIFS(nNIA,DATOS!$A3448,nCURSO,DATOS!$D3448,nESPEC,DATOS!$E3448,nASIG,DATOS!$I3448,nEVAL,"EX")=0),0))))</f>
      </c>
      <c r="H3448">
        <f>IF(DATOS!$G3448&lt;&gt;"EX",0,--(COUNTIFS(nNIA,DATOS!$A3448,nCURSO,DATOS!$D3448,nESPEC,DATOS!$E3448,nASIG,DATOS!$I3448,nEVAL,"OR")=0))</f>
      </c>
      <c r="I3448">
        <f>IF(DATOS!$I3448="","",IFERROR(VLOOKUP(DATOS!$I3448,CONFIG_ASIGNATURAS!$B$2:$J$91,9,FALSE()),""))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IF(DATOS!$A3449="",0,IF(CONFIG_METADATA!$B$4&lt;&gt;"OR+EX",--(DATOS!$G3449=CONFIG_METADATA!$B$4),IF(DATOS!$G3449="EX",1,IF(DATOS!$G3449="OR",--(COUNTIFS(nNIA,DATOS!$A3449,nCURSO,DATOS!$D3449,nESPEC,DATOS!$E3449,nASIG,DATOS!$I3449,nEVAL,"EX")=0),0))))</f>
      </c>
      <c r="H3449">
        <f>IF(DATOS!$G3449&lt;&gt;"EX",0,--(COUNTIFS(nNIA,DATOS!$A3449,nCURSO,DATOS!$D3449,nESPEC,DATOS!$E3449,nASIG,DATOS!$I3449,nEVAL,"OR")=0))</f>
      </c>
      <c r="I3449">
        <f>IF(DATOS!$I3449="","",IFERROR(VLOOKUP(DATOS!$I3449,CONFIG_ASIGNATURAS!$B$2:$J$91,9,FALSE()),""))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IF(DATOS!$A3450="",0,IF(CONFIG_METADATA!$B$4&lt;&gt;"OR+EX",--(DATOS!$G3450=CONFIG_METADATA!$B$4),IF(DATOS!$G3450="EX",1,IF(DATOS!$G3450="OR",--(COUNTIFS(nNIA,DATOS!$A3450,nCURSO,DATOS!$D3450,nESPEC,DATOS!$E3450,nASIG,DATOS!$I3450,nEVAL,"EX")=0),0))))</f>
      </c>
      <c r="H3450">
        <f>IF(DATOS!$G3450&lt;&gt;"EX",0,--(COUNTIFS(nNIA,DATOS!$A3450,nCURSO,DATOS!$D3450,nESPEC,DATOS!$E3450,nASIG,DATOS!$I3450,nEVAL,"OR")=0))</f>
      </c>
      <c r="I3450">
        <f>IF(DATOS!$I3450="","",IFERROR(VLOOKUP(DATOS!$I3450,CONFIG_ASIGNATURAS!$B$2:$J$91,9,FALSE()),""))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IF(DATOS!$A3451="",0,IF(CONFIG_METADATA!$B$4&lt;&gt;"OR+EX",--(DATOS!$G3451=CONFIG_METADATA!$B$4),IF(DATOS!$G3451="EX",1,IF(DATOS!$G3451="OR",--(COUNTIFS(nNIA,DATOS!$A3451,nCURSO,DATOS!$D3451,nESPEC,DATOS!$E3451,nASIG,DATOS!$I3451,nEVAL,"EX")=0),0))))</f>
      </c>
      <c r="H3451">
        <f>IF(DATOS!$G3451&lt;&gt;"EX",0,--(COUNTIFS(nNIA,DATOS!$A3451,nCURSO,DATOS!$D3451,nESPEC,DATOS!$E3451,nASIG,DATOS!$I3451,nEVAL,"OR")=0))</f>
      </c>
      <c r="I3451">
        <f>IF(DATOS!$I3451="","",IFERROR(VLOOKUP(DATOS!$I3451,CONFIG_ASIGNATURAS!$B$2:$J$91,9,FALSE()),""))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IF(DATOS!$A3452="",0,IF(CONFIG_METADATA!$B$4&lt;&gt;"OR+EX",--(DATOS!$G3452=CONFIG_METADATA!$B$4),IF(DATOS!$G3452="EX",1,IF(DATOS!$G3452="OR",--(COUNTIFS(nNIA,DATOS!$A3452,nCURSO,DATOS!$D3452,nESPEC,DATOS!$E3452,nASIG,DATOS!$I3452,nEVAL,"EX")=0),0))))</f>
      </c>
      <c r="H3452">
        <f>IF(DATOS!$G3452&lt;&gt;"EX",0,--(COUNTIFS(nNIA,DATOS!$A3452,nCURSO,DATOS!$D3452,nESPEC,DATOS!$E3452,nASIG,DATOS!$I3452,nEVAL,"OR")=0))</f>
      </c>
      <c r="I3452">
        <f>IF(DATOS!$I3452="","",IFERROR(VLOOKUP(DATOS!$I3452,CONFIG_ASIGNATURAS!$B$2:$J$91,9,FALSE()),""))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IF(DATOS!$A3453="",0,IF(CONFIG_METADATA!$B$4&lt;&gt;"OR+EX",--(DATOS!$G3453=CONFIG_METADATA!$B$4),IF(DATOS!$G3453="EX",1,IF(DATOS!$G3453="OR",--(COUNTIFS(nNIA,DATOS!$A3453,nCURSO,DATOS!$D3453,nESPEC,DATOS!$E3453,nASIG,DATOS!$I3453,nEVAL,"EX")=0),0))))</f>
      </c>
      <c r="H3453">
        <f>IF(DATOS!$G3453&lt;&gt;"EX",0,--(COUNTIFS(nNIA,DATOS!$A3453,nCURSO,DATOS!$D3453,nESPEC,DATOS!$E3453,nASIG,DATOS!$I3453,nEVAL,"OR")=0))</f>
      </c>
      <c r="I3453">
        <f>IF(DATOS!$I3453="","",IFERROR(VLOOKUP(DATOS!$I3453,CONFIG_ASIGNATURAS!$B$2:$J$91,9,FALSE()),""))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IF(DATOS!$A3454="",0,IF(CONFIG_METADATA!$B$4&lt;&gt;"OR+EX",--(DATOS!$G3454=CONFIG_METADATA!$B$4),IF(DATOS!$G3454="EX",1,IF(DATOS!$G3454="OR",--(COUNTIFS(nNIA,DATOS!$A3454,nCURSO,DATOS!$D3454,nESPEC,DATOS!$E3454,nASIG,DATOS!$I3454,nEVAL,"EX")=0),0))))</f>
      </c>
      <c r="H3454">
        <f>IF(DATOS!$G3454&lt;&gt;"EX",0,--(COUNTIFS(nNIA,DATOS!$A3454,nCURSO,DATOS!$D3454,nESPEC,DATOS!$E3454,nASIG,DATOS!$I3454,nEVAL,"OR")=0))</f>
      </c>
      <c r="I3454">
        <f>IF(DATOS!$I3454="","",IFERROR(VLOOKUP(DATOS!$I3454,CONFIG_ASIGNATURAS!$B$2:$J$91,9,FALSE()),""))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IF(DATOS!$A3455="",0,IF(CONFIG_METADATA!$B$4&lt;&gt;"OR+EX",--(DATOS!$G3455=CONFIG_METADATA!$B$4),IF(DATOS!$G3455="EX",1,IF(DATOS!$G3455="OR",--(COUNTIFS(nNIA,DATOS!$A3455,nCURSO,DATOS!$D3455,nESPEC,DATOS!$E3455,nASIG,DATOS!$I3455,nEVAL,"EX")=0),0))))</f>
      </c>
      <c r="H3455">
        <f>IF(DATOS!$G3455&lt;&gt;"EX",0,--(COUNTIFS(nNIA,DATOS!$A3455,nCURSO,DATOS!$D3455,nESPEC,DATOS!$E3455,nASIG,DATOS!$I3455,nEVAL,"OR")=0))</f>
      </c>
      <c r="I3455">
        <f>IF(DATOS!$I3455="","",IFERROR(VLOOKUP(DATOS!$I3455,CONFIG_ASIGNATURAS!$B$2:$J$91,9,FALSE()),""))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IF(DATOS!$A3456="",0,IF(CONFIG_METADATA!$B$4&lt;&gt;"OR+EX",--(DATOS!$G3456=CONFIG_METADATA!$B$4),IF(DATOS!$G3456="EX",1,IF(DATOS!$G3456="OR",--(COUNTIFS(nNIA,DATOS!$A3456,nCURSO,DATOS!$D3456,nESPEC,DATOS!$E3456,nASIG,DATOS!$I3456,nEVAL,"EX")=0),0))))</f>
      </c>
      <c r="H3456">
        <f>IF(DATOS!$G3456&lt;&gt;"EX",0,--(COUNTIFS(nNIA,DATOS!$A3456,nCURSO,DATOS!$D3456,nESPEC,DATOS!$E3456,nASIG,DATOS!$I3456,nEVAL,"OR")=0))</f>
      </c>
      <c r="I3456">
        <f>IF(DATOS!$I3456="","",IFERROR(VLOOKUP(DATOS!$I3456,CONFIG_ASIGNATURAS!$B$2:$J$91,9,FALSE()),""))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IF(DATOS!$A3457="",0,IF(CONFIG_METADATA!$B$4&lt;&gt;"OR+EX",--(DATOS!$G3457=CONFIG_METADATA!$B$4),IF(DATOS!$G3457="EX",1,IF(DATOS!$G3457="OR",--(COUNTIFS(nNIA,DATOS!$A3457,nCURSO,DATOS!$D3457,nESPEC,DATOS!$E3457,nASIG,DATOS!$I3457,nEVAL,"EX")=0),0))))</f>
      </c>
      <c r="H3457">
        <f>IF(DATOS!$G3457&lt;&gt;"EX",0,--(COUNTIFS(nNIA,DATOS!$A3457,nCURSO,DATOS!$D3457,nESPEC,DATOS!$E3457,nASIG,DATOS!$I3457,nEVAL,"OR")=0))</f>
      </c>
      <c r="I3457">
        <f>IF(DATOS!$I3457="","",IFERROR(VLOOKUP(DATOS!$I3457,CONFIG_ASIGNATURAS!$B$2:$J$91,9,FALSE()),""))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IF(DATOS!$A3458="",0,IF(CONFIG_METADATA!$B$4&lt;&gt;"OR+EX",--(DATOS!$G3458=CONFIG_METADATA!$B$4),IF(DATOS!$G3458="EX",1,IF(DATOS!$G3458="OR",--(COUNTIFS(nNIA,DATOS!$A3458,nCURSO,DATOS!$D3458,nESPEC,DATOS!$E3458,nASIG,DATOS!$I3458,nEVAL,"EX")=0),0))))</f>
      </c>
      <c r="H3458">
        <f>IF(DATOS!$G3458&lt;&gt;"EX",0,--(COUNTIFS(nNIA,DATOS!$A3458,nCURSO,DATOS!$D3458,nESPEC,DATOS!$E3458,nASIG,DATOS!$I3458,nEVAL,"OR")=0))</f>
      </c>
      <c r="I3458">
        <f>IF(DATOS!$I3458="","",IFERROR(VLOOKUP(DATOS!$I3458,CONFIG_ASIGNATURAS!$B$2:$J$91,9,FALSE()),""))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IF(DATOS!$A3459="",0,IF(CONFIG_METADATA!$B$4&lt;&gt;"OR+EX",--(DATOS!$G3459=CONFIG_METADATA!$B$4),IF(DATOS!$G3459="EX",1,IF(DATOS!$G3459="OR",--(COUNTIFS(nNIA,DATOS!$A3459,nCURSO,DATOS!$D3459,nESPEC,DATOS!$E3459,nASIG,DATOS!$I3459,nEVAL,"EX")=0),0))))</f>
      </c>
      <c r="H3459">
        <f>IF(DATOS!$G3459&lt;&gt;"EX",0,--(COUNTIFS(nNIA,DATOS!$A3459,nCURSO,DATOS!$D3459,nESPEC,DATOS!$E3459,nASIG,DATOS!$I3459,nEVAL,"OR")=0))</f>
      </c>
      <c r="I3459">
        <f>IF(DATOS!$I3459="","",IFERROR(VLOOKUP(DATOS!$I3459,CONFIG_ASIGNATURAS!$B$2:$J$91,9,FALSE()),""))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IF(DATOS!$A3460="",0,IF(CONFIG_METADATA!$B$4&lt;&gt;"OR+EX",--(DATOS!$G3460=CONFIG_METADATA!$B$4),IF(DATOS!$G3460="EX",1,IF(DATOS!$G3460="OR",--(COUNTIFS(nNIA,DATOS!$A3460,nCURSO,DATOS!$D3460,nESPEC,DATOS!$E3460,nASIG,DATOS!$I3460,nEVAL,"EX")=0),0))))</f>
      </c>
      <c r="H3460">
        <f>IF(DATOS!$G3460&lt;&gt;"EX",0,--(COUNTIFS(nNIA,DATOS!$A3460,nCURSO,DATOS!$D3460,nESPEC,DATOS!$E3460,nASIG,DATOS!$I3460,nEVAL,"OR")=0))</f>
      </c>
      <c r="I3460">
        <f>IF(DATOS!$I3460="","",IFERROR(VLOOKUP(DATOS!$I3460,CONFIG_ASIGNATURAS!$B$2:$J$91,9,FALSE()),""))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IF(DATOS!$A3461="",0,IF(CONFIG_METADATA!$B$4&lt;&gt;"OR+EX",--(DATOS!$G3461=CONFIG_METADATA!$B$4),IF(DATOS!$G3461="EX",1,IF(DATOS!$G3461="OR",--(COUNTIFS(nNIA,DATOS!$A3461,nCURSO,DATOS!$D3461,nESPEC,DATOS!$E3461,nASIG,DATOS!$I3461,nEVAL,"EX")=0),0))))</f>
      </c>
      <c r="H3461">
        <f>IF(DATOS!$G3461&lt;&gt;"EX",0,--(COUNTIFS(nNIA,DATOS!$A3461,nCURSO,DATOS!$D3461,nESPEC,DATOS!$E3461,nASIG,DATOS!$I3461,nEVAL,"OR")=0))</f>
      </c>
      <c r="I3461">
        <f>IF(DATOS!$I3461="","",IFERROR(VLOOKUP(DATOS!$I3461,CONFIG_ASIGNATURAS!$B$2:$J$91,9,FALSE()),""))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IF(DATOS!$A3462="",0,IF(CONFIG_METADATA!$B$4&lt;&gt;"OR+EX",--(DATOS!$G3462=CONFIG_METADATA!$B$4),IF(DATOS!$G3462="EX",1,IF(DATOS!$G3462="OR",--(COUNTIFS(nNIA,DATOS!$A3462,nCURSO,DATOS!$D3462,nESPEC,DATOS!$E3462,nASIG,DATOS!$I3462,nEVAL,"EX")=0),0))))</f>
      </c>
      <c r="H3462">
        <f>IF(DATOS!$G3462&lt;&gt;"EX",0,--(COUNTIFS(nNIA,DATOS!$A3462,nCURSO,DATOS!$D3462,nESPEC,DATOS!$E3462,nASIG,DATOS!$I3462,nEVAL,"OR")=0))</f>
      </c>
      <c r="I3462">
        <f>IF(DATOS!$I3462="","",IFERROR(VLOOKUP(DATOS!$I3462,CONFIG_ASIGNATURAS!$B$2:$J$91,9,FALSE()),""))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IF(DATOS!$A3463="",0,IF(CONFIG_METADATA!$B$4&lt;&gt;"OR+EX",--(DATOS!$G3463=CONFIG_METADATA!$B$4),IF(DATOS!$G3463="EX",1,IF(DATOS!$G3463="OR",--(COUNTIFS(nNIA,DATOS!$A3463,nCURSO,DATOS!$D3463,nESPEC,DATOS!$E3463,nASIG,DATOS!$I3463,nEVAL,"EX")=0),0))))</f>
      </c>
      <c r="H3463">
        <f>IF(DATOS!$G3463&lt;&gt;"EX",0,--(COUNTIFS(nNIA,DATOS!$A3463,nCURSO,DATOS!$D3463,nESPEC,DATOS!$E3463,nASIG,DATOS!$I3463,nEVAL,"OR")=0))</f>
      </c>
      <c r="I3463">
        <f>IF(DATOS!$I3463="","",IFERROR(VLOOKUP(DATOS!$I3463,CONFIG_ASIGNATURAS!$B$2:$J$91,9,FALSE()),""))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IF(DATOS!$A3464="",0,IF(CONFIG_METADATA!$B$4&lt;&gt;"OR+EX",--(DATOS!$G3464=CONFIG_METADATA!$B$4),IF(DATOS!$G3464="EX",1,IF(DATOS!$G3464="OR",--(COUNTIFS(nNIA,DATOS!$A3464,nCURSO,DATOS!$D3464,nESPEC,DATOS!$E3464,nASIG,DATOS!$I3464,nEVAL,"EX")=0),0))))</f>
      </c>
      <c r="H3464">
        <f>IF(DATOS!$G3464&lt;&gt;"EX",0,--(COUNTIFS(nNIA,DATOS!$A3464,nCURSO,DATOS!$D3464,nESPEC,DATOS!$E3464,nASIG,DATOS!$I3464,nEVAL,"OR")=0))</f>
      </c>
      <c r="I3464">
        <f>IF(DATOS!$I3464="","",IFERROR(VLOOKUP(DATOS!$I3464,CONFIG_ASIGNATURAS!$B$2:$J$91,9,FALSE()),""))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IF(DATOS!$A3465="",0,IF(CONFIG_METADATA!$B$4&lt;&gt;"OR+EX",--(DATOS!$G3465=CONFIG_METADATA!$B$4),IF(DATOS!$G3465="EX",1,IF(DATOS!$G3465="OR",--(COUNTIFS(nNIA,DATOS!$A3465,nCURSO,DATOS!$D3465,nESPEC,DATOS!$E3465,nASIG,DATOS!$I3465,nEVAL,"EX")=0),0))))</f>
      </c>
      <c r="H3465">
        <f>IF(DATOS!$G3465&lt;&gt;"EX",0,--(COUNTIFS(nNIA,DATOS!$A3465,nCURSO,DATOS!$D3465,nESPEC,DATOS!$E3465,nASIG,DATOS!$I3465,nEVAL,"OR")=0))</f>
      </c>
      <c r="I3465">
        <f>IF(DATOS!$I3465="","",IFERROR(VLOOKUP(DATOS!$I3465,CONFIG_ASIGNATURAS!$B$2:$J$91,9,FALSE()),""))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IF(DATOS!$A3466="",0,IF(CONFIG_METADATA!$B$4&lt;&gt;"OR+EX",--(DATOS!$G3466=CONFIG_METADATA!$B$4),IF(DATOS!$G3466="EX",1,IF(DATOS!$G3466="OR",--(COUNTIFS(nNIA,DATOS!$A3466,nCURSO,DATOS!$D3466,nESPEC,DATOS!$E3466,nASIG,DATOS!$I3466,nEVAL,"EX")=0),0))))</f>
      </c>
      <c r="H3466">
        <f>IF(DATOS!$G3466&lt;&gt;"EX",0,--(COUNTIFS(nNIA,DATOS!$A3466,nCURSO,DATOS!$D3466,nESPEC,DATOS!$E3466,nASIG,DATOS!$I3466,nEVAL,"OR")=0))</f>
      </c>
      <c r="I3466">
        <f>IF(DATOS!$I3466="","",IFERROR(VLOOKUP(DATOS!$I3466,CONFIG_ASIGNATURAS!$B$2:$J$91,9,FALSE()),""))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IF(DATOS!$A3467="",0,IF(CONFIG_METADATA!$B$4&lt;&gt;"OR+EX",--(DATOS!$G3467=CONFIG_METADATA!$B$4),IF(DATOS!$G3467="EX",1,IF(DATOS!$G3467="OR",--(COUNTIFS(nNIA,DATOS!$A3467,nCURSO,DATOS!$D3467,nESPEC,DATOS!$E3467,nASIG,DATOS!$I3467,nEVAL,"EX")=0),0))))</f>
      </c>
      <c r="H3467">
        <f>IF(DATOS!$G3467&lt;&gt;"EX",0,--(COUNTIFS(nNIA,DATOS!$A3467,nCURSO,DATOS!$D3467,nESPEC,DATOS!$E3467,nASIG,DATOS!$I3467,nEVAL,"OR")=0))</f>
      </c>
      <c r="I3467">
        <f>IF(DATOS!$I3467="","",IFERROR(VLOOKUP(DATOS!$I3467,CONFIG_ASIGNATURAS!$B$2:$J$91,9,FALSE()),""))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IF(DATOS!$A3468="",0,IF(CONFIG_METADATA!$B$4&lt;&gt;"OR+EX",--(DATOS!$G3468=CONFIG_METADATA!$B$4),IF(DATOS!$G3468="EX",1,IF(DATOS!$G3468="OR",--(COUNTIFS(nNIA,DATOS!$A3468,nCURSO,DATOS!$D3468,nESPEC,DATOS!$E3468,nASIG,DATOS!$I3468,nEVAL,"EX")=0),0))))</f>
      </c>
      <c r="H3468">
        <f>IF(DATOS!$G3468&lt;&gt;"EX",0,--(COUNTIFS(nNIA,DATOS!$A3468,nCURSO,DATOS!$D3468,nESPEC,DATOS!$E3468,nASIG,DATOS!$I3468,nEVAL,"OR")=0))</f>
      </c>
      <c r="I3468">
        <f>IF(DATOS!$I3468="","",IFERROR(VLOOKUP(DATOS!$I3468,CONFIG_ASIGNATURAS!$B$2:$J$91,9,FALSE()),""))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IF(DATOS!$A3469="",0,IF(CONFIG_METADATA!$B$4&lt;&gt;"OR+EX",--(DATOS!$G3469=CONFIG_METADATA!$B$4),IF(DATOS!$G3469="EX",1,IF(DATOS!$G3469="OR",--(COUNTIFS(nNIA,DATOS!$A3469,nCURSO,DATOS!$D3469,nESPEC,DATOS!$E3469,nASIG,DATOS!$I3469,nEVAL,"EX")=0),0))))</f>
      </c>
      <c r="H3469">
        <f>IF(DATOS!$G3469&lt;&gt;"EX",0,--(COUNTIFS(nNIA,DATOS!$A3469,nCURSO,DATOS!$D3469,nESPEC,DATOS!$E3469,nASIG,DATOS!$I3469,nEVAL,"OR")=0))</f>
      </c>
      <c r="I3469">
        <f>IF(DATOS!$I3469="","",IFERROR(VLOOKUP(DATOS!$I3469,CONFIG_ASIGNATURAS!$B$2:$J$91,9,FALSE()),""))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IF(DATOS!$A3470="",0,IF(CONFIG_METADATA!$B$4&lt;&gt;"OR+EX",--(DATOS!$G3470=CONFIG_METADATA!$B$4),IF(DATOS!$G3470="EX",1,IF(DATOS!$G3470="OR",--(COUNTIFS(nNIA,DATOS!$A3470,nCURSO,DATOS!$D3470,nESPEC,DATOS!$E3470,nASIG,DATOS!$I3470,nEVAL,"EX")=0),0))))</f>
      </c>
      <c r="H3470">
        <f>IF(DATOS!$G3470&lt;&gt;"EX",0,--(COUNTIFS(nNIA,DATOS!$A3470,nCURSO,DATOS!$D3470,nESPEC,DATOS!$E3470,nASIG,DATOS!$I3470,nEVAL,"OR")=0))</f>
      </c>
      <c r="I3470">
        <f>IF(DATOS!$I3470="","",IFERROR(VLOOKUP(DATOS!$I3470,CONFIG_ASIGNATURAS!$B$2:$J$91,9,FALSE()),""))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IF(DATOS!$A3471="",0,IF(CONFIG_METADATA!$B$4&lt;&gt;"OR+EX",--(DATOS!$G3471=CONFIG_METADATA!$B$4),IF(DATOS!$G3471="EX",1,IF(DATOS!$G3471="OR",--(COUNTIFS(nNIA,DATOS!$A3471,nCURSO,DATOS!$D3471,nESPEC,DATOS!$E3471,nASIG,DATOS!$I3471,nEVAL,"EX")=0),0))))</f>
      </c>
      <c r="H3471">
        <f>IF(DATOS!$G3471&lt;&gt;"EX",0,--(COUNTIFS(nNIA,DATOS!$A3471,nCURSO,DATOS!$D3471,nESPEC,DATOS!$E3471,nASIG,DATOS!$I3471,nEVAL,"OR")=0))</f>
      </c>
      <c r="I3471">
        <f>IF(DATOS!$I3471="","",IFERROR(VLOOKUP(DATOS!$I3471,CONFIG_ASIGNATURAS!$B$2:$J$91,9,FALSE()),""))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IF(DATOS!$A3472="",0,IF(CONFIG_METADATA!$B$4&lt;&gt;"OR+EX",--(DATOS!$G3472=CONFIG_METADATA!$B$4),IF(DATOS!$G3472="EX",1,IF(DATOS!$G3472="OR",--(COUNTIFS(nNIA,DATOS!$A3472,nCURSO,DATOS!$D3472,nESPEC,DATOS!$E3472,nASIG,DATOS!$I3472,nEVAL,"EX")=0),0))))</f>
      </c>
      <c r="H3472">
        <f>IF(DATOS!$G3472&lt;&gt;"EX",0,--(COUNTIFS(nNIA,DATOS!$A3472,nCURSO,DATOS!$D3472,nESPEC,DATOS!$E3472,nASIG,DATOS!$I3472,nEVAL,"OR")=0))</f>
      </c>
      <c r="I3472">
        <f>IF(DATOS!$I3472="","",IFERROR(VLOOKUP(DATOS!$I3472,CONFIG_ASIGNATURAS!$B$2:$J$91,9,FALSE()),""))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IF(DATOS!$A3473="",0,IF(CONFIG_METADATA!$B$4&lt;&gt;"OR+EX",--(DATOS!$G3473=CONFIG_METADATA!$B$4),IF(DATOS!$G3473="EX",1,IF(DATOS!$G3473="OR",--(COUNTIFS(nNIA,DATOS!$A3473,nCURSO,DATOS!$D3473,nESPEC,DATOS!$E3473,nASIG,DATOS!$I3473,nEVAL,"EX")=0),0))))</f>
      </c>
      <c r="H3473">
        <f>IF(DATOS!$G3473&lt;&gt;"EX",0,--(COUNTIFS(nNIA,DATOS!$A3473,nCURSO,DATOS!$D3473,nESPEC,DATOS!$E3473,nASIG,DATOS!$I3473,nEVAL,"OR")=0))</f>
      </c>
      <c r="I3473">
        <f>IF(DATOS!$I3473="","",IFERROR(VLOOKUP(DATOS!$I3473,CONFIG_ASIGNATURAS!$B$2:$J$91,9,FALSE()),""))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IF(DATOS!$A3474="",0,IF(CONFIG_METADATA!$B$4&lt;&gt;"OR+EX",--(DATOS!$G3474=CONFIG_METADATA!$B$4),IF(DATOS!$G3474="EX",1,IF(DATOS!$G3474="OR",--(COUNTIFS(nNIA,DATOS!$A3474,nCURSO,DATOS!$D3474,nESPEC,DATOS!$E3474,nASIG,DATOS!$I3474,nEVAL,"EX")=0),0))))</f>
      </c>
      <c r="H3474">
        <f>IF(DATOS!$G3474&lt;&gt;"EX",0,--(COUNTIFS(nNIA,DATOS!$A3474,nCURSO,DATOS!$D3474,nESPEC,DATOS!$E3474,nASIG,DATOS!$I3474,nEVAL,"OR")=0))</f>
      </c>
      <c r="I3474">
        <f>IF(DATOS!$I3474="","",IFERROR(VLOOKUP(DATOS!$I3474,CONFIG_ASIGNATURAS!$B$2:$J$91,9,FALSE()),""))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IF(DATOS!$A3475="",0,IF(CONFIG_METADATA!$B$4&lt;&gt;"OR+EX",--(DATOS!$G3475=CONFIG_METADATA!$B$4),IF(DATOS!$G3475="EX",1,IF(DATOS!$G3475="OR",--(COUNTIFS(nNIA,DATOS!$A3475,nCURSO,DATOS!$D3475,nESPEC,DATOS!$E3475,nASIG,DATOS!$I3475,nEVAL,"EX")=0),0))))</f>
      </c>
      <c r="H3475">
        <f>IF(DATOS!$G3475&lt;&gt;"EX",0,--(COUNTIFS(nNIA,DATOS!$A3475,nCURSO,DATOS!$D3475,nESPEC,DATOS!$E3475,nASIG,DATOS!$I3475,nEVAL,"OR")=0))</f>
      </c>
      <c r="I3475">
        <f>IF(DATOS!$I3475="","",IFERROR(VLOOKUP(DATOS!$I3475,CONFIG_ASIGNATURAS!$B$2:$J$91,9,FALSE()),""))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IF(DATOS!$A3476="",0,IF(CONFIG_METADATA!$B$4&lt;&gt;"OR+EX",--(DATOS!$G3476=CONFIG_METADATA!$B$4),IF(DATOS!$G3476="EX",1,IF(DATOS!$G3476="OR",--(COUNTIFS(nNIA,DATOS!$A3476,nCURSO,DATOS!$D3476,nESPEC,DATOS!$E3476,nASIG,DATOS!$I3476,nEVAL,"EX")=0),0))))</f>
      </c>
      <c r="H3476">
        <f>IF(DATOS!$G3476&lt;&gt;"EX",0,--(COUNTIFS(nNIA,DATOS!$A3476,nCURSO,DATOS!$D3476,nESPEC,DATOS!$E3476,nASIG,DATOS!$I3476,nEVAL,"OR")=0))</f>
      </c>
      <c r="I3476">
        <f>IF(DATOS!$I3476="","",IFERROR(VLOOKUP(DATOS!$I3476,CONFIG_ASIGNATURAS!$B$2:$J$91,9,FALSE()),""))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IF(DATOS!$A3477="",0,IF(CONFIG_METADATA!$B$4&lt;&gt;"OR+EX",--(DATOS!$G3477=CONFIG_METADATA!$B$4),IF(DATOS!$G3477="EX",1,IF(DATOS!$G3477="OR",--(COUNTIFS(nNIA,DATOS!$A3477,nCURSO,DATOS!$D3477,nESPEC,DATOS!$E3477,nASIG,DATOS!$I3477,nEVAL,"EX")=0),0))))</f>
      </c>
      <c r="H3477">
        <f>IF(DATOS!$G3477&lt;&gt;"EX",0,--(COUNTIFS(nNIA,DATOS!$A3477,nCURSO,DATOS!$D3477,nESPEC,DATOS!$E3477,nASIG,DATOS!$I3477,nEVAL,"OR")=0))</f>
      </c>
      <c r="I3477">
        <f>IF(DATOS!$I3477="","",IFERROR(VLOOKUP(DATOS!$I3477,CONFIG_ASIGNATURAS!$B$2:$J$91,9,FALSE()),""))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IF(DATOS!$A3478="",0,IF(CONFIG_METADATA!$B$4&lt;&gt;"OR+EX",--(DATOS!$G3478=CONFIG_METADATA!$B$4),IF(DATOS!$G3478="EX",1,IF(DATOS!$G3478="OR",--(COUNTIFS(nNIA,DATOS!$A3478,nCURSO,DATOS!$D3478,nESPEC,DATOS!$E3478,nASIG,DATOS!$I3478,nEVAL,"EX")=0),0))))</f>
      </c>
      <c r="H3478">
        <f>IF(DATOS!$G3478&lt;&gt;"EX",0,--(COUNTIFS(nNIA,DATOS!$A3478,nCURSO,DATOS!$D3478,nESPEC,DATOS!$E3478,nASIG,DATOS!$I3478,nEVAL,"OR")=0))</f>
      </c>
      <c r="I3478">
        <f>IF(DATOS!$I3478="","",IFERROR(VLOOKUP(DATOS!$I3478,CONFIG_ASIGNATURAS!$B$2:$J$91,9,FALSE()),""))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IF(DATOS!$A3479="",0,IF(CONFIG_METADATA!$B$4&lt;&gt;"OR+EX",--(DATOS!$G3479=CONFIG_METADATA!$B$4),IF(DATOS!$G3479="EX",1,IF(DATOS!$G3479="OR",--(COUNTIFS(nNIA,DATOS!$A3479,nCURSO,DATOS!$D3479,nESPEC,DATOS!$E3479,nASIG,DATOS!$I3479,nEVAL,"EX")=0),0))))</f>
      </c>
      <c r="H3479">
        <f>IF(DATOS!$G3479&lt;&gt;"EX",0,--(COUNTIFS(nNIA,DATOS!$A3479,nCURSO,DATOS!$D3479,nESPEC,DATOS!$E3479,nASIG,DATOS!$I3479,nEVAL,"OR")=0))</f>
      </c>
      <c r="I3479">
        <f>IF(DATOS!$I3479="","",IFERROR(VLOOKUP(DATOS!$I3479,CONFIG_ASIGNATURAS!$B$2:$J$91,9,FALSE()),""))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IF(DATOS!$A3480="",0,IF(CONFIG_METADATA!$B$4&lt;&gt;"OR+EX",--(DATOS!$G3480=CONFIG_METADATA!$B$4),IF(DATOS!$G3480="EX",1,IF(DATOS!$G3480="OR",--(COUNTIFS(nNIA,DATOS!$A3480,nCURSO,DATOS!$D3480,nESPEC,DATOS!$E3480,nASIG,DATOS!$I3480,nEVAL,"EX")=0),0))))</f>
      </c>
      <c r="H3480">
        <f>IF(DATOS!$G3480&lt;&gt;"EX",0,--(COUNTIFS(nNIA,DATOS!$A3480,nCURSO,DATOS!$D3480,nESPEC,DATOS!$E3480,nASIG,DATOS!$I3480,nEVAL,"OR")=0))</f>
      </c>
      <c r="I3480">
        <f>IF(DATOS!$I3480="","",IFERROR(VLOOKUP(DATOS!$I3480,CONFIG_ASIGNATURAS!$B$2:$J$91,9,FALSE()),""))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IF(DATOS!$A3481="",0,IF(CONFIG_METADATA!$B$4&lt;&gt;"OR+EX",--(DATOS!$G3481=CONFIG_METADATA!$B$4),IF(DATOS!$G3481="EX",1,IF(DATOS!$G3481="OR",--(COUNTIFS(nNIA,DATOS!$A3481,nCURSO,DATOS!$D3481,nESPEC,DATOS!$E3481,nASIG,DATOS!$I3481,nEVAL,"EX")=0),0))))</f>
      </c>
      <c r="H3481">
        <f>IF(DATOS!$G3481&lt;&gt;"EX",0,--(COUNTIFS(nNIA,DATOS!$A3481,nCURSO,DATOS!$D3481,nESPEC,DATOS!$E3481,nASIG,DATOS!$I3481,nEVAL,"OR")=0))</f>
      </c>
      <c r="I3481">
        <f>IF(DATOS!$I3481="","",IFERROR(VLOOKUP(DATOS!$I3481,CONFIG_ASIGNATURAS!$B$2:$J$91,9,FALSE()),""))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IF(DATOS!$A3482="",0,IF(CONFIG_METADATA!$B$4&lt;&gt;"OR+EX",--(DATOS!$G3482=CONFIG_METADATA!$B$4),IF(DATOS!$G3482="EX",1,IF(DATOS!$G3482="OR",--(COUNTIFS(nNIA,DATOS!$A3482,nCURSO,DATOS!$D3482,nESPEC,DATOS!$E3482,nASIG,DATOS!$I3482,nEVAL,"EX")=0),0))))</f>
      </c>
      <c r="H3482">
        <f>IF(DATOS!$G3482&lt;&gt;"EX",0,--(COUNTIFS(nNIA,DATOS!$A3482,nCURSO,DATOS!$D3482,nESPEC,DATOS!$E3482,nASIG,DATOS!$I3482,nEVAL,"OR")=0))</f>
      </c>
      <c r="I3482">
        <f>IF(DATOS!$I3482="","",IFERROR(VLOOKUP(DATOS!$I3482,CONFIG_ASIGNATURAS!$B$2:$J$91,9,FALSE()),""))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IF(DATOS!$A3483="",0,IF(CONFIG_METADATA!$B$4&lt;&gt;"OR+EX",--(DATOS!$G3483=CONFIG_METADATA!$B$4),IF(DATOS!$G3483="EX",1,IF(DATOS!$G3483="OR",--(COUNTIFS(nNIA,DATOS!$A3483,nCURSO,DATOS!$D3483,nESPEC,DATOS!$E3483,nASIG,DATOS!$I3483,nEVAL,"EX")=0),0))))</f>
      </c>
      <c r="H3483">
        <f>IF(DATOS!$G3483&lt;&gt;"EX",0,--(COUNTIFS(nNIA,DATOS!$A3483,nCURSO,DATOS!$D3483,nESPEC,DATOS!$E3483,nASIG,DATOS!$I3483,nEVAL,"OR")=0))</f>
      </c>
      <c r="I3483">
        <f>IF(DATOS!$I3483="","",IFERROR(VLOOKUP(DATOS!$I3483,CONFIG_ASIGNATURAS!$B$2:$J$91,9,FALSE()),""))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IF(DATOS!$A3484="",0,IF(CONFIG_METADATA!$B$4&lt;&gt;"OR+EX",--(DATOS!$G3484=CONFIG_METADATA!$B$4),IF(DATOS!$G3484="EX",1,IF(DATOS!$G3484="OR",--(COUNTIFS(nNIA,DATOS!$A3484,nCURSO,DATOS!$D3484,nESPEC,DATOS!$E3484,nASIG,DATOS!$I3484,nEVAL,"EX")=0),0))))</f>
      </c>
      <c r="H3484">
        <f>IF(DATOS!$G3484&lt;&gt;"EX",0,--(COUNTIFS(nNIA,DATOS!$A3484,nCURSO,DATOS!$D3484,nESPEC,DATOS!$E3484,nASIG,DATOS!$I3484,nEVAL,"OR")=0))</f>
      </c>
      <c r="I3484">
        <f>IF(DATOS!$I3484="","",IFERROR(VLOOKUP(DATOS!$I3484,CONFIG_ASIGNATURAS!$B$2:$J$91,9,FALSE()),""))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IF(DATOS!$A3485="",0,IF(CONFIG_METADATA!$B$4&lt;&gt;"OR+EX",--(DATOS!$G3485=CONFIG_METADATA!$B$4),IF(DATOS!$G3485="EX",1,IF(DATOS!$G3485="OR",--(COUNTIFS(nNIA,DATOS!$A3485,nCURSO,DATOS!$D3485,nESPEC,DATOS!$E3485,nASIG,DATOS!$I3485,nEVAL,"EX")=0),0))))</f>
      </c>
      <c r="H3485">
        <f>IF(DATOS!$G3485&lt;&gt;"EX",0,--(COUNTIFS(nNIA,DATOS!$A3485,nCURSO,DATOS!$D3485,nESPEC,DATOS!$E3485,nASIG,DATOS!$I3485,nEVAL,"OR")=0))</f>
      </c>
      <c r="I3485">
        <f>IF(DATOS!$I3485="","",IFERROR(VLOOKUP(DATOS!$I3485,CONFIG_ASIGNATURAS!$B$2:$J$91,9,FALSE()),""))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IF(DATOS!$A3486="",0,IF(CONFIG_METADATA!$B$4&lt;&gt;"OR+EX",--(DATOS!$G3486=CONFIG_METADATA!$B$4),IF(DATOS!$G3486="EX",1,IF(DATOS!$G3486="OR",--(COUNTIFS(nNIA,DATOS!$A3486,nCURSO,DATOS!$D3486,nESPEC,DATOS!$E3486,nASIG,DATOS!$I3486,nEVAL,"EX")=0),0))))</f>
      </c>
      <c r="H3486">
        <f>IF(DATOS!$G3486&lt;&gt;"EX",0,--(COUNTIFS(nNIA,DATOS!$A3486,nCURSO,DATOS!$D3486,nESPEC,DATOS!$E3486,nASIG,DATOS!$I3486,nEVAL,"OR")=0))</f>
      </c>
      <c r="I3486">
        <f>IF(DATOS!$I3486="","",IFERROR(VLOOKUP(DATOS!$I3486,CONFIG_ASIGNATURAS!$B$2:$J$91,9,FALSE()),""))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IF(DATOS!$A3487="",0,IF(CONFIG_METADATA!$B$4&lt;&gt;"OR+EX",--(DATOS!$G3487=CONFIG_METADATA!$B$4),IF(DATOS!$G3487="EX",1,IF(DATOS!$G3487="OR",--(COUNTIFS(nNIA,DATOS!$A3487,nCURSO,DATOS!$D3487,nESPEC,DATOS!$E3487,nASIG,DATOS!$I3487,nEVAL,"EX")=0),0))))</f>
      </c>
      <c r="H3487">
        <f>IF(DATOS!$G3487&lt;&gt;"EX",0,--(COUNTIFS(nNIA,DATOS!$A3487,nCURSO,DATOS!$D3487,nESPEC,DATOS!$E3487,nASIG,DATOS!$I3487,nEVAL,"OR")=0))</f>
      </c>
      <c r="I3487">
        <f>IF(DATOS!$I3487="","",IFERROR(VLOOKUP(DATOS!$I3487,CONFIG_ASIGNATURAS!$B$2:$J$91,9,FALSE()),""))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IF(DATOS!$A3488="",0,IF(CONFIG_METADATA!$B$4&lt;&gt;"OR+EX",--(DATOS!$G3488=CONFIG_METADATA!$B$4),IF(DATOS!$G3488="EX",1,IF(DATOS!$G3488="OR",--(COUNTIFS(nNIA,DATOS!$A3488,nCURSO,DATOS!$D3488,nESPEC,DATOS!$E3488,nASIG,DATOS!$I3488,nEVAL,"EX")=0),0))))</f>
      </c>
      <c r="H3488">
        <f>IF(DATOS!$G3488&lt;&gt;"EX",0,--(COUNTIFS(nNIA,DATOS!$A3488,nCURSO,DATOS!$D3488,nESPEC,DATOS!$E3488,nASIG,DATOS!$I3488,nEVAL,"OR")=0))</f>
      </c>
      <c r="I3488">
        <f>IF(DATOS!$I3488="","",IFERROR(VLOOKUP(DATOS!$I3488,CONFIG_ASIGNATURAS!$B$2:$J$91,9,FALSE()),""))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IF(DATOS!$A3489="",0,IF(CONFIG_METADATA!$B$4&lt;&gt;"OR+EX",--(DATOS!$G3489=CONFIG_METADATA!$B$4),IF(DATOS!$G3489="EX",1,IF(DATOS!$G3489="OR",--(COUNTIFS(nNIA,DATOS!$A3489,nCURSO,DATOS!$D3489,nESPEC,DATOS!$E3489,nASIG,DATOS!$I3489,nEVAL,"EX")=0),0))))</f>
      </c>
      <c r="H3489">
        <f>IF(DATOS!$G3489&lt;&gt;"EX",0,--(COUNTIFS(nNIA,DATOS!$A3489,nCURSO,DATOS!$D3489,nESPEC,DATOS!$E3489,nASIG,DATOS!$I3489,nEVAL,"OR")=0))</f>
      </c>
      <c r="I3489">
        <f>IF(DATOS!$I3489="","",IFERROR(VLOOKUP(DATOS!$I3489,CONFIG_ASIGNATURAS!$B$2:$J$91,9,FALSE()),""))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IF(DATOS!$A3490="",0,IF(CONFIG_METADATA!$B$4&lt;&gt;"OR+EX",--(DATOS!$G3490=CONFIG_METADATA!$B$4),IF(DATOS!$G3490="EX",1,IF(DATOS!$G3490="OR",--(COUNTIFS(nNIA,DATOS!$A3490,nCURSO,DATOS!$D3490,nESPEC,DATOS!$E3490,nASIG,DATOS!$I3490,nEVAL,"EX")=0),0))))</f>
      </c>
      <c r="H3490">
        <f>IF(DATOS!$G3490&lt;&gt;"EX",0,--(COUNTIFS(nNIA,DATOS!$A3490,nCURSO,DATOS!$D3490,nESPEC,DATOS!$E3490,nASIG,DATOS!$I3490,nEVAL,"OR")=0))</f>
      </c>
      <c r="I3490">
        <f>IF(DATOS!$I3490="","",IFERROR(VLOOKUP(DATOS!$I3490,CONFIG_ASIGNATURAS!$B$2:$J$91,9,FALSE()),""))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IF(DATOS!$A3491="",0,IF(CONFIG_METADATA!$B$4&lt;&gt;"OR+EX",--(DATOS!$G3491=CONFIG_METADATA!$B$4),IF(DATOS!$G3491="EX",1,IF(DATOS!$G3491="OR",--(COUNTIFS(nNIA,DATOS!$A3491,nCURSO,DATOS!$D3491,nESPEC,DATOS!$E3491,nASIG,DATOS!$I3491,nEVAL,"EX")=0),0))))</f>
      </c>
      <c r="H3491">
        <f>IF(DATOS!$G3491&lt;&gt;"EX",0,--(COUNTIFS(nNIA,DATOS!$A3491,nCURSO,DATOS!$D3491,nESPEC,DATOS!$E3491,nASIG,DATOS!$I3491,nEVAL,"OR")=0))</f>
      </c>
      <c r="I3491">
        <f>IF(DATOS!$I3491="","",IFERROR(VLOOKUP(DATOS!$I3491,CONFIG_ASIGNATURAS!$B$2:$J$91,9,FALSE()),""))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IF(DATOS!$A3492="",0,IF(CONFIG_METADATA!$B$4&lt;&gt;"OR+EX",--(DATOS!$G3492=CONFIG_METADATA!$B$4),IF(DATOS!$G3492="EX",1,IF(DATOS!$G3492="OR",--(COUNTIFS(nNIA,DATOS!$A3492,nCURSO,DATOS!$D3492,nESPEC,DATOS!$E3492,nASIG,DATOS!$I3492,nEVAL,"EX")=0),0))))</f>
      </c>
      <c r="H3492">
        <f>IF(DATOS!$G3492&lt;&gt;"EX",0,--(COUNTIFS(nNIA,DATOS!$A3492,nCURSO,DATOS!$D3492,nESPEC,DATOS!$E3492,nASIG,DATOS!$I3492,nEVAL,"OR")=0))</f>
      </c>
      <c r="I3492">
        <f>IF(DATOS!$I3492="","",IFERROR(VLOOKUP(DATOS!$I3492,CONFIG_ASIGNATURAS!$B$2:$J$91,9,FALSE()),""))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IF(DATOS!$A3493="",0,IF(CONFIG_METADATA!$B$4&lt;&gt;"OR+EX",--(DATOS!$G3493=CONFIG_METADATA!$B$4),IF(DATOS!$G3493="EX",1,IF(DATOS!$G3493="OR",--(COUNTIFS(nNIA,DATOS!$A3493,nCURSO,DATOS!$D3493,nESPEC,DATOS!$E3493,nASIG,DATOS!$I3493,nEVAL,"EX")=0),0))))</f>
      </c>
      <c r="H3493">
        <f>IF(DATOS!$G3493&lt;&gt;"EX",0,--(COUNTIFS(nNIA,DATOS!$A3493,nCURSO,DATOS!$D3493,nESPEC,DATOS!$E3493,nASIG,DATOS!$I3493,nEVAL,"OR")=0))</f>
      </c>
      <c r="I3493">
        <f>IF(DATOS!$I3493="","",IFERROR(VLOOKUP(DATOS!$I3493,CONFIG_ASIGNATURAS!$B$2:$J$91,9,FALSE()),""))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IF(DATOS!$A3494="",0,IF(CONFIG_METADATA!$B$4&lt;&gt;"OR+EX",--(DATOS!$G3494=CONFIG_METADATA!$B$4),IF(DATOS!$G3494="EX",1,IF(DATOS!$G3494="OR",--(COUNTIFS(nNIA,DATOS!$A3494,nCURSO,DATOS!$D3494,nESPEC,DATOS!$E3494,nASIG,DATOS!$I3494,nEVAL,"EX")=0),0))))</f>
      </c>
      <c r="H3494">
        <f>IF(DATOS!$G3494&lt;&gt;"EX",0,--(COUNTIFS(nNIA,DATOS!$A3494,nCURSO,DATOS!$D3494,nESPEC,DATOS!$E3494,nASIG,DATOS!$I3494,nEVAL,"OR")=0))</f>
      </c>
      <c r="I3494">
        <f>IF(DATOS!$I3494="","",IFERROR(VLOOKUP(DATOS!$I3494,CONFIG_ASIGNATURAS!$B$2:$J$91,9,FALSE()),""))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IF(DATOS!$A3495="",0,IF(CONFIG_METADATA!$B$4&lt;&gt;"OR+EX",--(DATOS!$G3495=CONFIG_METADATA!$B$4),IF(DATOS!$G3495="EX",1,IF(DATOS!$G3495="OR",--(COUNTIFS(nNIA,DATOS!$A3495,nCURSO,DATOS!$D3495,nESPEC,DATOS!$E3495,nASIG,DATOS!$I3495,nEVAL,"EX")=0),0))))</f>
      </c>
      <c r="H3495">
        <f>IF(DATOS!$G3495&lt;&gt;"EX",0,--(COUNTIFS(nNIA,DATOS!$A3495,nCURSO,DATOS!$D3495,nESPEC,DATOS!$E3495,nASIG,DATOS!$I3495,nEVAL,"OR")=0))</f>
      </c>
      <c r="I3495">
        <f>IF(DATOS!$I3495="","",IFERROR(VLOOKUP(DATOS!$I3495,CONFIG_ASIGNATURAS!$B$2:$J$91,9,FALSE()),""))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IF(DATOS!$A3496="",0,IF(CONFIG_METADATA!$B$4&lt;&gt;"OR+EX",--(DATOS!$G3496=CONFIG_METADATA!$B$4),IF(DATOS!$G3496="EX",1,IF(DATOS!$G3496="OR",--(COUNTIFS(nNIA,DATOS!$A3496,nCURSO,DATOS!$D3496,nESPEC,DATOS!$E3496,nASIG,DATOS!$I3496,nEVAL,"EX")=0),0))))</f>
      </c>
      <c r="H3496">
        <f>IF(DATOS!$G3496&lt;&gt;"EX",0,--(COUNTIFS(nNIA,DATOS!$A3496,nCURSO,DATOS!$D3496,nESPEC,DATOS!$E3496,nASIG,DATOS!$I3496,nEVAL,"OR")=0))</f>
      </c>
      <c r="I3496">
        <f>IF(DATOS!$I3496="","",IFERROR(VLOOKUP(DATOS!$I3496,CONFIG_ASIGNATURAS!$B$2:$J$91,9,FALSE()),""))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IF(DATOS!$A3497="",0,IF(CONFIG_METADATA!$B$4&lt;&gt;"OR+EX",--(DATOS!$G3497=CONFIG_METADATA!$B$4),IF(DATOS!$G3497="EX",1,IF(DATOS!$G3497="OR",--(COUNTIFS(nNIA,DATOS!$A3497,nCURSO,DATOS!$D3497,nESPEC,DATOS!$E3497,nASIG,DATOS!$I3497,nEVAL,"EX")=0),0))))</f>
      </c>
      <c r="H3497">
        <f>IF(DATOS!$G3497&lt;&gt;"EX",0,--(COUNTIFS(nNIA,DATOS!$A3497,nCURSO,DATOS!$D3497,nESPEC,DATOS!$E3497,nASIG,DATOS!$I3497,nEVAL,"OR")=0))</f>
      </c>
      <c r="I3497">
        <f>IF(DATOS!$I3497="","",IFERROR(VLOOKUP(DATOS!$I3497,CONFIG_ASIGNATURAS!$B$2:$J$91,9,FALSE()),""))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IF(DATOS!$A3498="",0,IF(CONFIG_METADATA!$B$4&lt;&gt;"OR+EX",--(DATOS!$G3498=CONFIG_METADATA!$B$4),IF(DATOS!$G3498="EX",1,IF(DATOS!$G3498="OR",--(COUNTIFS(nNIA,DATOS!$A3498,nCURSO,DATOS!$D3498,nESPEC,DATOS!$E3498,nASIG,DATOS!$I3498,nEVAL,"EX")=0),0))))</f>
      </c>
      <c r="H3498">
        <f>IF(DATOS!$G3498&lt;&gt;"EX",0,--(COUNTIFS(nNIA,DATOS!$A3498,nCURSO,DATOS!$D3498,nESPEC,DATOS!$E3498,nASIG,DATOS!$I3498,nEVAL,"OR")=0))</f>
      </c>
      <c r="I3498">
        <f>IF(DATOS!$I3498="","",IFERROR(VLOOKUP(DATOS!$I3498,CONFIG_ASIGNATURAS!$B$2:$J$91,9,FALSE()),""))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IF(DATOS!$A3499="",0,IF(CONFIG_METADATA!$B$4&lt;&gt;"OR+EX",--(DATOS!$G3499=CONFIG_METADATA!$B$4),IF(DATOS!$G3499="EX",1,IF(DATOS!$G3499="OR",--(COUNTIFS(nNIA,DATOS!$A3499,nCURSO,DATOS!$D3499,nESPEC,DATOS!$E3499,nASIG,DATOS!$I3499,nEVAL,"EX")=0),0))))</f>
      </c>
      <c r="H3499">
        <f>IF(DATOS!$G3499&lt;&gt;"EX",0,--(COUNTIFS(nNIA,DATOS!$A3499,nCURSO,DATOS!$D3499,nESPEC,DATOS!$E3499,nASIG,DATOS!$I3499,nEVAL,"OR")=0))</f>
      </c>
      <c r="I3499">
        <f>IF(DATOS!$I3499="","",IFERROR(VLOOKUP(DATOS!$I3499,CONFIG_ASIGNATURAS!$B$2:$J$91,9,FALSE()),""))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IF(DATOS!$A3500="",0,IF(CONFIG_METADATA!$B$4&lt;&gt;"OR+EX",--(DATOS!$G3500=CONFIG_METADATA!$B$4),IF(DATOS!$G3500="EX",1,IF(DATOS!$G3500="OR",--(COUNTIFS(nNIA,DATOS!$A3500,nCURSO,DATOS!$D3500,nESPEC,DATOS!$E3500,nASIG,DATOS!$I3500,nEVAL,"EX")=0),0))))</f>
      </c>
      <c r="H3500">
        <f>IF(DATOS!$G3500&lt;&gt;"EX",0,--(COUNTIFS(nNIA,DATOS!$A3500,nCURSO,DATOS!$D3500,nESPEC,DATOS!$E3500,nASIG,DATOS!$I3500,nEVAL,"OR")=0))</f>
      </c>
      <c r="I3500">
        <f>IF(DATOS!$I3500="","",IFERROR(VLOOKUP(DATOS!$I3500,CONFIG_ASIGNATURAS!$B$2:$J$91,9,FALSE()),""))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IF(DATOS!$A3501="",0,IF(CONFIG_METADATA!$B$4&lt;&gt;"OR+EX",--(DATOS!$G3501=CONFIG_METADATA!$B$4),IF(DATOS!$G3501="EX",1,IF(DATOS!$G3501="OR",--(COUNTIFS(nNIA,DATOS!$A3501,nCURSO,DATOS!$D3501,nESPEC,DATOS!$E3501,nASIG,DATOS!$I3501,nEVAL,"EX")=0),0))))</f>
      </c>
      <c r="H3501">
        <f>IF(DATOS!$G3501&lt;&gt;"EX",0,--(COUNTIFS(nNIA,DATOS!$A3501,nCURSO,DATOS!$D3501,nESPEC,DATOS!$E3501,nASIG,DATOS!$I3501,nEVAL,"OR")=0))</f>
      </c>
      <c r="I3501">
        <f>IF(DATOS!$I3501="","",IFERROR(VLOOKUP(DATOS!$I3501,CONFIG_ASIGNATURAS!$B$2:$J$91,9,FALSE()),""))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IF(DATOS!$A3502="",0,IF(CONFIG_METADATA!$B$4&lt;&gt;"OR+EX",--(DATOS!$G3502=CONFIG_METADATA!$B$4),IF(DATOS!$G3502="EX",1,IF(DATOS!$G3502="OR",--(COUNTIFS(nNIA,DATOS!$A3502,nCURSO,DATOS!$D3502,nESPEC,DATOS!$E3502,nASIG,DATOS!$I3502,nEVAL,"EX")=0),0))))</f>
      </c>
      <c r="H3502">
        <f>IF(DATOS!$G3502&lt;&gt;"EX",0,--(COUNTIFS(nNIA,DATOS!$A3502,nCURSO,DATOS!$D3502,nESPEC,DATOS!$E3502,nASIG,DATOS!$I3502,nEVAL,"OR")=0))</f>
      </c>
      <c r="I3502">
        <f>IF(DATOS!$I3502="","",IFERROR(VLOOKUP(DATOS!$I3502,CONFIG_ASIGNATURAS!$B$2:$J$91,9,FALSE()),""))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IF(DATOS!$A3503="",0,IF(CONFIG_METADATA!$B$4&lt;&gt;"OR+EX",--(DATOS!$G3503=CONFIG_METADATA!$B$4),IF(DATOS!$G3503="EX",1,IF(DATOS!$G3503="OR",--(COUNTIFS(nNIA,DATOS!$A3503,nCURSO,DATOS!$D3503,nESPEC,DATOS!$E3503,nASIG,DATOS!$I3503,nEVAL,"EX")=0),0))))</f>
      </c>
      <c r="H3503">
        <f>IF(DATOS!$G3503&lt;&gt;"EX",0,--(COUNTIFS(nNIA,DATOS!$A3503,nCURSO,DATOS!$D3503,nESPEC,DATOS!$E3503,nASIG,DATOS!$I3503,nEVAL,"OR")=0))</f>
      </c>
      <c r="I3503">
        <f>IF(DATOS!$I3503="","",IFERROR(VLOOKUP(DATOS!$I3503,CONFIG_ASIGNATURAS!$B$2:$J$91,9,FALSE()),""))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IF(DATOS!$A3504="",0,IF(CONFIG_METADATA!$B$4&lt;&gt;"OR+EX",--(DATOS!$G3504=CONFIG_METADATA!$B$4),IF(DATOS!$G3504="EX",1,IF(DATOS!$G3504="OR",--(COUNTIFS(nNIA,DATOS!$A3504,nCURSO,DATOS!$D3504,nESPEC,DATOS!$E3504,nASIG,DATOS!$I3504,nEVAL,"EX")=0),0))))</f>
      </c>
      <c r="H3504">
        <f>IF(DATOS!$G3504&lt;&gt;"EX",0,--(COUNTIFS(nNIA,DATOS!$A3504,nCURSO,DATOS!$D3504,nESPEC,DATOS!$E3504,nASIG,DATOS!$I3504,nEVAL,"OR")=0))</f>
      </c>
      <c r="I3504">
        <f>IF(DATOS!$I3504="","",IFERROR(VLOOKUP(DATOS!$I3504,CONFIG_ASIGNATURAS!$B$2:$J$91,9,FALSE()),""))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IF(DATOS!$A3505="",0,IF(CONFIG_METADATA!$B$4&lt;&gt;"OR+EX",--(DATOS!$G3505=CONFIG_METADATA!$B$4),IF(DATOS!$G3505="EX",1,IF(DATOS!$G3505="OR",--(COUNTIFS(nNIA,DATOS!$A3505,nCURSO,DATOS!$D3505,nESPEC,DATOS!$E3505,nASIG,DATOS!$I3505,nEVAL,"EX")=0),0))))</f>
      </c>
      <c r="H3505">
        <f>IF(DATOS!$G3505&lt;&gt;"EX",0,--(COUNTIFS(nNIA,DATOS!$A3505,nCURSO,DATOS!$D3505,nESPEC,DATOS!$E3505,nASIG,DATOS!$I3505,nEVAL,"OR")=0))</f>
      </c>
      <c r="I3505">
        <f>IF(DATOS!$I3505="","",IFERROR(VLOOKUP(DATOS!$I3505,CONFIG_ASIGNATURAS!$B$2:$J$91,9,FALSE()),""))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IF(DATOS!$A3506="",0,IF(CONFIG_METADATA!$B$4&lt;&gt;"OR+EX",--(DATOS!$G3506=CONFIG_METADATA!$B$4),IF(DATOS!$G3506="EX",1,IF(DATOS!$G3506="OR",--(COUNTIFS(nNIA,DATOS!$A3506,nCURSO,DATOS!$D3506,nESPEC,DATOS!$E3506,nASIG,DATOS!$I3506,nEVAL,"EX")=0),0))))</f>
      </c>
      <c r="H3506">
        <f>IF(DATOS!$G3506&lt;&gt;"EX",0,--(COUNTIFS(nNIA,DATOS!$A3506,nCURSO,DATOS!$D3506,nESPEC,DATOS!$E3506,nASIG,DATOS!$I3506,nEVAL,"OR")=0))</f>
      </c>
      <c r="I3506">
        <f>IF(DATOS!$I3506="","",IFERROR(VLOOKUP(DATOS!$I3506,CONFIG_ASIGNATURAS!$B$2:$J$91,9,FALSE()),""))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IF(DATOS!$A3507="",0,IF(CONFIG_METADATA!$B$4&lt;&gt;"OR+EX",--(DATOS!$G3507=CONFIG_METADATA!$B$4),IF(DATOS!$G3507="EX",1,IF(DATOS!$G3507="OR",--(COUNTIFS(nNIA,DATOS!$A3507,nCURSO,DATOS!$D3507,nESPEC,DATOS!$E3507,nASIG,DATOS!$I3507,nEVAL,"EX")=0),0))))</f>
      </c>
      <c r="H3507">
        <f>IF(DATOS!$G3507&lt;&gt;"EX",0,--(COUNTIFS(nNIA,DATOS!$A3507,nCURSO,DATOS!$D3507,nESPEC,DATOS!$E3507,nASIG,DATOS!$I3507,nEVAL,"OR")=0))</f>
      </c>
      <c r="I3507">
        <f>IF(DATOS!$I3507="","",IFERROR(VLOOKUP(DATOS!$I3507,CONFIG_ASIGNATURAS!$B$2:$J$91,9,FALSE()),""))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IF(DATOS!$A3508="",0,IF(CONFIG_METADATA!$B$4&lt;&gt;"OR+EX",--(DATOS!$G3508=CONFIG_METADATA!$B$4),IF(DATOS!$G3508="EX",1,IF(DATOS!$G3508="OR",--(COUNTIFS(nNIA,DATOS!$A3508,nCURSO,DATOS!$D3508,nESPEC,DATOS!$E3508,nASIG,DATOS!$I3508,nEVAL,"EX")=0),0))))</f>
      </c>
      <c r="H3508">
        <f>IF(DATOS!$G3508&lt;&gt;"EX",0,--(COUNTIFS(nNIA,DATOS!$A3508,nCURSO,DATOS!$D3508,nESPEC,DATOS!$E3508,nASIG,DATOS!$I3508,nEVAL,"OR")=0))</f>
      </c>
      <c r="I3508">
        <f>IF(DATOS!$I3508="","",IFERROR(VLOOKUP(DATOS!$I3508,CONFIG_ASIGNATURAS!$B$2:$J$91,9,FALSE()),""))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IF(DATOS!$A3509="",0,IF(CONFIG_METADATA!$B$4&lt;&gt;"OR+EX",--(DATOS!$G3509=CONFIG_METADATA!$B$4),IF(DATOS!$G3509="EX",1,IF(DATOS!$G3509="OR",--(COUNTIFS(nNIA,DATOS!$A3509,nCURSO,DATOS!$D3509,nESPEC,DATOS!$E3509,nASIG,DATOS!$I3509,nEVAL,"EX")=0),0))))</f>
      </c>
      <c r="H3509">
        <f>IF(DATOS!$G3509&lt;&gt;"EX",0,--(COUNTIFS(nNIA,DATOS!$A3509,nCURSO,DATOS!$D3509,nESPEC,DATOS!$E3509,nASIG,DATOS!$I3509,nEVAL,"OR")=0))</f>
      </c>
      <c r="I3509">
        <f>IF(DATOS!$I3509="","",IFERROR(VLOOKUP(DATOS!$I3509,CONFIG_ASIGNATURAS!$B$2:$J$91,9,FALSE()),""))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IF(DATOS!$A3510="",0,IF(CONFIG_METADATA!$B$4&lt;&gt;"OR+EX",--(DATOS!$G3510=CONFIG_METADATA!$B$4),IF(DATOS!$G3510="EX",1,IF(DATOS!$G3510="OR",--(COUNTIFS(nNIA,DATOS!$A3510,nCURSO,DATOS!$D3510,nESPEC,DATOS!$E3510,nASIG,DATOS!$I3510,nEVAL,"EX")=0),0))))</f>
      </c>
      <c r="H3510">
        <f>IF(DATOS!$G3510&lt;&gt;"EX",0,--(COUNTIFS(nNIA,DATOS!$A3510,nCURSO,DATOS!$D3510,nESPEC,DATOS!$E3510,nASIG,DATOS!$I3510,nEVAL,"OR")=0))</f>
      </c>
      <c r="I3510">
        <f>IF(DATOS!$I3510="","",IFERROR(VLOOKUP(DATOS!$I3510,CONFIG_ASIGNATURAS!$B$2:$J$91,9,FALSE()),""))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IF(DATOS!$A3511="",0,IF(CONFIG_METADATA!$B$4&lt;&gt;"OR+EX",--(DATOS!$G3511=CONFIG_METADATA!$B$4),IF(DATOS!$G3511="EX",1,IF(DATOS!$G3511="OR",--(COUNTIFS(nNIA,DATOS!$A3511,nCURSO,DATOS!$D3511,nESPEC,DATOS!$E3511,nASIG,DATOS!$I3511,nEVAL,"EX")=0),0))))</f>
      </c>
      <c r="H3511">
        <f>IF(DATOS!$G3511&lt;&gt;"EX",0,--(COUNTIFS(nNIA,DATOS!$A3511,nCURSO,DATOS!$D3511,nESPEC,DATOS!$E3511,nASIG,DATOS!$I3511,nEVAL,"OR")=0))</f>
      </c>
      <c r="I3511">
        <f>IF(DATOS!$I3511="","",IFERROR(VLOOKUP(DATOS!$I3511,CONFIG_ASIGNATURAS!$B$2:$J$91,9,FALSE()),""))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IF(DATOS!$A3512="",0,IF(CONFIG_METADATA!$B$4&lt;&gt;"OR+EX",--(DATOS!$G3512=CONFIG_METADATA!$B$4),IF(DATOS!$G3512="EX",1,IF(DATOS!$G3512="OR",--(COUNTIFS(nNIA,DATOS!$A3512,nCURSO,DATOS!$D3512,nESPEC,DATOS!$E3512,nASIG,DATOS!$I3512,nEVAL,"EX")=0),0))))</f>
      </c>
      <c r="H3512">
        <f>IF(DATOS!$G3512&lt;&gt;"EX",0,--(COUNTIFS(nNIA,DATOS!$A3512,nCURSO,DATOS!$D3512,nESPEC,DATOS!$E3512,nASIG,DATOS!$I3512,nEVAL,"OR")=0))</f>
      </c>
      <c r="I3512">
        <f>IF(DATOS!$I3512="","",IFERROR(VLOOKUP(DATOS!$I3512,CONFIG_ASIGNATURAS!$B$2:$J$91,9,FALSE()),""))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IF(DATOS!$A3513="",0,IF(CONFIG_METADATA!$B$4&lt;&gt;"OR+EX",--(DATOS!$G3513=CONFIG_METADATA!$B$4),IF(DATOS!$G3513="EX",1,IF(DATOS!$G3513="OR",--(COUNTIFS(nNIA,DATOS!$A3513,nCURSO,DATOS!$D3513,nESPEC,DATOS!$E3513,nASIG,DATOS!$I3513,nEVAL,"EX")=0),0))))</f>
      </c>
      <c r="H3513">
        <f>IF(DATOS!$G3513&lt;&gt;"EX",0,--(COUNTIFS(nNIA,DATOS!$A3513,nCURSO,DATOS!$D3513,nESPEC,DATOS!$E3513,nASIG,DATOS!$I3513,nEVAL,"OR")=0))</f>
      </c>
      <c r="I3513">
        <f>IF(DATOS!$I3513="","",IFERROR(VLOOKUP(DATOS!$I3513,CONFIG_ASIGNATURAS!$B$2:$J$91,9,FALSE()),""))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IF(DATOS!$A3514="",0,IF(CONFIG_METADATA!$B$4&lt;&gt;"OR+EX",--(DATOS!$G3514=CONFIG_METADATA!$B$4),IF(DATOS!$G3514="EX",1,IF(DATOS!$G3514="OR",--(COUNTIFS(nNIA,DATOS!$A3514,nCURSO,DATOS!$D3514,nESPEC,DATOS!$E3514,nASIG,DATOS!$I3514,nEVAL,"EX")=0),0))))</f>
      </c>
      <c r="H3514">
        <f>IF(DATOS!$G3514&lt;&gt;"EX",0,--(COUNTIFS(nNIA,DATOS!$A3514,nCURSO,DATOS!$D3514,nESPEC,DATOS!$E3514,nASIG,DATOS!$I3514,nEVAL,"OR")=0))</f>
      </c>
      <c r="I3514">
        <f>IF(DATOS!$I3514="","",IFERROR(VLOOKUP(DATOS!$I3514,CONFIG_ASIGNATURAS!$B$2:$J$91,9,FALSE()),""))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IF(DATOS!$A3515="",0,IF(CONFIG_METADATA!$B$4&lt;&gt;"OR+EX",--(DATOS!$G3515=CONFIG_METADATA!$B$4),IF(DATOS!$G3515="EX",1,IF(DATOS!$G3515="OR",--(COUNTIFS(nNIA,DATOS!$A3515,nCURSO,DATOS!$D3515,nESPEC,DATOS!$E3515,nASIG,DATOS!$I3515,nEVAL,"EX")=0),0))))</f>
      </c>
      <c r="H3515">
        <f>IF(DATOS!$G3515&lt;&gt;"EX",0,--(COUNTIFS(nNIA,DATOS!$A3515,nCURSO,DATOS!$D3515,nESPEC,DATOS!$E3515,nASIG,DATOS!$I3515,nEVAL,"OR")=0))</f>
      </c>
      <c r="I3515">
        <f>IF(DATOS!$I3515="","",IFERROR(VLOOKUP(DATOS!$I3515,CONFIG_ASIGNATURAS!$B$2:$J$91,9,FALSE()),""))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IF(DATOS!$A3516="",0,IF(CONFIG_METADATA!$B$4&lt;&gt;"OR+EX",--(DATOS!$G3516=CONFIG_METADATA!$B$4),IF(DATOS!$G3516="EX",1,IF(DATOS!$G3516="OR",--(COUNTIFS(nNIA,DATOS!$A3516,nCURSO,DATOS!$D3516,nESPEC,DATOS!$E3516,nASIG,DATOS!$I3516,nEVAL,"EX")=0),0))))</f>
      </c>
      <c r="H3516">
        <f>IF(DATOS!$G3516&lt;&gt;"EX",0,--(COUNTIFS(nNIA,DATOS!$A3516,nCURSO,DATOS!$D3516,nESPEC,DATOS!$E3516,nASIG,DATOS!$I3516,nEVAL,"OR")=0))</f>
      </c>
      <c r="I3516">
        <f>IF(DATOS!$I3516="","",IFERROR(VLOOKUP(DATOS!$I3516,CONFIG_ASIGNATURAS!$B$2:$J$91,9,FALSE()),""))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IF(DATOS!$A3517="",0,IF(CONFIG_METADATA!$B$4&lt;&gt;"OR+EX",--(DATOS!$G3517=CONFIG_METADATA!$B$4),IF(DATOS!$G3517="EX",1,IF(DATOS!$G3517="OR",--(COUNTIFS(nNIA,DATOS!$A3517,nCURSO,DATOS!$D3517,nESPEC,DATOS!$E3517,nASIG,DATOS!$I3517,nEVAL,"EX")=0),0))))</f>
      </c>
      <c r="H3517">
        <f>IF(DATOS!$G3517&lt;&gt;"EX",0,--(COUNTIFS(nNIA,DATOS!$A3517,nCURSO,DATOS!$D3517,nESPEC,DATOS!$E3517,nASIG,DATOS!$I3517,nEVAL,"OR")=0))</f>
      </c>
      <c r="I3517">
        <f>IF(DATOS!$I3517="","",IFERROR(VLOOKUP(DATOS!$I3517,CONFIG_ASIGNATURAS!$B$2:$J$91,9,FALSE()),""))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IF(DATOS!$A3518="",0,IF(CONFIG_METADATA!$B$4&lt;&gt;"OR+EX",--(DATOS!$G3518=CONFIG_METADATA!$B$4),IF(DATOS!$G3518="EX",1,IF(DATOS!$G3518="OR",--(COUNTIFS(nNIA,DATOS!$A3518,nCURSO,DATOS!$D3518,nESPEC,DATOS!$E3518,nASIG,DATOS!$I3518,nEVAL,"EX")=0),0))))</f>
      </c>
      <c r="H3518">
        <f>IF(DATOS!$G3518&lt;&gt;"EX",0,--(COUNTIFS(nNIA,DATOS!$A3518,nCURSO,DATOS!$D3518,nESPEC,DATOS!$E3518,nASIG,DATOS!$I3518,nEVAL,"OR")=0))</f>
      </c>
      <c r="I3518">
        <f>IF(DATOS!$I3518="","",IFERROR(VLOOKUP(DATOS!$I3518,CONFIG_ASIGNATURAS!$B$2:$J$91,9,FALSE()),""))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IF(DATOS!$A3519="",0,IF(CONFIG_METADATA!$B$4&lt;&gt;"OR+EX",--(DATOS!$G3519=CONFIG_METADATA!$B$4),IF(DATOS!$G3519="EX",1,IF(DATOS!$G3519="OR",--(COUNTIFS(nNIA,DATOS!$A3519,nCURSO,DATOS!$D3519,nESPEC,DATOS!$E3519,nASIG,DATOS!$I3519,nEVAL,"EX")=0),0))))</f>
      </c>
      <c r="H3519">
        <f>IF(DATOS!$G3519&lt;&gt;"EX",0,--(COUNTIFS(nNIA,DATOS!$A3519,nCURSO,DATOS!$D3519,nESPEC,DATOS!$E3519,nASIG,DATOS!$I3519,nEVAL,"OR")=0))</f>
      </c>
      <c r="I3519">
        <f>IF(DATOS!$I3519="","",IFERROR(VLOOKUP(DATOS!$I3519,CONFIG_ASIGNATURAS!$B$2:$J$91,9,FALSE()),""))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IF(DATOS!$A3520="",0,IF(CONFIG_METADATA!$B$4&lt;&gt;"OR+EX",--(DATOS!$G3520=CONFIG_METADATA!$B$4),IF(DATOS!$G3520="EX",1,IF(DATOS!$G3520="OR",--(COUNTIFS(nNIA,DATOS!$A3520,nCURSO,DATOS!$D3520,nESPEC,DATOS!$E3520,nASIG,DATOS!$I3520,nEVAL,"EX")=0),0))))</f>
      </c>
      <c r="H3520">
        <f>IF(DATOS!$G3520&lt;&gt;"EX",0,--(COUNTIFS(nNIA,DATOS!$A3520,nCURSO,DATOS!$D3520,nESPEC,DATOS!$E3520,nASIG,DATOS!$I3520,nEVAL,"OR")=0))</f>
      </c>
      <c r="I3520">
        <f>IF(DATOS!$I3520="","",IFERROR(VLOOKUP(DATOS!$I3520,CONFIG_ASIGNATURAS!$B$2:$J$91,9,FALSE()),""))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IF(DATOS!$A3521="",0,IF(CONFIG_METADATA!$B$4&lt;&gt;"OR+EX",--(DATOS!$G3521=CONFIG_METADATA!$B$4),IF(DATOS!$G3521="EX",1,IF(DATOS!$G3521="OR",--(COUNTIFS(nNIA,DATOS!$A3521,nCURSO,DATOS!$D3521,nESPEC,DATOS!$E3521,nASIG,DATOS!$I3521,nEVAL,"EX")=0),0))))</f>
      </c>
      <c r="H3521">
        <f>IF(DATOS!$G3521&lt;&gt;"EX",0,--(COUNTIFS(nNIA,DATOS!$A3521,nCURSO,DATOS!$D3521,nESPEC,DATOS!$E3521,nASIG,DATOS!$I3521,nEVAL,"OR")=0))</f>
      </c>
      <c r="I3521">
        <f>IF(DATOS!$I3521="","",IFERROR(VLOOKUP(DATOS!$I3521,CONFIG_ASIGNATURAS!$B$2:$J$91,9,FALSE()),""))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IF(DATOS!$A3522="",0,IF(CONFIG_METADATA!$B$4&lt;&gt;"OR+EX",--(DATOS!$G3522=CONFIG_METADATA!$B$4),IF(DATOS!$G3522="EX",1,IF(DATOS!$G3522="OR",--(COUNTIFS(nNIA,DATOS!$A3522,nCURSO,DATOS!$D3522,nESPEC,DATOS!$E3522,nASIG,DATOS!$I3522,nEVAL,"EX")=0),0))))</f>
      </c>
      <c r="H3522">
        <f>IF(DATOS!$G3522&lt;&gt;"EX",0,--(COUNTIFS(nNIA,DATOS!$A3522,nCURSO,DATOS!$D3522,nESPEC,DATOS!$E3522,nASIG,DATOS!$I3522,nEVAL,"OR")=0))</f>
      </c>
      <c r="I3522">
        <f>IF(DATOS!$I3522="","",IFERROR(VLOOKUP(DATOS!$I3522,CONFIG_ASIGNATURAS!$B$2:$J$91,9,FALSE()),""))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IF(DATOS!$A3523="",0,IF(CONFIG_METADATA!$B$4&lt;&gt;"OR+EX",--(DATOS!$G3523=CONFIG_METADATA!$B$4),IF(DATOS!$G3523="EX",1,IF(DATOS!$G3523="OR",--(COUNTIFS(nNIA,DATOS!$A3523,nCURSO,DATOS!$D3523,nESPEC,DATOS!$E3523,nASIG,DATOS!$I3523,nEVAL,"EX")=0),0))))</f>
      </c>
      <c r="H3523">
        <f>IF(DATOS!$G3523&lt;&gt;"EX",0,--(COUNTIFS(nNIA,DATOS!$A3523,nCURSO,DATOS!$D3523,nESPEC,DATOS!$E3523,nASIG,DATOS!$I3523,nEVAL,"OR")=0))</f>
      </c>
      <c r="I3523">
        <f>IF(DATOS!$I3523="","",IFERROR(VLOOKUP(DATOS!$I3523,CONFIG_ASIGNATURAS!$B$2:$J$91,9,FALSE()),""))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IF(DATOS!$A3524="",0,IF(CONFIG_METADATA!$B$4&lt;&gt;"OR+EX",--(DATOS!$G3524=CONFIG_METADATA!$B$4),IF(DATOS!$G3524="EX",1,IF(DATOS!$G3524="OR",--(COUNTIFS(nNIA,DATOS!$A3524,nCURSO,DATOS!$D3524,nESPEC,DATOS!$E3524,nASIG,DATOS!$I3524,nEVAL,"EX")=0),0))))</f>
      </c>
      <c r="H3524">
        <f>IF(DATOS!$G3524&lt;&gt;"EX",0,--(COUNTIFS(nNIA,DATOS!$A3524,nCURSO,DATOS!$D3524,nESPEC,DATOS!$E3524,nASIG,DATOS!$I3524,nEVAL,"OR")=0))</f>
      </c>
      <c r="I3524">
        <f>IF(DATOS!$I3524="","",IFERROR(VLOOKUP(DATOS!$I3524,CONFIG_ASIGNATURAS!$B$2:$J$91,9,FALSE()),""))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IF(DATOS!$A3525="",0,IF(CONFIG_METADATA!$B$4&lt;&gt;"OR+EX",--(DATOS!$G3525=CONFIG_METADATA!$B$4),IF(DATOS!$G3525="EX",1,IF(DATOS!$G3525="OR",--(COUNTIFS(nNIA,DATOS!$A3525,nCURSO,DATOS!$D3525,nESPEC,DATOS!$E3525,nASIG,DATOS!$I3525,nEVAL,"EX")=0),0))))</f>
      </c>
      <c r="H3525">
        <f>IF(DATOS!$G3525&lt;&gt;"EX",0,--(COUNTIFS(nNIA,DATOS!$A3525,nCURSO,DATOS!$D3525,nESPEC,DATOS!$E3525,nASIG,DATOS!$I3525,nEVAL,"OR")=0))</f>
      </c>
      <c r="I3525">
        <f>IF(DATOS!$I3525="","",IFERROR(VLOOKUP(DATOS!$I3525,CONFIG_ASIGNATURAS!$B$2:$J$91,9,FALSE()),""))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IF(DATOS!$A3526="",0,IF(CONFIG_METADATA!$B$4&lt;&gt;"OR+EX",--(DATOS!$G3526=CONFIG_METADATA!$B$4),IF(DATOS!$G3526="EX",1,IF(DATOS!$G3526="OR",--(COUNTIFS(nNIA,DATOS!$A3526,nCURSO,DATOS!$D3526,nESPEC,DATOS!$E3526,nASIG,DATOS!$I3526,nEVAL,"EX")=0),0))))</f>
      </c>
      <c r="H3526">
        <f>IF(DATOS!$G3526&lt;&gt;"EX",0,--(COUNTIFS(nNIA,DATOS!$A3526,nCURSO,DATOS!$D3526,nESPEC,DATOS!$E3526,nASIG,DATOS!$I3526,nEVAL,"OR")=0))</f>
      </c>
      <c r="I3526">
        <f>IF(DATOS!$I3526="","",IFERROR(VLOOKUP(DATOS!$I3526,CONFIG_ASIGNATURAS!$B$2:$J$91,9,FALSE()),""))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IF(DATOS!$A3527="",0,IF(CONFIG_METADATA!$B$4&lt;&gt;"OR+EX",--(DATOS!$G3527=CONFIG_METADATA!$B$4),IF(DATOS!$G3527="EX",1,IF(DATOS!$G3527="OR",--(COUNTIFS(nNIA,DATOS!$A3527,nCURSO,DATOS!$D3527,nESPEC,DATOS!$E3527,nASIG,DATOS!$I3527,nEVAL,"EX")=0),0))))</f>
      </c>
      <c r="H3527">
        <f>IF(DATOS!$G3527&lt;&gt;"EX",0,--(COUNTIFS(nNIA,DATOS!$A3527,nCURSO,DATOS!$D3527,nESPEC,DATOS!$E3527,nASIG,DATOS!$I3527,nEVAL,"OR")=0))</f>
      </c>
      <c r="I3527">
        <f>IF(DATOS!$I3527="","",IFERROR(VLOOKUP(DATOS!$I3527,CONFIG_ASIGNATURAS!$B$2:$J$91,9,FALSE()),""))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IF(DATOS!$A3528="",0,IF(CONFIG_METADATA!$B$4&lt;&gt;"OR+EX",--(DATOS!$G3528=CONFIG_METADATA!$B$4),IF(DATOS!$G3528="EX",1,IF(DATOS!$G3528="OR",--(COUNTIFS(nNIA,DATOS!$A3528,nCURSO,DATOS!$D3528,nESPEC,DATOS!$E3528,nASIG,DATOS!$I3528,nEVAL,"EX")=0),0))))</f>
      </c>
      <c r="H3528">
        <f>IF(DATOS!$G3528&lt;&gt;"EX",0,--(COUNTIFS(nNIA,DATOS!$A3528,nCURSO,DATOS!$D3528,nESPEC,DATOS!$E3528,nASIG,DATOS!$I3528,nEVAL,"OR")=0))</f>
      </c>
      <c r="I3528">
        <f>IF(DATOS!$I3528="","",IFERROR(VLOOKUP(DATOS!$I3528,CONFIG_ASIGNATURAS!$B$2:$J$91,9,FALSE()),""))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IF(DATOS!$A3529="",0,IF(CONFIG_METADATA!$B$4&lt;&gt;"OR+EX",--(DATOS!$G3529=CONFIG_METADATA!$B$4),IF(DATOS!$G3529="EX",1,IF(DATOS!$G3529="OR",--(COUNTIFS(nNIA,DATOS!$A3529,nCURSO,DATOS!$D3529,nESPEC,DATOS!$E3529,nASIG,DATOS!$I3529,nEVAL,"EX")=0),0))))</f>
      </c>
      <c r="H3529">
        <f>IF(DATOS!$G3529&lt;&gt;"EX",0,--(COUNTIFS(nNIA,DATOS!$A3529,nCURSO,DATOS!$D3529,nESPEC,DATOS!$E3529,nASIG,DATOS!$I3529,nEVAL,"OR")=0))</f>
      </c>
      <c r="I3529">
        <f>IF(DATOS!$I3529="","",IFERROR(VLOOKUP(DATOS!$I3529,CONFIG_ASIGNATURAS!$B$2:$J$91,9,FALSE()),""))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IF(DATOS!$A3530="",0,IF(CONFIG_METADATA!$B$4&lt;&gt;"OR+EX",--(DATOS!$G3530=CONFIG_METADATA!$B$4),IF(DATOS!$G3530="EX",1,IF(DATOS!$G3530="OR",--(COUNTIFS(nNIA,DATOS!$A3530,nCURSO,DATOS!$D3530,nESPEC,DATOS!$E3530,nASIG,DATOS!$I3530,nEVAL,"EX")=0),0))))</f>
      </c>
      <c r="H3530">
        <f>IF(DATOS!$G3530&lt;&gt;"EX",0,--(COUNTIFS(nNIA,DATOS!$A3530,nCURSO,DATOS!$D3530,nESPEC,DATOS!$E3530,nASIG,DATOS!$I3530,nEVAL,"OR")=0))</f>
      </c>
      <c r="I3530">
        <f>IF(DATOS!$I3530="","",IFERROR(VLOOKUP(DATOS!$I3530,CONFIG_ASIGNATURAS!$B$2:$J$91,9,FALSE()),""))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IF(DATOS!$A3531="",0,IF(CONFIG_METADATA!$B$4&lt;&gt;"OR+EX",--(DATOS!$G3531=CONFIG_METADATA!$B$4),IF(DATOS!$G3531="EX",1,IF(DATOS!$G3531="OR",--(COUNTIFS(nNIA,DATOS!$A3531,nCURSO,DATOS!$D3531,nESPEC,DATOS!$E3531,nASIG,DATOS!$I3531,nEVAL,"EX")=0),0))))</f>
      </c>
      <c r="H3531">
        <f>IF(DATOS!$G3531&lt;&gt;"EX",0,--(COUNTIFS(nNIA,DATOS!$A3531,nCURSO,DATOS!$D3531,nESPEC,DATOS!$E3531,nASIG,DATOS!$I3531,nEVAL,"OR")=0))</f>
      </c>
      <c r="I3531">
        <f>IF(DATOS!$I3531="","",IFERROR(VLOOKUP(DATOS!$I3531,CONFIG_ASIGNATURAS!$B$2:$J$91,9,FALSE()),""))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IF(DATOS!$A3532="",0,IF(CONFIG_METADATA!$B$4&lt;&gt;"OR+EX",--(DATOS!$G3532=CONFIG_METADATA!$B$4),IF(DATOS!$G3532="EX",1,IF(DATOS!$G3532="OR",--(COUNTIFS(nNIA,DATOS!$A3532,nCURSO,DATOS!$D3532,nESPEC,DATOS!$E3532,nASIG,DATOS!$I3532,nEVAL,"EX")=0),0))))</f>
      </c>
      <c r="H3532">
        <f>IF(DATOS!$G3532&lt;&gt;"EX",0,--(COUNTIFS(nNIA,DATOS!$A3532,nCURSO,DATOS!$D3532,nESPEC,DATOS!$E3532,nASIG,DATOS!$I3532,nEVAL,"OR")=0))</f>
      </c>
      <c r="I3532">
        <f>IF(DATOS!$I3532="","",IFERROR(VLOOKUP(DATOS!$I3532,CONFIG_ASIGNATURAS!$B$2:$J$91,9,FALSE()),""))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IF(DATOS!$A3533="",0,IF(CONFIG_METADATA!$B$4&lt;&gt;"OR+EX",--(DATOS!$G3533=CONFIG_METADATA!$B$4),IF(DATOS!$G3533="EX",1,IF(DATOS!$G3533="OR",--(COUNTIFS(nNIA,DATOS!$A3533,nCURSO,DATOS!$D3533,nESPEC,DATOS!$E3533,nASIG,DATOS!$I3533,nEVAL,"EX")=0),0))))</f>
      </c>
      <c r="H3533">
        <f>IF(DATOS!$G3533&lt;&gt;"EX",0,--(COUNTIFS(nNIA,DATOS!$A3533,nCURSO,DATOS!$D3533,nESPEC,DATOS!$E3533,nASIG,DATOS!$I3533,nEVAL,"OR")=0))</f>
      </c>
      <c r="I3533">
        <f>IF(DATOS!$I3533="","",IFERROR(VLOOKUP(DATOS!$I3533,CONFIG_ASIGNATURAS!$B$2:$J$91,9,FALSE()),""))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IF(DATOS!$A3534="",0,IF(CONFIG_METADATA!$B$4&lt;&gt;"OR+EX",--(DATOS!$G3534=CONFIG_METADATA!$B$4),IF(DATOS!$G3534="EX",1,IF(DATOS!$G3534="OR",--(COUNTIFS(nNIA,DATOS!$A3534,nCURSO,DATOS!$D3534,nESPEC,DATOS!$E3534,nASIG,DATOS!$I3534,nEVAL,"EX")=0),0))))</f>
      </c>
      <c r="H3534">
        <f>IF(DATOS!$G3534&lt;&gt;"EX",0,--(COUNTIFS(nNIA,DATOS!$A3534,nCURSO,DATOS!$D3534,nESPEC,DATOS!$E3534,nASIG,DATOS!$I3534,nEVAL,"OR")=0))</f>
      </c>
      <c r="I3534">
        <f>IF(DATOS!$I3534="","",IFERROR(VLOOKUP(DATOS!$I3534,CONFIG_ASIGNATURAS!$B$2:$J$91,9,FALSE()),""))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IF(DATOS!$A3535="",0,IF(CONFIG_METADATA!$B$4&lt;&gt;"OR+EX",--(DATOS!$G3535=CONFIG_METADATA!$B$4),IF(DATOS!$G3535="EX",1,IF(DATOS!$G3535="OR",--(COUNTIFS(nNIA,DATOS!$A3535,nCURSO,DATOS!$D3535,nESPEC,DATOS!$E3535,nASIG,DATOS!$I3535,nEVAL,"EX")=0),0))))</f>
      </c>
      <c r="H3535">
        <f>IF(DATOS!$G3535&lt;&gt;"EX",0,--(COUNTIFS(nNIA,DATOS!$A3535,nCURSO,DATOS!$D3535,nESPEC,DATOS!$E3535,nASIG,DATOS!$I3535,nEVAL,"OR")=0))</f>
      </c>
      <c r="I3535">
        <f>IF(DATOS!$I3535="","",IFERROR(VLOOKUP(DATOS!$I3535,CONFIG_ASIGNATURAS!$B$2:$J$91,9,FALSE()),""))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IF(DATOS!$A3536="",0,IF(CONFIG_METADATA!$B$4&lt;&gt;"OR+EX",--(DATOS!$G3536=CONFIG_METADATA!$B$4),IF(DATOS!$G3536="EX",1,IF(DATOS!$G3536="OR",--(COUNTIFS(nNIA,DATOS!$A3536,nCURSO,DATOS!$D3536,nESPEC,DATOS!$E3536,nASIG,DATOS!$I3536,nEVAL,"EX")=0),0))))</f>
      </c>
      <c r="H3536">
        <f>IF(DATOS!$G3536&lt;&gt;"EX",0,--(COUNTIFS(nNIA,DATOS!$A3536,nCURSO,DATOS!$D3536,nESPEC,DATOS!$E3536,nASIG,DATOS!$I3536,nEVAL,"OR")=0))</f>
      </c>
      <c r="I3536">
        <f>IF(DATOS!$I3536="","",IFERROR(VLOOKUP(DATOS!$I3536,CONFIG_ASIGNATURAS!$B$2:$J$91,9,FALSE()),""))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IF(DATOS!$A3537="",0,IF(CONFIG_METADATA!$B$4&lt;&gt;"OR+EX",--(DATOS!$G3537=CONFIG_METADATA!$B$4),IF(DATOS!$G3537="EX",1,IF(DATOS!$G3537="OR",--(COUNTIFS(nNIA,DATOS!$A3537,nCURSO,DATOS!$D3537,nESPEC,DATOS!$E3537,nASIG,DATOS!$I3537,nEVAL,"EX")=0),0))))</f>
      </c>
      <c r="H3537">
        <f>IF(DATOS!$G3537&lt;&gt;"EX",0,--(COUNTIFS(nNIA,DATOS!$A3537,nCURSO,DATOS!$D3537,nESPEC,DATOS!$E3537,nASIG,DATOS!$I3537,nEVAL,"OR")=0))</f>
      </c>
      <c r="I3537">
        <f>IF(DATOS!$I3537="","",IFERROR(VLOOKUP(DATOS!$I3537,CONFIG_ASIGNATURAS!$B$2:$J$91,9,FALSE()),""))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IF(DATOS!$A3538="",0,IF(CONFIG_METADATA!$B$4&lt;&gt;"OR+EX",--(DATOS!$G3538=CONFIG_METADATA!$B$4),IF(DATOS!$G3538="EX",1,IF(DATOS!$G3538="OR",--(COUNTIFS(nNIA,DATOS!$A3538,nCURSO,DATOS!$D3538,nESPEC,DATOS!$E3538,nASIG,DATOS!$I3538,nEVAL,"EX")=0),0))))</f>
      </c>
      <c r="H3538">
        <f>IF(DATOS!$G3538&lt;&gt;"EX",0,--(COUNTIFS(nNIA,DATOS!$A3538,nCURSO,DATOS!$D3538,nESPEC,DATOS!$E3538,nASIG,DATOS!$I3538,nEVAL,"OR")=0))</f>
      </c>
      <c r="I3538">
        <f>IF(DATOS!$I3538="","",IFERROR(VLOOKUP(DATOS!$I3538,CONFIG_ASIGNATURAS!$B$2:$J$91,9,FALSE()),""))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IF(DATOS!$A3539="",0,IF(CONFIG_METADATA!$B$4&lt;&gt;"OR+EX",--(DATOS!$G3539=CONFIG_METADATA!$B$4),IF(DATOS!$G3539="EX",1,IF(DATOS!$G3539="OR",--(COUNTIFS(nNIA,DATOS!$A3539,nCURSO,DATOS!$D3539,nESPEC,DATOS!$E3539,nASIG,DATOS!$I3539,nEVAL,"EX")=0),0))))</f>
      </c>
      <c r="H3539">
        <f>IF(DATOS!$G3539&lt;&gt;"EX",0,--(COUNTIFS(nNIA,DATOS!$A3539,nCURSO,DATOS!$D3539,nESPEC,DATOS!$E3539,nASIG,DATOS!$I3539,nEVAL,"OR")=0))</f>
      </c>
      <c r="I3539">
        <f>IF(DATOS!$I3539="","",IFERROR(VLOOKUP(DATOS!$I3539,CONFIG_ASIGNATURAS!$B$2:$J$91,9,FALSE()),""))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IF(DATOS!$A3540="",0,IF(CONFIG_METADATA!$B$4&lt;&gt;"OR+EX",--(DATOS!$G3540=CONFIG_METADATA!$B$4),IF(DATOS!$G3540="EX",1,IF(DATOS!$G3540="OR",--(COUNTIFS(nNIA,DATOS!$A3540,nCURSO,DATOS!$D3540,nESPEC,DATOS!$E3540,nASIG,DATOS!$I3540,nEVAL,"EX")=0),0))))</f>
      </c>
      <c r="H3540">
        <f>IF(DATOS!$G3540&lt;&gt;"EX",0,--(COUNTIFS(nNIA,DATOS!$A3540,nCURSO,DATOS!$D3540,nESPEC,DATOS!$E3540,nASIG,DATOS!$I3540,nEVAL,"OR")=0))</f>
      </c>
      <c r="I3540">
        <f>IF(DATOS!$I3540="","",IFERROR(VLOOKUP(DATOS!$I3540,CONFIG_ASIGNATURAS!$B$2:$J$91,9,FALSE()),""))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IF(DATOS!$A3541="",0,IF(CONFIG_METADATA!$B$4&lt;&gt;"OR+EX",--(DATOS!$G3541=CONFIG_METADATA!$B$4),IF(DATOS!$G3541="EX",1,IF(DATOS!$G3541="OR",--(COUNTIFS(nNIA,DATOS!$A3541,nCURSO,DATOS!$D3541,nESPEC,DATOS!$E3541,nASIG,DATOS!$I3541,nEVAL,"EX")=0),0))))</f>
      </c>
      <c r="H3541">
        <f>IF(DATOS!$G3541&lt;&gt;"EX",0,--(COUNTIFS(nNIA,DATOS!$A3541,nCURSO,DATOS!$D3541,nESPEC,DATOS!$E3541,nASIG,DATOS!$I3541,nEVAL,"OR")=0))</f>
      </c>
      <c r="I3541">
        <f>IF(DATOS!$I3541="","",IFERROR(VLOOKUP(DATOS!$I3541,CONFIG_ASIGNATURAS!$B$2:$J$91,9,FALSE()),""))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IF(DATOS!$A3542="",0,IF(CONFIG_METADATA!$B$4&lt;&gt;"OR+EX",--(DATOS!$G3542=CONFIG_METADATA!$B$4),IF(DATOS!$G3542="EX",1,IF(DATOS!$G3542="OR",--(COUNTIFS(nNIA,DATOS!$A3542,nCURSO,DATOS!$D3542,nESPEC,DATOS!$E3542,nASIG,DATOS!$I3542,nEVAL,"EX")=0),0))))</f>
      </c>
      <c r="H3542">
        <f>IF(DATOS!$G3542&lt;&gt;"EX",0,--(COUNTIFS(nNIA,DATOS!$A3542,nCURSO,DATOS!$D3542,nESPEC,DATOS!$E3542,nASIG,DATOS!$I3542,nEVAL,"OR")=0))</f>
      </c>
      <c r="I3542">
        <f>IF(DATOS!$I3542="","",IFERROR(VLOOKUP(DATOS!$I3542,CONFIG_ASIGNATURAS!$B$2:$J$91,9,FALSE()),""))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IF(DATOS!$A3543="",0,IF(CONFIG_METADATA!$B$4&lt;&gt;"OR+EX",--(DATOS!$G3543=CONFIG_METADATA!$B$4),IF(DATOS!$G3543="EX",1,IF(DATOS!$G3543="OR",--(COUNTIFS(nNIA,DATOS!$A3543,nCURSO,DATOS!$D3543,nESPEC,DATOS!$E3543,nASIG,DATOS!$I3543,nEVAL,"EX")=0),0))))</f>
      </c>
      <c r="H3543">
        <f>IF(DATOS!$G3543&lt;&gt;"EX",0,--(COUNTIFS(nNIA,DATOS!$A3543,nCURSO,DATOS!$D3543,nESPEC,DATOS!$E3543,nASIG,DATOS!$I3543,nEVAL,"OR")=0))</f>
      </c>
      <c r="I3543">
        <f>IF(DATOS!$I3543="","",IFERROR(VLOOKUP(DATOS!$I3543,CONFIG_ASIGNATURAS!$B$2:$J$91,9,FALSE()),""))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IF(DATOS!$A3544="",0,IF(CONFIG_METADATA!$B$4&lt;&gt;"OR+EX",--(DATOS!$G3544=CONFIG_METADATA!$B$4),IF(DATOS!$G3544="EX",1,IF(DATOS!$G3544="OR",--(COUNTIFS(nNIA,DATOS!$A3544,nCURSO,DATOS!$D3544,nESPEC,DATOS!$E3544,nASIG,DATOS!$I3544,nEVAL,"EX")=0),0))))</f>
      </c>
      <c r="H3544">
        <f>IF(DATOS!$G3544&lt;&gt;"EX",0,--(COUNTIFS(nNIA,DATOS!$A3544,nCURSO,DATOS!$D3544,nESPEC,DATOS!$E3544,nASIG,DATOS!$I3544,nEVAL,"OR")=0))</f>
      </c>
      <c r="I3544">
        <f>IF(DATOS!$I3544="","",IFERROR(VLOOKUP(DATOS!$I3544,CONFIG_ASIGNATURAS!$B$2:$J$91,9,FALSE()),""))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IF(DATOS!$A3545="",0,IF(CONFIG_METADATA!$B$4&lt;&gt;"OR+EX",--(DATOS!$G3545=CONFIG_METADATA!$B$4),IF(DATOS!$G3545="EX",1,IF(DATOS!$G3545="OR",--(COUNTIFS(nNIA,DATOS!$A3545,nCURSO,DATOS!$D3545,nESPEC,DATOS!$E3545,nASIG,DATOS!$I3545,nEVAL,"EX")=0),0))))</f>
      </c>
      <c r="H3545">
        <f>IF(DATOS!$G3545&lt;&gt;"EX",0,--(COUNTIFS(nNIA,DATOS!$A3545,nCURSO,DATOS!$D3545,nESPEC,DATOS!$E3545,nASIG,DATOS!$I3545,nEVAL,"OR")=0))</f>
      </c>
      <c r="I3545">
        <f>IF(DATOS!$I3545="","",IFERROR(VLOOKUP(DATOS!$I3545,CONFIG_ASIGNATURAS!$B$2:$J$91,9,FALSE()),""))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IF(DATOS!$A3546="",0,IF(CONFIG_METADATA!$B$4&lt;&gt;"OR+EX",--(DATOS!$G3546=CONFIG_METADATA!$B$4),IF(DATOS!$G3546="EX",1,IF(DATOS!$G3546="OR",--(COUNTIFS(nNIA,DATOS!$A3546,nCURSO,DATOS!$D3546,nESPEC,DATOS!$E3546,nASIG,DATOS!$I3546,nEVAL,"EX")=0),0))))</f>
      </c>
      <c r="H3546">
        <f>IF(DATOS!$G3546&lt;&gt;"EX",0,--(COUNTIFS(nNIA,DATOS!$A3546,nCURSO,DATOS!$D3546,nESPEC,DATOS!$E3546,nASIG,DATOS!$I3546,nEVAL,"OR")=0))</f>
      </c>
      <c r="I3546">
        <f>IF(DATOS!$I3546="","",IFERROR(VLOOKUP(DATOS!$I3546,CONFIG_ASIGNATURAS!$B$2:$J$91,9,FALSE()),""))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IF(DATOS!$A3547="",0,IF(CONFIG_METADATA!$B$4&lt;&gt;"OR+EX",--(DATOS!$G3547=CONFIG_METADATA!$B$4),IF(DATOS!$G3547="EX",1,IF(DATOS!$G3547="OR",--(COUNTIFS(nNIA,DATOS!$A3547,nCURSO,DATOS!$D3547,nESPEC,DATOS!$E3547,nASIG,DATOS!$I3547,nEVAL,"EX")=0),0))))</f>
      </c>
      <c r="H3547">
        <f>IF(DATOS!$G3547&lt;&gt;"EX",0,--(COUNTIFS(nNIA,DATOS!$A3547,nCURSO,DATOS!$D3547,nESPEC,DATOS!$E3547,nASIG,DATOS!$I3547,nEVAL,"OR")=0))</f>
      </c>
      <c r="I3547">
        <f>IF(DATOS!$I3547="","",IFERROR(VLOOKUP(DATOS!$I3547,CONFIG_ASIGNATURAS!$B$2:$J$91,9,FALSE()),""))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IF(DATOS!$A3548="",0,IF(CONFIG_METADATA!$B$4&lt;&gt;"OR+EX",--(DATOS!$G3548=CONFIG_METADATA!$B$4),IF(DATOS!$G3548="EX",1,IF(DATOS!$G3548="OR",--(COUNTIFS(nNIA,DATOS!$A3548,nCURSO,DATOS!$D3548,nESPEC,DATOS!$E3548,nASIG,DATOS!$I3548,nEVAL,"EX")=0),0))))</f>
      </c>
      <c r="H3548">
        <f>IF(DATOS!$G3548&lt;&gt;"EX",0,--(COUNTIFS(nNIA,DATOS!$A3548,nCURSO,DATOS!$D3548,nESPEC,DATOS!$E3548,nASIG,DATOS!$I3548,nEVAL,"OR")=0))</f>
      </c>
      <c r="I3548">
        <f>IF(DATOS!$I3548="","",IFERROR(VLOOKUP(DATOS!$I3548,CONFIG_ASIGNATURAS!$B$2:$J$91,9,FALSE()),""))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IF(DATOS!$A3549="",0,IF(CONFIG_METADATA!$B$4&lt;&gt;"OR+EX",--(DATOS!$G3549=CONFIG_METADATA!$B$4),IF(DATOS!$G3549="EX",1,IF(DATOS!$G3549="OR",--(COUNTIFS(nNIA,DATOS!$A3549,nCURSO,DATOS!$D3549,nESPEC,DATOS!$E3549,nASIG,DATOS!$I3549,nEVAL,"EX")=0),0))))</f>
      </c>
      <c r="H3549">
        <f>IF(DATOS!$G3549&lt;&gt;"EX",0,--(COUNTIFS(nNIA,DATOS!$A3549,nCURSO,DATOS!$D3549,nESPEC,DATOS!$E3549,nASIG,DATOS!$I3549,nEVAL,"OR")=0))</f>
      </c>
      <c r="I3549">
        <f>IF(DATOS!$I3549="","",IFERROR(VLOOKUP(DATOS!$I3549,CONFIG_ASIGNATURAS!$B$2:$J$91,9,FALSE()),""))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IF(DATOS!$A3550="",0,IF(CONFIG_METADATA!$B$4&lt;&gt;"OR+EX",--(DATOS!$G3550=CONFIG_METADATA!$B$4),IF(DATOS!$G3550="EX",1,IF(DATOS!$G3550="OR",--(COUNTIFS(nNIA,DATOS!$A3550,nCURSO,DATOS!$D3550,nESPEC,DATOS!$E3550,nASIG,DATOS!$I3550,nEVAL,"EX")=0),0))))</f>
      </c>
      <c r="H3550">
        <f>IF(DATOS!$G3550&lt;&gt;"EX",0,--(COUNTIFS(nNIA,DATOS!$A3550,nCURSO,DATOS!$D3550,nESPEC,DATOS!$E3550,nASIG,DATOS!$I3550,nEVAL,"OR")=0))</f>
      </c>
      <c r="I3550">
        <f>IF(DATOS!$I3550="","",IFERROR(VLOOKUP(DATOS!$I3550,CONFIG_ASIGNATURAS!$B$2:$J$91,9,FALSE()),""))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IF(DATOS!$A3551="",0,IF(CONFIG_METADATA!$B$4&lt;&gt;"OR+EX",--(DATOS!$G3551=CONFIG_METADATA!$B$4),IF(DATOS!$G3551="EX",1,IF(DATOS!$G3551="OR",--(COUNTIFS(nNIA,DATOS!$A3551,nCURSO,DATOS!$D3551,nESPEC,DATOS!$E3551,nASIG,DATOS!$I3551,nEVAL,"EX")=0),0))))</f>
      </c>
      <c r="H3551">
        <f>IF(DATOS!$G3551&lt;&gt;"EX",0,--(COUNTIFS(nNIA,DATOS!$A3551,nCURSO,DATOS!$D3551,nESPEC,DATOS!$E3551,nASIG,DATOS!$I3551,nEVAL,"OR")=0))</f>
      </c>
      <c r="I3551">
        <f>IF(DATOS!$I3551="","",IFERROR(VLOOKUP(DATOS!$I3551,CONFIG_ASIGNATURAS!$B$2:$J$91,9,FALSE()),""))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IF(DATOS!$A3552="",0,IF(CONFIG_METADATA!$B$4&lt;&gt;"OR+EX",--(DATOS!$G3552=CONFIG_METADATA!$B$4),IF(DATOS!$G3552="EX",1,IF(DATOS!$G3552="OR",--(COUNTIFS(nNIA,DATOS!$A3552,nCURSO,DATOS!$D3552,nESPEC,DATOS!$E3552,nASIG,DATOS!$I3552,nEVAL,"EX")=0),0))))</f>
      </c>
      <c r="H3552">
        <f>IF(DATOS!$G3552&lt;&gt;"EX",0,--(COUNTIFS(nNIA,DATOS!$A3552,nCURSO,DATOS!$D3552,nESPEC,DATOS!$E3552,nASIG,DATOS!$I3552,nEVAL,"OR")=0))</f>
      </c>
      <c r="I3552">
        <f>IF(DATOS!$I3552="","",IFERROR(VLOOKUP(DATOS!$I3552,CONFIG_ASIGNATURAS!$B$2:$J$91,9,FALSE()),""))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IF(DATOS!$A3553="",0,IF(CONFIG_METADATA!$B$4&lt;&gt;"OR+EX",--(DATOS!$G3553=CONFIG_METADATA!$B$4),IF(DATOS!$G3553="EX",1,IF(DATOS!$G3553="OR",--(COUNTIFS(nNIA,DATOS!$A3553,nCURSO,DATOS!$D3553,nESPEC,DATOS!$E3553,nASIG,DATOS!$I3553,nEVAL,"EX")=0),0))))</f>
      </c>
      <c r="H3553">
        <f>IF(DATOS!$G3553&lt;&gt;"EX",0,--(COUNTIFS(nNIA,DATOS!$A3553,nCURSO,DATOS!$D3553,nESPEC,DATOS!$E3553,nASIG,DATOS!$I3553,nEVAL,"OR")=0))</f>
      </c>
      <c r="I3553">
        <f>IF(DATOS!$I3553="","",IFERROR(VLOOKUP(DATOS!$I3553,CONFIG_ASIGNATURAS!$B$2:$J$91,9,FALSE()),""))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IF(DATOS!$A3554="",0,IF(CONFIG_METADATA!$B$4&lt;&gt;"OR+EX",--(DATOS!$G3554=CONFIG_METADATA!$B$4),IF(DATOS!$G3554="EX",1,IF(DATOS!$G3554="OR",--(COUNTIFS(nNIA,DATOS!$A3554,nCURSO,DATOS!$D3554,nESPEC,DATOS!$E3554,nASIG,DATOS!$I3554,nEVAL,"EX")=0),0))))</f>
      </c>
      <c r="H3554">
        <f>IF(DATOS!$G3554&lt;&gt;"EX",0,--(COUNTIFS(nNIA,DATOS!$A3554,nCURSO,DATOS!$D3554,nESPEC,DATOS!$E3554,nASIG,DATOS!$I3554,nEVAL,"OR")=0))</f>
      </c>
      <c r="I3554">
        <f>IF(DATOS!$I3554="","",IFERROR(VLOOKUP(DATOS!$I3554,CONFIG_ASIGNATURAS!$B$2:$J$91,9,FALSE()),""))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IF(DATOS!$A3555="",0,IF(CONFIG_METADATA!$B$4&lt;&gt;"OR+EX",--(DATOS!$G3555=CONFIG_METADATA!$B$4),IF(DATOS!$G3555="EX",1,IF(DATOS!$G3555="OR",--(COUNTIFS(nNIA,DATOS!$A3555,nCURSO,DATOS!$D3555,nESPEC,DATOS!$E3555,nASIG,DATOS!$I3555,nEVAL,"EX")=0),0))))</f>
      </c>
      <c r="H3555">
        <f>IF(DATOS!$G3555&lt;&gt;"EX",0,--(COUNTIFS(nNIA,DATOS!$A3555,nCURSO,DATOS!$D3555,nESPEC,DATOS!$E3555,nASIG,DATOS!$I3555,nEVAL,"OR")=0))</f>
      </c>
      <c r="I3555">
        <f>IF(DATOS!$I3555="","",IFERROR(VLOOKUP(DATOS!$I3555,CONFIG_ASIGNATURAS!$B$2:$J$91,9,FALSE()),""))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IF(DATOS!$A3556="",0,IF(CONFIG_METADATA!$B$4&lt;&gt;"OR+EX",--(DATOS!$G3556=CONFIG_METADATA!$B$4),IF(DATOS!$G3556="EX",1,IF(DATOS!$G3556="OR",--(COUNTIFS(nNIA,DATOS!$A3556,nCURSO,DATOS!$D3556,nESPEC,DATOS!$E3556,nASIG,DATOS!$I3556,nEVAL,"EX")=0),0))))</f>
      </c>
      <c r="H3556">
        <f>IF(DATOS!$G3556&lt;&gt;"EX",0,--(COUNTIFS(nNIA,DATOS!$A3556,nCURSO,DATOS!$D3556,nESPEC,DATOS!$E3556,nASIG,DATOS!$I3556,nEVAL,"OR")=0))</f>
      </c>
      <c r="I3556">
        <f>IF(DATOS!$I3556="","",IFERROR(VLOOKUP(DATOS!$I3556,CONFIG_ASIGNATURAS!$B$2:$J$91,9,FALSE()),""))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IF(DATOS!$A3557="",0,IF(CONFIG_METADATA!$B$4&lt;&gt;"OR+EX",--(DATOS!$G3557=CONFIG_METADATA!$B$4),IF(DATOS!$G3557="EX",1,IF(DATOS!$G3557="OR",--(COUNTIFS(nNIA,DATOS!$A3557,nCURSO,DATOS!$D3557,nESPEC,DATOS!$E3557,nASIG,DATOS!$I3557,nEVAL,"EX")=0),0))))</f>
      </c>
      <c r="H3557">
        <f>IF(DATOS!$G3557&lt;&gt;"EX",0,--(COUNTIFS(nNIA,DATOS!$A3557,nCURSO,DATOS!$D3557,nESPEC,DATOS!$E3557,nASIG,DATOS!$I3557,nEVAL,"OR")=0))</f>
      </c>
      <c r="I3557">
        <f>IF(DATOS!$I3557="","",IFERROR(VLOOKUP(DATOS!$I3557,CONFIG_ASIGNATURAS!$B$2:$J$91,9,FALSE()),""))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IF(DATOS!$A3558="",0,IF(CONFIG_METADATA!$B$4&lt;&gt;"OR+EX",--(DATOS!$G3558=CONFIG_METADATA!$B$4),IF(DATOS!$G3558="EX",1,IF(DATOS!$G3558="OR",--(COUNTIFS(nNIA,DATOS!$A3558,nCURSO,DATOS!$D3558,nESPEC,DATOS!$E3558,nASIG,DATOS!$I3558,nEVAL,"EX")=0),0))))</f>
      </c>
      <c r="H3558">
        <f>IF(DATOS!$G3558&lt;&gt;"EX",0,--(COUNTIFS(nNIA,DATOS!$A3558,nCURSO,DATOS!$D3558,nESPEC,DATOS!$E3558,nASIG,DATOS!$I3558,nEVAL,"OR")=0))</f>
      </c>
      <c r="I3558">
        <f>IF(DATOS!$I3558="","",IFERROR(VLOOKUP(DATOS!$I3558,CONFIG_ASIGNATURAS!$B$2:$J$91,9,FALSE()),""))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IF(DATOS!$A3559="",0,IF(CONFIG_METADATA!$B$4&lt;&gt;"OR+EX",--(DATOS!$G3559=CONFIG_METADATA!$B$4),IF(DATOS!$G3559="EX",1,IF(DATOS!$G3559="OR",--(COUNTIFS(nNIA,DATOS!$A3559,nCURSO,DATOS!$D3559,nESPEC,DATOS!$E3559,nASIG,DATOS!$I3559,nEVAL,"EX")=0),0))))</f>
      </c>
      <c r="H3559">
        <f>IF(DATOS!$G3559&lt;&gt;"EX",0,--(COUNTIFS(nNIA,DATOS!$A3559,nCURSO,DATOS!$D3559,nESPEC,DATOS!$E3559,nASIG,DATOS!$I3559,nEVAL,"OR")=0))</f>
      </c>
      <c r="I3559">
        <f>IF(DATOS!$I3559="","",IFERROR(VLOOKUP(DATOS!$I3559,CONFIG_ASIGNATURAS!$B$2:$J$91,9,FALSE()),""))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IF(DATOS!$A3560="",0,IF(CONFIG_METADATA!$B$4&lt;&gt;"OR+EX",--(DATOS!$G3560=CONFIG_METADATA!$B$4),IF(DATOS!$G3560="EX",1,IF(DATOS!$G3560="OR",--(COUNTIFS(nNIA,DATOS!$A3560,nCURSO,DATOS!$D3560,nESPEC,DATOS!$E3560,nASIG,DATOS!$I3560,nEVAL,"EX")=0),0))))</f>
      </c>
      <c r="H3560">
        <f>IF(DATOS!$G3560&lt;&gt;"EX",0,--(COUNTIFS(nNIA,DATOS!$A3560,nCURSO,DATOS!$D3560,nESPEC,DATOS!$E3560,nASIG,DATOS!$I3560,nEVAL,"OR")=0))</f>
      </c>
      <c r="I3560">
        <f>IF(DATOS!$I3560="","",IFERROR(VLOOKUP(DATOS!$I3560,CONFIG_ASIGNATURAS!$B$2:$J$91,9,FALSE()),""))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IF(DATOS!$A3561="",0,IF(CONFIG_METADATA!$B$4&lt;&gt;"OR+EX",--(DATOS!$G3561=CONFIG_METADATA!$B$4),IF(DATOS!$G3561="EX",1,IF(DATOS!$G3561="OR",--(COUNTIFS(nNIA,DATOS!$A3561,nCURSO,DATOS!$D3561,nESPEC,DATOS!$E3561,nASIG,DATOS!$I3561,nEVAL,"EX")=0),0))))</f>
      </c>
      <c r="H3561">
        <f>IF(DATOS!$G3561&lt;&gt;"EX",0,--(COUNTIFS(nNIA,DATOS!$A3561,nCURSO,DATOS!$D3561,nESPEC,DATOS!$E3561,nASIG,DATOS!$I3561,nEVAL,"OR")=0))</f>
      </c>
      <c r="I3561">
        <f>IF(DATOS!$I3561="","",IFERROR(VLOOKUP(DATOS!$I3561,CONFIG_ASIGNATURAS!$B$2:$J$91,9,FALSE()),""))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IF(DATOS!$A3562="",0,IF(CONFIG_METADATA!$B$4&lt;&gt;"OR+EX",--(DATOS!$G3562=CONFIG_METADATA!$B$4),IF(DATOS!$G3562="EX",1,IF(DATOS!$G3562="OR",--(COUNTIFS(nNIA,DATOS!$A3562,nCURSO,DATOS!$D3562,nESPEC,DATOS!$E3562,nASIG,DATOS!$I3562,nEVAL,"EX")=0),0))))</f>
      </c>
      <c r="H3562">
        <f>IF(DATOS!$G3562&lt;&gt;"EX",0,--(COUNTIFS(nNIA,DATOS!$A3562,nCURSO,DATOS!$D3562,nESPEC,DATOS!$E3562,nASIG,DATOS!$I3562,nEVAL,"OR")=0))</f>
      </c>
      <c r="I3562">
        <f>IF(DATOS!$I3562="","",IFERROR(VLOOKUP(DATOS!$I3562,CONFIG_ASIGNATURAS!$B$2:$J$91,9,FALSE()),""))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IF(DATOS!$A3563="",0,IF(CONFIG_METADATA!$B$4&lt;&gt;"OR+EX",--(DATOS!$G3563=CONFIG_METADATA!$B$4),IF(DATOS!$G3563="EX",1,IF(DATOS!$G3563="OR",--(COUNTIFS(nNIA,DATOS!$A3563,nCURSO,DATOS!$D3563,nESPEC,DATOS!$E3563,nASIG,DATOS!$I3563,nEVAL,"EX")=0),0))))</f>
      </c>
      <c r="H3563">
        <f>IF(DATOS!$G3563&lt;&gt;"EX",0,--(COUNTIFS(nNIA,DATOS!$A3563,nCURSO,DATOS!$D3563,nESPEC,DATOS!$E3563,nASIG,DATOS!$I3563,nEVAL,"OR")=0))</f>
      </c>
      <c r="I3563">
        <f>IF(DATOS!$I3563="","",IFERROR(VLOOKUP(DATOS!$I3563,CONFIG_ASIGNATURAS!$B$2:$J$91,9,FALSE()),""))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IF(DATOS!$A3564="",0,IF(CONFIG_METADATA!$B$4&lt;&gt;"OR+EX",--(DATOS!$G3564=CONFIG_METADATA!$B$4),IF(DATOS!$G3564="EX",1,IF(DATOS!$G3564="OR",--(COUNTIFS(nNIA,DATOS!$A3564,nCURSO,DATOS!$D3564,nESPEC,DATOS!$E3564,nASIG,DATOS!$I3564,nEVAL,"EX")=0),0))))</f>
      </c>
      <c r="H3564">
        <f>IF(DATOS!$G3564&lt;&gt;"EX",0,--(COUNTIFS(nNIA,DATOS!$A3564,nCURSO,DATOS!$D3564,nESPEC,DATOS!$E3564,nASIG,DATOS!$I3564,nEVAL,"OR")=0))</f>
      </c>
      <c r="I3564">
        <f>IF(DATOS!$I3564="","",IFERROR(VLOOKUP(DATOS!$I3564,CONFIG_ASIGNATURAS!$B$2:$J$91,9,FALSE()),""))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IF(DATOS!$A3565="",0,IF(CONFIG_METADATA!$B$4&lt;&gt;"OR+EX",--(DATOS!$G3565=CONFIG_METADATA!$B$4),IF(DATOS!$G3565="EX",1,IF(DATOS!$G3565="OR",--(COUNTIFS(nNIA,DATOS!$A3565,nCURSO,DATOS!$D3565,nESPEC,DATOS!$E3565,nASIG,DATOS!$I3565,nEVAL,"EX")=0),0))))</f>
      </c>
      <c r="H3565">
        <f>IF(DATOS!$G3565&lt;&gt;"EX",0,--(COUNTIFS(nNIA,DATOS!$A3565,nCURSO,DATOS!$D3565,nESPEC,DATOS!$E3565,nASIG,DATOS!$I3565,nEVAL,"OR")=0))</f>
      </c>
      <c r="I3565">
        <f>IF(DATOS!$I3565="","",IFERROR(VLOOKUP(DATOS!$I3565,CONFIG_ASIGNATURAS!$B$2:$J$91,9,FALSE()),""))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IF(DATOS!$A3566="",0,IF(CONFIG_METADATA!$B$4&lt;&gt;"OR+EX",--(DATOS!$G3566=CONFIG_METADATA!$B$4),IF(DATOS!$G3566="EX",1,IF(DATOS!$G3566="OR",--(COUNTIFS(nNIA,DATOS!$A3566,nCURSO,DATOS!$D3566,nESPEC,DATOS!$E3566,nASIG,DATOS!$I3566,nEVAL,"EX")=0),0))))</f>
      </c>
      <c r="H3566">
        <f>IF(DATOS!$G3566&lt;&gt;"EX",0,--(COUNTIFS(nNIA,DATOS!$A3566,nCURSO,DATOS!$D3566,nESPEC,DATOS!$E3566,nASIG,DATOS!$I3566,nEVAL,"OR")=0))</f>
      </c>
      <c r="I3566">
        <f>IF(DATOS!$I3566="","",IFERROR(VLOOKUP(DATOS!$I3566,CONFIG_ASIGNATURAS!$B$2:$J$91,9,FALSE()),""))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IF(DATOS!$A3567="",0,IF(CONFIG_METADATA!$B$4&lt;&gt;"OR+EX",--(DATOS!$G3567=CONFIG_METADATA!$B$4),IF(DATOS!$G3567="EX",1,IF(DATOS!$G3567="OR",--(COUNTIFS(nNIA,DATOS!$A3567,nCURSO,DATOS!$D3567,nESPEC,DATOS!$E3567,nASIG,DATOS!$I3567,nEVAL,"EX")=0),0))))</f>
      </c>
      <c r="H3567">
        <f>IF(DATOS!$G3567&lt;&gt;"EX",0,--(COUNTIFS(nNIA,DATOS!$A3567,nCURSO,DATOS!$D3567,nESPEC,DATOS!$E3567,nASIG,DATOS!$I3567,nEVAL,"OR")=0))</f>
      </c>
      <c r="I3567">
        <f>IF(DATOS!$I3567="","",IFERROR(VLOOKUP(DATOS!$I3567,CONFIG_ASIGNATURAS!$B$2:$J$91,9,FALSE()),""))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IF(DATOS!$A3568="",0,IF(CONFIG_METADATA!$B$4&lt;&gt;"OR+EX",--(DATOS!$G3568=CONFIG_METADATA!$B$4),IF(DATOS!$G3568="EX",1,IF(DATOS!$G3568="OR",--(COUNTIFS(nNIA,DATOS!$A3568,nCURSO,DATOS!$D3568,nESPEC,DATOS!$E3568,nASIG,DATOS!$I3568,nEVAL,"EX")=0),0))))</f>
      </c>
      <c r="H3568">
        <f>IF(DATOS!$G3568&lt;&gt;"EX",0,--(COUNTIFS(nNIA,DATOS!$A3568,nCURSO,DATOS!$D3568,nESPEC,DATOS!$E3568,nASIG,DATOS!$I3568,nEVAL,"OR")=0))</f>
      </c>
      <c r="I3568">
        <f>IF(DATOS!$I3568="","",IFERROR(VLOOKUP(DATOS!$I3568,CONFIG_ASIGNATURAS!$B$2:$J$91,9,FALSE()),""))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IF(DATOS!$A3569="",0,IF(CONFIG_METADATA!$B$4&lt;&gt;"OR+EX",--(DATOS!$G3569=CONFIG_METADATA!$B$4),IF(DATOS!$G3569="EX",1,IF(DATOS!$G3569="OR",--(COUNTIFS(nNIA,DATOS!$A3569,nCURSO,DATOS!$D3569,nESPEC,DATOS!$E3569,nASIG,DATOS!$I3569,nEVAL,"EX")=0),0))))</f>
      </c>
      <c r="H3569">
        <f>IF(DATOS!$G3569&lt;&gt;"EX",0,--(COUNTIFS(nNIA,DATOS!$A3569,nCURSO,DATOS!$D3569,nESPEC,DATOS!$E3569,nASIG,DATOS!$I3569,nEVAL,"OR")=0))</f>
      </c>
      <c r="I3569">
        <f>IF(DATOS!$I3569="","",IFERROR(VLOOKUP(DATOS!$I3569,CONFIG_ASIGNATURAS!$B$2:$J$91,9,FALSE()),""))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IF(DATOS!$A3570="",0,IF(CONFIG_METADATA!$B$4&lt;&gt;"OR+EX",--(DATOS!$G3570=CONFIG_METADATA!$B$4),IF(DATOS!$G3570="EX",1,IF(DATOS!$G3570="OR",--(COUNTIFS(nNIA,DATOS!$A3570,nCURSO,DATOS!$D3570,nESPEC,DATOS!$E3570,nASIG,DATOS!$I3570,nEVAL,"EX")=0),0))))</f>
      </c>
      <c r="H3570">
        <f>IF(DATOS!$G3570&lt;&gt;"EX",0,--(COUNTIFS(nNIA,DATOS!$A3570,nCURSO,DATOS!$D3570,nESPEC,DATOS!$E3570,nASIG,DATOS!$I3570,nEVAL,"OR")=0))</f>
      </c>
      <c r="I3570">
        <f>IF(DATOS!$I3570="","",IFERROR(VLOOKUP(DATOS!$I3570,CONFIG_ASIGNATURAS!$B$2:$J$91,9,FALSE()),""))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IF(DATOS!$A3571="",0,IF(CONFIG_METADATA!$B$4&lt;&gt;"OR+EX",--(DATOS!$G3571=CONFIG_METADATA!$B$4),IF(DATOS!$G3571="EX",1,IF(DATOS!$G3571="OR",--(COUNTIFS(nNIA,DATOS!$A3571,nCURSO,DATOS!$D3571,nESPEC,DATOS!$E3571,nASIG,DATOS!$I3571,nEVAL,"EX")=0),0))))</f>
      </c>
      <c r="H3571">
        <f>IF(DATOS!$G3571&lt;&gt;"EX",0,--(COUNTIFS(nNIA,DATOS!$A3571,nCURSO,DATOS!$D3571,nESPEC,DATOS!$E3571,nASIG,DATOS!$I3571,nEVAL,"OR")=0))</f>
      </c>
      <c r="I3571">
        <f>IF(DATOS!$I3571="","",IFERROR(VLOOKUP(DATOS!$I3571,CONFIG_ASIGNATURAS!$B$2:$J$91,9,FALSE()),""))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IF(DATOS!$A3572="",0,IF(CONFIG_METADATA!$B$4&lt;&gt;"OR+EX",--(DATOS!$G3572=CONFIG_METADATA!$B$4),IF(DATOS!$G3572="EX",1,IF(DATOS!$G3572="OR",--(COUNTIFS(nNIA,DATOS!$A3572,nCURSO,DATOS!$D3572,nESPEC,DATOS!$E3572,nASIG,DATOS!$I3572,nEVAL,"EX")=0),0))))</f>
      </c>
      <c r="H3572">
        <f>IF(DATOS!$G3572&lt;&gt;"EX",0,--(COUNTIFS(nNIA,DATOS!$A3572,nCURSO,DATOS!$D3572,nESPEC,DATOS!$E3572,nASIG,DATOS!$I3572,nEVAL,"OR")=0))</f>
      </c>
      <c r="I3572">
        <f>IF(DATOS!$I3572="","",IFERROR(VLOOKUP(DATOS!$I3572,CONFIG_ASIGNATURAS!$B$2:$J$91,9,FALSE()),""))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IF(DATOS!$A3573="",0,IF(CONFIG_METADATA!$B$4&lt;&gt;"OR+EX",--(DATOS!$G3573=CONFIG_METADATA!$B$4),IF(DATOS!$G3573="EX",1,IF(DATOS!$G3573="OR",--(COUNTIFS(nNIA,DATOS!$A3573,nCURSO,DATOS!$D3573,nESPEC,DATOS!$E3573,nASIG,DATOS!$I3573,nEVAL,"EX")=0),0))))</f>
      </c>
      <c r="H3573">
        <f>IF(DATOS!$G3573&lt;&gt;"EX",0,--(COUNTIFS(nNIA,DATOS!$A3573,nCURSO,DATOS!$D3573,nESPEC,DATOS!$E3573,nASIG,DATOS!$I3573,nEVAL,"OR")=0))</f>
      </c>
      <c r="I3573">
        <f>IF(DATOS!$I3573="","",IFERROR(VLOOKUP(DATOS!$I3573,CONFIG_ASIGNATURAS!$B$2:$J$91,9,FALSE()),""))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IF(DATOS!$A3574="",0,IF(CONFIG_METADATA!$B$4&lt;&gt;"OR+EX",--(DATOS!$G3574=CONFIG_METADATA!$B$4),IF(DATOS!$G3574="EX",1,IF(DATOS!$G3574="OR",--(COUNTIFS(nNIA,DATOS!$A3574,nCURSO,DATOS!$D3574,nESPEC,DATOS!$E3574,nASIG,DATOS!$I3574,nEVAL,"EX")=0),0))))</f>
      </c>
      <c r="H3574">
        <f>IF(DATOS!$G3574&lt;&gt;"EX",0,--(COUNTIFS(nNIA,DATOS!$A3574,nCURSO,DATOS!$D3574,nESPEC,DATOS!$E3574,nASIG,DATOS!$I3574,nEVAL,"OR")=0))</f>
      </c>
      <c r="I3574">
        <f>IF(DATOS!$I3574="","",IFERROR(VLOOKUP(DATOS!$I3574,CONFIG_ASIGNATURAS!$B$2:$J$91,9,FALSE()),""))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IF(DATOS!$A3575="",0,IF(CONFIG_METADATA!$B$4&lt;&gt;"OR+EX",--(DATOS!$G3575=CONFIG_METADATA!$B$4),IF(DATOS!$G3575="EX",1,IF(DATOS!$G3575="OR",--(COUNTIFS(nNIA,DATOS!$A3575,nCURSO,DATOS!$D3575,nESPEC,DATOS!$E3575,nASIG,DATOS!$I3575,nEVAL,"EX")=0),0))))</f>
      </c>
      <c r="H3575">
        <f>IF(DATOS!$G3575&lt;&gt;"EX",0,--(COUNTIFS(nNIA,DATOS!$A3575,nCURSO,DATOS!$D3575,nESPEC,DATOS!$E3575,nASIG,DATOS!$I3575,nEVAL,"OR")=0))</f>
      </c>
      <c r="I3575">
        <f>IF(DATOS!$I3575="","",IFERROR(VLOOKUP(DATOS!$I3575,CONFIG_ASIGNATURAS!$B$2:$J$91,9,FALSE()),""))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IF(DATOS!$A3576="",0,IF(CONFIG_METADATA!$B$4&lt;&gt;"OR+EX",--(DATOS!$G3576=CONFIG_METADATA!$B$4),IF(DATOS!$G3576="EX",1,IF(DATOS!$G3576="OR",--(COUNTIFS(nNIA,DATOS!$A3576,nCURSO,DATOS!$D3576,nESPEC,DATOS!$E3576,nASIG,DATOS!$I3576,nEVAL,"EX")=0),0))))</f>
      </c>
      <c r="H3576">
        <f>IF(DATOS!$G3576&lt;&gt;"EX",0,--(COUNTIFS(nNIA,DATOS!$A3576,nCURSO,DATOS!$D3576,nESPEC,DATOS!$E3576,nASIG,DATOS!$I3576,nEVAL,"OR")=0))</f>
      </c>
      <c r="I3576">
        <f>IF(DATOS!$I3576="","",IFERROR(VLOOKUP(DATOS!$I3576,CONFIG_ASIGNATURAS!$B$2:$J$91,9,FALSE()),""))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IF(DATOS!$A3577="",0,IF(CONFIG_METADATA!$B$4&lt;&gt;"OR+EX",--(DATOS!$G3577=CONFIG_METADATA!$B$4),IF(DATOS!$G3577="EX",1,IF(DATOS!$G3577="OR",--(COUNTIFS(nNIA,DATOS!$A3577,nCURSO,DATOS!$D3577,nESPEC,DATOS!$E3577,nASIG,DATOS!$I3577,nEVAL,"EX")=0),0))))</f>
      </c>
      <c r="H3577">
        <f>IF(DATOS!$G3577&lt;&gt;"EX",0,--(COUNTIFS(nNIA,DATOS!$A3577,nCURSO,DATOS!$D3577,nESPEC,DATOS!$E3577,nASIG,DATOS!$I3577,nEVAL,"OR")=0))</f>
      </c>
      <c r="I3577">
        <f>IF(DATOS!$I3577="","",IFERROR(VLOOKUP(DATOS!$I3577,CONFIG_ASIGNATURAS!$B$2:$J$91,9,FALSE()),""))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IF(DATOS!$A3578="",0,IF(CONFIG_METADATA!$B$4&lt;&gt;"OR+EX",--(DATOS!$G3578=CONFIG_METADATA!$B$4),IF(DATOS!$G3578="EX",1,IF(DATOS!$G3578="OR",--(COUNTIFS(nNIA,DATOS!$A3578,nCURSO,DATOS!$D3578,nESPEC,DATOS!$E3578,nASIG,DATOS!$I3578,nEVAL,"EX")=0),0))))</f>
      </c>
      <c r="H3578">
        <f>IF(DATOS!$G3578&lt;&gt;"EX",0,--(COUNTIFS(nNIA,DATOS!$A3578,nCURSO,DATOS!$D3578,nESPEC,DATOS!$E3578,nASIG,DATOS!$I3578,nEVAL,"OR")=0))</f>
      </c>
      <c r="I3578">
        <f>IF(DATOS!$I3578="","",IFERROR(VLOOKUP(DATOS!$I3578,CONFIG_ASIGNATURAS!$B$2:$J$91,9,FALSE()),""))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IF(DATOS!$A3579="",0,IF(CONFIG_METADATA!$B$4&lt;&gt;"OR+EX",--(DATOS!$G3579=CONFIG_METADATA!$B$4),IF(DATOS!$G3579="EX",1,IF(DATOS!$G3579="OR",--(COUNTIFS(nNIA,DATOS!$A3579,nCURSO,DATOS!$D3579,nESPEC,DATOS!$E3579,nASIG,DATOS!$I3579,nEVAL,"EX")=0),0))))</f>
      </c>
      <c r="H3579">
        <f>IF(DATOS!$G3579&lt;&gt;"EX",0,--(COUNTIFS(nNIA,DATOS!$A3579,nCURSO,DATOS!$D3579,nESPEC,DATOS!$E3579,nASIG,DATOS!$I3579,nEVAL,"OR")=0))</f>
      </c>
      <c r="I3579">
        <f>IF(DATOS!$I3579="","",IFERROR(VLOOKUP(DATOS!$I3579,CONFIG_ASIGNATURAS!$B$2:$J$91,9,FALSE()),""))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IF(DATOS!$A3580="",0,IF(CONFIG_METADATA!$B$4&lt;&gt;"OR+EX",--(DATOS!$G3580=CONFIG_METADATA!$B$4),IF(DATOS!$G3580="EX",1,IF(DATOS!$G3580="OR",--(COUNTIFS(nNIA,DATOS!$A3580,nCURSO,DATOS!$D3580,nESPEC,DATOS!$E3580,nASIG,DATOS!$I3580,nEVAL,"EX")=0),0))))</f>
      </c>
      <c r="H3580">
        <f>IF(DATOS!$G3580&lt;&gt;"EX",0,--(COUNTIFS(nNIA,DATOS!$A3580,nCURSO,DATOS!$D3580,nESPEC,DATOS!$E3580,nASIG,DATOS!$I3580,nEVAL,"OR")=0))</f>
      </c>
      <c r="I3580">
        <f>IF(DATOS!$I3580="","",IFERROR(VLOOKUP(DATOS!$I3580,CONFIG_ASIGNATURAS!$B$2:$J$91,9,FALSE()),""))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IF(DATOS!$A3581="",0,IF(CONFIG_METADATA!$B$4&lt;&gt;"OR+EX",--(DATOS!$G3581=CONFIG_METADATA!$B$4),IF(DATOS!$G3581="EX",1,IF(DATOS!$G3581="OR",--(COUNTIFS(nNIA,DATOS!$A3581,nCURSO,DATOS!$D3581,nESPEC,DATOS!$E3581,nASIG,DATOS!$I3581,nEVAL,"EX")=0),0))))</f>
      </c>
      <c r="H3581">
        <f>IF(DATOS!$G3581&lt;&gt;"EX",0,--(COUNTIFS(nNIA,DATOS!$A3581,nCURSO,DATOS!$D3581,nESPEC,DATOS!$E3581,nASIG,DATOS!$I3581,nEVAL,"OR")=0))</f>
      </c>
      <c r="I3581">
        <f>IF(DATOS!$I3581="","",IFERROR(VLOOKUP(DATOS!$I3581,CONFIG_ASIGNATURAS!$B$2:$J$91,9,FALSE()),""))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IF(DATOS!$A3582="",0,IF(CONFIG_METADATA!$B$4&lt;&gt;"OR+EX",--(DATOS!$G3582=CONFIG_METADATA!$B$4),IF(DATOS!$G3582="EX",1,IF(DATOS!$G3582="OR",--(COUNTIFS(nNIA,DATOS!$A3582,nCURSO,DATOS!$D3582,nESPEC,DATOS!$E3582,nASIG,DATOS!$I3582,nEVAL,"EX")=0),0))))</f>
      </c>
      <c r="H3582">
        <f>IF(DATOS!$G3582&lt;&gt;"EX",0,--(COUNTIFS(nNIA,DATOS!$A3582,nCURSO,DATOS!$D3582,nESPEC,DATOS!$E3582,nASIG,DATOS!$I3582,nEVAL,"OR")=0))</f>
      </c>
      <c r="I3582">
        <f>IF(DATOS!$I3582="","",IFERROR(VLOOKUP(DATOS!$I3582,CONFIG_ASIGNATURAS!$B$2:$J$91,9,FALSE()),""))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IF(DATOS!$A3583="",0,IF(CONFIG_METADATA!$B$4&lt;&gt;"OR+EX",--(DATOS!$G3583=CONFIG_METADATA!$B$4),IF(DATOS!$G3583="EX",1,IF(DATOS!$G3583="OR",--(COUNTIFS(nNIA,DATOS!$A3583,nCURSO,DATOS!$D3583,nESPEC,DATOS!$E3583,nASIG,DATOS!$I3583,nEVAL,"EX")=0),0))))</f>
      </c>
      <c r="H3583">
        <f>IF(DATOS!$G3583&lt;&gt;"EX",0,--(COUNTIFS(nNIA,DATOS!$A3583,nCURSO,DATOS!$D3583,nESPEC,DATOS!$E3583,nASIG,DATOS!$I3583,nEVAL,"OR")=0))</f>
      </c>
      <c r="I3583">
        <f>IF(DATOS!$I3583="","",IFERROR(VLOOKUP(DATOS!$I3583,CONFIG_ASIGNATURAS!$B$2:$J$91,9,FALSE()),""))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IF(DATOS!$A3584="",0,IF(CONFIG_METADATA!$B$4&lt;&gt;"OR+EX",--(DATOS!$G3584=CONFIG_METADATA!$B$4),IF(DATOS!$G3584="EX",1,IF(DATOS!$G3584="OR",--(COUNTIFS(nNIA,DATOS!$A3584,nCURSO,DATOS!$D3584,nESPEC,DATOS!$E3584,nASIG,DATOS!$I3584,nEVAL,"EX")=0),0))))</f>
      </c>
      <c r="H3584">
        <f>IF(DATOS!$G3584&lt;&gt;"EX",0,--(COUNTIFS(nNIA,DATOS!$A3584,nCURSO,DATOS!$D3584,nESPEC,DATOS!$E3584,nASIG,DATOS!$I3584,nEVAL,"OR")=0))</f>
      </c>
      <c r="I3584">
        <f>IF(DATOS!$I3584="","",IFERROR(VLOOKUP(DATOS!$I3584,CONFIG_ASIGNATURAS!$B$2:$J$91,9,FALSE()),""))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IF(DATOS!$A3585="",0,IF(CONFIG_METADATA!$B$4&lt;&gt;"OR+EX",--(DATOS!$G3585=CONFIG_METADATA!$B$4),IF(DATOS!$G3585="EX",1,IF(DATOS!$G3585="OR",--(COUNTIFS(nNIA,DATOS!$A3585,nCURSO,DATOS!$D3585,nESPEC,DATOS!$E3585,nASIG,DATOS!$I3585,nEVAL,"EX")=0),0))))</f>
      </c>
      <c r="H3585">
        <f>IF(DATOS!$G3585&lt;&gt;"EX",0,--(COUNTIFS(nNIA,DATOS!$A3585,nCURSO,DATOS!$D3585,nESPEC,DATOS!$E3585,nASIG,DATOS!$I3585,nEVAL,"OR")=0))</f>
      </c>
      <c r="I3585">
        <f>IF(DATOS!$I3585="","",IFERROR(VLOOKUP(DATOS!$I3585,CONFIG_ASIGNATURAS!$B$2:$J$91,9,FALSE()),""))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IF(DATOS!$A3586="",0,IF(CONFIG_METADATA!$B$4&lt;&gt;"OR+EX",--(DATOS!$G3586=CONFIG_METADATA!$B$4),IF(DATOS!$G3586="EX",1,IF(DATOS!$G3586="OR",--(COUNTIFS(nNIA,DATOS!$A3586,nCURSO,DATOS!$D3586,nESPEC,DATOS!$E3586,nASIG,DATOS!$I3586,nEVAL,"EX")=0),0))))</f>
      </c>
      <c r="H3586">
        <f>IF(DATOS!$G3586&lt;&gt;"EX",0,--(COUNTIFS(nNIA,DATOS!$A3586,nCURSO,DATOS!$D3586,nESPEC,DATOS!$E3586,nASIG,DATOS!$I3586,nEVAL,"OR")=0))</f>
      </c>
      <c r="I3586">
        <f>IF(DATOS!$I3586="","",IFERROR(VLOOKUP(DATOS!$I3586,CONFIG_ASIGNATURAS!$B$2:$J$91,9,FALSE()),""))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IF(DATOS!$A3587="",0,IF(CONFIG_METADATA!$B$4&lt;&gt;"OR+EX",--(DATOS!$G3587=CONFIG_METADATA!$B$4),IF(DATOS!$G3587="EX",1,IF(DATOS!$G3587="OR",--(COUNTIFS(nNIA,DATOS!$A3587,nCURSO,DATOS!$D3587,nESPEC,DATOS!$E3587,nASIG,DATOS!$I3587,nEVAL,"EX")=0),0))))</f>
      </c>
      <c r="H3587">
        <f>IF(DATOS!$G3587&lt;&gt;"EX",0,--(COUNTIFS(nNIA,DATOS!$A3587,nCURSO,DATOS!$D3587,nESPEC,DATOS!$E3587,nASIG,DATOS!$I3587,nEVAL,"OR")=0))</f>
      </c>
      <c r="I3587">
        <f>IF(DATOS!$I3587="","",IFERROR(VLOOKUP(DATOS!$I3587,CONFIG_ASIGNATURAS!$B$2:$J$91,9,FALSE()),""))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IF(DATOS!$A3588="",0,IF(CONFIG_METADATA!$B$4&lt;&gt;"OR+EX",--(DATOS!$G3588=CONFIG_METADATA!$B$4),IF(DATOS!$G3588="EX",1,IF(DATOS!$G3588="OR",--(COUNTIFS(nNIA,DATOS!$A3588,nCURSO,DATOS!$D3588,nESPEC,DATOS!$E3588,nASIG,DATOS!$I3588,nEVAL,"EX")=0),0))))</f>
      </c>
      <c r="H3588">
        <f>IF(DATOS!$G3588&lt;&gt;"EX",0,--(COUNTIFS(nNIA,DATOS!$A3588,nCURSO,DATOS!$D3588,nESPEC,DATOS!$E3588,nASIG,DATOS!$I3588,nEVAL,"OR")=0))</f>
      </c>
      <c r="I3588">
        <f>IF(DATOS!$I3588="","",IFERROR(VLOOKUP(DATOS!$I3588,CONFIG_ASIGNATURAS!$B$2:$J$91,9,FALSE()),""))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IF(DATOS!$A3589="",0,IF(CONFIG_METADATA!$B$4&lt;&gt;"OR+EX",--(DATOS!$G3589=CONFIG_METADATA!$B$4),IF(DATOS!$G3589="EX",1,IF(DATOS!$G3589="OR",--(COUNTIFS(nNIA,DATOS!$A3589,nCURSO,DATOS!$D3589,nESPEC,DATOS!$E3589,nASIG,DATOS!$I3589,nEVAL,"EX")=0),0))))</f>
      </c>
      <c r="H3589">
        <f>IF(DATOS!$G3589&lt;&gt;"EX",0,--(COUNTIFS(nNIA,DATOS!$A3589,nCURSO,DATOS!$D3589,nESPEC,DATOS!$E3589,nASIG,DATOS!$I3589,nEVAL,"OR")=0))</f>
      </c>
      <c r="I3589">
        <f>IF(DATOS!$I3589="","",IFERROR(VLOOKUP(DATOS!$I3589,CONFIG_ASIGNATURAS!$B$2:$J$91,9,FALSE()),""))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IF(DATOS!$A3590="",0,IF(CONFIG_METADATA!$B$4&lt;&gt;"OR+EX",--(DATOS!$G3590=CONFIG_METADATA!$B$4),IF(DATOS!$G3590="EX",1,IF(DATOS!$G3590="OR",--(COUNTIFS(nNIA,DATOS!$A3590,nCURSO,DATOS!$D3590,nESPEC,DATOS!$E3590,nASIG,DATOS!$I3590,nEVAL,"EX")=0),0))))</f>
      </c>
      <c r="H3590">
        <f>IF(DATOS!$G3590&lt;&gt;"EX",0,--(COUNTIFS(nNIA,DATOS!$A3590,nCURSO,DATOS!$D3590,nESPEC,DATOS!$E3590,nASIG,DATOS!$I3590,nEVAL,"OR")=0))</f>
      </c>
      <c r="I3590">
        <f>IF(DATOS!$I3590="","",IFERROR(VLOOKUP(DATOS!$I3590,CONFIG_ASIGNATURAS!$B$2:$J$91,9,FALSE()),""))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IF(DATOS!$A3591="",0,IF(CONFIG_METADATA!$B$4&lt;&gt;"OR+EX",--(DATOS!$G3591=CONFIG_METADATA!$B$4),IF(DATOS!$G3591="EX",1,IF(DATOS!$G3591="OR",--(COUNTIFS(nNIA,DATOS!$A3591,nCURSO,DATOS!$D3591,nESPEC,DATOS!$E3591,nASIG,DATOS!$I3591,nEVAL,"EX")=0),0))))</f>
      </c>
      <c r="H3591">
        <f>IF(DATOS!$G3591&lt;&gt;"EX",0,--(COUNTIFS(nNIA,DATOS!$A3591,nCURSO,DATOS!$D3591,nESPEC,DATOS!$E3591,nASIG,DATOS!$I3591,nEVAL,"OR")=0))</f>
      </c>
      <c r="I3591">
        <f>IF(DATOS!$I3591="","",IFERROR(VLOOKUP(DATOS!$I3591,CONFIG_ASIGNATURAS!$B$2:$J$91,9,FALSE()),""))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IF(DATOS!$A3592="",0,IF(CONFIG_METADATA!$B$4&lt;&gt;"OR+EX",--(DATOS!$G3592=CONFIG_METADATA!$B$4),IF(DATOS!$G3592="EX",1,IF(DATOS!$G3592="OR",--(COUNTIFS(nNIA,DATOS!$A3592,nCURSO,DATOS!$D3592,nESPEC,DATOS!$E3592,nASIG,DATOS!$I3592,nEVAL,"EX")=0),0))))</f>
      </c>
      <c r="H3592">
        <f>IF(DATOS!$G3592&lt;&gt;"EX",0,--(COUNTIFS(nNIA,DATOS!$A3592,nCURSO,DATOS!$D3592,nESPEC,DATOS!$E3592,nASIG,DATOS!$I3592,nEVAL,"OR")=0))</f>
      </c>
      <c r="I3592">
        <f>IF(DATOS!$I3592="","",IFERROR(VLOOKUP(DATOS!$I3592,CONFIG_ASIGNATURAS!$B$2:$J$91,9,FALSE()),""))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IF(DATOS!$A3593="",0,IF(CONFIG_METADATA!$B$4&lt;&gt;"OR+EX",--(DATOS!$G3593=CONFIG_METADATA!$B$4),IF(DATOS!$G3593="EX",1,IF(DATOS!$G3593="OR",--(COUNTIFS(nNIA,DATOS!$A3593,nCURSO,DATOS!$D3593,nESPEC,DATOS!$E3593,nASIG,DATOS!$I3593,nEVAL,"EX")=0),0))))</f>
      </c>
      <c r="H3593">
        <f>IF(DATOS!$G3593&lt;&gt;"EX",0,--(COUNTIFS(nNIA,DATOS!$A3593,nCURSO,DATOS!$D3593,nESPEC,DATOS!$E3593,nASIG,DATOS!$I3593,nEVAL,"OR")=0))</f>
      </c>
      <c r="I3593">
        <f>IF(DATOS!$I3593="","",IFERROR(VLOOKUP(DATOS!$I3593,CONFIG_ASIGNATURAS!$B$2:$J$91,9,FALSE()),""))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IF(DATOS!$A3594="",0,IF(CONFIG_METADATA!$B$4&lt;&gt;"OR+EX",--(DATOS!$G3594=CONFIG_METADATA!$B$4),IF(DATOS!$G3594="EX",1,IF(DATOS!$G3594="OR",--(COUNTIFS(nNIA,DATOS!$A3594,nCURSO,DATOS!$D3594,nESPEC,DATOS!$E3594,nASIG,DATOS!$I3594,nEVAL,"EX")=0),0))))</f>
      </c>
      <c r="H3594">
        <f>IF(DATOS!$G3594&lt;&gt;"EX",0,--(COUNTIFS(nNIA,DATOS!$A3594,nCURSO,DATOS!$D3594,nESPEC,DATOS!$E3594,nASIG,DATOS!$I3594,nEVAL,"OR")=0))</f>
      </c>
      <c r="I3594">
        <f>IF(DATOS!$I3594="","",IFERROR(VLOOKUP(DATOS!$I3594,CONFIG_ASIGNATURAS!$B$2:$J$91,9,FALSE()),""))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IF(DATOS!$A3595="",0,IF(CONFIG_METADATA!$B$4&lt;&gt;"OR+EX",--(DATOS!$G3595=CONFIG_METADATA!$B$4),IF(DATOS!$G3595="EX",1,IF(DATOS!$G3595="OR",--(COUNTIFS(nNIA,DATOS!$A3595,nCURSO,DATOS!$D3595,nESPEC,DATOS!$E3595,nASIG,DATOS!$I3595,nEVAL,"EX")=0),0))))</f>
      </c>
      <c r="H3595">
        <f>IF(DATOS!$G3595&lt;&gt;"EX",0,--(COUNTIFS(nNIA,DATOS!$A3595,nCURSO,DATOS!$D3595,nESPEC,DATOS!$E3595,nASIG,DATOS!$I3595,nEVAL,"OR")=0))</f>
      </c>
      <c r="I3595">
        <f>IF(DATOS!$I3595="","",IFERROR(VLOOKUP(DATOS!$I3595,CONFIG_ASIGNATURAS!$B$2:$J$91,9,FALSE()),""))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IF(DATOS!$A3596="",0,IF(CONFIG_METADATA!$B$4&lt;&gt;"OR+EX",--(DATOS!$G3596=CONFIG_METADATA!$B$4),IF(DATOS!$G3596="EX",1,IF(DATOS!$G3596="OR",--(COUNTIFS(nNIA,DATOS!$A3596,nCURSO,DATOS!$D3596,nESPEC,DATOS!$E3596,nASIG,DATOS!$I3596,nEVAL,"EX")=0),0))))</f>
      </c>
      <c r="H3596">
        <f>IF(DATOS!$G3596&lt;&gt;"EX",0,--(COUNTIFS(nNIA,DATOS!$A3596,nCURSO,DATOS!$D3596,nESPEC,DATOS!$E3596,nASIG,DATOS!$I3596,nEVAL,"OR")=0))</f>
      </c>
      <c r="I3596">
        <f>IF(DATOS!$I3596="","",IFERROR(VLOOKUP(DATOS!$I3596,CONFIG_ASIGNATURAS!$B$2:$J$91,9,FALSE()),""))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IF(DATOS!$A3597="",0,IF(CONFIG_METADATA!$B$4&lt;&gt;"OR+EX",--(DATOS!$G3597=CONFIG_METADATA!$B$4),IF(DATOS!$G3597="EX",1,IF(DATOS!$G3597="OR",--(COUNTIFS(nNIA,DATOS!$A3597,nCURSO,DATOS!$D3597,nESPEC,DATOS!$E3597,nASIG,DATOS!$I3597,nEVAL,"EX")=0),0))))</f>
      </c>
      <c r="H3597">
        <f>IF(DATOS!$G3597&lt;&gt;"EX",0,--(COUNTIFS(nNIA,DATOS!$A3597,nCURSO,DATOS!$D3597,nESPEC,DATOS!$E3597,nASIG,DATOS!$I3597,nEVAL,"OR")=0))</f>
      </c>
      <c r="I3597">
        <f>IF(DATOS!$I3597="","",IFERROR(VLOOKUP(DATOS!$I3597,CONFIG_ASIGNATURAS!$B$2:$J$91,9,FALSE()),""))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IF(DATOS!$A3598="",0,IF(CONFIG_METADATA!$B$4&lt;&gt;"OR+EX",--(DATOS!$G3598=CONFIG_METADATA!$B$4),IF(DATOS!$G3598="EX",1,IF(DATOS!$G3598="OR",--(COUNTIFS(nNIA,DATOS!$A3598,nCURSO,DATOS!$D3598,nESPEC,DATOS!$E3598,nASIG,DATOS!$I3598,nEVAL,"EX")=0),0))))</f>
      </c>
      <c r="H3598">
        <f>IF(DATOS!$G3598&lt;&gt;"EX",0,--(COUNTIFS(nNIA,DATOS!$A3598,nCURSO,DATOS!$D3598,nESPEC,DATOS!$E3598,nASIG,DATOS!$I3598,nEVAL,"OR")=0))</f>
      </c>
      <c r="I3598">
        <f>IF(DATOS!$I3598="","",IFERROR(VLOOKUP(DATOS!$I3598,CONFIG_ASIGNATURAS!$B$2:$J$91,9,FALSE()),""))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IF(DATOS!$A3599="",0,IF(CONFIG_METADATA!$B$4&lt;&gt;"OR+EX",--(DATOS!$G3599=CONFIG_METADATA!$B$4),IF(DATOS!$G3599="EX",1,IF(DATOS!$G3599="OR",--(COUNTIFS(nNIA,DATOS!$A3599,nCURSO,DATOS!$D3599,nESPEC,DATOS!$E3599,nASIG,DATOS!$I3599,nEVAL,"EX")=0),0))))</f>
      </c>
      <c r="H3599">
        <f>IF(DATOS!$G3599&lt;&gt;"EX",0,--(COUNTIFS(nNIA,DATOS!$A3599,nCURSO,DATOS!$D3599,nESPEC,DATOS!$E3599,nASIG,DATOS!$I3599,nEVAL,"OR")=0))</f>
      </c>
      <c r="I3599">
        <f>IF(DATOS!$I3599="","",IFERROR(VLOOKUP(DATOS!$I3599,CONFIG_ASIGNATURAS!$B$2:$J$91,9,FALSE()),""))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IF(DATOS!$A3600="",0,IF(CONFIG_METADATA!$B$4&lt;&gt;"OR+EX",--(DATOS!$G3600=CONFIG_METADATA!$B$4),IF(DATOS!$G3600="EX",1,IF(DATOS!$G3600="OR",--(COUNTIFS(nNIA,DATOS!$A3600,nCURSO,DATOS!$D3600,nESPEC,DATOS!$E3600,nASIG,DATOS!$I3600,nEVAL,"EX")=0),0))))</f>
      </c>
      <c r="H3600">
        <f>IF(DATOS!$G3600&lt;&gt;"EX",0,--(COUNTIFS(nNIA,DATOS!$A3600,nCURSO,DATOS!$D3600,nESPEC,DATOS!$E3600,nASIG,DATOS!$I3600,nEVAL,"OR")=0))</f>
      </c>
      <c r="I3600">
        <f>IF(DATOS!$I3600="","",IFERROR(VLOOKUP(DATOS!$I3600,CONFIG_ASIGNATURAS!$B$2:$J$91,9,FALSE()),""))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IF(DATOS!$A3601="",0,IF(CONFIG_METADATA!$B$4&lt;&gt;"OR+EX",--(DATOS!$G3601=CONFIG_METADATA!$B$4),IF(DATOS!$G3601="EX",1,IF(DATOS!$G3601="OR",--(COUNTIFS(nNIA,DATOS!$A3601,nCURSO,DATOS!$D3601,nESPEC,DATOS!$E3601,nASIG,DATOS!$I3601,nEVAL,"EX")=0),0))))</f>
      </c>
      <c r="H3601">
        <f>IF(DATOS!$G3601&lt;&gt;"EX",0,--(COUNTIFS(nNIA,DATOS!$A3601,nCURSO,DATOS!$D3601,nESPEC,DATOS!$E3601,nASIG,DATOS!$I3601,nEVAL,"OR")=0))</f>
      </c>
      <c r="I3601">
        <f>IF(DATOS!$I3601="","",IFERROR(VLOOKUP(DATOS!$I3601,CONFIG_ASIGNATURAS!$B$2:$J$91,9,FALSE()),""))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IF(DATOS!$A3602="",0,IF(CONFIG_METADATA!$B$4&lt;&gt;"OR+EX",--(DATOS!$G3602=CONFIG_METADATA!$B$4),IF(DATOS!$G3602="EX",1,IF(DATOS!$G3602="OR",--(COUNTIFS(nNIA,DATOS!$A3602,nCURSO,DATOS!$D3602,nESPEC,DATOS!$E3602,nASIG,DATOS!$I3602,nEVAL,"EX")=0),0))))</f>
      </c>
      <c r="H3602">
        <f>IF(DATOS!$G3602&lt;&gt;"EX",0,--(COUNTIFS(nNIA,DATOS!$A3602,nCURSO,DATOS!$D3602,nESPEC,DATOS!$E3602,nASIG,DATOS!$I3602,nEVAL,"OR")=0))</f>
      </c>
      <c r="I3602">
        <f>IF(DATOS!$I3602="","",IFERROR(VLOOKUP(DATOS!$I3602,CONFIG_ASIGNATURAS!$B$2:$J$91,9,FALSE()),""))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IF(DATOS!$A3603="",0,IF(CONFIG_METADATA!$B$4&lt;&gt;"OR+EX",--(DATOS!$G3603=CONFIG_METADATA!$B$4),IF(DATOS!$G3603="EX",1,IF(DATOS!$G3603="OR",--(COUNTIFS(nNIA,DATOS!$A3603,nCURSO,DATOS!$D3603,nESPEC,DATOS!$E3603,nASIG,DATOS!$I3603,nEVAL,"EX")=0),0))))</f>
      </c>
      <c r="H3603">
        <f>IF(DATOS!$G3603&lt;&gt;"EX",0,--(COUNTIFS(nNIA,DATOS!$A3603,nCURSO,DATOS!$D3603,nESPEC,DATOS!$E3603,nASIG,DATOS!$I3603,nEVAL,"OR")=0))</f>
      </c>
      <c r="I3603">
        <f>IF(DATOS!$I3603="","",IFERROR(VLOOKUP(DATOS!$I3603,CONFIG_ASIGNATURAS!$B$2:$J$91,9,FALSE()),""))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IF(DATOS!$A3604="",0,IF(CONFIG_METADATA!$B$4&lt;&gt;"OR+EX",--(DATOS!$G3604=CONFIG_METADATA!$B$4),IF(DATOS!$G3604="EX",1,IF(DATOS!$G3604="OR",--(COUNTIFS(nNIA,DATOS!$A3604,nCURSO,DATOS!$D3604,nESPEC,DATOS!$E3604,nASIG,DATOS!$I3604,nEVAL,"EX")=0),0))))</f>
      </c>
      <c r="H3604">
        <f>IF(DATOS!$G3604&lt;&gt;"EX",0,--(COUNTIFS(nNIA,DATOS!$A3604,nCURSO,DATOS!$D3604,nESPEC,DATOS!$E3604,nASIG,DATOS!$I3604,nEVAL,"OR")=0))</f>
      </c>
      <c r="I3604">
        <f>IF(DATOS!$I3604="","",IFERROR(VLOOKUP(DATOS!$I3604,CONFIG_ASIGNATURAS!$B$2:$J$91,9,FALSE()),""))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IF(DATOS!$A3605="",0,IF(CONFIG_METADATA!$B$4&lt;&gt;"OR+EX",--(DATOS!$G3605=CONFIG_METADATA!$B$4),IF(DATOS!$G3605="EX",1,IF(DATOS!$G3605="OR",--(COUNTIFS(nNIA,DATOS!$A3605,nCURSO,DATOS!$D3605,nESPEC,DATOS!$E3605,nASIG,DATOS!$I3605,nEVAL,"EX")=0),0))))</f>
      </c>
      <c r="H3605">
        <f>IF(DATOS!$G3605&lt;&gt;"EX",0,--(COUNTIFS(nNIA,DATOS!$A3605,nCURSO,DATOS!$D3605,nESPEC,DATOS!$E3605,nASIG,DATOS!$I3605,nEVAL,"OR")=0))</f>
      </c>
      <c r="I3605">
        <f>IF(DATOS!$I3605="","",IFERROR(VLOOKUP(DATOS!$I3605,CONFIG_ASIGNATURAS!$B$2:$J$91,9,FALSE()),""))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IF(DATOS!$A3606="",0,IF(CONFIG_METADATA!$B$4&lt;&gt;"OR+EX",--(DATOS!$G3606=CONFIG_METADATA!$B$4),IF(DATOS!$G3606="EX",1,IF(DATOS!$G3606="OR",--(COUNTIFS(nNIA,DATOS!$A3606,nCURSO,DATOS!$D3606,nESPEC,DATOS!$E3606,nASIG,DATOS!$I3606,nEVAL,"EX")=0),0))))</f>
      </c>
      <c r="H3606">
        <f>IF(DATOS!$G3606&lt;&gt;"EX",0,--(COUNTIFS(nNIA,DATOS!$A3606,nCURSO,DATOS!$D3606,nESPEC,DATOS!$E3606,nASIG,DATOS!$I3606,nEVAL,"OR")=0))</f>
      </c>
      <c r="I3606">
        <f>IF(DATOS!$I3606="","",IFERROR(VLOOKUP(DATOS!$I3606,CONFIG_ASIGNATURAS!$B$2:$J$91,9,FALSE()),""))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IF(DATOS!$A3607="",0,IF(CONFIG_METADATA!$B$4&lt;&gt;"OR+EX",--(DATOS!$G3607=CONFIG_METADATA!$B$4),IF(DATOS!$G3607="EX",1,IF(DATOS!$G3607="OR",--(COUNTIFS(nNIA,DATOS!$A3607,nCURSO,DATOS!$D3607,nESPEC,DATOS!$E3607,nASIG,DATOS!$I3607,nEVAL,"EX")=0),0))))</f>
      </c>
      <c r="H3607">
        <f>IF(DATOS!$G3607&lt;&gt;"EX",0,--(COUNTIFS(nNIA,DATOS!$A3607,nCURSO,DATOS!$D3607,nESPEC,DATOS!$E3607,nASIG,DATOS!$I3607,nEVAL,"OR")=0))</f>
      </c>
      <c r="I3607">
        <f>IF(DATOS!$I3607="","",IFERROR(VLOOKUP(DATOS!$I3607,CONFIG_ASIGNATURAS!$B$2:$J$91,9,FALSE()),""))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IF(DATOS!$A3608="",0,IF(CONFIG_METADATA!$B$4&lt;&gt;"OR+EX",--(DATOS!$G3608=CONFIG_METADATA!$B$4),IF(DATOS!$G3608="EX",1,IF(DATOS!$G3608="OR",--(COUNTIFS(nNIA,DATOS!$A3608,nCURSO,DATOS!$D3608,nESPEC,DATOS!$E3608,nASIG,DATOS!$I3608,nEVAL,"EX")=0),0))))</f>
      </c>
      <c r="H3608">
        <f>IF(DATOS!$G3608&lt;&gt;"EX",0,--(COUNTIFS(nNIA,DATOS!$A3608,nCURSO,DATOS!$D3608,nESPEC,DATOS!$E3608,nASIG,DATOS!$I3608,nEVAL,"OR")=0))</f>
      </c>
      <c r="I3608">
        <f>IF(DATOS!$I3608="","",IFERROR(VLOOKUP(DATOS!$I3608,CONFIG_ASIGNATURAS!$B$2:$J$91,9,FALSE()),""))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IF(DATOS!$A3609="",0,IF(CONFIG_METADATA!$B$4&lt;&gt;"OR+EX",--(DATOS!$G3609=CONFIG_METADATA!$B$4),IF(DATOS!$G3609="EX",1,IF(DATOS!$G3609="OR",--(COUNTIFS(nNIA,DATOS!$A3609,nCURSO,DATOS!$D3609,nESPEC,DATOS!$E3609,nASIG,DATOS!$I3609,nEVAL,"EX")=0),0))))</f>
      </c>
      <c r="H3609">
        <f>IF(DATOS!$G3609&lt;&gt;"EX",0,--(COUNTIFS(nNIA,DATOS!$A3609,nCURSO,DATOS!$D3609,nESPEC,DATOS!$E3609,nASIG,DATOS!$I3609,nEVAL,"OR")=0))</f>
      </c>
      <c r="I3609">
        <f>IF(DATOS!$I3609="","",IFERROR(VLOOKUP(DATOS!$I3609,CONFIG_ASIGNATURAS!$B$2:$J$91,9,FALSE()),""))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IF(DATOS!$A3610="",0,IF(CONFIG_METADATA!$B$4&lt;&gt;"OR+EX",--(DATOS!$G3610=CONFIG_METADATA!$B$4),IF(DATOS!$G3610="EX",1,IF(DATOS!$G3610="OR",--(COUNTIFS(nNIA,DATOS!$A3610,nCURSO,DATOS!$D3610,nESPEC,DATOS!$E3610,nASIG,DATOS!$I3610,nEVAL,"EX")=0),0))))</f>
      </c>
      <c r="H3610">
        <f>IF(DATOS!$G3610&lt;&gt;"EX",0,--(COUNTIFS(nNIA,DATOS!$A3610,nCURSO,DATOS!$D3610,nESPEC,DATOS!$E3610,nASIG,DATOS!$I3610,nEVAL,"OR")=0))</f>
      </c>
      <c r="I3610">
        <f>IF(DATOS!$I3610="","",IFERROR(VLOOKUP(DATOS!$I3610,CONFIG_ASIGNATURAS!$B$2:$J$91,9,FALSE()),""))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IF(DATOS!$A3611="",0,IF(CONFIG_METADATA!$B$4&lt;&gt;"OR+EX",--(DATOS!$G3611=CONFIG_METADATA!$B$4),IF(DATOS!$G3611="EX",1,IF(DATOS!$G3611="OR",--(COUNTIFS(nNIA,DATOS!$A3611,nCURSO,DATOS!$D3611,nESPEC,DATOS!$E3611,nASIG,DATOS!$I3611,nEVAL,"EX")=0),0))))</f>
      </c>
      <c r="H3611">
        <f>IF(DATOS!$G3611&lt;&gt;"EX",0,--(COUNTIFS(nNIA,DATOS!$A3611,nCURSO,DATOS!$D3611,nESPEC,DATOS!$E3611,nASIG,DATOS!$I3611,nEVAL,"OR")=0))</f>
      </c>
      <c r="I3611">
        <f>IF(DATOS!$I3611="","",IFERROR(VLOOKUP(DATOS!$I3611,CONFIG_ASIGNATURAS!$B$2:$J$91,9,FALSE()),""))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IF(DATOS!$A3612="",0,IF(CONFIG_METADATA!$B$4&lt;&gt;"OR+EX",--(DATOS!$G3612=CONFIG_METADATA!$B$4),IF(DATOS!$G3612="EX",1,IF(DATOS!$G3612="OR",--(COUNTIFS(nNIA,DATOS!$A3612,nCURSO,DATOS!$D3612,nESPEC,DATOS!$E3612,nASIG,DATOS!$I3612,nEVAL,"EX")=0),0))))</f>
      </c>
      <c r="H3612">
        <f>IF(DATOS!$G3612&lt;&gt;"EX",0,--(COUNTIFS(nNIA,DATOS!$A3612,nCURSO,DATOS!$D3612,nESPEC,DATOS!$E3612,nASIG,DATOS!$I3612,nEVAL,"OR")=0))</f>
      </c>
      <c r="I3612">
        <f>IF(DATOS!$I3612="","",IFERROR(VLOOKUP(DATOS!$I3612,CONFIG_ASIGNATURAS!$B$2:$J$91,9,FALSE()),""))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IF(DATOS!$A3613="",0,IF(CONFIG_METADATA!$B$4&lt;&gt;"OR+EX",--(DATOS!$G3613=CONFIG_METADATA!$B$4),IF(DATOS!$G3613="EX",1,IF(DATOS!$G3613="OR",--(COUNTIFS(nNIA,DATOS!$A3613,nCURSO,DATOS!$D3613,nESPEC,DATOS!$E3613,nASIG,DATOS!$I3613,nEVAL,"EX")=0),0))))</f>
      </c>
      <c r="H3613">
        <f>IF(DATOS!$G3613&lt;&gt;"EX",0,--(COUNTIFS(nNIA,DATOS!$A3613,nCURSO,DATOS!$D3613,nESPEC,DATOS!$E3613,nASIG,DATOS!$I3613,nEVAL,"OR")=0))</f>
      </c>
      <c r="I3613">
        <f>IF(DATOS!$I3613="","",IFERROR(VLOOKUP(DATOS!$I3613,CONFIG_ASIGNATURAS!$B$2:$J$91,9,FALSE()),""))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IF(DATOS!$A3614="",0,IF(CONFIG_METADATA!$B$4&lt;&gt;"OR+EX",--(DATOS!$G3614=CONFIG_METADATA!$B$4),IF(DATOS!$G3614="EX",1,IF(DATOS!$G3614="OR",--(COUNTIFS(nNIA,DATOS!$A3614,nCURSO,DATOS!$D3614,nESPEC,DATOS!$E3614,nASIG,DATOS!$I3614,nEVAL,"EX")=0),0))))</f>
      </c>
      <c r="H3614">
        <f>IF(DATOS!$G3614&lt;&gt;"EX",0,--(COUNTIFS(nNIA,DATOS!$A3614,nCURSO,DATOS!$D3614,nESPEC,DATOS!$E3614,nASIG,DATOS!$I3614,nEVAL,"OR")=0))</f>
      </c>
      <c r="I3614">
        <f>IF(DATOS!$I3614="","",IFERROR(VLOOKUP(DATOS!$I3614,CONFIG_ASIGNATURAS!$B$2:$J$91,9,FALSE()),""))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IF(DATOS!$A3615="",0,IF(CONFIG_METADATA!$B$4&lt;&gt;"OR+EX",--(DATOS!$G3615=CONFIG_METADATA!$B$4),IF(DATOS!$G3615="EX",1,IF(DATOS!$G3615="OR",--(COUNTIFS(nNIA,DATOS!$A3615,nCURSO,DATOS!$D3615,nESPEC,DATOS!$E3615,nASIG,DATOS!$I3615,nEVAL,"EX")=0),0))))</f>
      </c>
      <c r="H3615">
        <f>IF(DATOS!$G3615&lt;&gt;"EX",0,--(COUNTIFS(nNIA,DATOS!$A3615,nCURSO,DATOS!$D3615,nESPEC,DATOS!$E3615,nASIG,DATOS!$I3615,nEVAL,"OR")=0))</f>
      </c>
      <c r="I3615">
        <f>IF(DATOS!$I3615="","",IFERROR(VLOOKUP(DATOS!$I3615,CONFIG_ASIGNATURAS!$B$2:$J$91,9,FALSE()),""))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IF(DATOS!$A3616="",0,IF(CONFIG_METADATA!$B$4&lt;&gt;"OR+EX",--(DATOS!$G3616=CONFIG_METADATA!$B$4),IF(DATOS!$G3616="EX",1,IF(DATOS!$G3616="OR",--(COUNTIFS(nNIA,DATOS!$A3616,nCURSO,DATOS!$D3616,nESPEC,DATOS!$E3616,nASIG,DATOS!$I3616,nEVAL,"EX")=0),0))))</f>
      </c>
      <c r="H3616">
        <f>IF(DATOS!$G3616&lt;&gt;"EX",0,--(COUNTIFS(nNIA,DATOS!$A3616,nCURSO,DATOS!$D3616,nESPEC,DATOS!$E3616,nASIG,DATOS!$I3616,nEVAL,"OR")=0))</f>
      </c>
      <c r="I3616">
        <f>IF(DATOS!$I3616="","",IFERROR(VLOOKUP(DATOS!$I3616,CONFIG_ASIGNATURAS!$B$2:$J$91,9,FALSE()),""))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IF(DATOS!$A3617="",0,IF(CONFIG_METADATA!$B$4&lt;&gt;"OR+EX",--(DATOS!$G3617=CONFIG_METADATA!$B$4),IF(DATOS!$G3617="EX",1,IF(DATOS!$G3617="OR",--(COUNTIFS(nNIA,DATOS!$A3617,nCURSO,DATOS!$D3617,nESPEC,DATOS!$E3617,nASIG,DATOS!$I3617,nEVAL,"EX")=0),0))))</f>
      </c>
      <c r="H3617">
        <f>IF(DATOS!$G3617&lt;&gt;"EX",0,--(COUNTIFS(nNIA,DATOS!$A3617,nCURSO,DATOS!$D3617,nESPEC,DATOS!$E3617,nASIG,DATOS!$I3617,nEVAL,"OR")=0))</f>
      </c>
      <c r="I3617">
        <f>IF(DATOS!$I3617="","",IFERROR(VLOOKUP(DATOS!$I3617,CONFIG_ASIGNATURAS!$B$2:$J$91,9,FALSE()),""))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IF(DATOS!$A3618="",0,IF(CONFIG_METADATA!$B$4&lt;&gt;"OR+EX",--(DATOS!$G3618=CONFIG_METADATA!$B$4),IF(DATOS!$G3618="EX",1,IF(DATOS!$G3618="OR",--(COUNTIFS(nNIA,DATOS!$A3618,nCURSO,DATOS!$D3618,nESPEC,DATOS!$E3618,nASIG,DATOS!$I3618,nEVAL,"EX")=0),0))))</f>
      </c>
      <c r="H3618">
        <f>IF(DATOS!$G3618&lt;&gt;"EX",0,--(COUNTIFS(nNIA,DATOS!$A3618,nCURSO,DATOS!$D3618,nESPEC,DATOS!$E3618,nASIG,DATOS!$I3618,nEVAL,"OR")=0))</f>
      </c>
      <c r="I3618">
        <f>IF(DATOS!$I3618="","",IFERROR(VLOOKUP(DATOS!$I3618,CONFIG_ASIGNATURAS!$B$2:$J$91,9,FALSE()),""))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IF(DATOS!$A3619="",0,IF(CONFIG_METADATA!$B$4&lt;&gt;"OR+EX",--(DATOS!$G3619=CONFIG_METADATA!$B$4),IF(DATOS!$G3619="EX",1,IF(DATOS!$G3619="OR",--(COUNTIFS(nNIA,DATOS!$A3619,nCURSO,DATOS!$D3619,nESPEC,DATOS!$E3619,nASIG,DATOS!$I3619,nEVAL,"EX")=0),0))))</f>
      </c>
      <c r="H3619">
        <f>IF(DATOS!$G3619&lt;&gt;"EX",0,--(COUNTIFS(nNIA,DATOS!$A3619,nCURSO,DATOS!$D3619,nESPEC,DATOS!$E3619,nASIG,DATOS!$I3619,nEVAL,"OR")=0))</f>
      </c>
      <c r="I3619">
        <f>IF(DATOS!$I3619="","",IFERROR(VLOOKUP(DATOS!$I3619,CONFIG_ASIGNATURAS!$B$2:$J$91,9,FALSE()),""))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IF(DATOS!$A3620="",0,IF(CONFIG_METADATA!$B$4&lt;&gt;"OR+EX",--(DATOS!$G3620=CONFIG_METADATA!$B$4),IF(DATOS!$G3620="EX",1,IF(DATOS!$G3620="OR",--(COUNTIFS(nNIA,DATOS!$A3620,nCURSO,DATOS!$D3620,nESPEC,DATOS!$E3620,nASIG,DATOS!$I3620,nEVAL,"EX")=0),0))))</f>
      </c>
      <c r="H3620">
        <f>IF(DATOS!$G3620&lt;&gt;"EX",0,--(COUNTIFS(nNIA,DATOS!$A3620,nCURSO,DATOS!$D3620,nESPEC,DATOS!$E3620,nASIG,DATOS!$I3620,nEVAL,"OR")=0))</f>
      </c>
      <c r="I3620">
        <f>IF(DATOS!$I3620="","",IFERROR(VLOOKUP(DATOS!$I3620,CONFIG_ASIGNATURAS!$B$2:$J$91,9,FALSE()),""))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IF(DATOS!$A3621="",0,IF(CONFIG_METADATA!$B$4&lt;&gt;"OR+EX",--(DATOS!$G3621=CONFIG_METADATA!$B$4),IF(DATOS!$G3621="EX",1,IF(DATOS!$G3621="OR",--(COUNTIFS(nNIA,DATOS!$A3621,nCURSO,DATOS!$D3621,nESPEC,DATOS!$E3621,nASIG,DATOS!$I3621,nEVAL,"EX")=0),0))))</f>
      </c>
      <c r="H3621">
        <f>IF(DATOS!$G3621&lt;&gt;"EX",0,--(COUNTIFS(nNIA,DATOS!$A3621,nCURSO,DATOS!$D3621,nESPEC,DATOS!$E3621,nASIG,DATOS!$I3621,nEVAL,"OR")=0))</f>
      </c>
      <c r="I3621">
        <f>IF(DATOS!$I3621="","",IFERROR(VLOOKUP(DATOS!$I3621,CONFIG_ASIGNATURAS!$B$2:$J$91,9,FALSE()),""))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IF(DATOS!$A3622="",0,IF(CONFIG_METADATA!$B$4&lt;&gt;"OR+EX",--(DATOS!$G3622=CONFIG_METADATA!$B$4),IF(DATOS!$G3622="EX",1,IF(DATOS!$G3622="OR",--(COUNTIFS(nNIA,DATOS!$A3622,nCURSO,DATOS!$D3622,nESPEC,DATOS!$E3622,nASIG,DATOS!$I3622,nEVAL,"EX")=0),0))))</f>
      </c>
      <c r="H3622">
        <f>IF(DATOS!$G3622&lt;&gt;"EX",0,--(COUNTIFS(nNIA,DATOS!$A3622,nCURSO,DATOS!$D3622,nESPEC,DATOS!$E3622,nASIG,DATOS!$I3622,nEVAL,"OR")=0))</f>
      </c>
      <c r="I3622">
        <f>IF(DATOS!$I3622="","",IFERROR(VLOOKUP(DATOS!$I3622,CONFIG_ASIGNATURAS!$B$2:$J$91,9,FALSE()),""))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IF(DATOS!$A3623="",0,IF(CONFIG_METADATA!$B$4&lt;&gt;"OR+EX",--(DATOS!$G3623=CONFIG_METADATA!$B$4),IF(DATOS!$G3623="EX",1,IF(DATOS!$G3623="OR",--(COUNTIFS(nNIA,DATOS!$A3623,nCURSO,DATOS!$D3623,nESPEC,DATOS!$E3623,nASIG,DATOS!$I3623,nEVAL,"EX")=0),0))))</f>
      </c>
      <c r="H3623">
        <f>IF(DATOS!$G3623&lt;&gt;"EX",0,--(COUNTIFS(nNIA,DATOS!$A3623,nCURSO,DATOS!$D3623,nESPEC,DATOS!$E3623,nASIG,DATOS!$I3623,nEVAL,"OR")=0))</f>
      </c>
      <c r="I3623">
        <f>IF(DATOS!$I3623="","",IFERROR(VLOOKUP(DATOS!$I3623,CONFIG_ASIGNATURAS!$B$2:$J$91,9,FALSE()),""))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IF(DATOS!$A3624="",0,IF(CONFIG_METADATA!$B$4&lt;&gt;"OR+EX",--(DATOS!$G3624=CONFIG_METADATA!$B$4),IF(DATOS!$G3624="EX",1,IF(DATOS!$G3624="OR",--(COUNTIFS(nNIA,DATOS!$A3624,nCURSO,DATOS!$D3624,nESPEC,DATOS!$E3624,nASIG,DATOS!$I3624,nEVAL,"EX")=0),0))))</f>
      </c>
      <c r="H3624">
        <f>IF(DATOS!$G3624&lt;&gt;"EX",0,--(COUNTIFS(nNIA,DATOS!$A3624,nCURSO,DATOS!$D3624,nESPEC,DATOS!$E3624,nASIG,DATOS!$I3624,nEVAL,"OR")=0))</f>
      </c>
      <c r="I3624">
        <f>IF(DATOS!$I3624="","",IFERROR(VLOOKUP(DATOS!$I3624,CONFIG_ASIGNATURAS!$B$2:$J$91,9,FALSE()),""))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IF(DATOS!$A3625="",0,IF(CONFIG_METADATA!$B$4&lt;&gt;"OR+EX",--(DATOS!$G3625=CONFIG_METADATA!$B$4),IF(DATOS!$G3625="EX",1,IF(DATOS!$G3625="OR",--(COUNTIFS(nNIA,DATOS!$A3625,nCURSO,DATOS!$D3625,nESPEC,DATOS!$E3625,nASIG,DATOS!$I3625,nEVAL,"EX")=0),0))))</f>
      </c>
      <c r="H3625">
        <f>IF(DATOS!$G3625&lt;&gt;"EX",0,--(COUNTIFS(nNIA,DATOS!$A3625,nCURSO,DATOS!$D3625,nESPEC,DATOS!$E3625,nASIG,DATOS!$I3625,nEVAL,"OR")=0))</f>
      </c>
      <c r="I3625">
        <f>IF(DATOS!$I3625="","",IFERROR(VLOOKUP(DATOS!$I3625,CONFIG_ASIGNATURAS!$B$2:$J$91,9,FALSE()),""))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IF(DATOS!$A3626="",0,IF(CONFIG_METADATA!$B$4&lt;&gt;"OR+EX",--(DATOS!$G3626=CONFIG_METADATA!$B$4),IF(DATOS!$G3626="EX",1,IF(DATOS!$G3626="OR",--(COUNTIFS(nNIA,DATOS!$A3626,nCURSO,DATOS!$D3626,nESPEC,DATOS!$E3626,nASIG,DATOS!$I3626,nEVAL,"EX")=0),0))))</f>
      </c>
      <c r="H3626">
        <f>IF(DATOS!$G3626&lt;&gt;"EX",0,--(COUNTIFS(nNIA,DATOS!$A3626,nCURSO,DATOS!$D3626,nESPEC,DATOS!$E3626,nASIG,DATOS!$I3626,nEVAL,"OR")=0))</f>
      </c>
      <c r="I3626">
        <f>IF(DATOS!$I3626="","",IFERROR(VLOOKUP(DATOS!$I3626,CONFIG_ASIGNATURAS!$B$2:$J$91,9,FALSE()),""))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IF(DATOS!$A3627="",0,IF(CONFIG_METADATA!$B$4&lt;&gt;"OR+EX",--(DATOS!$G3627=CONFIG_METADATA!$B$4),IF(DATOS!$G3627="EX",1,IF(DATOS!$G3627="OR",--(COUNTIFS(nNIA,DATOS!$A3627,nCURSO,DATOS!$D3627,nESPEC,DATOS!$E3627,nASIG,DATOS!$I3627,nEVAL,"EX")=0),0))))</f>
      </c>
      <c r="H3627">
        <f>IF(DATOS!$G3627&lt;&gt;"EX",0,--(COUNTIFS(nNIA,DATOS!$A3627,nCURSO,DATOS!$D3627,nESPEC,DATOS!$E3627,nASIG,DATOS!$I3627,nEVAL,"OR")=0))</f>
      </c>
      <c r="I3627">
        <f>IF(DATOS!$I3627="","",IFERROR(VLOOKUP(DATOS!$I3627,CONFIG_ASIGNATURAS!$B$2:$J$91,9,FALSE()),""))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IF(DATOS!$A3628="",0,IF(CONFIG_METADATA!$B$4&lt;&gt;"OR+EX",--(DATOS!$G3628=CONFIG_METADATA!$B$4),IF(DATOS!$G3628="EX",1,IF(DATOS!$G3628="OR",--(COUNTIFS(nNIA,DATOS!$A3628,nCURSO,DATOS!$D3628,nESPEC,DATOS!$E3628,nASIG,DATOS!$I3628,nEVAL,"EX")=0),0))))</f>
      </c>
      <c r="H3628">
        <f>IF(DATOS!$G3628&lt;&gt;"EX",0,--(COUNTIFS(nNIA,DATOS!$A3628,nCURSO,DATOS!$D3628,nESPEC,DATOS!$E3628,nASIG,DATOS!$I3628,nEVAL,"OR")=0))</f>
      </c>
      <c r="I3628">
        <f>IF(DATOS!$I3628="","",IFERROR(VLOOKUP(DATOS!$I3628,CONFIG_ASIGNATURAS!$B$2:$J$91,9,FALSE()),""))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IF(DATOS!$A3629="",0,IF(CONFIG_METADATA!$B$4&lt;&gt;"OR+EX",--(DATOS!$G3629=CONFIG_METADATA!$B$4),IF(DATOS!$G3629="EX",1,IF(DATOS!$G3629="OR",--(COUNTIFS(nNIA,DATOS!$A3629,nCURSO,DATOS!$D3629,nESPEC,DATOS!$E3629,nASIG,DATOS!$I3629,nEVAL,"EX")=0),0))))</f>
      </c>
      <c r="H3629">
        <f>IF(DATOS!$G3629&lt;&gt;"EX",0,--(COUNTIFS(nNIA,DATOS!$A3629,nCURSO,DATOS!$D3629,nESPEC,DATOS!$E3629,nASIG,DATOS!$I3629,nEVAL,"OR")=0))</f>
      </c>
      <c r="I3629">
        <f>IF(DATOS!$I3629="","",IFERROR(VLOOKUP(DATOS!$I3629,CONFIG_ASIGNATURAS!$B$2:$J$91,9,FALSE()),""))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IF(DATOS!$A3630="",0,IF(CONFIG_METADATA!$B$4&lt;&gt;"OR+EX",--(DATOS!$G3630=CONFIG_METADATA!$B$4),IF(DATOS!$G3630="EX",1,IF(DATOS!$G3630="OR",--(COUNTIFS(nNIA,DATOS!$A3630,nCURSO,DATOS!$D3630,nESPEC,DATOS!$E3630,nASIG,DATOS!$I3630,nEVAL,"EX")=0),0))))</f>
      </c>
      <c r="H3630">
        <f>IF(DATOS!$G3630&lt;&gt;"EX",0,--(COUNTIFS(nNIA,DATOS!$A3630,nCURSO,DATOS!$D3630,nESPEC,DATOS!$E3630,nASIG,DATOS!$I3630,nEVAL,"OR")=0))</f>
      </c>
      <c r="I3630">
        <f>IF(DATOS!$I3630="","",IFERROR(VLOOKUP(DATOS!$I3630,CONFIG_ASIGNATURAS!$B$2:$J$91,9,FALSE()),""))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IF(DATOS!$A3631="",0,IF(CONFIG_METADATA!$B$4&lt;&gt;"OR+EX",--(DATOS!$G3631=CONFIG_METADATA!$B$4),IF(DATOS!$G3631="EX",1,IF(DATOS!$G3631="OR",--(COUNTIFS(nNIA,DATOS!$A3631,nCURSO,DATOS!$D3631,nESPEC,DATOS!$E3631,nASIG,DATOS!$I3631,nEVAL,"EX")=0),0))))</f>
      </c>
      <c r="H3631">
        <f>IF(DATOS!$G3631&lt;&gt;"EX",0,--(COUNTIFS(nNIA,DATOS!$A3631,nCURSO,DATOS!$D3631,nESPEC,DATOS!$E3631,nASIG,DATOS!$I3631,nEVAL,"OR")=0))</f>
      </c>
      <c r="I3631">
        <f>IF(DATOS!$I3631="","",IFERROR(VLOOKUP(DATOS!$I3631,CONFIG_ASIGNATURAS!$B$2:$J$91,9,FALSE()),""))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IF(DATOS!$A3632="",0,IF(CONFIG_METADATA!$B$4&lt;&gt;"OR+EX",--(DATOS!$G3632=CONFIG_METADATA!$B$4),IF(DATOS!$G3632="EX",1,IF(DATOS!$G3632="OR",--(COUNTIFS(nNIA,DATOS!$A3632,nCURSO,DATOS!$D3632,nESPEC,DATOS!$E3632,nASIG,DATOS!$I3632,nEVAL,"EX")=0),0))))</f>
      </c>
      <c r="H3632">
        <f>IF(DATOS!$G3632&lt;&gt;"EX",0,--(COUNTIFS(nNIA,DATOS!$A3632,nCURSO,DATOS!$D3632,nESPEC,DATOS!$E3632,nASIG,DATOS!$I3632,nEVAL,"OR")=0))</f>
      </c>
      <c r="I3632">
        <f>IF(DATOS!$I3632="","",IFERROR(VLOOKUP(DATOS!$I3632,CONFIG_ASIGNATURAS!$B$2:$J$91,9,FALSE()),""))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IF(DATOS!$A3633="",0,IF(CONFIG_METADATA!$B$4&lt;&gt;"OR+EX",--(DATOS!$G3633=CONFIG_METADATA!$B$4),IF(DATOS!$G3633="EX",1,IF(DATOS!$G3633="OR",--(COUNTIFS(nNIA,DATOS!$A3633,nCURSO,DATOS!$D3633,nESPEC,DATOS!$E3633,nASIG,DATOS!$I3633,nEVAL,"EX")=0),0))))</f>
      </c>
      <c r="H3633">
        <f>IF(DATOS!$G3633&lt;&gt;"EX",0,--(COUNTIFS(nNIA,DATOS!$A3633,nCURSO,DATOS!$D3633,nESPEC,DATOS!$E3633,nASIG,DATOS!$I3633,nEVAL,"OR")=0))</f>
      </c>
      <c r="I3633">
        <f>IF(DATOS!$I3633="","",IFERROR(VLOOKUP(DATOS!$I3633,CONFIG_ASIGNATURAS!$B$2:$J$91,9,FALSE()),""))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IF(DATOS!$A3634="",0,IF(CONFIG_METADATA!$B$4&lt;&gt;"OR+EX",--(DATOS!$G3634=CONFIG_METADATA!$B$4),IF(DATOS!$G3634="EX",1,IF(DATOS!$G3634="OR",--(COUNTIFS(nNIA,DATOS!$A3634,nCURSO,DATOS!$D3634,nESPEC,DATOS!$E3634,nASIG,DATOS!$I3634,nEVAL,"EX")=0),0))))</f>
      </c>
      <c r="H3634">
        <f>IF(DATOS!$G3634&lt;&gt;"EX",0,--(COUNTIFS(nNIA,DATOS!$A3634,nCURSO,DATOS!$D3634,nESPEC,DATOS!$E3634,nASIG,DATOS!$I3634,nEVAL,"OR")=0))</f>
      </c>
      <c r="I3634">
        <f>IF(DATOS!$I3634="","",IFERROR(VLOOKUP(DATOS!$I3634,CONFIG_ASIGNATURAS!$B$2:$J$91,9,FALSE()),""))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IF(DATOS!$A3635="",0,IF(CONFIG_METADATA!$B$4&lt;&gt;"OR+EX",--(DATOS!$G3635=CONFIG_METADATA!$B$4),IF(DATOS!$G3635="EX",1,IF(DATOS!$G3635="OR",--(COUNTIFS(nNIA,DATOS!$A3635,nCURSO,DATOS!$D3635,nESPEC,DATOS!$E3635,nASIG,DATOS!$I3635,nEVAL,"EX")=0),0))))</f>
      </c>
      <c r="H3635">
        <f>IF(DATOS!$G3635&lt;&gt;"EX",0,--(COUNTIFS(nNIA,DATOS!$A3635,nCURSO,DATOS!$D3635,nESPEC,DATOS!$E3635,nASIG,DATOS!$I3635,nEVAL,"OR")=0))</f>
      </c>
      <c r="I3635">
        <f>IF(DATOS!$I3635="","",IFERROR(VLOOKUP(DATOS!$I3635,CONFIG_ASIGNATURAS!$B$2:$J$91,9,FALSE()),""))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IF(DATOS!$A3636="",0,IF(CONFIG_METADATA!$B$4&lt;&gt;"OR+EX",--(DATOS!$G3636=CONFIG_METADATA!$B$4),IF(DATOS!$G3636="EX",1,IF(DATOS!$G3636="OR",--(COUNTIFS(nNIA,DATOS!$A3636,nCURSO,DATOS!$D3636,nESPEC,DATOS!$E3636,nASIG,DATOS!$I3636,nEVAL,"EX")=0),0))))</f>
      </c>
      <c r="H3636">
        <f>IF(DATOS!$G3636&lt;&gt;"EX",0,--(COUNTIFS(nNIA,DATOS!$A3636,nCURSO,DATOS!$D3636,nESPEC,DATOS!$E3636,nASIG,DATOS!$I3636,nEVAL,"OR")=0))</f>
      </c>
      <c r="I3636">
        <f>IF(DATOS!$I3636="","",IFERROR(VLOOKUP(DATOS!$I3636,CONFIG_ASIGNATURAS!$B$2:$J$91,9,FALSE()),""))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IF(DATOS!$A3637="",0,IF(CONFIG_METADATA!$B$4&lt;&gt;"OR+EX",--(DATOS!$G3637=CONFIG_METADATA!$B$4),IF(DATOS!$G3637="EX",1,IF(DATOS!$G3637="OR",--(COUNTIFS(nNIA,DATOS!$A3637,nCURSO,DATOS!$D3637,nESPEC,DATOS!$E3637,nASIG,DATOS!$I3637,nEVAL,"EX")=0),0))))</f>
      </c>
      <c r="H3637">
        <f>IF(DATOS!$G3637&lt;&gt;"EX",0,--(COUNTIFS(nNIA,DATOS!$A3637,nCURSO,DATOS!$D3637,nESPEC,DATOS!$E3637,nASIG,DATOS!$I3637,nEVAL,"OR")=0))</f>
      </c>
      <c r="I3637">
        <f>IF(DATOS!$I3637="","",IFERROR(VLOOKUP(DATOS!$I3637,CONFIG_ASIGNATURAS!$B$2:$J$91,9,FALSE()),""))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IF(DATOS!$A3638="",0,IF(CONFIG_METADATA!$B$4&lt;&gt;"OR+EX",--(DATOS!$G3638=CONFIG_METADATA!$B$4),IF(DATOS!$G3638="EX",1,IF(DATOS!$G3638="OR",--(COUNTIFS(nNIA,DATOS!$A3638,nCURSO,DATOS!$D3638,nESPEC,DATOS!$E3638,nASIG,DATOS!$I3638,nEVAL,"EX")=0),0))))</f>
      </c>
      <c r="H3638">
        <f>IF(DATOS!$G3638&lt;&gt;"EX",0,--(COUNTIFS(nNIA,DATOS!$A3638,nCURSO,DATOS!$D3638,nESPEC,DATOS!$E3638,nASIG,DATOS!$I3638,nEVAL,"OR")=0))</f>
      </c>
      <c r="I3638">
        <f>IF(DATOS!$I3638="","",IFERROR(VLOOKUP(DATOS!$I3638,CONFIG_ASIGNATURAS!$B$2:$J$91,9,FALSE()),""))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IF(DATOS!$A3639="",0,IF(CONFIG_METADATA!$B$4&lt;&gt;"OR+EX",--(DATOS!$G3639=CONFIG_METADATA!$B$4),IF(DATOS!$G3639="EX",1,IF(DATOS!$G3639="OR",--(COUNTIFS(nNIA,DATOS!$A3639,nCURSO,DATOS!$D3639,nESPEC,DATOS!$E3639,nASIG,DATOS!$I3639,nEVAL,"EX")=0),0))))</f>
      </c>
      <c r="H3639">
        <f>IF(DATOS!$G3639&lt;&gt;"EX",0,--(COUNTIFS(nNIA,DATOS!$A3639,nCURSO,DATOS!$D3639,nESPEC,DATOS!$E3639,nASIG,DATOS!$I3639,nEVAL,"OR")=0))</f>
      </c>
      <c r="I3639">
        <f>IF(DATOS!$I3639="","",IFERROR(VLOOKUP(DATOS!$I3639,CONFIG_ASIGNATURAS!$B$2:$J$91,9,FALSE()),""))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IF(DATOS!$A3640="",0,IF(CONFIG_METADATA!$B$4&lt;&gt;"OR+EX",--(DATOS!$G3640=CONFIG_METADATA!$B$4),IF(DATOS!$G3640="EX",1,IF(DATOS!$G3640="OR",--(COUNTIFS(nNIA,DATOS!$A3640,nCURSO,DATOS!$D3640,nESPEC,DATOS!$E3640,nASIG,DATOS!$I3640,nEVAL,"EX")=0),0))))</f>
      </c>
      <c r="H3640">
        <f>IF(DATOS!$G3640&lt;&gt;"EX",0,--(COUNTIFS(nNIA,DATOS!$A3640,nCURSO,DATOS!$D3640,nESPEC,DATOS!$E3640,nASIG,DATOS!$I3640,nEVAL,"OR")=0))</f>
      </c>
      <c r="I3640">
        <f>IF(DATOS!$I3640="","",IFERROR(VLOOKUP(DATOS!$I3640,CONFIG_ASIGNATURAS!$B$2:$J$91,9,FALSE()),""))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IF(DATOS!$A3641="",0,IF(CONFIG_METADATA!$B$4&lt;&gt;"OR+EX",--(DATOS!$G3641=CONFIG_METADATA!$B$4),IF(DATOS!$G3641="EX",1,IF(DATOS!$G3641="OR",--(COUNTIFS(nNIA,DATOS!$A3641,nCURSO,DATOS!$D3641,nESPEC,DATOS!$E3641,nASIG,DATOS!$I3641,nEVAL,"EX")=0),0))))</f>
      </c>
      <c r="H3641">
        <f>IF(DATOS!$G3641&lt;&gt;"EX",0,--(COUNTIFS(nNIA,DATOS!$A3641,nCURSO,DATOS!$D3641,nESPEC,DATOS!$E3641,nASIG,DATOS!$I3641,nEVAL,"OR")=0))</f>
      </c>
      <c r="I3641">
        <f>IF(DATOS!$I3641="","",IFERROR(VLOOKUP(DATOS!$I3641,CONFIG_ASIGNATURAS!$B$2:$J$91,9,FALSE()),""))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IF(DATOS!$A3642="",0,IF(CONFIG_METADATA!$B$4&lt;&gt;"OR+EX",--(DATOS!$G3642=CONFIG_METADATA!$B$4),IF(DATOS!$G3642="EX",1,IF(DATOS!$G3642="OR",--(COUNTIFS(nNIA,DATOS!$A3642,nCURSO,DATOS!$D3642,nESPEC,DATOS!$E3642,nASIG,DATOS!$I3642,nEVAL,"EX")=0),0))))</f>
      </c>
      <c r="H3642">
        <f>IF(DATOS!$G3642&lt;&gt;"EX",0,--(COUNTIFS(nNIA,DATOS!$A3642,nCURSO,DATOS!$D3642,nESPEC,DATOS!$E3642,nASIG,DATOS!$I3642,nEVAL,"OR")=0))</f>
      </c>
      <c r="I3642">
        <f>IF(DATOS!$I3642="","",IFERROR(VLOOKUP(DATOS!$I3642,CONFIG_ASIGNATURAS!$B$2:$J$91,9,FALSE()),""))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IF(DATOS!$A3643="",0,IF(CONFIG_METADATA!$B$4&lt;&gt;"OR+EX",--(DATOS!$G3643=CONFIG_METADATA!$B$4),IF(DATOS!$G3643="EX",1,IF(DATOS!$G3643="OR",--(COUNTIFS(nNIA,DATOS!$A3643,nCURSO,DATOS!$D3643,nESPEC,DATOS!$E3643,nASIG,DATOS!$I3643,nEVAL,"EX")=0),0))))</f>
      </c>
      <c r="H3643">
        <f>IF(DATOS!$G3643&lt;&gt;"EX",0,--(COUNTIFS(nNIA,DATOS!$A3643,nCURSO,DATOS!$D3643,nESPEC,DATOS!$E3643,nASIG,DATOS!$I3643,nEVAL,"OR")=0))</f>
      </c>
      <c r="I3643">
        <f>IF(DATOS!$I3643="","",IFERROR(VLOOKUP(DATOS!$I3643,CONFIG_ASIGNATURAS!$B$2:$J$91,9,FALSE()),""))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IF(DATOS!$A3644="",0,IF(CONFIG_METADATA!$B$4&lt;&gt;"OR+EX",--(DATOS!$G3644=CONFIG_METADATA!$B$4),IF(DATOS!$G3644="EX",1,IF(DATOS!$G3644="OR",--(COUNTIFS(nNIA,DATOS!$A3644,nCURSO,DATOS!$D3644,nESPEC,DATOS!$E3644,nASIG,DATOS!$I3644,nEVAL,"EX")=0),0))))</f>
      </c>
      <c r="H3644">
        <f>IF(DATOS!$G3644&lt;&gt;"EX",0,--(COUNTIFS(nNIA,DATOS!$A3644,nCURSO,DATOS!$D3644,nESPEC,DATOS!$E3644,nASIG,DATOS!$I3644,nEVAL,"OR")=0))</f>
      </c>
      <c r="I3644">
        <f>IF(DATOS!$I3644="","",IFERROR(VLOOKUP(DATOS!$I3644,CONFIG_ASIGNATURAS!$B$2:$J$91,9,FALSE()),""))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IF(DATOS!$A3645="",0,IF(CONFIG_METADATA!$B$4&lt;&gt;"OR+EX",--(DATOS!$G3645=CONFIG_METADATA!$B$4),IF(DATOS!$G3645="EX",1,IF(DATOS!$G3645="OR",--(COUNTIFS(nNIA,DATOS!$A3645,nCURSO,DATOS!$D3645,nESPEC,DATOS!$E3645,nASIG,DATOS!$I3645,nEVAL,"EX")=0),0))))</f>
      </c>
      <c r="H3645">
        <f>IF(DATOS!$G3645&lt;&gt;"EX",0,--(COUNTIFS(nNIA,DATOS!$A3645,nCURSO,DATOS!$D3645,nESPEC,DATOS!$E3645,nASIG,DATOS!$I3645,nEVAL,"OR")=0))</f>
      </c>
      <c r="I3645">
        <f>IF(DATOS!$I3645="","",IFERROR(VLOOKUP(DATOS!$I3645,CONFIG_ASIGNATURAS!$B$2:$J$91,9,FALSE()),""))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IF(DATOS!$A3646="",0,IF(CONFIG_METADATA!$B$4&lt;&gt;"OR+EX",--(DATOS!$G3646=CONFIG_METADATA!$B$4),IF(DATOS!$G3646="EX",1,IF(DATOS!$G3646="OR",--(COUNTIFS(nNIA,DATOS!$A3646,nCURSO,DATOS!$D3646,nESPEC,DATOS!$E3646,nASIG,DATOS!$I3646,nEVAL,"EX")=0),0))))</f>
      </c>
      <c r="H3646">
        <f>IF(DATOS!$G3646&lt;&gt;"EX",0,--(COUNTIFS(nNIA,DATOS!$A3646,nCURSO,DATOS!$D3646,nESPEC,DATOS!$E3646,nASIG,DATOS!$I3646,nEVAL,"OR")=0))</f>
      </c>
      <c r="I3646">
        <f>IF(DATOS!$I3646="","",IFERROR(VLOOKUP(DATOS!$I3646,CONFIG_ASIGNATURAS!$B$2:$J$91,9,FALSE()),""))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IF(DATOS!$A3647="",0,IF(CONFIG_METADATA!$B$4&lt;&gt;"OR+EX",--(DATOS!$G3647=CONFIG_METADATA!$B$4),IF(DATOS!$G3647="EX",1,IF(DATOS!$G3647="OR",--(COUNTIFS(nNIA,DATOS!$A3647,nCURSO,DATOS!$D3647,nESPEC,DATOS!$E3647,nASIG,DATOS!$I3647,nEVAL,"EX")=0),0))))</f>
      </c>
      <c r="H3647">
        <f>IF(DATOS!$G3647&lt;&gt;"EX",0,--(COUNTIFS(nNIA,DATOS!$A3647,nCURSO,DATOS!$D3647,nESPEC,DATOS!$E3647,nASIG,DATOS!$I3647,nEVAL,"OR")=0))</f>
      </c>
      <c r="I3647">
        <f>IF(DATOS!$I3647="","",IFERROR(VLOOKUP(DATOS!$I3647,CONFIG_ASIGNATURAS!$B$2:$J$91,9,FALSE()),""))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IF(DATOS!$A3648="",0,IF(CONFIG_METADATA!$B$4&lt;&gt;"OR+EX",--(DATOS!$G3648=CONFIG_METADATA!$B$4),IF(DATOS!$G3648="EX",1,IF(DATOS!$G3648="OR",--(COUNTIFS(nNIA,DATOS!$A3648,nCURSO,DATOS!$D3648,nESPEC,DATOS!$E3648,nASIG,DATOS!$I3648,nEVAL,"EX")=0),0))))</f>
      </c>
      <c r="H3648">
        <f>IF(DATOS!$G3648&lt;&gt;"EX",0,--(COUNTIFS(nNIA,DATOS!$A3648,nCURSO,DATOS!$D3648,nESPEC,DATOS!$E3648,nASIG,DATOS!$I3648,nEVAL,"OR")=0))</f>
      </c>
      <c r="I3648">
        <f>IF(DATOS!$I3648="","",IFERROR(VLOOKUP(DATOS!$I3648,CONFIG_ASIGNATURAS!$B$2:$J$91,9,FALSE()),""))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IF(DATOS!$A3649="",0,IF(CONFIG_METADATA!$B$4&lt;&gt;"OR+EX",--(DATOS!$G3649=CONFIG_METADATA!$B$4),IF(DATOS!$G3649="EX",1,IF(DATOS!$G3649="OR",--(COUNTIFS(nNIA,DATOS!$A3649,nCURSO,DATOS!$D3649,nESPEC,DATOS!$E3649,nASIG,DATOS!$I3649,nEVAL,"EX")=0),0))))</f>
      </c>
      <c r="H3649">
        <f>IF(DATOS!$G3649&lt;&gt;"EX",0,--(COUNTIFS(nNIA,DATOS!$A3649,nCURSO,DATOS!$D3649,nESPEC,DATOS!$E3649,nASIG,DATOS!$I3649,nEVAL,"OR")=0))</f>
      </c>
      <c r="I3649">
        <f>IF(DATOS!$I3649="","",IFERROR(VLOOKUP(DATOS!$I3649,CONFIG_ASIGNATURAS!$B$2:$J$91,9,FALSE()),""))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IF(DATOS!$A3650="",0,IF(CONFIG_METADATA!$B$4&lt;&gt;"OR+EX",--(DATOS!$G3650=CONFIG_METADATA!$B$4),IF(DATOS!$G3650="EX",1,IF(DATOS!$G3650="OR",--(COUNTIFS(nNIA,DATOS!$A3650,nCURSO,DATOS!$D3650,nESPEC,DATOS!$E3650,nASIG,DATOS!$I3650,nEVAL,"EX")=0),0))))</f>
      </c>
      <c r="H3650">
        <f>IF(DATOS!$G3650&lt;&gt;"EX",0,--(COUNTIFS(nNIA,DATOS!$A3650,nCURSO,DATOS!$D3650,nESPEC,DATOS!$E3650,nASIG,DATOS!$I3650,nEVAL,"OR")=0))</f>
      </c>
      <c r="I3650">
        <f>IF(DATOS!$I3650="","",IFERROR(VLOOKUP(DATOS!$I3650,CONFIG_ASIGNATURAS!$B$2:$J$91,9,FALSE()),""))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IF(DATOS!$A3651="",0,IF(CONFIG_METADATA!$B$4&lt;&gt;"OR+EX",--(DATOS!$G3651=CONFIG_METADATA!$B$4),IF(DATOS!$G3651="EX",1,IF(DATOS!$G3651="OR",--(COUNTIFS(nNIA,DATOS!$A3651,nCURSO,DATOS!$D3651,nESPEC,DATOS!$E3651,nASIG,DATOS!$I3651,nEVAL,"EX")=0),0))))</f>
      </c>
      <c r="H3651">
        <f>IF(DATOS!$G3651&lt;&gt;"EX",0,--(COUNTIFS(nNIA,DATOS!$A3651,nCURSO,DATOS!$D3651,nESPEC,DATOS!$E3651,nASIG,DATOS!$I3651,nEVAL,"OR")=0))</f>
      </c>
      <c r="I3651">
        <f>IF(DATOS!$I3651="","",IFERROR(VLOOKUP(DATOS!$I3651,CONFIG_ASIGNATURAS!$B$2:$J$91,9,FALSE()),""))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IF(DATOS!$A3652="",0,IF(CONFIG_METADATA!$B$4&lt;&gt;"OR+EX",--(DATOS!$G3652=CONFIG_METADATA!$B$4),IF(DATOS!$G3652="EX",1,IF(DATOS!$G3652="OR",--(COUNTIFS(nNIA,DATOS!$A3652,nCURSO,DATOS!$D3652,nESPEC,DATOS!$E3652,nASIG,DATOS!$I3652,nEVAL,"EX")=0),0))))</f>
      </c>
      <c r="H3652">
        <f>IF(DATOS!$G3652&lt;&gt;"EX",0,--(COUNTIFS(nNIA,DATOS!$A3652,nCURSO,DATOS!$D3652,nESPEC,DATOS!$E3652,nASIG,DATOS!$I3652,nEVAL,"OR")=0))</f>
      </c>
      <c r="I3652">
        <f>IF(DATOS!$I3652="","",IFERROR(VLOOKUP(DATOS!$I3652,CONFIG_ASIGNATURAS!$B$2:$J$91,9,FALSE()),""))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IF(DATOS!$A3653="",0,IF(CONFIG_METADATA!$B$4&lt;&gt;"OR+EX",--(DATOS!$G3653=CONFIG_METADATA!$B$4),IF(DATOS!$G3653="EX",1,IF(DATOS!$G3653="OR",--(COUNTIFS(nNIA,DATOS!$A3653,nCURSO,DATOS!$D3653,nESPEC,DATOS!$E3653,nASIG,DATOS!$I3653,nEVAL,"EX")=0),0))))</f>
      </c>
      <c r="H3653">
        <f>IF(DATOS!$G3653&lt;&gt;"EX",0,--(COUNTIFS(nNIA,DATOS!$A3653,nCURSO,DATOS!$D3653,nESPEC,DATOS!$E3653,nASIG,DATOS!$I3653,nEVAL,"OR")=0))</f>
      </c>
      <c r="I3653">
        <f>IF(DATOS!$I3653="","",IFERROR(VLOOKUP(DATOS!$I3653,CONFIG_ASIGNATURAS!$B$2:$J$91,9,FALSE()),""))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IF(DATOS!$A3654="",0,IF(CONFIG_METADATA!$B$4&lt;&gt;"OR+EX",--(DATOS!$G3654=CONFIG_METADATA!$B$4),IF(DATOS!$G3654="EX",1,IF(DATOS!$G3654="OR",--(COUNTIFS(nNIA,DATOS!$A3654,nCURSO,DATOS!$D3654,nESPEC,DATOS!$E3654,nASIG,DATOS!$I3654,nEVAL,"EX")=0),0))))</f>
      </c>
      <c r="H3654">
        <f>IF(DATOS!$G3654&lt;&gt;"EX",0,--(COUNTIFS(nNIA,DATOS!$A3654,nCURSO,DATOS!$D3654,nESPEC,DATOS!$E3654,nASIG,DATOS!$I3654,nEVAL,"OR")=0))</f>
      </c>
      <c r="I3654">
        <f>IF(DATOS!$I3654="","",IFERROR(VLOOKUP(DATOS!$I3654,CONFIG_ASIGNATURAS!$B$2:$J$91,9,FALSE()),""))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IF(DATOS!$A3655="",0,IF(CONFIG_METADATA!$B$4&lt;&gt;"OR+EX",--(DATOS!$G3655=CONFIG_METADATA!$B$4),IF(DATOS!$G3655="EX",1,IF(DATOS!$G3655="OR",--(COUNTIFS(nNIA,DATOS!$A3655,nCURSO,DATOS!$D3655,nESPEC,DATOS!$E3655,nASIG,DATOS!$I3655,nEVAL,"EX")=0),0))))</f>
      </c>
      <c r="H3655">
        <f>IF(DATOS!$G3655&lt;&gt;"EX",0,--(COUNTIFS(nNIA,DATOS!$A3655,nCURSO,DATOS!$D3655,nESPEC,DATOS!$E3655,nASIG,DATOS!$I3655,nEVAL,"OR")=0))</f>
      </c>
      <c r="I3655">
        <f>IF(DATOS!$I3655="","",IFERROR(VLOOKUP(DATOS!$I3655,CONFIG_ASIGNATURAS!$B$2:$J$91,9,FALSE()),""))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IF(DATOS!$A3656="",0,IF(CONFIG_METADATA!$B$4&lt;&gt;"OR+EX",--(DATOS!$G3656=CONFIG_METADATA!$B$4),IF(DATOS!$G3656="EX",1,IF(DATOS!$G3656="OR",--(COUNTIFS(nNIA,DATOS!$A3656,nCURSO,DATOS!$D3656,nESPEC,DATOS!$E3656,nASIG,DATOS!$I3656,nEVAL,"EX")=0),0))))</f>
      </c>
      <c r="H3656">
        <f>IF(DATOS!$G3656&lt;&gt;"EX",0,--(COUNTIFS(nNIA,DATOS!$A3656,nCURSO,DATOS!$D3656,nESPEC,DATOS!$E3656,nASIG,DATOS!$I3656,nEVAL,"OR")=0))</f>
      </c>
      <c r="I3656">
        <f>IF(DATOS!$I3656="","",IFERROR(VLOOKUP(DATOS!$I3656,CONFIG_ASIGNATURAS!$B$2:$J$91,9,FALSE()),""))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IF(DATOS!$A3657="",0,IF(CONFIG_METADATA!$B$4&lt;&gt;"OR+EX",--(DATOS!$G3657=CONFIG_METADATA!$B$4),IF(DATOS!$G3657="EX",1,IF(DATOS!$G3657="OR",--(COUNTIFS(nNIA,DATOS!$A3657,nCURSO,DATOS!$D3657,nESPEC,DATOS!$E3657,nASIG,DATOS!$I3657,nEVAL,"EX")=0),0))))</f>
      </c>
      <c r="H3657">
        <f>IF(DATOS!$G3657&lt;&gt;"EX",0,--(COUNTIFS(nNIA,DATOS!$A3657,nCURSO,DATOS!$D3657,nESPEC,DATOS!$E3657,nASIG,DATOS!$I3657,nEVAL,"OR")=0))</f>
      </c>
      <c r="I3657">
        <f>IF(DATOS!$I3657="","",IFERROR(VLOOKUP(DATOS!$I3657,CONFIG_ASIGNATURAS!$B$2:$J$91,9,FALSE()),""))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IF(DATOS!$A3658="",0,IF(CONFIG_METADATA!$B$4&lt;&gt;"OR+EX",--(DATOS!$G3658=CONFIG_METADATA!$B$4),IF(DATOS!$G3658="EX",1,IF(DATOS!$G3658="OR",--(COUNTIFS(nNIA,DATOS!$A3658,nCURSO,DATOS!$D3658,nESPEC,DATOS!$E3658,nASIG,DATOS!$I3658,nEVAL,"EX")=0),0))))</f>
      </c>
      <c r="H3658">
        <f>IF(DATOS!$G3658&lt;&gt;"EX",0,--(COUNTIFS(nNIA,DATOS!$A3658,nCURSO,DATOS!$D3658,nESPEC,DATOS!$E3658,nASIG,DATOS!$I3658,nEVAL,"OR")=0))</f>
      </c>
      <c r="I3658">
        <f>IF(DATOS!$I3658="","",IFERROR(VLOOKUP(DATOS!$I3658,CONFIG_ASIGNATURAS!$B$2:$J$91,9,FALSE()),""))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IF(DATOS!$A3659="",0,IF(CONFIG_METADATA!$B$4&lt;&gt;"OR+EX",--(DATOS!$G3659=CONFIG_METADATA!$B$4),IF(DATOS!$G3659="EX",1,IF(DATOS!$G3659="OR",--(COUNTIFS(nNIA,DATOS!$A3659,nCURSO,DATOS!$D3659,nESPEC,DATOS!$E3659,nASIG,DATOS!$I3659,nEVAL,"EX")=0),0))))</f>
      </c>
      <c r="H3659">
        <f>IF(DATOS!$G3659&lt;&gt;"EX",0,--(COUNTIFS(nNIA,DATOS!$A3659,nCURSO,DATOS!$D3659,nESPEC,DATOS!$E3659,nASIG,DATOS!$I3659,nEVAL,"OR")=0))</f>
      </c>
      <c r="I3659">
        <f>IF(DATOS!$I3659="","",IFERROR(VLOOKUP(DATOS!$I3659,CONFIG_ASIGNATURAS!$B$2:$J$91,9,FALSE()),""))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IF(DATOS!$A3660="",0,IF(CONFIG_METADATA!$B$4&lt;&gt;"OR+EX",--(DATOS!$G3660=CONFIG_METADATA!$B$4),IF(DATOS!$G3660="EX",1,IF(DATOS!$G3660="OR",--(COUNTIFS(nNIA,DATOS!$A3660,nCURSO,DATOS!$D3660,nESPEC,DATOS!$E3660,nASIG,DATOS!$I3660,nEVAL,"EX")=0),0))))</f>
      </c>
      <c r="H3660">
        <f>IF(DATOS!$G3660&lt;&gt;"EX",0,--(COUNTIFS(nNIA,DATOS!$A3660,nCURSO,DATOS!$D3660,nESPEC,DATOS!$E3660,nASIG,DATOS!$I3660,nEVAL,"OR")=0))</f>
      </c>
      <c r="I3660">
        <f>IF(DATOS!$I3660="","",IFERROR(VLOOKUP(DATOS!$I3660,CONFIG_ASIGNATURAS!$B$2:$J$91,9,FALSE()),""))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IF(DATOS!$A3661="",0,IF(CONFIG_METADATA!$B$4&lt;&gt;"OR+EX",--(DATOS!$G3661=CONFIG_METADATA!$B$4),IF(DATOS!$G3661="EX",1,IF(DATOS!$G3661="OR",--(COUNTIFS(nNIA,DATOS!$A3661,nCURSO,DATOS!$D3661,nESPEC,DATOS!$E3661,nASIG,DATOS!$I3661,nEVAL,"EX")=0),0))))</f>
      </c>
      <c r="H3661">
        <f>IF(DATOS!$G3661&lt;&gt;"EX",0,--(COUNTIFS(nNIA,DATOS!$A3661,nCURSO,DATOS!$D3661,nESPEC,DATOS!$E3661,nASIG,DATOS!$I3661,nEVAL,"OR")=0))</f>
      </c>
      <c r="I3661">
        <f>IF(DATOS!$I3661="","",IFERROR(VLOOKUP(DATOS!$I3661,CONFIG_ASIGNATURAS!$B$2:$J$91,9,FALSE()),""))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IF(DATOS!$A3662="",0,IF(CONFIG_METADATA!$B$4&lt;&gt;"OR+EX",--(DATOS!$G3662=CONFIG_METADATA!$B$4),IF(DATOS!$G3662="EX",1,IF(DATOS!$G3662="OR",--(COUNTIFS(nNIA,DATOS!$A3662,nCURSO,DATOS!$D3662,nESPEC,DATOS!$E3662,nASIG,DATOS!$I3662,nEVAL,"EX")=0),0))))</f>
      </c>
      <c r="H3662">
        <f>IF(DATOS!$G3662&lt;&gt;"EX",0,--(COUNTIFS(nNIA,DATOS!$A3662,nCURSO,DATOS!$D3662,nESPEC,DATOS!$E3662,nASIG,DATOS!$I3662,nEVAL,"OR")=0))</f>
      </c>
      <c r="I3662">
        <f>IF(DATOS!$I3662="","",IFERROR(VLOOKUP(DATOS!$I3662,CONFIG_ASIGNATURAS!$B$2:$J$91,9,FALSE()),""))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IF(DATOS!$A3663="",0,IF(CONFIG_METADATA!$B$4&lt;&gt;"OR+EX",--(DATOS!$G3663=CONFIG_METADATA!$B$4),IF(DATOS!$G3663="EX",1,IF(DATOS!$G3663="OR",--(COUNTIFS(nNIA,DATOS!$A3663,nCURSO,DATOS!$D3663,nESPEC,DATOS!$E3663,nASIG,DATOS!$I3663,nEVAL,"EX")=0),0))))</f>
      </c>
      <c r="H3663">
        <f>IF(DATOS!$G3663&lt;&gt;"EX",0,--(COUNTIFS(nNIA,DATOS!$A3663,nCURSO,DATOS!$D3663,nESPEC,DATOS!$E3663,nASIG,DATOS!$I3663,nEVAL,"OR")=0))</f>
      </c>
      <c r="I3663">
        <f>IF(DATOS!$I3663="","",IFERROR(VLOOKUP(DATOS!$I3663,CONFIG_ASIGNATURAS!$B$2:$J$91,9,FALSE()),""))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IF(DATOS!$A3664="",0,IF(CONFIG_METADATA!$B$4&lt;&gt;"OR+EX",--(DATOS!$G3664=CONFIG_METADATA!$B$4),IF(DATOS!$G3664="EX",1,IF(DATOS!$G3664="OR",--(COUNTIFS(nNIA,DATOS!$A3664,nCURSO,DATOS!$D3664,nESPEC,DATOS!$E3664,nASIG,DATOS!$I3664,nEVAL,"EX")=0),0))))</f>
      </c>
      <c r="H3664">
        <f>IF(DATOS!$G3664&lt;&gt;"EX",0,--(COUNTIFS(nNIA,DATOS!$A3664,nCURSO,DATOS!$D3664,nESPEC,DATOS!$E3664,nASIG,DATOS!$I3664,nEVAL,"OR")=0))</f>
      </c>
      <c r="I3664">
        <f>IF(DATOS!$I3664="","",IFERROR(VLOOKUP(DATOS!$I3664,CONFIG_ASIGNATURAS!$B$2:$J$91,9,FALSE()),""))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IF(DATOS!$A3665="",0,IF(CONFIG_METADATA!$B$4&lt;&gt;"OR+EX",--(DATOS!$G3665=CONFIG_METADATA!$B$4),IF(DATOS!$G3665="EX",1,IF(DATOS!$G3665="OR",--(COUNTIFS(nNIA,DATOS!$A3665,nCURSO,DATOS!$D3665,nESPEC,DATOS!$E3665,nASIG,DATOS!$I3665,nEVAL,"EX")=0),0))))</f>
      </c>
      <c r="H3665">
        <f>IF(DATOS!$G3665&lt;&gt;"EX",0,--(COUNTIFS(nNIA,DATOS!$A3665,nCURSO,DATOS!$D3665,nESPEC,DATOS!$E3665,nASIG,DATOS!$I3665,nEVAL,"OR")=0))</f>
      </c>
      <c r="I3665">
        <f>IF(DATOS!$I3665="","",IFERROR(VLOOKUP(DATOS!$I3665,CONFIG_ASIGNATURAS!$B$2:$J$91,9,FALSE()),""))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IF(DATOS!$A3666="",0,IF(CONFIG_METADATA!$B$4&lt;&gt;"OR+EX",--(DATOS!$G3666=CONFIG_METADATA!$B$4),IF(DATOS!$G3666="EX",1,IF(DATOS!$G3666="OR",--(COUNTIFS(nNIA,DATOS!$A3666,nCURSO,DATOS!$D3666,nESPEC,DATOS!$E3666,nASIG,DATOS!$I3666,nEVAL,"EX")=0),0))))</f>
      </c>
      <c r="H3666">
        <f>IF(DATOS!$G3666&lt;&gt;"EX",0,--(COUNTIFS(nNIA,DATOS!$A3666,nCURSO,DATOS!$D3666,nESPEC,DATOS!$E3666,nASIG,DATOS!$I3666,nEVAL,"OR")=0))</f>
      </c>
      <c r="I3666">
        <f>IF(DATOS!$I3666="","",IFERROR(VLOOKUP(DATOS!$I3666,CONFIG_ASIGNATURAS!$B$2:$J$91,9,FALSE()),""))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IF(DATOS!$A3667="",0,IF(CONFIG_METADATA!$B$4&lt;&gt;"OR+EX",--(DATOS!$G3667=CONFIG_METADATA!$B$4),IF(DATOS!$G3667="EX",1,IF(DATOS!$G3667="OR",--(COUNTIFS(nNIA,DATOS!$A3667,nCURSO,DATOS!$D3667,nESPEC,DATOS!$E3667,nASIG,DATOS!$I3667,nEVAL,"EX")=0),0))))</f>
      </c>
      <c r="H3667">
        <f>IF(DATOS!$G3667&lt;&gt;"EX",0,--(COUNTIFS(nNIA,DATOS!$A3667,nCURSO,DATOS!$D3667,nESPEC,DATOS!$E3667,nASIG,DATOS!$I3667,nEVAL,"OR")=0))</f>
      </c>
      <c r="I3667">
        <f>IF(DATOS!$I3667="","",IFERROR(VLOOKUP(DATOS!$I3667,CONFIG_ASIGNATURAS!$B$2:$J$91,9,FALSE()),""))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IF(DATOS!$A3668="",0,IF(CONFIG_METADATA!$B$4&lt;&gt;"OR+EX",--(DATOS!$G3668=CONFIG_METADATA!$B$4),IF(DATOS!$G3668="EX",1,IF(DATOS!$G3668="OR",--(COUNTIFS(nNIA,DATOS!$A3668,nCURSO,DATOS!$D3668,nESPEC,DATOS!$E3668,nASIG,DATOS!$I3668,nEVAL,"EX")=0),0))))</f>
      </c>
      <c r="H3668">
        <f>IF(DATOS!$G3668&lt;&gt;"EX",0,--(COUNTIFS(nNIA,DATOS!$A3668,nCURSO,DATOS!$D3668,nESPEC,DATOS!$E3668,nASIG,DATOS!$I3668,nEVAL,"OR")=0))</f>
      </c>
      <c r="I3668">
        <f>IF(DATOS!$I3668="","",IFERROR(VLOOKUP(DATOS!$I3668,CONFIG_ASIGNATURAS!$B$2:$J$91,9,FALSE()),""))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IF(DATOS!$A3669="",0,IF(CONFIG_METADATA!$B$4&lt;&gt;"OR+EX",--(DATOS!$G3669=CONFIG_METADATA!$B$4),IF(DATOS!$G3669="EX",1,IF(DATOS!$G3669="OR",--(COUNTIFS(nNIA,DATOS!$A3669,nCURSO,DATOS!$D3669,nESPEC,DATOS!$E3669,nASIG,DATOS!$I3669,nEVAL,"EX")=0),0))))</f>
      </c>
      <c r="H3669">
        <f>IF(DATOS!$G3669&lt;&gt;"EX",0,--(COUNTIFS(nNIA,DATOS!$A3669,nCURSO,DATOS!$D3669,nESPEC,DATOS!$E3669,nASIG,DATOS!$I3669,nEVAL,"OR")=0))</f>
      </c>
      <c r="I3669">
        <f>IF(DATOS!$I3669="","",IFERROR(VLOOKUP(DATOS!$I3669,CONFIG_ASIGNATURAS!$B$2:$J$91,9,FALSE()),""))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IF(DATOS!$A3670="",0,IF(CONFIG_METADATA!$B$4&lt;&gt;"OR+EX",--(DATOS!$G3670=CONFIG_METADATA!$B$4),IF(DATOS!$G3670="EX",1,IF(DATOS!$G3670="OR",--(COUNTIFS(nNIA,DATOS!$A3670,nCURSO,DATOS!$D3670,nESPEC,DATOS!$E3670,nASIG,DATOS!$I3670,nEVAL,"EX")=0),0))))</f>
      </c>
      <c r="H3670">
        <f>IF(DATOS!$G3670&lt;&gt;"EX",0,--(COUNTIFS(nNIA,DATOS!$A3670,nCURSO,DATOS!$D3670,nESPEC,DATOS!$E3670,nASIG,DATOS!$I3670,nEVAL,"OR")=0))</f>
      </c>
      <c r="I3670">
        <f>IF(DATOS!$I3670="","",IFERROR(VLOOKUP(DATOS!$I3670,CONFIG_ASIGNATURAS!$B$2:$J$91,9,FALSE()),""))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IF(DATOS!$A3671="",0,IF(CONFIG_METADATA!$B$4&lt;&gt;"OR+EX",--(DATOS!$G3671=CONFIG_METADATA!$B$4),IF(DATOS!$G3671="EX",1,IF(DATOS!$G3671="OR",--(COUNTIFS(nNIA,DATOS!$A3671,nCURSO,DATOS!$D3671,nESPEC,DATOS!$E3671,nASIG,DATOS!$I3671,nEVAL,"EX")=0),0))))</f>
      </c>
      <c r="H3671">
        <f>IF(DATOS!$G3671&lt;&gt;"EX",0,--(COUNTIFS(nNIA,DATOS!$A3671,nCURSO,DATOS!$D3671,nESPEC,DATOS!$E3671,nASIG,DATOS!$I3671,nEVAL,"OR")=0))</f>
      </c>
      <c r="I3671">
        <f>IF(DATOS!$I3671="","",IFERROR(VLOOKUP(DATOS!$I3671,CONFIG_ASIGNATURAS!$B$2:$J$91,9,FALSE()),""))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IF(DATOS!$A3672="",0,IF(CONFIG_METADATA!$B$4&lt;&gt;"OR+EX",--(DATOS!$G3672=CONFIG_METADATA!$B$4),IF(DATOS!$G3672="EX",1,IF(DATOS!$G3672="OR",--(COUNTIFS(nNIA,DATOS!$A3672,nCURSO,DATOS!$D3672,nESPEC,DATOS!$E3672,nASIG,DATOS!$I3672,nEVAL,"EX")=0),0))))</f>
      </c>
      <c r="H3672">
        <f>IF(DATOS!$G3672&lt;&gt;"EX",0,--(COUNTIFS(nNIA,DATOS!$A3672,nCURSO,DATOS!$D3672,nESPEC,DATOS!$E3672,nASIG,DATOS!$I3672,nEVAL,"OR")=0))</f>
      </c>
      <c r="I3672">
        <f>IF(DATOS!$I3672="","",IFERROR(VLOOKUP(DATOS!$I3672,CONFIG_ASIGNATURAS!$B$2:$J$91,9,FALSE()),""))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IF(DATOS!$A3673="",0,IF(CONFIG_METADATA!$B$4&lt;&gt;"OR+EX",--(DATOS!$G3673=CONFIG_METADATA!$B$4),IF(DATOS!$G3673="EX",1,IF(DATOS!$G3673="OR",--(COUNTIFS(nNIA,DATOS!$A3673,nCURSO,DATOS!$D3673,nESPEC,DATOS!$E3673,nASIG,DATOS!$I3673,nEVAL,"EX")=0),0))))</f>
      </c>
      <c r="H3673">
        <f>IF(DATOS!$G3673&lt;&gt;"EX",0,--(COUNTIFS(nNIA,DATOS!$A3673,nCURSO,DATOS!$D3673,nESPEC,DATOS!$E3673,nASIG,DATOS!$I3673,nEVAL,"OR")=0))</f>
      </c>
      <c r="I3673">
        <f>IF(DATOS!$I3673="","",IFERROR(VLOOKUP(DATOS!$I3673,CONFIG_ASIGNATURAS!$B$2:$J$91,9,FALSE()),""))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IF(DATOS!$A3674="",0,IF(CONFIG_METADATA!$B$4&lt;&gt;"OR+EX",--(DATOS!$G3674=CONFIG_METADATA!$B$4),IF(DATOS!$G3674="EX",1,IF(DATOS!$G3674="OR",--(COUNTIFS(nNIA,DATOS!$A3674,nCURSO,DATOS!$D3674,nESPEC,DATOS!$E3674,nASIG,DATOS!$I3674,nEVAL,"EX")=0),0))))</f>
      </c>
      <c r="H3674">
        <f>IF(DATOS!$G3674&lt;&gt;"EX",0,--(COUNTIFS(nNIA,DATOS!$A3674,nCURSO,DATOS!$D3674,nESPEC,DATOS!$E3674,nASIG,DATOS!$I3674,nEVAL,"OR")=0))</f>
      </c>
      <c r="I3674">
        <f>IF(DATOS!$I3674="","",IFERROR(VLOOKUP(DATOS!$I3674,CONFIG_ASIGNATURAS!$B$2:$J$91,9,FALSE()),""))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IF(DATOS!$A3675="",0,IF(CONFIG_METADATA!$B$4&lt;&gt;"OR+EX",--(DATOS!$G3675=CONFIG_METADATA!$B$4),IF(DATOS!$G3675="EX",1,IF(DATOS!$G3675="OR",--(COUNTIFS(nNIA,DATOS!$A3675,nCURSO,DATOS!$D3675,nESPEC,DATOS!$E3675,nASIG,DATOS!$I3675,nEVAL,"EX")=0),0))))</f>
      </c>
      <c r="H3675">
        <f>IF(DATOS!$G3675&lt;&gt;"EX",0,--(COUNTIFS(nNIA,DATOS!$A3675,nCURSO,DATOS!$D3675,nESPEC,DATOS!$E3675,nASIG,DATOS!$I3675,nEVAL,"OR")=0))</f>
      </c>
      <c r="I3675">
        <f>IF(DATOS!$I3675="","",IFERROR(VLOOKUP(DATOS!$I3675,CONFIG_ASIGNATURAS!$B$2:$J$91,9,FALSE()),""))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IF(DATOS!$A3676="",0,IF(CONFIG_METADATA!$B$4&lt;&gt;"OR+EX",--(DATOS!$G3676=CONFIG_METADATA!$B$4),IF(DATOS!$G3676="EX",1,IF(DATOS!$G3676="OR",--(COUNTIFS(nNIA,DATOS!$A3676,nCURSO,DATOS!$D3676,nESPEC,DATOS!$E3676,nASIG,DATOS!$I3676,nEVAL,"EX")=0),0))))</f>
      </c>
      <c r="H3676">
        <f>IF(DATOS!$G3676&lt;&gt;"EX",0,--(COUNTIFS(nNIA,DATOS!$A3676,nCURSO,DATOS!$D3676,nESPEC,DATOS!$E3676,nASIG,DATOS!$I3676,nEVAL,"OR")=0))</f>
      </c>
      <c r="I3676">
        <f>IF(DATOS!$I3676="","",IFERROR(VLOOKUP(DATOS!$I3676,CONFIG_ASIGNATURAS!$B$2:$J$91,9,FALSE()),""))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IF(DATOS!$A3677="",0,IF(CONFIG_METADATA!$B$4&lt;&gt;"OR+EX",--(DATOS!$G3677=CONFIG_METADATA!$B$4),IF(DATOS!$G3677="EX",1,IF(DATOS!$G3677="OR",--(COUNTIFS(nNIA,DATOS!$A3677,nCURSO,DATOS!$D3677,nESPEC,DATOS!$E3677,nASIG,DATOS!$I3677,nEVAL,"EX")=0),0))))</f>
      </c>
      <c r="H3677">
        <f>IF(DATOS!$G3677&lt;&gt;"EX",0,--(COUNTIFS(nNIA,DATOS!$A3677,nCURSO,DATOS!$D3677,nESPEC,DATOS!$E3677,nASIG,DATOS!$I3677,nEVAL,"OR")=0))</f>
      </c>
      <c r="I3677">
        <f>IF(DATOS!$I3677="","",IFERROR(VLOOKUP(DATOS!$I3677,CONFIG_ASIGNATURAS!$B$2:$J$91,9,FALSE()),""))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IF(DATOS!$A3678="",0,IF(CONFIG_METADATA!$B$4&lt;&gt;"OR+EX",--(DATOS!$G3678=CONFIG_METADATA!$B$4),IF(DATOS!$G3678="EX",1,IF(DATOS!$G3678="OR",--(COUNTIFS(nNIA,DATOS!$A3678,nCURSO,DATOS!$D3678,nESPEC,DATOS!$E3678,nASIG,DATOS!$I3678,nEVAL,"EX")=0),0))))</f>
      </c>
      <c r="H3678">
        <f>IF(DATOS!$G3678&lt;&gt;"EX",0,--(COUNTIFS(nNIA,DATOS!$A3678,nCURSO,DATOS!$D3678,nESPEC,DATOS!$E3678,nASIG,DATOS!$I3678,nEVAL,"OR")=0))</f>
      </c>
      <c r="I3678">
        <f>IF(DATOS!$I3678="","",IFERROR(VLOOKUP(DATOS!$I3678,CONFIG_ASIGNATURAS!$B$2:$J$91,9,FALSE()),""))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IF(DATOS!$A3679="",0,IF(CONFIG_METADATA!$B$4&lt;&gt;"OR+EX",--(DATOS!$G3679=CONFIG_METADATA!$B$4),IF(DATOS!$G3679="EX",1,IF(DATOS!$G3679="OR",--(COUNTIFS(nNIA,DATOS!$A3679,nCURSO,DATOS!$D3679,nESPEC,DATOS!$E3679,nASIG,DATOS!$I3679,nEVAL,"EX")=0),0))))</f>
      </c>
      <c r="H3679">
        <f>IF(DATOS!$G3679&lt;&gt;"EX",0,--(COUNTIFS(nNIA,DATOS!$A3679,nCURSO,DATOS!$D3679,nESPEC,DATOS!$E3679,nASIG,DATOS!$I3679,nEVAL,"OR")=0))</f>
      </c>
      <c r="I3679">
        <f>IF(DATOS!$I3679="","",IFERROR(VLOOKUP(DATOS!$I3679,CONFIG_ASIGNATURAS!$B$2:$J$91,9,FALSE()),""))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IF(DATOS!$A3680="",0,IF(CONFIG_METADATA!$B$4&lt;&gt;"OR+EX",--(DATOS!$G3680=CONFIG_METADATA!$B$4),IF(DATOS!$G3680="EX",1,IF(DATOS!$G3680="OR",--(COUNTIFS(nNIA,DATOS!$A3680,nCURSO,DATOS!$D3680,nESPEC,DATOS!$E3680,nASIG,DATOS!$I3680,nEVAL,"EX")=0),0))))</f>
      </c>
      <c r="H3680">
        <f>IF(DATOS!$G3680&lt;&gt;"EX",0,--(COUNTIFS(nNIA,DATOS!$A3680,nCURSO,DATOS!$D3680,nESPEC,DATOS!$E3680,nASIG,DATOS!$I3680,nEVAL,"OR")=0))</f>
      </c>
      <c r="I3680">
        <f>IF(DATOS!$I3680="","",IFERROR(VLOOKUP(DATOS!$I3680,CONFIG_ASIGNATURAS!$B$2:$J$91,9,FALSE()),""))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IF(DATOS!$A3681="",0,IF(CONFIG_METADATA!$B$4&lt;&gt;"OR+EX",--(DATOS!$G3681=CONFIG_METADATA!$B$4),IF(DATOS!$G3681="EX",1,IF(DATOS!$G3681="OR",--(COUNTIFS(nNIA,DATOS!$A3681,nCURSO,DATOS!$D3681,nESPEC,DATOS!$E3681,nASIG,DATOS!$I3681,nEVAL,"EX")=0),0))))</f>
      </c>
      <c r="H3681">
        <f>IF(DATOS!$G3681&lt;&gt;"EX",0,--(COUNTIFS(nNIA,DATOS!$A3681,nCURSO,DATOS!$D3681,nESPEC,DATOS!$E3681,nASIG,DATOS!$I3681,nEVAL,"OR")=0))</f>
      </c>
      <c r="I3681">
        <f>IF(DATOS!$I3681="","",IFERROR(VLOOKUP(DATOS!$I3681,CONFIG_ASIGNATURAS!$B$2:$J$91,9,FALSE()),""))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IF(DATOS!$A3682="",0,IF(CONFIG_METADATA!$B$4&lt;&gt;"OR+EX",--(DATOS!$G3682=CONFIG_METADATA!$B$4),IF(DATOS!$G3682="EX",1,IF(DATOS!$G3682="OR",--(COUNTIFS(nNIA,DATOS!$A3682,nCURSO,DATOS!$D3682,nESPEC,DATOS!$E3682,nASIG,DATOS!$I3682,nEVAL,"EX")=0),0))))</f>
      </c>
      <c r="H3682">
        <f>IF(DATOS!$G3682&lt;&gt;"EX",0,--(COUNTIFS(nNIA,DATOS!$A3682,nCURSO,DATOS!$D3682,nESPEC,DATOS!$E3682,nASIG,DATOS!$I3682,nEVAL,"OR")=0))</f>
      </c>
      <c r="I3682">
        <f>IF(DATOS!$I3682="","",IFERROR(VLOOKUP(DATOS!$I3682,CONFIG_ASIGNATURAS!$B$2:$J$91,9,FALSE()),""))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IF(DATOS!$A3683="",0,IF(CONFIG_METADATA!$B$4&lt;&gt;"OR+EX",--(DATOS!$G3683=CONFIG_METADATA!$B$4),IF(DATOS!$G3683="EX",1,IF(DATOS!$G3683="OR",--(COUNTIFS(nNIA,DATOS!$A3683,nCURSO,DATOS!$D3683,nESPEC,DATOS!$E3683,nASIG,DATOS!$I3683,nEVAL,"EX")=0),0))))</f>
      </c>
      <c r="H3683">
        <f>IF(DATOS!$G3683&lt;&gt;"EX",0,--(COUNTIFS(nNIA,DATOS!$A3683,nCURSO,DATOS!$D3683,nESPEC,DATOS!$E3683,nASIG,DATOS!$I3683,nEVAL,"OR")=0))</f>
      </c>
      <c r="I3683">
        <f>IF(DATOS!$I3683="","",IFERROR(VLOOKUP(DATOS!$I3683,CONFIG_ASIGNATURAS!$B$2:$J$91,9,FALSE()),""))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IF(DATOS!$A3684="",0,IF(CONFIG_METADATA!$B$4&lt;&gt;"OR+EX",--(DATOS!$G3684=CONFIG_METADATA!$B$4),IF(DATOS!$G3684="EX",1,IF(DATOS!$G3684="OR",--(COUNTIFS(nNIA,DATOS!$A3684,nCURSO,DATOS!$D3684,nESPEC,DATOS!$E3684,nASIG,DATOS!$I3684,nEVAL,"EX")=0),0))))</f>
      </c>
      <c r="H3684">
        <f>IF(DATOS!$G3684&lt;&gt;"EX",0,--(COUNTIFS(nNIA,DATOS!$A3684,nCURSO,DATOS!$D3684,nESPEC,DATOS!$E3684,nASIG,DATOS!$I3684,nEVAL,"OR")=0))</f>
      </c>
      <c r="I3684">
        <f>IF(DATOS!$I3684="","",IFERROR(VLOOKUP(DATOS!$I3684,CONFIG_ASIGNATURAS!$B$2:$J$91,9,FALSE()),""))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IF(DATOS!$A3685="",0,IF(CONFIG_METADATA!$B$4&lt;&gt;"OR+EX",--(DATOS!$G3685=CONFIG_METADATA!$B$4),IF(DATOS!$G3685="EX",1,IF(DATOS!$G3685="OR",--(COUNTIFS(nNIA,DATOS!$A3685,nCURSO,DATOS!$D3685,nESPEC,DATOS!$E3685,nASIG,DATOS!$I3685,nEVAL,"EX")=0),0))))</f>
      </c>
      <c r="H3685">
        <f>IF(DATOS!$G3685&lt;&gt;"EX",0,--(COUNTIFS(nNIA,DATOS!$A3685,nCURSO,DATOS!$D3685,nESPEC,DATOS!$E3685,nASIG,DATOS!$I3685,nEVAL,"OR")=0))</f>
      </c>
      <c r="I3685">
        <f>IF(DATOS!$I3685="","",IFERROR(VLOOKUP(DATOS!$I3685,CONFIG_ASIGNATURAS!$B$2:$J$91,9,FALSE()),""))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IF(DATOS!$A3686="",0,IF(CONFIG_METADATA!$B$4&lt;&gt;"OR+EX",--(DATOS!$G3686=CONFIG_METADATA!$B$4),IF(DATOS!$G3686="EX",1,IF(DATOS!$G3686="OR",--(COUNTIFS(nNIA,DATOS!$A3686,nCURSO,DATOS!$D3686,nESPEC,DATOS!$E3686,nASIG,DATOS!$I3686,nEVAL,"EX")=0),0))))</f>
      </c>
      <c r="H3686">
        <f>IF(DATOS!$G3686&lt;&gt;"EX",0,--(COUNTIFS(nNIA,DATOS!$A3686,nCURSO,DATOS!$D3686,nESPEC,DATOS!$E3686,nASIG,DATOS!$I3686,nEVAL,"OR")=0))</f>
      </c>
      <c r="I3686">
        <f>IF(DATOS!$I3686="","",IFERROR(VLOOKUP(DATOS!$I3686,CONFIG_ASIGNATURAS!$B$2:$J$91,9,FALSE()),""))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IF(DATOS!$A3687="",0,IF(CONFIG_METADATA!$B$4&lt;&gt;"OR+EX",--(DATOS!$G3687=CONFIG_METADATA!$B$4),IF(DATOS!$G3687="EX",1,IF(DATOS!$G3687="OR",--(COUNTIFS(nNIA,DATOS!$A3687,nCURSO,DATOS!$D3687,nESPEC,DATOS!$E3687,nASIG,DATOS!$I3687,nEVAL,"EX")=0),0))))</f>
      </c>
      <c r="H3687">
        <f>IF(DATOS!$G3687&lt;&gt;"EX",0,--(COUNTIFS(nNIA,DATOS!$A3687,nCURSO,DATOS!$D3687,nESPEC,DATOS!$E3687,nASIG,DATOS!$I3687,nEVAL,"OR")=0))</f>
      </c>
      <c r="I3687">
        <f>IF(DATOS!$I3687="","",IFERROR(VLOOKUP(DATOS!$I3687,CONFIG_ASIGNATURAS!$B$2:$J$91,9,FALSE()),""))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IF(DATOS!$A3688="",0,IF(CONFIG_METADATA!$B$4&lt;&gt;"OR+EX",--(DATOS!$G3688=CONFIG_METADATA!$B$4),IF(DATOS!$G3688="EX",1,IF(DATOS!$G3688="OR",--(COUNTIFS(nNIA,DATOS!$A3688,nCURSO,DATOS!$D3688,nESPEC,DATOS!$E3688,nASIG,DATOS!$I3688,nEVAL,"EX")=0),0))))</f>
      </c>
      <c r="H3688">
        <f>IF(DATOS!$G3688&lt;&gt;"EX",0,--(COUNTIFS(nNIA,DATOS!$A3688,nCURSO,DATOS!$D3688,nESPEC,DATOS!$E3688,nASIG,DATOS!$I3688,nEVAL,"OR")=0))</f>
      </c>
      <c r="I3688">
        <f>IF(DATOS!$I3688="","",IFERROR(VLOOKUP(DATOS!$I3688,CONFIG_ASIGNATURAS!$B$2:$J$91,9,FALSE()),""))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IF(DATOS!$A3689="",0,IF(CONFIG_METADATA!$B$4&lt;&gt;"OR+EX",--(DATOS!$G3689=CONFIG_METADATA!$B$4),IF(DATOS!$G3689="EX",1,IF(DATOS!$G3689="OR",--(COUNTIFS(nNIA,DATOS!$A3689,nCURSO,DATOS!$D3689,nESPEC,DATOS!$E3689,nASIG,DATOS!$I3689,nEVAL,"EX")=0),0))))</f>
      </c>
      <c r="H3689">
        <f>IF(DATOS!$G3689&lt;&gt;"EX",0,--(COUNTIFS(nNIA,DATOS!$A3689,nCURSO,DATOS!$D3689,nESPEC,DATOS!$E3689,nASIG,DATOS!$I3689,nEVAL,"OR")=0))</f>
      </c>
      <c r="I3689">
        <f>IF(DATOS!$I3689="","",IFERROR(VLOOKUP(DATOS!$I3689,CONFIG_ASIGNATURAS!$B$2:$J$91,9,FALSE()),""))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IF(DATOS!$A3690="",0,IF(CONFIG_METADATA!$B$4&lt;&gt;"OR+EX",--(DATOS!$G3690=CONFIG_METADATA!$B$4),IF(DATOS!$G3690="EX",1,IF(DATOS!$G3690="OR",--(COUNTIFS(nNIA,DATOS!$A3690,nCURSO,DATOS!$D3690,nESPEC,DATOS!$E3690,nASIG,DATOS!$I3690,nEVAL,"EX")=0),0))))</f>
      </c>
      <c r="H3690">
        <f>IF(DATOS!$G3690&lt;&gt;"EX",0,--(COUNTIFS(nNIA,DATOS!$A3690,nCURSO,DATOS!$D3690,nESPEC,DATOS!$E3690,nASIG,DATOS!$I3690,nEVAL,"OR")=0))</f>
      </c>
      <c r="I3690">
        <f>IF(DATOS!$I3690="","",IFERROR(VLOOKUP(DATOS!$I3690,CONFIG_ASIGNATURAS!$B$2:$J$91,9,FALSE()),""))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IF(DATOS!$A3691="",0,IF(CONFIG_METADATA!$B$4&lt;&gt;"OR+EX",--(DATOS!$G3691=CONFIG_METADATA!$B$4),IF(DATOS!$G3691="EX",1,IF(DATOS!$G3691="OR",--(COUNTIFS(nNIA,DATOS!$A3691,nCURSO,DATOS!$D3691,nESPEC,DATOS!$E3691,nASIG,DATOS!$I3691,nEVAL,"EX")=0),0))))</f>
      </c>
      <c r="H3691">
        <f>IF(DATOS!$G3691&lt;&gt;"EX",0,--(COUNTIFS(nNIA,DATOS!$A3691,nCURSO,DATOS!$D3691,nESPEC,DATOS!$E3691,nASIG,DATOS!$I3691,nEVAL,"OR")=0))</f>
      </c>
      <c r="I3691">
        <f>IF(DATOS!$I3691="","",IFERROR(VLOOKUP(DATOS!$I3691,CONFIG_ASIGNATURAS!$B$2:$J$91,9,FALSE()),""))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IF(DATOS!$A3692="",0,IF(CONFIG_METADATA!$B$4&lt;&gt;"OR+EX",--(DATOS!$G3692=CONFIG_METADATA!$B$4),IF(DATOS!$G3692="EX",1,IF(DATOS!$G3692="OR",--(COUNTIFS(nNIA,DATOS!$A3692,nCURSO,DATOS!$D3692,nESPEC,DATOS!$E3692,nASIG,DATOS!$I3692,nEVAL,"EX")=0),0))))</f>
      </c>
      <c r="H3692">
        <f>IF(DATOS!$G3692&lt;&gt;"EX",0,--(COUNTIFS(nNIA,DATOS!$A3692,nCURSO,DATOS!$D3692,nESPEC,DATOS!$E3692,nASIG,DATOS!$I3692,nEVAL,"OR")=0))</f>
      </c>
      <c r="I3692">
        <f>IF(DATOS!$I3692="","",IFERROR(VLOOKUP(DATOS!$I3692,CONFIG_ASIGNATURAS!$B$2:$J$91,9,FALSE()),""))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IF(DATOS!$A3693="",0,IF(CONFIG_METADATA!$B$4&lt;&gt;"OR+EX",--(DATOS!$G3693=CONFIG_METADATA!$B$4),IF(DATOS!$G3693="EX",1,IF(DATOS!$G3693="OR",--(COUNTIFS(nNIA,DATOS!$A3693,nCURSO,DATOS!$D3693,nESPEC,DATOS!$E3693,nASIG,DATOS!$I3693,nEVAL,"EX")=0),0))))</f>
      </c>
      <c r="H3693">
        <f>IF(DATOS!$G3693&lt;&gt;"EX",0,--(COUNTIFS(nNIA,DATOS!$A3693,nCURSO,DATOS!$D3693,nESPEC,DATOS!$E3693,nASIG,DATOS!$I3693,nEVAL,"OR")=0))</f>
      </c>
      <c r="I3693">
        <f>IF(DATOS!$I3693="","",IFERROR(VLOOKUP(DATOS!$I3693,CONFIG_ASIGNATURAS!$B$2:$J$91,9,FALSE()),""))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IF(DATOS!$A3694="",0,IF(CONFIG_METADATA!$B$4&lt;&gt;"OR+EX",--(DATOS!$G3694=CONFIG_METADATA!$B$4),IF(DATOS!$G3694="EX",1,IF(DATOS!$G3694="OR",--(COUNTIFS(nNIA,DATOS!$A3694,nCURSO,DATOS!$D3694,nESPEC,DATOS!$E3694,nASIG,DATOS!$I3694,nEVAL,"EX")=0),0))))</f>
      </c>
      <c r="H3694">
        <f>IF(DATOS!$G3694&lt;&gt;"EX",0,--(COUNTIFS(nNIA,DATOS!$A3694,nCURSO,DATOS!$D3694,nESPEC,DATOS!$E3694,nASIG,DATOS!$I3694,nEVAL,"OR")=0))</f>
      </c>
      <c r="I3694">
        <f>IF(DATOS!$I3694="","",IFERROR(VLOOKUP(DATOS!$I3694,CONFIG_ASIGNATURAS!$B$2:$J$91,9,FALSE()),""))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IF(DATOS!$A3695="",0,IF(CONFIG_METADATA!$B$4&lt;&gt;"OR+EX",--(DATOS!$G3695=CONFIG_METADATA!$B$4),IF(DATOS!$G3695="EX",1,IF(DATOS!$G3695="OR",--(COUNTIFS(nNIA,DATOS!$A3695,nCURSO,DATOS!$D3695,nESPEC,DATOS!$E3695,nASIG,DATOS!$I3695,nEVAL,"EX")=0),0))))</f>
      </c>
      <c r="H3695">
        <f>IF(DATOS!$G3695&lt;&gt;"EX",0,--(COUNTIFS(nNIA,DATOS!$A3695,nCURSO,DATOS!$D3695,nESPEC,DATOS!$E3695,nASIG,DATOS!$I3695,nEVAL,"OR")=0))</f>
      </c>
      <c r="I3695">
        <f>IF(DATOS!$I3695="","",IFERROR(VLOOKUP(DATOS!$I3695,CONFIG_ASIGNATURAS!$B$2:$J$91,9,FALSE()),""))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IF(DATOS!$A3696="",0,IF(CONFIG_METADATA!$B$4&lt;&gt;"OR+EX",--(DATOS!$G3696=CONFIG_METADATA!$B$4),IF(DATOS!$G3696="EX",1,IF(DATOS!$G3696="OR",--(COUNTIFS(nNIA,DATOS!$A3696,nCURSO,DATOS!$D3696,nESPEC,DATOS!$E3696,nASIG,DATOS!$I3696,nEVAL,"EX")=0),0))))</f>
      </c>
      <c r="H3696">
        <f>IF(DATOS!$G3696&lt;&gt;"EX",0,--(COUNTIFS(nNIA,DATOS!$A3696,nCURSO,DATOS!$D3696,nESPEC,DATOS!$E3696,nASIG,DATOS!$I3696,nEVAL,"OR")=0))</f>
      </c>
      <c r="I3696">
        <f>IF(DATOS!$I3696="","",IFERROR(VLOOKUP(DATOS!$I3696,CONFIG_ASIGNATURAS!$B$2:$J$91,9,FALSE()),""))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IF(DATOS!$A3697="",0,IF(CONFIG_METADATA!$B$4&lt;&gt;"OR+EX",--(DATOS!$G3697=CONFIG_METADATA!$B$4),IF(DATOS!$G3697="EX",1,IF(DATOS!$G3697="OR",--(COUNTIFS(nNIA,DATOS!$A3697,nCURSO,DATOS!$D3697,nESPEC,DATOS!$E3697,nASIG,DATOS!$I3697,nEVAL,"EX")=0),0))))</f>
      </c>
      <c r="H3697">
        <f>IF(DATOS!$G3697&lt;&gt;"EX",0,--(COUNTIFS(nNIA,DATOS!$A3697,nCURSO,DATOS!$D3697,nESPEC,DATOS!$E3697,nASIG,DATOS!$I3697,nEVAL,"OR")=0))</f>
      </c>
      <c r="I3697">
        <f>IF(DATOS!$I3697="","",IFERROR(VLOOKUP(DATOS!$I3697,CONFIG_ASIGNATURAS!$B$2:$J$91,9,FALSE()),""))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IF(DATOS!$A3698="",0,IF(CONFIG_METADATA!$B$4&lt;&gt;"OR+EX",--(DATOS!$G3698=CONFIG_METADATA!$B$4),IF(DATOS!$G3698="EX",1,IF(DATOS!$G3698="OR",--(COUNTIFS(nNIA,DATOS!$A3698,nCURSO,DATOS!$D3698,nESPEC,DATOS!$E3698,nASIG,DATOS!$I3698,nEVAL,"EX")=0),0))))</f>
      </c>
      <c r="H3698">
        <f>IF(DATOS!$G3698&lt;&gt;"EX",0,--(COUNTIFS(nNIA,DATOS!$A3698,nCURSO,DATOS!$D3698,nESPEC,DATOS!$E3698,nASIG,DATOS!$I3698,nEVAL,"OR")=0))</f>
      </c>
      <c r="I3698">
        <f>IF(DATOS!$I3698="","",IFERROR(VLOOKUP(DATOS!$I3698,CONFIG_ASIGNATURAS!$B$2:$J$91,9,FALSE()),""))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IF(DATOS!$A3699="",0,IF(CONFIG_METADATA!$B$4&lt;&gt;"OR+EX",--(DATOS!$G3699=CONFIG_METADATA!$B$4),IF(DATOS!$G3699="EX",1,IF(DATOS!$G3699="OR",--(COUNTIFS(nNIA,DATOS!$A3699,nCURSO,DATOS!$D3699,nESPEC,DATOS!$E3699,nASIG,DATOS!$I3699,nEVAL,"EX")=0),0))))</f>
      </c>
      <c r="H3699">
        <f>IF(DATOS!$G3699&lt;&gt;"EX",0,--(COUNTIFS(nNIA,DATOS!$A3699,nCURSO,DATOS!$D3699,nESPEC,DATOS!$E3699,nASIG,DATOS!$I3699,nEVAL,"OR")=0))</f>
      </c>
      <c r="I3699">
        <f>IF(DATOS!$I3699="","",IFERROR(VLOOKUP(DATOS!$I3699,CONFIG_ASIGNATURAS!$B$2:$J$91,9,FALSE()),""))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IF(DATOS!$A3700="",0,IF(CONFIG_METADATA!$B$4&lt;&gt;"OR+EX",--(DATOS!$G3700=CONFIG_METADATA!$B$4),IF(DATOS!$G3700="EX",1,IF(DATOS!$G3700="OR",--(COUNTIFS(nNIA,DATOS!$A3700,nCURSO,DATOS!$D3700,nESPEC,DATOS!$E3700,nASIG,DATOS!$I3700,nEVAL,"EX")=0),0))))</f>
      </c>
      <c r="H3700">
        <f>IF(DATOS!$G3700&lt;&gt;"EX",0,--(COUNTIFS(nNIA,DATOS!$A3700,nCURSO,DATOS!$D3700,nESPEC,DATOS!$E3700,nASIG,DATOS!$I3700,nEVAL,"OR")=0))</f>
      </c>
      <c r="I3700">
        <f>IF(DATOS!$I3700="","",IFERROR(VLOOKUP(DATOS!$I3700,CONFIG_ASIGNATURAS!$B$2:$J$91,9,FALSE()),""))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IF(DATOS!$A3701="",0,IF(CONFIG_METADATA!$B$4&lt;&gt;"OR+EX",--(DATOS!$G3701=CONFIG_METADATA!$B$4),IF(DATOS!$G3701="EX",1,IF(DATOS!$G3701="OR",--(COUNTIFS(nNIA,DATOS!$A3701,nCURSO,DATOS!$D3701,nESPEC,DATOS!$E3701,nASIG,DATOS!$I3701,nEVAL,"EX")=0),0))))</f>
      </c>
      <c r="H3701">
        <f>IF(DATOS!$G3701&lt;&gt;"EX",0,--(COUNTIFS(nNIA,DATOS!$A3701,nCURSO,DATOS!$D3701,nESPEC,DATOS!$E3701,nASIG,DATOS!$I3701,nEVAL,"OR")=0))</f>
      </c>
      <c r="I3701">
        <f>IF(DATOS!$I3701="","",IFERROR(VLOOKUP(DATOS!$I3701,CONFIG_ASIGNATURAS!$B$2:$J$91,9,FALSE()),""))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IF(DATOS!$A3702="",0,IF(CONFIG_METADATA!$B$4&lt;&gt;"OR+EX",--(DATOS!$G3702=CONFIG_METADATA!$B$4),IF(DATOS!$G3702="EX",1,IF(DATOS!$G3702="OR",--(COUNTIFS(nNIA,DATOS!$A3702,nCURSO,DATOS!$D3702,nESPEC,DATOS!$E3702,nASIG,DATOS!$I3702,nEVAL,"EX")=0),0))))</f>
      </c>
      <c r="H3702">
        <f>IF(DATOS!$G3702&lt;&gt;"EX",0,--(COUNTIFS(nNIA,DATOS!$A3702,nCURSO,DATOS!$D3702,nESPEC,DATOS!$E3702,nASIG,DATOS!$I3702,nEVAL,"OR")=0))</f>
      </c>
      <c r="I3702">
        <f>IF(DATOS!$I3702="","",IFERROR(VLOOKUP(DATOS!$I3702,CONFIG_ASIGNATURAS!$B$2:$J$91,9,FALSE()),""))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IF(DATOS!$A3703="",0,IF(CONFIG_METADATA!$B$4&lt;&gt;"OR+EX",--(DATOS!$G3703=CONFIG_METADATA!$B$4),IF(DATOS!$G3703="EX",1,IF(DATOS!$G3703="OR",--(COUNTIFS(nNIA,DATOS!$A3703,nCURSO,DATOS!$D3703,nESPEC,DATOS!$E3703,nASIG,DATOS!$I3703,nEVAL,"EX")=0),0))))</f>
      </c>
      <c r="H3703">
        <f>IF(DATOS!$G3703&lt;&gt;"EX",0,--(COUNTIFS(nNIA,DATOS!$A3703,nCURSO,DATOS!$D3703,nESPEC,DATOS!$E3703,nASIG,DATOS!$I3703,nEVAL,"OR")=0))</f>
      </c>
      <c r="I3703">
        <f>IF(DATOS!$I3703="","",IFERROR(VLOOKUP(DATOS!$I3703,CONFIG_ASIGNATURAS!$B$2:$J$91,9,FALSE()),""))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IF(DATOS!$A3704="",0,IF(CONFIG_METADATA!$B$4&lt;&gt;"OR+EX",--(DATOS!$G3704=CONFIG_METADATA!$B$4),IF(DATOS!$G3704="EX",1,IF(DATOS!$G3704="OR",--(COUNTIFS(nNIA,DATOS!$A3704,nCURSO,DATOS!$D3704,nESPEC,DATOS!$E3704,nASIG,DATOS!$I3704,nEVAL,"EX")=0),0))))</f>
      </c>
      <c r="H3704">
        <f>IF(DATOS!$G3704&lt;&gt;"EX",0,--(COUNTIFS(nNIA,DATOS!$A3704,nCURSO,DATOS!$D3704,nESPEC,DATOS!$E3704,nASIG,DATOS!$I3704,nEVAL,"OR")=0))</f>
      </c>
      <c r="I3704">
        <f>IF(DATOS!$I3704="","",IFERROR(VLOOKUP(DATOS!$I3704,CONFIG_ASIGNATURAS!$B$2:$J$91,9,FALSE()),""))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IF(DATOS!$A3705="",0,IF(CONFIG_METADATA!$B$4&lt;&gt;"OR+EX",--(DATOS!$G3705=CONFIG_METADATA!$B$4),IF(DATOS!$G3705="EX",1,IF(DATOS!$G3705="OR",--(COUNTIFS(nNIA,DATOS!$A3705,nCURSO,DATOS!$D3705,nESPEC,DATOS!$E3705,nASIG,DATOS!$I3705,nEVAL,"EX")=0),0))))</f>
      </c>
      <c r="H3705">
        <f>IF(DATOS!$G3705&lt;&gt;"EX",0,--(COUNTIFS(nNIA,DATOS!$A3705,nCURSO,DATOS!$D3705,nESPEC,DATOS!$E3705,nASIG,DATOS!$I3705,nEVAL,"OR")=0))</f>
      </c>
      <c r="I3705">
        <f>IF(DATOS!$I3705="","",IFERROR(VLOOKUP(DATOS!$I3705,CONFIG_ASIGNATURAS!$B$2:$J$91,9,FALSE()),""))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IF(DATOS!$A3706="",0,IF(CONFIG_METADATA!$B$4&lt;&gt;"OR+EX",--(DATOS!$G3706=CONFIG_METADATA!$B$4),IF(DATOS!$G3706="EX",1,IF(DATOS!$G3706="OR",--(COUNTIFS(nNIA,DATOS!$A3706,nCURSO,DATOS!$D3706,nESPEC,DATOS!$E3706,nASIG,DATOS!$I3706,nEVAL,"EX")=0),0))))</f>
      </c>
      <c r="H3706">
        <f>IF(DATOS!$G3706&lt;&gt;"EX",0,--(COUNTIFS(nNIA,DATOS!$A3706,nCURSO,DATOS!$D3706,nESPEC,DATOS!$E3706,nASIG,DATOS!$I3706,nEVAL,"OR")=0))</f>
      </c>
      <c r="I3706">
        <f>IF(DATOS!$I3706="","",IFERROR(VLOOKUP(DATOS!$I3706,CONFIG_ASIGNATURAS!$B$2:$J$91,9,FALSE()),""))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IF(DATOS!$A3707="",0,IF(CONFIG_METADATA!$B$4&lt;&gt;"OR+EX",--(DATOS!$G3707=CONFIG_METADATA!$B$4),IF(DATOS!$G3707="EX",1,IF(DATOS!$G3707="OR",--(COUNTIFS(nNIA,DATOS!$A3707,nCURSO,DATOS!$D3707,nESPEC,DATOS!$E3707,nASIG,DATOS!$I3707,nEVAL,"EX")=0),0))))</f>
      </c>
      <c r="H3707">
        <f>IF(DATOS!$G3707&lt;&gt;"EX",0,--(COUNTIFS(nNIA,DATOS!$A3707,nCURSO,DATOS!$D3707,nESPEC,DATOS!$E3707,nASIG,DATOS!$I3707,nEVAL,"OR")=0))</f>
      </c>
      <c r="I3707">
        <f>IF(DATOS!$I3707="","",IFERROR(VLOOKUP(DATOS!$I3707,CONFIG_ASIGNATURAS!$B$2:$J$91,9,FALSE()),""))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IF(DATOS!$A3708="",0,IF(CONFIG_METADATA!$B$4&lt;&gt;"OR+EX",--(DATOS!$G3708=CONFIG_METADATA!$B$4),IF(DATOS!$G3708="EX",1,IF(DATOS!$G3708="OR",--(COUNTIFS(nNIA,DATOS!$A3708,nCURSO,DATOS!$D3708,nESPEC,DATOS!$E3708,nASIG,DATOS!$I3708,nEVAL,"EX")=0),0))))</f>
      </c>
      <c r="H3708">
        <f>IF(DATOS!$G3708&lt;&gt;"EX",0,--(COUNTIFS(nNIA,DATOS!$A3708,nCURSO,DATOS!$D3708,nESPEC,DATOS!$E3708,nASIG,DATOS!$I3708,nEVAL,"OR")=0))</f>
      </c>
      <c r="I3708">
        <f>IF(DATOS!$I3708="","",IFERROR(VLOOKUP(DATOS!$I3708,CONFIG_ASIGNATURAS!$B$2:$J$91,9,FALSE()),""))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IF(DATOS!$A3709="",0,IF(CONFIG_METADATA!$B$4&lt;&gt;"OR+EX",--(DATOS!$G3709=CONFIG_METADATA!$B$4),IF(DATOS!$G3709="EX",1,IF(DATOS!$G3709="OR",--(COUNTIFS(nNIA,DATOS!$A3709,nCURSO,DATOS!$D3709,nESPEC,DATOS!$E3709,nASIG,DATOS!$I3709,nEVAL,"EX")=0),0))))</f>
      </c>
      <c r="H3709">
        <f>IF(DATOS!$G3709&lt;&gt;"EX",0,--(COUNTIFS(nNIA,DATOS!$A3709,nCURSO,DATOS!$D3709,nESPEC,DATOS!$E3709,nASIG,DATOS!$I3709,nEVAL,"OR")=0))</f>
      </c>
      <c r="I3709">
        <f>IF(DATOS!$I3709="","",IFERROR(VLOOKUP(DATOS!$I3709,CONFIG_ASIGNATURAS!$B$2:$J$91,9,FALSE()),""))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IF(DATOS!$A3710="",0,IF(CONFIG_METADATA!$B$4&lt;&gt;"OR+EX",--(DATOS!$G3710=CONFIG_METADATA!$B$4),IF(DATOS!$G3710="EX",1,IF(DATOS!$G3710="OR",--(COUNTIFS(nNIA,DATOS!$A3710,nCURSO,DATOS!$D3710,nESPEC,DATOS!$E3710,nASIG,DATOS!$I3710,nEVAL,"EX")=0),0))))</f>
      </c>
      <c r="H3710">
        <f>IF(DATOS!$G3710&lt;&gt;"EX",0,--(COUNTIFS(nNIA,DATOS!$A3710,nCURSO,DATOS!$D3710,nESPEC,DATOS!$E3710,nASIG,DATOS!$I3710,nEVAL,"OR")=0))</f>
      </c>
      <c r="I3710">
        <f>IF(DATOS!$I3710="","",IFERROR(VLOOKUP(DATOS!$I3710,CONFIG_ASIGNATURAS!$B$2:$J$91,9,FALSE()),""))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IF(DATOS!$A3711="",0,IF(CONFIG_METADATA!$B$4&lt;&gt;"OR+EX",--(DATOS!$G3711=CONFIG_METADATA!$B$4),IF(DATOS!$G3711="EX",1,IF(DATOS!$G3711="OR",--(COUNTIFS(nNIA,DATOS!$A3711,nCURSO,DATOS!$D3711,nESPEC,DATOS!$E3711,nASIG,DATOS!$I3711,nEVAL,"EX")=0),0))))</f>
      </c>
      <c r="H3711">
        <f>IF(DATOS!$G3711&lt;&gt;"EX",0,--(COUNTIFS(nNIA,DATOS!$A3711,nCURSO,DATOS!$D3711,nESPEC,DATOS!$E3711,nASIG,DATOS!$I3711,nEVAL,"OR")=0))</f>
      </c>
      <c r="I3711">
        <f>IF(DATOS!$I3711="","",IFERROR(VLOOKUP(DATOS!$I3711,CONFIG_ASIGNATURAS!$B$2:$J$91,9,FALSE()),""))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IF(DATOS!$A3712="",0,IF(CONFIG_METADATA!$B$4&lt;&gt;"OR+EX",--(DATOS!$G3712=CONFIG_METADATA!$B$4),IF(DATOS!$G3712="EX",1,IF(DATOS!$G3712="OR",--(COUNTIFS(nNIA,DATOS!$A3712,nCURSO,DATOS!$D3712,nESPEC,DATOS!$E3712,nASIG,DATOS!$I3712,nEVAL,"EX")=0),0))))</f>
      </c>
      <c r="H3712">
        <f>IF(DATOS!$G3712&lt;&gt;"EX",0,--(COUNTIFS(nNIA,DATOS!$A3712,nCURSO,DATOS!$D3712,nESPEC,DATOS!$E3712,nASIG,DATOS!$I3712,nEVAL,"OR")=0))</f>
      </c>
      <c r="I3712">
        <f>IF(DATOS!$I3712="","",IFERROR(VLOOKUP(DATOS!$I3712,CONFIG_ASIGNATURAS!$B$2:$J$91,9,FALSE()),""))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IF(DATOS!$A3713="",0,IF(CONFIG_METADATA!$B$4&lt;&gt;"OR+EX",--(DATOS!$G3713=CONFIG_METADATA!$B$4),IF(DATOS!$G3713="EX",1,IF(DATOS!$G3713="OR",--(COUNTIFS(nNIA,DATOS!$A3713,nCURSO,DATOS!$D3713,nESPEC,DATOS!$E3713,nASIG,DATOS!$I3713,nEVAL,"EX")=0),0))))</f>
      </c>
      <c r="H3713">
        <f>IF(DATOS!$G3713&lt;&gt;"EX",0,--(COUNTIFS(nNIA,DATOS!$A3713,nCURSO,DATOS!$D3713,nESPEC,DATOS!$E3713,nASIG,DATOS!$I3713,nEVAL,"OR")=0))</f>
      </c>
      <c r="I3713">
        <f>IF(DATOS!$I3713="","",IFERROR(VLOOKUP(DATOS!$I3713,CONFIG_ASIGNATURAS!$B$2:$J$91,9,FALSE()),""))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IF(DATOS!$A3714="",0,IF(CONFIG_METADATA!$B$4&lt;&gt;"OR+EX",--(DATOS!$G3714=CONFIG_METADATA!$B$4),IF(DATOS!$G3714="EX",1,IF(DATOS!$G3714="OR",--(COUNTIFS(nNIA,DATOS!$A3714,nCURSO,DATOS!$D3714,nESPEC,DATOS!$E3714,nASIG,DATOS!$I3714,nEVAL,"EX")=0),0))))</f>
      </c>
      <c r="H3714">
        <f>IF(DATOS!$G3714&lt;&gt;"EX",0,--(COUNTIFS(nNIA,DATOS!$A3714,nCURSO,DATOS!$D3714,nESPEC,DATOS!$E3714,nASIG,DATOS!$I3714,nEVAL,"OR")=0))</f>
      </c>
      <c r="I3714">
        <f>IF(DATOS!$I3714="","",IFERROR(VLOOKUP(DATOS!$I3714,CONFIG_ASIGNATURAS!$B$2:$J$91,9,FALSE()),""))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IF(DATOS!$A3715="",0,IF(CONFIG_METADATA!$B$4&lt;&gt;"OR+EX",--(DATOS!$G3715=CONFIG_METADATA!$B$4),IF(DATOS!$G3715="EX",1,IF(DATOS!$G3715="OR",--(COUNTIFS(nNIA,DATOS!$A3715,nCURSO,DATOS!$D3715,nESPEC,DATOS!$E3715,nASIG,DATOS!$I3715,nEVAL,"EX")=0),0))))</f>
      </c>
      <c r="H3715">
        <f>IF(DATOS!$G3715&lt;&gt;"EX",0,--(COUNTIFS(nNIA,DATOS!$A3715,nCURSO,DATOS!$D3715,nESPEC,DATOS!$E3715,nASIG,DATOS!$I3715,nEVAL,"OR")=0))</f>
      </c>
      <c r="I3715">
        <f>IF(DATOS!$I3715="","",IFERROR(VLOOKUP(DATOS!$I3715,CONFIG_ASIGNATURAS!$B$2:$J$91,9,FALSE()),""))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IF(DATOS!$A3716="",0,IF(CONFIG_METADATA!$B$4&lt;&gt;"OR+EX",--(DATOS!$G3716=CONFIG_METADATA!$B$4),IF(DATOS!$G3716="EX",1,IF(DATOS!$G3716="OR",--(COUNTIFS(nNIA,DATOS!$A3716,nCURSO,DATOS!$D3716,nESPEC,DATOS!$E3716,nASIG,DATOS!$I3716,nEVAL,"EX")=0),0))))</f>
      </c>
      <c r="H3716">
        <f>IF(DATOS!$G3716&lt;&gt;"EX",0,--(COUNTIFS(nNIA,DATOS!$A3716,nCURSO,DATOS!$D3716,nESPEC,DATOS!$E3716,nASIG,DATOS!$I3716,nEVAL,"OR")=0))</f>
      </c>
      <c r="I3716">
        <f>IF(DATOS!$I3716="","",IFERROR(VLOOKUP(DATOS!$I3716,CONFIG_ASIGNATURAS!$B$2:$J$91,9,FALSE()),""))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IF(DATOS!$A3717="",0,IF(CONFIG_METADATA!$B$4&lt;&gt;"OR+EX",--(DATOS!$G3717=CONFIG_METADATA!$B$4),IF(DATOS!$G3717="EX",1,IF(DATOS!$G3717="OR",--(COUNTIFS(nNIA,DATOS!$A3717,nCURSO,DATOS!$D3717,nESPEC,DATOS!$E3717,nASIG,DATOS!$I3717,nEVAL,"EX")=0),0))))</f>
      </c>
      <c r="H3717">
        <f>IF(DATOS!$G3717&lt;&gt;"EX",0,--(COUNTIFS(nNIA,DATOS!$A3717,nCURSO,DATOS!$D3717,nESPEC,DATOS!$E3717,nASIG,DATOS!$I3717,nEVAL,"OR")=0))</f>
      </c>
      <c r="I3717">
        <f>IF(DATOS!$I3717="","",IFERROR(VLOOKUP(DATOS!$I3717,CONFIG_ASIGNATURAS!$B$2:$J$91,9,FALSE()),""))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IF(DATOS!$A3718="",0,IF(CONFIG_METADATA!$B$4&lt;&gt;"OR+EX",--(DATOS!$G3718=CONFIG_METADATA!$B$4),IF(DATOS!$G3718="EX",1,IF(DATOS!$G3718="OR",--(COUNTIFS(nNIA,DATOS!$A3718,nCURSO,DATOS!$D3718,nESPEC,DATOS!$E3718,nASIG,DATOS!$I3718,nEVAL,"EX")=0),0))))</f>
      </c>
      <c r="H3718">
        <f>IF(DATOS!$G3718&lt;&gt;"EX",0,--(COUNTIFS(nNIA,DATOS!$A3718,nCURSO,DATOS!$D3718,nESPEC,DATOS!$E3718,nASIG,DATOS!$I3718,nEVAL,"OR")=0))</f>
      </c>
      <c r="I3718">
        <f>IF(DATOS!$I3718="","",IFERROR(VLOOKUP(DATOS!$I3718,CONFIG_ASIGNATURAS!$B$2:$J$91,9,FALSE()),""))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IF(DATOS!$A3719="",0,IF(CONFIG_METADATA!$B$4&lt;&gt;"OR+EX",--(DATOS!$G3719=CONFIG_METADATA!$B$4),IF(DATOS!$G3719="EX",1,IF(DATOS!$G3719="OR",--(COUNTIFS(nNIA,DATOS!$A3719,nCURSO,DATOS!$D3719,nESPEC,DATOS!$E3719,nASIG,DATOS!$I3719,nEVAL,"EX")=0),0))))</f>
      </c>
      <c r="H3719">
        <f>IF(DATOS!$G3719&lt;&gt;"EX",0,--(COUNTIFS(nNIA,DATOS!$A3719,nCURSO,DATOS!$D3719,nESPEC,DATOS!$E3719,nASIG,DATOS!$I3719,nEVAL,"OR")=0))</f>
      </c>
      <c r="I3719">
        <f>IF(DATOS!$I3719="","",IFERROR(VLOOKUP(DATOS!$I3719,CONFIG_ASIGNATURAS!$B$2:$J$91,9,FALSE()),""))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IF(DATOS!$A3720="",0,IF(CONFIG_METADATA!$B$4&lt;&gt;"OR+EX",--(DATOS!$G3720=CONFIG_METADATA!$B$4),IF(DATOS!$G3720="EX",1,IF(DATOS!$G3720="OR",--(COUNTIFS(nNIA,DATOS!$A3720,nCURSO,DATOS!$D3720,nESPEC,DATOS!$E3720,nASIG,DATOS!$I3720,nEVAL,"EX")=0),0))))</f>
      </c>
      <c r="H3720">
        <f>IF(DATOS!$G3720&lt;&gt;"EX",0,--(COUNTIFS(nNIA,DATOS!$A3720,nCURSO,DATOS!$D3720,nESPEC,DATOS!$E3720,nASIG,DATOS!$I3720,nEVAL,"OR")=0))</f>
      </c>
      <c r="I3720">
        <f>IF(DATOS!$I3720="","",IFERROR(VLOOKUP(DATOS!$I3720,CONFIG_ASIGNATURAS!$B$2:$J$91,9,FALSE()),""))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IF(DATOS!$A3721="",0,IF(CONFIG_METADATA!$B$4&lt;&gt;"OR+EX",--(DATOS!$G3721=CONFIG_METADATA!$B$4),IF(DATOS!$G3721="EX",1,IF(DATOS!$G3721="OR",--(COUNTIFS(nNIA,DATOS!$A3721,nCURSO,DATOS!$D3721,nESPEC,DATOS!$E3721,nASIG,DATOS!$I3721,nEVAL,"EX")=0),0))))</f>
      </c>
      <c r="H3721">
        <f>IF(DATOS!$G3721&lt;&gt;"EX",0,--(COUNTIFS(nNIA,DATOS!$A3721,nCURSO,DATOS!$D3721,nESPEC,DATOS!$E3721,nASIG,DATOS!$I3721,nEVAL,"OR")=0))</f>
      </c>
      <c r="I3721">
        <f>IF(DATOS!$I3721="","",IFERROR(VLOOKUP(DATOS!$I3721,CONFIG_ASIGNATURAS!$B$2:$J$91,9,FALSE()),""))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IF(DATOS!$A3722="",0,IF(CONFIG_METADATA!$B$4&lt;&gt;"OR+EX",--(DATOS!$G3722=CONFIG_METADATA!$B$4),IF(DATOS!$G3722="EX",1,IF(DATOS!$G3722="OR",--(COUNTIFS(nNIA,DATOS!$A3722,nCURSO,DATOS!$D3722,nESPEC,DATOS!$E3722,nASIG,DATOS!$I3722,nEVAL,"EX")=0),0))))</f>
      </c>
      <c r="H3722">
        <f>IF(DATOS!$G3722&lt;&gt;"EX",0,--(COUNTIFS(nNIA,DATOS!$A3722,nCURSO,DATOS!$D3722,nESPEC,DATOS!$E3722,nASIG,DATOS!$I3722,nEVAL,"OR")=0))</f>
      </c>
      <c r="I3722">
        <f>IF(DATOS!$I3722="","",IFERROR(VLOOKUP(DATOS!$I3722,CONFIG_ASIGNATURAS!$B$2:$J$91,9,FALSE()),""))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IF(DATOS!$A3723="",0,IF(CONFIG_METADATA!$B$4&lt;&gt;"OR+EX",--(DATOS!$G3723=CONFIG_METADATA!$B$4),IF(DATOS!$G3723="EX",1,IF(DATOS!$G3723="OR",--(COUNTIFS(nNIA,DATOS!$A3723,nCURSO,DATOS!$D3723,nESPEC,DATOS!$E3723,nASIG,DATOS!$I3723,nEVAL,"EX")=0),0))))</f>
      </c>
      <c r="H3723">
        <f>IF(DATOS!$G3723&lt;&gt;"EX",0,--(COUNTIFS(nNIA,DATOS!$A3723,nCURSO,DATOS!$D3723,nESPEC,DATOS!$E3723,nASIG,DATOS!$I3723,nEVAL,"OR")=0))</f>
      </c>
      <c r="I3723">
        <f>IF(DATOS!$I3723="","",IFERROR(VLOOKUP(DATOS!$I3723,CONFIG_ASIGNATURAS!$B$2:$J$91,9,FALSE()),""))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IF(DATOS!$A3724="",0,IF(CONFIG_METADATA!$B$4&lt;&gt;"OR+EX",--(DATOS!$G3724=CONFIG_METADATA!$B$4),IF(DATOS!$G3724="EX",1,IF(DATOS!$G3724="OR",--(COUNTIFS(nNIA,DATOS!$A3724,nCURSO,DATOS!$D3724,nESPEC,DATOS!$E3724,nASIG,DATOS!$I3724,nEVAL,"EX")=0),0))))</f>
      </c>
      <c r="H3724">
        <f>IF(DATOS!$G3724&lt;&gt;"EX",0,--(COUNTIFS(nNIA,DATOS!$A3724,nCURSO,DATOS!$D3724,nESPEC,DATOS!$E3724,nASIG,DATOS!$I3724,nEVAL,"OR")=0))</f>
      </c>
      <c r="I3724">
        <f>IF(DATOS!$I3724="","",IFERROR(VLOOKUP(DATOS!$I3724,CONFIG_ASIGNATURAS!$B$2:$J$91,9,FALSE()),""))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IF(DATOS!$A3725="",0,IF(CONFIG_METADATA!$B$4&lt;&gt;"OR+EX",--(DATOS!$G3725=CONFIG_METADATA!$B$4),IF(DATOS!$G3725="EX",1,IF(DATOS!$G3725="OR",--(COUNTIFS(nNIA,DATOS!$A3725,nCURSO,DATOS!$D3725,nESPEC,DATOS!$E3725,nASIG,DATOS!$I3725,nEVAL,"EX")=0),0))))</f>
      </c>
      <c r="H3725">
        <f>IF(DATOS!$G3725&lt;&gt;"EX",0,--(COUNTIFS(nNIA,DATOS!$A3725,nCURSO,DATOS!$D3725,nESPEC,DATOS!$E3725,nASIG,DATOS!$I3725,nEVAL,"OR")=0))</f>
      </c>
      <c r="I3725">
        <f>IF(DATOS!$I3725="","",IFERROR(VLOOKUP(DATOS!$I3725,CONFIG_ASIGNATURAS!$B$2:$J$91,9,FALSE()),""))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IF(DATOS!$A3726="",0,IF(CONFIG_METADATA!$B$4&lt;&gt;"OR+EX",--(DATOS!$G3726=CONFIG_METADATA!$B$4),IF(DATOS!$G3726="EX",1,IF(DATOS!$G3726="OR",--(COUNTIFS(nNIA,DATOS!$A3726,nCURSO,DATOS!$D3726,nESPEC,DATOS!$E3726,nASIG,DATOS!$I3726,nEVAL,"EX")=0),0))))</f>
      </c>
      <c r="H3726">
        <f>IF(DATOS!$G3726&lt;&gt;"EX",0,--(COUNTIFS(nNIA,DATOS!$A3726,nCURSO,DATOS!$D3726,nESPEC,DATOS!$E3726,nASIG,DATOS!$I3726,nEVAL,"OR")=0))</f>
      </c>
      <c r="I3726">
        <f>IF(DATOS!$I3726="","",IFERROR(VLOOKUP(DATOS!$I3726,CONFIG_ASIGNATURAS!$B$2:$J$91,9,FALSE()),""))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IF(DATOS!$A3727="",0,IF(CONFIG_METADATA!$B$4&lt;&gt;"OR+EX",--(DATOS!$G3727=CONFIG_METADATA!$B$4),IF(DATOS!$G3727="EX",1,IF(DATOS!$G3727="OR",--(COUNTIFS(nNIA,DATOS!$A3727,nCURSO,DATOS!$D3727,nESPEC,DATOS!$E3727,nASIG,DATOS!$I3727,nEVAL,"EX")=0),0))))</f>
      </c>
      <c r="H3727">
        <f>IF(DATOS!$G3727&lt;&gt;"EX",0,--(COUNTIFS(nNIA,DATOS!$A3727,nCURSO,DATOS!$D3727,nESPEC,DATOS!$E3727,nASIG,DATOS!$I3727,nEVAL,"OR")=0))</f>
      </c>
      <c r="I3727">
        <f>IF(DATOS!$I3727="","",IFERROR(VLOOKUP(DATOS!$I3727,CONFIG_ASIGNATURAS!$B$2:$J$91,9,FALSE()),""))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IF(DATOS!$A3728="",0,IF(CONFIG_METADATA!$B$4&lt;&gt;"OR+EX",--(DATOS!$G3728=CONFIG_METADATA!$B$4),IF(DATOS!$G3728="EX",1,IF(DATOS!$G3728="OR",--(COUNTIFS(nNIA,DATOS!$A3728,nCURSO,DATOS!$D3728,nESPEC,DATOS!$E3728,nASIG,DATOS!$I3728,nEVAL,"EX")=0),0))))</f>
      </c>
      <c r="H3728">
        <f>IF(DATOS!$G3728&lt;&gt;"EX",0,--(COUNTIFS(nNIA,DATOS!$A3728,nCURSO,DATOS!$D3728,nESPEC,DATOS!$E3728,nASIG,DATOS!$I3728,nEVAL,"OR")=0))</f>
      </c>
      <c r="I3728">
        <f>IF(DATOS!$I3728="","",IFERROR(VLOOKUP(DATOS!$I3728,CONFIG_ASIGNATURAS!$B$2:$J$91,9,FALSE()),""))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IF(DATOS!$A3729="",0,IF(CONFIG_METADATA!$B$4&lt;&gt;"OR+EX",--(DATOS!$G3729=CONFIG_METADATA!$B$4),IF(DATOS!$G3729="EX",1,IF(DATOS!$G3729="OR",--(COUNTIFS(nNIA,DATOS!$A3729,nCURSO,DATOS!$D3729,nESPEC,DATOS!$E3729,nASIG,DATOS!$I3729,nEVAL,"EX")=0),0))))</f>
      </c>
      <c r="H3729">
        <f>IF(DATOS!$G3729&lt;&gt;"EX",0,--(COUNTIFS(nNIA,DATOS!$A3729,nCURSO,DATOS!$D3729,nESPEC,DATOS!$E3729,nASIG,DATOS!$I3729,nEVAL,"OR")=0))</f>
      </c>
      <c r="I3729">
        <f>IF(DATOS!$I3729="","",IFERROR(VLOOKUP(DATOS!$I3729,CONFIG_ASIGNATURAS!$B$2:$J$91,9,FALSE()),""))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IF(DATOS!$A3730="",0,IF(CONFIG_METADATA!$B$4&lt;&gt;"OR+EX",--(DATOS!$G3730=CONFIG_METADATA!$B$4),IF(DATOS!$G3730="EX",1,IF(DATOS!$G3730="OR",--(COUNTIFS(nNIA,DATOS!$A3730,nCURSO,DATOS!$D3730,nESPEC,DATOS!$E3730,nASIG,DATOS!$I3730,nEVAL,"EX")=0),0))))</f>
      </c>
      <c r="H3730">
        <f>IF(DATOS!$G3730&lt;&gt;"EX",0,--(COUNTIFS(nNIA,DATOS!$A3730,nCURSO,DATOS!$D3730,nESPEC,DATOS!$E3730,nASIG,DATOS!$I3730,nEVAL,"OR")=0))</f>
      </c>
      <c r="I3730">
        <f>IF(DATOS!$I3730="","",IFERROR(VLOOKUP(DATOS!$I3730,CONFIG_ASIGNATURAS!$B$2:$J$91,9,FALSE()),""))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IF(DATOS!$A3731="",0,IF(CONFIG_METADATA!$B$4&lt;&gt;"OR+EX",--(DATOS!$G3731=CONFIG_METADATA!$B$4),IF(DATOS!$G3731="EX",1,IF(DATOS!$G3731="OR",--(COUNTIFS(nNIA,DATOS!$A3731,nCURSO,DATOS!$D3731,nESPEC,DATOS!$E3731,nASIG,DATOS!$I3731,nEVAL,"EX")=0),0))))</f>
      </c>
      <c r="H3731">
        <f>IF(DATOS!$G3731&lt;&gt;"EX",0,--(COUNTIFS(nNIA,DATOS!$A3731,nCURSO,DATOS!$D3731,nESPEC,DATOS!$E3731,nASIG,DATOS!$I3731,nEVAL,"OR")=0))</f>
      </c>
      <c r="I3731">
        <f>IF(DATOS!$I3731="","",IFERROR(VLOOKUP(DATOS!$I3731,CONFIG_ASIGNATURAS!$B$2:$J$91,9,FALSE()),""))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IF(DATOS!$A3732="",0,IF(CONFIG_METADATA!$B$4&lt;&gt;"OR+EX",--(DATOS!$G3732=CONFIG_METADATA!$B$4),IF(DATOS!$G3732="EX",1,IF(DATOS!$G3732="OR",--(COUNTIFS(nNIA,DATOS!$A3732,nCURSO,DATOS!$D3732,nESPEC,DATOS!$E3732,nASIG,DATOS!$I3732,nEVAL,"EX")=0),0))))</f>
      </c>
      <c r="H3732">
        <f>IF(DATOS!$G3732&lt;&gt;"EX",0,--(COUNTIFS(nNIA,DATOS!$A3732,nCURSO,DATOS!$D3732,nESPEC,DATOS!$E3732,nASIG,DATOS!$I3732,nEVAL,"OR")=0))</f>
      </c>
      <c r="I3732">
        <f>IF(DATOS!$I3732="","",IFERROR(VLOOKUP(DATOS!$I3732,CONFIG_ASIGNATURAS!$B$2:$J$91,9,FALSE()),""))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IF(DATOS!$A3733="",0,IF(CONFIG_METADATA!$B$4&lt;&gt;"OR+EX",--(DATOS!$G3733=CONFIG_METADATA!$B$4),IF(DATOS!$G3733="EX",1,IF(DATOS!$G3733="OR",--(COUNTIFS(nNIA,DATOS!$A3733,nCURSO,DATOS!$D3733,nESPEC,DATOS!$E3733,nASIG,DATOS!$I3733,nEVAL,"EX")=0),0))))</f>
      </c>
      <c r="H3733">
        <f>IF(DATOS!$G3733&lt;&gt;"EX",0,--(COUNTIFS(nNIA,DATOS!$A3733,nCURSO,DATOS!$D3733,nESPEC,DATOS!$E3733,nASIG,DATOS!$I3733,nEVAL,"OR")=0))</f>
      </c>
      <c r="I3733">
        <f>IF(DATOS!$I3733="","",IFERROR(VLOOKUP(DATOS!$I3733,CONFIG_ASIGNATURAS!$B$2:$J$91,9,FALSE()),""))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IF(DATOS!$A3734="",0,IF(CONFIG_METADATA!$B$4&lt;&gt;"OR+EX",--(DATOS!$G3734=CONFIG_METADATA!$B$4),IF(DATOS!$G3734="EX",1,IF(DATOS!$G3734="OR",--(COUNTIFS(nNIA,DATOS!$A3734,nCURSO,DATOS!$D3734,nESPEC,DATOS!$E3734,nASIG,DATOS!$I3734,nEVAL,"EX")=0),0))))</f>
      </c>
      <c r="H3734">
        <f>IF(DATOS!$G3734&lt;&gt;"EX",0,--(COUNTIFS(nNIA,DATOS!$A3734,nCURSO,DATOS!$D3734,nESPEC,DATOS!$E3734,nASIG,DATOS!$I3734,nEVAL,"OR")=0))</f>
      </c>
      <c r="I3734">
        <f>IF(DATOS!$I3734="","",IFERROR(VLOOKUP(DATOS!$I3734,CONFIG_ASIGNATURAS!$B$2:$J$91,9,FALSE()),""))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IF(DATOS!$A3735="",0,IF(CONFIG_METADATA!$B$4&lt;&gt;"OR+EX",--(DATOS!$G3735=CONFIG_METADATA!$B$4),IF(DATOS!$G3735="EX",1,IF(DATOS!$G3735="OR",--(COUNTIFS(nNIA,DATOS!$A3735,nCURSO,DATOS!$D3735,nESPEC,DATOS!$E3735,nASIG,DATOS!$I3735,nEVAL,"EX")=0),0))))</f>
      </c>
      <c r="H3735">
        <f>IF(DATOS!$G3735&lt;&gt;"EX",0,--(COUNTIFS(nNIA,DATOS!$A3735,nCURSO,DATOS!$D3735,nESPEC,DATOS!$E3735,nASIG,DATOS!$I3735,nEVAL,"OR")=0))</f>
      </c>
      <c r="I3735">
        <f>IF(DATOS!$I3735="","",IFERROR(VLOOKUP(DATOS!$I3735,CONFIG_ASIGNATURAS!$B$2:$J$91,9,FALSE()),""))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IF(DATOS!$A3736="",0,IF(CONFIG_METADATA!$B$4&lt;&gt;"OR+EX",--(DATOS!$G3736=CONFIG_METADATA!$B$4),IF(DATOS!$G3736="EX",1,IF(DATOS!$G3736="OR",--(COUNTIFS(nNIA,DATOS!$A3736,nCURSO,DATOS!$D3736,nESPEC,DATOS!$E3736,nASIG,DATOS!$I3736,nEVAL,"EX")=0),0))))</f>
      </c>
      <c r="H3736">
        <f>IF(DATOS!$G3736&lt;&gt;"EX",0,--(COUNTIFS(nNIA,DATOS!$A3736,nCURSO,DATOS!$D3736,nESPEC,DATOS!$E3736,nASIG,DATOS!$I3736,nEVAL,"OR")=0))</f>
      </c>
      <c r="I3736">
        <f>IF(DATOS!$I3736="","",IFERROR(VLOOKUP(DATOS!$I3736,CONFIG_ASIGNATURAS!$B$2:$J$91,9,FALSE()),""))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IF(DATOS!$A3737="",0,IF(CONFIG_METADATA!$B$4&lt;&gt;"OR+EX",--(DATOS!$G3737=CONFIG_METADATA!$B$4),IF(DATOS!$G3737="EX",1,IF(DATOS!$G3737="OR",--(COUNTIFS(nNIA,DATOS!$A3737,nCURSO,DATOS!$D3737,nESPEC,DATOS!$E3737,nASIG,DATOS!$I3737,nEVAL,"EX")=0),0))))</f>
      </c>
      <c r="H3737">
        <f>IF(DATOS!$G3737&lt;&gt;"EX",0,--(COUNTIFS(nNIA,DATOS!$A3737,nCURSO,DATOS!$D3737,nESPEC,DATOS!$E3737,nASIG,DATOS!$I3737,nEVAL,"OR")=0))</f>
      </c>
      <c r="I3737">
        <f>IF(DATOS!$I3737="","",IFERROR(VLOOKUP(DATOS!$I3737,CONFIG_ASIGNATURAS!$B$2:$J$91,9,FALSE()),""))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IF(DATOS!$A3738="",0,IF(CONFIG_METADATA!$B$4&lt;&gt;"OR+EX",--(DATOS!$G3738=CONFIG_METADATA!$B$4),IF(DATOS!$G3738="EX",1,IF(DATOS!$G3738="OR",--(COUNTIFS(nNIA,DATOS!$A3738,nCURSO,DATOS!$D3738,nESPEC,DATOS!$E3738,nASIG,DATOS!$I3738,nEVAL,"EX")=0),0))))</f>
      </c>
      <c r="H3738">
        <f>IF(DATOS!$G3738&lt;&gt;"EX",0,--(COUNTIFS(nNIA,DATOS!$A3738,nCURSO,DATOS!$D3738,nESPEC,DATOS!$E3738,nASIG,DATOS!$I3738,nEVAL,"OR")=0))</f>
      </c>
      <c r="I3738">
        <f>IF(DATOS!$I3738="","",IFERROR(VLOOKUP(DATOS!$I3738,CONFIG_ASIGNATURAS!$B$2:$J$91,9,FALSE()),""))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IF(DATOS!$A3739="",0,IF(CONFIG_METADATA!$B$4&lt;&gt;"OR+EX",--(DATOS!$G3739=CONFIG_METADATA!$B$4),IF(DATOS!$G3739="EX",1,IF(DATOS!$G3739="OR",--(COUNTIFS(nNIA,DATOS!$A3739,nCURSO,DATOS!$D3739,nESPEC,DATOS!$E3739,nASIG,DATOS!$I3739,nEVAL,"EX")=0),0))))</f>
      </c>
      <c r="H3739">
        <f>IF(DATOS!$G3739&lt;&gt;"EX",0,--(COUNTIFS(nNIA,DATOS!$A3739,nCURSO,DATOS!$D3739,nESPEC,DATOS!$E3739,nASIG,DATOS!$I3739,nEVAL,"OR")=0))</f>
      </c>
      <c r="I3739">
        <f>IF(DATOS!$I3739="","",IFERROR(VLOOKUP(DATOS!$I3739,CONFIG_ASIGNATURAS!$B$2:$J$91,9,FALSE()),""))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IF(DATOS!$A3740="",0,IF(CONFIG_METADATA!$B$4&lt;&gt;"OR+EX",--(DATOS!$G3740=CONFIG_METADATA!$B$4),IF(DATOS!$G3740="EX",1,IF(DATOS!$G3740="OR",--(COUNTIFS(nNIA,DATOS!$A3740,nCURSO,DATOS!$D3740,nESPEC,DATOS!$E3740,nASIG,DATOS!$I3740,nEVAL,"EX")=0),0))))</f>
      </c>
      <c r="H3740">
        <f>IF(DATOS!$G3740&lt;&gt;"EX",0,--(COUNTIFS(nNIA,DATOS!$A3740,nCURSO,DATOS!$D3740,nESPEC,DATOS!$E3740,nASIG,DATOS!$I3740,nEVAL,"OR")=0))</f>
      </c>
      <c r="I3740">
        <f>IF(DATOS!$I3740="","",IFERROR(VLOOKUP(DATOS!$I3740,CONFIG_ASIGNATURAS!$B$2:$J$91,9,FALSE()),""))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IF(DATOS!$A3741="",0,IF(CONFIG_METADATA!$B$4&lt;&gt;"OR+EX",--(DATOS!$G3741=CONFIG_METADATA!$B$4),IF(DATOS!$G3741="EX",1,IF(DATOS!$G3741="OR",--(COUNTIFS(nNIA,DATOS!$A3741,nCURSO,DATOS!$D3741,nESPEC,DATOS!$E3741,nASIG,DATOS!$I3741,nEVAL,"EX")=0),0))))</f>
      </c>
      <c r="H3741">
        <f>IF(DATOS!$G3741&lt;&gt;"EX",0,--(COUNTIFS(nNIA,DATOS!$A3741,nCURSO,DATOS!$D3741,nESPEC,DATOS!$E3741,nASIG,DATOS!$I3741,nEVAL,"OR")=0))</f>
      </c>
      <c r="I3741">
        <f>IF(DATOS!$I3741="","",IFERROR(VLOOKUP(DATOS!$I3741,CONFIG_ASIGNATURAS!$B$2:$J$91,9,FALSE()),""))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IF(DATOS!$A3742="",0,IF(CONFIG_METADATA!$B$4&lt;&gt;"OR+EX",--(DATOS!$G3742=CONFIG_METADATA!$B$4),IF(DATOS!$G3742="EX",1,IF(DATOS!$G3742="OR",--(COUNTIFS(nNIA,DATOS!$A3742,nCURSO,DATOS!$D3742,nESPEC,DATOS!$E3742,nASIG,DATOS!$I3742,nEVAL,"EX")=0),0))))</f>
      </c>
      <c r="H3742">
        <f>IF(DATOS!$G3742&lt;&gt;"EX",0,--(COUNTIFS(nNIA,DATOS!$A3742,nCURSO,DATOS!$D3742,nESPEC,DATOS!$E3742,nASIG,DATOS!$I3742,nEVAL,"OR")=0))</f>
      </c>
      <c r="I3742">
        <f>IF(DATOS!$I3742="","",IFERROR(VLOOKUP(DATOS!$I3742,CONFIG_ASIGNATURAS!$B$2:$J$91,9,FALSE()),""))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IF(DATOS!$A3743="",0,IF(CONFIG_METADATA!$B$4&lt;&gt;"OR+EX",--(DATOS!$G3743=CONFIG_METADATA!$B$4),IF(DATOS!$G3743="EX",1,IF(DATOS!$G3743="OR",--(COUNTIFS(nNIA,DATOS!$A3743,nCURSO,DATOS!$D3743,nESPEC,DATOS!$E3743,nASIG,DATOS!$I3743,nEVAL,"EX")=0),0))))</f>
      </c>
      <c r="H3743">
        <f>IF(DATOS!$G3743&lt;&gt;"EX",0,--(COUNTIFS(nNIA,DATOS!$A3743,nCURSO,DATOS!$D3743,nESPEC,DATOS!$E3743,nASIG,DATOS!$I3743,nEVAL,"OR")=0))</f>
      </c>
      <c r="I3743">
        <f>IF(DATOS!$I3743="","",IFERROR(VLOOKUP(DATOS!$I3743,CONFIG_ASIGNATURAS!$B$2:$J$91,9,FALSE()),""))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IF(DATOS!$A3744="",0,IF(CONFIG_METADATA!$B$4&lt;&gt;"OR+EX",--(DATOS!$G3744=CONFIG_METADATA!$B$4),IF(DATOS!$G3744="EX",1,IF(DATOS!$G3744="OR",--(COUNTIFS(nNIA,DATOS!$A3744,nCURSO,DATOS!$D3744,nESPEC,DATOS!$E3744,nASIG,DATOS!$I3744,nEVAL,"EX")=0),0))))</f>
      </c>
      <c r="H3744">
        <f>IF(DATOS!$G3744&lt;&gt;"EX",0,--(COUNTIFS(nNIA,DATOS!$A3744,nCURSO,DATOS!$D3744,nESPEC,DATOS!$E3744,nASIG,DATOS!$I3744,nEVAL,"OR")=0))</f>
      </c>
      <c r="I3744">
        <f>IF(DATOS!$I3744="","",IFERROR(VLOOKUP(DATOS!$I3744,CONFIG_ASIGNATURAS!$B$2:$J$91,9,FALSE()),""))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IF(DATOS!$A3745="",0,IF(CONFIG_METADATA!$B$4&lt;&gt;"OR+EX",--(DATOS!$G3745=CONFIG_METADATA!$B$4),IF(DATOS!$G3745="EX",1,IF(DATOS!$G3745="OR",--(COUNTIFS(nNIA,DATOS!$A3745,nCURSO,DATOS!$D3745,nESPEC,DATOS!$E3745,nASIG,DATOS!$I3745,nEVAL,"EX")=0),0))))</f>
      </c>
      <c r="H3745">
        <f>IF(DATOS!$G3745&lt;&gt;"EX",0,--(COUNTIFS(nNIA,DATOS!$A3745,nCURSO,DATOS!$D3745,nESPEC,DATOS!$E3745,nASIG,DATOS!$I3745,nEVAL,"OR")=0))</f>
      </c>
      <c r="I3745">
        <f>IF(DATOS!$I3745="","",IFERROR(VLOOKUP(DATOS!$I3745,CONFIG_ASIGNATURAS!$B$2:$J$91,9,FALSE()),""))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IF(DATOS!$A3746="",0,IF(CONFIG_METADATA!$B$4&lt;&gt;"OR+EX",--(DATOS!$G3746=CONFIG_METADATA!$B$4),IF(DATOS!$G3746="EX",1,IF(DATOS!$G3746="OR",--(COUNTIFS(nNIA,DATOS!$A3746,nCURSO,DATOS!$D3746,nESPEC,DATOS!$E3746,nASIG,DATOS!$I3746,nEVAL,"EX")=0),0))))</f>
      </c>
      <c r="H3746">
        <f>IF(DATOS!$G3746&lt;&gt;"EX",0,--(COUNTIFS(nNIA,DATOS!$A3746,nCURSO,DATOS!$D3746,nESPEC,DATOS!$E3746,nASIG,DATOS!$I3746,nEVAL,"OR")=0))</f>
      </c>
      <c r="I3746">
        <f>IF(DATOS!$I3746="","",IFERROR(VLOOKUP(DATOS!$I3746,CONFIG_ASIGNATURAS!$B$2:$J$91,9,FALSE()),""))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IF(DATOS!$A3747="",0,IF(CONFIG_METADATA!$B$4&lt;&gt;"OR+EX",--(DATOS!$G3747=CONFIG_METADATA!$B$4),IF(DATOS!$G3747="EX",1,IF(DATOS!$G3747="OR",--(COUNTIFS(nNIA,DATOS!$A3747,nCURSO,DATOS!$D3747,nESPEC,DATOS!$E3747,nASIG,DATOS!$I3747,nEVAL,"EX")=0),0))))</f>
      </c>
      <c r="H3747">
        <f>IF(DATOS!$G3747&lt;&gt;"EX",0,--(COUNTIFS(nNIA,DATOS!$A3747,nCURSO,DATOS!$D3747,nESPEC,DATOS!$E3747,nASIG,DATOS!$I3747,nEVAL,"OR")=0))</f>
      </c>
      <c r="I3747">
        <f>IF(DATOS!$I3747="","",IFERROR(VLOOKUP(DATOS!$I3747,CONFIG_ASIGNATURAS!$B$2:$J$91,9,FALSE()),""))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IF(DATOS!$A3748="",0,IF(CONFIG_METADATA!$B$4&lt;&gt;"OR+EX",--(DATOS!$G3748=CONFIG_METADATA!$B$4),IF(DATOS!$G3748="EX",1,IF(DATOS!$G3748="OR",--(COUNTIFS(nNIA,DATOS!$A3748,nCURSO,DATOS!$D3748,nESPEC,DATOS!$E3748,nASIG,DATOS!$I3748,nEVAL,"EX")=0),0))))</f>
      </c>
      <c r="H3748">
        <f>IF(DATOS!$G3748&lt;&gt;"EX",0,--(COUNTIFS(nNIA,DATOS!$A3748,nCURSO,DATOS!$D3748,nESPEC,DATOS!$E3748,nASIG,DATOS!$I3748,nEVAL,"OR")=0))</f>
      </c>
      <c r="I3748">
        <f>IF(DATOS!$I3748="","",IFERROR(VLOOKUP(DATOS!$I3748,CONFIG_ASIGNATURAS!$B$2:$J$91,9,FALSE()),""))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IF(DATOS!$A3749="",0,IF(CONFIG_METADATA!$B$4&lt;&gt;"OR+EX",--(DATOS!$G3749=CONFIG_METADATA!$B$4),IF(DATOS!$G3749="EX",1,IF(DATOS!$G3749="OR",--(COUNTIFS(nNIA,DATOS!$A3749,nCURSO,DATOS!$D3749,nESPEC,DATOS!$E3749,nASIG,DATOS!$I3749,nEVAL,"EX")=0),0))))</f>
      </c>
      <c r="H3749">
        <f>IF(DATOS!$G3749&lt;&gt;"EX",0,--(COUNTIFS(nNIA,DATOS!$A3749,nCURSO,DATOS!$D3749,nESPEC,DATOS!$E3749,nASIG,DATOS!$I3749,nEVAL,"OR")=0))</f>
      </c>
      <c r="I3749">
        <f>IF(DATOS!$I3749="","",IFERROR(VLOOKUP(DATOS!$I3749,CONFIG_ASIGNATURAS!$B$2:$J$91,9,FALSE()),""))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IF(DATOS!$A3750="",0,IF(CONFIG_METADATA!$B$4&lt;&gt;"OR+EX",--(DATOS!$G3750=CONFIG_METADATA!$B$4),IF(DATOS!$G3750="EX",1,IF(DATOS!$G3750="OR",--(COUNTIFS(nNIA,DATOS!$A3750,nCURSO,DATOS!$D3750,nESPEC,DATOS!$E3750,nASIG,DATOS!$I3750,nEVAL,"EX")=0),0))))</f>
      </c>
      <c r="H3750">
        <f>IF(DATOS!$G3750&lt;&gt;"EX",0,--(COUNTIFS(nNIA,DATOS!$A3750,nCURSO,DATOS!$D3750,nESPEC,DATOS!$E3750,nASIG,DATOS!$I3750,nEVAL,"OR")=0))</f>
      </c>
      <c r="I3750">
        <f>IF(DATOS!$I3750="","",IFERROR(VLOOKUP(DATOS!$I3750,CONFIG_ASIGNATURAS!$B$2:$J$91,9,FALSE()),""))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IF(DATOS!$A3751="",0,IF(CONFIG_METADATA!$B$4&lt;&gt;"OR+EX",--(DATOS!$G3751=CONFIG_METADATA!$B$4),IF(DATOS!$G3751="EX",1,IF(DATOS!$G3751="OR",--(COUNTIFS(nNIA,DATOS!$A3751,nCURSO,DATOS!$D3751,nESPEC,DATOS!$E3751,nASIG,DATOS!$I3751,nEVAL,"EX")=0),0))))</f>
      </c>
      <c r="H3751">
        <f>IF(DATOS!$G3751&lt;&gt;"EX",0,--(COUNTIFS(nNIA,DATOS!$A3751,nCURSO,DATOS!$D3751,nESPEC,DATOS!$E3751,nASIG,DATOS!$I3751,nEVAL,"OR")=0))</f>
      </c>
      <c r="I3751">
        <f>IF(DATOS!$I3751="","",IFERROR(VLOOKUP(DATOS!$I3751,CONFIG_ASIGNATURAS!$B$2:$J$91,9,FALSE()),""))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IF(DATOS!$A3752="",0,IF(CONFIG_METADATA!$B$4&lt;&gt;"OR+EX",--(DATOS!$G3752=CONFIG_METADATA!$B$4),IF(DATOS!$G3752="EX",1,IF(DATOS!$G3752="OR",--(COUNTIFS(nNIA,DATOS!$A3752,nCURSO,DATOS!$D3752,nESPEC,DATOS!$E3752,nASIG,DATOS!$I3752,nEVAL,"EX")=0),0))))</f>
      </c>
      <c r="H3752">
        <f>IF(DATOS!$G3752&lt;&gt;"EX",0,--(COUNTIFS(nNIA,DATOS!$A3752,nCURSO,DATOS!$D3752,nESPEC,DATOS!$E3752,nASIG,DATOS!$I3752,nEVAL,"OR")=0))</f>
      </c>
      <c r="I3752">
        <f>IF(DATOS!$I3752="","",IFERROR(VLOOKUP(DATOS!$I3752,CONFIG_ASIGNATURAS!$B$2:$J$91,9,FALSE()),""))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IF(DATOS!$A3753="",0,IF(CONFIG_METADATA!$B$4&lt;&gt;"OR+EX",--(DATOS!$G3753=CONFIG_METADATA!$B$4),IF(DATOS!$G3753="EX",1,IF(DATOS!$G3753="OR",--(COUNTIFS(nNIA,DATOS!$A3753,nCURSO,DATOS!$D3753,nESPEC,DATOS!$E3753,nASIG,DATOS!$I3753,nEVAL,"EX")=0),0))))</f>
      </c>
      <c r="H3753">
        <f>IF(DATOS!$G3753&lt;&gt;"EX",0,--(COUNTIFS(nNIA,DATOS!$A3753,nCURSO,DATOS!$D3753,nESPEC,DATOS!$E3753,nASIG,DATOS!$I3753,nEVAL,"OR")=0))</f>
      </c>
      <c r="I3753">
        <f>IF(DATOS!$I3753="","",IFERROR(VLOOKUP(DATOS!$I3753,CONFIG_ASIGNATURAS!$B$2:$J$91,9,FALSE()),""))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IF(DATOS!$A3754="",0,IF(CONFIG_METADATA!$B$4&lt;&gt;"OR+EX",--(DATOS!$G3754=CONFIG_METADATA!$B$4),IF(DATOS!$G3754="EX",1,IF(DATOS!$G3754="OR",--(COUNTIFS(nNIA,DATOS!$A3754,nCURSO,DATOS!$D3754,nESPEC,DATOS!$E3754,nASIG,DATOS!$I3754,nEVAL,"EX")=0),0))))</f>
      </c>
      <c r="H3754">
        <f>IF(DATOS!$G3754&lt;&gt;"EX",0,--(COUNTIFS(nNIA,DATOS!$A3754,nCURSO,DATOS!$D3754,nESPEC,DATOS!$E3754,nASIG,DATOS!$I3754,nEVAL,"OR")=0))</f>
      </c>
      <c r="I3754">
        <f>IF(DATOS!$I3754="","",IFERROR(VLOOKUP(DATOS!$I3754,CONFIG_ASIGNATURAS!$B$2:$J$91,9,FALSE()),""))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IF(DATOS!$A3755="",0,IF(CONFIG_METADATA!$B$4&lt;&gt;"OR+EX",--(DATOS!$G3755=CONFIG_METADATA!$B$4),IF(DATOS!$G3755="EX",1,IF(DATOS!$G3755="OR",--(COUNTIFS(nNIA,DATOS!$A3755,nCURSO,DATOS!$D3755,nESPEC,DATOS!$E3755,nASIG,DATOS!$I3755,nEVAL,"EX")=0),0))))</f>
      </c>
      <c r="H3755">
        <f>IF(DATOS!$G3755&lt;&gt;"EX",0,--(COUNTIFS(nNIA,DATOS!$A3755,nCURSO,DATOS!$D3755,nESPEC,DATOS!$E3755,nASIG,DATOS!$I3755,nEVAL,"OR")=0))</f>
      </c>
      <c r="I3755">
        <f>IF(DATOS!$I3755="","",IFERROR(VLOOKUP(DATOS!$I3755,CONFIG_ASIGNATURAS!$B$2:$J$91,9,FALSE()),""))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IF(DATOS!$A3756="",0,IF(CONFIG_METADATA!$B$4&lt;&gt;"OR+EX",--(DATOS!$G3756=CONFIG_METADATA!$B$4),IF(DATOS!$G3756="EX",1,IF(DATOS!$G3756="OR",--(COUNTIFS(nNIA,DATOS!$A3756,nCURSO,DATOS!$D3756,nESPEC,DATOS!$E3756,nASIG,DATOS!$I3756,nEVAL,"EX")=0),0))))</f>
      </c>
      <c r="H3756">
        <f>IF(DATOS!$G3756&lt;&gt;"EX",0,--(COUNTIFS(nNIA,DATOS!$A3756,nCURSO,DATOS!$D3756,nESPEC,DATOS!$E3756,nASIG,DATOS!$I3756,nEVAL,"OR")=0))</f>
      </c>
      <c r="I3756">
        <f>IF(DATOS!$I3756="","",IFERROR(VLOOKUP(DATOS!$I3756,CONFIG_ASIGNATURAS!$B$2:$J$91,9,FALSE()),""))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IF(DATOS!$A3757="",0,IF(CONFIG_METADATA!$B$4&lt;&gt;"OR+EX",--(DATOS!$G3757=CONFIG_METADATA!$B$4),IF(DATOS!$G3757="EX",1,IF(DATOS!$G3757="OR",--(COUNTIFS(nNIA,DATOS!$A3757,nCURSO,DATOS!$D3757,nESPEC,DATOS!$E3757,nASIG,DATOS!$I3757,nEVAL,"EX")=0),0))))</f>
      </c>
      <c r="H3757">
        <f>IF(DATOS!$G3757&lt;&gt;"EX",0,--(COUNTIFS(nNIA,DATOS!$A3757,nCURSO,DATOS!$D3757,nESPEC,DATOS!$E3757,nASIG,DATOS!$I3757,nEVAL,"OR")=0))</f>
      </c>
      <c r="I3757">
        <f>IF(DATOS!$I3757="","",IFERROR(VLOOKUP(DATOS!$I3757,CONFIG_ASIGNATURAS!$B$2:$J$91,9,FALSE()),""))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IF(DATOS!$A3758="",0,IF(CONFIG_METADATA!$B$4&lt;&gt;"OR+EX",--(DATOS!$G3758=CONFIG_METADATA!$B$4),IF(DATOS!$G3758="EX",1,IF(DATOS!$G3758="OR",--(COUNTIFS(nNIA,DATOS!$A3758,nCURSO,DATOS!$D3758,nESPEC,DATOS!$E3758,nASIG,DATOS!$I3758,nEVAL,"EX")=0),0))))</f>
      </c>
      <c r="H3758">
        <f>IF(DATOS!$G3758&lt;&gt;"EX",0,--(COUNTIFS(nNIA,DATOS!$A3758,nCURSO,DATOS!$D3758,nESPEC,DATOS!$E3758,nASIG,DATOS!$I3758,nEVAL,"OR")=0))</f>
      </c>
      <c r="I3758">
        <f>IF(DATOS!$I3758="","",IFERROR(VLOOKUP(DATOS!$I3758,CONFIG_ASIGNATURAS!$B$2:$J$91,9,FALSE()),""))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IF(DATOS!$A3759="",0,IF(CONFIG_METADATA!$B$4&lt;&gt;"OR+EX",--(DATOS!$G3759=CONFIG_METADATA!$B$4),IF(DATOS!$G3759="EX",1,IF(DATOS!$G3759="OR",--(COUNTIFS(nNIA,DATOS!$A3759,nCURSO,DATOS!$D3759,nESPEC,DATOS!$E3759,nASIG,DATOS!$I3759,nEVAL,"EX")=0),0))))</f>
      </c>
      <c r="H3759">
        <f>IF(DATOS!$G3759&lt;&gt;"EX",0,--(COUNTIFS(nNIA,DATOS!$A3759,nCURSO,DATOS!$D3759,nESPEC,DATOS!$E3759,nASIG,DATOS!$I3759,nEVAL,"OR")=0))</f>
      </c>
      <c r="I3759">
        <f>IF(DATOS!$I3759="","",IFERROR(VLOOKUP(DATOS!$I3759,CONFIG_ASIGNATURAS!$B$2:$J$91,9,FALSE()),""))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IF(DATOS!$A3760="",0,IF(CONFIG_METADATA!$B$4&lt;&gt;"OR+EX",--(DATOS!$G3760=CONFIG_METADATA!$B$4),IF(DATOS!$G3760="EX",1,IF(DATOS!$G3760="OR",--(COUNTIFS(nNIA,DATOS!$A3760,nCURSO,DATOS!$D3760,nESPEC,DATOS!$E3760,nASIG,DATOS!$I3760,nEVAL,"EX")=0),0))))</f>
      </c>
      <c r="H3760">
        <f>IF(DATOS!$G3760&lt;&gt;"EX",0,--(COUNTIFS(nNIA,DATOS!$A3760,nCURSO,DATOS!$D3760,nESPEC,DATOS!$E3760,nASIG,DATOS!$I3760,nEVAL,"OR")=0))</f>
      </c>
      <c r="I3760">
        <f>IF(DATOS!$I3760="","",IFERROR(VLOOKUP(DATOS!$I3760,CONFIG_ASIGNATURAS!$B$2:$J$91,9,FALSE()),""))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IF(DATOS!$A3761="",0,IF(CONFIG_METADATA!$B$4&lt;&gt;"OR+EX",--(DATOS!$G3761=CONFIG_METADATA!$B$4),IF(DATOS!$G3761="EX",1,IF(DATOS!$G3761="OR",--(COUNTIFS(nNIA,DATOS!$A3761,nCURSO,DATOS!$D3761,nESPEC,DATOS!$E3761,nASIG,DATOS!$I3761,nEVAL,"EX")=0),0))))</f>
      </c>
      <c r="H3761">
        <f>IF(DATOS!$G3761&lt;&gt;"EX",0,--(COUNTIFS(nNIA,DATOS!$A3761,nCURSO,DATOS!$D3761,nESPEC,DATOS!$E3761,nASIG,DATOS!$I3761,nEVAL,"OR")=0))</f>
      </c>
      <c r="I3761">
        <f>IF(DATOS!$I3761="","",IFERROR(VLOOKUP(DATOS!$I3761,CONFIG_ASIGNATURAS!$B$2:$J$91,9,FALSE()),""))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IF(DATOS!$A3762="",0,IF(CONFIG_METADATA!$B$4&lt;&gt;"OR+EX",--(DATOS!$G3762=CONFIG_METADATA!$B$4),IF(DATOS!$G3762="EX",1,IF(DATOS!$G3762="OR",--(COUNTIFS(nNIA,DATOS!$A3762,nCURSO,DATOS!$D3762,nESPEC,DATOS!$E3762,nASIG,DATOS!$I3762,nEVAL,"EX")=0),0))))</f>
      </c>
      <c r="H3762">
        <f>IF(DATOS!$G3762&lt;&gt;"EX",0,--(COUNTIFS(nNIA,DATOS!$A3762,nCURSO,DATOS!$D3762,nESPEC,DATOS!$E3762,nASIG,DATOS!$I3762,nEVAL,"OR")=0))</f>
      </c>
      <c r="I3762">
        <f>IF(DATOS!$I3762="","",IFERROR(VLOOKUP(DATOS!$I3762,CONFIG_ASIGNATURAS!$B$2:$J$91,9,FALSE()),""))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IF(DATOS!$A3763="",0,IF(CONFIG_METADATA!$B$4&lt;&gt;"OR+EX",--(DATOS!$G3763=CONFIG_METADATA!$B$4),IF(DATOS!$G3763="EX",1,IF(DATOS!$G3763="OR",--(COUNTIFS(nNIA,DATOS!$A3763,nCURSO,DATOS!$D3763,nESPEC,DATOS!$E3763,nASIG,DATOS!$I3763,nEVAL,"EX")=0),0))))</f>
      </c>
      <c r="H3763">
        <f>IF(DATOS!$G3763&lt;&gt;"EX",0,--(COUNTIFS(nNIA,DATOS!$A3763,nCURSO,DATOS!$D3763,nESPEC,DATOS!$E3763,nASIG,DATOS!$I3763,nEVAL,"OR")=0))</f>
      </c>
      <c r="I3763">
        <f>IF(DATOS!$I3763="","",IFERROR(VLOOKUP(DATOS!$I3763,CONFIG_ASIGNATURAS!$B$2:$J$91,9,FALSE()),""))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IF(DATOS!$A3764="",0,IF(CONFIG_METADATA!$B$4&lt;&gt;"OR+EX",--(DATOS!$G3764=CONFIG_METADATA!$B$4),IF(DATOS!$G3764="EX",1,IF(DATOS!$G3764="OR",--(COUNTIFS(nNIA,DATOS!$A3764,nCURSO,DATOS!$D3764,nESPEC,DATOS!$E3764,nASIG,DATOS!$I3764,nEVAL,"EX")=0),0))))</f>
      </c>
      <c r="H3764">
        <f>IF(DATOS!$G3764&lt;&gt;"EX",0,--(COUNTIFS(nNIA,DATOS!$A3764,nCURSO,DATOS!$D3764,nESPEC,DATOS!$E3764,nASIG,DATOS!$I3764,nEVAL,"OR")=0))</f>
      </c>
      <c r="I3764">
        <f>IF(DATOS!$I3764="","",IFERROR(VLOOKUP(DATOS!$I3764,CONFIG_ASIGNATURAS!$B$2:$J$91,9,FALSE()),""))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IF(DATOS!$A3765="",0,IF(CONFIG_METADATA!$B$4&lt;&gt;"OR+EX",--(DATOS!$G3765=CONFIG_METADATA!$B$4),IF(DATOS!$G3765="EX",1,IF(DATOS!$G3765="OR",--(COUNTIFS(nNIA,DATOS!$A3765,nCURSO,DATOS!$D3765,nESPEC,DATOS!$E3765,nASIG,DATOS!$I3765,nEVAL,"EX")=0),0))))</f>
      </c>
      <c r="H3765">
        <f>IF(DATOS!$G3765&lt;&gt;"EX",0,--(COUNTIFS(nNIA,DATOS!$A3765,nCURSO,DATOS!$D3765,nESPEC,DATOS!$E3765,nASIG,DATOS!$I3765,nEVAL,"OR")=0))</f>
      </c>
      <c r="I3765">
        <f>IF(DATOS!$I3765="","",IFERROR(VLOOKUP(DATOS!$I3765,CONFIG_ASIGNATURAS!$B$2:$J$91,9,FALSE()),""))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IF(DATOS!$A3766="",0,IF(CONFIG_METADATA!$B$4&lt;&gt;"OR+EX",--(DATOS!$G3766=CONFIG_METADATA!$B$4),IF(DATOS!$G3766="EX",1,IF(DATOS!$G3766="OR",--(COUNTIFS(nNIA,DATOS!$A3766,nCURSO,DATOS!$D3766,nESPEC,DATOS!$E3766,nASIG,DATOS!$I3766,nEVAL,"EX")=0),0))))</f>
      </c>
      <c r="H3766">
        <f>IF(DATOS!$G3766&lt;&gt;"EX",0,--(COUNTIFS(nNIA,DATOS!$A3766,nCURSO,DATOS!$D3766,nESPEC,DATOS!$E3766,nASIG,DATOS!$I3766,nEVAL,"OR")=0))</f>
      </c>
      <c r="I3766">
        <f>IF(DATOS!$I3766="","",IFERROR(VLOOKUP(DATOS!$I3766,CONFIG_ASIGNATURAS!$B$2:$J$91,9,FALSE()),""))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IF(DATOS!$A3767="",0,IF(CONFIG_METADATA!$B$4&lt;&gt;"OR+EX",--(DATOS!$G3767=CONFIG_METADATA!$B$4),IF(DATOS!$G3767="EX",1,IF(DATOS!$G3767="OR",--(COUNTIFS(nNIA,DATOS!$A3767,nCURSO,DATOS!$D3767,nESPEC,DATOS!$E3767,nASIG,DATOS!$I3767,nEVAL,"EX")=0),0))))</f>
      </c>
      <c r="H3767">
        <f>IF(DATOS!$G3767&lt;&gt;"EX",0,--(COUNTIFS(nNIA,DATOS!$A3767,nCURSO,DATOS!$D3767,nESPEC,DATOS!$E3767,nASIG,DATOS!$I3767,nEVAL,"OR")=0))</f>
      </c>
      <c r="I3767">
        <f>IF(DATOS!$I3767="","",IFERROR(VLOOKUP(DATOS!$I3767,CONFIG_ASIGNATURAS!$B$2:$J$91,9,FALSE()),""))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IF(DATOS!$A3768="",0,IF(CONFIG_METADATA!$B$4&lt;&gt;"OR+EX",--(DATOS!$G3768=CONFIG_METADATA!$B$4),IF(DATOS!$G3768="EX",1,IF(DATOS!$G3768="OR",--(COUNTIFS(nNIA,DATOS!$A3768,nCURSO,DATOS!$D3768,nESPEC,DATOS!$E3768,nASIG,DATOS!$I3768,nEVAL,"EX")=0),0))))</f>
      </c>
      <c r="H3768">
        <f>IF(DATOS!$G3768&lt;&gt;"EX",0,--(COUNTIFS(nNIA,DATOS!$A3768,nCURSO,DATOS!$D3768,nESPEC,DATOS!$E3768,nASIG,DATOS!$I3768,nEVAL,"OR")=0))</f>
      </c>
      <c r="I3768">
        <f>IF(DATOS!$I3768="","",IFERROR(VLOOKUP(DATOS!$I3768,CONFIG_ASIGNATURAS!$B$2:$J$91,9,FALSE()),""))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IF(DATOS!$A3769="",0,IF(CONFIG_METADATA!$B$4&lt;&gt;"OR+EX",--(DATOS!$G3769=CONFIG_METADATA!$B$4),IF(DATOS!$G3769="EX",1,IF(DATOS!$G3769="OR",--(COUNTIFS(nNIA,DATOS!$A3769,nCURSO,DATOS!$D3769,nESPEC,DATOS!$E3769,nASIG,DATOS!$I3769,nEVAL,"EX")=0),0))))</f>
      </c>
      <c r="H3769">
        <f>IF(DATOS!$G3769&lt;&gt;"EX",0,--(COUNTIFS(nNIA,DATOS!$A3769,nCURSO,DATOS!$D3769,nESPEC,DATOS!$E3769,nASIG,DATOS!$I3769,nEVAL,"OR")=0))</f>
      </c>
      <c r="I3769">
        <f>IF(DATOS!$I3769="","",IFERROR(VLOOKUP(DATOS!$I3769,CONFIG_ASIGNATURAS!$B$2:$J$91,9,FALSE()),""))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IF(DATOS!$A3770="",0,IF(CONFIG_METADATA!$B$4&lt;&gt;"OR+EX",--(DATOS!$G3770=CONFIG_METADATA!$B$4),IF(DATOS!$G3770="EX",1,IF(DATOS!$G3770="OR",--(COUNTIFS(nNIA,DATOS!$A3770,nCURSO,DATOS!$D3770,nESPEC,DATOS!$E3770,nASIG,DATOS!$I3770,nEVAL,"EX")=0),0))))</f>
      </c>
      <c r="H3770">
        <f>IF(DATOS!$G3770&lt;&gt;"EX",0,--(COUNTIFS(nNIA,DATOS!$A3770,nCURSO,DATOS!$D3770,nESPEC,DATOS!$E3770,nASIG,DATOS!$I3770,nEVAL,"OR")=0))</f>
      </c>
      <c r="I3770">
        <f>IF(DATOS!$I3770="","",IFERROR(VLOOKUP(DATOS!$I3770,CONFIG_ASIGNATURAS!$B$2:$J$91,9,FALSE()),""))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IF(DATOS!$A3771="",0,IF(CONFIG_METADATA!$B$4&lt;&gt;"OR+EX",--(DATOS!$G3771=CONFIG_METADATA!$B$4),IF(DATOS!$G3771="EX",1,IF(DATOS!$G3771="OR",--(COUNTIFS(nNIA,DATOS!$A3771,nCURSO,DATOS!$D3771,nESPEC,DATOS!$E3771,nASIG,DATOS!$I3771,nEVAL,"EX")=0),0))))</f>
      </c>
      <c r="H3771">
        <f>IF(DATOS!$G3771&lt;&gt;"EX",0,--(COUNTIFS(nNIA,DATOS!$A3771,nCURSO,DATOS!$D3771,nESPEC,DATOS!$E3771,nASIG,DATOS!$I3771,nEVAL,"OR")=0))</f>
      </c>
      <c r="I3771">
        <f>IF(DATOS!$I3771="","",IFERROR(VLOOKUP(DATOS!$I3771,CONFIG_ASIGNATURAS!$B$2:$J$91,9,FALSE()),""))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IF(DATOS!$A3772="",0,IF(CONFIG_METADATA!$B$4&lt;&gt;"OR+EX",--(DATOS!$G3772=CONFIG_METADATA!$B$4),IF(DATOS!$G3772="EX",1,IF(DATOS!$G3772="OR",--(COUNTIFS(nNIA,DATOS!$A3772,nCURSO,DATOS!$D3772,nESPEC,DATOS!$E3772,nASIG,DATOS!$I3772,nEVAL,"EX")=0),0))))</f>
      </c>
      <c r="H3772">
        <f>IF(DATOS!$G3772&lt;&gt;"EX",0,--(COUNTIFS(nNIA,DATOS!$A3772,nCURSO,DATOS!$D3772,nESPEC,DATOS!$E3772,nASIG,DATOS!$I3772,nEVAL,"OR")=0))</f>
      </c>
      <c r="I3772">
        <f>IF(DATOS!$I3772="","",IFERROR(VLOOKUP(DATOS!$I3772,CONFIG_ASIGNATURAS!$B$2:$J$91,9,FALSE()),""))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IF(DATOS!$A3773="",0,IF(CONFIG_METADATA!$B$4&lt;&gt;"OR+EX",--(DATOS!$G3773=CONFIG_METADATA!$B$4),IF(DATOS!$G3773="EX",1,IF(DATOS!$G3773="OR",--(COUNTIFS(nNIA,DATOS!$A3773,nCURSO,DATOS!$D3773,nESPEC,DATOS!$E3773,nASIG,DATOS!$I3773,nEVAL,"EX")=0),0))))</f>
      </c>
      <c r="H3773">
        <f>IF(DATOS!$G3773&lt;&gt;"EX",0,--(COUNTIFS(nNIA,DATOS!$A3773,nCURSO,DATOS!$D3773,nESPEC,DATOS!$E3773,nASIG,DATOS!$I3773,nEVAL,"OR")=0))</f>
      </c>
      <c r="I3773">
        <f>IF(DATOS!$I3773="","",IFERROR(VLOOKUP(DATOS!$I3773,CONFIG_ASIGNATURAS!$B$2:$J$91,9,FALSE()),""))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IF(DATOS!$A3774="",0,IF(CONFIG_METADATA!$B$4&lt;&gt;"OR+EX",--(DATOS!$G3774=CONFIG_METADATA!$B$4),IF(DATOS!$G3774="EX",1,IF(DATOS!$G3774="OR",--(COUNTIFS(nNIA,DATOS!$A3774,nCURSO,DATOS!$D3774,nESPEC,DATOS!$E3774,nASIG,DATOS!$I3774,nEVAL,"EX")=0),0))))</f>
      </c>
      <c r="H3774">
        <f>IF(DATOS!$G3774&lt;&gt;"EX",0,--(COUNTIFS(nNIA,DATOS!$A3774,nCURSO,DATOS!$D3774,nESPEC,DATOS!$E3774,nASIG,DATOS!$I3774,nEVAL,"OR")=0))</f>
      </c>
      <c r="I3774">
        <f>IF(DATOS!$I3774="","",IFERROR(VLOOKUP(DATOS!$I3774,CONFIG_ASIGNATURAS!$B$2:$J$91,9,FALSE()),""))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IF(DATOS!$A3775="",0,IF(CONFIG_METADATA!$B$4&lt;&gt;"OR+EX",--(DATOS!$G3775=CONFIG_METADATA!$B$4),IF(DATOS!$G3775="EX",1,IF(DATOS!$G3775="OR",--(COUNTIFS(nNIA,DATOS!$A3775,nCURSO,DATOS!$D3775,nESPEC,DATOS!$E3775,nASIG,DATOS!$I3775,nEVAL,"EX")=0),0))))</f>
      </c>
      <c r="H3775">
        <f>IF(DATOS!$G3775&lt;&gt;"EX",0,--(COUNTIFS(nNIA,DATOS!$A3775,nCURSO,DATOS!$D3775,nESPEC,DATOS!$E3775,nASIG,DATOS!$I3775,nEVAL,"OR")=0))</f>
      </c>
      <c r="I3775">
        <f>IF(DATOS!$I3775="","",IFERROR(VLOOKUP(DATOS!$I3775,CONFIG_ASIGNATURAS!$B$2:$J$91,9,FALSE()),""))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IF(DATOS!$A3776="",0,IF(CONFIG_METADATA!$B$4&lt;&gt;"OR+EX",--(DATOS!$G3776=CONFIG_METADATA!$B$4),IF(DATOS!$G3776="EX",1,IF(DATOS!$G3776="OR",--(COUNTIFS(nNIA,DATOS!$A3776,nCURSO,DATOS!$D3776,nESPEC,DATOS!$E3776,nASIG,DATOS!$I3776,nEVAL,"EX")=0),0))))</f>
      </c>
      <c r="H3776">
        <f>IF(DATOS!$G3776&lt;&gt;"EX",0,--(COUNTIFS(nNIA,DATOS!$A3776,nCURSO,DATOS!$D3776,nESPEC,DATOS!$E3776,nASIG,DATOS!$I3776,nEVAL,"OR")=0))</f>
      </c>
      <c r="I3776">
        <f>IF(DATOS!$I3776="","",IFERROR(VLOOKUP(DATOS!$I3776,CONFIG_ASIGNATURAS!$B$2:$J$91,9,FALSE()),""))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IF(DATOS!$A3777="",0,IF(CONFIG_METADATA!$B$4&lt;&gt;"OR+EX",--(DATOS!$G3777=CONFIG_METADATA!$B$4),IF(DATOS!$G3777="EX",1,IF(DATOS!$G3777="OR",--(COUNTIFS(nNIA,DATOS!$A3777,nCURSO,DATOS!$D3777,nESPEC,DATOS!$E3777,nASIG,DATOS!$I3777,nEVAL,"EX")=0),0))))</f>
      </c>
      <c r="H3777">
        <f>IF(DATOS!$G3777&lt;&gt;"EX",0,--(COUNTIFS(nNIA,DATOS!$A3777,nCURSO,DATOS!$D3777,nESPEC,DATOS!$E3777,nASIG,DATOS!$I3777,nEVAL,"OR")=0))</f>
      </c>
      <c r="I3777">
        <f>IF(DATOS!$I3777="","",IFERROR(VLOOKUP(DATOS!$I3777,CONFIG_ASIGNATURAS!$B$2:$J$91,9,FALSE()),""))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IF(DATOS!$A3778="",0,IF(CONFIG_METADATA!$B$4&lt;&gt;"OR+EX",--(DATOS!$G3778=CONFIG_METADATA!$B$4),IF(DATOS!$G3778="EX",1,IF(DATOS!$G3778="OR",--(COUNTIFS(nNIA,DATOS!$A3778,nCURSO,DATOS!$D3778,nESPEC,DATOS!$E3778,nASIG,DATOS!$I3778,nEVAL,"EX")=0),0))))</f>
      </c>
      <c r="H3778">
        <f>IF(DATOS!$G3778&lt;&gt;"EX",0,--(COUNTIFS(nNIA,DATOS!$A3778,nCURSO,DATOS!$D3778,nESPEC,DATOS!$E3778,nASIG,DATOS!$I3778,nEVAL,"OR")=0))</f>
      </c>
      <c r="I3778">
        <f>IF(DATOS!$I3778="","",IFERROR(VLOOKUP(DATOS!$I3778,CONFIG_ASIGNATURAS!$B$2:$J$91,9,FALSE()),""))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IF(DATOS!$A3779="",0,IF(CONFIG_METADATA!$B$4&lt;&gt;"OR+EX",--(DATOS!$G3779=CONFIG_METADATA!$B$4),IF(DATOS!$G3779="EX",1,IF(DATOS!$G3779="OR",--(COUNTIFS(nNIA,DATOS!$A3779,nCURSO,DATOS!$D3779,nESPEC,DATOS!$E3779,nASIG,DATOS!$I3779,nEVAL,"EX")=0),0))))</f>
      </c>
      <c r="H3779">
        <f>IF(DATOS!$G3779&lt;&gt;"EX",0,--(COUNTIFS(nNIA,DATOS!$A3779,nCURSO,DATOS!$D3779,nESPEC,DATOS!$E3779,nASIG,DATOS!$I3779,nEVAL,"OR")=0))</f>
      </c>
      <c r="I3779">
        <f>IF(DATOS!$I3779="","",IFERROR(VLOOKUP(DATOS!$I3779,CONFIG_ASIGNATURAS!$B$2:$J$91,9,FALSE()),""))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IF(DATOS!$A3780="",0,IF(CONFIG_METADATA!$B$4&lt;&gt;"OR+EX",--(DATOS!$G3780=CONFIG_METADATA!$B$4),IF(DATOS!$G3780="EX",1,IF(DATOS!$G3780="OR",--(COUNTIFS(nNIA,DATOS!$A3780,nCURSO,DATOS!$D3780,nESPEC,DATOS!$E3780,nASIG,DATOS!$I3780,nEVAL,"EX")=0),0))))</f>
      </c>
      <c r="H3780">
        <f>IF(DATOS!$G3780&lt;&gt;"EX",0,--(COUNTIFS(nNIA,DATOS!$A3780,nCURSO,DATOS!$D3780,nESPEC,DATOS!$E3780,nASIG,DATOS!$I3780,nEVAL,"OR")=0))</f>
      </c>
      <c r="I3780">
        <f>IF(DATOS!$I3780="","",IFERROR(VLOOKUP(DATOS!$I3780,CONFIG_ASIGNATURAS!$B$2:$J$91,9,FALSE()),""))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IF(DATOS!$A3781="",0,IF(CONFIG_METADATA!$B$4&lt;&gt;"OR+EX",--(DATOS!$G3781=CONFIG_METADATA!$B$4),IF(DATOS!$G3781="EX",1,IF(DATOS!$G3781="OR",--(COUNTIFS(nNIA,DATOS!$A3781,nCURSO,DATOS!$D3781,nESPEC,DATOS!$E3781,nASIG,DATOS!$I3781,nEVAL,"EX")=0),0))))</f>
      </c>
      <c r="H3781">
        <f>IF(DATOS!$G3781&lt;&gt;"EX",0,--(COUNTIFS(nNIA,DATOS!$A3781,nCURSO,DATOS!$D3781,nESPEC,DATOS!$E3781,nASIG,DATOS!$I3781,nEVAL,"OR")=0))</f>
      </c>
      <c r="I3781">
        <f>IF(DATOS!$I3781="","",IFERROR(VLOOKUP(DATOS!$I3781,CONFIG_ASIGNATURAS!$B$2:$J$91,9,FALSE()),""))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IF(DATOS!$A3782="",0,IF(CONFIG_METADATA!$B$4&lt;&gt;"OR+EX",--(DATOS!$G3782=CONFIG_METADATA!$B$4),IF(DATOS!$G3782="EX",1,IF(DATOS!$G3782="OR",--(COUNTIFS(nNIA,DATOS!$A3782,nCURSO,DATOS!$D3782,nESPEC,DATOS!$E3782,nASIG,DATOS!$I3782,nEVAL,"EX")=0),0))))</f>
      </c>
      <c r="H3782">
        <f>IF(DATOS!$G3782&lt;&gt;"EX",0,--(COUNTIFS(nNIA,DATOS!$A3782,nCURSO,DATOS!$D3782,nESPEC,DATOS!$E3782,nASIG,DATOS!$I3782,nEVAL,"OR")=0))</f>
      </c>
      <c r="I3782">
        <f>IF(DATOS!$I3782="","",IFERROR(VLOOKUP(DATOS!$I3782,CONFIG_ASIGNATURAS!$B$2:$J$91,9,FALSE()),""))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IF(DATOS!$A3783="",0,IF(CONFIG_METADATA!$B$4&lt;&gt;"OR+EX",--(DATOS!$G3783=CONFIG_METADATA!$B$4),IF(DATOS!$G3783="EX",1,IF(DATOS!$G3783="OR",--(COUNTIFS(nNIA,DATOS!$A3783,nCURSO,DATOS!$D3783,nESPEC,DATOS!$E3783,nASIG,DATOS!$I3783,nEVAL,"EX")=0),0))))</f>
      </c>
      <c r="H3783">
        <f>IF(DATOS!$G3783&lt;&gt;"EX",0,--(COUNTIFS(nNIA,DATOS!$A3783,nCURSO,DATOS!$D3783,nESPEC,DATOS!$E3783,nASIG,DATOS!$I3783,nEVAL,"OR")=0))</f>
      </c>
      <c r="I3783">
        <f>IF(DATOS!$I3783="","",IFERROR(VLOOKUP(DATOS!$I3783,CONFIG_ASIGNATURAS!$B$2:$J$91,9,FALSE()),""))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IF(DATOS!$A3784="",0,IF(CONFIG_METADATA!$B$4&lt;&gt;"OR+EX",--(DATOS!$G3784=CONFIG_METADATA!$B$4),IF(DATOS!$G3784="EX",1,IF(DATOS!$G3784="OR",--(COUNTIFS(nNIA,DATOS!$A3784,nCURSO,DATOS!$D3784,nESPEC,DATOS!$E3784,nASIG,DATOS!$I3784,nEVAL,"EX")=0),0))))</f>
      </c>
      <c r="H3784">
        <f>IF(DATOS!$G3784&lt;&gt;"EX",0,--(COUNTIFS(nNIA,DATOS!$A3784,nCURSO,DATOS!$D3784,nESPEC,DATOS!$E3784,nASIG,DATOS!$I3784,nEVAL,"OR")=0))</f>
      </c>
      <c r="I3784">
        <f>IF(DATOS!$I3784="","",IFERROR(VLOOKUP(DATOS!$I3784,CONFIG_ASIGNATURAS!$B$2:$J$91,9,FALSE()),""))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IF(DATOS!$A3785="",0,IF(CONFIG_METADATA!$B$4&lt;&gt;"OR+EX",--(DATOS!$G3785=CONFIG_METADATA!$B$4),IF(DATOS!$G3785="EX",1,IF(DATOS!$G3785="OR",--(COUNTIFS(nNIA,DATOS!$A3785,nCURSO,DATOS!$D3785,nESPEC,DATOS!$E3785,nASIG,DATOS!$I3785,nEVAL,"EX")=0),0))))</f>
      </c>
      <c r="H3785">
        <f>IF(DATOS!$G3785&lt;&gt;"EX",0,--(COUNTIFS(nNIA,DATOS!$A3785,nCURSO,DATOS!$D3785,nESPEC,DATOS!$E3785,nASIG,DATOS!$I3785,nEVAL,"OR")=0))</f>
      </c>
      <c r="I3785">
        <f>IF(DATOS!$I3785="","",IFERROR(VLOOKUP(DATOS!$I3785,CONFIG_ASIGNATURAS!$B$2:$J$91,9,FALSE()),""))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IF(DATOS!$A3786="",0,IF(CONFIG_METADATA!$B$4&lt;&gt;"OR+EX",--(DATOS!$G3786=CONFIG_METADATA!$B$4),IF(DATOS!$G3786="EX",1,IF(DATOS!$G3786="OR",--(COUNTIFS(nNIA,DATOS!$A3786,nCURSO,DATOS!$D3786,nESPEC,DATOS!$E3786,nASIG,DATOS!$I3786,nEVAL,"EX")=0),0))))</f>
      </c>
      <c r="H3786">
        <f>IF(DATOS!$G3786&lt;&gt;"EX",0,--(COUNTIFS(nNIA,DATOS!$A3786,nCURSO,DATOS!$D3786,nESPEC,DATOS!$E3786,nASIG,DATOS!$I3786,nEVAL,"OR")=0))</f>
      </c>
      <c r="I3786">
        <f>IF(DATOS!$I3786="","",IFERROR(VLOOKUP(DATOS!$I3786,CONFIG_ASIGNATURAS!$B$2:$J$91,9,FALSE()),""))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IF(DATOS!$A3787="",0,IF(CONFIG_METADATA!$B$4&lt;&gt;"OR+EX",--(DATOS!$G3787=CONFIG_METADATA!$B$4),IF(DATOS!$G3787="EX",1,IF(DATOS!$G3787="OR",--(COUNTIFS(nNIA,DATOS!$A3787,nCURSO,DATOS!$D3787,nESPEC,DATOS!$E3787,nASIG,DATOS!$I3787,nEVAL,"EX")=0),0))))</f>
      </c>
      <c r="H3787">
        <f>IF(DATOS!$G3787&lt;&gt;"EX",0,--(COUNTIFS(nNIA,DATOS!$A3787,nCURSO,DATOS!$D3787,nESPEC,DATOS!$E3787,nASIG,DATOS!$I3787,nEVAL,"OR")=0))</f>
      </c>
      <c r="I3787">
        <f>IF(DATOS!$I3787="","",IFERROR(VLOOKUP(DATOS!$I3787,CONFIG_ASIGNATURAS!$B$2:$J$91,9,FALSE()),""))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IF(DATOS!$A3788="",0,IF(CONFIG_METADATA!$B$4&lt;&gt;"OR+EX",--(DATOS!$G3788=CONFIG_METADATA!$B$4),IF(DATOS!$G3788="EX",1,IF(DATOS!$G3788="OR",--(COUNTIFS(nNIA,DATOS!$A3788,nCURSO,DATOS!$D3788,nESPEC,DATOS!$E3788,nASIG,DATOS!$I3788,nEVAL,"EX")=0),0))))</f>
      </c>
      <c r="H3788">
        <f>IF(DATOS!$G3788&lt;&gt;"EX",0,--(COUNTIFS(nNIA,DATOS!$A3788,nCURSO,DATOS!$D3788,nESPEC,DATOS!$E3788,nASIG,DATOS!$I3788,nEVAL,"OR")=0))</f>
      </c>
      <c r="I3788">
        <f>IF(DATOS!$I3788="","",IFERROR(VLOOKUP(DATOS!$I3788,CONFIG_ASIGNATURAS!$B$2:$J$91,9,FALSE()),""))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IF(DATOS!$A3789="",0,IF(CONFIG_METADATA!$B$4&lt;&gt;"OR+EX",--(DATOS!$G3789=CONFIG_METADATA!$B$4),IF(DATOS!$G3789="EX",1,IF(DATOS!$G3789="OR",--(COUNTIFS(nNIA,DATOS!$A3789,nCURSO,DATOS!$D3789,nESPEC,DATOS!$E3789,nASIG,DATOS!$I3789,nEVAL,"EX")=0),0))))</f>
      </c>
      <c r="H3789">
        <f>IF(DATOS!$G3789&lt;&gt;"EX",0,--(COUNTIFS(nNIA,DATOS!$A3789,nCURSO,DATOS!$D3789,nESPEC,DATOS!$E3789,nASIG,DATOS!$I3789,nEVAL,"OR")=0))</f>
      </c>
      <c r="I3789">
        <f>IF(DATOS!$I3789="","",IFERROR(VLOOKUP(DATOS!$I3789,CONFIG_ASIGNATURAS!$B$2:$J$91,9,FALSE()),""))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IF(DATOS!$A3790="",0,IF(CONFIG_METADATA!$B$4&lt;&gt;"OR+EX",--(DATOS!$G3790=CONFIG_METADATA!$B$4),IF(DATOS!$G3790="EX",1,IF(DATOS!$G3790="OR",--(COUNTIFS(nNIA,DATOS!$A3790,nCURSO,DATOS!$D3790,nESPEC,DATOS!$E3790,nASIG,DATOS!$I3790,nEVAL,"EX")=0),0))))</f>
      </c>
      <c r="H3790">
        <f>IF(DATOS!$G3790&lt;&gt;"EX",0,--(COUNTIFS(nNIA,DATOS!$A3790,nCURSO,DATOS!$D3790,nESPEC,DATOS!$E3790,nASIG,DATOS!$I3790,nEVAL,"OR")=0))</f>
      </c>
      <c r="I3790">
        <f>IF(DATOS!$I3790="","",IFERROR(VLOOKUP(DATOS!$I3790,CONFIG_ASIGNATURAS!$B$2:$J$91,9,FALSE()),""))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IF(DATOS!$A3791="",0,IF(CONFIG_METADATA!$B$4&lt;&gt;"OR+EX",--(DATOS!$G3791=CONFIG_METADATA!$B$4),IF(DATOS!$G3791="EX",1,IF(DATOS!$G3791="OR",--(COUNTIFS(nNIA,DATOS!$A3791,nCURSO,DATOS!$D3791,nESPEC,DATOS!$E3791,nASIG,DATOS!$I3791,nEVAL,"EX")=0),0))))</f>
      </c>
      <c r="H3791">
        <f>IF(DATOS!$G3791&lt;&gt;"EX",0,--(COUNTIFS(nNIA,DATOS!$A3791,nCURSO,DATOS!$D3791,nESPEC,DATOS!$E3791,nASIG,DATOS!$I3791,nEVAL,"OR")=0))</f>
      </c>
      <c r="I3791">
        <f>IF(DATOS!$I3791="","",IFERROR(VLOOKUP(DATOS!$I3791,CONFIG_ASIGNATURAS!$B$2:$J$91,9,FALSE()),""))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IF(DATOS!$A3792="",0,IF(CONFIG_METADATA!$B$4&lt;&gt;"OR+EX",--(DATOS!$G3792=CONFIG_METADATA!$B$4),IF(DATOS!$G3792="EX",1,IF(DATOS!$G3792="OR",--(COUNTIFS(nNIA,DATOS!$A3792,nCURSO,DATOS!$D3792,nESPEC,DATOS!$E3792,nASIG,DATOS!$I3792,nEVAL,"EX")=0),0))))</f>
      </c>
      <c r="H3792">
        <f>IF(DATOS!$G3792&lt;&gt;"EX",0,--(COUNTIFS(nNIA,DATOS!$A3792,nCURSO,DATOS!$D3792,nESPEC,DATOS!$E3792,nASIG,DATOS!$I3792,nEVAL,"OR")=0))</f>
      </c>
      <c r="I3792">
        <f>IF(DATOS!$I3792="","",IFERROR(VLOOKUP(DATOS!$I3792,CONFIG_ASIGNATURAS!$B$2:$J$91,9,FALSE()),""))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IF(DATOS!$A3793="",0,IF(CONFIG_METADATA!$B$4&lt;&gt;"OR+EX",--(DATOS!$G3793=CONFIG_METADATA!$B$4),IF(DATOS!$G3793="EX",1,IF(DATOS!$G3793="OR",--(COUNTIFS(nNIA,DATOS!$A3793,nCURSO,DATOS!$D3793,nESPEC,DATOS!$E3793,nASIG,DATOS!$I3793,nEVAL,"EX")=0),0))))</f>
      </c>
      <c r="H3793">
        <f>IF(DATOS!$G3793&lt;&gt;"EX",0,--(COUNTIFS(nNIA,DATOS!$A3793,nCURSO,DATOS!$D3793,nESPEC,DATOS!$E3793,nASIG,DATOS!$I3793,nEVAL,"OR")=0))</f>
      </c>
      <c r="I3793">
        <f>IF(DATOS!$I3793="","",IFERROR(VLOOKUP(DATOS!$I3793,CONFIG_ASIGNATURAS!$B$2:$J$91,9,FALSE()),""))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IF(DATOS!$A3794="",0,IF(CONFIG_METADATA!$B$4&lt;&gt;"OR+EX",--(DATOS!$G3794=CONFIG_METADATA!$B$4),IF(DATOS!$G3794="EX",1,IF(DATOS!$G3794="OR",--(COUNTIFS(nNIA,DATOS!$A3794,nCURSO,DATOS!$D3794,nESPEC,DATOS!$E3794,nASIG,DATOS!$I3794,nEVAL,"EX")=0),0))))</f>
      </c>
      <c r="H3794">
        <f>IF(DATOS!$G3794&lt;&gt;"EX",0,--(COUNTIFS(nNIA,DATOS!$A3794,nCURSO,DATOS!$D3794,nESPEC,DATOS!$E3794,nASIG,DATOS!$I3794,nEVAL,"OR")=0))</f>
      </c>
      <c r="I3794">
        <f>IF(DATOS!$I3794="","",IFERROR(VLOOKUP(DATOS!$I3794,CONFIG_ASIGNATURAS!$B$2:$J$91,9,FALSE()),""))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IF(DATOS!$A3795="",0,IF(CONFIG_METADATA!$B$4&lt;&gt;"OR+EX",--(DATOS!$G3795=CONFIG_METADATA!$B$4),IF(DATOS!$G3795="EX",1,IF(DATOS!$G3795="OR",--(COUNTIFS(nNIA,DATOS!$A3795,nCURSO,DATOS!$D3795,nESPEC,DATOS!$E3795,nASIG,DATOS!$I3795,nEVAL,"EX")=0),0))))</f>
      </c>
      <c r="H3795">
        <f>IF(DATOS!$G3795&lt;&gt;"EX",0,--(COUNTIFS(nNIA,DATOS!$A3795,nCURSO,DATOS!$D3795,nESPEC,DATOS!$E3795,nASIG,DATOS!$I3795,nEVAL,"OR")=0))</f>
      </c>
      <c r="I3795">
        <f>IF(DATOS!$I3795="","",IFERROR(VLOOKUP(DATOS!$I3795,CONFIG_ASIGNATURAS!$B$2:$J$91,9,FALSE()),""))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IF(DATOS!$A3796="",0,IF(CONFIG_METADATA!$B$4&lt;&gt;"OR+EX",--(DATOS!$G3796=CONFIG_METADATA!$B$4),IF(DATOS!$G3796="EX",1,IF(DATOS!$G3796="OR",--(COUNTIFS(nNIA,DATOS!$A3796,nCURSO,DATOS!$D3796,nESPEC,DATOS!$E3796,nASIG,DATOS!$I3796,nEVAL,"EX")=0),0))))</f>
      </c>
      <c r="H3796">
        <f>IF(DATOS!$G3796&lt;&gt;"EX",0,--(COUNTIFS(nNIA,DATOS!$A3796,nCURSO,DATOS!$D3796,nESPEC,DATOS!$E3796,nASIG,DATOS!$I3796,nEVAL,"OR")=0))</f>
      </c>
      <c r="I3796">
        <f>IF(DATOS!$I3796="","",IFERROR(VLOOKUP(DATOS!$I3796,CONFIG_ASIGNATURAS!$B$2:$J$91,9,FALSE()),""))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IF(DATOS!$A3797="",0,IF(CONFIG_METADATA!$B$4&lt;&gt;"OR+EX",--(DATOS!$G3797=CONFIG_METADATA!$B$4),IF(DATOS!$G3797="EX",1,IF(DATOS!$G3797="OR",--(COUNTIFS(nNIA,DATOS!$A3797,nCURSO,DATOS!$D3797,nESPEC,DATOS!$E3797,nASIG,DATOS!$I3797,nEVAL,"EX")=0),0))))</f>
      </c>
      <c r="H3797">
        <f>IF(DATOS!$G3797&lt;&gt;"EX",0,--(COUNTIFS(nNIA,DATOS!$A3797,nCURSO,DATOS!$D3797,nESPEC,DATOS!$E3797,nASIG,DATOS!$I3797,nEVAL,"OR")=0))</f>
      </c>
      <c r="I3797">
        <f>IF(DATOS!$I3797="","",IFERROR(VLOOKUP(DATOS!$I3797,CONFIG_ASIGNATURAS!$B$2:$J$91,9,FALSE()),""))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IF(DATOS!$A3798="",0,IF(CONFIG_METADATA!$B$4&lt;&gt;"OR+EX",--(DATOS!$G3798=CONFIG_METADATA!$B$4),IF(DATOS!$G3798="EX",1,IF(DATOS!$G3798="OR",--(COUNTIFS(nNIA,DATOS!$A3798,nCURSO,DATOS!$D3798,nESPEC,DATOS!$E3798,nASIG,DATOS!$I3798,nEVAL,"EX")=0),0))))</f>
      </c>
      <c r="H3798">
        <f>IF(DATOS!$G3798&lt;&gt;"EX",0,--(COUNTIFS(nNIA,DATOS!$A3798,nCURSO,DATOS!$D3798,nESPEC,DATOS!$E3798,nASIG,DATOS!$I3798,nEVAL,"OR")=0))</f>
      </c>
      <c r="I3798">
        <f>IF(DATOS!$I3798="","",IFERROR(VLOOKUP(DATOS!$I3798,CONFIG_ASIGNATURAS!$B$2:$J$91,9,FALSE()),""))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IF(DATOS!$A3799="",0,IF(CONFIG_METADATA!$B$4&lt;&gt;"OR+EX",--(DATOS!$G3799=CONFIG_METADATA!$B$4),IF(DATOS!$G3799="EX",1,IF(DATOS!$G3799="OR",--(COUNTIFS(nNIA,DATOS!$A3799,nCURSO,DATOS!$D3799,nESPEC,DATOS!$E3799,nASIG,DATOS!$I3799,nEVAL,"EX")=0),0))))</f>
      </c>
      <c r="H3799">
        <f>IF(DATOS!$G3799&lt;&gt;"EX",0,--(COUNTIFS(nNIA,DATOS!$A3799,nCURSO,DATOS!$D3799,nESPEC,DATOS!$E3799,nASIG,DATOS!$I3799,nEVAL,"OR")=0))</f>
      </c>
      <c r="I3799">
        <f>IF(DATOS!$I3799="","",IFERROR(VLOOKUP(DATOS!$I3799,CONFIG_ASIGNATURAS!$B$2:$J$91,9,FALSE()),""))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IF(DATOS!$A3800="",0,IF(CONFIG_METADATA!$B$4&lt;&gt;"OR+EX",--(DATOS!$G3800=CONFIG_METADATA!$B$4),IF(DATOS!$G3800="EX",1,IF(DATOS!$G3800="OR",--(COUNTIFS(nNIA,DATOS!$A3800,nCURSO,DATOS!$D3800,nESPEC,DATOS!$E3800,nASIG,DATOS!$I3800,nEVAL,"EX")=0),0))))</f>
      </c>
      <c r="H3800">
        <f>IF(DATOS!$G3800&lt;&gt;"EX",0,--(COUNTIFS(nNIA,DATOS!$A3800,nCURSO,DATOS!$D3800,nESPEC,DATOS!$E3800,nASIG,DATOS!$I3800,nEVAL,"OR")=0))</f>
      </c>
      <c r="I3800">
        <f>IF(DATOS!$I3800="","",IFERROR(VLOOKUP(DATOS!$I3800,CONFIG_ASIGNATURAS!$B$2:$J$91,9,FALSE()),""))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IF(DATOS!$A3801="",0,IF(CONFIG_METADATA!$B$4&lt;&gt;"OR+EX",--(DATOS!$G3801=CONFIG_METADATA!$B$4),IF(DATOS!$G3801="EX",1,IF(DATOS!$G3801="OR",--(COUNTIFS(nNIA,DATOS!$A3801,nCURSO,DATOS!$D3801,nESPEC,DATOS!$E3801,nASIG,DATOS!$I3801,nEVAL,"EX")=0),0))))</f>
      </c>
      <c r="H3801">
        <f>IF(DATOS!$G3801&lt;&gt;"EX",0,--(COUNTIFS(nNIA,DATOS!$A3801,nCURSO,DATOS!$D3801,nESPEC,DATOS!$E3801,nASIG,DATOS!$I3801,nEVAL,"OR")=0))</f>
      </c>
      <c r="I3801">
        <f>IF(DATOS!$I3801="","",IFERROR(VLOOKUP(DATOS!$I3801,CONFIG_ASIGNATURAS!$B$2:$J$91,9,FALSE()),""))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IF(DATOS!$A3802="",0,IF(CONFIG_METADATA!$B$4&lt;&gt;"OR+EX",--(DATOS!$G3802=CONFIG_METADATA!$B$4),IF(DATOS!$G3802="EX",1,IF(DATOS!$G3802="OR",--(COUNTIFS(nNIA,DATOS!$A3802,nCURSO,DATOS!$D3802,nESPEC,DATOS!$E3802,nASIG,DATOS!$I3802,nEVAL,"EX")=0),0))))</f>
      </c>
      <c r="H3802">
        <f>IF(DATOS!$G3802&lt;&gt;"EX",0,--(COUNTIFS(nNIA,DATOS!$A3802,nCURSO,DATOS!$D3802,nESPEC,DATOS!$E3802,nASIG,DATOS!$I3802,nEVAL,"OR")=0))</f>
      </c>
      <c r="I3802">
        <f>IF(DATOS!$I3802="","",IFERROR(VLOOKUP(DATOS!$I3802,CONFIG_ASIGNATURAS!$B$2:$J$91,9,FALSE()),""))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IF(DATOS!$A3803="",0,IF(CONFIG_METADATA!$B$4&lt;&gt;"OR+EX",--(DATOS!$G3803=CONFIG_METADATA!$B$4),IF(DATOS!$G3803="EX",1,IF(DATOS!$G3803="OR",--(COUNTIFS(nNIA,DATOS!$A3803,nCURSO,DATOS!$D3803,nESPEC,DATOS!$E3803,nASIG,DATOS!$I3803,nEVAL,"EX")=0),0))))</f>
      </c>
      <c r="H3803">
        <f>IF(DATOS!$G3803&lt;&gt;"EX",0,--(COUNTIFS(nNIA,DATOS!$A3803,nCURSO,DATOS!$D3803,nESPEC,DATOS!$E3803,nASIG,DATOS!$I3803,nEVAL,"OR")=0))</f>
      </c>
      <c r="I3803">
        <f>IF(DATOS!$I3803="","",IFERROR(VLOOKUP(DATOS!$I3803,CONFIG_ASIGNATURAS!$B$2:$J$91,9,FALSE()),""))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IF(DATOS!$A3804="",0,IF(CONFIG_METADATA!$B$4&lt;&gt;"OR+EX",--(DATOS!$G3804=CONFIG_METADATA!$B$4),IF(DATOS!$G3804="EX",1,IF(DATOS!$G3804="OR",--(COUNTIFS(nNIA,DATOS!$A3804,nCURSO,DATOS!$D3804,nESPEC,DATOS!$E3804,nASIG,DATOS!$I3804,nEVAL,"EX")=0),0))))</f>
      </c>
      <c r="H3804">
        <f>IF(DATOS!$G3804&lt;&gt;"EX",0,--(COUNTIFS(nNIA,DATOS!$A3804,nCURSO,DATOS!$D3804,nESPEC,DATOS!$E3804,nASIG,DATOS!$I3804,nEVAL,"OR")=0))</f>
      </c>
      <c r="I3804">
        <f>IF(DATOS!$I3804="","",IFERROR(VLOOKUP(DATOS!$I3804,CONFIG_ASIGNATURAS!$B$2:$J$91,9,FALSE()),""))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IF(DATOS!$A3805="",0,IF(CONFIG_METADATA!$B$4&lt;&gt;"OR+EX",--(DATOS!$G3805=CONFIG_METADATA!$B$4),IF(DATOS!$G3805="EX",1,IF(DATOS!$G3805="OR",--(COUNTIFS(nNIA,DATOS!$A3805,nCURSO,DATOS!$D3805,nESPEC,DATOS!$E3805,nASIG,DATOS!$I3805,nEVAL,"EX")=0),0))))</f>
      </c>
      <c r="H3805">
        <f>IF(DATOS!$G3805&lt;&gt;"EX",0,--(COUNTIFS(nNIA,DATOS!$A3805,nCURSO,DATOS!$D3805,nESPEC,DATOS!$E3805,nASIG,DATOS!$I3805,nEVAL,"OR")=0))</f>
      </c>
      <c r="I3805">
        <f>IF(DATOS!$I3805="","",IFERROR(VLOOKUP(DATOS!$I3805,CONFIG_ASIGNATURAS!$B$2:$J$91,9,FALSE()),""))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IF(DATOS!$A3806="",0,IF(CONFIG_METADATA!$B$4&lt;&gt;"OR+EX",--(DATOS!$G3806=CONFIG_METADATA!$B$4),IF(DATOS!$G3806="EX",1,IF(DATOS!$G3806="OR",--(COUNTIFS(nNIA,DATOS!$A3806,nCURSO,DATOS!$D3806,nESPEC,DATOS!$E3806,nASIG,DATOS!$I3806,nEVAL,"EX")=0),0))))</f>
      </c>
      <c r="H3806">
        <f>IF(DATOS!$G3806&lt;&gt;"EX",0,--(COUNTIFS(nNIA,DATOS!$A3806,nCURSO,DATOS!$D3806,nESPEC,DATOS!$E3806,nASIG,DATOS!$I3806,nEVAL,"OR")=0))</f>
      </c>
      <c r="I3806">
        <f>IF(DATOS!$I3806="","",IFERROR(VLOOKUP(DATOS!$I3806,CONFIG_ASIGNATURAS!$B$2:$J$91,9,FALSE()),""))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IF(DATOS!$A3807="",0,IF(CONFIG_METADATA!$B$4&lt;&gt;"OR+EX",--(DATOS!$G3807=CONFIG_METADATA!$B$4),IF(DATOS!$G3807="EX",1,IF(DATOS!$G3807="OR",--(COUNTIFS(nNIA,DATOS!$A3807,nCURSO,DATOS!$D3807,nESPEC,DATOS!$E3807,nASIG,DATOS!$I3807,nEVAL,"EX")=0),0))))</f>
      </c>
      <c r="H3807">
        <f>IF(DATOS!$G3807&lt;&gt;"EX",0,--(COUNTIFS(nNIA,DATOS!$A3807,nCURSO,DATOS!$D3807,nESPEC,DATOS!$E3807,nASIG,DATOS!$I3807,nEVAL,"OR")=0))</f>
      </c>
      <c r="I3807">
        <f>IF(DATOS!$I3807="","",IFERROR(VLOOKUP(DATOS!$I3807,CONFIG_ASIGNATURAS!$B$2:$J$91,9,FALSE()),""))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IF(DATOS!$A3808="",0,IF(CONFIG_METADATA!$B$4&lt;&gt;"OR+EX",--(DATOS!$G3808=CONFIG_METADATA!$B$4),IF(DATOS!$G3808="EX",1,IF(DATOS!$G3808="OR",--(COUNTIFS(nNIA,DATOS!$A3808,nCURSO,DATOS!$D3808,nESPEC,DATOS!$E3808,nASIG,DATOS!$I3808,nEVAL,"EX")=0),0))))</f>
      </c>
      <c r="H3808">
        <f>IF(DATOS!$G3808&lt;&gt;"EX",0,--(COUNTIFS(nNIA,DATOS!$A3808,nCURSO,DATOS!$D3808,nESPEC,DATOS!$E3808,nASIG,DATOS!$I3808,nEVAL,"OR")=0))</f>
      </c>
      <c r="I3808">
        <f>IF(DATOS!$I3808="","",IFERROR(VLOOKUP(DATOS!$I3808,CONFIG_ASIGNATURAS!$B$2:$J$91,9,FALSE()),""))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IF(DATOS!$A3809="",0,IF(CONFIG_METADATA!$B$4&lt;&gt;"OR+EX",--(DATOS!$G3809=CONFIG_METADATA!$B$4),IF(DATOS!$G3809="EX",1,IF(DATOS!$G3809="OR",--(COUNTIFS(nNIA,DATOS!$A3809,nCURSO,DATOS!$D3809,nESPEC,DATOS!$E3809,nASIG,DATOS!$I3809,nEVAL,"EX")=0),0))))</f>
      </c>
      <c r="H3809">
        <f>IF(DATOS!$G3809&lt;&gt;"EX",0,--(COUNTIFS(nNIA,DATOS!$A3809,nCURSO,DATOS!$D3809,nESPEC,DATOS!$E3809,nASIG,DATOS!$I3809,nEVAL,"OR")=0))</f>
      </c>
      <c r="I3809">
        <f>IF(DATOS!$I3809="","",IFERROR(VLOOKUP(DATOS!$I3809,CONFIG_ASIGNATURAS!$B$2:$J$91,9,FALSE()),""))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IF(DATOS!$A3810="",0,IF(CONFIG_METADATA!$B$4&lt;&gt;"OR+EX",--(DATOS!$G3810=CONFIG_METADATA!$B$4),IF(DATOS!$G3810="EX",1,IF(DATOS!$G3810="OR",--(COUNTIFS(nNIA,DATOS!$A3810,nCURSO,DATOS!$D3810,nESPEC,DATOS!$E3810,nASIG,DATOS!$I3810,nEVAL,"EX")=0),0))))</f>
      </c>
      <c r="H3810">
        <f>IF(DATOS!$G3810&lt;&gt;"EX",0,--(COUNTIFS(nNIA,DATOS!$A3810,nCURSO,DATOS!$D3810,nESPEC,DATOS!$E3810,nASIG,DATOS!$I3810,nEVAL,"OR")=0))</f>
      </c>
      <c r="I3810">
        <f>IF(DATOS!$I3810="","",IFERROR(VLOOKUP(DATOS!$I3810,CONFIG_ASIGNATURAS!$B$2:$J$91,9,FALSE()),""))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IF(DATOS!$A3811="",0,IF(CONFIG_METADATA!$B$4&lt;&gt;"OR+EX",--(DATOS!$G3811=CONFIG_METADATA!$B$4),IF(DATOS!$G3811="EX",1,IF(DATOS!$G3811="OR",--(COUNTIFS(nNIA,DATOS!$A3811,nCURSO,DATOS!$D3811,nESPEC,DATOS!$E3811,nASIG,DATOS!$I3811,nEVAL,"EX")=0),0))))</f>
      </c>
      <c r="H3811">
        <f>IF(DATOS!$G3811&lt;&gt;"EX",0,--(COUNTIFS(nNIA,DATOS!$A3811,nCURSO,DATOS!$D3811,nESPEC,DATOS!$E3811,nASIG,DATOS!$I3811,nEVAL,"OR")=0))</f>
      </c>
      <c r="I3811">
        <f>IF(DATOS!$I3811="","",IFERROR(VLOOKUP(DATOS!$I3811,CONFIG_ASIGNATURAS!$B$2:$J$91,9,FALSE()),""))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IF(DATOS!$A3812="",0,IF(CONFIG_METADATA!$B$4&lt;&gt;"OR+EX",--(DATOS!$G3812=CONFIG_METADATA!$B$4),IF(DATOS!$G3812="EX",1,IF(DATOS!$G3812="OR",--(COUNTIFS(nNIA,DATOS!$A3812,nCURSO,DATOS!$D3812,nESPEC,DATOS!$E3812,nASIG,DATOS!$I3812,nEVAL,"EX")=0),0))))</f>
      </c>
      <c r="H3812">
        <f>IF(DATOS!$G3812&lt;&gt;"EX",0,--(COUNTIFS(nNIA,DATOS!$A3812,nCURSO,DATOS!$D3812,nESPEC,DATOS!$E3812,nASIG,DATOS!$I3812,nEVAL,"OR")=0))</f>
      </c>
      <c r="I3812">
        <f>IF(DATOS!$I3812="","",IFERROR(VLOOKUP(DATOS!$I3812,CONFIG_ASIGNATURAS!$B$2:$J$91,9,FALSE()),""))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IF(DATOS!$A3813="",0,IF(CONFIG_METADATA!$B$4&lt;&gt;"OR+EX",--(DATOS!$G3813=CONFIG_METADATA!$B$4),IF(DATOS!$G3813="EX",1,IF(DATOS!$G3813="OR",--(COUNTIFS(nNIA,DATOS!$A3813,nCURSO,DATOS!$D3813,nESPEC,DATOS!$E3813,nASIG,DATOS!$I3813,nEVAL,"EX")=0),0))))</f>
      </c>
      <c r="H3813">
        <f>IF(DATOS!$G3813&lt;&gt;"EX",0,--(COUNTIFS(nNIA,DATOS!$A3813,nCURSO,DATOS!$D3813,nESPEC,DATOS!$E3813,nASIG,DATOS!$I3813,nEVAL,"OR")=0))</f>
      </c>
      <c r="I3813">
        <f>IF(DATOS!$I3813="","",IFERROR(VLOOKUP(DATOS!$I3813,CONFIG_ASIGNATURAS!$B$2:$J$91,9,FALSE()),""))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IF(DATOS!$A3814="",0,IF(CONFIG_METADATA!$B$4&lt;&gt;"OR+EX",--(DATOS!$G3814=CONFIG_METADATA!$B$4),IF(DATOS!$G3814="EX",1,IF(DATOS!$G3814="OR",--(COUNTIFS(nNIA,DATOS!$A3814,nCURSO,DATOS!$D3814,nESPEC,DATOS!$E3814,nASIG,DATOS!$I3814,nEVAL,"EX")=0),0))))</f>
      </c>
      <c r="H3814">
        <f>IF(DATOS!$G3814&lt;&gt;"EX",0,--(COUNTIFS(nNIA,DATOS!$A3814,nCURSO,DATOS!$D3814,nESPEC,DATOS!$E3814,nASIG,DATOS!$I3814,nEVAL,"OR")=0))</f>
      </c>
      <c r="I3814">
        <f>IF(DATOS!$I3814="","",IFERROR(VLOOKUP(DATOS!$I3814,CONFIG_ASIGNATURAS!$B$2:$J$91,9,FALSE()),""))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IF(DATOS!$A3815="",0,IF(CONFIG_METADATA!$B$4&lt;&gt;"OR+EX",--(DATOS!$G3815=CONFIG_METADATA!$B$4),IF(DATOS!$G3815="EX",1,IF(DATOS!$G3815="OR",--(COUNTIFS(nNIA,DATOS!$A3815,nCURSO,DATOS!$D3815,nESPEC,DATOS!$E3815,nASIG,DATOS!$I3815,nEVAL,"EX")=0),0))))</f>
      </c>
      <c r="H3815">
        <f>IF(DATOS!$G3815&lt;&gt;"EX",0,--(COUNTIFS(nNIA,DATOS!$A3815,nCURSO,DATOS!$D3815,nESPEC,DATOS!$E3815,nASIG,DATOS!$I3815,nEVAL,"OR")=0))</f>
      </c>
      <c r="I3815">
        <f>IF(DATOS!$I3815="","",IFERROR(VLOOKUP(DATOS!$I3815,CONFIG_ASIGNATURAS!$B$2:$J$91,9,FALSE()),""))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IF(DATOS!$A3816="",0,IF(CONFIG_METADATA!$B$4&lt;&gt;"OR+EX",--(DATOS!$G3816=CONFIG_METADATA!$B$4),IF(DATOS!$G3816="EX",1,IF(DATOS!$G3816="OR",--(COUNTIFS(nNIA,DATOS!$A3816,nCURSO,DATOS!$D3816,nESPEC,DATOS!$E3816,nASIG,DATOS!$I3816,nEVAL,"EX")=0),0))))</f>
      </c>
      <c r="H3816">
        <f>IF(DATOS!$G3816&lt;&gt;"EX",0,--(COUNTIFS(nNIA,DATOS!$A3816,nCURSO,DATOS!$D3816,nESPEC,DATOS!$E3816,nASIG,DATOS!$I3816,nEVAL,"OR")=0))</f>
      </c>
      <c r="I3816">
        <f>IF(DATOS!$I3816="","",IFERROR(VLOOKUP(DATOS!$I3816,CONFIG_ASIGNATURAS!$B$2:$J$91,9,FALSE()),""))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IF(DATOS!$A3817="",0,IF(CONFIG_METADATA!$B$4&lt;&gt;"OR+EX",--(DATOS!$G3817=CONFIG_METADATA!$B$4),IF(DATOS!$G3817="EX",1,IF(DATOS!$G3817="OR",--(COUNTIFS(nNIA,DATOS!$A3817,nCURSO,DATOS!$D3817,nESPEC,DATOS!$E3817,nASIG,DATOS!$I3817,nEVAL,"EX")=0),0))))</f>
      </c>
      <c r="H3817">
        <f>IF(DATOS!$G3817&lt;&gt;"EX",0,--(COUNTIFS(nNIA,DATOS!$A3817,nCURSO,DATOS!$D3817,nESPEC,DATOS!$E3817,nASIG,DATOS!$I3817,nEVAL,"OR")=0))</f>
      </c>
      <c r="I3817">
        <f>IF(DATOS!$I3817="","",IFERROR(VLOOKUP(DATOS!$I3817,CONFIG_ASIGNATURAS!$B$2:$J$91,9,FALSE()),""))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IF(DATOS!$A3818="",0,IF(CONFIG_METADATA!$B$4&lt;&gt;"OR+EX",--(DATOS!$G3818=CONFIG_METADATA!$B$4),IF(DATOS!$G3818="EX",1,IF(DATOS!$G3818="OR",--(COUNTIFS(nNIA,DATOS!$A3818,nCURSO,DATOS!$D3818,nESPEC,DATOS!$E3818,nASIG,DATOS!$I3818,nEVAL,"EX")=0),0))))</f>
      </c>
      <c r="H3818">
        <f>IF(DATOS!$G3818&lt;&gt;"EX",0,--(COUNTIFS(nNIA,DATOS!$A3818,nCURSO,DATOS!$D3818,nESPEC,DATOS!$E3818,nASIG,DATOS!$I3818,nEVAL,"OR")=0))</f>
      </c>
      <c r="I3818">
        <f>IF(DATOS!$I3818="","",IFERROR(VLOOKUP(DATOS!$I3818,CONFIG_ASIGNATURAS!$B$2:$J$91,9,FALSE()),""))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IF(DATOS!$A3819="",0,IF(CONFIG_METADATA!$B$4&lt;&gt;"OR+EX",--(DATOS!$G3819=CONFIG_METADATA!$B$4),IF(DATOS!$G3819="EX",1,IF(DATOS!$G3819="OR",--(COUNTIFS(nNIA,DATOS!$A3819,nCURSO,DATOS!$D3819,nESPEC,DATOS!$E3819,nASIG,DATOS!$I3819,nEVAL,"EX")=0),0))))</f>
      </c>
      <c r="H3819">
        <f>IF(DATOS!$G3819&lt;&gt;"EX",0,--(COUNTIFS(nNIA,DATOS!$A3819,nCURSO,DATOS!$D3819,nESPEC,DATOS!$E3819,nASIG,DATOS!$I3819,nEVAL,"OR")=0))</f>
      </c>
      <c r="I3819">
        <f>IF(DATOS!$I3819="","",IFERROR(VLOOKUP(DATOS!$I3819,CONFIG_ASIGNATURAS!$B$2:$J$91,9,FALSE()),""))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IF(DATOS!$A3820="",0,IF(CONFIG_METADATA!$B$4&lt;&gt;"OR+EX",--(DATOS!$G3820=CONFIG_METADATA!$B$4),IF(DATOS!$G3820="EX",1,IF(DATOS!$G3820="OR",--(COUNTIFS(nNIA,DATOS!$A3820,nCURSO,DATOS!$D3820,nESPEC,DATOS!$E3820,nASIG,DATOS!$I3820,nEVAL,"EX")=0),0))))</f>
      </c>
      <c r="H3820">
        <f>IF(DATOS!$G3820&lt;&gt;"EX",0,--(COUNTIFS(nNIA,DATOS!$A3820,nCURSO,DATOS!$D3820,nESPEC,DATOS!$E3820,nASIG,DATOS!$I3820,nEVAL,"OR")=0))</f>
      </c>
      <c r="I3820">
        <f>IF(DATOS!$I3820="","",IFERROR(VLOOKUP(DATOS!$I3820,CONFIG_ASIGNATURAS!$B$2:$J$91,9,FALSE()),""))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IF(DATOS!$A3821="",0,IF(CONFIG_METADATA!$B$4&lt;&gt;"OR+EX",--(DATOS!$G3821=CONFIG_METADATA!$B$4),IF(DATOS!$G3821="EX",1,IF(DATOS!$G3821="OR",--(COUNTIFS(nNIA,DATOS!$A3821,nCURSO,DATOS!$D3821,nESPEC,DATOS!$E3821,nASIG,DATOS!$I3821,nEVAL,"EX")=0),0))))</f>
      </c>
      <c r="H3821">
        <f>IF(DATOS!$G3821&lt;&gt;"EX",0,--(COUNTIFS(nNIA,DATOS!$A3821,nCURSO,DATOS!$D3821,nESPEC,DATOS!$E3821,nASIG,DATOS!$I3821,nEVAL,"OR")=0))</f>
      </c>
      <c r="I3821">
        <f>IF(DATOS!$I3821="","",IFERROR(VLOOKUP(DATOS!$I3821,CONFIG_ASIGNATURAS!$B$2:$J$91,9,FALSE()),""))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IF(DATOS!$A3822="",0,IF(CONFIG_METADATA!$B$4&lt;&gt;"OR+EX",--(DATOS!$G3822=CONFIG_METADATA!$B$4),IF(DATOS!$G3822="EX",1,IF(DATOS!$G3822="OR",--(COUNTIFS(nNIA,DATOS!$A3822,nCURSO,DATOS!$D3822,nESPEC,DATOS!$E3822,nASIG,DATOS!$I3822,nEVAL,"EX")=0),0))))</f>
      </c>
      <c r="H3822">
        <f>IF(DATOS!$G3822&lt;&gt;"EX",0,--(COUNTIFS(nNIA,DATOS!$A3822,nCURSO,DATOS!$D3822,nESPEC,DATOS!$E3822,nASIG,DATOS!$I3822,nEVAL,"OR")=0))</f>
      </c>
      <c r="I3822">
        <f>IF(DATOS!$I3822="","",IFERROR(VLOOKUP(DATOS!$I3822,CONFIG_ASIGNATURAS!$B$2:$J$91,9,FALSE()),""))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IF(DATOS!$A3823="",0,IF(CONFIG_METADATA!$B$4&lt;&gt;"OR+EX",--(DATOS!$G3823=CONFIG_METADATA!$B$4),IF(DATOS!$G3823="EX",1,IF(DATOS!$G3823="OR",--(COUNTIFS(nNIA,DATOS!$A3823,nCURSO,DATOS!$D3823,nESPEC,DATOS!$E3823,nASIG,DATOS!$I3823,nEVAL,"EX")=0),0))))</f>
      </c>
      <c r="H3823">
        <f>IF(DATOS!$G3823&lt;&gt;"EX",0,--(COUNTIFS(nNIA,DATOS!$A3823,nCURSO,DATOS!$D3823,nESPEC,DATOS!$E3823,nASIG,DATOS!$I3823,nEVAL,"OR")=0))</f>
      </c>
      <c r="I3823">
        <f>IF(DATOS!$I3823="","",IFERROR(VLOOKUP(DATOS!$I3823,CONFIG_ASIGNATURAS!$B$2:$J$91,9,FALSE()),""))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IF(DATOS!$A3824="",0,IF(CONFIG_METADATA!$B$4&lt;&gt;"OR+EX",--(DATOS!$G3824=CONFIG_METADATA!$B$4),IF(DATOS!$G3824="EX",1,IF(DATOS!$G3824="OR",--(COUNTIFS(nNIA,DATOS!$A3824,nCURSO,DATOS!$D3824,nESPEC,DATOS!$E3824,nASIG,DATOS!$I3824,nEVAL,"EX")=0),0))))</f>
      </c>
      <c r="H3824">
        <f>IF(DATOS!$G3824&lt;&gt;"EX",0,--(COUNTIFS(nNIA,DATOS!$A3824,nCURSO,DATOS!$D3824,nESPEC,DATOS!$E3824,nASIG,DATOS!$I3824,nEVAL,"OR")=0))</f>
      </c>
      <c r="I3824">
        <f>IF(DATOS!$I3824="","",IFERROR(VLOOKUP(DATOS!$I3824,CONFIG_ASIGNATURAS!$B$2:$J$91,9,FALSE()),""))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IF(DATOS!$A3825="",0,IF(CONFIG_METADATA!$B$4&lt;&gt;"OR+EX",--(DATOS!$G3825=CONFIG_METADATA!$B$4),IF(DATOS!$G3825="EX",1,IF(DATOS!$G3825="OR",--(COUNTIFS(nNIA,DATOS!$A3825,nCURSO,DATOS!$D3825,nESPEC,DATOS!$E3825,nASIG,DATOS!$I3825,nEVAL,"EX")=0),0))))</f>
      </c>
      <c r="H3825">
        <f>IF(DATOS!$G3825&lt;&gt;"EX",0,--(COUNTIFS(nNIA,DATOS!$A3825,nCURSO,DATOS!$D3825,nESPEC,DATOS!$E3825,nASIG,DATOS!$I3825,nEVAL,"OR")=0))</f>
      </c>
      <c r="I3825">
        <f>IF(DATOS!$I3825="","",IFERROR(VLOOKUP(DATOS!$I3825,CONFIG_ASIGNATURAS!$B$2:$J$91,9,FALSE()),""))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IF(DATOS!$A3826="",0,IF(CONFIG_METADATA!$B$4&lt;&gt;"OR+EX",--(DATOS!$G3826=CONFIG_METADATA!$B$4),IF(DATOS!$G3826="EX",1,IF(DATOS!$G3826="OR",--(COUNTIFS(nNIA,DATOS!$A3826,nCURSO,DATOS!$D3826,nESPEC,DATOS!$E3826,nASIG,DATOS!$I3826,nEVAL,"EX")=0),0))))</f>
      </c>
      <c r="H3826">
        <f>IF(DATOS!$G3826&lt;&gt;"EX",0,--(COUNTIFS(nNIA,DATOS!$A3826,nCURSO,DATOS!$D3826,nESPEC,DATOS!$E3826,nASIG,DATOS!$I3826,nEVAL,"OR")=0))</f>
      </c>
      <c r="I3826">
        <f>IF(DATOS!$I3826="","",IFERROR(VLOOKUP(DATOS!$I3826,CONFIG_ASIGNATURAS!$B$2:$J$91,9,FALSE()),""))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IF(DATOS!$A3827="",0,IF(CONFIG_METADATA!$B$4&lt;&gt;"OR+EX",--(DATOS!$G3827=CONFIG_METADATA!$B$4),IF(DATOS!$G3827="EX",1,IF(DATOS!$G3827="OR",--(COUNTIFS(nNIA,DATOS!$A3827,nCURSO,DATOS!$D3827,nESPEC,DATOS!$E3827,nASIG,DATOS!$I3827,nEVAL,"EX")=0),0))))</f>
      </c>
      <c r="H3827">
        <f>IF(DATOS!$G3827&lt;&gt;"EX",0,--(COUNTIFS(nNIA,DATOS!$A3827,nCURSO,DATOS!$D3827,nESPEC,DATOS!$E3827,nASIG,DATOS!$I3827,nEVAL,"OR")=0))</f>
      </c>
      <c r="I3827">
        <f>IF(DATOS!$I3827="","",IFERROR(VLOOKUP(DATOS!$I3827,CONFIG_ASIGNATURAS!$B$2:$J$91,9,FALSE()),""))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IF(DATOS!$A3828="",0,IF(CONFIG_METADATA!$B$4&lt;&gt;"OR+EX",--(DATOS!$G3828=CONFIG_METADATA!$B$4),IF(DATOS!$G3828="EX",1,IF(DATOS!$G3828="OR",--(COUNTIFS(nNIA,DATOS!$A3828,nCURSO,DATOS!$D3828,nESPEC,DATOS!$E3828,nASIG,DATOS!$I3828,nEVAL,"EX")=0),0))))</f>
      </c>
      <c r="H3828">
        <f>IF(DATOS!$G3828&lt;&gt;"EX",0,--(COUNTIFS(nNIA,DATOS!$A3828,nCURSO,DATOS!$D3828,nESPEC,DATOS!$E3828,nASIG,DATOS!$I3828,nEVAL,"OR")=0))</f>
      </c>
      <c r="I3828">
        <f>IF(DATOS!$I3828="","",IFERROR(VLOOKUP(DATOS!$I3828,CONFIG_ASIGNATURAS!$B$2:$J$91,9,FALSE()),""))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IF(DATOS!$A3829="",0,IF(CONFIG_METADATA!$B$4&lt;&gt;"OR+EX",--(DATOS!$G3829=CONFIG_METADATA!$B$4),IF(DATOS!$G3829="EX",1,IF(DATOS!$G3829="OR",--(COUNTIFS(nNIA,DATOS!$A3829,nCURSO,DATOS!$D3829,nESPEC,DATOS!$E3829,nASIG,DATOS!$I3829,nEVAL,"EX")=0),0))))</f>
      </c>
      <c r="H3829">
        <f>IF(DATOS!$G3829&lt;&gt;"EX",0,--(COUNTIFS(nNIA,DATOS!$A3829,nCURSO,DATOS!$D3829,nESPEC,DATOS!$E3829,nASIG,DATOS!$I3829,nEVAL,"OR")=0))</f>
      </c>
      <c r="I3829">
        <f>IF(DATOS!$I3829="","",IFERROR(VLOOKUP(DATOS!$I3829,CONFIG_ASIGNATURAS!$B$2:$J$91,9,FALSE()),""))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IF(DATOS!$A3830="",0,IF(CONFIG_METADATA!$B$4&lt;&gt;"OR+EX",--(DATOS!$G3830=CONFIG_METADATA!$B$4),IF(DATOS!$G3830="EX",1,IF(DATOS!$G3830="OR",--(COUNTIFS(nNIA,DATOS!$A3830,nCURSO,DATOS!$D3830,nESPEC,DATOS!$E3830,nASIG,DATOS!$I3830,nEVAL,"EX")=0),0))))</f>
      </c>
      <c r="H3830">
        <f>IF(DATOS!$G3830&lt;&gt;"EX",0,--(COUNTIFS(nNIA,DATOS!$A3830,nCURSO,DATOS!$D3830,nESPEC,DATOS!$E3830,nASIG,DATOS!$I3830,nEVAL,"OR")=0))</f>
      </c>
      <c r="I3830">
        <f>IF(DATOS!$I3830="","",IFERROR(VLOOKUP(DATOS!$I3830,CONFIG_ASIGNATURAS!$B$2:$J$91,9,FALSE()),""))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IF(DATOS!$A3831="",0,IF(CONFIG_METADATA!$B$4&lt;&gt;"OR+EX",--(DATOS!$G3831=CONFIG_METADATA!$B$4),IF(DATOS!$G3831="EX",1,IF(DATOS!$G3831="OR",--(COUNTIFS(nNIA,DATOS!$A3831,nCURSO,DATOS!$D3831,nESPEC,DATOS!$E3831,nASIG,DATOS!$I3831,nEVAL,"EX")=0),0))))</f>
      </c>
      <c r="H3831">
        <f>IF(DATOS!$G3831&lt;&gt;"EX",0,--(COUNTIFS(nNIA,DATOS!$A3831,nCURSO,DATOS!$D3831,nESPEC,DATOS!$E3831,nASIG,DATOS!$I3831,nEVAL,"OR")=0))</f>
      </c>
      <c r="I3831">
        <f>IF(DATOS!$I3831="","",IFERROR(VLOOKUP(DATOS!$I3831,CONFIG_ASIGNATURAS!$B$2:$J$91,9,FALSE()),""))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IF(DATOS!$A3832="",0,IF(CONFIG_METADATA!$B$4&lt;&gt;"OR+EX",--(DATOS!$G3832=CONFIG_METADATA!$B$4),IF(DATOS!$G3832="EX",1,IF(DATOS!$G3832="OR",--(COUNTIFS(nNIA,DATOS!$A3832,nCURSO,DATOS!$D3832,nESPEC,DATOS!$E3832,nASIG,DATOS!$I3832,nEVAL,"EX")=0),0))))</f>
      </c>
      <c r="H3832">
        <f>IF(DATOS!$G3832&lt;&gt;"EX",0,--(COUNTIFS(nNIA,DATOS!$A3832,nCURSO,DATOS!$D3832,nESPEC,DATOS!$E3832,nASIG,DATOS!$I3832,nEVAL,"OR")=0))</f>
      </c>
      <c r="I3832">
        <f>IF(DATOS!$I3832="","",IFERROR(VLOOKUP(DATOS!$I3832,CONFIG_ASIGNATURAS!$B$2:$J$91,9,FALSE()),""))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IF(DATOS!$A3833="",0,IF(CONFIG_METADATA!$B$4&lt;&gt;"OR+EX",--(DATOS!$G3833=CONFIG_METADATA!$B$4),IF(DATOS!$G3833="EX",1,IF(DATOS!$G3833="OR",--(COUNTIFS(nNIA,DATOS!$A3833,nCURSO,DATOS!$D3833,nESPEC,DATOS!$E3833,nASIG,DATOS!$I3833,nEVAL,"EX")=0),0))))</f>
      </c>
      <c r="H3833">
        <f>IF(DATOS!$G3833&lt;&gt;"EX",0,--(COUNTIFS(nNIA,DATOS!$A3833,nCURSO,DATOS!$D3833,nESPEC,DATOS!$E3833,nASIG,DATOS!$I3833,nEVAL,"OR")=0))</f>
      </c>
      <c r="I3833">
        <f>IF(DATOS!$I3833="","",IFERROR(VLOOKUP(DATOS!$I3833,CONFIG_ASIGNATURAS!$B$2:$J$91,9,FALSE()),""))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IF(DATOS!$A3834="",0,IF(CONFIG_METADATA!$B$4&lt;&gt;"OR+EX",--(DATOS!$G3834=CONFIG_METADATA!$B$4),IF(DATOS!$G3834="EX",1,IF(DATOS!$G3834="OR",--(COUNTIFS(nNIA,DATOS!$A3834,nCURSO,DATOS!$D3834,nESPEC,DATOS!$E3834,nASIG,DATOS!$I3834,nEVAL,"EX")=0),0))))</f>
      </c>
      <c r="H3834">
        <f>IF(DATOS!$G3834&lt;&gt;"EX",0,--(COUNTIFS(nNIA,DATOS!$A3834,nCURSO,DATOS!$D3834,nESPEC,DATOS!$E3834,nASIG,DATOS!$I3834,nEVAL,"OR")=0))</f>
      </c>
      <c r="I3834">
        <f>IF(DATOS!$I3834="","",IFERROR(VLOOKUP(DATOS!$I3834,CONFIG_ASIGNATURAS!$B$2:$J$91,9,FALSE()),""))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IF(DATOS!$A3835="",0,IF(CONFIG_METADATA!$B$4&lt;&gt;"OR+EX",--(DATOS!$G3835=CONFIG_METADATA!$B$4),IF(DATOS!$G3835="EX",1,IF(DATOS!$G3835="OR",--(COUNTIFS(nNIA,DATOS!$A3835,nCURSO,DATOS!$D3835,nESPEC,DATOS!$E3835,nASIG,DATOS!$I3835,nEVAL,"EX")=0),0))))</f>
      </c>
      <c r="H3835">
        <f>IF(DATOS!$G3835&lt;&gt;"EX",0,--(COUNTIFS(nNIA,DATOS!$A3835,nCURSO,DATOS!$D3835,nESPEC,DATOS!$E3835,nASIG,DATOS!$I3835,nEVAL,"OR")=0))</f>
      </c>
      <c r="I3835">
        <f>IF(DATOS!$I3835="","",IFERROR(VLOOKUP(DATOS!$I3835,CONFIG_ASIGNATURAS!$B$2:$J$91,9,FALSE()),""))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IF(DATOS!$A3836="",0,IF(CONFIG_METADATA!$B$4&lt;&gt;"OR+EX",--(DATOS!$G3836=CONFIG_METADATA!$B$4),IF(DATOS!$G3836="EX",1,IF(DATOS!$G3836="OR",--(COUNTIFS(nNIA,DATOS!$A3836,nCURSO,DATOS!$D3836,nESPEC,DATOS!$E3836,nASIG,DATOS!$I3836,nEVAL,"EX")=0),0))))</f>
      </c>
      <c r="H3836">
        <f>IF(DATOS!$G3836&lt;&gt;"EX",0,--(COUNTIFS(nNIA,DATOS!$A3836,nCURSO,DATOS!$D3836,nESPEC,DATOS!$E3836,nASIG,DATOS!$I3836,nEVAL,"OR")=0))</f>
      </c>
      <c r="I3836">
        <f>IF(DATOS!$I3836="","",IFERROR(VLOOKUP(DATOS!$I3836,CONFIG_ASIGNATURAS!$B$2:$J$91,9,FALSE()),""))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IF(DATOS!$A3837="",0,IF(CONFIG_METADATA!$B$4&lt;&gt;"OR+EX",--(DATOS!$G3837=CONFIG_METADATA!$B$4),IF(DATOS!$G3837="EX",1,IF(DATOS!$G3837="OR",--(COUNTIFS(nNIA,DATOS!$A3837,nCURSO,DATOS!$D3837,nESPEC,DATOS!$E3837,nASIG,DATOS!$I3837,nEVAL,"EX")=0),0))))</f>
      </c>
      <c r="H3837">
        <f>IF(DATOS!$G3837&lt;&gt;"EX",0,--(COUNTIFS(nNIA,DATOS!$A3837,nCURSO,DATOS!$D3837,nESPEC,DATOS!$E3837,nASIG,DATOS!$I3837,nEVAL,"OR")=0))</f>
      </c>
      <c r="I3837">
        <f>IF(DATOS!$I3837="","",IFERROR(VLOOKUP(DATOS!$I3837,CONFIG_ASIGNATURAS!$B$2:$J$91,9,FALSE()),""))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IF(DATOS!$A3838="",0,IF(CONFIG_METADATA!$B$4&lt;&gt;"OR+EX",--(DATOS!$G3838=CONFIG_METADATA!$B$4),IF(DATOS!$G3838="EX",1,IF(DATOS!$G3838="OR",--(COUNTIFS(nNIA,DATOS!$A3838,nCURSO,DATOS!$D3838,nESPEC,DATOS!$E3838,nASIG,DATOS!$I3838,nEVAL,"EX")=0),0))))</f>
      </c>
      <c r="H3838">
        <f>IF(DATOS!$G3838&lt;&gt;"EX",0,--(COUNTIFS(nNIA,DATOS!$A3838,nCURSO,DATOS!$D3838,nESPEC,DATOS!$E3838,nASIG,DATOS!$I3838,nEVAL,"OR")=0))</f>
      </c>
      <c r="I3838">
        <f>IF(DATOS!$I3838="","",IFERROR(VLOOKUP(DATOS!$I3838,CONFIG_ASIGNATURAS!$B$2:$J$91,9,FALSE()),""))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IF(DATOS!$A3839="",0,IF(CONFIG_METADATA!$B$4&lt;&gt;"OR+EX",--(DATOS!$G3839=CONFIG_METADATA!$B$4),IF(DATOS!$G3839="EX",1,IF(DATOS!$G3839="OR",--(COUNTIFS(nNIA,DATOS!$A3839,nCURSO,DATOS!$D3839,nESPEC,DATOS!$E3839,nASIG,DATOS!$I3839,nEVAL,"EX")=0),0))))</f>
      </c>
      <c r="H3839">
        <f>IF(DATOS!$G3839&lt;&gt;"EX",0,--(COUNTIFS(nNIA,DATOS!$A3839,nCURSO,DATOS!$D3839,nESPEC,DATOS!$E3839,nASIG,DATOS!$I3839,nEVAL,"OR")=0))</f>
      </c>
      <c r="I3839">
        <f>IF(DATOS!$I3839="","",IFERROR(VLOOKUP(DATOS!$I3839,CONFIG_ASIGNATURAS!$B$2:$J$91,9,FALSE()),""))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IF(DATOS!$A3840="",0,IF(CONFIG_METADATA!$B$4&lt;&gt;"OR+EX",--(DATOS!$G3840=CONFIG_METADATA!$B$4),IF(DATOS!$G3840="EX",1,IF(DATOS!$G3840="OR",--(COUNTIFS(nNIA,DATOS!$A3840,nCURSO,DATOS!$D3840,nESPEC,DATOS!$E3840,nASIG,DATOS!$I3840,nEVAL,"EX")=0),0))))</f>
      </c>
      <c r="H3840">
        <f>IF(DATOS!$G3840&lt;&gt;"EX",0,--(COUNTIFS(nNIA,DATOS!$A3840,nCURSO,DATOS!$D3840,nESPEC,DATOS!$E3840,nASIG,DATOS!$I3840,nEVAL,"OR")=0))</f>
      </c>
      <c r="I3840">
        <f>IF(DATOS!$I3840="","",IFERROR(VLOOKUP(DATOS!$I3840,CONFIG_ASIGNATURAS!$B$2:$J$91,9,FALSE()),""))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IF(DATOS!$A3841="",0,IF(CONFIG_METADATA!$B$4&lt;&gt;"OR+EX",--(DATOS!$G3841=CONFIG_METADATA!$B$4),IF(DATOS!$G3841="EX",1,IF(DATOS!$G3841="OR",--(COUNTIFS(nNIA,DATOS!$A3841,nCURSO,DATOS!$D3841,nESPEC,DATOS!$E3841,nASIG,DATOS!$I3841,nEVAL,"EX")=0),0))))</f>
      </c>
      <c r="H3841">
        <f>IF(DATOS!$G3841&lt;&gt;"EX",0,--(COUNTIFS(nNIA,DATOS!$A3841,nCURSO,DATOS!$D3841,nESPEC,DATOS!$E3841,nASIG,DATOS!$I3841,nEVAL,"OR")=0))</f>
      </c>
      <c r="I3841">
        <f>IF(DATOS!$I3841="","",IFERROR(VLOOKUP(DATOS!$I3841,CONFIG_ASIGNATURAS!$B$2:$J$91,9,FALSE()),""))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IF(DATOS!$A3842="",0,IF(CONFIG_METADATA!$B$4&lt;&gt;"OR+EX",--(DATOS!$G3842=CONFIG_METADATA!$B$4),IF(DATOS!$G3842="EX",1,IF(DATOS!$G3842="OR",--(COUNTIFS(nNIA,DATOS!$A3842,nCURSO,DATOS!$D3842,nESPEC,DATOS!$E3842,nASIG,DATOS!$I3842,nEVAL,"EX")=0),0))))</f>
      </c>
      <c r="H3842">
        <f>IF(DATOS!$G3842&lt;&gt;"EX",0,--(COUNTIFS(nNIA,DATOS!$A3842,nCURSO,DATOS!$D3842,nESPEC,DATOS!$E3842,nASIG,DATOS!$I3842,nEVAL,"OR")=0))</f>
      </c>
      <c r="I3842">
        <f>IF(DATOS!$I3842="","",IFERROR(VLOOKUP(DATOS!$I3842,CONFIG_ASIGNATURAS!$B$2:$J$91,9,FALSE()),""))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IF(DATOS!$A3843="",0,IF(CONFIG_METADATA!$B$4&lt;&gt;"OR+EX",--(DATOS!$G3843=CONFIG_METADATA!$B$4),IF(DATOS!$G3843="EX",1,IF(DATOS!$G3843="OR",--(COUNTIFS(nNIA,DATOS!$A3843,nCURSO,DATOS!$D3843,nESPEC,DATOS!$E3843,nASIG,DATOS!$I3843,nEVAL,"EX")=0),0))))</f>
      </c>
      <c r="H3843">
        <f>IF(DATOS!$G3843&lt;&gt;"EX",0,--(COUNTIFS(nNIA,DATOS!$A3843,nCURSO,DATOS!$D3843,nESPEC,DATOS!$E3843,nASIG,DATOS!$I3843,nEVAL,"OR")=0))</f>
      </c>
      <c r="I3843">
        <f>IF(DATOS!$I3843="","",IFERROR(VLOOKUP(DATOS!$I3843,CONFIG_ASIGNATURAS!$B$2:$J$91,9,FALSE()),""))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IF(DATOS!$A3844="",0,IF(CONFIG_METADATA!$B$4&lt;&gt;"OR+EX",--(DATOS!$G3844=CONFIG_METADATA!$B$4),IF(DATOS!$G3844="EX",1,IF(DATOS!$G3844="OR",--(COUNTIFS(nNIA,DATOS!$A3844,nCURSO,DATOS!$D3844,nESPEC,DATOS!$E3844,nASIG,DATOS!$I3844,nEVAL,"EX")=0),0))))</f>
      </c>
      <c r="H3844">
        <f>IF(DATOS!$G3844&lt;&gt;"EX",0,--(COUNTIFS(nNIA,DATOS!$A3844,nCURSO,DATOS!$D3844,nESPEC,DATOS!$E3844,nASIG,DATOS!$I3844,nEVAL,"OR")=0))</f>
      </c>
      <c r="I3844">
        <f>IF(DATOS!$I3844="","",IFERROR(VLOOKUP(DATOS!$I3844,CONFIG_ASIGNATURAS!$B$2:$J$91,9,FALSE()),""))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IF(DATOS!$A3845="",0,IF(CONFIG_METADATA!$B$4&lt;&gt;"OR+EX",--(DATOS!$G3845=CONFIG_METADATA!$B$4),IF(DATOS!$G3845="EX",1,IF(DATOS!$G3845="OR",--(COUNTIFS(nNIA,DATOS!$A3845,nCURSO,DATOS!$D3845,nESPEC,DATOS!$E3845,nASIG,DATOS!$I3845,nEVAL,"EX")=0),0))))</f>
      </c>
      <c r="H3845">
        <f>IF(DATOS!$G3845&lt;&gt;"EX",0,--(COUNTIFS(nNIA,DATOS!$A3845,nCURSO,DATOS!$D3845,nESPEC,DATOS!$E3845,nASIG,DATOS!$I3845,nEVAL,"OR")=0))</f>
      </c>
      <c r="I3845">
        <f>IF(DATOS!$I3845="","",IFERROR(VLOOKUP(DATOS!$I3845,CONFIG_ASIGNATURAS!$B$2:$J$91,9,FALSE()),""))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IF(DATOS!$A3846="",0,IF(CONFIG_METADATA!$B$4&lt;&gt;"OR+EX",--(DATOS!$G3846=CONFIG_METADATA!$B$4),IF(DATOS!$G3846="EX",1,IF(DATOS!$G3846="OR",--(COUNTIFS(nNIA,DATOS!$A3846,nCURSO,DATOS!$D3846,nESPEC,DATOS!$E3846,nASIG,DATOS!$I3846,nEVAL,"EX")=0),0))))</f>
      </c>
      <c r="H3846">
        <f>IF(DATOS!$G3846&lt;&gt;"EX",0,--(COUNTIFS(nNIA,DATOS!$A3846,nCURSO,DATOS!$D3846,nESPEC,DATOS!$E3846,nASIG,DATOS!$I3846,nEVAL,"OR")=0))</f>
      </c>
      <c r="I3846">
        <f>IF(DATOS!$I3846="","",IFERROR(VLOOKUP(DATOS!$I3846,CONFIG_ASIGNATURAS!$B$2:$J$91,9,FALSE()),""))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IF(DATOS!$A3847="",0,IF(CONFIG_METADATA!$B$4&lt;&gt;"OR+EX",--(DATOS!$G3847=CONFIG_METADATA!$B$4),IF(DATOS!$G3847="EX",1,IF(DATOS!$G3847="OR",--(COUNTIFS(nNIA,DATOS!$A3847,nCURSO,DATOS!$D3847,nESPEC,DATOS!$E3847,nASIG,DATOS!$I3847,nEVAL,"EX")=0),0))))</f>
      </c>
      <c r="H3847">
        <f>IF(DATOS!$G3847&lt;&gt;"EX",0,--(COUNTIFS(nNIA,DATOS!$A3847,nCURSO,DATOS!$D3847,nESPEC,DATOS!$E3847,nASIG,DATOS!$I3847,nEVAL,"OR")=0))</f>
      </c>
      <c r="I3847">
        <f>IF(DATOS!$I3847="","",IFERROR(VLOOKUP(DATOS!$I3847,CONFIG_ASIGNATURAS!$B$2:$J$91,9,FALSE()),""))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IF(DATOS!$A3848="",0,IF(CONFIG_METADATA!$B$4&lt;&gt;"OR+EX",--(DATOS!$G3848=CONFIG_METADATA!$B$4),IF(DATOS!$G3848="EX",1,IF(DATOS!$G3848="OR",--(COUNTIFS(nNIA,DATOS!$A3848,nCURSO,DATOS!$D3848,nESPEC,DATOS!$E3848,nASIG,DATOS!$I3848,nEVAL,"EX")=0),0))))</f>
      </c>
      <c r="H3848">
        <f>IF(DATOS!$G3848&lt;&gt;"EX",0,--(COUNTIFS(nNIA,DATOS!$A3848,nCURSO,DATOS!$D3848,nESPEC,DATOS!$E3848,nASIG,DATOS!$I3848,nEVAL,"OR")=0))</f>
      </c>
      <c r="I3848">
        <f>IF(DATOS!$I3848="","",IFERROR(VLOOKUP(DATOS!$I3848,CONFIG_ASIGNATURAS!$B$2:$J$91,9,FALSE()),""))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IF(DATOS!$A3849="",0,IF(CONFIG_METADATA!$B$4&lt;&gt;"OR+EX",--(DATOS!$G3849=CONFIG_METADATA!$B$4),IF(DATOS!$G3849="EX",1,IF(DATOS!$G3849="OR",--(COUNTIFS(nNIA,DATOS!$A3849,nCURSO,DATOS!$D3849,nESPEC,DATOS!$E3849,nASIG,DATOS!$I3849,nEVAL,"EX")=0),0))))</f>
      </c>
      <c r="H3849">
        <f>IF(DATOS!$G3849&lt;&gt;"EX",0,--(COUNTIFS(nNIA,DATOS!$A3849,nCURSO,DATOS!$D3849,nESPEC,DATOS!$E3849,nASIG,DATOS!$I3849,nEVAL,"OR")=0))</f>
      </c>
      <c r="I3849">
        <f>IF(DATOS!$I3849="","",IFERROR(VLOOKUP(DATOS!$I3849,CONFIG_ASIGNATURAS!$B$2:$J$91,9,FALSE()),""))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IF(DATOS!$A3850="",0,IF(CONFIG_METADATA!$B$4&lt;&gt;"OR+EX",--(DATOS!$G3850=CONFIG_METADATA!$B$4),IF(DATOS!$G3850="EX",1,IF(DATOS!$G3850="OR",--(COUNTIFS(nNIA,DATOS!$A3850,nCURSO,DATOS!$D3850,nESPEC,DATOS!$E3850,nASIG,DATOS!$I3850,nEVAL,"EX")=0),0))))</f>
      </c>
      <c r="H3850">
        <f>IF(DATOS!$G3850&lt;&gt;"EX",0,--(COUNTIFS(nNIA,DATOS!$A3850,nCURSO,DATOS!$D3850,nESPEC,DATOS!$E3850,nASIG,DATOS!$I3850,nEVAL,"OR")=0))</f>
      </c>
      <c r="I3850">
        <f>IF(DATOS!$I3850="","",IFERROR(VLOOKUP(DATOS!$I3850,CONFIG_ASIGNATURAS!$B$2:$J$91,9,FALSE()),""))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IF(DATOS!$A3851="",0,IF(CONFIG_METADATA!$B$4&lt;&gt;"OR+EX",--(DATOS!$G3851=CONFIG_METADATA!$B$4),IF(DATOS!$G3851="EX",1,IF(DATOS!$G3851="OR",--(COUNTIFS(nNIA,DATOS!$A3851,nCURSO,DATOS!$D3851,nESPEC,DATOS!$E3851,nASIG,DATOS!$I3851,nEVAL,"EX")=0),0))))</f>
      </c>
      <c r="H3851">
        <f>IF(DATOS!$G3851&lt;&gt;"EX",0,--(COUNTIFS(nNIA,DATOS!$A3851,nCURSO,DATOS!$D3851,nESPEC,DATOS!$E3851,nASIG,DATOS!$I3851,nEVAL,"OR")=0))</f>
      </c>
      <c r="I3851">
        <f>IF(DATOS!$I3851="","",IFERROR(VLOOKUP(DATOS!$I3851,CONFIG_ASIGNATURAS!$B$2:$J$91,9,FALSE()),""))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IF(DATOS!$A3852="",0,IF(CONFIG_METADATA!$B$4&lt;&gt;"OR+EX",--(DATOS!$G3852=CONFIG_METADATA!$B$4),IF(DATOS!$G3852="EX",1,IF(DATOS!$G3852="OR",--(COUNTIFS(nNIA,DATOS!$A3852,nCURSO,DATOS!$D3852,nESPEC,DATOS!$E3852,nASIG,DATOS!$I3852,nEVAL,"EX")=0),0))))</f>
      </c>
      <c r="H3852">
        <f>IF(DATOS!$G3852&lt;&gt;"EX",0,--(COUNTIFS(nNIA,DATOS!$A3852,nCURSO,DATOS!$D3852,nESPEC,DATOS!$E3852,nASIG,DATOS!$I3852,nEVAL,"OR")=0))</f>
      </c>
      <c r="I3852">
        <f>IF(DATOS!$I3852="","",IFERROR(VLOOKUP(DATOS!$I3852,CONFIG_ASIGNATURAS!$B$2:$J$91,9,FALSE()),""))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IF(DATOS!$A3853="",0,IF(CONFIG_METADATA!$B$4&lt;&gt;"OR+EX",--(DATOS!$G3853=CONFIG_METADATA!$B$4),IF(DATOS!$G3853="EX",1,IF(DATOS!$G3853="OR",--(COUNTIFS(nNIA,DATOS!$A3853,nCURSO,DATOS!$D3853,nESPEC,DATOS!$E3853,nASIG,DATOS!$I3853,nEVAL,"EX")=0),0))))</f>
      </c>
      <c r="H3853">
        <f>IF(DATOS!$G3853&lt;&gt;"EX",0,--(COUNTIFS(nNIA,DATOS!$A3853,nCURSO,DATOS!$D3853,nESPEC,DATOS!$E3853,nASIG,DATOS!$I3853,nEVAL,"OR")=0))</f>
      </c>
      <c r="I3853">
        <f>IF(DATOS!$I3853="","",IFERROR(VLOOKUP(DATOS!$I3853,CONFIG_ASIGNATURAS!$B$2:$J$91,9,FALSE()),""))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IF(DATOS!$A3854="",0,IF(CONFIG_METADATA!$B$4&lt;&gt;"OR+EX",--(DATOS!$G3854=CONFIG_METADATA!$B$4),IF(DATOS!$G3854="EX",1,IF(DATOS!$G3854="OR",--(COUNTIFS(nNIA,DATOS!$A3854,nCURSO,DATOS!$D3854,nESPEC,DATOS!$E3854,nASIG,DATOS!$I3854,nEVAL,"EX")=0),0))))</f>
      </c>
      <c r="H3854">
        <f>IF(DATOS!$G3854&lt;&gt;"EX",0,--(COUNTIFS(nNIA,DATOS!$A3854,nCURSO,DATOS!$D3854,nESPEC,DATOS!$E3854,nASIG,DATOS!$I3854,nEVAL,"OR")=0))</f>
      </c>
      <c r="I3854">
        <f>IF(DATOS!$I3854="","",IFERROR(VLOOKUP(DATOS!$I3854,CONFIG_ASIGNATURAS!$B$2:$J$91,9,FALSE()),""))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IF(DATOS!$A3855="",0,IF(CONFIG_METADATA!$B$4&lt;&gt;"OR+EX",--(DATOS!$G3855=CONFIG_METADATA!$B$4),IF(DATOS!$G3855="EX",1,IF(DATOS!$G3855="OR",--(COUNTIFS(nNIA,DATOS!$A3855,nCURSO,DATOS!$D3855,nESPEC,DATOS!$E3855,nASIG,DATOS!$I3855,nEVAL,"EX")=0),0))))</f>
      </c>
      <c r="H3855">
        <f>IF(DATOS!$G3855&lt;&gt;"EX",0,--(COUNTIFS(nNIA,DATOS!$A3855,nCURSO,DATOS!$D3855,nESPEC,DATOS!$E3855,nASIG,DATOS!$I3855,nEVAL,"OR")=0))</f>
      </c>
      <c r="I3855">
        <f>IF(DATOS!$I3855="","",IFERROR(VLOOKUP(DATOS!$I3855,CONFIG_ASIGNATURAS!$B$2:$J$91,9,FALSE()),""))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IF(DATOS!$A3856="",0,IF(CONFIG_METADATA!$B$4&lt;&gt;"OR+EX",--(DATOS!$G3856=CONFIG_METADATA!$B$4),IF(DATOS!$G3856="EX",1,IF(DATOS!$G3856="OR",--(COUNTIFS(nNIA,DATOS!$A3856,nCURSO,DATOS!$D3856,nESPEC,DATOS!$E3856,nASIG,DATOS!$I3856,nEVAL,"EX")=0),0))))</f>
      </c>
      <c r="H3856">
        <f>IF(DATOS!$G3856&lt;&gt;"EX",0,--(COUNTIFS(nNIA,DATOS!$A3856,nCURSO,DATOS!$D3856,nESPEC,DATOS!$E3856,nASIG,DATOS!$I3856,nEVAL,"OR")=0))</f>
      </c>
      <c r="I3856">
        <f>IF(DATOS!$I3856="","",IFERROR(VLOOKUP(DATOS!$I3856,CONFIG_ASIGNATURAS!$B$2:$J$91,9,FALSE()),""))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IF(DATOS!$A3857="",0,IF(CONFIG_METADATA!$B$4&lt;&gt;"OR+EX",--(DATOS!$G3857=CONFIG_METADATA!$B$4),IF(DATOS!$G3857="EX",1,IF(DATOS!$G3857="OR",--(COUNTIFS(nNIA,DATOS!$A3857,nCURSO,DATOS!$D3857,nESPEC,DATOS!$E3857,nASIG,DATOS!$I3857,nEVAL,"EX")=0),0))))</f>
      </c>
      <c r="H3857">
        <f>IF(DATOS!$G3857&lt;&gt;"EX",0,--(COUNTIFS(nNIA,DATOS!$A3857,nCURSO,DATOS!$D3857,nESPEC,DATOS!$E3857,nASIG,DATOS!$I3857,nEVAL,"OR")=0))</f>
      </c>
      <c r="I3857">
        <f>IF(DATOS!$I3857="","",IFERROR(VLOOKUP(DATOS!$I3857,CONFIG_ASIGNATURAS!$B$2:$J$91,9,FALSE()),""))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IF(DATOS!$A3858="",0,IF(CONFIG_METADATA!$B$4&lt;&gt;"OR+EX",--(DATOS!$G3858=CONFIG_METADATA!$B$4),IF(DATOS!$G3858="EX",1,IF(DATOS!$G3858="OR",--(COUNTIFS(nNIA,DATOS!$A3858,nCURSO,DATOS!$D3858,nESPEC,DATOS!$E3858,nASIG,DATOS!$I3858,nEVAL,"EX")=0),0))))</f>
      </c>
      <c r="H3858">
        <f>IF(DATOS!$G3858&lt;&gt;"EX",0,--(COUNTIFS(nNIA,DATOS!$A3858,nCURSO,DATOS!$D3858,nESPEC,DATOS!$E3858,nASIG,DATOS!$I3858,nEVAL,"OR")=0))</f>
      </c>
      <c r="I3858">
        <f>IF(DATOS!$I3858="","",IFERROR(VLOOKUP(DATOS!$I3858,CONFIG_ASIGNATURAS!$B$2:$J$91,9,FALSE()),""))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IF(DATOS!$A3859="",0,IF(CONFIG_METADATA!$B$4&lt;&gt;"OR+EX",--(DATOS!$G3859=CONFIG_METADATA!$B$4),IF(DATOS!$G3859="EX",1,IF(DATOS!$G3859="OR",--(COUNTIFS(nNIA,DATOS!$A3859,nCURSO,DATOS!$D3859,nESPEC,DATOS!$E3859,nASIG,DATOS!$I3859,nEVAL,"EX")=0),0))))</f>
      </c>
      <c r="H3859">
        <f>IF(DATOS!$G3859&lt;&gt;"EX",0,--(COUNTIFS(nNIA,DATOS!$A3859,nCURSO,DATOS!$D3859,nESPEC,DATOS!$E3859,nASIG,DATOS!$I3859,nEVAL,"OR")=0))</f>
      </c>
      <c r="I3859">
        <f>IF(DATOS!$I3859="","",IFERROR(VLOOKUP(DATOS!$I3859,CONFIG_ASIGNATURAS!$B$2:$J$91,9,FALSE()),""))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IF(DATOS!$A3860="",0,IF(CONFIG_METADATA!$B$4&lt;&gt;"OR+EX",--(DATOS!$G3860=CONFIG_METADATA!$B$4),IF(DATOS!$G3860="EX",1,IF(DATOS!$G3860="OR",--(COUNTIFS(nNIA,DATOS!$A3860,nCURSO,DATOS!$D3860,nESPEC,DATOS!$E3860,nASIG,DATOS!$I3860,nEVAL,"EX")=0),0))))</f>
      </c>
      <c r="H3860">
        <f>IF(DATOS!$G3860&lt;&gt;"EX",0,--(COUNTIFS(nNIA,DATOS!$A3860,nCURSO,DATOS!$D3860,nESPEC,DATOS!$E3860,nASIG,DATOS!$I3860,nEVAL,"OR")=0))</f>
      </c>
      <c r="I3860">
        <f>IF(DATOS!$I3860="","",IFERROR(VLOOKUP(DATOS!$I3860,CONFIG_ASIGNATURAS!$B$2:$J$91,9,FALSE()),""))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IF(DATOS!$A3861="",0,IF(CONFIG_METADATA!$B$4&lt;&gt;"OR+EX",--(DATOS!$G3861=CONFIG_METADATA!$B$4),IF(DATOS!$G3861="EX",1,IF(DATOS!$G3861="OR",--(COUNTIFS(nNIA,DATOS!$A3861,nCURSO,DATOS!$D3861,nESPEC,DATOS!$E3861,nASIG,DATOS!$I3861,nEVAL,"EX")=0),0))))</f>
      </c>
      <c r="H3861">
        <f>IF(DATOS!$G3861&lt;&gt;"EX",0,--(COUNTIFS(nNIA,DATOS!$A3861,nCURSO,DATOS!$D3861,nESPEC,DATOS!$E3861,nASIG,DATOS!$I3861,nEVAL,"OR")=0))</f>
      </c>
      <c r="I3861">
        <f>IF(DATOS!$I3861="","",IFERROR(VLOOKUP(DATOS!$I3861,CONFIG_ASIGNATURAS!$B$2:$J$91,9,FALSE()),""))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IF(DATOS!$A3862="",0,IF(CONFIG_METADATA!$B$4&lt;&gt;"OR+EX",--(DATOS!$G3862=CONFIG_METADATA!$B$4),IF(DATOS!$G3862="EX",1,IF(DATOS!$G3862="OR",--(COUNTIFS(nNIA,DATOS!$A3862,nCURSO,DATOS!$D3862,nESPEC,DATOS!$E3862,nASIG,DATOS!$I3862,nEVAL,"EX")=0),0))))</f>
      </c>
      <c r="H3862">
        <f>IF(DATOS!$G3862&lt;&gt;"EX",0,--(COUNTIFS(nNIA,DATOS!$A3862,nCURSO,DATOS!$D3862,nESPEC,DATOS!$E3862,nASIG,DATOS!$I3862,nEVAL,"OR")=0))</f>
      </c>
      <c r="I3862">
        <f>IF(DATOS!$I3862="","",IFERROR(VLOOKUP(DATOS!$I3862,CONFIG_ASIGNATURAS!$B$2:$J$91,9,FALSE()),""))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IF(DATOS!$A3863="",0,IF(CONFIG_METADATA!$B$4&lt;&gt;"OR+EX",--(DATOS!$G3863=CONFIG_METADATA!$B$4),IF(DATOS!$G3863="EX",1,IF(DATOS!$G3863="OR",--(COUNTIFS(nNIA,DATOS!$A3863,nCURSO,DATOS!$D3863,nESPEC,DATOS!$E3863,nASIG,DATOS!$I3863,nEVAL,"EX")=0),0))))</f>
      </c>
      <c r="H3863">
        <f>IF(DATOS!$G3863&lt;&gt;"EX",0,--(COUNTIFS(nNIA,DATOS!$A3863,nCURSO,DATOS!$D3863,nESPEC,DATOS!$E3863,nASIG,DATOS!$I3863,nEVAL,"OR")=0))</f>
      </c>
      <c r="I3863">
        <f>IF(DATOS!$I3863="","",IFERROR(VLOOKUP(DATOS!$I3863,CONFIG_ASIGNATURAS!$B$2:$J$91,9,FALSE()),""))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IF(DATOS!$A3864="",0,IF(CONFIG_METADATA!$B$4&lt;&gt;"OR+EX",--(DATOS!$G3864=CONFIG_METADATA!$B$4),IF(DATOS!$G3864="EX",1,IF(DATOS!$G3864="OR",--(COUNTIFS(nNIA,DATOS!$A3864,nCURSO,DATOS!$D3864,nESPEC,DATOS!$E3864,nASIG,DATOS!$I3864,nEVAL,"EX")=0),0))))</f>
      </c>
      <c r="H3864">
        <f>IF(DATOS!$G3864&lt;&gt;"EX",0,--(COUNTIFS(nNIA,DATOS!$A3864,nCURSO,DATOS!$D3864,nESPEC,DATOS!$E3864,nASIG,DATOS!$I3864,nEVAL,"OR")=0))</f>
      </c>
      <c r="I3864">
        <f>IF(DATOS!$I3864="","",IFERROR(VLOOKUP(DATOS!$I3864,CONFIG_ASIGNATURAS!$B$2:$J$91,9,FALSE()),""))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IF(DATOS!$A3865="",0,IF(CONFIG_METADATA!$B$4&lt;&gt;"OR+EX",--(DATOS!$G3865=CONFIG_METADATA!$B$4),IF(DATOS!$G3865="EX",1,IF(DATOS!$G3865="OR",--(COUNTIFS(nNIA,DATOS!$A3865,nCURSO,DATOS!$D3865,nESPEC,DATOS!$E3865,nASIG,DATOS!$I3865,nEVAL,"EX")=0),0))))</f>
      </c>
      <c r="H3865">
        <f>IF(DATOS!$G3865&lt;&gt;"EX",0,--(COUNTIFS(nNIA,DATOS!$A3865,nCURSO,DATOS!$D3865,nESPEC,DATOS!$E3865,nASIG,DATOS!$I3865,nEVAL,"OR")=0))</f>
      </c>
      <c r="I3865">
        <f>IF(DATOS!$I3865="","",IFERROR(VLOOKUP(DATOS!$I3865,CONFIG_ASIGNATURAS!$B$2:$J$91,9,FALSE()),""))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IF(DATOS!$A3866="",0,IF(CONFIG_METADATA!$B$4&lt;&gt;"OR+EX",--(DATOS!$G3866=CONFIG_METADATA!$B$4),IF(DATOS!$G3866="EX",1,IF(DATOS!$G3866="OR",--(COUNTIFS(nNIA,DATOS!$A3866,nCURSO,DATOS!$D3866,nESPEC,DATOS!$E3866,nASIG,DATOS!$I3866,nEVAL,"EX")=0),0))))</f>
      </c>
      <c r="H3866">
        <f>IF(DATOS!$G3866&lt;&gt;"EX",0,--(COUNTIFS(nNIA,DATOS!$A3866,nCURSO,DATOS!$D3866,nESPEC,DATOS!$E3866,nASIG,DATOS!$I3866,nEVAL,"OR")=0))</f>
      </c>
      <c r="I3866">
        <f>IF(DATOS!$I3866="","",IFERROR(VLOOKUP(DATOS!$I3866,CONFIG_ASIGNATURAS!$B$2:$J$91,9,FALSE()),""))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IF(DATOS!$A3867="",0,IF(CONFIG_METADATA!$B$4&lt;&gt;"OR+EX",--(DATOS!$G3867=CONFIG_METADATA!$B$4),IF(DATOS!$G3867="EX",1,IF(DATOS!$G3867="OR",--(COUNTIFS(nNIA,DATOS!$A3867,nCURSO,DATOS!$D3867,nESPEC,DATOS!$E3867,nASIG,DATOS!$I3867,nEVAL,"EX")=0),0))))</f>
      </c>
      <c r="H3867">
        <f>IF(DATOS!$G3867&lt;&gt;"EX",0,--(COUNTIFS(nNIA,DATOS!$A3867,nCURSO,DATOS!$D3867,nESPEC,DATOS!$E3867,nASIG,DATOS!$I3867,nEVAL,"OR")=0))</f>
      </c>
      <c r="I3867">
        <f>IF(DATOS!$I3867="","",IFERROR(VLOOKUP(DATOS!$I3867,CONFIG_ASIGNATURAS!$B$2:$J$91,9,FALSE()),""))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IF(DATOS!$A3868="",0,IF(CONFIG_METADATA!$B$4&lt;&gt;"OR+EX",--(DATOS!$G3868=CONFIG_METADATA!$B$4),IF(DATOS!$G3868="EX",1,IF(DATOS!$G3868="OR",--(COUNTIFS(nNIA,DATOS!$A3868,nCURSO,DATOS!$D3868,nESPEC,DATOS!$E3868,nASIG,DATOS!$I3868,nEVAL,"EX")=0),0))))</f>
      </c>
      <c r="H3868">
        <f>IF(DATOS!$G3868&lt;&gt;"EX",0,--(COUNTIFS(nNIA,DATOS!$A3868,nCURSO,DATOS!$D3868,nESPEC,DATOS!$E3868,nASIG,DATOS!$I3868,nEVAL,"OR")=0))</f>
      </c>
      <c r="I3868">
        <f>IF(DATOS!$I3868="","",IFERROR(VLOOKUP(DATOS!$I3868,CONFIG_ASIGNATURAS!$B$2:$J$91,9,FALSE()),""))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IF(DATOS!$A3869="",0,IF(CONFIG_METADATA!$B$4&lt;&gt;"OR+EX",--(DATOS!$G3869=CONFIG_METADATA!$B$4),IF(DATOS!$G3869="EX",1,IF(DATOS!$G3869="OR",--(COUNTIFS(nNIA,DATOS!$A3869,nCURSO,DATOS!$D3869,nESPEC,DATOS!$E3869,nASIG,DATOS!$I3869,nEVAL,"EX")=0),0))))</f>
      </c>
      <c r="H3869">
        <f>IF(DATOS!$G3869&lt;&gt;"EX",0,--(COUNTIFS(nNIA,DATOS!$A3869,nCURSO,DATOS!$D3869,nESPEC,DATOS!$E3869,nASIG,DATOS!$I3869,nEVAL,"OR")=0))</f>
      </c>
      <c r="I3869">
        <f>IF(DATOS!$I3869="","",IFERROR(VLOOKUP(DATOS!$I3869,CONFIG_ASIGNATURAS!$B$2:$J$91,9,FALSE()),""))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IF(DATOS!$A3870="",0,IF(CONFIG_METADATA!$B$4&lt;&gt;"OR+EX",--(DATOS!$G3870=CONFIG_METADATA!$B$4),IF(DATOS!$G3870="EX",1,IF(DATOS!$G3870="OR",--(COUNTIFS(nNIA,DATOS!$A3870,nCURSO,DATOS!$D3870,nESPEC,DATOS!$E3870,nASIG,DATOS!$I3870,nEVAL,"EX")=0),0))))</f>
      </c>
      <c r="H3870">
        <f>IF(DATOS!$G3870&lt;&gt;"EX",0,--(COUNTIFS(nNIA,DATOS!$A3870,nCURSO,DATOS!$D3870,nESPEC,DATOS!$E3870,nASIG,DATOS!$I3870,nEVAL,"OR")=0))</f>
      </c>
      <c r="I3870">
        <f>IF(DATOS!$I3870="","",IFERROR(VLOOKUP(DATOS!$I3870,CONFIG_ASIGNATURAS!$B$2:$J$91,9,FALSE()),""))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IF(DATOS!$A3871="",0,IF(CONFIG_METADATA!$B$4&lt;&gt;"OR+EX",--(DATOS!$G3871=CONFIG_METADATA!$B$4),IF(DATOS!$G3871="EX",1,IF(DATOS!$G3871="OR",--(COUNTIFS(nNIA,DATOS!$A3871,nCURSO,DATOS!$D3871,nESPEC,DATOS!$E3871,nASIG,DATOS!$I3871,nEVAL,"EX")=0),0))))</f>
      </c>
      <c r="H3871">
        <f>IF(DATOS!$G3871&lt;&gt;"EX",0,--(COUNTIFS(nNIA,DATOS!$A3871,nCURSO,DATOS!$D3871,nESPEC,DATOS!$E3871,nASIG,DATOS!$I3871,nEVAL,"OR")=0))</f>
      </c>
      <c r="I3871">
        <f>IF(DATOS!$I3871="","",IFERROR(VLOOKUP(DATOS!$I3871,CONFIG_ASIGNATURAS!$B$2:$J$91,9,FALSE()),""))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IF(DATOS!$A3872="",0,IF(CONFIG_METADATA!$B$4&lt;&gt;"OR+EX",--(DATOS!$G3872=CONFIG_METADATA!$B$4),IF(DATOS!$G3872="EX",1,IF(DATOS!$G3872="OR",--(COUNTIFS(nNIA,DATOS!$A3872,nCURSO,DATOS!$D3872,nESPEC,DATOS!$E3872,nASIG,DATOS!$I3872,nEVAL,"EX")=0),0))))</f>
      </c>
      <c r="H3872">
        <f>IF(DATOS!$G3872&lt;&gt;"EX",0,--(COUNTIFS(nNIA,DATOS!$A3872,nCURSO,DATOS!$D3872,nESPEC,DATOS!$E3872,nASIG,DATOS!$I3872,nEVAL,"OR")=0))</f>
      </c>
      <c r="I3872">
        <f>IF(DATOS!$I3872="","",IFERROR(VLOOKUP(DATOS!$I3872,CONFIG_ASIGNATURAS!$B$2:$J$91,9,FALSE()),""))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IF(DATOS!$A3873="",0,IF(CONFIG_METADATA!$B$4&lt;&gt;"OR+EX",--(DATOS!$G3873=CONFIG_METADATA!$B$4),IF(DATOS!$G3873="EX",1,IF(DATOS!$G3873="OR",--(COUNTIFS(nNIA,DATOS!$A3873,nCURSO,DATOS!$D3873,nESPEC,DATOS!$E3873,nASIG,DATOS!$I3873,nEVAL,"EX")=0),0))))</f>
      </c>
      <c r="H3873">
        <f>IF(DATOS!$G3873&lt;&gt;"EX",0,--(COUNTIFS(nNIA,DATOS!$A3873,nCURSO,DATOS!$D3873,nESPEC,DATOS!$E3873,nASIG,DATOS!$I3873,nEVAL,"OR")=0))</f>
      </c>
      <c r="I3873">
        <f>IF(DATOS!$I3873="","",IFERROR(VLOOKUP(DATOS!$I3873,CONFIG_ASIGNATURAS!$B$2:$J$91,9,FALSE()),""))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IF(DATOS!$A3874="",0,IF(CONFIG_METADATA!$B$4&lt;&gt;"OR+EX",--(DATOS!$G3874=CONFIG_METADATA!$B$4),IF(DATOS!$G3874="EX",1,IF(DATOS!$G3874="OR",--(COUNTIFS(nNIA,DATOS!$A3874,nCURSO,DATOS!$D3874,nESPEC,DATOS!$E3874,nASIG,DATOS!$I3874,nEVAL,"EX")=0),0))))</f>
      </c>
      <c r="H3874">
        <f>IF(DATOS!$G3874&lt;&gt;"EX",0,--(COUNTIFS(nNIA,DATOS!$A3874,nCURSO,DATOS!$D3874,nESPEC,DATOS!$E3874,nASIG,DATOS!$I3874,nEVAL,"OR")=0))</f>
      </c>
      <c r="I3874">
        <f>IF(DATOS!$I3874="","",IFERROR(VLOOKUP(DATOS!$I3874,CONFIG_ASIGNATURAS!$B$2:$J$91,9,FALSE()),""))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IF(DATOS!$A3875="",0,IF(CONFIG_METADATA!$B$4&lt;&gt;"OR+EX",--(DATOS!$G3875=CONFIG_METADATA!$B$4),IF(DATOS!$G3875="EX",1,IF(DATOS!$G3875="OR",--(COUNTIFS(nNIA,DATOS!$A3875,nCURSO,DATOS!$D3875,nESPEC,DATOS!$E3875,nASIG,DATOS!$I3875,nEVAL,"EX")=0),0))))</f>
      </c>
      <c r="H3875">
        <f>IF(DATOS!$G3875&lt;&gt;"EX",0,--(COUNTIFS(nNIA,DATOS!$A3875,nCURSO,DATOS!$D3875,nESPEC,DATOS!$E3875,nASIG,DATOS!$I3875,nEVAL,"OR")=0))</f>
      </c>
      <c r="I3875">
        <f>IF(DATOS!$I3875="","",IFERROR(VLOOKUP(DATOS!$I3875,CONFIG_ASIGNATURAS!$B$2:$J$91,9,FALSE()),""))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IF(DATOS!$A3876="",0,IF(CONFIG_METADATA!$B$4&lt;&gt;"OR+EX",--(DATOS!$G3876=CONFIG_METADATA!$B$4),IF(DATOS!$G3876="EX",1,IF(DATOS!$G3876="OR",--(COUNTIFS(nNIA,DATOS!$A3876,nCURSO,DATOS!$D3876,nESPEC,DATOS!$E3876,nASIG,DATOS!$I3876,nEVAL,"EX")=0),0))))</f>
      </c>
      <c r="H3876">
        <f>IF(DATOS!$G3876&lt;&gt;"EX",0,--(COUNTIFS(nNIA,DATOS!$A3876,nCURSO,DATOS!$D3876,nESPEC,DATOS!$E3876,nASIG,DATOS!$I3876,nEVAL,"OR")=0))</f>
      </c>
      <c r="I3876">
        <f>IF(DATOS!$I3876="","",IFERROR(VLOOKUP(DATOS!$I3876,CONFIG_ASIGNATURAS!$B$2:$J$91,9,FALSE()),""))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IF(DATOS!$A3877="",0,IF(CONFIG_METADATA!$B$4&lt;&gt;"OR+EX",--(DATOS!$G3877=CONFIG_METADATA!$B$4),IF(DATOS!$G3877="EX",1,IF(DATOS!$G3877="OR",--(COUNTIFS(nNIA,DATOS!$A3877,nCURSO,DATOS!$D3877,nESPEC,DATOS!$E3877,nASIG,DATOS!$I3877,nEVAL,"EX")=0),0))))</f>
      </c>
      <c r="H3877">
        <f>IF(DATOS!$G3877&lt;&gt;"EX",0,--(COUNTIFS(nNIA,DATOS!$A3877,nCURSO,DATOS!$D3877,nESPEC,DATOS!$E3877,nASIG,DATOS!$I3877,nEVAL,"OR")=0))</f>
      </c>
      <c r="I3877">
        <f>IF(DATOS!$I3877="","",IFERROR(VLOOKUP(DATOS!$I3877,CONFIG_ASIGNATURAS!$B$2:$J$91,9,FALSE()),""))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IF(DATOS!$A3878="",0,IF(CONFIG_METADATA!$B$4&lt;&gt;"OR+EX",--(DATOS!$G3878=CONFIG_METADATA!$B$4),IF(DATOS!$G3878="EX",1,IF(DATOS!$G3878="OR",--(COUNTIFS(nNIA,DATOS!$A3878,nCURSO,DATOS!$D3878,nESPEC,DATOS!$E3878,nASIG,DATOS!$I3878,nEVAL,"EX")=0),0))))</f>
      </c>
      <c r="H3878">
        <f>IF(DATOS!$G3878&lt;&gt;"EX",0,--(COUNTIFS(nNIA,DATOS!$A3878,nCURSO,DATOS!$D3878,nESPEC,DATOS!$E3878,nASIG,DATOS!$I3878,nEVAL,"OR")=0))</f>
      </c>
      <c r="I3878">
        <f>IF(DATOS!$I3878="","",IFERROR(VLOOKUP(DATOS!$I3878,CONFIG_ASIGNATURAS!$B$2:$J$91,9,FALSE()),""))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IF(DATOS!$A3879="",0,IF(CONFIG_METADATA!$B$4&lt;&gt;"OR+EX",--(DATOS!$G3879=CONFIG_METADATA!$B$4),IF(DATOS!$G3879="EX",1,IF(DATOS!$G3879="OR",--(COUNTIFS(nNIA,DATOS!$A3879,nCURSO,DATOS!$D3879,nESPEC,DATOS!$E3879,nASIG,DATOS!$I3879,nEVAL,"EX")=0),0))))</f>
      </c>
      <c r="H3879">
        <f>IF(DATOS!$G3879&lt;&gt;"EX",0,--(COUNTIFS(nNIA,DATOS!$A3879,nCURSO,DATOS!$D3879,nESPEC,DATOS!$E3879,nASIG,DATOS!$I3879,nEVAL,"OR")=0))</f>
      </c>
      <c r="I3879">
        <f>IF(DATOS!$I3879="","",IFERROR(VLOOKUP(DATOS!$I3879,CONFIG_ASIGNATURAS!$B$2:$J$91,9,FALSE()),""))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IF(DATOS!$A3880="",0,IF(CONFIG_METADATA!$B$4&lt;&gt;"OR+EX",--(DATOS!$G3880=CONFIG_METADATA!$B$4),IF(DATOS!$G3880="EX",1,IF(DATOS!$G3880="OR",--(COUNTIFS(nNIA,DATOS!$A3880,nCURSO,DATOS!$D3880,nESPEC,DATOS!$E3880,nASIG,DATOS!$I3880,nEVAL,"EX")=0),0))))</f>
      </c>
      <c r="H3880">
        <f>IF(DATOS!$G3880&lt;&gt;"EX",0,--(COUNTIFS(nNIA,DATOS!$A3880,nCURSO,DATOS!$D3880,nESPEC,DATOS!$E3880,nASIG,DATOS!$I3880,nEVAL,"OR")=0))</f>
      </c>
      <c r="I3880">
        <f>IF(DATOS!$I3880="","",IFERROR(VLOOKUP(DATOS!$I3880,CONFIG_ASIGNATURAS!$B$2:$J$91,9,FALSE()),""))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IF(DATOS!$A3881="",0,IF(CONFIG_METADATA!$B$4&lt;&gt;"OR+EX",--(DATOS!$G3881=CONFIG_METADATA!$B$4),IF(DATOS!$G3881="EX",1,IF(DATOS!$G3881="OR",--(COUNTIFS(nNIA,DATOS!$A3881,nCURSO,DATOS!$D3881,nESPEC,DATOS!$E3881,nASIG,DATOS!$I3881,nEVAL,"EX")=0),0))))</f>
      </c>
      <c r="H3881">
        <f>IF(DATOS!$G3881&lt;&gt;"EX",0,--(COUNTIFS(nNIA,DATOS!$A3881,nCURSO,DATOS!$D3881,nESPEC,DATOS!$E3881,nASIG,DATOS!$I3881,nEVAL,"OR")=0))</f>
      </c>
      <c r="I3881">
        <f>IF(DATOS!$I3881="","",IFERROR(VLOOKUP(DATOS!$I3881,CONFIG_ASIGNATURAS!$B$2:$J$91,9,FALSE()),""))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IF(DATOS!$A3882="",0,IF(CONFIG_METADATA!$B$4&lt;&gt;"OR+EX",--(DATOS!$G3882=CONFIG_METADATA!$B$4),IF(DATOS!$G3882="EX",1,IF(DATOS!$G3882="OR",--(COUNTIFS(nNIA,DATOS!$A3882,nCURSO,DATOS!$D3882,nESPEC,DATOS!$E3882,nASIG,DATOS!$I3882,nEVAL,"EX")=0),0))))</f>
      </c>
      <c r="H3882">
        <f>IF(DATOS!$G3882&lt;&gt;"EX",0,--(COUNTIFS(nNIA,DATOS!$A3882,nCURSO,DATOS!$D3882,nESPEC,DATOS!$E3882,nASIG,DATOS!$I3882,nEVAL,"OR")=0))</f>
      </c>
      <c r="I3882">
        <f>IF(DATOS!$I3882="","",IFERROR(VLOOKUP(DATOS!$I3882,CONFIG_ASIGNATURAS!$B$2:$J$91,9,FALSE()),""))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IF(DATOS!$A3883="",0,IF(CONFIG_METADATA!$B$4&lt;&gt;"OR+EX",--(DATOS!$G3883=CONFIG_METADATA!$B$4),IF(DATOS!$G3883="EX",1,IF(DATOS!$G3883="OR",--(COUNTIFS(nNIA,DATOS!$A3883,nCURSO,DATOS!$D3883,nESPEC,DATOS!$E3883,nASIG,DATOS!$I3883,nEVAL,"EX")=0),0))))</f>
      </c>
      <c r="H3883">
        <f>IF(DATOS!$G3883&lt;&gt;"EX",0,--(COUNTIFS(nNIA,DATOS!$A3883,nCURSO,DATOS!$D3883,nESPEC,DATOS!$E3883,nASIG,DATOS!$I3883,nEVAL,"OR")=0))</f>
      </c>
      <c r="I3883">
        <f>IF(DATOS!$I3883="","",IFERROR(VLOOKUP(DATOS!$I3883,CONFIG_ASIGNATURAS!$B$2:$J$91,9,FALSE()),""))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IF(DATOS!$A3884="",0,IF(CONFIG_METADATA!$B$4&lt;&gt;"OR+EX",--(DATOS!$G3884=CONFIG_METADATA!$B$4),IF(DATOS!$G3884="EX",1,IF(DATOS!$G3884="OR",--(COUNTIFS(nNIA,DATOS!$A3884,nCURSO,DATOS!$D3884,nESPEC,DATOS!$E3884,nASIG,DATOS!$I3884,nEVAL,"EX")=0),0))))</f>
      </c>
      <c r="H3884">
        <f>IF(DATOS!$G3884&lt;&gt;"EX",0,--(COUNTIFS(nNIA,DATOS!$A3884,nCURSO,DATOS!$D3884,nESPEC,DATOS!$E3884,nASIG,DATOS!$I3884,nEVAL,"OR")=0))</f>
      </c>
      <c r="I3884">
        <f>IF(DATOS!$I3884="","",IFERROR(VLOOKUP(DATOS!$I3884,CONFIG_ASIGNATURAS!$B$2:$J$91,9,FALSE()),""))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IF(DATOS!$A3885="",0,IF(CONFIG_METADATA!$B$4&lt;&gt;"OR+EX",--(DATOS!$G3885=CONFIG_METADATA!$B$4),IF(DATOS!$G3885="EX",1,IF(DATOS!$G3885="OR",--(COUNTIFS(nNIA,DATOS!$A3885,nCURSO,DATOS!$D3885,nESPEC,DATOS!$E3885,nASIG,DATOS!$I3885,nEVAL,"EX")=0),0))))</f>
      </c>
      <c r="H3885">
        <f>IF(DATOS!$G3885&lt;&gt;"EX",0,--(COUNTIFS(nNIA,DATOS!$A3885,nCURSO,DATOS!$D3885,nESPEC,DATOS!$E3885,nASIG,DATOS!$I3885,nEVAL,"OR")=0))</f>
      </c>
      <c r="I3885">
        <f>IF(DATOS!$I3885="","",IFERROR(VLOOKUP(DATOS!$I3885,CONFIG_ASIGNATURAS!$B$2:$J$91,9,FALSE()),""))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IF(DATOS!$A3886="",0,IF(CONFIG_METADATA!$B$4&lt;&gt;"OR+EX",--(DATOS!$G3886=CONFIG_METADATA!$B$4),IF(DATOS!$G3886="EX",1,IF(DATOS!$G3886="OR",--(COUNTIFS(nNIA,DATOS!$A3886,nCURSO,DATOS!$D3886,nESPEC,DATOS!$E3886,nASIG,DATOS!$I3886,nEVAL,"EX")=0),0))))</f>
      </c>
      <c r="H3886">
        <f>IF(DATOS!$G3886&lt;&gt;"EX",0,--(COUNTIFS(nNIA,DATOS!$A3886,nCURSO,DATOS!$D3886,nESPEC,DATOS!$E3886,nASIG,DATOS!$I3886,nEVAL,"OR")=0))</f>
      </c>
      <c r="I3886">
        <f>IF(DATOS!$I3886="","",IFERROR(VLOOKUP(DATOS!$I3886,CONFIG_ASIGNATURAS!$B$2:$J$91,9,FALSE()),""))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IF(DATOS!$A3887="",0,IF(CONFIG_METADATA!$B$4&lt;&gt;"OR+EX",--(DATOS!$G3887=CONFIG_METADATA!$B$4),IF(DATOS!$G3887="EX",1,IF(DATOS!$G3887="OR",--(COUNTIFS(nNIA,DATOS!$A3887,nCURSO,DATOS!$D3887,nESPEC,DATOS!$E3887,nASIG,DATOS!$I3887,nEVAL,"EX")=0),0))))</f>
      </c>
      <c r="H3887">
        <f>IF(DATOS!$G3887&lt;&gt;"EX",0,--(COUNTIFS(nNIA,DATOS!$A3887,nCURSO,DATOS!$D3887,nESPEC,DATOS!$E3887,nASIG,DATOS!$I3887,nEVAL,"OR")=0))</f>
      </c>
      <c r="I3887">
        <f>IF(DATOS!$I3887="","",IFERROR(VLOOKUP(DATOS!$I3887,CONFIG_ASIGNATURAS!$B$2:$J$91,9,FALSE()),""))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IF(DATOS!$A3888="",0,IF(CONFIG_METADATA!$B$4&lt;&gt;"OR+EX",--(DATOS!$G3888=CONFIG_METADATA!$B$4),IF(DATOS!$G3888="EX",1,IF(DATOS!$G3888="OR",--(COUNTIFS(nNIA,DATOS!$A3888,nCURSO,DATOS!$D3888,nESPEC,DATOS!$E3888,nASIG,DATOS!$I3888,nEVAL,"EX")=0),0))))</f>
      </c>
      <c r="H3888">
        <f>IF(DATOS!$G3888&lt;&gt;"EX",0,--(COUNTIFS(nNIA,DATOS!$A3888,nCURSO,DATOS!$D3888,nESPEC,DATOS!$E3888,nASIG,DATOS!$I3888,nEVAL,"OR")=0))</f>
      </c>
      <c r="I3888">
        <f>IF(DATOS!$I3888="","",IFERROR(VLOOKUP(DATOS!$I3888,CONFIG_ASIGNATURAS!$B$2:$J$91,9,FALSE()),""))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IF(DATOS!$A3889="",0,IF(CONFIG_METADATA!$B$4&lt;&gt;"OR+EX",--(DATOS!$G3889=CONFIG_METADATA!$B$4),IF(DATOS!$G3889="EX",1,IF(DATOS!$G3889="OR",--(COUNTIFS(nNIA,DATOS!$A3889,nCURSO,DATOS!$D3889,nESPEC,DATOS!$E3889,nASIG,DATOS!$I3889,nEVAL,"EX")=0),0))))</f>
      </c>
      <c r="H3889">
        <f>IF(DATOS!$G3889&lt;&gt;"EX",0,--(COUNTIFS(nNIA,DATOS!$A3889,nCURSO,DATOS!$D3889,nESPEC,DATOS!$E3889,nASIG,DATOS!$I3889,nEVAL,"OR")=0))</f>
      </c>
      <c r="I3889">
        <f>IF(DATOS!$I3889="","",IFERROR(VLOOKUP(DATOS!$I3889,CONFIG_ASIGNATURAS!$B$2:$J$91,9,FALSE()),""))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IF(DATOS!$A3890="",0,IF(CONFIG_METADATA!$B$4&lt;&gt;"OR+EX",--(DATOS!$G3890=CONFIG_METADATA!$B$4),IF(DATOS!$G3890="EX",1,IF(DATOS!$G3890="OR",--(COUNTIFS(nNIA,DATOS!$A3890,nCURSO,DATOS!$D3890,nESPEC,DATOS!$E3890,nASIG,DATOS!$I3890,nEVAL,"EX")=0),0))))</f>
      </c>
      <c r="H3890">
        <f>IF(DATOS!$G3890&lt;&gt;"EX",0,--(COUNTIFS(nNIA,DATOS!$A3890,nCURSO,DATOS!$D3890,nESPEC,DATOS!$E3890,nASIG,DATOS!$I3890,nEVAL,"OR")=0))</f>
      </c>
      <c r="I3890">
        <f>IF(DATOS!$I3890="","",IFERROR(VLOOKUP(DATOS!$I3890,CONFIG_ASIGNATURAS!$B$2:$J$91,9,FALSE()),""))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IF(DATOS!$A3891="",0,IF(CONFIG_METADATA!$B$4&lt;&gt;"OR+EX",--(DATOS!$G3891=CONFIG_METADATA!$B$4),IF(DATOS!$G3891="EX",1,IF(DATOS!$G3891="OR",--(COUNTIFS(nNIA,DATOS!$A3891,nCURSO,DATOS!$D3891,nESPEC,DATOS!$E3891,nASIG,DATOS!$I3891,nEVAL,"EX")=0),0))))</f>
      </c>
      <c r="H3891">
        <f>IF(DATOS!$G3891&lt;&gt;"EX",0,--(COUNTIFS(nNIA,DATOS!$A3891,nCURSO,DATOS!$D3891,nESPEC,DATOS!$E3891,nASIG,DATOS!$I3891,nEVAL,"OR")=0))</f>
      </c>
      <c r="I3891">
        <f>IF(DATOS!$I3891="","",IFERROR(VLOOKUP(DATOS!$I3891,CONFIG_ASIGNATURAS!$B$2:$J$91,9,FALSE()),""))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IF(DATOS!$A3892="",0,IF(CONFIG_METADATA!$B$4&lt;&gt;"OR+EX",--(DATOS!$G3892=CONFIG_METADATA!$B$4),IF(DATOS!$G3892="EX",1,IF(DATOS!$G3892="OR",--(COUNTIFS(nNIA,DATOS!$A3892,nCURSO,DATOS!$D3892,nESPEC,DATOS!$E3892,nASIG,DATOS!$I3892,nEVAL,"EX")=0),0))))</f>
      </c>
      <c r="H3892">
        <f>IF(DATOS!$G3892&lt;&gt;"EX",0,--(COUNTIFS(nNIA,DATOS!$A3892,nCURSO,DATOS!$D3892,nESPEC,DATOS!$E3892,nASIG,DATOS!$I3892,nEVAL,"OR")=0))</f>
      </c>
      <c r="I3892">
        <f>IF(DATOS!$I3892="","",IFERROR(VLOOKUP(DATOS!$I3892,CONFIG_ASIGNATURAS!$B$2:$J$91,9,FALSE()),""))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IF(DATOS!$A3893="",0,IF(CONFIG_METADATA!$B$4&lt;&gt;"OR+EX",--(DATOS!$G3893=CONFIG_METADATA!$B$4),IF(DATOS!$G3893="EX",1,IF(DATOS!$G3893="OR",--(COUNTIFS(nNIA,DATOS!$A3893,nCURSO,DATOS!$D3893,nESPEC,DATOS!$E3893,nASIG,DATOS!$I3893,nEVAL,"EX")=0),0))))</f>
      </c>
      <c r="H3893">
        <f>IF(DATOS!$G3893&lt;&gt;"EX",0,--(COUNTIFS(nNIA,DATOS!$A3893,nCURSO,DATOS!$D3893,nESPEC,DATOS!$E3893,nASIG,DATOS!$I3893,nEVAL,"OR")=0))</f>
      </c>
      <c r="I3893">
        <f>IF(DATOS!$I3893="","",IFERROR(VLOOKUP(DATOS!$I3893,CONFIG_ASIGNATURAS!$B$2:$J$91,9,FALSE()),""))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IF(DATOS!$A3894="",0,IF(CONFIG_METADATA!$B$4&lt;&gt;"OR+EX",--(DATOS!$G3894=CONFIG_METADATA!$B$4),IF(DATOS!$G3894="EX",1,IF(DATOS!$G3894="OR",--(COUNTIFS(nNIA,DATOS!$A3894,nCURSO,DATOS!$D3894,nESPEC,DATOS!$E3894,nASIG,DATOS!$I3894,nEVAL,"EX")=0),0))))</f>
      </c>
      <c r="H3894">
        <f>IF(DATOS!$G3894&lt;&gt;"EX",0,--(COUNTIFS(nNIA,DATOS!$A3894,nCURSO,DATOS!$D3894,nESPEC,DATOS!$E3894,nASIG,DATOS!$I3894,nEVAL,"OR")=0))</f>
      </c>
      <c r="I3894">
        <f>IF(DATOS!$I3894="","",IFERROR(VLOOKUP(DATOS!$I3894,CONFIG_ASIGNATURAS!$B$2:$J$91,9,FALSE()),""))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IF(DATOS!$A3895="",0,IF(CONFIG_METADATA!$B$4&lt;&gt;"OR+EX",--(DATOS!$G3895=CONFIG_METADATA!$B$4),IF(DATOS!$G3895="EX",1,IF(DATOS!$G3895="OR",--(COUNTIFS(nNIA,DATOS!$A3895,nCURSO,DATOS!$D3895,nESPEC,DATOS!$E3895,nASIG,DATOS!$I3895,nEVAL,"EX")=0),0))))</f>
      </c>
      <c r="H3895">
        <f>IF(DATOS!$G3895&lt;&gt;"EX",0,--(COUNTIFS(nNIA,DATOS!$A3895,nCURSO,DATOS!$D3895,nESPEC,DATOS!$E3895,nASIG,DATOS!$I3895,nEVAL,"OR")=0))</f>
      </c>
      <c r="I3895">
        <f>IF(DATOS!$I3895="","",IFERROR(VLOOKUP(DATOS!$I3895,CONFIG_ASIGNATURAS!$B$2:$J$91,9,FALSE()),""))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IF(DATOS!$A3896="",0,IF(CONFIG_METADATA!$B$4&lt;&gt;"OR+EX",--(DATOS!$G3896=CONFIG_METADATA!$B$4),IF(DATOS!$G3896="EX",1,IF(DATOS!$G3896="OR",--(COUNTIFS(nNIA,DATOS!$A3896,nCURSO,DATOS!$D3896,nESPEC,DATOS!$E3896,nASIG,DATOS!$I3896,nEVAL,"EX")=0),0))))</f>
      </c>
      <c r="H3896">
        <f>IF(DATOS!$G3896&lt;&gt;"EX",0,--(COUNTIFS(nNIA,DATOS!$A3896,nCURSO,DATOS!$D3896,nESPEC,DATOS!$E3896,nASIG,DATOS!$I3896,nEVAL,"OR")=0))</f>
      </c>
      <c r="I3896">
        <f>IF(DATOS!$I3896="","",IFERROR(VLOOKUP(DATOS!$I3896,CONFIG_ASIGNATURAS!$B$2:$J$91,9,FALSE()),""))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IF(DATOS!$A3897="",0,IF(CONFIG_METADATA!$B$4&lt;&gt;"OR+EX",--(DATOS!$G3897=CONFIG_METADATA!$B$4),IF(DATOS!$G3897="EX",1,IF(DATOS!$G3897="OR",--(COUNTIFS(nNIA,DATOS!$A3897,nCURSO,DATOS!$D3897,nESPEC,DATOS!$E3897,nASIG,DATOS!$I3897,nEVAL,"EX")=0),0))))</f>
      </c>
      <c r="H3897">
        <f>IF(DATOS!$G3897&lt;&gt;"EX",0,--(COUNTIFS(nNIA,DATOS!$A3897,nCURSO,DATOS!$D3897,nESPEC,DATOS!$E3897,nASIG,DATOS!$I3897,nEVAL,"OR")=0))</f>
      </c>
      <c r="I3897">
        <f>IF(DATOS!$I3897="","",IFERROR(VLOOKUP(DATOS!$I3897,CONFIG_ASIGNATURAS!$B$2:$J$91,9,FALSE()),""))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IF(DATOS!$A3898="",0,IF(CONFIG_METADATA!$B$4&lt;&gt;"OR+EX",--(DATOS!$G3898=CONFIG_METADATA!$B$4),IF(DATOS!$G3898="EX",1,IF(DATOS!$G3898="OR",--(COUNTIFS(nNIA,DATOS!$A3898,nCURSO,DATOS!$D3898,nESPEC,DATOS!$E3898,nASIG,DATOS!$I3898,nEVAL,"EX")=0),0))))</f>
      </c>
      <c r="H3898">
        <f>IF(DATOS!$G3898&lt;&gt;"EX",0,--(COUNTIFS(nNIA,DATOS!$A3898,nCURSO,DATOS!$D3898,nESPEC,DATOS!$E3898,nASIG,DATOS!$I3898,nEVAL,"OR")=0))</f>
      </c>
      <c r="I3898">
        <f>IF(DATOS!$I3898="","",IFERROR(VLOOKUP(DATOS!$I3898,CONFIG_ASIGNATURAS!$B$2:$J$91,9,FALSE()),""))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IF(DATOS!$A3899="",0,IF(CONFIG_METADATA!$B$4&lt;&gt;"OR+EX",--(DATOS!$G3899=CONFIG_METADATA!$B$4),IF(DATOS!$G3899="EX",1,IF(DATOS!$G3899="OR",--(COUNTIFS(nNIA,DATOS!$A3899,nCURSO,DATOS!$D3899,nESPEC,DATOS!$E3899,nASIG,DATOS!$I3899,nEVAL,"EX")=0),0))))</f>
      </c>
      <c r="H3899">
        <f>IF(DATOS!$G3899&lt;&gt;"EX",0,--(COUNTIFS(nNIA,DATOS!$A3899,nCURSO,DATOS!$D3899,nESPEC,DATOS!$E3899,nASIG,DATOS!$I3899,nEVAL,"OR")=0))</f>
      </c>
      <c r="I3899">
        <f>IF(DATOS!$I3899="","",IFERROR(VLOOKUP(DATOS!$I3899,CONFIG_ASIGNATURAS!$B$2:$J$91,9,FALSE()),""))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IF(DATOS!$A3900="",0,IF(CONFIG_METADATA!$B$4&lt;&gt;"OR+EX",--(DATOS!$G3900=CONFIG_METADATA!$B$4),IF(DATOS!$G3900="EX",1,IF(DATOS!$G3900="OR",--(COUNTIFS(nNIA,DATOS!$A3900,nCURSO,DATOS!$D3900,nESPEC,DATOS!$E3900,nASIG,DATOS!$I3900,nEVAL,"EX")=0),0))))</f>
      </c>
      <c r="H3900">
        <f>IF(DATOS!$G3900&lt;&gt;"EX",0,--(COUNTIFS(nNIA,DATOS!$A3900,nCURSO,DATOS!$D3900,nESPEC,DATOS!$E3900,nASIG,DATOS!$I3900,nEVAL,"OR")=0))</f>
      </c>
      <c r="I3900">
        <f>IF(DATOS!$I3900="","",IFERROR(VLOOKUP(DATOS!$I3900,CONFIG_ASIGNATURAS!$B$2:$J$91,9,FALSE()),""))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IF(DATOS!$A3901="",0,IF(CONFIG_METADATA!$B$4&lt;&gt;"OR+EX",--(DATOS!$G3901=CONFIG_METADATA!$B$4),IF(DATOS!$G3901="EX",1,IF(DATOS!$G3901="OR",--(COUNTIFS(nNIA,DATOS!$A3901,nCURSO,DATOS!$D3901,nESPEC,DATOS!$E3901,nASIG,DATOS!$I3901,nEVAL,"EX")=0),0))))</f>
      </c>
      <c r="H3901">
        <f>IF(DATOS!$G3901&lt;&gt;"EX",0,--(COUNTIFS(nNIA,DATOS!$A3901,nCURSO,DATOS!$D3901,nESPEC,DATOS!$E3901,nASIG,DATOS!$I3901,nEVAL,"OR")=0))</f>
      </c>
      <c r="I3901">
        <f>IF(DATOS!$I3901="","",IFERROR(VLOOKUP(DATOS!$I3901,CONFIG_ASIGNATURAS!$B$2:$J$91,9,FALSE()),""))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IF(DATOS!$A3902="",0,IF(CONFIG_METADATA!$B$4&lt;&gt;"OR+EX",--(DATOS!$G3902=CONFIG_METADATA!$B$4),IF(DATOS!$G3902="EX",1,IF(DATOS!$G3902="OR",--(COUNTIFS(nNIA,DATOS!$A3902,nCURSO,DATOS!$D3902,nESPEC,DATOS!$E3902,nASIG,DATOS!$I3902,nEVAL,"EX")=0),0))))</f>
      </c>
      <c r="H3902">
        <f>IF(DATOS!$G3902&lt;&gt;"EX",0,--(COUNTIFS(nNIA,DATOS!$A3902,nCURSO,DATOS!$D3902,nESPEC,DATOS!$E3902,nASIG,DATOS!$I3902,nEVAL,"OR")=0))</f>
      </c>
      <c r="I3902">
        <f>IF(DATOS!$I3902="","",IFERROR(VLOOKUP(DATOS!$I3902,CONFIG_ASIGNATURAS!$B$2:$J$91,9,FALSE()),""))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IF(DATOS!$A3903="",0,IF(CONFIG_METADATA!$B$4&lt;&gt;"OR+EX",--(DATOS!$G3903=CONFIG_METADATA!$B$4),IF(DATOS!$G3903="EX",1,IF(DATOS!$G3903="OR",--(COUNTIFS(nNIA,DATOS!$A3903,nCURSO,DATOS!$D3903,nESPEC,DATOS!$E3903,nASIG,DATOS!$I3903,nEVAL,"EX")=0),0))))</f>
      </c>
      <c r="H3903">
        <f>IF(DATOS!$G3903&lt;&gt;"EX",0,--(COUNTIFS(nNIA,DATOS!$A3903,nCURSO,DATOS!$D3903,nESPEC,DATOS!$E3903,nASIG,DATOS!$I3903,nEVAL,"OR")=0))</f>
      </c>
      <c r="I3903">
        <f>IF(DATOS!$I3903="","",IFERROR(VLOOKUP(DATOS!$I3903,CONFIG_ASIGNATURAS!$B$2:$J$91,9,FALSE()),""))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IF(DATOS!$A3904="",0,IF(CONFIG_METADATA!$B$4&lt;&gt;"OR+EX",--(DATOS!$G3904=CONFIG_METADATA!$B$4),IF(DATOS!$G3904="EX",1,IF(DATOS!$G3904="OR",--(COUNTIFS(nNIA,DATOS!$A3904,nCURSO,DATOS!$D3904,nESPEC,DATOS!$E3904,nASIG,DATOS!$I3904,nEVAL,"EX")=0),0))))</f>
      </c>
      <c r="H3904">
        <f>IF(DATOS!$G3904&lt;&gt;"EX",0,--(COUNTIFS(nNIA,DATOS!$A3904,nCURSO,DATOS!$D3904,nESPEC,DATOS!$E3904,nASIG,DATOS!$I3904,nEVAL,"OR")=0))</f>
      </c>
      <c r="I3904">
        <f>IF(DATOS!$I3904="","",IFERROR(VLOOKUP(DATOS!$I3904,CONFIG_ASIGNATURAS!$B$2:$J$91,9,FALSE()),""))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IF(DATOS!$A3905="",0,IF(CONFIG_METADATA!$B$4&lt;&gt;"OR+EX",--(DATOS!$G3905=CONFIG_METADATA!$B$4),IF(DATOS!$G3905="EX",1,IF(DATOS!$G3905="OR",--(COUNTIFS(nNIA,DATOS!$A3905,nCURSO,DATOS!$D3905,nESPEC,DATOS!$E3905,nASIG,DATOS!$I3905,nEVAL,"EX")=0),0))))</f>
      </c>
      <c r="H3905">
        <f>IF(DATOS!$G3905&lt;&gt;"EX",0,--(COUNTIFS(nNIA,DATOS!$A3905,nCURSO,DATOS!$D3905,nESPEC,DATOS!$E3905,nASIG,DATOS!$I3905,nEVAL,"OR")=0))</f>
      </c>
      <c r="I3905">
        <f>IF(DATOS!$I3905="","",IFERROR(VLOOKUP(DATOS!$I3905,CONFIG_ASIGNATURAS!$B$2:$J$91,9,FALSE()),""))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IF(DATOS!$A3906="",0,IF(CONFIG_METADATA!$B$4&lt;&gt;"OR+EX",--(DATOS!$G3906=CONFIG_METADATA!$B$4),IF(DATOS!$G3906="EX",1,IF(DATOS!$G3906="OR",--(COUNTIFS(nNIA,DATOS!$A3906,nCURSO,DATOS!$D3906,nESPEC,DATOS!$E3906,nASIG,DATOS!$I3906,nEVAL,"EX")=0),0))))</f>
      </c>
      <c r="H3906">
        <f>IF(DATOS!$G3906&lt;&gt;"EX",0,--(COUNTIFS(nNIA,DATOS!$A3906,nCURSO,DATOS!$D3906,nESPEC,DATOS!$E3906,nASIG,DATOS!$I3906,nEVAL,"OR")=0))</f>
      </c>
      <c r="I3906">
        <f>IF(DATOS!$I3906="","",IFERROR(VLOOKUP(DATOS!$I3906,CONFIG_ASIGNATURAS!$B$2:$J$91,9,FALSE()),""))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IF(DATOS!$A3907="",0,IF(CONFIG_METADATA!$B$4&lt;&gt;"OR+EX",--(DATOS!$G3907=CONFIG_METADATA!$B$4),IF(DATOS!$G3907="EX",1,IF(DATOS!$G3907="OR",--(COUNTIFS(nNIA,DATOS!$A3907,nCURSO,DATOS!$D3907,nESPEC,DATOS!$E3907,nASIG,DATOS!$I3907,nEVAL,"EX")=0),0))))</f>
      </c>
      <c r="H3907">
        <f>IF(DATOS!$G3907&lt;&gt;"EX",0,--(COUNTIFS(nNIA,DATOS!$A3907,nCURSO,DATOS!$D3907,nESPEC,DATOS!$E3907,nASIG,DATOS!$I3907,nEVAL,"OR")=0))</f>
      </c>
      <c r="I3907">
        <f>IF(DATOS!$I3907="","",IFERROR(VLOOKUP(DATOS!$I3907,CONFIG_ASIGNATURAS!$B$2:$J$91,9,FALSE()),""))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IF(DATOS!$A3908="",0,IF(CONFIG_METADATA!$B$4&lt;&gt;"OR+EX",--(DATOS!$G3908=CONFIG_METADATA!$B$4),IF(DATOS!$G3908="EX",1,IF(DATOS!$G3908="OR",--(COUNTIFS(nNIA,DATOS!$A3908,nCURSO,DATOS!$D3908,nESPEC,DATOS!$E3908,nASIG,DATOS!$I3908,nEVAL,"EX")=0),0))))</f>
      </c>
      <c r="H3908">
        <f>IF(DATOS!$G3908&lt;&gt;"EX",0,--(COUNTIFS(nNIA,DATOS!$A3908,nCURSO,DATOS!$D3908,nESPEC,DATOS!$E3908,nASIG,DATOS!$I3908,nEVAL,"OR")=0))</f>
      </c>
      <c r="I3908">
        <f>IF(DATOS!$I3908="","",IFERROR(VLOOKUP(DATOS!$I3908,CONFIG_ASIGNATURAS!$B$2:$J$91,9,FALSE()),""))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IF(DATOS!$A3909="",0,IF(CONFIG_METADATA!$B$4&lt;&gt;"OR+EX",--(DATOS!$G3909=CONFIG_METADATA!$B$4),IF(DATOS!$G3909="EX",1,IF(DATOS!$G3909="OR",--(COUNTIFS(nNIA,DATOS!$A3909,nCURSO,DATOS!$D3909,nESPEC,DATOS!$E3909,nASIG,DATOS!$I3909,nEVAL,"EX")=0),0))))</f>
      </c>
      <c r="H3909">
        <f>IF(DATOS!$G3909&lt;&gt;"EX",0,--(COUNTIFS(nNIA,DATOS!$A3909,nCURSO,DATOS!$D3909,nESPEC,DATOS!$E3909,nASIG,DATOS!$I3909,nEVAL,"OR")=0))</f>
      </c>
      <c r="I3909">
        <f>IF(DATOS!$I3909="","",IFERROR(VLOOKUP(DATOS!$I3909,CONFIG_ASIGNATURAS!$B$2:$J$91,9,FALSE()),""))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IF(DATOS!$A3910="",0,IF(CONFIG_METADATA!$B$4&lt;&gt;"OR+EX",--(DATOS!$G3910=CONFIG_METADATA!$B$4),IF(DATOS!$G3910="EX",1,IF(DATOS!$G3910="OR",--(COUNTIFS(nNIA,DATOS!$A3910,nCURSO,DATOS!$D3910,nESPEC,DATOS!$E3910,nASIG,DATOS!$I3910,nEVAL,"EX")=0),0))))</f>
      </c>
      <c r="H3910">
        <f>IF(DATOS!$G3910&lt;&gt;"EX",0,--(COUNTIFS(nNIA,DATOS!$A3910,nCURSO,DATOS!$D3910,nESPEC,DATOS!$E3910,nASIG,DATOS!$I3910,nEVAL,"OR")=0))</f>
      </c>
      <c r="I3910">
        <f>IF(DATOS!$I3910="","",IFERROR(VLOOKUP(DATOS!$I3910,CONFIG_ASIGNATURAS!$B$2:$J$91,9,FALSE()),""))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IF(DATOS!$A3911="",0,IF(CONFIG_METADATA!$B$4&lt;&gt;"OR+EX",--(DATOS!$G3911=CONFIG_METADATA!$B$4),IF(DATOS!$G3911="EX",1,IF(DATOS!$G3911="OR",--(COUNTIFS(nNIA,DATOS!$A3911,nCURSO,DATOS!$D3911,nESPEC,DATOS!$E3911,nASIG,DATOS!$I3911,nEVAL,"EX")=0),0))))</f>
      </c>
      <c r="H3911">
        <f>IF(DATOS!$G3911&lt;&gt;"EX",0,--(COUNTIFS(nNIA,DATOS!$A3911,nCURSO,DATOS!$D3911,nESPEC,DATOS!$E3911,nASIG,DATOS!$I3911,nEVAL,"OR")=0))</f>
      </c>
      <c r="I3911">
        <f>IF(DATOS!$I3911="","",IFERROR(VLOOKUP(DATOS!$I3911,CONFIG_ASIGNATURAS!$B$2:$J$91,9,FALSE()),""))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IF(DATOS!$A3912="",0,IF(CONFIG_METADATA!$B$4&lt;&gt;"OR+EX",--(DATOS!$G3912=CONFIG_METADATA!$B$4),IF(DATOS!$G3912="EX",1,IF(DATOS!$G3912="OR",--(COUNTIFS(nNIA,DATOS!$A3912,nCURSO,DATOS!$D3912,nESPEC,DATOS!$E3912,nASIG,DATOS!$I3912,nEVAL,"EX")=0),0))))</f>
      </c>
      <c r="H3912">
        <f>IF(DATOS!$G3912&lt;&gt;"EX",0,--(COUNTIFS(nNIA,DATOS!$A3912,nCURSO,DATOS!$D3912,nESPEC,DATOS!$E3912,nASIG,DATOS!$I3912,nEVAL,"OR")=0))</f>
      </c>
      <c r="I3912">
        <f>IF(DATOS!$I3912="","",IFERROR(VLOOKUP(DATOS!$I3912,CONFIG_ASIGNATURAS!$B$2:$J$91,9,FALSE()),""))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IF(DATOS!$A3913="",0,IF(CONFIG_METADATA!$B$4&lt;&gt;"OR+EX",--(DATOS!$G3913=CONFIG_METADATA!$B$4),IF(DATOS!$G3913="EX",1,IF(DATOS!$G3913="OR",--(COUNTIFS(nNIA,DATOS!$A3913,nCURSO,DATOS!$D3913,nESPEC,DATOS!$E3913,nASIG,DATOS!$I3913,nEVAL,"EX")=0),0))))</f>
      </c>
      <c r="H3913">
        <f>IF(DATOS!$G3913&lt;&gt;"EX",0,--(COUNTIFS(nNIA,DATOS!$A3913,nCURSO,DATOS!$D3913,nESPEC,DATOS!$E3913,nASIG,DATOS!$I3913,nEVAL,"OR")=0))</f>
      </c>
      <c r="I3913">
        <f>IF(DATOS!$I3913="","",IFERROR(VLOOKUP(DATOS!$I3913,CONFIG_ASIGNATURAS!$B$2:$J$91,9,FALSE()),""))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IF(DATOS!$A3914="",0,IF(CONFIG_METADATA!$B$4&lt;&gt;"OR+EX",--(DATOS!$G3914=CONFIG_METADATA!$B$4),IF(DATOS!$G3914="EX",1,IF(DATOS!$G3914="OR",--(COUNTIFS(nNIA,DATOS!$A3914,nCURSO,DATOS!$D3914,nESPEC,DATOS!$E3914,nASIG,DATOS!$I3914,nEVAL,"EX")=0),0))))</f>
      </c>
      <c r="H3914">
        <f>IF(DATOS!$G3914&lt;&gt;"EX",0,--(COUNTIFS(nNIA,DATOS!$A3914,nCURSO,DATOS!$D3914,nESPEC,DATOS!$E3914,nASIG,DATOS!$I3914,nEVAL,"OR")=0))</f>
      </c>
      <c r="I3914">
        <f>IF(DATOS!$I3914="","",IFERROR(VLOOKUP(DATOS!$I3914,CONFIG_ASIGNATURAS!$B$2:$J$91,9,FALSE()),""))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IF(DATOS!$A3915="",0,IF(CONFIG_METADATA!$B$4&lt;&gt;"OR+EX",--(DATOS!$G3915=CONFIG_METADATA!$B$4),IF(DATOS!$G3915="EX",1,IF(DATOS!$G3915="OR",--(COUNTIFS(nNIA,DATOS!$A3915,nCURSO,DATOS!$D3915,nESPEC,DATOS!$E3915,nASIG,DATOS!$I3915,nEVAL,"EX")=0),0))))</f>
      </c>
      <c r="H3915">
        <f>IF(DATOS!$G3915&lt;&gt;"EX",0,--(COUNTIFS(nNIA,DATOS!$A3915,nCURSO,DATOS!$D3915,nESPEC,DATOS!$E3915,nASIG,DATOS!$I3915,nEVAL,"OR")=0))</f>
      </c>
      <c r="I3915">
        <f>IF(DATOS!$I3915="","",IFERROR(VLOOKUP(DATOS!$I3915,CONFIG_ASIGNATURAS!$B$2:$J$91,9,FALSE()),""))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IF(DATOS!$A3916="",0,IF(CONFIG_METADATA!$B$4&lt;&gt;"OR+EX",--(DATOS!$G3916=CONFIG_METADATA!$B$4),IF(DATOS!$G3916="EX",1,IF(DATOS!$G3916="OR",--(COUNTIFS(nNIA,DATOS!$A3916,nCURSO,DATOS!$D3916,nESPEC,DATOS!$E3916,nASIG,DATOS!$I3916,nEVAL,"EX")=0),0))))</f>
      </c>
      <c r="H3916">
        <f>IF(DATOS!$G3916&lt;&gt;"EX",0,--(COUNTIFS(nNIA,DATOS!$A3916,nCURSO,DATOS!$D3916,nESPEC,DATOS!$E3916,nASIG,DATOS!$I3916,nEVAL,"OR")=0))</f>
      </c>
      <c r="I3916">
        <f>IF(DATOS!$I3916="","",IFERROR(VLOOKUP(DATOS!$I3916,CONFIG_ASIGNATURAS!$B$2:$J$91,9,FALSE()),""))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IF(DATOS!$A3917="",0,IF(CONFIG_METADATA!$B$4&lt;&gt;"OR+EX",--(DATOS!$G3917=CONFIG_METADATA!$B$4),IF(DATOS!$G3917="EX",1,IF(DATOS!$G3917="OR",--(COUNTIFS(nNIA,DATOS!$A3917,nCURSO,DATOS!$D3917,nESPEC,DATOS!$E3917,nASIG,DATOS!$I3917,nEVAL,"EX")=0),0))))</f>
      </c>
      <c r="H3917">
        <f>IF(DATOS!$G3917&lt;&gt;"EX",0,--(COUNTIFS(nNIA,DATOS!$A3917,nCURSO,DATOS!$D3917,nESPEC,DATOS!$E3917,nASIG,DATOS!$I3917,nEVAL,"OR")=0))</f>
      </c>
      <c r="I3917">
        <f>IF(DATOS!$I3917="","",IFERROR(VLOOKUP(DATOS!$I3917,CONFIG_ASIGNATURAS!$B$2:$J$91,9,FALSE()),""))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IF(DATOS!$A3918="",0,IF(CONFIG_METADATA!$B$4&lt;&gt;"OR+EX",--(DATOS!$G3918=CONFIG_METADATA!$B$4),IF(DATOS!$G3918="EX",1,IF(DATOS!$G3918="OR",--(COUNTIFS(nNIA,DATOS!$A3918,nCURSO,DATOS!$D3918,nESPEC,DATOS!$E3918,nASIG,DATOS!$I3918,nEVAL,"EX")=0),0))))</f>
      </c>
      <c r="H3918">
        <f>IF(DATOS!$G3918&lt;&gt;"EX",0,--(COUNTIFS(nNIA,DATOS!$A3918,nCURSO,DATOS!$D3918,nESPEC,DATOS!$E3918,nASIG,DATOS!$I3918,nEVAL,"OR")=0))</f>
      </c>
      <c r="I3918">
        <f>IF(DATOS!$I3918="","",IFERROR(VLOOKUP(DATOS!$I3918,CONFIG_ASIGNATURAS!$B$2:$J$91,9,FALSE()),""))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IF(DATOS!$A3919="",0,IF(CONFIG_METADATA!$B$4&lt;&gt;"OR+EX",--(DATOS!$G3919=CONFIG_METADATA!$B$4),IF(DATOS!$G3919="EX",1,IF(DATOS!$G3919="OR",--(COUNTIFS(nNIA,DATOS!$A3919,nCURSO,DATOS!$D3919,nESPEC,DATOS!$E3919,nASIG,DATOS!$I3919,nEVAL,"EX")=0),0))))</f>
      </c>
      <c r="H3919">
        <f>IF(DATOS!$G3919&lt;&gt;"EX",0,--(COUNTIFS(nNIA,DATOS!$A3919,nCURSO,DATOS!$D3919,nESPEC,DATOS!$E3919,nASIG,DATOS!$I3919,nEVAL,"OR")=0))</f>
      </c>
      <c r="I3919">
        <f>IF(DATOS!$I3919="","",IFERROR(VLOOKUP(DATOS!$I3919,CONFIG_ASIGNATURAS!$B$2:$J$91,9,FALSE()),""))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IF(DATOS!$A3920="",0,IF(CONFIG_METADATA!$B$4&lt;&gt;"OR+EX",--(DATOS!$G3920=CONFIG_METADATA!$B$4),IF(DATOS!$G3920="EX",1,IF(DATOS!$G3920="OR",--(COUNTIFS(nNIA,DATOS!$A3920,nCURSO,DATOS!$D3920,nESPEC,DATOS!$E3920,nASIG,DATOS!$I3920,nEVAL,"EX")=0),0))))</f>
      </c>
      <c r="H3920">
        <f>IF(DATOS!$G3920&lt;&gt;"EX",0,--(COUNTIFS(nNIA,DATOS!$A3920,nCURSO,DATOS!$D3920,nESPEC,DATOS!$E3920,nASIG,DATOS!$I3920,nEVAL,"OR")=0))</f>
      </c>
      <c r="I3920">
        <f>IF(DATOS!$I3920="","",IFERROR(VLOOKUP(DATOS!$I3920,CONFIG_ASIGNATURAS!$B$2:$J$91,9,FALSE()),""))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IF(DATOS!$A3921="",0,IF(CONFIG_METADATA!$B$4&lt;&gt;"OR+EX",--(DATOS!$G3921=CONFIG_METADATA!$B$4),IF(DATOS!$G3921="EX",1,IF(DATOS!$G3921="OR",--(COUNTIFS(nNIA,DATOS!$A3921,nCURSO,DATOS!$D3921,nESPEC,DATOS!$E3921,nASIG,DATOS!$I3921,nEVAL,"EX")=0),0))))</f>
      </c>
      <c r="H3921">
        <f>IF(DATOS!$G3921&lt;&gt;"EX",0,--(COUNTIFS(nNIA,DATOS!$A3921,nCURSO,DATOS!$D3921,nESPEC,DATOS!$E3921,nASIG,DATOS!$I3921,nEVAL,"OR")=0))</f>
      </c>
      <c r="I3921">
        <f>IF(DATOS!$I3921="","",IFERROR(VLOOKUP(DATOS!$I3921,CONFIG_ASIGNATURAS!$B$2:$J$91,9,FALSE()),""))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IF(DATOS!$A3922="",0,IF(CONFIG_METADATA!$B$4&lt;&gt;"OR+EX",--(DATOS!$G3922=CONFIG_METADATA!$B$4),IF(DATOS!$G3922="EX",1,IF(DATOS!$G3922="OR",--(COUNTIFS(nNIA,DATOS!$A3922,nCURSO,DATOS!$D3922,nESPEC,DATOS!$E3922,nASIG,DATOS!$I3922,nEVAL,"EX")=0),0))))</f>
      </c>
      <c r="H3922">
        <f>IF(DATOS!$G3922&lt;&gt;"EX",0,--(COUNTIFS(nNIA,DATOS!$A3922,nCURSO,DATOS!$D3922,nESPEC,DATOS!$E3922,nASIG,DATOS!$I3922,nEVAL,"OR")=0))</f>
      </c>
      <c r="I3922">
        <f>IF(DATOS!$I3922="","",IFERROR(VLOOKUP(DATOS!$I3922,CONFIG_ASIGNATURAS!$B$2:$J$91,9,FALSE()),""))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IF(DATOS!$A3923="",0,IF(CONFIG_METADATA!$B$4&lt;&gt;"OR+EX",--(DATOS!$G3923=CONFIG_METADATA!$B$4),IF(DATOS!$G3923="EX",1,IF(DATOS!$G3923="OR",--(COUNTIFS(nNIA,DATOS!$A3923,nCURSO,DATOS!$D3923,nESPEC,DATOS!$E3923,nASIG,DATOS!$I3923,nEVAL,"EX")=0),0))))</f>
      </c>
      <c r="H3923">
        <f>IF(DATOS!$G3923&lt;&gt;"EX",0,--(COUNTIFS(nNIA,DATOS!$A3923,nCURSO,DATOS!$D3923,nESPEC,DATOS!$E3923,nASIG,DATOS!$I3923,nEVAL,"OR")=0))</f>
      </c>
      <c r="I3923">
        <f>IF(DATOS!$I3923="","",IFERROR(VLOOKUP(DATOS!$I3923,CONFIG_ASIGNATURAS!$B$2:$J$91,9,FALSE()),""))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IF(DATOS!$A3924="",0,IF(CONFIG_METADATA!$B$4&lt;&gt;"OR+EX",--(DATOS!$G3924=CONFIG_METADATA!$B$4),IF(DATOS!$G3924="EX",1,IF(DATOS!$G3924="OR",--(COUNTIFS(nNIA,DATOS!$A3924,nCURSO,DATOS!$D3924,nESPEC,DATOS!$E3924,nASIG,DATOS!$I3924,nEVAL,"EX")=0),0))))</f>
      </c>
      <c r="H3924">
        <f>IF(DATOS!$G3924&lt;&gt;"EX",0,--(COUNTIFS(nNIA,DATOS!$A3924,nCURSO,DATOS!$D3924,nESPEC,DATOS!$E3924,nASIG,DATOS!$I3924,nEVAL,"OR")=0))</f>
      </c>
      <c r="I3924">
        <f>IF(DATOS!$I3924="","",IFERROR(VLOOKUP(DATOS!$I3924,CONFIG_ASIGNATURAS!$B$2:$J$91,9,FALSE()),""))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IF(DATOS!$A3925="",0,IF(CONFIG_METADATA!$B$4&lt;&gt;"OR+EX",--(DATOS!$G3925=CONFIG_METADATA!$B$4),IF(DATOS!$G3925="EX",1,IF(DATOS!$G3925="OR",--(COUNTIFS(nNIA,DATOS!$A3925,nCURSO,DATOS!$D3925,nESPEC,DATOS!$E3925,nASIG,DATOS!$I3925,nEVAL,"EX")=0),0))))</f>
      </c>
      <c r="H3925">
        <f>IF(DATOS!$G3925&lt;&gt;"EX",0,--(COUNTIFS(nNIA,DATOS!$A3925,nCURSO,DATOS!$D3925,nESPEC,DATOS!$E3925,nASIG,DATOS!$I3925,nEVAL,"OR")=0))</f>
      </c>
      <c r="I3925">
        <f>IF(DATOS!$I3925="","",IFERROR(VLOOKUP(DATOS!$I3925,CONFIG_ASIGNATURAS!$B$2:$J$91,9,FALSE()),""))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IF(DATOS!$A3926="",0,IF(CONFIG_METADATA!$B$4&lt;&gt;"OR+EX",--(DATOS!$G3926=CONFIG_METADATA!$B$4),IF(DATOS!$G3926="EX",1,IF(DATOS!$G3926="OR",--(COUNTIFS(nNIA,DATOS!$A3926,nCURSO,DATOS!$D3926,nESPEC,DATOS!$E3926,nASIG,DATOS!$I3926,nEVAL,"EX")=0),0))))</f>
      </c>
      <c r="H3926">
        <f>IF(DATOS!$G3926&lt;&gt;"EX",0,--(COUNTIFS(nNIA,DATOS!$A3926,nCURSO,DATOS!$D3926,nESPEC,DATOS!$E3926,nASIG,DATOS!$I3926,nEVAL,"OR")=0))</f>
      </c>
      <c r="I3926">
        <f>IF(DATOS!$I3926="","",IFERROR(VLOOKUP(DATOS!$I3926,CONFIG_ASIGNATURAS!$B$2:$J$91,9,FALSE()),""))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IF(DATOS!$A3927="",0,IF(CONFIG_METADATA!$B$4&lt;&gt;"OR+EX",--(DATOS!$G3927=CONFIG_METADATA!$B$4),IF(DATOS!$G3927="EX",1,IF(DATOS!$G3927="OR",--(COUNTIFS(nNIA,DATOS!$A3927,nCURSO,DATOS!$D3927,nESPEC,DATOS!$E3927,nASIG,DATOS!$I3927,nEVAL,"EX")=0),0))))</f>
      </c>
      <c r="H3927">
        <f>IF(DATOS!$G3927&lt;&gt;"EX",0,--(COUNTIFS(nNIA,DATOS!$A3927,nCURSO,DATOS!$D3927,nESPEC,DATOS!$E3927,nASIG,DATOS!$I3927,nEVAL,"OR")=0))</f>
      </c>
      <c r="I3927">
        <f>IF(DATOS!$I3927="","",IFERROR(VLOOKUP(DATOS!$I3927,CONFIG_ASIGNATURAS!$B$2:$J$91,9,FALSE()),""))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IF(DATOS!$A3928="",0,IF(CONFIG_METADATA!$B$4&lt;&gt;"OR+EX",--(DATOS!$G3928=CONFIG_METADATA!$B$4),IF(DATOS!$G3928="EX",1,IF(DATOS!$G3928="OR",--(COUNTIFS(nNIA,DATOS!$A3928,nCURSO,DATOS!$D3928,nESPEC,DATOS!$E3928,nASIG,DATOS!$I3928,nEVAL,"EX")=0),0))))</f>
      </c>
      <c r="H3928">
        <f>IF(DATOS!$G3928&lt;&gt;"EX",0,--(COUNTIFS(nNIA,DATOS!$A3928,nCURSO,DATOS!$D3928,nESPEC,DATOS!$E3928,nASIG,DATOS!$I3928,nEVAL,"OR")=0))</f>
      </c>
      <c r="I3928">
        <f>IF(DATOS!$I3928="","",IFERROR(VLOOKUP(DATOS!$I3928,CONFIG_ASIGNATURAS!$B$2:$J$91,9,FALSE()),""))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IF(DATOS!$A3929="",0,IF(CONFIG_METADATA!$B$4&lt;&gt;"OR+EX",--(DATOS!$G3929=CONFIG_METADATA!$B$4),IF(DATOS!$G3929="EX",1,IF(DATOS!$G3929="OR",--(COUNTIFS(nNIA,DATOS!$A3929,nCURSO,DATOS!$D3929,nESPEC,DATOS!$E3929,nASIG,DATOS!$I3929,nEVAL,"EX")=0),0))))</f>
      </c>
      <c r="H3929">
        <f>IF(DATOS!$G3929&lt;&gt;"EX",0,--(COUNTIFS(nNIA,DATOS!$A3929,nCURSO,DATOS!$D3929,nESPEC,DATOS!$E3929,nASIG,DATOS!$I3929,nEVAL,"OR")=0))</f>
      </c>
      <c r="I3929">
        <f>IF(DATOS!$I3929="","",IFERROR(VLOOKUP(DATOS!$I3929,CONFIG_ASIGNATURAS!$B$2:$J$91,9,FALSE()),""))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IF(DATOS!$A3930="",0,IF(CONFIG_METADATA!$B$4&lt;&gt;"OR+EX",--(DATOS!$G3930=CONFIG_METADATA!$B$4),IF(DATOS!$G3930="EX",1,IF(DATOS!$G3930="OR",--(COUNTIFS(nNIA,DATOS!$A3930,nCURSO,DATOS!$D3930,nESPEC,DATOS!$E3930,nASIG,DATOS!$I3930,nEVAL,"EX")=0),0))))</f>
      </c>
      <c r="H3930">
        <f>IF(DATOS!$G3930&lt;&gt;"EX",0,--(COUNTIFS(nNIA,DATOS!$A3930,nCURSO,DATOS!$D3930,nESPEC,DATOS!$E3930,nASIG,DATOS!$I3930,nEVAL,"OR")=0))</f>
      </c>
      <c r="I3930">
        <f>IF(DATOS!$I3930="","",IFERROR(VLOOKUP(DATOS!$I3930,CONFIG_ASIGNATURAS!$B$2:$J$91,9,FALSE()),""))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IF(DATOS!$A3931="",0,IF(CONFIG_METADATA!$B$4&lt;&gt;"OR+EX",--(DATOS!$G3931=CONFIG_METADATA!$B$4),IF(DATOS!$G3931="EX",1,IF(DATOS!$G3931="OR",--(COUNTIFS(nNIA,DATOS!$A3931,nCURSO,DATOS!$D3931,nESPEC,DATOS!$E3931,nASIG,DATOS!$I3931,nEVAL,"EX")=0),0))))</f>
      </c>
      <c r="H3931">
        <f>IF(DATOS!$G3931&lt;&gt;"EX",0,--(COUNTIFS(nNIA,DATOS!$A3931,nCURSO,DATOS!$D3931,nESPEC,DATOS!$E3931,nASIG,DATOS!$I3931,nEVAL,"OR")=0))</f>
      </c>
      <c r="I3931">
        <f>IF(DATOS!$I3931="","",IFERROR(VLOOKUP(DATOS!$I3931,CONFIG_ASIGNATURAS!$B$2:$J$91,9,FALSE()),""))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IF(DATOS!$A3932="",0,IF(CONFIG_METADATA!$B$4&lt;&gt;"OR+EX",--(DATOS!$G3932=CONFIG_METADATA!$B$4),IF(DATOS!$G3932="EX",1,IF(DATOS!$G3932="OR",--(COUNTIFS(nNIA,DATOS!$A3932,nCURSO,DATOS!$D3932,nESPEC,DATOS!$E3932,nASIG,DATOS!$I3932,nEVAL,"EX")=0),0))))</f>
      </c>
      <c r="H3932">
        <f>IF(DATOS!$G3932&lt;&gt;"EX",0,--(COUNTIFS(nNIA,DATOS!$A3932,nCURSO,DATOS!$D3932,nESPEC,DATOS!$E3932,nASIG,DATOS!$I3932,nEVAL,"OR")=0))</f>
      </c>
      <c r="I3932">
        <f>IF(DATOS!$I3932="","",IFERROR(VLOOKUP(DATOS!$I3932,CONFIG_ASIGNATURAS!$B$2:$J$91,9,FALSE()),""))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IF(DATOS!$A3933="",0,IF(CONFIG_METADATA!$B$4&lt;&gt;"OR+EX",--(DATOS!$G3933=CONFIG_METADATA!$B$4),IF(DATOS!$G3933="EX",1,IF(DATOS!$G3933="OR",--(COUNTIFS(nNIA,DATOS!$A3933,nCURSO,DATOS!$D3933,nESPEC,DATOS!$E3933,nASIG,DATOS!$I3933,nEVAL,"EX")=0),0))))</f>
      </c>
      <c r="H3933">
        <f>IF(DATOS!$G3933&lt;&gt;"EX",0,--(COUNTIFS(nNIA,DATOS!$A3933,nCURSO,DATOS!$D3933,nESPEC,DATOS!$E3933,nASIG,DATOS!$I3933,nEVAL,"OR")=0))</f>
      </c>
      <c r="I3933">
        <f>IF(DATOS!$I3933="","",IFERROR(VLOOKUP(DATOS!$I3933,CONFIG_ASIGNATURAS!$B$2:$J$91,9,FALSE()),""))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IF(DATOS!$A3934="",0,IF(CONFIG_METADATA!$B$4&lt;&gt;"OR+EX",--(DATOS!$G3934=CONFIG_METADATA!$B$4),IF(DATOS!$G3934="EX",1,IF(DATOS!$G3934="OR",--(COUNTIFS(nNIA,DATOS!$A3934,nCURSO,DATOS!$D3934,nESPEC,DATOS!$E3934,nASIG,DATOS!$I3934,nEVAL,"EX")=0),0))))</f>
      </c>
      <c r="H3934">
        <f>IF(DATOS!$G3934&lt;&gt;"EX",0,--(COUNTIFS(nNIA,DATOS!$A3934,nCURSO,DATOS!$D3934,nESPEC,DATOS!$E3934,nASIG,DATOS!$I3934,nEVAL,"OR")=0))</f>
      </c>
      <c r="I3934">
        <f>IF(DATOS!$I3934="","",IFERROR(VLOOKUP(DATOS!$I3934,CONFIG_ASIGNATURAS!$B$2:$J$91,9,FALSE()),""))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IF(DATOS!$A3935="",0,IF(CONFIG_METADATA!$B$4&lt;&gt;"OR+EX",--(DATOS!$G3935=CONFIG_METADATA!$B$4),IF(DATOS!$G3935="EX",1,IF(DATOS!$G3935="OR",--(COUNTIFS(nNIA,DATOS!$A3935,nCURSO,DATOS!$D3935,nESPEC,DATOS!$E3935,nASIG,DATOS!$I3935,nEVAL,"EX")=0),0))))</f>
      </c>
      <c r="H3935">
        <f>IF(DATOS!$G3935&lt;&gt;"EX",0,--(COUNTIFS(nNIA,DATOS!$A3935,nCURSO,DATOS!$D3935,nESPEC,DATOS!$E3935,nASIG,DATOS!$I3935,nEVAL,"OR")=0))</f>
      </c>
      <c r="I3935">
        <f>IF(DATOS!$I3935="","",IFERROR(VLOOKUP(DATOS!$I3935,CONFIG_ASIGNATURAS!$B$2:$J$91,9,FALSE()),""))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IF(DATOS!$A3936="",0,IF(CONFIG_METADATA!$B$4&lt;&gt;"OR+EX",--(DATOS!$G3936=CONFIG_METADATA!$B$4),IF(DATOS!$G3936="EX",1,IF(DATOS!$G3936="OR",--(COUNTIFS(nNIA,DATOS!$A3936,nCURSO,DATOS!$D3936,nESPEC,DATOS!$E3936,nASIG,DATOS!$I3936,nEVAL,"EX")=0),0))))</f>
      </c>
      <c r="H3936">
        <f>IF(DATOS!$G3936&lt;&gt;"EX",0,--(COUNTIFS(nNIA,DATOS!$A3936,nCURSO,DATOS!$D3936,nESPEC,DATOS!$E3936,nASIG,DATOS!$I3936,nEVAL,"OR")=0))</f>
      </c>
      <c r="I3936">
        <f>IF(DATOS!$I3936="","",IFERROR(VLOOKUP(DATOS!$I3936,CONFIG_ASIGNATURAS!$B$2:$J$91,9,FALSE()),""))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IF(DATOS!$A3937="",0,IF(CONFIG_METADATA!$B$4&lt;&gt;"OR+EX",--(DATOS!$G3937=CONFIG_METADATA!$B$4),IF(DATOS!$G3937="EX",1,IF(DATOS!$G3937="OR",--(COUNTIFS(nNIA,DATOS!$A3937,nCURSO,DATOS!$D3937,nESPEC,DATOS!$E3937,nASIG,DATOS!$I3937,nEVAL,"EX")=0),0))))</f>
      </c>
      <c r="H3937">
        <f>IF(DATOS!$G3937&lt;&gt;"EX",0,--(COUNTIFS(nNIA,DATOS!$A3937,nCURSO,DATOS!$D3937,nESPEC,DATOS!$E3937,nASIG,DATOS!$I3937,nEVAL,"OR")=0))</f>
      </c>
      <c r="I3937">
        <f>IF(DATOS!$I3937="","",IFERROR(VLOOKUP(DATOS!$I3937,CONFIG_ASIGNATURAS!$B$2:$J$91,9,FALSE()),""))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IF(DATOS!$A3938="",0,IF(CONFIG_METADATA!$B$4&lt;&gt;"OR+EX",--(DATOS!$G3938=CONFIG_METADATA!$B$4),IF(DATOS!$G3938="EX",1,IF(DATOS!$G3938="OR",--(COUNTIFS(nNIA,DATOS!$A3938,nCURSO,DATOS!$D3938,nESPEC,DATOS!$E3938,nASIG,DATOS!$I3938,nEVAL,"EX")=0),0))))</f>
      </c>
      <c r="H3938">
        <f>IF(DATOS!$G3938&lt;&gt;"EX",0,--(COUNTIFS(nNIA,DATOS!$A3938,nCURSO,DATOS!$D3938,nESPEC,DATOS!$E3938,nASIG,DATOS!$I3938,nEVAL,"OR")=0))</f>
      </c>
      <c r="I3938">
        <f>IF(DATOS!$I3938="","",IFERROR(VLOOKUP(DATOS!$I3938,CONFIG_ASIGNATURAS!$B$2:$J$91,9,FALSE()),""))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IF(DATOS!$A3939="",0,IF(CONFIG_METADATA!$B$4&lt;&gt;"OR+EX",--(DATOS!$G3939=CONFIG_METADATA!$B$4),IF(DATOS!$G3939="EX",1,IF(DATOS!$G3939="OR",--(COUNTIFS(nNIA,DATOS!$A3939,nCURSO,DATOS!$D3939,nESPEC,DATOS!$E3939,nASIG,DATOS!$I3939,nEVAL,"EX")=0),0))))</f>
      </c>
      <c r="H3939">
        <f>IF(DATOS!$G3939&lt;&gt;"EX",0,--(COUNTIFS(nNIA,DATOS!$A3939,nCURSO,DATOS!$D3939,nESPEC,DATOS!$E3939,nASIG,DATOS!$I3939,nEVAL,"OR")=0))</f>
      </c>
      <c r="I3939">
        <f>IF(DATOS!$I3939="","",IFERROR(VLOOKUP(DATOS!$I3939,CONFIG_ASIGNATURAS!$B$2:$J$91,9,FALSE()),""))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IF(DATOS!$A3940="",0,IF(CONFIG_METADATA!$B$4&lt;&gt;"OR+EX",--(DATOS!$G3940=CONFIG_METADATA!$B$4),IF(DATOS!$G3940="EX",1,IF(DATOS!$G3940="OR",--(COUNTIFS(nNIA,DATOS!$A3940,nCURSO,DATOS!$D3940,nESPEC,DATOS!$E3940,nASIG,DATOS!$I3940,nEVAL,"EX")=0),0))))</f>
      </c>
      <c r="H3940">
        <f>IF(DATOS!$G3940&lt;&gt;"EX",0,--(COUNTIFS(nNIA,DATOS!$A3940,nCURSO,DATOS!$D3940,nESPEC,DATOS!$E3940,nASIG,DATOS!$I3940,nEVAL,"OR")=0))</f>
      </c>
      <c r="I3940">
        <f>IF(DATOS!$I3940="","",IFERROR(VLOOKUP(DATOS!$I3940,CONFIG_ASIGNATURAS!$B$2:$J$91,9,FALSE()),""))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IF(DATOS!$A3941="",0,IF(CONFIG_METADATA!$B$4&lt;&gt;"OR+EX",--(DATOS!$G3941=CONFIG_METADATA!$B$4),IF(DATOS!$G3941="EX",1,IF(DATOS!$G3941="OR",--(COUNTIFS(nNIA,DATOS!$A3941,nCURSO,DATOS!$D3941,nESPEC,DATOS!$E3941,nASIG,DATOS!$I3941,nEVAL,"EX")=0),0))))</f>
      </c>
      <c r="H3941">
        <f>IF(DATOS!$G3941&lt;&gt;"EX",0,--(COUNTIFS(nNIA,DATOS!$A3941,nCURSO,DATOS!$D3941,nESPEC,DATOS!$E3941,nASIG,DATOS!$I3941,nEVAL,"OR")=0))</f>
      </c>
      <c r="I3941">
        <f>IF(DATOS!$I3941="","",IFERROR(VLOOKUP(DATOS!$I3941,CONFIG_ASIGNATURAS!$B$2:$J$91,9,FALSE()),""))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IF(DATOS!$A3942="",0,IF(CONFIG_METADATA!$B$4&lt;&gt;"OR+EX",--(DATOS!$G3942=CONFIG_METADATA!$B$4),IF(DATOS!$G3942="EX",1,IF(DATOS!$G3942="OR",--(COUNTIFS(nNIA,DATOS!$A3942,nCURSO,DATOS!$D3942,nESPEC,DATOS!$E3942,nASIG,DATOS!$I3942,nEVAL,"EX")=0),0))))</f>
      </c>
      <c r="H3942">
        <f>IF(DATOS!$G3942&lt;&gt;"EX",0,--(COUNTIFS(nNIA,DATOS!$A3942,nCURSO,DATOS!$D3942,nESPEC,DATOS!$E3942,nASIG,DATOS!$I3942,nEVAL,"OR")=0))</f>
      </c>
      <c r="I3942">
        <f>IF(DATOS!$I3942="","",IFERROR(VLOOKUP(DATOS!$I3942,CONFIG_ASIGNATURAS!$B$2:$J$91,9,FALSE()),""))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IF(DATOS!$A3943="",0,IF(CONFIG_METADATA!$B$4&lt;&gt;"OR+EX",--(DATOS!$G3943=CONFIG_METADATA!$B$4),IF(DATOS!$G3943="EX",1,IF(DATOS!$G3943="OR",--(COUNTIFS(nNIA,DATOS!$A3943,nCURSO,DATOS!$D3943,nESPEC,DATOS!$E3943,nASIG,DATOS!$I3943,nEVAL,"EX")=0),0))))</f>
      </c>
      <c r="H3943">
        <f>IF(DATOS!$G3943&lt;&gt;"EX",0,--(COUNTIFS(nNIA,DATOS!$A3943,nCURSO,DATOS!$D3943,nESPEC,DATOS!$E3943,nASIG,DATOS!$I3943,nEVAL,"OR")=0))</f>
      </c>
      <c r="I3943">
        <f>IF(DATOS!$I3943="","",IFERROR(VLOOKUP(DATOS!$I3943,CONFIG_ASIGNATURAS!$B$2:$J$91,9,FALSE()),""))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IF(DATOS!$A3944="",0,IF(CONFIG_METADATA!$B$4&lt;&gt;"OR+EX",--(DATOS!$G3944=CONFIG_METADATA!$B$4),IF(DATOS!$G3944="EX",1,IF(DATOS!$G3944="OR",--(COUNTIFS(nNIA,DATOS!$A3944,nCURSO,DATOS!$D3944,nESPEC,DATOS!$E3944,nASIG,DATOS!$I3944,nEVAL,"EX")=0),0))))</f>
      </c>
      <c r="H3944">
        <f>IF(DATOS!$G3944&lt;&gt;"EX",0,--(COUNTIFS(nNIA,DATOS!$A3944,nCURSO,DATOS!$D3944,nESPEC,DATOS!$E3944,nASIG,DATOS!$I3944,nEVAL,"OR")=0))</f>
      </c>
      <c r="I3944">
        <f>IF(DATOS!$I3944="","",IFERROR(VLOOKUP(DATOS!$I3944,CONFIG_ASIGNATURAS!$B$2:$J$91,9,FALSE()),""))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IF(DATOS!$A3945="",0,IF(CONFIG_METADATA!$B$4&lt;&gt;"OR+EX",--(DATOS!$G3945=CONFIG_METADATA!$B$4),IF(DATOS!$G3945="EX",1,IF(DATOS!$G3945="OR",--(COUNTIFS(nNIA,DATOS!$A3945,nCURSO,DATOS!$D3945,nESPEC,DATOS!$E3945,nASIG,DATOS!$I3945,nEVAL,"EX")=0),0))))</f>
      </c>
      <c r="H3945">
        <f>IF(DATOS!$G3945&lt;&gt;"EX",0,--(COUNTIFS(nNIA,DATOS!$A3945,nCURSO,DATOS!$D3945,nESPEC,DATOS!$E3945,nASIG,DATOS!$I3945,nEVAL,"OR")=0))</f>
      </c>
      <c r="I3945">
        <f>IF(DATOS!$I3945="","",IFERROR(VLOOKUP(DATOS!$I3945,CONFIG_ASIGNATURAS!$B$2:$J$91,9,FALSE()),""))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IF(DATOS!$A3946="",0,IF(CONFIG_METADATA!$B$4&lt;&gt;"OR+EX",--(DATOS!$G3946=CONFIG_METADATA!$B$4),IF(DATOS!$G3946="EX",1,IF(DATOS!$G3946="OR",--(COUNTIFS(nNIA,DATOS!$A3946,nCURSO,DATOS!$D3946,nESPEC,DATOS!$E3946,nASIG,DATOS!$I3946,nEVAL,"EX")=0),0))))</f>
      </c>
      <c r="H3946">
        <f>IF(DATOS!$G3946&lt;&gt;"EX",0,--(COUNTIFS(nNIA,DATOS!$A3946,nCURSO,DATOS!$D3946,nESPEC,DATOS!$E3946,nASIG,DATOS!$I3946,nEVAL,"OR")=0))</f>
      </c>
      <c r="I3946">
        <f>IF(DATOS!$I3946="","",IFERROR(VLOOKUP(DATOS!$I3946,CONFIG_ASIGNATURAS!$B$2:$J$91,9,FALSE()),""))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IF(DATOS!$A3947="",0,IF(CONFIG_METADATA!$B$4&lt;&gt;"OR+EX",--(DATOS!$G3947=CONFIG_METADATA!$B$4),IF(DATOS!$G3947="EX",1,IF(DATOS!$G3947="OR",--(COUNTIFS(nNIA,DATOS!$A3947,nCURSO,DATOS!$D3947,nESPEC,DATOS!$E3947,nASIG,DATOS!$I3947,nEVAL,"EX")=0),0))))</f>
      </c>
      <c r="H3947">
        <f>IF(DATOS!$G3947&lt;&gt;"EX",0,--(COUNTIFS(nNIA,DATOS!$A3947,nCURSO,DATOS!$D3947,nESPEC,DATOS!$E3947,nASIG,DATOS!$I3947,nEVAL,"OR")=0))</f>
      </c>
      <c r="I3947">
        <f>IF(DATOS!$I3947="","",IFERROR(VLOOKUP(DATOS!$I3947,CONFIG_ASIGNATURAS!$B$2:$J$91,9,FALSE()),""))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IF(DATOS!$A3948="",0,IF(CONFIG_METADATA!$B$4&lt;&gt;"OR+EX",--(DATOS!$G3948=CONFIG_METADATA!$B$4),IF(DATOS!$G3948="EX",1,IF(DATOS!$G3948="OR",--(COUNTIFS(nNIA,DATOS!$A3948,nCURSO,DATOS!$D3948,nESPEC,DATOS!$E3948,nASIG,DATOS!$I3948,nEVAL,"EX")=0),0))))</f>
      </c>
      <c r="H3948">
        <f>IF(DATOS!$G3948&lt;&gt;"EX",0,--(COUNTIFS(nNIA,DATOS!$A3948,nCURSO,DATOS!$D3948,nESPEC,DATOS!$E3948,nASIG,DATOS!$I3948,nEVAL,"OR")=0))</f>
      </c>
      <c r="I3948">
        <f>IF(DATOS!$I3948="","",IFERROR(VLOOKUP(DATOS!$I3948,CONFIG_ASIGNATURAS!$B$2:$J$91,9,FALSE()),""))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IF(DATOS!$A3949="",0,IF(CONFIG_METADATA!$B$4&lt;&gt;"OR+EX",--(DATOS!$G3949=CONFIG_METADATA!$B$4),IF(DATOS!$G3949="EX",1,IF(DATOS!$G3949="OR",--(COUNTIFS(nNIA,DATOS!$A3949,nCURSO,DATOS!$D3949,nESPEC,DATOS!$E3949,nASIG,DATOS!$I3949,nEVAL,"EX")=0),0))))</f>
      </c>
      <c r="H3949">
        <f>IF(DATOS!$G3949&lt;&gt;"EX",0,--(COUNTIFS(nNIA,DATOS!$A3949,nCURSO,DATOS!$D3949,nESPEC,DATOS!$E3949,nASIG,DATOS!$I3949,nEVAL,"OR")=0))</f>
      </c>
      <c r="I3949">
        <f>IF(DATOS!$I3949="","",IFERROR(VLOOKUP(DATOS!$I3949,CONFIG_ASIGNATURAS!$B$2:$J$91,9,FALSE()),""))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IF(DATOS!$A3950="",0,IF(CONFIG_METADATA!$B$4&lt;&gt;"OR+EX",--(DATOS!$G3950=CONFIG_METADATA!$B$4),IF(DATOS!$G3950="EX",1,IF(DATOS!$G3950="OR",--(COUNTIFS(nNIA,DATOS!$A3950,nCURSO,DATOS!$D3950,nESPEC,DATOS!$E3950,nASIG,DATOS!$I3950,nEVAL,"EX")=0),0))))</f>
      </c>
      <c r="H3950">
        <f>IF(DATOS!$G3950&lt;&gt;"EX",0,--(COUNTIFS(nNIA,DATOS!$A3950,nCURSO,DATOS!$D3950,nESPEC,DATOS!$E3950,nASIG,DATOS!$I3950,nEVAL,"OR")=0))</f>
      </c>
      <c r="I3950">
        <f>IF(DATOS!$I3950="","",IFERROR(VLOOKUP(DATOS!$I3950,CONFIG_ASIGNATURAS!$B$2:$J$91,9,FALSE()),""))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IF(DATOS!$A3951="",0,IF(CONFIG_METADATA!$B$4&lt;&gt;"OR+EX",--(DATOS!$G3951=CONFIG_METADATA!$B$4),IF(DATOS!$G3951="EX",1,IF(DATOS!$G3951="OR",--(COUNTIFS(nNIA,DATOS!$A3951,nCURSO,DATOS!$D3951,nESPEC,DATOS!$E3951,nASIG,DATOS!$I3951,nEVAL,"EX")=0),0))))</f>
      </c>
      <c r="H3951">
        <f>IF(DATOS!$G3951&lt;&gt;"EX",0,--(COUNTIFS(nNIA,DATOS!$A3951,nCURSO,DATOS!$D3951,nESPEC,DATOS!$E3951,nASIG,DATOS!$I3951,nEVAL,"OR")=0))</f>
      </c>
      <c r="I3951">
        <f>IF(DATOS!$I3951="","",IFERROR(VLOOKUP(DATOS!$I3951,CONFIG_ASIGNATURAS!$B$2:$J$91,9,FALSE()),""))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IF(DATOS!$A3952="",0,IF(CONFIG_METADATA!$B$4&lt;&gt;"OR+EX",--(DATOS!$G3952=CONFIG_METADATA!$B$4),IF(DATOS!$G3952="EX",1,IF(DATOS!$G3952="OR",--(COUNTIFS(nNIA,DATOS!$A3952,nCURSO,DATOS!$D3952,nESPEC,DATOS!$E3952,nASIG,DATOS!$I3952,nEVAL,"EX")=0),0))))</f>
      </c>
      <c r="H3952">
        <f>IF(DATOS!$G3952&lt;&gt;"EX",0,--(COUNTIFS(nNIA,DATOS!$A3952,nCURSO,DATOS!$D3952,nESPEC,DATOS!$E3952,nASIG,DATOS!$I3952,nEVAL,"OR")=0))</f>
      </c>
      <c r="I3952">
        <f>IF(DATOS!$I3952="","",IFERROR(VLOOKUP(DATOS!$I3952,CONFIG_ASIGNATURAS!$B$2:$J$91,9,FALSE()),""))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IF(DATOS!$A3953="",0,IF(CONFIG_METADATA!$B$4&lt;&gt;"OR+EX",--(DATOS!$G3953=CONFIG_METADATA!$B$4),IF(DATOS!$G3953="EX",1,IF(DATOS!$G3953="OR",--(COUNTIFS(nNIA,DATOS!$A3953,nCURSO,DATOS!$D3953,nESPEC,DATOS!$E3953,nASIG,DATOS!$I3953,nEVAL,"EX")=0),0))))</f>
      </c>
      <c r="H3953">
        <f>IF(DATOS!$G3953&lt;&gt;"EX",0,--(COUNTIFS(nNIA,DATOS!$A3953,nCURSO,DATOS!$D3953,nESPEC,DATOS!$E3953,nASIG,DATOS!$I3953,nEVAL,"OR")=0))</f>
      </c>
      <c r="I3953">
        <f>IF(DATOS!$I3953="","",IFERROR(VLOOKUP(DATOS!$I3953,CONFIG_ASIGNATURAS!$B$2:$J$91,9,FALSE()),""))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IF(DATOS!$A3954="",0,IF(CONFIG_METADATA!$B$4&lt;&gt;"OR+EX",--(DATOS!$G3954=CONFIG_METADATA!$B$4),IF(DATOS!$G3954="EX",1,IF(DATOS!$G3954="OR",--(COUNTIFS(nNIA,DATOS!$A3954,nCURSO,DATOS!$D3954,nESPEC,DATOS!$E3954,nASIG,DATOS!$I3954,nEVAL,"EX")=0),0))))</f>
      </c>
      <c r="H3954">
        <f>IF(DATOS!$G3954&lt;&gt;"EX",0,--(COUNTIFS(nNIA,DATOS!$A3954,nCURSO,DATOS!$D3954,nESPEC,DATOS!$E3954,nASIG,DATOS!$I3954,nEVAL,"OR")=0))</f>
      </c>
      <c r="I3954">
        <f>IF(DATOS!$I3954="","",IFERROR(VLOOKUP(DATOS!$I3954,CONFIG_ASIGNATURAS!$B$2:$J$91,9,FALSE()),""))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IF(DATOS!$A3955="",0,IF(CONFIG_METADATA!$B$4&lt;&gt;"OR+EX",--(DATOS!$G3955=CONFIG_METADATA!$B$4),IF(DATOS!$G3955="EX",1,IF(DATOS!$G3955="OR",--(COUNTIFS(nNIA,DATOS!$A3955,nCURSO,DATOS!$D3955,nESPEC,DATOS!$E3955,nASIG,DATOS!$I3955,nEVAL,"EX")=0),0))))</f>
      </c>
      <c r="H3955">
        <f>IF(DATOS!$G3955&lt;&gt;"EX",0,--(COUNTIFS(nNIA,DATOS!$A3955,nCURSO,DATOS!$D3955,nESPEC,DATOS!$E3955,nASIG,DATOS!$I3955,nEVAL,"OR")=0))</f>
      </c>
      <c r="I3955">
        <f>IF(DATOS!$I3955="","",IFERROR(VLOOKUP(DATOS!$I3955,CONFIG_ASIGNATURAS!$B$2:$J$91,9,FALSE()),""))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IF(DATOS!$A3956="",0,IF(CONFIG_METADATA!$B$4&lt;&gt;"OR+EX",--(DATOS!$G3956=CONFIG_METADATA!$B$4),IF(DATOS!$G3956="EX",1,IF(DATOS!$G3956="OR",--(COUNTIFS(nNIA,DATOS!$A3956,nCURSO,DATOS!$D3956,nESPEC,DATOS!$E3956,nASIG,DATOS!$I3956,nEVAL,"EX")=0),0))))</f>
      </c>
      <c r="H3956">
        <f>IF(DATOS!$G3956&lt;&gt;"EX",0,--(COUNTIFS(nNIA,DATOS!$A3956,nCURSO,DATOS!$D3956,nESPEC,DATOS!$E3956,nASIG,DATOS!$I3956,nEVAL,"OR")=0))</f>
      </c>
      <c r="I3956">
        <f>IF(DATOS!$I3956="","",IFERROR(VLOOKUP(DATOS!$I3956,CONFIG_ASIGNATURAS!$B$2:$J$91,9,FALSE()),""))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IF(DATOS!$A3957="",0,IF(CONFIG_METADATA!$B$4&lt;&gt;"OR+EX",--(DATOS!$G3957=CONFIG_METADATA!$B$4),IF(DATOS!$G3957="EX",1,IF(DATOS!$G3957="OR",--(COUNTIFS(nNIA,DATOS!$A3957,nCURSO,DATOS!$D3957,nESPEC,DATOS!$E3957,nASIG,DATOS!$I3957,nEVAL,"EX")=0),0))))</f>
      </c>
      <c r="H3957">
        <f>IF(DATOS!$G3957&lt;&gt;"EX",0,--(COUNTIFS(nNIA,DATOS!$A3957,nCURSO,DATOS!$D3957,nESPEC,DATOS!$E3957,nASIG,DATOS!$I3957,nEVAL,"OR")=0))</f>
      </c>
      <c r="I3957">
        <f>IF(DATOS!$I3957="","",IFERROR(VLOOKUP(DATOS!$I3957,CONFIG_ASIGNATURAS!$B$2:$J$91,9,FALSE()),""))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IF(DATOS!$A3958="",0,IF(CONFIG_METADATA!$B$4&lt;&gt;"OR+EX",--(DATOS!$G3958=CONFIG_METADATA!$B$4),IF(DATOS!$G3958="EX",1,IF(DATOS!$G3958="OR",--(COUNTIFS(nNIA,DATOS!$A3958,nCURSO,DATOS!$D3958,nESPEC,DATOS!$E3958,nASIG,DATOS!$I3958,nEVAL,"EX")=0),0))))</f>
      </c>
      <c r="H3958">
        <f>IF(DATOS!$G3958&lt;&gt;"EX",0,--(COUNTIFS(nNIA,DATOS!$A3958,nCURSO,DATOS!$D3958,nESPEC,DATOS!$E3958,nASIG,DATOS!$I3958,nEVAL,"OR")=0))</f>
      </c>
      <c r="I3958">
        <f>IF(DATOS!$I3958="","",IFERROR(VLOOKUP(DATOS!$I3958,CONFIG_ASIGNATURAS!$B$2:$J$91,9,FALSE()),""))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IF(DATOS!$A3959="",0,IF(CONFIG_METADATA!$B$4&lt;&gt;"OR+EX",--(DATOS!$G3959=CONFIG_METADATA!$B$4),IF(DATOS!$G3959="EX",1,IF(DATOS!$G3959="OR",--(COUNTIFS(nNIA,DATOS!$A3959,nCURSO,DATOS!$D3959,nESPEC,DATOS!$E3959,nASIG,DATOS!$I3959,nEVAL,"EX")=0),0))))</f>
      </c>
      <c r="H3959">
        <f>IF(DATOS!$G3959&lt;&gt;"EX",0,--(COUNTIFS(nNIA,DATOS!$A3959,nCURSO,DATOS!$D3959,nESPEC,DATOS!$E3959,nASIG,DATOS!$I3959,nEVAL,"OR")=0))</f>
      </c>
      <c r="I3959">
        <f>IF(DATOS!$I3959="","",IFERROR(VLOOKUP(DATOS!$I3959,CONFIG_ASIGNATURAS!$B$2:$J$91,9,FALSE()),""))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IF(DATOS!$A3960="",0,IF(CONFIG_METADATA!$B$4&lt;&gt;"OR+EX",--(DATOS!$G3960=CONFIG_METADATA!$B$4),IF(DATOS!$G3960="EX",1,IF(DATOS!$G3960="OR",--(COUNTIFS(nNIA,DATOS!$A3960,nCURSO,DATOS!$D3960,nESPEC,DATOS!$E3960,nASIG,DATOS!$I3960,nEVAL,"EX")=0),0))))</f>
      </c>
      <c r="H3960">
        <f>IF(DATOS!$G3960&lt;&gt;"EX",0,--(COUNTIFS(nNIA,DATOS!$A3960,nCURSO,DATOS!$D3960,nESPEC,DATOS!$E3960,nASIG,DATOS!$I3960,nEVAL,"OR")=0))</f>
      </c>
      <c r="I3960">
        <f>IF(DATOS!$I3960="","",IFERROR(VLOOKUP(DATOS!$I3960,CONFIG_ASIGNATURAS!$B$2:$J$91,9,FALSE()),""))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IF(DATOS!$A3961="",0,IF(CONFIG_METADATA!$B$4&lt;&gt;"OR+EX",--(DATOS!$G3961=CONFIG_METADATA!$B$4),IF(DATOS!$G3961="EX",1,IF(DATOS!$G3961="OR",--(COUNTIFS(nNIA,DATOS!$A3961,nCURSO,DATOS!$D3961,nESPEC,DATOS!$E3961,nASIG,DATOS!$I3961,nEVAL,"EX")=0),0))))</f>
      </c>
      <c r="H3961">
        <f>IF(DATOS!$G3961&lt;&gt;"EX",0,--(COUNTIFS(nNIA,DATOS!$A3961,nCURSO,DATOS!$D3961,nESPEC,DATOS!$E3961,nASIG,DATOS!$I3961,nEVAL,"OR")=0))</f>
      </c>
      <c r="I3961">
        <f>IF(DATOS!$I3961="","",IFERROR(VLOOKUP(DATOS!$I3961,CONFIG_ASIGNATURAS!$B$2:$J$91,9,FALSE()),""))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IF(DATOS!$A3962="",0,IF(CONFIG_METADATA!$B$4&lt;&gt;"OR+EX",--(DATOS!$G3962=CONFIG_METADATA!$B$4),IF(DATOS!$G3962="EX",1,IF(DATOS!$G3962="OR",--(COUNTIFS(nNIA,DATOS!$A3962,nCURSO,DATOS!$D3962,nESPEC,DATOS!$E3962,nASIG,DATOS!$I3962,nEVAL,"EX")=0),0))))</f>
      </c>
      <c r="H3962">
        <f>IF(DATOS!$G3962&lt;&gt;"EX",0,--(COUNTIFS(nNIA,DATOS!$A3962,nCURSO,DATOS!$D3962,nESPEC,DATOS!$E3962,nASIG,DATOS!$I3962,nEVAL,"OR")=0))</f>
      </c>
      <c r="I3962">
        <f>IF(DATOS!$I3962="","",IFERROR(VLOOKUP(DATOS!$I3962,CONFIG_ASIGNATURAS!$B$2:$J$91,9,FALSE()),""))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IF(DATOS!$A3963="",0,IF(CONFIG_METADATA!$B$4&lt;&gt;"OR+EX",--(DATOS!$G3963=CONFIG_METADATA!$B$4),IF(DATOS!$G3963="EX",1,IF(DATOS!$G3963="OR",--(COUNTIFS(nNIA,DATOS!$A3963,nCURSO,DATOS!$D3963,nESPEC,DATOS!$E3963,nASIG,DATOS!$I3963,nEVAL,"EX")=0),0))))</f>
      </c>
      <c r="H3963">
        <f>IF(DATOS!$G3963&lt;&gt;"EX",0,--(COUNTIFS(nNIA,DATOS!$A3963,nCURSO,DATOS!$D3963,nESPEC,DATOS!$E3963,nASIG,DATOS!$I3963,nEVAL,"OR")=0))</f>
      </c>
      <c r="I3963">
        <f>IF(DATOS!$I3963="","",IFERROR(VLOOKUP(DATOS!$I3963,CONFIG_ASIGNATURAS!$B$2:$J$91,9,FALSE()),""))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IF(DATOS!$A3964="",0,IF(CONFIG_METADATA!$B$4&lt;&gt;"OR+EX",--(DATOS!$G3964=CONFIG_METADATA!$B$4),IF(DATOS!$G3964="EX",1,IF(DATOS!$G3964="OR",--(COUNTIFS(nNIA,DATOS!$A3964,nCURSO,DATOS!$D3964,nESPEC,DATOS!$E3964,nASIG,DATOS!$I3964,nEVAL,"EX")=0),0))))</f>
      </c>
      <c r="H3964">
        <f>IF(DATOS!$G3964&lt;&gt;"EX",0,--(COUNTIFS(nNIA,DATOS!$A3964,nCURSO,DATOS!$D3964,nESPEC,DATOS!$E3964,nASIG,DATOS!$I3964,nEVAL,"OR")=0))</f>
      </c>
      <c r="I3964">
        <f>IF(DATOS!$I3964="","",IFERROR(VLOOKUP(DATOS!$I3964,CONFIG_ASIGNATURAS!$B$2:$J$91,9,FALSE()),""))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IF(DATOS!$A3965="",0,IF(CONFIG_METADATA!$B$4&lt;&gt;"OR+EX",--(DATOS!$G3965=CONFIG_METADATA!$B$4),IF(DATOS!$G3965="EX",1,IF(DATOS!$G3965="OR",--(COUNTIFS(nNIA,DATOS!$A3965,nCURSO,DATOS!$D3965,nESPEC,DATOS!$E3965,nASIG,DATOS!$I3965,nEVAL,"EX")=0),0))))</f>
      </c>
      <c r="H3965">
        <f>IF(DATOS!$G3965&lt;&gt;"EX",0,--(COUNTIFS(nNIA,DATOS!$A3965,nCURSO,DATOS!$D3965,nESPEC,DATOS!$E3965,nASIG,DATOS!$I3965,nEVAL,"OR")=0))</f>
      </c>
      <c r="I3965">
        <f>IF(DATOS!$I3965="","",IFERROR(VLOOKUP(DATOS!$I3965,CONFIG_ASIGNATURAS!$B$2:$J$91,9,FALSE()),""))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IF(DATOS!$A3966="",0,IF(CONFIG_METADATA!$B$4&lt;&gt;"OR+EX",--(DATOS!$G3966=CONFIG_METADATA!$B$4),IF(DATOS!$G3966="EX",1,IF(DATOS!$G3966="OR",--(COUNTIFS(nNIA,DATOS!$A3966,nCURSO,DATOS!$D3966,nESPEC,DATOS!$E3966,nASIG,DATOS!$I3966,nEVAL,"EX")=0),0))))</f>
      </c>
      <c r="H3966">
        <f>IF(DATOS!$G3966&lt;&gt;"EX",0,--(COUNTIFS(nNIA,DATOS!$A3966,nCURSO,DATOS!$D3966,nESPEC,DATOS!$E3966,nASIG,DATOS!$I3966,nEVAL,"OR")=0))</f>
      </c>
      <c r="I3966">
        <f>IF(DATOS!$I3966="","",IFERROR(VLOOKUP(DATOS!$I3966,CONFIG_ASIGNATURAS!$B$2:$J$91,9,FALSE()),""))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IF(DATOS!$A3967="",0,IF(CONFIG_METADATA!$B$4&lt;&gt;"OR+EX",--(DATOS!$G3967=CONFIG_METADATA!$B$4),IF(DATOS!$G3967="EX",1,IF(DATOS!$G3967="OR",--(COUNTIFS(nNIA,DATOS!$A3967,nCURSO,DATOS!$D3967,nESPEC,DATOS!$E3967,nASIG,DATOS!$I3967,nEVAL,"EX")=0),0))))</f>
      </c>
      <c r="H3967">
        <f>IF(DATOS!$G3967&lt;&gt;"EX",0,--(COUNTIFS(nNIA,DATOS!$A3967,nCURSO,DATOS!$D3967,nESPEC,DATOS!$E3967,nASIG,DATOS!$I3967,nEVAL,"OR")=0))</f>
      </c>
      <c r="I3967">
        <f>IF(DATOS!$I3967="","",IFERROR(VLOOKUP(DATOS!$I3967,CONFIG_ASIGNATURAS!$B$2:$J$91,9,FALSE()),""))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IF(DATOS!$A3968="",0,IF(CONFIG_METADATA!$B$4&lt;&gt;"OR+EX",--(DATOS!$G3968=CONFIG_METADATA!$B$4),IF(DATOS!$G3968="EX",1,IF(DATOS!$G3968="OR",--(COUNTIFS(nNIA,DATOS!$A3968,nCURSO,DATOS!$D3968,nESPEC,DATOS!$E3968,nASIG,DATOS!$I3968,nEVAL,"EX")=0),0))))</f>
      </c>
      <c r="H3968">
        <f>IF(DATOS!$G3968&lt;&gt;"EX",0,--(COUNTIFS(nNIA,DATOS!$A3968,nCURSO,DATOS!$D3968,nESPEC,DATOS!$E3968,nASIG,DATOS!$I3968,nEVAL,"OR")=0))</f>
      </c>
      <c r="I3968">
        <f>IF(DATOS!$I3968="","",IFERROR(VLOOKUP(DATOS!$I3968,CONFIG_ASIGNATURAS!$B$2:$J$91,9,FALSE()),""))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IF(DATOS!$A3969="",0,IF(CONFIG_METADATA!$B$4&lt;&gt;"OR+EX",--(DATOS!$G3969=CONFIG_METADATA!$B$4),IF(DATOS!$G3969="EX",1,IF(DATOS!$G3969="OR",--(COUNTIFS(nNIA,DATOS!$A3969,nCURSO,DATOS!$D3969,nESPEC,DATOS!$E3969,nASIG,DATOS!$I3969,nEVAL,"EX")=0),0))))</f>
      </c>
      <c r="H3969">
        <f>IF(DATOS!$G3969&lt;&gt;"EX",0,--(COUNTIFS(nNIA,DATOS!$A3969,nCURSO,DATOS!$D3969,nESPEC,DATOS!$E3969,nASIG,DATOS!$I3969,nEVAL,"OR")=0))</f>
      </c>
      <c r="I3969">
        <f>IF(DATOS!$I3969="","",IFERROR(VLOOKUP(DATOS!$I3969,CONFIG_ASIGNATURAS!$B$2:$J$91,9,FALSE()),""))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IF(DATOS!$A3970="",0,IF(CONFIG_METADATA!$B$4&lt;&gt;"OR+EX",--(DATOS!$G3970=CONFIG_METADATA!$B$4),IF(DATOS!$G3970="EX",1,IF(DATOS!$G3970="OR",--(COUNTIFS(nNIA,DATOS!$A3970,nCURSO,DATOS!$D3970,nESPEC,DATOS!$E3970,nASIG,DATOS!$I3970,nEVAL,"EX")=0),0))))</f>
      </c>
      <c r="H3970">
        <f>IF(DATOS!$G3970&lt;&gt;"EX",0,--(COUNTIFS(nNIA,DATOS!$A3970,nCURSO,DATOS!$D3970,nESPEC,DATOS!$E3970,nASIG,DATOS!$I3970,nEVAL,"OR")=0))</f>
      </c>
      <c r="I3970">
        <f>IF(DATOS!$I3970="","",IFERROR(VLOOKUP(DATOS!$I3970,CONFIG_ASIGNATURAS!$B$2:$J$91,9,FALSE()),""))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IF(DATOS!$A3971="",0,IF(CONFIG_METADATA!$B$4&lt;&gt;"OR+EX",--(DATOS!$G3971=CONFIG_METADATA!$B$4),IF(DATOS!$G3971="EX",1,IF(DATOS!$G3971="OR",--(COUNTIFS(nNIA,DATOS!$A3971,nCURSO,DATOS!$D3971,nESPEC,DATOS!$E3971,nASIG,DATOS!$I3971,nEVAL,"EX")=0),0))))</f>
      </c>
      <c r="H3971">
        <f>IF(DATOS!$G3971&lt;&gt;"EX",0,--(COUNTIFS(nNIA,DATOS!$A3971,nCURSO,DATOS!$D3971,nESPEC,DATOS!$E3971,nASIG,DATOS!$I3971,nEVAL,"OR")=0))</f>
      </c>
      <c r="I3971">
        <f>IF(DATOS!$I3971="","",IFERROR(VLOOKUP(DATOS!$I3971,CONFIG_ASIGNATURAS!$B$2:$J$91,9,FALSE()),""))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IF(DATOS!$A3972="",0,IF(CONFIG_METADATA!$B$4&lt;&gt;"OR+EX",--(DATOS!$G3972=CONFIG_METADATA!$B$4),IF(DATOS!$G3972="EX",1,IF(DATOS!$G3972="OR",--(COUNTIFS(nNIA,DATOS!$A3972,nCURSO,DATOS!$D3972,nESPEC,DATOS!$E3972,nASIG,DATOS!$I3972,nEVAL,"EX")=0),0))))</f>
      </c>
      <c r="H3972">
        <f>IF(DATOS!$G3972&lt;&gt;"EX",0,--(COUNTIFS(nNIA,DATOS!$A3972,nCURSO,DATOS!$D3972,nESPEC,DATOS!$E3972,nASIG,DATOS!$I3972,nEVAL,"OR")=0))</f>
      </c>
      <c r="I3972">
        <f>IF(DATOS!$I3972="","",IFERROR(VLOOKUP(DATOS!$I3972,CONFIG_ASIGNATURAS!$B$2:$J$91,9,FALSE()),""))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IF(DATOS!$A3973="",0,IF(CONFIG_METADATA!$B$4&lt;&gt;"OR+EX",--(DATOS!$G3973=CONFIG_METADATA!$B$4),IF(DATOS!$G3973="EX",1,IF(DATOS!$G3973="OR",--(COUNTIFS(nNIA,DATOS!$A3973,nCURSO,DATOS!$D3973,nESPEC,DATOS!$E3973,nASIG,DATOS!$I3973,nEVAL,"EX")=0),0))))</f>
      </c>
      <c r="H3973">
        <f>IF(DATOS!$G3973&lt;&gt;"EX",0,--(COUNTIFS(nNIA,DATOS!$A3973,nCURSO,DATOS!$D3973,nESPEC,DATOS!$E3973,nASIG,DATOS!$I3973,nEVAL,"OR")=0))</f>
      </c>
      <c r="I3973">
        <f>IF(DATOS!$I3973="","",IFERROR(VLOOKUP(DATOS!$I3973,CONFIG_ASIGNATURAS!$B$2:$J$91,9,FALSE()),""))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IF(DATOS!$A3974="",0,IF(CONFIG_METADATA!$B$4&lt;&gt;"OR+EX",--(DATOS!$G3974=CONFIG_METADATA!$B$4),IF(DATOS!$G3974="EX",1,IF(DATOS!$G3974="OR",--(COUNTIFS(nNIA,DATOS!$A3974,nCURSO,DATOS!$D3974,nESPEC,DATOS!$E3974,nASIG,DATOS!$I3974,nEVAL,"EX")=0),0))))</f>
      </c>
      <c r="H3974">
        <f>IF(DATOS!$G3974&lt;&gt;"EX",0,--(COUNTIFS(nNIA,DATOS!$A3974,nCURSO,DATOS!$D3974,nESPEC,DATOS!$E3974,nASIG,DATOS!$I3974,nEVAL,"OR")=0))</f>
      </c>
      <c r="I3974">
        <f>IF(DATOS!$I3974="","",IFERROR(VLOOKUP(DATOS!$I3974,CONFIG_ASIGNATURAS!$B$2:$J$91,9,FALSE()),""))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IF(DATOS!$A3975="",0,IF(CONFIG_METADATA!$B$4&lt;&gt;"OR+EX",--(DATOS!$G3975=CONFIG_METADATA!$B$4),IF(DATOS!$G3975="EX",1,IF(DATOS!$G3975="OR",--(COUNTIFS(nNIA,DATOS!$A3975,nCURSO,DATOS!$D3975,nESPEC,DATOS!$E3975,nASIG,DATOS!$I3975,nEVAL,"EX")=0),0))))</f>
      </c>
      <c r="H3975">
        <f>IF(DATOS!$G3975&lt;&gt;"EX",0,--(COUNTIFS(nNIA,DATOS!$A3975,nCURSO,DATOS!$D3975,nESPEC,DATOS!$E3975,nASIG,DATOS!$I3975,nEVAL,"OR")=0))</f>
      </c>
      <c r="I3975">
        <f>IF(DATOS!$I3975="","",IFERROR(VLOOKUP(DATOS!$I3975,CONFIG_ASIGNATURAS!$B$2:$J$91,9,FALSE()),""))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IF(DATOS!$A3976="",0,IF(CONFIG_METADATA!$B$4&lt;&gt;"OR+EX",--(DATOS!$G3976=CONFIG_METADATA!$B$4),IF(DATOS!$G3976="EX",1,IF(DATOS!$G3976="OR",--(COUNTIFS(nNIA,DATOS!$A3976,nCURSO,DATOS!$D3976,nESPEC,DATOS!$E3976,nASIG,DATOS!$I3976,nEVAL,"EX")=0),0))))</f>
      </c>
      <c r="H3976">
        <f>IF(DATOS!$G3976&lt;&gt;"EX",0,--(COUNTIFS(nNIA,DATOS!$A3976,nCURSO,DATOS!$D3976,nESPEC,DATOS!$E3976,nASIG,DATOS!$I3976,nEVAL,"OR")=0))</f>
      </c>
      <c r="I3976">
        <f>IF(DATOS!$I3976="","",IFERROR(VLOOKUP(DATOS!$I3976,CONFIG_ASIGNATURAS!$B$2:$J$91,9,FALSE()),""))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IF(DATOS!$A3977="",0,IF(CONFIG_METADATA!$B$4&lt;&gt;"OR+EX",--(DATOS!$G3977=CONFIG_METADATA!$B$4),IF(DATOS!$G3977="EX",1,IF(DATOS!$G3977="OR",--(COUNTIFS(nNIA,DATOS!$A3977,nCURSO,DATOS!$D3977,nESPEC,DATOS!$E3977,nASIG,DATOS!$I3977,nEVAL,"EX")=0),0))))</f>
      </c>
      <c r="H3977">
        <f>IF(DATOS!$G3977&lt;&gt;"EX",0,--(COUNTIFS(nNIA,DATOS!$A3977,nCURSO,DATOS!$D3977,nESPEC,DATOS!$E3977,nASIG,DATOS!$I3977,nEVAL,"OR")=0))</f>
      </c>
      <c r="I3977">
        <f>IF(DATOS!$I3977="","",IFERROR(VLOOKUP(DATOS!$I3977,CONFIG_ASIGNATURAS!$B$2:$J$91,9,FALSE()),""))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IF(DATOS!$A3978="",0,IF(CONFIG_METADATA!$B$4&lt;&gt;"OR+EX",--(DATOS!$G3978=CONFIG_METADATA!$B$4),IF(DATOS!$G3978="EX",1,IF(DATOS!$G3978="OR",--(COUNTIFS(nNIA,DATOS!$A3978,nCURSO,DATOS!$D3978,nESPEC,DATOS!$E3978,nASIG,DATOS!$I3978,nEVAL,"EX")=0),0))))</f>
      </c>
      <c r="H3978">
        <f>IF(DATOS!$G3978&lt;&gt;"EX",0,--(COUNTIFS(nNIA,DATOS!$A3978,nCURSO,DATOS!$D3978,nESPEC,DATOS!$E3978,nASIG,DATOS!$I3978,nEVAL,"OR")=0))</f>
      </c>
      <c r="I3978">
        <f>IF(DATOS!$I3978="","",IFERROR(VLOOKUP(DATOS!$I3978,CONFIG_ASIGNATURAS!$B$2:$J$91,9,FALSE()),""))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IF(DATOS!$A3979="",0,IF(CONFIG_METADATA!$B$4&lt;&gt;"OR+EX",--(DATOS!$G3979=CONFIG_METADATA!$B$4),IF(DATOS!$G3979="EX",1,IF(DATOS!$G3979="OR",--(COUNTIFS(nNIA,DATOS!$A3979,nCURSO,DATOS!$D3979,nESPEC,DATOS!$E3979,nASIG,DATOS!$I3979,nEVAL,"EX")=0),0))))</f>
      </c>
      <c r="H3979">
        <f>IF(DATOS!$G3979&lt;&gt;"EX",0,--(COUNTIFS(nNIA,DATOS!$A3979,nCURSO,DATOS!$D3979,nESPEC,DATOS!$E3979,nASIG,DATOS!$I3979,nEVAL,"OR")=0))</f>
      </c>
      <c r="I3979">
        <f>IF(DATOS!$I3979="","",IFERROR(VLOOKUP(DATOS!$I3979,CONFIG_ASIGNATURAS!$B$2:$J$91,9,FALSE()),""))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IF(DATOS!$A3980="",0,IF(CONFIG_METADATA!$B$4&lt;&gt;"OR+EX",--(DATOS!$G3980=CONFIG_METADATA!$B$4),IF(DATOS!$G3980="EX",1,IF(DATOS!$G3980="OR",--(COUNTIFS(nNIA,DATOS!$A3980,nCURSO,DATOS!$D3980,nESPEC,DATOS!$E3980,nASIG,DATOS!$I3980,nEVAL,"EX")=0),0))))</f>
      </c>
      <c r="H3980">
        <f>IF(DATOS!$G3980&lt;&gt;"EX",0,--(COUNTIFS(nNIA,DATOS!$A3980,nCURSO,DATOS!$D3980,nESPEC,DATOS!$E3980,nASIG,DATOS!$I3980,nEVAL,"OR")=0))</f>
      </c>
      <c r="I3980">
        <f>IF(DATOS!$I3980="","",IFERROR(VLOOKUP(DATOS!$I3980,CONFIG_ASIGNATURAS!$B$2:$J$91,9,FALSE()),""))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IF(DATOS!$A3981="",0,IF(CONFIG_METADATA!$B$4&lt;&gt;"OR+EX",--(DATOS!$G3981=CONFIG_METADATA!$B$4),IF(DATOS!$G3981="EX",1,IF(DATOS!$G3981="OR",--(COUNTIFS(nNIA,DATOS!$A3981,nCURSO,DATOS!$D3981,nESPEC,DATOS!$E3981,nASIG,DATOS!$I3981,nEVAL,"EX")=0),0))))</f>
      </c>
      <c r="H3981">
        <f>IF(DATOS!$G3981&lt;&gt;"EX",0,--(COUNTIFS(nNIA,DATOS!$A3981,nCURSO,DATOS!$D3981,nESPEC,DATOS!$E3981,nASIG,DATOS!$I3981,nEVAL,"OR")=0))</f>
      </c>
      <c r="I3981">
        <f>IF(DATOS!$I3981="","",IFERROR(VLOOKUP(DATOS!$I3981,CONFIG_ASIGNATURAS!$B$2:$J$91,9,FALSE()),""))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IF(DATOS!$A3982="",0,IF(CONFIG_METADATA!$B$4&lt;&gt;"OR+EX",--(DATOS!$G3982=CONFIG_METADATA!$B$4),IF(DATOS!$G3982="EX",1,IF(DATOS!$G3982="OR",--(COUNTIFS(nNIA,DATOS!$A3982,nCURSO,DATOS!$D3982,nESPEC,DATOS!$E3982,nASIG,DATOS!$I3982,nEVAL,"EX")=0),0))))</f>
      </c>
      <c r="H3982">
        <f>IF(DATOS!$G3982&lt;&gt;"EX",0,--(COUNTIFS(nNIA,DATOS!$A3982,nCURSO,DATOS!$D3982,nESPEC,DATOS!$E3982,nASIG,DATOS!$I3982,nEVAL,"OR")=0))</f>
      </c>
      <c r="I3982">
        <f>IF(DATOS!$I3982="","",IFERROR(VLOOKUP(DATOS!$I3982,CONFIG_ASIGNATURAS!$B$2:$J$91,9,FALSE()),""))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IF(DATOS!$A3983="",0,IF(CONFIG_METADATA!$B$4&lt;&gt;"OR+EX",--(DATOS!$G3983=CONFIG_METADATA!$B$4),IF(DATOS!$G3983="EX",1,IF(DATOS!$G3983="OR",--(COUNTIFS(nNIA,DATOS!$A3983,nCURSO,DATOS!$D3983,nESPEC,DATOS!$E3983,nASIG,DATOS!$I3983,nEVAL,"EX")=0),0))))</f>
      </c>
      <c r="H3983">
        <f>IF(DATOS!$G3983&lt;&gt;"EX",0,--(COUNTIFS(nNIA,DATOS!$A3983,nCURSO,DATOS!$D3983,nESPEC,DATOS!$E3983,nASIG,DATOS!$I3983,nEVAL,"OR")=0))</f>
      </c>
      <c r="I3983">
        <f>IF(DATOS!$I3983="","",IFERROR(VLOOKUP(DATOS!$I3983,CONFIG_ASIGNATURAS!$B$2:$J$91,9,FALSE()),""))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IF(DATOS!$A3984="",0,IF(CONFIG_METADATA!$B$4&lt;&gt;"OR+EX",--(DATOS!$G3984=CONFIG_METADATA!$B$4),IF(DATOS!$G3984="EX",1,IF(DATOS!$G3984="OR",--(COUNTIFS(nNIA,DATOS!$A3984,nCURSO,DATOS!$D3984,nESPEC,DATOS!$E3984,nASIG,DATOS!$I3984,nEVAL,"EX")=0),0))))</f>
      </c>
      <c r="H3984">
        <f>IF(DATOS!$G3984&lt;&gt;"EX",0,--(COUNTIFS(nNIA,DATOS!$A3984,nCURSO,DATOS!$D3984,nESPEC,DATOS!$E3984,nASIG,DATOS!$I3984,nEVAL,"OR")=0))</f>
      </c>
      <c r="I3984">
        <f>IF(DATOS!$I3984="","",IFERROR(VLOOKUP(DATOS!$I3984,CONFIG_ASIGNATURAS!$B$2:$J$91,9,FALSE()),""))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IF(DATOS!$A3985="",0,IF(CONFIG_METADATA!$B$4&lt;&gt;"OR+EX",--(DATOS!$G3985=CONFIG_METADATA!$B$4),IF(DATOS!$G3985="EX",1,IF(DATOS!$G3985="OR",--(COUNTIFS(nNIA,DATOS!$A3985,nCURSO,DATOS!$D3985,nESPEC,DATOS!$E3985,nASIG,DATOS!$I3985,nEVAL,"EX")=0),0))))</f>
      </c>
      <c r="H3985">
        <f>IF(DATOS!$G3985&lt;&gt;"EX",0,--(COUNTIFS(nNIA,DATOS!$A3985,nCURSO,DATOS!$D3985,nESPEC,DATOS!$E3985,nASIG,DATOS!$I3985,nEVAL,"OR")=0))</f>
      </c>
      <c r="I3985">
        <f>IF(DATOS!$I3985="","",IFERROR(VLOOKUP(DATOS!$I3985,CONFIG_ASIGNATURAS!$B$2:$J$91,9,FALSE()),""))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IF(DATOS!$A3986="",0,IF(CONFIG_METADATA!$B$4&lt;&gt;"OR+EX",--(DATOS!$G3986=CONFIG_METADATA!$B$4),IF(DATOS!$G3986="EX",1,IF(DATOS!$G3986="OR",--(COUNTIFS(nNIA,DATOS!$A3986,nCURSO,DATOS!$D3986,nESPEC,DATOS!$E3986,nASIG,DATOS!$I3986,nEVAL,"EX")=0),0))))</f>
      </c>
      <c r="H3986">
        <f>IF(DATOS!$G3986&lt;&gt;"EX",0,--(COUNTIFS(nNIA,DATOS!$A3986,nCURSO,DATOS!$D3986,nESPEC,DATOS!$E3986,nASIG,DATOS!$I3986,nEVAL,"OR")=0))</f>
      </c>
      <c r="I3986">
        <f>IF(DATOS!$I3986="","",IFERROR(VLOOKUP(DATOS!$I3986,CONFIG_ASIGNATURAS!$B$2:$J$91,9,FALSE()),""))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IF(DATOS!$A3987="",0,IF(CONFIG_METADATA!$B$4&lt;&gt;"OR+EX",--(DATOS!$G3987=CONFIG_METADATA!$B$4),IF(DATOS!$G3987="EX",1,IF(DATOS!$G3987="OR",--(COUNTIFS(nNIA,DATOS!$A3987,nCURSO,DATOS!$D3987,nESPEC,DATOS!$E3987,nASIG,DATOS!$I3987,nEVAL,"EX")=0),0))))</f>
      </c>
      <c r="H3987">
        <f>IF(DATOS!$G3987&lt;&gt;"EX",0,--(COUNTIFS(nNIA,DATOS!$A3987,nCURSO,DATOS!$D3987,nESPEC,DATOS!$E3987,nASIG,DATOS!$I3987,nEVAL,"OR")=0))</f>
      </c>
      <c r="I3987">
        <f>IF(DATOS!$I3987="","",IFERROR(VLOOKUP(DATOS!$I3987,CONFIG_ASIGNATURAS!$B$2:$J$91,9,FALSE()),""))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IF(DATOS!$A3988="",0,IF(CONFIG_METADATA!$B$4&lt;&gt;"OR+EX",--(DATOS!$G3988=CONFIG_METADATA!$B$4),IF(DATOS!$G3988="EX",1,IF(DATOS!$G3988="OR",--(COUNTIFS(nNIA,DATOS!$A3988,nCURSO,DATOS!$D3988,nESPEC,DATOS!$E3988,nASIG,DATOS!$I3988,nEVAL,"EX")=0),0))))</f>
      </c>
      <c r="H3988">
        <f>IF(DATOS!$G3988&lt;&gt;"EX",0,--(COUNTIFS(nNIA,DATOS!$A3988,nCURSO,DATOS!$D3988,nESPEC,DATOS!$E3988,nASIG,DATOS!$I3988,nEVAL,"OR")=0))</f>
      </c>
      <c r="I3988">
        <f>IF(DATOS!$I3988="","",IFERROR(VLOOKUP(DATOS!$I3988,CONFIG_ASIGNATURAS!$B$2:$J$91,9,FALSE()),""))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IF(DATOS!$A3989="",0,IF(CONFIG_METADATA!$B$4&lt;&gt;"OR+EX",--(DATOS!$G3989=CONFIG_METADATA!$B$4),IF(DATOS!$G3989="EX",1,IF(DATOS!$G3989="OR",--(COUNTIFS(nNIA,DATOS!$A3989,nCURSO,DATOS!$D3989,nESPEC,DATOS!$E3989,nASIG,DATOS!$I3989,nEVAL,"EX")=0),0))))</f>
      </c>
      <c r="H3989">
        <f>IF(DATOS!$G3989&lt;&gt;"EX",0,--(COUNTIFS(nNIA,DATOS!$A3989,nCURSO,DATOS!$D3989,nESPEC,DATOS!$E3989,nASIG,DATOS!$I3989,nEVAL,"OR")=0))</f>
      </c>
      <c r="I3989">
        <f>IF(DATOS!$I3989="","",IFERROR(VLOOKUP(DATOS!$I3989,CONFIG_ASIGNATURAS!$B$2:$J$91,9,FALSE()),""))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IF(DATOS!$A3990="",0,IF(CONFIG_METADATA!$B$4&lt;&gt;"OR+EX",--(DATOS!$G3990=CONFIG_METADATA!$B$4),IF(DATOS!$G3990="EX",1,IF(DATOS!$G3990="OR",--(COUNTIFS(nNIA,DATOS!$A3990,nCURSO,DATOS!$D3990,nESPEC,DATOS!$E3990,nASIG,DATOS!$I3990,nEVAL,"EX")=0),0))))</f>
      </c>
      <c r="H3990">
        <f>IF(DATOS!$G3990&lt;&gt;"EX",0,--(COUNTIFS(nNIA,DATOS!$A3990,nCURSO,DATOS!$D3990,nESPEC,DATOS!$E3990,nASIG,DATOS!$I3990,nEVAL,"OR")=0))</f>
      </c>
      <c r="I3990">
        <f>IF(DATOS!$I3990="","",IFERROR(VLOOKUP(DATOS!$I3990,CONFIG_ASIGNATURAS!$B$2:$J$91,9,FALSE()),""))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IF(DATOS!$A3991="",0,IF(CONFIG_METADATA!$B$4&lt;&gt;"OR+EX",--(DATOS!$G3991=CONFIG_METADATA!$B$4),IF(DATOS!$G3991="EX",1,IF(DATOS!$G3991="OR",--(COUNTIFS(nNIA,DATOS!$A3991,nCURSO,DATOS!$D3991,nESPEC,DATOS!$E3991,nASIG,DATOS!$I3991,nEVAL,"EX")=0),0))))</f>
      </c>
      <c r="H3991">
        <f>IF(DATOS!$G3991&lt;&gt;"EX",0,--(COUNTIFS(nNIA,DATOS!$A3991,nCURSO,DATOS!$D3991,nESPEC,DATOS!$E3991,nASIG,DATOS!$I3991,nEVAL,"OR")=0))</f>
      </c>
      <c r="I3991">
        <f>IF(DATOS!$I3991="","",IFERROR(VLOOKUP(DATOS!$I3991,CONFIG_ASIGNATURAS!$B$2:$J$91,9,FALSE()),""))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IF(DATOS!$A3992="",0,IF(CONFIG_METADATA!$B$4&lt;&gt;"OR+EX",--(DATOS!$G3992=CONFIG_METADATA!$B$4),IF(DATOS!$G3992="EX",1,IF(DATOS!$G3992="OR",--(COUNTIFS(nNIA,DATOS!$A3992,nCURSO,DATOS!$D3992,nESPEC,DATOS!$E3992,nASIG,DATOS!$I3992,nEVAL,"EX")=0),0))))</f>
      </c>
      <c r="H3992">
        <f>IF(DATOS!$G3992&lt;&gt;"EX",0,--(COUNTIFS(nNIA,DATOS!$A3992,nCURSO,DATOS!$D3992,nESPEC,DATOS!$E3992,nASIG,DATOS!$I3992,nEVAL,"OR")=0))</f>
      </c>
      <c r="I3992">
        <f>IF(DATOS!$I3992="","",IFERROR(VLOOKUP(DATOS!$I3992,CONFIG_ASIGNATURAS!$B$2:$J$91,9,FALSE()),""))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IF(DATOS!$A3993="",0,IF(CONFIG_METADATA!$B$4&lt;&gt;"OR+EX",--(DATOS!$G3993=CONFIG_METADATA!$B$4),IF(DATOS!$G3993="EX",1,IF(DATOS!$G3993="OR",--(COUNTIFS(nNIA,DATOS!$A3993,nCURSO,DATOS!$D3993,nESPEC,DATOS!$E3993,nASIG,DATOS!$I3993,nEVAL,"EX")=0),0))))</f>
      </c>
      <c r="H3993">
        <f>IF(DATOS!$G3993&lt;&gt;"EX",0,--(COUNTIFS(nNIA,DATOS!$A3993,nCURSO,DATOS!$D3993,nESPEC,DATOS!$E3993,nASIG,DATOS!$I3993,nEVAL,"OR")=0))</f>
      </c>
      <c r="I3993">
        <f>IF(DATOS!$I3993="","",IFERROR(VLOOKUP(DATOS!$I3993,CONFIG_ASIGNATURAS!$B$2:$J$91,9,FALSE()),""))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IF(DATOS!$A3994="",0,IF(CONFIG_METADATA!$B$4&lt;&gt;"OR+EX",--(DATOS!$G3994=CONFIG_METADATA!$B$4),IF(DATOS!$G3994="EX",1,IF(DATOS!$G3994="OR",--(COUNTIFS(nNIA,DATOS!$A3994,nCURSO,DATOS!$D3994,nESPEC,DATOS!$E3994,nASIG,DATOS!$I3994,nEVAL,"EX")=0),0))))</f>
      </c>
      <c r="H3994">
        <f>IF(DATOS!$G3994&lt;&gt;"EX",0,--(COUNTIFS(nNIA,DATOS!$A3994,nCURSO,DATOS!$D3994,nESPEC,DATOS!$E3994,nASIG,DATOS!$I3994,nEVAL,"OR")=0))</f>
      </c>
      <c r="I3994">
        <f>IF(DATOS!$I3994="","",IFERROR(VLOOKUP(DATOS!$I3994,CONFIG_ASIGNATURAS!$B$2:$J$91,9,FALSE()),""))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IF(DATOS!$A3995="",0,IF(CONFIG_METADATA!$B$4&lt;&gt;"OR+EX",--(DATOS!$G3995=CONFIG_METADATA!$B$4),IF(DATOS!$G3995="EX",1,IF(DATOS!$G3995="OR",--(COUNTIFS(nNIA,DATOS!$A3995,nCURSO,DATOS!$D3995,nESPEC,DATOS!$E3995,nASIG,DATOS!$I3995,nEVAL,"EX")=0),0))))</f>
      </c>
      <c r="H3995">
        <f>IF(DATOS!$G3995&lt;&gt;"EX",0,--(COUNTIFS(nNIA,DATOS!$A3995,nCURSO,DATOS!$D3995,nESPEC,DATOS!$E3995,nASIG,DATOS!$I3995,nEVAL,"OR")=0))</f>
      </c>
      <c r="I3995">
        <f>IF(DATOS!$I3995="","",IFERROR(VLOOKUP(DATOS!$I3995,CONFIG_ASIGNATURAS!$B$2:$J$91,9,FALSE()),""))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IF(DATOS!$A3996="",0,IF(CONFIG_METADATA!$B$4&lt;&gt;"OR+EX",--(DATOS!$G3996=CONFIG_METADATA!$B$4),IF(DATOS!$G3996="EX",1,IF(DATOS!$G3996="OR",--(COUNTIFS(nNIA,DATOS!$A3996,nCURSO,DATOS!$D3996,nESPEC,DATOS!$E3996,nASIG,DATOS!$I3996,nEVAL,"EX")=0),0))))</f>
      </c>
      <c r="H3996">
        <f>IF(DATOS!$G3996&lt;&gt;"EX",0,--(COUNTIFS(nNIA,DATOS!$A3996,nCURSO,DATOS!$D3996,nESPEC,DATOS!$E3996,nASIG,DATOS!$I3996,nEVAL,"OR")=0))</f>
      </c>
      <c r="I3996">
        <f>IF(DATOS!$I3996="","",IFERROR(VLOOKUP(DATOS!$I3996,CONFIG_ASIGNATURAS!$B$2:$J$91,9,FALSE()),""))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IF(DATOS!$A3997="",0,IF(CONFIG_METADATA!$B$4&lt;&gt;"OR+EX",--(DATOS!$G3997=CONFIG_METADATA!$B$4),IF(DATOS!$G3997="EX",1,IF(DATOS!$G3997="OR",--(COUNTIFS(nNIA,DATOS!$A3997,nCURSO,DATOS!$D3997,nESPEC,DATOS!$E3997,nASIG,DATOS!$I3997,nEVAL,"EX")=0),0))))</f>
      </c>
      <c r="H3997">
        <f>IF(DATOS!$G3997&lt;&gt;"EX",0,--(COUNTIFS(nNIA,DATOS!$A3997,nCURSO,DATOS!$D3997,nESPEC,DATOS!$E3997,nASIG,DATOS!$I3997,nEVAL,"OR")=0))</f>
      </c>
      <c r="I3997">
        <f>IF(DATOS!$I3997="","",IFERROR(VLOOKUP(DATOS!$I3997,CONFIG_ASIGNATURAS!$B$2:$J$91,9,FALSE()),""))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IF(DATOS!$A3998="",0,IF(CONFIG_METADATA!$B$4&lt;&gt;"OR+EX",--(DATOS!$G3998=CONFIG_METADATA!$B$4),IF(DATOS!$G3998="EX",1,IF(DATOS!$G3998="OR",--(COUNTIFS(nNIA,DATOS!$A3998,nCURSO,DATOS!$D3998,nESPEC,DATOS!$E3998,nASIG,DATOS!$I3998,nEVAL,"EX")=0),0))))</f>
      </c>
      <c r="H3998">
        <f>IF(DATOS!$G3998&lt;&gt;"EX",0,--(COUNTIFS(nNIA,DATOS!$A3998,nCURSO,DATOS!$D3998,nESPEC,DATOS!$E3998,nASIG,DATOS!$I3998,nEVAL,"OR")=0))</f>
      </c>
      <c r="I3998">
        <f>IF(DATOS!$I3998="","",IFERROR(VLOOKUP(DATOS!$I3998,CONFIG_ASIGNATURAS!$B$2:$J$91,9,FALSE()),""))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IF(DATOS!$A3999="",0,IF(CONFIG_METADATA!$B$4&lt;&gt;"OR+EX",--(DATOS!$G3999=CONFIG_METADATA!$B$4),IF(DATOS!$G3999="EX",1,IF(DATOS!$G3999="OR",--(COUNTIFS(nNIA,DATOS!$A3999,nCURSO,DATOS!$D3999,nESPEC,DATOS!$E3999,nASIG,DATOS!$I3999,nEVAL,"EX")=0),0))))</f>
      </c>
      <c r="H3999">
        <f>IF(DATOS!$G3999&lt;&gt;"EX",0,--(COUNTIFS(nNIA,DATOS!$A3999,nCURSO,DATOS!$D3999,nESPEC,DATOS!$E3999,nASIG,DATOS!$I3999,nEVAL,"OR")=0))</f>
      </c>
      <c r="I3999">
        <f>IF(DATOS!$I3999="","",IFERROR(VLOOKUP(DATOS!$I3999,CONFIG_ASIGNATURAS!$B$2:$J$91,9,FALSE()),""))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IF(DATOS!$A4000="",0,IF(CONFIG_METADATA!$B$4&lt;&gt;"OR+EX",--(DATOS!$G4000=CONFIG_METADATA!$B$4),IF(DATOS!$G4000="EX",1,IF(DATOS!$G4000="OR",--(COUNTIFS(nNIA,DATOS!$A4000,nCURSO,DATOS!$D4000,nESPEC,DATOS!$E4000,nASIG,DATOS!$I4000,nEVAL,"EX")=0),0))))</f>
      </c>
      <c r="H4000">
        <f>IF(DATOS!$G4000&lt;&gt;"EX",0,--(COUNTIFS(nNIA,DATOS!$A4000,nCURSO,DATOS!$D4000,nESPEC,DATOS!$E4000,nASIG,DATOS!$I4000,nEVAL,"OR")=0))</f>
      </c>
      <c r="I4000">
        <f>IF(DATOS!$I4000="","",IFERROR(VLOOKUP(DATOS!$I4000,CONFIG_ASIGNATURAS!$B$2:$J$91,9,FALSE()),""))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IF(DATOS!$A4001="",0,IF(CONFIG_METADATA!$B$4&lt;&gt;"OR+EX",--(DATOS!$G4001=CONFIG_METADATA!$B$4),IF(DATOS!$G4001="EX",1,IF(DATOS!$G4001="OR",--(COUNTIFS(nNIA,DATOS!$A4001,nCURSO,DATOS!$D4001,nESPEC,DATOS!$E4001,nASIG,DATOS!$I4001,nEVAL,"EX")=0),0))))</f>
      </c>
      <c r="H4001">
        <f>IF(DATOS!$G4001&lt;&gt;"EX",0,--(COUNTIFS(nNIA,DATOS!$A4001,nCURSO,DATOS!$D4001,nESPEC,DATOS!$E4001,nASIG,DATOS!$I4001,nEVAL,"OR")=0))</f>
      </c>
      <c r="I4001">
        <f>IF(DATOS!$I4001="","",IFERROR(VLOOKUP(DATOS!$I4001,CONFIG_ASIGNATURAS!$B$2:$J$91,9,FALSE()),""))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IF(DATOS!$A4002="",0,IF(CONFIG_METADATA!$B$4&lt;&gt;"OR+EX",--(DATOS!$G4002=CONFIG_METADATA!$B$4),IF(DATOS!$G4002="EX",1,IF(DATOS!$G4002="OR",--(COUNTIFS(nNIA,DATOS!$A4002,nCURSO,DATOS!$D4002,nESPEC,DATOS!$E4002,nASIG,DATOS!$I4002,nEVAL,"EX")=0),0))))</f>
      </c>
      <c r="H4002">
        <f>IF(DATOS!$G4002&lt;&gt;"EX",0,--(COUNTIFS(nNIA,DATOS!$A4002,nCURSO,DATOS!$D4002,nESPEC,DATOS!$E4002,nASIG,DATOS!$I4002,nEVAL,"OR")=0))</f>
      </c>
      <c r="I4002">
        <f>IF(DATOS!$I4002="","",IFERROR(VLOOKUP(DATOS!$I4002,CONFIG_ASIGNATURAS!$B$2:$J$91,9,FALSE()),""))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IF(DATOS!$A4003="",0,IF(CONFIG_METADATA!$B$4&lt;&gt;"OR+EX",--(DATOS!$G4003=CONFIG_METADATA!$B$4),IF(DATOS!$G4003="EX",1,IF(DATOS!$G4003="OR",--(COUNTIFS(nNIA,DATOS!$A4003,nCURSO,DATOS!$D4003,nESPEC,DATOS!$E4003,nASIG,DATOS!$I4003,nEVAL,"EX")=0),0))))</f>
      </c>
      <c r="H4003">
        <f>IF(DATOS!$G4003&lt;&gt;"EX",0,--(COUNTIFS(nNIA,DATOS!$A4003,nCURSO,DATOS!$D4003,nESPEC,DATOS!$E4003,nASIG,DATOS!$I4003,nEVAL,"OR")=0))</f>
      </c>
      <c r="I4003">
        <f>IF(DATOS!$I4003="","",IFERROR(VLOOKUP(DATOS!$I4003,CONFIG_ASIGNATURAS!$B$2:$J$91,9,FALSE()),""))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IF(DATOS!$A4004="",0,IF(CONFIG_METADATA!$B$4&lt;&gt;"OR+EX",--(DATOS!$G4004=CONFIG_METADATA!$B$4),IF(DATOS!$G4004="EX",1,IF(DATOS!$G4004="OR",--(COUNTIFS(nNIA,DATOS!$A4004,nCURSO,DATOS!$D4004,nESPEC,DATOS!$E4004,nASIG,DATOS!$I4004,nEVAL,"EX")=0),0))))</f>
      </c>
      <c r="H4004">
        <f>IF(DATOS!$G4004&lt;&gt;"EX",0,--(COUNTIFS(nNIA,DATOS!$A4004,nCURSO,DATOS!$D4004,nESPEC,DATOS!$E4004,nASIG,DATOS!$I4004,nEVAL,"OR")=0))</f>
      </c>
      <c r="I4004">
        <f>IF(DATOS!$I4004="","",IFERROR(VLOOKUP(DATOS!$I4004,CONFIG_ASIGNATURAS!$B$2:$J$91,9,FALSE()),""))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IF(DATOS!$A4005="",0,IF(CONFIG_METADATA!$B$4&lt;&gt;"OR+EX",--(DATOS!$G4005=CONFIG_METADATA!$B$4),IF(DATOS!$G4005="EX",1,IF(DATOS!$G4005="OR",--(COUNTIFS(nNIA,DATOS!$A4005,nCURSO,DATOS!$D4005,nESPEC,DATOS!$E4005,nASIG,DATOS!$I4005,nEVAL,"EX")=0),0))))</f>
      </c>
      <c r="H4005">
        <f>IF(DATOS!$G4005&lt;&gt;"EX",0,--(COUNTIFS(nNIA,DATOS!$A4005,nCURSO,DATOS!$D4005,nESPEC,DATOS!$E4005,nASIG,DATOS!$I4005,nEVAL,"OR")=0))</f>
      </c>
      <c r="I4005">
        <f>IF(DATOS!$I4005="","",IFERROR(VLOOKUP(DATOS!$I4005,CONFIG_ASIGNATURAS!$B$2:$J$91,9,FALSE()),""))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IF(DATOS!$A4006="",0,IF(CONFIG_METADATA!$B$4&lt;&gt;"OR+EX",--(DATOS!$G4006=CONFIG_METADATA!$B$4),IF(DATOS!$G4006="EX",1,IF(DATOS!$G4006="OR",--(COUNTIFS(nNIA,DATOS!$A4006,nCURSO,DATOS!$D4006,nESPEC,DATOS!$E4006,nASIG,DATOS!$I4006,nEVAL,"EX")=0),0))))</f>
      </c>
      <c r="H4006">
        <f>IF(DATOS!$G4006&lt;&gt;"EX",0,--(COUNTIFS(nNIA,DATOS!$A4006,nCURSO,DATOS!$D4006,nESPEC,DATOS!$E4006,nASIG,DATOS!$I4006,nEVAL,"OR")=0))</f>
      </c>
      <c r="I4006">
        <f>IF(DATOS!$I4006="","",IFERROR(VLOOKUP(DATOS!$I4006,CONFIG_ASIGNATURAS!$B$2:$J$91,9,FALSE()),""))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IF(DATOS!$A4007="",0,IF(CONFIG_METADATA!$B$4&lt;&gt;"OR+EX",--(DATOS!$G4007=CONFIG_METADATA!$B$4),IF(DATOS!$G4007="EX",1,IF(DATOS!$G4007="OR",--(COUNTIFS(nNIA,DATOS!$A4007,nCURSO,DATOS!$D4007,nESPEC,DATOS!$E4007,nASIG,DATOS!$I4007,nEVAL,"EX")=0),0))))</f>
      </c>
      <c r="H4007">
        <f>IF(DATOS!$G4007&lt;&gt;"EX",0,--(COUNTIFS(nNIA,DATOS!$A4007,nCURSO,DATOS!$D4007,nESPEC,DATOS!$E4007,nASIG,DATOS!$I4007,nEVAL,"OR")=0))</f>
      </c>
      <c r="I4007">
        <f>IF(DATOS!$I4007="","",IFERROR(VLOOKUP(DATOS!$I4007,CONFIG_ASIGNATURAS!$B$2:$J$91,9,FALSE()),""))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IF(DATOS!$A4008="",0,IF(CONFIG_METADATA!$B$4&lt;&gt;"OR+EX",--(DATOS!$G4008=CONFIG_METADATA!$B$4),IF(DATOS!$G4008="EX",1,IF(DATOS!$G4008="OR",--(COUNTIFS(nNIA,DATOS!$A4008,nCURSO,DATOS!$D4008,nESPEC,DATOS!$E4008,nASIG,DATOS!$I4008,nEVAL,"EX")=0),0))))</f>
      </c>
      <c r="H4008">
        <f>IF(DATOS!$G4008&lt;&gt;"EX",0,--(COUNTIFS(nNIA,DATOS!$A4008,nCURSO,DATOS!$D4008,nESPEC,DATOS!$E4008,nASIG,DATOS!$I4008,nEVAL,"OR")=0))</f>
      </c>
      <c r="I4008">
        <f>IF(DATOS!$I4008="","",IFERROR(VLOOKUP(DATOS!$I4008,CONFIG_ASIGNATURAS!$B$2:$J$91,9,FALSE()),""))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IF(DATOS!$A4009="",0,IF(CONFIG_METADATA!$B$4&lt;&gt;"OR+EX",--(DATOS!$G4009=CONFIG_METADATA!$B$4),IF(DATOS!$G4009="EX",1,IF(DATOS!$G4009="OR",--(COUNTIFS(nNIA,DATOS!$A4009,nCURSO,DATOS!$D4009,nESPEC,DATOS!$E4009,nASIG,DATOS!$I4009,nEVAL,"EX")=0),0))))</f>
      </c>
      <c r="H4009">
        <f>IF(DATOS!$G4009&lt;&gt;"EX",0,--(COUNTIFS(nNIA,DATOS!$A4009,nCURSO,DATOS!$D4009,nESPEC,DATOS!$E4009,nASIG,DATOS!$I4009,nEVAL,"OR")=0))</f>
      </c>
      <c r="I4009">
        <f>IF(DATOS!$I4009="","",IFERROR(VLOOKUP(DATOS!$I4009,CONFIG_ASIGNATURAS!$B$2:$J$91,9,FALSE()),""))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IF(DATOS!$A4010="",0,IF(CONFIG_METADATA!$B$4&lt;&gt;"OR+EX",--(DATOS!$G4010=CONFIG_METADATA!$B$4),IF(DATOS!$G4010="EX",1,IF(DATOS!$G4010="OR",--(COUNTIFS(nNIA,DATOS!$A4010,nCURSO,DATOS!$D4010,nESPEC,DATOS!$E4010,nASIG,DATOS!$I4010,nEVAL,"EX")=0),0))))</f>
      </c>
      <c r="H4010">
        <f>IF(DATOS!$G4010&lt;&gt;"EX",0,--(COUNTIFS(nNIA,DATOS!$A4010,nCURSO,DATOS!$D4010,nESPEC,DATOS!$E4010,nASIG,DATOS!$I4010,nEVAL,"OR")=0))</f>
      </c>
      <c r="I4010">
        <f>IF(DATOS!$I4010="","",IFERROR(VLOOKUP(DATOS!$I4010,CONFIG_ASIGNATURAS!$B$2:$J$91,9,FALSE()),""))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IF(DATOS!$A4011="",0,IF(CONFIG_METADATA!$B$4&lt;&gt;"OR+EX",--(DATOS!$G4011=CONFIG_METADATA!$B$4),IF(DATOS!$G4011="EX",1,IF(DATOS!$G4011="OR",--(COUNTIFS(nNIA,DATOS!$A4011,nCURSO,DATOS!$D4011,nESPEC,DATOS!$E4011,nASIG,DATOS!$I4011,nEVAL,"EX")=0),0))))</f>
      </c>
      <c r="H4011">
        <f>IF(DATOS!$G4011&lt;&gt;"EX",0,--(COUNTIFS(nNIA,DATOS!$A4011,nCURSO,DATOS!$D4011,nESPEC,DATOS!$E4011,nASIG,DATOS!$I4011,nEVAL,"OR")=0))</f>
      </c>
      <c r="I4011">
        <f>IF(DATOS!$I4011="","",IFERROR(VLOOKUP(DATOS!$I4011,CONFIG_ASIGNATURAS!$B$2:$J$91,9,FALSE()),""))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IF(DATOS!$A4012="",0,IF(CONFIG_METADATA!$B$4&lt;&gt;"OR+EX",--(DATOS!$G4012=CONFIG_METADATA!$B$4),IF(DATOS!$G4012="EX",1,IF(DATOS!$G4012="OR",--(COUNTIFS(nNIA,DATOS!$A4012,nCURSO,DATOS!$D4012,nESPEC,DATOS!$E4012,nASIG,DATOS!$I4012,nEVAL,"EX")=0),0))))</f>
      </c>
      <c r="H4012">
        <f>IF(DATOS!$G4012&lt;&gt;"EX",0,--(COUNTIFS(nNIA,DATOS!$A4012,nCURSO,DATOS!$D4012,nESPEC,DATOS!$E4012,nASIG,DATOS!$I4012,nEVAL,"OR")=0))</f>
      </c>
      <c r="I4012">
        <f>IF(DATOS!$I4012="","",IFERROR(VLOOKUP(DATOS!$I4012,CONFIG_ASIGNATURAS!$B$2:$J$91,9,FALSE()),""))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IF(DATOS!$A4013="",0,IF(CONFIG_METADATA!$B$4&lt;&gt;"OR+EX",--(DATOS!$G4013=CONFIG_METADATA!$B$4),IF(DATOS!$G4013="EX",1,IF(DATOS!$G4013="OR",--(COUNTIFS(nNIA,DATOS!$A4013,nCURSO,DATOS!$D4013,nESPEC,DATOS!$E4013,nASIG,DATOS!$I4013,nEVAL,"EX")=0),0))))</f>
      </c>
      <c r="H4013">
        <f>IF(DATOS!$G4013&lt;&gt;"EX",0,--(COUNTIFS(nNIA,DATOS!$A4013,nCURSO,DATOS!$D4013,nESPEC,DATOS!$E4013,nASIG,DATOS!$I4013,nEVAL,"OR")=0))</f>
      </c>
      <c r="I4013">
        <f>IF(DATOS!$I4013="","",IFERROR(VLOOKUP(DATOS!$I4013,CONFIG_ASIGNATURAS!$B$2:$J$91,9,FALSE()),""))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IF(DATOS!$A4014="",0,IF(CONFIG_METADATA!$B$4&lt;&gt;"OR+EX",--(DATOS!$G4014=CONFIG_METADATA!$B$4),IF(DATOS!$G4014="EX",1,IF(DATOS!$G4014="OR",--(COUNTIFS(nNIA,DATOS!$A4014,nCURSO,DATOS!$D4014,nESPEC,DATOS!$E4014,nASIG,DATOS!$I4014,nEVAL,"EX")=0),0))))</f>
      </c>
      <c r="H4014">
        <f>IF(DATOS!$G4014&lt;&gt;"EX",0,--(COUNTIFS(nNIA,DATOS!$A4014,nCURSO,DATOS!$D4014,nESPEC,DATOS!$E4014,nASIG,DATOS!$I4014,nEVAL,"OR")=0))</f>
      </c>
      <c r="I4014">
        <f>IF(DATOS!$I4014="","",IFERROR(VLOOKUP(DATOS!$I4014,CONFIG_ASIGNATURAS!$B$2:$J$91,9,FALSE()),""))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IF(DATOS!$A4015="",0,IF(CONFIG_METADATA!$B$4&lt;&gt;"OR+EX",--(DATOS!$G4015=CONFIG_METADATA!$B$4),IF(DATOS!$G4015="EX",1,IF(DATOS!$G4015="OR",--(COUNTIFS(nNIA,DATOS!$A4015,nCURSO,DATOS!$D4015,nESPEC,DATOS!$E4015,nASIG,DATOS!$I4015,nEVAL,"EX")=0),0))))</f>
      </c>
      <c r="H4015">
        <f>IF(DATOS!$G4015&lt;&gt;"EX",0,--(COUNTIFS(nNIA,DATOS!$A4015,nCURSO,DATOS!$D4015,nESPEC,DATOS!$E4015,nASIG,DATOS!$I4015,nEVAL,"OR")=0))</f>
      </c>
      <c r="I4015">
        <f>IF(DATOS!$I4015="","",IFERROR(VLOOKUP(DATOS!$I4015,CONFIG_ASIGNATURAS!$B$2:$J$91,9,FALSE()),""))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IF(DATOS!$A4016="",0,IF(CONFIG_METADATA!$B$4&lt;&gt;"OR+EX",--(DATOS!$G4016=CONFIG_METADATA!$B$4),IF(DATOS!$G4016="EX",1,IF(DATOS!$G4016="OR",--(COUNTIFS(nNIA,DATOS!$A4016,nCURSO,DATOS!$D4016,nESPEC,DATOS!$E4016,nASIG,DATOS!$I4016,nEVAL,"EX")=0),0))))</f>
      </c>
      <c r="H4016">
        <f>IF(DATOS!$G4016&lt;&gt;"EX",0,--(COUNTIFS(nNIA,DATOS!$A4016,nCURSO,DATOS!$D4016,nESPEC,DATOS!$E4016,nASIG,DATOS!$I4016,nEVAL,"OR")=0))</f>
      </c>
      <c r="I4016">
        <f>IF(DATOS!$I4016="","",IFERROR(VLOOKUP(DATOS!$I4016,CONFIG_ASIGNATURAS!$B$2:$J$91,9,FALSE()),""))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IF(DATOS!$A4017="",0,IF(CONFIG_METADATA!$B$4&lt;&gt;"OR+EX",--(DATOS!$G4017=CONFIG_METADATA!$B$4),IF(DATOS!$G4017="EX",1,IF(DATOS!$G4017="OR",--(COUNTIFS(nNIA,DATOS!$A4017,nCURSO,DATOS!$D4017,nESPEC,DATOS!$E4017,nASIG,DATOS!$I4017,nEVAL,"EX")=0),0))))</f>
      </c>
      <c r="H4017">
        <f>IF(DATOS!$G4017&lt;&gt;"EX",0,--(COUNTIFS(nNIA,DATOS!$A4017,nCURSO,DATOS!$D4017,nESPEC,DATOS!$E4017,nASIG,DATOS!$I4017,nEVAL,"OR")=0))</f>
      </c>
      <c r="I4017">
        <f>IF(DATOS!$I4017="","",IFERROR(VLOOKUP(DATOS!$I4017,CONFIG_ASIGNATURAS!$B$2:$J$91,9,FALSE()),""))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IF(DATOS!$A4018="",0,IF(CONFIG_METADATA!$B$4&lt;&gt;"OR+EX",--(DATOS!$G4018=CONFIG_METADATA!$B$4),IF(DATOS!$G4018="EX",1,IF(DATOS!$G4018="OR",--(COUNTIFS(nNIA,DATOS!$A4018,nCURSO,DATOS!$D4018,nESPEC,DATOS!$E4018,nASIG,DATOS!$I4018,nEVAL,"EX")=0),0))))</f>
      </c>
      <c r="H4018">
        <f>IF(DATOS!$G4018&lt;&gt;"EX",0,--(COUNTIFS(nNIA,DATOS!$A4018,nCURSO,DATOS!$D4018,nESPEC,DATOS!$E4018,nASIG,DATOS!$I4018,nEVAL,"OR")=0))</f>
      </c>
      <c r="I4018">
        <f>IF(DATOS!$I4018="","",IFERROR(VLOOKUP(DATOS!$I4018,CONFIG_ASIGNATURAS!$B$2:$J$91,9,FALSE()),""))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IF(DATOS!$A4019="",0,IF(CONFIG_METADATA!$B$4&lt;&gt;"OR+EX",--(DATOS!$G4019=CONFIG_METADATA!$B$4),IF(DATOS!$G4019="EX",1,IF(DATOS!$G4019="OR",--(COUNTIFS(nNIA,DATOS!$A4019,nCURSO,DATOS!$D4019,nESPEC,DATOS!$E4019,nASIG,DATOS!$I4019,nEVAL,"EX")=0),0))))</f>
      </c>
      <c r="H4019">
        <f>IF(DATOS!$G4019&lt;&gt;"EX",0,--(COUNTIFS(nNIA,DATOS!$A4019,nCURSO,DATOS!$D4019,nESPEC,DATOS!$E4019,nASIG,DATOS!$I4019,nEVAL,"OR")=0))</f>
      </c>
      <c r="I4019">
        <f>IF(DATOS!$I4019="","",IFERROR(VLOOKUP(DATOS!$I4019,CONFIG_ASIGNATURAS!$B$2:$J$91,9,FALSE()),""))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IF(DATOS!$A4020="",0,IF(CONFIG_METADATA!$B$4&lt;&gt;"OR+EX",--(DATOS!$G4020=CONFIG_METADATA!$B$4),IF(DATOS!$G4020="EX",1,IF(DATOS!$G4020="OR",--(COUNTIFS(nNIA,DATOS!$A4020,nCURSO,DATOS!$D4020,nESPEC,DATOS!$E4020,nASIG,DATOS!$I4020,nEVAL,"EX")=0),0))))</f>
      </c>
      <c r="H4020">
        <f>IF(DATOS!$G4020&lt;&gt;"EX",0,--(COUNTIFS(nNIA,DATOS!$A4020,nCURSO,DATOS!$D4020,nESPEC,DATOS!$E4020,nASIG,DATOS!$I4020,nEVAL,"OR")=0))</f>
      </c>
      <c r="I4020">
        <f>IF(DATOS!$I4020="","",IFERROR(VLOOKUP(DATOS!$I4020,CONFIG_ASIGNATURAS!$B$2:$J$91,9,FALSE()),""))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IF(DATOS!$A4021="",0,IF(CONFIG_METADATA!$B$4&lt;&gt;"OR+EX",--(DATOS!$G4021=CONFIG_METADATA!$B$4),IF(DATOS!$G4021="EX",1,IF(DATOS!$G4021="OR",--(COUNTIFS(nNIA,DATOS!$A4021,nCURSO,DATOS!$D4021,nESPEC,DATOS!$E4021,nASIG,DATOS!$I4021,nEVAL,"EX")=0),0))))</f>
      </c>
      <c r="H4021">
        <f>IF(DATOS!$G4021&lt;&gt;"EX",0,--(COUNTIFS(nNIA,DATOS!$A4021,nCURSO,DATOS!$D4021,nESPEC,DATOS!$E4021,nASIG,DATOS!$I4021,nEVAL,"OR")=0))</f>
      </c>
      <c r="I4021">
        <f>IF(DATOS!$I4021="","",IFERROR(VLOOKUP(DATOS!$I4021,CONFIG_ASIGNATURAS!$B$2:$J$91,9,FALSE()),""))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IF(DATOS!$A4022="",0,IF(CONFIG_METADATA!$B$4&lt;&gt;"OR+EX",--(DATOS!$G4022=CONFIG_METADATA!$B$4),IF(DATOS!$G4022="EX",1,IF(DATOS!$G4022="OR",--(COUNTIFS(nNIA,DATOS!$A4022,nCURSO,DATOS!$D4022,nESPEC,DATOS!$E4022,nASIG,DATOS!$I4022,nEVAL,"EX")=0),0))))</f>
      </c>
      <c r="H4022">
        <f>IF(DATOS!$G4022&lt;&gt;"EX",0,--(COUNTIFS(nNIA,DATOS!$A4022,nCURSO,DATOS!$D4022,nESPEC,DATOS!$E4022,nASIG,DATOS!$I4022,nEVAL,"OR")=0))</f>
      </c>
      <c r="I4022">
        <f>IF(DATOS!$I4022="","",IFERROR(VLOOKUP(DATOS!$I4022,CONFIG_ASIGNATURAS!$B$2:$J$91,9,FALSE()),""))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IF(DATOS!$A4023="",0,IF(CONFIG_METADATA!$B$4&lt;&gt;"OR+EX",--(DATOS!$G4023=CONFIG_METADATA!$B$4),IF(DATOS!$G4023="EX",1,IF(DATOS!$G4023="OR",--(COUNTIFS(nNIA,DATOS!$A4023,nCURSO,DATOS!$D4023,nESPEC,DATOS!$E4023,nASIG,DATOS!$I4023,nEVAL,"EX")=0),0))))</f>
      </c>
      <c r="H4023">
        <f>IF(DATOS!$G4023&lt;&gt;"EX",0,--(COUNTIFS(nNIA,DATOS!$A4023,nCURSO,DATOS!$D4023,nESPEC,DATOS!$E4023,nASIG,DATOS!$I4023,nEVAL,"OR")=0))</f>
      </c>
      <c r="I4023">
        <f>IF(DATOS!$I4023="","",IFERROR(VLOOKUP(DATOS!$I4023,CONFIG_ASIGNATURAS!$B$2:$J$91,9,FALSE()),""))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IF(DATOS!$A4024="",0,IF(CONFIG_METADATA!$B$4&lt;&gt;"OR+EX",--(DATOS!$G4024=CONFIG_METADATA!$B$4),IF(DATOS!$G4024="EX",1,IF(DATOS!$G4024="OR",--(COUNTIFS(nNIA,DATOS!$A4024,nCURSO,DATOS!$D4024,nESPEC,DATOS!$E4024,nASIG,DATOS!$I4024,nEVAL,"EX")=0),0))))</f>
      </c>
      <c r="H4024">
        <f>IF(DATOS!$G4024&lt;&gt;"EX",0,--(COUNTIFS(nNIA,DATOS!$A4024,nCURSO,DATOS!$D4024,nESPEC,DATOS!$E4024,nASIG,DATOS!$I4024,nEVAL,"OR")=0))</f>
      </c>
      <c r="I4024">
        <f>IF(DATOS!$I4024="","",IFERROR(VLOOKUP(DATOS!$I4024,CONFIG_ASIGNATURAS!$B$2:$J$91,9,FALSE()),""))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IF(DATOS!$A4025="",0,IF(CONFIG_METADATA!$B$4&lt;&gt;"OR+EX",--(DATOS!$G4025=CONFIG_METADATA!$B$4),IF(DATOS!$G4025="EX",1,IF(DATOS!$G4025="OR",--(COUNTIFS(nNIA,DATOS!$A4025,nCURSO,DATOS!$D4025,nESPEC,DATOS!$E4025,nASIG,DATOS!$I4025,nEVAL,"EX")=0),0))))</f>
      </c>
      <c r="H4025">
        <f>IF(DATOS!$G4025&lt;&gt;"EX",0,--(COUNTIFS(nNIA,DATOS!$A4025,nCURSO,DATOS!$D4025,nESPEC,DATOS!$E4025,nASIG,DATOS!$I4025,nEVAL,"OR")=0))</f>
      </c>
      <c r="I4025">
        <f>IF(DATOS!$I4025="","",IFERROR(VLOOKUP(DATOS!$I4025,CONFIG_ASIGNATURAS!$B$2:$J$91,9,FALSE()),""))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IF(DATOS!$A4026="",0,IF(CONFIG_METADATA!$B$4&lt;&gt;"OR+EX",--(DATOS!$G4026=CONFIG_METADATA!$B$4),IF(DATOS!$G4026="EX",1,IF(DATOS!$G4026="OR",--(COUNTIFS(nNIA,DATOS!$A4026,nCURSO,DATOS!$D4026,nESPEC,DATOS!$E4026,nASIG,DATOS!$I4026,nEVAL,"EX")=0),0))))</f>
      </c>
      <c r="H4026">
        <f>IF(DATOS!$G4026&lt;&gt;"EX",0,--(COUNTIFS(nNIA,DATOS!$A4026,nCURSO,DATOS!$D4026,nESPEC,DATOS!$E4026,nASIG,DATOS!$I4026,nEVAL,"OR")=0))</f>
      </c>
      <c r="I4026">
        <f>IF(DATOS!$I4026="","",IFERROR(VLOOKUP(DATOS!$I4026,CONFIG_ASIGNATURAS!$B$2:$J$91,9,FALSE()),""))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IF(DATOS!$A4027="",0,IF(CONFIG_METADATA!$B$4&lt;&gt;"OR+EX",--(DATOS!$G4027=CONFIG_METADATA!$B$4),IF(DATOS!$G4027="EX",1,IF(DATOS!$G4027="OR",--(COUNTIFS(nNIA,DATOS!$A4027,nCURSO,DATOS!$D4027,nESPEC,DATOS!$E4027,nASIG,DATOS!$I4027,nEVAL,"EX")=0),0))))</f>
      </c>
      <c r="H4027">
        <f>IF(DATOS!$G4027&lt;&gt;"EX",0,--(COUNTIFS(nNIA,DATOS!$A4027,nCURSO,DATOS!$D4027,nESPEC,DATOS!$E4027,nASIG,DATOS!$I4027,nEVAL,"OR")=0))</f>
      </c>
      <c r="I4027">
        <f>IF(DATOS!$I4027="","",IFERROR(VLOOKUP(DATOS!$I4027,CONFIG_ASIGNATURAS!$B$2:$J$91,9,FALSE()),""))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IF(DATOS!$A4028="",0,IF(CONFIG_METADATA!$B$4&lt;&gt;"OR+EX",--(DATOS!$G4028=CONFIG_METADATA!$B$4),IF(DATOS!$G4028="EX",1,IF(DATOS!$G4028="OR",--(COUNTIFS(nNIA,DATOS!$A4028,nCURSO,DATOS!$D4028,nESPEC,DATOS!$E4028,nASIG,DATOS!$I4028,nEVAL,"EX")=0),0))))</f>
      </c>
      <c r="H4028">
        <f>IF(DATOS!$G4028&lt;&gt;"EX",0,--(COUNTIFS(nNIA,DATOS!$A4028,nCURSO,DATOS!$D4028,nESPEC,DATOS!$E4028,nASIG,DATOS!$I4028,nEVAL,"OR")=0))</f>
      </c>
      <c r="I4028">
        <f>IF(DATOS!$I4028="","",IFERROR(VLOOKUP(DATOS!$I4028,CONFIG_ASIGNATURAS!$B$2:$J$91,9,FALSE()),""))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IF(DATOS!$A4029="",0,IF(CONFIG_METADATA!$B$4&lt;&gt;"OR+EX",--(DATOS!$G4029=CONFIG_METADATA!$B$4),IF(DATOS!$G4029="EX",1,IF(DATOS!$G4029="OR",--(COUNTIFS(nNIA,DATOS!$A4029,nCURSO,DATOS!$D4029,nESPEC,DATOS!$E4029,nASIG,DATOS!$I4029,nEVAL,"EX")=0),0))))</f>
      </c>
      <c r="H4029">
        <f>IF(DATOS!$G4029&lt;&gt;"EX",0,--(COUNTIFS(nNIA,DATOS!$A4029,nCURSO,DATOS!$D4029,nESPEC,DATOS!$E4029,nASIG,DATOS!$I4029,nEVAL,"OR")=0))</f>
      </c>
      <c r="I4029">
        <f>IF(DATOS!$I4029="","",IFERROR(VLOOKUP(DATOS!$I4029,CONFIG_ASIGNATURAS!$B$2:$J$91,9,FALSE()),""))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IF(DATOS!$A4030="",0,IF(CONFIG_METADATA!$B$4&lt;&gt;"OR+EX",--(DATOS!$G4030=CONFIG_METADATA!$B$4),IF(DATOS!$G4030="EX",1,IF(DATOS!$G4030="OR",--(COUNTIFS(nNIA,DATOS!$A4030,nCURSO,DATOS!$D4030,nESPEC,DATOS!$E4030,nASIG,DATOS!$I4030,nEVAL,"EX")=0),0))))</f>
      </c>
      <c r="H4030">
        <f>IF(DATOS!$G4030&lt;&gt;"EX",0,--(COUNTIFS(nNIA,DATOS!$A4030,nCURSO,DATOS!$D4030,nESPEC,DATOS!$E4030,nASIG,DATOS!$I4030,nEVAL,"OR")=0))</f>
      </c>
      <c r="I4030">
        <f>IF(DATOS!$I4030="","",IFERROR(VLOOKUP(DATOS!$I4030,CONFIG_ASIGNATURAS!$B$2:$J$91,9,FALSE()),""))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IF(DATOS!$A4031="",0,IF(CONFIG_METADATA!$B$4&lt;&gt;"OR+EX",--(DATOS!$G4031=CONFIG_METADATA!$B$4),IF(DATOS!$G4031="EX",1,IF(DATOS!$G4031="OR",--(COUNTIFS(nNIA,DATOS!$A4031,nCURSO,DATOS!$D4031,nESPEC,DATOS!$E4031,nASIG,DATOS!$I4031,nEVAL,"EX")=0),0))))</f>
      </c>
      <c r="H4031">
        <f>IF(DATOS!$G4031&lt;&gt;"EX",0,--(COUNTIFS(nNIA,DATOS!$A4031,nCURSO,DATOS!$D4031,nESPEC,DATOS!$E4031,nASIG,DATOS!$I4031,nEVAL,"OR")=0))</f>
      </c>
      <c r="I4031">
        <f>IF(DATOS!$I4031="","",IFERROR(VLOOKUP(DATOS!$I4031,CONFIG_ASIGNATURAS!$B$2:$J$91,9,FALSE()),""))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IF(DATOS!$A4032="",0,IF(CONFIG_METADATA!$B$4&lt;&gt;"OR+EX",--(DATOS!$G4032=CONFIG_METADATA!$B$4),IF(DATOS!$G4032="EX",1,IF(DATOS!$G4032="OR",--(COUNTIFS(nNIA,DATOS!$A4032,nCURSO,DATOS!$D4032,nESPEC,DATOS!$E4032,nASIG,DATOS!$I4032,nEVAL,"EX")=0),0))))</f>
      </c>
      <c r="H4032">
        <f>IF(DATOS!$G4032&lt;&gt;"EX",0,--(COUNTIFS(nNIA,DATOS!$A4032,nCURSO,DATOS!$D4032,nESPEC,DATOS!$E4032,nASIG,DATOS!$I4032,nEVAL,"OR")=0))</f>
      </c>
      <c r="I4032">
        <f>IF(DATOS!$I4032="","",IFERROR(VLOOKUP(DATOS!$I4032,CONFIG_ASIGNATURAS!$B$2:$J$91,9,FALSE()),""))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IF(DATOS!$A4033="",0,IF(CONFIG_METADATA!$B$4&lt;&gt;"OR+EX",--(DATOS!$G4033=CONFIG_METADATA!$B$4),IF(DATOS!$G4033="EX",1,IF(DATOS!$G4033="OR",--(COUNTIFS(nNIA,DATOS!$A4033,nCURSO,DATOS!$D4033,nESPEC,DATOS!$E4033,nASIG,DATOS!$I4033,nEVAL,"EX")=0),0))))</f>
      </c>
      <c r="H4033">
        <f>IF(DATOS!$G4033&lt;&gt;"EX",0,--(COUNTIFS(nNIA,DATOS!$A4033,nCURSO,DATOS!$D4033,nESPEC,DATOS!$E4033,nASIG,DATOS!$I4033,nEVAL,"OR")=0))</f>
      </c>
      <c r="I4033">
        <f>IF(DATOS!$I4033="","",IFERROR(VLOOKUP(DATOS!$I4033,CONFIG_ASIGNATURAS!$B$2:$J$91,9,FALSE()),""))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IF(DATOS!$A4034="",0,IF(CONFIG_METADATA!$B$4&lt;&gt;"OR+EX",--(DATOS!$G4034=CONFIG_METADATA!$B$4),IF(DATOS!$G4034="EX",1,IF(DATOS!$G4034="OR",--(COUNTIFS(nNIA,DATOS!$A4034,nCURSO,DATOS!$D4034,nESPEC,DATOS!$E4034,nASIG,DATOS!$I4034,nEVAL,"EX")=0),0))))</f>
      </c>
      <c r="H4034">
        <f>IF(DATOS!$G4034&lt;&gt;"EX",0,--(COUNTIFS(nNIA,DATOS!$A4034,nCURSO,DATOS!$D4034,nESPEC,DATOS!$E4034,nASIG,DATOS!$I4034,nEVAL,"OR")=0))</f>
      </c>
      <c r="I4034">
        <f>IF(DATOS!$I4034="","",IFERROR(VLOOKUP(DATOS!$I4034,CONFIG_ASIGNATURAS!$B$2:$J$91,9,FALSE()),""))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IF(DATOS!$A4035="",0,IF(CONFIG_METADATA!$B$4&lt;&gt;"OR+EX",--(DATOS!$G4035=CONFIG_METADATA!$B$4),IF(DATOS!$G4035="EX",1,IF(DATOS!$G4035="OR",--(COUNTIFS(nNIA,DATOS!$A4035,nCURSO,DATOS!$D4035,nESPEC,DATOS!$E4035,nASIG,DATOS!$I4035,nEVAL,"EX")=0),0))))</f>
      </c>
      <c r="H4035">
        <f>IF(DATOS!$G4035&lt;&gt;"EX",0,--(COUNTIFS(nNIA,DATOS!$A4035,nCURSO,DATOS!$D4035,nESPEC,DATOS!$E4035,nASIG,DATOS!$I4035,nEVAL,"OR")=0))</f>
      </c>
      <c r="I4035">
        <f>IF(DATOS!$I4035="","",IFERROR(VLOOKUP(DATOS!$I4035,CONFIG_ASIGNATURAS!$B$2:$J$91,9,FALSE()),""))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IF(DATOS!$A4036="",0,IF(CONFIG_METADATA!$B$4&lt;&gt;"OR+EX",--(DATOS!$G4036=CONFIG_METADATA!$B$4),IF(DATOS!$G4036="EX",1,IF(DATOS!$G4036="OR",--(COUNTIFS(nNIA,DATOS!$A4036,nCURSO,DATOS!$D4036,nESPEC,DATOS!$E4036,nASIG,DATOS!$I4036,nEVAL,"EX")=0),0))))</f>
      </c>
      <c r="H4036">
        <f>IF(DATOS!$G4036&lt;&gt;"EX",0,--(COUNTIFS(nNIA,DATOS!$A4036,nCURSO,DATOS!$D4036,nESPEC,DATOS!$E4036,nASIG,DATOS!$I4036,nEVAL,"OR")=0))</f>
      </c>
      <c r="I4036">
        <f>IF(DATOS!$I4036="","",IFERROR(VLOOKUP(DATOS!$I4036,CONFIG_ASIGNATURAS!$B$2:$J$91,9,FALSE()),""))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IF(DATOS!$A4037="",0,IF(CONFIG_METADATA!$B$4&lt;&gt;"OR+EX",--(DATOS!$G4037=CONFIG_METADATA!$B$4),IF(DATOS!$G4037="EX",1,IF(DATOS!$G4037="OR",--(COUNTIFS(nNIA,DATOS!$A4037,nCURSO,DATOS!$D4037,nESPEC,DATOS!$E4037,nASIG,DATOS!$I4037,nEVAL,"EX")=0),0))))</f>
      </c>
      <c r="H4037">
        <f>IF(DATOS!$G4037&lt;&gt;"EX",0,--(COUNTIFS(nNIA,DATOS!$A4037,nCURSO,DATOS!$D4037,nESPEC,DATOS!$E4037,nASIG,DATOS!$I4037,nEVAL,"OR")=0))</f>
      </c>
      <c r="I4037">
        <f>IF(DATOS!$I4037="","",IFERROR(VLOOKUP(DATOS!$I4037,CONFIG_ASIGNATURAS!$B$2:$J$91,9,FALSE()),""))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IF(DATOS!$A4038="",0,IF(CONFIG_METADATA!$B$4&lt;&gt;"OR+EX",--(DATOS!$G4038=CONFIG_METADATA!$B$4),IF(DATOS!$G4038="EX",1,IF(DATOS!$G4038="OR",--(COUNTIFS(nNIA,DATOS!$A4038,nCURSO,DATOS!$D4038,nESPEC,DATOS!$E4038,nASIG,DATOS!$I4038,nEVAL,"EX")=0),0))))</f>
      </c>
      <c r="H4038">
        <f>IF(DATOS!$G4038&lt;&gt;"EX",0,--(COUNTIFS(nNIA,DATOS!$A4038,nCURSO,DATOS!$D4038,nESPEC,DATOS!$E4038,nASIG,DATOS!$I4038,nEVAL,"OR")=0))</f>
      </c>
      <c r="I4038">
        <f>IF(DATOS!$I4038="","",IFERROR(VLOOKUP(DATOS!$I4038,CONFIG_ASIGNATURAS!$B$2:$J$91,9,FALSE()),""))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IF(DATOS!$A4039="",0,IF(CONFIG_METADATA!$B$4&lt;&gt;"OR+EX",--(DATOS!$G4039=CONFIG_METADATA!$B$4),IF(DATOS!$G4039="EX",1,IF(DATOS!$G4039="OR",--(COUNTIFS(nNIA,DATOS!$A4039,nCURSO,DATOS!$D4039,nESPEC,DATOS!$E4039,nASIG,DATOS!$I4039,nEVAL,"EX")=0),0))))</f>
      </c>
      <c r="H4039">
        <f>IF(DATOS!$G4039&lt;&gt;"EX",0,--(COUNTIFS(nNIA,DATOS!$A4039,nCURSO,DATOS!$D4039,nESPEC,DATOS!$E4039,nASIG,DATOS!$I4039,nEVAL,"OR")=0))</f>
      </c>
      <c r="I4039">
        <f>IF(DATOS!$I4039="","",IFERROR(VLOOKUP(DATOS!$I4039,CONFIG_ASIGNATURAS!$B$2:$J$91,9,FALSE()),""))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IF(DATOS!$A4040="",0,IF(CONFIG_METADATA!$B$4&lt;&gt;"OR+EX",--(DATOS!$G4040=CONFIG_METADATA!$B$4),IF(DATOS!$G4040="EX",1,IF(DATOS!$G4040="OR",--(COUNTIFS(nNIA,DATOS!$A4040,nCURSO,DATOS!$D4040,nESPEC,DATOS!$E4040,nASIG,DATOS!$I4040,nEVAL,"EX")=0),0))))</f>
      </c>
      <c r="H4040">
        <f>IF(DATOS!$G4040&lt;&gt;"EX",0,--(COUNTIFS(nNIA,DATOS!$A4040,nCURSO,DATOS!$D4040,nESPEC,DATOS!$E4040,nASIG,DATOS!$I4040,nEVAL,"OR")=0))</f>
      </c>
      <c r="I4040">
        <f>IF(DATOS!$I4040="","",IFERROR(VLOOKUP(DATOS!$I4040,CONFIG_ASIGNATURAS!$B$2:$J$91,9,FALSE()),""))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IF(DATOS!$A4041="",0,IF(CONFIG_METADATA!$B$4&lt;&gt;"OR+EX",--(DATOS!$G4041=CONFIG_METADATA!$B$4),IF(DATOS!$G4041="EX",1,IF(DATOS!$G4041="OR",--(COUNTIFS(nNIA,DATOS!$A4041,nCURSO,DATOS!$D4041,nESPEC,DATOS!$E4041,nASIG,DATOS!$I4041,nEVAL,"EX")=0),0))))</f>
      </c>
      <c r="H4041">
        <f>IF(DATOS!$G4041&lt;&gt;"EX",0,--(COUNTIFS(nNIA,DATOS!$A4041,nCURSO,DATOS!$D4041,nESPEC,DATOS!$E4041,nASIG,DATOS!$I4041,nEVAL,"OR")=0))</f>
      </c>
      <c r="I4041">
        <f>IF(DATOS!$I4041="","",IFERROR(VLOOKUP(DATOS!$I4041,CONFIG_ASIGNATURAS!$B$2:$J$91,9,FALSE()),""))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IF(DATOS!$A4042="",0,IF(CONFIG_METADATA!$B$4&lt;&gt;"OR+EX",--(DATOS!$G4042=CONFIG_METADATA!$B$4),IF(DATOS!$G4042="EX",1,IF(DATOS!$G4042="OR",--(COUNTIFS(nNIA,DATOS!$A4042,nCURSO,DATOS!$D4042,nESPEC,DATOS!$E4042,nASIG,DATOS!$I4042,nEVAL,"EX")=0),0))))</f>
      </c>
      <c r="H4042">
        <f>IF(DATOS!$G4042&lt;&gt;"EX",0,--(COUNTIFS(nNIA,DATOS!$A4042,nCURSO,DATOS!$D4042,nESPEC,DATOS!$E4042,nASIG,DATOS!$I4042,nEVAL,"OR")=0))</f>
      </c>
      <c r="I4042">
        <f>IF(DATOS!$I4042="","",IFERROR(VLOOKUP(DATOS!$I4042,CONFIG_ASIGNATURAS!$B$2:$J$91,9,FALSE()),""))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IF(DATOS!$A4043="",0,IF(CONFIG_METADATA!$B$4&lt;&gt;"OR+EX",--(DATOS!$G4043=CONFIG_METADATA!$B$4),IF(DATOS!$G4043="EX",1,IF(DATOS!$G4043="OR",--(COUNTIFS(nNIA,DATOS!$A4043,nCURSO,DATOS!$D4043,nESPEC,DATOS!$E4043,nASIG,DATOS!$I4043,nEVAL,"EX")=0),0))))</f>
      </c>
      <c r="H4043">
        <f>IF(DATOS!$G4043&lt;&gt;"EX",0,--(COUNTIFS(nNIA,DATOS!$A4043,nCURSO,DATOS!$D4043,nESPEC,DATOS!$E4043,nASIG,DATOS!$I4043,nEVAL,"OR")=0))</f>
      </c>
      <c r="I4043">
        <f>IF(DATOS!$I4043="","",IFERROR(VLOOKUP(DATOS!$I4043,CONFIG_ASIGNATURAS!$B$2:$J$91,9,FALSE()),""))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IF(DATOS!$A4044="",0,IF(CONFIG_METADATA!$B$4&lt;&gt;"OR+EX",--(DATOS!$G4044=CONFIG_METADATA!$B$4),IF(DATOS!$G4044="EX",1,IF(DATOS!$G4044="OR",--(COUNTIFS(nNIA,DATOS!$A4044,nCURSO,DATOS!$D4044,nESPEC,DATOS!$E4044,nASIG,DATOS!$I4044,nEVAL,"EX")=0),0))))</f>
      </c>
      <c r="H4044">
        <f>IF(DATOS!$G4044&lt;&gt;"EX",0,--(COUNTIFS(nNIA,DATOS!$A4044,nCURSO,DATOS!$D4044,nESPEC,DATOS!$E4044,nASIG,DATOS!$I4044,nEVAL,"OR")=0))</f>
      </c>
      <c r="I4044">
        <f>IF(DATOS!$I4044="","",IFERROR(VLOOKUP(DATOS!$I4044,CONFIG_ASIGNATURAS!$B$2:$J$91,9,FALSE()),""))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IF(DATOS!$A4045="",0,IF(CONFIG_METADATA!$B$4&lt;&gt;"OR+EX",--(DATOS!$G4045=CONFIG_METADATA!$B$4),IF(DATOS!$G4045="EX",1,IF(DATOS!$G4045="OR",--(COUNTIFS(nNIA,DATOS!$A4045,nCURSO,DATOS!$D4045,nESPEC,DATOS!$E4045,nASIG,DATOS!$I4045,nEVAL,"EX")=0),0))))</f>
      </c>
      <c r="H4045">
        <f>IF(DATOS!$G4045&lt;&gt;"EX",0,--(COUNTIFS(nNIA,DATOS!$A4045,nCURSO,DATOS!$D4045,nESPEC,DATOS!$E4045,nASIG,DATOS!$I4045,nEVAL,"OR")=0))</f>
      </c>
      <c r="I4045">
        <f>IF(DATOS!$I4045="","",IFERROR(VLOOKUP(DATOS!$I4045,CONFIG_ASIGNATURAS!$B$2:$J$91,9,FALSE()),""))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IF(DATOS!$A4046="",0,IF(CONFIG_METADATA!$B$4&lt;&gt;"OR+EX",--(DATOS!$G4046=CONFIG_METADATA!$B$4),IF(DATOS!$G4046="EX",1,IF(DATOS!$G4046="OR",--(COUNTIFS(nNIA,DATOS!$A4046,nCURSO,DATOS!$D4046,nESPEC,DATOS!$E4046,nASIG,DATOS!$I4046,nEVAL,"EX")=0),0))))</f>
      </c>
      <c r="H4046">
        <f>IF(DATOS!$G4046&lt;&gt;"EX",0,--(COUNTIFS(nNIA,DATOS!$A4046,nCURSO,DATOS!$D4046,nESPEC,DATOS!$E4046,nASIG,DATOS!$I4046,nEVAL,"OR")=0))</f>
      </c>
      <c r="I4046">
        <f>IF(DATOS!$I4046="","",IFERROR(VLOOKUP(DATOS!$I4046,CONFIG_ASIGNATURAS!$B$2:$J$91,9,FALSE()),""))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IF(DATOS!$A4047="",0,IF(CONFIG_METADATA!$B$4&lt;&gt;"OR+EX",--(DATOS!$G4047=CONFIG_METADATA!$B$4),IF(DATOS!$G4047="EX",1,IF(DATOS!$G4047="OR",--(COUNTIFS(nNIA,DATOS!$A4047,nCURSO,DATOS!$D4047,nESPEC,DATOS!$E4047,nASIG,DATOS!$I4047,nEVAL,"EX")=0),0))))</f>
      </c>
      <c r="H4047">
        <f>IF(DATOS!$G4047&lt;&gt;"EX",0,--(COUNTIFS(nNIA,DATOS!$A4047,nCURSO,DATOS!$D4047,nESPEC,DATOS!$E4047,nASIG,DATOS!$I4047,nEVAL,"OR")=0))</f>
      </c>
      <c r="I4047">
        <f>IF(DATOS!$I4047="","",IFERROR(VLOOKUP(DATOS!$I4047,CONFIG_ASIGNATURAS!$B$2:$J$91,9,FALSE()),""))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IF(DATOS!$A4048="",0,IF(CONFIG_METADATA!$B$4&lt;&gt;"OR+EX",--(DATOS!$G4048=CONFIG_METADATA!$B$4),IF(DATOS!$G4048="EX",1,IF(DATOS!$G4048="OR",--(COUNTIFS(nNIA,DATOS!$A4048,nCURSO,DATOS!$D4048,nESPEC,DATOS!$E4048,nASIG,DATOS!$I4048,nEVAL,"EX")=0),0))))</f>
      </c>
      <c r="H4048">
        <f>IF(DATOS!$G4048&lt;&gt;"EX",0,--(COUNTIFS(nNIA,DATOS!$A4048,nCURSO,DATOS!$D4048,nESPEC,DATOS!$E4048,nASIG,DATOS!$I4048,nEVAL,"OR")=0))</f>
      </c>
      <c r="I4048">
        <f>IF(DATOS!$I4048="","",IFERROR(VLOOKUP(DATOS!$I4048,CONFIG_ASIGNATURAS!$B$2:$J$91,9,FALSE()),""))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IF(DATOS!$A4049="",0,IF(CONFIG_METADATA!$B$4&lt;&gt;"OR+EX",--(DATOS!$G4049=CONFIG_METADATA!$B$4),IF(DATOS!$G4049="EX",1,IF(DATOS!$G4049="OR",--(COUNTIFS(nNIA,DATOS!$A4049,nCURSO,DATOS!$D4049,nESPEC,DATOS!$E4049,nASIG,DATOS!$I4049,nEVAL,"EX")=0),0))))</f>
      </c>
      <c r="H4049">
        <f>IF(DATOS!$G4049&lt;&gt;"EX",0,--(COUNTIFS(nNIA,DATOS!$A4049,nCURSO,DATOS!$D4049,nESPEC,DATOS!$E4049,nASIG,DATOS!$I4049,nEVAL,"OR")=0))</f>
      </c>
      <c r="I4049">
        <f>IF(DATOS!$I4049="","",IFERROR(VLOOKUP(DATOS!$I4049,CONFIG_ASIGNATURAS!$B$2:$J$91,9,FALSE()),""))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IF(DATOS!$A4050="",0,IF(CONFIG_METADATA!$B$4&lt;&gt;"OR+EX",--(DATOS!$G4050=CONFIG_METADATA!$B$4),IF(DATOS!$G4050="EX",1,IF(DATOS!$G4050="OR",--(COUNTIFS(nNIA,DATOS!$A4050,nCURSO,DATOS!$D4050,nESPEC,DATOS!$E4050,nASIG,DATOS!$I4050,nEVAL,"EX")=0),0))))</f>
      </c>
      <c r="H4050">
        <f>IF(DATOS!$G4050&lt;&gt;"EX",0,--(COUNTIFS(nNIA,DATOS!$A4050,nCURSO,DATOS!$D4050,nESPEC,DATOS!$E4050,nASIG,DATOS!$I4050,nEVAL,"OR")=0))</f>
      </c>
      <c r="I4050">
        <f>IF(DATOS!$I4050="","",IFERROR(VLOOKUP(DATOS!$I4050,CONFIG_ASIGNATURAS!$B$2:$J$91,9,FALSE()),""))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IF(DATOS!$A4051="",0,IF(CONFIG_METADATA!$B$4&lt;&gt;"OR+EX",--(DATOS!$G4051=CONFIG_METADATA!$B$4),IF(DATOS!$G4051="EX",1,IF(DATOS!$G4051="OR",--(COUNTIFS(nNIA,DATOS!$A4051,nCURSO,DATOS!$D4051,nESPEC,DATOS!$E4051,nASIG,DATOS!$I4051,nEVAL,"EX")=0),0))))</f>
      </c>
      <c r="H4051">
        <f>IF(DATOS!$G4051&lt;&gt;"EX",0,--(COUNTIFS(nNIA,DATOS!$A4051,nCURSO,DATOS!$D4051,nESPEC,DATOS!$E4051,nASIG,DATOS!$I4051,nEVAL,"OR")=0))</f>
      </c>
      <c r="I4051">
        <f>IF(DATOS!$I4051="","",IFERROR(VLOOKUP(DATOS!$I4051,CONFIG_ASIGNATURAS!$B$2:$J$91,9,FALSE()),""))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IF(DATOS!$A4052="",0,IF(CONFIG_METADATA!$B$4&lt;&gt;"OR+EX",--(DATOS!$G4052=CONFIG_METADATA!$B$4),IF(DATOS!$G4052="EX",1,IF(DATOS!$G4052="OR",--(COUNTIFS(nNIA,DATOS!$A4052,nCURSO,DATOS!$D4052,nESPEC,DATOS!$E4052,nASIG,DATOS!$I4052,nEVAL,"EX")=0),0))))</f>
      </c>
      <c r="H4052">
        <f>IF(DATOS!$G4052&lt;&gt;"EX",0,--(COUNTIFS(nNIA,DATOS!$A4052,nCURSO,DATOS!$D4052,nESPEC,DATOS!$E4052,nASIG,DATOS!$I4052,nEVAL,"OR")=0))</f>
      </c>
      <c r="I4052">
        <f>IF(DATOS!$I4052="","",IFERROR(VLOOKUP(DATOS!$I4052,CONFIG_ASIGNATURAS!$B$2:$J$91,9,FALSE()),""))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IF(DATOS!$A4053="",0,IF(CONFIG_METADATA!$B$4&lt;&gt;"OR+EX",--(DATOS!$G4053=CONFIG_METADATA!$B$4),IF(DATOS!$G4053="EX",1,IF(DATOS!$G4053="OR",--(COUNTIFS(nNIA,DATOS!$A4053,nCURSO,DATOS!$D4053,nESPEC,DATOS!$E4053,nASIG,DATOS!$I4053,nEVAL,"EX")=0),0))))</f>
      </c>
      <c r="H4053">
        <f>IF(DATOS!$G4053&lt;&gt;"EX",0,--(COUNTIFS(nNIA,DATOS!$A4053,nCURSO,DATOS!$D4053,nESPEC,DATOS!$E4053,nASIG,DATOS!$I4053,nEVAL,"OR")=0))</f>
      </c>
      <c r="I4053">
        <f>IF(DATOS!$I4053="","",IFERROR(VLOOKUP(DATOS!$I4053,CONFIG_ASIGNATURAS!$B$2:$J$91,9,FALSE()),""))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IF(DATOS!$A4054="",0,IF(CONFIG_METADATA!$B$4&lt;&gt;"OR+EX",--(DATOS!$G4054=CONFIG_METADATA!$B$4),IF(DATOS!$G4054="EX",1,IF(DATOS!$G4054="OR",--(COUNTIFS(nNIA,DATOS!$A4054,nCURSO,DATOS!$D4054,nESPEC,DATOS!$E4054,nASIG,DATOS!$I4054,nEVAL,"EX")=0),0))))</f>
      </c>
      <c r="H4054">
        <f>IF(DATOS!$G4054&lt;&gt;"EX",0,--(COUNTIFS(nNIA,DATOS!$A4054,nCURSO,DATOS!$D4054,nESPEC,DATOS!$E4054,nASIG,DATOS!$I4054,nEVAL,"OR")=0))</f>
      </c>
      <c r="I4054">
        <f>IF(DATOS!$I4054="","",IFERROR(VLOOKUP(DATOS!$I4054,CONFIG_ASIGNATURAS!$B$2:$J$91,9,FALSE()),""))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IF(DATOS!$A4055="",0,IF(CONFIG_METADATA!$B$4&lt;&gt;"OR+EX",--(DATOS!$G4055=CONFIG_METADATA!$B$4),IF(DATOS!$G4055="EX",1,IF(DATOS!$G4055="OR",--(COUNTIFS(nNIA,DATOS!$A4055,nCURSO,DATOS!$D4055,nESPEC,DATOS!$E4055,nASIG,DATOS!$I4055,nEVAL,"EX")=0),0))))</f>
      </c>
      <c r="H4055">
        <f>IF(DATOS!$G4055&lt;&gt;"EX",0,--(COUNTIFS(nNIA,DATOS!$A4055,nCURSO,DATOS!$D4055,nESPEC,DATOS!$E4055,nASIG,DATOS!$I4055,nEVAL,"OR")=0))</f>
      </c>
      <c r="I4055">
        <f>IF(DATOS!$I4055="","",IFERROR(VLOOKUP(DATOS!$I4055,CONFIG_ASIGNATURAS!$B$2:$J$91,9,FALSE()),""))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IF(DATOS!$A4056="",0,IF(CONFIG_METADATA!$B$4&lt;&gt;"OR+EX",--(DATOS!$G4056=CONFIG_METADATA!$B$4),IF(DATOS!$G4056="EX",1,IF(DATOS!$G4056="OR",--(COUNTIFS(nNIA,DATOS!$A4056,nCURSO,DATOS!$D4056,nESPEC,DATOS!$E4056,nASIG,DATOS!$I4056,nEVAL,"EX")=0),0))))</f>
      </c>
      <c r="H4056">
        <f>IF(DATOS!$G4056&lt;&gt;"EX",0,--(COUNTIFS(nNIA,DATOS!$A4056,nCURSO,DATOS!$D4056,nESPEC,DATOS!$E4056,nASIG,DATOS!$I4056,nEVAL,"OR")=0))</f>
      </c>
      <c r="I4056">
        <f>IF(DATOS!$I4056="","",IFERROR(VLOOKUP(DATOS!$I4056,CONFIG_ASIGNATURAS!$B$2:$J$91,9,FALSE()),""))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IF(DATOS!$A4057="",0,IF(CONFIG_METADATA!$B$4&lt;&gt;"OR+EX",--(DATOS!$G4057=CONFIG_METADATA!$B$4),IF(DATOS!$G4057="EX",1,IF(DATOS!$G4057="OR",--(COUNTIFS(nNIA,DATOS!$A4057,nCURSO,DATOS!$D4057,nESPEC,DATOS!$E4057,nASIG,DATOS!$I4057,nEVAL,"EX")=0),0))))</f>
      </c>
      <c r="H4057">
        <f>IF(DATOS!$G4057&lt;&gt;"EX",0,--(COUNTIFS(nNIA,DATOS!$A4057,nCURSO,DATOS!$D4057,nESPEC,DATOS!$E4057,nASIG,DATOS!$I4057,nEVAL,"OR")=0))</f>
      </c>
      <c r="I4057">
        <f>IF(DATOS!$I4057="","",IFERROR(VLOOKUP(DATOS!$I4057,CONFIG_ASIGNATURAS!$B$2:$J$91,9,FALSE()),""))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IF(DATOS!$A4058="",0,IF(CONFIG_METADATA!$B$4&lt;&gt;"OR+EX",--(DATOS!$G4058=CONFIG_METADATA!$B$4),IF(DATOS!$G4058="EX",1,IF(DATOS!$G4058="OR",--(COUNTIFS(nNIA,DATOS!$A4058,nCURSO,DATOS!$D4058,nESPEC,DATOS!$E4058,nASIG,DATOS!$I4058,nEVAL,"EX")=0),0))))</f>
      </c>
      <c r="H4058">
        <f>IF(DATOS!$G4058&lt;&gt;"EX",0,--(COUNTIFS(nNIA,DATOS!$A4058,nCURSO,DATOS!$D4058,nESPEC,DATOS!$E4058,nASIG,DATOS!$I4058,nEVAL,"OR")=0))</f>
      </c>
      <c r="I4058">
        <f>IF(DATOS!$I4058="","",IFERROR(VLOOKUP(DATOS!$I4058,CONFIG_ASIGNATURAS!$B$2:$J$91,9,FALSE()),""))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IF(DATOS!$A4059="",0,IF(CONFIG_METADATA!$B$4&lt;&gt;"OR+EX",--(DATOS!$G4059=CONFIG_METADATA!$B$4),IF(DATOS!$G4059="EX",1,IF(DATOS!$G4059="OR",--(COUNTIFS(nNIA,DATOS!$A4059,nCURSO,DATOS!$D4059,nESPEC,DATOS!$E4059,nASIG,DATOS!$I4059,nEVAL,"EX")=0),0))))</f>
      </c>
      <c r="H4059">
        <f>IF(DATOS!$G4059&lt;&gt;"EX",0,--(COUNTIFS(nNIA,DATOS!$A4059,nCURSO,DATOS!$D4059,nESPEC,DATOS!$E4059,nASIG,DATOS!$I4059,nEVAL,"OR")=0))</f>
      </c>
      <c r="I4059">
        <f>IF(DATOS!$I4059="","",IFERROR(VLOOKUP(DATOS!$I4059,CONFIG_ASIGNATURAS!$B$2:$J$91,9,FALSE()),""))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IF(DATOS!$A4060="",0,IF(CONFIG_METADATA!$B$4&lt;&gt;"OR+EX",--(DATOS!$G4060=CONFIG_METADATA!$B$4),IF(DATOS!$G4060="EX",1,IF(DATOS!$G4060="OR",--(COUNTIFS(nNIA,DATOS!$A4060,nCURSO,DATOS!$D4060,nESPEC,DATOS!$E4060,nASIG,DATOS!$I4060,nEVAL,"EX")=0),0))))</f>
      </c>
      <c r="H4060">
        <f>IF(DATOS!$G4060&lt;&gt;"EX",0,--(COUNTIFS(nNIA,DATOS!$A4060,nCURSO,DATOS!$D4060,nESPEC,DATOS!$E4060,nASIG,DATOS!$I4060,nEVAL,"OR")=0))</f>
      </c>
      <c r="I4060">
        <f>IF(DATOS!$I4060="","",IFERROR(VLOOKUP(DATOS!$I4060,CONFIG_ASIGNATURAS!$B$2:$J$91,9,FALSE()),""))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IF(DATOS!$A4061="",0,IF(CONFIG_METADATA!$B$4&lt;&gt;"OR+EX",--(DATOS!$G4061=CONFIG_METADATA!$B$4),IF(DATOS!$G4061="EX",1,IF(DATOS!$G4061="OR",--(COUNTIFS(nNIA,DATOS!$A4061,nCURSO,DATOS!$D4061,nESPEC,DATOS!$E4061,nASIG,DATOS!$I4061,nEVAL,"EX")=0),0))))</f>
      </c>
      <c r="H4061">
        <f>IF(DATOS!$G4061&lt;&gt;"EX",0,--(COUNTIFS(nNIA,DATOS!$A4061,nCURSO,DATOS!$D4061,nESPEC,DATOS!$E4061,nASIG,DATOS!$I4061,nEVAL,"OR")=0))</f>
      </c>
      <c r="I4061">
        <f>IF(DATOS!$I4061="","",IFERROR(VLOOKUP(DATOS!$I4061,CONFIG_ASIGNATURAS!$B$2:$J$91,9,FALSE()),""))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IF(DATOS!$A4062="",0,IF(CONFIG_METADATA!$B$4&lt;&gt;"OR+EX",--(DATOS!$G4062=CONFIG_METADATA!$B$4),IF(DATOS!$G4062="EX",1,IF(DATOS!$G4062="OR",--(COUNTIFS(nNIA,DATOS!$A4062,nCURSO,DATOS!$D4062,nESPEC,DATOS!$E4062,nASIG,DATOS!$I4062,nEVAL,"EX")=0),0))))</f>
      </c>
      <c r="H4062">
        <f>IF(DATOS!$G4062&lt;&gt;"EX",0,--(COUNTIFS(nNIA,DATOS!$A4062,nCURSO,DATOS!$D4062,nESPEC,DATOS!$E4062,nASIG,DATOS!$I4062,nEVAL,"OR")=0))</f>
      </c>
      <c r="I4062">
        <f>IF(DATOS!$I4062="","",IFERROR(VLOOKUP(DATOS!$I4062,CONFIG_ASIGNATURAS!$B$2:$J$91,9,FALSE()),""))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IF(DATOS!$A4063="",0,IF(CONFIG_METADATA!$B$4&lt;&gt;"OR+EX",--(DATOS!$G4063=CONFIG_METADATA!$B$4),IF(DATOS!$G4063="EX",1,IF(DATOS!$G4063="OR",--(COUNTIFS(nNIA,DATOS!$A4063,nCURSO,DATOS!$D4063,nESPEC,DATOS!$E4063,nASIG,DATOS!$I4063,nEVAL,"EX")=0),0))))</f>
      </c>
      <c r="H4063">
        <f>IF(DATOS!$G4063&lt;&gt;"EX",0,--(COUNTIFS(nNIA,DATOS!$A4063,nCURSO,DATOS!$D4063,nESPEC,DATOS!$E4063,nASIG,DATOS!$I4063,nEVAL,"OR")=0))</f>
      </c>
      <c r="I4063">
        <f>IF(DATOS!$I4063="","",IFERROR(VLOOKUP(DATOS!$I4063,CONFIG_ASIGNATURAS!$B$2:$J$91,9,FALSE()),""))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IF(DATOS!$A4064="",0,IF(CONFIG_METADATA!$B$4&lt;&gt;"OR+EX",--(DATOS!$G4064=CONFIG_METADATA!$B$4),IF(DATOS!$G4064="EX",1,IF(DATOS!$G4064="OR",--(COUNTIFS(nNIA,DATOS!$A4064,nCURSO,DATOS!$D4064,nESPEC,DATOS!$E4064,nASIG,DATOS!$I4064,nEVAL,"EX")=0),0))))</f>
      </c>
      <c r="H4064">
        <f>IF(DATOS!$G4064&lt;&gt;"EX",0,--(COUNTIFS(nNIA,DATOS!$A4064,nCURSO,DATOS!$D4064,nESPEC,DATOS!$E4064,nASIG,DATOS!$I4064,nEVAL,"OR")=0))</f>
      </c>
      <c r="I4064">
        <f>IF(DATOS!$I4064="","",IFERROR(VLOOKUP(DATOS!$I4064,CONFIG_ASIGNATURAS!$B$2:$J$91,9,FALSE()),""))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IF(DATOS!$A4065="",0,IF(CONFIG_METADATA!$B$4&lt;&gt;"OR+EX",--(DATOS!$G4065=CONFIG_METADATA!$B$4),IF(DATOS!$G4065="EX",1,IF(DATOS!$G4065="OR",--(COUNTIFS(nNIA,DATOS!$A4065,nCURSO,DATOS!$D4065,nESPEC,DATOS!$E4065,nASIG,DATOS!$I4065,nEVAL,"EX")=0),0))))</f>
      </c>
      <c r="H4065">
        <f>IF(DATOS!$G4065&lt;&gt;"EX",0,--(COUNTIFS(nNIA,DATOS!$A4065,nCURSO,DATOS!$D4065,nESPEC,DATOS!$E4065,nASIG,DATOS!$I4065,nEVAL,"OR")=0))</f>
      </c>
      <c r="I4065">
        <f>IF(DATOS!$I4065="","",IFERROR(VLOOKUP(DATOS!$I4065,CONFIG_ASIGNATURAS!$B$2:$J$91,9,FALSE()),""))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IF(DATOS!$A4066="",0,IF(CONFIG_METADATA!$B$4&lt;&gt;"OR+EX",--(DATOS!$G4066=CONFIG_METADATA!$B$4),IF(DATOS!$G4066="EX",1,IF(DATOS!$G4066="OR",--(COUNTIFS(nNIA,DATOS!$A4066,nCURSO,DATOS!$D4066,nESPEC,DATOS!$E4066,nASIG,DATOS!$I4066,nEVAL,"EX")=0),0))))</f>
      </c>
      <c r="H4066">
        <f>IF(DATOS!$G4066&lt;&gt;"EX",0,--(COUNTIFS(nNIA,DATOS!$A4066,nCURSO,DATOS!$D4066,nESPEC,DATOS!$E4066,nASIG,DATOS!$I4066,nEVAL,"OR")=0))</f>
      </c>
      <c r="I4066">
        <f>IF(DATOS!$I4066="","",IFERROR(VLOOKUP(DATOS!$I4066,CONFIG_ASIGNATURAS!$B$2:$J$91,9,FALSE()),""))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IF(DATOS!$A4067="",0,IF(CONFIG_METADATA!$B$4&lt;&gt;"OR+EX",--(DATOS!$G4067=CONFIG_METADATA!$B$4),IF(DATOS!$G4067="EX",1,IF(DATOS!$G4067="OR",--(COUNTIFS(nNIA,DATOS!$A4067,nCURSO,DATOS!$D4067,nESPEC,DATOS!$E4067,nASIG,DATOS!$I4067,nEVAL,"EX")=0),0))))</f>
      </c>
      <c r="H4067">
        <f>IF(DATOS!$G4067&lt;&gt;"EX",0,--(COUNTIFS(nNIA,DATOS!$A4067,nCURSO,DATOS!$D4067,nESPEC,DATOS!$E4067,nASIG,DATOS!$I4067,nEVAL,"OR")=0))</f>
      </c>
      <c r="I4067">
        <f>IF(DATOS!$I4067="","",IFERROR(VLOOKUP(DATOS!$I4067,CONFIG_ASIGNATURAS!$B$2:$J$91,9,FALSE()),""))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IF(DATOS!$A4068="",0,IF(CONFIG_METADATA!$B$4&lt;&gt;"OR+EX",--(DATOS!$G4068=CONFIG_METADATA!$B$4),IF(DATOS!$G4068="EX",1,IF(DATOS!$G4068="OR",--(COUNTIFS(nNIA,DATOS!$A4068,nCURSO,DATOS!$D4068,nESPEC,DATOS!$E4068,nASIG,DATOS!$I4068,nEVAL,"EX")=0),0))))</f>
      </c>
      <c r="H4068">
        <f>IF(DATOS!$G4068&lt;&gt;"EX",0,--(COUNTIFS(nNIA,DATOS!$A4068,nCURSO,DATOS!$D4068,nESPEC,DATOS!$E4068,nASIG,DATOS!$I4068,nEVAL,"OR")=0))</f>
      </c>
      <c r="I4068">
        <f>IF(DATOS!$I4068="","",IFERROR(VLOOKUP(DATOS!$I4068,CONFIG_ASIGNATURAS!$B$2:$J$91,9,FALSE()),""))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IF(DATOS!$A4069="",0,IF(CONFIG_METADATA!$B$4&lt;&gt;"OR+EX",--(DATOS!$G4069=CONFIG_METADATA!$B$4),IF(DATOS!$G4069="EX",1,IF(DATOS!$G4069="OR",--(COUNTIFS(nNIA,DATOS!$A4069,nCURSO,DATOS!$D4069,nESPEC,DATOS!$E4069,nASIG,DATOS!$I4069,nEVAL,"EX")=0),0))))</f>
      </c>
      <c r="H4069">
        <f>IF(DATOS!$G4069&lt;&gt;"EX",0,--(COUNTIFS(nNIA,DATOS!$A4069,nCURSO,DATOS!$D4069,nESPEC,DATOS!$E4069,nASIG,DATOS!$I4069,nEVAL,"OR")=0))</f>
      </c>
      <c r="I4069">
        <f>IF(DATOS!$I4069="","",IFERROR(VLOOKUP(DATOS!$I4069,CONFIG_ASIGNATURAS!$B$2:$J$91,9,FALSE()),""))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IF(DATOS!$A4070="",0,IF(CONFIG_METADATA!$B$4&lt;&gt;"OR+EX",--(DATOS!$G4070=CONFIG_METADATA!$B$4),IF(DATOS!$G4070="EX",1,IF(DATOS!$G4070="OR",--(COUNTIFS(nNIA,DATOS!$A4070,nCURSO,DATOS!$D4070,nESPEC,DATOS!$E4070,nASIG,DATOS!$I4070,nEVAL,"EX")=0),0))))</f>
      </c>
      <c r="H4070">
        <f>IF(DATOS!$G4070&lt;&gt;"EX",0,--(COUNTIFS(nNIA,DATOS!$A4070,nCURSO,DATOS!$D4070,nESPEC,DATOS!$E4070,nASIG,DATOS!$I4070,nEVAL,"OR")=0))</f>
      </c>
      <c r="I4070">
        <f>IF(DATOS!$I4070="","",IFERROR(VLOOKUP(DATOS!$I4070,CONFIG_ASIGNATURAS!$B$2:$J$91,9,FALSE()),""))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IF(DATOS!$A4071="",0,IF(CONFIG_METADATA!$B$4&lt;&gt;"OR+EX",--(DATOS!$G4071=CONFIG_METADATA!$B$4),IF(DATOS!$G4071="EX",1,IF(DATOS!$G4071="OR",--(COUNTIFS(nNIA,DATOS!$A4071,nCURSO,DATOS!$D4071,nESPEC,DATOS!$E4071,nASIG,DATOS!$I4071,nEVAL,"EX")=0),0))))</f>
      </c>
      <c r="H4071">
        <f>IF(DATOS!$G4071&lt;&gt;"EX",0,--(COUNTIFS(nNIA,DATOS!$A4071,nCURSO,DATOS!$D4071,nESPEC,DATOS!$E4071,nASIG,DATOS!$I4071,nEVAL,"OR")=0))</f>
      </c>
      <c r="I4071">
        <f>IF(DATOS!$I4071="","",IFERROR(VLOOKUP(DATOS!$I4071,CONFIG_ASIGNATURAS!$B$2:$J$91,9,FALSE()),""))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IF(DATOS!$A4072="",0,IF(CONFIG_METADATA!$B$4&lt;&gt;"OR+EX",--(DATOS!$G4072=CONFIG_METADATA!$B$4),IF(DATOS!$G4072="EX",1,IF(DATOS!$G4072="OR",--(COUNTIFS(nNIA,DATOS!$A4072,nCURSO,DATOS!$D4072,nESPEC,DATOS!$E4072,nASIG,DATOS!$I4072,nEVAL,"EX")=0),0))))</f>
      </c>
      <c r="H4072">
        <f>IF(DATOS!$G4072&lt;&gt;"EX",0,--(COUNTIFS(nNIA,DATOS!$A4072,nCURSO,DATOS!$D4072,nESPEC,DATOS!$E4072,nASIG,DATOS!$I4072,nEVAL,"OR")=0))</f>
      </c>
      <c r="I4072">
        <f>IF(DATOS!$I4072="","",IFERROR(VLOOKUP(DATOS!$I4072,CONFIG_ASIGNATURAS!$B$2:$J$91,9,FALSE()),""))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IF(DATOS!$A4073="",0,IF(CONFIG_METADATA!$B$4&lt;&gt;"OR+EX",--(DATOS!$G4073=CONFIG_METADATA!$B$4),IF(DATOS!$G4073="EX",1,IF(DATOS!$G4073="OR",--(COUNTIFS(nNIA,DATOS!$A4073,nCURSO,DATOS!$D4073,nESPEC,DATOS!$E4073,nASIG,DATOS!$I4073,nEVAL,"EX")=0),0))))</f>
      </c>
      <c r="H4073">
        <f>IF(DATOS!$G4073&lt;&gt;"EX",0,--(COUNTIFS(nNIA,DATOS!$A4073,nCURSO,DATOS!$D4073,nESPEC,DATOS!$E4073,nASIG,DATOS!$I4073,nEVAL,"OR")=0))</f>
      </c>
      <c r="I4073">
        <f>IF(DATOS!$I4073="","",IFERROR(VLOOKUP(DATOS!$I4073,CONFIG_ASIGNATURAS!$B$2:$J$91,9,FALSE()),""))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IF(DATOS!$A4074="",0,IF(CONFIG_METADATA!$B$4&lt;&gt;"OR+EX",--(DATOS!$G4074=CONFIG_METADATA!$B$4),IF(DATOS!$G4074="EX",1,IF(DATOS!$G4074="OR",--(COUNTIFS(nNIA,DATOS!$A4074,nCURSO,DATOS!$D4074,nESPEC,DATOS!$E4074,nASIG,DATOS!$I4074,nEVAL,"EX")=0),0))))</f>
      </c>
      <c r="H4074">
        <f>IF(DATOS!$G4074&lt;&gt;"EX",0,--(COUNTIFS(nNIA,DATOS!$A4074,nCURSO,DATOS!$D4074,nESPEC,DATOS!$E4074,nASIG,DATOS!$I4074,nEVAL,"OR")=0))</f>
      </c>
      <c r="I4074">
        <f>IF(DATOS!$I4074="","",IFERROR(VLOOKUP(DATOS!$I4074,CONFIG_ASIGNATURAS!$B$2:$J$91,9,FALSE()),""))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IF(DATOS!$A4075="",0,IF(CONFIG_METADATA!$B$4&lt;&gt;"OR+EX",--(DATOS!$G4075=CONFIG_METADATA!$B$4),IF(DATOS!$G4075="EX",1,IF(DATOS!$G4075="OR",--(COUNTIFS(nNIA,DATOS!$A4075,nCURSO,DATOS!$D4075,nESPEC,DATOS!$E4075,nASIG,DATOS!$I4075,nEVAL,"EX")=0),0))))</f>
      </c>
      <c r="H4075">
        <f>IF(DATOS!$G4075&lt;&gt;"EX",0,--(COUNTIFS(nNIA,DATOS!$A4075,nCURSO,DATOS!$D4075,nESPEC,DATOS!$E4075,nASIG,DATOS!$I4075,nEVAL,"OR")=0))</f>
      </c>
      <c r="I4075">
        <f>IF(DATOS!$I4075="","",IFERROR(VLOOKUP(DATOS!$I4075,CONFIG_ASIGNATURAS!$B$2:$J$91,9,FALSE()),""))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IF(DATOS!$A4076="",0,IF(CONFIG_METADATA!$B$4&lt;&gt;"OR+EX",--(DATOS!$G4076=CONFIG_METADATA!$B$4),IF(DATOS!$G4076="EX",1,IF(DATOS!$G4076="OR",--(COUNTIFS(nNIA,DATOS!$A4076,nCURSO,DATOS!$D4076,nESPEC,DATOS!$E4076,nASIG,DATOS!$I4076,nEVAL,"EX")=0),0))))</f>
      </c>
      <c r="H4076">
        <f>IF(DATOS!$G4076&lt;&gt;"EX",0,--(COUNTIFS(nNIA,DATOS!$A4076,nCURSO,DATOS!$D4076,nESPEC,DATOS!$E4076,nASIG,DATOS!$I4076,nEVAL,"OR")=0))</f>
      </c>
      <c r="I4076">
        <f>IF(DATOS!$I4076="","",IFERROR(VLOOKUP(DATOS!$I4076,CONFIG_ASIGNATURAS!$B$2:$J$91,9,FALSE()),""))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IF(DATOS!$A4077="",0,IF(CONFIG_METADATA!$B$4&lt;&gt;"OR+EX",--(DATOS!$G4077=CONFIG_METADATA!$B$4),IF(DATOS!$G4077="EX",1,IF(DATOS!$G4077="OR",--(COUNTIFS(nNIA,DATOS!$A4077,nCURSO,DATOS!$D4077,nESPEC,DATOS!$E4077,nASIG,DATOS!$I4077,nEVAL,"EX")=0),0))))</f>
      </c>
      <c r="H4077">
        <f>IF(DATOS!$G4077&lt;&gt;"EX",0,--(COUNTIFS(nNIA,DATOS!$A4077,nCURSO,DATOS!$D4077,nESPEC,DATOS!$E4077,nASIG,DATOS!$I4077,nEVAL,"OR")=0))</f>
      </c>
      <c r="I4077">
        <f>IF(DATOS!$I4077="","",IFERROR(VLOOKUP(DATOS!$I4077,CONFIG_ASIGNATURAS!$B$2:$J$91,9,FALSE()),""))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IF(DATOS!$A4078="",0,IF(CONFIG_METADATA!$B$4&lt;&gt;"OR+EX",--(DATOS!$G4078=CONFIG_METADATA!$B$4),IF(DATOS!$G4078="EX",1,IF(DATOS!$G4078="OR",--(COUNTIFS(nNIA,DATOS!$A4078,nCURSO,DATOS!$D4078,nESPEC,DATOS!$E4078,nASIG,DATOS!$I4078,nEVAL,"EX")=0),0))))</f>
      </c>
      <c r="H4078">
        <f>IF(DATOS!$G4078&lt;&gt;"EX",0,--(COUNTIFS(nNIA,DATOS!$A4078,nCURSO,DATOS!$D4078,nESPEC,DATOS!$E4078,nASIG,DATOS!$I4078,nEVAL,"OR")=0))</f>
      </c>
      <c r="I4078">
        <f>IF(DATOS!$I4078="","",IFERROR(VLOOKUP(DATOS!$I4078,CONFIG_ASIGNATURAS!$B$2:$J$91,9,FALSE()),""))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IF(DATOS!$A4079="",0,IF(CONFIG_METADATA!$B$4&lt;&gt;"OR+EX",--(DATOS!$G4079=CONFIG_METADATA!$B$4),IF(DATOS!$G4079="EX",1,IF(DATOS!$G4079="OR",--(COUNTIFS(nNIA,DATOS!$A4079,nCURSO,DATOS!$D4079,nESPEC,DATOS!$E4079,nASIG,DATOS!$I4079,nEVAL,"EX")=0),0))))</f>
      </c>
      <c r="H4079">
        <f>IF(DATOS!$G4079&lt;&gt;"EX",0,--(COUNTIFS(nNIA,DATOS!$A4079,nCURSO,DATOS!$D4079,nESPEC,DATOS!$E4079,nASIG,DATOS!$I4079,nEVAL,"OR")=0))</f>
      </c>
      <c r="I4079">
        <f>IF(DATOS!$I4079="","",IFERROR(VLOOKUP(DATOS!$I4079,CONFIG_ASIGNATURAS!$B$2:$J$91,9,FALSE()),""))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IF(DATOS!$A4080="",0,IF(CONFIG_METADATA!$B$4&lt;&gt;"OR+EX",--(DATOS!$G4080=CONFIG_METADATA!$B$4),IF(DATOS!$G4080="EX",1,IF(DATOS!$G4080="OR",--(COUNTIFS(nNIA,DATOS!$A4080,nCURSO,DATOS!$D4080,nESPEC,DATOS!$E4080,nASIG,DATOS!$I4080,nEVAL,"EX")=0),0))))</f>
      </c>
      <c r="H4080">
        <f>IF(DATOS!$G4080&lt;&gt;"EX",0,--(COUNTIFS(nNIA,DATOS!$A4080,nCURSO,DATOS!$D4080,nESPEC,DATOS!$E4080,nASIG,DATOS!$I4080,nEVAL,"OR")=0))</f>
      </c>
      <c r="I4080">
        <f>IF(DATOS!$I4080="","",IFERROR(VLOOKUP(DATOS!$I4080,CONFIG_ASIGNATURAS!$B$2:$J$91,9,FALSE()),""))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IF(DATOS!$A4081="",0,IF(CONFIG_METADATA!$B$4&lt;&gt;"OR+EX",--(DATOS!$G4081=CONFIG_METADATA!$B$4),IF(DATOS!$G4081="EX",1,IF(DATOS!$G4081="OR",--(COUNTIFS(nNIA,DATOS!$A4081,nCURSO,DATOS!$D4081,nESPEC,DATOS!$E4081,nASIG,DATOS!$I4081,nEVAL,"EX")=0),0))))</f>
      </c>
      <c r="H4081">
        <f>IF(DATOS!$G4081&lt;&gt;"EX",0,--(COUNTIFS(nNIA,DATOS!$A4081,nCURSO,DATOS!$D4081,nESPEC,DATOS!$E4081,nASIG,DATOS!$I4081,nEVAL,"OR")=0))</f>
      </c>
      <c r="I4081">
        <f>IF(DATOS!$I4081="","",IFERROR(VLOOKUP(DATOS!$I4081,CONFIG_ASIGNATURAS!$B$2:$J$91,9,FALSE()),""))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IF(DATOS!$A4082="",0,IF(CONFIG_METADATA!$B$4&lt;&gt;"OR+EX",--(DATOS!$G4082=CONFIG_METADATA!$B$4),IF(DATOS!$G4082="EX",1,IF(DATOS!$G4082="OR",--(COUNTIFS(nNIA,DATOS!$A4082,nCURSO,DATOS!$D4082,nESPEC,DATOS!$E4082,nASIG,DATOS!$I4082,nEVAL,"EX")=0),0))))</f>
      </c>
      <c r="H4082">
        <f>IF(DATOS!$G4082&lt;&gt;"EX",0,--(COUNTIFS(nNIA,DATOS!$A4082,nCURSO,DATOS!$D4082,nESPEC,DATOS!$E4082,nASIG,DATOS!$I4082,nEVAL,"OR")=0))</f>
      </c>
      <c r="I4082">
        <f>IF(DATOS!$I4082="","",IFERROR(VLOOKUP(DATOS!$I4082,CONFIG_ASIGNATURAS!$B$2:$J$91,9,FALSE()),""))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IF(DATOS!$A4083="",0,IF(CONFIG_METADATA!$B$4&lt;&gt;"OR+EX",--(DATOS!$G4083=CONFIG_METADATA!$B$4),IF(DATOS!$G4083="EX",1,IF(DATOS!$G4083="OR",--(COUNTIFS(nNIA,DATOS!$A4083,nCURSO,DATOS!$D4083,nESPEC,DATOS!$E4083,nASIG,DATOS!$I4083,nEVAL,"EX")=0),0))))</f>
      </c>
      <c r="H4083">
        <f>IF(DATOS!$G4083&lt;&gt;"EX",0,--(COUNTIFS(nNIA,DATOS!$A4083,nCURSO,DATOS!$D4083,nESPEC,DATOS!$E4083,nASIG,DATOS!$I4083,nEVAL,"OR")=0))</f>
      </c>
      <c r="I4083">
        <f>IF(DATOS!$I4083="","",IFERROR(VLOOKUP(DATOS!$I4083,CONFIG_ASIGNATURAS!$B$2:$J$91,9,FALSE()),""))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IF(DATOS!$A4084="",0,IF(CONFIG_METADATA!$B$4&lt;&gt;"OR+EX",--(DATOS!$G4084=CONFIG_METADATA!$B$4),IF(DATOS!$G4084="EX",1,IF(DATOS!$G4084="OR",--(COUNTIFS(nNIA,DATOS!$A4084,nCURSO,DATOS!$D4084,nESPEC,DATOS!$E4084,nASIG,DATOS!$I4084,nEVAL,"EX")=0),0))))</f>
      </c>
      <c r="H4084">
        <f>IF(DATOS!$G4084&lt;&gt;"EX",0,--(COUNTIFS(nNIA,DATOS!$A4084,nCURSO,DATOS!$D4084,nESPEC,DATOS!$E4084,nASIG,DATOS!$I4084,nEVAL,"OR")=0))</f>
      </c>
      <c r="I4084">
        <f>IF(DATOS!$I4084="","",IFERROR(VLOOKUP(DATOS!$I4084,CONFIG_ASIGNATURAS!$B$2:$J$91,9,FALSE()),""))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IF(DATOS!$A4085="",0,IF(CONFIG_METADATA!$B$4&lt;&gt;"OR+EX",--(DATOS!$G4085=CONFIG_METADATA!$B$4),IF(DATOS!$G4085="EX",1,IF(DATOS!$G4085="OR",--(COUNTIFS(nNIA,DATOS!$A4085,nCURSO,DATOS!$D4085,nESPEC,DATOS!$E4085,nASIG,DATOS!$I4085,nEVAL,"EX")=0),0))))</f>
      </c>
      <c r="H4085">
        <f>IF(DATOS!$G4085&lt;&gt;"EX",0,--(COUNTIFS(nNIA,DATOS!$A4085,nCURSO,DATOS!$D4085,nESPEC,DATOS!$E4085,nASIG,DATOS!$I4085,nEVAL,"OR")=0))</f>
      </c>
      <c r="I4085">
        <f>IF(DATOS!$I4085="","",IFERROR(VLOOKUP(DATOS!$I4085,CONFIG_ASIGNATURAS!$B$2:$J$91,9,FALSE()),""))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IF(DATOS!$A4086="",0,IF(CONFIG_METADATA!$B$4&lt;&gt;"OR+EX",--(DATOS!$G4086=CONFIG_METADATA!$B$4),IF(DATOS!$G4086="EX",1,IF(DATOS!$G4086="OR",--(COUNTIFS(nNIA,DATOS!$A4086,nCURSO,DATOS!$D4086,nESPEC,DATOS!$E4086,nASIG,DATOS!$I4086,nEVAL,"EX")=0),0))))</f>
      </c>
      <c r="H4086">
        <f>IF(DATOS!$G4086&lt;&gt;"EX",0,--(COUNTIFS(nNIA,DATOS!$A4086,nCURSO,DATOS!$D4086,nESPEC,DATOS!$E4086,nASIG,DATOS!$I4086,nEVAL,"OR")=0))</f>
      </c>
      <c r="I4086">
        <f>IF(DATOS!$I4086="","",IFERROR(VLOOKUP(DATOS!$I4086,CONFIG_ASIGNATURAS!$B$2:$J$91,9,FALSE()),""))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IF(DATOS!$A4087="",0,IF(CONFIG_METADATA!$B$4&lt;&gt;"OR+EX",--(DATOS!$G4087=CONFIG_METADATA!$B$4),IF(DATOS!$G4087="EX",1,IF(DATOS!$G4087="OR",--(COUNTIFS(nNIA,DATOS!$A4087,nCURSO,DATOS!$D4087,nESPEC,DATOS!$E4087,nASIG,DATOS!$I4087,nEVAL,"EX")=0),0))))</f>
      </c>
      <c r="H4087">
        <f>IF(DATOS!$G4087&lt;&gt;"EX",0,--(COUNTIFS(nNIA,DATOS!$A4087,nCURSO,DATOS!$D4087,nESPEC,DATOS!$E4087,nASIG,DATOS!$I4087,nEVAL,"OR")=0))</f>
      </c>
      <c r="I4087">
        <f>IF(DATOS!$I4087="","",IFERROR(VLOOKUP(DATOS!$I4087,CONFIG_ASIGNATURAS!$B$2:$J$91,9,FALSE()),""))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IF(DATOS!$A4088="",0,IF(CONFIG_METADATA!$B$4&lt;&gt;"OR+EX",--(DATOS!$G4088=CONFIG_METADATA!$B$4),IF(DATOS!$G4088="EX",1,IF(DATOS!$G4088="OR",--(COUNTIFS(nNIA,DATOS!$A4088,nCURSO,DATOS!$D4088,nESPEC,DATOS!$E4088,nASIG,DATOS!$I4088,nEVAL,"EX")=0),0))))</f>
      </c>
      <c r="H4088">
        <f>IF(DATOS!$G4088&lt;&gt;"EX",0,--(COUNTIFS(nNIA,DATOS!$A4088,nCURSO,DATOS!$D4088,nESPEC,DATOS!$E4088,nASIG,DATOS!$I4088,nEVAL,"OR")=0))</f>
      </c>
      <c r="I4088">
        <f>IF(DATOS!$I4088="","",IFERROR(VLOOKUP(DATOS!$I4088,CONFIG_ASIGNATURAS!$B$2:$J$91,9,FALSE()),""))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IF(DATOS!$A4089="",0,IF(CONFIG_METADATA!$B$4&lt;&gt;"OR+EX",--(DATOS!$G4089=CONFIG_METADATA!$B$4),IF(DATOS!$G4089="EX",1,IF(DATOS!$G4089="OR",--(COUNTIFS(nNIA,DATOS!$A4089,nCURSO,DATOS!$D4089,nESPEC,DATOS!$E4089,nASIG,DATOS!$I4089,nEVAL,"EX")=0),0))))</f>
      </c>
      <c r="H4089">
        <f>IF(DATOS!$G4089&lt;&gt;"EX",0,--(COUNTIFS(nNIA,DATOS!$A4089,nCURSO,DATOS!$D4089,nESPEC,DATOS!$E4089,nASIG,DATOS!$I4089,nEVAL,"OR")=0))</f>
      </c>
      <c r="I4089">
        <f>IF(DATOS!$I4089="","",IFERROR(VLOOKUP(DATOS!$I4089,CONFIG_ASIGNATURAS!$B$2:$J$91,9,FALSE()),""))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IF(DATOS!$A4090="",0,IF(CONFIG_METADATA!$B$4&lt;&gt;"OR+EX",--(DATOS!$G4090=CONFIG_METADATA!$B$4),IF(DATOS!$G4090="EX",1,IF(DATOS!$G4090="OR",--(COUNTIFS(nNIA,DATOS!$A4090,nCURSO,DATOS!$D4090,nESPEC,DATOS!$E4090,nASIG,DATOS!$I4090,nEVAL,"EX")=0),0))))</f>
      </c>
      <c r="H4090">
        <f>IF(DATOS!$G4090&lt;&gt;"EX",0,--(COUNTIFS(nNIA,DATOS!$A4090,nCURSO,DATOS!$D4090,nESPEC,DATOS!$E4090,nASIG,DATOS!$I4090,nEVAL,"OR")=0))</f>
      </c>
      <c r="I4090">
        <f>IF(DATOS!$I4090="","",IFERROR(VLOOKUP(DATOS!$I4090,CONFIG_ASIGNATURAS!$B$2:$J$91,9,FALSE()),""))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IF(DATOS!$A4091="",0,IF(CONFIG_METADATA!$B$4&lt;&gt;"OR+EX",--(DATOS!$G4091=CONFIG_METADATA!$B$4),IF(DATOS!$G4091="EX",1,IF(DATOS!$G4091="OR",--(COUNTIFS(nNIA,DATOS!$A4091,nCURSO,DATOS!$D4091,nESPEC,DATOS!$E4091,nASIG,DATOS!$I4091,nEVAL,"EX")=0),0))))</f>
      </c>
      <c r="H4091">
        <f>IF(DATOS!$G4091&lt;&gt;"EX",0,--(COUNTIFS(nNIA,DATOS!$A4091,nCURSO,DATOS!$D4091,nESPEC,DATOS!$E4091,nASIG,DATOS!$I4091,nEVAL,"OR")=0))</f>
      </c>
      <c r="I4091">
        <f>IF(DATOS!$I4091="","",IFERROR(VLOOKUP(DATOS!$I4091,CONFIG_ASIGNATURAS!$B$2:$J$91,9,FALSE()),""))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IF(DATOS!$A4092="",0,IF(CONFIG_METADATA!$B$4&lt;&gt;"OR+EX",--(DATOS!$G4092=CONFIG_METADATA!$B$4),IF(DATOS!$G4092="EX",1,IF(DATOS!$G4092="OR",--(COUNTIFS(nNIA,DATOS!$A4092,nCURSO,DATOS!$D4092,nESPEC,DATOS!$E4092,nASIG,DATOS!$I4092,nEVAL,"EX")=0),0))))</f>
      </c>
      <c r="H4092">
        <f>IF(DATOS!$G4092&lt;&gt;"EX",0,--(COUNTIFS(nNIA,DATOS!$A4092,nCURSO,DATOS!$D4092,nESPEC,DATOS!$E4092,nASIG,DATOS!$I4092,nEVAL,"OR")=0))</f>
      </c>
      <c r="I4092">
        <f>IF(DATOS!$I4092="","",IFERROR(VLOOKUP(DATOS!$I4092,CONFIG_ASIGNATURAS!$B$2:$J$91,9,FALSE()),""))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IF(DATOS!$A4093="",0,IF(CONFIG_METADATA!$B$4&lt;&gt;"OR+EX",--(DATOS!$G4093=CONFIG_METADATA!$B$4),IF(DATOS!$G4093="EX",1,IF(DATOS!$G4093="OR",--(COUNTIFS(nNIA,DATOS!$A4093,nCURSO,DATOS!$D4093,nESPEC,DATOS!$E4093,nASIG,DATOS!$I4093,nEVAL,"EX")=0),0))))</f>
      </c>
      <c r="H4093">
        <f>IF(DATOS!$G4093&lt;&gt;"EX",0,--(COUNTIFS(nNIA,DATOS!$A4093,nCURSO,DATOS!$D4093,nESPEC,DATOS!$E4093,nASIG,DATOS!$I4093,nEVAL,"OR")=0))</f>
      </c>
      <c r="I4093">
        <f>IF(DATOS!$I4093="","",IFERROR(VLOOKUP(DATOS!$I4093,CONFIG_ASIGNATURAS!$B$2:$J$91,9,FALSE()),""))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IF(DATOS!$A4094="",0,IF(CONFIG_METADATA!$B$4&lt;&gt;"OR+EX",--(DATOS!$G4094=CONFIG_METADATA!$B$4),IF(DATOS!$G4094="EX",1,IF(DATOS!$G4094="OR",--(COUNTIFS(nNIA,DATOS!$A4094,nCURSO,DATOS!$D4094,nESPEC,DATOS!$E4094,nASIG,DATOS!$I4094,nEVAL,"EX")=0),0))))</f>
      </c>
      <c r="H4094">
        <f>IF(DATOS!$G4094&lt;&gt;"EX",0,--(COUNTIFS(nNIA,DATOS!$A4094,nCURSO,DATOS!$D4094,nESPEC,DATOS!$E4094,nASIG,DATOS!$I4094,nEVAL,"OR")=0))</f>
      </c>
      <c r="I4094">
        <f>IF(DATOS!$I4094="","",IFERROR(VLOOKUP(DATOS!$I4094,CONFIG_ASIGNATURAS!$B$2:$J$91,9,FALSE()),""))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IF(DATOS!$A4095="",0,IF(CONFIG_METADATA!$B$4&lt;&gt;"OR+EX",--(DATOS!$G4095=CONFIG_METADATA!$B$4),IF(DATOS!$G4095="EX",1,IF(DATOS!$G4095="OR",--(COUNTIFS(nNIA,DATOS!$A4095,nCURSO,DATOS!$D4095,nESPEC,DATOS!$E4095,nASIG,DATOS!$I4095,nEVAL,"EX")=0),0))))</f>
      </c>
      <c r="H4095">
        <f>IF(DATOS!$G4095&lt;&gt;"EX",0,--(COUNTIFS(nNIA,DATOS!$A4095,nCURSO,DATOS!$D4095,nESPEC,DATOS!$E4095,nASIG,DATOS!$I4095,nEVAL,"OR")=0))</f>
      </c>
      <c r="I4095">
        <f>IF(DATOS!$I4095="","",IFERROR(VLOOKUP(DATOS!$I4095,CONFIG_ASIGNATURAS!$B$2:$J$91,9,FALSE()),""))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IF(DATOS!$A4096="",0,IF(CONFIG_METADATA!$B$4&lt;&gt;"OR+EX",--(DATOS!$G4096=CONFIG_METADATA!$B$4),IF(DATOS!$G4096="EX",1,IF(DATOS!$G4096="OR",--(COUNTIFS(nNIA,DATOS!$A4096,nCURSO,DATOS!$D4096,nESPEC,DATOS!$E4096,nASIG,DATOS!$I4096,nEVAL,"EX")=0),0))))</f>
      </c>
      <c r="H4096">
        <f>IF(DATOS!$G4096&lt;&gt;"EX",0,--(COUNTIFS(nNIA,DATOS!$A4096,nCURSO,DATOS!$D4096,nESPEC,DATOS!$E4096,nASIG,DATOS!$I4096,nEVAL,"OR")=0))</f>
      </c>
      <c r="I4096">
        <f>IF(DATOS!$I4096="","",IFERROR(VLOOKUP(DATOS!$I4096,CONFIG_ASIGNATURAS!$B$2:$J$91,9,FALSE()),""))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IF(DATOS!$A4097="",0,IF(CONFIG_METADATA!$B$4&lt;&gt;"OR+EX",--(DATOS!$G4097=CONFIG_METADATA!$B$4),IF(DATOS!$G4097="EX",1,IF(DATOS!$G4097="OR",--(COUNTIFS(nNIA,DATOS!$A4097,nCURSO,DATOS!$D4097,nESPEC,DATOS!$E4097,nASIG,DATOS!$I4097,nEVAL,"EX")=0),0))))</f>
      </c>
      <c r="H4097">
        <f>IF(DATOS!$G4097&lt;&gt;"EX",0,--(COUNTIFS(nNIA,DATOS!$A4097,nCURSO,DATOS!$D4097,nESPEC,DATOS!$E4097,nASIG,DATOS!$I4097,nEVAL,"OR")=0))</f>
      </c>
      <c r="I4097">
        <f>IF(DATOS!$I4097="","",IFERROR(VLOOKUP(DATOS!$I4097,CONFIG_ASIGNATURAS!$B$2:$J$91,9,FALSE()),""))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IF(DATOS!$A4098="",0,IF(CONFIG_METADATA!$B$4&lt;&gt;"OR+EX",--(DATOS!$G4098=CONFIG_METADATA!$B$4),IF(DATOS!$G4098="EX",1,IF(DATOS!$G4098="OR",--(COUNTIFS(nNIA,DATOS!$A4098,nCURSO,DATOS!$D4098,nESPEC,DATOS!$E4098,nASIG,DATOS!$I4098,nEVAL,"EX")=0),0))))</f>
      </c>
      <c r="H4098">
        <f>IF(DATOS!$G4098&lt;&gt;"EX",0,--(COUNTIFS(nNIA,DATOS!$A4098,nCURSO,DATOS!$D4098,nESPEC,DATOS!$E4098,nASIG,DATOS!$I4098,nEVAL,"OR")=0))</f>
      </c>
      <c r="I4098">
        <f>IF(DATOS!$I4098="","",IFERROR(VLOOKUP(DATOS!$I4098,CONFIG_ASIGNATURAS!$B$2:$J$91,9,FALSE()),""))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IF(DATOS!$A4099="",0,IF(CONFIG_METADATA!$B$4&lt;&gt;"OR+EX",--(DATOS!$G4099=CONFIG_METADATA!$B$4),IF(DATOS!$G4099="EX",1,IF(DATOS!$G4099="OR",--(COUNTIFS(nNIA,DATOS!$A4099,nCURSO,DATOS!$D4099,nESPEC,DATOS!$E4099,nASIG,DATOS!$I4099,nEVAL,"EX")=0),0))))</f>
      </c>
      <c r="H4099">
        <f>IF(DATOS!$G4099&lt;&gt;"EX",0,--(COUNTIFS(nNIA,DATOS!$A4099,nCURSO,DATOS!$D4099,nESPEC,DATOS!$E4099,nASIG,DATOS!$I4099,nEVAL,"OR")=0))</f>
      </c>
      <c r="I4099">
        <f>IF(DATOS!$I4099="","",IFERROR(VLOOKUP(DATOS!$I4099,CONFIG_ASIGNATURAS!$B$2:$J$91,9,FALSE()),""))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IF(DATOS!$A4100="",0,IF(CONFIG_METADATA!$B$4&lt;&gt;"OR+EX",--(DATOS!$G4100=CONFIG_METADATA!$B$4),IF(DATOS!$G4100="EX",1,IF(DATOS!$G4100="OR",--(COUNTIFS(nNIA,DATOS!$A4100,nCURSO,DATOS!$D4100,nESPEC,DATOS!$E4100,nASIG,DATOS!$I4100,nEVAL,"EX")=0),0))))</f>
      </c>
      <c r="H4100">
        <f>IF(DATOS!$G4100&lt;&gt;"EX",0,--(COUNTIFS(nNIA,DATOS!$A4100,nCURSO,DATOS!$D4100,nESPEC,DATOS!$E4100,nASIG,DATOS!$I4100,nEVAL,"OR")=0))</f>
      </c>
      <c r="I4100">
        <f>IF(DATOS!$I4100="","",IFERROR(VLOOKUP(DATOS!$I4100,CONFIG_ASIGNATURAS!$B$2:$J$91,9,FALSE()),""))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IF(DATOS!$A4101="",0,IF(CONFIG_METADATA!$B$4&lt;&gt;"OR+EX",--(DATOS!$G4101=CONFIG_METADATA!$B$4),IF(DATOS!$G4101="EX",1,IF(DATOS!$G4101="OR",--(COUNTIFS(nNIA,DATOS!$A4101,nCURSO,DATOS!$D4101,nESPEC,DATOS!$E4101,nASIG,DATOS!$I4101,nEVAL,"EX")=0),0))))</f>
      </c>
      <c r="H4101">
        <f>IF(DATOS!$G4101&lt;&gt;"EX",0,--(COUNTIFS(nNIA,DATOS!$A4101,nCURSO,DATOS!$D4101,nESPEC,DATOS!$E4101,nASIG,DATOS!$I4101,nEVAL,"OR")=0))</f>
      </c>
      <c r="I4101">
        <f>IF(DATOS!$I4101="","",IFERROR(VLOOKUP(DATOS!$I4101,CONFIG_ASIGNATURAS!$B$2:$J$91,9,FALSE()),""))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IF(DATOS!$A4102="",0,IF(CONFIG_METADATA!$B$4&lt;&gt;"OR+EX",--(DATOS!$G4102=CONFIG_METADATA!$B$4),IF(DATOS!$G4102="EX",1,IF(DATOS!$G4102="OR",--(COUNTIFS(nNIA,DATOS!$A4102,nCURSO,DATOS!$D4102,nESPEC,DATOS!$E4102,nASIG,DATOS!$I4102,nEVAL,"EX")=0),0))))</f>
      </c>
      <c r="H4102">
        <f>IF(DATOS!$G4102&lt;&gt;"EX",0,--(COUNTIFS(nNIA,DATOS!$A4102,nCURSO,DATOS!$D4102,nESPEC,DATOS!$E4102,nASIG,DATOS!$I4102,nEVAL,"OR")=0))</f>
      </c>
      <c r="I4102">
        <f>IF(DATOS!$I4102="","",IFERROR(VLOOKUP(DATOS!$I4102,CONFIG_ASIGNATURAS!$B$2:$J$91,9,FALSE()),""))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IF(DATOS!$A4103="",0,IF(CONFIG_METADATA!$B$4&lt;&gt;"OR+EX",--(DATOS!$G4103=CONFIG_METADATA!$B$4),IF(DATOS!$G4103="EX",1,IF(DATOS!$G4103="OR",--(COUNTIFS(nNIA,DATOS!$A4103,nCURSO,DATOS!$D4103,nESPEC,DATOS!$E4103,nASIG,DATOS!$I4103,nEVAL,"EX")=0),0))))</f>
      </c>
      <c r="H4103">
        <f>IF(DATOS!$G4103&lt;&gt;"EX",0,--(COUNTIFS(nNIA,DATOS!$A4103,nCURSO,DATOS!$D4103,nESPEC,DATOS!$E4103,nASIG,DATOS!$I4103,nEVAL,"OR")=0))</f>
      </c>
      <c r="I4103">
        <f>IF(DATOS!$I4103="","",IFERROR(VLOOKUP(DATOS!$I4103,CONFIG_ASIGNATURAS!$B$2:$J$91,9,FALSE()),""))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IF(DATOS!$A4104="",0,IF(CONFIG_METADATA!$B$4&lt;&gt;"OR+EX",--(DATOS!$G4104=CONFIG_METADATA!$B$4),IF(DATOS!$G4104="EX",1,IF(DATOS!$G4104="OR",--(COUNTIFS(nNIA,DATOS!$A4104,nCURSO,DATOS!$D4104,nESPEC,DATOS!$E4104,nASIG,DATOS!$I4104,nEVAL,"EX")=0),0))))</f>
      </c>
      <c r="H4104">
        <f>IF(DATOS!$G4104&lt;&gt;"EX",0,--(COUNTIFS(nNIA,DATOS!$A4104,nCURSO,DATOS!$D4104,nESPEC,DATOS!$E4104,nASIG,DATOS!$I4104,nEVAL,"OR")=0))</f>
      </c>
      <c r="I4104">
        <f>IF(DATOS!$I4104="","",IFERROR(VLOOKUP(DATOS!$I4104,CONFIG_ASIGNATURAS!$B$2:$J$91,9,FALSE()),""))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IF(DATOS!$A4105="",0,IF(CONFIG_METADATA!$B$4&lt;&gt;"OR+EX",--(DATOS!$G4105=CONFIG_METADATA!$B$4),IF(DATOS!$G4105="EX",1,IF(DATOS!$G4105="OR",--(COUNTIFS(nNIA,DATOS!$A4105,nCURSO,DATOS!$D4105,nESPEC,DATOS!$E4105,nASIG,DATOS!$I4105,nEVAL,"EX")=0),0))))</f>
      </c>
      <c r="H4105">
        <f>IF(DATOS!$G4105&lt;&gt;"EX",0,--(COUNTIFS(nNIA,DATOS!$A4105,nCURSO,DATOS!$D4105,nESPEC,DATOS!$E4105,nASIG,DATOS!$I4105,nEVAL,"OR")=0))</f>
      </c>
      <c r="I4105">
        <f>IF(DATOS!$I4105="","",IFERROR(VLOOKUP(DATOS!$I4105,CONFIG_ASIGNATURAS!$B$2:$J$91,9,FALSE()),""))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IF(DATOS!$A4106="",0,IF(CONFIG_METADATA!$B$4&lt;&gt;"OR+EX",--(DATOS!$G4106=CONFIG_METADATA!$B$4),IF(DATOS!$G4106="EX",1,IF(DATOS!$G4106="OR",--(COUNTIFS(nNIA,DATOS!$A4106,nCURSO,DATOS!$D4106,nESPEC,DATOS!$E4106,nASIG,DATOS!$I4106,nEVAL,"EX")=0),0))))</f>
      </c>
      <c r="H4106">
        <f>IF(DATOS!$G4106&lt;&gt;"EX",0,--(COUNTIFS(nNIA,DATOS!$A4106,nCURSO,DATOS!$D4106,nESPEC,DATOS!$E4106,nASIG,DATOS!$I4106,nEVAL,"OR")=0))</f>
      </c>
      <c r="I4106">
        <f>IF(DATOS!$I4106="","",IFERROR(VLOOKUP(DATOS!$I4106,CONFIG_ASIGNATURAS!$B$2:$J$91,9,FALSE()),""))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IF(DATOS!$A4107="",0,IF(CONFIG_METADATA!$B$4&lt;&gt;"OR+EX",--(DATOS!$G4107=CONFIG_METADATA!$B$4),IF(DATOS!$G4107="EX",1,IF(DATOS!$G4107="OR",--(COUNTIFS(nNIA,DATOS!$A4107,nCURSO,DATOS!$D4107,nESPEC,DATOS!$E4107,nASIG,DATOS!$I4107,nEVAL,"EX")=0),0))))</f>
      </c>
      <c r="H4107">
        <f>IF(DATOS!$G4107&lt;&gt;"EX",0,--(COUNTIFS(nNIA,DATOS!$A4107,nCURSO,DATOS!$D4107,nESPEC,DATOS!$E4107,nASIG,DATOS!$I4107,nEVAL,"OR")=0))</f>
      </c>
      <c r="I4107">
        <f>IF(DATOS!$I4107="","",IFERROR(VLOOKUP(DATOS!$I4107,CONFIG_ASIGNATURAS!$B$2:$J$91,9,FALSE()),""))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IF(DATOS!$A4108="",0,IF(CONFIG_METADATA!$B$4&lt;&gt;"OR+EX",--(DATOS!$G4108=CONFIG_METADATA!$B$4),IF(DATOS!$G4108="EX",1,IF(DATOS!$G4108="OR",--(COUNTIFS(nNIA,DATOS!$A4108,nCURSO,DATOS!$D4108,nESPEC,DATOS!$E4108,nASIG,DATOS!$I4108,nEVAL,"EX")=0),0))))</f>
      </c>
      <c r="H4108">
        <f>IF(DATOS!$G4108&lt;&gt;"EX",0,--(COUNTIFS(nNIA,DATOS!$A4108,nCURSO,DATOS!$D4108,nESPEC,DATOS!$E4108,nASIG,DATOS!$I4108,nEVAL,"OR")=0))</f>
      </c>
      <c r="I4108">
        <f>IF(DATOS!$I4108="","",IFERROR(VLOOKUP(DATOS!$I4108,CONFIG_ASIGNATURAS!$B$2:$J$91,9,FALSE()),""))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IF(DATOS!$A4109="",0,IF(CONFIG_METADATA!$B$4&lt;&gt;"OR+EX",--(DATOS!$G4109=CONFIG_METADATA!$B$4),IF(DATOS!$G4109="EX",1,IF(DATOS!$G4109="OR",--(COUNTIFS(nNIA,DATOS!$A4109,nCURSO,DATOS!$D4109,nESPEC,DATOS!$E4109,nASIG,DATOS!$I4109,nEVAL,"EX")=0),0))))</f>
      </c>
      <c r="H4109">
        <f>IF(DATOS!$G4109&lt;&gt;"EX",0,--(COUNTIFS(nNIA,DATOS!$A4109,nCURSO,DATOS!$D4109,nESPEC,DATOS!$E4109,nASIG,DATOS!$I4109,nEVAL,"OR")=0))</f>
      </c>
      <c r="I4109">
        <f>IF(DATOS!$I4109="","",IFERROR(VLOOKUP(DATOS!$I4109,CONFIG_ASIGNATURAS!$B$2:$J$91,9,FALSE()),""))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IF(DATOS!$A4110="",0,IF(CONFIG_METADATA!$B$4&lt;&gt;"OR+EX",--(DATOS!$G4110=CONFIG_METADATA!$B$4),IF(DATOS!$G4110="EX",1,IF(DATOS!$G4110="OR",--(COUNTIFS(nNIA,DATOS!$A4110,nCURSO,DATOS!$D4110,nESPEC,DATOS!$E4110,nASIG,DATOS!$I4110,nEVAL,"EX")=0),0))))</f>
      </c>
      <c r="H4110">
        <f>IF(DATOS!$G4110&lt;&gt;"EX",0,--(COUNTIFS(nNIA,DATOS!$A4110,nCURSO,DATOS!$D4110,nESPEC,DATOS!$E4110,nASIG,DATOS!$I4110,nEVAL,"OR")=0))</f>
      </c>
      <c r="I4110">
        <f>IF(DATOS!$I4110="","",IFERROR(VLOOKUP(DATOS!$I4110,CONFIG_ASIGNATURAS!$B$2:$J$91,9,FALSE()),""))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IF(DATOS!$A4111="",0,IF(CONFIG_METADATA!$B$4&lt;&gt;"OR+EX",--(DATOS!$G4111=CONFIG_METADATA!$B$4),IF(DATOS!$G4111="EX",1,IF(DATOS!$G4111="OR",--(COUNTIFS(nNIA,DATOS!$A4111,nCURSO,DATOS!$D4111,nESPEC,DATOS!$E4111,nASIG,DATOS!$I4111,nEVAL,"EX")=0),0))))</f>
      </c>
      <c r="H4111">
        <f>IF(DATOS!$G4111&lt;&gt;"EX",0,--(COUNTIFS(nNIA,DATOS!$A4111,nCURSO,DATOS!$D4111,nESPEC,DATOS!$E4111,nASIG,DATOS!$I4111,nEVAL,"OR")=0))</f>
      </c>
      <c r="I4111">
        <f>IF(DATOS!$I4111="","",IFERROR(VLOOKUP(DATOS!$I4111,CONFIG_ASIGNATURAS!$B$2:$J$91,9,FALSE()),""))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IF(DATOS!$A4112="",0,IF(CONFIG_METADATA!$B$4&lt;&gt;"OR+EX",--(DATOS!$G4112=CONFIG_METADATA!$B$4),IF(DATOS!$G4112="EX",1,IF(DATOS!$G4112="OR",--(COUNTIFS(nNIA,DATOS!$A4112,nCURSO,DATOS!$D4112,nESPEC,DATOS!$E4112,nASIG,DATOS!$I4112,nEVAL,"EX")=0),0))))</f>
      </c>
      <c r="H4112">
        <f>IF(DATOS!$G4112&lt;&gt;"EX",0,--(COUNTIFS(nNIA,DATOS!$A4112,nCURSO,DATOS!$D4112,nESPEC,DATOS!$E4112,nASIG,DATOS!$I4112,nEVAL,"OR")=0))</f>
      </c>
      <c r="I4112">
        <f>IF(DATOS!$I4112="","",IFERROR(VLOOKUP(DATOS!$I4112,CONFIG_ASIGNATURAS!$B$2:$J$91,9,FALSE()),""))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IF(DATOS!$A4113="",0,IF(CONFIG_METADATA!$B$4&lt;&gt;"OR+EX",--(DATOS!$G4113=CONFIG_METADATA!$B$4),IF(DATOS!$G4113="EX",1,IF(DATOS!$G4113="OR",--(COUNTIFS(nNIA,DATOS!$A4113,nCURSO,DATOS!$D4113,nESPEC,DATOS!$E4113,nASIG,DATOS!$I4113,nEVAL,"EX")=0),0))))</f>
      </c>
      <c r="H4113">
        <f>IF(DATOS!$G4113&lt;&gt;"EX",0,--(COUNTIFS(nNIA,DATOS!$A4113,nCURSO,DATOS!$D4113,nESPEC,DATOS!$E4113,nASIG,DATOS!$I4113,nEVAL,"OR")=0))</f>
      </c>
      <c r="I4113">
        <f>IF(DATOS!$I4113="","",IFERROR(VLOOKUP(DATOS!$I4113,CONFIG_ASIGNATURAS!$B$2:$J$91,9,FALSE()),""))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IF(DATOS!$A4114="",0,IF(CONFIG_METADATA!$B$4&lt;&gt;"OR+EX",--(DATOS!$G4114=CONFIG_METADATA!$B$4),IF(DATOS!$G4114="EX",1,IF(DATOS!$G4114="OR",--(COUNTIFS(nNIA,DATOS!$A4114,nCURSO,DATOS!$D4114,nESPEC,DATOS!$E4114,nASIG,DATOS!$I4114,nEVAL,"EX")=0),0))))</f>
      </c>
      <c r="H4114">
        <f>IF(DATOS!$G4114&lt;&gt;"EX",0,--(COUNTIFS(nNIA,DATOS!$A4114,nCURSO,DATOS!$D4114,nESPEC,DATOS!$E4114,nASIG,DATOS!$I4114,nEVAL,"OR")=0))</f>
      </c>
      <c r="I4114">
        <f>IF(DATOS!$I4114="","",IFERROR(VLOOKUP(DATOS!$I4114,CONFIG_ASIGNATURAS!$B$2:$J$91,9,FALSE()),""))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IF(DATOS!$A4115="",0,IF(CONFIG_METADATA!$B$4&lt;&gt;"OR+EX",--(DATOS!$G4115=CONFIG_METADATA!$B$4),IF(DATOS!$G4115="EX",1,IF(DATOS!$G4115="OR",--(COUNTIFS(nNIA,DATOS!$A4115,nCURSO,DATOS!$D4115,nESPEC,DATOS!$E4115,nASIG,DATOS!$I4115,nEVAL,"EX")=0),0))))</f>
      </c>
      <c r="H4115">
        <f>IF(DATOS!$G4115&lt;&gt;"EX",0,--(COUNTIFS(nNIA,DATOS!$A4115,nCURSO,DATOS!$D4115,nESPEC,DATOS!$E4115,nASIG,DATOS!$I4115,nEVAL,"OR")=0))</f>
      </c>
      <c r="I4115">
        <f>IF(DATOS!$I4115="","",IFERROR(VLOOKUP(DATOS!$I4115,CONFIG_ASIGNATURAS!$B$2:$J$91,9,FALSE()),""))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IF(DATOS!$A4116="",0,IF(CONFIG_METADATA!$B$4&lt;&gt;"OR+EX",--(DATOS!$G4116=CONFIG_METADATA!$B$4),IF(DATOS!$G4116="EX",1,IF(DATOS!$G4116="OR",--(COUNTIFS(nNIA,DATOS!$A4116,nCURSO,DATOS!$D4116,nESPEC,DATOS!$E4116,nASIG,DATOS!$I4116,nEVAL,"EX")=0),0))))</f>
      </c>
      <c r="H4116">
        <f>IF(DATOS!$G4116&lt;&gt;"EX",0,--(COUNTIFS(nNIA,DATOS!$A4116,nCURSO,DATOS!$D4116,nESPEC,DATOS!$E4116,nASIG,DATOS!$I4116,nEVAL,"OR")=0))</f>
      </c>
      <c r="I4116">
        <f>IF(DATOS!$I4116="","",IFERROR(VLOOKUP(DATOS!$I4116,CONFIG_ASIGNATURAS!$B$2:$J$91,9,FALSE()),""))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IF(DATOS!$A4117="",0,IF(CONFIG_METADATA!$B$4&lt;&gt;"OR+EX",--(DATOS!$G4117=CONFIG_METADATA!$B$4),IF(DATOS!$G4117="EX",1,IF(DATOS!$G4117="OR",--(COUNTIFS(nNIA,DATOS!$A4117,nCURSO,DATOS!$D4117,nESPEC,DATOS!$E4117,nASIG,DATOS!$I4117,nEVAL,"EX")=0),0))))</f>
      </c>
      <c r="H4117">
        <f>IF(DATOS!$G4117&lt;&gt;"EX",0,--(COUNTIFS(nNIA,DATOS!$A4117,nCURSO,DATOS!$D4117,nESPEC,DATOS!$E4117,nASIG,DATOS!$I4117,nEVAL,"OR")=0))</f>
      </c>
      <c r="I4117">
        <f>IF(DATOS!$I4117="","",IFERROR(VLOOKUP(DATOS!$I4117,CONFIG_ASIGNATURAS!$B$2:$J$91,9,FALSE()),""))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IF(DATOS!$A4118="",0,IF(CONFIG_METADATA!$B$4&lt;&gt;"OR+EX",--(DATOS!$G4118=CONFIG_METADATA!$B$4),IF(DATOS!$G4118="EX",1,IF(DATOS!$G4118="OR",--(COUNTIFS(nNIA,DATOS!$A4118,nCURSO,DATOS!$D4118,nESPEC,DATOS!$E4118,nASIG,DATOS!$I4118,nEVAL,"EX")=0),0))))</f>
      </c>
      <c r="H4118">
        <f>IF(DATOS!$G4118&lt;&gt;"EX",0,--(COUNTIFS(nNIA,DATOS!$A4118,nCURSO,DATOS!$D4118,nESPEC,DATOS!$E4118,nASIG,DATOS!$I4118,nEVAL,"OR")=0))</f>
      </c>
      <c r="I4118">
        <f>IF(DATOS!$I4118="","",IFERROR(VLOOKUP(DATOS!$I4118,CONFIG_ASIGNATURAS!$B$2:$J$91,9,FALSE()),""))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IF(DATOS!$A4119="",0,IF(CONFIG_METADATA!$B$4&lt;&gt;"OR+EX",--(DATOS!$G4119=CONFIG_METADATA!$B$4),IF(DATOS!$G4119="EX",1,IF(DATOS!$G4119="OR",--(COUNTIFS(nNIA,DATOS!$A4119,nCURSO,DATOS!$D4119,nESPEC,DATOS!$E4119,nASIG,DATOS!$I4119,nEVAL,"EX")=0),0))))</f>
      </c>
      <c r="H4119">
        <f>IF(DATOS!$G4119&lt;&gt;"EX",0,--(COUNTIFS(nNIA,DATOS!$A4119,nCURSO,DATOS!$D4119,nESPEC,DATOS!$E4119,nASIG,DATOS!$I4119,nEVAL,"OR")=0))</f>
      </c>
      <c r="I4119">
        <f>IF(DATOS!$I4119="","",IFERROR(VLOOKUP(DATOS!$I4119,CONFIG_ASIGNATURAS!$B$2:$J$91,9,FALSE()),""))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IF(DATOS!$A4120="",0,IF(CONFIG_METADATA!$B$4&lt;&gt;"OR+EX",--(DATOS!$G4120=CONFIG_METADATA!$B$4),IF(DATOS!$G4120="EX",1,IF(DATOS!$G4120="OR",--(COUNTIFS(nNIA,DATOS!$A4120,nCURSO,DATOS!$D4120,nESPEC,DATOS!$E4120,nASIG,DATOS!$I4120,nEVAL,"EX")=0),0))))</f>
      </c>
      <c r="H4120">
        <f>IF(DATOS!$G4120&lt;&gt;"EX",0,--(COUNTIFS(nNIA,DATOS!$A4120,nCURSO,DATOS!$D4120,nESPEC,DATOS!$E4120,nASIG,DATOS!$I4120,nEVAL,"OR")=0))</f>
      </c>
      <c r="I4120">
        <f>IF(DATOS!$I4120="","",IFERROR(VLOOKUP(DATOS!$I4120,CONFIG_ASIGNATURAS!$B$2:$J$91,9,FALSE()),""))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IF(DATOS!$A4121="",0,IF(CONFIG_METADATA!$B$4&lt;&gt;"OR+EX",--(DATOS!$G4121=CONFIG_METADATA!$B$4),IF(DATOS!$G4121="EX",1,IF(DATOS!$G4121="OR",--(COUNTIFS(nNIA,DATOS!$A4121,nCURSO,DATOS!$D4121,nESPEC,DATOS!$E4121,nASIG,DATOS!$I4121,nEVAL,"EX")=0),0))))</f>
      </c>
      <c r="H4121">
        <f>IF(DATOS!$G4121&lt;&gt;"EX",0,--(COUNTIFS(nNIA,DATOS!$A4121,nCURSO,DATOS!$D4121,nESPEC,DATOS!$E4121,nASIG,DATOS!$I4121,nEVAL,"OR")=0))</f>
      </c>
      <c r="I4121">
        <f>IF(DATOS!$I4121="","",IFERROR(VLOOKUP(DATOS!$I4121,CONFIG_ASIGNATURAS!$B$2:$J$91,9,FALSE()),""))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IF(DATOS!$A4122="",0,IF(CONFIG_METADATA!$B$4&lt;&gt;"OR+EX",--(DATOS!$G4122=CONFIG_METADATA!$B$4),IF(DATOS!$G4122="EX",1,IF(DATOS!$G4122="OR",--(COUNTIFS(nNIA,DATOS!$A4122,nCURSO,DATOS!$D4122,nESPEC,DATOS!$E4122,nASIG,DATOS!$I4122,nEVAL,"EX")=0),0))))</f>
      </c>
      <c r="H4122">
        <f>IF(DATOS!$G4122&lt;&gt;"EX",0,--(COUNTIFS(nNIA,DATOS!$A4122,nCURSO,DATOS!$D4122,nESPEC,DATOS!$E4122,nASIG,DATOS!$I4122,nEVAL,"OR")=0))</f>
      </c>
      <c r="I4122">
        <f>IF(DATOS!$I4122="","",IFERROR(VLOOKUP(DATOS!$I4122,CONFIG_ASIGNATURAS!$B$2:$J$91,9,FALSE()),""))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IF(DATOS!$A4123="",0,IF(CONFIG_METADATA!$B$4&lt;&gt;"OR+EX",--(DATOS!$G4123=CONFIG_METADATA!$B$4),IF(DATOS!$G4123="EX",1,IF(DATOS!$G4123="OR",--(COUNTIFS(nNIA,DATOS!$A4123,nCURSO,DATOS!$D4123,nESPEC,DATOS!$E4123,nASIG,DATOS!$I4123,nEVAL,"EX")=0),0))))</f>
      </c>
      <c r="H4123">
        <f>IF(DATOS!$G4123&lt;&gt;"EX",0,--(COUNTIFS(nNIA,DATOS!$A4123,nCURSO,DATOS!$D4123,nESPEC,DATOS!$E4123,nASIG,DATOS!$I4123,nEVAL,"OR")=0))</f>
      </c>
      <c r="I4123">
        <f>IF(DATOS!$I4123="","",IFERROR(VLOOKUP(DATOS!$I4123,CONFIG_ASIGNATURAS!$B$2:$J$91,9,FALSE()),""))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IF(DATOS!$A4124="",0,IF(CONFIG_METADATA!$B$4&lt;&gt;"OR+EX",--(DATOS!$G4124=CONFIG_METADATA!$B$4),IF(DATOS!$G4124="EX",1,IF(DATOS!$G4124="OR",--(COUNTIFS(nNIA,DATOS!$A4124,nCURSO,DATOS!$D4124,nESPEC,DATOS!$E4124,nASIG,DATOS!$I4124,nEVAL,"EX")=0),0))))</f>
      </c>
      <c r="H4124">
        <f>IF(DATOS!$G4124&lt;&gt;"EX",0,--(COUNTIFS(nNIA,DATOS!$A4124,nCURSO,DATOS!$D4124,nESPEC,DATOS!$E4124,nASIG,DATOS!$I4124,nEVAL,"OR")=0))</f>
      </c>
      <c r="I4124">
        <f>IF(DATOS!$I4124="","",IFERROR(VLOOKUP(DATOS!$I4124,CONFIG_ASIGNATURAS!$B$2:$J$91,9,FALSE()),""))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IF(DATOS!$A4125="",0,IF(CONFIG_METADATA!$B$4&lt;&gt;"OR+EX",--(DATOS!$G4125=CONFIG_METADATA!$B$4),IF(DATOS!$G4125="EX",1,IF(DATOS!$G4125="OR",--(COUNTIFS(nNIA,DATOS!$A4125,nCURSO,DATOS!$D4125,nESPEC,DATOS!$E4125,nASIG,DATOS!$I4125,nEVAL,"EX")=0),0))))</f>
      </c>
      <c r="H4125">
        <f>IF(DATOS!$G4125&lt;&gt;"EX",0,--(COUNTIFS(nNIA,DATOS!$A4125,nCURSO,DATOS!$D4125,nESPEC,DATOS!$E4125,nASIG,DATOS!$I4125,nEVAL,"OR")=0))</f>
      </c>
      <c r="I4125">
        <f>IF(DATOS!$I4125="","",IFERROR(VLOOKUP(DATOS!$I4125,CONFIG_ASIGNATURAS!$B$2:$J$91,9,FALSE()),""))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IF(DATOS!$A4126="",0,IF(CONFIG_METADATA!$B$4&lt;&gt;"OR+EX",--(DATOS!$G4126=CONFIG_METADATA!$B$4),IF(DATOS!$G4126="EX",1,IF(DATOS!$G4126="OR",--(COUNTIFS(nNIA,DATOS!$A4126,nCURSO,DATOS!$D4126,nESPEC,DATOS!$E4126,nASIG,DATOS!$I4126,nEVAL,"EX")=0),0))))</f>
      </c>
      <c r="H4126">
        <f>IF(DATOS!$G4126&lt;&gt;"EX",0,--(COUNTIFS(nNIA,DATOS!$A4126,nCURSO,DATOS!$D4126,nESPEC,DATOS!$E4126,nASIG,DATOS!$I4126,nEVAL,"OR")=0))</f>
      </c>
      <c r="I4126">
        <f>IF(DATOS!$I4126="","",IFERROR(VLOOKUP(DATOS!$I4126,CONFIG_ASIGNATURAS!$B$2:$J$91,9,FALSE()),""))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IF(DATOS!$A4127="",0,IF(CONFIG_METADATA!$B$4&lt;&gt;"OR+EX",--(DATOS!$G4127=CONFIG_METADATA!$B$4),IF(DATOS!$G4127="EX",1,IF(DATOS!$G4127="OR",--(COUNTIFS(nNIA,DATOS!$A4127,nCURSO,DATOS!$D4127,nESPEC,DATOS!$E4127,nASIG,DATOS!$I4127,nEVAL,"EX")=0),0))))</f>
      </c>
      <c r="H4127">
        <f>IF(DATOS!$G4127&lt;&gt;"EX",0,--(COUNTIFS(nNIA,DATOS!$A4127,nCURSO,DATOS!$D4127,nESPEC,DATOS!$E4127,nASIG,DATOS!$I4127,nEVAL,"OR")=0))</f>
      </c>
      <c r="I4127">
        <f>IF(DATOS!$I4127="","",IFERROR(VLOOKUP(DATOS!$I4127,CONFIG_ASIGNATURAS!$B$2:$J$91,9,FALSE()),""))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IF(DATOS!$A4128="",0,IF(CONFIG_METADATA!$B$4&lt;&gt;"OR+EX",--(DATOS!$G4128=CONFIG_METADATA!$B$4),IF(DATOS!$G4128="EX",1,IF(DATOS!$G4128="OR",--(COUNTIFS(nNIA,DATOS!$A4128,nCURSO,DATOS!$D4128,nESPEC,DATOS!$E4128,nASIG,DATOS!$I4128,nEVAL,"EX")=0),0))))</f>
      </c>
      <c r="H4128">
        <f>IF(DATOS!$G4128&lt;&gt;"EX",0,--(COUNTIFS(nNIA,DATOS!$A4128,nCURSO,DATOS!$D4128,nESPEC,DATOS!$E4128,nASIG,DATOS!$I4128,nEVAL,"OR")=0))</f>
      </c>
      <c r="I4128">
        <f>IF(DATOS!$I4128="","",IFERROR(VLOOKUP(DATOS!$I4128,CONFIG_ASIGNATURAS!$B$2:$J$91,9,FALSE()),""))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IF(DATOS!$A4129="",0,IF(CONFIG_METADATA!$B$4&lt;&gt;"OR+EX",--(DATOS!$G4129=CONFIG_METADATA!$B$4),IF(DATOS!$G4129="EX",1,IF(DATOS!$G4129="OR",--(COUNTIFS(nNIA,DATOS!$A4129,nCURSO,DATOS!$D4129,nESPEC,DATOS!$E4129,nASIG,DATOS!$I4129,nEVAL,"EX")=0),0))))</f>
      </c>
      <c r="H4129">
        <f>IF(DATOS!$G4129&lt;&gt;"EX",0,--(COUNTIFS(nNIA,DATOS!$A4129,nCURSO,DATOS!$D4129,nESPEC,DATOS!$E4129,nASIG,DATOS!$I4129,nEVAL,"OR")=0))</f>
      </c>
      <c r="I4129">
        <f>IF(DATOS!$I4129="","",IFERROR(VLOOKUP(DATOS!$I4129,CONFIG_ASIGNATURAS!$B$2:$J$91,9,FALSE()),""))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IF(DATOS!$A4130="",0,IF(CONFIG_METADATA!$B$4&lt;&gt;"OR+EX",--(DATOS!$G4130=CONFIG_METADATA!$B$4),IF(DATOS!$G4130="EX",1,IF(DATOS!$G4130="OR",--(COUNTIFS(nNIA,DATOS!$A4130,nCURSO,DATOS!$D4130,nESPEC,DATOS!$E4130,nASIG,DATOS!$I4130,nEVAL,"EX")=0),0))))</f>
      </c>
      <c r="H4130">
        <f>IF(DATOS!$G4130&lt;&gt;"EX",0,--(COUNTIFS(nNIA,DATOS!$A4130,nCURSO,DATOS!$D4130,nESPEC,DATOS!$E4130,nASIG,DATOS!$I4130,nEVAL,"OR")=0))</f>
      </c>
      <c r="I4130">
        <f>IF(DATOS!$I4130="","",IFERROR(VLOOKUP(DATOS!$I4130,CONFIG_ASIGNATURAS!$B$2:$J$91,9,FALSE()),""))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IF(DATOS!$A4131="",0,IF(CONFIG_METADATA!$B$4&lt;&gt;"OR+EX",--(DATOS!$G4131=CONFIG_METADATA!$B$4),IF(DATOS!$G4131="EX",1,IF(DATOS!$G4131="OR",--(COUNTIFS(nNIA,DATOS!$A4131,nCURSO,DATOS!$D4131,nESPEC,DATOS!$E4131,nASIG,DATOS!$I4131,nEVAL,"EX")=0),0))))</f>
      </c>
      <c r="H4131">
        <f>IF(DATOS!$G4131&lt;&gt;"EX",0,--(COUNTIFS(nNIA,DATOS!$A4131,nCURSO,DATOS!$D4131,nESPEC,DATOS!$E4131,nASIG,DATOS!$I4131,nEVAL,"OR")=0))</f>
      </c>
      <c r="I4131">
        <f>IF(DATOS!$I4131="","",IFERROR(VLOOKUP(DATOS!$I4131,CONFIG_ASIGNATURAS!$B$2:$J$91,9,FALSE()),""))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IF(DATOS!$A4132="",0,IF(CONFIG_METADATA!$B$4&lt;&gt;"OR+EX",--(DATOS!$G4132=CONFIG_METADATA!$B$4),IF(DATOS!$G4132="EX",1,IF(DATOS!$G4132="OR",--(COUNTIFS(nNIA,DATOS!$A4132,nCURSO,DATOS!$D4132,nESPEC,DATOS!$E4132,nASIG,DATOS!$I4132,nEVAL,"EX")=0),0))))</f>
      </c>
      <c r="H4132">
        <f>IF(DATOS!$G4132&lt;&gt;"EX",0,--(COUNTIFS(nNIA,DATOS!$A4132,nCURSO,DATOS!$D4132,nESPEC,DATOS!$E4132,nASIG,DATOS!$I4132,nEVAL,"OR")=0))</f>
      </c>
      <c r="I4132">
        <f>IF(DATOS!$I4132="","",IFERROR(VLOOKUP(DATOS!$I4132,CONFIG_ASIGNATURAS!$B$2:$J$91,9,FALSE()),""))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IF(DATOS!$A4133="",0,IF(CONFIG_METADATA!$B$4&lt;&gt;"OR+EX",--(DATOS!$G4133=CONFIG_METADATA!$B$4),IF(DATOS!$G4133="EX",1,IF(DATOS!$G4133="OR",--(COUNTIFS(nNIA,DATOS!$A4133,nCURSO,DATOS!$D4133,nESPEC,DATOS!$E4133,nASIG,DATOS!$I4133,nEVAL,"EX")=0),0))))</f>
      </c>
      <c r="H4133">
        <f>IF(DATOS!$G4133&lt;&gt;"EX",0,--(COUNTIFS(nNIA,DATOS!$A4133,nCURSO,DATOS!$D4133,nESPEC,DATOS!$E4133,nASIG,DATOS!$I4133,nEVAL,"OR")=0))</f>
      </c>
      <c r="I4133">
        <f>IF(DATOS!$I4133="","",IFERROR(VLOOKUP(DATOS!$I4133,CONFIG_ASIGNATURAS!$B$2:$J$91,9,FALSE()),""))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IF(DATOS!$A4134="",0,IF(CONFIG_METADATA!$B$4&lt;&gt;"OR+EX",--(DATOS!$G4134=CONFIG_METADATA!$B$4),IF(DATOS!$G4134="EX",1,IF(DATOS!$G4134="OR",--(COUNTIFS(nNIA,DATOS!$A4134,nCURSO,DATOS!$D4134,nESPEC,DATOS!$E4134,nASIG,DATOS!$I4134,nEVAL,"EX")=0),0))))</f>
      </c>
      <c r="H4134">
        <f>IF(DATOS!$G4134&lt;&gt;"EX",0,--(COUNTIFS(nNIA,DATOS!$A4134,nCURSO,DATOS!$D4134,nESPEC,DATOS!$E4134,nASIG,DATOS!$I4134,nEVAL,"OR")=0))</f>
      </c>
      <c r="I4134">
        <f>IF(DATOS!$I4134="","",IFERROR(VLOOKUP(DATOS!$I4134,CONFIG_ASIGNATURAS!$B$2:$J$91,9,FALSE()),""))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IF(DATOS!$A4135="",0,IF(CONFIG_METADATA!$B$4&lt;&gt;"OR+EX",--(DATOS!$G4135=CONFIG_METADATA!$B$4),IF(DATOS!$G4135="EX",1,IF(DATOS!$G4135="OR",--(COUNTIFS(nNIA,DATOS!$A4135,nCURSO,DATOS!$D4135,nESPEC,DATOS!$E4135,nASIG,DATOS!$I4135,nEVAL,"EX")=0),0))))</f>
      </c>
      <c r="H4135">
        <f>IF(DATOS!$G4135&lt;&gt;"EX",0,--(COUNTIFS(nNIA,DATOS!$A4135,nCURSO,DATOS!$D4135,nESPEC,DATOS!$E4135,nASIG,DATOS!$I4135,nEVAL,"OR")=0))</f>
      </c>
      <c r="I4135">
        <f>IF(DATOS!$I4135="","",IFERROR(VLOOKUP(DATOS!$I4135,CONFIG_ASIGNATURAS!$B$2:$J$91,9,FALSE()),""))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IF(DATOS!$A4136="",0,IF(CONFIG_METADATA!$B$4&lt;&gt;"OR+EX",--(DATOS!$G4136=CONFIG_METADATA!$B$4),IF(DATOS!$G4136="EX",1,IF(DATOS!$G4136="OR",--(COUNTIFS(nNIA,DATOS!$A4136,nCURSO,DATOS!$D4136,nESPEC,DATOS!$E4136,nASIG,DATOS!$I4136,nEVAL,"EX")=0),0))))</f>
      </c>
      <c r="H4136">
        <f>IF(DATOS!$G4136&lt;&gt;"EX",0,--(COUNTIFS(nNIA,DATOS!$A4136,nCURSO,DATOS!$D4136,nESPEC,DATOS!$E4136,nASIG,DATOS!$I4136,nEVAL,"OR")=0))</f>
      </c>
      <c r="I4136">
        <f>IF(DATOS!$I4136="","",IFERROR(VLOOKUP(DATOS!$I4136,CONFIG_ASIGNATURAS!$B$2:$J$91,9,FALSE()),""))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IF(DATOS!$A4137="",0,IF(CONFIG_METADATA!$B$4&lt;&gt;"OR+EX",--(DATOS!$G4137=CONFIG_METADATA!$B$4),IF(DATOS!$G4137="EX",1,IF(DATOS!$G4137="OR",--(COUNTIFS(nNIA,DATOS!$A4137,nCURSO,DATOS!$D4137,nESPEC,DATOS!$E4137,nASIG,DATOS!$I4137,nEVAL,"EX")=0),0))))</f>
      </c>
      <c r="H4137">
        <f>IF(DATOS!$G4137&lt;&gt;"EX",0,--(COUNTIFS(nNIA,DATOS!$A4137,nCURSO,DATOS!$D4137,nESPEC,DATOS!$E4137,nASIG,DATOS!$I4137,nEVAL,"OR")=0))</f>
      </c>
      <c r="I4137">
        <f>IF(DATOS!$I4137="","",IFERROR(VLOOKUP(DATOS!$I4137,CONFIG_ASIGNATURAS!$B$2:$J$91,9,FALSE()),""))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IF(DATOS!$A4138="",0,IF(CONFIG_METADATA!$B$4&lt;&gt;"OR+EX",--(DATOS!$G4138=CONFIG_METADATA!$B$4),IF(DATOS!$G4138="EX",1,IF(DATOS!$G4138="OR",--(COUNTIFS(nNIA,DATOS!$A4138,nCURSO,DATOS!$D4138,nESPEC,DATOS!$E4138,nASIG,DATOS!$I4138,nEVAL,"EX")=0),0))))</f>
      </c>
      <c r="H4138">
        <f>IF(DATOS!$G4138&lt;&gt;"EX",0,--(COUNTIFS(nNIA,DATOS!$A4138,nCURSO,DATOS!$D4138,nESPEC,DATOS!$E4138,nASIG,DATOS!$I4138,nEVAL,"OR")=0))</f>
      </c>
      <c r="I4138">
        <f>IF(DATOS!$I4138="","",IFERROR(VLOOKUP(DATOS!$I4138,CONFIG_ASIGNATURAS!$B$2:$J$91,9,FALSE()),""))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IF(DATOS!$A4139="",0,IF(CONFIG_METADATA!$B$4&lt;&gt;"OR+EX",--(DATOS!$G4139=CONFIG_METADATA!$B$4),IF(DATOS!$G4139="EX",1,IF(DATOS!$G4139="OR",--(COUNTIFS(nNIA,DATOS!$A4139,nCURSO,DATOS!$D4139,nESPEC,DATOS!$E4139,nASIG,DATOS!$I4139,nEVAL,"EX")=0),0))))</f>
      </c>
      <c r="H4139">
        <f>IF(DATOS!$G4139&lt;&gt;"EX",0,--(COUNTIFS(nNIA,DATOS!$A4139,nCURSO,DATOS!$D4139,nESPEC,DATOS!$E4139,nASIG,DATOS!$I4139,nEVAL,"OR")=0))</f>
      </c>
      <c r="I4139">
        <f>IF(DATOS!$I4139="","",IFERROR(VLOOKUP(DATOS!$I4139,CONFIG_ASIGNATURAS!$B$2:$J$91,9,FALSE()),""))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IF(DATOS!$A4140="",0,IF(CONFIG_METADATA!$B$4&lt;&gt;"OR+EX",--(DATOS!$G4140=CONFIG_METADATA!$B$4),IF(DATOS!$G4140="EX",1,IF(DATOS!$G4140="OR",--(COUNTIFS(nNIA,DATOS!$A4140,nCURSO,DATOS!$D4140,nESPEC,DATOS!$E4140,nASIG,DATOS!$I4140,nEVAL,"EX")=0),0))))</f>
      </c>
      <c r="H4140">
        <f>IF(DATOS!$G4140&lt;&gt;"EX",0,--(COUNTIFS(nNIA,DATOS!$A4140,nCURSO,DATOS!$D4140,nESPEC,DATOS!$E4140,nASIG,DATOS!$I4140,nEVAL,"OR")=0))</f>
      </c>
      <c r="I4140">
        <f>IF(DATOS!$I4140="","",IFERROR(VLOOKUP(DATOS!$I4140,CONFIG_ASIGNATURAS!$B$2:$J$91,9,FALSE()),""))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IF(DATOS!$A4141="",0,IF(CONFIG_METADATA!$B$4&lt;&gt;"OR+EX",--(DATOS!$G4141=CONFIG_METADATA!$B$4),IF(DATOS!$G4141="EX",1,IF(DATOS!$G4141="OR",--(COUNTIFS(nNIA,DATOS!$A4141,nCURSO,DATOS!$D4141,nESPEC,DATOS!$E4141,nASIG,DATOS!$I4141,nEVAL,"EX")=0),0))))</f>
      </c>
      <c r="H4141">
        <f>IF(DATOS!$G4141&lt;&gt;"EX",0,--(COUNTIFS(nNIA,DATOS!$A4141,nCURSO,DATOS!$D4141,nESPEC,DATOS!$E4141,nASIG,DATOS!$I4141,nEVAL,"OR")=0))</f>
      </c>
      <c r="I4141">
        <f>IF(DATOS!$I4141="","",IFERROR(VLOOKUP(DATOS!$I4141,CONFIG_ASIGNATURAS!$B$2:$J$91,9,FALSE()),""))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IF(DATOS!$A4142="",0,IF(CONFIG_METADATA!$B$4&lt;&gt;"OR+EX",--(DATOS!$G4142=CONFIG_METADATA!$B$4),IF(DATOS!$G4142="EX",1,IF(DATOS!$G4142="OR",--(COUNTIFS(nNIA,DATOS!$A4142,nCURSO,DATOS!$D4142,nESPEC,DATOS!$E4142,nASIG,DATOS!$I4142,nEVAL,"EX")=0),0))))</f>
      </c>
      <c r="H4142">
        <f>IF(DATOS!$G4142&lt;&gt;"EX",0,--(COUNTIFS(nNIA,DATOS!$A4142,nCURSO,DATOS!$D4142,nESPEC,DATOS!$E4142,nASIG,DATOS!$I4142,nEVAL,"OR")=0))</f>
      </c>
      <c r="I4142">
        <f>IF(DATOS!$I4142="","",IFERROR(VLOOKUP(DATOS!$I4142,CONFIG_ASIGNATURAS!$B$2:$J$91,9,FALSE()),""))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IF(DATOS!$A4143="",0,IF(CONFIG_METADATA!$B$4&lt;&gt;"OR+EX",--(DATOS!$G4143=CONFIG_METADATA!$B$4),IF(DATOS!$G4143="EX",1,IF(DATOS!$G4143="OR",--(COUNTIFS(nNIA,DATOS!$A4143,nCURSO,DATOS!$D4143,nESPEC,DATOS!$E4143,nASIG,DATOS!$I4143,nEVAL,"EX")=0),0))))</f>
      </c>
      <c r="H4143">
        <f>IF(DATOS!$G4143&lt;&gt;"EX",0,--(COUNTIFS(nNIA,DATOS!$A4143,nCURSO,DATOS!$D4143,nESPEC,DATOS!$E4143,nASIG,DATOS!$I4143,nEVAL,"OR")=0))</f>
      </c>
      <c r="I4143">
        <f>IF(DATOS!$I4143="","",IFERROR(VLOOKUP(DATOS!$I4143,CONFIG_ASIGNATURAS!$B$2:$J$91,9,FALSE()),""))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IF(DATOS!$A4144="",0,IF(CONFIG_METADATA!$B$4&lt;&gt;"OR+EX",--(DATOS!$G4144=CONFIG_METADATA!$B$4),IF(DATOS!$G4144="EX",1,IF(DATOS!$G4144="OR",--(COUNTIFS(nNIA,DATOS!$A4144,nCURSO,DATOS!$D4144,nESPEC,DATOS!$E4144,nASIG,DATOS!$I4144,nEVAL,"EX")=0),0))))</f>
      </c>
      <c r="H4144">
        <f>IF(DATOS!$G4144&lt;&gt;"EX",0,--(COUNTIFS(nNIA,DATOS!$A4144,nCURSO,DATOS!$D4144,nESPEC,DATOS!$E4144,nASIG,DATOS!$I4144,nEVAL,"OR")=0))</f>
      </c>
      <c r="I4144">
        <f>IF(DATOS!$I4144="","",IFERROR(VLOOKUP(DATOS!$I4144,CONFIG_ASIGNATURAS!$B$2:$J$91,9,FALSE()),""))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IF(DATOS!$A4145="",0,IF(CONFIG_METADATA!$B$4&lt;&gt;"OR+EX",--(DATOS!$G4145=CONFIG_METADATA!$B$4),IF(DATOS!$G4145="EX",1,IF(DATOS!$G4145="OR",--(COUNTIFS(nNIA,DATOS!$A4145,nCURSO,DATOS!$D4145,nESPEC,DATOS!$E4145,nASIG,DATOS!$I4145,nEVAL,"EX")=0),0))))</f>
      </c>
      <c r="H4145">
        <f>IF(DATOS!$G4145&lt;&gt;"EX",0,--(COUNTIFS(nNIA,DATOS!$A4145,nCURSO,DATOS!$D4145,nESPEC,DATOS!$E4145,nASIG,DATOS!$I4145,nEVAL,"OR")=0))</f>
      </c>
      <c r="I4145">
        <f>IF(DATOS!$I4145="","",IFERROR(VLOOKUP(DATOS!$I4145,CONFIG_ASIGNATURAS!$B$2:$J$91,9,FALSE()),""))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IF(DATOS!$A4146="",0,IF(CONFIG_METADATA!$B$4&lt;&gt;"OR+EX",--(DATOS!$G4146=CONFIG_METADATA!$B$4),IF(DATOS!$G4146="EX",1,IF(DATOS!$G4146="OR",--(COUNTIFS(nNIA,DATOS!$A4146,nCURSO,DATOS!$D4146,nESPEC,DATOS!$E4146,nASIG,DATOS!$I4146,nEVAL,"EX")=0),0))))</f>
      </c>
      <c r="H4146">
        <f>IF(DATOS!$G4146&lt;&gt;"EX",0,--(COUNTIFS(nNIA,DATOS!$A4146,nCURSO,DATOS!$D4146,nESPEC,DATOS!$E4146,nASIG,DATOS!$I4146,nEVAL,"OR")=0))</f>
      </c>
      <c r="I4146">
        <f>IF(DATOS!$I4146="","",IFERROR(VLOOKUP(DATOS!$I4146,CONFIG_ASIGNATURAS!$B$2:$J$91,9,FALSE()),""))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IF(DATOS!$A4147="",0,IF(CONFIG_METADATA!$B$4&lt;&gt;"OR+EX",--(DATOS!$G4147=CONFIG_METADATA!$B$4),IF(DATOS!$G4147="EX",1,IF(DATOS!$G4147="OR",--(COUNTIFS(nNIA,DATOS!$A4147,nCURSO,DATOS!$D4147,nESPEC,DATOS!$E4147,nASIG,DATOS!$I4147,nEVAL,"EX")=0),0))))</f>
      </c>
      <c r="H4147">
        <f>IF(DATOS!$G4147&lt;&gt;"EX",0,--(COUNTIFS(nNIA,DATOS!$A4147,nCURSO,DATOS!$D4147,nESPEC,DATOS!$E4147,nASIG,DATOS!$I4147,nEVAL,"OR")=0))</f>
      </c>
      <c r="I4147">
        <f>IF(DATOS!$I4147="","",IFERROR(VLOOKUP(DATOS!$I4147,CONFIG_ASIGNATURAS!$B$2:$J$91,9,FALSE()),""))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IF(DATOS!$A4148="",0,IF(CONFIG_METADATA!$B$4&lt;&gt;"OR+EX",--(DATOS!$G4148=CONFIG_METADATA!$B$4),IF(DATOS!$G4148="EX",1,IF(DATOS!$G4148="OR",--(COUNTIFS(nNIA,DATOS!$A4148,nCURSO,DATOS!$D4148,nESPEC,DATOS!$E4148,nASIG,DATOS!$I4148,nEVAL,"EX")=0),0))))</f>
      </c>
      <c r="H4148">
        <f>IF(DATOS!$G4148&lt;&gt;"EX",0,--(COUNTIFS(nNIA,DATOS!$A4148,nCURSO,DATOS!$D4148,nESPEC,DATOS!$E4148,nASIG,DATOS!$I4148,nEVAL,"OR")=0))</f>
      </c>
      <c r="I4148">
        <f>IF(DATOS!$I4148="","",IFERROR(VLOOKUP(DATOS!$I4148,CONFIG_ASIGNATURAS!$B$2:$J$91,9,FALSE()),""))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IF(DATOS!$A4149="",0,IF(CONFIG_METADATA!$B$4&lt;&gt;"OR+EX",--(DATOS!$G4149=CONFIG_METADATA!$B$4),IF(DATOS!$G4149="EX",1,IF(DATOS!$G4149="OR",--(COUNTIFS(nNIA,DATOS!$A4149,nCURSO,DATOS!$D4149,nESPEC,DATOS!$E4149,nASIG,DATOS!$I4149,nEVAL,"EX")=0),0))))</f>
      </c>
      <c r="H4149">
        <f>IF(DATOS!$G4149&lt;&gt;"EX",0,--(COUNTIFS(nNIA,DATOS!$A4149,nCURSO,DATOS!$D4149,nESPEC,DATOS!$E4149,nASIG,DATOS!$I4149,nEVAL,"OR")=0))</f>
      </c>
      <c r="I4149">
        <f>IF(DATOS!$I4149="","",IFERROR(VLOOKUP(DATOS!$I4149,CONFIG_ASIGNATURAS!$B$2:$J$91,9,FALSE()),""))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IF(DATOS!$A4150="",0,IF(CONFIG_METADATA!$B$4&lt;&gt;"OR+EX",--(DATOS!$G4150=CONFIG_METADATA!$B$4),IF(DATOS!$G4150="EX",1,IF(DATOS!$G4150="OR",--(COUNTIFS(nNIA,DATOS!$A4150,nCURSO,DATOS!$D4150,nESPEC,DATOS!$E4150,nASIG,DATOS!$I4150,nEVAL,"EX")=0),0))))</f>
      </c>
      <c r="H4150">
        <f>IF(DATOS!$G4150&lt;&gt;"EX",0,--(COUNTIFS(nNIA,DATOS!$A4150,nCURSO,DATOS!$D4150,nESPEC,DATOS!$E4150,nASIG,DATOS!$I4150,nEVAL,"OR")=0))</f>
      </c>
      <c r="I4150">
        <f>IF(DATOS!$I4150="","",IFERROR(VLOOKUP(DATOS!$I4150,CONFIG_ASIGNATURAS!$B$2:$J$91,9,FALSE()),""))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IF(DATOS!$A4151="",0,IF(CONFIG_METADATA!$B$4&lt;&gt;"OR+EX",--(DATOS!$G4151=CONFIG_METADATA!$B$4),IF(DATOS!$G4151="EX",1,IF(DATOS!$G4151="OR",--(COUNTIFS(nNIA,DATOS!$A4151,nCURSO,DATOS!$D4151,nESPEC,DATOS!$E4151,nASIG,DATOS!$I4151,nEVAL,"EX")=0),0))))</f>
      </c>
      <c r="H4151">
        <f>IF(DATOS!$G4151&lt;&gt;"EX",0,--(COUNTIFS(nNIA,DATOS!$A4151,nCURSO,DATOS!$D4151,nESPEC,DATOS!$E4151,nASIG,DATOS!$I4151,nEVAL,"OR")=0))</f>
      </c>
      <c r="I4151">
        <f>IF(DATOS!$I4151="","",IFERROR(VLOOKUP(DATOS!$I4151,CONFIG_ASIGNATURAS!$B$2:$J$91,9,FALSE()),""))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IF(DATOS!$A4152="",0,IF(CONFIG_METADATA!$B$4&lt;&gt;"OR+EX",--(DATOS!$G4152=CONFIG_METADATA!$B$4),IF(DATOS!$G4152="EX",1,IF(DATOS!$G4152="OR",--(COUNTIFS(nNIA,DATOS!$A4152,nCURSO,DATOS!$D4152,nESPEC,DATOS!$E4152,nASIG,DATOS!$I4152,nEVAL,"EX")=0),0))))</f>
      </c>
      <c r="H4152">
        <f>IF(DATOS!$G4152&lt;&gt;"EX",0,--(COUNTIFS(nNIA,DATOS!$A4152,nCURSO,DATOS!$D4152,nESPEC,DATOS!$E4152,nASIG,DATOS!$I4152,nEVAL,"OR")=0))</f>
      </c>
      <c r="I4152">
        <f>IF(DATOS!$I4152="","",IFERROR(VLOOKUP(DATOS!$I4152,CONFIG_ASIGNATURAS!$B$2:$J$91,9,FALSE()),""))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IF(DATOS!$A4153="",0,IF(CONFIG_METADATA!$B$4&lt;&gt;"OR+EX",--(DATOS!$G4153=CONFIG_METADATA!$B$4),IF(DATOS!$G4153="EX",1,IF(DATOS!$G4153="OR",--(COUNTIFS(nNIA,DATOS!$A4153,nCURSO,DATOS!$D4153,nESPEC,DATOS!$E4153,nASIG,DATOS!$I4153,nEVAL,"EX")=0),0))))</f>
      </c>
      <c r="H4153">
        <f>IF(DATOS!$G4153&lt;&gt;"EX",0,--(COUNTIFS(nNIA,DATOS!$A4153,nCURSO,DATOS!$D4153,nESPEC,DATOS!$E4153,nASIG,DATOS!$I4153,nEVAL,"OR")=0))</f>
      </c>
      <c r="I4153">
        <f>IF(DATOS!$I4153="","",IFERROR(VLOOKUP(DATOS!$I4153,CONFIG_ASIGNATURAS!$B$2:$J$91,9,FALSE()),""))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IF(DATOS!$A4154="",0,IF(CONFIG_METADATA!$B$4&lt;&gt;"OR+EX",--(DATOS!$G4154=CONFIG_METADATA!$B$4),IF(DATOS!$G4154="EX",1,IF(DATOS!$G4154="OR",--(COUNTIFS(nNIA,DATOS!$A4154,nCURSO,DATOS!$D4154,nESPEC,DATOS!$E4154,nASIG,DATOS!$I4154,nEVAL,"EX")=0),0))))</f>
      </c>
      <c r="H4154">
        <f>IF(DATOS!$G4154&lt;&gt;"EX",0,--(COUNTIFS(nNIA,DATOS!$A4154,nCURSO,DATOS!$D4154,nESPEC,DATOS!$E4154,nASIG,DATOS!$I4154,nEVAL,"OR")=0))</f>
      </c>
      <c r="I4154">
        <f>IF(DATOS!$I4154="","",IFERROR(VLOOKUP(DATOS!$I4154,CONFIG_ASIGNATURAS!$B$2:$J$91,9,FALSE()),""))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IF(DATOS!$A4155="",0,IF(CONFIG_METADATA!$B$4&lt;&gt;"OR+EX",--(DATOS!$G4155=CONFIG_METADATA!$B$4),IF(DATOS!$G4155="EX",1,IF(DATOS!$G4155="OR",--(COUNTIFS(nNIA,DATOS!$A4155,nCURSO,DATOS!$D4155,nESPEC,DATOS!$E4155,nASIG,DATOS!$I4155,nEVAL,"EX")=0),0))))</f>
      </c>
      <c r="H4155">
        <f>IF(DATOS!$G4155&lt;&gt;"EX",0,--(COUNTIFS(nNIA,DATOS!$A4155,nCURSO,DATOS!$D4155,nESPEC,DATOS!$E4155,nASIG,DATOS!$I4155,nEVAL,"OR")=0))</f>
      </c>
      <c r="I4155">
        <f>IF(DATOS!$I4155="","",IFERROR(VLOOKUP(DATOS!$I4155,CONFIG_ASIGNATURAS!$B$2:$J$91,9,FALSE()),""))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IF(DATOS!$A4156="",0,IF(CONFIG_METADATA!$B$4&lt;&gt;"OR+EX",--(DATOS!$G4156=CONFIG_METADATA!$B$4),IF(DATOS!$G4156="EX",1,IF(DATOS!$G4156="OR",--(COUNTIFS(nNIA,DATOS!$A4156,nCURSO,DATOS!$D4156,nESPEC,DATOS!$E4156,nASIG,DATOS!$I4156,nEVAL,"EX")=0),0))))</f>
      </c>
      <c r="H4156">
        <f>IF(DATOS!$G4156&lt;&gt;"EX",0,--(COUNTIFS(nNIA,DATOS!$A4156,nCURSO,DATOS!$D4156,nESPEC,DATOS!$E4156,nASIG,DATOS!$I4156,nEVAL,"OR")=0))</f>
      </c>
      <c r="I4156">
        <f>IF(DATOS!$I4156="","",IFERROR(VLOOKUP(DATOS!$I4156,CONFIG_ASIGNATURAS!$B$2:$J$91,9,FALSE()),""))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IF(DATOS!$A4157="",0,IF(CONFIG_METADATA!$B$4&lt;&gt;"OR+EX",--(DATOS!$G4157=CONFIG_METADATA!$B$4),IF(DATOS!$G4157="EX",1,IF(DATOS!$G4157="OR",--(COUNTIFS(nNIA,DATOS!$A4157,nCURSO,DATOS!$D4157,nESPEC,DATOS!$E4157,nASIG,DATOS!$I4157,nEVAL,"EX")=0),0))))</f>
      </c>
      <c r="H4157">
        <f>IF(DATOS!$G4157&lt;&gt;"EX",0,--(COUNTIFS(nNIA,DATOS!$A4157,nCURSO,DATOS!$D4157,nESPEC,DATOS!$E4157,nASIG,DATOS!$I4157,nEVAL,"OR")=0))</f>
      </c>
      <c r="I4157">
        <f>IF(DATOS!$I4157="","",IFERROR(VLOOKUP(DATOS!$I4157,CONFIG_ASIGNATURAS!$B$2:$J$91,9,FALSE()),""))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IF(DATOS!$A4158="",0,IF(CONFIG_METADATA!$B$4&lt;&gt;"OR+EX",--(DATOS!$G4158=CONFIG_METADATA!$B$4),IF(DATOS!$G4158="EX",1,IF(DATOS!$G4158="OR",--(COUNTIFS(nNIA,DATOS!$A4158,nCURSO,DATOS!$D4158,nESPEC,DATOS!$E4158,nASIG,DATOS!$I4158,nEVAL,"EX")=0),0))))</f>
      </c>
      <c r="H4158">
        <f>IF(DATOS!$G4158&lt;&gt;"EX",0,--(COUNTIFS(nNIA,DATOS!$A4158,nCURSO,DATOS!$D4158,nESPEC,DATOS!$E4158,nASIG,DATOS!$I4158,nEVAL,"OR")=0))</f>
      </c>
      <c r="I4158">
        <f>IF(DATOS!$I4158="","",IFERROR(VLOOKUP(DATOS!$I4158,CONFIG_ASIGNATURAS!$B$2:$J$91,9,FALSE()),""))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IF(DATOS!$A4159="",0,IF(CONFIG_METADATA!$B$4&lt;&gt;"OR+EX",--(DATOS!$G4159=CONFIG_METADATA!$B$4),IF(DATOS!$G4159="EX",1,IF(DATOS!$G4159="OR",--(COUNTIFS(nNIA,DATOS!$A4159,nCURSO,DATOS!$D4159,nESPEC,DATOS!$E4159,nASIG,DATOS!$I4159,nEVAL,"EX")=0),0))))</f>
      </c>
      <c r="H4159">
        <f>IF(DATOS!$G4159&lt;&gt;"EX",0,--(COUNTIFS(nNIA,DATOS!$A4159,nCURSO,DATOS!$D4159,nESPEC,DATOS!$E4159,nASIG,DATOS!$I4159,nEVAL,"OR")=0))</f>
      </c>
      <c r="I4159">
        <f>IF(DATOS!$I4159="","",IFERROR(VLOOKUP(DATOS!$I4159,CONFIG_ASIGNATURAS!$B$2:$J$91,9,FALSE()),""))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IF(DATOS!$A4160="",0,IF(CONFIG_METADATA!$B$4&lt;&gt;"OR+EX",--(DATOS!$G4160=CONFIG_METADATA!$B$4),IF(DATOS!$G4160="EX",1,IF(DATOS!$G4160="OR",--(COUNTIFS(nNIA,DATOS!$A4160,nCURSO,DATOS!$D4160,nESPEC,DATOS!$E4160,nASIG,DATOS!$I4160,nEVAL,"EX")=0),0))))</f>
      </c>
      <c r="H4160">
        <f>IF(DATOS!$G4160&lt;&gt;"EX",0,--(COUNTIFS(nNIA,DATOS!$A4160,nCURSO,DATOS!$D4160,nESPEC,DATOS!$E4160,nASIG,DATOS!$I4160,nEVAL,"OR")=0))</f>
      </c>
      <c r="I4160">
        <f>IF(DATOS!$I4160="","",IFERROR(VLOOKUP(DATOS!$I4160,CONFIG_ASIGNATURAS!$B$2:$J$91,9,FALSE()),""))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IF(DATOS!$A4161="",0,IF(CONFIG_METADATA!$B$4&lt;&gt;"OR+EX",--(DATOS!$G4161=CONFIG_METADATA!$B$4),IF(DATOS!$G4161="EX",1,IF(DATOS!$G4161="OR",--(COUNTIFS(nNIA,DATOS!$A4161,nCURSO,DATOS!$D4161,nESPEC,DATOS!$E4161,nASIG,DATOS!$I4161,nEVAL,"EX")=0),0))))</f>
      </c>
      <c r="H4161">
        <f>IF(DATOS!$G4161&lt;&gt;"EX",0,--(COUNTIFS(nNIA,DATOS!$A4161,nCURSO,DATOS!$D4161,nESPEC,DATOS!$E4161,nASIG,DATOS!$I4161,nEVAL,"OR")=0))</f>
      </c>
      <c r="I4161">
        <f>IF(DATOS!$I4161="","",IFERROR(VLOOKUP(DATOS!$I4161,CONFIG_ASIGNATURAS!$B$2:$J$91,9,FALSE()),""))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IF(DATOS!$A4162="",0,IF(CONFIG_METADATA!$B$4&lt;&gt;"OR+EX",--(DATOS!$G4162=CONFIG_METADATA!$B$4),IF(DATOS!$G4162="EX",1,IF(DATOS!$G4162="OR",--(COUNTIFS(nNIA,DATOS!$A4162,nCURSO,DATOS!$D4162,nESPEC,DATOS!$E4162,nASIG,DATOS!$I4162,nEVAL,"EX")=0),0))))</f>
      </c>
      <c r="H4162">
        <f>IF(DATOS!$G4162&lt;&gt;"EX",0,--(COUNTIFS(nNIA,DATOS!$A4162,nCURSO,DATOS!$D4162,nESPEC,DATOS!$E4162,nASIG,DATOS!$I4162,nEVAL,"OR")=0))</f>
      </c>
      <c r="I4162">
        <f>IF(DATOS!$I4162="","",IFERROR(VLOOKUP(DATOS!$I4162,CONFIG_ASIGNATURAS!$B$2:$J$91,9,FALSE()),""))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IF(DATOS!$A4163="",0,IF(CONFIG_METADATA!$B$4&lt;&gt;"OR+EX",--(DATOS!$G4163=CONFIG_METADATA!$B$4),IF(DATOS!$G4163="EX",1,IF(DATOS!$G4163="OR",--(COUNTIFS(nNIA,DATOS!$A4163,nCURSO,DATOS!$D4163,nESPEC,DATOS!$E4163,nASIG,DATOS!$I4163,nEVAL,"EX")=0),0))))</f>
      </c>
      <c r="H4163">
        <f>IF(DATOS!$G4163&lt;&gt;"EX",0,--(COUNTIFS(nNIA,DATOS!$A4163,nCURSO,DATOS!$D4163,nESPEC,DATOS!$E4163,nASIG,DATOS!$I4163,nEVAL,"OR")=0))</f>
      </c>
      <c r="I4163">
        <f>IF(DATOS!$I4163="","",IFERROR(VLOOKUP(DATOS!$I4163,CONFIG_ASIGNATURAS!$B$2:$J$91,9,FALSE()),""))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IF(DATOS!$A4164="",0,IF(CONFIG_METADATA!$B$4&lt;&gt;"OR+EX",--(DATOS!$G4164=CONFIG_METADATA!$B$4),IF(DATOS!$G4164="EX",1,IF(DATOS!$G4164="OR",--(COUNTIFS(nNIA,DATOS!$A4164,nCURSO,DATOS!$D4164,nESPEC,DATOS!$E4164,nASIG,DATOS!$I4164,nEVAL,"EX")=0),0))))</f>
      </c>
      <c r="H4164">
        <f>IF(DATOS!$G4164&lt;&gt;"EX",0,--(COUNTIFS(nNIA,DATOS!$A4164,nCURSO,DATOS!$D4164,nESPEC,DATOS!$E4164,nASIG,DATOS!$I4164,nEVAL,"OR")=0))</f>
      </c>
      <c r="I4164">
        <f>IF(DATOS!$I4164="","",IFERROR(VLOOKUP(DATOS!$I4164,CONFIG_ASIGNATURAS!$B$2:$J$91,9,FALSE()),""))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IF(DATOS!$A4165="",0,IF(CONFIG_METADATA!$B$4&lt;&gt;"OR+EX",--(DATOS!$G4165=CONFIG_METADATA!$B$4),IF(DATOS!$G4165="EX",1,IF(DATOS!$G4165="OR",--(COUNTIFS(nNIA,DATOS!$A4165,nCURSO,DATOS!$D4165,nESPEC,DATOS!$E4165,nASIG,DATOS!$I4165,nEVAL,"EX")=0),0))))</f>
      </c>
      <c r="H4165">
        <f>IF(DATOS!$G4165&lt;&gt;"EX",0,--(COUNTIFS(nNIA,DATOS!$A4165,nCURSO,DATOS!$D4165,nESPEC,DATOS!$E4165,nASIG,DATOS!$I4165,nEVAL,"OR")=0))</f>
      </c>
      <c r="I4165">
        <f>IF(DATOS!$I4165="","",IFERROR(VLOOKUP(DATOS!$I4165,CONFIG_ASIGNATURAS!$B$2:$J$91,9,FALSE()),""))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IF(DATOS!$A4166="",0,IF(CONFIG_METADATA!$B$4&lt;&gt;"OR+EX",--(DATOS!$G4166=CONFIG_METADATA!$B$4),IF(DATOS!$G4166="EX",1,IF(DATOS!$G4166="OR",--(COUNTIFS(nNIA,DATOS!$A4166,nCURSO,DATOS!$D4166,nESPEC,DATOS!$E4166,nASIG,DATOS!$I4166,nEVAL,"EX")=0),0))))</f>
      </c>
      <c r="H4166">
        <f>IF(DATOS!$G4166&lt;&gt;"EX",0,--(COUNTIFS(nNIA,DATOS!$A4166,nCURSO,DATOS!$D4166,nESPEC,DATOS!$E4166,nASIG,DATOS!$I4166,nEVAL,"OR")=0))</f>
      </c>
      <c r="I4166">
        <f>IF(DATOS!$I4166="","",IFERROR(VLOOKUP(DATOS!$I4166,CONFIG_ASIGNATURAS!$B$2:$J$91,9,FALSE()),""))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IF(DATOS!$A4167="",0,IF(CONFIG_METADATA!$B$4&lt;&gt;"OR+EX",--(DATOS!$G4167=CONFIG_METADATA!$B$4),IF(DATOS!$G4167="EX",1,IF(DATOS!$G4167="OR",--(COUNTIFS(nNIA,DATOS!$A4167,nCURSO,DATOS!$D4167,nESPEC,DATOS!$E4167,nASIG,DATOS!$I4167,nEVAL,"EX")=0),0))))</f>
      </c>
      <c r="H4167">
        <f>IF(DATOS!$G4167&lt;&gt;"EX",0,--(COUNTIFS(nNIA,DATOS!$A4167,nCURSO,DATOS!$D4167,nESPEC,DATOS!$E4167,nASIG,DATOS!$I4167,nEVAL,"OR")=0))</f>
      </c>
      <c r="I4167">
        <f>IF(DATOS!$I4167="","",IFERROR(VLOOKUP(DATOS!$I4167,CONFIG_ASIGNATURAS!$B$2:$J$91,9,FALSE()),""))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IF(DATOS!$A4168="",0,IF(CONFIG_METADATA!$B$4&lt;&gt;"OR+EX",--(DATOS!$G4168=CONFIG_METADATA!$B$4),IF(DATOS!$G4168="EX",1,IF(DATOS!$G4168="OR",--(COUNTIFS(nNIA,DATOS!$A4168,nCURSO,DATOS!$D4168,nESPEC,DATOS!$E4168,nASIG,DATOS!$I4168,nEVAL,"EX")=0),0))))</f>
      </c>
      <c r="H4168">
        <f>IF(DATOS!$G4168&lt;&gt;"EX",0,--(COUNTIFS(nNIA,DATOS!$A4168,nCURSO,DATOS!$D4168,nESPEC,DATOS!$E4168,nASIG,DATOS!$I4168,nEVAL,"OR")=0))</f>
      </c>
      <c r="I4168">
        <f>IF(DATOS!$I4168="","",IFERROR(VLOOKUP(DATOS!$I4168,CONFIG_ASIGNATURAS!$B$2:$J$91,9,FALSE()),""))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IF(DATOS!$A4169="",0,IF(CONFIG_METADATA!$B$4&lt;&gt;"OR+EX",--(DATOS!$G4169=CONFIG_METADATA!$B$4),IF(DATOS!$G4169="EX",1,IF(DATOS!$G4169="OR",--(COUNTIFS(nNIA,DATOS!$A4169,nCURSO,DATOS!$D4169,nESPEC,DATOS!$E4169,nASIG,DATOS!$I4169,nEVAL,"EX")=0),0))))</f>
      </c>
      <c r="H4169">
        <f>IF(DATOS!$G4169&lt;&gt;"EX",0,--(COUNTIFS(nNIA,DATOS!$A4169,nCURSO,DATOS!$D4169,nESPEC,DATOS!$E4169,nASIG,DATOS!$I4169,nEVAL,"OR")=0))</f>
      </c>
      <c r="I4169">
        <f>IF(DATOS!$I4169="","",IFERROR(VLOOKUP(DATOS!$I4169,CONFIG_ASIGNATURAS!$B$2:$J$91,9,FALSE()),""))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IF(DATOS!$A4170="",0,IF(CONFIG_METADATA!$B$4&lt;&gt;"OR+EX",--(DATOS!$G4170=CONFIG_METADATA!$B$4),IF(DATOS!$G4170="EX",1,IF(DATOS!$G4170="OR",--(COUNTIFS(nNIA,DATOS!$A4170,nCURSO,DATOS!$D4170,nESPEC,DATOS!$E4170,nASIG,DATOS!$I4170,nEVAL,"EX")=0),0))))</f>
      </c>
      <c r="H4170">
        <f>IF(DATOS!$G4170&lt;&gt;"EX",0,--(COUNTIFS(nNIA,DATOS!$A4170,nCURSO,DATOS!$D4170,nESPEC,DATOS!$E4170,nASIG,DATOS!$I4170,nEVAL,"OR")=0))</f>
      </c>
      <c r="I4170">
        <f>IF(DATOS!$I4170="","",IFERROR(VLOOKUP(DATOS!$I4170,CONFIG_ASIGNATURAS!$B$2:$J$91,9,FALSE()),""))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IF(DATOS!$A4171="",0,IF(CONFIG_METADATA!$B$4&lt;&gt;"OR+EX",--(DATOS!$G4171=CONFIG_METADATA!$B$4),IF(DATOS!$G4171="EX",1,IF(DATOS!$G4171="OR",--(COUNTIFS(nNIA,DATOS!$A4171,nCURSO,DATOS!$D4171,nESPEC,DATOS!$E4171,nASIG,DATOS!$I4171,nEVAL,"EX")=0),0))))</f>
      </c>
      <c r="H4171">
        <f>IF(DATOS!$G4171&lt;&gt;"EX",0,--(COUNTIFS(nNIA,DATOS!$A4171,nCURSO,DATOS!$D4171,nESPEC,DATOS!$E4171,nASIG,DATOS!$I4171,nEVAL,"OR")=0))</f>
      </c>
      <c r="I4171">
        <f>IF(DATOS!$I4171="","",IFERROR(VLOOKUP(DATOS!$I4171,CONFIG_ASIGNATURAS!$B$2:$J$91,9,FALSE()),""))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IF(DATOS!$A4172="",0,IF(CONFIG_METADATA!$B$4&lt;&gt;"OR+EX",--(DATOS!$G4172=CONFIG_METADATA!$B$4),IF(DATOS!$G4172="EX",1,IF(DATOS!$G4172="OR",--(COUNTIFS(nNIA,DATOS!$A4172,nCURSO,DATOS!$D4172,nESPEC,DATOS!$E4172,nASIG,DATOS!$I4172,nEVAL,"EX")=0),0))))</f>
      </c>
      <c r="H4172">
        <f>IF(DATOS!$G4172&lt;&gt;"EX",0,--(COUNTIFS(nNIA,DATOS!$A4172,nCURSO,DATOS!$D4172,nESPEC,DATOS!$E4172,nASIG,DATOS!$I4172,nEVAL,"OR")=0))</f>
      </c>
      <c r="I4172">
        <f>IF(DATOS!$I4172="","",IFERROR(VLOOKUP(DATOS!$I4172,CONFIG_ASIGNATURAS!$B$2:$J$91,9,FALSE()),""))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IF(DATOS!$A4173="",0,IF(CONFIG_METADATA!$B$4&lt;&gt;"OR+EX",--(DATOS!$G4173=CONFIG_METADATA!$B$4),IF(DATOS!$G4173="EX",1,IF(DATOS!$G4173="OR",--(COUNTIFS(nNIA,DATOS!$A4173,nCURSO,DATOS!$D4173,nESPEC,DATOS!$E4173,nASIG,DATOS!$I4173,nEVAL,"EX")=0),0))))</f>
      </c>
      <c r="H4173">
        <f>IF(DATOS!$G4173&lt;&gt;"EX",0,--(COUNTIFS(nNIA,DATOS!$A4173,nCURSO,DATOS!$D4173,nESPEC,DATOS!$E4173,nASIG,DATOS!$I4173,nEVAL,"OR")=0))</f>
      </c>
      <c r="I4173">
        <f>IF(DATOS!$I4173="","",IFERROR(VLOOKUP(DATOS!$I4173,CONFIG_ASIGNATURAS!$B$2:$J$91,9,FALSE()),""))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IF(DATOS!$A4174="",0,IF(CONFIG_METADATA!$B$4&lt;&gt;"OR+EX",--(DATOS!$G4174=CONFIG_METADATA!$B$4),IF(DATOS!$G4174="EX",1,IF(DATOS!$G4174="OR",--(COUNTIFS(nNIA,DATOS!$A4174,nCURSO,DATOS!$D4174,nESPEC,DATOS!$E4174,nASIG,DATOS!$I4174,nEVAL,"EX")=0),0))))</f>
      </c>
      <c r="H4174">
        <f>IF(DATOS!$G4174&lt;&gt;"EX",0,--(COUNTIFS(nNIA,DATOS!$A4174,nCURSO,DATOS!$D4174,nESPEC,DATOS!$E4174,nASIG,DATOS!$I4174,nEVAL,"OR")=0))</f>
      </c>
      <c r="I4174">
        <f>IF(DATOS!$I4174="","",IFERROR(VLOOKUP(DATOS!$I4174,CONFIG_ASIGNATURAS!$B$2:$J$91,9,FALSE()),""))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IF(DATOS!$A4175="",0,IF(CONFIG_METADATA!$B$4&lt;&gt;"OR+EX",--(DATOS!$G4175=CONFIG_METADATA!$B$4),IF(DATOS!$G4175="EX",1,IF(DATOS!$G4175="OR",--(COUNTIFS(nNIA,DATOS!$A4175,nCURSO,DATOS!$D4175,nESPEC,DATOS!$E4175,nASIG,DATOS!$I4175,nEVAL,"EX")=0),0))))</f>
      </c>
      <c r="H4175">
        <f>IF(DATOS!$G4175&lt;&gt;"EX",0,--(COUNTIFS(nNIA,DATOS!$A4175,nCURSO,DATOS!$D4175,nESPEC,DATOS!$E4175,nASIG,DATOS!$I4175,nEVAL,"OR")=0))</f>
      </c>
      <c r="I4175">
        <f>IF(DATOS!$I4175="","",IFERROR(VLOOKUP(DATOS!$I4175,CONFIG_ASIGNATURAS!$B$2:$J$91,9,FALSE()),""))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IF(DATOS!$A4176="",0,IF(CONFIG_METADATA!$B$4&lt;&gt;"OR+EX",--(DATOS!$G4176=CONFIG_METADATA!$B$4),IF(DATOS!$G4176="EX",1,IF(DATOS!$G4176="OR",--(COUNTIFS(nNIA,DATOS!$A4176,nCURSO,DATOS!$D4176,nESPEC,DATOS!$E4176,nASIG,DATOS!$I4176,nEVAL,"EX")=0),0))))</f>
      </c>
      <c r="H4176">
        <f>IF(DATOS!$G4176&lt;&gt;"EX",0,--(COUNTIFS(nNIA,DATOS!$A4176,nCURSO,DATOS!$D4176,nESPEC,DATOS!$E4176,nASIG,DATOS!$I4176,nEVAL,"OR")=0))</f>
      </c>
      <c r="I4176">
        <f>IF(DATOS!$I4176="","",IFERROR(VLOOKUP(DATOS!$I4176,CONFIG_ASIGNATURAS!$B$2:$J$91,9,FALSE()),""))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IF(DATOS!$A4177="",0,IF(CONFIG_METADATA!$B$4&lt;&gt;"OR+EX",--(DATOS!$G4177=CONFIG_METADATA!$B$4),IF(DATOS!$G4177="EX",1,IF(DATOS!$G4177="OR",--(COUNTIFS(nNIA,DATOS!$A4177,nCURSO,DATOS!$D4177,nESPEC,DATOS!$E4177,nASIG,DATOS!$I4177,nEVAL,"EX")=0),0))))</f>
      </c>
      <c r="H4177">
        <f>IF(DATOS!$G4177&lt;&gt;"EX",0,--(COUNTIFS(nNIA,DATOS!$A4177,nCURSO,DATOS!$D4177,nESPEC,DATOS!$E4177,nASIG,DATOS!$I4177,nEVAL,"OR")=0))</f>
      </c>
      <c r="I4177">
        <f>IF(DATOS!$I4177="","",IFERROR(VLOOKUP(DATOS!$I4177,CONFIG_ASIGNATURAS!$B$2:$J$91,9,FALSE()),""))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IF(DATOS!$A4178="",0,IF(CONFIG_METADATA!$B$4&lt;&gt;"OR+EX",--(DATOS!$G4178=CONFIG_METADATA!$B$4),IF(DATOS!$G4178="EX",1,IF(DATOS!$G4178="OR",--(COUNTIFS(nNIA,DATOS!$A4178,nCURSO,DATOS!$D4178,nESPEC,DATOS!$E4178,nASIG,DATOS!$I4178,nEVAL,"EX")=0),0))))</f>
      </c>
      <c r="H4178">
        <f>IF(DATOS!$G4178&lt;&gt;"EX",0,--(COUNTIFS(nNIA,DATOS!$A4178,nCURSO,DATOS!$D4178,nESPEC,DATOS!$E4178,nASIG,DATOS!$I4178,nEVAL,"OR")=0))</f>
      </c>
      <c r="I4178">
        <f>IF(DATOS!$I4178="","",IFERROR(VLOOKUP(DATOS!$I4178,CONFIG_ASIGNATURAS!$B$2:$J$91,9,FALSE()),""))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IF(DATOS!$A4179="",0,IF(CONFIG_METADATA!$B$4&lt;&gt;"OR+EX",--(DATOS!$G4179=CONFIG_METADATA!$B$4),IF(DATOS!$G4179="EX",1,IF(DATOS!$G4179="OR",--(COUNTIFS(nNIA,DATOS!$A4179,nCURSO,DATOS!$D4179,nESPEC,DATOS!$E4179,nASIG,DATOS!$I4179,nEVAL,"EX")=0),0))))</f>
      </c>
      <c r="H4179">
        <f>IF(DATOS!$G4179&lt;&gt;"EX",0,--(COUNTIFS(nNIA,DATOS!$A4179,nCURSO,DATOS!$D4179,nESPEC,DATOS!$E4179,nASIG,DATOS!$I4179,nEVAL,"OR")=0))</f>
      </c>
      <c r="I4179">
        <f>IF(DATOS!$I4179="","",IFERROR(VLOOKUP(DATOS!$I4179,CONFIG_ASIGNATURAS!$B$2:$J$91,9,FALSE()),""))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IF(DATOS!$A4180="",0,IF(CONFIG_METADATA!$B$4&lt;&gt;"OR+EX",--(DATOS!$G4180=CONFIG_METADATA!$B$4),IF(DATOS!$G4180="EX",1,IF(DATOS!$G4180="OR",--(COUNTIFS(nNIA,DATOS!$A4180,nCURSO,DATOS!$D4180,nESPEC,DATOS!$E4180,nASIG,DATOS!$I4180,nEVAL,"EX")=0),0))))</f>
      </c>
      <c r="H4180">
        <f>IF(DATOS!$G4180&lt;&gt;"EX",0,--(COUNTIFS(nNIA,DATOS!$A4180,nCURSO,DATOS!$D4180,nESPEC,DATOS!$E4180,nASIG,DATOS!$I4180,nEVAL,"OR")=0))</f>
      </c>
      <c r="I4180">
        <f>IF(DATOS!$I4180="","",IFERROR(VLOOKUP(DATOS!$I4180,CONFIG_ASIGNATURAS!$B$2:$J$91,9,FALSE()),""))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IF(DATOS!$A4181="",0,IF(CONFIG_METADATA!$B$4&lt;&gt;"OR+EX",--(DATOS!$G4181=CONFIG_METADATA!$B$4),IF(DATOS!$G4181="EX",1,IF(DATOS!$G4181="OR",--(COUNTIFS(nNIA,DATOS!$A4181,nCURSO,DATOS!$D4181,nESPEC,DATOS!$E4181,nASIG,DATOS!$I4181,nEVAL,"EX")=0),0))))</f>
      </c>
      <c r="H4181">
        <f>IF(DATOS!$G4181&lt;&gt;"EX",0,--(COUNTIFS(nNIA,DATOS!$A4181,nCURSO,DATOS!$D4181,nESPEC,DATOS!$E4181,nASIG,DATOS!$I4181,nEVAL,"OR")=0))</f>
      </c>
      <c r="I4181">
        <f>IF(DATOS!$I4181="","",IFERROR(VLOOKUP(DATOS!$I4181,CONFIG_ASIGNATURAS!$B$2:$J$91,9,FALSE()),""))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IF(DATOS!$A4182="",0,IF(CONFIG_METADATA!$B$4&lt;&gt;"OR+EX",--(DATOS!$G4182=CONFIG_METADATA!$B$4),IF(DATOS!$G4182="EX",1,IF(DATOS!$G4182="OR",--(COUNTIFS(nNIA,DATOS!$A4182,nCURSO,DATOS!$D4182,nESPEC,DATOS!$E4182,nASIG,DATOS!$I4182,nEVAL,"EX")=0),0))))</f>
      </c>
      <c r="H4182">
        <f>IF(DATOS!$G4182&lt;&gt;"EX",0,--(COUNTIFS(nNIA,DATOS!$A4182,nCURSO,DATOS!$D4182,nESPEC,DATOS!$E4182,nASIG,DATOS!$I4182,nEVAL,"OR")=0))</f>
      </c>
      <c r="I4182">
        <f>IF(DATOS!$I4182="","",IFERROR(VLOOKUP(DATOS!$I4182,CONFIG_ASIGNATURAS!$B$2:$J$91,9,FALSE()),""))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IF(DATOS!$A4183="",0,IF(CONFIG_METADATA!$B$4&lt;&gt;"OR+EX",--(DATOS!$G4183=CONFIG_METADATA!$B$4),IF(DATOS!$G4183="EX",1,IF(DATOS!$G4183="OR",--(COUNTIFS(nNIA,DATOS!$A4183,nCURSO,DATOS!$D4183,nESPEC,DATOS!$E4183,nASIG,DATOS!$I4183,nEVAL,"EX")=0),0))))</f>
      </c>
      <c r="H4183">
        <f>IF(DATOS!$G4183&lt;&gt;"EX",0,--(COUNTIFS(nNIA,DATOS!$A4183,nCURSO,DATOS!$D4183,nESPEC,DATOS!$E4183,nASIG,DATOS!$I4183,nEVAL,"OR")=0))</f>
      </c>
      <c r="I4183">
        <f>IF(DATOS!$I4183="","",IFERROR(VLOOKUP(DATOS!$I4183,CONFIG_ASIGNATURAS!$B$2:$J$91,9,FALSE()),""))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IF(DATOS!$A4184="",0,IF(CONFIG_METADATA!$B$4&lt;&gt;"OR+EX",--(DATOS!$G4184=CONFIG_METADATA!$B$4),IF(DATOS!$G4184="EX",1,IF(DATOS!$G4184="OR",--(COUNTIFS(nNIA,DATOS!$A4184,nCURSO,DATOS!$D4184,nESPEC,DATOS!$E4184,nASIG,DATOS!$I4184,nEVAL,"EX")=0),0))))</f>
      </c>
      <c r="H4184">
        <f>IF(DATOS!$G4184&lt;&gt;"EX",0,--(COUNTIFS(nNIA,DATOS!$A4184,nCURSO,DATOS!$D4184,nESPEC,DATOS!$E4184,nASIG,DATOS!$I4184,nEVAL,"OR")=0))</f>
      </c>
      <c r="I4184">
        <f>IF(DATOS!$I4184="","",IFERROR(VLOOKUP(DATOS!$I4184,CONFIG_ASIGNATURAS!$B$2:$J$91,9,FALSE()),""))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IF(DATOS!$A4185="",0,IF(CONFIG_METADATA!$B$4&lt;&gt;"OR+EX",--(DATOS!$G4185=CONFIG_METADATA!$B$4),IF(DATOS!$G4185="EX",1,IF(DATOS!$G4185="OR",--(COUNTIFS(nNIA,DATOS!$A4185,nCURSO,DATOS!$D4185,nESPEC,DATOS!$E4185,nASIG,DATOS!$I4185,nEVAL,"EX")=0),0))))</f>
      </c>
      <c r="H4185">
        <f>IF(DATOS!$G4185&lt;&gt;"EX",0,--(COUNTIFS(nNIA,DATOS!$A4185,nCURSO,DATOS!$D4185,nESPEC,DATOS!$E4185,nASIG,DATOS!$I4185,nEVAL,"OR")=0))</f>
      </c>
      <c r="I4185">
        <f>IF(DATOS!$I4185="","",IFERROR(VLOOKUP(DATOS!$I4185,CONFIG_ASIGNATURAS!$B$2:$J$91,9,FALSE()),""))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IF(DATOS!$A4186="",0,IF(CONFIG_METADATA!$B$4&lt;&gt;"OR+EX",--(DATOS!$G4186=CONFIG_METADATA!$B$4),IF(DATOS!$G4186="EX",1,IF(DATOS!$G4186="OR",--(COUNTIFS(nNIA,DATOS!$A4186,nCURSO,DATOS!$D4186,nESPEC,DATOS!$E4186,nASIG,DATOS!$I4186,nEVAL,"EX")=0),0))))</f>
      </c>
      <c r="H4186">
        <f>IF(DATOS!$G4186&lt;&gt;"EX",0,--(COUNTIFS(nNIA,DATOS!$A4186,nCURSO,DATOS!$D4186,nESPEC,DATOS!$E4186,nASIG,DATOS!$I4186,nEVAL,"OR")=0))</f>
      </c>
      <c r="I4186">
        <f>IF(DATOS!$I4186="","",IFERROR(VLOOKUP(DATOS!$I4186,CONFIG_ASIGNATURAS!$B$2:$J$91,9,FALSE()),""))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IF(DATOS!$A4187="",0,IF(CONFIG_METADATA!$B$4&lt;&gt;"OR+EX",--(DATOS!$G4187=CONFIG_METADATA!$B$4),IF(DATOS!$G4187="EX",1,IF(DATOS!$G4187="OR",--(COUNTIFS(nNIA,DATOS!$A4187,nCURSO,DATOS!$D4187,nESPEC,DATOS!$E4187,nASIG,DATOS!$I4187,nEVAL,"EX")=0),0))))</f>
      </c>
      <c r="H4187">
        <f>IF(DATOS!$G4187&lt;&gt;"EX",0,--(COUNTIFS(nNIA,DATOS!$A4187,nCURSO,DATOS!$D4187,nESPEC,DATOS!$E4187,nASIG,DATOS!$I4187,nEVAL,"OR")=0))</f>
      </c>
      <c r="I4187">
        <f>IF(DATOS!$I4187="","",IFERROR(VLOOKUP(DATOS!$I4187,CONFIG_ASIGNATURAS!$B$2:$J$91,9,FALSE()),""))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IF(DATOS!$A4188="",0,IF(CONFIG_METADATA!$B$4&lt;&gt;"OR+EX",--(DATOS!$G4188=CONFIG_METADATA!$B$4),IF(DATOS!$G4188="EX",1,IF(DATOS!$G4188="OR",--(COUNTIFS(nNIA,DATOS!$A4188,nCURSO,DATOS!$D4188,nESPEC,DATOS!$E4188,nASIG,DATOS!$I4188,nEVAL,"EX")=0),0))))</f>
      </c>
      <c r="H4188">
        <f>IF(DATOS!$G4188&lt;&gt;"EX",0,--(COUNTIFS(nNIA,DATOS!$A4188,nCURSO,DATOS!$D4188,nESPEC,DATOS!$E4188,nASIG,DATOS!$I4188,nEVAL,"OR")=0))</f>
      </c>
      <c r="I4188">
        <f>IF(DATOS!$I4188="","",IFERROR(VLOOKUP(DATOS!$I4188,CONFIG_ASIGNATURAS!$B$2:$J$91,9,FALSE()),""))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IF(DATOS!$A4189="",0,IF(CONFIG_METADATA!$B$4&lt;&gt;"OR+EX",--(DATOS!$G4189=CONFIG_METADATA!$B$4),IF(DATOS!$G4189="EX",1,IF(DATOS!$G4189="OR",--(COUNTIFS(nNIA,DATOS!$A4189,nCURSO,DATOS!$D4189,nESPEC,DATOS!$E4189,nASIG,DATOS!$I4189,nEVAL,"EX")=0),0))))</f>
      </c>
      <c r="H4189">
        <f>IF(DATOS!$G4189&lt;&gt;"EX",0,--(COUNTIFS(nNIA,DATOS!$A4189,nCURSO,DATOS!$D4189,nESPEC,DATOS!$E4189,nASIG,DATOS!$I4189,nEVAL,"OR")=0))</f>
      </c>
      <c r="I4189">
        <f>IF(DATOS!$I4189="","",IFERROR(VLOOKUP(DATOS!$I4189,CONFIG_ASIGNATURAS!$B$2:$J$91,9,FALSE()),""))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IF(DATOS!$A4190="",0,IF(CONFIG_METADATA!$B$4&lt;&gt;"OR+EX",--(DATOS!$G4190=CONFIG_METADATA!$B$4),IF(DATOS!$G4190="EX",1,IF(DATOS!$G4190="OR",--(COUNTIFS(nNIA,DATOS!$A4190,nCURSO,DATOS!$D4190,nESPEC,DATOS!$E4190,nASIG,DATOS!$I4190,nEVAL,"EX")=0),0))))</f>
      </c>
      <c r="H4190">
        <f>IF(DATOS!$G4190&lt;&gt;"EX",0,--(COUNTIFS(nNIA,DATOS!$A4190,nCURSO,DATOS!$D4190,nESPEC,DATOS!$E4190,nASIG,DATOS!$I4190,nEVAL,"OR")=0))</f>
      </c>
      <c r="I4190">
        <f>IF(DATOS!$I4190="","",IFERROR(VLOOKUP(DATOS!$I4190,CONFIG_ASIGNATURAS!$B$2:$J$91,9,FALSE()),""))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IF(DATOS!$A4191="",0,IF(CONFIG_METADATA!$B$4&lt;&gt;"OR+EX",--(DATOS!$G4191=CONFIG_METADATA!$B$4),IF(DATOS!$G4191="EX",1,IF(DATOS!$G4191="OR",--(COUNTIFS(nNIA,DATOS!$A4191,nCURSO,DATOS!$D4191,nESPEC,DATOS!$E4191,nASIG,DATOS!$I4191,nEVAL,"EX")=0),0))))</f>
      </c>
      <c r="H4191">
        <f>IF(DATOS!$G4191&lt;&gt;"EX",0,--(COUNTIFS(nNIA,DATOS!$A4191,nCURSO,DATOS!$D4191,nESPEC,DATOS!$E4191,nASIG,DATOS!$I4191,nEVAL,"OR")=0))</f>
      </c>
      <c r="I4191">
        <f>IF(DATOS!$I4191="","",IFERROR(VLOOKUP(DATOS!$I4191,CONFIG_ASIGNATURAS!$B$2:$J$91,9,FALSE()),""))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IF(DATOS!$A4192="",0,IF(CONFIG_METADATA!$B$4&lt;&gt;"OR+EX",--(DATOS!$G4192=CONFIG_METADATA!$B$4),IF(DATOS!$G4192="EX",1,IF(DATOS!$G4192="OR",--(COUNTIFS(nNIA,DATOS!$A4192,nCURSO,DATOS!$D4192,nESPEC,DATOS!$E4192,nASIG,DATOS!$I4192,nEVAL,"EX")=0),0))))</f>
      </c>
      <c r="H4192">
        <f>IF(DATOS!$G4192&lt;&gt;"EX",0,--(COUNTIFS(nNIA,DATOS!$A4192,nCURSO,DATOS!$D4192,nESPEC,DATOS!$E4192,nASIG,DATOS!$I4192,nEVAL,"OR")=0))</f>
      </c>
      <c r="I4192">
        <f>IF(DATOS!$I4192="","",IFERROR(VLOOKUP(DATOS!$I4192,CONFIG_ASIGNATURAS!$B$2:$J$91,9,FALSE()),""))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IF(DATOS!$A4193="",0,IF(CONFIG_METADATA!$B$4&lt;&gt;"OR+EX",--(DATOS!$G4193=CONFIG_METADATA!$B$4),IF(DATOS!$G4193="EX",1,IF(DATOS!$G4193="OR",--(COUNTIFS(nNIA,DATOS!$A4193,nCURSO,DATOS!$D4193,nESPEC,DATOS!$E4193,nASIG,DATOS!$I4193,nEVAL,"EX")=0),0))))</f>
      </c>
      <c r="H4193">
        <f>IF(DATOS!$G4193&lt;&gt;"EX",0,--(COUNTIFS(nNIA,DATOS!$A4193,nCURSO,DATOS!$D4193,nESPEC,DATOS!$E4193,nASIG,DATOS!$I4193,nEVAL,"OR")=0))</f>
      </c>
      <c r="I4193">
        <f>IF(DATOS!$I4193="","",IFERROR(VLOOKUP(DATOS!$I4193,CONFIG_ASIGNATURAS!$B$2:$J$91,9,FALSE()),""))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IF(DATOS!$A4194="",0,IF(CONFIG_METADATA!$B$4&lt;&gt;"OR+EX",--(DATOS!$G4194=CONFIG_METADATA!$B$4),IF(DATOS!$G4194="EX",1,IF(DATOS!$G4194="OR",--(COUNTIFS(nNIA,DATOS!$A4194,nCURSO,DATOS!$D4194,nESPEC,DATOS!$E4194,nASIG,DATOS!$I4194,nEVAL,"EX")=0),0))))</f>
      </c>
      <c r="H4194">
        <f>IF(DATOS!$G4194&lt;&gt;"EX",0,--(COUNTIFS(nNIA,DATOS!$A4194,nCURSO,DATOS!$D4194,nESPEC,DATOS!$E4194,nASIG,DATOS!$I4194,nEVAL,"OR")=0))</f>
      </c>
      <c r="I4194">
        <f>IF(DATOS!$I4194="","",IFERROR(VLOOKUP(DATOS!$I4194,CONFIG_ASIGNATURAS!$B$2:$J$91,9,FALSE()),""))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IF(DATOS!$A4195="",0,IF(CONFIG_METADATA!$B$4&lt;&gt;"OR+EX",--(DATOS!$G4195=CONFIG_METADATA!$B$4),IF(DATOS!$G4195="EX",1,IF(DATOS!$G4195="OR",--(COUNTIFS(nNIA,DATOS!$A4195,nCURSO,DATOS!$D4195,nESPEC,DATOS!$E4195,nASIG,DATOS!$I4195,nEVAL,"EX")=0),0))))</f>
      </c>
      <c r="H4195">
        <f>IF(DATOS!$G4195&lt;&gt;"EX",0,--(COUNTIFS(nNIA,DATOS!$A4195,nCURSO,DATOS!$D4195,nESPEC,DATOS!$E4195,nASIG,DATOS!$I4195,nEVAL,"OR")=0))</f>
      </c>
      <c r="I4195">
        <f>IF(DATOS!$I4195="","",IFERROR(VLOOKUP(DATOS!$I4195,CONFIG_ASIGNATURAS!$B$2:$J$91,9,FALSE()),""))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IF(DATOS!$A4196="",0,IF(CONFIG_METADATA!$B$4&lt;&gt;"OR+EX",--(DATOS!$G4196=CONFIG_METADATA!$B$4),IF(DATOS!$G4196="EX",1,IF(DATOS!$G4196="OR",--(COUNTIFS(nNIA,DATOS!$A4196,nCURSO,DATOS!$D4196,nESPEC,DATOS!$E4196,nASIG,DATOS!$I4196,nEVAL,"EX")=0),0))))</f>
      </c>
      <c r="H4196">
        <f>IF(DATOS!$G4196&lt;&gt;"EX",0,--(COUNTIFS(nNIA,DATOS!$A4196,nCURSO,DATOS!$D4196,nESPEC,DATOS!$E4196,nASIG,DATOS!$I4196,nEVAL,"OR")=0))</f>
      </c>
      <c r="I4196">
        <f>IF(DATOS!$I4196="","",IFERROR(VLOOKUP(DATOS!$I4196,CONFIG_ASIGNATURAS!$B$2:$J$91,9,FALSE()),""))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IF(DATOS!$A4197="",0,IF(CONFIG_METADATA!$B$4&lt;&gt;"OR+EX",--(DATOS!$G4197=CONFIG_METADATA!$B$4),IF(DATOS!$G4197="EX",1,IF(DATOS!$G4197="OR",--(COUNTIFS(nNIA,DATOS!$A4197,nCURSO,DATOS!$D4197,nESPEC,DATOS!$E4197,nASIG,DATOS!$I4197,nEVAL,"EX")=0),0))))</f>
      </c>
      <c r="H4197">
        <f>IF(DATOS!$G4197&lt;&gt;"EX",0,--(COUNTIFS(nNIA,DATOS!$A4197,nCURSO,DATOS!$D4197,nESPEC,DATOS!$E4197,nASIG,DATOS!$I4197,nEVAL,"OR")=0))</f>
      </c>
      <c r="I4197">
        <f>IF(DATOS!$I4197="","",IFERROR(VLOOKUP(DATOS!$I4197,CONFIG_ASIGNATURAS!$B$2:$J$91,9,FALSE()),""))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IF(DATOS!$A4198="",0,IF(CONFIG_METADATA!$B$4&lt;&gt;"OR+EX",--(DATOS!$G4198=CONFIG_METADATA!$B$4),IF(DATOS!$G4198="EX",1,IF(DATOS!$G4198="OR",--(COUNTIFS(nNIA,DATOS!$A4198,nCURSO,DATOS!$D4198,nESPEC,DATOS!$E4198,nASIG,DATOS!$I4198,nEVAL,"EX")=0),0))))</f>
      </c>
      <c r="H4198">
        <f>IF(DATOS!$G4198&lt;&gt;"EX",0,--(COUNTIFS(nNIA,DATOS!$A4198,nCURSO,DATOS!$D4198,nESPEC,DATOS!$E4198,nASIG,DATOS!$I4198,nEVAL,"OR")=0))</f>
      </c>
      <c r="I4198">
        <f>IF(DATOS!$I4198="","",IFERROR(VLOOKUP(DATOS!$I4198,CONFIG_ASIGNATURAS!$B$2:$J$91,9,FALSE()),""))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IF(DATOS!$A4199="",0,IF(CONFIG_METADATA!$B$4&lt;&gt;"OR+EX",--(DATOS!$G4199=CONFIG_METADATA!$B$4),IF(DATOS!$G4199="EX",1,IF(DATOS!$G4199="OR",--(COUNTIFS(nNIA,DATOS!$A4199,nCURSO,DATOS!$D4199,nESPEC,DATOS!$E4199,nASIG,DATOS!$I4199,nEVAL,"EX")=0),0))))</f>
      </c>
      <c r="H4199">
        <f>IF(DATOS!$G4199&lt;&gt;"EX",0,--(COUNTIFS(nNIA,DATOS!$A4199,nCURSO,DATOS!$D4199,nESPEC,DATOS!$E4199,nASIG,DATOS!$I4199,nEVAL,"OR")=0))</f>
      </c>
      <c r="I4199">
        <f>IF(DATOS!$I4199="","",IFERROR(VLOOKUP(DATOS!$I4199,CONFIG_ASIGNATURAS!$B$2:$J$91,9,FALSE()),""))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IF(DATOS!$A4200="",0,IF(CONFIG_METADATA!$B$4&lt;&gt;"OR+EX",--(DATOS!$G4200=CONFIG_METADATA!$B$4),IF(DATOS!$G4200="EX",1,IF(DATOS!$G4200="OR",--(COUNTIFS(nNIA,DATOS!$A4200,nCURSO,DATOS!$D4200,nESPEC,DATOS!$E4200,nASIG,DATOS!$I4200,nEVAL,"EX")=0),0))))</f>
      </c>
      <c r="H4200">
        <f>IF(DATOS!$G4200&lt;&gt;"EX",0,--(COUNTIFS(nNIA,DATOS!$A4200,nCURSO,DATOS!$D4200,nESPEC,DATOS!$E4200,nASIG,DATOS!$I4200,nEVAL,"OR")=0))</f>
      </c>
      <c r="I4200">
        <f>IF(DATOS!$I4200="","",IFERROR(VLOOKUP(DATOS!$I4200,CONFIG_ASIGNATURAS!$B$2:$J$91,9,FALSE()),""))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IF(DATOS!$A4201="",0,IF(CONFIG_METADATA!$B$4&lt;&gt;"OR+EX",--(DATOS!$G4201=CONFIG_METADATA!$B$4),IF(DATOS!$G4201="EX",1,IF(DATOS!$G4201="OR",--(COUNTIFS(nNIA,DATOS!$A4201,nCURSO,DATOS!$D4201,nESPEC,DATOS!$E4201,nASIG,DATOS!$I4201,nEVAL,"EX")=0),0))))</f>
      </c>
      <c r="H4201">
        <f>IF(DATOS!$G4201&lt;&gt;"EX",0,--(COUNTIFS(nNIA,DATOS!$A4201,nCURSO,DATOS!$D4201,nESPEC,DATOS!$E4201,nASIG,DATOS!$I4201,nEVAL,"OR")=0))</f>
      </c>
      <c r="I4201">
        <f>IF(DATOS!$I4201="","",IFERROR(VLOOKUP(DATOS!$I4201,CONFIG_ASIGNATURAS!$B$2:$J$91,9,FALSE()),""))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IF(DATOS!$A4202="",0,IF(CONFIG_METADATA!$B$4&lt;&gt;"OR+EX",--(DATOS!$G4202=CONFIG_METADATA!$B$4),IF(DATOS!$G4202="EX",1,IF(DATOS!$G4202="OR",--(COUNTIFS(nNIA,DATOS!$A4202,nCURSO,DATOS!$D4202,nESPEC,DATOS!$E4202,nASIG,DATOS!$I4202,nEVAL,"EX")=0),0))))</f>
      </c>
      <c r="H4202">
        <f>IF(DATOS!$G4202&lt;&gt;"EX",0,--(COUNTIFS(nNIA,DATOS!$A4202,nCURSO,DATOS!$D4202,nESPEC,DATOS!$E4202,nASIG,DATOS!$I4202,nEVAL,"OR")=0))</f>
      </c>
      <c r="I4202">
        <f>IF(DATOS!$I4202="","",IFERROR(VLOOKUP(DATOS!$I4202,CONFIG_ASIGNATURAS!$B$2:$J$91,9,FALSE()),""))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IF(DATOS!$A4203="",0,IF(CONFIG_METADATA!$B$4&lt;&gt;"OR+EX",--(DATOS!$G4203=CONFIG_METADATA!$B$4),IF(DATOS!$G4203="EX",1,IF(DATOS!$G4203="OR",--(COUNTIFS(nNIA,DATOS!$A4203,nCURSO,DATOS!$D4203,nESPEC,DATOS!$E4203,nASIG,DATOS!$I4203,nEVAL,"EX")=0),0))))</f>
      </c>
      <c r="H4203">
        <f>IF(DATOS!$G4203&lt;&gt;"EX",0,--(COUNTIFS(nNIA,DATOS!$A4203,nCURSO,DATOS!$D4203,nESPEC,DATOS!$E4203,nASIG,DATOS!$I4203,nEVAL,"OR")=0))</f>
      </c>
      <c r="I4203">
        <f>IF(DATOS!$I4203="","",IFERROR(VLOOKUP(DATOS!$I4203,CONFIG_ASIGNATURAS!$B$2:$J$91,9,FALSE()),""))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IF(DATOS!$A4204="",0,IF(CONFIG_METADATA!$B$4&lt;&gt;"OR+EX",--(DATOS!$G4204=CONFIG_METADATA!$B$4),IF(DATOS!$G4204="EX",1,IF(DATOS!$G4204="OR",--(COUNTIFS(nNIA,DATOS!$A4204,nCURSO,DATOS!$D4204,nESPEC,DATOS!$E4204,nASIG,DATOS!$I4204,nEVAL,"EX")=0),0))))</f>
      </c>
      <c r="H4204">
        <f>IF(DATOS!$G4204&lt;&gt;"EX",0,--(COUNTIFS(nNIA,DATOS!$A4204,nCURSO,DATOS!$D4204,nESPEC,DATOS!$E4204,nASIG,DATOS!$I4204,nEVAL,"OR")=0))</f>
      </c>
      <c r="I4204">
        <f>IF(DATOS!$I4204="","",IFERROR(VLOOKUP(DATOS!$I4204,CONFIG_ASIGNATURAS!$B$2:$J$91,9,FALSE()),""))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IF(DATOS!$A4205="",0,IF(CONFIG_METADATA!$B$4&lt;&gt;"OR+EX",--(DATOS!$G4205=CONFIG_METADATA!$B$4),IF(DATOS!$G4205="EX",1,IF(DATOS!$G4205="OR",--(COUNTIFS(nNIA,DATOS!$A4205,nCURSO,DATOS!$D4205,nESPEC,DATOS!$E4205,nASIG,DATOS!$I4205,nEVAL,"EX")=0),0))))</f>
      </c>
      <c r="H4205">
        <f>IF(DATOS!$G4205&lt;&gt;"EX",0,--(COUNTIFS(nNIA,DATOS!$A4205,nCURSO,DATOS!$D4205,nESPEC,DATOS!$E4205,nASIG,DATOS!$I4205,nEVAL,"OR")=0))</f>
      </c>
      <c r="I4205">
        <f>IF(DATOS!$I4205="","",IFERROR(VLOOKUP(DATOS!$I4205,CONFIG_ASIGNATURAS!$B$2:$J$91,9,FALSE()),""))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IF(DATOS!$A4206="",0,IF(CONFIG_METADATA!$B$4&lt;&gt;"OR+EX",--(DATOS!$G4206=CONFIG_METADATA!$B$4),IF(DATOS!$G4206="EX",1,IF(DATOS!$G4206="OR",--(COUNTIFS(nNIA,DATOS!$A4206,nCURSO,DATOS!$D4206,nESPEC,DATOS!$E4206,nASIG,DATOS!$I4206,nEVAL,"EX")=0),0))))</f>
      </c>
      <c r="H4206">
        <f>IF(DATOS!$G4206&lt;&gt;"EX",0,--(COUNTIFS(nNIA,DATOS!$A4206,nCURSO,DATOS!$D4206,nESPEC,DATOS!$E4206,nASIG,DATOS!$I4206,nEVAL,"OR")=0))</f>
      </c>
      <c r="I4206">
        <f>IF(DATOS!$I4206="","",IFERROR(VLOOKUP(DATOS!$I4206,CONFIG_ASIGNATURAS!$B$2:$J$91,9,FALSE()),""))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IF(DATOS!$A4207="",0,IF(CONFIG_METADATA!$B$4&lt;&gt;"OR+EX",--(DATOS!$G4207=CONFIG_METADATA!$B$4),IF(DATOS!$G4207="EX",1,IF(DATOS!$G4207="OR",--(COUNTIFS(nNIA,DATOS!$A4207,nCURSO,DATOS!$D4207,nESPEC,DATOS!$E4207,nASIG,DATOS!$I4207,nEVAL,"EX")=0),0))))</f>
      </c>
      <c r="H4207">
        <f>IF(DATOS!$G4207&lt;&gt;"EX",0,--(COUNTIFS(nNIA,DATOS!$A4207,nCURSO,DATOS!$D4207,nESPEC,DATOS!$E4207,nASIG,DATOS!$I4207,nEVAL,"OR")=0))</f>
      </c>
      <c r="I4207">
        <f>IF(DATOS!$I4207="","",IFERROR(VLOOKUP(DATOS!$I4207,CONFIG_ASIGNATURAS!$B$2:$J$91,9,FALSE()),""))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IF(DATOS!$A4208="",0,IF(CONFIG_METADATA!$B$4&lt;&gt;"OR+EX",--(DATOS!$G4208=CONFIG_METADATA!$B$4),IF(DATOS!$G4208="EX",1,IF(DATOS!$G4208="OR",--(COUNTIFS(nNIA,DATOS!$A4208,nCURSO,DATOS!$D4208,nESPEC,DATOS!$E4208,nASIG,DATOS!$I4208,nEVAL,"EX")=0),0))))</f>
      </c>
      <c r="H4208">
        <f>IF(DATOS!$G4208&lt;&gt;"EX",0,--(COUNTIFS(nNIA,DATOS!$A4208,nCURSO,DATOS!$D4208,nESPEC,DATOS!$E4208,nASIG,DATOS!$I4208,nEVAL,"OR")=0))</f>
      </c>
      <c r="I4208">
        <f>IF(DATOS!$I4208="","",IFERROR(VLOOKUP(DATOS!$I4208,CONFIG_ASIGNATURAS!$B$2:$J$91,9,FALSE()),""))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IF(DATOS!$A4209="",0,IF(CONFIG_METADATA!$B$4&lt;&gt;"OR+EX",--(DATOS!$G4209=CONFIG_METADATA!$B$4),IF(DATOS!$G4209="EX",1,IF(DATOS!$G4209="OR",--(COUNTIFS(nNIA,DATOS!$A4209,nCURSO,DATOS!$D4209,nESPEC,DATOS!$E4209,nASIG,DATOS!$I4209,nEVAL,"EX")=0),0))))</f>
      </c>
      <c r="H4209">
        <f>IF(DATOS!$G4209&lt;&gt;"EX",0,--(COUNTIFS(nNIA,DATOS!$A4209,nCURSO,DATOS!$D4209,nESPEC,DATOS!$E4209,nASIG,DATOS!$I4209,nEVAL,"OR")=0))</f>
      </c>
      <c r="I4209">
        <f>IF(DATOS!$I4209="","",IFERROR(VLOOKUP(DATOS!$I4209,CONFIG_ASIGNATURAS!$B$2:$J$91,9,FALSE()),""))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IF(DATOS!$A4210="",0,IF(CONFIG_METADATA!$B$4&lt;&gt;"OR+EX",--(DATOS!$G4210=CONFIG_METADATA!$B$4),IF(DATOS!$G4210="EX",1,IF(DATOS!$G4210="OR",--(COUNTIFS(nNIA,DATOS!$A4210,nCURSO,DATOS!$D4210,nESPEC,DATOS!$E4210,nASIG,DATOS!$I4210,nEVAL,"EX")=0),0))))</f>
      </c>
      <c r="H4210">
        <f>IF(DATOS!$G4210&lt;&gt;"EX",0,--(COUNTIFS(nNIA,DATOS!$A4210,nCURSO,DATOS!$D4210,nESPEC,DATOS!$E4210,nASIG,DATOS!$I4210,nEVAL,"OR")=0))</f>
      </c>
      <c r="I4210">
        <f>IF(DATOS!$I4210="","",IFERROR(VLOOKUP(DATOS!$I4210,CONFIG_ASIGNATURAS!$B$2:$J$91,9,FALSE()),""))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IF(DATOS!$A4211="",0,IF(CONFIG_METADATA!$B$4&lt;&gt;"OR+EX",--(DATOS!$G4211=CONFIG_METADATA!$B$4),IF(DATOS!$G4211="EX",1,IF(DATOS!$G4211="OR",--(COUNTIFS(nNIA,DATOS!$A4211,nCURSO,DATOS!$D4211,nESPEC,DATOS!$E4211,nASIG,DATOS!$I4211,nEVAL,"EX")=0),0))))</f>
      </c>
      <c r="H4211">
        <f>IF(DATOS!$G4211&lt;&gt;"EX",0,--(COUNTIFS(nNIA,DATOS!$A4211,nCURSO,DATOS!$D4211,nESPEC,DATOS!$E4211,nASIG,DATOS!$I4211,nEVAL,"OR")=0))</f>
      </c>
      <c r="I4211">
        <f>IF(DATOS!$I4211="","",IFERROR(VLOOKUP(DATOS!$I4211,CONFIG_ASIGNATURAS!$B$2:$J$91,9,FALSE()),""))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IF(DATOS!$A4212="",0,IF(CONFIG_METADATA!$B$4&lt;&gt;"OR+EX",--(DATOS!$G4212=CONFIG_METADATA!$B$4),IF(DATOS!$G4212="EX",1,IF(DATOS!$G4212="OR",--(COUNTIFS(nNIA,DATOS!$A4212,nCURSO,DATOS!$D4212,nESPEC,DATOS!$E4212,nASIG,DATOS!$I4212,nEVAL,"EX")=0),0))))</f>
      </c>
      <c r="H4212">
        <f>IF(DATOS!$G4212&lt;&gt;"EX",0,--(COUNTIFS(nNIA,DATOS!$A4212,nCURSO,DATOS!$D4212,nESPEC,DATOS!$E4212,nASIG,DATOS!$I4212,nEVAL,"OR")=0))</f>
      </c>
      <c r="I4212">
        <f>IF(DATOS!$I4212="","",IFERROR(VLOOKUP(DATOS!$I4212,CONFIG_ASIGNATURAS!$B$2:$J$91,9,FALSE()),""))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IF(DATOS!$A4213="",0,IF(CONFIG_METADATA!$B$4&lt;&gt;"OR+EX",--(DATOS!$G4213=CONFIG_METADATA!$B$4),IF(DATOS!$G4213="EX",1,IF(DATOS!$G4213="OR",--(COUNTIFS(nNIA,DATOS!$A4213,nCURSO,DATOS!$D4213,nESPEC,DATOS!$E4213,nASIG,DATOS!$I4213,nEVAL,"EX")=0),0))))</f>
      </c>
      <c r="H4213">
        <f>IF(DATOS!$G4213&lt;&gt;"EX",0,--(COUNTIFS(nNIA,DATOS!$A4213,nCURSO,DATOS!$D4213,nESPEC,DATOS!$E4213,nASIG,DATOS!$I4213,nEVAL,"OR")=0))</f>
      </c>
      <c r="I4213">
        <f>IF(DATOS!$I4213="","",IFERROR(VLOOKUP(DATOS!$I4213,CONFIG_ASIGNATURAS!$B$2:$J$91,9,FALSE()),""))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IF(DATOS!$A4214="",0,IF(CONFIG_METADATA!$B$4&lt;&gt;"OR+EX",--(DATOS!$G4214=CONFIG_METADATA!$B$4),IF(DATOS!$G4214="EX",1,IF(DATOS!$G4214="OR",--(COUNTIFS(nNIA,DATOS!$A4214,nCURSO,DATOS!$D4214,nESPEC,DATOS!$E4214,nASIG,DATOS!$I4214,nEVAL,"EX")=0),0))))</f>
      </c>
      <c r="H4214">
        <f>IF(DATOS!$G4214&lt;&gt;"EX",0,--(COUNTIFS(nNIA,DATOS!$A4214,nCURSO,DATOS!$D4214,nESPEC,DATOS!$E4214,nASIG,DATOS!$I4214,nEVAL,"OR")=0))</f>
      </c>
      <c r="I4214">
        <f>IF(DATOS!$I4214="","",IFERROR(VLOOKUP(DATOS!$I4214,CONFIG_ASIGNATURAS!$B$2:$J$91,9,FALSE()),""))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IF(DATOS!$A4215="",0,IF(CONFIG_METADATA!$B$4&lt;&gt;"OR+EX",--(DATOS!$G4215=CONFIG_METADATA!$B$4),IF(DATOS!$G4215="EX",1,IF(DATOS!$G4215="OR",--(COUNTIFS(nNIA,DATOS!$A4215,nCURSO,DATOS!$D4215,nESPEC,DATOS!$E4215,nASIG,DATOS!$I4215,nEVAL,"EX")=0),0))))</f>
      </c>
      <c r="H4215">
        <f>IF(DATOS!$G4215&lt;&gt;"EX",0,--(COUNTIFS(nNIA,DATOS!$A4215,nCURSO,DATOS!$D4215,nESPEC,DATOS!$E4215,nASIG,DATOS!$I4215,nEVAL,"OR")=0))</f>
      </c>
      <c r="I4215">
        <f>IF(DATOS!$I4215="","",IFERROR(VLOOKUP(DATOS!$I4215,CONFIG_ASIGNATURAS!$B$2:$J$91,9,FALSE()),""))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IF(DATOS!$A4216="",0,IF(CONFIG_METADATA!$B$4&lt;&gt;"OR+EX",--(DATOS!$G4216=CONFIG_METADATA!$B$4),IF(DATOS!$G4216="EX",1,IF(DATOS!$G4216="OR",--(COUNTIFS(nNIA,DATOS!$A4216,nCURSO,DATOS!$D4216,nESPEC,DATOS!$E4216,nASIG,DATOS!$I4216,nEVAL,"EX")=0),0))))</f>
      </c>
      <c r="H4216">
        <f>IF(DATOS!$G4216&lt;&gt;"EX",0,--(COUNTIFS(nNIA,DATOS!$A4216,nCURSO,DATOS!$D4216,nESPEC,DATOS!$E4216,nASIG,DATOS!$I4216,nEVAL,"OR")=0))</f>
      </c>
      <c r="I4216">
        <f>IF(DATOS!$I4216="","",IFERROR(VLOOKUP(DATOS!$I4216,CONFIG_ASIGNATURAS!$B$2:$J$91,9,FALSE()),""))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IF(DATOS!$A4217="",0,IF(CONFIG_METADATA!$B$4&lt;&gt;"OR+EX",--(DATOS!$G4217=CONFIG_METADATA!$B$4),IF(DATOS!$G4217="EX",1,IF(DATOS!$G4217="OR",--(COUNTIFS(nNIA,DATOS!$A4217,nCURSO,DATOS!$D4217,nESPEC,DATOS!$E4217,nASIG,DATOS!$I4217,nEVAL,"EX")=0),0))))</f>
      </c>
      <c r="H4217">
        <f>IF(DATOS!$G4217&lt;&gt;"EX",0,--(COUNTIFS(nNIA,DATOS!$A4217,nCURSO,DATOS!$D4217,nESPEC,DATOS!$E4217,nASIG,DATOS!$I4217,nEVAL,"OR")=0))</f>
      </c>
      <c r="I4217">
        <f>IF(DATOS!$I4217="","",IFERROR(VLOOKUP(DATOS!$I4217,CONFIG_ASIGNATURAS!$B$2:$J$91,9,FALSE()),""))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IF(DATOS!$A4218="",0,IF(CONFIG_METADATA!$B$4&lt;&gt;"OR+EX",--(DATOS!$G4218=CONFIG_METADATA!$B$4),IF(DATOS!$G4218="EX",1,IF(DATOS!$G4218="OR",--(COUNTIFS(nNIA,DATOS!$A4218,nCURSO,DATOS!$D4218,nESPEC,DATOS!$E4218,nASIG,DATOS!$I4218,nEVAL,"EX")=0),0))))</f>
      </c>
      <c r="H4218">
        <f>IF(DATOS!$G4218&lt;&gt;"EX",0,--(COUNTIFS(nNIA,DATOS!$A4218,nCURSO,DATOS!$D4218,nESPEC,DATOS!$E4218,nASIG,DATOS!$I4218,nEVAL,"OR")=0))</f>
      </c>
      <c r="I4218">
        <f>IF(DATOS!$I4218="","",IFERROR(VLOOKUP(DATOS!$I4218,CONFIG_ASIGNATURAS!$B$2:$J$91,9,FALSE()),""))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IF(DATOS!$A4219="",0,IF(CONFIG_METADATA!$B$4&lt;&gt;"OR+EX",--(DATOS!$G4219=CONFIG_METADATA!$B$4),IF(DATOS!$G4219="EX",1,IF(DATOS!$G4219="OR",--(COUNTIFS(nNIA,DATOS!$A4219,nCURSO,DATOS!$D4219,nESPEC,DATOS!$E4219,nASIG,DATOS!$I4219,nEVAL,"EX")=0),0))))</f>
      </c>
      <c r="H4219">
        <f>IF(DATOS!$G4219&lt;&gt;"EX",0,--(COUNTIFS(nNIA,DATOS!$A4219,nCURSO,DATOS!$D4219,nESPEC,DATOS!$E4219,nASIG,DATOS!$I4219,nEVAL,"OR")=0))</f>
      </c>
      <c r="I4219">
        <f>IF(DATOS!$I4219="","",IFERROR(VLOOKUP(DATOS!$I4219,CONFIG_ASIGNATURAS!$B$2:$J$91,9,FALSE()),""))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IF(DATOS!$A4220="",0,IF(CONFIG_METADATA!$B$4&lt;&gt;"OR+EX",--(DATOS!$G4220=CONFIG_METADATA!$B$4),IF(DATOS!$G4220="EX",1,IF(DATOS!$G4220="OR",--(COUNTIFS(nNIA,DATOS!$A4220,nCURSO,DATOS!$D4220,nESPEC,DATOS!$E4220,nASIG,DATOS!$I4220,nEVAL,"EX")=0),0))))</f>
      </c>
      <c r="H4220">
        <f>IF(DATOS!$G4220&lt;&gt;"EX",0,--(COUNTIFS(nNIA,DATOS!$A4220,nCURSO,DATOS!$D4220,nESPEC,DATOS!$E4220,nASIG,DATOS!$I4220,nEVAL,"OR")=0))</f>
      </c>
      <c r="I4220">
        <f>IF(DATOS!$I4220="","",IFERROR(VLOOKUP(DATOS!$I4220,CONFIG_ASIGNATURAS!$B$2:$J$91,9,FALSE()),""))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IF(DATOS!$A4221="",0,IF(CONFIG_METADATA!$B$4&lt;&gt;"OR+EX",--(DATOS!$G4221=CONFIG_METADATA!$B$4),IF(DATOS!$G4221="EX",1,IF(DATOS!$G4221="OR",--(COUNTIFS(nNIA,DATOS!$A4221,nCURSO,DATOS!$D4221,nESPEC,DATOS!$E4221,nASIG,DATOS!$I4221,nEVAL,"EX")=0),0))))</f>
      </c>
      <c r="H4221">
        <f>IF(DATOS!$G4221&lt;&gt;"EX",0,--(COUNTIFS(nNIA,DATOS!$A4221,nCURSO,DATOS!$D4221,nESPEC,DATOS!$E4221,nASIG,DATOS!$I4221,nEVAL,"OR")=0))</f>
      </c>
      <c r="I4221">
        <f>IF(DATOS!$I4221="","",IFERROR(VLOOKUP(DATOS!$I4221,CONFIG_ASIGNATURAS!$B$2:$J$91,9,FALSE()),""))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IF(DATOS!$A4222="",0,IF(CONFIG_METADATA!$B$4&lt;&gt;"OR+EX",--(DATOS!$G4222=CONFIG_METADATA!$B$4),IF(DATOS!$G4222="EX",1,IF(DATOS!$G4222="OR",--(COUNTIFS(nNIA,DATOS!$A4222,nCURSO,DATOS!$D4222,nESPEC,DATOS!$E4222,nASIG,DATOS!$I4222,nEVAL,"EX")=0),0))))</f>
      </c>
      <c r="H4222">
        <f>IF(DATOS!$G4222&lt;&gt;"EX",0,--(COUNTIFS(nNIA,DATOS!$A4222,nCURSO,DATOS!$D4222,nESPEC,DATOS!$E4222,nASIG,DATOS!$I4222,nEVAL,"OR")=0))</f>
      </c>
      <c r="I4222">
        <f>IF(DATOS!$I4222="","",IFERROR(VLOOKUP(DATOS!$I4222,CONFIG_ASIGNATURAS!$B$2:$J$91,9,FALSE()),""))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IF(DATOS!$A4223="",0,IF(CONFIG_METADATA!$B$4&lt;&gt;"OR+EX",--(DATOS!$G4223=CONFIG_METADATA!$B$4),IF(DATOS!$G4223="EX",1,IF(DATOS!$G4223="OR",--(COUNTIFS(nNIA,DATOS!$A4223,nCURSO,DATOS!$D4223,nESPEC,DATOS!$E4223,nASIG,DATOS!$I4223,nEVAL,"EX")=0),0))))</f>
      </c>
      <c r="H4223">
        <f>IF(DATOS!$G4223&lt;&gt;"EX",0,--(COUNTIFS(nNIA,DATOS!$A4223,nCURSO,DATOS!$D4223,nESPEC,DATOS!$E4223,nASIG,DATOS!$I4223,nEVAL,"OR")=0))</f>
      </c>
      <c r="I4223">
        <f>IF(DATOS!$I4223="","",IFERROR(VLOOKUP(DATOS!$I4223,CONFIG_ASIGNATURAS!$B$2:$J$91,9,FALSE()),""))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IF(DATOS!$A4224="",0,IF(CONFIG_METADATA!$B$4&lt;&gt;"OR+EX",--(DATOS!$G4224=CONFIG_METADATA!$B$4),IF(DATOS!$G4224="EX",1,IF(DATOS!$G4224="OR",--(COUNTIFS(nNIA,DATOS!$A4224,nCURSO,DATOS!$D4224,nESPEC,DATOS!$E4224,nASIG,DATOS!$I4224,nEVAL,"EX")=0),0))))</f>
      </c>
      <c r="H4224">
        <f>IF(DATOS!$G4224&lt;&gt;"EX",0,--(COUNTIFS(nNIA,DATOS!$A4224,nCURSO,DATOS!$D4224,nESPEC,DATOS!$E4224,nASIG,DATOS!$I4224,nEVAL,"OR")=0))</f>
      </c>
      <c r="I4224">
        <f>IF(DATOS!$I4224="","",IFERROR(VLOOKUP(DATOS!$I4224,CONFIG_ASIGNATURAS!$B$2:$J$91,9,FALSE()),""))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IF(DATOS!$A4225="",0,IF(CONFIG_METADATA!$B$4&lt;&gt;"OR+EX",--(DATOS!$G4225=CONFIG_METADATA!$B$4),IF(DATOS!$G4225="EX",1,IF(DATOS!$G4225="OR",--(COUNTIFS(nNIA,DATOS!$A4225,nCURSO,DATOS!$D4225,nESPEC,DATOS!$E4225,nASIG,DATOS!$I4225,nEVAL,"EX")=0),0))))</f>
      </c>
      <c r="H4225">
        <f>IF(DATOS!$G4225&lt;&gt;"EX",0,--(COUNTIFS(nNIA,DATOS!$A4225,nCURSO,DATOS!$D4225,nESPEC,DATOS!$E4225,nASIG,DATOS!$I4225,nEVAL,"OR")=0))</f>
      </c>
      <c r="I4225">
        <f>IF(DATOS!$I4225="","",IFERROR(VLOOKUP(DATOS!$I4225,CONFIG_ASIGNATURAS!$B$2:$J$91,9,FALSE()),""))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IF(DATOS!$A4226="",0,IF(CONFIG_METADATA!$B$4&lt;&gt;"OR+EX",--(DATOS!$G4226=CONFIG_METADATA!$B$4),IF(DATOS!$G4226="EX",1,IF(DATOS!$G4226="OR",--(COUNTIFS(nNIA,DATOS!$A4226,nCURSO,DATOS!$D4226,nESPEC,DATOS!$E4226,nASIG,DATOS!$I4226,nEVAL,"EX")=0),0))))</f>
      </c>
      <c r="H4226">
        <f>IF(DATOS!$G4226&lt;&gt;"EX",0,--(COUNTIFS(nNIA,DATOS!$A4226,nCURSO,DATOS!$D4226,nESPEC,DATOS!$E4226,nASIG,DATOS!$I4226,nEVAL,"OR")=0))</f>
      </c>
      <c r="I4226">
        <f>IF(DATOS!$I4226="","",IFERROR(VLOOKUP(DATOS!$I4226,CONFIG_ASIGNATURAS!$B$2:$J$91,9,FALSE()),""))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IF(DATOS!$A4227="",0,IF(CONFIG_METADATA!$B$4&lt;&gt;"OR+EX",--(DATOS!$G4227=CONFIG_METADATA!$B$4),IF(DATOS!$G4227="EX",1,IF(DATOS!$G4227="OR",--(COUNTIFS(nNIA,DATOS!$A4227,nCURSO,DATOS!$D4227,nESPEC,DATOS!$E4227,nASIG,DATOS!$I4227,nEVAL,"EX")=0),0))))</f>
      </c>
      <c r="H4227">
        <f>IF(DATOS!$G4227&lt;&gt;"EX",0,--(COUNTIFS(nNIA,DATOS!$A4227,nCURSO,DATOS!$D4227,nESPEC,DATOS!$E4227,nASIG,DATOS!$I4227,nEVAL,"OR")=0))</f>
      </c>
      <c r="I4227">
        <f>IF(DATOS!$I4227="","",IFERROR(VLOOKUP(DATOS!$I4227,CONFIG_ASIGNATURAS!$B$2:$J$91,9,FALSE()),""))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IF(DATOS!$A4228="",0,IF(CONFIG_METADATA!$B$4&lt;&gt;"OR+EX",--(DATOS!$G4228=CONFIG_METADATA!$B$4),IF(DATOS!$G4228="EX",1,IF(DATOS!$G4228="OR",--(COUNTIFS(nNIA,DATOS!$A4228,nCURSO,DATOS!$D4228,nESPEC,DATOS!$E4228,nASIG,DATOS!$I4228,nEVAL,"EX")=0),0))))</f>
      </c>
      <c r="H4228">
        <f>IF(DATOS!$G4228&lt;&gt;"EX",0,--(COUNTIFS(nNIA,DATOS!$A4228,nCURSO,DATOS!$D4228,nESPEC,DATOS!$E4228,nASIG,DATOS!$I4228,nEVAL,"OR")=0))</f>
      </c>
      <c r="I4228">
        <f>IF(DATOS!$I4228="","",IFERROR(VLOOKUP(DATOS!$I4228,CONFIG_ASIGNATURAS!$B$2:$J$91,9,FALSE()),""))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IF(DATOS!$A4229="",0,IF(CONFIG_METADATA!$B$4&lt;&gt;"OR+EX",--(DATOS!$G4229=CONFIG_METADATA!$B$4),IF(DATOS!$G4229="EX",1,IF(DATOS!$G4229="OR",--(COUNTIFS(nNIA,DATOS!$A4229,nCURSO,DATOS!$D4229,nESPEC,DATOS!$E4229,nASIG,DATOS!$I4229,nEVAL,"EX")=0),0))))</f>
      </c>
      <c r="H4229">
        <f>IF(DATOS!$G4229&lt;&gt;"EX",0,--(COUNTIFS(nNIA,DATOS!$A4229,nCURSO,DATOS!$D4229,nESPEC,DATOS!$E4229,nASIG,DATOS!$I4229,nEVAL,"OR")=0))</f>
      </c>
      <c r="I4229">
        <f>IF(DATOS!$I4229="","",IFERROR(VLOOKUP(DATOS!$I4229,CONFIG_ASIGNATURAS!$B$2:$J$91,9,FALSE()),""))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IF(DATOS!$A4230="",0,IF(CONFIG_METADATA!$B$4&lt;&gt;"OR+EX",--(DATOS!$G4230=CONFIG_METADATA!$B$4),IF(DATOS!$G4230="EX",1,IF(DATOS!$G4230="OR",--(COUNTIFS(nNIA,DATOS!$A4230,nCURSO,DATOS!$D4230,nESPEC,DATOS!$E4230,nASIG,DATOS!$I4230,nEVAL,"EX")=0),0))))</f>
      </c>
      <c r="H4230">
        <f>IF(DATOS!$G4230&lt;&gt;"EX",0,--(COUNTIFS(nNIA,DATOS!$A4230,nCURSO,DATOS!$D4230,nESPEC,DATOS!$E4230,nASIG,DATOS!$I4230,nEVAL,"OR")=0))</f>
      </c>
      <c r="I4230">
        <f>IF(DATOS!$I4230="","",IFERROR(VLOOKUP(DATOS!$I4230,CONFIG_ASIGNATURAS!$B$2:$J$91,9,FALSE()),""))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IF(DATOS!$A4231="",0,IF(CONFIG_METADATA!$B$4&lt;&gt;"OR+EX",--(DATOS!$G4231=CONFIG_METADATA!$B$4),IF(DATOS!$G4231="EX",1,IF(DATOS!$G4231="OR",--(COUNTIFS(nNIA,DATOS!$A4231,nCURSO,DATOS!$D4231,nESPEC,DATOS!$E4231,nASIG,DATOS!$I4231,nEVAL,"EX")=0),0))))</f>
      </c>
      <c r="H4231">
        <f>IF(DATOS!$G4231&lt;&gt;"EX",0,--(COUNTIFS(nNIA,DATOS!$A4231,nCURSO,DATOS!$D4231,nESPEC,DATOS!$E4231,nASIG,DATOS!$I4231,nEVAL,"OR")=0))</f>
      </c>
      <c r="I4231">
        <f>IF(DATOS!$I4231="","",IFERROR(VLOOKUP(DATOS!$I4231,CONFIG_ASIGNATURAS!$B$2:$J$91,9,FALSE()),""))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IF(DATOS!$A4232="",0,IF(CONFIG_METADATA!$B$4&lt;&gt;"OR+EX",--(DATOS!$G4232=CONFIG_METADATA!$B$4),IF(DATOS!$G4232="EX",1,IF(DATOS!$G4232="OR",--(COUNTIFS(nNIA,DATOS!$A4232,nCURSO,DATOS!$D4232,nESPEC,DATOS!$E4232,nASIG,DATOS!$I4232,nEVAL,"EX")=0),0))))</f>
      </c>
      <c r="H4232">
        <f>IF(DATOS!$G4232&lt;&gt;"EX",0,--(COUNTIFS(nNIA,DATOS!$A4232,nCURSO,DATOS!$D4232,nESPEC,DATOS!$E4232,nASIG,DATOS!$I4232,nEVAL,"OR")=0))</f>
      </c>
      <c r="I4232">
        <f>IF(DATOS!$I4232="","",IFERROR(VLOOKUP(DATOS!$I4232,CONFIG_ASIGNATURAS!$B$2:$J$91,9,FALSE()),""))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IF(DATOS!$A4233="",0,IF(CONFIG_METADATA!$B$4&lt;&gt;"OR+EX",--(DATOS!$G4233=CONFIG_METADATA!$B$4),IF(DATOS!$G4233="EX",1,IF(DATOS!$G4233="OR",--(COUNTIFS(nNIA,DATOS!$A4233,nCURSO,DATOS!$D4233,nESPEC,DATOS!$E4233,nASIG,DATOS!$I4233,nEVAL,"EX")=0),0))))</f>
      </c>
      <c r="H4233">
        <f>IF(DATOS!$G4233&lt;&gt;"EX",0,--(COUNTIFS(nNIA,DATOS!$A4233,nCURSO,DATOS!$D4233,nESPEC,DATOS!$E4233,nASIG,DATOS!$I4233,nEVAL,"OR")=0))</f>
      </c>
      <c r="I4233">
        <f>IF(DATOS!$I4233="","",IFERROR(VLOOKUP(DATOS!$I4233,CONFIG_ASIGNATURAS!$B$2:$J$91,9,FALSE()),""))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IF(DATOS!$A4234="",0,IF(CONFIG_METADATA!$B$4&lt;&gt;"OR+EX",--(DATOS!$G4234=CONFIG_METADATA!$B$4),IF(DATOS!$G4234="EX",1,IF(DATOS!$G4234="OR",--(COUNTIFS(nNIA,DATOS!$A4234,nCURSO,DATOS!$D4234,nESPEC,DATOS!$E4234,nASIG,DATOS!$I4234,nEVAL,"EX")=0),0))))</f>
      </c>
      <c r="H4234">
        <f>IF(DATOS!$G4234&lt;&gt;"EX",0,--(COUNTIFS(nNIA,DATOS!$A4234,nCURSO,DATOS!$D4234,nESPEC,DATOS!$E4234,nASIG,DATOS!$I4234,nEVAL,"OR")=0))</f>
      </c>
      <c r="I4234">
        <f>IF(DATOS!$I4234="","",IFERROR(VLOOKUP(DATOS!$I4234,CONFIG_ASIGNATURAS!$B$2:$J$91,9,FALSE()),""))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IF(DATOS!$A4235="",0,IF(CONFIG_METADATA!$B$4&lt;&gt;"OR+EX",--(DATOS!$G4235=CONFIG_METADATA!$B$4),IF(DATOS!$G4235="EX",1,IF(DATOS!$G4235="OR",--(COUNTIFS(nNIA,DATOS!$A4235,nCURSO,DATOS!$D4235,nESPEC,DATOS!$E4235,nASIG,DATOS!$I4235,nEVAL,"EX")=0),0))))</f>
      </c>
      <c r="H4235">
        <f>IF(DATOS!$G4235&lt;&gt;"EX",0,--(COUNTIFS(nNIA,DATOS!$A4235,nCURSO,DATOS!$D4235,nESPEC,DATOS!$E4235,nASIG,DATOS!$I4235,nEVAL,"OR")=0))</f>
      </c>
      <c r="I4235">
        <f>IF(DATOS!$I4235="","",IFERROR(VLOOKUP(DATOS!$I4235,CONFIG_ASIGNATURAS!$B$2:$J$91,9,FALSE()),""))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IF(DATOS!$A4236="",0,IF(CONFIG_METADATA!$B$4&lt;&gt;"OR+EX",--(DATOS!$G4236=CONFIG_METADATA!$B$4),IF(DATOS!$G4236="EX",1,IF(DATOS!$G4236="OR",--(COUNTIFS(nNIA,DATOS!$A4236,nCURSO,DATOS!$D4236,nESPEC,DATOS!$E4236,nASIG,DATOS!$I4236,nEVAL,"EX")=0),0))))</f>
      </c>
      <c r="H4236">
        <f>IF(DATOS!$G4236&lt;&gt;"EX",0,--(COUNTIFS(nNIA,DATOS!$A4236,nCURSO,DATOS!$D4236,nESPEC,DATOS!$E4236,nASIG,DATOS!$I4236,nEVAL,"OR")=0))</f>
      </c>
      <c r="I4236">
        <f>IF(DATOS!$I4236="","",IFERROR(VLOOKUP(DATOS!$I4236,CONFIG_ASIGNATURAS!$B$2:$J$91,9,FALSE()),""))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IF(DATOS!$A4237="",0,IF(CONFIG_METADATA!$B$4&lt;&gt;"OR+EX",--(DATOS!$G4237=CONFIG_METADATA!$B$4),IF(DATOS!$G4237="EX",1,IF(DATOS!$G4237="OR",--(COUNTIFS(nNIA,DATOS!$A4237,nCURSO,DATOS!$D4237,nESPEC,DATOS!$E4237,nASIG,DATOS!$I4237,nEVAL,"EX")=0),0))))</f>
      </c>
      <c r="H4237">
        <f>IF(DATOS!$G4237&lt;&gt;"EX",0,--(COUNTIFS(nNIA,DATOS!$A4237,nCURSO,DATOS!$D4237,nESPEC,DATOS!$E4237,nASIG,DATOS!$I4237,nEVAL,"OR")=0))</f>
      </c>
      <c r="I4237">
        <f>IF(DATOS!$I4237="","",IFERROR(VLOOKUP(DATOS!$I4237,CONFIG_ASIGNATURAS!$B$2:$J$91,9,FALSE()),""))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IF(DATOS!$A4238="",0,IF(CONFIG_METADATA!$B$4&lt;&gt;"OR+EX",--(DATOS!$G4238=CONFIG_METADATA!$B$4),IF(DATOS!$G4238="EX",1,IF(DATOS!$G4238="OR",--(COUNTIFS(nNIA,DATOS!$A4238,nCURSO,DATOS!$D4238,nESPEC,DATOS!$E4238,nASIG,DATOS!$I4238,nEVAL,"EX")=0),0))))</f>
      </c>
      <c r="H4238">
        <f>IF(DATOS!$G4238&lt;&gt;"EX",0,--(COUNTIFS(nNIA,DATOS!$A4238,nCURSO,DATOS!$D4238,nESPEC,DATOS!$E4238,nASIG,DATOS!$I4238,nEVAL,"OR")=0))</f>
      </c>
      <c r="I4238">
        <f>IF(DATOS!$I4238="","",IFERROR(VLOOKUP(DATOS!$I4238,CONFIG_ASIGNATURAS!$B$2:$J$91,9,FALSE()),""))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IF(DATOS!$A4239="",0,IF(CONFIG_METADATA!$B$4&lt;&gt;"OR+EX",--(DATOS!$G4239=CONFIG_METADATA!$B$4),IF(DATOS!$G4239="EX",1,IF(DATOS!$G4239="OR",--(COUNTIFS(nNIA,DATOS!$A4239,nCURSO,DATOS!$D4239,nESPEC,DATOS!$E4239,nASIG,DATOS!$I4239,nEVAL,"EX")=0),0))))</f>
      </c>
      <c r="H4239">
        <f>IF(DATOS!$G4239&lt;&gt;"EX",0,--(COUNTIFS(nNIA,DATOS!$A4239,nCURSO,DATOS!$D4239,nESPEC,DATOS!$E4239,nASIG,DATOS!$I4239,nEVAL,"OR")=0))</f>
      </c>
      <c r="I4239">
        <f>IF(DATOS!$I4239="","",IFERROR(VLOOKUP(DATOS!$I4239,CONFIG_ASIGNATURAS!$B$2:$J$91,9,FALSE()),""))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IF(DATOS!$A4240="",0,IF(CONFIG_METADATA!$B$4&lt;&gt;"OR+EX",--(DATOS!$G4240=CONFIG_METADATA!$B$4),IF(DATOS!$G4240="EX",1,IF(DATOS!$G4240="OR",--(COUNTIFS(nNIA,DATOS!$A4240,nCURSO,DATOS!$D4240,nESPEC,DATOS!$E4240,nASIG,DATOS!$I4240,nEVAL,"EX")=0),0))))</f>
      </c>
      <c r="H4240">
        <f>IF(DATOS!$G4240&lt;&gt;"EX",0,--(COUNTIFS(nNIA,DATOS!$A4240,nCURSO,DATOS!$D4240,nESPEC,DATOS!$E4240,nASIG,DATOS!$I4240,nEVAL,"OR")=0))</f>
      </c>
      <c r="I4240">
        <f>IF(DATOS!$I4240="","",IFERROR(VLOOKUP(DATOS!$I4240,CONFIG_ASIGNATURAS!$B$2:$J$91,9,FALSE()),""))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IF(DATOS!$A4241="",0,IF(CONFIG_METADATA!$B$4&lt;&gt;"OR+EX",--(DATOS!$G4241=CONFIG_METADATA!$B$4),IF(DATOS!$G4241="EX",1,IF(DATOS!$G4241="OR",--(COUNTIFS(nNIA,DATOS!$A4241,nCURSO,DATOS!$D4241,nESPEC,DATOS!$E4241,nASIG,DATOS!$I4241,nEVAL,"EX")=0),0))))</f>
      </c>
      <c r="H4241">
        <f>IF(DATOS!$G4241&lt;&gt;"EX",0,--(COUNTIFS(nNIA,DATOS!$A4241,nCURSO,DATOS!$D4241,nESPEC,DATOS!$E4241,nASIG,DATOS!$I4241,nEVAL,"OR")=0))</f>
      </c>
      <c r="I4241">
        <f>IF(DATOS!$I4241="","",IFERROR(VLOOKUP(DATOS!$I4241,CONFIG_ASIGNATURAS!$B$2:$J$91,9,FALSE()),""))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IF(DATOS!$A4242="",0,IF(CONFIG_METADATA!$B$4&lt;&gt;"OR+EX",--(DATOS!$G4242=CONFIG_METADATA!$B$4),IF(DATOS!$G4242="EX",1,IF(DATOS!$G4242="OR",--(COUNTIFS(nNIA,DATOS!$A4242,nCURSO,DATOS!$D4242,nESPEC,DATOS!$E4242,nASIG,DATOS!$I4242,nEVAL,"EX")=0),0))))</f>
      </c>
      <c r="H4242">
        <f>IF(DATOS!$G4242&lt;&gt;"EX",0,--(COUNTIFS(nNIA,DATOS!$A4242,nCURSO,DATOS!$D4242,nESPEC,DATOS!$E4242,nASIG,DATOS!$I4242,nEVAL,"OR")=0))</f>
      </c>
      <c r="I4242">
        <f>IF(DATOS!$I4242="","",IFERROR(VLOOKUP(DATOS!$I4242,CONFIG_ASIGNATURAS!$B$2:$J$91,9,FALSE()),""))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IF(DATOS!$A4243="",0,IF(CONFIG_METADATA!$B$4&lt;&gt;"OR+EX",--(DATOS!$G4243=CONFIG_METADATA!$B$4),IF(DATOS!$G4243="EX",1,IF(DATOS!$G4243="OR",--(COUNTIFS(nNIA,DATOS!$A4243,nCURSO,DATOS!$D4243,nESPEC,DATOS!$E4243,nASIG,DATOS!$I4243,nEVAL,"EX")=0),0))))</f>
      </c>
      <c r="H4243">
        <f>IF(DATOS!$G4243&lt;&gt;"EX",0,--(COUNTIFS(nNIA,DATOS!$A4243,nCURSO,DATOS!$D4243,nESPEC,DATOS!$E4243,nASIG,DATOS!$I4243,nEVAL,"OR")=0))</f>
      </c>
      <c r="I4243">
        <f>IF(DATOS!$I4243="","",IFERROR(VLOOKUP(DATOS!$I4243,CONFIG_ASIGNATURAS!$B$2:$J$91,9,FALSE()),""))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IF(DATOS!$A4244="",0,IF(CONFIG_METADATA!$B$4&lt;&gt;"OR+EX",--(DATOS!$G4244=CONFIG_METADATA!$B$4),IF(DATOS!$G4244="EX",1,IF(DATOS!$G4244="OR",--(COUNTIFS(nNIA,DATOS!$A4244,nCURSO,DATOS!$D4244,nESPEC,DATOS!$E4244,nASIG,DATOS!$I4244,nEVAL,"EX")=0),0))))</f>
      </c>
      <c r="H4244">
        <f>IF(DATOS!$G4244&lt;&gt;"EX",0,--(COUNTIFS(nNIA,DATOS!$A4244,nCURSO,DATOS!$D4244,nESPEC,DATOS!$E4244,nASIG,DATOS!$I4244,nEVAL,"OR")=0))</f>
      </c>
      <c r="I4244">
        <f>IF(DATOS!$I4244="","",IFERROR(VLOOKUP(DATOS!$I4244,CONFIG_ASIGNATURAS!$B$2:$J$91,9,FALSE()),""))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IF(DATOS!$A4245="",0,IF(CONFIG_METADATA!$B$4&lt;&gt;"OR+EX",--(DATOS!$G4245=CONFIG_METADATA!$B$4),IF(DATOS!$G4245="EX",1,IF(DATOS!$G4245="OR",--(COUNTIFS(nNIA,DATOS!$A4245,nCURSO,DATOS!$D4245,nESPEC,DATOS!$E4245,nASIG,DATOS!$I4245,nEVAL,"EX")=0),0))))</f>
      </c>
      <c r="H4245">
        <f>IF(DATOS!$G4245&lt;&gt;"EX",0,--(COUNTIFS(nNIA,DATOS!$A4245,nCURSO,DATOS!$D4245,nESPEC,DATOS!$E4245,nASIG,DATOS!$I4245,nEVAL,"OR")=0))</f>
      </c>
      <c r="I4245">
        <f>IF(DATOS!$I4245="","",IFERROR(VLOOKUP(DATOS!$I4245,CONFIG_ASIGNATURAS!$B$2:$J$91,9,FALSE()),""))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IF(DATOS!$A4246="",0,IF(CONFIG_METADATA!$B$4&lt;&gt;"OR+EX",--(DATOS!$G4246=CONFIG_METADATA!$B$4),IF(DATOS!$G4246="EX",1,IF(DATOS!$G4246="OR",--(COUNTIFS(nNIA,DATOS!$A4246,nCURSO,DATOS!$D4246,nESPEC,DATOS!$E4246,nASIG,DATOS!$I4246,nEVAL,"EX")=0),0))))</f>
      </c>
      <c r="H4246">
        <f>IF(DATOS!$G4246&lt;&gt;"EX",0,--(COUNTIFS(nNIA,DATOS!$A4246,nCURSO,DATOS!$D4246,nESPEC,DATOS!$E4246,nASIG,DATOS!$I4246,nEVAL,"OR")=0))</f>
      </c>
      <c r="I4246">
        <f>IF(DATOS!$I4246="","",IFERROR(VLOOKUP(DATOS!$I4246,CONFIG_ASIGNATURAS!$B$2:$J$91,9,FALSE()),""))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IF(DATOS!$A4247="",0,IF(CONFIG_METADATA!$B$4&lt;&gt;"OR+EX",--(DATOS!$G4247=CONFIG_METADATA!$B$4),IF(DATOS!$G4247="EX",1,IF(DATOS!$G4247="OR",--(COUNTIFS(nNIA,DATOS!$A4247,nCURSO,DATOS!$D4247,nESPEC,DATOS!$E4247,nASIG,DATOS!$I4247,nEVAL,"EX")=0),0))))</f>
      </c>
      <c r="H4247">
        <f>IF(DATOS!$G4247&lt;&gt;"EX",0,--(COUNTIFS(nNIA,DATOS!$A4247,nCURSO,DATOS!$D4247,nESPEC,DATOS!$E4247,nASIG,DATOS!$I4247,nEVAL,"OR")=0))</f>
      </c>
      <c r="I4247">
        <f>IF(DATOS!$I4247="","",IFERROR(VLOOKUP(DATOS!$I4247,CONFIG_ASIGNATURAS!$B$2:$J$91,9,FALSE()),""))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IF(DATOS!$A4248="",0,IF(CONFIG_METADATA!$B$4&lt;&gt;"OR+EX",--(DATOS!$G4248=CONFIG_METADATA!$B$4),IF(DATOS!$G4248="EX",1,IF(DATOS!$G4248="OR",--(COUNTIFS(nNIA,DATOS!$A4248,nCURSO,DATOS!$D4248,nESPEC,DATOS!$E4248,nASIG,DATOS!$I4248,nEVAL,"EX")=0),0))))</f>
      </c>
      <c r="H4248">
        <f>IF(DATOS!$G4248&lt;&gt;"EX",0,--(COUNTIFS(nNIA,DATOS!$A4248,nCURSO,DATOS!$D4248,nESPEC,DATOS!$E4248,nASIG,DATOS!$I4248,nEVAL,"OR")=0))</f>
      </c>
      <c r="I4248">
        <f>IF(DATOS!$I4248="","",IFERROR(VLOOKUP(DATOS!$I4248,CONFIG_ASIGNATURAS!$B$2:$J$91,9,FALSE()),""))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IF(DATOS!$A4249="",0,IF(CONFIG_METADATA!$B$4&lt;&gt;"OR+EX",--(DATOS!$G4249=CONFIG_METADATA!$B$4),IF(DATOS!$G4249="EX",1,IF(DATOS!$G4249="OR",--(COUNTIFS(nNIA,DATOS!$A4249,nCURSO,DATOS!$D4249,nESPEC,DATOS!$E4249,nASIG,DATOS!$I4249,nEVAL,"EX")=0),0))))</f>
      </c>
      <c r="H4249">
        <f>IF(DATOS!$G4249&lt;&gt;"EX",0,--(COUNTIFS(nNIA,DATOS!$A4249,nCURSO,DATOS!$D4249,nESPEC,DATOS!$E4249,nASIG,DATOS!$I4249,nEVAL,"OR")=0))</f>
      </c>
      <c r="I4249">
        <f>IF(DATOS!$I4249="","",IFERROR(VLOOKUP(DATOS!$I4249,CONFIG_ASIGNATURAS!$B$2:$J$91,9,FALSE()),""))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IF(DATOS!$A4250="",0,IF(CONFIG_METADATA!$B$4&lt;&gt;"OR+EX",--(DATOS!$G4250=CONFIG_METADATA!$B$4),IF(DATOS!$G4250="EX",1,IF(DATOS!$G4250="OR",--(COUNTIFS(nNIA,DATOS!$A4250,nCURSO,DATOS!$D4250,nESPEC,DATOS!$E4250,nASIG,DATOS!$I4250,nEVAL,"EX")=0),0))))</f>
      </c>
      <c r="H4250">
        <f>IF(DATOS!$G4250&lt;&gt;"EX",0,--(COUNTIFS(nNIA,DATOS!$A4250,nCURSO,DATOS!$D4250,nESPEC,DATOS!$E4250,nASIG,DATOS!$I4250,nEVAL,"OR")=0))</f>
      </c>
      <c r="I4250">
        <f>IF(DATOS!$I4250="","",IFERROR(VLOOKUP(DATOS!$I4250,CONFIG_ASIGNATURAS!$B$2:$J$91,9,FALSE()),""))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IF(DATOS!$A4251="",0,IF(CONFIG_METADATA!$B$4&lt;&gt;"OR+EX",--(DATOS!$G4251=CONFIG_METADATA!$B$4),IF(DATOS!$G4251="EX",1,IF(DATOS!$G4251="OR",--(COUNTIFS(nNIA,DATOS!$A4251,nCURSO,DATOS!$D4251,nESPEC,DATOS!$E4251,nASIG,DATOS!$I4251,nEVAL,"EX")=0),0))))</f>
      </c>
      <c r="H4251">
        <f>IF(DATOS!$G4251&lt;&gt;"EX",0,--(COUNTIFS(nNIA,DATOS!$A4251,nCURSO,DATOS!$D4251,nESPEC,DATOS!$E4251,nASIG,DATOS!$I4251,nEVAL,"OR")=0))</f>
      </c>
      <c r="I4251">
        <f>IF(DATOS!$I4251="","",IFERROR(VLOOKUP(DATOS!$I4251,CONFIG_ASIGNATURAS!$B$2:$J$91,9,FALSE()),""))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IF(DATOS!$A4252="",0,IF(CONFIG_METADATA!$B$4&lt;&gt;"OR+EX",--(DATOS!$G4252=CONFIG_METADATA!$B$4),IF(DATOS!$G4252="EX",1,IF(DATOS!$G4252="OR",--(COUNTIFS(nNIA,DATOS!$A4252,nCURSO,DATOS!$D4252,nESPEC,DATOS!$E4252,nASIG,DATOS!$I4252,nEVAL,"EX")=0),0))))</f>
      </c>
      <c r="H4252">
        <f>IF(DATOS!$G4252&lt;&gt;"EX",0,--(COUNTIFS(nNIA,DATOS!$A4252,nCURSO,DATOS!$D4252,nESPEC,DATOS!$E4252,nASIG,DATOS!$I4252,nEVAL,"OR")=0))</f>
      </c>
      <c r="I4252">
        <f>IF(DATOS!$I4252="","",IFERROR(VLOOKUP(DATOS!$I4252,CONFIG_ASIGNATURAS!$B$2:$J$91,9,FALSE()),""))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IF(DATOS!$A4253="",0,IF(CONFIG_METADATA!$B$4&lt;&gt;"OR+EX",--(DATOS!$G4253=CONFIG_METADATA!$B$4),IF(DATOS!$G4253="EX",1,IF(DATOS!$G4253="OR",--(COUNTIFS(nNIA,DATOS!$A4253,nCURSO,DATOS!$D4253,nESPEC,DATOS!$E4253,nASIG,DATOS!$I4253,nEVAL,"EX")=0),0))))</f>
      </c>
      <c r="H4253">
        <f>IF(DATOS!$G4253&lt;&gt;"EX",0,--(COUNTIFS(nNIA,DATOS!$A4253,nCURSO,DATOS!$D4253,nESPEC,DATOS!$E4253,nASIG,DATOS!$I4253,nEVAL,"OR")=0))</f>
      </c>
      <c r="I4253">
        <f>IF(DATOS!$I4253="","",IFERROR(VLOOKUP(DATOS!$I4253,CONFIG_ASIGNATURAS!$B$2:$J$91,9,FALSE()),""))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IF(DATOS!$A4254="",0,IF(CONFIG_METADATA!$B$4&lt;&gt;"OR+EX",--(DATOS!$G4254=CONFIG_METADATA!$B$4),IF(DATOS!$G4254="EX",1,IF(DATOS!$G4254="OR",--(COUNTIFS(nNIA,DATOS!$A4254,nCURSO,DATOS!$D4254,nESPEC,DATOS!$E4254,nASIG,DATOS!$I4254,nEVAL,"EX")=0),0))))</f>
      </c>
      <c r="H4254">
        <f>IF(DATOS!$G4254&lt;&gt;"EX",0,--(COUNTIFS(nNIA,DATOS!$A4254,nCURSO,DATOS!$D4254,nESPEC,DATOS!$E4254,nASIG,DATOS!$I4254,nEVAL,"OR")=0))</f>
      </c>
      <c r="I4254">
        <f>IF(DATOS!$I4254="","",IFERROR(VLOOKUP(DATOS!$I4254,CONFIG_ASIGNATURAS!$B$2:$J$91,9,FALSE()),""))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IF(DATOS!$A4255="",0,IF(CONFIG_METADATA!$B$4&lt;&gt;"OR+EX",--(DATOS!$G4255=CONFIG_METADATA!$B$4),IF(DATOS!$G4255="EX",1,IF(DATOS!$G4255="OR",--(COUNTIFS(nNIA,DATOS!$A4255,nCURSO,DATOS!$D4255,nESPEC,DATOS!$E4255,nASIG,DATOS!$I4255,nEVAL,"EX")=0),0))))</f>
      </c>
      <c r="H4255">
        <f>IF(DATOS!$G4255&lt;&gt;"EX",0,--(COUNTIFS(nNIA,DATOS!$A4255,nCURSO,DATOS!$D4255,nESPEC,DATOS!$E4255,nASIG,DATOS!$I4255,nEVAL,"OR")=0))</f>
      </c>
      <c r="I4255">
        <f>IF(DATOS!$I4255="","",IFERROR(VLOOKUP(DATOS!$I4255,CONFIG_ASIGNATURAS!$B$2:$J$91,9,FALSE()),""))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IF(DATOS!$A4256="",0,IF(CONFIG_METADATA!$B$4&lt;&gt;"OR+EX",--(DATOS!$G4256=CONFIG_METADATA!$B$4),IF(DATOS!$G4256="EX",1,IF(DATOS!$G4256="OR",--(COUNTIFS(nNIA,DATOS!$A4256,nCURSO,DATOS!$D4256,nESPEC,DATOS!$E4256,nASIG,DATOS!$I4256,nEVAL,"EX")=0),0))))</f>
      </c>
      <c r="H4256">
        <f>IF(DATOS!$G4256&lt;&gt;"EX",0,--(COUNTIFS(nNIA,DATOS!$A4256,nCURSO,DATOS!$D4256,nESPEC,DATOS!$E4256,nASIG,DATOS!$I4256,nEVAL,"OR")=0))</f>
      </c>
      <c r="I4256">
        <f>IF(DATOS!$I4256="","",IFERROR(VLOOKUP(DATOS!$I4256,CONFIG_ASIGNATURAS!$B$2:$J$91,9,FALSE()),""))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IF(DATOS!$A4257="",0,IF(CONFIG_METADATA!$B$4&lt;&gt;"OR+EX",--(DATOS!$G4257=CONFIG_METADATA!$B$4),IF(DATOS!$G4257="EX",1,IF(DATOS!$G4257="OR",--(COUNTIFS(nNIA,DATOS!$A4257,nCURSO,DATOS!$D4257,nESPEC,DATOS!$E4257,nASIG,DATOS!$I4257,nEVAL,"EX")=0),0))))</f>
      </c>
      <c r="H4257">
        <f>IF(DATOS!$G4257&lt;&gt;"EX",0,--(COUNTIFS(nNIA,DATOS!$A4257,nCURSO,DATOS!$D4257,nESPEC,DATOS!$E4257,nASIG,DATOS!$I4257,nEVAL,"OR")=0))</f>
      </c>
      <c r="I4257">
        <f>IF(DATOS!$I4257="","",IFERROR(VLOOKUP(DATOS!$I4257,CONFIG_ASIGNATURAS!$B$2:$J$91,9,FALSE()),""))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IF(DATOS!$A4258="",0,IF(CONFIG_METADATA!$B$4&lt;&gt;"OR+EX",--(DATOS!$G4258=CONFIG_METADATA!$B$4),IF(DATOS!$G4258="EX",1,IF(DATOS!$G4258="OR",--(COUNTIFS(nNIA,DATOS!$A4258,nCURSO,DATOS!$D4258,nESPEC,DATOS!$E4258,nASIG,DATOS!$I4258,nEVAL,"EX")=0),0))))</f>
      </c>
      <c r="H4258">
        <f>IF(DATOS!$G4258&lt;&gt;"EX",0,--(COUNTIFS(nNIA,DATOS!$A4258,nCURSO,DATOS!$D4258,nESPEC,DATOS!$E4258,nASIG,DATOS!$I4258,nEVAL,"OR")=0))</f>
      </c>
      <c r="I4258">
        <f>IF(DATOS!$I4258="","",IFERROR(VLOOKUP(DATOS!$I4258,CONFIG_ASIGNATURAS!$B$2:$J$91,9,FALSE()),""))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IF(DATOS!$A4259="",0,IF(CONFIG_METADATA!$B$4&lt;&gt;"OR+EX",--(DATOS!$G4259=CONFIG_METADATA!$B$4),IF(DATOS!$G4259="EX",1,IF(DATOS!$G4259="OR",--(COUNTIFS(nNIA,DATOS!$A4259,nCURSO,DATOS!$D4259,nESPEC,DATOS!$E4259,nASIG,DATOS!$I4259,nEVAL,"EX")=0),0))))</f>
      </c>
      <c r="H4259">
        <f>IF(DATOS!$G4259&lt;&gt;"EX",0,--(COUNTIFS(nNIA,DATOS!$A4259,nCURSO,DATOS!$D4259,nESPEC,DATOS!$E4259,nASIG,DATOS!$I4259,nEVAL,"OR")=0))</f>
      </c>
      <c r="I4259">
        <f>IF(DATOS!$I4259="","",IFERROR(VLOOKUP(DATOS!$I4259,CONFIG_ASIGNATURAS!$B$2:$J$91,9,FALSE()),""))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IF(DATOS!$A4260="",0,IF(CONFIG_METADATA!$B$4&lt;&gt;"OR+EX",--(DATOS!$G4260=CONFIG_METADATA!$B$4),IF(DATOS!$G4260="EX",1,IF(DATOS!$G4260="OR",--(COUNTIFS(nNIA,DATOS!$A4260,nCURSO,DATOS!$D4260,nESPEC,DATOS!$E4260,nASIG,DATOS!$I4260,nEVAL,"EX")=0),0))))</f>
      </c>
      <c r="H4260">
        <f>IF(DATOS!$G4260&lt;&gt;"EX",0,--(COUNTIFS(nNIA,DATOS!$A4260,nCURSO,DATOS!$D4260,nESPEC,DATOS!$E4260,nASIG,DATOS!$I4260,nEVAL,"OR")=0))</f>
      </c>
      <c r="I4260">
        <f>IF(DATOS!$I4260="","",IFERROR(VLOOKUP(DATOS!$I4260,CONFIG_ASIGNATURAS!$B$2:$J$91,9,FALSE()),""))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IF(DATOS!$A4261="",0,IF(CONFIG_METADATA!$B$4&lt;&gt;"OR+EX",--(DATOS!$G4261=CONFIG_METADATA!$B$4),IF(DATOS!$G4261="EX",1,IF(DATOS!$G4261="OR",--(COUNTIFS(nNIA,DATOS!$A4261,nCURSO,DATOS!$D4261,nESPEC,DATOS!$E4261,nASIG,DATOS!$I4261,nEVAL,"EX")=0),0))))</f>
      </c>
      <c r="H4261">
        <f>IF(DATOS!$G4261&lt;&gt;"EX",0,--(COUNTIFS(nNIA,DATOS!$A4261,nCURSO,DATOS!$D4261,nESPEC,DATOS!$E4261,nASIG,DATOS!$I4261,nEVAL,"OR")=0))</f>
      </c>
      <c r="I4261">
        <f>IF(DATOS!$I4261="","",IFERROR(VLOOKUP(DATOS!$I4261,CONFIG_ASIGNATURAS!$B$2:$J$91,9,FALSE()),""))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IF(DATOS!$A4262="",0,IF(CONFIG_METADATA!$B$4&lt;&gt;"OR+EX",--(DATOS!$G4262=CONFIG_METADATA!$B$4),IF(DATOS!$G4262="EX",1,IF(DATOS!$G4262="OR",--(COUNTIFS(nNIA,DATOS!$A4262,nCURSO,DATOS!$D4262,nESPEC,DATOS!$E4262,nASIG,DATOS!$I4262,nEVAL,"EX")=0),0))))</f>
      </c>
      <c r="H4262">
        <f>IF(DATOS!$G4262&lt;&gt;"EX",0,--(COUNTIFS(nNIA,DATOS!$A4262,nCURSO,DATOS!$D4262,nESPEC,DATOS!$E4262,nASIG,DATOS!$I4262,nEVAL,"OR")=0))</f>
      </c>
      <c r="I4262">
        <f>IF(DATOS!$I4262="","",IFERROR(VLOOKUP(DATOS!$I4262,CONFIG_ASIGNATURAS!$B$2:$J$91,9,FALSE()),""))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IF(DATOS!$A4263="",0,IF(CONFIG_METADATA!$B$4&lt;&gt;"OR+EX",--(DATOS!$G4263=CONFIG_METADATA!$B$4),IF(DATOS!$G4263="EX",1,IF(DATOS!$G4263="OR",--(COUNTIFS(nNIA,DATOS!$A4263,nCURSO,DATOS!$D4263,nESPEC,DATOS!$E4263,nASIG,DATOS!$I4263,nEVAL,"EX")=0),0))))</f>
      </c>
      <c r="H4263">
        <f>IF(DATOS!$G4263&lt;&gt;"EX",0,--(COUNTIFS(nNIA,DATOS!$A4263,nCURSO,DATOS!$D4263,nESPEC,DATOS!$E4263,nASIG,DATOS!$I4263,nEVAL,"OR")=0))</f>
      </c>
      <c r="I4263">
        <f>IF(DATOS!$I4263="","",IFERROR(VLOOKUP(DATOS!$I4263,CONFIG_ASIGNATURAS!$B$2:$J$91,9,FALSE()),""))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IF(DATOS!$A4264="",0,IF(CONFIG_METADATA!$B$4&lt;&gt;"OR+EX",--(DATOS!$G4264=CONFIG_METADATA!$B$4),IF(DATOS!$G4264="EX",1,IF(DATOS!$G4264="OR",--(COUNTIFS(nNIA,DATOS!$A4264,nCURSO,DATOS!$D4264,nESPEC,DATOS!$E4264,nASIG,DATOS!$I4264,nEVAL,"EX")=0),0))))</f>
      </c>
      <c r="H4264">
        <f>IF(DATOS!$G4264&lt;&gt;"EX",0,--(COUNTIFS(nNIA,DATOS!$A4264,nCURSO,DATOS!$D4264,nESPEC,DATOS!$E4264,nASIG,DATOS!$I4264,nEVAL,"OR")=0))</f>
      </c>
      <c r="I4264">
        <f>IF(DATOS!$I4264="","",IFERROR(VLOOKUP(DATOS!$I4264,CONFIG_ASIGNATURAS!$B$2:$J$91,9,FALSE()),""))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IF(DATOS!$A4265="",0,IF(CONFIG_METADATA!$B$4&lt;&gt;"OR+EX",--(DATOS!$G4265=CONFIG_METADATA!$B$4),IF(DATOS!$G4265="EX",1,IF(DATOS!$G4265="OR",--(COUNTIFS(nNIA,DATOS!$A4265,nCURSO,DATOS!$D4265,nESPEC,DATOS!$E4265,nASIG,DATOS!$I4265,nEVAL,"EX")=0),0))))</f>
      </c>
      <c r="H4265">
        <f>IF(DATOS!$G4265&lt;&gt;"EX",0,--(COUNTIFS(nNIA,DATOS!$A4265,nCURSO,DATOS!$D4265,nESPEC,DATOS!$E4265,nASIG,DATOS!$I4265,nEVAL,"OR")=0))</f>
      </c>
      <c r="I4265">
        <f>IF(DATOS!$I4265="","",IFERROR(VLOOKUP(DATOS!$I4265,CONFIG_ASIGNATURAS!$B$2:$J$91,9,FALSE()),""))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IF(DATOS!$A4266="",0,IF(CONFIG_METADATA!$B$4&lt;&gt;"OR+EX",--(DATOS!$G4266=CONFIG_METADATA!$B$4),IF(DATOS!$G4266="EX",1,IF(DATOS!$G4266="OR",--(COUNTIFS(nNIA,DATOS!$A4266,nCURSO,DATOS!$D4266,nESPEC,DATOS!$E4266,nASIG,DATOS!$I4266,nEVAL,"EX")=0),0))))</f>
      </c>
      <c r="H4266">
        <f>IF(DATOS!$G4266&lt;&gt;"EX",0,--(COUNTIFS(nNIA,DATOS!$A4266,nCURSO,DATOS!$D4266,nESPEC,DATOS!$E4266,nASIG,DATOS!$I4266,nEVAL,"OR")=0))</f>
      </c>
      <c r="I4266">
        <f>IF(DATOS!$I4266="","",IFERROR(VLOOKUP(DATOS!$I4266,CONFIG_ASIGNATURAS!$B$2:$J$91,9,FALSE()),""))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IF(DATOS!$A4267="",0,IF(CONFIG_METADATA!$B$4&lt;&gt;"OR+EX",--(DATOS!$G4267=CONFIG_METADATA!$B$4),IF(DATOS!$G4267="EX",1,IF(DATOS!$G4267="OR",--(COUNTIFS(nNIA,DATOS!$A4267,nCURSO,DATOS!$D4267,nESPEC,DATOS!$E4267,nASIG,DATOS!$I4267,nEVAL,"EX")=0),0))))</f>
      </c>
      <c r="H4267">
        <f>IF(DATOS!$G4267&lt;&gt;"EX",0,--(COUNTIFS(nNIA,DATOS!$A4267,nCURSO,DATOS!$D4267,nESPEC,DATOS!$E4267,nASIG,DATOS!$I4267,nEVAL,"OR")=0))</f>
      </c>
      <c r="I4267">
        <f>IF(DATOS!$I4267="","",IFERROR(VLOOKUP(DATOS!$I4267,CONFIG_ASIGNATURAS!$B$2:$J$91,9,FALSE()),""))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IF(DATOS!$A4268="",0,IF(CONFIG_METADATA!$B$4&lt;&gt;"OR+EX",--(DATOS!$G4268=CONFIG_METADATA!$B$4),IF(DATOS!$G4268="EX",1,IF(DATOS!$G4268="OR",--(COUNTIFS(nNIA,DATOS!$A4268,nCURSO,DATOS!$D4268,nESPEC,DATOS!$E4268,nASIG,DATOS!$I4268,nEVAL,"EX")=0),0))))</f>
      </c>
      <c r="H4268">
        <f>IF(DATOS!$G4268&lt;&gt;"EX",0,--(COUNTIFS(nNIA,DATOS!$A4268,nCURSO,DATOS!$D4268,nESPEC,DATOS!$E4268,nASIG,DATOS!$I4268,nEVAL,"OR")=0))</f>
      </c>
      <c r="I4268">
        <f>IF(DATOS!$I4268="","",IFERROR(VLOOKUP(DATOS!$I4268,CONFIG_ASIGNATURAS!$B$2:$J$91,9,FALSE()),""))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IF(DATOS!$A4269="",0,IF(CONFIG_METADATA!$B$4&lt;&gt;"OR+EX",--(DATOS!$G4269=CONFIG_METADATA!$B$4),IF(DATOS!$G4269="EX",1,IF(DATOS!$G4269="OR",--(COUNTIFS(nNIA,DATOS!$A4269,nCURSO,DATOS!$D4269,nESPEC,DATOS!$E4269,nASIG,DATOS!$I4269,nEVAL,"EX")=0),0))))</f>
      </c>
      <c r="H4269">
        <f>IF(DATOS!$G4269&lt;&gt;"EX",0,--(COUNTIFS(nNIA,DATOS!$A4269,nCURSO,DATOS!$D4269,nESPEC,DATOS!$E4269,nASIG,DATOS!$I4269,nEVAL,"OR")=0))</f>
      </c>
      <c r="I4269">
        <f>IF(DATOS!$I4269="","",IFERROR(VLOOKUP(DATOS!$I4269,CONFIG_ASIGNATURAS!$B$2:$J$91,9,FALSE()),""))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IF(DATOS!$A4270="",0,IF(CONFIG_METADATA!$B$4&lt;&gt;"OR+EX",--(DATOS!$G4270=CONFIG_METADATA!$B$4),IF(DATOS!$G4270="EX",1,IF(DATOS!$G4270="OR",--(COUNTIFS(nNIA,DATOS!$A4270,nCURSO,DATOS!$D4270,nESPEC,DATOS!$E4270,nASIG,DATOS!$I4270,nEVAL,"EX")=0),0))))</f>
      </c>
      <c r="H4270">
        <f>IF(DATOS!$G4270&lt;&gt;"EX",0,--(COUNTIFS(nNIA,DATOS!$A4270,nCURSO,DATOS!$D4270,nESPEC,DATOS!$E4270,nASIG,DATOS!$I4270,nEVAL,"OR")=0))</f>
      </c>
      <c r="I4270">
        <f>IF(DATOS!$I4270="","",IFERROR(VLOOKUP(DATOS!$I4270,CONFIG_ASIGNATURAS!$B$2:$J$91,9,FALSE()),""))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IF(DATOS!$A4271="",0,IF(CONFIG_METADATA!$B$4&lt;&gt;"OR+EX",--(DATOS!$G4271=CONFIG_METADATA!$B$4),IF(DATOS!$G4271="EX",1,IF(DATOS!$G4271="OR",--(COUNTIFS(nNIA,DATOS!$A4271,nCURSO,DATOS!$D4271,nESPEC,DATOS!$E4271,nASIG,DATOS!$I4271,nEVAL,"EX")=0),0))))</f>
      </c>
      <c r="H4271">
        <f>IF(DATOS!$G4271&lt;&gt;"EX",0,--(COUNTIFS(nNIA,DATOS!$A4271,nCURSO,DATOS!$D4271,nESPEC,DATOS!$E4271,nASIG,DATOS!$I4271,nEVAL,"OR")=0))</f>
      </c>
      <c r="I4271">
        <f>IF(DATOS!$I4271="","",IFERROR(VLOOKUP(DATOS!$I4271,CONFIG_ASIGNATURAS!$B$2:$J$91,9,FALSE()),""))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IF(DATOS!$A4272="",0,IF(CONFIG_METADATA!$B$4&lt;&gt;"OR+EX",--(DATOS!$G4272=CONFIG_METADATA!$B$4),IF(DATOS!$G4272="EX",1,IF(DATOS!$G4272="OR",--(COUNTIFS(nNIA,DATOS!$A4272,nCURSO,DATOS!$D4272,nESPEC,DATOS!$E4272,nASIG,DATOS!$I4272,nEVAL,"EX")=0),0))))</f>
      </c>
      <c r="H4272">
        <f>IF(DATOS!$G4272&lt;&gt;"EX",0,--(COUNTIFS(nNIA,DATOS!$A4272,nCURSO,DATOS!$D4272,nESPEC,DATOS!$E4272,nASIG,DATOS!$I4272,nEVAL,"OR")=0))</f>
      </c>
      <c r="I4272">
        <f>IF(DATOS!$I4272="","",IFERROR(VLOOKUP(DATOS!$I4272,CONFIG_ASIGNATURAS!$B$2:$J$91,9,FALSE()),""))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IF(DATOS!$A4273="",0,IF(CONFIG_METADATA!$B$4&lt;&gt;"OR+EX",--(DATOS!$G4273=CONFIG_METADATA!$B$4),IF(DATOS!$G4273="EX",1,IF(DATOS!$G4273="OR",--(COUNTIFS(nNIA,DATOS!$A4273,nCURSO,DATOS!$D4273,nESPEC,DATOS!$E4273,nASIG,DATOS!$I4273,nEVAL,"EX")=0),0))))</f>
      </c>
      <c r="H4273">
        <f>IF(DATOS!$G4273&lt;&gt;"EX",0,--(COUNTIFS(nNIA,DATOS!$A4273,nCURSO,DATOS!$D4273,nESPEC,DATOS!$E4273,nASIG,DATOS!$I4273,nEVAL,"OR")=0))</f>
      </c>
      <c r="I4273">
        <f>IF(DATOS!$I4273="","",IFERROR(VLOOKUP(DATOS!$I4273,CONFIG_ASIGNATURAS!$B$2:$J$91,9,FALSE()),""))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IF(DATOS!$A4274="",0,IF(CONFIG_METADATA!$B$4&lt;&gt;"OR+EX",--(DATOS!$G4274=CONFIG_METADATA!$B$4),IF(DATOS!$G4274="EX",1,IF(DATOS!$G4274="OR",--(COUNTIFS(nNIA,DATOS!$A4274,nCURSO,DATOS!$D4274,nESPEC,DATOS!$E4274,nASIG,DATOS!$I4274,nEVAL,"EX")=0),0))))</f>
      </c>
      <c r="H4274">
        <f>IF(DATOS!$G4274&lt;&gt;"EX",0,--(COUNTIFS(nNIA,DATOS!$A4274,nCURSO,DATOS!$D4274,nESPEC,DATOS!$E4274,nASIG,DATOS!$I4274,nEVAL,"OR")=0))</f>
      </c>
      <c r="I4274">
        <f>IF(DATOS!$I4274="","",IFERROR(VLOOKUP(DATOS!$I4274,CONFIG_ASIGNATURAS!$B$2:$J$91,9,FALSE()),""))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IF(DATOS!$A4275="",0,IF(CONFIG_METADATA!$B$4&lt;&gt;"OR+EX",--(DATOS!$G4275=CONFIG_METADATA!$B$4),IF(DATOS!$G4275="EX",1,IF(DATOS!$G4275="OR",--(COUNTIFS(nNIA,DATOS!$A4275,nCURSO,DATOS!$D4275,nESPEC,DATOS!$E4275,nASIG,DATOS!$I4275,nEVAL,"EX")=0),0))))</f>
      </c>
      <c r="H4275">
        <f>IF(DATOS!$G4275&lt;&gt;"EX",0,--(COUNTIFS(nNIA,DATOS!$A4275,nCURSO,DATOS!$D4275,nESPEC,DATOS!$E4275,nASIG,DATOS!$I4275,nEVAL,"OR")=0))</f>
      </c>
      <c r="I4275">
        <f>IF(DATOS!$I4275="","",IFERROR(VLOOKUP(DATOS!$I4275,CONFIG_ASIGNATURAS!$B$2:$J$91,9,FALSE()),""))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IF(DATOS!$A4276="",0,IF(CONFIG_METADATA!$B$4&lt;&gt;"OR+EX",--(DATOS!$G4276=CONFIG_METADATA!$B$4),IF(DATOS!$G4276="EX",1,IF(DATOS!$G4276="OR",--(COUNTIFS(nNIA,DATOS!$A4276,nCURSO,DATOS!$D4276,nESPEC,DATOS!$E4276,nASIG,DATOS!$I4276,nEVAL,"EX")=0),0))))</f>
      </c>
      <c r="H4276">
        <f>IF(DATOS!$G4276&lt;&gt;"EX",0,--(COUNTIFS(nNIA,DATOS!$A4276,nCURSO,DATOS!$D4276,nESPEC,DATOS!$E4276,nASIG,DATOS!$I4276,nEVAL,"OR")=0))</f>
      </c>
      <c r="I4276">
        <f>IF(DATOS!$I4276="","",IFERROR(VLOOKUP(DATOS!$I4276,CONFIG_ASIGNATURAS!$B$2:$J$91,9,FALSE()),""))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IF(DATOS!$A4277="",0,IF(CONFIG_METADATA!$B$4&lt;&gt;"OR+EX",--(DATOS!$G4277=CONFIG_METADATA!$B$4),IF(DATOS!$G4277="EX",1,IF(DATOS!$G4277="OR",--(COUNTIFS(nNIA,DATOS!$A4277,nCURSO,DATOS!$D4277,nESPEC,DATOS!$E4277,nASIG,DATOS!$I4277,nEVAL,"EX")=0),0))))</f>
      </c>
      <c r="H4277">
        <f>IF(DATOS!$G4277&lt;&gt;"EX",0,--(COUNTIFS(nNIA,DATOS!$A4277,nCURSO,DATOS!$D4277,nESPEC,DATOS!$E4277,nASIG,DATOS!$I4277,nEVAL,"OR")=0))</f>
      </c>
      <c r="I4277">
        <f>IF(DATOS!$I4277="","",IFERROR(VLOOKUP(DATOS!$I4277,CONFIG_ASIGNATURAS!$B$2:$J$91,9,FALSE()),""))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IF(DATOS!$A4278="",0,IF(CONFIG_METADATA!$B$4&lt;&gt;"OR+EX",--(DATOS!$G4278=CONFIG_METADATA!$B$4),IF(DATOS!$G4278="EX",1,IF(DATOS!$G4278="OR",--(COUNTIFS(nNIA,DATOS!$A4278,nCURSO,DATOS!$D4278,nESPEC,DATOS!$E4278,nASIG,DATOS!$I4278,nEVAL,"EX")=0),0))))</f>
      </c>
      <c r="H4278">
        <f>IF(DATOS!$G4278&lt;&gt;"EX",0,--(COUNTIFS(nNIA,DATOS!$A4278,nCURSO,DATOS!$D4278,nESPEC,DATOS!$E4278,nASIG,DATOS!$I4278,nEVAL,"OR")=0))</f>
      </c>
      <c r="I4278">
        <f>IF(DATOS!$I4278="","",IFERROR(VLOOKUP(DATOS!$I4278,CONFIG_ASIGNATURAS!$B$2:$J$91,9,FALSE()),""))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IF(DATOS!$A4279="",0,IF(CONFIG_METADATA!$B$4&lt;&gt;"OR+EX",--(DATOS!$G4279=CONFIG_METADATA!$B$4),IF(DATOS!$G4279="EX",1,IF(DATOS!$G4279="OR",--(COUNTIFS(nNIA,DATOS!$A4279,nCURSO,DATOS!$D4279,nESPEC,DATOS!$E4279,nASIG,DATOS!$I4279,nEVAL,"EX")=0),0))))</f>
      </c>
      <c r="H4279">
        <f>IF(DATOS!$G4279&lt;&gt;"EX",0,--(COUNTIFS(nNIA,DATOS!$A4279,nCURSO,DATOS!$D4279,nESPEC,DATOS!$E4279,nASIG,DATOS!$I4279,nEVAL,"OR")=0))</f>
      </c>
      <c r="I4279">
        <f>IF(DATOS!$I4279="","",IFERROR(VLOOKUP(DATOS!$I4279,CONFIG_ASIGNATURAS!$B$2:$J$91,9,FALSE()),""))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IF(DATOS!$A4280="",0,IF(CONFIG_METADATA!$B$4&lt;&gt;"OR+EX",--(DATOS!$G4280=CONFIG_METADATA!$B$4),IF(DATOS!$G4280="EX",1,IF(DATOS!$G4280="OR",--(COUNTIFS(nNIA,DATOS!$A4280,nCURSO,DATOS!$D4280,nESPEC,DATOS!$E4280,nASIG,DATOS!$I4280,nEVAL,"EX")=0),0))))</f>
      </c>
      <c r="H4280">
        <f>IF(DATOS!$G4280&lt;&gt;"EX",0,--(COUNTIFS(nNIA,DATOS!$A4280,nCURSO,DATOS!$D4280,nESPEC,DATOS!$E4280,nASIG,DATOS!$I4280,nEVAL,"OR")=0))</f>
      </c>
      <c r="I4280">
        <f>IF(DATOS!$I4280="","",IFERROR(VLOOKUP(DATOS!$I4280,CONFIG_ASIGNATURAS!$B$2:$J$91,9,FALSE()),""))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IF(DATOS!$A4281="",0,IF(CONFIG_METADATA!$B$4&lt;&gt;"OR+EX",--(DATOS!$G4281=CONFIG_METADATA!$B$4),IF(DATOS!$G4281="EX",1,IF(DATOS!$G4281="OR",--(COUNTIFS(nNIA,DATOS!$A4281,nCURSO,DATOS!$D4281,nESPEC,DATOS!$E4281,nASIG,DATOS!$I4281,nEVAL,"EX")=0),0))))</f>
      </c>
      <c r="H4281">
        <f>IF(DATOS!$G4281&lt;&gt;"EX",0,--(COUNTIFS(nNIA,DATOS!$A4281,nCURSO,DATOS!$D4281,nESPEC,DATOS!$E4281,nASIG,DATOS!$I4281,nEVAL,"OR")=0))</f>
      </c>
      <c r="I4281">
        <f>IF(DATOS!$I4281="","",IFERROR(VLOOKUP(DATOS!$I4281,CONFIG_ASIGNATURAS!$B$2:$J$91,9,FALSE()),""))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IF(DATOS!$A4282="",0,IF(CONFIG_METADATA!$B$4&lt;&gt;"OR+EX",--(DATOS!$G4282=CONFIG_METADATA!$B$4),IF(DATOS!$G4282="EX",1,IF(DATOS!$G4282="OR",--(COUNTIFS(nNIA,DATOS!$A4282,nCURSO,DATOS!$D4282,nESPEC,DATOS!$E4282,nASIG,DATOS!$I4282,nEVAL,"EX")=0),0))))</f>
      </c>
      <c r="H4282">
        <f>IF(DATOS!$G4282&lt;&gt;"EX",0,--(COUNTIFS(nNIA,DATOS!$A4282,nCURSO,DATOS!$D4282,nESPEC,DATOS!$E4282,nASIG,DATOS!$I4282,nEVAL,"OR")=0))</f>
      </c>
      <c r="I4282">
        <f>IF(DATOS!$I4282="","",IFERROR(VLOOKUP(DATOS!$I4282,CONFIG_ASIGNATURAS!$B$2:$J$91,9,FALSE()),""))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IF(DATOS!$A4283="",0,IF(CONFIG_METADATA!$B$4&lt;&gt;"OR+EX",--(DATOS!$G4283=CONFIG_METADATA!$B$4),IF(DATOS!$G4283="EX",1,IF(DATOS!$G4283="OR",--(COUNTIFS(nNIA,DATOS!$A4283,nCURSO,DATOS!$D4283,nESPEC,DATOS!$E4283,nASIG,DATOS!$I4283,nEVAL,"EX")=0),0))))</f>
      </c>
      <c r="H4283">
        <f>IF(DATOS!$G4283&lt;&gt;"EX",0,--(COUNTIFS(nNIA,DATOS!$A4283,nCURSO,DATOS!$D4283,nESPEC,DATOS!$E4283,nASIG,DATOS!$I4283,nEVAL,"OR")=0))</f>
      </c>
      <c r="I4283">
        <f>IF(DATOS!$I4283="","",IFERROR(VLOOKUP(DATOS!$I4283,CONFIG_ASIGNATURAS!$B$2:$J$91,9,FALSE()),""))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IF(DATOS!$A4284="",0,IF(CONFIG_METADATA!$B$4&lt;&gt;"OR+EX",--(DATOS!$G4284=CONFIG_METADATA!$B$4),IF(DATOS!$G4284="EX",1,IF(DATOS!$G4284="OR",--(COUNTIFS(nNIA,DATOS!$A4284,nCURSO,DATOS!$D4284,nESPEC,DATOS!$E4284,nASIG,DATOS!$I4284,nEVAL,"EX")=0),0))))</f>
      </c>
      <c r="H4284">
        <f>IF(DATOS!$G4284&lt;&gt;"EX",0,--(COUNTIFS(nNIA,DATOS!$A4284,nCURSO,DATOS!$D4284,nESPEC,DATOS!$E4284,nASIG,DATOS!$I4284,nEVAL,"OR")=0))</f>
      </c>
      <c r="I4284">
        <f>IF(DATOS!$I4284="","",IFERROR(VLOOKUP(DATOS!$I4284,CONFIG_ASIGNATURAS!$B$2:$J$91,9,FALSE()),""))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IF(DATOS!$A4285="",0,IF(CONFIG_METADATA!$B$4&lt;&gt;"OR+EX",--(DATOS!$G4285=CONFIG_METADATA!$B$4),IF(DATOS!$G4285="EX",1,IF(DATOS!$G4285="OR",--(COUNTIFS(nNIA,DATOS!$A4285,nCURSO,DATOS!$D4285,nESPEC,DATOS!$E4285,nASIG,DATOS!$I4285,nEVAL,"EX")=0),0))))</f>
      </c>
      <c r="H4285">
        <f>IF(DATOS!$G4285&lt;&gt;"EX",0,--(COUNTIFS(nNIA,DATOS!$A4285,nCURSO,DATOS!$D4285,nESPEC,DATOS!$E4285,nASIG,DATOS!$I4285,nEVAL,"OR")=0))</f>
      </c>
      <c r="I4285">
        <f>IF(DATOS!$I4285="","",IFERROR(VLOOKUP(DATOS!$I4285,CONFIG_ASIGNATURAS!$B$2:$J$91,9,FALSE()),""))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IF(DATOS!$A4286="",0,IF(CONFIG_METADATA!$B$4&lt;&gt;"OR+EX",--(DATOS!$G4286=CONFIG_METADATA!$B$4),IF(DATOS!$G4286="EX",1,IF(DATOS!$G4286="OR",--(COUNTIFS(nNIA,DATOS!$A4286,nCURSO,DATOS!$D4286,nESPEC,DATOS!$E4286,nASIG,DATOS!$I4286,nEVAL,"EX")=0),0))))</f>
      </c>
      <c r="H4286">
        <f>IF(DATOS!$G4286&lt;&gt;"EX",0,--(COUNTIFS(nNIA,DATOS!$A4286,nCURSO,DATOS!$D4286,nESPEC,DATOS!$E4286,nASIG,DATOS!$I4286,nEVAL,"OR")=0))</f>
      </c>
      <c r="I4286">
        <f>IF(DATOS!$I4286="","",IFERROR(VLOOKUP(DATOS!$I4286,CONFIG_ASIGNATURAS!$B$2:$J$91,9,FALSE()),""))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IF(DATOS!$A4287="",0,IF(CONFIG_METADATA!$B$4&lt;&gt;"OR+EX",--(DATOS!$G4287=CONFIG_METADATA!$B$4),IF(DATOS!$G4287="EX",1,IF(DATOS!$G4287="OR",--(COUNTIFS(nNIA,DATOS!$A4287,nCURSO,DATOS!$D4287,nESPEC,DATOS!$E4287,nASIG,DATOS!$I4287,nEVAL,"EX")=0),0))))</f>
      </c>
      <c r="H4287">
        <f>IF(DATOS!$G4287&lt;&gt;"EX",0,--(COUNTIFS(nNIA,DATOS!$A4287,nCURSO,DATOS!$D4287,nESPEC,DATOS!$E4287,nASIG,DATOS!$I4287,nEVAL,"OR")=0))</f>
      </c>
      <c r="I4287">
        <f>IF(DATOS!$I4287="","",IFERROR(VLOOKUP(DATOS!$I4287,CONFIG_ASIGNATURAS!$B$2:$J$91,9,FALSE()),""))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IF(DATOS!$A4288="",0,IF(CONFIG_METADATA!$B$4&lt;&gt;"OR+EX",--(DATOS!$G4288=CONFIG_METADATA!$B$4),IF(DATOS!$G4288="EX",1,IF(DATOS!$G4288="OR",--(COUNTIFS(nNIA,DATOS!$A4288,nCURSO,DATOS!$D4288,nESPEC,DATOS!$E4288,nASIG,DATOS!$I4288,nEVAL,"EX")=0),0))))</f>
      </c>
      <c r="H4288">
        <f>IF(DATOS!$G4288&lt;&gt;"EX",0,--(COUNTIFS(nNIA,DATOS!$A4288,nCURSO,DATOS!$D4288,nESPEC,DATOS!$E4288,nASIG,DATOS!$I4288,nEVAL,"OR")=0))</f>
      </c>
      <c r="I4288">
        <f>IF(DATOS!$I4288="","",IFERROR(VLOOKUP(DATOS!$I4288,CONFIG_ASIGNATURAS!$B$2:$J$91,9,FALSE()),""))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IF(DATOS!$A4289="",0,IF(CONFIG_METADATA!$B$4&lt;&gt;"OR+EX",--(DATOS!$G4289=CONFIG_METADATA!$B$4),IF(DATOS!$G4289="EX",1,IF(DATOS!$G4289="OR",--(COUNTIFS(nNIA,DATOS!$A4289,nCURSO,DATOS!$D4289,nESPEC,DATOS!$E4289,nASIG,DATOS!$I4289,nEVAL,"EX")=0),0))))</f>
      </c>
      <c r="H4289">
        <f>IF(DATOS!$G4289&lt;&gt;"EX",0,--(COUNTIFS(nNIA,DATOS!$A4289,nCURSO,DATOS!$D4289,nESPEC,DATOS!$E4289,nASIG,DATOS!$I4289,nEVAL,"OR")=0))</f>
      </c>
      <c r="I4289">
        <f>IF(DATOS!$I4289="","",IFERROR(VLOOKUP(DATOS!$I4289,CONFIG_ASIGNATURAS!$B$2:$J$91,9,FALSE()),""))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IF(DATOS!$A4290="",0,IF(CONFIG_METADATA!$B$4&lt;&gt;"OR+EX",--(DATOS!$G4290=CONFIG_METADATA!$B$4),IF(DATOS!$G4290="EX",1,IF(DATOS!$G4290="OR",--(COUNTIFS(nNIA,DATOS!$A4290,nCURSO,DATOS!$D4290,nESPEC,DATOS!$E4290,nASIG,DATOS!$I4290,nEVAL,"EX")=0),0))))</f>
      </c>
      <c r="H4290">
        <f>IF(DATOS!$G4290&lt;&gt;"EX",0,--(COUNTIFS(nNIA,DATOS!$A4290,nCURSO,DATOS!$D4290,nESPEC,DATOS!$E4290,nASIG,DATOS!$I4290,nEVAL,"OR")=0))</f>
      </c>
      <c r="I4290">
        <f>IF(DATOS!$I4290="","",IFERROR(VLOOKUP(DATOS!$I4290,CONFIG_ASIGNATURAS!$B$2:$J$91,9,FALSE()),""))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IF(DATOS!$A4291="",0,IF(CONFIG_METADATA!$B$4&lt;&gt;"OR+EX",--(DATOS!$G4291=CONFIG_METADATA!$B$4),IF(DATOS!$G4291="EX",1,IF(DATOS!$G4291="OR",--(COUNTIFS(nNIA,DATOS!$A4291,nCURSO,DATOS!$D4291,nESPEC,DATOS!$E4291,nASIG,DATOS!$I4291,nEVAL,"EX")=0),0))))</f>
      </c>
      <c r="H4291">
        <f>IF(DATOS!$G4291&lt;&gt;"EX",0,--(COUNTIFS(nNIA,DATOS!$A4291,nCURSO,DATOS!$D4291,nESPEC,DATOS!$E4291,nASIG,DATOS!$I4291,nEVAL,"OR")=0))</f>
      </c>
      <c r="I4291">
        <f>IF(DATOS!$I4291="","",IFERROR(VLOOKUP(DATOS!$I4291,CONFIG_ASIGNATURAS!$B$2:$J$91,9,FALSE()),""))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IF(DATOS!$A4292="",0,IF(CONFIG_METADATA!$B$4&lt;&gt;"OR+EX",--(DATOS!$G4292=CONFIG_METADATA!$B$4),IF(DATOS!$G4292="EX",1,IF(DATOS!$G4292="OR",--(COUNTIFS(nNIA,DATOS!$A4292,nCURSO,DATOS!$D4292,nESPEC,DATOS!$E4292,nASIG,DATOS!$I4292,nEVAL,"EX")=0),0))))</f>
      </c>
      <c r="H4292">
        <f>IF(DATOS!$G4292&lt;&gt;"EX",0,--(COUNTIFS(nNIA,DATOS!$A4292,nCURSO,DATOS!$D4292,nESPEC,DATOS!$E4292,nASIG,DATOS!$I4292,nEVAL,"OR")=0))</f>
      </c>
      <c r="I4292">
        <f>IF(DATOS!$I4292="","",IFERROR(VLOOKUP(DATOS!$I4292,CONFIG_ASIGNATURAS!$B$2:$J$91,9,FALSE()),""))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IF(DATOS!$A4293="",0,IF(CONFIG_METADATA!$B$4&lt;&gt;"OR+EX",--(DATOS!$G4293=CONFIG_METADATA!$B$4),IF(DATOS!$G4293="EX",1,IF(DATOS!$G4293="OR",--(COUNTIFS(nNIA,DATOS!$A4293,nCURSO,DATOS!$D4293,nESPEC,DATOS!$E4293,nASIG,DATOS!$I4293,nEVAL,"EX")=0),0))))</f>
      </c>
      <c r="H4293">
        <f>IF(DATOS!$G4293&lt;&gt;"EX",0,--(COUNTIFS(nNIA,DATOS!$A4293,nCURSO,DATOS!$D4293,nESPEC,DATOS!$E4293,nASIG,DATOS!$I4293,nEVAL,"OR")=0))</f>
      </c>
      <c r="I4293">
        <f>IF(DATOS!$I4293="","",IFERROR(VLOOKUP(DATOS!$I4293,CONFIG_ASIGNATURAS!$B$2:$J$91,9,FALSE()),""))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IF(DATOS!$A4294="",0,IF(CONFIG_METADATA!$B$4&lt;&gt;"OR+EX",--(DATOS!$G4294=CONFIG_METADATA!$B$4),IF(DATOS!$G4294="EX",1,IF(DATOS!$G4294="OR",--(COUNTIFS(nNIA,DATOS!$A4294,nCURSO,DATOS!$D4294,nESPEC,DATOS!$E4294,nASIG,DATOS!$I4294,nEVAL,"EX")=0),0))))</f>
      </c>
      <c r="H4294">
        <f>IF(DATOS!$G4294&lt;&gt;"EX",0,--(COUNTIFS(nNIA,DATOS!$A4294,nCURSO,DATOS!$D4294,nESPEC,DATOS!$E4294,nASIG,DATOS!$I4294,nEVAL,"OR")=0))</f>
      </c>
      <c r="I4294">
        <f>IF(DATOS!$I4294="","",IFERROR(VLOOKUP(DATOS!$I4294,CONFIG_ASIGNATURAS!$B$2:$J$91,9,FALSE()),""))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IF(DATOS!$A4295="",0,IF(CONFIG_METADATA!$B$4&lt;&gt;"OR+EX",--(DATOS!$G4295=CONFIG_METADATA!$B$4),IF(DATOS!$G4295="EX",1,IF(DATOS!$G4295="OR",--(COUNTIFS(nNIA,DATOS!$A4295,nCURSO,DATOS!$D4295,nESPEC,DATOS!$E4295,nASIG,DATOS!$I4295,nEVAL,"EX")=0),0))))</f>
      </c>
      <c r="H4295">
        <f>IF(DATOS!$G4295&lt;&gt;"EX",0,--(COUNTIFS(nNIA,DATOS!$A4295,nCURSO,DATOS!$D4295,nESPEC,DATOS!$E4295,nASIG,DATOS!$I4295,nEVAL,"OR")=0))</f>
      </c>
      <c r="I4295">
        <f>IF(DATOS!$I4295="","",IFERROR(VLOOKUP(DATOS!$I4295,CONFIG_ASIGNATURAS!$B$2:$J$91,9,FALSE()),""))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IF(DATOS!$A4296="",0,IF(CONFIG_METADATA!$B$4&lt;&gt;"OR+EX",--(DATOS!$G4296=CONFIG_METADATA!$B$4),IF(DATOS!$G4296="EX",1,IF(DATOS!$G4296="OR",--(COUNTIFS(nNIA,DATOS!$A4296,nCURSO,DATOS!$D4296,nESPEC,DATOS!$E4296,nASIG,DATOS!$I4296,nEVAL,"EX")=0),0))))</f>
      </c>
      <c r="H4296">
        <f>IF(DATOS!$G4296&lt;&gt;"EX",0,--(COUNTIFS(nNIA,DATOS!$A4296,nCURSO,DATOS!$D4296,nESPEC,DATOS!$E4296,nASIG,DATOS!$I4296,nEVAL,"OR")=0))</f>
      </c>
      <c r="I4296">
        <f>IF(DATOS!$I4296="","",IFERROR(VLOOKUP(DATOS!$I4296,CONFIG_ASIGNATURAS!$B$2:$J$91,9,FALSE()),""))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IF(DATOS!$A4297="",0,IF(CONFIG_METADATA!$B$4&lt;&gt;"OR+EX",--(DATOS!$G4297=CONFIG_METADATA!$B$4),IF(DATOS!$G4297="EX",1,IF(DATOS!$G4297="OR",--(COUNTIFS(nNIA,DATOS!$A4297,nCURSO,DATOS!$D4297,nESPEC,DATOS!$E4297,nASIG,DATOS!$I4297,nEVAL,"EX")=0),0))))</f>
      </c>
      <c r="H4297">
        <f>IF(DATOS!$G4297&lt;&gt;"EX",0,--(COUNTIFS(nNIA,DATOS!$A4297,nCURSO,DATOS!$D4297,nESPEC,DATOS!$E4297,nASIG,DATOS!$I4297,nEVAL,"OR")=0))</f>
      </c>
      <c r="I4297">
        <f>IF(DATOS!$I4297="","",IFERROR(VLOOKUP(DATOS!$I4297,CONFIG_ASIGNATURAS!$B$2:$J$91,9,FALSE()),""))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IF(DATOS!$A4298="",0,IF(CONFIG_METADATA!$B$4&lt;&gt;"OR+EX",--(DATOS!$G4298=CONFIG_METADATA!$B$4),IF(DATOS!$G4298="EX",1,IF(DATOS!$G4298="OR",--(COUNTIFS(nNIA,DATOS!$A4298,nCURSO,DATOS!$D4298,nESPEC,DATOS!$E4298,nASIG,DATOS!$I4298,nEVAL,"EX")=0),0))))</f>
      </c>
      <c r="H4298">
        <f>IF(DATOS!$G4298&lt;&gt;"EX",0,--(COUNTIFS(nNIA,DATOS!$A4298,nCURSO,DATOS!$D4298,nESPEC,DATOS!$E4298,nASIG,DATOS!$I4298,nEVAL,"OR")=0))</f>
      </c>
      <c r="I4298">
        <f>IF(DATOS!$I4298="","",IFERROR(VLOOKUP(DATOS!$I4298,CONFIG_ASIGNATURAS!$B$2:$J$91,9,FALSE()),""))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IF(DATOS!$A4299="",0,IF(CONFIG_METADATA!$B$4&lt;&gt;"OR+EX",--(DATOS!$G4299=CONFIG_METADATA!$B$4),IF(DATOS!$G4299="EX",1,IF(DATOS!$G4299="OR",--(COUNTIFS(nNIA,DATOS!$A4299,nCURSO,DATOS!$D4299,nESPEC,DATOS!$E4299,nASIG,DATOS!$I4299,nEVAL,"EX")=0),0))))</f>
      </c>
      <c r="H4299">
        <f>IF(DATOS!$G4299&lt;&gt;"EX",0,--(COUNTIFS(nNIA,DATOS!$A4299,nCURSO,DATOS!$D4299,nESPEC,DATOS!$E4299,nASIG,DATOS!$I4299,nEVAL,"OR")=0))</f>
      </c>
      <c r="I4299">
        <f>IF(DATOS!$I4299="","",IFERROR(VLOOKUP(DATOS!$I4299,CONFIG_ASIGNATURAS!$B$2:$J$91,9,FALSE()),""))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IF(DATOS!$A4300="",0,IF(CONFIG_METADATA!$B$4&lt;&gt;"OR+EX",--(DATOS!$G4300=CONFIG_METADATA!$B$4),IF(DATOS!$G4300="EX",1,IF(DATOS!$G4300="OR",--(COUNTIFS(nNIA,DATOS!$A4300,nCURSO,DATOS!$D4300,nESPEC,DATOS!$E4300,nASIG,DATOS!$I4300,nEVAL,"EX")=0),0))))</f>
      </c>
      <c r="H4300">
        <f>IF(DATOS!$G4300&lt;&gt;"EX",0,--(COUNTIFS(nNIA,DATOS!$A4300,nCURSO,DATOS!$D4300,nESPEC,DATOS!$E4300,nASIG,DATOS!$I4300,nEVAL,"OR")=0))</f>
      </c>
      <c r="I4300">
        <f>IF(DATOS!$I4300="","",IFERROR(VLOOKUP(DATOS!$I4300,CONFIG_ASIGNATURAS!$B$2:$J$91,9,FALSE()),""))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IF(DATOS!$A4301="",0,IF(CONFIG_METADATA!$B$4&lt;&gt;"OR+EX",--(DATOS!$G4301=CONFIG_METADATA!$B$4),IF(DATOS!$G4301="EX",1,IF(DATOS!$G4301="OR",--(COUNTIFS(nNIA,DATOS!$A4301,nCURSO,DATOS!$D4301,nESPEC,DATOS!$E4301,nASIG,DATOS!$I4301,nEVAL,"EX")=0),0))))</f>
      </c>
      <c r="H4301">
        <f>IF(DATOS!$G4301&lt;&gt;"EX",0,--(COUNTIFS(nNIA,DATOS!$A4301,nCURSO,DATOS!$D4301,nESPEC,DATOS!$E4301,nASIG,DATOS!$I4301,nEVAL,"OR")=0))</f>
      </c>
      <c r="I4301">
        <f>IF(DATOS!$I4301="","",IFERROR(VLOOKUP(DATOS!$I4301,CONFIG_ASIGNATURAS!$B$2:$J$91,9,FALSE()),""))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IF(DATOS!$A4302="",0,IF(CONFIG_METADATA!$B$4&lt;&gt;"OR+EX",--(DATOS!$G4302=CONFIG_METADATA!$B$4),IF(DATOS!$G4302="EX",1,IF(DATOS!$G4302="OR",--(COUNTIFS(nNIA,DATOS!$A4302,nCURSO,DATOS!$D4302,nESPEC,DATOS!$E4302,nASIG,DATOS!$I4302,nEVAL,"EX")=0),0))))</f>
      </c>
      <c r="H4302">
        <f>IF(DATOS!$G4302&lt;&gt;"EX",0,--(COUNTIFS(nNIA,DATOS!$A4302,nCURSO,DATOS!$D4302,nESPEC,DATOS!$E4302,nASIG,DATOS!$I4302,nEVAL,"OR")=0))</f>
      </c>
      <c r="I4302">
        <f>IF(DATOS!$I4302="","",IFERROR(VLOOKUP(DATOS!$I4302,CONFIG_ASIGNATURAS!$B$2:$J$91,9,FALSE()),""))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IF(DATOS!$A4303="",0,IF(CONFIG_METADATA!$B$4&lt;&gt;"OR+EX",--(DATOS!$G4303=CONFIG_METADATA!$B$4),IF(DATOS!$G4303="EX",1,IF(DATOS!$G4303="OR",--(COUNTIFS(nNIA,DATOS!$A4303,nCURSO,DATOS!$D4303,nESPEC,DATOS!$E4303,nASIG,DATOS!$I4303,nEVAL,"EX")=0),0))))</f>
      </c>
      <c r="H4303">
        <f>IF(DATOS!$G4303&lt;&gt;"EX",0,--(COUNTIFS(nNIA,DATOS!$A4303,nCURSO,DATOS!$D4303,nESPEC,DATOS!$E4303,nASIG,DATOS!$I4303,nEVAL,"OR")=0))</f>
      </c>
      <c r="I4303">
        <f>IF(DATOS!$I4303="","",IFERROR(VLOOKUP(DATOS!$I4303,CONFIG_ASIGNATURAS!$B$2:$J$91,9,FALSE()),""))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IF(DATOS!$A4304="",0,IF(CONFIG_METADATA!$B$4&lt;&gt;"OR+EX",--(DATOS!$G4304=CONFIG_METADATA!$B$4),IF(DATOS!$G4304="EX",1,IF(DATOS!$G4304="OR",--(COUNTIFS(nNIA,DATOS!$A4304,nCURSO,DATOS!$D4304,nESPEC,DATOS!$E4304,nASIG,DATOS!$I4304,nEVAL,"EX")=0),0))))</f>
      </c>
      <c r="H4304">
        <f>IF(DATOS!$G4304&lt;&gt;"EX",0,--(COUNTIFS(nNIA,DATOS!$A4304,nCURSO,DATOS!$D4304,nESPEC,DATOS!$E4304,nASIG,DATOS!$I4304,nEVAL,"OR")=0))</f>
      </c>
      <c r="I4304">
        <f>IF(DATOS!$I4304="","",IFERROR(VLOOKUP(DATOS!$I4304,CONFIG_ASIGNATURAS!$B$2:$J$91,9,FALSE()),""))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IF(DATOS!$A4305="",0,IF(CONFIG_METADATA!$B$4&lt;&gt;"OR+EX",--(DATOS!$G4305=CONFIG_METADATA!$B$4),IF(DATOS!$G4305="EX",1,IF(DATOS!$G4305="OR",--(COUNTIFS(nNIA,DATOS!$A4305,nCURSO,DATOS!$D4305,nESPEC,DATOS!$E4305,nASIG,DATOS!$I4305,nEVAL,"EX")=0),0))))</f>
      </c>
      <c r="H4305">
        <f>IF(DATOS!$G4305&lt;&gt;"EX",0,--(COUNTIFS(nNIA,DATOS!$A4305,nCURSO,DATOS!$D4305,nESPEC,DATOS!$E4305,nASIG,DATOS!$I4305,nEVAL,"OR")=0))</f>
      </c>
      <c r="I4305">
        <f>IF(DATOS!$I4305="","",IFERROR(VLOOKUP(DATOS!$I4305,CONFIG_ASIGNATURAS!$B$2:$J$91,9,FALSE()),""))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IF(DATOS!$A4306="",0,IF(CONFIG_METADATA!$B$4&lt;&gt;"OR+EX",--(DATOS!$G4306=CONFIG_METADATA!$B$4),IF(DATOS!$G4306="EX",1,IF(DATOS!$G4306="OR",--(COUNTIFS(nNIA,DATOS!$A4306,nCURSO,DATOS!$D4306,nESPEC,DATOS!$E4306,nASIG,DATOS!$I4306,nEVAL,"EX")=0),0))))</f>
      </c>
      <c r="H4306">
        <f>IF(DATOS!$G4306&lt;&gt;"EX",0,--(COUNTIFS(nNIA,DATOS!$A4306,nCURSO,DATOS!$D4306,nESPEC,DATOS!$E4306,nASIG,DATOS!$I4306,nEVAL,"OR")=0))</f>
      </c>
      <c r="I4306">
        <f>IF(DATOS!$I4306="","",IFERROR(VLOOKUP(DATOS!$I4306,CONFIG_ASIGNATURAS!$B$2:$J$91,9,FALSE()),""))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IF(DATOS!$A4307="",0,IF(CONFIG_METADATA!$B$4&lt;&gt;"OR+EX",--(DATOS!$G4307=CONFIG_METADATA!$B$4),IF(DATOS!$G4307="EX",1,IF(DATOS!$G4307="OR",--(COUNTIFS(nNIA,DATOS!$A4307,nCURSO,DATOS!$D4307,nESPEC,DATOS!$E4307,nASIG,DATOS!$I4307,nEVAL,"EX")=0),0))))</f>
      </c>
      <c r="H4307">
        <f>IF(DATOS!$G4307&lt;&gt;"EX",0,--(COUNTIFS(nNIA,DATOS!$A4307,nCURSO,DATOS!$D4307,nESPEC,DATOS!$E4307,nASIG,DATOS!$I4307,nEVAL,"OR")=0))</f>
      </c>
      <c r="I4307">
        <f>IF(DATOS!$I4307="","",IFERROR(VLOOKUP(DATOS!$I4307,CONFIG_ASIGNATURAS!$B$2:$J$91,9,FALSE()),""))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IF(DATOS!$A4308="",0,IF(CONFIG_METADATA!$B$4&lt;&gt;"OR+EX",--(DATOS!$G4308=CONFIG_METADATA!$B$4),IF(DATOS!$G4308="EX",1,IF(DATOS!$G4308="OR",--(COUNTIFS(nNIA,DATOS!$A4308,nCURSO,DATOS!$D4308,nESPEC,DATOS!$E4308,nASIG,DATOS!$I4308,nEVAL,"EX")=0),0))))</f>
      </c>
      <c r="H4308">
        <f>IF(DATOS!$G4308&lt;&gt;"EX",0,--(COUNTIFS(nNIA,DATOS!$A4308,nCURSO,DATOS!$D4308,nESPEC,DATOS!$E4308,nASIG,DATOS!$I4308,nEVAL,"OR")=0))</f>
      </c>
      <c r="I4308">
        <f>IF(DATOS!$I4308="","",IFERROR(VLOOKUP(DATOS!$I4308,CONFIG_ASIGNATURAS!$B$2:$J$91,9,FALSE()),""))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IF(DATOS!$A4309="",0,IF(CONFIG_METADATA!$B$4&lt;&gt;"OR+EX",--(DATOS!$G4309=CONFIG_METADATA!$B$4),IF(DATOS!$G4309="EX",1,IF(DATOS!$G4309="OR",--(COUNTIFS(nNIA,DATOS!$A4309,nCURSO,DATOS!$D4309,nESPEC,DATOS!$E4309,nASIG,DATOS!$I4309,nEVAL,"EX")=0),0))))</f>
      </c>
      <c r="H4309">
        <f>IF(DATOS!$G4309&lt;&gt;"EX",0,--(COUNTIFS(nNIA,DATOS!$A4309,nCURSO,DATOS!$D4309,nESPEC,DATOS!$E4309,nASIG,DATOS!$I4309,nEVAL,"OR")=0))</f>
      </c>
      <c r="I4309">
        <f>IF(DATOS!$I4309="","",IFERROR(VLOOKUP(DATOS!$I4309,CONFIG_ASIGNATURAS!$B$2:$J$91,9,FALSE()),""))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IF(DATOS!$A4310="",0,IF(CONFIG_METADATA!$B$4&lt;&gt;"OR+EX",--(DATOS!$G4310=CONFIG_METADATA!$B$4),IF(DATOS!$G4310="EX",1,IF(DATOS!$G4310="OR",--(COUNTIFS(nNIA,DATOS!$A4310,nCURSO,DATOS!$D4310,nESPEC,DATOS!$E4310,nASIG,DATOS!$I4310,nEVAL,"EX")=0),0))))</f>
      </c>
      <c r="H4310">
        <f>IF(DATOS!$G4310&lt;&gt;"EX",0,--(COUNTIFS(nNIA,DATOS!$A4310,nCURSO,DATOS!$D4310,nESPEC,DATOS!$E4310,nASIG,DATOS!$I4310,nEVAL,"OR")=0))</f>
      </c>
      <c r="I4310">
        <f>IF(DATOS!$I4310="","",IFERROR(VLOOKUP(DATOS!$I4310,CONFIG_ASIGNATURAS!$B$2:$J$91,9,FALSE()),""))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IF(DATOS!$A4311="",0,IF(CONFIG_METADATA!$B$4&lt;&gt;"OR+EX",--(DATOS!$G4311=CONFIG_METADATA!$B$4),IF(DATOS!$G4311="EX",1,IF(DATOS!$G4311="OR",--(COUNTIFS(nNIA,DATOS!$A4311,nCURSO,DATOS!$D4311,nESPEC,DATOS!$E4311,nASIG,DATOS!$I4311,nEVAL,"EX")=0),0))))</f>
      </c>
      <c r="H4311">
        <f>IF(DATOS!$G4311&lt;&gt;"EX",0,--(COUNTIFS(nNIA,DATOS!$A4311,nCURSO,DATOS!$D4311,nESPEC,DATOS!$E4311,nASIG,DATOS!$I4311,nEVAL,"OR")=0))</f>
      </c>
      <c r="I4311">
        <f>IF(DATOS!$I4311="","",IFERROR(VLOOKUP(DATOS!$I4311,CONFIG_ASIGNATURAS!$B$2:$J$91,9,FALSE()),""))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IF(DATOS!$A4312="",0,IF(CONFIG_METADATA!$B$4&lt;&gt;"OR+EX",--(DATOS!$G4312=CONFIG_METADATA!$B$4),IF(DATOS!$G4312="EX",1,IF(DATOS!$G4312="OR",--(COUNTIFS(nNIA,DATOS!$A4312,nCURSO,DATOS!$D4312,nESPEC,DATOS!$E4312,nASIG,DATOS!$I4312,nEVAL,"EX")=0),0))))</f>
      </c>
      <c r="H4312">
        <f>IF(DATOS!$G4312&lt;&gt;"EX",0,--(COUNTIFS(nNIA,DATOS!$A4312,nCURSO,DATOS!$D4312,nESPEC,DATOS!$E4312,nASIG,DATOS!$I4312,nEVAL,"OR")=0))</f>
      </c>
      <c r="I4312">
        <f>IF(DATOS!$I4312="","",IFERROR(VLOOKUP(DATOS!$I4312,CONFIG_ASIGNATURAS!$B$2:$J$91,9,FALSE()),""))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IF(DATOS!$A4313="",0,IF(CONFIG_METADATA!$B$4&lt;&gt;"OR+EX",--(DATOS!$G4313=CONFIG_METADATA!$B$4),IF(DATOS!$G4313="EX",1,IF(DATOS!$G4313="OR",--(COUNTIFS(nNIA,DATOS!$A4313,nCURSO,DATOS!$D4313,nESPEC,DATOS!$E4313,nASIG,DATOS!$I4313,nEVAL,"EX")=0),0))))</f>
      </c>
      <c r="H4313">
        <f>IF(DATOS!$G4313&lt;&gt;"EX",0,--(COUNTIFS(nNIA,DATOS!$A4313,nCURSO,DATOS!$D4313,nESPEC,DATOS!$E4313,nASIG,DATOS!$I4313,nEVAL,"OR")=0))</f>
      </c>
      <c r="I4313">
        <f>IF(DATOS!$I4313="","",IFERROR(VLOOKUP(DATOS!$I4313,CONFIG_ASIGNATURAS!$B$2:$J$91,9,FALSE()),""))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IF(DATOS!$A4314="",0,IF(CONFIG_METADATA!$B$4&lt;&gt;"OR+EX",--(DATOS!$G4314=CONFIG_METADATA!$B$4),IF(DATOS!$G4314="EX",1,IF(DATOS!$G4314="OR",--(COUNTIFS(nNIA,DATOS!$A4314,nCURSO,DATOS!$D4314,nESPEC,DATOS!$E4314,nASIG,DATOS!$I4314,nEVAL,"EX")=0),0))))</f>
      </c>
      <c r="H4314">
        <f>IF(DATOS!$G4314&lt;&gt;"EX",0,--(COUNTIFS(nNIA,DATOS!$A4314,nCURSO,DATOS!$D4314,nESPEC,DATOS!$E4314,nASIG,DATOS!$I4314,nEVAL,"OR")=0))</f>
      </c>
      <c r="I4314">
        <f>IF(DATOS!$I4314="","",IFERROR(VLOOKUP(DATOS!$I4314,CONFIG_ASIGNATURAS!$B$2:$J$91,9,FALSE()),""))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IF(DATOS!$A4315="",0,IF(CONFIG_METADATA!$B$4&lt;&gt;"OR+EX",--(DATOS!$G4315=CONFIG_METADATA!$B$4),IF(DATOS!$G4315="EX",1,IF(DATOS!$G4315="OR",--(COUNTIFS(nNIA,DATOS!$A4315,nCURSO,DATOS!$D4315,nESPEC,DATOS!$E4315,nASIG,DATOS!$I4315,nEVAL,"EX")=0),0))))</f>
      </c>
      <c r="H4315">
        <f>IF(DATOS!$G4315&lt;&gt;"EX",0,--(COUNTIFS(nNIA,DATOS!$A4315,nCURSO,DATOS!$D4315,nESPEC,DATOS!$E4315,nASIG,DATOS!$I4315,nEVAL,"OR")=0))</f>
      </c>
      <c r="I4315">
        <f>IF(DATOS!$I4315="","",IFERROR(VLOOKUP(DATOS!$I4315,CONFIG_ASIGNATURAS!$B$2:$J$91,9,FALSE()),""))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IF(DATOS!$A4316="",0,IF(CONFIG_METADATA!$B$4&lt;&gt;"OR+EX",--(DATOS!$G4316=CONFIG_METADATA!$B$4),IF(DATOS!$G4316="EX",1,IF(DATOS!$G4316="OR",--(COUNTIFS(nNIA,DATOS!$A4316,nCURSO,DATOS!$D4316,nESPEC,DATOS!$E4316,nASIG,DATOS!$I4316,nEVAL,"EX")=0),0))))</f>
      </c>
      <c r="H4316">
        <f>IF(DATOS!$G4316&lt;&gt;"EX",0,--(COUNTIFS(nNIA,DATOS!$A4316,nCURSO,DATOS!$D4316,nESPEC,DATOS!$E4316,nASIG,DATOS!$I4316,nEVAL,"OR")=0))</f>
      </c>
      <c r="I4316">
        <f>IF(DATOS!$I4316="","",IFERROR(VLOOKUP(DATOS!$I4316,CONFIG_ASIGNATURAS!$B$2:$J$91,9,FALSE()),""))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IF(DATOS!$A4317="",0,IF(CONFIG_METADATA!$B$4&lt;&gt;"OR+EX",--(DATOS!$G4317=CONFIG_METADATA!$B$4),IF(DATOS!$G4317="EX",1,IF(DATOS!$G4317="OR",--(COUNTIFS(nNIA,DATOS!$A4317,nCURSO,DATOS!$D4317,nESPEC,DATOS!$E4317,nASIG,DATOS!$I4317,nEVAL,"EX")=0),0))))</f>
      </c>
      <c r="H4317">
        <f>IF(DATOS!$G4317&lt;&gt;"EX",0,--(COUNTIFS(nNIA,DATOS!$A4317,nCURSO,DATOS!$D4317,nESPEC,DATOS!$E4317,nASIG,DATOS!$I4317,nEVAL,"OR")=0))</f>
      </c>
      <c r="I4317">
        <f>IF(DATOS!$I4317="","",IFERROR(VLOOKUP(DATOS!$I4317,CONFIG_ASIGNATURAS!$B$2:$J$91,9,FALSE()),""))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IF(DATOS!$A4318="",0,IF(CONFIG_METADATA!$B$4&lt;&gt;"OR+EX",--(DATOS!$G4318=CONFIG_METADATA!$B$4),IF(DATOS!$G4318="EX",1,IF(DATOS!$G4318="OR",--(COUNTIFS(nNIA,DATOS!$A4318,nCURSO,DATOS!$D4318,nESPEC,DATOS!$E4318,nASIG,DATOS!$I4318,nEVAL,"EX")=0),0))))</f>
      </c>
      <c r="H4318">
        <f>IF(DATOS!$G4318&lt;&gt;"EX",0,--(COUNTIFS(nNIA,DATOS!$A4318,nCURSO,DATOS!$D4318,nESPEC,DATOS!$E4318,nASIG,DATOS!$I4318,nEVAL,"OR")=0))</f>
      </c>
      <c r="I4318">
        <f>IF(DATOS!$I4318="","",IFERROR(VLOOKUP(DATOS!$I4318,CONFIG_ASIGNATURAS!$B$2:$J$91,9,FALSE()),""))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IF(DATOS!$A4319="",0,IF(CONFIG_METADATA!$B$4&lt;&gt;"OR+EX",--(DATOS!$G4319=CONFIG_METADATA!$B$4),IF(DATOS!$G4319="EX",1,IF(DATOS!$G4319="OR",--(COUNTIFS(nNIA,DATOS!$A4319,nCURSO,DATOS!$D4319,nESPEC,DATOS!$E4319,nASIG,DATOS!$I4319,nEVAL,"EX")=0),0))))</f>
      </c>
      <c r="H4319">
        <f>IF(DATOS!$G4319&lt;&gt;"EX",0,--(COUNTIFS(nNIA,DATOS!$A4319,nCURSO,DATOS!$D4319,nESPEC,DATOS!$E4319,nASIG,DATOS!$I4319,nEVAL,"OR")=0))</f>
      </c>
      <c r="I4319">
        <f>IF(DATOS!$I4319="","",IFERROR(VLOOKUP(DATOS!$I4319,CONFIG_ASIGNATURAS!$B$2:$J$91,9,FALSE()),""))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IF(DATOS!$A4320="",0,IF(CONFIG_METADATA!$B$4&lt;&gt;"OR+EX",--(DATOS!$G4320=CONFIG_METADATA!$B$4),IF(DATOS!$G4320="EX",1,IF(DATOS!$G4320="OR",--(COUNTIFS(nNIA,DATOS!$A4320,nCURSO,DATOS!$D4320,nESPEC,DATOS!$E4320,nASIG,DATOS!$I4320,nEVAL,"EX")=0),0))))</f>
      </c>
      <c r="H4320">
        <f>IF(DATOS!$G4320&lt;&gt;"EX",0,--(COUNTIFS(nNIA,DATOS!$A4320,nCURSO,DATOS!$D4320,nESPEC,DATOS!$E4320,nASIG,DATOS!$I4320,nEVAL,"OR")=0))</f>
      </c>
      <c r="I4320">
        <f>IF(DATOS!$I4320="","",IFERROR(VLOOKUP(DATOS!$I4320,CONFIG_ASIGNATURAS!$B$2:$J$91,9,FALSE()),""))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IF(DATOS!$A4321="",0,IF(CONFIG_METADATA!$B$4&lt;&gt;"OR+EX",--(DATOS!$G4321=CONFIG_METADATA!$B$4),IF(DATOS!$G4321="EX",1,IF(DATOS!$G4321="OR",--(COUNTIFS(nNIA,DATOS!$A4321,nCURSO,DATOS!$D4321,nESPEC,DATOS!$E4321,nASIG,DATOS!$I4321,nEVAL,"EX")=0),0))))</f>
      </c>
      <c r="H4321">
        <f>IF(DATOS!$G4321&lt;&gt;"EX",0,--(COUNTIFS(nNIA,DATOS!$A4321,nCURSO,DATOS!$D4321,nESPEC,DATOS!$E4321,nASIG,DATOS!$I4321,nEVAL,"OR")=0))</f>
      </c>
      <c r="I4321">
        <f>IF(DATOS!$I4321="","",IFERROR(VLOOKUP(DATOS!$I4321,CONFIG_ASIGNATURAS!$B$2:$J$91,9,FALSE()),""))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IF(DATOS!$A4322="",0,IF(CONFIG_METADATA!$B$4&lt;&gt;"OR+EX",--(DATOS!$G4322=CONFIG_METADATA!$B$4),IF(DATOS!$G4322="EX",1,IF(DATOS!$G4322="OR",--(COUNTIFS(nNIA,DATOS!$A4322,nCURSO,DATOS!$D4322,nESPEC,DATOS!$E4322,nASIG,DATOS!$I4322,nEVAL,"EX")=0),0))))</f>
      </c>
      <c r="H4322">
        <f>IF(DATOS!$G4322&lt;&gt;"EX",0,--(COUNTIFS(nNIA,DATOS!$A4322,nCURSO,DATOS!$D4322,nESPEC,DATOS!$E4322,nASIG,DATOS!$I4322,nEVAL,"OR")=0))</f>
      </c>
      <c r="I4322">
        <f>IF(DATOS!$I4322="","",IFERROR(VLOOKUP(DATOS!$I4322,CONFIG_ASIGNATURAS!$B$2:$J$91,9,FALSE()),""))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IF(DATOS!$A4323="",0,IF(CONFIG_METADATA!$B$4&lt;&gt;"OR+EX",--(DATOS!$G4323=CONFIG_METADATA!$B$4),IF(DATOS!$G4323="EX",1,IF(DATOS!$G4323="OR",--(COUNTIFS(nNIA,DATOS!$A4323,nCURSO,DATOS!$D4323,nESPEC,DATOS!$E4323,nASIG,DATOS!$I4323,nEVAL,"EX")=0),0))))</f>
      </c>
      <c r="H4323">
        <f>IF(DATOS!$G4323&lt;&gt;"EX",0,--(COUNTIFS(nNIA,DATOS!$A4323,nCURSO,DATOS!$D4323,nESPEC,DATOS!$E4323,nASIG,DATOS!$I4323,nEVAL,"OR")=0))</f>
      </c>
      <c r="I4323">
        <f>IF(DATOS!$I4323="","",IFERROR(VLOOKUP(DATOS!$I4323,CONFIG_ASIGNATURAS!$B$2:$J$91,9,FALSE()),""))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IF(DATOS!$A4324="",0,IF(CONFIG_METADATA!$B$4&lt;&gt;"OR+EX",--(DATOS!$G4324=CONFIG_METADATA!$B$4),IF(DATOS!$G4324="EX",1,IF(DATOS!$G4324="OR",--(COUNTIFS(nNIA,DATOS!$A4324,nCURSO,DATOS!$D4324,nESPEC,DATOS!$E4324,nASIG,DATOS!$I4324,nEVAL,"EX")=0),0))))</f>
      </c>
      <c r="H4324">
        <f>IF(DATOS!$G4324&lt;&gt;"EX",0,--(COUNTIFS(nNIA,DATOS!$A4324,nCURSO,DATOS!$D4324,nESPEC,DATOS!$E4324,nASIG,DATOS!$I4324,nEVAL,"OR")=0))</f>
      </c>
      <c r="I4324">
        <f>IF(DATOS!$I4324="","",IFERROR(VLOOKUP(DATOS!$I4324,CONFIG_ASIGNATURAS!$B$2:$J$91,9,FALSE()),""))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IF(DATOS!$A4325="",0,IF(CONFIG_METADATA!$B$4&lt;&gt;"OR+EX",--(DATOS!$G4325=CONFIG_METADATA!$B$4),IF(DATOS!$G4325="EX",1,IF(DATOS!$G4325="OR",--(COUNTIFS(nNIA,DATOS!$A4325,nCURSO,DATOS!$D4325,nESPEC,DATOS!$E4325,nASIG,DATOS!$I4325,nEVAL,"EX")=0),0))))</f>
      </c>
      <c r="H4325">
        <f>IF(DATOS!$G4325&lt;&gt;"EX",0,--(COUNTIFS(nNIA,DATOS!$A4325,nCURSO,DATOS!$D4325,nESPEC,DATOS!$E4325,nASIG,DATOS!$I4325,nEVAL,"OR")=0))</f>
      </c>
      <c r="I4325">
        <f>IF(DATOS!$I4325="","",IFERROR(VLOOKUP(DATOS!$I4325,CONFIG_ASIGNATURAS!$B$2:$J$91,9,FALSE()),""))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IF(DATOS!$A4326="",0,IF(CONFIG_METADATA!$B$4&lt;&gt;"OR+EX",--(DATOS!$G4326=CONFIG_METADATA!$B$4),IF(DATOS!$G4326="EX",1,IF(DATOS!$G4326="OR",--(COUNTIFS(nNIA,DATOS!$A4326,nCURSO,DATOS!$D4326,nESPEC,DATOS!$E4326,nASIG,DATOS!$I4326,nEVAL,"EX")=0),0))))</f>
      </c>
      <c r="H4326">
        <f>IF(DATOS!$G4326&lt;&gt;"EX",0,--(COUNTIFS(nNIA,DATOS!$A4326,nCURSO,DATOS!$D4326,nESPEC,DATOS!$E4326,nASIG,DATOS!$I4326,nEVAL,"OR")=0))</f>
      </c>
      <c r="I4326">
        <f>IF(DATOS!$I4326="","",IFERROR(VLOOKUP(DATOS!$I4326,CONFIG_ASIGNATURAS!$B$2:$J$91,9,FALSE()),""))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IF(DATOS!$A4327="",0,IF(CONFIG_METADATA!$B$4&lt;&gt;"OR+EX",--(DATOS!$G4327=CONFIG_METADATA!$B$4),IF(DATOS!$G4327="EX",1,IF(DATOS!$G4327="OR",--(COUNTIFS(nNIA,DATOS!$A4327,nCURSO,DATOS!$D4327,nESPEC,DATOS!$E4327,nASIG,DATOS!$I4327,nEVAL,"EX")=0),0))))</f>
      </c>
      <c r="H4327">
        <f>IF(DATOS!$G4327&lt;&gt;"EX",0,--(COUNTIFS(nNIA,DATOS!$A4327,nCURSO,DATOS!$D4327,nESPEC,DATOS!$E4327,nASIG,DATOS!$I4327,nEVAL,"OR")=0))</f>
      </c>
      <c r="I4327">
        <f>IF(DATOS!$I4327="","",IFERROR(VLOOKUP(DATOS!$I4327,CONFIG_ASIGNATURAS!$B$2:$J$91,9,FALSE()),""))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IF(DATOS!$A4328="",0,IF(CONFIG_METADATA!$B$4&lt;&gt;"OR+EX",--(DATOS!$G4328=CONFIG_METADATA!$B$4),IF(DATOS!$G4328="EX",1,IF(DATOS!$G4328="OR",--(COUNTIFS(nNIA,DATOS!$A4328,nCURSO,DATOS!$D4328,nESPEC,DATOS!$E4328,nASIG,DATOS!$I4328,nEVAL,"EX")=0),0))))</f>
      </c>
      <c r="H4328">
        <f>IF(DATOS!$G4328&lt;&gt;"EX",0,--(COUNTIFS(nNIA,DATOS!$A4328,nCURSO,DATOS!$D4328,nESPEC,DATOS!$E4328,nASIG,DATOS!$I4328,nEVAL,"OR")=0))</f>
      </c>
      <c r="I4328">
        <f>IF(DATOS!$I4328="","",IFERROR(VLOOKUP(DATOS!$I4328,CONFIG_ASIGNATURAS!$B$2:$J$91,9,FALSE()),""))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IF(DATOS!$A4329="",0,IF(CONFIG_METADATA!$B$4&lt;&gt;"OR+EX",--(DATOS!$G4329=CONFIG_METADATA!$B$4),IF(DATOS!$G4329="EX",1,IF(DATOS!$G4329="OR",--(COUNTIFS(nNIA,DATOS!$A4329,nCURSO,DATOS!$D4329,nESPEC,DATOS!$E4329,nASIG,DATOS!$I4329,nEVAL,"EX")=0),0))))</f>
      </c>
      <c r="H4329">
        <f>IF(DATOS!$G4329&lt;&gt;"EX",0,--(COUNTIFS(nNIA,DATOS!$A4329,nCURSO,DATOS!$D4329,nESPEC,DATOS!$E4329,nASIG,DATOS!$I4329,nEVAL,"OR")=0))</f>
      </c>
      <c r="I4329">
        <f>IF(DATOS!$I4329="","",IFERROR(VLOOKUP(DATOS!$I4329,CONFIG_ASIGNATURAS!$B$2:$J$91,9,FALSE()),""))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IF(DATOS!$A4330="",0,IF(CONFIG_METADATA!$B$4&lt;&gt;"OR+EX",--(DATOS!$G4330=CONFIG_METADATA!$B$4),IF(DATOS!$G4330="EX",1,IF(DATOS!$G4330="OR",--(COUNTIFS(nNIA,DATOS!$A4330,nCURSO,DATOS!$D4330,nESPEC,DATOS!$E4330,nASIG,DATOS!$I4330,nEVAL,"EX")=0),0))))</f>
      </c>
      <c r="H4330">
        <f>IF(DATOS!$G4330&lt;&gt;"EX",0,--(COUNTIFS(nNIA,DATOS!$A4330,nCURSO,DATOS!$D4330,nESPEC,DATOS!$E4330,nASIG,DATOS!$I4330,nEVAL,"OR")=0))</f>
      </c>
      <c r="I4330">
        <f>IF(DATOS!$I4330="","",IFERROR(VLOOKUP(DATOS!$I4330,CONFIG_ASIGNATURAS!$B$2:$J$91,9,FALSE()),""))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IF(DATOS!$A4331="",0,IF(CONFIG_METADATA!$B$4&lt;&gt;"OR+EX",--(DATOS!$G4331=CONFIG_METADATA!$B$4),IF(DATOS!$G4331="EX",1,IF(DATOS!$G4331="OR",--(COUNTIFS(nNIA,DATOS!$A4331,nCURSO,DATOS!$D4331,nESPEC,DATOS!$E4331,nASIG,DATOS!$I4331,nEVAL,"EX")=0),0))))</f>
      </c>
      <c r="H4331">
        <f>IF(DATOS!$G4331&lt;&gt;"EX",0,--(COUNTIFS(nNIA,DATOS!$A4331,nCURSO,DATOS!$D4331,nESPEC,DATOS!$E4331,nASIG,DATOS!$I4331,nEVAL,"OR")=0))</f>
      </c>
      <c r="I4331">
        <f>IF(DATOS!$I4331="","",IFERROR(VLOOKUP(DATOS!$I4331,CONFIG_ASIGNATURAS!$B$2:$J$91,9,FALSE()),""))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IF(DATOS!$A4332="",0,IF(CONFIG_METADATA!$B$4&lt;&gt;"OR+EX",--(DATOS!$G4332=CONFIG_METADATA!$B$4),IF(DATOS!$G4332="EX",1,IF(DATOS!$G4332="OR",--(COUNTIFS(nNIA,DATOS!$A4332,nCURSO,DATOS!$D4332,nESPEC,DATOS!$E4332,nASIG,DATOS!$I4332,nEVAL,"EX")=0),0))))</f>
      </c>
      <c r="H4332">
        <f>IF(DATOS!$G4332&lt;&gt;"EX",0,--(COUNTIFS(nNIA,DATOS!$A4332,nCURSO,DATOS!$D4332,nESPEC,DATOS!$E4332,nASIG,DATOS!$I4332,nEVAL,"OR")=0))</f>
      </c>
      <c r="I4332">
        <f>IF(DATOS!$I4332="","",IFERROR(VLOOKUP(DATOS!$I4332,CONFIG_ASIGNATURAS!$B$2:$J$91,9,FALSE()),""))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IF(DATOS!$A4333="",0,IF(CONFIG_METADATA!$B$4&lt;&gt;"OR+EX",--(DATOS!$G4333=CONFIG_METADATA!$B$4),IF(DATOS!$G4333="EX",1,IF(DATOS!$G4333="OR",--(COUNTIFS(nNIA,DATOS!$A4333,nCURSO,DATOS!$D4333,nESPEC,DATOS!$E4333,nASIG,DATOS!$I4333,nEVAL,"EX")=0),0))))</f>
      </c>
      <c r="H4333">
        <f>IF(DATOS!$G4333&lt;&gt;"EX",0,--(COUNTIFS(nNIA,DATOS!$A4333,nCURSO,DATOS!$D4333,nESPEC,DATOS!$E4333,nASIG,DATOS!$I4333,nEVAL,"OR")=0))</f>
      </c>
      <c r="I4333">
        <f>IF(DATOS!$I4333="","",IFERROR(VLOOKUP(DATOS!$I4333,CONFIG_ASIGNATURAS!$B$2:$J$91,9,FALSE()),""))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IF(DATOS!$A4334="",0,IF(CONFIG_METADATA!$B$4&lt;&gt;"OR+EX",--(DATOS!$G4334=CONFIG_METADATA!$B$4),IF(DATOS!$G4334="EX",1,IF(DATOS!$G4334="OR",--(COUNTIFS(nNIA,DATOS!$A4334,nCURSO,DATOS!$D4334,nESPEC,DATOS!$E4334,nASIG,DATOS!$I4334,nEVAL,"EX")=0),0))))</f>
      </c>
      <c r="H4334">
        <f>IF(DATOS!$G4334&lt;&gt;"EX",0,--(COUNTIFS(nNIA,DATOS!$A4334,nCURSO,DATOS!$D4334,nESPEC,DATOS!$E4334,nASIG,DATOS!$I4334,nEVAL,"OR")=0))</f>
      </c>
      <c r="I4334">
        <f>IF(DATOS!$I4334="","",IFERROR(VLOOKUP(DATOS!$I4334,CONFIG_ASIGNATURAS!$B$2:$J$91,9,FALSE()),""))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IF(DATOS!$A4335="",0,IF(CONFIG_METADATA!$B$4&lt;&gt;"OR+EX",--(DATOS!$G4335=CONFIG_METADATA!$B$4),IF(DATOS!$G4335="EX",1,IF(DATOS!$G4335="OR",--(COUNTIFS(nNIA,DATOS!$A4335,nCURSO,DATOS!$D4335,nESPEC,DATOS!$E4335,nASIG,DATOS!$I4335,nEVAL,"EX")=0),0))))</f>
      </c>
      <c r="H4335">
        <f>IF(DATOS!$G4335&lt;&gt;"EX",0,--(COUNTIFS(nNIA,DATOS!$A4335,nCURSO,DATOS!$D4335,nESPEC,DATOS!$E4335,nASIG,DATOS!$I4335,nEVAL,"OR")=0))</f>
      </c>
      <c r="I4335">
        <f>IF(DATOS!$I4335="","",IFERROR(VLOOKUP(DATOS!$I4335,CONFIG_ASIGNATURAS!$B$2:$J$91,9,FALSE()),""))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IF(DATOS!$A4336="",0,IF(CONFIG_METADATA!$B$4&lt;&gt;"OR+EX",--(DATOS!$G4336=CONFIG_METADATA!$B$4),IF(DATOS!$G4336="EX",1,IF(DATOS!$G4336="OR",--(COUNTIFS(nNIA,DATOS!$A4336,nCURSO,DATOS!$D4336,nESPEC,DATOS!$E4336,nASIG,DATOS!$I4336,nEVAL,"EX")=0),0))))</f>
      </c>
      <c r="H4336">
        <f>IF(DATOS!$G4336&lt;&gt;"EX",0,--(COUNTIFS(nNIA,DATOS!$A4336,nCURSO,DATOS!$D4336,nESPEC,DATOS!$E4336,nASIG,DATOS!$I4336,nEVAL,"OR")=0))</f>
      </c>
      <c r="I4336">
        <f>IF(DATOS!$I4336="","",IFERROR(VLOOKUP(DATOS!$I4336,CONFIG_ASIGNATURAS!$B$2:$J$91,9,FALSE()),""))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IF(DATOS!$A4337="",0,IF(CONFIG_METADATA!$B$4&lt;&gt;"OR+EX",--(DATOS!$G4337=CONFIG_METADATA!$B$4),IF(DATOS!$G4337="EX",1,IF(DATOS!$G4337="OR",--(COUNTIFS(nNIA,DATOS!$A4337,nCURSO,DATOS!$D4337,nESPEC,DATOS!$E4337,nASIG,DATOS!$I4337,nEVAL,"EX")=0),0))))</f>
      </c>
      <c r="H4337">
        <f>IF(DATOS!$G4337&lt;&gt;"EX",0,--(COUNTIFS(nNIA,DATOS!$A4337,nCURSO,DATOS!$D4337,nESPEC,DATOS!$E4337,nASIG,DATOS!$I4337,nEVAL,"OR")=0))</f>
      </c>
      <c r="I4337">
        <f>IF(DATOS!$I4337="","",IFERROR(VLOOKUP(DATOS!$I4337,CONFIG_ASIGNATURAS!$B$2:$J$91,9,FALSE()),""))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IF(DATOS!$A4338="",0,IF(CONFIG_METADATA!$B$4&lt;&gt;"OR+EX",--(DATOS!$G4338=CONFIG_METADATA!$B$4),IF(DATOS!$G4338="EX",1,IF(DATOS!$G4338="OR",--(COUNTIFS(nNIA,DATOS!$A4338,nCURSO,DATOS!$D4338,nESPEC,DATOS!$E4338,nASIG,DATOS!$I4338,nEVAL,"EX")=0),0))))</f>
      </c>
      <c r="H4338">
        <f>IF(DATOS!$G4338&lt;&gt;"EX",0,--(COUNTIFS(nNIA,DATOS!$A4338,nCURSO,DATOS!$D4338,nESPEC,DATOS!$E4338,nASIG,DATOS!$I4338,nEVAL,"OR")=0))</f>
      </c>
      <c r="I4338">
        <f>IF(DATOS!$I4338="","",IFERROR(VLOOKUP(DATOS!$I4338,CONFIG_ASIGNATURAS!$B$2:$J$91,9,FALSE()),""))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IF(DATOS!$A4339="",0,IF(CONFIG_METADATA!$B$4&lt;&gt;"OR+EX",--(DATOS!$G4339=CONFIG_METADATA!$B$4),IF(DATOS!$G4339="EX",1,IF(DATOS!$G4339="OR",--(COUNTIFS(nNIA,DATOS!$A4339,nCURSO,DATOS!$D4339,nESPEC,DATOS!$E4339,nASIG,DATOS!$I4339,nEVAL,"EX")=0),0))))</f>
      </c>
      <c r="H4339">
        <f>IF(DATOS!$G4339&lt;&gt;"EX",0,--(COUNTIFS(nNIA,DATOS!$A4339,nCURSO,DATOS!$D4339,nESPEC,DATOS!$E4339,nASIG,DATOS!$I4339,nEVAL,"OR")=0))</f>
      </c>
      <c r="I4339">
        <f>IF(DATOS!$I4339="","",IFERROR(VLOOKUP(DATOS!$I4339,CONFIG_ASIGNATURAS!$B$2:$J$91,9,FALSE()),""))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IF(DATOS!$A4340="",0,IF(CONFIG_METADATA!$B$4&lt;&gt;"OR+EX",--(DATOS!$G4340=CONFIG_METADATA!$B$4),IF(DATOS!$G4340="EX",1,IF(DATOS!$G4340="OR",--(COUNTIFS(nNIA,DATOS!$A4340,nCURSO,DATOS!$D4340,nESPEC,DATOS!$E4340,nASIG,DATOS!$I4340,nEVAL,"EX")=0),0))))</f>
      </c>
      <c r="H4340">
        <f>IF(DATOS!$G4340&lt;&gt;"EX",0,--(COUNTIFS(nNIA,DATOS!$A4340,nCURSO,DATOS!$D4340,nESPEC,DATOS!$E4340,nASIG,DATOS!$I4340,nEVAL,"OR")=0))</f>
      </c>
      <c r="I4340">
        <f>IF(DATOS!$I4340="","",IFERROR(VLOOKUP(DATOS!$I4340,CONFIG_ASIGNATURAS!$B$2:$J$91,9,FALSE()),""))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IF(DATOS!$A4341="",0,IF(CONFIG_METADATA!$B$4&lt;&gt;"OR+EX",--(DATOS!$G4341=CONFIG_METADATA!$B$4),IF(DATOS!$G4341="EX",1,IF(DATOS!$G4341="OR",--(COUNTIFS(nNIA,DATOS!$A4341,nCURSO,DATOS!$D4341,nESPEC,DATOS!$E4341,nASIG,DATOS!$I4341,nEVAL,"EX")=0),0))))</f>
      </c>
      <c r="H4341">
        <f>IF(DATOS!$G4341&lt;&gt;"EX",0,--(COUNTIFS(nNIA,DATOS!$A4341,nCURSO,DATOS!$D4341,nESPEC,DATOS!$E4341,nASIG,DATOS!$I4341,nEVAL,"OR")=0))</f>
      </c>
      <c r="I4341">
        <f>IF(DATOS!$I4341="","",IFERROR(VLOOKUP(DATOS!$I4341,CONFIG_ASIGNATURAS!$B$2:$J$91,9,FALSE()),""))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IF(DATOS!$A4342="",0,IF(CONFIG_METADATA!$B$4&lt;&gt;"OR+EX",--(DATOS!$G4342=CONFIG_METADATA!$B$4),IF(DATOS!$G4342="EX",1,IF(DATOS!$G4342="OR",--(COUNTIFS(nNIA,DATOS!$A4342,nCURSO,DATOS!$D4342,nESPEC,DATOS!$E4342,nASIG,DATOS!$I4342,nEVAL,"EX")=0),0))))</f>
      </c>
      <c r="H4342">
        <f>IF(DATOS!$G4342&lt;&gt;"EX",0,--(COUNTIFS(nNIA,DATOS!$A4342,nCURSO,DATOS!$D4342,nESPEC,DATOS!$E4342,nASIG,DATOS!$I4342,nEVAL,"OR")=0))</f>
      </c>
      <c r="I4342">
        <f>IF(DATOS!$I4342="","",IFERROR(VLOOKUP(DATOS!$I4342,CONFIG_ASIGNATURAS!$B$2:$J$91,9,FALSE()),""))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IF(DATOS!$A4343="",0,IF(CONFIG_METADATA!$B$4&lt;&gt;"OR+EX",--(DATOS!$G4343=CONFIG_METADATA!$B$4),IF(DATOS!$G4343="EX",1,IF(DATOS!$G4343="OR",--(COUNTIFS(nNIA,DATOS!$A4343,nCURSO,DATOS!$D4343,nESPEC,DATOS!$E4343,nASIG,DATOS!$I4343,nEVAL,"EX")=0),0))))</f>
      </c>
      <c r="H4343">
        <f>IF(DATOS!$G4343&lt;&gt;"EX",0,--(COUNTIFS(nNIA,DATOS!$A4343,nCURSO,DATOS!$D4343,nESPEC,DATOS!$E4343,nASIG,DATOS!$I4343,nEVAL,"OR")=0))</f>
      </c>
      <c r="I4343">
        <f>IF(DATOS!$I4343="","",IFERROR(VLOOKUP(DATOS!$I4343,CONFIG_ASIGNATURAS!$B$2:$J$91,9,FALSE()),""))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IF(DATOS!$A4344="",0,IF(CONFIG_METADATA!$B$4&lt;&gt;"OR+EX",--(DATOS!$G4344=CONFIG_METADATA!$B$4),IF(DATOS!$G4344="EX",1,IF(DATOS!$G4344="OR",--(COUNTIFS(nNIA,DATOS!$A4344,nCURSO,DATOS!$D4344,nESPEC,DATOS!$E4344,nASIG,DATOS!$I4344,nEVAL,"EX")=0),0))))</f>
      </c>
      <c r="H4344">
        <f>IF(DATOS!$G4344&lt;&gt;"EX",0,--(COUNTIFS(nNIA,DATOS!$A4344,nCURSO,DATOS!$D4344,nESPEC,DATOS!$E4344,nASIG,DATOS!$I4344,nEVAL,"OR")=0))</f>
      </c>
      <c r="I4344">
        <f>IF(DATOS!$I4344="","",IFERROR(VLOOKUP(DATOS!$I4344,CONFIG_ASIGNATURAS!$B$2:$J$91,9,FALSE()),""))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IF(DATOS!$A4345="",0,IF(CONFIG_METADATA!$B$4&lt;&gt;"OR+EX",--(DATOS!$G4345=CONFIG_METADATA!$B$4),IF(DATOS!$G4345="EX",1,IF(DATOS!$G4345="OR",--(COUNTIFS(nNIA,DATOS!$A4345,nCURSO,DATOS!$D4345,nESPEC,DATOS!$E4345,nASIG,DATOS!$I4345,nEVAL,"EX")=0),0))))</f>
      </c>
      <c r="H4345">
        <f>IF(DATOS!$G4345&lt;&gt;"EX",0,--(COUNTIFS(nNIA,DATOS!$A4345,nCURSO,DATOS!$D4345,nESPEC,DATOS!$E4345,nASIG,DATOS!$I4345,nEVAL,"OR")=0))</f>
      </c>
      <c r="I4345">
        <f>IF(DATOS!$I4345="","",IFERROR(VLOOKUP(DATOS!$I4345,CONFIG_ASIGNATURAS!$B$2:$J$91,9,FALSE()),""))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IF(DATOS!$A4346="",0,IF(CONFIG_METADATA!$B$4&lt;&gt;"OR+EX",--(DATOS!$G4346=CONFIG_METADATA!$B$4),IF(DATOS!$G4346="EX",1,IF(DATOS!$G4346="OR",--(COUNTIFS(nNIA,DATOS!$A4346,nCURSO,DATOS!$D4346,nESPEC,DATOS!$E4346,nASIG,DATOS!$I4346,nEVAL,"EX")=0),0))))</f>
      </c>
      <c r="H4346">
        <f>IF(DATOS!$G4346&lt;&gt;"EX",0,--(COUNTIFS(nNIA,DATOS!$A4346,nCURSO,DATOS!$D4346,nESPEC,DATOS!$E4346,nASIG,DATOS!$I4346,nEVAL,"OR")=0))</f>
      </c>
      <c r="I4346">
        <f>IF(DATOS!$I4346="","",IFERROR(VLOOKUP(DATOS!$I4346,CONFIG_ASIGNATURAS!$B$2:$J$91,9,FALSE()),""))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IF(DATOS!$A4347="",0,IF(CONFIG_METADATA!$B$4&lt;&gt;"OR+EX",--(DATOS!$G4347=CONFIG_METADATA!$B$4),IF(DATOS!$G4347="EX",1,IF(DATOS!$G4347="OR",--(COUNTIFS(nNIA,DATOS!$A4347,nCURSO,DATOS!$D4347,nESPEC,DATOS!$E4347,nASIG,DATOS!$I4347,nEVAL,"EX")=0),0))))</f>
      </c>
      <c r="H4347">
        <f>IF(DATOS!$G4347&lt;&gt;"EX",0,--(COUNTIFS(nNIA,DATOS!$A4347,nCURSO,DATOS!$D4347,nESPEC,DATOS!$E4347,nASIG,DATOS!$I4347,nEVAL,"OR")=0))</f>
      </c>
      <c r="I4347">
        <f>IF(DATOS!$I4347="","",IFERROR(VLOOKUP(DATOS!$I4347,CONFIG_ASIGNATURAS!$B$2:$J$91,9,FALSE()),""))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IF(DATOS!$A4348="",0,IF(CONFIG_METADATA!$B$4&lt;&gt;"OR+EX",--(DATOS!$G4348=CONFIG_METADATA!$B$4),IF(DATOS!$G4348="EX",1,IF(DATOS!$G4348="OR",--(COUNTIFS(nNIA,DATOS!$A4348,nCURSO,DATOS!$D4348,nESPEC,DATOS!$E4348,nASIG,DATOS!$I4348,nEVAL,"EX")=0),0))))</f>
      </c>
      <c r="H4348">
        <f>IF(DATOS!$G4348&lt;&gt;"EX",0,--(COUNTIFS(nNIA,DATOS!$A4348,nCURSO,DATOS!$D4348,nESPEC,DATOS!$E4348,nASIG,DATOS!$I4348,nEVAL,"OR")=0))</f>
      </c>
      <c r="I4348">
        <f>IF(DATOS!$I4348="","",IFERROR(VLOOKUP(DATOS!$I4348,CONFIG_ASIGNATURAS!$B$2:$J$91,9,FALSE()),""))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IF(DATOS!$A4349="",0,IF(CONFIG_METADATA!$B$4&lt;&gt;"OR+EX",--(DATOS!$G4349=CONFIG_METADATA!$B$4),IF(DATOS!$G4349="EX",1,IF(DATOS!$G4349="OR",--(COUNTIFS(nNIA,DATOS!$A4349,nCURSO,DATOS!$D4349,nESPEC,DATOS!$E4349,nASIG,DATOS!$I4349,nEVAL,"EX")=0),0))))</f>
      </c>
      <c r="H4349">
        <f>IF(DATOS!$G4349&lt;&gt;"EX",0,--(COUNTIFS(nNIA,DATOS!$A4349,nCURSO,DATOS!$D4349,nESPEC,DATOS!$E4349,nASIG,DATOS!$I4349,nEVAL,"OR")=0))</f>
      </c>
      <c r="I4349">
        <f>IF(DATOS!$I4349="","",IFERROR(VLOOKUP(DATOS!$I4349,CONFIG_ASIGNATURAS!$B$2:$J$91,9,FALSE()),""))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IF(DATOS!$A4350="",0,IF(CONFIG_METADATA!$B$4&lt;&gt;"OR+EX",--(DATOS!$G4350=CONFIG_METADATA!$B$4),IF(DATOS!$G4350="EX",1,IF(DATOS!$G4350="OR",--(COUNTIFS(nNIA,DATOS!$A4350,nCURSO,DATOS!$D4350,nESPEC,DATOS!$E4350,nASIG,DATOS!$I4350,nEVAL,"EX")=0),0))))</f>
      </c>
      <c r="H4350">
        <f>IF(DATOS!$G4350&lt;&gt;"EX",0,--(COUNTIFS(nNIA,DATOS!$A4350,nCURSO,DATOS!$D4350,nESPEC,DATOS!$E4350,nASIG,DATOS!$I4350,nEVAL,"OR")=0))</f>
      </c>
      <c r="I4350">
        <f>IF(DATOS!$I4350="","",IFERROR(VLOOKUP(DATOS!$I4350,CONFIG_ASIGNATURAS!$B$2:$J$91,9,FALSE()),""))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IF(DATOS!$A4351="",0,IF(CONFIG_METADATA!$B$4&lt;&gt;"OR+EX",--(DATOS!$G4351=CONFIG_METADATA!$B$4),IF(DATOS!$G4351="EX",1,IF(DATOS!$G4351="OR",--(COUNTIFS(nNIA,DATOS!$A4351,nCURSO,DATOS!$D4351,nESPEC,DATOS!$E4351,nASIG,DATOS!$I4351,nEVAL,"EX")=0),0))))</f>
      </c>
      <c r="H4351">
        <f>IF(DATOS!$G4351&lt;&gt;"EX",0,--(COUNTIFS(nNIA,DATOS!$A4351,nCURSO,DATOS!$D4351,nESPEC,DATOS!$E4351,nASIG,DATOS!$I4351,nEVAL,"OR")=0))</f>
      </c>
      <c r="I4351">
        <f>IF(DATOS!$I4351="","",IFERROR(VLOOKUP(DATOS!$I4351,CONFIG_ASIGNATURAS!$B$2:$J$91,9,FALSE()),""))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IF(DATOS!$A4352="",0,IF(CONFIG_METADATA!$B$4&lt;&gt;"OR+EX",--(DATOS!$G4352=CONFIG_METADATA!$B$4),IF(DATOS!$G4352="EX",1,IF(DATOS!$G4352="OR",--(COUNTIFS(nNIA,DATOS!$A4352,nCURSO,DATOS!$D4352,nESPEC,DATOS!$E4352,nASIG,DATOS!$I4352,nEVAL,"EX")=0),0))))</f>
      </c>
      <c r="H4352">
        <f>IF(DATOS!$G4352&lt;&gt;"EX",0,--(COUNTIFS(nNIA,DATOS!$A4352,nCURSO,DATOS!$D4352,nESPEC,DATOS!$E4352,nASIG,DATOS!$I4352,nEVAL,"OR")=0))</f>
      </c>
      <c r="I4352">
        <f>IF(DATOS!$I4352="","",IFERROR(VLOOKUP(DATOS!$I4352,CONFIG_ASIGNATURAS!$B$2:$J$91,9,FALSE()),""))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IF(DATOS!$A4353="",0,IF(CONFIG_METADATA!$B$4&lt;&gt;"OR+EX",--(DATOS!$G4353=CONFIG_METADATA!$B$4),IF(DATOS!$G4353="EX",1,IF(DATOS!$G4353="OR",--(COUNTIFS(nNIA,DATOS!$A4353,nCURSO,DATOS!$D4353,nESPEC,DATOS!$E4353,nASIG,DATOS!$I4353,nEVAL,"EX")=0),0))))</f>
      </c>
      <c r="H4353">
        <f>IF(DATOS!$G4353&lt;&gt;"EX",0,--(COUNTIFS(nNIA,DATOS!$A4353,nCURSO,DATOS!$D4353,nESPEC,DATOS!$E4353,nASIG,DATOS!$I4353,nEVAL,"OR")=0))</f>
      </c>
      <c r="I4353">
        <f>IF(DATOS!$I4353="","",IFERROR(VLOOKUP(DATOS!$I4353,CONFIG_ASIGNATURAS!$B$2:$J$91,9,FALSE()),""))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IF(DATOS!$A4354="",0,IF(CONFIG_METADATA!$B$4&lt;&gt;"OR+EX",--(DATOS!$G4354=CONFIG_METADATA!$B$4),IF(DATOS!$G4354="EX",1,IF(DATOS!$G4354="OR",--(COUNTIFS(nNIA,DATOS!$A4354,nCURSO,DATOS!$D4354,nESPEC,DATOS!$E4354,nASIG,DATOS!$I4354,nEVAL,"EX")=0),0))))</f>
      </c>
      <c r="H4354">
        <f>IF(DATOS!$G4354&lt;&gt;"EX",0,--(COUNTIFS(nNIA,DATOS!$A4354,nCURSO,DATOS!$D4354,nESPEC,DATOS!$E4354,nASIG,DATOS!$I4354,nEVAL,"OR")=0))</f>
      </c>
      <c r="I4354">
        <f>IF(DATOS!$I4354="","",IFERROR(VLOOKUP(DATOS!$I4354,CONFIG_ASIGNATURAS!$B$2:$J$91,9,FALSE()),""))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IF(DATOS!$A4355="",0,IF(CONFIG_METADATA!$B$4&lt;&gt;"OR+EX",--(DATOS!$G4355=CONFIG_METADATA!$B$4),IF(DATOS!$G4355="EX",1,IF(DATOS!$G4355="OR",--(COUNTIFS(nNIA,DATOS!$A4355,nCURSO,DATOS!$D4355,nESPEC,DATOS!$E4355,nASIG,DATOS!$I4355,nEVAL,"EX")=0),0))))</f>
      </c>
      <c r="H4355">
        <f>IF(DATOS!$G4355&lt;&gt;"EX",0,--(COUNTIFS(nNIA,DATOS!$A4355,nCURSO,DATOS!$D4355,nESPEC,DATOS!$E4355,nASIG,DATOS!$I4355,nEVAL,"OR")=0))</f>
      </c>
      <c r="I4355">
        <f>IF(DATOS!$I4355="","",IFERROR(VLOOKUP(DATOS!$I4355,CONFIG_ASIGNATURAS!$B$2:$J$91,9,FALSE()),""))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IF(DATOS!$A4356="",0,IF(CONFIG_METADATA!$B$4&lt;&gt;"OR+EX",--(DATOS!$G4356=CONFIG_METADATA!$B$4),IF(DATOS!$G4356="EX",1,IF(DATOS!$G4356="OR",--(COUNTIFS(nNIA,DATOS!$A4356,nCURSO,DATOS!$D4356,nESPEC,DATOS!$E4356,nASIG,DATOS!$I4356,nEVAL,"EX")=0),0))))</f>
      </c>
      <c r="H4356">
        <f>IF(DATOS!$G4356&lt;&gt;"EX",0,--(COUNTIFS(nNIA,DATOS!$A4356,nCURSO,DATOS!$D4356,nESPEC,DATOS!$E4356,nASIG,DATOS!$I4356,nEVAL,"OR")=0))</f>
      </c>
      <c r="I4356">
        <f>IF(DATOS!$I4356="","",IFERROR(VLOOKUP(DATOS!$I4356,CONFIG_ASIGNATURAS!$B$2:$J$91,9,FALSE()),""))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IF(DATOS!$A4357="",0,IF(CONFIG_METADATA!$B$4&lt;&gt;"OR+EX",--(DATOS!$G4357=CONFIG_METADATA!$B$4),IF(DATOS!$G4357="EX",1,IF(DATOS!$G4357="OR",--(COUNTIFS(nNIA,DATOS!$A4357,nCURSO,DATOS!$D4357,nESPEC,DATOS!$E4357,nASIG,DATOS!$I4357,nEVAL,"EX")=0),0))))</f>
      </c>
      <c r="H4357">
        <f>IF(DATOS!$G4357&lt;&gt;"EX",0,--(COUNTIFS(nNIA,DATOS!$A4357,nCURSO,DATOS!$D4357,nESPEC,DATOS!$E4357,nASIG,DATOS!$I4357,nEVAL,"OR")=0))</f>
      </c>
      <c r="I4357">
        <f>IF(DATOS!$I4357="","",IFERROR(VLOOKUP(DATOS!$I4357,CONFIG_ASIGNATURAS!$B$2:$J$91,9,FALSE()),""))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IF(DATOS!$A4358="",0,IF(CONFIG_METADATA!$B$4&lt;&gt;"OR+EX",--(DATOS!$G4358=CONFIG_METADATA!$B$4),IF(DATOS!$G4358="EX",1,IF(DATOS!$G4358="OR",--(COUNTIFS(nNIA,DATOS!$A4358,nCURSO,DATOS!$D4358,nESPEC,DATOS!$E4358,nASIG,DATOS!$I4358,nEVAL,"EX")=0),0))))</f>
      </c>
      <c r="H4358">
        <f>IF(DATOS!$G4358&lt;&gt;"EX",0,--(COUNTIFS(nNIA,DATOS!$A4358,nCURSO,DATOS!$D4358,nESPEC,DATOS!$E4358,nASIG,DATOS!$I4358,nEVAL,"OR")=0))</f>
      </c>
      <c r="I4358">
        <f>IF(DATOS!$I4358="","",IFERROR(VLOOKUP(DATOS!$I4358,CONFIG_ASIGNATURAS!$B$2:$J$91,9,FALSE()),""))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IF(DATOS!$A4359="",0,IF(CONFIG_METADATA!$B$4&lt;&gt;"OR+EX",--(DATOS!$G4359=CONFIG_METADATA!$B$4),IF(DATOS!$G4359="EX",1,IF(DATOS!$G4359="OR",--(COUNTIFS(nNIA,DATOS!$A4359,nCURSO,DATOS!$D4359,nESPEC,DATOS!$E4359,nASIG,DATOS!$I4359,nEVAL,"EX")=0),0))))</f>
      </c>
      <c r="H4359">
        <f>IF(DATOS!$G4359&lt;&gt;"EX",0,--(COUNTIFS(nNIA,DATOS!$A4359,nCURSO,DATOS!$D4359,nESPEC,DATOS!$E4359,nASIG,DATOS!$I4359,nEVAL,"OR")=0))</f>
      </c>
      <c r="I4359">
        <f>IF(DATOS!$I4359="","",IFERROR(VLOOKUP(DATOS!$I4359,CONFIG_ASIGNATURAS!$B$2:$J$91,9,FALSE()),""))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IF(DATOS!$A4360="",0,IF(CONFIG_METADATA!$B$4&lt;&gt;"OR+EX",--(DATOS!$G4360=CONFIG_METADATA!$B$4),IF(DATOS!$G4360="EX",1,IF(DATOS!$G4360="OR",--(COUNTIFS(nNIA,DATOS!$A4360,nCURSO,DATOS!$D4360,nESPEC,DATOS!$E4360,nASIG,DATOS!$I4360,nEVAL,"EX")=0),0))))</f>
      </c>
      <c r="H4360">
        <f>IF(DATOS!$G4360&lt;&gt;"EX",0,--(COUNTIFS(nNIA,DATOS!$A4360,nCURSO,DATOS!$D4360,nESPEC,DATOS!$E4360,nASIG,DATOS!$I4360,nEVAL,"OR")=0))</f>
      </c>
      <c r="I4360">
        <f>IF(DATOS!$I4360="","",IFERROR(VLOOKUP(DATOS!$I4360,CONFIG_ASIGNATURAS!$B$2:$J$91,9,FALSE()),""))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IF(DATOS!$A4361="",0,IF(CONFIG_METADATA!$B$4&lt;&gt;"OR+EX",--(DATOS!$G4361=CONFIG_METADATA!$B$4),IF(DATOS!$G4361="EX",1,IF(DATOS!$G4361="OR",--(COUNTIFS(nNIA,DATOS!$A4361,nCURSO,DATOS!$D4361,nESPEC,DATOS!$E4361,nASIG,DATOS!$I4361,nEVAL,"EX")=0),0))))</f>
      </c>
      <c r="H4361">
        <f>IF(DATOS!$G4361&lt;&gt;"EX",0,--(COUNTIFS(nNIA,DATOS!$A4361,nCURSO,DATOS!$D4361,nESPEC,DATOS!$E4361,nASIG,DATOS!$I4361,nEVAL,"OR")=0))</f>
      </c>
      <c r="I4361">
        <f>IF(DATOS!$I4361="","",IFERROR(VLOOKUP(DATOS!$I4361,CONFIG_ASIGNATURAS!$B$2:$J$91,9,FALSE()),""))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IF(DATOS!$A4362="",0,IF(CONFIG_METADATA!$B$4&lt;&gt;"OR+EX",--(DATOS!$G4362=CONFIG_METADATA!$B$4),IF(DATOS!$G4362="EX",1,IF(DATOS!$G4362="OR",--(COUNTIFS(nNIA,DATOS!$A4362,nCURSO,DATOS!$D4362,nESPEC,DATOS!$E4362,nASIG,DATOS!$I4362,nEVAL,"EX")=0),0))))</f>
      </c>
      <c r="H4362">
        <f>IF(DATOS!$G4362&lt;&gt;"EX",0,--(COUNTIFS(nNIA,DATOS!$A4362,nCURSO,DATOS!$D4362,nESPEC,DATOS!$E4362,nASIG,DATOS!$I4362,nEVAL,"OR")=0))</f>
      </c>
      <c r="I4362">
        <f>IF(DATOS!$I4362="","",IFERROR(VLOOKUP(DATOS!$I4362,CONFIG_ASIGNATURAS!$B$2:$J$91,9,FALSE()),""))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IF(DATOS!$A4363="",0,IF(CONFIG_METADATA!$B$4&lt;&gt;"OR+EX",--(DATOS!$G4363=CONFIG_METADATA!$B$4),IF(DATOS!$G4363="EX",1,IF(DATOS!$G4363="OR",--(COUNTIFS(nNIA,DATOS!$A4363,nCURSO,DATOS!$D4363,nESPEC,DATOS!$E4363,nASIG,DATOS!$I4363,nEVAL,"EX")=0),0))))</f>
      </c>
      <c r="H4363">
        <f>IF(DATOS!$G4363&lt;&gt;"EX",0,--(COUNTIFS(nNIA,DATOS!$A4363,nCURSO,DATOS!$D4363,nESPEC,DATOS!$E4363,nASIG,DATOS!$I4363,nEVAL,"OR")=0))</f>
      </c>
      <c r="I4363">
        <f>IF(DATOS!$I4363="","",IFERROR(VLOOKUP(DATOS!$I4363,CONFIG_ASIGNATURAS!$B$2:$J$91,9,FALSE()),""))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IF(DATOS!$A4364="",0,IF(CONFIG_METADATA!$B$4&lt;&gt;"OR+EX",--(DATOS!$G4364=CONFIG_METADATA!$B$4),IF(DATOS!$G4364="EX",1,IF(DATOS!$G4364="OR",--(COUNTIFS(nNIA,DATOS!$A4364,nCURSO,DATOS!$D4364,nESPEC,DATOS!$E4364,nASIG,DATOS!$I4364,nEVAL,"EX")=0),0))))</f>
      </c>
      <c r="H4364">
        <f>IF(DATOS!$G4364&lt;&gt;"EX",0,--(COUNTIFS(nNIA,DATOS!$A4364,nCURSO,DATOS!$D4364,nESPEC,DATOS!$E4364,nASIG,DATOS!$I4364,nEVAL,"OR")=0))</f>
      </c>
      <c r="I4364">
        <f>IF(DATOS!$I4364="","",IFERROR(VLOOKUP(DATOS!$I4364,CONFIG_ASIGNATURAS!$B$2:$J$91,9,FALSE()),""))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IF(DATOS!$A4365="",0,IF(CONFIG_METADATA!$B$4&lt;&gt;"OR+EX",--(DATOS!$G4365=CONFIG_METADATA!$B$4),IF(DATOS!$G4365="EX",1,IF(DATOS!$G4365="OR",--(COUNTIFS(nNIA,DATOS!$A4365,nCURSO,DATOS!$D4365,nESPEC,DATOS!$E4365,nASIG,DATOS!$I4365,nEVAL,"EX")=0),0))))</f>
      </c>
      <c r="H4365">
        <f>IF(DATOS!$G4365&lt;&gt;"EX",0,--(COUNTIFS(nNIA,DATOS!$A4365,nCURSO,DATOS!$D4365,nESPEC,DATOS!$E4365,nASIG,DATOS!$I4365,nEVAL,"OR")=0))</f>
      </c>
      <c r="I4365">
        <f>IF(DATOS!$I4365="","",IFERROR(VLOOKUP(DATOS!$I4365,CONFIG_ASIGNATURAS!$B$2:$J$91,9,FALSE()),""))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IF(DATOS!$A4366="",0,IF(CONFIG_METADATA!$B$4&lt;&gt;"OR+EX",--(DATOS!$G4366=CONFIG_METADATA!$B$4),IF(DATOS!$G4366="EX",1,IF(DATOS!$G4366="OR",--(COUNTIFS(nNIA,DATOS!$A4366,nCURSO,DATOS!$D4366,nESPEC,DATOS!$E4366,nASIG,DATOS!$I4366,nEVAL,"EX")=0),0))))</f>
      </c>
      <c r="H4366">
        <f>IF(DATOS!$G4366&lt;&gt;"EX",0,--(COUNTIFS(nNIA,DATOS!$A4366,nCURSO,DATOS!$D4366,nESPEC,DATOS!$E4366,nASIG,DATOS!$I4366,nEVAL,"OR")=0))</f>
      </c>
      <c r="I4366">
        <f>IF(DATOS!$I4366="","",IFERROR(VLOOKUP(DATOS!$I4366,CONFIG_ASIGNATURAS!$B$2:$J$91,9,FALSE()),""))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IF(DATOS!$A4367="",0,IF(CONFIG_METADATA!$B$4&lt;&gt;"OR+EX",--(DATOS!$G4367=CONFIG_METADATA!$B$4),IF(DATOS!$G4367="EX",1,IF(DATOS!$G4367="OR",--(COUNTIFS(nNIA,DATOS!$A4367,nCURSO,DATOS!$D4367,nESPEC,DATOS!$E4367,nASIG,DATOS!$I4367,nEVAL,"EX")=0),0))))</f>
      </c>
      <c r="H4367">
        <f>IF(DATOS!$G4367&lt;&gt;"EX",0,--(COUNTIFS(nNIA,DATOS!$A4367,nCURSO,DATOS!$D4367,nESPEC,DATOS!$E4367,nASIG,DATOS!$I4367,nEVAL,"OR")=0))</f>
      </c>
      <c r="I4367">
        <f>IF(DATOS!$I4367="","",IFERROR(VLOOKUP(DATOS!$I4367,CONFIG_ASIGNATURAS!$B$2:$J$91,9,FALSE()),""))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IF(DATOS!$A4368="",0,IF(CONFIG_METADATA!$B$4&lt;&gt;"OR+EX",--(DATOS!$G4368=CONFIG_METADATA!$B$4),IF(DATOS!$G4368="EX",1,IF(DATOS!$G4368="OR",--(COUNTIFS(nNIA,DATOS!$A4368,nCURSO,DATOS!$D4368,nESPEC,DATOS!$E4368,nASIG,DATOS!$I4368,nEVAL,"EX")=0),0))))</f>
      </c>
      <c r="H4368">
        <f>IF(DATOS!$G4368&lt;&gt;"EX",0,--(COUNTIFS(nNIA,DATOS!$A4368,nCURSO,DATOS!$D4368,nESPEC,DATOS!$E4368,nASIG,DATOS!$I4368,nEVAL,"OR")=0))</f>
      </c>
      <c r="I4368">
        <f>IF(DATOS!$I4368="","",IFERROR(VLOOKUP(DATOS!$I4368,CONFIG_ASIGNATURAS!$B$2:$J$91,9,FALSE()),""))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IF(DATOS!$A4369="",0,IF(CONFIG_METADATA!$B$4&lt;&gt;"OR+EX",--(DATOS!$G4369=CONFIG_METADATA!$B$4),IF(DATOS!$G4369="EX",1,IF(DATOS!$G4369="OR",--(COUNTIFS(nNIA,DATOS!$A4369,nCURSO,DATOS!$D4369,nESPEC,DATOS!$E4369,nASIG,DATOS!$I4369,nEVAL,"EX")=0),0))))</f>
      </c>
      <c r="H4369">
        <f>IF(DATOS!$G4369&lt;&gt;"EX",0,--(COUNTIFS(nNIA,DATOS!$A4369,nCURSO,DATOS!$D4369,nESPEC,DATOS!$E4369,nASIG,DATOS!$I4369,nEVAL,"OR")=0))</f>
      </c>
      <c r="I4369">
        <f>IF(DATOS!$I4369="","",IFERROR(VLOOKUP(DATOS!$I4369,CONFIG_ASIGNATURAS!$B$2:$J$91,9,FALSE()),""))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IF(DATOS!$A4370="",0,IF(CONFIG_METADATA!$B$4&lt;&gt;"OR+EX",--(DATOS!$G4370=CONFIG_METADATA!$B$4),IF(DATOS!$G4370="EX",1,IF(DATOS!$G4370="OR",--(COUNTIFS(nNIA,DATOS!$A4370,nCURSO,DATOS!$D4370,nESPEC,DATOS!$E4370,nASIG,DATOS!$I4370,nEVAL,"EX")=0),0))))</f>
      </c>
      <c r="H4370">
        <f>IF(DATOS!$G4370&lt;&gt;"EX",0,--(COUNTIFS(nNIA,DATOS!$A4370,nCURSO,DATOS!$D4370,nESPEC,DATOS!$E4370,nASIG,DATOS!$I4370,nEVAL,"OR")=0))</f>
      </c>
      <c r="I4370">
        <f>IF(DATOS!$I4370="","",IFERROR(VLOOKUP(DATOS!$I4370,CONFIG_ASIGNATURAS!$B$2:$J$91,9,FALSE()),""))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IF(DATOS!$A4371="",0,IF(CONFIG_METADATA!$B$4&lt;&gt;"OR+EX",--(DATOS!$G4371=CONFIG_METADATA!$B$4),IF(DATOS!$G4371="EX",1,IF(DATOS!$G4371="OR",--(COUNTIFS(nNIA,DATOS!$A4371,nCURSO,DATOS!$D4371,nESPEC,DATOS!$E4371,nASIG,DATOS!$I4371,nEVAL,"EX")=0),0))))</f>
      </c>
      <c r="H4371">
        <f>IF(DATOS!$G4371&lt;&gt;"EX",0,--(COUNTIFS(nNIA,DATOS!$A4371,nCURSO,DATOS!$D4371,nESPEC,DATOS!$E4371,nASIG,DATOS!$I4371,nEVAL,"OR")=0))</f>
      </c>
      <c r="I4371">
        <f>IF(DATOS!$I4371="","",IFERROR(VLOOKUP(DATOS!$I4371,CONFIG_ASIGNATURAS!$B$2:$J$91,9,FALSE()),""))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IF(DATOS!$A4372="",0,IF(CONFIG_METADATA!$B$4&lt;&gt;"OR+EX",--(DATOS!$G4372=CONFIG_METADATA!$B$4),IF(DATOS!$G4372="EX",1,IF(DATOS!$G4372="OR",--(COUNTIFS(nNIA,DATOS!$A4372,nCURSO,DATOS!$D4372,nESPEC,DATOS!$E4372,nASIG,DATOS!$I4372,nEVAL,"EX")=0),0))))</f>
      </c>
      <c r="H4372">
        <f>IF(DATOS!$G4372&lt;&gt;"EX",0,--(COUNTIFS(nNIA,DATOS!$A4372,nCURSO,DATOS!$D4372,nESPEC,DATOS!$E4372,nASIG,DATOS!$I4372,nEVAL,"OR")=0))</f>
      </c>
      <c r="I4372">
        <f>IF(DATOS!$I4372="","",IFERROR(VLOOKUP(DATOS!$I4372,CONFIG_ASIGNATURAS!$B$2:$J$91,9,FALSE()),""))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IF(DATOS!$A4373="",0,IF(CONFIG_METADATA!$B$4&lt;&gt;"OR+EX",--(DATOS!$G4373=CONFIG_METADATA!$B$4),IF(DATOS!$G4373="EX",1,IF(DATOS!$G4373="OR",--(COUNTIFS(nNIA,DATOS!$A4373,nCURSO,DATOS!$D4373,nESPEC,DATOS!$E4373,nASIG,DATOS!$I4373,nEVAL,"EX")=0),0))))</f>
      </c>
      <c r="H4373">
        <f>IF(DATOS!$G4373&lt;&gt;"EX",0,--(COUNTIFS(nNIA,DATOS!$A4373,nCURSO,DATOS!$D4373,nESPEC,DATOS!$E4373,nASIG,DATOS!$I4373,nEVAL,"OR")=0))</f>
      </c>
      <c r="I4373">
        <f>IF(DATOS!$I4373="","",IFERROR(VLOOKUP(DATOS!$I4373,CONFIG_ASIGNATURAS!$B$2:$J$91,9,FALSE()),""))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IF(DATOS!$A4374="",0,IF(CONFIG_METADATA!$B$4&lt;&gt;"OR+EX",--(DATOS!$G4374=CONFIG_METADATA!$B$4),IF(DATOS!$G4374="EX",1,IF(DATOS!$G4374="OR",--(COUNTIFS(nNIA,DATOS!$A4374,nCURSO,DATOS!$D4374,nESPEC,DATOS!$E4374,nASIG,DATOS!$I4374,nEVAL,"EX")=0),0))))</f>
      </c>
      <c r="H4374">
        <f>IF(DATOS!$G4374&lt;&gt;"EX",0,--(COUNTIFS(nNIA,DATOS!$A4374,nCURSO,DATOS!$D4374,nESPEC,DATOS!$E4374,nASIG,DATOS!$I4374,nEVAL,"OR")=0))</f>
      </c>
      <c r="I4374">
        <f>IF(DATOS!$I4374="","",IFERROR(VLOOKUP(DATOS!$I4374,CONFIG_ASIGNATURAS!$B$2:$J$91,9,FALSE()),""))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IF(DATOS!$A4375="",0,IF(CONFIG_METADATA!$B$4&lt;&gt;"OR+EX",--(DATOS!$G4375=CONFIG_METADATA!$B$4),IF(DATOS!$G4375="EX",1,IF(DATOS!$G4375="OR",--(COUNTIFS(nNIA,DATOS!$A4375,nCURSO,DATOS!$D4375,nESPEC,DATOS!$E4375,nASIG,DATOS!$I4375,nEVAL,"EX")=0),0))))</f>
      </c>
      <c r="H4375">
        <f>IF(DATOS!$G4375&lt;&gt;"EX",0,--(COUNTIFS(nNIA,DATOS!$A4375,nCURSO,DATOS!$D4375,nESPEC,DATOS!$E4375,nASIG,DATOS!$I4375,nEVAL,"OR")=0))</f>
      </c>
      <c r="I4375">
        <f>IF(DATOS!$I4375="","",IFERROR(VLOOKUP(DATOS!$I4375,CONFIG_ASIGNATURAS!$B$2:$J$91,9,FALSE()),""))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IF(DATOS!$A4376="",0,IF(CONFIG_METADATA!$B$4&lt;&gt;"OR+EX",--(DATOS!$G4376=CONFIG_METADATA!$B$4),IF(DATOS!$G4376="EX",1,IF(DATOS!$G4376="OR",--(COUNTIFS(nNIA,DATOS!$A4376,nCURSO,DATOS!$D4376,nESPEC,DATOS!$E4376,nASIG,DATOS!$I4376,nEVAL,"EX")=0),0))))</f>
      </c>
      <c r="H4376">
        <f>IF(DATOS!$G4376&lt;&gt;"EX",0,--(COUNTIFS(nNIA,DATOS!$A4376,nCURSO,DATOS!$D4376,nESPEC,DATOS!$E4376,nASIG,DATOS!$I4376,nEVAL,"OR")=0))</f>
      </c>
      <c r="I4376">
        <f>IF(DATOS!$I4376="","",IFERROR(VLOOKUP(DATOS!$I4376,CONFIG_ASIGNATURAS!$B$2:$J$91,9,FALSE()),""))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IF(DATOS!$A4377="",0,IF(CONFIG_METADATA!$B$4&lt;&gt;"OR+EX",--(DATOS!$G4377=CONFIG_METADATA!$B$4),IF(DATOS!$G4377="EX",1,IF(DATOS!$G4377="OR",--(COUNTIFS(nNIA,DATOS!$A4377,nCURSO,DATOS!$D4377,nESPEC,DATOS!$E4377,nASIG,DATOS!$I4377,nEVAL,"EX")=0),0))))</f>
      </c>
      <c r="H4377">
        <f>IF(DATOS!$G4377&lt;&gt;"EX",0,--(COUNTIFS(nNIA,DATOS!$A4377,nCURSO,DATOS!$D4377,nESPEC,DATOS!$E4377,nASIG,DATOS!$I4377,nEVAL,"OR")=0))</f>
      </c>
      <c r="I4377">
        <f>IF(DATOS!$I4377="","",IFERROR(VLOOKUP(DATOS!$I4377,CONFIG_ASIGNATURAS!$B$2:$J$91,9,FALSE()),""))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IF(DATOS!$A4378="",0,IF(CONFIG_METADATA!$B$4&lt;&gt;"OR+EX",--(DATOS!$G4378=CONFIG_METADATA!$B$4),IF(DATOS!$G4378="EX",1,IF(DATOS!$G4378="OR",--(COUNTIFS(nNIA,DATOS!$A4378,nCURSO,DATOS!$D4378,nESPEC,DATOS!$E4378,nASIG,DATOS!$I4378,nEVAL,"EX")=0),0))))</f>
      </c>
      <c r="H4378">
        <f>IF(DATOS!$G4378&lt;&gt;"EX",0,--(COUNTIFS(nNIA,DATOS!$A4378,nCURSO,DATOS!$D4378,nESPEC,DATOS!$E4378,nASIG,DATOS!$I4378,nEVAL,"OR")=0))</f>
      </c>
      <c r="I4378">
        <f>IF(DATOS!$I4378="","",IFERROR(VLOOKUP(DATOS!$I4378,CONFIG_ASIGNATURAS!$B$2:$J$91,9,FALSE()),""))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IF(DATOS!$A4379="",0,IF(CONFIG_METADATA!$B$4&lt;&gt;"OR+EX",--(DATOS!$G4379=CONFIG_METADATA!$B$4),IF(DATOS!$G4379="EX",1,IF(DATOS!$G4379="OR",--(COUNTIFS(nNIA,DATOS!$A4379,nCURSO,DATOS!$D4379,nESPEC,DATOS!$E4379,nASIG,DATOS!$I4379,nEVAL,"EX")=0),0))))</f>
      </c>
      <c r="H4379">
        <f>IF(DATOS!$G4379&lt;&gt;"EX",0,--(COUNTIFS(nNIA,DATOS!$A4379,nCURSO,DATOS!$D4379,nESPEC,DATOS!$E4379,nASIG,DATOS!$I4379,nEVAL,"OR")=0))</f>
      </c>
      <c r="I4379">
        <f>IF(DATOS!$I4379="","",IFERROR(VLOOKUP(DATOS!$I4379,CONFIG_ASIGNATURAS!$B$2:$J$91,9,FALSE()),""))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IF(DATOS!$A4380="",0,IF(CONFIG_METADATA!$B$4&lt;&gt;"OR+EX",--(DATOS!$G4380=CONFIG_METADATA!$B$4),IF(DATOS!$G4380="EX",1,IF(DATOS!$G4380="OR",--(COUNTIFS(nNIA,DATOS!$A4380,nCURSO,DATOS!$D4380,nESPEC,DATOS!$E4380,nASIG,DATOS!$I4380,nEVAL,"EX")=0),0))))</f>
      </c>
      <c r="H4380">
        <f>IF(DATOS!$G4380&lt;&gt;"EX",0,--(COUNTIFS(nNIA,DATOS!$A4380,nCURSO,DATOS!$D4380,nESPEC,DATOS!$E4380,nASIG,DATOS!$I4380,nEVAL,"OR")=0))</f>
      </c>
      <c r="I4380">
        <f>IF(DATOS!$I4380="","",IFERROR(VLOOKUP(DATOS!$I4380,CONFIG_ASIGNATURAS!$B$2:$J$91,9,FALSE()),""))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IF(DATOS!$A4381="",0,IF(CONFIG_METADATA!$B$4&lt;&gt;"OR+EX",--(DATOS!$G4381=CONFIG_METADATA!$B$4),IF(DATOS!$G4381="EX",1,IF(DATOS!$G4381="OR",--(COUNTIFS(nNIA,DATOS!$A4381,nCURSO,DATOS!$D4381,nESPEC,DATOS!$E4381,nASIG,DATOS!$I4381,nEVAL,"EX")=0),0))))</f>
      </c>
      <c r="H4381">
        <f>IF(DATOS!$G4381&lt;&gt;"EX",0,--(COUNTIFS(nNIA,DATOS!$A4381,nCURSO,DATOS!$D4381,nESPEC,DATOS!$E4381,nASIG,DATOS!$I4381,nEVAL,"OR")=0))</f>
      </c>
      <c r="I4381">
        <f>IF(DATOS!$I4381="","",IFERROR(VLOOKUP(DATOS!$I4381,CONFIG_ASIGNATURAS!$B$2:$J$91,9,FALSE()),""))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IF(DATOS!$A4382="",0,IF(CONFIG_METADATA!$B$4&lt;&gt;"OR+EX",--(DATOS!$G4382=CONFIG_METADATA!$B$4),IF(DATOS!$G4382="EX",1,IF(DATOS!$G4382="OR",--(COUNTIFS(nNIA,DATOS!$A4382,nCURSO,DATOS!$D4382,nESPEC,DATOS!$E4382,nASIG,DATOS!$I4382,nEVAL,"EX")=0),0))))</f>
      </c>
      <c r="H4382">
        <f>IF(DATOS!$G4382&lt;&gt;"EX",0,--(COUNTIFS(nNIA,DATOS!$A4382,nCURSO,DATOS!$D4382,nESPEC,DATOS!$E4382,nASIG,DATOS!$I4382,nEVAL,"OR")=0))</f>
      </c>
      <c r="I4382">
        <f>IF(DATOS!$I4382="","",IFERROR(VLOOKUP(DATOS!$I4382,CONFIG_ASIGNATURAS!$B$2:$J$91,9,FALSE()),""))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IF(DATOS!$A4383="",0,IF(CONFIG_METADATA!$B$4&lt;&gt;"OR+EX",--(DATOS!$G4383=CONFIG_METADATA!$B$4),IF(DATOS!$G4383="EX",1,IF(DATOS!$G4383="OR",--(COUNTIFS(nNIA,DATOS!$A4383,nCURSO,DATOS!$D4383,nESPEC,DATOS!$E4383,nASIG,DATOS!$I4383,nEVAL,"EX")=0),0))))</f>
      </c>
      <c r="H4383">
        <f>IF(DATOS!$G4383&lt;&gt;"EX",0,--(COUNTIFS(nNIA,DATOS!$A4383,nCURSO,DATOS!$D4383,nESPEC,DATOS!$E4383,nASIG,DATOS!$I4383,nEVAL,"OR")=0))</f>
      </c>
      <c r="I4383">
        <f>IF(DATOS!$I4383="","",IFERROR(VLOOKUP(DATOS!$I4383,CONFIG_ASIGNATURAS!$B$2:$J$91,9,FALSE()),""))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IF(DATOS!$A4384="",0,IF(CONFIG_METADATA!$B$4&lt;&gt;"OR+EX",--(DATOS!$G4384=CONFIG_METADATA!$B$4),IF(DATOS!$G4384="EX",1,IF(DATOS!$G4384="OR",--(COUNTIFS(nNIA,DATOS!$A4384,nCURSO,DATOS!$D4384,nESPEC,DATOS!$E4384,nASIG,DATOS!$I4384,nEVAL,"EX")=0),0))))</f>
      </c>
      <c r="H4384">
        <f>IF(DATOS!$G4384&lt;&gt;"EX",0,--(COUNTIFS(nNIA,DATOS!$A4384,nCURSO,DATOS!$D4384,nESPEC,DATOS!$E4384,nASIG,DATOS!$I4384,nEVAL,"OR")=0))</f>
      </c>
      <c r="I4384">
        <f>IF(DATOS!$I4384="","",IFERROR(VLOOKUP(DATOS!$I4384,CONFIG_ASIGNATURAS!$B$2:$J$91,9,FALSE()),""))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IF(DATOS!$A4385="",0,IF(CONFIG_METADATA!$B$4&lt;&gt;"OR+EX",--(DATOS!$G4385=CONFIG_METADATA!$B$4),IF(DATOS!$G4385="EX",1,IF(DATOS!$G4385="OR",--(COUNTIFS(nNIA,DATOS!$A4385,nCURSO,DATOS!$D4385,nESPEC,DATOS!$E4385,nASIG,DATOS!$I4385,nEVAL,"EX")=0),0))))</f>
      </c>
      <c r="H4385">
        <f>IF(DATOS!$G4385&lt;&gt;"EX",0,--(COUNTIFS(nNIA,DATOS!$A4385,nCURSO,DATOS!$D4385,nESPEC,DATOS!$E4385,nASIG,DATOS!$I4385,nEVAL,"OR")=0))</f>
      </c>
      <c r="I4385">
        <f>IF(DATOS!$I4385="","",IFERROR(VLOOKUP(DATOS!$I4385,CONFIG_ASIGNATURAS!$B$2:$J$91,9,FALSE()),""))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IF(DATOS!$A4386="",0,IF(CONFIG_METADATA!$B$4&lt;&gt;"OR+EX",--(DATOS!$G4386=CONFIG_METADATA!$B$4),IF(DATOS!$G4386="EX",1,IF(DATOS!$G4386="OR",--(COUNTIFS(nNIA,DATOS!$A4386,nCURSO,DATOS!$D4386,nESPEC,DATOS!$E4386,nASIG,DATOS!$I4386,nEVAL,"EX")=0),0))))</f>
      </c>
      <c r="H4386">
        <f>IF(DATOS!$G4386&lt;&gt;"EX",0,--(COUNTIFS(nNIA,DATOS!$A4386,nCURSO,DATOS!$D4386,nESPEC,DATOS!$E4386,nASIG,DATOS!$I4386,nEVAL,"OR")=0))</f>
      </c>
      <c r="I4386">
        <f>IF(DATOS!$I4386="","",IFERROR(VLOOKUP(DATOS!$I4386,CONFIG_ASIGNATURAS!$B$2:$J$91,9,FALSE()),""))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IF(DATOS!$A4387="",0,IF(CONFIG_METADATA!$B$4&lt;&gt;"OR+EX",--(DATOS!$G4387=CONFIG_METADATA!$B$4),IF(DATOS!$G4387="EX",1,IF(DATOS!$G4387="OR",--(COUNTIFS(nNIA,DATOS!$A4387,nCURSO,DATOS!$D4387,nESPEC,DATOS!$E4387,nASIG,DATOS!$I4387,nEVAL,"EX")=0),0))))</f>
      </c>
      <c r="H4387">
        <f>IF(DATOS!$G4387&lt;&gt;"EX",0,--(COUNTIFS(nNIA,DATOS!$A4387,nCURSO,DATOS!$D4387,nESPEC,DATOS!$E4387,nASIG,DATOS!$I4387,nEVAL,"OR")=0))</f>
      </c>
      <c r="I4387">
        <f>IF(DATOS!$I4387="","",IFERROR(VLOOKUP(DATOS!$I4387,CONFIG_ASIGNATURAS!$B$2:$J$91,9,FALSE()),""))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IF(DATOS!$A4388="",0,IF(CONFIG_METADATA!$B$4&lt;&gt;"OR+EX",--(DATOS!$G4388=CONFIG_METADATA!$B$4),IF(DATOS!$G4388="EX",1,IF(DATOS!$G4388="OR",--(COUNTIFS(nNIA,DATOS!$A4388,nCURSO,DATOS!$D4388,nESPEC,DATOS!$E4388,nASIG,DATOS!$I4388,nEVAL,"EX")=0),0))))</f>
      </c>
      <c r="H4388">
        <f>IF(DATOS!$G4388&lt;&gt;"EX",0,--(COUNTIFS(nNIA,DATOS!$A4388,nCURSO,DATOS!$D4388,nESPEC,DATOS!$E4388,nASIG,DATOS!$I4388,nEVAL,"OR")=0))</f>
      </c>
      <c r="I4388">
        <f>IF(DATOS!$I4388="","",IFERROR(VLOOKUP(DATOS!$I4388,CONFIG_ASIGNATURAS!$B$2:$J$91,9,FALSE()),""))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IF(DATOS!$A4389="",0,IF(CONFIG_METADATA!$B$4&lt;&gt;"OR+EX",--(DATOS!$G4389=CONFIG_METADATA!$B$4),IF(DATOS!$G4389="EX",1,IF(DATOS!$G4389="OR",--(COUNTIFS(nNIA,DATOS!$A4389,nCURSO,DATOS!$D4389,nESPEC,DATOS!$E4389,nASIG,DATOS!$I4389,nEVAL,"EX")=0),0))))</f>
      </c>
      <c r="H4389">
        <f>IF(DATOS!$G4389&lt;&gt;"EX",0,--(COUNTIFS(nNIA,DATOS!$A4389,nCURSO,DATOS!$D4389,nESPEC,DATOS!$E4389,nASIG,DATOS!$I4389,nEVAL,"OR")=0))</f>
      </c>
      <c r="I4389">
        <f>IF(DATOS!$I4389="","",IFERROR(VLOOKUP(DATOS!$I4389,CONFIG_ASIGNATURAS!$B$2:$J$91,9,FALSE()),""))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IF(DATOS!$A4390="",0,IF(CONFIG_METADATA!$B$4&lt;&gt;"OR+EX",--(DATOS!$G4390=CONFIG_METADATA!$B$4),IF(DATOS!$G4390="EX",1,IF(DATOS!$G4390="OR",--(COUNTIFS(nNIA,DATOS!$A4390,nCURSO,DATOS!$D4390,nESPEC,DATOS!$E4390,nASIG,DATOS!$I4390,nEVAL,"EX")=0),0))))</f>
      </c>
      <c r="H4390">
        <f>IF(DATOS!$G4390&lt;&gt;"EX",0,--(COUNTIFS(nNIA,DATOS!$A4390,nCURSO,DATOS!$D4390,nESPEC,DATOS!$E4390,nASIG,DATOS!$I4390,nEVAL,"OR")=0))</f>
      </c>
      <c r="I4390">
        <f>IF(DATOS!$I4390="","",IFERROR(VLOOKUP(DATOS!$I4390,CONFIG_ASIGNATURAS!$B$2:$J$91,9,FALSE()),""))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IF(DATOS!$A4391="",0,IF(CONFIG_METADATA!$B$4&lt;&gt;"OR+EX",--(DATOS!$G4391=CONFIG_METADATA!$B$4),IF(DATOS!$G4391="EX",1,IF(DATOS!$G4391="OR",--(COUNTIFS(nNIA,DATOS!$A4391,nCURSO,DATOS!$D4391,nESPEC,DATOS!$E4391,nASIG,DATOS!$I4391,nEVAL,"EX")=0),0))))</f>
      </c>
      <c r="H4391">
        <f>IF(DATOS!$G4391&lt;&gt;"EX",0,--(COUNTIFS(nNIA,DATOS!$A4391,nCURSO,DATOS!$D4391,nESPEC,DATOS!$E4391,nASIG,DATOS!$I4391,nEVAL,"OR")=0))</f>
      </c>
      <c r="I4391">
        <f>IF(DATOS!$I4391="","",IFERROR(VLOOKUP(DATOS!$I4391,CONFIG_ASIGNATURAS!$B$2:$J$91,9,FALSE()),""))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IF(DATOS!$A4392="",0,IF(CONFIG_METADATA!$B$4&lt;&gt;"OR+EX",--(DATOS!$G4392=CONFIG_METADATA!$B$4),IF(DATOS!$G4392="EX",1,IF(DATOS!$G4392="OR",--(COUNTIFS(nNIA,DATOS!$A4392,nCURSO,DATOS!$D4392,nESPEC,DATOS!$E4392,nASIG,DATOS!$I4392,nEVAL,"EX")=0),0))))</f>
      </c>
      <c r="H4392">
        <f>IF(DATOS!$G4392&lt;&gt;"EX",0,--(COUNTIFS(nNIA,DATOS!$A4392,nCURSO,DATOS!$D4392,nESPEC,DATOS!$E4392,nASIG,DATOS!$I4392,nEVAL,"OR")=0))</f>
      </c>
      <c r="I4392">
        <f>IF(DATOS!$I4392="","",IFERROR(VLOOKUP(DATOS!$I4392,CONFIG_ASIGNATURAS!$B$2:$J$91,9,FALSE()),""))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IF(DATOS!$A4393="",0,IF(CONFIG_METADATA!$B$4&lt;&gt;"OR+EX",--(DATOS!$G4393=CONFIG_METADATA!$B$4),IF(DATOS!$G4393="EX",1,IF(DATOS!$G4393="OR",--(COUNTIFS(nNIA,DATOS!$A4393,nCURSO,DATOS!$D4393,nESPEC,DATOS!$E4393,nASIG,DATOS!$I4393,nEVAL,"EX")=0),0))))</f>
      </c>
      <c r="H4393">
        <f>IF(DATOS!$G4393&lt;&gt;"EX",0,--(COUNTIFS(nNIA,DATOS!$A4393,nCURSO,DATOS!$D4393,nESPEC,DATOS!$E4393,nASIG,DATOS!$I4393,nEVAL,"OR")=0))</f>
      </c>
      <c r="I4393">
        <f>IF(DATOS!$I4393="","",IFERROR(VLOOKUP(DATOS!$I4393,CONFIG_ASIGNATURAS!$B$2:$J$91,9,FALSE()),""))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IF(DATOS!$A4394="",0,IF(CONFIG_METADATA!$B$4&lt;&gt;"OR+EX",--(DATOS!$G4394=CONFIG_METADATA!$B$4),IF(DATOS!$G4394="EX",1,IF(DATOS!$G4394="OR",--(COUNTIFS(nNIA,DATOS!$A4394,nCURSO,DATOS!$D4394,nESPEC,DATOS!$E4394,nASIG,DATOS!$I4394,nEVAL,"EX")=0),0))))</f>
      </c>
      <c r="H4394">
        <f>IF(DATOS!$G4394&lt;&gt;"EX",0,--(COUNTIFS(nNIA,DATOS!$A4394,nCURSO,DATOS!$D4394,nESPEC,DATOS!$E4394,nASIG,DATOS!$I4394,nEVAL,"OR")=0))</f>
      </c>
      <c r="I4394">
        <f>IF(DATOS!$I4394="","",IFERROR(VLOOKUP(DATOS!$I4394,CONFIG_ASIGNATURAS!$B$2:$J$91,9,FALSE()),""))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IF(DATOS!$A4395="",0,IF(CONFIG_METADATA!$B$4&lt;&gt;"OR+EX",--(DATOS!$G4395=CONFIG_METADATA!$B$4),IF(DATOS!$G4395="EX",1,IF(DATOS!$G4395="OR",--(COUNTIFS(nNIA,DATOS!$A4395,nCURSO,DATOS!$D4395,nESPEC,DATOS!$E4395,nASIG,DATOS!$I4395,nEVAL,"EX")=0),0))))</f>
      </c>
      <c r="H4395">
        <f>IF(DATOS!$G4395&lt;&gt;"EX",0,--(COUNTIFS(nNIA,DATOS!$A4395,nCURSO,DATOS!$D4395,nESPEC,DATOS!$E4395,nASIG,DATOS!$I4395,nEVAL,"OR")=0))</f>
      </c>
      <c r="I4395">
        <f>IF(DATOS!$I4395="","",IFERROR(VLOOKUP(DATOS!$I4395,CONFIG_ASIGNATURAS!$B$2:$J$91,9,FALSE()),""))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IF(DATOS!$A4396="",0,IF(CONFIG_METADATA!$B$4&lt;&gt;"OR+EX",--(DATOS!$G4396=CONFIG_METADATA!$B$4),IF(DATOS!$G4396="EX",1,IF(DATOS!$G4396="OR",--(COUNTIFS(nNIA,DATOS!$A4396,nCURSO,DATOS!$D4396,nESPEC,DATOS!$E4396,nASIG,DATOS!$I4396,nEVAL,"EX")=0),0))))</f>
      </c>
      <c r="H4396">
        <f>IF(DATOS!$G4396&lt;&gt;"EX",0,--(COUNTIFS(nNIA,DATOS!$A4396,nCURSO,DATOS!$D4396,nESPEC,DATOS!$E4396,nASIG,DATOS!$I4396,nEVAL,"OR")=0))</f>
      </c>
      <c r="I4396">
        <f>IF(DATOS!$I4396="","",IFERROR(VLOOKUP(DATOS!$I4396,CONFIG_ASIGNATURAS!$B$2:$J$91,9,FALSE()),""))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IF(DATOS!$A4397="",0,IF(CONFIG_METADATA!$B$4&lt;&gt;"OR+EX",--(DATOS!$G4397=CONFIG_METADATA!$B$4),IF(DATOS!$G4397="EX",1,IF(DATOS!$G4397="OR",--(COUNTIFS(nNIA,DATOS!$A4397,nCURSO,DATOS!$D4397,nESPEC,DATOS!$E4397,nASIG,DATOS!$I4397,nEVAL,"EX")=0),0))))</f>
      </c>
      <c r="H4397">
        <f>IF(DATOS!$G4397&lt;&gt;"EX",0,--(COUNTIFS(nNIA,DATOS!$A4397,nCURSO,DATOS!$D4397,nESPEC,DATOS!$E4397,nASIG,DATOS!$I4397,nEVAL,"OR")=0))</f>
      </c>
      <c r="I4397">
        <f>IF(DATOS!$I4397="","",IFERROR(VLOOKUP(DATOS!$I4397,CONFIG_ASIGNATURAS!$B$2:$J$91,9,FALSE()),""))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IF(DATOS!$A4398="",0,IF(CONFIG_METADATA!$B$4&lt;&gt;"OR+EX",--(DATOS!$G4398=CONFIG_METADATA!$B$4),IF(DATOS!$G4398="EX",1,IF(DATOS!$G4398="OR",--(COUNTIFS(nNIA,DATOS!$A4398,nCURSO,DATOS!$D4398,nESPEC,DATOS!$E4398,nASIG,DATOS!$I4398,nEVAL,"EX")=0),0))))</f>
      </c>
      <c r="H4398">
        <f>IF(DATOS!$G4398&lt;&gt;"EX",0,--(COUNTIFS(nNIA,DATOS!$A4398,nCURSO,DATOS!$D4398,nESPEC,DATOS!$E4398,nASIG,DATOS!$I4398,nEVAL,"OR")=0))</f>
      </c>
      <c r="I4398">
        <f>IF(DATOS!$I4398="","",IFERROR(VLOOKUP(DATOS!$I4398,CONFIG_ASIGNATURAS!$B$2:$J$91,9,FALSE()),""))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IF(DATOS!$A4399="",0,IF(CONFIG_METADATA!$B$4&lt;&gt;"OR+EX",--(DATOS!$G4399=CONFIG_METADATA!$B$4),IF(DATOS!$G4399="EX",1,IF(DATOS!$G4399="OR",--(COUNTIFS(nNIA,DATOS!$A4399,nCURSO,DATOS!$D4399,nESPEC,DATOS!$E4399,nASIG,DATOS!$I4399,nEVAL,"EX")=0),0))))</f>
      </c>
      <c r="H4399">
        <f>IF(DATOS!$G4399&lt;&gt;"EX",0,--(COUNTIFS(nNIA,DATOS!$A4399,nCURSO,DATOS!$D4399,nESPEC,DATOS!$E4399,nASIG,DATOS!$I4399,nEVAL,"OR")=0))</f>
      </c>
      <c r="I4399">
        <f>IF(DATOS!$I4399="","",IFERROR(VLOOKUP(DATOS!$I4399,CONFIG_ASIGNATURAS!$B$2:$J$91,9,FALSE()),""))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IF(DATOS!$A4400="",0,IF(CONFIG_METADATA!$B$4&lt;&gt;"OR+EX",--(DATOS!$G4400=CONFIG_METADATA!$B$4),IF(DATOS!$G4400="EX",1,IF(DATOS!$G4400="OR",--(COUNTIFS(nNIA,DATOS!$A4400,nCURSO,DATOS!$D4400,nESPEC,DATOS!$E4400,nASIG,DATOS!$I4400,nEVAL,"EX")=0),0))))</f>
      </c>
      <c r="H4400">
        <f>IF(DATOS!$G4400&lt;&gt;"EX",0,--(COUNTIFS(nNIA,DATOS!$A4400,nCURSO,DATOS!$D4400,nESPEC,DATOS!$E4400,nASIG,DATOS!$I4400,nEVAL,"OR")=0))</f>
      </c>
      <c r="I4400">
        <f>IF(DATOS!$I4400="","",IFERROR(VLOOKUP(DATOS!$I4400,CONFIG_ASIGNATURAS!$B$2:$J$91,9,FALSE()),""))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IF(DATOS!$A4401="",0,IF(CONFIG_METADATA!$B$4&lt;&gt;"OR+EX",--(DATOS!$G4401=CONFIG_METADATA!$B$4),IF(DATOS!$G4401="EX",1,IF(DATOS!$G4401="OR",--(COUNTIFS(nNIA,DATOS!$A4401,nCURSO,DATOS!$D4401,nESPEC,DATOS!$E4401,nASIG,DATOS!$I4401,nEVAL,"EX")=0),0))))</f>
      </c>
      <c r="H4401">
        <f>IF(DATOS!$G4401&lt;&gt;"EX",0,--(COUNTIFS(nNIA,DATOS!$A4401,nCURSO,DATOS!$D4401,nESPEC,DATOS!$E4401,nASIG,DATOS!$I4401,nEVAL,"OR")=0))</f>
      </c>
      <c r="I4401">
        <f>IF(DATOS!$I4401="","",IFERROR(VLOOKUP(DATOS!$I4401,CONFIG_ASIGNATURAS!$B$2:$J$91,9,FALSE()),""))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IF(DATOS!$A4402="",0,IF(CONFIG_METADATA!$B$4&lt;&gt;"OR+EX",--(DATOS!$G4402=CONFIG_METADATA!$B$4),IF(DATOS!$G4402="EX",1,IF(DATOS!$G4402="OR",--(COUNTIFS(nNIA,DATOS!$A4402,nCURSO,DATOS!$D4402,nESPEC,DATOS!$E4402,nASIG,DATOS!$I4402,nEVAL,"EX")=0),0))))</f>
      </c>
      <c r="H4402">
        <f>IF(DATOS!$G4402&lt;&gt;"EX",0,--(COUNTIFS(nNIA,DATOS!$A4402,nCURSO,DATOS!$D4402,nESPEC,DATOS!$E4402,nASIG,DATOS!$I4402,nEVAL,"OR")=0))</f>
      </c>
      <c r="I4402">
        <f>IF(DATOS!$I4402="","",IFERROR(VLOOKUP(DATOS!$I4402,CONFIG_ASIGNATURAS!$B$2:$J$91,9,FALSE()),""))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IF(DATOS!$A4403="",0,IF(CONFIG_METADATA!$B$4&lt;&gt;"OR+EX",--(DATOS!$G4403=CONFIG_METADATA!$B$4),IF(DATOS!$G4403="EX",1,IF(DATOS!$G4403="OR",--(COUNTIFS(nNIA,DATOS!$A4403,nCURSO,DATOS!$D4403,nESPEC,DATOS!$E4403,nASIG,DATOS!$I4403,nEVAL,"EX")=0),0))))</f>
      </c>
      <c r="H4403">
        <f>IF(DATOS!$G4403&lt;&gt;"EX",0,--(COUNTIFS(nNIA,DATOS!$A4403,nCURSO,DATOS!$D4403,nESPEC,DATOS!$E4403,nASIG,DATOS!$I4403,nEVAL,"OR")=0))</f>
      </c>
      <c r="I4403">
        <f>IF(DATOS!$I4403="","",IFERROR(VLOOKUP(DATOS!$I4403,CONFIG_ASIGNATURAS!$B$2:$J$91,9,FALSE()),""))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IF(DATOS!$A4404="",0,IF(CONFIG_METADATA!$B$4&lt;&gt;"OR+EX",--(DATOS!$G4404=CONFIG_METADATA!$B$4),IF(DATOS!$G4404="EX",1,IF(DATOS!$G4404="OR",--(COUNTIFS(nNIA,DATOS!$A4404,nCURSO,DATOS!$D4404,nESPEC,DATOS!$E4404,nASIG,DATOS!$I4404,nEVAL,"EX")=0),0))))</f>
      </c>
      <c r="H4404">
        <f>IF(DATOS!$G4404&lt;&gt;"EX",0,--(COUNTIFS(nNIA,DATOS!$A4404,nCURSO,DATOS!$D4404,nESPEC,DATOS!$E4404,nASIG,DATOS!$I4404,nEVAL,"OR")=0))</f>
      </c>
      <c r="I4404">
        <f>IF(DATOS!$I4404="","",IFERROR(VLOOKUP(DATOS!$I4404,CONFIG_ASIGNATURAS!$B$2:$J$91,9,FALSE()),""))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IF(DATOS!$A4405="",0,IF(CONFIG_METADATA!$B$4&lt;&gt;"OR+EX",--(DATOS!$G4405=CONFIG_METADATA!$B$4),IF(DATOS!$G4405="EX",1,IF(DATOS!$G4405="OR",--(COUNTIFS(nNIA,DATOS!$A4405,nCURSO,DATOS!$D4405,nESPEC,DATOS!$E4405,nASIG,DATOS!$I4405,nEVAL,"EX")=0),0))))</f>
      </c>
      <c r="H4405">
        <f>IF(DATOS!$G4405&lt;&gt;"EX",0,--(COUNTIFS(nNIA,DATOS!$A4405,nCURSO,DATOS!$D4405,nESPEC,DATOS!$E4405,nASIG,DATOS!$I4405,nEVAL,"OR")=0))</f>
      </c>
      <c r="I4405">
        <f>IF(DATOS!$I4405="","",IFERROR(VLOOKUP(DATOS!$I4405,CONFIG_ASIGNATURAS!$B$2:$J$91,9,FALSE()),""))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IF(DATOS!$A4406="",0,IF(CONFIG_METADATA!$B$4&lt;&gt;"OR+EX",--(DATOS!$G4406=CONFIG_METADATA!$B$4),IF(DATOS!$G4406="EX",1,IF(DATOS!$G4406="OR",--(COUNTIFS(nNIA,DATOS!$A4406,nCURSO,DATOS!$D4406,nESPEC,DATOS!$E4406,nASIG,DATOS!$I4406,nEVAL,"EX")=0),0))))</f>
      </c>
      <c r="H4406">
        <f>IF(DATOS!$G4406&lt;&gt;"EX",0,--(COUNTIFS(nNIA,DATOS!$A4406,nCURSO,DATOS!$D4406,nESPEC,DATOS!$E4406,nASIG,DATOS!$I4406,nEVAL,"OR")=0))</f>
      </c>
      <c r="I4406">
        <f>IF(DATOS!$I4406="","",IFERROR(VLOOKUP(DATOS!$I4406,CONFIG_ASIGNATURAS!$B$2:$J$91,9,FALSE()),""))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IF(DATOS!$A4407="",0,IF(CONFIG_METADATA!$B$4&lt;&gt;"OR+EX",--(DATOS!$G4407=CONFIG_METADATA!$B$4),IF(DATOS!$G4407="EX",1,IF(DATOS!$G4407="OR",--(COUNTIFS(nNIA,DATOS!$A4407,nCURSO,DATOS!$D4407,nESPEC,DATOS!$E4407,nASIG,DATOS!$I4407,nEVAL,"EX")=0),0))))</f>
      </c>
      <c r="H4407">
        <f>IF(DATOS!$G4407&lt;&gt;"EX",0,--(COUNTIFS(nNIA,DATOS!$A4407,nCURSO,DATOS!$D4407,nESPEC,DATOS!$E4407,nASIG,DATOS!$I4407,nEVAL,"OR")=0))</f>
      </c>
      <c r="I4407">
        <f>IF(DATOS!$I4407="","",IFERROR(VLOOKUP(DATOS!$I4407,CONFIG_ASIGNATURAS!$B$2:$J$91,9,FALSE()),""))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IF(DATOS!$A4408="",0,IF(CONFIG_METADATA!$B$4&lt;&gt;"OR+EX",--(DATOS!$G4408=CONFIG_METADATA!$B$4),IF(DATOS!$G4408="EX",1,IF(DATOS!$G4408="OR",--(COUNTIFS(nNIA,DATOS!$A4408,nCURSO,DATOS!$D4408,nESPEC,DATOS!$E4408,nASIG,DATOS!$I4408,nEVAL,"EX")=0),0))))</f>
      </c>
      <c r="H4408">
        <f>IF(DATOS!$G4408&lt;&gt;"EX",0,--(COUNTIFS(nNIA,DATOS!$A4408,nCURSO,DATOS!$D4408,nESPEC,DATOS!$E4408,nASIG,DATOS!$I4408,nEVAL,"OR")=0))</f>
      </c>
      <c r="I4408">
        <f>IF(DATOS!$I4408="","",IFERROR(VLOOKUP(DATOS!$I4408,CONFIG_ASIGNATURAS!$B$2:$J$91,9,FALSE()),""))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IF(DATOS!$A4409="",0,IF(CONFIG_METADATA!$B$4&lt;&gt;"OR+EX",--(DATOS!$G4409=CONFIG_METADATA!$B$4),IF(DATOS!$G4409="EX",1,IF(DATOS!$G4409="OR",--(COUNTIFS(nNIA,DATOS!$A4409,nCURSO,DATOS!$D4409,nESPEC,DATOS!$E4409,nASIG,DATOS!$I4409,nEVAL,"EX")=0),0))))</f>
      </c>
      <c r="H4409">
        <f>IF(DATOS!$G4409&lt;&gt;"EX",0,--(COUNTIFS(nNIA,DATOS!$A4409,nCURSO,DATOS!$D4409,nESPEC,DATOS!$E4409,nASIG,DATOS!$I4409,nEVAL,"OR")=0))</f>
      </c>
      <c r="I4409">
        <f>IF(DATOS!$I4409="","",IFERROR(VLOOKUP(DATOS!$I4409,CONFIG_ASIGNATURAS!$B$2:$J$91,9,FALSE()),""))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IF(DATOS!$A4410="",0,IF(CONFIG_METADATA!$B$4&lt;&gt;"OR+EX",--(DATOS!$G4410=CONFIG_METADATA!$B$4),IF(DATOS!$G4410="EX",1,IF(DATOS!$G4410="OR",--(COUNTIFS(nNIA,DATOS!$A4410,nCURSO,DATOS!$D4410,nESPEC,DATOS!$E4410,nASIG,DATOS!$I4410,nEVAL,"EX")=0),0))))</f>
      </c>
      <c r="H4410">
        <f>IF(DATOS!$G4410&lt;&gt;"EX",0,--(COUNTIFS(nNIA,DATOS!$A4410,nCURSO,DATOS!$D4410,nESPEC,DATOS!$E4410,nASIG,DATOS!$I4410,nEVAL,"OR")=0))</f>
      </c>
      <c r="I4410">
        <f>IF(DATOS!$I4410="","",IFERROR(VLOOKUP(DATOS!$I4410,CONFIG_ASIGNATURAS!$B$2:$J$91,9,FALSE()),""))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IF(DATOS!$A4411="",0,IF(CONFIG_METADATA!$B$4&lt;&gt;"OR+EX",--(DATOS!$G4411=CONFIG_METADATA!$B$4),IF(DATOS!$G4411="EX",1,IF(DATOS!$G4411="OR",--(COUNTIFS(nNIA,DATOS!$A4411,nCURSO,DATOS!$D4411,nESPEC,DATOS!$E4411,nASIG,DATOS!$I4411,nEVAL,"EX")=0),0))))</f>
      </c>
      <c r="H4411">
        <f>IF(DATOS!$G4411&lt;&gt;"EX",0,--(COUNTIFS(nNIA,DATOS!$A4411,nCURSO,DATOS!$D4411,nESPEC,DATOS!$E4411,nASIG,DATOS!$I4411,nEVAL,"OR")=0))</f>
      </c>
      <c r="I4411">
        <f>IF(DATOS!$I4411="","",IFERROR(VLOOKUP(DATOS!$I4411,CONFIG_ASIGNATURAS!$B$2:$J$91,9,FALSE()),""))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IF(DATOS!$A4412="",0,IF(CONFIG_METADATA!$B$4&lt;&gt;"OR+EX",--(DATOS!$G4412=CONFIG_METADATA!$B$4),IF(DATOS!$G4412="EX",1,IF(DATOS!$G4412="OR",--(COUNTIFS(nNIA,DATOS!$A4412,nCURSO,DATOS!$D4412,nESPEC,DATOS!$E4412,nASIG,DATOS!$I4412,nEVAL,"EX")=0),0))))</f>
      </c>
      <c r="H4412">
        <f>IF(DATOS!$G4412&lt;&gt;"EX",0,--(COUNTIFS(nNIA,DATOS!$A4412,nCURSO,DATOS!$D4412,nESPEC,DATOS!$E4412,nASIG,DATOS!$I4412,nEVAL,"OR")=0))</f>
      </c>
      <c r="I4412">
        <f>IF(DATOS!$I4412="","",IFERROR(VLOOKUP(DATOS!$I4412,CONFIG_ASIGNATURAS!$B$2:$J$91,9,FALSE()),""))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IF(DATOS!$A4413="",0,IF(CONFIG_METADATA!$B$4&lt;&gt;"OR+EX",--(DATOS!$G4413=CONFIG_METADATA!$B$4),IF(DATOS!$G4413="EX",1,IF(DATOS!$G4413="OR",--(COUNTIFS(nNIA,DATOS!$A4413,nCURSO,DATOS!$D4413,nESPEC,DATOS!$E4413,nASIG,DATOS!$I4413,nEVAL,"EX")=0),0))))</f>
      </c>
      <c r="H4413">
        <f>IF(DATOS!$G4413&lt;&gt;"EX",0,--(COUNTIFS(nNIA,DATOS!$A4413,nCURSO,DATOS!$D4413,nESPEC,DATOS!$E4413,nASIG,DATOS!$I4413,nEVAL,"OR")=0))</f>
      </c>
      <c r="I4413">
        <f>IF(DATOS!$I4413="","",IFERROR(VLOOKUP(DATOS!$I4413,CONFIG_ASIGNATURAS!$B$2:$J$91,9,FALSE()),""))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IF(DATOS!$A4414="",0,IF(CONFIG_METADATA!$B$4&lt;&gt;"OR+EX",--(DATOS!$G4414=CONFIG_METADATA!$B$4),IF(DATOS!$G4414="EX",1,IF(DATOS!$G4414="OR",--(COUNTIFS(nNIA,DATOS!$A4414,nCURSO,DATOS!$D4414,nESPEC,DATOS!$E4414,nASIG,DATOS!$I4414,nEVAL,"EX")=0),0))))</f>
      </c>
      <c r="H4414">
        <f>IF(DATOS!$G4414&lt;&gt;"EX",0,--(COUNTIFS(nNIA,DATOS!$A4414,nCURSO,DATOS!$D4414,nESPEC,DATOS!$E4414,nASIG,DATOS!$I4414,nEVAL,"OR")=0))</f>
      </c>
      <c r="I4414">
        <f>IF(DATOS!$I4414="","",IFERROR(VLOOKUP(DATOS!$I4414,CONFIG_ASIGNATURAS!$B$2:$J$91,9,FALSE()),""))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IF(DATOS!$A4415="",0,IF(CONFIG_METADATA!$B$4&lt;&gt;"OR+EX",--(DATOS!$G4415=CONFIG_METADATA!$B$4),IF(DATOS!$G4415="EX",1,IF(DATOS!$G4415="OR",--(COUNTIFS(nNIA,DATOS!$A4415,nCURSO,DATOS!$D4415,nESPEC,DATOS!$E4415,nASIG,DATOS!$I4415,nEVAL,"EX")=0),0))))</f>
      </c>
      <c r="H4415">
        <f>IF(DATOS!$G4415&lt;&gt;"EX",0,--(COUNTIFS(nNIA,DATOS!$A4415,nCURSO,DATOS!$D4415,nESPEC,DATOS!$E4415,nASIG,DATOS!$I4415,nEVAL,"OR")=0))</f>
      </c>
      <c r="I4415">
        <f>IF(DATOS!$I4415="","",IFERROR(VLOOKUP(DATOS!$I4415,CONFIG_ASIGNATURAS!$B$2:$J$91,9,FALSE()),""))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IF(DATOS!$A4416="",0,IF(CONFIG_METADATA!$B$4&lt;&gt;"OR+EX",--(DATOS!$G4416=CONFIG_METADATA!$B$4),IF(DATOS!$G4416="EX",1,IF(DATOS!$G4416="OR",--(COUNTIFS(nNIA,DATOS!$A4416,nCURSO,DATOS!$D4416,nESPEC,DATOS!$E4416,nASIG,DATOS!$I4416,nEVAL,"EX")=0),0))))</f>
      </c>
      <c r="H4416">
        <f>IF(DATOS!$G4416&lt;&gt;"EX",0,--(COUNTIFS(nNIA,DATOS!$A4416,nCURSO,DATOS!$D4416,nESPEC,DATOS!$E4416,nASIG,DATOS!$I4416,nEVAL,"OR")=0))</f>
      </c>
      <c r="I4416">
        <f>IF(DATOS!$I4416="","",IFERROR(VLOOKUP(DATOS!$I4416,CONFIG_ASIGNATURAS!$B$2:$J$91,9,FALSE()),""))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IF(DATOS!$A4417="",0,IF(CONFIG_METADATA!$B$4&lt;&gt;"OR+EX",--(DATOS!$G4417=CONFIG_METADATA!$B$4),IF(DATOS!$G4417="EX",1,IF(DATOS!$G4417="OR",--(COUNTIFS(nNIA,DATOS!$A4417,nCURSO,DATOS!$D4417,nESPEC,DATOS!$E4417,nASIG,DATOS!$I4417,nEVAL,"EX")=0),0))))</f>
      </c>
      <c r="H4417">
        <f>IF(DATOS!$G4417&lt;&gt;"EX",0,--(COUNTIFS(nNIA,DATOS!$A4417,nCURSO,DATOS!$D4417,nESPEC,DATOS!$E4417,nASIG,DATOS!$I4417,nEVAL,"OR")=0))</f>
      </c>
      <c r="I4417">
        <f>IF(DATOS!$I4417="","",IFERROR(VLOOKUP(DATOS!$I4417,CONFIG_ASIGNATURAS!$B$2:$J$91,9,FALSE()),""))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IF(DATOS!$A4418="",0,IF(CONFIG_METADATA!$B$4&lt;&gt;"OR+EX",--(DATOS!$G4418=CONFIG_METADATA!$B$4),IF(DATOS!$G4418="EX",1,IF(DATOS!$G4418="OR",--(COUNTIFS(nNIA,DATOS!$A4418,nCURSO,DATOS!$D4418,nESPEC,DATOS!$E4418,nASIG,DATOS!$I4418,nEVAL,"EX")=0),0))))</f>
      </c>
      <c r="H4418">
        <f>IF(DATOS!$G4418&lt;&gt;"EX",0,--(COUNTIFS(nNIA,DATOS!$A4418,nCURSO,DATOS!$D4418,nESPEC,DATOS!$E4418,nASIG,DATOS!$I4418,nEVAL,"OR")=0))</f>
      </c>
      <c r="I4418">
        <f>IF(DATOS!$I4418="","",IFERROR(VLOOKUP(DATOS!$I4418,CONFIG_ASIGNATURAS!$B$2:$J$91,9,FALSE()),""))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IF(DATOS!$A4419="",0,IF(CONFIG_METADATA!$B$4&lt;&gt;"OR+EX",--(DATOS!$G4419=CONFIG_METADATA!$B$4),IF(DATOS!$G4419="EX",1,IF(DATOS!$G4419="OR",--(COUNTIFS(nNIA,DATOS!$A4419,nCURSO,DATOS!$D4419,nESPEC,DATOS!$E4419,nASIG,DATOS!$I4419,nEVAL,"EX")=0),0))))</f>
      </c>
      <c r="H4419">
        <f>IF(DATOS!$G4419&lt;&gt;"EX",0,--(COUNTIFS(nNIA,DATOS!$A4419,nCURSO,DATOS!$D4419,nESPEC,DATOS!$E4419,nASIG,DATOS!$I4419,nEVAL,"OR")=0))</f>
      </c>
      <c r="I4419">
        <f>IF(DATOS!$I4419="","",IFERROR(VLOOKUP(DATOS!$I4419,CONFIG_ASIGNATURAS!$B$2:$J$91,9,FALSE()),""))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IF(DATOS!$A4420="",0,IF(CONFIG_METADATA!$B$4&lt;&gt;"OR+EX",--(DATOS!$G4420=CONFIG_METADATA!$B$4),IF(DATOS!$G4420="EX",1,IF(DATOS!$G4420="OR",--(COUNTIFS(nNIA,DATOS!$A4420,nCURSO,DATOS!$D4420,nESPEC,DATOS!$E4420,nASIG,DATOS!$I4420,nEVAL,"EX")=0),0))))</f>
      </c>
      <c r="H4420">
        <f>IF(DATOS!$G4420&lt;&gt;"EX",0,--(COUNTIFS(nNIA,DATOS!$A4420,nCURSO,DATOS!$D4420,nESPEC,DATOS!$E4420,nASIG,DATOS!$I4420,nEVAL,"OR")=0))</f>
      </c>
      <c r="I4420">
        <f>IF(DATOS!$I4420="","",IFERROR(VLOOKUP(DATOS!$I4420,CONFIG_ASIGNATURAS!$B$2:$J$91,9,FALSE()),""))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IF(DATOS!$A4421="",0,IF(CONFIG_METADATA!$B$4&lt;&gt;"OR+EX",--(DATOS!$G4421=CONFIG_METADATA!$B$4),IF(DATOS!$G4421="EX",1,IF(DATOS!$G4421="OR",--(COUNTIFS(nNIA,DATOS!$A4421,nCURSO,DATOS!$D4421,nESPEC,DATOS!$E4421,nASIG,DATOS!$I4421,nEVAL,"EX")=0),0))))</f>
      </c>
      <c r="H4421">
        <f>IF(DATOS!$G4421&lt;&gt;"EX",0,--(COUNTIFS(nNIA,DATOS!$A4421,nCURSO,DATOS!$D4421,nESPEC,DATOS!$E4421,nASIG,DATOS!$I4421,nEVAL,"OR")=0))</f>
      </c>
      <c r="I4421">
        <f>IF(DATOS!$I4421="","",IFERROR(VLOOKUP(DATOS!$I4421,CONFIG_ASIGNATURAS!$B$2:$J$91,9,FALSE()),""))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IF(DATOS!$A4422="",0,IF(CONFIG_METADATA!$B$4&lt;&gt;"OR+EX",--(DATOS!$G4422=CONFIG_METADATA!$B$4),IF(DATOS!$G4422="EX",1,IF(DATOS!$G4422="OR",--(COUNTIFS(nNIA,DATOS!$A4422,nCURSO,DATOS!$D4422,nESPEC,DATOS!$E4422,nASIG,DATOS!$I4422,nEVAL,"EX")=0),0))))</f>
      </c>
      <c r="H4422">
        <f>IF(DATOS!$G4422&lt;&gt;"EX",0,--(COUNTIFS(nNIA,DATOS!$A4422,nCURSO,DATOS!$D4422,nESPEC,DATOS!$E4422,nASIG,DATOS!$I4422,nEVAL,"OR")=0))</f>
      </c>
      <c r="I4422">
        <f>IF(DATOS!$I4422="","",IFERROR(VLOOKUP(DATOS!$I4422,CONFIG_ASIGNATURAS!$B$2:$J$91,9,FALSE()),""))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IF(DATOS!$A4423="",0,IF(CONFIG_METADATA!$B$4&lt;&gt;"OR+EX",--(DATOS!$G4423=CONFIG_METADATA!$B$4),IF(DATOS!$G4423="EX",1,IF(DATOS!$G4423="OR",--(COUNTIFS(nNIA,DATOS!$A4423,nCURSO,DATOS!$D4423,nESPEC,DATOS!$E4423,nASIG,DATOS!$I4423,nEVAL,"EX")=0),0))))</f>
      </c>
      <c r="H4423">
        <f>IF(DATOS!$G4423&lt;&gt;"EX",0,--(COUNTIFS(nNIA,DATOS!$A4423,nCURSO,DATOS!$D4423,nESPEC,DATOS!$E4423,nASIG,DATOS!$I4423,nEVAL,"OR")=0))</f>
      </c>
      <c r="I4423">
        <f>IF(DATOS!$I4423="","",IFERROR(VLOOKUP(DATOS!$I4423,CONFIG_ASIGNATURAS!$B$2:$J$91,9,FALSE()),""))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IF(DATOS!$A4424="",0,IF(CONFIG_METADATA!$B$4&lt;&gt;"OR+EX",--(DATOS!$G4424=CONFIG_METADATA!$B$4),IF(DATOS!$G4424="EX",1,IF(DATOS!$G4424="OR",--(COUNTIFS(nNIA,DATOS!$A4424,nCURSO,DATOS!$D4424,nESPEC,DATOS!$E4424,nASIG,DATOS!$I4424,nEVAL,"EX")=0),0))))</f>
      </c>
      <c r="H4424">
        <f>IF(DATOS!$G4424&lt;&gt;"EX",0,--(COUNTIFS(nNIA,DATOS!$A4424,nCURSO,DATOS!$D4424,nESPEC,DATOS!$E4424,nASIG,DATOS!$I4424,nEVAL,"OR")=0))</f>
      </c>
      <c r="I4424">
        <f>IF(DATOS!$I4424="","",IFERROR(VLOOKUP(DATOS!$I4424,CONFIG_ASIGNATURAS!$B$2:$J$91,9,FALSE()),""))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IF(DATOS!$A4425="",0,IF(CONFIG_METADATA!$B$4&lt;&gt;"OR+EX",--(DATOS!$G4425=CONFIG_METADATA!$B$4),IF(DATOS!$G4425="EX",1,IF(DATOS!$G4425="OR",--(COUNTIFS(nNIA,DATOS!$A4425,nCURSO,DATOS!$D4425,nESPEC,DATOS!$E4425,nASIG,DATOS!$I4425,nEVAL,"EX")=0),0))))</f>
      </c>
      <c r="H4425">
        <f>IF(DATOS!$G4425&lt;&gt;"EX",0,--(COUNTIFS(nNIA,DATOS!$A4425,nCURSO,DATOS!$D4425,nESPEC,DATOS!$E4425,nASIG,DATOS!$I4425,nEVAL,"OR")=0))</f>
      </c>
      <c r="I4425">
        <f>IF(DATOS!$I4425="","",IFERROR(VLOOKUP(DATOS!$I4425,CONFIG_ASIGNATURAS!$B$2:$J$91,9,FALSE()),""))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IF(DATOS!$A4426="",0,IF(CONFIG_METADATA!$B$4&lt;&gt;"OR+EX",--(DATOS!$G4426=CONFIG_METADATA!$B$4),IF(DATOS!$G4426="EX",1,IF(DATOS!$G4426="OR",--(COUNTIFS(nNIA,DATOS!$A4426,nCURSO,DATOS!$D4426,nESPEC,DATOS!$E4426,nASIG,DATOS!$I4426,nEVAL,"EX")=0),0))))</f>
      </c>
      <c r="H4426">
        <f>IF(DATOS!$G4426&lt;&gt;"EX",0,--(COUNTIFS(nNIA,DATOS!$A4426,nCURSO,DATOS!$D4426,nESPEC,DATOS!$E4426,nASIG,DATOS!$I4426,nEVAL,"OR")=0))</f>
      </c>
      <c r="I4426">
        <f>IF(DATOS!$I4426="","",IFERROR(VLOOKUP(DATOS!$I4426,CONFIG_ASIGNATURAS!$B$2:$J$91,9,FALSE()),""))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IF(DATOS!$A4427="",0,IF(CONFIG_METADATA!$B$4&lt;&gt;"OR+EX",--(DATOS!$G4427=CONFIG_METADATA!$B$4),IF(DATOS!$G4427="EX",1,IF(DATOS!$G4427="OR",--(COUNTIFS(nNIA,DATOS!$A4427,nCURSO,DATOS!$D4427,nESPEC,DATOS!$E4427,nASIG,DATOS!$I4427,nEVAL,"EX")=0),0))))</f>
      </c>
      <c r="H4427">
        <f>IF(DATOS!$G4427&lt;&gt;"EX",0,--(COUNTIFS(nNIA,DATOS!$A4427,nCURSO,DATOS!$D4427,nESPEC,DATOS!$E4427,nASIG,DATOS!$I4427,nEVAL,"OR")=0))</f>
      </c>
      <c r="I4427">
        <f>IF(DATOS!$I4427="","",IFERROR(VLOOKUP(DATOS!$I4427,CONFIG_ASIGNATURAS!$B$2:$J$91,9,FALSE()),""))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IF(DATOS!$A4428="",0,IF(CONFIG_METADATA!$B$4&lt;&gt;"OR+EX",--(DATOS!$G4428=CONFIG_METADATA!$B$4),IF(DATOS!$G4428="EX",1,IF(DATOS!$G4428="OR",--(COUNTIFS(nNIA,DATOS!$A4428,nCURSO,DATOS!$D4428,nESPEC,DATOS!$E4428,nASIG,DATOS!$I4428,nEVAL,"EX")=0),0))))</f>
      </c>
      <c r="H4428">
        <f>IF(DATOS!$G4428&lt;&gt;"EX",0,--(COUNTIFS(nNIA,DATOS!$A4428,nCURSO,DATOS!$D4428,nESPEC,DATOS!$E4428,nASIG,DATOS!$I4428,nEVAL,"OR")=0))</f>
      </c>
      <c r="I4428">
        <f>IF(DATOS!$I4428="","",IFERROR(VLOOKUP(DATOS!$I4428,CONFIG_ASIGNATURAS!$B$2:$J$91,9,FALSE()),""))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IF(DATOS!$A4429="",0,IF(CONFIG_METADATA!$B$4&lt;&gt;"OR+EX",--(DATOS!$G4429=CONFIG_METADATA!$B$4),IF(DATOS!$G4429="EX",1,IF(DATOS!$G4429="OR",--(COUNTIFS(nNIA,DATOS!$A4429,nCURSO,DATOS!$D4429,nESPEC,DATOS!$E4429,nASIG,DATOS!$I4429,nEVAL,"EX")=0),0))))</f>
      </c>
      <c r="H4429">
        <f>IF(DATOS!$G4429&lt;&gt;"EX",0,--(COUNTIFS(nNIA,DATOS!$A4429,nCURSO,DATOS!$D4429,nESPEC,DATOS!$E4429,nASIG,DATOS!$I4429,nEVAL,"OR")=0))</f>
      </c>
      <c r="I4429">
        <f>IF(DATOS!$I4429="","",IFERROR(VLOOKUP(DATOS!$I4429,CONFIG_ASIGNATURAS!$B$2:$J$91,9,FALSE()),""))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IF(DATOS!$A4430="",0,IF(CONFIG_METADATA!$B$4&lt;&gt;"OR+EX",--(DATOS!$G4430=CONFIG_METADATA!$B$4),IF(DATOS!$G4430="EX",1,IF(DATOS!$G4430="OR",--(COUNTIFS(nNIA,DATOS!$A4430,nCURSO,DATOS!$D4430,nESPEC,DATOS!$E4430,nASIG,DATOS!$I4430,nEVAL,"EX")=0),0))))</f>
      </c>
      <c r="H4430">
        <f>IF(DATOS!$G4430&lt;&gt;"EX",0,--(COUNTIFS(nNIA,DATOS!$A4430,nCURSO,DATOS!$D4430,nESPEC,DATOS!$E4430,nASIG,DATOS!$I4430,nEVAL,"OR")=0))</f>
      </c>
      <c r="I4430">
        <f>IF(DATOS!$I4430="","",IFERROR(VLOOKUP(DATOS!$I4430,CONFIG_ASIGNATURAS!$B$2:$J$91,9,FALSE()),""))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IF(DATOS!$A4431="",0,IF(CONFIG_METADATA!$B$4&lt;&gt;"OR+EX",--(DATOS!$G4431=CONFIG_METADATA!$B$4),IF(DATOS!$G4431="EX",1,IF(DATOS!$G4431="OR",--(COUNTIFS(nNIA,DATOS!$A4431,nCURSO,DATOS!$D4431,nESPEC,DATOS!$E4431,nASIG,DATOS!$I4431,nEVAL,"EX")=0),0))))</f>
      </c>
      <c r="H4431">
        <f>IF(DATOS!$G4431&lt;&gt;"EX",0,--(COUNTIFS(nNIA,DATOS!$A4431,nCURSO,DATOS!$D4431,nESPEC,DATOS!$E4431,nASIG,DATOS!$I4431,nEVAL,"OR")=0))</f>
      </c>
      <c r="I4431">
        <f>IF(DATOS!$I4431="","",IFERROR(VLOOKUP(DATOS!$I4431,CONFIG_ASIGNATURAS!$B$2:$J$91,9,FALSE()),""))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IF(DATOS!$A4432="",0,IF(CONFIG_METADATA!$B$4&lt;&gt;"OR+EX",--(DATOS!$G4432=CONFIG_METADATA!$B$4),IF(DATOS!$G4432="EX",1,IF(DATOS!$G4432="OR",--(COUNTIFS(nNIA,DATOS!$A4432,nCURSO,DATOS!$D4432,nESPEC,DATOS!$E4432,nASIG,DATOS!$I4432,nEVAL,"EX")=0),0))))</f>
      </c>
      <c r="H4432">
        <f>IF(DATOS!$G4432&lt;&gt;"EX",0,--(COUNTIFS(nNIA,DATOS!$A4432,nCURSO,DATOS!$D4432,nESPEC,DATOS!$E4432,nASIG,DATOS!$I4432,nEVAL,"OR")=0))</f>
      </c>
      <c r="I4432">
        <f>IF(DATOS!$I4432="","",IFERROR(VLOOKUP(DATOS!$I4432,CONFIG_ASIGNATURAS!$B$2:$J$91,9,FALSE()),""))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IF(DATOS!$A4433="",0,IF(CONFIG_METADATA!$B$4&lt;&gt;"OR+EX",--(DATOS!$G4433=CONFIG_METADATA!$B$4),IF(DATOS!$G4433="EX",1,IF(DATOS!$G4433="OR",--(COUNTIFS(nNIA,DATOS!$A4433,nCURSO,DATOS!$D4433,nESPEC,DATOS!$E4433,nASIG,DATOS!$I4433,nEVAL,"EX")=0),0))))</f>
      </c>
      <c r="H4433">
        <f>IF(DATOS!$G4433&lt;&gt;"EX",0,--(COUNTIFS(nNIA,DATOS!$A4433,nCURSO,DATOS!$D4433,nESPEC,DATOS!$E4433,nASIG,DATOS!$I4433,nEVAL,"OR")=0))</f>
      </c>
      <c r="I4433">
        <f>IF(DATOS!$I4433="","",IFERROR(VLOOKUP(DATOS!$I4433,CONFIG_ASIGNATURAS!$B$2:$J$91,9,FALSE()),""))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IF(DATOS!$A4434="",0,IF(CONFIG_METADATA!$B$4&lt;&gt;"OR+EX",--(DATOS!$G4434=CONFIG_METADATA!$B$4),IF(DATOS!$G4434="EX",1,IF(DATOS!$G4434="OR",--(COUNTIFS(nNIA,DATOS!$A4434,nCURSO,DATOS!$D4434,nESPEC,DATOS!$E4434,nASIG,DATOS!$I4434,nEVAL,"EX")=0),0))))</f>
      </c>
      <c r="H4434">
        <f>IF(DATOS!$G4434&lt;&gt;"EX",0,--(COUNTIFS(nNIA,DATOS!$A4434,nCURSO,DATOS!$D4434,nESPEC,DATOS!$E4434,nASIG,DATOS!$I4434,nEVAL,"OR")=0))</f>
      </c>
      <c r="I4434">
        <f>IF(DATOS!$I4434="","",IFERROR(VLOOKUP(DATOS!$I4434,CONFIG_ASIGNATURAS!$B$2:$J$91,9,FALSE()),""))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IF(DATOS!$A4435="",0,IF(CONFIG_METADATA!$B$4&lt;&gt;"OR+EX",--(DATOS!$G4435=CONFIG_METADATA!$B$4),IF(DATOS!$G4435="EX",1,IF(DATOS!$G4435="OR",--(COUNTIFS(nNIA,DATOS!$A4435,nCURSO,DATOS!$D4435,nESPEC,DATOS!$E4435,nASIG,DATOS!$I4435,nEVAL,"EX")=0),0))))</f>
      </c>
      <c r="H4435">
        <f>IF(DATOS!$G4435&lt;&gt;"EX",0,--(COUNTIFS(nNIA,DATOS!$A4435,nCURSO,DATOS!$D4435,nESPEC,DATOS!$E4435,nASIG,DATOS!$I4435,nEVAL,"OR")=0))</f>
      </c>
      <c r="I4435">
        <f>IF(DATOS!$I4435="","",IFERROR(VLOOKUP(DATOS!$I4435,CONFIG_ASIGNATURAS!$B$2:$J$91,9,FALSE()),""))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IF(DATOS!$A4436="",0,IF(CONFIG_METADATA!$B$4&lt;&gt;"OR+EX",--(DATOS!$G4436=CONFIG_METADATA!$B$4),IF(DATOS!$G4436="EX",1,IF(DATOS!$G4436="OR",--(COUNTIFS(nNIA,DATOS!$A4436,nCURSO,DATOS!$D4436,nESPEC,DATOS!$E4436,nASIG,DATOS!$I4436,nEVAL,"EX")=0),0))))</f>
      </c>
      <c r="H4436">
        <f>IF(DATOS!$G4436&lt;&gt;"EX",0,--(COUNTIFS(nNIA,DATOS!$A4436,nCURSO,DATOS!$D4436,nESPEC,DATOS!$E4436,nASIG,DATOS!$I4436,nEVAL,"OR")=0))</f>
      </c>
      <c r="I4436">
        <f>IF(DATOS!$I4436="","",IFERROR(VLOOKUP(DATOS!$I4436,CONFIG_ASIGNATURAS!$B$2:$J$91,9,FALSE()),""))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IF(DATOS!$A4437="",0,IF(CONFIG_METADATA!$B$4&lt;&gt;"OR+EX",--(DATOS!$G4437=CONFIG_METADATA!$B$4),IF(DATOS!$G4437="EX",1,IF(DATOS!$G4437="OR",--(COUNTIFS(nNIA,DATOS!$A4437,nCURSO,DATOS!$D4437,nESPEC,DATOS!$E4437,nASIG,DATOS!$I4437,nEVAL,"EX")=0),0))))</f>
      </c>
      <c r="H4437">
        <f>IF(DATOS!$G4437&lt;&gt;"EX",0,--(COUNTIFS(nNIA,DATOS!$A4437,nCURSO,DATOS!$D4437,nESPEC,DATOS!$E4437,nASIG,DATOS!$I4437,nEVAL,"OR")=0))</f>
      </c>
      <c r="I4437">
        <f>IF(DATOS!$I4437="","",IFERROR(VLOOKUP(DATOS!$I4437,CONFIG_ASIGNATURAS!$B$2:$J$91,9,FALSE()),""))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IF(DATOS!$A4438="",0,IF(CONFIG_METADATA!$B$4&lt;&gt;"OR+EX",--(DATOS!$G4438=CONFIG_METADATA!$B$4),IF(DATOS!$G4438="EX",1,IF(DATOS!$G4438="OR",--(COUNTIFS(nNIA,DATOS!$A4438,nCURSO,DATOS!$D4438,nESPEC,DATOS!$E4438,nASIG,DATOS!$I4438,nEVAL,"EX")=0),0))))</f>
      </c>
      <c r="H4438">
        <f>IF(DATOS!$G4438&lt;&gt;"EX",0,--(COUNTIFS(nNIA,DATOS!$A4438,nCURSO,DATOS!$D4438,nESPEC,DATOS!$E4438,nASIG,DATOS!$I4438,nEVAL,"OR")=0))</f>
      </c>
      <c r="I4438">
        <f>IF(DATOS!$I4438="","",IFERROR(VLOOKUP(DATOS!$I4438,CONFIG_ASIGNATURAS!$B$2:$J$91,9,FALSE()),""))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IF(DATOS!$A4439="",0,IF(CONFIG_METADATA!$B$4&lt;&gt;"OR+EX",--(DATOS!$G4439=CONFIG_METADATA!$B$4),IF(DATOS!$G4439="EX",1,IF(DATOS!$G4439="OR",--(COUNTIFS(nNIA,DATOS!$A4439,nCURSO,DATOS!$D4439,nESPEC,DATOS!$E4439,nASIG,DATOS!$I4439,nEVAL,"EX")=0),0))))</f>
      </c>
      <c r="H4439">
        <f>IF(DATOS!$G4439&lt;&gt;"EX",0,--(COUNTIFS(nNIA,DATOS!$A4439,nCURSO,DATOS!$D4439,nESPEC,DATOS!$E4439,nASIG,DATOS!$I4439,nEVAL,"OR")=0))</f>
      </c>
      <c r="I4439">
        <f>IF(DATOS!$I4439="","",IFERROR(VLOOKUP(DATOS!$I4439,CONFIG_ASIGNATURAS!$B$2:$J$91,9,FALSE()),""))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IF(DATOS!$A4440="",0,IF(CONFIG_METADATA!$B$4&lt;&gt;"OR+EX",--(DATOS!$G4440=CONFIG_METADATA!$B$4),IF(DATOS!$G4440="EX",1,IF(DATOS!$G4440="OR",--(COUNTIFS(nNIA,DATOS!$A4440,nCURSO,DATOS!$D4440,nESPEC,DATOS!$E4440,nASIG,DATOS!$I4440,nEVAL,"EX")=0),0))))</f>
      </c>
      <c r="H4440">
        <f>IF(DATOS!$G4440&lt;&gt;"EX",0,--(COUNTIFS(nNIA,DATOS!$A4440,nCURSO,DATOS!$D4440,nESPEC,DATOS!$E4440,nASIG,DATOS!$I4440,nEVAL,"OR")=0))</f>
      </c>
      <c r="I4440">
        <f>IF(DATOS!$I4440="","",IFERROR(VLOOKUP(DATOS!$I4440,CONFIG_ASIGNATURAS!$B$2:$J$91,9,FALSE()),""))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IF(DATOS!$A4441="",0,IF(CONFIG_METADATA!$B$4&lt;&gt;"OR+EX",--(DATOS!$G4441=CONFIG_METADATA!$B$4),IF(DATOS!$G4441="EX",1,IF(DATOS!$G4441="OR",--(COUNTIFS(nNIA,DATOS!$A4441,nCURSO,DATOS!$D4441,nESPEC,DATOS!$E4441,nASIG,DATOS!$I4441,nEVAL,"EX")=0),0))))</f>
      </c>
      <c r="H4441">
        <f>IF(DATOS!$G4441&lt;&gt;"EX",0,--(COUNTIFS(nNIA,DATOS!$A4441,nCURSO,DATOS!$D4441,nESPEC,DATOS!$E4441,nASIG,DATOS!$I4441,nEVAL,"OR")=0))</f>
      </c>
      <c r="I4441">
        <f>IF(DATOS!$I4441="","",IFERROR(VLOOKUP(DATOS!$I4441,CONFIG_ASIGNATURAS!$B$2:$J$91,9,FALSE()),""))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IF(DATOS!$A4442="",0,IF(CONFIG_METADATA!$B$4&lt;&gt;"OR+EX",--(DATOS!$G4442=CONFIG_METADATA!$B$4),IF(DATOS!$G4442="EX",1,IF(DATOS!$G4442="OR",--(COUNTIFS(nNIA,DATOS!$A4442,nCURSO,DATOS!$D4442,nESPEC,DATOS!$E4442,nASIG,DATOS!$I4442,nEVAL,"EX")=0),0))))</f>
      </c>
      <c r="H4442">
        <f>IF(DATOS!$G4442&lt;&gt;"EX",0,--(COUNTIFS(nNIA,DATOS!$A4442,nCURSO,DATOS!$D4442,nESPEC,DATOS!$E4442,nASIG,DATOS!$I4442,nEVAL,"OR")=0))</f>
      </c>
      <c r="I4442">
        <f>IF(DATOS!$I4442="","",IFERROR(VLOOKUP(DATOS!$I4442,CONFIG_ASIGNATURAS!$B$2:$J$91,9,FALSE()),""))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IF(DATOS!$A4443="",0,IF(CONFIG_METADATA!$B$4&lt;&gt;"OR+EX",--(DATOS!$G4443=CONFIG_METADATA!$B$4),IF(DATOS!$G4443="EX",1,IF(DATOS!$G4443="OR",--(COUNTIFS(nNIA,DATOS!$A4443,nCURSO,DATOS!$D4443,nESPEC,DATOS!$E4443,nASIG,DATOS!$I4443,nEVAL,"EX")=0),0))))</f>
      </c>
      <c r="H4443">
        <f>IF(DATOS!$G4443&lt;&gt;"EX",0,--(COUNTIFS(nNIA,DATOS!$A4443,nCURSO,DATOS!$D4443,nESPEC,DATOS!$E4443,nASIG,DATOS!$I4443,nEVAL,"OR")=0))</f>
      </c>
      <c r="I4443">
        <f>IF(DATOS!$I4443="","",IFERROR(VLOOKUP(DATOS!$I4443,CONFIG_ASIGNATURAS!$B$2:$J$91,9,FALSE()),""))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IF(DATOS!$A4444="",0,IF(CONFIG_METADATA!$B$4&lt;&gt;"OR+EX",--(DATOS!$G4444=CONFIG_METADATA!$B$4),IF(DATOS!$G4444="EX",1,IF(DATOS!$G4444="OR",--(COUNTIFS(nNIA,DATOS!$A4444,nCURSO,DATOS!$D4444,nESPEC,DATOS!$E4444,nASIG,DATOS!$I4444,nEVAL,"EX")=0),0))))</f>
      </c>
      <c r="H4444">
        <f>IF(DATOS!$G4444&lt;&gt;"EX",0,--(COUNTIFS(nNIA,DATOS!$A4444,nCURSO,DATOS!$D4444,nESPEC,DATOS!$E4444,nASIG,DATOS!$I4444,nEVAL,"OR")=0))</f>
      </c>
      <c r="I4444">
        <f>IF(DATOS!$I4444="","",IFERROR(VLOOKUP(DATOS!$I4444,CONFIG_ASIGNATURAS!$B$2:$J$91,9,FALSE()),""))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IF(DATOS!$A4445="",0,IF(CONFIG_METADATA!$B$4&lt;&gt;"OR+EX",--(DATOS!$G4445=CONFIG_METADATA!$B$4),IF(DATOS!$G4445="EX",1,IF(DATOS!$G4445="OR",--(COUNTIFS(nNIA,DATOS!$A4445,nCURSO,DATOS!$D4445,nESPEC,DATOS!$E4445,nASIG,DATOS!$I4445,nEVAL,"EX")=0),0))))</f>
      </c>
      <c r="H4445">
        <f>IF(DATOS!$G4445&lt;&gt;"EX",0,--(COUNTIFS(nNIA,DATOS!$A4445,nCURSO,DATOS!$D4445,nESPEC,DATOS!$E4445,nASIG,DATOS!$I4445,nEVAL,"OR")=0))</f>
      </c>
      <c r="I4445">
        <f>IF(DATOS!$I4445="","",IFERROR(VLOOKUP(DATOS!$I4445,CONFIG_ASIGNATURAS!$B$2:$J$91,9,FALSE()),""))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IF(DATOS!$A4446="",0,IF(CONFIG_METADATA!$B$4&lt;&gt;"OR+EX",--(DATOS!$G4446=CONFIG_METADATA!$B$4),IF(DATOS!$G4446="EX",1,IF(DATOS!$G4446="OR",--(COUNTIFS(nNIA,DATOS!$A4446,nCURSO,DATOS!$D4446,nESPEC,DATOS!$E4446,nASIG,DATOS!$I4446,nEVAL,"EX")=0),0))))</f>
      </c>
      <c r="H4446">
        <f>IF(DATOS!$G4446&lt;&gt;"EX",0,--(COUNTIFS(nNIA,DATOS!$A4446,nCURSO,DATOS!$D4446,nESPEC,DATOS!$E4446,nASIG,DATOS!$I4446,nEVAL,"OR")=0))</f>
      </c>
      <c r="I4446">
        <f>IF(DATOS!$I4446="","",IFERROR(VLOOKUP(DATOS!$I4446,CONFIG_ASIGNATURAS!$B$2:$J$91,9,FALSE()),""))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IF(DATOS!$A4447="",0,IF(CONFIG_METADATA!$B$4&lt;&gt;"OR+EX",--(DATOS!$G4447=CONFIG_METADATA!$B$4),IF(DATOS!$G4447="EX",1,IF(DATOS!$G4447="OR",--(COUNTIFS(nNIA,DATOS!$A4447,nCURSO,DATOS!$D4447,nESPEC,DATOS!$E4447,nASIG,DATOS!$I4447,nEVAL,"EX")=0),0))))</f>
      </c>
      <c r="H4447">
        <f>IF(DATOS!$G4447&lt;&gt;"EX",0,--(COUNTIFS(nNIA,DATOS!$A4447,nCURSO,DATOS!$D4447,nESPEC,DATOS!$E4447,nASIG,DATOS!$I4447,nEVAL,"OR")=0))</f>
      </c>
      <c r="I4447">
        <f>IF(DATOS!$I4447="","",IFERROR(VLOOKUP(DATOS!$I4447,CONFIG_ASIGNATURAS!$B$2:$J$91,9,FALSE()),""))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IF(DATOS!$A4448="",0,IF(CONFIG_METADATA!$B$4&lt;&gt;"OR+EX",--(DATOS!$G4448=CONFIG_METADATA!$B$4),IF(DATOS!$G4448="EX",1,IF(DATOS!$G4448="OR",--(COUNTIFS(nNIA,DATOS!$A4448,nCURSO,DATOS!$D4448,nESPEC,DATOS!$E4448,nASIG,DATOS!$I4448,nEVAL,"EX")=0),0))))</f>
      </c>
      <c r="H4448">
        <f>IF(DATOS!$G4448&lt;&gt;"EX",0,--(COUNTIFS(nNIA,DATOS!$A4448,nCURSO,DATOS!$D4448,nESPEC,DATOS!$E4448,nASIG,DATOS!$I4448,nEVAL,"OR")=0))</f>
      </c>
      <c r="I4448">
        <f>IF(DATOS!$I4448="","",IFERROR(VLOOKUP(DATOS!$I4448,CONFIG_ASIGNATURAS!$B$2:$J$91,9,FALSE()),""))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IF(DATOS!$A4449="",0,IF(CONFIG_METADATA!$B$4&lt;&gt;"OR+EX",--(DATOS!$G4449=CONFIG_METADATA!$B$4),IF(DATOS!$G4449="EX",1,IF(DATOS!$G4449="OR",--(COUNTIFS(nNIA,DATOS!$A4449,nCURSO,DATOS!$D4449,nESPEC,DATOS!$E4449,nASIG,DATOS!$I4449,nEVAL,"EX")=0),0))))</f>
      </c>
      <c r="H4449">
        <f>IF(DATOS!$G4449&lt;&gt;"EX",0,--(COUNTIFS(nNIA,DATOS!$A4449,nCURSO,DATOS!$D4449,nESPEC,DATOS!$E4449,nASIG,DATOS!$I4449,nEVAL,"OR")=0))</f>
      </c>
      <c r="I4449">
        <f>IF(DATOS!$I4449="","",IFERROR(VLOOKUP(DATOS!$I4449,CONFIG_ASIGNATURAS!$B$2:$J$91,9,FALSE()),""))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IF(DATOS!$A4450="",0,IF(CONFIG_METADATA!$B$4&lt;&gt;"OR+EX",--(DATOS!$G4450=CONFIG_METADATA!$B$4),IF(DATOS!$G4450="EX",1,IF(DATOS!$G4450="OR",--(COUNTIFS(nNIA,DATOS!$A4450,nCURSO,DATOS!$D4450,nESPEC,DATOS!$E4450,nASIG,DATOS!$I4450,nEVAL,"EX")=0),0))))</f>
      </c>
      <c r="H4450">
        <f>IF(DATOS!$G4450&lt;&gt;"EX",0,--(COUNTIFS(nNIA,DATOS!$A4450,nCURSO,DATOS!$D4450,nESPEC,DATOS!$E4450,nASIG,DATOS!$I4450,nEVAL,"OR")=0))</f>
      </c>
      <c r="I4450">
        <f>IF(DATOS!$I4450="","",IFERROR(VLOOKUP(DATOS!$I4450,CONFIG_ASIGNATURAS!$B$2:$J$91,9,FALSE()),""))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IF(DATOS!$A4451="",0,IF(CONFIG_METADATA!$B$4&lt;&gt;"OR+EX",--(DATOS!$G4451=CONFIG_METADATA!$B$4),IF(DATOS!$G4451="EX",1,IF(DATOS!$G4451="OR",--(COUNTIFS(nNIA,DATOS!$A4451,nCURSO,DATOS!$D4451,nESPEC,DATOS!$E4451,nASIG,DATOS!$I4451,nEVAL,"EX")=0),0))))</f>
      </c>
      <c r="H4451">
        <f>IF(DATOS!$G4451&lt;&gt;"EX",0,--(COUNTIFS(nNIA,DATOS!$A4451,nCURSO,DATOS!$D4451,nESPEC,DATOS!$E4451,nASIG,DATOS!$I4451,nEVAL,"OR")=0))</f>
      </c>
      <c r="I4451">
        <f>IF(DATOS!$I4451="","",IFERROR(VLOOKUP(DATOS!$I4451,CONFIG_ASIGNATURAS!$B$2:$J$91,9,FALSE()),""))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IF(DATOS!$A4452="",0,IF(CONFIG_METADATA!$B$4&lt;&gt;"OR+EX",--(DATOS!$G4452=CONFIG_METADATA!$B$4),IF(DATOS!$G4452="EX",1,IF(DATOS!$G4452="OR",--(COUNTIFS(nNIA,DATOS!$A4452,nCURSO,DATOS!$D4452,nESPEC,DATOS!$E4452,nASIG,DATOS!$I4452,nEVAL,"EX")=0),0))))</f>
      </c>
      <c r="H4452">
        <f>IF(DATOS!$G4452&lt;&gt;"EX",0,--(COUNTIFS(nNIA,DATOS!$A4452,nCURSO,DATOS!$D4452,nESPEC,DATOS!$E4452,nASIG,DATOS!$I4452,nEVAL,"OR")=0))</f>
      </c>
      <c r="I4452">
        <f>IF(DATOS!$I4452="","",IFERROR(VLOOKUP(DATOS!$I4452,CONFIG_ASIGNATURAS!$B$2:$J$91,9,FALSE()),""))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IF(DATOS!$A4453="",0,IF(CONFIG_METADATA!$B$4&lt;&gt;"OR+EX",--(DATOS!$G4453=CONFIG_METADATA!$B$4),IF(DATOS!$G4453="EX",1,IF(DATOS!$G4453="OR",--(COUNTIFS(nNIA,DATOS!$A4453,nCURSO,DATOS!$D4453,nESPEC,DATOS!$E4453,nASIG,DATOS!$I4453,nEVAL,"EX")=0),0))))</f>
      </c>
      <c r="H4453">
        <f>IF(DATOS!$G4453&lt;&gt;"EX",0,--(COUNTIFS(nNIA,DATOS!$A4453,nCURSO,DATOS!$D4453,nESPEC,DATOS!$E4453,nASIG,DATOS!$I4453,nEVAL,"OR")=0))</f>
      </c>
      <c r="I4453">
        <f>IF(DATOS!$I4453="","",IFERROR(VLOOKUP(DATOS!$I4453,CONFIG_ASIGNATURAS!$B$2:$J$91,9,FALSE()),""))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IF(DATOS!$A4454="",0,IF(CONFIG_METADATA!$B$4&lt;&gt;"OR+EX",--(DATOS!$G4454=CONFIG_METADATA!$B$4),IF(DATOS!$G4454="EX",1,IF(DATOS!$G4454="OR",--(COUNTIFS(nNIA,DATOS!$A4454,nCURSO,DATOS!$D4454,nESPEC,DATOS!$E4454,nASIG,DATOS!$I4454,nEVAL,"EX")=0),0))))</f>
      </c>
      <c r="H4454">
        <f>IF(DATOS!$G4454&lt;&gt;"EX",0,--(COUNTIFS(nNIA,DATOS!$A4454,nCURSO,DATOS!$D4454,nESPEC,DATOS!$E4454,nASIG,DATOS!$I4454,nEVAL,"OR")=0))</f>
      </c>
      <c r="I4454">
        <f>IF(DATOS!$I4454="","",IFERROR(VLOOKUP(DATOS!$I4454,CONFIG_ASIGNATURAS!$B$2:$J$91,9,FALSE()),""))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IF(DATOS!$A4455="",0,IF(CONFIG_METADATA!$B$4&lt;&gt;"OR+EX",--(DATOS!$G4455=CONFIG_METADATA!$B$4),IF(DATOS!$G4455="EX",1,IF(DATOS!$G4455="OR",--(COUNTIFS(nNIA,DATOS!$A4455,nCURSO,DATOS!$D4455,nESPEC,DATOS!$E4455,nASIG,DATOS!$I4455,nEVAL,"EX")=0),0))))</f>
      </c>
      <c r="H4455">
        <f>IF(DATOS!$G4455&lt;&gt;"EX",0,--(COUNTIFS(nNIA,DATOS!$A4455,nCURSO,DATOS!$D4455,nESPEC,DATOS!$E4455,nASIG,DATOS!$I4455,nEVAL,"OR")=0))</f>
      </c>
      <c r="I4455">
        <f>IF(DATOS!$I4455="","",IFERROR(VLOOKUP(DATOS!$I4455,CONFIG_ASIGNATURAS!$B$2:$J$91,9,FALSE()),""))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IF(DATOS!$A4456="",0,IF(CONFIG_METADATA!$B$4&lt;&gt;"OR+EX",--(DATOS!$G4456=CONFIG_METADATA!$B$4),IF(DATOS!$G4456="EX",1,IF(DATOS!$G4456="OR",--(COUNTIFS(nNIA,DATOS!$A4456,nCURSO,DATOS!$D4456,nESPEC,DATOS!$E4456,nASIG,DATOS!$I4456,nEVAL,"EX")=0),0))))</f>
      </c>
      <c r="H4456">
        <f>IF(DATOS!$G4456&lt;&gt;"EX",0,--(COUNTIFS(nNIA,DATOS!$A4456,nCURSO,DATOS!$D4456,nESPEC,DATOS!$E4456,nASIG,DATOS!$I4456,nEVAL,"OR")=0))</f>
      </c>
      <c r="I4456">
        <f>IF(DATOS!$I4456="","",IFERROR(VLOOKUP(DATOS!$I4456,CONFIG_ASIGNATURAS!$B$2:$J$91,9,FALSE()),""))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IF(DATOS!$A4457="",0,IF(CONFIG_METADATA!$B$4&lt;&gt;"OR+EX",--(DATOS!$G4457=CONFIG_METADATA!$B$4),IF(DATOS!$G4457="EX",1,IF(DATOS!$G4457="OR",--(COUNTIFS(nNIA,DATOS!$A4457,nCURSO,DATOS!$D4457,nESPEC,DATOS!$E4457,nASIG,DATOS!$I4457,nEVAL,"EX")=0),0))))</f>
      </c>
      <c r="H4457">
        <f>IF(DATOS!$G4457&lt;&gt;"EX",0,--(COUNTIFS(nNIA,DATOS!$A4457,nCURSO,DATOS!$D4457,nESPEC,DATOS!$E4457,nASIG,DATOS!$I4457,nEVAL,"OR")=0))</f>
      </c>
      <c r="I4457">
        <f>IF(DATOS!$I4457="","",IFERROR(VLOOKUP(DATOS!$I4457,CONFIG_ASIGNATURAS!$B$2:$J$91,9,FALSE()),""))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IF(DATOS!$A4458="",0,IF(CONFIG_METADATA!$B$4&lt;&gt;"OR+EX",--(DATOS!$G4458=CONFIG_METADATA!$B$4),IF(DATOS!$G4458="EX",1,IF(DATOS!$G4458="OR",--(COUNTIFS(nNIA,DATOS!$A4458,nCURSO,DATOS!$D4458,nESPEC,DATOS!$E4458,nASIG,DATOS!$I4458,nEVAL,"EX")=0),0))))</f>
      </c>
      <c r="H4458">
        <f>IF(DATOS!$G4458&lt;&gt;"EX",0,--(COUNTIFS(nNIA,DATOS!$A4458,nCURSO,DATOS!$D4458,nESPEC,DATOS!$E4458,nASIG,DATOS!$I4458,nEVAL,"OR")=0))</f>
      </c>
      <c r="I4458">
        <f>IF(DATOS!$I4458="","",IFERROR(VLOOKUP(DATOS!$I4458,CONFIG_ASIGNATURAS!$B$2:$J$91,9,FALSE()),""))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IF(DATOS!$A4459="",0,IF(CONFIG_METADATA!$B$4&lt;&gt;"OR+EX",--(DATOS!$G4459=CONFIG_METADATA!$B$4),IF(DATOS!$G4459="EX",1,IF(DATOS!$G4459="OR",--(COUNTIFS(nNIA,DATOS!$A4459,nCURSO,DATOS!$D4459,nESPEC,DATOS!$E4459,nASIG,DATOS!$I4459,nEVAL,"EX")=0),0))))</f>
      </c>
      <c r="H4459">
        <f>IF(DATOS!$G4459&lt;&gt;"EX",0,--(COUNTIFS(nNIA,DATOS!$A4459,nCURSO,DATOS!$D4459,nESPEC,DATOS!$E4459,nASIG,DATOS!$I4459,nEVAL,"OR")=0))</f>
      </c>
      <c r="I4459">
        <f>IF(DATOS!$I4459="","",IFERROR(VLOOKUP(DATOS!$I4459,CONFIG_ASIGNATURAS!$B$2:$J$91,9,FALSE()),""))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IF(DATOS!$A4460="",0,IF(CONFIG_METADATA!$B$4&lt;&gt;"OR+EX",--(DATOS!$G4460=CONFIG_METADATA!$B$4),IF(DATOS!$G4460="EX",1,IF(DATOS!$G4460="OR",--(COUNTIFS(nNIA,DATOS!$A4460,nCURSO,DATOS!$D4460,nESPEC,DATOS!$E4460,nASIG,DATOS!$I4460,nEVAL,"EX")=0),0))))</f>
      </c>
      <c r="H4460">
        <f>IF(DATOS!$G4460&lt;&gt;"EX",0,--(COUNTIFS(nNIA,DATOS!$A4460,nCURSO,DATOS!$D4460,nESPEC,DATOS!$E4460,nASIG,DATOS!$I4460,nEVAL,"OR")=0))</f>
      </c>
      <c r="I4460">
        <f>IF(DATOS!$I4460="","",IFERROR(VLOOKUP(DATOS!$I4460,CONFIG_ASIGNATURAS!$B$2:$J$91,9,FALSE()),""))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IF(DATOS!$A4461="",0,IF(CONFIG_METADATA!$B$4&lt;&gt;"OR+EX",--(DATOS!$G4461=CONFIG_METADATA!$B$4),IF(DATOS!$G4461="EX",1,IF(DATOS!$G4461="OR",--(COUNTIFS(nNIA,DATOS!$A4461,nCURSO,DATOS!$D4461,nESPEC,DATOS!$E4461,nASIG,DATOS!$I4461,nEVAL,"EX")=0),0))))</f>
      </c>
      <c r="H4461">
        <f>IF(DATOS!$G4461&lt;&gt;"EX",0,--(COUNTIFS(nNIA,DATOS!$A4461,nCURSO,DATOS!$D4461,nESPEC,DATOS!$E4461,nASIG,DATOS!$I4461,nEVAL,"OR")=0))</f>
      </c>
      <c r="I4461">
        <f>IF(DATOS!$I4461="","",IFERROR(VLOOKUP(DATOS!$I4461,CONFIG_ASIGNATURAS!$B$2:$J$91,9,FALSE()),""))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IF(DATOS!$A4462="",0,IF(CONFIG_METADATA!$B$4&lt;&gt;"OR+EX",--(DATOS!$G4462=CONFIG_METADATA!$B$4),IF(DATOS!$G4462="EX",1,IF(DATOS!$G4462="OR",--(COUNTIFS(nNIA,DATOS!$A4462,nCURSO,DATOS!$D4462,nESPEC,DATOS!$E4462,nASIG,DATOS!$I4462,nEVAL,"EX")=0),0))))</f>
      </c>
      <c r="H4462">
        <f>IF(DATOS!$G4462&lt;&gt;"EX",0,--(COUNTIFS(nNIA,DATOS!$A4462,nCURSO,DATOS!$D4462,nESPEC,DATOS!$E4462,nASIG,DATOS!$I4462,nEVAL,"OR")=0))</f>
      </c>
      <c r="I4462">
        <f>IF(DATOS!$I4462="","",IFERROR(VLOOKUP(DATOS!$I4462,CONFIG_ASIGNATURAS!$B$2:$J$91,9,FALSE()),""))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IF(DATOS!$A4463="",0,IF(CONFIG_METADATA!$B$4&lt;&gt;"OR+EX",--(DATOS!$G4463=CONFIG_METADATA!$B$4),IF(DATOS!$G4463="EX",1,IF(DATOS!$G4463="OR",--(COUNTIFS(nNIA,DATOS!$A4463,nCURSO,DATOS!$D4463,nESPEC,DATOS!$E4463,nASIG,DATOS!$I4463,nEVAL,"EX")=0),0))))</f>
      </c>
      <c r="H4463">
        <f>IF(DATOS!$G4463&lt;&gt;"EX",0,--(COUNTIFS(nNIA,DATOS!$A4463,nCURSO,DATOS!$D4463,nESPEC,DATOS!$E4463,nASIG,DATOS!$I4463,nEVAL,"OR")=0))</f>
      </c>
      <c r="I4463">
        <f>IF(DATOS!$I4463="","",IFERROR(VLOOKUP(DATOS!$I4463,CONFIG_ASIGNATURAS!$B$2:$J$91,9,FALSE()),""))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IF(DATOS!$A4464="",0,IF(CONFIG_METADATA!$B$4&lt;&gt;"OR+EX",--(DATOS!$G4464=CONFIG_METADATA!$B$4),IF(DATOS!$G4464="EX",1,IF(DATOS!$G4464="OR",--(COUNTIFS(nNIA,DATOS!$A4464,nCURSO,DATOS!$D4464,nESPEC,DATOS!$E4464,nASIG,DATOS!$I4464,nEVAL,"EX")=0),0))))</f>
      </c>
      <c r="H4464">
        <f>IF(DATOS!$G4464&lt;&gt;"EX",0,--(COUNTIFS(nNIA,DATOS!$A4464,nCURSO,DATOS!$D4464,nESPEC,DATOS!$E4464,nASIG,DATOS!$I4464,nEVAL,"OR")=0))</f>
      </c>
      <c r="I4464">
        <f>IF(DATOS!$I4464="","",IFERROR(VLOOKUP(DATOS!$I4464,CONFIG_ASIGNATURAS!$B$2:$J$91,9,FALSE()),""))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IF(DATOS!$A4465="",0,IF(CONFIG_METADATA!$B$4&lt;&gt;"OR+EX",--(DATOS!$G4465=CONFIG_METADATA!$B$4),IF(DATOS!$G4465="EX",1,IF(DATOS!$G4465="OR",--(COUNTIFS(nNIA,DATOS!$A4465,nCURSO,DATOS!$D4465,nESPEC,DATOS!$E4465,nASIG,DATOS!$I4465,nEVAL,"EX")=0),0))))</f>
      </c>
      <c r="H4465">
        <f>IF(DATOS!$G4465&lt;&gt;"EX",0,--(COUNTIFS(nNIA,DATOS!$A4465,nCURSO,DATOS!$D4465,nESPEC,DATOS!$E4465,nASIG,DATOS!$I4465,nEVAL,"OR")=0))</f>
      </c>
      <c r="I4465">
        <f>IF(DATOS!$I4465="","",IFERROR(VLOOKUP(DATOS!$I4465,CONFIG_ASIGNATURAS!$B$2:$J$91,9,FALSE()),""))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IF(DATOS!$A4466="",0,IF(CONFIG_METADATA!$B$4&lt;&gt;"OR+EX",--(DATOS!$G4466=CONFIG_METADATA!$B$4),IF(DATOS!$G4466="EX",1,IF(DATOS!$G4466="OR",--(COUNTIFS(nNIA,DATOS!$A4466,nCURSO,DATOS!$D4466,nESPEC,DATOS!$E4466,nASIG,DATOS!$I4466,nEVAL,"EX")=0),0))))</f>
      </c>
      <c r="H4466">
        <f>IF(DATOS!$G4466&lt;&gt;"EX",0,--(COUNTIFS(nNIA,DATOS!$A4466,nCURSO,DATOS!$D4466,nESPEC,DATOS!$E4466,nASIG,DATOS!$I4466,nEVAL,"OR")=0))</f>
      </c>
      <c r="I4466">
        <f>IF(DATOS!$I4466="","",IFERROR(VLOOKUP(DATOS!$I4466,CONFIG_ASIGNATURAS!$B$2:$J$91,9,FALSE()),""))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IF(DATOS!$A4467="",0,IF(CONFIG_METADATA!$B$4&lt;&gt;"OR+EX",--(DATOS!$G4467=CONFIG_METADATA!$B$4),IF(DATOS!$G4467="EX",1,IF(DATOS!$G4467="OR",--(COUNTIFS(nNIA,DATOS!$A4467,nCURSO,DATOS!$D4467,nESPEC,DATOS!$E4467,nASIG,DATOS!$I4467,nEVAL,"EX")=0),0))))</f>
      </c>
      <c r="H4467">
        <f>IF(DATOS!$G4467&lt;&gt;"EX",0,--(COUNTIFS(nNIA,DATOS!$A4467,nCURSO,DATOS!$D4467,nESPEC,DATOS!$E4467,nASIG,DATOS!$I4467,nEVAL,"OR")=0))</f>
      </c>
      <c r="I4467">
        <f>IF(DATOS!$I4467="","",IFERROR(VLOOKUP(DATOS!$I4467,CONFIG_ASIGNATURAS!$B$2:$J$91,9,FALSE()),""))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IF(DATOS!$A4468="",0,IF(CONFIG_METADATA!$B$4&lt;&gt;"OR+EX",--(DATOS!$G4468=CONFIG_METADATA!$B$4),IF(DATOS!$G4468="EX",1,IF(DATOS!$G4468="OR",--(COUNTIFS(nNIA,DATOS!$A4468,nCURSO,DATOS!$D4468,nESPEC,DATOS!$E4468,nASIG,DATOS!$I4468,nEVAL,"EX")=0),0))))</f>
      </c>
      <c r="H4468">
        <f>IF(DATOS!$G4468&lt;&gt;"EX",0,--(COUNTIFS(nNIA,DATOS!$A4468,nCURSO,DATOS!$D4468,nESPEC,DATOS!$E4468,nASIG,DATOS!$I4468,nEVAL,"OR")=0))</f>
      </c>
      <c r="I4468">
        <f>IF(DATOS!$I4468="","",IFERROR(VLOOKUP(DATOS!$I4468,CONFIG_ASIGNATURAS!$B$2:$J$91,9,FALSE()),""))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IF(DATOS!$A4469="",0,IF(CONFIG_METADATA!$B$4&lt;&gt;"OR+EX",--(DATOS!$G4469=CONFIG_METADATA!$B$4),IF(DATOS!$G4469="EX",1,IF(DATOS!$G4469="OR",--(COUNTIFS(nNIA,DATOS!$A4469,nCURSO,DATOS!$D4469,nESPEC,DATOS!$E4469,nASIG,DATOS!$I4469,nEVAL,"EX")=0),0))))</f>
      </c>
      <c r="H4469">
        <f>IF(DATOS!$G4469&lt;&gt;"EX",0,--(COUNTIFS(nNIA,DATOS!$A4469,nCURSO,DATOS!$D4469,nESPEC,DATOS!$E4469,nASIG,DATOS!$I4469,nEVAL,"OR")=0))</f>
      </c>
      <c r="I4469">
        <f>IF(DATOS!$I4469="","",IFERROR(VLOOKUP(DATOS!$I4469,CONFIG_ASIGNATURAS!$B$2:$J$91,9,FALSE()),""))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IF(DATOS!$A4470="",0,IF(CONFIG_METADATA!$B$4&lt;&gt;"OR+EX",--(DATOS!$G4470=CONFIG_METADATA!$B$4),IF(DATOS!$G4470="EX",1,IF(DATOS!$G4470="OR",--(COUNTIFS(nNIA,DATOS!$A4470,nCURSO,DATOS!$D4470,nESPEC,DATOS!$E4470,nASIG,DATOS!$I4470,nEVAL,"EX")=0),0))))</f>
      </c>
      <c r="H4470">
        <f>IF(DATOS!$G4470&lt;&gt;"EX",0,--(COUNTIFS(nNIA,DATOS!$A4470,nCURSO,DATOS!$D4470,nESPEC,DATOS!$E4470,nASIG,DATOS!$I4470,nEVAL,"OR")=0))</f>
      </c>
      <c r="I4470">
        <f>IF(DATOS!$I4470="","",IFERROR(VLOOKUP(DATOS!$I4470,CONFIG_ASIGNATURAS!$B$2:$J$91,9,FALSE()),""))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IF(DATOS!$A4471="",0,IF(CONFIG_METADATA!$B$4&lt;&gt;"OR+EX",--(DATOS!$G4471=CONFIG_METADATA!$B$4),IF(DATOS!$G4471="EX",1,IF(DATOS!$G4471="OR",--(COUNTIFS(nNIA,DATOS!$A4471,nCURSO,DATOS!$D4471,nESPEC,DATOS!$E4471,nASIG,DATOS!$I4471,nEVAL,"EX")=0),0))))</f>
      </c>
      <c r="H4471">
        <f>IF(DATOS!$G4471&lt;&gt;"EX",0,--(COUNTIFS(nNIA,DATOS!$A4471,nCURSO,DATOS!$D4471,nESPEC,DATOS!$E4471,nASIG,DATOS!$I4471,nEVAL,"OR")=0))</f>
      </c>
      <c r="I4471">
        <f>IF(DATOS!$I4471="","",IFERROR(VLOOKUP(DATOS!$I4471,CONFIG_ASIGNATURAS!$B$2:$J$91,9,FALSE()),""))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IF(DATOS!$A4472="",0,IF(CONFIG_METADATA!$B$4&lt;&gt;"OR+EX",--(DATOS!$G4472=CONFIG_METADATA!$B$4),IF(DATOS!$G4472="EX",1,IF(DATOS!$G4472="OR",--(COUNTIFS(nNIA,DATOS!$A4472,nCURSO,DATOS!$D4472,nESPEC,DATOS!$E4472,nASIG,DATOS!$I4472,nEVAL,"EX")=0),0))))</f>
      </c>
      <c r="H4472">
        <f>IF(DATOS!$G4472&lt;&gt;"EX",0,--(COUNTIFS(nNIA,DATOS!$A4472,nCURSO,DATOS!$D4472,nESPEC,DATOS!$E4472,nASIG,DATOS!$I4472,nEVAL,"OR")=0))</f>
      </c>
      <c r="I4472">
        <f>IF(DATOS!$I4472="","",IFERROR(VLOOKUP(DATOS!$I4472,CONFIG_ASIGNATURAS!$B$2:$J$91,9,FALSE()),""))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IF(DATOS!$A4473="",0,IF(CONFIG_METADATA!$B$4&lt;&gt;"OR+EX",--(DATOS!$G4473=CONFIG_METADATA!$B$4),IF(DATOS!$G4473="EX",1,IF(DATOS!$G4473="OR",--(COUNTIFS(nNIA,DATOS!$A4473,nCURSO,DATOS!$D4473,nESPEC,DATOS!$E4473,nASIG,DATOS!$I4473,nEVAL,"EX")=0),0))))</f>
      </c>
      <c r="H4473">
        <f>IF(DATOS!$G4473&lt;&gt;"EX",0,--(COUNTIFS(nNIA,DATOS!$A4473,nCURSO,DATOS!$D4473,nESPEC,DATOS!$E4473,nASIG,DATOS!$I4473,nEVAL,"OR")=0))</f>
      </c>
      <c r="I4473">
        <f>IF(DATOS!$I4473="","",IFERROR(VLOOKUP(DATOS!$I4473,CONFIG_ASIGNATURAS!$B$2:$J$91,9,FALSE()),""))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IF(DATOS!$A4474="",0,IF(CONFIG_METADATA!$B$4&lt;&gt;"OR+EX",--(DATOS!$G4474=CONFIG_METADATA!$B$4),IF(DATOS!$G4474="EX",1,IF(DATOS!$G4474="OR",--(COUNTIFS(nNIA,DATOS!$A4474,nCURSO,DATOS!$D4474,nESPEC,DATOS!$E4474,nASIG,DATOS!$I4474,nEVAL,"EX")=0),0))))</f>
      </c>
      <c r="H4474">
        <f>IF(DATOS!$G4474&lt;&gt;"EX",0,--(COUNTIFS(nNIA,DATOS!$A4474,nCURSO,DATOS!$D4474,nESPEC,DATOS!$E4474,nASIG,DATOS!$I4474,nEVAL,"OR")=0))</f>
      </c>
      <c r="I4474">
        <f>IF(DATOS!$I4474="","",IFERROR(VLOOKUP(DATOS!$I4474,CONFIG_ASIGNATURAS!$B$2:$J$91,9,FALSE()),""))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IF(DATOS!$A4475="",0,IF(CONFIG_METADATA!$B$4&lt;&gt;"OR+EX",--(DATOS!$G4475=CONFIG_METADATA!$B$4),IF(DATOS!$G4475="EX",1,IF(DATOS!$G4475="OR",--(COUNTIFS(nNIA,DATOS!$A4475,nCURSO,DATOS!$D4475,nESPEC,DATOS!$E4475,nASIG,DATOS!$I4475,nEVAL,"EX")=0),0))))</f>
      </c>
      <c r="H4475">
        <f>IF(DATOS!$G4475&lt;&gt;"EX",0,--(COUNTIFS(nNIA,DATOS!$A4475,nCURSO,DATOS!$D4475,nESPEC,DATOS!$E4475,nASIG,DATOS!$I4475,nEVAL,"OR")=0))</f>
      </c>
      <c r="I4475">
        <f>IF(DATOS!$I4475="","",IFERROR(VLOOKUP(DATOS!$I4475,CONFIG_ASIGNATURAS!$B$2:$J$91,9,FALSE()),""))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IF(DATOS!$A4476="",0,IF(CONFIG_METADATA!$B$4&lt;&gt;"OR+EX",--(DATOS!$G4476=CONFIG_METADATA!$B$4),IF(DATOS!$G4476="EX",1,IF(DATOS!$G4476="OR",--(COUNTIFS(nNIA,DATOS!$A4476,nCURSO,DATOS!$D4476,nESPEC,DATOS!$E4476,nASIG,DATOS!$I4476,nEVAL,"EX")=0),0))))</f>
      </c>
      <c r="H4476">
        <f>IF(DATOS!$G4476&lt;&gt;"EX",0,--(COUNTIFS(nNIA,DATOS!$A4476,nCURSO,DATOS!$D4476,nESPEC,DATOS!$E4476,nASIG,DATOS!$I4476,nEVAL,"OR")=0))</f>
      </c>
      <c r="I4476">
        <f>IF(DATOS!$I4476="","",IFERROR(VLOOKUP(DATOS!$I4476,CONFIG_ASIGNATURAS!$B$2:$J$91,9,FALSE()),""))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IF(DATOS!$A4477="",0,IF(CONFIG_METADATA!$B$4&lt;&gt;"OR+EX",--(DATOS!$G4477=CONFIG_METADATA!$B$4),IF(DATOS!$G4477="EX",1,IF(DATOS!$G4477="OR",--(COUNTIFS(nNIA,DATOS!$A4477,nCURSO,DATOS!$D4477,nESPEC,DATOS!$E4477,nASIG,DATOS!$I4477,nEVAL,"EX")=0),0))))</f>
      </c>
      <c r="H4477">
        <f>IF(DATOS!$G4477&lt;&gt;"EX",0,--(COUNTIFS(nNIA,DATOS!$A4477,nCURSO,DATOS!$D4477,nESPEC,DATOS!$E4477,nASIG,DATOS!$I4477,nEVAL,"OR")=0))</f>
      </c>
      <c r="I4477">
        <f>IF(DATOS!$I4477="","",IFERROR(VLOOKUP(DATOS!$I4477,CONFIG_ASIGNATURAS!$B$2:$J$91,9,FALSE()),""))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IF(DATOS!$A4478="",0,IF(CONFIG_METADATA!$B$4&lt;&gt;"OR+EX",--(DATOS!$G4478=CONFIG_METADATA!$B$4),IF(DATOS!$G4478="EX",1,IF(DATOS!$G4478="OR",--(COUNTIFS(nNIA,DATOS!$A4478,nCURSO,DATOS!$D4478,nESPEC,DATOS!$E4478,nASIG,DATOS!$I4478,nEVAL,"EX")=0),0))))</f>
      </c>
      <c r="H4478">
        <f>IF(DATOS!$G4478&lt;&gt;"EX",0,--(COUNTIFS(nNIA,DATOS!$A4478,nCURSO,DATOS!$D4478,nESPEC,DATOS!$E4478,nASIG,DATOS!$I4478,nEVAL,"OR")=0))</f>
      </c>
      <c r="I4478">
        <f>IF(DATOS!$I4478="","",IFERROR(VLOOKUP(DATOS!$I4478,CONFIG_ASIGNATURAS!$B$2:$J$91,9,FALSE()),""))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IF(DATOS!$A4479="",0,IF(CONFIG_METADATA!$B$4&lt;&gt;"OR+EX",--(DATOS!$G4479=CONFIG_METADATA!$B$4),IF(DATOS!$G4479="EX",1,IF(DATOS!$G4479="OR",--(COUNTIFS(nNIA,DATOS!$A4479,nCURSO,DATOS!$D4479,nESPEC,DATOS!$E4479,nASIG,DATOS!$I4479,nEVAL,"EX")=0),0))))</f>
      </c>
      <c r="H4479">
        <f>IF(DATOS!$G4479&lt;&gt;"EX",0,--(COUNTIFS(nNIA,DATOS!$A4479,nCURSO,DATOS!$D4479,nESPEC,DATOS!$E4479,nASIG,DATOS!$I4479,nEVAL,"OR")=0))</f>
      </c>
      <c r="I4479">
        <f>IF(DATOS!$I4479="","",IFERROR(VLOOKUP(DATOS!$I4479,CONFIG_ASIGNATURAS!$B$2:$J$91,9,FALSE()),""))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IF(DATOS!$A4480="",0,IF(CONFIG_METADATA!$B$4&lt;&gt;"OR+EX",--(DATOS!$G4480=CONFIG_METADATA!$B$4),IF(DATOS!$G4480="EX",1,IF(DATOS!$G4480="OR",--(COUNTIFS(nNIA,DATOS!$A4480,nCURSO,DATOS!$D4480,nESPEC,DATOS!$E4480,nASIG,DATOS!$I4480,nEVAL,"EX")=0),0))))</f>
      </c>
      <c r="H4480">
        <f>IF(DATOS!$G4480&lt;&gt;"EX",0,--(COUNTIFS(nNIA,DATOS!$A4480,nCURSO,DATOS!$D4480,nESPEC,DATOS!$E4480,nASIG,DATOS!$I4480,nEVAL,"OR")=0))</f>
      </c>
      <c r="I4480">
        <f>IF(DATOS!$I4480="","",IFERROR(VLOOKUP(DATOS!$I4480,CONFIG_ASIGNATURAS!$B$2:$J$91,9,FALSE()),""))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IF(DATOS!$A4481="",0,IF(CONFIG_METADATA!$B$4&lt;&gt;"OR+EX",--(DATOS!$G4481=CONFIG_METADATA!$B$4),IF(DATOS!$G4481="EX",1,IF(DATOS!$G4481="OR",--(COUNTIFS(nNIA,DATOS!$A4481,nCURSO,DATOS!$D4481,nESPEC,DATOS!$E4481,nASIG,DATOS!$I4481,nEVAL,"EX")=0),0))))</f>
      </c>
      <c r="H4481">
        <f>IF(DATOS!$G4481&lt;&gt;"EX",0,--(COUNTIFS(nNIA,DATOS!$A4481,nCURSO,DATOS!$D4481,nESPEC,DATOS!$E4481,nASIG,DATOS!$I4481,nEVAL,"OR")=0))</f>
      </c>
      <c r="I4481">
        <f>IF(DATOS!$I4481="","",IFERROR(VLOOKUP(DATOS!$I4481,CONFIG_ASIGNATURAS!$B$2:$J$91,9,FALSE()),""))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IF(DATOS!$A4482="",0,IF(CONFIG_METADATA!$B$4&lt;&gt;"OR+EX",--(DATOS!$G4482=CONFIG_METADATA!$B$4),IF(DATOS!$G4482="EX",1,IF(DATOS!$G4482="OR",--(COUNTIFS(nNIA,DATOS!$A4482,nCURSO,DATOS!$D4482,nESPEC,DATOS!$E4482,nASIG,DATOS!$I4482,nEVAL,"EX")=0),0))))</f>
      </c>
      <c r="H4482">
        <f>IF(DATOS!$G4482&lt;&gt;"EX",0,--(COUNTIFS(nNIA,DATOS!$A4482,nCURSO,DATOS!$D4482,nESPEC,DATOS!$E4482,nASIG,DATOS!$I4482,nEVAL,"OR")=0))</f>
      </c>
      <c r="I4482">
        <f>IF(DATOS!$I4482="","",IFERROR(VLOOKUP(DATOS!$I4482,CONFIG_ASIGNATURAS!$B$2:$J$91,9,FALSE()),""))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IF(DATOS!$A4483="",0,IF(CONFIG_METADATA!$B$4&lt;&gt;"OR+EX",--(DATOS!$G4483=CONFIG_METADATA!$B$4),IF(DATOS!$G4483="EX",1,IF(DATOS!$G4483="OR",--(COUNTIFS(nNIA,DATOS!$A4483,nCURSO,DATOS!$D4483,nESPEC,DATOS!$E4483,nASIG,DATOS!$I4483,nEVAL,"EX")=0),0))))</f>
      </c>
      <c r="H4483">
        <f>IF(DATOS!$G4483&lt;&gt;"EX",0,--(COUNTIFS(nNIA,DATOS!$A4483,nCURSO,DATOS!$D4483,nESPEC,DATOS!$E4483,nASIG,DATOS!$I4483,nEVAL,"OR")=0))</f>
      </c>
      <c r="I4483">
        <f>IF(DATOS!$I4483="","",IFERROR(VLOOKUP(DATOS!$I4483,CONFIG_ASIGNATURAS!$B$2:$J$91,9,FALSE()),""))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IF(DATOS!$A4484="",0,IF(CONFIG_METADATA!$B$4&lt;&gt;"OR+EX",--(DATOS!$G4484=CONFIG_METADATA!$B$4),IF(DATOS!$G4484="EX",1,IF(DATOS!$G4484="OR",--(COUNTIFS(nNIA,DATOS!$A4484,nCURSO,DATOS!$D4484,nESPEC,DATOS!$E4484,nASIG,DATOS!$I4484,nEVAL,"EX")=0),0))))</f>
      </c>
      <c r="H4484">
        <f>IF(DATOS!$G4484&lt;&gt;"EX",0,--(COUNTIFS(nNIA,DATOS!$A4484,nCURSO,DATOS!$D4484,nESPEC,DATOS!$E4484,nASIG,DATOS!$I4484,nEVAL,"OR")=0))</f>
      </c>
      <c r="I4484">
        <f>IF(DATOS!$I4484="","",IFERROR(VLOOKUP(DATOS!$I4484,CONFIG_ASIGNATURAS!$B$2:$J$91,9,FALSE()),""))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IF(DATOS!$A4485="",0,IF(CONFIG_METADATA!$B$4&lt;&gt;"OR+EX",--(DATOS!$G4485=CONFIG_METADATA!$B$4),IF(DATOS!$G4485="EX",1,IF(DATOS!$G4485="OR",--(COUNTIFS(nNIA,DATOS!$A4485,nCURSO,DATOS!$D4485,nESPEC,DATOS!$E4485,nASIG,DATOS!$I4485,nEVAL,"EX")=0),0))))</f>
      </c>
      <c r="H4485">
        <f>IF(DATOS!$G4485&lt;&gt;"EX",0,--(COUNTIFS(nNIA,DATOS!$A4485,nCURSO,DATOS!$D4485,nESPEC,DATOS!$E4485,nASIG,DATOS!$I4485,nEVAL,"OR")=0))</f>
      </c>
      <c r="I4485">
        <f>IF(DATOS!$I4485="","",IFERROR(VLOOKUP(DATOS!$I4485,CONFIG_ASIGNATURAS!$B$2:$J$91,9,FALSE()),""))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IF(DATOS!$A4486="",0,IF(CONFIG_METADATA!$B$4&lt;&gt;"OR+EX",--(DATOS!$G4486=CONFIG_METADATA!$B$4),IF(DATOS!$G4486="EX",1,IF(DATOS!$G4486="OR",--(COUNTIFS(nNIA,DATOS!$A4486,nCURSO,DATOS!$D4486,nESPEC,DATOS!$E4486,nASIG,DATOS!$I4486,nEVAL,"EX")=0),0))))</f>
      </c>
      <c r="H4486">
        <f>IF(DATOS!$G4486&lt;&gt;"EX",0,--(COUNTIFS(nNIA,DATOS!$A4486,nCURSO,DATOS!$D4486,nESPEC,DATOS!$E4486,nASIG,DATOS!$I4486,nEVAL,"OR")=0))</f>
      </c>
      <c r="I4486">
        <f>IF(DATOS!$I4486="","",IFERROR(VLOOKUP(DATOS!$I4486,CONFIG_ASIGNATURAS!$B$2:$J$91,9,FALSE()),""))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IF(DATOS!$A4487="",0,IF(CONFIG_METADATA!$B$4&lt;&gt;"OR+EX",--(DATOS!$G4487=CONFIG_METADATA!$B$4),IF(DATOS!$G4487="EX",1,IF(DATOS!$G4487="OR",--(COUNTIFS(nNIA,DATOS!$A4487,nCURSO,DATOS!$D4487,nESPEC,DATOS!$E4487,nASIG,DATOS!$I4487,nEVAL,"EX")=0),0))))</f>
      </c>
      <c r="H4487">
        <f>IF(DATOS!$G4487&lt;&gt;"EX",0,--(COUNTIFS(nNIA,DATOS!$A4487,nCURSO,DATOS!$D4487,nESPEC,DATOS!$E4487,nASIG,DATOS!$I4487,nEVAL,"OR")=0))</f>
      </c>
      <c r="I4487">
        <f>IF(DATOS!$I4487="","",IFERROR(VLOOKUP(DATOS!$I4487,CONFIG_ASIGNATURAS!$B$2:$J$91,9,FALSE()),""))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IF(DATOS!$A4488="",0,IF(CONFIG_METADATA!$B$4&lt;&gt;"OR+EX",--(DATOS!$G4488=CONFIG_METADATA!$B$4),IF(DATOS!$G4488="EX",1,IF(DATOS!$G4488="OR",--(COUNTIFS(nNIA,DATOS!$A4488,nCURSO,DATOS!$D4488,nESPEC,DATOS!$E4488,nASIG,DATOS!$I4488,nEVAL,"EX")=0),0))))</f>
      </c>
      <c r="H4488">
        <f>IF(DATOS!$G4488&lt;&gt;"EX",0,--(COUNTIFS(nNIA,DATOS!$A4488,nCURSO,DATOS!$D4488,nESPEC,DATOS!$E4488,nASIG,DATOS!$I4488,nEVAL,"OR")=0))</f>
      </c>
      <c r="I4488">
        <f>IF(DATOS!$I4488="","",IFERROR(VLOOKUP(DATOS!$I4488,CONFIG_ASIGNATURAS!$B$2:$J$91,9,FALSE()),""))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IF(DATOS!$A4489="",0,IF(CONFIG_METADATA!$B$4&lt;&gt;"OR+EX",--(DATOS!$G4489=CONFIG_METADATA!$B$4),IF(DATOS!$G4489="EX",1,IF(DATOS!$G4489="OR",--(COUNTIFS(nNIA,DATOS!$A4489,nCURSO,DATOS!$D4489,nESPEC,DATOS!$E4489,nASIG,DATOS!$I4489,nEVAL,"EX")=0),0))))</f>
      </c>
      <c r="H4489">
        <f>IF(DATOS!$G4489&lt;&gt;"EX",0,--(COUNTIFS(nNIA,DATOS!$A4489,nCURSO,DATOS!$D4489,nESPEC,DATOS!$E4489,nASIG,DATOS!$I4489,nEVAL,"OR")=0))</f>
      </c>
      <c r="I4489">
        <f>IF(DATOS!$I4489="","",IFERROR(VLOOKUP(DATOS!$I4489,CONFIG_ASIGNATURAS!$B$2:$J$91,9,FALSE()),""))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IF(DATOS!$A4490="",0,IF(CONFIG_METADATA!$B$4&lt;&gt;"OR+EX",--(DATOS!$G4490=CONFIG_METADATA!$B$4),IF(DATOS!$G4490="EX",1,IF(DATOS!$G4490="OR",--(COUNTIFS(nNIA,DATOS!$A4490,nCURSO,DATOS!$D4490,nESPEC,DATOS!$E4490,nASIG,DATOS!$I4490,nEVAL,"EX")=0),0))))</f>
      </c>
      <c r="H4490">
        <f>IF(DATOS!$G4490&lt;&gt;"EX",0,--(COUNTIFS(nNIA,DATOS!$A4490,nCURSO,DATOS!$D4490,nESPEC,DATOS!$E4490,nASIG,DATOS!$I4490,nEVAL,"OR")=0))</f>
      </c>
      <c r="I4490">
        <f>IF(DATOS!$I4490="","",IFERROR(VLOOKUP(DATOS!$I4490,CONFIG_ASIGNATURAS!$B$2:$J$91,9,FALSE()),""))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IF(DATOS!$A4491="",0,IF(CONFIG_METADATA!$B$4&lt;&gt;"OR+EX",--(DATOS!$G4491=CONFIG_METADATA!$B$4),IF(DATOS!$G4491="EX",1,IF(DATOS!$G4491="OR",--(COUNTIFS(nNIA,DATOS!$A4491,nCURSO,DATOS!$D4491,nESPEC,DATOS!$E4491,nASIG,DATOS!$I4491,nEVAL,"EX")=0),0))))</f>
      </c>
      <c r="H4491">
        <f>IF(DATOS!$G4491&lt;&gt;"EX",0,--(COUNTIFS(nNIA,DATOS!$A4491,nCURSO,DATOS!$D4491,nESPEC,DATOS!$E4491,nASIG,DATOS!$I4491,nEVAL,"OR")=0))</f>
      </c>
      <c r="I4491">
        <f>IF(DATOS!$I4491="","",IFERROR(VLOOKUP(DATOS!$I4491,CONFIG_ASIGNATURAS!$B$2:$J$91,9,FALSE()),""))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IF(DATOS!$A4492="",0,IF(CONFIG_METADATA!$B$4&lt;&gt;"OR+EX",--(DATOS!$G4492=CONFIG_METADATA!$B$4),IF(DATOS!$G4492="EX",1,IF(DATOS!$G4492="OR",--(COUNTIFS(nNIA,DATOS!$A4492,nCURSO,DATOS!$D4492,nESPEC,DATOS!$E4492,nASIG,DATOS!$I4492,nEVAL,"EX")=0),0))))</f>
      </c>
      <c r="H4492">
        <f>IF(DATOS!$G4492&lt;&gt;"EX",0,--(COUNTIFS(nNIA,DATOS!$A4492,nCURSO,DATOS!$D4492,nESPEC,DATOS!$E4492,nASIG,DATOS!$I4492,nEVAL,"OR")=0))</f>
      </c>
      <c r="I4492">
        <f>IF(DATOS!$I4492="","",IFERROR(VLOOKUP(DATOS!$I4492,CONFIG_ASIGNATURAS!$B$2:$J$91,9,FALSE()),""))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IF(DATOS!$A4493="",0,IF(CONFIG_METADATA!$B$4&lt;&gt;"OR+EX",--(DATOS!$G4493=CONFIG_METADATA!$B$4),IF(DATOS!$G4493="EX",1,IF(DATOS!$G4493="OR",--(COUNTIFS(nNIA,DATOS!$A4493,nCURSO,DATOS!$D4493,nESPEC,DATOS!$E4493,nASIG,DATOS!$I4493,nEVAL,"EX")=0),0))))</f>
      </c>
      <c r="H4493">
        <f>IF(DATOS!$G4493&lt;&gt;"EX",0,--(COUNTIFS(nNIA,DATOS!$A4493,nCURSO,DATOS!$D4493,nESPEC,DATOS!$E4493,nASIG,DATOS!$I4493,nEVAL,"OR")=0))</f>
      </c>
      <c r="I4493">
        <f>IF(DATOS!$I4493="","",IFERROR(VLOOKUP(DATOS!$I4493,CONFIG_ASIGNATURAS!$B$2:$J$91,9,FALSE()),""))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IF(DATOS!$A4494="",0,IF(CONFIG_METADATA!$B$4&lt;&gt;"OR+EX",--(DATOS!$G4494=CONFIG_METADATA!$B$4),IF(DATOS!$G4494="EX",1,IF(DATOS!$G4494="OR",--(COUNTIFS(nNIA,DATOS!$A4494,nCURSO,DATOS!$D4494,nESPEC,DATOS!$E4494,nASIG,DATOS!$I4494,nEVAL,"EX")=0),0))))</f>
      </c>
      <c r="H4494">
        <f>IF(DATOS!$G4494&lt;&gt;"EX",0,--(COUNTIFS(nNIA,DATOS!$A4494,nCURSO,DATOS!$D4494,nESPEC,DATOS!$E4494,nASIG,DATOS!$I4494,nEVAL,"OR")=0))</f>
      </c>
      <c r="I4494">
        <f>IF(DATOS!$I4494="","",IFERROR(VLOOKUP(DATOS!$I4494,CONFIG_ASIGNATURAS!$B$2:$J$91,9,FALSE()),""))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IF(DATOS!$A4495="",0,IF(CONFIG_METADATA!$B$4&lt;&gt;"OR+EX",--(DATOS!$G4495=CONFIG_METADATA!$B$4),IF(DATOS!$G4495="EX",1,IF(DATOS!$G4495="OR",--(COUNTIFS(nNIA,DATOS!$A4495,nCURSO,DATOS!$D4495,nESPEC,DATOS!$E4495,nASIG,DATOS!$I4495,nEVAL,"EX")=0),0))))</f>
      </c>
      <c r="H4495">
        <f>IF(DATOS!$G4495&lt;&gt;"EX",0,--(COUNTIFS(nNIA,DATOS!$A4495,nCURSO,DATOS!$D4495,nESPEC,DATOS!$E4495,nASIG,DATOS!$I4495,nEVAL,"OR")=0))</f>
      </c>
      <c r="I4495">
        <f>IF(DATOS!$I4495="","",IFERROR(VLOOKUP(DATOS!$I4495,CONFIG_ASIGNATURAS!$B$2:$J$91,9,FALSE()),""))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IF(DATOS!$A4496="",0,IF(CONFIG_METADATA!$B$4&lt;&gt;"OR+EX",--(DATOS!$G4496=CONFIG_METADATA!$B$4),IF(DATOS!$G4496="EX",1,IF(DATOS!$G4496="OR",--(COUNTIFS(nNIA,DATOS!$A4496,nCURSO,DATOS!$D4496,nESPEC,DATOS!$E4496,nASIG,DATOS!$I4496,nEVAL,"EX")=0),0))))</f>
      </c>
      <c r="H4496">
        <f>IF(DATOS!$G4496&lt;&gt;"EX",0,--(COUNTIFS(nNIA,DATOS!$A4496,nCURSO,DATOS!$D4496,nESPEC,DATOS!$E4496,nASIG,DATOS!$I4496,nEVAL,"OR")=0))</f>
      </c>
      <c r="I4496">
        <f>IF(DATOS!$I4496="","",IFERROR(VLOOKUP(DATOS!$I4496,CONFIG_ASIGNATURAS!$B$2:$J$91,9,FALSE()),""))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IF(DATOS!$A4497="",0,IF(CONFIG_METADATA!$B$4&lt;&gt;"OR+EX",--(DATOS!$G4497=CONFIG_METADATA!$B$4),IF(DATOS!$G4497="EX",1,IF(DATOS!$G4497="OR",--(COUNTIFS(nNIA,DATOS!$A4497,nCURSO,DATOS!$D4497,nESPEC,DATOS!$E4497,nASIG,DATOS!$I4497,nEVAL,"EX")=0),0))))</f>
      </c>
      <c r="H4497">
        <f>IF(DATOS!$G4497&lt;&gt;"EX",0,--(COUNTIFS(nNIA,DATOS!$A4497,nCURSO,DATOS!$D4497,nESPEC,DATOS!$E4497,nASIG,DATOS!$I4497,nEVAL,"OR")=0))</f>
      </c>
      <c r="I4497">
        <f>IF(DATOS!$I4497="","",IFERROR(VLOOKUP(DATOS!$I4497,CONFIG_ASIGNATURAS!$B$2:$J$91,9,FALSE()),""))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IF(DATOS!$A4498="",0,IF(CONFIG_METADATA!$B$4&lt;&gt;"OR+EX",--(DATOS!$G4498=CONFIG_METADATA!$B$4),IF(DATOS!$G4498="EX",1,IF(DATOS!$G4498="OR",--(COUNTIFS(nNIA,DATOS!$A4498,nCURSO,DATOS!$D4498,nESPEC,DATOS!$E4498,nASIG,DATOS!$I4498,nEVAL,"EX")=0),0))))</f>
      </c>
      <c r="H4498">
        <f>IF(DATOS!$G4498&lt;&gt;"EX",0,--(COUNTIFS(nNIA,DATOS!$A4498,nCURSO,DATOS!$D4498,nESPEC,DATOS!$E4498,nASIG,DATOS!$I4498,nEVAL,"OR")=0))</f>
      </c>
      <c r="I4498">
        <f>IF(DATOS!$I4498="","",IFERROR(VLOOKUP(DATOS!$I4498,CONFIG_ASIGNATURAS!$B$2:$J$91,9,FALSE()),""))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IF(DATOS!$A4499="",0,IF(CONFIG_METADATA!$B$4&lt;&gt;"OR+EX",--(DATOS!$G4499=CONFIG_METADATA!$B$4),IF(DATOS!$G4499="EX",1,IF(DATOS!$G4499="OR",--(COUNTIFS(nNIA,DATOS!$A4499,nCURSO,DATOS!$D4499,nESPEC,DATOS!$E4499,nASIG,DATOS!$I4499,nEVAL,"EX")=0),0))))</f>
      </c>
      <c r="H4499">
        <f>IF(DATOS!$G4499&lt;&gt;"EX",0,--(COUNTIFS(nNIA,DATOS!$A4499,nCURSO,DATOS!$D4499,nESPEC,DATOS!$E4499,nASIG,DATOS!$I4499,nEVAL,"OR")=0))</f>
      </c>
      <c r="I4499">
        <f>IF(DATOS!$I4499="","",IFERROR(VLOOKUP(DATOS!$I4499,CONFIG_ASIGNATURAS!$B$2:$J$91,9,FALSE()),""))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IF(DATOS!$A4500="",0,IF(CONFIG_METADATA!$B$4&lt;&gt;"OR+EX",--(DATOS!$G4500=CONFIG_METADATA!$B$4),IF(DATOS!$G4500="EX",1,IF(DATOS!$G4500="OR",--(COUNTIFS(nNIA,DATOS!$A4500,nCURSO,DATOS!$D4500,nESPEC,DATOS!$E4500,nASIG,DATOS!$I4500,nEVAL,"EX")=0),0))))</f>
      </c>
      <c r="H4500">
        <f>IF(DATOS!$G4500&lt;&gt;"EX",0,--(COUNTIFS(nNIA,DATOS!$A4500,nCURSO,DATOS!$D4500,nESPEC,DATOS!$E4500,nASIG,DATOS!$I4500,nEVAL,"OR")=0))</f>
      </c>
      <c r="I4500">
        <f>IF(DATOS!$I4500="","",IFERROR(VLOOKUP(DATOS!$I4500,CONFIG_ASIGNATURAS!$B$2:$J$91,9,FALSE()),""))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IF(DATOS!$A4501="",0,IF(CONFIG_METADATA!$B$4&lt;&gt;"OR+EX",--(DATOS!$G4501=CONFIG_METADATA!$B$4),IF(DATOS!$G4501="EX",1,IF(DATOS!$G4501="OR",--(COUNTIFS(nNIA,DATOS!$A4501,nCURSO,DATOS!$D4501,nESPEC,DATOS!$E4501,nASIG,DATOS!$I4501,nEVAL,"EX")=0),0))))</f>
      </c>
      <c r="H4501">
        <f>IF(DATOS!$G4501&lt;&gt;"EX",0,--(COUNTIFS(nNIA,DATOS!$A4501,nCURSO,DATOS!$D4501,nESPEC,DATOS!$E4501,nASIG,DATOS!$I4501,nEVAL,"OR")=0))</f>
      </c>
      <c r="I4501">
        <f>IF(DATOS!$I4501="","",IFERROR(VLOOKUP(DATOS!$I4501,CONFIG_ASIGNATURAS!$B$2:$J$91,9,FALSE()),""))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IF(DATOS!$A4502="",0,IF(CONFIG_METADATA!$B$4&lt;&gt;"OR+EX",--(DATOS!$G4502=CONFIG_METADATA!$B$4),IF(DATOS!$G4502="EX",1,IF(DATOS!$G4502="OR",--(COUNTIFS(nNIA,DATOS!$A4502,nCURSO,DATOS!$D4502,nESPEC,DATOS!$E4502,nASIG,DATOS!$I4502,nEVAL,"EX")=0),0))))</f>
      </c>
      <c r="H4502">
        <f>IF(DATOS!$G4502&lt;&gt;"EX",0,--(COUNTIFS(nNIA,DATOS!$A4502,nCURSO,DATOS!$D4502,nESPEC,DATOS!$E4502,nASIG,DATOS!$I4502,nEVAL,"OR")=0))</f>
      </c>
      <c r="I4502">
        <f>IF(DATOS!$I4502="","",IFERROR(VLOOKUP(DATOS!$I4502,CONFIG_ASIGNATURAS!$B$2:$J$91,9,FALSE()),""))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IF(DATOS!$A4503="",0,IF(CONFIG_METADATA!$B$4&lt;&gt;"OR+EX",--(DATOS!$G4503=CONFIG_METADATA!$B$4),IF(DATOS!$G4503="EX",1,IF(DATOS!$G4503="OR",--(COUNTIFS(nNIA,DATOS!$A4503,nCURSO,DATOS!$D4503,nESPEC,DATOS!$E4503,nASIG,DATOS!$I4503,nEVAL,"EX")=0),0))))</f>
      </c>
      <c r="H4503">
        <f>IF(DATOS!$G4503&lt;&gt;"EX",0,--(COUNTIFS(nNIA,DATOS!$A4503,nCURSO,DATOS!$D4503,nESPEC,DATOS!$E4503,nASIG,DATOS!$I4503,nEVAL,"OR")=0))</f>
      </c>
      <c r="I4503">
        <f>IF(DATOS!$I4503="","",IFERROR(VLOOKUP(DATOS!$I4503,CONFIG_ASIGNATURAS!$B$2:$J$91,9,FALSE()),""))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IF(DATOS!$A4504="",0,IF(CONFIG_METADATA!$B$4&lt;&gt;"OR+EX",--(DATOS!$G4504=CONFIG_METADATA!$B$4),IF(DATOS!$G4504="EX",1,IF(DATOS!$G4504="OR",--(COUNTIFS(nNIA,DATOS!$A4504,nCURSO,DATOS!$D4504,nESPEC,DATOS!$E4504,nASIG,DATOS!$I4504,nEVAL,"EX")=0),0))))</f>
      </c>
      <c r="H4504">
        <f>IF(DATOS!$G4504&lt;&gt;"EX",0,--(COUNTIFS(nNIA,DATOS!$A4504,nCURSO,DATOS!$D4504,nESPEC,DATOS!$E4504,nASIG,DATOS!$I4504,nEVAL,"OR")=0))</f>
      </c>
      <c r="I4504">
        <f>IF(DATOS!$I4504="","",IFERROR(VLOOKUP(DATOS!$I4504,CONFIG_ASIGNATURAS!$B$2:$J$91,9,FALSE()),""))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IF(DATOS!$A4505="",0,IF(CONFIG_METADATA!$B$4&lt;&gt;"OR+EX",--(DATOS!$G4505=CONFIG_METADATA!$B$4),IF(DATOS!$G4505="EX",1,IF(DATOS!$G4505="OR",--(COUNTIFS(nNIA,DATOS!$A4505,nCURSO,DATOS!$D4505,nESPEC,DATOS!$E4505,nASIG,DATOS!$I4505,nEVAL,"EX")=0),0))))</f>
      </c>
      <c r="H4505">
        <f>IF(DATOS!$G4505&lt;&gt;"EX",0,--(COUNTIFS(nNIA,DATOS!$A4505,nCURSO,DATOS!$D4505,nESPEC,DATOS!$E4505,nASIG,DATOS!$I4505,nEVAL,"OR")=0))</f>
      </c>
      <c r="I4505">
        <f>IF(DATOS!$I4505="","",IFERROR(VLOOKUP(DATOS!$I4505,CONFIG_ASIGNATURAS!$B$2:$J$91,9,FALSE()),""))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IF(DATOS!$A4506="",0,IF(CONFIG_METADATA!$B$4&lt;&gt;"OR+EX",--(DATOS!$G4506=CONFIG_METADATA!$B$4),IF(DATOS!$G4506="EX",1,IF(DATOS!$G4506="OR",--(COUNTIFS(nNIA,DATOS!$A4506,nCURSO,DATOS!$D4506,nESPEC,DATOS!$E4506,nASIG,DATOS!$I4506,nEVAL,"EX")=0),0))))</f>
      </c>
      <c r="H4506">
        <f>IF(DATOS!$G4506&lt;&gt;"EX",0,--(COUNTIFS(nNIA,DATOS!$A4506,nCURSO,DATOS!$D4506,nESPEC,DATOS!$E4506,nASIG,DATOS!$I4506,nEVAL,"OR")=0))</f>
      </c>
      <c r="I4506">
        <f>IF(DATOS!$I4506="","",IFERROR(VLOOKUP(DATOS!$I4506,CONFIG_ASIGNATURAS!$B$2:$J$91,9,FALSE()),""))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IF(DATOS!$A4507="",0,IF(CONFIG_METADATA!$B$4&lt;&gt;"OR+EX",--(DATOS!$G4507=CONFIG_METADATA!$B$4),IF(DATOS!$G4507="EX",1,IF(DATOS!$G4507="OR",--(COUNTIFS(nNIA,DATOS!$A4507,nCURSO,DATOS!$D4507,nESPEC,DATOS!$E4507,nASIG,DATOS!$I4507,nEVAL,"EX")=0),0))))</f>
      </c>
      <c r="H4507">
        <f>IF(DATOS!$G4507&lt;&gt;"EX",0,--(COUNTIFS(nNIA,DATOS!$A4507,nCURSO,DATOS!$D4507,nESPEC,DATOS!$E4507,nASIG,DATOS!$I4507,nEVAL,"OR")=0))</f>
      </c>
      <c r="I4507">
        <f>IF(DATOS!$I4507="","",IFERROR(VLOOKUP(DATOS!$I4507,CONFIG_ASIGNATURAS!$B$2:$J$91,9,FALSE()),""))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IF(DATOS!$A4508="",0,IF(CONFIG_METADATA!$B$4&lt;&gt;"OR+EX",--(DATOS!$G4508=CONFIG_METADATA!$B$4),IF(DATOS!$G4508="EX",1,IF(DATOS!$G4508="OR",--(COUNTIFS(nNIA,DATOS!$A4508,nCURSO,DATOS!$D4508,nESPEC,DATOS!$E4508,nASIG,DATOS!$I4508,nEVAL,"EX")=0),0))))</f>
      </c>
      <c r="H4508">
        <f>IF(DATOS!$G4508&lt;&gt;"EX",0,--(COUNTIFS(nNIA,DATOS!$A4508,nCURSO,DATOS!$D4508,nESPEC,DATOS!$E4508,nASIG,DATOS!$I4508,nEVAL,"OR")=0))</f>
      </c>
      <c r="I4508">
        <f>IF(DATOS!$I4508="","",IFERROR(VLOOKUP(DATOS!$I4508,CONFIG_ASIGNATURAS!$B$2:$J$91,9,FALSE()),""))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IF(DATOS!$A4509="",0,IF(CONFIG_METADATA!$B$4&lt;&gt;"OR+EX",--(DATOS!$G4509=CONFIG_METADATA!$B$4),IF(DATOS!$G4509="EX",1,IF(DATOS!$G4509="OR",--(COUNTIFS(nNIA,DATOS!$A4509,nCURSO,DATOS!$D4509,nESPEC,DATOS!$E4509,nASIG,DATOS!$I4509,nEVAL,"EX")=0),0))))</f>
      </c>
      <c r="H4509">
        <f>IF(DATOS!$G4509&lt;&gt;"EX",0,--(COUNTIFS(nNIA,DATOS!$A4509,nCURSO,DATOS!$D4509,nESPEC,DATOS!$E4509,nASIG,DATOS!$I4509,nEVAL,"OR")=0))</f>
      </c>
      <c r="I4509">
        <f>IF(DATOS!$I4509="","",IFERROR(VLOOKUP(DATOS!$I4509,CONFIG_ASIGNATURAS!$B$2:$J$91,9,FALSE()),""))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IF(DATOS!$A4510="",0,IF(CONFIG_METADATA!$B$4&lt;&gt;"OR+EX",--(DATOS!$G4510=CONFIG_METADATA!$B$4),IF(DATOS!$G4510="EX",1,IF(DATOS!$G4510="OR",--(COUNTIFS(nNIA,DATOS!$A4510,nCURSO,DATOS!$D4510,nESPEC,DATOS!$E4510,nASIG,DATOS!$I4510,nEVAL,"EX")=0),0))))</f>
      </c>
      <c r="H4510">
        <f>IF(DATOS!$G4510&lt;&gt;"EX",0,--(COUNTIFS(nNIA,DATOS!$A4510,nCURSO,DATOS!$D4510,nESPEC,DATOS!$E4510,nASIG,DATOS!$I4510,nEVAL,"OR")=0))</f>
      </c>
      <c r="I4510">
        <f>IF(DATOS!$I4510="","",IFERROR(VLOOKUP(DATOS!$I4510,CONFIG_ASIGNATURAS!$B$2:$J$91,9,FALSE()),""))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IF(DATOS!$A4511="",0,IF(CONFIG_METADATA!$B$4&lt;&gt;"OR+EX",--(DATOS!$G4511=CONFIG_METADATA!$B$4),IF(DATOS!$G4511="EX",1,IF(DATOS!$G4511="OR",--(COUNTIFS(nNIA,DATOS!$A4511,nCURSO,DATOS!$D4511,nESPEC,DATOS!$E4511,nASIG,DATOS!$I4511,nEVAL,"EX")=0),0))))</f>
      </c>
      <c r="H4511">
        <f>IF(DATOS!$G4511&lt;&gt;"EX",0,--(COUNTIFS(nNIA,DATOS!$A4511,nCURSO,DATOS!$D4511,nESPEC,DATOS!$E4511,nASIG,DATOS!$I4511,nEVAL,"OR")=0))</f>
      </c>
      <c r="I4511">
        <f>IF(DATOS!$I4511="","",IFERROR(VLOOKUP(DATOS!$I4511,CONFIG_ASIGNATURAS!$B$2:$J$91,9,FALSE()),""))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IF(DATOS!$A4512="",0,IF(CONFIG_METADATA!$B$4&lt;&gt;"OR+EX",--(DATOS!$G4512=CONFIG_METADATA!$B$4),IF(DATOS!$G4512="EX",1,IF(DATOS!$G4512="OR",--(COUNTIFS(nNIA,DATOS!$A4512,nCURSO,DATOS!$D4512,nESPEC,DATOS!$E4512,nASIG,DATOS!$I4512,nEVAL,"EX")=0),0))))</f>
      </c>
      <c r="H4512">
        <f>IF(DATOS!$G4512&lt;&gt;"EX",0,--(COUNTIFS(nNIA,DATOS!$A4512,nCURSO,DATOS!$D4512,nESPEC,DATOS!$E4512,nASIG,DATOS!$I4512,nEVAL,"OR")=0))</f>
      </c>
      <c r="I4512">
        <f>IF(DATOS!$I4512="","",IFERROR(VLOOKUP(DATOS!$I4512,CONFIG_ASIGNATURAS!$B$2:$J$91,9,FALSE()),""))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IF(DATOS!$A4513="",0,IF(CONFIG_METADATA!$B$4&lt;&gt;"OR+EX",--(DATOS!$G4513=CONFIG_METADATA!$B$4),IF(DATOS!$G4513="EX",1,IF(DATOS!$G4513="OR",--(COUNTIFS(nNIA,DATOS!$A4513,nCURSO,DATOS!$D4513,nESPEC,DATOS!$E4513,nASIG,DATOS!$I4513,nEVAL,"EX")=0),0))))</f>
      </c>
      <c r="H4513">
        <f>IF(DATOS!$G4513&lt;&gt;"EX",0,--(COUNTIFS(nNIA,DATOS!$A4513,nCURSO,DATOS!$D4513,nESPEC,DATOS!$E4513,nASIG,DATOS!$I4513,nEVAL,"OR")=0))</f>
      </c>
      <c r="I4513">
        <f>IF(DATOS!$I4513="","",IFERROR(VLOOKUP(DATOS!$I4513,CONFIG_ASIGNATURAS!$B$2:$J$91,9,FALSE()),""))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IF(DATOS!$A4514="",0,IF(CONFIG_METADATA!$B$4&lt;&gt;"OR+EX",--(DATOS!$G4514=CONFIG_METADATA!$B$4),IF(DATOS!$G4514="EX",1,IF(DATOS!$G4514="OR",--(COUNTIFS(nNIA,DATOS!$A4514,nCURSO,DATOS!$D4514,nESPEC,DATOS!$E4514,nASIG,DATOS!$I4514,nEVAL,"EX")=0),0))))</f>
      </c>
      <c r="H4514">
        <f>IF(DATOS!$G4514&lt;&gt;"EX",0,--(COUNTIFS(nNIA,DATOS!$A4514,nCURSO,DATOS!$D4514,nESPEC,DATOS!$E4514,nASIG,DATOS!$I4514,nEVAL,"OR")=0))</f>
      </c>
      <c r="I4514">
        <f>IF(DATOS!$I4514="","",IFERROR(VLOOKUP(DATOS!$I4514,CONFIG_ASIGNATURAS!$B$2:$J$91,9,FALSE()),""))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IF(DATOS!$A4515="",0,IF(CONFIG_METADATA!$B$4&lt;&gt;"OR+EX",--(DATOS!$G4515=CONFIG_METADATA!$B$4),IF(DATOS!$G4515="EX",1,IF(DATOS!$G4515="OR",--(COUNTIFS(nNIA,DATOS!$A4515,nCURSO,DATOS!$D4515,nESPEC,DATOS!$E4515,nASIG,DATOS!$I4515,nEVAL,"EX")=0),0))))</f>
      </c>
      <c r="H4515">
        <f>IF(DATOS!$G4515&lt;&gt;"EX",0,--(COUNTIFS(nNIA,DATOS!$A4515,nCURSO,DATOS!$D4515,nESPEC,DATOS!$E4515,nASIG,DATOS!$I4515,nEVAL,"OR")=0))</f>
      </c>
      <c r="I4515">
        <f>IF(DATOS!$I4515="","",IFERROR(VLOOKUP(DATOS!$I4515,CONFIG_ASIGNATURAS!$B$2:$J$91,9,FALSE()),""))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IF(DATOS!$A4516="",0,IF(CONFIG_METADATA!$B$4&lt;&gt;"OR+EX",--(DATOS!$G4516=CONFIG_METADATA!$B$4),IF(DATOS!$G4516="EX",1,IF(DATOS!$G4516="OR",--(COUNTIFS(nNIA,DATOS!$A4516,nCURSO,DATOS!$D4516,nESPEC,DATOS!$E4516,nASIG,DATOS!$I4516,nEVAL,"EX")=0),0))))</f>
      </c>
      <c r="H4516">
        <f>IF(DATOS!$G4516&lt;&gt;"EX",0,--(COUNTIFS(nNIA,DATOS!$A4516,nCURSO,DATOS!$D4516,nESPEC,DATOS!$E4516,nASIG,DATOS!$I4516,nEVAL,"OR")=0))</f>
      </c>
      <c r="I4516">
        <f>IF(DATOS!$I4516="","",IFERROR(VLOOKUP(DATOS!$I4516,CONFIG_ASIGNATURAS!$B$2:$J$91,9,FALSE()),""))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IF(DATOS!$A4517="",0,IF(CONFIG_METADATA!$B$4&lt;&gt;"OR+EX",--(DATOS!$G4517=CONFIG_METADATA!$B$4),IF(DATOS!$G4517="EX",1,IF(DATOS!$G4517="OR",--(COUNTIFS(nNIA,DATOS!$A4517,nCURSO,DATOS!$D4517,nESPEC,DATOS!$E4517,nASIG,DATOS!$I4517,nEVAL,"EX")=0),0))))</f>
      </c>
      <c r="H4517">
        <f>IF(DATOS!$G4517&lt;&gt;"EX",0,--(COUNTIFS(nNIA,DATOS!$A4517,nCURSO,DATOS!$D4517,nESPEC,DATOS!$E4517,nASIG,DATOS!$I4517,nEVAL,"OR")=0))</f>
      </c>
      <c r="I4517">
        <f>IF(DATOS!$I4517="","",IFERROR(VLOOKUP(DATOS!$I4517,CONFIG_ASIGNATURAS!$B$2:$J$91,9,FALSE()),""))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IF(DATOS!$A4518="",0,IF(CONFIG_METADATA!$B$4&lt;&gt;"OR+EX",--(DATOS!$G4518=CONFIG_METADATA!$B$4),IF(DATOS!$G4518="EX",1,IF(DATOS!$G4518="OR",--(COUNTIFS(nNIA,DATOS!$A4518,nCURSO,DATOS!$D4518,nESPEC,DATOS!$E4518,nASIG,DATOS!$I4518,nEVAL,"EX")=0),0))))</f>
      </c>
      <c r="H4518">
        <f>IF(DATOS!$G4518&lt;&gt;"EX",0,--(COUNTIFS(nNIA,DATOS!$A4518,nCURSO,DATOS!$D4518,nESPEC,DATOS!$E4518,nASIG,DATOS!$I4518,nEVAL,"OR")=0))</f>
      </c>
      <c r="I4518">
        <f>IF(DATOS!$I4518="","",IFERROR(VLOOKUP(DATOS!$I4518,CONFIG_ASIGNATURAS!$B$2:$J$91,9,FALSE()),""))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IF(DATOS!$A4519="",0,IF(CONFIG_METADATA!$B$4&lt;&gt;"OR+EX",--(DATOS!$G4519=CONFIG_METADATA!$B$4),IF(DATOS!$G4519="EX",1,IF(DATOS!$G4519="OR",--(COUNTIFS(nNIA,DATOS!$A4519,nCURSO,DATOS!$D4519,nESPEC,DATOS!$E4519,nASIG,DATOS!$I4519,nEVAL,"EX")=0),0))))</f>
      </c>
      <c r="H4519">
        <f>IF(DATOS!$G4519&lt;&gt;"EX",0,--(COUNTIFS(nNIA,DATOS!$A4519,nCURSO,DATOS!$D4519,nESPEC,DATOS!$E4519,nASIG,DATOS!$I4519,nEVAL,"OR")=0))</f>
      </c>
      <c r="I4519">
        <f>IF(DATOS!$I4519="","",IFERROR(VLOOKUP(DATOS!$I4519,CONFIG_ASIGNATURAS!$B$2:$J$91,9,FALSE()),""))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IF(DATOS!$A4520="",0,IF(CONFIG_METADATA!$B$4&lt;&gt;"OR+EX",--(DATOS!$G4520=CONFIG_METADATA!$B$4),IF(DATOS!$G4520="EX",1,IF(DATOS!$G4520="OR",--(COUNTIFS(nNIA,DATOS!$A4520,nCURSO,DATOS!$D4520,nESPEC,DATOS!$E4520,nASIG,DATOS!$I4520,nEVAL,"EX")=0),0))))</f>
      </c>
      <c r="H4520">
        <f>IF(DATOS!$G4520&lt;&gt;"EX",0,--(COUNTIFS(nNIA,DATOS!$A4520,nCURSO,DATOS!$D4520,nESPEC,DATOS!$E4520,nASIG,DATOS!$I4520,nEVAL,"OR")=0))</f>
      </c>
      <c r="I4520">
        <f>IF(DATOS!$I4520="","",IFERROR(VLOOKUP(DATOS!$I4520,CONFIG_ASIGNATURAS!$B$2:$J$91,9,FALSE()),""))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IF(DATOS!$A4521="",0,IF(CONFIG_METADATA!$B$4&lt;&gt;"OR+EX",--(DATOS!$G4521=CONFIG_METADATA!$B$4),IF(DATOS!$G4521="EX",1,IF(DATOS!$G4521="OR",--(COUNTIFS(nNIA,DATOS!$A4521,nCURSO,DATOS!$D4521,nESPEC,DATOS!$E4521,nASIG,DATOS!$I4521,nEVAL,"EX")=0),0))))</f>
      </c>
      <c r="H4521">
        <f>IF(DATOS!$G4521&lt;&gt;"EX",0,--(COUNTIFS(nNIA,DATOS!$A4521,nCURSO,DATOS!$D4521,nESPEC,DATOS!$E4521,nASIG,DATOS!$I4521,nEVAL,"OR")=0))</f>
      </c>
      <c r="I4521">
        <f>IF(DATOS!$I4521="","",IFERROR(VLOOKUP(DATOS!$I4521,CONFIG_ASIGNATURAS!$B$2:$J$91,9,FALSE()),""))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IF(DATOS!$A4522="",0,IF(CONFIG_METADATA!$B$4&lt;&gt;"OR+EX",--(DATOS!$G4522=CONFIG_METADATA!$B$4),IF(DATOS!$G4522="EX",1,IF(DATOS!$G4522="OR",--(COUNTIFS(nNIA,DATOS!$A4522,nCURSO,DATOS!$D4522,nESPEC,DATOS!$E4522,nASIG,DATOS!$I4522,nEVAL,"EX")=0),0))))</f>
      </c>
      <c r="H4522">
        <f>IF(DATOS!$G4522&lt;&gt;"EX",0,--(COUNTIFS(nNIA,DATOS!$A4522,nCURSO,DATOS!$D4522,nESPEC,DATOS!$E4522,nASIG,DATOS!$I4522,nEVAL,"OR")=0))</f>
      </c>
      <c r="I4522">
        <f>IF(DATOS!$I4522="","",IFERROR(VLOOKUP(DATOS!$I4522,CONFIG_ASIGNATURAS!$B$2:$J$91,9,FALSE()),""))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IF(DATOS!$A4523="",0,IF(CONFIG_METADATA!$B$4&lt;&gt;"OR+EX",--(DATOS!$G4523=CONFIG_METADATA!$B$4),IF(DATOS!$G4523="EX",1,IF(DATOS!$G4523="OR",--(COUNTIFS(nNIA,DATOS!$A4523,nCURSO,DATOS!$D4523,nESPEC,DATOS!$E4523,nASIG,DATOS!$I4523,nEVAL,"EX")=0),0))))</f>
      </c>
      <c r="H4523">
        <f>IF(DATOS!$G4523&lt;&gt;"EX",0,--(COUNTIFS(nNIA,DATOS!$A4523,nCURSO,DATOS!$D4523,nESPEC,DATOS!$E4523,nASIG,DATOS!$I4523,nEVAL,"OR")=0))</f>
      </c>
      <c r="I4523">
        <f>IF(DATOS!$I4523="","",IFERROR(VLOOKUP(DATOS!$I4523,CONFIG_ASIGNATURAS!$B$2:$J$91,9,FALSE()),""))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IF(DATOS!$A4524="",0,IF(CONFIG_METADATA!$B$4&lt;&gt;"OR+EX",--(DATOS!$G4524=CONFIG_METADATA!$B$4),IF(DATOS!$G4524="EX",1,IF(DATOS!$G4524="OR",--(COUNTIFS(nNIA,DATOS!$A4524,nCURSO,DATOS!$D4524,nESPEC,DATOS!$E4524,nASIG,DATOS!$I4524,nEVAL,"EX")=0),0))))</f>
      </c>
      <c r="H4524">
        <f>IF(DATOS!$G4524&lt;&gt;"EX",0,--(COUNTIFS(nNIA,DATOS!$A4524,nCURSO,DATOS!$D4524,nESPEC,DATOS!$E4524,nASIG,DATOS!$I4524,nEVAL,"OR")=0))</f>
      </c>
      <c r="I4524">
        <f>IF(DATOS!$I4524="","",IFERROR(VLOOKUP(DATOS!$I4524,CONFIG_ASIGNATURAS!$B$2:$J$91,9,FALSE()),""))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IF(DATOS!$A4525="",0,IF(CONFIG_METADATA!$B$4&lt;&gt;"OR+EX",--(DATOS!$G4525=CONFIG_METADATA!$B$4),IF(DATOS!$G4525="EX",1,IF(DATOS!$G4525="OR",--(COUNTIFS(nNIA,DATOS!$A4525,nCURSO,DATOS!$D4525,nESPEC,DATOS!$E4525,nASIG,DATOS!$I4525,nEVAL,"EX")=0),0))))</f>
      </c>
      <c r="H4525">
        <f>IF(DATOS!$G4525&lt;&gt;"EX",0,--(COUNTIFS(nNIA,DATOS!$A4525,nCURSO,DATOS!$D4525,nESPEC,DATOS!$E4525,nASIG,DATOS!$I4525,nEVAL,"OR")=0))</f>
      </c>
      <c r="I4525">
        <f>IF(DATOS!$I4525="","",IFERROR(VLOOKUP(DATOS!$I4525,CONFIG_ASIGNATURAS!$B$2:$J$91,9,FALSE()),""))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IF(DATOS!$A4526="",0,IF(CONFIG_METADATA!$B$4&lt;&gt;"OR+EX",--(DATOS!$G4526=CONFIG_METADATA!$B$4),IF(DATOS!$G4526="EX",1,IF(DATOS!$G4526="OR",--(COUNTIFS(nNIA,DATOS!$A4526,nCURSO,DATOS!$D4526,nESPEC,DATOS!$E4526,nASIG,DATOS!$I4526,nEVAL,"EX")=0),0))))</f>
      </c>
      <c r="H4526">
        <f>IF(DATOS!$G4526&lt;&gt;"EX",0,--(COUNTIFS(nNIA,DATOS!$A4526,nCURSO,DATOS!$D4526,nESPEC,DATOS!$E4526,nASIG,DATOS!$I4526,nEVAL,"OR")=0))</f>
      </c>
      <c r="I4526">
        <f>IF(DATOS!$I4526="","",IFERROR(VLOOKUP(DATOS!$I4526,CONFIG_ASIGNATURAS!$B$2:$J$91,9,FALSE()),""))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IF(DATOS!$A4527="",0,IF(CONFIG_METADATA!$B$4&lt;&gt;"OR+EX",--(DATOS!$G4527=CONFIG_METADATA!$B$4),IF(DATOS!$G4527="EX",1,IF(DATOS!$G4527="OR",--(COUNTIFS(nNIA,DATOS!$A4527,nCURSO,DATOS!$D4527,nESPEC,DATOS!$E4527,nASIG,DATOS!$I4527,nEVAL,"EX")=0),0))))</f>
      </c>
      <c r="H4527">
        <f>IF(DATOS!$G4527&lt;&gt;"EX",0,--(COUNTIFS(nNIA,DATOS!$A4527,nCURSO,DATOS!$D4527,nESPEC,DATOS!$E4527,nASIG,DATOS!$I4527,nEVAL,"OR")=0))</f>
      </c>
      <c r="I4527">
        <f>IF(DATOS!$I4527="","",IFERROR(VLOOKUP(DATOS!$I4527,CONFIG_ASIGNATURAS!$B$2:$J$91,9,FALSE()),""))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IF(DATOS!$A4528="",0,IF(CONFIG_METADATA!$B$4&lt;&gt;"OR+EX",--(DATOS!$G4528=CONFIG_METADATA!$B$4),IF(DATOS!$G4528="EX",1,IF(DATOS!$G4528="OR",--(COUNTIFS(nNIA,DATOS!$A4528,nCURSO,DATOS!$D4528,nESPEC,DATOS!$E4528,nASIG,DATOS!$I4528,nEVAL,"EX")=0),0))))</f>
      </c>
      <c r="H4528">
        <f>IF(DATOS!$G4528&lt;&gt;"EX",0,--(COUNTIFS(nNIA,DATOS!$A4528,nCURSO,DATOS!$D4528,nESPEC,DATOS!$E4528,nASIG,DATOS!$I4528,nEVAL,"OR")=0))</f>
      </c>
      <c r="I4528">
        <f>IF(DATOS!$I4528="","",IFERROR(VLOOKUP(DATOS!$I4528,CONFIG_ASIGNATURAS!$B$2:$J$91,9,FALSE()),""))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IF(DATOS!$A4529="",0,IF(CONFIG_METADATA!$B$4&lt;&gt;"OR+EX",--(DATOS!$G4529=CONFIG_METADATA!$B$4),IF(DATOS!$G4529="EX",1,IF(DATOS!$G4529="OR",--(COUNTIFS(nNIA,DATOS!$A4529,nCURSO,DATOS!$D4529,nESPEC,DATOS!$E4529,nASIG,DATOS!$I4529,nEVAL,"EX")=0),0))))</f>
      </c>
      <c r="H4529">
        <f>IF(DATOS!$G4529&lt;&gt;"EX",0,--(COUNTIFS(nNIA,DATOS!$A4529,nCURSO,DATOS!$D4529,nESPEC,DATOS!$E4529,nASIG,DATOS!$I4529,nEVAL,"OR")=0))</f>
      </c>
      <c r="I4529">
        <f>IF(DATOS!$I4529="","",IFERROR(VLOOKUP(DATOS!$I4529,CONFIG_ASIGNATURAS!$B$2:$J$91,9,FALSE()),""))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IF(DATOS!$A4530="",0,IF(CONFIG_METADATA!$B$4&lt;&gt;"OR+EX",--(DATOS!$G4530=CONFIG_METADATA!$B$4),IF(DATOS!$G4530="EX",1,IF(DATOS!$G4530="OR",--(COUNTIFS(nNIA,DATOS!$A4530,nCURSO,DATOS!$D4530,nESPEC,DATOS!$E4530,nASIG,DATOS!$I4530,nEVAL,"EX")=0),0))))</f>
      </c>
      <c r="H4530">
        <f>IF(DATOS!$G4530&lt;&gt;"EX",0,--(COUNTIFS(nNIA,DATOS!$A4530,nCURSO,DATOS!$D4530,nESPEC,DATOS!$E4530,nASIG,DATOS!$I4530,nEVAL,"OR")=0))</f>
      </c>
      <c r="I4530">
        <f>IF(DATOS!$I4530="","",IFERROR(VLOOKUP(DATOS!$I4530,CONFIG_ASIGNATURAS!$B$2:$J$91,9,FALSE()),""))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IF(DATOS!$A4531="",0,IF(CONFIG_METADATA!$B$4&lt;&gt;"OR+EX",--(DATOS!$G4531=CONFIG_METADATA!$B$4),IF(DATOS!$G4531="EX",1,IF(DATOS!$G4531="OR",--(COUNTIFS(nNIA,DATOS!$A4531,nCURSO,DATOS!$D4531,nESPEC,DATOS!$E4531,nASIG,DATOS!$I4531,nEVAL,"EX")=0),0))))</f>
      </c>
      <c r="H4531">
        <f>IF(DATOS!$G4531&lt;&gt;"EX",0,--(COUNTIFS(nNIA,DATOS!$A4531,nCURSO,DATOS!$D4531,nESPEC,DATOS!$E4531,nASIG,DATOS!$I4531,nEVAL,"OR")=0))</f>
      </c>
      <c r="I4531">
        <f>IF(DATOS!$I4531="","",IFERROR(VLOOKUP(DATOS!$I4531,CONFIG_ASIGNATURAS!$B$2:$J$91,9,FALSE()),""))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IF(DATOS!$A4532="",0,IF(CONFIG_METADATA!$B$4&lt;&gt;"OR+EX",--(DATOS!$G4532=CONFIG_METADATA!$B$4),IF(DATOS!$G4532="EX",1,IF(DATOS!$G4532="OR",--(COUNTIFS(nNIA,DATOS!$A4532,nCURSO,DATOS!$D4532,nESPEC,DATOS!$E4532,nASIG,DATOS!$I4532,nEVAL,"EX")=0),0))))</f>
      </c>
      <c r="H4532">
        <f>IF(DATOS!$G4532&lt;&gt;"EX",0,--(COUNTIFS(nNIA,DATOS!$A4532,nCURSO,DATOS!$D4532,nESPEC,DATOS!$E4532,nASIG,DATOS!$I4532,nEVAL,"OR")=0))</f>
      </c>
      <c r="I4532">
        <f>IF(DATOS!$I4532="","",IFERROR(VLOOKUP(DATOS!$I4532,CONFIG_ASIGNATURAS!$B$2:$J$91,9,FALSE()),""))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IF(DATOS!$A4533="",0,IF(CONFIG_METADATA!$B$4&lt;&gt;"OR+EX",--(DATOS!$G4533=CONFIG_METADATA!$B$4),IF(DATOS!$G4533="EX",1,IF(DATOS!$G4533="OR",--(COUNTIFS(nNIA,DATOS!$A4533,nCURSO,DATOS!$D4533,nESPEC,DATOS!$E4533,nASIG,DATOS!$I4533,nEVAL,"EX")=0),0))))</f>
      </c>
      <c r="H4533">
        <f>IF(DATOS!$G4533&lt;&gt;"EX",0,--(COUNTIFS(nNIA,DATOS!$A4533,nCURSO,DATOS!$D4533,nESPEC,DATOS!$E4533,nASIG,DATOS!$I4533,nEVAL,"OR")=0))</f>
      </c>
      <c r="I4533">
        <f>IF(DATOS!$I4533="","",IFERROR(VLOOKUP(DATOS!$I4533,CONFIG_ASIGNATURAS!$B$2:$J$91,9,FALSE()),""))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IF(DATOS!$A4534="",0,IF(CONFIG_METADATA!$B$4&lt;&gt;"OR+EX",--(DATOS!$G4534=CONFIG_METADATA!$B$4),IF(DATOS!$G4534="EX",1,IF(DATOS!$G4534="OR",--(COUNTIFS(nNIA,DATOS!$A4534,nCURSO,DATOS!$D4534,nESPEC,DATOS!$E4534,nASIG,DATOS!$I4534,nEVAL,"EX")=0),0))))</f>
      </c>
      <c r="H4534">
        <f>IF(DATOS!$G4534&lt;&gt;"EX",0,--(COUNTIFS(nNIA,DATOS!$A4534,nCURSO,DATOS!$D4534,nESPEC,DATOS!$E4534,nASIG,DATOS!$I4534,nEVAL,"OR")=0))</f>
      </c>
      <c r="I4534">
        <f>IF(DATOS!$I4534="","",IFERROR(VLOOKUP(DATOS!$I4534,CONFIG_ASIGNATURAS!$B$2:$J$91,9,FALSE()),""))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IF(DATOS!$A4535="",0,IF(CONFIG_METADATA!$B$4&lt;&gt;"OR+EX",--(DATOS!$G4535=CONFIG_METADATA!$B$4),IF(DATOS!$G4535="EX",1,IF(DATOS!$G4535="OR",--(COUNTIFS(nNIA,DATOS!$A4535,nCURSO,DATOS!$D4535,nESPEC,DATOS!$E4535,nASIG,DATOS!$I4535,nEVAL,"EX")=0),0))))</f>
      </c>
      <c r="H4535">
        <f>IF(DATOS!$G4535&lt;&gt;"EX",0,--(COUNTIFS(nNIA,DATOS!$A4535,nCURSO,DATOS!$D4535,nESPEC,DATOS!$E4535,nASIG,DATOS!$I4535,nEVAL,"OR")=0))</f>
      </c>
      <c r="I4535">
        <f>IF(DATOS!$I4535="","",IFERROR(VLOOKUP(DATOS!$I4535,CONFIG_ASIGNATURAS!$B$2:$J$91,9,FALSE()),""))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IF(DATOS!$A4536="",0,IF(CONFIG_METADATA!$B$4&lt;&gt;"OR+EX",--(DATOS!$G4536=CONFIG_METADATA!$B$4),IF(DATOS!$G4536="EX",1,IF(DATOS!$G4536="OR",--(COUNTIFS(nNIA,DATOS!$A4536,nCURSO,DATOS!$D4536,nESPEC,DATOS!$E4536,nASIG,DATOS!$I4536,nEVAL,"EX")=0),0))))</f>
      </c>
      <c r="H4536">
        <f>IF(DATOS!$G4536&lt;&gt;"EX",0,--(COUNTIFS(nNIA,DATOS!$A4536,nCURSO,DATOS!$D4536,nESPEC,DATOS!$E4536,nASIG,DATOS!$I4536,nEVAL,"OR")=0))</f>
      </c>
      <c r="I4536">
        <f>IF(DATOS!$I4536="","",IFERROR(VLOOKUP(DATOS!$I4536,CONFIG_ASIGNATURAS!$B$2:$J$91,9,FALSE()),""))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IF(DATOS!$A4537="",0,IF(CONFIG_METADATA!$B$4&lt;&gt;"OR+EX",--(DATOS!$G4537=CONFIG_METADATA!$B$4),IF(DATOS!$G4537="EX",1,IF(DATOS!$G4537="OR",--(COUNTIFS(nNIA,DATOS!$A4537,nCURSO,DATOS!$D4537,nESPEC,DATOS!$E4537,nASIG,DATOS!$I4537,nEVAL,"EX")=0),0))))</f>
      </c>
      <c r="H4537">
        <f>IF(DATOS!$G4537&lt;&gt;"EX",0,--(COUNTIFS(nNIA,DATOS!$A4537,nCURSO,DATOS!$D4537,nESPEC,DATOS!$E4537,nASIG,DATOS!$I4537,nEVAL,"OR")=0))</f>
      </c>
      <c r="I4537">
        <f>IF(DATOS!$I4537="","",IFERROR(VLOOKUP(DATOS!$I4537,CONFIG_ASIGNATURAS!$B$2:$J$91,9,FALSE()),""))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IF(DATOS!$A4538="",0,IF(CONFIG_METADATA!$B$4&lt;&gt;"OR+EX",--(DATOS!$G4538=CONFIG_METADATA!$B$4),IF(DATOS!$G4538="EX",1,IF(DATOS!$G4538="OR",--(COUNTIFS(nNIA,DATOS!$A4538,nCURSO,DATOS!$D4538,nESPEC,DATOS!$E4538,nASIG,DATOS!$I4538,nEVAL,"EX")=0),0))))</f>
      </c>
      <c r="H4538">
        <f>IF(DATOS!$G4538&lt;&gt;"EX",0,--(COUNTIFS(nNIA,DATOS!$A4538,nCURSO,DATOS!$D4538,nESPEC,DATOS!$E4538,nASIG,DATOS!$I4538,nEVAL,"OR")=0))</f>
      </c>
      <c r="I4538">
        <f>IF(DATOS!$I4538="","",IFERROR(VLOOKUP(DATOS!$I4538,CONFIG_ASIGNATURAS!$B$2:$J$91,9,FALSE()),""))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IF(DATOS!$A4539="",0,IF(CONFIG_METADATA!$B$4&lt;&gt;"OR+EX",--(DATOS!$G4539=CONFIG_METADATA!$B$4),IF(DATOS!$G4539="EX",1,IF(DATOS!$G4539="OR",--(COUNTIFS(nNIA,DATOS!$A4539,nCURSO,DATOS!$D4539,nESPEC,DATOS!$E4539,nASIG,DATOS!$I4539,nEVAL,"EX")=0),0))))</f>
      </c>
      <c r="H4539">
        <f>IF(DATOS!$G4539&lt;&gt;"EX",0,--(COUNTIFS(nNIA,DATOS!$A4539,nCURSO,DATOS!$D4539,nESPEC,DATOS!$E4539,nASIG,DATOS!$I4539,nEVAL,"OR")=0))</f>
      </c>
      <c r="I4539">
        <f>IF(DATOS!$I4539="","",IFERROR(VLOOKUP(DATOS!$I4539,CONFIG_ASIGNATURAS!$B$2:$J$91,9,FALSE()),""))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IF(DATOS!$A4540="",0,IF(CONFIG_METADATA!$B$4&lt;&gt;"OR+EX",--(DATOS!$G4540=CONFIG_METADATA!$B$4),IF(DATOS!$G4540="EX",1,IF(DATOS!$G4540="OR",--(COUNTIFS(nNIA,DATOS!$A4540,nCURSO,DATOS!$D4540,nESPEC,DATOS!$E4540,nASIG,DATOS!$I4540,nEVAL,"EX")=0),0))))</f>
      </c>
      <c r="H4540">
        <f>IF(DATOS!$G4540&lt;&gt;"EX",0,--(COUNTIFS(nNIA,DATOS!$A4540,nCURSO,DATOS!$D4540,nESPEC,DATOS!$E4540,nASIG,DATOS!$I4540,nEVAL,"OR")=0))</f>
      </c>
      <c r="I4540">
        <f>IF(DATOS!$I4540="","",IFERROR(VLOOKUP(DATOS!$I4540,CONFIG_ASIGNATURAS!$B$2:$J$91,9,FALSE()),""))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IF(DATOS!$A4541="",0,IF(CONFIG_METADATA!$B$4&lt;&gt;"OR+EX",--(DATOS!$G4541=CONFIG_METADATA!$B$4),IF(DATOS!$G4541="EX",1,IF(DATOS!$G4541="OR",--(COUNTIFS(nNIA,DATOS!$A4541,nCURSO,DATOS!$D4541,nESPEC,DATOS!$E4541,nASIG,DATOS!$I4541,nEVAL,"EX")=0),0))))</f>
      </c>
      <c r="H4541">
        <f>IF(DATOS!$G4541&lt;&gt;"EX",0,--(COUNTIFS(nNIA,DATOS!$A4541,nCURSO,DATOS!$D4541,nESPEC,DATOS!$E4541,nASIG,DATOS!$I4541,nEVAL,"OR")=0))</f>
      </c>
      <c r="I4541">
        <f>IF(DATOS!$I4541="","",IFERROR(VLOOKUP(DATOS!$I4541,CONFIG_ASIGNATURAS!$B$2:$J$91,9,FALSE()),""))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IF(DATOS!$A4542="",0,IF(CONFIG_METADATA!$B$4&lt;&gt;"OR+EX",--(DATOS!$G4542=CONFIG_METADATA!$B$4),IF(DATOS!$G4542="EX",1,IF(DATOS!$G4542="OR",--(COUNTIFS(nNIA,DATOS!$A4542,nCURSO,DATOS!$D4542,nESPEC,DATOS!$E4542,nASIG,DATOS!$I4542,nEVAL,"EX")=0),0))))</f>
      </c>
      <c r="H4542">
        <f>IF(DATOS!$G4542&lt;&gt;"EX",0,--(COUNTIFS(nNIA,DATOS!$A4542,nCURSO,DATOS!$D4542,nESPEC,DATOS!$E4542,nASIG,DATOS!$I4542,nEVAL,"OR")=0))</f>
      </c>
      <c r="I4542">
        <f>IF(DATOS!$I4542="","",IFERROR(VLOOKUP(DATOS!$I4542,CONFIG_ASIGNATURAS!$B$2:$J$91,9,FALSE()),""))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IF(DATOS!$A4543="",0,IF(CONFIG_METADATA!$B$4&lt;&gt;"OR+EX",--(DATOS!$G4543=CONFIG_METADATA!$B$4),IF(DATOS!$G4543="EX",1,IF(DATOS!$G4543="OR",--(COUNTIFS(nNIA,DATOS!$A4543,nCURSO,DATOS!$D4543,nESPEC,DATOS!$E4543,nASIG,DATOS!$I4543,nEVAL,"EX")=0),0))))</f>
      </c>
      <c r="H4543">
        <f>IF(DATOS!$G4543&lt;&gt;"EX",0,--(COUNTIFS(nNIA,DATOS!$A4543,nCURSO,DATOS!$D4543,nESPEC,DATOS!$E4543,nASIG,DATOS!$I4543,nEVAL,"OR")=0))</f>
      </c>
      <c r="I4543">
        <f>IF(DATOS!$I4543="","",IFERROR(VLOOKUP(DATOS!$I4543,CONFIG_ASIGNATURAS!$B$2:$J$91,9,FALSE()),""))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IF(DATOS!$A4544="",0,IF(CONFIG_METADATA!$B$4&lt;&gt;"OR+EX",--(DATOS!$G4544=CONFIG_METADATA!$B$4),IF(DATOS!$G4544="EX",1,IF(DATOS!$G4544="OR",--(COUNTIFS(nNIA,DATOS!$A4544,nCURSO,DATOS!$D4544,nESPEC,DATOS!$E4544,nASIG,DATOS!$I4544,nEVAL,"EX")=0),0))))</f>
      </c>
      <c r="H4544">
        <f>IF(DATOS!$G4544&lt;&gt;"EX",0,--(COUNTIFS(nNIA,DATOS!$A4544,nCURSO,DATOS!$D4544,nESPEC,DATOS!$E4544,nASIG,DATOS!$I4544,nEVAL,"OR")=0))</f>
      </c>
      <c r="I4544">
        <f>IF(DATOS!$I4544="","",IFERROR(VLOOKUP(DATOS!$I4544,CONFIG_ASIGNATURAS!$B$2:$J$91,9,FALSE()),""))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IF(DATOS!$A4545="",0,IF(CONFIG_METADATA!$B$4&lt;&gt;"OR+EX",--(DATOS!$G4545=CONFIG_METADATA!$B$4),IF(DATOS!$G4545="EX",1,IF(DATOS!$G4545="OR",--(COUNTIFS(nNIA,DATOS!$A4545,nCURSO,DATOS!$D4545,nESPEC,DATOS!$E4545,nASIG,DATOS!$I4545,nEVAL,"EX")=0),0))))</f>
      </c>
      <c r="H4545">
        <f>IF(DATOS!$G4545&lt;&gt;"EX",0,--(COUNTIFS(nNIA,DATOS!$A4545,nCURSO,DATOS!$D4545,nESPEC,DATOS!$E4545,nASIG,DATOS!$I4545,nEVAL,"OR")=0))</f>
      </c>
      <c r="I4545">
        <f>IF(DATOS!$I4545="","",IFERROR(VLOOKUP(DATOS!$I4545,CONFIG_ASIGNATURAS!$B$2:$J$91,9,FALSE()),""))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IF(DATOS!$A4546="",0,IF(CONFIG_METADATA!$B$4&lt;&gt;"OR+EX",--(DATOS!$G4546=CONFIG_METADATA!$B$4),IF(DATOS!$G4546="EX",1,IF(DATOS!$G4546="OR",--(COUNTIFS(nNIA,DATOS!$A4546,nCURSO,DATOS!$D4546,nESPEC,DATOS!$E4546,nASIG,DATOS!$I4546,nEVAL,"EX")=0),0))))</f>
      </c>
      <c r="H4546">
        <f>IF(DATOS!$G4546&lt;&gt;"EX",0,--(COUNTIFS(nNIA,DATOS!$A4546,nCURSO,DATOS!$D4546,nESPEC,DATOS!$E4546,nASIG,DATOS!$I4546,nEVAL,"OR")=0))</f>
      </c>
      <c r="I4546">
        <f>IF(DATOS!$I4546="","",IFERROR(VLOOKUP(DATOS!$I4546,CONFIG_ASIGNATURAS!$B$2:$J$91,9,FALSE()),""))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IF(DATOS!$A4547="",0,IF(CONFIG_METADATA!$B$4&lt;&gt;"OR+EX",--(DATOS!$G4547=CONFIG_METADATA!$B$4),IF(DATOS!$G4547="EX",1,IF(DATOS!$G4547="OR",--(COUNTIFS(nNIA,DATOS!$A4547,nCURSO,DATOS!$D4547,nESPEC,DATOS!$E4547,nASIG,DATOS!$I4547,nEVAL,"EX")=0),0))))</f>
      </c>
      <c r="H4547">
        <f>IF(DATOS!$G4547&lt;&gt;"EX",0,--(COUNTIFS(nNIA,DATOS!$A4547,nCURSO,DATOS!$D4547,nESPEC,DATOS!$E4547,nASIG,DATOS!$I4547,nEVAL,"OR")=0))</f>
      </c>
      <c r="I4547">
        <f>IF(DATOS!$I4547="","",IFERROR(VLOOKUP(DATOS!$I4547,CONFIG_ASIGNATURAS!$B$2:$J$91,9,FALSE()),""))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IF(DATOS!$A4548="",0,IF(CONFIG_METADATA!$B$4&lt;&gt;"OR+EX",--(DATOS!$G4548=CONFIG_METADATA!$B$4),IF(DATOS!$G4548="EX",1,IF(DATOS!$G4548="OR",--(COUNTIFS(nNIA,DATOS!$A4548,nCURSO,DATOS!$D4548,nESPEC,DATOS!$E4548,nASIG,DATOS!$I4548,nEVAL,"EX")=0),0))))</f>
      </c>
      <c r="H4548">
        <f>IF(DATOS!$G4548&lt;&gt;"EX",0,--(COUNTIFS(nNIA,DATOS!$A4548,nCURSO,DATOS!$D4548,nESPEC,DATOS!$E4548,nASIG,DATOS!$I4548,nEVAL,"OR")=0))</f>
      </c>
      <c r="I4548">
        <f>IF(DATOS!$I4548="","",IFERROR(VLOOKUP(DATOS!$I4548,CONFIG_ASIGNATURAS!$B$2:$J$91,9,FALSE()),""))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IF(DATOS!$A4549="",0,IF(CONFIG_METADATA!$B$4&lt;&gt;"OR+EX",--(DATOS!$G4549=CONFIG_METADATA!$B$4),IF(DATOS!$G4549="EX",1,IF(DATOS!$G4549="OR",--(COUNTIFS(nNIA,DATOS!$A4549,nCURSO,DATOS!$D4549,nESPEC,DATOS!$E4549,nASIG,DATOS!$I4549,nEVAL,"EX")=0),0))))</f>
      </c>
      <c r="H4549">
        <f>IF(DATOS!$G4549&lt;&gt;"EX",0,--(COUNTIFS(nNIA,DATOS!$A4549,nCURSO,DATOS!$D4549,nESPEC,DATOS!$E4549,nASIG,DATOS!$I4549,nEVAL,"OR")=0))</f>
      </c>
      <c r="I4549">
        <f>IF(DATOS!$I4549="","",IFERROR(VLOOKUP(DATOS!$I4549,CONFIG_ASIGNATURAS!$B$2:$J$91,9,FALSE()),""))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IF(DATOS!$A4550="",0,IF(CONFIG_METADATA!$B$4&lt;&gt;"OR+EX",--(DATOS!$G4550=CONFIG_METADATA!$B$4),IF(DATOS!$G4550="EX",1,IF(DATOS!$G4550="OR",--(COUNTIFS(nNIA,DATOS!$A4550,nCURSO,DATOS!$D4550,nESPEC,DATOS!$E4550,nASIG,DATOS!$I4550,nEVAL,"EX")=0),0))))</f>
      </c>
      <c r="H4550">
        <f>IF(DATOS!$G4550&lt;&gt;"EX",0,--(COUNTIFS(nNIA,DATOS!$A4550,nCURSO,DATOS!$D4550,nESPEC,DATOS!$E4550,nASIG,DATOS!$I4550,nEVAL,"OR")=0))</f>
      </c>
      <c r="I4550">
        <f>IF(DATOS!$I4550="","",IFERROR(VLOOKUP(DATOS!$I4550,CONFIG_ASIGNATURAS!$B$2:$J$91,9,FALSE()),""))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IF(DATOS!$A4551="",0,IF(CONFIG_METADATA!$B$4&lt;&gt;"OR+EX",--(DATOS!$G4551=CONFIG_METADATA!$B$4),IF(DATOS!$G4551="EX",1,IF(DATOS!$G4551="OR",--(COUNTIFS(nNIA,DATOS!$A4551,nCURSO,DATOS!$D4551,nESPEC,DATOS!$E4551,nASIG,DATOS!$I4551,nEVAL,"EX")=0),0))))</f>
      </c>
      <c r="H4551">
        <f>IF(DATOS!$G4551&lt;&gt;"EX",0,--(COUNTIFS(nNIA,DATOS!$A4551,nCURSO,DATOS!$D4551,nESPEC,DATOS!$E4551,nASIG,DATOS!$I4551,nEVAL,"OR")=0))</f>
      </c>
      <c r="I4551">
        <f>IF(DATOS!$I4551="","",IFERROR(VLOOKUP(DATOS!$I4551,CONFIG_ASIGNATURAS!$B$2:$J$91,9,FALSE()),""))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IF(DATOS!$A4552="",0,IF(CONFIG_METADATA!$B$4&lt;&gt;"OR+EX",--(DATOS!$G4552=CONFIG_METADATA!$B$4),IF(DATOS!$G4552="EX",1,IF(DATOS!$G4552="OR",--(COUNTIFS(nNIA,DATOS!$A4552,nCURSO,DATOS!$D4552,nESPEC,DATOS!$E4552,nASIG,DATOS!$I4552,nEVAL,"EX")=0),0))))</f>
      </c>
      <c r="H4552">
        <f>IF(DATOS!$G4552&lt;&gt;"EX",0,--(COUNTIFS(nNIA,DATOS!$A4552,nCURSO,DATOS!$D4552,nESPEC,DATOS!$E4552,nASIG,DATOS!$I4552,nEVAL,"OR")=0))</f>
      </c>
      <c r="I4552">
        <f>IF(DATOS!$I4552="","",IFERROR(VLOOKUP(DATOS!$I4552,CONFIG_ASIGNATURAS!$B$2:$J$91,9,FALSE()),""))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IF(DATOS!$A4553="",0,IF(CONFIG_METADATA!$B$4&lt;&gt;"OR+EX",--(DATOS!$G4553=CONFIG_METADATA!$B$4),IF(DATOS!$G4553="EX",1,IF(DATOS!$G4553="OR",--(COUNTIFS(nNIA,DATOS!$A4553,nCURSO,DATOS!$D4553,nESPEC,DATOS!$E4553,nASIG,DATOS!$I4553,nEVAL,"EX")=0),0))))</f>
      </c>
      <c r="H4553">
        <f>IF(DATOS!$G4553&lt;&gt;"EX",0,--(COUNTIFS(nNIA,DATOS!$A4553,nCURSO,DATOS!$D4553,nESPEC,DATOS!$E4553,nASIG,DATOS!$I4553,nEVAL,"OR")=0))</f>
      </c>
      <c r="I4553">
        <f>IF(DATOS!$I4553="","",IFERROR(VLOOKUP(DATOS!$I4553,CONFIG_ASIGNATURAS!$B$2:$J$91,9,FALSE()),""))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IF(DATOS!$A4554="",0,IF(CONFIG_METADATA!$B$4&lt;&gt;"OR+EX",--(DATOS!$G4554=CONFIG_METADATA!$B$4),IF(DATOS!$G4554="EX",1,IF(DATOS!$G4554="OR",--(COUNTIFS(nNIA,DATOS!$A4554,nCURSO,DATOS!$D4554,nESPEC,DATOS!$E4554,nASIG,DATOS!$I4554,nEVAL,"EX")=0),0))))</f>
      </c>
      <c r="H4554">
        <f>IF(DATOS!$G4554&lt;&gt;"EX",0,--(COUNTIFS(nNIA,DATOS!$A4554,nCURSO,DATOS!$D4554,nESPEC,DATOS!$E4554,nASIG,DATOS!$I4554,nEVAL,"OR")=0))</f>
      </c>
      <c r="I4554">
        <f>IF(DATOS!$I4554="","",IFERROR(VLOOKUP(DATOS!$I4554,CONFIG_ASIGNATURAS!$B$2:$J$91,9,FALSE()),""))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IF(DATOS!$A4555="",0,IF(CONFIG_METADATA!$B$4&lt;&gt;"OR+EX",--(DATOS!$G4555=CONFIG_METADATA!$B$4),IF(DATOS!$G4555="EX",1,IF(DATOS!$G4555="OR",--(COUNTIFS(nNIA,DATOS!$A4555,nCURSO,DATOS!$D4555,nESPEC,DATOS!$E4555,nASIG,DATOS!$I4555,nEVAL,"EX")=0),0))))</f>
      </c>
      <c r="H4555">
        <f>IF(DATOS!$G4555&lt;&gt;"EX",0,--(COUNTIFS(nNIA,DATOS!$A4555,nCURSO,DATOS!$D4555,nESPEC,DATOS!$E4555,nASIG,DATOS!$I4555,nEVAL,"OR")=0))</f>
      </c>
      <c r="I4555">
        <f>IF(DATOS!$I4555="","",IFERROR(VLOOKUP(DATOS!$I4555,CONFIG_ASIGNATURAS!$B$2:$J$91,9,FALSE()),""))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IF(DATOS!$A4556="",0,IF(CONFIG_METADATA!$B$4&lt;&gt;"OR+EX",--(DATOS!$G4556=CONFIG_METADATA!$B$4),IF(DATOS!$G4556="EX",1,IF(DATOS!$G4556="OR",--(COUNTIFS(nNIA,DATOS!$A4556,nCURSO,DATOS!$D4556,nESPEC,DATOS!$E4556,nASIG,DATOS!$I4556,nEVAL,"EX")=0),0))))</f>
      </c>
      <c r="H4556">
        <f>IF(DATOS!$G4556&lt;&gt;"EX",0,--(COUNTIFS(nNIA,DATOS!$A4556,nCURSO,DATOS!$D4556,nESPEC,DATOS!$E4556,nASIG,DATOS!$I4556,nEVAL,"OR")=0))</f>
      </c>
      <c r="I4556">
        <f>IF(DATOS!$I4556="","",IFERROR(VLOOKUP(DATOS!$I4556,CONFIG_ASIGNATURAS!$B$2:$J$91,9,FALSE()),""))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IF(DATOS!$A4557="",0,IF(CONFIG_METADATA!$B$4&lt;&gt;"OR+EX",--(DATOS!$G4557=CONFIG_METADATA!$B$4),IF(DATOS!$G4557="EX",1,IF(DATOS!$G4557="OR",--(COUNTIFS(nNIA,DATOS!$A4557,nCURSO,DATOS!$D4557,nESPEC,DATOS!$E4557,nASIG,DATOS!$I4557,nEVAL,"EX")=0),0))))</f>
      </c>
      <c r="H4557">
        <f>IF(DATOS!$G4557&lt;&gt;"EX",0,--(COUNTIFS(nNIA,DATOS!$A4557,nCURSO,DATOS!$D4557,nESPEC,DATOS!$E4557,nASIG,DATOS!$I4557,nEVAL,"OR")=0))</f>
      </c>
      <c r="I4557">
        <f>IF(DATOS!$I4557="","",IFERROR(VLOOKUP(DATOS!$I4557,CONFIG_ASIGNATURAS!$B$2:$J$91,9,FALSE()),""))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IF(DATOS!$A4558="",0,IF(CONFIG_METADATA!$B$4&lt;&gt;"OR+EX",--(DATOS!$G4558=CONFIG_METADATA!$B$4),IF(DATOS!$G4558="EX",1,IF(DATOS!$G4558="OR",--(COUNTIFS(nNIA,DATOS!$A4558,nCURSO,DATOS!$D4558,nESPEC,DATOS!$E4558,nASIG,DATOS!$I4558,nEVAL,"EX")=0),0))))</f>
      </c>
      <c r="H4558">
        <f>IF(DATOS!$G4558&lt;&gt;"EX",0,--(COUNTIFS(nNIA,DATOS!$A4558,nCURSO,DATOS!$D4558,nESPEC,DATOS!$E4558,nASIG,DATOS!$I4558,nEVAL,"OR")=0))</f>
      </c>
      <c r="I4558">
        <f>IF(DATOS!$I4558="","",IFERROR(VLOOKUP(DATOS!$I4558,CONFIG_ASIGNATURAS!$B$2:$J$91,9,FALSE()),""))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IF(DATOS!$A4559="",0,IF(CONFIG_METADATA!$B$4&lt;&gt;"OR+EX",--(DATOS!$G4559=CONFIG_METADATA!$B$4),IF(DATOS!$G4559="EX",1,IF(DATOS!$G4559="OR",--(COUNTIFS(nNIA,DATOS!$A4559,nCURSO,DATOS!$D4559,nESPEC,DATOS!$E4559,nASIG,DATOS!$I4559,nEVAL,"EX")=0),0))))</f>
      </c>
      <c r="H4559">
        <f>IF(DATOS!$G4559&lt;&gt;"EX",0,--(COUNTIFS(nNIA,DATOS!$A4559,nCURSO,DATOS!$D4559,nESPEC,DATOS!$E4559,nASIG,DATOS!$I4559,nEVAL,"OR")=0))</f>
      </c>
      <c r="I4559">
        <f>IF(DATOS!$I4559="","",IFERROR(VLOOKUP(DATOS!$I4559,CONFIG_ASIGNATURAS!$B$2:$J$91,9,FALSE()),""))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IF(DATOS!$A4560="",0,IF(CONFIG_METADATA!$B$4&lt;&gt;"OR+EX",--(DATOS!$G4560=CONFIG_METADATA!$B$4),IF(DATOS!$G4560="EX",1,IF(DATOS!$G4560="OR",--(COUNTIFS(nNIA,DATOS!$A4560,nCURSO,DATOS!$D4560,nESPEC,DATOS!$E4560,nASIG,DATOS!$I4560,nEVAL,"EX")=0),0))))</f>
      </c>
      <c r="H4560">
        <f>IF(DATOS!$G4560&lt;&gt;"EX",0,--(COUNTIFS(nNIA,DATOS!$A4560,nCURSO,DATOS!$D4560,nESPEC,DATOS!$E4560,nASIG,DATOS!$I4560,nEVAL,"OR")=0))</f>
      </c>
      <c r="I4560">
        <f>IF(DATOS!$I4560="","",IFERROR(VLOOKUP(DATOS!$I4560,CONFIG_ASIGNATURAS!$B$2:$J$91,9,FALSE()),""))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IF(DATOS!$A4561="",0,IF(CONFIG_METADATA!$B$4&lt;&gt;"OR+EX",--(DATOS!$G4561=CONFIG_METADATA!$B$4),IF(DATOS!$G4561="EX",1,IF(DATOS!$G4561="OR",--(COUNTIFS(nNIA,DATOS!$A4561,nCURSO,DATOS!$D4561,nESPEC,DATOS!$E4561,nASIG,DATOS!$I4561,nEVAL,"EX")=0),0))))</f>
      </c>
      <c r="H4561">
        <f>IF(DATOS!$G4561&lt;&gt;"EX",0,--(COUNTIFS(nNIA,DATOS!$A4561,nCURSO,DATOS!$D4561,nESPEC,DATOS!$E4561,nASIG,DATOS!$I4561,nEVAL,"OR")=0))</f>
      </c>
      <c r="I4561">
        <f>IF(DATOS!$I4561="","",IFERROR(VLOOKUP(DATOS!$I4561,CONFIG_ASIGNATURAS!$B$2:$J$91,9,FALSE()),""))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IF(DATOS!$A4562="",0,IF(CONFIG_METADATA!$B$4&lt;&gt;"OR+EX",--(DATOS!$G4562=CONFIG_METADATA!$B$4),IF(DATOS!$G4562="EX",1,IF(DATOS!$G4562="OR",--(COUNTIFS(nNIA,DATOS!$A4562,nCURSO,DATOS!$D4562,nESPEC,DATOS!$E4562,nASIG,DATOS!$I4562,nEVAL,"EX")=0),0))))</f>
      </c>
      <c r="H4562">
        <f>IF(DATOS!$G4562&lt;&gt;"EX",0,--(COUNTIFS(nNIA,DATOS!$A4562,nCURSO,DATOS!$D4562,nESPEC,DATOS!$E4562,nASIG,DATOS!$I4562,nEVAL,"OR")=0))</f>
      </c>
      <c r="I4562">
        <f>IF(DATOS!$I4562="","",IFERROR(VLOOKUP(DATOS!$I4562,CONFIG_ASIGNATURAS!$B$2:$J$91,9,FALSE()),""))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IF(DATOS!$A4563="",0,IF(CONFIG_METADATA!$B$4&lt;&gt;"OR+EX",--(DATOS!$G4563=CONFIG_METADATA!$B$4),IF(DATOS!$G4563="EX",1,IF(DATOS!$G4563="OR",--(COUNTIFS(nNIA,DATOS!$A4563,nCURSO,DATOS!$D4563,nESPEC,DATOS!$E4563,nASIG,DATOS!$I4563,nEVAL,"EX")=0),0))))</f>
      </c>
      <c r="H4563">
        <f>IF(DATOS!$G4563&lt;&gt;"EX",0,--(COUNTIFS(nNIA,DATOS!$A4563,nCURSO,DATOS!$D4563,nESPEC,DATOS!$E4563,nASIG,DATOS!$I4563,nEVAL,"OR")=0))</f>
      </c>
      <c r="I4563">
        <f>IF(DATOS!$I4563="","",IFERROR(VLOOKUP(DATOS!$I4563,CONFIG_ASIGNATURAS!$B$2:$J$91,9,FALSE()),""))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IF(DATOS!$A4564="",0,IF(CONFIG_METADATA!$B$4&lt;&gt;"OR+EX",--(DATOS!$G4564=CONFIG_METADATA!$B$4),IF(DATOS!$G4564="EX",1,IF(DATOS!$G4564="OR",--(COUNTIFS(nNIA,DATOS!$A4564,nCURSO,DATOS!$D4564,nESPEC,DATOS!$E4564,nASIG,DATOS!$I4564,nEVAL,"EX")=0),0))))</f>
      </c>
      <c r="H4564">
        <f>IF(DATOS!$G4564&lt;&gt;"EX",0,--(COUNTIFS(nNIA,DATOS!$A4564,nCURSO,DATOS!$D4564,nESPEC,DATOS!$E4564,nASIG,DATOS!$I4564,nEVAL,"OR")=0))</f>
      </c>
      <c r="I4564">
        <f>IF(DATOS!$I4564="","",IFERROR(VLOOKUP(DATOS!$I4564,CONFIG_ASIGNATURAS!$B$2:$J$91,9,FALSE()),""))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IF(DATOS!$A4565="",0,IF(CONFIG_METADATA!$B$4&lt;&gt;"OR+EX",--(DATOS!$G4565=CONFIG_METADATA!$B$4),IF(DATOS!$G4565="EX",1,IF(DATOS!$G4565="OR",--(COUNTIFS(nNIA,DATOS!$A4565,nCURSO,DATOS!$D4565,nESPEC,DATOS!$E4565,nASIG,DATOS!$I4565,nEVAL,"EX")=0),0))))</f>
      </c>
      <c r="H4565">
        <f>IF(DATOS!$G4565&lt;&gt;"EX",0,--(COUNTIFS(nNIA,DATOS!$A4565,nCURSO,DATOS!$D4565,nESPEC,DATOS!$E4565,nASIG,DATOS!$I4565,nEVAL,"OR")=0))</f>
      </c>
      <c r="I4565">
        <f>IF(DATOS!$I4565="","",IFERROR(VLOOKUP(DATOS!$I4565,CONFIG_ASIGNATURAS!$B$2:$J$91,9,FALSE()),""))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IF(DATOS!$A4566="",0,IF(CONFIG_METADATA!$B$4&lt;&gt;"OR+EX",--(DATOS!$G4566=CONFIG_METADATA!$B$4),IF(DATOS!$G4566="EX",1,IF(DATOS!$G4566="OR",--(COUNTIFS(nNIA,DATOS!$A4566,nCURSO,DATOS!$D4566,nESPEC,DATOS!$E4566,nASIG,DATOS!$I4566,nEVAL,"EX")=0),0))))</f>
      </c>
      <c r="H4566">
        <f>IF(DATOS!$G4566&lt;&gt;"EX",0,--(COUNTIFS(nNIA,DATOS!$A4566,nCURSO,DATOS!$D4566,nESPEC,DATOS!$E4566,nASIG,DATOS!$I4566,nEVAL,"OR")=0))</f>
      </c>
      <c r="I4566">
        <f>IF(DATOS!$I4566="","",IFERROR(VLOOKUP(DATOS!$I4566,CONFIG_ASIGNATURAS!$B$2:$J$91,9,FALSE()),""))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IF(DATOS!$A4567="",0,IF(CONFIG_METADATA!$B$4&lt;&gt;"OR+EX",--(DATOS!$G4567=CONFIG_METADATA!$B$4),IF(DATOS!$G4567="EX",1,IF(DATOS!$G4567="OR",--(COUNTIFS(nNIA,DATOS!$A4567,nCURSO,DATOS!$D4567,nESPEC,DATOS!$E4567,nASIG,DATOS!$I4567,nEVAL,"EX")=0),0))))</f>
      </c>
      <c r="H4567">
        <f>IF(DATOS!$G4567&lt;&gt;"EX",0,--(COUNTIFS(nNIA,DATOS!$A4567,nCURSO,DATOS!$D4567,nESPEC,DATOS!$E4567,nASIG,DATOS!$I4567,nEVAL,"OR")=0))</f>
      </c>
      <c r="I4567">
        <f>IF(DATOS!$I4567="","",IFERROR(VLOOKUP(DATOS!$I4567,CONFIG_ASIGNATURAS!$B$2:$J$91,9,FALSE()),""))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IF(DATOS!$A4568="",0,IF(CONFIG_METADATA!$B$4&lt;&gt;"OR+EX",--(DATOS!$G4568=CONFIG_METADATA!$B$4),IF(DATOS!$G4568="EX",1,IF(DATOS!$G4568="OR",--(COUNTIFS(nNIA,DATOS!$A4568,nCURSO,DATOS!$D4568,nESPEC,DATOS!$E4568,nASIG,DATOS!$I4568,nEVAL,"EX")=0),0))))</f>
      </c>
      <c r="H4568">
        <f>IF(DATOS!$G4568&lt;&gt;"EX",0,--(COUNTIFS(nNIA,DATOS!$A4568,nCURSO,DATOS!$D4568,nESPEC,DATOS!$E4568,nASIG,DATOS!$I4568,nEVAL,"OR")=0))</f>
      </c>
      <c r="I4568">
        <f>IF(DATOS!$I4568="","",IFERROR(VLOOKUP(DATOS!$I4568,CONFIG_ASIGNATURAS!$B$2:$J$91,9,FALSE()),""))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IF(DATOS!$A4569="",0,IF(CONFIG_METADATA!$B$4&lt;&gt;"OR+EX",--(DATOS!$G4569=CONFIG_METADATA!$B$4),IF(DATOS!$G4569="EX",1,IF(DATOS!$G4569="OR",--(COUNTIFS(nNIA,DATOS!$A4569,nCURSO,DATOS!$D4569,nESPEC,DATOS!$E4569,nASIG,DATOS!$I4569,nEVAL,"EX")=0),0))))</f>
      </c>
      <c r="H4569">
        <f>IF(DATOS!$G4569&lt;&gt;"EX",0,--(COUNTIFS(nNIA,DATOS!$A4569,nCURSO,DATOS!$D4569,nESPEC,DATOS!$E4569,nASIG,DATOS!$I4569,nEVAL,"OR")=0))</f>
      </c>
      <c r="I4569">
        <f>IF(DATOS!$I4569="","",IFERROR(VLOOKUP(DATOS!$I4569,CONFIG_ASIGNATURAS!$B$2:$J$91,9,FALSE()),""))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IF(DATOS!$A4570="",0,IF(CONFIG_METADATA!$B$4&lt;&gt;"OR+EX",--(DATOS!$G4570=CONFIG_METADATA!$B$4),IF(DATOS!$G4570="EX",1,IF(DATOS!$G4570="OR",--(COUNTIFS(nNIA,DATOS!$A4570,nCURSO,DATOS!$D4570,nESPEC,DATOS!$E4570,nASIG,DATOS!$I4570,nEVAL,"EX")=0),0))))</f>
      </c>
      <c r="H4570">
        <f>IF(DATOS!$G4570&lt;&gt;"EX",0,--(COUNTIFS(nNIA,DATOS!$A4570,nCURSO,DATOS!$D4570,nESPEC,DATOS!$E4570,nASIG,DATOS!$I4570,nEVAL,"OR")=0))</f>
      </c>
      <c r="I4570">
        <f>IF(DATOS!$I4570="","",IFERROR(VLOOKUP(DATOS!$I4570,CONFIG_ASIGNATURAS!$B$2:$J$91,9,FALSE()),""))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IF(DATOS!$A4571="",0,IF(CONFIG_METADATA!$B$4&lt;&gt;"OR+EX",--(DATOS!$G4571=CONFIG_METADATA!$B$4),IF(DATOS!$G4571="EX",1,IF(DATOS!$G4571="OR",--(COUNTIFS(nNIA,DATOS!$A4571,nCURSO,DATOS!$D4571,nESPEC,DATOS!$E4571,nASIG,DATOS!$I4571,nEVAL,"EX")=0),0))))</f>
      </c>
      <c r="H4571">
        <f>IF(DATOS!$G4571&lt;&gt;"EX",0,--(COUNTIFS(nNIA,DATOS!$A4571,nCURSO,DATOS!$D4571,nESPEC,DATOS!$E4571,nASIG,DATOS!$I4571,nEVAL,"OR")=0))</f>
      </c>
      <c r="I4571">
        <f>IF(DATOS!$I4571="","",IFERROR(VLOOKUP(DATOS!$I4571,CONFIG_ASIGNATURAS!$B$2:$J$91,9,FALSE()),""))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IF(DATOS!$A4572="",0,IF(CONFIG_METADATA!$B$4&lt;&gt;"OR+EX",--(DATOS!$G4572=CONFIG_METADATA!$B$4),IF(DATOS!$G4572="EX",1,IF(DATOS!$G4572="OR",--(COUNTIFS(nNIA,DATOS!$A4572,nCURSO,DATOS!$D4572,nESPEC,DATOS!$E4572,nASIG,DATOS!$I4572,nEVAL,"EX")=0),0))))</f>
      </c>
      <c r="H4572">
        <f>IF(DATOS!$G4572&lt;&gt;"EX",0,--(COUNTIFS(nNIA,DATOS!$A4572,nCURSO,DATOS!$D4572,nESPEC,DATOS!$E4572,nASIG,DATOS!$I4572,nEVAL,"OR")=0))</f>
      </c>
      <c r="I4572">
        <f>IF(DATOS!$I4572="","",IFERROR(VLOOKUP(DATOS!$I4572,CONFIG_ASIGNATURAS!$B$2:$J$91,9,FALSE()),""))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IF(DATOS!$A4573="",0,IF(CONFIG_METADATA!$B$4&lt;&gt;"OR+EX",--(DATOS!$G4573=CONFIG_METADATA!$B$4),IF(DATOS!$G4573="EX",1,IF(DATOS!$G4573="OR",--(COUNTIFS(nNIA,DATOS!$A4573,nCURSO,DATOS!$D4573,nESPEC,DATOS!$E4573,nASIG,DATOS!$I4573,nEVAL,"EX")=0),0))))</f>
      </c>
      <c r="H4573">
        <f>IF(DATOS!$G4573&lt;&gt;"EX",0,--(COUNTIFS(nNIA,DATOS!$A4573,nCURSO,DATOS!$D4573,nESPEC,DATOS!$E4573,nASIG,DATOS!$I4573,nEVAL,"OR")=0))</f>
      </c>
      <c r="I4573">
        <f>IF(DATOS!$I4573="","",IFERROR(VLOOKUP(DATOS!$I4573,CONFIG_ASIGNATURAS!$B$2:$J$91,9,FALSE()),""))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IF(DATOS!$A4574="",0,IF(CONFIG_METADATA!$B$4&lt;&gt;"OR+EX",--(DATOS!$G4574=CONFIG_METADATA!$B$4),IF(DATOS!$G4574="EX",1,IF(DATOS!$G4574="OR",--(COUNTIFS(nNIA,DATOS!$A4574,nCURSO,DATOS!$D4574,nESPEC,DATOS!$E4574,nASIG,DATOS!$I4574,nEVAL,"EX")=0),0))))</f>
      </c>
      <c r="H4574">
        <f>IF(DATOS!$G4574&lt;&gt;"EX",0,--(COUNTIFS(nNIA,DATOS!$A4574,nCURSO,DATOS!$D4574,nESPEC,DATOS!$E4574,nASIG,DATOS!$I4574,nEVAL,"OR")=0))</f>
      </c>
      <c r="I4574">
        <f>IF(DATOS!$I4574="","",IFERROR(VLOOKUP(DATOS!$I4574,CONFIG_ASIGNATURAS!$B$2:$J$91,9,FALSE()),""))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IF(DATOS!$A4575="",0,IF(CONFIG_METADATA!$B$4&lt;&gt;"OR+EX",--(DATOS!$G4575=CONFIG_METADATA!$B$4),IF(DATOS!$G4575="EX",1,IF(DATOS!$G4575="OR",--(COUNTIFS(nNIA,DATOS!$A4575,nCURSO,DATOS!$D4575,nESPEC,DATOS!$E4575,nASIG,DATOS!$I4575,nEVAL,"EX")=0),0))))</f>
      </c>
      <c r="H4575">
        <f>IF(DATOS!$G4575&lt;&gt;"EX",0,--(COUNTIFS(nNIA,DATOS!$A4575,nCURSO,DATOS!$D4575,nESPEC,DATOS!$E4575,nASIG,DATOS!$I4575,nEVAL,"OR")=0))</f>
      </c>
      <c r="I4575">
        <f>IF(DATOS!$I4575="","",IFERROR(VLOOKUP(DATOS!$I4575,CONFIG_ASIGNATURAS!$B$2:$J$91,9,FALSE()),""))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IF(DATOS!$A4576="",0,IF(CONFIG_METADATA!$B$4&lt;&gt;"OR+EX",--(DATOS!$G4576=CONFIG_METADATA!$B$4),IF(DATOS!$G4576="EX",1,IF(DATOS!$G4576="OR",--(COUNTIFS(nNIA,DATOS!$A4576,nCURSO,DATOS!$D4576,nESPEC,DATOS!$E4576,nASIG,DATOS!$I4576,nEVAL,"EX")=0),0))))</f>
      </c>
      <c r="H4576">
        <f>IF(DATOS!$G4576&lt;&gt;"EX",0,--(COUNTIFS(nNIA,DATOS!$A4576,nCURSO,DATOS!$D4576,nESPEC,DATOS!$E4576,nASIG,DATOS!$I4576,nEVAL,"OR")=0))</f>
      </c>
      <c r="I4576">
        <f>IF(DATOS!$I4576="","",IFERROR(VLOOKUP(DATOS!$I4576,CONFIG_ASIGNATURAS!$B$2:$J$91,9,FALSE()),""))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IF(DATOS!$A4577="",0,IF(CONFIG_METADATA!$B$4&lt;&gt;"OR+EX",--(DATOS!$G4577=CONFIG_METADATA!$B$4),IF(DATOS!$G4577="EX",1,IF(DATOS!$G4577="OR",--(COUNTIFS(nNIA,DATOS!$A4577,nCURSO,DATOS!$D4577,nESPEC,DATOS!$E4577,nASIG,DATOS!$I4577,nEVAL,"EX")=0),0))))</f>
      </c>
      <c r="H4577">
        <f>IF(DATOS!$G4577&lt;&gt;"EX",0,--(COUNTIFS(nNIA,DATOS!$A4577,nCURSO,DATOS!$D4577,nESPEC,DATOS!$E4577,nASIG,DATOS!$I4577,nEVAL,"OR")=0))</f>
      </c>
      <c r="I4577">
        <f>IF(DATOS!$I4577="","",IFERROR(VLOOKUP(DATOS!$I4577,CONFIG_ASIGNATURAS!$B$2:$J$91,9,FALSE()),""))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IF(DATOS!$A4578="",0,IF(CONFIG_METADATA!$B$4&lt;&gt;"OR+EX",--(DATOS!$G4578=CONFIG_METADATA!$B$4),IF(DATOS!$G4578="EX",1,IF(DATOS!$G4578="OR",--(COUNTIFS(nNIA,DATOS!$A4578,nCURSO,DATOS!$D4578,nESPEC,DATOS!$E4578,nASIG,DATOS!$I4578,nEVAL,"EX")=0),0))))</f>
      </c>
      <c r="H4578">
        <f>IF(DATOS!$G4578&lt;&gt;"EX",0,--(COUNTIFS(nNIA,DATOS!$A4578,nCURSO,DATOS!$D4578,nESPEC,DATOS!$E4578,nASIG,DATOS!$I4578,nEVAL,"OR")=0))</f>
      </c>
      <c r="I4578">
        <f>IF(DATOS!$I4578="","",IFERROR(VLOOKUP(DATOS!$I4578,CONFIG_ASIGNATURAS!$B$2:$J$91,9,FALSE()),""))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IF(DATOS!$A4579="",0,IF(CONFIG_METADATA!$B$4&lt;&gt;"OR+EX",--(DATOS!$G4579=CONFIG_METADATA!$B$4),IF(DATOS!$G4579="EX",1,IF(DATOS!$G4579="OR",--(COUNTIFS(nNIA,DATOS!$A4579,nCURSO,DATOS!$D4579,nESPEC,DATOS!$E4579,nASIG,DATOS!$I4579,nEVAL,"EX")=0),0))))</f>
      </c>
      <c r="H4579">
        <f>IF(DATOS!$G4579&lt;&gt;"EX",0,--(COUNTIFS(nNIA,DATOS!$A4579,nCURSO,DATOS!$D4579,nESPEC,DATOS!$E4579,nASIG,DATOS!$I4579,nEVAL,"OR")=0))</f>
      </c>
      <c r="I4579">
        <f>IF(DATOS!$I4579="","",IFERROR(VLOOKUP(DATOS!$I4579,CONFIG_ASIGNATURAS!$B$2:$J$91,9,FALSE()),""))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IF(DATOS!$A4580="",0,IF(CONFIG_METADATA!$B$4&lt;&gt;"OR+EX",--(DATOS!$G4580=CONFIG_METADATA!$B$4),IF(DATOS!$G4580="EX",1,IF(DATOS!$G4580="OR",--(COUNTIFS(nNIA,DATOS!$A4580,nCURSO,DATOS!$D4580,nESPEC,DATOS!$E4580,nASIG,DATOS!$I4580,nEVAL,"EX")=0),0))))</f>
      </c>
      <c r="H4580">
        <f>IF(DATOS!$G4580&lt;&gt;"EX",0,--(COUNTIFS(nNIA,DATOS!$A4580,nCURSO,DATOS!$D4580,nESPEC,DATOS!$E4580,nASIG,DATOS!$I4580,nEVAL,"OR")=0))</f>
      </c>
      <c r="I4580">
        <f>IF(DATOS!$I4580="","",IFERROR(VLOOKUP(DATOS!$I4580,CONFIG_ASIGNATURAS!$B$2:$J$91,9,FALSE()),""))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IF(DATOS!$A4581="",0,IF(CONFIG_METADATA!$B$4&lt;&gt;"OR+EX",--(DATOS!$G4581=CONFIG_METADATA!$B$4),IF(DATOS!$G4581="EX",1,IF(DATOS!$G4581="OR",--(COUNTIFS(nNIA,DATOS!$A4581,nCURSO,DATOS!$D4581,nESPEC,DATOS!$E4581,nASIG,DATOS!$I4581,nEVAL,"EX")=0),0))))</f>
      </c>
      <c r="H4581">
        <f>IF(DATOS!$G4581&lt;&gt;"EX",0,--(COUNTIFS(nNIA,DATOS!$A4581,nCURSO,DATOS!$D4581,nESPEC,DATOS!$E4581,nASIG,DATOS!$I4581,nEVAL,"OR")=0))</f>
      </c>
      <c r="I4581">
        <f>IF(DATOS!$I4581="","",IFERROR(VLOOKUP(DATOS!$I4581,CONFIG_ASIGNATURAS!$B$2:$J$91,9,FALSE()),""))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IF(DATOS!$A4582="",0,IF(CONFIG_METADATA!$B$4&lt;&gt;"OR+EX",--(DATOS!$G4582=CONFIG_METADATA!$B$4),IF(DATOS!$G4582="EX",1,IF(DATOS!$G4582="OR",--(COUNTIFS(nNIA,DATOS!$A4582,nCURSO,DATOS!$D4582,nESPEC,DATOS!$E4582,nASIG,DATOS!$I4582,nEVAL,"EX")=0),0))))</f>
      </c>
      <c r="H4582">
        <f>IF(DATOS!$G4582&lt;&gt;"EX",0,--(COUNTIFS(nNIA,DATOS!$A4582,nCURSO,DATOS!$D4582,nESPEC,DATOS!$E4582,nASIG,DATOS!$I4582,nEVAL,"OR")=0))</f>
      </c>
      <c r="I4582">
        <f>IF(DATOS!$I4582="","",IFERROR(VLOOKUP(DATOS!$I4582,CONFIG_ASIGNATURAS!$B$2:$J$91,9,FALSE()),""))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IF(DATOS!$A4583="",0,IF(CONFIG_METADATA!$B$4&lt;&gt;"OR+EX",--(DATOS!$G4583=CONFIG_METADATA!$B$4),IF(DATOS!$G4583="EX",1,IF(DATOS!$G4583="OR",--(COUNTIFS(nNIA,DATOS!$A4583,nCURSO,DATOS!$D4583,nESPEC,DATOS!$E4583,nASIG,DATOS!$I4583,nEVAL,"EX")=0),0))))</f>
      </c>
      <c r="H4583">
        <f>IF(DATOS!$G4583&lt;&gt;"EX",0,--(COUNTIFS(nNIA,DATOS!$A4583,nCURSO,DATOS!$D4583,nESPEC,DATOS!$E4583,nASIG,DATOS!$I4583,nEVAL,"OR")=0))</f>
      </c>
      <c r="I4583">
        <f>IF(DATOS!$I4583="","",IFERROR(VLOOKUP(DATOS!$I4583,CONFIG_ASIGNATURAS!$B$2:$J$91,9,FALSE()),""))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IF(DATOS!$A4584="",0,IF(CONFIG_METADATA!$B$4&lt;&gt;"OR+EX",--(DATOS!$G4584=CONFIG_METADATA!$B$4),IF(DATOS!$G4584="EX",1,IF(DATOS!$G4584="OR",--(COUNTIFS(nNIA,DATOS!$A4584,nCURSO,DATOS!$D4584,nESPEC,DATOS!$E4584,nASIG,DATOS!$I4584,nEVAL,"EX")=0),0))))</f>
      </c>
      <c r="H4584">
        <f>IF(DATOS!$G4584&lt;&gt;"EX",0,--(COUNTIFS(nNIA,DATOS!$A4584,nCURSO,DATOS!$D4584,nESPEC,DATOS!$E4584,nASIG,DATOS!$I4584,nEVAL,"OR")=0))</f>
      </c>
      <c r="I4584">
        <f>IF(DATOS!$I4584="","",IFERROR(VLOOKUP(DATOS!$I4584,CONFIG_ASIGNATURAS!$B$2:$J$91,9,FALSE()),""))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IF(DATOS!$A4585="",0,IF(CONFIG_METADATA!$B$4&lt;&gt;"OR+EX",--(DATOS!$G4585=CONFIG_METADATA!$B$4),IF(DATOS!$G4585="EX",1,IF(DATOS!$G4585="OR",--(COUNTIFS(nNIA,DATOS!$A4585,nCURSO,DATOS!$D4585,nESPEC,DATOS!$E4585,nASIG,DATOS!$I4585,nEVAL,"EX")=0),0))))</f>
      </c>
      <c r="H4585">
        <f>IF(DATOS!$G4585&lt;&gt;"EX",0,--(COUNTIFS(nNIA,DATOS!$A4585,nCURSO,DATOS!$D4585,nESPEC,DATOS!$E4585,nASIG,DATOS!$I4585,nEVAL,"OR")=0))</f>
      </c>
      <c r="I4585">
        <f>IF(DATOS!$I4585="","",IFERROR(VLOOKUP(DATOS!$I4585,CONFIG_ASIGNATURAS!$B$2:$J$91,9,FALSE()),""))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IF(DATOS!$A4586="",0,IF(CONFIG_METADATA!$B$4&lt;&gt;"OR+EX",--(DATOS!$G4586=CONFIG_METADATA!$B$4),IF(DATOS!$G4586="EX",1,IF(DATOS!$G4586="OR",--(COUNTIFS(nNIA,DATOS!$A4586,nCURSO,DATOS!$D4586,nESPEC,DATOS!$E4586,nASIG,DATOS!$I4586,nEVAL,"EX")=0),0))))</f>
      </c>
      <c r="H4586">
        <f>IF(DATOS!$G4586&lt;&gt;"EX",0,--(COUNTIFS(nNIA,DATOS!$A4586,nCURSO,DATOS!$D4586,nESPEC,DATOS!$E4586,nASIG,DATOS!$I4586,nEVAL,"OR")=0))</f>
      </c>
      <c r="I4586">
        <f>IF(DATOS!$I4586="","",IFERROR(VLOOKUP(DATOS!$I4586,CONFIG_ASIGNATURAS!$B$2:$J$91,9,FALSE()),""))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IF(DATOS!$A4587="",0,IF(CONFIG_METADATA!$B$4&lt;&gt;"OR+EX",--(DATOS!$G4587=CONFIG_METADATA!$B$4),IF(DATOS!$G4587="EX",1,IF(DATOS!$G4587="OR",--(COUNTIFS(nNIA,DATOS!$A4587,nCURSO,DATOS!$D4587,nESPEC,DATOS!$E4587,nASIG,DATOS!$I4587,nEVAL,"EX")=0),0))))</f>
      </c>
      <c r="H4587">
        <f>IF(DATOS!$G4587&lt;&gt;"EX",0,--(COUNTIFS(nNIA,DATOS!$A4587,nCURSO,DATOS!$D4587,nESPEC,DATOS!$E4587,nASIG,DATOS!$I4587,nEVAL,"OR")=0))</f>
      </c>
      <c r="I4587">
        <f>IF(DATOS!$I4587="","",IFERROR(VLOOKUP(DATOS!$I4587,CONFIG_ASIGNATURAS!$B$2:$J$91,9,FALSE()),""))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IF(DATOS!$A4588="",0,IF(CONFIG_METADATA!$B$4&lt;&gt;"OR+EX",--(DATOS!$G4588=CONFIG_METADATA!$B$4),IF(DATOS!$G4588="EX",1,IF(DATOS!$G4588="OR",--(COUNTIFS(nNIA,DATOS!$A4588,nCURSO,DATOS!$D4588,nESPEC,DATOS!$E4588,nASIG,DATOS!$I4588,nEVAL,"EX")=0),0))))</f>
      </c>
      <c r="H4588">
        <f>IF(DATOS!$G4588&lt;&gt;"EX",0,--(COUNTIFS(nNIA,DATOS!$A4588,nCURSO,DATOS!$D4588,nESPEC,DATOS!$E4588,nASIG,DATOS!$I4588,nEVAL,"OR")=0))</f>
      </c>
      <c r="I4588">
        <f>IF(DATOS!$I4588="","",IFERROR(VLOOKUP(DATOS!$I4588,CONFIG_ASIGNATURAS!$B$2:$J$91,9,FALSE()),""))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IF(DATOS!$A4589="",0,IF(CONFIG_METADATA!$B$4&lt;&gt;"OR+EX",--(DATOS!$G4589=CONFIG_METADATA!$B$4),IF(DATOS!$G4589="EX",1,IF(DATOS!$G4589="OR",--(COUNTIFS(nNIA,DATOS!$A4589,nCURSO,DATOS!$D4589,nESPEC,DATOS!$E4589,nASIG,DATOS!$I4589,nEVAL,"EX")=0),0))))</f>
      </c>
      <c r="H4589">
        <f>IF(DATOS!$G4589&lt;&gt;"EX",0,--(COUNTIFS(nNIA,DATOS!$A4589,nCURSO,DATOS!$D4589,nESPEC,DATOS!$E4589,nASIG,DATOS!$I4589,nEVAL,"OR")=0))</f>
      </c>
      <c r="I4589">
        <f>IF(DATOS!$I4589="","",IFERROR(VLOOKUP(DATOS!$I4589,CONFIG_ASIGNATURAS!$B$2:$J$91,9,FALSE()),""))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IF(DATOS!$A4590="",0,IF(CONFIG_METADATA!$B$4&lt;&gt;"OR+EX",--(DATOS!$G4590=CONFIG_METADATA!$B$4),IF(DATOS!$G4590="EX",1,IF(DATOS!$G4590="OR",--(COUNTIFS(nNIA,DATOS!$A4590,nCURSO,DATOS!$D4590,nESPEC,DATOS!$E4590,nASIG,DATOS!$I4590,nEVAL,"EX")=0),0))))</f>
      </c>
      <c r="H4590">
        <f>IF(DATOS!$G4590&lt;&gt;"EX",0,--(COUNTIFS(nNIA,DATOS!$A4590,nCURSO,DATOS!$D4590,nESPEC,DATOS!$E4590,nASIG,DATOS!$I4590,nEVAL,"OR")=0))</f>
      </c>
      <c r="I4590">
        <f>IF(DATOS!$I4590="","",IFERROR(VLOOKUP(DATOS!$I4590,CONFIG_ASIGNATURAS!$B$2:$J$91,9,FALSE()),""))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IF(DATOS!$A4591="",0,IF(CONFIG_METADATA!$B$4&lt;&gt;"OR+EX",--(DATOS!$G4591=CONFIG_METADATA!$B$4),IF(DATOS!$G4591="EX",1,IF(DATOS!$G4591="OR",--(COUNTIFS(nNIA,DATOS!$A4591,nCURSO,DATOS!$D4591,nESPEC,DATOS!$E4591,nASIG,DATOS!$I4591,nEVAL,"EX")=0),0))))</f>
      </c>
      <c r="H4591">
        <f>IF(DATOS!$G4591&lt;&gt;"EX",0,--(COUNTIFS(nNIA,DATOS!$A4591,nCURSO,DATOS!$D4591,nESPEC,DATOS!$E4591,nASIG,DATOS!$I4591,nEVAL,"OR")=0))</f>
      </c>
      <c r="I4591">
        <f>IF(DATOS!$I4591="","",IFERROR(VLOOKUP(DATOS!$I4591,CONFIG_ASIGNATURAS!$B$2:$J$91,9,FALSE()),""))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IF(DATOS!$A4592="",0,IF(CONFIG_METADATA!$B$4&lt;&gt;"OR+EX",--(DATOS!$G4592=CONFIG_METADATA!$B$4),IF(DATOS!$G4592="EX",1,IF(DATOS!$G4592="OR",--(COUNTIFS(nNIA,DATOS!$A4592,nCURSO,DATOS!$D4592,nESPEC,DATOS!$E4592,nASIG,DATOS!$I4592,nEVAL,"EX")=0),0))))</f>
      </c>
      <c r="H4592">
        <f>IF(DATOS!$G4592&lt;&gt;"EX",0,--(COUNTIFS(nNIA,DATOS!$A4592,nCURSO,DATOS!$D4592,nESPEC,DATOS!$E4592,nASIG,DATOS!$I4592,nEVAL,"OR")=0))</f>
      </c>
      <c r="I4592">
        <f>IF(DATOS!$I4592="","",IFERROR(VLOOKUP(DATOS!$I4592,CONFIG_ASIGNATURAS!$B$2:$J$91,9,FALSE()),""))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IF(DATOS!$A4593="",0,IF(CONFIG_METADATA!$B$4&lt;&gt;"OR+EX",--(DATOS!$G4593=CONFIG_METADATA!$B$4),IF(DATOS!$G4593="EX",1,IF(DATOS!$G4593="OR",--(COUNTIFS(nNIA,DATOS!$A4593,nCURSO,DATOS!$D4593,nESPEC,DATOS!$E4593,nASIG,DATOS!$I4593,nEVAL,"EX")=0),0))))</f>
      </c>
      <c r="H4593">
        <f>IF(DATOS!$G4593&lt;&gt;"EX",0,--(COUNTIFS(nNIA,DATOS!$A4593,nCURSO,DATOS!$D4593,nESPEC,DATOS!$E4593,nASIG,DATOS!$I4593,nEVAL,"OR")=0))</f>
      </c>
      <c r="I4593">
        <f>IF(DATOS!$I4593="","",IFERROR(VLOOKUP(DATOS!$I4593,CONFIG_ASIGNATURAS!$B$2:$J$91,9,FALSE()),""))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IF(DATOS!$A4594="",0,IF(CONFIG_METADATA!$B$4&lt;&gt;"OR+EX",--(DATOS!$G4594=CONFIG_METADATA!$B$4),IF(DATOS!$G4594="EX",1,IF(DATOS!$G4594="OR",--(COUNTIFS(nNIA,DATOS!$A4594,nCURSO,DATOS!$D4594,nESPEC,DATOS!$E4594,nASIG,DATOS!$I4594,nEVAL,"EX")=0),0))))</f>
      </c>
      <c r="H4594">
        <f>IF(DATOS!$G4594&lt;&gt;"EX",0,--(COUNTIFS(nNIA,DATOS!$A4594,nCURSO,DATOS!$D4594,nESPEC,DATOS!$E4594,nASIG,DATOS!$I4594,nEVAL,"OR")=0))</f>
      </c>
      <c r="I4594">
        <f>IF(DATOS!$I4594="","",IFERROR(VLOOKUP(DATOS!$I4594,CONFIG_ASIGNATURAS!$B$2:$J$91,9,FALSE()),""))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IF(DATOS!$A4595="",0,IF(CONFIG_METADATA!$B$4&lt;&gt;"OR+EX",--(DATOS!$G4595=CONFIG_METADATA!$B$4),IF(DATOS!$G4595="EX",1,IF(DATOS!$G4595="OR",--(COUNTIFS(nNIA,DATOS!$A4595,nCURSO,DATOS!$D4595,nESPEC,DATOS!$E4595,nASIG,DATOS!$I4595,nEVAL,"EX")=0),0))))</f>
      </c>
      <c r="H4595">
        <f>IF(DATOS!$G4595&lt;&gt;"EX",0,--(COUNTIFS(nNIA,DATOS!$A4595,nCURSO,DATOS!$D4595,nESPEC,DATOS!$E4595,nASIG,DATOS!$I4595,nEVAL,"OR")=0))</f>
      </c>
      <c r="I4595">
        <f>IF(DATOS!$I4595="","",IFERROR(VLOOKUP(DATOS!$I4595,CONFIG_ASIGNATURAS!$B$2:$J$91,9,FALSE()),""))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IF(DATOS!$A4596="",0,IF(CONFIG_METADATA!$B$4&lt;&gt;"OR+EX",--(DATOS!$G4596=CONFIG_METADATA!$B$4),IF(DATOS!$G4596="EX",1,IF(DATOS!$G4596="OR",--(COUNTIFS(nNIA,DATOS!$A4596,nCURSO,DATOS!$D4596,nESPEC,DATOS!$E4596,nASIG,DATOS!$I4596,nEVAL,"EX")=0),0))))</f>
      </c>
      <c r="H4596">
        <f>IF(DATOS!$G4596&lt;&gt;"EX",0,--(COUNTIFS(nNIA,DATOS!$A4596,nCURSO,DATOS!$D4596,nESPEC,DATOS!$E4596,nASIG,DATOS!$I4596,nEVAL,"OR")=0))</f>
      </c>
      <c r="I4596">
        <f>IF(DATOS!$I4596="","",IFERROR(VLOOKUP(DATOS!$I4596,CONFIG_ASIGNATURAS!$B$2:$J$91,9,FALSE()),""))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IF(DATOS!$A4597="",0,IF(CONFIG_METADATA!$B$4&lt;&gt;"OR+EX",--(DATOS!$G4597=CONFIG_METADATA!$B$4),IF(DATOS!$G4597="EX",1,IF(DATOS!$G4597="OR",--(COUNTIFS(nNIA,DATOS!$A4597,nCURSO,DATOS!$D4597,nESPEC,DATOS!$E4597,nASIG,DATOS!$I4597,nEVAL,"EX")=0),0))))</f>
      </c>
      <c r="H4597">
        <f>IF(DATOS!$G4597&lt;&gt;"EX",0,--(COUNTIFS(nNIA,DATOS!$A4597,nCURSO,DATOS!$D4597,nESPEC,DATOS!$E4597,nASIG,DATOS!$I4597,nEVAL,"OR")=0))</f>
      </c>
      <c r="I4597">
        <f>IF(DATOS!$I4597="","",IFERROR(VLOOKUP(DATOS!$I4597,CONFIG_ASIGNATURAS!$B$2:$J$91,9,FALSE()),""))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IF(DATOS!$A4598="",0,IF(CONFIG_METADATA!$B$4&lt;&gt;"OR+EX",--(DATOS!$G4598=CONFIG_METADATA!$B$4),IF(DATOS!$G4598="EX",1,IF(DATOS!$G4598="OR",--(COUNTIFS(nNIA,DATOS!$A4598,nCURSO,DATOS!$D4598,nESPEC,DATOS!$E4598,nASIG,DATOS!$I4598,nEVAL,"EX")=0),0))))</f>
      </c>
      <c r="H4598">
        <f>IF(DATOS!$G4598&lt;&gt;"EX",0,--(COUNTIFS(nNIA,DATOS!$A4598,nCURSO,DATOS!$D4598,nESPEC,DATOS!$E4598,nASIG,DATOS!$I4598,nEVAL,"OR")=0))</f>
      </c>
      <c r="I4598">
        <f>IF(DATOS!$I4598="","",IFERROR(VLOOKUP(DATOS!$I4598,CONFIG_ASIGNATURAS!$B$2:$J$91,9,FALSE()),""))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IF(DATOS!$A4599="",0,IF(CONFIG_METADATA!$B$4&lt;&gt;"OR+EX",--(DATOS!$G4599=CONFIG_METADATA!$B$4),IF(DATOS!$G4599="EX",1,IF(DATOS!$G4599="OR",--(COUNTIFS(nNIA,DATOS!$A4599,nCURSO,DATOS!$D4599,nESPEC,DATOS!$E4599,nASIG,DATOS!$I4599,nEVAL,"EX")=0),0))))</f>
      </c>
      <c r="H4599">
        <f>IF(DATOS!$G4599&lt;&gt;"EX",0,--(COUNTIFS(nNIA,DATOS!$A4599,nCURSO,DATOS!$D4599,nESPEC,DATOS!$E4599,nASIG,DATOS!$I4599,nEVAL,"OR")=0))</f>
      </c>
      <c r="I4599">
        <f>IF(DATOS!$I4599="","",IFERROR(VLOOKUP(DATOS!$I4599,CONFIG_ASIGNATURAS!$B$2:$J$91,9,FALSE()),""))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IF(DATOS!$A4600="",0,IF(CONFIG_METADATA!$B$4&lt;&gt;"OR+EX",--(DATOS!$G4600=CONFIG_METADATA!$B$4),IF(DATOS!$G4600="EX",1,IF(DATOS!$G4600="OR",--(COUNTIFS(nNIA,DATOS!$A4600,nCURSO,DATOS!$D4600,nESPEC,DATOS!$E4600,nASIG,DATOS!$I4600,nEVAL,"EX")=0),0))))</f>
      </c>
      <c r="H4600">
        <f>IF(DATOS!$G4600&lt;&gt;"EX",0,--(COUNTIFS(nNIA,DATOS!$A4600,nCURSO,DATOS!$D4600,nESPEC,DATOS!$E4600,nASIG,DATOS!$I4600,nEVAL,"OR")=0))</f>
      </c>
      <c r="I4600">
        <f>IF(DATOS!$I4600="","",IFERROR(VLOOKUP(DATOS!$I4600,CONFIG_ASIGNATURAS!$B$2:$J$91,9,FALSE()),""))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IF(DATOS!$A4601="",0,IF(CONFIG_METADATA!$B$4&lt;&gt;"OR+EX",--(DATOS!$G4601=CONFIG_METADATA!$B$4),IF(DATOS!$G4601="EX",1,IF(DATOS!$G4601="OR",--(COUNTIFS(nNIA,DATOS!$A4601,nCURSO,DATOS!$D4601,nESPEC,DATOS!$E4601,nASIG,DATOS!$I4601,nEVAL,"EX")=0),0))))</f>
      </c>
      <c r="H4601">
        <f>IF(DATOS!$G4601&lt;&gt;"EX",0,--(COUNTIFS(nNIA,DATOS!$A4601,nCURSO,DATOS!$D4601,nESPEC,DATOS!$E4601,nASIG,DATOS!$I4601,nEVAL,"OR")=0))</f>
      </c>
      <c r="I4601">
        <f>IF(DATOS!$I4601="","",IFERROR(VLOOKUP(DATOS!$I4601,CONFIG_ASIGNATURAS!$B$2:$J$91,9,FALSE()),""))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IF(DATOS!$A4602="",0,IF(CONFIG_METADATA!$B$4&lt;&gt;"OR+EX",--(DATOS!$G4602=CONFIG_METADATA!$B$4),IF(DATOS!$G4602="EX",1,IF(DATOS!$G4602="OR",--(COUNTIFS(nNIA,DATOS!$A4602,nCURSO,DATOS!$D4602,nESPEC,DATOS!$E4602,nASIG,DATOS!$I4602,nEVAL,"EX")=0),0))))</f>
      </c>
      <c r="H4602">
        <f>IF(DATOS!$G4602&lt;&gt;"EX",0,--(COUNTIFS(nNIA,DATOS!$A4602,nCURSO,DATOS!$D4602,nESPEC,DATOS!$E4602,nASIG,DATOS!$I4602,nEVAL,"OR")=0))</f>
      </c>
      <c r="I4602">
        <f>IF(DATOS!$I4602="","",IFERROR(VLOOKUP(DATOS!$I4602,CONFIG_ASIGNATURAS!$B$2:$J$91,9,FALSE()),""))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IF(DATOS!$A4603="",0,IF(CONFIG_METADATA!$B$4&lt;&gt;"OR+EX",--(DATOS!$G4603=CONFIG_METADATA!$B$4),IF(DATOS!$G4603="EX",1,IF(DATOS!$G4603="OR",--(COUNTIFS(nNIA,DATOS!$A4603,nCURSO,DATOS!$D4603,nESPEC,DATOS!$E4603,nASIG,DATOS!$I4603,nEVAL,"EX")=0),0))))</f>
      </c>
      <c r="H4603">
        <f>IF(DATOS!$G4603&lt;&gt;"EX",0,--(COUNTIFS(nNIA,DATOS!$A4603,nCURSO,DATOS!$D4603,nESPEC,DATOS!$E4603,nASIG,DATOS!$I4603,nEVAL,"OR")=0))</f>
      </c>
      <c r="I4603">
        <f>IF(DATOS!$I4603="","",IFERROR(VLOOKUP(DATOS!$I4603,CONFIG_ASIGNATURAS!$B$2:$J$91,9,FALSE()),""))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IF(DATOS!$A4604="",0,IF(CONFIG_METADATA!$B$4&lt;&gt;"OR+EX",--(DATOS!$G4604=CONFIG_METADATA!$B$4),IF(DATOS!$G4604="EX",1,IF(DATOS!$G4604="OR",--(COUNTIFS(nNIA,DATOS!$A4604,nCURSO,DATOS!$D4604,nESPEC,DATOS!$E4604,nASIG,DATOS!$I4604,nEVAL,"EX")=0),0))))</f>
      </c>
      <c r="H4604">
        <f>IF(DATOS!$G4604&lt;&gt;"EX",0,--(COUNTIFS(nNIA,DATOS!$A4604,nCURSO,DATOS!$D4604,nESPEC,DATOS!$E4604,nASIG,DATOS!$I4604,nEVAL,"OR")=0))</f>
      </c>
      <c r="I4604">
        <f>IF(DATOS!$I4604="","",IFERROR(VLOOKUP(DATOS!$I4604,CONFIG_ASIGNATURAS!$B$2:$J$91,9,FALSE()),""))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IF(DATOS!$A4605="",0,IF(CONFIG_METADATA!$B$4&lt;&gt;"OR+EX",--(DATOS!$G4605=CONFIG_METADATA!$B$4),IF(DATOS!$G4605="EX",1,IF(DATOS!$G4605="OR",--(COUNTIFS(nNIA,DATOS!$A4605,nCURSO,DATOS!$D4605,nESPEC,DATOS!$E4605,nASIG,DATOS!$I4605,nEVAL,"EX")=0),0))))</f>
      </c>
      <c r="H4605">
        <f>IF(DATOS!$G4605&lt;&gt;"EX",0,--(COUNTIFS(nNIA,DATOS!$A4605,nCURSO,DATOS!$D4605,nESPEC,DATOS!$E4605,nASIG,DATOS!$I4605,nEVAL,"OR")=0))</f>
      </c>
      <c r="I4605">
        <f>IF(DATOS!$I4605="","",IFERROR(VLOOKUP(DATOS!$I4605,CONFIG_ASIGNATURAS!$B$2:$J$91,9,FALSE()),""))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IF(DATOS!$A4606="",0,IF(CONFIG_METADATA!$B$4&lt;&gt;"OR+EX",--(DATOS!$G4606=CONFIG_METADATA!$B$4),IF(DATOS!$G4606="EX",1,IF(DATOS!$G4606="OR",--(COUNTIFS(nNIA,DATOS!$A4606,nCURSO,DATOS!$D4606,nESPEC,DATOS!$E4606,nASIG,DATOS!$I4606,nEVAL,"EX")=0),0))))</f>
      </c>
      <c r="H4606">
        <f>IF(DATOS!$G4606&lt;&gt;"EX",0,--(COUNTIFS(nNIA,DATOS!$A4606,nCURSO,DATOS!$D4606,nESPEC,DATOS!$E4606,nASIG,DATOS!$I4606,nEVAL,"OR")=0))</f>
      </c>
      <c r="I4606">
        <f>IF(DATOS!$I4606="","",IFERROR(VLOOKUP(DATOS!$I4606,CONFIG_ASIGNATURAS!$B$2:$J$91,9,FALSE()),""))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IF(DATOS!$A4607="",0,IF(CONFIG_METADATA!$B$4&lt;&gt;"OR+EX",--(DATOS!$G4607=CONFIG_METADATA!$B$4),IF(DATOS!$G4607="EX",1,IF(DATOS!$G4607="OR",--(COUNTIFS(nNIA,DATOS!$A4607,nCURSO,DATOS!$D4607,nESPEC,DATOS!$E4607,nASIG,DATOS!$I4607,nEVAL,"EX")=0),0))))</f>
      </c>
      <c r="H4607">
        <f>IF(DATOS!$G4607&lt;&gt;"EX",0,--(COUNTIFS(nNIA,DATOS!$A4607,nCURSO,DATOS!$D4607,nESPEC,DATOS!$E4607,nASIG,DATOS!$I4607,nEVAL,"OR")=0))</f>
      </c>
      <c r="I4607">
        <f>IF(DATOS!$I4607="","",IFERROR(VLOOKUP(DATOS!$I4607,CONFIG_ASIGNATURAS!$B$2:$J$91,9,FALSE()),""))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IF(DATOS!$A4608="",0,IF(CONFIG_METADATA!$B$4&lt;&gt;"OR+EX",--(DATOS!$G4608=CONFIG_METADATA!$B$4),IF(DATOS!$G4608="EX",1,IF(DATOS!$G4608="OR",--(COUNTIFS(nNIA,DATOS!$A4608,nCURSO,DATOS!$D4608,nESPEC,DATOS!$E4608,nASIG,DATOS!$I4608,nEVAL,"EX")=0),0))))</f>
      </c>
      <c r="H4608">
        <f>IF(DATOS!$G4608&lt;&gt;"EX",0,--(COUNTIFS(nNIA,DATOS!$A4608,nCURSO,DATOS!$D4608,nESPEC,DATOS!$E4608,nASIG,DATOS!$I4608,nEVAL,"OR")=0))</f>
      </c>
      <c r="I4608">
        <f>IF(DATOS!$I4608="","",IFERROR(VLOOKUP(DATOS!$I4608,CONFIG_ASIGNATURAS!$B$2:$J$91,9,FALSE()),""))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IF(DATOS!$A4609="",0,IF(CONFIG_METADATA!$B$4&lt;&gt;"OR+EX",--(DATOS!$G4609=CONFIG_METADATA!$B$4),IF(DATOS!$G4609="EX",1,IF(DATOS!$G4609="OR",--(COUNTIFS(nNIA,DATOS!$A4609,nCURSO,DATOS!$D4609,nESPEC,DATOS!$E4609,nASIG,DATOS!$I4609,nEVAL,"EX")=0),0))))</f>
      </c>
      <c r="H4609">
        <f>IF(DATOS!$G4609&lt;&gt;"EX",0,--(COUNTIFS(nNIA,DATOS!$A4609,nCURSO,DATOS!$D4609,nESPEC,DATOS!$E4609,nASIG,DATOS!$I4609,nEVAL,"OR")=0))</f>
      </c>
      <c r="I4609">
        <f>IF(DATOS!$I4609="","",IFERROR(VLOOKUP(DATOS!$I4609,CONFIG_ASIGNATURAS!$B$2:$J$91,9,FALSE()),""))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IF(DATOS!$A4610="",0,IF(CONFIG_METADATA!$B$4&lt;&gt;"OR+EX",--(DATOS!$G4610=CONFIG_METADATA!$B$4),IF(DATOS!$G4610="EX",1,IF(DATOS!$G4610="OR",--(COUNTIFS(nNIA,DATOS!$A4610,nCURSO,DATOS!$D4610,nESPEC,DATOS!$E4610,nASIG,DATOS!$I4610,nEVAL,"EX")=0),0))))</f>
      </c>
      <c r="H4610">
        <f>IF(DATOS!$G4610&lt;&gt;"EX",0,--(COUNTIFS(nNIA,DATOS!$A4610,nCURSO,DATOS!$D4610,nESPEC,DATOS!$E4610,nASIG,DATOS!$I4610,nEVAL,"OR")=0))</f>
      </c>
      <c r="I4610">
        <f>IF(DATOS!$I4610="","",IFERROR(VLOOKUP(DATOS!$I4610,CONFIG_ASIGNATURAS!$B$2:$J$91,9,FALSE()),""))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IF(DATOS!$A4611="",0,IF(CONFIG_METADATA!$B$4&lt;&gt;"OR+EX",--(DATOS!$G4611=CONFIG_METADATA!$B$4),IF(DATOS!$G4611="EX",1,IF(DATOS!$G4611="OR",--(COUNTIFS(nNIA,DATOS!$A4611,nCURSO,DATOS!$D4611,nESPEC,DATOS!$E4611,nASIG,DATOS!$I4611,nEVAL,"EX")=0),0))))</f>
      </c>
      <c r="H4611">
        <f>IF(DATOS!$G4611&lt;&gt;"EX",0,--(COUNTIFS(nNIA,DATOS!$A4611,nCURSO,DATOS!$D4611,nESPEC,DATOS!$E4611,nASIG,DATOS!$I4611,nEVAL,"OR")=0))</f>
      </c>
      <c r="I4611">
        <f>IF(DATOS!$I4611="","",IFERROR(VLOOKUP(DATOS!$I4611,CONFIG_ASIGNATURAS!$B$2:$J$91,9,FALSE()),""))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IF(DATOS!$A4612="",0,IF(CONFIG_METADATA!$B$4&lt;&gt;"OR+EX",--(DATOS!$G4612=CONFIG_METADATA!$B$4),IF(DATOS!$G4612="EX",1,IF(DATOS!$G4612="OR",--(COUNTIFS(nNIA,DATOS!$A4612,nCURSO,DATOS!$D4612,nESPEC,DATOS!$E4612,nASIG,DATOS!$I4612,nEVAL,"EX")=0),0))))</f>
      </c>
      <c r="H4612">
        <f>IF(DATOS!$G4612&lt;&gt;"EX",0,--(COUNTIFS(nNIA,DATOS!$A4612,nCURSO,DATOS!$D4612,nESPEC,DATOS!$E4612,nASIG,DATOS!$I4612,nEVAL,"OR")=0))</f>
      </c>
      <c r="I4612">
        <f>IF(DATOS!$I4612="","",IFERROR(VLOOKUP(DATOS!$I4612,CONFIG_ASIGNATURAS!$B$2:$J$91,9,FALSE()),""))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IF(DATOS!$A4613="",0,IF(CONFIG_METADATA!$B$4&lt;&gt;"OR+EX",--(DATOS!$G4613=CONFIG_METADATA!$B$4),IF(DATOS!$G4613="EX",1,IF(DATOS!$G4613="OR",--(COUNTIFS(nNIA,DATOS!$A4613,nCURSO,DATOS!$D4613,nESPEC,DATOS!$E4613,nASIG,DATOS!$I4613,nEVAL,"EX")=0),0))))</f>
      </c>
      <c r="H4613">
        <f>IF(DATOS!$G4613&lt;&gt;"EX",0,--(COUNTIFS(nNIA,DATOS!$A4613,nCURSO,DATOS!$D4613,nESPEC,DATOS!$E4613,nASIG,DATOS!$I4613,nEVAL,"OR")=0))</f>
      </c>
      <c r="I4613">
        <f>IF(DATOS!$I4613="","",IFERROR(VLOOKUP(DATOS!$I4613,CONFIG_ASIGNATURAS!$B$2:$J$91,9,FALSE()),""))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IF(DATOS!$A4614="",0,IF(CONFIG_METADATA!$B$4&lt;&gt;"OR+EX",--(DATOS!$G4614=CONFIG_METADATA!$B$4),IF(DATOS!$G4614="EX",1,IF(DATOS!$G4614="OR",--(COUNTIFS(nNIA,DATOS!$A4614,nCURSO,DATOS!$D4614,nESPEC,DATOS!$E4614,nASIG,DATOS!$I4614,nEVAL,"EX")=0),0))))</f>
      </c>
      <c r="H4614">
        <f>IF(DATOS!$G4614&lt;&gt;"EX",0,--(COUNTIFS(nNIA,DATOS!$A4614,nCURSO,DATOS!$D4614,nESPEC,DATOS!$E4614,nASIG,DATOS!$I4614,nEVAL,"OR")=0))</f>
      </c>
      <c r="I4614">
        <f>IF(DATOS!$I4614="","",IFERROR(VLOOKUP(DATOS!$I4614,CONFIG_ASIGNATURAS!$B$2:$J$91,9,FALSE()),""))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IF(DATOS!$A4615="",0,IF(CONFIG_METADATA!$B$4&lt;&gt;"OR+EX",--(DATOS!$G4615=CONFIG_METADATA!$B$4),IF(DATOS!$G4615="EX",1,IF(DATOS!$G4615="OR",--(COUNTIFS(nNIA,DATOS!$A4615,nCURSO,DATOS!$D4615,nESPEC,DATOS!$E4615,nASIG,DATOS!$I4615,nEVAL,"EX")=0),0))))</f>
      </c>
      <c r="H4615">
        <f>IF(DATOS!$G4615&lt;&gt;"EX",0,--(COUNTIFS(nNIA,DATOS!$A4615,nCURSO,DATOS!$D4615,nESPEC,DATOS!$E4615,nASIG,DATOS!$I4615,nEVAL,"OR")=0))</f>
      </c>
      <c r="I4615">
        <f>IF(DATOS!$I4615="","",IFERROR(VLOOKUP(DATOS!$I4615,CONFIG_ASIGNATURAS!$B$2:$J$91,9,FALSE()),""))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IF(DATOS!$A4616="",0,IF(CONFIG_METADATA!$B$4&lt;&gt;"OR+EX",--(DATOS!$G4616=CONFIG_METADATA!$B$4),IF(DATOS!$G4616="EX",1,IF(DATOS!$G4616="OR",--(COUNTIFS(nNIA,DATOS!$A4616,nCURSO,DATOS!$D4616,nESPEC,DATOS!$E4616,nASIG,DATOS!$I4616,nEVAL,"EX")=0),0))))</f>
      </c>
      <c r="H4616">
        <f>IF(DATOS!$G4616&lt;&gt;"EX",0,--(COUNTIFS(nNIA,DATOS!$A4616,nCURSO,DATOS!$D4616,nESPEC,DATOS!$E4616,nASIG,DATOS!$I4616,nEVAL,"OR")=0))</f>
      </c>
      <c r="I4616">
        <f>IF(DATOS!$I4616="","",IFERROR(VLOOKUP(DATOS!$I4616,CONFIG_ASIGNATURAS!$B$2:$J$91,9,FALSE()),""))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IF(DATOS!$A4617="",0,IF(CONFIG_METADATA!$B$4&lt;&gt;"OR+EX",--(DATOS!$G4617=CONFIG_METADATA!$B$4),IF(DATOS!$G4617="EX",1,IF(DATOS!$G4617="OR",--(COUNTIFS(nNIA,DATOS!$A4617,nCURSO,DATOS!$D4617,nESPEC,DATOS!$E4617,nASIG,DATOS!$I4617,nEVAL,"EX")=0),0))))</f>
      </c>
      <c r="H4617">
        <f>IF(DATOS!$G4617&lt;&gt;"EX",0,--(COUNTIFS(nNIA,DATOS!$A4617,nCURSO,DATOS!$D4617,nESPEC,DATOS!$E4617,nASIG,DATOS!$I4617,nEVAL,"OR")=0))</f>
      </c>
      <c r="I4617">
        <f>IF(DATOS!$I4617="","",IFERROR(VLOOKUP(DATOS!$I4617,CONFIG_ASIGNATURAS!$B$2:$J$91,9,FALSE()),""))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IF(DATOS!$A4618="",0,IF(CONFIG_METADATA!$B$4&lt;&gt;"OR+EX",--(DATOS!$G4618=CONFIG_METADATA!$B$4),IF(DATOS!$G4618="EX",1,IF(DATOS!$G4618="OR",--(COUNTIFS(nNIA,DATOS!$A4618,nCURSO,DATOS!$D4618,nESPEC,DATOS!$E4618,nASIG,DATOS!$I4618,nEVAL,"EX")=0),0))))</f>
      </c>
      <c r="H4618">
        <f>IF(DATOS!$G4618&lt;&gt;"EX",0,--(COUNTIFS(nNIA,DATOS!$A4618,nCURSO,DATOS!$D4618,nESPEC,DATOS!$E4618,nASIG,DATOS!$I4618,nEVAL,"OR")=0))</f>
      </c>
      <c r="I4618">
        <f>IF(DATOS!$I4618="","",IFERROR(VLOOKUP(DATOS!$I4618,CONFIG_ASIGNATURAS!$B$2:$J$91,9,FALSE()),""))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IF(DATOS!$A4619="",0,IF(CONFIG_METADATA!$B$4&lt;&gt;"OR+EX",--(DATOS!$G4619=CONFIG_METADATA!$B$4),IF(DATOS!$G4619="EX",1,IF(DATOS!$G4619="OR",--(COUNTIFS(nNIA,DATOS!$A4619,nCURSO,DATOS!$D4619,nESPEC,DATOS!$E4619,nASIG,DATOS!$I4619,nEVAL,"EX")=0),0))))</f>
      </c>
      <c r="H4619">
        <f>IF(DATOS!$G4619&lt;&gt;"EX",0,--(COUNTIFS(nNIA,DATOS!$A4619,nCURSO,DATOS!$D4619,nESPEC,DATOS!$E4619,nASIG,DATOS!$I4619,nEVAL,"OR")=0))</f>
      </c>
      <c r="I4619">
        <f>IF(DATOS!$I4619="","",IFERROR(VLOOKUP(DATOS!$I4619,CONFIG_ASIGNATURAS!$B$2:$J$91,9,FALSE()),""))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IF(DATOS!$A4620="",0,IF(CONFIG_METADATA!$B$4&lt;&gt;"OR+EX",--(DATOS!$G4620=CONFIG_METADATA!$B$4),IF(DATOS!$G4620="EX",1,IF(DATOS!$G4620="OR",--(COUNTIFS(nNIA,DATOS!$A4620,nCURSO,DATOS!$D4620,nESPEC,DATOS!$E4620,nASIG,DATOS!$I4620,nEVAL,"EX")=0),0))))</f>
      </c>
      <c r="H4620">
        <f>IF(DATOS!$G4620&lt;&gt;"EX",0,--(COUNTIFS(nNIA,DATOS!$A4620,nCURSO,DATOS!$D4620,nESPEC,DATOS!$E4620,nASIG,DATOS!$I4620,nEVAL,"OR")=0))</f>
      </c>
      <c r="I4620">
        <f>IF(DATOS!$I4620="","",IFERROR(VLOOKUP(DATOS!$I4620,CONFIG_ASIGNATURAS!$B$2:$J$91,9,FALSE()),""))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IF(DATOS!$A4621="",0,IF(CONFIG_METADATA!$B$4&lt;&gt;"OR+EX",--(DATOS!$G4621=CONFIG_METADATA!$B$4),IF(DATOS!$G4621="EX",1,IF(DATOS!$G4621="OR",--(COUNTIFS(nNIA,DATOS!$A4621,nCURSO,DATOS!$D4621,nESPEC,DATOS!$E4621,nASIG,DATOS!$I4621,nEVAL,"EX")=0),0))))</f>
      </c>
      <c r="H4621">
        <f>IF(DATOS!$G4621&lt;&gt;"EX",0,--(COUNTIFS(nNIA,DATOS!$A4621,nCURSO,DATOS!$D4621,nESPEC,DATOS!$E4621,nASIG,DATOS!$I4621,nEVAL,"OR")=0))</f>
      </c>
      <c r="I4621">
        <f>IF(DATOS!$I4621="","",IFERROR(VLOOKUP(DATOS!$I4621,CONFIG_ASIGNATURAS!$B$2:$J$91,9,FALSE()),""))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IF(DATOS!$A4622="",0,IF(CONFIG_METADATA!$B$4&lt;&gt;"OR+EX",--(DATOS!$G4622=CONFIG_METADATA!$B$4),IF(DATOS!$G4622="EX",1,IF(DATOS!$G4622="OR",--(COUNTIFS(nNIA,DATOS!$A4622,nCURSO,DATOS!$D4622,nESPEC,DATOS!$E4622,nASIG,DATOS!$I4622,nEVAL,"EX")=0),0))))</f>
      </c>
      <c r="H4622">
        <f>IF(DATOS!$G4622&lt;&gt;"EX",0,--(COUNTIFS(nNIA,DATOS!$A4622,nCURSO,DATOS!$D4622,nESPEC,DATOS!$E4622,nASIG,DATOS!$I4622,nEVAL,"OR")=0))</f>
      </c>
      <c r="I4622">
        <f>IF(DATOS!$I4622="","",IFERROR(VLOOKUP(DATOS!$I4622,CONFIG_ASIGNATURAS!$B$2:$J$91,9,FALSE()),""))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IF(DATOS!$A4623="",0,IF(CONFIG_METADATA!$B$4&lt;&gt;"OR+EX",--(DATOS!$G4623=CONFIG_METADATA!$B$4),IF(DATOS!$G4623="EX",1,IF(DATOS!$G4623="OR",--(COUNTIFS(nNIA,DATOS!$A4623,nCURSO,DATOS!$D4623,nESPEC,DATOS!$E4623,nASIG,DATOS!$I4623,nEVAL,"EX")=0),0))))</f>
      </c>
      <c r="H4623">
        <f>IF(DATOS!$G4623&lt;&gt;"EX",0,--(COUNTIFS(nNIA,DATOS!$A4623,nCURSO,DATOS!$D4623,nESPEC,DATOS!$E4623,nASIG,DATOS!$I4623,nEVAL,"OR")=0))</f>
      </c>
      <c r="I4623">
        <f>IF(DATOS!$I4623="","",IFERROR(VLOOKUP(DATOS!$I4623,CONFIG_ASIGNATURAS!$B$2:$J$91,9,FALSE()),""))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IF(DATOS!$A4624="",0,IF(CONFIG_METADATA!$B$4&lt;&gt;"OR+EX",--(DATOS!$G4624=CONFIG_METADATA!$B$4),IF(DATOS!$G4624="EX",1,IF(DATOS!$G4624="OR",--(COUNTIFS(nNIA,DATOS!$A4624,nCURSO,DATOS!$D4624,nESPEC,DATOS!$E4624,nASIG,DATOS!$I4624,nEVAL,"EX")=0),0))))</f>
      </c>
      <c r="H4624">
        <f>IF(DATOS!$G4624&lt;&gt;"EX",0,--(COUNTIFS(nNIA,DATOS!$A4624,nCURSO,DATOS!$D4624,nESPEC,DATOS!$E4624,nASIG,DATOS!$I4624,nEVAL,"OR")=0))</f>
      </c>
      <c r="I4624">
        <f>IF(DATOS!$I4624="","",IFERROR(VLOOKUP(DATOS!$I4624,CONFIG_ASIGNATURAS!$B$2:$J$91,9,FALSE()),""))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IF(DATOS!$A4625="",0,IF(CONFIG_METADATA!$B$4&lt;&gt;"OR+EX",--(DATOS!$G4625=CONFIG_METADATA!$B$4),IF(DATOS!$G4625="EX",1,IF(DATOS!$G4625="OR",--(COUNTIFS(nNIA,DATOS!$A4625,nCURSO,DATOS!$D4625,nESPEC,DATOS!$E4625,nASIG,DATOS!$I4625,nEVAL,"EX")=0),0))))</f>
      </c>
      <c r="H4625">
        <f>IF(DATOS!$G4625&lt;&gt;"EX",0,--(COUNTIFS(nNIA,DATOS!$A4625,nCURSO,DATOS!$D4625,nESPEC,DATOS!$E4625,nASIG,DATOS!$I4625,nEVAL,"OR")=0))</f>
      </c>
      <c r="I4625">
        <f>IF(DATOS!$I4625="","",IFERROR(VLOOKUP(DATOS!$I4625,CONFIG_ASIGNATURAS!$B$2:$J$91,9,FALSE()),""))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IF(DATOS!$A4626="",0,IF(CONFIG_METADATA!$B$4&lt;&gt;"OR+EX",--(DATOS!$G4626=CONFIG_METADATA!$B$4),IF(DATOS!$G4626="EX",1,IF(DATOS!$G4626="OR",--(COUNTIFS(nNIA,DATOS!$A4626,nCURSO,DATOS!$D4626,nESPEC,DATOS!$E4626,nASIG,DATOS!$I4626,nEVAL,"EX")=0),0))))</f>
      </c>
      <c r="H4626">
        <f>IF(DATOS!$G4626&lt;&gt;"EX",0,--(COUNTIFS(nNIA,DATOS!$A4626,nCURSO,DATOS!$D4626,nESPEC,DATOS!$E4626,nASIG,DATOS!$I4626,nEVAL,"OR")=0))</f>
      </c>
      <c r="I4626">
        <f>IF(DATOS!$I4626="","",IFERROR(VLOOKUP(DATOS!$I4626,CONFIG_ASIGNATURAS!$B$2:$J$91,9,FALSE()),""))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IF(DATOS!$A4627="",0,IF(CONFIG_METADATA!$B$4&lt;&gt;"OR+EX",--(DATOS!$G4627=CONFIG_METADATA!$B$4),IF(DATOS!$G4627="EX",1,IF(DATOS!$G4627="OR",--(COUNTIFS(nNIA,DATOS!$A4627,nCURSO,DATOS!$D4627,nESPEC,DATOS!$E4627,nASIG,DATOS!$I4627,nEVAL,"EX")=0),0))))</f>
      </c>
      <c r="H4627">
        <f>IF(DATOS!$G4627&lt;&gt;"EX",0,--(COUNTIFS(nNIA,DATOS!$A4627,nCURSO,DATOS!$D4627,nESPEC,DATOS!$E4627,nASIG,DATOS!$I4627,nEVAL,"OR")=0))</f>
      </c>
      <c r="I4627">
        <f>IF(DATOS!$I4627="","",IFERROR(VLOOKUP(DATOS!$I4627,CONFIG_ASIGNATURAS!$B$2:$J$91,9,FALSE()),""))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IF(DATOS!$A4628="",0,IF(CONFIG_METADATA!$B$4&lt;&gt;"OR+EX",--(DATOS!$G4628=CONFIG_METADATA!$B$4),IF(DATOS!$G4628="EX",1,IF(DATOS!$G4628="OR",--(COUNTIFS(nNIA,DATOS!$A4628,nCURSO,DATOS!$D4628,nESPEC,DATOS!$E4628,nASIG,DATOS!$I4628,nEVAL,"EX")=0),0))))</f>
      </c>
      <c r="H4628">
        <f>IF(DATOS!$G4628&lt;&gt;"EX",0,--(COUNTIFS(nNIA,DATOS!$A4628,nCURSO,DATOS!$D4628,nESPEC,DATOS!$E4628,nASIG,DATOS!$I4628,nEVAL,"OR")=0))</f>
      </c>
      <c r="I4628">
        <f>IF(DATOS!$I4628="","",IFERROR(VLOOKUP(DATOS!$I4628,CONFIG_ASIGNATURAS!$B$2:$J$91,9,FALSE()),""))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IF(DATOS!$A4629="",0,IF(CONFIG_METADATA!$B$4&lt;&gt;"OR+EX",--(DATOS!$G4629=CONFIG_METADATA!$B$4),IF(DATOS!$G4629="EX",1,IF(DATOS!$G4629="OR",--(COUNTIFS(nNIA,DATOS!$A4629,nCURSO,DATOS!$D4629,nESPEC,DATOS!$E4629,nASIG,DATOS!$I4629,nEVAL,"EX")=0),0))))</f>
      </c>
      <c r="H4629">
        <f>IF(DATOS!$G4629&lt;&gt;"EX",0,--(COUNTIFS(nNIA,DATOS!$A4629,nCURSO,DATOS!$D4629,nESPEC,DATOS!$E4629,nASIG,DATOS!$I4629,nEVAL,"OR")=0))</f>
      </c>
      <c r="I4629">
        <f>IF(DATOS!$I4629="","",IFERROR(VLOOKUP(DATOS!$I4629,CONFIG_ASIGNATURAS!$B$2:$J$91,9,FALSE()),""))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IF(DATOS!$A4630="",0,IF(CONFIG_METADATA!$B$4&lt;&gt;"OR+EX",--(DATOS!$G4630=CONFIG_METADATA!$B$4),IF(DATOS!$G4630="EX",1,IF(DATOS!$G4630="OR",--(COUNTIFS(nNIA,DATOS!$A4630,nCURSO,DATOS!$D4630,nESPEC,DATOS!$E4630,nASIG,DATOS!$I4630,nEVAL,"EX")=0),0))))</f>
      </c>
      <c r="H4630">
        <f>IF(DATOS!$G4630&lt;&gt;"EX",0,--(COUNTIFS(nNIA,DATOS!$A4630,nCURSO,DATOS!$D4630,nESPEC,DATOS!$E4630,nASIG,DATOS!$I4630,nEVAL,"OR")=0))</f>
      </c>
      <c r="I4630">
        <f>IF(DATOS!$I4630="","",IFERROR(VLOOKUP(DATOS!$I4630,CONFIG_ASIGNATURAS!$B$2:$J$91,9,FALSE()),""))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IF(DATOS!$A4631="",0,IF(CONFIG_METADATA!$B$4&lt;&gt;"OR+EX",--(DATOS!$G4631=CONFIG_METADATA!$B$4),IF(DATOS!$G4631="EX",1,IF(DATOS!$G4631="OR",--(COUNTIFS(nNIA,DATOS!$A4631,nCURSO,DATOS!$D4631,nESPEC,DATOS!$E4631,nASIG,DATOS!$I4631,nEVAL,"EX")=0),0))))</f>
      </c>
      <c r="H4631">
        <f>IF(DATOS!$G4631&lt;&gt;"EX",0,--(COUNTIFS(nNIA,DATOS!$A4631,nCURSO,DATOS!$D4631,nESPEC,DATOS!$E4631,nASIG,DATOS!$I4631,nEVAL,"OR")=0))</f>
      </c>
      <c r="I4631">
        <f>IF(DATOS!$I4631="","",IFERROR(VLOOKUP(DATOS!$I4631,CONFIG_ASIGNATURAS!$B$2:$J$91,9,FALSE()),""))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IF(DATOS!$A4632="",0,IF(CONFIG_METADATA!$B$4&lt;&gt;"OR+EX",--(DATOS!$G4632=CONFIG_METADATA!$B$4),IF(DATOS!$G4632="EX",1,IF(DATOS!$G4632="OR",--(COUNTIFS(nNIA,DATOS!$A4632,nCURSO,DATOS!$D4632,nESPEC,DATOS!$E4632,nASIG,DATOS!$I4632,nEVAL,"EX")=0),0))))</f>
      </c>
      <c r="H4632">
        <f>IF(DATOS!$G4632&lt;&gt;"EX",0,--(COUNTIFS(nNIA,DATOS!$A4632,nCURSO,DATOS!$D4632,nESPEC,DATOS!$E4632,nASIG,DATOS!$I4632,nEVAL,"OR")=0))</f>
      </c>
      <c r="I4632">
        <f>IF(DATOS!$I4632="","",IFERROR(VLOOKUP(DATOS!$I4632,CONFIG_ASIGNATURAS!$B$2:$J$91,9,FALSE()),""))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IF(DATOS!$A4633="",0,IF(CONFIG_METADATA!$B$4&lt;&gt;"OR+EX",--(DATOS!$G4633=CONFIG_METADATA!$B$4),IF(DATOS!$G4633="EX",1,IF(DATOS!$G4633="OR",--(COUNTIFS(nNIA,DATOS!$A4633,nCURSO,DATOS!$D4633,nESPEC,DATOS!$E4633,nASIG,DATOS!$I4633,nEVAL,"EX")=0),0))))</f>
      </c>
      <c r="H4633">
        <f>IF(DATOS!$G4633&lt;&gt;"EX",0,--(COUNTIFS(nNIA,DATOS!$A4633,nCURSO,DATOS!$D4633,nESPEC,DATOS!$E4633,nASIG,DATOS!$I4633,nEVAL,"OR")=0))</f>
      </c>
      <c r="I4633">
        <f>IF(DATOS!$I4633="","",IFERROR(VLOOKUP(DATOS!$I4633,CONFIG_ASIGNATURAS!$B$2:$J$91,9,FALSE()),""))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IF(DATOS!$A4634="",0,IF(CONFIG_METADATA!$B$4&lt;&gt;"OR+EX",--(DATOS!$G4634=CONFIG_METADATA!$B$4),IF(DATOS!$G4634="EX",1,IF(DATOS!$G4634="OR",--(COUNTIFS(nNIA,DATOS!$A4634,nCURSO,DATOS!$D4634,nESPEC,DATOS!$E4634,nASIG,DATOS!$I4634,nEVAL,"EX")=0),0))))</f>
      </c>
      <c r="H4634">
        <f>IF(DATOS!$G4634&lt;&gt;"EX",0,--(COUNTIFS(nNIA,DATOS!$A4634,nCURSO,DATOS!$D4634,nESPEC,DATOS!$E4634,nASIG,DATOS!$I4634,nEVAL,"OR")=0))</f>
      </c>
      <c r="I4634">
        <f>IF(DATOS!$I4634="","",IFERROR(VLOOKUP(DATOS!$I4634,CONFIG_ASIGNATURAS!$B$2:$J$91,9,FALSE()),""))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IF(DATOS!$A4635="",0,IF(CONFIG_METADATA!$B$4&lt;&gt;"OR+EX",--(DATOS!$G4635=CONFIG_METADATA!$B$4),IF(DATOS!$G4635="EX",1,IF(DATOS!$G4635="OR",--(COUNTIFS(nNIA,DATOS!$A4635,nCURSO,DATOS!$D4635,nESPEC,DATOS!$E4635,nASIG,DATOS!$I4635,nEVAL,"EX")=0),0))))</f>
      </c>
      <c r="H4635">
        <f>IF(DATOS!$G4635&lt;&gt;"EX",0,--(COUNTIFS(nNIA,DATOS!$A4635,nCURSO,DATOS!$D4635,nESPEC,DATOS!$E4635,nASIG,DATOS!$I4635,nEVAL,"OR")=0))</f>
      </c>
      <c r="I4635">
        <f>IF(DATOS!$I4635="","",IFERROR(VLOOKUP(DATOS!$I4635,CONFIG_ASIGNATURAS!$B$2:$J$91,9,FALSE()),""))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IF(DATOS!$A4636="",0,IF(CONFIG_METADATA!$B$4&lt;&gt;"OR+EX",--(DATOS!$G4636=CONFIG_METADATA!$B$4),IF(DATOS!$G4636="EX",1,IF(DATOS!$G4636="OR",--(COUNTIFS(nNIA,DATOS!$A4636,nCURSO,DATOS!$D4636,nESPEC,DATOS!$E4636,nASIG,DATOS!$I4636,nEVAL,"EX")=0),0))))</f>
      </c>
      <c r="H4636">
        <f>IF(DATOS!$G4636&lt;&gt;"EX",0,--(COUNTIFS(nNIA,DATOS!$A4636,nCURSO,DATOS!$D4636,nESPEC,DATOS!$E4636,nASIG,DATOS!$I4636,nEVAL,"OR")=0))</f>
      </c>
      <c r="I4636">
        <f>IF(DATOS!$I4636="","",IFERROR(VLOOKUP(DATOS!$I4636,CONFIG_ASIGNATURAS!$B$2:$J$91,9,FALSE()),""))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IF(DATOS!$A4637="",0,IF(CONFIG_METADATA!$B$4&lt;&gt;"OR+EX",--(DATOS!$G4637=CONFIG_METADATA!$B$4),IF(DATOS!$G4637="EX",1,IF(DATOS!$G4637="OR",--(COUNTIFS(nNIA,DATOS!$A4637,nCURSO,DATOS!$D4637,nESPEC,DATOS!$E4637,nASIG,DATOS!$I4637,nEVAL,"EX")=0),0))))</f>
      </c>
      <c r="H4637">
        <f>IF(DATOS!$G4637&lt;&gt;"EX",0,--(COUNTIFS(nNIA,DATOS!$A4637,nCURSO,DATOS!$D4637,nESPEC,DATOS!$E4637,nASIG,DATOS!$I4637,nEVAL,"OR")=0))</f>
      </c>
      <c r="I4637">
        <f>IF(DATOS!$I4637="","",IFERROR(VLOOKUP(DATOS!$I4637,CONFIG_ASIGNATURAS!$B$2:$J$91,9,FALSE()),""))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IF(DATOS!$A4638="",0,IF(CONFIG_METADATA!$B$4&lt;&gt;"OR+EX",--(DATOS!$G4638=CONFIG_METADATA!$B$4),IF(DATOS!$G4638="EX",1,IF(DATOS!$G4638="OR",--(COUNTIFS(nNIA,DATOS!$A4638,nCURSO,DATOS!$D4638,nESPEC,DATOS!$E4638,nASIG,DATOS!$I4638,nEVAL,"EX")=0),0))))</f>
      </c>
      <c r="H4638">
        <f>IF(DATOS!$G4638&lt;&gt;"EX",0,--(COUNTIFS(nNIA,DATOS!$A4638,nCURSO,DATOS!$D4638,nESPEC,DATOS!$E4638,nASIG,DATOS!$I4638,nEVAL,"OR")=0))</f>
      </c>
      <c r="I4638">
        <f>IF(DATOS!$I4638="","",IFERROR(VLOOKUP(DATOS!$I4638,CONFIG_ASIGNATURAS!$B$2:$J$91,9,FALSE()),""))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IF(DATOS!$A4639="",0,IF(CONFIG_METADATA!$B$4&lt;&gt;"OR+EX",--(DATOS!$G4639=CONFIG_METADATA!$B$4),IF(DATOS!$G4639="EX",1,IF(DATOS!$G4639="OR",--(COUNTIFS(nNIA,DATOS!$A4639,nCURSO,DATOS!$D4639,nESPEC,DATOS!$E4639,nASIG,DATOS!$I4639,nEVAL,"EX")=0),0))))</f>
      </c>
      <c r="H4639">
        <f>IF(DATOS!$G4639&lt;&gt;"EX",0,--(COUNTIFS(nNIA,DATOS!$A4639,nCURSO,DATOS!$D4639,nESPEC,DATOS!$E4639,nASIG,DATOS!$I4639,nEVAL,"OR")=0))</f>
      </c>
      <c r="I4639">
        <f>IF(DATOS!$I4639="","",IFERROR(VLOOKUP(DATOS!$I4639,CONFIG_ASIGNATURAS!$B$2:$J$91,9,FALSE()),""))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IF(DATOS!$A4640="",0,IF(CONFIG_METADATA!$B$4&lt;&gt;"OR+EX",--(DATOS!$G4640=CONFIG_METADATA!$B$4),IF(DATOS!$G4640="EX",1,IF(DATOS!$G4640="OR",--(COUNTIFS(nNIA,DATOS!$A4640,nCURSO,DATOS!$D4640,nESPEC,DATOS!$E4640,nASIG,DATOS!$I4640,nEVAL,"EX")=0),0))))</f>
      </c>
      <c r="H4640">
        <f>IF(DATOS!$G4640&lt;&gt;"EX",0,--(COUNTIFS(nNIA,DATOS!$A4640,nCURSO,DATOS!$D4640,nESPEC,DATOS!$E4640,nASIG,DATOS!$I4640,nEVAL,"OR")=0))</f>
      </c>
      <c r="I4640">
        <f>IF(DATOS!$I4640="","",IFERROR(VLOOKUP(DATOS!$I4640,CONFIG_ASIGNATURAS!$B$2:$J$91,9,FALSE()),""))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IF(DATOS!$A4641="",0,IF(CONFIG_METADATA!$B$4&lt;&gt;"OR+EX",--(DATOS!$G4641=CONFIG_METADATA!$B$4),IF(DATOS!$G4641="EX",1,IF(DATOS!$G4641="OR",--(COUNTIFS(nNIA,DATOS!$A4641,nCURSO,DATOS!$D4641,nESPEC,DATOS!$E4641,nASIG,DATOS!$I4641,nEVAL,"EX")=0),0))))</f>
      </c>
      <c r="H4641">
        <f>IF(DATOS!$G4641&lt;&gt;"EX",0,--(COUNTIFS(nNIA,DATOS!$A4641,nCURSO,DATOS!$D4641,nESPEC,DATOS!$E4641,nASIG,DATOS!$I4641,nEVAL,"OR")=0))</f>
      </c>
      <c r="I4641">
        <f>IF(DATOS!$I4641="","",IFERROR(VLOOKUP(DATOS!$I4641,CONFIG_ASIGNATURAS!$B$2:$J$91,9,FALSE()),""))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IF(DATOS!$A4642="",0,IF(CONFIG_METADATA!$B$4&lt;&gt;"OR+EX",--(DATOS!$G4642=CONFIG_METADATA!$B$4),IF(DATOS!$G4642="EX",1,IF(DATOS!$G4642="OR",--(COUNTIFS(nNIA,DATOS!$A4642,nCURSO,DATOS!$D4642,nESPEC,DATOS!$E4642,nASIG,DATOS!$I4642,nEVAL,"EX")=0),0))))</f>
      </c>
      <c r="H4642">
        <f>IF(DATOS!$G4642&lt;&gt;"EX",0,--(COUNTIFS(nNIA,DATOS!$A4642,nCURSO,DATOS!$D4642,nESPEC,DATOS!$E4642,nASIG,DATOS!$I4642,nEVAL,"OR")=0))</f>
      </c>
      <c r="I4642">
        <f>IF(DATOS!$I4642="","",IFERROR(VLOOKUP(DATOS!$I4642,CONFIG_ASIGNATURAS!$B$2:$J$91,9,FALSE()),""))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IF(DATOS!$A4643="",0,IF(CONFIG_METADATA!$B$4&lt;&gt;"OR+EX",--(DATOS!$G4643=CONFIG_METADATA!$B$4),IF(DATOS!$G4643="EX",1,IF(DATOS!$G4643="OR",--(COUNTIFS(nNIA,DATOS!$A4643,nCURSO,DATOS!$D4643,nESPEC,DATOS!$E4643,nASIG,DATOS!$I4643,nEVAL,"EX")=0),0))))</f>
      </c>
      <c r="H4643">
        <f>IF(DATOS!$G4643&lt;&gt;"EX",0,--(COUNTIFS(nNIA,DATOS!$A4643,nCURSO,DATOS!$D4643,nESPEC,DATOS!$E4643,nASIG,DATOS!$I4643,nEVAL,"OR")=0))</f>
      </c>
      <c r="I4643">
        <f>IF(DATOS!$I4643="","",IFERROR(VLOOKUP(DATOS!$I4643,CONFIG_ASIGNATURAS!$B$2:$J$91,9,FALSE()),""))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IF(DATOS!$A4644="",0,IF(CONFIG_METADATA!$B$4&lt;&gt;"OR+EX",--(DATOS!$G4644=CONFIG_METADATA!$B$4),IF(DATOS!$G4644="EX",1,IF(DATOS!$G4644="OR",--(COUNTIFS(nNIA,DATOS!$A4644,nCURSO,DATOS!$D4644,nESPEC,DATOS!$E4644,nASIG,DATOS!$I4644,nEVAL,"EX")=0),0))))</f>
      </c>
      <c r="H4644">
        <f>IF(DATOS!$G4644&lt;&gt;"EX",0,--(COUNTIFS(nNIA,DATOS!$A4644,nCURSO,DATOS!$D4644,nESPEC,DATOS!$E4644,nASIG,DATOS!$I4644,nEVAL,"OR")=0))</f>
      </c>
      <c r="I4644">
        <f>IF(DATOS!$I4644="","",IFERROR(VLOOKUP(DATOS!$I4644,CONFIG_ASIGNATURAS!$B$2:$J$91,9,FALSE()),""))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IF(DATOS!$A4645="",0,IF(CONFIG_METADATA!$B$4&lt;&gt;"OR+EX",--(DATOS!$G4645=CONFIG_METADATA!$B$4),IF(DATOS!$G4645="EX",1,IF(DATOS!$G4645="OR",--(COUNTIFS(nNIA,DATOS!$A4645,nCURSO,DATOS!$D4645,nESPEC,DATOS!$E4645,nASIG,DATOS!$I4645,nEVAL,"EX")=0),0))))</f>
      </c>
      <c r="H4645">
        <f>IF(DATOS!$G4645&lt;&gt;"EX",0,--(COUNTIFS(nNIA,DATOS!$A4645,nCURSO,DATOS!$D4645,nESPEC,DATOS!$E4645,nASIG,DATOS!$I4645,nEVAL,"OR")=0))</f>
      </c>
      <c r="I4645">
        <f>IF(DATOS!$I4645="","",IFERROR(VLOOKUP(DATOS!$I4645,CONFIG_ASIGNATURAS!$B$2:$J$91,9,FALSE()),""))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IF(DATOS!$A4646="",0,IF(CONFIG_METADATA!$B$4&lt;&gt;"OR+EX",--(DATOS!$G4646=CONFIG_METADATA!$B$4),IF(DATOS!$G4646="EX",1,IF(DATOS!$G4646="OR",--(COUNTIFS(nNIA,DATOS!$A4646,nCURSO,DATOS!$D4646,nESPEC,DATOS!$E4646,nASIG,DATOS!$I4646,nEVAL,"EX")=0),0))))</f>
      </c>
      <c r="H4646">
        <f>IF(DATOS!$G4646&lt;&gt;"EX",0,--(COUNTIFS(nNIA,DATOS!$A4646,nCURSO,DATOS!$D4646,nESPEC,DATOS!$E4646,nASIG,DATOS!$I4646,nEVAL,"OR")=0))</f>
      </c>
      <c r="I4646">
        <f>IF(DATOS!$I4646="","",IFERROR(VLOOKUP(DATOS!$I4646,CONFIG_ASIGNATURAS!$B$2:$J$91,9,FALSE()),""))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IF(DATOS!$A4647="",0,IF(CONFIG_METADATA!$B$4&lt;&gt;"OR+EX",--(DATOS!$G4647=CONFIG_METADATA!$B$4),IF(DATOS!$G4647="EX",1,IF(DATOS!$G4647="OR",--(COUNTIFS(nNIA,DATOS!$A4647,nCURSO,DATOS!$D4647,nESPEC,DATOS!$E4647,nASIG,DATOS!$I4647,nEVAL,"EX")=0),0))))</f>
      </c>
      <c r="H4647">
        <f>IF(DATOS!$G4647&lt;&gt;"EX",0,--(COUNTIFS(nNIA,DATOS!$A4647,nCURSO,DATOS!$D4647,nESPEC,DATOS!$E4647,nASIG,DATOS!$I4647,nEVAL,"OR")=0))</f>
      </c>
      <c r="I4647">
        <f>IF(DATOS!$I4647="","",IFERROR(VLOOKUP(DATOS!$I4647,CONFIG_ASIGNATURAS!$B$2:$J$91,9,FALSE()),""))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IF(DATOS!$A4648="",0,IF(CONFIG_METADATA!$B$4&lt;&gt;"OR+EX",--(DATOS!$G4648=CONFIG_METADATA!$B$4),IF(DATOS!$G4648="EX",1,IF(DATOS!$G4648="OR",--(COUNTIFS(nNIA,DATOS!$A4648,nCURSO,DATOS!$D4648,nESPEC,DATOS!$E4648,nASIG,DATOS!$I4648,nEVAL,"EX")=0),0))))</f>
      </c>
      <c r="H4648">
        <f>IF(DATOS!$G4648&lt;&gt;"EX",0,--(COUNTIFS(nNIA,DATOS!$A4648,nCURSO,DATOS!$D4648,nESPEC,DATOS!$E4648,nASIG,DATOS!$I4648,nEVAL,"OR")=0))</f>
      </c>
      <c r="I4648">
        <f>IF(DATOS!$I4648="","",IFERROR(VLOOKUP(DATOS!$I4648,CONFIG_ASIGNATURAS!$B$2:$J$91,9,FALSE()),""))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IF(DATOS!$A4649="",0,IF(CONFIG_METADATA!$B$4&lt;&gt;"OR+EX",--(DATOS!$G4649=CONFIG_METADATA!$B$4),IF(DATOS!$G4649="EX",1,IF(DATOS!$G4649="OR",--(COUNTIFS(nNIA,DATOS!$A4649,nCURSO,DATOS!$D4649,nESPEC,DATOS!$E4649,nASIG,DATOS!$I4649,nEVAL,"EX")=0),0))))</f>
      </c>
      <c r="H4649">
        <f>IF(DATOS!$G4649&lt;&gt;"EX",0,--(COUNTIFS(nNIA,DATOS!$A4649,nCURSO,DATOS!$D4649,nESPEC,DATOS!$E4649,nASIG,DATOS!$I4649,nEVAL,"OR")=0))</f>
      </c>
      <c r="I4649">
        <f>IF(DATOS!$I4649="","",IFERROR(VLOOKUP(DATOS!$I4649,CONFIG_ASIGNATURAS!$B$2:$J$91,9,FALSE()),""))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IF(DATOS!$A4650="",0,IF(CONFIG_METADATA!$B$4&lt;&gt;"OR+EX",--(DATOS!$G4650=CONFIG_METADATA!$B$4),IF(DATOS!$G4650="EX",1,IF(DATOS!$G4650="OR",--(COUNTIFS(nNIA,DATOS!$A4650,nCURSO,DATOS!$D4650,nESPEC,DATOS!$E4650,nASIG,DATOS!$I4650,nEVAL,"EX")=0),0))))</f>
      </c>
      <c r="H4650">
        <f>IF(DATOS!$G4650&lt;&gt;"EX",0,--(COUNTIFS(nNIA,DATOS!$A4650,nCURSO,DATOS!$D4650,nESPEC,DATOS!$E4650,nASIG,DATOS!$I4650,nEVAL,"OR")=0))</f>
      </c>
      <c r="I4650">
        <f>IF(DATOS!$I4650="","",IFERROR(VLOOKUP(DATOS!$I4650,CONFIG_ASIGNATURAS!$B$2:$J$91,9,FALSE()),""))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IF(DATOS!$A4651="",0,IF(CONFIG_METADATA!$B$4&lt;&gt;"OR+EX",--(DATOS!$G4651=CONFIG_METADATA!$B$4),IF(DATOS!$G4651="EX",1,IF(DATOS!$G4651="OR",--(COUNTIFS(nNIA,DATOS!$A4651,nCURSO,DATOS!$D4651,nESPEC,DATOS!$E4651,nASIG,DATOS!$I4651,nEVAL,"EX")=0),0))))</f>
      </c>
      <c r="H4651">
        <f>IF(DATOS!$G4651&lt;&gt;"EX",0,--(COUNTIFS(nNIA,DATOS!$A4651,nCURSO,DATOS!$D4651,nESPEC,DATOS!$E4651,nASIG,DATOS!$I4651,nEVAL,"OR")=0))</f>
      </c>
      <c r="I4651">
        <f>IF(DATOS!$I4651="","",IFERROR(VLOOKUP(DATOS!$I4651,CONFIG_ASIGNATURAS!$B$2:$J$91,9,FALSE()),""))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IF(DATOS!$A4652="",0,IF(CONFIG_METADATA!$B$4&lt;&gt;"OR+EX",--(DATOS!$G4652=CONFIG_METADATA!$B$4),IF(DATOS!$G4652="EX",1,IF(DATOS!$G4652="OR",--(COUNTIFS(nNIA,DATOS!$A4652,nCURSO,DATOS!$D4652,nESPEC,DATOS!$E4652,nASIG,DATOS!$I4652,nEVAL,"EX")=0),0))))</f>
      </c>
      <c r="H4652">
        <f>IF(DATOS!$G4652&lt;&gt;"EX",0,--(COUNTIFS(nNIA,DATOS!$A4652,nCURSO,DATOS!$D4652,nESPEC,DATOS!$E4652,nASIG,DATOS!$I4652,nEVAL,"OR")=0))</f>
      </c>
      <c r="I4652">
        <f>IF(DATOS!$I4652="","",IFERROR(VLOOKUP(DATOS!$I4652,CONFIG_ASIGNATURAS!$B$2:$J$91,9,FALSE()),""))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IF(DATOS!$A4653="",0,IF(CONFIG_METADATA!$B$4&lt;&gt;"OR+EX",--(DATOS!$G4653=CONFIG_METADATA!$B$4),IF(DATOS!$G4653="EX",1,IF(DATOS!$G4653="OR",--(COUNTIFS(nNIA,DATOS!$A4653,nCURSO,DATOS!$D4653,nESPEC,DATOS!$E4653,nASIG,DATOS!$I4653,nEVAL,"EX")=0),0))))</f>
      </c>
      <c r="H4653">
        <f>IF(DATOS!$G4653&lt;&gt;"EX",0,--(COUNTIFS(nNIA,DATOS!$A4653,nCURSO,DATOS!$D4653,nESPEC,DATOS!$E4653,nASIG,DATOS!$I4653,nEVAL,"OR")=0))</f>
      </c>
      <c r="I4653">
        <f>IF(DATOS!$I4653="","",IFERROR(VLOOKUP(DATOS!$I4653,CONFIG_ASIGNATURAS!$B$2:$J$91,9,FALSE()),""))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IF(DATOS!$A4654="",0,IF(CONFIG_METADATA!$B$4&lt;&gt;"OR+EX",--(DATOS!$G4654=CONFIG_METADATA!$B$4),IF(DATOS!$G4654="EX",1,IF(DATOS!$G4654="OR",--(COUNTIFS(nNIA,DATOS!$A4654,nCURSO,DATOS!$D4654,nESPEC,DATOS!$E4654,nASIG,DATOS!$I4654,nEVAL,"EX")=0),0))))</f>
      </c>
      <c r="H4654">
        <f>IF(DATOS!$G4654&lt;&gt;"EX",0,--(COUNTIFS(nNIA,DATOS!$A4654,nCURSO,DATOS!$D4654,nESPEC,DATOS!$E4654,nASIG,DATOS!$I4654,nEVAL,"OR")=0))</f>
      </c>
      <c r="I4654">
        <f>IF(DATOS!$I4654="","",IFERROR(VLOOKUP(DATOS!$I4654,CONFIG_ASIGNATURAS!$B$2:$J$91,9,FALSE()),""))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IF(DATOS!$A4655="",0,IF(CONFIG_METADATA!$B$4&lt;&gt;"OR+EX",--(DATOS!$G4655=CONFIG_METADATA!$B$4),IF(DATOS!$G4655="EX",1,IF(DATOS!$G4655="OR",--(COUNTIFS(nNIA,DATOS!$A4655,nCURSO,DATOS!$D4655,nESPEC,DATOS!$E4655,nASIG,DATOS!$I4655,nEVAL,"EX")=0),0))))</f>
      </c>
      <c r="H4655">
        <f>IF(DATOS!$G4655&lt;&gt;"EX",0,--(COUNTIFS(nNIA,DATOS!$A4655,nCURSO,DATOS!$D4655,nESPEC,DATOS!$E4655,nASIG,DATOS!$I4655,nEVAL,"OR")=0))</f>
      </c>
      <c r="I4655">
        <f>IF(DATOS!$I4655="","",IFERROR(VLOOKUP(DATOS!$I4655,CONFIG_ASIGNATURAS!$B$2:$J$91,9,FALSE()),""))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IF(DATOS!$A4656="",0,IF(CONFIG_METADATA!$B$4&lt;&gt;"OR+EX",--(DATOS!$G4656=CONFIG_METADATA!$B$4),IF(DATOS!$G4656="EX",1,IF(DATOS!$G4656="OR",--(COUNTIFS(nNIA,DATOS!$A4656,nCURSO,DATOS!$D4656,nESPEC,DATOS!$E4656,nASIG,DATOS!$I4656,nEVAL,"EX")=0),0))))</f>
      </c>
      <c r="H4656">
        <f>IF(DATOS!$G4656&lt;&gt;"EX",0,--(COUNTIFS(nNIA,DATOS!$A4656,nCURSO,DATOS!$D4656,nESPEC,DATOS!$E4656,nASIG,DATOS!$I4656,nEVAL,"OR")=0))</f>
      </c>
      <c r="I4656">
        <f>IF(DATOS!$I4656="","",IFERROR(VLOOKUP(DATOS!$I4656,CONFIG_ASIGNATURAS!$B$2:$J$91,9,FALSE()),""))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IF(DATOS!$A4657="",0,IF(CONFIG_METADATA!$B$4&lt;&gt;"OR+EX",--(DATOS!$G4657=CONFIG_METADATA!$B$4),IF(DATOS!$G4657="EX",1,IF(DATOS!$G4657="OR",--(COUNTIFS(nNIA,DATOS!$A4657,nCURSO,DATOS!$D4657,nESPEC,DATOS!$E4657,nASIG,DATOS!$I4657,nEVAL,"EX")=0),0))))</f>
      </c>
      <c r="H4657">
        <f>IF(DATOS!$G4657&lt;&gt;"EX",0,--(COUNTIFS(nNIA,DATOS!$A4657,nCURSO,DATOS!$D4657,nESPEC,DATOS!$E4657,nASIG,DATOS!$I4657,nEVAL,"OR")=0))</f>
      </c>
      <c r="I4657">
        <f>IF(DATOS!$I4657="","",IFERROR(VLOOKUP(DATOS!$I4657,CONFIG_ASIGNATURAS!$B$2:$J$91,9,FALSE()),""))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IF(DATOS!$A4658="",0,IF(CONFIG_METADATA!$B$4&lt;&gt;"OR+EX",--(DATOS!$G4658=CONFIG_METADATA!$B$4),IF(DATOS!$G4658="EX",1,IF(DATOS!$G4658="OR",--(COUNTIFS(nNIA,DATOS!$A4658,nCURSO,DATOS!$D4658,nESPEC,DATOS!$E4658,nASIG,DATOS!$I4658,nEVAL,"EX")=0),0))))</f>
      </c>
      <c r="H4658">
        <f>IF(DATOS!$G4658&lt;&gt;"EX",0,--(COUNTIFS(nNIA,DATOS!$A4658,nCURSO,DATOS!$D4658,nESPEC,DATOS!$E4658,nASIG,DATOS!$I4658,nEVAL,"OR")=0))</f>
      </c>
      <c r="I4658">
        <f>IF(DATOS!$I4658="","",IFERROR(VLOOKUP(DATOS!$I4658,CONFIG_ASIGNATURAS!$B$2:$J$91,9,FALSE()),""))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IF(DATOS!$A4659="",0,IF(CONFIG_METADATA!$B$4&lt;&gt;"OR+EX",--(DATOS!$G4659=CONFIG_METADATA!$B$4),IF(DATOS!$G4659="EX",1,IF(DATOS!$G4659="OR",--(COUNTIFS(nNIA,DATOS!$A4659,nCURSO,DATOS!$D4659,nESPEC,DATOS!$E4659,nASIG,DATOS!$I4659,nEVAL,"EX")=0),0))))</f>
      </c>
      <c r="H4659">
        <f>IF(DATOS!$G4659&lt;&gt;"EX",0,--(COUNTIFS(nNIA,DATOS!$A4659,nCURSO,DATOS!$D4659,nESPEC,DATOS!$E4659,nASIG,DATOS!$I4659,nEVAL,"OR")=0))</f>
      </c>
      <c r="I4659">
        <f>IF(DATOS!$I4659="","",IFERROR(VLOOKUP(DATOS!$I4659,CONFIG_ASIGNATURAS!$B$2:$J$91,9,FALSE()),""))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IF(DATOS!$A4660="",0,IF(CONFIG_METADATA!$B$4&lt;&gt;"OR+EX",--(DATOS!$G4660=CONFIG_METADATA!$B$4),IF(DATOS!$G4660="EX",1,IF(DATOS!$G4660="OR",--(COUNTIFS(nNIA,DATOS!$A4660,nCURSO,DATOS!$D4660,nESPEC,DATOS!$E4660,nASIG,DATOS!$I4660,nEVAL,"EX")=0),0))))</f>
      </c>
      <c r="H4660">
        <f>IF(DATOS!$G4660&lt;&gt;"EX",0,--(COUNTIFS(nNIA,DATOS!$A4660,nCURSO,DATOS!$D4660,nESPEC,DATOS!$E4660,nASIG,DATOS!$I4660,nEVAL,"OR")=0))</f>
      </c>
      <c r="I4660">
        <f>IF(DATOS!$I4660="","",IFERROR(VLOOKUP(DATOS!$I4660,CONFIG_ASIGNATURAS!$B$2:$J$91,9,FALSE()),""))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IF(DATOS!$A4661="",0,IF(CONFIG_METADATA!$B$4&lt;&gt;"OR+EX",--(DATOS!$G4661=CONFIG_METADATA!$B$4),IF(DATOS!$G4661="EX",1,IF(DATOS!$G4661="OR",--(COUNTIFS(nNIA,DATOS!$A4661,nCURSO,DATOS!$D4661,nESPEC,DATOS!$E4661,nASIG,DATOS!$I4661,nEVAL,"EX")=0),0))))</f>
      </c>
      <c r="H4661">
        <f>IF(DATOS!$G4661&lt;&gt;"EX",0,--(COUNTIFS(nNIA,DATOS!$A4661,nCURSO,DATOS!$D4661,nESPEC,DATOS!$E4661,nASIG,DATOS!$I4661,nEVAL,"OR")=0))</f>
      </c>
      <c r="I4661">
        <f>IF(DATOS!$I4661="","",IFERROR(VLOOKUP(DATOS!$I4661,CONFIG_ASIGNATURAS!$B$2:$J$91,9,FALSE()),""))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IF(DATOS!$A4662="",0,IF(CONFIG_METADATA!$B$4&lt;&gt;"OR+EX",--(DATOS!$G4662=CONFIG_METADATA!$B$4),IF(DATOS!$G4662="EX",1,IF(DATOS!$G4662="OR",--(COUNTIFS(nNIA,DATOS!$A4662,nCURSO,DATOS!$D4662,nESPEC,DATOS!$E4662,nASIG,DATOS!$I4662,nEVAL,"EX")=0),0))))</f>
      </c>
      <c r="H4662">
        <f>IF(DATOS!$G4662&lt;&gt;"EX",0,--(COUNTIFS(nNIA,DATOS!$A4662,nCURSO,DATOS!$D4662,nESPEC,DATOS!$E4662,nASIG,DATOS!$I4662,nEVAL,"OR")=0))</f>
      </c>
      <c r="I4662">
        <f>IF(DATOS!$I4662="","",IFERROR(VLOOKUP(DATOS!$I4662,CONFIG_ASIGNATURAS!$B$2:$J$91,9,FALSE()),""))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IF(DATOS!$A4663="",0,IF(CONFIG_METADATA!$B$4&lt;&gt;"OR+EX",--(DATOS!$G4663=CONFIG_METADATA!$B$4),IF(DATOS!$G4663="EX",1,IF(DATOS!$G4663="OR",--(COUNTIFS(nNIA,DATOS!$A4663,nCURSO,DATOS!$D4663,nESPEC,DATOS!$E4663,nASIG,DATOS!$I4663,nEVAL,"EX")=0),0))))</f>
      </c>
      <c r="H4663">
        <f>IF(DATOS!$G4663&lt;&gt;"EX",0,--(COUNTIFS(nNIA,DATOS!$A4663,nCURSO,DATOS!$D4663,nESPEC,DATOS!$E4663,nASIG,DATOS!$I4663,nEVAL,"OR")=0))</f>
      </c>
      <c r="I4663">
        <f>IF(DATOS!$I4663="","",IFERROR(VLOOKUP(DATOS!$I4663,CONFIG_ASIGNATURAS!$B$2:$J$91,9,FALSE()),""))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IF(DATOS!$A4664="",0,IF(CONFIG_METADATA!$B$4&lt;&gt;"OR+EX",--(DATOS!$G4664=CONFIG_METADATA!$B$4),IF(DATOS!$G4664="EX",1,IF(DATOS!$G4664="OR",--(COUNTIFS(nNIA,DATOS!$A4664,nCURSO,DATOS!$D4664,nESPEC,DATOS!$E4664,nASIG,DATOS!$I4664,nEVAL,"EX")=0),0))))</f>
      </c>
      <c r="H4664">
        <f>IF(DATOS!$G4664&lt;&gt;"EX",0,--(COUNTIFS(nNIA,DATOS!$A4664,nCURSO,DATOS!$D4664,nESPEC,DATOS!$E4664,nASIG,DATOS!$I4664,nEVAL,"OR")=0))</f>
      </c>
      <c r="I4664">
        <f>IF(DATOS!$I4664="","",IFERROR(VLOOKUP(DATOS!$I4664,CONFIG_ASIGNATURAS!$B$2:$J$91,9,FALSE()),""))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IF(DATOS!$A4665="",0,IF(CONFIG_METADATA!$B$4&lt;&gt;"OR+EX",--(DATOS!$G4665=CONFIG_METADATA!$B$4),IF(DATOS!$G4665="EX",1,IF(DATOS!$G4665="OR",--(COUNTIFS(nNIA,DATOS!$A4665,nCURSO,DATOS!$D4665,nESPEC,DATOS!$E4665,nASIG,DATOS!$I4665,nEVAL,"EX")=0),0))))</f>
      </c>
      <c r="H4665">
        <f>IF(DATOS!$G4665&lt;&gt;"EX",0,--(COUNTIFS(nNIA,DATOS!$A4665,nCURSO,DATOS!$D4665,nESPEC,DATOS!$E4665,nASIG,DATOS!$I4665,nEVAL,"OR")=0))</f>
      </c>
      <c r="I4665">
        <f>IF(DATOS!$I4665="","",IFERROR(VLOOKUP(DATOS!$I4665,CONFIG_ASIGNATURAS!$B$2:$J$91,9,FALSE()),""))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IF(DATOS!$A4666="",0,IF(CONFIG_METADATA!$B$4&lt;&gt;"OR+EX",--(DATOS!$G4666=CONFIG_METADATA!$B$4),IF(DATOS!$G4666="EX",1,IF(DATOS!$G4666="OR",--(COUNTIFS(nNIA,DATOS!$A4666,nCURSO,DATOS!$D4666,nESPEC,DATOS!$E4666,nASIG,DATOS!$I4666,nEVAL,"EX")=0),0))))</f>
      </c>
      <c r="H4666">
        <f>IF(DATOS!$G4666&lt;&gt;"EX",0,--(COUNTIFS(nNIA,DATOS!$A4666,nCURSO,DATOS!$D4666,nESPEC,DATOS!$E4666,nASIG,DATOS!$I4666,nEVAL,"OR")=0))</f>
      </c>
      <c r="I4666">
        <f>IF(DATOS!$I4666="","",IFERROR(VLOOKUP(DATOS!$I4666,CONFIG_ASIGNATURAS!$B$2:$J$91,9,FALSE()),""))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IF(DATOS!$A4667="",0,IF(CONFIG_METADATA!$B$4&lt;&gt;"OR+EX",--(DATOS!$G4667=CONFIG_METADATA!$B$4),IF(DATOS!$G4667="EX",1,IF(DATOS!$G4667="OR",--(COUNTIFS(nNIA,DATOS!$A4667,nCURSO,DATOS!$D4667,nESPEC,DATOS!$E4667,nASIG,DATOS!$I4667,nEVAL,"EX")=0),0))))</f>
      </c>
      <c r="H4667">
        <f>IF(DATOS!$G4667&lt;&gt;"EX",0,--(COUNTIFS(nNIA,DATOS!$A4667,nCURSO,DATOS!$D4667,nESPEC,DATOS!$E4667,nASIG,DATOS!$I4667,nEVAL,"OR")=0))</f>
      </c>
      <c r="I4667">
        <f>IF(DATOS!$I4667="","",IFERROR(VLOOKUP(DATOS!$I4667,CONFIG_ASIGNATURAS!$B$2:$J$91,9,FALSE()),""))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IF(DATOS!$A4668="",0,IF(CONFIG_METADATA!$B$4&lt;&gt;"OR+EX",--(DATOS!$G4668=CONFIG_METADATA!$B$4),IF(DATOS!$G4668="EX",1,IF(DATOS!$G4668="OR",--(COUNTIFS(nNIA,DATOS!$A4668,nCURSO,DATOS!$D4668,nESPEC,DATOS!$E4668,nASIG,DATOS!$I4668,nEVAL,"EX")=0),0))))</f>
      </c>
      <c r="H4668">
        <f>IF(DATOS!$G4668&lt;&gt;"EX",0,--(COUNTIFS(nNIA,DATOS!$A4668,nCURSO,DATOS!$D4668,nESPEC,DATOS!$E4668,nASIG,DATOS!$I4668,nEVAL,"OR")=0))</f>
      </c>
      <c r="I4668">
        <f>IF(DATOS!$I4668="","",IFERROR(VLOOKUP(DATOS!$I4668,CONFIG_ASIGNATURAS!$B$2:$J$91,9,FALSE()),""))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IF(DATOS!$A4669="",0,IF(CONFIG_METADATA!$B$4&lt;&gt;"OR+EX",--(DATOS!$G4669=CONFIG_METADATA!$B$4),IF(DATOS!$G4669="EX",1,IF(DATOS!$G4669="OR",--(COUNTIFS(nNIA,DATOS!$A4669,nCURSO,DATOS!$D4669,nESPEC,DATOS!$E4669,nASIG,DATOS!$I4669,nEVAL,"EX")=0),0))))</f>
      </c>
      <c r="H4669">
        <f>IF(DATOS!$G4669&lt;&gt;"EX",0,--(COUNTIFS(nNIA,DATOS!$A4669,nCURSO,DATOS!$D4669,nESPEC,DATOS!$E4669,nASIG,DATOS!$I4669,nEVAL,"OR")=0))</f>
      </c>
      <c r="I4669">
        <f>IF(DATOS!$I4669="","",IFERROR(VLOOKUP(DATOS!$I4669,CONFIG_ASIGNATURAS!$B$2:$J$91,9,FALSE()),""))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IF(DATOS!$A4670="",0,IF(CONFIG_METADATA!$B$4&lt;&gt;"OR+EX",--(DATOS!$G4670=CONFIG_METADATA!$B$4),IF(DATOS!$G4670="EX",1,IF(DATOS!$G4670="OR",--(COUNTIFS(nNIA,DATOS!$A4670,nCURSO,DATOS!$D4670,nESPEC,DATOS!$E4670,nASIG,DATOS!$I4670,nEVAL,"EX")=0),0))))</f>
      </c>
      <c r="H4670">
        <f>IF(DATOS!$G4670&lt;&gt;"EX",0,--(COUNTIFS(nNIA,DATOS!$A4670,nCURSO,DATOS!$D4670,nESPEC,DATOS!$E4670,nASIG,DATOS!$I4670,nEVAL,"OR")=0))</f>
      </c>
      <c r="I4670">
        <f>IF(DATOS!$I4670="","",IFERROR(VLOOKUP(DATOS!$I4670,CONFIG_ASIGNATURAS!$B$2:$J$91,9,FALSE()),""))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IF(DATOS!$A4671="",0,IF(CONFIG_METADATA!$B$4&lt;&gt;"OR+EX",--(DATOS!$G4671=CONFIG_METADATA!$B$4),IF(DATOS!$G4671="EX",1,IF(DATOS!$G4671="OR",--(COUNTIFS(nNIA,DATOS!$A4671,nCURSO,DATOS!$D4671,nESPEC,DATOS!$E4671,nASIG,DATOS!$I4671,nEVAL,"EX")=0),0))))</f>
      </c>
      <c r="H4671">
        <f>IF(DATOS!$G4671&lt;&gt;"EX",0,--(COUNTIFS(nNIA,DATOS!$A4671,nCURSO,DATOS!$D4671,nESPEC,DATOS!$E4671,nASIG,DATOS!$I4671,nEVAL,"OR")=0))</f>
      </c>
      <c r="I4671">
        <f>IF(DATOS!$I4671="","",IFERROR(VLOOKUP(DATOS!$I4671,CONFIG_ASIGNATURAS!$B$2:$J$91,9,FALSE()),""))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IF(DATOS!$A4672="",0,IF(CONFIG_METADATA!$B$4&lt;&gt;"OR+EX",--(DATOS!$G4672=CONFIG_METADATA!$B$4),IF(DATOS!$G4672="EX",1,IF(DATOS!$G4672="OR",--(COUNTIFS(nNIA,DATOS!$A4672,nCURSO,DATOS!$D4672,nESPEC,DATOS!$E4672,nASIG,DATOS!$I4672,nEVAL,"EX")=0),0))))</f>
      </c>
      <c r="H4672">
        <f>IF(DATOS!$G4672&lt;&gt;"EX",0,--(COUNTIFS(nNIA,DATOS!$A4672,nCURSO,DATOS!$D4672,nESPEC,DATOS!$E4672,nASIG,DATOS!$I4672,nEVAL,"OR")=0))</f>
      </c>
      <c r="I4672">
        <f>IF(DATOS!$I4672="","",IFERROR(VLOOKUP(DATOS!$I4672,CONFIG_ASIGNATURAS!$B$2:$J$91,9,FALSE()),""))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IF(DATOS!$A4673="",0,IF(CONFIG_METADATA!$B$4&lt;&gt;"OR+EX",--(DATOS!$G4673=CONFIG_METADATA!$B$4),IF(DATOS!$G4673="EX",1,IF(DATOS!$G4673="OR",--(COUNTIFS(nNIA,DATOS!$A4673,nCURSO,DATOS!$D4673,nESPEC,DATOS!$E4673,nASIG,DATOS!$I4673,nEVAL,"EX")=0),0))))</f>
      </c>
      <c r="H4673">
        <f>IF(DATOS!$G4673&lt;&gt;"EX",0,--(COUNTIFS(nNIA,DATOS!$A4673,nCURSO,DATOS!$D4673,nESPEC,DATOS!$E4673,nASIG,DATOS!$I4673,nEVAL,"OR")=0))</f>
      </c>
      <c r="I4673">
        <f>IF(DATOS!$I4673="","",IFERROR(VLOOKUP(DATOS!$I4673,CONFIG_ASIGNATURAS!$B$2:$J$91,9,FALSE()),""))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IF(DATOS!$A4674="",0,IF(CONFIG_METADATA!$B$4&lt;&gt;"OR+EX",--(DATOS!$G4674=CONFIG_METADATA!$B$4),IF(DATOS!$G4674="EX",1,IF(DATOS!$G4674="OR",--(COUNTIFS(nNIA,DATOS!$A4674,nCURSO,DATOS!$D4674,nESPEC,DATOS!$E4674,nASIG,DATOS!$I4674,nEVAL,"EX")=0),0))))</f>
      </c>
      <c r="H4674">
        <f>IF(DATOS!$G4674&lt;&gt;"EX",0,--(COUNTIFS(nNIA,DATOS!$A4674,nCURSO,DATOS!$D4674,nESPEC,DATOS!$E4674,nASIG,DATOS!$I4674,nEVAL,"OR")=0))</f>
      </c>
      <c r="I4674">
        <f>IF(DATOS!$I4674="","",IFERROR(VLOOKUP(DATOS!$I4674,CONFIG_ASIGNATURAS!$B$2:$J$91,9,FALSE()),""))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IF(DATOS!$A4675="",0,IF(CONFIG_METADATA!$B$4&lt;&gt;"OR+EX",--(DATOS!$G4675=CONFIG_METADATA!$B$4),IF(DATOS!$G4675="EX",1,IF(DATOS!$G4675="OR",--(COUNTIFS(nNIA,DATOS!$A4675,nCURSO,DATOS!$D4675,nESPEC,DATOS!$E4675,nASIG,DATOS!$I4675,nEVAL,"EX")=0),0))))</f>
      </c>
      <c r="H4675">
        <f>IF(DATOS!$G4675&lt;&gt;"EX",0,--(COUNTIFS(nNIA,DATOS!$A4675,nCURSO,DATOS!$D4675,nESPEC,DATOS!$E4675,nASIG,DATOS!$I4675,nEVAL,"OR")=0))</f>
      </c>
      <c r="I4675">
        <f>IF(DATOS!$I4675="","",IFERROR(VLOOKUP(DATOS!$I4675,CONFIG_ASIGNATURAS!$B$2:$J$91,9,FALSE()),""))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IF(DATOS!$A4676="",0,IF(CONFIG_METADATA!$B$4&lt;&gt;"OR+EX",--(DATOS!$G4676=CONFIG_METADATA!$B$4),IF(DATOS!$G4676="EX",1,IF(DATOS!$G4676="OR",--(COUNTIFS(nNIA,DATOS!$A4676,nCURSO,DATOS!$D4676,nESPEC,DATOS!$E4676,nASIG,DATOS!$I4676,nEVAL,"EX")=0),0))))</f>
      </c>
      <c r="H4676">
        <f>IF(DATOS!$G4676&lt;&gt;"EX",0,--(COUNTIFS(nNIA,DATOS!$A4676,nCURSO,DATOS!$D4676,nESPEC,DATOS!$E4676,nASIG,DATOS!$I4676,nEVAL,"OR")=0))</f>
      </c>
      <c r="I4676">
        <f>IF(DATOS!$I4676="","",IFERROR(VLOOKUP(DATOS!$I4676,CONFIG_ASIGNATURAS!$B$2:$J$91,9,FALSE()),""))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IF(DATOS!$A4677="",0,IF(CONFIG_METADATA!$B$4&lt;&gt;"OR+EX",--(DATOS!$G4677=CONFIG_METADATA!$B$4),IF(DATOS!$G4677="EX",1,IF(DATOS!$G4677="OR",--(COUNTIFS(nNIA,DATOS!$A4677,nCURSO,DATOS!$D4677,nESPEC,DATOS!$E4677,nASIG,DATOS!$I4677,nEVAL,"EX")=0),0))))</f>
      </c>
      <c r="H4677">
        <f>IF(DATOS!$G4677&lt;&gt;"EX",0,--(COUNTIFS(nNIA,DATOS!$A4677,nCURSO,DATOS!$D4677,nESPEC,DATOS!$E4677,nASIG,DATOS!$I4677,nEVAL,"OR")=0))</f>
      </c>
      <c r="I4677">
        <f>IF(DATOS!$I4677="","",IFERROR(VLOOKUP(DATOS!$I4677,CONFIG_ASIGNATURAS!$B$2:$J$91,9,FALSE()),""))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IF(DATOS!$A4678="",0,IF(CONFIG_METADATA!$B$4&lt;&gt;"OR+EX",--(DATOS!$G4678=CONFIG_METADATA!$B$4),IF(DATOS!$G4678="EX",1,IF(DATOS!$G4678="OR",--(COUNTIFS(nNIA,DATOS!$A4678,nCURSO,DATOS!$D4678,nESPEC,DATOS!$E4678,nASIG,DATOS!$I4678,nEVAL,"EX")=0),0))))</f>
      </c>
      <c r="H4678">
        <f>IF(DATOS!$G4678&lt;&gt;"EX",0,--(COUNTIFS(nNIA,DATOS!$A4678,nCURSO,DATOS!$D4678,nESPEC,DATOS!$E4678,nASIG,DATOS!$I4678,nEVAL,"OR")=0))</f>
      </c>
      <c r="I4678">
        <f>IF(DATOS!$I4678="","",IFERROR(VLOOKUP(DATOS!$I4678,CONFIG_ASIGNATURAS!$B$2:$J$91,9,FALSE()),""))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IF(DATOS!$A4679="",0,IF(CONFIG_METADATA!$B$4&lt;&gt;"OR+EX",--(DATOS!$G4679=CONFIG_METADATA!$B$4),IF(DATOS!$G4679="EX",1,IF(DATOS!$G4679="OR",--(COUNTIFS(nNIA,DATOS!$A4679,nCURSO,DATOS!$D4679,nESPEC,DATOS!$E4679,nASIG,DATOS!$I4679,nEVAL,"EX")=0),0))))</f>
      </c>
      <c r="H4679">
        <f>IF(DATOS!$G4679&lt;&gt;"EX",0,--(COUNTIFS(nNIA,DATOS!$A4679,nCURSO,DATOS!$D4679,nESPEC,DATOS!$E4679,nASIG,DATOS!$I4679,nEVAL,"OR")=0))</f>
      </c>
      <c r="I4679">
        <f>IF(DATOS!$I4679="","",IFERROR(VLOOKUP(DATOS!$I4679,CONFIG_ASIGNATURAS!$B$2:$J$91,9,FALSE()),""))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IF(DATOS!$A4680="",0,IF(CONFIG_METADATA!$B$4&lt;&gt;"OR+EX",--(DATOS!$G4680=CONFIG_METADATA!$B$4),IF(DATOS!$G4680="EX",1,IF(DATOS!$G4680="OR",--(COUNTIFS(nNIA,DATOS!$A4680,nCURSO,DATOS!$D4680,nESPEC,DATOS!$E4680,nASIG,DATOS!$I4680,nEVAL,"EX")=0),0))))</f>
      </c>
      <c r="H4680">
        <f>IF(DATOS!$G4680&lt;&gt;"EX",0,--(COUNTIFS(nNIA,DATOS!$A4680,nCURSO,DATOS!$D4680,nESPEC,DATOS!$E4680,nASIG,DATOS!$I4680,nEVAL,"OR")=0))</f>
      </c>
      <c r="I4680">
        <f>IF(DATOS!$I4680="","",IFERROR(VLOOKUP(DATOS!$I4680,CONFIG_ASIGNATURAS!$B$2:$J$91,9,FALSE()),""))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IF(DATOS!$A4681="",0,IF(CONFIG_METADATA!$B$4&lt;&gt;"OR+EX",--(DATOS!$G4681=CONFIG_METADATA!$B$4),IF(DATOS!$G4681="EX",1,IF(DATOS!$G4681="OR",--(COUNTIFS(nNIA,DATOS!$A4681,nCURSO,DATOS!$D4681,nESPEC,DATOS!$E4681,nASIG,DATOS!$I4681,nEVAL,"EX")=0),0))))</f>
      </c>
      <c r="H4681">
        <f>IF(DATOS!$G4681&lt;&gt;"EX",0,--(COUNTIFS(nNIA,DATOS!$A4681,nCURSO,DATOS!$D4681,nESPEC,DATOS!$E4681,nASIG,DATOS!$I4681,nEVAL,"OR")=0))</f>
      </c>
      <c r="I4681">
        <f>IF(DATOS!$I4681="","",IFERROR(VLOOKUP(DATOS!$I4681,CONFIG_ASIGNATURAS!$B$2:$J$91,9,FALSE()),""))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IF(DATOS!$A4682="",0,IF(CONFIG_METADATA!$B$4&lt;&gt;"OR+EX",--(DATOS!$G4682=CONFIG_METADATA!$B$4),IF(DATOS!$G4682="EX",1,IF(DATOS!$G4682="OR",--(COUNTIFS(nNIA,DATOS!$A4682,nCURSO,DATOS!$D4682,nESPEC,DATOS!$E4682,nASIG,DATOS!$I4682,nEVAL,"EX")=0),0))))</f>
      </c>
      <c r="H4682">
        <f>IF(DATOS!$G4682&lt;&gt;"EX",0,--(COUNTIFS(nNIA,DATOS!$A4682,nCURSO,DATOS!$D4682,nESPEC,DATOS!$E4682,nASIG,DATOS!$I4682,nEVAL,"OR")=0))</f>
      </c>
      <c r="I4682">
        <f>IF(DATOS!$I4682="","",IFERROR(VLOOKUP(DATOS!$I4682,CONFIG_ASIGNATURAS!$B$2:$J$91,9,FALSE()),""))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IF(DATOS!$A4683="",0,IF(CONFIG_METADATA!$B$4&lt;&gt;"OR+EX",--(DATOS!$G4683=CONFIG_METADATA!$B$4),IF(DATOS!$G4683="EX",1,IF(DATOS!$G4683="OR",--(COUNTIFS(nNIA,DATOS!$A4683,nCURSO,DATOS!$D4683,nESPEC,DATOS!$E4683,nASIG,DATOS!$I4683,nEVAL,"EX")=0),0))))</f>
      </c>
      <c r="H4683">
        <f>IF(DATOS!$G4683&lt;&gt;"EX",0,--(COUNTIFS(nNIA,DATOS!$A4683,nCURSO,DATOS!$D4683,nESPEC,DATOS!$E4683,nASIG,DATOS!$I4683,nEVAL,"OR")=0))</f>
      </c>
      <c r="I4683">
        <f>IF(DATOS!$I4683="","",IFERROR(VLOOKUP(DATOS!$I4683,CONFIG_ASIGNATURAS!$B$2:$J$91,9,FALSE()),""))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IF(DATOS!$A4684="",0,IF(CONFIG_METADATA!$B$4&lt;&gt;"OR+EX",--(DATOS!$G4684=CONFIG_METADATA!$B$4),IF(DATOS!$G4684="EX",1,IF(DATOS!$G4684="OR",--(COUNTIFS(nNIA,DATOS!$A4684,nCURSO,DATOS!$D4684,nESPEC,DATOS!$E4684,nASIG,DATOS!$I4684,nEVAL,"EX")=0),0))))</f>
      </c>
      <c r="H4684">
        <f>IF(DATOS!$G4684&lt;&gt;"EX",0,--(COUNTIFS(nNIA,DATOS!$A4684,nCURSO,DATOS!$D4684,nESPEC,DATOS!$E4684,nASIG,DATOS!$I4684,nEVAL,"OR")=0))</f>
      </c>
      <c r="I4684">
        <f>IF(DATOS!$I4684="","",IFERROR(VLOOKUP(DATOS!$I4684,CONFIG_ASIGNATURAS!$B$2:$J$91,9,FALSE()),""))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IF(DATOS!$A4685="",0,IF(CONFIG_METADATA!$B$4&lt;&gt;"OR+EX",--(DATOS!$G4685=CONFIG_METADATA!$B$4),IF(DATOS!$G4685="EX",1,IF(DATOS!$G4685="OR",--(COUNTIFS(nNIA,DATOS!$A4685,nCURSO,DATOS!$D4685,nESPEC,DATOS!$E4685,nASIG,DATOS!$I4685,nEVAL,"EX")=0),0))))</f>
      </c>
      <c r="H4685">
        <f>IF(DATOS!$G4685&lt;&gt;"EX",0,--(COUNTIFS(nNIA,DATOS!$A4685,nCURSO,DATOS!$D4685,nESPEC,DATOS!$E4685,nASIG,DATOS!$I4685,nEVAL,"OR")=0))</f>
      </c>
      <c r="I4685">
        <f>IF(DATOS!$I4685="","",IFERROR(VLOOKUP(DATOS!$I4685,CONFIG_ASIGNATURAS!$B$2:$J$91,9,FALSE()),""))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IF(DATOS!$A4686="",0,IF(CONFIG_METADATA!$B$4&lt;&gt;"OR+EX",--(DATOS!$G4686=CONFIG_METADATA!$B$4),IF(DATOS!$G4686="EX",1,IF(DATOS!$G4686="OR",--(COUNTIFS(nNIA,DATOS!$A4686,nCURSO,DATOS!$D4686,nESPEC,DATOS!$E4686,nASIG,DATOS!$I4686,nEVAL,"EX")=0),0))))</f>
      </c>
      <c r="H4686">
        <f>IF(DATOS!$G4686&lt;&gt;"EX",0,--(COUNTIFS(nNIA,DATOS!$A4686,nCURSO,DATOS!$D4686,nESPEC,DATOS!$E4686,nASIG,DATOS!$I4686,nEVAL,"OR")=0))</f>
      </c>
      <c r="I4686">
        <f>IF(DATOS!$I4686="","",IFERROR(VLOOKUP(DATOS!$I4686,CONFIG_ASIGNATURAS!$B$2:$J$91,9,FALSE()),""))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IF(DATOS!$A4687="",0,IF(CONFIG_METADATA!$B$4&lt;&gt;"OR+EX",--(DATOS!$G4687=CONFIG_METADATA!$B$4),IF(DATOS!$G4687="EX",1,IF(DATOS!$G4687="OR",--(COUNTIFS(nNIA,DATOS!$A4687,nCURSO,DATOS!$D4687,nESPEC,DATOS!$E4687,nASIG,DATOS!$I4687,nEVAL,"EX")=0),0))))</f>
      </c>
      <c r="H4687">
        <f>IF(DATOS!$G4687&lt;&gt;"EX",0,--(COUNTIFS(nNIA,DATOS!$A4687,nCURSO,DATOS!$D4687,nESPEC,DATOS!$E4687,nASIG,DATOS!$I4687,nEVAL,"OR")=0))</f>
      </c>
      <c r="I4687">
        <f>IF(DATOS!$I4687="","",IFERROR(VLOOKUP(DATOS!$I4687,CONFIG_ASIGNATURAS!$B$2:$J$91,9,FALSE()),""))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IF(DATOS!$A4688="",0,IF(CONFIG_METADATA!$B$4&lt;&gt;"OR+EX",--(DATOS!$G4688=CONFIG_METADATA!$B$4),IF(DATOS!$G4688="EX",1,IF(DATOS!$G4688="OR",--(COUNTIFS(nNIA,DATOS!$A4688,nCURSO,DATOS!$D4688,nESPEC,DATOS!$E4688,nASIG,DATOS!$I4688,nEVAL,"EX")=0),0))))</f>
      </c>
      <c r="H4688">
        <f>IF(DATOS!$G4688&lt;&gt;"EX",0,--(COUNTIFS(nNIA,DATOS!$A4688,nCURSO,DATOS!$D4688,nESPEC,DATOS!$E4688,nASIG,DATOS!$I4688,nEVAL,"OR")=0))</f>
      </c>
      <c r="I4688">
        <f>IF(DATOS!$I4688="","",IFERROR(VLOOKUP(DATOS!$I4688,CONFIG_ASIGNATURAS!$B$2:$J$91,9,FALSE()),""))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IF(DATOS!$A4689="",0,IF(CONFIG_METADATA!$B$4&lt;&gt;"OR+EX",--(DATOS!$G4689=CONFIG_METADATA!$B$4),IF(DATOS!$G4689="EX",1,IF(DATOS!$G4689="OR",--(COUNTIFS(nNIA,DATOS!$A4689,nCURSO,DATOS!$D4689,nESPEC,DATOS!$E4689,nASIG,DATOS!$I4689,nEVAL,"EX")=0),0))))</f>
      </c>
      <c r="H4689">
        <f>IF(DATOS!$G4689&lt;&gt;"EX",0,--(COUNTIFS(nNIA,DATOS!$A4689,nCURSO,DATOS!$D4689,nESPEC,DATOS!$E4689,nASIG,DATOS!$I4689,nEVAL,"OR")=0))</f>
      </c>
      <c r="I4689">
        <f>IF(DATOS!$I4689="","",IFERROR(VLOOKUP(DATOS!$I4689,CONFIG_ASIGNATURAS!$B$2:$J$91,9,FALSE()),""))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IF(DATOS!$A4690="",0,IF(CONFIG_METADATA!$B$4&lt;&gt;"OR+EX",--(DATOS!$G4690=CONFIG_METADATA!$B$4),IF(DATOS!$G4690="EX",1,IF(DATOS!$G4690="OR",--(COUNTIFS(nNIA,DATOS!$A4690,nCURSO,DATOS!$D4690,nESPEC,DATOS!$E4690,nASIG,DATOS!$I4690,nEVAL,"EX")=0),0))))</f>
      </c>
      <c r="H4690">
        <f>IF(DATOS!$G4690&lt;&gt;"EX",0,--(COUNTIFS(nNIA,DATOS!$A4690,nCURSO,DATOS!$D4690,nESPEC,DATOS!$E4690,nASIG,DATOS!$I4690,nEVAL,"OR")=0))</f>
      </c>
      <c r="I4690">
        <f>IF(DATOS!$I4690="","",IFERROR(VLOOKUP(DATOS!$I4690,CONFIG_ASIGNATURAS!$B$2:$J$91,9,FALSE()),""))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IF(DATOS!$A4691="",0,IF(CONFIG_METADATA!$B$4&lt;&gt;"OR+EX",--(DATOS!$G4691=CONFIG_METADATA!$B$4),IF(DATOS!$G4691="EX",1,IF(DATOS!$G4691="OR",--(COUNTIFS(nNIA,DATOS!$A4691,nCURSO,DATOS!$D4691,nESPEC,DATOS!$E4691,nASIG,DATOS!$I4691,nEVAL,"EX")=0),0))))</f>
      </c>
      <c r="H4691">
        <f>IF(DATOS!$G4691&lt;&gt;"EX",0,--(COUNTIFS(nNIA,DATOS!$A4691,nCURSO,DATOS!$D4691,nESPEC,DATOS!$E4691,nASIG,DATOS!$I4691,nEVAL,"OR")=0))</f>
      </c>
      <c r="I4691">
        <f>IF(DATOS!$I4691="","",IFERROR(VLOOKUP(DATOS!$I4691,CONFIG_ASIGNATURAS!$B$2:$J$91,9,FALSE()),""))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IF(DATOS!$A4692="",0,IF(CONFIG_METADATA!$B$4&lt;&gt;"OR+EX",--(DATOS!$G4692=CONFIG_METADATA!$B$4),IF(DATOS!$G4692="EX",1,IF(DATOS!$G4692="OR",--(COUNTIFS(nNIA,DATOS!$A4692,nCURSO,DATOS!$D4692,nESPEC,DATOS!$E4692,nASIG,DATOS!$I4692,nEVAL,"EX")=0),0))))</f>
      </c>
      <c r="H4692">
        <f>IF(DATOS!$G4692&lt;&gt;"EX",0,--(COUNTIFS(nNIA,DATOS!$A4692,nCURSO,DATOS!$D4692,nESPEC,DATOS!$E4692,nASIG,DATOS!$I4692,nEVAL,"OR")=0))</f>
      </c>
      <c r="I4692">
        <f>IF(DATOS!$I4692="","",IFERROR(VLOOKUP(DATOS!$I4692,CONFIG_ASIGNATURAS!$B$2:$J$91,9,FALSE()),""))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IF(DATOS!$A4693="",0,IF(CONFIG_METADATA!$B$4&lt;&gt;"OR+EX",--(DATOS!$G4693=CONFIG_METADATA!$B$4),IF(DATOS!$G4693="EX",1,IF(DATOS!$G4693="OR",--(COUNTIFS(nNIA,DATOS!$A4693,nCURSO,DATOS!$D4693,nESPEC,DATOS!$E4693,nASIG,DATOS!$I4693,nEVAL,"EX")=0),0))))</f>
      </c>
      <c r="H4693">
        <f>IF(DATOS!$G4693&lt;&gt;"EX",0,--(COUNTIFS(nNIA,DATOS!$A4693,nCURSO,DATOS!$D4693,nESPEC,DATOS!$E4693,nASIG,DATOS!$I4693,nEVAL,"OR")=0))</f>
      </c>
      <c r="I4693">
        <f>IF(DATOS!$I4693="","",IFERROR(VLOOKUP(DATOS!$I4693,CONFIG_ASIGNATURAS!$B$2:$J$91,9,FALSE()),""))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IF(DATOS!$A4694="",0,IF(CONFIG_METADATA!$B$4&lt;&gt;"OR+EX",--(DATOS!$G4694=CONFIG_METADATA!$B$4),IF(DATOS!$G4694="EX",1,IF(DATOS!$G4694="OR",--(COUNTIFS(nNIA,DATOS!$A4694,nCURSO,DATOS!$D4694,nESPEC,DATOS!$E4694,nASIG,DATOS!$I4694,nEVAL,"EX")=0),0))))</f>
      </c>
      <c r="H4694">
        <f>IF(DATOS!$G4694&lt;&gt;"EX",0,--(COUNTIFS(nNIA,DATOS!$A4694,nCURSO,DATOS!$D4694,nESPEC,DATOS!$E4694,nASIG,DATOS!$I4694,nEVAL,"OR")=0))</f>
      </c>
      <c r="I4694">
        <f>IF(DATOS!$I4694="","",IFERROR(VLOOKUP(DATOS!$I4694,CONFIG_ASIGNATURAS!$B$2:$J$91,9,FALSE()),""))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IF(DATOS!$A4695="",0,IF(CONFIG_METADATA!$B$4&lt;&gt;"OR+EX",--(DATOS!$G4695=CONFIG_METADATA!$B$4),IF(DATOS!$G4695="EX",1,IF(DATOS!$G4695="OR",--(COUNTIFS(nNIA,DATOS!$A4695,nCURSO,DATOS!$D4695,nESPEC,DATOS!$E4695,nASIG,DATOS!$I4695,nEVAL,"EX")=0),0))))</f>
      </c>
      <c r="H4695">
        <f>IF(DATOS!$G4695&lt;&gt;"EX",0,--(COUNTIFS(nNIA,DATOS!$A4695,nCURSO,DATOS!$D4695,nESPEC,DATOS!$E4695,nASIG,DATOS!$I4695,nEVAL,"OR")=0))</f>
      </c>
      <c r="I4695">
        <f>IF(DATOS!$I4695="","",IFERROR(VLOOKUP(DATOS!$I4695,CONFIG_ASIGNATURAS!$B$2:$J$91,9,FALSE()),""))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IF(DATOS!$A4696="",0,IF(CONFIG_METADATA!$B$4&lt;&gt;"OR+EX",--(DATOS!$G4696=CONFIG_METADATA!$B$4),IF(DATOS!$G4696="EX",1,IF(DATOS!$G4696="OR",--(COUNTIFS(nNIA,DATOS!$A4696,nCURSO,DATOS!$D4696,nESPEC,DATOS!$E4696,nASIG,DATOS!$I4696,nEVAL,"EX")=0),0))))</f>
      </c>
      <c r="H4696">
        <f>IF(DATOS!$G4696&lt;&gt;"EX",0,--(COUNTIFS(nNIA,DATOS!$A4696,nCURSO,DATOS!$D4696,nESPEC,DATOS!$E4696,nASIG,DATOS!$I4696,nEVAL,"OR")=0))</f>
      </c>
      <c r="I4696">
        <f>IF(DATOS!$I4696="","",IFERROR(VLOOKUP(DATOS!$I4696,CONFIG_ASIGNATURAS!$B$2:$J$91,9,FALSE()),""))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IF(DATOS!$A4697="",0,IF(CONFIG_METADATA!$B$4&lt;&gt;"OR+EX",--(DATOS!$G4697=CONFIG_METADATA!$B$4),IF(DATOS!$G4697="EX",1,IF(DATOS!$G4697="OR",--(COUNTIFS(nNIA,DATOS!$A4697,nCURSO,DATOS!$D4697,nESPEC,DATOS!$E4697,nASIG,DATOS!$I4697,nEVAL,"EX")=0),0))))</f>
      </c>
      <c r="H4697">
        <f>IF(DATOS!$G4697&lt;&gt;"EX",0,--(COUNTIFS(nNIA,DATOS!$A4697,nCURSO,DATOS!$D4697,nESPEC,DATOS!$E4697,nASIG,DATOS!$I4697,nEVAL,"OR")=0))</f>
      </c>
      <c r="I4697">
        <f>IF(DATOS!$I4697="","",IFERROR(VLOOKUP(DATOS!$I4697,CONFIG_ASIGNATURAS!$B$2:$J$91,9,FALSE()),""))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IF(DATOS!$A4698="",0,IF(CONFIG_METADATA!$B$4&lt;&gt;"OR+EX",--(DATOS!$G4698=CONFIG_METADATA!$B$4),IF(DATOS!$G4698="EX",1,IF(DATOS!$G4698="OR",--(COUNTIFS(nNIA,DATOS!$A4698,nCURSO,DATOS!$D4698,nESPEC,DATOS!$E4698,nASIG,DATOS!$I4698,nEVAL,"EX")=0),0))))</f>
      </c>
      <c r="H4698">
        <f>IF(DATOS!$G4698&lt;&gt;"EX",0,--(COUNTIFS(nNIA,DATOS!$A4698,nCURSO,DATOS!$D4698,nESPEC,DATOS!$E4698,nASIG,DATOS!$I4698,nEVAL,"OR")=0))</f>
      </c>
      <c r="I4698">
        <f>IF(DATOS!$I4698="","",IFERROR(VLOOKUP(DATOS!$I4698,CONFIG_ASIGNATURAS!$B$2:$J$91,9,FALSE()),""))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IF(DATOS!$A4699="",0,IF(CONFIG_METADATA!$B$4&lt;&gt;"OR+EX",--(DATOS!$G4699=CONFIG_METADATA!$B$4),IF(DATOS!$G4699="EX",1,IF(DATOS!$G4699="OR",--(COUNTIFS(nNIA,DATOS!$A4699,nCURSO,DATOS!$D4699,nESPEC,DATOS!$E4699,nASIG,DATOS!$I4699,nEVAL,"EX")=0),0))))</f>
      </c>
      <c r="H4699">
        <f>IF(DATOS!$G4699&lt;&gt;"EX",0,--(COUNTIFS(nNIA,DATOS!$A4699,nCURSO,DATOS!$D4699,nESPEC,DATOS!$E4699,nASIG,DATOS!$I4699,nEVAL,"OR")=0))</f>
      </c>
      <c r="I4699">
        <f>IF(DATOS!$I4699="","",IFERROR(VLOOKUP(DATOS!$I4699,CONFIG_ASIGNATURAS!$B$2:$J$91,9,FALSE()),""))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IF(DATOS!$A4700="",0,IF(CONFIG_METADATA!$B$4&lt;&gt;"OR+EX",--(DATOS!$G4700=CONFIG_METADATA!$B$4),IF(DATOS!$G4700="EX",1,IF(DATOS!$G4700="OR",--(COUNTIFS(nNIA,DATOS!$A4700,nCURSO,DATOS!$D4700,nESPEC,DATOS!$E4700,nASIG,DATOS!$I4700,nEVAL,"EX")=0),0))))</f>
      </c>
      <c r="H4700">
        <f>IF(DATOS!$G4700&lt;&gt;"EX",0,--(COUNTIFS(nNIA,DATOS!$A4700,nCURSO,DATOS!$D4700,nESPEC,DATOS!$E4700,nASIG,DATOS!$I4700,nEVAL,"OR")=0))</f>
      </c>
      <c r="I4700">
        <f>IF(DATOS!$I4700="","",IFERROR(VLOOKUP(DATOS!$I4700,CONFIG_ASIGNATURAS!$B$2:$J$91,9,FALSE()),""))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IF(DATOS!$A4701="",0,IF(CONFIG_METADATA!$B$4&lt;&gt;"OR+EX",--(DATOS!$G4701=CONFIG_METADATA!$B$4),IF(DATOS!$G4701="EX",1,IF(DATOS!$G4701="OR",--(COUNTIFS(nNIA,DATOS!$A4701,nCURSO,DATOS!$D4701,nESPEC,DATOS!$E4701,nASIG,DATOS!$I4701,nEVAL,"EX")=0),0))))</f>
      </c>
      <c r="H4701">
        <f>IF(DATOS!$G4701&lt;&gt;"EX",0,--(COUNTIFS(nNIA,DATOS!$A4701,nCURSO,DATOS!$D4701,nESPEC,DATOS!$E4701,nASIG,DATOS!$I4701,nEVAL,"OR")=0))</f>
      </c>
      <c r="I4701">
        <f>IF(DATOS!$I4701="","",IFERROR(VLOOKUP(DATOS!$I4701,CONFIG_ASIGNATURAS!$B$2:$J$91,9,FALSE()),""))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IF(DATOS!$A4702="",0,IF(CONFIG_METADATA!$B$4&lt;&gt;"OR+EX",--(DATOS!$G4702=CONFIG_METADATA!$B$4),IF(DATOS!$G4702="EX",1,IF(DATOS!$G4702="OR",--(COUNTIFS(nNIA,DATOS!$A4702,nCURSO,DATOS!$D4702,nESPEC,DATOS!$E4702,nASIG,DATOS!$I4702,nEVAL,"EX")=0),0))))</f>
      </c>
      <c r="H4702">
        <f>IF(DATOS!$G4702&lt;&gt;"EX",0,--(COUNTIFS(nNIA,DATOS!$A4702,nCURSO,DATOS!$D4702,nESPEC,DATOS!$E4702,nASIG,DATOS!$I4702,nEVAL,"OR")=0))</f>
      </c>
      <c r="I4702">
        <f>IF(DATOS!$I4702="","",IFERROR(VLOOKUP(DATOS!$I4702,CONFIG_ASIGNATURAS!$B$2:$J$91,9,FALSE()),""))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IF(DATOS!$A4703="",0,IF(CONFIG_METADATA!$B$4&lt;&gt;"OR+EX",--(DATOS!$G4703=CONFIG_METADATA!$B$4),IF(DATOS!$G4703="EX",1,IF(DATOS!$G4703="OR",--(COUNTIFS(nNIA,DATOS!$A4703,nCURSO,DATOS!$D4703,nESPEC,DATOS!$E4703,nASIG,DATOS!$I4703,nEVAL,"EX")=0),0))))</f>
      </c>
      <c r="H4703">
        <f>IF(DATOS!$G4703&lt;&gt;"EX",0,--(COUNTIFS(nNIA,DATOS!$A4703,nCURSO,DATOS!$D4703,nESPEC,DATOS!$E4703,nASIG,DATOS!$I4703,nEVAL,"OR")=0))</f>
      </c>
      <c r="I4703">
        <f>IF(DATOS!$I4703="","",IFERROR(VLOOKUP(DATOS!$I4703,CONFIG_ASIGNATURAS!$B$2:$J$91,9,FALSE()),""))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IF(DATOS!$A4704="",0,IF(CONFIG_METADATA!$B$4&lt;&gt;"OR+EX",--(DATOS!$G4704=CONFIG_METADATA!$B$4),IF(DATOS!$G4704="EX",1,IF(DATOS!$G4704="OR",--(COUNTIFS(nNIA,DATOS!$A4704,nCURSO,DATOS!$D4704,nESPEC,DATOS!$E4704,nASIG,DATOS!$I4704,nEVAL,"EX")=0),0))))</f>
      </c>
      <c r="H4704">
        <f>IF(DATOS!$G4704&lt;&gt;"EX",0,--(COUNTIFS(nNIA,DATOS!$A4704,nCURSO,DATOS!$D4704,nESPEC,DATOS!$E4704,nASIG,DATOS!$I4704,nEVAL,"OR")=0))</f>
      </c>
      <c r="I4704">
        <f>IF(DATOS!$I4704="","",IFERROR(VLOOKUP(DATOS!$I4704,CONFIG_ASIGNATURAS!$B$2:$J$91,9,FALSE()),""))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IF(DATOS!$A4705="",0,IF(CONFIG_METADATA!$B$4&lt;&gt;"OR+EX",--(DATOS!$G4705=CONFIG_METADATA!$B$4),IF(DATOS!$G4705="EX",1,IF(DATOS!$G4705="OR",--(COUNTIFS(nNIA,DATOS!$A4705,nCURSO,DATOS!$D4705,nESPEC,DATOS!$E4705,nASIG,DATOS!$I4705,nEVAL,"EX")=0),0))))</f>
      </c>
      <c r="H4705">
        <f>IF(DATOS!$G4705&lt;&gt;"EX",0,--(COUNTIFS(nNIA,DATOS!$A4705,nCURSO,DATOS!$D4705,nESPEC,DATOS!$E4705,nASIG,DATOS!$I4705,nEVAL,"OR")=0))</f>
      </c>
      <c r="I4705">
        <f>IF(DATOS!$I4705="","",IFERROR(VLOOKUP(DATOS!$I4705,CONFIG_ASIGNATURAS!$B$2:$J$91,9,FALSE()),""))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IF(DATOS!$A4706="",0,IF(CONFIG_METADATA!$B$4&lt;&gt;"OR+EX",--(DATOS!$G4706=CONFIG_METADATA!$B$4),IF(DATOS!$G4706="EX",1,IF(DATOS!$G4706="OR",--(COUNTIFS(nNIA,DATOS!$A4706,nCURSO,DATOS!$D4706,nESPEC,DATOS!$E4706,nASIG,DATOS!$I4706,nEVAL,"EX")=0),0))))</f>
      </c>
      <c r="H4706">
        <f>IF(DATOS!$G4706&lt;&gt;"EX",0,--(COUNTIFS(nNIA,DATOS!$A4706,nCURSO,DATOS!$D4706,nESPEC,DATOS!$E4706,nASIG,DATOS!$I4706,nEVAL,"OR")=0))</f>
      </c>
      <c r="I4706">
        <f>IF(DATOS!$I4706="","",IFERROR(VLOOKUP(DATOS!$I4706,CONFIG_ASIGNATURAS!$B$2:$J$91,9,FALSE()),""))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IF(DATOS!$A4707="",0,IF(CONFIG_METADATA!$B$4&lt;&gt;"OR+EX",--(DATOS!$G4707=CONFIG_METADATA!$B$4),IF(DATOS!$G4707="EX",1,IF(DATOS!$G4707="OR",--(COUNTIFS(nNIA,DATOS!$A4707,nCURSO,DATOS!$D4707,nESPEC,DATOS!$E4707,nASIG,DATOS!$I4707,nEVAL,"EX")=0),0))))</f>
      </c>
      <c r="H4707">
        <f>IF(DATOS!$G4707&lt;&gt;"EX",0,--(COUNTIFS(nNIA,DATOS!$A4707,nCURSO,DATOS!$D4707,nESPEC,DATOS!$E4707,nASIG,DATOS!$I4707,nEVAL,"OR")=0))</f>
      </c>
      <c r="I4707">
        <f>IF(DATOS!$I4707="","",IFERROR(VLOOKUP(DATOS!$I4707,CONFIG_ASIGNATURAS!$B$2:$J$91,9,FALSE()),""))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IF(DATOS!$A4708="",0,IF(CONFIG_METADATA!$B$4&lt;&gt;"OR+EX",--(DATOS!$G4708=CONFIG_METADATA!$B$4),IF(DATOS!$G4708="EX",1,IF(DATOS!$G4708="OR",--(COUNTIFS(nNIA,DATOS!$A4708,nCURSO,DATOS!$D4708,nESPEC,DATOS!$E4708,nASIG,DATOS!$I4708,nEVAL,"EX")=0),0))))</f>
      </c>
      <c r="H4708">
        <f>IF(DATOS!$G4708&lt;&gt;"EX",0,--(COUNTIFS(nNIA,DATOS!$A4708,nCURSO,DATOS!$D4708,nESPEC,DATOS!$E4708,nASIG,DATOS!$I4708,nEVAL,"OR")=0))</f>
      </c>
      <c r="I4708">
        <f>IF(DATOS!$I4708="","",IFERROR(VLOOKUP(DATOS!$I4708,CONFIG_ASIGNATURAS!$B$2:$J$91,9,FALSE()),""))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IF(DATOS!$A4709="",0,IF(CONFIG_METADATA!$B$4&lt;&gt;"OR+EX",--(DATOS!$G4709=CONFIG_METADATA!$B$4),IF(DATOS!$G4709="EX",1,IF(DATOS!$G4709="OR",--(COUNTIFS(nNIA,DATOS!$A4709,nCURSO,DATOS!$D4709,nESPEC,DATOS!$E4709,nASIG,DATOS!$I4709,nEVAL,"EX")=0),0))))</f>
      </c>
      <c r="H4709">
        <f>IF(DATOS!$G4709&lt;&gt;"EX",0,--(COUNTIFS(nNIA,DATOS!$A4709,nCURSO,DATOS!$D4709,nESPEC,DATOS!$E4709,nASIG,DATOS!$I4709,nEVAL,"OR")=0))</f>
      </c>
      <c r="I4709">
        <f>IF(DATOS!$I4709="","",IFERROR(VLOOKUP(DATOS!$I4709,CONFIG_ASIGNATURAS!$B$2:$J$91,9,FALSE()),""))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IF(DATOS!$A4710="",0,IF(CONFIG_METADATA!$B$4&lt;&gt;"OR+EX",--(DATOS!$G4710=CONFIG_METADATA!$B$4),IF(DATOS!$G4710="EX",1,IF(DATOS!$G4710="OR",--(COUNTIFS(nNIA,DATOS!$A4710,nCURSO,DATOS!$D4710,nESPEC,DATOS!$E4710,nASIG,DATOS!$I4710,nEVAL,"EX")=0),0))))</f>
      </c>
      <c r="H4710">
        <f>IF(DATOS!$G4710&lt;&gt;"EX",0,--(COUNTIFS(nNIA,DATOS!$A4710,nCURSO,DATOS!$D4710,nESPEC,DATOS!$E4710,nASIG,DATOS!$I4710,nEVAL,"OR")=0))</f>
      </c>
      <c r="I4710">
        <f>IF(DATOS!$I4710="","",IFERROR(VLOOKUP(DATOS!$I4710,CONFIG_ASIGNATURAS!$B$2:$J$91,9,FALSE()),""))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IF(DATOS!$A4711="",0,IF(CONFIG_METADATA!$B$4&lt;&gt;"OR+EX",--(DATOS!$G4711=CONFIG_METADATA!$B$4),IF(DATOS!$G4711="EX",1,IF(DATOS!$G4711="OR",--(COUNTIFS(nNIA,DATOS!$A4711,nCURSO,DATOS!$D4711,nESPEC,DATOS!$E4711,nASIG,DATOS!$I4711,nEVAL,"EX")=0),0))))</f>
      </c>
      <c r="H4711">
        <f>IF(DATOS!$G4711&lt;&gt;"EX",0,--(COUNTIFS(nNIA,DATOS!$A4711,nCURSO,DATOS!$D4711,nESPEC,DATOS!$E4711,nASIG,DATOS!$I4711,nEVAL,"OR")=0))</f>
      </c>
      <c r="I4711">
        <f>IF(DATOS!$I4711="","",IFERROR(VLOOKUP(DATOS!$I4711,CONFIG_ASIGNATURAS!$B$2:$J$91,9,FALSE()),""))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IF(DATOS!$A4712="",0,IF(CONFIG_METADATA!$B$4&lt;&gt;"OR+EX",--(DATOS!$G4712=CONFIG_METADATA!$B$4),IF(DATOS!$G4712="EX",1,IF(DATOS!$G4712="OR",--(COUNTIFS(nNIA,DATOS!$A4712,nCURSO,DATOS!$D4712,nESPEC,DATOS!$E4712,nASIG,DATOS!$I4712,nEVAL,"EX")=0),0))))</f>
      </c>
      <c r="H4712">
        <f>IF(DATOS!$G4712&lt;&gt;"EX",0,--(COUNTIFS(nNIA,DATOS!$A4712,nCURSO,DATOS!$D4712,nESPEC,DATOS!$E4712,nASIG,DATOS!$I4712,nEVAL,"OR")=0))</f>
      </c>
      <c r="I4712">
        <f>IF(DATOS!$I4712="","",IFERROR(VLOOKUP(DATOS!$I4712,CONFIG_ASIGNATURAS!$B$2:$J$91,9,FALSE()),""))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IF(DATOS!$A4713="",0,IF(CONFIG_METADATA!$B$4&lt;&gt;"OR+EX",--(DATOS!$G4713=CONFIG_METADATA!$B$4),IF(DATOS!$G4713="EX",1,IF(DATOS!$G4713="OR",--(COUNTIFS(nNIA,DATOS!$A4713,nCURSO,DATOS!$D4713,nESPEC,DATOS!$E4713,nASIG,DATOS!$I4713,nEVAL,"EX")=0),0))))</f>
      </c>
      <c r="H4713">
        <f>IF(DATOS!$G4713&lt;&gt;"EX",0,--(COUNTIFS(nNIA,DATOS!$A4713,nCURSO,DATOS!$D4713,nESPEC,DATOS!$E4713,nASIG,DATOS!$I4713,nEVAL,"OR")=0))</f>
      </c>
      <c r="I4713">
        <f>IF(DATOS!$I4713="","",IFERROR(VLOOKUP(DATOS!$I4713,CONFIG_ASIGNATURAS!$B$2:$J$91,9,FALSE()),""))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IF(DATOS!$A4714="",0,IF(CONFIG_METADATA!$B$4&lt;&gt;"OR+EX",--(DATOS!$G4714=CONFIG_METADATA!$B$4),IF(DATOS!$G4714="EX",1,IF(DATOS!$G4714="OR",--(COUNTIFS(nNIA,DATOS!$A4714,nCURSO,DATOS!$D4714,nESPEC,DATOS!$E4714,nASIG,DATOS!$I4714,nEVAL,"EX")=0),0))))</f>
      </c>
      <c r="H4714">
        <f>IF(DATOS!$G4714&lt;&gt;"EX",0,--(COUNTIFS(nNIA,DATOS!$A4714,nCURSO,DATOS!$D4714,nESPEC,DATOS!$E4714,nASIG,DATOS!$I4714,nEVAL,"OR")=0))</f>
      </c>
      <c r="I4714">
        <f>IF(DATOS!$I4714="","",IFERROR(VLOOKUP(DATOS!$I4714,CONFIG_ASIGNATURAS!$B$2:$J$91,9,FALSE()),""))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IF(DATOS!$A4715="",0,IF(CONFIG_METADATA!$B$4&lt;&gt;"OR+EX",--(DATOS!$G4715=CONFIG_METADATA!$B$4),IF(DATOS!$G4715="EX",1,IF(DATOS!$G4715="OR",--(COUNTIFS(nNIA,DATOS!$A4715,nCURSO,DATOS!$D4715,nESPEC,DATOS!$E4715,nASIG,DATOS!$I4715,nEVAL,"EX")=0),0))))</f>
      </c>
      <c r="H4715">
        <f>IF(DATOS!$G4715&lt;&gt;"EX",0,--(COUNTIFS(nNIA,DATOS!$A4715,nCURSO,DATOS!$D4715,nESPEC,DATOS!$E4715,nASIG,DATOS!$I4715,nEVAL,"OR")=0))</f>
      </c>
      <c r="I4715">
        <f>IF(DATOS!$I4715="","",IFERROR(VLOOKUP(DATOS!$I4715,CONFIG_ASIGNATURAS!$B$2:$J$91,9,FALSE()),""))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IF(DATOS!$A4716="",0,IF(CONFIG_METADATA!$B$4&lt;&gt;"OR+EX",--(DATOS!$G4716=CONFIG_METADATA!$B$4),IF(DATOS!$G4716="EX",1,IF(DATOS!$G4716="OR",--(COUNTIFS(nNIA,DATOS!$A4716,nCURSO,DATOS!$D4716,nESPEC,DATOS!$E4716,nASIG,DATOS!$I4716,nEVAL,"EX")=0),0))))</f>
      </c>
      <c r="H4716">
        <f>IF(DATOS!$G4716&lt;&gt;"EX",0,--(COUNTIFS(nNIA,DATOS!$A4716,nCURSO,DATOS!$D4716,nESPEC,DATOS!$E4716,nASIG,DATOS!$I4716,nEVAL,"OR")=0))</f>
      </c>
      <c r="I4716">
        <f>IF(DATOS!$I4716="","",IFERROR(VLOOKUP(DATOS!$I4716,CONFIG_ASIGNATURAS!$B$2:$J$91,9,FALSE()),""))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IF(DATOS!$A4717="",0,IF(CONFIG_METADATA!$B$4&lt;&gt;"OR+EX",--(DATOS!$G4717=CONFIG_METADATA!$B$4),IF(DATOS!$G4717="EX",1,IF(DATOS!$G4717="OR",--(COUNTIFS(nNIA,DATOS!$A4717,nCURSO,DATOS!$D4717,nESPEC,DATOS!$E4717,nASIG,DATOS!$I4717,nEVAL,"EX")=0),0))))</f>
      </c>
      <c r="H4717">
        <f>IF(DATOS!$G4717&lt;&gt;"EX",0,--(COUNTIFS(nNIA,DATOS!$A4717,nCURSO,DATOS!$D4717,nESPEC,DATOS!$E4717,nASIG,DATOS!$I4717,nEVAL,"OR")=0))</f>
      </c>
      <c r="I4717">
        <f>IF(DATOS!$I4717="","",IFERROR(VLOOKUP(DATOS!$I4717,CONFIG_ASIGNATURAS!$B$2:$J$91,9,FALSE()),""))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IF(DATOS!$A4718="",0,IF(CONFIG_METADATA!$B$4&lt;&gt;"OR+EX",--(DATOS!$G4718=CONFIG_METADATA!$B$4),IF(DATOS!$G4718="EX",1,IF(DATOS!$G4718="OR",--(COUNTIFS(nNIA,DATOS!$A4718,nCURSO,DATOS!$D4718,nESPEC,DATOS!$E4718,nASIG,DATOS!$I4718,nEVAL,"EX")=0),0))))</f>
      </c>
      <c r="H4718">
        <f>IF(DATOS!$G4718&lt;&gt;"EX",0,--(COUNTIFS(nNIA,DATOS!$A4718,nCURSO,DATOS!$D4718,nESPEC,DATOS!$E4718,nASIG,DATOS!$I4718,nEVAL,"OR")=0))</f>
      </c>
      <c r="I4718">
        <f>IF(DATOS!$I4718="","",IFERROR(VLOOKUP(DATOS!$I4718,CONFIG_ASIGNATURAS!$B$2:$J$91,9,FALSE()),""))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IF(DATOS!$A4719="",0,IF(CONFIG_METADATA!$B$4&lt;&gt;"OR+EX",--(DATOS!$G4719=CONFIG_METADATA!$B$4),IF(DATOS!$G4719="EX",1,IF(DATOS!$G4719="OR",--(COUNTIFS(nNIA,DATOS!$A4719,nCURSO,DATOS!$D4719,nESPEC,DATOS!$E4719,nASIG,DATOS!$I4719,nEVAL,"EX")=0),0))))</f>
      </c>
      <c r="H4719">
        <f>IF(DATOS!$G4719&lt;&gt;"EX",0,--(COUNTIFS(nNIA,DATOS!$A4719,nCURSO,DATOS!$D4719,nESPEC,DATOS!$E4719,nASIG,DATOS!$I4719,nEVAL,"OR")=0))</f>
      </c>
      <c r="I4719">
        <f>IF(DATOS!$I4719="","",IFERROR(VLOOKUP(DATOS!$I4719,CONFIG_ASIGNATURAS!$B$2:$J$91,9,FALSE()),""))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IF(DATOS!$A4720="",0,IF(CONFIG_METADATA!$B$4&lt;&gt;"OR+EX",--(DATOS!$G4720=CONFIG_METADATA!$B$4),IF(DATOS!$G4720="EX",1,IF(DATOS!$G4720="OR",--(COUNTIFS(nNIA,DATOS!$A4720,nCURSO,DATOS!$D4720,nESPEC,DATOS!$E4720,nASIG,DATOS!$I4720,nEVAL,"EX")=0),0))))</f>
      </c>
      <c r="H4720">
        <f>IF(DATOS!$G4720&lt;&gt;"EX",0,--(COUNTIFS(nNIA,DATOS!$A4720,nCURSO,DATOS!$D4720,nESPEC,DATOS!$E4720,nASIG,DATOS!$I4720,nEVAL,"OR")=0))</f>
      </c>
      <c r="I4720">
        <f>IF(DATOS!$I4720="","",IFERROR(VLOOKUP(DATOS!$I4720,CONFIG_ASIGNATURAS!$B$2:$J$91,9,FALSE()),""))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IF(DATOS!$A4721="",0,IF(CONFIG_METADATA!$B$4&lt;&gt;"OR+EX",--(DATOS!$G4721=CONFIG_METADATA!$B$4),IF(DATOS!$G4721="EX",1,IF(DATOS!$G4721="OR",--(COUNTIFS(nNIA,DATOS!$A4721,nCURSO,DATOS!$D4721,nESPEC,DATOS!$E4721,nASIG,DATOS!$I4721,nEVAL,"EX")=0),0))))</f>
      </c>
      <c r="H4721">
        <f>IF(DATOS!$G4721&lt;&gt;"EX",0,--(COUNTIFS(nNIA,DATOS!$A4721,nCURSO,DATOS!$D4721,nESPEC,DATOS!$E4721,nASIG,DATOS!$I4721,nEVAL,"OR")=0))</f>
      </c>
      <c r="I4721">
        <f>IF(DATOS!$I4721="","",IFERROR(VLOOKUP(DATOS!$I4721,CONFIG_ASIGNATURAS!$B$2:$J$91,9,FALSE()),""))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IF(DATOS!$A4722="",0,IF(CONFIG_METADATA!$B$4&lt;&gt;"OR+EX",--(DATOS!$G4722=CONFIG_METADATA!$B$4),IF(DATOS!$G4722="EX",1,IF(DATOS!$G4722="OR",--(COUNTIFS(nNIA,DATOS!$A4722,nCURSO,DATOS!$D4722,nESPEC,DATOS!$E4722,nASIG,DATOS!$I4722,nEVAL,"EX")=0),0))))</f>
      </c>
      <c r="H4722">
        <f>IF(DATOS!$G4722&lt;&gt;"EX",0,--(COUNTIFS(nNIA,DATOS!$A4722,nCURSO,DATOS!$D4722,nESPEC,DATOS!$E4722,nASIG,DATOS!$I4722,nEVAL,"OR")=0))</f>
      </c>
      <c r="I4722">
        <f>IF(DATOS!$I4722="","",IFERROR(VLOOKUP(DATOS!$I4722,CONFIG_ASIGNATURAS!$B$2:$J$91,9,FALSE()),""))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IF(DATOS!$A4723="",0,IF(CONFIG_METADATA!$B$4&lt;&gt;"OR+EX",--(DATOS!$G4723=CONFIG_METADATA!$B$4),IF(DATOS!$G4723="EX",1,IF(DATOS!$G4723="OR",--(COUNTIFS(nNIA,DATOS!$A4723,nCURSO,DATOS!$D4723,nESPEC,DATOS!$E4723,nASIG,DATOS!$I4723,nEVAL,"EX")=0),0))))</f>
      </c>
      <c r="H4723">
        <f>IF(DATOS!$G4723&lt;&gt;"EX",0,--(COUNTIFS(nNIA,DATOS!$A4723,nCURSO,DATOS!$D4723,nESPEC,DATOS!$E4723,nASIG,DATOS!$I4723,nEVAL,"OR")=0))</f>
      </c>
      <c r="I4723">
        <f>IF(DATOS!$I4723="","",IFERROR(VLOOKUP(DATOS!$I4723,CONFIG_ASIGNATURAS!$B$2:$J$91,9,FALSE()),""))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IF(DATOS!$A4724="",0,IF(CONFIG_METADATA!$B$4&lt;&gt;"OR+EX",--(DATOS!$G4724=CONFIG_METADATA!$B$4),IF(DATOS!$G4724="EX",1,IF(DATOS!$G4724="OR",--(COUNTIFS(nNIA,DATOS!$A4724,nCURSO,DATOS!$D4724,nESPEC,DATOS!$E4724,nASIG,DATOS!$I4724,nEVAL,"EX")=0),0))))</f>
      </c>
      <c r="H4724">
        <f>IF(DATOS!$G4724&lt;&gt;"EX",0,--(COUNTIFS(nNIA,DATOS!$A4724,nCURSO,DATOS!$D4724,nESPEC,DATOS!$E4724,nASIG,DATOS!$I4724,nEVAL,"OR")=0))</f>
      </c>
      <c r="I4724">
        <f>IF(DATOS!$I4724="","",IFERROR(VLOOKUP(DATOS!$I4724,CONFIG_ASIGNATURAS!$B$2:$J$91,9,FALSE()),""))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IF(DATOS!$A4725="",0,IF(CONFIG_METADATA!$B$4&lt;&gt;"OR+EX",--(DATOS!$G4725=CONFIG_METADATA!$B$4),IF(DATOS!$G4725="EX",1,IF(DATOS!$G4725="OR",--(COUNTIFS(nNIA,DATOS!$A4725,nCURSO,DATOS!$D4725,nESPEC,DATOS!$E4725,nASIG,DATOS!$I4725,nEVAL,"EX")=0),0))))</f>
      </c>
      <c r="H4725">
        <f>IF(DATOS!$G4725&lt;&gt;"EX",0,--(COUNTIFS(nNIA,DATOS!$A4725,nCURSO,DATOS!$D4725,nESPEC,DATOS!$E4725,nASIG,DATOS!$I4725,nEVAL,"OR")=0))</f>
      </c>
      <c r="I4725">
        <f>IF(DATOS!$I4725="","",IFERROR(VLOOKUP(DATOS!$I4725,CONFIG_ASIGNATURAS!$B$2:$J$91,9,FALSE()),""))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IF(DATOS!$A4726="",0,IF(CONFIG_METADATA!$B$4&lt;&gt;"OR+EX",--(DATOS!$G4726=CONFIG_METADATA!$B$4),IF(DATOS!$G4726="EX",1,IF(DATOS!$G4726="OR",--(COUNTIFS(nNIA,DATOS!$A4726,nCURSO,DATOS!$D4726,nESPEC,DATOS!$E4726,nASIG,DATOS!$I4726,nEVAL,"EX")=0),0))))</f>
      </c>
      <c r="H4726">
        <f>IF(DATOS!$G4726&lt;&gt;"EX",0,--(COUNTIFS(nNIA,DATOS!$A4726,nCURSO,DATOS!$D4726,nESPEC,DATOS!$E4726,nASIG,DATOS!$I4726,nEVAL,"OR")=0))</f>
      </c>
      <c r="I4726">
        <f>IF(DATOS!$I4726="","",IFERROR(VLOOKUP(DATOS!$I4726,CONFIG_ASIGNATURAS!$B$2:$J$91,9,FALSE()),""))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IF(DATOS!$A4727="",0,IF(CONFIG_METADATA!$B$4&lt;&gt;"OR+EX",--(DATOS!$G4727=CONFIG_METADATA!$B$4),IF(DATOS!$G4727="EX",1,IF(DATOS!$G4727="OR",--(COUNTIFS(nNIA,DATOS!$A4727,nCURSO,DATOS!$D4727,nESPEC,DATOS!$E4727,nASIG,DATOS!$I4727,nEVAL,"EX")=0),0))))</f>
      </c>
      <c r="H4727">
        <f>IF(DATOS!$G4727&lt;&gt;"EX",0,--(COUNTIFS(nNIA,DATOS!$A4727,nCURSO,DATOS!$D4727,nESPEC,DATOS!$E4727,nASIG,DATOS!$I4727,nEVAL,"OR")=0))</f>
      </c>
      <c r="I4727">
        <f>IF(DATOS!$I4727="","",IFERROR(VLOOKUP(DATOS!$I4727,CONFIG_ASIGNATURAS!$B$2:$J$91,9,FALSE()),""))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IF(DATOS!$A4728="",0,IF(CONFIG_METADATA!$B$4&lt;&gt;"OR+EX",--(DATOS!$G4728=CONFIG_METADATA!$B$4),IF(DATOS!$G4728="EX",1,IF(DATOS!$G4728="OR",--(COUNTIFS(nNIA,DATOS!$A4728,nCURSO,DATOS!$D4728,nESPEC,DATOS!$E4728,nASIG,DATOS!$I4728,nEVAL,"EX")=0),0))))</f>
      </c>
      <c r="H4728">
        <f>IF(DATOS!$G4728&lt;&gt;"EX",0,--(COUNTIFS(nNIA,DATOS!$A4728,nCURSO,DATOS!$D4728,nESPEC,DATOS!$E4728,nASIG,DATOS!$I4728,nEVAL,"OR")=0))</f>
      </c>
      <c r="I4728">
        <f>IF(DATOS!$I4728="","",IFERROR(VLOOKUP(DATOS!$I4728,CONFIG_ASIGNATURAS!$B$2:$J$91,9,FALSE()),""))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IF(DATOS!$A4729="",0,IF(CONFIG_METADATA!$B$4&lt;&gt;"OR+EX",--(DATOS!$G4729=CONFIG_METADATA!$B$4),IF(DATOS!$G4729="EX",1,IF(DATOS!$G4729="OR",--(COUNTIFS(nNIA,DATOS!$A4729,nCURSO,DATOS!$D4729,nESPEC,DATOS!$E4729,nASIG,DATOS!$I4729,nEVAL,"EX")=0),0))))</f>
      </c>
      <c r="H4729">
        <f>IF(DATOS!$G4729&lt;&gt;"EX",0,--(COUNTIFS(nNIA,DATOS!$A4729,nCURSO,DATOS!$D4729,nESPEC,DATOS!$E4729,nASIG,DATOS!$I4729,nEVAL,"OR")=0))</f>
      </c>
      <c r="I4729">
        <f>IF(DATOS!$I4729="","",IFERROR(VLOOKUP(DATOS!$I4729,CONFIG_ASIGNATURAS!$B$2:$J$91,9,FALSE()),""))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IF(DATOS!$A4730="",0,IF(CONFIG_METADATA!$B$4&lt;&gt;"OR+EX",--(DATOS!$G4730=CONFIG_METADATA!$B$4),IF(DATOS!$G4730="EX",1,IF(DATOS!$G4730="OR",--(COUNTIFS(nNIA,DATOS!$A4730,nCURSO,DATOS!$D4730,nESPEC,DATOS!$E4730,nASIG,DATOS!$I4730,nEVAL,"EX")=0),0))))</f>
      </c>
      <c r="H4730">
        <f>IF(DATOS!$G4730&lt;&gt;"EX",0,--(COUNTIFS(nNIA,DATOS!$A4730,nCURSO,DATOS!$D4730,nESPEC,DATOS!$E4730,nASIG,DATOS!$I4730,nEVAL,"OR")=0))</f>
      </c>
      <c r="I4730">
        <f>IF(DATOS!$I4730="","",IFERROR(VLOOKUP(DATOS!$I4730,CONFIG_ASIGNATURAS!$B$2:$J$91,9,FALSE()),""))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IF(DATOS!$A4731="",0,IF(CONFIG_METADATA!$B$4&lt;&gt;"OR+EX",--(DATOS!$G4731=CONFIG_METADATA!$B$4),IF(DATOS!$G4731="EX",1,IF(DATOS!$G4731="OR",--(COUNTIFS(nNIA,DATOS!$A4731,nCURSO,DATOS!$D4731,nESPEC,DATOS!$E4731,nASIG,DATOS!$I4731,nEVAL,"EX")=0),0))))</f>
      </c>
      <c r="H4731">
        <f>IF(DATOS!$G4731&lt;&gt;"EX",0,--(COUNTIFS(nNIA,DATOS!$A4731,nCURSO,DATOS!$D4731,nESPEC,DATOS!$E4731,nASIG,DATOS!$I4731,nEVAL,"OR")=0))</f>
      </c>
      <c r="I4731">
        <f>IF(DATOS!$I4731="","",IFERROR(VLOOKUP(DATOS!$I4731,CONFIG_ASIGNATURAS!$B$2:$J$91,9,FALSE()),""))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IF(DATOS!$A4732="",0,IF(CONFIG_METADATA!$B$4&lt;&gt;"OR+EX",--(DATOS!$G4732=CONFIG_METADATA!$B$4),IF(DATOS!$G4732="EX",1,IF(DATOS!$G4732="OR",--(COUNTIFS(nNIA,DATOS!$A4732,nCURSO,DATOS!$D4732,nESPEC,DATOS!$E4732,nASIG,DATOS!$I4732,nEVAL,"EX")=0),0))))</f>
      </c>
      <c r="H4732">
        <f>IF(DATOS!$G4732&lt;&gt;"EX",0,--(COUNTIFS(nNIA,DATOS!$A4732,nCURSO,DATOS!$D4732,nESPEC,DATOS!$E4732,nASIG,DATOS!$I4732,nEVAL,"OR")=0))</f>
      </c>
      <c r="I4732">
        <f>IF(DATOS!$I4732="","",IFERROR(VLOOKUP(DATOS!$I4732,CONFIG_ASIGNATURAS!$B$2:$J$91,9,FALSE()),""))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IF(DATOS!$A4733="",0,IF(CONFIG_METADATA!$B$4&lt;&gt;"OR+EX",--(DATOS!$G4733=CONFIG_METADATA!$B$4),IF(DATOS!$G4733="EX",1,IF(DATOS!$G4733="OR",--(COUNTIFS(nNIA,DATOS!$A4733,nCURSO,DATOS!$D4733,nESPEC,DATOS!$E4733,nASIG,DATOS!$I4733,nEVAL,"EX")=0),0))))</f>
      </c>
      <c r="H4733">
        <f>IF(DATOS!$G4733&lt;&gt;"EX",0,--(COUNTIFS(nNIA,DATOS!$A4733,nCURSO,DATOS!$D4733,nESPEC,DATOS!$E4733,nASIG,DATOS!$I4733,nEVAL,"OR")=0))</f>
      </c>
      <c r="I4733">
        <f>IF(DATOS!$I4733="","",IFERROR(VLOOKUP(DATOS!$I4733,CONFIG_ASIGNATURAS!$B$2:$J$91,9,FALSE()),""))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IF(DATOS!$A4734="",0,IF(CONFIG_METADATA!$B$4&lt;&gt;"OR+EX",--(DATOS!$G4734=CONFIG_METADATA!$B$4),IF(DATOS!$G4734="EX",1,IF(DATOS!$G4734="OR",--(COUNTIFS(nNIA,DATOS!$A4734,nCURSO,DATOS!$D4734,nESPEC,DATOS!$E4734,nASIG,DATOS!$I4734,nEVAL,"EX")=0),0))))</f>
      </c>
      <c r="H4734">
        <f>IF(DATOS!$G4734&lt;&gt;"EX",0,--(COUNTIFS(nNIA,DATOS!$A4734,nCURSO,DATOS!$D4734,nESPEC,DATOS!$E4734,nASIG,DATOS!$I4734,nEVAL,"OR")=0))</f>
      </c>
      <c r="I4734">
        <f>IF(DATOS!$I4734="","",IFERROR(VLOOKUP(DATOS!$I4734,CONFIG_ASIGNATURAS!$B$2:$J$91,9,FALSE()),""))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IF(DATOS!$A4735="",0,IF(CONFIG_METADATA!$B$4&lt;&gt;"OR+EX",--(DATOS!$G4735=CONFIG_METADATA!$B$4),IF(DATOS!$G4735="EX",1,IF(DATOS!$G4735="OR",--(COUNTIFS(nNIA,DATOS!$A4735,nCURSO,DATOS!$D4735,nESPEC,DATOS!$E4735,nASIG,DATOS!$I4735,nEVAL,"EX")=0),0))))</f>
      </c>
      <c r="H4735">
        <f>IF(DATOS!$G4735&lt;&gt;"EX",0,--(COUNTIFS(nNIA,DATOS!$A4735,nCURSO,DATOS!$D4735,nESPEC,DATOS!$E4735,nASIG,DATOS!$I4735,nEVAL,"OR")=0))</f>
      </c>
      <c r="I4735">
        <f>IF(DATOS!$I4735="","",IFERROR(VLOOKUP(DATOS!$I4735,CONFIG_ASIGNATURAS!$B$2:$J$91,9,FALSE()),""))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IF(DATOS!$A4736="",0,IF(CONFIG_METADATA!$B$4&lt;&gt;"OR+EX",--(DATOS!$G4736=CONFIG_METADATA!$B$4),IF(DATOS!$G4736="EX",1,IF(DATOS!$G4736="OR",--(COUNTIFS(nNIA,DATOS!$A4736,nCURSO,DATOS!$D4736,nESPEC,DATOS!$E4736,nASIG,DATOS!$I4736,nEVAL,"EX")=0),0))))</f>
      </c>
      <c r="H4736">
        <f>IF(DATOS!$G4736&lt;&gt;"EX",0,--(COUNTIFS(nNIA,DATOS!$A4736,nCURSO,DATOS!$D4736,nESPEC,DATOS!$E4736,nASIG,DATOS!$I4736,nEVAL,"OR")=0))</f>
      </c>
      <c r="I4736">
        <f>IF(DATOS!$I4736="","",IFERROR(VLOOKUP(DATOS!$I4736,CONFIG_ASIGNATURAS!$B$2:$J$91,9,FALSE()),""))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IF(DATOS!$A4737="",0,IF(CONFIG_METADATA!$B$4&lt;&gt;"OR+EX",--(DATOS!$G4737=CONFIG_METADATA!$B$4),IF(DATOS!$G4737="EX",1,IF(DATOS!$G4737="OR",--(COUNTIFS(nNIA,DATOS!$A4737,nCURSO,DATOS!$D4737,nESPEC,DATOS!$E4737,nASIG,DATOS!$I4737,nEVAL,"EX")=0),0))))</f>
      </c>
      <c r="H4737">
        <f>IF(DATOS!$G4737&lt;&gt;"EX",0,--(COUNTIFS(nNIA,DATOS!$A4737,nCURSO,DATOS!$D4737,nESPEC,DATOS!$E4737,nASIG,DATOS!$I4737,nEVAL,"OR")=0))</f>
      </c>
      <c r="I4737">
        <f>IF(DATOS!$I4737="","",IFERROR(VLOOKUP(DATOS!$I4737,CONFIG_ASIGNATURAS!$B$2:$J$91,9,FALSE()),""))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IF(DATOS!$A4738="",0,IF(CONFIG_METADATA!$B$4&lt;&gt;"OR+EX",--(DATOS!$G4738=CONFIG_METADATA!$B$4),IF(DATOS!$G4738="EX",1,IF(DATOS!$G4738="OR",--(COUNTIFS(nNIA,DATOS!$A4738,nCURSO,DATOS!$D4738,nESPEC,DATOS!$E4738,nASIG,DATOS!$I4738,nEVAL,"EX")=0),0))))</f>
      </c>
      <c r="H4738">
        <f>IF(DATOS!$G4738&lt;&gt;"EX",0,--(COUNTIFS(nNIA,DATOS!$A4738,nCURSO,DATOS!$D4738,nESPEC,DATOS!$E4738,nASIG,DATOS!$I4738,nEVAL,"OR")=0))</f>
      </c>
      <c r="I4738">
        <f>IF(DATOS!$I4738="","",IFERROR(VLOOKUP(DATOS!$I4738,CONFIG_ASIGNATURAS!$B$2:$J$91,9,FALSE()),""))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IF(DATOS!$A4739="",0,IF(CONFIG_METADATA!$B$4&lt;&gt;"OR+EX",--(DATOS!$G4739=CONFIG_METADATA!$B$4),IF(DATOS!$G4739="EX",1,IF(DATOS!$G4739="OR",--(COUNTIFS(nNIA,DATOS!$A4739,nCURSO,DATOS!$D4739,nESPEC,DATOS!$E4739,nASIG,DATOS!$I4739,nEVAL,"EX")=0),0))))</f>
      </c>
      <c r="H4739">
        <f>IF(DATOS!$G4739&lt;&gt;"EX",0,--(COUNTIFS(nNIA,DATOS!$A4739,nCURSO,DATOS!$D4739,nESPEC,DATOS!$E4739,nASIG,DATOS!$I4739,nEVAL,"OR")=0))</f>
      </c>
      <c r="I4739">
        <f>IF(DATOS!$I4739="","",IFERROR(VLOOKUP(DATOS!$I4739,CONFIG_ASIGNATURAS!$B$2:$J$91,9,FALSE()),""))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IF(DATOS!$A4740="",0,IF(CONFIG_METADATA!$B$4&lt;&gt;"OR+EX",--(DATOS!$G4740=CONFIG_METADATA!$B$4),IF(DATOS!$G4740="EX",1,IF(DATOS!$G4740="OR",--(COUNTIFS(nNIA,DATOS!$A4740,nCURSO,DATOS!$D4740,nESPEC,DATOS!$E4740,nASIG,DATOS!$I4740,nEVAL,"EX")=0),0))))</f>
      </c>
      <c r="H4740">
        <f>IF(DATOS!$G4740&lt;&gt;"EX",0,--(COUNTIFS(nNIA,DATOS!$A4740,nCURSO,DATOS!$D4740,nESPEC,DATOS!$E4740,nASIG,DATOS!$I4740,nEVAL,"OR")=0))</f>
      </c>
      <c r="I4740">
        <f>IF(DATOS!$I4740="","",IFERROR(VLOOKUP(DATOS!$I4740,CONFIG_ASIGNATURAS!$B$2:$J$91,9,FALSE()),""))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IF(DATOS!$A4741="",0,IF(CONFIG_METADATA!$B$4&lt;&gt;"OR+EX",--(DATOS!$G4741=CONFIG_METADATA!$B$4),IF(DATOS!$G4741="EX",1,IF(DATOS!$G4741="OR",--(COUNTIFS(nNIA,DATOS!$A4741,nCURSO,DATOS!$D4741,nESPEC,DATOS!$E4741,nASIG,DATOS!$I4741,nEVAL,"EX")=0),0))))</f>
      </c>
      <c r="H4741">
        <f>IF(DATOS!$G4741&lt;&gt;"EX",0,--(COUNTIFS(nNIA,DATOS!$A4741,nCURSO,DATOS!$D4741,nESPEC,DATOS!$E4741,nASIG,DATOS!$I4741,nEVAL,"OR")=0))</f>
      </c>
      <c r="I4741">
        <f>IF(DATOS!$I4741="","",IFERROR(VLOOKUP(DATOS!$I4741,CONFIG_ASIGNATURAS!$B$2:$J$91,9,FALSE()),""))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IF(DATOS!$A4742="",0,IF(CONFIG_METADATA!$B$4&lt;&gt;"OR+EX",--(DATOS!$G4742=CONFIG_METADATA!$B$4),IF(DATOS!$G4742="EX",1,IF(DATOS!$G4742="OR",--(COUNTIFS(nNIA,DATOS!$A4742,nCURSO,DATOS!$D4742,nESPEC,DATOS!$E4742,nASIG,DATOS!$I4742,nEVAL,"EX")=0),0))))</f>
      </c>
      <c r="H4742">
        <f>IF(DATOS!$G4742&lt;&gt;"EX",0,--(COUNTIFS(nNIA,DATOS!$A4742,nCURSO,DATOS!$D4742,nESPEC,DATOS!$E4742,nASIG,DATOS!$I4742,nEVAL,"OR")=0))</f>
      </c>
      <c r="I4742">
        <f>IF(DATOS!$I4742="","",IFERROR(VLOOKUP(DATOS!$I4742,CONFIG_ASIGNATURAS!$B$2:$J$91,9,FALSE()),""))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IF(DATOS!$A4743="",0,IF(CONFIG_METADATA!$B$4&lt;&gt;"OR+EX",--(DATOS!$G4743=CONFIG_METADATA!$B$4),IF(DATOS!$G4743="EX",1,IF(DATOS!$G4743="OR",--(COUNTIFS(nNIA,DATOS!$A4743,nCURSO,DATOS!$D4743,nESPEC,DATOS!$E4743,nASIG,DATOS!$I4743,nEVAL,"EX")=0),0))))</f>
      </c>
      <c r="H4743">
        <f>IF(DATOS!$G4743&lt;&gt;"EX",0,--(COUNTIFS(nNIA,DATOS!$A4743,nCURSO,DATOS!$D4743,nESPEC,DATOS!$E4743,nASIG,DATOS!$I4743,nEVAL,"OR")=0))</f>
      </c>
      <c r="I4743">
        <f>IF(DATOS!$I4743="","",IFERROR(VLOOKUP(DATOS!$I4743,CONFIG_ASIGNATURAS!$B$2:$J$91,9,FALSE()),""))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IF(DATOS!$A4744="",0,IF(CONFIG_METADATA!$B$4&lt;&gt;"OR+EX",--(DATOS!$G4744=CONFIG_METADATA!$B$4),IF(DATOS!$G4744="EX",1,IF(DATOS!$G4744="OR",--(COUNTIFS(nNIA,DATOS!$A4744,nCURSO,DATOS!$D4744,nESPEC,DATOS!$E4744,nASIG,DATOS!$I4744,nEVAL,"EX")=0),0))))</f>
      </c>
      <c r="H4744">
        <f>IF(DATOS!$G4744&lt;&gt;"EX",0,--(COUNTIFS(nNIA,DATOS!$A4744,nCURSO,DATOS!$D4744,nESPEC,DATOS!$E4744,nASIG,DATOS!$I4744,nEVAL,"OR")=0))</f>
      </c>
      <c r="I4744">
        <f>IF(DATOS!$I4744="","",IFERROR(VLOOKUP(DATOS!$I4744,CONFIG_ASIGNATURAS!$B$2:$J$91,9,FALSE()),""))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IF(DATOS!$A4745="",0,IF(CONFIG_METADATA!$B$4&lt;&gt;"OR+EX",--(DATOS!$G4745=CONFIG_METADATA!$B$4),IF(DATOS!$G4745="EX",1,IF(DATOS!$G4745="OR",--(COUNTIFS(nNIA,DATOS!$A4745,nCURSO,DATOS!$D4745,nESPEC,DATOS!$E4745,nASIG,DATOS!$I4745,nEVAL,"EX")=0),0))))</f>
      </c>
      <c r="H4745">
        <f>IF(DATOS!$G4745&lt;&gt;"EX",0,--(COUNTIFS(nNIA,DATOS!$A4745,nCURSO,DATOS!$D4745,nESPEC,DATOS!$E4745,nASIG,DATOS!$I4745,nEVAL,"OR")=0))</f>
      </c>
      <c r="I4745">
        <f>IF(DATOS!$I4745="","",IFERROR(VLOOKUP(DATOS!$I4745,CONFIG_ASIGNATURAS!$B$2:$J$91,9,FALSE()),""))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IF(DATOS!$A4746="",0,IF(CONFIG_METADATA!$B$4&lt;&gt;"OR+EX",--(DATOS!$G4746=CONFIG_METADATA!$B$4),IF(DATOS!$G4746="EX",1,IF(DATOS!$G4746="OR",--(COUNTIFS(nNIA,DATOS!$A4746,nCURSO,DATOS!$D4746,nESPEC,DATOS!$E4746,nASIG,DATOS!$I4746,nEVAL,"EX")=0),0))))</f>
      </c>
      <c r="H4746">
        <f>IF(DATOS!$G4746&lt;&gt;"EX",0,--(COUNTIFS(nNIA,DATOS!$A4746,nCURSO,DATOS!$D4746,nESPEC,DATOS!$E4746,nASIG,DATOS!$I4746,nEVAL,"OR")=0))</f>
      </c>
      <c r="I4746">
        <f>IF(DATOS!$I4746="","",IFERROR(VLOOKUP(DATOS!$I4746,CONFIG_ASIGNATURAS!$B$2:$J$91,9,FALSE()),""))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IF(DATOS!$A4747="",0,IF(CONFIG_METADATA!$B$4&lt;&gt;"OR+EX",--(DATOS!$G4747=CONFIG_METADATA!$B$4),IF(DATOS!$G4747="EX",1,IF(DATOS!$G4747="OR",--(COUNTIFS(nNIA,DATOS!$A4747,nCURSO,DATOS!$D4747,nESPEC,DATOS!$E4747,nASIG,DATOS!$I4747,nEVAL,"EX")=0),0))))</f>
      </c>
      <c r="H4747">
        <f>IF(DATOS!$G4747&lt;&gt;"EX",0,--(COUNTIFS(nNIA,DATOS!$A4747,nCURSO,DATOS!$D4747,nESPEC,DATOS!$E4747,nASIG,DATOS!$I4747,nEVAL,"OR")=0))</f>
      </c>
      <c r="I4747">
        <f>IF(DATOS!$I4747="","",IFERROR(VLOOKUP(DATOS!$I4747,CONFIG_ASIGNATURAS!$B$2:$J$91,9,FALSE()),""))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IF(DATOS!$A4748="",0,IF(CONFIG_METADATA!$B$4&lt;&gt;"OR+EX",--(DATOS!$G4748=CONFIG_METADATA!$B$4),IF(DATOS!$G4748="EX",1,IF(DATOS!$G4748="OR",--(COUNTIFS(nNIA,DATOS!$A4748,nCURSO,DATOS!$D4748,nESPEC,DATOS!$E4748,nASIG,DATOS!$I4748,nEVAL,"EX")=0),0))))</f>
      </c>
      <c r="H4748">
        <f>IF(DATOS!$G4748&lt;&gt;"EX",0,--(COUNTIFS(nNIA,DATOS!$A4748,nCURSO,DATOS!$D4748,nESPEC,DATOS!$E4748,nASIG,DATOS!$I4748,nEVAL,"OR")=0))</f>
      </c>
      <c r="I4748">
        <f>IF(DATOS!$I4748="","",IFERROR(VLOOKUP(DATOS!$I4748,CONFIG_ASIGNATURAS!$B$2:$J$91,9,FALSE()),""))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IF(DATOS!$A4749="",0,IF(CONFIG_METADATA!$B$4&lt;&gt;"OR+EX",--(DATOS!$G4749=CONFIG_METADATA!$B$4),IF(DATOS!$G4749="EX",1,IF(DATOS!$G4749="OR",--(COUNTIFS(nNIA,DATOS!$A4749,nCURSO,DATOS!$D4749,nESPEC,DATOS!$E4749,nASIG,DATOS!$I4749,nEVAL,"EX")=0),0))))</f>
      </c>
      <c r="H4749">
        <f>IF(DATOS!$G4749&lt;&gt;"EX",0,--(COUNTIFS(nNIA,DATOS!$A4749,nCURSO,DATOS!$D4749,nESPEC,DATOS!$E4749,nASIG,DATOS!$I4749,nEVAL,"OR")=0))</f>
      </c>
      <c r="I4749">
        <f>IF(DATOS!$I4749="","",IFERROR(VLOOKUP(DATOS!$I4749,CONFIG_ASIGNATURAS!$B$2:$J$91,9,FALSE()),""))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IF(DATOS!$A4750="",0,IF(CONFIG_METADATA!$B$4&lt;&gt;"OR+EX",--(DATOS!$G4750=CONFIG_METADATA!$B$4),IF(DATOS!$G4750="EX",1,IF(DATOS!$G4750="OR",--(COUNTIFS(nNIA,DATOS!$A4750,nCURSO,DATOS!$D4750,nESPEC,DATOS!$E4750,nASIG,DATOS!$I4750,nEVAL,"EX")=0),0))))</f>
      </c>
      <c r="H4750">
        <f>IF(DATOS!$G4750&lt;&gt;"EX",0,--(COUNTIFS(nNIA,DATOS!$A4750,nCURSO,DATOS!$D4750,nESPEC,DATOS!$E4750,nASIG,DATOS!$I4750,nEVAL,"OR")=0))</f>
      </c>
      <c r="I4750">
        <f>IF(DATOS!$I4750="","",IFERROR(VLOOKUP(DATOS!$I4750,CONFIG_ASIGNATURAS!$B$2:$J$91,9,FALSE()),""))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IF(DATOS!$A4751="",0,IF(CONFIG_METADATA!$B$4&lt;&gt;"OR+EX",--(DATOS!$G4751=CONFIG_METADATA!$B$4),IF(DATOS!$G4751="EX",1,IF(DATOS!$G4751="OR",--(COUNTIFS(nNIA,DATOS!$A4751,nCURSO,DATOS!$D4751,nESPEC,DATOS!$E4751,nASIG,DATOS!$I4751,nEVAL,"EX")=0),0))))</f>
      </c>
      <c r="H4751">
        <f>IF(DATOS!$G4751&lt;&gt;"EX",0,--(COUNTIFS(nNIA,DATOS!$A4751,nCURSO,DATOS!$D4751,nESPEC,DATOS!$E4751,nASIG,DATOS!$I4751,nEVAL,"OR")=0))</f>
      </c>
      <c r="I4751">
        <f>IF(DATOS!$I4751="","",IFERROR(VLOOKUP(DATOS!$I4751,CONFIG_ASIGNATURAS!$B$2:$J$91,9,FALSE()),""))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IF(DATOS!$A4752="",0,IF(CONFIG_METADATA!$B$4&lt;&gt;"OR+EX",--(DATOS!$G4752=CONFIG_METADATA!$B$4),IF(DATOS!$G4752="EX",1,IF(DATOS!$G4752="OR",--(COUNTIFS(nNIA,DATOS!$A4752,nCURSO,DATOS!$D4752,nESPEC,DATOS!$E4752,nASIG,DATOS!$I4752,nEVAL,"EX")=0),0))))</f>
      </c>
      <c r="H4752">
        <f>IF(DATOS!$G4752&lt;&gt;"EX",0,--(COUNTIFS(nNIA,DATOS!$A4752,nCURSO,DATOS!$D4752,nESPEC,DATOS!$E4752,nASIG,DATOS!$I4752,nEVAL,"OR")=0))</f>
      </c>
      <c r="I4752">
        <f>IF(DATOS!$I4752="","",IFERROR(VLOOKUP(DATOS!$I4752,CONFIG_ASIGNATURAS!$B$2:$J$91,9,FALSE()),""))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IF(DATOS!$A4753="",0,IF(CONFIG_METADATA!$B$4&lt;&gt;"OR+EX",--(DATOS!$G4753=CONFIG_METADATA!$B$4),IF(DATOS!$G4753="EX",1,IF(DATOS!$G4753="OR",--(COUNTIFS(nNIA,DATOS!$A4753,nCURSO,DATOS!$D4753,nESPEC,DATOS!$E4753,nASIG,DATOS!$I4753,nEVAL,"EX")=0),0))))</f>
      </c>
      <c r="H4753">
        <f>IF(DATOS!$G4753&lt;&gt;"EX",0,--(COUNTIFS(nNIA,DATOS!$A4753,nCURSO,DATOS!$D4753,nESPEC,DATOS!$E4753,nASIG,DATOS!$I4753,nEVAL,"OR")=0))</f>
      </c>
      <c r="I4753">
        <f>IF(DATOS!$I4753="","",IFERROR(VLOOKUP(DATOS!$I4753,CONFIG_ASIGNATURAS!$B$2:$J$91,9,FALSE()),""))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IF(DATOS!$A4754="",0,IF(CONFIG_METADATA!$B$4&lt;&gt;"OR+EX",--(DATOS!$G4754=CONFIG_METADATA!$B$4),IF(DATOS!$G4754="EX",1,IF(DATOS!$G4754="OR",--(COUNTIFS(nNIA,DATOS!$A4754,nCURSO,DATOS!$D4754,nESPEC,DATOS!$E4754,nASIG,DATOS!$I4754,nEVAL,"EX")=0),0))))</f>
      </c>
      <c r="H4754">
        <f>IF(DATOS!$G4754&lt;&gt;"EX",0,--(COUNTIFS(nNIA,DATOS!$A4754,nCURSO,DATOS!$D4754,nESPEC,DATOS!$E4754,nASIG,DATOS!$I4754,nEVAL,"OR")=0))</f>
      </c>
      <c r="I4754">
        <f>IF(DATOS!$I4754="","",IFERROR(VLOOKUP(DATOS!$I4754,CONFIG_ASIGNATURAS!$B$2:$J$91,9,FALSE()),""))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IF(DATOS!$A4755="",0,IF(CONFIG_METADATA!$B$4&lt;&gt;"OR+EX",--(DATOS!$G4755=CONFIG_METADATA!$B$4),IF(DATOS!$G4755="EX",1,IF(DATOS!$G4755="OR",--(COUNTIFS(nNIA,DATOS!$A4755,nCURSO,DATOS!$D4755,nESPEC,DATOS!$E4755,nASIG,DATOS!$I4755,nEVAL,"EX")=0),0))))</f>
      </c>
      <c r="H4755">
        <f>IF(DATOS!$G4755&lt;&gt;"EX",0,--(COUNTIFS(nNIA,DATOS!$A4755,nCURSO,DATOS!$D4755,nESPEC,DATOS!$E4755,nASIG,DATOS!$I4755,nEVAL,"OR")=0))</f>
      </c>
      <c r="I4755">
        <f>IF(DATOS!$I4755="","",IFERROR(VLOOKUP(DATOS!$I4755,CONFIG_ASIGNATURAS!$B$2:$J$91,9,FALSE()),""))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IF(DATOS!$A4756="",0,IF(CONFIG_METADATA!$B$4&lt;&gt;"OR+EX",--(DATOS!$G4756=CONFIG_METADATA!$B$4),IF(DATOS!$G4756="EX",1,IF(DATOS!$G4756="OR",--(COUNTIFS(nNIA,DATOS!$A4756,nCURSO,DATOS!$D4756,nESPEC,DATOS!$E4756,nASIG,DATOS!$I4756,nEVAL,"EX")=0),0))))</f>
      </c>
      <c r="H4756">
        <f>IF(DATOS!$G4756&lt;&gt;"EX",0,--(COUNTIFS(nNIA,DATOS!$A4756,nCURSO,DATOS!$D4756,nESPEC,DATOS!$E4756,nASIG,DATOS!$I4756,nEVAL,"OR")=0))</f>
      </c>
      <c r="I4756">
        <f>IF(DATOS!$I4756="","",IFERROR(VLOOKUP(DATOS!$I4756,CONFIG_ASIGNATURAS!$B$2:$J$91,9,FALSE()),""))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IF(DATOS!$A4757="",0,IF(CONFIG_METADATA!$B$4&lt;&gt;"OR+EX",--(DATOS!$G4757=CONFIG_METADATA!$B$4),IF(DATOS!$G4757="EX",1,IF(DATOS!$G4757="OR",--(COUNTIFS(nNIA,DATOS!$A4757,nCURSO,DATOS!$D4757,nESPEC,DATOS!$E4757,nASIG,DATOS!$I4757,nEVAL,"EX")=0),0))))</f>
      </c>
      <c r="H4757">
        <f>IF(DATOS!$G4757&lt;&gt;"EX",0,--(COUNTIFS(nNIA,DATOS!$A4757,nCURSO,DATOS!$D4757,nESPEC,DATOS!$E4757,nASIG,DATOS!$I4757,nEVAL,"OR")=0))</f>
      </c>
      <c r="I4757">
        <f>IF(DATOS!$I4757="","",IFERROR(VLOOKUP(DATOS!$I4757,CONFIG_ASIGNATURAS!$B$2:$J$91,9,FALSE()),""))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IF(DATOS!$A4758="",0,IF(CONFIG_METADATA!$B$4&lt;&gt;"OR+EX",--(DATOS!$G4758=CONFIG_METADATA!$B$4),IF(DATOS!$G4758="EX",1,IF(DATOS!$G4758="OR",--(COUNTIFS(nNIA,DATOS!$A4758,nCURSO,DATOS!$D4758,nESPEC,DATOS!$E4758,nASIG,DATOS!$I4758,nEVAL,"EX")=0),0))))</f>
      </c>
      <c r="H4758">
        <f>IF(DATOS!$G4758&lt;&gt;"EX",0,--(COUNTIFS(nNIA,DATOS!$A4758,nCURSO,DATOS!$D4758,nESPEC,DATOS!$E4758,nASIG,DATOS!$I4758,nEVAL,"OR")=0))</f>
      </c>
      <c r="I4758">
        <f>IF(DATOS!$I4758="","",IFERROR(VLOOKUP(DATOS!$I4758,CONFIG_ASIGNATURAS!$B$2:$J$91,9,FALSE()),""))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IF(DATOS!$A4759="",0,IF(CONFIG_METADATA!$B$4&lt;&gt;"OR+EX",--(DATOS!$G4759=CONFIG_METADATA!$B$4),IF(DATOS!$G4759="EX",1,IF(DATOS!$G4759="OR",--(COUNTIFS(nNIA,DATOS!$A4759,nCURSO,DATOS!$D4759,nESPEC,DATOS!$E4759,nASIG,DATOS!$I4759,nEVAL,"EX")=0),0))))</f>
      </c>
      <c r="H4759">
        <f>IF(DATOS!$G4759&lt;&gt;"EX",0,--(COUNTIFS(nNIA,DATOS!$A4759,nCURSO,DATOS!$D4759,nESPEC,DATOS!$E4759,nASIG,DATOS!$I4759,nEVAL,"OR")=0))</f>
      </c>
      <c r="I4759">
        <f>IF(DATOS!$I4759="","",IFERROR(VLOOKUP(DATOS!$I4759,CONFIG_ASIGNATURAS!$B$2:$J$91,9,FALSE()),""))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IF(DATOS!$A4760="",0,IF(CONFIG_METADATA!$B$4&lt;&gt;"OR+EX",--(DATOS!$G4760=CONFIG_METADATA!$B$4),IF(DATOS!$G4760="EX",1,IF(DATOS!$G4760="OR",--(COUNTIFS(nNIA,DATOS!$A4760,nCURSO,DATOS!$D4760,nESPEC,DATOS!$E4760,nASIG,DATOS!$I4760,nEVAL,"EX")=0),0))))</f>
      </c>
      <c r="H4760">
        <f>IF(DATOS!$G4760&lt;&gt;"EX",0,--(COUNTIFS(nNIA,DATOS!$A4760,nCURSO,DATOS!$D4760,nESPEC,DATOS!$E4760,nASIG,DATOS!$I4760,nEVAL,"OR")=0))</f>
      </c>
      <c r="I4760">
        <f>IF(DATOS!$I4760="","",IFERROR(VLOOKUP(DATOS!$I4760,CONFIG_ASIGNATURAS!$B$2:$J$91,9,FALSE()),""))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IF(DATOS!$A4761="",0,IF(CONFIG_METADATA!$B$4&lt;&gt;"OR+EX",--(DATOS!$G4761=CONFIG_METADATA!$B$4),IF(DATOS!$G4761="EX",1,IF(DATOS!$G4761="OR",--(COUNTIFS(nNIA,DATOS!$A4761,nCURSO,DATOS!$D4761,nESPEC,DATOS!$E4761,nASIG,DATOS!$I4761,nEVAL,"EX")=0),0))))</f>
      </c>
      <c r="H4761">
        <f>IF(DATOS!$G4761&lt;&gt;"EX",0,--(COUNTIFS(nNIA,DATOS!$A4761,nCURSO,DATOS!$D4761,nESPEC,DATOS!$E4761,nASIG,DATOS!$I4761,nEVAL,"OR")=0))</f>
      </c>
      <c r="I4761">
        <f>IF(DATOS!$I4761="","",IFERROR(VLOOKUP(DATOS!$I4761,CONFIG_ASIGNATURAS!$B$2:$J$91,9,FALSE()),""))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IF(DATOS!$A4762="",0,IF(CONFIG_METADATA!$B$4&lt;&gt;"OR+EX",--(DATOS!$G4762=CONFIG_METADATA!$B$4),IF(DATOS!$G4762="EX",1,IF(DATOS!$G4762="OR",--(COUNTIFS(nNIA,DATOS!$A4762,nCURSO,DATOS!$D4762,nESPEC,DATOS!$E4762,nASIG,DATOS!$I4762,nEVAL,"EX")=0),0))))</f>
      </c>
      <c r="H4762">
        <f>IF(DATOS!$G4762&lt;&gt;"EX",0,--(COUNTIFS(nNIA,DATOS!$A4762,nCURSO,DATOS!$D4762,nESPEC,DATOS!$E4762,nASIG,DATOS!$I4762,nEVAL,"OR")=0))</f>
      </c>
      <c r="I4762">
        <f>IF(DATOS!$I4762="","",IFERROR(VLOOKUP(DATOS!$I4762,CONFIG_ASIGNATURAS!$B$2:$J$91,9,FALSE()),""))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IF(DATOS!$A4763="",0,IF(CONFIG_METADATA!$B$4&lt;&gt;"OR+EX",--(DATOS!$G4763=CONFIG_METADATA!$B$4),IF(DATOS!$G4763="EX",1,IF(DATOS!$G4763="OR",--(COUNTIFS(nNIA,DATOS!$A4763,nCURSO,DATOS!$D4763,nESPEC,DATOS!$E4763,nASIG,DATOS!$I4763,nEVAL,"EX")=0),0))))</f>
      </c>
      <c r="H4763">
        <f>IF(DATOS!$G4763&lt;&gt;"EX",0,--(COUNTIFS(nNIA,DATOS!$A4763,nCURSO,DATOS!$D4763,nESPEC,DATOS!$E4763,nASIG,DATOS!$I4763,nEVAL,"OR")=0))</f>
      </c>
      <c r="I4763">
        <f>IF(DATOS!$I4763="","",IFERROR(VLOOKUP(DATOS!$I4763,CONFIG_ASIGNATURAS!$B$2:$J$91,9,FALSE()),""))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IF(DATOS!$A4764="",0,IF(CONFIG_METADATA!$B$4&lt;&gt;"OR+EX",--(DATOS!$G4764=CONFIG_METADATA!$B$4),IF(DATOS!$G4764="EX",1,IF(DATOS!$G4764="OR",--(COUNTIFS(nNIA,DATOS!$A4764,nCURSO,DATOS!$D4764,nESPEC,DATOS!$E4764,nASIG,DATOS!$I4764,nEVAL,"EX")=0),0))))</f>
      </c>
      <c r="H4764">
        <f>IF(DATOS!$G4764&lt;&gt;"EX",0,--(COUNTIFS(nNIA,DATOS!$A4764,nCURSO,DATOS!$D4764,nESPEC,DATOS!$E4764,nASIG,DATOS!$I4764,nEVAL,"OR")=0))</f>
      </c>
      <c r="I4764">
        <f>IF(DATOS!$I4764="","",IFERROR(VLOOKUP(DATOS!$I4764,CONFIG_ASIGNATURAS!$B$2:$J$91,9,FALSE()),""))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IF(DATOS!$A4765="",0,IF(CONFIG_METADATA!$B$4&lt;&gt;"OR+EX",--(DATOS!$G4765=CONFIG_METADATA!$B$4),IF(DATOS!$G4765="EX",1,IF(DATOS!$G4765="OR",--(COUNTIFS(nNIA,DATOS!$A4765,nCURSO,DATOS!$D4765,nESPEC,DATOS!$E4765,nASIG,DATOS!$I4765,nEVAL,"EX")=0),0))))</f>
      </c>
      <c r="H4765">
        <f>IF(DATOS!$G4765&lt;&gt;"EX",0,--(COUNTIFS(nNIA,DATOS!$A4765,nCURSO,DATOS!$D4765,nESPEC,DATOS!$E4765,nASIG,DATOS!$I4765,nEVAL,"OR")=0))</f>
      </c>
      <c r="I4765">
        <f>IF(DATOS!$I4765="","",IFERROR(VLOOKUP(DATOS!$I4765,CONFIG_ASIGNATURAS!$B$2:$J$91,9,FALSE()),""))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IF(DATOS!$A4766="",0,IF(CONFIG_METADATA!$B$4&lt;&gt;"OR+EX",--(DATOS!$G4766=CONFIG_METADATA!$B$4),IF(DATOS!$G4766="EX",1,IF(DATOS!$G4766="OR",--(COUNTIFS(nNIA,DATOS!$A4766,nCURSO,DATOS!$D4766,nESPEC,DATOS!$E4766,nASIG,DATOS!$I4766,nEVAL,"EX")=0),0))))</f>
      </c>
      <c r="H4766">
        <f>IF(DATOS!$G4766&lt;&gt;"EX",0,--(COUNTIFS(nNIA,DATOS!$A4766,nCURSO,DATOS!$D4766,nESPEC,DATOS!$E4766,nASIG,DATOS!$I4766,nEVAL,"OR")=0))</f>
      </c>
      <c r="I4766">
        <f>IF(DATOS!$I4766="","",IFERROR(VLOOKUP(DATOS!$I4766,CONFIG_ASIGNATURAS!$B$2:$J$91,9,FALSE()),""))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IF(DATOS!$A4767="",0,IF(CONFIG_METADATA!$B$4&lt;&gt;"OR+EX",--(DATOS!$G4767=CONFIG_METADATA!$B$4),IF(DATOS!$G4767="EX",1,IF(DATOS!$G4767="OR",--(COUNTIFS(nNIA,DATOS!$A4767,nCURSO,DATOS!$D4767,nESPEC,DATOS!$E4767,nASIG,DATOS!$I4767,nEVAL,"EX")=0),0))))</f>
      </c>
      <c r="H4767">
        <f>IF(DATOS!$G4767&lt;&gt;"EX",0,--(COUNTIFS(nNIA,DATOS!$A4767,nCURSO,DATOS!$D4767,nESPEC,DATOS!$E4767,nASIG,DATOS!$I4767,nEVAL,"OR")=0))</f>
      </c>
      <c r="I4767">
        <f>IF(DATOS!$I4767="","",IFERROR(VLOOKUP(DATOS!$I4767,CONFIG_ASIGNATURAS!$B$2:$J$91,9,FALSE()),""))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IF(DATOS!$A4768="",0,IF(CONFIG_METADATA!$B$4&lt;&gt;"OR+EX",--(DATOS!$G4768=CONFIG_METADATA!$B$4),IF(DATOS!$G4768="EX",1,IF(DATOS!$G4768="OR",--(COUNTIFS(nNIA,DATOS!$A4768,nCURSO,DATOS!$D4768,nESPEC,DATOS!$E4768,nASIG,DATOS!$I4768,nEVAL,"EX")=0),0))))</f>
      </c>
      <c r="H4768">
        <f>IF(DATOS!$G4768&lt;&gt;"EX",0,--(COUNTIFS(nNIA,DATOS!$A4768,nCURSO,DATOS!$D4768,nESPEC,DATOS!$E4768,nASIG,DATOS!$I4768,nEVAL,"OR")=0))</f>
      </c>
      <c r="I4768">
        <f>IF(DATOS!$I4768="","",IFERROR(VLOOKUP(DATOS!$I4768,CONFIG_ASIGNATURAS!$B$2:$J$91,9,FALSE()),""))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IF(DATOS!$A4769="",0,IF(CONFIG_METADATA!$B$4&lt;&gt;"OR+EX",--(DATOS!$G4769=CONFIG_METADATA!$B$4),IF(DATOS!$G4769="EX",1,IF(DATOS!$G4769="OR",--(COUNTIFS(nNIA,DATOS!$A4769,nCURSO,DATOS!$D4769,nESPEC,DATOS!$E4769,nASIG,DATOS!$I4769,nEVAL,"EX")=0),0))))</f>
      </c>
      <c r="H4769">
        <f>IF(DATOS!$G4769&lt;&gt;"EX",0,--(COUNTIFS(nNIA,DATOS!$A4769,nCURSO,DATOS!$D4769,nESPEC,DATOS!$E4769,nASIG,DATOS!$I4769,nEVAL,"OR")=0))</f>
      </c>
      <c r="I4769">
        <f>IF(DATOS!$I4769="","",IFERROR(VLOOKUP(DATOS!$I4769,CONFIG_ASIGNATURAS!$B$2:$J$91,9,FALSE()),""))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IF(DATOS!$A4770="",0,IF(CONFIG_METADATA!$B$4&lt;&gt;"OR+EX",--(DATOS!$G4770=CONFIG_METADATA!$B$4),IF(DATOS!$G4770="EX",1,IF(DATOS!$G4770="OR",--(COUNTIFS(nNIA,DATOS!$A4770,nCURSO,DATOS!$D4770,nESPEC,DATOS!$E4770,nASIG,DATOS!$I4770,nEVAL,"EX")=0),0))))</f>
      </c>
      <c r="H4770">
        <f>IF(DATOS!$G4770&lt;&gt;"EX",0,--(COUNTIFS(nNIA,DATOS!$A4770,nCURSO,DATOS!$D4770,nESPEC,DATOS!$E4770,nASIG,DATOS!$I4770,nEVAL,"OR")=0))</f>
      </c>
      <c r="I4770">
        <f>IF(DATOS!$I4770="","",IFERROR(VLOOKUP(DATOS!$I4770,CONFIG_ASIGNATURAS!$B$2:$J$91,9,FALSE()),""))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IF(DATOS!$A4771="",0,IF(CONFIG_METADATA!$B$4&lt;&gt;"OR+EX",--(DATOS!$G4771=CONFIG_METADATA!$B$4),IF(DATOS!$G4771="EX",1,IF(DATOS!$G4771="OR",--(COUNTIFS(nNIA,DATOS!$A4771,nCURSO,DATOS!$D4771,nESPEC,DATOS!$E4771,nASIG,DATOS!$I4771,nEVAL,"EX")=0),0))))</f>
      </c>
      <c r="H4771">
        <f>IF(DATOS!$G4771&lt;&gt;"EX",0,--(COUNTIFS(nNIA,DATOS!$A4771,nCURSO,DATOS!$D4771,nESPEC,DATOS!$E4771,nASIG,DATOS!$I4771,nEVAL,"OR")=0))</f>
      </c>
      <c r="I4771">
        <f>IF(DATOS!$I4771="","",IFERROR(VLOOKUP(DATOS!$I4771,CONFIG_ASIGNATURAS!$B$2:$J$91,9,FALSE()),""))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IF(DATOS!$A4772="",0,IF(CONFIG_METADATA!$B$4&lt;&gt;"OR+EX",--(DATOS!$G4772=CONFIG_METADATA!$B$4),IF(DATOS!$G4772="EX",1,IF(DATOS!$G4772="OR",--(COUNTIFS(nNIA,DATOS!$A4772,nCURSO,DATOS!$D4772,nESPEC,DATOS!$E4772,nASIG,DATOS!$I4772,nEVAL,"EX")=0),0))))</f>
      </c>
      <c r="H4772">
        <f>IF(DATOS!$G4772&lt;&gt;"EX",0,--(COUNTIFS(nNIA,DATOS!$A4772,nCURSO,DATOS!$D4772,nESPEC,DATOS!$E4772,nASIG,DATOS!$I4772,nEVAL,"OR")=0))</f>
      </c>
      <c r="I4772">
        <f>IF(DATOS!$I4772="","",IFERROR(VLOOKUP(DATOS!$I4772,CONFIG_ASIGNATURAS!$B$2:$J$91,9,FALSE()),""))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IF(DATOS!$A4773="",0,IF(CONFIG_METADATA!$B$4&lt;&gt;"OR+EX",--(DATOS!$G4773=CONFIG_METADATA!$B$4),IF(DATOS!$G4773="EX",1,IF(DATOS!$G4773="OR",--(COUNTIFS(nNIA,DATOS!$A4773,nCURSO,DATOS!$D4773,nESPEC,DATOS!$E4773,nASIG,DATOS!$I4773,nEVAL,"EX")=0),0))))</f>
      </c>
      <c r="H4773">
        <f>IF(DATOS!$G4773&lt;&gt;"EX",0,--(COUNTIFS(nNIA,DATOS!$A4773,nCURSO,DATOS!$D4773,nESPEC,DATOS!$E4773,nASIG,DATOS!$I4773,nEVAL,"OR")=0))</f>
      </c>
      <c r="I4773">
        <f>IF(DATOS!$I4773="","",IFERROR(VLOOKUP(DATOS!$I4773,CONFIG_ASIGNATURAS!$B$2:$J$91,9,FALSE()),""))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IF(DATOS!$A4774="",0,IF(CONFIG_METADATA!$B$4&lt;&gt;"OR+EX",--(DATOS!$G4774=CONFIG_METADATA!$B$4),IF(DATOS!$G4774="EX",1,IF(DATOS!$G4774="OR",--(COUNTIFS(nNIA,DATOS!$A4774,nCURSO,DATOS!$D4774,nESPEC,DATOS!$E4774,nASIG,DATOS!$I4774,nEVAL,"EX")=0),0))))</f>
      </c>
      <c r="H4774">
        <f>IF(DATOS!$G4774&lt;&gt;"EX",0,--(COUNTIFS(nNIA,DATOS!$A4774,nCURSO,DATOS!$D4774,nESPEC,DATOS!$E4774,nASIG,DATOS!$I4774,nEVAL,"OR")=0))</f>
      </c>
      <c r="I4774">
        <f>IF(DATOS!$I4774="","",IFERROR(VLOOKUP(DATOS!$I4774,CONFIG_ASIGNATURAS!$B$2:$J$91,9,FALSE()),""))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IF(DATOS!$A4775="",0,IF(CONFIG_METADATA!$B$4&lt;&gt;"OR+EX",--(DATOS!$G4775=CONFIG_METADATA!$B$4),IF(DATOS!$G4775="EX",1,IF(DATOS!$G4775="OR",--(COUNTIFS(nNIA,DATOS!$A4775,nCURSO,DATOS!$D4775,nESPEC,DATOS!$E4775,nASIG,DATOS!$I4775,nEVAL,"EX")=0),0))))</f>
      </c>
      <c r="H4775">
        <f>IF(DATOS!$G4775&lt;&gt;"EX",0,--(COUNTIFS(nNIA,DATOS!$A4775,nCURSO,DATOS!$D4775,nESPEC,DATOS!$E4775,nASIG,DATOS!$I4775,nEVAL,"OR")=0))</f>
      </c>
      <c r="I4775">
        <f>IF(DATOS!$I4775="","",IFERROR(VLOOKUP(DATOS!$I4775,CONFIG_ASIGNATURAS!$B$2:$J$91,9,FALSE()),""))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IF(DATOS!$A4776="",0,IF(CONFIG_METADATA!$B$4&lt;&gt;"OR+EX",--(DATOS!$G4776=CONFIG_METADATA!$B$4),IF(DATOS!$G4776="EX",1,IF(DATOS!$G4776="OR",--(COUNTIFS(nNIA,DATOS!$A4776,nCURSO,DATOS!$D4776,nESPEC,DATOS!$E4776,nASIG,DATOS!$I4776,nEVAL,"EX")=0),0))))</f>
      </c>
      <c r="H4776">
        <f>IF(DATOS!$G4776&lt;&gt;"EX",0,--(COUNTIFS(nNIA,DATOS!$A4776,nCURSO,DATOS!$D4776,nESPEC,DATOS!$E4776,nASIG,DATOS!$I4776,nEVAL,"OR")=0))</f>
      </c>
      <c r="I4776">
        <f>IF(DATOS!$I4776="","",IFERROR(VLOOKUP(DATOS!$I4776,CONFIG_ASIGNATURAS!$B$2:$J$91,9,FALSE()),""))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IF(DATOS!$A4777="",0,IF(CONFIG_METADATA!$B$4&lt;&gt;"OR+EX",--(DATOS!$G4777=CONFIG_METADATA!$B$4),IF(DATOS!$G4777="EX",1,IF(DATOS!$G4777="OR",--(COUNTIFS(nNIA,DATOS!$A4777,nCURSO,DATOS!$D4777,nESPEC,DATOS!$E4777,nASIG,DATOS!$I4777,nEVAL,"EX")=0),0))))</f>
      </c>
      <c r="H4777">
        <f>IF(DATOS!$G4777&lt;&gt;"EX",0,--(COUNTIFS(nNIA,DATOS!$A4777,nCURSO,DATOS!$D4777,nESPEC,DATOS!$E4777,nASIG,DATOS!$I4777,nEVAL,"OR")=0))</f>
      </c>
      <c r="I4777">
        <f>IF(DATOS!$I4777="","",IFERROR(VLOOKUP(DATOS!$I4777,CONFIG_ASIGNATURAS!$B$2:$J$91,9,FALSE()),""))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IF(DATOS!$A4778="",0,IF(CONFIG_METADATA!$B$4&lt;&gt;"OR+EX",--(DATOS!$G4778=CONFIG_METADATA!$B$4),IF(DATOS!$G4778="EX",1,IF(DATOS!$G4778="OR",--(COUNTIFS(nNIA,DATOS!$A4778,nCURSO,DATOS!$D4778,nESPEC,DATOS!$E4778,nASIG,DATOS!$I4778,nEVAL,"EX")=0),0))))</f>
      </c>
      <c r="H4778">
        <f>IF(DATOS!$G4778&lt;&gt;"EX",0,--(COUNTIFS(nNIA,DATOS!$A4778,nCURSO,DATOS!$D4778,nESPEC,DATOS!$E4778,nASIG,DATOS!$I4778,nEVAL,"OR")=0))</f>
      </c>
      <c r="I4778">
        <f>IF(DATOS!$I4778="","",IFERROR(VLOOKUP(DATOS!$I4778,CONFIG_ASIGNATURAS!$B$2:$J$91,9,FALSE()),""))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IF(DATOS!$A4779="",0,IF(CONFIG_METADATA!$B$4&lt;&gt;"OR+EX",--(DATOS!$G4779=CONFIG_METADATA!$B$4),IF(DATOS!$G4779="EX",1,IF(DATOS!$G4779="OR",--(COUNTIFS(nNIA,DATOS!$A4779,nCURSO,DATOS!$D4779,nESPEC,DATOS!$E4779,nASIG,DATOS!$I4779,nEVAL,"EX")=0),0))))</f>
      </c>
      <c r="H4779">
        <f>IF(DATOS!$G4779&lt;&gt;"EX",0,--(COUNTIFS(nNIA,DATOS!$A4779,nCURSO,DATOS!$D4779,nESPEC,DATOS!$E4779,nASIG,DATOS!$I4779,nEVAL,"OR")=0))</f>
      </c>
      <c r="I4779">
        <f>IF(DATOS!$I4779="","",IFERROR(VLOOKUP(DATOS!$I4779,CONFIG_ASIGNATURAS!$B$2:$J$91,9,FALSE()),""))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IF(DATOS!$A4780="",0,IF(CONFIG_METADATA!$B$4&lt;&gt;"OR+EX",--(DATOS!$G4780=CONFIG_METADATA!$B$4),IF(DATOS!$G4780="EX",1,IF(DATOS!$G4780="OR",--(COUNTIFS(nNIA,DATOS!$A4780,nCURSO,DATOS!$D4780,nESPEC,DATOS!$E4780,nASIG,DATOS!$I4780,nEVAL,"EX")=0),0))))</f>
      </c>
      <c r="H4780">
        <f>IF(DATOS!$G4780&lt;&gt;"EX",0,--(COUNTIFS(nNIA,DATOS!$A4780,nCURSO,DATOS!$D4780,nESPEC,DATOS!$E4780,nASIG,DATOS!$I4780,nEVAL,"OR")=0))</f>
      </c>
      <c r="I4780">
        <f>IF(DATOS!$I4780="","",IFERROR(VLOOKUP(DATOS!$I4780,CONFIG_ASIGNATURAS!$B$2:$J$91,9,FALSE()),""))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IF(DATOS!$A4781="",0,IF(CONFIG_METADATA!$B$4&lt;&gt;"OR+EX",--(DATOS!$G4781=CONFIG_METADATA!$B$4),IF(DATOS!$G4781="EX",1,IF(DATOS!$G4781="OR",--(COUNTIFS(nNIA,DATOS!$A4781,nCURSO,DATOS!$D4781,nESPEC,DATOS!$E4781,nASIG,DATOS!$I4781,nEVAL,"EX")=0),0))))</f>
      </c>
      <c r="H4781">
        <f>IF(DATOS!$G4781&lt;&gt;"EX",0,--(COUNTIFS(nNIA,DATOS!$A4781,nCURSO,DATOS!$D4781,nESPEC,DATOS!$E4781,nASIG,DATOS!$I4781,nEVAL,"OR")=0))</f>
      </c>
      <c r="I4781">
        <f>IF(DATOS!$I4781="","",IFERROR(VLOOKUP(DATOS!$I4781,CONFIG_ASIGNATURAS!$B$2:$J$91,9,FALSE()),""))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IF(DATOS!$A4782="",0,IF(CONFIG_METADATA!$B$4&lt;&gt;"OR+EX",--(DATOS!$G4782=CONFIG_METADATA!$B$4),IF(DATOS!$G4782="EX",1,IF(DATOS!$G4782="OR",--(COUNTIFS(nNIA,DATOS!$A4782,nCURSO,DATOS!$D4782,nESPEC,DATOS!$E4782,nASIG,DATOS!$I4782,nEVAL,"EX")=0),0))))</f>
      </c>
      <c r="H4782">
        <f>IF(DATOS!$G4782&lt;&gt;"EX",0,--(COUNTIFS(nNIA,DATOS!$A4782,nCURSO,DATOS!$D4782,nESPEC,DATOS!$E4782,nASIG,DATOS!$I4782,nEVAL,"OR")=0))</f>
      </c>
      <c r="I4782">
        <f>IF(DATOS!$I4782="","",IFERROR(VLOOKUP(DATOS!$I4782,CONFIG_ASIGNATURAS!$B$2:$J$91,9,FALSE()),""))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IF(DATOS!$A4783="",0,IF(CONFIG_METADATA!$B$4&lt;&gt;"OR+EX",--(DATOS!$G4783=CONFIG_METADATA!$B$4),IF(DATOS!$G4783="EX",1,IF(DATOS!$G4783="OR",--(COUNTIFS(nNIA,DATOS!$A4783,nCURSO,DATOS!$D4783,nESPEC,DATOS!$E4783,nASIG,DATOS!$I4783,nEVAL,"EX")=0),0))))</f>
      </c>
      <c r="H4783">
        <f>IF(DATOS!$G4783&lt;&gt;"EX",0,--(COUNTIFS(nNIA,DATOS!$A4783,nCURSO,DATOS!$D4783,nESPEC,DATOS!$E4783,nASIG,DATOS!$I4783,nEVAL,"OR")=0))</f>
      </c>
      <c r="I4783">
        <f>IF(DATOS!$I4783="","",IFERROR(VLOOKUP(DATOS!$I4783,CONFIG_ASIGNATURAS!$B$2:$J$91,9,FALSE()),""))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IF(DATOS!$A4784="",0,IF(CONFIG_METADATA!$B$4&lt;&gt;"OR+EX",--(DATOS!$G4784=CONFIG_METADATA!$B$4),IF(DATOS!$G4784="EX",1,IF(DATOS!$G4784="OR",--(COUNTIFS(nNIA,DATOS!$A4784,nCURSO,DATOS!$D4784,nESPEC,DATOS!$E4784,nASIG,DATOS!$I4784,nEVAL,"EX")=0),0))))</f>
      </c>
      <c r="H4784">
        <f>IF(DATOS!$G4784&lt;&gt;"EX",0,--(COUNTIFS(nNIA,DATOS!$A4784,nCURSO,DATOS!$D4784,nESPEC,DATOS!$E4784,nASIG,DATOS!$I4784,nEVAL,"OR")=0))</f>
      </c>
      <c r="I4784">
        <f>IF(DATOS!$I4784="","",IFERROR(VLOOKUP(DATOS!$I4784,CONFIG_ASIGNATURAS!$B$2:$J$91,9,FALSE()),""))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IF(DATOS!$A4785="",0,IF(CONFIG_METADATA!$B$4&lt;&gt;"OR+EX",--(DATOS!$G4785=CONFIG_METADATA!$B$4),IF(DATOS!$G4785="EX",1,IF(DATOS!$G4785="OR",--(COUNTIFS(nNIA,DATOS!$A4785,nCURSO,DATOS!$D4785,nESPEC,DATOS!$E4785,nASIG,DATOS!$I4785,nEVAL,"EX")=0),0))))</f>
      </c>
      <c r="H4785">
        <f>IF(DATOS!$G4785&lt;&gt;"EX",0,--(COUNTIFS(nNIA,DATOS!$A4785,nCURSO,DATOS!$D4785,nESPEC,DATOS!$E4785,nASIG,DATOS!$I4785,nEVAL,"OR")=0))</f>
      </c>
      <c r="I4785">
        <f>IF(DATOS!$I4785="","",IFERROR(VLOOKUP(DATOS!$I4785,CONFIG_ASIGNATURAS!$B$2:$J$91,9,FALSE()),""))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IF(DATOS!$A4786="",0,IF(CONFIG_METADATA!$B$4&lt;&gt;"OR+EX",--(DATOS!$G4786=CONFIG_METADATA!$B$4),IF(DATOS!$G4786="EX",1,IF(DATOS!$G4786="OR",--(COUNTIFS(nNIA,DATOS!$A4786,nCURSO,DATOS!$D4786,nESPEC,DATOS!$E4786,nASIG,DATOS!$I4786,nEVAL,"EX")=0),0))))</f>
      </c>
      <c r="H4786">
        <f>IF(DATOS!$G4786&lt;&gt;"EX",0,--(COUNTIFS(nNIA,DATOS!$A4786,nCURSO,DATOS!$D4786,nESPEC,DATOS!$E4786,nASIG,DATOS!$I4786,nEVAL,"OR")=0))</f>
      </c>
      <c r="I4786">
        <f>IF(DATOS!$I4786="","",IFERROR(VLOOKUP(DATOS!$I4786,CONFIG_ASIGNATURAS!$B$2:$J$91,9,FALSE()),""))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IF(DATOS!$A4787="",0,IF(CONFIG_METADATA!$B$4&lt;&gt;"OR+EX",--(DATOS!$G4787=CONFIG_METADATA!$B$4),IF(DATOS!$G4787="EX",1,IF(DATOS!$G4787="OR",--(COUNTIFS(nNIA,DATOS!$A4787,nCURSO,DATOS!$D4787,nESPEC,DATOS!$E4787,nASIG,DATOS!$I4787,nEVAL,"EX")=0),0))))</f>
      </c>
      <c r="H4787">
        <f>IF(DATOS!$G4787&lt;&gt;"EX",0,--(COUNTIFS(nNIA,DATOS!$A4787,nCURSO,DATOS!$D4787,nESPEC,DATOS!$E4787,nASIG,DATOS!$I4787,nEVAL,"OR")=0))</f>
      </c>
      <c r="I4787">
        <f>IF(DATOS!$I4787="","",IFERROR(VLOOKUP(DATOS!$I4787,CONFIG_ASIGNATURAS!$B$2:$J$91,9,FALSE()),""))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IF(DATOS!$A4788="",0,IF(CONFIG_METADATA!$B$4&lt;&gt;"OR+EX",--(DATOS!$G4788=CONFIG_METADATA!$B$4),IF(DATOS!$G4788="EX",1,IF(DATOS!$G4788="OR",--(COUNTIFS(nNIA,DATOS!$A4788,nCURSO,DATOS!$D4788,nESPEC,DATOS!$E4788,nASIG,DATOS!$I4788,nEVAL,"EX")=0),0))))</f>
      </c>
      <c r="H4788">
        <f>IF(DATOS!$G4788&lt;&gt;"EX",0,--(COUNTIFS(nNIA,DATOS!$A4788,nCURSO,DATOS!$D4788,nESPEC,DATOS!$E4788,nASIG,DATOS!$I4788,nEVAL,"OR")=0))</f>
      </c>
      <c r="I4788">
        <f>IF(DATOS!$I4788="","",IFERROR(VLOOKUP(DATOS!$I4788,CONFIG_ASIGNATURAS!$B$2:$J$91,9,FALSE()),""))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IF(DATOS!$A4789="",0,IF(CONFIG_METADATA!$B$4&lt;&gt;"OR+EX",--(DATOS!$G4789=CONFIG_METADATA!$B$4),IF(DATOS!$G4789="EX",1,IF(DATOS!$G4789="OR",--(COUNTIFS(nNIA,DATOS!$A4789,nCURSO,DATOS!$D4789,nESPEC,DATOS!$E4789,nASIG,DATOS!$I4789,nEVAL,"EX")=0),0))))</f>
      </c>
      <c r="H4789">
        <f>IF(DATOS!$G4789&lt;&gt;"EX",0,--(COUNTIFS(nNIA,DATOS!$A4789,nCURSO,DATOS!$D4789,nESPEC,DATOS!$E4789,nASIG,DATOS!$I4789,nEVAL,"OR")=0))</f>
      </c>
      <c r="I4789">
        <f>IF(DATOS!$I4789="","",IFERROR(VLOOKUP(DATOS!$I4789,CONFIG_ASIGNATURAS!$B$2:$J$91,9,FALSE()),""))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IF(DATOS!$A4790="",0,IF(CONFIG_METADATA!$B$4&lt;&gt;"OR+EX",--(DATOS!$G4790=CONFIG_METADATA!$B$4),IF(DATOS!$G4790="EX",1,IF(DATOS!$G4790="OR",--(COUNTIFS(nNIA,DATOS!$A4790,nCURSO,DATOS!$D4790,nESPEC,DATOS!$E4790,nASIG,DATOS!$I4790,nEVAL,"EX")=0),0))))</f>
      </c>
      <c r="H4790">
        <f>IF(DATOS!$G4790&lt;&gt;"EX",0,--(COUNTIFS(nNIA,DATOS!$A4790,nCURSO,DATOS!$D4790,nESPEC,DATOS!$E4790,nASIG,DATOS!$I4790,nEVAL,"OR")=0))</f>
      </c>
      <c r="I4790">
        <f>IF(DATOS!$I4790="","",IFERROR(VLOOKUP(DATOS!$I4790,CONFIG_ASIGNATURAS!$B$2:$J$91,9,FALSE()),""))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IF(DATOS!$A4791="",0,IF(CONFIG_METADATA!$B$4&lt;&gt;"OR+EX",--(DATOS!$G4791=CONFIG_METADATA!$B$4),IF(DATOS!$G4791="EX",1,IF(DATOS!$G4791="OR",--(COUNTIFS(nNIA,DATOS!$A4791,nCURSO,DATOS!$D4791,nESPEC,DATOS!$E4791,nASIG,DATOS!$I4791,nEVAL,"EX")=0),0))))</f>
      </c>
      <c r="H4791">
        <f>IF(DATOS!$G4791&lt;&gt;"EX",0,--(COUNTIFS(nNIA,DATOS!$A4791,nCURSO,DATOS!$D4791,nESPEC,DATOS!$E4791,nASIG,DATOS!$I4791,nEVAL,"OR")=0))</f>
      </c>
      <c r="I4791">
        <f>IF(DATOS!$I4791="","",IFERROR(VLOOKUP(DATOS!$I4791,CONFIG_ASIGNATURAS!$B$2:$J$91,9,FALSE()),""))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IF(DATOS!$A4792="",0,IF(CONFIG_METADATA!$B$4&lt;&gt;"OR+EX",--(DATOS!$G4792=CONFIG_METADATA!$B$4),IF(DATOS!$G4792="EX",1,IF(DATOS!$G4792="OR",--(COUNTIFS(nNIA,DATOS!$A4792,nCURSO,DATOS!$D4792,nESPEC,DATOS!$E4792,nASIG,DATOS!$I4792,nEVAL,"EX")=0),0))))</f>
      </c>
      <c r="H4792">
        <f>IF(DATOS!$G4792&lt;&gt;"EX",0,--(COUNTIFS(nNIA,DATOS!$A4792,nCURSO,DATOS!$D4792,nESPEC,DATOS!$E4792,nASIG,DATOS!$I4792,nEVAL,"OR")=0))</f>
      </c>
      <c r="I4792">
        <f>IF(DATOS!$I4792="","",IFERROR(VLOOKUP(DATOS!$I4792,CONFIG_ASIGNATURAS!$B$2:$J$91,9,FALSE()),""))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IF(DATOS!$A4793="",0,IF(CONFIG_METADATA!$B$4&lt;&gt;"OR+EX",--(DATOS!$G4793=CONFIG_METADATA!$B$4),IF(DATOS!$G4793="EX",1,IF(DATOS!$G4793="OR",--(COUNTIFS(nNIA,DATOS!$A4793,nCURSO,DATOS!$D4793,nESPEC,DATOS!$E4793,nASIG,DATOS!$I4793,nEVAL,"EX")=0),0))))</f>
      </c>
      <c r="H4793">
        <f>IF(DATOS!$G4793&lt;&gt;"EX",0,--(COUNTIFS(nNIA,DATOS!$A4793,nCURSO,DATOS!$D4793,nESPEC,DATOS!$E4793,nASIG,DATOS!$I4793,nEVAL,"OR")=0))</f>
      </c>
      <c r="I4793">
        <f>IF(DATOS!$I4793="","",IFERROR(VLOOKUP(DATOS!$I4793,CONFIG_ASIGNATURAS!$B$2:$J$91,9,FALSE()),""))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IF(DATOS!$A4794="",0,IF(CONFIG_METADATA!$B$4&lt;&gt;"OR+EX",--(DATOS!$G4794=CONFIG_METADATA!$B$4),IF(DATOS!$G4794="EX",1,IF(DATOS!$G4794="OR",--(COUNTIFS(nNIA,DATOS!$A4794,nCURSO,DATOS!$D4794,nESPEC,DATOS!$E4794,nASIG,DATOS!$I4794,nEVAL,"EX")=0),0))))</f>
      </c>
      <c r="H4794">
        <f>IF(DATOS!$G4794&lt;&gt;"EX",0,--(COUNTIFS(nNIA,DATOS!$A4794,nCURSO,DATOS!$D4794,nESPEC,DATOS!$E4794,nASIG,DATOS!$I4794,nEVAL,"OR")=0))</f>
      </c>
      <c r="I4794">
        <f>IF(DATOS!$I4794="","",IFERROR(VLOOKUP(DATOS!$I4794,CONFIG_ASIGNATURAS!$B$2:$J$91,9,FALSE()),""))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IF(DATOS!$A4795="",0,IF(CONFIG_METADATA!$B$4&lt;&gt;"OR+EX",--(DATOS!$G4795=CONFIG_METADATA!$B$4),IF(DATOS!$G4795="EX",1,IF(DATOS!$G4795="OR",--(COUNTIFS(nNIA,DATOS!$A4795,nCURSO,DATOS!$D4795,nESPEC,DATOS!$E4795,nASIG,DATOS!$I4795,nEVAL,"EX")=0),0))))</f>
      </c>
      <c r="H4795">
        <f>IF(DATOS!$G4795&lt;&gt;"EX",0,--(COUNTIFS(nNIA,DATOS!$A4795,nCURSO,DATOS!$D4795,nESPEC,DATOS!$E4795,nASIG,DATOS!$I4795,nEVAL,"OR")=0))</f>
      </c>
      <c r="I4795">
        <f>IF(DATOS!$I4795="","",IFERROR(VLOOKUP(DATOS!$I4795,CONFIG_ASIGNATURAS!$B$2:$J$91,9,FALSE()),""))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IF(DATOS!$A4796="",0,IF(CONFIG_METADATA!$B$4&lt;&gt;"OR+EX",--(DATOS!$G4796=CONFIG_METADATA!$B$4),IF(DATOS!$G4796="EX",1,IF(DATOS!$G4796="OR",--(COUNTIFS(nNIA,DATOS!$A4796,nCURSO,DATOS!$D4796,nESPEC,DATOS!$E4796,nASIG,DATOS!$I4796,nEVAL,"EX")=0),0))))</f>
      </c>
      <c r="H4796">
        <f>IF(DATOS!$G4796&lt;&gt;"EX",0,--(COUNTIFS(nNIA,DATOS!$A4796,nCURSO,DATOS!$D4796,nESPEC,DATOS!$E4796,nASIG,DATOS!$I4796,nEVAL,"OR")=0))</f>
      </c>
      <c r="I4796">
        <f>IF(DATOS!$I4796="","",IFERROR(VLOOKUP(DATOS!$I4796,CONFIG_ASIGNATURAS!$B$2:$J$91,9,FALSE()),""))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IF(DATOS!$A4797="",0,IF(CONFIG_METADATA!$B$4&lt;&gt;"OR+EX",--(DATOS!$G4797=CONFIG_METADATA!$B$4),IF(DATOS!$G4797="EX",1,IF(DATOS!$G4797="OR",--(COUNTIFS(nNIA,DATOS!$A4797,nCURSO,DATOS!$D4797,nESPEC,DATOS!$E4797,nASIG,DATOS!$I4797,nEVAL,"EX")=0),0))))</f>
      </c>
      <c r="H4797">
        <f>IF(DATOS!$G4797&lt;&gt;"EX",0,--(COUNTIFS(nNIA,DATOS!$A4797,nCURSO,DATOS!$D4797,nESPEC,DATOS!$E4797,nASIG,DATOS!$I4797,nEVAL,"OR")=0))</f>
      </c>
      <c r="I4797">
        <f>IF(DATOS!$I4797="","",IFERROR(VLOOKUP(DATOS!$I4797,CONFIG_ASIGNATURAS!$B$2:$J$91,9,FALSE()),""))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IF(DATOS!$A4798="",0,IF(CONFIG_METADATA!$B$4&lt;&gt;"OR+EX",--(DATOS!$G4798=CONFIG_METADATA!$B$4),IF(DATOS!$G4798="EX",1,IF(DATOS!$G4798="OR",--(COUNTIFS(nNIA,DATOS!$A4798,nCURSO,DATOS!$D4798,nESPEC,DATOS!$E4798,nASIG,DATOS!$I4798,nEVAL,"EX")=0),0))))</f>
      </c>
      <c r="H4798">
        <f>IF(DATOS!$G4798&lt;&gt;"EX",0,--(COUNTIFS(nNIA,DATOS!$A4798,nCURSO,DATOS!$D4798,nESPEC,DATOS!$E4798,nASIG,DATOS!$I4798,nEVAL,"OR")=0))</f>
      </c>
      <c r="I4798">
        <f>IF(DATOS!$I4798="","",IFERROR(VLOOKUP(DATOS!$I4798,CONFIG_ASIGNATURAS!$B$2:$J$91,9,FALSE()),""))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IF(DATOS!$A4799="",0,IF(CONFIG_METADATA!$B$4&lt;&gt;"OR+EX",--(DATOS!$G4799=CONFIG_METADATA!$B$4),IF(DATOS!$G4799="EX",1,IF(DATOS!$G4799="OR",--(COUNTIFS(nNIA,DATOS!$A4799,nCURSO,DATOS!$D4799,nESPEC,DATOS!$E4799,nASIG,DATOS!$I4799,nEVAL,"EX")=0),0))))</f>
      </c>
      <c r="H4799">
        <f>IF(DATOS!$G4799&lt;&gt;"EX",0,--(COUNTIFS(nNIA,DATOS!$A4799,nCURSO,DATOS!$D4799,nESPEC,DATOS!$E4799,nASIG,DATOS!$I4799,nEVAL,"OR")=0))</f>
      </c>
      <c r="I4799">
        <f>IF(DATOS!$I4799="","",IFERROR(VLOOKUP(DATOS!$I4799,CONFIG_ASIGNATURAS!$B$2:$J$91,9,FALSE()),""))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IF(DATOS!$A4800="",0,IF(CONFIG_METADATA!$B$4&lt;&gt;"OR+EX",--(DATOS!$G4800=CONFIG_METADATA!$B$4),IF(DATOS!$G4800="EX",1,IF(DATOS!$G4800="OR",--(COUNTIFS(nNIA,DATOS!$A4800,nCURSO,DATOS!$D4800,nESPEC,DATOS!$E4800,nASIG,DATOS!$I4800,nEVAL,"EX")=0),0))))</f>
      </c>
      <c r="H4800">
        <f>IF(DATOS!$G4800&lt;&gt;"EX",0,--(COUNTIFS(nNIA,DATOS!$A4800,nCURSO,DATOS!$D4800,nESPEC,DATOS!$E4800,nASIG,DATOS!$I4800,nEVAL,"OR")=0))</f>
      </c>
      <c r="I4800">
        <f>IF(DATOS!$I4800="","",IFERROR(VLOOKUP(DATOS!$I4800,CONFIG_ASIGNATURAS!$B$2:$J$91,9,FALSE()),""))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IF(DATOS!$A4801="",0,IF(CONFIG_METADATA!$B$4&lt;&gt;"OR+EX",--(DATOS!$G4801=CONFIG_METADATA!$B$4),IF(DATOS!$G4801="EX",1,IF(DATOS!$G4801="OR",--(COUNTIFS(nNIA,DATOS!$A4801,nCURSO,DATOS!$D4801,nESPEC,DATOS!$E4801,nASIG,DATOS!$I4801,nEVAL,"EX")=0),0))))</f>
      </c>
      <c r="H4801">
        <f>IF(DATOS!$G4801&lt;&gt;"EX",0,--(COUNTIFS(nNIA,DATOS!$A4801,nCURSO,DATOS!$D4801,nESPEC,DATOS!$E4801,nASIG,DATOS!$I4801,nEVAL,"OR")=0))</f>
      </c>
      <c r="I4801">
        <f>IF(DATOS!$I4801="","",IFERROR(VLOOKUP(DATOS!$I4801,CONFIG_ASIGNATURAS!$B$2:$J$91,9,FALSE()),""))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IF(DATOS!$A4802="",0,IF(CONFIG_METADATA!$B$4&lt;&gt;"OR+EX",--(DATOS!$G4802=CONFIG_METADATA!$B$4),IF(DATOS!$G4802="EX",1,IF(DATOS!$G4802="OR",--(COUNTIFS(nNIA,DATOS!$A4802,nCURSO,DATOS!$D4802,nESPEC,DATOS!$E4802,nASIG,DATOS!$I4802,nEVAL,"EX")=0),0))))</f>
      </c>
      <c r="H4802">
        <f>IF(DATOS!$G4802&lt;&gt;"EX",0,--(COUNTIFS(nNIA,DATOS!$A4802,nCURSO,DATOS!$D4802,nESPEC,DATOS!$E4802,nASIG,DATOS!$I4802,nEVAL,"OR")=0))</f>
      </c>
      <c r="I4802">
        <f>IF(DATOS!$I4802="","",IFERROR(VLOOKUP(DATOS!$I4802,CONFIG_ASIGNATURAS!$B$2:$J$91,9,FALSE()),""))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IF(DATOS!$A4803="",0,IF(CONFIG_METADATA!$B$4&lt;&gt;"OR+EX",--(DATOS!$G4803=CONFIG_METADATA!$B$4),IF(DATOS!$G4803="EX",1,IF(DATOS!$G4803="OR",--(COUNTIFS(nNIA,DATOS!$A4803,nCURSO,DATOS!$D4803,nESPEC,DATOS!$E4803,nASIG,DATOS!$I4803,nEVAL,"EX")=0),0))))</f>
      </c>
      <c r="H4803">
        <f>IF(DATOS!$G4803&lt;&gt;"EX",0,--(COUNTIFS(nNIA,DATOS!$A4803,nCURSO,DATOS!$D4803,nESPEC,DATOS!$E4803,nASIG,DATOS!$I4803,nEVAL,"OR")=0))</f>
      </c>
      <c r="I4803">
        <f>IF(DATOS!$I4803="","",IFERROR(VLOOKUP(DATOS!$I4803,CONFIG_ASIGNATURAS!$B$2:$J$91,9,FALSE()),""))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IF(DATOS!$A4804="",0,IF(CONFIG_METADATA!$B$4&lt;&gt;"OR+EX",--(DATOS!$G4804=CONFIG_METADATA!$B$4),IF(DATOS!$G4804="EX",1,IF(DATOS!$G4804="OR",--(COUNTIFS(nNIA,DATOS!$A4804,nCURSO,DATOS!$D4804,nESPEC,DATOS!$E4804,nASIG,DATOS!$I4804,nEVAL,"EX")=0),0))))</f>
      </c>
      <c r="H4804">
        <f>IF(DATOS!$G4804&lt;&gt;"EX",0,--(COUNTIFS(nNIA,DATOS!$A4804,nCURSO,DATOS!$D4804,nESPEC,DATOS!$E4804,nASIG,DATOS!$I4804,nEVAL,"OR")=0))</f>
      </c>
      <c r="I4804">
        <f>IF(DATOS!$I4804="","",IFERROR(VLOOKUP(DATOS!$I4804,CONFIG_ASIGNATURAS!$B$2:$J$91,9,FALSE()),""))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IF(DATOS!$A4805="",0,IF(CONFIG_METADATA!$B$4&lt;&gt;"OR+EX",--(DATOS!$G4805=CONFIG_METADATA!$B$4),IF(DATOS!$G4805="EX",1,IF(DATOS!$G4805="OR",--(COUNTIFS(nNIA,DATOS!$A4805,nCURSO,DATOS!$D4805,nESPEC,DATOS!$E4805,nASIG,DATOS!$I4805,nEVAL,"EX")=0),0))))</f>
      </c>
      <c r="H4805">
        <f>IF(DATOS!$G4805&lt;&gt;"EX",0,--(COUNTIFS(nNIA,DATOS!$A4805,nCURSO,DATOS!$D4805,nESPEC,DATOS!$E4805,nASIG,DATOS!$I4805,nEVAL,"OR")=0))</f>
      </c>
      <c r="I4805">
        <f>IF(DATOS!$I4805="","",IFERROR(VLOOKUP(DATOS!$I4805,CONFIG_ASIGNATURAS!$B$2:$J$91,9,FALSE()),""))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IF(DATOS!$A4806="",0,IF(CONFIG_METADATA!$B$4&lt;&gt;"OR+EX",--(DATOS!$G4806=CONFIG_METADATA!$B$4),IF(DATOS!$G4806="EX",1,IF(DATOS!$G4806="OR",--(COUNTIFS(nNIA,DATOS!$A4806,nCURSO,DATOS!$D4806,nESPEC,DATOS!$E4806,nASIG,DATOS!$I4806,nEVAL,"EX")=0),0))))</f>
      </c>
      <c r="H4806">
        <f>IF(DATOS!$G4806&lt;&gt;"EX",0,--(COUNTIFS(nNIA,DATOS!$A4806,nCURSO,DATOS!$D4806,nESPEC,DATOS!$E4806,nASIG,DATOS!$I4806,nEVAL,"OR")=0))</f>
      </c>
      <c r="I4806">
        <f>IF(DATOS!$I4806="","",IFERROR(VLOOKUP(DATOS!$I4806,CONFIG_ASIGNATURAS!$B$2:$J$91,9,FALSE()),""))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IF(DATOS!$A4807="",0,IF(CONFIG_METADATA!$B$4&lt;&gt;"OR+EX",--(DATOS!$G4807=CONFIG_METADATA!$B$4),IF(DATOS!$G4807="EX",1,IF(DATOS!$G4807="OR",--(COUNTIFS(nNIA,DATOS!$A4807,nCURSO,DATOS!$D4807,nESPEC,DATOS!$E4807,nASIG,DATOS!$I4807,nEVAL,"EX")=0),0))))</f>
      </c>
      <c r="H4807">
        <f>IF(DATOS!$G4807&lt;&gt;"EX",0,--(COUNTIFS(nNIA,DATOS!$A4807,nCURSO,DATOS!$D4807,nESPEC,DATOS!$E4807,nASIG,DATOS!$I4807,nEVAL,"OR")=0))</f>
      </c>
      <c r="I4807">
        <f>IF(DATOS!$I4807="","",IFERROR(VLOOKUP(DATOS!$I4807,CONFIG_ASIGNATURAS!$B$2:$J$91,9,FALSE()),""))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IF(DATOS!$A4808="",0,IF(CONFIG_METADATA!$B$4&lt;&gt;"OR+EX",--(DATOS!$G4808=CONFIG_METADATA!$B$4),IF(DATOS!$G4808="EX",1,IF(DATOS!$G4808="OR",--(COUNTIFS(nNIA,DATOS!$A4808,nCURSO,DATOS!$D4808,nESPEC,DATOS!$E4808,nASIG,DATOS!$I4808,nEVAL,"EX")=0),0))))</f>
      </c>
      <c r="H4808">
        <f>IF(DATOS!$G4808&lt;&gt;"EX",0,--(COUNTIFS(nNIA,DATOS!$A4808,nCURSO,DATOS!$D4808,nESPEC,DATOS!$E4808,nASIG,DATOS!$I4808,nEVAL,"OR")=0))</f>
      </c>
      <c r="I4808">
        <f>IF(DATOS!$I4808="","",IFERROR(VLOOKUP(DATOS!$I4808,CONFIG_ASIGNATURAS!$B$2:$J$91,9,FALSE()),""))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IF(DATOS!$A4809="",0,IF(CONFIG_METADATA!$B$4&lt;&gt;"OR+EX",--(DATOS!$G4809=CONFIG_METADATA!$B$4),IF(DATOS!$G4809="EX",1,IF(DATOS!$G4809="OR",--(COUNTIFS(nNIA,DATOS!$A4809,nCURSO,DATOS!$D4809,nESPEC,DATOS!$E4809,nASIG,DATOS!$I4809,nEVAL,"EX")=0),0))))</f>
      </c>
      <c r="H4809">
        <f>IF(DATOS!$G4809&lt;&gt;"EX",0,--(COUNTIFS(nNIA,DATOS!$A4809,nCURSO,DATOS!$D4809,nESPEC,DATOS!$E4809,nASIG,DATOS!$I4809,nEVAL,"OR")=0))</f>
      </c>
      <c r="I4809">
        <f>IF(DATOS!$I4809="","",IFERROR(VLOOKUP(DATOS!$I4809,CONFIG_ASIGNATURAS!$B$2:$J$91,9,FALSE()),""))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IF(DATOS!$A4810="",0,IF(CONFIG_METADATA!$B$4&lt;&gt;"OR+EX",--(DATOS!$G4810=CONFIG_METADATA!$B$4),IF(DATOS!$G4810="EX",1,IF(DATOS!$G4810="OR",--(COUNTIFS(nNIA,DATOS!$A4810,nCURSO,DATOS!$D4810,nESPEC,DATOS!$E4810,nASIG,DATOS!$I4810,nEVAL,"EX")=0),0))))</f>
      </c>
      <c r="H4810">
        <f>IF(DATOS!$G4810&lt;&gt;"EX",0,--(COUNTIFS(nNIA,DATOS!$A4810,nCURSO,DATOS!$D4810,nESPEC,DATOS!$E4810,nASIG,DATOS!$I4810,nEVAL,"OR")=0))</f>
      </c>
      <c r="I4810">
        <f>IF(DATOS!$I4810="","",IFERROR(VLOOKUP(DATOS!$I4810,CONFIG_ASIGNATURAS!$B$2:$J$91,9,FALSE()),""))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IF(DATOS!$A4811="",0,IF(CONFIG_METADATA!$B$4&lt;&gt;"OR+EX",--(DATOS!$G4811=CONFIG_METADATA!$B$4),IF(DATOS!$G4811="EX",1,IF(DATOS!$G4811="OR",--(COUNTIFS(nNIA,DATOS!$A4811,nCURSO,DATOS!$D4811,nESPEC,DATOS!$E4811,nASIG,DATOS!$I4811,nEVAL,"EX")=0),0))))</f>
      </c>
      <c r="H4811">
        <f>IF(DATOS!$G4811&lt;&gt;"EX",0,--(COUNTIFS(nNIA,DATOS!$A4811,nCURSO,DATOS!$D4811,nESPEC,DATOS!$E4811,nASIG,DATOS!$I4811,nEVAL,"OR")=0))</f>
      </c>
      <c r="I4811">
        <f>IF(DATOS!$I4811="","",IFERROR(VLOOKUP(DATOS!$I4811,CONFIG_ASIGNATURAS!$B$2:$J$91,9,FALSE()),""))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IF(DATOS!$A4812="",0,IF(CONFIG_METADATA!$B$4&lt;&gt;"OR+EX",--(DATOS!$G4812=CONFIG_METADATA!$B$4),IF(DATOS!$G4812="EX",1,IF(DATOS!$G4812="OR",--(COUNTIFS(nNIA,DATOS!$A4812,nCURSO,DATOS!$D4812,nESPEC,DATOS!$E4812,nASIG,DATOS!$I4812,nEVAL,"EX")=0),0))))</f>
      </c>
      <c r="H4812">
        <f>IF(DATOS!$G4812&lt;&gt;"EX",0,--(COUNTIFS(nNIA,DATOS!$A4812,nCURSO,DATOS!$D4812,nESPEC,DATOS!$E4812,nASIG,DATOS!$I4812,nEVAL,"OR")=0))</f>
      </c>
      <c r="I4812">
        <f>IF(DATOS!$I4812="","",IFERROR(VLOOKUP(DATOS!$I4812,CONFIG_ASIGNATURAS!$B$2:$J$91,9,FALSE()),""))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IF(DATOS!$A4813="",0,IF(CONFIG_METADATA!$B$4&lt;&gt;"OR+EX",--(DATOS!$G4813=CONFIG_METADATA!$B$4),IF(DATOS!$G4813="EX",1,IF(DATOS!$G4813="OR",--(COUNTIFS(nNIA,DATOS!$A4813,nCURSO,DATOS!$D4813,nESPEC,DATOS!$E4813,nASIG,DATOS!$I4813,nEVAL,"EX")=0),0))))</f>
      </c>
      <c r="H4813">
        <f>IF(DATOS!$G4813&lt;&gt;"EX",0,--(COUNTIFS(nNIA,DATOS!$A4813,nCURSO,DATOS!$D4813,nESPEC,DATOS!$E4813,nASIG,DATOS!$I4813,nEVAL,"OR")=0))</f>
      </c>
      <c r="I4813">
        <f>IF(DATOS!$I4813="","",IFERROR(VLOOKUP(DATOS!$I4813,CONFIG_ASIGNATURAS!$B$2:$J$91,9,FALSE()),""))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IF(DATOS!$A4814="",0,IF(CONFIG_METADATA!$B$4&lt;&gt;"OR+EX",--(DATOS!$G4814=CONFIG_METADATA!$B$4),IF(DATOS!$G4814="EX",1,IF(DATOS!$G4814="OR",--(COUNTIFS(nNIA,DATOS!$A4814,nCURSO,DATOS!$D4814,nESPEC,DATOS!$E4814,nASIG,DATOS!$I4814,nEVAL,"EX")=0),0))))</f>
      </c>
      <c r="H4814">
        <f>IF(DATOS!$G4814&lt;&gt;"EX",0,--(COUNTIFS(nNIA,DATOS!$A4814,nCURSO,DATOS!$D4814,nESPEC,DATOS!$E4814,nASIG,DATOS!$I4814,nEVAL,"OR")=0))</f>
      </c>
      <c r="I4814">
        <f>IF(DATOS!$I4814="","",IFERROR(VLOOKUP(DATOS!$I4814,CONFIG_ASIGNATURAS!$B$2:$J$91,9,FALSE()),""))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IF(DATOS!$A4815="",0,IF(CONFIG_METADATA!$B$4&lt;&gt;"OR+EX",--(DATOS!$G4815=CONFIG_METADATA!$B$4),IF(DATOS!$G4815="EX",1,IF(DATOS!$G4815="OR",--(COUNTIFS(nNIA,DATOS!$A4815,nCURSO,DATOS!$D4815,nESPEC,DATOS!$E4815,nASIG,DATOS!$I4815,nEVAL,"EX")=0),0))))</f>
      </c>
      <c r="H4815">
        <f>IF(DATOS!$G4815&lt;&gt;"EX",0,--(COUNTIFS(nNIA,DATOS!$A4815,nCURSO,DATOS!$D4815,nESPEC,DATOS!$E4815,nASIG,DATOS!$I4815,nEVAL,"OR")=0))</f>
      </c>
      <c r="I4815">
        <f>IF(DATOS!$I4815="","",IFERROR(VLOOKUP(DATOS!$I4815,CONFIG_ASIGNATURAS!$B$2:$J$91,9,FALSE()),""))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IF(DATOS!$A4816="",0,IF(CONFIG_METADATA!$B$4&lt;&gt;"OR+EX",--(DATOS!$G4816=CONFIG_METADATA!$B$4),IF(DATOS!$G4816="EX",1,IF(DATOS!$G4816="OR",--(COUNTIFS(nNIA,DATOS!$A4816,nCURSO,DATOS!$D4816,nESPEC,DATOS!$E4816,nASIG,DATOS!$I4816,nEVAL,"EX")=0),0))))</f>
      </c>
      <c r="H4816">
        <f>IF(DATOS!$G4816&lt;&gt;"EX",0,--(COUNTIFS(nNIA,DATOS!$A4816,nCURSO,DATOS!$D4816,nESPEC,DATOS!$E4816,nASIG,DATOS!$I4816,nEVAL,"OR")=0))</f>
      </c>
      <c r="I4816">
        <f>IF(DATOS!$I4816="","",IFERROR(VLOOKUP(DATOS!$I4816,CONFIG_ASIGNATURAS!$B$2:$J$91,9,FALSE()),""))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IF(DATOS!$A4817="",0,IF(CONFIG_METADATA!$B$4&lt;&gt;"OR+EX",--(DATOS!$G4817=CONFIG_METADATA!$B$4),IF(DATOS!$G4817="EX",1,IF(DATOS!$G4817="OR",--(COUNTIFS(nNIA,DATOS!$A4817,nCURSO,DATOS!$D4817,nESPEC,DATOS!$E4817,nASIG,DATOS!$I4817,nEVAL,"EX")=0),0))))</f>
      </c>
      <c r="H4817">
        <f>IF(DATOS!$G4817&lt;&gt;"EX",0,--(COUNTIFS(nNIA,DATOS!$A4817,nCURSO,DATOS!$D4817,nESPEC,DATOS!$E4817,nASIG,DATOS!$I4817,nEVAL,"OR")=0))</f>
      </c>
      <c r="I4817">
        <f>IF(DATOS!$I4817="","",IFERROR(VLOOKUP(DATOS!$I4817,CONFIG_ASIGNATURAS!$B$2:$J$91,9,FALSE()),""))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IF(DATOS!$A4818="",0,IF(CONFIG_METADATA!$B$4&lt;&gt;"OR+EX",--(DATOS!$G4818=CONFIG_METADATA!$B$4),IF(DATOS!$G4818="EX",1,IF(DATOS!$G4818="OR",--(COUNTIFS(nNIA,DATOS!$A4818,nCURSO,DATOS!$D4818,nESPEC,DATOS!$E4818,nASIG,DATOS!$I4818,nEVAL,"EX")=0),0))))</f>
      </c>
      <c r="H4818">
        <f>IF(DATOS!$G4818&lt;&gt;"EX",0,--(COUNTIFS(nNIA,DATOS!$A4818,nCURSO,DATOS!$D4818,nESPEC,DATOS!$E4818,nASIG,DATOS!$I4818,nEVAL,"OR")=0))</f>
      </c>
      <c r="I4818">
        <f>IF(DATOS!$I4818="","",IFERROR(VLOOKUP(DATOS!$I4818,CONFIG_ASIGNATURAS!$B$2:$J$91,9,FALSE()),""))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IF(DATOS!$A4819="",0,IF(CONFIG_METADATA!$B$4&lt;&gt;"OR+EX",--(DATOS!$G4819=CONFIG_METADATA!$B$4),IF(DATOS!$G4819="EX",1,IF(DATOS!$G4819="OR",--(COUNTIFS(nNIA,DATOS!$A4819,nCURSO,DATOS!$D4819,nESPEC,DATOS!$E4819,nASIG,DATOS!$I4819,nEVAL,"EX")=0),0))))</f>
      </c>
      <c r="H4819">
        <f>IF(DATOS!$G4819&lt;&gt;"EX",0,--(COUNTIFS(nNIA,DATOS!$A4819,nCURSO,DATOS!$D4819,nESPEC,DATOS!$E4819,nASIG,DATOS!$I4819,nEVAL,"OR")=0))</f>
      </c>
      <c r="I4819">
        <f>IF(DATOS!$I4819="","",IFERROR(VLOOKUP(DATOS!$I4819,CONFIG_ASIGNATURAS!$B$2:$J$91,9,FALSE()),""))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IF(DATOS!$A4820="",0,IF(CONFIG_METADATA!$B$4&lt;&gt;"OR+EX",--(DATOS!$G4820=CONFIG_METADATA!$B$4),IF(DATOS!$G4820="EX",1,IF(DATOS!$G4820="OR",--(COUNTIFS(nNIA,DATOS!$A4820,nCURSO,DATOS!$D4820,nESPEC,DATOS!$E4820,nASIG,DATOS!$I4820,nEVAL,"EX")=0),0))))</f>
      </c>
      <c r="H4820">
        <f>IF(DATOS!$G4820&lt;&gt;"EX",0,--(COUNTIFS(nNIA,DATOS!$A4820,nCURSO,DATOS!$D4820,nESPEC,DATOS!$E4820,nASIG,DATOS!$I4820,nEVAL,"OR")=0))</f>
      </c>
      <c r="I4820">
        <f>IF(DATOS!$I4820="","",IFERROR(VLOOKUP(DATOS!$I4820,CONFIG_ASIGNATURAS!$B$2:$J$91,9,FALSE()),""))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IF(DATOS!$A4821="",0,IF(CONFIG_METADATA!$B$4&lt;&gt;"OR+EX",--(DATOS!$G4821=CONFIG_METADATA!$B$4),IF(DATOS!$G4821="EX",1,IF(DATOS!$G4821="OR",--(COUNTIFS(nNIA,DATOS!$A4821,nCURSO,DATOS!$D4821,nESPEC,DATOS!$E4821,nASIG,DATOS!$I4821,nEVAL,"EX")=0),0))))</f>
      </c>
      <c r="H4821">
        <f>IF(DATOS!$G4821&lt;&gt;"EX",0,--(COUNTIFS(nNIA,DATOS!$A4821,nCURSO,DATOS!$D4821,nESPEC,DATOS!$E4821,nASIG,DATOS!$I4821,nEVAL,"OR")=0))</f>
      </c>
      <c r="I4821">
        <f>IF(DATOS!$I4821="","",IFERROR(VLOOKUP(DATOS!$I4821,CONFIG_ASIGNATURAS!$B$2:$J$91,9,FALSE()),""))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IF(DATOS!$A4822="",0,IF(CONFIG_METADATA!$B$4&lt;&gt;"OR+EX",--(DATOS!$G4822=CONFIG_METADATA!$B$4),IF(DATOS!$G4822="EX",1,IF(DATOS!$G4822="OR",--(COUNTIFS(nNIA,DATOS!$A4822,nCURSO,DATOS!$D4822,nESPEC,DATOS!$E4822,nASIG,DATOS!$I4822,nEVAL,"EX")=0),0))))</f>
      </c>
      <c r="H4822">
        <f>IF(DATOS!$G4822&lt;&gt;"EX",0,--(COUNTIFS(nNIA,DATOS!$A4822,nCURSO,DATOS!$D4822,nESPEC,DATOS!$E4822,nASIG,DATOS!$I4822,nEVAL,"OR")=0))</f>
      </c>
      <c r="I4822">
        <f>IF(DATOS!$I4822="","",IFERROR(VLOOKUP(DATOS!$I4822,CONFIG_ASIGNATURAS!$B$2:$J$91,9,FALSE()),""))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IF(DATOS!$A4823="",0,IF(CONFIG_METADATA!$B$4&lt;&gt;"OR+EX",--(DATOS!$G4823=CONFIG_METADATA!$B$4),IF(DATOS!$G4823="EX",1,IF(DATOS!$G4823="OR",--(COUNTIFS(nNIA,DATOS!$A4823,nCURSO,DATOS!$D4823,nESPEC,DATOS!$E4823,nASIG,DATOS!$I4823,nEVAL,"EX")=0),0))))</f>
      </c>
      <c r="H4823">
        <f>IF(DATOS!$G4823&lt;&gt;"EX",0,--(COUNTIFS(nNIA,DATOS!$A4823,nCURSO,DATOS!$D4823,nESPEC,DATOS!$E4823,nASIG,DATOS!$I4823,nEVAL,"OR")=0))</f>
      </c>
      <c r="I4823">
        <f>IF(DATOS!$I4823="","",IFERROR(VLOOKUP(DATOS!$I4823,CONFIG_ASIGNATURAS!$B$2:$J$91,9,FALSE()),""))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IF(DATOS!$A4824="",0,IF(CONFIG_METADATA!$B$4&lt;&gt;"OR+EX",--(DATOS!$G4824=CONFIG_METADATA!$B$4),IF(DATOS!$G4824="EX",1,IF(DATOS!$G4824="OR",--(COUNTIFS(nNIA,DATOS!$A4824,nCURSO,DATOS!$D4824,nESPEC,DATOS!$E4824,nASIG,DATOS!$I4824,nEVAL,"EX")=0),0))))</f>
      </c>
      <c r="H4824">
        <f>IF(DATOS!$G4824&lt;&gt;"EX",0,--(COUNTIFS(nNIA,DATOS!$A4824,nCURSO,DATOS!$D4824,nESPEC,DATOS!$E4824,nASIG,DATOS!$I4824,nEVAL,"OR")=0))</f>
      </c>
      <c r="I4824">
        <f>IF(DATOS!$I4824="","",IFERROR(VLOOKUP(DATOS!$I4824,CONFIG_ASIGNATURAS!$B$2:$J$91,9,FALSE()),""))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IF(DATOS!$A4825="",0,IF(CONFIG_METADATA!$B$4&lt;&gt;"OR+EX",--(DATOS!$G4825=CONFIG_METADATA!$B$4),IF(DATOS!$G4825="EX",1,IF(DATOS!$G4825="OR",--(COUNTIFS(nNIA,DATOS!$A4825,nCURSO,DATOS!$D4825,nESPEC,DATOS!$E4825,nASIG,DATOS!$I4825,nEVAL,"EX")=0),0))))</f>
      </c>
      <c r="H4825">
        <f>IF(DATOS!$G4825&lt;&gt;"EX",0,--(COUNTIFS(nNIA,DATOS!$A4825,nCURSO,DATOS!$D4825,nESPEC,DATOS!$E4825,nASIG,DATOS!$I4825,nEVAL,"OR")=0))</f>
      </c>
      <c r="I4825">
        <f>IF(DATOS!$I4825="","",IFERROR(VLOOKUP(DATOS!$I4825,CONFIG_ASIGNATURAS!$B$2:$J$91,9,FALSE()),""))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IF(DATOS!$A4826="",0,IF(CONFIG_METADATA!$B$4&lt;&gt;"OR+EX",--(DATOS!$G4826=CONFIG_METADATA!$B$4),IF(DATOS!$G4826="EX",1,IF(DATOS!$G4826="OR",--(COUNTIFS(nNIA,DATOS!$A4826,nCURSO,DATOS!$D4826,nESPEC,DATOS!$E4826,nASIG,DATOS!$I4826,nEVAL,"EX")=0),0))))</f>
      </c>
      <c r="H4826">
        <f>IF(DATOS!$G4826&lt;&gt;"EX",0,--(COUNTIFS(nNIA,DATOS!$A4826,nCURSO,DATOS!$D4826,nESPEC,DATOS!$E4826,nASIG,DATOS!$I4826,nEVAL,"OR")=0))</f>
      </c>
      <c r="I4826">
        <f>IF(DATOS!$I4826="","",IFERROR(VLOOKUP(DATOS!$I4826,CONFIG_ASIGNATURAS!$B$2:$J$91,9,FALSE()),""))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IF(DATOS!$A4827="",0,IF(CONFIG_METADATA!$B$4&lt;&gt;"OR+EX",--(DATOS!$G4827=CONFIG_METADATA!$B$4),IF(DATOS!$G4827="EX",1,IF(DATOS!$G4827="OR",--(COUNTIFS(nNIA,DATOS!$A4827,nCURSO,DATOS!$D4827,nESPEC,DATOS!$E4827,nASIG,DATOS!$I4827,nEVAL,"EX")=0),0))))</f>
      </c>
      <c r="H4827">
        <f>IF(DATOS!$G4827&lt;&gt;"EX",0,--(COUNTIFS(nNIA,DATOS!$A4827,nCURSO,DATOS!$D4827,nESPEC,DATOS!$E4827,nASIG,DATOS!$I4827,nEVAL,"OR")=0))</f>
      </c>
      <c r="I4827">
        <f>IF(DATOS!$I4827="","",IFERROR(VLOOKUP(DATOS!$I4827,CONFIG_ASIGNATURAS!$B$2:$J$91,9,FALSE()),""))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IF(DATOS!$A4828="",0,IF(CONFIG_METADATA!$B$4&lt;&gt;"OR+EX",--(DATOS!$G4828=CONFIG_METADATA!$B$4),IF(DATOS!$G4828="EX",1,IF(DATOS!$G4828="OR",--(COUNTIFS(nNIA,DATOS!$A4828,nCURSO,DATOS!$D4828,nESPEC,DATOS!$E4828,nASIG,DATOS!$I4828,nEVAL,"EX")=0),0))))</f>
      </c>
      <c r="H4828">
        <f>IF(DATOS!$G4828&lt;&gt;"EX",0,--(COUNTIFS(nNIA,DATOS!$A4828,nCURSO,DATOS!$D4828,nESPEC,DATOS!$E4828,nASIG,DATOS!$I4828,nEVAL,"OR")=0))</f>
      </c>
      <c r="I4828">
        <f>IF(DATOS!$I4828="","",IFERROR(VLOOKUP(DATOS!$I4828,CONFIG_ASIGNATURAS!$B$2:$J$91,9,FALSE()),""))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IF(DATOS!$A4829="",0,IF(CONFIG_METADATA!$B$4&lt;&gt;"OR+EX",--(DATOS!$G4829=CONFIG_METADATA!$B$4),IF(DATOS!$G4829="EX",1,IF(DATOS!$G4829="OR",--(COUNTIFS(nNIA,DATOS!$A4829,nCURSO,DATOS!$D4829,nESPEC,DATOS!$E4829,nASIG,DATOS!$I4829,nEVAL,"EX")=0),0))))</f>
      </c>
      <c r="H4829">
        <f>IF(DATOS!$G4829&lt;&gt;"EX",0,--(COUNTIFS(nNIA,DATOS!$A4829,nCURSO,DATOS!$D4829,nESPEC,DATOS!$E4829,nASIG,DATOS!$I4829,nEVAL,"OR")=0))</f>
      </c>
      <c r="I4829">
        <f>IF(DATOS!$I4829="","",IFERROR(VLOOKUP(DATOS!$I4829,CONFIG_ASIGNATURAS!$B$2:$J$91,9,FALSE()),""))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IF(DATOS!$A4830="",0,IF(CONFIG_METADATA!$B$4&lt;&gt;"OR+EX",--(DATOS!$G4830=CONFIG_METADATA!$B$4),IF(DATOS!$G4830="EX",1,IF(DATOS!$G4830="OR",--(COUNTIFS(nNIA,DATOS!$A4830,nCURSO,DATOS!$D4830,nESPEC,DATOS!$E4830,nASIG,DATOS!$I4830,nEVAL,"EX")=0),0))))</f>
      </c>
      <c r="H4830">
        <f>IF(DATOS!$G4830&lt;&gt;"EX",0,--(COUNTIFS(nNIA,DATOS!$A4830,nCURSO,DATOS!$D4830,nESPEC,DATOS!$E4830,nASIG,DATOS!$I4830,nEVAL,"OR")=0))</f>
      </c>
      <c r="I4830">
        <f>IF(DATOS!$I4830="","",IFERROR(VLOOKUP(DATOS!$I4830,CONFIG_ASIGNATURAS!$B$2:$J$91,9,FALSE()),""))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IF(DATOS!$A4831="",0,IF(CONFIG_METADATA!$B$4&lt;&gt;"OR+EX",--(DATOS!$G4831=CONFIG_METADATA!$B$4),IF(DATOS!$G4831="EX",1,IF(DATOS!$G4831="OR",--(COUNTIFS(nNIA,DATOS!$A4831,nCURSO,DATOS!$D4831,nESPEC,DATOS!$E4831,nASIG,DATOS!$I4831,nEVAL,"EX")=0),0))))</f>
      </c>
      <c r="H4831">
        <f>IF(DATOS!$G4831&lt;&gt;"EX",0,--(COUNTIFS(nNIA,DATOS!$A4831,nCURSO,DATOS!$D4831,nESPEC,DATOS!$E4831,nASIG,DATOS!$I4831,nEVAL,"OR")=0))</f>
      </c>
      <c r="I4831">
        <f>IF(DATOS!$I4831="","",IFERROR(VLOOKUP(DATOS!$I4831,CONFIG_ASIGNATURAS!$B$2:$J$91,9,FALSE()),""))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IF(DATOS!$A4832="",0,IF(CONFIG_METADATA!$B$4&lt;&gt;"OR+EX",--(DATOS!$G4832=CONFIG_METADATA!$B$4),IF(DATOS!$G4832="EX",1,IF(DATOS!$G4832="OR",--(COUNTIFS(nNIA,DATOS!$A4832,nCURSO,DATOS!$D4832,nESPEC,DATOS!$E4832,nASIG,DATOS!$I4832,nEVAL,"EX")=0),0))))</f>
      </c>
      <c r="H4832">
        <f>IF(DATOS!$G4832&lt;&gt;"EX",0,--(COUNTIFS(nNIA,DATOS!$A4832,nCURSO,DATOS!$D4832,nESPEC,DATOS!$E4832,nASIG,DATOS!$I4832,nEVAL,"OR")=0))</f>
      </c>
      <c r="I4832">
        <f>IF(DATOS!$I4832="","",IFERROR(VLOOKUP(DATOS!$I4832,CONFIG_ASIGNATURAS!$B$2:$J$91,9,FALSE()),""))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IF(DATOS!$A4833="",0,IF(CONFIG_METADATA!$B$4&lt;&gt;"OR+EX",--(DATOS!$G4833=CONFIG_METADATA!$B$4),IF(DATOS!$G4833="EX",1,IF(DATOS!$G4833="OR",--(COUNTIFS(nNIA,DATOS!$A4833,nCURSO,DATOS!$D4833,nESPEC,DATOS!$E4833,nASIG,DATOS!$I4833,nEVAL,"EX")=0),0))))</f>
      </c>
      <c r="H4833">
        <f>IF(DATOS!$G4833&lt;&gt;"EX",0,--(COUNTIFS(nNIA,DATOS!$A4833,nCURSO,DATOS!$D4833,nESPEC,DATOS!$E4833,nASIG,DATOS!$I4833,nEVAL,"OR")=0))</f>
      </c>
      <c r="I4833">
        <f>IF(DATOS!$I4833="","",IFERROR(VLOOKUP(DATOS!$I4833,CONFIG_ASIGNATURAS!$B$2:$J$91,9,FALSE()),""))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IF(DATOS!$A4834="",0,IF(CONFIG_METADATA!$B$4&lt;&gt;"OR+EX",--(DATOS!$G4834=CONFIG_METADATA!$B$4),IF(DATOS!$G4834="EX",1,IF(DATOS!$G4834="OR",--(COUNTIFS(nNIA,DATOS!$A4834,nCURSO,DATOS!$D4834,nESPEC,DATOS!$E4834,nASIG,DATOS!$I4834,nEVAL,"EX")=0),0))))</f>
      </c>
      <c r="H4834">
        <f>IF(DATOS!$G4834&lt;&gt;"EX",0,--(COUNTIFS(nNIA,DATOS!$A4834,nCURSO,DATOS!$D4834,nESPEC,DATOS!$E4834,nASIG,DATOS!$I4834,nEVAL,"OR")=0))</f>
      </c>
      <c r="I4834">
        <f>IF(DATOS!$I4834="","",IFERROR(VLOOKUP(DATOS!$I4834,CONFIG_ASIGNATURAS!$B$2:$J$91,9,FALSE()),""))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IF(DATOS!$A4835="",0,IF(CONFIG_METADATA!$B$4&lt;&gt;"OR+EX",--(DATOS!$G4835=CONFIG_METADATA!$B$4),IF(DATOS!$G4835="EX",1,IF(DATOS!$G4835="OR",--(COUNTIFS(nNIA,DATOS!$A4835,nCURSO,DATOS!$D4835,nESPEC,DATOS!$E4835,nASIG,DATOS!$I4835,nEVAL,"EX")=0),0))))</f>
      </c>
      <c r="H4835">
        <f>IF(DATOS!$G4835&lt;&gt;"EX",0,--(COUNTIFS(nNIA,DATOS!$A4835,nCURSO,DATOS!$D4835,nESPEC,DATOS!$E4835,nASIG,DATOS!$I4835,nEVAL,"OR")=0))</f>
      </c>
      <c r="I4835">
        <f>IF(DATOS!$I4835="","",IFERROR(VLOOKUP(DATOS!$I4835,CONFIG_ASIGNATURAS!$B$2:$J$91,9,FALSE()),""))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IF(DATOS!$A4836="",0,IF(CONFIG_METADATA!$B$4&lt;&gt;"OR+EX",--(DATOS!$G4836=CONFIG_METADATA!$B$4),IF(DATOS!$G4836="EX",1,IF(DATOS!$G4836="OR",--(COUNTIFS(nNIA,DATOS!$A4836,nCURSO,DATOS!$D4836,nESPEC,DATOS!$E4836,nASIG,DATOS!$I4836,nEVAL,"EX")=0),0))))</f>
      </c>
      <c r="H4836">
        <f>IF(DATOS!$G4836&lt;&gt;"EX",0,--(COUNTIFS(nNIA,DATOS!$A4836,nCURSO,DATOS!$D4836,nESPEC,DATOS!$E4836,nASIG,DATOS!$I4836,nEVAL,"OR")=0))</f>
      </c>
      <c r="I4836">
        <f>IF(DATOS!$I4836="","",IFERROR(VLOOKUP(DATOS!$I4836,CONFIG_ASIGNATURAS!$B$2:$J$91,9,FALSE()),""))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IF(DATOS!$A4837="",0,IF(CONFIG_METADATA!$B$4&lt;&gt;"OR+EX",--(DATOS!$G4837=CONFIG_METADATA!$B$4),IF(DATOS!$G4837="EX",1,IF(DATOS!$G4837="OR",--(COUNTIFS(nNIA,DATOS!$A4837,nCURSO,DATOS!$D4837,nESPEC,DATOS!$E4837,nASIG,DATOS!$I4837,nEVAL,"EX")=0),0))))</f>
      </c>
      <c r="H4837">
        <f>IF(DATOS!$G4837&lt;&gt;"EX",0,--(COUNTIFS(nNIA,DATOS!$A4837,nCURSO,DATOS!$D4837,nESPEC,DATOS!$E4837,nASIG,DATOS!$I4837,nEVAL,"OR")=0))</f>
      </c>
      <c r="I4837">
        <f>IF(DATOS!$I4837="","",IFERROR(VLOOKUP(DATOS!$I4837,CONFIG_ASIGNATURAS!$B$2:$J$91,9,FALSE()),""))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IF(DATOS!$A4838="",0,IF(CONFIG_METADATA!$B$4&lt;&gt;"OR+EX",--(DATOS!$G4838=CONFIG_METADATA!$B$4),IF(DATOS!$G4838="EX",1,IF(DATOS!$G4838="OR",--(COUNTIFS(nNIA,DATOS!$A4838,nCURSO,DATOS!$D4838,nESPEC,DATOS!$E4838,nASIG,DATOS!$I4838,nEVAL,"EX")=0),0))))</f>
      </c>
      <c r="H4838">
        <f>IF(DATOS!$G4838&lt;&gt;"EX",0,--(COUNTIFS(nNIA,DATOS!$A4838,nCURSO,DATOS!$D4838,nESPEC,DATOS!$E4838,nASIG,DATOS!$I4838,nEVAL,"OR")=0))</f>
      </c>
      <c r="I4838">
        <f>IF(DATOS!$I4838="","",IFERROR(VLOOKUP(DATOS!$I4838,CONFIG_ASIGNATURAS!$B$2:$J$91,9,FALSE()),""))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IF(DATOS!$A4839="",0,IF(CONFIG_METADATA!$B$4&lt;&gt;"OR+EX",--(DATOS!$G4839=CONFIG_METADATA!$B$4),IF(DATOS!$G4839="EX",1,IF(DATOS!$G4839="OR",--(COUNTIFS(nNIA,DATOS!$A4839,nCURSO,DATOS!$D4839,nESPEC,DATOS!$E4839,nASIG,DATOS!$I4839,nEVAL,"EX")=0),0))))</f>
      </c>
      <c r="H4839">
        <f>IF(DATOS!$G4839&lt;&gt;"EX",0,--(COUNTIFS(nNIA,DATOS!$A4839,nCURSO,DATOS!$D4839,nESPEC,DATOS!$E4839,nASIG,DATOS!$I4839,nEVAL,"OR")=0))</f>
      </c>
      <c r="I4839">
        <f>IF(DATOS!$I4839="","",IFERROR(VLOOKUP(DATOS!$I4839,CONFIG_ASIGNATURAS!$B$2:$J$91,9,FALSE()),""))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IF(DATOS!$A4840="",0,IF(CONFIG_METADATA!$B$4&lt;&gt;"OR+EX",--(DATOS!$G4840=CONFIG_METADATA!$B$4),IF(DATOS!$G4840="EX",1,IF(DATOS!$G4840="OR",--(COUNTIFS(nNIA,DATOS!$A4840,nCURSO,DATOS!$D4840,nESPEC,DATOS!$E4840,nASIG,DATOS!$I4840,nEVAL,"EX")=0),0))))</f>
      </c>
      <c r="H4840">
        <f>IF(DATOS!$G4840&lt;&gt;"EX",0,--(COUNTIFS(nNIA,DATOS!$A4840,nCURSO,DATOS!$D4840,nESPEC,DATOS!$E4840,nASIG,DATOS!$I4840,nEVAL,"OR")=0))</f>
      </c>
      <c r="I4840">
        <f>IF(DATOS!$I4840="","",IFERROR(VLOOKUP(DATOS!$I4840,CONFIG_ASIGNATURAS!$B$2:$J$91,9,FALSE()),""))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IF(DATOS!$A4841="",0,IF(CONFIG_METADATA!$B$4&lt;&gt;"OR+EX",--(DATOS!$G4841=CONFIG_METADATA!$B$4),IF(DATOS!$G4841="EX",1,IF(DATOS!$G4841="OR",--(COUNTIFS(nNIA,DATOS!$A4841,nCURSO,DATOS!$D4841,nESPEC,DATOS!$E4841,nASIG,DATOS!$I4841,nEVAL,"EX")=0),0))))</f>
      </c>
      <c r="H4841">
        <f>IF(DATOS!$G4841&lt;&gt;"EX",0,--(COUNTIFS(nNIA,DATOS!$A4841,nCURSO,DATOS!$D4841,nESPEC,DATOS!$E4841,nASIG,DATOS!$I4841,nEVAL,"OR")=0))</f>
      </c>
      <c r="I4841">
        <f>IF(DATOS!$I4841="","",IFERROR(VLOOKUP(DATOS!$I4841,CONFIG_ASIGNATURAS!$B$2:$J$91,9,FALSE()),""))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IF(DATOS!$A4842="",0,IF(CONFIG_METADATA!$B$4&lt;&gt;"OR+EX",--(DATOS!$G4842=CONFIG_METADATA!$B$4),IF(DATOS!$G4842="EX",1,IF(DATOS!$G4842="OR",--(COUNTIFS(nNIA,DATOS!$A4842,nCURSO,DATOS!$D4842,nESPEC,DATOS!$E4842,nASIG,DATOS!$I4842,nEVAL,"EX")=0),0))))</f>
      </c>
      <c r="H4842">
        <f>IF(DATOS!$G4842&lt;&gt;"EX",0,--(COUNTIFS(nNIA,DATOS!$A4842,nCURSO,DATOS!$D4842,nESPEC,DATOS!$E4842,nASIG,DATOS!$I4842,nEVAL,"OR")=0))</f>
      </c>
      <c r="I4842">
        <f>IF(DATOS!$I4842="","",IFERROR(VLOOKUP(DATOS!$I4842,CONFIG_ASIGNATURAS!$B$2:$J$91,9,FALSE()),""))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IF(DATOS!$A4843="",0,IF(CONFIG_METADATA!$B$4&lt;&gt;"OR+EX",--(DATOS!$G4843=CONFIG_METADATA!$B$4),IF(DATOS!$G4843="EX",1,IF(DATOS!$G4843="OR",--(COUNTIFS(nNIA,DATOS!$A4843,nCURSO,DATOS!$D4843,nESPEC,DATOS!$E4843,nASIG,DATOS!$I4843,nEVAL,"EX")=0),0))))</f>
      </c>
      <c r="H4843">
        <f>IF(DATOS!$G4843&lt;&gt;"EX",0,--(COUNTIFS(nNIA,DATOS!$A4843,nCURSO,DATOS!$D4843,nESPEC,DATOS!$E4843,nASIG,DATOS!$I4843,nEVAL,"OR")=0))</f>
      </c>
      <c r="I4843">
        <f>IF(DATOS!$I4843="","",IFERROR(VLOOKUP(DATOS!$I4843,CONFIG_ASIGNATURAS!$B$2:$J$91,9,FALSE()),""))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IF(DATOS!$A4844="",0,IF(CONFIG_METADATA!$B$4&lt;&gt;"OR+EX",--(DATOS!$G4844=CONFIG_METADATA!$B$4),IF(DATOS!$G4844="EX",1,IF(DATOS!$G4844="OR",--(COUNTIFS(nNIA,DATOS!$A4844,nCURSO,DATOS!$D4844,nESPEC,DATOS!$E4844,nASIG,DATOS!$I4844,nEVAL,"EX")=0),0))))</f>
      </c>
      <c r="H4844">
        <f>IF(DATOS!$G4844&lt;&gt;"EX",0,--(COUNTIFS(nNIA,DATOS!$A4844,nCURSO,DATOS!$D4844,nESPEC,DATOS!$E4844,nASIG,DATOS!$I4844,nEVAL,"OR")=0))</f>
      </c>
      <c r="I4844">
        <f>IF(DATOS!$I4844="","",IFERROR(VLOOKUP(DATOS!$I4844,CONFIG_ASIGNATURAS!$B$2:$J$91,9,FALSE()),""))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IF(DATOS!$A4845="",0,IF(CONFIG_METADATA!$B$4&lt;&gt;"OR+EX",--(DATOS!$G4845=CONFIG_METADATA!$B$4),IF(DATOS!$G4845="EX",1,IF(DATOS!$G4845="OR",--(COUNTIFS(nNIA,DATOS!$A4845,nCURSO,DATOS!$D4845,nESPEC,DATOS!$E4845,nASIG,DATOS!$I4845,nEVAL,"EX")=0),0))))</f>
      </c>
      <c r="H4845">
        <f>IF(DATOS!$G4845&lt;&gt;"EX",0,--(COUNTIFS(nNIA,DATOS!$A4845,nCURSO,DATOS!$D4845,nESPEC,DATOS!$E4845,nASIG,DATOS!$I4845,nEVAL,"OR")=0))</f>
      </c>
      <c r="I4845">
        <f>IF(DATOS!$I4845="","",IFERROR(VLOOKUP(DATOS!$I4845,CONFIG_ASIGNATURAS!$B$2:$J$91,9,FALSE()),""))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IF(DATOS!$A4846="",0,IF(CONFIG_METADATA!$B$4&lt;&gt;"OR+EX",--(DATOS!$G4846=CONFIG_METADATA!$B$4),IF(DATOS!$G4846="EX",1,IF(DATOS!$G4846="OR",--(COUNTIFS(nNIA,DATOS!$A4846,nCURSO,DATOS!$D4846,nESPEC,DATOS!$E4846,nASIG,DATOS!$I4846,nEVAL,"EX")=0),0))))</f>
      </c>
      <c r="H4846">
        <f>IF(DATOS!$G4846&lt;&gt;"EX",0,--(COUNTIFS(nNIA,DATOS!$A4846,nCURSO,DATOS!$D4846,nESPEC,DATOS!$E4846,nASIG,DATOS!$I4846,nEVAL,"OR")=0))</f>
      </c>
      <c r="I4846">
        <f>IF(DATOS!$I4846="","",IFERROR(VLOOKUP(DATOS!$I4846,CONFIG_ASIGNATURAS!$B$2:$J$91,9,FALSE()),""))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IF(DATOS!$A4847="",0,IF(CONFIG_METADATA!$B$4&lt;&gt;"OR+EX",--(DATOS!$G4847=CONFIG_METADATA!$B$4),IF(DATOS!$G4847="EX",1,IF(DATOS!$G4847="OR",--(COUNTIFS(nNIA,DATOS!$A4847,nCURSO,DATOS!$D4847,nESPEC,DATOS!$E4847,nASIG,DATOS!$I4847,nEVAL,"EX")=0),0))))</f>
      </c>
      <c r="H4847">
        <f>IF(DATOS!$G4847&lt;&gt;"EX",0,--(COUNTIFS(nNIA,DATOS!$A4847,nCURSO,DATOS!$D4847,nESPEC,DATOS!$E4847,nASIG,DATOS!$I4847,nEVAL,"OR")=0))</f>
      </c>
      <c r="I4847">
        <f>IF(DATOS!$I4847="","",IFERROR(VLOOKUP(DATOS!$I4847,CONFIG_ASIGNATURAS!$B$2:$J$91,9,FALSE()),""))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IF(DATOS!$A4848="",0,IF(CONFIG_METADATA!$B$4&lt;&gt;"OR+EX",--(DATOS!$G4848=CONFIG_METADATA!$B$4),IF(DATOS!$G4848="EX",1,IF(DATOS!$G4848="OR",--(COUNTIFS(nNIA,DATOS!$A4848,nCURSO,DATOS!$D4848,nESPEC,DATOS!$E4848,nASIG,DATOS!$I4848,nEVAL,"EX")=0),0))))</f>
      </c>
      <c r="H4848">
        <f>IF(DATOS!$G4848&lt;&gt;"EX",0,--(COUNTIFS(nNIA,DATOS!$A4848,nCURSO,DATOS!$D4848,nESPEC,DATOS!$E4848,nASIG,DATOS!$I4848,nEVAL,"OR")=0))</f>
      </c>
      <c r="I4848">
        <f>IF(DATOS!$I4848="","",IFERROR(VLOOKUP(DATOS!$I4848,CONFIG_ASIGNATURAS!$B$2:$J$91,9,FALSE()),""))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IF(DATOS!$A4849="",0,IF(CONFIG_METADATA!$B$4&lt;&gt;"OR+EX",--(DATOS!$G4849=CONFIG_METADATA!$B$4),IF(DATOS!$G4849="EX",1,IF(DATOS!$G4849="OR",--(COUNTIFS(nNIA,DATOS!$A4849,nCURSO,DATOS!$D4849,nESPEC,DATOS!$E4849,nASIG,DATOS!$I4849,nEVAL,"EX")=0),0))))</f>
      </c>
      <c r="H4849">
        <f>IF(DATOS!$G4849&lt;&gt;"EX",0,--(COUNTIFS(nNIA,DATOS!$A4849,nCURSO,DATOS!$D4849,nESPEC,DATOS!$E4849,nASIG,DATOS!$I4849,nEVAL,"OR")=0))</f>
      </c>
      <c r="I4849">
        <f>IF(DATOS!$I4849="","",IFERROR(VLOOKUP(DATOS!$I4849,CONFIG_ASIGNATURAS!$B$2:$J$91,9,FALSE()),""))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IF(DATOS!$A4850="",0,IF(CONFIG_METADATA!$B$4&lt;&gt;"OR+EX",--(DATOS!$G4850=CONFIG_METADATA!$B$4),IF(DATOS!$G4850="EX",1,IF(DATOS!$G4850="OR",--(COUNTIFS(nNIA,DATOS!$A4850,nCURSO,DATOS!$D4850,nESPEC,DATOS!$E4850,nASIG,DATOS!$I4850,nEVAL,"EX")=0),0))))</f>
      </c>
      <c r="H4850">
        <f>IF(DATOS!$G4850&lt;&gt;"EX",0,--(COUNTIFS(nNIA,DATOS!$A4850,nCURSO,DATOS!$D4850,nESPEC,DATOS!$E4850,nASIG,DATOS!$I4850,nEVAL,"OR")=0))</f>
      </c>
      <c r="I4850">
        <f>IF(DATOS!$I4850="","",IFERROR(VLOOKUP(DATOS!$I4850,CONFIG_ASIGNATURAS!$B$2:$J$91,9,FALSE()),""))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IF(DATOS!$A4851="",0,IF(CONFIG_METADATA!$B$4&lt;&gt;"OR+EX",--(DATOS!$G4851=CONFIG_METADATA!$B$4),IF(DATOS!$G4851="EX",1,IF(DATOS!$G4851="OR",--(COUNTIFS(nNIA,DATOS!$A4851,nCURSO,DATOS!$D4851,nESPEC,DATOS!$E4851,nASIG,DATOS!$I4851,nEVAL,"EX")=0),0))))</f>
      </c>
      <c r="H4851">
        <f>IF(DATOS!$G4851&lt;&gt;"EX",0,--(COUNTIFS(nNIA,DATOS!$A4851,nCURSO,DATOS!$D4851,nESPEC,DATOS!$E4851,nASIG,DATOS!$I4851,nEVAL,"OR")=0))</f>
      </c>
      <c r="I4851">
        <f>IF(DATOS!$I4851="","",IFERROR(VLOOKUP(DATOS!$I4851,CONFIG_ASIGNATURAS!$B$2:$J$91,9,FALSE()),""))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IF(DATOS!$A4852="",0,IF(CONFIG_METADATA!$B$4&lt;&gt;"OR+EX",--(DATOS!$G4852=CONFIG_METADATA!$B$4),IF(DATOS!$G4852="EX",1,IF(DATOS!$G4852="OR",--(COUNTIFS(nNIA,DATOS!$A4852,nCURSO,DATOS!$D4852,nESPEC,DATOS!$E4852,nASIG,DATOS!$I4852,nEVAL,"EX")=0),0))))</f>
      </c>
      <c r="H4852">
        <f>IF(DATOS!$G4852&lt;&gt;"EX",0,--(COUNTIFS(nNIA,DATOS!$A4852,nCURSO,DATOS!$D4852,nESPEC,DATOS!$E4852,nASIG,DATOS!$I4852,nEVAL,"OR")=0))</f>
      </c>
      <c r="I4852">
        <f>IF(DATOS!$I4852="","",IFERROR(VLOOKUP(DATOS!$I4852,CONFIG_ASIGNATURAS!$B$2:$J$91,9,FALSE()),""))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IF(DATOS!$A4853="",0,IF(CONFIG_METADATA!$B$4&lt;&gt;"OR+EX",--(DATOS!$G4853=CONFIG_METADATA!$B$4),IF(DATOS!$G4853="EX",1,IF(DATOS!$G4853="OR",--(COUNTIFS(nNIA,DATOS!$A4853,nCURSO,DATOS!$D4853,nESPEC,DATOS!$E4853,nASIG,DATOS!$I4853,nEVAL,"EX")=0),0))))</f>
      </c>
      <c r="H4853">
        <f>IF(DATOS!$G4853&lt;&gt;"EX",0,--(COUNTIFS(nNIA,DATOS!$A4853,nCURSO,DATOS!$D4853,nESPEC,DATOS!$E4853,nASIG,DATOS!$I4853,nEVAL,"OR")=0))</f>
      </c>
      <c r="I4853">
        <f>IF(DATOS!$I4853="","",IFERROR(VLOOKUP(DATOS!$I4853,CONFIG_ASIGNATURAS!$B$2:$J$91,9,FALSE()),""))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IF(DATOS!$A4854="",0,IF(CONFIG_METADATA!$B$4&lt;&gt;"OR+EX",--(DATOS!$G4854=CONFIG_METADATA!$B$4),IF(DATOS!$G4854="EX",1,IF(DATOS!$G4854="OR",--(COUNTIFS(nNIA,DATOS!$A4854,nCURSO,DATOS!$D4854,nESPEC,DATOS!$E4854,nASIG,DATOS!$I4854,nEVAL,"EX")=0),0))))</f>
      </c>
      <c r="H4854">
        <f>IF(DATOS!$G4854&lt;&gt;"EX",0,--(COUNTIFS(nNIA,DATOS!$A4854,nCURSO,DATOS!$D4854,nESPEC,DATOS!$E4854,nASIG,DATOS!$I4854,nEVAL,"OR")=0))</f>
      </c>
      <c r="I4854">
        <f>IF(DATOS!$I4854="","",IFERROR(VLOOKUP(DATOS!$I4854,CONFIG_ASIGNATURAS!$B$2:$J$91,9,FALSE()),""))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IF(DATOS!$A4855="",0,IF(CONFIG_METADATA!$B$4&lt;&gt;"OR+EX",--(DATOS!$G4855=CONFIG_METADATA!$B$4),IF(DATOS!$G4855="EX",1,IF(DATOS!$G4855="OR",--(COUNTIFS(nNIA,DATOS!$A4855,nCURSO,DATOS!$D4855,nESPEC,DATOS!$E4855,nASIG,DATOS!$I4855,nEVAL,"EX")=0),0))))</f>
      </c>
      <c r="H4855">
        <f>IF(DATOS!$G4855&lt;&gt;"EX",0,--(COUNTIFS(nNIA,DATOS!$A4855,nCURSO,DATOS!$D4855,nESPEC,DATOS!$E4855,nASIG,DATOS!$I4855,nEVAL,"OR")=0))</f>
      </c>
      <c r="I4855">
        <f>IF(DATOS!$I4855="","",IFERROR(VLOOKUP(DATOS!$I4855,CONFIG_ASIGNATURAS!$B$2:$J$91,9,FALSE()),""))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IF(DATOS!$A4856="",0,IF(CONFIG_METADATA!$B$4&lt;&gt;"OR+EX",--(DATOS!$G4856=CONFIG_METADATA!$B$4),IF(DATOS!$G4856="EX",1,IF(DATOS!$G4856="OR",--(COUNTIFS(nNIA,DATOS!$A4856,nCURSO,DATOS!$D4856,nESPEC,DATOS!$E4856,nASIG,DATOS!$I4856,nEVAL,"EX")=0),0))))</f>
      </c>
      <c r="H4856">
        <f>IF(DATOS!$G4856&lt;&gt;"EX",0,--(COUNTIFS(nNIA,DATOS!$A4856,nCURSO,DATOS!$D4856,nESPEC,DATOS!$E4856,nASIG,DATOS!$I4856,nEVAL,"OR")=0))</f>
      </c>
      <c r="I4856">
        <f>IF(DATOS!$I4856="","",IFERROR(VLOOKUP(DATOS!$I4856,CONFIG_ASIGNATURAS!$B$2:$J$91,9,FALSE()),""))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IF(DATOS!$A4857="",0,IF(CONFIG_METADATA!$B$4&lt;&gt;"OR+EX",--(DATOS!$G4857=CONFIG_METADATA!$B$4),IF(DATOS!$G4857="EX",1,IF(DATOS!$G4857="OR",--(COUNTIFS(nNIA,DATOS!$A4857,nCURSO,DATOS!$D4857,nESPEC,DATOS!$E4857,nASIG,DATOS!$I4857,nEVAL,"EX")=0),0))))</f>
      </c>
      <c r="H4857">
        <f>IF(DATOS!$G4857&lt;&gt;"EX",0,--(COUNTIFS(nNIA,DATOS!$A4857,nCURSO,DATOS!$D4857,nESPEC,DATOS!$E4857,nASIG,DATOS!$I4857,nEVAL,"OR")=0))</f>
      </c>
      <c r="I4857">
        <f>IF(DATOS!$I4857="","",IFERROR(VLOOKUP(DATOS!$I4857,CONFIG_ASIGNATURAS!$B$2:$J$91,9,FALSE()),""))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IF(DATOS!$A4858="",0,IF(CONFIG_METADATA!$B$4&lt;&gt;"OR+EX",--(DATOS!$G4858=CONFIG_METADATA!$B$4),IF(DATOS!$G4858="EX",1,IF(DATOS!$G4858="OR",--(COUNTIFS(nNIA,DATOS!$A4858,nCURSO,DATOS!$D4858,nESPEC,DATOS!$E4858,nASIG,DATOS!$I4858,nEVAL,"EX")=0),0))))</f>
      </c>
      <c r="H4858">
        <f>IF(DATOS!$G4858&lt;&gt;"EX",0,--(COUNTIFS(nNIA,DATOS!$A4858,nCURSO,DATOS!$D4858,nESPEC,DATOS!$E4858,nASIG,DATOS!$I4858,nEVAL,"OR")=0))</f>
      </c>
      <c r="I4858">
        <f>IF(DATOS!$I4858="","",IFERROR(VLOOKUP(DATOS!$I4858,CONFIG_ASIGNATURAS!$B$2:$J$91,9,FALSE()),""))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IF(DATOS!$A4859="",0,IF(CONFIG_METADATA!$B$4&lt;&gt;"OR+EX",--(DATOS!$G4859=CONFIG_METADATA!$B$4),IF(DATOS!$G4859="EX",1,IF(DATOS!$G4859="OR",--(COUNTIFS(nNIA,DATOS!$A4859,nCURSO,DATOS!$D4859,nESPEC,DATOS!$E4859,nASIG,DATOS!$I4859,nEVAL,"EX")=0),0))))</f>
      </c>
      <c r="H4859">
        <f>IF(DATOS!$G4859&lt;&gt;"EX",0,--(COUNTIFS(nNIA,DATOS!$A4859,nCURSO,DATOS!$D4859,nESPEC,DATOS!$E4859,nASIG,DATOS!$I4859,nEVAL,"OR")=0))</f>
      </c>
      <c r="I4859">
        <f>IF(DATOS!$I4859="","",IFERROR(VLOOKUP(DATOS!$I4859,CONFIG_ASIGNATURAS!$B$2:$J$91,9,FALSE()),""))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IF(DATOS!$A4860="",0,IF(CONFIG_METADATA!$B$4&lt;&gt;"OR+EX",--(DATOS!$G4860=CONFIG_METADATA!$B$4),IF(DATOS!$G4860="EX",1,IF(DATOS!$G4860="OR",--(COUNTIFS(nNIA,DATOS!$A4860,nCURSO,DATOS!$D4860,nESPEC,DATOS!$E4860,nASIG,DATOS!$I4860,nEVAL,"EX")=0),0))))</f>
      </c>
      <c r="H4860">
        <f>IF(DATOS!$G4860&lt;&gt;"EX",0,--(COUNTIFS(nNIA,DATOS!$A4860,nCURSO,DATOS!$D4860,nESPEC,DATOS!$E4860,nASIG,DATOS!$I4860,nEVAL,"OR")=0))</f>
      </c>
      <c r="I4860">
        <f>IF(DATOS!$I4860="","",IFERROR(VLOOKUP(DATOS!$I4860,CONFIG_ASIGNATURAS!$B$2:$J$91,9,FALSE()),""))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IF(DATOS!$A4861="",0,IF(CONFIG_METADATA!$B$4&lt;&gt;"OR+EX",--(DATOS!$G4861=CONFIG_METADATA!$B$4),IF(DATOS!$G4861="EX",1,IF(DATOS!$G4861="OR",--(COUNTIFS(nNIA,DATOS!$A4861,nCURSO,DATOS!$D4861,nESPEC,DATOS!$E4861,nASIG,DATOS!$I4861,nEVAL,"EX")=0),0))))</f>
      </c>
      <c r="H4861">
        <f>IF(DATOS!$G4861&lt;&gt;"EX",0,--(COUNTIFS(nNIA,DATOS!$A4861,nCURSO,DATOS!$D4861,nESPEC,DATOS!$E4861,nASIG,DATOS!$I4861,nEVAL,"OR")=0))</f>
      </c>
      <c r="I4861">
        <f>IF(DATOS!$I4861="","",IFERROR(VLOOKUP(DATOS!$I4861,CONFIG_ASIGNATURAS!$B$2:$J$91,9,FALSE()),""))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IF(DATOS!$A4862="",0,IF(CONFIG_METADATA!$B$4&lt;&gt;"OR+EX",--(DATOS!$G4862=CONFIG_METADATA!$B$4),IF(DATOS!$G4862="EX",1,IF(DATOS!$G4862="OR",--(COUNTIFS(nNIA,DATOS!$A4862,nCURSO,DATOS!$D4862,nESPEC,DATOS!$E4862,nASIG,DATOS!$I4862,nEVAL,"EX")=0),0))))</f>
      </c>
      <c r="H4862">
        <f>IF(DATOS!$G4862&lt;&gt;"EX",0,--(COUNTIFS(nNIA,DATOS!$A4862,nCURSO,DATOS!$D4862,nESPEC,DATOS!$E4862,nASIG,DATOS!$I4862,nEVAL,"OR")=0))</f>
      </c>
      <c r="I4862">
        <f>IF(DATOS!$I4862="","",IFERROR(VLOOKUP(DATOS!$I4862,CONFIG_ASIGNATURAS!$B$2:$J$91,9,FALSE()),""))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IF(DATOS!$A4863="",0,IF(CONFIG_METADATA!$B$4&lt;&gt;"OR+EX",--(DATOS!$G4863=CONFIG_METADATA!$B$4),IF(DATOS!$G4863="EX",1,IF(DATOS!$G4863="OR",--(COUNTIFS(nNIA,DATOS!$A4863,nCURSO,DATOS!$D4863,nESPEC,DATOS!$E4863,nASIG,DATOS!$I4863,nEVAL,"EX")=0),0))))</f>
      </c>
      <c r="H4863">
        <f>IF(DATOS!$G4863&lt;&gt;"EX",0,--(COUNTIFS(nNIA,DATOS!$A4863,nCURSO,DATOS!$D4863,nESPEC,DATOS!$E4863,nASIG,DATOS!$I4863,nEVAL,"OR")=0))</f>
      </c>
      <c r="I4863">
        <f>IF(DATOS!$I4863="","",IFERROR(VLOOKUP(DATOS!$I4863,CONFIG_ASIGNATURAS!$B$2:$J$91,9,FALSE()),""))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IF(DATOS!$A4864="",0,IF(CONFIG_METADATA!$B$4&lt;&gt;"OR+EX",--(DATOS!$G4864=CONFIG_METADATA!$B$4),IF(DATOS!$G4864="EX",1,IF(DATOS!$G4864="OR",--(COUNTIFS(nNIA,DATOS!$A4864,nCURSO,DATOS!$D4864,nESPEC,DATOS!$E4864,nASIG,DATOS!$I4864,nEVAL,"EX")=0),0))))</f>
      </c>
      <c r="H4864">
        <f>IF(DATOS!$G4864&lt;&gt;"EX",0,--(COUNTIFS(nNIA,DATOS!$A4864,nCURSO,DATOS!$D4864,nESPEC,DATOS!$E4864,nASIG,DATOS!$I4864,nEVAL,"OR")=0))</f>
      </c>
      <c r="I4864">
        <f>IF(DATOS!$I4864="","",IFERROR(VLOOKUP(DATOS!$I4864,CONFIG_ASIGNATURAS!$B$2:$J$91,9,FALSE()),""))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IF(DATOS!$A4865="",0,IF(CONFIG_METADATA!$B$4&lt;&gt;"OR+EX",--(DATOS!$G4865=CONFIG_METADATA!$B$4),IF(DATOS!$G4865="EX",1,IF(DATOS!$G4865="OR",--(COUNTIFS(nNIA,DATOS!$A4865,nCURSO,DATOS!$D4865,nESPEC,DATOS!$E4865,nASIG,DATOS!$I4865,nEVAL,"EX")=0),0))))</f>
      </c>
      <c r="H4865">
        <f>IF(DATOS!$G4865&lt;&gt;"EX",0,--(COUNTIFS(nNIA,DATOS!$A4865,nCURSO,DATOS!$D4865,nESPEC,DATOS!$E4865,nASIG,DATOS!$I4865,nEVAL,"OR")=0))</f>
      </c>
      <c r="I4865">
        <f>IF(DATOS!$I4865="","",IFERROR(VLOOKUP(DATOS!$I4865,CONFIG_ASIGNATURAS!$B$2:$J$91,9,FALSE()),""))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IF(DATOS!$A4866="",0,IF(CONFIG_METADATA!$B$4&lt;&gt;"OR+EX",--(DATOS!$G4866=CONFIG_METADATA!$B$4),IF(DATOS!$G4866="EX",1,IF(DATOS!$G4866="OR",--(COUNTIFS(nNIA,DATOS!$A4866,nCURSO,DATOS!$D4866,nESPEC,DATOS!$E4866,nASIG,DATOS!$I4866,nEVAL,"EX")=0),0))))</f>
      </c>
      <c r="H4866">
        <f>IF(DATOS!$G4866&lt;&gt;"EX",0,--(COUNTIFS(nNIA,DATOS!$A4866,nCURSO,DATOS!$D4866,nESPEC,DATOS!$E4866,nASIG,DATOS!$I4866,nEVAL,"OR")=0))</f>
      </c>
      <c r="I4866">
        <f>IF(DATOS!$I4866="","",IFERROR(VLOOKUP(DATOS!$I4866,CONFIG_ASIGNATURAS!$B$2:$J$91,9,FALSE()),""))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IF(DATOS!$A4867="",0,IF(CONFIG_METADATA!$B$4&lt;&gt;"OR+EX",--(DATOS!$G4867=CONFIG_METADATA!$B$4),IF(DATOS!$G4867="EX",1,IF(DATOS!$G4867="OR",--(COUNTIFS(nNIA,DATOS!$A4867,nCURSO,DATOS!$D4867,nESPEC,DATOS!$E4867,nASIG,DATOS!$I4867,nEVAL,"EX")=0),0))))</f>
      </c>
      <c r="H4867">
        <f>IF(DATOS!$G4867&lt;&gt;"EX",0,--(COUNTIFS(nNIA,DATOS!$A4867,nCURSO,DATOS!$D4867,nESPEC,DATOS!$E4867,nASIG,DATOS!$I4867,nEVAL,"OR")=0))</f>
      </c>
      <c r="I4867">
        <f>IF(DATOS!$I4867="","",IFERROR(VLOOKUP(DATOS!$I4867,CONFIG_ASIGNATURAS!$B$2:$J$91,9,FALSE()),""))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IF(DATOS!$A4868="",0,IF(CONFIG_METADATA!$B$4&lt;&gt;"OR+EX",--(DATOS!$G4868=CONFIG_METADATA!$B$4),IF(DATOS!$G4868="EX",1,IF(DATOS!$G4868="OR",--(COUNTIFS(nNIA,DATOS!$A4868,nCURSO,DATOS!$D4868,nESPEC,DATOS!$E4868,nASIG,DATOS!$I4868,nEVAL,"EX")=0),0))))</f>
      </c>
      <c r="H4868">
        <f>IF(DATOS!$G4868&lt;&gt;"EX",0,--(COUNTIFS(nNIA,DATOS!$A4868,nCURSO,DATOS!$D4868,nESPEC,DATOS!$E4868,nASIG,DATOS!$I4868,nEVAL,"OR")=0))</f>
      </c>
      <c r="I4868">
        <f>IF(DATOS!$I4868="","",IFERROR(VLOOKUP(DATOS!$I4868,CONFIG_ASIGNATURAS!$B$2:$J$91,9,FALSE()),""))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IF(DATOS!$A4869="",0,IF(CONFIG_METADATA!$B$4&lt;&gt;"OR+EX",--(DATOS!$G4869=CONFIG_METADATA!$B$4),IF(DATOS!$G4869="EX",1,IF(DATOS!$G4869="OR",--(COUNTIFS(nNIA,DATOS!$A4869,nCURSO,DATOS!$D4869,nESPEC,DATOS!$E4869,nASIG,DATOS!$I4869,nEVAL,"EX")=0),0))))</f>
      </c>
      <c r="H4869">
        <f>IF(DATOS!$G4869&lt;&gt;"EX",0,--(COUNTIFS(nNIA,DATOS!$A4869,nCURSO,DATOS!$D4869,nESPEC,DATOS!$E4869,nASIG,DATOS!$I4869,nEVAL,"OR")=0))</f>
      </c>
      <c r="I4869">
        <f>IF(DATOS!$I4869="","",IFERROR(VLOOKUP(DATOS!$I4869,CONFIG_ASIGNATURAS!$B$2:$J$91,9,FALSE()),""))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IF(DATOS!$A4870="",0,IF(CONFIG_METADATA!$B$4&lt;&gt;"OR+EX",--(DATOS!$G4870=CONFIG_METADATA!$B$4),IF(DATOS!$G4870="EX",1,IF(DATOS!$G4870="OR",--(COUNTIFS(nNIA,DATOS!$A4870,nCURSO,DATOS!$D4870,nESPEC,DATOS!$E4870,nASIG,DATOS!$I4870,nEVAL,"EX")=0),0))))</f>
      </c>
      <c r="H4870">
        <f>IF(DATOS!$G4870&lt;&gt;"EX",0,--(COUNTIFS(nNIA,DATOS!$A4870,nCURSO,DATOS!$D4870,nESPEC,DATOS!$E4870,nASIG,DATOS!$I4870,nEVAL,"OR")=0))</f>
      </c>
      <c r="I4870">
        <f>IF(DATOS!$I4870="","",IFERROR(VLOOKUP(DATOS!$I4870,CONFIG_ASIGNATURAS!$B$2:$J$91,9,FALSE()),""))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IF(DATOS!$A4871="",0,IF(CONFIG_METADATA!$B$4&lt;&gt;"OR+EX",--(DATOS!$G4871=CONFIG_METADATA!$B$4),IF(DATOS!$G4871="EX",1,IF(DATOS!$G4871="OR",--(COUNTIFS(nNIA,DATOS!$A4871,nCURSO,DATOS!$D4871,nESPEC,DATOS!$E4871,nASIG,DATOS!$I4871,nEVAL,"EX")=0),0))))</f>
      </c>
      <c r="H4871">
        <f>IF(DATOS!$G4871&lt;&gt;"EX",0,--(COUNTIFS(nNIA,DATOS!$A4871,nCURSO,DATOS!$D4871,nESPEC,DATOS!$E4871,nASIG,DATOS!$I4871,nEVAL,"OR")=0))</f>
      </c>
      <c r="I4871">
        <f>IF(DATOS!$I4871="","",IFERROR(VLOOKUP(DATOS!$I4871,CONFIG_ASIGNATURAS!$B$2:$J$91,9,FALSE()),""))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IF(DATOS!$A4872="",0,IF(CONFIG_METADATA!$B$4&lt;&gt;"OR+EX",--(DATOS!$G4872=CONFIG_METADATA!$B$4),IF(DATOS!$G4872="EX",1,IF(DATOS!$G4872="OR",--(COUNTIFS(nNIA,DATOS!$A4872,nCURSO,DATOS!$D4872,nESPEC,DATOS!$E4872,nASIG,DATOS!$I4872,nEVAL,"EX")=0),0))))</f>
      </c>
      <c r="H4872">
        <f>IF(DATOS!$G4872&lt;&gt;"EX",0,--(COUNTIFS(nNIA,DATOS!$A4872,nCURSO,DATOS!$D4872,nESPEC,DATOS!$E4872,nASIG,DATOS!$I4872,nEVAL,"OR")=0))</f>
      </c>
      <c r="I4872">
        <f>IF(DATOS!$I4872="","",IFERROR(VLOOKUP(DATOS!$I4872,CONFIG_ASIGNATURAS!$B$2:$J$91,9,FALSE()),""))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IF(DATOS!$A4873="",0,IF(CONFIG_METADATA!$B$4&lt;&gt;"OR+EX",--(DATOS!$G4873=CONFIG_METADATA!$B$4),IF(DATOS!$G4873="EX",1,IF(DATOS!$G4873="OR",--(COUNTIFS(nNIA,DATOS!$A4873,nCURSO,DATOS!$D4873,nESPEC,DATOS!$E4873,nASIG,DATOS!$I4873,nEVAL,"EX")=0),0))))</f>
      </c>
      <c r="H4873">
        <f>IF(DATOS!$G4873&lt;&gt;"EX",0,--(COUNTIFS(nNIA,DATOS!$A4873,nCURSO,DATOS!$D4873,nESPEC,DATOS!$E4873,nASIG,DATOS!$I4873,nEVAL,"OR")=0))</f>
      </c>
      <c r="I4873">
        <f>IF(DATOS!$I4873="","",IFERROR(VLOOKUP(DATOS!$I4873,CONFIG_ASIGNATURAS!$B$2:$J$91,9,FALSE()),""))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IF(DATOS!$A4874="",0,IF(CONFIG_METADATA!$B$4&lt;&gt;"OR+EX",--(DATOS!$G4874=CONFIG_METADATA!$B$4),IF(DATOS!$G4874="EX",1,IF(DATOS!$G4874="OR",--(COUNTIFS(nNIA,DATOS!$A4874,nCURSO,DATOS!$D4874,nESPEC,DATOS!$E4874,nASIG,DATOS!$I4874,nEVAL,"EX")=0),0))))</f>
      </c>
      <c r="H4874">
        <f>IF(DATOS!$G4874&lt;&gt;"EX",0,--(COUNTIFS(nNIA,DATOS!$A4874,nCURSO,DATOS!$D4874,nESPEC,DATOS!$E4874,nASIG,DATOS!$I4874,nEVAL,"OR")=0))</f>
      </c>
      <c r="I4874">
        <f>IF(DATOS!$I4874="","",IFERROR(VLOOKUP(DATOS!$I4874,CONFIG_ASIGNATURAS!$B$2:$J$91,9,FALSE()),""))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IF(DATOS!$A4875="",0,IF(CONFIG_METADATA!$B$4&lt;&gt;"OR+EX",--(DATOS!$G4875=CONFIG_METADATA!$B$4),IF(DATOS!$G4875="EX",1,IF(DATOS!$G4875="OR",--(COUNTIFS(nNIA,DATOS!$A4875,nCURSO,DATOS!$D4875,nESPEC,DATOS!$E4875,nASIG,DATOS!$I4875,nEVAL,"EX")=0),0))))</f>
      </c>
      <c r="H4875">
        <f>IF(DATOS!$G4875&lt;&gt;"EX",0,--(COUNTIFS(nNIA,DATOS!$A4875,nCURSO,DATOS!$D4875,nESPEC,DATOS!$E4875,nASIG,DATOS!$I4875,nEVAL,"OR")=0))</f>
      </c>
      <c r="I4875">
        <f>IF(DATOS!$I4875="","",IFERROR(VLOOKUP(DATOS!$I4875,CONFIG_ASIGNATURAS!$B$2:$J$91,9,FALSE()),""))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IF(DATOS!$A4876="",0,IF(CONFIG_METADATA!$B$4&lt;&gt;"OR+EX",--(DATOS!$G4876=CONFIG_METADATA!$B$4),IF(DATOS!$G4876="EX",1,IF(DATOS!$G4876="OR",--(COUNTIFS(nNIA,DATOS!$A4876,nCURSO,DATOS!$D4876,nESPEC,DATOS!$E4876,nASIG,DATOS!$I4876,nEVAL,"EX")=0),0))))</f>
      </c>
      <c r="H4876">
        <f>IF(DATOS!$G4876&lt;&gt;"EX",0,--(COUNTIFS(nNIA,DATOS!$A4876,nCURSO,DATOS!$D4876,nESPEC,DATOS!$E4876,nASIG,DATOS!$I4876,nEVAL,"OR")=0))</f>
      </c>
      <c r="I4876">
        <f>IF(DATOS!$I4876="","",IFERROR(VLOOKUP(DATOS!$I4876,CONFIG_ASIGNATURAS!$B$2:$J$91,9,FALSE()),""))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IF(DATOS!$A4877="",0,IF(CONFIG_METADATA!$B$4&lt;&gt;"OR+EX",--(DATOS!$G4877=CONFIG_METADATA!$B$4),IF(DATOS!$G4877="EX",1,IF(DATOS!$G4877="OR",--(COUNTIFS(nNIA,DATOS!$A4877,nCURSO,DATOS!$D4877,nESPEC,DATOS!$E4877,nASIG,DATOS!$I4877,nEVAL,"EX")=0),0))))</f>
      </c>
      <c r="H4877">
        <f>IF(DATOS!$G4877&lt;&gt;"EX",0,--(COUNTIFS(nNIA,DATOS!$A4877,nCURSO,DATOS!$D4877,nESPEC,DATOS!$E4877,nASIG,DATOS!$I4877,nEVAL,"OR")=0))</f>
      </c>
      <c r="I4877">
        <f>IF(DATOS!$I4877="","",IFERROR(VLOOKUP(DATOS!$I4877,CONFIG_ASIGNATURAS!$B$2:$J$91,9,FALSE()),""))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IF(DATOS!$A4878="",0,IF(CONFIG_METADATA!$B$4&lt;&gt;"OR+EX",--(DATOS!$G4878=CONFIG_METADATA!$B$4),IF(DATOS!$G4878="EX",1,IF(DATOS!$G4878="OR",--(COUNTIFS(nNIA,DATOS!$A4878,nCURSO,DATOS!$D4878,nESPEC,DATOS!$E4878,nASIG,DATOS!$I4878,nEVAL,"EX")=0),0))))</f>
      </c>
      <c r="H4878">
        <f>IF(DATOS!$G4878&lt;&gt;"EX",0,--(COUNTIFS(nNIA,DATOS!$A4878,nCURSO,DATOS!$D4878,nESPEC,DATOS!$E4878,nASIG,DATOS!$I4878,nEVAL,"OR")=0))</f>
      </c>
      <c r="I4878">
        <f>IF(DATOS!$I4878="","",IFERROR(VLOOKUP(DATOS!$I4878,CONFIG_ASIGNATURAS!$B$2:$J$91,9,FALSE()),""))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IF(DATOS!$A4879="",0,IF(CONFIG_METADATA!$B$4&lt;&gt;"OR+EX",--(DATOS!$G4879=CONFIG_METADATA!$B$4),IF(DATOS!$G4879="EX",1,IF(DATOS!$G4879="OR",--(COUNTIFS(nNIA,DATOS!$A4879,nCURSO,DATOS!$D4879,nESPEC,DATOS!$E4879,nASIG,DATOS!$I4879,nEVAL,"EX")=0),0))))</f>
      </c>
      <c r="H4879">
        <f>IF(DATOS!$G4879&lt;&gt;"EX",0,--(COUNTIFS(nNIA,DATOS!$A4879,nCURSO,DATOS!$D4879,nESPEC,DATOS!$E4879,nASIG,DATOS!$I4879,nEVAL,"OR")=0))</f>
      </c>
      <c r="I4879">
        <f>IF(DATOS!$I4879="","",IFERROR(VLOOKUP(DATOS!$I4879,CONFIG_ASIGNATURAS!$B$2:$J$91,9,FALSE()),""))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IF(DATOS!$A4880="",0,IF(CONFIG_METADATA!$B$4&lt;&gt;"OR+EX",--(DATOS!$G4880=CONFIG_METADATA!$B$4),IF(DATOS!$G4880="EX",1,IF(DATOS!$G4880="OR",--(COUNTIFS(nNIA,DATOS!$A4880,nCURSO,DATOS!$D4880,nESPEC,DATOS!$E4880,nASIG,DATOS!$I4880,nEVAL,"EX")=0),0))))</f>
      </c>
      <c r="H4880">
        <f>IF(DATOS!$G4880&lt;&gt;"EX",0,--(COUNTIFS(nNIA,DATOS!$A4880,nCURSO,DATOS!$D4880,nESPEC,DATOS!$E4880,nASIG,DATOS!$I4880,nEVAL,"OR")=0))</f>
      </c>
      <c r="I4880">
        <f>IF(DATOS!$I4880="","",IFERROR(VLOOKUP(DATOS!$I4880,CONFIG_ASIGNATURAS!$B$2:$J$91,9,FALSE()),""))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IF(DATOS!$A4881="",0,IF(CONFIG_METADATA!$B$4&lt;&gt;"OR+EX",--(DATOS!$G4881=CONFIG_METADATA!$B$4),IF(DATOS!$G4881="EX",1,IF(DATOS!$G4881="OR",--(COUNTIFS(nNIA,DATOS!$A4881,nCURSO,DATOS!$D4881,nESPEC,DATOS!$E4881,nASIG,DATOS!$I4881,nEVAL,"EX")=0),0))))</f>
      </c>
      <c r="H4881">
        <f>IF(DATOS!$G4881&lt;&gt;"EX",0,--(COUNTIFS(nNIA,DATOS!$A4881,nCURSO,DATOS!$D4881,nESPEC,DATOS!$E4881,nASIG,DATOS!$I4881,nEVAL,"OR")=0))</f>
      </c>
      <c r="I4881">
        <f>IF(DATOS!$I4881="","",IFERROR(VLOOKUP(DATOS!$I4881,CONFIG_ASIGNATURAS!$B$2:$J$91,9,FALSE()),""))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IF(DATOS!$A4882="",0,IF(CONFIG_METADATA!$B$4&lt;&gt;"OR+EX",--(DATOS!$G4882=CONFIG_METADATA!$B$4),IF(DATOS!$G4882="EX",1,IF(DATOS!$G4882="OR",--(COUNTIFS(nNIA,DATOS!$A4882,nCURSO,DATOS!$D4882,nESPEC,DATOS!$E4882,nASIG,DATOS!$I4882,nEVAL,"EX")=0),0))))</f>
      </c>
      <c r="H4882">
        <f>IF(DATOS!$G4882&lt;&gt;"EX",0,--(COUNTIFS(nNIA,DATOS!$A4882,nCURSO,DATOS!$D4882,nESPEC,DATOS!$E4882,nASIG,DATOS!$I4882,nEVAL,"OR")=0))</f>
      </c>
      <c r="I4882">
        <f>IF(DATOS!$I4882="","",IFERROR(VLOOKUP(DATOS!$I4882,CONFIG_ASIGNATURAS!$B$2:$J$91,9,FALSE()),""))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IF(DATOS!$A4883="",0,IF(CONFIG_METADATA!$B$4&lt;&gt;"OR+EX",--(DATOS!$G4883=CONFIG_METADATA!$B$4),IF(DATOS!$G4883="EX",1,IF(DATOS!$G4883="OR",--(COUNTIFS(nNIA,DATOS!$A4883,nCURSO,DATOS!$D4883,nESPEC,DATOS!$E4883,nASIG,DATOS!$I4883,nEVAL,"EX")=0),0))))</f>
      </c>
      <c r="H4883">
        <f>IF(DATOS!$G4883&lt;&gt;"EX",0,--(COUNTIFS(nNIA,DATOS!$A4883,nCURSO,DATOS!$D4883,nESPEC,DATOS!$E4883,nASIG,DATOS!$I4883,nEVAL,"OR")=0))</f>
      </c>
      <c r="I4883">
        <f>IF(DATOS!$I4883="","",IFERROR(VLOOKUP(DATOS!$I4883,CONFIG_ASIGNATURAS!$B$2:$J$91,9,FALSE()),""))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IF(DATOS!$A4884="",0,IF(CONFIG_METADATA!$B$4&lt;&gt;"OR+EX",--(DATOS!$G4884=CONFIG_METADATA!$B$4),IF(DATOS!$G4884="EX",1,IF(DATOS!$G4884="OR",--(COUNTIFS(nNIA,DATOS!$A4884,nCURSO,DATOS!$D4884,nESPEC,DATOS!$E4884,nASIG,DATOS!$I4884,nEVAL,"EX")=0),0))))</f>
      </c>
      <c r="H4884">
        <f>IF(DATOS!$G4884&lt;&gt;"EX",0,--(COUNTIFS(nNIA,DATOS!$A4884,nCURSO,DATOS!$D4884,nESPEC,DATOS!$E4884,nASIG,DATOS!$I4884,nEVAL,"OR")=0))</f>
      </c>
      <c r="I4884">
        <f>IF(DATOS!$I4884="","",IFERROR(VLOOKUP(DATOS!$I4884,CONFIG_ASIGNATURAS!$B$2:$J$91,9,FALSE()),""))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IF(DATOS!$A4885="",0,IF(CONFIG_METADATA!$B$4&lt;&gt;"OR+EX",--(DATOS!$G4885=CONFIG_METADATA!$B$4),IF(DATOS!$G4885="EX",1,IF(DATOS!$G4885="OR",--(COUNTIFS(nNIA,DATOS!$A4885,nCURSO,DATOS!$D4885,nESPEC,DATOS!$E4885,nASIG,DATOS!$I4885,nEVAL,"EX")=0),0))))</f>
      </c>
      <c r="H4885">
        <f>IF(DATOS!$G4885&lt;&gt;"EX",0,--(COUNTIFS(nNIA,DATOS!$A4885,nCURSO,DATOS!$D4885,nESPEC,DATOS!$E4885,nASIG,DATOS!$I4885,nEVAL,"OR")=0))</f>
      </c>
      <c r="I4885">
        <f>IF(DATOS!$I4885="","",IFERROR(VLOOKUP(DATOS!$I4885,CONFIG_ASIGNATURAS!$B$2:$J$91,9,FALSE()),""))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IF(DATOS!$A4886="",0,IF(CONFIG_METADATA!$B$4&lt;&gt;"OR+EX",--(DATOS!$G4886=CONFIG_METADATA!$B$4),IF(DATOS!$G4886="EX",1,IF(DATOS!$G4886="OR",--(COUNTIFS(nNIA,DATOS!$A4886,nCURSO,DATOS!$D4886,nESPEC,DATOS!$E4886,nASIG,DATOS!$I4886,nEVAL,"EX")=0),0))))</f>
      </c>
      <c r="H4886">
        <f>IF(DATOS!$G4886&lt;&gt;"EX",0,--(COUNTIFS(nNIA,DATOS!$A4886,nCURSO,DATOS!$D4886,nESPEC,DATOS!$E4886,nASIG,DATOS!$I4886,nEVAL,"OR")=0))</f>
      </c>
      <c r="I4886">
        <f>IF(DATOS!$I4886="","",IFERROR(VLOOKUP(DATOS!$I4886,CONFIG_ASIGNATURAS!$B$2:$J$91,9,FALSE()),""))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IF(DATOS!$A4887="",0,IF(CONFIG_METADATA!$B$4&lt;&gt;"OR+EX",--(DATOS!$G4887=CONFIG_METADATA!$B$4),IF(DATOS!$G4887="EX",1,IF(DATOS!$G4887="OR",--(COUNTIFS(nNIA,DATOS!$A4887,nCURSO,DATOS!$D4887,nESPEC,DATOS!$E4887,nASIG,DATOS!$I4887,nEVAL,"EX")=0),0))))</f>
      </c>
      <c r="H4887">
        <f>IF(DATOS!$G4887&lt;&gt;"EX",0,--(COUNTIFS(nNIA,DATOS!$A4887,nCURSO,DATOS!$D4887,nESPEC,DATOS!$E4887,nASIG,DATOS!$I4887,nEVAL,"OR")=0))</f>
      </c>
      <c r="I4887">
        <f>IF(DATOS!$I4887="","",IFERROR(VLOOKUP(DATOS!$I4887,CONFIG_ASIGNATURAS!$B$2:$J$91,9,FALSE()),""))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IF(DATOS!$A4888="",0,IF(CONFIG_METADATA!$B$4&lt;&gt;"OR+EX",--(DATOS!$G4888=CONFIG_METADATA!$B$4),IF(DATOS!$G4888="EX",1,IF(DATOS!$G4888="OR",--(COUNTIFS(nNIA,DATOS!$A4888,nCURSO,DATOS!$D4888,nESPEC,DATOS!$E4888,nASIG,DATOS!$I4888,nEVAL,"EX")=0),0))))</f>
      </c>
      <c r="H4888">
        <f>IF(DATOS!$G4888&lt;&gt;"EX",0,--(COUNTIFS(nNIA,DATOS!$A4888,nCURSO,DATOS!$D4888,nESPEC,DATOS!$E4888,nASIG,DATOS!$I4888,nEVAL,"OR")=0))</f>
      </c>
      <c r="I4888">
        <f>IF(DATOS!$I4888="","",IFERROR(VLOOKUP(DATOS!$I4888,CONFIG_ASIGNATURAS!$B$2:$J$91,9,FALSE()),""))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IF(DATOS!$A4889="",0,IF(CONFIG_METADATA!$B$4&lt;&gt;"OR+EX",--(DATOS!$G4889=CONFIG_METADATA!$B$4),IF(DATOS!$G4889="EX",1,IF(DATOS!$G4889="OR",--(COUNTIFS(nNIA,DATOS!$A4889,nCURSO,DATOS!$D4889,nESPEC,DATOS!$E4889,nASIG,DATOS!$I4889,nEVAL,"EX")=0),0))))</f>
      </c>
      <c r="H4889">
        <f>IF(DATOS!$G4889&lt;&gt;"EX",0,--(COUNTIFS(nNIA,DATOS!$A4889,nCURSO,DATOS!$D4889,nESPEC,DATOS!$E4889,nASIG,DATOS!$I4889,nEVAL,"OR")=0))</f>
      </c>
      <c r="I4889">
        <f>IF(DATOS!$I4889="","",IFERROR(VLOOKUP(DATOS!$I4889,CONFIG_ASIGNATURAS!$B$2:$J$91,9,FALSE()),""))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IF(DATOS!$A4890="",0,IF(CONFIG_METADATA!$B$4&lt;&gt;"OR+EX",--(DATOS!$G4890=CONFIG_METADATA!$B$4),IF(DATOS!$G4890="EX",1,IF(DATOS!$G4890="OR",--(COUNTIFS(nNIA,DATOS!$A4890,nCURSO,DATOS!$D4890,nESPEC,DATOS!$E4890,nASIG,DATOS!$I4890,nEVAL,"EX")=0),0))))</f>
      </c>
      <c r="H4890">
        <f>IF(DATOS!$G4890&lt;&gt;"EX",0,--(COUNTIFS(nNIA,DATOS!$A4890,nCURSO,DATOS!$D4890,nESPEC,DATOS!$E4890,nASIG,DATOS!$I4890,nEVAL,"OR")=0))</f>
      </c>
      <c r="I4890">
        <f>IF(DATOS!$I4890="","",IFERROR(VLOOKUP(DATOS!$I4890,CONFIG_ASIGNATURAS!$B$2:$J$91,9,FALSE()),""))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IF(DATOS!$A4891="",0,IF(CONFIG_METADATA!$B$4&lt;&gt;"OR+EX",--(DATOS!$G4891=CONFIG_METADATA!$B$4),IF(DATOS!$G4891="EX",1,IF(DATOS!$G4891="OR",--(COUNTIFS(nNIA,DATOS!$A4891,nCURSO,DATOS!$D4891,nESPEC,DATOS!$E4891,nASIG,DATOS!$I4891,nEVAL,"EX")=0),0))))</f>
      </c>
      <c r="H4891">
        <f>IF(DATOS!$G4891&lt;&gt;"EX",0,--(COUNTIFS(nNIA,DATOS!$A4891,nCURSO,DATOS!$D4891,nESPEC,DATOS!$E4891,nASIG,DATOS!$I4891,nEVAL,"OR")=0))</f>
      </c>
      <c r="I4891">
        <f>IF(DATOS!$I4891="","",IFERROR(VLOOKUP(DATOS!$I4891,CONFIG_ASIGNATURAS!$B$2:$J$91,9,FALSE()),""))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IF(DATOS!$A4892="",0,IF(CONFIG_METADATA!$B$4&lt;&gt;"OR+EX",--(DATOS!$G4892=CONFIG_METADATA!$B$4),IF(DATOS!$G4892="EX",1,IF(DATOS!$G4892="OR",--(COUNTIFS(nNIA,DATOS!$A4892,nCURSO,DATOS!$D4892,nESPEC,DATOS!$E4892,nASIG,DATOS!$I4892,nEVAL,"EX")=0),0))))</f>
      </c>
      <c r="H4892">
        <f>IF(DATOS!$G4892&lt;&gt;"EX",0,--(COUNTIFS(nNIA,DATOS!$A4892,nCURSO,DATOS!$D4892,nESPEC,DATOS!$E4892,nASIG,DATOS!$I4892,nEVAL,"OR")=0))</f>
      </c>
      <c r="I4892">
        <f>IF(DATOS!$I4892="","",IFERROR(VLOOKUP(DATOS!$I4892,CONFIG_ASIGNATURAS!$B$2:$J$91,9,FALSE()),""))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IF(DATOS!$A4893="",0,IF(CONFIG_METADATA!$B$4&lt;&gt;"OR+EX",--(DATOS!$G4893=CONFIG_METADATA!$B$4),IF(DATOS!$G4893="EX",1,IF(DATOS!$G4893="OR",--(COUNTIFS(nNIA,DATOS!$A4893,nCURSO,DATOS!$D4893,nESPEC,DATOS!$E4893,nASIG,DATOS!$I4893,nEVAL,"EX")=0),0))))</f>
      </c>
      <c r="H4893">
        <f>IF(DATOS!$G4893&lt;&gt;"EX",0,--(COUNTIFS(nNIA,DATOS!$A4893,nCURSO,DATOS!$D4893,nESPEC,DATOS!$E4893,nASIG,DATOS!$I4893,nEVAL,"OR")=0))</f>
      </c>
      <c r="I4893">
        <f>IF(DATOS!$I4893="","",IFERROR(VLOOKUP(DATOS!$I4893,CONFIG_ASIGNATURAS!$B$2:$J$91,9,FALSE()),""))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IF(DATOS!$A4894="",0,IF(CONFIG_METADATA!$B$4&lt;&gt;"OR+EX",--(DATOS!$G4894=CONFIG_METADATA!$B$4),IF(DATOS!$G4894="EX",1,IF(DATOS!$G4894="OR",--(COUNTIFS(nNIA,DATOS!$A4894,nCURSO,DATOS!$D4894,nESPEC,DATOS!$E4894,nASIG,DATOS!$I4894,nEVAL,"EX")=0),0))))</f>
      </c>
      <c r="H4894">
        <f>IF(DATOS!$G4894&lt;&gt;"EX",0,--(COUNTIFS(nNIA,DATOS!$A4894,nCURSO,DATOS!$D4894,nESPEC,DATOS!$E4894,nASIG,DATOS!$I4894,nEVAL,"OR")=0))</f>
      </c>
      <c r="I4894">
        <f>IF(DATOS!$I4894="","",IFERROR(VLOOKUP(DATOS!$I4894,CONFIG_ASIGNATURAS!$B$2:$J$91,9,FALSE()),""))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IF(DATOS!$A4895="",0,IF(CONFIG_METADATA!$B$4&lt;&gt;"OR+EX",--(DATOS!$G4895=CONFIG_METADATA!$B$4),IF(DATOS!$G4895="EX",1,IF(DATOS!$G4895="OR",--(COUNTIFS(nNIA,DATOS!$A4895,nCURSO,DATOS!$D4895,nESPEC,DATOS!$E4895,nASIG,DATOS!$I4895,nEVAL,"EX")=0),0))))</f>
      </c>
      <c r="H4895">
        <f>IF(DATOS!$G4895&lt;&gt;"EX",0,--(COUNTIFS(nNIA,DATOS!$A4895,nCURSO,DATOS!$D4895,nESPEC,DATOS!$E4895,nASIG,DATOS!$I4895,nEVAL,"OR")=0))</f>
      </c>
      <c r="I4895">
        <f>IF(DATOS!$I4895="","",IFERROR(VLOOKUP(DATOS!$I4895,CONFIG_ASIGNATURAS!$B$2:$J$91,9,FALSE()),""))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IF(DATOS!$A4896="",0,IF(CONFIG_METADATA!$B$4&lt;&gt;"OR+EX",--(DATOS!$G4896=CONFIG_METADATA!$B$4),IF(DATOS!$G4896="EX",1,IF(DATOS!$G4896="OR",--(COUNTIFS(nNIA,DATOS!$A4896,nCURSO,DATOS!$D4896,nESPEC,DATOS!$E4896,nASIG,DATOS!$I4896,nEVAL,"EX")=0),0))))</f>
      </c>
      <c r="H4896">
        <f>IF(DATOS!$G4896&lt;&gt;"EX",0,--(COUNTIFS(nNIA,DATOS!$A4896,nCURSO,DATOS!$D4896,nESPEC,DATOS!$E4896,nASIG,DATOS!$I4896,nEVAL,"OR")=0))</f>
      </c>
      <c r="I4896">
        <f>IF(DATOS!$I4896="","",IFERROR(VLOOKUP(DATOS!$I4896,CONFIG_ASIGNATURAS!$B$2:$J$91,9,FALSE()),""))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IF(DATOS!$A4897="",0,IF(CONFIG_METADATA!$B$4&lt;&gt;"OR+EX",--(DATOS!$G4897=CONFIG_METADATA!$B$4),IF(DATOS!$G4897="EX",1,IF(DATOS!$G4897="OR",--(COUNTIFS(nNIA,DATOS!$A4897,nCURSO,DATOS!$D4897,nESPEC,DATOS!$E4897,nASIG,DATOS!$I4897,nEVAL,"EX")=0),0))))</f>
      </c>
      <c r="H4897">
        <f>IF(DATOS!$G4897&lt;&gt;"EX",0,--(COUNTIFS(nNIA,DATOS!$A4897,nCURSO,DATOS!$D4897,nESPEC,DATOS!$E4897,nASIG,DATOS!$I4897,nEVAL,"OR")=0))</f>
      </c>
      <c r="I4897">
        <f>IF(DATOS!$I4897="","",IFERROR(VLOOKUP(DATOS!$I4897,CONFIG_ASIGNATURAS!$B$2:$J$91,9,FALSE()),""))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IF(DATOS!$A4898="",0,IF(CONFIG_METADATA!$B$4&lt;&gt;"OR+EX",--(DATOS!$G4898=CONFIG_METADATA!$B$4),IF(DATOS!$G4898="EX",1,IF(DATOS!$G4898="OR",--(COUNTIFS(nNIA,DATOS!$A4898,nCURSO,DATOS!$D4898,nESPEC,DATOS!$E4898,nASIG,DATOS!$I4898,nEVAL,"EX")=0),0))))</f>
      </c>
      <c r="H4898">
        <f>IF(DATOS!$G4898&lt;&gt;"EX",0,--(COUNTIFS(nNIA,DATOS!$A4898,nCURSO,DATOS!$D4898,nESPEC,DATOS!$E4898,nASIG,DATOS!$I4898,nEVAL,"OR")=0))</f>
      </c>
      <c r="I4898">
        <f>IF(DATOS!$I4898="","",IFERROR(VLOOKUP(DATOS!$I4898,CONFIG_ASIGNATURAS!$B$2:$J$91,9,FALSE()),""))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IF(DATOS!$A4899="",0,IF(CONFIG_METADATA!$B$4&lt;&gt;"OR+EX",--(DATOS!$G4899=CONFIG_METADATA!$B$4),IF(DATOS!$G4899="EX",1,IF(DATOS!$G4899="OR",--(COUNTIFS(nNIA,DATOS!$A4899,nCURSO,DATOS!$D4899,nESPEC,DATOS!$E4899,nASIG,DATOS!$I4899,nEVAL,"EX")=0),0))))</f>
      </c>
      <c r="H4899">
        <f>IF(DATOS!$G4899&lt;&gt;"EX",0,--(COUNTIFS(nNIA,DATOS!$A4899,nCURSO,DATOS!$D4899,nESPEC,DATOS!$E4899,nASIG,DATOS!$I4899,nEVAL,"OR")=0))</f>
      </c>
      <c r="I4899">
        <f>IF(DATOS!$I4899="","",IFERROR(VLOOKUP(DATOS!$I4899,CONFIG_ASIGNATURAS!$B$2:$J$91,9,FALSE()),""))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IF(DATOS!$A4900="",0,IF(CONFIG_METADATA!$B$4&lt;&gt;"OR+EX",--(DATOS!$G4900=CONFIG_METADATA!$B$4),IF(DATOS!$G4900="EX",1,IF(DATOS!$G4900="OR",--(COUNTIFS(nNIA,DATOS!$A4900,nCURSO,DATOS!$D4900,nESPEC,DATOS!$E4900,nASIG,DATOS!$I4900,nEVAL,"EX")=0),0))))</f>
      </c>
      <c r="H4900">
        <f>IF(DATOS!$G4900&lt;&gt;"EX",0,--(COUNTIFS(nNIA,DATOS!$A4900,nCURSO,DATOS!$D4900,nESPEC,DATOS!$E4900,nASIG,DATOS!$I4900,nEVAL,"OR")=0))</f>
      </c>
      <c r="I4900">
        <f>IF(DATOS!$I4900="","",IFERROR(VLOOKUP(DATOS!$I4900,CONFIG_ASIGNATURAS!$B$2:$J$91,9,FALSE()),""))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IF(DATOS!$A4901="",0,IF(CONFIG_METADATA!$B$4&lt;&gt;"OR+EX",--(DATOS!$G4901=CONFIG_METADATA!$B$4),IF(DATOS!$G4901="EX",1,IF(DATOS!$G4901="OR",--(COUNTIFS(nNIA,DATOS!$A4901,nCURSO,DATOS!$D4901,nESPEC,DATOS!$E4901,nASIG,DATOS!$I4901,nEVAL,"EX")=0),0))))</f>
      </c>
      <c r="H4901">
        <f>IF(DATOS!$G4901&lt;&gt;"EX",0,--(COUNTIFS(nNIA,DATOS!$A4901,nCURSO,DATOS!$D4901,nESPEC,DATOS!$E4901,nASIG,DATOS!$I4901,nEVAL,"OR")=0))</f>
      </c>
      <c r="I4901">
        <f>IF(DATOS!$I4901="","",IFERROR(VLOOKUP(DATOS!$I4901,CONFIG_ASIGNATURAS!$B$2:$J$91,9,FALSE()),""))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IF(DATOS!$A4902="",0,IF(CONFIG_METADATA!$B$4&lt;&gt;"OR+EX",--(DATOS!$G4902=CONFIG_METADATA!$B$4),IF(DATOS!$G4902="EX",1,IF(DATOS!$G4902="OR",--(COUNTIFS(nNIA,DATOS!$A4902,nCURSO,DATOS!$D4902,nESPEC,DATOS!$E4902,nASIG,DATOS!$I4902,nEVAL,"EX")=0),0))))</f>
      </c>
      <c r="H4902">
        <f>IF(DATOS!$G4902&lt;&gt;"EX",0,--(COUNTIFS(nNIA,DATOS!$A4902,nCURSO,DATOS!$D4902,nESPEC,DATOS!$E4902,nASIG,DATOS!$I4902,nEVAL,"OR")=0))</f>
      </c>
      <c r="I4902">
        <f>IF(DATOS!$I4902="","",IFERROR(VLOOKUP(DATOS!$I4902,CONFIG_ASIGNATURAS!$B$2:$J$91,9,FALSE()),""))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IF(DATOS!$A4903="",0,IF(CONFIG_METADATA!$B$4&lt;&gt;"OR+EX",--(DATOS!$G4903=CONFIG_METADATA!$B$4),IF(DATOS!$G4903="EX",1,IF(DATOS!$G4903="OR",--(COUNTIFS(nNIA,DATOS!$A4903,nCURSO,DATOS!$D4903,nESPEC,DATOS!$E4903,nASIG,DATOS!$I4903,nEVAL,"EX")=0),0))))</f>
      </c>
      <c r="H4903">
        <f>IF(DATOS!$G4903&lt;&gt;"EX",0,--(COUNTIFS(nNIA,DATOS!$A4903,nCURSO,DATOS!$D4903,nESPEC,DATOS!$E4903,nASIG,DATOS!$I4903,nEVAL,"OR")=0))</f>
      </c>
      <c r="I4903">
        <f>IF(DATOS!$I4903="","",IFERROR(VLOOKUP(DATOS!$I4903,CONFIG_ASIGNATURAS!$B$2:$J$91,9,FALSE()),""))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IF(DATOS!$A4904="",0,IF(CONFIG_METADATA!$B$4&lt;&gt;"OR+EX",--(DATOS!$G4904=CONFIG_METADATA!$B$4),IF(DATOS!$G4904="EX",1,IF(DATOS!$G4904="OR",--(COUNTIFS(nNIA,DATOS!$A4904,nCURSO,DATOS!$D4904,nESPEC,DATOS!$E4904,nASIG,DATOS!$I4904,nEVAL,"EX")=0),0))))</f>
      </c>
      <c r="H4904">
        <f>IF(DATOS!$G4904&lt;&gt;"EX",0,--(COUNTIFS(nNIA,DATOS!$A4904,nCURSO,DATOS!$D4904,nESPEC,DATOS!$E4904,nASIG,DATOS!$I4904,nEVAL,"OR")=0))</f>
      </c>
      <c r="I4904">
        <f>IF(DATOS!$I4904="","",IFERROR(VLOOKUP(DATOS!$I4904,CONFIG_ASIGNATURAS!$B$2:$J$91,9,FALSE()),""))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IF(DATOS!$A4905="",0,IF(CONFIG_METADATA!$B$4&lt;&gt;"OR+EX",--(DATOS!$G4905=CONFIG_METADATA!$B$4),IF(DATOS!$G4905="EX",1,IF(DATOS!$G4905="OR",--(COUNTIFS(nNIA,DATOS!$A4905,nCURSO,DATOS!$D4905,nESPEC,DATOS!$E4905,nASIG,DATOS!$I4905,nEVAL,"EX")=0),0))))</f>
      </c>
      <c r="H4905">
        <f>IF(DATOS!$G4905&lt;&gt;"EX",0,--(COUNTIFS(nNIA,DATOS!$A4905,nCURSO,DATOS!$D4905,nESPEC,DATOS!$E4905,nASIG,DATOS!$I4905,nEVAL,"OR")=0))</f>
      </c>
      <c r="I4905">
        <f>IF(DATOS!$I4905="","",IFERROR(VLOOKUP(DATOS!$I4905,CONFIG_ASIGNATURAS!$B$2:$J$91,9,FALSE()),""))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IF(DATOS!$A4906="",0,IF(CONFIG_METADATA!$B$4&lt;&gt;"OR+EX",--(DATOS!$G4906=CONFIG_METADATA!$B$4),IF(DATOS!$G4906="EX",1,IF(DATOS!$G4906="OR",--(COUNTIFS(nNIA,DATOS!$A4906,nCURSO,DATOS!$D4906,nESPEC,DATOS!$E4906,nASIG,DATOS!$I4906,nEVAL,"EX")=0),0))))</f>
      </c>
      <c r="H4906">
        <f>IF(DATOS!$G4906&lt;&gt;"EX",0,--(COUNTIFS(nNIA,DATOS!$A4906,nCURSO,DATOS!$D4906,nESPEC,DATOS!$E4906,nASIG,DATOS!$I4906,nEVAL,"OR")=0))</f>
      </c>
      <c r="I4906">
        <f>IF(DATOS!$I4906="","",IFERROR(VLOOKUP(DATOS!$I4906,CONFIG_ASIGNATURAS!$B$2:$J$91,9,FALSE()),""))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IF(DATOS!$A4907="",0,IF(CONFIG_METADATA!$B$4&lt;&gt;"OR+EX",--(DATOS!$G4907=CONFIG_METADATA!$B$4),IF(DATOS!$G4907="EX",1,IF(DATOS!$G4907="OR",--(COUNTIFS(nNIA,DATOS!$A4907,nCURSO,DATOS!$D4907,nESPEC,DATOS!$E4907,nASIG,DATOS!$I4907,nEVAL,"EX")=0),0))))</f>
      </c>
      <c r="H4907">
        <f>IF(DATOS!$G4907&lt;&gt;"EX",0,--(COUNTIFS(nNIA,DATOS!$A4907,nCURSO,DATOS!$D4907,nESPEC,DATOS!$E4907,nASIG,DATOS!$I4907,nEVAL,"OR")=0))</f>
      </c>
      <c r="I4907">
        <f>IF(DATOS!$I4907="","",IFERROR(VLOOKUP(DATOS!$I4907,CONFIG_ASIGNATURAS!$B$2:$J$91,9,FALSE()),""))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IF(DATOS!$A4908="",0,IF(CONFIG_METADATA!$B$4&lt;&gt;"OR+EX",--(DATOS!$G4908=CONFIG_METADATA!$B$4),IF(DATOS!$G4908="EX",1,IF(DATOS!$G4908="OR",--(COUNTIFS(nNIA,DATOS!$A4908,nCURSO,DATOS!$D4908,nESPEC,DATOS!$E4908,nASIG,DATOS!$I4908,nEVAL,"EX")=0),0))))</f>
      </c>
      <c r="H4908">
        <f>IF(DATOS!$G4908&lt;&gt;"EX",0,--(COUNTIFS(nNIA,DATOS!$A4908,nCURSO,DATOS!$D4908,nESPEC,DATOS!$E4908,nASIG,DATOS!$I4908,nEVAL,"OR")=0))</f>
      </c>
      <c r="I4908">
        <f>IF(DATOS!$I4908="","",IFERROR(VLOOKUP(DATOS!$I4908,CONFIG_ASIGNATURAS!$B$2:$J$91,9,FALSE()),""))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IF(DATOS!$A4909="",0,IF(CONFIG_METADATA!$B$4&lt;&gt;"OR+EX",--(DATOS!$G4909=CONFIG_METADATA!$B$4),IF(DATOS!$G4909="EX",1,IF(DATOS!$G4909="OR",--(COUNTIFS(nNIA,DATOS!$A4909,nCURSO,DATOS!$D4909,nESPEC,DATOS!$E4909,nASIG,DATOS!$I4909,nEVAL,"EX")=0),0))))</f>
      </c>
      <c r="H4909">
        <f>IF(DATOS!$G4909&lt;&gt;"EX",0,--(COUNTIFS(nNIA,DATOS!$A4909,nCURSO,DATOS!$D4909,nESPEC,DATOS!$E4909,nASIG,DATOS!$I4909,nEVAL,"OR")=0))</f>
      </c>
      <c r="I4909">
        <f>IF(DATOS!$I4909="","",IFERROR(VLOOKUP(DATOS!$I4909,CONFIG_ASIGNATURAS!$B$2:$J$91,9,FALSE()),""))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IF(DATOS!$A4910="",0,IF(CONFIG_METADATA!$B$4&lt;&gt;"OR+EX",--(DATOS!$G4910=CONFIG_METADATA!$B$4),IF(DATOS!$G4910="EX",1,IF(DATOS!$G4910="OR",--(COUNTIFS(nNIA,DATOS!$A4910,nCURSO,DATOS!$D4910,nESPEC,DATOS!$E4910,nASIG,DATOS!$I4910,nEVAL,"EX")=0),0))))</f>
      </c>
      <c r="H4910">
        <f>IF(DATOS!$G4910&lt;&gt;"EX",0,--(COUNTIFS(nNIA,DATOS!$A4910,nCURSO,DATOS!$D4910,nESPEC,DATOS!$E4910,nASIG,DATOS!$I4910,nEVAL,"OR")=0))</f>
      </c>
      <c r="I4910">
        <f>IF(DATOS!$I4910="","",IFERROR(VLOOKUP(DATOS!$I4910,CONFIG_ASIGNATURAS!$B$2:$J$91,9,FALSE()),""))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IF(DATOS!$A4911="",0,IF(CONFIG_METADATA!$B$4&lt;&gt;"OR+EX",--(DATOS!$G4911=CONFIG_METADATA!$B$4),IF(DATOS!$G4911="EX",1,IF(DATOS!$G4911="OR",--(COUNTIFS(nNIA,DATOS!$A4911,nCURSO,DATOS!$D4911,nESPEC,DATOS!$E4911,nASIG,DATOS!$I4911,nEVAL,"EX")=0),0))))</f>
      </c>
      <c r="H4911">
        <f>IF(DATOS!$G4911&lt;&gt;"EX",0,--(COUNTIFS(nNIA,DATOS!$A4911,nCURSO,DATOS!$D4911,nESPEC,DATOS!$E4911,nASIG,DATOS!$I4911,nEVAL,"OR")=0))</f>
      </c>
      <c r="I4911">
        <f>IF(DATOS!$I4911="","",IFERROR(VLOOKUP(DATOS!$I4911,CONFIG_ASIGNATURAS!$B$2:$J$91,9,FALSE()),""))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IF(DATOS!$A4912="",0,IF(CONFIG_METADATA!$B$4&lt;&gt;"OR+EX",--(DATOS!$G4912=CONFIG_METADATA!$B$4),IF(DATOS!$G4912="EX",1,IF(DATOS!$G4912="OR",--(COUNTIFS(nNIA,DATOS!$A4912,nCURSO,DATOS!$D4912,nESPEC,DATOS!$E4912,nASIG,DATOS!$I4912,nEVAL,"EX")=0),0))))</f>
      </c>
      <c r="H4912">
        <f>IF(DATOS!$G4912&lt;&gt;"EX",0,--(COUNTIFS(nNIA,DATOS!$A4912,nCURSO,DATOS!$D4912,nESPEC,DATOS!$E4912,nASIG,DATOS!$I4912,nEVAL,"OR")=0))</f>
      </c>
      <c r="I4912">
        <f>IF(DATOS!$I4912="","",IFERROR(VLOOKUP(DATOS!$I4912,CONFIG_ASIGNATURAS!$B$2:$J$91,9,FALSE()),""))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IF(DATOS!$A4913="",0,IF(CONFIG_METADATA!$B$4&lt;&gt;"OR+EX",--(DATOS!$G4913=CONFIG_METADATA!$B$4),IF(DATOS!$G4913="EX",1,IF(DATOS!$G4913="OR",--(COUNTIFS(nNIA,DATOS!$A4913,nCURSO,DATOS!$D4913,nESPEC,DATOS!$E4913,nASIG,DATOS!$I4913,nEVAL,"EX")=0),0))))</f>
      </c>
      <c r="H4913">
        <f>IF(DATOS!$G4913&lt;&gt;"EX",0,--(COUNTIFS(nNIA,DATOS!$A4913,nCURSO,DATOS!$D4913,nESPEC,DATOS!$E4913,nASIG,DATOS!$I4913,nEVAL,"OR")=0))</f>
      </c>
      <c r="I4913">
        <f>IF(DATOS!$I4913="","",IFERROR(VLOOKUP(DATOS!$I4913,CONFIG_ASIGNATURAS!$B$2:$J$91,9,FALSE()),""))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IF(DATOS!$A4914="",0,IF(CONFIG_METADATA!$B$4&lt;&gt;"OR+EX",--(DATOS!$G4914=CONFIG_METADATA!$B$4),IF(DATOS!$G4914="EX",1,IF(DATOS!$G4914="OR",--(COUNTIFS(nNIA,DATOS!$A4914,nCURSO,DATOS!$D4914,nESPEC,DATOS!$E4914,nASIG,DATOS!$I4914,nEVAL,"EX")=0),0))))</f>
      </c>
      <c r="H4914">
        <f>IF(DATOS!$G4914&lt;&gt;"EX",0,--(COUNTIFS(nNIA,DATOS!$A4914,nCURSO,DATOS!$D4914,nESPEC,DATOS!$E4914,nASIG,DATOS!$I4914,nEVAL,"OR")=0))</f>
      </c>
      <c r="I4914">
        <f>IF(DATOS!$I4914="","",IFERROR(VLOOKUP(DATOS!$I4914,CONFIG_ASIGNATURAS!$B$2:$J$91,9,FALSE()),""))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IF(DATOS!$A4915="",0,IF(CONFIG_METADATA!$B$4&lt;&gt;"OR+EX",--(DATOS!$G4915=CONFIG_METADATA!$B$4),IF(DATOS!$G4915="EX",1,IF(DATOS!$G4915="OR",--(COUNTIFS(nNIA,DATOS!$A4915,nCURSO,DATOS!$D4915,nESPEC,DATOS!$E4915,nASIG,DATOS!$I4915,nEVAL,"EX")=0),0))))</f>
      </c>
      <c r="H4915">
        <f>IF(DATOS!$G4915&lt;&gt;"EX",0,--(COUNTIFS(nNIA,DATOS!$A4915,nCURSO,DATOS!$D4915,nESPEC,DATOS!$E4915,nASIG,DATOS!$I4915,nEVAL,"OR")=0))</f>
      </c>
      <c r="I4915">
        <f>IF(DATOS!$I4915="","",IFERROR(VLOOKUP(DATOS!$I4915,CONFIG_ASIGNATURAS!$B$2:$J$91,9,FALSE()),""))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IF(DATOS!$A4916="",0,IF(CONFIG_METADATA!$B$4&lt;&gt;"OR+EX",--(DATOS!$G4916=CONFIG_METADATA!$B$4),IF(DATOS!$G4916="EX",1,IF(DATOS!$G4916="OR",--(COUNTIFS(nNIA,DATOS!$A4916,nCURSO,DATOS!$D4916,nESPEC,DATOS!$E4916,nASIG,DATOS!$I4916,nEVAL,"EX")=0),0))))</f>
      </c>
      <c r="H4916">
        <f>IF(DATOS!$G4916&lt;&gt;"EX",0,--(COUNTIFS(nNIA,DATOS!$A4916,nCURSO,DATOS!$D4916,nESPEC,DATOS!$E4916,nASIG,DATOS!$I4916,nEVAL,"OR")=0))</f>
      </c>
      <c r="I4916">
        <f>IF(DATOS!$I4916="","",IFERROR(VLOOKUP(DATOS!$I4916,CONFIG_ASIGNATURAS!$B$2:$J$91,9,FALSE()),""))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IF(DATOS!$A4917="",0,IF(CONFIG_METADATA!$B$4&lt;&gt;"OR+EX",--(DATOS!$G4917=CONFIG_METADATA!$B$4),IF(DATOS!$G4917="EX",1,IF(DATOS!$G4917="OR",--(COUNTIFS(nNIA,DATOS!$A4917,nCURSO,DATOS!$D4917,nESPEC,DATOS!$E4917,nASIG,DATOS!$I4917,nEVAL,"EX")=0),0))))</f>
      </c>
      <c r="H4917">
        <f>IF(DATOS!$G4917&lt;&gt;"EX",0,--(COUNTIFS(nNIA,DATOS!$A4917,nCURSO,DATOS!$D4917,nESPEC,DATOS!$E4917,nASIG,DATOS!$I4917,nEVAL,"OR")=0))</f>
      </c>
      <c r="I4917">
        <f>IF(DATOS!$I4917="","",IFERROR(VLOOKUP(DATOS!$I4917,CONFIG_ASIGNATURAS!$B$2:$J$91,9,FALSE()),""))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IF(DATOS!$A4918="",0,IF(CONFIG_METADATA!$B$4&lt;&gt;"OR+EX",--(DATOS!$G4918=CONFIG_METADATA!$B$4),IF(DATOS!$G4918="EX",1,IF(DATOS!$G4918="OR",--(COUNTIFS(nNIA,DATOS!$A4918,nCURSO,DATOS!$D4918,nESPEC,DATOS!$E4918,nASIG,DATOS!$I4918,nEVAL,"EX")=0),0))))</f>
      </c>
      <c r="H4918">
        <f>IF(DATOS!$G4918&lt;&gt;"EX",0,--(COUNTIFS(nNIA,DATOS!$A4918,nCURSO,DATOS!$D4918,nESPEC,DATOS!$E4918,nASIG,DATOS!$I4918,nEVAL,"OR")=0))</f>
      </c>
      <c r="I4918">
        <f>IF(DATOS!$I4918="","",IFERROR(VLOOKUP(DATOS!$I4918,CONFIG_ASIGNATURAS!$B$2:$J$91,9,FALSE()),""))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IF(DATOS!$A4919="",0,IF(CONFIG_METADATA!$B$4&lt;&gt;"OR+EX",--(DATOS!$G4919=CONFIG_METADATA!$B$4),IF(DATOS!$G4919="EX",1,IF(DATOS!$G4919="OR",--(COUNTIFS(nNIA,DATOS!$A4919,nCURSO,DATOS!$D4919,nESPEC,DATOS!$E4919,nASIG,DATOS!$I4919,nEVAL,"EX")=0),0))))</f>
      </c>
      <c r="H4919">
        <f>IF(DATOS!$G4919&lt;&gt;"EX",0,--(COUNTIFS(nNIA,DATOS!$A4919,nCURSO,DATOS!$D4919,nESPEC,DATOS!$E4919,nASIG,DATOS!$I4919,nEVAL,"OR")=0))</f>
      </c>
      <c r="I4919">
        <f>IF(DATOS!$I4919="","",IFERROR(VLOOKUP(DATOS!$I4919,CONFIG_ASIGNATURAS!$B$2:$J$91,9,FALSE()),""))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IF(DATOS!$A4920="",0,IF(CONFIG_METADATA!$B$4&lt;&gt;"OR+EX",--(DATOS!$G4920=CONFIG_METADATA!$B$4),IF(DATOS!$G4920="EX",1,IF(DATOS!$G4920="OR",--(COUNTIFS(nNIA,DATOS!$A4920,nCURSO,DATOS!$D4920,nESPEC,DATOS!$E4920,nASIG,DATOS!$I4920,nEVAL,"EX")=0),0))))</f>
      </c>
      <c r="H4920">
        <f>IF(DATOS!$G4920&lt;&gt;"EX",0,--(COUNTIFS(nNIA,DATOS!$A4920,nCURSO,DATOS!$D4920,nESPEC,DATOS!$E4920,nASIG,DATOS!$I4920,nEVAL,"OR")=0))</f>
      </c>
      <c r="I4920">
        <f>IF(DATOS!$I4920="","",IFERROR(VLOOKUP(DATOS!$I4920,CONFIG_ASIGNATURAS!$B$2:$J$91,9,FALSE()),""))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IF(DATOS!$A4921="",0,IF(CONFIG_METADATA!$B$4&lt;&gt;"OR+EX",--(DATOS!$G4921=CONFIG_METADATA!$B$4),IF(DATOS!$G4921="EX",1,IF(DATOS!$G4921="OR",--(COUNTIFS(nNIA,DATOS!$A4921,nCURSO,DATOS!$D4921,nESPEC,DATOS!$E4921,nASIG,DATOS!$I4921,nEVAL,"EX")=0),0))))</f>
      </c>
      <c r="H4921">
        <f>IF(DATOS!$G4921&lt;&gt;"EX",0,--(COUNTIFS(nNIA,DATOS!$A4921,nCURSO,DATOS!$D4921,nESPEC,DATOS!$E4921,nASIG,DATOS!$I4921,nEVAL,"OR")=0))</f>
      </c>
      <c r="I4921">
        <f>IF(DATOS!$I4921="","",IFERROR(VLOOKUP(DATOS!$I4921,CONFIG_ASIGNATURAS!$B$2:$J$91,9,FALSE()),""))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IF(DATOS!$A4922="",0,IF(CONFIG_METADATA!$B$4&lt;&gt;"OR+EX",--(DATOS!$G4922=CONFIG_METADATA!$B$4),IF(DATOS!$G4922="EX",1,IF(DATOS!$G4922="OR",--(COUNTIFS(nNIA,DATOS!$A4922,nCURSO,DATOS!$D4922,nESPEC,DATOS!$E4922,nASIG,DATOS!$I4922,nEVAL,"EX")=0),0))))</f>
      </c>
      <c r="H4922">
        <f>IF(DATOS!$G4922&lt;&gt;"EX",0,--(COUNTIFS(nNIA,DATOS!$A4922,nCURSO,DATOS!$D4922,nESPEC,DATOS!$E4922,nASIG,DATOS!$I4922,nEVAL,"OR")=0))</f>
      </c>
      <c r="I4922">
        <f>IF(DATOS!$I4922="","",IFERROR(VLOOKUP(DATOS!$I4922,CONFIG_ASIGNATURAS!$B$2:$J$91,9,FALSE()),""))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IF(DATOS!$A4923="",0,IF(CONFIG_METADATA!$B$4&lt;&gt;"OR+EX",--(DATOS!$G4923=CONFIG_METADATA!$B$4),IF(DATOS!$G4923="EX",1,IF(DATOS!$G4923="OR",--(COUNTIFS(nNIA,DATOS!$A4923,nCURSO,DATOS!$D4923,nESPEC,DATOS!$E4923,nASIG,DATOS!$I4923,nEVAL,"EX")=0),0))))</f>
      </c>
      <c r="H4923">
        <f>IF(DATOS!$G4923&lt;&gt;"EX",0,--(COUNTIFS(nNIA,DATOS!$A4923,nCURSO,DATOS!$D4923,nESPEC,DATOS!$E4923,nASIG,DATOS!$I4923,nEVAL,"OR")=0))</f>
      </c>
      <c r="I4923">
        <f>IF(DATOS!$I4923="","",IFERROR(VLOOKUP(DATOS!$I4923,CONFIG_ASIGNATURAS!$B$2:$J$91,9,FALSE()),""))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IF(DATOS!$A4924="",0,IF(CONFIG_METADATA!$B$4&lt;&gt;"OR+EX",--(DATOS!$G4924=CONFIG_METADATA!$B$4),IF(DATOS!$G4924="EX",1,IF(DATOS!$G4924="OR",--(COUNTIFS(nNIA,DATOS!$A4924,nCURSO,DATOS!$D4924,nESPEC,DATOS!$E4924,nASIG,DATOS!$I4924,nEVAL,"EX")=0),0))))</f>
      </c>
      <c r="H4924">
        <f>IF(DATOS!$G4924&lt;&gt;"EX",0,--(COUNTIFS(nNIA,DATOS!$A4924,nCURSO,DATOS!$D4924,nESPEC,DATOS!$E4924,nASIG,DATOS!$I4924,nEVAL,"OR")=0))</f>
      </c>
      <c r="I4924">
        <f>IF(DATOS!$I4924="","",IFERROR(VLOOKUP(DATOS!$I4924,CONFIG_ASIGNATURAS!$B$2:$J$91,9,FALSE()),""))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IF(DATOS!$A4925="",0,IF(CONFIG_METADATA!$B$4&lt;&gt;"OR+EX",--(DATOS!$G4925=CONFIG_METADATA!$B$4),IF(DATOS!$G4925="EX",1,IF(DATOS!$G4925="OR",--(COUNTIFS(nNIA,DATOS!$A4925,nCURSO,DATOS!$D4925,nESPEC,DATOS!$E4925,nASIG,DATOS!$I4925,nEVAL,"EX")=0),0))))</f>
      </c>
      <c r="H4925">
        <f>IF(DATOS!$G4925&lt;&gt;"EX",0,--(COUNTIFS(nNIA,DATOS!$A4925,nCURSO,DATOS!$D4925,nESPEC,DATOS!$E4925,nASIG,DATOS!$I4925,nEVAL,"OR")=0))</f>
      </c>
      <c r="I4925">
        <f>IF(DATOS!$I4925="","",IFERROR(VLOOKUP(DATOS!$I4925,CONFIG_ASIGNATURAS!$B$2:$J$91,9,FALSE()),""))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IF(DATOS!$A4926="",0,IF(CONFIG_METADATA!$B$4&lt;&gt;"OR+EX",--(DATOS!$G4926=CONFIG_METADATA!$B$4),IF(DATOS!$G4926="EX",1,IF(DATOS!$G4926="OR",--(COUNTIFS(nNIA,DATOS!$A4926,nCURSO,DATOS!$D4926,nESPEC,DATOS!$E4926,nASIG,DATOS!$I4926,nEVAL,"EX")=0),0))))</f>
      </c>
      <c r="H4926">
        <f>IF(DATOS!$G4926&lt;&gt;"EX",0,--(COUNTIFS(nNIA,DATOS!$A4926,nCURSO,DATOS!$D4926,nESPEC,DATOS!$E4926,nASIG,DATOS!$I4926,nEVAL,"OR")=0))</f>
      </c>
      <c r="I4926">
        <f>IF(DATOS!$I4926="","",IFERROR(VLOOKUP(DATOS!$I4926,CONFIG_ASIGNATURAS!$B$2:$J$91,9,FALSE()),""))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IF(DATOS!$A4927="",0,IF(CONFIG_METADATA!$B$4&lt;&gt;"OR+EX",--(DATOS!$G4927=CONFIG_METADATA!$B$4),IF(DATOS!$G4927="EX",1,IF(DATOS!$G4927="OR",--(COUNTIFS(nNIA,DATOS!$A4927,nCURSO,DATOS!$D4927,nESPEC,DATOS!$E4927,nASIG,DATOS!$I4927,nEVAL,"EX")=0),0))))</f>
      </c>
      <c r="H4927">
        <f>IF(DATOS!$G4927&lt;&gt;"EX",0,--(COUNTIFS(nNIA,DATOS!$A4927,nCURSO,DATOS!$D4927,nESPEC,DATOS!$E4927,nASIG,DATOS!$I4927,nEVAL,"OR")=0))</f>
      </c>
      <c r="I4927">
        <f>IF(DATOS!$I4927="","",IFERROR(VLOOKUP(DATOS!$I4927,CONFIG_ASIGNATURAS!$B$2:$J$91,9,FALSE()),""))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IF(DATOS!$A4928="",0,IF(CONFIG_METADATA!$B$4&lt;&gt;"OR+EX",--(DATOS!$G4928=CONFIG_METADATA!$B$4),IF(DATOS!$G4928="EX",1,IF(DATOS!$G4928="OR",--(COUNTIFS(nNIA,DATOS!$A4928,nCURSO,DATOS!$D4928,nESPEC,DATOS!$E4928,nASIG,DATOS!$I4928,nEVAL,"EX")=0),0))))</f>
      </c>
      <c r="H4928">
        <f>IF(DATOS!$G4928&lt;&gt;"EX",0,--(COUNTIFS(nNIA,DATOS!$A4928,nCURSO,DATOS!$D4928,nESPEC,DATOS!$E4928,nASIG,DATOS!$I4928,nEVAL,"OR")=0))</f>
      </c>
      <c r="I4928">
        <f>IF(DATOS!$I4928="","",IFERROR(VLOOKUP(DATOS!$I4928,CONFIG_ASIGNATURAS!$B$2:$J$91,9,FALSE()),""))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IF(DATOS!$A4929="",0,IF(CONFIG_METADATA!$B$4&lt;&gt;"OR+EX",--(DATOS!$G4929=CONFIG_METADATA!$B$4),IF(DATOS!$G4929="EX",1,IF(DATOS!$G4929="OR",--(COUNTIFS(nNIA,DATOS!$A4929,nCURSO,DATOS!$D4929,nESPEC,DATOS!$E4929,nASIG,DATOS!$I4929,nEVAL,"EX")=0),0))))</f>
      </c>
      <c r="H4929">
        <f>IF(DATOS!$G4929&lt;&gt;"EX",0,--(COUNTIFS(nNIA,DATOS!$A4929,nCURSO,DATOS!$D4929,nESPEC,DATOS!$E4929,nASIG,DATOS!$I4929,nEVAL,"OR")=0))</f>
      </c>
      <c r="I4929">
        <f>IF(DATOS!$I4929="","",IFERROR(VLOOKUP(DATOS!$I4929,CONFIG_ASIGNATURAS!$B$2:$J$91,9,FALSE()),""))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IF(DATOS!$A4930="",0,IF(CONFIG_METADATA!$B$4&lt;&gt;"OR+EX",--(DATOS!$G4930=CONFIG_METADATA!$B$4),IF(DATOS!$G4930="EX",1,IF(DATOS!$G4930="OR",--(COUNTIFS(nNIA,DATOS!$A4930,nCURSO,DATOS!$D4930,nESPEC,DATOS!$E4930,nASIG,DATOS!$I4930,nEVAL,"EX")=0),0))))</f>
      </c>
      <c r="H4930">
        <f>IF(DATOS!$G4930&lt;&gt;"EX",0,--(COUNTIFS(nNIA,DATOS!$A4930,nCURSO,DATOS!$D4930,nESPEC,DATOS!$E4930,nASIG,DATOS!$I4930,nEVAL,"OR")=0))</f>
      </c>
      <c r="I4930">
        <f>IF(DATOS!$I4930="","",IFERROR(VLOOKUP(DATOS!$I4930,CONFIG_ASIGNATURAS!$B$2:$J$91,9,FALSE()),""))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IF(DATOS!$A4931="",0,IF(CONFIG_METADATA!$B$4&lt;&gt;"OR+EX",--(DATOS!$G4931=CONFIG_METADATA!$B$4),IF(DATOS!$G4931="EX",1,IF(DATOS!$G4931="OR",--(COUNTIFS(nNIA,DATOS!$A4931,nCURSO,DATOS!$D4931,nESPEC,DATOS!$E4931,nASIG,DATOS!$I4931,nEVAL,"EX")=0),0))))</f>
      </c>
      <c r="H4931">
        <f>IF(DATOS!$G4931&lt;&gt;"EX",0,--(COUNTIFS(nNIA,DATOS!$A4931,nCURSO,DATOS!$D4931,nESPEC,DATOS!$E4931,nASIG,DATOS!$I4931,nEVAL,"OR")=0))</f>
      </c>
      <c r="I4931">
        <f>IF(DATOS!$I4931="","",IFERROR(VLOOKUP(DATOS!$I4931,CONFIG_ASIGNATURAS!$B$2:$J$91,9,FALSE()),""))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IF(DATOS!$A4932="",0,IF(CONFIG_METADATA!$B$4&lt;&gt;"OR+EX",--(DATOS!$G4932=CONFIG_METADATA!$B$4),IF(DATOS!$G4932="EX",1,IF(DATOS!$G4932="OR",--(COUNTIFS(nNIA,DATOS!$A4932,nCURSO,DATOS!$D4932,nESPEC,DATOS!$E4932,nASIG,DATOS!$I4932,nEVAL,"EX")=0),0))))</f>
      </c>
      <c r="H4932">
        <f>IF(DATOS!$G4932&lt;&gt;"EX",0,--(COUNTIFS(nNIA,DATOS!$A4932,nCURSO,DATOS!$D4932,nESPEC,DATOS!$E4932,nASIG,DATOS!$I4932,nEVAL,"OR")=0))</f>
      </c>
      <c r="I4932">
        <f>IF(DATOS!$I4932="","",IFERROR(VLOOKUP(DATOS!$I4932,CONFIG_ASIGNATURAS!$B$2:$J$91,9,FALSE()),""))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IF(DATOS!$A4933="",0,IF(CONFIG_METADATA!$B$4&lt;&gt;"OR+EX",--(DATOS!$G4933=CONFIG_METADATA!$B$4),IF(DATOS!$G4933="EX",1,IF(DATOS!$G4933="OR",--(COUNTIFS(nNIA,DATOS!$A4933,nCURSO,DATOS!$D4933,nESPEC,DATOS!$E4933,nASIG,DATOS!$I4933,nEVAL,"EX")=0),0))))</f>
      </c>
      <c r="H4933">
        <f>IF(DATOS!$G4933&lt;&gt;"EX",0,--(COUNTIFS(nNIA,DATOS!$A4933,nCURSO,DATOS!$D4933,nESPEC,DATOS!$E4933,nASIG,DATOS!$I4933,nEVAL,"OR")=0))</f>
      </c>
      <c r="I4933">
        <f>IF(DATOS!$I4933="","",IFERROR(VLOOKUP(DATOS!$I4933,CONFIG_ASIGNATURAS!$B$2:$J$91,9,FALSE()),""))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IF(DATOS!$A4934="",0,IF(CONFIG_METADATA!$B$4&lt;&gt;"OR+EX",--(DATOS!$G4934=CONFIG_METADATA!$B$4),IF(DATOS!$G4934="EX",1,IF(DATOS!$G4934="OR",--(COUNTIFS(nNIA,DATOS!$A4934,nCURSO,DATOS!$D4934,nESPEC,DATOS!$E4934,nASIG,DATOS!$I4934,nEVAL,"EX")=0),0))))</f>
      </c>
      <c r="H4934">
        <f>IF(DATOS!$G4934&lt;&gt;"EX",0,--(COUNTIFS(nNIA,DATOS!$A4934,nCURSO,DATOS!$D4934,nESPEC,DATOS!$E4934,nASIG,DATOS!$I4934,nEVAL,"OR")=0))</f>
      </c>
      <c r="I4934">
        <f>IF(DATOS!$I4934="","",IFERROR(VLOOKUP(DATOS!$I4934,CONFIG_ASIGNATURAS!$B$2:$J$91,9,FALSE()),""))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IF(DATOS!$A4935="",0,IF(CONFIG_METADATA!$B$4&lt;&gt;"OR+EX",--(DATOS!$G4935=CONFIG_METADATA!$B$4),IF(DATOS!$G4935="EX",1,IF(DATOS!$G4935="OR",--(COUNTIFS(nNIA,DATOS!$A4935,nCURSO,DATOS!$D4935,nESPEC,DATOS!$E4935,nASIG,DATOS!$I4935,nEVAL,"EX")=0),0))))</f>
      </c>
      <c r="H4935">
        <f>IF(DATOS!$G4935&lt;&gt;"EX",0,--(COUNTIFS(nNIA,DATOS!$A4935,nCURSO,DATOS!$D4935,nESPEC,DATOS!$E4935,nASIG,DATOS!$I4935,nEVAL,"OR")=0))</f>
      </c>
      <c r="I4935">
        <f>IF(DATOS!$I4935="","",IFERROR(VLOOKUP(DATOS!$I4935,CONFIG_ASIGNATURAS!$B$2:$J$91,9,FALSE()),""))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IF(DATOS!$A4936="",0,IF(CONFIG_METADATA!$B$4&lt;&gt;"OR+EX",--(DATOS!$G4936=CONFIG_METADATA!$B$4),IF(DATOS!$G4936="EX",1,IF(DATOS!$G4936="OR",--(COUNTIFS(nNIA,DATOS!$A4936,nCURSO,DATOS!$D4936,nESPEC,DATOS!$E4936,nASIG,DATOS!$I4936,nEVAL,"EX")=0),0))))</f>
      </c>
      <c r="H4936">
        <f>IF(DATOS!$G4936&lt;&gt;"EX",0,--(COUNTIFS(nNIA,DATOS!$A4936,nCURSO,DATOS!$D4936,nESPEC,DATOS!$E4936,nASIG,DATOS!$I4936,nEVAL,"OR")=0))</f>
      </c>
      <c r="I4936">
        <f>IF(DATOS!$I4936="","",IFERROR(VLOOKUP(DATOS!$I4936,CONFIG_ASIGNATURAS!$B$2:$J$91,9,FALSE()),""))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IF(DATOS!$A4937="",0,IF(CONFIG_METADATA!$B$4&lt;&gt;"OR+EX",--(DATOS!$G4937=CONFIG_METADATA!$B$4),IF(DATOS!$G4937="EX",1,IF(DATOS!$G4937="OR",--(COUNTIFS(nNIA,DATOS!$A4937,nCURSO,DATOS!$D4937,nESPEC,DATOS!$E4937,nASIG,DATOS!$I4937,nEVAL,"EX")=0),0))))</f>
      </c>
      <c r="H4937">
        <f>IF(DATOS!$G4937&lt;&gt;"EX",0,--(COUNTIFS(nNIA,DATOS!$A4937,nCURSO,DATOS!$D4937,nESPEC,DATOS!$E4937,nASIG,DATOS!$I4937,nEVAL,"OR")=0))</f>
      </c>
      <c r="I4937">
        <f>IF(DATOS!$I4937="","",IFERROR(VLOOKUP(DATOS!$I4937,CONFIG_ASIGNATURAS!$B$2:$J$91,9,FALSE()),""))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IF(DATOS!$A4938="",0,IF(CONFIG_METADATA!$B$4&lt;&gt;"OR+EX",--(DATOS!$G4938=CONFIG_METADATA!$B$4),IF(DATOS!$G4938="EX",1,IF(DATOS!$G4938="OR",--(COUNTIFS(nNIA,DATOS!$A4938,nCURSO,DATOS!$D4938,nESPEC,DATOS!$E4938,nASIG,DATOS!$I4938,nEVAL,"EX")=0),0))))</f>
      </c>
      <c r="H4938">
        <f>IF(DATOS!$G4938&lt;&gt;"EX",0,--(COUNTIFS(nNIA,DATOS!$A4938,nCURSO,DATOS!$D4938,nESPEC,DATOS!$E4938,nASIG,DATOS!$I4938,nEVAL,"OR")=0))</f>
      </c>
      <c r="I4938">
        <f>IF(DATOS!$I4938="","",IFERROR(VLOOKUP(DATOS!$I4938,CONFIG_ASIGNATURAS!$B$2:$J$91,9,FALSE()),""))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IF(DATOS!$A4939="",0,IF(CONFIG_METADATA!$B$4&lt;&gt;"OR+EX",--(DATOS!$G4939=CONFIG_METADATA!$B$4),IF(DATOS!$G4939="EX",1,IF(DATOS!$G4939="OR",--(COUNTIFS(nNIA,DATOS!$A4939,nCURSO,DATOS!$D4939,nESPEC,DATOS!$E4939,nASIG,DATOS!$I4939,nEVAL,"EX")=0),0))))</f>
      </c>
      <c r="H4939">
        <f>IF(DATOS!$G4939&lt;&gt;"EX",0,--(COUNTIFS(nNIA,DATOS!$A4939,nCURSO,DATOS!$D4939,nESPEC,DATOS!$E4939,nASIG,DATOS!$I4939,nEVAL,"OR")=0))</f>
      </c>
      <c r="I4939">
        <f>IF(DATOS!$I4939="","",IFERROR(VLOOKUP(DATOS!$I4939,CONFIG_ASIGNATURAS!$B$2:$J$91,9,FALSE()),""))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IF(DATOS!$A4940="",0,IF(CONFIG_METADATA!$B$4&lt;&gt;"OR+EX",--(DATOS!$G4940=CONFIG_METADATA!$B$4),IF(DATOS!$G4940="EX",1,IF(DATOS!$G4940="OR",--(COUNTIFS(nNIA,DATOS!$A4940,nCURSO,DATOS!$D4940,nESPEC,DATOS!$E4940,nASIG,DATOS!$I4940,nEVAL,"EX")=0),0))))</f>
      </c>
      <c r="H4940">
        <f>IF(DATOS!$G4940&lt;&gt;"EX",0,--(COUNTIFS(nNIA,DATOS!$A4940,nCURSO,DATOS!$D4940,nESPEC,DATOS!$E4940,nASIG,DATOS!$I4940,nEVAL,"OR")=0))</f>
      </c>
      <c r="I4940">
        <f>IF(DATOS!$I4940="","",IFERROR(VLOOKUP(DATOS!$I4940,CONFIG_ASIGNATURAS!$B$2:$J$91,9,FALSE()),""))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IF(DATOS!$A4941="",0,IF(CONFIG_METADATA!$B$4&lt;&gt;"OR+EX",--(DATOS!$G4941=CONFIG_METADATA!$B$4),IF(DATOS!$G4941="EX",1,IF(DATOS!$G4941="OR",--(COUNTIFS(nNIA,DATOS!$A4941,nCURSO,DATOS!$D4941,nESPEC,DATOS!$E4941,nASIG,DATOS!$I4941,nEVAL,"EX")=0),0))))</f>
      </c>
      <c r="H4941">
        <f>IF(DATOS!$G4941&lt;&gt;"EX",0,--(COUNTIFS(nNIA,DATOS!$A4941,nCURSO,DATOS!$D4941,nESPEC,DATOS!$E4941,nASIG,DATOS!$I4941,nEVAL,"OR")=0))</f>
      </c>
      <c r="I4941">
        <f>IF(DATOS!$I4941="","",IFERROR(VLOOKUP(DATOS!$I4941,CONFIG_ASIGNATURAS!$B$2:$J$91,9,FALSE()),""))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IF(DATOS!$A4942="",0,IF(CONFIG_METADATA!$B$4&lt;&gt;"OR+EX",--(DATOS!$G4942=CONFIG_METADATA!$B$4),IF(DATOS!$G4942="EX",1,IF(DATOS!$G4942="OR",--(COUNTIFS(nNIA,DATOS!$A4942,nCURSO,DATOS!$D4942,nESPEC,DATOS!$E4942,nASIG,DATOS!$I4942,nEVAL,"EX")=0),0))))</f>
      </c>
      <c r="H4942">
        <f>IF(DATOS!$G4942&lt;&gt;"EX",0,--(COUNTIFS(nNIA,DATOS!$A4942,nCURSO,DATOS!$D4942,nESPEC,DATOS!$E4942,nASIG,DATOS!$I4942,nEVAL,"OR")=0))</f>
      </c>
      <c r="I4942">
        <f>IF(DATOS!$I4942="","",IFERROR(VLOOKUP(DATOS!$I4942,CONFIG_ASIGNATURAS!$B$2:$J$91,9,FALSE()),""))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IF(DATOS!$A4943="",0,IF(CONFIG_METADATA!$B$4&lt;&gt;"OR+EX",--(DATOS!$G4943=CONFIG_METADATA!$B$4),IF(DATOS!$G4943="EX",1,IF(DATOS!$G4943="OR",--(COUNTIFS(nNIA,DATOS!$A4943,nCURSO,DATOS!$D4943,nESPEC,DATOS!$E4943,nASIG,DATOS!$I4943,nEVAL,"EX")=0),0))))</f>
      </c>
      <c r="H4943">
        <f>IF(DATOS!$G4943&lt;&gt;"EX",0,--(COUNTIFS(nNIA,DATOS!$A4943,nCURSO,DATOS!$D4943,nESPEC,DATOS!$E4943,nASIG,DATOS!$I4943,nEVAL,"OR")=0))</f>
      </c>
      <c r="I4943">
        <f>IF(DATOS!$I4943="","",IFERROR(VLOOKUP(DATOS!$I4943,CONFIG_ASIGNATURAS!$B$2:$J$91,9,FALSE()),""))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IF(DATOS!$A4944="",0,IF(CONFIG_METADATA!$B$4&lt;&gt;"OR+EX",--(DATOS!$G4944=CONFIG_METADATA!$B$4),IF(DATOS!$G4944="EX",1,IF(DATOS!$G4944="OR",--(COUNTIFS(nNIA,DATOS!$A4944,nCURSO,DATOS!$D4944,nESPEC,DATOS!$E4944,nASIG,DATOS!$I4944,nEVAL,"EX")=0),0))))</f>
      </c>
      <c r="H4944">
        <f>IF(DATOS!$G4944&lt;&gt;"EX",0,--(COUNTIFS(nNIA,DATOS!$A4944,nCURSO,DATOS!$D4944,nESPEC,DATOS!$E4944,nASIG,DATOS!$I4944,nEVAL,"OR")=0))</f>
      </c>
      <c r="I4944">
        <f>IF(DATOS!$I4944="","",IFERROR(VLOOKUP(DATOS!$I4944,CONFIG_ASIGNATURAS!$B$2:$J$91,9,FALSE()),""))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IF(DATOS!$A4945="",0,IF(CONFIG_METADATA!$B$4&lt;&gt;"OR+EX",--(DATOS!$G4945=CONFIG_METADATA!$B$4),IF(DATOS!$G4945="EX",1,IF(DATOS!$G4945="OR",--(COUNTIFS(nNIA,DATOS!$A4945,nCURSO,DATOS!$D4945,nESPEC,DATOS!$E4945,nASIG,DATOS!$I4945,nEVAL,"EX")=0),0))))</f>
      </c>
      <c r="H4945">
        <f>IF(DATOS!$G4945&lt;&gt;"EX",0,--(COUNTIFS(nNIA,DATOS!$A4945,nCURSO,DATOS!$D4945,nESPEC,DATOS!$E4945,nASIG,DATOS!$I4945,nEVAL,"OR")=0))</f>
      </c>
      <c r="I4945">
        <f>IF(DATOS!$I4945="","",IFERROR(VLOOKUP(DATOS!$I4945,CONFIG_ASIGNATURAS!$B$2:$J$91,9,FALSE()),""))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IF(DATOS!$A4946="",0,IF(CONFIG_METADATA!$B$4&lt;&gt;"OR+EX",--(DATOS!$G4946=CONFIG_METADATA!$B$4),IF(DATOS!$G4946="EX",1,IF(DATOS!$G4946="OR",--(COUNTIFS(nNIA,DATOS!$A4946,nCURSO,DATOS!$D4946,nESPEC,DATOS!$E4946,nASIG,DATOS!$I4946,nEVAL,"EX")=0),0))))</f>
      </c>
      <c r="H4946">
        <f>IF(DATOS!$G4946&lt;&gt;"EX",0,--(COUNTIFS(nNIA,DATOS!$A4946,nCURSO,DATOS!$D4946,nESPEC,DATOS!$E4946,nASIG,DATOS!$I4946,nEVAL,"OR")=0))</f>
      </c>
      <c r="I4946">
        <f>IF(DATOS!$I4946="","",IFERROR(VLOOKUP(DATOS!$I4946,CONFIG_ASIGNATURAS!$B$2:$J$91,9,FALSE()),""))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IF(DATOS!$A4947="",0,IF(CONFIG_METADATA!$B$4&lt;&gt;"OR+EX",--(DATOS!$G4947=CONFIG_METADATA!$B$4),IF(DATOS!$G4947="EX",1,IF(DATOS!$G4947="OR",--(COUNTIFS(nNIA,DATOS!$A4947,nCURSO,DATOS!$D4947,nESPEC,DATOS!$E4947,nASIG,DATOS!$I4947,nEVAL,"EX")=0),0))))</f>
      </c>
      <c r="H4947">
        <f>IF(DATOS!$G4947&lt;&gt;"EX",0,--(COUNTIFS(nNIA,DATOS!$A4947,nCURSO,DATOS!$D4947,nESPEC,DATOS!$E4947,nASIG,DATOS!$I4947,nEVAL,"OR")=0))</f>
      </c>
      <c r="I4947">
        <f>IF(DATOS!$I4947="","",IFERROR(VLOOKUP(DATOS!$I4947,CONFIG_ASIGNATURAS!$B$2:$J$91,9,FALSE()),""))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IF(DATOS!$A4948="",0,IF(CONFIG_METADATA!$B$4&lt;&gt;"OR+EX",--(DATOS!$G4948=CONFIG_METADATA!$B$4),IF(DATOS!$G4948="EX",1,IF(DATOS!$G4948="OR",--(COUNTIFS(nNIA,DATOS!$A4948,nCURSO,DATOS!$D4948,nESPEC,DATOS!$E4948,nASIG,DATOS!$I4948,nEVAL,"EX")=0),0))))</f>
      </c>
      <c r="H4948">
        <f>IF(DATOS!$G4948&lt;&gt;"EX",0,--(COUNTIFS(nNIA,DATOS!$A4948,nCURSO,DATOS!$D4948,nESPEC,DATOS!$E4948,nASIG,DATOS!$I4948,nEVAL,"OR")=0))</f>
      </c>
      <c r="I4948">
        <f>IF(DATOS!$I4948="","",IFERROR(VLOOKUP(DATOS!$I4948,CONFIG_ASIGNATURAS!$B$2:$J$91,9,FALSE()),""))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IF(DATOS!$A4949="",0,IF(CONFIG_METADATA!$B$4&lt;&gt;"OR+EX",--(DATOS!$G4949=CONFIG_METADATA!$B$4),IF(DATOS!$G4949="EX",1,IF(DATOS!$G4949="OR",--(COUNTIFS(nNIA,DATOS!$A4949,nCURSO,DATOS!$D4949,nESPEC,DATOS!$E4949,nASIG,DATOS!$I4949,nEVAL,"EX")=0),0))))</f>
      </c>
      <c r="H4949">
        <f>IF(DATOS!$G4949&lt;&gt;"EX",0,--(COUNTIFS(nNIA,DATOS!$A4949,nCURSO,DATOS!$D4949,nESPEC,DATOS!$E4949,nASIG,DATOS!$I4949,nEVAL,"OR")=0))</f>
      </c>
      <c r="I4949">
        <f>IF(DATOS!$I4949="","",IFERROR(VLOOKUP(DATOS!$I4949,CONFIG_ASIGNATURAS!$B$2:$J$91,9,FALSE()),""))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IF(DATOS!$A4950="",0,IF(CONFIG_METADATA!$B$4&lt;&gt;"OR+EX",--(DATOS!$G4950=CONFIG_METADATA!$B$4),IF(DATOS!$G4950="EX",1,IF(DATOS!$G4950="OR",--(COUNTIFS(nNIA,DATOS!$A4950,nCURSO,DATOS!$D4950,nESPEC,DATOS!$E4950,nASIG,DATOS!$I4950,nEVAL,"EX")=0),0))))</f>
      </c>
      <c r="H4950">
        <f>IF(DATOS!$G4950&lt;&gt;"EX",0,--(COUNTIFS(nNIA,DATOS!$A4950,nCURSO,DATOS!$D4950,nESPEC,DATOS!$E4950,nASIG,DATOS!$I4950,nEVAL,"OR")=0))</f>
      </c>
      <c r="I4950">
        <f>IF(DATOS!$I4950="","",IFERROR(VLOOKUP(DATOS!$I4950,CONFIG_ASIGNATURAS!$B$2:$J$91,9,FALSE()),""))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IF(DATOS!$A4951="",0,IF(CONFIG_METADATA!$B$4&lt;&gt;"OR+EX",--(DATOS!$G4951=CONFIG_METADATA!$B$4),IF(DATOS!$G4951="EX",1,IF(DATOS!$G4951="OR",--(COUNTIFS(nNIA,DATOS!$A4951,nCURSO,DATOS!$D4951,nESPEC,DATOS!$E4951,nASIG,DATOS!$I4951,nEVAL,"EX")=0),0))))</f>
      </c>
      <c r="H4951">
        <f>IF(DATOS!$G4951&lt;&gt;"EX",0,--(COUNTIFS(nNIA,DATOS!$A4951,nCURSO,DATOS!$D4951,nESPEC,DATOS!$E4951,nASIG,DATOS!$I4951,nEVAL,"OR")=0))</f>
      </c>
      <c r="I4951">
        <f>IF(DATOS!$I4951="","",IFERROR(VLOOKUP(DATOS!$I4951,CONFIG_ASIGNATURAS!$B$2:$J$91,9,FALSE()),""))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IF(DATOS!$A4952="",0,IF(CONFIG_METADATA!$B$4&lt;&gt;"OR+EX",--(DATOS!$G4952=CONFIG_METADATA!$B$4),IF(DATOS!$G4952="EX",1,IF(DATOS!$G4952="OR",--(COUNTIFS(nNIA,DATOS!$A4952,nCURSO,DATOS!$D4952,nESPEC,DATOS!$E4952,nASIG,DATOS!$I4952,nEVAL,"EX")=0),0))))</f>
      </c>
      <c r="H4952">
        <f>IF(DATOS!$G4952&lt;&gt;"EX",0,--(COUNTIFS(nNIA,DATOS!$A4952,nCURSO,DATOS!$D4952,nESPEC,DATOS!$E4952,nASIG,DATOS!$I4952,nEVAL,"OR")=0))</f>
      </c>
      <c r="I4952">
        <f>IF(DATOS!$I4952="","",IFERROR(VLOOKUP(DATOS!$I4952,CONFIG_ASIGNATURAS!$B$2:$J$91,9,FALSE()),""))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IF(DATOS!$A4953="",0,IF(CONFIG_METADATA!$B$4&lt;&gt;"OR+EX",--(DATOS!$G4953=CONFIG_METADATA!$B$4),IF(DATOS!$G4953="EX",1,IF(DATOS!$G4953="OR",--(COUNTIFS(nNIA,DATOS!$A4953,nCURSO,DATOS!$D4953,nESPEC,DATOS!$E4953,nASIG,DATOS!$I4953,nEVAL,"EX")=0),0))))</f>
      </c>
      <c r="H4953">
        <f>IF(DATOS!$G4953&lt;&gt;"EX",0,--(COUNTIFS(nNIA,DATOS!$A4953,nCURSO,DATOS!$D4953,nESPEC,DATOS!$E4953,nASIG,DATOS!$I4953,nEVAL,"OR")=0))</f>
      </c>
      <c r="I4953">
        <f>IF(DATOS!$I4953="","",IFERROR(VLOOKUP(DATOS!$I4953,CONFIG_ASIGNATURAS!$B$2:$J$91,9,FALSE()),""))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IF(DATOS!$A4954="",0,IF(CONFIG_METADATA!$B$4&lt;&gt;"OR+EX",--(DATOS!$G4954=CONFIG_METADATA!$B$4),IF(DATOS!$G4954="EX",1,IF(DATOS!$G4954="OR",--(COUNTIFS(nNIA,DATOS!$A4954,nCURSO,DATOS!$D4954,nESPEC,DATOS!$E4954,nASIG,DATOS!$I4954,nEVAL,"EX")=0),0))))</f>
      </c>
      <c r="H4954">
        <f>IF(DATOS!$G4954&lt;&gt;"EX",0,--(COUNTIFS(nNIA,DATOS!$A4954,nCURSO,DATOS!$D4954,nESPEC,DATOS!$E4954,nASIG,DATOS!$I4954,nEVAL,"OR")=0))</f>
      </c>
      <c r="I4954">
        <f>IF(DATOS!$I4954="","",IFERROR(VLOOKUP(DATOS!$I4954,CONFIG_ASIGNATURAS!$B$2:$J$91,9,FALSE()),""))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IF(DATOS!$A4955="",0,IF(CONFIG_METADATA!$B$4&lt;&gt;"OR+EX",--(DATOS!$G4955=CONFIG_METADATA!$B$4),IF(DATOS!$G4955="EX",1,IF(DATOS!$G4955="OR",--(COUNTIFS(nNIA,DATOS!$A4955,nCURSO,DATOS!$D4955,nESPEC,DATOS!$E4955,nASIG,DATOS!$I4955,nEVAL,"EX")=0),0))))</f>
      </c>
      <c r="H4955">
        <f>IF(DATOS!$G4955&lt;&gt;"EX",0,--(COUNTIFS(nNIA,DATOS!$A4955,nCURSO,DATOS!$D4955,nESPEC,DATOS!$E4955,nASIG,DATOS!$I4955,nEVAL,"OR")=0))</f>
      </c>
      <c r="I4955">
        <f>IF(DATOS!$I4955="","",IFERROR(VLOOKUP(DATOS!$I4955,CONFIG_ASIGNATURAS!$B$2:$J$91,9,FALSE()),""))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IF(DATOS!$A4956="",0,IF(CONFIG_METADATA!$B$4&lt;&gt;"OR+EX",--(DATOS!$G4956=CONFIG_METADATA!$B$4),IF(DATOS!$G4956="EX",1,IF(DATOS!$G4956="OR",--(COUNTIFS(nNIA,DATOS!$A4956,nCURSO,DATOS!$D4956,nESPEC,DATOS!$E4956,nASIG,DATOS!$I4956,nEVAL,"EX")=0),0))))</f>
      </c>
      <c r="H4956">
        <f>IF(DATOS!$G4956&lt;&gt;"EX",0,--(COUNTIFS(nNIA,DATOS!$A4956,nCURSO,DATOS!$D4956,nESPEC,DATOS!$E4956,nASIG,DATOS!$I4956,nEVAL,"OR")=0))</f>
      </c>
      <c r="I4956">
        <f>IF(DATOS!$I4956="","",IFERROR(VLOOKUP(DATOS!$I4956,CONFIG_ASIGNATURAS!$B$2:$J$91,9,FALSE()),""))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IF(DATOS!$A4957="",0,IF(CONFIG_METADATA!$B$4&lt;&gt;"OR+EX",--(DATOS!$G4957=CONFIG_METADATA!$B$4),IF(DATOS!$G4957="EX",1,IF(DATOS!$G4957="OR",--(COUNTIFS(nNIA,DATOS!$A4957,nCURSO,DATOS!$D4957,nESPEC,DATOS!$E4957,nASIG,DATOS!$I4957,nEVAL,"EX")=0),0))))</f>
      </c>
      <c r="H4957">
        <f>IF(DATOS!$G4957&lt;&gt;"EX",0,--(COUNTIFS(nNIA,DATOS!$A4957,nCURSO,DATOS!$D4957,nESPEC,DATOS!$E4957,nASIG,DATOS!$I4957,nEVAL,"OR")=0))</f>
      </c>
      <c r="I4957">
        <f>IF(DATOS!$I4957="","",IFERROR(VLOOKUP(DATOS!$I4957,CONFIG_ASIGNATURAS!$B$2:$J$91,9,FALSE()),""))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IF(DATOS!$A4958="",0,IF(CONFIG_METADATA!$B$4&lt;&gt;"OR+EX",--(DATOS!$G4958=CONFIG_METADATA!$B$4),IF(DATOS!$G4958="EX",1,IF(DATOS!$G4958="OR",--(COUNTIFS(nNIA,DATOS!$A4958,nCURSO,DATOS!$D4958,nESPEC,DATOS!$E4958,nASIG,DATOS!$I4958,nEVAL,"EX")=0),0))))</f>
      </c>
      <c r="H4958">
        <f>IF(DATOS!$G4958&lt;&gt;"EX",0,--(COUNTIFS(nNIA,DATOS!$A4958,nCURSO,DATOS!$D4958,nESPEC,DATOS!$E4958,nASIG,DATOS!$I4958,nEVAL,"OR")=0))</f>
      </c>
      <c r="I4958">
        <f>IF(DATOS!$I4958="","",IFERROR(VLOOKUP(DATOS!$I4958,CONFIG_ASIGNATURAS!$B$2:$J$91,9,FALSE()),""))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IF(DATOS!$A4959="",0,IF(CONFIG_METADATA!$B$4&lt;&gt;"OR+EX",--(DATOS!$G4959=CONFIG_METADATA!$B$4),IF(DATOS!$G4959="EX",1,IF(DATOS!$G4959="OR",--(COUNTIFS(nNIA,DATOS!$A4959,nCURSO,DATOS!$D4959,nESPEC,DATOS!$E4959,nASIG,DATOS!$I4959,nEVAL,"EX")=0),0))))</f>
      </c>
      <c r="H4959">
        <f>IF(DATOS!$G4959&lt;&gt;"EX",0,--(COUNTIFS(nNIA,DATOS!$A4959,nCURSO,DATOS!$D4959,nESPEC,DATOS!$E4959,nASIG,DATOS!$I4959,nEVAL,"OR")=0))</f>
      </c>
      <c r="I4959">
        <f>IF(DATOS!$I4959="","",IFERROR(VLOOKUP(DATOS!$I4959,CONFIG_ASIGNATURAS!$B$2:$J$91,9,FALSE()),""))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IF(DATOS!$A4960="",0,IF(CONFIG_METADATA!$B$4&lt;&gt;"OR+EX",--(DATOS!$G4960=CONFIG_METADATA!$B$4),IF(DATOS!$G4960="EX",1,IF(DATOS!$G4960="OR",--(COUNTIFS(nNIA,DATOS!$A4960,nCURSO,DATOS!$D4960,nESPEC,DATOS!$E4960,nASIG,DATOS!$I4960,nEVAL,"EX")=0),0))))</f>
      </c>
      <c r="H4960">
        <f>IF(DATOS!$G4960&lt;&gt;"EX",0,--(COUNTIFS(nNIA,DATOS!$A4960,nCURSO,DATOS!$D4960,nESPEC,DATOS!$E4960,nASIG,DATOS!$I4960,nEVAL,"OR")=0))</f>
      </c>
      <c r="I4960">
        <f>IF(DATOS!$I4960="","",IFERROR(VLOOKUP(DATOS!$I4960,CONFIG_ASIGNATURAS!$B$2:$J$91,9,FALSE()),""))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IF(DATOS!$A4961="",0,IF(CONFIG_METADATA!$B$4&lt;&gt;"OR+EX",--(DATOS!$G4961=CONFIG_METADATA!$B$4),IF(DATOS!$G4961="EX",1,IF(DATOS!$G4961="OR",--(COUNTIFS(nNIA,DATOS!$A4961,nCURSO,DATOS!$D4961,nESPEC,DATOS!$E4961,nASIG,DATOS!$I4961,nEVAL,"EX")=0),0))))</f>
      </c>
      <c r="H4961">
        <f>IF(DATOS!$G4961&lt;&gt;"EX",0,--(COUNTIFS(nNIA,DATOS!$A4961,nCURSO,DATOS!$D4961,nESPEC,DATOS!$E4961,nASIG,DATOS!$I4961,nEVAL,"OR")=0))</f>
      </c>
      <c r="I4961">
        <f>IF(DATOS!$I4961="","",IFERROR(VLOOKUP(DATOS!$I4961,CONFIG_ASIGNATURAS!$B$2:$J$91,9,FALSE()),""))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IF(DATOS!$A4962="",0,IF(CONFIG_METADATA!$B$4&lt;&gt;"OR+EX",--(DATOS!$G4962=CONFIG_METADATA!$B$4),IF(DATOS!$G4962="EX",1,IF(DATOS!$G4962="OR",--(COUNTIFS(nNIA,DATOS!$A4962,nCURSO,DATOS!$D4962,nESPEC,DATOS!$E4962,nASIG,DATOS!$I4962,nEVAL,"EX")=0),0))))</f>
      </c>
      <c r="H4962">
        <f>IF(DATOS!$G4962&lt;&gt;"EX",0,--(COUNTIFS(nNIA,DATOS!$A4962,nCURSO,DATOS!$D4962,nESPEC,DATOS!$E4962,nASIG,DATOS!$I4962,nEVAL,"OR")=0))</f>
      </c>
      <c r="I4962">
        <f>IF(DATOS!$I4962="","",IFERROR(VLOOKUP(DATOS!$I4962,CONFIG_ASIGNATURAS!$B$2:$J$91,9,FALSE()),""))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IF(DATOS!$A4963="",0,IF(CONFIG_METADATA!$B$4&lt;&gt;"OR+EX",--(DATOS!$G4963=CONFIG_METADATA!$B$4),IF(DATOS!$G4963="EX",1,IF(DATOS!$G4963="OR",--(COUNTIFS(nNIA,DATOS!$A4963,nCURSO,DATOS!$D4963,nESPEC,DATOS!$E4963,nASIG,DATOS!$I4963,nEVAL,"EX")=0),0))))</f>
      </c>
      <c r="H4963">
        <f>IF(DATOS!$G4963&lt;&gt;"EX",0,--(COUNTIFS(nNIA,DATOS!$A4963,nCURSO,DATOS!$D4963,nESPEC,DATOS!$E4963,nASIG,DATOS!$I4963,nEVAL,"OR")=0))</f>
      </c>
      <c r="I4963">
        <f>IF(DATOS!$I4963="","",IFERROR(VLOOKUP(DATOS!$I4963,CONFIG_ASIGNATURAS!$B$2:$J$91,9,FALSE()),""))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IF(DATOS!$A4964="",0,IF(CONFIG_METADATA!$B$4&lt;&gt;"OR+EX",--(DATOS!$G4964=CONFIG_METADATA!$B$4),IF(DATOS!$G4964="EX",1,IF(DATOS!$G4964="OR",--(COUNTIFS(nNIA,DATOS!$A4964,nCURSO,DATOS!$D4964,nESPEC,DATOS!$E4964,nASIG,DATOS!$I4964,nEVAL,"EX")=0),0))))</f>
      </c>
      <c r="H4964">
        <f>IF(DATOS!$G4964&lt;&gt;"EX",0,--(COUNTIFS(nNIA,DATOS!$A4964,nCURSO,DATOS!$D4964,nESPEC,DATOS!$E4964,nASIG,DATOS!$I4964,nEVAL,"OR")=0))</f>
      </c>
      <c r="I4964">
        <f>IF(DATOS!$I4964="","",IFERROR(VLOOKUP(DATOS!$I4964,CONFIG_ASIGNATURAS!$B$2:$J$91,9,FALSE()),""))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IF(DATOS!$A4965="",0,IF(CONFIG_METADATA!$B$4&lt;&gt;"OR+EX",--(DATOS!$G4965=CONFIG_METADATA!$B$4),IF(DATOS!$G4965="EX",1,IF(DATOS!$G4965="OR",--(COUNTIFS(nNIA,DATOS!$A4965,nCURSO,DATOS!$D4965,nESPEC,DATOS!$E4965,nASIG,DATOS!$I4965,nEVAL,"EX")=0),0))))</f>
      </c>
      <c r="H4965">
        <f>IF(DATOS!$G4965&lt;&gt;"EX",0,--(COUNTIFS(nNIA,DATOS!$A4965,nCURSO,DATOS!$D4965,nESPEC,DATOS!$E4965,nASIG,DATOS!$I4965,nEVAL,"OR")=0))</f>
      </c>
      <c r="I4965">
        <f>IF(DATOS!$I4965="","",IFERROR(VLOOKUP(DATOS!$I4965,CONFIG_ASIGNATURAS!$B$2:$J$91,9,FALSE()),""))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IF(DATOS!$A4966="",0,IF(CONFIG_METADATA!$B$4&lt;&gt;"OR+EX",--(DATOS!$G4966=CONFIG_METADATA!$B$4),IF(DATOS!$G4966="EX",1,IF(DATOS!$G4966="OR",--(COUNTIFS(nNIA,DATOS!$A4966,nCURSO,DATOS!$D4966,nESPEC,DATOS!$E4966,nASIG,DATOS!$I4966,nEVAL,"EX")=0),0))))</f>
      </c>
      <c r="H4966">
        <f>IF(DATOS!$G4966&lt;&gt;"EX",0,--(COUNTIFS(nNIA,DATOS!$A4966,nCURSO,DATOS!$D4966,nESPEC,DATOS!$E4966,nASIG,DATOS!$I4966,nEVAL,"OR")=0))</f>
      </c>
      <c r="I4966">
        <f>IF(DATOS!$I4966="","",IFERROR(VLOOKUP(DATOS!$I4966,CONFIG_ASIGNATURAS!$B$2:$J$91,9,FALSE()),""))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IF(DATOS!$A4967="",0,IF(CONFIG_METADATA!$B$4&lt;&gt;"OR+EX",--(DATOS!$G4967=CONFIG_METADATA!$B$4),IF(DATOS!$G4967="EX",1,IF(DATOS!$G4967="OR",--(COUNTIFS(nNIA,DATOS!$A4967,nCURSO,DATOS!$D4967,nESPEC,DATOS!$E4967,nASIG,DATOS!$I4967,nEVAL,"EX")=0),0))))</f>
      </c>
      <c r="H4967">
        <f>IF(DATOS!$G4967&lt;&gt;"EX",0,--(COUNTIFS(nNIA,DATOS!$A4967,nCURSO,DATOS!$D4967,nESPEC,DATOS!$E4967,nASIG,DATOS!$I4967,nEVAL,"OR")=0))</f>
      </c>
      <c r="I4967">
        <f>IF(DATOS!$I4967="","",IFERROR(VLOOKUP(DATOS!$I4967,CONFIG_ASIGNATURAS!$B$2:$J$91,9,FALSE()),""))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IF(DATOS!$A4968="",0,IF(CONFIG_METADATA!$B$4&lt;&gt;"OR+EX",--(DATOS!$G4968=CONFIG_METADATA!$B$4),IF(DATOS!$G4968="EX",1,IF(DATOS!$G4968="OR",--(COUNTIFS(nNIA,DATOS!$A4968,nCURSO,DATOS!$D4968,nESPEC,DATOS!$E4968,nASIG,DATOS!$I4968,nEVAL,"EX")=0),0))))</f>
      </c>
      <c r="H4968">
        <f>IF(DATOS!$G4968&lt;&gt;"EX",0,--(COUNTIFS(nNIA,DATOS!$A4968,nCURSO,DATOS!$D4968,nESPEC,DATOS!$E4968,nASIG,DATOS!$I4968,nEVAL,"OR")=0))</f>
      </c>
      <c r="I4968">
        <f>IF(DATOS!$I4968="","",IFERROR(VLOOKUP(DATOS!$I4968,CONFIG_ASIGNATURAS!$B$2:$J$91,9,FALSE()),""))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IF(DATOS!$A4969="",0,IF(CONFIG_METADATA!$B$4&lt;&gt;"OR+EX",--(DATOS!$G4969=CONFIG_METADATA!$B$4),IF(DATOS!$G4969="EX",1,IF(DATOS!$G4969="OR",--(COUNTIFS(nNIA,DATOS!$A4969,nCURSO,DATOS!$D4969,nESPEC,DATOS!$E4969,nASIG,DATOS!$I4969,nEVAL,"EX")=0),0))))</f>
      </c>
      <c r="H4969">
        <f>IF(DATOS!$G4969&lt;&gt;"EX",0,--(COUNTIFS(nNIA,DATOS!$A4969,nCURSO,DATOS!$D4969,nESPEC,DATOS!$E4969,nASIG,DATOS!$I4969,nEVAL,"OR")=0))</f>
      </c>
      <c r="I4969">
        <f>IF(DATOS!$I4969="","",IFERROR(VLOOKUP(DATOS!$I4969,CONFIG_ASIGNATURAS!$B$2:$J$91,9,FALSE()),""))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IF(DATOS!$A4970="",0,IF(CONFIG_METADATA!$B$4&lt;&gt;"OR+EX",--(DATOS!$G4970=CONFIG_METADATA!$B$4),IF(DATOS!$G4970="EX",1,IF(DATOS!$G4970="OR",--(COUNTIFS(nNIA,DATOS!$A4970,nCURSO,DATOS!$D4970,nESPEC,DATOS!$E4970,nASIG,DATOS!$I4970,nEVAL,"EX")=0),0))))</f>
      </c>
      <c r="H4970">
        <f>IF(DATOS!$G4970&lt;&gt;"EX",0,--(COUNTIFS(nNIA,DATOS!$A4970,nCURSO,DATOS!$D4970,nESPEC,DATOS!$E4970,nASIG,DATOS!$I4970,nEVAL,"OR")=0))</f>
      </c>
      <c r="I4970">
        <f>IF(DATOS!$I4970="","",IFERROR(VLOOKUP(DATOS!$I4970,CONFIG_ASIGNATURAS!$B$2:$J$91,9,FALSE()),""))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IF(DATOS!$A4971="",0,IF(CONFIG_METADATA!$B$4&lt;&gt;"OR+EX",--(DATOS!$G4971=CONFIG_METADATA!$B$4),IF(DATOS!$G4971="EX",1,IF(DATOS!$G4971="OR",--(COUNTIFS(nNIA,DATOS!$A4971,nCURSO,DATOS!$D4971,nESPEC,DATOS!$E4971,nASIG,DATOS!$I4971,nEVAL,"EX")=0),0))))</f>
      </c>
      <c r="H4971">
        <f>IF(DATOS!$G4971&lt;&gt;"EX",0,--(COUNTIFS(nNIA,DATOS!$A4971,nCURSO,DATOS!$D4971,nESPEC,DATOS!$E4971,nASIG,DATOS!$I4971,nEVAL,"OR")=0))</f>
      </c>
      <c r="I4971">
        <f>IF(DATOS!$I4971="","",IFERROR(VLOOKUP(DATOS!$I4971,CONFIG_ASIGNATURAS!$B$2:$J$91,9,FALSE()),""))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IF(DATOS!$A4972="",0,IF(CONFIG_METADATA!$B$4&lt;&gt;"OR+EX",--(DATOS!$G4972=CONFIG_METADATA!$B$4),IF(DATOS!$G4972="EX",1,IF(DATOS!$G4972="OR",--(COUNTIFS(nNIA,DATOS!$A4972,nCURSO,DATOS!$D4972,nESPEC,DATOS!$E4972,nASIG,DATOS!$I4972,nEVAL,"EX")=0),0))))</f>
      </c>
      <c r="H4972">
        <f>IF(DATOS!$G4972&lt;&gt;"EX",0,--(COUNTIFS(nNIA,DATOS!$A4972,nCURSO,DATOS!$D4972,nESPEC,DATOS!$E4972,nASIG,DATOS!$I4972,nEVAL,"OR")=0))</f>
      </c>
      <c r="I4972">
        <f>IF(DATOS!$I4972="","",IFERROR(VLOOKUP(DATOS!$I4972,CONFIG_ASIGNATURAS!$B$2:$J$91,9,FALSE()),""))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IF(DATOS!$A4973="",0,IF(CONFIG_METADATA!$B$4&lt;&gt;"OR+EX",--(DATOS!$G4973=CONFIG_METADATA!$B$4),IF(DATOS!$G4973="EX",1,IF(DATOS!$G4973="OR",--(COUNTIFS(nNIA,DATOS!$A4973,nCURSO,DATOS!$D4973,nESPEC,DATOS!$E4973,nASIG,DATOS!$I4973,nEVAL,"EX")=0),0))))</f>
      </c>
      <c r="H4973">
        <f>IF(DATOS!$G4973&lt;&gt;"EX",0,--(COUNTIFS(nNIA,DATOS!$A4973,nCURSO,DATOS!$D4973,nESPEC,DATOS!$E4973,nASIG,DATOS!$I4973,nEVAL,"OR")=0))</f>
      </c>
      <c r="I4973">
        <f>IF(DATOS!$I4973="","",IFERROR(VLOOKUP(DATOS!$I4973,CONFIG_ASIGNATURAS!$B$2:$J$91,9,FALSE()),""))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IF(DATOS!$A4974="",0,IF(CONFIG_METADATA!$B$4&lt;&gt;"OR+EX",--(DATOS!$G4974=CONFIG_METADATA!$B$4),IF(DATOS!$G4974="EX",1,IF(DATOS!$G4974="OR",--(COUNTIFS(nNIA,DATOS!$A4974,nCURSO,DATOS!$D4974,nESPEC,DATOS!$E4974,nASIG,DATOS!$I4974,nEVAL,"EX")=0),0))))</f>
      </c>
      <c r="H4974">
        <f>IF(DATOS!$G4974&lt;&gt;"EX",0,--(COUNTIFS(nNIA,DATOS!$A4974,nCURSO,DATOS!$D4974,nESPEC,DATOS!$E4974,nASIG,DATOS!$I4974,nEVAL,"OR")=0))</f>
      </c>
      <c r="I4974">
        <f>IF(DATOS!$I4974="","",IFERROR(VLOOKUP(DATOS!$I4974,CONFIG_ASIGNATURAS!$B$2:$J$91,9,FALSE()),""))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IF(DATOS!$A4975="",0,IF(CONFIG_METADATA!$B$4&lt;&gt;"OR+EX",--(DATOS!$G4975=CONFIG_METADATA!$B$4),IF(DATOS!$G4975="EX",1,IF(DATOS!$G4975="OR",--(COUNTIFS(nNIA,DATOS!$A4975,nCURSO,DATOS!$D4975,nESPEC,DATOS!$E4975,nASIG,DATOS!$I4975,nEVAL,"EX")=0),0))))</f>
      </c>
      <c r="H4975">
        <f>IF(DATOS!$G4975&lt;&gt;"EX",0,--(COUNTIFS(nNIA,DATOS!$A4975,nCURSO,DATOS!$D4975,nESPEC,DATOS!$E4975,nASIG,DATOS!$I4975,nEVAL,"OR")=0))</f>
      </c>
      <c r="I4975">
        <f>IF(DATOS!$I4975="","",IFERROR(VLOOKUP(DATOS!$I4975,CONFIG_ASIGNATURAS!$B$2:$J$91,9,FALSE()),""))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IF(DATOS!$A4976="",0,IF(CONFIG_METADATA!$B$4&lt;&gt;"OR+EX",--(DATOS!$G4976=CONFIG_METADATA!$B$4),IF(DATOS!$G4976="EX",1,IF(DATOS!$G4976="OR",--(COUNTIFS(nNIA,DATOS!$A4976,nCURSO,DATOS!$D4976,nESPEC,DATOS!$E4976,nASIG,DATOS!$I4976,nEVAL,"EX")=0),0))))</f>
      </c>
      <c r="H4976">
        <f>IF(DATOS!$G4976&lt;&gt;"EX",0,--(COUNTIFS(nNIA,DATOS!$A4976,nCURSO,DATOS!$D4976,nESPEC,DATOS!$E4976,nASIG,DATOS!$I4976,nEVAL,"OR")=0))</f>
      </c>
      <c r="I4976">
        <f>IF(DATOS!$I4976="","",IFERROR(VLOOKUP(DATOS!$I4976,CONFIG_ASIGNATURAS!$B$2:$J$91,9,FALSE()),""))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IF(DATOS!$A4977="",0,IF(CONFIG_METADATA!$B$4&lt;&gt;"OR+EX",--(DATOS!$G4977=CONFIG_METADATA!$B$4),IF(DATOS!$G4977="EX",1,IF(DATOS!$G4977="OR",--(COUNTIFS(nNIA,DATOS!$A4977,nCURSO,DATOS!$D4977,nESPEC,DATOS!$E4977,nASIG,DATOS!$I4977,nEVAL,"EX")=0),0))))</f>
      </c>
      <c r="H4977">
        <f>IF(DATOS!$G4977&lt;&gt;"EX",0,--(COUNTIFS(nNIA,DATOS!$A4977,nCURSO,DATOS!$D4977,nESPEC,DATOS!$E4977,nASIG,DATOS!$I4977,nEVAL,"OR")=0))</f>
      </c>
      <c r="I4977">
        <f>IF(DATOS!$I4977="","",IFERROR(VLOOKUP(DATOS!$I4977,CONFIG_ASIGNATURAS!$B$2:$J$91,9,FALSE()),""))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IF(DATOS!$A4978="",0,IF(CONFIG_METADATA!$B$4&lt;&gt;"OR+EX",--(DATOS!$G4978=CONFIG_METADATA!$B$4),IF(DATOS!$G4978="EX",1,IF(DATOS!$G4978="OR",--(COUNTIFS(nNIA,DATOS!$A4978,nCURSO,DATOS!$D4978,nESPEC,DATOS!$E4978,nASIG,DATOS!$I4978,nEVAL,"EX")=0),0))))</f>
      </c>
      <c r="H4978">
        <f>IF(DATOS!$G4978&lt;&gt;"EX",0,--(COUNTIFS(nNIA,DATOS!$A4978,nCURSO,DATOS!$D4978,nESPEC,DATOS!$E4978,nASIG,DATOS!$I4978,nEVAL,"OR")=0))</f>
      </c>
      <c r="I4978">
        <f>IF(DATOS!$I4978="","",IFERROR(VLOOKUP(DATOS!$I4978,CONFIG_ASIGNATURAS!$B$2:$J$91,9,FALSE()),""))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IF(DATOS!$A4979="",0,IF(CONFIG_METADATA!$B$4&lt;&gt;"OR+EX",--(DATOS!$G4979=CONFIG_METADATA!$B$4),IF(DATOS!$G4979="EX",1,IF(DATOS!$G4979="OR",--(COUNTIFS(nNIA,DATOS!$A4979,nCURSO,DATOS!$D4979,nESPEC,DATOS!$E4979,nASIG,DATOS!$I4979,nEVAL,"EX")=0),0))))</f>
      </c>
      <c r="H4979">
        <f>IF(DATOS!$G4979&lt;&gt;"EX",0,--(COUNTIFS(nNIA,DATOS!$A4979,nCURSO,DATOS!$D4979,nESPEC,DATOS!$E4979,nASIG,DATOS!$I4979,nEVAL,"OR")=0))</f>
      </c>
      <c r="I4979">
        <f>IF(DATOS!$I4979="","",IFERROR(VLOOKUP(DATOS!$I4979,CONFIG_ASIGNATURAS!$B$2:$J$91,9,FALSE()),""))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IF(DATOS!$A4980="",0,IF(CONFIG_METADATA!$B$4&lt;&gt;"OR+EX",--(DATOS!$G4980=CONFIG_METADATA!$B$4),IF(DATOS!$G4980="EX",1,IF(DATOS!$G4980="OR",--(COUNTIFS(nNIA,DATOS!$A4980,nCURSO,DATOS!$D4980,nESPEC,DATOS!$E4980,nASIG,DATOS!$I4980,nEVAL,"EX")=0),0))))</f>
      </c>
      <c r="H4980">
        <f>IF(DATOS!$G4980&lt;&gt;"EX",0,--(COUNTIFS(nNIA,DATOS!$A4980,nCURSO,DATOS!$D4980,nESPEC,DATOS!$E4980,nASIG,DATOS!$I4980,nEVAL,"OR")=0))</f>
      </c>
      <c r="I4980">
        <f>IF(DATOS!$I4980="","",IFERROR(VLOOKUP(DATOS!$I4980,CONFIG_ASIGNATURAS!$B$2:$J$91,9,FALSE()),""))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IF(DATOS!$A4981="",0,IF(CONFIG_METADATA!$B$4&lt;&gt;"OR+EX",--(DATOS!$G4981=CONFIG_METADATA!$B$4),IF(DATOS!$G4981="EX",1,IF(DATOS!$G4981="OR",--(COUNTIFS(nNIA,DATOS!$A4981,nCURSO,DATOS!$D4981,nESPEC,DATOS!$E4981,nASIG,DATOS!$I4981,nEVAL,"EX")=0),0))))</f>
      </c>
      <c r="H4981">
        <f>IF(DATOS!$G4981&lt;&gt;"EX",0,--(COUNTIFS(nNIA,DATOS!$A4981,nCURSO,DATOS!$D4981,nESPEC,DATOS!$E4981,nASIG,DATOS!$I4981,nEVAL,"OR")=0))</f>
      </c>
      <c r="I4981">
        <f>IF(DATOS!$I4981="","",IFERROR(VLOOKUP(DATOS!$I4981,CONFIG_ASIGNATURAS!$B$2:$J$91,9,FALSE()),""))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IF(DATOS!$A4982="",0,IF(CONFIG_METADATA!$B$4&lt;&gt;"OR+EX",--(DATOS!$G4982=CONFIG_METADATA!$B$4),IF(DATOS!$G4982="EX",1,IF(DATOS!$G4982="OR",--(COUNTIFS(nNIA,DATOS!$A4982,nCURSO,DATOS!$D4982,nESPEC,DATOS!$E4982,nASIG,DATOS!$I4982,nEVAL,"EX")=0),0))))</f>
      </c>
      <c r="H4982">
        <f>IF(DATOS!$G4982&lt;&gt;"EX",0,--(COUNTIFS(nNIA,DATOS!$A4982,nCURSO,DATOS!$D4982,nESPEC,DATOS!$E4982,nASIG,DATOS!$I4982,nEVAL,"OR")=0))</f>
      </c>
      <c r="I4982">
        <f>IF(DATOS!$I4982="","",IFERROR(VLOOKUP(DATOS!$I4982,CONFIG_ASIGNATURAS!$B$2:$J$91,9,FALSE()),""))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IF(DATOS!$A4983="",0,IF(CONFIG_METADATA!$B$4&lt;&gt;"OR+EX",--(DATOS!$G4983=CONFIG_METADATA!$B$4),IF(DATOS!$G4983="EX",1,IF(DATOS!$G4983="OR",--(COUNTIFS(nNIA,DATOS!$A4983,nCURSO,DATOS!$D4983,nESPEC,DATOS!$E4983,nASIG,DATOS!$I4983,nEVAL,"EX")=0),0))))</f>
      </c>
      <c r="H4983">
        <f>IF(DATOS!$G4983&lt;&gt;"EX",0,--(COUNTIFS(nNIA,DATOS!$A4983,nCURSO,DATOS!$D4983,nESPEC,DATOS!$E4983,nASIG,DATOS!$I4983,nEVAL,"OR")=0))</f>
      </c>
      <c r="I4983">
        <f>IF(DATOS!$I4983="","",IFERROR(VLOOKUP(DATOS!$I4983,CONFIG_ASIGNATURAS!$B$2:$J$91,9,FALSE()),""))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IF(DATOS!$A4984="",0,IF(CONFIG_METADATA!$B$4&lt;&gt;"OR+EX",--(DATOS!$G4984=CONFIG_METADATA!$B$4),IF(DATOS!$G4984="EX",1,IF(DATOS!$G4984="OR",--(COUNTIFS(nNIA,DATOS!$A4984,nCURSO,DATOS!$D4984,nESPEC,DATOS!$E4984,nASIG,DATOS!$I4984,nEVAL,"EX")=0),0))))</f>
      </c>
      <c r="H4984">
        <f>IF(DATOS!$G4984&lt;&gt;"EX",0,--(COUNTIFS(nNIA,DATOS!$A4984,nCURSO,DATOS!$D4984,nESPEC,DATOS!$E4984,nASIG,DATOS!$I4984,nEVAL,"OR")=0))</f>
      </c>
      <c r="I4984">
        <f>IF(DATOS!$I4984="","",IFERROR(VLOOKUP(DATOS!$I4984,CONFIG_ASIGNATURAS!$B$2:$J$91,9,FALSE()),""))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IF(DATOS!$A4985="",0,IF(CONFIG_METADATA!$B$4&lt;&gt;"OR+EX",--(DATOS!$G4985=CONFIG_METADATA!$B$4),IF(DATOS!$G4985="EX",1,IF(DATOS!$G4985="OR",--(COUNTIFS(nNIA,DATOS!$A4985,nCURSO,DATOS!$D4985,nESPEC,DATOS!$E4985,nASIG,DATOS!$I4985,nEVAL,"EX")=0),0))))</f>
      </c>
      <c r="H4985">
        <f>IF(DATOS!$G4985&lt;&gt;"EX",0,--(COUNTIFS(nNIA,DATOS!$A4985,nCURSO,DATOS!$D4985,nESPEC,DATOS!$E4985,nASIG,DATOS!$I4985,nEVAL,"OR")=0))</f>
      </c>
      <c r="I4985">
        <f>IF(DATOS!$I4985="","",IFERROR(VLOOKUP(DATOS!$I4985,CONFIG_ASIGNATURAS!$B$2:$J$91,9,FALSE()),""))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IF(DATOS!$A4986="",0,IF(CONFIG_METADATA!$B$4&lt;&gt;"OR+EX",--(DATOS!$G4986=CONFIG_METADATA!$B$4),IF(DATOS!$G4986="EX",1,IF(DATOS!$G4986="OR",--(COUNTIFS(nNIA,DATOS!$A4986,nCURSO,DATOS!$D4986,nESPEC,DATOS!$E4986,nASIG,DATOS!$I4986,nEVAL,"EX")=0),0))))</f>
      </c>
      <c r="H4986">
        <f>IF(DATOS!$G4986&lt;&gt;"EX",0,--(COUNTIFS(nNIA,DATOS!$A4986,nCURSO,DATOS!$D4986,nESPEC,DATOS!$E4986,nASIG,DATOS!$I4986,nEVAL,"OR")=0))</f>
      </c>
      <c r="I4986">
        <f>IF(DATOS!$I4986="","",IFERROR(VLOOKUP(DATOS!$I4986,CONFIG_ASIGNATURAS!$B$2:$J$91,9,FALSE()),""))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IF(DATOS!$A4987="",0,IF(CONFIG_METADATA!$B$4&lt;&gt;"OR+EX",--(DATOS!$G4987=CONFIG_METADATA!$B$4),IF(DATOS!$G4987="EX",1,IF(DATOS!$G4987="OR",--(COUNTIFS(nNIA,DATOS!$A4987,nCURSO,DATOS!$D4987,nESPEC,DATOS!$E4987,nASIG,DATOS!$I4987,nEVAL,"EX")=0),0))))</f>
      </c>
      <c r="H4987">
        <f>IF(DATOS!$G4987&lt;&gt;"EX",0,--(COUNTIFS(nNIA,DATOS!$A4987,nCURSO,DATOS!$D4987,nESPEC,DATOS!$E4987,nASIG,DATOS!$I4987,nEVAL,"OR")=0))</f>
      </c>
      <c r="I4987">
        <f>IF(DATOS!$I4987="","",IFERROR(VLOOKUP(DATOS!$I4987,CONFIG_ASIGNATURAS!$B$2:$J$91,9,FALSE()),""))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IF(DATOS!$A4988="",0,IF(CONFIG_METADATA!$B$4&lt;&gt;"OR+EX",--(DATOS!$G4988=CONFIG_METADATA!$B$4),IF(DATOS!$G4988="EX",1,IF(DATOS!$G4988="OR",--(COUNTIFS(nNIA,DATOS!$A4988,nCURSO,DATOS!$D4988,nESPEC,DATOS!$E4988,nASIG,DATOS!$I4988,nEVAL,"EX")=0),0))))</f>
      </c>
      <c r="H4988">
        <f>IF(DATOS!$G4988&lt;&gt;"EX",0,--(COUNTIFS(nNIA,DATOS!$A4988,nCURSO,DATOS!$D4988,nESPEC,DATOS!$E4988,nASIG,DATOS!$I4988,nEVAL,"OR")=0))</f>
      </c>
      <c r="I4988">
        <f>IF(DATOS!$I4988="","",IFERROR(VLOOKUP(DATOS!$I4988,CONFIG_ASIGNATURAS!$B$2:$J$91,9,FALSE()),""))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IF(DATOS!$A4989="",0,IF(CONFIG_METADATA!$B$4&lt;&gt;"OR+EX",--(DATOS!$G4989=CONFIG_METADATA!$B$4),IF(DATOS!$G4989="EX",1,IF(DATOS!$G4989="OR",--(COUNTIFS(nNIA,DATOS!$A4989,nCURSO,DATOS!$D4989,nESPEC,DATOS!$E4989,nASIG,DATOS!$I4989,nEVAL,"EX")=0),0))))</f>
      </c>
      <c r="H4989">
        <f>IF(DATOS!$G4989&lt;&gt;"EX",0,--(COUNTIFS(nNIA,DATOS!$A4989,nCURSO,DATOS!$D4989,nESPEC,DATOS!$E4989,nASIG,DATOS!$I4989,nEVAL,"OR")=0))</f>
      </c>
      <c r="I4989">
        <f>IF(DATOS!$I4989="","",IFERROR(VLOOKUP(DATOS!$I4989,CONFIG_ASIGNATURAS!$B$2:$J$91,9,FALSE()),""))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IF(DATOS!$A4990="",0,IF(CONFIG_METADATA!$B$4&lt;&gt;"OR+EX",--(DATOS!$G4990=CONFIG_METADATA!$B$4),IF(DATOS!$G4990="EX",1,IF(DATOS!$G4990="OR",--(COUNTIFS(nNIA,DATOS!$A4990,nCURSO,DATOS!$D4990,nESPEC,DATOS!$E4990,nASIG,DATOS!$I4990,nEVAL,"EX")=0),0))))</f>
      </c>
      <c r="H4990">
        <f>IF(DATOS!$G4990&lt;&gt;"EX",0,--(COUNTIFS(nNIA,DATOS!$A4990,nCURSO,DATOS!$D4990,nESPEC,DATOS!$E4990,nASIG,DATOS!$I4990,nEVAL,"OR")=0))</f>
      </c>
      <c r="I4990">
        <f>IF(DATOS!$I4990="","",IFERROR(VLOOKUP(DATOS!$I4990,CONFIG_ASIGNATURAS!$B$2:$J$91,9,FALSE()),""))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IF(DATOS!$A4991="",0,IF(CONFIG_METADATA!$B$4&lt;&gt;"OR+EX",--(DATOS!$G4991=CONFIG_METADATA!$B$4),IF(DATOS!$G4991="EX",1,IF(DATOS!$G4991="OR",--(COUNTIFS(nNIA,DATOS!$A4991,nCURSO,DATOS!$D4991,nESPEC,DATOS!$E4991,nASIG,DATOS!$I4991,nEVAL,"EX")=0),0))))</f>
      </c>
      <c r="H4991">
        <f>IF(DATOS!$G4991&lt;&gt;"EX",0,--(COUNTIFS(nNIA,DATOS!$A4991,nCURSO,DATOS!$D4991,nESPEC,DATOS!$E4991,nASIG,DATOS!$I4991,nEVAL,"OR")=0))</f>
      </c>
      <c r="I4991">
        <f>IF(DATOS!$I4991="","",IFERROR(VLOOKUP(DATOS!$I4991,CONFIG_ASIGNATURAS!$B$2:$J$91,9,FALSE()),""))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IF(DATOS!$A4992="",0,IF(CONFIG_METADATA!$B$4&lt;&gt;"OR+EX",--(DATOS!$G4992=CONFIG_METADATA!$B$4),IF(DATOS!$G4992="EX",1,IF(DATOS!$G4992="OR",--(COUNTIFS(nNIA,DATOS!$A4992,nCURSO,DATOS!$D4992,nESPEC,DATOS!$E4992,nASIG,DATOS!$I4992,nEVAL,"EX")=0),0))))</f>
      </c>
      <c r="H4992">
        <f>IF(DATOS!$G4992&lt;&gt;"EX",0,--(COUNTIFS(nNIA,DATOS!$A4992,nCURSO,DATOS!$D4992,nESPEC,DATOS!$E4992,nASIG,DATOS!$I4992,nEVAL,"OR")=0))</f>
      </c>
      <c r="I4992">
        <f>IF(DATOS!$I4992="","",IFERROR(VLOOKUP(DATOS!$I4992,CONFIG_ASIGNATURAS!$B$2:$J$91,9,FALSE()),""))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IF(DATOS!$A4993="",0,IF(CONFIG_METADATA!$B$4&lt;&gt;"OR+EX",--(DATOS!$G4993=CONFIG_METADATA!$B$4),IF(DATOS!$G4993="EX",1,IF(DATOS!$G4993="OR",--(COUNTIFS(nNIA,DATOS!$A4993,nCURSO,DATOS!$D4993,nESPEC,DATOS!$E4993,nASIG,DATOS!$I4993,nEVAL,"EX")=0),0))))</f>
      </c>
      <c r="H4993">
        <f>IF(DATOS!$G4993&lt;&gt;"EX",0,--(COUNTIFS(nNIA,DATOS!$A4993,nCURSO,DATOS!$D4993,nESPEC,DATOS!$E4993,nASIG,DATOS!$I4993,nEVAL,"OR")=0))</f>
      </c>
      <c r="I4993">
        <f>IF(DATOS!$I4993="","",IFERROR(VLOOKUP(DATOS!$I4993,CONFIG_ASIGNATURAS!$B$2:$J$91,9,FALSE()),""))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IF(DATOS!$A4994="",0,IF(CONFIG_METADATA!$B$4&lt;&gt;"OR+EX",--(DATOS!$G4994=CONFIG_METADATA!$B$4),IF(DATOS!$G4994="EX",1,IF(DATOS!$G4994="OR",--(COUNTIFS(nNIA,DATOS!$A4994,nCURSO,DATOS!$D4994,nESPEC,DATOS!$E4994,nASIG,DATOS!$I4994,nEVAL,"EX")=0),0))))</f>
      </c>
      <c r="H4994">
        <f>IF(DATOS!$G4994&lt;&gt;"EX",0,--(COUNTIFS(nNIA,DATOS!$A4994,nCURSO,DATOS!$D4994,nESPEC,DATOS!$E4994,nASIG,DATOS!$I4994,nEVAL,"OR")=0))</f>
      </c>
      <c r="I4994">
        <f>IF(DATOS!$I4994="","",IFERROR(VLOOKUP(DATOS!$I4994,CONFIG_ASIGNATURAS!$B$2:$J$91,9,FALSE()),""))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IF(DATOS!$A4995="",0,IF(CONFIG_METADATA!$B$4&lt;&gt;"OR+EX",--(DATOS!$G4995=CONFIG_METADATA!$B$4),IF(DATOS!$G4995="EX",1,IF(DATOS!$G4995="OR",--(COUNTIFS(nNIA,DATOS!$A4995,nCURSO,DATOS!$D4995,nESPEC,DATOS!$E4995,nASIG,DATOS!$I4995,nEVAL,"EX")=0),0))))</f>
      </c>
      <c r="H4995">
        <f>IF(DATOS!$G4995&lt;&gt;"EX",0,--(COUNTIFS(nNIA,DATOS!$A4995,nCURSO,DATOS!$D4995,nESPEC,DATOS!$E4995,nASIG,DATOS!$I4995,nEVAL,"OR")=0))</f>
      </c>
      <c r="I4995">
        <f>IF(DATOS!$I4995="","",IFERROR(VLOOKUP(DATOS!$I4995,CONFIG_ASIGNATURAS!$B$2:$J$91,9,FALSE()),""))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IF(DATOS!$A4996="",0,IF(CONFIG_METADATA!$B$4&lt;&gt;"OR+EX",--(DATOS!$G4996=CONFIG_METADATA!$B$4),IF(DATOS!$G4996="EX",1,IF(DATOS!$G4996="OR",--(COUNTIFS(nNIA,DATOS!$A4996,nCURSO,DATOS!$D4996,nESPEC,DATOS!$E4996,nASIG,DATOS!$I4996,nEVAL,"EX")=0),0))))</f>
      </c>
      <c r="H4996">
        <f>IF(DATOS!$G4996&lt;&gt;"EX",0,--(COUNTIFS(nNIA,DATOS!$A4996,nCURSO,DATOS!$D4996,nESPEC,DATOS!$E4996,nASIG,DATOS!$I4996,nEVAL,"OR")=0))</f>
      </c>
      <c r="I4996">
        <f>IF(DATOS!$I4996="","",IFERROR(VLOOKUP(DATOS!$I4996,CONFIG_ASIGNATURAS!$B$2:$J$91,9,FALSE()),""))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IF(DATOS!$A4997="",0,IF(CONFIG_METADATA!$B$4&lt;&gt;"OR+EX",--(DATOS!$G4997=CONFIG_METADATA!$B$4),IF(DATOS!$G4997="EX",1,IF(DATOS!$G4997="OR",--(COUNTIFS(nNIA,DATOS!$A4997,nCURSO,DATOS!$D4997,nESPEC,DATOS!$E4997,nASIG,DATOS!$I4997,nEVAL,"EX")=0),0))))</f>
      </c>
      <c r="H4997">
        <f>IF(DATOS!$G4997&lt;&gt;"EX",0,--(COUNTIFS(nNIA,DATOS!$A4997,nCURSO,DATOS!$D4997,nESPEC,DATOS!$E4997,nASIG,DATOS!$I4997,nEVAL,"OR")=0))</f>
      </c>
      <c r="I4997">
        <f>IF(DATOS!$I4997="","",IFERROR(VLOOKUP(DATOS!$I4997,CONFIG_ASIGNATURAS!$B$2:$J$91,9,FALSE()),""))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IF(DATOS!$A4998="",0,IF(CONFIG_METADATA!$B$4&lt;&gt;"OR+EX",--(DATOS!$G4998=CONFIG_METADATA!$B$4),IF(DATOS!$G4998="EX",1,IF(DATOS!$G4998="OR",--(COUNTIFS(nNIA,DATOS!$A4998,nCURSO,DATOS!$D4998,nESPEC,DATOS!$E4998,nASIG,DATOS!$I4998,nEVAL,"EX")=0),0))))</f>
      </c>
      <c r="H4998">
        <f>IF(DATOS!$G4998&lt;&gt;"EX",0,--(COUNTIFS(nNIA,DATOS!$A4998,nCURSO,DATOS!$D4998,nESPEC,DATOS!$E4998,nASIG,DATOS!$I4998,nEVAL,"OR")=0))</f>
      </c>
      <c r="I4998">
        <f>IF(DATOS!$I4998="","",IFERROR(VLOOKUP(DATOS!$I4998,CONFIG_ASIGNATURAS!$B$2:$J$91,9,FALSE()),""))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IF(DATOS!$A4999="",0,IF(CONFIG_METADATA!$B$4&lt;&gt;"OR+EX",--(DATOS!$G4999=CONFIG_METADATA!$B$4),IF(DATOS!$G4999="EX",1,IF(DATOS!$G4999="OR",--(COUNTIFS(nNIA,DATOS!$A4999,nCURSO,DATOS!$D4999,nESPEC,DATOS!$E4999,nASIG,DATOS!$I4999,nEVAL,"EX")=0),0))))</f>
      </c>
      <c r="H4999">
        <f>IF(DATOS!$G4999&lt;&gt;"EX",0,--(COUNTIFS(nNIA,DATOS!$A4999,nCURSO,DATOS!$D4999,nESPEC,DATOS!$E4999,nASIG,DATOS!$I4999,nEVAL,"OR")=0))</f>
      </c>
      <c r="I4999">
        <f>IF(DATOS!$I4999="","",IFERROR(VLOOKUP(DATOS!$I4999,CONFIG_ASIGNATURAS!$B$2:$J$91,9,FALSE()),""))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IF(DATOS!$A5000="",0,IF(CONFIG_METADATA!$B$4&lt;&gt;"OR+EX",--(DATOS!$G5000=CONFIG_METADATA!$B$4),IF(DATOS!$G5000="EX",1,IF(DATOS!$G5000="OR",--(COUNTIFS(nNIA,DATOS!$A5000,nCURSO,DATOS!$D5000,nESPEC,DATOS!$E5000,nASIG,DATOS!$I5000,nEVAL,"EX")=0),0))))</f>
      </c>
      <c r="H5000">
        <f>IF(DATOS!$G5000&lt;&gt;"EX",0,--(COUNTIFS(nNIA,DATOS!$A5000,nCURSO,DATOS!$D5000,nESPEC,DATOS!$E5000,nASIG,DATOS!$I5000,nEVAL,"OR")=0))</f>
      </c>
      <c r="I5000">
        <f>IF(DATOS!$I5000="","",IFERROR(VLOOKUP(DATOS!$I5000,CONFIG_ASIGNATURAS!$B$2:$J$91,9,FALSE()),""))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IF(DATOS!$A5001="",0,IF(CONFIG_METADATA!$B$4&lt;&gt;"OR+EX",--(DATOS!$G5001=CONFIG_METADATA!$B$4),IF(DATOS!$G5001="EX",1,IF(DATOS!$G5001="OR",--(COUNTIFS(nNIA,DATOS!$A5001,nCURSO,DATOS!$D5001,nESPEC,DATOS!$E5001,nASIG,DATOS!$I5001,nEVAL,"EX")=0),0))))</f>
      </c>
      <c r="H5001">
        <f>IF(DATOS!$G5001&lt;&gt;"EX",0,--(COUNTIFS(nNIA,DATOS!$A5001,nCURSO,DATOS!$D5001,nESPEC,DATOS!$E5001,nASIG,DATOS!$I5001,nEVAL,"OR")=0))</f>
      </c>
      <c r="I5001">
        <f>IF(DATOS!$I5001="","",IFERROR(VLOOKUP(DATOS!$I5001,CONFIG_ASIGNATURAS!$B$2:$J$91,9,FALSE()),""))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IF(DATOS!$A5002="",0,IF(CONFIG_METADATA!$B$4&lt;&gt;"OR+EX",--(DATOS!$G5002=CONFIG_METADATA!$B$4),IF(DATOS!$G5002="EX",1,IF(DATOS!$G5002="OR",--(COUNTIFS(nNIA,DATOS!$A5002,nCURSO,DATOS!$D5002,nESPEC,DATOS!$E5002,nASIG,DATOS!$I5002,nEVAL,"EX")=0),0))))</f>
      </c>
      <c r="H5002">
        <f>IF(DATOS!$G5002&lt;&gt;"EX",0,--(COUNTIFS(nNIA,DATOS!$A5002,nCURSO,DATOS!$D5002,nESPEC,DATOS!$E5002,nASIG,DATOS!$I5002,nEVAL,"OR")=0))</f>
      </c>
      <c r="I5002">
        <f>IF(DATOS!$I5002="","",IFERROR(VLOOKUP(DATOS!$I5002,CONFIG_ASIGNATURAS!$B$2:$J$91,9,FALSE()),""))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IF(DATOS!$A5003="",0,IF(CONFIG_METADATA!$B$4&lt;&gt;"OR+EX",--(DATOS!$G5003=CONFIG_METADATA!$B$4),IF(DATOS!$G5003="EX",1,IF(DATOS!$G5003="OR",--(COUNTIFS(nNIA,DATOS!$A5003,nCURSO,DATOS!$D5003,nESPEC,DATOS!$E5003,nASIG,DATOS!$I5003,nEVAL,"EX")=0),0))))</f>
      </c>
      <c r="H5003">
        <f>IF(DATOS!$G5003&lt;&gt;"EX",0,--(COUNTIFS(nNIA,DATOS!$A5003,nCURSO,DATOS!$D5003,nESPEC,DATOS!$E5003,nASIG,DATOS!$I5003,nEVAL,"OR")=0))</f>
      </c>
      <c r="I5003">
        <f>IF(DATOS!$I5003="","",IFERROR(VLOOKUP(DATOS!$I5003,CONFIG_ASIGNATURAS!$B$2:$J$91,9,FALSE()),""))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IF(DATOS!$A5004="",0,IF(CONFIG_METADATA!$B$4&lt;&gt;"OR+EX",--(DATOS!$G5004=CONFIG_METADATA!$B$4),IF(DATOS!$G5004="EX",1,IF(DATOS!$G5004="OR",--(COUNTIFS(nNIA,DATOS!$A5004,nCURSO,DATOS!$D5004,nESPEC,DATOS!$E5004,nASIG,DATOS!$I5004,nEVAL,"EX")=0),0))))</f>
      </c>
      <c r="H5004">
        <f>IF(DATOS!$G5004&lt;&gt;"EX",0,--(COUNTIFS(nNIA,DATOS!$A5004,nCURSO,DATOS!$D5004,nESPEC,DATOS!$E5004,nASIG,DATOS!$I5004,nEVAL,"OR")=0))</f>
      </c>
      <c r="I5004">
        <f>IF(DATOS!$I5004="","",IFERROR(VLOOKUP(DATOS!$I5004,CONFIG_ASIGNATURAS!$B$2:$J$91,9,FALSE()),""))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IF(DATOS!$A5005="",0,IF(CONFIG_METADATA!$B$4&lt;&gt;"OR+EX",--(DATOS!$G5005=CONFIG_METADATA!$B$4),IF(DATOS!$G5005="EX",1,IF(DATOS!$G5005="OR",--(COUNTIFS(nNIA,DATOS!$A5005,nCURSO,DATOS!$D5005,nESPEC,DATOS!$E5005,nASIG,DATOS!$I5005,nEVAL,"EX")=0),0))))</f>
      </c>
      <c r="H5005">
        <f>IF(DATOS!$G5005&lt;&gt;"EX",0,--(COUNTIFS(nNIA,DATOS!$A5005,nCURSO,DATOS!$D5005,nESPEC,DATOS!$E5005,nASIG,DATOS!$I5005,nEVAL,"OR")=0))</f>
      </c>
      <c r="I5005">
        <f>IF(DATOS!$I5005="","",IFERROR(VLOOKUP(DATOS!$I5005,CONFIG_ASIGNATURAS!$B$2:$J$91,9,FALSE()),""))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IF(DATOS!$A5006="",0,IF(CONFIG_METADATA!$B$4&lt;&gt;"OR+EX",--(DATOS!$G5006=CONFIG_METADATA!$B$4),IF(DATOS!$G5006="EX",1,IF(DATOS!$G5006="OR",--(COUNTIFS(nNIA,DATOS!$A5006,nCURSO,DATOS!$D5006,nESPEC,DATOS!$E5006,nASIG,DATOS!$I5006,nEVAL,"EX")=0),0))))</f>
      </c>
      <c r="H5006">
        <f>IF(DATOS!$G5006&lt;&gt;"EX",0,--(COUNTIFS(nNIA,DATOS!$A5006,nCURSO,DATOS!$D5006,nESPEC,DATOS!$E5006,nASIG,DATOS!$I5006,nEVAL,"OR")=0))</f>
      </c>
      <c r="I5006">
        <f>IF(DATOS!$I5006="","",IFERROR(VLOOKUP(DATOS!$I5006,CONFIG_ASIGNATURAS!$B$2:$J$91,9,FALSE()),""))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IF(DATOS!$A5007="",0,IF(CONFIG_METADATA!$B$4&lt;&gt;"OR+EX",--(DATOS!$G5007=CONFIG_METADATA!$B$4),IF(DATOS!$G5007="EX",1,IF(DATOS!$G5007="OR",--(COUNTIFS(nNIA,DATOS!$A5007,nCURSO,DATOS!$D5007,nESPEC,DATOS!$E5007,nASIG,DATOS!$I5007,nEVAL,"EX")=0),0))))</f>
      </c>
      <c r="H5007">
        <f>IF(DATOS!$G5007&lt;&gt;"EX",0,--(COUNTIFS(nNIA,DATOS!$A5007,nCURSO,DATOS!$D5007,nESPEC,DATOS!$E5007,nASIG,DATOS!$I5007,nEVAL,"OR")=0))</f>
      </c>
      <c r="I5007">
        <f>IF(DATOS!$I5007="","",IFERROR(VLOOKUP(DATOS!$I5007,CONFIG_ASIGNATURAS!$B$2:$J$91,9,FALSE()),""))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IF(DATOS!$A5008="",0,IF(CONFIG_METADATA!$B$4&lt;&gt;"OR+EX",--(DATOS!$G5008=CONFIG_METADATA!$B$4),IF(DATOS!$G5008="EX",1,IF(DATOS!$G5008="OR",--(COUNTIFS(nNIA,DATOS!$A5008,nCURSO,DATOS!$D5008,nESPEC,DATOS!$E5008,nASIG,DATOS!$I5008,nEVAL,"EX")=0),0))))</f>
      </c>
      <c r="H5008">
        <f>IF(DATOS!$G5008&lt;&gt;"EX",0,--(COUNTIFS(nNIA,DATOS!$A5008,nCURSO,DATOS!$D5008,nESPEC,DATOS!$E5008,nASIG,DATOS!$I5008,nEVAL,"OR")=0))</f>
      </c>
      <c r="I5008">
        <f>IF(DATOS!$I5008="","",IFERROR(VLOOKUP(DATOS!$I5008,CONFIG_ASIGNATURAS!$B$2:$J$91,9,FALSE()),""))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IF(DATOS!$A5009="",0,IF(CONFIG_METADATA!$B$4&lt;&gt;"OR+EX",--(DATOS!$G5009=CONFIG_METADATA!$B$4),IF(DATOS!$G5009="EX",1,IF(DATOS!$G5009="OR",--(COUNTIFS(nNIA,DATOS!$A5009,nCURSO,DATOS!$D5009,nESPEC,DATOS!$E5009,nASIG,DATOS!$I5009,nEVAL,"EX")=0),0))))</f>
      </c>
      <c r="H5009">
        <f>IF(DATOS!$G5009&lt;&gt;"EX",0,--(COUNTIFS(nNIA,DATOS!$A5009,nCURSO,DATOS!$D5009,nESPEC,DATOS!$E5009,nASIG,DATOS!$I5009,nEVAL,"OR")=0))</f>
      </c>
      <c r="I5009">
        <f>IF(DATOS!$I5009="","",IFERROR(VLOOKUP(DATOS!$I5009,CONFIG_ASIGNATURAS!$B$2:$J$91,9,FALSE()),""))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IF(DATOS!$A5010="",0,IF(CONFIG_METADATA!$B$4&lt;&gt;"OR+EX",--(DATOS!$G5010=CONFIG_METADATA!$B$4),IF(DATOS!$G5010="EX",1,IF(DATOS!$G5010="OR",--(COUNTIFS(nNIA,DATOS!$A5010,nCURSO,DATOS!$D5010,nESPEC,DATOS!$E5010,nASIG,DATOS!$I5010,nEVAL,"EX")=0),0))))</f>
      </c>
      <c r="H5010">
        <f>IF(DATOS!$G5010&lt;&gt;"EX",0,--(COUNTIFS(nNIA,DATOS!$A5010,nCURSO,DATOS!$D5010,nESPEC,DATOS!$E5010,nASIG,DATOS!$I5010,nEVAL,"OR")=0))</f>
      </c>
      <c r="I5010">
        <f>IF(DATOS!$I5010="","",IFERROR(VLOOKUP(DATOS!$I5010,CONFIG_ASIGNATURAS!$B$2:$J$91,9,FALSE()),""))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IF(DATOS!$A5011="",0,IF(CONFIG_METADATA!$B$4&lt;&gt;"OR+EX",--(DATOS!$G5011=CONFIG_METADATA!$B$4),IF(DATOS!$G5011="EX",1,IF(DATOS!$G5011="OR",--(COUNTIFS(nNIA,DATOS!$A5011,nCURSO,DATOS!$D5011,nESPEC,DATOS!$E5011,nASIG,DATOS!$I5011,nEVAL,"EX")=0),0))))</f>
      </c>
      <c r="H5011">
        <f>IF(DATOS!$G5011&lt;&gt;"EX",0,--(COUNTIFS(nNIA,DATOS!$A5011,nCURSO,DATOS!$D5011,nESPEC,DATOS!$E5011,nASIG,DATOS!$I5011,nEVAL,"OR")=0))</f>
      </c>
      <c r="I5011">
        <f>IF(DATOS!$I5011="","",IFERROR(VLOOKUP(DATOS!$I5011,CONFIG_ASIGNATURAS!$B$2:$J$91,9,FALSE()),""))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IF(DATOS!$A5012="",0,IF(CONFIG_METADATA!$B$4&lt;&gt;"OR+EX",--(DATOS!$G5012=CONFIG_METADATA!$B$4),IF(DATOS!$G5012="EX",1,IF(DATOS!$G5012="OR",--(COUNTIFS(nNIA,DATOS!$A5012,nCURSO,DATOS!$D5012,nESPEC,DATOS!$E5012,nASIG,DATOS!$I5012,nEVAL,"EX")=0),0))))</f>
      </c>
      <c r="H5012">
        <f>IF(DATOS!$G5012&lt;&gt;"EX",0,--(COUNTIFS(nNIA,DATOS!$A5012,nCURSO,DATOS!$D5012,nESPEC,DATOS!$E5012,nASIG,DATOS!$I5012,nEVAL,"OR")=0))</f>
      </c>
      <c r="I5012">
        <f>IF(DATOS!$I5012="","",IFERROR(VLOOKUP(DATOS!$I5012,CONFIG_ASIGNATURAS!$B$2:$J$91,9,FALSE()),""))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IF(DATOS!$A5013="",0,IF(CONFIG_METADATA!$B$4&lt;&gt;"OR+EX",--(DATOS!$G5013=CONFIG_METADATA!$B$4),IF(DATOS!$G5013="EX",1,IF(DATOS!$G5013="OR",--(COUNTIFS(nNIA,DATOS!$A5013,nCURSO,DATOS!$D5013,nESPEC,DATOS!$E5013,nASIG,DATOS!$I5013,nEVAL,"EX")=0),0))))</f>
      </c>
      <c r="H5013">
        <f>IF(DATOS!$G5013&lt;&gt;"EX",0,--(COUNTIFS(nNIA,DATOS!$A5013,nCURSO,DATOS!$D5013,nESPEC,DATOS!$E5013,nASIG,DATOS!$I5013,nEVAL,"OR")=0))</f>
      </c>
      <c r="I5013">
        <f>IF(DATOS!$I5013="","",IFERROR(VLOOKUP(DATOS!$I5013,CONFIG_ASIGNATURAS!$B$2:$J$91,9,FALSE()),""))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IF(DATOS!$A5014="",0,IF(CONFIG_METADATA!$B$4&lt;&gt;"OR+EX",--(DATOS!$G5014=CONFIG_METADATA!$B$4),IF(DATOS!$G5014="EX",1,IF(DATOS!$G5014="OR",--(COUNTIFS(nNIA,DATOS!$A5014,nCURSO,DATOS!$D5014,nESPEC,DATOS!$E5014,nASIG,DATOS!$I5014,nEVAL,"EX")=0),0))))</f>
      </c>
      <c r="H5014">
        <f>IF(DATOS!$G5014&lt;&gt;"EX",0,--(COUNTIFS(nNIA,DATOS!$A5014,nCURSO,DATOS!$D5014,nESPEC,DATOS!$E5014,nASIG,DATOS!$I5014,nEVAL,"OR")=0))</f>
      </c>
      <c r="I5014">
        <f>IF(DATOS!$I5014="","",IFERROR(VLOOKUP(DATOS!$I5014,CONFIG_ASIGNATURAS!$B$2:$J$91,9,FALSE()),""))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IF(DATOS!$A5015="",0,IF(CONFIG_METADATA!$B$4&lt;&gt;"OR+EX",--(DATOS!$G5015=CONFIG_METADATA!$B$4),IF(DATOS!$G5015="EX",1,IF(DATOS!$G5015="OR",--(COUNTIFS(nNIA,DATOS!$A5015,nCURSO,DATOS!$D5015,nESPEC,DATOS!$E5015,nASIG,DATOS!$I5015,nEVAL,"EX")=0),0))))</f>
      </c>
      <c r="H5015">
        <f>IF(DATOS!$G5015&lt;&gt;"EX",0,--(COUNTIFS(nNIA,DATOS!$A5015,nCURSO,DATOS!$D5015,nESPEC,DATOS!$E5015,nASIG,DATOS!$I5015,nEVAL,"OR")=0))</f>
      </c>
      <c r="I5015">
        <f>IF(DATOS!$I5015="","",IFERROR(VLOOKUP(DATOS!$I5015,CONFIG_ASIGNATURAS!$B$2:$J$91,9,FALSE()),""))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IF(DATOS!$A5016="",0,IF(CONFIG_METADATA!$B$4&lt;&gt;"OR+EX",--(DATOS!$G5016=CONFIG_METADATA!$B$4),IF(DATOS!$G5016="EX",1,IF(DATOS!$G5016="OR",--(COUNTIFS(nNIA,DATOS!$A5016,nCURSO,DATOS!$D5016,nESPEC,DATOS!$E5016,nASIG,DATOS!$I5016,nEVAL,"EX")=0),0))))</f>
      </c>
      <c r="H5016">
        <f>IF(DATOS!$G5016&lt;&gt;"EX",0,--(COUNTIFS(nNIA,DATOS!$A5016,nCURSO,DATOS!$D5016,nESPEC,DATOS!$E5016,nASIG,DATOS!$I5016,nEVAL,"OR")=0))</f>
      </c>
      <c r="I5016">
        <f>IF(DATOS!$I5016="","",IFERROR(VLOOKUP(DATOS!$I5016,CONFIG_ASIGNATURAS!$B$2:$J$91,9,FALSE()),""))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IF(DATOS!$A5017="",0,IF(CONFIG_METADATA!$B$4&lt;&gt;"OR+EX",--(DATOS!$G5017=CONFIG_METADATA!$B$4),IF(DATOS!$G5017="EX",1,IF(DATOS!$G5017="OR",--(COUNTIFS(nNIA,DATOS!$A5017,nCURSO,DATOS!$D5017,nESPEC,DATOS!$E5017,nASIG,DATOS!$I5017,nEVAL,"EX")=0),0))))</f>
      </c>
      <c r="H5017">
        <f>IF(DATOS!$G5017&lt;&gt;"EX",0,--(COUNTIFS(nNIA,DATOS!$A5017,nCURSO,DATOS!$D5017,nESPEC,DATOS!$E5017,nASIG,DATOS!$I5017,nEVAL,"OR")=0))</f>
      </c>
      <c r="I5017">
        <f>IF(DATOS!$I5017="","",IFERROR(VLOOKUP(DATOS!$I5017,CONFIG_ASIGNATURAS!$B$2:$J$91,9,FALSE()),""))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IF(DATOS!$A5018="",0,IF(CONFIG_METADATA!$B$4&lt;&gt;"OR+EX",--(DATOS!$G5018=CONFIG_METADATA!$B$4),IF(DATOS!$G5018="EX",1,IF(DATOS!$G5018="OR",--(COUNTIFS(nNIA,DATOS!$A5018,nCURSO,DATOS!$D5018,nESPEC,DATOS!$E5018,nASIG,DATOS!$I5018,nEVAL,"EX")=0),0))))</f>
      </c>
      <c r="H5018">
        <f>IF(DATOS!$G5018&lt;&gt;"EX",0,--(COUNTIFS(nNIA,DATOS!$A5018,nCURSO,DATOS!$D5018,nESPEC,DATOS!$E5018,nASIG,DATOS!$I5018,nEVAL,"OR")=0))</f>
      </c>
      <c r="I5018">
        <f>IF(DATOS!$I5018="","",IFERROR(VLOOKUP(DATOS!$I5018,CONFIG_ASIGNATURAS!$B$2:$J$91,9,FALSE()),""))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IF(DATOS!$A5019="",0,IF(CONFIG_METADATA!$B$4&lt;&gt;"OR+EX",--(DATOS!$G5019=CONFIG_METADATA!$B$4),IF(DATOS!$G5019="EX",1,IF(DATOS!$G5019="OR",--(COUNTIFS(nNIA,DATOS!$A5019,nCURSO,DATOS!$D5019,nESPEC,DATOS!$E5019,nASIG,DATOS!$I5019,nEVAL,"EX")=0),0))))</f>
      </c>
      <c r="H5019">
        <f>IF(DATOS!$G5019&lt;&gt;"EX",0,--(COUNTIFS(nNIA,DATOS!$A5019,nCURSO,DATOS!$D5019,nESPEC,DATOS!$E5019,nASIG,DATOS!$I5019,nEVAL,"OR")=0))</f>
      </c>
      <c r="I5019">
        <f>IF(DATOS!$I5019="","",IFERROR(VLOOKUP(DATOS!$I5019,CONFIG_ASIGNATURAS!$B$2:$J$91,9,FALSE()),""))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IF(DATOS!$A5020="",0,IF(CONFIG_METADATA!$B$4&lt;&gt;"OR+EX",--(DATOS!$G5020=CONFIG_METADATA!$B$4),IF(DATOS!$G5020="EX",1,IF(DATOS!$G5020="OR",--(COUNTIFS(nNIA,DATOS!$A5020,nCURSO,DATOS!$D5020,nESPEC,DATOS!$E5020,nASIG,DATOS!$I5020,nEVAL,"EX")=0),0))))</f>
      </c>
      <c r="H5020">
        <f>IF(DATOS!$G5020&lt;&gt;"EX",0,--(COUNTIFS(nNIA,DATOS!$A5020,nCURSO,DATOS!$D5020,nESPEC,DATOS!$E5020,nASIG,DATOS!$I5020,nEVAL,"OR")=0))</f>
      </c>
      <c r="I5020">
        <f>IF(DATOS!$I5020="","",IFERROR(VLOOKUP(DATOS!$I5020,CONFIG_ASIGNATURAS!$B$2:$J$91,9,FALSE()),""))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IF(DATOS!$A5021="",0,IF(CONFIG_METADATA!$B$4&lt;&gt;"OR+EX",--(DATOS!$G5021=CONFIG_METADATA!$B$4),IF(DATOS!$G5021="EX",1,IF(DATOS!$G5021="OR",--(COUNTIFS(nNIA,DATOS!$A5021,nCURSO,DATOS!$D5021,nESPEC,DATOS!$E5021,nASIG,DATOS!$I5021,nEVAL,"EX")=0),0))))</f>
      </c>
      <c r="H5021">
        <f>IF(DATOS!$G5021&lt;&gt;"EX",0,--(COUNTIFS(nNIA,DATOS!$A5021,nCURSO,DATOS!$D5021,nESPEC,DATOS!$E5021,nASIG,DATOS!$I5021,nEVAL,"OR")=0))</f>
      </c>
      <c r="I5021">
        <f>IF(DATOS!$I5021="","",IFERROR(VLOOKUP(DATOS!$I5021,CONFIG_ASIGNATURAS!$B$2:$J$91,9,FALSE()),""))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IF(DATOS!$A5022="",0,IF(CONFIG_METADATA!$B$4&lt;&gt;"OR+EX",--(DATOS!$G5022=CONFIG_METADATA!$B$4),IF(DATOS!$G5022="EX",1,IF(DATOS!$G5022="OR",--(COUNTIFS(nNIA,DATOS!$A5022,nCURSO,DATOS!$D5022,nESPEC,DATOS!$E5022,nASIG,DATOS!$I5022,nEVAL,"EX")=0),0))))</f>
      </c>
      <c r="H5022">
        <f>IF(DATOS!$G5022&lt;&gt;"EX",0,--(COUNTIFS(nNIA,DATOS!$A5022,nCURSO,DATOS!$D5022,nESPEC,DATOS!$E5022,nASIG,DATOS!$I5022,nEVAL,"OR")=0))</f>
      </c>
      <c r="I5022">
        <f>IF(DATOS!$I5022="","",IFERROR(VLOOKUP(DATOS!$I5022,CONFIG_ASIGNATURAS!$B$2:$J$91,9,FALSE()),""))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IF(DATOS!$A5023="",0,IF(CONFIG_METADATA!$B$4&lt;&gt;"OR+EX",--(DATOS!$G5023=CONFIG_METADATA!$B$4),IF(DATOS!$G5023="EX",1,IF(DATOS!$G5023="OR",--(COUNTIFS(nNIA,DATOS!$A5023,nCURSO,DATOS!$D5023,nESPEC,DATOS!$E5023,nASIG,DATOS!$I5023,nEVAL,"EX")=0),0))))</f>
      </c>
      <c r="H5023">
        <f>IF(DATOS!$G5023&lt;&gt;"EX",0,--(COUNTIFS(nNIA,DATOS!$A5023,nCURSO,DATOS!$D5023,nESPEC,DATOS!$E5023,nASIG,DATOS!$I5023,nEVAL,"OR")=0))</f>
      </c>
      <c r="I5023">
        <f>IF(DATOS!$I5023="","",IFERROR(VLOOKUP(DATOS!$I5023,CONFIG_ASIGNATURAS!$B$2:$J$91,9,FALSE()),""))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IF(DATOS!$A5024="",0,IF(CONFIG_METADATA!$B$4&lt;&gt;"OR+EX",--(DATOS!$G5024=CONFIG_METADATA!$B$4),IF(DATOS!$G5024="EX",1,IF(DATOS!$G5024="OR",--(COUNTIFS(nNIA,DATOS!$A5024,nCURSO,DATOS!$D5024,nESPEC,DATOS!$E5024,nASIG,DATOS!$I5024,nEVAL,"EX")=0),0))))</f>
      </c>
      <c r="H5024">
        <f>IF(DATOS!$G5024&lt;&gt;"EX",0,--(COUNTIFS(nNIA,DATOS!$A5024,nCURSO,DATOS!$D5024,nESPEC,DATOS!$E5024,nASIG,DATOS!$I5024,nEVAL,"OR")=0))</f>
      </c>
      <c r="I5024">
        <f>IF(DATOS!$I5024="","",IFERROR(VLOOKUP(DATOS!$I5024,CONFIG_ASIGNATURAS!$B$2:$J$91,9,FALSE()),""))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IF(DATOS!$A5025="",0,IF(CONFIG_METADATA!$B$4&lt;&gt;"OR+EX",--(DATOS!$G5025=CONFIG_METADATA!$B$4),IF(DATOS!$G5025="EX",1,IF(DATOS!$G5025="OR",--(COUNTIFS(nNIA,DATOS!$A5025,nCURSO,DATOS!$D5025,nESPEC,DATOS!$E5025,nASIG,DATOS!$I5025,nEVAL,"EX")=0),0))))</f>
      </c>
      <c r="H5025">
        <f>IF(DATOS!$G5025&lt;&gt;"EX",0,--(COUNTIFS(nNIA,DATOS!$A5025,nCURSO,DATOS!$D5025,nESPEC,DATOS!$E5025,nASIG,DATOS!$I5025,nEVAL,"OR")=0))</f>
      </c>
      <c r="I5025">
        <f>IF(DATOS!$I5025="","",IFERROR(VLOOKUP(DATOS!$I5025,CONFIG_ASIGNATURAS!$B$2:$J$91,9,FALSE()),""))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IF(DATOS!$A5026="",0,IF(CONFIG_METADATA!$B$4&lt;&gt;"OR+EX",--(DATOS!$G5026=CONFIG_METADATA!$B$4),IF(DATOS!$G5026="EX",1,IF(DATOS!$G5026="OR",--(COUNTIFS(nNIA,DATOS!$A5026,nCURSO,DATOS!$D5026,nESPEC,DATOS!$E5026,nASIG,DATOS!$I5026,nEVAL,"EX")=0),0))))</f>
      </c>
      <c r="H5026">
        <f>IF(DATOS!$G5026&lt;&gt;"EX",0,--(COUNTIFS(nNIA,DATOS!$A5026,nCURSO,DATOS!$D5026,nESPEC,DATOS!$E5026,nASIG,DATOS!$I5026,nEVAL,"OR")=0))</f>
      </c>
      <c r="I5026">
        <f>IF(DATOS!$I5026="","",IFERROR(VLOOKUP(DATOS!$I5026,CONFIG_ASIGNATURAS!$B$2:$J$91,9,FALSE()),""))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IF(DATOS!$A5027="",0,IF(CONFIG_METADATA!$B$4&lt;&gt;"OR+EX",--(DATOS!$G5027=CONFIG_METADATA!$B$4),IF(DATOS!$G5027="EX",1,IF(DATOS!$G5027="OR",--(COUNTIFS(nNIA,DATOS!$A5027,nCURSO,DATOS!$D5027,nESPEC,DATOS!$E5027,nASIG,DATOS!$I5027,nEVAL,"EX")=0),0))))</f>
      </c>
      <c r="H5027">
        <f>IF(DATOS!$G5027&lt;&gt;"EX",0,--(COUNTIFS(nNIA,DATOS!$A5027,nCURSO,DATOS!$D5027,nESPEC,DATOS!$E5027,nASIG,DATOS!$I5027,nEVAL,"OR")=0))</f>
      </c>
      <c r="I5027">
        <f>IF(DATOS!$I5027="","",IFERROR(VLOOKUP(DATOS!$I5027,CONFIG_ASIGNATURAS!$B$2:$J$91,9,FALSE()),""))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IF(DATOS!$A5028="",0,IF(CONFIG_METADATA!$B$4&lt;&gt;"OR+EX",--(DATOS!$G5028=CONFIG_METADATA!$B$4),IF(DATOS!$G5028="EX",1,IF(DATOS!$G5028="OR",--(COUNTIFS(nNIA,DATOS!$A5028,nCURSO,DATOS!$D5028,nESPEC,DATOS!$E5028,nASIG,DATOS!$I5028,nEVAL,"EX")=0),0))))</f>
      </c>
      <c r="H5028">
        <f>IF(DATOS!$G5028&lt;&gt;"EX",0,--(COUNTIFS(nNIA,DATOS!$A5028,nCURSO,DATOS!$D5028,nESPEC,DATOS!$E5028,nASIG,DATOS!$I5028,nEVAL,"OR")=0))</f>
      </c>
      <c r="I5028">
        <f>IF(DATOS!$I5028="","",IFERROR(VLOOKUP(DATOS!$I5028,CONFIG_ASIGNATURAS!$B$2:$J$91,9,FALSE()),""))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IF(DATOS!$A5029="",0,IF(CONFIG_METADATA!$B$4&lt;&gt;"OR+EX",--(DATOS!$G5029=CONFIG_METADATA!$B$4),IF(DATOS!$G5029="EX",1,IF(DATOS!$G5029="OR",--(COUNTIFS(nNIA,DATOS!$A5029,nCURSO,DATOS!$D5029,nESPEC,DATOS!$E5029,nASIG,DATOS!$I5029,nEVAL,"EX")=0),0))))</f>
      </c>
      <c r="H5029">
        <f>IF(DATOS!$G5029&lt;&gt;"EX",0,--(COUNTIFS(nNIA,DATOS!$A5029,nCURSO,DATOS!$D5029,nESPEC,DATOS!$E5029,nASIG,DATOS!$I5029,nEVAL,"OR")=0))</f>
      </c>
      <c r="I5029">
        <f>IF(DATOS!$I5029="","",IFERROR(VLOOKUP(DATOS!$I5029,CONFIG_ASIGNATURAS!$B$2:$J$91,9,FALSE()),""))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IF(DATOS!$A5030="",0,IF(CONFIG_METADATA!$B$4&lt;&gt;"OR+EX",--(DATOS!$G5030=CONFIG_METADATA!$B$4),IF(DATOS!$G5030="EX",1,IF(DATOS!$G5030="OR",--(COUNTIFS(nNIA,DATOS!$A5030,nCURSO,DATOS!$D5030,nESPEC,DATOS!$E5030,nASIG,DATOS!$I5030,nEVAL,"EX")=0),0))))</f>
      </c>
      <c r="H5030">
        <f>IF(DATOS!$G5030&lt;&gt;"EX",0,--(COUNTIFS(nNIA,DATOS!$A5030,nCURSO,DATOS!$D5030,nESPEC,DATOS!$E5030,nASIG,DATOS!$I5030,nEVAL,"OR")=0))</f>
      </c>
      <c r="I5030">
        <f>IF(DATOS!$I5030="","",IFERROR(VLOOKUP(DATOS!$I5030,CONFIG_ASIGNATURAS!$B$2:$J$91,9,FALSE()),""))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IF(DATOS!$A5031="",0,IF(CONFIG_METADATA!$B$4&lt;&gt;"OR+EX",--(DATOS!$G5031=CONFIG_METADATA!$B$4),IF(DATOS!$G5031="EX",1,IF(DATOS!$G5031="OR",--(COUNTIFS(nNIA,DATOS!$A5031,nCURSO,DATOS!$D5031,nESPEC,DATOS!$E5031,nASIG,DATOS!$I5031,nEVAL,"EX")=0),0))))</f>
      </c>
      <c r="H5031">
        <f>IF(DATOS!$G5031&lt;&gt;"EX",0,--(COUNTIFS(nNIA,DATOS!$A5031,nCURSO,DATOS!$D5031,nESPEC,DATOS!$E5031,nASIG,DATOS!$I5031,nEVAL,"OR")=0))</f>
      </c>
      <c r="I5031">
        <f>IF(DATOS!$I5031="","",IFERROR(VLOOKUP(DATOS!$I5031,CONFIG_ASIGNATURAS!$B$2:$J$91,9,FALSE()),""))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IF(DATOS!$A5032="",0,IF(CONFIG_METADATA!$B$4&lt;&gt;"OR+EX",--(DATOS!$G5032=CONFIG_METADATA!$B$4),IF(DATOS!$G5032="EX",1,IF(DATOS!$G5032="OR",--(COUNTIFS(nNIA,DATOS!$A5032,nCURSO,DATOS!$D5032,nESPEC,DATOS!$E5032,nASIG,DATOS!$I5032,nEVAL,"EX")=0),0))))</f>
      </c>
      <c r="H5032">
        <f>IF(DATOS!$G5032&lt;&gt;"EX",0,--(COUNTIFS(nNIA,DATOS!$A5032,nCURSO,DATOS!$D5032,nESPEC,DATOS!$E5032,nASIG,DATOS!$I5032,nEVAL,"OR")=0))</f>
      </c>
      <c r="I5032">
        <f>IF(DATOS!$I5032="","",IFERROR(VLOOKUP(DATOS!$I5032,CONFIG_ASIGNATURAS!$B$2:$J$91,9,FALSE()),""))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IF(DATOS!$A5033="",0,IF(CONFIG_METADATA!$B$4&lt;&gt;"OR+EX",--(DATOS!$G5033=CONFIG_METADATA!$B$4),IF(DATOS!$G5033="EX",1,IF(DATOS!$G5033="OR",--(COUNTIFS(nNIA,DATOS!$A5033,nCURSO,DATOS!$D5033,nESPEC,DATOS!$E5033,nASIG,DATOS!$I5033,nEVAL,"EX")=0),0))))</f>
      </c>
      <c r="H5033">
        <f>IF(DATOS!$G5033&lt;&gt;"EX",0,--(COUNTIFS(nNIA,DATOS!$A5033,nCURSO,DATOS!$D5033,nESPEC,DATOS!$E5033,nASIG,DATOS!$I5033,nEVAL,"OR")=0))</f>
      </c>
      <c r="I5033">
        <f>IF(DATOS!$I5033="","",IFERROR(VLOOKUP(DATOS!$I5033,CONFIG_ASIGNATURAS!$B$2:$J$91,9,FALSE()),""))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IF(DATOS!$A5034="",0,IF(CONFIG_METADATA!$B$4&lt;&gt;"OR+EX",--(DATOS!$G5034=CONFIG_METADATA!$B$4),IF(DATOS!$G5034="EX",1,IF(DATOS!$G5034="OR",--(COUNTIFS(nNIA,DATOS!$A5034,nCURSO,DATOS!$D5034,nESPEC,DATOS!$E5034,nASIG,DATOS!$I5034,nEVAL,"EX")=0),0))))</f>
      </c>
      <c r="H5034">
        <f>IF(DATOS!$G5034&lt;&gt;"EX",0,--(COUNTIFS(nNIA,DATOS!$A5034,nCURSO,DATOS!$D5034,nESPEC,DATOS!$E5034,nASIG,DATOS!$I5034,nEVAL,"OR")=0))</f>
      </c>
      <c r="I5034">
        <f>IF(DATOS!$I5034="","",IFERROR(VLOOKUP(DATOS!$I5034,CONFIG_ASIGNATURAS!$B$2:$J$91,9,FALSE()),""))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IF(DATOS!$A5035="",0,IF(CONFIG_METADATA!$B$4&lt;&gt;"OR+EX",--(DATOS!$G5035=CONFIG_METADATA!$B$4),IF(DATOS!$G5035="EX",1,IF(DATOS!$G5035="OR",--(COUNTIFS(nNIA,DATOS!$A5035,nCURSO,DATOS!$D5035,nESPEC,DATOS!$E5035,nASIG,DATOS!$I5035,nEVAL,"EX")=0),0))))</f>
      </c>
      <c r="H5035">
        <f>IF(DATOS!$G5035&lt;&gt;"EX",0,--(COUNTIFS(nNIA,DATOS!$A5035,nCURSO,DATOS!$D5035,nESPEC,DATOS!$E5035,nASIG,DATOS!$I5035,nEVAL,"OR")=0))</f>
      </c>
      <c r="I5035">
        <f>IF(DATOS!$I5035="","",IFERROR(VLOOKUP(DATOS!$I5035,CONFIG_ASIGNATURAS!$B$2:$J$91,9,FALSE()),""))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IF(DATOS!$A5036="",0,IF(CONFIG_METADATA!$B$4&lt;&gt;"OR+EX",--(DATOS!$G5036=CONFIG_METADATA!$B$4),IF(DATOS!$G5036="EX",1,IF(DATOS!$G5036="OR",--(COUNTIFS(nNIA,DATOS!$A5036,nCURSO,DATOS!$D5036,nESPEC,DATOS!$E5036,nASIG,DATOS!$I5036,nEVAL,"EX")=0),0))))</f>
      </c>
      <c r="H5036">
        <f>IF(DATOS!$G5036&lt;&gt;"EX",0,--(COUNTIFS(nNIA,DATOS!$A5036,nCURSO,DATOS!$D5036,nESPEC,DATOS!$E5036,nASIG,DATOS!$I5036,nEVAL,"OR")=0))</f>
      </c>
      <c r="I5036">
        <f>IF(DATOS!$I5036="","",IFERROR(VLOOKUP(DATOS!$I5036,CONFIG_ASIGNATURAS!$B$2:$J$91,9,FALSE()),""))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IF(DATOS!$A5037="",0,IF(CONFIG_METADATA!$B$4&lt;&gt;"OR+EX",--(DATOS!$G5037=CONFIG_METADATA!$B$4),IF(DATOS!$G5037="EX",1,IF(DATOS!$G5037="OR",--(COUNTIFS(nNIA,DATOS!$A5037,nCURSO,DATOS!$D5037,nESPEC,DATOS!$E5037,nASIG,DATOS!$I5037,nEVAL,"EX")=0),0))))</f>
      </c>
      <c r="H5037">
        <f>IF(DATOS!$G5037&lt;&gt;"EX",0,--(COUNTIFS(nNIA,DATOS!$A5037,nCURSO,DATOS!$D5037,nESPEC,DATOS!$E5037,nASIG,DATOS!$I5037,nEVAL,"OR")=0))</f>
      </c>
      <c r="I5037">
        <f>IF(DATOS!$I5037="","",IFERROR(VLOOKUP(DATOS!$I5037,CONFIG_ASIGNATURAS!$B$2:$J$91,9,FALSE()),""))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IF(DATOS!$A5038="",0,IF(CONFIG_METADATA!$B$4&lt;&gt;"OR+EX",--(DATOS!$G5038=CONFIG_METADATA!$B$4),IF(DATOS!$G5038="EX",1,IF(DATOS!$G5038="OR",--(COUNTIFS(nNIA,DATOS!$A5038,nCURSO,DATOS!$D5038,nESPEC,DATOS!$E5038,nASIG,DATOS!$I5038,nEVAL,"EX")=0),0))))</f>
      </c>
      <c r="H5038">
        <f>IF(DATOS!$G5038&lt;&gt;"EX",0,--(COUNTIFS(nNIA,DATOS!$A5038,nCURSO,DATOS!$D5038,nESPEC,DATOS!$E5038,nASIG,DATOS!$I5038,nEVAL,"OR")=0))</f>
      </c>
      <c r="I5038">
        <f>IF(DATOS!$I5038="","",IFERROR(VLOOKUP(DATOS!$I5038,CONFIG_ASIGNATURAS!$B$2:$J$91,9,FALSE()),""))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IF(DATOS!$A5039="",0,IF(CONFIG_METADATA!$B$4&lt;&gt;"OR+EX",--(DATOS!$G5039=CONFIG_METADATA!$B$4),IF(DATOS!$G5039="EX",1,IF(DATOS!$G5039="OR",--(COUNTIFS(nNIA,DATOS!$A5039,nCURSO,DATOS!$D5039,nESPEC,DATOS!$E5039,nASIG,DATOS!$I5039,nEVAL,"EX")=0),0))))</f>
      </c>
      <c r="H5039">
        <f>IF(DATOS!$G5039&lt;&gt;"EX",0,--(COUNTIFS(nNIA,DATOS!$A5039,nCURSO,DATOS!$D5039,nESPEC,DATOS!$E5039,nASIG,DATOS!$I5039,nEVAL,"OR")=0))</f>
      </c>
      <c r="I5039">
        <f>IF(DATOS!$I5039="","",IFERROR(VLOOKUP(DATOS!$I5039,CONFIG_ASIGNATURAS!$B$2:$J$91,9,FALSE()),""))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IF(DATOS!$A5040="",0,IF(CONFIG_METADATA!$B$4&lt;&gt;"OR+EX",--(DATOS!$G5040=CONFIG_METADATA!$B$4),IF(DATOS!$G5040="EX",1,IF(DATOS!$G5040="OR",--(COUNTIFS(nNIA,DATOS!$A5040,nCURSO,DATOS!$D5040,nESPEC,DATOS!$E5040,nASIG,DATOS!$I5040,nEVAL,"EX")=0),0))))</f>
      </c>
      <c r="H5040">
        <f>IF(DATOS!$G5040&lt;&gt;"EX",0,--(COUNTIFS(nNIA,DATOS!$A5040,nCURSO,DATOS!$D5040,nESPEC,DATOS!$E5040,nASIG,DATOS!$I5040,nEVAL,"OR")=0))</f>
      </c>
      <c r="I5040">
        <f>IF(DATOS!$I5040="","",IFERROR(VLOOKUP(DATOS!$I5040,CONFIG_ASIGNATURAS!$B$2:$J$91,9,FALSE()),""))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IF(DATOS!$A5041="",0,IF(CONFIG_METADATA!$B$4&lt;&gt;"OR+EX",--(DATOS!$G5041=CONFIG_METADATA!$B$4),IF(DATOS!$G5041="EX",1,IF(DATOS!$G5041="OR",--(COUNTIFS(nNIA,DATOS!$A5041,nCURSO,DATOS!$D5041,nESPEC,DATOS!$E5041,nASIG,DATOS!$I5041,nEVAL,"EX")=0),0))))</f>
      </c>
      <c r="H5041">
        <f>IF(DATOS!$G5041&lt;&gt;"EX",0,--(COUNTIFS(nNIA,DATOS!$A5041,nCURSO,DATOS!$D5041,nESPEC,DATOS!$E5041,nASIG,DATOS!$I5041,nEVAL,"OR")=0))</f>
      </c>
      <c r="I5041">
        <f>IF(DATOS!$I5041="","",IFERROR(VLOOKUP(DATOS!$I5041,CONFIG_ASIGNATURAS!$B$2:$J$91,9,FALSE()),""))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IF(DATOS!$A5042="",0,IF(CONFIG_METADATA!$B$4&lt;&gt;"OR+EX",--(DATOS!$G5042=CONFIG_METADATA!$B$4),IF(DATOS!$G5042="EX",1,IF(DATOS!$G5042="OR",--(COUNTIFS(nNIA,DATOS!$A5042,nCURSO,DATOS!$D5042,nESPEC,DATOS!$E5042,nASIG,DATOS!$I5042,nEVAL,"EX")=0),0))))</f>
      </c>
      <c r="H5042">
        <f>IF(DATOS!$G5042&lt;&gt;"EX",0,--(COUNTIFS(nNIA,DATOS!$A5042,nCURSO,DATOS!$D5042,nESPEC,DATOS!$E5042,nASIG,DATOS!$I5042,nEVAL,"OR")=0))</f>
      </c>
      <c r="I5042">
        <f>IF(DATOS!$I5042="","",IFERROR(VLOOKUP(DATOS!$I5042,CONFIG_ASIGNATURAS!$B$2:$J$91,9,FALSE()),""))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IF(DATOS!$A5043="",0,IF(CONFIG_METADATA!$B$4&lt;&gt;"OR+EX",--(DATOS!$G5043=CONFIG_METADATA!$B$4),IF(DATOS!$G5043="EX",1,IF(DATOS!$G5043="OR",--(COUNTIFS(nNIA,DATOS!$A5043,nCURSO,DATOS!$D5043,nESPEC,DATOS!$E5043,nASIG,DATOS!$I5043,nEVAL,"EX")=0),0))))</f>
      </c>
      <c r="H5043">
        <f>IF(DATOS!$G5043&lt;&gt;"EX",0,--(COUNTIFS(nNIA,DATOS!$A5043,nCURSO,DATOS!$D5043,nESPEC,DATOS!$E5043,nASIG,DATOS!$I5043,nEVAL,"OR")=0))</f>
      </c>
      <c r="I5043">
        <f>IF(DATOS!$I5043="","",IFERROR(VLOOKUP(DATOS!$I5043,CONFIG_ASIGNATURAS!$B$2:$J$91,9,FALSE()),""))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IF(DATOS!$A5044="",0,IF(CONFIG_METADATA!$B$4&lt;&gt;"OR+EX",--(DATOS!$G5044=CONFIG_METADATA!$B$4),IF(DATOS!$G5044="EX",1,IF(DATOS!$G5044="OR",--(COUNTIFS(nNIA,DATOS!$A5044,nCURSO,DATOS!$D5044,nESPEC,DATOS!$E5044,nASIG,DATOS!$I5044,nEVAL,"EX")=0),0))))</f>
      </c>
      <c r="H5044">
        <f>IF(DATOS!$G5044&lt;&gt;"EX",0,--(COUNTIFS(nNIA,DATOS!$A5044,nCURSO,DATOS!$D5044,nESPEC,DATOS!$E5044,nASIG,DATOS!$I5044,nEVAL,"OR")=0))</f>
      </c>
      <c r="I5044">
        <f>IF(DATOS!$I5044="","",IFERROR(VLOOKUP(DATOS!$I5044,CONFIG_ASIGNATURAS!$B$2:$J$91,9,FALSE()),""))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IF(DATOS!$A5045="",0,IF(CONFIG_METADATA!$B$4&lt;&gt;"OR+EX",--(DATOS!$G5045=CONFIG_METADATA!$B$4),IF(DATOS!$G5045="EX",1,IF(DATOS!$G5045="OR",--(COUNTIFS(nNIA,DATOS!$A5045,nCURSO,DATOS!$D5045,nESPEC,DATOS!$E5045,nASIG,DATOS!$I5045,nEVAL,"EX")=0),0))))</f>
      </c>
      <c r="H5045">
        <f>IF(DATOS!$G5045&lt;&gt;"EX",0,--(COUNTIFS(nNIA,DATOS!$A5045,nCURSO,DATOS!$D5045,nESPEC,DATOS!$E5045,nASIG,DATOS!$I5045,nEVAL,"OR")=0))</f>
      </c>
      <c r="I5045">
        <f>IF(DATOS!$I5045="","",IFERROR(VLOOKUP(DATOS!$I5045,CONFIG_ASIGNATURAS!$B$2:$J$91,9,FALSE()),""))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IF(DATOS!$A5046="",0,IF(CONFIG_METADATA!$B$4&lt;&gt;"OR+EX",--(DATOS!$G5046=CONFIG_METADATA!$B$4),IF(DATOS!$G5046="EX",1,IF(DATOS!$G5046="OR",--(COUNTIFS(nNIA,DATOS!$A5046,nCURSO,DATOS!$D5046,nESPEC,DATOS!$E5046,nASIG,DATOS!$I5046,nEVAL,"EX")=0),0))))</f>
      </c>
      <c r="H5046">
        <f>IF(DATOS!$G5046&lt;&gt;"EX",0,--(COUNTIFS(nNIA,DATOS!$A5046,nCURSO,DATOS!$D5046,nESPEC,DATOS!$E5046,nASIG,DATOS!$I5046,nEVAL,"OR")=0))</f>
      </c>
      <c r="I5046">
        <f>IF(DATOS!$I5046="","",IFERROR(VLOOKUP(DATOS!$I5046,CONFIG_ASIGNATURAS!$B$2:$J$91,9,FALSE()),""))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IF(DATOS!$A5047="",0,IF(CONFIG_METADATA!$B$4&lt;&gt;"OR+EX",--(DATOS!$G5047=CONFIG_METADATA!$B$4),IF(DATOS!$G5047="EX",1,IF(DATOS!$G5047="OR",--(COUNTIFS(nNIA,DATOS!$A5047,nCURSO,DATOS!$D5047,nESPEC,DATOS!$E5047,nASIG,DATOS!$I5047,nEVAL,"EX")=0),0))))</f>
      </c>
      <c r="H5047">
        <f>IF(DATOS!$G5047&lt;&gt;"EX",0,--(COUNTIFS(nNIA,DATOS!$A5047,nCURSO,DATOS!$D5047,nESPEC,DATOS!$E5047,nASIG,DATOS!$I5047,nEVAL,"OR")=0))</f>
      </c>
      <c r="I5047">
        <f>IF(DATOS!$I5047="","",IFERROR(VLOOKUP(DATOS!$I5047,CONFIG_ASIGNATURAS!$B$2:$J$91,9,FALSE()),""))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IF(DATOS!$A5048="",0,IF(CONFIG_METADATA!$B$4&lt;&gt;"OR+EX",--(DATOS!$G5048=CONFIG_METADATA!$B$4),IF(DATOS!$G5048="EX",1,IF(DATOS!$G5048="OR",--(COUNTIFS(nNIA,DATOS!$A5048,nCURSO,DATOS!$D5048,nESPEC,DATOS!$E5048,nASIG,DATOS!$I5048,nEVAL,"EX")=0),0))))</f>
      </c>
      <c r="H5048">
        <f>IF(DATOS!$G5048&lt;&gt;"EX",0,--(COUNTIFS(nNIA,DATOS!$A5048,nCURSO,DATOS!$D5048,nESPEC,DATOS!$E5048,nASIG,DATOS!$I5048,nEVAL,"OR")=0))</f>
      </c>
      <c r="I5048">
        <f>IF(DATOS!$I5048="","",IFERROR(VLOOKUP(DATOS!$I5048,CONFIG_ASIGNATURAS!$B$2:$J$91,9,FALSE()),""))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IF(DATOS!$A5049="",0,IF(CONFIG_METADATA!$B$4&lt;&gt;"OR+EX",--(DATOS!$G5049=CONFIG_METADATA!$B$4),IF(DATOS!$G5049="EX",1,IF(DATOS!$G5049="OR",--(COUNTIFS(nNIA,DATOS!$A5049,nCURSO,DATOS!$D5049,nESPEC,DATOS!$E5049,nASIG,DATOS!$I5049,nEVAL,"EX")=0),0))))</f>
      </c>
      <c r="H5049">
        <f>IF(DATOS!$G5049&lt;&gt;"EX",0,--(COUNTIFS(nNIA,DATOS!$A5049,nCURSO,DATOS!$D5049,nESPEC,DATOS!$E5049,nASIG,DATOS!$I5049,nEVAL,"OR")=0))</f>
      </c>
      <c r="I5049">
        <f>IF(DATOS!$I5049="","",IFERROR(VLOOKUP(DATOS!$I5049,CONFIG_ASIGNATURAS!$B$2:$J$91,9,FALSE()),""))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IF(DATOS!$A5050="",0,IF(CONFIG_METADATA!$B$4&lt;&gt;"OR+EX",--(DATOS!$G5050=CONFIG_METADATA!$B$4),IF(DATOS!$G5050="EX",1,IF(DATOS!$G5050="OR",--(COUNTIFS(nNIA,DATOS!$A5050,nCURSO,DATOS!$D5050,nESPEC,DATOS!$E5050,nASIG,DATOS!$I5050,nEVAL,"EX")=0),0))))</f>
      </c>
      <c r="H5050">
        <f>IF(DATOS!$G5050&lt;&gt;"EX",0,--(COUNTIFS(nNIA,DATOS!$A5050,nCURSO,DATOS!$D5050,nESPEC,DATOS!$E5050,nASIG,DATOS!$I5050,nEVAL,"OR")=0))</f>
      </c>
      <c r="I5050">
        <f>IF(DATOS!$I5050="","",IFERROR(VLOOKUP(DATOS!$I5050,CONFIG_ASIGNATURAS!$B$2:$J$91,9,FALSE()),""))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IF(DATOS!$A5051="",0,IF(CONFIG_METADATA!$B$4&lt;&gt;"OR+EX",--(DATOS!$G5051=CONFIG_METADATA!$B$4),IF(DATOS!$G5051="EX",1,IF(DATOS!$G5051="OR",--(COUNTIFS(nNIA,DATOS!$A5051,nCURSO,DATOS!$D5051,nESPEC,DATOS!$E5051,nASIG,DATOS!$I5051,nEVAL,"EX")=0),0))))</f>
      </c>
      <c r="H5051">
        <f>IF(DATOS!$G5051&lt;&gt;"EX",0,--(COUNTIFS(nNIA,DATOS!$A5051,nCURSO,DATOS!$D5051,nESPEC,DATOS!$E5051,nASIG,DATOS!$I5051,nEVAL,"OR")=0))</f>
      </c>
      <c r="I5051">
        <f>IF(DATOS!$I5051="","",IFERROR(VLOOKUP(DATOS!$I5051,CONFIG_ASIGNATURAS!$B$2:$J$91,9,FALSE()),""))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IF(DATOS!$A5052="",0,IF(CONFIG_METADATA!$B$4&lt;&gt;"OR+EX",--(DATOS!$G5052=CONFIG_METADATA!$B$4),IF(DATOS!$G5052="EX",1,IF(DATOS!$G5052="OR",--(COUNTIFS(nNIA,DATOS!$A5052,nCURSO,DATOS!$D5052,nESPEC,DATOS!$E5052,nASIG,DATOS!$I5052,nEVAL,"EX")=0),0))))</f>
      </c>
      <c r="H5052">
        <f>IF(DATOS!$G5052&lt;&gt;"EX",0,--(COUNTIFS(nNIA,DATOS!$A5052,nCURSO,DATOS!$D5052,nESPEC,DATOS!$E5052,nASIG,DATOS!$I5052,nEVAL,"OR")=0))</f>
      </c>
      <c r="I5052">
        <f>IF(DATOS!$I5052="","",IFERROR(VLOOKUP(DATOS!$I5052,CONFIG_ASIGNATURAS!$B$2:$J$91,9,FALSE()),""))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IF(DATOS!$A5053="",0,IF(CONFIG_METADATA!$B$4&lt;&gt;"OR+EX",--(DATOS!$G5053=CONFIG_METADATA!$B$4),IF(DATOS!$G5053="EX",1,IF(DATOS!$G5053="OR",--(COUNTIFS(nNIA,DATOS!$A5053,nCURSO,DATOS!$D5053,nESPEC,DATOS!$E5053,nASIG,DATOS!$I5053,nEVAL,"EX")=0),0))))</f>
      </c>
      <c r="H5053">
        <f>IF(DATOS!$G5053&lt;&gt;"EX",0,--(COUNTIFS(nNIA,DATOS!$A5053,nCURSO,DATOS!$D5053,nESPEC,DATOS!$E5053,nASIG,DATOS!$I5053,nEVAL,"OR")=0))</f>
      </c>
      <c r="I5053">
        <f>IF(DATOS!$I5053="","",IFERROR(VLOOKUP(DATOS!$I5053,CONFIG_ASIGNATURAS!$B$2:$J$91,9,FALSE()),""))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IF(DATOS!$A5054="",0,IF(CONFIG_METADATA!$B$4&lt;&gt;"OR+EX",--(DATOS!$G5054=CONFIG_METADATA!$B$4),IF(DATOS!$G5054="EX",1,IF(DATOS!$G5054="OR",--(COUNTIFS(nNIA,DATOS!$A5054,nCURSO,DATOS!$D5054,nESPEC,DATOS!$E5054,nASIG,DATOS!$I5054,nEVAL,"EX")=0),0))))</f>
      </c>
      <c r="H5054">
        <f>IF(DATOS!$G5054&lt;&gt;"EX",0,--(COUNTIFS(nNIA,DATOS!$A5054,nCURSO,DATOS!$D5054,nESPEC,DATOS!$E5054,nASIG,DATOS!$I5054,nEVAL,"OR")=0))</f>
      </c>
      <c r="I5054">
        <f>IF(DATOS!$I5054="","",IFERROR(VLOOKUP(DATOS!$I5054,CONFIG_ASIGNATURAS!$B$2:$J$91,9,FALSE()),""))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IF(DATOS!$A5055="",0,IF(CONFIG_METADATA!$B$4&lt;&gt;"OR+EX",--(DATOS!$G5055=CONFIG_METADATA!$B$4),IF(DATOS!$G5055="EX",1,IF(DATOS!$G5055="OR",--(COUNTIFS(nNIA,DATOS!$A5055,nCURSO,DATOS!$D5055,nESPEC,DATOS!$E5055,nASIG,DATOS!$I5055,nEVAL,"EX")=0),0))))</f>
      </c>
      <c r="H5055">
        <f>IF(DATOS!$G5055&lt;&gt;"EX",0,--(COUNTIFS(nNIA,DATOS!$A5055,nCURSO,DATOS!$D5055,nESPEC,DATOS!$E5055,nASIG,DATOS!$I5055,nEVAL,"OR")=0))</f>
      </c>
      <c r="I5055">
        <f>IF(DATOS!$I5055="","",IFERROR(VLOOKUP(DATOS!$I5055,CONFIG_ASIGNATURAS!$B$2:$J$91,9,FALSE()),""))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IF(DATOS!$A5056="",0,IF(CONFIG_METADATA!$B$4&lt;&gt;"OR+EX",--(DATOS!$G5056=CONFIG_METADATA!$B$4),IF(DATOS!$G5056="EX",1,IF(DATOS!$G5056="OR",--(COUNTIFS(nNIA,DATOS!$A5056,nCURSO,DATOS!$D5056,nESPEC,DATOS!$E5056,nASIG,DATOS!$I5056,nEVAL,"EX")=0),0))))</f>
      </c>
      <c r="H5056">
        <f>IF(DATOS!$G5056&lt;&gt;"EX",0,--(COUNTIFS(nNIA,DATOS!$A5056,nCURSO,DATOS!$D5056,nESPEC,DATOS!$E5056,nASIG,DATOS!$I5056,nEVAL,"OR")=0))</f>
      </c>
      <c r="I5056">
        <f>IF(DATOS!$I5056="","",IFERROR(VLOOKUP(DATOS!$I5056,CONFIG_ASIGNATURAS!$B$2:$J$91,9,FALSE()),""))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IF(DATOS!$A5057="",0,IF(CONFIG_METADATA!$B$4&lt;&gt;"OR+EX",--(DATOS!$G5057=CONFIG_METADATA!$B$4),IF(DATOS!$G5057="EX",1,IF(DATOS!$G5057="OR",--(COUNTIFS(nNIA,DATOS!$A5057,nCURSO,DATOS!$D5057,nESPEC,DATOS!$E5057,nASIG,DATOS!$I5057,nEVAL,"EX")=0),0))))</f>
      </c>
      <c r="H5057">
        <f>IF(DATOS!$G5057&lt;&gt;"EX",0,--(COUNTIFS(nNIA,DATOS!$A5057,nCURSO,DATOS!$D5057,nESPEC,DATOS!$E5057,nASIG,DATOS!$I5057,nEVAL,"OR")=0))</f>
      </c>
      <c r="I5057">
        <f>IF(DATOS!$I5057="","",IFERROR(VLOOKUP(DATOS!$I5057,CONFIG_ASIGNATURAS!$B$2:$J$91,9,FALSE()),""))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IF(DATOS!$A5058="",0,IF(CONFIG_METADATA!$B$4&lt;&gt;"OR+EX",--(DATOS!$G5058=CONFIG_METADATA!$B$4),IF(DATOS!$G5058="EX",1,IF(DATOS!$G5058="OR",--(COUNTIFS(nNIA,DATOS!$A5058,nCURSO,DATOS!$D5058,nESPEC,DATOS!$E5058,nASIG,DATOS!$I5058,nEVAL,"EX")=0),0))))</f>
      </c>
      <c r="H5058">
        <f>IF(DATOS!$G5058&lt;&gt;"EX",0,--(COUNTIFS(nNIA,DATOS!$A5058,nCURSO,DATOS!$D5058,nESPEC,DATOS!$E5058,nASIG,DATOS!$I5058,nEVAL,"OR")=0))</f>
      </c>
      <c r="I5058">
        <f>IF(DATOS!$I5058="","",IFERROR(VLOOKUP(DATOS!$I5058,CONFIG_ASIGNATURAS!$B$2:$J$91,9,FALSE()),""))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IF(DATOS!$A5059="",0,IF(CONFIG_METADATA!$B$4&lt;&gt;"OR+EX",--(DATOS!$G5059=CONFIG_METADATA!$B$4),IF(DATOS!$G5059="EX",1,IF(DATOS!$G5059="OR",--(COUNTIFS(nNIA,DATOS!$A5059,nCURSO,DATOS!$D5059,nESPEC,DATOS!$E5059,nASIG,DATOS!$I5059,nEVAL,"EX")=0),0))))</f>
      </c>
      <c r="H5059">
        <f>IF(DATOS!$G5059&lt;&gt;"EX",0,--(COUNTIFS(nNIA,DATOS!$A5059,nCURSO,DATOS!$D5059,nESPEC,DATOS!$E5059,nASIG,DATOS!$I5059,nEVAL,"OR")=0))</f>
      </c>
      <c r="I5059">
        <f>IF(DATOS!$I5059="","",IFERROR(VLOOKUP(DATOS!$I5059,CONFIG_ASIGNATURAS!$B$2:$J$91,9,FALSE()),""))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IF(DATOS!$A5060="",0,IF(CONFIG_METADATA!$B$4&lt;&gt;"OR+EX",--(DATOS!$G5060=CONFIG_METADATA!$B$4),IF(DATOS!$G5060="EX",1,IF(DATOS!$G5060="OR",--(COUNTIFS(nNIA,DATOS!$A5060,nCURSO,DATOS!$D5060,nESPEC,DATOS!$E5060,nASIG,DATOS!$I5060,nEVAL,"EX")=0),0))))</f>
      </c>
      <c r="H5060">
        <f>IF(DATOS!$G5060&lt;&gt;"EX",0,--(COUNTIFS(nNIA,DATOS!$A5060,nCURSO,DATOS!$D5060,nESPEC,DATOS!$E5060,nASIG,DATOS!$I5060,nEVAL,"OR")=0))</f>
      </c>
      <c r="I5060">
        <f>IF(DATOS!$I5060="","",IFERROR(VLOOKUP(DATOS!$I5060,CONFIG_ASIGNATURAS!$B$2:$J$91,9,FALSE()),""))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IF(DATOS!$A5061="",0,IF(CONFIG_METADATA!$B$4&lt;&gt;"OR+EX",--(DATOS!$G5061=CONFIG_METADATA!$B$4),IF(DATOS!$G5061="EX",1,IF(DATOS!$G5061="OR",--(COUNTIFS(nNIA,DATOS!$A5061,nCURSO,DATOS!$D5061,nESPEC,DATOS!$E5061,nASIG,DATOS!$I5061,nEVAL,"EX")=0),0))))</f>
      </c>
      <c r="H5061">
        <f>IF(DATOS!$G5061&lt;&gt;"EX",0,--(COUNTIFS(nNIA,DATOS!$A5061,nCURSO,DATOS!$D5061,nESPEC,DATOS!$E5061,nASIG,DATOS!$I5061,nEVAL,"OR")=0))</f>
      </c>
      <c r="I5061">
        <f>IF(DATOS!$I5061="","",IFERROR(VLOOKUP(DATOS!$I5061,CONFIG_ASIGNATURAS!$B$2:$J$91,9,FALSE()),""))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IF(DATOS!$A5062="",0,IF(CONFIG_METADATA!$B$4&lt;&gt;"OR+EX",--(DATOS!$G5062=CONFIG_METADATA!$B$4),IF(DATOS!$G5062="EX",1,IF(DATOS!$G5062="OR",--(COUNTIFS(nNIA,DATOS!$A5062,nCURSO,DATOS!$D5062,nESPEC,DATOS!$E5062,nASIG,DATOS!$I5062,nEVAL,"EX")=0),0))))</f>
      </c>
      <c r="H5062">
        <f>IF(DATOS!$G5062&lt;&gt;"EX",0,--(COUNTIFS(nNIA,DATOS!$A5062,nCURSO,DATOS!$D5062,nESPEC,DATOS!$E5062,nASIG,DATOS!$I5062,nEVAL,"OR")=0))</f>
      </c>
      <c r="I5062">
        <f>IF(DATOS!$I5062="","",IFERROR(VLOOKUP(DATOS!$I5062,CONFIG_ASIGNATURAS!$B$2:$J$91,9,FALSE()),""))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IF(DATOS!$A5063="",0,IF(CONFIG_METADATA!$B$4&lt;&gt;"OR+EX",--(DATOS!$G5063=CONFIG_METADATA!$B$4),IF(DATOS!$G5063="EX",1,IF(DATOS!$G5063="OR",--(COUNTIFS(nNIA,DATOS!$A5063,nCURSO,DATOS!$D5063,nESPEC,DATOS!$E5063,nASIG,DATOS!$I5063,nEVAL,"EX")=0),0))))</f>
      </c>
      <c r="H5063">
        <f>IF(DATOS!$G5063&lt;&gt;"EX",0,--(COUNTIFS(nNIA,DATOS!$A5063,nCURSO,DATOS!$D5063,nESPEC,DATOS!$E5063,nASIG,DATOS!$I5063,nEVAL,"OR")=0))</f>
      </c>
      <c r="I5063">
        <f>IF(DATOS!$I5063="","",IFERROR(VLOOKUP(DATOS!$I5063,CONFIG_ASIGNATURAS!$B$2:$J$91,9,FALSE()),""))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IF(DATOS!$A5064="",0,IF(CONFIG_METADATA!$B$4&lt;&gt;"OR+EX",--(DATOS!$G5064=CONFIG_METADATA!$B$4),IF(DATOS!$G5064="EX",1,IF(DATOS!$G5064="OR",--(COUNTIFS(nNIA,DATOS!$A5064,nCURSO,DATOS!$D5064,nESPEC,DATOS!$E5064,nASIG,DATOS!$I5064,nEVAL,"EX")=0),0))))</f>
      </c>
      <c r="H5064">
        <f>IF(DATOS!$G5064&lt;&gt;"EX",0,--(COUNTIFS(nNIA,DATOS!$A5064,nCURSO,DATOS!$D5064,nESPEC,DATOS!$E5064,nASIG,DATOS!$I5064,nEVAL,"OR")=0))</f>
      </c>
      <c r="I5064">
        <f>IF(DATOS!$I5064="","",IFERROR(VLOOKUP(DATOS!$I5064,CONFIG_ASIGNATURAS!$B$2:$J$91,9,FALSE()),""))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IF(DATOS!$A5065="",0,IF(CONFIG_METADATA!$B$4&lt;&gt;"OR+EX",--(DATOS!$G5065=CONFIG_METADATA!$B$4),IF(DATOS!$G5065="EX",1,IF(DATOS!$G5065="OR",--(COUNTIFS(nNIA,DATOS!$A5065,nCURSO,DATOS!$D5065,nESPEC,DATOS!$E5065,nASIG,DATOS!$I5065,nEVAL,"EX")=0),0))))</f>
      </c>
      <c r="H5065">
        <f>IF(DATOS!$G5065&lt;&gt;"EX",0,--(COUNTIFS(nNIA,DATOS!$A5065,nCURSO,DATOS!$D5065,nESPEC,DATOS!$E5065,nASIG,DATOS!$I5065,nEVAL,"OR")=0))</f>
      </c>
      <c r="I5065">
        <f>IF(DATOS!$I5065="","",IFERROR(VLOOKUP(DATOS!$I5065,CONFIG_ASIGNATURAS!$B$2:$J$91,9,FALSE()),""))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IF(DATOS!$A5066="",0,IF(CONFIG_METADATA!$B$4&lt;&gt;"OR+EX",--(DATOS!$G5066=CONFIG_METADATA!$B$4),IF(DATOS!$G5066="EX",1,IF(DATOS!$G5066="OR",--(COUNTIFS(nNIA,DATOS!$A5066,nCURSO,DATOS!$D5066,nESPEC,DATOS!$E5066,nASIG,DATOS!$I5066,nEVAL,"EX")=0),0))))</f>
      </c>
      <c r="H5066">
        <f>IF(DATOS!$G5066&lt;&gt;"EX",0,--(COUNTIFS(nNIA,DATOS!$A5066,nCURSO,DATOS!$D5066,nESPEC,DATOS!$E5066,nASIG,DATOS!$I5066,nEVAL,"OR")=0))</f>
      </c>
      <c r="I5066">
        <f>IF(DATOS!$I5066="","",IFERROR(VLOOKUP(DATOS!$I5066,CONFIG_ASIGNATURAS!$B$2:$J$91,9,FALSE()),""))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IF(DATOS!$A5067="",0,IF(CONFIG_METADATA!$B$4&lt;&gt;"OR+EX",--(DATOS!$G5067=CONFIG_METADATA!$B$4),IF(DATOS!$G5067="EX",1,IF(DATOS!$G5067="OR",--(COUNTIFS(nNIA,DATOS!$A5067,nCURSO,DATOS!$D5067,nESPEC,DATOS!$E5067,nASIG,DATOS!$I5067,nEVAL,"EX")=0),0))))</f>
      </c>
      <c r="H5067">
        <f>IF(DATOS!$G5067&lt;&gt;"EX",0,--(COUNTIFS(nNIA,DATOS!$A5067,nCURSO,DATOS!$D5067,nESPEC,DATOS!$E5067,nASIG,DATOS!$I5067,nEVAL,"OR")=0))</f>
      </c>
      <c r="I5067">
        <f>IF(DATOS!$I5067="","",IFERROR(VLOOKUP(DATOS!$I5067,CONFIG_ASIGNATURAS!$B$2:$J$91,9,FALSE()),""))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IF(DATOS!$A5068="",0,IF(CONFIG_METADATA!$B$4&lt;&gt;"OR+EX",--(DATOS!$G5068=CONFIG_METADATA!$B$4),IF(DATOS!$G5068="EX",1,IF(DATOS!$G5068="OR",--(COUNTIFS(nNIA,DATOS!$A5068,nCURSO,DATOS!$D5068,nESPEC,DATOS!$E5068,nASIG,DATOS!$I5068,nEVAL,"EX")=0),0))))</f>
      </c>
      <c r="H5068">
        <f>IF(DATOS!$G5068&lt;&gt;"EX",0,--(COUNTIFS(nNIA,DATOS!$A5068,nCURSO,DATOS!$D5068,nESPEC,DATOS!$E5068,nASIG,DATOS!$I5068,nEVAL,"OR")=0))</f>
      </c>
      <c r="I5068">
        <f>IF(DATOS!$I5068="","",IFERROR(VLOOKUP(DATOS!$I5068,CONFIG_ASIGNATURAS!$B$2:$J$91,9,FALSE()),""))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IF(DATOS!$A5069="",0,IF(CONFIG_METADATA!$B$4&lt;&gt;"OR+EX",--(DATOS!$G5069=CONFIG_METADATA!$B$4),IF(DATOS!$G5069="EX",1,IF(DATOS!$G5069="OR",--(COUNTIFS(nNIA,DATOS!$A5069,nCURSO,DATOS!$D5069,nESPEC,DATOS!$E5069,nASIG,DATOS!$I5069,nEVAL,"EX")=0),0))))</f>
      </c>
      <c r="H5069">
        <f>IF(DATOS!$G5069&lt;&gt;"EX",0,--(COUNTIFS(nNIA,DATOS!$A5069,nCURSO,DATOS!$D5069,nESPEC,DATOS!$E5069,nASIG,DATOS!$I5069,nEVAL,"OR")=0))</f>
      </c>
      <c r="I5069">
        <f>IF(DATOS!$I5069="","",IFERROR(VLOOKUP(DATOS!$I5069,CONFIG_ASIGNATURAS!$B$2:$J$91,9,FALSE()),""))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IF(DATOS!$A5070="",0,IF(CONFIG_METADATA!$B$4&lt;&gt;"OR+EX",--(DATOS!$G5070=CONFIG_METADATA!$B$4),IF(DATOS!$G5070="EX",1,IF(DATOS!$G5070="OR",--(COUNTIFS(nNIA,DATOS!$A5070,nCURSO,DATOS!$D5070,nESPEC,DATOS!$E5070,nASIG,DATOS!$I5070,nEVAL,"EX")=0),0))))</f>
      </c>
      <c r="H5070">
        <f>IF(DATOS!$G5070&lt;&gt;"EX",0,--(COUNTIFS(nNIA,DATOS!$A5070,nCURSO,DATOS!$D5070,nESPEC,DATOS!$E5070,nASIG,DATOS!$I5070,nEVAL,"OR")=0))</f>
      </c>
      <c r="I5070">
        <f>IF(DATOS!$I5070="","",IFERROR(VLOOKUP(DATOS!$I5070,CONFIG_ASIGNATURAS!$B$2:$J$91,9,FALSE()),""))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IF(DATOS!$A5071="",0,IF(CONFIG_METADATA!$B$4&lt;&gt;"OR+EX",--(DATOS!$G5071=CONFIG_METADATA!$B$4),IF(DATOS!$G5071="EX",1,IF(DATOS!$G5071="OR",--(COUNTIFS(nNIA,DATOS!$A5071,nCURSO,DATOS!$D5071,nESPEC,DATOS!$E5071,nASIG,DATOS!$I5071,nEVAL,"EX")=0),0))))</f>
      </c>
      <c r="H5071">
        <f>IF(DATOS!$G5071&lt;&gt;"EX",0,--(COUNTIFS(nNIA,DATOS!$A5071,nCURSO,DATOS!$D5071,nESPEC,DATOS!$E5071,nASIG,DATOS!$I5071,nEVAL,"OR")=0))</f>
      </c>
      <c r="I5071">
        <f>IF(DATOS!$I5071="","",IFERROR(VLOOKUP(DATOS!$I5071,CONFIG_ASIGNATURAS!$B$2:$J$91,9,FALSE()),""))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IF(DATOS!$A5072="",0,IF(CONFIG_METADATA!$B$4&lt;&gt;"OR+EX",--(DATOS!$G5072=CONFIG_METADATA!$B$4),IF(DATOS!$G5072="EX",1,IF(DATOS!$G5072="OR",--(COUNTIFS(nNIA,DATOS!$A5072,nCURSO,DATOS!$D5072,nESPEC,DATOS!$E5072,nASIG,DATOS!$I5072,nEVAL,"EX")=0),0))))</f>
      </c>
      <c r="H5072">
        <f>IF(DATOS!$G5072&lt;&gt;"EX",0,--(COUNTIFS(nNIA,DATOS!$A5072,nCURSO,DATOS!$D5072,nESPEC,DATOS!$E5072,nASIG,DATOS!$I5072,nEVAL,"OR")=0))</f>
      </c>
      <c r="I5072">
        <f>IF(DATOS!$I5072="","",IFERROR(VLOOKUP(DATOS!$I5072,CONFIG_ASIGNATURAS!$B$2:$J$91,9,FALSE()),""))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IF(DATOS!$A5073="",0,IF(CONFIG_METADATA!$B$4&lt;&gt;"OR+EX",--(DATOS!$G5073=CONFIG_METADATA!$B$4),IF(DATOS!$G5073="EX",1,IF(DATOS!$G5073="OR",--(COUNTIFS(nNIA,DATOS!$A5073,nCURSO,DATOS!$D5073,nESPEC,DATOS!$E5073,nASIG,DATOS!$I5073,nEVAL,"EX")=0),0))))</f>
      </c>
      <c r="H5073">
        <f>IF(DATOS!$G5073&lt;&gt;"EX",0,--(COUNTIFS(nNIA,DATOS!$A5073,nCURSO,DATOS!$D5073,nESPEC,DATOS!$E5073,nASIG,DATOS!$I5073,nEVAL,"OR")=0))</f>
      </c>
      <c r="I5073">
        <f>IF(DATOS!$I5073="","",IFERROR(VLOOKUP(DATOS!$I5073,CONFIG_ASIGNATURAS!$B$2:$J$91,9,FALSE()),""))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IF(DATOS!$A5074="",0,IF(CONFIG_METADATA!$B$4&lt;&gt;"OR+EX",--(DATOS!$G5074=CONFIG_METADATA!$B$4),IF(DATOS!$G5074="EX",1,IF(DATOS!$G5074="OR",--(COUNTIFS(nNIA,DATOS!$A5074,nCURSO,DATOS!$D5074,nESPEC,DATOS!$E5074,nASIG,DATOS!$I5074,nEVAL,"EX")=0),0))))</f>
      </c>
      <c r="H5074">
        <f>IF(DATOS!$G5074&lt;&gt;"EX",0,--(COUNTIFS(nNIA,DATOS!$A5074,nCURSO,DATOS!$D5074,nESPEC,DATOS!$E5074,nASIG,DATOS!$I5074,nEVAL,"OR")=0))</f>
      </c>
      <c r="I5074">
        <f>IF(DATOS!$I5074="","",IFERROR(VLOOKUP(DATOS!$I5074,CONFIG_ASIGNATURAS!$B$2:$J$91,9,FALSE()),""))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IF(DATOS!$A5075="",0,IF(CONFIG_METADATA!$B$4&lt;&gt;"OR+EX",--(DATOS!$G5075=CONFIG_METADATA!$B$4),IF(DATOS!$G5075="EX",1,IF(DATOS!$G5075="OR",--(COUNTIFS(nNIA,DATOS!$A5075,nCURSO,DATOS!$D5075,nESPEC,DATOS!$E5075,nASIG,DATOS!$I5075,nEVAL,"EX")=0),0))))</f>
      </c>
      <c r="H5075">
        <f>IF(DATOS!$G5075&lt;&gt;"EX",0,--(COUNTIFS(nNIA,DATOS!$A5075,nCURSO,DATOS!$D5075,nESPEC,DATOS!$E5075,nASIG,DATOS!$I5075,nEVAL,"OR")=0))</f>
      </c>
      <c r="I5075">
        <f>IF(DATOS!$I5075="","",IFERROR(VLOOKUP(DATOS!$I5075,CONFIG_ASIGNATURAS!$B$2:$J$91,9,FALSE()),""))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IF(DATOS!$A5076="",0,IF(CONFIG_METADATA!$B$4&lt;&gt;"OR+EX",--(DATOS!$G5076=CONFIG_METADATA!$B$4),IF(DATOS!$G5076="EX",1,IF(DATOS!$G5076="OR",--(COUNTIFS(nNIA,DATOS!$A5076,nCURSO,DATOS!$D5076,nESPEC,DATOS!$E5076,nASIG,DATOS!$I5076,nEVAL,"EX")=0),0))))</f>
      </c>
      <c r="H5076">
        <f>IF(DATOS!$G5076&lt;&gt;"EX",0,--(COUNTIFS(nNIA,DATOS!$A5076,nCURSO,DATOS!$D5076,nESPEC,DATOS!$E5076,nASIG,DATOS!$I5076,nEVAL,"OR")=0))</f>
      </c>
      <c r="I5076">
        <f>IF(DATOS!$I5076="","",IFERROR(VLOOKUP(DATOS!$I5076,CONFIG_ASIGNATURAS!$B$2:$J$91,9,FALSE()),""))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IF(DATOS!$A5077="",0,IF(CONFIG_METADATA!$B$4&lt;&gt;"OR+EX",--(DATOS!$G5077=CONFIG_METADATA!$B$4),IF(DATOS!$G5077="EX",1,IF(DATOS!$G5077="OR",--(COUNTIFS(nNIA,DATOS!$A5077,nCURSO,DATOS!$D5077,nESPEC,DATOS!$E5077,nASIG,DATOS!$I5077,nEVAL,"EX")=0),0))))</f>
      </c>
      <c r="H5077">
        <f>IF(DATOS!$G5077&lt;&gt;"EX",0,--(COUNTIFS(nNIA,DATOS!$A5077,nCURSO,DATOS!$D5077,nESPEC,DATOS!$E5077,nASIG,DATOS!$I5077,nEVAL,"OR")=0))</f>
      </c>
      <c r="I5077">
        <f>IF(DATOS!$I5077="","",IFERROR(VLOOKUP(DATOS!$I5077,CONFIG_ASIGNATURAS!$B$2:$J$91,9,FALSE()),""))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IF(DATOS!$A5078="",0,IF(CONFIG_METADATA!$B$4&lt;&gt;"OR+EX",--(DATOS!$G5078=CONFIG_METADATA!$B$4),IF(DATOS!$G5078="EX",1,IF(DATOS!$G5078="OR",--(COUNTIFS(nNIA,DATOS!$A5078,nCURSO,DATOS!$D5078,nESPEC,DATOS!$E5078,nASIG,DATOS!$I5078,nEVAL,"EX")=0),0))))</f>
      </c>
      <c r="H5078">
        <f>IF(DATOS!$G5078&lt;&gt;"EX",0,--(COUNTIFS(nNIA,DATOS!$A5078,nCURSO,DATOS!$D5078,nESPEC,DATOS!$E5078,nASIG,DATOS!$I5078,nEVAL,"OR")=0))</f>
      </c>
      <c r="I5078">
        <f>IF(DATOS!$I5078="","",IFERROR(VLOOKUP(DATOS!$I5078,CONFIG_ASIGNATURAS!$B$2:$J$91,9,FALSE()),""))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IF(DATOS!$A5079="",0,IF(CONFIG_METADATA!$B$4&lt;&gt;"OR+EX",--(DATOS!$G5079=CONFIG_METADATA!$B$4),IF(DATOS!$G5079="EX",1,IF(DATOS!$G5079="OR",--(COUNTIFS(nNIA,DATOS!$A5079,nCURSO,DATOS!$D5079,nESPEC,DATOS!$E5079,nASIG,DATOS!$I5079,nEVAL,"EX")=0),0))))</f>
      </c>
      <c r="H5079">
        <f>IF(DATOS!$G5079&lt;&gt;"EX",0,--(COUNTIFS(nNIA,DATOS!$A5079,nCURSO,DATOS!$D5079,nESPEC,DATOS!$E5079,nASIG,DATOS!$I5079,nEVAL,"OR")=0))</f>
      </c>
      <c r="I5079">
        <f>IF(DATOS!$I5079="","",IFERROR(VLOOKUP(DATOS!$I5079,CONFIG_ASIGNATURAS!$B$2:$J$91,9,FALSE()),""))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IF(DATOS!$A5080="",0,IF(CONFIG_METADATA!$B$4&lt;&gt;"OR+EX",--(DATOS!$G5080=CONFIG_METADATA!$B$4),IF(DATOS!$G5080="EX",1,IF(DATOS!$G5080="OR",--(COUNTIFS(nNIA,DATOS!$A5080,nCURSO,DATOS!$D5080,nESPEC,DATOS!$E5080,nASIG,DATOS!$I5080,nEVAL,"EX")=0),0))))</f>
      </c>
      <c r="H5080">
        <f>IF(DATOS!$G5080&lt;&gt;"EX",0,--(COUNTIFS(nNIA,DATOS!$A5080,nCURSO,DATOS!$D5080,nESPEC,DATOS!$E5080,nASIG,DATOS!$I5080,nEVAL,"OR")=0))</f>
      </c>
      <c r="I5080">
        <f>IF(DATOS!$I5080="","",IFERROR(VLOOKUP(DATOS!$I5080,CONFIG_ASIGNATURAS!$B$2:$J$91,9,FALSE()),""))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IF(DATOS!$A5081="",0,IF(CONFIG_METADATA!$B$4&lt;&gt;"OR+EX",--(DATOS!$G5081=CONFIG_METADATA!$B$4),IF(DATOS!$G5081="EX",1,IF(DATOS!$G5081="OR",--(COUNTIFS(nNIA,DATOS!$A5081,nCURSO,DATOS!$D5081,nESPEC,DATOS!$E5081,nASIG,DATOS!$I5081,nEVAL,"EX")=0),0))))</f>
      </c>
      <c r="H5081">
        <f>IF(DATOS!$G5081&lt;&gt;"EX",0,--(COUNTIFS(nNIA,DATOS!$A5081,nCURSO,DATOS!$D5081,nESPEC,DATOS!$E5081,nASIG,DATOS!$I5081,nEVAL,"OR")=0))</f>
      </c>
      <c r="I5081">
        <f>IF(DATOS!$I5081="","",IFERROR(VLOOKUP(DATOS!$I5081,CONFIG_ASIGNATURAS!$B$2:$J$91,9,FALSE()),""))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IF(DATOS!$A5082="",0,IF(CONFIG_METADATA!$B$4&lt;&gt;"OR+EX",--(DATOS!$G5082=CONFIG_METADATA!$B$4),IF(DATOS!$G5082="EX",1,IF(DATOS!$G5082="OR",--(COUNTIFS(nNIA,DATOS!$A5082,nCURSO,DATOS!$D5082,nESPEC,DATOS!$E5082,nASIG,DATOS!$I5082,nEVAL,"EX")=0),0))))</f>
      </c>
      <c r="H5082">
        <f>IF(DATOS!$G5082&lt;&gt;"EX",0,--(COUNTIFS(nNIA,DATOS!$A5082,nCURSO,DATOS!$D5082,nESPEC,DATOS!$E5082,nASIG,DATOS!$I5082,nEVAL,"OR")=0))</f>
      </c>
      <c r="I5082">
        <f>IF(DATOS!$I5082="","",IFERROR(VLOOKUP(DATOS!$I5082,CONFIG_ASIGNATURAS!$B$2:$J$91,9,FALSE()),""))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IF(DATOS!$A5083="",0,IF(CONFIG_METADATA!$B$4&lt;&gt;"OR+EX",--(DATOS!$G5083=CONFIG_METADATA!$B$4),IF(DATOS!$G5083="EX",1,IF(DATOS!$G5083="OR",--(COUNTIFS(nNIA,DATOS!$A5083,nCURSO,DATOS!$D5083,nESPEC,DATOS!$E5083,nASIG,DATOS!$I5083,nEVAL,"EX")=0),0))))</f>
      </c>
      <c r="H5083">
        <f>IF(DATOS!$G5083&lt;&gt;"EX",0,--(COUNTIFS(nNIA,DATOS!$A5083,nCURSO,DATOS!$D5083,nESPEC,DATOS!$E5083,nASIG,DATOS!$I5083,nEVAL,"OR")=0))</f>
      </c>
      <c r="I5083">
        <f>IF(DATOS!$I5083="","",IFERROR(VLOOKUP(DATOS!$I5083,CONFIG_ASIGNATURAS!$B$2:$J$91,9,FALSE()),""))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IF(DATOS!$A5084="",0,IF(CONFIG_METADATA!$B$4&lt;&gt;"OR+EX",--(DATOS!$G5084=CONFIG_METADATA!$B$4),IF(DATOS!$G5084="EX",1,IF(DATOS!$G5084="OR",--(COUNTIFS(nNIA,DATOS!$A5084,nCURSO,DATOS!$D5084,nESPEC,DATOS!$E5084,nASIG,DATOS!$I5084,nEVAL,"EX")=0),0))))</f>
      </c>
      <c r="H5084">
        <f>IF(DATOS!$G5084&lt;&gt;"EX",0,--(COUNTIFS(nNIA,DATOS!$A5084,nCURSO,DATOS!$D5084,nESPEC,DATOS!$E5084,nASIG,DATOS!$I5084,nEVAL,"OR")=0))</f>
      </c>
      <c r="I5084">
        <f>IF(DATOS!$I5084="","",IFERROR(VLOOKUP(DATOS!$I5084,CONFIG_ASIGNATURAS!$B$2:$J$91,9,FALSE()),""))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IF(DATOS!$A5085="",0,IF(CONFIG_METADATA!$B$4&lt;&gt;"OR+EX",--(DATOS!$G5085=CONFIG_METADATA!$B$4),IF(DATOS!$G5085="EX",1,IF(DATOS!$G5085="OR",--(COUNTIFS(nNIA,DATOS!$A5085,nCURSO,DATOS!$D5085,nESPEC,DATOS!$E5085,nASIG,DATOS!$I5085,nEVAL,"EX")=0),0))))</f>
      </c>
      <c r="H5085">
        <f>IF(DATOS!$G5085&lt;&gt;"EX",0,--(COUNTIFS(nNIA,DATOS!$A5085,nCURSO,DATOS!$D5085,nESPEC,DATOS!$E5085,nASIG,DATOS!$I5085,nEVAL,"OR")=0))</f>
      </c>
      <c r="I5085">
        <f>IF(DATOS!$I5085="","",IFERROR(VLOOKUP(DATOS!$I5085,CONFIG_ASIGNATURAS!$B$2:$J$91,9,FALSE()),""))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IF(DATOS!$A5086="",0,IF(CONFIG_METADATA!$B$4&lt;&gt;"OR+EX",--(DATOS!$G5086=CONFIG_METADATA!$B$4),IF(DATOS!$G5086="EX",1,IF(DATOS!$G5086="OR",--(COUNTIFS(nNIA,DATOS!$A5086,nCURSO,DATOS!$D5086,nESPEC,DATOS!$E5086,nASIG,DATOS!$I5086,nEVAL,"EX")=0),0))))</f>
      </c>
      <c r="H5086">
        <f>IF(DATOS!$G5086&lt;&gt;"EX",0,--(COUNTIFS(nNIA,DATOS!$A5086,nCURSO,DATOS!$D5086,nESPEC,DATOS!$E5086,nASIG,DATOS!$I5086,nEVAL,"OR")=0))</f>
      </c>
      <c r="I5086">
        <f>IF(DATOS!$I5086="","",IFERROR(VLOOKUP(DATOS!$I5086,CONFIG_ASIGNATURAS!$B$2:$J$91,9,FALSE()),""))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IF(DATOS!$A5087="",0,IF(CONFIG_METADATA!$B$4&lt;&gt;"OR+EX",--(DATOS!$G5087=CONFIG_METADATA!$B$4),IF(DATOS!$G5087="EX",1,IF(DATOS!$G5087="OR",--(COUNTIFS(nNIA,DATOS!$A5087,nCURSO,DATOS!$D5087,nESPEC,DATOS!$E5087,nASIG,DATOS!$I5087,nEVAL,"EX")=0),0))))</f>
      </c>
      <c r="H5087">
        <f>IF(DATOS!$G5087&lt;&gt;"EX",0,--(COUNTIFS(nNIA,DATOS!$A5087,nCURSO,DATOS!$D5087,nESPEC,DATOS!$E5087,nASIG,DATOS!$I5087,nEVAL,"OR")=0))</f>
      </c>
      <c r="I5087">
        <f>IF(DATOS!$I5087="","",IFERROR(VLOOKUP(DATOS!$I5087,CONFIG_ASIGNATURAS!$B$2:$J$91,9,FALSE()),""))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IF(DATOS!$A5088="",0,IF(CONFIG_METADATA!$B$4&lt;&gt;"OR+EX",--(DATOS!$G5088=CONFIG_METADATA!$B$4),IF(DATOS!$G5088="EX",1,IF(DATOS!$G5088="OR",--(COUNTIFS(nNIA,DATOS!$A5088,nCURSO,DATOS!$D5088,nESPEC,DATOS!$E5088,nASIG,DATOS!$I5088,nEVAL,"EX")=0),0))))</f>
      </c>
      <c r="H5088">
        <f>IF(DATOS!$G5088&lt;&gt;"EX",0,--(COUNTIFS(nNIA,DATOS!$A5088,nCURSO,DATOS!$D5088,nESPEC,DATOS!$E5088,nASIG,DATOS!$I5088,nEVAL,"OR")=0))</f>
      </c>
      <c r="I5088">
        <f>IF(DATOS!$I5088="","",IFERROR(VLOOKUP(DATOS!$I5088,CONFIG_ASIGNATURAS!$B$2:$J$91,9,FALSE()),""))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IF(DATOS!$A5089="",0,IF(CONFIG_METADATA!$B$4&lt;&gt;"OR+EX",--(DATOS!$G5089=CONFIG_METADATA!$B$4),IF(DATOS!$G5089="EX",1,IF(DATOS!$G5089="OR",--(COUNTIFS(nNIA,DATOS!$A5089,nCURSO,DATOS!$D5089,nESPEC,DATOS!$E5089,nASIG,DATOS!$I5089,nEVAL,"EX")=0),0))))</f>
      </c>
      <c r="H5089">
        <f>IF(DATOS!$G5089&lt;&gt;"EX",0,--(COUNTIFS(nNIA,DATOS!$A5089,nCURSO,DATOS!$D5089,nESPEC,DATOS!$E5089,nASIG,DATOS!$I5089,nEVAL,"OR")=0))</f>
      </c>
      <c r="I5089">
        <f>IF(DATOS!$I5089="","",IFERROR(VLOOKUP(DATOS!$I5089,CONFIG_ASIGNATURAS!$B$2:$J$91,9,FALSE()),""))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IF(DATOS!$A5090="",0,IF(CONFIG_METADATA!$B$4&lt;&gt;"OR+EX",--(DATOS!$G5090=CONFIG_METADATA!$B$4),IF(DATOS!$G5090="EX",1,IF(DATOS!$G5090="OR",--(COUNTIFS(nNIA,DATOS!$A5090,nCURSO,DATOS!$D5090,nESPEC,DATOS!$E5090,nASIG,DATOS!$I5090,nEVAL,"EX")=0),0))))</f>
      </c>
      <c r="H5090">
        <f>IF(DATOS!$G5090&lt;&gt;"EX",0,--(COUNTIFS(nNIA,DATOS!$A5090,nCURSO,DATOS!$D5090,nESPEC,DATOS!$E5090,nASIG,DATOS!$I5090,nEVAL,"OR")=0))</f>
      </c>
      <c r="I5090">
        <f>IF(DATOS!$I5090="","",IFERROR(VLOOKUP(DATOS!$I5090,CONFIG_ASIGNATURAS!$B$2:$J$91,9,FALSE()),""))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IF(DATOS!$A5091="",0,IF(CONFIG_METADATA!$B$4&lt;&gt;"OR+EX",--(DATOS!$G5091=CONFIG_METADATA!$B$4),IF(DATOS!$G5091="EX",1,IF(DATOS!$G5091="OR",--(COUNTIFS(nNIA,DATOS!$A5091,nCURSO,DATOS!$D5091,nESPEC,DATOS!$E5091,nASIG,DATOS!$I5091,nEVAL,"EX")=0),0))))</f>
      </c>
      <c r="H5091">
        <f>IF(DATOS!$G5091&lt;&gt;"EX",0,--(COUNTIFS(nNIA,DATOS!$A5091,nCURSO,DATOS!$D5091,nESPEC,DATOS!$E5091,nASIG,DATOS!$I5091,nEVAL,"OR")=0))</f>
      </c>
      <c r="I5091">
        <f>IF(DATOS!$I5091="","",IFERROR(VLOOKUP(DATOS!$I5091,CONFIG_ASIGNATURAS!$B$2:$J$91,9,FALSE()),""))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IF(DATOS!$A5092="",0,IF(CONFIG_METADATA!$B$4&lt;&gt;"OR+EX",--(DATOS!$G5092=CONFIG_METADATA!$B$4),IF(DATOS!$G5092="EX",1,IF(DATOS!$G5092="OR",--(COUNTIFS(nNIA,DATOS!$A5092,nCURSO,DATOS!$D5092,nESPEC,DATOS!$E5092,nASIG,DATOS!$I5092,nEVAL,"EX")=0),0))))</f>
      </c>
      <c r="H5092">
        <f>IF(DATOS!$G5092&lt;&gt;"EX",0,--(COUNTIFS(nNIA,DATOS!$A5092,nCURSO,DATOS!$D5092,nESPEC,DATOS!$E5092,nASIG,DATOS!$I5092,nEVAL,"OR")=0))</f>
      </c>
      <c r="I5092">
        <f>IF(DATOS!$I5092="","",IFERROR(VLOOKUP(DATOS!$I5092,CONFIG_ASIGNATURAS!$B$2:$J$91,9,FALSE()),""))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IF(DATOS!$A5093="",0,IF(CONFIG_METADATA!$B$4&lt;&gt;"OR+EX",--(DATOS!$G5093=CONFIG_METADATA!$B$4),IF(DATOS!$G5093="EX",1,IF(DATOS!$G5093="OR",--(COUNTIFS(nNIA,DATOS!$A5093,nCURSO,DATOS!$D5093,nESPEC,DATOS!$E5093,nASIG,DATOS!$I5093,nEVAL,"EX")=0),0))))</f>
      </c>
      <c r="H5093">
        <f>IF(DATOS!$G5093&lt;&gt;"EX",0,--(COUNTIFS(nNIA,DATOS!$A5093,nCURSO,DATOS!$D5093,nESPEC,DATOS!$E5093,nASIG,DATOS!$I5093,nEVAL,"OR")=0))</f>
      </c>
      <c r="I5093">
        <f>IF(DATOS!$I5093="","",IFERROR(VLOOKUP(DATOS!$I5093,CONFIG_ASIGNATURAS!$B$2:$J$91,9,FALSE()),""))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IF(DATOS!$A5094="",0,IF(CONFIG_METADATA!$B$4&lt;&gt;"OR+EX",--(DATOS!$G5094=CONFIG_METADATA!$B$4),IF(DATOS!$G5094="EX",1,IF(DATOS!$G5094="OR",--(COUNTIFS(nNIA,DATOS!$A5094,nCURSO,DATOS!$D5094,nESPEC,DATOS!$E5094,nASIG,DATOS!$I5094,nEVAL,"EX")=0),0))))</f>
      </c>
      <c r="H5094">
        <f>IF(DATOS!$G5094&lt;&gt;"EX",0,--(COUNTIFS(nNIA,DATOS!$A5094,nCURSO,DATOS!$D5094,nESPEC,DATOS!$E5094,nASIG,DATOS!$I5094,nEVAL,"OR")=0))</f>
      </c>
      <c r="I5094">
        <f>IF(DATOS!$I5094="","",IFERROR(VLOOKUP(DATOS!$I5094,CONFIG_ASIGNATURAS!$B$2:$J$91,9,FALSE()),""))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IF(DATOS!$A5095="",0,IF(CONFIG_METADATA!$B$4&lt;&gt;"OR+EX",--(DATOS!$G5095=CONFIG_METADATA!$B$4),IF(DATOS!$G5095="EX",1,IF(DATOS!$G5095="OR",--(COUNTIFS(nNIA,DATOS!$A5095,nCURSO,DATOS!$D5095,nESPEC,DATOS!$E5095,nASIG,DATOS!$I5095,nEVAL,"EX")=0),0))))</f>
      </c>
      <c r="H5095">
        <f>IF(DATOS!$G5095&lt;&gt;"EX",0,--(COUNTIFS(nNIA,DATOS!$A5095,nCURSO,DATOS!$D5095,nESPEC,DATOS!$E5095,nASIG,DATOS!$I5095,nEVAL,"OR")=0))</f>
      </c>
      <c r="I5095">
        <f>IF(DATOS!$I5095="","",IFERROR(VLOOKUP(DATOS!$I5095,CONFIG_ASIGNATURAS!$B$2:$J$91,9,FALSE()),""))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IF(DATOS!$A5096="",0,IF(CONFIG_METADATA!$B$4&lt;&gt;"OR+EX",--(DATOS!$G5096=CONFIG_METADATA!$B$4),IF(DATOS!$G5096="EX",1,IF(DATOS!$G5096="OR",--(COUNTIFS(nNIA,DATOS!$A5096,nCURSO,DATOS!$D5096,nESPEC,DATOS!$E5096,nASIG,DATOS!$I5096,nEVAL,"EX")=0),0))))</f>
      </c>
      <c r="H5096">
        <f>IF(DATOS!$G5096&lt;&gt;"EX",0,--(COUNTIFS(nNIA,DATOS!$A5096,nCURSO,DATOS!$D5096,nESPEC,DATOS!$E5096,nASIG,DATOS!$I5096,nEVAL,"OR")=0))</f>
      </c>
      <c r="I5096">
        <f>IF(DATOS!$I5096="","",IFERROR(VLOOKUP(DATOS!$I5096,CONFIG_ASIGNATURAS!$B$2:$J$91,9,FALSE()),""))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IF(DATOS!$A5097="",0,IF(CONFIG_METADATA!$B$4&lt;&gt;"OR+EX",--(DATOS!$G5097=CONFIG_METADATA!$B$4),IF(DATOS!$G5097="EX",1,IF(DATOS!$G5097="OR",--(COUNTIFS(nNIA,DATOS!$A5097,nCURSO,DATOS!$D5097,nESPEC,DATOS!$E5097,nASIG,DATOS!$I5097,nEVAL,"EX")=0),0))))</f>
      </c>
      <c r="H5097">
        <f>IF(DATOS!$G5097&lt;&gt;"EX",0,--(COUNTIFS(nNIA,DATOS!$A5097,nCURSO,DATOS!$D5097,nESPEC,DATOS!$E5097,nASIG,DATOS!$I5097,nEVAL,"OR")=0))</f>
      </c>
      <c r="I5097">
        <f>IF(DATOS!$I5097="","",IFERROR(VLOOKUP(DATOS!$I5097,CONFIG_ASIGNATURAS!$B$2:$J$91,9,FALSE()),""))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IF(DATOS!$A5098="",0,IF(CONFIG_METADATA!$B$4&lt;&gt;"OR+EX",--(DATOS!$G5098=CONFIG_METADATA!$B$4),IF(DATOS!$G5098="EX",1,IF(DATOS!$G5098="OR",--(COUNTIFS(nNIA,DATOS!$A5098,nCURSO,DATOS!$D5098,nESPEC,DATOS!$E5098,nASIG,DATOS!$I5098,nEVAL,"EX")=0),0))))</f>
      </c>
      <c r="H5098">
        <f>IF(DATOS!$G5098&lt;&gt;"EX",0,--(COUNTIFS(nNIA,DATOS!$A5098,nCURSO,DATOS!$D5098,nESPEC,DATOS!$E5098,nASIG,DATOS!$I5098,nEVAL,"OR")=0))</f>
      </c>
      <c r="I5098">
        <f>IF(DATOS!$I5098="","",IFERROR(VLOOKUP(DATOS!$I5098,CONFIG_ASIGNATURAS!$B$2:$J$91,9,FALSE()),""))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IF(DATOS!$A5099="",0,IF(CONFIG_METADATA!$B$4&lt;&gt;"OR+EX",--(DATOS!$G5099=CONFIG_METADATA!$B$4),IF(DATOS!$G5099="EX",1,IF(DATOS!$G5099="OR",--(COUNTIFS(nNIA,DATOS!$A5099,nCURSO,DATOS!$D5099,nESPEC,DATOS!$E5099,nASIG,DATOS!$I5099,nEVAL,"EX")=0),0))))</f>
      </c>
      <c r="H5099">
        <f>IF(DATOS!$G5099&lt;&gt;"EX",0,--(COUNTIFS(nNIA,DATOS!$A5099,nCURSO,DATOS!$D5099,nESPEC,DATOS!$E5099,nASIG,DATOS!$I5099,nEVAL,"OR")=0))</f>
      </c>
      <c r="I5099">
        <f>IF(DATOS!$I5099="","",IFERROR(VLOOKUP(DATOS!$I5099,CONFIG_ASIGNATURAS!$B$2:$J$91,9,FALSE()),""))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IF(DATOS!$A5100="",0,IF(CONFIG_METADATA!$B$4&lt;&gt;"OR+EX",--(DATOS!$G5100=CONFIG_METADATA!$B$4),IF(DATOS!$G5100="EX",1,IF(DATOS!$G5100="OR",--(COUNTIFS(nNIA,DATOS!$A5100,nCURSO,DATOS!$D5100,nESPEC,DATOS!$E5100,nASIG,DATOS!$I5100,nEVAL,"EX")=0),0))))</f>
      </c>
      <c r="H5100">
        <f>IF(DATOS!$G5100&lt;&gt;"EX",0,--(COUNTIFS(nNIA,DATOS!$A5100,nCURSO,DATOS!$D5100,nESPEC,DATOS!$E5100,nASIG,DATOS!$I5100,nEVAL,"OR")=0))</f>
      </c>
      <c r="I5100">
        <f>IF(DATOS!$I5100="","",IFERROR(VLOOKUP(DATOS!$I5100,CONFIG_ASIGNATURAS!$B$2:$J$91,9,FALSE()),""))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IF(DATOS!$A5101="",0,IF(CONFIG_METADATA!$B$4&lt;&gt;"OR+EX",--(DATOS!$G5101=CONFIG_METADATA!$B$4),IF(DATOS!$G5101="EX",1,IF(DATOS!$G5101="OR",--(COUNTIFS(nNIA,DATOS!$A5101,nCURSO,DATOS!$D5101,nESPEC,DATOS!$E5101,nASIG,DATOS!$I5101,nEVAL,"EX")=0),0))))</f>
      </c>
      <c r="H5101">
        <f>IF(DATOS!$G5101&lt;&gt;"EX",0,--(COUNTIFS(nNIA,DATOS!$A5101,nCURSO,DATOS!$D5101,nESPEC,DATOS!$E5101,nASIG,DATOS!$I5101,nEVAL,"OR")=0))</f>
      </c>
      <c r="I5101">
        <f>IF(DATOS!$I5101="","",IFERROR(VLOOKUP(DATOS!$I5101,CONFIG_ASIGNATURAS!$B$2:$J$91,9,FALSE()),""))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IF(DATOS!$A5102="",0,IF(CONFIG_METADATA!$B$4&lt;&gt;"OR+EX",--(DATOS!$G5102=CONFIG_METADATA!$B$4),IF(DATOS!$G5102="EX",1,IF(DATOS!$G5102="OR",--(COUNTIFS(nNIA,DATOS!$A5102,nCURSO,DATOS!$D5102,nESPEC,DATOS!$E5102,nASIG,DATOS!$I5102,nEVAL,"EX")=0),0))))</f>
      </c>
      <c r="H5102">
        <f>IF(DATOS!$G5102&lt;&gt;"EX",0,--(COUNTIFS(nNIA,DATOS!$A5102,nCURSO,DATOS!$D5102,nESPEC,DATOS!$E5102,nASIG,DATOS!$I5102,nEVAL,"OR")=0))</f>
      </c>
      <c r="I5102">
        <f>IF(DATOS!$I5102="","",IFERROR(VLOOKUP(DATOS!$I5102,CONFIG_ASIGNATURAS!$B$2:$J$91,9,FALSE()),""))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IF(DATOS!$A5103="",0,IF(CONFIG_METADATA!$B$4&lt;&gt;"OR+EX",--(DATOS!$G5103=CONFIG_METADATA!$B$4),IF(DATOS!$G5103="EX",1,IF(DATOS!$G5103="OR",--(COUNTIFS(nNIA,DATOS!$A5103,nCURSO,DATOS!$D5103,nESPEC,DATOS!$E5103,nASIG,DATOS!$I5103,nEVAL,"EX")=0),0))))</f>
      </c>
      <c r="H5103">
        <f>IF(DATOS!$G5103&lt;&gt;"EX",0,--(COUNTIFS(nNIA,DATOS!$A5103,nCURSO,DATOS!$D5103,nESPEC,DATOS!$E5103,nASIG,DATOS!$I5103,nEVAL,"OR")=0))</f>
      </c>
      <c r="I5103">
        <f>IF(DATOS!$I5103="","",IFERROR(VLOOKUP(DATOS!$I5103,CONFIG_ASIGNATURAS!$B$2:$J$91,9,FALSE()),""))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IF(DATOS!$A5104="",0,IF(CONFIG_METADATA!$B$4&lt;&gt;"OR+EX",--(DATOS!$G5104=CONFIG_METADATA!$B$4),IF(DATOS!$G5104="EX",1,IF(DATOS!$G5104="OR",--(COUNTIFS(nNIA,DATOS!$A5104,nCURSO,DATOS!$D5104,nESPEC,DATOS!$E5104,nASIG,DATOS!$I5104,nEVAL,"EX")=0),0))))</f>
      </c>
      <c r="H5104">
        <f>IF(DATOS!$G5104&lt;&gt;"EX",0,--(COUNTIFS(nNIA,DATOS!$A5104,nCURSO,DATOS!$D5104,nESPEC,DATOS!$E5104,nASIG,DATOS!$I5104,nEVAL,"OR")=0))</f>
      </c>
      <c r="I5104">
        <f>IF(DATOS!$I5104="","",IFERROR(VLOOKUP(DATOS!$I5104,CONFIG_ASIGNATURAS!$B$2:$J$91,9,FALSE()),""))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IF(DATOS!$A5105="",0,IF(CONFIG_METADATA!$B$4&lt;&gt;"OR+EX",--(DATOS!$G5105=CONFIG_METADATA!$B$4),IF(DATOS!$G5105="EX",1,IF(DATOS!$G5105="OR",--(COUNTIFS(nNIA,DATOS!$A5105,nCURSO,DATOS!$D5105,nESPEC,DATOS!$E5105,nASIG,DATOS!$I5105,nEVAL,"EX")=0),0))))</f>
      </c>
      <c r="H5105">
        <f>IF(DATOS!$G5105&lt;&gt;"EX",0,--(COUNTIFS(nNIA,DATOS!$A5105,nCURSO,DATOS!$D5105,nESPEC,DATOS!$E5105,nASIG,DATOS!$I5105,nEVAL,"OR")=0))</f>
      </c>
      <c r="I5105">
        <f>IF(DATOS!$I5105="","",IFERROR(VLOOKUP(DATOS!$I5105,CONFIG_ASIGNATURAS!$B$2:$J$91,9,FALSE()),""))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IF(DATOS!$A5106="",0,IF(CONFIG_METADATA!$B$4&lt;&gt;"OR+EX",--(DATOS!$G5106=CONFIG_METADATA!$B$4),IF(DATOS!$G5106="EX",1,IF(DATOS!$G5106="OR",--(COUNTIFS(nNIA,DATOS!$A5106,nCURSO,DATOS!$D5106,nESPEC,DATOS!$E5106,nASIG,DATOS!$I5106,nEVAL,"EX")=0),0))))</f>
      </c>
      <c r="H5106">
        <f>IF(DATOS!$G5106&lt;&gt;"EX",0,--(COUNTIFS(nNIA,DATOS!$A5106,nCURSO,DATOS!$D5106,nESPEC,DATOS!$E5106,nASIG,DATOS!$I5106,nEVAL,"OR")=0))</f>
      </c>
      <c r="I5106">
        <f>IF(DATOS!$I5106="","",IFERROR(VLOOKUP(DATOS!$I5106,CONFIG_ASIGNATURAS!$B$2:$J$91,9,FALSE()),""))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IF(DATOS!$A5107="",0,IF(CONFIG_METADATA!$B$4&lt;&gt;"OR+EX",--(DATOS!$G5107=CONFIG_METADATA!$B$4),IF(DATOS!$G5107="EX",1,IF(DATOS!$G5107="OR",--(COUNTIFS(nNIA,DATOS!$A5107,nCURSO,DATOS!$D5107,nESPEC,DATOS!$E5107,nASIG,DATOS!$I5107,nEVAL,"EX")=0),0))))</f>
      </c>
      <c r="H5107">
        <f>IF(DATOS!$G5107&lt;&gt;"EX",0,--(COUNTIFS(nNIA,DATOS!$A5107,nCURSO,DATOS!$D5107,nESPEC,DATOS!$E5107,nASIG,DATOS!$I5107,nEVAL,"OR")=0))</f>
      </c>
      <c r="I5107">
        <f>IF(DATOS!$I5107="","",IFERROR(VLOOKUP(DATOS!$I5107,CONFIG_ASIGNATURAS!$B$2:$J$91,9,FALSE()),""))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IF(DATOS!$A5108="",0,IF(CONFIG_METADATA!$B$4&lt;&gt;"OR+EX",--(DATOS!$G5108=CONFIG_METADATA!$B$4),IF(DATOS!$G5108="EX",1,IF(DATOS!$G5108="OR",--(COUNTIFS(nNIA,DATOS!$A5108,nCURSO,DATOS!$D5108,nESPEC,DATOS!$E5108,nASIG,DATOS!$I5108,nEVAL,"EX")=0),0))))</f>
      </c>
      <c r="H5108">
        <f>IF(DATOS!$G5108&lt;&gt;"EX",0,--(COUNTIFS(nNIA,DATOS!$A5108,nCURSO,DATOS!$D5108,nESPEC,DATOS!$E5108,nASIG,DATOS!$I5108,nEVAL,"OR")=0))</f>
      </c>
      <c r="I5108">
        <f>IF(DATOS!$I5108="","",IFERROR(VLOOKUP(DATOS!$I5108,CONFIG_ASIGNATURAS!$B$2:$J$91,9,FALSE()),""))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IF(DATOS!$A5109="",0,IF(CONFIG_METADATA!$B$4&lt;&gt;"OR+EX",--(DATOS!$G5109=CONFIG_METADATA!$B$4),IF(DATOS!$G5109="EX",1,IF(DATOS!$G5109="OR",--(COUNTIFS(nNIA,DATOS!$A5109,nCURSO,DATOS!$D5109,nESPEC,DATOS!$E5109,nASIG,DATOS!$I5109,nEVAL,"EX")=0),0))))</f>
      </c>
      <c r="H5109">
        <f>IF(DATOS!$G5109&lt;&gt;"EX",0,--(COUNTIFS(nNIA,DATOS!$A5109,nCURSO,DATOS!$D5109,nESPEC,DATOS!$E5109,nASIG,DATOS!$I5109,nEVAL,"OR")=0))</f>
      </c>
      <c r="I5109">
        <f>IF(DATOS!$I5109="","",IFERROR(VLOOKUP(DATOS!$I5109,CONFIG_ASIGNATURAS!$B$2:$J$91,9,FALSE()),""))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IF(DATOS!$A5110="",0,IF(CONFIG_METADATA!$B$4&lt;&gt;"OR+EX",--(DATOS!$G5110=CONFIG_METADATA!$B$4),IF(DATOS!$G5110="EX",1,IF(DATOS!$G5110="OR",--(COUNTIFS(nNIA,DATOS!$A5110,nCURSO,DATOS!$D5110,nESPEC,DATOS!$E5110,nASIG,DATOS!$I5110,nEVAL,"EX")=0),0))))</f>
      </c>
      <c r="H5110">
        <f>IF(DATOS!$G5110&lt;&gt;"EX",0,--(COUNTIFS(nNIA,DATOS!$A5110,nCURSO,DATOS!$D5110,nESPEC,DATOS!$E5110,nASIG,DATOS!$I5110,nEVAL,"OR")=0))</f>
      </c>
      <c r="I5110">
        <f>IF(DATOS!$I5110="","",IFERROR(VLOOKUP(DATOS!$I5110,CONFIG_ASIGNATURAS!$B$2:$J$91,9,FALSE()),""))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IF(DATOS!$A5111="",0,IF(CONFIG_METADATA!$B$4&lt;&gt;"OR+EX",--(DATOS!$G5111=CONFIG_METADATA!$B$4),IF(DATOS!$G5111="EX",1,IF(DATOS!$G5111="OR",--(COUNTIFS(nNIA,DATOS!$A5111,nCURSO,DATOS!$D5111,nESPEC,DATOS!$E5111,nASIG,DATOS!$I5111,nEVAL,"EX")=0),0))))</f>
      </c>
      <c r="H5111">
        <f>IF(DATOS!$G5111&lt;&gt;"EX",0,--(COUNTIFS(nNIA,DATOS!$A5111,nCURSO,DATOS!$D5111,nESPEC,DATOS!$E5111,nASIG,DATOS!$I5111,nEVAL,"OR")=0))</f>
      </c>
      <c r="I5111">
        <f>IF(DATOS!$I5111="","",IFERROR(VLOOKUP(DATOS!$I5111,CONFIG_ASIGNATURAS!$B$2:$J$91,9,FALSE()),""))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IF(DATOS!$A5112="",0,IF(CONFIG_METADATA!$B$4&lt;&gt;"OR+EX",--(DATOS!$G5112=CONFIG_METADATA!$B$4),IF(DATOS!$G5112="EX",1,IF(DATOS!$G5112="OR",--(COUNTIFS(nNIA,DATOS!$A5112,nCURSO,DATOS!$D5112,nESPEC,DATOS!$E5112,nASIG,DATOS!$I5112,nEVAL,"EX")=0),0))))</f>
      </c>
      <c r="H5112">
        <f>IF(DATOS!$G5112&lt;&gt;"EX",0,--(COUNTIFS(nNIA,DATOS!$A5112,nCURSO,DATOS!$D5112,nESPEC,DATOS!$E5112,nASIG,DATOS!$I5112,nEVAL,"OR")=0))</f>
      </c>
      <c r="I5112">
        <f>IF(DATOS!$I5112="","",IFERROR(VLOOKUP(DATOS!$I5112,CONFIG_ASIGNATURAS!$B$2:$J$91,9,FALSE()),""))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IF(DATOS!$A5113="",0,IF(CONFIG_METADATA!$B$4&lt;&gt;"OR+EX",--(DATOS!$G5113=CONFIG_METADATA!$B$4),IF(DATOS!$G5113="EX",1,IF(DATOS!$G5113="OR",--(COUNTIFS(nNIA,DATOS!$A5113,nCURSO,DATOS!$D5113,nESPEC,DATOS!$E5113,nASIG,DATOS!$I5113,nEVAL,"EX")=0),0))))</f>
      </c>
      <c r="H5113">
        <f>IF(DATOS!$G5113&lt;&gt;"EX",0,--(COUNTIFS(nNIA,DATOS!$A5113,nCURSO,DATOS!$D5113,nESPEC,DATOS!$E5113,nASIG,DATOS!$I5113,nEVAL,"OR")=0))</f>
      </c>
      <c r="I5113">
        <f>IF(DATOS!$I5113="","",IFERROR(VLOOKUP(DATOS!$I5113,CONFIG_ASIGNATURAS!$B$2:$J$91,9,FALSE()),""))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IF(DATOS!$A5114="",0,IF(CONFIG_METADATA!$B$4&lt;&gt;"OR+EX",--(DATOS!$G5114=CONFIG_METADATA!$B$4),IF(DATOS!$G5114="EX",1,IF(DATOS!$G5114="OR",--(COUNTIFS(nNIA,DATOS!$A5114,nCURSO,DATOS!$D5114,nESPEC,DATOS!$E5114,nASIG,DATOS!$I5114,nEVAL,"EX")=0),0))))</f>
      </c>
      <c r="H5114">
        <f>IF(DATOS!$G5114&lt;&gt;"EX",0,--(COUNTIFS(nNIA,DATOS!$A5114,nCURSO,DATOS!$D5114,nESPEC,DATOS!$E5114,nASIG,DATOS!$I5114,nEVAL,"OR")=0))</f>
      </c>
      <c r="I5114">
        <f>IF(DATOS!$I5114="","",IFERROR(VLOOKUP(DATOS!$I5114,CONFIG_ASIGNATURAS!$B$2:$J$91,9,FALSE()),""))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IF(DATOS!$A5115="",0,IF(CONFIG_METADATA!$B$4&lt;&gt;"OR+EX",--(DATOS!$G5115=CONFIG_METADATA!$B$4),IF(DATOS!$G5115="EX",1,IF(DATOS!$G5115="OR",--(COUNTIFS(nNIA,DATOS!$A5115,nCURSO,DATOS!$D5115,nESPEC,DATOS!$E5115,nASIG,DATOS!$I5115,nEVAL,"EX")=0),0))))</f>
      </c>
      <c r="H5115">
        <f>IF(DATOS!$G5115&lt;&gt;"EX",0,--(COUNTIFS(nNIA,DATOS!$A5115,nCURSO,DATOS!$D5115,nESPEC,DATOS!$E5115,nASIG,DATOS!$I5115,nEVAL,"OR")=0))</f>
      </c>
      <c r="I5115">
        <f>IF(DATOS!$I5115="","",IFERROR(VLOOKUP(DATOS!$I5115,CONFIG_ASIGNATURAS!$B$2:$J$91,9,FALSE()),""))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IF(DATOS!$A5116="",0,IF(CONFIG_METADATA!$B$4&lt;&gt;"OR+EX",--(DATOS!$G5116=CONFIG_METADATA!$B$4),IF(DATOS!$G5116="EX",1,IF(DATOS!$G5116="OR",--(COUNTIFS(nNIA,DATOS!$A5116,nCURSO,DATOS!$D5116,nESPEC,DATOS!$E5116,nASIG,DATOS!$I5116,nEVAL,"EX")=0),0))))</f>
      </c>
      <c r="H5116">
        <f>IF(DATOS!$G5116&lt;&gt;"EX",0,--(COUNTIFS(nNIA,DATOS!$A5116,nCURSO,DATOS!$D5116,nESPEC,DATOS!$E5116,nASIG,DATOS!$I5116,nEVAL,"OR")=0))</f>
      </c>
      <c r="I5116">
        <f>IF(DATOS!$I5116="","",IFERROR(VLOOKUP(DATOS!$I5116,CONFIG_ASIGNATURAS!$B$2:$J$91,9,FALSE()),""))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IF(DATOS!$A5117="",0,IF(CONFIG_METADATA!$B$4&lt;&gt;"OR+EX",--(DATOS!$G5117=CONFIG_METADATA!$B$4),IF(DATOS!$G5117="EX",1,IF(DATOS!$G5117="OR",--(COUNTIFS(nNIA,DATOS!$A5117,nCURSO,DATOS!$D5117,nESPEC,DATOS!$E5117,nASIG,DATOS!$I5117,nEVAL,"EX")=0),0))))</f>
      </c>
      <c r="H5117">
        <f>IF(DATOS!$G5117&lt;&gt;"EX",0,--(COUNTIFS(nNIA,DATOS!$A5117,nCURSO,DATOS!$D5117,nESPEC,DATOS!$E5117,nASIG,DATOS!$I5117,nEVAL,"OR")=0))</f>
      </c>
      <c r="I5117">
        <f>IF(DATOS!$I5117="","",IFERROR(VLOOKUP(DATOS!$I5117,CONFIG_ASIGNATURAS!$B$2:$J$91,9,FALSE()),""))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IF(DATOS!$A5118="",0,IF(CONFIG_METADATA!$B$4&lt;&gt;"OR+EX",--(DATOS!$G5118=CONFIG_METADATA!$B$4),IF(DATOS!$G5118="EX",1,IF(DATOS!$G5118="OR",--(COUNTIFS(nNIA,DATOS!$A5118,nCURSO,DATOS!$D5118,nESPEC,DATOS!$E5118,nASIG,DATOS!$I5118,nEVAL,"EX")=0),0))))</f>
      </c>
      <c r="H5118">
        <f>IF(DATOS!$G5118&lt;&gt;"EX",0,--(COUNTIFS(nNIA,DATOS!$A5118,nCURSO,DATOS!$D5118,nESPEC,DATOS!$E5118,nASIG,DATOS!$I5118,nEVAL,"OR")=0))</f>
      </c>
      <c r="I5118">
        <f>IF(DATOS!$I5118="","",IFERROR(VLOOKUP(DATOS!$I5118,CONFIG_ASIGNATURAS!$B$2:$J$91,9,FALSE()),""))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IF(DATOS!$A5119="",0,IF(CONFIG_METADATA!$B$4&lt;&gt;"OR+EX",--(DATOS!$G5119=CONFIG_METADATA!$B$4),IF(DATOS!$G5119="EX",1,IF(DATOS!$G5119="OR",--(COUNTIFS(nNIA,DATOS!$A5119,nCURSO,DATOS!$D5119,nESPEC,DATOS!$E5119,nASIG,DATOS!$I5119,nEVAL,"EX")=0),0))))</f>
      </c>
      <c r="H5119">
        <f>IF(DATOS!$G5119&lt;&gt;"EX",0,--(COUNTIFS(nNIA,DATOS!$A5119,nCURSO,DATOS!$D5119,nESPEC,DATOS!$E5119,nASIG,DATOS!$I5119,nEVAL,"OR")=0))</f>
      </c>
      <c r="I5119">
        <f>IF(DATOS!$I5119="","",IFERROR(VLOOKUP(DATOS!$I5119,CONFIG_ASIGNATURAS!$B$2:$J$91,9,FALSE()),""))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IF(DATOS!$A5120="",0,IF(CONFIG_METADATA!$B$4&lt;&gt;"OR+EX",--(DATOS!$G5120=CONFIG_METADATA!$B$4),IF(DATOS!$G5120="EX",1,IF(DATOS!$G5120="OR",--(COUNTIFS(nNIA,DATOS!$A5120,nCURSO,DATOS!$D5120,nESPEC,DATOS!$E5120,nASIG,DATOS!$I5120,nEVAL,"EX")=0),0))))</f>
      </c>
      <c r="H5120">
        <f>IF(DATOS!$G5120&lt;&gt;"EX",0,--(COUNTIFS(nNIA,DATOS!$A5120,nCURSO,DATOS!$D5120,nESPEC,DATOS!$E5120,nASIG,DATOS!$I5120,nEVAL,"OR")=0))</f>
      </c>
      <c r="I5120">
        <f>IF(DATOS!$I5120="","",IFERROR(VLOOKUP(DATOS!$I5120,CONFIG_ASIGNATURAS!$B$2:$J$91,9,FALSE()),""))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IF(DATOS!$A5121="",0,IF(CONFIG_METADATA!$B$4&lt;&gt;"OR+EX",--(DATOS!$G5121=CONFIG_METADATA!$B$4),IF(DATOS!$G5121="EX",1,IF(DATOS!$G5121="OR",--(COUNTIFS(nNIA,DATOS!$A5121,nCURSO,DATOS!$D5121,nESPEC,DATOS!$E5121,nASIG,DATOS!$I5121,nEVAL,"EX")=0),0))))</f>
      </c>
      <c r="H5121">
        <f>IF(DATOS!$G5121&lt;&gt;"EX",0,--(COUNTIFS(nNIA,DATOS!$A5121,nCURSO,DATOS!$D5121,nESPEC,DATOS!$E5121,nASIG,DATOS!$I5121,nEVAL,"OR")=0))</f>
      </c>
      <c r="I5121">
        <f>IF(DATOS!$I5121="","",IFERROR(VLOOKUP(DATOS!$I5121,CONFIG_ASIGNATURAS!$B$2:$J$91,9,FALSE()),""))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IF(DATOS!$A5122="",0,IF(CONFIG_METADATA!$B$4&lt;&gt;"OR+EX",--(DATOS!$G5122=CONFIG_METADATA!$B$4),IF(DATOS!$G5122="EX",1,IF(DATOS!$G5122="OR",--(COUNTIFS(nNIA,DATOS!$A5122,nCURSO,DATOS!$D5122,nESPEC,DATOS!$E5122,nASIG,DATOS!$I5122,nEVAL,"EX")=0),0))))</f>
      </c>
      <c r="H5122">
        <f>IF(DATOS!$G5122&lt;&gt;"EX",0,--(COUNTIFS(nNIA,DATOS!$A5122,nCURSO,DATOS!$D5122,nESPEC,DATOS!$E5122,nASIG,DATOS!$I5122,nEVAL,"OR")=0))</f>
      </c>
      <c r="I5122">
        <f>IF(DATOS!$I5122="","",IFERROR(VLOOKUP(DATOS!$I5122,CONFIG_ASIGNATURAS!$B$2:$J$91,9,FALSE()),""))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IF(DATOS!$A5123="",0,IF(CONFIG_METADATA!$B$4&lt;&gt;"OR+EX",--(DATOS!$G5123=CONFIG_METADATA!$B$4),IF(DATOS!$G5123="EX",1,IF(DATOS!$G5123="OR",--(COUNTIFS(nNIA,DATOS!$A5123,nCURSO,DATOS!$D5123,nESPEC,DATOS!$E5123,nASIG,DATOS!$I5123,nEVAL,"EX")=0),0))))</f>
      </c>
      <c r="H5123">
        <f>IF(DATOS!$G5123&lt;&gt;"EX",0,--(COUNTIFS(nNIA,DATOS!$A5123,nCURSO,DATOS!$D5123,nESPEC,DATOS!$E5123,nASIG,DATOS!$I5123,nEVAL,"OR")=0))</f>
      </c>
      <c r="I5123">
        <f>IF(DATOS!$I5123="","",IFERROR(VLOOKUP(DATOS!$I5123,CONFIG_ASIGNATURAS!$B$2:$J$91,9,FALSE()),""))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IF(DATOS!$A5124="",0,IF(CONFIG_METADATA!$B$4&lt;&gt;"OR+EX",--(DATOS!$G5124=CONFIG_METADATA!$B$4),IF(DATOS!$G5124="EX",1,IF(DATOS!$G5124="OR",--(COUNTIFS(nNIA,DATOS!$A5124,nCURSO,DATOS!$D5124,nESPEC,DATOS!$E5124,nASIG,DATOS!$I5124,nEVAL,"EX")=0),0))))</f>
      </c>
      <c r="H5124">
        <f>IF(DATOS!$G5124&lt;&gt;"EX",0,--(COUNTIFS(nNIA,DATOS!$A5124,nCURSO,DATOS!$D5124,nESPEC,DATOS!$E5124,nASIG,DATOS!$I5124,nEVAL,"OR")=0))</f>
      </c>
      <c r="I5124">
        <f>IF(DATOS!$I5124="","",IFERROR(VLOOKUP(DATOS!$I5124,CONFIG_ASIGNATURAS!$B$2:$J$91,9,FALSE()),""))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IF(DATOS!$A5125="",0,IF(CONFIG_METADATA!$B$4&lt;&gt;"OR+EX",--(DATOS!$G5125=CONFIG_METADATA!$B$4),IF(DATOS!$G5125="EX",1,IF(DATOS!$G5125="OR",--(COUNTIFS(nNIA,DATOS!$A5125,nCURSO,DATOS!$D5125,nESPEC,DATOS!$E5125,nASIG,DATOS!$I5125,nEVAL,"EX")=0),0))))</f>
      </c>
      <c r="H5125">
        <f>IF(DATOS!$G5125&lt;&gt;"EX",0,--(COUNTIFS(nNIA,DATOS!$A5125,nCURSO,DATOS!$D5125,nESPEC,DATOS!$E5125,nASIG,DATOS!$I5125,nEVAL,"OR")=0))</f>
      </c>
      <c r="I5125">
        <f>IF(DATOS!$I5125="","",IFERROR(VLOOKUP(DATOS!$I5125,CONFIG_ASIGNATURAS!$B$2:$J$91,9,FALSE()),""))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IF(DATOS!$A5126="",0,IF(CONFIG_METADATA!$B$4&lt;&gt;"OR+EX",--(DATOS!$G5126=CONFIG_METADATA!$B$4),IF(DATOS!$G5126="EX",1,IF(DATOS!$G5126="OR",--(COUNTIFS(nNIA,DATOS!$A5126,nCURSO,DATOS!$D5126,nESPEC,DATOS!$E5126,nASIG,DATOS!$I5126,nEVAL,"EX")=0),0))))</f>
      </c>
      <c r="H5126">
        <f>IF(DATOS!$G5126&lt;&gt;"EX",0,--(COUNTIFS(nNIA,DATOS!$A5126,nCURSO,DATOS!$D5126,nESPEC,DATOS!$E5126,nASIG,DATOS!$I5126,nEVAL,"OR")=0))</f>
      </c>
      <c r="I5126">
        <f>IF(DATOS!$I5126="","",IFERROR(VLOOKUP(DATOS!$I5126,CONFIG_ASIGNATURAS!$B$2:$J$91,9,FALSE()),""))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IF(DATOS!$A5127="",0,IF(CONFIG_METADATA!$B$4&lt;&gt;"OR+EX",--(DATOS!$G5127=CONFIG_METADATA!$B$4),IF(DATOS!$G5127="EX",1,IF(DATOS!$G5127="OR",--(COUNTIFS(nNIA,DATOS!$A5127,nCURSO,DATOS!$D5127,nESPEC,DATOS!$E5127,nASIG,DATOS!$I5127,nEVAL,"EX")=0),0))))</f>
      </c>
      <c r="H5127">
        <f>IF(DATOS!$G5127&lt;&gt;"EX",0,--(COUNTIFS(nNIA,DATOS!$A5127,nCURSO,DATOS!$D5127,nESPEC,DATOS!$E5127,nASIG,DATOS!$I5127,nEVAL,"OR")=0))</f>
      </c>
      <c r="I5127">
        <f>IF(DATOS!$I5127="","",IFERROR(VLOOKUP(DATOS!$I5127,CONFIG_ASIGNATURAS!$B$2:$J$91,9,FALSE()),""))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IF(DATOS!$A5128="",0,IF(CONFIG_METADATA!$B$4&lt;&gt;"OR+EX",--(DATOS!$G5128=CONFIG_METADATA!$B$4),IF(DATOS!$G5128="EX",1,IF(DATOS!$G5128="OR",--(COUNTIFS(nNIA,DATOS!$A5128,nCURSO,DATOS!$D5128,nESPEC,DATOS!$E5128,nASIG,DATOS!$I5128,nEVAL,"EX")=0),0))))</f>
      </c>
      <c r="H5128">
        <f>IF(DATOS!$G5128&lt;&gt;"EX",0,--(COUNTIFS(nNIA,DATOS!$A5128,nCURSO,DATOS!$D5128,nESPEC,DATOS!$E5128,nASIG,DATOS!$I5128,nEVAL,"OR")=0))</f>
      </c>
      <c r="I5128">
        <f>IF(DATOS!$I5128="","",IFERROR(VLOOKUP(DATOS!$I5128,CONFIG_ASIGNATURAS!$B$2:$J$91,9,FALSE()),""))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IF(DATOS!$A5129="",0,IF(CONFIG_METADATA!$B$4&lt;&gt;"OR+EX",--(DATOS!$G5129=CONFIG_METADATA!$B$4),IF(DATOS!$G5129="EX",1,IF(DATOS!$G5129="OR",--(COUNTIFS(nNIA,DATOS!$A5129,nCURSO,DATOS!$D5129,nESPEC,DATOS!$E5129,nASIG,DATOS!$I5129,nEVAL,"EX")=0),0))))</f>
      </c>
      <c r="H5129">
        <f>IF(DATOS!$G5129&lt;&gt;"EX",0,--(COUNTIFS(nNIA,DATOS!$A5129,nCURSO,DATOS!$D5129,nESPEC,DATOS!$E5129,nASIG,DATOS!$I5129,nEVAL,"OR")=0))</f>
      </c>
      <c r="I5129">
        <f>IF(DATOS!$I5129="","",IFERROR(VLOOKUP(DATOS!$I5129,CONFIG_ASIGNATURAS!$B$2:$J$91,9,FALSE()),""))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IF(DATOS!$A5130="",0,IF(CONFIG_METADATA!$B$4&lt;&gt;"OR+EX",--(DATOS!$G5130=CONFIG_METADATA!$B$4),IF(DATOS!$G5130="EX",1,IF(DATOS!$G5130="OR",--(COUNTIFS(nNIA,DATOS!$A5130,nCURSO,DATOS!$D5130,nESPEC,DATOS!$E5130,nASIG,DATOS!$I5130,nEVAL,"EX")=0),0))))</f>
      </c>
      <c r="H5130">
        <f>IF(DATOS!$G5130&lt;&gt;"EX",0,--(COUNTIFS(nNIA,DATOS!$A5130,nCURSO,DATOS!$D5130,nESPEC,DATOS!$E5130,nASIG,DATOS!$I5130,nEVAL,"OR")=0))</f>
      </c>
      <c r="I5130">
        <f>IF(DATOS!$I5130="","",IFERROR(VLOOKUP(DATOS!$I5130,CONFIG_ASIGNATURAS!$B$2:$J$91,9,FALSE()),""))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IF(DATOS!$A5131="",0,IF(CONFIG_METADATA!$B$4&lt;&gt;"OR+EX",--(DATOS!$G5131=CONFIG_METADATA!$B$4),IF(DATOS!$G5131="EX",1,IF(DATOS!$G5131="OR",--(COUNTIFS(nNIA,DATOS!$A5131,nCURSO,DATOS!$D5131,nESPEC,DATOS!$E5131,nASIG,DATOS!$I5131,nEVAL,"EX")=0),0))))</f>
      </c>
      <c r="H5131">
        <f>IF(DATOS!$G5131&lt;&gt;"EX",0,--(COUNTIFS(nNIA,DATOS!$A5131,nCURSO,DATOS!$D5131,nESPEC,DATOS!$E5131,nASIG,DATOS!$I5131,nEVAL,"OR")=0))</f>
      </c>
      <c r="I5131">
        <f>IF(DATOS!$I5131="","",IFERROR(VLOOKUP(DATOS!$I5131,CONFIG_ASIGNATURAS!$B$2:$J$91,9,FALSE()),""))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IF(DATOS!$A5132="",0,IF(CONFIG_METADATA!$B$4&lt;&gt;"OR+EX",--(DATOS!$G5132=CONFIG_METADATA!$B$4),IF(DATOS!$G5132="EX",1,IF(DATOS!$G5132="OR",--(COUNTIFS(nNIA,DATOS!$A5132,nCURSO,DATOS!$D5132,nESPEC,DATOS!$E5132,nASIG,DATOS!$I5132,nEVAL,"EX")=0),0))))</f>
      </c>
      <c r="H5132">
        <f>IF(DATOS!$G5132&lt;&gt;"EX",0,--(COUNTIFS(nNIA,DATOS!$A5132,nCURSO,DATOS!$D5132,nESPEC,DATOS!$E5132,nASIG,DATOS!$I5132,nEVAL,"OR")=0))</f>
      </c>
      <c r="I5132">
        <f>IF(DATOS!$I5132="","",IFERROR(VLOOKUP(DATOS!$I5132,CONFIG_ASIGNATURAS!$B$2:$J$91,9,FALSE()),""))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IF(DATOS!$A5133="",0,IF(CONFIG_METADATA!$B$4&lt;&gt;"OR+EX",--(DATOS!$G5133=CONFIG_METADATA!$B$4),IF(DATOS!$G5133="EX",1,IF(DATOS!$G5133="OR",--(COUNTIFS(nNIA,DATOS!$A5133,nCURSO,DATOS!$D5133,nESPEC,DATOS!$E5133,nASIG,DATOS!$I5133,nEVAL,"EX")=0),0))))</f>
      </c>
      <c r="H5133">
        <f>IF(DATOS!$G5133&lt;&gt;"EX",0,--(COUNTIFS(nNIA,DATOS!$A5133,nCURSO,DATOS!$D5133,nESPEC,DATOS!$E5133,nASIG,DATOS!$I5133,nEVAL,"OR")=0))</f>
      </c>
      <c r="I5133">
        <f>IF(DATOS!$I5133="","",IFERROR(VLOOKUP(DATOS!$I5133,CONFIG_ASIGNATURAS!$B$2:$J$91,9,FALSE()),""))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IF(DATOS!$A5134="",0,IF(CONFIG_METADATA!$B$4&lt;&gt;"OR+EX",--(DATOS!$G5134=CONFIG_METADATA!$B$4),IF(DATOS!$G5134="EX",1,IF(DATOS!$G5134="OR",--(COUNTIFS(nNIA,DATOS!$A5134,nCURSO,DATOS!$D5134,nESPEC,DATOS!$E5134,nASIG,DATOS!$I5134,nEVAL,"EX")=0),0))))</f>
      </c>
      <c r="H5134">
        <f>IF(DATOS!$G5134&lt;&gt;"EX",0,--(COUNTIFS(nNIA,DATOS!$A5134,nCURSO,DATOS!$D5134,nESPEC,DATOS!$E5134,nASIG,DATOS!$I5134,nEVAL,"OR")=0))</f>
      </c>
      <c r="I5134">
        <f>IF(DATOS!$I5134="","",IFERROR(VLOOKUP(DATOS!$I5134,CONFIG_ASIGNATURAS!$B$2:$J$91,9,FALSE()),""))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IF(DATOS!$A5135="",0,IF(CONFIG_METADATA!$B$4&lt;&gt;"OR+EX",--(DATOS!$G5135=CONFIG_METADATA!$B$4),IF(DATOS!$G5135="EX",1,IF(DATOS!$G5135="OR",--(COUNTIFS(nNIA,DATOS!$A5135,nCURSO,DATOS!$D5135,nESPEC,DATOS!$E5135,nASIG,DATOS!$I5135,nEVAL,"EX")=0),0))))</f>
      </c>
      <c r="H5135">
        <f>IF(DATOS!$G5135&lt;&gt;"EX",0,--(COUNTIFS(nNIA,DATOS!$A5135,nCURSO,DATOS!$D5135,nESPEC,DATOS!$E5135,nASIG,DATOS!$I5135,nEVAL,"OR")=0))</f>
      </c>
      <c r="I5135">
        <f>IF(DATOS!$I5135="","",IFERROR(VLOOKUP(DATOS!$I5135,CONFIG_ASIGNATURAS!$B$2:$J$91,9,FALSE()),""))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IF(DATOS!$A5136="",0,IF(CONFIG_METADATA!$B$4&lt;&gt;"OR+EX",--(DATOS!$G5136=CONFIG_METADATA!$B$4),IF(DATOS!$G5136="EX",1,IF(DATOS!$G5136="OR",--(COUNTIFS(nNIA,DATOS!$A5136,nCURSO,DATOS!$D5136,nESPEC,DATOS!$E5136,nASIG,DATOS!$I5136,nEVAL,"EX")=0),0))))</f>
      </c>
      <c r="H5136">
        <f>IF(DATOS!$G5136&lt;&gt;"EX",0,--(COUNTIFS(nNIA,DATOS!$A5136,nCURSO,DATOS!$D5136,nESPEC,DATOS!$E5136,nASIG,DATOS!$I5136,nEVAL,"OR")=0))</f>
      </c>
      <c r="I5136">
        <f>IF(DATOS!$I5136="","",IFERROR(VLOOKUP(DATOS!$I5136,CONFIG_ASIGNATURAS!$B$2:$J$91,9,FALSE()),""))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IF(DATOS!$A5137="",0,IF(CONFIG_METADATA!$B$4&lt;&gt;"OR+EX",--(DATOS!$G5137=CONFIG_METADATA!$B$4),IF(DATOS!$G5137="EX",1,IF(DATOS!$G5137="OR",--(COUNTIFS(nNIA,DATOS!$A5137,nCURSO,DATOS!$D5137,nESPEC,DATOS!$E5137,nASIG,DATOS!$I5137,nEVAL,"EX")=0),0))))</f>
      </c>
      <c r="H5137">
        <f>IF(DATOS!$G5137&lt;&gt;"EX",0,--(COUNTIFS(nNIA,DATOS!$A5137,nCURSO,DATOS!$D5137,nESPEC,DATOS!$E5137,nASIG,DATOS!$I5137,nEVAL,"OR")=0))</f>
      </c>
      <c r="I5137">
        <f>IF(DATOS!$I5137="","",IFERROR(VLOOKUP(DATOS!$I5137,CONFIG_ASIGNATURAS!$B$2:$J$91,9,FALSE()),""))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IF(DATOS!$A5138="",0,IF(CONFIG_METADATA!$B$4&lt;&gt;"OR+EX",--(DATOS!$G5138=CONFIG_METADATA!$B$4),IF(DATOS!$G5138="EX",1,IF(DATOS!$G5138="OR",--(COUNTIFS(nNIA,DATOS!$A5138,nCURSO,DATOS!$D5138,nESPEC,DATOS!$E5138,nASIG,DATOS!$I5138,nEVAL,"EX")=0),0))))</f>
      </c>
      <c r="H5138">
        <f>IF(DATOS!$G5138&lt;&gt;"EX",0,--(COUNTIFS(nNIA,DATOS!$A5138,nCURSO,DATOS!$D5138,nESPEC,DATOS!$E5138,nASIG,DATOS!$I5138,nEVAL,"OR")=0))</f>
      </c>
      <c r="I5138">
        <f>IF(DATOS!$I5138="","",IFERROR(VLOOKUP(DATOS!$I5138,CONFIG_ASIGNATURAS!$B$2:$J$91,9,FALSE()),""))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IF(DATOS!$A5139="",0,IF(CONFIG_METADATA!$B$4&lt;&gt;"OR+EX",--(DATOS!$G5139=CONFIG_METADATA!$B$4),IF(DATOS!$G5139="EX",1,IF(DATOS!$G5139="OR",--(COUNTIFS(nNIA,DATOS!$A5139,nCURSO,DATOS!$D5139,nESPEC,DATOS!$E5139,nASIG,DATOS!$I5139,nEVAL,"EX")=0),0))))</f>
      </c>
      <c r="H5139">
        <f>IF(DATOS!$G5139&lt;&gt;"EX",0,--(COUNTIFS(nNIA,DATOS!$A5139,nCURSO,DATOS!$D5139,nESPEC,DATOS!$E5139,nASIG,DATOS!$I5139,nEVAL,"OR")=0))</f>
      </c>
      <c r="I5139">
        <f>IF(DATOS!$I5139="","",IFERROR(VLOOKUP(DATOS!$I5139,CONFIG_ASIGNATURAS!$B$2:$J$91,9,FALSE()),""))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IF(DATOS!$A5140="",0,IF(CONFIG_METADATA!$B$4&lt;&gt;"OR+EX",--(DATOS!$G5140=CONFIG_METADATA!$B$4),IF(DATOS!$G5140="EX",1,IF(DATOS!$G5140="OR",--(COUNTIFS(nNIA,DATOS!$A5140,nCURSO,DATOS!$D5140,nESPEC,DATOS!$E5140,nASIG,DATOS!$I5140,nEVAL,"EX")=0),0))))</f>
      </c>
      <c r="H5140">
        <f>IF(DATOS!$G5140&lt;&gt;"EX",0,--(COUNTIFS(nNIA,DATOS!$A5140,nCURSO,DATOS!$D5140,nESPEC,DATOS!$E5140,nASIG,DATOS!$I5140,nEVAL,"OR")=0))</f>
      </c>
      <c r="I5140">
        <f>IF(DATOS!$I5140="","",IFERROR(VLOOKUP(DATOS!$I5140,CONFIG_ASIGNATURAS!$B$2:$J$91,9,FALSE()),""))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IF(DATOS!$A5141="",0,IF(CONFIG_METADATA!$B$4&lt;&gt;"OR+EX",--(DATOS!$G5141=CONFIG_METADATA!$B$4),IF(DATOS!$G5141="EX",1,IF(DATOS!$G5141="OR",--(COUNTIFS(nNIA,DATOS!$A5141,nCURSO,DATOS!$D5141,nESPEC,DATOS!$E5141,nASIG,DATOS!$I5141,nEVAL,"EX")=0),0))))</f>
      </c>
      <c r="H5141">
        <f>IF(DATOS!$G5141&lt;&gt;"EX",0,--(COUNTIFS(nNIA,DATOS!$A5141,nCURSO,DATOS!$D5141,nESPEC,DATOS!$E5141,nASIG,DATOS!$I5141,nEVAL,"OR")=0))</f>
      </c>
      <c r="I5141">
        <f>IF(DATOS!$I5141="","",IFERROR(VLOOKUP(DATOS!$I5141,CONFIG_ASIGNATURAS!$B$2:$J$91,9,FALSE()),""))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IF(DATOS!$A5142="",0,IF(CONFIG_METADATA!$B$4&lt;&gt;"OR+EX",--(DATOS!$G5142=CONFIG_METADATA!$B$4),IF(DATOS!$G5142="EX",1,IF(DATOS!$G5142="OR",--(COUNTIFS(nNIA,DATOS!$A5142,nCURSO,DATOS!$D5142,nESPEC,DATOS!$E5142,nASIG,DATOS!$I5142,nEVAL,"EX")=0),0))))</f>
      </c>
      <c r="H5142">
        <f>IF(DATOS!$G5142&lt;&gt;"EX",0,--(COUNTIFS(nNIA,DATOS!$A5142,nCURSO,DATOS!$D5142,nESPEC,DATOS!$E5142,nASIG,DATOS!$I5142,nEVAL,"OR")=0))</f>
      </c>
      <c r="I5142">
        <f>IF(DATOS!$I5142="","",IFERROR(VLOOKUP(DATOS!$I5142,CONFIG_ASIGNATURAS!$B$2:$J$91,9,FALSE()),""))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IF(DATOS!$A5143="",0,IF(CONFIG_METADATA!$B$4&lt;&gt;"OR+EX",--(DATOS!$G5143=CONFIG_METADATA!$B$4),IF(DATOS!$G5143="EX",1,IF(DATOS!$G5143="OR",--(COUNTIFS(nNIA,DATOS!$A5143,nCURSO,DATOS!$D5143,nESPEC,DATOS!$E5143,nASIG,DATOS!$I5143,nEVAL,"EX")=0),0))))</f>
      </c>
      <c r="H5143">
        <f>IF(DATOS!$G5143&lt;&gt;"EX",0,--(COUNTIFS(nNIA,DATOS!$A5143,nCURSO,DATOS!$D5143,nESPEC,DATOS!$E5143,nASIG,DATOS!$I5143,nEVAL,"OR")=0))</f>
      </c>
      <c r="I5143">
        <f>IF(DATOS!$I5143="","",IFERROR(VLOOKUP(DATOS!$I5143,CONFIG_ASIGNATURAS!$B$2:$J$91,9,FALSE()),""))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IF(DATOS!$A5144="",0,IF(CONFIG_METADATA!$B$4&lt;&gt;"OR+EX",--(DATOS!$G5144=CONFIG_METADATA!$B$4),IF(DATOS!$G5144="EX",1,IF(DATOS!$G5144="OR",--(COUNTIFS(nNIA,DATOS!$A5144,nCURSO,DATOS!$D5144,nESPEC,DATOS!$E5144,nASIG,DATOS!$I5144,nEVAL,"EX")=0),0))))</f>
      </c>
      <c r="H5144">
        <f>IF(DATOS!$G5144&lt;&gt;"EX",0,--(COUNTIFS(nNIA,DATOS!$A5144,nCURSO,DATOS!$D5144,nESPEC,DATOS!$E5144,nASIG,DATOS!$I5144,nEVAL,"OR")=0))</f>
      </c>
      <c r="I5144">
        <f>IF(DATOS!$I5144="","",IFERROR(VLOOKUP(DATOS!$I5144,CONFIG_ASIGNATURAS!$B$2:$J$91,9,FALSE()),""))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IF(DATOS!$A5145="",0,IF(CONFIG_METADATA!$B$4&lt;&gt;"OR+EX",--(DATOS!$G5145=CONFIG_METADATA!$B$4),IF(DATOS!$G5145="EX",1,IF(DATOS!$G5145="OR",--(COUNTIFS(nNIA,DATOS!$A5145,nCURSO,DATOS!$D5145,nESPEC,DATOS!$E5145,nASIG,DATOS!$I5145,nEVAL,"EX")=0),0))))</f>
      </c>
      <c r="H5145">
        <f>IF(DATOS!$G5145&lt;&gt;"EX",0,--(COUNTIFS(nNIA,DATOS!$A5145,nCURSO,DATOS!$D5145,nESPEC,DATOS!$E5145,nASIG,DATOS!$I5145,nEVAL,"OR")=0))</f>
      </c>
      <c r="I5145">
        <f>IF(DATOS!$I5145="","",IFERROR(VLOOKUP(DATOS!$I5145,CONFIG_ASIGNATURAS!$B$2:$J$91,9,FALSE()),""))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IF(DATOS!$A5146="",0,IF(CONFIG_METADATA!$B$4&lt;&gt;"OR+EX",--(DATOS!$G5146=CONFIG_METADATA!$B$4),IF(DATOS!$G5146="EX",1,IF(DATOS!$G5146="OR",--(COUNTIFS(nNIA,DATOS!$A5146,nCURSO,DATOS!$D5146,nESPEC,DATOS!$E5146,nASIG,DATOS!$I5146,nEVAL,"EX")=0),0))))</f>
      </c>
      <c r="H5146">
        <f>IF(DATOS!$G5146&lt;&gt;"EX",0,--(COUNTIFS(nNIA,DATOS!$A5146,nCURSO,DATOS!$D5146,nESPEC,DATOS!$E5146,nASIG,DATOS!$I5146,nEVAL,"OR")=0))</f>
      </c>
      <c r="I5146">
        <f>IF(DATOS!$I5146="","",IFERROR(VLOOKUP(DATOS!$I5146,CONFIG_ASIGNATURAS!$B$2:$J$91,9,FALSE()),""))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IF(DATOS!$A5147="",0,IF(CONFIG_METADATA!$B$4&lt;&gt;"OR+EX",--(DATOS!$G5147=CONFIG_METADATA!$B$4),IF(DATOS!$G5147="EX",1,IF(DATOS!$G5147="OR",--(COUNTIFS(nNIA,DATOS!$A5147,nCURSO,DATOS!$D5147,nESPEC,DATOS!$E5147,nASIG,DATOS!$I5147,nEVAL,"EX")=0),0))))</f>
      </c>
      <c r="H5147">
        <f>IF(DATOS!$G5147&lt;&gt;"EX",0,--(COUNTIFS(nNIA,DATOS!$A5147,nCURSO,DATOS!$D5147,nESPEC,DATOS!$E5147,nASIG,DATOS!$I5147,nEVAL,"OR")=0))</f>
      </c>
      <c r="I5147">
        <f>IF(DATOS!$I5147="","",IFERROR(VLOOKUP(DATOS!$I5147,CONFIG_ASIGNATURAS!$B$2:$J$91,9,FALSE()),""))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IF(DATOS!$A5148="",0,IF(CONFIG_METADATA!$B$4&lt;&gt;"OR+EX",--(DATOS!$G5148=CONFIG_METADATA!$B$4),IF(DATOS!$G5148="EX",1,IF(DATOS!$G5148="OR",--(COUNTIFS(nNIA,DATOS!$A5148,nCURSO,DATOS!$D5148,nESPEC,DATOS!$E5148,nASIG,DATOS!$I5148,nEVAL,"EX")=0),0))))</f>
      </c>
      <c r="H5148">
        <f>IF(DATOS!$G5148&lt;&gt;"EX",0,--(COUNTIFS(nNIA,DATOS!$A5148,nCURSO,DATOS!$D5148,nESPEC,DATOS!$E5148,nASIG,DATOS!$I5148,nEVAL,"OR")=0))</f>
      </c>
      <c r="I5148">
        <f>IF(DATOS!$I5148="","",IFERROR(VLOOKUP(DATOS!$I5148,CONFIG_ASIGNATURAS!$B$2:$J$91,9,FALSE()),""))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IF(DATOS!$A5149="",0,IF(CONFIG_METADATA!$B$4&lt;&gt;"OR+EX",--(DATOS!$G5149=CONFIG_METADATA!$B$4),IF(DATOS!$G5149="EX",1,IF(DATOS!$G5149="OR",--(COUNTIFS(nNIA,DATOS!$A5149,nCURSO,DATOS!$D5149,nESPEC,DATOS!$E5149,nASIG,DATOS!$I5149,nEVAL,"EX")=0),0))))</f>
      </c>
      <c r="H5149">
        <f>IF(DATOS!$G5149&lt;&gt;"EX",0,--(COUNTIFS(nNIA,DATOS!$A5149,nCURSO,DATOS!$D5149,nESPEC,DATOS!$E5149,nASIG,DATOS!$I5149,nEVAL,"OR")=0))</f>
      </c>
      <c r="I5149">
        <f>IF(DATOS!$I5149="","",IFERROR(VLOOKUP(DATOS!$I5149,CONFIG_ASIGNATURAS!$B$2:$J$91,9,FALSE()),""))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IF(DATOS!$A5150="",0,IF(CONFIG_METADATA!$B$4&lt;&gt;"OR+EX",--(DATOS!$G5150=CONFIG_METADATA!$B$4),IF(DATOS!$G5150="EX",1,IF(DATOS!$G5150="OR",--(COUNTIFS(nNIA,DATOS!$A5150,nCURSO,DATOS!$D5150,nESPEC,DATOS!$E5150,nASIG,DATOS!$I5150,nEVAL,"EX")=0),0))))</f>
      </c>
      <c r="H5150">
        <f>IF(DATOS!$G5150&lt;&gt;"EX",0,--(COUNTIFS(nNIA,DATOS!$A5150,nCURSO,DATOS!$D5150,nESPEC,DATOS!$E5150,nASIG,DATOS!$I5150,nEVAL,"OR")=0))</f>
      </c>
      <c r="I5150">
        <f>IF(DATOS!$I5150="","",IFERROR(VLOOKUP(DATOS!$I5150,CONFIG_ASIGNATURAS!$B$2:$J$91,9,FALSE()),""))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IF(DATOS!$A5151="",0,IF(CONFIG_METADATA!$B$4&lt;&gt;"OR+EX",--(DATOS!$G5151=CONFIG_METADATA!$B$4),IF(DATOS!$G5151="EX",1,IF(DATOS!$G5151="OR",--(COUNTIFS(nNIA,DATOS!$A5151,nCURSO,DATOS!$D5151,nESPEC,DATOS!$E5151,nASIG,DATOS!$I5151,nEVAL,"EX")=0),0))))</f>
      </c>
      <c r="H5151">
        <f>IF(DATOS!$G5151&lt;&gt;"EX",0,--(COUNTIFS(nNIA,DATOS!$A5151,nCURSO,DATOS!$D5151,nESPEC,DATOS!$E5151,nASIG,DATOS!$I5151,nEVAL,"OR")=0))</f>
      </c>
      <c r="I5151">
        <f>IF(DATOS!$I5151="","",IFERROR(VLOOKUP(DATOS!$I5151,CONFIG_ASIGNATURAS!$B$2:$J$91,9,FALSE()),""))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IF(DATOS!$A5152="",0,IF(CONFIG_METADATA!$B$4&lt;&gt;"OR+EX",--(DATOS!$G5152=CONFIG_METADATA!$B$4),IF(DATOS!$G5152="EX",1,IF(DATOS!$G5152="OR",--(COUNTIFS(nNIA,DATOS!$A5152,nCURSO,DATOS!$D5152,nESPEC,DATOS!$E5152,nASIG,DATOS!$I5152,nEVAL,"EX")=0),0))))</f>
      </c>
      <c r="H5152">
        <f>IF(DATOS!$G5152&lt;&gt;"EX",0,--(COUNTIFS(nNIA,DATOS!$A5152,nCURSO,DATOS!$D5152,nESPEC,DATOS!$E5152,nASIG,DATOS!$I5152,nEVAL,"OR")=0))</f>
      </c>
      <c r="I5152">
        <f>IF(DATOS!$I5152="","",IFERROR(VLOOKUP(DATOS!$I5152,CONFIG_ASIGNATURAS!$B$2:$J$91,9,FALSE()),""))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IF(DATOS!$A5153="",0,IF(CONFIG_METADATA!$B$4&lt;&gt;"OR+EX",--(DATOS!$G5153=CONFIG_METADATA!$B$4),IF(DATOS!$G5153="EX",1,IF(DATOS!$G5153="OR",--(COUNTIFS(nNIA,DATOS!$A5153,nCURSO,DATOS!$D5153,nESPEC,DATOS!$E5153,nASIG,DATOS!$I5153,nEVAL,"EX")=0),0))))</f>
      </c>
      <c r="H5153">
        <f>IF(DATOS!$G5153&lt;&gt;"EX",0,--(COUNTIFS(nNIA,DATOS!$A5153,nCURSO,DATOS!$D5153,nESPEC,DATOS!$E5153,nASIG,DATOS!$I5153,nEVAL,"OR")=0))</f>
      </c>
      <c r="I5153">
        <f>IF(DATOS!$I5153="","",IFERROR(VLOOKUP(DATOS!$I5153,CONFIG_ASIGNATURAS!$B$2:$J$91,9,FALSE()),""))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IF(DATOS!$A5154="",0,IF(CONFIG_METADATA!$B$4&lt;&gt;"OR+EX",--(DATOS!$G5154=CONFIG_METADATA!$B$4),IF(DATOS!$G5154="EX",1,IF(DATOS!$G5154="OR",--(COUNTIFS(nNIA,DATOS!$A5154,nCURSO,DATOS!$D5154,nESPEC,DATOS!$E5154,nASIG,DATOS!$I5154,nEVAL,"EX")=0),0))))</f>
      </c>
      <c r="H5154">
        <f>IF(DATOS!$G5154&lt;&gt;"EX",0,--(COUNTIFS(nNIA,DATOS!$A5154,nCURSO,DATOS!$D5154,nESPEC,DATOS!$E5154,nASIG,DATOS!$I5154,nEVAL,"OR")=0))</f>
      </c>
      <c r="I5154">
        <f>IF(DATOS!$I5154="","",IFERROR(VLOOKUP(DATOS!$I5154,CONFIG_ASIGNATURAS!$B$2:$J$91,9,FALSE()),""))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IF(DATOS!$A5155="",0,IF(CONFIG_METADATA!$B$4&lt;&gt;"OR+EX",--(DATOS!$G5155=CONFIG_METADATA!$B$4),IF(DATOS!$G5155="EX",1,IF(DATOS!$G5155="OR",--(COUNTIFS(nNIA,DATOS!$A5155,nCURSO,DATOS!$D5155,nESPEC,DATOS!$E5155,nASIG,DATOS!$I5155,nEVAL,"EX")=0),0))))</f>
      </c>
      <c r="H5155">
        <f>IF(DATOS!$G5155&lt;&gt;"EX",0,--(COUNTIFS(nNIA,DATOS!$A5155,nCURSO,DATOS!$D5155,nESPEC,DATOS!$E5155,nASIG,DATOS!$I5155,nEVAL,"OR")=0))</f>
      </c>
      <c r="I5155">
        <f>IF(DATOS!$I5155="","",IFERROR(VLOOKUP(DATOS!$I5155,CONFIG_ASIGNATURAS!$B$2:$J$91,9,FALSE()),""))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IF(DATOS!$A5156="",0,IF(CONFIG_METADATA!$B$4&lt;&gt;"OR+EX",--(DATOS!$G5156=CONFIG_METADATA!$B$4),IF(DATOS!$G5156="EX",1,IF(DATOS!$G5156="OR",--(COUNTIFS(nNIA,DATOS!$A5156,nCURSO,DATOS!$D5156,nESPEC,DATOS!$E5156,nASIG,DATOS!$I5156,nEVAL,"EX")=0),0))))</f>
      </c>
      <c r="H5156">
        <f>IF(DATOS!$G5156&lt;&gt;"EX",0,--(COUNTIFS(nNIA,DATOS!$A5156,nCURSO,DATOS!$D5156,nESPEC,DATOS!$E5156,nASIG,DATOS!$I5156,nEVAL,"OR")=0))</f>
      </c>
      <c r="I5156">
        <f>IF(DATOS!$I5156="","",IFERROR(VLOOKUP(DATOS!$I5156,CONFIG_ASIGNATURAS!$B$2:$J$91,9,FALSE()),""))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IF(DATOS!$A5157="",0,IF(CONFIG_METADATA!$B$4&lt;&gt;"OR+EX",--(DATOS!$G5157=CONFIG_METADATA!$B$4),IF(DATOS!$G5157="EX",1,IF(DATOS!$G5157="OR",--(COUNTIFS(nNIA,DATOS!$A5157,nCURSO,DATOS!$D5157,nESPEC,DATOS!$E5157,nASIG,DATOS!$I5157,nEVAL,"EX")=0),0))))</f>
      </c>
      <c r="H5157">
        <f>IF(DATOS!$G5157&lt;&gt;"EX",0,--(COUNTIFS(nNIA,DATOS!$A5157,nCURSO,DATOS!$D5157,nESPEC,DATOS!$E5157,nASIG,DATOS!$I5157,nEVAL,"OR")=0))</f>
      </c>
      <c r="I5157">
        <f>IF(DATOS!$I5157="","",IFERROR(VLOOKUP(DATOS!$I5157,CONFIG_ASIGNATURAS!$B$2:$J$91,9,FALSE()),""))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IF(DATOS!$A5158="",0,IF(CONFIG_METADATA!$B$4&lt;&gt;"OR+EX",--(DATOS!$G5158=CONFIG_METADATA!$B$4),IF(DATOS!$G5158="EX",1,IF(DATOS!$G5158="OR",--(COUNTIFS(nNIA,DATOS!$A5158,nCURSO,DATOS!$D5158,nESPEC,DATOS!$E5158,nASIG,DATOS!$I5158,nEVAL,"EX")=0),0))))</f>
      </c>
      <c r="H5158">
        <f>IF(DATOS!$G5158&lt;&gt;"EX",0,--(COUNTIFS(nNIA,DATOS!$A5158,nCURSO,DATOS!$D5158,nESPEC,DATOS!$E5158,nASIG,DATOS!$I5158,nEVAL,"OR")=0))</f>
      </c>
      <c r="I5158">
        <f>IF(DATOS!$I5158="","",IFERROR(VLOOKUP(DATOS!$I5158,CONFIG_ASIGNATURAS!$B$2:$J$91,9,FALSE()),""))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IF(DATOS!$A5159="",0,IF(CONFIG_METADATA!$B$4&lt;&gt;"OR+EX",--(DATOS!$G5159=CONFIG_METADATA!$B$4),IF(DATOS!$G5159="EX",1,IF(DATOS!$G5159="OR",--(COUNTIFS(nNIA,DATOS!$A5159,nCURSO,DATOS!$D5159,nESPEC,DATOS!$E5159,nASIG,DATOS!$I5159,nEVAL,"EX")=0),0))))</f>
      </c>
      <c r="H5159">
        <f>IF(DATOS!$G5159&lt;&gt;"EX",0,--(COUNTIFS(nNIA,DATOS!$A5159,nCURSO,DATOS!$D5159,nESPEC,DATOS!$E5159,nASIG,DATOS!$I5159,nEVAL,"OR")=0))</f>
      </c>
      <c r="I5159">
        <f>IF(DATOS!$I5159="","",IFERROR(VLOOKUP(DATOS!$I5159,CONFIG_ASIGNATURAS!$B$2:$J$91,9,FALSE()),""))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IF(DATOS!$A5160="",0,IF(CONFIG_METADATA!$B$4&lt;&gt;"OR+EX",--(DATOS!$G5160=CONFIG_METADATA!$B$4),IF(DATOS!$G5160="EX",1,IF(DATOS!$G5160="OR",--(COUNTIFS(nNIA,DATOS!$A5160,nCURSO,DATOS!$D5160,nESPEC,DATOS!$E5160,nASIG,DATOS!$I5160,nEVAL,"EX")=0),0))))</f>
      </c>
      <c r="H5160">
        <f>IF(DATOS!$G5160&lt;&gt;"EX",0,--(COUNTIFS(nNIA,DATOS!$A5160,nCURSO,DATOS!$D5160,nESPEC,DATOS!$E5160,nASIG,DATOS!$I5160,nEVAL,"OR")=0))</f>
      </c>
      <c r="I5160">
        <f>IF(DATOS!$I5160="","",IFERROR(VLOOKUP(DATOS!$I5160,CONFIG_ASIGNATURAS!$B$2:$J$91,9,FALSE()),""))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IF(DATOS!$A5161="",0,IF(CONFIG_METADATA!$B$4&lt;&gt;"OR+EX",--(DATOS!$G5161=CONFIG_METADATA!$B$4),IF(DATOS!$G5161="EX",1,IF(DATOS!$G5161="OR",--(COUNTIFS(nNIA,DATOS!$A5161,nCURSO,DATOS!$D5161,nESPEC,DATOS!$E5161,nASIG,DATOS!$I5161,nEVAL,"EX")=0),0))))</f>
      </c>
      <c r="H5161">
        <f>IF(DATOS!$G5161&lt;&gt;"EX",0,--(COUNTIFS(nNIA,DATOS!$A5161,nCURSO,DATOS!$D5161,nESPEC,DATOS!$E5161,nASIG,DATOS!$I5161,nEVAL,"OR")=0))</f>
      </c>
      <c r="I5161">
        <f>IF(DATOS!$I5161="","",IFERROR(VLOOKUP(DATOS!$I5161,CONFIG_ASIGNATURAS!$B$2:$J$91,9,FALSE()),""))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IF(DATOS!$A5162="",0,IF(CONFIG_METADATA!$B$4&lt;&gt;"OR+EX",--(DATOS!$G5162=CONFIG_METADATA!$B$4),IF(DATOS!$G5162="EX",1,IF(DATOS!$G5162="OR",--(COUNTIFS(nNIA,DATOS!$A5162,nCURSO,DATOS!$D5162,nESPEC,DATOS!$E5162,nASIG,DATOS!$I5162,nEVAL,"EX")=0),0))))</f>
      </c>
      <c r="H5162">
        <f>IF(DATOS!$G5162&lt;&gt;"EX",0,--(COUNTIFS(nNIA,DATOS!$A5162,nCURSO,DATOS!$D5162,nESPEC,DATOS!$E5162,nASIG,DATOS!$I5162,nEVAL,"OR")=0))</f>
      </c>
      <c r="I5162">
        <f>IF(DATOS!$I5162="","",IFERROR(VLOOKUP(DATOS!$I5162,CONFIG_ASIGNATURAS!$B$2:$J$91,9,FALSE()),""))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IF(DATOS!$A5163="",0,IF(CONFIG_METADATA!$B$4&lt;&gt;"OR+EX",--(DATOS!$G5163=CONFIG_METADATA!$B$4),IF(DATOS!$G5163="EX",1,IF(DATOS!$G5163="OR",--(COUNTIFS(nNIA,DATOS!$A5163,nCURSO,DATOS!$D5163,nESPEC,DATOS!$E5163,nASIG,DATOS!$I5163,nEVAL,"EX")=0),0))))</f>
      </c>
      <c r="H5163">
        <f>IF(DATOS!$G5163&lt;&gt;"EX",0,--(COUNTIFS(nNIA,DATOS!$A5163,nCURSO,DATOS!$D5163,nESPEC,DATOS!$E5163,nASIG,DATOS!$I5163,nEVAL,"OR")=0))</f>
      </c>
      <c r="I5163">
        <f>IF(DATOS!$I5163="","",IFERROR(VLOOKUP(DATOS!$I5163,CONFIG_ASIGNATURAS!$B$2:$J$91,9,FALSE()),""))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IF(DATOS!$A5164="",0,IF(CONFIG_METADATA!$B$4&lt;&gt;"OR+EX",--(DATOS!$G5164=CONFIG_METADATA!$B$4),IF(DATOS!$G5164="EX",1,IF(DATOS!$G5164="OR",--(COUNTIFS(nNIA,DATOS!$A5164,nCURSO,DATOS!$D5164,nESPEC,DATOS!$E5164,nASIG,DATOS!$I5164,nEVAL,"EX")=0),0))))</f>
      </c>
      <c r="H5164">
        <f>IF(DATOS!$G5164&lt;&gt;"EX",0,--(COUNTIFS(nNIA,DATOS!$A5164,nCURSO,DATOS!$D5164,nESPEC,DATOS!$E5164,nASIG,DATOS!$I5164,nEVAL,"OR")=0))</f>
      </c>
      <c r="I5164">
        <f>IF(DATOS!$I5164="","",IFERROR(VLOOKUP(DATOS!$I5164,CONFIG_ASIGNATURAS!$B$2:$J$91,9,FALSE()),""))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IF(DATOS!$A5165="",0,IF(CONFIG_METADATA!$B$4&lt;&gt;"OR+EX",--(DATOS!$G5165=CONFIG_METADATA!$B$4),IF(DATOS!$G5165="EX",1,IF(DATOS!$G5165="OR",--(COUNTIFS(nNIA,DATOS!$A5165,nCURSO,DATOS!$D5165,nESPEC,DATOS!$E5165,nASIG,DATOS!$I5165,nEVAL,"EX")=0),0))))</f>
      </c>
      <c r="H5165">
        <f>IF(DATOS!$G5165&lt;&gt;"EX",0,--(COUNTIFS(nNIA,DATOS!$A5165,nCURSO,DATOS!$D5165,nESPEC,DATOS!$E5165,nASIG,DATOS!$I5165,nEVAL,"OR")=0))</f>
      </c>
      <c r="I5165">
        <f>IF(DATOS!$I5165="","",IFERROR(VLOOKUP(DATOS!$I5165,CONFIG_ASIGNATURAS!$B$2:$J$91,9,FALSE()),""))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IF(DATOS!$A5166="",0,IF(CONFIG_METADATA!$B$4&lt;&gt;"OR+EX",--(DATOS!$G5166=CONFIG_METADATA!$B$4),IF(DATOS!$G5166="EX",1,IF(DATOS!$G5166="OR",--(COUNTIFS(nNIA,DATOS!$A5166,nCURSO,DATOS!$D5166,nESPEC,DATOS!$E5166,nASIG,DATOS!$I5166,nEVAL,"EX")=0),0))))</f>
      </c>
      <c r="H5166">
        <f>IF(DATOS!$G5166&lt;&gt;"EX",0,--(COUNTIFS(nNIA,DATOS!$A5166,nCURSO,DATOS!$D5166,nESPEC,DATOS!$E5166,nASIG,DATOS!$I5166,nEVAL,"OR")=0))</f>
      </c>
      <c r="I5166">
        <f>IF(DATOS!$I5166="","",IFERROR(VLOOKUP(DATOS!$I5166,CONFIG_ASIGNATURAS!$B$2:$J$91,9,FALSE()),""))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IF(DATOS!$A5167="",0,IF(CONFIG_METADATA!$B$4&lt;&gt;"OR+EX",--(DATOS!$G5167=CONFIG_METADATA!$B$4),IF(DATOS!$G5167="EX",1,IF(DATOS!$G5167="OR",--(COUNTIFS(nNIA,DATOS!$A5167,nCURSO,DATOS!$D5167,nESPEC,DATOS!$E5167,nASIG,DATOS!$I5167,nEVAL,"EX")=0),0))))</f>
      </c>
      <c r="H5167">
        <f>IF(DATOS!$G5167&lt;&gt;"EX",0,--(COUNTIFS(nNIA,DATOS!$A5167,nCURSO,DATOS!$D5167,nESPEC,DATOS!$E5167,nASIG,DATOS!$I5167,nEVAL,"OR")=0))</f>
      </c>
      <c r="I5167">
        <f>IF(DATOS!$I5167="","",IFERROR(VLOOKUP(DATOS!$I5167,CONFIG_ASIGNATURAS!$B$2:$J$91,9,FALSE()),""))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IF(DATOS!$A5168="",0,IF(CONFIG_METADATA!$B$4&lt;&gt;"OR+EX",--(DATOS!$G5168=CONFIG_METADATA!$B$4),IF(DATOS!$G5168="EX",1,IF(DATOS!$G5168="OR",--(COUNTIFS(nNIA,DATOS!$A5168,nCURSO,DATOS!$D5168,nESPEC,DATOS!$E5168,nASIG,DATOS!$I5168,nEVAL,"EX")=0),0))))</f>
      </c>
      <c r="H5168">
        <f>IF(DATOS!$G5168&lt;&gt;"EX",0,--(COUNTIFS(nNIA,DATOS!$A5168,nCURSO,DATOS!$D5168,nESPEC,DATOS!$E5168,nASIG,DATOS!$I5168,nEVAL,"OR")=0))</f>
      </c>
      <c r="I5168">
        <f>IF(DATOS!$I5168="","",IFERROR(VLOOKUP(DATOS!$I5168,CONFIG_ASIGNATURAS!$B$2:$J$91,9,FALSE()),""))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IF(DATOS!$A5169="",0,IF(CONFIG_METADATA!$B$4&lt;&gt;"OR+EX",--(DATOS!$G5169=CONFIG_METADATA!$B$4),IF(DATOS!$G5169="EX",1,IF(DATOS!$G5169="OR",--(COUNTIFS(nNIA,DATOS!$A5169,nCURSO,DATOS!$D5169,nESPEC,DATOS!$E5169,nASIG,DATOS!$I5169,nEVAL,"EX")=0),0))))</f>
      </c>
      <c r="H5169">
        <f>IF(DATOS!$G5169&lt;&gt;"EX",0,--(COUNTIFS(nNIA,DATOS!$A5169,nCURSO,DATOS!$D5169,nESPEC,DATOS!$E5169,nASIG,DATOS!$I5169,nEVAL,"OR")=0))</f>
      </c>
      <c r="I5169">
        <f>IF(DATOS!$I5169="","",IFERROR(VLOOKUP(DATOS!$I5169,CONFIG_ASIGNATURAS!$B$2:$J$91,9,FALSE()),""))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IF(DATOS!$A5170="",0,IF(CONFIG_METADATA!$B$4&lt;&gt;"OR+EX",--(DATOS!$G5170=CONFIG_METADATA!$B$4),IF(DATOS!$G5170="EX",1,IF(DATOS!$G5170="OR",--(COUNTIFS(nNIA,DATOS!$A5170,nCURSO,DATOS!$D5170,nESPEC,DATOS!$E5170,nASIG,DATOS!$I5170,nEVAL,"EX")=0),0))))</f>
      </c>
      <c r="H5170">
        <f>IF(DATOS!$G5170&lt;&gt;"EX",0,--(COUNTIFS(nNIA,DATOS!$A5170,nCURSO,DATOS!$D5170,nESPEC,DATOS!$E5170,nASIG,DATOS!$I5170,nEVAL,"OR")=0))</f>
      </c>
      <c r="I5170">
        <f>IF(DATOS!$I5170="","",IFERROR(VLOOKUP(DATOS!$I5170,CONFIG_ASIGNATURAS!$B$2:$J$91,9,FALSE()),""))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IF(DATOS!$A5171="",0,IF(CONFIG_METADATA!$B$4&lt;&gt;"OR+EX",--(DATOS!$G5171=CONFIG_METADATA!$B$4),IF(DATOS!$G5171="EX",1,IF(DATOS!$G5171="OR",--(COUNTIFS(nNIA,DATOS!$A5171,nCURSO,DATOS!$D5171,nESPEC,DATOS!$E5171,nASIG,DATOS!$I5171,nEVAL,"EX")=0),0))))</f>
      </c>
      <c r="H5171">
        <f>IF(DATOS!$G5171&lt;&gt;"EX",0,--(COUNTIFS(nNIA,DATOS!$A5171,nCURSO,DATOS!$D5171,nESPEC,DATOS!$E5171,nASIG,DATOS!$I5171,nEVAL,"OR")=0))</f>
      </c>
      <c r="I5171">
        <f>IF(DATOS!$I5171="","",IFERROR(VLOOKUP(DATOS!$I5171,CONFIG_ASIGNATURAS!$B$2:$J$91,9,FALSE()),""))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IF(DATOS!$A5172="",0,IF(CONFIG_METADATA!$B$4&lt;&gt;"OR+EX",--(DATOS!$G5172=CONFIG_METADATA!$B$4),IF(DATOS!$G5172="EX",1,IF(DATOS!$G5172="OR",--(COUNTIFS(nNIA,DATOS!$A5172,nCURSO,DATOS!$D5172,nESPEC,DATOS!$E5172,nASIG,DATOS!$I5172,nEVAL,"EX")=0),0))))</f>
      </c>
      <c r="H5172">
        <f>IF(DATOS!$G5172&lt;&gt;"EX",0,--(COUNTIFS(nNIA,DATOS!$A5172,nCURSO,DATOS!$D5172,nESPEC,DATOS!$E5172,nASIG,DATOS!$I5172,nEVAL,"OR")=0))</f>
      </c>
      <c r="I5172">
        <f>IF(DATOS!$I5172="","",IFERROR(VLOOKUP(DATOS!$I5172,CONFIG_ASIGNATURAS!$B$2:$J$91,9,FALSE()),""))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IF(DATOS!$A5173="",0,IF(CONFIG_METADATA!$B$4&lt;&gt;"OR+EX",--(DATOS!$G5173=CONFIG_METADATA!$B$4),IF(DATOS!$G5173="EX",1,IF(DATOS!$G5173="OR",--(COUNTIFS(nNIA,DATOS!$A5173,nCURSO,DATOS!$D5173,nESPEC,DATOS!$E5173,nASIG,DATOS!$I5173,nEVAL,"EX")=0),0))))</f>
      </c>
      <c r="H5173">
        <f>IF(DATOS!$G5173&lt;&gt;"EX",0,--(COUNTIFS(nNIA,DATOS!$A5173,nCURSO,DATOS!$D5173,nESPEC,DATOS!$E5173,nASIG,DATOS!$I5173,nEVAL,"OR")=0))</f>
      </c>
      <c r="I5173">
        <f>IF(DATOS!$I5173="","",IFERROR(VLOOKUP(DATOS!$I5173,CONFIG_ASIGNATURAS!$B$2:$J$91,9,FALSE()),""))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IF(DATOS!$A5174="",0,IF(CONFIG_METADATA!$B$4&lt;&gt;"OR+EX",--(DATOS!$G5174=CONFIG_METADATA!$B$4),IF(DATOS!$G5174="EX",1,IF(DATOS!$G5174="OR",--(COUNTIFS(nNIA,DATOS!$A5174,nCURSO,DATOS!$D5174,nESPEC,DATOS!$E5174,nASIG,DATOS!$I5174,nEVAL,"EX")=0),0))))</f>
      </c>
      <c r="H5174">
        <f>IF(DATOS!$G5174&lt;&gt;"EX",0,--(COUNTIFS(nNIA,DATOS!$A5174,nCURSO,DATOS!$D5174,nESPEC,DATOS!$E5174,nASIG,DATOS!$I5174,nEVAL,"OR")=0))</f>
      </c>
      <c r="I5174">
        <f>IF(DATOS!$I5174="","",IFERROR(VLOOKUP(DATOS!$I5174,CONFIG_ASIGNATURAS!$B$2:$J$91,9,FALSE()),""))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IF(DATOS!$A5175="",0,IF(CONFIG_METADATA!$B$4&lt;&gt;"OR+EX",--(DATOS!$G5175=CONFIG_METADATA!$B$4),IF(DATOS!$G5175="EX",1,IF(DATOS!$G5175="OR",--(COUNTIFS(nNIA,DATOS!$A5175,nCURSO,DATOS!$D5175,nESPEC,DATOS!$E5175,nASIG,DATOS!$I5175,nEVAL,"EX")=0),0))))</f>
      </c>
      <c r="H5175">
        <f>IF(DATOS!$G5175&lt;&gt;"EX",0,--(COUNTIFS(nNIA,DATOS!$A5175,nCURSO,DATOS!$D5175,nESPEC,DATOS!$E5175,nASIG,DATOS!$I5175,nEVAL,"OR")=0))</f>
      </c>
      <c r="I5175">
        <f>IF(DATOS!$I5175="","",IFERROR(VLOOKUP(DATOS!$I5175,CONFIG_ASIGNATURAS!$B$2:$J$91,9,FALSE()),""))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IF(DATOS!$A5176="",0,IF(CONFIG_METADATA!$B$4&lt;&gt;"OR+EX",--(DATOS!$G5176=CONFIG_METADATA!$B$4),IF(DATOS!$G5176="EX",1,IF(DATOS!$G5176="OR",--(COUNTIFS(nNIA,DATOS!$A5176,nCURSO,DATOS!$D5176,nESPEC,DATOS!$E5176,nASIG,DATOS!$I5176,nEVAL,"EX")=0),0))))</f>
      </c>
      <c r="H5176">
        <f>IF(DATOS!$G5176&lt;&gt;"EX",0,--(COUNTIFS(nNIA,DATOS!$A5176,nCURSO,DATOS!$D5176,nESPEC,DATOS!$E5176,nASIG,DATOS!$I5176,nEVAL,"OR")=0))</f>
      </c>
      <c r="I5176">
        <f>IF(DATOS!$I5176="","",IFERROR(VLOOKUP(DATOS!$I5176,CONFIG_ASIGNATURAS!$B$2:$J$91,9,FALSE()),""))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IF(DATOS!$A5177="",0,IF(CONFIG_METADATA!$B$4&lt;&gt;"OR+EX",--(DATOS!$G5177=CONFIG_METADATA!$B$4),IF(DATOS!$G5177="EX",1,IF(DATOS!$G5177="OR",--(COUNTIFS(nNIA,DATOS!$A5177,nCURSO,DATOS!$D5177,nESPEC,DATOS!$E5177,nASIG,DATOS!$I5177,nEVAL,"EX")=0),0))))</f>
      </c>
      <c r="H5177">
        <f>IF(DATOS!$G5177&lt;&gt;"EX",0,--(COUNTIFS(nNIA,DATOS!$A5177,nCURSO,DATOS!$D5177,nESPEC,DATOS!$E5177,nASIG,DATOS!$I5177,nEVAL,"OR")=0))</f>
      </c>
      <c r="I5177">
        <f>IF(DATOS!$I5177="","",IFERROR(VLOOKUP(DATOS!$I5177,CONFIG_ASIGNATURAS!$B$2:$J$91,9,FALSE()),""))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IF(DATOS!$A5178="",0,IF(CONFIG_METADATA!$B$4&lt;&gt;"OR+EX",--(DATOS!$G5178=CONFIG_METADATA!$B$4),IF(DATOS!$G5178="EX",1,IF(DATOS!$G5178="OR",--(COUNTIFS(nNIA,DATOS!$A5178,nCURSO,DATOS!$D5178,nESPEC,DATOS!$E5178,nASIG,DATOS!$I5178,nEVAL,"EX")=0),0))))</f>
      </c>
      <c r="H5178">
        <f>IF(DATOS!$G5178&lt;&gt;"EX",0,--(COUNTIFS(nNIA,DATOS!$A5178,nCURSO,DATOS!$D5178,nESPEC,DATOS!$E5178,nASIG,DATOS!$I5178,nEVAL,"OR")=0))</f>
      </c>
      <c r="I5178">
        <f>IF(DATOS!$I5178="","",IFERROR(VLOOKUP(DATOS!$I5178,CONFIG_ASIGNATURAS!$B$2:$J$91,9,FALSE()),""))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IF(DATOS!$A5179="",0,IF(CONFIG_METADATA!$B$4&lt;&gt;"OR+EX",--(DATOS!$G5179=CONFIG_METADATA!$B$4),IF(DATOS!$G5179="EX",1,IF(DATOS!$G5179="OR",--(COUNTIFS(nNIA,DATOS!$A5179,nCURSO,DATOS!$D5179,nESPEC,DATOS!$E5179,nASIG,DATOS!$I5179,nEVAL,"EX")=0),0))))</f>
      </c>
      <c r="H5179">
        <f>IF(DATOS!$G5179&lt;&gt;"EX",0,--(COUNTIFS(nNIA,DATOS!$A5179,nCURSO,DATOS!$D5179,nESPEC,DATOS!$E5179,nASIG,DATOS!$I5179,nEVAL,"OR")=0))</f>
      </c>
      <c r="I5179">
        <f>IF(DATOS!$I5179="","",IFERROR(VLOOKUP(DATOS!$I5179,CONFIG_ASIGNATURAS!$B$2:$J$91,9,FALSE()),""))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IF(DATOS!$A5180="",0,IF(CONFIG_METADATA!$B$4&lt;&gt;"OR+EX",--(DATOS!$G5180=CONFIG_METADATA!$B$4),IF(DATOS!$G5180="EX",1,IF(DATOS!$G5180="OR",--(COUNTIFS(nNIA,DATOS!$A5180,nCURSO,DATOS!$D5180,nESPEC,DATOS!$E5180,nASIG,DATOS!$I5180,nEVAL,"EX")=0),0))))</f>
      </c>
      <c r="H5180">
        <f>IF(DATOS!$G5180&lt;&gt;"EX",0,--(COUNTIFS(nNIA,DATOS!$A5180,nCURSO,DATOS!$D5180,nESPEC,DATOS!$E5180,nASIG,DATOS!$I5180,nEVAL,"OR")=0))</f>
      </c>
      <c r="I5180">
        <f>IF(DATOS!$I5180="","",IFERROR(VLOOKUP(DATOS!$I5180,CONFIG_ASIGNATURAS!$B$2:$J$91,9,FALSE()),""))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IF(DATOS!$A5181="",0,IF(CONFIG_METADATA!$B$4&lt;&gt;"OR+EX",--(DATOS!$G5181=CONFIG_METADATA!$B$4),IF(DATOS!$G5181="EX",1,IF(DATOS!$G5181="OR",--(COUNTIFS(nNIA,DATOS!$A5181,nCURSO,DATOS!$D5181,nESPEC,DATOS!$E5181,nASIG,DATOS!$I5181,nEVAL,"EX")=0),0))))</f>
      </c>
      <c r="H5181">
        <f>IF(DATOS!$G5181&lt;&gt;"EX",0,--(COUNTIFS(nNIA,DATOS!$A5181,nCURSO,DATOS!$D5181,nESPEC,DATOS!$E5181,nASIG,DATOS!$I5181,nEVAL,"OR")=0))</f>
      </c>
      <c r="I5181">
        <f>IF(DATOS!$I5181="","",IFERROR(VLOOKUP(DATOS!$I5181,CONFIG_ASIGNATURAS!$B$2:$J$91,9,FALSE()),""))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IF(DATOS!$A5182="",0,IF(CONFIG_METADATA!$B$4&lt;&gt;"OR+EX",--(DATOS!$G5182=CONFIG_METADATA!$B$4),IF(DATOS!$G5182="EX",1,IF(DATOS!$G5182="OR",--(COUNTIFS(nNIA,DATOS!$A5182,nCURSO,DATOS!$D5182,nESPEC,DATOS!$E5182,nASIG,DATOS!$I5182,nEVAL,"EX")=0),0))))</f>
      </c>
      <c r="H5182">
        <f>IF(DATOS!$G5182&lt;&gt;"EX",0,--(COUNTIFS(nNIA,DATOS!$A5182,nCURSO,DATOS!$D5182,nESPEC,DATOS!$E5182,nASIG,DATOS!$I5182,nEVAL,"OR")=0))</f>
      </c>
      <c r="I5182">
        <f>IF(DATOS!$I5182="","",IFERROR(VLOOKUP(DATOS!$I5182,CONFIG_ASIGNATURAS!$B$2:$J$91,9,FALSE()),""))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IF(DATOS!$A5183="",0,IF(CONFIG_METADATA!$B$4&lt;&gt;"OR+EX",--(DATOS!$G5183=CONFIG_METADATA!$B$4),IF(DATOS!$G5183="EX",1,IF(DATOS!$G5183="OR",--(COUNTIFS(nNIA,DATOS!$A5183,nCURSO,DATOS!$D5183,nESPEC,DATOS!$E5183,nASIG,DATOS!$I5183,nEVAL,"EX")=0),0))))</f>
      </c>
      <c r="H5183">
        <f>IF(DATOS!$G5183&lt;&gt;"EX",0,--(COUNTIFS(nNIA,DATOS!$A5183,nCURSO,DATOS!$D5183,nESPEC,DATOS!$E5183,nASIG,DATOS!$I5183,nEVAL,"OR")=0))</f>
      </c>
      <c r="I5183">
        <f>IF(DATOS!$I5183="","",IFERROR(VLOOKUP(DATOS!$I5183,CONFIG_ASIGNATURAS!$B$2:$J$91,9,FALSE()),""))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IF(DATOS!$A5184="",0,IF(CONFIG_METADATA!$B$4&lt;&gt;"OR+EX",--(DATOS!$G5184=CONFIG_METADATA!$B$4),IF(DATOS!$G5184="EX",1,IF(DATOS!$G5184="OR",--(COUNTIFS(nNIA,DATOS!$A5184,nCURSO,DATOS!$D5184,nESPEC,DATOS!$E5184,nASIG,DATOS!$I5184,nEVAL,"EX")=0),0))))</f>
      </c>
      <c r="H5184">
        <f>IF(DATOS!$G5184&lt;&gt;"EX",0,--(COUNTIFS(nNIA,DATOS!$A5184,nCURSO,DATOS!$D5184,nESPEC,DATOS!$E5184,nASIG,DATOS!$I5184,nEVAL,"OR")=0))</f>
      </c>
      <c r="I5184">
        <f>IF(DATOS!$I5184="","",IFERROR(VLOOKUP(DATOS!$I5184,CONFIG_ASIGNATURAS!$B$2:$J$91,9,FALSE()),""))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IF(DATOS!$A5185="",0,IF(CONFIG_METADATA!$B$4&lt;&gt;"OR+EX",--(DATOS!$G5185=CONFIG_METADATA!$B$4),IF(DATOS!$G5185="EX",1,IF(DATOS!$G5185="OR",--(COUNTIFS(nNIA,DATOS!$A5185,nCURSO,DATOS!$D5185,nESPEC,DATOS!$E5185,nASIG,DATOS!$I5185,nEVAL,"EX")=0),0))))</f>
      </c>
      <c r="H5185">
        <f>IF(DATOS!$G5185&lt;&gt;"EX",0,--(COUNTIFS(nNIA,DATOS!$A5185,nCURSO,DATOS!$D5185,nESPEC,DATOS!$E5185,nASIG,DATOS!$I5185,nEVAL,"OR")=0))</f>
      </c>
      <c r="I5185">
        <f>IF(DATOS!$I5185="","",IFERROR(VLOOKUP(DATOS!$I5185,CONFIG_ASIGNATURAS!$B$2:$J$91,9,FALSE()),""))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IF(DATOS!$A5186="",0,IF(CONFIG_METADATA!$B$4&lt;&gt;"OR+EX",--(DATOS!$G5186=CONFIG_METADATA!$B$4),IF(DATOS!$G5186="EX",1,IF(DATOS!$G5186="OR",--(COUNTIFS(nNIA,DATOS!$A5186,nCURSO,DATOS!$D5186,nESPEC,DATOS!$E5186,nASIG,DATOS!$I5186,nEVAL,"EX")=0),0))))</f>
      </c>
      <c r="H5186">
        <f>IF(DATOS!$G5186&lt;&gt;"EX",0,--(COUNTIFS(nNIA,DATOS!$A5186,nCURSO,DATOS!$D5186,nESPEC,DATOS!$E5186,nASIG,DATOS!$I5186,nEVAL,"OR")=0))</f>
      </c>
      <c r="I5186">
        <f>IF(DATOS!$I5186="","",IFERROR(VLOOKUP(DATOS!$I5186,CONFIG_ASIGNATURAS!$B$2:$J$91,9,FALSE()),""))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IF(DATOS!$A5187="",0,IF(CONFIG_METADATA!$B$4&lt;&gt;"OR+EX",--(DATOS!$G5187=CONFIG_METADATA!$B$4),IF(DATOS!$G5187="EX",1,IF(DATOS!$G5187="OR",--(COUNTIFS(nNIA,DATOS!$A5187,nCURSO,DATOS!$D5187,nESPEC,DATOS!$E5187,nASIG,DATOS!$I5187,nEVAL,"EX")=0),0))))</f>
      </c>
      <c r="H5187">
        <f>IF(DATOS!$G5187&lt;&gt;"EX",0,--(COUNTIFS(nNIA,DATOS!$A5187,nCURSO,DATOS!$D5187,nESPEC,DATOS!$E5187,nASIG,DATOS!$I5187,nEVAL,"OR")=0))</f>
      </c>
      <c r="I5187">
        <f>IF(DATOS!$I5187="","",IFERROR(VLOOKUP(DATOS!$I5187,CONFIG_ASIGNATURAS!$B$2:$J$91,9,FALSE()),""))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IF(DATOS!$A5188="",0,IF(CONFIG_METADATA!$B$4&lt;&gt;"OR+EX",--(DATOS!$G5188=CONFIG_METADATA!$B$4),IF(DATOS!$G5188="EX",1,IF(DATOS!$G5188="OR",--(COUNTIFS(nNIA,DATOS!$A5188,nCURSO,DATOS!$D5188,nESPEC,DATOS!$E5188,nASIG,DATOS!$I5188,nEVAL,"EX")=0),0))))</f>
      </c>
      <c r="H5188">
        <f>IF(DATOS!$G5188&lt;&gt;"EX",0,--(COUNTIFS(nNIA,DATOS!$A5188,nCURSO,DATOS!$D5188,nESPEC,DATOS!$E5188,nASIG,DATOS!$I5188,nEVAL,"OR")=0))</f>
      </c>
      <c r="I5188">
        <f>IF(DATOS!$I5188="","",IFERROR(VLOOKUP(DATOS!$I5188,CONFIG_ASIGNATURAS!$B$2:$J$91,9,FALSE()),""))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IF(DATOS!$A5189="",0,IF(CONFIG_METADATA!$B$4&lt;&gt;"OR+EX",--(DATOS!$G5189=CONFIG_METADATA!$B$4),IF(DATOS!$G5189="EX",1,IF(DATOS!$G5189="OR",--(COUNTIFS(nNIA,DATOS!$A5189,nCURSO,DATOS!$D5189,nESPEC,DATOS!$E5189,nASIG,DATOS!$I5189,nEVAL,"EX")=0),0))))</f>
      </c>
      <c r="H5189">
        <f>IF(DATOS!$G5189&lt;&gt;"EX",0,--(COUNTIFS(nNIA,DATOS!$A5189,nCURSO,DATOS!$D5189,nESPEC,DATOS!$E5189,nASIG,DATOS!$I5189,nEVAL,"OR")=0))</f>
      </c>
      <c r="I5189">
        <f>IF(DATOS!$I5189="","",IFERROR(VLOOKUP(DATOS!$I5189,CONFIG_ASIGNATURAS!$B$2:$J$91,9,FALSE()),""))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IF(DATOS!$A5190="",0,IF(CONFIG_METADATA!$B$4&lt;&gt;"OR+EX",--(DATOS!$G5190=CONFIG_METADATA!$B$4),IF(DATOS!$G5190="EX",1,IF(DATOS!$G5190="OR",--(COUNTIFS(nNIA,DATOS!$A5190,nCURSO,DATOS!$D5190,nESPEC,DATOS!$E5190,nASIG,DATOS!$I5190,nEVAL,"EX")=0),0))))</f>
      </c>
      <c r="H5190">
        <f>IF(DATOS!$G5190&lt;&gt;"EX",0,--(COUNTIFS(nNIA,DATOS!$A5190,nCURSO,DATOS!$D5190,nESPEC,DATOS!$E5190,nASIG,DATOS!$I5190,nEVAL,"OR")=0))</f>
      </c>
      <c r="I5190">
        <f>IF(DATOS!$I5190="","",IFERROR(VLOOKUP(DATOS!$I5190,CONFIG_ASIGNATURAS!$B$2:$J$91,9,FALSE()),""))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IF(DATOS!$A5191="",0,IF(CONFIG_METADATA!$B$4&lt;&gt;"OR+EX",--(DATOS!$G5191=CONFIG_METADATA!$B$4),IF(DATOS!$G5191="EX",1,IF(DATOS!$G5191="OR",--(COUNTIFS(nNIA,DATOS!$A5191,nCURSO,DATOS!$D5191,nESPEC,DATOS!$E5191,nASIG,DATOS!$I5191,nEVAL,"EX")=0),0))))</f>
      </c>
      <c r="H5191">
        <f>IF(DATOS!$G5191&lt;&gt;"EX",0,--(COUNTIFS(nNIA,DATOS!$A5191,nCURSO,DATOS!$D5191,nESPEC,DATOS!$E5191,nASIG,DATOS!$I5191,nEVAL,"OR")=0))</f>
      </c>
      <c r="I5191">
        <f>IF(DATOS!$I5191="","",IFERROR(VLOOKUP(DATOS!$I5191,CONFIG_ASIGNATURAS!$B$2:$J$91,9,FALSE()),""))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IF(DATOS!$A5192="",0,IF(CONFIG_METADATA!$B$4&lt;&gt;"OR+EX",--(DATOS!$G5192=CONFIG_METADATA!$B$4),IF(DATOS!$G5192="EX",1,IF(DATOS!$G5192="OR",--(COUNTIFS(nNIA,DATOS!$A5192,nCURSO,DATOS!$D5192,nESPEC,DATOS!$E5192,nASIG,DATOS!$I5192,nEVAL,"EX")=0),0))))</f>
      </c>
      <c r="H5192">
        <f>IF(DATOS!$G5192&lt;&gt;"EX",0,--(COUNTIFS(nNIA,DATOS!$A5192,nCURSO,DATOS!$D5192,nESPEC,DATOS!$E5192,nASIG,DATOS!$I5192,nEVAL,"OR")=0))</f>
      </c>
      <c r="I5192">
        <f>IF(DATOS!$I5192="","",IFERROR(VLOOKUP(DATOS!$I5192,CONFIG_ASIGNATURAS!$B$2:$J$91,9,FALSE()),""))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IF(DATOS!$A5193="",0,IF(CONFIG_METADATA!$B$4&lt;&gt;"OR+EX",--(DATOS!$G5193=CONFIG_METADATA!$B$4),IF(DATOS!$G5193="EX",1,IF(DATOS!$G5193="OR",--(COUNTIFS(nNIA,DATOS!$A5193,nCURSO,DATOS!$D5193,nESPEC,DATOS!$E5193,nASIG,DATOS!$I5193,nEVAL,"EX")=0),0))))</f>
      </c>
      <c r="H5193">
        <f>IF(DATOS!$G5193&lt;&gt;"EX",0,--(COUNTIFS(nNIA,DATOS!$A5193,nCURSO,DATOS!$D5193,nESPEC,DATOS!$E5193,nASIG,DATOS!$I5193,nEVAL,"OR")=0))</f>
      </c>
      <c r="I5193">
        <f>IF(DATOS!$I5193="","",IFERROR(VLOOKUP(DATOS!$I5193,CONFIG_ASIGNATURAS!$B$2:$J$91,9,FALSE()),""))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IF(DATOS!$A5194="",0,IF(CONFIG_METADATA!$B$4&lt;&gt;"OR+EX",--(DATOS!$G5194=CONFIG_METADATA!$B$4),IF(DATOS!$G5194="EX",1,IF(DATOS!$G5194="OR",--(COUNTIFS(nNIA,DATOS!$A5194,nCURSO,DATOS!$D5194,nESPEC,DATOS!$E5194,nASIG,DATOS!$I5194,nEVAL,"EX")=0),0))))</f>
      </c>
      <c r="H5194">
        <f>IF(DATOS!$G5194&lt;&gt;"EX",0,--(COUNTIFS(nNIA,DATOS!$A5194,nCURSO,DATOS!$D5194,nESPEC,DATOS!$E5194,nASIG,DATOS!$I5194,nEVAL,"OR")=0))</f>
      </c>
      <c r="I5194">
        <f>IF(DATOS!$I5194="","",IFERROR(VLOOKUP(DATOS!$I5194,CONFIG_ASIGNATURAS!$B$2:$J$91,9,FALSE()),""))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IF(DATOS!$A5195="",0,IF(CONFIG_METADATA!$B$4&lt;&gt;"OR+EX",--(DATOS!$G5195=CONFIG_METADATA!$B$4),IF(DATOS!$G5195="EX",1,IF(DATOS!$G5195="OR",--(COUNTIFS(nNIA,DATOS!$A5195,nCURSO,DATOS!$D5195,nESPEC,DATOS!$E5195,nASIG,DATOS!$I5195,nEVAL,"EX")=0),0))))</f>
      </c>
      <c r="H5195">
        <f>IF(DATOS!$G5195&lt;&gt;"EX",0,--(COUNTIFS(nNIA,DATOS!$A5195,nCURSO,DATOS!$D5195,nESPEC,DATOS!$E5195,nASIG,DATOS!$I5195,nEVAL,"OR")=0))</f>
      </c>
      <c r="I5195">
        <f>IF(DATOS!$I5195="","",IFERROR(VLOOKUP(DATOS!$I5195,CONFIG_ASIGNATURAS!$B$2:$J$91,9,FALSE()),""))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IF(DATOS!$A5196="",0,IF(CONFIG_METADATA!$B$4&lt;&gt;"OR+EX",--(DATOS!$G5196=CONFIG_METADATA!$B$4),IF(DATOS!$G5196="EX",1,IF(DATOS!$G5196="OR",--(COUNTIFS(nNIA,DATOS!$A5196,nCURSO,DATOS!$D5196,nESPEC,DATOS!$E5196,nASIG,DATOS!$I5196,nEVAL,"EX")=0),0))))</f>
      </c>
      <c r="H5196">
        <f>IF(DATOS!$G5196&lt;&gt;"EX",0,--(COUNTIFS(nNIA,DATOS!$A5196,nCURSO,DATOS!$D5196,nESPEC,DATOS!$E5196,nASIG,DATOS!$I5196,nEVAL,"OR")=0))</f>
      </c>
      <c r="I5196">
        <f>IF(DATOS!$I5196="","",IFERROR(VLOOKUP(DATOS!$I5196,CONFIG_ASIGNATURAS!$B$2:$J$91,9,FALSE()),""))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IF(DATOS!$A5197="",0,IF(CONFIG_METADATA!$B$4&lt;&gt;"OR+EX",--(DATOS!$G5197=CONFIG_METADATA!$B$4),IF(DATOS!$G5197="EX",1,IF(DATOS!$G5197="OR",--(COUNTIFS(nNIA,DATOS!$A5197,nCURSO,DATOS!$D5197,nESPEC,DATOS!$E5197,nASIG,DATOS!$I5197,nEVAL,"EX")=0),0))))</f>
      </c>
      <c r="H5197">
        <f>IF(DATOS!$G5197&lt;&gt;"EX",0,--(COUNTIFS(nNIA,DATOS!$A5197,nCURSO,DATOS!$D5197,nESPEC,DATOS!$E5197,nASIG,DATOS!$I5197,nEVAL,"OR")=0))</f>
      </c>
      <c r="I5197">
        <f>IF(DATOS!$I5197="","",IFERROR(VLOOKUP(DATOS!$I5197,CONFIG_ASIGNATURAS!$B$2:$J$91,9,FALSE()),""))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IF(DATOS!$A5198="",0,IF(CONFIG_METADATA!$B$4&lt;&gt;"OR+EX",--(DATOS!$G5198=CONFIG_METADATA!$B$4),IF(DATOS!$G5198="EX",1,IF(DATOS!$G5198="OR",--(COUNTIFS(nNIA,DATOS!$A5198,nCURSO,DATOS!$D5198,nESPEC,DATOS!$E5198,nASIG,DATOS!$I5198,nEVAL,"EX")=0),0))))</f>
      </c>
      <c r="H5198">
        <f>IF(DATOS!$G5198&lt;&gt;"EX",0,--(COUNTIFS(nNIA,DATOS!$A5198,nCURSO,DATOS!$D5198,nESPEC,DATOS!$E5198,nASIG,DATOS!$I5198,nEVAL,"OR")=0))</f>
      </c>
      <c r="I5198">
        <f>IF(DATOS!$I5198="","",IFERROR(VLOOKUP(DATOS!$I5198,CONFIG_ASIGNATURAS!$B$2:$J$91,9,FALSE()),""))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IF(DATOS!$A5199="",0,IF(CONFIG_METADATA!$B$4&lt;&gt;"OR+EX",--(DATOS!$G5199=CONFIG_METADATA!$B$4),IF(DATOS!$G5199="EX",1,IF(DATOS!$G5199="OR",--(COUNTIFS(nNIA,DATOS!$A5199,nCURSO,DATOS!$D5199,nESPEC,DATOS!$E5199,nASIG,DATOS!$I5199,nEVAL,"EX")=0),0))))</f>
      </c>
      <c r="H5199">
        <f>IF(DATOS!$G5199&lt;&gt;"EX",0,--(COUNTIFS(nNIA,DATOS!$A5199,nCURSO,DATOS!$D5199,nESPEC,DATOS!$E5199,nASIG,DATOS!$I5199,nEVAL,"OR")=0))</f>
      </c>
      <c r="I5199">
        <f>IF(DATOS!$I5199="","",IFERROR(VLOOKUP(DATOS!$I5199,CONFIG_ASIGNATURAS!$B$2:$J$91,9,FALSE()),""))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IF(DATOS!$A5200="",0,IF(CONFIG_METADATA!$B$4&lt;&gt;"OR+EX",--(DATOS!$G5200=CONFIG_METADATA!$B$4),IF(DATOS!$G5200="EX",1,IF(DATOS!$G5200="OR",--(COUNTIFS(nNIA,DATOS!$A5200,nCURSO,DATOS!$D5200,nESPEC,DATOS!$E5200,nASIG,DATOS!$I5200,nEVAL,"EX")=0),0))))</f>
      </c>
      <c r="H5200">
        <f>IF(DATOS!$G5200&lt;&gt;"EX",0,--(COUNTIFS(nNIA,DATOS!$A5200,nCURSO,DATOS!$D5200,nESPEC,DATOS!$E5200,nASIG,DATOS!$I5200,nEVAL,"OR")=0))</f>
      </c>
      <c r="I5200">
        <f>IF(DATOS!$I5200="","",IFERROR(VLOOKUP(DATOS!$I5200,CONFIG_ASIGNATURAS!$B$2:$J$91,9,FALSE()),""))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IF(DATOS!$A5201="",0,IF(CONFIG_METADATA!$B$4&lt;&gt;"OR+EX",--(DATOS!$G5201=CONFIG_METADATA!$B$4),IF(DATOS!$G5201="EX",1,IF(DATOS!$G5201="OR",--(COUNTIFS(nNIA,DATOS!$A5201,nCURSO,DATOS!$D5201,nESPEC,DATOS!$E5201,nASIG,DATOS!$I5201,nEVAL,"EX")=0),0))))</f>
      </c>
      <c r="H5201">
        <f>IF(DATOS!$G5201&lt;&gt;"EX",0,--(COUNTIFS(nNIA,DATOS!$A5201,nCURSO,DATOS!$D5201,nESPEC,DATOS!$E5201,nASIG,DATOS!$I5201,nEVAL,"OR")=0))</f>
      </c>
      <c r="I5201">
        <f>IF(DATOS!$I5201="","",IFERROR(VLOOKUP(DATOS!$I5201,CONFIG_ASIGNATURAS!$B$2:$J$91,9,FALSE()),""))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IF(DATOS!$A5202="",0,IF(CONFIG_METADATA!$B$4&lt;&gt;"OR+EX",--(DATOS!$G5202=CONFIG_METADATA!$B$4),IF(DATOS!$G5202="EX",1,IF(DATOS!$G5202="OR",--(COUNTIFS(nNIA,DATOS!$A5202,nCURSO,DATOS!$D5202,nESPEC,DATOS!$E5202,nASIG,DATOS!$I5202,nEVAL,"EX")=0),0))))</f>
      </c>
      <c r="H5202">
        <f>IF(DATOS!$G5202&lt;&gt;"EX",0,--(COUNTIFS(nNIA,DATOS!$A5202,nCURSO,DATOS!$D5202,nESPEC,DATOS!$E5202,nASIG,DATOS!$I5202,nEVAL,"OR")=0))</f>
      </c>
      <c r="I5202">
        <f>IF(DATOS!$I5202="","",IFERROR(VLOOKUP(DATOS!$I5202,CONFIG_ASIGNATURAS!$B$2:$J$91,9,FALSE()),""))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IF(DATOS!$A5203="",0,IF(CONFIG_METADATA!$B$4&lt;&gt;"OR+EX",--(DATOS!$G5203=CONFIG_METADATA!$B$4),IF(DATOS!$G5203="EX",1,IF(DATOS!$G5203="OR",--(COUNTIFS(nNIA,DATOS!$A5203,nCURSO,DATOS!$D5203,nESPEC,DATOS!$E5203,nASIG,DATOS!$I5203,nEVAL,"EX")=0),0))))</f>
      </c>
      <c r="H5203">
        <f>IF(DATOS!$G5203&lt;&gt;"EX",0,--(COUNTIFS(nNIA,DATOS!$A5203,nCURSO,DATOS!$D5203,nESPEC,DATOS!$E5203,nASIG,DATOS!$I5203,nEVAL,"OR")=0))</f>
      </c>
      <c r="I5203">
        <f>IF(DATOS!$I5203="","",IFERROR(VLOOKUP(DATOS!$I5203,CONFIG_ASIGNATURAS!$B$2:$J$91,9,FALSE()),""))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IF(DATOS!$A5204="",0,IF(CONFIG_METADATA!$B$4&lt;&gt;"OR+EX",--(DATOS!$G5204=CONFIG_METADATA!$B$4),IF(DATOS!$G5204="EX",1,IF(DATOS!$G5204="OR",--(COUNTIFS(nNIA,DATOS!$A5204,nCURSO,DATOS!$D5204,nESPEC,DATOS!$E5204,nASIG,DATOS!$I5204,nEVAL,"EX")=0),0))))</f>
      </c>
      <c r="H5204">
        <f>IF(DATOS!$G5204&lt;&gt;"EX",0,--(COUNTIFS(nNIA,DATOS!$A5204,nCURSO,DATOS!$D5204,nESPEC,DATOS!$E5204,nASIG,DATOS!$I5204,nEVAL,"OR")=0))</f>
      </c>
      <c r="I5204">
        <f>IF(DATOS!$I5204="","",IFERROR(VLOOKUP(DATOS!$I5204,CONFIG_ASIGNATURAS!$B$2:$J$91,9,FALSE()),""))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IF(DATOS!$A5205="",0,IF(CONFIG_METADATA!$B$4&lt;&gt;"OR+EX",--(DATOS!$G5205=CONFIG_METADATA!$B$4),IF(DATOS!$G5205="EX",1,IF(DATOS!$G5205="OR",--(COUNTIFS(nNIA,DATOS!$A5205,nCURSO,DATOS!$D5205,nESPEC,DATOS!$E5205,nASIG,DATOS!$I5205,nEVAL,"EX")=0),0))))</f>
      </c>
      <c r="H5205">
        <f>IF(DATOS!$G5205&lt;&gt;"EX",0,--(COUNTIFS(nNIA,DATOS!$A5205,nCURSO,DATOS!$D5205,nESPEC,DATOS!$E5205,nASIG,DATOS!$I5205,nEVAL,"OR")=0))</f>
      </c>
      <c r="I5205">
        <f>IF(DATOS!$I5205="","",IFERROR(VLOOKUP(DATOS!$I5205,CONFIG_ASIGNATURAS!$B$2:$J$91,9,FALSE()),""))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IF(DATOS!$A5206="",0,IF(CONFIG_METADATA!$B$4&lt;&gt;"OR+EX",--(DATOS!$G5206=CONFIG_METADATA!$B$4),IF(DATOS!$G5206="EX",1,IF(DATOS!$G5206="OR",--(COUNTIFS(nNIA,DATOS!$A5206,nCURSO,DATOS!$D5206,nESPEC,DATOS!$E5206,nASIG,DATOS!$I5206,nEVAL,"EX")=0),0))))</f>
      </c>
      <c r="H5206">
        <f>IF(DATOS!$G5206&lt;&gt;"EX",0,--(COUNTIFS(nNIA,DATOS!$A5206,nCURSO,DATOS!$D5206,nESPEC,DATOS!$E5206,nASIG,DATOS!$I5206,nEVAL,"OR")=0))</f>
      </c>
      <c r="I5206">
        <f>IF(DATOS!$I5206="","",IFERROR(VLOOKUP(DATOS!$I5206,CONFIG_ASIGNATURAS!$B$2:$J$91,9,FALSE()),""))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IF(DATOS!$A5207="",0,IF(CONFIG_METADATA!$B$4&lt;&gt;"OR+EX",--(DATOS!$G5207=CONFIG_METADATA!$B$4),IF(DATOS!$G5207="EX",1,IF(DATOS!$G5207="OR",--(COUNTIFS(nNIA,DATOS!$A5207,nCURSO,DATOS!$D5207,nESPEC,DATOS!$E5207,nASIG,DATOS!$I5207,nEVAL,"EX")=0),0))))</f>
      </c>
      <c r="H5207">
        <f>IF(DATOS!$G5207&lt;&gt;"EX",0,--(COUNTIFS(nNIA,DATOS!$A5207,nCURSO,DATOS!$D5207,nESPEC,DATOS!$E5207,nASIG,DATOS!$I5207,nEVAL,"OR")=0))</f>
      </c>
      <c r="I5207">
        <f>IF(DATOS!$I5207="","",IFERROR(VLOOKUP(DATOS!$I5207,CONFIG_ASIGNATURAS!$B$2:$J$91,9,FALSE()),""))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IF(DATOS!$A5208="",0,IF(CONFIG_METADATA!$B$4&lt;&gt;"OR+EX",--(DATOS!$G5208=CONFIG_METADATA!$B$4),IF(DATOS!$G5208="EX",1,IF(DATOS!$G5208="OR",--(COUNTIFS(nNIA,DATOS!$A5208,nCURSO,DATOS!$D5208,nESPEC,DATOS!$E5208,nASIG,DATOS!$I5208,nEVAL,"EX")=0),0))))</f>
      </c>
      <c r="H5208">
        <f>IF(DATOS!$G5208&lt;&gt;"EX",0,--(COUNTIFS(nNIA,DATOS!$A5208,nCURSO,DATOS!$D5208,nESPEC,DATOS!$E5208,nASIG,DATOS!$I5208,nEVAL,"OR")=0))</f>
      </c>
      <c r="I5208">
        <f>IF(DATOS!$I5208="","",IFERROR(VLOOKUP(DATOS!$I5208,CONFIG_ASIGNATURAS!$B$2:$J$91,9,FALSE()),""))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IF(DATOS!$A5209="",0,IF(CONFIG_METADATA!$B$4&lt;&gt;"OR+EX",--(DATOS!$G5209=CONFIG_METADATA!$B$4),IF(DATOS!$G5209="EX",1,IF(DATOS!$G5209="OR",--(COUNTIFS(nNIA,DATOS!$A5209,nCURSO,DATOS!$D5209,nESPEC,DATOS!$E5209,nASIG,DATOS!$I5209,nEVAL,"EX")=0),0))))</f>
      </c>
      <c r="H5209">
        <f>IF(DATOS!$G5209&lt;&gt;"EX",0,--(COUNTIFS(nNIA,DATOS!$A5209,nCURSO,DATOS!$D5209,nESPEC,DATOS!$E5209,nASIG,DATOS!$I5209,nEVAL,"OR")=0))</f>
      </c>
      <c r="I5209">
        <f>IF(DATOS!$I5209="","",IFERROR(VLOOKUP(DATOS!$I5209,CONFIG_ASIGNATURAS!$B$2:$J$91,9,FALSE()),""))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IF(DATOS!$A5210="",0,IF(CONFIG_METADATA!$B$4&lt;&gt;"OR+EX",--(DATOS!$G5210=CONFIG_METADATA!$B$4),IF(DATOS!$G5210="EX",1,IF(DATOS!$G5210="OR",--(COUNTIFS(nNIA,DATOS!$A5210,nCURSO,DATOS!$D5210,nESPEC,DATOS!$E5210,nASIG,DATOS!$I5210,nEVAL,"EX")=0),0))))</f>
      </c>
      <c r="H5210">
        <f>IF(DATOS!$G5210&lt;&gt;"EX",0,--(COUNTIFS(nNIA,DATOS!$A5210,nCURSO,DATOS!$D5210,nESPEC,DATOS!$E5210,nASIG,DATOS!$I5210,nEVAL,"OR")=0))</f>
      </c>
      <c r="I5210">
        <f>IF(DATOS!$I5210="","",IFERROR(VLOOKUP(DATOS!$I5210,CONFIG_ASIGNATURAS!$B$2:$J$91,9,FALSE()),""))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IF(DATOS!$A5211="",0,IF(CONFIG_METADATA!$B$4&lt;&gt;"OR+EX",--(DATOS!$G5211=CONFIG_METADATA!$B$4),IF(DATOS!$G5211="EX",1,IF(DATOS!$G5211="OR",--(COUNTIFS(nNIA,DATOS!$A5211,nCURSO,DATOS!$D5211,nESPEC,DATOS!$E5211,nASIG,DATOS!$I5211,nEVAL,"EX")=0),0))))</f>
      </c>
      <c r="H5211">
        <f>IF(DATOS!$G5211&lt;&gt;"EX",0,--(COUNTIFS(nNIA,DATOS!$A5211,nCURSO,DATOS!$D5211,nESPEC,DATOS!$E5211,nASIG,DATOS!$I5211,nEVAL,"OR")=0))</f>
      </c>
      <c r="I5211">
        <f>IF(DATOS!$I5211="","",IFERROR(VLOOKUP(DATOS!$I5211,CONFIG_ASIGNATURAS!$B$2:$J$91,9,FALSE()),""))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IF(DATOS!$A5212="",0,IF(CONFIG_METADATA!$B$4&lt;&gt;"OR+EX",--(DATOS!$G5212=CONFIG_METADATA!$B$4),IF(DATOS!$G5212="EX",1,IF(DATOS!$G5212="OR",--(COUNTIFS(nNIA,DATOS!$A5212,nCURSO,DATOS!$D5212,nESPEC,DATOS!$E5212,nASIG,DATOS!$I5212,nEVAL,"EX")=0),0))))</f>
      </c>
      <c r="H5212">
        <f>IF(DATOS!$G5212&lt;&gt;"EX",0,--(COUNTIFS(nNIA,DATOS!$A5212,nCURSO,DATOS!$D5212,nESPEC,DATOS!$E5212,nASIG,DATOS!$I5212,nEVAL,"OR")=0))</f>
      </c>
      <c r="I5212">
        <f>IF(DATOS!$I5212="","",IFERROR(VLOOKUP(DATOS!$I5212,CONFIG_ASIGNATURAS!$B$2:$J$91,9,FALSE()),""))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IF(DATOS!$A5213="",0,IF(CONFIG_METADATA!$B$4&lt;&gt;"OR+EX",--(DATOS!$G5213=CONFIG_METADATA!$B$4),IF(DATOS!$G5213="EX",1,IF(DATOS!$G5213="OR",--(COUNTIFS(nNIA,DATOS!$A5213,nCURSO,DATOS!$D5213,nESPEC,DATOS!$E5213,nASIG,DATOS!$I5213,nEVAL,"EX")=0),0))))</f>
      </c>
      <c r="H5213">
        <f>IF(DATOS!$G5213&lt;&gt;"EX",0,--(COUNTIFS(nNIA,DATOS!$A5213,nCURSO,DATOS!$D5213,nESPEC,DATOS!$E5213,nASIG,DATOS!$I5213,nEVAL,"OR")=0))</f>
      </c>
      <c r="I5213">
        <f>IF(DATOS!$I5213="","",IFERROR(VLOOKUP(DATOS!$I5213,CONFIG_ASIGNATURAS!$B$2:$J$91,9,FALSE()),""))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IF(DATOS!$A5214="",0,IF(CONFIG_METADATA!$B$4&lt;&gt;"OR+EX",--(DATOS!$G5214=CONFIG_METADATA!$B$4),IF(DATOS!$G5214="EX",1,IF(DATOS!$G5214="OR",--(COUNTIFS(nNIA,DATOS!$A5214,nCURSO,DATOS!$D5214,nESPEC,DATOS!$E5214,nASIG,DATOS!$I5214,nEVAL,"EX")=0),0))))</f>
      </c>
      <c r="H5214">
        <f>IF(DATOS!$G5214&lt;&gt;"EX",0,--(COUNTIFS(nNIA,DATOS!$A5214,nCURSO,DATOS!$D5214,nESPEC,DATOS!$E5214,nASIG,DATOS!$I5214,nEVAL,"OR")=0))</f>
      </c>
      <c r="I5214">
        <f>IF(DATOS!$I5214="","",IFERROR(VLOOKUP(DATOS!$I5214,CONFIG_ASIGNATURAS!$B$2:$J$91,9,FALSE()),""))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IF(DATOS!$A5215="",0,IF(CONFIG_METADATA!$B$4&lt;&gt;"OR+EX",--(DATOS!$G5215=CONFIG_METADATA!$B$4),IF(DATOS!$G5215="EX",1,IF(DATOS!$G5215="OR",--(COUNTIFS(nNIA,DATOS!$A5215,nCURSO,DATOS!$D5215,nESPEC,DATOS!$E5215,nASIG,DATOS!$I5215,nEVAL,"EX")=0),0))))</f>
      </c>
      <c r="H5215">
        <f>IF(DATOS!$G5215&lt;&gt;"EX",0,--(COUNTIFS(nNIA,DATOS!$A5215,nCURSO,DATOS!$D5215,nESPEC,DATOS!$E5215,nASIG,DATOS!$I5215,nEVAL,"OR")=0))</f>
      </c>
      <c r="I5215">
        <f>IF(DATOS!$I5215="","",IFERROR(VLOOKUP(DATOS!$I5215,CONFIG_ASIGNATURAS!$B$2:$J$91,9,FALSE()),""))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IF(DATOS!$A5216="",0,IF(CONFIG_METADATA!$B$4&lt;&gt;"OR+EX",--(DATOS!$G5216=CONFIG_METADATA!$B$4),IF(DATOS!$G5216="EX",1,IF(DATOS!$G5216="OR",--(COUNTIFS(nNIA,DATOS!$A5216,nCURSO,DATOS!$D5216,nESPEC,DATOS!$E5216,nASIG,DATOS!$I5216,nEVAL,"EX")=0),0))))</f>
      </c>
      <c r="H5216">
        <f>IF(DATOS!$G5216&lt;&gt;"EX",0,--(COUNTIFS(nNIA,DATOS!$A5216,nCURSO,DATOS!$D5216,nESPEC,DATOS!$E5216,nASIG,DATOS!$I5216,nEVAL,"OR")=0))</f>
      </c>
      <c r="I5216">
        <f>IF(DATOS!$I5216="","",IFERROR(VLOOKUP(DATOS!$I5216,CONFIG_ASIGNATURAS!$B$2:$J$91,9,FALSE()),""))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IF(DATOS!$A5217="",0,IF(CONFIG_METADATA!$B$4&lt;&gt;"OR+EX",--(DATOS!$G5217=CONFIG_METADATA!$B$4),IF(DATOS!$G5217="EX",1,IF(DATOS!$G5217="OR",--(COUNTIFS(nNIA,DATOS!$A5217,nCURSO,DATOS!$D5217,nESPEC,DATOS!$E5217,nASIG,DATOS!$I5217,nEVAL,"EX")=0),0))))</f>
      </c>
      <c r="H5217">
        <f>IF(DATOS!$G5217&lt;&gt;"EX",0,--(COUNTIFS(nNIA,DATOS!$A5217,nCURSO,DATOS!$D5217,nESPEC,DATOS!$E5217,nASIG,DATOS!$I5217,nEVAL,"OR")=0))</f>
      </c>
      <c r="I5217">
        <f>IF(DATOS!$I5217="","",IFERROR(VLOOKUP(DATOS!$I5217,CONFIG_ASIGNATURAS!$B$2:$J$91,9,FALSE()),""))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IF(DATOS!$A5218="",0,IF(CONFIG_METADATA!$B$4&lt;&gt;"OR+EX",--(DATOS!$G5218=CONFIG_METADATA!$B$4),IF(DATOS!$G5218="EX",1,IF(DATOS!$G5218="OR",--(COUNTIFS(nNIA,DATOS!$A5218,nCURSO,DATOS!$D5218,nESPEC,DATOS!$E5218,nASIG,DATOS!$I5218,nEVAL,"EX")=0),0))))</f>
      </c>
      <c r="H5218">
        <f>IF(DATOS!$G5218&lt;&gt;"EX",0,--(COUNTIFS(nNIA,DATOS!$A5218,nCURSO,DATOS!$D5218,nESPEC,DATOS!$E5218,nASIG,DATOS!$I5218,nEVAL,"OR")=0))</f>
      </c>
      <c r="I5218">
        <f>IF(DATOS!$I5218="","",IFERROR(VLOOKUP(DATOS!$I5218,CONFIG_ASIGNATURAS!$B$2:$J$91,9,FALSE()),""))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IF(DATOS!$A5219="",0,IF(CONFIG_METADATA!$B$4&lt;&gt;"OR+EX",--(DATOS!$G5219=CONFIG_METADATA!$B$4),IF(DATOS!$G5219="EX",1,IF(DATOS!$G5219="OR",--(COUNTIFS(nNIA,DATOS!$A5219,nCURSO,DATOS!$D5219,nESPEC,DATOS!$E5219,nASIG,DATOS!$I5219,nEVAL,"EX")=0),0))))</f>
      </c>
      <c r="H5219">
        <f>IF(DATOS!$G5219&lt;&gt;"EX",0,--(COUNTIFS(nNIA,DATOS!$A5219,nCURSO,DATOS!$D5219,nESPEC,DATOS!$E5219,nASIG,DATOS!$I5219,nEVAL,"OR")=0))</f>
      </c>
      <c r="I5219">
        <f>IF(DATOS!$I5219="","",IFERROR(VLOOKUP(DATOS!$I5219,CONFIG_ASIGNATURAS!$B$2:$J$91,9,FALSE()),""))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IF(DATOS!$A5220="",0,IF(CONFIG_METADATA!$B$4&lt;&gt;"OR+EX",--(DATOS!$G5220=CONFIG_METADATA!$B$4),IF(DATOS!$G5220="EX",1,IF(DATOS!$G5220="OR",--(COUNTIFS(nNIA,DATOS!$A5220,nCURSO,DATOS!$D5220,nESPEC,DATOS!$E5220,nASIG,DATOS!$I5220,nEVAL,"EX")=0),0))))</f>
      </c>
      <c r="H5220">
        <f>IF(DATOS!$G5220&lt;&gt;"EX",0,--(COUNTIFS(nNIA,DATOS!$A5220,nCURSO,DATOS!$D5220,nESPEC,DATOS!$E5220,nASIG,DATOS!$I5220,nEVAL,"OR")=0))</f>
      </c>
      <c r="I5220">
        <f>IF(DATOS!$I5220="","",IFERROR(VLOOKUP(DATOS!$I5220,CONFIG_ASIGNATURAS!$B$2:$J$91,9,FALSE()),""))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IF(DATOS!$A5221="",0,IF(CONFIG_METADATA!$B$4&lt;&gt;"OR+EX",--(DATOS!$G5221=CONFIG_METADATA!$B$4),IF(DATOS!$G5221="EX",1,IF(DATOS!$G5221="OR",--(COUNTIFS(nNIA,DATOS!$A5221,nCURSO,DATOS!$D5221,nESPEC,DATOS!$E5221,nASIG,DATOS!$I5221,nEVAL,"EX")=0),0))))</f>
      </c>
      <c r="H5221">
        <f>IF(DATOS!$G5221&lt;&gt;"EX",0,--(COUNTIFS(nNIA,DATOS!$A5221,nCURSO,DATOS!$D5221,nESPEC,DATOS!$E5221,nASIG,DATOS!$I5221,nEVAL,"OR")=0))</f>
      </c>
      <c r="I5221">
        <f>IF(DATOS!$I5221="","",IFERROR(VLOOKUP(DATOS!$I5221,CONFIG_ASIGNATURAS!$B$2:$J$91,9,FALSE()),""))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IF(DATOS!$A5222="",0,IF(CONFIG_METADATA!$B$4&lt;&gt;"OR+EX",--(DATOS!$G5222=CONFIG_METADATA!$B$4),IF(DATOS!$G5222="EX",1,IF(DATOS!$G5222="OR",--(COUNTIFS(nNIA,DATOS!$A5222,nCURSO,DATOS!$D5222,nESPEC,DATOS!$E5222,nASIG,DATOS!$I5222,nEVAL,"EX")=0),0))))</f>
      </c>
      <c r="H5222">
        <f>IF(DATOS!$G5222&lt;&gt;"EX",0,--(COUNTIFS(nNIA,DATOS!$A5222,nCURSO,DATOS!$D5222,nESPEC,DATOS!$E5222,nASIG,DATOS!$I5222,nEVAL,"OR")=0))</f>
      </c>
      <c r="I5222">
        <f>IF(DATOS!$I5222="","",IFERROR(VLOOKUP(DATOS!$I5222,CONFIG_ASIGNATURAS!$B$2:$J$91,9,FALSE()),""))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IF(DATOS!$A5223="",0,IF(CONFIG_METADATA!$B$4&lt;&gt;"OR+EX",--(DATOS!$G5223=CONFIG_METADATA!$B$4),IF(DATOS!$G5223="EX",1,IF(DATOS!$G5223="OR",--(COUNTIFS(nNIA,DATOS!$A5223,nCURSO,DATOS!$D5223,nESPEC,DATOS!$E5223,nASIG,DATOS!$I5223,nEVAL,"EX")=0),0))))</f>
      </c>
      <c r="H5223">
        <f>IF(DATOS!$G5223&lt;&gt;"EX",0,--(COUNTIFS(nNIA,DATOS!$A5223,nCURSO,DATOS!$D5223,nESPEC,DATOS!$E5223,nASIG,DATOS!$I5223,nEVAL,"OR")=0))</f>
      </c>
      <c r="I5223">
        <f>IF(DATOS!$I5223="","",IFERROR(VLOOKUP(DATOS!$I5223,CONFIG_ASIGNATURAS!$B$2:$J$91,9,FALSE()),""))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IF(DATOS!$A5224="",0,IF(CONFIG_METADATA!$B$4&lt;&gt;"OR+EX",--(DATOS!$G5224=CONFIG_METADATA!$B$4),IF(DATOS!$G5224="EX",1,IF(DATOS!$G5224="OR",--(COUNTIFS(nNIA,DATOS!$A5224,nCURSO,DATOS!$D5224,nESPEC,DATOS!$E5224,nASIG,DATOS!$I5224,nEVAL,"EX")=0),0))))</f>
      </c>
      <c r="H5224">
        <f>IF(DATOS!$G5224&lt;&gt;"EX",0,--(COUNTIFS(nNIA,DATOS!$A5224,nCURSO,DATOS!$D5224,nESPEC,DATOS!$E5224,nASIG,DATOS!$I5224,nEVAL,"OR")=0))</f>
      </c>
      <c r="I5224">
        <f>IF(DATOS!$I5224="","",IFERROR(VLOOKUP(DATOS!$I5224,CONFIG_ASIGNATURAS!$B$2:$J$91,9,FALSE()),""))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IF(DATOS!$A5225="",0,IF(CONFIG_METADATA!$B$4&lt;&gt;"OR+EX",--(DATOS!$G5225=CONFIG_METADATA!$B$4),IF(DATOS!$G5225="EX",1,IF(DATOS!$G5225="OR",--(COUNTIFS(nNIA,DATOS!$A5225,nCURSO,DATOS!$D5225,nESPEC,DATOS!$E5225,nASIG,DATOS!$I5225,nEVAL,"EX")=0),0))))</f>
      </c>
      <c r="H5225">
        <f>IF(DATOS!$G5225&lt;&gt;"EX",0,--(COUNTIFS(nNIA,DATOS!$A5225,nCURSO,DATOS!$D5225,nESPEC,DATOS!$E5225,nASIG,DATOS!$I5225,nEVAL,"OR")=0))</f>
      </c>
      <c r="I5225">
        <f>IF(DATOS!$I5225="","",IFERROR(VLOOKUP(DATOS!$I5225,CONFIG_ASIGNATURAS!$B$2:$J$91,9,FALSE()),""))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IF(DATOS!$A5226="",0,IF(CONFIG_METADATA!$B$4&lt;&gt;"OR+EX",--(DATOS!$G5226=CONFIG_METADATA!$B$4),IF(DATOS!$G5226="EX",1,IF(DATOS!$G5226="OR",--(COUNTIFS(nNIA,DATOS!$A5226,nCURSO,DATOS!$D5226,nESPEC,DATOS!$E5226,nASIG,DATOS!$I5226,nEVAL,"EX")=0),0))))</f>
      </c>
      <c r="H5226">
        <f>IF(DATOS!$G5226&lt;&gt;"EX",0,--(COUNTIFS(nNIA,DATOS!$A5226,nCURSO,DATOS!$D5226,nESPEC,DATOS!$E5226,nASIG,DATOS!$I5226,nEVAL,"OR")=0))</f>
      </c>
      <c r="I5226">
        <f>IF(DATOS!$I5226="","",IFERROR(VLOOKUP(DATOS!$I5226,CONFIG_ASIGNATURAS!$B$2:$J$91,9,FALSE()),""))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IF(DATOS!$A5227="",0,IF(CONFIG_METADATA!$B$4&lt;&gt;"OR+EX",--(DATOS!$G5227=CONFIG_METADATA!$B$4),IF(DATOS!$G5227="EX",1,IF(DATOS!$G5227="OR",--(COUNTIFS(nNIA,DATOS!$A5227,nCURSO,DATOS!$D5227,nESPEC,DATOS!$E5227,nASIG,DATOS!$I5227,nEVAL,"EX")=0),0))))</f>
      </c>
      <c r="H5227">
        <f>IF(DATOS!$G5227&lt;&gt;"EX",0,--(COUNTIFS(nNIA,DATOS!$A5227,nCURSO,DATOS!$D5227,nESPEC,DATOS!$E5227,nASIG,DATOS!$I5227,nEVAL,"OR")=0))</f>
      </c>
      <c r="I5227">
        <f>IF(DATOS!$I5227="","",IFERROR(VLOOKUP(DATOS!$I5227,CONFIG_ASIGNATURAS!$B$2:$J$91,9,FALSE()),""))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IF(DATOS!$A5228="",0,IF(CONFIG_METADATA!$B$4&lt;&gt;"OR+EX",--(DATOS!$G5228=CONFIG_METADATA!$B$4),IF(DATOS!$G5228="EX",1,IF(DATOS!$G5228="OR",--(COUNTIFS(nNIA,DATOS!$A5228,nCURSO,DATOS!$D5228,nESPEC,DATOS!$E5228,nASIG,DATOS!$I5228,nEVAL,"EX")=0),0))))</f>
      </c>
      <c r="H5228">
        <f>IF(DATOS!$G5228&lt;&gt;"EX",0,--(COUNTIFS(nNIA,DATOS!$A5228,nCURSO,DATOS!$D5228,nESPEC,DATOS!$E5228,nASIG,DATOS!$I5228,nEVAL,"OR")=0))</f>
      </c>
      <c r="I5228">
        <f>IF(DATOS!$I5228="","",IFERROR(VLOOKUP(DATOS!$I5228,CONFIG_ASIGNATURAS!$B$2:$J$91,9,FALSE()),""))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IF(DATOS!$A5229="",0,IF(CONFIG_METADATA!$B$4&lt;&gt;"OR+EX",--(DATOS!$G5229=CONFIG_METADATA!$B$4),IF(DATOS!$G5229="EX",1,IF(DATOS!$G5229="OR",--(COUNTIFS(nNIA,DATOS!$A5229,nCURSO,DATOS!$D5229,nESPEC,DATOS!$E5229,nASIG,DATOS!$I5229,nEVAL,"EX")=0),0))))</f>
      </c>
      <c r="H5229">
        <f>IF(DATOS!$G5229&lt;&gt;"EX",0,--(COUNTIFS(nNIA,DATOS!$A5229,nCURSO,DATOS!$D5229,nESPEC,DATOS!$E5229,nASIG,DATOS!$I5229,nEVAL,"OR")=0))</f>
      </c>
      <c r="I5229">
        <f>IF(DATOS!$I5229="","",IFERROR(VLOOKUP(DATOS!$I5229,CONFIG_ASIGNATURAS!$B$2:$J$91,9,FALSE()),""))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IF(DATOS!$A5230="",0,IF(CONFIG_METADATA!$B$4&lt;&gt;"OR+EX",--(DATOS!$G5230=CONFIG_METADATA!$B$4),IF(DATOS!$G5230="EX",1,IF(DATOS!$G5230="OR",--(COUNTIFS(nNIA,DATOS!$A5230,nCURSO,DATOS!$D5230,nESPEC,DATOS!$E5230,nASIG,DATOS!$I5230,nEVAL,"EX")=0),0))))</f>
      </c>
      <c r="H5230">
        <f>IF(DATOS!$G5230&lt;&gt;"EX",0,--(COUNTIFS(nNIA,DATOS!$A5230,nCURSO,DATOS!$D5230,nESPEC,DATOS!$E5230,nASIG,DATOS!$I5230,nEVAL,"OR")=0))</f>
      </c>
      <c r="I5230">
        <f>IF(DATOS!$I5230="","",IFERROR(VLOOKUP(DATOS!$I5230,CONFIG_ASIGNATURAS!$B$2:$J$91,9,FALSE()),""))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IF(DATOS!$A5231="",0,IF(CONFIG_METADATA!$B$4&lt;&gt;"OR+EX",--(DATOS!$G5231=CONFIG_METADATA!$B$4),IF(DATOS!$G5231="EX",1,IF(DATOS!$G5231="OR",--(COUNTIFS(nNIA,DATOS!$A5231,nCURSO,DATOS!$D5231,nESPEC,DATOS!$E5231,nASIG,DATOS!$I5231,nEVAL,"EX")=0),0))))</f>
      </c>
      <c r="H5231">
        <f>IF(DATOS!$G5231&lt;&gt;"EX",0,--(COUNTIFS(nNIA,DATOS!$A5231,nCURSO,DATOS!$D5231,nESPEC,DATOS!$E5231,nASIG,DATOS!$I5231,nEVAL,"OR")=0))</f>
      </c>
      <c r="I5231">
        <f>IF(DATOS!$I5231="","",IFERROR(VLOOKUP(DATOS!$I5231,CONFIG_ASIGNATURAS!$B$2:$J$91,9,FALSE()),""))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IF(DATOS!$A5232="",0,IF(CONFIG_METADATA!$B$4&lt;&gt;"OR+EX",--(DATOS!$G5232=CONFIG_METADATA!$B$4),IF(DATOS!$G5232="EX",1,IF(DATOS!$G5232="OR",--(COUNTIFS(nNIA,DATOS!$A5232,nCURSO,DATOS!$D5232,nESPEC,DATOS!$E5232,nASIG,DATOS!$I5232,nEVAL,"EX")=0),0))))</f>
      </c>
      <c r="H5232">
        <f>IF(DATOS!$G5232&lt;&gt;"EX",0,--(COUNTIFS(nNIA,DATOS!$A5232,nCURSO,DATOS!$D5232,nESPEC,DATOS!$E5232,nASIG,DATOS!$I5232,nEVAL,"OR")=0))</f>
      </c>
      <c r="I5232">
        <f>IF(DATOS!$I5232="","",IFERROR(VLOOKUP(DATOS!$I5232,CONFIG_ASIGNATURAS!$B$2:$J$91,9,FALSE()),""))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IF(DATOS!$A5233="",0,IF(CONFIG_METADATA!$B$4&lt;&gt;"OR+EX",--(DATOS!$G5233=CONFIG_METADATA!$B$4),IF(DATOS!$G5233="EX",1,IF(DATOS!$G5233="OR",--(COUNTIFS(nNIA,DATOS!$A5233,nCURSO,DATOS!$D5233,nESPEC,DATOS!$E5233,nASIG,DATOS!$I5233,nEVAL,"EX")=0),0))))</f>
      </c>
      <c r="H5233">
        <f>IF(DATOS!$G5233&lt;&gt;"EX",0,--(COUNTIFS(nNIA,DATOS!$A5233,nCURSO,DATOS!$D5233,nESPEC,DATOS!$E5233,nASIG,DATOS!$I5233,nEVAL,"OR")=0))</f>
      </c>
      <c r="I5233">
        <f>IF(DATOS!$I5233="","",IFERROR(VLOOKUP(DATOS!$I5233,CONFIG_ASIGNATURAS!$B$2:$J$91,9,FALSE()),""))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IF(DATOS!$A5234="",0,IF(CONFIG_METADATA!$B$4&lt;&gt;"OR+EX",--(DATOS!$G5234=CONFIG_METADATA!$B$4),IF(DATOS!$G5234="EX",1,IF(DATOS!$G5234="OR",--(COUNTIFS(nNIA,DATOS!$A5234,nCURSO,DATOS!$D5234,nESPEC,DATOS!$E5234,nASIG,DATOS!$I5234,nEVAL,"EX")=0),0))))</f>
      </c>
      <c r="H5234">
        <f>IF(DATOS!$G5234&lt;&gt;"EX",0,--(COUNTIFS(nNIA,DATOS!$A5234,nCURSO,DATOS!$D5234,nESPEC,DATOS!$E5234,nASIG,DATOS!$I5234,nEVAL,"OR")=0))</f>
      </c>
      <c r="I5234">
        <f>IF(DATOS!$I5234="","",IFERROR(VLOOKUP(DATOS!$I5234,CONFIG_ASIGNATURAS!$B$2:$J$91,9,FALSE()),""))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IF(DATOS!$A5235="",0,IF(CONFIG_METADATA!$B$4&lt;&gt;"OR+EX",--(DATOS!$G5235=CONFIG_METADATA!$B$4),IF(DATOS!$G5235="EX",1,IF(DATOS!$G5235="OR",--(COUNTIFS(nNIA,DATOS!$A5235,nCURSO,DATOS!$D5235,nESPEC,DATOS!$E5235,nASIG,DATOS!$I5235,nEVAL,"EX")=0),0))))</f>
      </c>
      <c r="H5235">
        <f>IF(DATOS!$G5235&lt;&gt;"EX",0,--(COUNTIFS(nNIA,DATOS!$A5235,nCURSO,DATOS!$D5235,nESPEC,DATOS!$E5235,nASIG,DATOS!$I5235,nEVAL,"OR")=0))</f>
      </c>
      <c r="I5235">
        <f>IF(DATOS!$I5235="","",IFERROR(VLOOKUP(DATOS!$I5235,CONFIG_ASIGNATURAS!$B$2:$J$91,9,FALSE()),""))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IF(DATOS!$A5236="",0,IF(CONFIG_METADATA!$B$4&lt;&gt;"OR+EX",--(DATOS!$G5236=CONFIG_METADATA!$B$4),IF(DATOS!$G5236="EX",1,IF(DATOS!$G5236="OR",--(COUNTIFS(nNIA,DATOS!$A5236,nCURSO,DATOS!$D5236,nESPEC,DATOS!$E5236,nASIG,DATOS!$I5236,nEVAL,"EX")=0),0))))</f>
      </c>
      <c r="H5236">
        <f>IF(DATOS!$G5236&lt;&gt;"EX",0,--(COUNTIFS(nNIA,DATOS!$A5236,nCURSO,DATOS!$D5236,nESPEC,DATOS!$E5236,nASIG,DATOS!$I5236,nEVAL,"OR")=0))</f>
      </c>
      <c r="I5236">
        <f>IF(DATOS!$I5236="","",IFERROR(VLOOKUP(DATOS!$I5236,CONFIG_ASIGNATURAS!$B$2:$J$91,9,FALSE()),""))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IF(DATOS!$A5237="",0,IF(CONFIG_METADATA!$B$4&lt;&gt;"OR+EX",--(DATOS!$G5237=CONFIG_METADATA!$B$4),IF(DATOS!$G5237="EX",1,IF(DATOS!$G5237="OR",--(COUNTIFS(nNIA,DATOS!$A5237,nCURSO,DATOS!$D5237,nESPEC,DATOS!$E5237,nASIG,DATOS!$I5237,nEVAL,"EX")=0),0))))</f>
      </c>
      <c r="H5237">
        <f>IF(DATOS!$G5237&lt;&gt;"EX",0,--(COUNTIFS(nNIA,DATOS!$A5237,nCURSO,DATOS!$D5237,nESPEC,DATOS!$E5237,nASIG,DATOS!$I5237,nEVAL,"OR")=0))</f>
      </c>
      <c r="I5237">
        <f>IF(DATOS!$I5237="","",IFERROR(VLOOKUP(DATOS!$I5237,CONFIG_ASIGNATURAS!$B$2:$J$91,9,FALSE()),""))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IF(DATOS!$A5238="",0,IF(CONFIG_METADATA!$B$4&lt;&gt;"OR+EX",--(DATOS!$G5238=CONFIG_METADATA!$B$4),IF(DATOS!$G5238="EX",1,IF(DATOS!$G5238="OR",--(COUNTIFS(nNIA,DATOS!$A5238,nCURSO,DATOS!$D5238,nESPEC,DATOS!$E5238,nASIG,DATOS!$I5238,nEVAL,"EX")=0),0))))</f>
      </c>
      <c r="H5238">
        <f>IF(DATOS!$G5238&lt;&gt;"EX",0,--(COUNTIFS(nNIA,DATOS!$A5238,nCURSO,DATOS!$D5238,nESPEC,DATOS!$E5238,nASIG,DATOS!$I5238,nEVAL,"OR")=0))</f>
      </c>
      <c r="I5238">
        <f>IF(DATOS!$I5238="","",IFERROR(VLOOKUP(DATOS!$I5238,CONFIG_ASIGNATURAS!$B$2:$J$91,9,FALSE()),""))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IF(DATOS!$A5239="",0,IF(CONFIG_METADATA!$B$4&lt;&gt;"OR+EX",--(DATOS!$G5239=CONFIG_METADATA!$B$4),IF(DATOS!$G5239="EX",1,IF(DATOS!$G5239="OR",--(COUNTIFS(nNIA,DATOS!$A5239,nCURSO,DATOS!$D5239,nESPEC,DATOS!$E5239,nASIG,DATOS!$I5239,nEVAL,"EX")=0),0))))</f>
      </c>
      <c r="H5239">
        <f>IF(DATOS!$G5239&lt;&gt;"EX",0,--(COUNTIFS(nNIA,DATOS!$A5239,nCURSO,DATOS!$D5239,nESPEC,DATOS!$E5239,nASIG,DATOS!$I5239,nEVAL,"OR")=0))</f>
      </c>
      <c r="I5239">
        <f>IF(DATOS!$I5239="","",IFERROR(VLOOKUP(DATOS!$I5239,CONFIG_ASIGNATURAS!$B$2:$J$91,9,FALSE()),""))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IF(DATOS!$A5240="",0,IF(CONFIG_METADATA!$B$4&lt;&gt;"OR+EX",--(DATOS!$G5240=CONFIG_METADATA!$B$4),IF(DATOS!$G5240="EX",1,IF(DATOS!$G5240="OR",--(COUNTIFS(nNIA,DATOS!$A5240,nCURSO,DATOS!$D5240,nESPEC,DATOS!$E5240,nASIG,DATOS!$I5240,nEVAL,"EX")=0),0))))</f>
      </c>
      <c r="H5240">
        <f>IF(DATOS!$G5240&lt;&gt;"EX",0,--(COUNTIFS(nNIA,DATOS!$A5240,nCURSO,DATOS!$D5240,nESPEC,DATOS!$E5240,nASIG,DATOS!$I5240,nEVAL,"OR")=0))</f>
      </c>
      <c r="I5240">
        <f>IF(DATOS!$I5240="","",IFERROR(VLOOKUP(DATOS!$I5240,CONFIG_ASIGNATURAS!$B$2:$J$91,9,FALSE()),""))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IF(DATOS!$A5241="",0,IF(CONFIG_METADATA!$B$4&lt;&gt;"OR+EX",--(DATOS!$G5241=CONFIG_METADATA!$B$4),IF(DATOS!$G5241="EX",1,IF(DATOS!$G5241="OR",--(COUNTIFS(nNIA,DATOS!$A5241,nCURSO,DATOS!$D5241,nESPEC,DATOS!$E5241,nASIG,DATOS!$I5241,nEVAL,"EX")=0),0))))</f>
      </c>
      <c r="H5241">
        <f>IF(DATOS!$G5241&lt;&gt;"EX",0,--(COUNTIFS(nNIA,DATOS!$A5241,nCURSO,DATOS!$D5241,nESPEC,DATOS!$E5241,nASIG,DATOS!$I5241,nEVAL,"OR")=0))</f>
      </c>
      <c r="I5241">
        <f>IF(DATOS!$I5241="","",IFERROR(VLOOKUP(DATOS!$I5241,CONFIG_ASIGNATURAS!$B$2:$J$91,9,FALSE()),""))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IF(DATOS!$A5242="",0,IF(CONFIG_METADATA!$B$4&lt;&gt;"OR+EX",--(DATOS!$G5242=CONFIG_METADATA!$B$4),IF(DATOS!$G5242="EX",1,IF(DATOS!$G5242="OR",--(COUNTIFS(nNIA,DATOS!$A5242,nCURSO,DATOS!$D5242,nESPEC,DATOS!$E5242,nASIG,DATOS!$I5242,nEVAL,"EX")=0),0))))</f>
      </c>
      <c r="H5242">
        <f>IF(DATOS!$G5242&lt;&gt;"EX",0,--(COUNTIFS(nNIA,DATOS!$A5242,nCURSO,DATOS!$D5242,nESPEC,DATOS!$E5242,nASIG,DATOS!$I5242,nEVAL,"OR")=0))</f>
      </c>
      <c r="I5242">
        <f>IF(DATOS!$I5242="","",IFERROR(VLOOKUP(DATOS!$I5242,CONFIG_ASIGNATURAS!$B$2:$J$91,9,FALSE()),""))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IF(DATOS!$A5243="",0,IF(CONFIG_METADATA!$B$4&lt;&gt;"OR+EX",--(DATOS!$G5243=CONFIG_METADATA!$B$4),IF(DATOS!$G5243="EX",1,IF(DATOS!$G5243="OR",--(COUNTIFS(nNIA,DATOS!$A5243,nCURSO,DATOS!$D5243,nESPEC,DATOS!$E5243,nASIG,DATOS!$I5243,nEVAL,"EX")=0),0))))</f>
      </c>
      <c r="H5243">
        <f>IF(DATOS!$G5243&lt;&gt;"EX",0,--(COUNTIFS(nNIA,DATOS!$A5243,nCURSO,DATOS!$D5243,nESPEC,DATOS!$E5243,nASIG,DATOS!$I5243,nEVAL,"OR")=0))</f>
      </c>
      <c r="I5243">
        <f>IF(DATOS!$I5243="","",IFERROR(VLOOKUP(DATOS!$I5243,CONFIG_ASIGNATURAS!$B$2:$J$91,9,FALSE()),""))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IF(DATOS!$A5244="",0,IF(CONFIG_METADATA!$B$4&lt;&gt;"OR+EX",--(DATOS!$G5244=CONFIG_METADATA!$B$4),IF(DATOS!$G5244="EX",1,IF(DATOS!$G5244="OR",--(COUNTIFS(nNIA,DATOS!$A5244,nCURSO,DATOS!$D5244,nESPEC,DATOS!$E5244,nASIG,DATOS!$I5244,nEVAL,"EX")=0),0))))</f>
      </c>
      <c r="H5244">
        <f>IF(DATOS!$G5244&lt;&gt;"EX",0,--(COUNTIFS(nNIA,DATOS!$A5244,nCURSO,DATOS!$D5244,nESPEC,DATOS!$E5244,nASIG,DATOS!$I5244,nEVAL,"OR")=0))</f>
      </c>
      <c r="I5244">
        <f>IF(DATOS!$I5244="","",IFERROR(VLOOKUP(DATOS!$I5244,CONFIG_ASIGNATURAS!$B$2:$J$91,9,FALSE()),""))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IF(DATOS!$A5245="",0,IF(CONFIG_METADATA!$B$4&lt;&gt;"OR+EX",--(DATOS!$G5245=CONFIG_METADATA!$B$4),IF(DATOS!$G5245="EX",1,IF(DATOS!$G5245="OR",--(COUNTIFS(nNIA,DATOS!$A5245,nCURSO,DATOS!$D5245,nESPEC,DATOS!$E5245,nASIG,DATOS!$I5245,nEVAL,"EX")=0),0))))</f>
      </c>
      <c r="H5245">
        <f>IF(DATOS!$G5245&lt;&gt;"EX",0,--(COUNTIFS(nNIA,DATOS!$A5245,nCURSO,DATOS!$D5245,nESPEC,DATOS!$E5245,nASIG,DATOS!$I5245,nEVAL,"OR")=0))</f>
      </c>
      <c r="I5245">
        <f>IF(DATOS!$I5245="","",IFERROR(VLOOKUP(DATOS!$I5245,CONFIG_ASIGNATURAS!$B$2:$J$91,9,FALSE()),""))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IF(DATOS!$A5246="",0,IF(CONFIG_METADATA!$B$4&lt;&gt;"OR+EX",--(DATOS!$G5246=CONFIG_METADATA!$B$4),IF(DATOS!$G5246="EX",1,IF(DATOS!$G5246="OR",--(COUNTIFS(nNIA,DATOS!$A5246,nCURSO,DATOS!$D5246,nESPEC,DATOS!$E5246,nASIG,DATOS!$I5246,nEVAL,"EX")=0),0))))</f>
      </c>
      <c r="H5246">
        <f>IF(DATOS!$G5246&lt;&gt;"EX",0,--(COUNTIFS(nNIA,DATOS!$A5246,nCURSO,DATOS!$D5246,nESPEC,DATOS!$E5246,nASIG,DATOS!$I5246,nEVAL,"OR")=0))</f>
      </c>
      <c r="I5246">
        <f>IF(DATOS!$I5246="","",IFERROR(VLOOKUP(DATOS!$I5246,CONFIG_ASIGNATURAS!$B$2:$J$91,9,FALSE()),""))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IF(DATOS!$A5247="",0,IF(CONFIG_METADATA!$B$4&lt;&gt;"OR+EX",--(DATOS!$G5247=CONFIG_METADATA!$B$4),IF(DATOS!$G5247="EX",1,IF(DATOS!$G5247="OR",--(COUNTIFS(nNIA,DATOS!$A5247,nCURSO,DATOS!$D5247,nESPEC,DATOS!$E5247,nASIG,DATOS!$I5247,nEVAL,"EX")=0),0))))</f>
      </c>
      <c r="H5247">
        <f>IF(DATOS!$G5247&lt;&gt;"EX",0,--(COUNTIFS(nNIA,DATOS!$A5247,nCURSO,DATOS!$D5247,nESPEC,DATOS!$E5247,nASIG,DATOS!$I5247,nEVAL,"OR")=0))</f>
      </c>
      <c r="I5247">
        <f>IF(DATOS!$I5247="","",IFERROR(VLOOKUP(DATOS!$I5247,CONFIG_ASIGNATURAS!$B$2:$J$91,9,FALSE()),""))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IF(DATOS!$A5248="",0,IF(CONFIG_METADATA!$B$4&lt;&gt;"OR+EX",--(DATOS!$G5248=CONFIG_METADATA!$B$4),IF(DATOS!$G5248="EX",1,IF(DATOS!$G5248="OR",--(COUNTIFS(nNIA,DATOS!$A5248,nCURSO,DATOS!$D5248,nESPEC,DATOS!$E5248,nASIG,DATOS!$I5248,nEVAL,"EX")=0),0))))</f>
      </c>
      <c r="H5248">
        <f>IF(DATOS!$G5248&lt;&gt;"EX",0,--(COUNTIFS(nNIA,DATOS!$A5248,nCURSO,DATOS!$D5248,nESPEC,DATOS!$E5248,nASIG,DATOS!$I5248,nEVAL,"OR")=0))</f>
      </c>
      <c r="I5248">
        <f>IF(DATOS!$I5248="","",IFERROR(VLOOKUP(DATOS!$I5248,CONFIG_ASIGNATURAS!$B$2:$J$91,9,FALSE()),""))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IF(DATOS!$A5249="",0,IF(CONFIG_METADATA!$B$4&lt;&gt;"OR+EX",--(DATOS!$G5249=CONFIG_METADATA!$B$4),IF(DATOS!$G5249="EX",1,IF(DATOS!$G5249="OR",--(COUNTIFS(nNIA,DATOS!$A5249,nCURSO,DATOS!$D5249,nESPEC,DATOS!$E5249,nASIG,DATOS!$I5249,nEVAL,"EX")=0),0))))</f>
      </c>
      <c r="H5249">
        <f>IF(DATOS!$G5249&lt;&gt;"EX",0,--(COUNTIFS(nNIA,DATOS!$A5249,nCURSO,DATOS!$D5249,nESPEC,DATOS!$E5249,nASIG,DATOS!$I5249,nEVAL,"OR")=0))</f>
      </c>
      <c r="I5249">
        <f>IF(DATOS!$I5249="","",IFERROR(VLOOKUP(DATOS!$I5249,CONFIG_ASIGNATURAS!$B$2:$J$91,9,FALSE()),""))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IF(DATOS!$A5250="",0,IF(CONFIG_METADATA!$B$4&lt;&gt;"OR+EX",--(DATOS!$G5250=CONFIG_METADATA!$B$4),IF(DATOS!$G5250="EX",1,IF(DATOS!$G5250="OR",--(COUNTIFS(nNIA,DATOS!$A5250,nCURSO,DATOS!$D5250,nESPEC,DATOS!$E5250,nASIG,DATOS!$I5250,nEVAL,"EX")=0),0))))</f>
      </c>
      <c r="H5250">
        <f>IF(DATOS!$G5250&lt;&gt;"EX",0,--(COUNTIFS(nNIA,DATOS!$A5250,nCURSO,DATOS!$D5250,nESPEC,DATOS!$E5250,nASIG,DATOS!$I5250,nEVAL,"OR")=0))</f>
      </c>
      <c r="I5250">
        <f>IF(DATOS!$I5250="","",IFERROR(VLOOKUP(DATOS!$I5250,CONFIG_ASIGNATURAS!$B$2:$J$91,9,FALSE()),""))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IF(DATOS!$A5251="",0,IF(CONFIG_METADATA!$B$4&lt;&gt;"OR+EX",--(DATOS!$G5251=CONFIG_METADATA!$B$4),IF(DATOS!$G5251="EX",1,IF(DATOS!$G5251="OR",--(COUNTIFS(nNIA,DATOS!$A5251,nCURSO,DATOS!$D5251,nESPEC,DATOS!$E5251,nASIG,DATOS!$I5251,nEVAL,"EX")=0),0))))</f>
      </c>
      <c r="H5251">
        <f>IF(DATOS!$G5251&lt;&gt;"EX",0,--(COUNTIFS(nNIA,DATOS!$A5251,nCURSO,DATOS!$D5251,nESPEC,DATOS!$E5251,nASIG,DATOS!$I5251,nEVAL,"OR")=0))</f>
      </c>
      <c r="I5251">
        <f>IF(DATOS!$I5251="","",IFERROR(VLOOKUP(DATOS!$I5251,CONFIG_ASIGNATURAS!$B$2:$J$91,9,FALSE()),""))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IF(DATOS!$A5252="",0,IF(CONFIG_METADATA!$B$4&lt;&gt;"OR+EX",--(DATOS!$G5252=CONFIG_METADATA!$B$4),IF(DATOS!$G5252="EX",1,IF(DATOS!$G5252="OR",--(COUNTIFS(nNIA,DATOS!$A5252,nCURSO,DATOS!$D5252,nESPEC,DATOS!$E5252,nASIG,DATOS!$I5252,nEVAL,"EX")=0),0))))</f>
      </c>
      <c r="H5252">
        <f>IF(DATOS!$G5252&lt;&gt;"EX",0,--(COUNTIFS(nNIA,DATOS!$A5252,nCURSO,DATOS!$D5252,nESPEC,DATOS!$E5252,nASIG,DATOS!$I5252,nEVAL,"OR")=0))</f>
      </c>
      <c r="I5252">
        <f>IF(DATOS!$I5252="","",IFERROR(VLOOKUP(DATOS!$I5252,CONFIG_ASIGNATURAS!$B$2:$J$91,9,FALSE()),""))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IF(DATOS!$A5253="",0,IF(CONFIG_METADATA!$B$4&lt;&gt;"OR+EX",--(DATOS!$G5253=CONFIG_METADATA!$B$4),IF(DATOS!$G5253="EX",1,IF(DATOS!$G5253="OR",--(COUNTIFS(nNIA,DATOS!$A5253,nCURSO,DATOS!$D5253,nESPEC,DATOS!$E5253,nASIG,DATOS!$I5253,nEVAL,"EX")=0),0))))</f>
      </c>
      <c r="H5253">
        <f>IF(DATOS!$G5253&lt;&gt;"EX",0,--(COUNTIFS(nNIA,DATOS!$A5253,nCURSO,DATOS!$D5253,nESPEC,DATOS!$E5253,nASIG,DATOS!$I5253,nEVAL,"OR")=0))</f>
      </c>
      <c r="I5253">
        <f>IF(DATOS!$I5253="","",IFERROR(VLOOKUP(DATOS!$I5253,CONFIG_ASIGNATURAS!$B$2:$J$91,9,FALSE()),""))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IF(DATOS!$A5254="",0,IF(CONFIG_METADATA!$B$4&lt;&gt;"OR+EX",--(DATOS!$G5254=CONFIG_METADATA!$B$4),IF(DATOS!$G5254="EX",1,IF(DATOS!$G5254="OR",--(COUNTIFS(nNIA,DATOS!$A5254,nCURSO,DATOS!$D5254,nESPEC,DATOS!$E5254,nASIG,DATOS!$I5254,nEVAL,"EX")=0),0))))</f>
      </c>
      <c r="H5254">
        <f>IF(DATOS!$G5254&lt;&gt;"EX",0,--(COUNTIFS(nNIA,DATOS!$A5254,nCURSO,DATOS!$D5254,nESPEC,DATOS!$E5254,nASIG,DATOS!$I5254,nEVAL,"OR")=0))</f>
      </c>
      <c r="I5254">
        <f>IF(DATOS!$I5254="","",IFERROR(VLOOKUP(DATOS!$I5254,CONFIG_ASIGNATURAS!$B$2:$J$91,9,FALSE()),""))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IF(DATOS!$A5255="",0,IF(CONFIG_METADATA!$B$4&lt;&gt;"OR+EX",--(DATOS!$G5255=CONFIG_METADATA!$B$4),IF(DATOS!$G5255="EX",1,IF(DATOS!$G5255="OR",--(COUNTIFS(nNIA,DATOS!$A5255,nCURSO,DATOS!$D5255,nESPEC,DATOS!$E5255,nASIG,DATOS!$I5255,nEVAL,"EX")=0),0))))</f>
      </c>
      <c r="H5255">
        <f>IF(DATOS!$G5255&lt;&gt;"EX",0,--(COUNTIFS(nNIA,DATOS!$A5255,nCURSO,DATOS!$D5255,nESPEC,DATOS!$E5255,nASIG,DATOS!$I5255,nEVAL,"OR")=0))</f>
      </c>
      <c r="I5255">
        <f>IF(DATOS!$I5255="","",IFERROR(VLOOKUP(DATOS!$I5255,CONFIG_ASIGNATURAS!$B$2:$J$91,9,FALSE()),""))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IF(DATOS!$A5256="",0,IF(CONFIG_METADATA!$B$4&lt;&gt;"OR+EX",--(DATOS!$G5256=CONFIG_METADATA!$B$4),IF(DATOS!$G5256="EX",1,IF(DATOS!$G5256="OR",--(COUNTIFS(nNIA,DATOS!$A5256,nCURSO,DATOS!$D5256,nESPEC,DATOS!$E5256,nASIG,DATOS!$I5256,nEVAL,"EX")=0),0))))</f>
      </c>
      <c r="H5256">
        <f>IF(DATOS!$G5256&lt;&gt;"EX",0,--(COUNTIFS(nNIA,DATOS!$A5256,nCURSO,DATOS!$D5256,nESPEC,DATOS!$E5256,nASIG,DATOS!$I5256,nEVAL,"OR")=0))</f>
      </c>
      <c r="I5256">
        <f>IF(DATOS!$I5256="","",IFERROR(VLOOKUP(DATOS!$I5256,CONFIG_ASIGNATURAS!$B$2:$J$91,9,FALSE()),""))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IF(DATOS!$A5257="",0,IF(CONFIG_METADATA!$B$4&lt;&gt;"OR+EX",--(DATOS!$G5257=CONFIG_METADATA!$B$4),IF(DATOS!$G5257="EX",1,IF(DATOS!$G5257="OR",--(COUNTIFS(nNIA,DATOS!$A5257,nCURSO,DATOS!$D5257,nESPEC,DATOS!$E5257,nASIG,DATOS!$I5257,nEVAL,"EX")=0),0))))</f>
      </c>
      <c r="H5257">
        <f>IF(DATOS!$G5257&lt;&gt;"EX",0,--(COUNTIFS(nNIA,DATOS!$A5257,nCURSO,DATOS!$D5257,nESPEC,DATOS!$E5257,nASIG,DATOS!$I5257,nEVAL,"OR")=0))</f>
      </c>
      <c r="I5257">
        <f>IF(DATOS!$I5257="","",IFERROR(VLOOKUP(DATOS!$I5257,CONFIG_ASIGNATURAS!$B$2:$J$91,9,FALSE()),""))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IF(DATOS!$A5258="",0,IF(CONFIG_METADATA!$B$4&lt;&gt;"OR+EX",--(DATOS!$G5258=CONFIG_METADATA!$B$4),IF(DATOS!$G5258="EX",1,IF(DATOS!$G5258="OR",--(COUNTIFS(nNIA,DATOS!$A5258,nCURSO,DATOS!$D5258,nESPEC,DATOS!$E5258,nASIG,DATOS!$I5258,nEVAL,"EX")=0),0))))</f>
      </c>
      <c r="H5258">
        <f>IF(DATOS!$G5258&lt;&gt;"EX",0,--(COUNTIFS(nNIA,DATOS!$A5258,nCURSO,DATOS!$D5258,nESPEC,DATOS!$E5258,nASIG,DATOS!$I5258,nEVAL,"OR")=0))</f>
      </c>
      <c r="I5258">
        <f>IF(DATOS!$I5258="","",IFERROR(VLOOKUP(DATOS!$I5258,CONFIG_ASIGNATURAS!$B$2:$J$91,9,FALSE()),""))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IF(DATOS!$A5259="",0,IF(CONFIG_METADATA!$B$4&lt;&gt;"OR+EX",--(DATOS!$G5259=CONFIG_METADATA!$B$4),IF(DATOS!$G5259="EX",1,IF(DATOS!$G5259="OR",--(COUNTIFS(nNIA,DATOS!$A5259,nCURSO,DATOS!$D5259,nESPEC,DATOS!$E5259,nASIG,DATOS!$I5259,nEVAL,"EX")=0),0))))</f>
      </c>
      <c r="H5259">
        <f>IF(DATOS!$G5259&lt;&gt;"EX",0,--(COUNTIFS(nNIA,DATOS!$A5259,nCURSO,DATOS!$D5259,nESPEC,DATOS!$E5259,nASIG,DATOS!$I5259,nEVAL,"OR")=0))</f>
      </c>
      <c r="I5259">
        <f>IF(DATOS!$I5259="","",IFERROR(VLOOKUP(DATOS!$I5259,CONFIG_ASIGNATURAS!$B$2:$J$91,9,FALSE()),""))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IF(DATOS!$A5260="",0,IF(CONFIG_METADATA!$B$4&lt;&gt;"OR+EX",--(DATOS!$G5260=CONFIG_METADATA!$B$4),IF(DATOS!$G5260="EX",1,IF(DATOS!$G5260="OR",--(COUNTIFS(nNIA,DATOS!$A5260,nCURSO,DATOS!$D5260,nESPEC,DATOS!$E5260,nASIG,DATOS!$I5260,nEVAL,"EX")=0),0))))</f>
      </c>
      <c r="H5260">
        <f>IF(DATOS!$G5260&lt;&gt;"EX",0,--(COUNTIFS(nNIA,DATOS!$A5260,nCURSO,DATOS!$D5260,nESPEC,DATOS!$E5260,nASIG,DATOS!$I5260,nEVAL,"OR")=0))</f>
      </c>
      <c r="I5260">
        <f>IF(DATOS!$I5260="","",IFERROR(VLOOKUP(DATOS!$I5260,CONFIG_ASIGNATURAS!$B$2:$J$91,9,FALSE()),""))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IF(DATOS!$A5261="",0,IF(CONFIG_METADATA!$B$4&lt;&gt;"OR+EX",--(DATOS!$G5261=CONFIG_METADATA!$B$4),IF(DATOS!$G5261="EX",1,IF(DATOS!$G5261="OR",--(COUNTIFS(nNIA,DATOS!$A5261,nCURSO,DATOS!$D5261,nESPEC,DATOS!$E5261,nASIG,DATOS!$I5261,nEVAL,"EX")=0),0))))</f>
      </c>
      <c r="H5261">
        <f>IF(DATOS!$G5261&lt;&gt;"EX",0,--(COUNTIFS(nNIA,DATOS!$A5261,nCURSO,DATOS!$D5261,nESPEC,DATOS!$E5261,nASIG,DATOS!$I5261,nEVAL,"OR")=0))</f>
      </c>
      <c r="I5261">
        <f>IF(DATOS!$I5261="","",IFERROR(VLOOKUP(DATOS!$I5261,CONFIG_ASIGNATURAS!$B$2:$J$91,9,FALSE()),""))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IF(DATOS!$A5262="",0,IF(CONFIG_METADATA!$B$4&lt;&gt;"OR+EX",--(DATOS!$G5262=CONFIG_METADATA!$B$4),IF(DATOS!$G5262="EX",1,IF(DATOS!$G5262="OR",--(COUNTIFS(nNIA,DATOS!$A5262,nCURSO,DATOS!$D5262,nESPEC,DATOS!$E5262,nASIG,DATOS!$I5262,nEVAL,"EX")=0),0))))</f>
      </c>
      <c r="H5262">
        <f>IF(DATOS!$G5262&lt;&gt;"EX",0,--(COUNTIFS(nNIA,DATOS!$A5262,nCURSO,DATOS!$D5262,nESPEC,DATOS!$E5262,nASIG,DATOS!$I5262,nEVAL,"OR")=0))</f>
      </c>
      <c r="I5262">
        <f>IF(DATOS!$I5262="","",IFERROR(VLOOKUP(DATOS!$I5262,CONFIG_ASIGNATURAS!$B$2:$J$91,9,FALSE()),""))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IF(DATOS!$A5263="",0,IF(CONFIG_METADATA!$B$4&lt;&gt;"OR+EX",--(DATOS!$G5263=CONFIG_METADATA!$B$4),IF(DATOS!$G5263="EX",1,IF(DATOS!$G5263="OR",--(COUNTIFS(nNIA,DATOS!$A5263,nCURSO,DATOS!$D5263,nESPEC,DATOS!$E5263,nASIG,DATOS!$I5263,nEVAL,"EX")=0),0))))</f>
      </c>
      <c r="H5263">
        <f>IF(DATOS!$G5263&lt;&gt;"EX",0,--(COUNTIFS(nNIA,DATOS!$A5263,nCURSO,DATOS!$D5263,nESPEC,DATOS!$E5263,nASIG,DATOS!$I5263,nEVAL,"OR")=0))</f>
      </c>
      <c r="I5263">
        <f>IF(DATOS!$I5263="","",IFERROR(VLOOKUP(DATOS!$I5263,CONFIG_ASIGNATURAS!$B$2:$J$91,9,FALSE()),""))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IF(DATOS!$A5264="",0,IF(CONFIG_METADATA!$B$4&lt;&gt;"OR+EX",--(DATOS!$G5264=CONFIG_METADATA!$B$4),IF(DATOS!$G5264="EX",1,IF(DATOS!$G5264="OR",--(COUNTIFS(nNIA,DATOS!$A5264,nCURSO,DATOS!$D5264,nESPEC,DATOS!$E5264,nASIG,DATOS!$I5264,nEVAL,"EX")=0),0))))</f>
      </c>
      <c r="H5264">
        <f>IF(DATOS!$G5264&lt;&gt;"EX",0,--(COUNTIFS(nNIA,DATOS!$A5264,nCURSO,DATOS!$D5264,nESPEC,DATOS!$E5264,nASIG,DATOS!$I5264,nEVAL,"OR")=0))</f>
      </c>
      <c r="I5264">
        <f>IF(DATOS!$I5264="","",IFERROR(VLOOKUP(DATOS!$I5264,CONFIG_ASIGNATURAS!$B$2:$J$91,9,FALSE()),""))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IF(DATOS!$A5265="",0,IF(CONFIG_METADATA!$B$4&lt;&gt;"OR+EX",--(DATOS!$G5265=CONFIG_METADATA!$B$4),IF(DATOS!$G5265="EX",1,IF(DATOS!$G5265="OR",--(COUNTIFS(nNIA,DATOS!$A5265,nCURSO,DATOS!$D5265,nESPEC,DATOS!$E5265,nASIG,DATOS!$I5265,nEVAL,"EX")=0),0))))</f>
      </c>
      <c r="H5265">
        <f>IF(DATOS!$G5265&lt;&gt;"EX",0,--(COUNTIFS(nNIA,DATOS!$A5265,nCURSO,DATOS!$D5265,nESPEC,DATOS!$E5265,nASIG,DATOS!$I5265,nEVAL,"OR")=0))</f>
      </c>
      <c r="I5265">
        <f>IF(DATOS!$I5265="","",IFERROR(VLOOKUP(DATOS!$I5265,CONFIG_ASIGNATURAS!$B$2:$J$91,9,FALSE()),""))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IF(DATOS!$A5266="",0,IF(CONFIG_METADATA!$B$4&lt;&gt;"OR+EX",--(DATOS!$G5266=CONFIG_METADATA!$B$4),IF(DATOS!$G5266="EX",1,IF(DATOS!$G5266="OR",--(COUNTIFS(nNIA,DATOS!$A5266,nCURSO,DATOS!$D5266,nESPEC,DATOS!$E5266,nASIG,DATOS!$I5266,nEVAL,"EX")=0),0))))</f>
      </c>
      <c r="H5266">
        <f>IF(DATOS!$G5266&lt;&gt;"EX",0,--(COUNTIFS(nNIA,DATOS!$A5266,nCURSO,DATOS!$D5266,nESPEC,DATOS!$E5266,nASIG,DATOS!$I5266,nEVAL,"OR")=0))</f>
      </c>
      <c r="I5266">
        <f>IF(DATOS!$I5266="","",IFERROR(VLOOKUP(DATOS!$I5266,CONFIG_ASIGNATURAS!$B$2:$J$91,9,FALSE()),""))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IF(DATOS!$A5267="",0,IF(CONFIG_METADATA!$B$4&lt;&gt;"OR+EX",--(DATOS!$G5267=CONFIG_METADATA!$B$4),IF(DATOS!$G5267="EX",1,IF(DATOS!$G5267="OR",--(COUNTIFS(nNIA,DATOS!$A5267,nCURSO,DATOS!$D5267,nESPEC,DATOS!$E5267,nASIG,DATOS!$I5267,nEVAL,"EX")=0),0))))</f>
      </c>
      <c r="H5267">
        <f>IF(DATOS!$G5267&lt;&gt;"EX",0,--(COUNTIFS(nNIA,DATOS!$A5267,nCURSO,DATOS!$D5267,nESPEC,DATOS!$E5267,nASIG,DATOS!$I5267,nEVAL,"OR")=0))</f>
      </c>
      <c r="I5267">
        <f>IF(DATOS!$I5267="","",IFERROR(VLOOKUP(DATOS!$I5267,CONFIG_ASIGNATURAS!$B$2:$J$91,9,FALSE()),""))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IF(DATOS!$A5268="",0,IF(CONFIG_METADATA!$B$4&lt;&gt;"OR+EX",--(DATOS!$G5268=CONFIG_METADATA!$B$4),IF(DATOS!$G5268="EX",1,IF(DATOS!$G5268="OR",--(COUNTIFS(nNIA,DATOS!$A5268,nCURSO,DATOS!$D5268,nESPEC,DATOS!$E5268,nASIG,DATOS!$I5268,nEVAL,"EX")=0),0))))</f>
      </c>
      <c r="H5268">
        <f>IF(DATOS!$G5268&lt;&gt;"EX",0,--(COUNTIFS(nNIA,DATOS!$A5268,nCURSO,DATOS!$D5268,nESPEC,DATOS!$E5268,nASIG,DATOS!$I5268,nEVAL,"OR")=0))</f>
      </c>
      <c r="I5268">
        <f>IF(DATOS!$I5268="","",IFERROR(VLOOKUP(DATOS!$I5268,CONFIG_ASIGNATURAS!$B$2:$J$91,9,FALSE()),""))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IF(DATOS!$A5269="",0,IF(CONFIG_METADATA!$B$4&lt;&gt;"OR+EX",--(DATOS!$G5269=CONFIG_METADATA!$B$4),IF(DATOS!$G5269="EX",1,IF(DATOS!$G5269="OR",--(COUNTIFS(nNIA,DATOS!$A5269,nCURSO,DATOS!$D5269,nESPEC,DATOS!$E5269,nASIG,DATOS!$I5269,nEVAL,"EX")=0),0))))</f>
      </c>
      <c r="H5269">
        <f>IF(DATOS!$G5269&lt;&gt;"EX",0,--(COUNTIFS(nNIA,DATOS!$A5269,nCURSO,DATOS!$D5269,nESPEC,DATOS!$E5269,nASIG,DATOS!$I5269,nEVAL,"OR")=0))</f>
      </c>
      <c r="I5269">
        <f>IF(DATOS!$I5269="","",IFERROR(VLOOKUP(DATOS!$I5269,CONFIG_ASIGNATURAS!$B$2:$J$91,9,FALSE()),""))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IF(DATOS!$A5270="",0,IF(CONFIG_METADATA!$B$4&lt;&gt;"OR+EX",--(DATOS!$G5270=CONFIG_METADATA!$B$4),IF(DATOS!$G5270="EX",1,IF(DATOS!$G5270="OR",--(COUNTIFS(nNIA,DATOS!$A5270,nCURSO,DATOS!$D5270,nESPEC,DATOS!$E5270,nASIG,DATOS!$I5270,nEVAL,"EX")=0),0))))</f>
      </c>
      <c r="H5270">
        <f>IF(DATOS!$G5270&lt;&gt;"EX",0,--(COUNTIFS(nNIA,DATOS!$A5270,nCURSO,DATOS!$D5270,nESPEC,DATOS!$E5270,nASIG,DATOS!$I5270,nEVAL,"OR")=0))</f>
      </c>
      <c r="I5270">
        <f>IF(DATOS!$I5270="","",IFERROR(VLOOKUP(DATOS!$I5270,CONFIG_ASIGNATURAS!$B$2:$J$91,9,FALSE()),""))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IF(DATOS!$A5271="",0,IF(CONFIG_METADATA!$B$4&lt;&gt;"OR+EX",--(DATOS!$G5271=CONFIG_METADATA!$B$4),IF(DATOS!$G5271="EX",1,IF(DATOS!$G5271="OR",--(COUNTIFS(nNIA,DATOS!$A5271,nCURSO,DATOS!$D5271,nESPEC,DATOS!$E5271,nASIG,DATOS!$I5271,nEVAL,"EX")=0),0))))</f>
      </c>
      <c r="H5271">
        <f>IF(DATOS!$G5271&lt;&gt;"EX",0,--(COUNTIFS(nNIA,DATOS!$A5271,nCURSO,DATOS!$D5271,nESPEC,DATOS!$E5271,nASIG,DATOS!$I5271,nEVAL,"OR")=0))</f>
      </c>
      <c r="I5271">
        <f>IF(DATOS!$I5271="","",IFERROR(VLOOKUP(DATOS!$I5271,CONFIG_ASIGNATURAS!$B$2:$J$91,9,FALSE()),""))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IF(DATOS!$A5272="",0,IF(CONFIG_METADATA!$B$4&lt;&gt;"OR+EX",--(DATOS!$G5272=CONFIG_METADATA!$B$4),IF(DATOS!$G5272="EX",1,IF(DATOS!$G5272="OR",--(COUNTIFS(nNIA,DATOS!$A5272,nCURSO,DATOS!$D5272,nESPEC,DATOS!$E5272,nASIG,DATOS!$I5272,nEVAL,"EX")=0),0))))</f>
      </c>
      <c r="H5272">
        <f>IF(DATOS!$G5272&lt;&gt;"EX",0,--(COUNTIFS(nNIA,DATOS!$A5272,nCURSO,DATOS!$D5272,nESPEC,DATOS!$E5272,nASIG,DATOS!$I5272,nEVAL,"OR")=0))</f>
      </c>
      <c r="I5272">
        <f>IF(DATOS!$I5272="","",IFERROR(VLOOKUP(DATOS!$I5272,CONFIG_ASIGNATURAS!$B$2:$J$91,9,FALSE()),""))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IF(DATOS!$A5273="",0,IF(CONFIG_METADATA!$B$4&lt;&gt;"OR+EX",--(DATOS!$G5273=CONFIG_METADATA!$B$4),IF(DATOS!$G5273="EX",1,IF(DATOS!$G5273="OR",--(COUNTIFS(nNIA,DATOS!$A5273,nCURSO,DATOS!$D5273,nESPEC,DATOS!$E5273,nASIG,DATOS!$I5273,nEVAL,"EX")=0),0))))</f>
      </c>
      <c r="H5273">
        <f>IF(DATOS!$G5273&lt;&gt;"EX",0,--(COUNTIFS(nNIA,DATOS!$A5273,nCURSO,DATOS!$D5273,nESPEC,DATOS!$E5273,nASIG,DATOS!$I5273,nEVAL,"OR")=0))</f>
      </c>
      <c r="I5273">
        <f>IF(DATOS!$I5273="","",IFERROR(VLOOKUP(DATOS!$I5273,CONFIG_ASIGNATURAS!$B$2:$J$91,9,FALSE()),""))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IF(DATOS!$A5274="",0,IF(CONFIG_METADATA!$B$4&lt;&gt;"OR+EX",--(DATOS!$G5274=CONFIG_METADATA!$B$4),IF(DATOS!$G5274="EX",1,IF(DATOS!$G5274="OR",--(COUNTIFS(nNIA,DATOS!$A5274,nCURSO,DATOS!$D5274,nESPEC,DATOS!$E5274,nASIG,DATOS!$I5274,nEVAL,"EX")=0),0))))</f>
      </c>
      <c r="H5274">
        <f>IF(DATOS!$G5274&lt;&gt;"EX",0,--(COUNTIFS(nNIA,DATOS!$A5274,nCURSO,DATOS!$D5274,nESPEC,DATOS!$E5274,nASIG,DATOS!$I5274,nEVAL,"OR")=0))</f>
      </c>
      <c r="I5274">
        <f>IF(DATOS!$I5274="","",IFERROR(VLOOKUP(DATOS!$I5274,CONFIG_ASIGNATURAS!$B$2:$J$91,9,FALSE()),""))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IF(DATOS!$A5275="",0,IF(CONFIG_METADATA!$B$4&lt;&gt;"OR+EX",--(DATOS!$G5275=CONFIG_METADATA!$B$4),IF(DATOS!$G5275="EX",1,IF(DATOS!$G5275="OR",--(COUNTIFS(nNIA,DATOS!$A5275,nCURSO,DATOS!$D5275,nESPEC,DATOS!$E5275,nASIG,DATOS!$I5275,nEVAL,"EX")=0),0))))</f>
      </c>
      <c r="H5275">
        <f>IF(DATOS!$G5275&lt;&gt;"EX",0,--(COUNTIFS(nNIA,DATOS!$A5275,nCURSO,DATOS!$D5275,nESPEC,DATOS!$E5275,nASIG,DATOS!$I5275,nEVAL,"OR")=0))</f>
      </c>
      <c r="I5275">
        <f>IF(DATOS!$I5275="","",IFERROR(VLOOKUP(DATOS!$I5275,CONFIG_ASIGNATURAS!$B$2:$J$91,9,FALSE()),""))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IF(DATOS!$A5276="",0,IF(CONFIG_METADATA!$B$4&lt;&gt;"OR+EX",--(DATOS!$G5276=CONFIG_METADATA!$B$4),IF(DATOS!$G5276="EX",1,IF(DATOS!$G5276="OR",--(COUNTIFS(nNIA,DATOS!$A5276,nCURSO,DATOS!$D5276,nESPEC,DATOS!$E5276,nASIG,DATOS!$I5276,nEVAL,"EX")=0),0))))</f>
      </c>
      <c r="H5276">
        <f>IF(DATOS!$G5276&lt;&gt;"EX",0,--(COUNTIFS(nNIA,DATOS!$A5276,nCURSO,DATOS!$D5276,nESPEC,DATOS!$E5276,nASIG,DATOS!$I5276,nEVAL,"OR")=0))</f>
      </c>
      <c r="I5276">
        <f>IF(DATOS!$I5276="","",IFERROR(VLOOKUP(DATOS!$I5276,CONFIG_ASIGNATURAS!$B$2:$J$91,9,FALSE()),""))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IF(DATOS!$A5277="",0,IF(CONFIG_METADATA!$B$4&lt;&gt;"OR+EX",--(DATOS!$G5277=CONFIG_METADATA!$B$4),IF(DATOS!$G5277="EX",1,IF(DATOS!$G5277="OR",--(COUNTIFS(nNIA,DATOS!$A5277,nCURSO,DATOS!$D5277,nESPEC,DATOS!$E5277,nASIG,DATOS!$I5277,nEVAL,"EX")=0),0))))</f>
      </c>
      <c r="H5277">
        <f>IF(DATOS!$G5277&lt;&gt;"EX",0,--(COUNTIFS(nNIA,DATOS!$A5277,nCURSO,DATOS!$D5277,nESPEC,DATOS!$E5277,nASIG,DATOS!$I5277,nEVAL,"OR")=0))</f>
      </c>
      <c r="I5277">
        <f>IF(DATOS!$I5277="","",IFERROR(VLOOKUP(DATOS!$I5277,CONFIG_ASIGNATURAS!$B$2:$J$91,9,FALSE()),""))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IF(DATOS!$A5278="",0,IF(CONFIG_METADATA!$B$4&lt;&gt;"OR+EX",--(DATOS!$G5278=CONFIG_METADATA!$B$4),IF(DATOS!$G5278="EX",1,IF(DATOS!$G5278="OR",--(COUNTIFS(nNIA,DATOS!$A5278,nCURSO,DATOS!$D5278,nESPEC,DATOS!$E5278,nASIG,DATOS!$I5278,nEVAL,"EX")=0),0))))</f>
      </c>
      <c r="H5278">
        <f>IF(DATOS!$G5278&lt;&gt;"EX",0,--(COUNTIFS(nNIA,DATOS!$A5278,nCURSO,DATOS!$D5278,nESPEC,DATOS!$E5278,nASIG,DATOS!$I5278,nEVAL,"OR")=0))</f>
      </c>
      <c r="I5278">
        <f>IF(DATOS!$I5278="","",IFERROR(VLOOKUP(DATOS!$I5278,CONFIG_ASIGNATURAS!$B$2:$J$91,9,FALSE()),""))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IF(DATOS!$A5279="",0,IF(CONFIG_METADATA!$B$4&lt;&gt;"OR+EX",--(DATOS!$G5279=CONFIG_METADATA!$B$4),IF(DATOS!$G5279="EX",1,IF(DATOS!$G5279="OR",--(COUNTIFS(nNIA,DATOS!$A5279,nCURSO,DATOS!$D5279,nESPEC,DATOS!$E5279,nASIG,DATOS!$I5279,nEVAL,"EX")=0),0))))</f>
      </c>
      <c r="H5279">
        <f>IF(DATOS!$G5279&lt;&gt;"EX",0,--(COUNTIFS(nNIA,DATOS!$A5279,nCURSO,DATOS!$D5279,nESPEC,DATOS!$E5279,nASIG,DATOS!$I5279,nEVAL,"OR")=0))</f>
      </c>
      <c r="I5279">
        <f>IF(DATOS!$I5279="","",IFERROR(VLOOKUP(DATOS!$I5279,CONFIG_ASIGNATURAS!$B$2:$J$91,9,FALSE()),""))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IF(DATOS!$A5280="",0,IF(CONFIG_METADATA!$B$4&lt;&gt;"OR+EX",--(DATOS!$G5280=CONFIG_METADATA!$B$4),IF(DATOS!$G5280="EX",1,IF(DATOS!$G5280="OR",--(COUNTIFS(nNIA,DATOS!$A5280,nCURSO,DATOS!$D5280,nESPEC,DATOS!$E5280,nASIG,DATOS!$I5280,nEVAL,"EX")=0),0))))</f>
      </c>
      <c r="H5280">
        <f>IF(DATOS!$G5280&lt;&gt;"EX",0,--(COUNTIFS(nNIA,DATOS!$A5280,nCURSO,DATOS!$D5280,nESPEC,DATOS!$E5280,nASIG,DATOS!$I5280,nEVAL,"OR")=0))</f>
      </c>
      <c r="I5280">
        <f>IF(DATOS!$I5280="","",IFERROR(VLOOKUP(DATOS!$I5280,CONFIG_ASIGNATURAS!$B$2:$J$91,9,FALSE()),""))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IF(DATOS!$A5281="",0,IF(CONFIG_METADATA!$B$4&lt;&gt;"OR+EX",--(DATOS!$G5281=CONFIG_METADATA!$B$4),IF(DATOS!$G5281="EX",1,IF(DATOS!$G5281="OR",--(COUNTIFS(nNIA,DATOS!$A5281,nCURSO,DATOS!$D5281,nESPEC,DATOS!$E5281,nASIG,DATOS!$I5281,nEVAL,"EX")=0),0))))</f>
      </c>
      <c r="H5281">
        <f>IF(DATOS!$G5281&lt;&gt;"EX",0,--(COUNTIFS(nNIA,DATOS!$A5281,nCURSO,DATOS!$D5281,nESPEC,DATOS!$E5281,nASIG,DATOS!$I5281,nEVAL,"OR")=0))</f>
      </c>
      <c r="I5281">
        <f>IF(DATOS!$I5281="","",IFERROR(VLOOKUP(DATOS!$I5281,CONFIG_ASIGNATURAS!$B$2:$J$91,9,FALSE()),""))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IF(DATOS!$A5282="",0,IF(CONFIG_METADATA!$B$4&lt;&gt;"OR+EX",--(DATOS!$G5282=CONFIG_METADATA!$B$4),IF(DATOS!$G5282="EX",1,IF(DATOS!$G5282="OR",--(COUNTIFS(nNIA,DATOS!$A5282,nCURSO,DATOS!$D5282,nESPEC,DATOS!$E5282,nASIG,DATOS!$I5282,nEVAL,"EX")=0),0))))</f>
      </c>
      <c r="H5282">
        <f>IF(DATOS!$G5282&lt;&gt;"EX",0,--(COUNTIFS(nNIA,DATOS!$A5282,nCURSO,DATOS!$D5282,nESPEC,DATOS!$E5282,nASIG,DATOS!$I5282,nEVAL,"OR")=0))</f>
      </c>
      <c r="I5282">
        <f>IF(DATOS!$I5282="","",IFERROR(VLOOKUP(DATOS!$I5282,CONFIG_ASIGNATURAS!$B$2:$J$91,9,FALSE()),""))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IF(DATOS!$A5283="",0,IF(CONFIG_METADATA!$B$4&lt;&gt;"OR+EX",--(DATOS!$G5283=CONFIG_METADATA!$B$4),IF(DATOS!$G5283="EX",1,IF(DATOS!$G5283="OR",--(COUNTIFS(nNIA,DATOS!$A5283,nCURSO,DATOS!$D5283,nESPEC,DATOS!$E5283,nASIG,DATOS!$I5283,nEVAL,"EX")=0),0))))</f>
      </c>
      <c r="H5283">
        <f>IF(DATOS!$G5283&lt;&gt;"EX",0,--(COUNTIFS(nNIA,DATOS!$A5283,nCURSO,DATOS!$D5283,nESPEC,DATOS!$E5283,nASIG,DATOS!$I5283,nEVAL,"OR")=0))</f>
      </c>
      <c r="I5283">
        <f>IF(DATOS!$I5283="","",IFERROR(VLOOKUP(DATOS!$I5283,CONFIG_ASIGNATURAS!$B$2:$J$91,9,FALSE()),""))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IF(DATOS!$A5284="",0,IF(CONFIG_METADATA!$B$4&lt;&gt;"OR+EX",--(DATOS!$G5284=CONFIG_METADATA!$B$4),IF(DATOS!$G5284="EX",1,IF(DATOS!$G5284="OR",--(COUNTIFS(nNIA,DATOS!$A5284,nCURSO,DATOS!$D5284,nESPEC,DATOS!$E5284,nASIG,DATOS!$I5284,nEVAL,"EX")=0),0))))</f>
      </c>
      <c r="H5284">
        <f>IF(DATOS!$G5284&lt;&gt;"EX",0,--(COUNTIFS(nNIA,DATOS!$A5284,nCURSO,DATOS!$D5284,nESPEC,DATOS!$E5284,nASIG,DATOS!$I5284,nEVAL,"OR")=0))</f>
      </c>
      <c r="I5284">
        <f>IF(DATOS!$I5284="","",IFERROR(VLOOKUP(DATOS!$I5284,CONFIG_ASIGNATURAS!$B$2:$J$91,9,FALSE()),""))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IF(DATOS!$A5285="",0,IF(CONFIG_METADATA!$B$4&lt;&gt;"OR+EX",--(DATOS!$G5285=CONFIG_METADATA!$B$4),IF(DATOS!$G5285="EX",1,IF(DATOS!$G5285="OR",--(COUNTIFS(nNIA,DATOS!$A5285,nCURSO,DATOS!$D5285,nESPEC,DATOS!$E5285,nASIG,DATOS!$I5285,nEVAL,"EX")=0),0))))</f>
      </c>
      <c r="H5285">
        <f>IF(DATOS!$G5285&lt;&gt;"EX",0,--(COUNTIFS(nNIA,DATOS!$A5285,nCURSO,DATOS!$D5285,nESPEC,DATOS!$E5285,nASIG,DATOS!$I5285,nEVAL,"OR")=0))</f>
      </c>
      <c r="I5285">
        <f>IF(DATOS!$I5285="","",IFERROR(VLOOKUP(DATOS!$I5285,CONFIG_ASIGNATURAS!$B$2:$J$91,9,FALSE()),""))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IF(DATOS!$A5286="",0,IF(CONFIG_METADATA!$B$4&lt;&gt;"OR+EX",--(DATOS!$G5286=CONFIG_METADATA!$B$4),IF(DATOS!$G5286="EX",1,IF(DATOS!$G5286="OR",--(COUNTIFS(nNIA,DATOS!$A5286,nCURSO,DATOS!$D5286,nESPEC,DATOS!$E5286,nASIG,DATOS!$I5286,nEVAL,"EX")=0),0))))</f>
      </c>
      <c r="H5286">
        <f>IF(DATOS!$G5286&lt;&gt;"EX",0,--(COUNTIFS(nNIA,DATOS!$A5286,nCURSO,DATOS!$D5286,nESPEC,DATOS!$E5286,nASIG,DATOS!$I5286,nEVAL,"OR")=0))</f>
      </c>
      <c r="I5286">
        <f>IF(DATOS!$I5286="","",IFERROR(VLOOKUP(DATOS!$I5286,CONFIG_ASIGNATURAS!$B$2:$J$91,9,FALSE()),""))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IF(DATOS!$A5287="",0,IF(CONFIG_METADATA!$B$4&lt;&gt;"OR+EX",--(DATOS!$G5287=CONFIG_METADATA!$B$4),IF(DATOS!$G5287="EX",1,IF(DATOS!$G5287="OR",--(COUNTIFS(nNIA,DATOS!$A5287,nCURSO,DATOS!$D5287,nESPEC,DATOS!$E5287,nASIG,DATOS!$I5287,nEVAL,"EX")=0),0))))</f>
      </c>
      <c r="H5287">
        <f>IF(DATOS!$G5287&lt;&gt;"EX",0,--(COUNTIFS(nNIA,DATOS!$A5287,nCURSO,DATOS!$D5287,nESPEC,DATOS!$E5287,nASIG,DATOS!$I5287,nEVAL,"OR")=0))</f>
      </c>
      <c r="I5287">
        <f>IF(DATOS!$I5287="","",IFERROR(VLOOKUP(DATOS!$I5287,CONFIG_ASIGNATURAS!$B$2:$J$91,9,FALSE()),""))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IF(DATOS!$A5288="",0,IF(CONFIG_METADATA!$B$4&lt;&gt;"OR+EX",--(DATOS!$G5288=CONFIG_METADATA!$B$4),IF(DATOS!$G5288="EX",1,IF(DATOS!$G5288="OR",--(COUNTIFS(nNIA,DATOS!$A5288,nCURSO,DATOS!$D5288,nESPEC,DATOS!$E5288,nASIG,DATOS!$I5288,nEVAL,"EX")=0),0))))</f>
      </c>
      <c r="H5288">
        <f>IF(DATOS!$G5288&lt;&gt;"EX",0,--(COUNTIFS(nNIA,DATOS!$A5288,nCURSO,DATOS!$D5288,nESPEC,DATOS!$E5288,nASIG,DATOS!$I5288,nEVAL,"OR")=0))</f>
      </c>
      <c r="I5288">
        <f>IF(DATOS!$I5288="","",IFERROR(VLOOKUP(DATOS!$I5288,CONFIG_ASIGNATURAS!$B$2:$J$91,9,FALSE()),""))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IF(DATOS!$A5289="",0,IF(CONFIG_METADATA!$B$4&lt;&gt;"OR+EX",--(DATOS!$G5289=CONFIG_METADATA!$B$4),IF(DATOS!$G5289="EX",1,IF(DATOS!$G5289="OR",--(COUNTIFS(nNIA,DATOS!$A5289,nCURSO,DATOS!$D5289,nESPEC,DATOS!$E5289,nASIG,DATOS!$I5289,nEVAL,"EX")=0),0))))</f>
      </c>
      <c r="H5289">
        <f>IF(DATOS!$G5289&lt;&gt;"EX",0,--(COUNTIFS(nNIA,DATOS!$A5289,nCURSO,DATOS!$D5289,nESPEC,DATOS!$E5289,nASIG,DATOS!$I5289,nEVAL,"OR")=0))</f>
      </c>
      <c r="I5289">
        <f>IF(DATOS!$I5289="","",IFERROR(VLOOKUP(DATOS!$I5289,CONFIG_ASIGNATURAS!$B$2:$J$91,9,FALSE()),""))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IF(DATOS!$A5290="",0,IF(CONFIG_METADATA!$B$4&lt;&gt;"OR+EX",--(DATOS!$G5290=CONFIG_METADATA!$B$4),IF(DATOS!$G5290="EX",1,IF(DATOS!$G5290="OR",--(COUNTIFS(nNIA,DATOS!$A5290,nCURSO,DATOS!$D5290,nESPEC,DATOS!$E5290,nASIG,DATOS!$I5290,nEVAL,"EX")=0),0))))</f>
      </c>
      <c r="H5290">
        <f>IF(DATOS!$G5290&lt;&gt;"EX",0,--(COUNTIFS(nNIA,DATOS!$A5290,nCURSO,DATOS!$D5290,nESPEC,DATOS!$E5290,nASIG,DATOS!$I5290,nEVAL,"OR")=0))</f>
      </c>
      <c r="I5290">
        <f>IF(DATOS!$I5290="","",IFERROR(VLOOKUP(DATOS!$I5290,CONFIG_ASIGNATURAS!$B$2:$J$91,9,FALSE()),""))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IF(DATOS!$A5291="",0,IF(CONFIG_METADATA!$B$4&lt;&gt;"OR+EX",--(DATOS!$G5291=CONFIG_METADATA!$B$4),IF(DATOS!$G5291="EX",1,IF(DATOS!$G5291="OR",--(COUNTIFS(nNIA,DATOS!$A5291,nCURSO,DATOS!$D5291,nESPEC,DATOS!$E5291,nASIG,DATOS!$I5291,nEVAL,"EX")=0),0))))</f>
      </c>
      <c r="H5291">
        <f>IF(DATOS!$G5291&lt;&gt;"EX",0,--(COUNTIFS(nNIA,DATOS!$A5291,nCURSO,DATOS!$D5291,nESPEC,DATOS!$E5291,nASIG,DATOS!$I5291,nEVAL,"OR")=0))</f>
      </c>
      <c r="I5291">
        <f>IF(DATOS!$I5291="","",IFERROR(VLOOKUP(DATOS!$I5291,CONFIG_ASIGNATURAS!$B$2:$J$91,9,FALSE()),""))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IF(DATOS!$A5292="",0,IF(CONFIG_METADATA!$B$4&lt;&gt;"OR+EX",--(DATOS!$G5292=CONFIG_METADATA!$B$4),IF(DATOS!$G5292="EX",1,IF(DATOS!$G5292="OR",--(COUNTIFS(nNIA,DATOS!$A5292,nCURSO,DATOS!$D5292,nESPEC,DATOS!$E5292,nASIG,DATOS!$I5292,nEVAL,"EX")=0),0))))</f>
      </c>
      <c r="H5292">
        <f>IF(DATOS!$G5292&lt;&gt;"EX",0,--(COUNTIFS(nNIA,DATOS!$A5292,nCURSO,DATOS!$D5292,nESPEC,DATOS!$E5292,nASIG,DATOS!$I5292,nEVAL,"OR")=0))</f>
      </c>
      <c r="I5292">
        <f>IF(DATOS!$I5292="","",IFERROR(VLOOKUP(DATOS!$I5292,CONFIG_ASIGNATURAS!$B$2:$J$91,9,FALSE()),""))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IF(DATOS!$A5293="",0,IF(CONFIG_METADATA!$B$4&lt;&gt;"OR+EX",--(DATOS!$G5293=CONFIG_METADATA!$B$4),IF(DATOS!$G5293="EX",1,IF(DATOS!$G5293="OR",--(COUNTIFS(nNIA,DATOS!$A5293,nCURSO,DATOS!$D5293,nESPEC,DATOS!$E5293,nASIG,DATOS!$I5293,nEVAL,"EX")=0),0))))</f>
      </c>
      <c r="H5293">
        <f>IF(DATOS!$G5293&lt;&gt;"EX",0,--(COUNTIFS(nNIA,DATOS!$A5293,nCURSO,DATOS!$D5293,nESPEC,DATOS!$E5293,nASIG,DATOS!$I5293,nEVAL,"OR")=0))</f>
      </c>
      <c r="I5293">
        <f>IF(DATOS!$I5293="","",IFERROR(VLOOKUP(DATOS!$I5293,CONFIG_ASIGNATURAS!$B$2:$J$91,9,FALSE()),""))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IF(DATOS!$A5294="",0,IF(CONFIG_METADATA!$B$4&lt;&gt;"OR+EX",--(DATOS!$G5294=CONFIG_METADATA!$B$4),IF(DATOS!$G5294="EX",1,IF(DATOS!$G5294="OR",--(COUNTIFS(nNIA,DATOS!$A5294,nCURSO,DATOS!$D5294,nESPEC,DATOS!$E5294,nASIG,DATOS!$I5294,nEVAL,"EX")=0),0))))</f>
      </c>
      <c r="H5294">
        <f>IF(DATOS!$G5294&lt;&gt;"EX",0,--(COUNTIFS(nNIA,DATOS!$A5294,nCURSO,DATOS!$D5294,nESPEC,DATOS!$E5294,nASIG,DATOS!$I5294,nEVAL,"OR")=0))</f>
      </c>
      <c r="I5294">
        <f>IF(DATOS!$I5294="","",IFERROR(VLOOKUP(DATOS!$I5294,CONFIG_ASIGNATURAS!$B$2:$J$91,9,FALSE()),""))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IF(DATOS!$A5295="",0,IF(CONFIG_METADATA!$B$4&lt;&gt;"OR+EX",--(DATOS!$G5295=CONFIG_METADATA!$B$4),IF(DATOS!$G5295="EX",1,IF(DATOS!$G5295="OR",--(COUNTIFS(nNIA,DATOS!$A5295,nCURSO,DATOS!$D5295,nESPEC,DATOS!$E5295,nASIG,DATOS!$I5295,nEVAL,"EX")=0),0))))</f>
      </c>
      <c r="H5295">
        <f>IF(DATOS!$G5295&lt;&gt;"EX",0,--(COUNTIFS(nNIA,DATOS!$A5295,nCURSO,DATOS!$D5295,nESPEC,DATOS!$E5295,nASIG,DATOS!$I5295,nEVAL,"OR")=0))</f>
      </c>
      <c r="I5295">
        <f>IF(DATOS!$I5295="","",IFERROR(VLOOKUP(DATOS!$I5295,CONFIG_ASIGNATURAS!$B$2:$J$91,9,FALSE()),""))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IF(DATOS!$A5296="",0,IF(CONFIG_METADATA!$B$4&lt;&gt;"OR+EX",--(DATOS!$G5296=CONFIG_METADATA!$B$4),IF(DATOS!$G5296="EX",1,IF(DATOS!$G5296="OR",--(COUNTIFS(nNIA,DATOS!$A5296,nCURSO,DATOS!$D5296,nESPEC,DATOS!$E5296,nASIG,DATOS!$I5296,nEVAL,"EX")=0),0))))</f>
      </c>
      <c r="H5296">
        <f>IF(DATOS!$G5296&lt;&gt;"EX",0,--(COUNTIFS(nNIA,DATOS!$A5296,nCURSO,DATOS!$D5296,nESPEC,DATOS!$E5296,nASIG,DATOS!$I5296,nEVAL,"OR")=0))</f>
      </c>
      <c r="I5296">
        <f>IF(DATOS!$I5296="","",IFERROR(VLOOKUP(DATOS!$I5296,CONFIG_ASIGNATURAS!$B$2:$J$91,9,FALSE()),""))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IF(DATOS!$A5297="",0,IF(CONFIG_METADATA!$B$4&lt;&gt;"OR+EX",--(DATOS!$G5297=CONFIG_METADATA!$B$4),IF(DATOS!$G5297="EX",1,IF(DATOS!$G5297="OR",--(COUNTIFS(nNIA,DATOS!$A5297,nCURSO,DATOS!$D5297,nESPEC,DATOS!$E5297,nASIG,DATOS!$I5297,nEVAL,"EX")=0),0))))</f>
      </c>
      <c r="H5297">
        <f>IF(DATOS!$G5297&lt;&gt;"EX",0,--(COUNTIFS(nNIA,DATOS!$A5297,nCURSO,DATOS!$D5297,nESPEC,DATOS!$E5297,nASIG,DATOS!$I5297,nEVAL,"OR")=0))</f>
      </c>
      <c r="I5297">
        <f>IF(DATOS!$I5297="","",IFERROR(VLOOKUP(DATOS!$I5297,CONFIG_ASIGNATURAS!$B$2:$J$91,9,FALSE()),""))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IF(DATOS!$A5298="",0,IF(CONFIG_METADATA!$B$4&lt;&gt;"OR+EX",--(DATOS!$G5298=CONFIG_METADATA!$B$4),IF(DATOS!$G5298="EX",1,IF(DATOS!$G5298="OR",--(COUNTIFS(nNIA,DATOS!$A5298,nCURSO,DATOS!$D5298,nESPEC,DATOS!$E5298,nASIG,DATOS!$I5298,nEVAL,"EX")=0),0))))</f>
      </c>
      <c r="H5298">
        <f>IF(DATOS!$G5298&lt;&gt;"EX",0,--(COUNTIFS(nNIA,DATOS!$A5298,nCURSO,DATOS!$D5298,nESPEC,DATOS!$E5298,nASIG,DATOS!$I5298,nEVAL,"OR")=0))</f>
      </c>
      <c r="I5298">
        <f>IF(DATOS!$I5298="","",IFERROR(VLOOKUP(DATOS!$I5298,CONFIG_ASIGNATURAS!$B$2:$J$91,9,FALSE()),""))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IF(DATOS!$A5299="",0,IF(CONFIG_METADATA!$B$4&lt;&gt;"OR+EX",--(DATOS!$G5299=CONFIG_METADATA!$B$4),IF(DATOS!$G5299="EX",1,IF(DATOS!$G5299="OR",--(COUNTIFS(nNIA,DATOS!$A5299,nCURSO,DATOS!$D5299,nESPEC,DATOS!$E5299,nASIG,DATOS!$I5299,nEVAL,"EX")=0),0))))</f>
      </c>
      <c r="H5299">
        <f>IF(DATOS!$G5299&lt;&gt;"EX",0,--(COUNTIFS(nNIA,DATOS!$A5299,nCURSO,DATOS!$D5299,nESPEC,DATOS!$E5299,nASIG,DATOS!$I5299,nEVAL,"OR")=0))</f>
      </c>
      <c r="I5299">
        <f>IF(DATOS!$I5299="","",IFERROR(VLOOKUP(DATOS!$I5299,CONFIG_ASIGNATURAS!$B$2:$J$91,9,FALSE()),""))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IF(DATOS!$A5300="",0,IF(CONFIG_METADATA!$B$4&lt;&gt;"OR+EX",--(DATOS!$G5300=CONFIG_METADATA!$B$4),IF(DATOS!$G5300="EX",1,IF(DATOS!$G5300="OR",--(COUNTIFS(nNIA,DATOS!$A5300,nCURSO,DATOS!$D5300,nESPEC,DATOS!$E5300,nASIG,DATOS!$I5300,nEVAL,"EX")=0),0))))</f>
      </c>
      <c r="H5300">
        <f>IF(DATOS!$G5300&lt;&gt;"EX",0,--(COUNTIFS(nNIA,DATOS!$A5300,nCURSO,DATOS!$D5300,nESPEC,DATOS!$E5300,nASIG,DATOS!$I5300,nEVAL,"OR")=0))</f>
      </c>
      <c r="I5300">
        <f>IF(DATOS!$I5300="","",IFERROR(VLOOKUP(DATOS!$I5300,CONFIG_ASIGNATURAS!$B$2:$J$91,9,FALSE()),""))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IF(DATOS!$A5301="",0,IF(CONFIG_METADATA!$B$4&lt;&gt;"OR+EX",--(DATOS!$G5301=CONFIG_METADATA!$B$4),IF(DATOS!$G5301="EX",1,IF(DATOS!$G5301="OR",--(COUNTIFS(nNIA,DATOS!$A5301,nCURSO,DATOS!$D5301,nESPEC,DATOS!$E5301,nASIG,DATOS!$I5301,nEVAL,"EX")=0),0))))</f>
      </c>
      <c r="H5301">
        <f>IF(DATOS!$G5301&lt;&gt;"EX",0,--(COUNTIFS(nNIA,DATOS!$A5301,nCURSO,DATOS!$D5301,nESPEC,DATOS!$E5301,nASIG,DATOS!$I5301,nEVAL,"OR")=0))</f>
      </c>
      <c r="I5301">
        <f>IF(DATOS!$I5301="","",IFERROR(VLOOKUP(DATOS!$I5301,CONFIG_ASIGNATURAS!$B$2:$J$91,9,FALSE()),""))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IF(DATOS!$A5302="",0,IF(CONFIG_METADATA!$B$4&lt;&gt;"OR+EX",--(DATOS!$G5302=CONFIG_METADATA!$B$4),IF(DATOS!$G5302="EX",1,IF(DATOS!$G5302="OR",--(COUNTIFS(nNIA,DATOS!$A5302,nCURSO,DATOS!$D5302,nESPEC,DATOS!$E5302,nASIG,DATOS!$I5302,nEVAL,"EX")=0),0))))</f>
      </c>
      <c r="H5302">
        <f>IF(DATOS!$G5302&lt;&gt;"EX",0,--(COUNTIFS(nNIA,DATOS!$A5302,nCURSO,DATOS!$D5302,nESPEC,DATOS!$E5302,nASIG,DATOS!$I5302,nEVAL,"OR")=0))</f>
      </c>
      <c r="I5302">
        <f>IF(DATOS!$I5302="","",IFERROR(VLOOKUP(DATOS!$I5302,CONFIG_ASIGNATURAS!$B$2:$J$91,9,FALSE()),""))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IF(DATOS!$A5303="",0,IF(CONFIG_METADATA!$B$4&lt;&gt;"OR+EX",--(DATOS!$G5303=CONFIG_METADATA!$B$4),IF(DATOS!$G5303="EX",1,IF(DATOS!$G5303="OR",--(COUNTIFS(nNIA,DATOS!$A5303,nCURSO,DATOS!$D5303,nESPEC,DATOS!$E5303,nASIG,DATOS!$I5303,nEVAL,"EX")=0),0))))</f>
      </c>
      <c r="H5303">
        <f>IF(DATOS!$G5303&lt;&gt;"EX",0,--(COUNTIFS(nNIA,DATOS!$A5303,nCURSO,DATOS!$D5303,nESPEC,DATOS!$E5303,nASIG,DATOS!$I5303,nEVAL,"OR")=0))</f>
      </c>
      <c r="I5303">
        <f>IF(DATOS!$I5303="","",IFERROR(VLOOKUP(DATOS!$I5303,CONFIG_ASIGNATURAS!$B$2:$J$91,9,FALSE()),""))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IF(DATOS!$A5304="",0,IF(CONFIG_METADATA!$B$4&lt;&gt;"OR+EX",--(DATOS!$G5304=CONFIG_METADATA!$B$4),IF(DATOS!$G5304="EX",1,IF(DATOS!$G5304="OR",--(COUNTIFS(nNIA,DATOS!$A5304,nCURSO,DATOS!$D5304,nESPEC,DATOS!$E5304,nASIG,DATOS!$I5304,nEVAL,"EX")=0),0))))</f>
      </c>
      <c r="H5304">
        <f>IF(DATOS!$G5304&lt;&gt;"EX",0,--(COUNTIFS(nNIA,DATOS!$A5304,nCURSO,DATOS!$D5304,nESPEC,DATOS!$E5304,nASIG,DATOS!$I5304,nEVAL,"OR")=0))</f>
      </c>
      <c r="I5304">
        <f>IF(DATOS!$I5304="","",IFERROR(VLOOKUP(DATOS!$I5304,CONFIG_ASIGNATURAS!$B$2:$J$91,9,FALSE()),""))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IF(DATOS!$A5305="",0,IF(CONFIG_METADATA!$B$4&lt;&gt;"OR+EX",--(DATOS!$G5305=CONFIG_METADATA!$B$4),IF(DATOS!$G5305="EX",1,IF(DATOS!$G5305="OR",--(COUNTIFS(nNIA,DATOS!$A5305,nCURSO,DATOS!$D5305,nESPEC,DATOS!$E5305,nASIG,DATOS!$I5305,nEVAL,"EX")=0),0))))</f>
      </c>
      <c r="H5305">
        <f>IF(DATOS!$G5305&lt;&gt;"EX",0,--(COUNTIFS(nNIA,DATOS!$A5305,nCURSO,DATOS!$D5305,nESPEC,DATOS!$E5305,nASIG,DATOS!$I5305,nEVAL,"OR")=0))</f>
      </c>
      <c r="I5305">
        <f>IF(DATOS!$I5305="","",IFERROR(VLOOKUP(DATOS!$I5305,CONFIG_ASIGNATURAS!$B$2:$J$91,9,FALSE()),""))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IF(DATOS!$A5306="",0,IF(CONFIG_METADATA!$B$4&lt;&gt;"OR+EX",--(DATOS!$G5306=CONFIG_METADATA!$B$4),IF(DATOS!$G5306="EX",1,IF(DATOS!$G5306="OR",--(COUNTIFS(nNIA,DATOS!$A5306,nCURSO,DATOS!$D5306,nESPEC,DATOS!$E5306,nASIG,DATOS!$I5306,nEVAL,"EX")=0),0))))</f>
      </c>
      <c r="H5306">
        <f>IF(DATOS!$G5306&lt;&gt;"EX",0,--(COUNTIFS(nNIA,DATOS!$A5306,nCURSO,DATOS!$D5306,nESPEC,DATOS!$E5306,nASIG,DATOS!$I5306,nEVAL,"OR")=0))</f>
      </c>
      <c r="I5306">
        <f>IF(DATOS!$I5306="","",IFERROR(VLOOKUP(DATOS!$I5306,CONFIG_ASIGNATURAS!$B$2:$J$91,9,FALSE()),""))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IF(DATOS!$A5307="",0,IF(CONFIG_METADATA!$B$4&lt;&gt;"OR+EX",--(DATOS!$G5307=CONFIG_METADATA!$B$4),IF(DATOS!$G5307="EX",1,IF(DATOS!$G5307="OR",--(COUNTIFS(nNIA,DATOS!$A5307,nCURSO,DATOS!$D5307,nESPEC,DATOS!$E5307,nASIG,DATOS!$I5307,nEVAL,"EX")=0),0))))</f>
      </c>
      <c r="H5307">
        <f>IF(DATOS!$G5307&lt;&gt;"EX",0,--(COUNTIFS(nNIA,DATOS!$A5307,nCURSO,DATOS!$D5307,nESPEC,DATOS!$E5307,nASIG,DATOS!$I5307,nEVAL,"OR")=0))</f>
      </c>
      <c r="I5307">
        <f>IF(DATOS!$I5307="","",IFERROR(VLOOKUP(DATOS!$I5307,CONFIG_ASIGNATURAS!$B$2:$J$91,9,FALSE()),""))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IF(DATOS!$A5308="",0,IF(CONFIG_METADATA!$B$4&lt;&gt;"OR+EX",--(DATOS!$G5308=CONFIG_METADATA!$B$4),IF(DATOS!$G5308="EX",1,IF(DATOS!$G5308="OR",--(COUNTIFS(nNIA,DATOS!$A5308,nCURSO,DATOS!$D5308,nESPEC,DATOS!$E5308,nASIG,DATOS!$I5308,nEVAL,"EX")=0),0))))</f>
      </c>
      <c r="H5308">
        <f>IF(DATOS!$G5308&lt;&gt;"EX",0,--(COUNTIFS(nNIA,DATOS!$A5308,nCURSO,DATOS!$D5308,nESPEC,DATOS!$E5308,nASIG,DATOS!$I5308,nEVAL,"OR")=0))</f>
      </c>
      <c r="I5308">
        <f>IF(DATOS!$I5308="","",IFERROR(VLOOKUP(DATOS!$I5308,CONFIG_ASIGNATURAS!$B$2:$J$91,9,FALSE()),""))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IF(DATOS!$A5309="",0,IF(CONFIG_METADATA!$B$4&lt;&gt;"OR+EX",--(DATOS!$G5309=CONFIG_METADATA!$B$4),IF(DATOS!$G5309="EX",1,IF(DATOS!$G5309="OR",--(COUNTIFS(nNIA,DATOS!$A5309,nCURSO,DATOS!$D5309,nESPEC,DATOS!$E5309,nASIG,DATOS!$I5309,nEVAL,"EX")=0),0))))</f>
      </c>
      <c r="H5309">
        <f>IF(DATOS!$G5309&lt;&gt;"EX",0,--(COUNTIFS(nNIA,DATOS!$A5309,nCURSO,DATOS!$D5309,nESPEC,DATOS!$E5309,nASIG,DATOS!$I5309,nEVAL,"OR")=0))</f>
      </c>
      <c r="I5309">
        <f>IF(DATOS!$I5309="","",IFERROR(VLOOKUP(DATOS!$I5309,CONFIG_ASIGNATURAS!$B$2:$J$91,9,FALSE()),""))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IF(DATOS!$A5310="",0,IF(CONFIG_METADATA!$B$4&lt;&gt;"OR+EX",--(DATOS!$G5310=CONFIG_METADATA!$B$4),IF(DATOS!$G5310="EX",1,IF(DATOS!$G5310="OR",--(COUNTIFS(nNIA,DATOS!$A5310,nCURSO,DATOS!$D5310,nESPEC,DATOS!$E5310,nASIG,DATOS!$I5310,nEVAL,"EX")=0),0))))</f>
      </c>
      <c r="H5310">
        <f>IF(DATOS!$G5310&lt;&gt;"EX",0,--(COUNTIFS(nNIA,DATOS!$A5310,nCURSO,DATOS!$D5310,nESPEC,DATOS!$E5310,nASIG,DATOS!$I5310,nEVAL,"OR")=0))</f>
      </c>
      <c r="I5310">
        <f>IF(DATOS!$I5310="","",IFERROR(VLOOKUP(DATOS!$I5310,CONFIG_ASIGNATURAS!$B$2:$J$91,9,FALSE()),""))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IF(DATOS!$A5311="",0,IF(CONFIG_METADATA!$B$4&lt;&gt;"OR+EX",--(DATOS!$G5311=CONFIG_METADATA!$B$4),IF(DATOS!$G5311="EX",1,IF(DATOS!$G5311="OR",--(COUNTIFS(nNIA,DATOS!$A5311,nCURSO,DATOS!$D5311,nESPEC,DATOS!$E5311,nASIG,DATOS!$I5311,nEVAL,"EX")=0),0))))</f>
      </c>
      <c r="H5311">
        <f>IF(DATOS!$G5311&lt;&gt;"EX",0,--(COUNTIFS(nNIA,DATOS!$A5311,nCURSO,DATOS!$D5311,nESPEC,DATOS!$E5311,nASIG,DATOS!$I5311,nEVAL,"OR")=0))</f>
      </c>
      <c r="I5311">
        <f>IF(DATOS!$I5311="","",IFERROR(VLOOKUP(DATOS!$I5311,CONFIG_ASIGNATURAS!$B$2:$J$91,9,FALSE()),""))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IF(DATOS!$A5312="",0,IF(CONFIG_METADATA!$B$4&lt;&gt;"OR+EX",--(DATOS!$G5312=CONFIG_METADATA!$B$4),IF(DATOS!$G5312="EX",1,IF(DATOS!$G5312="OR",--(COUNTIFS(nNIA,DATOS!$A5312,nCURSO,DATOS!$D5312,nESPEC,DATOS!$E5312,nASIG,DATOS!$I5312,nEVAL,"EX")=0),0))))</f>
      </c>
      <c r="H5312">
        <f>IF(DATOS!$G5312&lt;&gt;"EX",0,--(COUNTIFS(nNIA,DATOS!$A5312,nCURSO,DATOS!$D5312,nESPEC,DATOS!$E5312,nASIG,DATOS!$I5312,nEVAL,"OR")=0))</f>
      </c>
      <c r="I5312">
        <f>IF(DATOS!$I5312="","",IFERROR(VLOOKUP(DATOS!$I5312,CONFIG_ASIGNATURAS!$B$2:$J$91,9,FALSE()),""))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IF(DATOS!$A5313="",0,IF(CONFIG_METADATA!$B$4&lt;&gt;"OR+EX",--(DATOS!$G5313=CONFIG_METADATA!$B$4),IF(DATOS!$G5313="EX",1,IF(DATOS!$G5313="OR",--(COUNTIFS(nNIA,DATOS!$A5313,nCURSO,DATOS!$D5313,nESPEC,DATOS!$E5313,nASIG,DATOS!$I5313,nEVAL,"EX")=0),0))))</f>
      </c>
      <c r="H5313">
        <f>IF(DATOS!$G5313&lt;&gt;"EX",0,--(COUNTIFS(nNIA,DATOS!$A5313,nCURSO,DATOS!$D5313,nESPEC,DATOS!$E5313,nASIG,DATOS!$I5313,nEVAL,"OR")=0))</f>
      </c>
      <c r="I5313">
        <f>IF(DATOS!$I5313="","",IFERROR(VLOOKUP(DATOS!$I5313,CONFIG_ASIGNATURAS!$B$2:$J$91,9,FALSE()),""))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IF(DATOS!$A5314="",0,IF(CONFIG_METADATA!$B$4&lt;&gt;"OR+EX",--(DATOS!$G5314=CONFIG_METADATA!$B$4),IF(DATOS!$G5314="EX",1,IF(DATOS!$G5314="OR",--(COUNTIFS(nNIA,DATOS!$A5314,nCURSO,DATOS!$D5314,nESPEC,DATOS!$E5314,nASIG,DATOS!$I5314,nEVAL,"EX")=0),0))))</f>
      </c>
      <c r="H5314">
        <f>IF(DATOS!$G5314&lt;&gt;"EX",0,--(COUNTIFS(nNIA,DATOS!$A5314,nCURSO,DATOS!$D5314,nESPEC,DATOS!$E5314,nASIG,DATOS!$I5314,nEVAL,"OR")=0))</f>
      </c>
      <c r="I5314">
        <f>IF(DATOS!$I5314="","",IFERROR(VLOOKUP(DATOS!$I5314,CONFIG_ASIGNATURAS!$B$2:$J$91,9,FALSE()),""))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IF(DATOS!$A5315="",0,IF(CONFIG_METADATA!$B$4&lt;&gt;"OR+EX",--(DATOS!$G5315=CONFIG_METADATA!$B$4),IF(DATOS!$G5315="EX",1,IF(DATOS!$G5315="OR",--(COUNTIFS(nNIA,DATOS!$A5315,nCURSO,DATOS!$D5315,nESPEC,DATOS!$E5315,nASIG,DATOS!$I5315,nEVAL,"EX")=0),0))))</f>
      </c>
      <c r="H5315">
        <f>IF(DATOS!$G5315&lt;&gt;"EX",0,--(COUNTIFS(nNIA,DATOS!$A5315,nCURSO,DATOS!$D5315,nESPEC,DATOS!$E5315,nASIG,DATOS!$I5315,nEVAL,"OR")=0))</f>
      </c>
      <c r="I5315">
        <f>IF(DATOS!$I5315="","",IFERROR(VLOOKUP(DATOS!$I5315,CONFIG_ASIGNATURAS!$B$2:$J$91,9,FALSE()),""))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IF(DATOS!$A5316="",0,IF(CONFIG_METADATA!$B$4&lt;&gt;"OR+EX",--(DATOS!$G5316=CONFIG_METADATA!$B$4),IF(DATOS!$G5316="EX",1,IF(DATOS!$G5316="OR",--(COUNTIFS(nNIA,DATOS!$A5316,nCURSO,DATOS!$D5316,nESPEC,DATOS!$E5316,nASIG,DATOS!$I5316,nEVAL,"EX")=0),0))))</f>
      </c>
      <c r="H5316">
        <f>IF(DATOS!$G5316&lt;&gt;"EX",0,--(COUNTIFS(nNIA,DATOS!$A5316,nCURSO,DATOS!$D5316,nESPEC,DATOS!$E5316,nASIG,DATOS!$I5316,nEVAL,"OR")=0))</f>
      </c>
      <c r="I5316">
        <f>IF(DATOS!$I5316="","",IFERROR(VLOOKUP(DATOS!$I5316,CONFIG_ASIGNATURAS!$B$2:$J$91,9,FALSE()),""))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IF(DATOS!$A5317="",0,IF(CONFIG_METADATA!$B$4&lt;&gt;"OR+EX",--(DATOS!$G5317=CONFIG_METADATA!$B$4),IF(DATOS!$G5317="EX",1,IF(DATOS!$G5317="OR",--(COUNTIFS(nNIA,DATOS!$A5317,nCURSO,DATOS!$D5317,nESPEC,DATOS!$E5317,nASIG,DATOS!$I5317,nEVAL,"EX")=0),0))))</f>
      </c>
      <c r="H5317">
        <f>IF(DATOS!$G5317&lt;&gt;"EX",0,--(COUNTIFS(nNIA,DATOS!$A5317,nCURSO,DATOS!$D5317,nESPEC,DATOS!$E5317,nASIG,DATOS!$I5317,nEVAL,"OR")=0))</f>
      </c>
      <c r="I5317">
        <f>IF(DATOS!$I5317="","",IFERROR(VLOOKUP(DATOS!$I5317,CONFIG_ASIGNATURAS!$B$2:$J$91,9,FALSE()),""))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IF(DATOS!$A5318="",0,IF(CONFIG_METADATA!$B$4&lt;&gt;"OR+EX",--(DATOS!$G5318=CONFIG_METADATA!$B$4),IF(DATOS!$G5318="EX",1,IF(DATOS!$G5318="OR",--(COUNTIFS(nNIA,DATOS!$A5318,nCURSO,DATOS!$D5318,nESPEC,DATOS!$E5318,nASIG,DATOS!$I5318,nEVAL,"EX")=0),0))))</f>
      </c>
      <c r="H5318">
        <f>IF(DATOS!$G5318&lt;&gt;"EX",0,--(COUNTIFS(nNIA,DATOS!$A5318,nCURSO,DATOS!$D5318,nESPEC,DATOS!$E5318,nASIG,DATOS!$I5318,nEVAL,"OR")=0))</f>
      </c>
      <c r="I5318">
        <f>IF(DATOS!$I5318="","",IFERROR(VLOOKUP(DATOS!$I5318,CONFIG_ASIGNATURAS!$B$2:$J$91,9,FALSE()),""))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IF(DATOS!$A5319="",0,IF(CONFIG_METADATA!$B$4&lt;&gt;"OR+EX",--(DATOS!$G5319=CONFIG_METADATA!$B$4),IF(DATOS!$G5319="EX",1,IF(DATOS!$G5319="OR",--(COUNTIFS(nNIA,DATOS!$A5319,nCURSO,DATOS!$D5319,nESPEC,DATOS!$E5319,nASIG,DATOS!$I5319,nEVAL,"EX")=0),0))))</f>
      </c>
      <c r="H5319">
        <f>IF(DATOS!$G5319&lt;&gt;"EX",0,--(COUNTIFS(nNIA,DATOS!$A5319,nCURSO,DATOS!$D5319,nESPEC,DATOS!$E5319,nASIG,DATOS!$I5319,nEVAL,"OR")=0))</f>
      </c>
      <c r="I5319">
        <f>IF(DATOS!$I5319="","",IFERROR(VLOOKUP(DATOS!$I5319,CONFIG_ASIGNATURAS!$B$2:$J$91,9,FALSE()),""))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IF(DATOS!$A5320="",0,IF(CONFIG_METADATA!$B$4&lt;&gt;"OR+EX",--(DATOS!$G5320=CONFIG_METADATA!$B$4),IF(DATOS!$G5320="EX",1,IF(DATOS!$G5320="OR",--(COUNTIFS(nNIA,DATOS!$A5320,nCURSO,DATOS!$D5320,nESPEC,DATOS!$E5320,nASIG,DATOS!$I5320,nEVAL,"EX")=0),0))))</f>
      </c>
      <c r="H5320">
        <f>IF(DATOS!$G5320&lt;&gt;"EX",0,--(COUNTIFS(nNIA,DATOS!$A5320,nCURSO,DATOS!$D5320,nESPEC,DATOS!$E5320,nASIG,DATOS!$I5320,nEVAL,"OR")=0))</f>
      </c>
      <c r="I5320">
        <f>IF(DATOS!$I5320="","",IFERROR(VLOOKUP(DATOS!$I5320,CONFIG_ASIGNATURAS!$B$2:$J$91,9,FALSE()),""))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IF(DATOS!$A5321="",0,IF(CONFIG_METADATA!$B$4&lt;&gt;"OR+EX",--(DATOS!$G5321=CONFIG_METADATA!$B$4),IF(DATOS!$G5321="EX",1,IF(DATOS!$G5321="OR",--(COUNTIFS(nNIA,DATOS!$A5321,nCURSO,DATOS!$D5321,nESPEC,DATOS!$E5321,nASIG,DATOS!$I5321,nEVAL,"EX")=0),0))))</f>
      </c>
      <c r="H5321">
        <f>IF(DATOS!$G5321&lt;&gt;"EX",0,--(COUNTIFS(nNIA,DATOS!$A5321,nCURSO,DATOS!$D5321,nESPEC,DATOS!$E5321,nASIG,DATOS!$I5321,nEVAL,"OR")=0))</f>
      </c>
      <c r="I5321">
        <f>IF(DATOS!$I5321="","",IFERROR(VLOOKUP(DATOS!$I5321,CONFIG_ASIGNATURAS!$B$2:$J$91,9,FALSE()),""))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IF(DATOS!$A5322="",0,IF(CONFIG_METADATA!$B$4&lt;&gt;"OR+EX",--(DATOS!$G5322=CONFIG_METADATA!$B$4),IF(DATOS!$G5322="EX",1,IF(DATOS!$G5322="OR",--(COUNTIFS(nNIA,DATOS!$A5322,nCURSO,DATOS!$D5322,nESPEC,DATOS!$E5322,nASIG,DATOS!$I5322,nEVAL,"EX")=0),0))))</f>
      </c>
      <c r="H5322">
        <f>IF(DATOS!$G5322&lt;&gt;"EX",0,--(COUNTIFS(nNIA,DATOS!$A5322,nCURSO,DATOS!$D5322,nESPEC,DATOS!$E5322,nASIG,DATOS!$I5322,nEVAL,"OR")=0))</f>
      </c>
      <c r="I5322">
        <f>IF(DATOS!$I5322="","",IFERROR(VLOOKUP(DATOS!$I5322,CONFIG_ASIGNATURAS!$B$2:$J$91,9,FALSE()),""))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IF(DATOS!$A5323="",0,IF(CONFIG_METADATA!$B$4&lt;&gt;"OR+EX",--(DATOS!$G5323=CONFIG_METADATA!$B$4),IF(DATOS!$G5323="EX",1,IF(DATOS!$G5323="OR",--(COUNTIFS(nNIA,DATOS!$A5323,nCURSO,DATOS!$D5323,nESPEC,DATOS!$E5323,nASIG,DATOS!$I5323,nEVAL,"EX")=0),0))))</f>
      </c>
      <c r="H5323">
        <f>IF(DATOS!$G5323&lt;&gt;"EX",0,--(COUNTIFS(nNIA,DATOS!$A5323,nCURSO,DATOS!$D5323,nESPEC,DATOS!$E5323,nASIG,DATOS!$I5323,nEVAL,"OR")=0))</f>
      </c>
      <c r="I5323">
        <f>IF(DATOS!$I5323="","",IFERROR(VLOOKUP(DATOS!$I5323,CONFIG_ASIGNATURAS!$B$2:$J$91,9,FALSE()),""))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IF(DATOS!$A5324="",0,IF(CONFIG_METADATA!$B$4&lt;&gt;"OR+EX",--(DATOS!$G5324=CONFIG_METADATA!$B$4),IF(DATOS!$G5324="EX",1,IF(DATOS!$G5324="OR",--(COUNTIFS(nNIA,DATOS!$A5324,nCURSO,DATOS!$D5324,nESPEC,DATOS!$E5324,nASIG,DATOS!$I5324,nEVAL,"EX")=0),0))))</f>
      </c>
      <c r="H5324">
        <f>IF(DATOS!$G5324&lt;&gt;"EX",0,--(COUNTIFS(nNIA,DATOS!$A5324,nCURSO,DATOS!$D5324,nESPEC,DATOS!$E5324,nASIG,DATOS!$I5324,nEVAL,"OR")=0))</f>
      </c>
      <c r="I5324">
        <f>IF(DATOS!$I5324="","",IFERROR(VLOOKUP(DATOS!$I5324,CONFIG_ASIGNATURAS!$B$2:$J$91,9,FALSE()),""))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IF(DATOS!$A5325="",0,IF(CONFIG_METADATA!$B$4&lt;&gt;"OR+EX",--(DATOS!$G5325=CONFIG_METADATA!$B$4),IF(DATOS!$G5325="EX",1,IF(DATOS!$G5325="OR",--(COUNTIFS(nNIA,DATOS!$A5325,nCURSO,DATOS!$D5325,nESPEC,DATOS!$E5325,nASIG,DATOS!$I5325,nEVAL,"EX")=0),0))))</f>
      </c>
      <c r="H5325">
        <f>IF(DATOS!$G5325&lt;&gt;"EX",0,--(COUNTIFS(nNIA,DATOS!$A5325,nCURSO,DATOS!$D5325,nESPEC,DATOS!$E5325,nASIG,DATOS!$I5325,nEVAL,"OR")=0))</f>
      </c>
      <c r="I5325">
        <f>IF(DATOS!$I5325="","",IFERROR(VLOOKUP(DATOS!$I5325,CONFIG_ASIGNATURAS!$B$2:$J$91,9,FALSE()),""))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IF(DATOS!$A5326="",0,IF(CONFIG_METADATA!$B$4&lt;&gt;"OR+EX",--(DATOS!$G5326=CONFIG_METADATA!$B$4),IF(DATOS!$G5326="EX",1,IF(DATOS!$G5326="OR",--(COUNTIFS(nNIA,DATOS!$A5326,nCURSO,DATOS!$D5326,nESPEC,DATOS!$E5326,nASIG,DATOS!$I5326,nEVAL,"EX")=0),0))))</f>
      </c>
      <c r="H5326">
        <f>IF(DATOS!$G5326&lt;&gt;"EX",0,--(COUNTIFS(nNIA,DATOS!$A5326,nCURSO,DATOS!$D5326,nESPEC,DATOS!$E5326,nASIG,DATOS!$I5326,nEVAL,"OR")=0))</f>
      </c>
      <c r="I5326">
        <f>IF(DATOS!$I5326="","",IFERROR(VLOOKUP(DATOS!$I5326,CONFIG_ASIGNATURAS!$B$2:$J$91,9,FALSE()),""))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IF(DATOS!$A5327="",0,IF(CONFIG_METADATA!$B$4&lt;&gt;"OR+EX",--(DATOS!$G5327=CONFIG_METADATA!$B$4),IF(DATOS!$G5327="EX",1,IF(DATOS!$G5327="OR",--(COUNTIFS(nNIA,DATOS!$A5327,nCURSO,DATOS!$D5327,nESPEC,DATOS!$E5327,nASIG,DATOS!$I5327,nEVAL,"EX")=0),0))))</f>
      </c>
      <c r="H5327">
        <f>IF(DATOS!$G5327&lt;&gt;"EX",0,--(COUNTIFS(nNIA,DATOS!$A5327,nCURSO,DATOS!$D5327,nESPEC,DATOS!$E5327,nASIG,DATOS!$I5327,nEVAL,"OR")=0))</f>
      </c>
      <c r="I5327">
        <f>IF(DATOS!$I5327="","",IFERROR(VLOOKUP(DATOS!$I5327,CONFIG_ASIGNATURAS!$B$2:$J$91,9,FALSE()),""))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IF(DATOS!$A5328="",0,IF(CONFIG_METADATA!$B$4&lt;&gt;"OR+EX",--(DATOS!$G5328=CONFIG_METADATA!$B$4),IF(DATOS!$G5328="EX",1,IF(DATOS!$G5328="OR",--(COUNTIFS(nNIA,DATOS!$A5328,nCURSO,DATOS!$D5328,nESPEC,DATOS!$E5328,nASIG,DATOS!$I5328,nEVAL,"EX")=0),0))))</f>
      </c>
      <c r="H5328">
        <f>IF(DATOS!$G5328&lt;&gt;"EX",0,--(COUNTIFS(nNIA,DATOS!$A5328,nCURSO,DATOS!$D5328,nESPEC,DATOS!$E5328,nASIG,DATOS!$I5328,nEVAL,"OR")=0))</f>
      </c>
      <c r="I5328">
        <f>IF(DATOS!$I5328="","",IFERROR(VLOOKUP(DATOS!$I5328,CONFIG_ASIGNATURAS!$B$2:$J$91,9,FALSE()),""))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IF(DATOS!$A5329="",0,IF(CONFIG_METADATA!$B$4&lt;&gt;"OR+EX",--(DATOS!$G5329=CONFIG_METADATA!$B$4),IF(DATOS!$G5329="EX",1,IF(DATOS!$G5329="OR",--(COUNTIFS(nNIA,DATOS!$A5329,nCURSO,DATOS!$D5329,nESPEC,DATOS!$E5329,nASIG,DATOS!$I5329,nEVAL,"EX")=0),0))))</f>
      </c>
      <c r="H5329">
        <f>IF(DATOS!$G5329&lt;&gt;"EX",0,--(COUNTIFS(nNIA,DATOS!$A5329,nCURSO,DATOS!$D5329,nESPEC,DATOS!$E5329,nASIG,DATOS!$I5329,nEVAL,"OR")=0))</f>
      </c>
      <c r="I5329">
        <f>IF(DATOS!$I5329="","",IFERROR(VLOOKUP(DATOS!$I5329,CONFIG_ASIGNATURAS!$B$2:$J$91,9,FALSE()),""))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IF(DATOS!$A5330="",0,IF(CONFIG_METADATA!$B$4&lt;&gt;"OR+EX",--(DATOS!$G5330=CONFIG_METADATA!$B$4),IF(DATOS!$G5330="EX",1,IF(DATOS!$G5330="OR",--(COUNTIFS(nNIA,DATOS!$A5330,nCURSO,DATOS!$D5330,nESPEC,DATOS!$E5330,nASIG,DATOS!$I5330,nEVAL,"EX")=0),0))))</f>
      </c>
      <c r="H5330">
        <f>IF(DATOS!$G5330&lt;&gt;"EX",0,--(COUNTIFS(nNIA,DATOS!$A5330,nCURSO,DATOS!$D5330,nESPEC,DATOS!$E5330,nASIG,DATOS!$I5330,nEVAL,"OR")=0))</f>
      </c>
      <c r="I5330">
        <f>IF(DATOS!$I5330="","",IFERROR(VLOOKUP(DATOS!$I5330,CONFIG_ASIGNATURAS!$B$2:$J$91,9,FALSE()),""))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IF(DATOS!$A5331="",0,IF(CONFIG_METADATA!$B$4&lt;&gt;"OR+EX",--(DATOS!$G5331=CONFIG_METADATA!$B$4),IF(DATOS!$G5331="EX",1,IF(DATOS!$G5331="OR",--(COUNTIFS(nNIA,DATOS!$A5331,nCURSO,DATOS!$D5331,nESPEC,DATOS!$E5331,nASIG,DATOS!$I5331,nEVAL,"EX")=0),0))))</f>
      </c>
      <c r="H5331">
        <f>IF(DATOS!$G5331&lt;&gt;"EX",0,--(COUNTIFS(nNIA,DATOS!$A5331,nCURSO,DATOS!$D5331,nESPEC,DATOS!$E5331,nASIG,DATOS!$I5331,nEVAL,"OR")=0))</f>
      </c>
      <c r="I5331">
        <f>IF(DATOS!$I5331="","",IFERROR(VLOOKUP(DATOS!$I5331,CONFIG_ASIGNATURAS!$B$2:$J$91,9,FALSE()),""))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IF(DATOS!$A5332="",0,IF(CONFIG_METADATA!$B$4&lt;&gt;"OR+EX",--(DATOS!$G5332=CONFIG_METADATA!$B$4),IF(DATOS!$G5332="EX",1,IF(DATOS!$G5332="OR",--(COUNTIFS(nNIA,DATOS!$A5332,nCURSO,DATOS!$D5332,nESPEC,DATOS!$E5332,nASIG,DATOS!$I5332,nEVAL,"EX")=0),0))))</f>
      </c>
      <c r="H5332">
        <f>IF(DATOS!$G5332&lt;&gt;"EX",0,--(COUNTIFS(nNIA,DATOS!$A5332,nCURSO,DATOS!$D5332,nESPEC,DATOS!$E5332,nASIG,DATOS!$I5332,nEVAL,"OR")=0))</f>
      </c>
      <c r="I5332">
        <f>IF(DATOS!$I5332="","",IFERROR(VLOOKUP(DATOS!$I5332,CONFIG_ASIGNATURAS!$B$2:$J$91,9,FALSE()),""))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IF(DATOS!$A5333="",0,IF(CONFIG_METADATA!$B$4&lt;&gt;"OR+EX",--(DATOS!$G5333=CONFIG_METADATA!$B$4),IF(DATOS!$G5333="EX",1,IF(DATOS!$G5333="OR",--(COUNTIFS(nNIA,DATOS!$A5333,nCURSO,DATOS!$D5333,nESPEC,DATOS!$E5333,nASIG,DATOS!$I5333,nEVAL,"EX")=0),0))))</f>
      </c>
      <c r="H5333">
        <f>IF(DATOS!$G5333&lt;&gt;"EX",0,--(COUNTIFS(nNIA,DATOS!$A5333,nCURSO,DATOS!$D5333,nESPEC,DATOS!$E5333,nASIG,DATOS!$I5333,nEVAL,"OR")=0))</f>
      </c>
      <c r="I5333">
        <f>IF(DATOS!$I5333="","",IFERROR(VLOOKUP(DATOS!$I5333,CONFIG_ASIGNATURAS!$B$2:$J$91,9,FALSE()),""))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IF(DATOS!$A5334="",0,IF(CONFIG_METADATA!$B$4&lt;&gt;"OR+EX",--(DATOS!$G5334=CONFIG_METADATA!$B$4),IF(DATOS!$G5334="EX",1,IF(DATOS!$G5334="OR",--(COUNTIFS(nNIA,DATOS!$A5334,nCURSO,DATOS!$D5334,nESPEC,DATOS!$E5334,nASIG,DATOS!$I5334,nEVAL,"EX")=0),0))))</f>
      </c>
      <c r="H5334">
        <f>IF(DATOS!$G5334&lt;&gt;"EX",0,--(COUNTIFS(nNIA,DATOS!$A5334,nCURSO,DATOS!$D5334,nESPEC,DATOS!$E5334,nASIG,DATOS!$I5334,nEVAL,"OR")=0))</f>
      </c>
      <c r="I5334">
        <f>IF(DATOS!$I5334="","",IFERROR(VLOOKUP(DATOS!$I5334,CONFIG_ASIGNATURAS!$B$2:$J$91,9,FALSE()),""))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IF(DATOS!$A5335="",0,IF(CONFIG_METADATA!$B$4&lt;&gt;"OR+EX",--(DATOS!$G5335=CONFIG_METADATA!$B$4),IF(DATOS!$G5335="EX",1,IF(DATOS!$G5335="OR",--(COUNTIFS(nNIA,DATOS!$A5335,nCURSO,DATOS!$D5335,nESPEC,DATOS!$E5335,nASIG,DATOS!$I5335,nEVAL,"EX")=0),0))))</f>
      </c>
      <c r="H5335">
        <f>IF(DATOS!$G5335&lt;&gt;"EX",0,--(COUNTIFS(nNIA,DATOS!$A5335,nCURSO,DATOS!$D5335,nESPEC,DATOS!$E5335,nASIG,DATOS!$I5335,nEVAL,"OR")=0))</f>
      </c>
      <c r="I5335">
        <f>IF(DATOS!$I5335="","",IFERROR(VLOOKUP(DATOS!$I5335,CONFIG_ASIGNATURAS!$B$2:$J$91,9,FALSE()),""))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IF(DATOS!$A5336="",0,IF(CONFIG_METADATA!$B$4&lt;&gt;"OR+EX",--(DATOS!$G5336=CONFIG_METADATA!$B$4),IF(DATOS!$G5336="EX",1,IF(DATOS!$G5336="OR",--(COUNTIFS(nNIA,DATOS!$A5336,nCURSO,DATOS!$D5336,nESPEC,DATOS!$E5336,nASIG,DATOS!$I5336,nEVAL,"EX")=0),0))))</f>
      </c>
      <c r="H5336">
        <f>IF(DATOS!$G5336&lt;&gt;"EX",0,--(COUNTIFS(nNIA,DATOS!$A5336,nCURSO,DATOS!$D5336,nESPEC,DATOS!$E5336,nASIG,DATOS!$I5336,nEVAL,"OR")=0))</f>
      </c>
      <c r="I5336">
        <f>IF(DATOS!$I5336="","",IFERROR(VLOOKUP(DATOS!$I5336,CONFIG_ASIGNATURAS!$B$2:$J$91,9,FALSE()),""))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IF(DATOS!$A5337="",0,IF(CONFIG_METADATA!$B$4&lt;&gt;"OR+EX",--(DATOS!$G5337=CONFIG_METADATA!$B$4),IF(DATOS!$G5337="EX",1,IF(DATOS!$G5337="OR",--(COUNTIFS(nNIA,DATOS!$A5337,nCURSO,DATOS!$D5337,nESPEC,DATOS!$E5337,nASIG,DATOS!$I5337,nEVAL,"EX")=0),0))))</f>
      </c>
      <c r="H5337">
        <f>IF(DATOS!$G5337&lt;&gt;"EX",0,--(COUNTIFS(nNIA,DATOS!$A5337,nCURSO,DATOS!$D5337,nESPEC,DATOS!$E5337,nASIG,DATOS!$I5337,nEVAL,"OR")=0))</f>
      </c>
      <c r="I5337">
        <f>IF(DATOS!$I5337="","",IFERROR(VLOOKUP(DATOS!$I5337,CONFIG_ASIGNATURAS!$B$2:$J$91,9,FALSE()),""))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IF(DATOS!$A5338="",0,IF(CONFIG_METADATA!$B$4&lt;&gt;"OR+EX",--(DATOS!$G5338=CONFIG_METADATA!$B$4),IF(DATOS!$G5338="EX",1,IF(DATOS!$G5338="OR",--(COUNTIFS(nNIA,DATOS!$A5338,nCURSO,DATOS!$D5338,nESPEC,DATOS!$E5338,nASIG,DATOS!$I5338,nEVAL,"EX")=0),0))))</f>
      </c>
      <c r="H5338">
        <f>IF(DATOS!$G5338&lt;&gt;"EX",0,--(COUNTIFS(nNIA,DATOS!$A5338,nCURSO,DATOS!$D5338,nESPEC,DATOS!$E5338,nASIG,DATOS!$I5338,nEVAL,"OR")=0))</f>
      </c>
      <c r="I5338">
        <f>IF(DATOS!$I5338="","",IFERROR(VLOOKUP(DATOS!$I5338,CONFIG_ASIGNATURAS!$B$2:$J$91,9,FALSE()),""))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IF(DATOS!$A5339="",0,IF(CONFIG_METADATA!$B$4&lt;&gt;"OR+EX",--(DATOS!$G5339=CONFIG_METADATA!$B$4),IF(DATOS!$G5339="EX",1,IF(DATOS!$G5339="OR",--(COUNTIFS(nNIA,DATOS!$A5339,nCURSO,DATOS!$D5339,nESPEC,DATOS!$E5339,nASIG,DATOS!$I5339,nEVAL,"EX")=0),0))))</f>
      </c>
      <c r="H5339">
        <f>IF(DATOS!$G5339&lt;&gt;"EX",0,--(COUNTIFS(nNIA,DATOS!$A5339,nCURSO,DATOS!$D5339,nESPEC,DATOS!$E5339,nASIG,DATOS!$I5339,nEVAL,"OR")=0))</f>
      </c>
      <c r="I5339">
        <f>IF(DATOS!$I5339="","",IFERROR(VLOOKUP(DATOS!$I5339,CONFIG_ASIGNATURAS!$B$2:$J$91,9,FALSE()),""))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IF(DATOS!$A5340="",0,IF(CONFIG_METADATA!$B$4&lt;&gt;"OR+EX",--(DATOS!$G5340=CONFIG_METADATA!$B$4),IF(DATOS!$G5340="EX",1,IF(DATOS!$G5340="OR",--(COUNTIFS(nNIA,DATOS!$A5340,nCURSO,DATOS!$D5340,nESPEC,DATOS!$E5340,nASIG,DATOS!$I5340,nEVAL,"EX")=0),0))))</f>
      </c>
      <c r="H5340">
        <f>IF(DATOS!$G5340&lt;&gt;"EX",0,--(COUNTIFS(nNIA,DATOS!$A5340,nCURSO,DATOS!$D5340,nESPEC,DATOS!$E5340,nASIG,DATOS!$I5340,nEVAL,"OR")=0))</f>
      </c>
      <c r="I5340">
        <f>IF(DATOS!$I5340="","",IFERROR(VLOOKUP(DATOS!$I5340,CONFIG_ASIGNATURAS!$B$2:$J$91,9,FALSE()),""))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IF(DATOS!$A5341="",0,IF(CONFIG_METADATA!$B$4&lt;&gt;"OR+EX",--(DATOS!$G5341=CONFIG_METADATA!$B$4),IF(DATOS!$G5341="EX",1,IF(DATOS!$G5341="OR",--(COUNTIFS(nNIA,DATOS!$A5341,nCURSO,DATOS!$D5341,nESPEC,DATOS!$E5341,nASIG,DATOS!$I5341,nEVAL,"EX")=0),0))))</f>
      </c>
      <c r="H5341">
        <f>IF(DATOS!$G5341&lt;&gt;"EX",0,--(COUNTIFS(nNIA,DATOS!$A5341,nCURSO,DATOS!$D5341,nESPEC,DATOS!$E5341,nASIG,DATOS!$I5341,nEVAL,"OR")=0))</f>
      </c>
      <c r="I5341">
        <f>IF(DATOS!$I5341="","",IFERROR(VLOOKUP(DATOS!$I5341,CONFIG_ASIGNATURAS!$B$2:$J$91,9,FALSE()),""))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IF(DATOS!$A5342="",0,IF(CONFIG_METADATA!$B$4&lt;&gt;"OR+EX",--(DATOS!$G5342=CONFIG_METADATA!$B$4),IF(DATOS!$G5342="EX",1,IF(DATOS!$G5342="OR",--(COUNTIFS(nNIA,DATOS!$A5342,nCURSO,DATOS!$D5342,nESPEC,DATOS!$E5342,nASIG,DATOS!$I5342,nEVAL,"EX")=0),0))))</f>
      </c>
      <c r="H5342">
        <f>IF(DATOS!$G5342&lt;&gt;"EX",0,--(COUNTIFS(nNIA,DATOS!$A5342,nCURSO,DATOS!$D5342,nESPEC,DATOS!$E5342,nASIG,DATOS!$I5342,nEVAL,"OR")=0))</f>
      </c>
      <c r="I5342">
        <f>IF(DATOS!$I5342="","",IFERROR(VLOOKUP(DATOS!$I5342,CONFIG_ASIGNATURAS!$B$2:$J$91,9,FALSE()),""))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IF(DATOS!$A5343="",0,IF(CONFIG_METADATA!$B$4&lt;&gt;"OR+EX",--(DATOS!$G5343=CONFIG_METADATA!$B$4),IF(DATOS!$G5343="EX",1,IF(DATOS!$G5343="OR",--(COUNTIFS(nNIA,DATOS!$A5343,nCURSO,DATOS!$D5343,nESPEC,DATOS!$E5343,nASIG,DATOS!$I5343,nEVAL,"EX")=0),0))))</f>
      </c>
      <c r="H5343">
        <f>IF(DATOS!$G5343&lt;&gt;"EX",0,--(COUNTIFS(nNIA,DATOS!$A5343,nCURSO,DATOS!$D5343,nESPEC,DATOS!$E5343,nASIG,DATOS!$I5343,nEVAL,"OR")=0))</f>
      </c>
      <c r="I5343">
        <f>IF(DATOS!$I5343="","",IFERROR(VLOOKUP(DATOS!$I5343,CONFIG_ASIGNATURAS!$B$2:$J$91,9,FALSE()),""))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IF(DATOS!$A5344="",0,IF(CONFIG_METADATA!$B$4&lt;&gt;"OR+EX",--(DATOS!$G5344=CONFIG_METADATA!$B$4),IF(DATOS!$G5344="EX",1,IF(DATOS!$G5344="OR",--(COUNTIFS(nNIA,DATOS!$A5344,nCURSO,DATOS!$D5344,nESPEC,DATOS!$E5344,nASIG,DATOS!$I5344,nEVAL,"EX")=0),0))))</f>
      </c>
      <c r="H5344">
        <f>IF(DATOS!$G5344&lt;&gt;"EX",0,--(COUNTIFS(nNIA,DATOS!$A5344,nCURSO,DATOS!$D5344,nESPEC,DATOS!$E5344,nASIG,DATOS!$I5344,nEVAL,"OR")=0))</f>
      </c>
      <c r="I5344">
        <f>IF(DATOS!$I5344="","",IFERROR(VLOOKUP(DATOS!$I5344,CONFIG_ASIGNATURAS!$B$2:$J$91,9,FALSE()),""))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IF(DATOS!$A5345="",0,IF(CONFIG_METADATA!$B$4&lt;&gt;"OR+EX",--(DATOS!$G5345=CONFIG_METADATA!$B$4),IF(DATOS!$G5345="EX",1,IF(DATOS!$G5345="OR",--(COUNTIFS(nNIA,DATOS!$A5345,nCURSO,DATOS!$D5345,nESPEC,DATOS!$E5345,nASIG,DATOS!$I5345,nEVAL,"EX")=0),0))))</f>
      </c>
      <c r="H5345">
        <f>IF(DATOS!$G5345&lt;&gt;"EX",0,--(COUNTIFS(nNIA,DATOS!$A5345,nCURSO,DATOS!$D5345,nESPEC,DATOS!$E5345,nASIG,DATOS!$I5345,nEVAL,"OR")=0))</f>
      </c>
      <c r="I5345">
        <f>IF(DATOS!$I5345="","",IFERROR(VLOOKUP(DATOS!$I5345,CONFIG_ASIGNATURAS!$B$2:$J$91,9,FALSE()),""))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IF(DATOS!$A5346="",0,IF(CONFIG_METADATA!$B$4&lt;&gt;"OR+EX",--(DATOS!$G5346=CONFIG_METADATA!$B$4),IF(DATOS!$G5346="EX",1,IF(DATOS!$G5346="OR",--(COUNTIFS(nNIA,DATOS!$A5346,nCURSO,DATOS!$D5346,nESPEC,DATOS!$E5346,nASIG,DATOS!$I5346,nEVAL,"EX")=0),0))))</f>
      </c>
      <c r="H5346">
        <f>IF(DATOS!$G5346&lt;&gt;"EX",0,--(COUNTIFS(nNIA,DATOS!$A5346,nCURSO,DATOS!$D5346,nESPEC,DATOS!$E5346,nASIG,DATOS!$I5346,nEVAL,"OR")=0))</f>
      </c>
      <c r="I5346">
        <f>IF(DATOS!$I5346="","",IFERROR(VLOOKUP(DATOS!$I5346,CONFIG_ASIGNATURAS!$B$2:$J$91,9,FALSE()),""))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IF(DATOS!$A5347="",0,IF(CONFIG_METADATA!$B$4&lt;&gt;"OR+EX",--(DATOS!$G5347=CONFIG_METADATA!$B$4),IF(DATOS!$G5347="EX",1,IF(DATOS!$G5347="OR",--(COUNTIFS(nNIA,DATOS!$A5347,nCURSO,DATOS!$D5347,nESPEC,DATOS!$E5347,nASIG,DATOS!$I5347,nEVAL,"EX")=0),0))))</f>
      </c>
      <c r="H5347">
        <f>IF(DATOS!$G5347&lt;&gt;"EX",0,--(COUNTIFS(nNIA,DATOS!$A5347,nCURSO,DATOS!$D5347,nESPEC,DATOS!$E5347,nASIG,DATOS!$I5347,nEVAL,"OR")=0))</f>
      </c>
      <c r="I5347">
        <f>IF(DATOS!$I5347="","",IFERROR(VLOOKUP(DATOS!$I5347,CONFIG_ASIGNATURAS!$B$2:$J$91,9,FALSE()),""))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IF(DATOS!$A5348="",0,IF(CONFIG_METADATA!$B$4&lt;&gt;"OR+EX",--(DATOS!$G5348=CONFIG_METADATA!$B$4),IF(DATOS!$G5348="EX",1,IF(DATOS!$G5348="OR",--(COUNTIFS(nNIA,DATOS!$A5348,nCURSO,DATOS!$D5348,nESPEC,DATOS!$E5348,nASIG,DATOS!$I5348,nEVAL,"EX")=0),0))))</f>
      </c>
      <c r="H5348">
        <f>IF(DATOS!$G5348&lt;&gt;"EX",0,--(COUNTIFS(nNIA,DATOS!$A5348,nCURSO,DATOS!$D5348,nESPEC,DATOS!$E5348,nASIG,DATOS!$I5348,nEVAL,"OR")=0))</f>
      </c>
      <c r="I5348">
        <f>IF(DATOS!$I5348="","",IFERROR(VLOOKUP(DATOS!$I5348,CONFIG_ASIGNATURAS!$B$2:$J$91,9,FALSE()),""))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IF(DATOS!$A5349="",0,IF(CONFIG_METADATA!$B$4&lt;&gt;"OR+EX",--(DATOS!$G5349=CONFIG_METADATA!$B$4),IF(DATOS!$G5349="EX",1,IF(DATOS!$G5349="OR",--(COUNTIFS(nNIA,DATOS!$A5349,nCURSO,DATOS!$D5349,nESPEC,DATOS!$E5349,nASIG,DATOS!$I5349,nEVAL,"EX")=0),0))))</f>
      </c>
      <c r="H5349">
        <f>IF(DATOS!$G5349&lt;&gt;"EX",0,--(COUNTIFS(nNIA,DATOS!$A5349,nCURSO,DATOS!$D5349,nESPEC,DATOS!$E5349,nASIG,DATOS!$I5349,nEVAL,"OR")=0))</f>
      </c>
      <c r="I5349">
        <f>IF(DATOS!$I5349="","",IFERROR(VLOOKUP(DATOS!$I5349,CONFIG_ASIGNATURAS!$B$2:$J$91,9,FALSE()),""))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IF(DATOS!$A5350="",0,IF(CONFIG_METADATA!$B$4&lt;&gt;"OR+EX",--(DATOS!$G5350=CONFIG_METADATA!$B$4),IF(DATOS!$G5350="EX",1,IF(DATOS!$G5350="OR",--(COUNTIFS(nNIA,DATOS!$A5350,nCURSO,DATOS!$D5350,nESPEC,DATOS!$E5350,nASIG,DATOS!$I5350,nEVAL,"EX")=0),0))))</f>
      </c>
      <c r="H5350">
        <f>IF(DATOS!$G5350&lt;&gt;"EX",0,--(COUNTIFS(nNIA,DATOS!$A5350,nCURSO,DATOS!$D5350,nESPEC,DATOS!$E5350,nASIG,DATOS!$I5350,nEVAL,"OR")=0))</f>
      </c>
      <c r="I5350">
        <f>IF(DATOS!$I5350="","",IFERROR(VLOOKUP(DATOS!$I5350,CONFIG_ASIGNATURAS!$B$2:$J$91,9,FALSE()),""))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IF(DATOS!$A5351="",0,IF(CONFIG_METADATA!$B$4&lt;&gt;"OR+EX",--(DATOS!$G5351=CONFIG_METADATA!$B$4),IF(DATOS!$G5351="EX",1,IF(DATOS!$G5351="OR",--(COUNTIFS(nNIA,DATOS!$A5351,nCURSO,DATOS!$D5351,nESPEC,DATOS!$E5351,nASIG,DATOS!$I5351,nEVAL,"EX")=0),0))))</f>
      </c>
      <c r="H5351">
        <f>IF(DATOS!$G5351&lt;&gt;"EX",0,--(COUNTIFS(nNIA,DATOS!$A5351,nCURSO,DATOS!$D5351,nESPEC,DATOS!$E5351,nASIG,DATOS!$I5351,nEVAL,"OR")=0))</f>
      </c>
      <c r="I5351">
        <f>IF(DATOS!$I5351="","",IFERROR(VLOOKUP(DATOS!$I5351,CONFIG_ASIGNATURAS!$B$2:$J$91,9,FALSE()),""))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IF(DATOS!$A5352="",0,IF(CONFIG_METADATA!$B$4&lt;&gt;"OR+EX",--(DATOS!$G5352=CONFIG_METADATA!$B$4),IF(DATOS!$G5352="EX",1,IF(DATOS!$G5352="OR",--(COUNTIFS(nNIA,DATOS!$A5352,nCURSO,DATOS!$D5352,nESPEC,DATOS!$E5352,nASIG,DATOS!$I5352,nEVAL,"EX")=0),0))))</f>
      </c>
      <c r="H5352">
        <f>IF(DATOS!$G5352&lt;&gt;"EX",0,--(COUNTIFS(nNIA,DATOS!$A5352,nCURSO,DATOS!$D5352,nESPEC,DATOS!$E5352,nASIG,DATOS!$I5352,nEVAL,"OR")=0))</f>
      </c>
      <c r="I5352">
        <f>IF(DATOS!$I5352="","",IFERROR(VLOOKUP(DATOS!$I5352,CONFIG_ASIGNATURAS!$B$2:$J$91,9,FALSE()),""))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IF(DATOS!$A5353="",0,IF(CONFIG_METADATA!$B$4&lt;&gt;"OR+EX",--(DATOS!$G5353=CONFIG_METADATA!$B$4),IF(DATOS!$G5353="EX",1,IF(DATOS!$G5353="OR",--(COUNTIFS(nNIA,DATOS!$A5353,nCURSO,DATOS!$D5353,nESPEC,DATOS!$E5353,nASIG,DATOS!$I5353,nEVAL,"EX")=0),0))))</f>
      </c>
      <c r="H5353">
        <f>IF(DATOS!$G5353&lt;&gt;"EX",0,--(COUNTIFS(nNIA,DATOS!$A5353,nCURSO,DATOS!$D5353,nESPEC,DATOS!$E5353,nASIG,DATOS!$I5353,nEVAL,"OR")=0))</f>
      </c>
      <c r="I5353">
        <f>IF(DATOS!$I5353="","",IFERROR(VLOOKUP(DATOS!$I5353,CONFIG_ASIGNATURAS!$B$2:$J$91,9,FALSE()),""))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IF(DATOS!$A5354="",0,IF(CONFIG_METADATA!$B$4&lt;&gt;"OR+EX",--(DATOS!$G5354=CONFIG_METADATA!$B$4),IF(DATOS!$G5354="EX",1,IF(DATOS!$G5354="OR",--(COUNTIFS(nNIA,DATOS!$A5354,nCURSO,DATOS!$D5354,nESPEC,DATOS!$E5354,nASIG,DATOS!$I5354,nEVAL,"EX")=0),0))))</f>
      </c>
      <c r="H5354">
        <f>IF(DATOS!$G5354&lt;&gt;"EX",0,--(COUNTIFS(nNIA,DATOS!$A5354,nCURSO,DATOS!$D5354,nESPEC,DATOS!$E5354,nASIG,DATOS!$I5354,nEVAL,"OR")=0))</f>
      </c>
      <c r="I5354">
        <f>IF(DATOS!$I5354="","",IFERROR(VLOOKUP(DATOS!$I5354,CONFIG_ASIGNATURAS!$B$2:$J$91,9,FALSE()),""))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IF(DATOS!$A5355="",0,IF(CONFIG_METADATA!$B$4&lt;&gt;"OR+EX",--(DATOS!$G5355=CONFIG_METADATA!$B$4),IF(DATOS!$G5355="EX",1,IF(DATOS!$G5355="OR",--(COUNTIFS(nNIA,DATOS!$A5355,nCURSO,DATOS!$D5355,nESPEC,DATOS!$E5355,nASIG,DATOS!$I5355,nEVAL,"EX")=0),0))))</f>
      </c>
      <c r="H5355">
        <f>IF(DATOS!$G5355&lt;&gt;"EX",0,--(COUNTIFS(nNIA,DATOS!$A5355,nCURSO,DATOS!$D5355,nESPEC,DATOS!$E5355,nASIG,DATOS!$I5355,nEVAL,"OR")=0))</f>
      </c>
      <c r="I5355">
        <f>IF(DATOS!$I5355="","",IFERROR(VLOOKUP(DATOS!$I5355,CONFIG_ASIGNATURAS!$B$2:$J$91,9,FALSE()),""))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IF(DATOS!$A5356="",0,IF(CONFIG_METADATA!$B$4&lt;&gt;"OR+EX",--(DATOS!$G5356=CONFIG_METADATA!$B$4),IF(DATOS!$G5356="EX",1,IF(DATOS!$G5356="OR",--(COUNTIFS(nNIA,DATOS!$A5356,nCURSO,DATOS!$D5356,nESPEC,DATOS!$E5356,nASIG,DATOS!$I5356,nEVAL,"EX")=0),0))))</f>
      </c>
      <c r="H5356">
        <f>IF(DATOS!$G5356&lt;&gt;"EX",0,--(COUNTIFS(nNIA,DATOS!$A5356,nCURSO,DATOS!$D5356,nESPEC,DATOS!$E5356,nASIG,DATOS!$I5356,nEVAL,"OR")=0))</f>
      </c>
      <c r="I5356">
        <f>IF(DATOS!$I5356="","",IFERROR(VLOOKUP(DATOS!$I5356,CONFIG_ASIGNATURAS!$B$2:$J$91,9,FALSE()),""))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IF(DATOS!$A5357="",0,IF(CONFIG_METADATA!$B$4&lt;&gt;"OR+EX",--(DATOS!$G5357=CONFIG_METADATA!$B$4),IF(DATOS!$G5357="EX",1,IF(DATOS!$G5357="OR",--(COUNTIFS(nNIA,DATOS!$A5357,nCURSO,DATOS!$D5357,nESPEC,DATOS!$E5357,nASIG,DATOS!$I5357,nEVAL,"EX")=0),0))))</f>
      </c>
      <c r="H5357">
        <f>IF(DATOS!$G5357&lt;&gt;"EX",0,--(COUNTIFS(nNIA,DATOS!$A5357,nCURSO,DATOS!$D5357,nESPEC,DATOS!$E5357,nASIG,DATOS!$I5357,nEVAL,"OR")=0))</f>
      </c>
      <c r="I5357">
        <f>IF(DATOS!$I5357="","",IFERROR(VLOOKUP(DATOS!$I5357,CONFIG_ASIGNATURAS!$B$2:$J$91,9,FALSE()),""))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IF(DATOS!$A5358="",0,IF(CONFIG_METADATA!$B$4&lt;&gt;"OR+EX",--(DATOS!$G5358=CONFIG_METADATA!$B$4),IF(DATOS!$G5358="EX",1,IF(DATOS!$G5358="OR",--(COUNTIFS(nNIA,DATOS!$A5358,nCURSO,DATOS!$D5358,nESPEC,DATOS!$E5358,nASIG,DATOS!$I5358,nEVAL,"EX")=0),0))))</f>
      </c>
      <c r="H5358">
        <f>IF(DATOS!$G5358&lt;&gt;"EX",0,--(COUNTIFS(nNIA,DATOS!$A5358,nCURSO,DATOS!$D5358,nESPEC,DATOS!$E5358,nASIG,DATOS!$I5358,nEVAL,"OR")=0))</f>
      </c>
      <c r="I5358">
        <f>IF(DATOS!$I5358="","",IFERROR(VLOOKUP(DATOS!$I5358,CONFIG_ASIGNATURAS!$B$2:$J$91,9,FALSE()),""))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IF(DATOS!$A5359="",0,IF(CONFIG_METADATA!$B$4&lt;&gt;"OR+EX",--(DATOS!$G5359=CONFIG_METADATA!$B$4),IF(DATOS!$G5359="EX",1,IF(DATOS!$G5359="OR",--(COUNTIFS(nNIA,DATOS!$A5359,nCURSO,DATOS!$D5359,nESPEC,DATOS!$E5359,nASIG,DATOS!$I5359,nEVAL,"EX")=0),0))))</f>
      </c>
      <c r="H5359">
        <f>IF(DATOS!$G5359&lt;&gt;"EX",0,--(COUNTIFS(nNIA,DATOS!$A5359,nCURSO,DATOS!$D5359,nESPEC,DATOS!$E5359,nASIG,DATOS!$I5359,nEVAL,"OR")=0))</f>
      </c>
      <c r="I5359">
        <f>IF(DATOS!$I5359="","",IFERROR(VLOOKUP(DATOS!$I5359,CONFIG_ASIGNATURAS!$B$2:$J$91,9,FALSE()),""))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IF(DATOS!$A5360="",0,IF(CONFIG_METADATA!$B$4&lt;&gt;"OR+EX",--(DATOS!$G5360=CONFIG_METADATA!$B$4),IF(DATOS!$G5360="EX",1,IF(DATOS!$G5360="OR",--(COUNTIFS(nNIA,DATOS!$A5360,nCURSO,DATOS!$D5360,nESPEC,DATOS!$E5360,nASIG,DATOS!$I5360,nEVAL,"EX")=0),0))))</f>
      </c>
      <c r="H5360">
        <f>IF(DATOS!$G5360&lt;&gt;"EX",0,--(COUNTIFS(nNIA,DATOS!$A5360,nCURSO,DATOS!$D5360,nESPEC,DATOS!$E5360,nASIG,DATOS!$I5360,nEVAL,"OR")=0))</f>
      </c>
      <c r="I5360">
        <f>IF(DATOS!$I5360="","",IFERROR(VLOOKUP(DATOS!$I5360,CONFIG_ASIGNATURAS!$B$2:$J$91,9,FALSE()),""))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IF(DATOS!$A5361="",0,IF(CONFIG_METADATA!$B$4&lt;&gt;"OR+EX",--(DATOS!$G5361=CONFIG_METADATA!$B$4),IF(DATOS!$G5361="EX",1,IF(DATOS!$G5361="OR",--(COUNTIFS(nNIA,DATOS!$A5361,nCURSO,DATOS!$D5361,nESPEC,DATOS!$E5361,nASIG,DATOS!$I5361,nEVAL,"EX")=0),0))))</f>
      </c>
      <c r="H5361">
        <f>IF(DATOS!$G5361&lt;&gt;"EX",0,--(COUNTIFS(nNIA,DATOS!$A5361,nCURSO,DATOS!$D5361,nESPEC,DATOS!$E5361,nASIG,DATOS!$I5361,nEVAL,"OR")=0))</f>
      </c>
      <c r="I5361">
        <f>IF(DATOS!$I5361="","",IFERROR(VLOOKUP(DATOS!$I5361,CONFIG_ASIGNATURAS!$B$2:$J$91,9,FALSE()),""))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IF(DATOS!$A5362="",0,IF(CONFIG_METADATA!$B$4&lt;&gt;"OR+EX",--(DATOS!$G5362=CONFIG_METADATA!$B$4),IF(DATOS!$G5362="EX",1,IF(DATOS!$G5362="OR",--(COUNTIFS(nNIA,DATOS!$A5362,nCURSO,DATOS!$D5362,nESPEC,DATOS!$E5362,nASIG,DATOS!$I5362,nEVAL,"EX")=0),0))))</f>
      </c>
      <c r="H5362">
        <f>IF(DATOS!$G5362&lt;&gt;"EX",0,--(COUNTIFS(nNIA,DATOS!$A5362,nCURSO,DATOS!$D5362,nESPEC,DATOS!$E5362,nASIG,DATOS!$I5362,nEVAL,"OR")=0))</f>
      </c>
      <c r="I5362">
        <f>IF(DATOS!$I5362="","",IFERROR(VLOOKUP(DATOS!$I5362,CONFIG_ASIGNATURAS!$B$2:$J$91,9,FALSE()),""))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IF(DATOS!$A5363="",0,IF(CONFIG_METADATA!$B$4&lt;&gt;"OR+EX",--(DATOS!$G5363=CONFIG_METADATA!$B$4),IF(DATOS!$G5363="EX",1,IF(DATOS!$G5363="OR",--(COUNTIFS(nNIA,DATOS!$A5363,nCURSO,DATOS!$D5363,nESPEC,DATOS!$E5363,nASIG,DATOS!$I5363,nEVAL,"EX")=0),0))))</f>
      </c>
      <c r="H5363">
        <f>IF(DATOS!$G5363&lt;&gt;"EX",0,--(COUNTIFS(nNIA,DATOS!$A5363,nCURSO,DATOS!$D5363,nESPEC,DATOS!$E5363,nASIG,DATOS!$I5363,nEVAL,"OR")=0))</f>
      </c>
      <c r="I5363">
        <f>IF(DATOS!$I5363="","",IFERROR(VLOOKUP(DATOS!$I5363,CONFIG_ASIGNATURAS!$B$2:$J$91,9,FALSE()),""))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IF(DATOS!$A5364="",0,IF(CONFIG_METADATA!$B$4&lt;&gt;"OR+EX",--(DATOS!$G5364=CONFIG_METADATA!$B$4),IF(DATOS!$G5364="EX",1,IF(DATOS!$G5364="OR",--(COUNTIFS(nNIA,DATOS!$A5364,nCURSO,DATOS!$D5364,nESPEC,DATOS!$E5364,nASIG,DATOS!$I5364,nEVAL,"EX")=0),0))))</f>
      </c>
      <c r="H5364">
        <f>IF(DATOS!$G5364&lt;&gt;"EX",0,--(COUNTIFS(nNIA,DATOS!$A5364,nCURSO,DATOS!$D5364,nESPEC,DATOS!$E5364,nASIG,DATOS!$I5364,nEVAL,"OR")=0))</f>
      </c>
      <c r="I5364">
        <f>IF(DATOS!$I5364="","",IFERROR(VLOOKUP(DATOS!$I5364,CONFIG_ASIGNATURAS!$B$2:$J$91,9,FALSE()),""))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IF(DATOS!$A5365="",0,IF(CONFIG_METADATA!$B$4&lt;&gt;"OR+EX",--(DATOS!$G5365=CONFIG_METADATA!$B$4),IF(DATOS!$G5365="EX",1,IF(DATOS!$G5365="OR",--(COUNTIFS(nNIA,DATOS!$A5365,nCURSO,DATOS!$D5365,nESPEC,DATOS!$E5365,nASIG,DATOS!$I5365,nEVAL,"EX")=0),0))))</f>
      </c>
      <c r="H5365">
        <f>IF(DATOS!$G5365&lt;&gt;"EX",0,--(COUNTIFS(nNIA,DATOS!$A5365,nCURSO,DATOS!$D5365,nESPEC,DATOS!$E5365,nASIG,DATOS!$I5365,nEVAL,"OR")=0))</f>
      </c>
      <c r="I5365">
        <f>IF(DATOS!$I5365="","",IFERROR(VLOOKUP(DATOS!$I5365,CONFIG_ASIGNATURAS!$B$2:$J$91,9,FALSE()),""))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IF(DATOS!$A5366="",0,IF(CONFIG_METADATA!$B$4&lt;&gt;"OR+EX",--(DATOS!$G5366=CONFIG_METADATA!$B$4),IF(DATOS!$G5366="EX",1,IF(DATOS!$G5366="OR",--(COUNTIFS(nNIA,DATOS!$A5366,nCURSO,DATOS!$D5366,nESPEC,DATOS!$E5366,nASIG,DATOS!$I5366,nEVAL,"EX")=0),0))))</f>
      </c>
      <c r="H5366">
        <f>IF(DATOS!$G5366&lt;&gt;"EX",0,--(COUNTIFS(nNIA,DATOS!$A5366,nCURSO,DATOS!$D5366,nESPEC,DATOS!$E5366,nASIG,DATOS!$I5366,nEVAL,"OR")=0))</f>
      </c>
      <c r="I5366">
        <f>IF(DATOS!$I5366="","",IFERROR(VLOOKUP(DATOS!$I5366,CONFIG_ASIGNATURAS!$B$2:$J$91,9,FALSE()),""))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IF(DATOS!$A5367="",0,IF(CONFIG_METADATA!$B$4&lt;&gt;"OR+EX",--(DATOS!$G5367=CONFIG_METADATA!$B$4),IF(DATOS!$G5367="EX",1,IF(DATOS!$G5367="OR",--(COUNTIFS(nNIA,DATOS!$A5367,nCURSO,DATOS!$D5367,nESPEC,DATOS!$E5367,nASIG,DATOS!$I5367,nEVAL,"EX")=0),0))))</f>
      </c>
      <c r="H5367">
        <f>IF(DATOS!$G5367&lt;&gt;"EX",0,--(COUNTIFS(nNIA,DATOS!$A5367,nCURSO,DATOS!$D5367,nESPEC,DATOS!$E5367,nASIG,DATOS!$I5367,nEVAL,"OR")=0))</f>
      </c>
      <c r="I5367">
        <f>IF(DATOS!$I5367="","",IFERROR(VLOOKUP(DATOS!$I5367,CONFIG_ASIGNATURAS!$B$2:$J$91,9,FALSE()),""))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IF(DATOS!$A5368="",0,IF(CONFIG_METADATA!$B$4&lt;&gt;"OR+EX",--(DATOS!$G5368=CONFIG_METADATA!$B$4),IF(DATOS!$G5368="EX",1,IF(DATOS!$G5368="OR",--(COUNTIFS(nNIA,DATOS!$A5368,nCURSO,DATOS!$D5368,nESPEC,DATOS!$E5368,nASIG,DATOS!$I5368,nEVAL,"EX")=0),0))))</f>
      </c>
      <c r="H5368">
        <f>IF(DATOS!$G5368&lt;&gt;"EX",0,--(COUNTIFS(nNIA,DATOS!$A5368,nCURSO,DATOS!$D5368,nESPEC,DATOS!$E5368,nASIG,DATOS!$I5368,nEVAL,"OR")=0))</f>
      </c>
      <c r="I5368">
        <f>IF(DATOS!$I5368="","",IFERROR(VLOOKUP(DATOS!$I5368,CONFIG_ASIGNATURAS!$B$2:$J$91,9,FALSE()),""))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IF(DATOS!$A5369="",0,IF(CONFIG_METADATA!$B$4&lt;&gt;"OR+EX",--(DATOS!$G5369=CONFIG_METADATA!$B$4),IF(DATOS!$G5369="EX",1,IF(DATOS!$G5369="OR",--(COUNTIFS(nNIA,DATOS!$A5369,nCURSO,DATOS!$D5369,nESPEC,DATOS!$E5369,nASIG,DATOS!$I5369,nEVAL,"EX")=0),0))))</f>
      </c>
      <c r="H5369">
        <f>IF(DATOS!$G5369&lt;&gt;"EX",0,--(COUNTIFS(nNIA,DATOS!$A5369,nCURSO,DATOS!$D5369,nESPEC,DATOS!$E5369,nASIG,DATOS!$I5369,nEVAL,"OR")=0))</f>
      </c>
      <c r="I5369">
        <f>IF(DATOS!$I5369="","",IFERROR(VLOOKUP(DATOS!$I5369,CONFIG_ASIGNATURAS!$B$2:$J$91,9,FALSE()),""))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IF(DATOS!$A5370="",0,IF(CONFIG_METADATA!$B$4&lt;&gt;"OR+EX",--(DATOS!$G5370=CONFIG_METADATA!$B$4),IF(DATOS!$G5370="EX",1,IF(DATOS!$G5370="OR",--(COUNTIFS(nNIA,DATOS!$A5370,nCURSO,DATOS!$D5370,nESPEC,DATOS!$E5370,nASIG,DATOS!$I5370,nEVAL,"EX")=0),0))))</f>
      </c>
      <c r="H5370">
        <f>IF(DATOS!$G5370&lt;&gt;"EX",0,--(COUNTIFS(nNIA,DATOS!$A5370,nCURSO,DATOS!$D5370,nESPEC,DATOS!$E5370,nASIG,DATOS!$I5370,nEVAL,"OR")=0))</f>
      </c>
      <c r="I5370">
        <f>IF(DATOS!$I5370="","",IFERROR(VLOOKUP(DATOS!$I5370,CONFIG_ASIGNATURAS!$B$2:$J$91,9,FALSE()),""))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IF(DATOS!$A5371="",0,IF(CONFIG_METADATA!$B$4&lt;&gt;"OR+EX",--(DATOS!$G5371=CONFIG_METADATA!$B$4),IF(DATOS!$G5371="EX",1,IF(DATOS!$G5371="OR",--(COUNTIFS(nNIA,DATOS!$A5371,nCURSO,DATOS!$D5371,nESPEC,DATOS!$E5371,nASIG,DATOS!$I5371,nEVAL,"EX")=0),0))))</f>
      </c>
      <c r="H5371">
        <f>IF(DATOS!$G5371&lt;&gt;"EX",0,--(COUNTIFS(nNIA,DATOS!$A5371,nCURSO,DATOS!$D5371,nESPEC,DATOS!$E5371,nASIG,DATOS!$I5371,nEVAL,"OR")=0))</f>
      </c>
      <c r="I5371">
        <f>IF(DATOS!$I5371="","",IFERROR(VLOOKUP(DATOS!$I5371,CONFIG_ASIGNATURAS!$B$2:$J$91,9,FALSE()),""))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IF(DATOS!$A5372="",0,IF(CONFIG_METADATA!$B$4&lt;&gt;"OR+EX",--(DATOS!$G5372=CONFIG_METADATA!$B$4),IF(DATOS!$G5372="EX",1,IF(DATOS!$G5372="OR",--(COUNTIFS(nNIA,DATOS!$A5372,nCURSO,DATOS!$D5372,nESPEC,DATOS!$E5372,nASIG,DATOS!$I5372,nEVAL,"EX")=0),0))))</f>
      </c>
      <c r="H5372">
        <f>IF(DATOS!$G5372&lt;&gt;"EX",0,--(COUNTIFS(nNIA,DATOS!$A5372,nCURSO,DATOS!$D5372,nESPEC,DATOS!$E5372,nASIG,DATOS!$I5372,nEVAL,"OR")=0))</f>
      </c>
      <c r="I5372">
        <f>IF(DATOS!$I5372="","",IFERROR(VLOOKUP(DATOS!$I5372,CONFIG_ASIGNATURAS!$B$2:$J$91,9,FALSE()),""))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IF(DATOS!$A5373="",0,IF(CONFIG_METADATA!$B$4&lt;&gt;"OR+EX",--(DATOS!$G5373=CONFIG_METADATA!$B$4),IF(DATOS!$G5373="EX",1,IF(DATOS!$G5373="OR",--(COUNTIFS(nNIA,DATOS!$A5373,nCURSO,DATOS!$D5373,nESPEC,DATOS!$E5373,nASIG,DATOS!$I5373,nEVAL,"EX")=0),0))))</f>
      </c>
      <c r="H5373">
        <f>IF(DATOS!$G5373&lt;&gt;"EX",0,--(COUNTIFS(nNIA,DATOS!$A5373,nCURSO,DATOS!$D5373,nESPEC,DATOS!$E5373,nASIG,DATOS!$I5373,nEVAL,"OR")=0))</f>
      </c>
      <c r="I5373">
        <f>IF(DATOS!$I5373="","",IFERROR(VLOOKUP(DATOS!$I5373,CONFIG_ASIGNATURAS!$B$2:$J$91,9,FALSE()),""))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IF(DATOS!$A5374="",0,IF(CONFIG_METADATA!$B$4&lt;&gt;"OR+EX",--(DATOS!$G5374=CONFIG_METADATA!$B$4),IF(DATOS!$G5374="EX",1,IF(DATOS!$G5374="OR",--(COUNTIFS(nNIA,DATOS!$A5374,nCURSO,DATOS!$D5374,nESPEC,DATOS!$E5374,nASIG,DATOS!$I5374,nEVAL,"EX")=0),0))))</f>
      </c>
      <c r="H5374">
        <f>IF(DATOS!$G5374&lt;&gt;"EX",0,--(COUNTIFS(nNIA,DATOS!$A5374,nCURSO,DATOS!$D5374,nESPEC,DATOS!$E5374,nASIG,DATOS!$I5374,nEVAL,"OR")=0))</f>
      </c>
      <c r="I5374">
        <f>IF(DATOS!$I5374="","",IFERROR(VLOOKUP(DATOS!$I5374,CONFIG_ASIGNATURAS!$B$2:$J$91,9,FALSE()),""))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IF(DATOS!$A5375="",0,IF(CONFIG_METADATA!$B$4&lt;&gt;"OR+EX",--(DATOS!$G5375=CONFIG_METADATA!$B$4),IF(DATOS!$G5375="EX",1,IF(DATOS!$G5375="OR",--(COUNTIFS(nNIA,DATOS!$A5375,nCURSO,DATOS!$D5375,nESPEC,DATOS!$E5375,nASIG,DATOS!$I5375,nEVAL,"EX")=0),0))))</f>
      </c>
      <c r="H5375">
        <f>IF(DATOS!$G5375&lt;&gt;"EX",0,--(COUNTIFS(nNIA,DATOS!$A5375,nCURSO,DATOS!$D5375,nESPEC,DATOS!$E5375,nASIG,DATOS!$I5375,nEVAL,"OR")=0))</f>
      </c>
      <c r="I5375">
        <f>IF(DATOS!$I5375="","",IFERROR(VLOOKUP(DATOS!$I5375,CONFIG_ASIGNATURAS!$B$2:$J$91,9,FALSE()),""))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IF(DATOS!$A5376="",0,IF(CONFIG_METADATA!$B$4&lt;&gt;"OR+EX",--(DATOS!$G5376=CONFIG_METADATA!$B$4),IF(DATOS!$G5376="EX",1,IF(DATOS!$G5376="OR",--(COUNTIFS(nNIA,DATOS!$A5376,nCURSO,DATOS!$D5376,nESPEC,DATOS!$E5376,nASIG,DATOS!$I5376,nEVAL,"EX")=0),0))))</f>
      </c>
      <c r="H5376">
        <f>IF(DATOS!$G5376&lt;&gt;"EX",0,--(COUNTIFS(nNIA,DATOS!$A5376,nCURSO,DATOS!$D5376,nESPEC,DATOS!$E5376,nASIG,DATOS!$I5376,nEVAL,"OR")=0))</f>
      </c>
      <c r="I5376">
        <f>IF(DATOS!$I5376="","",IFERROR(VLOOKUP(DATOS!$I5376,CONFIG_ASIGNATURAS!$B$2:$J$91,9,FALSE()),""))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IF(DATOS!$A5377="",0,IF(CONFIG_METADATA!$B$4&lt;&gt;"OR+EX",--(DATOS!$G5377=CONFIG_METADATA!$B$4),IF(DATOS!$G5377="EX",1,IF(DATOS!$G5377="OR",--(COUNTIFS(nNIA,DATOS!$A5377,nCURSO,DATOS!$D5377,nESPEC,DATOS!$E5377,nASIG,DATOS!$I5377,nEVAL,"EX")=0),0))))</f>
      </c>
      <c r="H5377">
        <f>IF(DATOS!$G5377&lt;&gt;"EX",0,--(COUNTIFS(nNIA,DATOS!$A5377,nCURSO,DATOS!$D5377,nESPEC,DATOS!$E5377,nASIG,DATOS!$I5377,nEVAL,"OR")=0))</f>
      </c>
      <c r="I5377">
        <f>IF(DATOS!$I5377="","",IFERROR(VLOOKUP(DATOS!$I5377,CONFIG_ASIGNATURAS!$B$2:$J$91,9,FALSE()),""))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IF(DATOS!$A5378="",0,IF(CONFIG_METADATA!$B$4&lt;&gt;"OR+EX",--(DATOS!$G5378=CONFIG_METADATA!$B$4),IF(DATOS!$G5378="EX",1,IF(DATOS!$G5378="OR",--(COUNTIFS(nNIA,DATOS!$A5378,nCURSO,DATOS!$D5378,nESPEC,DATOS!$E5378,nASIG,DATOS!$I5378,nEVAL,"EX")=0),0))))</f>
      </c>
      <c r="H5378">
        <f>IF(DATOS!$G5378&lt;&gt;"EX",0,--(COUNTIFS(nNIA,DATOS!$A5378,nCURSO,DATOS!$D5378,nESPEC,DATOS!$E5378,nASIG,DATOS!$I5378,nEVAL,"OR")=0))</f>
      </c>
      <c r="I5378">
        <f>IF(DATOS!$I5378="","",IFERROR(VLOOKUP(DATOS!$I5378,CONFIG_ASIGNATURAS!$B$2:$J$91,9,FALSE()),""))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IF(DATOS!$A5379="",0,IF(CONFIG_METADATA!$B$4&lt;&gt;"OR+EX",--(DATOS!$G5379=CONFIG_METADATA!$B$4),IF(DATOS!$G5379="EX",1,IF(DATOS!$G5379="OR",--(COUNTIFS(nNIA,DATOS!$A5379,nCURSO,DATOS!$D5379,nESPEC,DATOS!$E5379,nASIG,DATOS!$I5379,nEVAL,"EX")=0),0))))</f>
      </c>
      <c r="H5379">
        <f>IF(DATOS!$G5379&lt;&gt;"EX",0,--(COUNTIFS(nNIA,DATOS!$A5379,nCURSO,DATOS!$D5379,nESPEC,DATOS!$E5379,nASIG,DATOS!$I5379,nEVAL,"OR")=0))</f>
      </c>
      <c r="I5379">
        <f>IF(DATOS!$I5379="","",IFERROR(VLOOKUP(DATOS!$I5379,CONFIG_ASIGNATURAS!$B$2:$J$91,9,FALSE()),""))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IF(DATOS!$A5380="",0,IF(CONFIG_METADATA!$B$4&lt;&gt;"OR+EX",--(DATOS!$G5380=CONFIG_METADATA!$B$4),IF(DATOS!$G5380="EX",1,IF(DATOS!$G5380="OR",--(COUNTIFS(nNIA,DATOS!$A5380,nCURSO,DATOS!$D5380,nESPEC,DATOS!$E5380,nASIG,DATOS!$I5380,nEVAL,"EX")=0),0))))</f>
      </c>
      <c r="H5380">
        <f>IF(DATOS!$G5380&lt;&gt;"EX",0,--(COUNTIFS(nNIA,DATOS!$A5380,nCURSO,DATOS!$D5380,nESPEC,DATOS!$E5380,nASIG,DATOS!$I5380,nEVAL,"OR")=0))</f>
      </c>
      <c r="I5380">
        <f>IF(DATOS!$I5380="","",IFERROR(VLOOKUP(DATOS!$I5380,CONFIG_ASIGNATURAS!$B$2:$J$91,9,FALSE()),""))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IF(DATOS!$A5381="",0,IF(CONFIG_METADATA!$B$4&lt;&gt;"OR+EX",--(DATOS!$G5381=CONFIG_METADATA!$B$4),IF(DATOS!$G5381="EX",1,IF(DATOS!$G5381="OR",--(COUNTIFS(nNIA,DATOS!$A5381,nCURSO,DATOS!$D5381,nESPEC,DATOS!$E5381,nASIG,DATOS!$I5381,nEVAL,"EX")=0),0))))</f>
      </c>
      <c r="H5381">
        <f>IF(DATOS!$G5381&lt;&gt;"EX",0,--(COUNTIFS(nNIA,DATOS!$A5381,nCURSO,DATOS!$D5381,nESPEC,DATOS!$E5381,nASIG,DATOS!$I5381,nEVAL,"OR")=0))</f>
      </c>
      <c r="I5381">
        <f>IF(DATOS!$I5381="","",IFERROR(VLOOKUP(DATOS!$I5381,CONFIG_ASIGNATURAS!$B$2:$J$91,9,FALSE()),""))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IF(DATOS!$A5382="",0,IF(CONFIG_METADATA!$B$4&lt;&gt;"OR+EX",--(DATOS!$G5382=CONFIG_METADATA!$B$4),IF(DATOS!$G5382="EX",1,IF(DATOS!$G5382="OR",--(COUNTIFS(nNIA,DATOS!$A5382,nCURSO,DATOS!$D5382,nESPEC,DATOS!$E5382,nASIG,DATOS!$I5382,nEVAL,"EX")=0),0))))</f>
      </c>
      <c r="H5382">
        <f>IF(DATOS!$G5382&lt;&gt;"EX",0,--(COUNTIFS(nNIA,DATOS!$A5382,nCURSO,DATOS!$D5382,nESPEC,DATOS!$E5382,nASIG,DATOS!$I5382,nEVAL,"OR")=0))</f>
      </c>
      <c r="I5382">
        <f>IF(DATOS!$I5382="","",IFERROR(VLOOKUP(DATOS!$I5382,CONFIG_ASIGNATURAS!$B$2:$J$91,9,FALSE()),""))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IF(DATOS!$A5383="",0,IF(CONFIG_METADATA!$B$4&lt;&gt;"OR+EX",--(DATOS!$G5383=CONFIG_METADATA!$B$4),IF(DATOS!$G5383="EX",1,IF(DATOS!$G5383="OR",--(COUNTIFS(nNIA,DATOS!$A5383,nCURSO,DATOS!$D5383,nESPEC,DATOS!$E5383,nASIG,DATOS!$I5383,nEVAL,"EX")=0),0))))</f>
      </c>
      <c r="H5383">
        <f>IF(DATOS!$G5383&lt;&gt;"EX",0,--(COUNTIFS(nNIA,DATOS!$A5383,nCURSO,DATOS!$D5383,nESPEC,DATOS!$E5383,nASIG,DATOS!$I5383,nEVAL,"OR")=0))</f>
      </c>
      <c r="I5383">
        <f>IF(DATOS!$I5383="","",IFERROR(VLOOKUP(DATOS!$I5383,CONFIG_ASIGNATURAS!$B$2:$J$91,9,FALSE()),""))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IF(DATOS!$A5384="",0,IF(CONFIG_METADATA!$B$4&lt;&gt;"OR+EX",--(DATOS!$G5384=CONFIG_METADATA!$B$4),IF(DATOS!$G5384="EX",1,IF(DATOS!$G5384="OR",--(COUNTIFS(nNIA,DATOS!$A5384,nCURSO,DATOS!$D5384,nESPEC,DATOS!$E5384,nASIG,DATOS!$I5384,nEVAL,"EX")=0),0))))</f>
      </c>
      <c r="H5384">
        <f>IF(DATOS!$G5384&lt;&gt;"EX",0,--(COUNTIFS(nNIA,DATOS!$A5384,nCURSO,DATOS!$D5384,nESPEC,DATOS!$E5384,nASIG,DATOS!$I5384,nEVAL,"OR")=0))</f>
      </c>
      <c r="I5384">
        <f>IF(DATOS!$I5384="","",IFERROR(VLOOKUP(DATOS!$I5384,CONFIG_ASIGNATURAS!$B$2:$J$91,9,FALSE()),""))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IF(DATOS!$A5385="",0,IF(CONFIG_METADATA!$B$4&lt;&gt;"OR+EX",--(DATOS!$G5385=CONFIG_METADATA!$B$4),IF(DATOS!$G5385="EX",1,IF(DATOS!$G5385="OR",--(COUNTIFS(nNIA,DATOS!$A5385,nCURSO,DATOS!$D5385,nESPEC,DATOS!$E5385,nASIG,DATOS!$I5385,nEVAL,"EX")=0),0))))</f>
      </c>
      <c r="H5385">
        <f>IF(DATOS!$G5385&lt;&gt;"EX",0,--(COUNTIFS(nNIA,DATOS!$A5385,nCURSO,DATOS!$D5385,nESPEC,DATOS!$E5385,nASIG,DATOS!$I5385,nEVAL,"OR")=0))</f>
      </c>
      <c r="I5385">
        <f>IF(DATOS!$I5385="","",IFERROR(VLOOKUP(DATOS!$I5385,CONFIG_ASIGNATURAS!$B$2:$J$91,9,FALSE()),""))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IF(DATOS!$A5386="",0,IF(CONFIG_METADATA!$B$4&lt;&gt;"OR+EX",--(DATOS!$G5386=CONFIG_METADATA!$B$4),IF(DATOS!$G5386="EX",1,IF(DATOS!$G5386="OR",--(COUNTIFS(nNIA,DATOS!$A5386,nCURSO,DATOS!$D5386,nESPEC,DATOS!$E5386,nASIG,DATOS!$I5386,nEVAL,"EX")=0),0))))</f>
      </c>
      <c r="H5386">
        <f>IF(DATOS!$G5386&lt;&gt;"EX",0,--(COUNTIFS(nNIA,DATOS!$A5386,nCURSO,DATOS!$D5386,nESPEC,DATOS!$E5386,nASIG,DATOS!$I5386,nEVAL,"OR")=0))</f>
      </c>
      <c r="I5386">
        <f>IF(DATOS!$I5386="","",IFERROR(VLOOKUP(DATOS!$I5386,CONFIG_ASIGNATURAS!$B$2:$J$91,9,FALSE()),""))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IF(DATOS!$A5387="",0,IF(CONFIG_METADATA!$B$4&lt;&gt;"OR+EX",--(DATOS!$G5387=CONFIG_METADATA!$B$4),IF(DATOS!$G5387="EX",1,IF(DATOS!$G5387="OR",--(COUNTIFS(nNIA,DATOS!$A5387,nCURSO,DATOS!$D5387,nESPEC,DATOS!$E5387,nASIG,DATOS!$I5387,nEVAL,"EX")=0),0))))</f>
      </c>
      <c r="H5387">
        <f>IF(DATOS!$G5387&lt;&gt;"EX",0,--(COUNTIFS(nNIA,DATOS!$A5387,nCURSO,DATOS!$D5387,nESPEC,DATOS!$E5387,nASIG,DATOS!$I5387,nEVAL,"OR")=0))</f>
      </c>
      <c r="I5387">
        <f>IF(DATOS!$I5387="","",IFERROR(VLOOKUP(DATOS!$I5387,CONFIG_ASIGNATURAS!$B$2:$J$91,9,FALSE()),""))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IF(DATOS!$A5388="",0,IF(CONFIG_METADATA!$B$4&lt;&gt;"OR+EX",--(DATOS!$G5388=CONFIG_METADATA!$B$4),IF(DATOS!$G5388="EX",1,IF(DATOS!$G5388="OR",--(COUNTIFS(nNIA,DATOS!$A5388,nCURSO,DATOS!$D5388,nESPEC,DATOS!$E5388,nASIG,DATOS!$I5388,nEVAL,"EX")=0),0))))</f>
      </c>
      <c r="H5388">
        <f>IF(DATOS!$G5388&lt;&gt;"EX",0,--(COUNTIFS(nNIA,DATOS!$A5388,nCURSO,DATOS!$D5388,nESPEC,DATOS!$E5388,nASIG,DATOS!$I5388,nEVAL,"OR")=0))</f>
      </c>
      <c r="I5388">
        <f>IF(DATOS!$I5388="","",IFERROR(VLOOKUP(DATOS!$I5388,CONFIG_ASIGNATURAS!$B$2:$J$91,9,FALSE()),""))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IF(DATOS!$A5389="",0,IF(CONFIG_METADATA!$B$4&lt;&gt;"OR+EX",--(DATOS!$G5389=CONFIG_METADATA!$B$4),IF(DATOS!$G5389="EX",1,IF(DATOS!$G5389="OR",--(COUNTIFS(nNIA,DATOS!$A5389,nCURSO,DATOS!$D5389,nESPEC,DATOS!$E5389,nASIG,DATOS!$I5389,nEVAL,"EX")=0),0))))</f>
      </c>
      <c r="H5389">
        <f>IF(DATOS!$G5389&lt;&gt;"EX",0,--(COUNTIFS(nNIA,DATOS!$A5389,nCURSO,DATOS!$D5389,nESPEC,DATOS!$E5389,nASIG,DATOS!$I5389,nEVAL,"OR")=0))</f>
      </c>
      <c r="I5389">
        <f>IF(DATOS!$I5389="","",IFERROR(VLOOKUP(DATOS!$I5389,CONFIG_ASIGNATURAS!$B$2:$J$91,9,FALSE()),""))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IF(DATOS!$A5390="",0,IF(CONFIG_METADATA!$B$4&lt;&gt;"OR+EX",--(DATOS!$G5390=CONFIG_METADATA!$B$4),IF(DATOS!$G5390="EX",1,IF(DATOS!$G5390="OR",--(COUNTIFS(nNIA,DATOS!$A5390,nCURSO,DATOS!$D5390,nESPEC,DATOS!$E5390,nASIG,DATOS!$I5390,nEVAL,"EX")=0),0))))</f>
      </c>
      <c r="H5390">
        <f>IF(DATOS!$G5390&lt;&gt;"EX",0,--(COUNTIFS(nNIA,DATOS!$A5390,nCURSO,DATOS!$D5390,nESPEC,DATOS!$E5390,nASIG,DATOS!$I5390,nEVAL,"OR")=0))</f>
      </c>
      <c r="I5390">
        <f>IF(DATOS!$I5390="","",IFERROR(VLOOKUP(DATOS!$I5390,CONFIG_ASIGNATURAS!$B$2:$J$91,9,FALSE()),""))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IF(DATOS!$A5391="",0,IF(CONFIG_METADATA!$B$4&lt;&gt;"OR+EX",--(DATOS!$G5391=CONFIG_METADATA!$B$4),IF(DATOS!$G5391="EX",1,IF(DATOS!$G5391="OR",--(COUNTIFS(nNIA,DATOS!$A5391,nCURSO,DATOS!$D5391,nESPEC,DATOS!$E5391,nASIG,DATOS!$I5391,nEVAL,"EX")=0),0))))</f>
      </c>
      <c r="H5391">
        <f>IF(DATOS!$G5391&lt;&gt;"EX",0,--(COUNTIFS(nNIA,DATOS!$A5391,nCURSO,DATOS!$D5391,nESPEC,DATOS!$E5391,nASIG,DATOS!$I5391,nEVAL,"OR")=0))</f>
      </c>
      <c r="I5391">
        <f>IF(DATOS!$I5391="","",IFERROR(VLOOKUP(DATOS!$I5391,CONFIG_ASIGNATURAS!$B$2:$J$91,9,FALSE()),""))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IF(DATOS!$A5392="",0,IF(CONFIG_METADATA!$B$4&lt;&gt;"OR+EX",--(DATOS!$G5392=CONFIG_METADATA!$B$4),IF(DATOS!$G5392="EX",1,IF(DATOS!$G5392="OR",--(COUNTIFS(nNIA,DATOS!$A5392,nCURSO,DATOS!$D5392,nESPEC,DATOS!$E5392,nASIG,DATOS!$I5392,nEVAL,"EX")=0),0))))</f>
      </c>
      <c r="H5392">
        <f>IF(DATOS!$G5392&lt;&gt;"EX",0,--(COUNTIFS(nNIA,DATOS!$A5392,nCURSO,DATOS!$D5392,nESPEC,DATOS!$E5392,nASIG,DATOS!$I5392,nEVAL,"OR")=0))</f>
      </c>
      <c r="I5392">
        <f>IF(DATOS!$I5392="","",IFERROR(VLOOKUP(DATOS!$I5392,CONFIG_ASIGNATURAS!$B$2:$J$91,9,FALSE()),""))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IF(DATOS!$A5393="",0,IF(CONFIG_METADATA!$B$4&lt;&gt;"OR+EX",--(DATOS!$G5393=CONFIG_METADATA!$B$4),IF(DATOS!$G5393="EX",1,IF(DATOS!$G5393="OR",--(COUNTIFS(nNIA,DATOS!$A5393,nCURSO,DATOS!$D5393,nESPEC,DATOS!$E5393,nASIG,DATOS!$I5393,nEVAL,"EX")=0),0))))</f>
      </c>
      <c r="H5393">
        <f>IF(DATOS!$G5393&lt;&gt;"EX",0,--(COUNTIFS(nNIA,DATOS!$A5393,nCURSO,DATOS!$D5393,nESPEC,DATOS!$E5393,nASIG,DATOS!$I5393,nEVAL,"OR")=0))</f>
      </c>
      <c r="I5393">
        <f>IF(DATOS!$I5393="","",IFERROR(VLOOKUP(DATOS!$I5393,CONFIG_ASIGNATURAS!$B$2:$J$91,9,FALSE()),""))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IF(DATOS!$A5394="",0,IF(CONFIG_METADATA!$B$4&lt;&gt;"OR+EX",--(DATOS!$G5394=CONFIG_METADATA!$B$4),IF(DATOS!$G5394="EX",1,IF(DATOS!$G5394="OR",--(COUNTIFS(nNIA,DATOS!$A5394,nCURSO,DATOS!$D5394,nESPEC,DATOS!$E5394,nASIG,DATOS!$I5394,nEVAL,"EX")=0),0))))</f>
      </c>
      <c r="H5394">
        <f>IF(DATOS!$G5394&lt;&gt;"EX",0,--(COUNTIFS(nNIA,DATOS!$A5394,nCURSO,DATOS!$D5394,nESPEC,DATOS!$E5394,nASIG,DATOS!$I5394,nEVAL,"OR")=0))</f>
      </c>
      <c r="I5394">
        <f>IF(DATOS!$I5394="","",IFERROR(VLOOKUP(DATOS!$I5394,CONFIG_ASIGNATURAS!$B$2:$J$91,9,FALSE()),""))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IF(DATOS!$A5395="",0,IF(CONFIG_METADATA!$B$4&lt;&gt;"OR+EX",--(DATOS!$G5395=CONFIG_METADATA!$B$4),IF(DATOS!$G5395="EX",1,IF(DATOS!$G5395="OR",--(COUNTIFS(nNIA,DATOS!$A5395,nCURSO,DATOS!$D5395,nESPEC,DATOS!$E5395,nASIG,DATOS!$I5395,nEVAL,"EX")=0),0))))</f>
      </c>
      <c r="H5395">
        <f>IF(DATOS!$G5395&lt;&gt;"EX",0,--(COUNTIFS(nNIA,DATOS!$A5395,nCURSO,DATOS!$D5395,nESPEC,DATOS!$E5395,nASIG,DATOS!$I5395,nEVAL,"OR")=0))</f>
      </c>
      <c r="I5395">
        <f>IF(DATOS!$I5395="","",IFERROR(VLOOKUP(DATOS!$I5395,CONFIG_ASIGNATURAS!$B$2:$J$91,9,FALSE()),""))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IF(DATOS!$A5396="",0,IF(CONFIG_METADATA!$B$4&lt;&gt;"OR+EX",--(DATOS!$G5396=CONFIG_METADATA!$B$4),IF(DATOS!$G5396="EX",1,IF(DATOS!$G5396="OR",--(COUNTIFS(nNIA,DATOS!$A5396,nCURSO,DATOS!$D5396,nESPEC,DATOS!$E5396,nASIG,DATOS!$I5396,nEVAL,"EX")=0),0))))</f>
      </c>
      <c r="H5396">
        <f>IF(DATOS!$G5396&lt;&gt;"EX",0,--(COUNTIFS(nNIA,DATOS!$A5396,nCURSO,DATOS!$D5396,nESPEC,DATOS!$E5396,nASIG,DATOS!$I5396,nEVAL,"OR")=0))</f>
      </c>
      <c r="I5396">
        <f>IF(DATOS!$I5396="","",IFERROR(VLOOKUP(DATOS!$I5396,CONFIG_ASIGNATURAS!$B$2:$J$91,9,FALSE()),""))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IF(DATOS!$A5397="",0,IF(CONFIG_METADATA!$B$4&lt;&gt;"OR+EX",--(DATOS!$G5397=CONFIG_METADATA!$B$4),IF(DATOS!$G5397="EX",1,IF(DATOS!$G5397="OR",--(COUNTIFS(nNIA,DATOS!$A5397,nCURSO,DATOS!$D5397,nESPEC,DATOS!$E5397,nASIG,DATOS!$I5397,nEVAL,"EX")=0),0))))</f>
      </c>
      <c r="H5397">
        <f>IF(DATOS!$G5397&lt;&gt;"EX",0,--(COUNTIFS(nNIA,DATOS!$A5397,nCURSO,DATOS!$D5397,nESPEC,DATOS!$E5397,nASIG,DATOS!$I5397,nEVAL,"OR")=0))</f>
      </c>
      <c r="I5397">
        <f>IF(DATOS!$I5397="","",IFERROR(VLOOKUP(DATOS!$I5397,CONFIG_ASIGNATURAS!$B$2:$J$91,9,FALSE()),""))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IF(DATOS!$A5398="",0,IF(CONFIG_METADATA!$B$4&lt;&gt;"OR+EX",--(DATOS!$G5398=CONFIG_METADATA!$B$4),IF(DATOS!$G5398="EX",1,IF(DATOS!$G5398="OR",--(COUNTIFS(nNIA,DATOS!$A5398,nCURSO,DATOS!$D5398,nESPEC,DATOS!$E5398,nASIG,DATOS!$I5398,nEVAL,"EX")=0),0))))</f>
      </c>
      <c r="H5398">
        <f>IF(DATOS!$G5398&lt;&gt;"EX",0,--(COUNTIFS(nNIA,DATOS!$A5398,nCURSO,DATOS!$D5398,nESPEC,DATOS!$E5398,nASIG,DATOS!$I5398,nEVAL,"OR")=0))</f>
      </c>
      <c r="I5398">
        <f>IF(DATOS!$I5398="","",IFERROR(VLOOKUP(DATOS!$I5398,CONFIG_ASIGNATURAS!$B$2:$J$91,9,FALSE()),""))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IF(DATOS!$A5399="",0,IF(CONFIG_METADATA!$B$4&lt;&gt;"OR+EX",--(DATOS!$G5399=CONFIG_METADATA!$B$4),IF(DATOS!$G5399="EX",1,IF(DATOS!$G5399="OR",--(COUNTIFS(nNIA,DATOS!$A5399,nCURSO,DATOS!$D5399,nESPEC,DATOS!$E5399,nASIG,DATOS!$I5399,nEVAL,"EX")=0),0))))</f>
      </c>
      <c r="H5399">
        <f>IF(DATOS!$G5399&lt;&gt;"EX",0,--(COUNTIFS(nNIA,DATOS!$A5399,nCURSO,DATOS!$D5399,nESPEC,DATOS!$E5399,nASIG,DATOS!$I5399,nEVAL,"OR")=0))</f>
      </c>
      <c r="I5399">
        <f>IF(DATOS!$I5399="","",IFERROR(VLOOKUP(DATOS!$I5399,CONFIG_ASIGNATURAS!$B$2:$J$91,9,FALSE()),""))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IF(DATOS!$A5400="",0,IF(CONFIG_METADATA!$B$4&lt;&gt;"OR+EX",--(DATOS!$G5400=CONFIG_METADATA!$B$4),IF(DATOS!$G5400="EX",1,IF(DATOS!$G5400="OR",--(COUNTIFS(nNIA,DATOS!$A5400,nCURSO,DATOS!$D5400,nESPEC,DATOS!$E5400,nASIG,DATOS!$I5400,nEVAL,"EX")=0),0))))</f>
      </c>
      <c r="H5400">
        <f>IF(DATOS!$G5400&lt;&gt;"EX",0,--(COUNTIFS(nNIA,DATOS!$A5400,nCURSO,DATOS!$D5400,nESPEC,DATOS!$E5400,nASIG,DATOS!$I5400,nEVAL,"OR")=0))</f>
      </c>
      <c r="I5400">
        <f>IF(DATOS!$I5400="","",IFERROR(VLOOKUP(DATOS!$I5400,CONFIG_ASIGNATURAS!$B$2:$J$91,9,FALSE()),""))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IF(DATOS!$A5401="",0,IF(CONFIG_METADATA!$B$4&lt;&gt;"OR+EX",--(DATOS!$G5401=CONFIG_METADATA!$B$4),IF(DATOS!$G5401="EX",1,IF(DATOS!$G5401="OR",--(COUNTIFS(nNIA,DATOS!$A5401,nCURSO,DATOS!$D5401,nESPEC,DATOS!$E5401,nASIG,DATOS!$I5401,nEVAL,"EX")=0),0))))</f>
      </c>
      <c r="H5401">
        <f>IF(DATOS!$G5401&lt;&gt;"EX",0,--(COUNTIFS(nNIA,DATOS!$A5401,nCURSO,DATOS!$D5401,nESPEC,DATOS!$E5401,nASIG,DATOS!$I5401,nEVAL,"OR")=0))</f>
      </c>
      <c r="I5401">
        <f>IF(DATOS!$I5401="","",IFERROR(VLOOKUP(DATOS!$I5401,CONFIG_ASIGNATURAS!$B$2:$J$91,9,FALSE()),""))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IF(DATOS!$A5402="",0,IF(CONFIG_METADATA!$B$4&lt;&gt;"OR+EX",--(DATOS!$G5402=CONFIG_METADATA!$B$4),IF(DATOS!$G5402="EX",1,IF(DATOS!$G5402="OR",--(COUNTIFS(nNIA,DATOS!$A5402,nCURSO,DATOS!$D5402,nESPEC,DATOS!$E5402,nASIG,DATOS!$I5402,nEVAL,"EX")=0),0))))</f>
      </c>
      <c r="H5402">
        <f>IF(DATOS!$G5402&lt;&gt;"EX",0,--(COUNTIFS(nNIA,DATOS!$A5402,nCURSO,DATOS!$D5402,nESPEC,DATOS!$E5402,nASIG,DATOS!$I5402,nEVAL,"OR")=0))</f>
      </c>
      <c r="I5402">
        <f>IF(DATOS!$I5402="","",IFERROR(VLOOKUP(DATOS!$I5402,CONFIG_ASIGNATURAS!$B$2:$J$91,9,FALSE()),""))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IF(DATOS!$A5403="",0,IF(CONFIG_METADATA!$B$4&lt;&gt;"OR+EX",--(DATOS!$G5403=CONFIG_METADATA!$B$4),IF(DATOS!$G5403="EX",1,IF(DATOS!$G5403="OR",--(COUNTIFS(nNIA,DATOS!$A5403,nCURSO,DATOS!$D5403,nESPEC,DATOS!$E5403,nASIG,DATOS!$I5403,nEVAL,"EX")=0),0))))</f>
      </c>
      <c r="H5403">
        <f>IF(DATOS!$G5403&lt;&gt;"EX",0,--(COUNTIFS(nNIA,DATOS!$A5403,nCURSO,DATOS!$D5403,nESPEC,DATOS!$E5403,nASIG,DATOS!$I5403,nEVAL,"OR")=0))</f>
      </c>
      <c r="I5403">
        <f>IF(DATOS!$I5403="","",IFERROR(VLOOKUP(DATOS!$I5403,CONFIG_ASIGNATURAS!$B$2:$J$91,9,FALSE()),""))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IF(DATOS!$A5404="",0,IF(CONFIG_METADATA!$B$4&lt;&gt;"OR+EX",--(DATOS!$G5404=CONFIG_METADATA!$B$4),IF(DATOS!$G5404="EX",1,IF(DATOS!$G5404="OR",--(COUNTIFS(nNIA,DATOS!$A5404,nCURSO,DATOS!$D5404,nESPEC,DATOS!$E5404,nASIG,DATOS!$I5404,nEVAL,"EX")=0),0))))</f>
      </c>
      <c r="H5404">
        <f>IF(DATOS!$G5404&lt;&gt;"EX",0,--(COUNTIFS(nNIA,DATOS!$A5404,nCURSO,DATOS!$D5404,nESPEC,DATOS!$E5404,nASIG,DATOS!$I5404,nEVAL,"OR")=0))</f>
      </c>
      <c r="I5404">
        <f>IF(DATOS!$I5404="","",IFERROR(VLOOKUP(DATOS!$I5404,CONFIG_ASIGNATURAS!$B$2:$J$91,9,FALSE()),""))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IF(DATOS!$A5405="",0,IF(CONFIG_METADATA!$B$4&lt;&gt;"OR+EX",--(DATOS!$G5405=CONFIG_METADATA!$B$4),IF(DATOS!$G5405="EX",1,IF(DATOS!$G5405="OR",--(COUNTIFS(nNIA,DATOS!$A5405,nCURSO,DATOS!$D5405,nESPEC,DATOS!$E5405,nASIG,DATOS!$I5405,nEVAL,"EX")=0),0))))</f>
      </c>
      <c r="H5405">
        <f>IF(DATOS!$G5405&lt;&gt;"EX",0,--(COUNTIFS(nNIA,DATOS!$A5405,nCURSO,DATOS!$D5405,nESPEC,DATOS!$E5405,nASIG,DATOS!$I5405,nEVAL,"OR")=0))</f>
      </c>
      <c r="I5405">
        <f>IF(DATOS!$I5405="","",IFERROR(VLOOKUP(DATOS!$I5405,CONFIG_ASIGNATURAS!$B$2:$J$91,9,FALSE()),""))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IF(DATOS!$A5406="",0,IF(CONFIG_METADATA!$B$4&lt;&gt;"OR+EX",--(DATOS!$G5406=CONFIG_METADATA!$B$4),IF(DATOS!$G5406="EX",1,IF(DATOS!$G5406="OR",--(COUNTIFS(nNIA,DATOS!$A5406,nCURSO,DATOS!$D5406,nESPEC,DATOS!$E5406,nASIG,DATOS!$I5406,nEVAL,"EX")=0),0))))</f>
      </c>
      <c r="H5406">
        <f>IF(DATOS!$G5406&lt;&gt;"EX",0,--(COUNTIFS(nNIA,DATOS!$A5406,nCURSO,DATOS!$D5406,nESPEC,DATOS!$E5406,nASIG,DATOS!$I5406,nEVAL,"OR")=0))</f>
      </c>
      <c r="I5406">
        <f>IF(DATOS!$I5406="","",IFERROR(VLOOKUP(DATOS!$I5406,CONFIG_ASIGNATURAS!$B$2:$J$91,9,FALSE()),""))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IF(DATOS!$A5407="",0,IF(CONFIG_METADATA!$B$4&lt;&gt;"OR+EX",--(DATOS!$G5407=CONFIG_METADATA!$B$4),IF(DATOS!$G5407="EX",1,IF(DATOS!$G5407="OR",--(COUNTIFS(nNIA,DATOS!$A5407,nCURSO,DATOS!$D5407,nESPEC,DATOS!$E5407,nASIG,DATOS!$I5407,nEVAL,"EX")=0),0))))</f>
      </c>
      <c r="H5407">
        <f>IF(DATOS!$G5407&lt;&gt;"EX",0,--(COUNTIFS(nNIA,DATOS!$A5407,nCURSO,DATOS!$D5407,nESPEC,DATOS!$E5407,nASIG,DATOS!$I5407,nEVAL,"OR")=0))</f>
      </c>
      <c r="I5407">
        <f>IF(DATOS!$I5407="","",IFERROR(VLOOKUP(DATOS!$I5407,CONFIG_ASIGNATURAS!$B$2:$J$91,9,FALSE()),""))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IF(DATOS!$A5408="",0,IF(CONFIG_METADATA!$B$4&lt;&gt;"OR+EX",--(DATOS!$G5408=CONFIG_METADATA!$B$4),IF(DATOS!$G5408="EX",1,IF(DATOS!$G5408="OR",--(COUNTIFS(nNIA,DATOS!$A5408,nCURSO,DATOS!$D5408,nESPEC,DATOS!$E5408,nASIG,DATOS!$I5408,nEVAL,"EX")=0),0))))</f>
      </c>
      <c r="H5408">
        <f>IF(DATOS!$G5408&lt;&gt;"EX",0,--(COUNTIFS(nNIA,DATOS!$A5408,nCURSO,DATOS!$D5408,nESPEC,DATOS!$E5408,nASIG,DATOS!$I5408,nEVAL,"OR")=0))</f>
      </c>
      <c r="I5408">
        <f>IF(DATOS!$I5408="","",IFERROR(VLOOKUP(DATOS!$I5408,CONFIG_ASIGNATURAS!$B$2:$J$91,9,FALSE()),""))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IF(DATOS!$A5409="",0,IF(CONFIG_METADATA!$B$4&lt;&gt;"OR+EX",--(DATOS!$G5409=CONFIG_METADATA!$B$4),IF(DATOS!$G5409="EX",1,IF(DATOS!$G5409="OR",--(COUNTIFS(nNIA,DATOS!$A5409,nCURSO,DATOS!$D5409,nESPEC,DATOS!$E5409,nASIG,DATOS!$I5409,nEVAL,"EX")=0),0))))</f>
      </c>
      <c r="H5409">
        <f>IF(DATOS!$G5409&lt;&gt;"EX",0,--(COUNTIFS(nNIA,DATOS!$A5409,nCURSO,DATOS!$D5409,nESPEC,DATOS!$E5409,nASIG,DATOS!$I5409,nEVAL,"OR")=0))</f>
      </c>
      <c r="I5409">
        <f>IF(DATOS!$I5409="","",IFERROR(VLOOKUP(DATOS!$I5409,CONFIG_ASIGNATURAS!$B$2:$J$91,9,FALSE()),""))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IF(DATOS!$A5410="",0,IF(CONFIG_METADATA!$B$4&lt;&gt;"OR+EX",--(DATOS!$G5410=CONFIG_METADATA!$B$4),IF(DATOS!$G5410="EX",1,IF(DATOS!$G5410="OR",--(COUNTIFS(nNIA,DATOS!$A5410,nCURSO,DATOS!$D5410,nESPEC,DATOS!$E5410,nASIG,DATOS!$I5410,nEVAL,"EX")=0),0))))</f>
      </c>
      <c r="H5410">
        <f>IF(DATOS!$G5410&lt;&gt;"EX",0,--(COUNTIFS(nNIA,DATOS!$A5410,nCURSO,DATOS!$D5410,nESPEC,DATOS!$E5410,nASIG,DATOS!$I5410,nEVAL,"OR")=0))</f>
      </c>
      <c r="I5410">
        <f>IF(DATOS!$I5410="","",IFERROR(VLOOKUP(DATOS!$I5410,CONFIG_ASIGNATURAS!$B$2:$J$91,9,FALSE()),""))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IF(DATOS!$A5411="",0,IF(CONFIG_METADATA!$B$4&lt;&gt;"OR+EX",--(DATOS!$G5411=CONFIG_METADATA!$B$4),IF(DATOS!$G5411="EX",1,IF(DATOS!$G5411="OR",--(COUNTIFS(nNIA,DATOS!$A5411,nCURSO,DATOS!$D5411,nESPEC,DATOS!$E5411,nASIG,DATOS!$I5411,nEVAL,"EX")=0),0))))</f>
      </c>
      <c r="H5411">
        <f>IF(DATOS!$G5411&lt;&gt;"EX",0,--(COUNTIFS(nNIA,DATOS!$A5411,nCURSO,DATOS!$D5411,nESPEC,DATOS!$E5411,nASIG,DATOS!$I5411,nEVAL,"OR")=0))</f>
      </c>
      <c r="I5411">
        <f>IF(DATOS!$I5411="","",IFERROR(VLOOKUP(DATOS!$I5411,CONFIG_ASIGNATURAS!$B$2:$J$91,9,FALSE()),""))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IF(DATOS!$A5412="",0,IF(CONFIG_METADATA!$B$4&lt;&gt;"OR+EX",--(DATOS!$G5412=CONFIG_METADATA!$B$4),IF(DATOS!$G5412="EX",1,IF(DATOS!$G5412="OR",--(COUNTIFS(nNIA,DATOS!$A5412,nCURSO,DATOS!$D5412,nESPEC,DATOS!$E5412,nASIG,DATOS!$I5412,nEVAL,"EX")=0),0))))</f>
      </c>
      <c r="H5412">
        <f>IF(DATOS!$G5412&lt;&gt;"EX",0,--(COUNTIFS(nNIA,DATOS!$A5412,nCURSO,DATOS!$D5412,nESPEC,DATOS!$E5412,nASIG,DATOS!$I5412,nEVAL,"OR")=0))</f>
      </c>
      <c r="I5412">
        <f>IF(DATOS!$I5412="","",IFERROR(VLOOKUP(DATOS!$I5412,CONFIG_ASIGNATURAS!$B$2:$J$91,9,FALSE()),""))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IF(DATOS!$A5413="",0,IF(CONFIG_METADATA!$B$4&lt;&gt;"OR+EX",--(DATOS!$G5413=CONFIG_METADATA!$B$4),IF(DATOS!$G5413="EX",1,IF(DATOS!$G5413="OR",--(COUNTIFS(nNIA,DATOS!$A5413,nCURSO,DATOS!$D5413,nESPEC,DATOS!$E5413,nASIG,DATOS!$I5413,nEVAL,"EX")=0),0))))</f>
      </c>
      <c r="H5413">
        <f>IF(DATOS!$G5413&lt;&gt;"EX",0,--(COUNTIFS(nNIA,DATOS!$A5413,nCURSO,DATOS!$D5413,nESPEC,DATOS!$E5413,nASIG,DATOS!$I5413,nEVAL,"OR")=0))</f>
      </c>
      <c r="I5413">
        <f>IF(DATOS!$I5413="","",IFERROR(VLOOKUP(DATOS!$I5413,CONFIG_ASIGNATURAS!$B$2:$J$91,9,FALSE()),""))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IF(DATOS!$A5414="",0,IF(CONFIG_METADATA!$B$4&lt;&gt;"OR+EX",--(DATOS!$G5414=CONFIG_METADATA!$B$4),IF(DATOS!$G5414="EX",1,IF(DATOS!$G5414="OR",--(COUNTIFS(nNIA,DATOS!$A5414,nCURSO,DATOS!$D5414,nESPEC,DATOS!$E5414,nASIG,DATOS!$I5414,nEVAL,"EX")=0),0))))</f>
      </c>
      <c r="H5414">
        <f>IF(DATOS!$G5414&lt;&gt;"EX",0,--(COUNTIFS(nNIA,DATOS!$A5414,nCURSO,DATOS!$D5414,nESPEC,DATOS!$E5414,nASIG,DATOS!$I5414,nEVAL,"OR")=0))</f>
      </c>
      <c r="I5414">
        <f>IF(DATOS!$I5414="","",IFERROR(VLOOKUP(DATOS!$I5414,CONFIG_ASIGNATURAS!$B$2:$J$91,9,FALSE()),""))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IF(DATOS!$A5415="",0,IF(CONFIG_METADATA!$B$4&lt;&gt;"OR+EX",--(DATOS!$G5415=CONFIG_METADATA!$B$4),IF(DATOS!$G5415="EX",1,IF(DATOS!$G5415="OR",--(COUNTIFS(nNIA,DATOS!$A5415,nCURSO,DATOS!$D5415,nESPEC,DATOS!$E5415,nASIG,DATOS!$I5415,nEVAL,"EX")=0),0))))</f>
      </c>
      <c r="H5415">
        <f>IF(DATOS!$G5415&lt;&gt;"EX",0,--(COUNTIFS(nNIA,DATOS!$A5415,nCURSO,DATOS!$D5415,nESPEC,DATOS!$E5415,nASIG,DATOS!$I5415,nEVAL,"OR")=0))</f>
      </c>
      <c r="I5415">
        <f>IF(DATOS!$I5415="","",IFERROR(VLOOKUP(DATOS!$I5415,CONFIG_ASIGNATURAS!$B$2:$J$91,9,FALSE()),""))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IF(DATOS!$A5416="",0,IF(CONFIG_METADATA!$B$4&lt;&gt;"OR+EX",--(DATOS!$G5416=CONFIG_METADATA!$B$4),IF(DATOS!$G5416="EX",1,IF(DATOS!$G5416="OR",--(COUNTIFS(nNIA,DATOS!$A5416,nCURSO,DATOS!$D5416,nESPEC,DATOS!$E5416,nASIG,DATOS!$I5416,nEVAL,"EX")=0),0))))</f>
      </c>
      <c r="H5416">
        <f>IF(DATOS!$G5416&lt;&gt;"EX",0,--(COUNTIFS(nNIA,DATOS!$A5416,nCURSO,DATOS!$D5416,nESPEC,DATOS!$E5416,nASIG,DATOS!$I5416,nEVAL,"OR")=0))</f>
      </c>
      <c r="I5416">
        <f>IF(DATOS!$I5416="","",IFERROR(VLOOKUP(DATOS!$I5416,CONFIG_ASIGNATURAS!$B$2:$J$91,9,FALSE()),""))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IF(DATOS!$A5417="",0,IF(CONFIG_METADATA!$B$4&lt;&gt;"OR+EX",--(DATOS!$G5417=CONFIG_METADATA!$B$4),IF(DATOS!$G5417="EX",1,IF(DATOS!$G5417="OR",--(COUNTIFS(nNIA,DATOS!$A5417,nCURSO,DATOS!$D5417,nESPEC,DATOS!$E5417,nASIG,DATOS!$I5417,nEVAL,"EX")=0),0))))</f>
      </c>
      <c r="H5417">
        <f>IF(DATOS!$G5417&lt;&gt;"EX",0,--(COUNTIFS(nNIA,DATOS!$A5417,nCURSO,DATOS!$D5417,nESPEC,DATOS!$E5417,nASIG,DATOS!$I5417,nEVAL,"OR")=0))</f>
      </c>
      <c r="I5417">
        <f>IF(DATOS!$I5417="","",IFERROR(VLOOKUP(DATOS!$I5417,CONFIG_ASIGNATURAS!$B$2:$J$91,9,FALSE()),""))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IF(DATOS!$A5418="",0,IF(CONFIG_METADATA!$B$4&lt;&gt;"OR+EX",--(DATOS!$G5418=CONFIG_METADATA!$B$4),IF(DATOS!$G5418="EX",1,IF(DATOS!$G5418="OR",--(COUNTIFS(nNIA,DATOS!$A5418,nCURSO,DATOS!$D5418,nESPEC,DATOS!$E5418,nASIG,DATOS!$I5418,nEVAL,"EX")=0),0))))</f>
      </c>
      <c r="H5418">
        <f>IF(DATOS!$G5418&lt;&gt;"EX",0,--(COUNTIFS(nNIA,DATOS!$A5418,nCURSO,DATOS!$D5418,nESPEC,DATOS!$E5418,nASIG,DATOS!$I5418,nEVAL,"OR")=0))</f>
      </c>
      <c r="I5418">
        <f>IF(DATOS!$I5418="","",IFERROR(VLOOKUP(DATOS!$I5418,CONFIG_ASIGNATURAS!$B$2:$J$91,9,FALSE()),""))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IF(DATOS!$A5419="",0,IF(CONFIG_METADATA!$B$4&lt;&gt;"OR+EX",--(DATOS!$G5419=CONFIG_METADATA!$B$4),IF(DATOS!$G5419="EX",1,IF(DATOS!$G5419="OR",--(COUNTIFS(nNIA,DATOS!$A5419,nCURSO,DATOS!$D5419,nESPEC,DATOS!$E5419,nASIG,DATOS!$I5419,nEVAL,"EX")=0),0))))</f>
      </c>
      <c r="H5419">
        <f>IF(DATOS!$G5419&lt;&gt;"EX",0,--(COUNTIFS(nNIA,DATOS!$A5419,nCURSO,DATOS!$D5419,nESPEC,DATOS!$E5419,nASIG,DATOS!$I5419,nEVAL,"OR")=0))</f>
      </c>
      <c r="I5419">
        <f>IF(DATOS!$I5419="","",IFERROR(VLOOKUP(DATOS!$I5419,CONFIG_ASIGNATURAS!$B$2:$J$91,9,FALSE()),""))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IF(DATOS!$A5420="",0,IF(CONFIG_METADATA!$B$4&lt;&gt;"OR+EX",--(DATOS!$G5420=CONFIG_METADATA!$B$4),IF(DATOS!$G5420="EX",1,IF(DATOS!$G5420="OR",--(COUNTIFS(nNIA,DATOS!$A5420,nCURSO,DATOS!$D5420,nESPEC,DATOS!$E5420,nASIG,DATOS!$I5420,nEVAL,"EX")=0),0))))</f>
      </c>
      <c r="H5420">
        <f>IF(DATOS!$G5420&lt;&gt;"EX",0,--(COUNTIFS(nNIA,DATOS!$A5420,nCURSO,DATOS!$D5420,nESPEC,DATOS!$E5420,nASIG,DATOS!$I5420,nEVAL,"OR")=0))</f>
      </c>
      <c r="I5420">
        <f>IF(DATOS!$I5420="","",IFERROR(VLOOKUP(DATOS!$I5420,CONFIG_ASIGNATURAS!$B$2:$J$91,9,FALSE()),""))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IF(DATOS!$A5421="",0,IF(CONFIG_METADATA!$B$4&lt;&gt;"OR+EX",--(DATOS!$G5421=CONFIG_METADATA!$B$4),IF(DATOS!$G5421="EX",1,IF(DATOS!$G5421="OR",--(COUNTIFS(nNIA,DATOS!$A5421,nCURSO,DATOS!$D5421,nESPEC,DATOS!$E5421,nASIG,DATOS!$I5421,nEVAL,"EX")=0),0))))</f>
      </c>
      <c r="H5421">
        <f>IF(DATOS!$G5421&lt;&gt;"EX",0,--(COUNTIFS(nNIA,DATOS!$A5421,nCURSO,DATOS!$D5421,nESPEC,DATOS!$E5421,nASIG,DATOS!$I5421,nEVAL,"OR")=0))</f>
      </c>
      <c r="I5421">
        <f>IF(DATOS!$I5421="","",IFERROR(VLOOKUP(DATOS!$I5421,CONFIG_ASIGNATURAS!$B$2:$J$91,9,FALSE()),""))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IF(DATOS!$A5422="",0,IF(CONFIG_METADATA!$B$4&lt;&gt;"OR+EX",--(DATOS!$G5422=CONFIG_METADATA!$B$4),IF(DATOS!$G5422="EX",1,IF(DATOS!$G5422="OR",--(COUNTIFS(nNIA,DATOS!$A5422,nCURSO,DATOS!$D5422,nESPEC,DATOS!$E5422,nASIG,DATOS!$I5422,nEVAL,"EX")=0),0))))</f>
      </c>
      <c r="H5422">
        <f>IF(DATOS!$G5422&lt;&gt;"EX",0,--(COUNTIFS(nNIA,DATOS!$A5422,nCURSO,DATOS!$D5422,nESPEC,DATOS!$E5422,nASIG,DATOS!$I5422,nEVAL,"OR")=0))</f>
      </c>
      <c r="I5422">
        <f>IF(DATOS!$I5422="","",IFERROR(VLOOKUP(DATOS!$I5422,CONFIG_ASIGNATURAS!$B$2:$J$91,9,FALSE()),""))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IF(DATOS!$A5423="",0,IF(CONFIG_METADATA!$B$4&lt;&gt;"OR+EX",--(DATOS!$G5423=CONFIG_METADATA!$B$4),IF(DATOS!$G5423="EX",1,IF(DATOS!$G5423="OR",--(COUNTIFS(nNIA,DATOS!$A5423,nCURSO,DATOS!$D5423,nESPEC,DATOS!$E5423,nASIG,DATOS!$I5423,nEVAL,"EX")=0),0))))</f>
      </c>
      <c r="H5423">
        <f>IF(DATOS!$G5423&lt;&gt;"EX",0,--(COUNTIFS(nNIA,DATOS!$A5423,nCURSO,DATOS!$D5423,nESPEC,DATOS!$E5423,nASIG,DATOS!$I5423,nEVAL,"OR")=0))</f>
      </c>
      <c r="I5423">
        <f>IF(DATOS!$I5423="","",IFERROR(VLOOKUP(DATOS!$I5423,CONFIG_ASIGNATURAS!$B$2:$J$91,9,FALSE()),""))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IF(DATOS!$A5424="",0,IF(CONFIG_METADATA!$B$4&lt;&gt;"OR+EX",--(DATOS!$G5424=CONFIG_METADATA!$B$4),IF(DATOS!$G5424="EX",1,IF(DATOS!$G5424="OR",--(COUNTIFS(nNIA,DATOS!$A5424,nCURSO,DATOS!$D5424,nESPEC,DATOS!$E5424,nASIG,DATOS!$I5424,nEVAL,"EX")=0),0))))</f>
      </c>
      <c r="H5424">
        <f>IF(DATOS!$G5424&lt;&gt;"EX",0,--(COUNTIFS(nNIA,DATOS!$A5424,nCURSO,DATOS!$D5424,nESPEC,DATOS!$E5424,nASIG,DATOS!$I5424,nEVAL,"OR")=0))</f>
      </c>
      <c r="I5424">
        <f>IF(DATOS!$I5424="","",IFERROR(VLOOKUP(DATOS!$I5424,CONFIG_ASIGNATURAS!$B$2:$J$91,9,FALSE()),""))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IF(DATOS!$A5425="",0,IF(CONFIG_METADATA!$B$4&lt;&gt;"OR+EX",--(DATOS!$G5425=CONFIG_METADATA!$B$4),IF(DATOS!$G5425="EX",1,IF(DATOS!$G5425="OR",--(COUNTIFS(nNIA,DATOS!$A5425,nCURSO,DATOS!$D5425,nESPEC,DATOS!$E5425,nASIG,DATOS!$I5425,nEVAL,"EX")=0),0))))</f>
      </c>
      <c r="H5425">
        <f>IF(DATOS!$G5425&lt;&gt;"EX",0,--(COUNTIFS(nNIA,DATOS!$A5425,nCURSO,DATOS!$D5425,nESPEC,DATOS!$E5425,nASIG,DATOS!$I5425,nEVAL,"OR")=0))</f>
      </c>
      <c r="I5425">
        <f>IF(DATOS!$I5425="","",IFERROR(VLOOKUP(DATOS!$I5425,CONFIG_ASIGNATURAS!$B$2:$J$91,9,FALSE()),""))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IF(DATOS!$A5426="",0,IF(CONFIG_METADATA!$B$4&lt;&gt;"OR+EX",--(DATOS!$G5426=CONFIG_METADATA!$B$4),IF(DATOS!$G5426="EX",1,IF(DATOS!$G5426="OR",--(COUNTIFS(nNIA,DATOS!$A5426,nCURSO,DATOS!$D5426,nESPEC,DATOS!$E5426,nASIG,DATOS!$I5426,nEVAL,"EX")=0),0))))</f>
      </c>
      <c r="H5426">
        <f>IF(DATOS!$G5426&lt;&gt;"EX",0,--(COUNTIFS(nNIA,DATOS!$A5426,nCURSO,DATOS!$D5426,nESPEC,DATOS!$E5426,nASIG,DATOS!$I5426,nEVAL,"OR")=0))</f>
      </c>
      <c r="I5426">
        <f>IF(DATOS!$I5426="","",IFERROR(VLOOKUP(DATOS!$I5426,CONFIG_ASIGNATURAS!$B$2:$J$91,9,FALSE()),""))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IF(DATOS!$A5427="",0,IF(CONFIG_METADATA!$B$4&lt;&gt;"OR+EX",--(DATOS!$G5427=CONFIG_METADATA!$B$4),IF(DATOS!$G5427="EX",1,IF(DATOS!$G5427="OR",--(COUNTIFS(nNIA,DATOS!$A5427,nCURSO,DATOS!$D5427,nESPEC,DATOS!$E5427,nASIG,DATOS!$I5427,nEVAL,"EX")=0),0))))</f>
      </c>
      <c r="H5427">
        <f>IF(DATOS!$G5427&lt;&gt;"EX",0,--(COUNTIFS(nNIA,DATOS!$A5427,nCURSO,DATOS!$D5427,nESPEC,DATOS!$E5427,nASIG,DATOS!$I5427,nEVAL,"OR")=0))</f>
      </c>
      <c r="I5427">
        <f>IF(DATOS!$I5427="","",IFERROR(VLOOKUP(DATOS!$I5427,CONFIG_ASIGNATURAS!$B$2:$J$91,9,FALSE()),""))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IF(DATOS!$A5428="",0,IF(CONFIG_METADATA!$B$4&lt;&gt;"OR+EX",--(DATOS!$G5428=CONFIG_METADATA!$B$4),IF(DATOS!$G5428="EX",1,IF(DATOS!$G5428="OR",--(COUNTIFS(nNIA,DATOS!$A5428,nCURSO,DATOS!$D5428,nESPEC,DATOS!$E5428,nASIG,DATOS!$I5428,nEVAL,"EX")=0),0))))</f>
      </c>
      <c r="H5428">
        <f>IF(DATOS!$G5428&lt;&gt;"EX",0,--(COUNTIFS(nNIA,DATOS!$A5428,nCURSO,DATOS!$D5428,nESPEC,DATOS!$E5428,nASIG,DATOS!$I5428,nEVAL,"OR")=0))</f>
      </c>
      <c r="I5428">
        <f>IF(DATOS!$I5428="","",IFERROR(VLOOKUP(DATOS!$I5428,CONFIG_ASIGNATURAS!$B$2:$J$91,9,FALSE()),""))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IF(DATOS!$A5429="",0,IF(CONFIG_METADATA!$B$4&lt;&gt;"OR+EX",--(DATOS!$G5429=CONFIG_METADATA!$B$4),IF(DATOS!$G5429="EX",1,IF(DATOS!$G5429="OR",--(COUNTIFS(nNIA,DATOS!$A5429,nCURSO,DATOS!$D5429,nESPEC,DATOS!$E5429,nASIG,DATOS!$I5429,nEVAL,"EX")=0),0))))</f>
      </c>
      <c r="H5429">
        <f>IF(DATOS!$G5429&lt;&gt;"EX",0,--(COUNTIFS(nNIA,DATOS!$A5429,nCURSO,DATOS!$D5429,nESPEC,DATOS!$E5429,nASIG,DATOS!$I5429,nEVAL,"OR")=0))</f>
      </c>
      <c r="I5429">
        <f>IF(DATOS!$I5429="","",IFERROR(VLOOKUP(DATOS!$I5429,CONFIG_ASIGNATURAS!$B$2:$J$91,9,FALSE()),""))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IF(DATOS!$A5430="",0,IF(CONFIG_METADATA!$B$4&lt;&gt;"OR+EX",--(DATOS!$G5430=CONFIG_METADATA!$B$4),IF(DATOS!$G5430="EX",1,IF(DATOS!$G5430="OR",--(COUNTIFS(nNIA,DATOS!$A5430,nCURSO,DATOS!$D5430,nESPEC,DATOS!$E5430,nASIG,DATOS!$I5430,nEVAL,"EX")=0),0))))</f>
      </c>
      <c r="H5430">
        <f>IF(DATOS!$G5430&lt;&gt;"EX",0,--(COUNTIFS(nNIA,DATOS!$A5430,nCURSO,DATOS!$D5430,nESPEC,DATOS!$E5430,nASIG,DATOS!$I5430,nEVAL,"OR")=0))</f>
      </c>
      <c r="I5430">
        <f>IF(DATOS!$I5430="","",IFERROR(VLOOKUP(DATOS!$I5430,CONFIG_ASIGNATURAS!$B$2:$J$91,9,FALSE()),""))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IF(DATOS!$A5431="",0,IF(CONFIG_METADATA!$B$4&lt;&gt;"OR+EX",--(DATOS!$G5431=CONFIG_METADATA!$B$4),IF(DATOS!$G5431="EX",1,IF(DATOS!$G5431="OR",--(COUNTIFS(nNIA,DATOS!$A5431,nCURSO,DATOS!$D5431,nESPEC,DATOS!$E5431,nASIG,DATOS!$I5431,nEVAL,"EX")=0),0))))</f>
      </c>
      <c r="H5431">
        <f>IF(DATOS!$G5431&lt;&gt;"EX",0,--(COUNTIFS(nNIA,DATOS!$A5431,nCURSO,DATOS!$D5431,nESPEC,DATOS!$E5431,nASIG,DATOS!$I5431,nEVAL,"OR")=0))</f>
      </c>
      <c r="I5431">
        <f>IF(DATOS!$I5431="","",IFERROR(VLOOKUP(DATOS!$I5431,CONFIG_ASIGNATURAS!$B$2:$J$91,9,FALSE()),""))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IF(DATOS!$A5432="",0,IF(CONFIG_METADATA!$B$4&lt;&gt;"OR+EX",--(DATOS!$G5432=CONFIG_METADATA!$B$4),IF(DATOS!$G5432="EX",1,IF(DATOS!$G5432="OR",--(COUNTIFS(nNIA,DATOS!$A5432,nCURSO,DATOS!$D5432,nESPEC,DATOS!$E5432,nASIG,DATOS!$I5432,nEVAL,"EX")=0),0))))</f>
      </c>
      <c r="H5432">
        <f>IF(DATOS!$G5432&lt;&gt;"EX",0,--(COUNTIFS(nNIA,DATOS!$A5432,nCURSO,DATOS!$D5432,nESPEC,DATOS!$E5432,nASIG,DATOS!$I5432,nEVAL,"OR")=0))</f>
      </c>
      <c r="I5432">
        <f>IF(DATOS!$I5432="","",IFERROR(VLOOKUP(DATOS!$I5432,CONFIG_ASIGNATURAS!$B$2:$J$91,9,FALSE()),""))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IF(DATOS!$A5433="",0,IF(CONFIG_METADATA!$B$4&lt;&gt;"OR+EX",--(DATOS!$G5433=CONFIG_METADATA!$B$4),IF(DATOS!$G5433="EX",1,IF(DATOS!$G5433="OR",--(COUNTIFS(nNIA,DATOS!$A5433,nCURSO,DATOS!$D5433,nESPEC,DATOS!$E5433,nASIG,DATOS!$I5433,nEVAL,"EX")=0),0))))</f>
      </c>
      <c r="H5433">
        <f>IF(DATOS!$G5433&lt;&gt;"EX",0,--(COUNTIFS(nNIA,DATOS!$A5433,nCURSO,DATOS!$D5433,nESPEC,DATOS!$E5433,nASIG,DATOS!$I5433,nEVAL,"OR")=0))</f>
      </c>
      <c r="I5433">
        <f>IF(DATOS!$I5433="","",IFERROR(VLOOKUP(DATOS!$I5433,CONFIG_ASIGNATURAS!$B$2:$J$91,9,FALSE()),""))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IF(DATOS!$A5434="",0,IF(CONFIG_METADATA!$B$4&lt;&gt;"OR+EX",--(DATOS!$G5434=CONFIG_METADATA!$B$4),IF(DATOS!$G5434="EX",1,IF(DATOS!$G5434="OR",--(COUNTIFS(nNIA,DATOS!$A5434,nCURSO,DATOS!$D5434,nESPEC,DATOS!$E5434,nASIG,DATOS!$I5434,nEVAL,"EX")=0),0))))</f>
      </c>
      <c r="H5434">
        <f>IF(DATOS!$G5434&lt;&gt;"EX",0,--(COUNTIFS(nNIA,DATOS!$A5434,nCURSO,DATOS!$D5434,nESPEC,DATOS!$E5434,nASIG,DATOS!$I5434,nEVAL,"OR")=0))</f>
      </c>
      <c r="I5434">
        <f>IF(DATOS!$I5434="","",IFERROR(VLOOKUP(DATOS!$I5434,CONFIG_ASIGNATURAS!$B$2:$J$91,9,FALSE()),""))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IF(DATOS!$A5435="",0,IF(CONFIG_METADATA!$B$4&lt;&gt;"OR+EX",--(DATOS!$G5435=CONFIG_METADATA!$B$4),IF(DATOS!$G5435="EX",1,IF(DATOS!$G5435="OR",--(COUNTIFS(nNIA,DATOS!$A5435,nCURSO,DATOS!$D5435,nESPEC,DATOS!$E5435,nASIG,DATOS!$I5435,nEVAL,"EX")=0),0))))</f>
      </c>
      <c r="H5435">
        <f>IF(DATOS!$G5435&lt;&gt;"EX",0,--(COUNTIFS(nNIA,DATOS!$A5435,nCURSO,DATOS!$D5435,nESPEC,DATOS!$E5435,nASIG,DATOS!$I5435,nEVAL,"OR")=0))</f>
      </c>
      <c r="I5435">
        <f>IF(DATOS!$I5435="","",IFERROR(VLOOKUP(DATOS!$I5435,CONFIG_ASIGNATURAS!$B$2:$J$91,9,FALSE()),""))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IF(DATOS!$A5436="",0,IF(CONFIG_METADATA!$B$4&lt;&gt;"OR+EX",--(DATOS!$G5436=CONFIG_METADATA!$B$4),IF(DATOS!$G5436="EX",1,IF(DATOS!$G5436="OR",--(COUNTIFS(nNIA,DATOS!$A5436,nCURSO,DATOS!$D5436,nESPEC,DATOS!$E5436,nASIG,DATOS!$I5436,nEVAL,"EX")=0),0))))</f>
      </c>
      <c r="H5436">
        <f>IF(DATOS!$G5436&lt;&gt;"EX",0,--(COUNTIFS(nNIA,DATOS!$A5436,nCURSO,DATOS!$D5436,nESPEC,DATOS!$E5436,nASIG,DATOS!$I5436,nEVAL,"OR")=0))</f>
      </c>
      <c r="I5436">
        <f>IF(DATOS!$I5436="","",IFERROR(VLOOKUP(DATOS!$I5436,CONFIG_ASIGNATURAS!$B$2:$J$91,9,FALSE()),""))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IF(DATOS!$A5437="",0,IF(CONFIG_METADATA!$B$4&lt;&gt;"OR+EX",--(DATOS!$G5437=CONFIG_METADATA!$B$4),IF(DATOS!$G5437="EX",1,IF(DATOS!$G5437="OR",--(COUNTIFS(nNIA,DATOS!$A5437,nCURSO,DATOS!$D5437,nESPEC,DATOS!$E5437,nASIG,DATOS!$I5437,nEVAL,"EX")=0),0))))</f>
      </c>
      <c r="H5437">
        <f>IF(DATOS!$G5437&lt;&gt;"EX",0,--(COUNTIFS(nNIA,DATOS!$A5437,nCURSO,DATOS!$D5437,nESPEC,DATOS!$E5437,nASIG,DATOS!$I5437,nEVAL,"OR")=0))</f>
      </c>
      <c r="I5437">
        <f>IF(DATOS!$I5437="","",IFERROR(VLOOKUP(DATOS!$I5437,CONFIG_ASIGNATURAS!$B$2:$J$91,9,FALSE()),""))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IF(DATOS!$A5438="",0,IF(CONFIG_METADATA!$B$4&lt;&gt;"OR+EX",--(DATOS!$G5438=CONFIG_METADATA!$B$4),IF(DATOS!$G5438="EX",1,IF(DATOS!$G5438="OR",--(COUNTIFS(nNIA,DATOS!$A5438,nCURSO,DATOS!$D5438,nESPEC,DATOS!$E5438,nASIG,DATOS!$I5438,nEVAL,"EX")=0),0))))</f>
      </c>
      <c r="H5438">
        <f>IF(DATOS!$G5438&lt;&gt;"EX",0,--(COUNTIFS(nNIA,DATOS!$A5438,nCURSO,DATOS!$D5438,nESPEC,DATOS!$E5438,nASIG,DATOS!$I5438,nEVAL,"OR")=0))</f>
      </c>
      <c r="I5438">
        <f>IF(DATOS!$I5438="","",IFERROR(VLOOKUP(DATOS!$I5438,CONFIG_ASIGNATURAS!$B$2:$J$91,9,FALSE()),""))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IF(DATOS!$A5439="",0,IF(CONFIG_METADATA!$B$4&lt;&gt;"OR+EX",--(DATOS!$G5439=CONFIG_METADATA!$B$4),IF(DATOS!$G5439="EX",1,IF(DATOS!$G5439="OR",--(COUNTIFS(nNIA,DATOS!$A5439,nCURSO,DATOS!$D5439,nESPEC,DATOS!$E5439,nASIG,DATOS!$I5439,nEVAL,"EX")=0),0))))</f>
      </c>
      <c r="H5439">
        <f>IF(DATOS!$G5439&lt;&gt;"EX",0,--(COUNTIFS(nNIA,DATOS!$A5439,nCURSO,DATOS!$D5439,nESPEC,DATOS!$E5439,nASIG,DATOS!$I5439,nEVAL,"OR")=0))</f>
      </c>
      <c r="I5439">
        <f>IF(DATOS!$I5439="","",IFERROR(VLOOKUP(DATOS!$I5439,CONFIG_ASIGNATURAS!$B$2:$J$91,9,FALSE()),""))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IF(DATOS!$A5440="",0,IF(CONFIG_METADATA!$B$4&lt;&gt;"OR+EX",--(DATOS!$G5440=CONFIG_METADATA!$B$4),IF(DATOS!$G5440="EX",1,IF(DATOS!$G5440="OR",--(COUNTIFS(nNIA,DATOS!$A5440,nCURSO,DATOS!$D5440,nESPEC,DATOS!$E5440,nASIG,DATOS!$I5440,nEVAL,"EX")=0),0))))</f>
      </c>
      <c r="H5440">
        <f>IF(DATOS!$G5440&lt;&gt;"EX",0,--(COUNTIFS(nNIA,DATOS!$A5440,nCURSO,DATOS!$D5440,nESPEC,DATOS!$E5440,nASIG,DATOS!$I5440,nEVAL,"OR")=0))</f>
      </c>
      <c r="I5440">
        <f>IF(DATOS!$I5440="","",IFERROR(VLOOKUP(DATOS!$I5440,CONFIG_ASIGNATURAS!$B$2:$J$91,9,FALSE()),""))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IF(DATOS!$A5441="",0,IF(CONFIG_METADATA!$B$4&lt;&gt;"OR+EX",--(DATOS!$G5441=CONFIG_METADATA!$B$4),IF(DATOS!$G5441="EX",1,IF(DATOS!$G5441="OR",--(COUNTIFS(nNIA,DATOS!$A5441,nCURSO,DATOS!$D5441,nESPEC,DATOS!$E5441,nASIG,DATOS!$I5441,nEVAL,"EX")=0),0))))</f>
      </c>
      <c r="H5441">
        <f>IF(DATOS!$G5441&lt;&gt;"EX",0,--(COUNTIFS(nNIA,DATOS!$A5441,nCURSO,DATOS!$D5441,nESPEC,DATOS!$E5441,nASIG,DATOS!$I5441,nEVAL,"OR")=0))</f>
      </c>
      <c r="I5441">
        <f>IF(DATOS!$I5441="","",IFERROR(VLOOKUP(DATOS!$I5441,CONFIG_ASIGNATURAS!$B$2:$J$91,9,FALSE()),""))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IF(DATOS!$A5442="",0,IF(CONFIG_METADATA!$B$4&lt;&gt;"OR+EX",--(DATOS!$G5442=CONFIG_METADATA!$B$4),IF(DATOS!$G5442="EX",1,IF(DATOS!$G5442="OR",--(COUNTIFS(nNIA,DATOS!$A5442,nCURSO,DATOS!$D5442,nESPEC,DATOS!$E5442,nASIG,DATOS!$I5442,nEVAL,"EX")=0),0))))</f>
      </c>
      <c r="H5442">
        <f>IF(DATOS!$G5442&lt;&gt;"EX",0,--(COUNTIFS(nNIA,DATOS!$A5442,nCURSO,DATOS!$D5442,nESPEC,DATOS!$E5442,nASIG,DATOS!$I5442,nEVAL,"OR")=0))</f>
      </c>
      <c r="I5442">
        <f>IF(DATOS!$I5442="","",IFERROR(VLOOKUP(DATOS!$I5442,CONFIG_ASIGNATURAS!$B$2:$J$91,9,FALSE()),""))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IF(DATOS!$A5443="",0,IF(CONFIG_METADATA!$B$4&lt;&gt;"OR+EX",--(DATOS!$G5443=CONFIG_METADATA!$B$4),IF(DATOS!$G5443="EX",1,IF(DATOS!$G5443="OR",--(COUNTIFS(nNIA,DATOS!$A5443,nCURSO,DATOS!$D5443,nESPEC,DATOS!$E5443,nASIG,DATOS!$I5443,nEVAL,"EX")=0),0))))</f>
      </c>
      <c r="H5443">
        <f>IF(DATOS!$G5443&lt;&gt;"EX",0,--(COUNTIFS(nNIA,DATOS!$A5443,nCURSO,DATOS!$D5443,nESPEC,DATOS!$E5443,nASIG,DATOS!$I5443,nEVAL,"OR")=0))</f>
      </c>
      <c r="I5443">
        <f>IF(DATOS!$I5443="","",IFERROR(VLOOKUP(DATOS!$I5443,CONFIG_ASIGNATURAS!$B$2:$J$91,9,FALSE()),""))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IF(DATOS!$A5444="",0,IF(CONFIG_METADATA!$B$4&lt;&gt;"OR+EX",--(DATOS!$G5444=CONFIG_METADATA!$B$4),IF(DATOS!$G5444="EX",1,IF(DATOS!$G5444="OR",--(COUNTIFS(nNIA,DATOS!$A5444,nCURSO,DATOS!$D5444,nESPEC,DATOS!$E5444,nASIG,DATOS!$I5444,nEVAL,"EX")=0),0))))</f>
      </c>
      <c r="H5444">
        <f>IF(DATOS!$G5444&lt;&gt;"EX",0,--(COUNTIFS(nNIA,DATOS!$A5444,nCURSO,DATOS!$D5444,nESPEC,DATOS!$E5444,nASIG,DATOS!$I5444,nEVAL,"OR")=0))</f>
      </c>
      <c r="I5444">
        <f>IF(DATOS!$I5444="","",IFERROR(VLOOKUP(DATOS!$I5444,CONFIG_ASIGNATURAS!$B$2:$J$91,9,FALSE()),""))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IF(DATOS!$A5445="",0,IF(CONFIG_METADATA!$B$4&lt;&gt;"OR+EX",--(DATOS!$G5445=CONFIG_METADATA!$B$4),IF(DATOS!$G5445="EX",1,IF(DATOS!$G5445="OR",--(COUNTIFS(nNIA,DATOS!$A5445,nCURSO,DATOS!$D5445,nESPEC,DATOS!$E5445,nASIG,DATOS!$I5445,nEVAL,"EX")=0),0))))</f>
      </c>
      <c r="H5445">
        <f>IF(DATOS!$G5445&lt;&gt;"EX",0,--(COUNTIFS(nNIA,DATOS!$A5445,nCURSO,DATOS!$D5445,nESPEC,DATOS!$E5445,nASIG,DATOS!$I5445,nEVAL,"OR")=0))</f>
      </c>
      <c r="I5445">
        <f>IF(DATOS!$I5445="","",IFERROR(VLOOKUP(DATOS!$I5445,CONFIG_ASIGNATURAS!$B$2:$J$91,9,FALSE()),""))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IF(DATOS!$A5446="",0,IF(CONFIG_METADATA!$B$4&lt;&gt;"OR+EX",--(DATOS!$G5446=CONFIG_METADATA!$B$4),IF(DATOS!$G5446="EX",1,IF(DATOS!$G5446="OR",--(COUNTIFS(nNIA,DATOS!$A5446,nCURSO,DATOS!$D5446,nESPEC,DATOS!$E5446,nASIG,DATOS!$I5446,nEVAL,"EX")=0),0))))</f>
      </c>
      <c r="H5446">
        <f>IF(DATOS!$G5446&lt;&gt;"EX",0,--(COUNTIFS(nNIA,DATOS!$A5446,nCURSO,DATOS!$D5446,nESPEC,DATOS!$E5446,nASIG,DATOS!$I5446,nEVAL,"OR")=0))</f>
      </c>
      <c r="I5446">
        <f>IF(DATOS!$I5446="","",IFERROR(VLOOKUP(DATOS!$I5446,CONFIG_ASIGNATURAS!$B$2:$J$91,9,FALSE()),""))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IF(DATOS!$A5447="",0,IF(CONFIG_METADATA!$B$4&lt;&gt;"OR+EX",--(DATOS!$G5447=CONFIG_METADATA!$B$4),IF(DATOS!$G5447="EX",1,IF(DATOS!$G5447="OR",--(COUNTIFS(nNIA,DATOS!$A5447,nCURSO,DATOS!$D5447,nESPEC,DATOS!$E5447,nASIG,DATOS!$I5447,nEVAL,"EX")=0),0))))</f>
      </c>
      <c r="H5447">
        <f>IF(DATOS!$G5447&lt;&gt;"EX",0,--(COUNTIFS(nNIA,DATOS!$A5447,nCURSO,DATOS!$D5447,nESPEC,DATOS!$E5447,nASIG,DATOS!$I5447,nEVAL,"OR")=0))</f>
      </c>
      <c r="I5447">
        <f>IF(DATOS!$I5447="","",IFERROR(VLOOKUP(DATOS!$I5447,CONFIG_ASIGNATURAS!$B$2:$J$91,9,FALSE()),""))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IF(DATOS!$A5448="",0,IF(CONFIG_METADATA!$B$4&lt;&gt;"OR+EX",--(DATOS!$G5448=CONFIG_METADATA!$B$4),IF(DATOS!$G5448="EX",1,IF(DATOS!$G5448="OR",--(COUNTIFS(nNIA,DATOS!$A5448,nCURSO,DATOS!$D5448,nESPEC,DATOS!$E5448,nASIG,DATOS!$I5448,nEVAL,"EX")=0),0))))</f>
      </c>
      <c r="H5448">
        <f>IF(DATOS!$G5448&lt;&gt;"EX",0,--(COUNTIFS(nNIA,DATOS!$A5448,nCURSO,DATOS!$D5448,nESPEC,DATOS!$E5448,nASIG,DATOS!$I5448,nEVAL,"OR")=0))</f>
      </c>
      <c r="I5448">
        <f>IF(DATOS!$I5448="","",IFERROR(VLOOKUP(DATOS!$I5448,CONFIG_ASIGNATURAS!$B$2:$J$91,9,FALSE()),""))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IF(DATOS!$A5449="",0,IF(CONFIG_METADATA!$B$4&lt;&gt;"OR+EX",--(DATOS!$G5449=CONFIG_METADATA!$B$4),IF(DATOS!$G5449="EX",1,IF(DATOS!$G5449="OR",--(COUNTIFS(nNIA,DATOS!$A5449,nCURSO,DATOS!$D5449,nESPEC,DATOS!$E5449,nASIG,DATOS!$I5449,nEVAL,"EX")=0),0))))</f>
      </c>
      <c r="H5449">
        <f>IF(DATOS!$G5449&lt;&gt;"EX",0,--(COUNTIFS(nNIA,DATOS!$A5449,nCURSO,DATOS!$D5449,nESPEC,DATOS!$E5449,nASIG,DATOS!$I5449,nEVAL,"OR")=0))</f>
      </c>
      <c r="I5449">
        <f>IF(DATOS!$I5449="","",IFERROR(VLOOKUP(DATOS!$I5449,CONFIG_ASIGNATURAS!$B$2:$J$91,9,FALSE()),""))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IF(DATOS!$A5450="",0,IF(CONFIG_METADATA!$B$4&lt;&gt;"OR+EX",--(DATOS!$G5450=CONFIG_METADATA!$B$4),IF(DATOS!$G5450="EX",1,IF(DATOS!$G5450="OR",--(COUNTIFS(nNIA,DATOS!$A5450,nCURSO,DATOS!$D5450,nESPEC,DATOS!$E5450,nASIG,DATOS!$I5450,nEVAL,"EX")=0),0))))</f>
      </c>
      <c r="H5450">
        <f>IF(DATOS!$G5450&lt;&gt;"EX",0,--(COUNTIFS(nNIA,DATOS!$A5450,nCURSO,DATOS!$D5450,nESPEC,DATOS!$E5450,nASIG,DATOS!$I5450,nEVAL,"OR")=0))</f>
      </c>
      <c r="I5450">
        <f>IF(DATOS!$I5450="","",IFERROR(VLOOKUP(DATOS!$I5450,CONFIG_ASIGNATURAS!$B$2:$J$91,9,FALSE()),""))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IF(DATOS!$A5451="",0,IF(CONFIG_METADATA!$B$4&lt;&gt;"OR+EX",--(DATOS!$G5451=CONFIG_METADATA!$B$4),IF(DATOS!$G5451="EX",1,IF(DATOS!$G5451="OR",--(COUNTIFS(nNIA,DATOS!$A5451,nCURSO,DATOS!$D5451,nESPEC,DATOS!$E5451,nASIG,DATOS!$I5451,nEVAL,"EX")=0),0))))</f>
      </c>
      <c r="H5451">
        <f>IF(DATOS!$G5451&lt;&gt;"EX",0,--(COUNTIFS(nNIA,DATOS!$A5451,nCURSO,DATOS!$D5451,nESPEC,DATOS!$E5451,nASIG,DATOS!$I5451,nEVAL,"OR")=0))</f>
      </c>
      <c r="I5451">
        <f>IF(DATOS!$I5451="","",IFERROR(VLOOKUP(DATOS!$I5451,CONFIG_ASIGNATURAS!$B$2:$J$91,9,FALSE()),""))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IF(DATOS!$A5452="",0,IF(CONFIG_METADATA!$B$4&lt;&gt;"OR+EX",--(DATOS!$G5452=CONFIG_METADATA!$B$4),IF(DATOS!$G5452="EX",1,IF(DATOS!$G5452="OR",--(COUNTIFS(nNIA,DATOS!$A5452,nCURSO,DATOS!$D5452,nESPEC,DATOS!$E5452,nASIG,DATOS!$I5452,nEVAL,"EX")=0),0))))</f>
      </c>
      <c r="H5452">
        <f>IF(DATOS!$G5452&lt;&gt;"EX",0,--(COUNTIFS(nNIA,DATOS!$A5452,nCURSO,DATOS!$D5452,nESPEC,DATOS!$E5452,nASIG,DATOS!$I5452,nEVAL,"OR")=0))</f>
      </c>
      <c r="I5452">
        <f>IF(DATOS!$I5452="","",IFERROR(VLOOKUP(DATOS!$I5452,CONFIG_ASIGNATURAS!$B$2:$J$91,9,FALSE()),""))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IF(DATOS!$A5453="",0,IF(CONFIG_METADATA!$B$4&lt;&gt;"OR+EX",--(DATOS!$G5453=CONFIG_METADATA!$B$4),IF(DATOS!$G5453="EX",1,IF(DATOS!$G5453="OR",--(COUNTIFS(nNIA,DATOS!$A5453,nCURSO,DATOS!$D5453,nESPEC,DATOS!$E5453,nASIG,DATOS!$I5453,nEVAL,"EX")=0),0))))</f>
      </c>
      <c r="H5453">
        <f>IF(DATOS!$G5453&lt;&gt;"EX",0,--(COUNTIFS(nNIA,DATOS!$A5453,nCURSO,DATOS!$D5453,nESPEC,DATOS!$E5453,nASIG,DATOS!$I5453,nEVAL,"OR")=0))</f>
      </c>
      <c r="I5453">
        <f>IF(DATOS!$I5453="","",IFERROR(VLOOKUP(DATOS!$I5453,CONFIG_ASIGNATURAS!$B$2:$J$91,9,FALSE()),""))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IF(DATOS!$A5454="",0,IF(CONFIG_METADATA!$B$4&lt;&gt;"OR+EX",--(DATOS!$G5454=CONFIG_METADATA!$B$4),IF(DATOS!$G5454="EX",1,IF(DATOS!$G5454="OR",--(COUNTIFS(nNIA,DATOS!$A5454,nCURSO,DATOS!$D5454,nESPEC,DATOS!$E5454,nASIG,DATOS!$I5454,nEVAL,"EX")=0),0))))</f>
      </c>
      <c r="H5454">
        <f>IF(DATOS!$G5454&lt;&gt;"EX",0,--(COUNTIFS(nNIA,DATOS!$A5454,nCURSO,DATOS!$D5454,nESPEC,DATOS!$E5454,nASIG,DATOS!$I5454,nEVAL,"OR")=0))</f>
      </c>
      <c r="I5454">
        <f>IF(DATOS!$I5454="","",IFERROR(VLOOKUP(DATOS!$I5454,CONFIG_ASIGNATURAS!$B$2:$J$91,9,FALSE()),""))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IF(DATOS!$A5455="",0,IF(CONFIG_METADATA!$B$4&lt;&gt;"OR+EX",--(DATOS!$G5455=CONFIG_METADATA!$B$4),IF(DATOS!$G5455="EX",1,IF(DATOS!$G5455="OR",--(COUNTIFS(nNIA,DATOS!$A5455,nCURSO,DATOS!$D5455,nESPEC,DATOS!$E5455,nASIG,DATOS!$I5455,nEVAL,"EX")=0),0))))</f>
      </c>
      <c r="H5455">
        <f>IF(DATOS!$G5455&lt;&gt;"EX",0,--(COUNTIFS(nNIA,DATOS!$A5455,nCURSO,DATOS!$D5455,nESPEC,DATOS!$E5455,nASIG,DATOS!$I5455,nEVAL,"OR")=0))</f>
      </c>
      <c r="I5455">
        <f>IF(DATOS!$I5455="","",IFERROR(VLOOKUP(DATOS!$I5455,CONFIG_ASIGNATURAS!$B$2:$J$91,9,FALSE()),""))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IF(DATOS!$A5456="",0,IF(CONFIG_METADATA!$B$4&lt;&gt;"OR+EX",--(DATOS!$G5456=CONFIG_METADATA!$B$4),IF(DATOS!$G5456="EX",1,IF(DATOS!$G5456="OR",--(COUNTIFS(nNIA,DATOS!$A5456,nCURSO,DATOS!$D5456,nESPEC,DATOS!$E5456,nASIG,DATOS!$I5456,nEVAL,"EX")=0),0))))</f>
      </c>
      <c r="H5456">
        <f>IF(DATOS!$G5456&lt;&gt;"EX",0,--(COUNTIFS(nNIA,DATOS!$A5456,nCURSO,DATOS!$D5456,nESPEC,DATOS!$E5456,nASIG,DATOS!$I5456,nEVAL,"OR")=0))</f>
      </c>
      <c r="I5456">
        <f>IF(DATOS!$I5456="","",IFERROR(VLOOKUP(DATOS!$I5456,CONFIG_ASIGNATURAS!$B$2:$J$91,9,FALSE()),""))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IF(DATOS!$A5457="",0,IF(CONFIG_METADATA!$B$4&lt;&gt;"OR+EX",--(DATOS!$G5457=CONFIG_METADATA!$B$4),IF(DATOS!$G5457="EX",1,IF(DATOS!$G5457="OR",--(COUNTIFS(nNIA,DATOS!$A5457,nCURSO,DATOS!$D5457,nESPEC,DATOS!$E5457,nASIG,DATOS!$I5457,nEVAL,"EX")=0),0))))</f>
      </c>
      <c r="H5457">
        <f>IF(DATOS!$G5457&lt;&gt;"EX",0,--(COUNTIFS(nNIA,DATOS!$A5457,nCURSO,DATOS!$D5457,nESPEC,DATOS!$E5457,nASIG,DATOS!$I5457,nEVAL,"OR")=0))</f>
      </c>
      <c r="I5457">
        <f>IF(DATOS!$I5457="","",IFERROR(VLOOKUP(DATOS!$I5457,CONFIG_ASIGNATURAS!$B$2:$J$91,9,FALSE()),""))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IF(DATOS!$A5458="",0,IF(CONFIG_METADATA!$B$4&lt;&gt;"OR+EX",--(DATOS!$G5458=CONFIG_METADATA!$B$4),IF(DATOS!$G5458="EX",1,IF(DATOS!$G5458="OR",--(COUNTIFS(nNIA,DATOS!$A5458,nCURSO,DATOS!$D5458,nESPEC,DATOS!$E5458,nASIG,DATOS!$I5458,nEVAL,"EX")=0),0))))</f>
      </c>
      <c r="H5458">
        <f>IF(DATOS!$G5458&lt;&gt;"EX",0,--(COUNTIFS(nNIA,DATOS!$A5458,nCURSO,DATOS!$D5458,nESPEC,DATOS!$E5458,nASIG,DATOS!$I5458,nEVAL,"OR")=0))</f>
      </c>
      <c r="I5458">
        <f>IF(DATOS!$I5458="","",IFERROR(VLOOKUP(DATOS!$I5458,CONFIG_ASIGNATURAS!$B$2:$J$91,9,FALSE()),""))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IF(DATOS!$A5459="",0,IF(CONFIG_METADATA!$B$4&lt;&gt;"OR+EX",--(DATOS!$G5459=CONFIG_METADATA!$B$4),IF(DATOS!$G5459="EX",1,IF(DATOS!$G5459="OR",--(COUNTIFS(nNIA,DATOS!$A5459,nCURSO,DATOS!$D5459,nESPEC,DATOS!$E5459,nASIG,DATOS!$I5459,nEVAL,"EX")=0),0))))</f>
      </c>
      <c r="H5459">
        <f>IF(DATOS!$G5459&lt;&gt;"EX",0,--(COUNTIFS(nNIA,DATOS!$A5459,nCURSO,DATOS!$D5459,nESPEC,DATOS!$E5459,nASIG,DATOS!$I5459,nEVAL,"OR")=0))</f>
      </c>
      <c r="I5459">
        <f>IF(DATOS!$I5459="","",IFERROR(VLOOKUP(DATOS!$I5459,CONFIG_ASIGNATURAS!$B$2:$J$91,9,FALSE()),""))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IF(DATOS!$A5460="",0,IF(CONFIG_METADATA!$B$4&lt;&gt;"OR+EX",--(DATOS!$G5460=CONFIG_METADATA!$B$4),IF(DATOS!$G5460="EX",1,IF(DATOS!$G5460="OR",--(COUNTIFS(nNIA,DATOS!$A5460,nCURSO,DATOS!$D5460,nESPEC,DATOS!$E5460,nASIG,DATOS!$I5460,nEVAL,"EX")=0),0))))</f>
      </c>
      <c r="H5460">
        <f>IF(DATOS!$G5460&lt;&gt;"EX",0,--(COUNTIFS(nNIA,DATOS!$A5460,nCURSO,DATOS!$D5460,nESPEC,DATOS!$E5460,nASIG,DATOS!$I5460,nEVAL,"OR")=0))</f>
      </c>
      <c r="I5460">
        <f>IF(DATOS!$I5460="","",IFERROR(VLOOKUP(DATOS!$I5460,CONFIG_ASIGNATURAS!$B$2:$J$91,9,FALSE()),""))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IF(DATOS!$A5461="",0,IF(CONFIG_METADATA!$B$4&lt;&gt;"OR+EX",--(DATOS!$G5461=CONFIG_METADATA!$B$4),IF(DATOS!$G5461="EX",1,IF(DATOS!$G5461="OR",--(COUNTIFS(nNIA,DATOS!$A5461,nCURSO,DATOS!$D5461,nESPEC,DATOS!$E5461,nASIG,DATOS!$I5461,nEVAL,"EX")=0),0))))</f>
      </c>
      <c r="H5461">
        <f>IF(DATOS!$G5461&lt;&gt;"EX",0,--(COUNTIFS(nNIA,DATOS!$A5461,nCURSO,DATOS!$D5461,nESPEC,DATOS!$E5461,nASIG,DATOS!$I5461,nEVAL,"OR")=0))</f>
      </c>
      <c r="I5461">
        <f>IF(DATOS!$I5461="","",IFERROR(VLOOKUP(DATOS!$I5461,CONFIG_ASIGNATURAS!$B$2:$J$91,9,FALSE()),""))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IF(DATOS!$A5462="",0,IF(CONFIG_METADATA!$B$4&lt;&gt;"OR+EX",--(DATOS!$G5462=CONFIG_METADATA!$B$4),IF(DATOS!$G5462="EX",1,IF(DATOS!$G5462="OR",--(COUNTIFS(nNIA,DATOS!$A5462,nCURSO,DATOS!$D5462,nESPEC,DATOS!$E5462,nASIG,DATOS!$I5462,nEVAL,"EX")=0),0))))</f>
      </c>
      <c r="H5462">
        <f>IF(DATOS!$G5462&lt;&gt;"EX",0,--(COUNTIFS(nNIA,DATOS!$A5462,nCURSO,DATOS!$D5462,nESPEC,DATOS!$E5462,nASIG,DATOS!$I5462,nEVAL,"OR")=0))</f>
      </c>
      <c r="I5462">
        <f>IF(DATOS!$I5462="","",IFERROR(VLOOKUP(DATOS!$I5462,CONFIG_ASIGNATURAS!$B$2:$J$91,9,FALSE()),""))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IF(DATOS!$A5463="",0,IF(CONFIG_METADATA!$B$4&lt;&gt;"OR+EX",--(DATOS!$G5463=CONFIG_METADATA!$B$4),IF(DATOS!$G5463="EX",1,IF(DATOS!$G5463="OR",--(COUNTIFS(nNIA,DATOS!$A5463,nCURSO,DATOS!$D5463,nESPEC,DATOS!$E5463,nASIG,DATOS!$I5463,nEVAL,"EX")=0),0))))</f>
      </c>
      <c r="H5463">
        <f>IF(DATOS!$G5463&lt;&gt;"EX",0,--(COUNTIFS(nNIA,DATOS!$A5463,nCURSO,DATOS!$D5463,nESPEC,DATOS!$E5463,nASIG,DATOS!$I5463,nEVAL,"OR")=0))</f>
      </c>
      <c r="I5463">
        <f>IF(DATOS!$I5463="","",IFERROR(VLOOKUP(DATOS!$I5463,CONFIG_ASIGNATURAS!$B$2:$J$91,9,FALSE()),""))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IF(DATOS!$A5464="",0,IF(CONFIG_METADATA!$B$4&lt;&gt;"OR+EX",--(DATOS!$G5464=CONFIG_METADATA!$B$4),IF(DATOS!$G5464="EX",1,IF(DATOS!$G5464="OR",--(COUNTIFS(nNIA,DATOS!$A5464,nCURSO,DATOS!$D5464,nESPEC,DATOS!$E5464,nASIG,DATOS!$I5464,nEVAL,"EX")=0),0))))</f>
      </c>
      <c r="H5464">
        <f>IF(DATOS!$G5464&lt;&gt;"EX",0,--(COUNTIFS(nNIA,DATOS!$A5464,nCURSO,DATOS!$D5464,nESPEC,DATOS!$E5464,nASIG,DATOS!$I5464,nEVAL,"OR")=0))</f>
      </c>
      <c r="I5464">
        <f>IF(DATOS!$I5464="","",IFERROR(VLOOKUP(DATOS!$I5464,CONFIG_ASIGNATURAS!$B$2:$J$91,9,FALSE()),""))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IF(DATOS!$A5465="",0,IF(CONFIG_METADATA!$B$4&lt;&gt;"OR+EX",--(DATOS!$G5465=CONFIG_METADATA!$B$4),IF(DATOS!$G5465="EX",1,IF(DATOS!$G5465="OR",--(COUNTIFS(nNIA,DATOS!$A5465,nCURSO,DATOS!$D5465,nESPEC,DATOS!$E5465,nASIG,DATOS!$I5465,nEVAL,"EX")=0),0))))</f>
      </c>
      <c r="H5465">
        <f>IF(DATOS!$G5465&lt;&gt;"EX",0,--(COUNTIFS(nNIA,DATOS!$A5465,nCURSO,DATOS!$D5465,nESPEC,DATOS!$E5465,nASIG,DATOS!$I5465,nEVAL,"OR")=0))</f>
      </c>
      <c r="I5465">
        <f>IF(DATOS!$I5465="","",IFERROR(VLOOKUP(DATOS!$I5465,CONFIG_ASIGNATURAS!$B$2:$J$91,9,FALSE()),""))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IF(DATOS!$A5466="",0,IF(CONFIG_METADATA!$B$4&lt;&gt;"OR+EX",--(DATOS!$G5466=CONFIG_METADATA!$B$4),IF(DATOS!$G5466="EX",1,IF(DATOS!$G5466="OR",--(COUNTIFS(nNIA,DATOS!$A5466,nCURSO,DATOS!$D5466,nESPEC,DATOS!$E5466,nASIG,DATOS!$I5466,nEVAL,"EX")=0),0))))</f>
      </c>
      <c r="H5466">
        <f>IF(DATOS!$G5466&lt;&gt;"EX",0,--(COUNTIFS(nNIA,DATOS!$A5466,nCURSO,DATOS!$D5466,nESPEC,DATOS!$E5466,nASIG,DATOS!$I5466,nEVAL,"OR")=0))</f>
      </c>
      <c r="I5466">
        <f>IF(DATOS!$I5466="","",IFERROR(VLOOKUP(DATOS!$I5466,CONFIG_ASIGNATURAS!$B$2:$J$91,9,FALSE()),""))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IF(DATOS!$A5467="",0,IF(CONFIG_METADATA!$B$4&lt;&gt;"OR+EX",--(DATOS!$G5467=CONFIG_METADATA!$B$4),IF(DATOS!$G5467="EX",1,IF(DATOS!$G5467="OR",--(COUNTIFS(nNIA,DATOS!$A5467,nCURSO,DATOS!$D5467,nESPEC,DATOS!$E5467,nASIG,DATOS!$I5467,nEVAL,"EX")=0),0))))</f>
      </c>
      <c r="H5467">
        <f>IF(DATOS!$G5467&lt;&gt;"EX",0,--(COUNTIFS(nNIA,DATOS!$A5467,nCURSO,DATOS!$D5467,nESPEC,DATOS!$E5467,nASIG,DATOS!$I5467,nEVAL,"OR")=0))</f>
      </c>
      <c r="I5467">
        <f>IF(DATOS!$I5467="","",IFERROR(VLOOKUP(DATOS!$I5467,CONFIG_ASIGNATURAS!$B$2:$J$91,9,FALSE()),""))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IF(DATOS!$A5468="",0,IF(CONFIG_METADATA!$B$4&lt;&gt;"OR+EX",--(DATOS!$G5468=CONFIG_METADATA!$B$4),IF(DATOS!$G5468="EX",1,IF(DATOS!$G5468="OR",--(COUNTIFS(nNIA,DATOS!$A5468,nCURSO,DATOS!$D5468,nESPEC,DATOS!$E5468,nASIG,DATOS!$I5468,nEVAL,"EX")=0),0))))</f>
      </c>
      <c r="H5468">
        <f>IF(DATOS!$G5468&lt;&gt;"EX",0,--(COUNTIFS(nNIA,DATOS!$A5468,nCURSO,DATOS!$D5468,nESPEC,DATOS!$E5468,nASIG,DATOS!$I5468,nEVAL,"OR")=0))</f>
      </c>
      <c r="I5468">
        <f>IF(DATOS!$I5468="","",IFERROR(VLOOKUP(DATOS!$I5468,CONFIG_ASIGNATURAS!$B$2:$J$91,9,FALSE()),""))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IF(DATOS!$A5469="",0,IF(CONFIG_METADATA!$B$4&lt;&gt;"OR+EX",--(DATOS!$G5469=CONFIG_METADATA!$B$4),IF(DATOS!$G5469="EX",1,IF(DATOS!$G5469="OR",--(COUNTIFS(nNIA,DATOS!$A5469,nCURSO,DATOS!$D5469,nESPEC,DATOS!$E5469,nASIG,DATOS!$I5469,nEVAL,"EX")=0),0))))</f>
      </c>
      <c r="H5469">
        <f>IF(DATOS!$G5469&lt;&gt;"EX",0,--(COUNTIFS(nNIA,DATOS!$A5469,nCURSO,DATOS!$D5469,nESPEC,DATOS!$E5469,nASIG,DATOS!$I5469,nEVAL,"OR")=0))</f>
      </c>
      <c r="I5469">
        <f>IF(DATOS!$I5469="","",IFERROR(VLOOKUP(DATOS!$I5469,CONFIG_ASIGNATURAS!$B$2:$J$91,9,FALSE()),""))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IF(DATOS!$A5470="",0,IF(CONFIG_METADATA!$B$4&lt;&gt;"OR+EX",--(DATOS!$G5470=CONFIG_METADATA!$B$4),IF(DATOS!$G5470="EX",1,IF(DATOS!$G5470="OR",--(COUNTIFS(nNIA,DATOS!$A5470,nCURSO,DATOS!$D5470,nESPEC,DATOS!$E5470,nASIG,DATOS!$I5470,nEVAL,"EX")=0),0))))</f>
      </c>
      <c r="H5470">
        <f>IF(DATOS!$G5470&lt;&gt;"EX",0,--(COUNTIFS(nNIA,DATOS!$A5470,nCURSO,DATOS!$D5470,nESPEC,DATOS!$E5470,nASIG,DATOS!$I5470,nEVAL,"OR")=0))</f>
      </c>
      <c r="I5470">
        <f>IF(DATOS!$I5470="","",IFERROR(VLOOKUP(DATOS!$I5470,CONFIG_ASIGNATURAS!$B$2:$J$91,9,FALSE()),""))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IF(DATOS!$A5471="",0,IF(CONFIG_METADATA!$B$4&lt;&gt;"OR+EX",--(DATOS!$G5471=CONFIG_METADATA!$B$4),IF(DATOS!$G5471="EX",1,IF(DATOS!$G5471="OR",--(COUNTIFS(nNIA,DATOS!$A5471,nCURSO,DATOS!$D5471,nESPEC,DATOS!$E5471,nASIG,DATOS!$I5471,nEVAL,"EX")=0),0))))</f>
      </c>
      <c r="H5471">
        <f>IF(DATOS!$G5471&lt;&gt;"EX",0,--(COUNTIFS(nNIA,DATOS!$A5471,nCURSO,DATOS!$D5471,nESPEC,DATOS!$E5471,nASIG,DATOS!$I5471,nEVAL,"OR")=0))</f>
      </c>
      <c r="I5471">
        <f>IF(DATOS!$I5471="","",IFERROR(VLOOKUP(DATOS!$I5471,CONFIG_ASIGNATURAS!$B$2:$J$91,9,FALSE()),""))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IF(DATOS!$A5472="",0,IF(CONFIG_METADATA!$B$4&lt;&gt;"OR+EX",--(DATOS!$G5472=CONFIG_METADATA!$B$4),IF(DATOS!$G5472="EX",1,IF(DATOS!$G5472="OR",--(COUNTIFS(nNIA,DATOS!$A5472,nCURSO,DATOS!$D5472,nESPEC,DATOS!$E5472,nASIG,DATOS!$I5472,nEVAL,"EX")=0),0))))</f>
      </c>
      <c r="H5472">
        <f>IF(DATOS!$G5472&lt;&gt;"EX",0,--(COUNTIFS(nNIA,DATOS!$A5472,nCURSO,DATOS!$D5472,nESPEC,DATOS!$E5472,nASIG,DATOS!$I5472,nEVAL,"OR")=0))</f>
      </c>
      <c r="I5472">
        <f>IF(DATOS!$I5472="","",IFERROR(VLOOKUP(DATOS!$I5472,CONFIG_ASIGNATURAS!$B$2:$J$91,9,FALSE()),""))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IF(DATOS!$A5473="",0,IF(CONFIG_METADATA!$B$4&lt;&gt;"OR+EX",--(DATOS!$G5473=CONFIG_METADATA!$B$4),IF(DATOS!$G5473="EX",1,IF(DATOS!$G5473="OR",--(COUNTIFS(nNIA,DATOS!$A5473,nCURSO,DATOS!$D5473,nESPEC,DATOS!$E5473,nASIG,DATOS!$I5473,nEVAL,"EX")=0),0))))</f>
      </c>
      <c r="H5473">
        <f>IF(DATOS!$G5473&lt;&gt;"EX",0,--(COUNTIFS(nNIA,DATOS!$A5473,nCURSO,DATOS!$D5473,nESPEC,DATOS!$E5473,nASIG,DATOS!$I5473,nEVAL,"OR")=0))</f>
      </c>
      <c r="I5473">
        <f>IF(DATOS!$I5473="","",IFERROR(VLOOKUP(DATOS!$I5473,CONFIG_ASIGNATURAS!$B$2:$J$91,9,FALSE()),""))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IF(DATOS!$A5474="",0,IF(CONFIG_METADATA!$B$4&lt;&gt;"OR+EX",--(DATOS!$G5474=CONFIG_METADATA!$B$4),IF(DATOS!$G5474="EX",1,IF(DATOS!$G5474="OR",--(COUNTIFS(nNIA,DATOS!$A5474,nCURSO,DATOS!$D5474,nESPEC,DATOS!$E5474,nASIG,DATOS!$I5474,nEVAL,"EX")=0),0))))</f>
      </c>
      <c r="H5474">
        <f>IF(DATOS!$G5474&lt;&gt;"EX",0,--(COUNTIFS(nNIA,DATOS!$A5474,nCURSO,DATOS!$D5474,nESPEC,DATOS!$E5474,nASIG,DATOS!$I5474,nEVAL,"OR")=0))</f>
      </c>
      <c r="I5474">
        <f>IF(DATOS!$I5474="","",IFERROR(VLOOKUP(DATOS!$I5474,CONFIG_ASIGNATURAS!$B$2:$J$91,9,FALSE()),""))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IF(DATOS!$A5475="",0,IF(CONFIG_METADATA!$B$4&lt;&gt;"OR+EX",--(DATOS!$G5475=CONFIG_METADATA!$B$4),IF(DATOS!$G5475="EX",1,IF(DATOS!$G5475="OR",--(COUNTIFS(nNIA,DATOS!$A5475,nCURSO,DATOS!$D5475,nESPEC,DATOS!$E5475,nASIG,DATOS!$I5475,nEVAL,"EX")=0),0))))</f>
      </c>
      <c r="H5475">
        <f>IF(DATOS!$G5475&lt;&gt;"EX",0,--(COUNTIFS(nNIA,DATOS!$A5475,nCURSO,DATOS!$D5475,nESPEC,DATOS!$E5475,nASIG,DATOS!$I5475,nEVAL,"OR")=0))</f>
      </c>
      <c r="I5475">
        <f>IF(DATOS!$I5475="","",IFERROR(VLOOKUP(DATOS!$I5475,CONFIG_ASIGNATURAS!$B$2:$J$91,9,FALSE()),""))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IF(DATOS!$A5476="",0,IF(CONFIG_METADATA!$B$4&lt;&gt;"OR+EX",--(DATOS!$G5476=CONFIG_METADATA!$B$4),IF(DATOS!$G5476="EX",1,IF(DATOS!$G5476="OR",--(COUNTIFS(nNIA,DATOS!$A5476,nCURSO,DATOS!$D5476,nESPEC,DATOS!$E5476,nASIG,DATOS!$I5476,nEVAL,"EX")=0),0))))</f>
      </c>
      <c r="H5476">
        <f>IF(DATOS!$G5476&lt;&gt;"EX",0,--(COUNTIFS(nNIA,DATOS!$A5476,nCURSO,DATOS!$D5476,nESPEC,DATOS!$E5476,nASIG,DATOS!$I5476,nEVAL,"OR")=0))</f>
      </c>
      <c r="I5476">
        <f>IF(DATOS!$I5476="","",IFERROR(VLOOKUP(DATOS!$I5476,CONFIG_ASIGNATURAS!$B$2:$J$91,9,FALSE()),""))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IF(DATOS!$A5477="",0,IF(CONFIG_METADATA!$B$4&lt;&gt;"OR+EX",--(DATOS!$G5477=CONFIG_METADATA!$B$4),IF(DATOS!$G5477="EX",1,IF(DATOS!$G5477="OR",--(COUNTIFS(nNIA,DATOS!$A5477,nCURSO,DATOS!$D5477,nESPEC,DATOS!$E5477,nASIG,DATOS!$I5477,nEVAL,"EX")=0),0))))</f>
      </c>
      <c r="H5477">
        <f>IF(DATOS!$G5477&lt;&gt;"EX",0,--(COUNTIFS(nNIA,DATOS!$A5477,nCURSO,DATOS!$D5477,nESPEC,DATOS!$E5477,nASIG,DATOS!$I5477,nEVAL,"OR")=0))</f>
      </c>
      <c r="I5477">
        <f>IF(DATOS!$I5477="","",IFERROR(VLOOKUP(DATOS!$I5477,CONFIG_ASIGNATURAS!$B$2:$J$91,9,FALSE()),""))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IF(DATOS!$A5478="",0,IF(CONFIG_METADATA!$B$4&lt;&gt;"OR+EX",--(DATOS!$G5478=CONFIG_METADATA!$B$4),IF(DATOS!$G5478="EX",1,IF(DATOS!$G5478="OR",--(COUNTIFS(nNIA,DATOS!$A5478,nCURSO,DATOS!$D5478,nESPEC,DATOS!$E5478,nASIG,DATOS!$I5478,nEVAL,"EX")=0),0))))</f>
      </c>
      <c r="H5478">
        <f>IF(DATOS!$G5478&lt;&gt;"EX",0,--(COUNTIFS(nNIA,DATOS!$A5478,nCURSO,DATOS!$D5478,nESPEC,DATOS!$E5478,nASIG,DATOS!$I5478,nEVAL,"OR")=0))</f>
      </c>
      <c r="I5478">
        <f>IF(DATOS!$I5478="","",IFERROR(VLOOKUP(DATOS!$I5478,CONFIG_ASIGNATURAS!$B$2:$J$91,9,FALSE()),""))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IF(DATOS!$A5479="",0,IF(CONFIG_METADATA!$B$4&lt;&gt;"OR+EX",--(DATOS!$G5479=CONFIG_METADATA!$B$4),IF(DATOS!$G5479="EX",1,IF(DATOS!$G5479="OR",--(COUNTIFS(nNIA,DATOS!$A5479,nCURSO,DATOS!$D5479,nESPEC,DATOS!$E5479,nASIG,DATOS!$I5479,nEVAL,"EX")=0),0))))</f>
      </c>
      <c r="H5479">
        <f>IF(DATOS!$G5479&lt;&gt;"EX",0,--(COUNTIFS(nNIA,DATOS!$A5479,nCURSO,DATOS!$D5479,nESPEC,DATOS!$E5479,nASIG,DATOS!$I5479,nEVAL,"OR")=0))</f>
      </c>
      <c r="I5479">
        <f>IF(DATOS!$I5479="","",IFERROR(VLOOKUP(DATOS!$I5479,CONFIG_ASIGNATURAS!$B$2:$J$91,9,FALSE()),""))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IF(DATOS!$A5480="",0,IF(CONFIG_METADATA!$B$4&lt;&gt;"OR+EX",--(DATOS!$G5480=CONFIG_METADATA!$B$4),IF(DATOS!$G5480="EX",1,IF(DATOS!$G5480="OR",--(COUNTIFS(nNIA,DATOS!$A5480,nCURSO,DATOS!$D5480,nESPEC,DATOS!$E5480,nASIG,DATOS!$I5480,nEVAL,"EX")=0),0))))</f>
      </c>
      <c r="H5480">
        <f>IF(DATOS!$G5480&lt;&gt;"EX",0,--(COUNTIFS(nNIA,DATOS!$A5480,nCURSO,DATOS!$D5480,nESPEC,DATOS!$E5480,nASIG,DATOS!$I5480,nEVAL,"OR")=0))</f>
      </c>
      <c r="I5480">
        <f>IF(DATOS!$I5480="","",IFERROR(VLOOKUP(DATOS!$I5480,CONFIG_ASIGNATURAS!$B$2:$J$91,9,FALSE()),""))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IF(DATOS!$A5481="",0,IF(CONFIG_METADATA!$B$4&lt;&gt;"OR+EX",--(DATOS!$G5481=CONFIG_METADATA!$B$4),IF(DATOS!$G5481="EX",1,IF(DATOS!$G5481="OR",--(COUNTIFS(nNIA,DATOS!$A5481,nCURSO,DATOS!$D5481,nESPEC,DATOS!$E5481,nASIG,DATOS!$I5481,nEVAL,"EX")=0),0))))</f>
      </c>
      <c r="H5481">
        <f>IF(DATOS!$G5481&lt;&gt;"EX",0,--(COUNTIFS(nNIA,DATOS!$A5481,nCURSO,DATOS!$D5481,nESPEC,DATOS!$E5481,nASIG,DATOS!$I5481,nEVAL,"OR")=0))</f>
      </c>
      <c r="I5481">
        <f>IF(DATOS!$I5481="","",IFERROR(VLOOKUP(DATOS!$I5481,CONFIG_ASIGNATURAS!$B$2:$J$91,9,FALSE()),""))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IF(DATOS!$A5482="",0,IF(CONFIG_METADATA!$B$4&lt;&gt;"OR+EX",--(DATOS!$G5482=CONFIG_METADATA!$B$4),IF(DATOS!$G5482="EX",1,IF(DATOS!$G5482="OR",--(COUNTIFS(nNIA,DATOS!$A5482,nCURSO,DATOS!$D5482,nESPEC,DATOS!$E5482,nASIG,DATOS!$I5482,nEVAL,"EX")=0),0))))</f>
      </c>
      <c r="H5482">
        <f>IF(DATOS!$G5482&lt;&gt;"EX",0,--(COUNTIFS(nNIA,DATOS!$A5482,nCURSO,DATOS!$D5482,nESPEC,DATOS!$E5482,nASIG,DATOS!$I5482,nEVAL,"OR")=0))</f>
      </c>
      <c r="I5482">
        <f>IF(DATOS!$I5482="","",IFERROR(VLOOKUP(DATOS!$I5482,CONFIG_ASIGNATURAS!$B$2:$J$91,9,FALSE()),""))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IF(DATOS!$A5483="",0,IF(CONFIG_METADATA!$B$4&lt;&gt;"OR+EX",--(DATOS!$G5483=CONFIG_METADATA!$B$4),IF(DATOS!$G5483="EX",1,IF(DATOS!$G5483="OR",--(COUNTIFS(nNIA,DATOS!$A5483,nCURSO,DATOS!$D5483,nESPEC,DATOS!$E5483,nASIG,DATOS!$I5483,nEVAL,"EX")=0),0))))</f>
      </c>
      <c r="H5483">
        <f>IF(DATOS!$G5483&lt;&gt;"EX",0,--(COUNTIFS(nNIA,DATOS!$A5483,nCURSO,DATOS!$D5483,nESPEC,DATOS!$E5483,nASIG,DATOS!$I5483,nEVAL,"OR")=0))</f>
      </c>
      <c r="I5483">
        <f>IF(DATOS!$I5483="","",IFERROR(VLOOKUP(DATOS!$I5483,CONFIG_ASIGNATURAS!$B$2:$J$91,9,FALSE()),""))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IF(DATOS!$A5484="",0,IF(CONFIG_METADATA!$B$4&lt;&gt;"OR+EX",--(DATOS!$G5484=CONFIG_METADATA!$B$4),IF(DATOS!$G5484="EX",1,IF(DATOS!$G5484="OR",--(COUNTIFS(nNIA,DATOS!$A5484,nCURSO,DATOS!$D5484,nESPEC,DATOS!$E5484,nASIG,DATOS!$I5484,nEVAL,"EX")=0),0))))</f>
      </c>
      <c r="H5484">
        <f>IF(DATOS!$G5484&lt;&gt;"EX",0,--(COUNTIFS(nNIA,DATOS!$A5484,nCURSO,DATOS!$D5484,nESPEC,DATOS!$E5484,nASIG,DATOS!$I5484,nEVAL,"OR")=0))</f>
      </c>
      <c r="I5484">
        <f>IF(DATOS!$I5484="","",IFERROR(VLOOKUP(DATOS!$I5484,CONFIG_ASIGNATURAS!$B$2:$J$91,9,FALSE()),""))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IF(DATOS!$A5485="",0,IF(CONFIG_METADATA!$B$4&lt;&gt;"OR+EX",--(DATOS!$G5485=CONFIG_METADATA!$B$4),IF(DATOS!$G5485="EX",1,IF(DATOS!$G5485="OR",--(COUNTIFS(nNIA,DATOS!$A5485,nCURSO,DATOS!$D5485,nESPEC,DATOS!$E5485,nASIG,DATOS!$I5485,nEVAL,"EX")=0),0))))</f>
      </c>
      <c r="H5485">
        <f>IF(DATOS!$G5485&lt;&gt;"EX",0,--(COUNTIFS(nNIA,DATOS!$A5485,nCURSO,DATOS!$D5485,nESPEC,DATOS!$E5485,nASIG,DATOS!$I5485,nEVAL,"OR")=0))</f>
      </c>
      <c r="I5485">
        <f>IF(DATOS!$I5485="","",IFERROR(VLOOKUP(DATOS!$I5485,CONFIG_ASIGNATURAS!$B$2:$J$91,9,FALSE()),""))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IF(DATOS!$A5486="",0,IF(CONFIG_METADATA!$B$4&lt;&gt;"OR+EX",--(DATOS!$G5486=CONFIG_METADATA!$B$4),IF(DATOS!$G5486="EX",1,IF(DATOS!$G5486="OR",--(COUNTIFS(nNIA,DATOS!$A5486,nCURSO,DATOS!$D5486,nESPEC,DATOS!$E5486,nASIG,DATOS!$I5486,nEVAL,"EX")=0),0))))</f>
      </c>
      <c r="H5486">
        <f>IF(DATOS!$G5486&lt;&gt;"EX",0,--(COUNTIFS(nNIA,DATOS!$A5486,nCURSO,DATOS!$D5486,nESPEC,DATOS!$E5486,nASIG,DATOS!$I5486,nEVAL,"OR")=0))</f>
      </c>
      <c r="I5486">
        <f>IF(DATOS!$I5486="","",IFERROR(VLOOKUP(DATOS!$I5486,CONFIG_ASIGNATURAS!$B$2:$J$91,9,FALSE()),""))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IF(DATOS!$A5487="",0,IF(CONFIG_METADATA!$B$4&lt;&gt;"OR+EX",--(DATOS!$G5487=CONFIG_METADATA!$B$4),IF(DATOS!$G5487="EX",1,IF(DATOS!$G5487="OR",--(COUNTIFS(nNIA,DATOS!$A5487,nCURSO,DATOS!$D5487,nESPEC,DATOS!$E5487,nASIG,DATOS!$I5487,nEVAL,"EX")=0),0))))</f>
      </c>
      <c r="H5487">
        <f>IF(DATOS!$G5487&lt;&gt;"EX",0,--(COUNTIFS(nNIA,DATOS!$A5487,nCURSO,DATOS!$D5487,nESPEC,DATOS!$E5487,nASIG,DATOS!$I5487,nEVAL,"OR")=0))</f>
      </c>
      <c r="I5487">
        <f>IF(DATOS!$I5487="","",IFERROR(VLOOKUP(DATOS!$I5487,CONFIG_ASIGNATURAS!$B$2:$J$91,9,FALSE()),""))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IF(DATOS!$A5488="",0,IF(CONFIG_METADATA!$B$4&lt;&gt;"OR+EX",--(DATOS!$G5488=CONFIG_METADATA!$B$4),IF(DATOS!$G5488="EX",1,IF(DATOS!$G5488="OR",--(COUNTIFS(nNIA,DATOS!$A5488,nCURSO,DATOS!$D5488,nESPEC,DATOS!$E5488,nASIG,DATOS!$I5488,nEVAL,"EX")=0),0))))</f>
      </c>
      <c r="H5488">
        <f>IF(DATOS!$G5488&lt;&gt;"EX",0,--(COUNTIFS(nNIA,DATOS!$A5488,nCURSO,DATOS!$D5488,nESPEC,DATOS!$E5488,nASIG,DATOS!$I5488,nEVAL,"OR")=0))</f>
      </c>
      <c r="I5488">
        <f>IF(DATOS!$I5488="","",IFERROR(VLOOKUP(DATOS!$I5488,CONFIG_ASIGNATURAS!$B$2:$J$91,9,FALSE()),""))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IF(DATOS!$A5489="",0,IF(CONFIG_METADATA!$B$4&lt;&gt;"OR+EX",--(DATOS!$G5489=CONFIG_METADATA!$B$4),IF(DATOS!$G5489="EX",1,IF(DATOS!$G5489="OR",--(COUNTIFS(nNIA,DATOS!$A5489,nCURSO,DATOS!$D5489,nESPEC,DATOS!$E5489,nASIG,DATOS!$I5489,nEVAL,"EX")=0),0))))</f>
      </c>
      <c r="H5489">
        <f>IF(DATOS!$G5489&lt;&gt;"EX",0,--(COUNTIFS(nNIA,DATOS!$A5489,nCURSO,DATOS!$D5489,nESPEC,DATOS!$E5489,nASIG,DATOS!$I5489,nEVAL,"OR")=0))</f>
      </c>
      <c r="I5489">
        <f>IF(DATOS!$I5489="","",IFERROR(VLOOKUP(DATOS!$I5489,CONFIG_ASIGNATURAS!$B$2:$J$91,9,FALSE()),""))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IF(DATOS!$A5490="",0,IF(CONFIG_METADATA!$B$4&lt;&gt;"OR+EX",--(DATOS!$G5490=CONFIG_METADATA!$B$4),IF(DATOS!$G5490="EX",1,IF(DATOS!$G5490="OR",--(COUNTIFS(nNIA,DATOS!$A5490,nCURSO,DATOS!$D5490,nESPEC,DATOS!$E5490,nASIG,DATOS!$I5490,nEVAL,"EX")=0),0))))</f>
      </c>
      <c r="H5490">
        <f>IF(DATOS!$G5490&lt;&gt;"EX",0,--(COUNTIFS(nNIA,DATOS!$A5490,nCURSO,DATOS!$D5490,nESPEC,DATOS!$E5490,nASIG,DATOS!$I5490,nEVAL,"OR")=0))</f>
      </c>
      <c r="I5490">
        <f>IF(DATOS!$I5490="","",IFERROR(VLOOKUP(DATOS!$I5490,CONFIG_ASIGNATURAS!$B$2:$J$91,9,FALSE()),""))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IF(DATOS!$A5491="",0,IF(CONFIG_METADATA!$B$4&lt;&gt;"OR+EX",--(DATOS!$G5491=CONFIG_METADATA!$B$4),IF(DATOS!$G5491="EX",1,IF(DATOS!$G5491="OR",--(COUNTIFS(nNIA,DATOS!$A5491,nCURSO,DATOS!$D5491,nESPEC,DATOS!$E5491,nASIG,DATOS!$I5491,nEVAL,"EX")=0),0))))</f>
      </c>
      <c r="H5491">
        <f>IF(DATOS!$G5491&lt;&gt;"EX",0,--(COUNTIFS(nNIA,DATOS!$A5491,nCURSO,DATOS!$D5491,nESPEC,DATOS!$E5491,nASIG,DATOS!$I5491,nEVAL,"OR")=0))</f>
      </c>
      <c r="I5491">
        <f>IF(DATOS!$I5491="","",IFERROR(VLOOKUP(DATOS!$I5491,CONFIG_ASIGNATURAS!$B$2:$J$91,9,FALSE()),""))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IF(DATOS!$A5492="",0,IF(CONFIG_METADATA!$B$4&lt;&gt;"OR+EX",--(DATOS!$G5492=CONFIG_METADATA!$B$4),IF(DATOS!$G5492="EX",1,IF(DATOS!$G5492="OR",--(COUNTIFS(nNIA,DATOS!$A5492,nCURSO,DATOS!$D5492,nESPEC,DATOS!$E5492,nASIG,DATOS!$I5492,nEVAL,"EX")=0),0))))</f>
      </c>
      <c r="H5492">
        <f>IF(DATOS!$G5492&lt;&gt;"EX",0,--(COUNTIFS(nNIA,DATOS!$A5492,nCURSO,DATOS!$D5492,nESPEC,DATOS!$E5492,nASIG,DATOS!$I5492,nEVAL,"OR")=0))</f>
      </c>
      <c r="I5492">
        <f>IF(DATOS!$I5492="","",IFERROR(VLOOKUP(DATOS!$I5492,CONFIG_ASIGNATURAS!$B$2:$J$91,9,FALSE()),""))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IF(DATOS!$A5493="",0,IF(CONFIG_METADATA!$B$4&lt;&gt;"OR+EX",--(DATOS!$G5493=CONFIG_METADATA!$B$4),IF(DATOS!$G5493="EX",1,IF(DATOS!$G5493="OR",--(COUNTIFS(nNIA,DATOS!$A5493,nCURSO,DATOS!$D5493,nESPEC,DATOS!$E5493,nASIG,DATOS!$I5493,nEVAL,"EX")=0),0))))</f>
      </c>
      <c r="H5493">
        <f>IF(DATOS!$G5493&lt;&gt;"EX",0,--(COUNTIFS(nNIA,DATOS!$A5493,nCURSO,DATOS!$D5493,nESPEC,DATOS!$E5493,nASIG,DATOS!$I5493,nEVAL,"OR")=0))</f>
      </c>
      <c r="I5493">
        <f>IF(DATOS!$I5493="","",IFERROR(VLOOKUP(DATOS!$I5493,CONFIG_ASIGNATURAS!$B$2:$J$91,9,FALSE()),""))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IF(DATOS!$A5494="",0,IF(CONFIG_METADATA!$B$4&lt;&gt;"OR+EX",--(DATOS!$G5494=CONFIG_METADATA!$B$4),IF(DATOS!$G5494="EX",1,IF(DATOS!$G5494="OR",--(COUNTIFS(nNIA,DATOS!$A5494,nCURSO,DATOS!$D5494,nESPEC,DATOS!$E5494,nASIG,DATOS!$I5494,nEVAL,"EX")=0),0))))</f>
      </c>
      <c r="H5494">
        <f>IF(DATOS!$G5494&lt;&gt;"EX",0,--(COUNTIFS(nNIA,DATOS!$A5494,nCURSO,DATOS!$D5494,nESPEC,DATOS!$E5494,nASIG,DATOS!$I5494,nEVAL,"OR")=0))</f>
      </c>
      <c r="I5494">
        <f>IF(DATOS!$I5494="","",IFERROR(VLOOKUP(DATOS!$I5494,CONFIG_ASIGNATURAS!$B$2:$J$91,9,FALSE()),""))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IF(DATOS!$A5495="",0,IF(CONFIG_METADATA!$B$4&lt;&gt;"OR+EX",--(DATOS!$G5495=CONFIG_METADATA!$B$4),IF(DATOS!$G5495="EX",1,IF(DATOS!$G5495="OR",--(COUNTIFS(nNIA,DATOS!$A5495,nCURSO,DATOS!$D5495,nESPEC,DATOS!$E5495,nASIG,DATOS!$I5495,nEVAL,"EX")=0),0))))</f>
      </c>
      <c r="H5495">
        <f>IF(DATOS!$G5495&lt;&gt;"EX",0,--(COUNTIFS(nNIA,DATOS!$A5495,nCURSO,DATOS!$D5495,nESPEC,DATOS!$E5495,nASIG,DATOS!$I5495,nEVAL,"OR")=0))</f>
      </c>
      <c r="I5495">
        <f>IF(DATOS!$I5495="","",IFERROR(VLOOKUP(DATOS!$I5495,CONFIG_ASIGNATURAS!$B$2:$J$91,9,FALSE()),""))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IF(DATOS!$A5496="",0,IF(CONFIG_METADATA!$B$4&lt;&gt;"OR+EX",--(DATOS!$G5496=CONFIG_METADATA!$B$4),IF(DATOS!$G5496="EX",1,IF(DATOS!$G5496="OR",--(COUNTIFS(nNIA,DATOS!$A5496,nCURSO,DATOS!$D5496,nESPEC,DATOS!$E5496,nASIG,DATOS!$I5496,nEVAL,"EX")=0),0))))</f>
      </c>
      <c r="H5496">
        <f>IF(DATOS!$G5496&lt;&gt;"EX",0,--(COUNTIFS(nNIA,DATOS!$A5496,nCURSO,DATOS!$D5496,nESPEC,DATOS!$E5496,nASIG,DATOS!$I5496,nEVAL,"OR")=0))</f>
      </c>
      <c r="I5496">
        <f>IF(DATOS!$I5496="","",IFERROR(VLOOKUP(DATOS!$I5496,CONFIG_ASIGNATURAS!$B$2:$J$91,9,FALSE()),""))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IF(DATOS!$A5497="",0,IF(CONFIG_METADATA!$B$4&lt;&gt;"OR+EX",--(DATOS!$G5497=CONFIG_METADATA!$B$4),IF(DATOS!$G5497="EX",1,IF(DATOS!$G5497="OR",--(COUNTIFS(nNIA,DATOS!$A5497,nCURSO,DATOS!$D5497,nESPEC,DATOS!$E5497,nASIG,DATOS!$I5497,nEVAL,"EX")=0),0))))</f>
      </c>
      <c r="H5497">
        <f>IF(DATOS!$G5497&lt;&gt;"EX",0,--(COUNTIFS(nNIA,DATOS!$A5497,nCURSO,DATOS!$D5497,nESPEC,DATOS!$E5497,nASIG,DATOS!$I5497,nEVAL,"OR")=0))</f>
      </c>
      <c r="I5497">
        <f>IF(DATOS!$I5497="","",IFERROR(VLOOKUP(DATOS!$I5497,CONFIG_ASIGNATURAS!$B$2:$J$91,9,FALSE()),""))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IF(DATOS!$A5498="",0,IF(CONFIG_METADATA!$B$4&lt;&gt;"OR+EX",--(DATOS!$G5498=CONFIG_METADATA!$B$4),IF(DATOS!$G5498="EX",1,IF(DATOS!$G5498="OR",--(COUNTIFS(nNIA,DATOS!$A5498,nCURSO,DATOS!$D5498,nESPEC,DATOS!$E5498,nASIG,DATOS!$I5498,nEVAL,"EX")=0),0))))</f>
      </c>
      <c r="H5498">
        <f>IF(DATOS!$G5498&lt;&gt;"EX",0,--(COUNTIFS(nNIA,DATOS!$A5498,nCURSO,DATOS!$D5498,nESPEC,DATOS!$E5498,nASIG,DATOS!$I5498,nEVAL,"OR")=0))</f>
      </c>
      <c r="I5498">
        <f>IF(DATOS!$I5498="","",IFERROR(VLOOKUP(DATOS!$I5498,CONFIG_ASIGNATURAS!$B$2:$J$91,9,FALSE()),""))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IF(DATOS!$A5499="",0,IF(CONFIG_METADATA!$B$4&lt;&gt;"OR+EX",--(DATOS!$G5499=CONFIG_METADATA!$B$4),IF(DATOS!$G5499="EX",1,IF(DATOS!$G5499="OR",--(COUNTIFS(nNIA,DATOS!$A5499,nCURSO,DATOS!$D5499,nESPEC,DATOS!$E5499,nASIG,DATOS!$I5499,nEVAL,"EX")=0),0))))</f>
      </c>
      <c r="H5499">
        <f>IF(DATOS!$G5499&lt;&gt;"EX",0,--(COUNTIFS(nNIA,DATOS!$A5499,nCURSO,DATOS!$D5499,nESPEC,DATOS!$E5499,nASIG,DATOS!$I5499,nEVAL,"OR")=0))</f>
      </c>
      <c r="I5499">
        <f>IF(DATOS!$I5499="","",IFERROR(VLOOKUP(DATOS!$I5499,CONFIG_ASIGNATURAS!$B$2:$J$91,9,FALSE()),""))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IF(DATOS!$A5500="",0,IF(CONFIG_METADATA!$B$4&lt;&gt;"OR+EX",--(DATOS!$G5500=CONFIG_METADATA!$B$4),IF(DATOS!$G5500="EX",1,IF(DATOS!$G5500="OR",--(COUNTIFS(nNIA,DATOS!$A5500,nCURSO,DATOS!$D5500,nESPEC,DATOS!$E5500,nASIG,DATOS!$I5500,nEVAL,"EX")=0),0))))</f>
      </c>
      <c r="H5500">
        <f>IF(DATOS!$G5500&lt;&gt;"EX",0,--(COUNTIFS(nNIA,DATOS!$A5500,nCURSO,DATOS!$D5500,nESPEC,DATOS!$E5500,nASIG,DATOS!$I5500,nEVAL,"OR")=0))</f>
      </c>
      <c r="I5500">
        <f>IF(DATOS!$I5500="","",IFERROR(VLOOKUP(DATOS!$I5500,CONFIG_ASIGNATURAS!$B$2:$J$91,9,FALSE()),""))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IF(DATOS!$A5501="",0,IF(CONFIG_METADATA!$B$4&lt;&gt;"OR+EX",--(DATOS!$G5501=CONFIG_METADATA!$B$4),IF(DATOS!$G5501="EX",1,IF(DATOS!$G5501="OR",--(COUNTIFS(nNIA,DATOS!$A5501,nCURSO,DATOS!$D5501,nESPEC,DATOS!$E5501,nASIG,DATOS!$I5501,nEVAL,"EX")=0),0))))</f>
      </c>
      <c r="H5501">
        <f>IF(DATOS!$G5501&lt;&gt;"EX",0,--(COUNTIFS(nNIA,DATOS!$A5501,nCURSO,DATOS!$D5501,nESPEC,DATOS!$E5501,nASIG,DATOS!$I5501,nEVAL,"OR")=0))</f>
      </c>
      <c r="I5501">
        <f>IF(DATOS!$I5501="","",IFERROR(VLOOKUP(DATOS!$I5501,CONFIG_ASIGNATURAS!$B$2:$J$91,9,FALSE()),""))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IF(DATOS!$A5502="",0,IF(CONFIG_METADATA!$B$4&lt;&gt;"OR+EX",--(DATOS!$G5502=CONFIG_METADATA!$B$4),IF(DATOS!$G5502="EX",1,IF(DATOS!$G5502="OR",--(COUNTIFS(nNIA,DATOS!$A5502,nCURSO,DATOS!$D5502,nESPEC,DATOS!$E5502,nASIG,DATOS!$I5502,nEVAL,"EX")=0),0))))</f>
      </c>
      <c r="H5502">
        <f>IF(DATOS!$G5502&lt;&gt;"EX",0,--(COUNTIFS(nNIA,DATOS!$A5502,nCURSO,DATOS!$D5502,nESPEC,DATOS!$E5502,nASIG,DATOS!$I5502,nEVAL,"OR")=0))</f>
      </c>
      <c r="I5502">
        <f>IF(DATOS!$I5502="","",IFERROR(VLOOKUP(DATOS!$I5502,CONFIG_ASIGNATURAS!$B$2:$J$91,9,FALSE()),""))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IF(DATOS!$A5503="",0,IF(CONFIG_METADATA!$B$4&lt;&gt;"OR+EX",--(DATOS!$G5503=CONFIG_METADATA!$B$4),IF(DATOS!$G5503="EX",1,IF(DATOS!$G5503="OR",--(COUNTIFS(nNIA,DATOS!$A5503,nCURSO,DATOS!$D5503,nESPEC,DATOS!$E5503,nASIG,DATOS!$I5503,nEVAL,"EX")=0),0))))</f>
      </c>
      <c r="H5503">
        <f>IF(DATOS!$G5503&lt;&gt;"EX",0,--(COUNTIFS(nNIA,DATOS!$A5503,nCURSO,DATOS!$D5503,nESPEC,DATOS!$E5503,nASIG,DATOS!$I5503,nEVAL,"OR")=0))</f>
      </c>
      <c r="I5503">
        <f>IF(DATOS!$I5503="","",IFERROR(VLOOKUP(DATOS!$I5503,CONFIG_ASIGNATURAS!$B$2:$J$91,9,FALSE()),""))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IF(DATOS!$A5504="",0,IF(CONFIG_METADATA!$B$4&lt;&gt;"OR+EX",--(DATOS!$G5504=CONFIG_METADATA!$B$4),IF(DATOS!$G5504="EX",1,IF(DATOS!$G5504="OR",--(COUNTIFS(nNIA,DATOS!$A5504,nCURSO,DATOS!$D5504,nESPEC,DATOS!$E5504,nASIG,DATOS!$I5504,nEVAL,"EX")=0),0))))</f>
      </c>
      <c r="H5504">
        <f>IF(DATOS!$G5504&lt;&gt;"EX",0,--(COUNTIFS(nNIA,DATOS!$A5504,nCURSO,DATOS!$D5504,nESPEC,DATOS!$E5504,nASIG,DATOS!$I5504,nEVAL,"OR")=0))</f>
      </c>
      <c r="I5504">
        <f>IF(DATOS!$I5504="","",IFERROR(VLOOKUP(DATOS!$I5504,CONFIG_ASIGNATURAS!$B$2:$J$91,9,FALSE()),""))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IF(DATOS!$A5505="",0,IF(CONFIG_METADATA!$B$4&lt;&gt;"OR+EX",--(DATOS!$G5505=CONFIG_METADATA!$B$4),IF(DATOS!$G5505="EX",1,IF(DATOS!$G5505="OR",--(COUNTIFS(nNIA,DATOS!$A5505,nCURSO,DATOS!$D5505,nESPEC,DATOS!$E5505,nASIG,DATOS!$I5505,nEVAL,"EX")=0),0))))</f>
      </c>
      <c r="H5505">
        <f>IF(DATOS!$G5505&lt;&gt;"EX",0,--(COUNTIFS(nNIA,DATOS!$A5505,nCURSO,DATOS!$D5505,nESPEC,DATOS!$E5505,nASIG,DATOS!$I5505,nEVAL,"OR")=0))</f>
      </c>
      <c r="I5505">
        <f>IF(DATOS!$I5505="","",IFERROR(VLOOKUP(DATOS!$I5505,CONFIG_ASIGNATURAS!$B$2:$J$91,9,FALSE()),""))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IF(DATOS!$A5506="",0,IF(CONFIG_METADATA!$B$4&lt;&gt;"OR+EX",--(DATOS!$G5506=CONFIG_METADATA!$B$4),IF(DATOS!$G5506="EX",1,IF(DATOS!$G5506="OR",--(COUNTIFS(nNIA,DATOS!$A5506,nCURSO,DATOS!$D5506,nESPEC,DATOS!$E5506,nASIG,DATOS!$I5506,nEVAL,"EX")=0),0))))</f>
      </c>
      <c r="H5506">
        <f>IF(DATOS!$G5506&lt;&gt;"EX",0,--(COUNTIFS(nNIA,DATOS!$A5506,nCURSO,DATOS!$D5506,nESPEC,DATOS!$E5506,nASIG,DATOS!$I5506,nEVAL,"OR")=0))</f>
      </c>
      <c r="I5506">
        <f>IF(DATOS!$I5506="","",IFERROR(VLOOKUP(DATOS!$I5506,CONFIG_ASIGNATURAS!$B$2:$J$91,9,FALSE()),""))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IF(DATOS!$A5507="",0,IF(CONFIG_METADATA!$B$4&lt;&gt;"OR+EX",--(DATOS!$G5507=CONFIG_METADATA!$B$4),IF(DATOS!$G5507="EX",1,IF(DATOS!$G5507="OR",--(COUNTIFS(nNIA,DATOS!$A5507,nCURSO,DATOS!$D5507,nESPEC,DATOS!$E5507,nASIG,DATOS!$I5507,nEVAL,"EX")=0),0))))</f>
      </c>
      <c r="H5507">
        <f>IF(DATOS!$G5507&lt;&gt;"EX",0,--(COUNTIFS(nNIA,DATOS!$A5507,nCURSO,DATOS!$D5507,nESPEC,DATOS!$E5507,nASIG,DATOS!$I5507,nEVAL,"OR")=0))</f>
      </c>
      <c r="I5507">
        <f>IF(DATOS!$I5507="","",IFERROR(VLOOKUP(DATOS!$I5507,CONFIG_ASIGNATURAS!$B$2:$J$91,9,FALSE()),""))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IF(DATOS!$A5508="",0,IF(CONFIG_METADATA!$B$4&lt;&gt;"OR+EX",--(DATOS!$G5508=CONFIG_METADATA!$B$4),IF(DATOS!$G5508="EX",1,IF(DATOS!$G5508="OR",--(COUNTIFS(nNIA,DATOS!$A5508,nCURSO,DATOS!$D5508,nESPEC,DATOS!$E5508,nASIG,DATOS!$I5508,nEVAL,"EX")=0),0))))</f>
      </c>
      <c r="H5508">
        <f>IF(DATOS!$G5508&lt;&gt;"EX",0,--(COUNTIFS(nNIA,DATOS!$A5508,nCURSO,DATOS!$D5508,nESPEC,DATOS!$E5508,nASIG,DATOS!$I5508,nEVAL,"OR")=0))</f>
      </c>
      <c r="I5508">
        <f>IF(DATOS!$I5508="","",IFERROR(VLOOKUP(DATOS!$I5508,CONFIG_ASIGNATURAS!$B$2:$J$91,9,FALSE()),""))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IF(DATOS!$A5509="",0,IF(CONFIG_METADATA!$B$4&lt;&gt;"OR+EX",--(DATOS!$G5509=CONFIG_METADATA!$B$4),IF(DATOS!$G5509="EX",1,IF(DATOS!$G5509="OR",--(COUNTIFS(nNIA,DATOS!$A5509,nCURSO,DATOS!$D5509,nESPEC,DATOS!$E5509,nASIG,DATOS!$I5509,nEVAL,"EX")=0),0))))</f>
      </c>
      <c r="H5509">
        <f>IF(DATOS!$G5509&lt;&gt;"EX",0,--(COUNTIFS(nNIA,DATOS!$A5509,nCURSO,DATOS!$D5509,nESPEC,DATOS!$E5509,nASIG,DATOS!$I5509,nEVAL,"OR")=0))</f>
      </c>
      <c r="I5509">
        <f>IF(DATOS!$I5509="","",IFERROR(VLOOKUP(DATOS!$I5509,CONFIG_ASIGNATURAS!$B$2:$J$91,9,FALSE()),""))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IF(DATOS!$A5510="",0,IF(CONFIG_METADATA!$B$4&lt;&gt;"OR+EX",--(DATOS!$G5510=CONFIG_METADATA!$B$4),IF(DATOS!$G5510="EX",1,IF(DATOS!$G5510="OR",--(COUNTIFS(nNIA,DATOS!$A5510,nCURSO,DATOS!$D5510,nESPEC,DATOS!$E5510,nASIG,DATOS!$I5510,nEVAL,"EX")=0),0))))</f>
      </c>
      <c r="H5510">
        <f>IF(DATOS!$G5510&lt;&gt;"EX",0,--(COUNTIFS(nNIA,DATOS!$A5510,nCURSO,DATOS!$D5510,nESPEC,DATOS!$E5510,nASIG,DATOS!$I5510,nEVAL,"OR")=0))</f>
      </c>
      <c r="I5510">
        <f>IF(DATOS!$I5510="","",IFERROR(VLOOKUP(DATOS!$I5510,CONFIG_ASIGNATURAS!$B$2:$J$91,9,FALSE()),""))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IF(DATOS!$A5511="",0,IF(CONFIG_METADATA!$B$4&lt;&gt;"OR+EX",--(DATOS!$G5511=CONFIG_METADATA!$B$4),IF(DATOS!$G5511="EX",1,IF(DATOS!$G5511="OR",--(COUNTIFS(nNIA,DATOS!$A5511,nCURSO,DATOS!$D5511,nESPEC,DATOS!$E5511,nASIG,DATOS!$I5511,nEVAL,"EX")=0),0))))</f>
      </c>
      <c r="H5511">
        <f>IF(DATOS!$G5511&lt;&gt;"EX",0,--(COUNTIFS(nNIA,DATOS!$A5511,nCURSO,DATOS!$D5511,nESPEC,DATOS!$E5511,nASIG,DATOS!$I5511,nEVAL,"OR")=0))</f>
      </c>
      <c r="I5511">
        <f>IF(DATOS!$I5511="","",IFERROR(VLOOKUP(DATOS!$I5511,CONFIG_ASIGNATURAS!$B$2:$J$91,9,FALSE()),""))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IF(DATOS!$A5512="",0,IF(CONFIG_METADATA!$B$4&lt;&gt;"OR+EX",--(DATOS!$G5512=CONFIG_METADATA!$B$4),IF(DATOS!$G5512="EX",1,IF(DATOS!$G5512="OR",--(COUNTIFS(nNIA,DATOS!$A5512,nCURSO,DATOS!$D5512,nESPEC,DATOS!$E5512,nASIG,DATOS!$I5512,nEVAL,"EX")=0),0))))</f>
      </c>
      <c r="H5512">
        <f>IF(DATOS!$G5512&lt;&gt;"EX",0,--(COUNTIFS(nNIA,DATOS!$A5512,nCURSO,DATOS!$D5512,nESPEC,DATOS!$E5512,nASIG,DATOS!$I5512,nEVAL,"OR")=0))</f>
      </c>
      <c r="I5512">
        <f>IF(DATOS!$I5512="","",IFERROR(VLOOKUP(DATOS!$I5512,CONFIG_ASIGNATURAS!$B$2:$J$91,9,FALSE()),""))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IF(DATOS!$A5513="",0,IF(CONFIG_METADATA!$B$4&lt;&gt;"OR+EX",--(DATOS!$G5513=CONFIG_METADATA!$B$4),IF(DATOS!$G5513="EX",1,IF(DATOS!$G5513="OR",--(COUNTIFS(nNIA,DATOS!$A5513,nCURSO,DATOS!$D5513,nESPEC,DATOS!$E5513,nASIG,DATOS!$I5513,nEVAL,"EX")=0),0))))</f>
      </c>
      <c r="H5513">
        <f>IF(DATOS!$G5513&lt;&gt;"EX",0,--(COUNTIFS(nNIA,DATOS!$A5513,nCURSO,DATOS!$D5513,nESPEC,DATOS!$E5513,nASIG,DATOS!$I5513,nEVAL,"OR")=0))</f>
      </c>
      <c r="I5513">
        <f>IF(DATOS!$I5513="","",IFERROR(VLOOKUP(DATOS!$I5513,CONFIG_ASIGNATURAS!$B$2:$J$91,9,FALSE()),""))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IF(DATOS!$A5514="",0,IF(CONFIG_METADATA!$B$4&lt;&gt;"OR+EX",--(DATOS!$G5514=CONFIG_METADATA!$B$4),IF(DATOS!$G5514="EX",1,IF(DATOS!$G5514="OR",--(COUNTIFS(nNIA,DATOS!$A5514,nCURSO,DATOS!$D5514,nESPEC,DATOS!$E5514,nASIG,DATOS!$I5514,nEVAL,"EX")=0),0))))</f>
      </c>
      <c r="H5514">
        <f>IF(DATOS!$G5514&lt;&gt;"EX",0,--(COUNTIFS(nNIA,DATOS!$A5514,nCURSO,DATOS!$D5514,nESPEC,DATOS!$E5514,nASIG,DATOS!$I5514,nEVAL,"OR")=0))</f>
      </c>
      <c r="I5514">
        <f>IF(DATOS!$I5514="","",IFERROR(VLOOKUP(DATOS!$I5514,CONFIG_ASIGNATURAS!$B$2:$J$91,9,FALSE()),""))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IF(DATOS!$A5515="",0,IF(CONFIG_METADATA!$B$4&lt;&gt;"OR+EX",--(DATOS!$G5515=CONFIG_METADATA!$B$4),IF(DATOS!$G5515="EX",1,IF(DATOS!$G5515="OR",--(COUNTIFS(nNIA,DATOS!$A5515,nCURSO,DATOS!$D5515,nESPEC,DATOS!$E5515,nASIG,DATOS!$I5515,nEVAL,"EX")=0),0))))</f>
      </c>
      <c r="H5515">
        <f>IF(DATOS!$G5515&lt;&gt;"EX",0,--(COUNTIFS(nNIA,DATOS!$A5515,nCURSO,DATOS!$D5515,nESPEC,DATOS!$E5515,nASIG,DATOS!$I5515,nEVAL,"OR")=0))</f>
      </c>
      <c r="I5515">
        <f>IF(DATOS!$I5515="","",IFERROR(VLOOKUP(DATOS!$I5515,CONFIG_ASIGNATURAS!$B$2:$J$91,9,FALSE()),""))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IF(DATOS!$A5516="",0,IF(CONFIG_METADATA!$B$4&lt;&gt;"OR+EX",--(DATOS!$G5516=CONFIG_METADATA!$B$4),IF(DATOS!$G5516="EX",1,IF(DATOS!$G5516="OR",--(COUNTIFS(nNIA,DATOS!$A5516,nCURSO,DATOS!$D5516,nESPEC,DATOS!$E5516,nASIG,DATOS!$I5516,nEVAL,"EX")=0),0))))</f>
      </c>
      <c r="H5516">
        <f>IF(DATOS!$G5516&lt;&gt;"EX",0,--(COUNTIFS(nNIA,DATOS!$A5516,nCURSO,DATOS!$D5516,nESPEC,DATOS!$E5516,nASIG,DATOS!$I5516,nEVAL,"OR")=0))</f>
      </c>
      <c r="I5516">
        <f>IF(DATOS!$I5516="","",IFERROR(VLOOKUP(DATOS!$I5516,CONFIG_ASIGNATURAS!$B$2:$J$91,9,FALSE()),""))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IF(DATOS!$A5517="",0,IF(CONFIG_METADATA!$B$4&lt;&gt;"OR+EX",--(DATOS!$G5517=CONFIG_METADATA!$B$4),IF(DATOS!$G5517="EX",1,IF(DATOS!$G5517="OR",--(COUNTIFS(nNIA,DATOS!$A5517,nCURSO,DATOS!$D5517,nESPEC,DATOS!$E5517,nASIG,DATOS!$I5517,nEVAL,"EX")=0),0))))</f>
      </c>
      <c r="H5517">
        <f>IF(DATOS!$G5517&lt;&gt;"EX",0,--(COUNTIFS(nNIA,DATOS!$A5517,nCURSO,DATOS!$D5517,nESPEC,DATOS!$E5517,nASIG,DATOS!$I5517,nEVAL,"OR")=0))</f>
      </c>
      <c r="I5517">
        <f>IF(DATOS!$I5517="","",IFERROR(VLOOKUP(DATOS!$I5517,CONFIG_ASIGNATURAS!$B$2:$J$91,9,FALSE()),""))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IF(DATOS!$A5518="",0,IF(CONFIG_METADATA!$B$4&lt;&gt;"OR+EX",--(DATOS!$G5518=CONFIG_METADATA!$B$4),IF(DATOS!$G5518="EX",1,IF(DATOS!$G5518="OR",--(COUNTIFS(nNIA,DATOS!$A5518,nCURSO,DATOS!$D5518,nESPEC,DATOS!$E5518,nASIG,DATOS!$I5518,nEVAL,"EX")=0),0))))</f>
      </c>
      <c r="H5518">
        <f>IF(DATOS!$G5518&lt;&gt;"EX",0,--(COUNTIFS(nNIA,DATOS!$A5518,nCURSO,DATOS!$D5518,nESPEC,DATOS!$E5518,nASIG,DATOS!$I5518,nEVAL,"OR")=0))</f>
      </c>
      <c r="I5518">
        <f>IF(DATOS!$I5518="","",IFERROR(VLOOKUP(DATOS!$I5518,CONFIG_ASIGNATURAS!$B$2:$J$91,9,FALSE()),""))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IF(DATOS!$A5519="",0,IF(CONFIG_METADATA!$B$4&lt;&gt;"OR+EX",--(DATOS!$G5519=CONFIG_METADATA!$B$4),IF(DATOS!$G5519="EX",1,IF(DATOS!$G5519="OR",--(COUNTIFS(nNIA,DATOS!$A5519,nCURSO,DATOS!$D5519,nESPEC,DATOS!$E5519,nASIG,DATOS!$I5519,nEVAL,"EX")=0),0))))</f>
      </c>
      <c r="H5519">
        <f>IF(DATOS!$G5519&lt;&gt;"EX",0,--(COUNTIFS(nNIA,DATOS!$A5519,nCURSO,DATOS!$D5519,nESPEC,DATOS!$E5519,nASIG,DATOS!$I5519,nEVAL,"OR")=0))</f>
      </c>
      <c r="I5519">
        <f>IF(DATOS!$I5519="","",IFERROR(VLOOKUP(DATOS!$I5519,CONFIG_ASIGNATURAS!$B$2:$J$91,9,FALSE()),""))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IF(DATOS!$A5520="",0,IF(CONFIG_METADATA!$B$4&lt;&gt;"OR+EX",--(DATOS!$G5520=CONFIG_METADATA!$B$4),IF(DATOS!$G5520="EX",1,IF(DATOS!$G5520="OR",--(COUNTIFS(nNIA,DATOS!$A5520,nCURSO,DATOS!$D5520,nESPEC,DATOS!$E5520,nASIG,DATOS!$I5520,nEVAL,"EX")=0),0))))</f>
      </c>
      <c r="H5520">
        <f>IF(DATOS!$G5520&lt;&gt;"EX",0,--(COUNTIFS(nNIA,DATOS!$A5520,nCURSO,DATOS!$D5520,nESPEC,DATOS!$E5520,nASIG,DATOS!$I5520,nEVAL,"OR")=0))</f>
      </c>
      <c r="I5520">
        <f>IF(DATOS!$I5520="","",IFERROR(VLOOKUP(DATOS!$I5520,CONFIG_ASIGNATURAS!$B$2:$J$91,9,FALSE()),""))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IF(DATOS!$A5521="",0,IF(CONFIG_METADATA!$B$4&lt;&gt;"OR+EX",--(DATOS!$G5521=CONFIG_METADATA!$B$4),IF(DATOS!$G5521="EX",1,IF(DATOS!$G5521="OR",--(COUNTIFS(nNIA,DATOS!$A5521,nCURSO,DATOS!$D5521,nESPEC,DATOS!$E5521,nASIG,DATOS!$I5521,nEVAL,"EX")=0),0))))</f>
      </c>
      <c r="H5521">
        <f>IF(DATOS!$G5521&lt;&gt;"EX",0,--(COUNTIFS(nNIA,DATOS!$A5521,nCURSO,DATOS!$D5521,nESPEC,DATOS!$E5521,nASIG,DATOS!$I5521,nEVAL,"OR")=0))</f>
      </c>
      <c r="I5521">
        <f>IF(DATOS!$I5521="","",IFERROR(VLOOKUP(DATOS!$I5521,CONFIG_ASIGNATURAS!$B$2:$J$91,9,FALSE()),""))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IF(DATOS!$A5522="",0,IF(CONFIG_METADATA!$B$4&lt;&gt;"OR+EX",--(DATOS!$G5522=CONFIG_METADATA!$B$4),IF(DATOS!$G5522="EX",1,IF(DATOS!$G5522="OR",--(COUNTIFS(nNIA,DATOS!$A5522,nCURSO,DATOS!$D5522,nESPEC,DATOS!$E5522,nASIG,DATOS!$I5522,nEVAL,"EX")=0),0))))</f>
      </c>
      <c r="H5522">
        <f>IF(DATOS!$G5522&lt;&gt;"EX",0,--(COUNTIFS(nNIA,DATOS!$A5522,nCURSO,DATOS!$D5522,nESPEC,DATOS!$E5522,nASIG,DATOS!$I5522,nEVAL,"OR")=0))</f>
      </c>
      <c r="I5522">
        <f>IF(DATOS!$I5522="","",IFERROR(VLOOKUP(DATOS!$I5522,CONFIG_ASIGNATURAS!$B$2:$J$91,9,FALSE()),""))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IF(DATOS!$A5523="",0,IF(CONFIG_METADATA!$B$4&lt;&gt;"OR+EX",--(DATOS!$G5523=CONFIG_METADATA!$B$4),IF(DATOS!$G5523="EX",1,IF(DATOS!$G5523="OR",--(COUNTIFS(nNIA,DATOS!$A5523,nCURSO,DATOS!$D5523,nESPEC,DATOS!$E5523,nASIG,DATOS!$I5523,nEVAL,"EX")=0),0))))</f>
      </c>
      <c r="H5523">
        <f>IF(DATOS!$G5523&lt;&gt;"EX",0,--(COUNTIFS(nNIA,DATOS!$A5523,nCURSO,DATOS!$D5523,nESPEC,DATOS!$E5523,nASIG,DATOS!$I5523,nEVAL,"OR")=0))</f>
      </c>
      <c r="I5523">
        <f>IF(DATOS!$I5523="","",IFERROR(VLOOKUP(DATOS!$I5523,CONFIG_ASIGNATURAS!$B$2:$J$91,9,FALSE()),""))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IF(DATOS!$A5524="",0,IF(CONFIG_METADATA!$B$4&lt;&gt;"OR+EX",--(DATOS!$G5524=CONFIG_METADATA!$B$4),IF(DATOS!$G5524="EX",1,IF(DATOS!$G5524="OR",--(COUNTIFS(nNIA,DATOS!$A5524,nCURSO,DATOS!$D5524,nESPEC,DATOS!$E5524,nASIG,DATOS!$I5524,nEVAL,"EX")=0),0))))</f>
      </c>
      <c r="H5524">
        <f>IF(DATOS!$G5524&lt;&gt;"EX",0,--(COUNTIFS(nNIA,DATOS!$A5524,nCURSO,DATOS!$D5524,nESPEC,DATOS!$E5524,nASIG,DATOS!$I5524,nEVAL,"OR")=0))</f>
      </c>
      <c r="I5524">
        <f>IF(DATOS!$I5524="","",IFERROR(VLOOKUP(DATOS!$I5524,CONFIG_ASIGNATURAS!$B$2:$J$91,9,FALSE()),""))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IF(DATOS!$A5525="",0,IF(CONFIG_METADATA!$B$4&lt;&gt;"OR+EX",--(DATOS!$G5525=CONFIG_METADATA!$B$4),IF(DATOS!$G5525="EX",1,IF(DATOS!$G5525="OR",--(COUNTIFS(nNIA,DATOS!$A5525,nCURSO,DATOS!$D5525,nESPEC,DATOS!$E5525,nASIG,DATOS!$I5525,nEVAL,"EX")=0),0))))</f>
      </c>
      <c r="H5525">
        <f>IF(DATOS!$G5525&lt;&gt;"EX",0,--(COUNTIFS(nNIA,DATOS!$A5525,nCURSO,DATOS!$D5525,nESPEC,DATOS!$E5525,nASIG,DATOS!$I5525,nEVAL,"OR")=0))</f>
      </c>
      <c r="I5525">
        <f>IF(DATOS!$I5525="","",IFERROR(VLOOKUP(DATOS!$I5525,CONFIG_ASIGNATURAS!$B$2:$J$91,9,FALSE()),""))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IF(DATOS!$A5526="",0,IF(CONFIG_METADATA!$B$4&lt;&gt;"OR+EX",--(DATOS!$G5526=CONFIG_METADATA!$B$4),IF(DATOS!$G5526="EX",1,IF(DATOS!$G5526="OR",--(COUNTIFS(nNIA,DATOS!$A5526,nCURSO,DATOS!$D5526,nESPEC,DATOS!$E5526,nASIG,DATOS!$I5526,nEVAL,"EX")=0),0))))</f>
      </c>
      <c r="H5526">
        <f>IF(DATOS!$G5526&lt;&gt;"EX",0,--(COUNTIFS(nNIA,DATOS!$A5526,nCURSO,DATOS!$D5526,nESPEC,DATOS!$E5526,nASIG,DATOS!$I5526,nEVAL,"OR")=0))</f>
      </c>
      <c r="I5526">
        <f>IF(DATOS!$I5526="","",IFERROR(VLOOKUP(DATOS!$I5526,CONFIG_ASIGNATURAS!$B$2:$J$91,9,FALSE()),""))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IF(DATOS!$A5527="",0,IF(CONFIG_METADATA!$B$4&lt;&gt;"OR+EX",--(DATOS!$G5527=CONFIG_METADATA!$B$4),IF(DATOS!$G5527="EX",1,IF(DATOS!$G5527="OR",--(COUNTIFS(nNIA,DATOS!$A5527,nCURSO,DATOS!$D5527,nESPEC,DATOS!$E5527,nASIG,DATOS!$I5527,nEVAL,"EX")=0),0))))</f>
      </c>
      <c r="H5527">
        <f>IF(DATOS!$G5527&lt;&gt;"EX",0,--(COUNTIFS(nNIA,DATOS!$A5527,nCURSO,DATOS!$D5527,nESPEC,DATOS!$E5527,nASIG,DATOS!$I5527,nEVAL,"OR")=0))</f>
      </c>
      <c r="I5527">
        <f>IF(DATOS!$I5527="","",IFERROR(VLOOKUP(DATOS!$I5527,CONFIG_ASIGNATURAS!$B$2:$J$91,9,FALSE()),""))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IF(DATOS!$A5528="",0,IF(CONFIG_METADATA!$B$4&lt;&gt;"OR+EX",--(DATOS!$G5528=CONFIG_METADATA!$B$4),IF(DATOS!$G5528="EX",1,IF(DATOS!$G5528="OR",--(COUNTIFS(nNIA,DATOS!$A5528,nCURSO,DATOS!$D5528,nESPEC,DATOS!$E5528,nASIG,DATOS!$I5528,nEVAL,"EX")=0),0))))</f>
      </c>
      <c r="H5528">
        <f>IF(DATOS!$G5528&lt;&gt;"EX",0,--(COUNTIFS(nNIA,DATOS!$A5528,nCURSO,DATOS!$D5528,nESPEC,DATOS!$E5528,nASIG,DATOS!$I5528,nEVAL,"OR")=0))</f>
      </c>
      <c r="I5528">
        <f>IF(DATOS!$I5528="","",IFERROR(VLOOKUP(DATOS!$I5528,CONFIG_ASIGNATURAS!$B$2:$J$91,9,FALSE()),""))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IF(DATOS!$A5529="",0,IF(CONFIG_METADATA!$B$4&lt;&gt;"OR+EX",--(DATOS!$G5529=CONFIG_METADATA!$B$4),IF(DATOS!$G5529="EX",1,IF(DATOS!$G5529="OR",--(COUNTIFS(nNIA,DATOS!$A5529,nCURSO,DATOS!$D5529,nESPEC,DATOS!$E5529,nASIG,DATOS!$I5529,nEVAL,"EX")=0),0))))</f>
      </c>
      <c r="H5529">
        <f>IF(DATOS!$G5529&lt;&gt;"EX",0,--(COUNTIFS(nNIA,DATOS!$A5529,nCURSO,DATOS!$D5529,nESPEC,DATOS!$E5529,nASIG,DATOS!$I5529,nEVAL,"OR")=0))</f>
      </c>
      <c r="I5529">
        <f>IF(DATOS!$I5529="","",IFERROR(VLOOKUP(DATOS!$I5529,CONFIG_ASIGNATURAS!$B$2:$J$91,9,FALSE()),""))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IF(DATOS!$A5530="",0,IF(CONFIG_METADATA!$B$4&lt;&gt;"OR+EX",--(DATOS!$G5530=CONFIG_METADATA!$B$4),IF(DATOS!$G5530="EX",1,IF(DATOS!$G5530="OR",--(COUNTIFS(nNIA,DATOS!$A5530,nCURSO,DATOS!$D5530,nESPEC,DATOS!$E5530,nASIG,DATOS!$I5530,nEVAL,"EX")=0),0))))</f>
      </c>
      <c r="H5530">
        <f>IF(DATOS!$G5530&lt;&gt;"EX",0,--(COUNTIFS(nNIA,DATOS!$A5530,nCURSO,DATOS!$D5530,nESPEC,DATOS!$E5530,nASIG,DATOS!$I5530,nEVAL,"OR")=0))</f>
      </c>
      <c r="I5530">
        <f>IF(DATOS!$I5530="","",IFERROR(VLOOKUP(DATOS!$I5530,CONFIG_ASIGNATURAS!$B$2:$J$91,9,FALSE()),""))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IF(DATOS!$A5531="",0,IF(CONFIG_METADATA!$B$4&lt;&gt;"OR+EX",--(DATOS!$G5531=CONFIG_METADATA!$B$4),IF(DATOS!$G5531="EX",1,IF(DATOS!$G5531="OR",--(COUNTIFS(nNIA,DATOS!$A5531,nCURSO,DATOS!$D5531,nESPEC,DATOS!$E5531,nASIG,DATOS!$I5531,nEVAL,"EX")=0),0))))</f>
      </c>
      <c r="H5531">
        <f>IF(DATOS!$G5531&lt;&gt;"EX",0,--(COUNTIFS(nNIA,DATOS!$A5531,nCURSO,DATOS!$D5531,nESPEC,DATOS!$E5531,nASIG,DATOS!$I5531,nEVAL,"OR")=0))</f>
      </c>
      <c r="I5531">
        <f>IF(DATOS!$I5531="","",IFERROR(VLOOKUP(DATOS!$I5531,CONFIG_ASIGNATURAS!$B$2:$J$91,9,FALSE()),""))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IF(DATOS!$A5532="",0,IF(CONFIG_METADATA!$B$4&lt;&gt;"OR+EX",--(DATOS!$G5532=CONFIG_METADATA!$B$4),IF(DATOS!$G5532="EX",1,IF(DATOS!$G5532="OR",--(COUNTIFS(nNIA,DATOS!$A5532,nCURSO,DATOS!$D5532,nESPEC,DATOS!$E5532,nASIG,DATOS!$I5532,nEVAL,"EX")=0),0))))</f>
      </c>
      <c r="H5532">
        <f>IF(DATOS!$G5532&lt;&gt;"EX",0,--(COUNTIFS(nNIA,DATOS!$A5532,nCURSO,DATOS!$D5532,nESPEC,DATOS!$E5532,nASIG,DATOS!$I5532,nEVAL,"OR")=0))</f>
      </c>
      <c r="I5532">
        <f>IF(DATOS!$I5532="","",IFERROR(VLOOKUP(DATOS!$I5532,CONFIG_ASIGNATURAS!$B$2:$J$91,9,FALSE()),""))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IF(DATOS!$A5533="",0,IF(CONFIG_METADATA!$B$4&lt;&gt;"OR+EX",--(DATOS!$G5533=CONFIG_METADATA!$B$4),IF(DATOS!$G5533="EX",1,IF(DATOS!$G5533="OR",--(COUNTIFS(nNIA,DATOS!$A5533,nCURSO,DATOS!$D5533,nESPEC,DATOS!$E5533,nASIG,DATOS!$I5533,nEVAL,"EX")=0),0))))</f>
      </c>
      <c r="H5533">
        <f>IF(DATOS!$G5533&lt;&gt;"EX",0,--(COUNTIFS(nNIA,DATOS!$A5533,nCURSO,DATOS!$D5533,nESPEC,DATOS!$E5533,nASIG,DATOS!$I5533,nEVAL,"OR")=0))</f>
      </c>
      <c r="I5533">
        <f>IF(DATOS!$I5533="","",IFERROR(VLOOKUP(DATOS!$I5533,CONFIG_ASIGNATURAS!$B$2:$J$91,9,FALSE()),""))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IF(DATOS!$A5534="",0,IF(CONFIG_METADATA!$B$4&lt;&gt;"OR+EX",--(DATOS!$G5534=CONFIG_METADATA!$B$4),IF(DATOS!$G5534="EX",1,IF(DATOS!$G5534="OR",--(COUNTIFS(nNIA,DATOS!$A5534,nCURSO,DATOS!$D5534,nESPEC,DATOS!$E5534,nASIG,DATOS!$I5534,nEVAL,"EX")=0),0))))</f>
      </c>
      <c r="H5534">
        <f>IF(DATOS!$G5534&lt;&gt;"EX",0,--(COUNTIFS(nNIA,DATOS!$A5534,nCURSO,DATOS!$D5534,nESPEC,DATOS!$E5534,nASIG,DATOS!$I5534,nEVAL,"OR")=0))</f>
      </c>
      <c r="I5534">
        <f>IF(DATOS!$I5534="","",IFERROR(VLOOKUP(DATOS!$I5534,CONFIG_ASIGNATURAS!$B$2:$J$91,9,FALSE()),""))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IF(DATOS!$A5535="",0,IF(CONFIG_METADATA!$B$4&lt;&gt;"OR+EX",--(DATOS!$G5535=CONFIG_METADATA!$B$4),IF(DATOS!$G5535="EX",1,IF(DATOS!$G5535="OR",--(COUNTIFS(nNIA,DATOS!$A5535,nCURSO,DATOS!$D5535,nESPEC,DATOS!$E5535,nASIG,DATOS!$I5535,nEVAL,"EX")=0),0))))</f>
      </c>
      <c r="H5535">
        <f>IF(DATOS!$G5535&lt;&gt;"EX",0,--(COUNTIFS(nNIA,DATOS!$A5535,nCURSO,DATOS!$D5535,nESPEC,DATOS!$E5535,nASIG,DATOS!$I5535,nEVAL,"OR")=0))</f>
      </c>
      <c r="I5535">
        <f>IF(DATOS!$I5535="","",IFERROR(VLOOKUP(DATOS!$I5535,CONFIG_ASIGNATURAS!$B$2:$J$91,9,FALSE()),""))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IF(DATOS!$A5536="",0,IF(CONFIG_METADATA!$B$4&lt;&gt;"OR+EX",--(DATOS!$G5536=CONFIG_METADATA!$B$4),IF(DATOS!$G5536="EX",1,IF(DATOS!$G5536="OR",--(COUNTIFS(nNIA,DATOS!$A5536,nCURSO,DATOS!$D5536,nESPEC,DATOS!$E5536,nASIG,DATOS!$I5536,nEVAL,"EX")=0),0))))</f>
      </c>
      <c r="H5536">
        <f>IF(DATOS!$G5536&lt;&gt;"EX",0,--(COUNTIFS(nNIA,DATOS!$A5536,nCURSO,DATOS!$D5536,nESPEC,DATOS!$E5536,nASIG,DATOS!$I5536,nEVAL,"OR")=0))</f>
      </c>
      <c r="I5536">
        <f>IF(DATOS!$I5536="","",IFERROR(VLOOKUP(DATOS!$I5536,CONFIG_ASIGNATURAS!$B$2:$J$91,9,FALSE()),""))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IF(DATOS!$A5537="",0,IF(CONFIG_METADATA!$B$4&lt;&gt;"OR+EX",--(DATOS!$G5537=CONFIG_METADATA!$B$4),IF(DATOS!$G5537="EX",1,IF(DATOS!$G5537="OR",--(COUNTIFS(nNIA,DATOS!$A5537,nCURSO,DATOS!$D5537,nESPEC,DATOS!$E5537,nASIG,DATOS!$I5537,nEVAL,"EX")=0),0))))</f>
      </c>
      <c r="H5537">
        <f>IF(DATOS!$G5537&lt;&gt;"EX",0,--(COUNTIFS(nNIA,DATOS!$A5537,nCURSO,DATOS!$D5537,nESPEC,DATOS!$E5537,nASIG,DATOS!$I5537,nEVAL,"OR")=0))</f>
      </c>
      <c r="I5537">
        <f>IF(DATOS!$I5537="","",IFERROR(VLOOKUP(DATOS!$I5537,CONFIG_ASIGNATURAS!$B$2:$J$91,9,FALSE()),""))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IF(DATOS!$A5538="",0,IF(CONFIG_METADATA!$B$4&lt;&gt;"OR+EX",--(DATOS!$G5538=CONFIG_METADATA!$B$4),IF(DATOS!$G5538="EX",1,IF(DATOS!$G5538="OR",--(COUNTIFS(nNIA,DATOS!$A5538,nCURSO,DATOS!$D5538,nESPEC,DATOS!$E5538,nASIG,DATOS!$I5538,nEVAL,"EX")=0),0))))</f>
      </c>
      <c r="H5538">
        <f>IF(DATOS!$G5538&lt;&gt;"EX",0,--(COUNTIFS(nNIA,DATOS!$A5538,nCURSO,DATOS!$D5538,nESPEC,DATOS!$E5538,nASIG,DATOS!$I5538,nEVAL,"OR")=0))</f>
      </c>
      <c r="I5538">
        <f>IF(DATOS!$I5538="","",IFERROR(VLOOKUP(DATOS!$I5538,CONFIG_ASIGNATURAS!$B$2:$J$91,9,FALSE()),""))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IF(DATOS!$A5539="",0,IF(CONFIG_METADATA!$B$4&lt;&gt;"OR+EX",--(DATOS!$G5539=CONFIG_METADATA!$B$4),IF(DATOS!$G5539="EX",1,IF(DATOS!$G5539="OR",--(COUNTIFS(nNIA,DATOS!$A5539,nCURSO,DATOS!$D5539,nESPEC,DATOS!$E5539,nASIG,DATOS!$I5539,nEVAL,"EX")=0),0))))</f>
      </c>
      <c r="H5539">
        <f>IF(DATOS!$G5539&lt;&gt;"EX",0,--(COUNTIFS(nNIA,DATOS!$A5539,nCURSO,DATOS!$D5539,nESPEC,DATOS!$E5539,nASIG,DATOS!$I5539,nEVAL,"OR")=0))</f>
      </c>
      <c r="I5539">
        <f>IF(DATOS!$I5539="","",IFERROR(VLOOKUP(DATOS!$I5539,CONFIG_ASIGNATURAS!$B$2:$J$91,9,FALSE()),""))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IF(DATOS!$A5540="",0,IF(CONFIG_METADATA!$B$4&lt;&gt;"OR+EX",--(DATOS!$G5540=CONFIG_METADATA!$B$4),IF(DATOS!$G5540="EX",1,IF(DATOS!$G5540="OR",--(COUNTIFS(nNIA,DATOS!$A5540,nCURSO,DATOS!$D5540,nESPEC,DATOS!$E5540,nASIG,DATOS!$I5540,nEVAL,"EX")=0),0))))</f>
      </c>
      <c r="H5540">
        <f>IF(DATOS!$G5540&lt;&gt;"EX",0,--(COUNTIFS(nNIA,DATOS!$A5540,nCURSO,DATOS!$D5540,nESPEC,DATOS!$E5540,nASIG,DATOS!$I5540,nEVAL,"OR")=0))</f>
      </c>
      <c r="I5540">
        <f>IF(DATOS!$I5540="","",IFERROR(VLOOKUP(DATOS!$I5540,CONFIG_ASIGNATURAS!$B$2:$J$91,9,FALSE()),""))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IF(DATOS!$A5541="",0,IF(CONFIG_METADATA!$B$4&lt;&gt;"OR+EX",--(DATOS!$G5541=CONFIG_METADATA!$B$4),IF(DATOS!$G5541="EX",1,IF(DATOS!$G5541="OR",--(COUNTIFS(nNIA,DATOS!$A5541,nCURSO,DATOS!$D5541,nESPEC,DATOS!$E5541,nASIG,DATOS!$I5541,nEVAL,"EX")=0),0))))</f>
      </c>
      <c r="H5541">
        <f>IF(DATOS!$G5541&lt;&gt;"EX",0,--(COUNTIFS(nNIA,DATOS!$A5541,nCURSO,DATOS!$D5541,nESPEC,DATOS!$E5541,nASIG,DATOS!$I5541,nEVAL,"OR")=0))</f>
      </c>
      <c r="I5541">
        <f>IF(DATOS!$I5541="","",IFERROR(VLOOKUP(DATOS!$I5541,CONFIG_ASIGNATURAS!$B$2:$J$91,9,FALSE()),""))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IF(DATOS!$A5542="",0,IF(CONFIG_METADATA!$B$4&lt;&gt;"OR+EX",--(DATOS!$G5542=CONFIG_METADATA!$B$4),IF(DATOS!$G5542="EX",1,IF(DATOS!$G5542="OR",--(COUNTIFS(nNIA,DATOS!$A5542,nCURSO,DATOS!$D5542,nESPEC,DATOS!$E5542,nASIG,DATOS!$I5542,nEVAL,"EX")=0),0))))</f>
      </c>
      <c r="H5542">
        <f>IF(DATOS!$G5542&lt;&gt;"EX",0,--(COUNTIFS(nNIA,DATOS!$A5542,nCURSO,DATOS!$D5542,nESPEC,DATOS!$E5542,nASIG,DATOS!$I5542,nEVAL,"OR")=0))</f>
      </c>
      <c r="I5542">
        <f>IF(DATOS!$I5542="","",IFERROR(VLOOKUP(DATOS!$I5542,CONFIG_ASIGNATURAS!$B$2:$J$91,9,FALSE()),""))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IF(DATOS!$A5543="",0,IF(CONFIG_METADATA!$B$4&lt;&gt;"OR+EX",--(DATOS!$G5543=CONFIG_METADATA!$B$4),IF(DATOS!$G5543="EX",1,IF(DATOS!$G5543="OR",--(COUNTIFS(nNIA,DATOS!$A5543,nCURSO,DATOS!$D5543,nESPEC,DATOS!$E5543,nASIG,DATOS!$I5543,nEVAL,"EX")=0),0))))</f>
      </c>
      <c r="H5543">
        <f>IF(DATOS!$G5543&lt;&gt;"EX",0,--(COUNTIFS(nNIA,DATOS!$A5543,nCURSO,DATOS!$D5543,nESPEC,DATOS!$E5543,nASIG,DATOS!$I5543,nEVAL,"OR")=0))</f>
      </c>
      <c r="I5543">
        <f>IF(DATOS!$I5543="","",IFERROR(VLOOKUP(DATOS!$I5543,CONFIG_ASIGNATURAS!$B$2:$J$91,9,FALSE()),""))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IF(DATOS!$A5544="",0,IF(CONFIG_METADATA!$B$4&lt;&gt;"OR+EX",--(DATOS!$G5544=CONFIG_METADATA!$B$4),IF(DATOS!$G5544="EX",1,IF(DATOS!$G5544="OR",--(COUNTIFS(nNIA,DATOS!$A5544,nCURSO,DATOS!$D5544,nESPEC,DATOS!$E5544,nASIG,DATOS!$I5544,nEVAL,"EX")=0),0))))</f>
      </c>
      <c r="H5544">
        <f>IF(DATOS!$G5544&lt;&gt;"EX",0,--(COUNTIFS(nNIA,DATOS!$A5544,nCURSO,DATOS!$D5544,nESPEC,DATOS!$E5544,nASIG,DATOS!$I5544,nEVAL,"OR")=0))</f>
      </c>
      <c r="I5544">
        <f>IF(DATOS!$I5544="","",IFERROR(VLOOKUP(DATOS!$I5544,CONFIG_ASIGNATURAS!$B$2:$J$91,9,FALSE()),""))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IF(DATOS!$A5545="",0,IF(CONFIG_METADATA!$B$4&lt;&gt;"OR+EX",--(DATOS!$G5545=CONFIG_METADATA!$B$4),IF(DATOS!$G5545="EX",1,IF(DATOS!$G5545="OR",--(COUNTIFS(nNIA,DATOS!$A5545,nCURSO,DATOS!$D5545,nESPEC,DATOS!$E5545,nASIG,DATOS!$I5545,nEVAL,"EX")=0),0))))</f>
      </c>
      <c r="H5545">
        <f>IF(DATOS!$G5545&lt;&gt;"EX",0,--(COUNTIFS(nNIA,DATOS!$A5545,nCURSO,DATOS!$D5545,nESPEC,DATOS!$E5545,nASIG,DATOS!$I5545,nEVAL,"OR")=0))</f>
      </c>
      <c r="I5545">
        <f>IF(DATOS!$I5545="","",IFERROR(VLOOKUP(DATOS!$I5545,CONFIG_ASIGNATURAS!$B$2:$J$91,9,FALSE()),""))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IF(DATOS!$A5546="",0,IF(CONFIG_METADATA!$B$4&lt;&gt;"OR+EX",--(DATOS!$G5546=CONFIG_METADATA!$B$4),IF(DATOS!$G5546="EX",1,IF(DATOS!$G5546="OR",--(COUNTIFS(nNIA,DATOS!$A5546,nCURSO,DATOS!$D5546,nESPEC,DATOS!$E5546,nASIG,DATOS!$I5546,nEVAL,"EX")=0),0))))</f>
      </c>
      <c r="H5546">
        <f>IF(DATOS!$G5546&lt;&gt;"EX",0,--(COUNTIFS(nNIA,DATOS!$A5546,nCURSO,DATOS!$D5546,nESPEC,DATOS!$E5546,nASIG,DATOS!$I5546,nEVAL,"OR")=0))</f>
      </c>
      <c r="I5546">
        <f>IF(DATOS!$I5546="","",IFERROR(VLOOKUP(DATOS!$I5546,CONFIG_ASIGNATURAS!$B$2:$J$91,9,FALSE()),""))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IF(DATOS!$A5547="",0,IF(CONFIG_METADATA!$B$4&lt;&gt;"OR+EX",--(DATOS!$G5547=CONFIG_METADATA!$B$4),IF(DATOS!$G5547="EX",1,IF(DATOS!$G5547="OR",--(COUNTIFS(nNIA,DATOS!$A5547,nCURSO,DATOS!$D5547,nESPEC,DATOS!$E5547,nASIG,DATOS!$I5547,nEVAL,"EX")=0),0))))</f>
      </c>
      <c r="H5547">
        <f>IF(DATOS!$G5547&lt;&gt;"EX",0,--(COUNTIFS(nNIA,DATOS!$A5547,nCURSO,DATOS!$D5547,nESPEC,DATOS!$E5547,nASIG,DATOS!$I5547,nEVAL,"OR")=0))</f>
      </c>
      <c r="I5547">
        <f>IF(DATOS!$I5547="","",IFERROR(VLOOKUP(DATOS!$I5547,CONFIG_ASIGNATURAS!$B$2:$J$91,9,FALSE()),""))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IF(DATOS!$A5548="",0,IF(CONFIG_METADATA!$B$4&lt;&gt;"OR+EX",--(DATOS!$G5548=CONFIG_METADATA!$B$4),IF(DATOS!$G5548="EX",1,IF(DATOS!$G5548="OR",--(COUNTIFS(nNIA,DATOS!$A5548,nCURSO,DATOS!$D5548,nESPEC,DATOS!$E5548,nASIG,DATOS!$I5548,nEVAL,"EX")=0),0))))</f>
      </c>
      <c r="H5548">
        <f>IF(DATOS!$G5548&lt;&gt;"EX",0,--(COUNTIFS(nNIA,DATOS!$A5548,nCURSO,DATOS!$D5548,nESPEC,DATOS!$E5548,nASIG,DATOS!$I5548,nEVAL,"OR")=0))</f>
      </c>
      <c r="I5548">
        <f>IF(DATOS!$I5548="","",IFERROR(VLOOKUP(DATOS!$I5548,CONFIG_ASIGNATURAS!$B$2:$J$91,9,FALSE()),""))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IF(DATOS!$A5549="",0,IF(CONFIG_METADATA!$B$4&lt;&gt;"OR+EX",--(DATOS!$G5549=CONFIG_METADATA!$B$4),IF(DATOS!$G5549="EX",1,IF(DATOS!$G5549="OR",--(COUNTIFS(nNIA,DATOS!$A5549,nCURSO,DATOS!$D5549,nESPEC,DATOS!$E5549,nASIG,DATOS!$I5549,nEVAL,"EX")=0),0))))</f>
      </c>
      <c r="H5549">
        <f>IF(DATOS!$G5549&lt;&gt;"EX",0,--(COUNTIFS(nNIA,DATOS!$A5549,nCURSO,DATOS!$D5549,nESPEC,DATOS!$E5549,nASIG,DATOS!$I5549,nEVAL,"OR")=0))</f>
      </c>
      <c r="I5549">
        <f>IF(DATOS!$I5549="","",IFERROR(VLOOKUP(DATOS!$I5549,CONFIG_ASIGNATURAS!$B$2:$J$91,9,FALSE()),""))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IF(DATOS!$A5550="",0,IF(CONFIG_METADATA!$B$4&lt;&gt;"OR+EX",--(DATOS!$G5550=CONFIG_METADATA!$B$4),IF(DATOS!$G5550="EX",1,IF(DATOS!$G5550="OR",--(COUNTIFS(nNIA,DATOS!$A5550,nCURSO,DATOS!$D5550,nESPEC,DATOS!$E5550,nASIG,DATOS!$I5550,nEVAL,"EX")=0),0))))</f>
      </c>
      <c r="H5550">
        <f>IF(DATOS!$G5550&lt;&gt;"EX",0,--(COUNTIFS(nNIA,DATOS!$A5550,nCURSO,DATOS!$D5550,nESPEC,DATOS!$E5550,nASIG,DATOS!$I5550,nEVAL,"OR")=0))</f>
      </c>
      <c r="I5550">
        <f>IF(DATOS!$I5550="","",IFERROR(VLOOKUP(DATOS!$I5550,CONFIG_ASIGNATURAS!$B$2:$J$91,9,FALSE()),""))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IF(DATOS!$A5551="",0,IF(CONFIG_METADATA!$B$4&lt;&gt;"OR+EX",--(DATOS!$G5551=CONFIG_METADATA!$B$4),IF(DATOS!$G5551="EX",1,IF(DATOS!$G5551="OR",--(COUNTIFS(nNIA,DATOS!$A5551,nCURSO,DATOS!$D5551,nESPEC,DATOS!$E5551,nASIG,DATOS!$I5551,nEVAL,"EX")=0),0))))</f>
      </c>
      <c r="H5551">
        <f>IF(DATOS!$G5551&lt;&gt;"EX",0,--(COUNTIFS(nNIA,DATOS!$A5551,nCURSO,DATOS!$D5551,nESPEC,DATOS!$E5551,nASIG,DATOS!$I5551,nEVAL,"OR")=0))</f>
      </c>
      <c r="I5551">
        <f>IF(DATOS!$I5551="","",IFERROR(VLOOKUP(DATOS!$I5551,CONFIG_ASIGNATURAS!$B$2:$J$91,9,FALSE()),""))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IF(DATOS!$A5552="",0,IF(CONFIG_METADATA!$B$4&lt;&gt;"OR+EX",--(DATOS!$G5552=CONFIG_METADATA!$B$4),IF(DATOS!$G5552="EX",1,IF(DATOS!$G5552="OR",--(COUNTIFS(nNIA,DATOS!$A5552,nCURSO,DATOS!$D5552,nESPEC,DATOS!$E5552,nASIG,DATOS!$I5552,nEVAL,"EX")=0),0))))</f>
      </c>
      <c r="H5552">
        <f>IF(DATOS!$G5552&lt;&gt;"EX",0,--(COUNTIFS(nNIA,DATOS!$A5552,nCURSO,DATOS!$D5552,nESPEC,DATOS!$E5552,nASIG,DATOS!$I5552,nEVAL,"OR")=0))</f>
      </c>
      <c r="I5552">
        <f>IF(DATOS!$I5552="","",IFERROR(VLOOKUP(DATOS!$I5552,CONFIG_ASIGNATURAS!$B$2:$J$91,9,FALSE()),""))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IF(DATOS!$A5553="",0,IF(CONFIG_METADATA!$B$4&lt;&gt;"OR+EX",--(DATOS!$G5553=CONFIG_METADATA!$B$4),IF(DATOS!$G5553="EX",1,IF(DATOS!$G5553="OR",--(COUNTIFS(nNIA,DATOS!$A5553,nCURSO,DATOS!$D5553,nESPEC,DATOS!$E5553,nASIG,DATOS!$I5553,nEVAL,"EX")=0),0))))</f>
      </c>
      <c r="H5553">
        <f>IF(DATOS!$G5553&lt;&gt;"EX",0,--(COUNTIFS(nNIA,DATOS!$A5553,nCURSO,DATOS!$D5553,nESPEC,DATOS!$E5553,nASIG,DATOS!$I5553,nEVAL,"OR")=0))</f>
      </c>
      <c r="I5553">
        <f>IF(DATOS!$I5553="","",IFERROR(VLOOKUP(DATOS!$I5553,CONFIG_ASIGNATURAS!$B$2:$J$91,9,FALSE()),""))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IF(DATOS!$A5554="",0,IF(CONFIG_METADATA!$B$4&lt;&gt;"OR+EX",--(DATOS!$G5554=CONFIG_METADATA!$B$4),IF(DATOS!$G5554="EX",1,IF(DATOS!$G5554="OR",--(COUNTIFS(nNIA,DATOS!$A5554,nCURSO,DATOS!$D5554,nESPEC,DATOS!$E5554,nASIG,DATOS!$I5554,nEVAL,"EX")=0),0))))</f>
      </c>
      <c r="H5554">
        <f>IF(DATOS!$G5554&lt;&gt;"EX",0,--(COUNTIFS(nNIA,DATOS!$A5554,nCURSO,DATOS!$D5554,nESPEC,DATOS!$E5554,nASIG,DATOS!$I5554,nEVAL,"OR")=0))</f>
      </c>
      <c r="I5554">
        <f>IF(DATOS!$I5554="","",IFERROR(VLOOKUP(DATOS!$I5554,CONFIG_ASIGNATURAS!$B$2:$J$91,9,FALSE()),""))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IF(DATOS!$A5555="",0,IF(CONFIG_METADATA!$B$4&lt;&gt;"OR+EX",--(DATOS!$G5555=CONFIG_METADATA!$B$4),IF(DATOS!$G5555="EX",1,IF(DATOS!$G5555="OR",--(COUNTIFS(nNIA,DATOS!$A5555,nCURSO,DATOS!$D5555,nESPEC,DATOS!$E5555,nASIG,DATOS!$I5555,nEVAL,"EX")=0),0))))</f>
      </c>
      <c r="H5555">
        <f>IF(DATOS!$G5555&lt;&gt;"EX",0,--(COUNTIFS(nNIA,DATOS!$A5555,nCURSO,DATOS!$D5555,nESPEC,DATOS!$E5555,nASIG,DATOS!$I5555,nEVAL,"OR")=0))</f>
      </c>
      <c r="I5555">
        <f>IF(DATOS!$I5555="","",IFERROR(VLOOKUP(DATOS!$I5555,CONFIG_ASIGNATURAS!$B$2:$J$91,9,FALSE()),""))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IF(DATOS!$A5556="",0,IF(CONFIG_METADATA!$B$4&lt;&gt;"OR+EX",--(DATOS!$G5556=CONFIG_METADATA!$B$4),IF(DATOS!$G5556="EX",1,IF(DATOS!$G5556="OR",--(COUNTIFS(nNIA,DATOS!$A5556,nCURSO,DATOS!$D5556,nESPEC,DATOS!$E5556,nASIG,DATOS!$I5556,nEVAL,"EX")=0),0))))</f>
      </c>
      <c r="H5556">
        <f>IF(DATOS!$G5556&lt;&gt;"EX",0,--(COUNTIFS(nNIA,DATOS!$A5556,nCURSO,DATOS!$D5556,nESPEC,DATOS!$E5556,nASIG,DATOS!$I5556,nEVAL,"OR")=0))</f>
      </c>
      <c r="I5556">
        <f>IF(DATOS!$I5556="","",IFERROR(VLOOKUP(DATOS!$I5556,CONFIG_ASIGNATURAS!$B$2:$J$91,9,FALSE()),""))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IF(DATOS!$A5557="",0,IF(CONFIG_METADATA!$B$4&lt;&gt;"OR+EX",--(DATOS!$G5557=CONFIG_METADATA!$B$4),IF(DATOS!$G5557="EX",1,IF(DATOS!$G5557="OR",--(COUNTIFS(nNIA,DATOS!$A5557,nCURSO,DATOS!$D5557,nESPEC,DATOS!$E5557,nASIG,DATOS!$I5557,nEVAL,"EX")=0),0))))</f>
      </c>
      <c r="H5557">
        <f>IF(DATOS!$G5557&lt;&gt;"EX",0,--(COUNTIFS(nNIA,DATOS!$A5557,nCURSO,DATOS!$D5557,nESPEC,DATOS!$E5557,nASIG,DATOS!$I5557,nEVAL,"OR")=0))</f>
      </c>
      <c r="I5557">
        <f>IF(DATOS!$I5557="","",IFERROR(VLOOKUP(DATOS!$I5557,CONFIG_ASIGNATURAS!$B$2:$J$91,9,FALSE()),""))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IF(DATOS!$A5558="",0,IF(CONFIG_METADATA!$B$4&lt;&gt;"OR+EX",--(DATOS!$G5558=CONFIG_METADATA!$B$4),IF(DATOS!$G5558="EX",1,IF(DATOS!$G5558="OR",--(COUNTIFS(nNIA,DATOS!$A5558,nCURSO,DATOS!$D5558,nESPEC,DATOS!$E5558,nASIG,DATOS!$I5558,nEVAL,"EX")=0),0))))</f>
      </c>
      <c r="H5558">
        <f>IF(DATOS!$G5558&lt;&gt;"EX",0,--(COUNTIFS(nNIA,DATOS!$A5558,nCURSO,DATOS!$D5558,nESPEC,DATOS!$E5558,nASIG,DATOS!$I5558,nEVAL,"OR")=0))</f>
      </c>
      <c r="I5558">
        <f>IF(DATOS!$I5558="","",IFERROR(VLOOKUP(DATOS!$I5558,CONFIG_ASIGNATURAS!$B$2:$J$91,9,FALSE()),""))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IF(DATOS!$A5559="",0,IF(CONFIG_METADATA!$B$4&lt;&gt;"OR+EX",--(DATOS!$G5559=CONFIG_METADATA!$B$4),IF(DATOS!$G5559="EX",1,IF(DATOS!$G5559="OR",--(COUNTIFS(nNIA,DATOS!$A5559,nCURSO,DATOS!$D5559,nESPEC,DATOS!$E5559,nASIG,DATOS!$I5559,nEVAL,"EX")=0),0))))</f>
      </c>
      <c r="H5559">
        <f>IF(DATOS!$G5559&lt;&gt;"EX",0,--(COUNTIFS(nNIA,DATOS!$A5559,nCURSO,DATOS!$D5559,nESPEC,DATOS!$E5559,nASIG,DATOS!$I5559,nEVAL,"OR")=0))</f>
      </c>
      <c r="I5559">
        <f>IF(DATOS!$I5559="","",IFERROR(VLOOKUP(DATOS!$I5559,CONFIG_ASIGNATURAS!$B$2:$J$91,9,FALSE()),""))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IF(DATOS!$A5560="",0,IF(CONFIG_METADATA!$B$4&lt;&gt;"OR+EX",--(DATOS!$G5560=CONFIG_METADATA!$B$4),IF(DATOS!$G5560="EX",1,IF(DATOS!$G5560="OR",--(COUNTIFS(nNIA,DATOS!$A5560,nCURSO,DATOS!$D5560,nESPEC,DATOS!$E5560,nASIG,DATOS!$I5560,nEVAL,"EX")=0),0))))</f>
      </c>
      <c r="H5560">
        <f>IF(DATOS!$G5560&lt;&gt;"EX",0,--(COUNTIFS(nNIA,DATOS!$A5560,nCURSO,DATOS!$D5560,nESPEC,DATOS!$E5560,nASIG,DATOS!$I5560,nEVAL,"OR")=0))</f>
      </c>
      <c r="I5560">
        <f>IF(DATOS!$I5560="","",IFERROR(VLOOKUP(DATOS!$I5560,CONFIG_ASIGNATURAS!$B$2:$J$91,9,FALSE()),""))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IF(DATOS!$A5561="",0,IF(CONFIG_METADATA!$B$4&lt;&gt;"OR+EX",--(DATOS!$G5561=CONFIG_METADATA!$B$4),IF(DATOS!$G5561="EX",1,IF(DATOS!$G5561="OR",--(COUNTIFS(nNIA,DATOS!$A5561,nCURSO,DATOS!$D5561,nESPEC,DATOS!$E5561,nASIG,DATOS!$I5561,nEVAL,"EX")=0),0))))</f>
      </c>
      <c r="H5561">
        <f>IF(DATOS!$G5561&lt;&gt;"EX",0,--(COUNTIFS(nNIA,DATOS!$A5561,nCURSO,DATOS!$D5561,nESPEC,DATOS!$E5561,nASIG,DATOS!$I5561,nEVAL,"OR")=0))</f>
      </c>
      <c r="I5561">
        <f>IF(DATOS!$I5561="","",IFERROR(VLOOKUP(DATOS!$I5561,CONFIG_ASIGNATURAS!$B$2:$J$91,9,FALSE()),""))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IF(DATOS!$A5562="",0,IF(CONFIG_METADATA!$B$4&lt;&gt;"OR+EX",--(DATOS!$G5562=CONFIG_METADATA!$B$4),IF(DATOS!$G5562="EX",1,IF(DATOS!$G5562="OR",--(COUNTIFS(nNIA,DATOS!$A5562,nCURSO,DATOS!$D5562,nESPEC,DATOS!$E5562,nASIG,DATOS!$I5562,nEVAL,"EX")=0),0))))</f>
      </c>
      <c r="H5562">
        <f>IF(DATOS!$G5562&lt;&gt;"EX",0,--(COUNTIFS(nNIA,DATOS!$A5562,nCURSO,DATOS!$D5562,nESPEC,DATOS!$E5562,nASIG,DATOS!$I5562,nEVAL,"OR")=0))</f>
      </c>
      <c r="I5562">
        <f>IF(DATOS!$I5562="","",IFERROR(VLOOKUP(DATOS!$I5562,CONFIG_ASIGNATURAS!$B$2:$J$91,9,FALSE()),""))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IF(DATOS!$A5563="",0,IF(CONFIG_METADATA!$B$4&lt;&gt;"OR+EX",--(DATOS!$G5563=CONFIG_METADATA!$B$4),IF(DATOS!$G5563="EX",1,IF(DATOS!$G5563="OR",--(COUNTIFS(nNIA,DATOS!$A5563,nCURSO,DATOS!$D5563,nESPEC,DATOS!$E5563,nASIG,DATOS!$I5563,nEVAL,"EX")=0),0))))</f>
      </c>
      <c r="H5563">
        <f>IF(DATOS!$G5563&lt;&gt;"EX",0,--(COUNTIFS(nNIA,DATOS!$A5563,nCURSO,DATOS!$D5563,nESPEC,DATOS!$E5563,nASIG,DATOS!$I5563,nEVAL,"OR")=0))</f>
      </c>
      <c r="I5563">
        <f>IF(DATOS!$I5563="","",IFERROR(VLOOKUP(DATOS!$I5563,CONFIG_ASIGNATURAS!$B$2:$J$91,9,FALSE()),""))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IF(DATOS!$A5564="",0,IF(CONFIG_METADATA!$B$4&lt;&gt;"OR+EX",--(DATOS!$G5564=CONFIG_METADATA!$B$4),IF(DATOS!$G5564="EX",1,IF(DATOS!$G5564="OR",--(COUNTIFS(nNIA,DATOS!$A5564,nCURSO,DATOS!$D5564,nESPEC,DATOS!$E5564,nASIG,DATOS!$I5564,nEVAL,"EX")=0),0))))</f>
      </c>
      <c r="H5564">
        <f>IF(DATOS!$G5564&lt;&gt;"EX",0,--(COUNTIFS(nNIA,DATOS!$A5564,nCURSO,DATOS!$D5564,nESPEC,DATOS!$E5564,nASIG,DATOS!$I5564,nEVAL,"OR")=0))</f>
      </c>
      <c r="I5564">
        <f>IF(DATOS!$I5564="","",IFERROR(VLOOKUP(DATOS!$I5564,CONFIG_ASIGNATURAS!$B$2:$J$91,9,FALSE()),""))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IF(DATOS!$A5565="",0,IF(CONFIG_METADATA!$B$4&lt;&gt;"OR+EX",--(DATOS!$G5565=CONFIG_METADATA!$B$4),IF(DATOS!$G5565="EX",1,IF(DATOS!$G5565="OR",--(COUNTIFS(nNIA,DATOS!$A5565,nCURSO,DATOS!$D5565,nESPEC,DATOS!$E5565,nASIG,DATOS!$I5565,nEVAL,"EX")=0),0))))</f>
      </c>
      <c r="H5565">
        <f>IF(DATOS!$G5565&lt;&gt;"EX",0,--(COUNTIFS(nNIA,DATOS!$A5565,nCURSO,DATOS!$D5565,nESPEC,DATOS!$E5565,nASIG,DATOS!$I5565,nEVAL,"OR")=0))</f>
      </c>
      <c r="I5565">
        <f>IF(DATOS!$I5565="","",IFERROR(VLOOKUP(DATOS!$I5565,CONFIG_ASIGNATURAS!$B$2:$J$91,9,FALSE()),""))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IF(DATOS!$A5566="",0,IF(CONFIG_METADATA!$B$4&lt;&gt;"OR+EX",--(DATOS!$G5566=CONFIG_METADATA!$B$4),IF(DATOS!$G5566="EX",1,IF(DATOS!$G5566="OR",--(COUNTIFS(nNIA,DATOS!$A5566,nCURSO,DATOS!$D5566,nESPEC,DATOS!$E5566,nASIG,DATOS!$I5566,nEVAL,"EX")=0),0))))</f>
      </c>
      <c r="H5566">
        <f>IF(DATOS!$G5566&lt;&gt;"EX",0,--(COUNTIFS(nNIA,DATOS!$A5566,nCURSO,DATOS!$D5566,nESPEC,DATOS!$E5566,nASIG,DATOS!$I5566,nEVAL,"OR")=0))</f>
      </c>
      <c r="I5566">
        <f>IF(DATOS!$I5566="","",IFERROR(VLOOKUP(DATOS!$I5566,CONFIG_ASIGNATURAS!$B$2:$J$91,9,FALSE()),""))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IF(DATOS!$A5567="",0,IF(CONFIG_METADATA!$B$4&lt;&gt;"OR+EX",--(DATOS!$G5567=CONFIG_METADATA!$B$4),IF(DATOS!$G5567="EX",1,IF(DATOS!$G5567="OR",--(COUNTIFS(nNIA,DATOS!$A5567,nCURSO,DATOS!$D5567,nESPEC,DATOS!$E5567,nASIG,DATOS!$I5567,nEVAL,"EX")=0),0))))</f>
      </c>
      <c r="H5567">
        <f>IF(DATOS!$G5567&lt;&gt;"EX",0,--(COUNTIFS(nNIA,DATOS!$A5567,nCURSO,DATOS!$D5567,nESPEC,DATOS!$E5567,nASIG,DATOS!$I5567,nEVAL,"OR")=0))</f>
      </c>
      <c r="I5567">
        <f>IF(DATOS!$I5567="","",IFERROR(VLOOKUP(DATOS!$I5567,CONFIG_ASIGNATURAS!$B$2:$J$91,9,FALSE()),""))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IF(DATOS!$A5568="",0,IF(CONFIG_METADATA!$B$4&lt;&gt;"OR+EX",--(DATOS!$G5568=CONFIG_METADATA!$B$4),IF(DATOS!$G5568="EX",1,IF(DATOS!$G5568="OR",--(COUNTIFS(nNIA,DATOS!$A5568,nCURSO,DATOS!$D5568,nESPEC,DATOS!$E5568,nASIG,DATOS!$I5568,nEVAL,"EX")=0),0))))</f>
      </c>
      <c r="H5568">
        <f>IF(DATOS!$G5568&lt;&gt;"EX",0,--(COUNTIFS(nNIA,DATOS!$A5568,nCURSO,DATOS!$D5568,nESPEC,DATOS!$E5568,nASIG,DATOS!$I5568,nEVAL,"OR")=0))</f>
      </c>
      <c r="I5568">
        <f>IF(DATOS!$I5568="","",IFERROR(VLOOKUP(DATOS!$I5568,CONFIG_ASIGNATURAS!$B$2:$J$91,9,FALSE()),""))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IF(DATOS!$A5569="",0,IF(CONFIG_METADATA!$B$4&lt;&gt;"OR+EX",--(DATOS!$G5569=CONFIG_METADATA!$B$4),IF(DATOS!$G5569="EX",1,IF(DATOS!$G5569="OR",--(COUNTIFS(nNIA,DATOS!$A5569,nCURSO,DATOS!$D5569,nESPEC,DATOS!$E5569,nASIG,DATOS!$I5569,nEVAL,"EX")=0),0))))</f>
      </c>
      <c r="H5569">
        <f>IF(DATOS!$G5569&lt;&gt;"EX",0,--(COUNTIFS(nNIA,DATOS!$A5569,nCURSO,DATOS!$D5569,nESPEC,DATOS!$E5569,nASIG,DATOS!$I5569,nEVAL,"OR")=0))</f>
      </c>
      <c r="I5569">
        <f>IF(DATOS!$I5569="","",IFERROR(VLOOKUP(DATOS!$I5569,CONFIG_ASIGNATURAS!$B$2:$J$91,9,FALSE()),""))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IF(DATOS!$A5570="",0,IF(CONFIG_METADATA!$B$4&lt;&gt;"OR+EX",--(DATOS!$G5570=CONFIG_METADATA!$B$4),IF(DATOS!$G5570="EX",1,IF(DATOS!$G5570="OR",--(COUNTIFS(nNIA,DATOS!$A5570,nCURSO,DATOS!$D5570,nESPEC,DATOS!$E5570,nASIG,DATOS!$I5570,nEVAL,"EX")=0),0))))</f>
      </c>
      <c r="H5570">
        <f>IF(DATOS!$G5570&lt;&gt;"EX",0,--(COUNTIFS(nNIA,DATOS!$A5570,nCURSO,DATOS!$D5570,nESPEC,DATOS!$E5570,nASIG,DATOS!$I5570,nEVAL,"OR")=0))</f>
      </c>
      <c r="I5570">
        <f>IF(DATOS!$I5570="","",IFERROR(VLOOKUP(DATOS!$I5570,CONFIG_ASIGNATURAS!$B$2:$J$91,9,FALSE()),""))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IF(DATOS!$A5571="",0,IF(CONFIG_METADATA!$B$4&lt;&gt;"OR+EX",--(DATOS!$G5571=CONFIG_METADATA!$B$4),IF(DATOS!$G5571="EX",1,IF(DATOS!$G5571="OR",--(COUNTIFS(nNIA,DATOS!$A5571,nCURSO,DATOS!$D5571,nESPEC,DATOS!$E5571,nASIG,DATOS!$I5571,nEVAL,"EX")=0),0))))</f>
      </c>
      <c r="H5571">
        <f>IF(DATOS!$G5571&lt;&gt;"EX",0,--(COUNTIFS(nNIA,DATOS!$A5571,nCURSO,DATOS!$D5571,nESPEC,DATOS!$E5571,nASIG,DATOS!$I5571,nEVAL,"OR")=0))</f>
      </c>
      <c r="I5571">
        <f>IF(DATOS!$I5571="","",IFERROR(VLOOKUP(DATOS!$I5571,CONFIG_ASIGNATURAS!$B$2:$J$91,9,FALSE()),""))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IF(DATOS!$A5572="",0,IF(CONFIG_METADATA!$B$4&lt;&gt;"OR+EX",--(DATOS!$G5572=CONFIG_METADATA!$B$4),IF(DATOS!$G5572="EX",1,IF(DATOS!$G5572="OR",--(COUNTIFS(nNIA,DATOS!$A5572,nCURSO,DATOS!$D5572,nESPEC,DATOS!$E5572,nASIG,DATOS!$I5572,nEVAL,"EX")=0),0))))</f>
      </c>
      <c r="H5572">
        <f>IF(DATOS!$G5572&lt;&gt;"EX",0,--(COUNTIFS(nNIA,DATOS!$A5572,nCURSO,DATOS!$D5572,nESPEC,DATOS!$E5572,nASIG,DATOS!$I5572,nEVAL,"OR")=0))</f>
      </c>
      <c r="I5572">
        <f>IF(DATOS!$I5572="","",IFERROR(VLOOKUP(DATOS!$I5572,CONFIG_ASIGNATURAS!$B$2:$J$91,9,FALSE()),""))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IF(DATOS!$A5573="",0,IF(CONFIG_METADATA!$B$4&lt;&gt;"OR+EX",--(DATOS!$G5573=CONFIG_METADATA!$B$4),IF(DATOS!$G5573="EX",1,IF(DATOS!$G5573="OR",--(COUNTIFS(nNIA,DATOS!$A5573,nCURSO,DATOS!$D5573,nESPEC,DATOS!$E5573,nASIG,DATOS!$I5573,nEVAL,"EX")=0),0))))</f>
      </c>
      <c r="H5573">
        <f>IF(DATOS!$G5573&lt;&gt;"EX",0,--(COUNTIFS(nNIA,DATOS!$A5573,nCURSO,DATOS!$D5573,nESPEC,DATOS!$E5573,nASIG,DATOS!$I5573,nEVAL,"OR")=0))</f>
      </c>
      <c r="I5573">
        <f>IF(DATOS!$I5573="","",IFERROR(VLOOKUP(DATOS!$I5573,CONFIG_ASIGNATURAS!$B$2:$J$91,9,FALSE()),""))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IF(DATOS!$A5574="",0,IF(CONFIG_METADATA!$B$4&lt;&gt;"OR+EX",--(DATOS!$G5574=CONFIG_METADATA!$B$4),IF(DATOS!$G5574="EX",1,IF(DATOS!$G5574="OR",--(COUNTIFS(nNIA,DATOS!$A5574,nCURSO,DATOS!$D5574,nESPEC,DATOS!$E5574,nASIG,DATOS!$I5574,nEVAL,"EX")=0),0))))</f>
      </c>
      <c r="H5574">
        <f>IF(DATOS!$G5574&lt;&gt;"EX",0,--(COUNTIFS(nNIA,DATOS!$A5574,nCURSO,DATOS!$D5574,nESPEC,DATOS!$E5574,nASIG,DATOS!$I5574,nEVAL,"OR")=0))</f>
      </c>
      <c r="I5574">
        <f>IF(DATOS!$I5574="","",IFERROR(VLOOKUP(DATOS!$I5574,CONFIG_ASIGNATURAS!$B$2:$J$91,9,FALSE()),""))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IF(DATOS!$A5575="",0,IF(CONFIG_METADATA!$B$4&lt;&gt;"OR+EX",--(DATOS!$G5575=CONFIG_METADATA!$B$4),IF(DATOS!$G5575="EX",1,IF(DATOS!$G5575="OR",--(COUNTIFS(nNIA,DATOS!$A5575,nCURSO,DATOS!$D5575,nESPEC,DATOS!$E5575,nASIG,DATOS!$I5575,nEVAL,"EX")=0),0))))</f>
      </c>
      <c r="H5575">
        <f>IF(DATOS!$G5575&lt;&gt;"EX",0,--(COUNTIFS(nNIA,DATOS!$A5575,nCURSO,DATOS!$D5575,nESPEC,DATOS!$E5575,nASIG,DATOS!$I5575,nEVAL,"OR")=0))</f>
      </c>
      <c r="I5575">
        <f>IF(DATOS!$I5575="","",IFERROR(VLOOKUP(DATOS!$I5575,CONFIG_ASIGNATURAS!$B$2:$J$91,9,FALSE()),""))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IF(DATOS!$A5576="",0,IF(CONFIG_METADATA!$B$4&lt;&gt;"OR+EX",--(DATOS!$G5576=CONFIG_METADATA!$B$4),IF(DATOS!$G5576="EX",1,IF(DATOS!$G5576="OR",--(COUNTIFS(nNIA,DATOS!$A5576,nCURSO,DATOS!$D5576,nESPEC,DATOS!$E5576,nASIG,DATOS!$I5576,nEVAL,"EX")=0),0))))</f>
      </c>
      <c r="H5576">
        <f>IF(DATOS!$G5576&lt;&gt;"EX",0,--(COUNTIFS(nNIA,DATOS!$A5576,nCURSO,DATOS!$D5576,nESPEC,DATOS!$E5576,nASIG,DATOS!$I5576,nEVAL,"OR")=0))</f>
      </c>
      <c r="I5576">
        <f>IF(DATOS!$I5576="","",IFERROR(VLOOKUP(DATOS!$I5576,CONFIG_ASIGNATURAS!$B$2:$J$91,9,FALSE()),""))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IF(DATOS!$A5577="",0,IF(CONFIG_METADATA!$B$4&lt;&gt;"OR+EX",--(DATOS!$G5577=CONFIG_METADATA!$B$4),IF(DATOS!$G5577="EX",1,IF(DATOS!$G5577="OR",--(COUNTIFS(nNIA,DATOS!$A5577,nCURSO,DATOS!$D5577,nESPEC,DATOS!$E5577,nASIG,DATOS!$I5577,nEVAL,"EX")=0),0))))</f>
      </c>
      <c r="H5577">
        <f>IF(DATOS!$G5577&lt;&gt;"EX",0,--(COUNTIFS(nNIA,DATOS!$A5577,nCURSO,DATOS!$D5577,nESPEC,DATOS!$E5577,nASIG,DATOS!$I5577,nEVAL,"OR")=0))</f>
      </c>
      <c r="I5577">
        <f>IF(DATOS!$I5577="","",IFERROR(VLOOKUP(DATOS!$I5577,CONFIG_ASIGNATURAS!$B$2:$J$91,9,FALSE()),""))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IF(DATOS!$A5578="",0,IF(CONFIG_METADATA!$B$4&lt;&gt;"OR+EX",--(DATOS!$G5578=CONFIG_METADATA!$B$4),IF(DATOS!$G5578="EX",1,IF(DATOS!$G5578="OR",--(COUNTIFS(nNIA,DATOS!$A5578,nCURSO,DATOS!$D5578,nESPEC,DATOS!$E5578,nASIG,DATOS!$I5578,nEVAL,"EX")=0),0))))</f>
      </c>
      <c r="H5578">
        <f>IF(DATOS!$G5578&lt;&gt;"EX",0,--(COUNTIFS(nNIA,DATOS!$A5578,nCURSO,DATOS!$D5578,nESPEC,DATOS!$E5578,nASIG,DATOS!$I5578,nEVAL,"OR")=0))</f>
      </c>
      <c r="I5578">
        <f>IF(DATOS!$I5578="","",IFERROR(VLOOKUP(DATOS!$I5578,CONFIG_ASIGNATURAS!$B$2:$J$91,9,FALSE()),""))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IF(DATOS!$A5579="",0,IF(CONFIG_METADATA!$B$4&lt;&gt;"OR+EX",--(DATOS!$G5579=CONFIG_METADATA!$B$4),IF(DATOS!$G5579="EX",1,IF(DATOS!$G5579="OR",--(COUNTIFS(nNIA,DATOS!$A5579,nCURSO,DATOS!$D5579,nESPEC,DATOS!$E5579,nASIG,DATOS!$I5579,nEVAL,"EX")=0),0))))</f>
      </c>
      <c r="H5579">
        <f>IF(DATOS!$G5579&lt;&gt;"EX",0,--(COUNTIFS(nNIA,DATOS!$A5579,nCURSO,DATOS!$D5579,nESPEC,DATOS!$E5579,nASIG,DATOS!$I5579,nEVAL,"OR")=0))</f>
      </c>
      <c r="I5579">
        <f>IF(DATOS!$I5579="","",IFERROR(VLOOKUP(DATOS!$I5579,CONFIG_ASIGNATURAS!$B$2:$J$91,9,FALSE()),""))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IF(DATOS!$A5580="",0,IF(CONFIG_METADATA!$B$4&lt;&gt;"OR+EX",--(DATOS!$G5580=CONFIG_METADATA!$B$4),IF(DATOS!$G5580="EX",1,IF(DATOS!$G5580="OR",--(COUNTIFS(nNIA,DATOS!$A5580,nCURSO,DATOS!$D5580,nESPEC,DATOS!$E5580,nASIG,DATOS!$I5580,nEVAL,"EX")=0),0))))</f>
      </c>
      <c r="H5580">
        <f>IF(DATOS!$G5580&lt;&gt;"EX",0,--(COUNTIFS(nNIA,DATOS!$A5580,nCURSO,DATOS!$D5580,nESPEC,DATOS!$E5580,nASIG,DATOS!$I5580,nEVAL,"OR")=0))</f>
      </c>
      <c r="I5580">
        <f>IF(DATOS!$I5580="","",IFERROR(VLOOKUP(DATOS!$I5580,CONFIG_ASIGNATURAS!$B$2:$J$91,9,FALSE()),""))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IF(DATOS!$A5581="",0,IF(CONFIG_METADATA!$B$4&lt;&gt;"OR+EX",--(DATOS!$G5581=CONFIG_METADATA!$B$4),IF(DATOS!$G5581="EX",1,IF(DATOS!$G5581="OR",--(COUNTIFS(nNIA,DATOS!$A5581,nCURSO,DATOS!$D5581,nESPEC,DATOS!$E5581,nASIG,DATOS!$I5581,nEVAL,"EX")=0),0))))</f>
      </c>
      <c r="H5581">
        <f>IF(DATOS!$G5581&lt;&gt;"EX",0,--(COUNTIFS(nNIA,DATOS!$A5581,nCURSO,DATOS!$D5581,nESPEC,DATOS!$E5581,nASIG,DATOS!$I5581,nEVAL,"OR")=0))</f>
      </c>
      <c r="I5581">
        <f>IF(DATOS!$I5581="","",IFERROR(VLOOKUP(DATOS!$I5581,CONFIG_ASIGNATURAS!$B$2:$J$91,9,FALSE()),""))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IF(DATOS!$A5582="",0,IF(CONFIG_METADATA!$B$4&lt;&gt;"OR+EX",--(DATOS!$G5582=CONFIG_METADATA!$B$4),IF(DATOS!$G5582="EX",1,IF(DATOS!$G5582="OR",--(COUNTIFS(nNIA,DATOS!$A5582,nCURSO,DATOS!$D5582,nESPEC,DATOS!$E5582,nASIG,DATOS!$I5582,nEVAL,"EX")=0),0))))</f>
      </c>
      <c r="H5582">
        <f>IF(DATOS!$G5582&lt;&gt;"EX",0,--(COUNTIFS(nNIA,DATOS!$A5582,nCURSO,DATOS!$D5582,nESPEC,DATOS!$E5582,nASIG,DATOS!$I5582,nEVAL,"OR")=0))</f>
      </c>
      <c r="I5582">
        <f>IF(DATOS!$I5582="","",IFERROR(VLOOKUP(DATOS!$I5582,CONFIG_ASIGNATURAS!$B$2:$J$91,9,FALSE()),""))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IF(DATOS!$A5583="",0,IF(CONFIG_METADATA!$B$4&lt;&gt;"OR+EX",--(DATOS!$G5583=CONFIG_METADATA!$B$4),IF(DATOS!$G5583="EX",1,IF(DATOS!$G5583="OR",--(COUNTIFS(nNIA,DATOS!$A5583,nCURSO,DATOS!$D5583,nESPEC,DATOS!$E5583,nASIG,DATOS!$I5583,nEVAL,"EX")=0),0))))</f>
      </c>
      <c r="H5583">
        <f>IF(DATOS!$G5583&lt;&gt;"EX",0,--(COUNTIFS(nNIA,DATOS!$A5583,nCURSO,DATOS!$D5583,nESPEC,DATOS!$E5583,nASIG,DATOS!$I5583,nEVAL,"OR")=0))</f>
      </c>
      <c r="I5583">
        <f>IF(DATOS!$I5583="","",IFERROR(VLOOKUP(DATOS!$I5583,CONFIG_ASIGNATURAS!$B$2:$J$91,9,FALSE()),""))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IF(DATOS!$A5584="",0,IF(CONFIG_METADATA!$B$4&lt;&gt;"OR+EX",--(DATOS!$G5584=CONFIG_METADATA!$B$4),IF(DATOS!$G5584="EX",1,IF(DATOS!$G5584="OR",--(COUNTIFS(nNIA,DATOS!$A5584,nCURSO,DATOS!$D5584,nESPEC,DATOS!$E5584,nASIG,DATOS!$I5584,nEVAL,"EX")=0),0))))</f>
      </c>
      <c r="H5584">
        <f>IF(DATOS!$G5584&lt;&gt;"EX",0,--(COUNTIFS(nNIA,DATOS!$A5584,nCURSO,DATOS!$D5584,nESPEC,DATOS!$E5584,nASIG,DATOS!$I5584,nEVAL,"OR")=0))</f>
      </c>
      <c r="I5584">
        <f>IF(DATOS!$I5584="","",IFERROR(VLOOKUP(DATOS!$I5584,CONFIG_ASIGNATURAS!$B$2:$J$91,9,FALSE()),""))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IF(DATOS!$A5585="",0,IF(CONFIG_METADATA!$B$4&lt;&gt;"OR+EX",--(DATOS!$G5585=CONFIG_METADATA!$B$4),IF(DATOS!$G5585="EX",1,IF(DATOS!$G5585="OR",--(COUNTIFS(nNIA,DATOS!$A5585,nCURSO,DATOS!$D5585,nESPEC,DATOS!$E5585,nASIG,DATOS!$I5585,nEVAL,"EX")=0),0))))</f>
      </c>
      <c r="H5585">
        <f>IF(DATOS!$G5585&lt;&gt;"EX",0,--(COUNTIFS(nNIA,DATOS!$A5585,nCURSO,DATOS!$D5585,nESPEC,DATOS!$E5585,nASIG,DATOS!$I5585,nEVAL,"OR")=0))</f>
      </c>
      <c r="I5585">
        <f>IF(DATOS!$I5585="","",IFERROR(VLOOKUP(DATOS!$I5585,CONFIG_ASIGNATURAS!$B$2:$J$91,9,FALSE()),""))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IF(DATOS!$A5586="",0,IF(CONFIG_METADATA!$B$4&lt;&gt;"OR+EX",--(DATOS!$G5586=CONFIG_METADATA!$B$4),IF(DATOS!$G5586="EX",1,IF(DATOS!$G5586="OR",--(COUNTIFS(nNIA,DATOS!$A5586,nCURSO,DATOS!$D5586,nESPEC,DATOS!$E5586,nASIG,DATOS!$I5586,nEVAL,"EX")=0),0))))</f>
      </c>
      <c r="H5586">
        <f>IF(DATOS!$G5586&lt;&gt;"EX",0,--(COUNTIFS(nNIA,DATOS!$A5586,nCURSO,DATOS!$D5586,nESPEC,DATOS!$E5586,nASIG,DATOS!$I5586,nEVAL,"OR")=0))</f>
      </c>
      <c r="I5586">
        <f>IF(DATOS!$I5586="","",IFERROR(VLOOKUP(DATOS!$I5586,CONFIG_ASIGNATURAS!$B$2:$J$91,9,FALSE()),""))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IF(DATOS!$A5587="",0,IF(CONFIG_METADATA!$B$4&lt;&gt;"OR+EX",--(DATOS!$G5587=CONFIG_METADATA!$B$4),IF(DATOS!$G5587="EX",1,IF(DATOS!$G5587="OR",--(COUNTIFS(nNIA,DATOS!$A5587,nCURSO,DATOS!$D5587,nESPEC,DATOS!$E5587,nASIG,DATOS!$I5587,nEVAL,"EX")=0),0))))</f>
      </c>
      <c r="H5587">
        <f>IF(DATOS!$G5587&lt;&gt;"EX",0,--(COUNTIFS(nNIA,DATOS!$A5587,nCURSO,DATOS!$D5587,nESPEC,DATOS!$E5587,nASIG,DATOS!$I5587,nEVAL,"OR")=0))</f>
      </c>
      <c r="I5587">
        <f>IF(DATOS!$I5587="","",IFERROR(VLOOKUP(DATOS!$I5587,CONFIG_ASIGNATURAS!$B$2:$J$91,9,FALSE()),""))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IF(DATOS!$A5588="",0,IF(CONFIG_METADATA!$B$4&lt;&gt;"OR+EX",--(DATOS!$G5588=CONFIG_METADATA!$B$4),IF(DATOS!$G5588="EX",1,IF(DATOS!$G5588="OR",--(COUNTIFS(nNIA,DATOS!$A5588,nCURSO,DATOS!$D5588,nESPEC,DATOS!$E5588,nASIG,DATOS!$I5588,nEVAL,"EX")=0),0))))</f>
      </c>
      <c r="H5588">
        <f>IF(DATOS!$G5588&lt;&gt;"EX",0,--(COUNTIFS(nNIA,DATOS!$A5588,nCURSO,DATOS!$D5588,nESPEC,DATOS!$E5588,nASIG,DATOS!$I5588,nEVAL,"OR")=0))</f>
      </c>
      <c r="I5588">
        <f>IF(DATOS!$I5588="","",IFERROR(VLOOKUP(DATOS!$I5588,CONFIG_ASIGNATURAS!$B$2:$J$91,9,FALSE()),""))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IF(DATOS!$A5589="",0,IF(CONFIG_METADATA!$B$4&lt;&gt;"OR+EX",--(DATOS!$G5589=CONFIG_METADATA!$B$4),IF(DATOS!$G5589="EX",1,IF(DATOS!$G5589="OR",--(COUNTIFS(nNIA,DATOS!$A5589,nCURSO,DATOS!$D5589,nESPEC,DATOS!$E5589,nASIG,DATOS!$I5589,nEVAL,"EX")=0),0))))</f>
      </c>
      <c r="H5589">
        <f>IF(DATOS!$G5589&lt;&gt;"EX",0,--(COUNTIFS(nNIA,DATOS!$A5589,nCURSO,DATOS!$D5589,nESPEC,DATOS!$E5589,nASIG,DATOS!$I5589,nEVAL,"OR")=0))</f>
      </c>
      <c r="I5589">
        <f>IF(DATOS!$I5589="","",IFERROR(VLOOKUP(DATOS!$I5589,CONFIG_ASIGNATURAS!$B$2:$J$91,9,FALSE()),""))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IF(DATOS!$A5590="",0,IF(CONFIG_METADATA!$B$4&lt;&gt;"OR+EX",--(DATOS!$G5590=CONFIG_METADATA!$B$4),IF(DATOS!$G5590="EX",1,IF(DATOS!$G5590="OR",--(COUNTIFS(nNIA,DATOS!$A5590,nCURSO,DATOS!$D5590,nESPEC,DATOS!$E5590,nASIG,DATOS!$I5590,nEVAL,"EX")=0),0))))</f>
      </c>
      <c r="H5590">
        <f>IF(DATOS!$G5590&lt;&gt;"EX",0,--(COUNTIFS(nNIA,DATOS!$A5590,nCURSO,DATOS!$D5590,nESPEC,DATOS!$E5590,nASIG,DATOS!$I5590,nEVAL,"OR")=0))</f>
      </c>
      <c r="I5590">
        <f>IF(DATOS!$I5590="","",IFERROR(VLOOKUP(DATOS!$I5590,CONFIG_ASIGNATURAS!$B$2:$J$91,9,FALSE()),""))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IF(DATOS!$A5591="",0,IF(CONFIG_METADATA!$B$4&lt;&gt;"OR+EX",--(DATOS!$G5591=CONFIG_METADATA!$B$4),IF(DATOS!$G5591="EX",1,IF(DATOS!$G5591="OR",--(COUNTIFS(nNIA,DATOS!$A5591,nCURSO,DATOS!$D5591,nESPEC,DATOS!$E5591,nASIG,DATOS!$I5591,nEVAL,"EX")=0),0))))</f>
      </c>
      <c r="H5591">
        <f>IF(DATOS!$G5591&lt;&gt;"EX",0,--(COUNTIFS(nNIA,DATOS!$A5591,nCURSO,DATOS!$D5591,nESPEC,DATOS!$E5591,nASIG,DATOS!$I5591,nEVAL,"OR")=0))</f>
      </c>
      <c r="I5591">
        <f>IF(DATOS!$I5591="","",IFERROR(VLOOKUP(DATOS!$I5591,CONFIG_ASIGNATURAS!$B$2:$J$91,9,FALSE()),""))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IF(DATOS!$A5592="",0,IF(CONFIG_METADATA!$B$4&lt;&gt;"OR+EX",--(DATOS!$G5592=CONFIG_METADATA!$B$4),IF(DATOS!$G5592="EX",1,IF(DATOS!$G5592="OR",--(COUNTIFS(nNIA,DATOS!$A5592,nCURSO,DATOS!$D5592,nESPEC,DATOS!$E5592,nASIG,DATOS!$I5592,nEVAL,"EX")=0),0))))</f>
      </c>
      <c r="H5592">
        <f>IF(DATOS!$G5592&lt;&gt;"EX",0,--(COUNTIFS(nNIA,DATOS!$A5592,nCURSO,DATOS!$D5592,nESPEC,DATOS!$E5592,nASIG,DATOS!$I5592,nEVAL,"OR")=0))</f>
      </c>
      <c r="I5592">
        <f>IF(DATOS!$I5592="","",IFERROR(VLOOKUP(DATOS!$I5592,CONFIG_ASIGNATURAS!$B$2:$J$91,9,FALSE()),""))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IF(DATOS!$A5593="",0,IF(CONFIG_METADATA!$B$4&lt;&gt;"OR+EX",--(DATOS!$G5593=CONFIG_METADATA!$B$4),IF(DATOS!$G5593="EX",1,IF(DATOS!$G5593="OR",--(COUNTIFS(nNIA,DATOS!$A5593,nCURSO,DATOS!$D5593,nESPEC,DATOS!$E5593,nASIG,DATOS!$I5593,nEVAL,"EX")=0),0))))</f>
      </c>
      <c r="H5593">
        <f>IF(DATOS!$G5593&lt;&gt;"EX",0,--(COUNTIFS(nNIA,DATOS!$A5593,nCURSO,DATOS!$D5593,nESPEC,DATOS!$E5593,nASIG,DATOS!$I5593,nEVAL,"OR")=0))</f>
      </c>
      <c r="I5593">
        <f>IF(DATOS!$I5593="","",IFERROR(VLOOKUP(DATOS!$I5593,CONFIG_ASIGNATURAS!$B$2:$J$91,9,FALSE()),""))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IF(DATOS!$A5594="",0,IF(CONFIG_METADATA!$B$4&lt;&gt;"OR+EX",--(DATOS!$G5594=CONFIG_METADATA!$B$4),IF(DATOS!$G5594="EX",1,IF(DATOS!$G5594="OR",--(COUNTIFS(nNIA,DATOS!$A5594,nCURSO,DATOS!$D5594,nESPEC,DATOS!$E5594,nASIG,DATOS!$I5594,nEVAL,"EX")=0),0))))</f>
      </c>
      <c r="H5594">
        <f>IF(DATOS!$G5594&lt;&gt;"EX",0,--(COUNTIFS(nNIA,DATOS!$A5594,nCURSO,DATOS!$D5594,nESPEC,DATOS!$E5594,nASIG,DATOS!$I5594,nEVAL,"OR")=0))</f>
      </c>
      <c r="I5594">
        <f>IF(DATOS!$I5594="","",IFERROR(VLOOKUP(DATOS!$I5594,CONFIG_ASIGNATURAS!$B$2:$J$91,9,FALSE()),""))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IF(DATOS!$A5595="",0,IF(CONFIG_METADATA!$B$4&lt;&gt;"OR+EX",--(DATOS!$G5595=CONFIG_METADATA!$B$4),IF(DATOS!$G5595="EX",1,IF(DATOS!$G5595="OR",--(COUNTIFS(nNIA,DATOS!$A5595,nCURSO,DATOS!$D5595,nESPEC,DATOS!$E5595,nASIG,DATOS!$I5595,nEVAL,"EX")=0),0))))</f>
      </c>
      <c r="H5595">
        <f>IF(DATOS!$G5595&lt;&gt;"EX",0,--(COUNTIFS(nNIA,DATOS!$A5595,nCURSO,DATOS!$D5595,nESPEC,DATOS!$E5595,nASIG,DATOS!$I5595,nEVAL,"OR")=0))</f>
      </c>
      <c r="I5595">
        <f>IF(DATOS!$I5595="","",IFERROR(VLOOKUP(DATOS!$I5595,CONFIG_ASIGNATURAS!$B$2:$J$91,9,FALSE()),""))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IF(DATOS!$A5596="",0,IF(CONFIG_METADATA!$B$4&lt;&gt;"OR+EX",--(DATOS!$G5596=CONFIG_METADATA!$B$4),IF(DATOS!$G5596="EX",1,IF(DATOS!$G5596="OR",--(COUNTIFS(nNIA,DATOS!$A5596,nCURSO,DATOS!$D5596,nESPEC,DATOS!$E5596,nASIG,DATOS!$I5596,nEVAL,"EX")=0),0))))</f>
      </c>
      <c r="H5596">
        <f>IF(DATOS!$G5596&lt;&gt;"EX",0,--(COUNTIFS(nNIA,DATOS!$A5596,nCURSO,DATOS!$D5596,nESPEC,DATOS!$E5596,nASIG,DATOS!$I5596,nEVAL,"OR")=0))</f>
      </c>
      <c r="I5596">
        <f>IF(DATOS!$I5596="","",IFERROR(VLOOKUP(DATOS!$I5596,CONFIG_ASIGNATURAS!$B$2:$J$91,9,FALSE()),""))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IF(DATOS!$A5597="",0,IF(CONFIG_METADATA!$B$4&lt;&gt;"OR+EX",--(DATOS!$G5597=CONFIG_METADATA!$B$4),IF(DATOS!$G5597="EX",1,IF(DATOS!$G5597="OR",--(COUNTIFS(nNIA,DATOS!$A5597,nCURSO,DATOS!$D5597,nESPEC,DATOS!$E5597,nASIG,DATOS!$I5597,nEVAL,"EX")=0),0))))</f>
      </c>
      <c r="H5597">
        <f>IF(DATOS!$G5597&lt;&gt;"EX",0,--(COUNTIFS(nNIA,DATOS!$A5597,nCURSO,DATOS!$D5597,nESPEC,DATOS!$E5597,nASIG,DATOS!$I5597,nEVAL,"OR")=0))</f>
      </c>
      <c r="I5597">
        <f>IF(DATOS!$I5597="","",IFERROR(VLOOKUP(DATOS!$I5597,CONFIG_ASIGNATURAS!$B$2:$J$91,9,FALSE()),""))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IF(DATOS!$A5598="",0,IF(CONFIG_METADATA!$B$4&lt;&gt;"OR+EX",--(DATOS!$G5598=CONFIG_METADATA!$B$4),IF(DATOS!$G5598="EX",1,IF(DATOS!$G5598="OR",--(COUNTIFS(nNIA,DATOS!$A5598,nCURSO,DATOS!$D5598,nESPEC,DATOS!$E5598,nASIG,DATOS!$I5598,nEVAL,"EX")=0),0))))</f>
      </c>
      <c r="H5598">
        <f>IF(DATOS!$G5598&lt;&gt;"EX",0,--(COUNTIFS(nNIA,DATOS!$A5598,nCURSO,DATOS!$D5598,nESPEC,DATOS!$E5598,nASIG,DATOS!$I5598,nEVAL,"OR")=0))</f>
      </c>
      <c r="I5598">
        <f>IF(DATOS!$I5598="","",IFERROR(VLOOKUP(DATOS!$I5598,CONFIG_ASIGNATURAS!$B$2:$J$91,9,FALSE()),""))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IF(DATOS!$A5599="",0,IF(CONFIG_METADATA!$B$4&lt;&gt;"OR+EX",--(DATOS!$G5599=CONFIG_METADATA!$B$4),IF(DATOS!$G5599="EX",1,IF(DATOS!$G5599="OR",--(COUNTIFS(nNIA,DATOS!$A5599,nCURSO,DATOS!$D5599,nESPEC,DATOS!$E5599,nASIG,DATOS!$I5599,nEVAL,"EX")=0),0))))</f>
      </c>
      <c r="H5599">
        <f>IF(DATOS!$G5599&lt;&gt;"EX",0,--(COUNTIFS(nNIA,DATOS!$A5599,nCURSO,DATOS!$D5599,nESPEC,DATOS!$E5599,nASIG,DATOS!$I5599,nEVAL,"OR")=0))</f>
      </c>
      <c r="I5599">
        <f>IF(DATOS!$I5599="","",IFERROR(VLOOKUP(DATOS!$I5599,CONFIG_ASIGNATURAS!$B$2:$J$91,9,FALSE()),""))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IF(DATOS!$A5600="",0,IF(CONFIG_METADATA!$B$4&lt;&gt;"OR+EX",--(DATOS!$G5600=CONFIG_METADATA!$B$4),IF(DATOS!$G5600="EX",1,IF(DATOS!$G5600="OR",--(COUNTIFS(nNIA,DATOS!$A5600,nCURSO,DATOS!$D5600,nESPEC,DATOS!$E5600,nASIG,DATOS!$I5600,nEVAL,"EX")=0),0))))</f>
      </c>
      <c r="H5600">
        <f>IF(DATOS!$G5600&lt;&gt;"EX",0,--(COUNTIFS(nNIA,DATOS!$A5600,nCURSO,DATOS!$D5600,nESPEC,DATOS!$E5600,nASIG,DATOS!$I5600,nEVAL,"OR")=0))</f>
      </c>
      <c r="I5600">
        <f>IF(DATOS!$I5600="","",IFERROR(VLOOKUP(DATOS!$I5600,CONFIG_ASIGNATURAS!$B$2:$J$91,9,FALSE()),""))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IF(DATOS!$A5601="",0,IF(CONFIG_METADATA!$B$4&lt;&gt;"OR+EX",--(DATOS!$G5601=CONFIG_METADATA!$B$4),IF(DATOS!$G5601="EX",1,IF(DATOS!$G5601="OR",--(COUNTIFS(nNIA,DATOS!$A5601,nCURSO,DATOS!$D5601,nESPEC,DATOS!$E5601,nASIG,DATOS!$I5601,nEVAL,"EX")=0),0))))</f>
      </c>
      <c r="H5601">
        <f>IF(DATOS!$G5601&lt;&gt;"EX",0,--(COUNTIFS(nNIA,DATOS!$A5601,nCURSO,DATOS!$D5601,nESPEC,DATOS!$E5601,nASIG,DATOS!$I5601,nEVAL,"OR")=0))</f>
      </c>
      <c r="I5601">
        <f>IF(DATOS!$I5601="","",IFERROR(VLOOKUP(DATOS!$I5601,CONFIG_ASIGNATURAS!$B$2:$J$91,9,FALSE()),""))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IF(DATOS!$A5602="",0,IF(CONFIG_METADATA!$B$4&lt;&gt;"OR+EX",--(DATOS!$G5602=CONFIG_METADATA!$B$4),IF(DATOS!$G5602="EX",1,IF(DATOS!$G5602="OR",--(COUNTIFS(nNIA,DATOS!$A5602,nCURSO,DATOS!$D5602,nESPEC,DATOS!$E5602,nASIG,DATOS!$I5602,nEVAL,"EX")=0),0))))</f>
      </c>
      <c r="H5602">
        <f>IF(DATOS!$G5602&lt;&gt;"EX",0,--(COUNTIFS(nNIA,DATOS!$A5602,nCURSO,DATOS!$D5602,nESPEC,DATOS!$E5602,nASIG,DATOS!$I5602,nEVAL,"OR")=0))</f>
      </c>
      <c r="I5602">
        <f>IF(DATOS!$I5602="","",IFERROR(VLOOKUP(DATOS!$I5602,CONFIG_ASIGNATURAS!$B$2:$J$91,9,FALSE()),""))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IF(DATOS!$A5603="",0,IF(CONFIG_METADATA!$B$4&lt;&gt;"OR+EX",--(DATOS!$G5603=CONFIG_METADATA!$B$4),IF(DATOS!$G5603="EX",1,IF(DATOS!$G5603="OR",--(COUNTIFS(nNIA,DATOS!$A5603,nCURSO,DATOS!$D5603,nESPEC,DATOS!$E5603,nASIG,DATOS!$I5603,nEVAL,"EX")=0),0))))</f>
      </c>
      <c r="H5603">
        <f>IF(DATOS!$G5603&lt;&gt;"EX",0,--(COUNTIFS(nNIA,DATOS!$A5603,nCURSO,DATOS!$D5603,nESPEC,DATOS!$E5603,nASIG,DATOS!$I5603,nEVAL,"OR")=0))</f>
      </c>
      <c r="I5603">
        <f>IF(DATOS!$I5603="","",IFERROR(VLOOKUP(DATOS!$I5603,CONFIG_ASIGNATURAS!$B$2:$J$91,9,FALSE()),""))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IF(DATOS!$A5604="",0,IF(CONFIG_METADATA!$B$4&lt;&gt;"OR+EX",--(DATOS!$G5604=CONFIG_METADATA!$B$4),IF(DATOS!$G5604="EX",1,IF(DATOS!$G5604="OR",--(COUNTIFS(nNIA,DATOS!$A5604,nCURSO,DATOS!$D5604,nESPEC,DATOS!$E5604,nASIG,DATOS!$I5604,nEVAL,"EX")=0),0))))</f>
      </c>
      <c r="H5604">
        <f>IF(DATOS!$G5604&lt;&gt;"EX",0,--(COUNTIFS(nNIA,DATOS!$A5604,nCURSO,DATOS!$D5604,nESPEC,DATOS!$E5604,nASIG,DATOS!$I5604,nEVAL,"OR")=0))</f>
      </c>
      <c r="I5604">
        <f>IF(DATOS!$I5604="","",IFERROR(VLOOKUP(DATOS!$I5604,CONFIG_ASIGNATURAS!$B$2:$J$91,9,FALSE()),""))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IF(DATOS!$A5605="",0,IF(CONFIG_METADATA!$B$4&lt;&gt;"OR+EX",--(DATOS!$G5605=CONFIG_METADATA!$B$4),IF(DATOS!$G5605="EX",1,IF(DATOS!$G5605="OR",--(COUNTIFS(nNIA,DATOS!$A5605,nCURSO,DATOS!$D5605,nESPEC,DATOS!$E5605,nASIG,DATOS!$I5605,nEVAL,"EX")=0),0))))</f>
      </c>
      <c r="H5605">
        <f>IF(DATOS!$G5605&lt;&gt;"EX",0,--(COUNTIFS(nNIA,DATOS!$A5605,nCURSO,DATOS!$D5605,nESPEC,DATOS!$E5605,nASIG,DATOS!$I5605,nEVAL,"OR")=0))</f>
      </c>
      <c r="I5605">
        <f>IF(DATOS!$I5605="","",IFERROR(VLOOKUP(DATOS!$I5605,CONFIG_ASIGNATURAS!$B$2:$J$91,9,FALSE()),""))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IF(DATOS!$A5606="",0,IF(CONFIG_METADATA!$B$4&lt;&gt;"OR+EX",--(DATOS!$G5606=CONFIG_METADATA!$B$4),IF(DATOS!$G5606="EX",1,IF(DATOS!$G5606="OR",--(COUNTIFS(nNIA,DATOS!$A5606,nCURSO,DATOS!$D5606,nESPEC,DATOS!$E5606,nASIG,DATOS!$I5606,nEVAL,"EX")=0),0))))</f>
      </c>
      <c r="H5606">
        <f>IF(DATOS!$G5606&lt;&gt;"EX",0,--(COUNTIFS(nNIA,DATOS!$A5606,nCURSO,DATOS!$D5606,nESPEC,DATOS!$E5606,nASIG,DATOS!$I5606,nEVAL,"OR")=0))</f>
      </c>
      <c r="I5606">
        <f>IF(DATOS!$I5606="","",IFERROR(VLOOKUP(DATOS!$I5606,CONFIG_ASIGNATURAS!$B$2:$J$91,9,FALSE()),""))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IF(DATOS!$A5607="",0,IF(CONFIG_METADATA!$B$4&lt;&gt;"OR+EX",--(DATOS!$G5607=CONFIG_METADATA!$B$4),IF(DATOS!$G5607="EX",1,IF(DATOS!$G5607="OR",--(COUNTIFS(nNIA,DATOS!$A5607,nCURSO,DATOS!$D5607,nESPEC,DATOS!$E5607,nASIG,DATOS!$I5607,nEVAL,"EX")=0),0))))</f>
      </c>
      <c r="H5607">
        <f>IF(DATOS!$G5607&lt;&gt;"EX",0,--(COUNTIFS(nNIA,DATOS!$A5607,nCURSO,DATOS!$D5607,nESPEC,DATOS!$E5607,nASIG,DATOS!$I5607,nEVAL,"OR")=0))</f>
      </c>
      <c r="I5607">
        <f>IF(DATOS!$I5607="","",IFERROR(VLOOKUP(DATOS!$I5607,CONFIG_ASIGNATURAS!$B$2:$J$91,9,FALSE()),""))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IF(DATOS!$A5608="",0,IF(CONFIG_METADATA!$B$4&lt;&gt;"OR+EX",--(DATOS!$G5608=CONFIG_METADATA!$B$4),IF(DATOS!$G5608="EX",1,IF(DATOS!$G5608="OR",--(COUNTIFS(nNIA,DATOS!$A5608,nCURSO,DATOS!$D5608,nESPEC,DATOS!$E5608,nASIG,DATOS!$I5608,nEVAL,"EX")=0),0))))</f>
      </c>
      <c r="H5608">
        <f>IF(DATOS!$G5608&lt;&gt;"EX",0,--(COUNTIFS(nNIA,DATOS!$A5608,nCURSO,DATOS!$D5608,nESPEC,DATOS!$E5608,nASIG,DATOS!$I5608,nEVAL,"OR")=0))</f>
      </c>
      <c r="I5608">
        <f>IF(DATOS!$I5608="","",IFERROR(VLOOKUP(DATOS!$I5608,CONFIG_ASIGNATURAS!$B$2:$J$91,9,FALSE()),""))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IF(DATOS!$A5609="",0,IF(CONFIG_METADATA!$B$4&lt;&gt;"OR+EX",--(DATOS!$G5609=CONFIG_METADATA!$B$4),IF(DATOS!$G5609="EX",1,IF(DATOS!$G5609="OR",--(COUNTIFS(nNIA,DATOS!$A5609,nCURSO,DATOS!$D5609,nESPEC,DATOS!$E5609,nASIG,DATOS!$I5609,nEVAL,"EX")=0),0))))</f>
      </c>
      <c r="H5609">
        <f>IF(DATOS!$G5609&lt;&gt;"EX",0,--(COUNTIFS(nNIA,DATOS!$A5609,nCURSO,DATOS!$D5609,nESPEC,DATOS!$E5609,nASIG,DATOS!$I5609,nEVAL,"OR")=0))</f>
      </c>
      <c r="I5609">
        <f>IF(DATOS!$I5609="","",IFERROR(VLOOKUP(DATOS!$I5609,CONFIG_ASIGNATURAS!$B$2:$J$91,9,FALSE()),""))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IF(DATOS!$A5610="",0,IF(CONFIG_METADATA!$B$4&lt;&gt;"OR+EX",--(DATOS!$G5610=CONFIG_METADATA!$B$4),IF(DATOS!$G5610="EX",1,IF(DATOS!$G5610="OR",--(COUNTIFS(nNIA,DATOS!$A5610,nCURSO,DATOS!$D5610,nESPEC,DATOS!$E5610,nASIG,DATOS!$I5610,nEVAL,"EX")=0),0))))</f>
      </c>
      <c r="H5610">
        <f>IF(DATOS!$G5610&lt;&gt;"EX",0,--(COUNTIFS(nNIA,DATOS!$A5610,nCURSO,DATOS!$D5610,nESPEC,DATOS!$E5610,nASIG,DATOS!$I5610,nEVAL,"OR")=0))</f>
      </c>
      <c r="I5610">
        <f>IF(DATOS!$I5610="","",IFERROR(VLOOKUP(DATOS!$I5610,CONFIG_ASIGNATURAS!$B$2:$J$91,9,FALSE()),""))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IF(DATOS!$A5611="",0,IF(CONFIG_METADATA!$B$4&lt;&gt;"OR+EX",--(DATOS!$G5611=CONFIG_METADATA!$B$4),IF(DATOS!$G5611="EX",1,IF(DATOS!$G5611="OR",--(COUNTIFS(nNIA,DATOS!$A5611,nCURSO,DATOS!$D5611,nESPEC,DATOS!$E5611,nASIG,DATOS!$I5611,nEVAL,"EX")=0),0))))</f>
      </c>
      <c r="H5611">
        <f>IF(DATOS!$G5611&lt;&gt;"EX",0,--(COUNTIFS(nNIA,DATOS!$A5611,nCURSO,DATOS!$D5611,nESPEC,DATOS!$E5611,nASIG,DATOS!$I5611,nEVAL,"OR")=0))</f>
      </c>
      <c r="I5611">
        <f>IF(DATOS!$I5611="","",IFERROR(VLOOKUP(DATOS!$I5611,CONFIG_ASIGNATURAS!$B$2:$J$91,9,FALSE()),""))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IF(DATOS!$A5612="",0,IF(CONFIG_METADATA!$B$4&lt;&gt;"OR+EX",--(DATOS!$G5612=CONFIG_METADATA!$B$4),IF(DATOS!$G5612="EX",1,IF(DATOS!$G5612="OR",--(COUNTIFS(nNIA,DATOS!$A5612,nCURSO,DATOS!$D5612,nESPEC,DATOS!$E5612,nASIG,DATOS!$I5612,nEVAL,"EX")=0),0))))</f>
      </c>
      <c r="H5612">
        <f>IF(DATOS!$G5612&lt;&gt;"EX",0,--(COUNTIFS(nNIA,DATOS!$A5612,nCURSO,DATOS!$D5612,nESPEC,DATOS!$E5612,nASIG,DATOS!$I5612,nEVAL,"OR")=0))</f>
      </c>
      <c r="I5612">
        <f>IF(DATOS!$I5612="","",IFERROR(VLOOKUP(DATOS!$I5612,CONFIG_ASIGNATURAS!$B$2:$J$91,9,FALSE()),""))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IF(DATOS!$A5613="",0,IF(CONFIG_METADATA!$B$4&lt;&gt;"OR+EX",--(DATOS!$G5613=CONFIG_METADATA!$B$4),IF(DATOS!$G5613="EX",1,IF(DATOS!$G5613="OR",--(COUNTIFS(nNIA,DATOS!$A5613,nCURSO,DATOS!$D5613,nESPEC,DATOS!$E5613,nASIG,DATOS!$I5613,nEVAL,"EX")=0),0))))</f>
      </c>
      <c r="H5613">
        <f>IF(DATOS!$G5613&lt;&gt;"EX",0,--(COUNTIFS(nNIA,DATOS!$A5613,nCURSO,DATOS!$D5613,nESPEC,DATOS!$E5613,nASIG,DATOS!$I5613,nEVAL,"OR")=0))</f>
      </c>
      <c r="I5613">
        <f>IF(DATOS!$I5613="","",IFERROR(VLOOKUP(DATOS!$I5613,CONFIG_ASIGNATURAS!$B$2:$J$91,9,FALSE()),""))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IF(DATOS!$A5614="",0,IF(CONFIG_METADATA!$B$4&lt;&gt;"OR+EX",--(DATOS!$G5614=CONFIG_METADATA!$B$4),IF(DATOS!$G5614="EX",1,IF(DATOS!$G5614="OR",--(COUNTIFS(nNIA,DATOS!$A5614,nCURSO,DATOS!$D5614,nESPEC,DATOS!$E5614,nASIG,DATOS!$I5614,nEVAL,"EX")=0),0))))</f>
      </c>
      <c r="H5614">
        <f>IF(DATOS!$G5614&lt;&gt;"EX",0,--(COUNTIFS(nNIA,DATOS!$A5614,nCURSO,DATOS!$D5614,nESPEC,DATOS!$E5614,nASIG,DATOS!$I5614,nEVAL,"OR")=0))</f>
      </c>
      <c r="I5614">
        <f>IF(DATOS!$I5614="","",IFERROR(VLOOKUP(DATOS!$I5614,CONFIG_ASIGNATURAS!$B$2:$J$91,9,FALSE()),""))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IF(DATOS!$A5615="",0,IF(CONFIG_METADATA!$B$4&lt;&gt;"OR+EX",--(DATOS!$G5615=CONFIG_METADATA!$B$4),IF(DATOS!$G5615="EX",1,IF(DATOS!$G5615="OR",--(COUNTIFS(nNIA,DATOS!$A5615,nCURSO,DATOS!$D5615,nESPEC,DATOS!$E5615,nASIG,DATOS!$I5615,nEVAL,"EX")=0),0))))</f>
      </c>
      <c r="H5615">
        <f>IF(DATOS!$G5615&lt;&gt;"EX",0,--(COUNTIFS(nNIA,DATOS!$A5615,nCURSO,DATOS!$D5615,nESPEC,DATOS!$E5615,nASIG,DATOS!$I5615,nEVAL,"OR")=0))</f>
      </c>
      <c r="I5615">
        <f>IF(DATOS!$I5615="","",IFERROR(VLOOKUP(DATOS!$I5615,CONFIG_ASIGNATURAS!$B$2:$J$91,9,FALSE()),""))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IF(DATOS!$A5616="",0,IF(CONFIG_METADATA!$B$4&lt;&gt;"OR+EX",--(DATOS!$G5616=CONFIG_METADATA!$B$4),IF(DATOS!$G5616="EX",1,IF(DATOS!$G5616="OR",--(COUNTIFS(nNIA,DATOS!$A5616,nCURSO,DATOS!$D5616,nESPEC,DATOS!$E5616,nASIG,DATOS!$I5616,nEVAL,"EX")=0),0))))</f>
      </c>
      <c r="H5616">
        <f>IF(DATOS!$G5616&lt;&gt;"EX",0,--(COUNTIFS(nNIA,DATOS!$A5616,nCURSO,DATOS!$D5616,nESPEC,DATOS!$E5616,nASIG,DATOS!$I5616,nEVAL,"OR")=0))</f>
      </c>
      <c r="I5616">
        <f>IF(DATOS!$I5616="","",IFERROR(VLOOKUP(DATOS!$I5616,CONFIG_ASIGNATURAS!$B$2:$J$91,9,FALSE()),""))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IF(DATOS!$A5617="",0,IF(CONFIG_METADATA!$B$4&lt;&gt;"OR+EX",--(DATOS!$G5617=CONFIG_METADATA!$B$4),IF(DATOS!$G5617="EX",1,IF(DATOS!$G5617="OR",--(COUNTIFS(nNIA,DATOS!$A5617,nCURSO,DATOS!$D5617,nESPEC,DATOS!$E5617,nASIG,DATOS!$I5617,nEVAL,"EX")=0),0))))</f>
      </c>
      <c r="H5617">
        <f>IF(DATOS!$G5617&lt;&gt;"EX",0,--(COUNTIFS(nNIA,DATOS!$A5617,nCURSO,DATOS!$D5617,nESPEC,DATOS!$E5617,nASIG,DATOS!$I5617,nEVAL,"OR")=0))</f>
      </c>
      <c r="I5617">
        <f>IF(DATOS!$I5617="","",IFERROR(VLOOKUP(DATOS!$I5617,CONFIG_ASIGNATURAS!$B$2:$J$91,9,FALSE()),""))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IF(DATOS!$A5618="",0,IF(CONFIG_METADATA!$B$4&lt;&gt;"OR+EX",--(DATOS!$G5618=CONFIG_METADATA!$B$4),IF(DATOS!$G5618="EX",1,IF(DATOS!$G5618="OR",--(COUNTIFS(nNIA,DATOS!$A5618,nCURSO,DATOS!$D5618,nESPEC,DATOS!$E5618,nASIG,DATOS!$I5618,nEVAL,"EX")=0),0))))</f>
      </c>
      <c r="H5618">
        <f>IF(DATOS!$G5618&lt;&gt;"EX",0,--(COUNTIFS(nNIA,DATOS!$A5618,nCURSO,DATOS!$D5618,nESPEC,DATOS!$E5618,nASIG,DATOS!$I5618,nEVAL,"OR")=0))</f>
      </c>
      <c r="I5618">
        <f>IF(DATOS!$I5618="","",IFERROR(VLOOKUP(DATOS!$I5618,CONFIG_ASIGNATURAS!$B$2:$J$91,9,FALSE()),""))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IF(DATOS!$A5619="",0,IF(CONFIG_METADATA!$B$4&lt;&gt;"OR+EX",--(DATOS!$G5619=CONFIG_METADATA!$B$4),IF(DATOS!$G5619="EX",1,IF(DATOS!$G5619="OR",--(COUNTIFS(nNIA,DATOS!$A5619,nCURSO,DATOS!$D5619,nESPEC,DATOS!$E5619,nASIG,DATOS!$I5619,nEVAL,"EX")=0),0))))</f>
      </c>
      <c r="H5619">
        <f>IF(DATOS!$G5619&lt;&gt;"EX",0,--(COUNTIFS(nNIA,DATOS!$A5619,nCURSO,DATOS!$D5619,nESPEC,DATOS!$E5619,nASIG,DATOS!$I5619,nEVAL,"OR")=0))</f>
      </c>
      <c r="I5619">
        <f>IF(DATOS!$I5619="","",IFERROR(VLOOKUP(DATOS!$I5619,CONFIG_ASIGNATURAS!$B$2:$J$91,9,FALSE()),""))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IF(DATOS!$A5620="",0,IF(CONFIG_METADATA!$B$4&lt;&gt;"OR+EX",--(DATOS!$G5620=CONFIG_METADATA!$B$4),IF(DATOS!$G5620="EX",1,IF(DATOS!$G5620="OR",--(COUNTIFS(nNIA,DATOS!$A5620,nCURSO,DATOS!$D5620,nESPEC,DATOS!$E5620,nASIG,DATOS!$I5620,nEVAL,"EX")=0),0))))</f>
      </c>
      <c r="H5620">
        <f>IF(DATOS!$G5620&lt;&gt;"EX",0,--(COUNTIFS(nNIA,DATOS!$A5620,nCURSO,DATOS!$D5620,nESPEC,DATOS!$E5620,nASIG,DATOS!$I5620,nEVAL,"OR")=0))</f>
      </c>
      <c r="I5620">
        <f>IF(DATOS!$I5620="","",IFERROR(VLOOKUP(DATOS!$I5620,CONFIG_ASIGNATURAS!$B$2:$J$91,9,FALSE()),""))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IF(DATOS!$A5621="",0,IF(CONFIG_METADATA!$B$4&lt;&gt;"OR+EX",--(DATOS!$G5621=CONFIG_METADATA!$B$4),IF(DATOS!$G5621="EX",1,IF(DATOS!$G5621="OR",--(COUNTIFS(nNIA,DATOS!$A5621,nCURSO,DATOS!$D5621,nESPEC,DATOS!$E5621,nASIG,DATOS!$I5621,nEVAL,"EX")=0),0))))</f>
      </c>
      <c r="H5621">
        <f>IF(DATOS!$G5621&lt;&gt;"EX",0,--(COUNTIFS(nNIA,DATOS!$A5621,nCURSO,DATOS!$D5621,nESPEC,DATOS!$E5621,nASIG,DATOS!$I5621,nEVAL,"OR")=0))</f>
      </c>
      <c r="I5621">
        <f>IF(DATOS!$I5621="","",IFERROR(VLOOKUP(DATOS!$I5621,CONFIG_ASIGNATURAS!$B$2:$J$91,9,FALSE()),""))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IF(DATOS!$A5622="",0,IF(CONFIG_METADATA!$B$4&lt;&gt;"OR+EX",--(DATOS!$G5622=CONFIG_METADATA!$B$4),IF(DATOS!$G5622="EX",1,IF(DATOS!$G5622="OR",--(COUNTIFS(nNIA,DATOS!$A5622,nCURSO,DATOS!$D5622,nESPEC,DATOS!$E5622,nASIG,DATOS!$I5622,nEVAL,"EX")=0),0))))</f>
      </c>
      <c r="H5622">
        <f>IF(DATOS!$G5622&lt;&gt;"EX",0,--(COUNTIFS(nNIA,DATOS!$A5622,nCURSO,DATOS!$D5622,nESPEC,DATOS!$E5622,nASIG,DATOS!$I5622,nEVAL,"OR")=0))</f>
      </c>
      <c r="I5622">
        <f>IF(DATOS!$I5622="","",IFERROR(VLOOKUP(DATOS!$I5622,CONFIG_ASIGNATURAS!$B$2:$J$91,9,FALSE()),""))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IF(DATOS!$A5623="",0,IF(CONFIG_METADATA!$B$4&lt;&gt;"OR+EX",--(DATOS!$G5623=CONFIG_METADATA!$B$4),IF(DATOS!$G5623="EX",1,IF(DATOS!$G5623="OR",--(COUNTIFS(nNIA,DATOS!$A5623,nCURSO,DATOS!$D5623,nESPEC,DATOS!$E5623,nASIG,DATOS!$I5623,nEVAL,"EX")=0),0))))</f>
      </c>
      <c r="H5623">
        <f>IF(DATOS!$G5623&lt;&gt;"EX",0,--(COUNTIFS(nNIA,DATOS!$A5623,nCURSO,DATOS!$D5623,nESPEC,DATOS!$E5623,nASIG,DATOS!$I5623,nEVAL,"OR")=0))</f>
      </c>
      <c r="I5623">
        <f>IF(DATOS!$I5623="","",IFERROR(VLOOKUP(DATOS!$I5623,CONFIG_ASIGNATURAS!$B$2:$J$91,9,FALSE()),""))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IF(DATOS!$A5624="",0,IF(CONFIG_METADATA!$B$4&lt;&gt;"OR+EX",--(DATOS!$G5624=CONFIG_METADATA!$B$4),IF(DATOS!$G5624="EX",1,IF(DATOS!$G5624="OR",--(COUNTIFS(nNIA,DATOS!$A5624,nCURSO,DATOS!$D5624,nESPEC,DATOS!$E5624,nASIG,DATOS!$I5624,nEVAL,"EX")=0),0))))</f>
      </c>
      <c r="H5624">
        <f>IF(DATOS!$G5624&lt;&gt;"EX",0,--(COUNTIFS(nNIA,DATOS!$A5624,nCURSO,DATOS!$D5624,nESPEC,DATOS!$E5624,nASIG,DATOS!$I5624,nEVAL,"OR")=0))</f>
      </c>
      <c r="I5624">
        <f>IF(DATOS!$I5624="","",IFERROR(VLOOKUP(DATOS!$I5624,CONFIG_ASIGNATURAS!$B$2:$J$91,9,FALSE()),""))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IF(DATOS!$A5625="",0,IF(CONFIG_METADATA!$B$4&lt;&gt;"OR+EX",--(DATOS!$G5625=CONFIG_METADATA!$B$4),IF(DATOS!$G5625="EX",1,IF(DATOS!$G5625="OR",--(COUNTIFS(nNIA,DATOS!$A5625,nCURSO,DATOS!$D5625,nESPEC,DATOS!$E5625,nASIG,DATOS!$I5625,nEVAL,"EX")=0),0))))</f>
      </c>
      <c r="H5625">
        <f>IF(DATOS!$G5625&lt;&gt;"EX",0,--(COUNTIFS(nNIA,DATOS!$A5625,nCURSO,DATOS!$D5625,nESPEC,DATOS!$E5625,nASIG,DATOS!$I5625,nEVAL,"OR")=0))</f>
      </c>
      <c r="I5625">
        <f>IF(DATOS!$I5625="","",IFERROR(VLOOKUP(DATOS!$I5625,CONFIG_ASIGNATURAS!$B$2:$J$91,9,FALSE()),""))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IF(DATOS!$A5626="",0,IF(CONFIG_METADATA!$B$4&lt;&gt;"OR+EX",--(DATOS!$G5626=CONFIG_METADATA!$B$4),IF(DATOS!$G5626="EX",1,IF(DATOS!$G5626="OR",--(COUNTIFS(nNIA,DATOS!$A5626,nCURSO,DATOS!$D5626,nESPEC,DATOS!$E5626,nASIG,DATOS!$I5626,nEVAL,"EX")=0),0))))</f>
      </c>
      <c r="H5626">
        <f>IF(DATOS!$G5626&lt;&gt;"EX",0,--(COUNTIFS(nNIA,DATOS!$A5626,nCURSO,DATOS!$D5626,nESPEC,DATOS!$E5626,nASIG,DATOS!$I5626,nEVAL,"OR")=0))</f>
      </c>
      <c r="I5626">
        <f>IF(DATOS!$I5626="","",IFERROR(VLOOKUP(DATOS!$I5626,CONFIG_ASIGNATURAS!$B$2:$J$91,9,FALSE()),""))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IF(DATOS!$A5627="",0,IF(CONFIG_METADATA!$B$4&lt;&gt;"OR+EX",--(DATOS!$G5627=CONFIG_METADATA!$B$4),IF(DATOS!$G5627="EX",1,IF(DATOS!$G5627="OR",--(COUNTIFS(nNIA,DATOS!$A5627,nCURSO,DATOS!$D5627,nESPEC,DATOS!$E5627,nASIG,DATOS!$I5627,nEVAL,"EX")=0),0))))</f>
      </c>
      <c r="H5627">
        <f>IF(DATOS!$G5627&lt;&gt;"EX",0,--(COUNTIFS(nNIA,DATOS!$A5627,nCURSO,DATOS!$D5627,nESPEC,DATOS!$E5627,nASIG,DATOS!$I5627,nEVAL,"OR")=0))</f>
      </c>
      <c r="I5627">
        <f>IF(DATOS!$I5627="","",IFERROR(VLOOKUP(DATOS!$I5627,CONFIG_ASIGNATURAS!$B$2:$J$91,9,FALSE()),""))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IF(DATOS!$A5628="",0,IF(CONFIG_METADATA!$B$4&lt;&gt;"OR+EX",--(DATOS!$G5628=CONFIG_METADATA!$B$4),IF(DATOS!$G5628="EX",1,IF(DATOS!$G5628="OR",--(COUNTIFS(nNIA,DATOS!$A5628,nCURSO,DATOS!$D5628,nESPEC,DATOS!$E5628,nASIG,DATOS!$I5628,nEVAL,"EX")=0),0))))</f>
      </c>
      <c r="H5628">
        <f>IF(DATOS!$G5628&lt;&gt;"EX",0,--(COUNTIFS(nNIA,DATOS!$A5628,nCURSO,DATOS!$D5628,nESPEC,DATOS!$E5628,nASIG,DATOS!$I5628,nEVAL,"OR")=0))</f>
      </c>
      <c r="I5628">
        <f>IF(DATOS!$I5628="","",IFERROR(VLOOKUP(DATOS!$I5628,CONFIG_ASIGNATURAS!$B$2:$J$91,9,FALSE()),""))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IF(DATOS!$A5629="",0,IF(CONFIG_METADATA!$B$4&lt;&gt;"OR+EX",--(DATOS!$G5629=CONFIG_METADATA!$B$4),IF(DATOS!$G5629="EX",1,IF(DATOS!$G5629="OR",--(COUNTIFS(nNIA,DATOS!$A5629,nCURSO,DATOS!$D5629,nESPEC,DATOS!$E5629,nASIG,DATOS!$I5629,nEVAL,"EX")=0),0))))</f>
      </c>
      <c r="H5629">
        <f>IF(DATOS!$G5629&lt;&gt;"EX",0,--(COUNTIFS(nNIA,DATOS!$A5629,nCURSO,DATOS!$D5629,nESPEC,DATOS!$E5629,nASIG,DATOS!$I5629,nEVAL,"OR")=0))</f>
      </c>
      <c r="I5629">
        <f>IF(DATOS!$I5629="","",IFERROR(VLOOKUP(DATOS!$I5629,CONFIG_ASIGNATURAS!$B$2:$J$91,9,FALSE()),""))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IF(DATOS!$A5630="",0,IF(CONFIG_METADATA!$B$4&lt;&gt;"OR+EX",--(DATOS!$G5630=CONFIG_METADATA!$B$4),IF(DATOS!$G5630="EX",1,IF(DATOS!$G5630="OR",--(COUNTIFS(nNIA,DATOS!$A5630,nCURSO,DATOS!$D5630,nESPEC,DATOS!$E5630,nASIG,DATOS!$I5630,nEVAL,"EX")=0),0))))</f>
      </c>
      <c r="H5630">
        <f>IF(DATOS!$G5630&lt;&gt;"EX",0,--(COUNTIFS(nNIA,DATOS!$A5630,nCURSO,DATOS!$D5630,nESPEC,DATOS!$E5630,nASIG,DATOS!$I5630,nEVAL,"OR")=0))</f>
      </c>
      <c r="I5630">
        <f>IF(DATOS!$I5630="","",IFERROR(VLOOKUP(DATOS!$I5630,CONFIG_ASIGNATURAS!$B$2:$J$91,9,FALSE()),""))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IF(DATOS!$A5631="",0,IF(CONFIG_METADATA!$B$4&lt;&gt;"OR+EX",--(DATOS!$G5631=CONFIG_METADATA!$B$4),IF(DATOS!$G5631="EX",1,IF(DATOS!$G5631="OR",--(COUNTIFS(nNIA,DATOS!$A5631,nCURSO,DATOS!$D5631,nESPEC,DATOS!$E5631,nASIG,DATOS!$I5631,nEVAL,"EX")=0),0))))</f>
      </c>
      <c r="H5631">
        <f>IF(DATOS!$G5631&lt;&gt;"EX",0,--(COUNTIFS(nNIA,DATOS!$A5631,nCURSO,DATOS!$D5631,nESPEC,DATOS!$E5631,nASIG,DATOS!$I5631,nEVAL,"OR")=0))</f>
      </c>
      <c r="I5631">
        <f>IF(DATOS!$I5631="","",IFERROR(VLOOKUP(DATOS!$I5631,CONFIG_ASIGNATURAS!$B$2:$J$91,9,FALSE()),""))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IF(DATOS!$A5632="",0,IF(CONFIG_METADATA!$B$4&lt;&gt;"OR+EX",--(DATOS!$G5632=CONFIG_METADATA!$B$4),IF(DATOS!$G5632="EX",1,IF(DATOS!$G5632="OR",--(COUNTIFS(nNIA,DATOS!$A5632,nCURSO,DATOS!$D5632,nESPEC,DATOS!$E5632,nASIG,DATOS!$I5632,nEVAL,"EX")=0),0))))</f>
      </c>
      <c r="H5632">
        <f>IF(DATOS!$G5632&lt;&gt;"EX",0,--(COUNTIFS(nNIA,DATOS!$A5632,nCURSO,DATOS!$D5632,nESPEC,DATOS!$E5632,nASIG,DATOS!$I5632,nEVAL,"OR")=0))</f>
      </c>
      <c r="I5632">
        <f>IF(DATOS!$I5632="","",IFERROR(VLOOKUP(DATOS!$I5632,CONFIG_ASIGNATURAS!$B$2:$J$91,9,FALSE()),""))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IF(DATOS!$A5633="",0,IF(CONFIG_METADATA!$B$4&lt;&gt;"OR+EX",--(DATOS!$G5633=CONFIG_METADATA!$B$4),IF(DATOS!$G5633="EX",1,IF(DATOS!$G5633="OR",--(COUNTIFS(nNIA,DATOS!$A5633,nCURSO,DATOS!$D5633,nESPEC,DATOS!$E5633,nASIG,DATOS!$I5633,nEVAL,"EX")=0),0))))</f>
      </c>
      <c r="H5633">
        <f>IF(DATOS!$G5633&lt;&gt;"EX",0,--(COUNTIFS(nNIA,DATOS!$A5633,nCURSO,DATOS!$D5633,nESPEC,DATOS!$E5633,nASIG,DATOS!$I5633,nEVAL,"OR")=0))</f>
      </c>
      <c r="I5633">
        <f>IF(DATOS!$I5633="","",IFERROR(VLOOKUP(DATOS!$I5633,CONFIG_ASIGNATURAS!$B$2:$J$91,9,FALSE()),""))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IF(DATOS!$A5634="",0,IF(CONFIG_METADATA!$B$4&lt;&gt;"OR+EX",--(DATOS!$G5634=CONFIG_METADATA!$B$4),IF(DATOS!$G5634="EX",1,IF(DATOS!$G5634="OR",--(COUNTIFS(nNIA,DATOS!$A5634,nCURSO,DATOS!$D5634,nESPEC,DATOS!$E5634,nASIG,DATOS!$I5634,nEVAL,"EX")=0),0))))</f>
      </c>
      <c r="H5634">
        <f>IF(DATOS!$G5634&lt;&gt;"EX",0,--(COUNTIFS(nNIA,DATOS!$A5634,nCURSO,DATOS!$D5634,nESPEC,DATOS!$E5634,nASIG,DATOS!$I5634,nEVAL,"OR")=0))</f>
      </c>
      <c r="I5634">
        <f>IF(DATOS!$I5634="","",IFERROR(VLOOKUP(DATOS!$I5634,CONFIG_ASIGNATURAS!$B$2:$J$91,9,FALSE()),""))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IF(DATOS!$A5635="",0,IF(CONFIG_METADATA!$B$4&lt;&gt;"OR+EX",--(DATOS!$G5635=CONFIG_METADATA!$B$4),IF(DATOS!$G5635="EX",1,IF(DATOS!$G5635="OR",--(COUNTIFS(nNIA,DATOS!$A5635,nCURSO,DATOS!$D5635,nESPEC,DATOS!$E5635,nASIG,DATOS!$I5635,nEVAL,"EX")=0),0))))</f>
      </c>
      <c r="H5635">
        <f>IF(DATOS!$G5635&lt;&gt;"EX",0,--(COUNTIFS(nNIA,DATOS!$A5635,nCURSO,DATOS!$D5635,nESPEC,DATOS!$E5635,nASIG,DATOS!$I5635,nEVAL,"OR")=0))</f>
      </c>
      <c r="I5635">
        <f>IF(DATOS!$I5635="","",IFERROR(VLOOKUP(DATOS!$I5635,CONFIG_ASIGNATURAS!$B$2:$J$91,9,FALSE()),""))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IF(DATOS!$A5636="",0,IF(CONFIG_METADATA!$B$4&lt;&gt;"OR+EX",--(DATOS!$G5636=CONFIG_METADATA!$B$4),IF(DATOS!$G5636="EX",1,IF(DATOS!$G5636="OR",--(COUNTIFS(nNIA,DATOS!$A5636,nCURSO,DATOS!$D5636,nESPEC,DATOS!$E5636,nASIG,DATOS!$I5636,nEVAL,"EX")=0),0))))</f>
      </c>
      <c r="H5636">
        <f>IF(DATOS!$G5636&lt;&gt;"EX",0,--(COUNTIFS(nNIA,DATOS!$A5636,nCURSO,DATOS!$D5636,nESPEC,DATOS!$E5636,nASIG,DATOS!$I5636,nEVAL,"OR")=0))</f>
      </c>
      <c r="I5636">
        <f>IF(DATOS!$I5636="","",IFERROR(VLOOKUP(DATOS!$I5636,CONFIG_ASIGNATURAS!$B$2:$J$91,9,FALSE()),""))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IF(DATOS!$A5637="",0,IF(CONFIG_METADATA!$B$4&lt;&gt;"OR+EX",--(DATOS!$G5637=CONFIG_METADATA!$B$4),IF(DATOS!$G5637="EX",1,IF(DATOS!$G5637="OR",--(COUNTIFS(nNIA,DATOS!$A5637,nCURSO,DATOS!$D5637,nESPEC,DATOS!$E5637,nASIG,DATOS!$I5637,nEVAL,"EX")=0),0))))</f>
      </c>
      <c r="H5637">
        <f>IF(DATOS!$G5637&lt;&gt;"EX",0,--(COUNTIFS(nNIA,DATOS!$A5637,nCURSO,DATOS!$D5637,nESPEC,DATOS!$E5637,nASIG,DATOS!$I5637,nEVAL,"OR")=0))</f>
      </c>
      <c r="I5637">
        <f>IF(DATOS!$I5637="","",IFERROR(VLOOKUP(DATOS!$I5637,CONFIG_ASIGNATURAS!$B$2:$J$91,9,FALSE()),""))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IF(DATOS!$A5638="",0,IF(CONFIG_METADATA!$B$4&lt;&gt;"OR+EX",--(DATOS!$G5638=CONFIG_METADATA!$B$4),IF(DATOS!$G5638="EX",1,IF(DATOS!$G5638="OR",--(COUNTIFS(nNIA,DATOS!$A5638,nCURSO,DATOS!$D5638,nESPEC,DATOS!$E5638,nASIG,DATOS!$I5638,nEVAL,"EX")=0),0))))</f>
      </c>
      <c r="H5638">
        <f>IF(DATOS!$G5638&lt;&gt;"EX",0,--(COUNTIFS(nNIA,DATOS!$A5638,nCURSO,DATOS!$D5638,nESPEC,DATOS!$E5638,nASIG,DATOS!$I5638,nEVAL,"OR")=0))</f>
      </c>
      <c r="I5638">
        <f>IF(DATOS!$I5638="","",IFERROR(VLOOKUP(DATOS!$I5638,CONFIG_ASIGNATURAS!$B$2:$J$91,9,FALSE()),""))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IF(DATOS!$A5639="",0,IF(CONFIG_METADATA!$B$4&lt;&gt;"OR+EX",--(DATOS!$G5639=CONFIG_METADATA!$B$4),IF(DATOS!$G5639="EX",1,IF(DATOS!$G5639="OR",--(COUNTIFS(nNIA,DATOS!$A5639,nCURSO,DATOS!$D5639,nESPEC,DATOS!$E5639,nASIG,DATOS!$I5639,nEVAL,"EX")=0),0))))</f>
      </c>
      <c r="H5639">
        <f>IF(DATOS!$G5639&lt;&gt;"EX",0,--(COUNTIFS(nNIA,DATOS!$A5639,nCURSO,DATOS!$D5639,nESPEC,DATOS!$E5639,nASIG,DATOS!$I5639,nEVAL,"OR")=0))</f>
      </c>
      <c r="I5639">
        <f>IF(DATOS!$I5639="","",IFERROR(VLOOKUP(DATOS!$I5639,CONFIG_ASIGNATURAS!$B$2:$J$91,9,FALSE()),""))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IF(DATOS!$A5640="",0,IF(CONFIG_METADATA!$B$4&lt;&gt;"OR+EX",--(DATOS!$G5640=CONFIG_METADATA!$B$4),IF(DATOS!$G5640="EX",1,IF(DATOS!$G5640="OR",--(COUNTIFS(nNIA,DATOS!$A5640,nCURSO,DATOS!$D5640,nESPEC,DATOS!$E5640,nASIG,DATOS!$I5640,nEVAL,"EX")=0),0))))</f>
      </c>
      <c r="H5640">
        <f>IF(DATOS!$G5640&lt;&gt;"EX",0,--(COUNTIFS(nNIA,DATOS!$A5640,nCURSO,DATOS!$D5640,nESPEC,DATOS!$E5640,nASIG,DATOS!$I5640,nEVAL,"OR")=0))</f>
      </c>
      <c r="I5640">
        <f>IF(DATOS!$I5640="","",IFERROR(VLOOKUP(DATOS!$I5640,CONFIG_ASIGNATURAS!$B$2:$J$91,9,FALSE()),""))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IF(DATOS!$A5641="",0,IF(CONFIG_METADATA!$B$4&lt;&gt;"OR+EX",--(DATOS!$G5641=CONFIG_METADATA!$B$4),IF(DATOS!$G5641="EX",1,IF(DATOS!$G5641="OR",--(COUNTIFS(nNIA,DATOS!$A5641,nCURSO,DATOS!$D5641,nESPEC,DATOS!$E5641,nASIG,DATOS!$I5641,nEVAL,"EX")=0),0))))</f>
      </c>
      <c r="H5641">
        <f>IF(DATOS!$G5641&lt;&gt;"EX",0,--(COUNTIFS(nNIA,DATOS!$A5641,nCURSO,DATOS!$D5641,nESPEC,DATOS!$E5641,nASIG,DATOS!$I5641,nEVAL,"OR")=0))</f>
      </c>
      <c r="I5641">
        <f>IF(DATOS!$I5641="","",IFERROR(VLOOKUP(DATOS!$I5641,CONFIG_ASIGNATURAS!$B$2:$J$91,9,FALSE()),""))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IF(DATOS!$A5642="",0,IF(CONFIG_METADATA!$B$4&lt;&gt;"OR+EX",--(DATOS!$G5642=CONFIG_METADATA!$B$4),IF(DATOS!$G5642="EX",1,IF(DATOS!$G5642="OR",--(COUNTIFS(nNIA,DATOS!$A5642,nCURSO,DATOS!$D5642,nESPEC,DATOS!$E5642,nASIG,DATOS!$I5642,nEVAL,"EX")=0),0))))</f>
      </c>
      <c r="H5642">
        <f>IF(DATOS!$G5642&lt;&gt;"EX",0,--(COUNTIFS(nNIA,DATOS!$A5642,nCURSO,DATOS!$D5642,nESPEC,DATOS!$E5642,nASIG,DATOS!$I5642,nEVAL,"OR")=0))</f>
      </c>
      <c r="I5642">
        <f>IF(DATOS!$I5642="","",IFERROR(VLOOKUP(DATOS!$I5642,CONFIG_ASIGNATURAS!$B$2:$J$91,9,FALSE()),""))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IF(DATOS!$A5643="",0,IF(CONFIG_METADATA!$B$4&lt;&gt;"OR+EX",--(DATOS!$G5643=CONFIG_METADATA!$B$4),IF(DATOS!$G5643="EX",1,IF(DATOS!$G5643="OR",--(COUNTIFS(nNIA,DATOS!$A5643,nCURSO,DATOS!$D5643,nESPEC,DATOS!$E5643,nASIG,DATOS!$I5643,nEVAL,"EX")=0),0))))</f>
      </c>
      <c r="H5643">
        <f>IF(DATOS!$G5643&lt;&gt;"EX",0,--(COUNTIFS(nNIA,DATOS!$A5643,nCURSO,DATOS!$D5643,nESPEC,DATOS!$E5643,nASIG,DATOS!$I5643,nEVAL,"OR")=0))</f>
      </c>
      <c r="I5643">
        <f>IF(DATOS!$I5643="","",IFERROR(VLOOKUP(DATOS!$I5643,CONFIG_ASIGNATURAS!$B$2:$J$91,9,FALSE()),""))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IF(DATOS!$A5644="",0,IF(CONFIG_METADATA!$B$4&lt;&gt;"OR+EX",--(DATOS!$G5644=CONFIG_METADATA!$B$4),IF(DATOS!$G5644="EX",1,IF(DATOS!$G5644="OR",--(COUNTIFS(nNIA,DATOS!$A5644,nCURSO,DATOS!$D5644,nESPEC,DATOS!$E5644,nASIG,DATOS!$I5644,nEVAL,"EX")=0),0))))</f>
      </c>
      <c r="H5644">
        <f>IF(DATOS!$G5644&lt;&gt;"EX",0,--(COUNTIFS(nNIA,DATOS!$A5644,nCURSO,DATOS!$D5644,nESPEC,DATOS!$E5644,nASIG,DATOS!$I5644,nEVAL,"OR")=0))</f>
      </c>
      <c r="I5644">
        <f>IF(DATOS!$I5644="","",IFERROR(VLOOKUP(DATOS!$I5644,CONFIG_ASIGNATURAS!$B$2:$J$91,9,FALSE()),""))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IF(DATOS!$A5645="",0,IF(CONFIG_METADATA!$B$4&lt;&gt;"OR+EX",--(DATOS!$G5645=CONFIG_METADATA!$B$4),IF(DATOS!$G5645="EX",1,IF(DATOS!$G5645="OR",--(COUNTIFS(nNIA,DATOS!$A5645,nCURSO,DATOS!$D5645,nESPEC,DATOS!$E5645,nASIG,DATOS!$I5645,nEVAL,"EX")=0),0))))</f>
      </c>
      <c r="H5645">
        <f>IF(DATOS!$G5645&lt;&gt;"EX",0,--(COUNTIFS(nNIA,DATOS!$A5645,nCURSO,DATOS!$D5645,nESPEC,DATOS!$E5645,nASIG,DATOS!$I5645,nEVAL,"OR")=0))</f>
      </c>
      <c r="I5645">
        <f>IF(DATOS!$I5645="","",IFERROR(VLOOKUP(DATOS!$I5645,CONFIG_ASIGNATURAS!$B$2:$J$91,9,FALSE()),""))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IF(DATOS!$A5646="",0,IF(CONFIG_METADATA!$B$4&lt;&gt;"OR+EX",--(DATOS!$G5646=CONFIG_METADATA!$B$4),IF(DATOS!$G5646="EX",1,IF(DATOS!$G5646="OR",--(COUNTIFS(nNIA,DATOS!$A5646,nCURSO,DATOS!$D5646,nESPEC,DATOS!$E5646,nASIG,DATOS!$I5646,nEVAL,"EX")=0),0))))</f>
      </c>
      <c r="H5646">
        <f>IF(DATOS!$G5646&lt;&gt;"EX",0,--(COUNTIFS(nNIA,DATOS!$A5646,nCURSO,DATOS!$D5646,nESPEC,DATOS!$E5646,nASIG,DATOS!$I5646,nEVAL,"OR")=0))</f>
      </c>
      <c r="I5646">
        <f>IF(DATOS!$I5646="","",IFERROR(VLOOKUP(DATOS!$I5646,CONFIG_ASIGNATURAS!$B$2:$J$91,9,FALSE()),""))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IF(DATOS!$A5647="",0,IF(CONFIG_METADATA!$B$4&lt;&gt;"OR+EX",--(DATOS!$G5647=CONFIG_METADATA!$B$4),IF(DATOS!$G5647="EX",1,IF(DATOS!$G5647="OR",--(COUNTIFS(nNIA,DATOS!$A5647,nCURSO,DATOS!$D5647,nESPEC,DATOS!$E5647,nASIG,DATOS!$I5647,nEVAL,"EX")=0),0))))</f>
      </c>
      <c r="H5647">
        <f>IF(DATOS!$G5647&lt;&gt;"EX",0,--(COUNTIFS(nNIA,DATOS!$A5647,nCURSO,DATOS!$D5647,nESPEC,DATOS!$E5647,nASIG,DATOS!$I5647,nEVAL,"OR")=0))</f>
      </c>
      <c r="I5647">
        <f>IF(DATOS!$I5647="","",IFERROR(VLOOKUP(DATOS!$I5647,CONFIG_ASIGNATURAS!$B$2:$J$91,9,FALSE()),""))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IF(DATOS!$A5648="",0,IF(CONFIG_METADATA!$B$4&lt;&gt;"OR+EX",--(DATOS!$G5648=CONFIG_METADATA!$B$4),IF(DATOS!$G5648="EX",1,IF(DATOS!$G5648="OR",--(COUNTIFS(nNIA,DATOS!$A5648,nCURSO,DATOS!$D5648,nESPEC,DATOS!$E5648,nASIG,DATOS!$I5648,nEVAL,"EX")=0),0))))</f>
      </c>
      <c r="H5648">
        <f>IF(DATOS!$G5648&lt;&gt;"EX",0,--(COUNTIFS(nNIA,DATOS!$A5648,nCURSO,DATOS!$D5648,nESPEC,DATOS!$E5648,nASIG,DATOS!$I5648,nEVAL,"OR")=0))</f>
      </c>
      <c r="I5648">
        <f>IF(DATOS!$I5648="","",IFERROR(VLOOKUP(DATOS!$I5648,CONFIG_ASIGNATURAS!$B$2:$J$91,9,FALSE()),""))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IF(DATOS!$A5649="",0,IF(CONFIG_METADATA!$B$4&lt;&gt;"OR+EX",--(DATOS!$G5649=CONFIG_METADATA!$B$4),IF(DATOS!$G5649="EX",1,IF(DATOS!$G5649="OR",--(COUNTIFS(nNIA,DATOS!$A5649,nCURSO,DATOS!$D5649,nESPEC,DATOS!$E5649,nASIG,DATOS!$I5649,nEVAL,"EX")=0),0))))</f>
      </c>
      <c r="H5649">
        <f>IF(DATOS!$G5649&lt;&gt;"EX",0,--(COUNTIFS(nNIA,DATOS!$A5649,nCURSO,DATOS!$D5649,nESPEC,DATOS!$E5649,nASIG,DATOS!$I5649,nEVAL,"OR")=0))</f>
      </c>
      <c r="I5649">
        <f>IF(DATOS!$I5649="","",IFERROR(VLOOKUP(DATOS!$I5649,CONFIG_ASIGNATURAS!$B$2:$J$91,9,FALSE()),""))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IF(DATOS!$A5650="",0,IF(CONFIG_METADATA!$B$4&lt;&gt;"OR+EX",--(DATOS!$G5650=CONFIG_METADATA!$B$4),IF(DATOS!$G5650="EX",1,IF(DATOS!$G5650="OR",--(COUNTIFS(nNIA,DATOS!$A5650,nCURSO,DATOS!$D5650,nESPEC,DATOS!$E5650,nASIG,DATOS!$I5650,nEVAL,"EX")=0),0))))</f>
      </c>
      <c r="H5650">
        <f>IF(DATOS!$G5650&lt;&gt;"EX",0,--(COUNTIFS(nNIA,DATOS!$A5650,nCURSO,DATOS!$D5650,nESPEC,DATOS!$E5650,nASIG,DATOS!$I5650,nEVAL,"OR")=0))</f>
      </c>
      <c r="I5650">
        <f>IF(DATOS!$I5650="","",IFERROR(VLOOKUP(DATOS!$I5650,CONFIG_ASIGNATURAS!$B$2:$J$91,9,FALSE()),""))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IF(DATOS!$A5651="",0,IF(CONFIG_METADATA!$B$4&lt;&gt;"OR+EX",--(DATOS!$G5651=CONFIG_METADATA!$B$4),IF(DATOS!$G5651="EX",1,IF(DATOS!$G5651="OR",--(COUNTIFS(nNIA,DATOS!$A5651,nCURSO,DATOS!$D5651,nESPEC,DATOS!$E5651,nASIG,DATOS!$I5651,nEVAL,"EX")=0),0))))</f>
      </c>
      <c r="H5651">
        <f>IF(DATOS!$G5651&lt;&gt;"EX",0,--(COUNTIFS(nNIA,DATOS!$A5651,nCURSO,DATOS!$D5651,nESPEC,DATOS!$E5651,nASIG,DATOS!$I5651,nEVAL,"OR")=0))</f>
      </c>
      <c r="I5651">
        <f>IF(DATOS!$I5651="","",IFERROR(VLOOKUP(DATOS!$I5651,CONFIG_ASIGNATURAS!$B$2:$J$91,9,FALSE()),""))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IF(DATOS!$A5652="",0,IF(CONFIG_METADATA!$B$4&lt;&gt;"OR+EX",--(DATOS!$G5652=CONFIG_METADATA!$B$4),IF(DATOS!$G5652="EX",1,IF(DATOS!$G5652="OR",--(COUNTIFS(nNIA,DATOS!$A5652,nCURSO,DATOS!$D5652,nESPEC,DATOS!$E5652,nASIG,DATOS!$I5652,nEVAL,"EX")=0),0))))</f>
      </c>
      <c r="H5652">
        <f>IF(DATOS!$G5652&lt;&gt;"EX",0,--(COUNTIFS(nNIA,DATOS!$A5652,nCURSO,DATOS!$D5652,nESPEC,DATOS!$E5652,nASIG,DATOS!$I5652,nEVAL,"OR")=0))</f>
      </c>
      <c r="I5652">
        <f>IF(DATOS!$I5652="","",IFERROR(VLOOKUP(DATOS!$I5652,CONFIG_ASIGNATURAS!$B$2:$J$91,9,FALSE()),""))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IF(DATOS!$A5653="",0,IF(CONFIG_METADATA!$B$4&lt;&gt;"OR+EX",--(DATOS!$G5653=CONFIG_METADATA!$B$4),IF(DATOS!$G5653="EX",1,IF(DATOS!$G5653="OR",--(COUNTIFS(nNIA,DATOS!$A5653,nCURSO,DATOS!$D5653,nESPEC,DATOS!$E5653,nASIG,DATOS!$I5653,nEVAL,"EX")=0),0))))</f>
      </c>
      <c r="H5653">
        <f>IF(DATOS!$G5653&lt;&gt;"EX",0,--(COUNTIFS(nNIA,DATOS!$A5653,nCURSO,DATOS!$D5653,nESPEC,DATOS!$E5653,nASIG,DATOS!$I5653,nEVAL,"OR")=0))</f>
      </c>
      <c r="I5653">
        <f>IF(DATOS!$I5653="","",IFERROR(VLOOKUP(DATOS!$I5653,CONFIG_ASIGNATURAS!$B$2:$J$91,9,FALSE()),""))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IF(DATOS!$A5654="",0,IF(CONFIG_METADATA!$B$4&lt;&gt;"OR+EX",--(DATOS!$G5654=CONFIG_METADATA!$B$4),IF(DATOS!$G5654="EX",1,IF(DATOS!$G5654="OR",--(COUNTIFS(nNIA,DATOS!$A5654,nCURSO,DATOS!$D5654,nESPEC,DATOS!$E5654,nASIG,DATOS!$I5654,nEVAL,"EX")=0),0))))</f>
      </c>
      <c r="H5654">
        <f>IF(DATOS!$G5654&lt;&gt;"EX",0,--(COUNTIFS(nNIA,DATOS!$A5654,nCURSO,DATOS!$D5654,nESPEC,DATOS!$E5654,nASIG,DATOS!$I5654,nEVAL,"OR")=0))</f>
      </c>
      <c r="I5654">
        <f>IF(DATOS!$I5654="","",IFERROR(VLOOKUP(DATOS!$I5654,CONFIG_ASIGNATURAS!$B$2:$J$91,9,FALSE()),""))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IF(DATOS!$A5655="",0,IF(CONFIG_METADATA!$B$4&lt;&gt;"OR+EX",--(DATOS!$G5655=CONFIG_METADATA!$B$4),IF(DATOS!$G5655="EX",1,IF(DATOS!$G5655="OR",--(COUNTIFS(nNIA,DATOS!$A5655,nCURSO,DATOS!$D5655,nESPEC,DATOS!$E5655,nASIG,DATOS!$I5655,nEVAL,"EX")=0),0))))</f>
      </c>
      <c r="H5655">
        <f>IF(DATOS!$G5655&lt;&gt;"EX",0,--(COUNTIFS(nNIA,DATOS!$A5655,nCURSO,DATOS!$D5655,nESPEC,DATOS!$E5655,nASIG,DATOS!$I5655,nEVAL,"OR")=0))</f>
      </c>
      <c r="I5655">
        <f>IF(DATOS!$I5655="","",IFERROR(VLOOKUP(DATOS!$I5655,CONFIG_ASIGNATURAS!$B$2:$J$91,9,FALSE()),""))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IF(DATOS!$A5656="",0,IF(CONFIG_METADATA!$B$4&lt;&gt;"OR+EX",--(DATOS!$G5656=CONFIG_METADATA!$B$4),IF(DATOS!$G5656="EX",1,IF(DATOS!$G5656="OR",--(COUNTIFS(nNIA,DATOS!$A5656,nCURSO,DATOS!$D5656,nESPEC,DATOS!$E5656,nASIG,DATOS!$I5656,nEVAL,"EX")=0),0))))</f>
      </c>
      <c r="H5656">
        <f>IF(DATOS!$G5656&lt;&gt;"EX",0,--(COUNTIFS(nNIA,DATOS!$A5656,nCURSO,DATOS!$D5656,nESPEC,DATOS!$E5656,nASIG,DATOS!$I5656,nEVAL,"OR")=0))</f>
      </c>
      <c r="I5656">
        <f>IF(DATOS!$I5656="","",IFERROR(VLOOKUP(DATOS!$I5656,CONFIG_ASIGNATURAS!$B$2:$J$91,9,FALSE()),""))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IF(DATOS!$A5657="",0,IF(CONFIG_METADATA!$B$4&lt;&gt;"OR+EX",--(DATOS!$G5657=CONFIG_METADATA!$B$4),IF(DATOS!$G5657="EX",1,IF(DATOS!$G5657="OR",--(COUNTIFS(nNIA,DATOS!$A5657,nCURSO,DATOS!$D5657,nESPEC,DATOS!$E5657,nASIG,DATOS!$I5657,nEVAL,"EX")=0),0))))</f>
      </c>
      <c r="H5657">
        <f>IF(DATOS!$G5657&lt;&gt;"EX",0,--(COUNTIFS(nNIA,DATOS!$A5657,nCURSO,DATOS!$D5657,nESPEC,DATOS!$E5657,nASIG,DATOS!$I5657,nEVAL,"OR")=0))</f>
      </c>
      <c r="I5657">
        <f>IF(DATOS!$I5657="","",IFERROR(VLOOKUP(DATOS!$I5657,CONFIG_ASIGNATURAS!$B$2:$J$91,9,FALSE()),""))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IF(DATOS!$A5658="",0,IF(CONFIG_METADATA!$B$4&lt;&gt;"OR+EX",--(DATOS!$G5658=CONFIG_METADATA!$B$4),IF(DATOS!$G5658="EX",1,IF(DATOS!$G5658="OR",--(COUNTIFS(nNIA,DATOS!$A5658,nCURSO,DATOS!$D5658,nESPEC,DATOS!$E5658,nASIG,DATOS!$I5658,nEVAL,"EX")=0),0))))</f>
      </c>
      <c r="H5658">
        <f>IF(DATOS!$G5658&lt;&gt;"EX",0,--(COUNTIFS(nNIA,DATOS!$A5658,nCURSO,DATOS!$D5658,nESPEC,DATOS!$E5658,nASIG,DATOS!$I5658,nEVAL,"OR")=0))</f>
      </c>
      <c r="I5658">
        <f>IF(DATOS!$I5658="","",IFERROR(VLOOKUP(DATOS!$I5658,CONFIG_ASIGNATURAS!$B$2:$J$91,9,FALSE()),""))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IF(DATOS!$A5659="",0,IF(CONFIG_METADATA!$B$4&lt;&gt;"OR+EX",--(DATOS!$G5659=CONFIG_METADATA!$B$4),IF(DATOS!$G5659="EX",1,IF(DATOS!$G5659="OR",--(COUNTIFS(nNIA,DATOS!$A5659,nCURSO,DATOS!$D5659,nESPEC,DATOS!$E5659,nASIG,DATOS!$I5659,nEVAL,"EX")=0),0))))</f>
      </c>
      <c r="H5659">
        <f>IF(DATOS!$G5659&lt;&gt;"EX",0,--(COUNTIFS(nNIA,DATOS!$A5659,nCURSO,DATOS!$D5659,nESPEC,DATOS!$E5659,nASIG,DATOS!$I5659,nEVAL,"OR")=0))</f>
      </c>
      <c r="I5659">
        <f>IF(DATOS!$I5659="","",IFERROR(VLOOKUP(DATOS!$I5659,CONFIG_ASIGNATURAS!$B$2:$J$91,9,FALSE()),""))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IF(DATOS!$A5660="",0,IF(CONFIG_METADATA!$B$4&lt;&gt;"OR+EX",--(DATOS!$G5660=CONFIG_METADATA!$B$4),IF(DATOS!$G5660="EX",1,IF(DATOS!$G5660="OR",--(COUNTIFS(nNIA,DATOS!$A5660,nCURSO,DATOS!$D5660,nESPEC,DATOS!$E5660,nASIG,DATOS!$I5660,nEVAL,"EX")=0),0))))</f>
      </c>
      <c r="H5660">
        <f>IF(DATOS!$G5660&lt;&gt;"EX",0,--(COUNTIFS(nNIA,DATOS!$A5660,nCURSO,DATOS!$D5660,nESPEC,DATOS!$E5660,nASIG,DATOS!$I5660,nEVAL,"OR")=0))</f>
      </c>
      <c r="I5660">
        <f>IF(DATOS!$I5660="","",IFERROR(VLOOKUP(DATOS!$I5660,CONFIG_ASIGNATURAS!$B$2:$J$91,9,FALSE()),""))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IF(DATOS!$A5661="",0,IF(CONFIG_METADATA!$B$4&lt;&gt;"OR+EX",--(DATOS!$G5661=CONFIG_METADATA!$B$4),IF(DATOS!$G5661="EX",1,IF(DATOS!$G5661="OR",--(COUNTIFS(nNIA,DATOS!$A5661,nCURSO,DATOS!$D5661,nESPEC,DATOS!$E5661,nASIG,DATOS!$I5661,nEVAL,"EX")=0),0))))</f>
      </c>
      <c r="H5661">
        <f>IF(DATOS!$G5661&lt;&gt;"EX",0,--(COUNTIFS(nNIA,DATOS!$A5661,nCURSO,DATOS!$D5661,nESPEC,DATOS!$E5661,nASIG,DATOS!$I5661,nEVAL,"OR")=0))</f>
      </c>
      <c r="I5661">
        <f>IF(DATOS!$I5661="","",IFERROR(VLOOKUP(DATOS!$I5661,CONFIG_ASIGNATURAS!$B$2:$J$91,9,FALSE()),""))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IF(DATOS!$A5662="",0,IF(CONFIG_METADATA!$B$4&lt;&gt;"OR+EX",--(DATOS!$G5662=CONFIG_METADATA!$B$4),IF(DATOS!$G5662="EX",1,IF(DATOS!$G5662="OR",--(COUNTIFS(nNIA,DATOS!$A5662,nCURSO,DATOS!$D5662,nESPEC,DATOS!$E5662,nASIG,DATOS!$I5662,nEVAL,"EX")=0),0))))</f>
      </c>
      <c r="H5662">
        <f>IF(DATOS!$G5662&lt;&gt;"EX",0,--(COUNTIFS(nNIA,DATOS!$A5662,nCURSO,DATOS!$D5662,nESPEC,DATOS!$E5662,nASIG,DATOS!$I5662,nEVAL,"OR")=0))</f>
      </c>
      <c r="I5662">
        <f>IF(DATOS!$I5662="","",IFERROR(VLOOKUP(DATOS!$I5662,CONFIG_ASIGNATURAS!$B$2:$J$91,9,FALSE()),""))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IF(DATOS!$A5663="",0,IF(CONFIG_METADATA!$B$4&lt;&gt;"OR+EX",--(DATOS!$G5663=CONFIG_METADATA!$B$4),IF(DATOS!$G5663="EX",1,IF(DATOS!$G5663="OR",--(COUNTIFS(nNIA,DATOS!$A5663,nCURSO,DATOS!$D5663,nESPEC,DATOS!$E5663,nASIG,DATOS!$I5663,nEVAL,"EX")=0),0))))</f>
      </c>
      <c r="H5663">
        <f>IF(DATOS!$G5663&lt;&gt;"EX",0,--(COUNTIFS(nNIA,DATOS!$A5663,nCURSO,DATOS!$D5663,nESPEC,DATOS!$E5663,nASIG,DATOS!$I5663,nEVAL,"OR")=0))</f>
      </c>
      <c r="I5663">
        <f>IF(DATOS!$I5663="","",IFERROR(VLOOKUP(DATOS!$I5663,CONFIG_ASIGNATURAS!$B$2:$J$91,9,FALSE()),""))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IF(DATOS!$A5664="",0,IF(CONFIG_METADATA!$B$4&lt;&gt;"OR+EX",--(DATOS!$G5664=CONFIG_METADATA!$B$4),IF(DATOS!$G5664="EX",1,IF(DATOS!$G5664="OR",--(COUNTIFS(nNIA,DATOS!$A5664,nCURSO,DATOS!$D5664,nESPEC,DATOS!$E5664,nASIG,DATOS!$I5664,nEVAL,"EX")=0),0))))</f>
      </c>
      <c r="H5664">
        <f>IF(DATOS!$G5664&lt;&gt;"EX",0,--(COUNTIFS(nNIA,DATOS!$A5664,nCURSO,DATOS!$D5664,nESPEC,DATOS!$E5664,nASIG,DATOS!$I5664,nEVAL,"OR")=0))</f>
      </c>
      <c r="I5664">
        <f>IF(DATOS!$I5664="","",IFERROR(VLOOKUP(DATOS!$I5664,CONFIG_ASIGNATURAS!$B$2:$J$91,9,FALSE()),""))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IF(DATOS!$A5665="",0,IF(CONFIG_METADATA!$B$4&lt;&gt;"OR+EX",--(DATOS!$G5665=CONFIG_METADATA!$B$4),IF(DATOS!$G5665="EX",1,IF(DATOS!$G5665="OR",--(COUNTIFS(nNIA,DATOS!$A5665,nCURSO,DATOS!$D5665,nESPEC,DATOS!$E5665,nASIG,DATOS!$I5665,nEVAL,"EX")=0),0))))</f>
      </c>
      <c r="H5665">
        <f>IF(DATOS!$G5665&lt;&gt;"EX",0,--(COUNTIFS(nNIA,DATOS!$A5665,nCURSO,DATOS!$D5665,nESPEC,DATOS!$E5665,nASIG,DATOS!$I5665,nEVAL,"OR")=0))</f>
      </c>
      <c r="I5665">
        <f>IF(DATOS!$I5665="","",IFERROR(VLOOKUP(DATOS!$I5665,CONFIG_ASIGNATURAS!$B$2:$J$91,9,FALSE()),""))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IF(DATOS!$A5666="",0,IF(CONFIG_METADATA!$B$4&lt;&gt;"OR+EX",--(DATOS!$G5666=CONFIG_METADATA!$B$4),IF(DATOS!$G5666="EX",1,IF(DATOS!$G5666="OR",--(COUNTIFS(nNIA,DATOS!$A5666,nCURSO,DATOS!$D5666,nESPEC,DATOS!$E5666,nASIG,DATOS!$I5666,nEVAL,"EX")=0),0))))</f>
      </c>
      <c r="H5666">
        <f>IF(DATOS!$G5666&lt;&gt;"EX",0,--(COUNTIFS(nNIA,DATOS!$A5666,nCURSO,DATOS!$D5666,nESPEC,DATOS!$E5666,nASIG,DATOS!$I5666,nEVAL,"OR")=0))</f>
      </c>
      <c r="I5666">
        <f>IF(DATOS!$I5666="","",IFERROR(VLOOKUP(DATOS!$I5666,CONFIG_ASIGNATURAS!$B$2:$J$91,9,FALSE()),""))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IF(DATOS!$A5667="",0,IF(CONFIG_METADATA!$B$4&lt;&gt;"OR+EX",--(DATOS!$G5667=CONFIG_METADATA!$B$4),IF(DATOS!$G5667="EX",1,IF(DATOS!$G5667="OR",--(COUNTIFS(nNIA,DATOS!$A5667,nCURSO,DATOS!$D5667,nESPEC,DATOS!$E5667,nASIG,DATOS!$I5667,nEVAL,"EX")=0),0))))</f>
      </c>
      <c r="H5667">
        <f>IF(DATOS!$G5667&lt;&gt;"EX",0,--(COUNTIFS(nNIA,DATOS!$A5667,nCURSO,DATOS!$D5667,nESPEC,DATOS!$E5667,nASIG,DATOS!$I5667,nEVAL,"OR")=0))</f>
      </c>
      <c r="I5667">
        <f>IF(DATOS!$I5667="","",IFERROR(VLOOKUP(DATOS!$I5667,CONFIG_ASIGNATURAS!$B$2:$J$91,9,FALSE()),""))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IF(DATOS!$A5668="",0,IF(CONFIG_METADATA!$B$4&lt;&gt;"OR+EX",--(DATOS!$G5668=CONFIG_METADATA!$B$4),IF(DATOS!$G5668="EX",1,IF(DATOS!$G5668="OR",--(COUNTIFS(nNIA,DATOS!$A5668,nCURSO,DATOS!$D5668,nESPEC,DATOS!$E5668,nASIG,DATOS!$I5668,nEVAL,"EX")=0),0))))</f>
      </c>
      <c r="H5668">
        <f>IF(DATOS!$G5668&lt;&gt;"EX",0,--(COUNTIFS(nNIA,DATOS!$A5668,nCURSO,DATOS!$D5668,nESPEC,DATOS!$E5668,nASIG,DATOS!$I5668,nEVAL,"OR")=0))</f>
      </c>
      <c r="I5668">
        <f>IF(DATOS!$I5668="","",IFERROR(VLOOKUP(DATOS!$I5668,CONFIG_ASIGNATURAS!$B$2:$J$91,9,FALSE()),""))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IF(DATOS!$A5669="",0,IF(CONFIG_METADATA!$B$4&lt;&gt;"OR+EX",--(DATOS!$G5669=CONFIG_METADATA!$B$4),IF(DATOS!$G5669="EX",1,IF(DATOS!$G5669="OR",--(COUNTIFS(nNIA,DATOS!$A5669,nCURSO,DATOS!$D5669,nESPEC,DATOS!$E5669,nASIG,DATOS!$I5669,nEVAL,"EX")=0),0))))</f>
      </c>
      <c r="H5669">
        <f>IF(DATOS!$G5669&lt;&gt;"EX",0,--(COUNTIFS(nNIA,DATOS!$A5669,nCURSO,DATOS!$D5669,nESPEC,DATOS!$E5669,nASIG,DATOS!$I5669,nEVAL,"OR")=0))</f>
      </c>
      <c r="I5669">
        <f>IF(DATOS!$I5669="","",IFERROR(VLOOKUP(DATOS!$I5669,CONFIG_ASIGNATURAS!$B$2:$J$91,9,FALSE()),""))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IF(DATOS!$A5670="",0,IF(CONFIG_METADATA!$B$4&lt;&gt;"OR+EX",--(DATOS!$G5670=CONFIG_METADATA!$B$4),IF(DATOS!$G5670="EX",1,IF(DATOS!$G5670="OR",--(COUNTIFS(nNIA,DATOS!$A5670,nCURSO,DATOS!$D5670,nESPEC,DATOS!$E5670,nASIG,DATOS!$I5670,nEVAL,"EX")=0),0))))</f>
      </c>
      <c r="H5670">
        <f>IF(DATOS!$G5670&lt;&gt;"EX",0,--(COUNTIFS(nNIA,DATOS!$A5670,nCURSO,DATOS!$D5670,nESPEC,DATOS!$E5670,nASIG,DATOS!$I5670,nEVAL,"OR")=0))</f>
      </c>
      <c r="I5670">
        <f>IF(DATOS!$I5670="","",IFERROR(VLOOKUP(DATOS!$I5670,CONFIG_ASIGNATURAS!$B$2:$J$91,9,FALSE()),""))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IF(DATOS!$A5671="",0,IF(CONFIG_METADATA!$B$4&lt;&gt;"OR+EX",--(DATOS!$G5671=CONFIG_METADATA!$B$4),IF(DATOS!$G5671="EX",1,IF(DATOS!$G5671="OR",--(COUNTIFS(nNIA,DATOS!$A5671,nCURSO,DATOS!$D5671,nESPEC,DATOS!$E5671,nASIG,DATOS!$I5671,nEVAL,"EX")=0),0))))</f>
      </c>
      <c r="H5671">
        <f>IF(DATOS!$G5671&lt;&gt;"EX",0,--(COUNTIFS(nNIA,DATOS!$A5671,nCURSO,DATOS!$D5671,nESPEC,DATOS!$E5671,nASIG,DATOS!$I5671,nEVAL,"OR")=0))</f>
      </c>
      <c r="I5671">
        <f>IF(DATOS!$I5671="","",IFERROR(VLOOKUP(DATOS!$I5671,CONFIG_ASIGNATURAS!$B$2:$J$91,9,FALSE()),""))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IF(DATOS!$A5672="",0,IF(CONFIG_METADATA!$B$4&lt;&gt;"OR+EX",--(DATOS!$G5672=CONFIG_METADATA!$B$4),IF(DATOS!$G5672="EX",1,IF(DATOS!$G5672="OR",--(COUNTIFS(nNIA,DATOS!$A5672,nCURSO,DATOS!$D5672,nESPEC,DATOS!$E5672,nASIG,DATOS!$I5672,nEVAL,"EX")=0),0))))</f>
      </c>
      <c r="H5672">
        <f>IF(DATOS!$G5672&lt;&gt;"EX",0,--(COUNTIFS(nNIA,DATOS!$A5672,nCURSO,DATOS!$D5672,nESPEC,DATOS!$E5672,nASIG,DATOS!$I5672,nEVAL,"OR")=0))</f>
      </c>
      <c r="I5672">
        <f>IF(DATOS!$I5672="","",IFERROR(VLOOKUP(DATOS!$I5672,CONFIG_ASIGNATURAS!$B$2:$J$91,9,FALSE()),""))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IF(DATOS!$A5673="",0,IF(CONFIG_METADATA!$B$4&lt;&gt;"OR+EX",--(DATOS!$G5673=CONFIG_METADATA!$B$4),IF(DATOS!$G5673="EX",1,IF(DATOS!$G5673="OR",--(COUNTIFS(nNIA,DATOS!$A5673,nCURSO,DATOS!$D5673,nESPEC,DATOS!$E5673,nASIG,DATOS!$I5673,nEVAL,"EX")=0),0))))</f>
      </c>
      <c r="H5673">
        <f>IF(DATOS!$G5673&lt;&gt;"EX",0,--(COUNTIFS(nNIA,DATOS!$A5673,nCURSO,DATOS!$D5673,nESPEC,DATOS!$E5673,nASIG,DATOS!$I5673,nEVAL,"OR")=0))</f>
      </c>
      <c r="I5673">
        <f>IF(DATOS!$I5673="","",IFERROR(VLOOKUP(DATOS!$I5673,CONFIG_ASIGNATURAS!$B$2:$J$91,9,FALSE()),""))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IF(DATOS!$A5674="",0,IF(CONFIG_METADATA!$B$4&lt;&gt;"OR+EX",--(DATOS!$G5674=CONFIG_METADATA!$B$4),IF(DATOS!$G5674="EX",1,IF(DATOS!$G5674="OR",--(COUNTIFS(nNIA,DATOS!$A5674,nCURSO,DATOS!$D5674,nESPEC,DATOS!$E5674,nASIG,DATOS!$I5674,nEVAL,"EX")=0),0))))</f>
      </c>
      <c r="H5674">
        <f>IF(DATOS!$G5674&lt;&gt;"EX",0,--(COUNTIFS(nNIA,DATOS!$A5674,nCURSO,DATOS!$D5674,nESPEC,DATOS!$E5674,nASIG,DATOS!$I5674,nEVAL,"OR")=0))</f>
      </c>
      <c r="I5674">
        <f>IF(DATOS!$I5674="","",IFERROR(VLOOKUP(DATOS!$I5674,CONFIG_ASIGNATURAS!$B$2:$J$91,9,FALSE()),""))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IF(DATOS!$A5675="",0,IF(CONFIG_METADATA!$B$4&lt;&gt;"OR+EX",--(DATOS!$G5675=CONFIG_METADATA!$B$4),IF(DATOS!$G5675="EX",1,IF(DATOS!$G5675="OR",--(COUNTIFS(nNIA,DATOS!$A5675,nCURSO,DATOS!$D5675,nESPEC,DATOS!$E5675,nASIG,DATOS!$I5675,nEVAL,"EX")=0),0))))</f>
      </c>
      <c r="H5675">
        <f>IF(DATOS!$G5675&lt;&gt;"EX",0,--(COUNTIFS(nNIA,DATOS!$A5675,nCURSO,DATOS!$D5675,nESPEC,DATOS!$E5675,nASIG,DATOS!$I5675,nEVAL,"OR")=0))</f>
      </c>
      <c r="I5675">
        <f>IF(DATOS!$I5675="","",IFERROR(VLOOKUP(DATOS!$I5675,CONFIG_ASIGNATURAS!$B$2:$J$91,9,FALSE()),""))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IF(DATOS!$A5676="",0,IF(CONFIG_METADATA!$B$4&lt;&gt;"OR+EX",--(DATOS!$G5676=CONFIG_METADATA!$B$4),IF(DATOS!$G5676="EX",1,IF(DATOS!$G5676="OR",--(COUNTIFS(nNIA,DATOS!$A5676,nCURSO,DATOS!$D5676,nESPEC,DATOS!$E5676,nASIG,DATOS!$I5676,nEVAL,"EX")=0),0))))</f>
      </c>
      <c r="H5676">
        <f>IF(DATOS!$G5676&lt;&gt;"EX",0,--(COUNTIFS(nNIA,DATOS!$A5676,nCURSO,DATOS!$D5676,nESPEC,DATOS!$E5676,nASIG,DATOS!$I5676,nEVAL,"OR")=0))</f>
      </c>
      <c r="I5676">
        <f>IF(DATOS!$I5676="","",IFERROR(VLOOKUP(DATOS!$I5676,CONFIG_ASIGNATURAS!$B$2:$J$91,9,FALSE()),""))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IF(DATOS!$A5677="",0,IF(CONFIG_METADATA!$B$4&lt;&gt;"OR+EX",--(DATOS!$G5677=CONFIG_METADATA!$B$4),IF(DATOS!$G5677="EX",1,IF(DATOS!$G5677="OR",--(COUNTIFS(nNIA,DATOS!$A5677,nCURSO,DATOS!$D5677,nESPEC,DATOS!$E5677,nASIG,DATOS!$I5677,nEVAL,"EX")=0),0))))</f>
      </c>
      <c r="H5677">
        <f>IF(DATOS!$G5677&lt;&gt;"EX",0,--(COUNTIFS(nNIA,DATOS!$A5677,nCURSO,DATOS!$D5677,nESPEC,DATOS!$E5677,nASIG,DATOS!$I5677,nEVAL,"OR")=0))</f>
      </c>
      <c r="I5677">
        <f>IF(DATOS!$I5677="","",IFERROR(VLOOKUP(DATOS!$I5677,CONFIG_ASIGNATURAS!$B$2:$J$91,9,FALSE()),""))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IF(DATOS!$A5678="",0,IF(CONFIG_METADATA!$B$4&lt;&gt;"OR+EX",--(DATOS!$G5678=CONFIG_METADATA!$B$4),IF(DATOS!$G5678="EX",1,IF(DATOS!$G5678="OR",--(COUNTIFS(nNIA,DATOS!$A5678,nCURSO,DATOS!$D5678,nESPEC,DATOS!$E5678,nASIG,DATOS!$I5678,nEVAL,"EX")=0),0))))</f>
      </c>
      <c r="H5678">
        <f>IF(DATOS!$G5678&lt;&gt;"EX",0,--(COUNTIFS(nNIA,DATOS!$A5678,nCURSO,DATOS!$D5678,nESPEC,DATOS!$E5678,nASIG,DATOS!$I5678,nEVAL,"OR")=0))</f>
      </c>
      <c r="I5678">
        <f>IF(DATOS!$I5678="","",IFERROR(VLOOKUP(DATOS!$I5678,CONFIG_ASIGNATURAS!$B$2:$J$91,9,FALSE()),""))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IF(DATOS!$A5679="",0,IF(CONFIG_METADATA!$B$4&lt;&gt;"OR+EX",--(DATOS!$G5679=CONFIG_METADATA!$B$4),IF(DATOS!$G5679="EX",1,IF(DATOS!$G5679="OR",--(COUNTIFS(nNIA,DATOS!$A5679,nCURSO,DATOS!$D5679,nESPEC,DATOS!$E5679,nASIG,DATOS!$I5679,nEVAL,"EX")=0),0))))</f>
      </c>
      <c r="H5679">
        <f>IF(DATOS!$G5679&lt;&gt;"EX",0,--(COUNTIFS(nNIA,DATOS!$A5679,nCURSO,DATOS!$D5679,nESPEC,DATOS!$E5679,nASIG,DATOS!$I5679,nEVAL,"OR")=0))</f>
      </c>
      <c r="I5679">
        <f>IF(DATOS!$I5679="","",IFERROR(VLOOKUP(DATOS!$I5679,CONFIG_ASIGNATURAS!$B$2:$J$91,9,FALSE()),""))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IF(DATOS!$A5680="",0,IF(CONFIG_METADATA!$B$4&lt;&gt;"OR+EX",--(DATOS!$G5680=CONFIG_METADATA!$B$4),IF(DATOS!$G5680="EX",1,IF(DATOS!$G5680="OR",--(COUNTIFS(nNIA,DATOS!$A5680,nCURSO,DATOS!$D5680,nESPEC,DATOS!$E5680,nASIG,DATOS!$I5680,nEVAL,"EX")=0),0))))</f>
      </c>
      <c r="H5680">
        <f>IF(DATOS!$G5680&lt;&gt;"EX",0,--(COUNTIFS(nNIA,DATOS!$A5680,nCURSO,DATOS!$D5680,nESPEC,DATOS!$E5680,nASIG,DATOS!$I5680,nEVAL,"OR")=0))</f>
      </c>
      <c r="I5680">
        <f>IF(DATOS!$I5680="","",IFERROR(VLOOKUP(DATOS!$I5680,CONFIG_ASIGNATURAS!$B$2:$J$91,9,FALSE()),""))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IF(DATOS!$A5681="",0,IF(CONFIG_METADATA!$B$4&lt;&gt;"OR+EX",--(DATOS!$G5681=CONFIG_METADATA!$B$4),IF(DATOS!$G5681="EX",1,IF(DATOS!$G5681="OR",--(COUNTIFS(nNIA,DATOS!$A5681,nCURSO,DATOS!$D5681,nESPEC,DATOS!$E5681,nASIG,DATOS!$I5681,nEVAL,"EX")=0),0))))</f>
      </c>
      <c r="H5681">
        <f>IF(DATOS!$G5681&lt;&gt;"EX",0,--(COUNTIFS(nNIA,DATOS!$A5681,nCURSO,DATOS!$D5681,nESPEC,DATOS!$E5681,nASIG,DATOS!$I5681,nEVAL,"OR")=0))</f>
      </c>
      <c r="I5681">
        <f>IF(DATOS!$I5681="","",IFERROR(VLOOKUP(DATOS!$I5681,CONFIG_ASIGNATURAS!$B$2:$J$91,9,FALSE()),""))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IF(DATOS!$A5682="",0,IF(CONFIG_METADATA!$B$4&lt;&gt;"OR+EX",--(DATOS!$G5682=CONFIG_METADATA!$B$4),IF(DATOS!$G5682="EX",1,IF(DATOS!$G5682="OR",--(COUNTIFS(nNIA,DATOS!$A5682,nCURSO,DATOS!$D5682,nESPEC,DATOS!$E5682,nASIG,DATOS!$I5682,nEVAL,"EX")=0),0))))</f>
      </c>
      <c r="H5682">
        <f>IF(DATOS!$G5682&lt;&gt;"EX",0,--(COUNTIFS(nNIA,DATOS!$A5682,nCURSO,DATOS!$D5682,nESPEC,DATOS!$E5682,nASIG,DATOS!$I5682,nEVAL,"OR")=0))</f>
      </c>
      <c r="I5682">
        <f>IF(DATOS!$I5682="","",IFERROR(VLOOKUP(DATOS!$I5682,CONFIG_ASIGNATURAS!$B$2:$J$91,9,FALSE()),""))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IF(DATOS!$A5683="",0,IF(CONFIG_METADATA!$B$4&lt;&gt;"OR+EX",--(DATOS!$G5683=CONFIG_METADATA!$B$4),IF(DATOS!$G5683="EX",1,IF(DATOS!$G5683="OR",--(COUNTIFS(nNIA,DATOS!$A5683,nCURSO,DATOS!$D5683,nESPEC,DATOS!$E5683,nASIG,DATOS!$I5683,nEVAL,"EX")=0),0))))</f>
      </c>
      <c r="H5683">
        <f>IF(DATOS!$G5683&lt;&gt;"EX",0,--(COUNTIFS(nNIA,DATOS!$A5683,nCURSO,DATOS!$D5683,nESPEC,DATOS!$E5683,nASIG,DATOS!$I5683,nEVAL,"OR")=0))</f>
      </c>
      <c r="I5683">
        <f>IF(DATOS!$I5683="","",IFERROR(VLOOKUP(DATOS!$I5683,CONFIG_ASIGNATURAS!$B$2:$J$91,9,FALSE()),""))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IF(DATOS!$A5684="",0,IF(CONFIG_METADATA!$B$4&lt;&gt;"OR+EX",--(DATOS!$G5684=CONFIG_METADATA!$B$4),IF(DATOS!$G5684="EX",1,IF(DATOS!$G5684="OR",--(COUNTIFS(nNIA,DATOS!$A5684,nCURSO,DATOS!$D5684,nESPEC,DATOS!$E5684,nASIG,DATOS!$I5684,nEVAL,"EX")=0),0))))</f>
      </c>
      <c r="H5684">
        <f>IF(DATOS!$G5684&lt;&gt;"EX",0,--(COUNTIFS(nNIA,DATOS!$A5684,nCURSO,DATOS!$D5684,nESPEC,DATOS!$E5684,nASIG,DATOS!$I5684,nEVAL,"OR")=0))</f>
      </c>
      <c r="I5684">
        <f>IF(DATOS!$I5684="","",IFERROR(VLOOKUP(DATOS!$I5684,CONFIG_ASIGNATURAS!$B$2:$J$91,9,FALSE()),""))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IF(DATOS!$A5685="",0,IF(CONFIG_METADATA!$B$4&lt;&gt;"OR+EX",--(DATOS!$G5685=CONFIG_METADATA!$B$4),IF(DATOS!$G5685="EX",1,IF(DATOS!$G5685="OR",--(COUNTIFS(nNIA,DATOS!$A5685,nCURSO,DATOS!$D5685,nESPEC,DATOS!$E5685,nASIG,DATOS!$I5685,nEVAL,"EX")=0),0))))</f>
      </c>
      <c r="H5685">
        <f>IF(DATOS!$G5685&lt;&gt;"EX",0,--(COUNTIFS(nNIA,DATOS!$A5685,nCURSO,DATOS!$D5685,nESPEC,DATOS!$E5685,nASIG,DATOS!$I5685,nEVAL,"OR")=0))</f>
      </c>
      <c r="I5685">
        <f>IF(DATOS!$I5685="","",IFERROR(VLOOKUP(DATOS!$I5685,CONFIG_ASIGNATURAS!$B$2:$J$91,9,FALSE()),""))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IF(DATOS!$A5686="",0,IF(CONFIG_METADATA!$B$4&lt;&gt;"OR+EX",--(DATOS!$G5686=CONFIG_METADATA!$B$4),IF(DATOS!$G5686="EX",1,IF(DATOS!$G5686="OR",--(COUNTIFS(nNIA,DATOS!$A5686,nCURSO,DATOS!$D5686,nESPEC,DATOS!$E5686,nASIG,DATOS!$I5686,nEVAL,"EX")=0),0))))</f>
      </c>
      <c r="H5686">
        <f>IF(DATOS!$G5686&lt;&gt;"EX",0,--(COUNTIFS(nNIA,DATOS!$A5686,nCURSO,DATOS!$D5686,nESPEC,DATOS!$E5686,nASIG,DATOS!$I5686,nEVAL,"OR")=0))</f>
      </c>
      <c r="I5686">
        <f>IF(DATOS!$I5686="","",IFERROR(VLOOKUP(DATOS!$I5686,CONFIG_ASIGNATURAS!$B$2:$J$91,9,FALSE()),""))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IF(DATOS!$A5687="",0,IF(CONFIG_METADATA!$B$4&lt;&gt;"OR+EX",--(DATOS!$G5687=CONFIG_METADATA!$B$4),IF(DATOS!$G5687="EX",1,IF(DATOS!$G5687="OR",--(COUNTIFS(nNIA,DATOS!$A5687,nCURSO,DATOS!$D5687,nESPEC,DATOS!$E5687,nASIG,DATOS!$I5687,nEVAL,"EX")=0),0))))</f>
      </c>
      <c r="H5687">
        <f>IF(DATOS!$G5687&lt;&gt;"EX",0,--(COUNTIFS(nNIA,DATOS!$A5687,nCURSO,DATOS!$D5687,nESPEC,DATOS!$E5687,nASIG,DATOS!$I5687,nEVAL,"OR")=0))</f>
      </c>
      <c r="I5687">
        <f>IF(DATOS!$I5687="","",IFERROR(VLOOKUP(DATOS!$I5687,CONFIG_ASIGNATURAS!$B$2:$J$91,9,FALSE()),""))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IF(DATOS!$A5688="",0,IF(CONFIG_METADATA!$B$4&lt;&gt;"OR+EX",--(DATOS!$G5688=CONFIG_METADATA!$B$4),IF(DATOS!$G5688="EX",1,IF(DATOS!$G5688="OR",--(COUNTIFS(nNIA,DATOS!$A5688,nCURSO,DATOS!$D5688,nESPEC,DATOS!$E5688,nASIG,DATOS!$I5688,nEVAL,"EX")=0),0))))</f>
      </c>
      <c r="H5688">
        <f>IF(DATOS!$G5688&lt;&gt;"EX",0,--(COUNTIFS(nNIA,DATOS!$A5688,nCURSO,DATOS!$D5688,nESPEC,DATOS!$E5688,nASIG,DATOS!$I5688,nEVAL,"OR")=0))</f>
      </c>
      <c r="I5688">
        <f>IF(DATOS!$I5688="","",IFERROR(VLOOKUP(DATOS!$I5688,CONFIG_ASIGNATURAS!$B$2:$J$91,9,FALSE()),""))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IF(DATOS!$A5689="",0,IF(CONFIG_METADATA!$B$4&lt;&gt;"OR+EX",--(DATOS!$G5689=CONFIG_METADATA!$B$4),IF(DATOS!$G5689="EX",1,IF(DATOS!$G5689="OR",--(COUNTIFS(nNIA,DATOS!$A5689,nCURSO,DATOS!$D5689,nESPEC,DATOS!$E5689,nASIG,DATOS!$I5689,nEVAL,"EX")=0),0))))</f>
      </c>
      <c r="H5689">
        <f>IF(DATOS!$G5689&lt;&gt;"EX",0,--(COUNTIFS(nNIA,DATOS!$A5689,nCURSO,DATOS!$D5689,nESPEC,DATOS!$E5689,nASIG,DATOS!$I5689,nEVAL,"OR")=0))</f>
      </c>
      <c r="I5689">
        <f>IF(DATOS!$I5689="","",IFERROR(VLOOKUP(DATOS!$I5689,CONFIG_ASIGNATURAS!$B$2:$J$91,9,FALSE()),""))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IF(DATOS!$A5690="",0,IF(CONFIG_METADATA!$B$4&lt;&gt;"OR+EX",--(DATOS!$G5690=CONFIG_METADATA!$B$4),IF(DATOS!$G5690="EX",1,IF(DATOS!$G5690="OR",--(COUNTIFS(nNIA,DATOS!$A5690,nCURSO,DATOS!$D5690,nESPEC,DATOS!$E5690,nASIG,DATOS!$I5690,nEVAL,"EX")=0),0))))</f>
      </c>
      <c r="H5690">
        <f>IF(DATOS!$G5690&lt;&gt;"EX",0,--(COUNTIFS(nNIA,DATOS!$A5690,nCURSO,DATOS!$D5690,nESPEC,DATOS!$E5690,nASIG,DATOS!$I5690,nEVAL,"OR")=0))</f>
      </c>
      <c r="I5690">
        <f>IF(DATOS!$I5690="","",IFERROR(VLOOKUP(DATOS!$I5690,CONFIG_ASIGNATURAS!$B$2:$J$91,9,FALSE()),""))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IF(DATOS!$A5691="",0,IF(CONFIG_METADATA!$B$4&lt;&gt;"OR+EX",--(DATOS!$G5691=CONFIG_METADATA!$B$4),IF(DATOS!$G5691="EX",1,IF(DATOS!$G5691="OR",--(COUNTIFS(nNIA,DATOS!$A5691,nCURSO,DATOS!$D5691,nESPEC,DATOS!$E5691,nASIG,DATOS!$I5691,nEVAL,"EX")=0),0))))</f>
      </c>
      <c r="H5691">
        <f>IF(DATOS!$G5691&lt;&gt;"EX",0,--(COUNTIFS(nNIA,DATOS!$A5691,nCURSO,DATOS!$D5691,nESPEC,DATOS!$E5691,nASIG,DATOS!$I5691,nEVAL,"OR")=0))</f>
      </c>
      <c r="I5691">
        <f>IF(DATOS!$I5691="","",IFERROR(VLOOKUP(DATOS!$I5691,CONFIG_ASIGNATURAS!$B$2:$J$91,9,FALSE()),""))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IF(DATOS!$A5692="",0,IF(CONFIG_METADATA!$B$4&lt;&gt;"OR+EX",--(DATOS!$G5692=CONFIG_METADATA!$B$4),IF(DATOS!$G5692="EX",1,IF(DATOS!$G5692="OR",--(COUNTIFS(nNIA,DATOS!$A5692,nCURSO,DATOS!$D5692,nESPEC,DATOS!$E5692,nASIG,DATOS!$I5692,nEVAL,"EX")=0),0))))</f>
      </c>
      <c r="H5692">
        <f>IF(DATOS!$G5692&lt;&gt;"EX",0,--(COUNTIFS(nNIA,DATOS!$A5692,nCURSO,DATOS!$D5692,nESPEC,DATOS!$E5692,nASIG,DATOS!$I5692,nEVAL,"OR")=0))</f>
      </c>
      <c r="I5692">
        <f>IF(DATOS!$I5692="","",IFERROR(VLOOKUP(DATOS!$I5692,CONFIG_ASIGNATURAS!$B$2:$J$91,9,FALSE()),""))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IF(DATOS!$A5693="",0,IF(CONFIG_METADATA!$B$4&lt;&gt;"OR+EX",--(DATOS!$G5693=CONFIG_METADATA!$B$4),IF(DATOS!$G5693="EX",1,IF(DATOS!$G5693="OR",--(COUNTIFS(nNIA,DATOS!$A5693,nCURSO,DATOS!$D5693,nESPEC,DATOS!$E5693,nASIG,DATOS!$I5693,nEVAL,"EX")=0),0))))</f>
      </c>
      <c r="H5693">
        <f>IF(DATOS!$G5693&lt;&gt;"EX",0,--(COUNTIFS(nNIA,DATOS!$A5693,nCURSO,DATOS!$D5693,nESPEC,DATOS!$E5693,nASIG,DATOS!$I5693,nEVAL,"OR")=0))</f>
      </c>
      <c r="I5693">
        <f>IF(DATOS!$I5693="","",IFERROR(VLOOKUP(DATOS!$I5693,CONFIG_ASIGNATURAS!$B$2:$J$91,9,FALSE()),""))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IF(DATOS!$A5694="",0,IF(CONFIG_METADATA!$B$4&lt;&gt;"OR+EX",--(DATOS!$G5694=CONFIG_METADATA!$B$4),IF(DATOS!$G5694="EX",1,IF(DATOS!$G5694="OR",--(COUNTIFS(nNIA,DATOS!$A5694,nCURSO,DATOS!$D5694,nESPEC,DATOS!$E5694,nASIG,DATOS!$I5694,nEVAL,"EX")=0),0))))</f>
      </c>
      <c r="H5694">
        <f>IF(DATOS!$G5694&lt;&gt;"EX",0,--(COUNTIFS(nNIA,DATOS!$A5694,nCURSO,DATOS!$D5694,nESPEC,DATOS!$E5694,nASIG,DATOS!$I5694,nEVAL,"OR")=0))</f>
      </c>
      <c r="I5694">
        <f>IF(DATOS!$I5694="","",IFERROR(VLOOKUP(DATOS!$I5694,CONFIG_ASIGNATURAS!$B$2:$J$91,9,FALSE()),""))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IF(DATOS!$A5695="",0,IF(CONFIG_METADATA!$B$4&lt;&gt;"OR+EX",--(DATOS!$G5695=CONFIG_METADATA!$B$4),IF(DATOS!$G5695="EX",1,IF(DATOS!$G5695="OR",--(COUNTIFS(nNIA,DATOS!$A5695,nCURSO,DATOS!$D5695,nESPEC,DATOS!$E5695,nASIG,DATOS!$I5695,nEVAL,"EX")=0),0))))</f>
      </c>
      <c r="H5695">
        <f>IF(DATOS!$G5695&lt;&gt;"EX",0,--(COUNTIFS(nNIA,DATOS!$A5695,nCURSO,DATOS!$D5695,nESPEC,DATOS!$E5695,nASIG,DATOS!$I5695,nEVAL,"OR")=0))</f>
      </c>
      <c r="I5695">
        <f>IF(DATOS!$I5695="","",IFERROR(VLOOKUP(DATOS!$I5695,CONFIG_ASIGNATURAS!$B$2:$J$91,9,FALSE()),""))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IF(DATOS!$A5696="",0,IF(CONFIG_METADATA!$B$4&lt;&gt;"OR+EX",--(DATOS!$G5696=CONFIG_METADATA!$B$4),IF(DATOS!$G5696="EX",1,IF(DATOS!$G5696="OR",--(COUNTIFS(nNIA,DATOS!$A5696,nCURSO,DATOS!$D5696,nESPEC,DATOS!$E5696,nASIG,DATOS!$I5696,nEVAL,"EX")=0),0))))</f>
      </c>
      <c r="H5696">
        <f>IF(DATOS!$G5696&lt;&gt;"EX",0,--(COUNTIFS(nNIA,DATOS!$A5696,nCURSO,DATOS!$D5696,nESPEC,DATOS!$E5696,nASIG,DATOS!$I5696,nEVAL,"OR")=0))</f>
      </c>
      <c r="I5696">
        <f>IF(DATOS!$I5696="","",IFERROR(VLOOKUP(DATOS!$I5696,CONFIG_ASIGNATURAS!$B$2:$J$91,9,FALSE()),""))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IF(DATOS!$A5697="",0,IF(CONFIG_METADATA!$B$4&lt;&gt;"OR+EX",--(DATOS!$G5697=CONFIG_METADATA!$B$4),IF(DATOS!$G5697="EX",1,IF(DATOS!$G5697="OR",--(COUNTIFS(nNIA,DATOS!$A5697,nCURSO,DATOS!$D5697,nESPEC,DATOS!$E5697,nASIG,DATOS!$I5697,nEVAL,"EX")=0),0))))</f>
      </c>
      <c r="H5697">
        <f>IF(DATOS!$G5697&lt;&gt;"EX",0,--(COUNTIFS(nNIA,DATOS!$A5697,nCURSO,DATOS!$D5697,nESPEC,DATOS!$E5697,nASIG,DATOS!$I5697,nEVAL,"OR")=0))</f>
      </c>
      <c r="I5697">
        <f>IF(DATOS!$I5697="","",IFERROR(VLOOKUP(DATOS!$I5697,CONFIG_ASIGNATURAS!$B$2:$J$91,9,FALSE()),""))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IF(DATOS!$A5698="",0,IF(CONFIG_METADATA!$B$4&lt;&gt;"OR+EX",--(DATOS!$G5698=CONFIG_METADATA!$B$4),IF(DATOS!$G5698="EX",1,IF(DATOS!$G5698="OR",--(COUNTIFS(nNIA,DATOS!$A5698,nCURSO,DATOS!$D5698,nESPEC,DATOS!$E5698,nASIG,DATOS!$I5698,nEVAL,"EX")=0),0))))</f>
      </c>
      <c r="H5698">
        <f>IF(DATOS!$G5698&lt;&gt;"EX",0,--(COUNTIFS(nNIA,DATOS!$A5698,nCURSO,DATOS!$D5698,nESPEC,DATOS!$E5698,nASIG,DATOS!$I5698,nEVAL,"OR")=0))</f>
      </c>
      <c r="I5698">
        <f>IF(DATOS!$I5698="","",IFERROR(VLOOKUP(DATOS!$I5698,CONFIG_ASIGNATURAS!$B$2:$J$91,9,FALSE()),""))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IF(DATOS!$A5699="",0,IF(CONFIG_METADATA!$B$4&lt;&gt;"OR+EX",--(DATOS!$G5699=CONFIG_METADATA!$B$4),IF(DATOS!$G5699="EX",1,IF(DATOS!$G5699="OR",--(COUNTIFS(nNIA,DATOS!$A5699,nCURSO,DATOS!$D5699,nESPEC,DATOS!$E5699,nASIG,DATOS!$I5699,nEVAL,"EX")=0),0))))</f>
      </c>
      <c r="H5699">
        <f>IF(DATOS!$G5699&lt;&gt;"EX",0,--(COUNTIFS(nNIA,DATOS!$A5699,nCURSO,DATOS!$D5699,nESPEC,DATOS!$E5699,nASIG,DATOS!$I5699,nEVAL,"OR")=0))</f>
      </c>
      <c r="I5699">
        <f>IF(DATOS!$I5699="","",IFERROR(VLOOKUP(DATOS!$I5699,CONFIG_ASIGNATURAS!$B$2:$J$91,9,FALSE()),""))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IF(DATOS!$A5700="",0,IF(CONFIG_METADATA!$B$4&lt;&gt;"OR+EX",--(DATOS!$G5700=CONFIG_METADATA!$B$4),IF(DATOS!$G5700="EX",1,IF(DATOS!$G5700="OR",--(COUNTIFS(nNIA,DATOS!$A5700,nCURSO,DATOS!$D5700,nESPEC,DATOS!$E5700,nASIG,DATOS!$I5700,nEVAL,"EX")=0),0))))</f>
      </c>
      <c r="H5700">
        <f>IF(DATOS!$G5700&lt;&gt;"EX",0,--(COUNTIFS(nNIA,DATOS!$A5700,nCURSO,DATOS!$D5700,nESPEC,DATOS!$E5700,nASIG,DATOS!$I5700,nEVAL,"OR")=0))</f>
      </c>
      <c r="I5700">
        <f>IF(DATOS!$I5700="","",IFERROR(VLOOKUP(DATOS!$I5700,CONFIG_ASIGNATURAS!$B$2:$J$91,9,FALSE()),""))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IF(DATOS!$A5701="",0,IF(CONFIG_METADATA!$B$4&lt;&gt;"OR+EX",--(DATOS!$G5701=CONFIG_METADATA!$B$4),IF(DATOS!$G5701="EX",1,IF(DATOS!$G5701="OR",--(COUNTIFS(nNIA,DATOS!$A5701,nCURSO,DATOS!$D5701,nESPEC,DATOS!$E5701,nASIG,DATOS!$I5701,nEVAL,"EX")=0),0))))</f>
      </c>
      <c r="H5701">
        <f>IF(DATOS!$G5701&lt;&gt;"EX",0,--(COUNTIFS(nNIA,DATOS!$A5701,nCURSO,DATOS!$D5701,nESPEC,DATOS!$E5701,nASIG,DATOS!$I5701,nEVAL,"OR")=0))</f>
      </c>
      <c r="I5701">
        <f>IF(DATOS!$I5701="","",IFERROR(VLOOKUP(DATOS!$I5701,CONFIG_ASIGNATURAS!$B$2:$J$91,9,FALSE()),""))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IF(DATOS!$A5702="",0,IF(CONFIG_METADATA!$B$4&lt;&gt;"OR+EX",--(DATOS!$G5702=CONFIG_METADATA!$B$4),IF(DATOS!$G5702="EX",1,IF(DATOS!$G5702="OR",--(COUNTIFS(nNIA,DATOS!$A5702,nCURSO,DATOS!$D5702,nESPEC,DATOS!$E5702,nASIG,DATOS!$I5702,nEVAL,"EX")=0),0))))</f>
      </c>
      <c r="H5702">
        <f>IF(DATOS!$G5702&lt;&gt;"EX",0,--(COUNTIFS(nNIA,DATOS!$A5702,nCURSO,DATOS!$D5702,nESPEC,DATOS!$E5702,nASIG,DATOS!$I5702,nEVAL,"OR")=0))</f>
      </c>
      <c r="I5702">
        <f>IF(DATOS!$I5702="","",IFERROR(VLOOKUP(DATOS!$I5702,CONFIG_ASIGNATURAS!$B$2:$J$91,9,FALSE()),""))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IF(DATOS!$A5703="",0,IF(CONFIG_METADATA!$B$4&lt;&gt;"OR+EX",--(DATOS!$G5703=CONFIG_METADATA!$B$4),IF(DATOS!$G5703="EX",1,IF(DATOS!$G5703="OR",--(COUNTIFS(nNIA,DATOS!$A5703,nCURSO,DATOS!$D5703,nESPEC,DATOS!$E5703,nASIG,DATOS!$I5703,nEVAL,"EX")=0),0))))</f>
      </c>
      <c r="H5703">
        <f>IF(DATOS!$G5703&lt;&gt;"EX",0,--(COUNTIFS(nNIA,DATOS!$A5703,nCURSO,DATOS!$D5703,nESPEC,DATOS!$E5703,nASIG,DATOS!$I5703,nEVAL,"OR")=0))</f>
      </c>
      <c r="I5703">
        <f>IF(DATOS!$I5703="","",IFERROR(VLOOKUP(DATOS!$I5703,CONFIG_ASIGNATURAS!$B$2:$J$91,9,FALSE()),""))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IF(DATOS!$A5704="",0,IF(CONFIG_METADATA!$B$4&lt;&gt;"OR+EX",--(DATOS!$G5704=CONFIG_METADATA!$B$4),IF(DATOS!$G5704="EX",1,IF(DATOS!$G5704="OR",--(COUNTIFS(nNIA,DATOS!$A5704,nCURSO,DATOS!$D5704,nESPEC,DATOS!$E5704,nASIG,DATOS!$I5704,nEVAL,"EX")=0),0))))</f>
      </c>
      <c r="H5704">
        <f>IF(DATOS!$G5704&lt;&gt;"EX",0,--(COUNTIFS(nNIA,DATOS!$A5704,nCURSO,DATOS!$D5704,nESPEC,DATOS!$E5704,nASIG,DATOS!$I5704,nEVAL,"OR")=0))</f>
      </c>
      <c r="I5704">
        <f>IF(DATOS!$I5704="","",IFERROR(VLOOKUP(DATOS!$I5704,CONFIG_ASIGNATURAS!$B$2:$J$91,9,FALSE()),""))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IF(DATOS!$A5705="",0,IF(CONFIG_METADATA!$B$4&lt;&gt;"OR+EX",--(DATOS!$G5705=CONFIG_METADATA!$B$4),IF(DATOS!$G5705="EX",1,IF(DATOS!$G5705="OR",--(COUNTIFS(nNIA,DATOS!$A5705,nCURSO,DATOS!$D5705,nESPEC,DATOS!$E5705,nASIG,DATOS!$I5705,nEVAL,"EX")=0),0))))</f>
      </c>
      <c r="H5705">
        <f>IF(DATOS!$G5705&lt;&gt;"EX",0,--(COUNTIFS(nNIA,DATOS!$A5705,nCURSO,DATOS!$D5705,nESPEC,DATOS!$E5705,nASIG,DATOS!$I5705,nEVAL,"OR")=0))</f>
      </c>
      <c r="I5705">
        <f>IF(DATOS!$I5705="","",IFERROR(VLOOKUP(DATOS!$I5705,CONFIG_ASIGNATURAS!$B$2:$J$91,9,FALSE()),""))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IF(DATOS!$A5706="",0,IF(CONFIG_METADATA!$B$4&lt;&gt;"OR+EX",--(DATOS!$G5706=CONFIG_METADATA!$B$4),IF(DATOS!$G5706="EX",1,IF(DATOS!$G5706="OR",--(COUNTIFS(nNIA,DATOS!$A5706,nCURSO,DATOS!$D5706,nESPEC,DATOS!$E5706,nASIG,DATOS!$I5706,nEVAL,"EX")=0),0))))</f>
      </c>
      <c r="H5706">
        <f>IF(DATOS!$G5706&lt;&gt;"EX",0,--(COUNTIFS(nNIA,DATOS!$A5706,nCURSO,DATOS!$D5706,nESPEC,DATOS!$E5706,nASIG,DATOS!$I5706,nEVAL,"OR")=0))</f>
      </c>
      <c r="I5706">
        <f>IF(DATOS!$I5706="","",IFERROR(VLOOKUP(DATOS!$I5706,CONFIG_ASIGNATURAS!$B$2:$J$91,9,FALSE()),""))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IF(DATOS!$A5707="",0,IF(CONFIG_METADATA!$B$4&lt;&gt;"OR+EX",--(DATOS!$G5707=CONFIG_METADATA!$B$4),IF(DATOS!$G5707="EX",1,IF(DATOS!$G5707="OR",--(COUNTIFS(nNIA,DATOS!$A5707,nCURSO,DATOS!$D5707,nESPEC,DATOS!$E5707,nASIG,DATOS!$I5707,nEVAL,"EX")=0),0))))</f>
      </c>
      <c r="H5707">
        <f>IF(DATOS!$G5707&lt;&gt;"EX",0,--(COUNTIFS(nNIA,DATOS!$A5707,nCURSO,DATOS!$D5707,nESPEC,DATOS!$E5707,nASIG,DATOS!$I5707,nEVAL,"OR")=0))</f>
      </c>
      <c r="I5707">
        <f>IF(DATOS!$I5707="","",IFERROR(VLOOKUP(DATOS!$I5707,CONFIG_ASIGNATURAS!$B$2:$J$91,9,FALSE()),""))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IF(DATOS!$A5708="",0,IF(CONFIG_METADATA!$B$4&lt;&gt;"OR+EX",--(DATOS!$G5708=CONFIG_METADATA!$B$4),IF(DATOS!$G5708="EX",1,IF(DATOS!$G5708="OR",--(COUNTIFS(nNIA,DATOS!$A5708,nCURSO,DATOS!$D5708,nESPEC,DATOS!$E5708,nASIG,DATOS!$I5708,nEVAL,"EX")=0),0))))</f>
      </c>
      <c r="H5708">
        <f>IF(DATOS!$G5708&lt;&gt;"EX",0,--(COUNTIFS(nNIA,DATOS!$A5708,nCURSO,DATOS!$D5708,nESPEC,DATOS!$E5708,nASIG,DATOS!$I5708,nEVAL,"OR")=0))</f>
      </c>
      <c r="I5708">
        <f>IF(DATOS!$I5708="","",IFERROR(VLOOKUP(DATOS!$I5708,CONFIG_ASIGNATURAS!$B$2:$J$91,9,FALSE()),""))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IF(DATOS!$A5709="",0,IF(CONFIG_METADATA!$B$4&lt;&gt;"OR+EX",--(DATOS!$G5709=CONFIG_METADATA!$B$4),IF(DATOS!$G5709="EX",1,IF(DATOS!$G5709="OR",--(COUNTIFS(nNIA,DATOS!$A5709,nCURSO,DATOS!$D5709,nESPEC,DATOS!$E5709,nASIG,DATOS!$I5709,nEVAL,"EX")=0),0))))</f>
      </c>
      <c r="H5709">
        <f>IF(DATOS!$G5709&lt;&gt;"EX",0,--(COUNTIFS(nNIA,DATOS!$A5709,nCURSO,DATOS!$D5709,nESPEC,DATOS!$E5709,nASIG,DATOS!$I5709,nEVAL,"OR")=0))</f>
      </c>
      <c r="I5709">
        <f>IF(DATOS!$I5709="","",IFERROR(VLOOKUP(DATOS!$I5709,CONFIG_ASIGNATURAS!$B$2:$J$91,9,FALSE()),""))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IF(DATOS!$A5710="",0,IF(CONFIG_METADATA!$B$4&lt;&gt;"OR+EX",--(DATOS!$G5710=CONFIG_METADATA!$B$4),IF(DATOS!$G5710="EX",1,IF(DATOS!$G5710="OR",--(COUNTIFS(nNIA,DATOS!$A5710,nCURSO,DATOS!$D5710,nESPEC,DATOS!$E5710,nASIG,DATOS!$I5710,nEVAL,"EX")=0),0))))</f>
      </c>
      <c r="H5710">
        <f>IF(DATOS!$G5710&lt;&gt;"EX",0,--(COUNTIFS(nNIA,DATOS!$A5710,nCURSO,DATOS!$D5710,nESPEC,DATOS!$E5710,nASIG,DATOS!$I5710,nEVAL,"OR")=0))</f>
      </c>
      <c r="I5710">
        <f>IF(DATOS!$I5710="","",IFERROR(VLOOKUP(DATOS!$I5710,CONFIG_ASIGNATURAS!$B$2:$J$91,9,FALSE()),""))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IF(DATOS!$A5711="",0,IF(CONFIG_METADATA!$B$4&lt;&gt;"OR+EX",--(DATOS!$G5711=CONFIG_METADATA!$B$4),IF(DATOS!$G5711="EX",1,IF(DATOS!$G5711="OR",--(COUNTIFS(nNIA,DATOS!$A5711,nCURSO,DATOS!$D5711,nESPEC,DATOS!$E5711,nASIG,DATOS!$I5711,nEVAL,"EX")=0),0))))</f>
      </c>
      <c r="H5711">
        <f>IF(DATOS!$G5711&lt;&gt;"EX",0,--(COUNTIFS(nNIA,DATOS!$A5711,nCURSO,DATOS!$D5711,nESPEC,DATOS!$E5711,nASIG,DATOS!$I5711,nEVAL,"OR")=0))</f>
      </c>
      <c r="I5711">
        <f>IF(DATOS!$I5711="","",IFERROR(VLOOKUP(DATOS!$I5711,CONFIG_ASIGNATURAS!$B$2:$J$91,9,FALSE()),""))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IF(DATOS!$A5712="",0,IF(CONFIG_METADATA!$B$4&lt;&gt;"OR+EX",--(DATOS!$G5712=CONFIG_METADATA!$B$4),IF(DATOS!$G5712="EX",1,IF(DATOS!$G5712="OR",--(COUNTIFS(nNIA,DATOS!$A5712,nCURSO,DATOS!$D5712,nESPEC,DATOS!$E5712,nASIG,DATOS!$I5712,nEVAL,"EX")=0),0))))</f>
      </c>
      <c r="H5712">
        <f>IF(DATOS!$G5712&lt;&gt;"EX",0,--(COUNTIFS(nNIA,DATOS!$A5712,nCURSO,DATOS!$D5712,nESPEC,DATOS!$E5712,nASIG,DATOS!$I5712,nEVAL,"OR")=0))</f>
      </c>
      <c r="I5712">
        <f>IF(DATOS!$I5712="","",IFERROR(VLOOKUP(DATOS!$I5712,CONFIG_ASIGNATURAS!$B$2:$J$91,9,FALSE()),""))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IF(DATOS!$A5713="",0,IF(CONFIG_METADATA!$B$4&lt;&gt;"OR+EX",--(DATOS!$G5713=CONFIG_METADATA!$B$4),IF(DATOS!$G5713="EX",1,IF(DATOS!$G5713="OR",--(COUNTIFS(nNIA,DATOS!$A5713,nCURSO,DATOS!$D5713,nESPEC,DATOS!$E5713,nASIG,DATOS!$I5713,nEVAL,"EX")=0),0))))</f>
      </c>
      <c r="H5713">
        <f>IF(DATOS!$G5713&lt;&gt;"EX",0,--(COUNTIFS(nNIA,DATOS!$A5713,nCURSO,DATOS!$D5713,nESPEC,DATOS!$E5713,nASIG,DATOS!$I5713,nEVAL,"OR")=0))</f>
      </c>
      <c r="I5713">
        <f>IF(DATOS!$I5713="","",IFERROR(VLOOKUP(DATOS!$I5713,CONFIG_ASIGNATURAS!$B$2:$J$91,9,FALSE()),""))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IF(DATOS!$A5714="",0,IF(CONFIG_METADATA!$B$4&lt;&gt;"OR+EX",--(DATOS!$G5714=CONFIG_METADATA!$B$4),IF(DATOS!$G5714="EX",1,IF(DATOS!$G5714="OR",--(COUNTIFS(nNIA,DATOS!$A5714,nCURSO,DATOS!$D5714,nESPEC,DATOS!$E5714,nASIG,DATOS!$I5714,nEVAL,"EX")=0),0))))</f>
      </c>
      <c r="H5714">
        <f>IF(DATOS!$G5714&lt;&gt;"EX",0,--(COUNTIFS(nNIA,DATOS!$A5714,nCURSO,DATOS!$D5714,nESPEC,DATOS!$E5714,nASIG,DATOS!$I5714,nEVAL,"OR")=0))</f>
      </c>
      <c r="I5714">
        <f>IF(DATOS!$I5714="","",IFERROR(VLOOKUP(DATOS!$I5714,CONFIG_ASIGNATURAS!$B$2:$J$91,9,FALSE()),""))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IF(DATOS!$A5715="",0,IF(CONFIG_METADATA!$B$4&lt;&gt;"OR+EX",--(DATOS!$G5715=CONFIG_METADATA!$B$4),IF(DATOS!$G5715="EX",1,IF(DATOS!$G5715="OR",--(COUNTIFS(nNIA,DATOS!$A5715,nCURSO,DATOS!$D5715,nESPEC,DATOS!$E5715,nASIG,DATOS!$I5715,nEVAL,"EX")=0),0))))</f>
      </c>
      <c r="H5715">
        <f>IF(DATOS!$G5715&lt;&gt;"EX",0,--(COUNTIFS(nNIA,DATOS!$A5715,nCURSO,DATOS!$D5715,nESPEC,DATOS!$E5715,nASIG,DATOS!$I5715,nEVAL,"OR")=0))</f>
      </c>
      <c r="I5715">
        <f>IF(DATOS!$I5715="","",IFERROR(VLOOKUP(DATOS!$I5715,CONFIG_ASIGNATURAS!$B$2:$J$91,9,FALSE()),""))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IF(DATOS!$A5716="",0,IF(CONFIG_METADATA!$B$4&lt;&gt;"OR+EX",--(DATOS!$G5716=CONFIG_METADATA!$B$4),IF(DATOS!$G5716="EX",1,IF(DATOS!$G5716="OR",--(COUNTIFS(nNIA,DATOS!$A5716,nCURSO,DATOS!$D5716,nESPEC,DATOS!$E5716,nASIG,DATOS!$I5716,nEVAL,"EX")=0),0))))</f>
      </c>
      <c r="H5716">
        <f>IF(DATOS!$G5716&lt;&gt;"EX",0,--(COUNTIFS(nNIA,DATOS!$A5716,nCURSO,DATOS!$D5716,nESPEC,DATOS!$E5716,nASIG,DATOS!$I5716,nEVAL,"OR")=0))</f>
      </c>
      <c r="I5716">
        <f>IF(DATOS!$I5716="","",IFERROR(VLOOKUP(DATOS!$I5716,CONFIG_ASIGNATURAS!$B$2:$J$91,9,FALSE()),""))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IF(DATOS!$A5717="",0,IF(CONFIG_METADATA!$B$4&lt;&gt;"OR+EX",--(DATOS!$G5717=CONFIG_METADATA!$B$4),IF(DATOS!$G5717="EX",1,IF(DATOS!$G5717="OR",--(COUNTIFS(nNIA,DATOS!$A5717,nCURSO,DATOS!$D5717,nESPEC,DATOS!$E5717,nASIG,DATOS!$I5717,nEVAL,"EX")=0),0))))</f>
      </c>
      <c r="H5717">
        <f>IF(DATOS!$G5717&lt;&gt;"EX",0,--(COUNTIFS(nNIA,DATOS!$A5717,nCURSO,DATOS!$D5717,nESPEC,DATOS!$E5717,nASIG,DATOS!$I5717,nEVAL,"OR")=0))</f>
      </c>
      <c r="I5717">
        <f>IF(DATOS!$I5717="","",IFERROR(VLOOKUP(DATOS!$I5717,CONFIG_ASIGNATURAS!$B$2:$J$91,9,FALSE()),""))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IF(DATOS!$A5718="",0,IF(CONFIG_METADATA!$B$4&lt;&gt;"OR+EX",--(DATOS!$G5718=CONFIG_METADATA!$B$4),IF(DATOS!$G5718="EX",1,IF(DATOS!$G5718="OR",--(COUNTIFS(nNIA,DATOS!$A5718,nCURSO,DATOS!$D5718,nESPEC,DATOS!$E5718,nASIG,DATOS!$I5718,nEVAL,"EX")=0),0))))</f>
      </c>
      <c r="H5718">
        <f>IF(DATOS!$G5718&lt;&gt;"EX",0,--(COUNTIFS(nNIA,DATOS!$A5718,nCURSO,DATOS!$D5718,nESPEC,DATOS!$E5718,nASIG,DATOS!$I5718,nEVAL,"OR")=0))</f>
      </c>
      <c r="I5718">
        <f>IF(DATOS!$I5718="","",IFERROR(VLOOKUP(DATOS!$I5718,CONFIG_ASIGNATURAS!$B$2:$J$91,9,FALSE()),""))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IF(DATOS!$A5719="",0,IF(CONFIG_METADATA!$B$4&lt;&gt;"OR+EX",--(DATOS!$G5719=CONFIG_METADATA!$B$4),IF(DATOS!$G5719="EX",1,IF(DATOS!$G5719="OR",--(COUNTIFS(nNIA,DATOS!$A5719,nCURSO,DATOS!$D5719,nESPEC,DATOS!$E5719,nASIG,DATOS!$I5719,nEVAL,"EX")=0),0))))</f>
      </c>
      <c r="H5719">
        <f>IF(DATOS!$G5719&lt;&gt;"EX",0,--(COUNTIFS(nNIA,DATOS!$A5719,nCURSO,DATOS!$D5719,nESPEC,DATOS!$E5719,nASIG,DATOS!$I5719,nEVAL,"OR")=0))</f>
      </c>
      <c r="I5719">
        <f>IF(DATOS!$I5719="","",IFERROR(VLOOKUP(DATOS!$I5719,CONFIG_ASIGNATURAS!$B$2:$J$91,9,FALSE()),""))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IF(DATOS!$A5720="",0,IF(CONFIG_METADATA!$B$4&lt;&gt;"OR+EX",--(DATOS!$G5720=CONFIG_METADATA!$B$4),IF(DATOS!$G5720="EX",1,IF(DATOS!$G5720="OR",--(COUNTIFS(nNIA,DATOS!$A5720,nCURSO,DATOS!$D5720,nESPEC,DATOS!$E5720,nASIG,DATOS!$I5720,nEVAL,"EX")=0),0))))</f>
      </c>
      <c r="H5720">
        <f>IF(DATOS!$G5720&lt;&gt;"EX",0,--(COUNTIFS(nNIA,DATOS!$A5720,nCURSO,DATOS!$D5720,nESPEC,DATOS!$E5720,nASIG,DATOS!$I5720,nEVAL,"OR")=0))</f>
      </c>
      <c r="I5720">
        <f>IF(DATOS!$I5720="","",IFERROR(VLOOKUP(DATOS!$I5720,CONFIG_ASIGNATURAS!$B$2:$J$91,9,FALSE()),""))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IF(DATOS!$A5721="",0,IF(CONFIG_METADATA!$B$4&lt;&gt;"OR+EX",--(DATOS!$G5721=CONFIG_METADATA!$B$4),IF(DATOS!$G5721="EX",1,IF(DATOS!$G5721="OR",--(COUNTIFS(nNIA,DATOS!$A5721,nCURSO,DATOS!$D5721,nESPEC,DATOS!$E5721,nASIG,DATOS!$I5721,nEVAL,"EX")=0),0))))</f>
      </c>
      <c r="H5721">
        <f>IF(DATOS!$G5721&lt;&gt;"EX",0,--(COUNTIFS(nNIA,DATOS!$A5721,nCURSO,DATOS!$D5721,nESPEC,DATOS!$E5721,nASIG,DATOS!$I5721,nEVAL,"OR")=0))</f>
      </c>
      <c r="I5721">
        <f>IF(DATOS!$I5721="","",IFERROR(VLOOKUP(DATOS!$I5721,CONFIG_ASIGNATURAS!$B$2:$J$91,9,FALSE()),""))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IF(DATOS!$A5722="",0,IF(CONFIG_METADATA!$B$4&lt;&gt;"OR+EX",--(DATOS!$G5722=CONFIG_METADATA!$B$4),IF(DATOS!$G5722="EX",1,IF(DATOS!$G5722="OR",--(COUNTIFS(nNIA,DATOS!$A5722,nCURSO,DATOS!$D5722,nESPEC,DATOS!$E5722,nASIG,DATOS!$I5722,nEVAL,"EX")=0),0))))</f>
      </c>
      <c r="H5722">
        <f>IF(DATOS!$G5722&lt;&gt;"EX",0,--(COUNTIFS(nNIA,DATOS!$A5722,nCURSO,DATOS!$D5722,nESPEC,DATOS!$E5722,nASIG,DATOS!$I5722,nEVAL,"OR")=0))</f>
      </c>
      <c r="I5722">
        <f>IF(DATOS!$I5722="","",IFERROR(VLOOKUP(DATOS!$I5722,CONFIG_ASIGNATURAS!$B$2:$J$91,9,FALSE()),""))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IF(DATOS!$A5723="",0,IF(CONFIG_METADATA!$B$4&lt;&gt;"OR+EX",--(DATOS!$G5723=CONFIG_METADATA!$B$4),IF(DATOS!$G5723="EX",1,IF(DATOS!$G5723="OR",--(COUNTIFS(nNIA,DATOS!$A5723,nCURSO,DATOS!$D5723,nESPEC,DATOS!$E5723,nASIG,DATOS!$I5723,nEVAL,"EX")=0),0))))</f>
      </c>
      <c r="H5723">
        <f>IF(DATOS!$G5723&lt;&gt;"EX",0,--(COUNTIFS(nNIA,DATOS!$A5723,nCURSO,DATOS!$D5723,nESPEC,DATOS!$E5723,nASIG,DATOS!$I5723,nEVAL,"OR")=0))</f>
      </c>
      <c r="I5723">
        <f>IF(DATOS!$I5723="","",IFERROR(VLOOKUP(DATOS!$I5723,CONFIG_ASIGNATURAS!$B$2:$J$91,9,FALSE()),""))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IF(DATOS!$A5724="",0,IF(CONFIG_METADATA!$B$4&lt;&gt;"OR+EX",--(DATOS!$G5724=CONFIG_METADATA!$B$4),IF(DATOS!$G5724="EX",1,IF(DATOS!$G5724="OR",--(COUNTIFS(nNIA,DATOS!$A5724,nCURSO,DATOS!$D5724,nESPEC,DATOS!$E5724,nASIG,DATOS!$I5724,nEVAL,"EX")=0),0))))</f>
      </c>
      <c r="H5724">
        <f>IF(DATOS!$G5724&lt;&gt;"EX",0,--(COUNTIFS(nNIA,DATOS!$A5724,nCURSO,DATOS!$D5724,nESPEC,DATOS!$E5724,nASIG,DATOS!$I5724,nEVAL,"OR")=0))</f>
      </c>
      <c r="I5724">
        <f>IF(DATOS!$I5724="","",IFERROR(VLOOKUP(DATOS!$I5724,CONFIG_ASIGNATURAS!$B$2:$J$91,9,FALSE()),""))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IF(DATOS!$A5725="",0,IF(CONFIG_METADATA!$B$4&lt;&gt;"OR+EX",--(DATOS!$G5725=CONFIG_METADATA!$B$4),IF(DATOS!$G5725="EX",1,IF(DATOS!$G5725="OR",--(COUNTIFS(nNIA,DATOS!$A5725,nCURSO,DATOS!$D5725,nESPEC,DATOS!$E5725,nASIG,DATOS!$I5725,nEVAL,"EX")=0),0))))</f>
      </c>
      <c r="H5725">
        <f>IF(DATOS!$G5725&lt;&gt;"EX",0,--(COUNTIFS(nNIA,DATOS!$A5725,nCURSO,DATOS!$D5725,nESPEC,DATOS!$E5725,nASIG,DATOS!$I5725,nEVAL,"OR")=0))</f>
      </c>
      <c r="I5725">
        <f>IF(DATOS!$I5725="","",IFERROR(VLOOKUP(DATOS!$I5725,CONFIG_ASIGNATURAS!$B$2:$J$91,9,FALSE()),""))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IF(DATOS!$A5726="",0,IF(CONFIG_METADATA!$B$4&lt;&gt;"OR+EX",--(DATOS!$G5726=CONFIG_METADATA!$B$4),IF(DATOS!$G5726="EX",1,IF(DATOS!$G5726="OR",--(COUNTIFS(nNIA,DATOS!$A5726,nCURSO,DATOS!$D5726,nESPEC,DATOS!$E5726,nASIG,DATOS!$I5726,nEVAL,"EX")=0),0))))</f>
      </c>
      <c r="H5726">
        <f>IF(DATOS!$G5726&lt;&gt;"EX",0,--(COUNTIFS(nNIA,DATOS!$A5726,nCURSO,DATOS!$D5726,nESPEC,DATOS!$E5726,nASIG,DATOS!$I5726,nEVAL,"OR")=0))</f>
      </c>
      <c r="I5726">
        <f>IF(DATOS!$I5726="","",IFERROR(VLOOKUP(DATOS!$I5726,CONFIG_ASIGNATURAS!$B$2:$J$91,9,FALSE()),""))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IF(DATOS!$A5727="",0,IF(CONFIG_METADATA!$B$4&lt;&gt;"OR+EX",--(DATOS!$G5727=CONFIG_METADATA!$B$4),IF(DATOS!$G5727="EX",1,IF(DATOS!$G5727="OR",--(COUNTIFS(nNIA,DATOS!$A5727,nCURSO,DATOS!$D5727,nESPEC,DATOS!$E5727,nASIG,DATOS!$I5727,nEVAL,"EX")=0),0))))</f>
      </c>
      <c r="H5727">
        <f>IF(DATOS!$G5727&lt;&gt;"EX",0,--(COUNTIFS(nNIA,DATOS!$A5727,nCURSO,DATOS!$D5727,nESPEC,DATOS!$E5727,nASIG,DATOS!$I5727,nEVAL,"OR")=0))</f>
      </c>
      <c r="I5727">
        <f>IF(DATOS!$I5727="","",IFERROR(VLOOKUP(DATOS!$I5727,CONFIG_ASIGNATURAS!$B$2:$J$91,9,FALSE()),""))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IF(DATOS!$A5728="",0,IF(CONFIG_METADATA!$B$4&lt;&gt;"OR+EX",--(DATOS!$G5728=CONFIG_METADATA!$B$4),IF(DATOS!$G5728="EX",1,IF(DATOS!$G5728="OR",--(COUNTIFS(nNIA,DATOS!$A5728,nCURSO,DATOS!$D5728,nESPEC,DATOS!$E5728,nASIG,DATOS!$I5728,nEVAL,"EX")=0),0))))</f>
      </c>
      <c r="H5728">
        <f>IF(DATOS!$G5728&lt;&gt;"EX",0,--(COUNTIFS(nNIA,DATOS!$A5728,nCURSO,DATOS!$D5728,nESPEC,DATOS!$E5728,nASIG,DATOS!$I5728,nEVAL,"OR")=0))</f>
      </c>
      <c r="I5728">
        <f>IF(DATOS!$I5728="","",IFERROR(VLOOKUP(DATOS!$I5728,CONFIG_ASIGNATURAS!$B$2:$J$91,9,FALSE()),""))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IF(DATOS!$A5729="",0,IF(CONFIG_METADATA!$B$4&lt;&gt;"OR+EX",--(DATOS!$G5729=CONFIG_METADATA!$B$4),IF(DATOS!$G5729="EX",1,IF(DATOS!$G5729="OR",--(COUNTIFS(nNIA,DATOS!$A5729,nCURSO,DATOS!$D5729,nESPEC,DATOS!$E5729,nASIG,DATOS!$I5729,nEVAL,"EX")=0),0))))</f>
      </c>
      <c r="H5729">
        <f>IF(DATOS!$G5729&lt;&gt;"EX",0,--(COUNTIFS(nNIA,DATOS!$A5729,nCURSO,DATOS!$D5729,nESPEC,DATOS!$E5729,nASIG,DATOS!$I5729,nEVAL,"OR")=0))</f>
      </c>
      <c r="I5729">
        <f>IF(DATOS!$I5729="","",IFERROR(VLOOKUP(DATOS!$I5729,CONFIG_ASIGNATURAS!$B$2:$J$91,9,FALSE()),""))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IF(DATOS!$A5730="",0,IF(CONFIG_METADATA!$B$4&lt;&gt;"OR+EX",--(DATOS!$G5730=CONFIG_METADATA!$B$4),IF(DATOS!$G5730="EX",1,IF(DATOS!$G5730="OR",--(COUNTIFS(nNIA,DATOS!$A5730,nCURSO,DATOS!$D5730,nESPEC,DATOS!$E5730,nASIG,DATOS!$I5730,nEVAL,"EX")=0),0))))</f>
      </c>
      <c r="H5730">
        <f>IF(DATOS!$G5730&lt;&gt;"EX",0,--(COUNTIFS(nNIA,DATOS!$A5730,nCURSO,DATOS!$D5730,nESPEC,DATOS!$E5730,nASIG,DATOS!$I5730,nEVAL,"OR")=0))</f>
      </c>
      <c r="I5730">
        <f>IF(DATOS!$I5730="","",IFERROR(VLOOKUP(DATOS!$I5730,CONFIG_ASIGNATURAS!$B$2:$J$91,9,FALSE()),""))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IF(DATOS!$A5731="",0,IF(CONFIG_METADATA!$B$4&lt;&gt;"OR+EX",--(DATOS!$G5731=CONFIG_METADATA!$B$4),IF(DATOS!$G5731="EX",1,IF(DATOS!$G5731="OR",--(COUNTIFS(nNIA,DATOS!$A5731,nCURSO,DATOS!$D5731,nESPEC,DATOS!$E5731,nASIG,DATOS!$I5731,nEVAL,"EX")=0),0))))</f>
      </c>
      <c r="H5731">
        <f>IF(DATOS!$G5731&lt;&gt;"EX",0,--(COUNTIFS(nNIA,DATOS!$A5731,nCURSO,DATOS!$D5731,nESPEC,DATOS!$E5731,nASIG,DATOS!$I5731,nEVAL,"OR")=0))</f>
      </c>
      <c r="I5731">
        <f>IF(DATOS!$I5731="","",IFERROR(VLOOKUP(DATOS!$I5731,CONFIG_ASIGNATURAS!$B$2:$J$91,9,FALSE()),""))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IF(DATOS!$A5732="",0,IF(CONFIG_METADATA!$B$4&lt;&gt;"OR+EX",--(DATOS!$G5732=CONFIG_METADATA!$B$4),IF(DATOS!$G5732="EX",1,IF(DATOS!$G5732="OR",--(COUNTIFS(nNIA,DATOS!$A5732,nCURSO,DATOS!$D5732,nESPEC,DATOS!$E5732,nASIG,DATOS!$I5732,nEVAL,"EX")=0),0))))</f>
      </c>
      <c r="H5732">
        <f>IF(DATOS!$G5732&lt;&gt;"EX",0,--(COUNTIFS(nNIA,DATOS!$A5732,nCURSO,DATOS!$D5732,nESPEC,DATOS!$E5732,nASIG,DATOS!$I5732,nEVAL,"OR")=0))</f>
      </c>
      <c r="I5732">
        <f>IF(DATOS!$I5732="","",IFERROR(VLOOKUP(DATOS!$I5732,CONFIG_ASIGNATURAS!$B$2:$J$91,9,FALSE()),""))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IF(DATOS!$A5733="",0,IF(CONFIG_METADATA!$B$4&lt;&gt;"OR+EX",--(DATOS!$G5733=CONFIG_METADATA!$B$4),IF(DATOS!$G5733="EX",1,IF(DATOS!$G5733="OR",--(COUNTIFS(nNIA,DATOS!$A5733,nCURSO,DATOS!$D5733,nESPEC,DATOS!$E5733,nASIG,DATOS!$I5733,nEVAL,"EX")=0),0))))</f>
      </c>
      <c r="H5733">
        <f>IF(DATOS!$G5733&lt;&gt;"EX",0,--(COUNTIFS(nNIA,DATOS!$A5733,nCURSO,DATOS!$D5733,nESPEC,DATOS!$E5733,nASIG,DATOS!$I5733,nEVAL,"OR")=0))</f>
      </c>
      <c r="I5733">
        <f>IF(DATOS!$I5733="","",IFERROR(VLOOKUP(DATOS!$I5733,CONFIG_ASIGNATURAS!$B$2:$J$91,9,FALSE()),""))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IF(DATOS!$A5734="",0,IF(CONFIG_METADATA!$B$4&lt;&gt;"OR+EX",--(DATOS!$G5734=CONFIG_METADATA!$B$4),IF(DATOS!$G5734="EX",1,IF(DATOS!$G5734="OR",--(COUNTIFS(nNIA,DATOS!$A5734,nCURSO,DATOS!$D5734,nESPEC,DATOS!$E5734,nASIG,DATOS!$I5734,nEVAL,"EX")=0),0))))</f>
      </c>
      <c r="H5734">
        <f>IF(DATOS!$G5734&lt;&gt;"EX",0,--(COUNTIFS(nNIA,DATOS!$A5734,nCURSO,DATOS!$D5734,nESPEC,DATOS!$E5734,nASIG,DATOS!$I5734,nEVAL,"OR")=0))</f>
      </c>
      <c r="I5734">
        <f>IF(DATOS!$I5734="","",IFERROR(VLOOKUP(DATOS!$I5734,CONFIG_ASIGNATURAS!$B$2:$J$91,9,FALSE()),""))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IF(DATOS!$A5735="",0,IF(CONFIG_METADATA!$B$4&lt;&gt;"OR+EX",--(DATOS!$G5735=CONFIG_METADATA!$B$4),IF(DATOS!$G5735="EX",1,IF(DATOS!$G5735="OR",--(COUNTIFS(nNIA,DATOS!$A5735,nCURSO,DATOS!$D5735,nESPEC,DATOS!$E5735,nASIG,DATOS!$I5735,nEVAL,"EX")=0),0))))</f>
      </c>
      <c r="H5735">
        <f>IF(DATOS!$G5735&lt;&gt;"EX",0,--(COUNTIFS(nNIA,DATOS!$A5735,nCURSO,DATOS!$D5735,nESPEC,DATOS!$E5735,nASIG,DATOS!$I5735,nEVAL,"OR")=0))</f>
      </c>
      <c r="I5735">
        <f>IF(DATOS!$I5735="","",IFERROR(VLOOKUP(DATOS!$I5735,CONFIG_ASIGNATURAS!$B$2:$J$91,9,FALSE()),""))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IF(DATOS!$A5736="",0,IF(CONFIG_METADATA!$B$4&lt;&gt;"OR+EX",--(DATOS!$G5736=CONFIG_METADATA!$B$4),IF(DATOS!$G5736="EX",1,IF(DATOS!$G5736="OR",--(COUNTIFS(nNIA,DATOS!$A5736,nCURSO,DATOS!$D5736,nESPEC,DATOS!$E5736,nASIG,DATOS!$I5736,nEVAL,"EX")=0),0))))</f>
      </c>
      <c r="H5736">
        <f>IF(DATOS!$G5736&lt;&gt;"EX",0,--(COUNTIFS(nNIA,DATOS!$A5736,nCURSO,DATOS!$D5736,nESPEC,DATOS!$E5736,nASIG,DATOS!$I5736,nEVAL,"OR")=0))</f>
      </c>
      <c r="I5736">
        <f>IF(DATOS!$I5736="","",IFERROR(VLOOKUP(DATOS!$I5736,CONFIG_ASIGNATURAS!$B$2:$J$91,9,FALSE()),""))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IF(DATOS!$A5737="",0,IF(CONFIG_METADATA!$B$4&lt;&gt;"OR+EX",--(DATOS!$G5737=CONFIG_METADATA!$B$4),IF(DATOS!$G5737="EX",1,IF(DATOS!$G5737="OR",--(COUNTIFS(nNIA,DATOS!$A5737,nCURSO,DATOS!$D5737,nESPEC,DATOS!$E5737,nASIG,DATOS!$I5737,nEVAL,"EX")=0),0))))</f>
      </c>
      <c r="H5737">
        <f>IF(DATOS!$G5737&lt;&gt;"EX",0,--(COUNTIFS(nNIA,DATOS!$A5737,nCURSO,DATOS!$D5737,nESPEC,DATOS!$E5737,nASIG,DATOS!$I5737,nEVAL,"OR")=0))</f>
      </c>
      <c r="I5737">
        <f>IF(DATOS!$I5737="","",IFERROR(VLOOKUP(DATOS!$I5737,CONFIG_ASIGNATURAS!$B$2:$J$91,9,FALSE()),""))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IF(DATOS!$A5738="",0,IF(CONFIG_METADATA!$B$4&lt;&gt;"OR+EX",--(DATOS!$G5738=CONFIG_METADATA!$B$4),IF(DATOS!$G5738="EX",1,IF(DATOS!$G5738="OR",--(COUNTIFS(nNIA,DATOS!$A5738,nCURSO,DATOS!$D5738,nESPEC,DATOS!$E5738,nASIG,DATOS!$I5738,nEVAL,"EX")=0),0))))</f>
      </c>
      <c r="H5738">
        <f>IF(DATOS!$G5738&lt;&gt;"EX",0,--(COUNTIFS(nNIA,DATOS!$A5738,nCURSO,DATOS!$D5738,nESPEC,DATOS!$E5738,nASIG,DATOS!$I5738,nEVAL,"OR")=0))</f>
      </c>
      <c r="I5738">
        <f>IF(DATOS!$I5738="","",IFERROR(VLOOKUP(DATOS!$I5738,CONFIG_ASIGNATURAS!$B$2:$J$91,9,FALSE()),""))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IF(DATOS!$A5739="",0,IF(CONFIG_METADATA!$B$4&lt;&gt;"OR+EX",--(DATOS!$G5739=CONFIG_METADATA!$B$4),IF(DATOS!$G5739="EX",1,IF(DATOS!$G5739="OR",--(COUNTIFS(nNIA,DATOS!$A5739,nCURSO,DATOS!$D5739,nESPEC,DATOS!$E5739,nASIG,DATOS!$I5739,nEVAL,"EX")=0),0))))</f>
      </c>
      <c r="H5739">
        <f>IF(DATOS!$G5739&lt;&gt;"EX",0,--(COUNTIFS(nNIA,DATOS!$A5739,nCURSO,DATOS!$D5739,nESPEC,DATOS!$E5739,nASIG,DATOS!$I5739,nEVAL,"OR")=0))</f>
      </c>
      <c r="I5739">
        <f>IF(DATOS!$I5739="","",IFERROR(VLOOKUP(DATOS!$I5739,CONFIG_ASIGNATURAS!$B$2:$J$91,9,FALSE()),""))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IF(DATOS!$A5740="",0,IF(CONFIG_METADATA!$B$4&lt;&gt;"OR+EX",--(DATOS!$G5740=CONFIG_METADATA!$B$4),IF(DATOS!$G5740="EX",1,IF(DATOS!$G5740="OR",--(COUNTIFS(nNIA,DATOS!$A5740,nCURSO,DATOS!$D5740,nESPEC,DATOS!$E5740,nASIG,DATOS!$I5740,nEVAL,"EX")=0),0))))</f>
      </c>
      <c r="H5740">
        <f>IF(DATOS!$G5740&lt;&gt;"EX",0,--(COUNTIFS(nNIA,DATOS!$A5740,nCURSO,DATOS!$D5740,nESPEC,DATOS!$E5740,nASIG,DATOS!$I5740,nEVAL,"OR")=0))</f>
      </c>
      <c r="I5740">
        <f>IF(DATOS!$I5740="","",IFERROR(VLOOKUP(DATOS!$I5740,CONFIG_ASIGNATURAS!$B$2:$J$91,9,FALSE()),""))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IF(DATOS!$A5741="",0,IF(CONFIG_METADATA!$B$4&lt;&gt;"OR+EX",--(DATOS!$G5741=CONFIG_METADATA!$B$4),IF(DATOS!$G5741="EX",1,IF(DATOS!$G5741="OR",--(COUNTIFS(nNIA,DATOS!$A5741,nCURSO,DATOS!$D5741,nESPEC,DATOS!$E5741,nASIG,DATOS!$I5741,nEVAL,"EX")=0),0))))</f>
      </c>
      <c r="H5741">
        <f>IF(DATOS!$G5741&lt;&gt;"EX",0,--(COUNTIFS(nNIA,DATOS!$A5741,nCURSO,DATOS!$D5741,nESPEC,DATOS!$E5741,nASIG,DATOS!$I5741,nEVAL,"OR")=0))</f>
      </c>
      <c r="I5741">
        <f>IF(DATOS!$I5741="","",IFERROR(VLOOKUP(DATOS!$I5741,CONFIG_ASIGNATURAS!$B$2:$J$91,9,FALSE()),""))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IF(DATOS!$A5742="",0,IF(CONFIG_METADATA!$B$4&lt;&gt;"OR+EX",--(DATOS!$G5742=CONFIG_METADATA!$B$4),IF(DATOS!$G5742="EX",1,IF(DATOS!$G5742="OR",--(COUNTIFS(nNIA,DATOS!$A5742,nCURSO,DATOS!$D5742,nESPEC,DATOS!$E5742,nASIG,DATOS!$I5742,nEVAL,"EX")=0),0))))</f>
      </c>
      <c r="H5742">
        <f>IF(DATOS!$G5742&lt;&gt;"EX",0,--(COUNTIFS(nNIA,DATOS!$A5742,nCURSO,DATOS!$D5742,nESPEC,DATOS!$E5742,nASIG,DATOS!$I5742,nEVAL,"OR")=0))</f>
      </c>
      <c r="I5742">
        <f>IF(DATOS!$I5742="","",IFERROR(VLOOKUP(DATOS!$I5742,CONFIG_ASIGNATURAS!$B$2:$J$91,9,FALSE()),""))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IF(DATOS!$A5743="",0,IF(CONFIG_METADATA!$B$4&lt;&gt;"OR+EX",--(DATOS!$G5743=CONFIG_METADATA!$B$4),IF(DATOS!$G5743="EX",1,IF(DATOS!$G5743="OR",--(COUNTIFS(nNIA,DATOS!$A5743,nCURSO,DATOS!$D5743,nESPEC,DATOS!$E5743,nASIG,DATOS!$I5743,nEVAL,"EX")=0),0))))</f>
      </c>
      <c r="H5743">
        <f>IF(DATOS!$G5743&lt;&gt;"EX",0,--(COUNTIFS(nNIA,DATOS!$A5743,nCURSO,DATOS!$D5743,nESPEC,DATOS!$E5743,nASIG,DATOS!$I5743,nEVAL,"OR")=0))</f>
      </c>
      <c r="I5743">
        <f>IF(DATOS!$I5743="","",IFERROR(VLOOKUP(DATOS!$I5743,CONFIG_ASIGNATURAS!$B$2:$J$91,9,FALSE()),""))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IF(DATOS!$A5744="",0,IF(CONFIG_METADATA!$B$4&lt;&gt;"OR+EX",--(DATOS!$G5744=CONFIG_METADATA!$B$4),IF(DATOS!$G5744="EX",1,IF(DATOS!$G5744="OR",--(COUNTIFS(nNIA,DATOS!$A5744,nCURSO,DATOS!$D5744,nESPEC,DATOS!$E5744,nASIG,DATOS!$I5744,nEVAL,"EX")=0),0))))</f>
      </c>
      <c r="H5744">
        <f>IF(DATOS!$G5744&lt;&gt;"EX",0,--(COUNTIFS(nNIA,DATOS!$A5744,nCURSO,DATOS!$D5744,nESPEC,DATOS!$E5744,nASIG,DATOS!$I5744,nEVAL,"OR")=0))</f>
      </c>
      <c r="I5744">
        <f>IF(DATOS!$I5744="","",IFERROR(VLOOKUP(DATOS!$I5744,CONFIG_ASIGNATURAS!$B$2:$J$91,9,FALSE()),""))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IF(DATOS!$A5745="",0,IF(CONFIG_METADATA!$B$4&lt;&gt;"OR+EX",--(DATOS!$G5745=CONFIG_METADATA!$B$4),IF(DATOS!$G5745="EX",1,IF(DATOS!$G5745="OR",--(COUNTIFS(nNIA,DATOS!$A5745,nCURSO,DATOS!$D5745,nESPEC,DATOS!$E5745,nASIG,DATOS!$I5745,nEVAL,"EX")=0),0))))</f>
      </c>
      <c r="H5745">
        <f>IF(DATOS!$G5745&lt;&gt;"EX",0,--(COUNTIFS(nNIA,DATOS!$A5745,nCURSO,DATOS!$D5745,nESPEC,DATOS!$E5745,nASIG,DATOS!$I5745,nEVAL,"OR")=0))</f>
      </c>
      <c r="I5745">
        <f>IF(DATOS!$I5745="","",IFERROR(VLOOKUP(DATOS!$I5745,CONFIG_ASIGNATURAS!$B$2:$J$91,9,FALSE()),""))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IF(DATOS!$A5746="",0,IF(CONFIG_METADATA!$B$4&lt;&gt;"OR+EX",--(DATOS!$G5746=CONFIG_METADATA!$B$4),IF(DATOS!$G5746="EX",1,IF(DATOS!$G5746="OR",--(COUNTIFS(nNIA,DATOS!$A5746,nCURSO,DATOS!$D5746,nESPEC,DATOS!$E5746,nASIG,DATOS!$I5746,nEVAL,"EX")=0),0))))</f>
      </c>
      <c r="H5746">
        <f>IF(DATOS!$G5746&lt;&gt;"EX",0,--(COUNTIFS(nNIA,DATOS!$A5746,nCURSO,DATOS!$D5746,nESPEC,DATOS!$E5746,nASIG,DATOS!$I5746,nEVAL,"OR")=0))</f>
      </c>
      <c r="I5746">
        <f>IF(DATOS!$I5746="","",IFERROR(VLOOKUP(DATOS!$I5746,CONFIG_ASIGNATURAS!$B$2:$J$91,9,FALSE()),""))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IF(DATOS!$A5747="",0,IF(CONFIG_METADATA!$B$4&lt;&gt;"OR+EX",--(DATOS!$G5747=CONFIG_METADATA!$B$4),IF(DATOS!$G5747="EX",1,IF(DATOS!$G5747="OR",--(COUNTIFS(nNIA,DATOS!$A5747,nCURSO,DATOS!$D5747,nESPEC,DATOS!$E5747,nASIG,DATOS!$I5747,nEVAL,"EX")=0),0))))</f>
      </c>
      <c r="H5747">
        <f>IF(DATOS!$G5747&lt;&gt;"EX",0,--(COUNTIFS(nNIA,DATOS!$A5747,nCURSO,DATOS!$D5747,nESPEC,DATOS!$E5747,nASIG,DATOS!$I5747,nEVAL,"OR")=0))</f>
      </c>
      <c r="I5747">
        <f>IF(DATOS!$I5747="","",IFERROR(VLOOKUP(DATOS!$I5747,CONFIG_ASIGNATURAS!$B$2:$J$91,9,FALSE()),""))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IF(DATOS!$A5748="",0,IF(CONFIG_METADATA!$B$4&lt;&gt;"OR+EX",--(DATOS!$G5748=CONFIG_METADATA!$B$4),IF(DATOS!$G5748="EX",1,IF(DATOS!$G5748="OR",--(COUNTIFS(nNIA,DATOS!$A5748,nCURSO,DATOS!$D5748,nESPEC,DATOS!$E5748,nASIG,DATOS!$I5748,nEVAL,"EX")=0),0))))</f>
      </c>
      <c r="H5748">
        <f>IF(DATOS!$G5748&lt;&gt;"EX",0,--(COUNTIFS(nNIA,DATOS!$A5748,nCURSO,DATOS!$D5748,nESPEC,DATOS!$E5748,nASIG,DATOS!$I5748,nEVAL,"OR")=0))</f>
      </c>
      <c r="I5748">
        <f>IF(DATOS!$I5748="","",IFERROR(VLOOKUP(DATOS!$I5748,CONFIG_ASIGNATURAS!$B$2:$J$91,9,FALSE()),""))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IF(DATOS!$A5749="",0,IF(CONFIG_METADATA!$B$4&lt;&gt;"OR+EX",--(DATOS!$G5749=CONFIG_METADATA!$B$4),IF(DATOS!$G5749="EX",1,IF(DATOS!$G5749="OR",--(COUNTIFS(nNIA,DATOS!$A5749,nCURSO,DATOS!$D5749,nESPEC,DATOS!$E5749,nASIG,DATOS!$I5749,nEVAL,"EX")=0),0))))</f>
      </c>
      <c r="H5749">
        <f>IF(DATOS!$G5749&lt;&gt;"EX",0,--(COUNTIFS(nNIA,DATOS!$A5749,nCURSO,DATOS!$D5749,nESPEC,DATOS!$E5749,nASIG,DATOS!$I5749,nEVAL,"OR")=0))</f>
      </c>
      <c r="I5749">
        <f>IF(DATOS!$I5749="","",IFERROR(VLOOKUP(DATOS!$I5749,CONFIG_ASIGNATURAS!$B$2:$J$91,9,FALSE()),""))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IF(DATOS!$A5750="",0,IF(CONFIG_METADATA!$B$4&lt;&gt;"OR+EX",--(DATOS!$G5750=CONFIG_METADATA!$B$4),IF(DATOS!$G5750="EX",1,IF(DATOS!$G5750="OR",--(COUNTIFS(nNIA,DATOS!$A5750,nCURSO,DATOS!$D5750,nESPEC,DATOS!$E5750,nASIG,DATOS!$I5750,nEVAL,"EX")=0),0))))</f>
      </c>
      <c r="H5750">
        <f>IF(DATOS!$G5750&lt;&gt;"EX",0,--(COUNTIFS(nNIA,DATOS!$A5750,nCURSO,DATOS!$D5750,nESPEC,DATOS!$E5750,nASIG,DATOS!$I5750,nEVAL,"OR")=0))</f>
      </c>
      <c r="I5750">
        <f>IF(DATOS!$I5750="","",IFERROR(VLOOKUP(DATOS!$I5750,CONFIG_ASIGNATURAS!$B$2:$J$91,9,FALSE()),""))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IF(DATOS!$A5751="",0,IF(CONFIG_METADATA!$B$4&lt;&gt;"OR+EX",--(DATOS!$G5751=CONFIG_METADATA!$B$4),IF(DATOS!$G5751="EX",1,IF(DATOS!$G5751="OR",--(COUNTIFS(nNIA,DATOS!$A5751,nCURSO,DATOS!$D5751,nESPEC,DATOS!$E5751,nASIG,DATOS!$I5751,nEVAL,"EX")=0),0))))</f>
      </c>
      <c r="H5751">
        <f>IF(DATOS!$G5751&lt;&gt;"EX",0,--(COUNTIFS(nNIA,DATOS!$A5751,nCURSO,DATOS!$D5751,nESPEC,DATOS!$E5751,nASIG,DATOS!$I5751,nEVAL,"OR")=0))</f>
      </c>
      <c r="I5751">
        <f>IF(DATOS!$I5751="","",IFERROR(VLOOKUP(DATOS!$I5751,CONFIG_ASIGNATURAS!$B$2:$J$91,9,FALSE()),""))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IF(DATOS!$A5752="",0,IF(CONFIG_METADATA!$B$4&lt;&gt;"OR+EX",--(DATOS!$G5752=CONFIG_METADATA!$B$4),IF(DATOS!$G5752="EX",1,IF(DATOS!$G5752="OR",--(COUNTIFS(nNIA,DATOS!$A5752,nCURSO,DATOS!$D5752,nESPEC,DATOS!$E5752,nASIG,DATOS!$I5752,nEVAL,"EX")=0),0))))</f>
      </c>
      <c r="H5752">
        <f>IF(DATOS!$G5752&lt;&gt;"EX",0,--(COUNTIFS(nNIA,DATOS!$A5752,nCURSO,DATOS!$D5752,nESPEC,DATOS!$E5752,nASIG,DATOS!$I5752,nEVAL,"OR")=0))</f>
      </c>
      <c r="I5752">
        <f>IF(DATOS!$I5752="","",IFERROR(VLOOKUP(DATOS!$I5752,CONFIG_ASIGNATURAS!$B$2:$J$91,9,FALSE()),""))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IF(DATOS!$A5753="",0,IF(CONFIG_METADATA!$B$4&lt;&gt;"OR+EX",--(DATOS!$G5753=CONFIG_METADATA!$B$4),IF(DATOS!$G5753="EX",1,IF(DATOS!$G5753="OR",--(COUNTIFS(nNIA,DATOS!$A5753,nCURSO,DATOS!$D5753,nESPEC,DATOS!$E5753,nASIG,DATOS!$I5753,nEVAL,"EX")=0),0))))</f>
      </c>
      <c r="H5753">
        <f>IF(DATOS!$G5753&lt;&gt;"EX",0,--(COUNTIFS(nNIA,DATOS!$A5753,nCURSO,DATOS!$D5753,nESPEC,DATOS!$E5753,nASIG,DATOS!$I5753,nEVAL,"OR")=0))</f>
      </c>
      <c r="I5753">
        <f>IF(DATOS!$I5753="","",IFERROR(VLOOKUP(DATOS!$I5753,CONFIG_ASIGNATURAS!$B$2:$J$91,9,FALSE()),""))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IF(DATOS!$A5754="",0,IF(CONFIG_METADATA!$B$4&lt;&gt;"OR+EX",--(DATOS!$G5754=CONFIG_METADATA!$B$4),IF(DATOS!$G5754="EX",1,IF(DATOS!$G5754="OR",--(COUNTIFS(nNIA,DATOS!$A5754,nCURSO,DATOS!$D5754,nESPEC,DATOS!$E5754,nASIG,DATOS!$I5754,nEVAL,"EX")=0),0))))</f>
      </c>
      <c r="H5754">
        <f>IF(DATOS!$G5754&lt;&gt;"EX",0,--(COUNTIFS(nNIA,DATOS!$A5754,nCURSO,DATOS!$D5754,nESPEC,DATOS!$E5754,nASIG,DATOS!$I5754,nEVAL,"OR")=0))</f>
      </c>
      <c r="I5754">
        <f>IF(DATOS!$I5754="","",IFERROR(VLOOKUP(DATOS!$I5754,CONFIG_ASIGNATURAS!$B$2:$J$91,9,FALSE()),""))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IF(DATOS!$A5755="",0,IF(CONFIG_METADATA!$B$4&lt;&gt;"OR+EX",--(DATOS!$G5755=CONFIG_METADATA!$B$4),IF(DATOS!$G5755="EX",1,IF(DATOS!$G5755="OR",--(COUNTIFS(nNIA,DATOS!$A5755,nCURSO,DATOS!$D5755,nESPEC,DATOS!$E5755,nASIG,DATOS!$I5755,nEVAL,"EX")=0),0))))</f>
      </c>
      <c r="H5755">
        <f>IF(DATOS!$G5755&lt;&gt;"EX",0,--(COUNTIFS(nNIA,DATOS!$A5755,nCURSO,DATOS!$D5755,nESPEC,DATOS!$E5755,nASIG,DATOS!$I5755,nEVAL,"OR")=0))</f>
      </c>
      <c r="I5755">
        <f>IF(DATOS!$I5755="","",IFERROR(VLOOKUP(DATOS!$I5755,CONFIG_ASIGNATURAS!$B$2:$J$91,9,FALSE()),""))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IF(DATOS!$A5756="",0,IF(CONFIG_METADATA!$B$4&lt;&gt;"OR+EX",--(DATOS!$G5756=CONFIG_METADATA!$B$4),IF(DATOS!$G5756="EX",1,IF(DATOS!$G5756="OR",--(COUNTIFS(nNIA,DATOS!$A5756,nCURSO,DATOS!$D5756,nESPEC,DATOS!$E5756,nASIG,DATOS!$I5756,nEVAL,"EX")=0),0))))</f>
      </c>
      <c r="H5756">
        <f>IF(DATOS!$G5756&lt;&gt;"EX",0,--(COUNTIFS(nNIA,DATOS!$A5756,nCURSO,DATOS!$D5756,nESPEC,DATOS!$E5756,nASIG,DATOS!$I5756,nEVAL,"OR")=0))</f>
      </c>
      <c r="I5756">
        <f>IF(DATOS!$I5756="","",IFERROR(VLOOKUP(DATOS!$I5756,CONFIG_ASIGNATURAS!$B$2:$J$91,9,FALSE()),""))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IF(DATOS!$A5757="",0,IF(CONFIG_METADATA!$B$4&lt;&gt;"OR+EX",--(DATOS!$G5757=CONFIG_METADATA!$B$4),IF(DATOS!$G5757="EX",1,IF(DATOS!$G5757="OR",--(COUNTIFS(nNIA,DATOS!$A5757,nCURSO,DATOS!$D5757,nESPEC,DATOS!$E5757,nASIG,DATOS!$I5757,nEVAL,"EX")=0),0))))</f>
      </c>
      <c r="H5757">
        <f>IF(DATOS!$G5757&lt;&gt;"EX",0,--(COUNTIFS(nNIA,DATOS!$A5757,nCURSO,DATOS!$D5757,nESPEC,DATOS!$E5757,nASIG,DATOS!$I5757,nEVAL,"OR")=0))</f>
      </c>
      <c r="I5757">
        <f>IF(DATOS!$I5757="","",IFERROR(VLOOKUP(DATOS!$I5757,CONFIG_ASIGNATURAS!$B$2:$J$91,9,FALSE()),""))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IF(DATOS!$A5758="",0,IF(CONFIG_METADATA!$B$4&lt;&gt;"OR+EX",--(DATOS!$G5758=CONFIG_METADATA!$B$4),IF(DATOS!$G5758="EX",1,IF(DATOS!$G5758="OR",--(COUNTIFS(nNIA,DATOS!$A5758,nCURSO,DATOS!$D5758,nESPEC,DATOS!$E5758,nASIG,DATOS!$I5758,nEVAL,"EX")=0),0))))</f>
      </c>
      <c r="H5758">
        <f>IF(DATOS!$G5758&lt;&gt;"EX",0,--(COUNTIFS(nNIA,DATOS!$A5758,nCURSO,DATOS!$D5758,nESPEC,DATOS!$E5758,nASIG,DATOS!$I5758,nEVAL,"OR")=0))</f>
      </c>
      <c r="I5758">
        <f>IF(DATOS!$I5758="","",IFERROR(VLOOKUP(DATOS!$I5758,CONFIG_ASIGNATURAS!$B$2:$J$91,9,FALSE()),""))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IF(DATOS!$A5759="",0,IF(CONFIG_METADATA!$B$4&lt;&gt;"OR+EX",--(DATOS!$G5759=CONFIG_METADATA!$B$4),IF(DATOS!$G5759="EX",1,IF(DATOS!$G5759="OR",--(COUNTIFS(nNIA,DATOS!$A5759,nCURSO,DATOS!$D5759,nESPEC,DATOS!$E5759,nASIG,DATOS!$I5759,nEVAL,"EX")=0),0))))</f>
      </c>
      <c r="H5759">
        <f>IF(DATOS!$G5759&lt;&gt;"EX",0,--(COUNTIFS(nNIA,DATOS!$A5759,nCURSO,DATOS!$D5759,nESPEC,DATOS!$E5759,nASIG,DATOS!$I5759,nEVAL,"OR")=0))</f>
      </c>
      <c r="I5759">
        <f>IF(DATOS!$I5759="","",IFERROR(VLOOKUP(DATOS!$I5759,CONFIG_ASIGNATURAS!$B$2:$J$91,9,FALSE()),""))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IF(DATOS!$A5760="",0,IF(CONFIG_METADATA!$B$4&lt;&gt;"OR+EX",--(DATOS!$G5760=CONFIG_METADATA!$B$4),IF(DATOS!$G5760="EX",1,IF(DATOS!$G5760="OR",--(COUNTIFS(nNIA,DATOS!$A5760,nCURSO,DATOS!$D5760,nESPEC,DATOS!$E5760,nASIG,DATOS!$I5760,nEVAL,"EX")=0),0))))</f>
      </c>
      <c r="H5760">
        <f>IF(DATOS!$G5760&lt;&gt;"EX",0,--(COUNTIFS(nNIA,DATOS!$A5760,nCURSO,DATOS!$D5760,nESPEC,DATOS!$E5760,nASIG,DATOS!$I5760,nEVAL,"OR")=0))</f>
      </c>
      <c r="I5760">
        <f>IF(DATOS!$I5760="","",IFERROR(VLOOKUP(DATOS!$I5760,CONFIG_ASIGNATURAS!$B$2:$J$91,9,FALSE()),""))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IF(DATOS!$A5761="",0,IF(CONFIG_METADATA!$B$4&lt;&gt;"OR+EX",--(DATOS!$G5761=CONFIG_METADATA!$B$4),IF(DATOS!$G5761="EX",1,IF(DATOS!$G5761="OR",--(COUNTIFS(nNIA,DATOS!$A5761,nCURSO,DATOS!$D5761,nESPEC,DATOS!$E5761,nASIG,DATOS!$I5761,nEVAL,"EX")=0),0))))</f>
      </c>
      <c r="H5761">
        <f>IF(DATOS!$G5761&lt;&gt;"EX",0,--(COUNTIFS(nNIA,DATOS!$A5761,nCURSO,DATOS!$D5761,nESPEC,DATOS!$E5761,nASIG,DATOS!$I5761,nEVAL,"OR")=0))</f>
      </c>
      <c r="I5761">
        <f>IF(DATOS!$I5761="","",IFERROR(VLOOKUP(DATOS!$I5761,CONFIG_ASIGNATURAS!$B$2:$J$91,9,FALSE()),""))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IF(DATOS!$A5762="",0,IF(CONFIG_METADATA!$B$4&lt;&gt;"OR+EX",--(DATOS!$G5762=CONFIG_METADATA!$B$4),IF(DATOS!$G5762="EX",1,IF(DATOS!$G5762="OR",--(COUNTIFS(nNIA,DATOS!$A5762,nCURSO,DATOS!$D5762,nESPEC,DATOS!$E5762,nASIG,DATOS!$I5762,nEVAL,"EX")=0),0))))</f>
      </c>
      <c r="H5762">
        <f>IF(DATOS!$G5762&lt;&gt;"EX",0,--(COUNTIFS(nNIA,DATOS!$A5762,nCURSO,DATOS!$D5762,nESPEC,DATOS!$E5762,nASIG,DATOS!$I5762,nEVAL,"OR")=0))</f>
      </c>
      <c r="I5762">
        <f>IF(DATOS!$I5762="","",IFERROR(VLOOKUP(DATOS!$I5762,CONFIG_ASIGNATURAS!$B$2:$J$91,9,FALSE()),""))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IF(DATOS!$A5763="",0,IF(CONFIG_METADATA!$B$4&lt;&gt;"OR+EX",--(DATOS!$G5763=CONFIG_METADATA!$B$4),IF(DATOS!$G5763="EX",1,IF(DATOS!$G5763="OR",--(COUNTIFS(nNIA,DATOS!$A5763,nCURSO,DATOS!$D5763,nESPEC,DATOS!$E5763,nASIG,DATOS!$I5763,nEVAL,"EX")=0),0))))</f>
      </c>
      <c r="H5763">
        <f>IF(DATOS!$G5763&lt;&gt;"EX",0,--(COUNTIFS(nNIA,DATOS!$A5763,nCURSO,DATOS!$D5763,nESPEC,DATOS!$E5763,nASIG,DATOS!$I5763,nEVAL,"OR")=0))</f>
      </c>
      <c r="I5763">
        <f>IF(DATOS!$I5763="","",IFERROR(VLOOKUP(DATOS!$I5763,CONFIG_ASIGNATURAS!$B$2:$J$91,9,FALSE()),""))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IF(DATOS!$A5764="",0,IF(CONFIG_METADATA!$B$4&lt;&gt;"OR+EX",--(DATOS!$G5764=CONFIG_METADATA!$B$4),IF(DATOS!$G5764="EX",1,IF(DATOS!$G5764="OR",--(COUNTIFS(nNIA,DATOS!$A5764,nCURSO,DATOS!$D5764,nESPEC,DATOS!$E5764,nASIG,DATOS!$I5764,nEVAL,"EX")=0),0))))</f>
      </c>
      <c r="H5764">
        <f>IF(DATOS!$G5764&lt;&gt;"EX",0,--(COUNTIFS(nNIA,DATOS!$A5764,nCURSO,DATOS!$D5764,nESPEC,DATOS!$E5764,nASIG,DATOS!$I5764,nEVAL,"OR")=0))</f>
      </c>
      <c r="I5764">
        <f>IF(DATOS!$I5764="","",IFERROR(VLOOKUP(DATOS!$I5764,CONFIG_ASIGNATURAS!$B$2:$J$91,9,FALSE()),""))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IF(DATOS!$A5765="",0,IF(CONFIG_METADATA!$B$4&lt;&gt;"OR+EX",--(DATOS!$G5765=CONFIG_METADATA!$B$4),IF(DATOS!$G5765="EX",1,IF(DATOS!$G5765="OR",--(COUNTIFS(nNIA,DATOS!$A5765,nCURSO,DATOS!$D5765,nESPEC,DATOS!$E5765,nASIG,DATOS!$I5765,nEVAL,"EX")=0),0))))</f>
      </c>
      <c r="H5765">
        <f>IF(DATOS!$G5765&lt;&gt;"EX",0,--(COUNTIFS(nNIA,DATOS!$A5765,nCURSO,DATOS!$D5765,nESPEC,DATOS!$E5765,nASIG,DATOS!$I5765,nEVAL,"OR")=0))</f>
      </c>
      <c r="I5765">
        <f>IF(DATOS!$I5765="","",IFERROR(VLOOKUP(DATOS!$I5765,CONFIG_ASIGNATURAS!$B$2:$J$91,9,FALSE()),""))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IF(DATOS!$A5766="",0,IF(CONFIG_METADATA!$B$4&lt;&gt;"OR+EX",--(DATOS!$G5766=CONFIG_METADATA!$B$4),IF(DATOS!$G5766="EX",1,IF(DATOS!$G5766="OR",--(COUNTIFS(nNIA,DATOS!$A5766,nCURSO,DATOS!$D5766,nESPEC,DATOS!$E5766,nASIG,DATOS!$I5766,nEVAL,"EX")=0),0))))</f>
      </c>
      <c r="H5766">
        <f>IF(DATOS!$G5766&lt;&gt;"EX",0,--(COUNTIFS(nNIA,DATOS!$A5766,nCURSO,DATOS!$D5766,nESPEC,DATOS!$E5766,nASIG,DATOS!$I5766,nEVAL,"OR")=0))</f>
      </c>
      <c r="I5766">
        <f>IF(DATOS!$I5766="","",IFERROR(VLOOKUP(DATOS!$I5766,CONFIG_ASIGNATURAS!$B$2:$J$91,9,FALSE()),""))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IF(DATOS!$A5767="",0,IF(CONFIG_METADATA!$B$4&lt;&gt;"OR+EX",--(DATOS!$G5767=CONFIG_METADATA!$B$4),IF(DATOS!$G5767="EX",1,IF(DATOS!$G5767="OR",--(COUNTIFS(nNIA,DATOS!$A5767,nCURSO,DATOS!$D5767,nESPEC,DATOS!$E5767,nASIG,DATOS!$I5767,nEVAL,"EX")=0),0))))</f>
      </c>
      <c r="H5767">
        <f>IF(DATOS!$G5767&lt;&gt;"EX",0,--(COUNTIFS(nNIA,DATOS!$A5767,nCURSO,DATOS!$D5767,nESPEC,DATOS!$E5767,nASIG,DATOS!$I5767,nEVAL,"OR")=0))</f>
      </c>
      <c r="I5767">
        <f>IF(DATOS!$I5767="","",IFERROR(VLOOKUP(DATOS!$I5767,CONFIG_ASIGNATURAS!$B$2:$J$91,9,FALSE()),""))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IF(DATOS!$A5768="",0,IF(CONFIG_METADATA!$B$4&lt;&gt;"OR+EX",--(DATOS!$G5768=CONFIG_METADATA!$B$4),IF(DATOS!$G5768="EX",1,IF(DATOS!$G5768="OR",--(COUNTIFS(nNIA,DATOS!$A5768,nCURSO,DATOS!$D5768,nESPEC,DATOS!$E5768,nASIG,DATOS!$I5768,nEVAL,"EX")=0),0))))</f>
      </c>
      <c r="H5768">
        <f>IF(DATOS!$G5768&lt;&gt;"EX",0,--(COUNTIFS(nNIA,DATOS!$A5768,nCURSO,DATOS!$D5768,nESPEC,DATOS!$E5768,nASIG,DATOS!$I5768,nEVAL,"OR")=0))</f>
      </c>
      <c r="I5768">
        <f>IF(DATOS!$I5768="","",IFERROR(VLOOKUP(DATOS!$I5768,CONFIG_ASIGNATURAS!$B$2:$J$91,9,FALSE()),""))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IF(DATOS!$A5769="",0,IF(CONFIG_METADATA!$B$4&lt;&gt;"OR+EX",--(DATOS!$G5769=CONFIG_METADATA!$B$4),IF(DATOS!$G5769="EX",1,IF(DATOS!$G5769="OR",--(COUNTIFS(nNIA,DATOS!$A5769,nCURSO,DATOS!$D5769,nESPEC,DATOS!$E5769,nASIG,DATOS!$I5769,nEVAL,"EX")=0),0))))</f>
      </c>
      <c r="H5769">
        <f>IF(DATOS!$G5769&lt;&gt;"EX",0,--(COUNTIFS(nNIA,DATOS!$A5769,nCURSO,DATOS!$D5769,nESPEC,DATOS!$E5769,nASIG,DATOS!$I5769,nEVAL,"OR")=0))</f>
      </c>
      <c r="I5769">
        <f>IF(DATOS!$I5769="","",IFERROR(VLOOKUP(DATOS!$I5769,CONFIG_ASIGNATURAS!$B$2:$J$91,9,FALSE()),""))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IF(DATOS!$A5770="",0,IF(CONFIG_METADATA!$B$4&lt;&gt;"OR+EX",--(DATOS!$G5770=CONFIG_METADATA!$B$4),IF(DATOS!$G5770="EX",1,IF(DATOS!$G5770="OR",--(COUNTIFS(nNIA,DATOS!$A5770,nCURSO,DATOS!$D5770,nESPEC,DATOS!$E5770,nASIG,DATOS!$I5770,nEVAL,"EX")=0),0))))</f>
      </c>
      <c r="H5770">
        <f>IF(DATOS!$G5770&lt;&gt;"EX",0,--(COUNTIFS(nNIA,DATOS!$A5770,nCURSO,DATOS!$D5770,nESPEC,DATOS!$E5770,nASIG,DATOS!$I5770,nEVAL,"OR")=0))</f>
      </c>
      <c r="I5770">
        <f>IF(DATOS!$I5770="","",IFERROR(VLOOKUP(DATOS!$I5770,CONFIG_ASIGNATURAS!$B$2:$J$91,9,FALSE()),""))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IF(DATOS!$A5771="",0,IF(CONFIG_METADATA!$B$4&lt;&gt;"OR+EX",--(DATOS!$G5771=CONFIG_METADATA!$B$4),IF(DATOS!$G5771="EX",1,IF(DATOS!$G5771="OR",--(COUNTIFS(nNIA,DATOS!$A5771,nCURSO,DATOS!$D5771,nESPEC,DATOS!$E5771,nASIG,DATOS!$I5771,nEVAL,"EX")=0),0))))</f>
      </c>
      <c r="H5771">
        <f>IF(DATOS!$G5771&lt;&gt;"EX",0,--(COUNTIFS(nNIA,DATOS!$A5771,nCURSO,DATOS!$D5771,nESPEC,DATOS!$E5771,nASIG,DATOS!$I5771,nEVAL,"OR")=0))</f>
      </c>
      <c r="I5771">
        <f>IF(DATOS!$I5771="","",IFERROR(VLOOKUP(DATOS!$I5771,CONFIG_ASIGNATURAS!$B$2:$J$91,9,FALSE()),""))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IF(DATOS!$A5772="",0,IF(CONFIG_METADATA!$B$4&lt;&gt;"OR+EX",--(DATOS!$G5772=CONFIG_METADATA!$B$4),IF(DATOS!$G5772="EX",1,IF(DATOS!$G5772="OR",--(COUNTIFS(nNIA,DATOS!$A5772,nCURSO,DATOS!$D5772,nESPEC,DATOS!$E5772,nASIG,DATOS!$I5772,nEVAL,"EX")=0),0))))</f>
      </c>
      <c r="H5772">
        <f>IF(DATOS!$G5772&lt;&gt;"EX",0,--(COUNTIFS(nNIA,DATOS!$A5772,nCURSO,DATOS!$D5772,nESPEC,DATOS!$E5772,nASIG,DATOS!$I5772,nEVAL,"OR")=0))</f>
      </c>
      <c r="I5772">
        <f>IF(DATOS!$I5772="","",IFERROR(VLOOKUP(DATOS!$I5772,CONFIG_ASIGNATURAS!$B$2:$J$91,9,FALSE()),""))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IF(DATOS!$A5773="",0,IF(CONFIG_METADATA!$B$4&lt;&gt;"OR+EX",--(DATOS!$G5773=CONFIG_METADATA!$B$4),IF(DATOS!$G5773="EX",1,IF(DATOS!$G5773="OR",--(COUNTIFS(nNIA,DATOS!$A5773,nCURSO,DATOS!$D5773,nESPEC,DATOS!$E5773,nASIG,DATOS!$I5773,nEVAL,"EX")=0),0))))</f>
      </c>
      <c r="H5773">
        <f>IF(DATOS!$G5773&lt;&gt;"EX",0,--(COUNTIFS(nNIA,DATOS!$A5773,nCURSO,DATOS!$D5773,nESPEC,DATOS!$E5773,nASIG,DATOS!$I5773,nEVAL,"OR")=0))</f>
      </c>
      <c r="I5773">
        <f>IF(DATOS!$I5773="","",IFERROR(VLOOKUP(DATOS!$I5773,CONFIG_ASIGNATURAS!$B$2:$J$91,9,FALSE()),""))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IF(DATOS!$A5774="",0,IF(CONFIG_METADATA!$B$4&lt;&gt;"OR+EX",--(DATOS!$G5774=CONFIG_METADATA!$B$4),IF(DATOS!$G5774="EX",1,IF(DATOS!$G5774="OR",--(COUNTIFS(nNIA,DATOS!$A5774,nCURSO,DATOS!$D5774,nESPEC,DATOS!$E5774,nASIG,DATOS!$I5774,nEVAL,"EX")=0),0))))</f>
      </c>
      <c r="H5774">
        <f>IF(DATOS!$G5774&lt;&gt;"EX",0,--(COUNTIFS(nNIA,DATOS!$A5774,nCURSO,DATOS!$D5774,nESPEC,DATOS!$E5774,nASIG,DATOS!$I5774,nEVAL,"OR")=0))</f>
      </c>
      <c r="I5774">
        <f>IF(DATOS!$I5774="","",IFERROR(VLOOKUP(DATOS!$I5774,CONFIG_ASIGNATURAS!$B$2:$J$91,9,FALSE()),""))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IF(DATOS!$A5775="",0,IF(CONFIG_METADATA!$B$4&lt;&gt;"OR+EX",--(DATOS!$G5775=CONFIG_METADATA!$B$4),IF(DATOS!$G5775="EX",1,IF(DATOS!$G5775="OR",--(COUNTIFS(nNIA,DATOS!$A5775,nCURSO,DATOS!$D5775,nESPEC,DATOS!$E5775,nASIG,DATOS!$I5775,nEVAL,"EX")=0),0))))</f>
      </c>
      <c r="H5775">
        <f>IF(DATOS!$G5775&lt;&gt;"EX",0,--(COUNTIFS(nNIA,DATOS!$A5775,nCURSO,DATOS!$D5775,nESPEC,DATOS!$E5775,nASIG,DATOS!$I5775,nEVAL,"OR")=0))</f>
      </c>
      <c r="I5775">
        <f>IF(DATOS!$I5775="","",IFERROR(VLOOKUP(DATOS!$I5775,CONFIG_ASIGNATURAS!$B$2:$J$91,9,FALSE()),""))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IF(DATOS!$A5776="",0,IF(CONFIG_METADATA!$B$4&lt;&gt;"OR+EX",--(DATOS!$G5776=CONFIG_METADATA!$B$4),IF(DATOS!$G5776="EX",1,IF(DATOS!$G5776="OR",--(COUNTIFS(nNIA,DATOS!$A5776,nCURSO,DATOS!$D5776,nESPEC,DATOS!$E5776,nASIG,DATOS!$I5776,nEVAL,"EX")=0),0))))</f>
      </c>
      <c r="H5776">
        <f>IF(DATOS!$G5776&lt;&gt;"EX",0,--(COUNTIFS(nNIA,DATOS!$A5776,nCURSO,DATOS!$D5776,nESPEC,DATOS!$E5776,nASIG,DATOS!$I5776,nEVAL,"OR")=0))</f>
      </c>
      <c r="I5776">
        <f>IF(DATOS!$I5776="","",IFERROR(VLOOKUP(DATOS!$I5776,CONFIG_ASIGNATURAS!$B$2:$J$91,9,FALSE()),""))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IF(DATOS!$A5777="",0,IF(CONFIG_METADATA!$B$4&lt;&gt;"OR+EX",--(DATOS!$G5777=CONFIG_METADATA!$B$4),IF(DATOS!$G5777="EX",1,IF(DATOS!$G5777="OR",--(COUNTIFS(nNIA,DATOS!$A5777,nCURSO,DATOS!$D5777,nESPEC,DATOS!$E5777,nASIG,DATOS!$I5777,nEVAL,"EX")=0),0))))</f>
      </c>
      <c r="H5777">
        <f>IF(DATOS!$G5777&lt;&gt;"EX",0,--(COUNTIFS(nNIA,DATOS!$A5777,nCURSO,DATOS!$D5777,nESPEC,DATOS!$E5777,nASIG,DATOS!$I5777,nEVAL,"OR")=0))</f>
      </c>
      <c r="I5777">
        <f>IF(DATOS!$I5777="","",IFERROR(VLOOKUP(DATOS!$I5777,CONFIG_ASIGNATURAS!$B$2:$J$91,9,FALSE()),""))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IF(DATOS!$A5778="",0,IF(CONFIG_METADATA!$B$4&lt;&gt;"OR+EX",--(DATOS!$G5778=CONFIG_METADATA!$B$4),IF(DATOS!$G5778="EX",1,IF(DATOS!$G5778="OR",--(COUNTIFS(nNIA,DATOS!$A5778,nCURSO,DATOS!$D5778,nESPEC,DATOS!$E5778,nASIG,DATOS!$I5778,nEVAL,"EX")=0),0))))</f>
      </c>
      <c r="H5778">
        <f>IF(DATOS!$G5778&lt;&gt;"EX",0,--(COUNTIFS(nNIA,DATOS!$A5778,nCURSO,DATOS!$D5778,nESPEC,DATOS!$E5778,nASIG,DATOS!$I5778,nEVAL,"OR")=0))</f>
      </c>
      <c r="I5778">
        <f>IF(DATOS!$I5778="","",IFERROR(VLOOKUP(DATOS!$I5778,CONFIG_ASIGNATURAS!$B$2:$J$91,9,FALSE()),""))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IF(DATOS!$A5779="",0,IF(CONFIG_METADATA!$B$4&lt;&gt;"OR+EX",--(DATOS!$G5779=CONFIG_METADATA!$B$4),IF(DATOS!$G5779="EX",1,IF(DATOS!$G5779="OR",--(COUNTIFS(nNIA,DATOS!$A5779,nCURSO,DATOS!$D5779,nESPEC,DATOS!$E5779,nASIG,DATOS!$I5779,nEVAL,"EX")=0),0))))</f>
      </c>
      <c r="H5779">
        <f>IF(DATOS!$G5779&lt;&gt;"EX",0,--(COUNTIFS(nNIA,DATOS!$A5779,nCURSO,DATOS!$D5779,nESPEC,DATOS!$E5779,nASIG,DATOS!$I5779,nEVAL,"OR")=0))</f>
      </c>
      <c r="I5779">
        <f>IF(DATOS!$I5779="","",IFERROR(VLOOKUP(DATOS!$I5779,CONFIG_ASIGNATURAS!$B$2:$J$91,9,FALSE()),""))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IF(DATOS!$A5780="",0,IF(CONFIG_METADATA!$B$4&lt;&gt;"OR+EX",--(DATOS!$G5780=CONFIG_METADATA!$B$4),IF(DATOS!$G5780="EX",1,IF(DATOS!$G5780="OR",--(COUNTIFS(nNIA,DATOS!$A5780,nCURSO,DATOS!$D5780,nESPEC,DATOS!$E5780,nASIG,DATOS!$I5780,nEVAL,"EX")=0),0))))</f>
      </c>
      <c r="H5780">
        <f>IF(DATOS!$G5780&lt;&gt;"EX",0,--(COUNTIFS(nNIA,DATOS!$A5780,nCURSO,DATOS!$D5780,nESPEC,DATOS!$E5780,nASIG,DATOS!$I5780,nEVAL,"OR")=0))</f>
      </c>
      <c r="I5780">
        <f>IF(DATOS!$I5780="","",IFERROR(VLOOKUP(DATOS!$I5780,CONFIG_ASIGNATURAS!$B$2:$J$91,9,FALSE()),""))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IF(DATOS!$A5781="",0,IF(CONFIG_METADATA!$B$4&lt;&gt;"OR+EX",--(DATOS!$G5781=CONFIG_METADATA!$B$4),IF(DATOS!$G5781="EX",1,IF(DATOS!$G5781="OR",--(COUNTIFS(nNIA,DATOS!$A5781,nCURSO,DATOS!$D5781,nESPEC,DATOS!$E5781,nASIG,DATOS!$I5781,nEVAL,"EX")=0),0))))</f>
      </c>
      <c r="H5781">
        <f>IF(DATOS!$G5781&lt;&gt;"EX",0,--(COUNTIFS(nNIA,DATOS!$A5781,nCURSO,DATOS!$D5781,nESPEC,DATOS!$E5781,nASIG,DATOS!$I5781,nEVAL,"OR")=0))</f>
      </c>
      <c r="I5781">
        <f>IF(DATOS!$I5781="","",IFERROR(VLOOKUP(DATOS!$I5781,CONFIG_ASIGNATURAS!$B$2:$J$91,9,FALSE()),""))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IF(DATOS!$A5782="",0,IF(CONFIG_METADATA!$B$4&lt;&gt;"OR+EX",--(DATOS!$G5782=CONFIG_METADATA!$B$4),IF(DATOS!$G5782="EX",1,IF(DATOS!$G5782="OR",--(COUNTIFS(nNIA,DATOS!$A5782,nCURSO,DATOS!$D5782,nESPEC,DATOS!$E5782,nASIG,DATOS!$I5782,nEVAL,"EX")=0),0))))</f>
      </c>
      <c r="H5782">
        <f>IF(DATOS!$G5782&lt;&gt;"EX",0,--(COUNTIFS(nNIA,DATOS!$A5782,nCURSO,DATOS!$D5782,nESPEC,DATOS!$E5782,nASIG,DATOS!$I5782,nEVAL,"OR")=0))</f>
      </c>
      <c r="I5782">
        <f>IF(DATOS!$I5782="","",IFERROR(VLOOKUP(DATOS!$I5782,CONFIG_ASIGNATURAS!$B$2:$J$91,9,FALSE()),""))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IF(DATOS!$A5783="",0,IF(CONFIG_METADATA!$B$4&lt;&gt;"OR+EX",--(DATOS!$G5783=CONFIG_METADATA!$B$4),IF(DATOS!$G5783="EX",1,IF(DATOS!$G5783="OR",--(COUNTIFS(nNIA,DATOS!$A5783,nCURSO,DATOS!$D5783,nESPEC,DATOS!$E5783,nASIG,DATOS!$I5783,nEVAL,"EX")=0),0))))</f>
      </c>
      <c r="H5783">
        <f>IF(DATOS!$G5783&lt;&gt;"EX",0,--(COUNTIFS(nNIA,DATOS!$A5783,nCURSO,DATOS!$D5783,nESPEC,DATOS!$E5783,nASIG,DATOS!$I5783,nEVAL,"OR")=0))</f>
      </c>
      <c r="I5783">
        <f>IF(DATOS!$I5783="","",IFERROR(VLOOKUP(DATOS!$I5783,CONFIG_ASIGNATURAS!$B$2:$J$91,9,FALSE()),""))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IF(DATOS!$A5784="",0,IF(CONFIG_METADATA!$B$4&lt;&gt;"OR+EX",--(DATOS!$G5784=CONFIG_METADATA!$B$4),IF(DATOS!$G5784="EX",1,IF(DATOS!$G5784="OR",--(COUNTIFS(nNIA,DATOS!$A5784,nCURSO,DATOS!$D5784,nESPEC,DATOS!$E5784,nASIG,DATOS!$I5784,nEVAL,"EX")=0),0))))</f>
      </c>
      <c r="H5784">
        <f>IF(DATOS!$G5784&lt;&gt;"EX",0,--(COUNTIFS(nNIA,DATOS!$A5784,nCURSO,DATOS!$D5784,nESPEC,DATOS!$E5784,nASIG,DATOS!$I5784,nEVAL,"OR")=0))</f>
      </c>
      <c r="I5784">
        <f>IF(DATOS!$I5784="","",IFERROR(VLOOKUP(DATOS!$I5784,CONFIG_ASIGNATURAS!$B$2:$J$91,9,FALSE()),""))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IF(DATOS!$A5785="",0,IF(CONFIG_METADATA!$B$4&lt;&gt;"OR+EX",--(DATOS!$G5785=CONFIG_METADATA!$B$4),IF(DATOS!$G5785="EX",1,IF(DATOS!$G5785="OR",--(COUNTIFS(nNIA,DATOS!$A5785,nCURSO,DATOS!$D5785,nESPEC,DATOS!$E5785,nASIG,DATOS!$I5785,nEVAL,"EX")=0),0))))</f>
      </c>
      <c r="H5785">
        <f>IF(DATOS!$G5785&lt;&gt;"EX",0,--(COUNTIFS(nNIA,DATOS!$A5785,nCURSO,DATOS!$D5785,nESPEC,DATOS!$E5785,nASIG,DATOS!$I5785,nEVAL,"OR")=0))</f>
      </c>
      <c r="I5785">
        <f>IF(DATOS!$I5785="","",IFERROR(VLOOKUP(DATOS!$I5785,CONFIG_ASIGNATURAS!$B$2:$J$91,9,FALSE()),""))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IF(DATOS!$A5786="",0,IF(CONFIG_METADATA!$B$4&lt;&gt;"OR+EX",--(DATOS!$G5786=CONFIG_METADATA!$B$4),IF(DATOS!$G5786="EX",1,IF(DATOS!$G5786="OR",--(COUNTIFS(nNIA,DATOS!$A5786,nCURSO,DATOS!$D5786,nESPEC,DATOS!$E5786,nASIG,DATOS!$I5786,nEVAL,"EX")=0),0))))</f>
      </c>
      <c r="H5786">
        <f>IF(DATOS!$G5786&lt;&gt;"EX",0,--(COUNTIFS(nNIA,DATOS!$A5786,nCURSO,DATOS!$D5786,nESPEC,DATOS!$E5786,nASIG,DATOS!$I5786,nEVAL,"OR")=0))</f>
      </c>
      <c r="I5786">
        <f>IF(DATOS!$I5786="","",IFERROR(VLOOKUP(DATOS!$I5786,CONFIG_ASIGNATURAS!$B$2:$J$91,9,FALSE()),""))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IF(DATOS!$A5787="",0,IF(CONFIG_METADATA!$B$4&lt;&gt;"OR+EX",--(DATOS!$G5787=CONFIG_METADATA!$B$4),IF(DATOS!$G5787="EX",1,IF(DATOS!$G5787="OR",--(COUNTIFS(nNIA,DATOS!$A5787,nCURSO,DATOS!$D5787,nESPEC,DATOS!$E5787,nASIG,DATOS!$I5787,nEVAL,"EX")=0),0))))</f>
      </c>
      <c r="H5787">
        <f>IF(DATOS!$G5787&lt;&gt;"EX",0,--(COUNTIFS(nNIA,DATOS!$A5787,nCURSO,DATOS!$D5787,nESPEC,DATOS!$E5787,nASIG,DATOS!$I5787,nEVAL,"OR")=0))</f>
      </c>
      <c r="I5787">
        <f>IF(DATOS!$I5787="","",IFERROR(VLOOKUP(DATOS!$I5787,CONFIG_ASIGNATURAS!$B$2:$J$91,9,FALSE()),""))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IF(DATOS!$A5788="",0,IF(CONFIG_METADATA!$B$4&lt;&gt;"OR+EX",--(DATOS!$G5788=CONFIG_METADATA!$B$4),IF(DATOS!$G5788="EX",1,IF(DATOS!$G5788="OR",--(COUNTIFS(nNIA,DATOS!$A5788,nCURSO,DATOS!$D5788,nESPEC,DATOS!$E5788,nASIG,DATOS!$I5788,nEVAL,"EX")=0),0))))</f>
      </c>
      <c r="H5788">
        <f>IF(DATOS!$G5788&lt;&gt;"EX",0,--(COUNTIFS(nNIA,DATOS!$A5788,nCURSO,DATOS!$D5788,nESPEC,DATOS!$E5788,nASIG,DATOS!$I5788,nEVAL,"OR")=0))</f>
      </c>
      <c r="I5788">
        <f>IF(DATOS!$I5788="","",IFERROR(VLOOKUP(DATOS!$I5788,CONFIG_ASIGNATURAS!$B$2:$J$91,9,FALSE()),""))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IF(DATOS!$A5789="",0,IF(CONFIG_METADATA!$B$4&lt;&gt;"OR+EX",--(DATOS!$G5789=CONFIG_METADATA!$B$4),IF(DATOS!$G5789="EX",1,IF(DATOS!$G5789="OR",--(COUNTIFS(nNIA,DATOS!$A5789,nCURSO,DATOS!$D5789,nESPEC,DATOS!$E5789,nASIG,DATOS!$I5789,nEVAL,"EX")=0),0))))</f>
      </c>
      <c r="H5789">
        <f>IF(DATOS!$G5789&lt;&gt;"EX",0,--(COUNTIFS(nNIA,DATOS!$A5789,nCURSO,DATOS!$D5789,nESPEC,DATOS!$E5789,nASIG,DATOS!$I5789,nEVAL,"OR")=0))</f>
      </c>
      <c r="I5789">
        <f>IF(DATOS!$I5789="","",IFERROR(VLOOKUP(DATOS!$I5789,CONFIG_ASIGNATURAS!$B$2:$J$91,9,FALSE()),""))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IF(DATOS!$A5790="",0,IF(CONFIG_METADATA!$B$4&lt;&gt;"OR+EX",--(DATOS!$G5790=CONFIG_METADATA!$B$4),IF(DATOS!$G5790="EX",1,IF(DATOS!$G5790="OR",--(COUNTIFS(nNIA,DATOS!$A5790,nCURSO,DATOS!$D5790,nESPEC,DATOS!$E5790,nASIG,DATOS!$I5790,nEVAL,"EX")=0),0))))</f>
      </c>
      <c r="H5790">
        <f>IF(DATOS!$G5790&lt;&gt;"EX",0,--(COUNTIFS(nNIA,DATOS!$A5790,nCURSO,DATOS!$D5790,nESPEC,DATOS!$E5790,nASIG,DATOS!$I5790,nEVAL,"OR")=0))</f>
      </c>
      <c r="I5790">
        <f>IF(DATOS!$I5790="","",IFERROR(VLOOKUP(DATOS!$I5790,CONFIG_ASIGNATURAS!$B$2:$J$91,9,FALSE()),""))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IF(DATOS!$A5791="",0,IF(CONFIG_METADATA!$B$4&lt;&gt;"OR+EX",--(DATOS!$G5791=CONFIG_METADATA!$B$4),IF(DATOS!$G5791="EX",1,IF(DATOS!$G5791="OR",--(COUNTIFS(nNIA,DATOS!$A5791,nCURSO,DATOS!$D5791,nESPEC,DATOS!$E5791,nASIG,DATOS!$I5791,nEVAL,"EX")=0),0))))</f>
      </c>
      <c r="H5791">
        <f>IF(DATOS!$G5791&lt;&gt;"EX",0,--(COUNTIFS(nNIA,DATOS!$A5791,nCURSO,DATOS!$D5791,nESPEC,DATOS!$E5791,nASIG,DATOS!$I5791,nEVAL,"OR")=0))</f>
      </c>
      <c r="I5791">
        <f>IF(DATOS!$I5791="","",IFERROR(VLOOKUP(DATOS!$I5791,CONFIG_ASIGNATURAS!$B$2:$J$91,9,FALSE()),""))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IF(DATOS!$A5792="",0,IF(CONFIG_METADATA!$B$4&lt;&gt;"OR+EX",--(DATOS!$G5792=CONFIG_METADATA!$B$4),IF(DATOS!$G5792="EX",1,IF(DATOS!$G5792="OR",--(COUNTIFS(nNIA,DATOS!$A5792,nCURSO,DATOS!$D5792,nESPEC,DATOS!$E5792,nASIG,DATOS!$I5792,nEVAL,"EX")=0),0))))</f>
      </c>
      <c r="H5792">
        <f>IF(DATOS!$G5792&lt;&gt;"EX",0,--(COUNTIFS(nNIA,DATOS!$A5792,nCURSO,DATOS!$D5792,nESPEC,DATOS!$E5792,nASIG,DATOS!$I5792,nEVAL,"OR")=0))</f>
      </c>
      <c r="I5792">
        <f>IF(DATOS!$I5792="","",IFERROR(VLOOKUP(DATOS!$I5792,CONFIG_ASIGNATURAS!$B$2:$J$91,9,FALSE()),""))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IF(DATOS!$A5793="",0,IF(CONFIG_METADATA!$B$4&lt;&gt;"OR+EX",--(DATOS!$G5793=CONFIG_METADATA!$B$4),IF(DATOS!$G5793="EX",1,IF(DATOS!$G5793="OR",--(COUNTIFS(nNIA,DATOS!$A5793,nCURSO,DATOS!$D5793,nESPEC,DATOS!$E5793,nASIG,DATOS!$I5793,nEVAL,"EX")=0),0))))</f>
      </c>
      <c r="H5793">
        <f>IF(DATOS!$G5793&lt;&gt;"EX",0,--(COUNTIFS(nNIA,DATOS!$A5793,nCURSO,DATOS!$D5793,nESPEC,DATOS!$E5793,nASIG,DATOS!$I5793,nEVAL,"OR")=0))</f>
      </c>
      <c r="I5793">
        <f>IF(DATOS!$I5793="","",IFERROR(VLOOKUP(DATOS!$I5793,CONFIG_ASIGNATURAS!$B$2:$J$91,9,FALSE()),""))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IF(DATOS!$A5794="",0,IF(CONFIG_METADATA!$B$4&lt;&gt;"OR+EX",--(DATOS!$G5794=CONFIG_METADATA!$B$4),IF(DATOS!$G5794="EX",1,IF(DATOS!$G5794="OR",--(COUNTIFS(nNIA,DATOS!$A5794,nCURSO,DATOS!$D5794,nESPEC,DATOS!$E5794,nASIG,DATOS!$I5794,nEVAL,"EX")=0),0))))</f>
      </c>
      <c r="H5794">
        <f>IF(DATOS!$G5794&lt;&gt;"EX",0,--(COUNTIFS(nNIA,DATOS!$A5794,nCURSO,DATOS!$D5794,nESPEC,DATOS!$E5794,nASIG,DATOS!$I5794,nEVAL,"OR")=0))</f>
      </c>
      <c r="I5794">
        <f>IF(DATOS!$I5794="","",IFERROR(VLOOKUP(DATOS!$I5794,CONFIG_ASIGNATURAS!$B$2:$J$91,9,FALSE()),""))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IF(DATOS!$A5795="",0,IF(CONFIG_METADATA!$B$4&lt;&gt;"OR+EX",--(DATOS!$G5795=CONFIG_METADATA!$B$4),IF(DATOS!$G5795="EX",1,IF(DATOS!$G5795="OR",--(COUNTIFS(nNIA,DATOS!$A5795,nCURSO,DATOS!$D5795,nESPEC,DATOS!$E5795,nASIG,DATOS!$I5795,nEVAL,"EX")=0),0))))</f>
      </c>
      <c r="H5795">
        <f>IF(DATOS!$G5795&lt;&gt;"EX",0,--(COUNTIFS(nNIA,DATOS!$A5795,nCURSO,DATOS!$D5795,nESPEC,DATOS!$E5795,nASIG,DATOS!$I5795,nEVAL,"OR")=0))</f>
      </c>
      <c r="I5795">
        <f>IF(DATOS!$I5795="","",IFERROR(VLOOKUP(DATOS!$I5795,CONFIG_ASIGNATURAS!$B$2:$J$91,9,FALSE()),""))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IF(DATOS!$A5796="",0,IF(CONFIG_METADATA!$B$4&lt;&gt;"OR+EX",--(DATOS!$G5796=CONFIG_METADATA!$B$4),IF(DATOS!$G5796="EX",1,IF(DATOS!$G5796="OR",--(COUNTIFS(nNIA,DATOS!$A5796,nCURSO,DATOS!$D5796,nESPEC,DATOS!$E5796,nASIG,DATOS!$I5796,nEVAL,"EX")=0),0))))</f>
      </c>
      <c r="H5796">
        <f>IF(DATOS!$G5796&lt;&gt;"EX",0,--(COUNTIFS(nNIA,DATOS!$A5796,nCURSO,DATOS!$D5796,nESPEC,DATOS!$E5796,nASIG,DATOS!$I5796,nEVAL,"OR")=0))</f>
      </c>
      <c r="I5796">
        <f>IF(DATOS!$I5796="","",IFERROR(VLOOKUP(DATOS!$I5796,CONFIG_ASIGNATURAS!$B$2:$J$91,9,FALSE()),""))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IF(DATOS!$A5797="",0,IF(CONFIG_METADATA!$B$4&lt;&gt;"OR+EX",--(DATOS!$G5797=CONFIG_METADATA!$B$4),IF(DATOS!$G5797="EX",1,IF(DATOS!$G5797="OR",--(COUNTIFS(nNIA,DATOS!$A5797,nCURSO,DATOS!$D5797,nESPEC,DATOS!$E5797,nASIG,DATOS!$I5797,nEVAL,"EX")=0),0))))</f>
      </c>
      <c r="H5797">
        <f>IF(DATOS!$G5797&lt;&gt;"EX",0,--(COUNTIFS(nNIA,DATOS!$A5797,nCURSO,DATOS!$D5797,nESPEC,DATOS!$E5797,nASIG,DATOS!$I5797,nEVAL,"OR")=0))</f>
      </c>
      <c r="I5797">
        <f>IF(DATOS!$I5797="","",IFERROR(VLOOKUP(DATOS!$I5797,CONFIG_ASIGNATURAS!$B$2:$J$91,9,FALSE()),""))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IF(DATOS!$A5798="",0,IF(CONFIG_METADATA!$B$4&lt;&gt;"OR+EX",--(DATOS!$G5798=CONFIG_METADATA!$B$4),IF(DATOS!$G5798="EX",1,IF(DATOS!$G5798="OR",--(COUNTIFS(nNIA,DATOS!$A5798,nCURSO,DATOS!$D5798,nESPEC,DATOS!$E5798,nASIG,DATOS!$I5798,nEVAL,"EX")=0),0))))</f>
      </c>
      <c r="H5798">
        <f>IF(DATOS!$G5798&lt;&gt;"EX",0,--(COUNTIFS(nNIA,DATOS!$A5798,nCURSO,DATOS!$D5798,nESPEC,DATOS!$E5798,nASIG,DATOS!$I5798,nEVAL,"OR")=0))</f>
      </c>
      <c r="I5798">
        <f>IF(DATOS!$I5798="","",IFERROR(VLOOKUP(DATOS!$I5798,CONFIG_ASIGNATURAS!$B$2:$J$91,9,FALSE()),""))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IF(DATOS!$A5799="",0,IF(CONFIG_METADATA!$B$4&lt;&gt;"OR+EX",--(DATOS!$G5799=CONFIG_METADATA!$B$4),IF(DATOS!$G5799="EX",1,IF(DATOS!$G5799="OR",--(COUNTIFS(nNIA,DATOS!$A5799,nCURSO,DATOS!$D5799,nESPEC,DATOS!$E5799,nASIG,DATOS!$I5799,nEVAL,"EX")=0),0))))</f>
      </c>
      <c r="H5799">
        <f>IF(DATOS!$G5799&lt;&gt;"EX",0,--(COUNTIFS(nNIA,DATOS!$A5799,nCURSO,DATOS!$D5799,nESPEC,DATOS!$E5799,nASIG,DATOS!$I5799,nEVAL,"OR")=0))</f>
      </c>
      <c r="I5799">
        <f>IF(DATOS!$I5799="","",IFERROR(VLOOKUP(DATOS!$I5799,CONFIG_ASIGNATURAS!$B$2:$J$91,9,FALSE()),""))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IF(DATOS!$A5800="",0,IF(CONFIG_METADATA!$B$4&lt;&gt;"OR+EX",--(DATOS!$G5800=CONFIG_METADATA!$B$4),IF(DATOS!$G5800="EX",1,IF(DATOS!$G5800="OR",--(COUNTIFS(nNIA,DATOS!$A5800,nCURSO,DATOS!$D5800,nESPEC,DATOS!$E5800,nASIG,DATOS!$I5800,nEVAL,"EX")=0),0))))</f>
      </c>
      <c r="H5800">
        <f>IF(DATOS!$G5800&lt;&gt;"EX",0,--(COUNTIFS(nNIA,DATOS!$A5800,nCURSO,DATOS!$D5800,nESPEC,DATOS!$E5800,nASIG,DATOS!$I5800,nEVAL,"OR")=0))</f>
      </c>
      <c r="I5800">
        <f>IF(DATOS!$I5800="","",IFERROR(VLOOKUP(DATOS!$I5800,CONFIG_ASIGNATURAS!$B$2:$J$91,9,FALSE()),""))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IF(DATOS!$A5801="",0,IF(CONFIG_METADATA!$B$4&lt;&gt;"OR+EX",--(DATOS!$G5801=CONFIG_METADATA!$B$4),IF(DATOS!$G5801="EX",1,IF(DATOS!$G5801="OR",--(COUNTIFS(nNIA,DATOS!$A5801,nCURSO,DATOS!$D5801,nESPEC,DATOS!$E5801,nASIG,DATOS!$I5801,nEVAL,"EX")=0),0))))</f>
      </c>
      <c r="H5801">
        <f>IF(DATOS!$G5801&lt;&gt;"EX",0,--(COUNTIFS(nNIA,DATOS!$A5801,nCURSO,DATOS!$D5801,nESPEC,DATOS!$E5801,nASIG,DATOS!$I5801,nEVAL,"OR")=0))</f>
      </c>
      <c r="I5801">
        <f>IF(DATOS!$I5801="","",IFERROR(VLOOKUP(DATOS!$I5801,CONFIG_ASIGNATURAS!$B$2:$J$91,9,FALSE()),""))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IF(DATOS!$A5802="",0,IF(CONFIG_METADATA!$B$4&lt;&gt;"OR+EX",--(DATOS!$G5802=CONFIG_METADATA!$B$4),IF(DATOS!$G5802="EX",1,IF(DATOS!$G5802="OR",--(COUNTIFS(nNIA,DATOS!$A5802,nCURSO,DATOS!$D5802,nESPEC,DATOS!$E5802,nASIG,DATOS!$I5802,nEVAL,"EX")=0),0))))</f>
      </c>
      <c r="H5802">
        <f>IF(DATOS!$G5802&lt;&gt;"EX",0,--(COUNTIFS(nNIA,DATOS!$A5802,nCURSO,DATOS!$D5802,nESPEC,DATOS!$E5802,nASIG,DATOS!$I5802,nEVAL,"OR")=0))</f>
      </c>
      <c r="I5802">
        <f>IF(DATOS!$I5802="","",IFERROR(VLOOKUP(DATOS!$I5802,CONFIG_ASIGNATURAS!$B$2:$J$91,9,FALSE()),""))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IF(DATOS!$A5803="",0,IF(CONFIG_METADATA!$B$4&lt;&gt;"OR+EX",--(DATOS!$G5803=CONFIG_METADATA!$B$4),IF(DATOS!$G5803="EX",1,IF(DATOS!$G5803="OR",--(COUNTIFS(nNIA,DATOS!$A5803,nCURSO,DATOS!$D5803,nESPEC,DATOS!$E5803,nASIG,DATOS!$I5803,nEVAL,"EX")=0),0))))</f>
      </c>
      <c r="H5803">
        <f>IF(DATOS!$G5803&lt;&gt;"EX",0,--(COUNTIFS(nNIA,DATOS!$A5803,nCURSO,DATOS!$D5803,nESPEC,DATOS!$E5803,nASIG,DATOS!$I5803,nEVAL,"OR")=0))</f>
      </c>
      <c r="I5803">
        <f>IF(DATOS!$I5803="","",IFERROR(VLOOKUP(DATOS!$I5803,CONFIG_ASIGNATURAS!$B$2:$J$91,9,FALSE()),""))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IF(DATOS!$A5804="",0,IF(CONFIG_METADATA!$B$4&lt;&gt;"OR+EX",--(DATOS!$G5804=CONFIG_METADATA!$B$4),IF(DATOS!$G5804="EX",1,IF(DATOS!$G5804="OR",--(COUNTIFS(nNIA,DATOS!$A5804,nCURSO,DATOS!$D5804,nESPEC,DATOS!$E5804,nASIG,DATOS!$I5804,nEVAL,"EX")=0),0))))</f>
      </c>
      <c r="H5804">
        <f>IF(DATOS!$G5804&lt;&gt;"EX",0,--(COUNTIFS(nNIA,DATOS!$A5804,nCURSO,DATOS!$D5804,nESPEC,DATOS!$E5804,nASIG,DATOS!$I5804,nEVAL,"OR")=0))</f>
      </c>
      <c r="I5804">
        <f>IF(DATOS!$I5804="","",IFERROR(VLOOKUP(DATOS!$I5804,CONFIG_ASIGNATURAS!$B$2:$J$91,9,FALSE()),""))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IF(DATOS!$A5805="",0,IF(CONFIG_METADATA!$B$4&lt;&gt;"OR+EX",--(DATOS!$G5805=CONFIG_METADATA!$B$4),IF(DATOS!$G5805="EX",1,IF(DATOS!$G5805="OR",--(COUNTIFS(nNIA,DATOS!$A5805,nCURSO,DATOS!$D5805,nESPEC,DATOS!$E5805,nASIG,DATOS!$I5805,nEVAL,"EX")=0),0))))</f>
      </c>
      <c r="H5805">
        <f>IF(DATOS!$G5805&lt;&gt;"EX",0,--(COUNTIFS(nNIA,DATOS!$A5805,nCURSO,DATOS!$D5805,nESPEC,DATOS!$E5805,nASIG,DATOS!$I5805,nEVAL,"OR")=0))</f>
      </c>
      <c r="I5805">
        <f>IF(DATOS!$I5805="","",IFERROR(VLOOKUP(DATOS!$I5805,CONFIG_ASIGNATURAS!$B$2:$J$91,9,FALSE()),""))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IF(DATOS!$A5806="",0,IF(CONFIG_METADATA!$B$4&lt;&gt;"OR+EX",--(DATOS!$G5806=CONFIG_METADATA!$B$4),IF(DATOS!$G5806="EX",1,IF(DATOS!$G5806="OR",--(COUNTIFS(nNIA,DATOS!$A5806,nCURSO,DATOS!$D5806,nESPEC,DATOS!$E5806,nASIG,DATOS!$I5806,nEVAL,"EX")=0),0))))</f>
      </c>
      <c r="H5806">
        <f>IF(DATOS!$G5806&lt;&gt;"EX",0,--(COUNTIFS(nNIA,DATOS!$A5806,nCURSO,DATOS!$D5806,nESPEC,DATOS!$E5806,nASIG,DATOS!$I5806,nEVAL,"OR")=0))</f>
      </c>
      <c r="I5806">
        <f>IF(DATOS!$I5806="","",IFERROR(VLOOKUP(DATOS!$I5806,CONFIG_ASIGNATURAS!$B$2:$J$91,9,FALSE()),""))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IF(DATOS!$A5807="",0,IF(CONFIG_METADATA!$B$4&lt;&gt;"OR+EX",--(DATOS!$G5807=CONFIG_METADATA!$B$4),IF(DATOS!$G5807="EX",1,IF(DATOS!$G5807="OR",--(COUNTIFS(nNIA,DATOS!$A5807,nCURSO,DATOS!$D5807,nESPEC,DATOS!$E5807,nASIG,DATOS!$I5807,nEVAL,"EX")=0),0))))</f>
      </c>
      <c r="H5807">
        <f>IF(DATOS!$G5807&lt;&gt;"EX",0,--(COUNTIFS(nNIA,DATOS!$A5807,nCURSO,DATOS!$D5807,nESPEC,DATOS!$E5807,nASIG,DATOS!$I5807,nEVAL,"OR")=0))</f>
      </c>
      <c r="I5807">
        <f>IF(DATOS!$I5807="","",IFERROR(VLOOKUP(DATOS!$I5807,CONFIG_ASIGNATURAS!$B$2:$J$91,9,FALSE()),""))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IF(DATOS!$A5808="",0,IF(CONFIG_METADATA!$B$4&lt;&gt;"OR+EX",--(DATOS!$G5808=CONFIG_METADATA!$B$4),IF(DATOS!$G5808="EX",1,IF(DATOS!$G5808="OR",--(COUNTIFS(nNIA,DATOS!$A5808,nCURSO,DATOS!$D5808,nESPEC,DATOS!$E5808,nASIG,DATOS!$I5808,nEVAL,"EX")=0),0))))</f>
      </c>
      <c r="H5808">
        <f>IF(DATOS!$G5808&lt;&gt;"EX",0,--(COUNTIFS(nNIA,DATOS!$A5808,nCURSO,DATOS!$D5808,nESPEC,DATOS!$E5808,nASIG,DATOS!$I5808,nEVAL,"OR")=0))</f>
      </c>
      <c r="I5808">
        <f>IF(DATOS!$I5808="","",IFERROR(VLOOKUP(DATOS!$I5808,CONFIG_ASIGNATURAS!$B$2:$J$91,9,FALSE()),""))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IF(DATOS!$A5809="",0,IF(CONFIG_METADATA!$B$4&lt;&gt;"OR+EX",--(DATOS!$G5809=CONFIG_METADATA!$B$4),IF(DATOS!$G5809="EX",1,IF(DATOS!$G5809="OR",--(COUNTIFS(nNIA,DATOS!$A5809,nCURSO,DATOS!$D5809,nESPEC,DATOS!$E5809,nASIG,DATOS!$I5809,nEVAL,"EX")=0),0))))</f>
      </c>
      <c r="H5809">
        <f>IF(DATOS!$G5809&lt;&gt;"EX",0,--(COUNTIFS(nNIA,DATOS!$A5809,nCURSO,DATOS!$D5809,nESPEC,DATOS!$E5809,nASIG,DATOS!$I5809,nEVAL,"OR")=0))</f>
      </c>
      <c r="I5809">
        <f>IF(DATOS!$I5809="","",IFERROR(VLOOKUP(DATOS!$I5809,CONFIG_ASIGNATURAS!$B$2:$J$91,9,FALSE()),""))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IF(DATOS!$A5810="",0,IF(CONFIG_METADATA!$B$4&lt;&gt;"OR+EX",--(DATOS!$G5810=CONFIG_METADATA!$B$4),IF(DATOS!$G5810="EX",1,IF(DATOS!$G5810="OR",--(COUNTIFS(nNIA,DATOS!$A5810,nCURSO,DATOS!$D5810,nESPEC,DATOS!$E5810,nASIG,DATOS!$I5810,nEVAL,"EX")=0),0))))</f>
      </c>
      <c r="H5810">
        <f>IF(DATOS!$G5810&lt;&gt;"EX",0,--(COUNTIFS(nNIA,DATOS!$A5810,nCURSO,DATOS!$D5810,nESPEC,DATOS!$E5810,nASIG,DATOS!$I5810,nEVAL,"OR")=0))</f>
      </c>
      <c r="I5810">
        <f>IF(DATOS!$I5810="","",IFERROR(VLOOKUP(DATOS!$I5810,CONFIG_ASIGNATURAS!$B$2:$J$91,9,FALSE()),""))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IF(DATOS!$A5811="",0,IF(CONFIG_METADATA!$B$4&lt;&gt;"OR+EX",--(DATOS!$G5811=CONFIG_METADATA!$B$4),IF(DATOS!$G5811="EX",1,IF(DATOS!$G5811="OR",--(COUNTIFS(nNIA,DATOS!$A5811,nCURSO,DATOS!$D5811,nESPEC,DATOS!$E5811,nASIG,DATOS!$I5811,nEVAL,"EX")=0),0))))</f>
      </c>
      <c r="H5811">
        <f>IF(DATOS!$G5811&lt;&gt;"EX",0,--(COUNTIFS(nNIA,DATOS!$A5811,nCURSO,DATOS!$D5811,nESPEC,DATOS!$E5811,nASIG,DATOS!$I5811,nEVAL,"OR")=0))</f>
      </c>
      <c r="I5811">
        <f>IF(DATOS!$I5811="","",IFERROR(VLOOKUP(DATOS!$I5811,CONFIG_ASIGNATURAS!$B$2:$J$91,9,FALSE()),""))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IF(DATOS!$A5812="",0,IF(CONFIG_METADATA!$B$4&lt;&gt;"OR+EX",--(DATOS!$G5812=CONFIG_METADATA!$B$4),IF(DATOS!$G5812="EX",1,IF(DATOS!$G5812="OR",--(COUNTIFS(nNIA,DATOS!$A5812,nCURSO,DATOS!$D5812,nESPEC,DATOS!$E5812,nASIG,DATOS!$I5812,nEVAL,"EX")=0),0))))</f>
      </c>
      <c r="H5812">
        <f>IF(DATOS!$G5812&lt;&gt;"EX",0,--(COUNTIFS(nNIA,DATOS!$A5812,nCURSO,DATOS!$D5812,nESPEC,DATOS!$E5812,nASIG,DATOS!$I5812,nEVAL,"OR")=0))</f>
      </c>
      <c r="I5812">
        <f>IF(DATOS!$I5812="","",IFERROR(VLOOKUP(DATOS!$I5812,CONFIG_ASIGNATURAS!$B$2:$J$91,9,FALSE()),""))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IF(DATOS!$A5813="",0,IF(CONFIG_METADATA!$B$4&lt;&gt;"OR+EX",--(DATOS!$G5813=CONFIG_METADATA!$B$4),IF(DATOS!$G5813="EX",1,IF(DATOS!$G5813="OR",--(COUNTIFS(nNIA,DATOS!$A5813,nCURSO,DATOS!$D5813,nESPEC,DATOS!$E5813,nASIG,DATOS!$I5813,nEVAL,"EX")=0),0))))</f>
      </c>
      <c r="H5813">
        <f>IF(DATOS!$G5813&lt;&gt;"EX",0,--(COUNTIFS(nNIA,DATOS!$A5813,nCURSO,DATOS!$D5813,nESPEC,DATOS!$E5813,nASIG,DATOS!$I5813,nEVAL,"OR")=0))</f>
      </c>
      <c r="I5813">
        <f>IF(DATOS!$I5813="","",IFERROR(VLOOKUP(DATOS!$I5813,CONFIG_ASIGNATURAS!$B$2:$J$91,9,FALSE()),""))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IF(DATOS!$A5814="",0,IF(CONFIG_METADATA!$B$4&lt;&gt;"OR+EX",--(DATOS!$G5814=CONFIG_METADATA!$B$4),IF(DATOS!$G5814="EX",1,IF(DATOS!$G5814="OR",--(COUNTIFS(nNIA,DATOS!$A5814,nCURSO,DATOS!$D5814,nESPEC,DATOS!$E5814,nASIG,DATOS!$I5814,nEVAL,"EX")=0),0))))</f>
      </c>
      <c r="H5814">
        <f>IF(DATOS!$G5814&lt;&gt;"EX",0,--(COUNTIFS(nNIA,DATOS!$A5814,nCURSO,DATOS!$D5814,nESPEC,DATOS!$E5814,nASIG,DATOS!$I5814,nEVAL,"OR")=0))</f>
      </c>
      <c r="I5814">
        <f>IF(DATOS!$I5814="","",IFERROR(VLOOKUP(DATOS!$I5814,CONFIG_ASIGNATURAS!$B$2:$J$91,9,FALSE()),""))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IF(DATOS!$A5815="",0,IF(CONFIG_METADATA!$B$4&lt;&gt;"OR+EX",--(DATOS!$G5815=CONFIG_METADATA!$B$4),IF(DATOS!$G5815="EX",1,IF(DATOS!$G5815="OR",--(COUNTIFS(nNIA,DATOS!$A5815,nCURSO,DATOS!$D5815,nESPEC,DATOS!$E5815,nASIG,DATOS!$I5815,nEVAL,"EX")=0),0))))</f>
      </c>
      <c r="H5815">
        <f>IF(DATOS!$G5815&lt;&gt;"EX",0,--(COUNTIFS(nNIA,DATOS!$A5815,nCURSO,DATOS!$D5815,nESPEC,DATOS!$E5815,nASIG,DATOS!$I5815,nEVAL,"OR")=0))</f>
      </c>
      <c r="I5815">
        <f>IF(DATOS!$I5815="","",IFERROR(VLOOKUP(DATOS!$I5815,CONFIG_ASIGNATURAS!$B$2:$J$91,9,FALSE()),""))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IF(DATOS!$A5816="",0,IF(CONFIG_METADATA!$B$4&lt;&gt;"OR+EX",--(DATOS!$G5816=CONFIG_METADATA!$B$4),IF(DATOS!$G5816="EX",1,IF(DATOS!$G5816="OR",--(COUNTIFS(nNIA,DATOS!$A5816,nCURSO,DATOS!$D5816,nESPEC,DATOS!$E5816,nASIG,DATOS!$I5816,nEVAL,"EX")=0),0))))</f>
      </c>
      <c r="H5816">
        <f>IF(DATOS!$G5816&lt;&gt;"EX",0,--(COUNTIFS(nNIA,DATOS!$A5816,nCURSO,DATOS!$D5816,nESPEC,DATOS!$E5816,nASIG,DATOS!$I5816,nEVAL,"OR")=0))</f>
      </c>
      <c r="I5816">
        <f>IF(DATOS!$I5816="","",IFERROR(VLOOKUP(DATOS!$I5816,CONFIG_ASIGNATURAS!$B$2:$J$91,9,FALSE()),""))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IF(DATOS!$A5817="",0,IF(CONFIG_METADATA!$B$4&lt;&gt;"OR+EX",--(DATOS!$G5817=CONFIG_METADATA!$B$4),IF(DATOS!$G5817="EX",1,IF(DATOS!$G5817="OR",--(COUNTIFS(nNIA,DATOS!$A5817,nCURSO,DATOS!$D5817,nESPEC,DATOS!$E5817,nASIG,DATOS!$I5817,nEVAL,"EX")=0),0))))</f>
      </c>
      <c r="H5817">
        <f>IF(DATOS!$G5817&lt;&gt;"EX",0,--(COUNTIFS(nNIA,DATOS!$A5817,nCURSO,DATOS!$D5817,nESPEC,DATOS!$E5817,nASIG,DATOS!$I5817,nEVAL,"OR")=0))</f>
      </c>
      <c r="I5817">
        <f>IF(DATOS!$I5817="","",IFERROR(VLOOKUP(DATOS!$I5817,CONFIG_ASIGNATURAS!$B$2:$J$91,9,FALSE()),""))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IF(DATOS!$A5818="",0,IF(CONFIG_METADATA!$B$4&lt;&gt;"OR+EX",--(DATOS!$G5818=CONFIG_METADATA!$B$4),IF(DATOS!$G5818="EX",1,IF(DATOS!$G5818="OR",--(COUNTIFS(nNIA,DATOS!$A5818,nCURSO,DATOS!$D5818,nESPEC,DATOS!$E5818,nASIG,DATOS!$I5818,nEVAL,"EX")=0),0))))</f>
      </c>
      <c r="H5818">
        <f>IF(DATOS!$G5818&lt;&gt;"EX",0,--(COUNTIFS(nNIA,DATOS!$A5818,nCURSO,DATOS!$D5818,nESPEC,DATOS!$E5818,nASIG,DATOS!$I5818,nEVAL,"OR")=0))</f>
      </c>
      <c r="I5818">
        <f>IF(DATOS!$I5818="","",IFERROR(VLOOKUP(DATOS!$I5818,CONFIG_ASIGNATURAS!$B$2:$J$91,9,FALSE()),""))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IF(DATOS!$A5819="",0,IF(CONFIG_METADATA!$B$4&lt;&gt;"OR+EX",--(DATOS!$G5819=CONFIG_METADATA!$B$4),IF(DATOS!$G5819="EX",1,IF(DATOS!$G5819="OR",--(COUNTIFS(nNIA,DATOS!$A5819,nCURSO,DATOS!$D5819,nESPEC,DATOS!$E5819,nASIG,DATOS!$I5819,nEVAL,"EX")=0),0))))</f>
      </c>
      <c r="H5819">
        <f>IF(DATOS!$G5819&lt;&gt;"EX",0,--(COUNTIFS(nNIA,DATOS!$A5819,nCURSO,DATOS!$D5819,nESPEC,DATOS!$E5819,nASIG,DATOS!$I5819,nEVAL,"OR")=0))</f>
      </c>
      <c r="I5819">
        <f>IF(DATOS!$I5819="","",IFERROR(VLOOKUP(DATOS!$I5819,CONFIG_ASIGNATURAS!$B$2:$J$91,9,FALSE()),""))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IF(DATOS!$A5820="",0,IF(CONFIG_METADATA!$B$4&lt;&gt;"OR+EX",--(DATOS!$G5820=CONFIG_METADATA!$B$4),IF(DATOS!$G5820="EX",1,IF(DATOS!$G5820="OR",--(COUNTIFS(nNIA,DATOS!$A5820,nCURSO,DATOS!$D5820,nESPEC,DATOS!$E5820,nASIG,DATOS!$I5820,nEVAL,"EX")=0),0))))</f>
      </c>
      <c r="H5820">
        <f>IF(DATOS!$G5820&lt;&gt;"EX",0,--(COUNTIFS(nNIA,DATOS!$A5820,nCURSO,DATOS!$D5820,nESPEC,DATOS!$E5820,nASIG,DATOS!$I5820,nEVAL,"OR")=0))</f>
      </c>
      <c r="I5820">
        <f>IF(DATOS!$I5820="","",IFERROR(VLOOKUP(DATOS!$I5820,CONFIG_ASIGNATURAS!$B$2:$J$91,9,FALSE()),""))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IF(DATOS!$A5821="",0,IF(CONFIG_METADATA!$B$4&lt;&gt;"OR+EX",--(DATOS!$G5821=CONFIG_METADATA!$B$4),IF(DATOS!$G5821="EX",1,IF(DATOS!$G5821="OR",--(COUNTIFS(nNIA,DATOS!$A5821,nCURSO,DATOS!$D5821,nESPEC,DATOS!$E5821,nASIG,DATOS!$I5821,nEVAL,"EX")=0),0))))</f>
      </c>
      <c r="H5821">
        <f>IF(DATOS!$G5821&lt;&gt;"EX",0,--(COUNTIFS(nNIA,DATOS!$A5821,nCURSO,DATOS!$D5821,nESPEC,DATOS!$E5821,nASIG,DATOS!$I5821,nEVAL,"OR")=0))</f>
      </c>
      <c r="I5821">
        <f>IF(DATOS!$I5821="","",IFERROR(VLOOKUP(DATOS!$I5821,CONFIG_ASIGNATURAS!$B$2:$J$91,9,FALSE()),""))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IF(DATOS!$A5822="",0,IF(CONFIG_METADATA!$B$4&lt;&gt;"OR+EX",--(DATOS!$G5822=CONFIG_METADATA!$B$4),IF(DATOS!$G5822="EX",1,IF(DATOS!$G5822="OR",--(COUNTIFS(nNIA,DATOS!$A5822,nCURSO,DATOS!$D5822,nESPEC,DATOS!$E5822,nASIG,DATOS!$I5822,nEVAL,"EX")=0),0))))</f>
      </c>
      <c r="H5822">
        <f>IF(DATOS!$G5822&lt;&gt;"EX",0,--(COUNTIFS(nNIA,DATOS!$A5822,nCURSO,DATOS!$D5822,nESPEC,DATOS!$E5822,nASIG,DATOS!$I5822,nEVAL,"OR")=0))</f>
      </c>
      <c r="I5822">
        <f>IF(DATOS!$I5822="","",IFERROR(VLOOKUP(DATOS!$I5822,CONFIG_ASIGNATURAS!$B$2:$J$91,9,FALSE()),""))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IF(DATOS!$A5823="",0,IF(CONFIG_METADATA!$B$4&lt;&gt;"OR+EX",--(DATOS!$G5823=CONFIG_METADATA!$B$4),IF(DATOS!$G5823="EX",1,IF(DATOS!$G5823="OR",--(COUNTIFS(nNIA,DATOS!$A5823,nCURSO,DATOS!$D5823,nESPEC,DATOS!$E5823,nASIG,DATOS!$I5823,nEVAL,"EX")=0),0))))</f>
      </c>
      <c r="H5823">
        <f>IF(DATOS!$G5823&lt;&gt;"EX",0,--(COUNTIFS(nNIA,DATOS!$A5823,nCURSO,DATOS!$D5823,nESPEC,DATOS!$E5823,nASIG,DATOS!$I5823,nEVAL,"OR")=0))</f>
      </c>
      <c r="I5823">
        <f>IF(DATOS!$I5823="","",IFERROR(VLOOKUP(DATOS!$I5823,CONFIG_ASIGNATURAS!$B$2:$J$91,9,FALSE()),""))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IF(DATOS!$A5824="",0,IF(CONFIG_METADATA!$B$4&lt;&gt;"OR+EX",--(DATOS!$G5824=CONFIG_METADATA!$B$4),IF(DATOS!$G5824="EX",1,IF(DATOS!$G5824="OR",--(COUNTIFS(nNIA,DATOS!$A5824,nCURSO,DATOS!$D5824,nESPEC,DATOS!$E5824,nASIG,DATOS!$I5824,nEVAL,"EX")=0),0))))</f>
      </c>
      <c r="H5824">
        <f>IF(DATOS!$G5824&lt;&gt;"EX",0,--(COUNTIFS(nNIA,DATOS!$A5824,nCURSO,DATOS!$D5824,nESPEC,DATOS!$E5824,nASIG,DATOS!$I5824,nEVAL,"OR")=0))</f>
      </c>
      <c r="I5824">
        <f>IF(DATOS!$I5824="","",IFERROR(VLOOKUP(DATOS!$I5824,CONFIG_ASIGNATURAS!$B$2:$J$91,9,FALSE()),""))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IF(DATOS!$A5825="",0,IF(CONFIG_METADATA!$B$4&lt;&gt;"OR+EX",--(DATOS!$G5825=CONFIG_METADATA!$B$4),IF(DATOS!$G5825="EX",1,IF(DATOS!$G5825="OR",--(COUNTIFS(nNIA,DATOS!$A5825,nCURSO,DATOS!$D5825,nESPEC,DATOS!$E5825,nASIG,DATOS!$I5825,nEVAL,"EX")=0),0))))</f>
      </c>
      <c r="H5825">
        <f>IF(DATOS!$G5825&lt;&gt;"EX",0,--(COUNTIFS(nNIA,DATOS!$A5825,nCURSO,DATOS!$D5825,nESPEC,DATOS!$E5825,nASIG,DATOS!$I5825,nEVAL,"OR")=0))</f>
      </c>
      <c r="I5825">
        <f>IF(DATOS!$I5825="","",IFERROR(VLOOKUP(DATOS!$I5825,CONFIG_ASIGNATURAS!$B$2:$J$91,9,FALSE()),""))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IF(DATOS!$A5826="",0,IF(CONFIG_METADATA!$B$4&lt;&gt;"OR+EX",--(DATOS!$G5826=CONFIG_METADATA!$B$4),IF(DATOS!$G5826="EX",1,IF(DATOS!$G5826="OR",--(COUNTIFS(nNIA,DATOS!$A5826,nCURSO,DATOS!$D5826,nESPEC,DATOS!$E5826,nASIG,DATOS!$I5826,nEVAL,"EX")=0),0))))</f>
      </c>
      <c r="H5826">
        <f>IF(DATOS!$G5826&lt;&gt;"EX",0,--(COUNTIFS(nNIA,DATOS!$A5826,nCURSO,DATOS!$D5826,nESPEC,DATOS!$E5826,nASIG,DATOS!$I5826,nEVAL,"OR")=0))</f>
      </c>
      <c r="I5826">
        <f>IF(DATOS!$I5826="","",IFERROR(VLOOKUP(DATOS!$I5826,CONFIG_ASIGNATURAS!$B$2:$J$91,9,FALSE()),""))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IF(DATOS!$A5827="",0,IF(CONFIG_METADATA!$B$4&lt;&gt;"OR+EX",--(DATOS!$G5827=CONFIG_METADATA!$B$4),IF(DATOS!$G5827="EX",1,IF(DATOS!$G5827="OR",--(COUNTIFS(nNIA,DATOS!$A5827,nCURSO,DATOS!$D5827,nESPEC,DATOS!$E5827,nASIG,DATOS!$I5827,nEVAL,"EX")=0),0))))</f>
      </c>
      <c r="H5827">
        <f>IF(DATOS!$G5827&lt;&gt;"EX",0,--(COUNTIFS(nNIA,DATOS!$A5827,nCURSO,DATOS!$D5827,nESPEC,DATOS!$E5827,nASIG,DATOS!$I5827,nEVAL,"OR")=0))</f>
      </c>
      <c r="I5827">
        <f>IF(DATOS!$I5827="","",IFERROR(VLOOKUP(DATOS!$I5827,CONFIG_ASIGNATURAS!$B$2:$J$91,9,FALSE()),""))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IF(DATOS!$A5828="",0,IF(CONFIG_METADATA!$B$4&lt;&gt;"OR+EX",--(DATOS!$G5828=CONFIG_METADATA!$B$4),IF(DATOS!$G5828="EX",1,IF(DATOS!$G5828="OR",--(COUNTIFS(nNIA,DATOS!$A5828,nCURSO,DATOS!$D5828,nESPEC,DATOS!$E5828,nASIG,DATOS!$I5828,nEVAL,"EX")=0),0))))</f>
      </c>
      <c r="H5828">
        <f>IF(DATOS!$G5828&lt;&gt;"EX",0,--(COUNTIFS(nNIA,DATOS!$A5828,nCURSO,DATOS!$D5828,nESPEC,DATOS!$E5828,nASIG,DATOS!$I5828,nEVAL,"OR")=0))</f>
      </c>
      <c r="I5828">
        <f>IF(DATOS!$I5828="","",IFERROR(VLOOKUP(DATOS!$I5828,CONFIG_ASIGNATURAS!$B$2:$J$91,9,FALSE()),""))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IF(DATOS!$A5829="",0,IF(CONFIG_METADATA!$B$4&lt;&gt;"OR+EX",--(DATOS!$G5829=CONFIG_METADATA!$B$4),IF(DATOS!$G5829="EX",1,IF(DATOS!$G5829="OR",--(COUNTIFS(nNIA,DATOS!$A5829,nCURSO,DATOS!$D5829,nESPEC,DATOS!$E5829,nASIG,DATOS!$I5829,nEVAL,"EX")=0),0))))</f>
      </c>
      <c r="H5829">
        <f>IF(DATOS!$G5829&lt;&gt;"EX",0,--(COUNTIFS(nNIA,DATOS!$A5829,nCURSO,DATOS!$D5829,nESPEC,DATOS!$E5829,nASIG,DATOS!$I5829,nEVAL,"OR")=0))</f>
      </c>
      <c r="I5829">
        <f>IF(DATOS!$I5829="","",IFERROR(VLOOKUP(DATOS!$I5829,CONFIG_ASIGNATURAS!$B$2:$J$91,9,FALSE()),""))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IF(DATOS!$A5830="",0,IF(CONFIG_METADATA!$B$4&lt;&gt;"OR+EX",--(DATOS!$G5830=CONFIG_METADATA!$B$4),IF(DATOS!$G5830="EX",1,IF(DATOS!$G5830="OR",--(COUNTIFS(nNIA,DATOS!$A5830,nCURSO,DATOS!$D5830,nESPEC,DATOS!$E5830,nASIG,DATOS!$I5830,nEVAL,"EX")=0),0))))</f>
      </c>
      <c r="H5830">
        <f>IF(DATOS!$G5830&lt;&gt;"EX",0,--(COUNTIFS(nNIA,DATOS!$A5830,nCURSO,DATOS!$D5830,nESPEC,DATOS!$E5830,nASIG,DATOS!$I5830,nEVAL,"OR")=0))</f>
      </c>
      <c r="I5830">
        <f>IF(DATOS!$I5830="","",IFERROR(VLOOKUP(DATOS!$I5830,CONFIG_ASIGNATURAS!$B$2:$J$91,9,FALSE()),""))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IF(DATOS!$A5831="",0,IF(CONFIG_METADATA!$B$4&lt;&gt;"OR+EX",--(DATOS!$G5831=CONFIG_METADATA!$B$4),IF(DATOS!$G5831="EX",1,IF(DATOS!$G5831="OR",--(COUNTIFS(nNIA,DATOS!$A5831,nCURSO,DATOS!$D5831,nESPEC,DATOS!$E5831,nASIG,DATOS!$I5831,nEVAL,"EX")=0),0))))</f>
      </c>
      <c r="H5831">
        <f>IF(DATOS!$G5831&lt;&gt;"EX",0,--(COUNTIFS(nNIA,DATOS!$A5831,nCURSO,DATOS!$D5831,nESPEC,DATOS!$E5831,nASIG,DATOS!$I5831,nEVAL,"OR")=0))</f>
      </c>
      <c r="I5831">
        <f>IF(DATOS!$I5831="","",IFERROR(VLOOKUP(DATOS!$I5831,CONFIG_ASIGNATURAS!$B$2:$J$91,9,FALSE()),""))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IF(DATOS!$A5832="",0,IF(CONFIG_METADATA!$B$4&lt;&gt;"OR+EX",--(DATOS!$G5832=CONFIG_METADATA!$B$4),IF(DATOS!$G5832="EX",1,IF(DATOS!$G5832="OR",--(COUNTIFS(nNIA,DATOS!$A5832,nCURSO,DATOS!$D5832,nESPEC,DATOS!$E5832,nASIG,DATOS!$I5832,nEVAL,"EX")=0),0))))</f>
      </c>
      <c r="H5832">
        <f>IF(DATOS!$G5832&lt;&gt;"EX",0,--(COUNTIFS(nNIA,DATOS!$A5832,nCURSO,DATOS!$D5832,nESPEC,DATOS!$E5832,nASIG,DATOS!$I5832,nEVAL,"OR")=0))</f>
      </c>
      <c r="I5832">
        <f>IF(DATOS!$I5832="","",IFERROR(VLOOKUP(DATOS!$I5832,CONFIG_ASIGNATURAS!$B$2:$J$91,9,FALSE()),""))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IF(DATOS!$A5833="",0,IF(CONFIG_METADATA!$B$4&lt;&gt;"OR+EX",--(DATOS!$G5833=CONFIG_METADATA!$B$4),IF(DATOS!$G5833="EX",1,IF(DATOS!$G5833="OR",--(COUNTIFS(nNIA,DATOS!$A5833,nCURSO,DATOS!$D5833,nESPEC,DATOS!$E5833,nASIG,DATOS!$I5833,nEVAL,"EX")=0),0))))</f>
      </c>
      <c r="H5833">
        <f>IF(DATOS!$G5833&lt;&gt;"EX",0,--(COUNTIFS(nNIA,DATOS!$A5833,nCURSO,DATOS!$D5833,nESPEC,DATOS!$E5833,nASIG,DATOS!$I5833,nEVAL,"OR")=0))</f>
      </c>
      <c r="I5833">
        <f>IF(DATOS!$I5833="","",IFERROR(VLOOKUP(DATOS!$I5833,CONFIG_ASIGNATURAS!$B$2:$J$91,9,FALSE()),""))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IF(DATOS!$A5834="",0,IF(CONFIG_METADATA!$B$4&lt;&gt;"OR+EX",--(DATOS!$G5834=CONFIG_METADATA!$B$4),IF(DATOS!$G5834="EX",1,IF(DATOS!$G5834="OR",--(COUNTIFS(nNIA,DATOS!$A5834,nCURSO,DATOS!$D5834,nESPEC,DATOS!$E5834,nASIG,DATOS!$I5834,nEVAL,"EX")=0),0))))</f>
      </c>
      <c r="H5834">
        <f>IF(DATOS!$G5834&lt;&gt;"EX",0,--(COUNTIFS(nNIA,DATOS!$A5834,nCURSO,DATOS!$D5834,nESPEC,DATOS!$E5834,nASIG,DATOS!$I5834,nEVAL,"OR")=0))</f>
      </c>
      <c r="I5834">
        <f>IF(DATOS!$I5834="","",IFERROR(VLOOKUP(DATOS!$I5834,CONFIG_ASIGNATURAS!$B$2:$J$91,9,FALSE()),""))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IF(DATOS!$A5835="",0,IF(CONFIG_METADATA!$B$4&lt;&gt;"OR+EX",--(DATOS!$G5835=CONFIG_METADATA!$B$4),IF(DATOS!$G5835="EX",1,IF(DATOS!$G5835="OR",--(COUNTIFS(nNIA,DATOS!$A5835,nCURSO,DATOS!$D5835,nESPEC,DATOS!$E5835,nASIG,DATOS!$I5835,nEVAL,"EX")=0),0))))</f>
      </c>
      <c r="H5835">
        <f>IF(DATOS!$G5835&lt;&gt;"EX",0,--(COUNTIFS(nNIA,DATOS!$A5835,nCURSO,DATOS!$D5835,nESPEC,DATOS!$E5835,nASIG,DATOS!$I5835,nEVAL,"OR")=0))</f>
      </c>
      <c r="I5835">
        <f>IF(DATOS!$I5835="","",IFERROR(VLOOKUP(DATOS!$I5835,CONFIG_ASIGNATURAS!$B$2:$J$91,9,FALSE()),""))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IF(DATOS!$A5836="",0,IF(CONFIG_METADATA!$B$4&lt;&gt;"OR+EX",--(DATOS!$G5836=CONFIG_METADATA!$B$4),IF(DATOS!$G5836="EX",1,IF(DATOS!$G5836="OR",--(COUNTIFS(nNIA,DATOS!$A5836,nCURSO,DATOS!$D5836,nESPEC,DATOS!$E5836,nASIG,DATOS!$I5836,nEVAL,"EX")=0),0))))</f>
      </c>
      <c r="H5836">
        <f>IF(DATOS!$G5836&lt;&gt;"EX",0,--(COUNTIFS(nNIA,DATOS!$A5836,nCURSO,DATOS!$D5836,nESPEC,DATOS!$E5836,nASIG,DATOS!$I5836,nEVAL,"OR")=0))</f>
      </c>
      <c r="I5836">
        <f>IF(DATOS!$I5836="","",IFERROR(VLOOKUP(DATOS!$I5836,CONFIG_ASIGNATURAS!$B$2:$J$91,9,FALSE()),""))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IF(DATOS!$A5837="",0,IF(CONFIG_METADATA!$B$4&lt;&gt;"OR+EX",--(DATOS!$G5837=CONFIG_METADATA!$B$4),IF(DATOS!$G5837="EX",1,IF(DATOS!$G5837="OR",--(COUNTIFS(nNIA,DATOS!$A5837,nCURSO,DATOS!$D5837,nESPEC,DATOS!$E5837,nASIG,DATOS!$I5837,nEVAL,"EX")=0),0))))</f>
      </c>
      <c r="H5837">
        <f>IF(DATOS!$G5837&lt;&gt;"EX",0,--(COUNTIFS(nNIA,DATOS!$A5837,nCURSO,DATOS!$D5837,nESPEC,DATOS!$E5837,nASIG,DATOS!$I5837,nEVAL,"OR")=0))</f>
      </c>
      <c r="I5837">
        <f>IF(DATOS!$I5837="","",IFERROR(VLOOKUP(DATOS!$I5837,CONFIG_ASIGNATURAS!$B$2:$J$91,9,FALSE()),""))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IF(DATOS!$A5838="",0,IF(CONFIG_METADATA!$B$4&lt;&gt;"OR+EX",--(DATOS!$G5838=CONFIG_METADATA!$B$4),IF(DATOS!$G5838="EX",1,IF(DATOS!$G5838="OR",--(COUNTIFS(nNIA,DATOS!$A5838,nCURSO,DATOS!$D5838,nESPEC,DATOS!$E5838,nASIG,DATOS!$I5838,nEVAL,"EX")=0),0))))</f>
      </c>
      <c r="H5838">
        <f>IF(DATOS!$G5838&lt;&gt;"EX",0,--(COUNTIFS(nNIA,DATOS!$A5838,nCURSO,DATOS!$D5838,nESPEC,DATOS!$E5838,nASIG,DATOS!$I5838,nEVAL,"OR")=0))</f>
      </c>
      <c r="I5838">
        <f>IF(DATOS!$I5838="","",IFERROR(VLOOKUP(DATOS!$I5838,CONFIG_ASIGNATURAS!$B$2:$J$91,9,FALSE()),""))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IF(DATOS!$A5839="",0,IF(CONFIG_METADATA!$B$4&lt;&gt;"OR+EX",--(DATOS!$G5839=CONFIG_METADATA!$B$4),IF(DATOS!$G5839="EX",1,IF(DATOS!$G5839="OR",--(COUNTIFS(nNIA,DATOS!$A5839,nCURSO,DATOS!$D5839,nESPEC,DATOS!$E5839,nASIG,DATOS!$I5839,nEVAL,"EX")=0),0))))</f>
      </c>
      <c r="H5839">
        <f>IF(DATOS!$G5839&lt;&gt;"EX",0,--(COUNTIFS(nNIA,DATOS!$A5839,nCURSO,DATOS!$D5839,nESPEC,DATOS!$E5839,nASIG,DATOS!$I5839,nEVAL,"OR")=0))</f>
      </c>
      <c r="I5839">
        <f>IF(DATOS!$I5839="","",IFERROR(VLOOKUP(DATOS!$I5839,CONFIG_ASIGNATURAS!$B$2:$J$91,9,FALSE()),""))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IF(DATOS!$A5840="",0,IF(CONFIG_METADATA!$B$4&lt;&gt;"OR+EX",--(DATOS!$G5840=CONFIG_METADATA!$B$4),IF(DATOS!$G5840="EX",1,IF(DATOS!$G5840="OR",--(COUNTIFS(nNIA,DATOS!$A5840,nCURSO,DATOS!$D5840,nESPEC,DATOS!$E5840,nASIG,DATOS!$I5840,nEVAL,"EX")=0),0))))</f>
      </c>
      <c r="H5840">
        <f>IF(DATOS!$G5840&lt;&gt;"EX",0,--(COUNTIFS(nNIA,DATOS!$A5840,nCURSO,DATOS!$D5840,nESPEC,DATOS!$E5840,nASIG,DATOS!$I5840,nEVAL,"OR")=0))</f>
      </c>
      <c r="I5840">
        <f>IF(DATOS!$I5840="","",IFERROR(VLOOKUP(DATOS!$I5840,CONFIG_ASIGNATURAS!$B$2:$J$91,9,FALSE()),""))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IF(DATOS!$A5841="",0,IF(CONFIG_METADATA!$B$4&lt;&gt;"OR+EX",--(DATOS!$G5841=CONFIG_METADATA!$B$4),IF(DATOS!$G5841="EX",1,IF(DATOS!$G5841="OR",--(COUNTIFS(nNIA,DATOS!$A5841,nCURSO,DATOS!$D5841,nESPEC,DATOS!$E5841,nASIG,DATOS!$I5841,nEVAL,"EX")=0),0))))</f>
      </c>
      <c r="H5841">
        <f>IF(DATOS!$G5841&lt;&gt;"EX",0,--(COUNTIFS(nNIA,DATOS!$A5841,nCURSO,DATOS!$D5841,nESPEC,DATOS!$E5841,nASIG,DATOS!$I5841,nEVAL,"OR")=0))</f>
      </c>
      <c r="I5841">
        <f>IF(DATOS!$I5841="","",IFERROR(VLOOKUP(DATOS!$I5841,CONFIG_ASIGNATURAS!$B$2:$J$91,9,FALSE()),""))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IF(DATOS!$A5842="",0,IF(CONFIG_METADATA!$B$4&lt;&gt;"OR+EX",--(DATOS!$G5842=CONFIG_METADATA!$B$4),IF(DATOS!$G5842="EX",1,IF(DATOS!$G5842="OR",--(COUNTIFS(nNIA,DATOS!$A5842,nCURSO,DATOS!$D5842,nESPEC,DATOS!$E5842,nASIG,DATOS!$I5842,nEVAL,"EX")=0),0))))</f>
      </c>
      <c r="H5842">
        <f>IF(DATOS!$G5842&lt;&gt;"EX",0,--(COUNTIFS(nNIA,DATOS!$A5842,nCURSO,DATOS!$D5842,nESPEC,DATOS!$E5842,nASIG,DATOS!$I5842,nEVAL,"OR")=0))</f>
      </c>
      <c r="I5842">
        <f>IF(DATOS!$I5842="","",IFERROR(VLOOKUP(DATOS!$I5842,CONFIG_ASIGNATURAS!$B$2:$J$91,9,FALSE()),""))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IF(DATOS!$A5843="",0,IF(CONFIG_METADATA!$B$4&lt;&gt;"OR+EX",--(DATOS!$G5843=CONFIG_METADATA!$B$4),IF(DATOS!$G5843="EX",1,IF(DATOS!$G5843="OR",--(COUNTIFS(nNIA,DATOS!$A5843,nCURSO,DATOS!$D5843,nESPEC,DATOS!$E5843,nASIG,DATOS!$I5843,nEVAL,"EX")=0),0))))</f>
      </c>
      <c r="H5843">
        <f>IF(DATOS!$G5843&lt;&gt;"EX",0,--(COUNTIFS(nNIA,DATOS!$A5843,nCURSO,DATOS!$D5843,nESPEC,DATOS!$E5843,nASIG,DATOS!$I5843,nEVAL,"OR")=0))</f>
      </c>
      <c r="I5843">
        <f>IF(DATOS!$I5843="","",IFERROR(VLOOKUP(DATOS!$I5843,CONFIG_ASIGNATURAS!$B$2:$J$91,9,FALSE()),""))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IF(DATOS!$A5844="",0,IF(CONFIG_METADATA!$B$4&lt;&gt;"OR+EX",--(DATOS!$G5844=CONFIG_METADATA!$B$4),IF(DATOS!$G5844="EX",1,IF(DATOS!$G5844="OR",--(COUNTIFS(nNIA,DATOS!$A5844,nCURSO,DATOS!$D5844,nESPEC,DATOS!$E5844,nASIG,DATOS!$I5844,nEVAL,"EX")=0),0))))</f>
      </c>
      <c r="H5844">
        <f>IF(DATOS!$G5844&lt;&gt;"EX",0,--(COUNTIFS(nNIA,DATOS!$A5844,nCURSO,DATOS!$D5844,nESPEC,DATOS!$E5844,nASIG,DATOS!$I5844,nEVAL,"OR")=0))</f>
      </c>
      <c r="I5844">
        <f>IF(DATOS!$I5844="","",IFERROR(VLOOKUP(DATOS!$I5844,CONFIG_ASIGNATURAS!$B$2:$J$91,9,FALSE()),""))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IF(DATOS!$A5845="",0,IF(CONFIG_METADATA!$B$4&lt;&gt;"OR+EX",--(DATOS!$G5845=CONFIG_METADATA!$B$4),IF(DATOS!$G5845="EX",1,IF(DATOS!$G5845="OR",--(COUNTIFS(nNIA,DATOS!$A5845,nCURSO,DATOS!$D5845,nESPEC,DATOS!$E5845,nASIG,DATOS!$I5845,nEVAL,"EX")=0),0))))</f>
      </c>
      <c r="H5845">
        <f>IF(DATOS!$G5845&lt;&gt;"EX",0,--(COUNTIFS(nNIA,DATOS!$A5845,nCURSO,DATOS!$D5845,nESPEC,DATOS!$E5845,nASIG,DATOS!$I5845,nEVAL,"OR")=0))</f>
      </c>
      <c r="I5845">
        <f>IF(DATOS!$I5845="","",IFERROR(VLOOKUP(DATOS!$I5845,CONFIG_ASIGNATURAS!$B$2:$J$91,9,FALSE()),""))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IF(DATOS!$A5846="",0,IF(CONFIG_METADATA!$B$4&lt;&gt;"OR+EX",--(DATOS!$G5846=CONFIG_METADATA!$B$4),IF(DATOS!$G5846="EX",1,IF(DATOS!$G5846="OR",--(COUNTIFS(nNIA,DATOS!$A5846,nCURSO,DATOS!$D5846,nESPEC,DATOS!$E5846,nASIG,DATOS!$I5846,nEVAL,"EX")=0),0))))</f>
      </c>
      <c r="H5846">
        <f>IF(DATOS!$G5846&lt;&gt;"EX",0,--(COUNTIFS(nNIA,DATOS!$A5846,nCURSO,DATOS!$D5846,nESPEC,DATOS!$E5846,nASIG,DATOS!$I5846,nEVAL,"OR")=0))</f>
      </c>
      <c r="I5846">
        <f>IF(DATOS!$I5846="","",IFERROR(VLOOKUP(DATOS!$I5846,CONFIG_ASIGNATURAS!$B$2:$J$91,9,FALSE()),""))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IF(DATOS!$A5847="",0,IF(CONFIG_METADATA!$B$4&lt;&gt;"OR+EX",--(DATOS!$G5847=CONFIG_METADATA!$B$4),IF(DATOS!$G5847="EX",1,IF(DATOS!$G5847="OR",--(COUNTIFS(nNIA,DATOS!$A5847,nCURSO,DATOS!$D5847,nESPEC,DATOS!$E5847,nASIG,DATOS!$I5847,nEVAL,"EX")=0),0))))</f>
      </c>
      <c r="H5847">
        <f>IF(DATOS!$G5847&lt;&gt;"EX",0,--(COUNTIFS(nNIA,DATOS!$A5847,nCURSO,DATOS!$D5847,nESPEC,DATOS!$E5847,nASIG,DATOS!$I5847,nEVAL,"OR")=0))</f>
      </c>
      <c r="I5847">
        <f>IF(DATOS!$I5847="","",IFERROR(VLOOKUP(DATOS!$I5847,CONFIG_ASIGNATURAS!$B$2:$J$91,9,FALSE()),""))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IF(DATOS!$A5848="",0,IF(CONFIG_METADATA!$B$4&lt;&gt;"OR+EX",--(DATOS!$G5848=CONFIG_METADATA!$B$4),IF(DATOS!$G5848="EX",1,IF(DATOS!$G5848="OR",--(COUNTIFS(nNIA,DATOS!$A5848,nCURSO,DATOS!$D5848,nESPEC,DATOS!$E5848,nASIG,DATOS!$I5848,nEVAL,"EX")=0),0))))</f>
      </c>
      <c r="H5848">
        <f>IF(DATOS!$G5848&lt;&gt;"EX",0,--(COUNTIFS(nNIA,DATOS!$A5848,nCURSO,DATOS!$D5848,nESPEC,DATOS!$E5848,nASIG,DATOS!$I5848,nEVAL,"OR")=0))</f>
      </c>
      <c r="I5848">
        <f>IF(DATOS!$I5848="","",IFERROR(VLOOKUP(DATOS!$I5848,CONFIG_ASIGNATURAS!$B$2:$J$91,9,FALSE()),""))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IF(DATOS!$A5849="",0,IF(CONFIG_METADATA!$B$4&lt;&gt;"OR+EX",--(DATOS!$G5849=CONFIG_METADATA!$B$4),IF(DATOS!$G5849="EX",1,IF(DATOS!$G5849="OR",--(COUNTIFS(nNIA,DATOS!$A5849,nCURSO,DATOS!$D5849,nESPEC,DATOS!$E5849,nASIG,DATOS!$I5849,nEVAL,"EX")=0),0))))</f>
      </c>
      <c r="H5849">
        <f>IF(DATOS!$G5849&lt;&gt;"EX",0,--(COUNTIFS(nNIA,DATOS!$A5849,nCURSO,DATOS!$D5849,nESPEC,DATOS!$E5849,nASIG,DATOS!$I5849,nEVAL,"OR")=0))</f>
      </c>
      <c r="I5849">
        <f>IF(DATOS!$I5849="","",IFERROR(VLOOKUP(DATOS!$I5849,CONFIG_ASIGNATURAS!$B$2:$J$91,9,FALSE()),""))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IF(DATOS!$A5850="",0,IF(CONFIG_METADATA!$B$4&lt;&gt;"OR+EX",--(DATOS!$G5850=CONFIG_METADATA!$B$4),IF(DATOS!$G5850="EX",1,IF(DATOS!$G5850="OR",--(COUNTIFS(nNIA,DATOS!$A5850,nCURSO,DATOS!$D5850,nESPEC,DATOS!$E5850,nASIG,DATOS!$I5850,nEVAL,"EX")=0),0))))</f>
      </c>
      <c r="H5850">
        <f>IF(DATOS!$G5850&lt;&gt;"EX",0,--(COUNTIFS(nNIA,DATOS!$A5850,nCURSO,DATOS!$D5850,nESPEC,DATOS!$E5850,nASIG,DATOS!$I5850,nEVAL,"OR")=0))</f>
      </c>
      <c r="I5850">
        <f>IF(DATOS!$I5850="","",IFERROR(VLOOKUP(DATOS!$I5850,CONFIG_ASIGNATURAS!$B$2:$J$91,9,FALSE()),""))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IF(DATOS!$A5851="",0,IF(CONFIG_METADATA!$B$4&lt;&gt;"OR+EX",--(DATOS!$G5851=CONFIG_METADATA!$B$4),IF(DATOS!$G5851="EX",1,IF(DATOS!$G5851="OR",--(COUNTIFS(nNIA,DATOS!$A5851,nCURSO,DATOS!$D5851,nESPEC,DATOS!$E5851,nASIG,DATOS!$I5851,nEVAL,"EX")=0),0))))</f>
      </c>
      <c r="H5851">
        <f>IF(DATOS!$G5851&lt;&gt;"EX",0,--(COUNTIFS(nNIA,DATOS!$A5851,nCURSO,DATOS!$D5851,nESPEC,DATOS!$E5851,nASIG,DATOS!$I5851,nEVAL,"OR")=0))</f>
      </c>
      <c r="I5851">
        <f>IF(DATOS!$I5851="","",IFERROR(VLOOKUP(DATOS!$I5851,CONFIG_ASIGNATURAS!$B$2:$J$91,9,FALSE()),""))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IF(DATOS!$A5852="",0,IF(CONFIG_METADATA!$B$4&lt;&gt;"OR+EX",--(DATOS!$G5852=CONFIG_METADATA!$B$4),IF(DATOS!$G5852="EX",1,IF(DATOS!$G5852="OR",--(COUNTIFS(nNIA,DATOS!$A5852,nCURSO,DATOS!$D5852,nESPEC,DATOS!$E5852,nASIG,DATOS!$I5852,nEVAL,"EX")=0),0))))</f>
      </c>
      <c r="H5852">
        <f>IF(DATOS!$G5852&lt;&gt;"EX",0,--(COUNTIFS(nNIA,DATOS!$A5852,nCURSO,DATOS!$D5852,nESPEC,DATOS!$E5852,nASIG,DATOS!$I5852,nEVAL,"OR")=0))</f>
      </c>
      <c r="I5852">
        <f>IF(DATOS!$I5852="","",IFERROR(VLOOKUP(DATOS!$I5852,CONFIG_ASIGNATURAS!$B$2:$J$91,9,FALSE()),""))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IF(DATOS!$A5853="",0,IF(CONFIG_METADATA!$B$4&lt;&gt;"OR+EX",--(DATOS!$G5853=CONFIG_METADATA!$B$4),IF(DATOS!$G5853="EX",1,IF(DATOS!$G5853="OR",--(COUNTIFS(nNIA,DATOS!$A5853,nCURSO,DATOS!$D5853,nESPEC,DATOS!$E5853,nASIG,DATOS!$I5853,nEVAL,"EX")=0),0))))</f>
      </c>
      <c r="H5853">
        <f>IF(DATOS!$G5853&lt;&gt;"EX",0,--(COUNTIFS(nNIA,DATOS!$A5853,nCURSO,DATOS!$D5853,nESPEC,DATOS!$E5853,nASIG,DATOS!$I5853,nEVAL,"OR")=0))</f>
      </c>
      <c r="I5853">
        <f>IF(DATOS!$I5853="","",IFERROR(VLOOKUP(DATOS!$I5853,CONFIG_ASIGNATURAS!$B$2:$J$91,9,FALSE()),""))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IF(DATOS!$A5854="",0,IF(CONFIG_METADATA!$B$4&lt;&gt;"OR+EX",--(DATOS!$G5854=CONFIG_METADATA!$B$4),IF(DATOS!$G5854="EX",1,IF(DATOS!$G5854="OR",--(COUNTIFS(nNIA,DATOS!$A5854,nCURSO,DATOS!$D5854,nESPEC,DATOS!$E5854,nASIG,DATOS!$I5854,nEVAL,"EX")=0),0))))</f>
      </c>
      <c r="H5854">
        <f>IF(DATOS!$G5854&lt;&gt;"EX",0,--(COUNTIFS(nNIA,DATOS!$A5854,nCURSO,DATOS!$D5854,nESPEC,DATOS!$E5854,nASIG,DATOS!$I5854,nEVAL,"OR")=0))</f>
      </c>
      <c r="I5854">
        <f>IF(DATOS!$I5854="","",IFERROR(VLOOKUP(DATOS!$I5854,CONFIG_ASIGNATURAS!$B$2:$J$91,9,FALSE()),""))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IF(DATOS!$A5855="",0,IF(CONFIG_METADATA!$B$4&lt;&gt;"OR+EX",--(DATOS!$G5855=CONFIG_METADATA!$B$4),IF(DATOS!$G5855="EX",1,IF(DATOS!$G5855="OR",--(COUNTIFS(nNIA,DATOS!$A5855,nCURSO,DATOS!$D5855,nESPEC,DATOS!$E5855,nASIG,DATOS!$I5855,nEVAL,"EX")=0),0))))</f>
      </c>
      <c r="H5855">
        <f>IF(DATOS!$G5855&lt;&gt;"EX",0,--(COUNTIFS(nNIA,DATOS!$A5855,nCURSO,DATOS!$D5855,nESPEC,DATOS!$E5855,nASIG,DATOS!$I5855,nEVAL,"OR")=0))</f>
      </c>
      <c r="I5855">
        <f>IF(DATOS!$I5855="","",IFERROR(VLOOKUP(DATOS!$I5855,CONFIG_ASIGNATURAS!$B$2:$J$91,9,FALSE()),""))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IF(DATOS!$A5856="",0,IF(CONFIG_METADATA!$B$4&lt;&gt;"OR+EX",--(DATOS!$G5856=CONFIG_METADATA!$B$4),IF(DATOS!$G5856="EX",1,IF(DATOS!$G5856="OR",--(COUNTIFS(nNIA,DATOS!$A5856,nCURSO,DATOS!$D5856,nESPEC,DATOS!$E5856,nASIG,DATOS!$I5856,nEVAL,"EX")=0),0))))</f>
      </c>
      <c r="H5856">
        <f>IF(DATOS!$G5856&lt;&gt;"EX",0,--(COUNTIFS(nNIA,DATOS!$A5856,nCURSO,DATOS!$D5856,nESPEC,DATOS!$E5856,nASIG,DATOS!$I5856,nEVAL,"OR")=0))</f>
      </c>
      <c r="I5856">
        <f>IF(DATOS!$I5856="","",IFERROR(VLOOKUP(DATOS!$I5856,CONFIG_ASIGNATURAS!$B$2:$J$91,9,FALSE()),""))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IF(DATOS!$A5857="",0,IF(CONFIG_METADATA!$B$4&lt;&gt;"OR+EX",--(DATOS!$G5857=CONFIG_METADATA!$B$4),IF(DATOS!$G5857="EX",1,IF(DATOS!$G5857="OR",--(COUNTIFS(nNIA,DATOS!$A5857,nCURSO,DATOS!$D5857,nESPEC,DATOS!$E5857,nASIG,DATOS!$I5857,nEVAL,"EX")=0),0))))</f>
      </c>
      <c r="H5857">
        <f>IF(DATOS!$G5857&lt;&gt;"EX",0,--(COUNTIFS(nNIA,DATOS!$A5857,nCURSO,DATOS!$D5857,nESPEC,DATOS!$E5857,nASIG,DATOS!$I5857,nEVAL,"OR")=0))</f>
      </c>
      <c r="I5857">
        <f>IF(DATOS!$I5857="","",IFERROR(VLOOKUP(DATOS!$I5857,CONFIG_ASIGNATURAS!$B$2:$J$91,9,FALSE()),""))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IF(DATOS!$A5858="",0,IF(CONFIG_METADATA!$B$4&lt;&gt;"OR+EX",--(DATOS!$G5858=CONFIG_METADATA!$B$4),IF(DATOS!$G5858="EX",1,IF(DATOS!$G5858="OR",--(COUNTIFS(nNIA,DATOS!$A5858,nCURSO,DATOS!$D5858,nESPEC,DATOS!$E5858,nASIG,DATOS!$I5858,nEVAL,"EX")=0),0))))</f>
      </c>
      <c r="H5858">
        <f>IF(DATOS!$G5858&lt;&gt;"EX",0,--(COUNTIFS(nNIA,DATOS!$A5858,nCURSO,DATOS!$D5858,nESPEC,DATOS!$E5858,nASIG,DATOS!$I5858,nEVAL,"OR")=0))</f>
      </c>
      <c r="I5858">
        <f>IF(DATOS!$I5858="","",IFERROR(VLOOKUP(DATOS!$I5858,CONFIG_ASIGNATURAS!$B$2:$J$91,9,FALSE()),""))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IF(DATOS!$A5859="",0,IF(CONFIG_METADATA!$B$4&lt;&gt;"OR+EX",--(DATOS!$G5859=CONFIG_METADATA!$B$4),IF(DATOS!$G5859="EX",1,IF(DATOS!$G5859="OR",--(COUNTIFS(nNIA,DATOS!$A5859,nCURSO,DATOS!$D5859,nESPEC,DATOS!$E5859,nASIG,DATOS!$I5859,nEVAL,"EX")=0),0))))</f>
      </c>
      <c r="H5859">
        <f>IF(DATOS!$G5859&lt;&gt;"EX",0,--(COUNTIFS(nNIA,DATOS!$A5859,nCURSO,DATOS!$D5859,nESPEC,DATOS!$E5859,nASIG,DATOS!$I5859,nEVAL,"OR")=0))</f>
      </c>
      <c r="I5859">
        <f>IF(DATOS!$I5859="","",IFERROR(VLOOKUP(DATOS!$I5859,CONFIG_ASIGNATURAS!$B$2:$J$91,9,FALSE()),""))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IF(DATOS!$A5860="",0,IF(CONFIG_METADATA!$B$4&lt;&gt;"OR+EX",--(DATOS!$G5860=CONFIG_METADATA!$B$4),IF(DATOS!$G5860="EX",1,IF(DATOS!$G5860="OR",--(COUNTIFS(nNIA,DATOS!$A5860,nCURSO,DATOS!$D5860,nESPEC,DATOS!$E5860,nASIG,DATOS!$I5860,nEVAL,"EX")=0),0))))</f>
      </c>
      <c r="H5860">
        <f>IF(DATOS!$G5860&lt;&gt;"EX",0,--(COUNTIFS(nNIA,DATOS!$A5860,nCURSO,DATOS!$D5860,nESPEC,DATOS!$E5860,nASIG,DATOS!$I5860,nEVAL,"OR")=0))</f>
      </c>
      <c r="I5860">
        <f>IF(DATOS!$I5860="","",IFERROR(VLOOKUP(DATOS!$I5860,CONFIG_ASIGNATURAS!$B$2:$J$91,9,FALSE()),""))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IF(DATOS!$A5861="",0,IF(CONFIG_METADATA!$B$4&lt;&gt;"OR+EX",--(DATOS!$G5861=CONFIG_METADATA!$B$4),IF(DATOS!$G5861="EX",1,IF(DATOS!$G5861="OR",--(COUNTIFS(nNIA,DATOS!$A5861,nCURSO,DATOS!$D5861,nESPEC,DATOS!$E5861,nASIG,DATOS!$I5861,nEVAL,"EX")=0),0))))</f>
      </c>
      <c r="H5861">
        <f>IF(DATOS!$G5861&lt;&gt;"EX",0,--(COUNTIFS(nNIA,DATOS!$A5861,nCURSO,DATOS!$D5861,nESPEC,DATOS!$E5861,nASIG,DATOS!$I5861,nEVAL,"OR")=0))</f>
      </c>
      <c r="I5861">
        <f>IF(DATOS!$I5861="","",IFERROR(VLOOKUP(DATOS!$I5861,CONFIG_ASIGNATURAS!$B$2:$J$91,9,FALSE()),""))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IF(DATOS!$A5862="",0,IF(CONFIG_METADATA!$B$4&lt;&gt;"OR+EX",--(DATOS!$G5862=CONFIG_METADATA!$B$4),IF(DATOS!$G5862="EX",1,IF(DATOS!$G5862="OR",--(COUNTIFS(nNIA,DATOS!$A5862,nCURSO,DATOS!$D5862,nESPEC,DATOS!$E5862,nASIG,DATOS!$I5862,nEVAL,"EX")=0),0))))</f>
      </c>
      <c r="H5862">
        <f>IF(DATOS!$G5862&lt;&gt;"EX",0,--(COUNTIFS(nNIA,DATOS!$A5862,nCURSO,DATOS!$D5862,nESPEC,DATOS!$E5862,nASIG,DATOS!$I5862,nEVAL,"OR")=0))</f>
      </c>
      <c r="I5862">
        <f>IF(DATOS!$I5862="","",IFERROR(VLOOKUP(DATOS!$I5862,CONFIG_ASIGNATURAS!$B$2:$J$91,9,FALSE()),""))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IF(DATOS!$A5863="",0,IF(CONFIG_METADATA!$B$4&lt;&gt;"OR+EX",--(DATOS!$G5863=CONFIG_METADATA!$B$4),IF(DATOS!$G5863="EX",1,IF(DATOS!$G5863="OR",--(COUNTIFS(nNIA,DATOS!$A5863,nCURSO,DATOS!$D5863,nESPEC,DATOS!$E5863,nASIG,DATOS!$I5863,nEVAL,"EX")=0),0))))</f>
      </c>
      <c r="H5863">
        <f>IF(DATOS!$G5863&lt;&gt;"EX",0,--(COUNTIFS(nNIA,DATOS!$A5863,nCURSO,DATOS!$D5863,nESPEC,DATOS!$E5863,nASIG,DATOS!$I5863,nEVAL,"OR")=0))</f>
      </c>
      <c r="I5863">
        <f>IF(DATOS!$I5863="","",IFERROR(VLOOKUP(DATOS!$I5863,CONFIG_ASIGNATURAS!$B$2:$J$91,9,FALSE()),""))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IF(DATOS!$A5864="",0,IF(CONFIG_METADATA!$B$4&lt;&gt;"OR+EX",--(DATOS!$G5864=CONFIG_METADATA!$B$4),IF(DATOS!$G5864="EX",1,IF(DATOS!$G5864="OR",--(COUNTIFS(nNIA,DATOS!$A5864,nCURSO,DATOS!$D5864,nESPEC,DATOS!$E5864,nASIG,DATOS!$I5864,nEVAL,"EX")=0),0))))</f>
      </c>
      <c r="H5864">
        <f>IF(DATOS!$G5864&lt;&gt;"EX",0,--(COUNTIFS(nNIA,DATOS!$A5864,nCURSO,DATOS!$D5864,nESPEC,DATOS!$E5864,nASIG,DATOS!$I5864,nEVAL,"OR")=0))</f>
      </c>
      <c r="I5864">
        <f>IF(DATOS!$I5864="","",IFERROR(VLOOKUP(DATOS!$I5864,CONFIG_ASIGNATURAS!$B$2:$J$91,9,FALSE()),""))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IF(DATOS!$A5865="",0,IF(CONFIG_METADATA!$B$4&lt;&gt;"OR+EX",--(DATOS!$G5865=CONFIG_METADATA!$B$4),IF(DATOS!$G5865="EX",1,IF(DATOS!$G5865="OR",--(COUNTIFS(nNIA,DATOS!$A5865,nCURSO,DATOS!$D5865,nESPEC,DATOS!$E5865,nASIG,DATOS!$I5865,nEVAL,"EX")=0),0))))</f>
      </c>
      <c r="H5865">
        <f>IF(DATOS!$G5865&lt;&gt;"EX",0,--(COUNTIFS(nNIA,DATOS!$A5865,nCURSO,DATOS!$D5865,nESPEC,DATOS!$E5865,nASIG,DATOS!$I5865,nEVAL,"OR")=0))</f>
      </c>
      <c r="I5865">
        <f>IF(DATOS!$I5865="","",IFERROR(VLOOKUP(DATOS!$I5865,CONFIG_ASIGNATURAS!$B$2:$J$91,9,FALSE()),""))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IF(DATOS!$A5866="",0,IF(CONFIG_METADATA!$B$4&lt;&gt;"OR+EX",--(DATOS!$G5866=CONFIG_METADATA!$B$4),IF(DATOS!$G5866="EX",1,IF(DATOS!$G5866="OR",--(COUNTIFS(nNIA,DATOS!$A5866,nCURSO,DATOS!$D5866,nESPEC,DATOS!$E5866,nASIG,DATOS!$I5866,nEVAL,"EX")=0),0))))</f>
      </c>
      <c r="H5866">
        <f>IF(DATOS!$G5866&lt;&gt;"EX",0,--(COUNTIFS(nNIA,DATOS!$A5866,nCURSO,DATOS!$D5866,nESPEC,DATOS!$E5866,nASIG,DATOS!$I5866,nEVAL,"OR")=0))</f>
      </c>
      <c r="I5866">
        <f>IF(DATOS!$I5866="","",IFERROR(VLOOKUP(DATOS!$I5866,CONFIG_ASIGNATURAS!$B$2:$J$91,9,FALSE()),""))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IF(DATOS!$A5867="",0,IF(CONFIG_METADATA!$B$4&lt;&gt;"OR+EX",--(DATOS!$G5867=CONFIG_METADATA!$B$4),IF(DATOS!$G5867="EX",1,IF(DATOS!$G5867="OR",--(COUNTIFS(nNIA,DATOS!$A5867,nCURSO,DATOS!$D5867,nESPEC,DATOS!$E5867,nASIG,DATOS!$I5867,nEVAL,"EX")=0),0))))</f>
      </c>
      <c r="H5867">
        <f>IF(DATOS!$G5867&lt;&gt;"EX",0,--(COUNTIFS(nNIA,DATOS!$A5867,nCURSO,DATOS!$D5867,nESPEC,DATOS!$E5867,nASIG,DATOS!$I5867,nEVAL,"OR")=0))</f>
      </c>
      <c r="I5867">
        <f>IF(DATOS!$I5867="","",IFERROR(VLOOKUP(DATOS!$I5867,CONFIG_ASIGNATURAS!$B$2:$J$91,9,FALSE()),""))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IF(DATOS!$A5868="",0,IF(CONFIG_METADATA!$B$4&lt;&gt;"OR+EX",--(DATOS!$G5868=CONFIG_METADATA!$B$4),IF(DATOS!$G5868="EX",1,IF(DATOS!$G5868="OR",--(COUNTIFS(nNIA,DATOS!$A5868,nCURSO,DATOS!$D5868,nESPEC,DATOS!$E5868,nASIG,DATOS!$I5868,nEVAL,"EX")=0),0))))</f>
      </c>
      <c r="H5868">
        <f>IF(DATOS!$G5868&lt;&gt;"EX",0,--(COUNTIFS(nNIA,DATOS!$A5868,nCURSO,DATOS!$D5868,nESPEC,DATOS!$E5868,nASIG,DATOS!$I5868,nEVAL,"OR")=0))</f>
      </c>
      <c r="I5868">
        <f>IF(DATOS!$I5868="","",IFERROR(VLOOKUP(DATOS!$I5868,CONFIG_ASIGNATURAS!$B$2:$J$91,9,FALSE()),""))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IF(DATOS!$A5869="",0,IF(CONFIG_METADATA!$B$4&lt;&gt;"OR+EX",--(DATOS!$G5869=CONFIG_METADATA!$B$4),IF(DATOS!$G5869="EX",1,IF(DATOS!$G5869="OR",--(COUNTIFS(nNIA,DATOS!$A5869,nCURSO,DATOS!$D5869,nESPEC,DATOS!$E5869,nASIG,DATOS!$I5869,nEVAL,"EX")=0),0))))</f>
      </c>
      <c r="H5869">
        <f>IF(DATOS!$G5869&lt;&gt;"EX",0,--(COUNTIFS(nNIA,DATOS!$A5869,nCURSO,DATOS!$D5869,nESPEC,DATOS!$E5869,nASIG,DATOS!$I5869,nEVAL,"OR")=0))</f>
      </c>
      <c r="I5869">
        <f>IF(DATOS!$I5869="","",IFERROR(VLOOKUP(DATOS!$I5869,CONFIG_ASIGNATURAS!$B$2:$J$91,9,FALSE()),""))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IF(DATOS!$A5870="",0,IF(CONFIG_METADATA!$B$4&lt;&gt;"OR+EX",--(DATOS!$G5870=CONFIG_METADATA!$B$4),IF(DATOS!$G5870="EX",1,IF(DATOS!$G5870="OR",--(COUNTIFS(nNIA,DATOS!$A5870,nCURSO,DATOS!$D5870,nESPEC,DATOS!$E5870,nASIG,DATOS!$I5870,nEVAL,"EX")=0),0))))</f>
      </c>
      <c r="H5870">
        <f>IF(DATOS!$G5870&lt;&gt;"EX",0,--(COUNTIFS(nNIA,DATOS!$A5870,nCURSO,DATOS!$D5870,nESPEC,DATOS!$E5870,nASIG,DATOS!$I5870,nEVAL,"OR")=0))</f>
      </c>
      <c r="I5870">
        <f>IF(DATOS!$I5870="","",IFERROR(VLOOKUP(DATOS!$I5870,CONFIG_ASIGNATURAS!$B$2:$J$91,9,FALSE()),""))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IF(DATOS!$A5871="",0,IF(CONFIG_METADATA!$B$4&lt;&gt;"OR+EX",--(DATOS!$G5871=CONFIG_METADATA!$B$4),IF(DATOS!$G5871="EX",1,IF(DATOS!$G5871="OR",--(COUNTIFS(nNIA,DATOS!$A5871,nCURSO,DATOS!$D5871,nESPEC,DATOS!$E5871,nASIG,DATOS!$I5871,nEVAL,"EX")=0),0))))</f>
      </c>
      <c r="H5871">
        <f>IF(DATOS!$G5871&lt;&gt;"EX",0,--(COUNTIFS(nNIA,DATOS!$A5871,nCURSO,DATOS!$D5871,nESPEC,DATOS!$E5871,nASIG,DATOS!$I5871,nEVAL,"OR")=0))</f>
      </c>
      <c r="I5871">
        <f>IF(DATOS!$I5871="","",IFERROR(VLOOKUP(DATOS!$I5871,CONFIG_ASIGNATURAS!$B$2:$J$91,9,FALSE()),""))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IF(DATOS!$A5872="",0,IF(CONFIG_METADATA!$B$4&lt;&gt;"OR+EX",--(DATOS!$G5872=CONFIG_METADATA!$B$4),IF(DATOS!$G5872="EX",1,IF(DATOS!$G5872="OR",--(COUNTIFS(nNIA,DATOS!$A5872,nCURSO,DATOS!$D5872,nESPEC,DATOS!$E5872,nASIG,DATOS!$I5872,nEVAL,"EX")=0),0))))</f>
      </c>
      <c r="H5872">
        <f>IF(DATOS!$G5872&lt;&gt;"EX",0,--(COUNTIFS(nNIA,DATOS!$A5872,nCURSO,DATOS!$D5872,nESPEC,DATOS!$E5872,nASIG,DATOS!$I5872,nEVAL,"OR")=0))</f>
      </c>
      <c r="I5872">
        <f>IF(DATOS!$I5872="","",IFERROR(VLOOKUP(DATOS!$I5872,CONFIG_ASIGNATURAS!$B$2:$J$91,9,FALSE()),""))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IF(DATOS!$A5873="",0,IF(CONFIG_METADATA!$B$4&lt;&gt;"OR+EX",--(DATOS!$G5873=CONFIG_METADATA!$B$4),IF(DATOS!$G5873="EX",1,IF(DATOS!$G5873="OR",--(COUNTIFS(nNIA,DATOS!$A5873,nCURSO,DATOS!$D5873,nESPEC,DATOS!$E5873,nASIG,DATOS!$I5873,nEVAL,"EX")=0),0))))</f>
      </c>
      <c r="H5873">
        <f>IF(DATOS!$G5873&lt;&gt;"EX",0,--(COUNTIFS(nNIA,DATOS!$A5873,nCURSO,DATOS!$D5873,nESPEC,DATOS!$E5873,nASIG,DATOS!$I5873,nEVAL,"OR")=0))</f>
      </c>
      <c r="I5873">
        <f>IF(DATOS!$I5873="","",IFERROR(VLOOKUP(DATOS!$I5873,CONFIG_ASIGNATURAS!$B$2:$J$91,9,FALSE()),""))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IF(DATOS!$A5874="",0,IF(CONFIG_METADATA!$B$4&lt;&gt;"OR+EX",--(DATOS!$G5874=CONFIG_METADATA!$B$4),IF(DATOS!$G5874="EX",1,IF(DATOS!$G5874="OR",--(COUNTIFS(nNIA,DATOS!$A5874,nCURSO,DATOS!$D5874,nESPEC,DATOS!$E5874,nASIG,DATOS!$I5874,nEVAL,"EX")=0),0))))</f>
      </c>
      <c r="H5874">
        <f>IF(DATOS!$G5874&lt;&gt;"EX",0,--(COUNTIFS(nNIA,DATOS!$A5874,nCURSO,DATOS!$D5874,nESPEC,DATOS!$E5874,nASIG,DATOS!$I5874,nEVAL,"OR")=0))</f>
      </c>
      <c r="I5874">
        <f>IF(DATOS!$I5874="","",IFERROR(VLOOKUP(DATOS!$I5874,CONFIG_ASIGNATURAS!$B$2:$J$91,9,FALSE()),""))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IF(DATOS!$A5875="",0,IF(CONFIG_METADATA!$B$4&lt;&gt;"OR+EX",--(DATOS!$G5875=CONFIG_METADATA!$B$4),IF(DATOS!$G5875="EX",1,IF(DATOS!$G5875="OR",--(COUNTIFS(nNIA,DATOS!$A5875,nCURSO,DATOS!$D5875,nESPEC,DATOS!$E5875,nASIG,DATOS!$I5875,nEVAL,"EX")=0),0))))</f>
      </c>
      <c r="H5875">
        <f>IF(DATOS!$G5875&lt;&gt;"EX",0,--(COUNTIFS(nNIA,DATOS!$A5875,nCURSO,DATOS!$D5875,nESPEC,DATOS!$E5875,nASIG,DATOS!$I5875,nEVAL,"OR")=0))</f>
      </c>
      <c r="I5875">
        <f>IF(DATOS!$I5875="","",IFERROR(VLOOKUP(DATOS!$I5875,CONFIG_ASIGNATURAS!$B$2:$J$91,9,FALSE()),""))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IF(DATOS!$A5876="",0,IF(CONFIG_METADATA!$B$4&lt;&gt;"OR+EX",--(DATOS!$G5876=CONFIG_METADATA!$B$4),IF(DATOS!$G5876="EX",1,IF(DATOS!$G5876="OR",--(COUNTIFS(nNIA,DATOS!$A5876,nCURSO,DATOS!$D5876,nESPEC,DATOS!$E5876,nASIG,DATOS!$I5876,nEVAL,"EX")=0),0))))</f>
      </c>
      <c r="H5876">
        <f>IF(DATOS!$G5876&lt;&gt;"EX",0,--(COUNTIFS(nNIA,DATOS!$A5876,nCURSO,DATOS!$D5876,nESPEC,DATOS!$E5876,nASIG,DATOS!$I5876,nEVAL,"OR")=0))</f>
      </c>
      <c r="I5876">
        <f>IF(DATOS!$I5876="","",IFERROR(VLOOKUP(DATOS!$I5876,CONFIG_ASIGNATURAS!$B$2:$J$91,9,FALSE()),""))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IF(DATOS!$A5877="",0,IF(CONFIG_METADATA!$B$4&lt;&gt;"OR+EX",--(DATOS!$G5877=CONFIG_METADATA!$B$4),IF(DATOS!$G5877="EX",1,IF(DATOS!$G5877="OR",--(COUNTIFS(nNIA,DATOS!$A5877,nCURSO,DATOS!$D5877,nESPEC,DATOS!$E5877,nASIG,DATOS!$I5877,nEVAL,"EX")=0),0))))</f>
      </c>
      <c r="H5877">
        <f>IF(DATOS!$G5877&lt;&gt;"EX",0,--(COUNTIFS(nNIA,DATOS!$A5877,nCURSO,DATOS!$D5877,nESPEC,DATOS!$E5877,nASIG,DATOS!$I5877,nEVAL,"OR")=0))</f>
      </c>
      <c r="I5877">
        <f>IF(DATOS!$I5877="","",IFERROR(VLOOKUP(DATOS!$I5877,CONFIG_ASIGNATURAS!$B$2:$J$91,9,FALSE()),""))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IF(DATOS!$A5878="",0,IF(CONFIG_METADATA!$B$4&lt;&gt;"OR+EX",--(DATOS!$G5878=CONFIG_METADATA!$B$4),IF(DATOS!$G5878="EX",1,IF(DATOS!$G5878="OR",--(COUNTIFS(nNIA,DATOS!$A5878,nCURSO,DATOS!$D5878,nESPEC,DATOS!$E5878,nASIG,DATOS!$I5878,nEVAL,"EX")=0),0))))</f>
      </c>
      <c r="H5878">
        <f>IF(DATOS!$G5878&lt;&gt;"EX",0,--(COUNTIFS(nNIA,DATOS!$A5878,nCURSO,DATOS!$D5878,nESPEC,DATOS!$E5878,nASIG,DATOS!$I5878,nEVAL,"OR")=0))</f>
      </c>
      <c r="I5878">
        <f>IF(DATOS!$I5878="","",IFERROR(VLOOKUP(DATOS!$I5878,CONFIG_ASIGNATURAS!$B$2:$J$91,9,FALSE()),""))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IF(DATOS!$A5879="",0,IF(CONFIG_METADATA!$B$4&lt;&gt;"OR+EX",--(DATOS!$G5879=CONFIG_METADATA!$B$4),IF(DATOS!$G5879="EX",1,IF(DATOS!$G5879="OR",--(COUNTIFS(nNIA,DATOS!$A5879,nCURSO,DATOS!$D5879,nESPEC,DATOS!$E5879,nASIG,DATOS!$I5879,nEVAL,"EX")=0),0))))</f>
      </c>
      <c r="H5879">
        <f>IF(DATOS!$G5879&lt;&gt;"EX",0,--(COUNTIFS(nNIA,DATOS!$A5879,nCURSO,DATOS!$D5879,nESPEC,DATOS!$E5879,nASIG,DATOS!$I5879,nEVAL,"OR")=0))</f>
      </c>
      <c r="I5879">
        <f>IF(DATOS!$I5879="","",IFERROR(VLOOKUP(DATOS!$I5879,CONFIG_ASIGNATURAS!$B$2:$J$91,9,FALSE()),""))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IF(DATOS!$A5880="",0,IF(CONFIG_METADATA!$B$4&lt;&gt;"OR+EX",--(DATOS!$G5880=CONFIG_METADATA!$B$4),IF(DATOS!$G5880="EX",1,IF(DATOS!$G5880="OR",--(COUNTIFS(nNIA,DATOS!$A5880,nCURSO,DATOS!$D5880,nESPEC,DATOS!$E5880,nASIG,DATOS!$I5880,nEVAL,"EX")=0),0))))</f>
      </c>
      <c r="H5880">
        <f>IF(DATOS!$G5880&lt;&gt;"EX",0,--(COUNTIFS(nNIA,DATOS!$A5880,nCURSO,DATOS!$D5880,nESPEC,DATOS!$E5880,nASIG,DATOS!$I5880,nEVAL,"OR")=0))</f>
      </c>
      <c r="I5880">
        <f>IF(DATOS!$I5880="","",IFERROR(VLOOKUP(DATOS!$I5880,CONFIG_ASIGNATURAS!$B$2:$J$91,9,FALSE()),""))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IF(DATOS!$A5881="",0,IF(CONFIG_METADATA!$B$4&lt;&gt;"OR+EX",--(DATOS!$G5881=CONFIG_METADATA!$B$4),IF(DATOS!$G5881="EX",1,IF(DATOS!$G5881="OR",--(COUNTIFS(nNIA,DATOS!$A5881,nCURSO,DATOS!$D5881,nESPEC,DATOS!$E5881,nASIG,DATOS!$I5881,nEVAL,"EX")=0),0))))</f>
      </c>
      <c r="H5881">
        <f>IF(DATOS!$G5881&lt;&gt;"EX",0,--(COUNTIFS(nNIA,DATOS!$A5881,nCURSO,DATOS!$D5881,nESPEC,DATOS!$E5881,nASIG,DATOS!$I5881,nEVAL,"OR")=0))</f>
      </c>
      <c r="I5881">
        <f>IF(DATOS!$I5881="","",IFERROR(VLOOKUP(DATOS!$I5881,CONFIG_ASIGNATURAS!$B$2:$J$91,9,FALSE()),""))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IF(DATOS!$A5882="",0,IF(CONFIG_METADATA!$B$4&lt;&gt;"OR+EX",--(DATOS!$G5882=CONFIG_METADATA!$B$4),IF(DATOS!$G5882="EX",1,IF(DATOS!$G5882="OR",--(COUNTIFS(nNIA,DATOS!$A5882,nCURSO,DATOS!$D5882,nESPEC,DATOS!$E5882,nASIG,DATOS!$I5882,nEVAL,"EX")=0),0))))</f>
      </c>
      <c r="H5882">
        <f>IF(DATOS!$G5882&lt;&gt;"EX",0,--(COUNTIFS(nNIA,DATOS!$A5882,nCURSO,DATOS!$D5882,nESPEC,DATOS!$E5882,nASIG,DATOS!$I5882,nEVAL,"OR")=0))</f>
      </c>
      <c r="I5882">
        <f>IF(DATOS!$I5882="","",IFERROR(VLOOKUP(DATOS!$I5882,CONFIG_ASIGNATURAS!$B$2:$J$91,9,FALSE()),""))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IF(DATOS!$A5883="",0,IF(CONFIG_METADATA!$B$4&lt;&gt;"OR+EX",--(DATOS!$G5883=CONFIG_METADATA!$B$4),IF(DATOS!$G5883="EX",1,IF(DATOS!$G5883="OR",--(COUNTIFS(nNIA,DATOS!$A5883,nCURSO,DATOS!$D5883,nESPEC,DATOS!$E5883,nASIG,DATOS!$I5883,nEVAL,"EX")=0),0))))</f>
      </c>
      <c r="H5883">
        <f>IF(DATOS!$G5883&lt;&gt;"EX",0,--(COUNTIFS(nNIA,DATOS!$A5883,nCURSO,DATOS!$D5883,nESPEC,DATOS!$E5883,nASIG,DATOS!$I5883,nEVAL,"OR")=0))</f>
      </c>
      <c r="I5883">
        <f>IF(DATOS!$I5883="","",IFERROR(VLOOKUP(DATOS!$I5883,CONFIG_ASIGNATURAS!$B$2:$J$91,9,FALSE()),""))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IF(DATOS!$A5884="",0,IF(CONFIG_METADATA!$B$4&lt;&gt;"OR+EX",--(DATOS!$G5884=CONFIG_METADATA!$B$4),IF(DATOS!$G5884="EX",1,IF(DATOS!$G5884="OR",--(COUNTIFS(nNIA,DATOS!$A5884,nCURSO,DATOS!$D5884,nESPEC,DATOS!$E5884,nASIG,DATOS!$I5884,nEVAL,"EX")=0),0))))</f>
      </c>
      <c r="H5884">
        <f>IF(DATOS!$G5884&lt;&gt;"EX",0,--(COUNTIFS(nNIA,DATOS!$A5884,nCURSO,DATOS!$D5884,nESPEC,DATOS!$E5884,nASIG,DATOS!$I5884,nEVAL,"OR")=0))</f>
      </c>
      <c r="I5884">
        <f>IF(DATOS!$I5884="","",IFERROR(VLOOKUP(DATOS!$I5884,CONFIG_ASIGNATURAS!$B$2:$J$91,9,FALSE()),""))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IF(DATOS!$A5885="",0,IF(CONFIG_METADATA!$B$4&lt;&gt;"OR+EX",--(DATOS!$G5885=CONFIG_METADATA!$B$4),IF(DATOS!$G5885="EX",1,IF(DATOS!$G5885="OR",--(COUNTIFS(nNIA,DATOS!$A5885,nCURSO,DATOS!$D5885,nESPEC,DATOS!$E5885,nASIG,DATOS!$I5885,nEVAL,"EX")=0),0))))</f>
      </c>
      <c r="H5885">
        <f>IF(DATOS!$G5885&lt;&gt;"EX",0,--(COUNTIFS(nNIA,DATOS!$A5885,nCURSO,DATOS!$D5885,nESPEC,DATOS!$E5885,nASIG,DATOS!$I5885,nEVAL,"OR")=0))</f>
      </c>
      <c r="I5885">
        <f>IF(DATOS!$I5885="","",IFERROR(VLOOKUP(DATOS!$I5885,CONFIG_ASIGNATURAS!$B$2:$J$91,9,FALSE()),""))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IF(DATOS!$A5886="",0,IF(CONFIG_METADATA!$B$4&lt;&gt;"OR+EX",--(DATOS!$G5886=CONFIG_METADATA!$B$4),IF(DATOS!$G5886="EX",1,IF(DATOS!$G5886="OR",--(COUNTIFS(nNIA,DATOS!$A5886,nCURSO,DATOS!$D5886,nESPEC,DATOS!$E5886,nASIG,DATOS!$I5886,nEVAL,"EX")=0),0))))</f>
      </c>
      <c r="H5886">
        <f>IF(DATOS!$G5886&lt;&gt;"EX",0,--(COUNTIFS(nNIA,DATOS!$A5886,nCURSO,DATOS!$D5886,nESPEC,DATOS!$E5886,nASIG,DATOS!$I5886,nEVAL,"OR")=0))</f>
      </c>
      <c r="I5886">
        <f>IF(DATOS!$I5886="","",IFERROR(VLOOKUP(DATOS!$I5886,CONFIG_ASIGNATURAS!$B$2:$J$91,9,FALSE()),""))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IF(DATOS!$A5887="",0,IF(CONFIG_METADATA!$B$4&lt;&gt;"OR+EX",--(DATOS!$G5887=CONFIG_METADATA!$B$4),IF(DATOS!$G5887="EX",1,IF(DATOS!$G5887="OR",--(COUNTIFS(nNIA,DATOS!$A5887,nCURSO,DATOS!$D5887,nESPEC,DATOS!$E5887,nASIG,DATOS!$I5887,nEVAL,"EX")=0),0))))</f>
      </c>
      <c r="H5887">
        <f>IF(DATOS!$G5887&lt;&gt;"EX",0,--(COUNTIFS(nNIA,DATOS!$A5887,nCURSO,DATOS!$D5887,nESPEC,DATOS!$E5887,nASIG,DATOS!$I5887,nEVAL,"OR")=0))</f>
      </c>
      <c r="I5887">
        <f>IF(DATOS!$I5887="","",IFERROR(VLOOKUP(DATOS!$I5887,CONFIG_ASIGNATURAS!$B$2:$J$91,9,FALSE()),""))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IF(DATOS!$A5888="",0,IF(CONFIG_METADATA!$B$4&lt;&gt;"OR+EX",--(DATOS!$G5888=CONFIG_METADATA!$B$4),IF(DATOS!$G5888="EX",1,IF(DATOS!$G5888="OR",--(COUNTIFS(nNIA,DATOS!$A5888,nCURSO,DATOS!$D5888,nESPEC,DATOS!$E5888,nASIG,DATOS!$I5888,nEVAL,"EX")=0),0))))</f>
      </c>
      <c r="H5888">
        <f>IF(DATOS!$G5888&lt;&gt;"EX",0,--(COUNTIFS(nNIA,DATOS!$A5888,nCURSO,DATOS!$D5888,nESPEC,DATOS!$E5888,nASIG,DATOS!$I5888,nEVAL,"OR")=0))</f>
      </c>
      <c r="I5888">
        <f>IF(DATOS!$I5888="","",IFERROR(VLOOKUP(DATOS!$I5888,CONFIG_ASIGNATURAS!$B$2:$J$91,9,FALSE()),""))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IF(DATOS!$A5889="",0,IF(CONFIG_METADATA!$B$4&lt;&gt;"OR+EX",--(DATOS!$G5889=CONFIG_METADATA!$B$4),IF(DATOS!$G5889="EX",1,IF(DATOS!$G5889="OR",--(COUNTIFS(nNIA,DATOS!$A5889,nCURSO,DATOS!$D5889,nESPEC,DATOS!$E5889,nASIG,DATOS!$I5889,nEVAL,"EX")=0),0))))</f>
      </c>
      <c r="H5889">
        <f>IF(DATOS!$G5889&lt;&gt;"EX",0,--(COUNTIFS(nNIA,DATOS!$A5889,nCURSO,DATOS!$D5889,nESPEC,DATOS!$E5889,nASIG,DATOS!$I5889,nEVAL,"OR")=0))</f>
      </c>
      <c r="I5889">
        <f>IF(DATOS!$I5889="","",IFERROR(VLOOKUP(DATOS!$I5889,CONFIG_ASIGNATURAS!$B$2:$J$91,9,FALSE()),""))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IF(DATOS!$A5890="",0,IF(CONFIG_METADATA!$B$4&lt;&gt;"OR+EX",--(DATOS!$G5890=CONFIG_METADATA!$B$4),IF(DATOS!$G5890="EX",1,IF(DATOS!$G5890="OR",--(COUNTIFS(nNIA,DATOS!$A5890,nCURSO,DATOS!$D5890,nESPEC,DATOS!$E5890,nASIG,DATOS!$I5890,nEVAL,"EX")=0),0))))</f>
      </c>
      <c r="H5890">
        <f>IF(DATOS!$G5890&lt;&gt;"EX",0,--(COUNTIFS(nNIA,DATOS!$A5890,nCURSO,DATOS!$D5890,nESPEC,DATOS!$E5890,nASIG,DATOS!$I5890,nEVAL,"OR")=0))</f>
      </c>
      <c r="I5890">
        <f>IF(DATOS!$I5890="","",IFERROR(VLOOKUP(DATOS!$I5890,CONFIG_ASIGNATURAS!$B$2:$J$91,9,FALSE()),""))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IF(DATOS!$A5891="",0,IF(CONFIG_METADATA!$B$4&lt;&gt;"OR+EX",--(DATOS!$G5891=CONFIG_METADATA!$B$4),IF(DATOS!$G5891="EX",1,IF(DATOS!$G5891="OR",--(COUNTIFS(nNIA,DATOS!$A5891,nCURSO,DATOS!$D5891,nESPEC,DATOS!$E5891,nASIG,DATOS!$I5891,nEVAL,"EX")=0),0))))</f>
      </c>
      <c r="H5891">
        <f>IF(DATOS!$G5891&lt;&gt;"EX",0,--(COUNTIFS(nNIA,DATOS!$A5891,nCURSO,DATOS!$D5891,nESPEC,DATOS!$E5891,nASIG,DATOS!$I5891,nEVAL,"OR")=0))</f>
      </c>
      <c r="I5891">
        <f>IF(DATOS!$I5891="","",IFERROR(VLOOKUP(DATOS!$I5891,CONFIG_ASIGNATURAS!$B$2:$J$91,9,FALSE()),""))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IF(DATOS!$A5892="",0,IF(CONFIG_METADATA!$B$4&lt;&gt;"OR+EX",--(DATOS!$G5892=CONFIG_METADATA!$B$4),IF(DATOS!$G5892="EX",1,IF(DATOS!$G5892="OR",--(COUNTIFS(nNIA,DATOS!$A5892,nCURSO,DATOS!$D5892,nESPEC,DATOS!$E5892,nASIG,DATOS!$I5892,nEVAL,"EX")=0),0))))</f>
      </c>
      <c r="H5892">
        <f>IF(DATOS!$G5892&lt;&gt;"EX",0,--(COUNTIFS(nNIA,DATOS!$A5892,nCURSO,DATOS!$D5892,nESPEC,DATOS!$E5892,nASIG,DATOS!$I5892,nEVAL,"OR")=0))</f>
      </c>
      <c r="I5892">
        <f>IF(DATOS!$I5892="","",IFERROR(VLOOKUP(DATOS!$I5892,CONFIG_ASIGNATURAS!$B$2:$J$91,9,FALSE()),""))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IF(DATOS!$A5893="",0,IF(CONFIG_METADATA!$B$4&lt;&gt;"OR+EX",--(DATOS!$G5893=CONFIG_METADATA!$B$4),IF(DATOS!$G5893="EX",1,IF(DATOS!$G5893="OR",--(COUNTIFS(nNIA,DATOS!$A5893,nCURSO,DATOS!$D5893,nESPEC,DATOS!$E5893,nASIG,DATOS!$I5893,nEVAL,"EX")=0),0))))</f>
      </c>
      <c r="H5893">
        <f>IF(DATOS!$G5893&lt;&gt;"EX",0,--(COUNTIFS(nNIA,DATOS!$A5893,nCURSO,DATOS!$D5893,nESPEC,DATOS!$E5893,nASIG,DATOS!$I5893,nEVAL,"OR")=0))</f>
      </c>
      <c r="I5893">
        <f>IF(DATOS!$I5893="","",IFERROR(VLOOKUP(DATOS!$I5893,CONFIG_ASIGNATURAS!$B$2:$J$91,9,FALSE()),""))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IF(DATOS!$A5894="",0,IF(CONFIG_METADATA!$B$4&lt;&gt;"OR+EX",--(DATOS!$G5894=CONFIG_METADATA!$B$4),IF(DATOS!$G5894="EX",1,IF(DATOS!$G5894="OR",--(COUNTIFS(nNIA,DATOS!$A5894,nCURSO,DATOS!$D5894,nESPEC,DATOS!$E5894,nASIG,DATOS!$I5894,nEVAL,"EX")=0),0))))</f>
      </c>
      <c r="H5894">
        <f>IF(DATOS!$G5894&lt;&gt;"EX",0,--(COUNTIFS(nNIA,DATOS!$A5894,nCURSO,DATOS!$D5894,nESPEC,DATOS!$E5894,nASIG,DATOS!$I5894,nEVAL,"OR")=0))</f>
      </c>
      <c r="I5894">
        <f>IF(DATOS!$I5894="","",IFERROR(VLOOKUP(DATOS!$I5894,CONFIG_ASIGNATURAS!$B$2:$J$91,9,FALSE()),""))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IF(DATOS!$A5895="",0,IF(CONFIG_METADATA!$B$4&lt;&gt;"OR+EX",--(DATOS!$G5895=CONFIG_METADATA!$B$4),IF(DATOS!$G5895="EX",1,IF(DATOS!$G5895="OR",--(COUNTIFS(nNIA,DATOS!$A5895,nCURSO,DATOS!$D5895,nESPEC,DATOS!$E5895,nASIG,DATOS!$I5895,nEVAL,"EX")=0),0))))</f>
      </c>
      <c r="H5895">
        <f>IF(DATOS!$G5895&lt;&gt;"EX",0,--(COUNTIFS(nNIA,DATOS!$A5895,nCURSO,DATOS!$D5895,nESPEC,DATOS!$E5895,nASIG,DATOS!$I5895,nEVAL,"OR")=0))</f>
      </c>
      <c r="I5895">
        <f>IF(DATOS!$I5895="","",IFERROR(VLOOKUP(DATOS!$I5895,CONFIG_ASIGNATURAS!$B$2:$J$91,9,FALSE()),""))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IF(DATOS!$A5896="",0,IF(CONFIG_METADATA!$B$4&lt;&gt;"OR+EX",--(DATOS!$G5896=CONFIG_METADATA!$B$4),IF(DATOS!$G5896="EX",1,IF(DATOS!$G5896="OR",--(COUNTIFS(nNIA,DATOS!$A5896,nCURSO,DATOS!$D5896,nESPEC,DATOS!$E5896,nASIG,DATOS!$I5896,nEVAL,"EX")=0),0))))</f>
      </c>
      <c r="H5896">
        <f>IF(DATOS!$G5896&lt;&gt;"EX",0,--(COUNTIFS(nNIA,DATOS!$A5896,nCURSO,DATOS!$D5896,nESPEC,DATOS!$E5896,nASIG,DATOS!$I5896,nEVAL,"OR")=0))</f>
      </c>
      <c r="I5896">
        <f>IF(DATOS!$I5896="","",IFERROR(VLOOKUP(DATOS!$I5896,CONFIG_ASIGNATURAS!$B$2:$J$91,9,FALSE()),""))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IF(DATOS!$A5897="",0,IF(CONFIG_METADATA!$B$4&lt;&gt;"OR+EX",--(DATOS!$G5897=CONFIG_METADATA!$B$4),IF(DATOS!$G5897="EX",1,IF(DATOS!$G5897="OR",--(COUNTIFS(nNIA,DATOS!$A5897,nCURSO,DATOS!$D5897,nESPEC,DATOS!$E5897,nASIG,DATOS!$I5897,nEVAL,"EX")=0),0))))</f>
      </c>
      <c r="H5897">
        <f>IF(DATOS!$G5897&lt;&gt;"EX",0,--(COUNTIFS(nNIA,DATOS!$A5897,nCURSO,DATOS!$D5897,nESPEC,DATOS!$E5897,nASIG,DATOS!$I5897,nEVAL,"OR")=0))</f>
      </c>
      <c r="I5897">
        <f>IF(DATOS!$I5897="","",IFERROR(VLOOKUP(DATOS!$I5897,CONFIG_ASIGNATURAS!$B$2:$J$91,9,FALSE()),""))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IF(DATOS!$A5898="",0,IF(CONFIG_METADATA!$B$4&lt;&gt;"OR+EX",--(DATOS!$G5898=CONFIG_METADATA!$B$4),IF(DATOS!$G5898="EX",1,IF(DATOS!$G5898="OR",--(COUNTIFS(nNIA,DATOS!$A5898,nCURSO,DATOS!$D5898,nESPEC,DATOS!$E5898,nASIG,DATOS!$I5898,nEVAL,"EX")=0),0))))</f>
      </c>
      <c r="H5898">
        <f>IF(DATOS!$G5898&lt;&gt;"EX",0,--(COUNTIFS(nNIA,DATOS!$A5898,nCURSO,DATOS!$D5898,nESPEC,DATOS!$E5898,nASIG,DATOS!$I5898,nEVAL,"OR")=0))</f>
      </c>
      <c r="I5898">
        <f>IF(DATOS!$I5898="","",IFERROR(VLOOKUP(DATOS!$I5898,CONFIG_ASIGNATURAS!$B$2:$J$91,9,FALSE()),""))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IF(DATOS!$A5899="",0,IF(CONFIG_METADATA!$B$4&lt;&gt;"OR+EX",--(DATOS!$G5899=CONFIG_METADATA!$B$4),IF(DATOS!$G5899="EX",1,IF(DATOS!$G5899="OR",--(COUNTIFS(nNIA,DATOS!$A5899,nCURSO,DATOS!$D5899,nESPEC,DATOS!$E5899,nASIG,DATOS!$I5899,nEVAL,"EX")=0),0))))</f>
      </c>
      <c r="H5899">
        <f>IF(DATOS!$G5899&lt;&gt;"EX",0,--(COUNTIFS(nNIA,DATOS!$A5899,nCURSO,DATOS!$D5899,nESPEC,DATOS!$E5899,nASIG,DATOS!$I5899,nEVAL,"OR")=0))</f>
      </c>
      <c r="I5899">
        <f>IF(DATOS!$I5899="","",IFERROR(VLOOKUP(DATOS!$I5899,CONFIG_ASIGNATURAS!$B$2:$J$91,9,FALSE()),""))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IF(DATOS!$A5900="",0,IF(CONFIG_METADATA!$B$4&lt;&gt;"OR+EX",--(DATOS!$G5900=CONFIG_METADATA!$B$4),IF(DATOS!$G5900="EX",1,IF(DATOS!$G5900="OR",--(COUNTIFS(nNIA,DATOS!$A5900,nCURSO,DATOS!$D5900,nESPEC,DATOS!$E5900,nASIG,DATOS!$I5900,nEVAL,"EX")=0),0))))</f>
      </c>
      <c r="H5900">
        <f>IF(DATOS!$G5900&lt;&gt;"EX",0,--(COUNTIFS(nNIA,DATOS!$A5900,nCURSO,DATOS!$D5900,nESPEC,DATOS!$E5900,nASIG,DATOS!$I5900,nEVAL,"OR")=0))</f>
      </c>
      <c r="I5900">
        <f>IF(DATOS!$I5900="","",IFERROR(VLOOKUP(DATOS!$I5900,CONFIG_ASIGNATURAS!$B$2:$J$91,9,FALSE()),""))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IF(DATOS!$A5901="",0,IF(CONFIG_METADATA!$B$4&lt;&gt;"OR+EX",--(DATOS!$G5901=CONFIG_METADATA!$B$4),IF(DATOS!$G5901="EX",1,IF(DATOS!$G5901="OR",--(COUNTIFS(nNIA,DATOS!$A5901,nCURSO,DATOS!$D5901,nESPEC,DATOS!$E5901,nASIG,DATOS!$I5901,nEVAL,"EX")=0),0))))</f>
      </c>
      <c r="H5901">
        <f>IF(DATOS!$G5901&lt;&gt;"EX",0,--(COUNTIFS(nNIA,DATOS!$A5901,nCURSO,DATOS!$D5901,nESPEC,DATOS!$E5901,nASIG,DATOS!$I5901,nEVAL,"OR")=0))</f>
      </c>
      <c r="I5901">
        <f>IF(DATOS!$I5901="","",IFERROR(VLOOKUP(DATOS!$I5901,CONFIG_ASIGNATURAS!$B$2:$J$91,9,FALSE()),""))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IF(DATOS!$A5902="",0,IF(CONFIG_METADATA!$B$4&lt;&gt;"OR+EX",--(DATOS!$G5902=CONFIG_METADATA!$B$4),IF(DATOS!$G5902="EX",1,IF(DATOS!$G5902="OR",--(COUNTIFS(nNIA,DATOS!$A5902,nCURSO,DATOS!$D5902,nESPEC,DATOS!$E5902,nASIG,DATOS!$I5902,nEVAL,"EX")=0),0))))</f>
      </c>
      <c r="H5902">
        <f>IF(DATOS!$G5902&lt;&gt;"EX",0,--(COUNTIFS(nNIA,DATOS!$A5902,nCURSO,DATOS!$D5902,nESPEC,DATOS!$E5902,nASIG,DATOS!$I5902,nEVAL,"OR")=0))</f>
      </c>
      <c r="I5902">
        <f>IF(DATOS!$I5902="","",IFERROR(VLOOKUP(DATOS!$I5902,CONFIG_ASIGNATURAS!$B$2:$J$91,9,FALSE()),""))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IF(DATOS!$A5903="",0,IF(CONFIG_METADATA!$B$4&lt;&gt;"OR+EX",--(DATOS!$G5903=CONFIG_METADATA!$B$4),IF(DATOS!$G5903="EX",1,IF(DATOS!$G5903="OR",--(COUNTIFS(nNIA,DATOS!$A5903,nCURSO,DATOS!$D5903,nESPEC,DATOS!$E5903,nASIG,DATOS!$I5903,nEVAL,"EX")=0),0))))</f>
      </c>
      <c r="H5903">
        <f>IF(DATOS!$G5903&lt;&gt;"EX",0,--(COUNTIFS(nNIA,DATOS!$A5903,nCURSO,DATOS!$D5903,nESPEC,DATOS!$E5903,nASIG,DATOS!$I5903,nEVAL,"OR")=0))</f>
      </c>
      <c r="I5903">
        <f>IF(DATOS!$I5903="","",IFERROR(VLOOKUP(DATOS!$I5903,CONFIG_ASIGNATURAS!$B$2:$J$91,9,FALSE()),""))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IF(DATOS!$A5904="",0,IF(CONFIG_METADATA!$B$4&lt;&gt;"OR+EX",--(DATOS!$G5904=CONFIG_METADATA!$B$4),IF(DATOS!$G5904="EX",1,IF(DATOS!$G5904="OR",--(COUNTIFS(nNIA,DATOS!$A5904,nCURSO,DATOS!$D5904,nESPEC,DATOS!$E5904,nASIG,DATOS!$I5904,nEVAL,"EX")=0),0))))</f>
      </c>
      <c r="H5904">
        <f>IF(DATOS!$G5904&lt;&gt;"EX",0,--(COUNTIFS(nNIA,DATOS!$A5904,nCURSO,DATOS!$D5904,nESPEC,DATOS!$E5904,nASIG,DATOS!$I5904,nEVAL,"OR")=0))</f>
      </c>
      <c r="I5904">
        <f>IF(DATOS!$I5904="","",IFERROR(VLOOKUP(DATOS!$I5904,CONFIG_ASIGNATURAS!$B$2:$J$91,9,FALSE()),""))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IF(DATOS!$A5905="",0,IF(CONFIG_METADATA!$B$4&lt;&gt;"OR+EX",--(DATOS!$G5905=CONFIG_METADATA!$B$4),IF(DATOS!$G5905="EX",1,IF(DATOS!$G5905="OR",--(COUNTIFS(nNIA,DATOS!$A5905,nCURSO,DATOS!$D5905,nESPEC,DATOS!$E5905,nASIG,DATOS!$I5905,nEVAL,"EX")=0),0))))</f>
      </c>
      <c r="H5905">
        <f>IF(DATOS!$G5905&lt;&gt;"EX",0,--(COUNTIFS(nNIA,DATOS!$A5905,nCURSO,DATOS!$D5905,nESPEC,DATOS!$E5905,nASIG,DATOS!$I5905,nEVAL,"OR")=0))</f>
      </c>
      <c r="I5905">
        <f>IF(DATOS!$I5905="","",IFERROR(VLOOKUP(DATOS!$I5905,CONFIG_ASIGNATURAS!$B$2:$J$91,9,FALSE()),""))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IF(DATOS!$A5906="",0,IF(CONFIG_METADATA!$B$4&lt;&gt;"OR+EX",--(DATOS!$G5906=CONFIG_METADATA!$B$4),IF(DATOS!$G5906="EX",1,IF(DATOS!$G5906="OR",--(COUNTIFS(nNIA,DATOS!$A5906,nCURSO,DATOS!$D5906,nESPEC,DATOS!$E5906,nASIG,DATOS!$I5906,nEVAL,"EX")=0),0))))</f>
      </c>
      <c r="H5906">
        <f>IF(DATOS!$G5906&lt;&gt;"EX",0,--(COUNTIFS(nNIA,DATOS!$A5906,nCURSO,DATOS!$D5906,nESPEC,DATOS!$E5906,nASIG,DATOS!$I5906,nEVAL,"OR")=0))</f>
      </c>
      <c r="I5906">
        <f>IF(DATOS!$I5906="","",IFERROR(VLOOKUP(DATOS!$I5906,CONFIG_ASIGNATURAS!$B$2:$J$91,9,FALSE()),""))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IF(DATOS!$A5907="",0,IF(CONFIG_METADATA!$B$4&lt;&gt;"OR+EX",--(DATOS!$G5907=CONFIG_METADATA!$B$4),IF(DATOS!$G5907="EX",1,IF(DATOS!$G5907="OR",--(COUNTIFS(nNIA,DATOS!$A5907,nCURSO,DATOS!$D5907,nESPEC,DATOS!$E5907,nASIG,DATOS!$I5907,nEVAL,"EX")=0),0))))</f>
      </c>
      <c r="H5907">
        <f>IF(DATOS!$G5907&lt;&gt;"EX",0,--(COUNTIFS(nNIA,DATOS!$A5907,nCURSO,DATOS!$D5907,nESPEC,DATOS!$E5907,nASIG,DATOS!$I5907,nEVAL,"OR")=0))</f>
      </c>
      <c r="I5907">
        <f>IF(DATOS!$I5907="","",IFERROR(VLOOKUP(DATOS!$I5907,CONFIG_ASIGNATURAS!$B$2:$J$91,9,FALSE()),""))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IF(DATOS!$A5908="",0,IF(CONFIG_METADATA!$B$4&lt;&gt;"OR+EX",--(DATOS!$G5908=CONFIG_METADATA!$B$4),IF(DATOS!$G5908="EX",1,IF(DATOS!$G5908="OR",--(COUNTIFS(nNIA,DATOS!$A5908,nCURSO,DATOS!$D5908,nESPEC,DATOS!$E5908,nASIG,DATOS!$I5908,nEVAL,"EX")=0),0))))</f>
      </c>
      <c r="H5908">
        <f>IF(DATOS!$G5908&lt;&gt;"EX",0,--(COUNTIFS(nNIA,DATOS!$A5908,nCURSO,DATOS!$D5908,nESPEC,DATOS!$E5908,nASIG,DATOS!$I5908,nEVAL,"OR")=0))</f>
      </c>
      <c r="I5908">
        <f>IF(DATOS!$I5908="","",IFERROR(VLOOKUP(DATOS!$I5908,CONFIG_ASIGNATURAS!$B$2:$J$91,9,FALSE()),""))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IF(DATOS!$A5909="",0,IF(CONFIG_METADATA!$B$4&lt;&gt;"OR+EX",--(DATOS!$G5909=CONFIG_METADATA!$B$4),IF(DATOS!$G5909="EX",1,IF(DATOS!$G5909="OR",--(COUNTIFS(nNIA,DATOS!$A5909,nCURSO,DATOS!$D5909,nESPEC,DATOS!$E5909,nASIG,DATOS!$I5909,nEVAL,"EX")=0),0))))</f>
      </c>
      <c r="H5909">
        <f>IF(DATOS!$G5909&lt;&gt;"EX",0,--(COUNTIFS(nNIA,DATOS!$A5909,nCURSO,DATOS!$D5909,nESPEC,DATOS!$E5909,nASIG,DATOS!$I5909,nEVAL,"OR")=0))</f>
      </c>
      <c r="I5909">
        <f>IF(DATOS!$I5909="","",IFERROR(VLOOKUP(DATOS!$I5909,CONFIG_ASIGNATURAS!$B$2:$J$91,9,FALSE()),""))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IF(DATOS!$A5910="",0,IF(CONFIG_METADATA!$B$4&lt;&gt;"OR+EX",--(DATOS!$G5910=CONFIG_METADATA!$B$4),IF(DATOS!$G5910="EX",1,IF(DATOS!$G5910="OR",--(COUNTIFS(nNIA,DATOS!$A5910,nCURSO,DATOS!$D5910,nESPEC,DATOS!$E5910,nASIG,DATOS!$I5910,nEVAL,"EX")=0),0))))</f>
      </c>
      <c r="H5910">
        <f>IF(DATOS!$G5910&lt;&gt;"EX",0,--(COUNTIFS(nNIA,DATOS!$A5910,nCURSO,DATOS!$D5910,nESPEC,DATOS!$E5910,nASIG,DATOS!$I5910,nEVAL,"OR")=0))</f>
      </c>
      <c r="I5910">
        <f>IF(DATOS!$I5910="","",IFERROR(VLOOKUP(DATOS!$I5910,CONFIG_ASIGNATURAS!$B$2:$J$91,9,FALSE()),""))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IF(DATOS!$A5911="",0,IF(CONFIG_METADATA!$B$4&lt;&gt;"OR+EX",--(DATOS!$G5911=CONFIG_METADATA!$B$4),IF(DATOS!$G5911="EX",1,IF(DATOS!$G5911="OR",--(COUNTIFS(nNIA,DATOS!$A5911,nCURSO,DATOS!$D5911,nESPEC,DATOS!$E5911,nASIG,DATOS!$I5911,nEVAL,"EX")=0),0))))</f>
      </c>
      <c r="H5911">
        <f>IF(DATOS!$G5911&lt;&gt;"EX",0,--(COUNTIFS(nNIA,DATOS!$A5911,nCURSO,DATOS!$D5911,nESPEC,DATOS!$E5911,nASIG,DATOS!$I5911,nEVAL,"OR")=0))</f>
      </c>
      <c r="I5911">
        <f>IF(DATOS!$I5911="","",IFERROR(VLOOKUP(DATOS!$I5911,CONFIG_ASIGNATURAS!$B$2:$J$91,9,FALSE()),""))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IF(DATOS!$A5912="",0,IF(CONFIG_METADATA!$B$4&lt;&gt;"OR+EX",--(DATOS!$G5912=CONFIG_METADATA!$B$4),IF(DATOS!$G5912="EX",1,IF(DATOS!$G5912="OR",--(COUNTIFS(nNIA,DATOS!$A5912,nCURSO,DATOS!$D5912,nESPEC,DATOS!$E5912,nASIG,DATOS!$I5912,nEVAL,"EX")=0),0))))</f>
      </c>
      <c r="H5912">
        <f>IF(DATOS!$G5912&lt;&gt;"EX",0,--(COUNTIFS(nNIA,DATOS!$A5912,nCURSO,DATOS!$D5912,nESPEC,DATOS!$E5912,nASIG,DATOS!$I5912,nEVAL,"OR")=0))</f>
      </c>
      <c r="I5912">
        <f>IF(DATOS!$I5912="","",IFERROR(VLOOKUP(DATOS!$I5912,CONFIG_ASIGNATURAS!$B$2:$J$91,9,FALSE()),""))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IF(DATOS!$A5913="",0,IF(CONFIG_METADATA!$B$4&lt;&gt;"OR+EX",--(DATOS!$G5913=CONFIG_METADATA!$B$4),IF(DATOS!$G5913="EX",1,IF(DATOS!$G5913="OR",--(COUNTIFS(nNIA,DATOS!$A5913,nCURSO,DATOS!$D5913,nESPEC,DATOS!$E5913,nASIG,DATOS!$I5913,nEVAL,"EX")=0),0))))</f>
      </c>
      <c r="H5913">
        <f>IF(DATOS!$G5913&lt;&gt;"EX",0,--(COUNTIFS(nNIA,DATOS!$A5913,nCURSO,DATOS!$D5913,nESPEC,DATOS!$E5913,nASIG,DATOS!$I5913,nEVAL,"OR")=0))</f>
      </c>
      <c r="I5913">
        <f>IF(DATOS!$I5913="","",IFERROR(VLOOKUP(DATOS!$I5913,CONFIG_ASIGNATURAS!$B$2:$J$91,9,FALSE()),""))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IF(DATOS!$A5914="",0,IF(CONFIG_METADATA!$B$4&lt;&gt;"OR+EX",--(DATOS!$G5914=CONFIG_METADATA!$B$4),IF(DATOS!$G5914="EX",1,IF(DATOS!$G5914="OR",--(COUNTIFS(nNIA,DATOS!$A5914,nCURSO,DATOS!$D5914,nESPEC,DATOS!$E5914,nASIG,DATOS!$I5914,nEVAL,"EX")=0),0))))</f>
      </c>
      <c r="H5914">
        <f>IF(DATOS!$G5914&lt;&gt;"EX",0,--(COUNTIFS(nNIA,DATOS!$A5914,nCURSO,DATOS!$D5914,nESPEC,DATOS!$E5914,nASIG,DATOS!$I5914,nEVAL,"OR")=0))</f>
      </c>
      <c r="I5914">
        <f>IF(DATOS!$I5914="","",IFERROR(VLOOKUP(DATOS!$I5914,CONFIG_ASIGNATURAS!$B$2:$J$91,9,FALSE()),""))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IF(DATOS!$A5915="",0,IF(CONFIG_METADATA!$B$4&lt;&gt;"OR+EX",--(DATOS!$G5915=CONFIG_METADATA!$B$4),IF(DATOS!$G5915="EX",1,IF(DATOS!$G5915="OR",--(COUNTIFS(nNIA,DATOS!$A5915,nCURSO,DATOS!$D5915,nESPEC,DATOS!$E5915,nASIG,DATOS!$I5915,nEVAL,"EX")=0),0))))</f>
      </c>
      <c r="H5915">
        <f>IF(DATOS!$G5915&lt;&gt;"EX",0,--(COUNTIFS(nNIA,DATOS!$A5915,nCURSO,DATOS!$D5915,nESPEC,DATOS!$E5915,nASIG,DATOS!$I5915,nEVAL,"OR")=0))</f>
      </c>
      <c r="I5915">
        <f>IF(DATOS!$I5915="","",IFERROR(VLOOKUP(DATOS!$I5915,CONFIG_ASIGNATURAS!$B$2:$J$91,9,FALSE()),""))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IF(DATOS!$A5916="",0,IF(CONFIG_METADATA!$B$4&lt;&gt;"OR+EX",--(DATOS!$G5916=CONFIG_METADATA!$B$4),IF(DATOS!$G5916="EX",1,IF(DATOS!$G5916="OR",--(COUNTIFS(nNIA,DATOS!$A5916,nCURSO,DATOS!$D5916,nESPEC,DATOS!$E5916,nASIG,DATOS!$I5916,nEVAL,"EX")=0),0))))</f>
      </c>
      <c r="H5916">
        <f>IF(DATOS!$G5916&lt;&gt;"EX",0,--(COUNTIFS(nNIA,DATOS!$A5916,nCURSO,DATOS!$D5916,nESPEC,DATOS!$E5916,nASIG,DATOS!$I5916,nEVAL,"OR")=0))</f>
      </c>
      <c r="I5916">
        <f>IF(DATOS!$I5916="","",IFERROR(VLOOKUP(DATOS!$I5916,CONFIG_ASIGNATURAS!$B$2:$J$91,9,FALSE()),""))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IF(DATOS!$A5917="",0,IF(CONFIG_METADATA!$B$4&lt;&gt;"OR+EX",--(DATOS!$G5917=CONFIG_METADATA!$B$4),IF(DATOS!$G5917="EX",1,IF(DATOS!$G5917="OR",--(COUNTIFS(nNIA,DATOS!$A5917,nCURSO,DATOS!$D5917,nESPEC,DATOS!$E5917,nASIG,DATOS!$I5917,nEVAL,"EX")=0),0))))</f>
      </c>
      <c r="H5917">
        <f>IF(DATOS!$G5917&lt;&gt;"EX",0,--(COUNTIFS(nNIA,DATOS!$A5917,nCURSO,DATOS!$D5917,nESPEC,DATOS!$E5917,nASIG,DATOS!$I5917,nEVAL,"OR")=0))</f>
      </c>
      <c r="I5917">
        <f>IF(DATOS!$I5917="","",IFERROR(VLOOKUP(DATOS!$I5917,CONFIG_ASIGNATURAS!$B$2:$J$91,9,FALSE()),""))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IF(DATOS!$A5918="",0,IF(CONFIG_METADATA!$B$4&lt;&gt;"OR+EX",--(DATOS!$G5918=CONFIG_METADATA!$B$4),IF(DATOS!$G5918="EX",1,IF(DATOS!$G5918="OR",--(COUNTIFS(nNIA,DATOS!$A5918,nCURSO,DATOS!$D5918,nESPEC,DATOS!$E5918,nASIG,DATOS!$I5918,nEVAL,"EX")=0),0))))</f>
      </c>
      <c r="H5918">
        <f>IF(DATOS!$G5918&lt;&gt;"EX",0,--(COUNTIFS(nNIA,DATOS!$A5918,nCURSO,DATOS!$D5918,nESPEC,DATOS!$E5918,nASIG,DATOS!$I5918,nEVAL,"OR")=0))</f>
      </c>
      <c r="I5918">
        <f>IF(DATOS!$I5918="","",IFERROR(VLOOKUP(DATOS!$I5918,CONFIG_ASIGNATURAS!$B$2:$J$91,9,FALSE()),""))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IF(DATOS!$A5919="",0,IF(CONFIG_METADATA!$B$4&lt;&gt;"OR+EX",--(DATOS!$G5919=CONFIG_METADATA!$B$4),IF(DATOS!$G5919="EX",1,IF(DATOS!$G5919="OR",--(COUNTIFS(nNIA,DATOS!$A5919,nCURSO,DATOS!$D5919,nESPEC,DATOS!$E5919,nASIG,DATOS!$I5919,nEVAL,"EX")=0),0))))</f>
      </c>
      <c r="H5919">
        <f>IF(DATOS!$G5919&lt;&gt;"EX",0,--(COUNTIFS(nNIA,DATOS!$A5919,nCURSO,DATOS!$D5919,nESPEC,DATOS!$E5919,nASIG,DATOS!$I5919,nEVAL,"OR")=0))</f>
      </c>
      <c r="I5919">
        <f>IF(DATOS!$I5919="","",IFERROR(VLOOKUP(DATOS!$I5919,CONFIG_ASIGNATURAS!$B$2:$J$91,9,FALSE()),""))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IF(DATOS!$A5920="",0,IF(CONFIG_METADATA!$B$4&lt;&gt;"OR+EX",--(DATOS!$G5920=CONFIG_METADATA!$B$4),IF(DATOS!$G5920="EX",1,IF(DATOS!$G5920="OR",--(COUNTIFS(nNIA,DATOS!$A5920,nCURSO,DATOS!$D5920,nESPEC,DATOS!$E5920,nASIG,DATOS!$I5920,nEVAL,"EX")=0),0))))</f>
      </c>
      <c r="H5920">
        <f>IF(DATOS!$G5920&lt;&gt;"EX",0,--(COUNTIFS(nNIA,DATOS!$A5920,nCURSO,DATOS!$D5920,nESPEC,DATOS!$E5920,nASIG,DATOS!$I5920,nEVAL,"OR")=0))</f>
      </c>
      <c r="I5920">
        <f>IF(DATOS!$I5920="","",IFERROR(VLOOKUP(DATOS!$I5920,CONFIG_ASIGNATURAS!$B$2:$J$91,9,FALSE()),""))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IF(DATOS!$A5921="",0,IF(CONFIG_METADATA!$B$4&lt;&gt;"OR+EX",--(DATOS!$G5921=CONFIG_METADATA!$B$4),IF(DATOS!$G5921="EX",1,IF(DATOS!$G5921="OR",--(COUNTIFS(nNIA,DATOS!$A5921,nCURSO,DATOS!$D5921,nESPEC,DATOS!$E5921,nASIG,DATOS!$I5921,nEVAL,"EX")=0),0))))</f>
      </c>
      <c r="H5921">
        <f>IF(DATOS!$G5921&lt;&gt;"EX",0,--(COUNTIFS(nNIA,DATOS!$A5921,nCURSO,DATOS!$D5921,nESPEC,DATOS!$E5921,nASIG,DATOS!$I5921,nEVAL,"OR")=0))</f>
      </c>
      <c r="I5921">
        <f>IF(DATOS!$I5921="","",IFERROR(VLOOKUP(DATOS!$I5921,CONFIG_ASIGNATURAS!$B$2:$J$91,9,FALSE()),""))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IF(DATOS!$A5922="",0,IF(CONFIG_METADATA!$B$4&lt;&gt;"OR+EX",--(DATOS!$G5922=CONFIG_METADATA!$B$4),IF(DATOS!$G5922="EX",1,IF(DATOS!$G5922="OR",--(COUNTIFS(nNIA,DATOS!$A5922,nCURSO,DATOS!$D5922,nESPEC,DATOS!$E5922,nASIG,DATOS!$I5922,nEVAL,"EX")=0),0))))</f>
      </c>
      <c r="H5922">
        <f>IF(DATOS!$G5922&lt;&gt;"EX",0,--(COUNTIFS(nNIA,DATOS!$A5922,nCURSO,DATOS!$D5922,nESPEC,DATOS!$E5922,nASIG,DATOS!$I5922,nEVAL,"OR")=0))</f>
      </c>
      <c r="I5922">
        <f>IF(DATOS!$I5922="","",IFERROR(VLOOKUP(DATOS!$I5922,CONFIG_ASIGNATURAS!$B$2:$J$91,9,FALSE()),""))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IF(DATOS!$A5923="",0,IF(CONFIG_METADATA!$B$4&lt;&gt;"OR+EX",--(DATOS!$G5923=CONFIG_METADATA!$B$4),IF(DATOS!$G5923="EX",1,IF(DATOS!$G5923="OR",--(COUNTIFS(nNIA,DATOS!$A5923,nCURSO,DATOS!$D5923,nESPEC,DATOS!$E5923,nASIG,DATOS!$I5923,nEVAL,"EX")=0),0))))</f>
      </c>
      <c r="H5923">
        <f>IF(DATOS!$G5923&lt;&gt;"EX",0,--(COUNTIFS(nNIA,DATOS!$A5923,nCURSO,DATOS!$D5923,nESPEC,DATOS!$E5923,nASIG,DATOS!$I5923,nEVAL,"OR")=0))</f>
      </c>
      <c r="I5923">
        <f>IF(DATOS!$I5923="","",IFERROR(VLOOKUP(DATOS!$I5923,CONFIG_ASIGNATURAS!$B$2:$J$91,9,FALSE()),""))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IF(DATOS!$A5924="",0,IF(CONFIG_METADATA!$B$4&lt;&gt;"OR+EX",--(DATOS!$G5924=CONFIG_METADATA!$B$4),IF(DATOS!$G5924="EX",1,IF(DATOS!$G5924="OR",--(COUNTIFS(nNIA,DATOS!$A5924,nCURSO,DATOS!$D5924,nESPEC,DATOS!$E5924,nASIG,DATOS!$I5924,nEVAL,"EX")=0),0))))</f>
      </c>
      <c r="H5924">
        <f>IF(DATOS!$G5924&lt;&gt;"EX",0,--(COUNTIFS(nNIA,DATOS!$A5924,nCURSO,DATOS!$D5924,nESPEC,DATOS!$E5924,nASIG,DATOS!$I5924,nEVAL,"OR")=0))</f>
      </c>
      <c r="I5924">
        <f>IF(DATOS!$I5924="","",IFERROR(VLOOKUP(DATOS!$I5924,CONFIG_ASIGNATURAS!$B$2:$J$91,9,FALSE()),""))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IF(DATOS!$A5925="",0,IF(CONFIG_METADATA!$B$4&lt;&gt;"OR+EX",--(DATOS!$G5925=CONFIG_METADATA!$B$4),IF(DATOS!$G5925="EX",1,IF(DATOS!$G5925="OR",--(COUNTIFS(nNIA,DATOS!$A5925,nCURSO,DATOS!$D5925,nESPEC,DATOS!$E5925,nASIG,DATOS!$I5925,nEVAL,"EX")=0),0))))</f>
      </c>
      <c r="H5925">
        <f>IF(DATOS!$G5925&lt;&gt;"EX",0,--(COUNTIFS(nNIA,DATOS!$A5925,nCURSO,DATOS!$D5925,nESPEC,DATOS!$E5925,nASIG,DATOS!$I5925,nEVAL,"OR")=0))</f>
      </c>
      <c r="I5925">
        <f>IF(DATOS!$I5925="","",IFERROR(VLOOKUP(DATOS!$I5925,CONFIG_ASIGNATURAS!$B$2:$J$91,9,FALSE()),""))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IF(DATOS!$A5926="",0,IF(CONFIG_METADATA!$B$4&lt;&gt;"OR+EX",--(DATOS!$G5926=CONFIG_METADATA!$B$4),IF(DATOS!$G5926="EX",1,IF(DATOS!$G5926="OR",--(COUNTIFS(nNIA,DATOS!$A5926,nCURSO,DATOS!$D5926,nESPEC,DATOS!$E5926,nASIG,DATOS!$I5926,nEVAL,"EX")=0),0))))</f>
      </c>
      <c r="H5926">
        <f>IF(DATOS!$G5926&lt;&gt;"EX",0,--(COUNTIFS(nNIA,DATOS!$A5926,nCURSO,DATOS!$D5926,nESPEC,DATOS!$E5926,nASIG,DATOS!$I5926,nEVAL,"OR")=0))</f>
      </c>
      <c r="I5926">
        <f>IF(DATOS!$I5926="","",IFERROR(VLOOKUP(DATOS!$I5926,CONFIG_ASIGNATURAS!$B$2:$J$91,9,FALSE()),""))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IF(DATOS!$A5927="",0,IF(CONFIG_METADATA!$B$4&lt;&gt;"OR+EX",--(DATOS!$G5927=CONFIG_METADATA!$B$4),IF(DATOS!$G5927="EX",1,IF(DATOS!$G5927="OR",--(COUNTIFS(nNIA,DATOS!$A5927,nCURSO,DATOS!$D5927,nESPEC,DATOS!$E5927,nASIG,DATOS!$I5927,nEVAL,"EX")=0),0))))</f>
      </c>
      <c r="H5927">
        <f>IF(DATOS!$G5927&lt;&gt;"EX",0,--(COUNTIFS(nNIA,DATOS!$A5927,nCURSO,DATOS!$D5927,nESPEC,DATOS!$E5927,nASIG,DATOS!$I5927,nEVAL,"OR")=0))</f>
      </c>
      <c r="I5927">
        <f>IF(DATOS!$I5927="","",IFERROR(VLOOKUP(DATOS!$I5927,CONFIG_ASIGNATURAS!$B$2:$J$91,9,FALSE()),""))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IF(DATOS!$A5928="",0,IF(CONFIG_METADATA!$B$4&lt;&gt;"OR+EX",--(DATOS!$G5928=CONFIG_METADATA!$B$4),IF(DATOS!$G5928="EX",1,IF(DATOS!$G5928="OR",--(COUNTIFS(nNIA,DATOS!$A5928,nCURSO,DATOS!$D5928,nESPEC,DATOS!$E5928,nASIG,DATOS!$I5928,nEVAL,"EX")=0),0))))</f>
      </c>
      <c r="H5928">
        <f>IF(DATOS!$G5928&lt;&gt;"EX",0,--(COUNTIFS(nNIA,DATOS!$A5928,nCURSO,DATOS!$D5928,nESPEC,DATOS!$E5928,nASIG,DATOS!$I5928,nEVAL,"OR")=0))</f>
      </c>
      <c r="I5928">
        <f>IF(DATOS!$I5928="","",IFERROR(VLOOKUP(DATOS!$I5928,CONFIG_ASIGNATURAS!$B$2:$J$91,9,FALSE()),""))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IF(DATOS!$A5929="",0,IF(CONFIG_METADATA!$B$4&lt;&gt;"OR+EX",--(DATOS!$G5929=CONFIG_METADATA!$B$4),IF(DATOS!$G5929="EX",1,IF(DATOS!$G5929="OR",--(COUNTIFS(nNIA,DATOS!$A5929,nCURSO,DATOS!$D5929,nESPEC,DATOS!$E5929,nASIG,DATOS!$I5929,nEVAL,"EX")=0),0))))</f>
      </c>
      <c r="H5929">
        <f>IF(DATOS!$G5929&lt;&gt;"EX",0,--(COUNTIFS(nNIA,DATOS!$A5929,nCURSO,DATOS!$D5929,nESPEC,DATOS!$E5929,nASIG,DATOS!$I5929,nEVAL,"OR")=0))</f>
      </c>
      <c r="I5929">
        <f>IF(DATOS!$I5929="","",IFERROR(VLOOKUP(DATOS!$I5929,CONFIG_ASIGNATURAS!$B$2:$J$91,9,FALSE()),""))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IF(DATOS!$A5930="",0,IF(CONFIG_METADATA!$B$4&lt;&gt;"OR+EX",--(DATOS!$G5930=CONFIG_METADATA!$B$4),IF(DATOS!$G5930="EX",1,IF(DATOS!$G5930="OR",--(COUNTIFS(nNIA,DATOS!$A5930,nCURSO,DATOS!$D5930,nESPEC,DATOS!$E5930,nASIG,DATOS!$I5930,nEVAL,"EX")=0),0))))</f>
      </c>
      <c r="H5930">
        <f>IF(DATOS!$G5930&lt;&gt;"EX",0,--(COUNTIFS(nNIA,DATOS!$A5930,nCURSO,DATOS!$D5930,nESPEC,DATOS!$E5930,nASIG,DATOS!$I5930,nEVAL,"OR")=0))</f>
      </c>
      <c r="I5930">
        <f>IF(DATOS!$I5930="","",IFERROR(VLOOKUP(DATOS!$I5930,CONFIG_ASIGNATURAS!$B$2:$J$91,9,FALSE()),""))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IF(DATOS!$A5931="",0,IF(CONFIG_METADATA!$B$4&lt;&gt;"OR+EX",--(DATOS!$G5931=CONFIG_METADATA!$B$4),IF(DATOS!$G5931="EX",1,IF(DATOS!$G5931="OR",--(COUNTIFS(nNIA,DATOS!$A5931,nCURSO,DATOS!$D5931,nESPEC,DATOS!$E5931,nASIG,DATOS!$I5931,nEVAL,"EX")=0),0))))</f>
      </c>
      <c r="H5931">
        <f>IF(DATOS!$G5931&lt;&gt;"EX",0,--(COUNTIFS(nNIA,DATOS!$A5931,nCURSO,DATOS!$D5931,nESPEC,DATOS!$E5931,nASIG,DATOS!$I5931,nEVAL,"OR")=0))</f>
      </c>
      <c r="I5931">
        <f>IF(DATOS!$I5931="","",IFERROR(VLOOKUP(DATOS!$I5931,CONFIG_ASIGNATURAS!$B$2:$J$91,9,FALSE()),""))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IF(DATOS!$A5932="",0,IF(CONFIG_METADATA!$B$4&lt;&gt;"OR+EX",--(DATOS!$G5932=CONFIG_METADATA!$B$4),IF(DATOS!$G5932="EX",1,IF(DATOS!$G5932="OR",--(COUNTIFS(nNIA,DATOS!$A5932,nCURSO,DATOS!$D5932,nESPEC,DATOS!$E5932,nASIG,DATOS!$I5932,nEVAL,"EX")=0),0))))</f>
      </c>
      <c r="H5932">
        <f>IF(DATOS!$G5932&lt;&gt;"EX",0,--(COUNTIFS(nNIA,DATOS!$A5932,nCURSO,DATOS!$D5932,nESPEC,DATOS!$E5932,nASIG,DATOS!$I5932,nEVAL,"OR")=0))</f>
      </c>
      <c r="I5932">
        <f>IF(DATOS!$I5932="","",IFERROR(VLOOKUP(DATOS!$I5932,CONFIG_ASIGNATURAS!$B$2:$J$91,9,FALSE()),""))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IF(DATOS!$A5933="",0,IF(CONFIG_METADATA!$B$4&lt;&gt;"OR+EX",--(DATOS!$G5933=CONFIG_METADATA!$B$4),IF(DATOS!$G5933="EX",1,IF(DATOS!$G5933="OR",--(COUNTIFS(nNIA,DATOS!$A5933,nCURSO,DATOS!$D5933,nESPEC,DATOS!$E5933,nASIG,DATOS!$I5933,nEVAL,"EX")=0),0))))</f>
      </c>
      <c r="H5933">
        <f>IF(DATOS!$G5933&lt;&gt;"EX",0,--(COUNTIFS(nNIA,DATOS!$A5933,nCURSO,DATOS!$D5933,nESPEC,DATOS!$E5933,nASIG,DATOS!$I5933,nEVAL,"OR")=0))</f>
      </c>
      <c r="I5933">
        <f>IF(DATOS!$I5933="","",IFERROR(VLOOKUP(DATOS!$I5933,CONFIG_ASIGNATURAS!$B$2:$J$91,9,FALSE()),""))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IF(DATOS!$A5934="",0,IF(CONFIG_METADATA!$B$4&lt;&gt;"OR+EX",--(DATOS!$G5934=CONFIG_METADATA!$B$4),IF(DATOS!$G5934="EX",1,IF(DATOS!$G5934="OR",--(COUNTIFS(nNIA,DATOS!$A5934,nCURSO,DATOS!$D5934,nESPEC,DATOS!$E5934,nASIG,DATOS!$I5934,nEVAL,"EX")=0),0))))</f>
      </c>
      <c r="H5934">
        <f>IF(DATOS!$G5934&lt;&gt;"EX",0,--(COUNTIFS(nNIA,DATOS!$A5934,nCURSO,DATOS!$D5934,nESPEC,DATOS!$E5934,nASIG,DATOS!$I5934,nEVAL,"OR")=0))</f>
      </c>
      <c r="I5934">
        <f>IF(DATOS!$I5934="","",IFERROR(VLOOKUP(DATOS!$I5934,CONFIG_ASIGNATURAS!$B$2:$J$91,9,FALSE()),""))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IF(DATOS!$A5935="",0,IF(CONFIG_METADATA!$B$4&lt;&gt;"OR+EX",--(DATOS!$G5935=CONFIG_METADATA!$B$4),IF(DATOS!$G5935="EX",1,IF(DATOS!$G5935="OR",--(COUNTIFS(nNIA,DATOS!$A5935,nCURSO,DATOS!$D5935,nESPEC,DATOS!$E5935,nASIG,DATOS!$I5935,nEVAL,"EX")=0),0))))</f>
      </c>
      <c r="H5935">
        <f>IF(DATOS!$G5935&lt;&gt;"EX",0,--(COUNTIFS(nNIA,DATOS!$A5935,nCURSO,DATOS!$D5935,nESPEC,DATOS!$E5935,nASIG,DATOS!$I5935,nEVAL,"OR")=0))</f>
      </c>
      <c r="I5935">
        <f>IF(DATOS!$I5935="","",IFERROR(VLOOKUP(DATOS!$I5935,CONFIG_ASIGNATURAS!$B$2:$J$91,9,FALSE()),""))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IF(DATOS!$A5936="",0,IF(CONFIG_METADATA!$B$4&lt;&gt;"OR+EX",--(DATOS!$G5936=CONFIG_METADATA!$B$4),IF(DATOS!$G5936="EX",1,IF(DATOS!$G5936="OR",--(COUNTIFS(nNIA,DATOS!$A5936,nCURSO,DATOS!$D5936,nESPEC,DATOS!$E5936,nASIG,DATOS!$I5936,nEVAL,"EX")=0),0))))</f>
      </c>
      <c r="H5936">
        <f>IF(DATOS!$G5936&lt;&gt;"EX",0,--(COUNTIFS(nNIA,DATOS!$A5936,nCURSO,DATOS!$D5936,nESPEC,DATOS!$E5936,nASIG,DATOS!$I5936,nEVAL,"OR")=0))</f>
      </c>
      <c r="I5936">
        <f>IF(DATOS!$I5936="","",IFERROR(VLOOKUP(DATOS!$I5936,CONFIG_ASIGNATURAS!$B$2:$J$91,9,FALSE()),""))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IF(DATOS!$A5937="",0,IF(CONFIG_METADATA!$B$4&lt;&gt;"OR+EX",--(DATOS!$G5937=CONFIG_METADATA!$B$4),IF(DATOS!$G5937="EX",1,IF(DATOS!$G5937="OR",--(COUNTIFS(nNIA,DATOS!$A5937,nCURSO,DATOS!$D5937,nESPEC,DATOS!$E5937,nASIG,DATOS!$I5937,nEVAL,"EX")=0),0))))</f>
      </c>
      <c r="H5937">
        <f>IF(DATOS!$G5937&lt;&gt;"EX",0,--(COUNTIFS(nNIA,DATOS!$A5937,nCURSO,DATOS!$D5937,nESPEC,DATOS!$E5937,nASIG,DATOS!$I5937,nEVAL,"OR")=0))</f>
      </c>
      <c r="I5937">
        <f>IF(DATOS!$I5937="","",IFERROR(VLOOKUP(DATOS!$I5937,CONFIG_ASIGNATURAS!$B$2:$J$91,9,FALSE()),""))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IF(DATOS!$A5938="",0,IF(CONFIG_METADATA!$B$4&lt;&gt;"OR+EX",--(DATOS!$G5938=CONFIG_METADATA!$B$4),IF(DATOS!$G5938="EX",1,IF(DATOS!$G5938="OR",--(COUNTIFS(nNIA,DATOS!$A5938,nCURSO,DATOS!$D5938,nESPEC,DATOS!$E5938,nASIG,DATOS!$I5938,nEVAL,"EX")=0),0))))</f>
      </c>
      <c r="H5938">
        <f>IF(DATOS!$G5938&lt;&gt;"EX",0,--(COUNTIFS(nNIA,DATOS!$A5938,nCURSO,DATOS!$D5938,nESPEC,DATOS!$E5938,nASIG,DATOS!$I5938,nEVAL,"OR")=0))</f>
      </c>
      <c r="I5938">
        <f>IF(DATOS!$I5938="","",IFERROR(VLOOKUP(DATOS!$I5938,CONFIG_ASIGNATURAS!$B$2:$J$91,9,FALSE()),""))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IF(DATOS!$A5939="",0,IF(CONFIG_METADATA!$B$4&lt;&gt;"OR+EX",--(DATOS!$G5939=CONFIG_METADATA!$B$4),IF(DATOS!$G5939="EX",1,IF(DATOS!$G5939="OR",--(COUNTIFS(nNIA,DATOS!$A5939,nCURSO,DATOS!$D5939,nESPEC,DATOS!$E5939,nASIG,DATOS!$I5939,nEVAL,"EX")=0),0))))</f>
      </c>
      <c r="H5939">
        <f>IF(DATOS!$G5939&lt;&gt;"EX",0,--(COUNTIFS(nNIA,DATOS!$A5939,nCURSO,DATOS!$D5939,nESPEC,DATOS!$E5939,nASIG,DATOS!$I5939,nEVAL,"OR")=0))</f>
      </c>
      <c r="I5939">
        <f>IF(DATOS!$I5939="","",IFERROR(VLOOKUP(DATOS!$I5939,CONFIG_ASIGNATURAS!$B$2:$J$91,9,FALSE()),""))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IF(DATOS!$A5940="",0,IF(CONFIG_METADATA!$B$4&lt;&gt;"OR+EX",--(DATOS!$G5940=CONFIG_METADATA!$B$4),IF(DATOS!$G5940="EX",1,IF(DATOS!$G5940="OR",--(COUNTIFS(nNIA,DATOS!$A5940,nCURSO,DATOS!$D5940,nESPEC,DATOS!$E5940,nASIG,DATOS!$I5940,nEVAL,"EX")=0),0))))</f>
      </c>
      <c r="H5940">
        <f>IF(DATOS!$G5940&lt;&gt;"EX",0,--(COUNTIFS(nNIA,DATOS!$A5940,nCURSO,DATOS!$D5940,nESPEC,DATOS!$E5940,nASIG,DATOS!$I5940,nEVAL,"OR")=0))</f>
      </c>
      <c r="I5940">
        <f>IF(DATOS!$I5940="","",IFERROR(VLOOKUP(DATOS!$I5940,CONFIG_ASIGNATURAS!$B$2:$J$91,9,FALSE()),""))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IF(DATOS!$A5941="",0,IF(CONFIG_METADATA!$B$4&lt;&gt;"OR+EX",--(DATOS!$G5941=CONFIG_METADATA!$B$4),IF(DATOS!$G5941="EX",1,IF(DATOS!$G5941="OR",--(COUNTIFS(nNIA,DATOS!$A5941,nCURSO,DATOS!$D5941,nESPEC,DATOS!$E5941,nASIG,DATOS!$I5941,nEVAL,"EX")=0),0))))</f>
      </c>
      <c r="H5941">
        <f>IF(DATOS!$G5941&lt;&gt;"EX",0,--(COUNTIFS(nNIA,DATOS!$A5941,nCURSO,DATOS!$D5941,nESPEC,DATOS!$E5941,nASIG,DATOS!$I5941,nEVAL,"OR")=0))</f>
      </c>
      <c r="I5941">
        <f>IF(DATOS!$I5941="","",IFERROR(VLOOKUP(DATOS!$I5941,CONFIG_ASIGNATURAS!$B$2:$J$91,9,FALSE()),""))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IF(DATOS!$A5942="",0,IF(CONFIG_METADATA!$B$4&lt;&gt;"OR+EX",--(DATOS!$G5942=CONFIG_METADATA!$B$4),IF(DATOS!$G5942="EX",1,IF(DATOS!$G5942="OR",--(COUNTIFS(nNIA,DATOS!$A5942,nCURSO,DATOS!$D5942,nESPEC,DATOS!$E5942,nASIG,DATOS!$I5942,nEVAL,"EX")=0),0))))</f>
      </c>
      <c r="H5942">
        <f>IF(DATOS!$G5942&lt;&gt;"EX",0,--(COUNTIFS(nNIA,DATOS!$A5942,nCURSO,DATOS!$D5942,nESPEC,DATOS!$E5942,nASIG,DATOS!$I5942,nEVAL,"OR")=0))</f>
      </c>
      <c r="I5942">
        <f>IF(DATOS!$I5942="","",IFERROR(VLOOKUP(DATOS!$I5942,CONFIG_ASIGNATURAS!$B$2:$J$91,9,FALSE()),""))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IF(DATOS!$A5943="",0,IF(CONFIG_METADATA!$B$4&lt;&gt;"OR+EX",--(DATOS!$G5943=CONFIG_METADATA!$B$4),IF(DATOS!$G5943="EX",1,IF(DATOS!$G5943="OR",--(COUNTIFS(nNIA,DATOS!$A5943,nCURSO,DATOS!$D5943,nESPEC,DATOS!$E5943,nASIG,DATOS!$I5943,nEVAL,"EX")=0),0))))</f>
      </c>
      <c r="H5943">
        <f>IF(DATOS!$G5943&lt;&gt;"EX",0,--(COUNTIFS(nNIA,DATOS!$A5943,nCURSO,DATOS!$D5943,nESPEC,DATOS!$E5943,nASIG,DATOS!$I5943,nEVAL,"OR")=0))</f>
      </c>
      <c r="I5943">
        <f>IF(DATOS!$I5943="","",IFERROR(VLOOKUP(DATOS!$I5943,CONFIG_ASIGNATURAS!$B$2:$J$91,9,FALSE()),""))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IF(DATOS!$A5944="",0,IF(CONFIG_METADATA!$B$4&lt;&gt;"OR+EX",--(DATOS!$G5944=CONFIG_METADATA!$B$4),IF(DATOS!$G5944="EX",1,IF(DATOS!$G5944="OR",--(COUNTIFS(nNIA,DATOS!$A5944,nCURSO,DATOS!$D5944,nESPEC,DATOS!$E5944,nASIG,DATOS!$I5944,nEVAL,"EX")=0),0))))</f>
      </c>
      <c r="H5944">
        <f>IF(DATOS!$G5944&lt;&gt;"EX",0,--(COUNTIFS(nNIA,DATOS!$A5944,nCURSO,DATOS!$D5944,nESPEC,DATOS!$E5944,nASIG,DATOS!$I5944,nEVAL,"OR")=0))</f>
      </c>
      <c r="I5944">
        <f>IF(DATOS!$I5944="","",IFERROR(VLOOKUP(DATOS!$I5944,CONFIG_ASIGNATURAS!$B$2:$J$91,9,FALSE()),""))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IF(DATOS!$A5945="",0,IF(CONFIG_METADATA!$B$4&lt;&gt;"OR+EX",--(DATOS!$G5945=CONFIG_METADATA!$B$4),IF(DATOS!$G5945="EX",1,IF(DATOS!$G5945="OR",--(COUNTIFS(nNIA,DATOS!$A5945,nCURSO,DATOS!$D5945,nESPEC,DATOS!$E5945,nASIG,DATOS!$I5945,nEVAL,"EX")=0),0))))</f>
      </c>
      <c r="H5945">
        <f>IF(DATOS!$G5945&lt;&gt;"EX",0,--(COUNTIFS(nNIA,DATOS!$A5945,nCURSO,DATOS!$D5945,nESPEC,DATOS!$E5945,nASIG,DATOS!$I5945,nEVAL,"OR")=0))</f>
      </c>
      <c r="I5945">
        <f>IF(DATOS!$I5945="","",IFERROR(VLOOKUP(DATOS!$I5945,CONFIG_ASIGNATURAS!$B$2:$J$91,9,FALSE()),""))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IF(DATOS!$A5946="",0,IF(CONFIG_METADATA!$B$4&lt;&gt;"OR+EX",--(DATOS!$G5946=CONFIG_METADATA!$B$4),IF(DATOS!$G5946="EX",1,IF(DATOS!$G5946="OR",--(COUNTIFS(nNIA,DATOS!$A5946,nCURSO,DATOS!$D5946,nESPEC,DATOS!$E5946,nASIG,DATOS!$I5946,nEVAL,"EX")=0),0))))</f>
      </c>
      <c r="H5946">
        <f>IF(DATOS!$G5946&lt;&gt;"EX",0,--(COUNTIFS(nNIA,DATOS!$A5946,nCURSO,DATOS!$D5946,nESPEC,DATOS!$E5946,nASIG,DATOS!$I5946,nEVAL,"OR")=0))</f>
      </c>
      <c r="I5946">
        <f>IF(DATOS!$I5946="","",IFERROR(VLOOKUP(DATOS!$I5946,CONFIG_ASIGNATURAS!$B$2:$J$91,9,FALSE()),""))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IF(DATOS!$A5947="",0,IF(CONFIG_METADATA!$B$4&lt;&gt;"OR+EX",--(DATOS!$G5947=CONFIG_METADATA!$B$4),IF(DATOS!$G5947="EX",1,IF(DATOS!$G5947="OR",--(COUNTIFS(nNIA,DATOS!$A5947,nCURSO,DATOS!$D5947,nESPEC,DATOS!$E5947,nASIG,DATOS!$I5947,nEVAL,"EX")=0),0))))</f>
      </c>
      <c r="H5947">
        <f>IF(DATOS!$G5947&lt;&gt;"EX",0,--(COUNTIFS(nNIA,DATOS!$A5947,nCURSO,DATOS!$D5947,nESPEC,DATOS!$E5947,nASIG,DATOS!$I5947,nEVAL,"OR")=0))</f>
      </c>
      <c r="I5947">
        <f>IF(DATOS!$I5947="","",IFERROR(VLOOKUP(DATOS!$I5947,CONFIG_ASIGNATURAS!$B$2:$J$91,9,FALSE()),""))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IF(DATOS!$A5948="",0,IF(CONFIG_METADATA!$B$4&lt;&gt;"OR+EX",--(DATOS!$G5948=CONFIG_METADATA!$B$4),IF(DATOS!$G5948="EX",1,IF(DATOS!$G5948="OR",--(COUNTIFS(nNIA,DATOS!$A5948,nCURSO,DATOS!$D5948,nESPEC,DATOS!$E5948,nASIG,DATOS!$I5948,nEVAL,"EX")=0),0))))</f>
      </c>
      <c r="H5948">
        <f>IF(DATOS!$G5948&lt;&gt;"EX",0,--(COUNTIFS(nNIA,DATOS!$A5948,nCURSO,DATOS!$D5948,nESPEC,DATOS!$E5948,nASIG,DATOS!$I5948,nEVAL,"OR")=0))</f>
      </c>
      <c r="I5948">
        <f>IF(DATOS!$I5948="","",IFERROR(VLOOKUP(DATOS!$I5948,CONFIG_ASIGNATURAS!$B$2:$J$91,9,FALSE()),""))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IF(DATOS!$A5949="",0,IF(CONFIG_METADATA!$B$4&lt;&gt;"OR+EX",--(DATOS!$G5949=CONFIG_METADATA!$B$4),IF(DATOS!$G5949="EX",1,IF(DATOS!$G5949="OR",--(COUNTIFS(nNIA,DATOS!$A5949,nCURSO,DATOS!$D5949,nESPEC,DATOS!$E5949,nASIG,DATOS!$I5949,nEVAL,"EX")=0),0))))</f>
      </c>
      <c r="H5949">
        <f>IF(DATOS!$G5949&lt;&gt;"EX",0,--(COUNTIFS(nNIA,DATOS!$A5949,nCURSO,DATOS!$D5949,nESPEC,DATOS!$E5949,nASIG,DATOS!$I5949,nEVAL,"OR")=0))</f>
      </c>
      <c r="I5949">
        <f>IF(DATOS!$I5949="","",IFERROR(VLOOKUP(DATOS!$I5949,CONFIG_ASIGNATURAS!$B$2:$J$91,9,FALSE()),""))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IF(DATOS!$A5950="",0,IF(CONFIG_METADATA!$B$4&lt;&gt;"OR+EX",--(DATOS!$G5950=CONFIG_METADATA!$B$4),IF(DATOS!$G5950="EX",1,IF(DATOS!$G5950="OR",--(COUNTIFS(nNIA,DATOS!$A5950,nCURSO,DATOS!$D5950,nESPEC,DATOS!$E5950,nASIG,DATOS!$I5950,nEVAL,"EX")=0),0))))</f>
      </c>
      <c r="H5950">
        <f>IF(DATOS!$G5950&lt;&gt;"EX",0,--(COUNTIFS(nNIA,DATOS!$A5950,nCURSO,DATOS!$D5950,nESPEC,DATOS!$E5950,nASIG,DATOS!$I5950,nEVAL,"OR")=0))</f>
      </c>
      <c r="I5950">
        <f>IF(DATOS!$I5950="","",IFERROR(VLOOKUP(DATOS!$I5950,CONFIG_ASIGNATURAS!$B$2:$J$91,9,FALSE()),""))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IF(DATOS!$A5951="",0,IF(CONFIG_METADATA!$B$4&lt;&gt;"OR+EX",--(DATOS!$G5951=CONFIG_METADATA!$B$4),IF(DATOS!$G5951="EX",1,IF(DATOS!$G5951="OR",--(COUNTIFS(nNIA,DATOS!$A5951,nCURSO,DATOS!$D5951,nESPEC,DATOS!$E5951,nASIG,DATOS!$I5951,nEVAL,"EX")=0),0))))</f>
      </c>
      <c r="H5951">
        <f>IF(DATOS!$G5951&lt;&gt;"EX",0,--(COUNTIFS(nNIA,DATOS!$A5951,nCURSO,DATOS!$D5951,nESPEC,DATOS!$E5951,nASIG,DATOS!$I5951,nEVAL,"OR")=0))</f>
      </c>
      <c r="I5951">
        <f>IF(DATOS!$I5951="","",IFERROR(VLOOKUP(DATOS!$I5951,CONFIG_ASIGNATURAS!$B$2:$J$91,9,FALSE()),""))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IF(DATOS!$A5952="",0,IF(CONFIG_METADATA!$B$4&lt;&gt;"OR+EX",--(DATOS!$G5952=CONFIG_METADATA!$B$4),IF(DATOS!$G5952="EX",1,IF(DATOS!$G5952="OR",--(COUNTIFS(nNIA,DATOS!$A5952,nCURSO,DATOS!$D5952,nESPEC,DATOS!$E5952,nASIG,DATOS!$I5952,nEVAL,"EX")=0),0))))</f>
      </c>
      <c r="H5952">
        <f>IF(DATOS!$G5952&lt;&gt;"EX",0,--(COUNTIFS(nNIA,DATOS!$A5952,nCURSO,DATOS!$D5952,nESPEC,DATOS!$E5952,nASIG,DATOS!$I5952,nEVAL,"OR")=0))</f>
      </c>
      <c r="I5952">
        <f>IF(DATOS!$I5952="","",IFERROR(VLOOKUP(DATOS!$I5952,CONFIG_ASIGNATURAS!$B$2:$J$91,9,FALSE()),""))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IF(DATOS!$A5953="",0,IF(CONFIG_METADATA!$B$4&lt;&gt;"OR+EX",--(DATOS!$G5953=CONFIG_METADATA!$B$4),IF(DATOS!$G5953="EX",1,IF(DATOS!$G5953="OR",--(COUNTIFS(nNIA,DATOS!$A5953,nCURSO,DATOS!$D5953,nESPEC,DATOS!$E5953,nASIG,DATOS!$I5953,nEVAL,"EX")=0),0))))</f>
      </c>
      <c r="H5953">
        <f>IF(DATOS!$G5953&lt;&gt;"EX",0,--(COUNTIFS(nNIA,DATOS!$A5953,nCURSO,DATOS!$D5953,nESPEC,DATOS!$E5953,nASIG,DATOS!$I5953,nEVAL,"OR")=0))</f>
      </c>
      <c r="I5953">
        <f>IF(DATOS!$I5953="","",IFERROR(VLOOKUP(DATOS!$I5953,CONFIG_ASIGNATURAS!$B$2:$J$91,9,FALSE()),""))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IF(DATOS!$A5954="",0,IF(CONFIG_METADATA!$B$4&lt;&gt;"OR+EX",--(DATOS!$G5954=CONFIG_METADATA!$B$4),IF(DATOS!$G5954="EX",1,IF(DATOS!$G5954="OR",--(COUNTIFS(nNIA,DATOS!$A5954,nCURSO,DATOS!$D5954,nESPEC,DATOS!$E5954,nASIG,DATOS!$I5954,nEVAL,"EX")=0),0))))</f>
      </c>
      <c r="H5954">
        <f>IF(DATOS!$G5954&lt;&gt;"EX",0,--(COUNTIFS(nNIA,DATOS!$A5954,nCURSO,DATOS!$D5954,nESPEC,DATOS!$E5954,nASIG,DATOS!$I5954,nEVAL,"OR")=0))</f>
      </c>
      <c r="I5954">
        <f>IF(DATOS!$I5954="","",IFERROR(VLOOKUP(DATOS!$I5954,CONFIG_ASIGNATURAS!$B$2:$J$91,9,FALSE()),""))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IF(DATOS!$A5955="",0,IF(CONFIG_METADATA!$B$4&lt;&gt;"OR+EX",--(DATOS!$G5955=CONFIG_METADATA!$B$4),IF(DATOS!$G5955="EX",1,IF(DATOS!$G5955="OR",--(COUNTIFS(nNIA,DATOS!$A5955,nCURSO,DATOS!$D5955,nESPEC,DATOS!$E5955,nASIG,DATOS!$I5955,nEVAL,"EX")=0),0))))</f>
      </c>
      <c r="H5955">
        <f>IF(DATOS!$G5955&lt;&gt;"EX",0,--(COUNTIFS(nNIA,DATOS!$A5955,nCURSO,DATOS!$D5955,nESPEC,DATOS!$E5955,nASIG,DATOS!$I5955,nEVAL,"OR")=0))</f>
      </c>
      <c r="I5955">
        <f>IF(DATOS!$I5955="","",IFERROR(VLOOKUP(DATOS!$I5955,CONFIG_ASIGNATURAS!$B$2:$J$91,9,FALSE()),""))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IF(DATOS!$A5956="",0,IF(CONFIG_METADATA!$B$4&lt;&gt;"OR+EX",--(DATOS!$G5956=CONFIG_METADATA!$B$4),IF(DATOS!$G5956="EX",1,IF(DATOS!$G5956="OR",--(COUNTIFS(nNIA,DATOS!$A5956,nCURSO,DATOS!$D5956,nESPEC,DATOS!$E5956,nASIG,DATOS!$I5956,nEVAL,"EX")=0),0))))</f>
      </c>
      <c r="H5956">
        <f>IF(DATOS!$G5956&lt;&gt;"EX",0,--(COUNTIFS(nNIA,DATOS!$A5956,nCURSO,DATOS!$D5956,nESPEC,DATOS!$E5956,nASIG,DATOS!$I5956,nEVAL,"OR")=0))</f>
      </c>
      <c r="I5956">
        <f>IF(DATOS!$I5956="","",IFERROR(VLOOKUP(DATOS!$I5956,CONFIG_ASIGNATURAS!$B$2:$J$91,9,FALSE()),""))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IF(DATOS!$A5957="",0,IF(CONFIG_METADATA!$B$4&lt;&gt;"OR+EX",--(DATOS!$G5957=CONFIG_METADATA!$B$4),IF(DATOS!$G5957="EX",1,IF(DATOS!$G5957="OR",--(COUNTIFS(nNIA,DATOS!$A5957,nCURSO,DATOS!$D5957,nESPEC,DATOS!$E5957,nASIG,DATOS!$I5957,nEVAL,"EX")=0),0))))</f>
      </c>
      <c r="H5957">
        <f>IF(DATOS!$G5957&lt;&gt;"EX",0,--(COUNTIFS(nNIA,DATOS!$A5957,nCURSO,DATOS!$D5957,nESPEC,DATOS!$E5957,nASIG,DATOS!$I5957,nEVAL,"OR")=0))</f>
      </c>
      <c r="I5957">
        <f>IF(DATOS!$I5957="","",IFERROR(VLOOKUP(DATOS!$I5957,CONFIG_ASIGNATURAS!$B$2:$J$91,9,FALSE()),""))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IF(DATOS!$A5958="",0,IF(CONFIG_METADATA!$B$4&lt;&gt;"OR+EX",--(DATOS!$G5958=CONFIG_METADATA!$B$4),IF(DATOS!$G5958="EX",1,IF(DATOS!$G5958="OR",--(COUNTIFS(nNIA,DATOS!$A5958,nCURSO,DATOS!$D5958,nESPEC,DATOS!$E5958,nASIG,DATOS!$I5958,nEVAL,"EX")=0),0))))</f>
      </c>
      <c r="H5958">
        <f>IF(DATOS!$G5958&lt;&gt;"EX",0,--(COUNTIFS(nNIA,DATOS!$A5958,nCURSO,DATOS!$D5958,nESPEC,DATOS!$E5958,nASIG,DATOS!$I5958,nEVAL,"OR")=0))</f>
      </c>
      <c r="I5958">
        <f>IF(DATOS!$I5958="","",IFERROR(VLOOKUP(DATOS!$I5958,CONFIG_ASIGNATURAS!$B$2:$J$91,9,FALSE()),""))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IF(DATOS!$A5959="",0,IF(CONFIG_METADATA!$B$4&lt;&gt;"OR+EX",--(DATOS!$G5959=CONFIG_METADATA!$B$4),IF(DATOS!$G5959="EX",1,IF(DATOS!$G5959="OR",--(COUNTIFS(nNIA,DATOS!$A5959,nCURSO,DATOS!$D5959,nESPEC,DATOS!$E5959,nASIG,DATOS!$I5959,nEVAL,"EX")=0),0))))</f>
      </c>
      <c r="H5959">
        <f>IF(DATOS!$G5959&lt;&gt;"EX",0,--(COUNTIFS(nNIA,DATOS!$A5959,nCURSO,DATOS!$D5959,nESPEC,DATOS!$E5959,nASIG,DATOS!$I5959,nEVAL,"OR")=0))</f>
      </c>
      <c r="I5959">
        <f>IF(DATOS!$I5959="","",IFERROR(VLOOKUP(DATOS!$I5959,CONFIG_ASIGNATURAS!$B$2:$J$91,9,FALSE()),""))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IF(DATOS!$A5960="",0,IF(CONFIG_METADATA!$B$4&lt;&gt;"OR+EX",--(DATOS!$G5960=CONFIG_METADATA!$B$4),IF(DATOS!$G5960="EX",1,IF(DATOS!$G5960="OR",--(COUNTIFS(nNIA,DATOS!$A5960,nCURSO,DATOS!$D5960,nESPEC,DATOS!$E5960,nASIG,DATOS!$I5960,nEVAL,"EX")=0),0))))</f>
      </c>
      <c r="H5960">
        <f>IF(DATOS!$G5960&lt;&gt;"EX",0,--(COUNTIFS(nNIA,DATOS!$A5960,nCURSO,DATOS!$D5960,nESPEC,DATOS!$E5960,nASIG,DATOS!$I5960,nEVAL,"OR")=0))</f>
      </c>
      <c r="I5960">
        <f>IF(DATOS!$I5960="","",IFERROR(VLOOKUP(DATOS!$I5960,CONFIG_ASIGNATURAS!$B$2:$J$91,9,FALSE()),""))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IF(DATOS!$A5961="",0,IF(CONFIG_METADATA!$B$4&lt;&gt;"OR+EX",--(DATOS!$G5961=CONFIG_METADATA!$B$4),IF(DATOS!$G5961="EX",1,IF(DATOS!$G5961="OR",--(COUNTIFS(nNIA,DATOS!$A5961,nCURSO,DATOS!$D5961,nESPEC,DATOS!$E5961,nASIG,DATOS!$I5961,nEVAL,"EX")=0),0))))</f>
      </c>
      <c r="H5961">
        <f>IF(DATOS!$G5961&lt;&gt;"EX",0,--(COUNTIFS(nNIA,DATOS!$A5961,nCURSO,DATOS!$D5961,nESPEC,DATOS!$E5961,nASIG,DATOS!$I5961,nEVAL,"OR")=0))</f>
      </c>
      <c r="I5961">
        <f>IF(DATOS!$I5961="","",IFERROR(VLOOKUP(DATOS!$I5961,CONFIG_ASIGNATURAS!$B$2:$J$91,9,FALSE()),""))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IF(DATOS!$A5962="",0,IF(CONFIG_METADATA!$B$4&lt;&gt;"OR+EX",--(DATOS!$G5962=CONFIG_METADATA!$B$4),IF(DATOS!$G5962="EX",1,IF(DATOS!$G5962="OR",--(COUNTIFS(nNIA,DATOS!$A5962,nCURSO,DATOS!$D5962,nESPEC,DATOS!$E5962,nASIG,DATOS!$I5962,nEVAL,"EX")=0),0))))</f>
      </c>
      <c r="H5962">
        <f>IF(DATOS!$G5962&lt;&gt;"EX",0,--(COUNTIFS(nNIA,DATOS!$A5962,nCURSO,DATOS!$D5962,nESPEC,DATOS!$E5962,nASIG,DATOS!$I5962,nEVAL,"OR")=0))</f>
      </c>
      <c r="I5962">
        <f>IF(DATOS!$I5962="","",IFERROR(VLOOKUP(DATOS!$I5962,CONFIG_ASIGNATURAS!$B$2:$J$91,9,FALSE()),""))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IF(DATOS!$A5963="",0,IF(CONFIG_METADATA!$B$4&lt;&gt;"OR+EX",--(DATOS!$G5963=CONFIG_METADATA!$B$4),IF(DATOS!$G5963="EX",1,IF(DATOS!$G5963="OR",--(COUNTIFS(nNIA,DATOS!$A5963,nCURSO,DATOS!$D5963,nESPEC,DATOS!$E5963,nASIG,DATOS!$I5963,nEVAL,"EX")=0),0))))</f>
      </c>
      <c r="H5963">
        <f>IF(DATOS!$G5963&lt;&gt;"EX",0,--(COUNTIFS(nNIA,DATOS!$A5963,nCURSO,DATOS!$D5963,nESPEC,DATOS!$E5963,nASIG,DATOS!$I5963,nEVAL,"OR")=0))</f>
      </c>
      <c r="I5963">
        <f>IF(DATOS!$I5963="","",IFERROR(VLOOKUP(DATOS!$I5963,CONFIG_ASIGNATURAS!$B$2:$J$91,9,FALSE()),""))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IF(DATOS!$A5964="",0,IF(CONFIG_METADATA!$B$4&lt;&gt;"OR+EX",--(DATOS!$G5964=CONFIG_METADATA!$B$4),IF(DATOS!$G5964="EX",1,IF(DATOS!$G5964="OR",--(COUNTIFS(nNIA,DATOS!$A5964,nCURSO,DATOS!$D5964,nESPEC,DATOS!$E5964,nASIG,DATOS!$I5964,nEVAL,"EX")=0),0))))</f>
      </c>
      <c r="H5964">
        <f>IF(DATOS!$G5964&lt;&gt;"EX",0,--(COUNTIFS(nNIA,DATOS!$A5964,nCURSO,DATOS!$D5964,nESPEC,DATOS!$E5964,nASIG,DATOS!$I5964,nEVAL,"OR")=0))</f>
      </c>
      <c r="I5964">
        <f>IF(DATOS!$I5964="","",IFERROR(VLOOKUP(DATOS!$I5964,CONFIG_ASIGNATURAS!$B$2:$J$91,9,FALSE()),""))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IF(DATOS!$A5965="",0,IF(CONFIG_METADATA!$B$4&lt;&gt;"OR+EX",--(DATOS!$G5965=CONFIG_METADATA!$B$4),IF(DATOS!$G5965="EX",1,IF(DATOS!$G5965="OR",--(COUNTIFS(nNIA,DATOS!$A5965,nCURSO,DATOS!$D5965,nESPEC,DATOS!$E5965,nASIG,DATOS!$I5965,nEVAL,"EX")=0),0))))</f>
      </c>
      <c r="H5965">
        <f>IF(DATOS!$G5965&lt;&gt;"EX",0,--(COUNTIFS(nNIA,DATOS!$A5965,nCURSO,DATOS!$D5965,nESPEC,DATOS!$E5965,nASIG,DATOS!$I5965,nEVAL,"OR")=0))</f>
      </c>
      <c r="I5965">
        <f>IF(DATOS!$I5965="","",IFERROR(VLOOKUP(DATOS!$I5965,CONFIG_ASIGNATURAS!$B$2:$J$91,9,FALSE()),""))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IF(DATOS!$A5966="",0,IF(CONFIG_METADATA!$B$4&lt;&gt;"OR+EX",--(DATOS!$G5966=CONFIG_METADATA!$B$4),IF(DATOS!$G5966="EX",1,IF(DATOS!$G5966="OR",--(COUNTIFS(nNIA,DATOS!$A5966,nCURSO,DATOS!$D5966,nESPEC,DATOS!$E5966,nASIG,DATOS!$I5966,nEVAL,"EX")=0),0))))</f>
      </c>
      <c r="H5966">
        <f>IF(DATOS!$G5966&lt;&gt;"EX",0,--(COUNTIFS(nNIA,DATOS!$A5966,nCURSO,DATOS!$D5966,nESPEC,DATOS!$E5966,nASIG,DATOS!$I5966,nEVAL,"OR")=0))</f>
      </c>
      <c r="I5966">
        <f>IF(DATOS!$I5966="","",IFERROR(VLOOKUP(DATOS!$I5966,CONFIG_ASIGNATURAS!$B$2:$J$91,9,FALSE()),""))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IF(DATOS!$A5967="",0,IF(CONFIG_METADATA!$B$4&lt;&gt;"OR+EX",--(DATOS!$G5967=CONFIG_METADATA!$B$4),IF(DATOS!$G5967="EX",1,IF(DATOS!$G5967="OR",--(COUNTIFS(nNIA,DATOS!$A5967,nCURSO,DATOS!$D5967,nESPEC,DATOS!$E5967,nASIG,DATOS!$I5967,nEVAL,"EX")=0),0))))</f>
      </c>
      <c r="H5967">
        <f>IF(DATOS!$G5967&lt;&gt;"EX",0,--(COUNTIFS(nNIA,DATOS!$A5967,nCURSO,DATOS!$D5967,nESPEC,DATOS!$E5967,nASIG,DATOS!$I5967,nEVAL,"OR")=0))</f>
      </c>
      <c r="I5967">
        <f>IF(DATOS!$I5967="","",IFERROR(VLOOKUP(DATOS!$I5967,CONFIG_ASIGNATURAS!$B$2:$J$91,9,FALSE()),""))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IF(DATOS!$A5968="",0,IF(CONFIG_METADATA!$B$4&lt;&gt;"OR+EX",--(DATOS!$G5968=CONFIG_METADATA!$B$4),IF(DATOS!$G5968="EX",1,IF(DATOS!$G5968="OR",--(COUNTIFS(nNIA,DATOS!$A5968,nCURSO,DATOS!$D5968,nESPEC,DATOS!$E5968,nASIG,DATOS!$I5968,nEVAL,"EX")=0),0))))</f>
      </c>
      <c r="H5968">
        <f>IF(DATOS!$G5968&lt;&gt;"EX",0,--(COUNTIFS(nNIA,DATOS!$A5968,nCURSO,DATOS!$D5968,nESPEC,DATOS!$E5968,nASIG,DATOS!$I5968,nEVAL,"OR")=0))</f>
      </c>
      <c r="I5968">
        <f>IF(DATOS!$I5968="","",IFERROR(VLOOKUP(DATOS!$I5968,CONFIG_ASIGNATURAS!$B$2:$J$91,9,FALSE()),""))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IF(DATOS!$A5969="",0,IF(CONFIG_METADATA!$B$4&lt;&gt;"OR+EX",--(DATOS!$G5969=CONFIG_METADATA!$B$4),IF(DATOS!$G5969="EX",1,IF(DATOS!$G5969="OR",--(COUNTIFS(nNIA,DATOS!$A5969,nCURSO,DATOS!$D5969,nESPEC,DATOS!$E5969,nASIG,DATOS!$I5969,nEVAL,"EX")=0),0))))</f>
      </c>
      <c r="H5969">
        <f>IF(DATOS!$G5969&lt;&gt;"EX",0,--(COUNTIFS(nNIA,DATOS!$A5969,nCURSO,DATOS!$D5969,nESPEC,DATOS!$E5969,nASIG,DATOS!$I5969,nEVAL,"OR")=0))</f>
      </c>
      <c r="I5969">
        <f>IF(DATOS!$I5969="","",IFERROR(VLOOKUP(DATOS!$I5969,CONFIG_ASIGNATURAS!$B$2:$J$91,9,FALSE()),""))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IF(DATOS!$A5970="",0,IF(CONFIG_METADATA!$B$4&lt;&gt;"OR+EX",--(DATOS!$G5970=CONFIG_METADATA!$B$4),IF(DATOS!$G5970="EX",1,IF(DATOS!$G5970="OR",--(COUNTIFS(nNIA,DATOS!$A5970,nCURSO,DATOS!$D5970,nESPEC,DATOS!$E5970,nASIG,DATOS!$I5970,nEVAL,"EX")=0),0))))</f>
      </c>
      <c r="H5970">
        <f>IF(DATOS!$G5970&lt;&gt;"EX",0,--(COUNTIFS(nNIA,DATOS!$A5970,nCURSO,DATOS!$D5970,nESPEC,DATOS!$E5970,nASIG,DATOS!$I5970,nEVAL,"OR")=0))</f>
      </c>
      <c r="I5970">
        <f>IF(DATOS!$I5970="","",IFERROR(VLOOKUP(DATOS!$I5970,CONFIG_ASIGNATURAS!$B$2:$J$91,9,FALSE()),""))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IF(DATOS!$A5971="",0,IF(CONFIG_METADATA!$B$4&lt;&gt;"OR+EX",--(DATOS!$G5971=CONFIG_METADATA!$B$4),IF(DATOS!$G5971="EX",1,IF(DATOS!$G5971="OR",--(COUNTIFS(nNIA,DATOS!$A5971,nCURSO,DATOS!$D5971,nESPEC,DATOS!$E5971,nASIG,DATOS!$I5971,nEVAL,"EX")=0),0))))</f>
      </c>
      <c r="H5971">
        <f>IF(DATOS!$G5971&lt;&gt;"EX",0,--(COUNTIFS(nNIA,DATOS!$A5971,nCURSO,DATOS!$D5971,nESPEC,DATOS!$E5971,nASIG,DATOS!$I5971,nEVAL,"OR")=0))</f>
      </c>
      <c r="I5971">
        <f>IF(DATOS!$I5971="","",IFERROR(VLOOKUP(DATOS!$I5971,CONFIG_ASIGNATURAS!$B$2:$J$91,9,FALSE()),""))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IF(DATOS!$A5972="",0,IF(CONFIG_METADATA!$B$4&lt;&gt;"OR+EX",--(DATOS!$G5972=CONFIG_METADATA!$B$4),IF(DATOS!$G5972="EX",1,IF(DATOS!$G5972="OR",--(COUNTIFS(nNIA,DATOS!$A5972,nCURSO,DATOS!$D5972,nESPEC,DATOS!$E5972,nASIG,DATOS!$I5972,nEVAL,"EX")=0),0))))</f>
      </c>
      <c r="H5972">
        <f>IF(DATOS!$G5972&lt;&gt;"EX",0,--(COUNTIFS(nNIA,DATOS!$A5972,nCURSO,DATOS!$D5972,nESPEC,DATOS!$E5972,nASIG,DATOS!$I5972,nEVAL,"OR")=0))</f>
      </c>
      <c r="I5972">
        <f>IF(DATOS!$I5972="","",IFERROR(VLOOKUP(DATOS!$I5972,CONFIG_ASIGNATURAS!$B$2:$J$91,9,FALSE()),""))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IF(DATOS!$A5973="",0,IF(CONFIG_METADATA!$B$4&lt;&gt;"OR+EX",--(DATOS!$G5973=CONFIG_METADATA!$B$4),IF(DATOS!$G5973="EX",1,IF(DATOS!$G5973="OR",--(COUNTIFS(nNIA,DATOS!$A5973,nCURSO,DATOS!$D5973,nESPEC,DATOS!$E5973,nASIG,DATOS!$I5973,nEVAL,"EX")=0),0))))</f>
      </c>
      <c r="H5973">
        <f>IF(DATOS!$G5973&lt;&gt;"EX",0,--(COUNTIFS(nNIA,DATOS!$A5973,nCURSO,DATOS!$D5973,nESPEC,DATOS!$E5973,nASIG,DATOS!$I5973,nEVAL,"OR")=0))</f>
      </c>
      <c r="I5973">
        <f>IF(DATOS!$I5973="","",IFERROR(VLOOKUP(DATOS!$I5973,CONFIG_ASIGNATURAS!$B$2:$J$91,9,FALSE()),""))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IF(DATOS!$A5974="",0,IF(CONFIG_METADATA!$B$4&lt;&gt;"OR+EX",--(DATOS!$G5974=CONFIG_METADATA!$B$4),IF(DATOS!$G5974="EX",1,IF(DATOS!$G5974="OR",--(COUNTIFS(nNIA,DATOS!$A5974,nCURSO,DATOS!$D5974,nESPEC,DATOS!$E5974,nASIG,DATOS!$I5974,nEVAL,"EX")=0),0))))</f>
      </c>
      <c r="H5974">
        <f>IF(DATOS!$G5974&lt;&gt;"EX",0,--(COUNTIFS(nNIA,DATOS!$A5974,nCURSO,DATOS!$D5974,nESPEC,DATOS!$E5974,nASIG,DATOS!$I5974,nEVAL,"OR")=0))</f>
      </c>
      <c r="I5974">
        <f>IF(DATOS!$I5974="","",IFERROR(VLOOKUP(DATOS!$I5974,CONFIG_ASIGNATURAS!$B$2:$J$91,9,FALSE()),""))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IF(DATOS!$A5975="",0,IF(CONFIG_METADATA!$B$4&lt;&gt;"OR+EX",--(DATOS!$G5975=CONFIG_METADATA!$B$4),IF(DATOS!$G5975="EX",1,IF(DATOS!$G5975="OR",--(COUNTIFS(nNIA,DATOS!$A5975,nCURSO,DATOS!$D5975,nESPEC,DATOS!$E5975,nASIG,DATOS!$I5975,nEVAL,"EX")=0),0))))</f>
      </c>
      <c r="H5975">
        <f>IF(DATOS!$G5975&lt;&gt;"EX",0,--(COUNTIFS(nNIA,DATOS!$A5975,nCURSO,DATOS!$D5975,nESPEC,DATOS!$E5975,nASIG,DATOS!$I5975,nEVAL,"OR")=0))</f>
      </c>
      <c r="I5975">
        <f>IF(DATOS!$I5975="","",IFERROR(VLOOKUP(DATOS!$I5975,CONFIG_ASIGNATURAS!$B$2:$J$91,9,FALSE()),""))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IF(DATOS!$A5976="",0,IF(CONFIG_METADATA!$B$4&lt;&gt;"OR+EX",--(DATOS!$G5976=CONFIG_METADATA!$B$4),IF(DATOS!$G5976="EX",1,IF(DATOS!$G5976="OR",--(COUNTIFS(nNIA,DATOS!$A5976,nCURSO,DATOS!$D5976,nESPEC,DATOS!$E5976,nASIG,DATOS!$I5976,nEVAL,"EX")=0),0))))</f>
      </c>
      <c r="H5976">
        <f>IF(DATOS!$G5976&lt;&gt;"EX",0,--(COUNTIFS(nNIA,DATOS!$A5976,nCURSO,DATOS!$D5976,nESPEC,DATOS!$E5976,nASIG,DATOS!$I5976,nEVAL,"OR")=0))</f>
      </c>
      <c r="I5976">
        <f>IF(DATOS!$I5976="","",IFERROR(VLOOKUP(DATOS!$I5976,CONFIG_ASIGNATURAS!$B$2:$J$91,9,FALSE()),""))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IF(DATOS!$A5977="",0,IF(CONFIG_METADATA!$B$4&lt;&gt;"OR+EX",--(DATOS!$G5977=CONFIG_METADATA!$B$4),IF(DATOS!$G5977="EX",1,IF(DATOS!$G5977="OR",--(COUNTIFS(nNIA,DATOS!$A5977,nCURSO,DATOS!$D5977,nESPEC,DATOS!$E5977,nASIG,DATOS!$I5977,nEVAL,"EX")=0),0))))</f>
      </c>
      <c r="H5977">
        <f>IF(DATOS!$G5977&lt;&gt;"EX",0,--(COUNTIFS(nNIA,DATOS!$A5977,nCURSO,DATOS!$D5977,nESPEC,DATOS!$E5977,nASIG,DATOS!$I5977,nEVAL,"OR")=0))</f>
      </c>
      <c r="I5977">
        <f>IF(DATOS!$I5977="","",IFERROR(VLOOKUP(DATOS!$I5977,CONFIG_ASIGNATURAS!$B$2:$J$91,9,FALSE()),""))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IF(DATOS!$A5978="",0,IF(CONFIG_METADATA!$B$4&lt;&gt;"OR+EX",--(DATOS!$G5978=CONFIG_METADATA!$B$4),IF(DATOS!$G5978="EX",1,IF(DATOS!$G5978="OR",--(COUNTIFS(nNIA,DATOS!$A5978,nCURSO,DATOS!$D5978,nESPEC,DATOS!$E5978,nASIG,DATOS!$I5978,nEVAL,"EX")=0),0))))</f>
      </c>
      <c r="H5978">
        <f>IF(DATOS!$G5978&lt;&gt;"EX",0,--(COUNTIFS(nNIA,DATOS!$A5978,nCURSO,DATOS!$D5978,nESPEC,DATOS!$E5978,nASIG,DATOS!$I5978,nEVAL,"OR")=0))</f>
      </c>
      <c r="I5978">
        <f>IF(DATOS!$I5978="","",IFERROR(VLOOKUP(DATOS!$I5978,CONFIG_ASIGNATURAS!$B$2:$J$91,9,FALSE()),""))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IF(DATOS!$A5979="",0,IF(CONFIG_METADATA!$B$4&lt;&gt;"OR+EX",--(DATOS!$G5979=CONFIG_METADATA!$B$4),IF(DATOS!$G5979="EX",1,IF(DATOS!$G5979="OR",--(COUNTIFS(nNIA,DATOS!$A5979,nCURSO,DATOS!$D5979,nESPEC,DATOS!$E5979,nASIG,DATOS!$I5979,nEVAL,"EX")=0),0))))</f>
      </c>
      <c r="H5979">
        <f>IF(DATOS!$G5979&lt;&gt;"EX",0,--(COUNTIFS(nNIA,DATOS!$A5979,nCURSO,DATOS!$D5979,nESPEC,DATOS!$E5979,nASIG,DATOS!$I5979,nEVAL,"OR")=0))</f>
      </c>
      <c r="I5979">
        <f>IF(DATOS!$I5979="","",IFERROR(VLOOKUP(DATOS!$I5979,CONFIG_ASIGNATURAS!$B$2:$J$91,9,FALSE()),""))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IF(DATOS!$A5980="",0,IF(CONFIG_METADATA!$B$4&lt;&gt;"OR+EX",--(DATOS!$G5980=CONFIG_METADATA!$B$4),IF(DATOS!$G5980="EX",1,IF(DATOS!$G5980="OR",--(COUNTIFS(nNIA,DATOS!$A5980,nCURSO,DATOS!$D5980,nESPEC,DATOS!$E5980,nASIG,DATOS!$I5980,nEVAL,"EX")=0),0))))</f>
      </c>
      <c r="H5980">
        <f>IF(DATOS!$G5980&lt;&gt;"EX",0,--(COUNTIFS(nNIA,DATOS!$A5980,nCURSO,DATOS!$D5980,nESPEC,DATOS!$E5980,nASIG,DATOS!$I5980,nEVAL,"OR")=0))</f>
      </c>
      <c r="I5980">
        <f>IF(DATOS!$I5980="","",IFERROR(VLOOKUP(DATOS!$I5980,CONFIG_ASIGNATURAS!$B$2:$J$91,9,FALSE()),""))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IF(DATOS!$A5981="",0,IF(CONFIG_METADATA!$B$4&lt;&gt;"OR+EX",--(DATOS!$G5981=CONFIG_METADATA!$B$4),IF(DATOS!$G5981="EX",1,IF(DATOS!$G5981="OR",--(COUNTIFS(nNIA,DATOS!$A5981,nCURSO,DATOS!$D5981,nESPEC,DATOS!$E5981,nASIG,DATOS!$I5981,nEVAL,"EX")=0),0))))</f>
      </c>
      <c r="H5981">
        <f>IF(DATOS!$G5981&lt;&gt;"EX",0,--(COUNTIFS(nNIA,DATOS!$A5981,nCURSO,DATOS!$D5981,nESPEC,DATOS!$E5981,nASIG,DATOS!$I5981,nEVAL,"OR")=0))</f>
      </c>
      <c r="I5981">
        <f>IF(DATOS!$I5981="","",IFERROR(VLOOKUP(DATOS!$I5981,CONFIG_ASIGNATURAS!$B$2:$J$91,9,FALSE()),""))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IF(DATOS!$A5982="",0,IF(CONFIG_METADATA!$B$4&lt;&gt;"OR+EX",--(DATOS!$G5982=CONFIG_METADATA!$B$4),IF(DATOS!$G5982="EX",1,IF(DATOS!$G5982="OR",--(COUNTIFS(nNIA,DATOS!$A5982,nCURSO,DATOS!$D5982,nESPEC,DATOS!$E5982,nASIG,DATOS!$I5982,nEVAL,"EX")=0),0))))</f>
      </c>
      <c r="H5982">
        <f>IF(DATOS!$G5982&lt;&gt;"EX",0,--(COUNTIFS(nNIA,DATOS!$A5982,nCURSO,DATOS!$D5982,nESPEC,DATOS!$E5982,nASIG,DATOS!$I5982,nEVAL,"OR")=0))</f>
      </c>
      <c r="I5982">
        <f>IF(DATOS!$I5982="","",IFERROR(VLOOKUP(DATOS!$I5982,CONFIG_ASIGNATURAS!$B$2:$J$91,9,FALSE()),""))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IF(DATOS!$A5983="",0,IF(CONFIG_METADATA!$B$4&lt;&gt;"OR+EX",--(DATOS!$G5983=CONFIG_METADATA!$B$4),IF(DATOS!$G5983="EX",1,IF(DATOS!$G5983="OR",--(COUNTIFS(nNIA,DATOS!$A5983,nCURSO,DATOS!$D5983,nESPEC,DATOS!$E5983,nASIG,DATOS!$I5983,nEVAL,"EX")=0),0))))</f>
      </c>
      <c r="H5983">
        <f>IF(DATOS!$G5983&lt;&gt;"EX",0,--(COUNTIFS(nNIA,DATOS!$A5983,nCURSO,DATOS!$D5983,nESPEC,DATOS!$E5983,nASIG,DATOS!$I5983,nEVAL,"OR")=0))</f>
      </c>
      <c r="I5983">
        <f>IF(DATOS!$I5983="","",IFERROR(VLOOKUP(DATOS!$I5983,CONFIG_ASIGNATURAS!$B$2:$J$91,9,FALSE()),""))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IF(DATOS!$A5984="",0,IF(CONFIG_METADATA!$B$4&lt;&gt;"OR+EX",--(DATOS!$G5984=CONFIG_METADATA!$B$4),IF(DATOS!$G5984="EX",1,IF(DATOS!$G5984="OR",--(COUNTIFS(nNIA,DATOS!$A5984,nCURSO,DATOS!$D5984,nESPEC,DATOS!$E5984,nASIG,DATOS!$I5984,nEVAL,"EX")=0),0))))</f>
      </c>
      <c r="H5984">
        <f>IF(DATOS!$G5984&lt;&gt;"EX",0,--(COUNTIFS(nNIA,DATOS!$A5984,nCURSO,DATOS!$D5984,nESPEC,DATOS!$E5984,nASIG,DATOS!$I5984,nEVAL,"OR")=0))</f>
      </c>
      <c r="I5984">
        <f>IF(DATOS!$I5984="","",IFERROR(VLOOKUP(DATOS!$I5984,CONFIG_ASIGNATURAS!$B$2:$J$91,9,FALSE()),""))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IF(DATOS!$A5985="",0,IF(CONFIG_METADATA!$B$4&lt;&gt;"OR+EX",--(DATOS!$G5985=CONFIG_METADATA!$B$4),IF(DATOS!$G5985="EX",1,IF(DATOS!$G5985="OR",--(COUNTIFS(nNIA,DATOS!$A5985,nCURSO,DATOS!$D5985,nESPEC,DATOS!$E5985,nASIG,DATOS!$I5985,nEVAL,"EX")=0),0))))</f>
      </c>
      <c r="H5985">
        <f>IF(DATOS!$G5985&lt;&gt;"EX",0,--(COUNTIFS(nNIA,DATOS!$A5985,nCURSO,DATOS!$D5985,nESPEC,DATOS!$E5985,nASIG,DATOS!$I5985,nEVAL,"OR")=0))</f>
      </c>
      <c r="I5985">
        <f>IF(DATOS!$I5985="","",IFERROR(VLOOKUP(DATOS!$I5985,CONFIG_ASIGNATURAS!$B$2:$J$91,9,FALSE()),""))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IF(DATOS!$A5986="",0,IF(CONFIG_METADATA!$B$4&lt;&gt;"OR+EX",--(DATOS!$G5986=CONFIG_METADATA!$B$4),IF(DATOS!$G5986="EX",1,IF(DATOS!$G5986="OR",--(COUNTIFS(nNIA,DATOS!$A5986,nCURSO,DATOS!$D5986,nESPEC,DATOS!$E5986,nASIG,DATOS!$I5986,nEVAL,"EX")=0),0))))</f>
      </c>
      <c r="H5986">
        <f>IF(DATOS!$G5986&lt;&gt;"EX",0,--(COUNTIFS(nNIA,DATOS!$A5986,nCURSO,DATOS!$D5986,nESPEC,DATOS!$E5986,nASIG,DATOS!$I5986,nEVAL,"OR")=0))</f>
      </c>
      <c r="I5986">
        <f>IF(DATOS!$I5986="","",IFERROR(VLOOKUP(DATOS!$I5986,CONFIG_ASIGNATURAS!$B$2:$J$91,9,FALSE()),""))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IF(DATOS!$A5987="",0,IF(CONFIG_METADATA!$B$4&lt;&gt;"OR+EX",--(DATOS!$G5987=CONFIG_METADATA!$B$4),IF(DATOS!$G5987="EX",1,IF(DATOS!$G5987="OR",--(COUNTIFS(nNIA,DATOS!$A5987,nCURSO,DATOS!$D5987,nESPEC,DATOS!$E5987,nASIG,DATOS!$I5987,nEVAL,"EX")=0),0))))</f>
      </c>
      <c r="H5987">
        <f>IF(DATOS!$G5987&lt;&gt;"EX",0,--(COUNTIFS(nNIA,DATOS!$A5987,nCURSO,DATOS!$D5987,nESPEC,DATOS!$E5987,nASIG,DATOS!$I5987,nEVAL,"OR")=0))</f>
      </c>
      <c r="I5987">
        <f>IF(DATOS!$I5987="","",IFERROR(VLOOKUP(DATOS!$I5987,CONFIG_ASIGNATURAS!$B$2:$J$91,9,FALSE()),""))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IF(DATOS!$A5988="",0,IF(CONFIG_METADATA!$B$4&lt;&gt;"OR+EX",--(DATOS!$G5988=CONFIG_METADATA!$B$4),IF(DATOS!$G5988="EX",1,IF(DATOS!$G5988="OR",--(COUNTIFS(nNIA,DATOS!$A5988,nCURSO,DATOS!$D5988,nESPEC,DATOS!$E5988,nASIG,DATOS!$I5988,nEVAL,"EX")=0),0))))</f>
      </c>
      <c r="H5988">
        <f>IF(DATOS!$G5988&lt;&gt;"EX",0,--(COUNTIFS(nNIA,DATOS!$A5988,nCURSO,DATOS!$D5988,nESPEC,DATOS!$E5988,nASIG,DATOS!$I5988,nEVAL,"OR")=0))</f>
      </c>
      <c r="I5988">
        <f>IF(DATOS!$I5988="","",IFERROR(VLOOKUP(DATOS!$I5988,CONFIG_ASIGNATURAS!$B$2:$J$91,9,FALSE()),""))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IF(DATOS!$A5989="",0,IF(CONFIG_METADATA!$B$4&lt;&gt;"OR+EX",--(DATOS!$G5989=CONFIG_METADATA!$B$4),IF(DATOS!$G5989="EX",1,IF(DATOS!$G5989="OR",--(COUNTIFS(nNIA,DATOS!$A5989,nCURSO,DATOS!$D5989,nESPEC,DATOS!$E5989,nASIG,DATOS!$I5989,nEVAL,"EX")=0),0))))</f>
      </c>
      <c r="H5989">
        <f>IF(DATOS!$G5989&lt;&gt;"EX",0,--(COUNTIFS(nNIA,DATOS!$A5989,nCURSO,DATOS!$D5989,nESPEC,DATOS!$E5989,nASIG,DATOS!$I5989,nEVAL,"OR")=0))</f>
      </c>
      <c r="I5989">
        <f>IF(DATOS!$I5989="","",IFERROR(VLOOKUP(DATOS!$I5989,CONFIG_ASIGNATURAS!$B$2:$J$91,9,FALSE()),""))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IF(DATOS!$A5990="",0,IF(CONFIG_METADATA!$B$4&lt;&gt;"OR+EX",--(DATOS!$G5990=CONFIG_METADATA!$B$4),IF(DATOS!$G5990="EX",1,IF(DATOS!$G5990="OR",--(COUNTIFS(nNIA,DATOS!$A5990,nCURSO,DATOS!$D5990,nESPEC,DATOS!$E5990,nASIG,DATOS!$I5990,nEVAL,"EX")=0),0))))</f>
      </c>
      <c r="H5990">
        <f>IF(DATOS!$G5990&lt;&gt;"EX",0,--(COUNTIFS(nNIA,DATOS!$A5990,nCURSO,DATOS!$D5990,nESPEC,DATOS!$E5990,nASIG,DATOS!$I5990,nEVAL,"OR")=0))</f>
      </c>
      <c r="I5990">
        <f>IF(DATOS!$I5990="","",IFERROR(VLOOKUP(DATOS!$I5990,CONFIG_ASIGNATURAS!$B$2:$J$91,9,FALSE()),""))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IF(DATOS!$A5991="",0,IF(CONFIG_METADATA!$B$4&lt;&gt;"OR+EX",--(DATOS!$G5991=CONFIG_METADATA!$B$4),IF(DATOS!$G5991="EX",1,IF(DATOS!$G5991="OR",--(COUNTIFS(nNIA,DATOS!$A5991,nCURSO,DATOS!$D5991,nESPEC,DATOS!$E5991,nASIG,DATOS!$I5991,nEVAL,"EX")=0),0))))</f>
      </c>
      <c r="H5991">
        <f>IF(DATOS!$G5991&lt;&gt;"EX",0,--(COUNTIFS(nNIA,DATOS!$A5991,nCURSO,DATOS!$D5991,nESPEC,DATOS!$E5991,nASIG,DATOS!$I5991,nEVAL,"OR")=0))</f>
      </c>
      <c r="I5991">
        <f>IF(DATOS!$I5991="","",IFERROR(VLOOKUP(DATOS!$I5991,CONFIG_ASIGNATURAS!$B$2:$J$91,9,FALSE()),""))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IF(DATOS!$A5992="",0,IF(CONFIG_METADATA!$B$4&lt;&gt;"OR+EX",--(DATOS!$G5992=CONFIG_METADATA!$B$4),IF(DATOS!$G5992="EX",1,IF(DATOS!$G5992="OR",--(COUNTIFS(nNIA,DATOS!$A5992,nCURSO,DATOS!$D5992,nESPEC,DATOS!$E5992,nASIG,DATOS!$I5992,nEVAL,"EX")=0),0))))</f>
      </c>
      <c r="H5992">
        <f>IF(DATOS!$G5992&lt;&gt;"EX",0,--(COUNTIFS(nNIA,DATOS!$A5992,nCURSO,DATOS!$D5992,nESPEC,DATOS!$E5992,nASIG,DATOS!$I5992,nEVAL,"OR")=0))</f>
      </c>
      <c r="I5992">
        <f>IF(DATOS!$I5992="","",IFERROR(VLOOKUP(DATOS!$I5992,CONFIG_ASIGNATURAS!$B$2:$J$91,9,FALSE()),""))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IF(DATOS!$A5993="",0,IF(CONFIG_METADATA!$B$4&lt;&gt;"OR+EX",--(DATOS!$G5993=CONFIG_METADATA!$B$4),IF(DATOS!$G5993="EX",1,IF(DATOS!$G5993="OR",--(COUNTIFS(nNIA,DATOS!$A5993,nCURSO,DATOS!$D5993,nESPEC,DATOS!$E5993,nASIG,DATOS!$I5993,nEVAL,"EX")=0),0))))</f>
      </c>
      <c r="H5993">
        <f>IF(DATOS!$G5993&lt;&gt;"EX",0,--(COUNTIFS(nNIA,DATOS!$A5993,nCURSO,DATOS!$D5993,nESPEC,DATOS!$E5993,nASIG,DATOS!$I5993,nEVAL,"OR")=0))</f>
      </c>
      <c r="I5993">
        <f>IF(DATOS!$I5993="","",IFERROR(VLOOKUP(DATOS!$I5993,CONFIG_ASIGNATURAS!$B$2:$J$91,9,FALSE()),""))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IF(DATOS!$A5994="",0,IF(CONFIG_METADATA!$B$4&lt;&gt;"OR+EX",--(DATOS!$G5994=CONFIG_METADATA!$B$4),IF(DATOS!$G5994="EX",1,IF(DATOS!$G5994="OR",--(COUNTIFS(nNIA,DATOS!$A5994,nCURSO,DATOS!$D5994,nESPEC,DATOS!$E5994,nASIG,DATOS!$I5994,nEVAL,"EX")=0),0))))</f>
      </c>
      <c r="H5994">
        <f>IF(DATOS!$G5994&lt;&gt;"EX",0,--(COUNTIFS(nNIA,DATOS!$A5994,nCURSO,DATOS!$D5994,nESPEC,DATOS!$E5994,nASIG,DATOS!$I5994,nEVAL,"OR")=0))</f>
      </c>
      <c r="I5994">
        <f>IF(DATOS!$I5994="","",IFERROR(VLOOKUP(DATOS!$I5994,CONFIG_ASIGNATURAS!$B$2:$J$91,9,FALSE()),""))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IF(DATOS!$A5995="",0,IF(CONFIG_METADATA!$B$4&lt;&gt;"OR+EX",--(DATOS!$G5995=CONFIG_METADATA!$B$4),IF(DATOS!$G5995="EX",1,IF(DATOS!$G5995="OR",--(COUNTIFS(nNIA,DATOS!$A5995,nCURSO,DATOS!$D5995,nESPEC,DATOS!$E5995,nASIG,DATOS!$I5995,nEVAL,"EX")=0),0))))</f>
      </c>
      <c r="H5995">
        <f>IF(DATOS!$G5995&lt;&gt;"EX",0,--(COUNTIFS(nNIA,DATOS!$A5995,nCURSO,DATOS!$D5995,nESPEC,DATOS!$E5995,nASIG,DATOS!$I5995,nEVAL,"OR")=0))</f>
      </c>
      <c r="I5995">
        <f>IF(DATOS!$I5995="","",IFERROR(VLOOKUP(DATOS!$I5995,CONFIG_ASIGNATURAS!$B$2:$J$91,9,FALSE()),""))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IF(DATOS!$A5996="",0,IF(CONFIG_METADATA!$B$4&lt;&gt;"OR+EX",--(DATOS!$G5996=CONFIG_METADATA!$B$4),IF(DATOS!$G5996="EX",1,IF(DATOS!$G5996="OR",--(COUNTIFS(nNIA,DATOS!$A5996,nCURSO,DATOS!$D5996,nESPEC,DATOS!$E5996,nASIG,DATOS!$I5996,nEVAL,"EX")=0),0))))</f>
      </c>
      <c r="H5996">
        <f>IF(DATOS!$G5996&lt;&gt;"EX",0,--(COUNTIFS(nNIA,DATOS!$A5996,nCURSO,DATOS!$D5996,nESPEC,DATOS!$E5996,nASIG,DATOS!$I5996,nEVAL,"OR")=0))</f>
      </c>
      <c r="I5996">
        <f>IF(DATOS!$I5996="","",IFERROR(VLOOKUP(DATOS!$I5996,CONFIG_ASIGNATURAS!$B$2:$J$91,9,FALSE()),""))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IF(DATOS!$A5997="",0,IF(CONFIG_METADATA!$B$4&lt;&gt;"OR+EX",--(DATOS!$G5997=CONFIG_METADATA!$B$4),IF(DATOS!$G5997="EX",1,IF(DATOS!$G5997="OR",--(COUNTIFS(nNIA,DATOS!$A5997,nCURSO,DATOS!$D5997,nESPEC,DATOS!$E5997,nASIG,DATOS!$I5997,nEVAL,"EX")=0),0))))</f>
      </c>
      <c r="H5997">
        <f>IF(DATOS!$G5997&lt;&gt;"EX",0,--(COUNTIFS(nNIA,DATOS!$A5997,nCURSO,DATOS!$D5997,nESPEC,DATOS!$E5997,nASIG,DATOS!$I5997,nEVAL,"OR")=0))</f>
      </c>
      <c r="I5997">
        <f>IF(DATOS!$I5997="","",IFERROR(VLOOKUP(DATOS!$I5997,CONFIG_ASIGNATURAS!$B$2:$J$91,9,FALSE()),""))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IF(DATOS!$A5998="",0,IF(CONFIG_METADATA!$B$4&lt;&gt;"OR+EX",--(DATOS!$G5998=CONFIG_METADATA!$B$4),IF(DATOS!$G5998="EX",1,IF(DATOS!$G5998="OR",--(COUNTIFS(nNIA,DATOS!$A5998,nCURSO,DATOS!$D5998,nESPEC,DATOS!$E5998,nASIG,DATOS!$I5998,nEVAL,"EX")=0),0))))</f>
      </c>
      <c r="H5998">
        <f>IF(DATOS!$G5998&lt;&gt;"EX",0,--(COUNTIFS(nNIA,DATOS!$A5998,nCURSO,DATOS!$D5998,nESPEC,DATOS!$E5998,nASIG,DATOS!$I5998,nEVAL,"OR")=0))</f>
      </c>
      <c r="I5998">
        <f>IF(DATOS!$I5998="","",IFERROR(VLOOKUP(DATOS!$I5998,CONFIG_ASIGNATURAS!$B$2:$J$91,9,FALSE()),""))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IF(DATOS!$A5999="",0,IF(CONFIG_METADATA!$B$4&lt;&gt;"OR+EX",--(DATOS!$G5999=CONFIG_METADATA!$B$4),IF(DATOS!$G5999="EX",1,IF(DATOS!$G5999="OR",--(COUNTIFS(nNIA,DATOS!$A5999,nCURSO,DATOS!$D5999,nESPEC,DATOS!$E5999,nASIG,DATOS!$I5999,nEVAL,"EX")=0),0))))</f>
      </c>
      <c r="H5999">
        <f>IF(DATOS!$G5999&lt;&gt;"EX",0,--(COUNTIFS(nNIA,DATOS!$A5999,nCURSO,DATOS!$D5999,nESPEC,DATOS!$E5999,nASIG,DATOS!$I5999,nEVAL,"OR")=0))</f>
      </c>
      <c r="I5999">
        <f>IF(DATOS!$I5999="","",IFERROR(VLOOKUP(DATOS!$I5999,CONFIG_ASIGNATURAS!$B$2:$J$91,9,FALSE()),""))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IF(DATOS!$A6000="",0,IF(CONFIG_METADATA!$B$4&lt;&gt;"OR+EX",--(DATOS!$G6000=CONFIG_METADATA!$B$4),IF(DATOS!$G6000="EX",1,IF(DATOS!$G6000="OR",--(COUNTIFS(nNIA,DATOS!$A6000,nCURSO,DATOS!$D6000,nESPEC,DATOS!$E6000,nASIG,DATOS!$I6000,nEVAL,"EX")=0),0))))</f>
      </c>
      <c r="H6000">
        <f>IF(DATOS!$G6000&lt;&gt;"EX",0,--(COUNTIFS(nNIA,DATOS!$A6000,nCURSO,DATOS!$D6000,nESPEC,DATOS!$E6000,nASIG,DATOS!$I6000,nEVAL,"OR")=0))</f>
      </c>
      <c r="I6000">
        <f>IF(DATOS!$I6000="","",IFERROR(VLOOKUP(DATOS!$I6000,CONFIG_ASIGNATURAS!$B$2:$J$91,9,FALSE()),""))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IF(DATOS!$A6001="",0,IF(CONFIG_METADATA!$B$4&lt;&gt;"OR+EX",--(DATOS!$G6001=CONFIG_METADATA!$B$4),IF(DATOS!$G6001="EX",1,IF(DATOS!$G6001="OR",--(COUNTIFS(nNIA,DATOS!$A6001,nCURSO,DATOS!$D6001,nESPEC,DATOS!$E6001,nASIG,DATOS!$I6001,nEVAL,"EX")=0),0))))</f>
      </c>
      <c r="H6001">
        <f>IF(DATOS!$G6001&lt;&gt;"EX",0,--(COUNTIFS(nNIA,DATOS!$A6001,nCURSO,DATOS!$D6001,nESPEC,DATOS!$E6001,nASIG,DATOS!$I6001,nEVAL,"OR")=0))</f>
      </c>
      <c r="I6001">
        <f>IF(DATOS!$I6001="","",IFERROR(VLOOKUP(DATOS!$I6001,CONFIG_ASIGNATURAS!$B$2:$J$91,9,FALSE()),""))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IF(DATOS!$A6002="",0,IF(CONFIG_METADATA!$B$4&lt;&gt;"OR+EX",--(DATOS!$G6002=CONFIG_METADATA!$B$4),IF(DATOS!$G6002="EX",1,IF(DATOS!$G6002="OR",--(COUNTIFS(nNIA,DATOS!$A6002,nCURSO,DATOS!$D6002,nESPEC,DATOS!$E6002,nASIG,DATOS!$I6002,nEVAL,"EX")=0),0))))</f>
      </c>
      <c r="H6002">
        <f>IF(DATOS!$G6002&lt;&gt;"EX",0,--(COUNTIFS(nNIA,DATOS!$A6002,nCURSO,DATOS!$D6002,nESPEC,DATOS!$E6002,nASIG,DATOS!$I6002,nEVAL,"OR")=0))</f>
      </c>
      <c r="I6002">
        <f>IF(DATOS!$I6002="","",IFERROR(VLOOKUP(DATOS!$I6002,CONFIG_ASIGNATURAS!$B$2:$J$91,9,FALSE()),""))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IF(DATOS!$A6003="",0,IF(CONFIG_METADATA!$B$4&lt;&gt;"OR+EX",--(DATOS!$G6003=CONFIG_METADATA!$B$4),IF(DATOS!$G6003="EX",1,IF(DATOS!$G6003="OR",--(COUNTIFS(nNIA,DATOS!$A6003,nCURSO,DATOS!$D6003,nESPEC,DATOS!$E6003,nASIG,DATOS!$I6003,nEVAL,"EX")=0),0))))</f>
      </c>
      <c r="H6003">
        <f>IF(DATOS!$G6003&lt;&gt;"EX",0,--(COUNTIFS(nNIA,DATOS!$A6003,nCURSO,DATOS!$D6003,nESPEC,DATOS!$E6003,nASIG,DATOS!$I6003,nEVAL,"OR")=0))</f>
      </c>
      <c r="I6003">
        <f>IF(DATOS!$I6003="","",IFERROR(VLOOKUP(DATOS!$I6003,CONFIG_ASIGNATURAS!$B$2:$J$91,9,FALSE()),""))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IF(DATOS!$A6004="",0,IF(CONFIG_METADATA!$B$4&lt;&gt;"OR+EX",--(DATOS!$G6004=CONFIG_METADATA!$B$4),IF(DATOS!$G6004="EX",1,IF(DATOS!$G6004="OR",--(COUNTIFS(nNIA,DATOS!$A6004,nCURSO,DATOS!$D6004,nESPEC,DATOS!$E6004,nASIG,DATOS!$I6004,nEVAL,"EX")=0),0))))</f>
      </c>
      <c r="H6004">
        <f>IF(DATOS!$G6004&lt;&gt;"EX",0,--(COUNTIFS(nNIA,DATOS!$A6004,nCURSO,DATOS!$D6004,nESPEC,DATOS!$E6004,nASIG,DATOS!$I6004,nEVAL,"OR")=0))</f>
      </c>
      <c r="I6004">
        <f>IF(DATOS!$I6004="","",IFERROR(VLOOKUP(DATOS!$I6004,CONFIG_ASIGNATURAS!$B$2:$J$91,9,FALSE()),""))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IF(DATOS!$A6005="",0,IF(CONFIG_METADATA!$B$4&lt;&gt;"OR+EX",--(DATOS!$G6005=CONFIG_METADATA!$B$4),IF(DATOS!$G6005="EX",1,IF(DATOS!$G6005="OR",--(COUNTIFS(nNIA,DATOS!$A6005,nCURSO,DATOS!$D6005,nESPEC,DATOS!$E6005,nASIG,DATOS!$I6005,nEVAL,"EX")=0),0))))</f>
      </c>
      <c r="H6005">
        <f>IF(DATOS!$G6005&lt;&gt;"EX",0,--(COUNTIFS(nNIA,DATOS!$A6005,nCURSO,DATOS!$D6005,nESPEC,DATOS!$E6005,nASIG,DATOS!$I6005,nEVAL,"OR")=0))</f>
      </c>
      <c r="I6005">
        <f>IF(DATOS!$I6005="","",IFERROR(VLOOKUP(DATOS!$I6005,CONFIG_ASIGNATURAS!$B$2:$J$91,9,FALSE()),""))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IF(DATOS!$A6006="",0,IF(CONFIG_METADATA!$B$4&lt;&gt;"OR+EX",--(DATOS!$G6006=CONFIG_METADATA!$B$4),IF(DATOS!$G6006="EX",1,IF(DATOS!$G6006="OR",--(COUNTIFS(nNIA,DATOS!$A6006,nCURSO,DATOS!$D6006,nESPEC,DATOS!$E6006,nASIG,DATOS!$I6006,nEVAL,"EX")=0),0))))</f>
      </c>
      <c r="H6006">
        <f>IF(DATOS!$G6006&lt;&gt;"EX",0,--(COUNTIFS(nNIA,DATOS!$A6006,nCURSO,DATOS!$D6006,nESPEC,DATOS!$E6006,nASIG,DATOS!$I6006,nEVAL,"OR")=0))</f>
      </c>
      <c r="I6006">
        <f>IF(DATOS!$I6006="","",IFERROR(VLOOKUP(DATOS!$I6006,CONFIG_ASIGNATURAS!$B$2:$J$91,9,FALSE()),""))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IF(DATOS!$A6007="",0,IF(CONFIG_METADATA!$B$4&lt;&gt;"OR+EX",--(DATOS!$G6007=CONFIG_METADATA!$B$4),IF(DATOS!$G6007="EX",1,IF(DATOS!$G6007="OR",--(COUNTIFS(nNIA,DATOS!$A6007,nCURSO,DATOS!$D6007,nESPEC,DATOS!$E6007,nASIG,DATOS!$I6007,nEVAL,"EX")=0),0))))</f>
      </c>
      <c r="H6007">
        <f>IF(DATOS!$G6007&lt;&gt;"EX",0,--(COUNTIFS(nNIA,DATOS!$A6007,nCURSO,DATOS!$D6007,nESPEC,DATOS!$E6007,nASIG,DATOS!$I6007,nEVAL,"OR")=0))</f>
      </c>
      <c r="I6007">
        <f>IF(DATOS!$I6007="","",IFERROR(VLOOKUP(DATOS!$I6007,CONFIG_ASIGNATURAS!$B$2:$J$91,9,FALSE()),""))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IF(DATOS!$A6008="",0,IF(CONFIG_METADATA!$B$4&lt;&gt;"OR+EX",--(DATOS!$G6008=CONFIG_METADATA!$B$4),IF(DATOS!$G6008="EX",1,IF(DATOS!$G6008="OR",--(COUNTIFS(nNIA,DATOS!$A6008,nCURSO,DATOS!$D6008,nESPEC,DATOS!$E6008,nASIG,DATOS!$I6008,nEVAL,"EX")=0),0))))</f>
      </c>
      <c r="H6008">
        <f>IF(DATOS!$G6008&lt;&gt;"EX",0,--(COUNTIFS(nNIA,DATOS!$A6008,nCURSO,DATOS!$D6008,nESPEC,DATOS!$E6008,nASIG,DATOS!$I6008,nEVAL,"OR")=0))</f>
      </c>
      <c r="I6008">
        <f>IF(DATOS!$I6008="","",IFERROR(VLOOKUP(DATOS!$I6008,CONFIG_ASIGNATURAS!$B$2:$J$91,9,FALSE()),""))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IF(DATOS!$A6009="",0,IF(CONFIG_METADATA!$B$4&lt;&gt;"OR+EX",--(DATOS!$G6009=CONFIG_METADATA!$B$4),IF(DATOS!$G6009="EX",1,IF(DATOS!$G6009="OR",--(COUNTIFS(nNIA,DATOS!$A6009,nCURSO,DATOS!$D6009,nESPEC,DATOS!$E6009,nASIG,DATOS!$I6009,nEVAL,"EX")=0),0))))</f>
      </c>
      <c r="H6009">
        <f>IF(DATOS!$G6009&lt;&gt;"EX",0,--(COUNTIFS(nNIA,DATOS!$A6009,nCURSO,DATOS!$D6009,nESPEC,DATOS!$E6009,nASIG,DATOS!$I6009,nEVAL,"OR")=0))</f>
      </c>
      <c r="I6009">
        <f>IF(DATOS!$I6009="","",IFERROR(VLOOKUP(DATOS!$I6009,CONFIG_ASIGNATURAS!$B$2:$J$91,9,FALSE()),""))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IF(DATOS!$A6010="",0,IF(CONFIG_METADATA!$B$4&lt;&gt;"OR+EX",--(DATOS!$G6010=CONFIG_METADATA!$B$4),IF(DATOS!$G6010="EX",1,IF(DATOS!$G6010="OR",--(COUNTIFS(nNIA,DATOS!$A6010,nCURSO,DATOS!$D6010,nESPEC,DATOS!$E6010,nASIG,DATOS!$I6010,nEVAL,"EX")=0),0))))</f>
      </c>
      <c r="H6010">
        <f>IF(DATOS!$G6010&lt;&gt;"EX",0,--(COUNTIFS(nNIA,DATOS!$A6010,nCURSO,DATOS!$D6010,nESPEC,DATOS!$E6010,nASIG,DATOS!$I6010,nEVAL,"OR")=0))</f>
      </c>
      <c r="I6010">
        <f>IF(DATOS!$I6010="","",IFERROR(VLOOKUP(DATOS!$I6010,CONFIG_ASIGNATURAS!$B$2:$J$91,9,FALSE()),""))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IF(DATOS!$A6011="",0,IF(CONFIG_METADATA!$B$4&lt;&gt;"OR+EX",--(DATOS!$G6011=CONFIG_METADATA!$B$4),IF(DATOS!$G6011="EX",1,IF(DATOS!$G6011="OR",--(COUNTIFS(nNIA,DATOS!$A6011,nCURSO,DATOS!$D6011,nESPEC,DATOS!$E6011,nASIG,DATOS!$I6011,nEVAL,"EX")=0),0))))</f>
      </c>
      <c r="H6011">
        <f>IF(DATOS!$G6011&lt;&gt;"EX",0,--(COUNTIFS(nNIA,DATOS!$A6011,nCURSO,DATOS!$D6011,nESPEC,DATOS!$E6011,nASIG,DATOS!$I6011,nEVAL,"OR")=0))</f>
      </c>
      <c r="I6011">
        <f>IF(DATOS!$I6011="","",IFERROR(VLOOKUP(DATOS!$I6011,CONFIG_ASIGNATURAS!$B$2:$J$91,9,FALSE()),""))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IF(DATOS!$A6012="",0,IF(CONFIG_METADATA!$B$4&lt;&gt;"OR+EX",--(DATOS!$G6012=CONFIG_METADATA!$B$4),IF(DATOS!$G6012="EX",1,IF(DATOS!$G6012="OR",--(COUNTIFS(nNIA,DATOS!$A6012,nCURSO,DATOS!$D6012,nESPEC,DATOS!$E6012,nASIG,DATOS!$I6012,nEVAL,"EX")=0),0))))</f>
      </c>
      <c r="H6012">
        <f>IF(DATOS!$G6012&lt;&gt;"EX",0,--(COUNTIFS(nNIA,DATOS!$A6012,nCURSO,DATOS!$D6012,nESPEC,DATOS!$E6012,nASIG,DATOS!$I6012,nEVAL,"OR")=0))</f>
      </c>
      <c r="I6012">
        <f>IF(DATOS!$I6012="","",IFERROR(VLOOKUP(DATOS!$I6012,CONFIG_ASIGNATURAS!$B$2:$J$91,9,FALSE()),""))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IF(DATOS!$A6013="",0,IF(CONFIG_METADATA!$B$4&lt;&gt;"OR+EX",--(DATOS!$G6013=CONFIG_METADATA!$B$4),IF(DATOS!$G6013="EX",1,IF(DATOS!$G6013="OR",--(COUNTIFS(nNIA,DATOS!$A6013,nCURSO,DATOS!$D6013,nESPEC,DATOS!$E6013,nASIG,DATOS!$I6013,nEVAL,"EX")=0),0))))</f>
      </c>
      <c r="H6013">
        <f>IF(DATOS!$G6013&lt;&gt;"EX",0,--(COUNTIFS(nNIA,DATOS!$A6013,nCURSO,DATOS!$D6013,nESPEC,DATOS!$E6013,nASIG,DATOS!$I6013,nEVAL,"OR")=0))</f>
      </c>
      <c r="I6013">
        <f>IF(DATOS!$I6013="","",IFERROR(VLOOKUP(DATOS!$I6013,CONFIG_ASIGNATURAS!$B$2:$J$91,9,FALSE()),""))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IF(DATOS!$A6014="",0,IF(CONFIG_METADATA!$B$4&lt;&gt;"OR+EX",--(DATOS!$G6014=CONFIG_METADATA!$B$4),IF(DATOS!$G6014="EX",1,IF(DATOS!$G6014="OR",--(COUNTIFS(nNIA,DATOS!$A6014,nCURSO,DATOS!$D6014,nESPEC,DATOS!$E6014,nASIG,DATOS!$I6014,nEVAL,"EX")=0),0))))</f>
      </c>
      <c r="H6014">
        <f>IF(DATOS!$G6014&lt;&gt;"EX",0,--(COUNTIFS(nNIA,DATOS!$A6014,nCURSO,DATOS!$D6014,nESPEC,DATOS!$E6014,nASIG,DATOS!$I6014,nEVAL,"OR")=0))</f>
      </c>
      <c r="I6014">
        <f>IF(DATOS!$I6014="","",IFERROR(VLOOKUP(DATOS!$I6014,CONFIG_ASIGNATURAS!$B$2:$J$91,9,FALSE()),""))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IF(DATOS!$A6015="",0,IF(CONFIG_METADATA!$B$4&lt;&gt;"OR+EX",--(DATOS!$G6015=CONFIG_METADATA!$B$4),IF(DATOS!$G6015="EX",1,IF(DATOS!$G6015="OR",--(COUNTIFS(nNIA,DATOS!$A6015,nCURSO,DATOS!$D6015,nESPEC,DATOS!$E6015,nASIG,DATOS!$I6015,nEVAL,"EX")=0),0))))</f>
      </c>
      <c r="H6015">
        <f>IF(DATOS!$G6015&lt;&gt;"EX",0,--(COUNTIFS(nNIA,DATOS!$A6015,nCURSO,DATOS!$D6015,nESPEC,DATOS!$E6015,nASIG,DATOS!$I6015,nEVAL,"OR")=0))</f>
      </c>
      <c r="I6015">
        <f>IF(DATOS!$I6015="","",IFERROR(VLOOKUP(DATOS!$I6015,CONFIG_ASIGNATURAS!$B$2:$J$91,9,FALSE()),""))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IF(DATOS!$A6016="",0,IF(CONFIG_METADATA!$B$4&lt;&gt;"OR+EX",--(DATOS!$G6016=CONFIG_METADATA!$B$4),IF(DATOS!$G6016="EX",1,IF(DATOS!$G6016="OR",--(COUNTIFS(nNIA,DATOS!$A6016,nCURSO,DATOS!$D6016,nESPEC,DATOS!$E6016,nASIG,DATOS!$I6016,nEVAL,"EX")=0),0))))</f>
      </c>
      <c r="H6016">
        <f>IF(DATOS!$G6016&lt;&gt;"EX",0,--(COUNTIFS(nNIA,DATOS!$A6016,nCURSO,DATOS!$D6016,nESPEC,DATOS!$E6016,nASIG,DATOS!$I6016,nEVAL,"OR")=0))</f>
      </c>
      <c r="I6016">
        <f>IF(DATOS!$I6016="","",IFERROR(VLOOKUP(DATOS!$I6016,CONFIG_ASIGNATURAS!$B$2:$J$91,9,FALSE()),""))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IF(DATOS!$A6017="",0,IF(CONFIG_METADATA!$B$4&lt;&gt;"OR+EX",--(DATOS!$G6017=CONFIG_METADATA!$B$4),IF(DATOS!$G6017="EX",1,IF(DATOS!$G6017="OR",--(COUNTIFS(nNIA,DATOS!$A6017,nCURSO,DATOS!$D6017,nESPEC,DATOS!$E6017,nASIG,DATOS!$I6017,nEVAL,"EX")=0),0))))</f>
      </c>
      <c r="H6017">
        <f>IF(DATOS!$G6017&lt;&gt;"EX",0,--(COUNTIFS(nNIA,DATOS!$A6017,nCURSO,DATOS!$D6017,nESPEC,DATOS!$E6017,nASIG,DATOS!$I6017,nEVAL,"OR")=0))</f>
      </c>
      <c r="I6017">
        <f>IF(DATOS!$I6017="","",IFERROR(VLOOKUP(DATOS!$I6017,CONFIG_ASIGNATURAS!$B$2:$J$91,9,FALSE()),""))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IF(DATOS!$A6018="",0,IF(CONFIG_METADATA!$B$4&lt;&gt;"OR+EX",--(DATOS!$G6018=CONFIG_METADATA!$B$4),IF(DATOS!$G6018="EX",1,IF(DATOS!$G6018="OR",--(COUNTIFS(nNIA,DATOS!$A6018,nCURSO,DATOS!$D6018,nESPEC,DATOS!$E6018,nASIG,DATOS!$I6018,nEVAL,"EX")=0),0))))</f>
      </c>
      <c r="H6018">
        <f>IF(DATOS!$G6018&lt;&gt;"EX",0,--(COUNTIFS(nNIA,DATOS!$A6018,nCURSO,DATOS!$D6018,nESPEC,DATOS!$E6018,nASIG,DATOS!$I6018,nEVAL,"OR")=0))</f>
      </c>
      <c r="I6018">
        <f>IF(DATOS!$I6018="","",IFERROR(VLOOKUP(DATOS!$I6018,CONFIG_ASIGNATURAS!$B$2:$J$91,9,FALSE()),""))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IF(DATOS!$A6019="",0,IF(CONFIG_METADATA!$B$4&lt;&gt;"OR+EX",--(DATOS!$G6019=CONFIG_METADATA!$B$4),IF(DATOS!$G6019="EX",1,IF(DATOS!$G6019="OR",--(COUNTIFS(nNIA,DATOS!$A6019,nCURSO,DATOS!$D6019,nESPEC,DATOS!$E6019,nASIG,DATOS!$I6019,nEVAL,"EX")=0),0))))</f>
      </c>
      <c r="H6019">
        <f>IF(DATOS!$G6019&lt;&gt;"EX",0,--(COUNTIFS(nNIA,DATOS!$A6019,nCURSO,DATOS!$D6019,nESPEC,DATOS!$E6019,nASIG,DATOS!$I6019,nEVAL,"OR")=0))</f>
      </c>
      <c r="I6019">
        <f>IF(DATOS!$I6019="","",IFERROR(VLOOKUP(DATOS!$I6019,CONFIG_ASIGNATURAS!$B$2:$J$91,9,FALSE()),""))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IF(DATOS!$A6020="",0,IF(CONFIG_METADATA!$B$4&lt;&gt;"OR+EX",--(DATOS!$G6020=CONFIG_METADATA!$B$4),IF(DATOS!$G6020="EX",1,IF(DATOS!$G6020="OR",--(COUNTIFS(nNIA,DATOS!$A6020,nCURSO,DATOS!$D6020,nESPEC,DATOS!$E6020,nASIG,DATOS!$I6020,nEVAL,"EX")=0),0))))</f>
      </c>
      <c r="H6020">
        <f>IF(DATOS!$G6020&lt;&gt;"EX",0,--(COUNTIFS(nNIA,DATOS!$A6020,nCURSO,DATOS!$D6020,nESPEC,DATOS!$E6020,nASIG,DATOS!$I6020,nEVAL,"OR")=0))</f>
      </c>
      <c r="I6020">
        <f>IF(DATOS!$I6020="","",IFERROR(VLOOKUP(DATOS!$I6020,CONFIG_ASIGNATURAS!$B$2:$J$91,9,FALSE()),""))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IF(DATOS!$A6021="",0,IF(CONFIG_METADATA!$B$4&lt;&gt;"OR+EX",--(DATOS!$G6021=CONFIG_METADATA!$B$4),IF(DATOS!$G6021="EX",1,IF(DATOS!$G6021="OR",--(COUNTIFS(nNIA,DATOS!$A6021,nCURSO,DATOS!$D6021,nESPEC,DATOS!$E6021,nASIG,DATOS!$I6021,nEVAL,"EX")=0),0))))</f>
      </c>
      <c r="H6021">
        <f>IF(DATOS!$G6021&lt;&gt;"EX",0,--(COUNTIFS(nNIA,DATOS!$A6021,nCURSO,DATOS!$D6021,nESPEC,DATOS!$E6021,nASIG,DATOS!$I6021,nEVAL,"OR")=0))</f>
      </c>
      <c r="I6021">
        <f>IF(DATOS!$I6021="","",IFERROR(VLOOKUP(DATOS!$I6021,CONFIG_ASIGNATURAS!$B$2:$J$91,9,FALSE()),""))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IF(DATOS!$A6022="",0,IF(CONFIG_METADATA!$B$4&lt;&gt;"OR+EX",--(DATOS!$G6022=CONFIG_METADATA!$B$4),IF(DATOS!$G6022="EX",1,IF(DATOS!$G6022="OR",--(COUNTIFS(nNIA,DATOS!$A6022,nCURSO,DATOS!$D6022,nESPEC,DATOS!$E6022,nASIG,DATOS!$I6022,nEVAL,"EX")=0),0))))</f>
      </c>
      <c r="H6022">
        <f>IF(DATOS!$G6022&lt;&gt;"EX",0,--(COUNTIFS(nNIA,DATOS!$A6022,nCURSO,DATOS!$D6022,nESPEC,DATOS!$E6022,nASIG,DATOS!$I6022,nEVAL,"OR")=0))</f>
      </c>
      <c r="I6022">
        <f>IF(DATOS!$I6022="","",IFERROR(VLOOKUP(DATOS!$I6022,CONFIG_ASIGNATURAS!$B$2:$J$91,9,FALSE()),""))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IF(DATOS!$A6023="",0,IF(CONFIG_METADATA!$B$4&lt;&gt;"OR+EX",--(DATOS!$G6023=CONFIG_METADATA!$B$4),IF(DATOS!$G6023="EX",1,IF(DATOS!$G6023="OR",--(COUNTIFS(nNIA,DATOS!$A6023,nCURSO,DATOS!$D6023,nESPEC,DATOS!$E6023,nASIG,DATOS!$I6023,nEVAL,"EX")=0),0))))</f>
      </c>
      <c r="H6023">
        <f>IF(DATOS!$G6023&lt;&gt;"EX",0,--(COUNTIFS(nNIA,DATOS!$A6023,nCURSO,DATOS!$D6023,nESPEC,DATOS!$E6023,nASIG,DATOS!$I6023,nEVAL,"OR")=0))</f>
      </c>
      <c r="I6023">
        <f>IF(DATOS!$I6023="","",IFERROR(VLOOKUP(DATOS!$I6023,CONFIG_ASIGNATURAS!$B$2:$J$91,9,FALSE()),""))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IF(DATOS!$A6024="",0,IF(CONFIG_METADATA!$B$4&lt;&gt;"OR+EX",--(DATOS!$G6024=CONFIG_METADATA!$B$4),IF(DATOS!$G6024="EX",1,IF(DATOS!$G6024="OR",--(COUNTIFS(nNIA,DATOS!$A6024,nCURSO,DATOS!$D6024,nESPEC,DATOS!$E6024,nASIG,DATOS!$I6024,nEVAL,"EX")=0),0))))</f>
      </c>
      <c r="H6024">
        <f>IF(DATOS!$G6024&lt;&gt;"EX",0,--(COUNTIFS(nNIA,DATOS!$A6024,nCURSO,DATOS!$D6024,nESPEC,DATOS!$E6024,nASIG,DATOS!$I6024,nEVAL,"OR")=0))</f>
      </c>
      <c r="I6024">
        <f>IF(DATOS!$I6024="","",IFERROR(VLOOKUP(DATOS!$I6024,CONFIG_ASIGNATURAS!$B$2:$J$91,9,FALSE()),""))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IF(DATOS!$A6025="",0,IF(CONFIG_METADATA!$B$4&lt;&gt;"OR+EX",--(DATOS!$G6025=CONFIG_METADATA!$B$4),IF(DATOS!$G6025="EX",1,IF(DATOS!$G6025="OR",--(COUNTIFS(nNIA,DATOS!$A6025,nCURSO,DATOS!$D6025,nESPEC,DATOS!$E6025,nASIG,DATOS!$I6025,nEVAL,"EX")=0),0))))</f>
      </c>
      <c r="H6025">
        <f>IF(DATOS!$G6025&lt;&gt;"EX",0,--(COUNTIFS(nNIA,DATOS!$A6025,nCURSO,DATOS!$D6025,nESPEC,DATOS!$E6025,nASIG,DATOS!$I6025,nEVAL,"OR")=0))</f>
      </c>
      <c r="I6025">
        <f>IF(DATOS!$I6025="","",IFERROR(VLOOKUP(DATOS!$I6025,CONFIG_ASIGNATURAS!$B$2:$J$91,9,FALSE()),""))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IF(DATOS!$A6026="",0,IF(CONFIG_METADATA!$B$4&lt;&gt;"OR+EX",--(DATOS!$G6026=CONFIG_METADATA!$B$4),IF(DATOS!$G6026="EX",1,IF(DATOS!$G6026="OR",--(COUNTIFS(nNIA,DATOS!$A6026,nCURSO,DATOS!$D6026,nESPEC,DATOS!$E6026,nASIG,DATOS!$I6026,nEVAL,"EX")=0),0))))</f>
      </c>
      <c r="H6026">
        <f>IF(DATOS!$G6026&lt;&gt;"EX",0,--(COUNTIFS(nNIA,DATOS!$A6026,nCURSO,DATOS!$D6026,nESPEC,DATOS!$E6026,nASIG,DATOS!$I6026,nEVAL,"OR")=0))</f>
      </c>
      <c r="I6026">
        <f>IF(DATOS!$I6026="","",IFERROR(VLOOKUP(DATOS!$I6026,CONFIG_ASIGNATURAS!$B$2:$J$91,9,FALSE()),""))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IF(DATOS!$A6027="",0,IF(CONFIG_METADATA!$B$4&lt;&gt;"OR+EX",--(DATOS!$G6027=CONFIG_METADATA!$B$4),IF(DATOS!$G6027="EX",1,IF(DATOS!$G6027="OR",--(COUNTIFS(nNIA,DATOS!$A6027,nCURSO,DATOS!$D6027,nESPEC,DATOS!$E6027,nASIG,DATOS!$I6027,nEVAL,"EX")=0),0))))</f>
      </c>
      <c r="H6027">
        <f>IF(DATOS!$G6027&lt;&gt;"EX",0,--(COUNTIFS(nNIA,DATOS!$A6027,nCURSO,DATOS!$D6027,nESPEC,DATOS!$E6027,nASIG,DATOS!$I6027,nEVAL,"OR")=0))</f>
      </c>
      <c r="I6027">
        <f>IF(DATOS!$I6027="","",IFERROR(VLOOKUP(DATOS!$I6027,CONFIG_ASIGNATURAS!$B$2:$J$91,9,FALSE()),""))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IF(DATOS!$A6028="",0,IF(CONFIG_METADATA!$B$4&lt;&gt;"OR+EX",--(DATOS!$G6028=CONFIG_METADATA!$B$4),IF(DATOS!$G6028="EX",1,IF(DATOS!$G6028="OR",--(COUNTIFS(nNIA,DATOS!$A6028,nCURSO,DATOS!$D6028,nESPEC,DATOS!$E6028,nASIG,DATOS!$I6028,nEVAL,"EX")=0),0))))</f>
      </c>
      <c r="H6028">
        <f>IF(DATOS!$G6028&lt;&gt;"EX",0,--(COUNTIFS(nNIA,DATOS!$A6028,nCURSO,DATOS!$D6028,nESPEC,DATOS!$E6028,nASIG,DATOS!$I6028,nEVAL,"OR")=0))</f>
      </c>
      <c r="I6028">
        <f>IF(DATOS!$I6028="","",IFERROR(VLOOKUP(DATOS!$I6028,CONFIG_ASIGNATURAS!$B$2:$J$91,9,FALSE()),""))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IF(DATOS!$A6029="",0,IF(CONFIG_METADATA!$B$4&lt;&gt;"OR+EX",--(DATOS!$G6029=CONFIG_METADATA!$B$4),IF(DATOS!$G6029="EX",1,IF(DATOS!$G6029="OR",--(COUNTIFS(nNIA,DATOS!$A6029,nCURSO,DATOS!$D6029,nESPEC,DATOS!$E6029,nASIG,DATOS!$I6029,nEVAL,"EX")=0),0))))</f>
      </c>
      <c r="H6029">
        <f>IF(DATOS!$G6029&lt;&gt;"EX",0,--(COUNTIFS(nNIA,DATOS!$A6029,nCURSO,DATOS!$D6029,nESPEC,DATOS!$E6029,nASIG,DATOS!$I6029,nEVAL,"OR")=0))</f>
      </c>
      <c r="I6029">
        <f>IF(DATOS!$I6029="","",IFERROR(VLOOKUP(DATOS!$I6029,CONFIG_ASIGNATURAS!$B$2:$J$91,9,FALSE()),""))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IF(DATOS!$A6030="",0,IF(CONFIG_METADATA!$B$4&lt;&gt;"OR+EX",--(DATOS!$G6030=CONFIG_METADATA!$B$4),IF(DATOS!$G6030="EX",1,IF(DATOS!$G6030="OR",--(COUNTIFS(nNIA,DATOS!$A6030,nCURSO,DATOS!$D6030,nESPEC,DATOS!$E6030,nASIG,DATOS!$I6030,nEVAL,"EX")=0),0))))</f>
      </c>
      <c r="H6030">
        <f>IF(DATOS!$G6030&lt;&gt;"EX",0,--(COUNTIFS(nNIA,DATOS!$A6030,nCURSO,DATOS!$D6030,nESPEC,DATOS!$E6030,nASIG,DATOS!$I6030,nEVAL,"OR")=0))</f>
      </c>
      <c r="I6030">
        <f>IF(DATOS!$I6030="","",IFERROR(VLOOKUP(DATOS!$I6030,CONFIG_ASIGNATURAS!$B$2:$J$91,9,FALSE()),""))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IF(DATOS!$A6031="",0,IF(CONFIG_METADATA!$B$4&lt;&gt;"OR+EX",--(DATOS!$G6031=CONFIG_METADATA!$B$4),IF(DATOS!$G6031="EX",1,IF(DATOS!$G6031="OR",--(COUNTIFS(nNIA,DATOS!$A6031,nCURSO,DATOS!$D6031,nESPEC,DATOS!$E6031,nASIG,DATOS!$I6031,nEVAL,"EX")=0),0))))</f>
      </c>
      <c r="H6031">
        <f>IF(DATOS!$G6031&lt;&gt;"EX",0,--(COUNTIFS(nNIA,DATOS!$A6031,nCURSO,DATOS!$D6031,nESPEC,DATOS!$E6031,nASIG,DATOS!$I6031,nEVAL,"OR")=0))</f>
      </c>
      <c r="I6031">
        <f>IF(DATOS!$I6031="","",IFERROR(VLOOKUP(DATOS!$I6031,CONFIG_ASIGNATURAS!$B$2:$J$91,9,FALSE()),""))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IF(DATOS!$A6032="",0,IF(CONFIG_METADATA!$B$4&lt;&gt;"OR+EX",--(DATOS!$G6032=CONFIG_METADATA!$B$4),IF(DATOS!$G6032="EX",1,IF(DATOS!$G6032="OR",--(COUNTIFS(nNIA,DATOS!$A6032,nCURSO,DATOS!$D6032,nESPEC,DATOS!$E6032,nASIG,DATOS!$I6032,nEVAL,"EX")=0),0))))</f>
      </c>
      <c r="H6032">
        <f>IF(DATOS!$G6032&lt;&gt;"EX",0,--(COUNTIFS(nNIA,DATOS!$A6032,nCURSO,DATOS!$D6032,nESPEC,DATOS!$E6032,nASIG,DATOS!$I6032,nEVAL,"OR")=0))</f>
      </c>
      <c r="I6032">
        <f>IF(DATOS!$I6032="","",IFERROR(VLOOKUP(DATOS!$I6032,CONFIG_ASIGNATURAS!$B$2:$J$91,9,FALSE()),""))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IF(DATOS!$A6033="",0,IF(CONFIG_METADATA!$B$4&lt;&gt;"OR+EX",--(DATOS!$G6033=CONFIG_METADATA!$B$4),IF(DATOS!$G6033="EX",1,IF(DATOS!$G6033="OR",--(COUNTIFS(nNIA,DATOS!$A6033,nCURSO,DATOS!$D6033,nESPEC,DATOS!$E6033,nASIG,DATOS!$I6033,nEVAL,"EX")=0),0))))</f>
      </c>
      <c r="H6033">
        <f>IF(DATOS!$G6033&lt;&gt;"EX",0,--(COUNTIFS(nNIA,DATOS!$A6033,nCURSO,DATOS!$D6033,nESPEC,DATOS!$E6033,nASIG,DATOS!$I6033,nEVAL,"OR")=0))</f>
      </c>
      <c r="I6033">
        <f>IF(DATOS!$I6033="","",IFERROR(VLOOKUP(DATOS!$I6033,CONFIG_ASIGNATURAS!$B$2:$J$91,9,FALSE()),""))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IF(DATOS!$A6034="",0,IF(CONFIG_METADATA!$B$4&lt;&gt;"OR+EX",--(DATOS!$G6034=CONFIG_METADATA!$B$4),IF(DATOS!$G6034="EX",1,IF(DATOS!$G6034="OR",--(COUNTIFS(nNIA,DATOS!$A6034,nCURSO,DATOS!$D6034,nESPEC,DATOS!$E6034,nASIG,DATOS!$I6034,nEVAL,"EX")=0),0))))</f>
      </c>
      <c r="H6034">
        <f>IF(DATOS!$G6034&lt;&gt;"EX",0,--(COUNTIFS(nNIA,DATOS!$A6034,nCURSO,DATOS!$D6034,nESPEC,DATOS!$E6034,nASIG,DATOS!$I6034,nEVAL,"OR")=0))</f>
      </c>
      <c r="I6034">
        <f>IF(DATOS!$I6034="","",IFERROR(VLOOKUP(DATOS!$I6034,CONFIG_ASIGNATURAS!$B$2:$J$91,9,FALSE()),""))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IF(DATOS!$A6035="",0,IF(CONFIG_METADATA!$B$4&lt;&gt;"OR+EX",--(DATOS!$G6035=CONFIG_METADATA!$B$4),IF(DATOS!$G6035="EX",1,IF(DATOS!$G6035="OR",--(COUNTIFS(nNIA,DATOS!$A6035,nCURSO,DATOS!$D6035,nESPEC,DATOS!$E6035,nASIG,DATOS!$I6035,nEVAL,"EX")=0),0))))</f>
      </c>
      <c r="H6035">
        <f>IF(DATOS!$G6035&lt;&gt;"EX",0,--(COUNTIFS(nNIA,DATOS!$A6035,nCURSO,DATOS!$D6035,nESPEC,DATOS!$E6035,nASIG,DATOS!$I6035,nEVAL,"OR")=0))</f>
      </c>
      <c r="I6035">
        <f>IF(DATOS!$I6035="","",IFERROR(VLOOKUP(DATOS!$I6035,CONFIG_ASIGNATURAS!$B$2:$J$91,9,FALSE()),""))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IF(DATOS!$A6036="",0,IF(CONFIG_METADATA!$B$4&lt;&gt;"OR+EX",--(DATOS!$G6036=CONFIG_METADATA!$B$4),IF(DATOS!$G6036="EX",1,IF(DATOS!$G6036="OR",--(COUNTIFS(nNIA,DATOS!$A6036,nCURSO,DATOS!$D6036,nESPEC,DATOS!$E6036,nASIG,DATOS!$I6036,nEVAL,"EX")=0),0))))</f>
      </c>
      <c r="H6036">
        <f>IF(DATOS!$G6036&lt;&gt;"EX",0,--(COUNTIFS(nNIA,DATOS!$A6036,nCURSO,DATOS!$D6036,nESPEC,DATOS!$E6036,nASIG,DATOS!$I6036,nEVAL,"OR")=0))</f>
      </c>
      <c r="I6036">
        <f>IF(DATOS!$I6036="","",IFERROR(VLOOKUP(DATOS!$I6036,CONFIG_ASIGNATURAS!$B$2:$J$91,9,FALSE()),""))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IF(DATOS!$A6037="",0,IF(CONFIG_METADATA!$B$4&lt;&gt;"OR+EX",--(DATOS!$G6037=CONFIG_METADATA!$B$4),IF(DATOS!$G6037="EX",1,IF(DATOS!$G6037="OR",--(COUNTIFS(nNIA,DATOS!$A6037,nCURSO,DATOS!$D6037,nESPEC,DATOS!$E6037,nASIG,DATOS!$I6037,nEVAL,"EX")=0),0))))</f>
      </c>
      <c r="H6037">
        <f>IF(DATOS!$G6037&lt;&gt;"EX",0,--(COUNTIFS(nNIA,DATOS!$A6037,nCURSO,DATOS!$D6037,nESPEC,DATOS!$E6037,nASIG,DATOS!$I6037,nEVAL,"OR")=0))</f>
      </c>
      <c r="I6037">
        <f>IF(DATOS!$I6037="","",IFERROR(VLOOKUP(DATOS!$I6037,CONFIG_ASIGNATURAS!$B$2:$J$91,9,FALSE()),""))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IF(DATOS!$A6038="",0,IF(CONFIG_METADATA!$B$4&lt;&gt;"OR+EX",--(DATOS!$G6038=CONFIG_METADATA!$B$4),IF(DATOS!$G6038="EX",1,IF(DATOS!$G6038="OR",--(COUNTIFS(nNIA,DATOS!$A6038,nCURSO,DATOS!$D6038,nESPEC,DATOS!$E6038,nASIG,DATOS!$I6038,nEVAL,"EX")=0),0))))</f>
      </c>
      <c r="H6038">
        <f>IF(DATOS!$G6038&lt;&gt;"EX",0,--(COUNTIFS(nNIA,DATOS!$A6038,nCURSO,DATOS!$D6038,nESPEC,DATOS!$E6038,nASIG,DATOS!$I6038,nEVAL,"OR")=0))</f>
      </c>
      <c r="I6038">
        <f>IF(DATOS!$I6038="","",IFERROR(VLOOKUP(DATOS!$I6038,CONFIG_ASIGNATURAS!$B$2:$J$91,9,FALSE()),""))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IF(DATOS!$A6039="",0,IF(CONFIG_METADATA!$B$4&lt;&gt;"OR+EX",--(DATOS!$G6039=CONFIG_METADATA!$B$4),IF(DATOS!$G6039="EX",1,IF(DATOS!$G6039="OR",--(COUNTIFS(nNIA,DATOS!$A6039,nCURSO,DATOS!$D6039,nESPEC,DATOS!$E6039,nASIG,DATOS!$I6039,nEVAL,"EX")=0),0))))</f>
      </c>
      <c r="H6039">
        <f>IF(DATOS!$G6039&lt;&gt;"EX",0,--(COUNTIFS(nNIA,DATOS!$A6039,nCURSO,DATOS!$D6039,nESPEC,DATOS!$E6039,nASIG,DATOS!$I6039,nEVAL,"OR")=0))</f>
      </c>
      <c r="I6039">
        <f>IF(DATOS!$I6039="","",IFERROR(VLOOKUP(DATOS!$I6039,CONFIG_ASIGNATURAS!$B$2:$J$91,9,FALSE()),""))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IF(DATOS!$A6040="",0,IF(CONFIG_METADATA!$B$4&lt;&gt;"OR+EX",--(DATOS!$G6040=CONFIG_METADATA!$B$4),IF(DATOS!$G6040="EX",1,IF(DATOS!$G6040="OR",--(COUNTIFS(nNIA,DATOS!$A6040,nCURSO,DATOS!$D6040,nESPEC,DATOS!$E6040,nASIG,DATOS!$I6040,nEVAL,"EX")=0),0))))</f>
      </c>
      <c r="H6040">
        <f>IF(DATOS!$G6040&lt;&gt;"EX",0,--(COUNTIFS(nNIA,DATOS!$A6040,nCURSO,DATOS!$D6040,nESPEC,DATOS!$E6040,nASIG,DATOS!$I6040,nEVAL,"OR")=0))</f>
      </c>
      <c r="I6040">
        <f>IF(DATOS!$I6040="","",IFERROR(VLOOKUP(DATOS!$I6040,CONFIG_ASIGNATURAS!$B$2:$J$91,9,FALSE()),""))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IF(DATOS!$A6041="",0,IF(CONFIG_METADATA!$B$4&lt;&gt;"OR+EX",--(DATOS!$G6041=CONFIG_METADATA!$B$4),IF(DATOS!$G6041="EX",1,IF(DATOS!$G6041="OR",--(COUNTIFS(nNIA,DATOS!$A6041,nCURSO,DATOS!$D6041,nESPEC,DATOS!$E6041,nASIG,DATOS!$I6041,nEVAL,"EX")=0),0))))</f>
      </c>
      <c r="H6041">
        <f>IF(DATOS!$G6041&lt;&gt;"EX",0,--(COUNTIFS(nNIA,DATOS!$A6041,nCURSO,DATOS!$D6041,nESPEC,DATOS!$E6041,nASIG,DATOS!$I6041,nEVAL,"OR")=0))</f>
      </c>
      <c r="I6041">
        <f>IF(DATOS!$I6041="","",IFERROR(VLOOKUP(DATOS!$I6041,CONFIG_ASIGNATURAS!$B$2:$J$91,9,FALSE()),""))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IF(DATOS!$A6042="",0,IF(CONFIG_METADATA!$B$4&lt;&gt;"OR+EX",--(DATOS!$G6042=CONFIG_METADATA!$B$4),IF(DATOS!$G6042="EX",1,IF(DATOS!$G6042="OR",--(COUNTIFS(nNIA,DATOS!$A6042,nCURSO,DATOS!$D6042,nESPEC,DATOS!$E6042,nASIG,DATOS!$I6042,nEVAL,"EX")=0),0))))</f>
      </c>
      <c r="H6042">
        <f>IF(DATOS!$G6042&lt;&gt;"EX",0,--(COUNTIFS(nNIA,DATOS!$A6042,nCURSO,DATOS!$D6042,nESPEC,DATOS!$E6042,nASIG,DATOS!$I6042,nEVAL,"OR")=0))</f>
      </c>
      <c r="I6042">
        <f>IF(DATOS!$I6042="","",IFERROR(VLOOKUP(DATOS!$I6042,CONFIG_ASIGNATURAS!$B$2:$J$91,9,FALSE()),""))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IF(DATOS!$A6043="",0,IF(CONFIG_METADATA!$B$4&lt;&gt;"OR+EX",--(DATOS!$G6043=CONFIG_METADATA!$B$4),IF(DATOS!$G6043="EX",1,IF(DATOS!$G6043="OR",--(COUNTIFS(nNIA,DATOS!$A6043,nCURSO,DATOS!$D6043,nESPEC,DATOS!$E6043,nASIG,DATOS!$I6043,nEVAL,"EX")=0),0))))</f>
      </c>
      <c r="H6043">
        <f>IF(DATOS!$G6043&lt;&gt;"EX",0,--(COUNTIFS(nNIA,DATOS!$A6043,nCURSO,DATOS!$D6043,nESPEC,DATOS!$E6043,nASIG,DATOS!$I6043,nEVAL,"OR")=0))</f>
      </c>
      <c r="I6043">
        <f>IF(DATOS!$I6043="","",IFERROR(VLOOKUP(DATOS!$I6043,CONFIG_ASIGNATURAS!$B$2:$J$91,9,FALSE()),""))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IF(DATOS!$A6044="",0,IF(CONFIG_METADATA!$B$4&lt;&gt;"OR+EX",--(DATOS!$G6044=CONFIG_METADATA!$B$4),IF(DATOS!$G6044="EX",1,IF(DATOS!$G6044="OR",--(COUNTIFS(nNIA,DATOS!$A6044,nCURSO,DATOS!$D6044,nESPEC,DATOS!$E6044,nASIG,DATOS!$I6044,nEVAL,"EX")=0),0))))</f>
      </c>
      <c r="H6044">
        <f>IF(DATOS!$G6044&lt;&gt;"EX",0,--(COUNTIFS(nNIA,DATOS!$A6044,nCURSO,DATOS!$D6044,nESPEC,DATOS!$E6044,nASIG,DATOS!$I6044,nEVAL,"OR")=0))</f>
      </c>
      <c r="I6044">
        <f>IF(DATOS!$I6044="","",IFERROR(VLOOKUP(DATOS!$I6044,CONFIG_ASIGNATURAS!$B$2:$J$91,9,FALSE()),""))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IF(DATOS!$A6045="",0,IF(CONFIG_METADATA!$B$4&lt;&gt;"OR+EX",--(DATOS!$G6045=CONFIG_METADATA!$B$4),IF(DATOS!$G6045="EX",1,IF(DATOS!$G6045="OR",--(COUNTIFS(nNIA,DATOS!$A6045,nCURSO,DATOS!$D6045,nESPEC,DATOS!$E6045,nASIG,DATOS!$I6045,nEVAL,"EX")=0),0))))</f>
      </c>
      <c r="H6045">
        <f>IF(DATOS!$G6045&lt;&gt;"EX",0,--(COUNTIFS(nNIA,DATOS!$A6045,nCURSO,DATOS!$D6045,nESPEC,DATOS!$E6045,nASIG,DATOS!$I6045,nEVAL,"OR")=0))</f>
      </c>
      <c r="I6045">
        <f>IF(DATOS!$I6045="","",IFERROR(VLOOKUP(DATOS!$I6045,CONFIG_ASIGNATURAS!$B$2:$J$91,9,FALSE()),""))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IF(DATOS!$A6046="",0,IF(CONFIG_METADATA!$B$4&lt;&gt;"OR+EX",--(DATOS!$G6046=CONFIG_METADATA!$B$4),IF(DATOS!$G6046="EX",1,IF(DATOS!$G6046="OR",--(COUNTIFS(nNIA,DATOS!$A6046,nCURSO,DATOS!$D6046,nESPEC,DATOS!$E6046,nASIG,DATOS!$I6046,nEVAL,"EX")=0),0))))</f>
      </c>
      <c r="H6046">
        <f>IF(DATOS!$G6046&lt;&gt;"EX",0,--(COUNTIFS(nNIA,DATOS!$A6046,nCURSO,DATOS!$D6046,nESPEC,DATOS!$E6046,nASIG,DATOS!$I6046,nEVAL,"OR")=0))</f>
      </c>
      <c r="I6046">
        <f>IF(DATOS!$I6046="","",IFERROR(VLOOKUP(DATOS!$I6046,CONFIG_ASIGNATURAS!$B$2:$J$91,9,FALSE()),""))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IF(DATOS!$A6047="",0,IF(CONFIG_METADATA!$B$4&lt;&gt;"OR+EX",--(DATOS!$G6047=CONFIG_METADATA!$B$4),IF(DATOS!$G6047="EX",1,IF(DATOS!$G6047="OR",--(COUNTIFS(nNIA,DATOS!$A6047,nCURSO,DATOS!$D6047,nESPEC,DATOS!$E6047,nASIG,DATOS!$I6047,nEVAL,"EX")=0),0))))</f>
      </c>
      <c r="H6047">
        <f>IF(DATOS!$G6047&lt;&gt;"EX",0,--(COUNTIFS(nNIA,DATOS!$A6047,nCURSO,DATOS!$D6047,nESPEC,DATOS!$E6047,nASIG,DATOS!$I6047,nEVAL,"OR")=0))</f>
      </c>
      <c r="I6047">
        <f>IF(DATOS!$I6047="","",IFERROR(VLOOKUP(DATOS!$I6047,CONFIG_ASIGNATURAS!$B$2:$J$91,9,FALSE()),""))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IF(DATOS!$A6048="",0,IF(CONFIG_METADATA!$B$4&lt;&gt;"OR+EX",--(DATOS!$G6048=CONFIG_METADATA!$B$4),IF(DATOS!$G6048="EX",1,IF(DATOS!$G6048="OR",--(COUNTIFS(nNIA,DATOS!$A6048,nCURSO,DATOS!$D6048,nESPEC,DATOS!$E6048,nASIG,DATOS!$I6048,nEVAL,"EX")=0),0))))</f>
      </c>
      <c r="H6048">
        <f>IF(DATOS!$G6048&lt;&gt;"EX",0,--(COUNTIFS(nNIA,DATOS!$A6048,nCURSO,DATOS!$D6048,nESPEC,DATOS!$E6048,nASIG,DATOS!$I6048,nEVAL,"OR")=0))</f>
      </c>
      <c r="I6048">
        <f>IF(DATOS!$I6048="","",IFERROR(VLOOKUP(DATOS!$I6048,CONFIG_ASIGNATURAS!$B$2:$J$91,9,FALSE()),""))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IF(DATOS!$A6049="",0,IF(CONFIG_METADATA!$B$4&lt;&gt;"OR+EX",--(DATOS!$G6049=CONFIG_METADATA!$B$4),IF(DATOS!$G6049="EX",1,IF(DATOS!$G6049="OR",--(COUNTIFS(nNIA,DATOS!$A6049,nCURSO,DATOS!$D6049,nESPEC,DATOS!$E6049,nASIG,DATOS!$I6049,nEVAL,"EX")=0),0))))</f>
      </c>
      <c r="H6049">
        <f>IF(DATOS!$G6049&lt;&gt;"EX",0,--(COUNTIFS(nNIA,DATOS!$A6049,nCURSO,DATOS!$D6049,nESPEC,DATOS!$E6049,nASIG,DATOS!$I6049,nEVAL,"OR")=0))</f>
      </c>
      <c r="I6049">
        <f>IF(DATOS!$I6049="","",IFERROR(VLOOKUP(DATOS!$I6049,CONFIG_ASIGNATURAS!$B$2:$J$91,9,FALSE()),""))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IF(DATOS!$A6050="",0,IF(CONFIG_METADATA!$B$4&lt;&gt;"OR+EX",--(DATOS!$G6050=CONFIG_METADATA!$B$4),IF(DATOS!$G6050="EX",1,IF(DATOS!$G6050="OR",--(COUNTIFS(nNIA,DATOS!$A6050,nCURSO,DATOS!$D6050,nESPEC,DATOS!$E6050,nASIG,DATOS!$I6050,nEVAL,"EX")=0),0))))</f>
      </c>
      <c r="H6050">
        <f>IF(DATOS!$G6050&lt;&gt;"EX",0,--(COUNTIFS(nNIA,DATOS!$A6050,nCURSO,DATOS!$D6050,nESPEC,DATOS!$E6050,nASIG,DATOS!$I6050,nEVAL,"OR")=0))</f>
      </c>
      <c r="I6050">
        <f>IF(DATOS!$I6050="","",IFERROR(VLOOKUP(DATOS!$I6050,CONFIG_ASIGNATURAS!$B$2:$J$91,9,FALSE()),""))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IF(DATOS!$A6051="",0,IF(CONFIG_METADATA!$B$4&lt;&gt;"OR+EX",--(DATOS!$G6051=CONFIG_METADATA!$B$4),IF(DATOS!$G6051="EX",1,IF(DATOS!$G6051="OR",--(COUNTIFS(nNIA,DATOS!$A6051,nCURSO,DATOS!$D6051,nESPEC,DATOS!$E6051,nASIG,DATOS!$I6051,nEVAL,"EX")=0),0))))</f>
      </c>
      <c r="H6051">
        <f>IF(DATOS!$G6051&lt;&gt;"EX",0,--(COUNTIFS(nNIA,DATOS!$A6051,nCURSO,DATOS!$D6051,nESPEC,DATOS!$E6051,nASIG,DATOS!$I6051,nEVAL,"OR")=0))</f>
      </c>
      <c r="I6051">
        <f>IF(DATOS!$I6051="","",IFERROR(VLOOKUP(DATOS!$I6051,CONFIG_ASIGNATURAS!$B$2:$J$91,9,FALSE()),""))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IF(DATOS!$A6052="",0,IF(CONFIG_METADATA!$B$4&lt;&gt;"OR+EX",--(DATOS!$G6052=CONFIG_METADATA!$B$4),IF(DATOS!$G6052="EX",1,IF(DATOS!$G6052="OR",--(COUNTIFS(nNIA,DATOS!$A6052,nCURSO,DATOS!$D6052,nESPEC,DATOS!$E6052,nASIG,DATOS!$I6052,nEVAL,"EX")=0),0))))</f>
      </c>
      <c r="H6052">
        <f>IF(DATOS!$G6052&lt;&gt;"EX",0,--(COUNTIFS(nNIA,DATOS!$A6052,nCURSO,DATOS!$D6052,nESPEC,DATOS!$E6052,nASIG,DATOS!$I6052,nEVAL,"OR")=0))</f>
      </c>
      <c r="I6052">
        <f>IF(DATOS!$I6052="","",IFERROR(VLOOKUP(DATOS!$I6052,CONFIG_ASIGNATURAS!$B$2:$J$91,9,FALSE()),""))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IF(DATOS!$A6053="",0,IF(CONFIG_METADATA!$B$4&lt;&gt;"OR+EX",--(DATOS!$G6053=CONFIG_METADATA!$B$4),IF(DATOS!$G6053="EX",1,IF(DATOS!$G6053="OR",--(COUNTIFS(nNIA,DATOS!$A6053,nCURSO,DATOS!$D6053,nESPEC,DATOS!$E6053,nASIG,DATOS!$I6053,nEVAL,"EX")=0),0))))</f>
      </c>
      <c r="H6053">
        <f>IF(DATOS!$G6053&lt;&gt;"EX",0,--(COUNTIFS(nNIA,DATOS!$A6053,nCURSO,DATOS!$D6053,nESPEC,DATOS!$E6053,nASIG,DATOS!$I6053,nEVAL,"OR")=0))</f>
      </c>
      <c r="I6053">
        <f>IF(DATOS!$I6053="","",IFERROR(VLOOKUP(DATOS!$I6053,CONFIG_ASIGNATURAS!$B$2:$J$91,9,FALSE()),""))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IF(DATOS!$A6054="",0,IF(CONFIG_METADATA!$B$4&lt;&gt;"OR+EX",--(DATOS!$G6054=CONFIG_METADATA!$B$4),IF(DATOS!$G6054="EX",1,IF(DATOS!$G6054="OR",--(COUNTIFS(nNIA,DATOS!$A6054,nCURSO,DATOS!$D6054,nESPEC,DATOS!$E6054,nASIG,DATOS!$I6054,nEVAL,"EX")=0),0))))</f>
      </c>
      <c r="H6054">
        <f>IF(DATOS!$G6054&lt;&gt;"EX",0,--(COUNTIFS(nNIA,DATOS!$A6054,nCURSO,DATOS!$D6054,nESPEC,DATOS!$E6054,nASIG,DATOS!$I6054,nEVAL,"OR")=0))</f>
      </c>
      <c r="I6054">
        <f>IF(DATOS!$I6054="","",IFERROR(VLOOKUP(DATOS!$I6054,CONFIG_ASIGNATURAS!$B$2:$J$91,9,FALSE()),""))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IF(DATOS!$A6055="",0,IF(CONFIG_METADATA!$B$4&lt;&gt;"OR+EX",--(DATOS!$G6055=CONFIG_METADATA!$B$4),IF(DATOS!$G6055="EX",1,IF(DATOS!$G6055="OR",--(COUNTIFS(nNIA,DATOS!$A6055,nCURSO,DATOS!$D6055,nESPEC,DATOS!$E6055,nASIG,DATOS!$I6055,nEVAL,"EX")=0),0))))</f>
      </c>
      <c r="H6055">
        <f>IF(DATOS!$G6055&lt;&gt;"EX",0,--(COUNTIFS(nNIA,DATOS!$A6055,nCURSO,DATOS!$D6055,nESPEC,DATOS!$E6055,nASIG,DATOS!$I6055,nEVAL,"OR")=0))</f>
      </c>
      <c r="I6055">
        <f>IF(DATOS!$I6055="","",IFERROR(VLOOKUP(DATOS!$I6055,CONFIG_ASIGNATURAS!$B$2:$J$91,9,FALSE()),""))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IF(DATOS!$A6056="",0,IF(CONFIG_METADATA!$B$4&lt;&gt;"OR+EX",--(DATOS!$G6056=CONFIG_METADATA!$B$4),IF(DATOS!$G6056="EX",1,IF(DATOS!$G6056="OR",--(COUNTIFS(nNIA,DATOS!$A6056,nCURSO,DATOS!$D6056,nESPEC,DATOS!$E6056,nASIG,DATOS!$I6056,nEVAL,"EX")=0),0))))</f>
      </c>
      <c r="H6056">
        <f>IF(DATOS!$G6056&lt;&gt;"EX",0,--(COUNTIFS(nNIA,DATOS!$A6056,nCURSO,DATOS!$D6056,nESPEC,DATOS!$E6056,nASIG,DATOS!$I6056,nEVAL,"OR")=0))</f>
      </c>
      <c r="I6056">
        <f>IF(DATOS!$I6056="","",IFERROR(VLOOKUP(DATOS!$I6056,CONFIG_ASIGNATURAS!$B$2:$J$91,9,FALSE()),""))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IF(DATOS!$A6057="",0,IF(CONFIG_METADATA!$B$4&lt;&gt;"OR+EX",--(DATOS!$G6057=CONFIG_METADATA!$B$4),IF(DATOS!$G6057="EX",1,IF(DATOS!$G6057="OR",--(COUNTIFS(nNIA,DATOS!$A6057,nCURSO,DATOS!$D6057,nESPEC,DATOS!$E6057,nASIG,DATOS!$I6057,nEVAL,"EX")=0),0))))</f>
      </c>
      <c r="H6057">
        <f>IF(DATOS!$G6057&lt;&gt;"EX",0,--(COUNTIFS(nNIA,DATOS!$A6057,nCURSO,DATOS!$D6057,nESPEC,DATOS!$E6057,nASIG,DATOS!$I6057,nEVAL,"OR")=0))</f>
      </c>
      <c r="I6057">
        <f>IF(DATOS!$I6057="","",IFERROR(VLOOKUP(DATOS!$I6057,CONFIG_ASIGNATURAS!$B$2:$J$91,9,FALSE()),""))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IF(DATOS!$A6058="",0,IF(CONFIG_METADATA!$B$4&lt;&gt;"OR+EX",--(DATOS!$G6058=CONFIG_METADATA!$B$4),IF(DATOS!$G6058="EX",1,IF(DATOS!$G6058="OR",--(COUNTIFS(nNIA,DATOS!$A6058,nCURSO,DATOS!$D6058,nESPEC,DATOS!$E6058,nASIG,DATOS!$I6058,nEVAL,"EX")=0),0))))</f>
      </c>
      <c r="H6058">
        <f>IF(DATOS!$G6058&lt;&gt;"EX",0,--(COUNTIFS(nNIA,DATOS!$A6058,nCURSO,DATOS!$D6058,nESPEC,DATOS!$E6058,nASIG,DATOS!$I6058,nEVAL,"OR")=0))</f>
      </c>
      <c r="I6058">
        <f>IF(DATOS!$I6058="","",IFERROR(VLOOKUP(DATOS!$I6058,CONFIG_ASIGNATURAS!$B$2:$J$91,9,FALSE()),""))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IF(DATOS!$A6059="",0,IF(CONFIG_METADATA!$B$4&lt;&gt;"OR+EX",--(DATOS!$G6059=CONFIG_METADATA!$B$4),IF(DATOS!$G6059="EX",1,IF(DATOS!$G6059="OR",--(COUNTIFS(nNIA,DATOS!$A6059,nCURSO,DATOS!$D6059,nESPEC,DATOS!$E6059,nASIG,DATOS!$I6059,nEVAL,"EX")=0),0))))</f>
      </c>
      <c r="H6059">
        <f>IF(DATOS!$G6059&lt;&gt;"EX",0,--(COUNTIFS(nNIA,DATOS!$A6059,nCURSO,DATOS!$D6059,nESPEC,DATOS!$E6059,nASIG,DATOS!$I6059,nEVAL,"OR")=0))</f>
      </c>
      <c r="I6059">
        <f>IF(DATOS!$I6059="","",IFERROR(VLOOKUP(DATOS!$I6059,CONFIG_ASIGNATURAS!$B$2:$J$91,9,FALSE()),""))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IF(DATOS!$A6060="",0,IF(CONFIG_METADATA!$B$4&lt;&gt;"OR+EX",--(DATOS!$G6060=CONFIG_METADATA!$B$4),IF(DATOS!$G6060="EX",1,IF(DATOS!$G6060="OR",--(COUNTIFS(nNIA,DATOS!$A6060,nCURSO,DATOS!$D6060,nESPEC,DATOS!$E6060,nASIG,DATOS!$I6060,nEVAL,"EX")=0),0))))</f>
      </c>
      <c r="H6060">
        <f>IF(DATOS!$G6060&lt;&gt;"EX",0,--(COUNTIFS(nNIA,DATOS!$A6060,nCURSO,DATOS!$D6060,nESPEC,DATOS!$E6060,nASIG,DATOS!$I6060,nEVAL,"OR")=0))</f>
      </c>
      <c r="I6060">
        <f>IF(DATOS!$I6060="","",IFERROR(VLOOKUP(DATOS!$I6060,CONFIG_ASIGNATURAS!$B$2:$J$91,9,FALSE()),""))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IF(DATOS!$A6061="",0,IF(CONFIG_METADATA!$B$4&lt;&gt;"OR+EX",--(DATOS!$G6061=CONFIG_METADATA!$B$4),IF(DATOS!$G6061="EX",1,IF(DATOS!$G6061="OR",--(COUNTIFS(nNIA,DATOS!$A6061,nCURSO,DATOS!$D6061,nESPEC,DATOS!$E6061,nASIG,DATOS!$I6061,nEVAL,"EX")=0),0))))</f>
      </c>
      <c r="H6061">
        <f>IF(DATOS!$G6061&lt;&gt;"EX",0,--(COUNTIFS(nNIA,DATOS!$A6061,nCURSO,DATOS!$D6061,nESPEC,DATOS!$E6061,nASIG,DATOS!$I6061,nEVAL,"OR")=0))</f>
      </c>
      <c r="I6061">
        <f>IF(DATOS!$I6061="","",IFERROR(VLOOKUP(DATOS!$I6061,CONFIG_ASIGNATURAS!$B$2:$J$91,9,FALSE()),""))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IF(DATOS!$A6062="",0,IF(CONFIG_METADATA!$B$4&lt;&gt;"OR+EX",--(DATOS!$G6062=CONFIG_METADATA!$B$4),IF(DATOS!$G6062="EX",1,IF(DATOS!$G6062="OR",--(COUNTIFS(nNIA,DATOS!$A6062,nCURSO,DATOS!$D6062,nESPEC,DATOS!$E6062,nASIG,DATOS!$I6062,nEVAL,"EX")=0),0))))</f>
      </c>
      <c r="H6062">
        <f>IF(DATOS!$G6062&lt;&gt;"EX",0,--(COUNTIFS(nNIA,DATOS!$A6062,nCURSO,DATOS!$D6062,nESPEC,DATOS!$E6062,nASIG,DATOS!$I6062,nEVAL,"OR")=0))</f>
      </c>
      <c r="I6062">
        <f>IF(DATOS!$I6062="","",IFERROR(VLOOKUP(DATOS!$I6062,CONFIG_ASIGNATURAS!$B$2:$J$91,9,FALSE()),""))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IF(DATOS!$A6063="",0,IF(CONFIG_METADATA!$B$4&lt;&gt;"OR+EX",--(DATOS!$G6063=CONFIG_METADATA!$B$4),IF(DATOS!$G6063="EX",1,IF(DATOS!$G6063="OR",--(COUNTIFS(nNIA,DATOS!$A6063,nCURSO,DATOS!$D6063,nESPEC,DATOS!$E6063,nASIG,DATOS!$I6063,nEVAL,"EX")=0),0))))</f>
      </c>
      <c r="H6063">
        <f>IF(DATOS!$G6063&lt;&gt;"EX",0,--(COUNTIFS(nNIA,DATOS!$A6063,nCURSO,DATOS!$D6063,nESPEC,DATOS!$E6063,nASIG,DATOS!$I6063,nEVAL,"OR")=0))</f>
      </c>
      <c r="I6063">
        <f>IF(DATOS!$I6063="","",IFERROR(VLOOKUP(DATOS!$I6063,CONFIG_ASIGNATURAS!$B$2:$J$91,9,FALSE()),""))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IF(DATOS!$A6064="",0,IF(CONFIG_METADATA!$B$4&lt;&gt;"OR+EX",--(DATOS!$G6064=CONFIG_METADATA!$B$4),IF(DATOS!$G6064="EX",1,IF(DATOS!$G6064="OR",--(COUNTIFS(nNIA,DATOS!$A6064,nCURSO,DATOS!$D6064,nESPEC,DATOS!$E6064,nASIG,DATOS!$I6064,nEVAL,"EX")=0),0))))</f>
      </c>
      <c r="H6064">
        <f>IF(DATOS!$G6064&lt;&gt;"EX",0,--(COUNTIFS(nNIA,DATOS!$A6064,nCURSO,DATOS!$D6064,nESPEC,DATOS!$E6064,nASIG,DATOS!$I6064,nEVAL,"OR")=0))</f>
      </c>
      <c r="I6064">
        <f>IF(DATOS!$I6064="","",IFERROR(VLOOKUP(DATOS!$I6064,CONFIG_ASIGNATURAS!$B$2:$J$91,9,FALSE()),""))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IF(DATOS!$A6065="",0,IF(CONFIG_METADATA!$B$4&lt;&gt;"OR+EX",--(DATOS!$G6065=CONFIG_METADATA!$B$4),IF(DATOS!$G6065="EX",1,IF(DATOS!$G6065="OR",--(COUNTIFS(nNIA,DATOS!$A6065,nCURSO,DATOS!$D6065,nESPEC,DATOS!$E6065,nASIG,DATOS!$I6065,nEVAL,"EX")=0),0))))</f>
      </c>
      <c r="H6065">
        <f>IF(DATOS!$G6065&lt;&gt;"EX",0,--(COUNTIFS(nNIA,DATOS!$A6065,nCURSO,DATOS!$D6065,nESPEC,DATOS!$E6065,nASIG,DATOS!$I6065,nEVAL,"OR")=0))</f>
      </c>
      <c r="I6065">
        <f>IF(DATOS!$I6065="","",IFERROR(VLOOKUP(DATOS!$I6065,CONFIG_ASIGNATURAS!$B$2:$J$91,9,FALSE()),""))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IF(DATOS!$A6066="",0,IF(CONFIG_METADATA!$B$4&lt;&gt;"OR+EX",--(DATOS!$G6066=CONFIG_METADATA!$B$4),IF(DATOS!$G6066="EX",1,IF(DATOS!$G6066="OR",--(COUNTIFS(nNIA,DATOS!$A6066,nCURSO,DATOS!$D6066,nESPEC,DATOS!$E6066,nASIG,DATOS!$I6066,nEVAL,"EX")=0),0))))</f>
      </c>
      <c r="H6066">
        <f>IF(DATOS!$G6066&lt;&gt;"EX",0,--(COUNTIFS(nNIA,DATOS!$A6066,nCURSO,DATOS!$D6066,nESPEC,DATOS!$E6066,nASIG,DATOS!$I6066,nEVAL,"OR")=0))</f>
      </c>
      <c r="I6066">
        <f>IF(DATOS!$I6066="","",IFERROR(VLOOKUP(DATOS!$I6066,CONFIG_ASIGNATURAS!$B$2:$J$91,9,FALSE()),""))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IF(DATOS!$A6067="",0,IF(CONFIG_METADATA!$B$4&lt;&gt;"OR+EX",--(DATOS!$G6067=CONFIG_METADATA!$B$4),IF(DATOS!$G6067="EX",1,IF(DATOS!$G6067="OR",--(COUNTIFS(nNIA,DATOS!$A6067,nCURSO,DATOS!$D6067,nESPEC,DATOS!$E6067,nASIG,DATOS!$I6067,nEVAL,"EX")=0),0))))</f>
      </c>
      <c r="H6067">
        <f>IF(DATOS!$G6067&lt;&gt;"EX",0,--(COUNTIFS(nNIA,DATOS!$A6067,nCURSO,DATOS!$D6067,nESPEC,DATOS!$E6067,nASIG,DATOS!$I6067,nEVAL,"OR")=0))</f>
      </c>
      <c r="I6067">
        <f>IF(DATOS!$I6067="","",IFERROR(VLOOKUP(DATOS!$I6067,CONFIG_ASIGNATURAS!$B$2:$J$91,9,FALSE()),""))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IF(DATOS!$A6068="",0,IF(CONFIG_METADATA!$B$4&lt;&gt;"OR+EX",--(DATOS!$G6068=CONFIG_METADATA!$B$4),IF(DATOS!$G6068="EX",1,IF(DATOS!$G6068="OR",--(COUNTIFS(nNIA,DATOS!$A6068,nCURSO,DATOS!$D6068,nESPEC,DATOS!$E6068,nASIG,DATOS!$I6068,nEVAL,"EX")=0),0))))</f>
      </c>
      <c r="H6068">
        <f>IF(DATOS!$G6068&lt;&gt;"EX",0,--(COUNTIFS(nNIA,DATOS!$A6068,nCURSO,DATOS!$D6068,nESPEC,DATOS!$E6068,nASIG,DATOS!$I6068,nEVAL,"OR")=0))</f>
      </c>
      <c r="I6068">
        <f>IF(DATOS!$I6068="","",IFERROR(VLOOKUP(DATOS!$I6068,CONFIG_ASIGNATURAS!$B$2:$J$91,9,FALSE()),""))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IF(DATOS!$A6069="",0,IF(CONFIG_METADATA!$B$4&lt;&gt;"OR+EX",--(DATOS!$G6069=CONFIG_METADATA!$B$4),IF(DATOS!$G6069="EX",1,IF(DATOS!$G6069="OR",--(COUNTIFS(nNIA,DATOS!$A6069,nCURSO,DATOS!$D6069,nESPEC,DATOS!$E6069,nASIG,DATOS!$I6069,nEVAL,"EX")=0),0))))</f>
      </c>
      <c r="H6069">
        <f>IF(DATOS!$G6069&lt;&gt;"EX",0,--(COUNTIFS(nNIA,DATOS!$A6069,nCURSO,DATOS!$D6069,nESPEC,DATOS!$E6069,nASIG,DATOS!$I6069,nEVAL,"OR")=0))</f>
      </c>
      <c r="I6069">
        <f>IF(DATOS!$I6069="","",IFERROR(VLOOKUP(DATOS!$I6069,CONFIG_ASIGNATURAS!$B$2:$J$91,9,FALSE()),""))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IF(DATOS!$A6070="",0,IF(CONFIG_METADATA!$B$4&lt;&gt;"OR+EX",--(DATOS!$G6070=CONFIG_METADATA!$B$4),IF(DATOS!$G6070="EX",1,IF(DATOS!$G6070="OR",--(COUNTIFS(nNIA,DATOS!$A6070,nCURSO,DATOS!$D6070,nESPEC,DATOS!$E6070,nASIG,DATOS!$I6070,nEVAL,"EX")=0),0))))</f>
      </c>
      <c r="H6070">
        <f>IF(DATOS!$G6070&lt;&gt;"EX",0,--(COUNTIFS(nNIA,DATOS!$A6070,nCURSO,DATOS!$D6070,nESPEC,DATOS!$E6070,nASIG,DATOS!$I6070,nEVAL,"OR")=0))</f>
      </c>
      <c r="I6070">
        <f>IF(DATOS!$I6070="","",IFERROR(VLOOKUP(DATOS!$I6070,CONFIG_ASIGNATURAS!$B$2:$J$91,9,FALSE()),""))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IF(DATOS!$A6071="",0,IF(CONFIG_METADATA!$B$4&lt;&gt;"OR+EX",--(DATOS!$G6071=CONFIG_METADATA!$B$4),IF(DATOS!$G6071="EX",1,IF(DATOS!$G6071="OR",--(COUNTIFS(nNIA,DATOS!$A6071,nCURSO,DATOS!$D6071,nESPEC,DATOS!$E6071,nASIG,DATOS!$I6071,nEVAL,"EX")=0),0))))</f>
      </c>
      <c r="H6071">
        <f>IF(DATOS!$G6071&lt;&gt;"EX",0,--(COUNTIFS(nNIA,DATOS!$A6071,nCURSO,DATOS!$D6071,nESPEC,DATOS!$E6071,nASIG,DATOS!$I6071,nEVAL,"OR")=0))</f>
      </c>
      <c r="I6071">
        <f>IF(DATOS!$I6071="","",IFERROR(VLOOKUP(DATOS!$I6071,CONFIG_ASIGNATURAS!$B$2:$J$91,9,FALSE()),""))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IF(DATOS!$A6072="",0,IF(CONFIG_METADATA!$B$4&lt;&gt;"OR+EX",--(DATOS!$G6072=CONFIG_METADATA!$B$4),IF(DATOS!$G6072="EX",1,IF(DATOS!$G6072="OR",--(COUNTIFS(nNIA,DATOS!$A6072,nCURSO,DATOS!$D6072,nESPEC,DATOS!$E6072,nASIG,DATOS!$I6072,nEVAL,"EX")=0),0))))</f>
      </c>
      <c r="H6072">
        <f>IF(DATOS!$G6072&lt;&gt;"EX",0,--(COUNTIFS(nNIA,DATOS!$A6072,nCURSO,DATOS!$D6072,nESPEC,DATOS!$E6072,nASIG,DATOS!$I6072,nEVAL,"OR")=0))</f>
      </c>
      <c r="I6072">
        <f>IF(DATOS!$I6072="","",IFERROR(VLOOKUP(DATOS!$I6072,CONFIG_ASIGNATURAS!$B$2:$J$91,9,FALSE()),""))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IF(DATOS!$A6073="",0,IF(CONFIG_METADATA!$B$4&lt;&gt;"OR+EX",--(DATOS!$G6073=CONFIG_METADATA!$B$4),IF(DATOS!$G6073="EX",1,IF(DATOS!$G6073="OR",--(COUNTIFS(nNIA,DATOS!$A6073,nCURSO,DATOS!$D6073,nESPEC,DATOS!$E6073,nASIG,DATOS!$I6073,nEVAL,"EX")=0),0))))</f>
      </c>
      <c r="H6073">
        <f>IF(DATOS!$G6073&lt;&gt;"EX",0,--(COUNTIFS(nNIA,DATOS!$A6073,nCURSO,DATOS!$D6073,nESPEC,DATOS!$E6073,nASIG,DATOS!$I6073,nEVAL,"OR")=0))</f>
      </c>
      <c r="I6073">
        <f>IF(DATOS!$I6073="","",IFERROR(VLOOKUP(DATOS!$I6073,CONFIG_ASIGNATURAS!$B$2:$J$91,9,FALSE()),""))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IF(DATOS!$A6074="",0,IF(CONFIG_METADATA!$B$4&lt;&gt;"OR+EX",--(DATOS!$G6074=CONFIG_METADATA!$B$4),IF(DATOS!$G6074="EX",1,IF(DATOS!$G6074="OR",--(COUNTIFS(nNIA,DATOS!$A6074,nCURSO,DATOS!$D6074,nESPEC,DATOS!$E6074,nASIG,DATOS!$I6074,nEVAL,"EX")=0),0))))</f>
      </c>
      <c r="H6074">
        <f>IF(DATOS!$G6074&lt;&gt;"EX",0,--(COUNTIFS(nNIA,DATOS!$A6074,nCURSO,DATOS!$D6074,nESPEC,DATOS!$E6074,nASIG,DATOS!$I6074,nEVAL,"OR")=0))</f>
      </c>
      <c r="I6074">
        <f>IF(DATOS!$I6074="","",IFERROR(VLOOKUP(DATOS!$I6074,CONFIG_ASIGNATURAS!$B$2:$J$91,9,FALSE()),""))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IF(DATOS!$A6075="",0,IF(CONFIG_METADATA!$B$4&lt;&gt;"OR+EX",--(DATOS!$G6075=CONFIG_METADATA!$B$4),IF(DATOS!$G6075="EX",1,IF(DATOS!$G6075="OR",--(COUNTIFS(nNIA,DATOS!$A6075,nCURSO,DATOS!$D6075,nESPEC,DATOS!$E6075,nASIG,DATOS!$I6075,nEVAL,"EX")=0),0))))</f>
      </c>
      <c r="H6075">
        <f>IF(DATOS!$G6075&lt;&gt;"EX",0,--(COUNTIFS(nNIA,DATOS!$A6075,nCURSO,DATOS!$D6075,nESPEC,DATOS!$E6075,nASIG,DATOS!$I6075,nEVAL,"OR")=0))</f>
      </c>
      <c r="I6075">
        <f>IF(DATOS!$I6075="","",IFERROR(VLOOKUP(DATOS!$I6075,CONFIG_ASIGNATURAS!$B$2:$J$91,9,FALSE()),""))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IF(DATOS!$A6076="",0,IF(CONFIG_METADATA!$B$4&lt;&gt;"OR+EX",--(DATOS!$G6076=CONFIG_METADATA!$B$4),IF(DATOS!$G6076="EX",1,IF(DATOS!$G6076="OR",--(COUNTIFS(nNIA,DATOS!$A6076,nCURSO,DATOS!$D6076,nESPEC,DATOS!$E6076,nASIG,DATOS!$I6076,nEVAL,"EX")=0),0))))</f>
      </c>
      <c r="H6076">
        <f>IF(DATOS!$G6076&lt;&gt;"EX",0,--(COUNTIFS(nNIA,DATOS!$A6076,nCURSO,DATOS!$D6076,nESPEC,DATOS!$E6076,nASIG,DATOS!$I6076,nEVAL,"OR")=0))</f>
      </c>
      <c r="I6076">
        <f>IF(DATOS!$I6076="","",IFERROR(VLOOKUP(DATOS!$I6076,CONFIG_ASIGNATURAS!$B$2:$J$91,9,FALSE()),""))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IF(DATOS!$A6077="",0,IF(CONFIG_METADATA!$B$4&lt;&gt;"OR+EX",--(DATOS!$G6077=CONFIG_METADATA!$B$4),IF(DATOS!$G6077="EX",1,IF(DATOS!$G6077="OR",--(COUNTIFS(nNIA,DATOS!$A6077,nCURSO,DATOS!$D6077,nESPEC,DATOS!$E6077,nASIG,DATOS!$I6077,nEVAL,"EX")=0),0))))</f>
      </c>
      <c r="H6077">
        <f>IF(DATOS!$G6077&lt;&gt;"EX",0,--(COUNTIFS(nNIA,DATOS!$A6077,nCURSO,DATOS!$D6077,nESPEC,DATOS!$E6077,nASIG,DATOS!$I6077,nEVAL,"OR")=0))</f>
      </c>
      <c r="I6077">
        <f>IF(DATOS!$I6077="","",IFERROR(VLOOKUP(DATOS!$I6077,CONFIG_ASIGNATURAS!$B$2:$J$91,9,FALSE()),""))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IF(DATOS!$A6078="",0,IF(CONFIG_METADATA!$B$4&lt;&gt;"OR+EX",--(DATOS!$G6078=CONFIG_METADATA!$B$4),IF(DATOS!$G6078="EX",1,IF(DATOS!$G6078="OR",--(COUNTIFS(nNIA,DATOS!$A6078,nCURSO,DATOS!$D6078,nESPEC,DATOS!$E6078,nASIG,DATOS!$I6078,nEVAL,"EX")=0),0))))</f>
      </c>
      <c r="H6078">
        <f>IF(DATOS!$G6078&lt;&gt;"EX",0,--(COUNTIFS(nNIA,DATOS!$A6078,nCURSO,DATOS!$D6078,nESPEC,DATOS!$E6078,nASIG,DATOS!$I6078,nEVAL,"OR")=0))</f>
      </c>
      <c r="I6078">
        <f>IF(DATOS!$I6078="","",IFERROR(VLOOKUP(DATOS!$I6078,CONFIG_ASIGNATURAS!$B$2:$J$91,9,FALSE()),""))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IF(DATOS!$A6079="",0,IF(CONFIG_METADATA!$B$4&lt;&gt;"OR+EX",--(DATOS!$G6079=CONFIG_METADATA!$B$4),IF(DATOS!$G6079="EX",1,IF(DATOS!$G6079="OR",--(COUNTIFS(nNIA,DATOS!$A6079,nCURSO,DATOS!$D6079,nESPEC,DATOS!$E6079,nASIG,DATOS!$I6079,nEVAL,"EX")=0),0))))</f>
      </c>
      <c r="H6079">
        <f>IF(DATOS!$G6079&lt;&gt;"EX",0,--(COUNTIFS(nNIA,DATOS!$A6079,nCURSO,DATOS!$D6079,nESPEC,DATOS!$E6079,nASIG,DATOS!$I6079,nEVAL,"OR")=0))</f>
      </c>
      <c r="I6079">
        <f>IF(DATOS!$I6079="","",IFERROR(VLOOKUP(DATOS!$I6079,CONFIG_ASIGNATURAS!$B$2:$J$91,9,FALSE()),""))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IF(DATOS!$A6080="",0,IF(CONFIG_METADATA!$B$4&lt;&gt;"OR+EX",--(DATOS!$G6080=CONFIG_METADATA!$B$4),IF(DATOS!$G6080="EX",1,IF(DATOS!$G6080="OR",--(COUNTIFS(nNIA,DATOS!$A6080,nCURSO,DATOS!$D6080,nESPEC,DATOS!$E6080,nASIG,DATOS!$I6080,nEVAL,"EX")=0),0))))</f>
      </c>
      <c r="H6080">
        <f>IF(DATOS!$G6080&lt;&gt;"EX",0,--(COUNTIFS(nNIA,DATOS!$A6080,nCURSO,DATOS!$D6080,nESPEC,DATOS!$E6080,nASIG,DATOS!$I6080,nEVAL,"OR")=0))</f>
      </c>
      <c r="I6080">
        <f>IF(DATOS!$I6080="","",IFERROR(VLOOKUP(DATOS!$I6080,CONFIG_ASIGNATURAS!$B$2:$J$91,9,FALSE()),""))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IF(DATOS!$A6081="",0,IF(CONFIG_METADATA!$B$4&lt;&gt;"OR+EX",--(DATOS!$G6081=CONFIG_METADATA!$B$4),IF(DATOS!$G6081="EX",1,IF(DATOS!$G6081="OR",--(COUNTIFS(nNIA,DATOS!$A6081,nCURSO,DATOS!$D6081,nESPEC,DATOS!$E6081,nASIG,DATOS!$I6081,nEVAL,"EX")=0),0))))</f>
      </c>
      <c r="H6081">
        <f>IF(DATOS!$G6081&lt;&gt;"EX",0,--(COUNTIFS(nNIA,DATOS!$A6081,nCURSO,DATOS!$D6081,nESPEC,DATOS!$E6081,nASIG,DATOS!$I6081,nEVAL,"OR")=0))</f>
      </c>
      <c r="I6081">
        <f>IF(DATOS!$I6081="","",IFERROR(VLOOKUP(DATOS!$I6081,CONFIG_ASIGNATURAS!$B$2:$J$91,9,FALSE()),""))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IF(DATOS!$A6082="",0,IF(CONFIG_METADATA!$B$4&lt;&gt;"OR+EX",--(DATOS!$G6082=CONFIG_METADATA!$B$4),IF(DATOS!$G6082="EX",1,IF(DATOS!$G6082="OR",--(COUNTIFS(nNIA,DATOS!$A6082,nCURSO,DATOS!$D6082,nESPEC,DATOS!$E6082,nASIG,DATOS!$I6082,nEVAL,"EX")=0),0))))</f>
      </c>
      <c r="H6082">
        <f>IF(DATOS!$G6082&lt;&gt;"EX",0,--(COUNTIFS(nNIA,DATOS!$A6082,nCURSO,DATOS!$D6082,nESPEC,DATOS!$E6082,nASIG,DATOS!$I6082,nEVAL,"OR")=0))</f>
      </c>
      <c r="I6082">
        <f>IF(DATOS!$I6082="","",IFERROR(VLOOKUP(DATOS!$I6082,CONFIG_ASIGNATURAS!$B$2:$J$91,9,FALSE()),""))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IF(DATOS!$A6083="",0,IF(CONFIG_METADATA!$B$4&lt;&gt;"OR+EX",--(DATOS!$G6083=CONFIG_METADATA!$B$4),IF(DATOS!$G6083="EX",1,IF(DATOS!$G6083="OR",--(COUNTIFS(nNIA,DATOS!$A6083,nCURSO,DATOS!$D6083,nESPEC,DATOS!$E6083,nASIG,DATOS!$I6083,nEVAL,"EX")=0),0))))</f>
      </c>
      <c r="H6083">
        <f>IF(DATOS!$G6083&lt;&gt;"EX",0,--(COUNTIFS(nNIA,DATOS!$A6083,nCURSO,DATOS!$D6083,nESPEC,DATOS!$E6083,nASIG,DATOS!$I6083,nEVAL,"OR")=0))</f>
      </c>
      <c r="I6083">
        <f>IF(DATOS!$I6083="","",IFERROR(VLOOKUP(DATOS!$I6083,CONFIG_ASIGNATURAS!$B$2:$J$91,9,FALSE()),""))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IF(DATOS!$A6084="",0,IF(CONFIG_METADATA!$B$4&lt;&gt;"OR+EX",--(DATOS!$G6084=CONFIG_METADATA!$B$4),IF(DATOS!$G6084="EX",1,IF(DATOS!$G6084="OR",--(COUNTIFS(nNIA,DATOS!$A6084,nCURSO,DATOS!$D6084,nESPEC,DATOS!$E6084,nASIG,DATOS!$I6084,nEVAL,"EX")=0),0))))</f>
      </c>
      <c r="H6084">
        <f>IF(DATOS!$G6084&lt;&gt;"EX",0,--(COUNTIFS(nNIA,DATOS!$A6084,nCURSO,DATOS!$D6084,nESPEC,DATOS!$E6084,nASIG,DATOS!$I6084,nEVAL,"OR")=0))</f>
      </c>
      <c r="I6084">
        <f>IF(DATOS!$I6084="","",IFERROR(VLOOKUP(DATOS!$I6084,CONFIG_ASIGNATURAS!$B$2:$J$91,9,FALSE()),""))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IF(DATOS!$A6085="",0,IF(CONFIG_METADATA!$B$4&lt;&gt;"OR+EX",--(DATOS!$G6085=CONFIG_METADATA!$B$4),IF(DATOS!$G6085="EX",1,IF(DATOS!$G6085="OR",--(COUNTIFS(nNIA,DATOS!$A6085,nCURSO,DATOS!$D6085,nESPEC,DATOS!$E6085,nASIG,DATOS!$I6085,nEVAL,"EX")=0),0))))</f>
      </c>
      <c r="H6085">
        <f>IF(DATOS!$G6085&lt;&gt;"EX",0,--(COUNTIFS(nNIA,DATOS!$A6085,nCURSO,DATOS!$D6085,nESPEC,DATOS!$E6085,nASIG,DATOS!$I6085,nEVAL,"OR")=0))</f>
      </c>
      <c r="I6085">
        <f>IF(DATOS!$I6085="","",IFERROR(VLOOKUP(DATOS!$I6085,CONFIG_ASIGNATURAS!$B$2:$J$91,9,FALSE()),""))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IF(DATOS!$A6086="",0,IF(CONFIG_METADATA!$B$4&lt;&gt;"OR+EX",--(DATOS!$G6086=CONFIG_METADATA!$B$4),IF(DATOS!$G6086="EX",1,IF(DATOS!$G6086="OR",--(COUNTIFS(nNIA,DATOS!$A6086,nCURSO,DATOS!$D6086,nESPEC,DATOS!$E6086,nASIG,DATOS!$I6086,nEVAL,"EX")=0),0))))</f>
      </c>
      <c r="H6086">
        <f>IF(DATOS!$G6086&lt;&gt;"EX",0,--(COUNTIFS(nNIA,DATOS!$A6086,nCURSO,DATOS!$D6086,nESPEC,DATOS!$E6086,nASIG,DATOS!$I6086,nEVAL,"OR")=0))</f>
      </c>
      <c r="I6086">
        <f>IF(DATOS!$I6086="","",IFERROR(VLOOKUP(DATOS!$I6086,CONFIG_ASIGNATURAS!$B$2:$J$91,9,FALSE()),""))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IF(DATOS!$A6087="",0,IF(CONFIG_METADATA!$B$4&lt;&gt;"OR+EX",--(DATOS!$G6087=CONFIG_METADATA!$B$4),IF(DATOS!$G6087="EX",1,IF(DATOS!$G6087="OR",--(COUNTIFS(nNIA,DATOS!$A6087,nCURSO,DATOS!$D6087,nESPEC,DATOS!$E6087,nASIG,DATOS!$I6087,nEVAL,"EX")=0),0))))</f>
      </c>
      <c r="H6087">
        <f>IF(DATOS!$G6087&lt;&gt;"EX",0,--(COUNTIFS(nNIA,DATOS!$A6087,nCURSO,DATOS!$D6087,nESPEC,DATOS!$E6087,nASIG,DATOS!$I6087,nEVAL,"OR")=0))</f>
      </c>
      <c r="I6087">
        <f>IF(DATOS!$I6087="","",IFERROR(VLOOKUP(DATOS!$I6087,CONFIG_ASIGNATURAS!$B$2:$J$91,9,FALSE()),""))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IF(DATOS!$A6088="",0,IF(CONFIG_METADATA!$B$4&lt;&gt;"OR+EX",--(DATOS!$G6088=CONFIG_METADATA!$B$4),IF(DATOS!$G6088="EX",1,IF(DATOS!$G6088="OR",--(COUNTIFS(nNIA,DATOS!$A6088,nCURSO,DATOS!$D6088,nESPEC,DATOS!$E6088,nASIG,DATOS!$I6088,nEVAL,"EX")=0),0))))</f>
      </c>
      <c r="H6088">
        <f>IF(DATOS!$G6088&lt;&gt;"EX",0,--(COUNTIFS(nNIA,DATOS!$A6088,nCURSO,DATOS!$D6088,nESPEC,DATOS!$E6088,nASIG,DATOS!$I6088,nEVAL,"OR")=0))</f>
      </c>
      <c r="I6088">
        <f>IF(DATOS!$I6088="","",IFERROR(VLOOKUP(DATOS!$I6088,CONFIG_ASIGNATURAS!$B$2:$J$91,9,FALSE()),""))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IF(DATOS!$A6089="",0,IF(CONFIG_METADATA!$B$4&lt;&gt;"OR+EX",--(DATOS!$G6089=CONFIG_METADATA!$B$4),IF(DATOS!$G6089="EX",1,IF(DATOS!$G6089="OR",--(COUNTIFS(nNIA,DATOS!$A6089,nCURSO,DATOS!$D6089,nESPEC,DATOS!$E6089,nASIG,DATOS!$I6089,nEVAL,"EX")=0),0))))</f>
      </c>
      <c r="H6089">
        <f>IF(DATOS!$G6089&lt;&gt;"EX",0,--(COUNTIFS(nNIA,DATOS!$A6089,nCURSO,DATOS!$D6089,nESPEC,DATOS!$E6089,nASIG,DATOS!$I6089,nEVAL,"OR")=0))</f>
      </c>
      <c r="I6089">
        <f>IF(DATOS!$I6089="","",IFERROR(VLOOKUP(DATOS!$I6089,CONFIG_ASIGNATURAS!$B$2:$J$91,9,FALSE()),""))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IF(DATOS!$A6090="",0,IF(CONFIG_METADATA!$B$4&lt;&gt;"OR+EX",--(DATOS!$G6090=CONFIG_METADATA!$B$4),IF(DATOS!$G6090="EX",1,IF(DATOS!$G6090="OR",--(COUNTIFS(nNIA,DATOS!$A6090,nCURSO,DATOS!$D6090,nESPEC,DATOS!$E6090,nASIG,DATOS!$I6090,nEVAL,"EX")=0),0))))</f>
      </c>
      <c r="H6090">
        <f>IF(DATOS!$G6090&lt;&gt;"EX",0,--(COUNTIFS(nNIA,DATOS!$A6090,nCURSO,DATOS!$D6090,nESPEC,DATOS!$E6090,nASIG,DATOS!$I6090,nEVAL,"OR")=0))</f>
      </c>
      <c r="I6090">
        <f>IF(DATOS!$I6090="","",IFERROR(VLOOKUP(DATOS!$I6090,CONFIG_ASIGNATURAS!$B$2:$J$91,9,FALSE()),""))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IF(DATOS!$A6091="",0,IF(CONFIG_METADATA!$B$4&lt;&gt;"OR+EX",--(DATOS!$G6091=CONFIG_METADATA!$B$4),IF(DATOS!$G6091="EX",1,IF(DATOS!$G6091="OR",--(COUNTIFS(nNIA,DATOS!$A6091,nCURSO,DATOS!$D6091,nESPEC,DATOS!$E6091,nASIG,DATOS!$I6091,nEVAL,"EX")=0),0))))</f>
      </c>
      <c r="H6091">
        <f>IF(DATOS!$G6091&lt;&gt;"EX",0,--(COUNTIFS(nNIA,DATOS!$A6091,nCURSO,DATOS!$D6091,nESPEC,DATOS!$E6091,nASIG,DATOS!$I6091,nEVAL,"OR")=0))</f>
      </c>
      <c r="I6091">
        <f>IF(DATOS!$I6091="","",IFERROR(VLOOKUP(DATOS!$I6091,CONFIG_ASIGNATURAS!$B$2:$J$91,9,FALSE()),""))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IF(DATOS!$A6092="",0,IF(CONFIG_METADATA!$B$4&lt;&gt;"OR+EX",--(DATOS!$G6092=CONFIG_METADATA!$B$4),IF(DATOS!$G6092="EX",1,IF(DATOS!$G6092="OR",--(COUNTIFS(nNIA,DATOS!$A6092,nCURSO,DATOS!$D6092,nESPEC,DATOS!$E6092,nASIG,DATOS!$I6092,nEVAL,"EX")=0),0))))</f>
      </c>
      <c r="H6092">
        <f>IF(DATOS!$G6092&lt;&gt;"EX",0,--(COUNTIFS(nNIA,DATOS!$A6092,nCURSO,DATOS!$D6092,nESPEC,DATOS!$E6092,nASIG,DATOS!$I6092,nEVAL,"OR")=0))</f>
      </c>
      <c r="I6092">
        <f>IF(DATOS!$I6092="","",IFERROR(VLOOKUP(DATOS!$I6092,CONFIG_ASIGNATURAS!$B$2:$J$91,9,FALSE()),""))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IF(DATOS!$A6093="",0,IF(CONFIG_METADATA!$B$4&lt;&gt;"OR+EX",--(DATOS!$G6093=CONFIG_METADATA!$B$4),IF(DATOS!$G6093="EX",1,IF(DATOS!$G6093="OR",--(COUNTIFS(nNIA,DATOS!$A6093,nCURSO,DATOS!$D6093,nESPEC,DATOS!$E6093,nASIG,DATOS!$I6093,nEVAL,"EX")=0),0))))</f>
      </c>
      <c r="H6093">
        <f>IF(DATOS!$G6093&lt;&gt;"EX",0,--(COUNTIFS(nNIA,DATOS!$A6093,nCURSO,DATOS!$D6093,nESPEC,DATOS!$E6093,nASIG,DATOS!$I6093,nEVAL,"OR")=0))</f>
      </c>
      <c r="I6093">
        <f>IF(DATOS!$I6093="","",IFERROR(VLOOKUP(DATOS!$I6093,CONFIG_ASIGNATURAS!$B$2:$J$91,9,FALSE()),""))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IF(DATOS!$A6094="",0,IF(CONFIG_METADATA!$B$4&lt;&gt;"OR+EX",--(DATOS!$G6094=CONFIG_METADATA!$B$4),IF(DATOS!$G6094="EX",1,IF(DATOS!$G6094="OR",--(COUNTIFS(nNIA,DATOS!$A6094,nCURSO,DATOS!$D6094,nESPEC,DATOS!$E6094,nASIG,DATOS!$I6094,nEVAL,"EX")=0),0))))</f>
      </c>
      <c r="H6094">
        <f>IF(DATOS!$G6094&lt;&gt;"EX",0,--(COUNTIFS(nNIA,DATOS!$A6094,nCURSO,DATOS!$D6094,nESPEC,DATOS!$E6094,nASIG,DATOS!$I6094,nEVAL,"OR")=0))</f>
      </c>
      <c r="I6094">
        <f>IF(DATOS!$I6094="","",IFERROR(VLOOKUP(DATOS!$I6094,CONFIG_ASIGNATURAS!$B$2:$J$91,9,FALSE()),""))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IF(DATOS!$A6095="",0,IF(CONFIG_METADATA!$B$4&lt;&gt;"OR+EX",--(DATOS!$G6095=CONFIG_METADATA!$B$4),IF(DATOS!$G6095="EX",1,IF(DATOS!$G6095="OR",--(COUNTIFS(nNIA,DATOS!$A6095,nCURSO,DATOS!$D6095,nESPEC,DATOS!$E6095,nASIG,DATOS!$I6095,nEVAL,"EX")=0),0))))</f>
      </c>
      <c r="H6095">
        <f>IF(DATOS!$G6095&lt;&gt;"EX",0,--(COUNTIFS(nNIA,DATOS!$A6095,nCURSO,DATOS!$D6095,nESPEC,DATOS!$E6095,nASIG,DATOS!$I6095,nEVAL,"OR")=0))</f>
      </c>
      <c r="I6095">
        <f>IF(DATOS!$I6095="","",IFERROR(VLOOKUP(DATOS!$I6095,CONFIG_ASIGNATURAS!$B$2:$J$91,9,FALSE()),""))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IF(DATOS!$A6096="",0,IF(CONFIG_METADATA!$B$4&lt;&gt;"OR+EX",--(DATOS!$G6096=CONFIG_METADATA!$B$4),IF(DATOS!$G6096="EX",1,IF(DATOS!$G6096="OR",--(COUNTIFS(nNIA,DATOS!$A6096,nCURSO,DATOS!$D6096,nESPEC,DATOS!$E6096,nASIG,DATOS!$I6096,nEVAL,"EX")=0),0))))</f>
      </c>
      <c r="H6096">
        <f>IF(DATOS!$G6096&lt;&gt;"EX",0,--(COUNTIFS(nNIA,DATOS!$A6096,nCURSO,DATOS!$D6096,nESPEC,DATOS!$E6096,nASIG,DATOS!$I6096,nEVAL,"OR")=0))</f>
      </c>
      <c r="I6096">
        <f>IF(DATOS!$I6096="","",IFERROR(VLOOKUP(DATOS!$I6096,CONFIG_ASIGNATURAS!$B$2:$J$91,9,FALSE()),""))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IF(DATOS!$A6097="",0,IF(CONFIG_METADATA!$B$4&lt;&gt;"OR+EX",--(DATOS!$G6097=CONFIG_METADATA!$B$4),IF(DATOS!$G6097="EX",1,IF(DATOS!$G6097="OR",--(COUNTIFS(nNIA,DATOS!$A6097,nCURSO,DATOS!$D6097,nESPEC,DATOS!$E6097,nASIG,DATOS!$I6097,nEVAL,"EX")=0),0))))</f>
      </c>
      <c r="H6097">
        <f>IF(DATOS!$G6097&lt;&gt;"EX",0,--(COUNTIFS(nNIA,DATOS!$A6097,nCURSO,DATOS!$D6097,nESPEC,DATOS!$E6097,nASIG,DATOS!$I6097,nEVAL,"OR")=0))</f>
      </c>
      <c r="I6097">
        <f>IF(DATOS!$I6097="","",IFERROR(VLOOKUP(DATOS!$I6097,CONFIG_ASIGNATURAS!$B$2:$J$91,9,FALSE()),""))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IF(DATOS!$A6098="",0,IF(CONFIG_METADATA!$B$4&lt;&gt;"OR+EX",--(DATOS!$G6098=CONFIG_METADATA!$B$4),IF(DATOS!$G6098="EX",1,IF(DATOS!$G6098="OR",--(COUNTIFS(nNIA,DATOS!$A6098,nCURSO,DATOS!$D6098,nESPEC,DATOS!$E6098,nASIG,DATOS!$I6098,nEVAL,"EX")=0),0))))</f>
      </c>
      <c r="H6098">
        <f>IF(DATOS!$G6098&lt;&gt;"EX",0,--(COUNTIFS(nNIA,DATOS!$A6098,nCURSO,DATOS!$D6098,nESPEC,DATOS!$E6098,nASIG,DATOS!$I6098,nEVAL,"OR")=0))</f>
      </c>
      <c r="I6098">
        <f>IF(DATOS!$I6098="","",IFERROR(VLOOKUP(DATOS!$I6098,CONFIG_ASIGNATURAS!$B$2:$J$91,9,FALSE()),""))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IF(DATOS!$A6099="",0,IF(CONFIG_METADATA!$B$4&lt;&gt;"OR+EX",--(DATOS!$G6099=CONFIG_METADATA!$B$4),IF(DATOS!$G6099="EX",1,IF(DATOS!$G6099="OR",--(COUNTIFS(nNIA,DATOS!$A6099,nCURSO,DATOS!$D6099,nESPEC,DATOS!$E6099,nASIG,DATOS!$I6099,nEVAL,"EX")=0),0))))</f>
      </c>
      <c r="H6099">
        <f>IF(DATOS!$G6099&lt;&gt;"EX",0,--(COUNTIFS(nNIA,DATOS!$A6099,nCURSO,DATOS!$D6099,nESPEC,DATOS!$E6099,nASIG,DATOS!$I6099,nEVAL,"OR")=0))</f>
      </c>
      <c r="I6099">
        <f>IF(DATOS!$I6099="","",IFERROR(VLOOKUP(DATOS!$I6099,CONFIG_ASIGNATURAS!$B$2:$J$91,9,FALSE()),""))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IF(DATOS!$A6100="",0,IF(CONFIG_METADATA!$B$4&lt;&gt;"OR+EX",--(DATOS!$G6100=CONFIG_METADATA!$B$4),IF(DATOS!$G6100="EX",1,IF(DATOS!$G6100="OR",--(COUNTIFS(nNIA,DATOS!$A6100,nCURSO,DATOS!$D6100,nESPEC,DATOS!$E6100,nASIG,DATOS!$I6100,nEVAL,"EX")=0),0))))</f>
      </c>
      <c r="H6100">
        <f>IF(DATOS!$G6100&lt;&gt;"EX",0,--(COUNTIFS(nNIA,DATOS!$A6100,nCURSO,DATOS!$D6100,nESPEC,DATOS!$E6100,nASIG,DATOS!$I6100,nEVAL,"OR")=0))</f>
      </c>
      <c r="I6100">
        <f>IF(DATOS!$I6100="","",IFERROR(VLOOKUP(DATOS!$I6100,CONFIG_ASIGNATURAS!$B$2:$J$91,9,FALSE()),""))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IF(DATOS!$A6101="",0,IF(CONFIG_METADATA!$B$4&lt;&gt;"OR+EX",--(DATOS!$G6101=CONFIG_METADATA!$B$4),IF(DATOS!$G6101="EX",1,IF(DATOS!$G6101="OR",--(COUNTIFS(nNIA,DATOS!$A6101,nCURSO,DATOS!$D6101,nESPEC,DATOS!$E6101,nASIG,DATOS!$I6101,nEVAL,"EX")=0),0))))</f>
      </c>
      <c r="H6101">
        <f>IF(DATOS!$G6101&lt;&gt;"EX",0,--(COUNTIFS(nNIA,DATOS!$A6101,nCURSO,DATOS!$D6101,nESPEC,DATOS!$E6101,nASIG,DATOS!$I6101,nEVAL,"OR")=0))</f>
      </c>
      <c r="I6101">
        <f>IF(DATOS!$I6101="","",IFERROR(VLOOKUP(DATOS!$I6101,CONFIG_ASIGNATURAS!$B$2:$J$91,9,FALSE()),""))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IF(DATOS!$A6102="",0,IF(CONFIG_METADATA!$B$4&lt;&gt;"OR+EX",--(DATOS!$G6102=CONFIG_METADATA!$B$4),IF(DATOS!$G6102="EX",1,IF(DATOS!$G6102="OR",--(COUNTIFS(nNIA,DATOS!$A6102,nCURSO,DATOS!$D6102,nESPEC,DATOS!$E6102,nASIG,DATOS!$I6102,nEVAL,"EX")=0),0))))</f>
      </c>
      <c r="H6102">
        <f>IF(DATOS!$G6102&lt;&gt;"EX",0,--(COUNTIFS(nNIA,DATOS!$A6102,nCURSO,DATOS!$D6102,nESPEC,DATOS!$E6102,nASIG,DATOS!$I6102,nEVAL,"OR")=0))</f>
      </c>
      <c r="I6102">
        <f>IF(DATOS!$I6102="","",IFERROR(VLOOKUP(DATOS!$I6102,CONFIG_ASIGNATURAS!$B$2:$J$91,9,FALSE()),""))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IF(DATOS!$A6103="",0,IF(CONFIG_METADATA!$B$4&lt;&gt;"OR+EX",--(DATOS!$G6103=CONFIG_METADATA!$B$4),IF(DATOS!$G6103="EX",1,IF(DATOS!$G6103="OR",--(COUNTIFS(nNIA,DATOS!$A6103,nCURSO,DATOS!$D6103,nESPEC,DATOS!$E6103,nASIG,DATOS!$I6103,nEVAL,"EX")=0),0))))</f>
      </c>
      <c r="H6103">
        <f>IF(DATOS!$G6103&lt;&gt;"EX",0,--(COUNTIFS(nNIA,DATOS!$A6103,nCURSO,DATOS!$D6103,nESPEC,DATOS!$E6103,nASIG,DATOS!$I6103,nEVAL,"OR")=0))</f>
      </c>
      <c r="I6103">
        <f>IF(DATOS!$I6103="","",IFERROR(VLOOKUP(DATOS!$I6103,CONFIG_ASIGNATURAS!$B$2:$J$91,9,FALSE()),""))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IF(DATOS!$A6104="",0,IF(CONFIG_METADATA!$B$4&lt;&gt;"OR+EX",--(DATOS!$G6104=CONFIG_METADATA!$B$4),IF(DATOS!$G6104="EX",1,IF(DATOS!$G6104="OR",--(COUNTIFS(nNIA,DATOS!$A6104,nCURSO,DATOS!$D6104,nESPEC,DATOS!$E6104,nASIG,DATOS!$I6104,nEVAL,"EX")=0),0))))</f>
      </c>
      <c r="H6104">
        <f>IF(DATOS!$G6104&lt;&gt;"EX",0,--(COUNTIFS(nNIA,DATOS!$A6104,nCURSO,DATOS!$D6104,nESPEC,DATOS!$E6104,nASIG,DATOS!$I6104,nEVAL,"OR")=0))</f>
      </c>
      <c r="I6104">
        <f>IF(DATOS!$I6104="","",IFERROR(VLOOKUP(DATOS!$I6104,CONFIG_ASIGNATURAS!$B$2:$J$91,9,FALSE()),""))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IF(DATOS!$A6105="",0,IF(CONFIG_METADATA!$B$4&lt;&gt;"OR+EX",--(DATOS!$G6105=CONFIG_METADATA!$B$4),IF(DATOS!$G6105="EX",1,IF(DATOS!$G6105="OR",--(COUNTIFS(nNIA,DATOS!$A6105,nCURSO,DATOS!$D6105,nESPEC,DATOS!$E6105,nASIG,DATOS!$I6105,nEVAL,"EX")=0),0))))</f>
      </c>
      <c r="H6105">
        <f>IF(DATOS!$G6105&lt;&gt;"EX",0,--(COUNTIFS(nNIA,DATOS!$A6105,nCURSO,DATOS!$D6105,nESPEC,DATOS!$E6105,nASIG,DATOS!$I6105,nEVAL,"OR")=0))</f>
      </c>
      <c r="I6105">
        <f>IF(DATOS!$I6105="","",IFERROR(VLOOKUP(DATOS!$I6105,CONFIG_ASIGNATURAS!$B$2:$J$91,9,FALSE()),""))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IF(DATOS!$A6106="",0,IF(CONFIG_METADATA!$B$4&lt;&gt;"OR+EX",--(DATOS!$G6106=CONFIG_METADATA!$B$4),IF(DATOS!$G6106="EX",1,IF(DATOS!$G6106="OR",--(COUNTIFS(nNIA,DATOS!$A6106,nCURSO,DATOS!$D6106,nESPEC,DATOS!$E6106,nASIG,DATOS!$I6106,nEVAL,"EX")=0),0))))</f>
      </c>
      <c r="H6106">
        <f>IF(DATOS!$G6106&lt;&gt;"EX",0,--(COUNTIFS(nNIA,DATOS!$A6106,nCURSO,DATOS!$D6106,nESPEC,DATOS!$E6106,nASIG,DATOS!$I6106,nEVAL,"OR")=0))</f>
      </c>
      <c r="I6106">
        <f>IF(DATOS!$I6106="","",IFERROR(VLOOKUP(DATOS!$I6106,CONFIG_ASIGNATURAS!$B$2:$J$91,9,FALSE()),""))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IF(DATOS!$A6107="",0,IF(CONFIG_METADATA!$B$4&lt;&gt;"OR+EX",--(DATOS!$G6107=CONFIG_METADATA!$B$4),IF(DATOS!$G6107="EX",1,IF(DATOS!$G6107="OR",--(COUNTIFS(nNIA,DATOS!$A6107,nCURSO,DATOS!$D6107,nESPEC,DATOS!$E6107,nASIG,DATOS!$I6107,nEVAL,"EX")=0),0))))</f>
      </c>
      <c r="H6107">
        <f>IF(DATOS!$G6107&lt;&gt;"EX",0,--(COUNTIFS(nNIA,DATOS!$A6107,nCURSO,DATOS!$D6107,nESPEC,DATOS!$E6107,nASIG,DATOS!$I6107,nEVAL,"OR")=0))</f>
      </c>
      <c r="I6107">
        <f>IF(DATOS!$I6107="","",IFERROR(VLOOKUP(DATOS!$I6107,CONFIG_ASIGNATURAS!$B$2:$J$91,9,FALSE()),""))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IF(DATOS!$A6108="",0,IF(CONFIG_METADATA!$B$4&lt;&gt;"OR+EX",--(DATOS!$G6108=CONFIG_METADATA!$B$4),IF(DATOS!$G6108="EX",1,IF(DATOS!$G6108="OR",--(COUNTIFS(nNIA,DATOS!$A6108,nCURSO,DATOS!$D6108,nESPEC,DATOS!$E6108,nASIG,DATOS!$I6108,nEVAL,"EX")=0),0))))</f>
      </c>
      <c r="H6108">
        <f>IF(DATOS!$G6108&lt;&gt;"EX",0,--(COUNTIFS(nNIA,DATOS!$A6108,nCURSO,DATOS!$D6108,nESPEC,DATOS!$E6108,nASIG,DATOS!$I6108,nEVAL,"OR")=0))</f>
      </c>
      <c r="I6108">
        <f>IF(DATOS!$I6108="","",IFERROR(VLOOKUP(DATOS!$I6108,CONFIG_ASIGNATURAS!$B$2:$J$91,9,FALSE()),""))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IF(DATOS!$A6109="",0,IF(CONFIG_METADATA!$B$4&lt;&gt;"OR+EX",--(DATOS!$G6109=CONFIG_METADATA!$B$4),IF(DATOS!$G6109="EX",1,IF(DATOS!$G6109="OR",--(COUNTIFS(nNIA,DATOS!$A6109,nCURSO,DATOS!$D6109,nESPEC,DATOS!$E6109,nASIG,DATOS!$I6109,nEVAL,"EX")=0),0))))</f>
      </c>
      <c r="H6109">
        <f>IF(DATOS!$G6109&lt;&gt;"EX",0,--(COUNTIFS(nNIA,DATOS!$A6109,nCURSO,DATOS!$D6109,nESPEC,DATOS!$E6109,nASIG,DATOS!$I6109,nEVAL,"OR")=0))</f>
      </c>
      <c r="I6109">
        <f>IF(DATOS!$I6109="","",IFERROR(VLOOKUP(DATOS!$I6109,CONFIG_ASIGNATURAS!$B$2:$J$91,9,FALSE()),""))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IF(DATOS!$A6110="",0,IF(CONFIG_METADATA!$B$4&lt;&gt;"OR+EX",--(DATOS!$G6110=CONFIG_METADATA!$B$4),IF(DATOS!$G6110="EX",1,IF(DATOS!$G6110="OR",--(COUNTIFS(nNIA,DATOS!$A6110,nCURSO,DATOS!$D6110,nESPEC,DATOS!$E6110,nASIG,DATOS!$I6110,nEVAL,"EX")=0),0))))</f>
      </c>
      <c r="H6110">
        <f>IF(DATOS!$G6110&lt;&gt;"EX",0,--(COUNTIFS(nNIA,DATOS!$A6110,nCURSO,DATOS!$D6110,nESPEC,DATOS!$E6110,nASIG,DATOS!$I6110,nEVAL,"OR")=0))</f>
      </c>
      <c r="I6110">
        <f>IF(DATOS!$I6110="","",IFERROR(VLOOKUP(DATOS!$I6110,CONFIG_ASIGNATURAS!$B$2:$J$91,9,FALSE()),""))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IF(DATOS!$A6111="",0,IF(CONFIG_METADATA!$B$4&lt;&gt;"OR+EX",--(DATOS!$G6111=CONFIG_METADATA!$B$4),IF(DATOS!$G6111="EX",1,IF(DATOS!$G6111="OR",--(COUNTIFS(nNIA,DATOS!$A6111,nCURSO,DATOS!$D6111,nESPEC,DATOS!$E6111,nASIG,DATOS!$I6111,nEVAL,"EX")=0),0))))</f>
      </c>
      <c r="H6111">
        <f>IF(DATOS!$G6111&lt;&gt;"EX",0,--(COUNTIFS(nNIA,DATOS!$A6111,nCURSO,DATOS!$D6111,nESPEC,DATOS!$E6111,nASIG,DATOS!$I6111,nEVAL,"OR")=0))</f>
      </c>
      <c r="I6111">
        <f>IF(DATOS!$I6111="","",IFERROR(VLOOKUP(DATOS!$I6111,CONFIG_ASIGNATURAS!$B$2:$J$91,9,FALSE()),""))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IF(DATOS!$A6112="",0,IF(CONFIG_METADATA!$B$4&lt;&gt;"OR+EX",--(DATOS!$G6112=CONFIG_METADATA!$B$4),IF(DATOS!$G6112="EX",1,IF(DATOS!$G6112="OR",--(COUNTIFS(nNIA,DATOS!$A6112,nCURSO,DATOS!$D6112,nESPEC,DATOS!$E6112,nASIG,DATOS!$I6112,nEVAL,"EX")=0),0))))</f>
      </c>
      <c r="H6112">
        <f>IF(DATOS!$G6112&lt;&gt;"EX",0,--(COUNTIFS(nNIA,DATOS!$A6112,nCURSO,DATOS!$D6112,nESPEC,DATOS!$E6112,nASIG,DATOS!$I6112,nEVAL,"OR")=0))</f>
      </c>
      <c r="I6112">
        <f>IF(DATOS!$I6112="","",IFERROR(VLOOKUP(DATOS!$I6112,CONFIG_ASIGNATURAS!$B$2:$J$91,9,FALSE()),""))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IF(DATOS!$A6113="",0,IF(CONFIG_METADATA!$B$4&lt;&gt;"OR+EX",--(DATOS!$G6113=CONFIG_METADATA!$B$4),IF(DATOS!$G6113="EX",1,IF(DATOS!$G6113="OR",--(COUNTIFS(nNIA,DATOS!$A6113,nCURSO,DATOS!$D6113,nESPEC,DATOS!$E6113,nASIG,DATOS!$I6113,nEVAL,"EX")=0),0))))</f>
      </c>
      <c r="H6113">
        <f>IF(DATOS!$G6113&lt;&gt;"EX",0,--(COUNTIFS(nNIA,DATOS!$A6113,nCURSO,DATOS!$D6113,nESPEC,DATOS!$E6113,nASIG,DATOS!$I6113,nEVAL,"OR")=0))</f>
      </c>
      <c r="I6113">
        <f>IF(DATOS!$I6113="","",IFERROR(VLOOKUP(DATOS!$I6113,CONFIG_ASIGNATURAS!$B$2:$J$91,9,FALSE()),""))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IF(DATOS!$A6114="",0,IF(CONFIG_METADATA!$B$4&lt;&gt;"OR+EX",--(DATOS!$G6114=CONFIG_METADATA!$B$4),IF(DATOS!$G6114="EX",1,IF(DATOS!$G6114="OR",--(COUNTIFS(nNIA,DATOS!$A6114,nCURSO,DATOS!$D6114,nESPEC,DATOS!$E6114,nASIG,DATOS!$I6114,nEVAL,"EX")=0),0))))</f>
      </c>
      <c r="H6114">
        <f>IF(DATOS!$G6114&lt;&gt;"EX",0,--(COUNTIFS(nNIA,DATOS!$A6114,nCURSO,DATOS!$D6114,nESPEC,DATOS!$E6114,nASIG,DATOS!$I6114,nEVAL,"OR")=0))</f>
      </c>
      <c r="I6114">
        <f>IF(DATOS!$I6114="","",IFERROR(VLOOKUP(DATOS!$I6114,CONFIG_ASIGNATURAS!$B$2:$J$91,9,FALSE()),""))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IF(DATOS!$A6115="",0,IF(CONFIG_METADATA!$B$4&lt;&gt;"OR+EX",--(DATOS!$G6115=CONFIG_METADATA!$B$4),IF(DATOS!$G6115="EX",1,IF(DATOS!$G6115="OR",--(COUNTIFS(nNIA,DATOS!$A6115,nCURSO,DATOS!$D6115,nESPEC,DATOS!$E6115,nASIG,DATOS!$I6115,nEVAL,"EX")=0),0))))</f>
      </c>
      <c r="H6115">
        <f>IF(DATOS!$G6115&lt;&gt;"EX",0,--(COUNTIFS(nNIA,DATOS!$A6115,nCURSO,DATOS!$D6115,nESPEC,DATOS!$E6115,nASIG,DATOS!$I6115,nEVAL,"OR")=0))</f>
      </c>
      <c r="I6115">
        <f>IF(DATOS!$I6115="","",IFERROR(VLOOKUP(DATOS!$I6115,CONFIG_ASIGNATURAS!$B$2:$J$91,9,FALSE()),""))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IF(DATOS!$A6116="",0,IF(CONFIG_METADATA!$B$4&lt;&gt;"OR+EX",--(DATOS!$G6116=CONFIG_METADATA!$B$4),IF(DATOS!$G6116="EX",1,IF(DATOS!$G6116="OR",--(COUNTIFS(nNIA,DATOS!$A6116,nCURSO,DATOS!$D6116,nESPEC,DATOS!$E6116,nASIG,DATOS!$I6116,nEVAL,"EX")=0),0))))</f>
      </c>
      <c r="H6116">
        <f>IF(DATOS!$G6116&lt;&gt;"EX",0,--(COUNTIFS(nNIA,DATOS!$A6116,nCURSO,DATOS!$D6116,nESPEC,DATOS!$E6116,nASIG,DATOS!$I6116,nEVAL,"OR")=0))</f>
      </c>
      <c r="I6116">
        <f>IF(DATOS!$I6116="","",IFERROR(VLOOKUP(DATOS!$I6116,CONFIG_ASIGNATURAS!$B$2:$J$91,9,FALSE()),""))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IF(DATOS!$A6117="",0,IF(CONFIG_METADATA!$B$4&lt;&gt;"OR+EX",--(DATOS!$G6117=CONFIG_METADATA!$B$4),IF(DATOS!$G6117="EX",1,IF(DATOS!$G6117="OR",--(COUNTIFS(nNIA,DATOS!$A6117,nCURSO,DATOS!$D6117,nESPEC,DATOS!$E6117,nASIG,DATOS!$I6117,nEVAL,"EX")=0),0))))</f>
      </c>
      <c r="H6117">
        <f>IF(DATOS!$G6117&lt;&gt;"EX",0,--(COUNTIFS(nNIA,DATOS!$A6117,nCURSO,DATOS!$D6117,nESPEC,DATOS!$E6117,nASIG,DATOS!$I6117,nEVAL,"OR")=0))</f>
      </c>
      <c r="I6117">
        <f>IF(DATOS!$I6117="","",IFERROR(VLOOKUP(DATOS!$I6117,CONFIG_ASIGNATURAS!$B$2:$J$91,9,FALSE()),""))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IF(DATOS!$A6118="",0,IF(CONFIG_METADATA!$B$4&lt;&gt;"OR+EX",--(DATOS!$G6118=CONFIG_METADATA!$B$4),IF(DATOS!$G6118="EX",1,IF(DATOS!$G6118="OR",--(COUNTIFS(nNIA,DATOS!$A6118,nCURSO,DATOS!$D6118,nESPEC,DATOS!$E6118,nASIG,DATOS!$I6118,nEVAL,"EX")=0),0))))</f>
      </c>
      <c r="H6118">
        <f>IF(DATOS!$G6118&lt;&gt;"EX",0,--(COUNTIFS(nNIA,DATOS!$A6118,nCURSO,DATOS!$D6118,nESPEC,DATOS!$E6118,nASIG,DATOS!$I6118,nEVAL,"OR")=0))</f>
      </c>
      <c r="I6118">
        <f>IF(DATOS!$I6118="","",IFERROR(VLOOKUP(DATOS!$I6118,CONFIG_ASIGNATURAS!$B$2:$J$91,9,FALSE()),""))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IF(DATOS!$A6119="",0,IF(CONFIG_METADATA!$B$4&lt;&gt;"OR+EX",--(DATOS!$G6119=CONFIG_METADATA!$B$4),IF(DATOS!$G6119="EX",1,IF(DATOS!$G6119="OR",--(COUNTIFS(nNIA,DATOS!$A6119,nCURSO,DATOS!$D6119,nESPEC,DATOS!$E6119,nASIG,DATOS!$I6119,nEVAL,"EX")=0),0))))</f>
      </c>
      <c r="H6119">
        <f>IF(DATOS!$G6119&lt;&gt;"EX",0,--(COUNTIFS(nNIA,DATOS!$A6119,nCURSO,DATOS!$D6119,nESPEC,DATOS!$E6119,nASIG,DATOS!$I6119,nEVAL,"OR")=0))</f>
      </c>
      <c r="I6119">
        <f>IF(DATOS!$I6119="","",IFERROR(VLOOKUP(DATOS!$I6119,CONFIG_ASIGNATURAS!$B$2:$J$91,9,FALSE()),""))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IF(DATOS!$A6120="",0,IF(CONFIG_METADATA!$B$4&lt;&gt;"OR+EX",--(DATOS!$G6120=CONFIG_METADATA!$B$4),IF(DATOS!$G6120="EX",1,IF(DATOS!$G6120="OR",--(COUNTIFS(nNIA,DATOS!$A6120,nCURSO,DATOS!$D6120,nESPEC,DATOS!$E6120,nASIG,DATOS!$I6120,nEVAL,"EX")=0),0))))</f>
      </c>
      <c r="H6120">
        <f>IF(DATOS!$G6120&lt;&gt;"EX",0,--(COUNTIFS(nNIA,DATOS!$A6120,nCURSO,DATOS!$D6120,nESPEC,DATOS!$E6120,nASIG,DATOS!$I6120,nEVAL,"OR")=0))</f>
      </c>
      <c r="I6120">
        <f>IF(DATOS!$I6120="","",IFERROR(VLOOKUP(DATOS!$I6120,CONFIG_ASIGNATURAS!$B$2:$J$91,9,FALSE()),""))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IF(DATOS!$A6121="",0,IF(CONFIG_METADATA!$B$4&lt;&gt;"OR+EX",--(DATOS!$G6121=CONFIG_METADATA!$B$4),IF(DATOS!$G6121="EX",1,IF(DATOS!$G6121="OR",--(COUNTIFS(nNIA,DATOS!$A6121,nCURSO,DATOS!$D6121,nESPEC,DATOS!$E6121,nASIG,DATOS!$I6121,nEVAL,"EX")=0),0))))</f>
      </c>
      <c r="H6121">
        <f>IF(DATOS!$G6121&lt;&gt;"EX",0,--(COUNTIFS(nNIA,DATOS!$A6121,nCURSO,DATOS!$D6121,nESPEC,DATOS!$E6121,nASIG,DATOS!$I6121,nEVAL,"OR")=0))</f>
      </c>
      <c r="I6121">
        <f>IF(DATOS!$I6121="","",IFERROR(VLOOKUP(DATOS!$I6121,CONFIG_ASIGNATURAS!$B$2:$J$91,9,FALSE()),""))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IF(DATOS!$A6122="",0,IF(CONFIG_METADATA!$B$4&lt;&gt;"OR+EX",--(DATOS!$G6122=CONFIG_METADATA!$B$4),IF(DATOS!$G6122="EX",1,IF(DATOS!$G6122="OR",--(COUNTIFS(nNIA,DATOS!$A6122,nCURSO,DATOS!$D6122,nESPEC,DATOS!$E6122,nASIG,DATOS!$I6122,nEVAL,"EX")=0),0))))</f>
      </c>
      <c r="H6122">
        <f>IF(DATOS!$G6122&lt;&gt;"EX",0,--(COUNTIFS(nNIA,DATOS!$A6122,nCURSO,DATOS!$D6122,nESPEC,DATOS!$E6122,nASIG,DATOS!$I6122,nEVAL,"OR")=0))</f>
      </c>
      <c r="I6122">
        <f>IF(DATOS!$I6122="","",IFERROR(VLOOKUP(DATOS!$I6122,CONFIG_ASIGNATURAS!$B$2:$J$91,9,FALSE()),""))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IF(DATOS!$A6123="",0,IF(CONFIG_METADATA!$B$4&lt;&gt;"OR+EX",--(DATOS!$G6123=CONFIG_METADATA!$B$4),IF(DATOS!$G6123="EX",1,IF(DATOS!$G6123="OR",--(COUNTIFS(nNIA,DATOS!$A6123,nCURSO,DATOS!$D6123,nESPEC,DATOS!$E6123,nASIG,DATOS!$I6123,nEVAL,"EX")=0),0))))</f>
      </c>
      <c r="H6123">
        <f>IF(DATOS!$G6123&lt;&gt;"EX",0,--(COUNTIFS(nNIA,DATOS!$A6123,nCURSO,DATOS!$D6123,nESPEC,DATOS!$E6123,nASIG,DATOS!$I6123,nEVAL,"OR")=0))</f>
      </c>
      <c r="I6123">
        <f>IF(DATOS!$I6123="","",IFERROR(VLOOKUP(DATOS!$I6123,CONFIG_ASIGNATURAS!$B$2:$J$91,9,FALSE()),""))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IF(DATOS!$A6124="",0,IF(CONFIG_METADATA!$B$4&lt;&gt;"OR+EX",--(DATOS!$G6124=CONFIG_METADATA!$B$4),IF(DATOS!$G6124="EX",1,IF(DATOS!$G6124="OR",--(COUNTIFS(nNIA,DATOS!$A6124,nCURSO,DATOS!$D6124,nESPEC,DATOS!$E6124,nASIG,DATOS!$I6124,nEVAL,"EX")=0),0))))</f>
      </c>
      <c r="H6124">
        <f>IF(DATOS!$G6124&lt;&gt;"EX",0,--(COUNTIFS(nNIA,DATOS!$A6124,nCURSO,DATOS!$D6124,nESPEC,DATOS!$E6124,nASIG,DATOS!$I6124,nEVAL,"OR")=0))</f>
      </c>
      <c r="I6124">
        <f>IF(DATOS!$I6124="","",IFERROR(VLOOKUP(DATOS!$I6124,CONFIG_ASIGNATURAS!$B$2:$J$91,9,FALSE()),""))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IF(DATOS!$A6125="",0,IF(CONFIG_METADATA!$B$4&lt;&gt;"OR+EX",--(DATOS!$G6125=CONFIG_METADATA!$B$4),IF(DATOS!$G6125="EX",1,IF(DATOS!$G6125="OR",--(COUNTIFS(nNIA,DATOS!$A6125,nCURSO,DATOS!$D6125,nESPEC,DATOS!$E6125,nASIG,DATOS!$I6125,nEVAL,"EX")=0),0))))</f>
      </c>
      <c r="H6125">
        <f>IF(DATOS!$G6125&lt;&gt;"EX",0,--(COUNTIFS(nNIA,DATOS!$A6125,nCURSO,DATOS!$D6125,nESPEC,DATOS!$E6125,nASIG,DATOS!$I6125,nEVAL,"OR")=0))</f>
      </c>
      <c r="I6125">
        <f>IF(DATOS!$I6125="","",IFERROR(VLOOKUP(DATOS!$I6125,CONFIG_ASIGNATURAS!$B$2:$J$91,9,FALSE()),""))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IF(DATOS!$A6126="",0,IF(CONFIG_METADATA!$B$4&lt;&gt;"OR+EX",--(DATOS!$G6126=CONFIG_METADATA!$B$4),IF(DATOS!$G6126="EX",1,IF(DATOS!$G6126="OR",--(COUNTIFS(nNIA,DATOS!$A6126,nCURSO,DATOS!$D6126,nESPEC,DATOS!$E6126,nASIG,DATOS!$I6126,nEVAL,"EX")=0),0))))</f>
      </c>
      <c r="H6126">
        <f>IF(DATOS!$G6126&lt;&gt;"EX",0,--(COUNTIFS(nNIA,DATOS!$A6126,nCURSO,DATOS!$D6126,nESPEC,DATOS!$E6126,nASIG,DATOS!$I6126,nEVAL,"OR")=0))</f>
      </c>
      <c r="I6126">
        <f>IF(DATOS!$I6126="","",IFERROR(VLOOKUP(DATOS!$I6126,CONFIG_ASIGNATURAS!$B$2:$J$91,9,FALSE()),""))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IF(DATOS!$A6127="",0,IF(CONFIG_METADATA!$B$4&lt;&gt;"OR+EX",--(DATOS!$G6127=CONFIG_METADATA!$B$4),IF(DATOS!$G6127="EX",1,IF(DATOS!$G6127="OR",--(COUNTIFS(nNIA,DATOS!$A6127,nCURSO,DATOS!$D6127,nESPEC,DATOS!$E6127,nASIG,DATOS!$I6127,nEVAL,"EX")=0),0))))</f>
      </c>
      <c r="H6127">
        <f>IF(DATOS!$G6127&lt;&gt;"EX",0,--(COUNTIFS(nNIA,DATOS!$A6127,nCURSO,DATOS!$D6127,nESPEC,DATOS!$E6127,nASIG,DATOS!$I6127,nEVAL,"OR")=0))</f>
      </c>
      <c r="I6127">
        <f>IF(DATOS!$I6127="","",IFERROR(VLOOKUP(DATOS!$I6127,CONFIG_ASIGNATURAS!$B$2:$J$91,9,FALSE()),""))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IF(DATOS!$A6128="",0,IF(CONFIG_METADATA!$B$4&lt;&gt;"OR+EX",--(DATOS!$G6128=CONFIG_METADATA!$B$4),IF(DATOS!$G6128="EX",1,IF(DATOS!$G6128="OR",--(COUNTIFS(nNIA,DATOS!$A6128,nCURSO,DATOS!$D6128,nESPEC,DATOS!$E6128,nASIG,DATOS!$I6128,nEVAL,"EX")=0),0))))</f>
      </c>
      <c r="H6128">
        <f>IF(DATOS!$G6128&lt;&gt;"EX",0,--(COUNTIFS(nNIA,DATOS!$A6128,nCURSO,DATOS!$D6128,nESPEC,DATOS!$E6128,nASIG,DATOS!$I6128,nEVAL,"OR")=0))</f>
      </c>
      <c r="I6128">
        <f>IF(DATOS!$I6128="","",IFERROR(VLOOKUP(DATOS!$I6128,CONFIG_ASIGNATURAS!$B$2:$J$91,9,FALSE()),""))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IF(DATOS!$A6129="",0,IF(CONFIG_METADATA!$B$4&lt;&gt;"OR+EX",--(DATOS!$G6129=CONFIG_METADATA!$B$4),IF(DATOS!$G6129="EX",1,IF(DATOS!$G6129="OR",--(COUNTIFS(nNIA,DATOS!$A6129,nCURSO,DATOS!$D6129,nESPEC,DATOS!$E6129,nASIG,DATOS!$I6129,nEVAL,"EX")=0),0))))</f>
      </c>
      <c r="H6129">
        <f>IF(DATOS!$G6129&lt;&gt;"EX",0,--(COUNTIFS(nNIA,DATOS!$A6129,nCURSO,DATOS!$D6129,nESPEC,DATOS!$E6129,nASIG,DATOS!$I6129,nEVAL,"OR")=0))</f>
      </c>
      <c r="I6129">
        <f>IF(DATOS!$I6129="","",IFERROR(VLOOKUP(DATOS!$I6129,CONFIG_ASIGNATURAS!$B$2:$J$91,9,FALSE()),""))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IF(DATOS!$A6130="",0,IF(CONFIG_METADATA!$B$4&lt;&gt;"OR+EX",--(DATOS!$G6130=CONFIG_METADATA!$B$4),IF(DATOS!$G6130="EX",1,IF(DATOS!$G6130="OR",--(COUNTIFS(nNIA,DATOS!$A6130,nCURSO,DATOS!$D6130,nESPEC,DATOS!$E6130,nASIG,DATOS!$I6130,nEVAL,"EX")=0),0))))</f>
      </c>
      <c r="H6130">
        <f>IF(DATOS!$G6130&lt;&gt;"EX",0,--(COUNTIFS(nNIA,DATOS!$A6130,nCURSO,DATOS!$D6130,nESPEC,DATOS!$E6130,nASIG,DATOS!$I6130,nEVAL,"OR")=0))</f>
      </c>
      <c r="I6130">
        <f>IF(DATOS!$I6130="","",IFERROR(VLOOKUP(DATOS!$I6130,CONFIG_ASIGNATURAS!$B$2:$J$91,9,FALSE()),""))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IF(DATOS!$A6131="",0,IF(CONFIG_METADATA!$B$4&lt;&gt;"OR+EX",--(DATOS!$G6131=CONFIG_METADATA!$B$4),IF(DATOS!$G6131="EX",1,IF(DATOS!$G6131="OR",--(COUNTIFS(nNIA,DATOS!$A6131,nCURSO,DATOS!$D6131,nESPEC,DATOS!$E6131,nASIG,DATOS!$I6131,nEVAL,"EX")=0),0))))</f>
      </c>
      <c r="H6131">
        <f>IF(DATOS!$G6131&lt;&gt;"EX",0,--(COUNTIFS(nNIA,DATOS!$A6131,nCURSO,DATOS!$D6131,nESPEC,DATOS!$E6131,nASIG,DATOS!$I6131,nEVAL,"OR")=0))</f>
      </c>
      <c r="I6131">
        <f>IF(DATOS!$I6131="","",IFERROR(VLOOKUP(DATOS!$I6131,CONFIG_ASIGNATURAS!$B$2:$J$91,9,FALSE()),""))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IF(DATOS!$A6132="",0,IF(CONFIG_METADATA!$B$4&lt;&gt;"OR+EX",--(DATOS!$G6132=CONFIG_METADATA!$B$4),IF(DATOS!$G6132="EX",1,IF(DATOS!$G6132="OR",--(COUNTIFS(nNIA,DATOS!$A6132,nCURSO,DATOS!$D6132,nESPEC,DATOS!$E6132,nASIG,DATOS!$I6132,nEVAL,"EX")=0),0))))</f>
      </c>
      <c r="H6132">
        <f>IF(DATOS!$G6132&lt;&gt;"EX",0,--(COUNTIFS(nNIA,DATOS!$A6132,nCURSO,DATOS!$D6132,nESPEC,DATOS!$E6132,nASIG,DATOS!$I6132,nEVAL,"OR")=0))</f>
      </c>
      <c r="I6132">
        <f>IF(DATOS!$I6132="","",IFERROR(VLOOKUP(DATOS!$I6132,CONFIG_ASIGNATURAS!$B$2:$J$91,9,FALSE()),""))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IF(DATOS!$A6133="",0,IF(CONFIG_METADATA!$B$4&lt;&gt;"OR+EX",--(DATOS!$G6133=CONFIG_METADATA!$B$4),IF(DATOS!$G6133="EX",1,IF(DATOS!$G6133="OR",--(COUNTIFS(nNIA,DATOS!$A6133,nCURSO,DATOS!$D6133,nESPEC,DATOS!$E6133,nASIG,DATOS!$I6133,nEVAL,"EX")=0),0))))</f>
      </c>
      <c r="H6133">
        <f>IF(DATOS!$G6133&lt;&gt;"EX",0,--(COUNTIFS(nNIA,DATOS!$A6133,nCURSO,DATOS!$D6133,nESPEC,DATOS!$E6133,nASIG,DATOS!$I6133,nEVAL,"OR")=0))</f>
      </c>
      <c r="I6133">
        <f>IF(DATOS!$I6133="","",IFERROR(VLOOKUP(DATOS!$I6133,CONFIG_ASIGNATURAS!$B$2:$J$91,9,FALSE()),""))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IF(DATOS!$A6134="",0,IF(CONFIG_METADATA!$B$4&lt;&gt;"OR+EX",--(DATOS!$G6134=CONFIG_METADATA!$B$4),IF(DATOS!$G6134="EX",1,IF(DATOS!$G6134="OR",--(COUNTIFS(nNIA,DATOS!$A6134,nCURSO,DATOS!$D6134,nESPEC,DATOS!$E6134,nASIG,DATOS!$I6134,nEVAL,"EX")=0),0))))</f>
      </c>
      <c r="H6134">
        <f>IF(DATOS!$G6134&lt;&gt;"EX",0,--(COUNTIFS(nNIA,DATOS!$A6134,nCURSO,DATOS!$D6134,nESPEC,DATOS!$E6134,nASIG,DATOS!$I6134,nEVAL,"OR")=0))</f>
      </c>
      <c r="I6134">
        <f>IF(DATOS!$I6134="","",IFERROR(VLOOKUP(DATOS!$I6134,CONFIG_ASIGNATURAS!$B$2:$J$91,9,FALSE()),""))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IF(DATOS!$A6135="",0,IF(CONFIG_METADATA!$B$4&lt;&gt;"OR+EX",--(DATOS!$G6135=CONFIG_METADATA!$B$4),IF(DATOS!$G6135="EX",1,IF(DATOS!$G6135="OR",--(COUNTIFS(nNIA,DATOS!$A6135,nCURSO,DATOS!$D6135,nESPEC,DATOS!$E6135,nASIG,DATOS!$I6135,nEVAL,"EX")=0),0))))</f>
      </c>
      <c r="H6135">
        <f>IF(DATOS!$G6135&lt;&gt;"EX",0,--(COUNTIFS(nNIA,DATOS!$A6135,nCURSO,DATOS!$D6135,nESPEC,DATOS!$E6135,nASIG,DATOS!$I6135,nEVAL,"OR")=0))</f>
      </c>
      <c r="I6135">
        <f>IF(DATOS!$I6135="","",IFERROR(VLOOKUP(DATOS!$I6135,CONFIG_ASIGNATURAS!$B$2:$J$91,9,FALSE()),""))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IF(DATOS!$A6136="",0,IF(CONFIG_METADATA!$B$4&lt;&gt;"OR+EX",--(DATOS!$G6136=CONFIG_METADATA!$B$4),IF(DATOS!$G6136="EX",1,IF(DATOS!$G6136="OR",--(COUNTIFS(nNIA,DATOS!$A6136,nCURSO,DATOS!$D6136,nESPEC,DATOS!$E6136,nASIG,DATOS!$I6136,nEVAL,"EX")=0),0))))</f>
      </c>
      <c r="H6136">
        <f>IF(DATOS!$G6136&lt;&gt;"EX",0,--(COUNTIFS(nNIA,DATOS!$A6136,nCURSO,DATOS!$D6136,nESPEC,DATOS!$E6136,nASIG,DATOS!$I6136,nEVAL,"OR")=0))</f>
      </c>
      <c r="I6136">
        <f>IF(DATOS!$I6136="","",IFERROR(VLOOKUP(DATOS!$I6136,CONFIG_ASIGNATURAS!$B$2:$J$91,9,FALSE()),""))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IF(DATOS!$A6137="",0,IF(CONFIG_METADATA!$B$4&lt;&gt;"OR+EX",--(DATOS!$G6137=CONFIG_METADATA!$B$4),IF(DATOS!$G6137="EX",1,IF(DATOS!$G6137="OR",--(COUNTIFS(nNIA,DATOS!$A6137,nCURSO,DATOS!$D6137,nESPEC,DATOS!$E6137,nASIG,DATOS!$I6137,nEVAL,"EX")=0),0))))</f>
      </c>
      <c r="H6137">
        <f>IF(DATOS!$G6137&lt;&gt;"EX",0,--(COUNTIFS(nNIA,DATOS!$A6137,nCURSO,DATOS!$D6137,nESPEC,DATOS!$E6137,nASIG,DATOS!$I6137,nEVAL,"OR")=0))</f>
      </c>
      <c r="I6137">
        <f>IF(DATOS!$I6137="","",IFERROR(VLOOKUP(DATOS!$I6137,CONFIG_ASIGNATURAS!$B$2:$J$91,9,FALSE()),""))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IF(DATOS!$A6138="",0,IF(CONFIG_METADATA!$B$4&lt;&gt;"OR+EX",--(DATOS!$G6138=CONFIG_METADATA!$B$4),IF(DATOS!$G6138="EX",1,IF(DATOS!$G6138="OR",--(COUNTIFS(nNIA,DATOS!$A6138,nCURSO,DATOS!$D6138,nESPEC,DATOS!$E6138,nASIG,DATOS!$I6138,nEVAL,"EX")=0),0))))</f>
      </c>
      <c r="H6138">
        <f>IF(DATOS!$G6138&lt;&gt;"EX",0,--(COUNTIFS(nNIA,DATOS!$A6138,nCURSO,DATOS!$D6138,nESPEC,DATOS!$E6138,nASIG,DATOS!$I6138,nEVAL,"OR")=0))</f>
      </c>
      <c r="I6138">
        <f>IF(DATOS!$I6138="","",IFERROR(VLOOKUP(DATOS!$I6138,CONFIG_ASIGNATURAS!$B$2:$J$91,9,FALSE()),""))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IF(DATOS!$A6139="",0,IF(CONFIG_METADATA!$B$4&lt;&gt;"OR+EX",--(DATOS!$G6139=CONFIG_METADATA!$B$4),IF(DATOS!$G6139="EX",1,IF(DATOS!$G6139="OR",--(COUNTIFS(nNIA,DATOS!$A6139,nCURSO,DATOS!$D6139,nESPEC,DATOS!$E6139,nASIG,DATOS!$I6139,nEVAL,"EX")=0),0))))</f>
      </c>
      <c r="H6139">
        <f>IF(DATOS!$G6139&lt;&gt;"EX",0,--(COUNTIFS(nNIA,DATOS!$A6139,nCURSO,DATOS!$D6139,nESPEC,DATOS!$E6139,nASIG,DATOS!$I6139,nEVAL,"OR")=0))</f>
      </c>
      <c r="I6139">
        <f>IF(DATOS!$I6139="","",IFERROR(VLOOKUP(DATOS!$I6139,CONFIG_ASIGNATURAS!$B$2:$J$91,9,FALSE()),""))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IF(DATOS!$A6140="",0,IF(CONFIG_METADATA!$B$4&lt;&gt;"OR+EX",--(DATOS!$G6140=CONFIG_METADATA!$B$4),IF(DATOS!$G6140="EX",1,IF(DATOS!$G6140="OR",--(COUNTIFS(nNIA,DATOS!$A6140,nCURSO,DATOS!$D6140,nESPEC,DATOS!$E6140,nASIG,DATOS!$I6140,nEVAL,"EX")=0),0))))</f>
      </c>
      <c r="H6140">
        <f>IF(DATOS!$G6140&lt;&gt;"EX",0,--(COUNTIFS(nNIA,DATOS!$A6140,nCURSO,DATOS!$D6140,nESPEC,DATOS!$E6140,nASIG,DATOS!$I6140,nEVAL,"OR")=0))</f>
      </c>
      <c r="I6140">
        <f>IF(DATOS!$I6140="","",IFERROR(VLOOKUP(DATOS!$I6140,CONFIG_ASIGNATURAS!$B$2:$J$91,9,FALSE()),""))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IF(DATOS!$A6141="",0,IF(CONFIG_METADATA!$B$4&lt;&gt;"OR+EX",--(DATOS!$G6141=CONFIG_METADATA!$B$4),IF(DATOS!$G6141="EX",1,IF(DATOS!$G6141="OR",--(COUNTIFS(nNIA,DATOS!$A6141,nCURSO,DATOS!$D6141,nESPEC,DATOS!$E6141,nASIG,DATOS!$I6141,nEVAL,"EX")=0),0))))</f>
      </c>
      <c r="H6141">
        <f>IF(DATOS!$G6141&lt;&gt;"EX",0,--(COUNTIFS(nNIA,DATOS!$A6141,nCURSO,DATOS!$D6141,nESPEC,DATOS!$E6141,nASIG,DATOS!$I6141,nEVAL,"OR")=0))</f>
      </c>
      <c r="I6141">
        <f>IF(DATOS!$I6141="","",IFERROR(VLOOKUP(DATOS!$I6141,CONFIG_ASIGNATURAS!$B$2:$J$91,9,FALSE()),""))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IF(DATOS!$A6142="",0,IF(CONFIG_METADATA!$B$4&lt;&gt;"OR+EX",--(DATOS!$G6142=CONFIG_METADATA!$B$4),IF(DATOS!$G6142="EX",1,IF(DATOS!$G6142="OR",--(COUNTIFS(nNIA,DATOS!$A6142,nCURSO,DATOS!$D6142,nESPEC,DATOS!$E6142,nASIG,DATOS!$I6142,nEVAL,"EX")=0),0))))</f>
      </c>
      <c r="H6142">
        <f>IF(DATOS!$G6142&lt;&gt;"EX",0,--(COUNTIFS(nNIA,DATOS!$A6142,nCURSO,DATOS!$D6142,nESPEC,DATOS!$E6142,nASIG,DATOS!$I6142,nEVAL,"OR")=0))</f>
      </c>
      <c r="I6142">
        <f>IF(DATOS!$I6142="","",IFERROR(VLOOKUP(DATOS!$I6142,CONFIG_ASIGNATURAS!$B$2:$J$91,9,FALSE()),""))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IF(DATOS!$A6143="",0,IF(CONFIG_METADATA!$B$4&lt;&gt;"OR+EX",--(DATOS!$G6143=CONFIG_METADATA!$B$4),IF(DATOS!$G6143="EX",1,IF(DATOS!$G6143="OR",--(COUNTIFS(nNIA,DATOS!$A6143,nCURSO,DATOS!$D6143,nESPEC,DATOS!$E6143,nASIG,DATOS!$I6143,nEVAL,"EX")=0),0))))</f>
      </c>
      <c r="H6143">
        <f>IF(DATOS!$G6143&lt;&gt;"EX",0,--(COUNTIFS(nNIA,DATOS!$A6143,nCURSO,DATOS!$D6143,nESPEC,DATOS!$E6143,nASIG,DATOS!$I6143,nEVAL,"OR")=0))</f>
      </c>
      <c r="I6143">
        <f>IF(DATOS!$I6143="","",IFERROR(VLOOKUP(DATOS!$I6143,CONFIG_ASIGNATURAS!$B$2:$J$91,9,FALSE()),""))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IF(DATOS!$A6144="",0,IF(CONFIG_METADATA!$B$4&lt;&gt;"OR+EX",--(DATOS!$G6144=CONFIG_METADATA!$B$4),IF(DATOS!$G6144="EX",1,IF(DATOS!$G6144="OR",--(COUNTIFS(nNIA,DATOS!$A6144,nCURSO,DATOS!$D6144,nESPEC,DATOS!$E6144,nASIG,DATOS!$I6144,nEVAL,"EX")=0),0))))</f>
      </c>
      <c r="H6144">
        <f>IF(DATOS!$G6144&lt;&gt;"EX",0,--(COUNTIFS(nNIA,DATOS!$A6144,nCURSO,DATOS!$D6144,nESPEC,DATOS!$E6144,nASIG,DATOS!$I6144,nEVAL,"OR")=0))</f>
      </c>
      <c r="I6144">
        <f>IF(DATOS!$I6144="","",IFERROR(VLOOKUP(DATOS!$I6144,CONFIG_ASIGNATURAS!$B$2:$J$91,9,FALSE()),""))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IF(DATOS!$A6145="",0,IF(CONFIG_METADATA!$B$4&lt;&gt;"OR+EX",--(DATOS!$G6145=CONFIG_METADATA!$B$4),IF(DATOS!$G6145="EX",1,IF(DATOS!$G6145="OR",--(COUNTIFS(nNIA,DATOS!$A6145,nCURSO,DATOS!$D6145,nESPEC,DATOS!$E6145,nASIG,DATOS!$I6145,nEVAL,"EX")=0),0))))</f>
      </c>
      <c r="H6145">
        <f>IF(DATOS!$G6145&lt;&gt;"EX",0,--(COUNTIFS(nNIA,DATOS!$A6145,nCURSO,DATOS!$D6145,nESPEC,DATOS!$E6145,nASIG,DATOS!$I6145,nEVAL,"OR")=0))</f>
      </c>
      <c r="I6145">
        <f>IF(DATOS!$I6145="","",IFERROR(VLOOKUP(DATOS!$I6145,CONFIG_ASIGNATURAS!$B$2:$J$91,9,FALSE()),""))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IF(DATOS!$A6146="",0,IF(CONFIG_METADATA!$B$4&lt;&gt;"OR+EX",--(DATOS!$G6146=CONFIG_METADATA!$B$4),IF(DATOS!$G6146="EX",1,IF(DATOS!$G6146="OR",--(COUNTIFS(nNIA,DATOS!$A6146,nCURSO,DATOS!$D6146,nESPEC,DATOS!$E6146,nASIG,DATOS!$I6146,nEVAL,"EX")=0),0))))</f>
      </c>
      <c r="H6146">
        <f>IF(DATOS!$G6146&lt;&gt;"EX",0,--(COUNTIFS(nNIA,DATOS!$A6146,nCURSO,DATOS!$D6146,nESPEC,DATOS!$E6146,nASIG,DATOS!$I6146,nEVAL,"OR")=0))</f>
      </c>
      <c r="I6146">
        <f>IF(DATOS!$I6146="","",IFERROR(VLOOKUP(DATOS!$I6146,CONFIG_ASIGNATURAS!$B$2:$J$91,9,FALSE()),""))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IF(DATOS!$A6147="",0,IF(CONFIG_METADATA!$B$4&lt;&gt;"OR+EX",--(DATOS!$G6147=CONFIG_METADATA!$B$4),IF(DATOS!$G6147="EX",1,IF(DATOS!$G6147="OR",--(COUNTIFS(nNIA,DATOS!$A6147,nCURSO,DATOS!$D6147,nESPEC,DATOS!$E6147,nASIG,DATOS!$I6147,nEVAL,"EX")=0),0))))</f>
      </c>
      <c r="H6147">
        <f>IF(DATOS!$G6147&lt;&gt;"EX",0,--(COUNTIFS(nNIA,DATOS!$A6147,nCURSO,DATOS!$D6147,nESPEC,DATOS!$E6147,nASIG,DATOS!$I6147,nEVAL,"OR")=0))</f>
      </c>
      <c r="I6147">
        <f>IF(DATOS!$I6147="","",IFERROR(VLOOKUP(DATOS!$I6147,CONFIG_ASIGNATURAS!$B$2:$J$91,9,FALSE()),""))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IF(DATOS!$A6148="",0,IF(CONFIG_METADATA!$B$4&lt;&gt;"OR+EX",--(DATOS!$G6148=CONFIG_METADATA!$B$4),IF(DATOS!$G6148="EX",1,IF(DATOS!$G6148="OR",--(COUNTIFS(nNIA,DATOS!$A6148,nCURSO,DATOS!$D6148,nESPEC,DATOS!$E6148,nASIG,DATOS!$I6148,nEVAL,"EX")=0),0))))</f>
      </c>
      <c r="H6148">
        <f>IF(DATOS!$G6148&lt;&gt;"EX",0,--(COUNTIFS(nNIA,DATOS!$A6148,nCURSO,DATOS!$D6148,nESPEC,DATOS!$E6148,nASIG,DATOS!$I6148,nEVAL,"OR")=0))</f>
      </c>
      <c r="I6148">
        <f>IF(DATOS!$I6148="","",IFERROR(VLOOKUP(DATOS!$I6148,CONFIG_ASIGNATURAS!$B$2:$J$91,9,FALSE()),""))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IF(DATOS!$A6149="",0,IF(CONFIG_METADATA!$B$4&lt;&gt;"OR+EX",--(DATOS!$G6149=CONFIG_METADATA!$B$4),IF(DATOS!$G6149="EX",1,IF(DATOS!$G6149="OR",--(COUNTIFS(nNIA,DATOS!$A6149,nCURSO,DATOS!$D6149,nESPEC,DATOS!$E6149,nASIG,DATOS!$I6149,nEVAL,"EX")=0),0))))</f>
      </c>
      <c r="H6149">
        <f>IF(DATOS!$G6149&lt;&gt;"EX",0,--(COUNTIFS(nNIA,DATOS!$A6149,nCURSO,DATOS!$D6149,nESPEC,DATOS!$E6149,nASIG,DATOS!$I6149,nEVAL,"OR")=0))</f>
      </c>
      <c r="I6149">
        <f>IF(DATOS!$I6149="","",IFERROR(VLOOKUP(DATOS!$I6149,CONFIG_ASIGNATURAS!$B$2:$J$91,9,FALSE()),""))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IF(DATOS!$A6150="",0,IF(CONFIG_METADATA!$B$4&lt;&gt;"OR+EX",--(DATOS!$G6150=CONFIG_METADATA!$B$4),IF(DATOS!$G6150="EX",1,IF(DATOS!$G6150="OR",--(COUNTIFS(nNIA,DATOS!$A6150,nCURSO,DATOS!$D6150,nESPEC,DATOS!$E6150,nASIG,DATOS!$I6150,nEVAL,"EX")=0),0))))</f>
      </c>
      <c r="H6150">
        <f>IF(DATOS!$G6150&lt;&gt;"EX",0,--(COUNTIFS(nNIA,DATOS!$A6150,nCURSO,DATOS!$D6150,nESPEC,DATOS!$E6150,nASIG,DATOS!$I6150,nEVAL,"OR")=0))</f>
      </c>
      <c r="I6150">
        <f>IF(DATOS!$I6150="","",IFERROR(VLOOKUP(DATOS!$I6150,CONFIG_ASIGNATURAS!$B$2:$J$91,9,FALSE()),""))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IF(DATOS!$A6151="",0,IF(CONFIG_METADATA!$B$4&lt;&gt;"OR+EX",--(DATOS!$G6151=CONFIG_METADATA!$B$4),IF(DATOS!$G6151="EX",1,IF(DATOS!$G6151="OR",--(COUNTIFS(nNIA,DATOS!$A6151,nCURSO,DATOS!$D6151,nESPEC,DATOS!$E6151,nASIG,DATOS!$I6151,nEVAL,"EX")=0),0))))</f>
      </c>
      <c r="H6151">
        <f>IF(DATOS!$G6151&lt;&gt;"EX",0,--(COUNTIFS(nNIA,DATOS!$A6151,nCURSO,DATOS!$D6151,nESPEC,DATOS!$E6151,nASIG,DATOS!$I6151,nEVAL,"OR")=0))</f>
      </c>
      <c r="I6151">
        <f>IF(DATOS!$I6151="","",IFERROR(VLOOKUP(DATOS!$I6151,CONFIG_ASIGNATURAS!$B$2:$J$91,9,FALSE()),""))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IF(DATOS!$A6152="",0,IF(CONFIG_METADATA!$B$4&lt;&gt;"OR+EX",--(DATOS!$G6152=CONFIG_METADATA!$B$4),IF(DATOS!$G6152="EX",1,IF(DATOS!$G6152="OR",--(COUNTIFS(nNIA,DATOS!$A6152,nCURSO,DATOS!$D6152,nESPEC,DATOS!$E6152,nASIG,DATOS!$I6152,nEVAL,"EX")=0),0))))</f>
      </c>
      <c r="H6152">
        <f>IF(DATOS!$G6152&lt;&gt;"EX",0,--(COUNTIFS(nNIA,DATOS!$A6152,nCURSO,DATOS!$D6152,nESPEC,DATOS!$E6152,nASIG,DATOS!$I6152,nEVAL,"OR")=0))</f>
      </c>
      <c r="I6152">
        <f>IF(DATOS!$I6152="","",IFERROR(VLOOKUP(DATOS!$I6152,CONFIG_ASIGNATURAS!$B$2:$J$91,9,FALSE()),""))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IF(DATOS!$A6153="",0,IF(CONFIG_METADATA!$B$4&lt;&gt;"OR+EX",--(DATOS!$G6153=CONFIG_METADATA!$B$4),IF(DATOS!$G6153="EX",1,IF(DATOS!$G6153="OR",--(COUNTIFS(nNIA,DATOS!$A6153,nCURSO,DATOS!$D6153,nESPEC,DATOS!$E6153,nASIG,DATOS!$I6153,nEVAL,"EX")=0),0))))</f>
      </c>
      <c r="H6153">
        <f>IF(DATOS!$G6153&lt;&gt;"EX",0,--(COUNTIFS(nNIA,DATOS!$A6153,nCURSO,DATOS!$D6153,nESPEC,DATOS!$E6153,nASIG,DATOS!$I6153,nEVAL,"OR")=0))</f>
      </c>
      <c r="I6153">
        <f>IF(DATOS!$I6153="","",IFERROR(VLOOKUP(DATOS!$I6153,CONFIG_ASIGNATURAS!$B$2:$J$91,9,FALSE()),""))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IF(DATOS!$A6154="",0,IF(CONFIG_METADATA!$B$4&lt;&gt;"OR+EX",--(DATOS!$G6154=CONFIG_METADATA!$B$4),IF(DATOS!$G6154="EX",1,IF(DATOS!$G6154="OR",--(COUNTIFS(nNIA,DATOS!$A6154,nCURSO,DATOS!$D6154,nESPEC,DATOS!$E6154,nASIG,DATOS!$I6154,nEVAL,"EX")=0),0))))</f>
      </c>
      <c r="H6154">
        <f>IF(DATOS!$G6154&lt;&gt;"EX",0,--(COUNTIFS(nNIA,DATOS!$A6154,nCURSO,DATOS!$D6154,nESPEC,DATOS!$E6154,nASIG,DATOS!$I6154,nEVAL,"OR")=0))</f>
      </c>
      <c r="I6154">
        <f>IF(DATOS!$I6154="","",IFERROR(VLOOKUP(DATOS!$I6154,CONFIG_ASIGNATURAS!$B$2:$J$91,9,FALSE()),""))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IF(DATOS!$A6155="",0,IF(CONFIG_METADATA!$B$4&lt;&gt;"OR+EX",--(DATOS!$G6155=CONFIG_METADATA!$B$4),IF(DATOS!$G6155="EX",1,IF(DATOS!$G6155="OR",--(COUNTIFS(nNIA,DATOS!$A6155,nCURSO,DATOS!$D6155,nESPEC,DATOS!$E6155,nASIG,DATOS!$I6155,nEVAL,"EX")=0),0))))</f>
      </c>
      <c r="H6155">
        <f>IF(DATOS!$G6155&lt;&gt;"EX",0,--(COUNTIFS(nNIA,DATOS!$A6155,nCURSO,DATOS!$D6155,nESPEC,DATOS!$E6155,nASIG,DATOS!$I6155,nEVAL,"OR")=0))</f>
      </c>
      <c r="I6155">
        <f>IF(DATOS!$I6155="","",IFERROR(VLOOKUP(DATOS!$I6155,CONFIG_ASIGNATURAS!$B$2:$J$91,9,FALSE()),""))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IF(DATOS!$A6156="",0,IF(CONFIG_METADATA!$B$4&lt;&gt;"OR+EX",--(DATOS!$G6156=CONFIG_METADATA!$B$4),IF(DATOS!$G6156="EX",1,IF(DATOS!$G6156="OR",--(COUNTIFS(nNIA,DATOS!$A6156,nCURSO,DATOS!$D6156,nESPEC,DATOS!$E6156,nASIG,DATOS!$I6156,nEVAL,"EX")=0),0))))</f>
      </c>
      <c r="H6156">
        <f>IF(DATOS!$G6156&lt;&gt;"EX",0,--(COUNTIFS(nNIA,DATOS!$A6156,nCURSO,DATOS!$D6156,nESPEC,DATOS!$E6156,nASIG,DATOS!$I6156,nEVAL,"OR")=0))</f>
      </c>
      <c r="I6156">
        <f>IF(DATOS!$I6156="","",IFERROR(VLOOKUP(DATOS!$I6156,CONFIG_ASIGNATURAS!$B$2:$J$91,9,FALSE()),""))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IF(DATOS!$A6157="",0,IF(CONFIG_METADATA!$B$4&lt;&gt;"OR+EX",--(DATOS!$G6157=CONFIG_METADATA!$B$4),IF(DATOS!$G6157="EX",1,IF(DATOS!$G6157="OR",--(COUNTIFS(nNIA,DATOS!$A6157,nCURSO,DATOS!$D6157,nESPEC,DATOS!$E6157,nASIG,DATOS!$I6157,nEVAL,"EX")=0),0))))</f>
      </c>
      <c r="H6157">
        <f>IF(DATOS!$G6157&lt;&gt;"EX",0,--(COUNTIFS(nNIA,DATOS!$A6157,nCURSO,DATOS!$D6157,nESPEC,DATOS!$E6157,nASIG,DATOS!$I6157,nEVAL,"OR")=0))</f>
      </c>
      <c r="I6157">
        <f>IF(DATOS!$I6157="","",IFERROR(VLOOKUP(DATOS!$I6157,CONFIG_ASIGNATURAS!$B$2:$J$91,9,FALSE()),""))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IF(DATOS!$A6158="",0,IF(CONFIG_METADATA!$B$4&lt;&gt;"OR+EX",--(DATOS!$G6158=CONFIG_METADATA!$B$4),IF(DATOS!$G6158="EX",1,IF(DATOS!$G6158="OR",--(COUNTIFS(nNIA,DATOS!$A6158,nCURSO,DATOS!$D6158,nESPEC,DATOS!$E6158,nASIG,DATOS!$I6158,nEVAL,"EX")=0),0))))</f>
      </c>
      <c r="H6158">
        <f>IF(DATOS!$G6158&lt;&gt;"EX",0,--(COUNTIFS(nNIA,DATOS!$A6158,nCURSO,DATOS!$D6158,nESPEC,DATOS!$E6158,nASIG,DATOS!$I6158,nEVAL,"OR")=0))</f>
      </c>
      <c r="I6158">
        <f>IF(DATOS!$I6158="","",IFERROR(VLOOKUP(DATOS!$I6158,CONFIG_ASIGNATURAS!$B$2:$J$91,9,FALSE()),""))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IF(DATOS!$A6159="",0,IF(CONFIG_METADATA!$B$4&lt;&gt;"OR+EX",--(DATOS!$G6159=CONFIG_METADATA!$B$4),IF(DATOS!$G6159="EX",1,IF(DATOS!$G6159="OR",--(COUNTIFS(nNIA,DATOS!$A6159,nCURSO,DATOS!$D6159,nESPEC,DATOS!$E6159,nASIG,DATOS!$I6159,nEVAL,"EX")=0),0))))</f>
      </c>
      <c r="H6159">
        <f>IF(DATOS!$G6159&lt;&gt;"EX",0,--(COUNTIFS(nNIA,DATOS!$A6159,nCURSO,DATOS!$D6159,nESPEC,DATOS!$E6159,nASIG,DATOS!$I6159,nEVAL,"OR")=0))</f>
      </c>
      <c r="I6159">
        <f>IF(DATOS!$I6159="","",IFERROR(VLOOKUP(DATOS!$I6159,CONFIG_ASIGNATURAS!$B$2:$J$91,9,FALSE()),""))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IF(DATOS!$A6160="",0,IF(CONFIG_METADATA!$B$4&lt;&gt;"OR+EX",--(DATOS!$G6160=CONFIG_METADATA!$B$4),IF(DATOS!$G6160="EX",1,IF(DATOS!$G6160="OR",--(COUNTIFS(nNIA,DATOS!$A6160,nCURSO,DATOS!$D6160,nESPEC,DATOS!$E6160,nASIG,DATOS!$I6160,nEVAL,"EX")=0),0))))</f>
      </c>
      <c r="H6160">
        <f>IF(DATOS!$G6160&lt;&gt;"EX",0,--(COUNTIFS(nNIA,DATOS!$A6160,nCURSO,DATOS!$D6160,nESPEC,DATOS!$E6160,nASIG,DATOS!$I6160,nEVAL,"OR")=0))</f>
      </c>
      <c r="I6160">
        <f>IF(DATOS!$I6160="","",IFERROR(VLOOKUP(DATOS!$I6160,CONFIG_ASIGNATURAS!$B$2:$J$91,9,FALSE()),""))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IF(DATOS!$A6161="",0,IF(CONFIG_METADATA!$B$4&lt;&gt;"OR+EX",--(DATOS!$G6161=CONFIG_METADATA!$B$4),IF(DATOS!$G6161="EX",1,IF(DATOS!$G6161="OR",--(COUNTIFS(nNIA,DATOS!$A6161,nCURSO,DATOS!$D6161,nESPEC,DATOS!$E6161,nASIG,DATOS!$I6161,nEVAL,"EX")=0),0))))</f>
      </c>
      <c r="H6161">
        <f>IF(DATOS!$G6161&lt;&gt;"EX",0,--(COUNTIFS(nNIA,DATOS!$A6161,nCURSO,DATOS!$D6161,nESPEC,DATOS!$E6161,nASIG,DATOS!$I6161,nEVAL,"OR")=0))</f>
      </c>
      <c r="I6161">
        <f>IF(DATOS!$I6161="","",IFERROR(VLOOKUP(DATOS!$I6161,CONFIG_ASIGNATURAS!$B$2:$J$91,9,FALSE()),""))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IF(DATOS!$A6162="",0,IF(CONFIG_METADATA!$B$4&lt;&gt;"OR+EX",--(DATOS!$G6162=CONFIG_METADATA!$B$4),IF(DATOS!$G6162="EX",1,IF(DATOS!$G6162="OR",--(COUNTIFS(nNIA,DATOS!$A6162,nCURSO,DATOS!$D6162,nESPEC,DATOS!$E6162,nASIG,DATOS!$I6162,nEVAL,"EX")=0),0))))</f>
      </c>
      <c r="H6162">
        <f>IF(DATOS!$G6162&lt;&gt;"EX",0,--(COUNTIFS(nNIA,DATOS!$A6162,nCURSO,DATOS!$D6162,nESPEC,DATOS!$E6162,nASIG,DATOS!$I6162,nEVAL,"OR")=0))</f>
      </c>
      <c r="I6162">
        <f>IF(DATOS!$I6162="","",IFERROR(VLOOKUP(DATOS!$I6162,CONFIG_ASIGNATURAS!$B$2:$J$91,9,FALSE()),""))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IF(DATOS!$A6163="",0,IF(CONFIG_METADATA!$B$4&lt;&gt;"OR+EX",--(DATOS!$G6163=CONFIG_METADATA!$B$4),IF(DATOS!$G6163="EX",1,IF(DATOS!$G6163="OR",--(COUNTIFS(nNIA,DATOS!$A6163,nCURSO,DATOS!$D6163,nESPEC,DATOS!$E6163,nASIG,DATOS!$I6163,nEVAL,"EX")=0),0))))</f>
      </c>
      <c r="H6163">
        <f>IF(DATOS!$G6163&lt;&gt;"EX",0,--(COUNTIFS(nNIA,DATOS!$A6163,nCURSO,DATOS!$D6163,nESPEC,DATOS!$E6163,nASIG,DATOS!$I6163,nEVAL,"OR")=0))</f>
      </c>
      <c r="I6163">
        <f>IF(DATOS!$I6163="","",IFERROR(VLOOKUP(DATOS!$I6163,CONFIG_ASIGNATURAS!$B$2:$J$91,9,FALSE()),""))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IF(DATOS!$A6164="",0,IF(CONFIG_METADATA!$B$4&lt;&gt;"OR+EX",--(DATOS!$G6164=CONFIG_METADATA!$B$4),IF(DATOS!$G6164="EX",1,IF(DATOS!$G6164="OR",--(COUNTIFS(nNIA,DATOS!$A6164,nCURSO,DATOS!$D6164,nESPEC,DATOS!$E6164,nASIG,DATOS!$I6164,nEVAL,"EX")=0),0))))</f>
      </c>
      <c r="H6164">
        <f>IF(DATOS!$G6164&lt;&gt;"EX",0,--(COUNTIFS(nNIA,DATOS!$A6164,nCURSO,DATOS!$D6164,nESPEC,DATOS!$E6164,nASIG,DATOS!$I6164,nEVAL,"OR")=0))</f>
      </c>
      <c r="I6164">
        <f>IF(DATOS!$I6164="","",IFERROR(VLOOKUP(DATOS!$I6164,CONFIG_ASIGNATURAS!$B$2:$J$91,9,FALSE()),""))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IF(DATOS!$A6165="",0,IF(CONFIG_METADATA!$B$4&lt;&gt;"OR+EX",--(DATOS!$G6165=CONFIG_METADATA!$B$4),IF(DATOS!$G6165="EX",1,IF(DATOS!$G6165="OR",--(COUNTIFS(nNIA,DATOS!$A6165,nCURSO,DATOS!$D6165,nESPEC,DATOS!$E6165,nASIG,DATOS!$I6165,nEVAL,"EX")=0),0))))</f>
      </c>
      <c r="H6165">
        <f>IF(DATOS!$G6165&lt;&gt;"EX",0,--(COUNTIFS(nNIA,DATOS!$A6165,nCURSO,DATOS!$D6165,nESPEC,DATOS!$E6165,nASIG,DATOS!$I6165,nEVAL,"OR")=0))</f>
      </c>
      <c r="I6165">
        <f>IF(DATOS!$I6165="","",IFERROR(VLOOKUP(DATOS!$I6165,CONFIG_ASIGNATURAS!$B$2:$J$91,9,FALSE()),""))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IF(DATOS!$A6166="",0,IF(CONFIG_METADATA!$B$4&lt;&gt;"OR+EX",--(DATOS!$G6166=CONFIG_METADATA!$B$4),IF(DATOS!$G6166="EX",1,IF(DATOS!$G6166="OR",--(COUNTIFS(nNIA,DATOS!$A6166,nCURSO,DATOS!$D6166,nESPEC,DATOS!$E6166,nASIG,DATOS!$I6166,nEVAL,"EX")=0),0))))</f>
      </c>
      <c r="H6166">
        <f>IF(DATOS!$G6166&lt;&gt;"EX",0,--(COUNTIFS(nNIA,DATOS!$A6166,nCURSO,DATOS!$D6166,nESPEC,DATOS!$E6166,nASIG,DATOS!$I6166,nEVAL,"OR")=0))</f>
      </c>
      <c r="I6166">
        <f>IF(DATOS!$I6166="","",IFERROR(VLOOKUP(DATOS!$I6166,CONFIG_ASIGNATURAS!$B$2:$J$91,9,FALSE()),""))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IF(DATOS!$A6167="",0,IF(CONFIG_METADATA!$B$4&lt;&gt;"OR+EX",--(DATOS!$G6167=CONFIG_METADATA!$B$4),IF(DATOS!$G6167="EX",1,IF(DATOS!$G6167="OR",--(COUNTIFS(nNIA,DATOS!$A6167,nCURSO,DATOS!$D6167,nESPEC,DATOS!$E6167,nASIG,DATOS!$I6167,nEVAL,"EX")=0),0))))</f>
      </c>
      <c r="H6167">
        <f>IF(DATOS!$G6167&lt;&gt;"EX",0,--(COUNTIFS(nNIA,DATOS!$A6167,nCURSO,DATOS!$D6167,nESPEC,DATOS!$E6167,nASIG,DATOS!$I6167,nEVAL,"OR")=0))</f>
      </c>
      <c r="I6167">
        <f>IF(DATOS!$I6167="","",IFERROR(VLOOKUP(DATOS!$I6167,CONFIG_ASIGNATURAS!$B$2:$J$91,9,FALSE()),""))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IF(DATOS!$A6168="",0,IF(CONFIG_METADATA!$B$4&lt;&gt;"OR+EX",--(DATOS!$G6168=CONFIG_METADATA!$B$4),IF(DATOS!$G6168="EX",1,IF(DATOS!$G6168="OR",--(COUNTIFS(nNIA,DATOS!$A6168,nCURSO,DATOS!$D6168,nESPEC,DATOS!$E6168,nASIG,DATOS!$I6168,nEVAL,"EX")=0),0))))</f>
      </c>
      <c r="H6168">
        <f>IF(DATOS!$G6168&lt;&gt;"EX",0,--(COUNTIFS(nNIA,DATOS!$A6168,nCURSO,DATOS!$D6168,nESPEC,DATOS!$E6168,nASIG,DATOS!$I6168,nEVAL,"OR")=0))</f>
      </c>
      <c r="I6168">
        <f>IF(DATOS!$I6168="","",IFERROR(VLOOKUP(DATOS!$I6168,CONFIG_ASIGNATURAS!$B$2:$J$91,9,FALSE()),""))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IF(DATOS!$A6169="",0,IF(CONFIG_METADATA!$B$4&lt;&gt;"OR+EX",--(DATOS!$G6169=CONFIG_METADATA!$B$4),IF(DATOS!$G6169="EX",1,IF(DATOS!$G6169="OR",--(COUNTIFS(nNIA,DATOS!$A6169,nCURSO,DATOS!$D6169,nESPEC,DATOS!$E6169,nASIG,DATOS!$I6169,nEVAL,"EX")=0),0))))</f>
      </c>
      <c r="H6169">
        <f>IF(DATOS!$G6169&lt;&gt;"EX",0,--(COUNTIFS(nNIA,DATOS!$A6169,nCURSO,DATOS!$D6169,nESPEC,DATOS!$E6169,nASIG,DATOS!$I6169,nEVAL,"OR")=0))</f>
      </c>
      <c r="I6169">
        <f>IF(DATOS!$I6169="","",IFERROR(VLOOKUP(DATOS!$I6169,CONFIG_ASIGNATURAS!$B$2:$J$91,9,FALSE()),""))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IF(DATOS!$A6170="",0,IF(CONFIG_METADATA!$B$4&lt;&gt;"OR+EX",--(DATOS!$G6170=CONFIG_METADATA!$B$4),IF(DATOS!$G6170="EX",1,IF(DATOS!$G6170="OR",--(COUNTIFS(nNIA,DATOS!$A6170,nCURSO,DATOS!$D6170,nESPEC,DATOS!$E6170,nASIG,DATOS!$I6170,nEVAL,"EX")=0),0))))</f>
      </c>
      <c r="H6170">
        <f>IF(DATOS!$G6170&lt;&gt;"EX",0,--(COUNTIFS(nNIA,DATOS!$A6170,nCURSO,DATOS!$D6170,nESPEC,DATOS!$E6170,nASIG,DATOS!$I6170,nEVAL,"OR")=0))</f>
      </c>
      <c r="I6170">
        <f>IF(DATOS!$I6170="","",IFERROR(VLOOKUP(DATOS!$I6170,CONFIG_ASIGNATURAS!$B$2:$J$91,9,FALSE()),""))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IF(DATOS!$A6171="",0,IF(CONFIG_METADATA!$B$4&lt;&gt;"OR+EX",--(DATOS!$G6171=CONFIG_METADATA!$B$4),IF(DATOS!$G6171="EX",1,IF(DATOS!$G6171="OR",--(COUNTIFS(nNIA,DATOS!$A6171,nCURSO,DATOS!$D6171,nESPEC,DATOS!$E6171,nASIG,DATOS!$I6171,nEVAL,"EX")=0),0))))</f>
      </c>
      <c r="H6171">
        <f>IF(DATOS!$G6171&lt;&gt;"EX",0,--(COUNTIFS(nNIA,DATOS!$A6171,nCURSO,DATOS!$D6171,nESPEC,DATOS!$E6171,nASIG,DATOS!$I6171,nEVAL,"OR")=0))</f>
      </c>
      <c r="I6171">
        <f>IF(DATOS!$I6171="","",IFERROR(VLOOKUP(DATOS!$I6171,CONFIG_ASIGNATURAS!$B$2:$J$91,9,FALSE()),""))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IF(DATOS!$A6172="",0,IF(CONFIG_METADATA!$B$4&lt;&gt;"OR+EX",--(DATOS!$G6172=CONFIG_METADATA!$B$4),IF(DATOS!$G6172="EX",1,IF(DATOS!$G6172="OR",--(COUNTIFS(nNIA,DATOS!$A6172,nCURSO,DATOS!$D6172,nESPEC,DATOS!$E6172,nASIG,DATOS!$I6172,nEVAL,"EX")=0),0))))</f>
      </c>
      <c r="H6172">
        <f>IF(DATOS!$G6172&lt;&gt;"EX",0,--(COUNTIFS(nNIA,DATOS!$A6172,nCURSO,DATOS!$D6172,nESPEC,DATOS!$E6172,nASIG,DATOS!$I6172,nEVAL,"OR")=0))</f>
      </c>
      <c r="I6172">
        <f>IF(DATOS!$I6172="","",IFERROR(VLOOKUP(DATOS!$I6172,CONFIG_ASIGNATURAS!$B$2:$J$91,9,FALSE()),""))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IF(DATOS!$A6173="",0,IF(CONFIG_METADATA!$B$4&lt;&gt;"OR+EX",--(DATOS!$G6173=CONFIG_METADATA!$B$4),IF(DATOS!$G6173="EX",1,IF(DATOS!$G6173="OR",--(COUNTIFS(nNIA,DATOS!$A6173,nCURSO,DATOS!$D6173,nESPEC,DATOS!$E6173,nASIG,DATOS!$I6173,nEVAL,"EX")=0),0))))</f>
      </c>
      <c r="H6173">
        <f>IF(DATOS!$G6173&lt;&gt;"EX",0,--(COUNTIFS(nNIA,DATOS!$A6173,nCURSO,DATOS!$D6173,nESPEC,DATOS!$E6173,nASIG,DATOS!$I6173,nEVAL,"OR")=0))</f>
      </c>
      <c r="I6173">
        <f>IF(DATOS!$I6173="","",IFERROR(VLOOKUP(DATOS!$I6173,CONFIG_ASIGNATURAS!$B$2:$J$91,9,FALSE()),""))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IF(DATOS!$A6174="",0,IF(CONFIG_METADATA!$B$4&lt;&gt;"OR+EX",--(DATOS!$G6174=CONFIG_METADATA!$B$4),IF(DATOS!$G6174="EX",1,IF(DATOS!$G6174="OR",--(COUNTIFS(nNIA,DATOS!$A6174,nCURSO,DATOS!$D6174,nESPEC,DATOS!$E6174,nASIG,DATOS!$I6174,nEVAL,"EX")=0),0))))</f>
      </c>
      <c r="H6174">
        <f>IF(DATOS!$G6174&lt;&gt;"EX",0,--(COUNTIFS(nNIA,DATOS!$A6174,nCURSO,DATOS!$D6174,nESPEC,DATOS!$E6174,nASIG,DATOS!$I6174,nEVAL,"OR")=0))</f>
      </c>
      <c r="I6174">
        <f>IF(DATOS!$I6174="","",IFERROR(VLOOKUP(DATOS!$I6174,CONFIG_ASIGNATURAS!$B$2:$J$91,9,FALSE()),""))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IF(DATOS!$A6175="",0,IF(CONFIG_METADATA!$B$4&lt;&gt;"OR+EX",--(DATOS!$G6175=CONFIG_METADATA!$B$4),IF(DATOS!$G6175="EX",1,IF(DATOS!$G6175="OR",--(COUNTIFS(nNIA,DATOS!$A6175,nCURSO,DATOS!$D6175,nESPEC,DATOS!$E6175,nASIG,DATOS!$I6175,nEVAL,"EX")=0),0))))</f>
      </c>
      <c r="H6175">
        <f>IF(DATOS!$G6175&lt;&gt;"EX",0,--(COUNTIFS(nNIA,DATOS!$A6175,nCURSO,DATOS!$D6175,nESPEC,DATOS!$E6175,nASIG,DATOS!$I6175,nEVAL,"OR")=0))</f>
      </c>
      <c r="I6175">
        <f>IF(DATOS!$I6175="","",IFERROR(VLOOKUP(DATOS!$I6175,CONFIG_ASIGNATURAS!$B$2:$J$91,9,FALSE()),""))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IF(DATOS!$A6176="",0,IF(CONFIG_METADATA!$B$4&lt;&gt;"OR+EX",--(DATOS!$G6176=CONFIG_METADATA!$B$4),IF(DATOS!$G6176="EX",1,IF(DATOS!$G6176="OR",--(COUNTIFS(nNIA,DATOS!$A6176,nCURSO,DATOS!$D6176,nESPEC,DATOS!$E6176,nASIG,DATOS!$I6176,nEVAL,"EX")=0),0))))</f>
      </c>
      <c r="H6176">
        <f>IF(DATOS!$G6176&lt;&gt;"EX",0,--(COUNTIFS(nNIA,DATOS!$A6176,nCURSO,DATOS!$D6176,nESPEC,DATOS!$E6176,nASIG,DATOS!$I6176,nEVAL,"OR")=0))</f>
      </c>
      <c r="I6176">
        <f>IF(DATOS!$I6176="","",IFERROR(VLOOKUP(DATOS!$I6176,CONFIG_ASIGNATURAS!$B$2:$J$91,9,FALSE()),""))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IF(DATOS!$A6177="",0,IF(CONFIG_METADATA!$B$4&lt;&gt;"OR+EX",--(DATOS!$G6177=CONFIG_METADATA!$B$4),IF(DATOS!$G6177="EX",1,IF(DATOS!$G6177="OR",--(COUNTIFS(nNIA,DATOS!$A6177,nCURSO,DATOS!$D6177,nESPEC,DATOS!$E6177,nASIG,DATOS!$I6177,nEVAL,"EX")=0),0))))</f>
      </c>
      <c r="H6177">
        <f>IF(DATOS!$G6177&lt;&gt;"EX",0,--(COUNTIFS(nNIA,DATOS!$A6177,nCURSO,DATOS!$D6177,nESPEC,DATOS!$E6177,nASIG,DATOS!$I6177,nEVAL,"OR")=0))</f>
      </c>
      <c r="I6177">
        <f>IF(DATOS!$I6177="","",IFERROR(VLOOKUP(DATOS!$I6177,CONFIG_ASIGNATURAS!$B$2:$J$91,9,FALSE()),""))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IF(DATOS!$A6178="",0,IF(CONFIG_METADATA!$B$4&lt;&gt;"OR+EX",--(DATOS!$G6178=CONFIG_METADATA!$B$4),IF(DATOS!$G6178="EX",1,IF(DATOS!$G6178="OR",--(COUNTIFS(nNIA,DATOS!$A6178,nCURSO,DATOS!$D6178,nESPEC,DATOS!$E6178,nASIG,DATOS!$I6178,nEVAL,"EX")=0),0))))</f>
      </c>
      <c r="H6178">
        <f>IF(DATOS!$G6178&lt;&gt;"EX",0,--(COUNTIFS(nNIA,DATOS!$A6178,nCURSO,DATOS!$D6178,nESPEC,DATOS!$E6178,nASIG,DATOS!$I6178,nEVAL,"OR")=0))</f>
      </c>
      <c r="I6178">
        <f>IF(DATOS!$I6178="","",IFERROR(VLOOKUP(DATOS!$I6178,CONFIG_ASIGNATURAS!$B$2:$J$91,9,FALSE()),""))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IF(DATOS!$A6179="",0,IF(CONFIG_METADATA!$B$4&lt;&gt;"OR+EX",--(DATOS!$G6179=CONFIG_METADATA!$B$4),IF(DATOS!$G6179="EX",1,IF(DATOS!$G6179="OR",--(COUNTIFS(nNIA,DATOS!$A6179,nCURSO,DATOS!$D6179,nESPEC,DATOS!$E6179,nASIG,DATOS!$I6179,nEVAL,"EX")=0),0))))</f>
      </c>
      <c r="H6179">
        <f>IF(DATOS!$G6179&lt;&gt;"EX",0,--(COUNTIFS(nNIA,DATOS!$A6179,nCURSO,DATOS!$D6179,nESPEC,DATOS!$E6179,nASIG,DATOS!$I6179,nEVAL,"OR")=0))</f>
      </c>
      <c r="I6179">
        <f>IF(DATOS!$I6179="","",IFERROR(VLOOKUP(DATOS!$I6179,CONFIG_ASIGNATURAS!$B$2:$J$91,9,FALSE()),""))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IF(DATOS!$A6180="",0,IF(CONFIG_METADATA!$B$4&lt;&gt;"OR+EX",--(DATOS!$G6180=CONFIG_METADATA!$B$4),IF(DATOS!$G6180="EX",1,IF(DATOS!$G6180="OR",--(COUNTIFS(nNIA,DATOS!$A6180,nCURSO,DATOS!$D6180,nESPEC,DATOS!$E6180,nASIG,DATOS!$I6180,nEVAL,"EX")=0),0))))</f>
      </c>
      <c r="H6180">
        <f>IF(DATOS!$G6180&lt;&gt;"EX",0,--(COUNTIFS(nNIA,DATOS!$A6180,nCURSO,DATOS!$D6180,nESPEC,DATOS!$E6180,nASIG,DATOS!$I6180,nEVAL,"OR")=0))</f>
      </c>
      <c r="I6180">
        <f>IF(DATOS!$I6180="","",IFERROR(VLOOKUP(DATOS!$I6180,CONFIG_ASIGNATURAS!$B$2:$J$91,9,FALSE()),""))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IF(DATOS!$A6181="",0,IF(CONFIG_METADATA!$B$4&lt;&gt;"OR+EX",--(DATOS!$G6181=CONFIG_METADATA!$B$4),IF(DATOS!$G6181="EX",1,IF(DATOS!$G6181="OR",--(COUNTIFS(nNIA,DATOS!$A6181,nCURSO,DATOS!$D6181,nESPEC,DATOS!$E6181,nASIG,DATOS!$I6181,nEVAL,"EX")=0),0))))</f>
      </c>
      <c r="H6181">
        <f>IF(DATOS!$G6181&lt;&gt;"EX",0,--(COUNTIFS(nNIA,DATOS!$A6181,nCURSO,DATOS!$D6181,nESPEC,DATOS!$E6181,nASIG,DATOS!$I6181,nEVAL,"OR")=0))</f>
      </c>
      <c r="I6181">
        <f>IF(DATOS!$I6181="","",IFERROR(VLOOKUP(DATOS!$I6181,CONFIG_ASIGNATURAS!$B$2:$J$91,9,FALSE()),""))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IF(DATOS!$A6182="",0,IF(CONFIG_METADATA!$B$4&lt;&gt;"OR+EX",--(DATOS!$G6182=CONFIG_METADATA!$B$4),IF(DATOS!$G6182="EX",1,IF(DATOS!$G6182="OR",--(COUNTIFS(nNIA,DATOS!$A6182,nCURSO,DATOS!$D6182,nESPEC,DATOS!$E6182,nASIG,DATOS!$I6182,nEVAL,"EX")=0),0))))</f>
      </c>
      <c r="H6182">
        <f>IF(DATOS!$G6182&lt;&gt;"EX",0,--(COUNTIFS(nNIA,DATOS!$A6182,nCURSO,DATOS!$D6182,nESPEC,DATOS!$E6182,nASIG,DATOS!$I6182,nEVAL,"OR")=0))</f>
      </c>
      <c r="I6182">
        <f>IF(DATOS!$I6182="","",IFERROR(VLOOKUP(DATOS!$I6182,CONFIG_ASIGNATURAS!$B$2:$J$91,9,FALSE()),""))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IF(DATOS!$A6183="",0,IF(CONFIG_METADATA!$B$4&lt;&gt;"OR+EX",--(DATOS!$G6183=CONFIG_METADATA!$B$4),IF(DATOS!$G6183="EX",1,IF(DATOS!$G6183="OR",--(COUNTIFS(nNIA,DATOS!$A6183,nCURSO,DATOS!$D6183,nESPEC,DATOS!$E6183,nASIG,DATOS!$I6183,nEVAL,"EX")=0),0))))</f>
      </c>
      <c r="H6183">
        <f>IF(DATOS!$G6183&lt;&gt;"EX",0,--(COUNTIFS(nNIA,DATOS!$A6183,nCURSO,DATOS!$D6183,nESPEC,DATOS!$E6183,nASIG,DATOS!$I6183,nEVAL,"OR")=0))</f>
      </c>
      <c r="I6183">
        <f>IF(DATOS!$I6183="","",IFERROR(VLOOKUP(DATOS!$I6183,CONFIG_ASIGNATURAS!$B$2:$J$91,9,FALSE()),""))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IF(DATOS!$A6184="",0,IF(CONFIG_METADATA!$B$4&lt;&gt;"OR+EX",--(DATOS!$G6184=CONFIG_METADATA!$B$4),IF(DATOS!$G6184="EX",1,IF(DATOS!$G6184="OR",--(COUNTIFS(nNIA,DATOS!$A6184,nCURSO,DATOS!$D6184,nESPEC,DATOS!$E6184,nASIG,DATOS!$I6184,nEVAL,"EX")=0),0))))</f>
      </c>
      <c r="H6184">
        <f>IF(DATOS!$G6184&lt;&gt;"EX",0,--(COUNTIFS(nNIA,DATOS!$A6184,nCURSO,DATOS!$D6184,nESPEC,DATOS!$E6184,nASIG,DATOS!$I6184,nEVAL,"OR")=0))</f>
      </c>
      <c r="I6184">
        <f>IF(DATOS!$I6184="","",IFERROR(VLOOKUP(DATOS!$I6184,CONFIG_ASIGNATURAS!$B$2:$J$91,9,FALSE()),""))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IF(DATOS!$A6185="",0,IF(CONFIG_METADATA!$B$4&lt;&gt;"OR+EX",--(DATOS!$G6185=CONFIG_METADATA!$B$4),IF(DATOS!$G6185="EX",1,IF(DATOS!$G6185="OR",--(COUNTIFS(nNIA,DATOS!$A6185,nCURSO,DATOS!$D6185,nESPEC,DATOS!$E6185,nASIG,DATOS!$I6185,nEVAL,"EX")=0),0))))</f>
      </c>
      <c r="H6185">
        <f>IF(DATOS!$G6185&lt;&gt;"EX",0,--(COUNTIFS(nNIA,DATOS!$A6185,nCURSO,DATOS!$D6185,nESPEC,DATOS!$E6185,nASIG,DATOS!$I6185,nEVAL,"OR")=0))</f>
      </c>
      <c r="I6185">
        <f>IF(DATOS!$I6185="","",IFERROR(VLOOKUP(DATOS!$I6185,CONFIG_ASIGNATURAS!$B$2:$J$91,9,FALSE()),""))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IF(DATOS!$A6186="",0,IF(CONFIG_METADATA!$B$4&lt;&gt;"OR+EX",--(DATOS!$G6186=CONFIG_METADATA!$B$4),IF(DATOS!$G6186="EX",1,IF(DATOS!$G6186="OR",--(COUNTIFS(nNIA,DATOS!$A6186,nCURSO,DATOS!$D6186,nESPEC,DATOS!$E6186,nASIG,DATOS!$I6186,nEVAL,"EX")=0),0))))</f>
      </c>
      <c r="H6186">
        <f>IF(DATOS!$G6186&lt;&gt;"EX",0,--(COUNTIFS(nNIA,DATOS!$A6186,nCURSO,DATOS!$D6186,nESPEC,DATOS!$E6186,nASIG,DATOS!$I6186,nEVAL,"OR")=0))</f>
      </c>
      <c r="I6186">
        <f>IF(DATOS!$I6186="","",IFERROR(VLOOKUP(DATOS!$I6186,CONFIG_ASIGNATURAS!$B$2:$J$91,9,FALSE()),""))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IF(DATOS!$A6187="",0,IF(CONFIG_METADATA!$B$4&lt;&gt;"OR+EX",--(DATOS!$G6187=CONFIG_METADATA!$B$4),IF(DATOS!$G6187="EX",1,IF(DATOS!$G6187="OR",--(COUNTIFS(nNIA,DATOS!$A6187,nCURSO,DATOS!$D6187,nESPEC,DATOS!$E6187,nASIG,DATOS!$I6187,nEVAL,"EX")=0),0))))</f>
      </c>
      <c r="H6187">
        <f>IF(DATOS!$G6187&lt;&gt;"EX",0,--(COUNTIFS(nNIA,DATOS!$A6187,nCURSO,DATOS!$D6187,nESPEC,DATOS!$E6187,nASIG,DATOS!$I6187,nEVAL,"OR")=0))</f>
      </c>
      <c r="I6187">
        <f>IF(DATOS!$I6187="","",IFERROR(VLOOKUP(DATOS!$I6187,CONFIG_ASIGNATURAS!$B$2:$J$91,9,FALSE()),""))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IF(DATOS!$A6188="",0,IF(CONFIG_METADATA!$B$4&lt;&gt;"OR+EX",--(DATOS!$G6188=CONFIG_METADATA!$B$4),IF(DATOS!$G6188="EX",1,IF(DATOS!$G6188="OR",--(COUNTIFS(nNIA,DATOS!$A6188,nCURSO,DATOS!$D6188,nESPEC,DATOS!$E6188,nASIG,DATOS!$I6188,nEVAL,"EX")=0),0))))</f>
      </c>
      <c r="H6188">
        <f>IF(DATOS!$G6188&lt;&gt;"EX",0,--(COUNTIFS(nNIA,DATOS!$A6188,nCURSO,DATOS!$D6188,nESPEC,DATOS!$E6188,nASIG,DATOS!$I6188,nEVAL,"OR")=0))</f>
      </c>
      <c r="I6188">
        <f>IF(DATOS!$I6188="","",IFERROR(VLOOKUP(DATOS!$I6188,CONFIG_ASIGNATURAS!$B$2:$J$91,9,FALSE()),""))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IF(DATOS!$A6189="",0,IF(CONFIG_METADATA!$B$4&lt;&gt;"OR+EX",--(DATOS!$G6189=CONFIG_METADATA!$B$4),IF(DATOS!$G6189="EX",1,IF(DATOS!$G6189="OR",--(COUNTIFS(nNIA,DATOS!$A6189,nCURSO,DATOS!$D6189,nESPEC,DATOS!$E6189,nASIG,DATOS!$I6189,nEVAL,"EX")=0),0))))</f>
      </c>
      <c r="H6189">
        <f>IF(DATOS!$G6189&lt;&gt;"EX",0,--(COUNTIFS(nNIA,DATOS!$A6189,nCURSO,DATOS!$D6189,nESPEC,DATOS!$E6189,nASIG,DATOS!$I6189,nEVAL,"OR")=0))</f>
      </c>
      <c r="I6189">
        <f>IF(DATOS!$I6189="","",IFERROR(VLOOKUP(DATOS!$I6189,CONFIG_ASIGNATURAS!$B$2:$J$91,9,FALSE()),""))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IF(DATOS!$A6190="",0,IF(CONFIG_METADATA!$B$4&lt;&gt;"OR+EX",--(DATOS!$G6190=CONFIG_METADATA!$B$4),IF(DATOS!$G6190="EX",1,IF(DATOS!$G6190="OR",--(COUNTIFS(nNIA,DATOS!$A6190,nCURSO,DATOS!$D6190,nESPEC,DATOS!$E6190,nASIG,DATOS!$I6190,nEVAL,"EX")=0),0))))</f>
      </c>
      <c r="H6190">
        <f>IF(DATOS!$G6190&lt;&gt;"EX",0,--(COUNTIFS(nNIA,DATOS!$A6190,nCURSO,DATOS!$D6190,nESPEC,DATOS!$E6190,nASIG,DATOS!$I6190,nEVAL,"OR")=0))</f>
      </c>
      <c r="I6190">
        <f>IF(DATOS!$I6190="","",IFERROR(VLOOKUP(DATOS!$I6190,CONFIG_ASIGNATURAS!$B$2:$J$91,9,FALSE()),""))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IF(DATOS!$A6191="",0,IF(CONFIG_METADATA!$B$4&lt;&gt;"OR+EX",--(DATOS!$G6191=CONFIG_METADATA!$B$4),IF(DATOS!$G6191="EX",1,IF(DATOS!$G6191="OR",--(COUNTIFS(nNIA,DATOS!$A6191,nCURSO,DATOS!$D6191,nESPEC,DATOS!$E6191,nASIG,DATOS!$I6191,nEVAL,"EX")=0),0))))</f>
      </c>
      <c r="H6191">
        <f>IF(DATOS!$G6191&lt;&gt;"EX",0,--(COUNTIFS(nNIA,DATOS!$A6191,nCURSO,DATOS!$D6191,nESPEC,DATOS!$E6191,nASIG,DATOS!$I6191,nEVAL,"OR")=0))</f>
      </c>
      <c r="I6191">
        <f>IF(DATOS!$I6191="","",IFERROR(VLOOKUP(DATOS!$I6191,CONFIG_ASIGNATURAS!$B$2:$J$91,9,FALSE()),""))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IF(DATOS!$A6192="",0,IF(CONFIG_METADATA!$B$4&lt;&gt;"OR+EX",--(DATOS!$G6192=CONFIG_METADATA!$B$4),IF(DATOS!$G6192="EX",1,IF(DATOS!$G6192="OR",--(COUNTIFS(nNIA,DATOS!$A6192,nCURSO,DATOS!$D6192,nESPEC,DATOS!$E6192,nASIG,DATOS!$I6192,nEVAL,"EX")=0),0))))</f>
      </c>
      <c r="H6192">
        <f>IF(DATOS!$G6192&lt;&gt;"EX",0,--(COUNTIFS(nNIA,DATOS!$A6192,nCURSO,DATOS!$D6192,nESPEC,DATOS!$E6192,nASIG,DATOS!$I6192,nEVAL,"OR")=0))</f>
      </c>
      <c r="I6192">
        <f>IF(DATOS!$I6192="","",IFERROR(VLOOKUP(DATOS!$I6192,CONFIG_ASIGNATURAS!$B$2:$J$91,9,FALSE()),""))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IF(DATOS!$A6193="",0,IF(CONFIG_METADATA!$B$4&lt;&gt;"OR+EX",--(DATOS!$G6193=CONFIG_METADATA!$B$4),IF(DATOS!$G6193="EX",1,IF(DATOS!$G6193="OR",--(COUNTIFS(nNIA,DATOS!$A6193,nCURSO,DATOS!$D6193,nESPEC,DATOS!$E6193,nASIG,DATOS!$I6193,nEVAL,"EX")=0),0))))</f>
      </c>
      <c r="H6193">
        <f>IF(DATOS!$G6193&lt;&gt;"EX",0,--(COUNTIFS(nNIA,DATOS!$A6193,nCURSO,DATOS!$D6193,nESPEC,DATOS!$E6193,nASIG,DATOS!$I6193,nEVAL,"OR")=0))</f>
      </c>
      <c r="I6193">
        <f>IF(DATOS!$I6193="","",IFERROR(VLOOKUP(DATOS!$I6193,CONFIG_ASIGNATURAS!$B$2:$J$91,9,FALSE()),""))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IF(DATOS!$A6194="",0,IF(CONFIG_METADATA!$B$4&lt;&gt;"OR+EX",--(DATOS!$G6194=CONFIG_METADATA!$B$4),IF(DATOS!$G6194="EX",1,IF(DATOS!$G6194="OR",--(COUNTIFS(nNIA,DATOS!$A6194,nCURSO,DATOS!$D6194,nESPEC,DATOS!$E6194,nASIG,DATOS!$I6194,nEVAL,"EX")=0),0))))</f>
      </c>
      <c r="H6194">
        <f>IF(DATOS!$G6194&lt;&gt;"EX",0,--(COUNTIFS(nNIA,DATOS!$A6194,nCURSO,DATOS!$D6194,nESPEC,DATOS!$E6194,nASIG,DATOS!$I6194,nEVAL,"OR")=0))</f>
      </c>
      <c r="I6194">
        <f>IF(DATOS!$I6194="","",IFERROR(VLOOKUP(DATOS!$I6194,CONFIG_ASIGNATURAS!$B$2:$J$91,9,FALSE()),""))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IF(DATOS!$A6195="",0,IF(CONFIG_METADATA!$B$4&lt;&gt;"OR+EX",--(DATOS!$G6195=CONFIG_METADATA!$B$4),IF(DATOS!$G6195="EX",1,IF(DATOS!$G6195="OR",--(COUNTIFS(nNIA,DATOS!$A6195,nCURSO,DATOS!$D6195,nESPEC,DATOS!$E6195,nASIG,DATOS!$I6195,nEVAL,"EX")=0),0))))</f>
      </c>
      <c r="H6195">
        <f>IF(DATOS!$G6195&lt;&gt;"EX",0,--(COUNTIFS(nNIA,DATOS!$A6195,nCURSO,DATOS!$D6195,nESPEC,DATOS!$E6195,nASIG,DATOS!$I6195,nEVAL,"OR")=0))</f>
      </c>
      <c r="I6195">
        <f>IF(DATOS!$I6195="","",IFERROR(VLOOKUP(DATOS!$I6195,CONFIG_ASIGNATURAS!$B$2:$J$91,9,FALSE()),""))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IF(DATOS!$A6196="",0,IF(CONFIG_METADATA!$B$4&lt;&gt;"OR+EX",--(DATOS!$G6196=CONFIG_METADATA!$B$4),IF(DATOS!$G6196="EX",1,IF(DATOS!$G6196="OR",--(COUNTIFS(nNIA,DATOS!$A6196,nCURSO,DATOS!$D6196,nESPEC,DATOS!$E6196,nASIG,DATOS!$I6196,nEVAL,"EX")=0),0))))</f>
      </c>
      <c r="H6196">
        <f>IF(DATOS!$G6196&lt;&gt;"EX",0,--(COUNTIFS(nNIA,DATOS!$A6196,nCURSO,DATOS!$D6196,nESPEC,DATOS!$E6196,nASIG,DATOS!$I6196,nEVAL,"OR")=0))</f>
      </c>
      <c r="I6196">
        <f>IF(DATOS!$I6196="","",IFERROR(VLOOKUP(DATOS!$I6196,CONFIG_ASIGNATURAS!$B$2:$J$91,9,FALSE()),""))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IF(DATOS!$A6197="",0,IF(CONFIG_METADATA!$B$4&lt;&gt;"OR+EX",--(DATOS!$G6197=CONFIG_METADATA!$B$4),IF(DATOS!$G6197="EX",1,IF(DATOS!$G6197="OR",--(COUNTIFS(nNIA,DATOS!$A6197,nCURSO,DATOS!$D6197,nESPEC,DATOS!$E6197,nASIG,DATOS!$I6197,nEVAL,"EX")=0),0))))</f>
      </c>
      <c r="H6197">
        <f>IF(DATOS!$G6197&lt;&gt;"EX",0,--(COUNTIFS(nNIA,DATOS!$A6197,nCURSO,DATOS!$D6197,nESPEC,DATOS!$E6197,nASIG,DATOS!$I6197,nEVAL,"OR")=0))</f>
      </c>
      <c r="I6197">
        <f>IF(DATOS!$I6197="","",IFERROR(VLOOKUP(DATOS!$I6197,CONFIG_ASIGNATURAS!$B$2:$J$91,9,FALSE()),""))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IF(DATOS!$A6198="",0,IF(CONFIG_METADATA!$B$4&lt;&gt;"OR+EX",--(DATOS!$G6198=CONFIG_METADATA!$B$4),IF(DATOS!$G6198="EX",1,IF(DATOS!$G6198="OR",--(COUNTIFS(nNIA,DATOS!$A6198,nCURSO,DATOS!$D6198,nESPEC,DATOS!$E6198,nASIG,DATOS!$I6198,nEVAL,"EX")=0),0))))</f>
      </c>
      <c r="H6198">
        <f>IF(DATOS!$G6198&lt;&gt;"EX",0,--(COUNTIFS(nNIA,DATOS!$A6198,nCURSO,DATOS!$D6198,nESPEC,DATOS!$E6198,nASIG,DATOS!$I6198,nEVAL,"OR")=0))</f>
      </c>
      <c r="I6198">
        <f>IF(DATOS!$I6198="","",IFERROR(VLOOKUP(DATOS!$I6198,CONFIG_ASIGNATURAS!$B$2:$J$91,9,FALSE()),""))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IF(DATOS!$A6199="",0,IF(CONFIG_METADATA!$B$4&lt;&gt;"OR+EX",--(DATOS!$G6199=CONFIG_METADATA!$B$4),IF(DATOS!$G6199="EX",1,IF(DATOS!$G6199="OR",--(COUNTIFS(nNIA,DATOS!$A6199,nCURSO,DATOS!$D6199,nESPEC,DATOS!$E6199,nASIG,DATOS!$I6199,nEVAL,"EX")=0),0))))</f>
      </c>
      <c r="H6199">
        <f>IF(DATOS!$G6199&lt;&gt;"EX",0,--(COUNTIFS(nNIA,DATOS!$A6199,nCURSO,DATOS!$D6199,nESPEC,DATOS!$E6199,nASIG,DATOS!$I6199,nEVAL,"OR")=0))</f>
      </c>
      <c r="I6199">
        <f>IF(DATOS!$I6199="","",IFERROR(VLOOKUP(DATOS!$I6199,CONFIG_ASIGNATURAS!$B$2:$J$91,9,FALSE()),""))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IF(DATOS!$A6200="",0,IF(CONFIG_METADATA!$B$4&lt;&gt;"OR+EX",--(DATOS!$G6200=CONFIG_METADATA!$B$4),IF(DATOS!$G6200="EX",1,IF(DATOS!$G6200="OR",--(COUNTIFS(nNIA,DATOS!$A6200,nCURSO,DATOS!$D6200,nESPEC,DATOS!$E6200,nASIG,DATOS!$I6200,nEVAL,"EX")=0),0))))</f>
      </c>
      <c r="H6200">
        <f>IF(DATOS!$G6200&lt;&gt;"EX",0,--(COUNTIFS(nNIA,DATOS!$A6200,nCURSO,DATOS!$D6200,nESPEC,DATOS!$E6200,nASIG,DATOS!$I6200,nEVAL,"OR")=0))</f>
      </c>
      <c r="I6200">
        <f>IF(DATOS!$I6200="","",IFERROR(VLOOKUP(DATOS!$I6200,CONFIG_ASIGNATURAS!$B$2:$J$91,9,FALSE()),""))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IF(DATOS!$A6201="",0,IF(CONFIG_METADATA!$B$4&lt;&gt;"OR+EX",--(DATOS!$G6201=CONFIG_METADATA!$B$4),IF(DATOS!$G6201="EX",1,IF(DATOS!$G6201="OR",--(COUNTIFS(nNIA,DATOS!$A6201,nCURSO,DATOS!$D6201,nESPEC,DATOS!$E6201,nASIG,DATOS!$I6201,nEVAL,"EX")=0),0))))</f>
      </c>
      <c r="H6201">
        <f>IF(DATOS!$G6201&lt;&gt;"EX",0,--(COUNTIFS(nNIA,DATOS!$A6201,nCURSO,DATOS!$D6201,nESPEC,DATOS!$E6201,nASIG,DATOS!$I6201,nEVAL,"OR")=0))</f>
      </c>
      <c r="I6201">
        <f>IF(DATOS!$I6201="","",IFERROR(VLOOKUP(DATOS!$I6201,CONFIG_ASIGNATURAS!$B$2:$J$91,9,FALSE()),""))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IF(DATOS!$A6202="",0,IF(CONFIG_METADATA!$B$4&lt;&gt;"OR+EX",--(DATOS!$G6202=CONFIG_METADATA!$B$4),IF(DATOS!$G6202="EX",1,IF(DATOS!$G6202="OR",--(COUNTIFS(nNIA,DATOS!$A6202,nCURSO,DATOS!$D6202,nESPEC,DATOS!$E6202,nASIG,DATOS!$I6202,nEVAL,"EX")=0),0))))</f>
      </c>
      <c r="H6202">
        <f>IF(DATOS!$G6202&lt;&gt;"EX",0,--(COUNTIFS(nNIA,DATOS!$A6202,nCURSO,DATOS!$D6202,nESPEC,DATOS!$E6202,nASIG,DATOS!$I6202,nEVAL,"OR")=0))</f>
      </c>
      <c r="I6202">
        <f>IF(DATOS!$I6202="","",IFERROR(VLOOKUP(DATOS!$I6202,CONFIG_ASIGNATURAS!$B$2:$J$91,9,FALSE()),""))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IF(DATOS!$A6203="",0,IF(CONFIG_METADATA!$B$4&lt;&gt;"OR+EX",--(DATOS!$G6203=CONFIG_METADATA!$B$4),IF(DATOS!$G6203="EX",1,IF(DATOS!$G6203="OR",--(COUNTIFS(nNIA,DATOS!$A6203,nCURSO,DATOS!$D6203,nESPEC,DATOS!$E6203,nASIG,DATOS!$I6203,nEVAL,"EX")=0),0))))</f>
      </c>
      <c r="H6203">
        <f>IF(DATOS!$G6203&lt;&gt;"EX",0,--(COUNTIFS(nNIA,DATOS!$A6203,nCURSO,DATOS!$D6203,nESPEC,DATOS!$E6203,nASIG,DATOS!$I6203,nEVAL,"OR")=0))</f>
      </c>
      <c r="I6203">
        <f>IF(DATOS!$I6203="","",IFERROR(VLOOKUP(DATOS!$I6203,CONFIG_ASIGNATURAS!$B$2:$J$91,9,FALSE()),""))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IF(DATOS!$A6204="",0,IF(CONFIG_METADATA!$B$4&lt;&gt;"OR+EX",--(DATOS!$G6204=CONFIG_METADATA!$B$4),IF(DATOS!$G6204="EX",1,IF(DATOS!$G6204="OR",--(COUNTIFS(nNIA,DATOS!$A6204,nCURSO,DATOS!$D6204,nESPEC,DATOS!$E6204,nASIG,DATOS!$I6204,nEVAL,"EX")=0),0))))</f>
      </c>
      <c r="H6204">
        <f>IF(DATOS!$G6204&lt;&gt;"EX",0,--(COUNTIFS(nNIA,DATOS!$A6204,nCURSO,DATOS!$D6204,nESPEC,DATOS!$E6204,nASIG,DATOS!$I6204,nEVAL,"OR")=0))</f>
      </c>
      <c r="I6204">
        <f>IF(DATOS!$I6204="","",IFERROR(VLOOKUP(DATOS!$I6204,CONFIG_ASIGNATURAS!$B$2:$J$91,9,FALSE()),""))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IF(DATOS!$A6205="",0,IF(CONFIG_METADATA!$B$4&lt;&gt;"OR+EX",--(DATOS!$G6205=CONFIG_METADATA!$B$4),IF(DATOS!$G6205="EX",1,IF(DATOS!$G6205="OR",--(COUNTIFS(nNIA,DATOS!$A6205,nCURSO,DATOS!$D6205,nESPEC,DATOS!$E6205,nASIG,DATOS!$I6205,nEVAL,"EX")=0),0))))</f>
      </c>
      <c r="H6205">
        <f>IF(DATOS!$G6205&lt;&gt;"EX",0,--(COUNTIFS(nNIA,DATOS!$A6205,nCURSO,DATOS!$D6205,nESPEC,DATOS!$E6205,nASIG,DATOS!$I6205,nEVAL,"OR")=0))</f>
      </c>
      <c r="I6205">
        <f>IF(DATOS!$I6205="","",IFERROR(VLOOKUP(DATOS!$I6205,CONFIG_ASIGNATURAS!$B$2:$J$91,9,FALSE()),""))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IF(DATOS!$A6206="",0,IF(CONFIG_METADATA!$B$4&lt;&gt;"OR+EX",--(DATOS!$G6206=CONFIG_METADATA!$B$4),IF(DATOS!$G6206="EX",1,IF(DATOS!$G6206="OR",--(COUNTIFS(nNIA,DATOS!$A6206,nCURSO,DATOS!$D6206,nESPEC,DATOS!$E6206,nASIG,DATOS!$I6206,nEVAL,"EX")=0),0))))</f>
      </c>
      <c r="H6206">
        <f>IF(DATOS!$G6206&lt;&gt;"EX",0,--(COUNTIFS(nNIA,DATOS!$A6206,nCURSO,DATOS!$D6206,nESPEC,DATOS!$E6206,nASIG,DATOS!$I6206,nEVAL,"OR")=0))</f>
      </c>
      <c r="I6206">
        <f>IF(DATOS!$I6206="","",IFERROR(VLOOKUP(DATOS!$I6206,CONFIG_ASIGNATURAS!$B$2:$J$91,9,FALSE()),""))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IF(DATOS!$A6207="",0,IF(CONFIG_METADATA!$B$4&lt;&gt;"OR+EX",--(DATOS!$G6207=CONFIG_METADATA!$B$4),IF(DATOS!$G6207="EX",1,IF(DATOS!$G6207="OR",--(COUNTIFS(nNIA,DATOS!$A6207,nCURSO,DATOS!$D6207,nESPEC,DATOS!$E6207,nASIG,DATOS!$I6207,nEVAL,"EX")=0),0))))</f>
      </c>
      <c r="H6207">
        <f>IF(DATOS!$G6207&lt;&gt;"EX",0,--(COUNTIFS(nNIA,DATOS!$A6207,nCURSO,DATOS!$D6207,nESPEC,DATOS!$E6207,nASIG,DATOS!$I6207,nEVAL,"OR")=0))</f>
      </c>
      <c r="I6207">
        <f>IF(DATOS!$I6207="","",IFERROR(VLOOKUP(DATOS!$I6207,CONFIG_ASIGNATURAS!$B$2:$J$91,9,FALSE()),""))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IF(DATOS!$A6208="",0,IF(CONFIG_METADATA!$B$4&lt;&gt;"OR+EX",--(DATOS!$G6208=CONFIG_METADATA!$B$4),IF(DATOS!$G6208="EX",1,IF(DATOS!$G6208="OR",--(COUNTIFS(nNIA,DATOS!$A6208,nCURSO,DATOS!$D6208,nESPEC,DATOS!$E6208,nASIG,DATOS!$I6208,nEVAL,"EX")=0),0))))</f>
      </c>
      <c r="H6208">
        <f>IF(DATOS!$G6208&lt;&gt;"EX",0,--(COUNTIFS(nNIA,DATOS!$A6208,nCURSO,DATOS!$D6208,nESPEC,DATOS!$E6208,nASIG,DATOS!$I6208,nEVAL,"OR")=0))</f>
      </c>
      <c r="I6208">
        <f>IF(DATOS!$I6208="","",IFERROR(VLOOKUP(DATOS!$I6208,CONFIG_ASIGNATURAS!$B$2:$J$91,9,FALSE()),""))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IF(DATOS!$A6209="",0,IF(CONFIG_METADATA!$B$4&lt;&gt;"OR+EX",--(DATOS!$G6209=CONFIG_METADATA!$B$4),IF(DATOS!$G6209="EX",1,IF(DATOS!$G6209="OR",--(COUNTIFS(nNIA,DATOS!$A6209,nCURSO,DATOS!$D6209,nESPEC,DATOS!$E6209,nASIG,DATOS!$I6209,nEVAL,"EX")=0),0))))</f>
      </c>
      <c r="H6209">
        <f>IF(DATOS!$G6209&lt;&gt;"EX",0,--(COUNTIFS(nNIA,DATOS!$A6209,nCURSO,DATOS!$D6209,nESPEC,DATOS!$E6209,nASIG,DATOS!$I6209,nEVAL,"OR")=0))</f>
      </c>
      <c r="I6209">
        <f>IF(DATOS!$I6209="","",IFERROR(VLOOKUP(DATOS!$I6209,CONFIG_ASIGNATURAS!$B$2:$J$91,9,FALSE()),""))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IF(DATOS!$A6210="",0,IF(CONFIG_METADATA!$B$4&lt;&gt;"OR+EX",--(DATOS!$G6210=CONFIG_METADATA!$B$4),IF(DATOS!$G6210="EX",1,IF(DATOS!$G6210="OR",--(COUNTIFS(nNIA,DATOS!$A6210,nCURSO,DATOS!$D6210,nESPEC,DATOS!$E6210,nASIG,DATOS!$I6210,nEVAL,"EX")=0),0))))</f>
      </c>
      <c r="H6210">
        <f>IF(DATOS!$G6210&lt;&gt;"EX",0,--(COUNTIFS(nNIA,DATOS!$A6210,nCURSO,DATOS!$D6210,nESPEC,DATOS!$E6210,nASIG,DATOS!$I6210,nEVAL,"OR")=0))</f>
      </c>
      <c r="I6210">
        <f>IF(DATOS!$I6210="","",IFERROR(VLOOKUP(DATOS!$I6210,CONFIG_ASIGNATURAS!$B$2:$J$91,9,FALSE()),""))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IF(DATOS!$A6211="",0,IF(CONFIG_METADATA!$B$4&lt;&gt;"OR+EX",--(DATOS!$G6211=CONFIG_METADATA!$B$4),IF(DATOS!$G6211="EX",1,IF(DATOS!$G6211="OR",--(COUNTIFS(nNIA,DATOS!$A6211,nCURSO,DATOS!$D6211,nESPEC,DATOS!$E6211,nASIG,DATOS!$I6211,nEVAL,"EX")=0),0))))</f>
      </c>
      <c r="H6211">
        <f>IF(DATOS!$G6211&lt;&gt;"EX",0,--(COUNTIFS(nNIA,DATOS!$A6211,nCURSO,DATOS!$D6211,nESPEC,DATOS!$E6211,nASIG,DATOS!$I6211,nEVAL,"OR")=0))</f>
      </c>
      <c r="I6211">
        <f>IF(DATOS!$I6211="","",IFERROR(VLOOKUP(DATOS!$I6211,CONFIG_ASIGNATURAS!$B$2:$J$91,9,FALSE()),""))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IF(DATOS!$A6212="",0,IF(CONFIG_METADATA!$B$4&lt;&gt;"OR+EX",--(DATOS!$G6212=CONFIG_METADATA!$B$4),IF(DATOS!$G6212="EX",1,IF(DATOS!$G6212="OR",--(COUNTIFS(nNIA,DATOS!$A6212,nCURSO,DATOS!$D6212,nESPEC,DATOS!$E6212,nASIG,DATOS!$I6212,nEVAL,"EX")=0),0))))</f>
      </c>
      <c r="H6212">
        <f>IF(DATOS!$G6212&lt;&gt;"EX",0,--(COUNTIFS(nNIA,DATOS!$A6212,nCURSO,DATOS!$D6212,nESPEC,DATOS!$E6212,nASIG,DATOS!$I6212,nEVAL,"OR")=0))</f>
      </c>
      <c r="I6212">
        <f>IF(DATOS!$I6212="","",IFERROR(VLOOKUP(DATOS!$I6212,CONFIG_ASIGNATURAS!$B$2:$J$91,9,FALSE()),""))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IF(DATOS!$A6213="",0,IF(CONFIG_METADATA!$B$4&lt;&gt;"OR+EX",--(DATOS!$G6213=CONFIG_METADATA!$B$4),IF(DATOS!$G6213="EX",1,IF(DATOS!$G6213="OR",--(COUNTIFS(nNIA,DATOS!$A6213,nCURSO,DATOS!$D6213,nESPEC,DATOS!$E6213,nASIG,DATOS!$I6213,nEVAL,"EX")=0),0))))</f>
      </c>
      <c r="H6213">
        <f>IF(DATOS!$G6213&lt;&gt;"EX",0,--(COUNTIFS(nNIA,DATOS!$A6213,nCURSO,DATOS!$D6213,nESPEC,DATOS!$E6213,nASIG,DATOS!$I6213,nEVAL,"OR")=0))</f>
      </c>
      <c r="I6213">
        <f>IF(DATOS!$I6213="","",IFERROR(VLOOKUP(DATOS!$I6213,CONFIG_ASIGNATURAS!$B$2:$J$91,9,FALSE()),""))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IF(DATOS!$A6214="",0,IF(CONFIG_METADATA!$B$4&lt;&gt;"OR+EX",--(DATOS!$G6214=CONFIG_METADATA!$B$4),IF(DATOS!$G6214="EX",1,IF(DATOS!$G6214="OR",--(COUNTIFS(nNIA,DATOS!$A6214,nCURSO,DATOS!$D6214,nESPEC,DATOS!$E6214,nASIG,DATOS!$I6214,nEVAL,"EX")=0),0))))</f>
      </c>
      <c r="H6214">
        <f>IF(DATOS!$G6214&lt;&gt;"EX",0,--(COUNTIFS(nNIA,DATOS!$A6214,nCURSO,DATOS!$D6214,nESPEC,DATOS!$E6214,nASIG,DATOS!$I6214,nEVAL,"OR")=0))</f>
      </c>
      <c r="I6214">
        <f>IF(DATOS!$I6214="","",IFERROR(VLOOKUP(DATOS!$I6214,CONFIG_ASIGNATURAS!$B$2:$J$91,9,FALSE()),""))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IF(DATOS!$A6215="",0,IF(CONFIG_METADATA!$B$4&lt;&gt;"OR+EX",--(DATOS!$G6215=CONFIG_METADATA!$B$4),IF(DATOS!$G6215="EX",1,IF(DATOS!$G6215="OR",--(COUNTIFS(nNIA,DATOS!$A6215,nCURSO,DATOS!$D6215,nESPEC,DATOS!$E6215,nASIG,DATOS!$I6215,nEVAL,"EX")=0),0))))</f>
      </c>
      <c r="H6215">
        <f>IF(DATOS!$G6215&lt;&gt;"EX",0,--(COUNTIFS(nNIA,DATOS!$A6215,nCURSO,DATOS!$D6215,nESPEC,DATOS!$E6215,nASIG,DATOS!$I6215,nEVAL,"OR")=0))</f>
      </c>
      <c r="I6215">
        <f>IF(DATOS!$I6215="","",IFERROR(VLOOKUP(DATOS!$I6215,CONFIG_ASIGNATURAS!$B$2:$J$91,9,FALSE()),""))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IF(DATOS!$A6216="",0,IF(CONFIG_METADATA!$B$4&lt;&gt;"OR+EX",--(DATOS!$G6216=CONFIG_METADATA!$B$4),IF(DATOS!$G6216="EX",1,IF(DATOS!$G6216="OR",--(COUNTIFS(nNIA,DATOS!$A6216,nCURSO,DATOS!$D6216,nESPEC,DATOS!$E6216,nASIG,DATOS!$I6216,nEVAL,"EX")=0),0))))</f>
      </c>
      <c r="H6216">
        <f>IF(DATOS!$G6216&lt;&gt;"EX",0,--(COUNTIFS(nNIA,DATOS!$A6216,nCURSO,DATOS!$D6216,nESPEC,DATOS!$E6216,nASIG,DATOS!$I6216,nEVAL,"OR")=0))</f>
      </c>
      <c r="I6216">
        <f>IF(DATOS!$I6216="","",IFERROR(VLOOKUP(DATOS!$I6216,CONFIG_ASIGNATURAS!$B$2:$J$91,9,FALSE()),""))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IF(DATOS!$A6217="",0,IF(CONFIG_METADATA!$B$4&lt;&gt;"OR+EX",--(DATOS!$G6217=CONFIG_METADATA!$B$4),IF(DATOS!$G6217="EX",1,IF(DATOS!$G6217="OR",--(COUNTIFS(nNIA,DATOS!$A6217,nCURSO,DATOS!$D6217,nESPEC,DATOS!$E6217,nASIG,DATOS!$I6217,nEVAL,"EX")=0),0))))</f>
      </c>
      <c r="H6217">
        <f>IF(DATOS!$G6217&lt;&gt;"EX",0,--(COUNTIFS(nNIA,DATOS!$A6217,nCURSO,DATOS!$D6217,nESPEC,DATOS!$E6217,nASIG,DATOS!$I6217,nEVAL,"OR")=0))</f>
      </c>
      <c r="I6217">
        <f>IF(DATOS!$I6217="","",IFERROR(VLOOKUP(DATOS!$I6217,CONFIG_ASIGNATURAS!$B$2:$J$91,9,FALSE()),""))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IF(DATOS!$A6218="",0,IF(CONFIG_METADATA!$B$4&lt;&gt;"OR+EX",--(DATOS!$G6218=CONFIG_METADATA!$B$4),IF(DATOS!$G6218="EX",1,IF(DATOS!$G6218="OR",--(COUNTIFS(nNIA,DATOS!$A6218,nCURSO,DATOS!$D6218,nESPEC,DATOS!$E6218,nASIG,DATOS!$I6218,nEVAL,"EX")=0),0))))</f>
      </c>
      <c r="H6218">
        <f>IF(DATOS!$G6218&lt;&gt;"EX",0,--(COUNTIFS(nNIA,DATOS!$A6218,nCURSO,DATOS!$D6218,nESPEC,DATOS!$E6218,nASIG,DATOS!$I6218,nEVAL,"OR")=0))</f>
      </c>
      <c r="I6218">
        <f>IF(DATOS!$I6218="","",IFERROR(VLOOKUP(DATOS!$I6218,CONFIG_ASIGNATURAS!$B$2:$J$91,9,FALSE()),""))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IF(DATOS!$A6219="",0,IF(CONFIG_METADATA!$B$4&lt;&gt;"OR+EX",--(DATOS!$G6219=CONFIG_METADATA!$B$4),IF(DATOS!$G6219="EX",1,IF(DATOS!$G6219="OR",--(COUNTIFS(nNIA,DATOS!$A6219,nCURSO,DATOS!$D6219,nESPEC,DATOS!$E6219,nASIG,DATOS!$I6219,nEVAL,"EX")=0),0))))</f>
      </c>
      <c r="H6219">
        <f>IF(DATOS!$G6219&lt;&gt;"EX",0,--(COUNTIFS(nNIA,DATOS!$A6219,nCURSO,DATOS!$D6219,nESPEC,DATOS!$E6219,nASIG,DATOS!$I6219,nEVAL,"OR")=0))</f>
      </c>
      <c r="I6219">
        <f>IF(DATOS!$I6219="","",IFERROR(VLOOKUP(DATOS!$I6219,CONFIG_ASIGNATURAS!$B$2:$J$91,9,FALSE()),""))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IF(DATOS!$A6220="",0,IF(CONFIG_METADATA!$B$4&lt;&gt;"OR+EX",--(DATOS!$G6220=CONFIG_METADATA!$B$4),IF(DATOS!$G6220="EX",1,IF(DATOS!$G6220="OR",--(COUNTIFS(nNIA,DATOS!$A6220,nCURSO,DATOS!$D6220,nESPEC,DATOS!$E6220,nASIG,DATOS!$I6220,nEVAL,"EX")=0),0))))</f>
      </c>
      <c r="H6220">
        <f>IF(DATOS!$G6220&lt;&gt;"EX",0,--(COUNTIFS(nNIA,DATOS!$A6220,nCURSO,DATOS!$D6220,nESPEC,DATOS!$E6220,nASIG,DATOS!$I6220,nEVAL,"OR")=0))</f>
      </c>
      <c r="I6220">
        <f>IF(DATOS!$I6220="","",IFERROR(VLOOKUP(DATOS!$I6220,CONFIG_ASIGNATURAS!$B$2:$J$91,9,FALSE()),""))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IF(DATOS!$A6221="",0,IF(CONFIG_METADATA!$B$4&lt;&gt;"OR+EX",--(DATOS!$G6221=CONFIG_METADATA!$B$4),IF(DATOS!$G6221="EX",1,IF(DATOS!$G6221="OR",--(COUNTIFS(nNIA,DATOS!$A6221,nCURSO,DATOS!$D6221,nESPEC,DATOS!$E6221,nASIG,DATOS!$I6221,nEVAL,"EX")=0),0))))</f>
      </c>
      <c r="H6221">
        <f>IF(DATOS!$G6221&lt;&gt;"EX",0,--(COUNTIFS(nNIA,DATOS!$A6221,nCURSO,DATOS!$D6221,nESPEC,DATOS!$E6221,nASIG,DATOS!$I6221,nEVAL,"OR")=0))</f>
      </c>
      <c r="I6221">
        <f>IF(DATOS!$I6221="","",IFERROR(VLOOKUP(DATOS!$I6221,CONFIG_ASIGNATURAS!$B$2:$J$91,9,FALSE()),""))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IF(DATOS!$A6222="",0,IF(CONFIG_METADATA!$B$4&lt;&gt;"OR+EX",--(DATOS!$G6222=CONFIG_METADATA!$B$4),IF(DATOS!$G6222="EX",1,IF(DATOS!$G6222="OR",--(COUNTIFS(nNIA,DATOS!$A6222,nCURSO,DATOS!$D6222,nESPEC,DATOS!$E6222,nASIG,DATOS!$I6222,nEVAL,"EX")=0),0))))</f>
      </c>
      <c r="H6222">
        <f>IF(DATOS!$G6222&lt;&gt;"EX",0,--(COUNTIFS(nNIA,DATOS!$A6222,nCURSO,DATOS!$D6222,nESPEC,DATOS!$E6222,nASIG,DATOS!$I6222,nEVAL,"OR")=0))</f>
      </c>
      <c r="I6222">
        <f>IF(DATOS!$I6222="","",IFERROR(VLOOKUP(DATOS!$I6222,CONFIG_ASIGNATURAS!$B$2:$J$91,9,FALSE()),""))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IF(DATOS!$A6223="",0,IF(CONFIG_METADATA!$B$4&lt;&gt;"OR+EX",--(DATOS!$G6223=CONFIG_METADATA!$B$4),IF(DATOS!$G6223="EX",1,IF(DATOS!$G6223="OR",--(COUNTIFS(nNIA,DATOS!$A6223,nCURSO,DATOS!$D6223,nESPEC,DATOS!$E6223,nASIG,DATOS!$I6223,nEVAL,"EX")=0),0))))</f>
      </c>
      <c r="H6223">
        <f>IF(DATOS!$G6223&lt;&gt;"EX",0,--(COUNTIFS(nNIA,DATOS!$A6223,nCURSO,DATOS!$D6223,nESPEC,DATOS!$E6223,nASIG,DATOS!$I6223,nEVAL,"OR")=0))</f>
      </c>
      <c r="I6223">
        <f>IF(DATOS!$I6223="","",IFERROR(VLOOKUP(DATOS!$I6223,CONFIG_ASIGNATURAS!$B$2:$J$91,9,FALSE()),""))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IF(DATOS!$A6224="",0,IF(CONFIG_METADATA!$B$4&lt;&gt;"OR+EX",--(DATOS!$G6224=CONFIG_METADATA!$B$4),IF(DATOS!$G6224="EX",1,IF(DATOS!$G6224="OR",--(COUNTIFS(nNIA,DATOS!$A6224,nCURSO,DATOS!$D6224,nESPEC,DATOS!$E6224,nASIG,DATOS!$I6224,nEVAL,"EX")=0),0))))</f>
      </c>
      <c r="H6224">
        <f>IF(DATOS!$G6224&lt;&gt;"EX",0,--(COUNTIFS(nNIA,DATOS!$A6224,nCURSO,DATOS!$D6224,nESPEC,DATOS!$E6224,nASIG,DATOS!$I6224,nEVAL,"OR")=0))</f>
      </c>
      <c r="I6224">
        <f>IF(DATOS!$I6224="","",IFERROR(VLOOKUP(DATOS!$I6224,CONFIG_ASIGNATURAS!$B$2:$J$91,9,FALSE()),""))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IF(DATOS!$A6225="",0,IF(CONFIG_METADATA!$B$4&lt;&gt;"OR+EX",--(DATOS!$G6225=CONFIG_METADATA!$B$4),IF(DATOS!$G6225="EX",1,IF(DATOS!$G6225="OR",--(COUNTIFS(nNIA,DATOS!$A6225,nCURSO,DATOS!$D6225,nESPEC,DATOS!$E6225,nASIG,DATOS!$I6225,nEVAL,"EX")=0),0))))</f>
      </c>
      <c r="H6225">
        <f>IF(DATOS!$G6225&lt;&gt;"EX",0,--(COUNTIFS(nNIA,DATOS!$A6225,nCURSO,DATOS!$D6225,nESPEC,DATOS!$E6225,nASIG,DATOS!$I6225,nEVAL,"OR")=0))</f>
      </c>
      <c r="I6225">
        <f>IF(DATOS!$I6225="","",IFERROR(VLOOKUP(DATOS!$I6225,CONFIG_ASIGNATURAS!$B$2:$J$91,9,FALSE()),""))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IF(DATOS!$A6226="",0,IF(CONFIG_METADATA!$B$4&lt;&gt;"OR+EX",--(DATOS!$G6226=CONFIG_METADATA!$B$4),IF(DATOS!$G6226="EX",1,IF(DATOS!$G6226="OR",--(COUNTIFS(nNIA,DATOS!$A6226,nCURSO,DATOS!$D6226,nESPEC,DATOS!$E6226,nASIG,DATOS!$I6226,nEVAL,"EX")=0),0))))</f>
      </c>
      <c r="H6226">
        <f>IF(DATOS!$G6226&lt;&gt;"EX",0,--(COUNTIFS(nNIA,DATOS!$A6226,nCURSO,DATOS!$D6226,nESPEC,DATOS!$E6226,nASIG,DATOS!$I6226,nEVAL,"OR")=0))</f>
      </c>
      <c r="I6226">
        <f>IF(DATOS!$I6226="","",IFERROR(VLOOKUP(DATOS!$I6226,CONFIG_ASIGNATURAS!$B$2:$J$91,9,FALSE()),""))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IF(DATOS!$A6227="",0,IF(CONFIG_METADATA!$B$4&lt;&gt;"OR+EX",--(DATOS!$G6227=CONFIG_METADATA!$B$4),IF(DATOS!$G6227="EX",1,IF(DATOS!$G6227="OR",--(COUNTIFS(nNIA,DATOS!$A6227,nCURSO,DATOS!$D6227,nESPEC,DATOS!$E6227,nASIG,DATOS!$I6227,nEVAL,"EX")=0),0))))</f>
      </c>
      <c r="H6227">
        <f>IF(DATOS!$G6227&lt;&gt;"EX",0,--(COUNTIFS(nNIA,DATOS!$A6227,nCURSO,DATOS!$D6227,nESPEC,DATOS!$E6227,nASIG,DATOS!$I6227,nEVAL,"OR")=0))</f>
      </c>
      <c r="I6227">
        <f>IF(DATOS!$I6227="","",IFERROR(VLOOKUP(DATOS!$I6227,CONFIG_ASIGNATURAS!$B$2:$J$91,9,FALSE()),""))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IF(DATOS!$A6228="",0,IF(CONFIG_METADATA!$B$4&lt;&gt;"OR+EX",--(DATOS!$G6228=CONFIG_METADATA!$B$4),IF(DATOS!$G6228="EX",1,IF(DATOS!$G6228="OR",--(COUNTIFS(nNIA,DATOS!$A6228,nCURSO,DATOS!$D6228,nESPEC,DATOS!$E6228,nASIG,DATOS!$I6228,nEVAL,"EX")=0),0))))</f>
      </c>
      <c r="H6228">
        <f>IF(DATOS!$G6228&lt;&gt;"EX",0,--(COUNTIFS(nNIA,DATOS!$A6228,nCURSO,DATOS!$D6228,nESPEC,DATOS!$E6228,nASIG,DATOS!$I6228,nEVAL,"OR")=0))</f>
      </c>
      <c r="I6228">
        <f>IF(DATOS!$I6228="","",IFERROR(VLOOKUP(DATOS!$I6228,CONFIG_ASIGNATURAS!$B$2:$J$91,9,FALSE()),""))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IF(DATOS!$A6229="",0,IF(CONFIG_METADATA!$B$4&lt;&gt;"OR+EX",--(DATOS!$G6229=CONFIG_METADATA!$B$4),IF(DATOS!$G6229="EX",1,IF(DATOS!$G6229="OR",--(COUNTIFS(nNIA,DATOS!$A6229,nCURSO,DATOS!$D6229,nESPEC,DATOS!$E6229,nASIG,DATOS!$I6229,nEVAL,"EX")=0),0))))</f>
      </c>
      <c r="H6229">
        <f>IF(DATOS!$G6229&lt;&gt;"EX",0,--(COUNTIFS(nNIA,DATOS!$A6229,nCURSO,DATOS!$D6229,nESPEC,DATOS!$E6229,nASIG,DATOS!$I6229,nEVAL,"OR")=0))</f>
      </c>
      <c r="I6229">
        <f>IF(DATOS!$I6229="","",IFERROR(VLOOKUP(DATOS!$I6229,CONFIG_ASIGNATURAS!$B$2:$J$91,9,FALSE()),""))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IF(DATOS!$A6230="",0,IF(CONFIG_METADATA!$B$4&lt;&gt;"OR+EX",--(DATOS!$G6230=CONFIG_METADATA!$B$4),IF(DATOS!$G6230="EX",1,IF(DATOS!$G6230="OR",--(COUNTIFS(nNIA,DATOS!$A6230,nCURSO,DATOS!$D6230,nESPEC,DATOS!$E6230,nASIG,DATOS!$I6230,nEVAL,"EX")=0),0))))</f>
      </c>
      <c r="H6230">
        <f>IF(DATOS!$G6230&lt;&gt;"EX",0,--(COUNTIFS(nNIA,DATOS!$A6230,nCURSO,DATOS!$D6230,nESPEC,DATOS!$E6230,nASIG,DATOS!$I6230,nEVAL,"OR")=0))</f>
      </c>
      <c r="I6230">
        <f>IF(DATOS!$I6230="","",IFERROR(VLOOKUP(DATOS!$I6230,CONFIG_ASIGNATURAS!$B$2:$J$91,9,FALSE()),""))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IF(DATOS!$A6231="",0,IF(CONFIG_METADATA!$B$4&lt;&gt;"OR+EX",--(DATOS!$G6231=CONFIG_METADATA!$B$4),IF(DATOS!$G6231="EX",1,IF(DATOS!$G6231="OR",--(COUNTIFS(nNIA,DATOS!$A6231,nCURSO,DATOS!$D6231,nESPEC,DATOS!$E6231,nASIG,DATOS!$I6231,nEVAL,"EX")=0),0))))</f>
      </c>
      <c r="H6231">
        <f>IF(DATOS!$G6231&lt;&gt;"EX",0,--(COUNTIFS(nNIA,DATOS!$A6231,nCURSO,DATOS!$D6231,nESPEC,DATOS!$E6231,nASIG,DATOS!$I6231,nEVAL,"OR")=0))</f>
      </c>
      <c r="I6231">
        <f>IF(DATOS!$I6231="","",IFERROR(VLOOKUP(DATOS!$I6231,CONFIG_ASIGNATURAS!$B$2:$J$91,9,FALSE()),""))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IF(DATOS!$A6232="",0,IF(CONFIG_METADATA!$B$4&lt;&gt;"OR+EX",--(DATOS!$G6232=CONFIG_METADATA!$B$4),IF(DATOS!$G6232="EX",1,IF(DATOS!$G6232="OR",--(COUNTIFS(nNIA,DATOS!$A6232,nCURSO,DATOS!$D6232,nESPEC,DATOS!$E6232,nASIG,DATOS!$I6232,nEVAL,"EX")=0),0))))</f>
      </c>
      <c r="H6232">
        <f>IF(DATOS!$G6232&lt;&gt;"EX",0,--(COUNTIFS(nNIA,DATOS!$A6232,nCURSO,DATOS!$D6232,nESPEC,DATOS!$E6232,nASIG,DATOS!$I6232,nEVAL,"OR")=0))</f>
      </c>
      <c r="I6232">
        <f>IF(DATOS!$I6232="","",IFERROR(VLOOKUP(DATOS!$I6232,CONFIG_ASIGNATURAS!$B$2:$J$91,9,FALSE()),""))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IF(DATOS!$A6233="",0,IF(CONFIG_METADATA!$B$4&lt;&gt;"OR+EX",--(DATOS!$G6233=CONFIG_METADATA!$B$4),IF(DATOS!$G6233="EX",1,IF(DATOS!$G6233="OR",--(COUNTIFS(nNIA,DATOS!$A6233,nCURSO,DATOS!$D6233,nESPEC,DATOS!$E6233,nASIG,DATOS!$I6233,nEVAL,"EX")=0),0))))</f>
      </c>
      <c r="H6233">
        <f>IF(DATOS!$G6233&lt;&gt;"EX",0,--(COUNTIFS(nNIA,DATOS!$A6233,nCURSO,DATOS!$D6233,nESPEC,DATOS!$E6233,nASIG,DATOS!$I6233,nEVAL,"OR")=0))</f>
      </c>
      <c r="I6233">
        <f>IF(DATOS!$I6233="","",IFERROR(VLOOKUP(DATOS!$I6233,CONFIG_ASIGNATURAS!$B$2:$J$91,9,FALSE()),""))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IF(DATOS!$A6234="",0,IF(CONFIG_METADATA!$B$4&lt;&gt;"OR+EX",--(DATOS!$G6234=CONFIG_METADATA!$B$4),IF(DATOS!$G6234="EX",1,IF(DATOS!$G6234="OR",--(COUNTIFS(nNIA,DATOS!$A6234,nCURSO,DATOS!$D6234,nESPEC,DATOS!$E6234,nASIG,DATOS!$I6234,nEVAL,"EX")=0),0))))</f>
      </c>
      <c r="H6234">
        <f>IF(DATOS!$G6234&lt;&gt;"EX",0,--(COUNTIFS(nNIA,DATOS!$A6234,nCURSO,DATOS!$D6234,nESPEC,DATOS!$E6234,nASIG,DATOS!$I6234,nEVAL,"OR")=0))</f>
      </c>
      <c r="I6234">
        <f>IF(DATOS!$I6234="","",IFERROR(VLOOKUP(DATOS!$I6234,CONFIG_ASIGNATURAS!$B$2:$J$91,9,FALSE()),""))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IF(DATOS!$A6235="",0,IF(CONFIG_METADATA!$B$4&lt;&gt;"OR+EX",--(DATOS!$G6235=CONFIG_METADATA!$B$4),IF(DATOS!$G6235="EX",1,IF(DATOS!$G6235="OR",--(COUNTIFS(nNIA,DATOS!$A6235,nCURSO,DATOS!$D6235,nESPEC,DATOS!$E6235,nASIG,DATOS!$I6235,nEVAL,"EX")=0),0))))</f>
      </c>
      <c r="H6235">
        <f>IF(DATOS!$G6235&lt;&gt;"EX",0,--(COUNTIFS(nNIA,DATOS!$A6235,nCURSO,DATOS!$D6235,nESPEC,DATOS!$E6235,nASIG,DATOS!$I6235,nEVAL,"OR")=0))</f>
      </c>
      <c r="I6235">
        <f>IF(DATOS!$I6235="","",IFERROR(VLOOKUP(DATOS!$I6235,CONFIG_ASIGNATURAS!$B$2:$J$91,9,FALSE()),""))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IF(DATOS!$A6236="",0,IF(CONFIG_METADATA!$B$4&lt;&gt;"OR+EX",--(DATOS!$G6236=CONFIG_METADATA!$B$4),IF(DATOS!$G6236="EX",1,IF(DATOS!$G6236="OR",--(COUNTIFS(nNIA,DATOS!$A6236,nCURSO,DATOS!$D6236,nESPEC,DATOS!$E6236,nASIG,DATOS!$I6236,nEVAL,"EX")=0),0))))</f>
      </c>
      <c r="H6236">
        <f>IF(DATOS!$G6236&lt;&gt;"EX",0,--(COUNTIFS(nNIA,DATOS!$A6236,nCURSO,DATOS!$D6236,nESPEC,DATOS!$E6236,nASIG,DATOS!$I6236,nEVAL,"OR")=0))</f>
      </c>
      <c r="I6236">
        <f>IF(DATOS!$I6236="","",IFERROR(VLOOKUP(DATOS!$I6236,CONFIG_ASIGNATURAS!$B$2:$J$91,9,FALSE()),""))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IF(DATOS!$A6237="",0,IF(CONFIG_METADATA!$B$4&lt;&gt;"OR+EX",--(DATOS!$G6237=CONFIG_METADATA!$B$4),IF(DATOS!$G6237="EX",1,IF(DATOS!$G6237="OR",--(COUNTIFS(nNIA,DATOS!$A6237,nCURSO,DATOS!$D6237,nESPEC,DATOS!$E6237,nASIG,DATOS!$I6237,nEVAL,"EX")=0),0))))</f>
      </c>
      <c r="H6237">
        <f>IF(DATOS!$G6237&lt;&gt;"EX",0,--(COUNTIFS(nNIA,DATOS!$A6237,nCURSO,DATOS!$D6237,nESPEC,DATOS!$E6237,nASIG,DATOS!$I6237,nEVAL,"OR")=0))</f>
      </c>
      <c r="I6237">
        <f>IF(DATOS!$I6237="","",IFERROR(VLOOKUP(DATOS!$I6237,CONFIG_ASIGNATURAS!$B$2:$J$91,9,FALSE()),""))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IF(DATOS!$A6238="",0,IF(CONFIG_METADATA!$B$4&lt;&gt;"OR+EX",--(DATOS!$G6238=CONFIG_METADATA!$B$4),IF(DATOS!$G6238="EX",1,IF(DATOS!$G6238="OR",--(COUNTIFS(nNIA,DATOS!$A6238,nCURSO,DATOS!$D6238,nESPEC,DATOS!$E6238,nASIG,DATOS!$I6238,nEVAL,"EX")=0),0))))</f>
      </c>
      <c r="H6238">
        <f>IF(DATOS!$G6238&lt;&gt;"EX",0,--(COUNTIFS(nNIA,DATOS!$A6238,nCURSO,DATOS!$D6238,nESPEC,DATOS!$E6238,nASIG,DATOS!$I6238,nEVAL,"OR")=0))</f>
      </c>
      <c r="I6238">
        <f>IF(DATOS!$I6238="","",IFERROR(VLOOKUP(DATOS!$I6238,CONFIG_ASIGNATURAS!$B$2:$J$91,9,FALSE()),""))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IF(DATOS!$A6239="",0,IF(CONFIG_METADATA!$B$4&lt;&gt;"OR+EX",--(DATOS!$G6239=CONFIG_METADATA!$B$4),IF(DATOS!$G6239="EX",1,IF(DATOS!$G6239="OR",--(COUNTIFS(nNIA,DATOS!$A6239,nCURSO,DATOS!$D6239,nESPEC,DATOS!$E6239,nASIG,DATOS!$I6239,nEVAL,"EX")=0),0))))</f>
      </c>
      <c r="H6239">
        <f>IF(DATOS!$G6239&lt;&gt;"EX",0,--(COUNTIFS(nNIA,DATOS!$A6239,nCURSO,DATOS!$D6239,nESPEC,DATOS!$E6239,nASIG,DATOS!$I6239,nEVAL,"OR")=0))</f>
      </c>
      <c r="I6239">
        <f>IF(DATOS!$I6239="","",IFERROR(VLOOKUP(DATOS!$I6239,CONFIG_ASIGNATURAS!$B$2:$J$91,9,FALSE()),""))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IF(DATOS!$A6240="",0,IF(CONFIG_METADATA!$B$4&lt;&gt;"OR+EX",--(DATOS!$G6240=CONFIG_METADATA!$B$4),IF(DATOS!$G6240="EX",1,IF(DATOS!$G6240="OR",--(COUNTIFS(nNIA,DATOS!$A6240,nCURSO,DATOS!$D6240,nESPEC,DATOS!$E6240,nASIG,DATOS!$I6240,nEVAL,"EX")=0),0))))</f>
      </c>
      <c r="H6240">
        <f>IF(DATOS!$G6240&lt;&gt;"EX",0,--(COUNTIFS(nNIA,DATOS!$A6240,nCURSO,DATOS!$D6240,nESPEC,DATOS!$E6240,nASIG,DATOS!$I6240,nEVAL,"OR")=0))</f>
      </c>
      <c r="I6240">
        <f>IF(DATOS!$I6240="","",IFERROR(VLOOKUP(DATOS!$I6240,CONFIG_ASIGNATURAS!$B$2:$J$91,9,FALSE()),""))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IF(DATOS!$A6241="",0,IF(CONFIG_METADATA!$B$4&lt;&gt;"OR+EX",--(DATOS!$G6241=CONFIG_METADATA!$B$4),IF(DATOS!$G6241="EX",1,IF(DATOS!$G6241="OR",--(COUNTIFS(nNIA,DATOS!$A6241,nCURSO,DATOS!$D6241,nESPEC,DATOS!$E6241,nASIG,DATOS!$I6241,nEVAL,"EX")=0),0))))</f>
      </c>
      <c r="H6241">
        <f>IF(DATOS!$G6241&lt;&gt;"EX",0,--(COUNTIFS(nNIA,DATOS!$A6241,nCURSO,DATOS!$D6241,nESPEC,DATOS!$E6241,nASIG,DATOS!$I6241,nEVAL,"OR")=0))</f>
      </c>
      <c r="I6241">
        <f>IF(DATOS!$I6241="","",IFERROR(VLOOKUP(DATOS!$I6241,CONFIG_ASIGNATURAS!$B$2:$J$91,9,FALSE()),""))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IF(DATOS!$A6242="",0,IF(CONFIG_METADATA!$B$4&lt;&gt;"OR+EX",--(DATOS!$G6242=CONFIG_METADATA!$B$4),IF(DATOS!$G6242="EX",1,IF(DATOS!$G6242="OR",--(COUNTIFS(nNIA,DATOS!$A6242,nCURSO,DATOS!$D6242,nESPEC,DATOS!$E6242,nASIG,DATOS!$I6242,nEVAL,"EX")=0),0))))</f>
      </c>
      <c r="H6242">
        <f>IF(DATOS!$G6242&lt;&gt;"EX",0,--(COUNTIFS(nNIA,DATOS!$A6242,nCURSO,DATOS!$D6242,nESPEC,DATOS!$E6242,nASIG,DATOS!$I6242,nEVAL,"OR")=0))</f>
      </c>
      <c r="I6242">
        <f>IF(DATOS!$I6242="","",IFERROR(VLOOKUP(DATOS!$I6242,CONFIG_ASIGNATURAS!$B$2:$J$91,9,FALSE()),""))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IF(DATOS!$A6243="",0,IF(CONFIG_METADATA!$B$4&lt;&gt;"OR+EX",--(DATOS!$G6243=CONFIG_METADATA!$B$4),IF(DATOS!$G6243="EX",1,IF(DATOS!$G6243="OR",--(COUNTIFS(nNIA,DATOS!$A6243,nCURSO,DATOS!$D6243,nESPEC,DATOS!$E6243,nASIG,DATOS!$I6243,nEVAL,"EX")=0),0))))</f>
      </c>
      <c r="H6243">
        <f>IF(DATOS!$G6243&lt;&gt;"EX",0,--(COUNTIFS(nNIA,DATOS!$A6243,nCURSO,DATOS!$D6243,nESPEC,DATOS!$E6243,nASIG,DATOS!$I6243,nEVAL,"OR")=0))</f>
      </c>
      <c r="I6243">
        <f>IF(DATOS!$I6243="","",IFERROR(VLOOKUP(DATOS!$I6243,CONFIG_ASIGNATURAS!$B$2:$J$91,9,FALSE()),""))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IF(DATOS!$A6244="",0,IF(CONFIG_METADATA!$B$4&lt;&gt;"OR+EX",--(DATOS!$G6244=CONFIG_METADATA!$B$4),IF(DATOS!$G6244="EX",1,IF(DATOS!$G6244="OR",--(COUNTIFS(nNIA,DATOS!$A6244,nCURSO,DATOS!$D6244,nESPEC,DATOS!$E6244,nASIG,DATOS!$I6244,nEVAL,"EX")=0),0))))</f>
      </c>
      <c r="H6244">
        <f>IF(DATOS!$G6244&lt;&gt;"EX",0,--(COUNTIFS(nNIA,DATOS!$A6244,nCURSO,DATOS!$D6244,nESPEC,DATOS!$E6244,nASIG,DATOS!$I6244,nEVAL,"OR")=0))</f>
      </c>
      <c r="I6244">
        <f>IF(DATOS!$I6244="","",IFERROR(VLOOKUP(DATOS!$I6244,CONFIG_ASIGNATURAS!$B$2:$J$91,9,FALSE()),""))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IF(DATOS!$A6245="",0,IF(CONFIG_METADATA!$B$4&lt;&gt;"OR+EX",--(DATOS!$G6245=CONFIG_METADATA!$B$4),IF(DATOS!$G6245="EX",1,IF(DATOS!$G6245="OR",--(COUNTIFS(nNIA,DATOS!$A6245,nCURSO,DATOS!$D6245,nESPEC,DATOS!$E6245,nASIG,DATOS!$I6245,nEVAL,"EX")=0),0))))</f>
      </c>
      <c r="H6245">
        <f>IF(DATOS!$G6245&lt;&gt;"EX",0,--(COUNTIFS(nNIA,DATOS!$A6245,nCURSO,DATOS!$D6245,nESPEC,DATOS!$E6245,nASIG,DATOS!$I6245,nEVAL,"OR")=0))</f>
      </c>
      <c r="I6245">
        <f>IF(DATOS!$I6245="","",IFERROR(VLOOKUP(DATOS!$I6245,CONFIG_ASIGNATURAS!$B$2:$J$91,9,FALSE()),""))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IF(DATOS!$A6246="",0,IF(CONFIG_METADATA!$B$4&lt;&gt;"OR+EX",--(DATOS!$G6246=CONFIG_METADATA!$B$4),IF(DATOS!$G6246="EX",1,IF(DATOS!$G6246="OR",--(COUNTIFS(nNIA,DATOS!$A6246,nCURSO,DATOS!$D6246,nESPEC,DATOS!$E6246,nASIG,DATOS!$I6246,nEVAL,"EX")=0),0))))</f>
      </c>
      <c r="H6246">
        <f>IF(DATOS!$G6246&lt;&gt;"EX",0,--(COUNTIFS(nNIA,DATOS!$A6246,nCURSO,DATOS!$D6246,nESPEC,DATOS!$E6246,nASIG,DATOS!$I6246,nEVAL,"OR")=0))</f>
      </c>
      <c r="I6246">
        <f>IF(DATOS!$I6246="","",IFERROR(VLOOKUP(DATOS!$I6246,CONFIG_ASIGNATURAS!$B$2:$J$91,9,FALSE()),""))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IF(DATOS!$A6247="",0,IF(CONFIG_METADATA!$B$4&lt;&gt;"OR+EX",--(DATOS!$G6247=CONFIG_METADATA!$B$4),IF(DATOS!$G6247="EX",1,IF(DATOS!$G6247="OR",--(COUNTIFS(nNIA,DATOS!$A6247,nCURSO,DATOS!$D6247,nESPEC,DATOS!$E6247,nASIG,DATOS!$I6247,nEVAL,"EX")=0),0))))</f>
      </c>
      <c r="H6247">
        <f>IF(DATOS!$G6247&lt;&gt;"EX",0,--(COUNTIFS(nNIA,DATOS!$A6247,nCURSO,DATOS!$D6247,nESPEC,DATOS!$E6247,nASIG,DATOS!$I6247,nEVAL,"OR")=0))</f>
      </c>
      <c r="I6247">
        <f>IF(DATOS!$I6247="","",IFERROR(VLOOKUP(DATOS!$I6247,CONFIG_ASIGNATURAS!$B$2:$J$91,9,FALSE()),""))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IF(DATOS!$A6248="",0,IF(CONFIG_METADATA!$B$4&lt;&gt;"OR+EX",--(DATOS!$G6248=CONFIG_METADATA!$B$4),IF(DATOS!$G6248="EX",1,IF(DATOS!$G6248="OR",--(COUNTIFS(nNIA,DATOS!$A6248,nCURSO,DATOS!$D6248,nESPEC,DATOS!$E6248,nASIG,DATOS!$I6248,nEVAL,"EX")=0),0))))</f>
      </c>
      <c r="H6248">
        <f>IF(DATOS!$G6248&lt;&gt;"EX",0,--(COUNTIFS(nNIA,DATOS!$A6248,nCURSO,DATOS!$D6248,nESPEC,DATOS!$E6248,nASIG,DATOS!$I6248,nEVAL,"OR")=0))</f>
      </c>
      <c r="I6248">
        <f>IF(DATOS!$I6248="","",IFERROR(VLOOKUP(DATOS!$I6248,CONFIG_ASIGNATURAS!$B$2:$J$91,9,FALSE()),""))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IF(DATOS!$A6249="",0,IF(CONFIG_METADATA!$B$4&lt;&gt;"OR+EX",--(DATOS!$G6249=CONFIG_METADATA!$B$4),IF(DATOS!$G6249="EX",1,IF(DATOS!$G6249="OR",--(COUNTIFS(nNIA,DATOS!$A6249,nCURSO,DATOS!$D6249,nESPEC,DATOS!$E6249,nASIG,DATOS!$I6249,nEVAL,"EX")=0),0))))</f>
      </c>
      <c r="H6249">
        <f>IF(DATOS!$G6249&lt;&gt;"EX",0,--(COUNTIFS(nNIA,DATOS!$A6249,nCURSO,DATOS!$D6249,nESPEC,DATOS!$E6249,nASIG,DATOS!$I6249,nEVAL,"OR")=0))</f>
      </c>
      <c r="I6249">
        <f>IF(DATOS!$I6249="","",IFERROR(VLOOKUP(DATOS!$I6249,CONFIG_ASIGNATURAS!$B$2:$J$91,9,FALSE()),""))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IF(DATOS!$A6250="",0,IF(CONFIG_METADATA!$B$4&lt;&gt;"OR+EX",--(DATOS!$G6250=CONFIG_METADATA!$B$4),IF(DATOS!$G6250="EX",1,IF(DATOS!$G6250="OR",--(COUNTIFS(nNIA,DATOS!$A6250,nCURSO,DATOS!$D6250,nESPEC,DATOS!$E6250,nASIG,DATOS!$I6250,nEVAL,"EX")=0),0))))</f>
      </c>
      <c r="H6250">
        <f>IF(DATOS!$G6250&lt;&gt;"EX",0,--(COUNTIFS(nNIA,DATOS!$A6250,nCURSO,DATOS!$D6250,nESPEC,DATOS!$E6250,nASIG,DATOS!$I6250,nEVAL,"OR")=0))</f>
      </c>
      <c r="I6250">
        <f>IF(DATOS!$I6250="","",IFERROR(VLOOKUP(DATOS!$I6250,CONFIG_ASIGNATURAS!$B$2:$J$91,9,FALSE()),""))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IF(DATOS!$A6251="",0,IF(CONFIG_METADATA!$B$4&lt;&gt;"OR+EX",--(DATOS!$G6251=CONFIG_METADATA!$B$4),IF(DATOS!$G6251="EX",1,IF(DATOS!$G6251="OR",--(COUNTIFS(nNIA,DATOS!$A6251,nCURSO,DATOS!$D6251,nESPEC,DATOS!$E6251,nASIG,DATOS!$I6251,nEVAL,"EX")=0),0))))</f>
      </c>
      <c r="H6251">
        <f>IF(DATOS!$G6251&lt;&gt;"EX",0,--(COUNTIFS(nNIA,DATOS!$A6251,nCURSO,DATOS!$D6251,nESPEC,DATOS!$E6251,nASIG,DATOS!$I6251,nEVAL,"OR")=0))</f>
      </c>
      <c r="I6251">
        <f>IF(DATOS!$I6251="","",IFERROR(VLOOKUP(DATOS!$I6251,CONFIG_ASIGNATURAS!$B$2:$J$91,9,FALSE()),""))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IF(DATOS!$A6252="",0,IF(CONFIG_METADATA!$B$4&lt;&gt;"OR+EX",--(DATOS!$G6252=CONFIG_METADATA!$B$4),IF(DATOS!$G6252="EX",1,IF(DATOS!$G6252="OR",--(COUNTIFS(nNIA,DATOS!$A6252,nCURSO,DATOS!$D6252,nESPEC,DATOS!$E6252,nASIG,DATOS!$I6252,nEVAL,"EX")=0),0))))</f>
      </c>
      <c r="H6252">
        <f>IF(DATOS!$G6252&lt;&gt;"EX",0,--(COUNTIFS(nNIA,DATOS!$A6252,nCURSO,DATOS!$D6252,nESPEC,DATOS!$E6252,nASIG,DATOS!$I6252,nEVAL,"OR")=0))</f>
      </c>
      <c r="I6252">
        <f>IF(DATOS!$I6252="","",IFERROR(VLOOKUP(DATOS!$I6252,CONFIG_ASIGNATURAS!$B$2:$J$91,9,FALSE()),""))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IF(DATOS!$A6253="",0,IF(CONFIG_METADATA!$B$4&lt;&gt;"OR+EX",--(DATOS!$G6253=CONFIG_METADATA!$B$4),IF(DATOS!$G6253="EX",1,IF(DATOS!$G6253="OR",--(COUNTIFS(nNIA,DATOS!$A6253,nCURSO,DATOS!$D6253,nESPEC,DATOS!$E6253,nASIG,DATOS!$I6253,nEVAL,"EX")=0),0))))</f>
      </c>
      <c r="H6253">
        <f>IF(DATOS!$G6253&lt;&gt;"EX",0,--(COUNTIFS(nNIA,DATOS!$A6253,nCURSO,DATOS!$D6253,nESPEC,DATOS!$E6253,nASIG,DATOS!$I6253,nEVAL,"OR")=0))</f>
      </c>
      <c r="I6253">
        <f>IF(DATOS!$I6253="","",IFERROR(VLOOKUP(DATOS!$I6253,CONFIG_ASIGNATURAS!$B$2:$J$91,9,FALSE()),""))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IF(DATOS!$A6254="",0,IF(CONFIG_METADATA!$B$4&lt;&gt;"OR+EX",--(DATOS!$G6254=CONFIG_METADATA!$B$4),IF(DATOS!$G6254="EX",1,IF(DATOS!$G6254="OR",--(COUNTIFS(nNIA,DATOS!$A6254,nCURSO,DATOS!$D6254,nESPEC,DATOS!$E6254,nASIG,DATOS!$I6254,nEVAL,"EX")=0),0))))</f>
      </c>
      <c r="H6254">
        <f>IF(DATOS!$G6254&lt;&gt;"EX",0,--(COUNTIFS(nNIA,DATOS!$A6254,nCURSO,DATOS!$D6254,nESPEC,DATOS!$E6254,nASIG,DATOS!$I6254,nEVAL,"OR")=0))</f>
      </c>
      <c r="I6254">
        <f>IF(DATOS!$I6254="","",IFERROR(VLOOKUP(DATOS!$I6254,CONFIG_ASIGNATURAS!$B$2:$J$91,9,FALSE()),""))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IF(DATOS!$A6255="",0,IF(CONFIG_METADATA!$B$4&lt;&gt;"OR+EX",--(DATOS!$G6255=CONFIG_METADATA!$B$4),IF(DATOS!$G6255="EX",1,IF(DATOS!$G6255="OR",--(COUNTIFS(nNIA,DATOS!$A6255,nCURSO,DATOS!$D6255,nESPEC,DATOS!$E6255,nASIG,DATOS!$I6255,nEVAL,"EX")=0),0))))</f>
      </c>
      <c r="H6255">
        <f>IF(DATOS!$G6255&lt;&gt;"EX",0,--(COUNTIFS(nNIA,DATOS!$A6255,nCURSO,DATOS!$D6255,nESPEC,DATOS!$E6255,nASIG,DATOS!$I6255,nEVAL,"OR")=0))</f>
      </c>
      <c r="I6255">
        <f>IF(DATOS!$I6255="","",IFERROR(VLOOKUP(DATOS!$I6255,CONFIG_ASIGNATURAS!$B$2:$J$91,9,FALSE()),""))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IF(DATOS!$A6256="",0,IF(CONFIG_METADATA!$B$4&lt;&gt;"OR+EX",--(DATOS!$G6256=CONFIG_METADATA!$B$4),IF(DATOS!$G6256="EX",1,IF(DATOS!$G6256="OR",--(COUNTIFS(nNIA,DATOS!$A6256,nCURSO,DATOS!$D6256,nESPEC,DATOS!$E6256,nASIG,DATOS!$I6256,nEVAL,"EX")=0),0))))</f>
      </c>
      <c r="H6256">
        <f>IF(DATOS!$G6256&lt;&gt;"EX",0,--(COUNTIFS(nNIA,DATOS!$A6256,nCURSO,DATOS!$D6256,nESPEC,DATOS!$E6256,nASIG,DATOS!$I6256,nEVAL,"OR")=0))</f>
      </c>
      <c r="I6256">
        <f>IF(DATOS!$I6256="","",IFERROR(VLOOKUP(DATOS!$I6256,CONFIG_ASIGNATURAS!$B$2:$J$91,9,FALSE()),""))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IF(DATOS!$A6257="",0,IF(CONFIG_METADATA!$B$4&lt;&gt;"OR+EX",--(DATOS!$G6257=CONFIG_METADATA!$B$4),IF(DATOS!$G6257="EX",1,IF(DATOS!$G6257="OR",--(COUNTIFS(nNIA,DATOS!$A6257,nCURSO,DATOS!$D6257,nESPEC,DATOS!$E6257,nASIG,DATOS!$I6257,nEVAL,"EX")=0),0))))</f>
      </c>
      <c r="H6257">
        <f>IF(DATOS!$G6257&lt;&gt;"EX",0,--(COUNTIFS(nNIA,DATOS!$A6257,nCURSO,DATOS!$D6257,nESPEC,DATOS!$E6257,nASIG,DATOS!$I6257,nEVAL,"OR")=0))</f>
      </c>
      <c r="I6257">
        <f>IF(DATOS!$I6257="","",IFERROR(VLOOKUP(DATOS!$I6257,CONFIG_ASIGNATURAS!$B$2:$J$91,9,FALSE()),""))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IF(DATOS!$A6258="",0,IF(CONFIG_METADATA!$B$4&lt;&gt;"OR+EX",--(DATOS!$G6258=CONFIG_METADATA!$B$4),IF(DATOS!$G6258="EX",1,IF(DATOS!$G6258="OR",--(COUNTIFS(nNIA,DATOS!$A6258,nCURSO,DATOS!$D6258,nESPEC,DATOS!$E6258,nASIG,DATOS!$I6258,nEVAL,"EX")=0),0))))</f>
      </c>
      <c r="H6258">
        <f>IF(DATOS!$G6258&lt;&gt;"EX",0,--(COUNTIFS(nNIA,DATOS!$A6258,nCURSO,DATOS!$D6258,nESPEC,DATOS!$E6258,nASIG,DATOS!$I6258,nEVAL,"OR")=0))</f>
      </c>
      <c r="I6258">
        <f>IF(DATOS!$I6258="","",IFERROR(VLOOKUP(DATOS!$I6258,CONFIG_ASIGNATURAS!$B$2:$J$91,9,FALSE()),""))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IF(DATOS!$A6259="",0,IF(CONFIG_METADATA!$B$4&lt;&gt;"OR+EX",--(DATOS!$G6259=CONFIG_METADATA!$B$4),IF(DATOS!$G6259="EX",1,IF(DATOS!$G6259="OR",--(COUNTIFS(nNIA,DATOS!$A6259,nCURSO,DATOS!$D6259,nESPEC,DATOS!$E6259,nASIG,DATOS!$I6259,nEVAL,"EX")=0),0))))</f>
      </c>
      <c r="H6259">
        <f>IF(DATOS!$G6259&lt;&gt;"EX",0,--(COUNTIFS(nNIA,DATOS!$A6259,nCURSO,DATOS!$D6259,nESPEC,DATOS!$E6259,nASIG,DATOS!$I6259,nEVAL,"OR")=0))</f>
      </c>
      <c r="I6259">
        <f>IF(DATOS!$I6259="","",IFERROR(VLOOKUP(DATOS!$I6259,CONFIG_ASIGNATURAS!$B$2:$J$91,9,FALSE()),""))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IF(DATOS!$A6260="",0,IF(CONFIG_METADATA!$B$4&lt;&gt;"OR+EX",--(DATOS!$G6260=CONFIG_METADATA!$B$4),IF(DATOS!$G6260="EX",1,IF(DATOS!$G6260="OR",--(COUNTIFS(nNIA,DATOS!$A6260,nCURSO,DATOS!$D6260,nESPEC,DATOS!$E6260,nASIG,DATOS!$I6260,nEVAL,"EX")=0),0))))</f>
      </c>
      <c r="H6260">
        <f>IF(DATOS!$G6260&lt;&gt;"EX",0,--(COUNTIFS(nNIA,DATOS!$A6260,nCURSO,DATOS!$D6260,nESPEC,DATOS!$E6260,nASIG,DATOS!$I6260,nEVAL,"OR")=0))</f>
      </c>
      <c r="I6260">
        <f>IF(DATOS!$I6260="","",IFERROR(VLOOKUP(DATOS!$I6260,CONFIG_ASIGNATURAS!$B$2:$J$91,9,FALSE()),""))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IF(DATOS!$A6261="",0,IF(CONFIG_METADATA!$B$4&lt;&gt;"OR+EX",--(DATOS!$G6261=CONFIG_METADATA!$B$4),IF(DATOS!$G6261="EX",1,IF(DATOS!$G6261="OR",--(COUNTIFS(nNIA,DATOS!$A6261,nCURSO,DATOS!$D6261,nESPEC,DATOS!$E6261,nASIG,DATOS!$I6261,nEVAL,"EX")=0),0))))</f>
      </c>
      <c r="H6261">
        <f>IF(DATOS!$G6261&lt;&gt;"EX",0,--(COUNTIFS(nNIA,DATOS!$A6261,nCURSO,DATOS!$D6261,nESPEC,DATOS!$E6261,nASIG,DATOS!$I6261,nEVAL,"OR")=0))</f>
      </c>
      <c r="I6261">
        <f>IF(DATOS!$I6261="","",IFERROR(VLOOKUP(DATOS!$I6261,CONFIG_ASIGNATURAS!$B$2:$J$91,9,FALSE()),""))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IF(DATOS!$A6262="",0,IF(CONFIG_METADATA!$B$4&lt;&gt;"OR+EX",--(DATOS!$G6262=CONFIG_METADATA!$B$4),IF(DATOS!$G6262="EX",1,IF(DATOS!$G6262="OR",--(COUNTIFS(nNIA,DATOS!$A6262,nCURSO,DATOS!$D6262,nESPEC,DATOS!$E6262,nASIG,DATOS!$I6262,nEVAL,"EX")=0),0))))</f>
      </c>
      <c r="H6262">
        <f>IF(DATOS!$G6262&lt;&gt;"EX",0,--(COUNTIFS(nNIA,DATOS!$A6262,nCURSO,DATOS!$D6262,nESPEC,DATOS!$E6262,nASIG,DATOS!$I6262,nEVAL,"OR")=0))</f>
      </c>
      <c r="I6262">
        <f>IF(DATOS!$I6262="","",IFERROR(VLOOKUP(DATOS!$I6262,CONFIG_ASIGNATURAS!$B$2:$J$91,9,FALSE()),""))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IF(DATOS!$A6263="",0,IF(CONFIG_METADATA!$B$4&lt;&gt;"OR+EX",--(DATOS!$G6263=CONFIG_METADATA!$B$4),IF(DATOS!$G6263="EX",1,IF(DATOS!$G6263="OR",--(COUNTIFS(nNIA,DATOS!$A6263,nCURSO,DATOS!$D6263,nESPEC,DATOS!$E6263,nASIG,DATOS!$I6263,nEVAL,"EX")=0),0))))</f>
      </c>
      <c r="H6263">
        <f>IF(DATOS!$G6263&lt;&gt;"EX",0,--(COUNTIFS(nNIA,DATOS!$A6263,nCURSO,DATOS!$D6263,nESPEC,DATOS!$E6263,nASIG,DATOS!$I6263,nEVAL,"OR")=0))</f>
      </c>
      <c r="I6263">
        <f>IF(DATOS!$I6263="","",IFERROR(VLOOKUP(DATOS!$I6263,CONFIG_ASIGNATURAS!$B$2:$J$91,9,FALSE()),""))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IF(DATOS!$A6264="",0,IF(CONFIG_METADATA!$B$4&lt;&gt;"OR+EX",--(DATOS!$G6264=CONFIG_METADATA!$B$4),IF(DATOS!$G6264="EX",1,IF(DATOS!$G6264="OR",--(COUNTIFS(nNIA,DATOS!$A6264,nCURSO,DATOS!$D6264,nESPEC,DATOS!$E6264,nASIG,DATOS!$I6264,nEVAL,"EX")=0),0))))</f>
      </c>
      <c r="H6264">
        <f>IF(DATOS!$G6264&lt;&gt;"EX",0,--(COUNTIFS(nNIA,DATOS!$A6264,nCURSO,DATOS!$D6264,nESPEC,DATOS!$E6264,nASIG,DATOS!$I6264,nEVAL,"OR")=0))</f>
      </c>
      <c r="I6264">
        <f>IF(DATOS!$I6264="","",IFERROR(VLOOKUP(DATOS!$I6264,CONFIG_ASIGNATURAS!$B$2:$J$91,9,FALSE()),""))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IF(DATOS!$A6265="",0,IF(CONFIG_METADATA!$B$4&lt;&gt;"OR+EX",--(DATOS!$G6265=CONFIG_METADATA!$B$4),IF(DATOS!$G6265="EX",1,IF(DATOS!$G6265="OR",--(COUNTIFS(nNIA,DATOS!$A6265,nCURSO,DATOS!$D6265,nESPEC,DATOS!$E6265,nASIG,DATOS!$I6265,nEVAL,"EX")=0),0))))</f>
      </c>
      <c r="H6265">
        <f>IF(DATOS!$G6265&lt;&gt;"EX",0,--(COUNTIFS(nNIA,DATOS!$A6265,nCURSO,DATOS!$D6265,nESPEC,DATOS!$E6265,nASIG,DATOS!$I6265,nEVAL,"OR")=0))</f>
      </c>
      <c r="I6265">
        <f>IF(DATOS!$I6265="","",IFERROR(VLOOKUP(DATOS!$I6265,CONFIG_ASIGNATURAS!$B$2:$J$91,9,FALSE()),""))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IF(DATOS!$A6266="",0,IF(CONFIG_METADATA!$B$4&lt;&gt;"OR+EX",--(DATOS!$G6266=CONFIG_METADATA!$B$4),IF(DATOS!$G6266="EX",1,IF(DATOS!$G6266="OR",--(COUNTIFS(nNIA,DATOS!$A6266,nCURSO,DATOS!$D6266,nESPEC,DATOS!$E6266,nASIG,DATOS!$I6266,nEVAL,"EX")=0),0))))</f>
      </c>
      <c r="H6266">
        <f>IF(DATOS!$G6266&lt;&gt;"EX",0,--(COUNTIFS(nNIA,DATOS!$A6266,nCURSO,DATOS!$D6266,nESPEC,DATOS!$E6266,nASIG,DATOS!$I6266,nEVAL,"OR")=0))</f>
      </c>
      <c r="I6266">
        <f>IF(DATOS!$I6266="","",IFERROR(VLOOKUP(DATOS!$I6266,CONFIG_ASIGNATURAS!$B$2:$J$91,9,FALSE()),""))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IF(DATOS!$A6267="",0,IF(CONFIG_METADATA!$B$4&lt;&gt;"OR+EX",--(DATOS!$G6267=CONFIG_METADATA!$B$4),IF(DATOS!$G6267="EX",1,IF(DATOS!$G6267="OR",--(COUNTIFS(nNIA,DATOS!$A6267,nCURSO,DATOS!$D6267,nESPEC,DATOS!$E6267,nASIG,DATOS!$I6267,nEVAL,"EX")=0),0))))</f>
      </c>
      <c r="H6267">
        <f>IF(DATOS!$G6267&lt;&gt;"EX",0,--(COUNTIFS(nNIA,DATOS!$A6267,nCURSO,DATOS!$D6267,nESPEC,DATOS!$E6267,nASIG,DATOS!$I6267,nEVAL,"OR")=0))</f>
      </c>
      <c r="I6267">
        <f>IF(DATOS!$I6267="","",IFERROR(VLOOKUP(DATOS!$I6267,CONFIG_ASIGNATURAS!$B$2:$J$91,9,FALSE()),""))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IF(DATOS!$A6268="",0,IF(CONFIG_METADATA!$B$4&lt;&gt;"OR+EX",--(DATOS!$G6268=CONFIG_METADATA!$B$4),IF(DATOS!$G6268="EX",1,IF(DATOS!$G6268="OR",--(COUNTIFS(nNIA,DATOS!$A6268,nCURSO,DATOS!$D6268,nESPEC,DATOS!$E6268,nASIG,DATOS!$I6268,nEVAL,"EX")=0),0))))</f>
      </c>
      <c r="H6268">
        <f>IF(DATOS!$G6268&lt;&gt;"EX",0,--(COUNTIFS(nNIA,DATOS!$A6268,nCURSO,DATOS!$D6268,nESPEC,DATOS!$E6268,nASIG,DATOS!$I6268,nEVAL,"OR")=0))</f>
      </c>
      <c r="I6268">
        <f>IF(DATOS!$I6268="","",IFERROR(VLOOKUP(DATOS!$I6268,CONFIG_ASIGNATURAS!$B$2:$J$91,9,FALSE()),""))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IF(DATOS!$A6269="",0,IF(CONFIG_METADATA!$B$4&lt;&gt;"OR+EX",--(DATOS!$G6269=CONFIG_METADATA!$B$4),IF(DATOS!$G6269="EX",1,IF(DATOS!$G6269="OR",--(COUNTIFS(nNIA,DATOS!$A6269,nCURSO,DATOS!$D6269,nESPEC,DATOS!$E6269,nASIG,DATOS!$I6269,nEVAL,"EX")=0),0))))</f>
      </c>
      <c r="H6269">
        <f>IF(DATOS!$G6269&lt;&gt;"EX",0,--(COUNTIFS(nNIA,DATOS!$A6269,nCURSO,DATOS!$D6269,nESPEC,DATOS!$E6269,nASIG,DATOS!$I6269,nEVAL,"OR")=0))</f>
      </c>
      <c r="I6269">
        <f>IF(DATOS!$I6269="","",IFERROR(VLOOKUP(DATOS!$I6269,CONFIG_ASIGNATURAS!$B$2:$J$91,9,FALSE()),""))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IF(DATOS!$A6270="",0,IF(CONFIG_METADATA!$B$4&lt;&gt;"OR+EX",--(DATOS!$G6270=CONFIG_METADATA!$B$4),IF(DATOS!$G6270="EX",1,IF(DATOS!$G6270="OR",--(COUNTIFS(nNIA,DATOS!$A6270,nCURSO,DATOS!$D6270,nESPEC,DATOS!$E6270,nASIG,DATOS!$I6270,nEVAL,"EX")=0),0))))</f>
      </c>
      <c r="H6270">
        <f>IF(DATOS!$G6270&lt;&gt;"EX",0,--(COUNTIFS(nNIA,DATOS!$A6270,nCURSO,DATOS!$D6270,nESPEC,DATOS!$E6270,nASIG,DATOS!$I6270,nEVAL,"OR")=0))</f>
      </c>
      <c r="I6270">
        <f>IF(DATOS!$I6270="","",IFERROR(VLOOKUP(DATOS!$I6270,CONFIG_ASIGNATURAS!$B$2:$J$91,9,FALSE()),""))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IF(DATOS!$A6271="",0,IF(CONFIG_METADATA!$B$4&lt;&gt;"OR+EX",--(DATOS!$G6271=CONFIG_METADATA!$B$4),IF(DATOS!$G6271="EX",1,IF(DATOS!$G6271="OR",--(COUNTIFS(nNIA,DATOS!$A6271,nCURSO,DATOS!$D6271,nESPEC,DATOS!$E6271,nASIG,DATOS!$I6271,nEVAL,"EX")=0),0))))</f>
      </c>
      <c r="H6271">
        <f>IF(DATOS!$G6271&lt;&gt;"EX",0,--(COUNTIFS(nNIA,DATOS!$A6271,nCURSO,DATOS!$D6271,nESPEC,DATOS!$E6271,nASIG,DATOS!$I6271,nEVAL,"OR")=0))</f>
      </c>
      <c r="I6271">
        <f>IF(DATOS!$I6271="","",IFERROR(VLOOKUP(DATOS!$I6271,CONFIG_ASIGNATURAS!$B$2:$J$91,9,FALSE()),""))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IF(DATOS!$A6272="",0,IF(CONFIG_METADATA!$B$4&lt;&gt;"OR+EX",--(DATOS!$G6272=CONFIG_METADATA!$B$4),IF(DATOS!$G6272="EX",1,IF(DATOS!$G6272="OR",--(COUNTIFS(nNIA,DATOS!$A6272,nCURSO,DATOS!$D6272,nESPEC,DATOS!$E6272,nASIG,DATOS!$I6272,nEVAL,"EX")=0),0))))</f>
      </c>
      <c r="H6272">
        <f>IF(DATOS!$G6272&lt;&gt;"EX",0,--(COUNTIFS(nNIA,DATOS!$A6272,nCURSO,DATOS!$D6272,nESPEC,DATOS!$E6272,nASIG,DATOS!$I6272,nEVAL,"OR")=0))</f>
      </c>
      <c r="I6272">
        <f>IF(DATOS!$I6272="","",IFERROR(VLOOKUP(DATOS!$I6272,CONFIG_ASIGNATURAS!$B$2:$J$91,9,FALSE()),""))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IF(DATOS!$A6273="",0,IF(CONFIG_METADATA!$B$4&lt;&gt;"OR+EX",--(DATOS!$G6273=CONFIG_METADATA!$B$4),IF(DATOS!$G6273="EX",1,IF(DATOS!$G6273="OR",--(COUNTIFS(nNIA,DATOS!$A6273,nCURSO,DATOS!$D6273,nESPEC,DATOS!$E6273,nASIG,DATOS!$I6273,nEVAL,"EX")=0),0))))</f>
      </c>
      <c r="H6273">
        <f>IF(DATOS!$G6273&lt;&gt;"EX",0,--(COUNTIFS(nNIA,DATOS!$A6273,nCURSO,DATOS!$D6273,nESPEC,DATOS!$E6273,nASIG,DATOS!$I6273,nEVAL,"OR")=0))</f>
      </c>
      <c r="I6273">
        <f>IF(DATOS!$I6273="","",IFERROR(VLOOKUP(DATOS!$I6273,CONFIG_ASIGNATURAS!$B$2:$J$91,9,FALSE()),""))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IF(DATOS!$A6274="",0,IF(CONFIG_METADATA!$B$4&lt;&gt;"OR+EX",--(DATOS!$G6274=CONFIG_METADATA!$B$4),IF(DATOS!$G6274="EX",1,IF(DATOS!$G6274="OR",--(COUNTIFS(nNIA,DATOS!$A6274,nCURSO,DATOS!$D6274,nESPEC,DATOS!$E6274,nASIG,DATOS!$I6274,nEVAL,"EX")=0),0))))</f>
      </c>
      <c r="H6274">
        <f>IF(DATOS!$G6274&lt;&gt;"EX",0,--(COUNTIFS(nNIA,DATOS!$A6274,nCURSO,DATOS!$D6274,nESPEC,DATOS!$E6274,nASIG,DATOS!$I6274,nEVAL,"OR")=0))</f>
      </c>
      <c r="I6274">
        <f>IF(DATOS!$I6274="","",IFERROR(VLOOKUP(DATOS!$I6274,CONFIG_ASIGNATURAS!$B$2:$J$91,9,FALSE()),""))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IF(DATOS!$A6275="",0,IF(CONFIG_METADATA!$B$4&lt;&gt;"OR+EX",--(DATOS!$G6275=CONFIG_METADATA!$B$4),IF(DATOS!$G6275="EX",1,IF(DATOS!$G6275="OR",--(COUNTIFS(nNIA,DATOS!$A6275,nCURSO,DATOS!$D6275,nESPEC,DATOS!$E6275,nASIG,DATOS!$I6275,nEVAL,"EX")=0),0))))</f>
      </c>
      <c r="H6275">
        <f>IF(DATOS!$G6275&lt;&gt;"EX",0,--(COUNTIFS(nNIA,DATOS!$A6275,nCURSO,DATOS!$D6275,nESPEC,DATOS!$E6275,nASIG,DATOS!$I6275,nEVAL,"OR")=0))</f>
      </c>
      <c r="I6275">
        <f>IF(DATOS!$I6275="","",IFERROR(VLOOKUP(DATOS!$I6275,CONFIG_ASIGNATURAS!$B$2:$J$91,9,FALSE()),""))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IF(DATOS!$A6276="",0,IF(CONFIG_METADATA!$B$4&lt;&gt;"OR+EX",--(DATOS!$G6276=CONFIG_METADATA!$B$4),IF(DATOS!$G6276="EX",1,IF(DATOS!$G6276="OR",--(COUNTIFS(nNIA,DATOS!$A6276,nCURSO,DATOS!$D6276,nESPEC,DATOS!$E6276,nASIG,DATOS!$I6276,nEVAL,"EX")=0),0))))</f>
      </c>
      <c r="H6276">
        <f>IF(DATOS!$G6276&lt;&gt;"EX",0,--(COUNTIFS(nNIA,DATOS!$A6276,nCURSO,DATOS!$D6276,nESPEC,DATOS!$E6276,nASIG,DATOS!$I6276,nEVAL,"OR")=0))</f>
      </c>
      <c r="I6276">
        <f>IF(DATOS!$I6276="","",IFERROR(VLOOKUP(DATOS!$I6276,CONFIG_ASIGNATURAS!$B$2:$J$91,9,FALSE()),""))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IF(DATOS!$A6277="",0,IF(CONFIG_METADATA!$B$4&lt;&gt;"OR+EX",--(DATOS!$G6277=CONFIG_METADATA!$B$4),IF(DATOS!$G6277="EX",1,IF(DATOS!$G6277="OR",--(COUNTIFS(nNIA,DATOS!$A6277,nCURSO,DATOS!$D6277,nESPEC,DATOS!$E6277,nASIG,DATOS!$I6277,nEVAL,"EX")=0),0))))</f>
      </c>
      <c r="H6277">
        <f>IF(DATOS!$G6277&lt;&gt;"EX",0,--(COUNTIFS(nNIA,DATOS!$A6277,nCURSO,DATOS!$D6277,nESPEC,DATOS!$E6277,nASIG,DATOS!$I6277,nEVAL,"OR")=0))</f>
      </c>
      <c r="I6277">
        <f>IF(DATOS!$I6277="","",IFERROR(VLOOKUP(DATOS!$I6277,CONFIG_ASIGNATURAS!$B$2:$J$91,9,FALSE()),""))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IF(DATOS!$A6278="",0,IF(CONFIG_METADATA!$B$4&lt;&gt;"OR+EX",--(DATOS!$G6278=CONFIG_METADATA!$B$4),IF(DATOS!$G6278="EX",1,IF(DATOS!$G6278="OR",--(COUNTIFS(nNIA,DATOS!$A6278,nCURSO,DATOS!$D6278,nESPEC,DATOS!$E6278,nASIG,DATOS!$I6278,nEVAL,"EX")=0),0))))</f>
      </c>
      <c r="H6278">
        <f>IF(DATOS!$G6278&lt;&gt;"EX",0,--(COUNTIFS(nNIA,DATOS!$A6278,nCURSO,DATOS!$D6278,nESPEC,DATOS!$E6278,nASIG,DATOS!$I6278,nEVAL,"OR")=0))</f>
      </c>
      <c r="I6278">
        <f>IF(DATOS!$I6278="","",IFERROR(VLOOKUP(DATOS!$I6278,CONFIG_ASIGNATURAS!$B$2:$J$91,9,FALSE()),""))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IF(DATOS!$A6279="",0,IF(CONFIG_METADATA!$B$4&lt;&gt;"OR+EX",--(DATOS!$G6279=CONFIG_METADATA!$B$4),IF(DATOS!$G6279="EX",1,IF(DATOS!$G6279="OR",--(COUNTIFS(nNIA,DATOS!$A6279,nCURSO,DATOS!$D6279,nESPEC,DATOS!$E6279,nASIG,DATOS!$I6279,nEVAL,"EX")=0),0))))</f>
      </c>
      <c r="H6279">
        <f>IF(DATOS!$G6279&lt;&gt;"EX",0,--(COUNTIFS(nNIA,DATOS!$A6279,nCURSO,DATOS!$D6279,nESPEC,DATOS!$E6279,nASIG,DATOS!$I6279,nEVAL,"OR")=0))</f>
      </c>
      <c r="I6279">
        <f>IF(DATOS!$I6279="","",IFERROR(VLOOKUP(DATOS!$I6279,CONFIG_ASIGNATURAS!$B$2:$J$91,9,FALSE()),""))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IF(DATOS!$A6280="",0,IF(CONFIG_METADATA!$B$4&lt;&gt;"OR+EX",--(DATOS!$G6280=CONFIG_METADATA!$B$4),IF(DATOS!$G6280="EX",1,IF(DATOS!$G6280="OR",--(COUNTIFS(nNIA,DATOS!$A6280,nCURSO,DATOS!$D6280,nESPEC,DATOS!$E6280,nASIG,DATOS!$I6280,nEVAL,"EX")=0),0))))</f>
      </c>
      <c r="H6280">
        <f>IF(DATOS!$G6280&lt;&gt;"EX",0,--(COUNTIFS(nNIA,DATOS!$A6280,nCURSO,DATOS!$D6280,nESPEC,DATOS!$E6280,nASIG,DATOS!$I6280,nEVAL,"OR")=0))</f>
      </c>
      <c r="I6280">
        <f>IF(DATOS!$I6280="","",IFERROR(VLOOKUP(DATOS!$I6280,CONFIG_ASIGNATURAS!$B$2:$J$91,9,FALSE()),""))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IF(DATOS!$A6281="",0,IF(CONFIG_METADATA!$B$4&lt;&gt;"OR+EX",--(DATOS!$G6281=CONFIG_METADATA!$B$4),IF(DATOS!$G6281="EX",1,IF(DATOS!$G6281="OR",--(COUNTIFS(nNIA,DATOS!$A6281,nCURSO,DATOS!$D6281,nESPEC,DATOS!$E6281,nASIG,DATOS!$I6281,nEVAL,"EX")=0),0))))</f>
      </c>
      <c r="H6281">
        <f>IF(DATOS!$G6281&lt;&gt;"EX",0,--(COUNTIFS(nNIA,DATOS!$A6281,nCURSO,DATOS!$D6281,nESPEC,DATOS!$E6281,nASIG,DATOS!$I6281,nEVAL,"OR")=0))</f>
      </c>
      <c r="I6281">
        <f>IF(DATOS!$I6281="","",IFERROR(VLOOKUP(DATOS!$I6281,CONFIG_ASIGNATURAS!$B$2:$J$91,9,FALSE()),""))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IF(DATOS!$A6282="",0,IF(CONFIG_METADATA!$B$4&lt;&gt;"OR+EX",--(DATOS!$G6282=CONFIG_METADATA!$B$4),IF(DATOS!$G6282="EX",1,IF(DATOS!$G6282="OR",--(COUNTIFS(nNIA,DATOS!$A6282,nCURSO,DATOS!$D6282,nESPEC,DATOS!$E6282,nASIG,DATOS!$I6282,nEVAL,"EX")=0),0))))</f>
      </c>
      <c r="H6282">
        <f>IF(DATOS!$G6282&lt;&gt;"EX",0,--(COUNTIFS(nNIA,DATOS!$A6282,nCURSO,DATOS!$D6282,nESPEC,DATOS!$E6282,nASIG,DATOS!$I6282,nEVAL,"OR")=0))</f>
      </c>
      <c r="I6282">
        <f>IF(DATOS!$I6282="","",IFERROR(VLOOKUP(DATOS!$I6282,CONFIG_ASIGNATURAS!$B$2:$J$91,9,FALSE()),""))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IF(DATOS!$A6283="",0,IF(CONFIG_METADATA!$B$4&lt;&gt;"OR+EX",--(DATOS!$G6283=CONFIG_METADATA!$B$4),IF(DATOS!$G6283="EX",1,IF(DATOS!$G6283="OR",--(COUNTIFS(nNIA,DATOS!$A6283,nCURSO,DATOS!$D6283,nESPEC,DATOS!$E6283,nASIG,DATOS!$I6283,nEVAL,"EX")=0),0))))</f>
      </c>
      <c r="H6283">
        <f>IF(DATOS!$G6283&lt;&gt;"EX",0,--(COUNTIFS(nNIA,DATOS!$A6283,nCURSO,DATOS!$D6283,nESPEC,DATOS!$E6283,nASIG,DATOS!$I6283,nEVAL,"OR")=0))</f>
      </c>
      <c r="I6283">
        <f>IF(DATOS!$I6283="","",IFERROR(VLOOKUP(DATOS!$I6283,CONFIG_ASIGNATURAS!$B$2:$J$91,9,FALSE()),""))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IF(DATOS!$A6284="",0,IF(CONFIG_METADATA!$B$4&lt;&gt;"OR+EX",--(DATOS!$G6284=CONFIG_METADATA!$B$4),IF(DATOS!$G6284="EX",1,IF(DATOS!$G6284="OR",--(COUNTIFS(nNIA,DATOS!$A6284,nCURSO,DATOS!$D6284,nESPEC,DATOS!$E6284,nASIG,DATOS!$I6284,nEVAL,"EX")=0),0))))</f>
      </c>
      <c r="H6284">
        <f>IF(DATOS!$G6284&lt;&gt;"EX",0,--(COUNTIFS(nNIA,DATOS!$A6284,nCURSO,DATOS!$D6284,nESPEC,DATOS!$E6284,nASIG,DATOS!$I6284,nEVAL,"OR")=0))</f>
      </c>
      <c r="I6284">
        <f>IF(DATOS!$I6284="","",IFERROR(VLOOKUP(DATOS!$I6284,CONFIG_ASIGNATURAS!$B$2:$J$91,9,FALSE()),""))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IF(DATOS!$A6285="",0,IF(CONFIG_METADATA!$B$4&lt;&gt;"OR+EX",--(DATOS!$G6285=CONFIG_METADATA!$B$4),IF(DATOS!$G6285="EX",1,IF(DATOS!$G6285="OR",--(COUNTIFS(nNIA,DATOS!$A6285,nCURSO,DATOS!$D6285,nESPEC,DATOS!$E6285,nASIG,DATOS!$I6285,nEVAL,"EX")=0),0))))</f>
      </c>
      <c r="H6285">
        <f>IF(DATOS!$G6285&lt;&gt;"EX",0,--(COUNTIFS(nNIA,DATOS!$A6285,nCURSO,DATOS!$D6285,nESPEC,DATOS!$E6285,nASIG,DATOS!$I6285,nEVAL,"OR")=0))</f>
      </c>
      <c r="I6285">
        <f>IF(DATOS!$I6285="","",IFERROR(VLOOKUP(DATOS!$I6285,CONFIG_ASIGNATURAS!$B$2:$J$91,9,FALSE()),""))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IF(DATOS!$A6286="",0,IF(CONFIG_METADATA!$B$4&lt;&gt;"OR+EX",--(DATOS!$G6286=CONFIG_METADATA!$B$4),IF(DATOS!$G6286="EX",1,IF(DATOS!$G6286="OR",--(COUNTIFS(nNIA,DATOS!$A6286,nCURSO,DATOS!$D6286,nESPEC,DATOS!$E6286,nASIG,DATOS!$I6286,nEVAL,"EX")=0),0))))</f>
      </c>
      <c r="H6286">
        <f>IF(DATOS!$G6286&lt;&gt;"EX",0,--(COUNTIFS(nNIA,DATOS!$A6286,nCURSO,DATOS!$D6286,nESPEC,DATOS!$E6286,nASIG,DATOS!$I6286,nEVAL,"OR")=0))</f>
      </c>
      <c r="I6286">
        <f>IF(DATOS!$I6286="","",IFERROR(VLOOKUP(DATOS!$I6286,CONFIG_ASIGNATURAS!$B$2:$J$91,9,FALSE()),""))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IF(DATOS!$A6287="",0,IF(CONFIG_METADATA!$B$4&lt;&gt;"OR+EX",--(DATOS!$G6287=CONFIG_METADATA!$B$4),IF(DATOS!$G6287="EX",1,IF(DATOS!$G6287="OR",--(COUNTIFS(nNIA,DATOS!$A6287,nCURSO,DATOS!$D6287,nESPEC,DATOS!$E6287,nASIG,DATOS!$I6287,nEVAL,"EX")=0),0))))</f>
      </c>
      <c r="H6287">
        <f>IF(DATOS!$G6287&lt;&gt;"EX",0,--(COUNTIFS(nNIA,DATOS!$A6287,nCURSO,DATOS!$D6287,nESPEC,DATOS!$E6287,nASIG,DATOS!$I6287,nEVAL,"OR")=0))</f>
      </c>
      <c r="I6287">
        <f>IF(DATOS!$I6287="","",IFERROR(VLOOKUP(DATOS!$I6287,CONFIG_ASIGNATURAS!$B$2:$J$91,9,FALSE()),""))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IF(DATOS!$A6288="",0,IF(CONFIG_METADATA!$B$4&lt;&gt;"OR+EX",--(DATOS!$G6288=CONFIG_METADATA!$B$4),IF(DATOS!$G6288="EX",1,IF(DATOS!$G6288="OR",--(COUNTIFS(nNIA,DATOS!$A6288,nCURSO,DATOS!$D6288,nESPEC,DATOS!$E6288,nASIG,DATOS!$I6288,nEVAL,"EX")=0),0))))</f>
      </c>
      <c r="H6288">
        <f>IF(DATOS!$G6288&lt;&gt;"EX",0,--(COUNTIFS(nNIA,DATOS!$A6288,nCURSO,DATOS!$D6288,nESPEC,DATOS!$E6288,nASIG,DATOS!$I6288,nEVAL,"OR")=0))</f>
      </c>
      <c r="I6288">
        <f>IF(DATOS!$I6288="","",IFERROR(VLOOKUP(DATOS!$I6288,CONFIG_ASIGNATURAS!$B$2:$J$91,9,FALSE()),""))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IF(DATOS!$A6289="",0,IF(CONFIG_METADATA!$B$4&lt;&gt;"OR+EX",--(DATOS!$G6289=CONFIG_METADATA!$B$4),IF(DATOS!$G6289="EX",1,IF(DATOS!$G6289="OR",--(COUNTIFS(nNIA,DATOS!$A6289,nCURSO,DATOS!$D6289,nESPEC,DATOS!$E6289,nASIG,DATOS!$I6289,nEVAL,"EX")=0),0))))</f>
      </c>
      <c r="H6289">
        <f>IF(DATOS!$G6289&lt;&gt;"EX",0,--(COUNTIFS(nNIA,DATOS!$A6289,nCURSO,DATOS!$D6289,nESPEC,DATOS!$E6289,nASIG,DATOS!$I6289,nEVAL,"OR")=0))</f>
      </c>
      <c r="I6289">
        <f>IF(DATOS!$I6289="","",IFERROR(VLOOKUP(DATOS!$I6289,CONFIG_ASIGNATURAS!$B$2:$J$91,9,FALSE()),""))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IF(DATOS!$A6290="",0,IF(CONFIG_METADATA!$B$4&lt;&gt;"OR+EX",--(DATOS!$G6290=CONFIG_METADATA!$B$4),IF(DATOS!$G6290="EX",1,IF(DATOS!$G6290="OR",--(COUNTIFS(nNIA,DATOS!$A6290,nCURSO,DATOS!$D6290,nESPEC,DATOS!$E6290,nASIG,DATOS!$I6290,nEVAL,"EX")=0),0))))</f>
      </c>
      <c r="H6290">
        <f>IF(DATOS!$G6290&lt;&gt;"EX",0,--(COUNTIFS(nNIA,DATOS!$A6290,nCURSO,DATOS!$D6290,nESPEC,DATOS!$E6290,nASIG,DATOS!$I6290,nEVAL,"OR")=0))</f>
      </c>
      <c r="I6290">
        <f>IF(DATOS!$I6290="","",IFERROR(VLOOKUP(DATOS!$I6290,CONFIG_ASIGNATURAS!$B$2:$J$91,9,FALSE()),""))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IF(DATOS!$A6291="",0,IF(CONFIG_METADATA!$B$4&lt;&gt;"OR+EX",--(DATOS!$G6291=CONFIG_METADATA!$B$4),IF(DATOS!$G6291="EX",1,IF(DATOS!$G6291="OR",--(COUNTIFS(nNIA,DATOS!$A6291,nCURSO,DATOS!$D6291,nESPEC,DATOS!$E6291,nASIG,DATOS!$I6291,nEVAL,"EX")=0),0))))</f>
      </c>
      <c r="H6291">
        <f>IF(DATOS!$G6291&lt;&gt;"EX",0,--(COUNTIFS(nNIA,DATOS!$A6291,nCURSO,DATOS!$D6291,nESPEC,DATOS!$E6291,nASIG,DATOS!$I6291,nEVAL,"OR")=0))</f>
      </c>
      <c r="I6291">
        <f>IF(DATOS!$I6291="","",IFERROR(VLOOKUP(DATOS!$I6291,CONFIG_ASIGNATURAS!$B$2:$J$91,9,FALSE()),""))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IF(DATOS!$A6292="",0,IF(CONFIG_METADATA!$B$4&lt;&gt;"OR+EX",--(DATOS!$G6292=CONFIG_METADATA!$B$4),IF(DATOS!$G6292="EX",1,IF(DATOS!$G6292="OR",--(COUNTIFS(nNIA,DATOS!$A6292,nCURSO,DATOS!$D6292,nESPEC,DATOS!$E6292,nASIG,DATOS!$I6292,nEVAL,"EX")=0),0))))</f>
      </c>
      <c r="H6292">
        <f>IF(DATOS!$G6292&lt;&gt;"EX",0,--(COUNTIFS(nNIA,DATOS!$A6292,nCURSO,DATOS!$D6292,nESPEC,DATOS!$E6292,nASIG,DATOS!$I6292,nEVAL,"OR")=0))</f>
      </c>
      <c r="I6292">
        <f>IF(DATOS!$I6292="","",IFERROR(VLOOKUP(DATOS!$I6292,CONFIG_ASIGNATURAS!$B$2:$J$91,9,FALSE()),""))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IF(DATOS!$A6293="",0,IF(CONFIG_METADATA!$B$4&lt;&gt;"OR+EX",--(DATOS!$G6293=CONFIG_METADATA!$B$4),IF(DATOS!$G6293="EX",1,IF(DATOS!$G6293="OR",--(COUNTIFS(nNIA,DATOS!$A6293,nCURSO,DATOS!$D6293,nESPEC,DATOS!$E6293,nASIG,DATOS!$I6293,nEVAL,"EX")=0),0))))</f>
      </c>
      <c r="H6293">
        <f>IF(DATOS!$G6293&lt;&gt;"EX",0,--(COUNTIFS(nNIA,DATOS!$A6293,nCURSO,DATOS!$D6293,nESPEC,DATOS!$E6293,nASIG,DATOS!$I6293,nEVAL,"OR")=0))</f>
      </c>
      <c r="I6293">
        <f>IF(DATOS!$I6293="","",IFERROR(VLOOKUP(DATOS!$I6293,CONFIG_ASIGNATURAS!$B$2:$J$91,9,FALSE()),""))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IF(DATOS!$A6294="",0,IF(CONFIG_METADATA!$B$4&lt;&gt;"OR+EX",--(DATOS!$G6294=CONFIG_METADATA!$B$4),IF(DATOS!$G6294="EX",1,IF(DATOS!$G6294="OR",--(COUNTIFS(nNIA,DATOS!$A6294,nCURSO,DATOS!$D6294,nESPEC,DATOS!$E6294,nASIG,DATOS!$I6294,nEVAL,"EX")=0),0))))</f>
      </c>
      <c r="H6294">
        <f>IF(DATOS!$G6294&lt;&gt;"EX",0,--(COUNTIFS(nNIA,DATOS!$A6294,nCURSO,DATOS!$D6294,nESPEC,DATOS!$E6294,nASIG,DATOS!$I6294,nEVAL,"OR")=0))</f>
      </c>
      <c r="I6294">
        <f>IF(DATOS!$I6294="","",IFERROR(VLOOKUP(DATOS!$I6294,CONFIG_ASIGNATURAS!$B$2:$J$91,9,FALSE()),""))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IF(DATOS!$A6295="",0,IF(CONFIG_METADATA!$B$4&lt;&gt;"OR+EX",--(DATOS!$G6295=CONFIG_METADATA!$B$4),IF(DATOS!$G6295="EX",1,IF(DATOS!$G6295="OR",--(COUNTIFS(nNIA,DATOS!$A6295,nCURSO,DATOS!$D6295,nESPEC,DATOS!$E6295,nASIG,DATOS!$I6295,nEVAL,"EX")=0),0))))</f>
      </c>
      <c r="H6295">
        <f>IF(DATOS!$G6295&lt;&gt;"EX",0,--(COUNTIFS(nNIA,DATOS!$A6295,nCURSO,DATOS!$D6295,nESPEC,DATOS!$E6295,nASIG,DATOS!$I6295,nEVAL,"OR")=0))</f>
      </c>
      <c r="I6295">
        <f>IF(DATOS!$I6295="","",IFERROR(VLOOKUP(DATOS!$I6295,CONFIG_ASIGNATURAS!$B$2:$J$91,9,FALSE()),""))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IF(DATOS!$A6296="",0,IF(CONFIG_METADATA!$B$4&lt;&gt;"OR+EX",--(DATOS!$G6296=CONFIG_METADATA!$B$4),IF(DATOS!$G6296="EX",1,IF(DATOS!$G6296="OR",--(COUNTIFS(nNIA,DATOS!$A6296,nCURSO,DATOS!$D6296,nESPEC,DATOS!$E6296,nASIG,DATOS!$I6296,nEVAL,"EX")=0),0))))</f>
      </c>
      <c r="H6296">
        <f>IF(DATOS!$G6296&lt;&gt;"EX",0,--(COUNTIFS(nNIA,DATOS!$A6296,nCURSO,DATOS!$D6296,nESPEC,DATOS!$E6296,nASIG,DATOS!$I6296,nEVAL,"OR")=0))</f>
      </c>
      <c r="I6296">
        <f>IF(DATOS!$I6296="","",IFERROR(VLOOKUP(DATOS!$I6296,CONFIG_ASIGNATURAS!$B$2:$J$91,9,FALSE()),""))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IF(DATOS!$A6297="",0,IF(CONFIG_METADATA!$B$4&lt;&gt;"OR+EX",--(DATOS!$G6297=CONFIG_METADATA!$B$4),IF(DATOS!$G6297="EX",1,IF(DATOS!$G6297="OR",--(COUNTIFS(nNIA,DATOS!$A6297,nCURSO,DATOS!$D6297,nESPEC,DATOS!$E6297,nASIG,DATOS!$I6297,nEVAL,"EX")=0),0))))</f>
      </c>
      <c r="H6297">
        <f>IF(DATOS!$G6297&lt;&gt;"EX",0,--(COUNTIFS(nNIA,DATOS!$A6297,nCURSO,DATOS!$D6297,nESPEC,DATOS!$E6297,nASIG,DATOS!$I6297,nEVAL,"OR")=0))</f>
      </c>
      <c r="I6297">
        <f>IF(DATOS!$I6297="","",IFERROR(VLOOKUP(DATOS!$I6297,CONFIG_ASIGNATURAS!$B$2:$J$91,9,FALSE()),""))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IF(DATOS!$A6298="",0,IF(CONFIG_METADATA!$B$4&lt;&gt;"OR+EX",--(DATOS!$G6298=CONFIG_METADATA!$B$4),IF(DATOS!$G6298="EX",1,IF(DATOS!$G6298="OR",--(COUNTIFS(nNIA,DATOS!$A6298,nCURSO,DATOS!$D6298,nESPEC,DATOS!$E6298,nASIG,DATOS!$I6298,nEVAL,"EX")=0),0))))</f>
      </c>
      <c r="H6298">
        <f>IF(DATOS!$G6298&lt;&gt;"EX",0,--(COUNTIFS(nNIA,DATOS!$A6298,nCURSO,DATOS!$D6298,nESPEC,DATOS!$E6298,nASIG,DATOS!$I6298,nEVAL,"OR")=0))</f>
      </c>
      <c r="I6298">
        <f>IF(DATOS!$I6298="","",IFERROR(VLOOKUP(DATOS!$I6298,CONFIG_ASIGNATURAS!$B$2:$J$91,9,FALSE()),""))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IF(DATOS!$A6299="",0,IF(CONFIG_METADATA!$B$4&lt;&gt;"OR+EX",--(DATOS!$G6299=CONFIG_METADATA!$B$4),IF(DATOS!$G6299="EX",1,IF(DATOS!$G6299="OR",--(COUNTIFS(nNIA,DATOS!$A6299,nCURSO,DATOS!$D6299,nESPEC,DATOS!$E6299,nASIG,DATOS!$I6299,nEVAL,"EX")=0),0))))</f>
      </c>
      <c r="H6299">
        <f>IF(DATOS!$G6299&lt;&gt;"EX",0,--(COUNTIFS(nNIA,DATOS!$A6299,nCURSO,DATOS!$D6299,nESPEC,DATOS!$E6299,nASIG,DATOS!$I6299,nEVAL,"OR")=0))</f>
      </c>
      <c r="I6299">
        <f>IF(DATOS!$I6299="","",IFERROR(VLOOKUP(DATOS!$I6299,CONFIG_ASIGNATURAS!$B$2:$J$91,9,FALSE()),""))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IF(DATOS!$A6300="",0,IF(CONFIG_METADATA!$B$4&lt;&gt;"OR+EX",--(DATOS!$G6300=CONFIG_METADATA!$B$4),IF(DATOS!$G6300="EX",1,IF(DATOS!$G6300="OR",--(COUNTIFS(nNIA,DATOS!$A6300,nCURSO,DATOS!$D6300,nESPEC,DATOS!$E6300,nASIG,DATOS!$I6300,nEVAL,"EX")=0),0))))</f>
      </c>
      <c r="H6300">
        <f>IF(DATOS!$G6300&lt;&gt;"EX",0,--(COUNTIFS(nNIA,DATOS!$A6300,nCURSO,DATOS!$D6300,nESPEC,DATOS!$E6300,nASIG,DATOS!$I6300,nEVAL,"OR")=0))</f>
      </c>
      <c r="I6300">
        <f>IF(DATOS!$I6300="","",IFERROR(VLOOKUP(DATOS!$I6300,CONFIG_ASIGNATURAS!$B$2:$J$91,9,FALSE()),""))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IF(DATOS!$A6301="",0,IF(CONFIG_METADATA!$B$4&lt;&gt;"OR+EX",--(DATOS!$G6301=CONFIG_METADATA!$B$4),IF(DATOS!$G6301="EX",1,IF(DATOS!$G6301="OR",--(COUNTIFS(nNIA,DATOS!$A6301,nCURSO,DATOS!$D6301,nESPEC,DATOS!$E6301,nASIG,DATOS!$I6301,nEVAL,"EX")=0),0))))</f>
      </c>
      <c r="H6301">
        <f>IF(DATOS!$G6301&lt;&gt;"EX",0,--(COUNTIFS(nNIA,DATOS!$A6301,nCURSO,DATOS!$D6301,nESPEC,DATOS!$E6301,nASIG,DATOS!$I6301,nEVAL,"OR")=0))</f>
      </c>
      <c r="I6301">
        <f>IF(DATOS!$I6301="","",IFERROR(VLOOKUP(DATOS!$I6301,CONFIG_ASIGNATURAS!$B$2:$J$91,9,FALSE()),""))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IF(DATOS!$A6302="",0,IF(CONFIG_METADATA!$B$4&lt;&gt;"OR+EX",--(DATOS!$G6302=CONFIG_METADATA!$B$4),IF(DATOS!$G6302="EX",1,IF(DATOS!$G6302="OR",--(COUNTIFS(nNIA,DATOS!$A6302,nCURSO,DATOS!$D6302,nESPEC,DATOS!$E6302,nASIG,DATOS!$I6302,nEVAL,"EX")=0),0))))</f>
      </c>
      <c r="H6302">
        <f>IF(DATOS!$G6302&lt;&gt;"EX",0,--(COUNTIFS(nNIA,DATOS!$A6302,nCURSO,DATOS!$D6302,nESPEC,DATOS!$E6302,nASIG,DATOS!$I6302,nEVAL,"OR")=0))</f>
      </c>
      <c r="I6302">
        <f>IF(DATOS!$I6302="","",IFERROR(VLOOKUP(DATOS!$I6302,CONFIG_ASIGNATURAS!$B$2:$J$91,9,FALSE()),""))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IF(DATOS!$A6303="",0,IF(CONFIG_METADATA!$B$4&lt;&gt;"OR+EX",--(DATOS!$G6303=CONFIG_METADATA!$B$4),IF(DATOS!$G6303="EX",1,IF(DATOS!$G6303="OR",--(COUNTIFS(nNIA,DATOS!$A6303,nCURSO,DATOS!$D6303,nESPEC,DATOS!$E6303,nASIG,DATOS!$I6303,nEVAL,"EX")=0),0))))</f>
      </c>
      <c r="H6303">
        <f>IF(DATOS!$G6303&lt;&gt;"EX",0,--(COUNTIFS(nNIA,DATOS!$A6303,nCURSO,DATOS!$D6303,nESPEC,DATOS!$E6303,nASIG,DATOS!$I6303,nEVAL,"OR")=0))</f>
      </c>
      <c r="I6303">
        <f>IF(DATOS!$I6303="","",IFERROR(VLOOKUP(DATOS!$I6303,CONFIG_ASIGNATURAS!$B$2:$J$91,9,FALSE()),""))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IF(DATOS!$A6304="",0,IF(CONFIG_METADATA!$B$4&lt;&gt;"OR+EX",--(DATOS!$G6304=CONFIG_METADATA!$B$4),IF(DATOS!$G6304="EX",1,IF(DATOS!$G6304="OR",--(COUNTIFS(nNIA,DATOS!$A6304,nCURSO,DATOS!$D6304,nESPEC,DATOS!$E6304,nASIG,DATOS!$I6304,nEVAL,"EX")=0),0))))</f>
      </c>
      <c r="H6304">
        <f>IF(DATOS!$G6304&lt;&gt;"EX",0,--(COUNTIFS(nNIA,DATOS!$A6304,nCURSO,DATOS!$D6304,nESPEC,DATOS!$E6304,nASIG,DATOS!$I6304,nEVAL,"OR")=0))</f>
      </c>
      <c r="I6304">
        <f>IF(DATOS!$I6304="","",IFERROR(VLOOKUP(DATOS!$I6304,CONFIG_ASIGNATURAS!$B$2:$J$91,9,FALSE()),""))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IF(DATOS!$A6305="",0,IF(CONFIG_METADATA!$B$4&lt;&gt;"OR+EX",--(DATOS!$G6305=CONFIG_METADATA!$B$4),IF(DATOS!$G6305="EX",1,IF(DATOS!$G6305="OR",--(COUNTIFS(nNIA,DATOS!$A6305,nCURSO,DATOS!$D6305,nESPEC,DATOS!$E6305,nASIG,DATOS!$I6305,nEVAL,"EX")=0),0))))</f>
      </c>
      <c r="H6305">
        <f>IF(DATOS!$G6305&lt;&gt;"EX",0,--(COUNTIFS(nNIA,DATOS!$A6305,nCURSO,DATOS!$D6305,nESPEC,DATOS!$E6305,nASIG,DATOS!$I6305,nEVAL,"OR")=0))</f>
      </c>
      <c r="I6305">
        <f>IF(DATOS!$I6305="","",IFERROR(VLOOKUP(DATOS!$I6305,CONFIG_ASIGNATURAS!$B$2:$J$91,9,FALSE()),""))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IF(DATOS!$A6306="",0,IF(CONFIG_METADATA!$B$4&lt;&gt;"OR+EX",--(DATOS!$G6306=CONFIG_METADATA!$B$4),IF(DATOS!$G6306="EX",1,IF(DATOS!$G6306="OR",--(COUNTIFS(nNIA,DATOS!$A6306,nCURSO,DATOS!$D6306,nESPEC,DATOS!$E6306,nASIG,DATOS!$I6306,nEVAL,"EX")=0),0))))</f>
      </c>
      <c r="H6306">
        <f>IF(DATOS!$G6306&lt;&gt;"EX",0,--(COUNTIFS(nNIA,DATOS!$A6306,nCURSO,DATOS!$D6306,nESPEC,DATOS!$E6306,nASIG,DATOS!$I6306,nEVAL,"OR")=0))</f>
      </c>
      <c r="I6306">
        <f>IF(DATOS!$I6306="","",IFERROR(VLOOKUP(DATOS!$I6306,CONFIG_ASIGNATURAS!$B$2:$J$91,9,FALSE()),""))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IF(DATOS!$A6307="",0,IF(CONFIG_METADATA!$B$4&lt;&gt;"OR+EX",--(DATOS!$G6307=CONFIG_METADATA!$B$4),IF(DATOS!$G6307="EX",1,IF(DATOS!$G6307="OR",--(COUNTIFS(nNIA,DATOS!$A6307,nCURSO,DATOS!$D6307,nESPEC,DATOS!$E6307,nASIG,DATOS!$I6307,nEVAL,"EX")=0),0))))</f>
      </c>
      <c r="H6307">
        <f>IF(DATOS!$G6307&lt;&gt;"EX",0,--(COUNTIFS(nNIA,DATOS!$A6307,nCURSO,DATOS!$D6307,nESPEC,DATOS!$E6307,nASIG,DATOS!$I6307,nEVAL,"OR")=0))</f>
      </c>
      <c r="I6307">
        <f>IF(DATOS!$I6307="","",IFERROR(VLOOKUP(DATOS!$I6307,CONFIG_ASIGNATURAS!$B$2:$J$91,9,FALSE()),""))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IF(DATOS!$A6308="",0,IF(CONFIG_METADATA!$B$4&lt;&gt;"OR+EX",--(DATOS!$G6308=CONFIG_METADATA!$B$4),IF(DATOS!$G6308="EX",1,IF(DATOS!$G6308="OR",--(COUNTIFS(nNIA,DATOS!$A6308,nCURSO,DATOS!$D6308,nESPEC,DATOS!$E6308,nASIG,DATOS!$I6308,nEVAL,"EX")=0),0))))</f>
      </c>
      <c r="H6308">
        <f>IF(DATOS!$G6308&lt;&gt;"EX",0,--(COUNTIFS(nNIA,DATOS!$A6308,nCURSO,DATOS!$D6308,nESPEC,DATOS!$E6308,nASIG,DATOS!$I6308,nEVAL,"OR")=0))</f>
      </c>
      <c r="I6308">
        <f>IF(DATOS!$I6308="","",IFERROR(VLOOKUP(DATOS!$I6308,CONFIG_ASIGNATURAS!$B$2:$J$91,9,FALSE()),""))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IF(DATOS!$A6309="",0,IF(CONFIG_METADATA!$B$4&lt;&gt;"OR+EX",--(DATOS!$G6309=CONFIG_METADATA!$B$4),IF(DATOS!$G6309="EX",1,IF(DATOS!$G6309="OR",--(COUNTIFS(nNIA,DATOS!$A6309,nCURSO,DATOS!$D6309,nESPEC,DATOS!$E6309,nASIG,DATOS!$I6309,nEVAL,"EX")=0),0))))</f>
      </c>
      <c r="H6309">
        <f>IF(DATOS!$G6309&lt;&gt;"EX",0,--(COUNTIFS(nNIA,DATOS!$A6309,nCURSO,DATOS!$D6309,nESPEC,DATOS!$E6309,nASIG,DATOS!$I6309,nEVAL,"OR")=0))</f>
      </c>
      <c r="I6309">
        <f>IF(DATOS!$I6309="","",IFERROR(VLOOKUP(DATOS!$I6309,CONFIG_ASIGNATURAS!$B$2:$J$91,9,FALSE()),""))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IF(DATOS!$A6310="",0,IF(CONFIG_METADATA!$B$4&lt;&gt;"OR+EX",--(DATOS!$G6310=CONFIG_METADATA!$B$4),IF(DATOS!$G6310="EX",1,IF(DATOS!$G6310="OR",--(COUNTIFS(nNIA,DATOS!$A6310,nCURSO,DATOS!$D6310,nESPEC,DATOS!$E6310,nASIG,DATOS!$I6310,nEVAL,"EX")=0),0))))</f>
      </c>
      <c r="H6310">
        <f>IF(DATOS!$G6310&lt;&gt;"EX",0,--(COUNTIFS(nNIA,DATOS!$A6310,nCURSO,DATOS!$D6310,nESPEC,DATOS!$E6310,nASIG,DATOS!$I6310,nEVAL,"OR")=0))</f>
      </c>
      <c r="I6310">
        <f>IF(DATOS!$I6310="","",IFERROR(VLOOKUP(DATOS!$I6310,CONFIG_ASIGNATURAS!$B$2:$J$91,9,FALSE()),""))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IF(DATOS!$A6311="",0,IF(CONFIG_METADATA!$B$4&lt;&gt;"OR+EX",--(DATOS!$G6311=CONFIG_METADATA!$B$4),IF(DATOS!$G6311="EX",1,IF(DATOS!$G6311="OR",--(COUNTIFS(nNIA,DATOS!$A6311,nCURSO,DATOS!$D6311,nESPEC,DATOS!$E6311,nASIG,DATOS!$I6311,nEVAL,"EX")=0),0))))</f>
      </c>
      <c r="H6311">
        <f>IF(DATOS!$G6311&lt;&gt;"EX",0,--(COUNTIFS(nNIA,DATOS!$A6311,nCURSO,DATOS!$D6311,nESPEC,DATOS!$E6311,nASIG,DATOS!$I6311,nEVAL,"OR")=0))</f>
      </c>
      <c r="I6311">
        <f>IF(DATOS!$I6311="","",IFERROR(VLOOKUP(DATOS!$I6311,CONFIG_ASIGNATURAS!$B$2:$J$91,9,FALSE()),""))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IF(DATOS!$A6312="",0,IF(CONFIG_METADATA!$B$4&lt;&gt;"OR+EX",--(DATOS!$G6312=CONFIG_METADATA!$B$4),IF(DATOS!$G6312="EX",1,IF(DATOS!$G6312="OR",--(COUNTIFS(nNIA,DATOS!$A6312,nCURSO,DATOS!$D6312,nESPEC,DATOS!$E6312,nASIG,DATOS!$I6312,nEVAL,"EX")=0),0))))</f>
      </c>
      <c r="H6312">
        <f>IF(DATOS!$G6312&lt;&gt;"EX",0,--(COUNTIFS(nNIA,DATOS!$A6312,nCURSO,DATOS!$D6312,nESPEC,DATOS!$E6312,nASIG,DATOS!$I6312,nEVAL,"OR")=0))</f>
      </c>
      <c r="I6312">
        <f>IF(DATOS!$I6312="","",IFERROR(VLOOKUP(DATOS!$I6312,CONFIG_ASIGNATURAS!$B$2:$J$91,9,FALSE()),""))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IF(DATOS!$A6313="",0,IF(CONFIG_METADATA!$B$4&lt;&gt;"OR+EX",--(DATOS!$G6313=CONFIG_METADATA!$B$4),IF(DATOS!$G6313="EX",1,IF(DATOS!$G6313="OR",--(COUNTIFS(nNIA,DATOS!$A6313,nCURSO,DATOS!$D6313,nESPEC,DATOS!$E6313,nASIG,DATOS!$I6313,nEVAL,"EX")=0),0))))</f>
      </c>
      <c r="H6313">
        <f>IF(DATOS!$G6313&lt;&gt;"EX",0,--(COUNTIFS(nNIA,DATOS!$A6313,nCURSO,DATOS!$D6313,nESPEC,DATOS!$E6313,nASIG,DATOS!$I6313,nEVAL,"OR")=0))</f>
      </c>
      <c r="I6313">
        <f>IF(DATOS!$I6313="","",IFERROR(VLOOKUP(DATOS!$I6313,CONFIG_ASIGNATURAS!$B$2:$J$91,9,FALSE()),""))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IF(DATOS!$A6314="",0,IF(CONFIG_METADATA!$B$4&lt;&gt;"OR+EX",--(DATOS!$G6314=CONFIG_METADATA!$B$4),IF(DATOS!$G6314="EX",1,IF(DATOS!$G6314="OR",--(COUNTIFS(nNIA,DATOS!$A6314,nCURSO,DATOS!$D6314,nESPEC,DATOS!$E6314,nASIG,DATOS!$I6314,nEVAL,"EX")=0),0))))</f>
      </c>
      <c r="H6314">
        <f>IF(DATOS!$G6314&lt;&gt;"EX",0,--(COUNTIFS(nNIA,DATOS!$A6314,nCURSO,DATOS!$D6314,nESPEC,DATOS!$E6314,nASIG,DATOS!$I6314,nEVAL,"OR")=0))</f>
      </c>
      <c r="I6314">
        <f>IF(DATOS!$I6314="","",IFERROR(VLOOKUP(DATOS!$I6314,CONFIG_ASIGNATURAS!$B$2:$J$91,9,FALSE()),""))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IF(DATOS!$A6315="",0,IF(CONFIG_METADATA!$B$4&lt;&gt;"OR+EX",--(DATOS!$G6315=CONFIG_METADATA!$B$4),IF(DATOS!$G6315="EX",1,IF(DATOS!$G6315="OR",--(COUNTIFS(nNIA,DATOS!$A6315,nCURSO,DATOS!$D6315,nESPEC,DATOS!$E6315,nASIG,DATOS!$I6315,nEVAL,"EX")=0),0))))</f>
      </c>
      <c r="H6315">
        <f>IF(DATOS!$G6315&lt;&gt;"EX",0,--(COUNTIFS(nNIA,DATOS!$A6315,nCURSO,DATOS!$D6315,nESPEC,DATOS!$E6315,nASIG,DATOS!$I6315,nEVAL,"OR")=0))</f>
      </c>
      <c r="I6315">
        <f>IF(DATOS!$I6315="","",IFERROR(VLOOKUP(DATOS!$I6315,CONFIG_ASIGNATURAS!$B$2:$J$91,9,FALSE()),""))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IF(DATOS!$A6316="",0,IF(CONFIG_METADATA!$B$4&lt;&gt;"OR+EX",--(DATOS!$G6316=CONFIG_METADATA!$B$4),IF(DATOS!$G6316="EX",1,IF(DATOS!$G6316="OR",--(COUNTIFS(nNIA,DATOS!$A6316,nCURSO,DATOS!$D6316,nESPEC,DATOS!$E6316,nASIG,DATOS!$I6316,nEVAL,"EX")=0),0))))</f>
      </c>
      <c r="H6316">
        <f>IF(DATOS!$G6316&lt;&gt;"EX",0,--(COUNTIFS(nNIA,DATOS!$A6316,nCURSO,DATOS!$D6316,nESPEC,DATOS!$E6316,nASIG,DATOS!$I6316,nEVAL,"OR")=0))</f>
      </c>
      <c r="I6316">
        <f>IF(DATOS!$I6316="","",IFERROR(VLOOKUP(DATOS!$I6316,CONFIG_ASIGNATURAS!$B$2:$J$91,9,FALSE()),""))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IF(DATOS!$A6317="",0,IF(CONFIG_METADATA!$B$4&lt;&gt;"OR+EX",--(DATOS!$G6317=CONFIG_METADATA!$B$4),IF(DATOS!$G6317="EX",1,IF(DATOS!$G6317="OR",--(COUNTIFS(nNIA,DATOS!$A6317,nCURSO,DATOS!$D6317,nESPEC,DATOS!$E6317,nASIG,DATOS!$I6317,nEVAL,"EX")=0),0))))</f>
      </c>
      <c r="H6317">
        <f>IF(DATOS!$G6317&lt;&gt;"EX",0,--(COUNTIFS(nNIA,DATOS!$A6317,nCURSO,DATOS!$D6317,nESPEC,DATOS!$E6317,nASIG,DATOS!$I6317,nEVAL,"OR")=0))</f>
      </c>
      <c r="I6317">
        <f>IF(DATOS!$I6317="","",IFERROR(VLOOKUP(DATOS!$I6317,CONFIG_ASIGNATURAS!$B$2:$J$91,9,FALSE()),""))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IF(DATOS!$A6318="",0,IF(CONFIG_METADATA!$B$4&lt;&gt;"OR+EX",--(DATOS!$G6318=CONFIG_METADATA!$B$4),IF(DATOS!$G6318="EX",1,IF(DATOS!$G6318="OR",--(COUNTIFS(nNIA,DATOS!$A6318,nCURSO,DATOS!$D6318,nESPEC,DATOS!$E6318,nASIG,DATOS!$I6318,nEVAL,"EX")=0),0))))</f>
      </c>
      <c r="H6318">
        <f>IF(DATOS!$G6318&lt;&gt;"EX",0,--(COUNTIFS(nNIA,DATOS!$A6318,nCURSO,DATOS!$D6318,nESPEC,DATOS!$E6318,nASIG,DATOS!$I6318,nEVAL,"OR")=0))</f>
      </c>
      <c r="I6318">
        <f>IF(DATOS!$I6318="","",IFERROR(VLOOKUP(DATOS!$I6318,CONFIG_ASIGNATURAS!$B$2:$J$91,9,FALSE()),""))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IF(DATOS!$A6319="",0,IF(CONFIG_METADATA!$B$4&lt;&gt;"OR+EX",--(DATOS!$G6319=CONFIG_METADATA!$B$4),IF(DATOS!$G6319="EX",1,IF(DATOS!$G6319="OR",--(COUNTIFS(nNIA,DATOS!$A6319,nCURSO,DATOS!$D6319,nESPEC,DATOS!$E6319,nASIG,DATOS!$I6319,nEVAL,"EX")=0),0))))</f>
      </c>
      <c r="H6319">
        <f>IF(DATOS!$G6319&lt;&gt;"EX",0,--(COUNTIFS(nNIA,DATOS!$A6319,nCURSO,DATOS!$D6319,nESPEC,DATOS!$E6319,nASIG,DATOS!$I6319,nEVAL,"OR")=0))</f>
      </c>
      <c r="I6319">
        <f>IF(DATOS!$I6319="","",IFERROR(VLOOKUP(DATOS!$I6319,CONFIG_ASIGNATURAS!$B$2:$J$91,9,FALSE()),""))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IF(DATOS!$A6320="",0,IF(CONFIG_METADATA!$B$4&lt;&gt;"OR+EX",--(DATOS!$G6320=CONFIG_METADATA!$B$4),IF(DATOS!$G6320="EX",1,IF(DATOS!$G6320="OR",--(COUNTIFS(nNIA,DATOS!$A6320,nCURSO,DATOS!$D6320,nESPEC,DATOS!$E6320,nASIG,DATOS!$I6320,nEVAL,"EX")=0),0))))</f>
      </c>
      <c r="H6320">
        <f>IF(DATOS!$G6320&lt;&gt;"EX",0,--(COUNTIFS(nNIA,DATOS!$A6320,nCURSO,DATOS!$D6320,nESPEC,DATOS!$E6320,nASIG,DATOS!$I6320,nEVAL,"OR")=0))</f>
      </c>
      <c r="I6320">
        <f>IF(DATOS!$I6320="","",IFERROR(VLOOKUP(DATOS!$I6320,CONFIG_ASIGNATURAS!$B$2:$J$91,9,FALSE()),""))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IF(DATOS!$A6321="",0,IF(CONFIG_METADATA!$B$4&lt;&gt;"OR+EX",--(DATOS!$G6321=CONFIG_METADATA!$B$4),IF(DATOS!$G6321="EX",1,IF(DATOS!$G6321="OR",--(COUNTIFS(nNIA,DATOS!$A6321,nCURSO,DATOS!$D6321,nESPEC,DATOS!$E6321,nASIG,DATOS!$I6321,nEVAL,"EX")=0),0))))</f>
      </c>
      <c r="H6321">
        <f>IF(DATOS!$G6321&lt;&gt;"EX",0,--(COUNTIFS(nNIA,DATOS!$A6321,nCURSO,DATOS!$D6321,nESPEC,DATOS!$E6321,nASIG,DATOS!$I6321,nEVAL,"OR")=0))</f>
      </c>
      <c r="I6321">
        <f>IF(DATOS!$I6321="","",IFERROR(VLOOKUP(DATOS!$I6321,CONFIG_ASIGNATURAS!$B$2:$J$91,9,FALSE()),""))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IF(DATOS!$A6322="",0,IF(CONFIG_METADATA!$B$4&lt;&gt;"OR+EX",--(DATOS!$G6322=CONFIG_METADATA!$B$4),IF(DATOS!$G6322="EX",1,IF(DATOS!$G6322="OR",--(COUNTIFS(nNIA,DATOS!$A6322,nCURSO,DATOS!$D6322,nESPEC,DATOS!$E6322,nASIG,DATOS!$I6322,nEVAL,"EX")=0),0))))</f>
      </c>
      <c r="H6322">
        <f>IF(DATOS!$G6322&lt;&gt;"EX",0,--(COUNTIFS(nNIA,DATOS!$A6322,nCURSO,DATOS!$D6322,nESPEC,DATOS!$E6322,nASIG,DATOS!$I6322,nEVAL,"OR")=0))</f>
      </c>
      <c r="I6322">
        <f>IF(DATOS!$I6322="","",IFERROR(VLOOKUP(DATOS!$I6322,CONFIG_ASIGNATURAS!$B$2:$J$91,9,FALSE()),""))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IF(DATOS!$A6323="",0,IF(CONFIG_METADATA!$B$4&lt;&gt;"OR+EX",--(DATOS!$G6323=CONFIG_METADATA!$B$4),IF(DATOS!$G6323="EX",1,IF(DATOS!$G6323="OR",--(COUNTIFS(nNIA,DATOS!$A6323,nCURSO,DATOS!$D6323,nESPEC,DATOS!$E6323,nASIG,DATOS!$I6323,nEVAL,"EX")=0),0))))</f>
      </c>
      <c r="H6323">
        <f>IF(DATOS!$G6323&lt;&gt;"EX",0,--(COUNTIFS(nNIA,DATOS!$A6323,nCURSO,DATOS!$D6323,nESPEC,DATOS!$E6323,nASIG,DATOS!$I6323,nEVAL,"OR")=0))</f>
      </c>
      <c r="I6323">
        <f>IF(DATOS!$I6323="","",IFERROR(VLOOKUP(DATOS!$I6323,CONFIG_ASIGNATURAS!$B$2:$J$91,9,FALSE()),""))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IF(DATOS!$A6324="",0,IF(CONFIG_METADATA!$B$4&lt;&gt;"OR+EX",--(DATOS!$G6324=CONFIG_METADATA!$B$4),IF(DATOS!$G6324="EX",1,IF(DATOS!$G6324="OR",--(COUNTIFS(nNIA,DATOS!$A6324,nCURSO,DATOS!$D6324,nESPEC,DATOS!$E6324,nASIG,DATOS!$I6324,nEVAL,"EX")=0),0))))</f>
      </c>
      <c r="H6324">
        <f>IF(DATOS!$G6324&lt;&gt;"EX",0,--(COUNTIFS(nNIA,DATOS!$A6324,nCURSO,DATOS!$D6324,nESPEC,DATOS!$E6324,nASIG,DATOS!$I6324,nEVAL,"OR")=0))</f>
      </c>
      <c r="I6324">
        <f>IF(DATOS!$I6324="","",IFERROR(VLOOKUP(DATOS!$I6324,CONFIG_ASIGNATURAS!$B$2:$J$91,9,FALSE()),""))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IF(DATOS!$A6325="",0,IF(CONFIG_METADATA!$B$4&lt;&gt;"OR+EX",--(DATOS!$G6325=CONFIG_METADATA!$B$4),IF(DATOS!$G6325="EX",1,IF(DATOS!$G6325="OR",--(COUNTIFS(nNIA,DATOS!$A6325,nCURSO,DATOS!$D6325,nESPEC,DATOS!$E6325,nASIG,DATOS!$I6325,nEVAL,"EX")=0),0))))</f>
      </c>
      <c r="H6325">
        <f>IF(DATOS!$G6325&lt;&gt;"EX",0,--(COUNTIFS(nNIA,DATOS!$A6325,nCURSO,DATOS!$D6325,nESPEC,DATOS!$E6325,nASIG,DATOS!$I6325,nEVAL,"OR")=0))</f>
      </c>
      <c r="I6325">
        <f>IF(DATOS!$I6325="","",IFERROR(VLOOKUP(DATOS!$I6325,CONFIG_ASIGNATURAS!$B$2:$J$91,9,FALSE()),""))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IF(DATOS!$A6326="",0,IF(CONFIG_METADATA!$B$4&lt;&gt;"OR+EX",--(DATOS!$G6326=CONFIG_METADATA!$B$4),IF(DATOS!$G6326="EX",1,IF(DATOS!$G6326="OR",--(COUNTIFS(nNIA,DATOS!$A6326,nCURSO,DATOS!$D6326,nESPEC,DATOS!$E6326,nASIG,DATOS!$I6326,nEVAL,"EX")=0),0))))</f>
      </c>
      <c r="H6326">
        <f>IF(DATOS!$G6326&lt;&gt;"EX",0,--(COUNTIFS(nNIA,DATOS!$A6326,nCURSO,DATOS!$D6326,nESPEC,DATOS!$E6326,nASIG,DATOS!$I6326,nEVAL,"OR")=0))</f>
      </c>
      <c r="I6326">
        <f>IF(DATOS!$I6326="","",IFERROR(VLOOKUP(DATOS!$I6326,CONFIG_ASIGNATURAS!$B$2:$J$91,9,FALSE()),""))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IF(DATOS!$A6327="",0,IF(CONFIG_METADATA!$B$4&lt;&gt;"OR+EX",--(DATOS!$G6327=CONFIG_METADATA!$B$4),IF(DATOS!$G6327="EX",1,IF(DATOS!$G6327="OR",--(COUNTIFS(nNIA,DATOS!$A6327,nCURSO,DATOS!$D6327,nESPEC,DATOS!$E6327,nASIG,DATOS!$I6327,nEVAL,"EX")=0),0))))</f>
      </c>
      <c r="H6327">
        <f>IF(DATOS!$G6327&lt;&gt;"EX",0,--(COUNTIFS(nNIA,DATOS!$A6327,nCURSO,DATOS!$D6327,nESPEC,DATOS!$E6327,nASIG,DATOS!$I6327,nEVAL,"OR")=0))</f>
      </c>
      <c r="I6327">
        <f>IF(DATOS!$I6327="","",IFERROR(VLOOKUP(DATOS!$I6327,CONFIG_ASIGNATURAS!$B$2:$J$91,9,FALSE()),""))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IF(DATOS!$A6328="",0,IF(CONFIG_METADATA!$B$4&lt;&gt;"OR+EX",--(DATOS!$G6328=CONFIG_METADATA!$B$4),IF(DATOS!$G6328="EX",1,IF(DATOS!$G6328="OR",--(COUNTIFS(nNIA,DATOS!$A6328,nCURSO,DATOS!$D6328,nESPEC,DATOS!$E6328,nASIG,DATOS!$I6328,nEVAL,"EX")=0),0))))</f>
      </c>
      <c r="H6328">
        <f>IF(DATOS!$G6328&lt;&gt;"EX",0,--(COUNTIFS(nNIA,DATOS!$A6328,nCURSO,DATOS!$D6328,nESPEC,DATOS!$E6328,nASIG,DATOS!$I6328,nEVAL,"OR")=0))</f>
      </c>
      <c r="I6328">
        <f>IF(DATOS!$I6328="","",IFERROR(VLOOKUP(DATOS!$I6328,CONFIG_ASIGNATURAS!$B$2:$J$91,9,FALSE()),""))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IF(DATOS!$A6329="",0,IF(CONFIG_METADATA!$B$4&lt;&gt;"OR+EX",--(DATOS!$G6329=CONFIG_METADATA!$B$4),IF(DATOS!$G6329="EX",1,IF(DATOS!$G6329="OR",--(COUNTIFS(nNIA,DATOS!$A6329,nCURSO,DATOS!$D6329,nESPEC,DATOS!$E6329,nASIG,DATOS!$I6329,nEVAL,"EX")=0),0))))</f>
      </c>
      <c r="H6329">
        <f>IF(DATOS!$G6329&lt;&gt;"EX",0,--(COUNTIFS(nNIA,DATOS!$A6329,nCURSO,DATOS!$D6329,nESPEC,DATOS!$E6329,nASIG,DATOS!$I6329,nEVAL,"OR")=0))</f>
      </c>
      <c r="I6329">
        <f>IF(DATOS!$I6329="","",IFERROR(VLOOKUP(DATOS!$I6329,CONFIG_ASIGNATURAS!$B$2:$J$91,9,FALSE()),""))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IF(DATOS!$A6330="",0,IF(CONFIG_METADATA!$B$4&lt;&gt;"OR+EX",--(DATOS!$G6330=CONFIG_METADATA!$B$4),IF(DATOS!$G6330="EX",1,IF(DATOS!$G6330="OR",--(COUNTIFS(nNIA,DATOS!$A6330,nCURSO,DATOS!$D6330,nESPEC,DATOS!$E6330,nASIG,DATOS!$I6330,nEVAL,"EX")=0),0))))</f>
      </c>
      <c r="H6330">
        <f>IF(DATOS!$G6330&lt;&gt;"EX",0,--(COUNTIFS(nNIA,DATOS!$A6330,nCURSO,DATOS!$D6330,nESPEC,DATOS!$E6330,nASIG,DATOS!$I6330,nEVAL,"OR")=0))</f>
      </c>
      <c r="I6330">
        <f>IF(DATOS!$I6330="","",IFERROR(VLOOKUP(DATOS!$I6330,CONFIG_ASIGNATURAS!$B$2:$J$91,9,FALSE()),""))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IF(DATOS!$A6331="",0,IF(CONFIG_METADATA!$B$4&lt;&gt;"OR+EX",--(DATOS!$G6331=CONFIG_METADATA!$B$4),IF(DATOS!$G6331="EX",1,IF(DATOS!$G6331="OR",--(COUNTIFS(nNIA,DATOS!$A6331,nCURSO,DATOS!$D6331,nESPEC,DATOS!$E6331,nASIG,DATOS!$I6331,nEVAL,"EX")=0),0))))</f>
      </c>
      <c r="H6331">
        <f>IF(DATOS!$G6331&lt;&gt;"EX",0,--(COUNTIFS(nNIA,DATOS!$A6331,nCURSO,DATOS!$D6331,nESPEC,DATOS!$E6331,nASIG,DATOS!$I6331,nEVAL,"OR")=0))</f>
      </c>
      <c r="I6331">
        <f>IF(DATOS!$I6331="","",IFERROR(VLOOKUP(DATOS!$I6331,CONFIG_ASIGNATURAS!$B$2:$J$91,9,FALSE()),""))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IF(DATOS!$A6332="",0,IF(CONFIG_METADATA!$B$4&lt;&gt;"OR+EX",--(DATOS!$G6332=CONFIG_METADATA!$B$4),IF(DATOS!$G6332="EX",1,IF(DATOS!$G6332="OR",--(COUNTIFS(nNIA,DATOS!$A6332,nCURSO,DATOS!$D6332,nESPEC,DATOS!$E6332,nASIG,DATOS!$I6332,nEVAL,"EX")=0),0))))</f>
      </c>
      <c r="H6332">
        <f>IF(DATOS!$G6332&lt;&gt;"EX",0,--(COUNTIFS(nNIA,DATOS!$A6332,nCURSO,DATOS!$D6332,nESPEC,DATOS!$E6332,nASIG,DATOS!$I6332,nEVAL,"OR")=0))</f>
      </c>
      <c r="I6332">
        <f>IF(DATOS!$I6332="","",IFERROR(VLOOKUP(DATOS!$I6332,CONFIG_ASIGNATURAS!$B$2:$J$91,9,FALSE()),""))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IF(DATOS!$A6333="",0,IF(CONFIG_METADATA!$B$4&lt;&gt;"OR+EX",--(DATOS!$G6333=CONFIG_METADATA!$B$4),IF(DATOS!$G6333="EX",1,IF(DATOS!$G6333="OR",--(COUNTIFS(nNIA,DATOS!$A6333,nCURSO,DATOS!$D6333,nESPEC,DATOS!$E6333,nASIG,DATOS!$I6333,nEVAL,"EX")=0),0))))</f>
      </c>
      <c r="H6333">
        <f>IF(DATOS!$G6333&lt;&gt;"EX",0,--(COUNTIFS(nNIA,DATOS!$A6333,nCURSO,DATOS!$D6333,nESPEC,DATOS!$E6333,nASIG,DATOS!$I6333,nEVAL,"OR")=0))</f>
      </c>
      <c r="I6333">
        <f>IF(DATOS!$I6333="","",IFERROR(VLOOKUP(DATOS!$I6333,CONFIG_ASIGNATURAS!$B$2:$J$91,9,FALSE()),""))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IF(DATOS!$A6334="",0,IF(CONFIG_METADATA!$B$4&lt;&gt;"OR+EX",--(DATOS!$G6334=CONFIG_METADATA!$B$4),IF(DATOS!$G6334="EX",1,IF(DATOS!$G6334="OR",--(COUNTIFS(nNIA,DATOS!$A6334,nCURSO,DATOS!$D6334,nESPEC,DATOS!$E6334,nASIG,DATOS!$I6334,nEVAL,"EX")=0),0))))</f>
      </c>
      <c r="H6334">
        <f>IF(DATOS!$G6334&lt;&gt;"EX",0,--(COUNTIFS(nNIA,DATOS!$A6334,nCURSO,DATOS!$D6334,nESPEC,DATOS!$E6334,nASIG,DATOS!$I6334,nEVAL,"OR")=0))</f>
      </c>
      <c r="I6334">
        <f>IF(DATOS!$I6334="","",IFERROR(VLOOKUP(DATOS!$I6334,CONFIG_ASIGNATURAS!$B$2:$J$91,9,FALSE()),""))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IF(DATOS!$A6335="",0,IF(CONFIG_METADATA!$B$4&lt;&gt;"OR+EX",--(DATOS!$G6335=CONFIG_METADATA!$B$4),IF(DATOS!$G6335="EX",1,IF(DATOS!$G6335="OR",--(COUNTIFS(nNIA,DATOS!$A6335,nCURSO,DATOS!$D6335,nESPEC,DATOS!$E6335,nASIG,DATOS!$I6335,nEVAL,"EX")=0),0))))</f>
      </c>
      <c r="H6335">
        <f>IF(DATOS!$G6335&lt;&gt;"EX",0,--(COUNTIFS(nNIA,DATOS!$A6335,nCURSO,DATOS!$D6335,nESPEC,DATOS!$E6335,nASIG,DATOS!$I6335,nEVAL,"OR")=0))</f>
      </c>
      <c r="I6335">
        <f>IF(DATOS!$I6335="","",IFERROR(VLOOKUP(DATOS!$I6335,CONFIG_ASIGNATURAS!$B$2:$J$91,9,FALSE()),""))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IF(DATOS!$A6336="",0,IF(CONFIG_METADATA!$B$4&lt;&gt;"OR+EX",--(DATOS!$G6336=CONFIG_METADATA!$B$4),IF(DATOS!$G6336="EX",1,IF(DATOS!$G6336="OR",--(COUNTIFS(nNIA,DATOS!$A6336,nCURSO,DATOS!$D6336,nESPEC,DATOS!$E6336,nASIG,DATOS!$I6336,nEVAL,"EX")=0),0))))</f>
      </c>
      <c r="H6336">
        <f>IF(DATOS!$G6336&lt;&gt;"EX",0,--(COUNTIFS(nNIA,DATOS!$A6336,nCURSO,DATOS!$D6336,nESPEC,DATOS!$E6336,nASIG,DATOS!$I6336,nEVAL,"OR")=0))</f>
      </c>
      <c r="I6336">
        <f>IF(DATOS!$I6336="","",IFERROR(VLOOKUP(DATOS!$I6336,CONFIG_ASIGNATURAS!$B$2:$J$91,9,FALSE()),""))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IF(DATOS!$A6337="",0,IF(CONFIG_METADATA!$B$4&lt;&gt;"OR+EX",--(DATOS!$G6337=CONFIG_METADATA!$B$4),IF(DATOS!$G6337="EX",1,IF(DATOS!$G6337="OR",--(COUNTIFS(nNIA,DATOS!$A6337,nCURSO,DATOS!$D6337,nESPEC,DATOS!$E6337,nASIG,DATOS!$I6337,nEVAL,"EX")=0),0))))</f>
      </c>
      <c r="H6337">
        <f>IF(DATOS!$G6337&lt;&gt;"EX",0,--(COUNTIFS(nNIA,DATOS!$A6337,nCURSO,DATOS!$D6337,nESPEC,DATOS!$E6337,nASIG,DATOS!$I6337,nEVAL,"OR")=0))</f>
      </c>
      <c r="I6337">
        <f>IF(DATOS!$I6337="","",IFERROR(VLOOKUP(DATOS!$I6337,CONFIG_ASIGNATURAS!$B$2:$J$91,9,FALSE()),""))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IF(DATOS!$A6338="",0,IF(CONFIG_METADATA!$B$4&lt;&gt;"OR+EX",--(DATOS!$G6338=CONFIG_METADATA!$B$4),IF(DATOS!$G6338="EX",1,IF(DATOS!$G6338="OR",--(COUNTIFS(nNIA,DATOS!$A6338,nCURSO,DATOS!$D6338,nESPEC,DATOS!$E6338,nASIG,DATOS!$I6338,nEVAL,"EX")=0),0))))</f>
      </c>
      <c r="H6338">
        <f>IF(DATOS!$G6338&lt;&gt;"EX",0,--(COUNTIFS(nNIA,DATOS!$A6338,nCURSO,DATOS!$D6338,nESPEC,DATOS!$E6338,nASIG,DATOS!$I6338,nEVAL,"OR")=0))</f>
      </c>
      <c r="I6338">
        <f>IF(DATOS!$I6338="","",IFERROR(VLOOKUP(DATOS!$I6338,CONFIG_ASIGNATURAS!$B$2:$J$91,9,FALSE()),""))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IF(DATOS!$A6339="",0,IF(CONFIG_METADATA!$B$4&lt;&gt;"OR+EX",--(DATOS!$G6339=CONFIG_METADATA!$B$4),IF(DATOS!$G6339="EX",1,IF(DATOS!$G6339="OR",--(COUNTIFS(nNIA,DATOS!$A6339,nCURSO,DATOS!$D6339,nESPEC,DATOS!$E6339,nASIG,DATOS!$I6339,nEVAL,"EX")=0),0))))</f>
      </c>
      <c r="H6339">
        <f>IF(DATOS!$G6339&lt;&gt;"EX",0,--(COUNTIFS(nNIA,DATOS!$A6339,nCURSO,DATOS!$D6339,nESPEC,DATOS!$E6339,nASIG,DATOS!$I6339,nEVAL,"OR")=0))</f>
      </c>
      <c r="I6339">
        <f>IF(DATOS!$I6339="","",IFERROR(VLOOKUP(DATOS!$I6339,CONFIG_ASIGNATURAS!$B$2:$J$91,9,FALSE()),""))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IF(DATOS!$A6340="",0,IF(CONFIG_METADATA!$B$4&lt;&gt;"OR+EX",--(DATOS!$G6340=CONFIG_METADATA!$B$4),IF(DATOS!$G6340="EX",1,IF(DATOS!$G6340="OR",--(COUNTIFS(nNIA,DATOS!$A6340,nCURSO,DATOS!$D6340,nESPEC,DATOS!$E6340,nASIG,DATOS!$I6340,nEVAL,"EX")=0),0))))</f>
      </c>
      <c r="H6340">
        <f>IF(DATOS!$G6340&lt;&gt;"EX",0,--(COUNTIFS(nNIA,DATOS!$A6340,nCURSO,DATOS!$D6340,nESPEC,DATOS!$E6340,nASIG,DATOS!$I6340,nEVAL,"OR")=0))</f>
      </c>
      <c r="I6340">
        <f>IF(DATOS!$I6340="","",IFERROR(VLOOKUP(DATOS!$I6340,CONFIG_ASIGNATURAS!$B$2:$J$91,9,FALSE()),""))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IF(DATOS!$A6341="",0,IF(CONFIG_METADATA!$B$4&lt;&gt;"OR+EX",--(DATOS!$G6341=CONFIG_METADATA!$B$4),IF(DATOS!$G6341="EX",1,IF(DATOS!$G6341="OR",--(COUNTIFS(nNIA,DATOS!$A6341,nCURSO,DATOS!$D6341,nESPEC,DATOS!$E6341,nASIG,DATOS!$I6341,nEVAL,"EX")=0),0))))</f>
      </c>
      <c r="H6341">
        <f>IF(DATOS!$G6341&lt;&gt;"EX",0,--(COUNTIFS(nNIA,DATOS!$A6341,nCURSO,DATOS!$D6341,nESPEC,DATOS!$E6341,nASIG,DATOS!$I6341,nEVAL,"OR")=0))</f>
      </c>
      <c r="I6341">
        <f>IF(DATOS!$I6341="","",IFERROR(VLOOKUP(DATOS!$I6341,CONFIG_ASIGNATURAS!$B$2:$J$91,9,FALSE()),""))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IF(DATOS!$A6342="",0,IF(CONFIG_METADATA!$B$4&lt;&gt;"OR+EX",--(DATOS!$G6342=CONFIG_METADATA!$B$4),IF(DATOS!$G6342="EX",1,IF(DATOS!$G6342="OR",--(COUNTIFS(nNIA,DATOS!$A6342,nCURSO,DATOS!$D6342,nESPEC,DATOS!$E6342,nASIG,DATOS!$I6342,nEVAL,"EX")=0),0))))</f>
      </c>
      <c r="H6342">
        <f>IF(DATOS!$G6342&lt;&gt;"EX",0,--(COUNTIFS(nNIA,DATOS!$A6342,nCURSO,DATOS!$D6342,nESPEC,DATOS!$E6342,nASIG,DATOS!$I6342,nEVAL,"OR")=0))</f>
      </c>
      <c r="I6342">
        <f>IF(DATOS!$I6342="","",IFERROR(VLOOKUP(DATOS!$I6342,CONFIG_ASIGNATURAS!$B$2:$J$91,9,FALSE()),""))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IF(DATOS!$A6343="",0,IF(CONFIG_METADATA!$B$4&lt;&gt;"OR+EX",--(DATOS!$G6343=CONFIG_METADATA!$B$4),IF(DATOS!$G6343="EX",1,IF(DATOS!$G6343="OR",--(COUNTIFS(nNIA,DATOS!$A6343,nCURSO,DATOS!$D6343,nESPEC,DATOS!$E6343,nASIG,DATOS!$I6343,nEVAL,"EX")=0),0))))</f>
      </c>
      <c r="H6343">
        <f>IF(DATOS!$G6343&lt;&gt;"EX",0,--(COUNTIFS(nNIA,DATOS!$A6343,nCURSO,DATOS!$D6343,nESPEC,DATOS!$E6343,nASIG,DATOS!$I6343,nEVAL,"OR")=0))</f>
      </c>
      <c r="I6343">
        <f>IF(DATOS!$I6343="","",IFERROR(VLOOKUP(DATOS!$I6343,CONFIG_ASIGNATURAS!$B$2:$J$91,9,FALSE()),""))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IF(DATOS!$A6344="",0,IF(CONFIG_METADATA!$B$4&lt;&gt;"OR+EX",--(DATOS!$G6344=CONFIG_METADATA!$B$4),IF(DATOS!$G6344="EX",1,IF(DATOS!$G6344="OR",--(COUNTIFS(nNIA,DATOS!$A6344,nCURSO,DATOS!$D6344,nESPEC,DATOS!$E6344,nASIG,DATOS!$I6344,nEVAL,"EX")=0),0))))</f>
      </c>
      <c r="H6344">
        <f>IF(DATOS!$G6344&lt;&gt;"EX",0,--(COUNTIFS(nNIA,DATOS!$A6344,nCURSO,DATOS!$D6344,nESPEC,DATOS!$E6344,nASIG,DATOS!$I6344,nEVAL,"OR")=0))</f>
      </c>
      <c r="I6344">
        <f>IF(DATOS!$I6344="","",IFERROR(VLOOKUP(DATOS!$I6344,CONFIG_ASIGNATURAS!$B$2:$J$91,9,FALSE()),""))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IF(DATOS!$A6345="",0,IF(CONFIG_METADATA!$B$4&lt;&gt;"OR+EX",--(DATOS!$G6345=CONFIG_METADATA!$B$4),IF(DATOS!$G6345="EX",1,IF(DATOS!$G6345="OR",--(COUNTIFS(nNIA,DATOS!$A6345,nCURSO,DATOS!$D6345,nESPEC,DATOS!$E6345,nASIG,DATOS!$I6345,nEVAL,"EX")=0),0))))</f>
      </c>
      <c r="H6345">
        <f>IF(DATOS!$G6345&lt;&gt;"EX",0,--(COUNTIFS(nNIA,DATOS!$A6345,nCURSO,DATOS!$D6345,nESPEC,DATOS!$E6345,nASIG,DATOS!$I6345,nEVAL,"OR")=0))</f>
      </c>
      <c r="I6345">
        <f>IF(DATOS!$I6345="","",IFERROR(VLOOKUP(DATOS!$I6345,CONFIG_ASIGNATURAS!$B$2:$J$91,9,FALSE()),""))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IF(DATOS!$A6346="",0,IF(CONFIG_METADATA!$B$4&lt;&gt;"OR+EX",--(DATOS!$G6346=CONFIG_METADATA!$B$4),IF(DATOS!$G6346="EX",1,IF(DATOS!$G6346="OR",--(COUNTIFS(nNIA,DATOS!$A6346,nCURSO,DATOS!$D6346,nESPEC,DATOS!$E6346,nASIG,DATOS!$I6346,nEVAL,"EX")=0),0))))</f>
      </c>
      <c r="H6346">
        <f>IF(DATOS!$G6346&lt;&gt;"EX",0,--(COUNTIFS(nNIA,DATOS!$A6346,nCURSO,DATOS!$D6346,nESPEC,DATOS!$E6346,nASIG,DATOS!$I6346,nEVAL,"OR")=0))</f>
      </c>
      <c r="I6346">
        <f>IF(DATOS!$I6346="","",IFERROR(VLOOKUP(DATOS!$I6346,CONFIG_ASIGNATURAS!$B$2:$J$91,9,FALSE()),""))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IF(DATOS!$A6347="",0,IF(CONFIG_METADATA!$B$4&lt;&gt;"OR+EX",--(DATOS!$G6347=CONFIG_METADATA!$B$4),IF(DATOS!$G6347="EX",1,IF(DATOS!$G6347="OR",--(COUNTIFS(nNIA,DATOS!$A6347,nCURSO,DATOS!$D6347,nESPEC,DATOS!$E6347,nASIG,DATOS!$I6347,nEVAL,"EX")=0),0))))</f>
      </c>
      <c r="H6347">
        <f>IF(DATOS!$G6347&lt;&gt;"EX",0,--(COUNTIFS(nNIA,DATOS!$A6347,nCURSO,DATOS!$D6347,nESPEC,DATOS!$E6347,nASIG,DATOS!$I6347,nEVAL,"OR")=0))</f>
      </c>
      <c r="I6347">
        <f>IF(DATOS!$I6347="","",IFERROR(VLOOKUP(DATOS!$I6347,CONFIG_ASIGNATURAS!$B$2:$J$91,9,FALSE()),""))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IF(DATOS!$A6348="",0,IF(CONFIG_METADATA!$B$4&lt;&gt;"OR+EX",--(DATOS!$G6348=CONFIG_METADATA!$B$4),IF(DATOS!$G6348="EX",1,IF(DATOS!$G6348="OR",--(COUNTIFS(nNIA,DATOS!$A6348,nCURSO,DATOS!$D6348,nESPEC,DATOS!$E6348,nASIG,DATOS!$I6348,nEVAL,"EX")=0),0))))</f>
      </c>
      <c r="H6348">
        <f>IF(DATOS!$G6348&lt;&gt;"EX",0,--(COUNTIFS(nNIA,DATOS!$A6348,nCURSO,DATOS!$D6348,nESPEC,DATOS!$E6348,nASIG,DATOS!$I6348,nEVAL,"OR")=0))</f>
      </c>
      <c r="I6348">
        <f>IF(DATOS!$I6348="","",IFERROR(VLOOKUP(DATOS!$I6348,CONFIG_ASIGNATURAS!$B$2:$J$91,9,FALSE()),""))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IF(DATOS!$A6349="",0,IF(CONFIG_METADATA!$B$4&lt;&gt;"OR+EX",--(DATOS!$G6349=CONFIG_METADATA!$B$4),IF(DATOS!$G6349="EX",1,IF(DATOS!$G6349="OR",--(COUNTIFS(nNIA,DATOS!$A6349,nCURSO,DATOS!$D6349,nESPEC,DATOS!$E6349,nASIG,DATOS!$I6349,nEVAL,"EX")=0),0))))</f>
      </c>
      <c r="H6349">
        <f>IF(DATOS!$G6349&lt;&gt;"EX",0,--(COUNTIFS(nNIA,DATOS!$A6349,nCURSO,DATOS!$D6349,nESPEC,DATOS!$E6349,nASIG,DATOS!$I6349,nEVAL,"OR")=0))</f>
      </c>
      <c r="I6349">
        <f>IF(DATOS!$I6349="","",IFERROR(VLOOKUP(DATOS!$I6349,CONFIG_ASIGNATURAS!$B$2:$J$91,9,FALSE()),""))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IF(DATOS!$A6350="",0,IF(CONFIG_METADATA!$B$4&lt;&gt;"OR+EX",--(DATOS!$G6350=CONFIG_METADATA!$B$4),IF(DATOS!$G6350="EX",1,IF(DATOS!$G6350="OR",--(COUNTIFS(nNIA,DATOS!$A6350,nCURSO,DATOS!$D6350,nESPEC,DATOS!$E6350,nASIG,DATOS!$I6350,nEVAL,"EX")=0),0))))</f>
      </c>
      <c r="H6350">
        <f>IF(DATOS!$G6350&lt;&gt;"EX",0,--(COUNTIFS(nNIA,DATOS!$A6350,nCURSO,DATOS!$D6350,nESPEC,DATOS!$E6350,nASIG,DATOS!$I6350,nEVAL,"OR")=0))</f>
      </c>
      <c r="I6350">
        <f>IF(DATOS!$I6350="","",IFERROR(VLOOKUP(DATOS!$I6350,CONFIG_ASIGNATURAS!$B$2:$J$91,9,FALSE()),""))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IF(DATOS!$A6351="",0,IF(CONFIG_METADATA!$B$4&lt;&gt;"OR+EX",--(DATOS!$G6351=CONFIG_METADATA!$B$4),IF(DATOS!$G6351="EX",1,IF(DATOS!$G6351="OR",--(COUNTIFS(nNIA,DATOS!$A6351,nCURSO,DATOS!$D6351,nESPEC,DATOS!$E6351,nASIG,DATOS!$I6351,nEVAL,"EX")=0),0))))</f>
      </c>
      <c r="H6351">
        <f>IF(DATOS!$G6351&lt;&gt;"EX",0,--(COUNTIFS(nNIA,DATOS!$A6351,nCURSO,DATOS!$D6351,nESPEC,DATOS!$E6351,nASIG,DATOS!$I6351,nEVAL,"OR")=0))</f>
      </c>
      <c r="I6351">
        <f>IF(DATOS!$I6351="","",IFERROR(VLOOKUP(DATOS!$I6351,CONFIG_ASIGNATURAS!$B$2:$J$91,9,FALSE()),""))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IF(DATOS!$A6352="",0,IF(CONFIG_METADATA!$B$4&lt;&gt;"OR+EX",--(DATOS!$G6352=CONFIG_METADATA!$B$4),IF(DATOS!$G6352="EX",1,IF(DATOS!$G6352="OR",--(COUNTIFS(nNIA,DATOS!$A6352,nCURSO,DATOS!$D6352,nESPEC,DATOS!$E6352,nASIG,DATOS!$I6352,nEVAL,"EX")=0),0))))</f>
      </c>
      <c r="H6352">
        <f>IF(DATOS!$G6352&lt;&gt;"EX",0,--(COUNTIFS(nNIA,DATOS!$A6352,nCURSO,DATOS!$D6352,nESPEC,DATOS!$E6352,nASIG,DATOS!$I6352,nEVAL,"OR")=0))</f>
      </c>
      <c r="I6352">
        <f>IF(DATOS!$I6352="","",IFERROR(VLOOKUP(DATOS!$I6352,CONFIG_ASIGNATURAS!$B$2:$J$91,9,FALSE()),""))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IF(DATOS!$A6353="",0,IF(CONFIG_METADATA!$B$4&lt;&gt;"OR+EX",--(DATOS!$G6353=CONFIG_METADATA!$B$4),IF(DATOS!$G6353="EX",1,IF(DATOS!$G6353="OR",--(COUNTIFS(nNIA,DATOS!$A6353,nCURSO,DATOS!$D6353,nESPEC,DATOS!$E6353,nASIG,DATOS!$I6353,nEVAL,"EX")=0),0))))</f>
      </c>
      <c r="H6353">
        <f>IF(DATOS!$G6353&lt;&gt;"EX",0,--(COUNTIFS(nNIA,DATOS!$A6353,nCURSO,DATOS!$D6353,nESPEC,DATOS!$E6353,nASIG,DATOS!$I6353,nEVAL,"OR")=0))</f>
      </c>
      <c r="I6353">
        <f>IF(DATOS!$I6353="","",IFERROR(VLOOKUP(DATOS!$I6353,CONFIG_ASIGNATURAS!$B$2:$J$91,9,FALSE()),""))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IF(DATOS!$A6354="",0,IF(CONFIG_METADATA!$B$4&lt;&gt;"OR+EX",--(DATOS!$G6354=CONFIG_METADATA!$B$4),IF(DATOS!$G6354="EX",1,IF(DATOS!$G6354="OR",--(COUNTIFS(nNIA,DATOS!$A6354,nCURSO,DATOS!$D6354,nESPEC,DATOS!$E6354,nASIG,DATOS!$I6354,nEVAL,"EX")=0),0))))</f>
      </c>
      <c r="H6354">
        <f>IF(DATOS!$G6354&lt;&gt;"EX",0,--(COUNTIFS(nNIA,DATOS!$A6354,nCURSO,DATOS!$D6354,nESPEC,DATOS!$E6354,nASIG,DATOS!$I6354,nEVAL,"OR")=0))</f>
      </c>
      <c r="I6354">
        <f>IF(DATOS!$I6354="","",IFERROR(VLOOKUP(DATOS!$I6354,CONFIG_ASIGNATURAS!$B$2:$J$91,9,FALSE()),""))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IF(DATOS!$A6355="",0,IF(CONFIG_METADATA!$B$4&lt;&gt;"OR+EX",--(DATOS!$G6355=CONFIG_METADATA!$B$4),IF(DATOS!$G6355="EX",1,IF(DATOS!$G6355="OR",--(COUNTIFS(nNIA,DATOS!$A6355,nCURSO,DATOS!$D6355,nESPEC,DATOS!$E6355,nASIG,DATOS!$I6355,nEVAL,"EX")=0),0))))</f>
      </c>
      <c r="H6355">
        <f>IF(DATOS!$G6355&lt;&gt;"EX",0,--(COUNTIFS(nNIA,DATOS!$A6355,nCURSO,DATOS!$D6355,nESPEC,DATOS!$E6355,nASIG,DATOS!$I6355,nEVAL,"OR")=0))</f>
      </c>
      <c r="I6355">
        <f>IF(DATOS!$I6355="","",IFERROR(VLOOKUP(DATOS!$I6355,CONFIG_ASIGNATURAS!$B$2:$J$91,9,FALSE()),""))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IF(DATOS!$A6356="",0,IF(CONFIG_METADATA!$B$4&lt;&gt;"OR+EX",--(DATOS!$G6356=CONFIG_METADATA!$B$4),IF(DATOS!$G6356="EX",1,IF(DATOS!$G6356="OR",--(COUNTIFS(nNIA,DATOS!$A6356,nCURSO,DATOS!$D6356,nESPEC,DATOS!$E6356,nASIG,DATOS!$I6356,nEVAL,"EX")=0),0))))</f>
      </c>
      <c r="H6356">
        <f>IF(DATOS!$G6356&lt;&gt;"EX",0,--(COUNTIFS(nNIA,DATOS!$A6356,nCURSO,DATOS!$D6356,nESPEC,DATOS!$E6356,nASIG,DATOS!$I6356,nEVAL,"OR")=0))</f>
      </c>
      <c r="I6356">
        <f>IF(DATOS!$I6356="","",IFERROR(VLOOKUP(DATOS!$I6356,CONFIG_ASIGNATURAS!$B$2:$J$91,9,FALSE()),""))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IF(DATOS!$A6357="",0,IF(CONFIG_METADATA!$B$4&lt;&gt;"OR+EX",--(DATOS!$G6357=CONFIG_METADATA!$B$4),IF(DATOS!$G6357="EX",1,IF(DATOS!$G6357="OR",--(COUNTIFS(nNIA,DATOS!$A6357,nCURSO,DATOS!$D6357,nESPEC,DATOS!$E6357,nASIG,DATOS!$I6357,nEVAL,"EX")=0),0))))</f>
      </c>
      <c r="H6357">
        <f>IF(DATOS!$G6357&lt;&gt;"EX",0,--(COUNTIFS(nNIA,DATOS!$A6357,nCURSO,DATOS!$D6357,nESPEC,DATOS!$E6357,nASIG,DATOS!$I6357,nEVAL,"OR")=0))</f>
      </c>
      <c r="I6357">
        <f>IF(DATOS!$I6357="","",IFERROR(VLOOKUP(DATOS!$I6357,CONFIG_ASIGNATURAS!$B$2:$J$91,9,FALSE()),""))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IF(DATOS!$A6358="",0,IF(CONFIG_METADATA!$B$4&lt;&gt;"OR+EX",--(DATOS!$G6358=CONFIG_METADATA!$B$4),IF(DATOS!$G6358="EX",1,IF(DATOS!$G6358="OR",--(COUNTIFS(nNIA,DATOS!$A6358,nCURSO,DATOS!$D6358,nESPEC,DATOS!$E6358,nASIG,DATOS!$I6358,nEVAL,"EX")=0),0))))</f>
      </c>
      <c r="H6358">
        <f>IF(DATOS!$G6358&lt;&gt;"EX",0,--(COUNTIFS(nNIA,DATOS!$A6358,nCURSO,DATOS!$D6358,nESPEC,DATOS!$E6358,nASIG,DATOS!$I6358,nEVAL,"OR")=0))</f>
      </c>
      <c r="I6358">
        <f>IF(DATOS!$I6358="","",IFERROR(VLOOKUP(DATOS!$I6358,CONFIG_ASIGNATURAS!$B$2:$J$91,9,FALSE()),""))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IF(DATOS!$A6359="",0,IF(CONFIG_METADATA!$B$4&lt;&gt;"OR+EX",--(DATOS!$G6359=CONFIG_METADATA!$B$4),IF(DATOS!$G6359="EX",1,IF(DATOS!$G6359="OR",--(COUNTIFS(nNIA,DATOS!$A6359,nCURSO,DATOS!$D6359,nESPEC,DATOS!$E6359,nASIG,DATOS!$I6359,nEVAL,"EX")=0),0))))</f>
      </c>
      <c r="H6359">
        <f>IF(DATOS!$G6359&lt;&gt;"EX",0,--(COUNTIFS(nNIA,DATOS!$A6359,nCURSO,DATOS!$D6359,nESPEC,DATOS!$E6359,nASIG,DATOS!$I6359,nEVAL,"OR")=0))</f>
      </c>
      <c r="I6359">
        <f>IF(DATOS!$I6359="","",IFERROR(VLOOKUP(DATOS!$I6359,CONFIG_ASIGNATURAS!$B$2:$J$91,9,FALSE()),""))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IF(DATOS!$A6360="",0,IF(CONFIG_METADATA!$B$4&lt;&gt;"OR+EX",--(DATOS!$G6360=CONFIG_METADATA!$B$4),IF(DATOS!$G6360="EX",1,IF(DATOS!$G6360="OR",--(COUNTIFS(nNIA,DATOS!$A6360,nCURSO,DATOS!$D6360,nESPEC,DATOS!$E6360,nASIG,DATOS!$I6360,nEVAL,"EX")=0),0))))</f>
      </c>
      <c r="H6360">
        <f>IF(DATOS!$G6360&lt;&gt;"EX",0,--(COUNTIFS(nNIA,DATOS!$A6360,nCURSO,DATOS!$D6360,nESPEC,DATOS!$E6360,nASIG,DATOS!$I6360,nEVAL,"OR")=0))</f>
      </c>
      <c r="I6360">
        <f>IF(DATOS!$I6360="","",IFERROR(VLOOKUP(DATOS!$I6360,CONFIG_ASIGNATURAS!$B$2:$J$91,9,FALSE()),""))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IF(DATOS!$A6361="",0,IF(CONFIG_METADATA!$B$4&lt;&gt;"OR+EX",--(DATOS!$G6361=CONFIG_METADATA!$B$4),IF(DATOS!$G6361="EX",1,IF(DATOS!$G6361="OR",--(COUNTIFS(nNIA,DATOS!$A6361,nCURSO,DATOS!$D6361,nESPEC,DATOS!$E6361,nASIG,DATOS!$I6361,nEVAL,"EX")=0),0))))</f>
      </c>
      <c r="H6361">
        <f>IF(DATOS!$G6361&lt;&gt;"EX",0,--(COUNTIFS(nNIA,DATOS!$A6361,nCURSO,DATOS!$D6361,nESPEC,DATOS!$E6361,nASIG,DATOS!$I6361,nEVAL,"OR")=0))</f>
      </c>
      <c r="I6361">
        <f>IF(DATOS!$I6361="","",IFERROR(VLOOKUP(DATOS!$I6361,CONFIG_ASIGNATURAS!$B$2:$J$91,9,FALSE()),""))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IF(DATOS!$A6362="",0,IF(CONFIG_METADATA!$B$4&lt;&gt;"OR+EX",--(DATOS!$G6362=CONFIG_METADATA!$B$4),IF(DATOS!$G6362="EX",1,IF(DATOS!$G6362="OR",--(COUNTIFS(nNIA,DATOS!$A6362,nCURSO,DATOS!$D6362,nESPEC,DATOS!$E6362,nASIG,DATOS!$I6362,nEVAL,"EX")=0),0))))</f>
      </c>
      <c r="H6362">
        <f>IF(DATOS!$G6362&lt;&gt;"EX",0,--(COUNTIFS(nNIA,DATOS!$A6362,nCURSO,DATOS!$D6362,nESPEC,DATOS!$E6362,nASIG,DATOS!$I6362,nEVAL,"OR")=0))</f>
      </c>
      <c r="I6362">
        <f>IF(DATOS!$I6362="","",IFERROR(VLOOKUP(DATOS!$I6362,CONFIG_ASIGNATURAS!$B$2:$J$91,9,FALSE()),""))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IF(DATOS!$A6363="",0,IF(CONFIG_METADATA!$B$4&lt;&gt;"OR+EX",--(DATOS!$G6363=CONFIG_METADATA!$B$4),IF(DATOS!$G6363="EX",1,IF(DATOS!$G6363="OR",--(COUNTIFS(nNIA,DATOS!$A6363,nCURSO,DATOS!$D6363,nESPEC,DATOS!$E6363,nASIG,DATOS!$I6363,nEVAL,"EX")=0),0))))</f>
      </c>
      <c r="H6363">
        <f>IF(DATOS!$G6363&lt;&gt;"EX",0,--(COUNTIFS(nNIA,DATOS!$A6363,nCURSO,DATOS!$D6363,nESPEC,DATOS!$E6363,nASIG,DATOS!$I6363,nEVAL,"OR")=0))</f>
      </c>
      <c r="I6363">
        <f>IF(DATOS!$I6363="","",IFERROR(VLOOKUP(DATOS!$I6363,CONFIG_ASIGNATURAS!$B$2:$J$91,9,FALSE()),""))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IF(DATOS!$A6364="",0,IF(CONFIG_METADATA!$B$4&lt;&gt;"OR+EX",--(DATOS!$G6364=CONFIG_METADATA!$B$4),IF(DATOS!$G6364="EX",1,IF(DATOS!$G6364="OR",--(COUNTIFS(nNIA,DATOS!$A6364,nCURSO,DATOS!$D6364,nESPEC,DATOS!$E6364,nASIG,DATOS!$I6364,nEVAL,"EX")=0),0))))</f>
      </c>
      <c r="H6364">
        <f>IF(DATOS!$G6364&lt;&gt;"EX",0,--(COUNTIFS(nNIA,DATOS!$A6364,nCURSO,DATOS!$D6364,nESPEC,DATOS!$E6364,nASIG,DATOS!$I6364,nEVAL,"OR")=0))</f>
      </c>
      <c r="I6364">
        <f>IF(DATOS!$I6364="","",IFERROR(VLOOKUP(DATOS!$I6364,CONFIG_ASIGNATURAS!$B$2:$J$91,9,FALSE()),""))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IF(DATOS!$A6365="",0,IF(CONFIG_METADATA!$B$4&lt;&gt;"OR+EX",--(DATOS!$G6365=CONFIG_METADATA!$B$4),IF(DATOS!$G6365="EX",1,IF(DATOS!$G6365="OR",--(COUNTIFS(nNIA,DATOS!$A6365,nCURSO,DATOS!$D6365,nESPEC,DATOS!$E6365,nASIG,DATOS!$I6365,nEVAL,"EX")=0),0))))</f>
      </c>
      <c r="H6365">
        <f>IF(DATOS!$G6365&lt;&gt;"EX",0,--(COUNTIFS(nNIA,DATOS!$A6365,nCURSO,DATOS!$D6365,nESPEC,DATOS!$E6365,nASIG,DATOS!$I6365,nEVAL,"OR")=0))</f>
      </c>
      <c r="I6365">
        <f>IF(DATOS!$I6365="","",IFERROR(VLOOKUP(DATOS!$I6365,CONFIG_ASIGNATURAS!$B$2:$J$91,9,FALSE()),""))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IF(DATOS!$A6366="",0,IF(CONFIG_METADATA!$B$4&lt;&gt;"OR+EX",--(DATOS!$G6366=CONFIG_METADATA!$B$4),IF(DATOS!$G6366="EX",1,IF(DATOS!$G6366="OR",--(COUNTIFS(nNIA,DATOS!$A6366,nCURSO,DATOS!$D6366,nESPEC,DATOS!$E6366,nASIG,DATOS!$I6366,nEVAL,"EX")=0),0))))</f>
      </c>
      <c r="H6366">
        <f>IF(DATOS!$G6366&lt;&gt;"EX",0,--(COUNTIFS(nNIA,DATOS!$A6366,nCURSO,DATOS!$D6366,nESPEC,DATOS!$E6366,nASIG,DATOS!$I6366,nEVAL,"OR")=0))</f>
      </c>
      <c r="I6366">
        <f>IF(DATOS!$I6366="","",IFERROR(VLOOKUP(DATOS!$I6366,CONFIG_ASIGNATURAS!$B$2:$J$91,9,FALSE()),""))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IF(DATOS!$A6367="",0,IF(CONFIG_METADATA!$B$4&lt;&gt;"OR+EX",--(DATOS!$G6367=CONFIG_METADATA!$B$4),IF(DATOS!$G6367="EX",1,IF(DATOS!$G6367="OR",--(COUNTIFS(nNIA,DATOS!$A6367,nCURSO,DATOS!$D6367,nESPEC,DATOS!$E6367,nASIG,DATOS!$I6367,nEVAL,"EX")=0),0))))</f>
      </c>
      <c r="H6367">
        <f>IF(DATOS!$G6367&lt;&gt;"EX",0,--(COUNTIFS(nNIA,DATOS!$A6367,nCURSO,DATOS!$D6367,nESPEC,DATOS!$E6367,nASIG,DATOS!$I6367,nEVAL,"OR")=0))</f>
      </c>
      <c r="I6367">
        <f>IF(DATOS!$I6367="","",IFERROR(VLOOKUP(DATOS!$I6367,CONFIG_ASIGNATURAS!$B$2:$J$91,9,FALSE()),""))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IF(DATOS!$A6368="",0,IF(CONFIG_METADATA!$B$4&lt;&gt;"OR+EX",--(DATOS!$G6368=CONFIG_METADATA!$B$4),IF(DATOS!$G6368="EX",1,IF(DATOS!$G6368="OR",--(COUNTIFS(nNIA,DATOS!$A6368,nCURSO,DATOS!$D6368,nESPEC,DATOS!$E6368,nASIG,DATOS!$I6368,nEVAL,"EX")=0),0))))</f>
      </c>
      <c r="H6368">
        <f>IF(DATOS!$G6368&lt;&gt;"EX",0,--(COUNTIFS(nNIA,DATOS!$A6368,nCURSO,DATOS!$D6368,nESPEC,DATOS!$E6368,nASIG,DATOS!$I6368,nEVAL,"OR")=0))</f>
      </c>
      <c r="I6368">
        <f>IF(DATOS!$I6368="","",IFERROR(VLOOKUP(DATOS!$I6368,CONFIG_ASIGNATURAS!$B$2:$J$91,9,FALSE()),""))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IF(DATOS!$A6369="",0,IF(CONFIG_METADATA!$B$4&lt;&gt;"OR+EX",--(DATOS!$G6369=CONFIG_METADATA!$B$4),IF(DATOS!$G6369="EX",1,IF(DATOS!$G6369="OR",--(COUNTIFS(nNIA,DATOS!$A6369,nCURSO,DATOS!$D6369,nESPEC,DATOS!$E6369,nASIG,DATOS!$I6369,nEVAL,"EX")=0),0))))</f>
      </c>
      <c r="H6369">
        <f>IF(DATOS!$G6369&lt;&gt;"EX",0,--(COUNTIFS(nNIA,DATOS!$A6369,nCURSO,DATOS!$D6369,nESPEC,DATOS!$E6369,nASIG,DATOS!$I6369,nEVAL,"OR")=0))</f>
      </c>
      <c r="I6369">
        <f>IF(DATOS!$I6369="","",IFERROR(VLOOKUP(DATOS!$I6369,CONFIG_ASIGNATURAS!$B$2:$J$91,9,FALSE()),""))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IF(DATOS!$A6370="",0,IF(CONFIG_METADATA!$B$4&lt;&gt;"OR+EX",--(DATOS!$G6370=CONFIG_METADATA!$B$4),IF(DATOS!$G6370="EX",1,IF(DATOS!$G6370="OR",--(COUNTIFS(nNIA,DATOS!$A6370,nCURSO,DATOS!$D6370,nESPEC,DATOS!$E6370,nASIG,DATOS!$I6370,nEVAL,"EX")=0),0))))</f>
      </c>
      <c r="H6370">
        <f>IF(DATOS!$G6370&lt;&gt;"EX",0,--(COUNTIFS(nNIA,DATOS!$A6370,nCURSO,DATOS!$D6370,nESPEC,DATOS!$E6370,nASIG,DATOS!$I6370,nEVAL,"OR")=0))</f>
      </c>
      <c r="I6370">
        <f>IF(DATOS!$I6370="","",IFERROR(VLOOKUP(DATOS!$I6370,CONFIG_ASIGNATURAS!$B$2:$J$91,9,FALSE()),""))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IF(DATOS!$A6371="",0,IF(CONFIG_METADATA!$B$4&lt;&gt;"OR+EX",--(DATOS!$G6371=CONFIG_METADATA!$B$4),IF(DATOS!$G6371="EX",1,IF(DATOS!$G6371="OR",--(COUNTIFS(nNIA,DATOS!$A6371,nCURSO,DATOS!$D6371,nESPEC,DATOS!$E6371,nASIG,DATOS!$I6371,nEVAL,"EX")=0),0))))</f>
      </c>
      <c r="H6371">
        <f>IF(DATOS!$G6371&lt;&gt;"EX",0,--(COUNTIFS(nNIA,DATOS!$A6371,nCURSO,DATOS!$D6371,nESPEC,DATOS!$E6371,nASIG,DATOS!$I6371,nEVAL,"OR")=0))</f>
      </c>
      <c r="I6371">
        <f>IF(DATOS!$I6371="","",IFERROR(VLOOKUP(DATOS!$I6371,CONFIG_ASIGNATURAS!$B$2:$J$91,9,FALSE()),""))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IF(DATOS!$A6372="",0,IF(CONFIG_METADATA!$B$4&lt;&gt;"OR+EX",--(DATOS!$G6372=CONFIG_METADATA!$B$4),IF(DATOS!$G6372="EX",1,IF(DATOS!$G6372="OR",--(COUNTIFS(nNIA,DATOS!$A6372,nCURSO,DATOS!$D6372,nESPEC,DATOS!$E6372,nASIG,DATOS!$I6372,nEVAL,"EX")=0),0))))</f>
      </c>
      <c r="H6372">
        <f>IF(DATOS!$G6372&lt;&gt;"EX",0,--(COUNTIFS(nNIA,DATOS!$A6372,nCURSO,DATOS!$D6372,nESPEC,DATOS!$E6372,nASIG,DATOS!$I6372,nEVAL,"OR")=0))</f>
      </c>
      <c r="I6372">
        <f>IF(DATOS!$I6372="","",IFERROR(VLOOKUP(DATOS!$I6372,CONFIG_ASIGNATURAS!$B$2:$J$91,9,FALSE()),""))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IF(DATOS!$A6373="",0,IF(CONFIG_METADATA!$B$4&lt;&gt;"OR+EX",--(DATOS!$G6373=CONFIG_METADATA!$B$4),IF(DATOS!$G6373="EX",1,IF(DATOS!$G6373="OR",--(COUNTIFS(nNIA,DATOS!$A6373,nCURSO,DATOS!$D6373,nESPEC,DATOS!$E6373,nASIG,DATOS!$I6373,nEVAL,"EX")=0),0))))</f>
      </c>
      <c r="H6373">
        <f>IF(DATOS!$G6373&lt;&gt;"EX",0,--(COUNTIFS(nNIA,DATOS!$A6373,nCURSO,DATOS!$D6373,nESPEC,DATOS!$E6373,nASIG,DATOS!$I6373,nEVAL,"OR")=0))</f>
      </c>
      <c r="I6373">
        <f>IF(DATOS!$I6373="","",IFERROR(VLOOKUP(DATOS!$I6373,CONFIG_ASIGNATURAS!$B$2:$J$91,9,FALSE()),""))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IF(DATOS!$A6374="",0,IF(CONFIG_METADATA!$B$4&lt;&gt;"OR+EX",--(DATOS!$G6374=CONFIG_METADATA!$B$4),IF(DATOS!$G6374="EX",1,IF(DATOS!$G6374="OR",--(COUNTIFS(nNIA,DATOS!$A6374,nCURSO,DATOS!$D6374,nESPEC,DATOS!$E6374,nASIG,DATOS!$I6374,nEVAL,"EX")=0),0))))</f>
      </c>
      <c r="H6374">
        <f>IF(DATOS!$G6374&lt;&gt;"EX",0,--(COUNTIFS(nNIA,DATOS!$A6374,nCURSO,DATOS!$D6374,nESPEC,DATOS!$E6374,nASIG,DATOS!$I6374,nEVAL,"OR")=0))</f>
      </c>
      <c r="I6374">
        <f>IF(DATOS!$I6374="","",IFERROR(VLOOKUP(DATOS!$I6374,CONFIG_ASIGNATURAS!$B$2:$J$91,9,FALSE()),""))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IF(DATOS!$A6375="",0,IF(CONFIG_METADATA!$B$4&lt;&gt;"OR+EX",--(DATOS!$G6375=CONFIG_METADATA!$B$4),IF(DATOS!$G6375="EX",1,IF(DATOS!$G6375="OR",--(COUNTIFS(nNIA,DATOS!$A6375,nCURSO,DATOS!$D6375,nESPEC,DATOS!$E6375,nASIG,DATOS!$I6375,nEVAL,"EX")=0),0))))</f>
      </c>
      <c r="H6375">
        <f>IF(DATOS!$G6375&lt;&gt;"EX",0,--(COUNTIFS(nNIA,DATOS!$A6375,nCURSO,DATOS!$D6375,nESPEC,DATOS!$E6375,nASIG,DATOS!$I6375,nEVAL,"OR")=0))</f>
      </c>
      <c r="I6375">
        <f>IF(DATOS!$I6375="","",IFERROR(VLOOKUP(DATOS!$I6375,CONFIG_ASIGNATURAS!$B$2:$J$91,9,FALSE()),""))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IF(DATOS!$A6376="",0,IF(CONFIG_METADATA!$B$4&lt;&gt;"OR+EX",--(DATOS!$G6376=CONFIG_METADATA!$B$4),IF(DATOS!$G6376="EX",1,IF(DATOS!$G6376="OR",--(COUNTIFS(nNIA,DATOS!$A6376,nCURSO,DATOS!$D6376,nESPEC,DATOS!$E6376,nASIG,DATOS!$I6376,nEVAL,"EX")=0),0))))</f>
      </c>
      <c r="H6376">
        <f>IF(DATOS!$G6376&lt;&gt;"EX",0,--(COUNTIFS(nNIA,DATOS!$A6376,nCURSO,DATOS!$D6376,nESPEC,DATOS!$E6376,nASIG,DATOS!$I6376,nEVAL,"OR")=0))</f>
      </c>
      <c r="I6376">
        <f>IF(DATOS!$I6376="","",IFERROR(VLOOKUP(DATOS!$I6376,CONFIG_ASIGNATURAS!$B$2:$J$91,9,FALSE()),""))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IF(DATOS!$A6377="",0,IF(CONFIG_METADATA!$B$4&lt;&gt;"OR+EX",--(DATOS!$G6377=CONFIG_METADATA!$B$4),IF(DATOS!$G6377="EX",1,IF(DATOS!$G6377="OR",--(COUNTIFS(nNIA,DATOS!$A6377,nCURSO,DATOS!$D6377,nESPEC,DATOS!$E6377,nASIG,DATOS!$I6377,nEVAL,"EX")=0),0))))</f>
      </c>
      <c r="H6377">
        <f>IF(DATOS!$G6377&lt;&gt;"EX",0,--(COUNTIFS(nNIA,DATOS!$A6377,nCURSO,DATOS!$D6377,nESPEC,DATOS!$E6377,nASIG,DATOS!$I6377,nEVAL,"OR")=0))</f>
      </c>
      <c r="I6377">
        <f>IF(DATOS!$I6377="","",IFERROR(VLOOKUP(DATOS!$I6377,CONFIG_ASIGNATURAS!$B$2:$J$91,9,FALSE()),""))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IF(DATOS!$A6378="",0,IF(CONFIG_METADATA!$B$4&lt;&gt;"OR+EX",--(DATOS!$G6378=CONFIG_METADATA!$B$4),IF(DATOS!$G6378="EX",1,IF(DATOS!$G6378="OR",--(COUNTIFS(nNIA,DATOS!$A6378,nCURSO,DATOS!$D6378,nESPEC,DATOS!$E6378,nASIG,DATOS!$I6378,nEVAL,"EX")=0),0))))</f>
      </c>
      <c r="H6378">
        <f>IF(DATOS!$G6378&lt;&gt;"EX",0,--(COUNTIFS(nNIA,DATOS!$A6378,nCURSO,DATOS!$D6378,nESPEC,DATOS!$E6378,nASIG,DATOS!$I6378,nEVAL,"OR")=0))</f>
      </c>
      <c r="I6378">
        <f>IF(DATOS!$I6378="","",IFERROR(VLOOKUP(DATOS!$I6378,CONFIG_ASIGNATURAS!$B$2:$J$91,9,FALSE()),""))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IF(DATOS!$A6379="",0,IF(CONFIG_METADATA!$B$4&lt;&gt;"OR+EX",--(DATOS!$G6379=CONFIG_METADATA!$B$4),IF(DATOS!$G6379="EX",1,IF(DATOS!$G6379="OR",--(COUNTIFS(nNIA,DATOS!$A6379,nCURSO,DATOS!$D6379,nESPEC,DATOS!$E6379,nASIG,DATOS!$I6379,nEVAL,"EX")=0),0))))</f>
      </c>
      <c r="H6379">
        <f>IF(DATOS!$G6379&lt;&gt;"EX",0,--(COUNTIFS(nNIA,DATOS!$A6379,nCURSO,DATOS!$D6379,nESPEC,DATOS!$E6379,nASIG,DATOS!$I6379,nEVAL,"OR")=0))</f>
      </c>
      <c r="I6379">
        <f>IF(DATOS!$I6379="","",IFERROR(VLOOKUP(DATOS!$I6379,CONFIG_ASIGNATURAS!$B$2:$J$91,9,FALSE()),""))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IF(DATOS!$A6380="",0,IF(CONFIG_METADATA!$B$4&lt;&gt;"OR+EX",--(DATOS!$G6380=CONFIG_METADATA!$B$4),IF(DATOS!$G6380="EX",1,IF(DATOS!$G6380="OR",--(COUNTIFS(nNIA,DATOS!$A6380,nCURSO,DATOS!$D6380,nESPEC,DATOS!$E6380,nASIG,DATOS!$I6380,nEVAL,"EX")=0),0))))</f>
      </c>
      <c r="H6380">
        <f>IF(DATOS!$G6380&lt;&gt;"EX",0,--(COUNTIFS(nNIA,DATOS!$A6380,nCURSO,DATOS!$D6380,nESPEC,DATOS!$E6380,nASIG,DATOS!$I6380,nEVAL,"OR")=0))</f>
      </c>
      <c r="I6380">
        <f>IF(DATOS!$I6380="","",IFERROR(VLOOKUP(DATOS!$I6380,CONFIG_ASIGNATURAS!$B$2:$J$91,9,FALSE()),""))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IF(DATOS!$A6381="",0,IF(CONFIG_METADATA!$B$4&lt;&gt;"OR+EX",--(DATOS!$G6381=CONFIG_METADATA!$B$4),IF(DATOS!$G6381="EX",1,IF(DATOS!$G6381="OR",--(COUNTIFS(nNIA,DATOS!$A6381,nCURSO,DATOS!$D6381,nESPEC,DATOS!$E6381,nASIG,DATOS!$I6381,nEVAL,"EX")=0),0))))</f>
      </c>
      <c r="H6381">
        <f>IF(DATOS!$G6381&lt;&gt;"EX",0,--(COUNTIFS(nNIA,DATOS!$A6381,nCURSO,DATOS!$D6381,nESPEC,DATOS!$E6381,nASIG,DATOS!$I6381,nEVAL,"OR")=0))</f>
      </c>
      <c r="I6381">
        <f>IF(DATOS!$I6381="","",IFERROR(VLOOKUP(DATOS!$I6381,CONFIG_ASIGNATURAS!$B$2:$J$91,9,FALSE()),""))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IF(DATOS!$A6382="",0,IF(CONFIG_METADATA!$B$4&lt;&gt;"OR+EX",--(DATOS!$G6382=CONFIG_METADATA!$B$4),IF(DATOS!$G6382="EX",1,IF(DATOS!$G6382="OR",--(COUNTIFS(nNIA,DATOS!$A6382,nCURSO,DATOS!$D6382,nESPEC,DATOS!$E6382,nASIG,DATOS!$I6382,nEVAL,"EX")=0),0))))</f>
      </c>
      <c r="H6382">
        <f>IF(DATOS!$G6382&lt;&gt;"EX",0,--(COUNTIFS(nNIA,DATOS!$A6382,nCURSO,DATOS!$D6382,nESPEC,DATOS!$E6382,nASIG,DATOS!$I6382,nEVAL,"OR")=0))</f>
      </c>
      <c r="I6382">
        <f>IF(DATOS!$I6382="","",IFERROR(VLOOKUP(DATOS!$I6382,CONFIG_ASIGNATURAS!$B$2:$J$91,9,FALSE()),""))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IF(DATOS!$A6383="",0,IF(CONFIG_METADATA!$B$4&lt;&gt;"OR+EX",--(DATOS!$G6383=CONFIG_METADATA!$B$4),IF(DATOS!$G6383="EX",1,IF(DATOS!$G6383="OR",--(COUNTIFS(nNIA,DATOS!$A6383,nCURSO,DATOS!$D6383,nESPEC,DATOS!$E6383,nASIG,DATOS!$I6383,nEVAL,"EX")=0),0))))</f>
      </c>
      <c r="H6383">
        <f>IF(DATOS!$G6383&lt;&gt;"EX",0,--(COUNTIFS(nNIA,DATOS!$A6383,nCURSO,DATOS!$D6383,nESPEC,DATOS!$E6383,nASIG,DATOS!$I6383,nEVAL,"OR")=0))</f>
      </c>
      <c r="I6383">
        <f>IF(DATOS!$I6383="","",IFERROR(VLOOKUP(DATOS!$I6383,CONFIG_ASIGNATURAS!$B$2:$J$91,9,FALSE()),""))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IF(DATOS!$A6384="",0,IF(CONFIG_METADATA!$B$4&lt;&gt;"OR+EX",--(DATOS!$G6384=CONFIG_METADATA!$B$4),IF(DATOS!$G6384="EX",1,IF(DATOS!$G6384="OR",--(COUNTIFS(nNIA,DATOS!$A6384,nCURSO,DATOS!$D6384,nESPEC,DATOS!$E6384,nASIG,DATOS!$I6384,nEVAL,"EX")=0),0))))</f>
      </c>
      <c r="H6384">
        <f>IF(DATOS!$G6384&lt;&gt;"EX",0,--(COUNTIFS(nNIA,DATOS!$A6384,nCURSO,DATOS!$D6384,nESPEC,DATOS!$E6384,nASIG,DATOS!$I6384,nEVAL,"OR")=0))</f>
      </c>
      <c r="I6384">
        <f>IF(DATOS!$I6384="","",IFERROR(VLOOKUP(DATOS!$I6384,CONFIG_ASIGNATURAS!$B$2:$J$91,9,FALSE()),""))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IF(DATOS!$A6385="",0,IF(CONFIG_METADATA!$B$4&lt;&gt;"OR+EX",--(DATOS!$G6385=CONFIG_METADATA!$B$4),IF(DATOS!$G6385="EX",1,IF(DATOS!$G6385="OR",--(COUNTIFS(nNIA,DATOS!$A6385,nCURSO,DATOS!$D6385,nESPEC,DATOS!$E6385,nASIG,DATOS!$I6385,nEVAL,"EX")=0),0))))</f>
      </c>
      <c r="H6385">
        <f>IF(DATOS!$G6385&lt;&gt;"EX",0,--(COUNTIFS(nNIA,DATOS!$A6385,nCURSO,DATOS!$D6385,nESPEC,DATOS!$E6385,nASIG,DATOS!$I6385,nEVAL,"OR")=0))</f>
      </c>
      <c r="I6385">
        <f>IF(DATOS!$I6385="","",IFERROR(VLOOKUP(DATOS!$I6385,CONFIG_ASIGNATURAS!$B$2:$J$91,9,FALSE()),""))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IF(DATOS!$A6386="",0,IF(CONFIG_METADATA!$B$4&lt;&gt;"OR+EX",--(DATOS!$G6386=CONFIG_METADATA!$B$4),IF(DATOS!$G6386="EX",1,IF(DATOS!$G6386="OR",--(COUNTIFS(nNIA,DATOS!$A6386,nCURSO,DATOS!$D6386,nESPEC,DATOS!$E6386,nASIG,DATOS!$I6386,nEVAL,"EX")=0),0))))</f>
      </c>
      <c r="H6386">
        <f>IF(DATOS!$G6386&lt;&gt;"EX",0,--(COUNTIFS(nNIA,DATOS!$A6386,nCURSO,DATOS!$D6386,nESPEC,DATOS!$E6386,nASIG,DATOS!$I6386,nEVAL,"OR")=0))</f>
      </c>
      <c r="I6386">
        <f>IF(DATOS!$I6386="","",IFERROR(VLOOKUP(DATOS!$I6386,CONFIG_ASIGNATURAS!$B$2:$J$91,9,FALSE()),""))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IF(DATOS!$A6387="",0,IF(CONFIG_METADATA!$B$4&lt;&gt;"OR+EX",--(DATOS!$G6387=CONFIG_METADATA!$B$4),IF(DATOS!$G6387="EX",1,IF(DATOS!$G6387="OR",--(COUNTIFS(nNIA,DATOS!$A6387,nCURSO,DATOS!$D6387,nESPEC,DATOS!$E6387,nASIG,DATOS!$I6387,nEVAL,"EX")=0),0))))</f>
      </c>
      <c r="H6387">
        <f>IF(DATOS!$G6387&lt;&gt;"EX",0,--(COUNTIFS(nNIA,DATOS!$A6387,nCURSO,DATOS!$D6387,nESPEC,DATOS!$E6387,nASIG,DATOS!$I6387,nEVAL,"OR")=0))</f>
      </c>
      <c r="I6387">
        <f>IF(DATOS!$I6387="","",IFERROR(VLOOKUP(DATOS!$I6387,CONFIG_ASIGNATURAS!$B$2:$J$91,9,FALSE()),""))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IF(DATOS!$A6388="",0,IF(CONFIG_METADATA!$B$4&lt;&gt;"OR+EX",--(DATOS!$G6388=CONFIG_METADATA!$B$4),IF(DATOS!$G6388="EX",1,IF(DATOS!$G6388="OR",--(COUNTIFS(nNIA,DATOS!$A6388,nCURSO,DATOS!$D6388,nESPEC,DATOS!$E6388,nASIG,DATOS!$I6388,nEVAL,"EX")=0),0))))</f>
      </c>
      <c r="H6388">
        <f>IF(DATOS!$G6388&lt;&gt;"EX",0,--(COUNTIFS(nNIA,DATOS!$A6388,nCURSO,DATOS!$D6388,nESPEC,DATOS!$E6388,nASIG,DATOS!$I6388,nEVAL,"OR")=0))</f>
      </c>
      <c r="I6388">
        <f>IF(DATOS!$I6388="","",IFERROR(VLOOKUP(DATOS!$I6388,CONFIG_ASIGNATURAS!$B$2:$J$91,9,FALSE()),""))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IF(DATOS!$A6389="",0,IF(CONFIG_METADATA!$B$4&lt;&gt;"OR+EX",--(DATOS!$G6389=CONFIG_METADATA!$B$4),IF(DATOS!$G6389="EX",1,IF(DATOS!$G6389="OR",--(COUNTIFS(nNIA,DATOS!$A6389,nCURSO,DATOS!$D6389,nESPEC,DATOS!$E6389,nASIG,DATOS!$I6389,nEVAL,"EX")=0),0))))</f>
      </c>
      <c r="H6389">
        <f>IF(DATOS!$G6389&lt;&gt;"EX",0,--(COUNTIFS(nNIA,DATOS!$A6389,nCURSO,DATOS!$D6389,nESPEC,DATOS!$E6389,nASIG,DATOS!$I6389,nEVAL,"OR")=0))</f>
      </c>
      <c r="I6389">
        <f>IF(DATOS!$I6389="","",IFERROR(VLOOKUP(DATOS!$I6389,CONFIG_ASIGNATURAS!$B$2:$J$91,9,FALSE()),""))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IF(DATOS!$A6390="",0,IF(CONFIG_METADATA!$B$4&lt;&gt;"OR+EX",--(DATOS!$G6390=CONFIG_METADATA!$B$4),IF(DATOS!$G6390="EX",1,IF(DATOS!$G6390="OR",--(COUNTIFS(nNIA,DATOS!$A6390,nCURSO,DATOS!$D6390,nESPEC,DATOS!$E6390,nASIG,DATOS!$I6390,nEVAL,"EX")=0),0))))</f>
      </c>
      <c r="H6390">
        <f>IF(DATOS!$G6390&lt;&gt;"EX",0,--(COUNTIFS(nNIA,DATOS!$A6390,nCURSO,DATOS!$D6390,nESPEC,DATOS!$E6390,nASIG,DATOS!$I6390,nEVAL,"OR")=0))</f>
      </c>
      <c r="I6390">
        <f>IF(DATOS!$I6390="","",IFERROR(VLOOKUP(DATOS!$I6390,CONFIG_ASIGNATURAS!$B$2:$J$91,9,FALSE()),""))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IF(DATOS!$A6391="",0,IF(CONFIG_METADATA!$B$4&lt;&gt;"OR+EX",--(DATOS!$G6391=CONFIG_METADATA!$B$4),IF(DATOS!$G6391="EX",1,IF(DATOS!$G6391="OR",--(COUNTIFS(nNIA,DATOS!$A6391,nCURSO,DATOS!$D6391,nESPEC,DATOS!$E6391,nASIG,DATOS!$I6391,nEVAL,"EX")=0),0))))</f>
      </c>
      <c r="H6391">
        <f>IF(DATOS!$G6391&lt;&gt;"EX",0,--(COUNTIFS(nNIA,DATOS!$A6391,nCURSO,DATOS!$D6391,nESPEC,DATOS!$E6391,nASIG,DATOS!$I6391,nEVAL,"OR")=0))</f>
      </c>
      <c r="I6391">
        <f>IF(DATOS!$I6391="","",IFERROR(VLOOKUP(DATOS!$I6391,CONFIG_ASIGNATURAS!$B$2:$J$91,9,FALSE()),""))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IF(DATOS!$A6392="",0,IF(CONFIG_METADATA!$B$4&lt;&gt;"OR+EX",--(DATOS!$G6392=CONFIG_METADATA!$B$4),IF(DATOS!$G6392="EX",1,IF(DATOS!$G6392="OR",--(COUNTIFS(nNIA,DATOS!$A6392,nCURSO,DATOS!$D6392,nESPEC,DATOS!$E6392,nASIG,DATOS!$I6392,nEVAL,"EX")=0),0))))</f>
      </c>
      <c r="H6392">
        <f>IF(DATOS!$G6392&lt;&gt;"EX",0,--(COUNTIFS(nNIA,DATOS!$A6392,nCURSO,DATOS!$D6392,nESPEC,DATOS!$E6392,nASIG,DATOS!$I6392,nEVAL,"OR")=0))</f>
      </c>
      <c r="I6392">
        <f>IF(DATOS!$I6392="","",IFERROR(VLOOKUP(DATOS!$I6392,CONFIG_ASIGNATURAS!$B$2:$J$91,9,FALSE()),""))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IF(DATOS!$A6393="",0,IF(CONFIG_METADATA!$B$4&lt;&gt;"OR+EX",--(DATOS!$G6393=CONFIG_METADATA!$B$4),IF(DATOS!$G6393="EX",1,IF(DATOS!$G6393="OR",--(COUNTIFS(nNIA,DATOS!$A6393,nCURSO,DATOS!$D6393,nESPEC,DATOS!$E6393,nASIG,DATOS!$I6393,nEVAL,"EX")=0),0))))</f>
      </c>
      <c r="H6393">
        <f>IF(DATOS!$G6393&lt;&gt;"EX",0,--(COUNTIFS(nNIA,DATOS!$A6393,nCURSO,DATOS!$D6393,nESPEC,DATOS!$E6393,nASIG,DATOS!$I6393,nEVAL,"OR")=0))</f>
      </c>
      <c r="I6393">
        <f>IF(DATOS!$I6393="","",IFERROR(VLOOKUP(DATOS!$I6393,CONFIG_ASIGNATURAS!$B$2:$J$91,9,FALSE()),""))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IF(DATOS!$A6394="",0,IF(CONFIG_METADATA!$B$4&lt;&gt;"OR+EX",--(DATOS!$G6394=CONFIG_METADATA!$B$4),IF(DATOS!$G6394="EX",1,IF(DATOS!$G6394="OR",--(COUNTIFS(nNIA,DATOS!$A6394,nCURSO,DATOS!$D6394,nESPEC,DATOS!$E6394,nASIG,DATOS!$I6394,nEVAL,"EX")=0),0))))</f>
      </c>
      <c r="H6394">
        <f>IF(DATOS!$G6394&lt;&gt;"EX",0,--(COUNTIFS(nNIA,DATOS!$A6394,nCURSO,DATOS!$D6394,nESPEC,DATOS!$E6394,nASIG,DATOS!$I6394,nEVAL,"OR")=0))</f>
      </c>
      <c r="I6394">
        <f>IF(DATOS!$I6394="","",IFERROR(VLOOKUP(DATOS!$I6394,CONFIG_ASIGNATURAS!$B$2:$J$91,9,FALSE()),""))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IF(DATOS!$A6395="",0,IF(CONFIG_METADATA!$B$4&lt;&gt;"OR+EX",--(DATOS!$G6395=CONFIG_METADATA!$B$4),IF(DATOS!$G6395="EX",1,IF(DATOS!$G6395="OR",--(COUNTIFS(nNIA,DATOS!$A6395,nCURSO,DATOS!$D6395,nESPEC,DATOS!$E6395,nASIG,DATOS!$I6395,nEVAL,"EX")=0),0))))</f>
      </c>
      <c r="H6395">
        <f>IF(DATOS!$G6395&lt;&gt;"EX",0,--(COUNTIFS(nNIA,DATOS!$A6395,nCURSO,DATOS!$D6395,nESPEC,DATOS!$E6395,nASIG,DATOS!$I6395,nEVAL,"OR")=0))</f>
      </c>
      <c r="I6395">
        <f>IF(DATOS!$I6395="","",IFERROR(VLOOKUP(DATOS!$I6395,CONFIG_ASIGNATURAS!$B$2:$J$91,9,FALSE()),""))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IF(DATOS!$A6396="",0,IF(CONFIG_METADATA!$B$4&lt;&gt;"OR+EX",--(DATOS!$G6396=CONFIG_METADATA!$B$4),IF(DATOS!$G6396="EX",1,IF(DATOS!$G6396="OR",--(COUNTIFS(nNIA,DATOS!$A6396,nCURSO,DATOS!$D6396,nESPEC,DATOS!$E6396,nASIG,DATOS!$I6396,nEVAL,"EX")=0),0))))</f>
      </c>
      <c r="H6396">
        <f>IF(DATOS!$G6396&lt;&gt;"EX",0,--(COUNTIFS(nNIA,DATOS!$A6396,nCURSO,DATOS!$D6396,nESPEC,DATOS!$E6396,nASIG,DATOS!$I6396,nEVAL,"OR")=0))</f>
      </c>
      <c r="I6396">
        <f>IF(DATOS!$I6396="","",IFERROR(VLOOKUP(DATOS!$I6396,CONFIG_ASIGNATURAS!$B$2:$J$91,9,FALSE()),""))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IF(DATOS!$A6397="",0,IF(CONFIG_METADATA!$B$4&lt;&gt;"OR+EX",--(DATOS!$G6397=CONFIG_METADATA!$B$4),IF(DATOS!$G6397="EX",1,IF(DATOS!$G6397="OR",--(COUNTIFS(nNIA,DATOS!$A6397,nCURSO,DATOS!$D6397,nESPEC,DATOS!$E6397,nASIG,DATOS!$I6397,nEVAL,"EX")=0),0))))</f>
      </c>
      <c r="H6397">
        <f>IF(DATOS!$G6397&lt;&gt;"EX",0,--(COUNTIFS(nNIA,DATOS!$A6397,nCURSO,DATOS!$D6397,nESPEC,DATOS!$E6397,nASIG,DATOS!$I6397,nEVAL,"OR")=0))</f>
      </c>
      <c r="I6397">
        <f>IF(DATOS!$I6397="","",IFERROR(VLOOKUP(DATOS!$I6397,CONFIG_ASIGNATURAS!$B$2:$J$91,9,FALSE()),""))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IF(DATOS!$A6398="",0,IF(CONFIG_METADATA!$B$4&lt;&gt;"OR+EX",--(DATOS!$G6398=CONFIG_METADATA!$B$4),IF(DATOS!$G6398="EX",1,IF(DATOS!$G6398="OR",--(COUNTIFS(nNIA,DATOS!$A6398,nCURSO,DATOS!$D6398,nESPEC,DATOS!$E6398,nASIG,DATOS!$I6398,nEVAL,"EX")=0),0))))</f>
      </c>
      <c r="H6398">
        <f>IF(DATOS!$G6398&lt;&gt;"EX",0,--(COUNTIFS(nNIA,DATOS!$A6398,nCURSO,DATOS!$D6398,nESPEC,DATOS!$E6398,nASIG,DATOS!$I6398,nEVAL,"OR")=0))</f>
      </c>
      <c r="I6398">
        <f>IF(DATOS!$I6398="","",IFERROR(VLOOKUP(DATOS!$I6398,CONFIG_ASIGNATURAS!$B$2:$J$91,9,FALSE()),""))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IF(DATOS!$A6399="",0,IF(CONFIG_METADATA!$B$4&lt;&gt;"OR+EX",--(DATOS!$G6399=CONFIG_METADATA!$B$4),IF(DATOS!$G6399="EX",1,IF(DATOS!$G6399="OR",--(COUNTIFS(nNIA,DATOS!$A6399,nCURSO,DATOS!$D6399,nESPEC,DATOS!$E6399,nASIG,DATOS!$I6399,nEVAL,"EX")=0),0))))</f>
      </c>
      <c r="H6399">
        <f>IF(DATOS!$G6399&lt;&gt;"EX",0,--(COUNTIFS(nNIA,DATOS!$A6399,nCURSO,DATOS!$D6399,nESPEC,DATOS!$E6399,nASIG,DATOS!$I6399,nEVAL,"OR")=0))</f>
      </c>
      <c r="I6399">
        <f>IF(DATOS!$I6399="","",IFERROR(VLOOKUP(DATOS!$I6399,CONFIG_ASIGNATURAS!$B$2:$J$91,9,FALSE()),""))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IF(DATOS!$A6400="",0,IF(CONFIG_METADATA!$B$4&lt;&gt;"OR+EX",--(DATOS!$G6400=CONFIG_METADATA!$B$4),IF(DATOS!$G6400="EX",1,IF(DATOS!$G6400="OR",--(COUNTIFS(nNIA,DATOS!$A6400,nCURSO,DATOS!$D6400,nESPEC,DATOS!$E6400,nASIG,DATOS!$I6400,nEVAL,"EX")=0),0))))</f>
      </c>
      <c r="H6400">
        <f>IF(DATOS!$G6400&lt;&gt;"EX",0,--(COUNTIFS(nNIA,DATOS!$A6400,nCURSO,DATOS!$D6400,nESPEC,DATOS!$E6400,nASIG,DATOS!$I6400,nEVAL,"OR")=0))</f>
      </c>
      <c r="I6400">
        <f>IF(DATOS!$I6400="","",IFERROR(VLOOKUP(DATOS!$I6400,CONFIG_ASIGNATURAS!$B$2:$J$91,9,FALSE()),""))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IF(DATOS!$A6401="",0,IF(CONFIG_METADATA!$B$4&lt;&gt;"OR+EX",--(DATOS!$G6401=CONFIG_METADATA!$B$4),IF(DATOS!$G6401="EX",1,IF(DATOS!$G6401="OR",--(COUNTIFS(nNIA,DATOS!$A6401,nCURSO,DATOS!$D6401,nESPEC,DATOS!$E6401,nASIG,DATOS!$I6401,nEVAL,"EX")=0),0))))</f>
      </c>
      <c r="H6401">
        <f>IF(DATOS!$G6401&lt;&gt;"EX",0,--(COUNTIFS(nNIA,DATOS!$A6401,nCURSO,DATOS!$D6401,nESPEC,DATOS!$E6401,nASIG,DATOS!$I6401,nEVAL,"OR")=0))</f>
      </c>
      <c r="I6401">
        <f>IF(DATOS!$I6401="","",IFERROR(VLOOKUP(DATOS!$I6401,CONFIG_ASIGNATURAS!$B$2:$J$91,9,FALSE()),""))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IF(DATOS!$A6402="",0,IF(CONFIG_METADATA!$B$4&lt;&gt;"OR+EX",--(DATOS!$G6402=CONFIG_METADATA!$B$4),IF(DATOS!$G6402="EX",1,IF(DATOS!$G6402="OR",--(COUNTIFS(nNIA,DATOS!$A6402,nCURSO,DATOS!$D6402,nESPEC,DATOS!$E6402,nASIG,DATOS!$I6402,nEVAL,"EX")=0),0))))</f>
      </c>
      <c r="H6402">
        <f>IF(DATOS!$G6402&lt;&gt;"EX",0,--(COUNTIFS(nNIA,DATOS!$A6402,nCURSO,DATOS!$D6402,nESPEC,DATOS!$E6402,nASIG,DATOS!$I6402,nEVAL,"OR")=0))</f>
      </c>
      <c r="I6402">
        <f>IF(DATOS!$I6402="","",IFERROR(VLOOKUP(DATOS!$I6402,CONFIG_ASIGNATURAS!$B$2:$J$91,9,FALSE()),""))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IF(DATOS!$A6403="",0,IF(CONFIG_METADATA!$B$4&lt;&gt;"OR+EX",--(DATOS!$G6403=CONFIG_METADATA!$B$4),IF(DATOS!$G6403="EX",1,IF(DATOS!$G6403="OR",--(COUNTIFS(nNIA,DATOS!$A6403,nCURSO,DATOS!$D6403,nESPEC,DATOS!$E6403,nASIG,DATOS!$I6403,nEVAL,"EX")=0),0))))</f>
      </c>
      <c r="H6403">
        <f>IF(DATOS!$G6403&lt;&gt;"EX",0,--(COUNTIFS(nNIA,DATOS!$A6403,nCURSO,DATOS!$D6403,nESPEC,DATOS!$E6403,nASIG,DATOS!$I6403,nEVAL,"OR")=0))</f>
      </c>
      <c r="I6403">
        <f>IF(DATOS!$I6403="","",IFERROR(VLOOKUP(DATOS!$I6403,CONFIG_ASIGNATURAS!$B$2:$J$91,9,FALSE()),""))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IF(DATOS!$A6404="",0,IF(CONFIG_METADATA!$B$4&lt;&gt;"OR+EX",--(DATOS!$G6404=CONFIG_METADATA!$B$4),IF(DATOS!$G6404="EX",1,IF(DATOS!$G6404="OR",--(COUNTIFS(nNIA,DATOS!$A6404,nCURSO,DATOS!$D6404,nESPEC,DATOS!$E6404,nASIG,DATOS!$I6404,nEVAL,"EX")=0),0))))</f>
      </c>
      <c r="H6404">
        <f>IF(DATOS!$G6404&lt;&gt;"EX",0,--(COUNTIFS(nNIA,DATOS!$A6404,nCURSO,DATOS!$D6404,nESPEC,DATOS!$E6404,nASIG,DATOS!$I6404,nEVAL,"OR")=0))</f>
      </c>
      <c r="I6404">
        <f>IF(DATOS!$I6404="","",IFERROR(VLOOKUP(DATOS!$I6404,CONFIG_ASIGNATURAS!$B$2:$J$91,9,FALSE()),""))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IF(DATOS!$A6405="",0,IF(CONFIG_METADATA!$B$4&lt;&gt;"OR+EX",--(DATOS!$G6405=CONFIG_METADATA!$B$4),IF(DATOS!$G6405="EX",1,IF(DATOS!$G6405="OR",--(COUNTIFS(nNIA,DATOS!$A6405,nCURSO,DATOS!$D6405,nESPEC,DATOS!$E6405,nASIG,DATOS!$I6405,nEVAL,"EX")=0),0))))</f>
      </c>
      <c r="H6405">
        <f>IF(DATOS!$G6405&lt;&gt;"EX",0,--(COUNTIFS(nNIA,DATOS!$A6405,nCURSO,DATOS!$D6405,nESPEC,DATOS!$E6405,nASIG,DATOS!$I6405,nEVAL,"OR")=0))</f>
      </c>
      <c r="I6405">
        <f>IF(DATOS!$I6405="","",IFERROR(VLOOKUP(DATOS!$I6405,CONFIG_ASIGNATURAS!$B$2:$J$91,9,FALSE()),""))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IF(DATOS!$A6406="",0,IF(CONFIG_METADATA!$B$4&lt;&gt;"OR+EX",--(DATOS!$G6406=CONFIG_METADATA!$B$4),IF(DATOS!$G6406="EX",1,IF(DATOS!$G6406="OR",--(COUNTIFS(nNIA,DATOS!$A6406,nCURSO,DATOS!$D6406,nESPEC,DATOS!$E6406,nASIG,DATOS!$I6406,nEVAL,"EX")=0),0))))</f>
      </c>
      <c r="H6406">
        <f>IF(DATOS!$G6406&lt;&gt;"EX",0,--(COUNTIFS(nNIA,DATOS!$A6406,nCURSO,DATOS!$D6406,nESPEC,DATOS!$E6406,nASIG,DATOS!$I6406,nEVAL,"OR")=0))</f>
      </c>
      <c r="I6406">
        <f>IF(DATOS!$I6406="","",IFERROR(VLOOKUP(DATOS!$I6406,CONFIG_ASIGNATURAS!$B$2:$J$91,9,FALSE()),""))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IF(DATOS!$A6407="",0,IF(CONFIG_METADATA!$B$4&lt;&gt;"OR+EX",--(DATOS!$G6407=CONFIG_METADATA!$B$4),IF(DATOS!$G6407="EX",1,IF(DATOS!$G6407="OR",--(COUNTIFS(nNIA,DATOS!$A6407,nCURSO,DATOS!$D6407,nESPEC,DATOS!$E6407,nASIG,DATOS!$I6407,nEVAL,"EX")=0),0))))</f>
      </c>
      <c r="H6407">
        <f>IF(DATOS!$G6407&lt;&gt;"EX",0,--(COUNTIFS(nNIA,DATOS!$A6407,nCURSO,DATOS!$D6407,nESPEC,DATOS!$E6407,nASIG,DATOS!$I6407,nEVAL,"OR")=0))</f>
      </c>
      <c r="I6407">
        <f>IF(DATOS!$I6407="","",IFERROR(VLOOKUP(DATOS!$I6407,CONFIG_ASIGNATURAS!$B$2:$J$91,9,FALSE()),""))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IF(DATOS!$A6408="",0,IF(CONFIG_METADATA!$B$4&lt;&gt;"OR+EX",--(DATOS!$G6408=CONFIG_METADATA!$B$4),IF(DATOS!$G6408="EX",1,IF(DATOS!$G6408="OR",--(COUNTIFS(nNIA,DATOS!$A6408,nCURSO,DATOS!$D6408,nESPEC,DATOS!$E6408,nASIG,DATOS!$I6408,nEVAL,"EX")=0),0))))</f>
      </c>
      <c r="H6408">
        <f>IF(DATOS!$G6408&lt;&gt;"EX",0,--(COUNTIFS(nNIA,DATOS!$A6408,nCURSO,DATOS!$D6408,nESPEC,DATOS!$E6408,nASIG,DATOS!$I6408,nEVAL,"OR")=0))</f>
      </c>
      <c r="I6408">
        <f>IF(DATOS!$I6408="","",IFERROR(VLOOKUP(DATOS!$I6408,CONFIG_ASIGNATURAS!$B$2:$J$91,9,FALSE()),""))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IF(DATOS!$A6409="",0,IF(CONFIG_METADATA!$B$4&lt;&gt;"OR+EX",--(DATOS!$G6409=CONFIG_METADATA!$B$4),IF(DATOS!$G6409="EX",1,IF(DATOS!$G6409="OR",--(COUNTIFS(nNIA,DATOS!$A6409,nCURSO,DATOS!$D6409,nESPEC,DATOS!$E6409,nASIG,DATOS!$I6409,nEVAL,"EX")=0),0))))</f>
      </c>
      <c r="H6409">
        <f>IF(DATOS!$G6409&lt;&gt;"EX",0,--(COUNTIFS(nNIA,DATOS!$A6409,nCURSO,DATOS!$D6409,nESPEC,DATOS!$E6409,nASIG,DATOS!$I6409,nEVAL,"OR")=0))</f>
      </c>
      <c r="I6409">
        <f>IF(DATOS!$I6409="","",IFERROR(VLOOKUP(DATOS!$I6409,CONFIG_ASIGNATURAS!$B$2:$J$91,9,FALSE()),""))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IF(DATOS!$A6410="",0,IF(CONFIG_METADATA!$B$4&lt;&gt;"OR+EX",--(DATOS!$G6410=CONFIG_METADATA!$B$4),IF(DATOS!$G6410="EX",1,IF(DATOS!$G6410="OR",--(COUNTIFS(nNIA,DATOS!$A6410,nCURSO,DATOS!$D6410,nESPEC,DATOS!$E6410,nASIG,DATOS!$I6410,nEVAL,"EX")=0),0))))</f>
      </c>
      <c r="H6410">
        <f>IF(DATOS!$G6410&lt;&gt;"EX",0,--(COUNTIFS(nNIA,DATOS!$A6410,nCURSO,DATOS!$D6410,nESPEC,DATOS!$E6410,nASIG,DATOS!$I6410,nEVAL,"OR")=0))</f>
      </c>
      <c r="I6410">
        <f>IF(DATOS!$I6410="","",IFERROR(VLOOKUP(DATOS!$I6410,CONFIG_ASIGNATURAS!$B$2:$J$91,9,FALSE()),""))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IF(DATOS!$A6411="",0,IF(CONFIG_METADATA!$B$4&lt;&gt;"OR+EX",--(DATOS!$G6411=CONFIG_METADATA!$B$4),IF(DATOS!$G6411="EX",1,IF(DATOS!$G6411="OR",--(COUNTIFS(nNIA,DATOS!$A6411,nCURSO,DATOS!$D6411,nESPEC,DATOS!$E6411,nASIG,DATOS!$I6411,nEVAL,"EX")=0),0))))</f>
      </c>
      <c r="H6411">
        <f>IF(DATOS!$G6411&lt;&gt;"EX",0,--(COUNTIFS(nNIA,DATOS!$A6411,nCURSO,DATOS!$D6411,nESPEC,DATOS!$E6411,nASIG,DATOS!$I6411,nEVAL,"OR")=0))</f>
      </c>
      <c r="I6411">
        <f>IF(DATOS!$I6411="","",IFERROR(VLOOKUP(DATOS!$I6411,CONFIG_ASIGNATURAS!$B$2:$J$91,9,FALSE()),""))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IF(DATOS!$A6412="",0,IF(CONFIG_METADATA!$B$4&lt;&gt;"OR+EX",--(DATOS!$G6412=CONFIG_METADATA!$B$4),IF(DATOS!$G6412="EX",1,IF(DATOS!$G6412="OR",--(COUNTIFS(nNIA,DATOS!$A6412,nCURSO,DATOS!$D6412,nESPEC,DATOS!$E6412,nASIG,DATOS!$I6412,nEVAL,"EX")=0),0))))</f>
      </c>
      <c r="H6412">
        <f>IF(DATOS!$G6412&lt;&gt;"EX",0,--(COUNTIFS(nNIA,DATOS!$A6412,nCURSO,DATOS!$D6412,nESPEC,DATOS!$E6412,nASIG,DATOS!$I6412,nEVAL,"OR")=0))</f>
      </c>
      <c r="I6412">
        <f>IF(DATOS!$I6412="","",IFERROR(VLOOKUP(DATOS!$I6412,CONFIG_ASIGNATURAS!$B$2:$J$91,9,FALSE()),""))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IF(DATOS!$A6413="",0,IF(CONFIG_METADATA!$B$4&lt;&gt;"OR+EX",--(DATOS!$G6413=CONFIG_METADATA!$B$4),IF(DATOS!$G6413="EX",1,IF(DATOS!$G6413="OR",--(COUNTIFS(nNIA,DATOS!$A6413,nCURSO,DATOS!$D6413,nESPEC,DATOS!$E6413,nASIG,DATOS!$I6413,nEVAL,"EX")=0),0))))</f>
      </c>
      <c r="H6413">
        <f>IF(DATOS!$G6413&lt;&gt;"EX",0,--(COUNTIFS(nNIA,DATOS!$A6413,nCURSO,DATOS!$D6413,nESPEC,DATOS!$E6413,nASIG,DATOS!$I6413,nEVAL,"OR")=0))</f>
      </c>
      <c r="I6413">
        <f>IF(DATOS!$I6413="","",IFERROR(VLOOKUP(DATOS!$I6413,CONFIG_ASIGNATURAS!$B$2:$J$91,9,FALSE()),""))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IF(DATOS!$A6414="",0,IF(CONFIG_METADATA!$B$4&lt;&gt;"OR+EX",--(DATOS!$G6414=CONFIG_METADATA!$B$4),IF(DATOS!$G6414="EX",1,IF(DATOS!$G6414="OR",--(COUNTIFS(nNIA,DATOS!$A6414,nCURSO,DATOS!$D6414,nESPEC,DATOS!$E6414,nASIG,DATOS!$I6414,nEVAL,"EX")=0),0))))</f>
      </c>
      <c r="H6414">
        <f>IF(DATOS!$G6414&lt;&gt;"EX",0,--(COUNTIFS(nNIA,DATOS!$A6414,nCURSO,DATOS!$D6414,nESPEC,DATOS!$E6414,nASIG,DATOS!$I6414,nEVAL,"OR")=0))</f>
      </c>
      <c r="I6414">
        <f>IF(DATOS!$I6414="","",IFERROR(VLOOKUP(DATOS!$I6414,CONFIG_ASIGNATURAS!$B$2:$J$91,9,FALSE()),""))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IF(DATOS!$A6415="",0,IF(CONFIG_METADATA!$B$4&lt;&gt;"OR+EX",--(DATOS!$G6415=CONFIG_METADATA!$B$4),IF(DATOS!$G6415="EX",1,IF(DATOS!$G6415="OR",--(COUNTIFS(nNIA,DATOS!$A6415,nCURSO,DATOS!$D6415,nESPEC,DATOS!$E6415,nASIG,DATOS!$I6415,nEVAL,"EX")=0),0))))</f>
      </c>
      <c r="H6415">
        <f>IF(DATOS!$G6415&lt;&gt;"EX",0,--(COUNTIFS(nNIA,DATOS!$A6415,nCURSO,DATOS!$D6415,nESPEC,DATOS!$E6415,nASIG,DATOS!$I6415,nEVAL,"OR")=0))</f>
      </c>
      <c r="I6415">
        <f>IF(DATOS!$I6415="","",IFERROR(VLOOKUP(DATOS!$I6415,CONFIG_ASIGNATURAS!$B$2:$J$91,9,FALSE()),""))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IF(DATOS!$A6416="",0,IF(CONFIG_METADATA!$B$4&lt;&gt;"OR+EX",--(DATOS!$G6416=CONFIG_METADATA!$B$4),IF(DATOS!$G6416="EX",1,IF(DATOS!$G6416="OR",--(COUNTIFS(nNIA,DATOS!$A6416,nCURSO,DATOS!$D6416,nESPEC,DATOS!$E6416,nASIG,DATOS!$I6416,nEVAL,"EX")=0),0))))</f>
      </c>
      <c r="H6416">
        <f>IF(DATOS!$G6416&lt;&gt;"EX",0,--(COUNTIFS(nNIA,DATOS!$A6416,nCURSO,DATOS!$D6416,nESPEC,DATOS!$E6416,nASIG,DATOS!$I6416,nEVAL,"OR")=0))</f>
      </c>
      <c r="I6416">
        <f>IF(DATOS!$I6416="","",IFERROR(VLOOKUP(DATOS!$I6416,CONFIG_ASIGNATURAS!$B$2:$J$91,9,FALSE()),""))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IF(DATOS!$A6417="",0,IF(CONFIG_METADATA!$B$4&lt;&gt;"OR+EX",--(DATOS!$G6417=CONFIG_METADATA!$B$4),IF(DATOS!$G6417="EX",1,IF(DATOS!$G6417="OR",--(COUNTIFS(nNIA,DATOS!$A6417,nCURSO,DATOS!$D6417,nESPEC,DATOS!$E6417,nASIG,DATOS!$I6417,nEVAL,"EX")=0),0))))</f>
      </c>
      <c r="H6417">
        <f>IF(DATOS!$G6417&lt;&gt;"EX",0,--(COUNTIFS(nNIA,DATOS!$A6417,nCURSO,DATOS!$D6417,nESPEC,DATOS!$E6417,nASIG,DATOS!$I6417,nEVAL,"OR")=0))</f>
      </c>
      <c r="I6417">
        <f>IF(DATOS!$I6417="","",IFERROR(VLOOKUP(DATOS!$I6417,CONFIG_ASIGNATURAS!$B$2:$J$91,9,FALSE()),""))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IF(DATOS!$A6418="",0,IF(CONFIG_METADATA!$B$4&lt;&gt;"OR+EX",--(DATOS!$G6418=CONFIG_METADATA!$B$4),IF(DATOS!$G6418="EX",1,IF(DATOS!$G6418="OR",--(COUNTIFS(nNIA,DATOS!$A6418,nCURSO,DATOS!$D6418,nESPEC,DATOS!$E6418,nASIG,DATOS!$I6418,nEVAL,"EX")=0),0))))</f>
      </c>
      <c r="H6418">
        <f>IF(DATOS!$G6418&lt;&gt;"EX",0,--(COUNTIFS(nNIA,DATOS!$A6418,nCURSO,DATOS!$D6418,nESPEC,DATOS!$E6418,nASIG,DATOS!$I6418,nEVAL,"OR")=0))</f>
      </c>
      <c r="I6418">
        <f>IF(DATOS!$I6418="","",IFERROR(VLOOKUP(DATOS!$I6418,CONFIG_ASIGNATURAS!$B$2:$J$91,9,FALSE()),""))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IF(DATOS!$A6419="",0,IF(CONFIG_METADATA!$B$4&lt;&gt;"OR+EX",--(DATOS!$G6419=CONFIG_METADATA!$B$4),IF(DATOS!$G6419="EX",1,IF(DATOS!$G6419="OR",--(COUNTIFS(nNIA,DATOS!$A6419,nCURSO,DATOS!$D6419,nESPEC,DATOS!$E6419,nASIG,DATOS!$I6419,nEVAL,"EX")=0),0))))</f>
      </c>
      <c r="H6419">
        <f>IF(DATOS!$G6419&lt;&gt;"EX",0,--(COUNTIFS(nNIA,DATOS!$A6419,nCURSO,DATOS!$D6419,nESPEC,DATOS!$E6419,nASIG,DATOS!$I6419,nEVAL,"OR")=0))</f>
      </c>
      <c r="I6419">
        <f>IF(DATOS!$I6419="","",IFERROR(VLOOKUP(DATOS!$I6419,CONFIG_ASIGNATURAS!$B$2:$J$91,9,FALSE()),""))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IF(DATOS!$A6420="",0,IF(CONFIG_METADATA!$B$4&lt;&gt;"OR+EX",--(DATOS!$G6420=CONFIG_METADATA!$B$4),IF(DATOS!$G6420="EX",1,IF(DATOS!$G6420="OR",--(COUNTIFS(nNIA,DATOS!$A6420,nCURSO,DATOS!$D6420,nESPEC,DATOS!$E6420,nASIG,DATOS!$I6420,nEVAL,"EX")=0),0))))</f>
      </c>
      <c r="H6420">
        <f>IF(DATOS!$G6420&lt;&gt;"EX",0,--(COUNTIFS(nNIA,DATOS!$A6420,nCURSO,DATOS!$D6420,nESPEC,DATOS!$E6420,nASIG,DATOS!$I6420,nEVAL,"OR")=0))</f>
      </c>
      <c r="I6420">
        <f>IF(DATOS!$I6420="","",IFERROR(VLOOKUP(DATOS!$I6420,CONFIG_ASIGNATURAS!$B$2:$J$91,9,FALSE()),""))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IF(DATOS!$A6421="",0,IF(CONFIG_METADATA!$B$4&lt;&gt;"OR+EX",--(DATOS!$G6421=CONFIG_METADATA!$B$4),IF(DATOS!$G6421="EX",1,IF(DATOS!$G6421="OR",--(COUNTIFS(nNIA,DATOS!$A6421,nCURSO,DATOS!$D6421,nESPEC,DATOS!$E6421,nASIG,DATOS!$I6421,nEVAL,"EX")=0),0))))</f>
      </c>
      <c r="H6421">
        <f>IF(DATOS!$G6421&lt;&gt;"EX",0,--(COUNTIFS(nNIA,DATOS!$A6421,nCURSO,DATOS!$D6421,nESPEC,DATOS!$E6421,nASIG,DATOS!$I6421,nEVAL,"OR")=0))</f>
      </c>
      <c r="I6421">
        <f>IF(DATOS!$I6421="","",IFERROR(VLOOKUP(DATOS!$I6421,CONFIG_ASIGNATURAS!$B$2:$J$91,9,FALSE()),""))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IF(DATOS!$A6422="",0,IF(CONFIG_METADATA!$B$4&lt;&gt;"OR+EX",--(DATOS!$G6422=CONFIG_METADATA!$B$4),IF(DATOS!$G6422="EX",1,IF(DATOS!$G6422="OR",--(COUNTIFS(nNIA,DATOS!$A6422,nCURSO,DATOS!$D6422,nESPEC,DATOS!$E6422,nASIG,DATOS!$I6422,nEVAL,"EX")=0),0))))</f>
      </c>
      <c r="H6422">
        <f>IF(DATOS!$G6422&lt;&gt;"EX",0,--(COUNTIFS(nNIA,DATOS!$A6422,nCURSO,DATOS!$D6422,nESPEC,DATOS!$E6422,nASIG,DATOS!$I6422,nEVAL,"OR")=0))</f>
      </c>
      <c r="I6422">
        <f>IF(DATOS!$I6422="","",IFERROR(VLOOKUP(DATOS!$I6422,CONFIG_ASIGNATURAS!$B$2:$J$91,9,FALSE()),""))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IF(DATOS!$A6423="",0,IF(CONFIG_METADATA!$B$4&lt;&gt;"OR+EX",--(DATOS!$G6423=CONFIG_METADATA!$B$4),IF(DATOS!$G6423="EX",1,IF(DATOS!$G6423="OR",--(COUNTIFS(nNIA,DATOS!$A6423,nCURSO,DATOS!$D6423,nESPEC,DATOS!$E6423,nASIG,DATOS!$I6423,nEVAL,"EX")=0),0))))</f>
      </c>
      <c r="H6423">
        <f>IF(DATOS!$G6423&lt;&gt;"EX",0,--(COUNTIFS(nNIA,DATOS!$A6423,nCURSO,DATOS!$D6423,nESPEC,DATOS!$E6423,nASIG,DATOS!$I6423,nEVAL,"OR")=0))</f>
      </c>
      <c r="I6423">
        <f>IF(DATOS!$I6423="","",IFERROR(VLOOKUP(DATOS!$I6423,CONFIG_ASIGNATURAS!$B$2:$J$91,9,FALSE()),""))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IF(DATOS!$A6424="",0,IF(CONFIG_METADATA!$B$4&lt;&gt;"OR+EX",--(DATOS!$G6424=CONFIG_METADATA!$B$4),IF(DATOS!$G6424="EX",1,IF(DATOS!$G6424="OR",--(COUNTIFS(nNIA,DATOS!$A6424,nCURSO,DATOS!$D6424,nESPEC,DATOS!$E6424,nASIG,DATOS!$I6424,nEVAL,"EX")=0),0))))</f>
      </c>
      <c r="H6424">
        <f>IF(DATOS!$G6424&lt;&gt;"EX",0,--(COUNTIFS(nNIA,DATOS!$A6424,nCURSO,DATOS!$D6424,nESPEC,DATOS!$E6424,nASIG,DATOS!$I6424,nEVAL,"OR")=0))</f>
      </c>
      <c r="I6424">
        <f>IF(DATOS!$I6424="","",IFERROR(VLOOKUP(DATOS!$I6424,CONFIG_ASIGNATURAS!$B$2:$J$91,9,FALSE()),""))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IF(DATOS!$A6425="",0,IF(CONFIG_METADATA!$B$4&lt;&gt;"OR+EX",--(DATOS!$G6425=CONFIG_METADATA!$B$4),IF(DATOS!$G6425="EX",1,IF(DATOS!$G6425="OR",--(COUNTIFS(nNIA,DATOS!$A6425,nCURSO,DATOS!$D6425,nESPEC,DATOS!$E6425,nASIG,DATOS!$I6425,nEVAL,"EX")=0),0))))</f>
      </c>
      <c r="H6425">
        <f>IF(DATOS!$G6425&lt;&gt;"EX",0,--(COUNTIFS(nNIA,DATOS!$A6425,nCURSO,DATOS!$D6425,nESPEC,DATOS!$E6425,nASIG,DATOS!$I6425,nEVAL,"OR")=0))</f>
      </c>
      <c r="I6425">
        <f>IF(DATOS!$I6425="","",IFERROR(VLOOKUP(DATOS!$I6425,CONFIG_ASIGNATURAS!$B$2:$J$91,9,FALSE()),""))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IF(DATOS!$A6426="",0,IF(CONFIG_METADATA!$B$4&lt;&gt;"OR+EX",--(DATOS!$G6426=CONFIG_METADATA!$B$4),IF(DATOS!$G6426="EX",1,IF(DATOS!$G6426="OR",--(COUNTIFS(nNIA,DATOS!$A6426,nCURSO,DATOS!$D6426,nESPEC,DATOS!$E6426,nASIG,DATOS!$I6426,nEVAL,"EX")=0),0))))</f>
      </c>
      <c r="H6426">
        <f>IF(DATOS!$G6426&lt;&gt;"EX",0,--(COUNTIFS(nNIA,DATOS!$A6426,nCURSO,DATOS!$D6426,nESPEC,DATOS!$E6426,nASIG,DATOS!$I6426,nEVAL,"OR")=0))</f>
      </c>
      <c r="I6426">
        <f>IF(DATOS!$I6426="","",IFERROR(VLOOKUP(DATOS!$I6426,CONFIG_ASIGNATURAS!$B$2:$J$91,9,FALSE()),""))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IF(DATOS!$A6427="",0,IF(CONFIG_METADATA!$B$4&lt;&gt;"OR+EX",--(DATOS!$G6427=CONFIG_METADATA!$B$4),IF(DATOS!$G6427="EX",1,IF(DATOS!$G6427="OR",--(COUNTIFS(nNIA,DATOS!$A6427,nCURSO,DATOS!$D6427,nESPEC,DATOS!$E6427,nASIG,DATOS!$I6427,nEVAL,"EX")=0),0))))</f>
      </c>
      <c r="H6427">
        <f>IF(DATOS!$G6427&lt;&gt;"EX",0,--(COUNTIFS(nNIA,DATOS!$A6427,nCURSO,DATOS!$D6427,nESPEC,DATOS!$E6427,nASIG,DATOS!$I6427,nEVAL,"OR")=0))</f>
      </c>
      <c r="I6427">
        <f>IF(DATOS!$I6427="","",IFERROR(VLOOKUP(DATOS!$I6427,CONFIG_ASIGNATURAS!$B$2:$J$91,9,FALSE()),""))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IF(DATOS!$A6428="",0,IF(CONFIG_METADATA!$B$4&lt;&gt;"OR+EX",--(DATOS!$G6428=CONFIG_METADATA!$B$4),IF(DATOS!$G6428="EX",1,IF(DATOS!$G6428="OR",--(COUNTIFS(nNIA,DATOS!$A6428,nCURSO,DATOS!$D6428,nESPEC,DATOS!$E6428,nASIG,DATOS!$I6428,nEVAL,"EX")=0),0))))</f>
      </c>
      <c r="H6428">
        <f>IF(DATOS!$G6428&lt;&gt;"EX",0,--(COUNTIFS(nNIA,DATOS!$A6428,nCURSO,DATOS!$D6428,nESPEC,DATOS!$E6428,nASIG,DATOS!$I6428,nEVAL,"OR")=0))</f>
      </c>
      <c r="I6428">
        <f>IF(DATOS!$I6428="","",IFERROR(VLOOKUP(DATOS!$I6428,CONFIG_ASIGNATURAS!$B$2:$J$91,9,FALSE()),""))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IF(DATOS!$A6429="",0,IF(CONFIG_METADATA!$B$4&lt;&gt;"OR+EX",--(DATOS!$G6429=CONFIG_METADATA!$B$4),IF(DATOS!$G6429="EX",1,IF(DATOS!$G6429="OR",--(COUNTIFS(nNIA,DATOS!$A6429,nCURSO,DATOS!$D6429,nESPEC,DATOS!$E6429,nASIG,DATOS!$I6429,nEVAL,"EX")=0),0))))</f>
      </c>
      <c r="H6429">
        <f>IF(DATOS!$G6429&lt;&gt;"EX",0,--(COUNTIFS(nNIA,DATOS!$A6429,nCURSO,DATOS!$D6429,nESPEC,DATOS!$E6429,nASIG,DATOS!$I6429,nEVAL,"OR")=0))</f>
      </c>
      <c r="I6429">
        <f>IF(DATOS!$I6429="","",IFERROR(VLOOKUP(DATOS!$I6429,CONFIG_ASIGNATURAS!$B$2:$J$91,9,FALSE()),""))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IF(DATOS!$A6430="",0,IF(CONFIG_METADATA!$B$4&lt;&gt;"OR+EX",--(DATOS!$G6430=CONFIG_METADATA!$B$4),IF(DATOS!$G6430="EX",1,IF(DATOS!$G6430="OR",--(COUNTIFS(nNIA,DATOS!$A6430,nCURSO,DATOS!$D6430,nESPEC,DATOS!$E6430,nASIG,DATOS!$I6430,nEVAL,"EX")=0),0))))</f>
      </c>
      <c r="H6430">
        <f>IF(DATOS!$G6430&lt;&gt;"EX",0,--(COUNTIFS(nNIA,DATOS!$A6430,nCURSO,DATOS!$D6430,nESPEC,DATOS!$E6430,nASIG,DATOS!$I6430,nEVAL,"OR")=0))</f>
      </c>
      <c r="I6430">
        <f>IF(DATOS!$I6430="","",IFERROR(VLOOKUP(DATOS!$I6430,CONFIG_ASIGNATURAS!$B$2:$J$91,9,FALSE()),""))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IF(DATOS!$A6431="",0,IF(CONFIG_METADATA!$B$4&lt;&gt;"OR+EX",--(DATOS!$G6431=CONFIG_METADATA!$B$4),IF(DATOS!$G6431="EX",1,IF(DATOS!$G6431="OR",--(COUNTIFS(nNIA,DATOS!$A6431,nCURSO,DATOS!$D6431,nESPEC,DATOS!$E6431,nASIG,DATOS!$I6431,nEVAL,"EX")=0),0))))</f>
      </c>
      <c r="H6431">
        <f>IF(DATOS!$G6431&lt;&gt;"EX",0,--(COUNTIFS(nNIA,DATOS!$A6431,nCURSO,DATOS!$D6431,nESPEC,DATOS!$E6431,nASIG,DATOS!$I6431,nEVAL,"OR")=0))</f>
      </c>
      <c r="I6431">
        <f>IF(DATOS!$I6431="","",IFERROR(VLOOKUP(DATOS!$I6431,CONFIG_ASIGNATURAS!$B$2:$J$91,9,FALSE()),""))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IF(DATOS!$A6432="",0,IF(CONFIG_METADATA!$B$4&lt;&gt;"OR+EX",--(DATOS!$G6432=CONFIG_METADATA!$B$4),IF(DATOS!$G6432="EX",1,IF(DATOS!$G6432="OR",--(COUNTIFS(nNIA,DATOS!$A6432,nCURSO,DATOS!$D6432,nESPEC,DATOS!$E6432,nASIG,DATOS!$I6432,nEVAL,"EX")=0),0))))</f>
      </c>
      <c r="H6432">
        <f>IF(DATOS!$G6432&lt;&gt;"EX",0,--(COUNTIFS(nNIA,DATOS!$A6432,nCURSO,DATOS!$D6432,nESPEC,DATOS!$E6432,nASIG,DATOS!$I6432,nEVAL,"OR")=0))</f>
      </c>
      <c r="I6432">
        <f>IF(DATOS!$I6432="","",IFERROR(VLOOKUP(DATOS!$I6432,CONFIG_ASIGNATURAS!$B$2:$J$91,9,FALSE()),""))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IF(DATOS!$A6433="",0,IF(CONFIG_METADATA!$B$4&lt;&gt;"OR+EX",--(DATOS!$G6433=CONFIG_METADATA!$B$4),IF(DATOS!$G6433="EX",1,IF(DATOS!$G6433="OR",--(COUNTIFS(nNIA,DATOS!$A6433,nCURSO,DATOS!$D6433,nESPEC,DATOS!$E6433,nASIG,DATOS!$I6433,nEVAL,"EX")=0),0))))</f>
      </c>
      <c r="H6433">
        <f>IF(DATOS!$G6433&lt;&gt;"EX",0,--(COUNTIFS(nNIA,DATOS!$A6433,nCURSO,DATOS!$D6433,nESPEC,DATOS!$E6433,nASIG,DATOS!$I6433,nEVAL,"OR")=0))</f>
      </c>
      <c r="I6433">
        <f>IF(DATOS!$I6433="","",IFERROR(VLOOKUP(DATOS!$I6433,CONFIG_ASIGNATURAS!$B$2:$J$91,9,FALSE()),""))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IF(DATOS!$A6434="",0,IF(CONFIG_METADATA!$B$4&lt;&gt;"OR+EX",--(DATOS!$G6434=CONFIG_METADATA!$B$4),IF(DATOS!$G6434="EX",1,IF(DATOS!$G6434="OR",--(COUNTIFS(nNIA,DATOS!$A6434,nCURSO,DATOS!$D6434,nESPEC,DATOS!$E6434,nASIG,DATOS!$I6434,nEVAL,"EX")=0),0))))</f>
      </c>
      <c r="H6434">
        <f>IF(DATOS!$G6434&lt;&gt;"EX",0,--(COUNTIFS(nNIA,DATOS!$A6434,nCURSO,DATOS!$D6434,nESPEC,DATOS!$E6434,nASIG,DATOS!$I6434,nEVAL,"OR")=0))</f>
      </c>
      <c r="I6434">
        <f>IF(DATOS!$I6434="","",IFERROR(VLOOKUP(DATOS!$I6434,CONFIG_ASIGNATURAS!$B$2:$J$91,9,FALSE()),""))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IF(DATOS!$A6435="",0,IF(CONFIG_METADATA!$B$4&lt;&gt;"OR+EX",--(DATOS!$G6435=CONFIG_METADATA!$B$4),IF(DATOS!$G6435="EX",1,IF(DATOS!$G6435="OR",--(COUNTIFS(nNIA,DATOS!$A6435,nCURSO,DATOS!$D6435,nESPEC,DATOS!$E6435,nASIG,DATOS!$I6435,nEVAL,"EX")=0),0))))</f>
      </c>
      <c r="H6435">
        <f>IF(DATOS!$G6435&lt;&gt;"EX",0,--(COUNTIFS(nNIA,DATOS!$A6435,nCURSO,DATOS!$D6435,nESPEC,DATOS!$E6435,nASIG,DATOS!$I6435,nEVAL,"OR")=0))</f>
      </c>
      <c r="I6435">
        <f>IF(DATOS!$I6435="","",IFERROR(VLOOKUP(DATOS!$I6435,CONFIG_ASIGNATURAS!$B$2:$J$91,9,FALSE()),""))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IF(DATOS!$A6436="",0,IF(CONFIG_METADATA!$B$4&lt;&gt;"OR+EX",--(DATOS!$G6436=CONFIG_METADATA!$B$4),IF(DATOS!$G6436="EX",1,IF(DATOS!$G6436="OR",--(COUNTIFS(nNIA,DATOS!$A6436,nCURSO,DATOS!$D6436,nESPEC,DATOS!$E6436,nASIG,DATOS!$I6436,nEVAL,"EX")=0),0))))</f>
      </c>
      <c r="H6436">
        <f>IF(DATOS!$G6436&lt;&gt;"EX",0,--(COUNTIFS(nNIA,DATOS!$A6436,nCURSO,DATOS!$D6436,nESPEC,DATOS!$E6436,nASIG,DATOS!$I6436,nEVAL,"OR")=0))</f>
      </c>
      <c r="I6436">
        <f>IF(DATOS!$I6436="","",IFERROR(VLOOKUP(DATOS!$I6436,CONFIG_ASIGNATURAS!$B$2:$J$91,9,FALSE()),""))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IF(DATOS!$A6437="",0,IF(CONFIG_METADATA!$B$4&lt;&gt;"OR+EX",--(DATOS!$G6437=CONFIG_METADATA!$B$4),IF(DATOS!$G6437="EX",1,IF(DATOS!$G6437="OR",--(COUNTIFS(nNIA,DATOS!$A6437,nCURSO,DATOS!$D6437,nESPEC,DATOS!$E6437,nASIG,DATOS!$I6437,nEVAL,"EX")=0),0))))</f>
      </c>
      <c r="H6437">
        <f>IF(DATOS!$G6437&lt;&gt;"EX",0,--(COUNTIFS(nNIA,DATOS!$A6437,nCURSO,DATOS!$D6437,nESPEC,DATOS!$E6437,nASIG,DATOS!$I6437,nEVAL,"OR")=0))</f>
      </c>
      <c r="I6437">
        <f>IF(DATOS!$I6437="","",IFERROR(VLOOKUP(DATOS!$I6437,CONFIG_ASIGNATURAS!$B$2:$J$91,9,FALSE()),""))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IF(DATOS!$A6438="",0,IF(CONFIG_METADATA!$B$4&lt;&gt;"OR+EX",--(DATOS!$G6438=CONFIG_METADATA!$B$4),IF(DATOS!$G6438="EX",1,IF(DATOS!$G6438="OR",--(COUNTIFS(nNIA,DATOS!$A6438,nCURSO,DATOS!$D6438,nESPEC,DATOS!$E6438,nASIG,DATOS!$I6438,nEVAL,"EX")=0),0))))</f>
      </c>
      <c r="H6438">
        <f>IF(DATOS!$G6438&lt;&gt;"EX",0,--(COUNTIFS(nNIA,DATOS!$A6438,nCURSO,DATOS!$D6438,nESPEC,DATOS!$E6438,nASIG,DATOS!$I6438,nEVAL,"OR")=0))</f>
      </c>
      <c r="I6438">
        <f>IF(DATOS!$I6438="","",IFERROR(VLOOKUP(DATOS!$I6438,CONFIG_ASIGNATURAS!$B$2:$J$91,9,FALSE()),""))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IF(DATOS!$A6439="",0,IF(CONFIG_METADATA!$B$4&lt;&gt;"OR+EX",--(DATOS!$G6439=CONFIG_METADATA!$B$4),IF(DATOS!$G6439="EX",1,IF(DATOS!$G6439="OR",--(COUNTIFS(nNIA,DATOS!$A6439,nCURSO,DATOS!$D6439,nESPEC,DATOS!$E6439,nASIG,DATOS!$I6439,nEVAL,"EX")=0),0))))</f>
      </c>
      <c r="H6439">
        <f>IF(DATOS!$G6439&lt;&gt;"EX",0,--(COUNTIFS(nNIA,DATOS!$A6439,nCURSO,DATOS!$D6439,nESPEC,DATOS!$E6439,nASIG,DATOS!$I6439,nEVAL,"OR")=0))</f>
      </c>
      <c r="I6439">
        <f>IF(DATOS!$I6439="","",IFERROR(VLOOKUP(DATOS!$I6439,CONFIG_ASIGNATURAS!$B$2:$J$91,9,FALSE()),""))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IF(DATOS!$A6440="",0,IF(CONFIG_METADATA!$B$4&lt;&gt;"OR+EX",--(DATOS!$G6440=CONFIG_METADATA!$B$4),IF(DATOS!$G6440="EX",1,IF(DATOS!$G6440="OR",--(COUNTIFS(nNIA,DATOS!$A6440,nCURSO,DATOS!$D6440,nESPEC,DATOS!$E6440,nASIG,DATOS!$I6440,nEVAL,"EX")=0),0))))</f>
      </c>
      <c r="H6440">
        <f>IF(DATOS!$G6440&lt;&gt;"EX",0,--(COUNTIFS(nNIA,DATOS!$A6440,nCURSO,DATOS!$D6440,nESPEC,DATOS!$E6440,nASIG,DATOS!$I6440,nEVAL,"OR")=0))</f>
      </c>
      <c r="I6440">
        <f>IF(DATOS!$I6440="","",IFERROR(VLOOKUP(DATOS!$I6440,CONFIG_ASIGNATURAS!$B$2:$J$91,9,FALSE()),""))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IF(DATOS!$A6441="",0,IF(CONFIG_METADATA!$B$4&lt;&gt;"OR+EX",--(DATOS!$G6441=CONFIG_METADATA!$B$4),IF(DATOS!$G6441="EX",1,IF(DATOS!$G6441="OR",--(COUNTIFS(nNIA,DATOS!$A6441,nCURSO,DATOS!$D6441,nESPEC,DATOS!$E6441,nASIG,DATOS!$I6441,nEVAL,"EX")=0),0))))</f>
      </c>
      <c r="H6441">
        <f>IF(DATOS!$G6441&lt;&gt;"EX",0,--(COUNTIFS(nNIA,DATOS!$A6441,nCURSO,DATOS!$D6441,nESPEC,DATOS!$E6441,nASIG,DATOS!$I6441,nEVAL,"OR")=0))</f>
      </c>
      <c r="I6441">
        <f>IF(DATOS!$I6441="","",IFERROR(VLOOKUP(DATOS!$I6441,CONFIG_ASIGNATURAS!$B$2:$J$91,9,FALSE()),""))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IF(DATOS!$A6442="",0,IF(CONFIG_METADATA!$B$4&lt;&gt;"OR+EX",--(DATOS!$G6442=CONFIG_METADATA!$B$4),IF(DATOS!$G6442="EX",1,IF(DATOS!$G6442="OR",--(COUNTIFS(nNIA,DATOS!$A6442,nCURSO,DATOS!$D6442,nESPEC,DATOS!$E6442,nASIG,DATOS!$I6442,nEVAL,"EX")=0),0))))</f>
      </c>
      <c r="H6442">
        <f>IF(DATOS!$G6442&lt;&gt;"EX",0,--(COUNTIFS(nNIA,DATOS!$A6442,nCURSO,DATOS!$D6442,nESPEC,DATOS!$E6442,nASIG,DATOS!$I6442,nEVAL,"OR")=0))</f>
      </c>
      <c r="I6442">
        <f>IF(DATOS!$I6442="","",IFERROR(VLOOKUP(DATOS!$I6442,CONFIG_ASIGNATURAS!$B$2:$J$91,9,FALSE()),""))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IF(DATOS!$A6443="",0,IF(CONFIG_METADATA!$B$4&lt;&gt;"OR+EX",--(DATOS!$G6443=CONFIG_METADATA!$B$4),IF(DATOS!$G6443="EX",1,IF(DATOS!$G6443="OR",--(COUNTIFS(nNIA,DATOS!$A6443,nCURSO,DATOS!$D6443,nESPEC,DATOS!$E6443,nASIG,DATOS!$I6443,nEVAL,"EX")=0),0))))</f>
      </c>
      <c r="H6443">
        <f>IF(DATOS!$G6443&lt;&gt;"EX",0,--(COUNTIFS(nNIA,DATOS!$A6443,nCURSO,DATOS!$D6443,nESPEC,DATOS!$E6443,nASIG,DATOS!$I6443,nEVAL,"OR")=0))</f>
      </c>
      <c r="I6443">
        <f>IF(DATOS!$I6443="","",IFERROR(VLOOKUP(DATOS!$I6443,CONFIG_ASIGNATURAS!$B$2:$J$91,9,FALSE()),""))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IF(DATOS!$A6444="",0,IF(CONFIG_METADATA!$B$4&lt;&gt;"OR+EX",--(DATOS!$G6444=CONFIG_METADATA!$B$4),IF(DATOS!$G6444="EX",1,IF(DATOS!$G6444="OR",--(COUNTIFS(nNIA,DATOS!$A6444,nCURSO,DATOS!$D6444,nESPEC,DATOS!$E6444,nASIG,DATOS!$I6444,nEVAL,"EX")=0),0))))</f>
      </c>
      <c r="H6444">
        <f>IF(DATOS!$G6444&lt;&gt;"EX",0,--(COUNTIFS(nNIA,DATOS!$A6444,nCURSO,DATOS!$D6444,nESPEC,DATOS!$E6444,nASIG,DATOS!$I6444,nEVAL,"OR")=0))</f>
      </c>
      <c r="I6444">
        <f>IF(DATOS!$I6444="","",IFERROR(VLOOKUP(DATOS!$I6444,CONFIG_ASIGNATURAS!$B$2:$J$91,9,FALSE()),""))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IF(DATOS!$A6445="",0,IF(CONFIG_METADATA!$B$4&lt;&gt;"OR+EX",--(DATOS!$G6445=CONFIG_METADATA!$B$4),IF(DATOS!$G6445="EX",1,IF(DATOS!$G6445="OR",--(COUNTIFS(nNIA,DATOS!$A6445,nCURSO,DATOS!$D6445,nESPEC,DATOS!$E6445,nASIG,DATOS!$I6445,nEVAL,"EX")=0),0))))</f>
      </c>
      <c r="H6445">
        <f>IF(DATOS!$G6445&lt;&gt;"EX",0,--(COUNTIFS(nNIA,DATOS!$A6445,nCURSO,DATOS!$D6445,nESPEC,DATOS!$E6445,nASIG,DATOS!$I6445,nEVAL,"OR")=0))</f>
      </c>
      <c r="I6445">
        <f>IF(DATOS!$I6445="","",IFERROR(VLOOKUP(DATOS!$I6445,CONFIG_ASIGNATURAS!$B$2:$J$91,9,FALSE()),""))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IF(DATOS!$A6446="",0,IF(CONFIG_METADATA!$B$4&lt;&gt;"OR+EX",--(DATOS!$G6446=CONFIG_METADATA!$B$4),IF(DATOS!$G6446="EX",1,IF(DATOS!$G6446="OR",--(COUNTIFS(nNIA,DATOS!$A6446,nCURSO,DATOS!$D6446,nESPEC,DATOS!$E6446,nASIG,DATOS!$I6446,nEVAL,"EX")=0),0))))</f>
      </c>
      <c r="H6446">
        <f>IF(DATOS!$G6446&lt;&gt;"EX",0,--(COUNTIFS(nNIA,DATOS!$A6446,nCURSO,DATOS!$D6446,nESPEC,DATOS!$E6446,nASIG,DATOS!$I6446,nEVAL,"OR")=0))</f>
      </c>
      <c r="I6446">
        <f>IF(DATOS!$I6446="","",IFERROR(VLOOKUP(DATOS!$I6446,CONFIG_ASIGNATURAS!$B$2:$J$91,9,FALSE()),""))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IF(DATOS!$A6447="",0,IF(CONFIG_METADATA!$B$4&lt;&gt;"OR+EX",--(DATOS!$G6447=CONFIG_METADATA!$B$4),IF(DATOS!$G6447="EX",1,IF(DATOS!$G6447="OR",--(COUNTIFS(nNIA,DATOS!$A6447,nCURSO,DATOS!$D6447,nESPEC,DATOS!$E6447,nASIG,DATOS!$I6447,nEVAL,"EX")=0),0))))</f>
      </c>
      <c r="H6447">
        <f>IF(DATOS!$G6447&lt;&gt;"EX",0,--(COUNTIFS(nNIA,DATOS!$A6447,nCURSO,DATOS!$D6447,nESPEC,DATOS!$E6447,nASIG,DATOS!$I6447,nEVAL,"OR")=0))</f>
      </c>
      <c r="I6447">
        <f>IF(DATOS!$I6447="","",IFERROR(VLOOKUP(DATOS!$I6447,CONFIG_ASIGNATURAS!$B$2:$J$91,9,FALSE()),""))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IF(DATOS!$A6448="",0,IF(CONFIG_METADATA!$B$4&lt;&gt;"OR+EX",--(DATOS!$G6448=CONFIG_METADATA!$B$4),IF(DATOS!$G6448="EX",1,IF(DATOS!$G6448="OR",--(COUNTIFS(nNIA,DATOS!$A6448,nCURSO,DATOS!$D6448,nESPEC,DATOS!$E6448,nASIG,DATOS!$I6448,nEVAL,"EX")=0),0))))</f>
      </c>
      <c r="H6448">
        <f>IF(DATOS!$G6448&lt;&gt;"EX",0,--(COUNTIFS(nNIA,DATOS!$A6448,nCURSO,DATOS!$D6448,nESPEC,DATOS!$E6448,nASIG,DATOS!$I6448,nEVAL,"OR")=0))</f>
      </c>
      <c r="I6448">
        <f>IF(DATOS!$I6448="","",IFERROR(VLOOKUP(DATOS!$I6448,CONFIG_ASIGNATURAS!$B$2:$J$91,9,FALSE()),""))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IF(DATOS!$A6449="",0,IF(CONFIG_METADATA!$B$4&lt;&gt;"OR+EX",--(DATOS!$G6449=CONFIG_METADATA!$B$4),IF(DATOS!$G6449="EX",1,IF(DATOS!$G6449="OR",--(COUNTIFS(nNIA,DATOS!$A6449,nCURSO,DATOS!$D6449,nESPEC,DATOS!$E6449,nASIG,DATOS!$I6449,nEVAL,"EX")=0),0))))</f>
      </c>
      <c r="H6449">
        <f>IF(DATOS!$G6449&lt;&gt;"EX",0,--(COUNTIFS(nNIA,DATOS!$A6449,nCURSO,DATOS!$D6449,nESPEC,DATOS!$E6449,nASIG,DATOS!$I6449,nEVAL,"OR")=0))</f>
      </c>
      <c r="I6449">
        <f>IF(DATOS!$I6449="","",IFERROR(VLOOKUP(DATOS!$I6449,CONFIG_ASIGNATURAS!$B$2:$J$91,9,FALSE()),""))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IF(DATOS!$A6450="",0,IF(CONFIG_METADATA!$B$4&lt;&gt;"OR+EX",--(DATOS!$G6450=CONFIG_METADATA!$B$4),IF(DATOS!$G6450="EX",1,IF(DATOS!$G6450="OR",--(COUNTIFS(nNIA,DATOS!$A6450,nCURSO,DATOS!$D6450,nESPEC,DATOS!$E6450,nASIG,DATOS!$I6450,nEVAL,"EX")=0),0))))</f>
      </c>
      <c r="H6450">
        <f>IF(DATOS!$G6450&lt;&gt;"EX",0,--(COUNTIFS(nNIA,DATOS!$A6450,nCURSO,DATOS!$D6450,nESPEC,DATOS!$E6450,nASIG,DATOS!$I6450,nEVAL,"OR")=0))</f>
      </c>
      <c r="I6450">
        <f>IF(DATOS!$I6450="","",IFERROR(VLOOKUP(DATOS!$I6450,CONFIG_ASIGNATURAS!$B$2:$J$91,9,FALSE()),""))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IF(DATOS!$A6451="",0,IF(CONFIG_METADATA!$B$4&lt;&gt;"OR+EX",--(DATOS!$G6451=CONFIG_METADATA!$B$4),IF(DATOS!$G6451="EX",1,IF(DATOS!$G6451="OR",--(COUNTIFS(nNIA,DATOS!$A6451,nCURSO,DATOS!$D6451,nESPEC,DATOS!$E6451,nASIG,DATOS!$I6451,nEVAL,"EX")=0),0))))</f>
      </c>
      <c r="H6451">
        <f>IF(DATOS!$G6451&lt;&gt;"EX",0,--(COUNTIFS(nNIA,DATOS!$A6451,nCURSO,DATOS!$D6451,nESPEC,DATOS!$E6451,nASIG,DATOS!$I6451,nEVAL,"OR")=0))</f>
      </c>
      <c r="I6451">
        <f>IF(DATOS!$I6451="","",IFERROR(VLOOKUP(DATOS!$I6451,CONFIG_ASIGNATURAS!$B$2:$J$91,9,FALSE()),""))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IF(DATOS!$A6452="",0,IF(CONFIG_METADATA!$B$4&lt;&gt;"OR+EX",--(DATOS!$G6452=CONFIG_METADATA!$B$4),IF(DATOS!$G6452="EX",1,IF(DATOS!$G6452="OR",--(COUNTIFS(nNIA,DATOS!$A6452,nCURSO,DATOS!$D6452,nESPEC,DATOS!$E6452,nASIG,DATOS!$I6452,nEVAL,"EX")=0),0))))</f>
      </c>
      <c r="H6452">
        <f>IF(DATOS!$G6452&lt;&gt;"EX",0,--(COUNTIFS(nNIA,DATOS!$A6452,nCURSO,DATOS!$D6452,nESPEC,DATOS!$E6452,nASIG,DATOS!$I6452,nEVAL,"OR")=0))</f>
      </c>
      <c r="I6452">
        <f>IF(DATOS!$I6452="","",IFERROR(VLOOKUP(DATOS!$I6452,CONFIG_ASIGNATURAS!$B$2:$J$91,9,FALSE()),""))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IF(DATOS!$A6453="",0,IF(CONFIG_METADATA!$B$4&lt;&gt;"OR+EX",--(DATOS!$G6453=CONFIG_METADATA!$B$4),IF(DATOS!$G6453="EX",1,IF(DATOS!$G6453="OR",--(COUNTIFS(nNIA,DATOS!$A6453,nCURSO,DATOS!$D6453,nESPEC,DATOS!$E6453,nASIG,DATOS!$I6453,nEVAL,"EX")=0),0))))</f>
      </c>
      <c r="H6453">
        <f>IF(DATOS!$G6453&lt;&gt;"EX",0,--(COUNTIFS(nNIA,DATOS!$A6453,nCURSO,DATOS!$D6453,nESPEC,DATOS!$E6453,nASIG,DATOS!$I6453,nEVAL,"OR")=0))</f>
      </c>
      <c r="I6453">
        <f>IF(DATOS!$I6453="","",IFERROR(VLOOKUP(DATOS!$I6453,CONFIG_ASIGNATURAS!$B$2:$J$91,9,FALSE()),""))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IF(DATOS!$A6454="",0,IF(CONFIG_METADATA!$B$4&lt;&gt;"OR+EX",--(DATOS!$G6454=CONFIG_METADATA!$B$4),IF(DATOS!$G6454="EX",1,IF(DATOS!$G6454="OR",--(COUNTIFS(nNIA,DATOS!$A6454,nCURSO,DATOS!$D6454,nESPEC,DATOS!$E6454,nASIG,DATOS!$I6454,nEVAL,"EX")=0),0))))</f>
      </c>
      <c r="H6454">
        <f>IF(DATOS!$G6454&lt;&gt;"EX",0,--(COUNTIFS(nNIA,DATOS!$A6454,nCURSO,DATOS!$D6454,nESPEC,DATOS!$E6454,nASIG,DATOS!$I6454,nEVAL,"OR")=0))</f>
      </c>
      <c r="I6454">
        <f>IF(DATOS!$I6454="","",IFERROR(VLOOKUP(DATOS!$I6454,CONFIG_ASIGNATURAS!$B$2:$J$91,9,FALSE()),""))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IF(DATOS!$A6455="",0,IF(CONFIG_METADATA!$B$4&lt;&gt;"OR+EX",--(DATOS!$G6455=CONFIG_METADATA!$B$4),IF(DATOS!$G6455="EX",1,IF(DATOS!$G6455="OR",--(COUNTIFS(nNIA,DATOS!$A6455,nCURSO,DATOS!$D6455,nESPEC,DATOS!$E6455,nASIG,DATOS!$I6455,nEVAL,"EX")=0),0))))</f>
      </c>
      <c r="H6455">
        <f>IF(DATOS!$G6455&lt;&gt;"EX",0,--(COUNTIFS(nNIA,DATOS!$A6455,nCURSO,DATOS!$D6455,nESPEC,DATOS!$E6455,nASIG,DATOS!$I6455,nEVAL,"OR")=0))</f>
      </c>
      <c r="I6455">
        <f>IF(DATOS!$I6455="","",IFERROR(VLOOKUP(DATOS!$I6455,CONFIG_ASIGNATURAS!$B$2:$J$91,9,FALSE()),""))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IF(DATOS!$A6456="",0,IF(CONFIG_METADATA!$B$4&lt;&gt;"OR+EX",--(DATOS!$G6456=CONFIG_METADATA!$B$4),IF(DATOS!$G6456="EX",1,IF(DATOS!$G6456="OR",--(COUNTIFS(nNIA,DATOS!$A6456,nCURSO,DATOS!$D6456,nESPEC,DATOS!$E6456,nASIG,DATOS!$I6456,nEVAL,"EX")=0),0))))</f>
      </c>
      <c r="H6456">
        <f>IF(DATOS!$G6456&lt;&gt;"EX",0,--(COUNTIFS(nNIA,DATOS!$A6456,nCURSO,DATOS!$D6456,nESPEC,DATOS!$E6456,nASIG,DATOS!$I6456,nEVAL,"OR")=0))</f>
      </c>
      <c r="I6456">
        <f>IF(DATOS!$I6456="","",IFERROR(VLOOKUP(DATOS!$I6456,CONFIG_ASIGNATURAS!$B$2:$J$91,9,FALSE()),""))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IF(DATOS!$A6457="",0,IF(CONFIG_METADATA!$B$4&lt;&gt;"OR+EX",--(DATOS!$G6457=CONFIG_METADATA!$B$4),IF(DATOS!$G6457="EX",1,IF(DATOS!$G6457="OR",--(COUNTIFS(nNIA,DATOS!$A6457,nCURSO,DATOS!$D6457,nESPEC,DATOS!$E6457,nASIG,DATOS!$I6457,nEVAL,"EX")=0),0))))</f>
      </c>
      <c r="H6457">
        <f>IF(DATOS!$G6457&lt;&gt;"EX",0,--(COUNTIFS(nNIA,DATOS!$A6457,nCURSO,DATOS!$D6457,nESPEC,DATOS!$E6457,nASIG,DATOS!$I6457,nEVAL,"OR")=0))</f>
      </c>
      <c r="I6457">
        <f>IF(DATOS!$I6457="","",IFERROR(VLOOKUP(DATOS!$I6457,CONFIG_ASIGNATURAS!$B$2:$J$91,9,FALSE()),""))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IF(DATOS!$A6458="",0,IF(CONFIG_METADATA!$B$4&lt;&gt;"OR+EX",--(DATOS!$G6458=CONFIG_METADATA!$B$4),IF(DATOS!$G6458="EX",1,IF(DATOS!$G6458="OR",--(COUNTIFS(nNIA,DATOS!$A6458,nCURSO,DATOS!$D6458,nESPEC,DATOS!$E6458,nASIG,DATOS!$I6458,nEVAL,"EX")=0),0))))</f>
      </c>
      <c r="H6458">
        <f>IF(DATOS!$G6458&lt;&gt;"EX",0,--(COUNTIFS(nNIA,DATOS!$A6458,nCURSO,DATOS!$D6458,nESPEC,DATOS!$E6458,nASIG,DATOS!$I6458,nEVAL,"OR")=0))</f>
      </c>
      <c r="I6458">
        <f>IF(DATOS!$I6458="","",IFERROR(VLOOKUP(DATOS!$I6458,CONFIG_ASIGNATURAS!$B$2:$J$91,9,FALSE()),""))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IF(DATOS!$A6459="",0,IF(CONFIG_METADATA!$B$4&lt;&gt;"OR+EX",--(DATOS!$G6459=CONFIG_METADATA!$B$4),IF(DATOS!$G6459="EX",1,IF(DATOS!$G6459="OR",--(COUNTIFS(nNIA,DATOS!$A6459,nCURSO,DATOS!$D6459,nESPEC,DATOS!$E6459,nASIG,DATOS!$I6459,nEVAL,"EX")=0),0))))</f>
      </c>
      <c r="H6459">
        <f>IF(DATOS!$G6459&lt;&gt;"EX",0,--(COUNTIFS(nNIA,DATOS!$A6459,nCURSO,DATOS!$D6459,nESPEC,DATOS!$E6459,nASIG,DATOS!$I6459,nEVAL,"OR")=0))</f>
      </c>
      <c r="I6459">
        <f>IF(DATOS!$I6459="","",IFERROR(VLOOKUP(DATOS!$I6459,CONFIG_ASIGNATURAS!$B$2:$J$91,9,FALSE()),""))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IF(DATOS!$A6460="",0,IF(CONFIG_METADATA!$B$4&lt;&gt;"OR+EX",--(DATOS!$G6460=CONFIG_METADATA!$B$4),IF(DATOS!$G6460="EX",1,IF(DATOS!$G6460="OR",--(COUNTIFS(nNIA,DATOS!$A6460,nCURSO,DATOS!$D6460,nESPEC,DATOS!$E6460,nASIG,DATOS!$I6460,nEVAL,"EX")=0),0))))</f>
      </c>
      <c r="H6460">
        <f>IF(DATOS!$G6460&lt;&gt;"EX",0,--(COUNTIFS(nNIA,DATOS!$A6460,nCURSO,DATOS!$D6460,nESPEC,DATOS!$E6460,nASIG,DATOS!$I6460,nEVAL,"OR")=0))</f>
      </c>
      <c r="I6460">
        <f>IF(DATOS!$I6460="","",IFERROR(VLOOKUP(DATOS!$I6460,CONFIG_ASIGNATURAS!$B$2:$J$91,9,FALSE()),""))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IF(DATOS!$A6461="",0,IF(CONFIG_METADATA!$B$4&lt;&gt;"OR+EX",--(DATOS!$G6461=CONFIG_METADATA!$B$4),IF(DATOS!$G6461="EX",1,IF(DATOS!$G6461="OR",--(COUNTIFS(nNIA,DATOS!$A6461,nCURSO,DATOS!$D6461,nESPEC,DATOS!$E6461,nASIG,DATOS!$I6461,nEVAL,"EX")=0),0))))</f>
      </c>
      <c r="H6461">
        <f>IF(DATOS!$G6461&lt;&gt;"EX",0,--(COUNTIFS(nNIA,DATOS!$A6461,nCURSO,DATOS!$D6461,nESPEC,DATOS!$E6461,nASIG,DATOS!$I6461,nEVAL,"OR")=0))</f>
      </c>
      <c r="I6461">
        <f>IF(DATOS!$I6461="","",IFERROR(VLOOKUP(DATOS!$I6461,CONFIG_ASIGNATURAS!$B$2:$J$91,9,FALSE()),""))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IF(DATOS!$A6462="",0,IF(CONFIG_METADATA!$B$4&lt;&gt;"OR+EX",--(DATOS!$G6462=CONFIG_METADATA!$B$4),IF(DATOS!$G6462="EX",1,IF(DATOS!$G6462="OR",--(COUNTIFS(nNIA,DATOS!$A6462,nCURSO,DATOS!$D6462,nESPEC,DATOS!$E6462,nASIG,DATOS!$I6462,nEVAL,"EX")=0),0))))</f>
      </c>
      <c r="H6462">
        <f>IF(DATOS!$G6462&lt;&gt;"EX",0,--(COUNTIFS(nNIA,DATOS!$A6462,nCURSO,DATOS!$D6462,nESPEC,DATOS!$E6462,nASIG,DATOS!$I6462,nEVAL,"OR")=0))</f>
      </c>
      <c r="I6462">
        <f>IF(DATOS!$I6462="","",IFERROR(VLOOKUP(DATOS!$I6462,CONFIG_ASIGNATURAS!$B$2:$J$91,9,FALSE()),""))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IF(DATOS!$A6463="",0,IF(CONFIG_METADATA!$B$4&lt;&gt;"OR+EX",--(DATOS!$G6463=CONFIG_METADATA!$B$4),IF(DATOS!$G6463="EX",1,IF(DATOS!$G6463="OR",--(COUNTIFS(nNIA,DATOS!$A6463,nCURSO,DATOS!$D6463,nESPEC,DATOS!$E6463,nASIG,DATOS!$I6463,nEVAL,"EX")=0),0))))</f>
      </c>
      <c r="H6463">
        <f>IF(DATOS!$G6463&lt;&gt;"EX",0,--(COUNTIFS(nNIA,DATOS!$A6463,nCURSO,DATOS!$D6463,nESPEC,DATOS!$E6463,nASIG,DATOS!$I6463,nEVAL,"OR")=0))</f>
      </c>
      <c r="I6463">
        <f>IF(DATOS!$I6463="","",IFERROR(VLOOKUP(DATOS!$I6463,CONFIG_ASIGNATURAS!$B$2:$J$91,9,FALSE()),""))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IF(DATOS!$A6464="",0,IF(CONFIG_METADATA!$B$4&lt;&gt;"OR+EX",--(DATOS!$G6464=CONFIG_METADATA!$B$4),IF(DATOS!$G6464="EX",1,IF(DATOS!$G6464="OR",--(COUNTIFS(nNIA,DATOS!$A6464,nCURSO,DATOS!$D6464,nESPEC,DATOS!$E6464,nASIG,DATOS!$I6464,nEVAL,"EX")=0),0))))</f>
      </c>
      <c r="H6464">
        <f>IF(DATOS!$G6464&lt;&gt;"EX",0,--(COUNTIFS(nNIA,DATOS!$A6464,nCURSO,DATOS!$D6464,nESPEC,DATOS!$E6464,nASIG,DATOS!$I6464,nEVAL,"OR")=0))</f>
      </c>
      <c r="I6464">
        <f>IF(DATOS!$I6464="","",IFERROR(VLOOKUP(DATOS!$I6464,CONFIG_ASIGNATURAS!$B$2:$J$91,9,FALSE()),""))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IF(DATOS!$A6465="",0,IF(CONFIG_METADATA!$B$4&lt;&gt;"OR+EX",--(DATOS!$G6465=CONFIG_METADATA!$B$4),IF(DATOS!$G6465="EX",1,IF(DATOS!$G6465="OR",--(COUNTIFS(nNIA,DATOS!$A6465,nCURSO,DATOS!$D6465,nESPEC,DATOS!$E6465,nASIG,DATOS!$I6465,nEVAL,"EX")=0),0))))</f>
      </c>
      <c r="H6465">
        <f>IF(DATOS!$G6465&lt;&gt;"EX",0,--(COUNTIFS(nNIA,DATOS!$A6465,nCURSO,DATOS!$D6465,nESPEC,DATOS!$E6465,nASIG,DATOS!$I6465,nEVAL,"OR")=0))</f>
      </c>
      <c r="I6465">
        <f>IF(DATOS!$I6465="","",IFERROR(VLOOKUP(DATOS!$I6465,CONFIG_ASIGNATURAS!$B$2:$J$91,9,FALSE()),""))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IF(DATOS!$A6466="",0,IF(CONFIG_METADATA!$B$4&lt;&gt;"OR+EX",--(DATOS!$G6466=CONFIG_METADATA!$B$4),IF(DATOS!$G6466="EX",1,IF(DATOS!$G6466="OR",--(COUNTIFS(nNIA,DATOS!$A6466,nCURSO,DATOS!$D6466,nESPEC,DATOS!$E6466,nASIG,DATOS!$I6466,nEVAL,"EX")=0),0))))</f>
      </c>
      <c r="H6466">
        <f>IF(DATOS!$G6466&lt;&gt;"EX",0,--(COUNTIFS(nNIA,DATOS!$A6466,nCURSO,DATOS!$D6466,nESPEC,DATOS!$E6466,nASIG,DATOS!$I6466,nEVAL,"OR")=0))</f>
      </c>
      <c r="I6466">
        <f>IF(DATOS!$I6466="","",IFERROR(VLOOKUP(DATOS!$I6466,CONFIG_ASIGNATURAS!$B$2:$J$91,9,FALSE()),""))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IF(DATOS!$A6467="",0,IF(CONFIG_METADATA!$B$4&lt;&gt;"OR+EX",--(DATOS!$G6467=CONFIG_METADATA!$B$4),IF(DATOS!$G6467="EX",1,IF(DATOS!$G6467="OR",--(COUNTIFS(nNIA,DATOS!$A6467,nCURSO,DATOS!$D6467,nESPEC,DATOS!$E6467,nASIG,DATOS!$I6467,nEVAL,"EX")=0),0))))</f>
      </c>
      <c r="H6467">
        <f>IF(DATOS!$G6467&lt;&gt;"EX",0,--(COUNTIFS(nNIA,DATOS!$A6467,nCURSO,DATOS!$D6467,nESPEC,DATOS!$E6467,nASIG,DATOS!$I6467,nEVAL,"OR")=0))</f>
      </c>
      <c r="I6467">
        <f>IF(DATOS!$I6467="","",IFERROR(VLOOKUP(DATOS!$I6467,CONFIG_ASIGNATURAS!$B$2:$J$91,9,FALSE()),""))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IF(DATOS!$A6468="",0,IF(CONFIG_METADATA!$B$4&lt;&gt;"OR+EX",--(DATOS!$G6468=CONFIG_METADATA!$B$4),IF(DATOS!$G6468="EX",1,IF(DATOS!$G6468="OR",--(COUNTIFS(nNIA,DATOS!$A6468,nCURSO,DATOS!$D6468,nESPEC,DATOS!$E6468,nASIG,DATOS!$I6468,nEVAL,"EX")=0),0))))</f>
      </c>
      <c r="H6468">
        <f>IF(DATOS!$G6468&lt;&gt;"EX",0,--(COUNTIFS(nNIA,DATOS!$A6468,nCURSO,DATOS!$D6468,nESPEC,DATOS!$E6468,nASIG,DATOS!$I6468,nEVAL,"OR")=0))</f>
      </c>
      <c r="I6468">
        <f>IF(DATOS!$I6468="","",IFERROR(VLOOKUP(DATOS!$I6468,CONFIG_ASIGNATURAS!$B$2:$J$91,9,FALSE()),""))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IF(DATOS!$A6469="",0,IF(CONFIG_METADATA!$B$4&lt;&gt;"OR+EX",--(DATOS!$G6469=CONFIG_METADATA!$B$4),IF(DATOS!$G6469="EX",1,IF(DATOS!$G6469="OR",--(COUNTIFS(nNIA,DATOS!$A6469,nCURSO,DATOS!$D6469,nESPEC,DATOS!$E6469,nASIG,DATOS!$I6469,nEVAL,"EX")=0),0))))</f>
      </c>
      <c r="H6469">
        <f>IF(DATOS!$G6469&lt;&gt;"EX",0,--(COUNTIFS(nNIA,DATOS!$A6469,nCURSO,DATOS!$D6469,nESPEC,DATOS!$E6469,nASIG,DATOS!$I6469,nEVAL,"OR")=0))</f>
      </c>
      <c r="I6469">
        <f>IF(DATOS!$I6469="","",IFERROR(VLOOKUP(DATOS!$I6469,CONFIG_ASIGNATURAS!$B$2:$J$91,9,FALSE()),""))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IF(DATOS!$A6470="",0,IF(CONFIG_METADATA!$B$4&lt;&gt;"OR+EX",--(DATOS!$G6470=CONFIG_METADATA!$B$4),IF(DATOS!$G6470="EX",1,IF(DATOS!$G6470="OR",--(COUNTIFS(nNIA,DATOS!$A6470,nCURSO,DATOS!$D6470,nESPEC,DATOS!$E6470,nASIG,DATOS!$I6470,nEVAL,"EX")=0),0))))</f>
      </c>
      <c r="H6470">
        <f>IF(DATOS!$G6470&lt;&gt;"EX",0,--(COUNTIFS(nNIA,DATOS!$A6470,nCURSO,DATOS!$D6470,nESPEC,DATOS!$E6470,nASIG,DATOS!$I6470,nEVAL,"OR")=0))</f>
      </c>
      <c r="I6470">
        <f>IF(DATOS!$I6470="","",IFERROR(VLOOKUP(DATOS!$I6470,CONFIG_ASIGNATURAS!$B$2:$J$91,9,FALSE()),""))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IF(DATOS!$A6471="",0,IF(CONFIG_METADATA!$B$4&lt;&gt;"OR+EX",--(DATOS!$G6471=CONFIG_METADATA!$B$4),IF(DATOS!$G6471="EX",1,IF(DATOS!$G6471="OR",--(COUNTIFS(nNIA,DATOS!$A6471,nCURSO,DATOS!$D6471,nESPEC,DATOS!$E6471,nASIG,DATOS!$I6471,nEVAL,"EX")=0),0))))</f>
      </c>
      <c r="H6471">
        <f>IF(DATOS!$G6471&lt;&gt;"EX",0,--(COUNTIFS(nNIA,DATOS!$A6471,nCURSO,DATOS!$D6471,nESPEC,DATOS!$E6471,nASIG,DATOS!$I6471,nEVAL,"OR")=0))</f>
      </c>
      <c r="I6471">
        <f>IF(DATOS!$I6471="","",IFERROR(VLOOKUP(DATOS!$I6471,CONFIG_ASIGNATURAS!$B$2:$J$91,9,FALSE()),""))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IF(DATOS!$A6472="",0,IF(CONFIG_METADATA!$B$4&lt;&gt;"OR+EX",--(DATOS!$G6472=CONFIG_METADATA!$B$4),IF(DATOS!$G6472="EX",1,IF(DATOS!$G6472="OR",--(COUNTIFS(nNIA,DATOS!$A6472,nCURSO,DATOS!$D6472,nESPEC,DATOS!$E6472,nASIG,DATOS!$I6472,nEVAL,"EX")=0),0))))</f>
      </c>
      <c r="H6472">
        <f>IF(DATOS!$G6472&lt;&gt;"EX",0,--(COUNTIFS(nNIA,DATOS!$A6472,nCURSO,DATOS!$D6472,nESPEC,DATOS!$E6472,nASIG,DATOS!$I6472,nEVAL,"OR")=0))</f>
      </c>
      <c r="I6472">
        <f>IF(DATOS!$I6472="","",IFERROR(VLOOKUP(DATOS!$I6472,CONFIG_ASIGNATURAS!$B$2:$J$91,9,FALSE()),""))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IF(DATOS!$A6473="",0,IF(CONFIG_METADATA!$B$4&lt;&gt;"OR+EX",--(DATOS!$G6473=CONFIG_METADATA!$B$4),IF(DATOS!$G6473="EX",1,IF(DATOS!$G6473="OR",--(COUNTIFS(nNIA,DATOS!$A6473,nCURSO,DATOS!$D6473,nESPEC,DATOS!$E6473,nASIG,DATOS!$I6473,nEVAL,"EX")=0),0))))</f>
      </c>
      <c r="H6473">
        <f>IF(DATOS!$G6473&lt;&gt;"EX",0,--(COUNTIFS(nNIA,DATOS!$A6473,nCURSO,DATOS!$D6473,nESPEC,DATOS!$E6473,nASIG,DATOS!$I6473,nEVAL,"OR")=0))</f>
      </c>
      <c r="I6473">
        <f>IF(DATOS!$I6473="","",IFERROR(VLOOKUP(DATOS!$I6473,CONFIG_ASIGNATURAS!$B$2:$J$91,9,FALSE()),""))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IF(DATOS!$A6474="",0,IF(CONFIG_METADATA!$B$4&lt;&gt;"OR+EX",--(DATOS!$G6474=CONFIG_METADATA!$B$4),IF(DATOS!$G6474="EX",1,IF(DATOS!$G6474="OR",--(COUNTIFS(nNIA,DATOS!$A6474,nCURSO,DATOS!$D6474,nESPEC,DATOS!$E6474,nASIG,DATOS!$I6474,nEVAL,"EX")=0),0))))</f>
      </c>
      <c r="H6474">
        <f>IF(DATOS!$G6474&lt;&gt;"EX",0,--(COUNTIFS(nNIA,DATOS!$A6474,nCURSO,DATOS!$D6474,nESPEC,DATOS!$E6474,nASIG,DATOS!$I6474,nEVAL,"OR")=0))</f>
      </c>
      <c r="I6474">
        <f>IF(DATOS!$I6474="","",IFERROR(VLOOKUP(DATOS!$I6474,CONFIG_ASIGNATURAS!$B$2:$J$91,9,FALSE()),""))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IF(DATOS!$A6475="",0,IF(CONFIG_METADATA!$B$4&lt;&gt;"OR+EX",--(DATOS!$G6475=CONFIG_METADATA!$B$4),IF(DATOS!$G6475="EX",1,IF(DATOS!$G6475="OR",--(COUNTIFS(nNIA,DATOS!$A6475,nCURSO,DATOS!$D6475,nESPEC,DATOS!$E6475,nASIG,DATOS!$I6475,nEVAL,"EX")=0),0))))</f>
      </c>
      <c r="H6475">
        <f>IF(DATOS!$G6475&lt;&gt;"EX",0,--(COUNTIFS(nNIA,DATOS!$A6475,nCURSO,DATOS!$D6475,nESPEC,DATOS!$E6475,nASIG,DATOS!$I6475,nEVAL,"OR")=0))</f>
      </c>
      <c r="I6475">
        <f>IF(DATOS!$I6475="","",IFERROR(VLOOKUP(DATOS!$I6475,CONFIG_ASIGNATURAS!$B$2:$J$91,9,FALSE()),""))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IF(DATOS!$A6476="",0,IF(CONFIG_METADATA!$B$4&lt;&gt;"OR+EX",--(DATOS!$G6476=CONFIG_METADATA!$B$4),IF(DATOS!$G6476="EX",1,IF(DATOS!$G6476="OR",--(COUNTIFS(nNIA,DATOS!$A6476,nCURSO,DATOS!$D6476,nESPEC,DATOS!$E6476,nASIG,DATOS!$I6476,nEVAL,"EX")=0),0))))</f>
      </c>
      <c r="H6476">
        <f>IF(DATOS!$G6476&lt;&gt;"EX",0,--(COUNTIFS(nNIA,DATOS!$A6476,nCURSO,DATOS!$D6476,nESPEC,DATOS!$E6476,nASIG,DATOS!$I6476,nEVAL,"OR")=0))</f>
      </c>
      <c r="I6476">
        <f>IF(DATOS!$I6476="","",IFERROR(VLOOKUP(DATOS!$I6476,CONFIG_ASIGNATURAS!$B$2:$J$91,9,FALSE()),""))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IF(DATOS!$A6477="",0,IF(CONFIG_METADATA!$B$4&lt;&gt;"OR+EX",--(DATOS!$G6477=CONFIG_METADATA!$B$4),IF(DATOS!$G6477="EX",1,IF(DATOS!$G6477="OR",--(COUNTIFS(nNIA,DATOS!$A6477,nCURSO,DATOS!$D6477,nESPEC,DATOS!$E6477,nASIG,DATOS!$I6477,nEVAL,"EX")=0),0))))</f>
      </c>
      <c r="H6477">
        <f>IF(DATOS!$G6477&lt;&gt;"EX",0,--(COUNTIFS(nNIA,DATOS!$A6477,nCURSO,DATOS!$D6477,nESPEC,DATOS!$E6477,nASIG,DATOS!$I6477,nEVAL,"OR")=0))</f>
      </c>
      <c r="I6477">
        <f>IF(DATOS!$I6477="","",IFERROR(VLOOKUP(DATOS!$I6477,CONFIG_ASIGNATURAS!$B$2:$J$91,9,FALSE()),""))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IF(DATOS!$A6478="",0,IF(CONFIG_METADATA!$B$4&lt;&gt;"OR+EX",--(DATOS!$G6478=CONFIG_METADATA!$B$4),IF(DATOS!$G6478="EX",1,IF(DATOS!$G6478="OR",--(COUNTIFS(nNIA,DATOS!$A6478,nCURSO,DATOS!$D6478,nESPEC,DATOS!$E6478,nASIG,DATOS!$I6478,nEVAL,"EX")=0),0))))</f>
      </c>
      <c r="H6478">
        <f>IF(DATOS!$G6478&lt;&gt;"EX",0,--(COUNTIFS(nNIA,DATOS!$A6478,nCURSO,DATOS!$D6478,nESPEC,DATOS!$E6478,nASIG,DATOS!$I6478,nEVAL,"OR")=0))</f>
      </c>
      <c r="I6478">
        <f>IF(DATOS!$I6478="","",IFERROR(VLOOKUP(DATOS!$I6478,CONFIG_ASIGNATURAS!$B$2:$J$91,9,FALSE()),""))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IF(DATOS!$A6479="",0,IF(CONFIG_METADATA!$B$4&lt;&gt;"OR+EX",--(DATOS!$G6479=CONFIG_METADATA!$B$4),IF(DATOS!$G6479="EX",1,IF(DATOS!$G6479="OR",--(COUNTIFS(nNIA,DATOS!$A6479,nCURSO,DATOS!$D6479,nESPEC,DATOS!$E6479,nASIG,DATOS!$I6479,nEVAL,"EX")=0),0))))</f>
      </c>
      <c r="H6479">
        <f>IF(DATOS!$G6479&lt;&gt;"EX",0,--(COUNTIFS(nNIA,DATOS!$A6479,nCURSO,DATOS!$D6479,nESPEC,DATOS!$E6479,nASIG,DATOS!$I6479,nEVAL,"OR")=0))</f>
      </c>
      <c r="I6479">
        <f>IF(DATOS!$I6479="","",IFERROR(VLOOKUP(DATOS!$I6479,CONFIG_ASIGNATURAS!$B$2:$J$91,9,FALSE()),""))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IF(DATOS!$A6480="",0,IF(CONFIG_METADATA!$B$4&lt;&gt;"OR+EX",--(DATOS!$G6480=CONFIG_METADATA!$B$4),IF(DATOS!$G6480="EX",1,IF(DATOS!$G6480="OR",--(COUNTIFS(nNIA,DATOS!$A6480,nCURSO,DATOS!$D6480,nESPEC,DATOS!$E6480,nASIG,DATOS!$I6480,nEVAL,"EX")=0),0))))</f>
      </c>
      <c r="H6480">
        <f>IF(DATOS!$G6480&lt;&gt;"EX",0,--(COUNTIFS(nNIA,DATOS!$A6480,nCURSO,DATOS!$D6480,nESPEC,DATOS!$E6480,nASIG,DATOS!$I6480,nEVAL,"OR")=0))</f>
      </c>
      <c r="I6480">
        <f>IF(DATOS!$I6480="","",IFERROR(VLOOKUP(DATOS!$I6480,CONFIG_ASIGNATURAS!$B$2:$J$91,9,FALSE()),""))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IF(DATOS!$A6481="",0,IF(CONFIG_METADATA!$B$4&lt;&gt;"OR+EX",--(DATOS!$G6481=CONFIG_METADATA!$B$4),IF(DATOS!$G6481="EX",1,IF(DATOS!$G6481="OR",--(COUNTIFS(nNIA,DATOS!$A6481,nCURSO,DATOS!$D6481,nESPEC,DATOS!$E6481,nASIG,DATOS!$I6481,nEVAL,"EX")=0),0))))</f>
      </c>
      <c r="H6481">
        <f>IF(DATOS!$G6481&lt;&gt;"EX",0,--(COUNTIFS(nNIA,DATOS!$A6481,nCURSO,DATOS!$D6481,nESPEC,DATOS!$E6481,nASIG,DATOS!$I6481,nEVAL,"OR")=0))</f>
      </c>
      <c r="I6481">
        <f>IF(DATOS!$I6481="","",IFERROR(VLOOKUP(DATOS!$I6481,CONFIG_ASIGNATURAS!$B$2:$J$91,9,FALSE()),""))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IF(DATOS!$A6482="",0,IF(CONFIG_METADATA!$B$4&lt;&gt;"OR+EX",--(DATOS!$G6482=CONFIG_METADATA!$B$4),IF(DATOS!$G6482="EX",1,IF(DATOS!$G6482="OR",--(COUNTIFS(nNIA,DATOS!$A6482,nCURSO,DATOS!$D6482,nESPEC,DATOS!$E6482,nASIG,DATOS!$I6482,nEVAL,"EX")=0),0))))</f>
      </c>
      <c r="H6482">
        <f>IF(DATOS!$G6482&lt;&gt;"EX",0,--(COUNTIFS(nNIA,DATOS!$A6482,nCURSO,DATOS!$D6482,nESPEC,DATOS!$E6482,nASIG,DATOS!$I6482,nEVAL,"OR")=0))</f>
      </c>
      <c r="I6482">
        <f>IF(DATOS!$I6482="","",IFERROR(VLOOKUP(DATOS!$I6482,CONFIG_ASIGNATURAS!$B$2:$J$91,9,FALSE()),""))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IF(DATOS!$A6483="",0,IF(CONFIG_METADATA!$B$4&lt;&gt;"OR+EX",--(DATOS!$G6483=CONFIG_METADATA!$B$4),IF(DATOS!$G6483="EX",1,IF(DATOS!$G6483="OR",--(COUNTIFS(nNIA,DATOS!$A6483,nCURSO,DATOS!$D6483,nESPEC,DATOS!$E6483,nASIG,DATOS!$I6483,nEVAL,"EX")=0),0))))</f>
      </c>
      <c r="H6483">
        <f>IF(DATOS!$G6483&lt;&gt;"EX",0,--(COUNTIFS(nNIA,DATOS!$A6483,nCURSO,DATOS!$D6483,nESPEC,DATOS!$E6483,nASIG,DATOS!$I6483,nEVAL,"OR")=0))</f>
      </c>
      <c r="I6483">
        <f>IF(DATOS!$I6483="","",IFERROR(VLOOKUP(DATOS!$I6483,CONFIG_ASIGNATURAS!$B$2:$J$91,9,FALSE()),""))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IF(DATOS!$A6484="",0,IF(CONFIG_METADATA!$B$4&lt;&gt;"OR+EX",--(DATOS!$G6484=CONFIG_METADATA!$B$4),IF(DATOS!$G6484="EX",1,IF(DATOS!$G6484="OR",--(COUNTIFS(nNIA,DATOS!$A6484,nCURSO,DATOS!$D6484,nESPEC,DATOS!$E6484,nASIG,DATOS!$I6484,nEVAL,"EX")=0),0))))</f>
      </c>
      <c r="H6484">
        <f>IF(DATOS!$G6484&lt;&gt;"EX",0,--(COUNTIFS(nNIA,DATOS!$A6484,nCURSO,DATOS!$D6484,nESPEC,DATOS!$E6484,nASIG,DATOS!$I6484,nEVAL,"OR")=0))</f>
      </c>
      <c r="I6484">
        <f>IF(DATOS!$I6484="","",IFERROR(VLOOKUP(DATOS!$I6484,CONFIG_ASIGNATURAS!$B$2:$J$91,9,FALSE()),""))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IF(DATOS!$A6485="",0,IF(CONFIG_METADATA!$B$4&lt;&gt;"OR+EX",--(DATOS!$G6485=CONFIG_METADATA!$B$4),IF(DATOS!$G6485="EX",1,IF(DATOS!$G6485="OR",--(COUNTIFS(nNIA,DATOS!$A6485,nCURSO,DATOS!$D6485,nESPEC,DATOS!$E6485,nASIG,DATOS!$I6485,nEVAL,"EX")=0),0))))</f>
      </c>
      <c r="H6485">
        <f>IF(DATOS!$G6485&lt;&gt;"EX",0,--(COUNTIFS(nNIA,DATOS!$A6485,nCURSO,DATOS!$D6485,nESPEC,DATOS!$E6485,nASIG,DATOS!$I6485,nEVAL,"OR")=0))</f>
      </c>
      <c r="I6485">
        <f>IF(DATOS!$I6485="","",IFERROR(VLOOKUP(DATOS!$I6485,CONFIG_ASIGNATURAS!$B$2:$J$91,9,FALSE()),""))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IF(DATOS!$A6486="",0,IF(CONFIG_METADATA!$B$4&lt;&gt;"OR+EX",--(DATOS!$G6486=CONFIG_METADATA!$B$4),IF(DATOS!$G6486="EX",1,IF(DATOS!$G6486="OR",--(COUNTIFS(nNIA,DATOS!$A6486,nCURSO,DATOS!$D6486,nESPEC,DATOS!$E6486,nASIG,DATOS!$I6486,nEVAL,"EX")=0),0))))</f>
      </c>
      <c r="H6486">
        <f>IF(DATOS!$G6486&lt;&gt;"EX",0,--(COUNTIFS(nNIA,DATOS!$A6486,nCURSO,DATOS!$D6486,nESPEC,DATOS!$E6486,nASIG,DATOS!$I6486,nEVAL,"OR")=0))</f>
      </c>
      <c r="I6486">
        <f>IF(DATOS!$I6486="","",IFERROR(VLOOKUP(DATOS!$I6486,CONFIG_ASIGNATURAS!$B$2:$J$91,9,FALSE()),""))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IF(DATOS!$A6487="",0,IF(CONFIG_METADATA!$B$4&lt;&gt;"OR+EX",--(DATOS!$G6487=CONFIG_METADATA!$B$4),IF(DATOS!$G6487="EX",1,IF(DATOS!$G6487="OR",--(COUNTIFS(nNIA,DATOS!$A6487,nCURSO,DATOS!$D6487,nESPEC,DATOS!$E6487,nASIG,DATOS!$I6487,nEVAL,"EX")=0),0))))</f>
      </c>
      <c r="H6487">
        <f>IF(DATOS!$G6487&lt;&gt;"EX",0,--(COUNTIFS(nNIA,DATOS!$A6487,nCURSO,DATOS!$D6487,nESPEC,DATOS!$E6487,nASIG,DATOS!$I6487,nEVAL,"OR")=0))</f>
      </c>
      <c r="I6487">
        <f>IF(DATOS!$I6487="","",IFERROR(VLOOKUP(DATOS!$I6487,CONFIG_ASIGNATURAS!$B$2:$J$91,9,FALSE()),""))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IF(DATOS!$A6488="",0,IF(CONFIG_METADATA!$B$4&lt;&gt;"OR+EX",--(DATOS!$G6488=CONFIG_METADATA!$B$4),IF(DATOS!$G6488="EX",1,IF(DATOS!$G6488="OR",--(COUNTIFS(nNIA,DATOS!$A6488,nCURSO,DATOS!$D6488,nESPEC,DATOS!$E6488,nASIG,DATOS!$I6488,nEVAL,"EX")=0),0))))</f>
      </c>
      <c r="H6488">
        <f>IF(DATOS!$G6488&lt;&gt;"EX",0,--(COUNTIFS(nNIA,DATOS!$A6488,nCURSO,DATOS!$D6488,nESPEC,DATOS!$E6488,nASIG,DATOS!$I6488,nEVAL,"OR")=0))</f>
      </c>
      <c r="I6488">
        <f>IF(DATOS!$I6488="","",IFERROR(VLOOKUP(DATOS!$I6488,CONFIG_ASIGNATURAS!$B$2:$J$91,9,FALSE()),""))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IF(DATOS!$A6489="",0,IF(CONFIG_METADATA!$B$4&lt;&gt;"OR+EX",--(DATOS!$G6489=CONFIG_METADATA!$B$4),IF(DATOS!$G6489="EX",1,IF(DATOS!$G6489="OR",--(COUNTIFS(nNIA,DATOS!$A6489,nCURSO,DATOS!$D6489,nESPEC,DATOS!$E6489,nASIG,DATOS!$I6489,nEVAL,"EX")=0),0))))</f>
      </c>
      <c r="H6489">
        <f>IF(DATOS!$G6489&lt;&gt;"EX",0,--(COUNTIFS(nNIA,DATOS!$A6489,nCURSO,DATOS!$D6489,nESPEC,DATOS!$E6489,nASIG,DATOS!$I6489,nEVAL,"OR")=0))</f>
      </c>
      <c r="I6489">
        <f>IF(DATOS!$I6489="","",IFERROR(VLOOKUP(DATOS!$I6489,CONFIG_ASIGNATURAS!$B$2:$J$91,9,FALSE()),""))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IF(DATOS!$A6490="",0,IF(CONFIG_METADATA!$B$4&lt;&gt;"OR+EX",--(DATOS!$G6490=CONFIG_METADATA!$B$4),IF(DATOS!$G6490="EX",1,IF(DATOS!$G6490="OR",--(COUNTIFS(nNIA,DATOS!$A6490,nCURSO,DATOS!$D6490,nESPEC,DATOS!$E6490,nASIG,DATOS!$I6490,nEVAL,"EX")=0),0))))</f>
      </c>
      <c r="H6490">
        <f>IF(DATOS!$G6490&lt;&gt;"EX",0,--(COUNTIFS(nNIA,DATOS!$A6490,nCURSO,DATOS!$D6490,nESPEC,DATOS!$E6490,nASIG,DATOS!$I6490,nEVAL,"OR")=0))</f>
      </c>
      <c r="I6490">
        <f>IF(DATOS!$I6490="","",IFERROR(VLOOKUP(DATOS!$I6490,CONFIG_ASIGNATURAS!$B$2:$J$91,9,FALSE()),""))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IF(DATOS!$A6491="",0,IF(CONFIG_METADATA!$B$4&lt;&gt;"OR+EX",--(DATOS!$G6491=CONFIG_METADATA!$B$4),IF(DATOS!$G6491="EX",1,IF(DATOS!$G6491="OR",--(COUNTIFS(nNIA,DATOS!$A6491,nCURSO,DATOS!$D6491,nESPEC,DATOS!$E6491,nASIG,DATOS!$I6491,nEVAL,"EX")=0),0))))</f>
      </c>
      <c r="H6491">
        <f>IF(DATOS!$G6491&lt;&gt;"EX",0,--(COUNTIFS(nNIA,DATOS!$A6491,nCURSO,DATOS!$D6491,nESPEC,DATOS!$E6491,nASIG,DATOS!$I6491,nEVAL,"OR")=0))</f>
      </c>
      <c r="I6491">
        <f>IF(DATOS!$I6491="","",IFERROR(VLOOKUP(DATOS!$I6491,CONFIG_ASIGNATURAS!$B$2:$J$91,9,FALSE()),""))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IF(DATOS!$A6492="",0,IF(CONFIG_METADATA!$B$4&lt;&gt;"OR+EX",--(DATOS!$G6492=CONFIG_METADATA!$B$4),IF(DATOS!$G6492="EX",1,IF(DATOS!$G6492="OR",--(COUNTIFS(nNIA,DATOS!$A6492,nCURSO,DATOS!$D6492,nESPEC,DATOS!$E6492,nASIG,DATOS!$I6492,nEVAL,"EX")=0),0))))</f>
      </c>
      <c r="H6492">
        <f>IF(DATOS!$G6492&lt;&gt;"EX",0,--(COUNTIFS(nNIA,DATOS!$A6492,nCURSO,DATOS!$D6492,nESPEC,DATOS!$E6492,nASIG,DATOS!$I6492,nEVAL,"OR")=0))</f>
      </c>
      <c r="I6492">
        <f>IF(DATOS!$I6492="","",IFERROR(VLOOKUP(DATOS!$I6492,CONFIG_ASIGNATURAS!$B$2:$J$91,9,FALSE()),""))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IF(DATOS!$A6493="",0,IF(CONFIG_METADATA!$B$4&lt;&gt;"OR+EX",--(DATOS!$G6493=CONFIG_METADATA!$B$4),IF(DATOS!$G6493="EX",1,IF(DATOS!$G6493="OR",--(COUNTIFS(nNIA,DATOS!$A6493,nCURSO,DATOS!$D6493,nESPEC,DATOS!$E6493,nASIG,DATOS!$I6493,nEVAL,"EX")=0),0))))</f>
      </c>
      <c r="H6493">
        <f>IF(DATOS!$G6493&lt;&gt;"EX",0,--(COUNTIFS(nNIA,DATOS!$A6493,nCURSO,DATOS!$D6493,nESPEC,DATOS!$E6493,nASIG,DATOS!$I6493,nEVAL,"OR")=0))</f>
      </c>
      <c r="I6493">
        <f>IF(DATOS!$I6493="","",IFERROR(VLOOKUP(DATOS!$I6493,CONFIG_ASIGNATURAS!$B$2:$J$91,9,FALSE()),""))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IF(DATOS!$A6494="",0,IF(CONFIG_METADATA!$B$4&lt;&gt;"OR+EX",--(DATOS!$G6494=CONFIG_METADATA!$B$4),IF(DATOS!$G6494="EX",1,IF(DATOS!$G6494="OR",--(COUNTIFS(nNIA,DATOS!$A6494,nCURSO,DATOS!$D6494,nESPEC,DATOS!$E6494,nASIG,DATOS!$I6494,nEVAL,"EX")=0),0))))</f>
      </c>
      <c r="H6494">
        <f>IF(DATOS!$G6494&lt;&gt;"EX",0,--(COUNTIFS(nNIA,DATOS!$A6494,nCURSO,DATOS!$D6494,nESPEC,DATOS!$E6494,nASIG,DATOS!$I6494,nEVAL,"OR")=0))</f>
      </c>
      <c r="I6494">
        <f>IF(DATOS!$I6494="","",IFERROR(VLOOKUP(DATOS!$I6494,CONFIG_ASIGNATURAS!$B$2:$J$91,9,FALSE()),""))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IF(DATOS!$A6495="",0,IF(CONFIG_METADATA!$B$4&lt;&gt;"OR+EX",--(DATOS!$G6495=CONFIG_METADATA!$B$4),IF(DATOS!$G6495="EX",1,IF(DATOS!$G6495="OR",--(COUNTIFS(nNIA,DATOS!$A6495,nCURSO,DATOS!$D6495,nESPEC,DATOS!$E6495,nASIG,DATOS!$I6495,nEVAL,"EX")=0),0))))</f>
      </c>
      <c r="H6495">
        <f>IF(DATOS!$G6495&lt;&gt;"EX",0,--(COUNTIFS(nNIA,DATOS!$A6495,nCURSO,DATOS!$D6495,nESPEC,DATOS!$E6495,nASIG,DATOS!$I6495,nEVAL,"OR")=0))</f>
      </c>
      <c r="I6495">
        <f>IF(DATOS!$I6495="","",IFERROR(VLOOKUP(DATOS!$I6495,CONFIG_ASIGNATURAS!$B$2:$J$91,9,FALSE()),""))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IF(DATOS!$A6496="",0,IF(CONFIG_METADATA!$B$4&lt;&gt;"OR+EX",--(DATOS!$G6496=CONFIG_METADATA!$B$4),IF(DATOS!$G6496="EX",1,IF(DATOS!$G6496="OR",--(COUNTIFS(nNIA,DATOS!$A6496,nCURSO,DATOS!$D6496,nESPEC,DATOS!$E6496,nASIG,DATOS!$I6496,nEVAL,"EX")=0),0))))</f>
      </c>
      <c r="H6496">
        <f>IF(DATOS!$G6496&lt;&gt;"EX",0,--(COUNTIFS(nNIA,DATOS!$A6496,nCURSO,DATOS!$D6496,nESPEC,DATOS!$E6496,nASIG,DATOS!$I6496,nEVAL,"OR")=0))</f>
      </c>
      <c r="I6496">
        <f>IF(DATOS!$I6496="","",IFERROR(VLOOKUP(DATOS!$I6496,CONFIG_ASIGNATURAS!$B$2:$J$91,9,FALSE()),""))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IF(DATOS!$A6497="",0,IF(CONFIG_METADATA!$B$4&lt;&gt;"OR+EX",--(DATOS!$G6497=CONFIG_METADATA!$B$4),IF(DATOS!$G6497="EX",1,IF(DATOS!$G6497="OR",--(COUNTIFS(nNIA,DATOS!$A6497,nCURSO,DATOS!$D6497,nESPEC,DATOS!$E6497,nASIG,DATOS!$I6497,nEVAL,"EX")=0),0))))</f>
      </c>
      <c r="H6497">
        <f>IF(DATOS!$G6497&lt;&gt;"EX",0,--(COUNTIFS(nNIA,DATOS!$A6497,nCURSO,DATOS!$D6497,nESPEC,DATOS!$E6497,nASIG,DATOS!$I6497,nEVAL,"OR")=0))</f>
      </c>
      <c r="I6497">
        <f>IF(DATOS!$I6497="","",IFERROR(VLOOKUP(DATOS!$I6497,CONFIG_ASIGNATURAS!$B$2:$J$91,9,FALSE()),""))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IF(DATOS!$A6498="",0,IF(CONFIG_METADATA!$B$4&lt;&gt;"OR+EX",--(DATOS!$G6498=CONFIG_METADATA!$B$4),IF(DATOS!$G6498="EX",1,IF(DATOS!$G6498="OR",--(COUNTIFS(nNIA,DATOS!$A6498,nCURSO,DATOS!$D6498,nESPEC,DATOS!$E6498,nASIG,DATOS!$I6498,nEVAL,"EX")=0),0))))</f>
      </c>
      <c r="H6498">
        <f>IF(DATOS!$G6498&lt;&gt;"EX",0,--(COUNTIFS(nNIA,DATOS!$A6498,nCURSO,DATOS!$D6498,nESPEC,DATOS!$E6498,nASIG,DATOS!$I6498,nEVAL,"OR")=0))</f>
      </c>
      <c r="I6498">
        <f>IF(DATOS!$I6498="","",IFERROR(VLOOKUP(DATOS!$I6498,CONFIG_ASIGNATURAS!$B$2:$J$91,9,FALSE()),""))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IF(DATOS!$A6499="",0,IF(CONFIG_METADATA!$B$4&lt;&gt;"OR+EX",--(DATOS!$G6499=CONFIG_METADATA!$B$4),IF(DATOS!$G6499="EX",1,IF(DATOS!$G6499="OR",--(COUNTIFS(nNIA,DATOS!$A6499,nCURSO,DATOS!$D6499,nESPEC,DATOS!$E6499,nASIG,DATOS!$I6499,nEVAL,"EX")=0),0))))</f>
      </c>
      <c r="H6499">
        <f>IF(DATOS!$G6499&lt;&gt;"EX",0,--(COUNTIFS(nNIA,DATOS!$A6499,nCURSO,DATOS!$D6499,nESPEC,DATOS!$E6499,nASIG,DATOS!$I6499,nEVAL,"OR")=0))</f>
      </c>
      <c r="I6499">
        <f>IF(DATOS!$I6499="","",IFERROR(VLOOKUP(DATOS!$I6499,CONFIG_ASIGNATURAS!$B$2:$J$91,9,FALSE()),""))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IF(DATOS!$A6500="",0,IF(CONFIG_METADATA!$B$4&lt;&gt;"OR+EX",--(DATOS!$G6500=CONFIG_METADATA!$B$4),IF(DATOS!$G6500="EX",1,IF(DATOS!$G6500="OR",--(COUNTIFS(nNIA,DATOS!$A6500,nCURSO,DATOS!$D6500,nESPEC,DATOS!$E6500,nASIG,DATOS!$I6500,nEVAL,"EX")=0),0))))</f>
      </c>
      <c r="H6500">
        <f>IF(DATOS!$G6500&lt;&gt;"EX",0,--(COUNTIFS(nNIA,DATOS!$A6500,nCURSO,DATOS!$D6500,nESPEC,DATOS!$E6500,nASIG,DATOS!$I6500,nEVAL,"OR")=0))</f>
      </c>
      <c r="I6500">
        <f>IF(DATOS!$I6500="","",IFERROR(VLOOKUP(DATOS!$I6500,CONFIG_ASIGNATURAS!$B$2:$J$91,9,FALSE()),""))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IF(DATOS!$A6501="",0,IF(CONFIG_METADATA!$B$4&lt;&gt;"OR+EX",--(DATOS!$G6501=CONFIG_METADATA!$B$4),IF(DATOS!$G6501="EX",1,IF(DATOS!$G6501="OR",--(COUNTIFS(nNIA,DATOS!$A6501,nCURSO,DATOS!$D6501,nESPEC,DATOS!$E6501,nASIG,DATOS!$I6501,nEVAL,"EX")=0),0))))</f>
      </c>
      <c r="H6501">
        <f>IF(DATOS!$G6501&lt;&gt;"EX",0,--(COUNTIFS(nNIA,DATOS!$A6501,nCURSO,DATOS!$D6501,nESPEC,DATOS!$E6501,nASIG,DATOS!$I6501,nEVAL,"OR")=0))</f>
      </c>
      <c r="I6501">
        <f>IF(DATOS!$I6501="","",IFERROR(VLOOKUP(DATOS!$I6501,CONFIG_ASIGNATURAS!$B$2:$J$91,9,FALSE()),""))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IF(DATOS!$A6502="",0,IF(CONFIG_METADATA!$B$4&lt;&gt;"OR+EX",--(DATOS!$G6502=CONFIG_METADATA!$B$4),IF(DATOS!$G6502="EX",1,IF(DATOS!$G6502="OR",--(COUNTIFS(nNIA,DATOS!$A6502,nCURSO,DATOS!$D6502,nESPEC,DATOS!$E6502,nASIG,DATOS!$I6502,nEVAL,"EX")=0),0))))</f>
      </c>
      <c r="H6502">
        <f>IF(DATOS!$G6502&lt;&gt;"EX",0,--(COUNTIFS(nNIA,DATOS!$A6502,nCURSO,DATOS!$D6502,nESPEC,DATOS!$E6502,nASIG,DATOS!$I6502,nEVAL,"OR")=0))</f>
      </c>
      <c r="I6502">
        <f>IF(DATOS!$I6502="","",IFERROR(VLOOKUP(DATOS!$I6502,CONFIG_ASIGNATURAS!$B$2:$J$91,9,FALSE()),""))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IF(DATOS!$A6503="",0,IF(CONFIG_METADATA!$B$4&lt;&gt;"OR+EX",--(DATOS!$G6503=CONFIG_METADATA!$B$4),IF(DATOS!$G6503="EX",1,IF(DATOS!$G6503="OR",--(COUNTIFS(nNIA,DATOS!$A6503,nCURSO,DATOS!$D6503,nESPEC,DATOS!$E6503,nASIG,DATOS!$I6503,nEVAL,"EX")=0),0))))</f>
      </c>
      <c r="H6503">
        <f>IF(DATOS!$G6503&lt;&gt;"EX",0,--(COUNTIFS(nNIA,DATOS!$A6503,nCURSO,DATOS!$D6503,nESPEC,DATOS!$E6503,nASIG,DATOS!$I6503,nEVAL,"OR")=0))</f>
      </c>
      <c r="I6503">
        <f>IF(DATOS!$I6503="","",IFERROR(VLOOKUP(DATOS!$I6503,CONFIG_ASIGNATURAS!$B$2:$J$91,9,FALSE()),""))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IF(DATOS!$A6504="",0,IF(CONFIG_METADATA!$B$4&lt;&gt;"OR+EX",--(DATOS!$G6504=CONFIG_METADATA!$B$4),IF(DATOS!$G6504="EX",1,IF(DATOS!$G6504="OR",--(COUNTIFS(nNIA,DATOS!$A6504,nCURSO,DATOS!$D6504,nESPEC,DATOS!$E6504,nASIG,DATOS!$I6504,nEVAL,"EX")=0),0))))</f>
      </c>
      <c r="H6504">
        <f>IF(DATOS!$G6504&lt;&gt;"EX",0,--(COUNTIFS(nNIA,DATOS!$A6504,nCURSO,DATOS!$D6504,nESPEC,DATOS!$E6504,nASIG,DATOS!$I6504,nEVAL,"OR")=0))</f>
      </c>
      <c r="I6504">
        <f>IF(DATOS!$I6504="","",IFERROR(VLOOKUP(DATOS!$I6504,CONFIG_ASIGNATURAS!$B$2:$J$91,9,FALSE()),""))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IF(DATOS!$A6505="",0,IF(CONFIG_METADATA!$B$4&lt;&gt;"OR+EX",--(DATOS!$G6505=CONFIG_METADATA!$B$4),IF(DATOS!$G6505="EX",1,IF(DATOS!$G6505="OR",--(COUNTIFS(nNIA,DATOS!$A6505,nCURSO,DATOS!$D6505,nESPEC,DATOS!$E6505,nASIG,DATOS!$I6505,nEVAL,"EX")=0),0))))</f>
      </c>
      <c r="H6505">
        <f>IF(DATOS!$G6505&lt;&gt;"EX",0,--(COUNTIFS(nNIA,DATOS!$A6505,nCURSO,DATOS!$D6505,nESPEC,DATOS!$E6505,nASIG,DATOS!$I6505,nEVAL,"OR")=0))</f>
      </c>
      <c r="I6505">
        <f>IF(DATOS!$I6505="","",IFERROR(VLOOKUP(DATOS!$I6505,CONFIG_ASIGNATURAS!$B$2:$J$91,9,FALSE()),""))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IF(DATOS!$A6506="",0,IF(CONFIG_METADATA!$B$4&lt;&gt;"OR+EX",--(DATOS!$G6506=CONFIG_METADATA!$B$4),IF(DATOS!$G6506="EX",1,IF(DATOS!$G6506="OR",--(COUNTIFS(nNIA,DATOS!$A6506,nCURSO,DATOS!$D6506,nESPEC,DATOS!$E6506,nASIG,DATOS!$I6506,nEVAL,"EX")=0),0))))</f>
      </c>
      <c r="H6506">
        <f>IF(DATOS!$G6506&lt;&gt;"EX",0,--(COUNTIFS(nNIA,DATOS!$A6506,nCURSO,DATOS!$D6506,nESPEC,DATOS!$E6506,nASIG,DATOS!$I6506,nEVAL,"OR")=0))</f>
      </c>
      <c r="I6506">
        <f>IF(DATOS!$I6506="","",IFERROR(VLOOKUP(DATOS!$I6506,CONFIG_ASIGNATURAS!$B$2:$J$91,9,FALSE()),""))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IF(DATOS!$A6507="",0,IF(CONFIG_METADATA!$B$4&lt;&gt;"OR+EX",--(DATOS!$G6507=CONFIG_METADATA!$B$4),IF(DATOS!$G6507="EX",1,IF(DATOS!$G6507="OR",--(COUNTIFS(nNIA,DATOS!$A6507,nCURSO,DATOS!$D6507,nESPEC,DATOS!$E6507,nASIG,DATOS!$I6507,nEVAL,"EX")=0),0))))</f>
      </c>
      <c r="H6507">
        <f>IF(DATOS!$G6507&lt;&gt;"EX",0,--(COUNTIFS(nNIA,DATOS!$A6507,nCURSO,DATOS!$D6507,nESPEC,DATOS!$E6507,nASIG,DATOS!$I6507,nEVAL,"OR")=0))</f>
      </c>
      <c r="I6507">
        <f>IF(DATOS!$I6507="","",IFERROR(VLOOKUP(DATOS!$I6507,CONFIG_ASIGNATURAS!$B$2:$J$91,9,FALSE()),""))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IF(DATOS!$A6508="",0,IF(CONFIG_METADATA!$B$4&lt;&gt;"OR+EX",--(DATOS!$G6508=CONFIG_METADATA!$B$4),IF(DATOS!$G6508="EX",1,IF(DATOS!$G6508="OR",--(COUNTIFS(nNIA,DATOS!$A6508,nCURSO,DATOS!$D6508,nESPEC,DATOS!$E6508,nASIG,DATOS!$I6508,nEVAL,"EX")=0),0))))</f>
      </c>
      <c r="H6508">
        <f>IF(DATOS!$G6508&lt;&gt;"EX",0,--(COUNTIFS(nNIA,DATOS!$A6508,nCURSO,DATOS!$D6508,nESPEC,DATOS!$E6508,nASIG,DATOS!$I6508,nEVAL,"OR")=0))</f>
      </c>
      <c r="I6508">
        <f>IF(DATOS!$I6508="","",IFERROR(VLOOKUP(DATOS!$I6508,CONFIG_ASIGNATURAS!$B$2:$J$91,9,FALSE()),""))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IF(DATOS!$A6509="",0,IF(CONFIG_METADATA!$B$4&lt;&gt;"OR+EX",--(DATOS!$G6509=CONFIG_METADATA!$B$4),IF(DATOS!$G6509="EX",1,IF(DATOS!$G6509="OR",--(COUNTIFS(nNIA,DATOS!$A6509,nCURSO,DATOS!$D6509,nESPEC,DATOS!$E6509,nASIG,DATOS!$I6509,nEVAL,"EX")=0),0))))</f>
      </c>
      <c r="H6509">
        <f>IF(DATOS!$G6509&lt;&gt;"EX",0,--(COUNTIFS(nNIA,DATOS!$A6509,nCURSO,DATOS!$D6509,nESPEC,DATOS!$E6509,nASIG,DATOS!$I6509,nEVAL,"OR")=0))</f>
      </c>
      <c r="I6509">
        <f>IF(DATOS!$I6509="","",IFERROR(VLOOKUP(DATOS!$I6509,CONFIG_ASIGNATURAS!$B$2:$J$91,9,FALSE()),""))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IF(DATOS!$A6510="",0,IF(CONFIG_METADATA!$B$4&lt;&gt;"OR+EX",--(DATOS!$G6510=CONFIG_METADATA!$B$4),IF(DATOS!$G6510="EX",1,IF(DATOS!$G6510="OR",--(COUNTIFS(nNIA,DATOS!$A6510,nCURSO,DATOS!$D6510,nESPEC,DATOS!$E6510,nASIG,DATOS!$I6510,nEVAL,"EX")=0),0))))</f>
      </c>
      <c r="H6510">
        <f>IF(DATOS!$G6510&lt;&gt;"EX",0,--(COUNTIFS(nNIA,DATOS!$A6510,nCURSO,DATOS!$D6510,nESPEC,DATOS!$E6510,nASIG,DATOS!$I6510,nEVAL,"OR")=0))</f>
      </c>
      <c r="I6510">
        <f>IF(DATOS!$I6510="","",IFERROR(VLOOKUP(DATOS!$I6510,CONFIG_ASIGNATURAS!$B$2:$J$91,9,FALSE()),""))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IF(DATOS!$A6511="",0,IF(CONFIG_METADATA!$B$4&lt;&gt;"OR+EX",--(DATOS!$G6511=CONFIG_METADATA!$B$4),IF(DATOS!$G6511="EX",1,IF(DATOS!$G6511="OR",--(COUNTIFS(nNIA,DATOS!$A6511,nCURSO,DATOS!$D6511,nESPEC,DATOS!$E6511,nASIG,DATOS!$I6511,nEVAL,"EX")=0),0))))</f>
      </c>
      <c r="H6511">
        <f>IF(DATOS!$G6511&lt;&gt;"EX",0,--(COUNTIFS(nNIA,DATOS!$A6511,nCURSO,DATOS!$D6511,nESPEC,DATOS!$E6511,nASIG,DATOS!$I6511,nEVAL,"OR")=0))</f>
      </c>
      <c r="I6511">
        <f>IF(DATOS!$I6511="","",IFERROR(VLOOKUP(DATOS!$I6511,CONFIG_ASIGNATURAS!$B$2:$J$91,9,FALSE()),""))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IF(DATOS!$A6512="",0,IF(CONFIG_METADATA!$B$4&lt;&gt;"OR+EX",--(DATOS!$G6512=CONFIG_METADATA!$B$4),IF(DATOS!$G6512="EX",1,IF(DATOS!$G6512="OR",--(COUNTIFS(nNIA,DATOS!$A6512,nCURSO,DATOS!$D6512,nESPEC,DATOS!$E6512,nASIG,DATOS!$I6512,nEVAL,"EX")=0),0))))</f>
      </c>
      <c r="H6512">
        <f>IF(DATOS!$G6512&lt;&gt;"EX",0,--(COUNTIFS(nNIA,DATOS!$A6512,nCURSO,DATOS!$D6512,nESPEC,DATOS!$E6512,nASIG,DATOS!$I6512,nEVAL,"OR")=0))</f>
      </c>
      <c r="I6512">
        <f>IF(DATOS!$I6512="","",IFERROR(VLOOKUP(DATOS!$I6512,CONFIG_ASIGNATURAS!$B$2:$J$91,9,FALSE()),""))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IF(DATOS!$A6513="",0,IF(CONFIG_METADATA!$B$4&lt;&gt;"OR+EX",--(DATOS!$G6513=CONFIG_METADATA!$B$4),IF(DATOS!$G6513="EX",1,IF(DATOS!$G6513="OR",--(COUNTIFS(nNIA,DATOS!$A6513,nCURSO,DATOS!$D6513,nESPEC,DATOS!$E6513,nASIG,DATOS!$I6513,nEVAL,"EX")=0),0))))</f>
      </c>
      <c r="H6513">
        <f>IF(DATOS!$G6513&lt;&gt;"EX",0,--(COUNTIFS(nNIA,DATOS!$A6513,nCURSO,DATOS!$D6513,nESPEC,DATOS!$E6513,nASIG,DATOS!$I6513,nEVAL,"OR")=0))</f>
      </c>
      <c r="I6513">
        <f>IF(DATOS!$I6513="","",IFERROR(VLOOKUP(DATOS!$I6513,CONFIG_ASIGNATURAS!$B$2:$J$91,9,FALSE()),""))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IF(DATOS!$A6514="",0,IF(CONFIG_METADATA!$B$4&lt;&gt;"OR+EX",--(DATOS!$G6514=CONFIG_METADATA!$B$4),IF(DATOS!$G6514="EX",1,IF(DATOS!$G6514="OR",--(COUNTIFS(nNIA,DATOS!$A6514,nCURSO,DATOS!$D6514,nESPEC,DATOS!$E6514,nASIG,DATOS!$I6514,nEVAL,"EX")=0),0))))</f>
      </c>
      <c r="H6514">
        <f>IF(DATOS!$G6514&lt;&gt;"EX",0,--(COUNTIFS(nNIA,DATOS!$A6514,nCURSO,DATOS!$D6514,nESPEC,DATOS!$E6514,nASIG,DATOS!$I6514,nEVAL,"OR")=0))</f>
      </c>
      <c r="I6514">
        <f>IF(DATOS!$I6514="","",IFERROR(VLOOKUP(DATOS!$I6514,CONFIG_ASIGNATURAS!$B$2:$J$91,9,FALSE()),""))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IF(DATOS!$A6515="",0,IF(CONFIG_METADATA!$B$4&lt;&gt;"OR+EX",--(DATOS!$G6515=CONFIG_METADATA!$B$4),IF(DATOS!$G6515="EX",1,IF(DATOS!$G6515="OR",--(COUNTIFS(nNIA,DATOS!$A6515,nCURSO,DATOS!$D6515,nESPEC,DATOS!$E6515,nASIG,DATOS!$I6515,nEVAL,"EX")=0),0))))</f>
      </c>
      <c r="H6515">
        <f>IF(DATOS!$G6515&lt;&gt;"EX",0,--(COUNTIFS(nNIA,DATOS!$A6515,nCURSO,DATOS!$D6515,nESPEC,DATOS!$E6515,nASIG,DATOS!$I6515,nEVAL,"OR")=0))</f>
      </c>
      <c r="I6515">
        <f>IF(DATOS!$I6515="","",IFERROR(VLOOKUP(DATOS!$I6515,CONFIG_ASIGNATURAS!$B$2:$J$91,9,FALSE()),""))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IF(DATOS!$A6516="",0,IF(CONFIG_METADATA!$B$4&lt;&gt;"OR+EX",--(DATOS!$G6516=CONFIG_METADATA!$B$4),IF(DATOS!$G6516="EX",1,IF(DATOS!$G6516="OR",--(COUNTIFS(nNIA,DATOS!$A6516,nCURSO,DATOS!$D6516,nESPEC,DATOS!$E6516,nASIG,DATOS!$I6516,nEVAL,"EX")=0),0))))</f>
      </c>
      <c r="H6516">
        <f>IF(DATOS!$G6516&lt;&gt;"EX",0,--(COUNTIFS(nNIA,DATOS!$A6516,nCURSO,DATOS!$D6516,nESPEC,DATOS!$E6516,nASIG,DATOS!$I6516,nEVAL,"OR")=0))</f>
      </c>
      <c r="I6516">
        <f>IF(DATOS!$I6516="","",IFERROR(VLOOKUP(DATOS!$I6516,CONFIG_ASIGNATURAS!$B$2:$J$91,9,FALSE()),""))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IF(DATOS!$A6517="",0,IF(CONFIG_METADATA!$B$4&lt;&gt;"OR+EX",--(DATOS!$G6517=CONFIG_METADATA!$B$4),IF(DATOS!$G6517="EX",1,IF(DATOS!$G6517="OR",--(COUNTIFS(nNIA,DATOS!$A6517,nCURSO,DATOS!$D6517,nESPEC,DATOS!$E6517,nASIG,DATOS!$I6517,nEVAL,"EX")=0),0))))</f>
      </c>
      <c r="H6517">
        <f>IF(DATOS!$G6517&lt;&gt;"EX",0,--(COUNTIFS(nNIA,DATOS!$A6517,nCURSO,DATOS!$D6517,nESPEC,DATOS!$E6517,nASIG,DATOS!$I6517,nEVAL,"OR")=0))</f>
      </c>
      <c r="I6517">
        <f>IF(DATOS!$I6517="","",IFERROR(VLOOKUP(DATOS!$I6517,CONFIG_ASIGNATURAS!$B$2:$J$91,9,FALSE()),""))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IF(DATOS!$A6518="",0,IF(CONFIG_METADATA!$B$4&lt;&gt;"OR+EX",--(DATOS!$G6518=CONFIG_METADATA!$B$4),IF(DATOS!$G6518="EX",1,IF(DATOS!$G6518="OR",--(COUNTIFS(nNIA,DATOS!$A6518,nCURSO,DATOS!$D6518,nESPEC,DATOS!$E6518,nASIG,DATOS!$I6518,nEVAL,"EX")=0),0))))</f>
      </c>
      <c r="H6518">
        <f>IF(DATOS!$G6518&lt;&gt;"EX",0,--(COUNTIFS(nNIA,DATOS!$A6518,nCURSO,DATOS!$D6518,nESPEC,DATOS!$E6518,nASIG,DATOS!$I6518,nEVAL,"OR")=0))</f>
      </c>
      <c r="I6518">
        <f>IF(DATOS!$I6518="","",IFERROR(VLOOKUP(DATOS!$I6518,CONFIG_ASIGNATURAS!$B$2:$J$91,9,FALSE()),""))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IF(DATOS!$A6519="",0,IF(CONFIG_METADATA!$B$4&lt;&gt;"OR+EX",--(DATOS!$G6519=CONFIG_METADATA!$B$4),IF(DATOS!$G6519="EX",1,IF(DATOS!$G6519="OR",--(COUNTIFS(nNIA,DATOS!$A6519,nCURSO,DATOS!$D6519,nESPEC,DATOS!$E6519,nASIG,DATOS!$I6519,nEVAL,"EX")=0),0))))</f>
      </c>
      <c r="H6519">
        <f>IF(DATOS!$G6519&lt;&gt;"EX",0,--(COUNTIFS(nNIA,DATOS!$A6519,nCURSO,DATOS!$D6519,nESPEC,DATOS!$E6519,nASIG,DATOS!$I6519,nEVAL,"OR")=0))</f>
      </c>
      <c r="I6519">
        <f>IF(DATOS!$I6519="","",IFERROR(VLOOKUP(DATOS!$I6519,CONFIG_ASIGNATURAS!$B$2:$J$91,9,FALSE()),""))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IF(DATOS!$A6520="",0,IF(CONFIG_METADATA!$B$4&lt;&gt;"OR+EX",--(DATOS!$G6520=CONFIG_METADATA!$B$4),IF(DATOS!$G6520="EX",1,IF(DATOS!$G6520="OR",--(COUNTIFS(nNIA,DATOS!$A6520,nCURSO,DATOS!$D6520,nESPEC,DATOS!$E6520,nASIG,DATOS!$I6520,nEVAL,"EX")=0),0))))</f>
      </c>
      <c r="H6520">
        <f>IF(DATOS!$G6520&lt;&gt;"EX",0,--(COUNTIFS(nNIA,DATOS!$A6520,nCURSO,DATOS!$D6520,nESPEC,DATOS!$E6520,nASIG,DATOS!$I6520,nEVAL,"OR")=0))</f>
      </c>
      <c r="I6520">
        <f>IF(DATOS!$I6520="","",IFERROR(VLOOKUP(DATOS!$I6520,CONFIG_ASIGNATURAS!$B$2:$J$91,9,FALSE()),""))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IF(DATOS!$A6521="",0,IF(CONFIG_METADATA!$B$4&lt;&gt;"OR+EX",--(DATOS!$G6521=CONFIG_METADATA!$B$4),IF(DATOS!$G6521="EX",1,IF(DATOS!$G6521="OR",--(COUNTIFS(nNIA,DATOS!$A6521,nCURSO,DATOS!$D6521,nESPEC,DATOS!$E6521,nASIG,DATOS!$I6521,nEVAL,"EX")=0),0))))</f>
      </c>
      <c r="H6521">
        <f>IF(DATOS!$G6521&lt;&gt;"EX",0,--(COUNTIFS(nNIA,DATOS!$A6521,nCURSO,DATOS!$D6521,nESPEC,DATOS!$E6521,nASIG,DATOS!$I6521,nEVAL,"OR")=0))</f>
      </c>
      <c r="I6521">
        <f>IF(DATOS!$I6521="","",IFERROR(VLOOKUP(DATOS!$I6521,CONFIG_ASIGNATURAS!$B$2:$J$91,9,FALSE()),""))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IF(DATOS!$A6522="",0,IF(CONFIG_METADATA!$B$4&lt;&gt;"OR+EX",--(DATOS!$G6522=CONFIG_METADATA!$B$4),IF(DATOS!$G6522="EX",1,IF(DATOS!$G6522="OR",--(COUNTIFS(nNIA,DATOS!$A6522,nCURSO,DATOS!$D6522,nESPEC,DATOS!$E6522,nASIG,DATOS!$I6522,nEVAL,"EX")=0),0))))</f>
      </c>
      <c r="H6522">
        <f>IF(DATOS!$G6522&lt;&gt;"EX",0,--(COUNTIFS(nNIA,DATOS!$A6522,nCURSO,DATOS!$D6522,nESPEC,DATOS!$E6522,nASIG,DATOS!$I6522,nEVAL,"OR")=0))</f>
      </c>
      <c r="I6522">
        <f>IF(DATOS!$I6522="","",IFERROR(VLOOKUP(DATOS!$I6522,CONFIG_ASIGNATURAS!$B$2:$J$91,9,FALSE()),""))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IF(DATOS!$A6523="",0,IF(CONFIG_METADATA!$B$4&lt;&gt;"OR+EX",--(DATOS!$G6523=CONFIG_METADATA!$B$4),IF(DATOS!$G6523="EX",1,IF(DATOS!$G6523="OR",--(COUNTIFS(nNIA,DATOS!$A6523,nCURSO,DATOS!$D6523,nESPEC,DATOS!$E6523,nASIG,DATOS!$I6523,nEVAL,"EX")=0),0))))</f>
      </c>
      <c r="H6523">
        <f>IF(DATOS!$G6523&lt;&gt;"EX",0,--(COUNTIFS(nNIA,DATOS!$A6523,nCURSO,DATOS!$D6523,nESPEC,DATOS!$E6523,nASIG,DATOS!$I6523,nEVAL,"OR")=0))</f>
      </c>
      <c r="I6523">
        <f>IF(DATOS!$I6523="","",IFERROR(VLOOKUP(DATOS!$I6523,CONFIG_ASIGNATURAS!$B$2:$J$91,9,FALSE()),""))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IF(DATOS!$A6524="",0,IF(CONFIG_METADATA!$B$4&lt;&gt;"OR+EX",--(DATOS!$G6524=CONFIG_METADATA!$B$4),IF(DATOS!$G6524="EX",1,IF(DATOS!$G6524="OR",--(COUNTIFS(nNIA,DATOS!$A6524,nCURSO,DATOS!$D6524,nESPEC,DATOS!$E6524,nASIG,DATOS!$I6524,nEVAL,"EX")=0),0))))</f>
      </c>
      <c r="H6524">
        <f>IF(DATOS!$G6524&lt;&gt;"EX",0,--(COUNTIFS(nNIA,DATOS!$A6524,nCURSO,DATOS!$D6524,nESPEC,DATOS!$E6524,nASIG,DATOS!$I6524,nEVAL,"OR")=0))</f>
      </c>
      <c r="I6524">
        <f>IF(DATOS!$I6524="","",IFERROR(VLOOKUP(DATOS!$I6524,CONFIG_ASIGNATURAS!$B$2:$J$91,9,FALSE()),""))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IF(DATOS!$A6525="",0,IF(CONFIG_METADATA!$B$4&lt;&gt;"OR+EX",--(DATOS!$G6525=CONFIG_METADATA!$B$4),IF(DATOS!$G6525="EX",1,IF(DATOS!$G6525="OR",--(COUNTIFS(nNIA,DATOS!$A6525,nCURSO,DATOS!$D6525,nESPEC,DATOS!$E6525,nASIG,DATOS!$I6525,nEVAL,"EX")=0),0))))</f>
      </c>
      <c r="H6525">
        <f>IF(DATOS!$G6525&lt;&gt;"EX",0,--(COUNTIFS(nNIA,DATOS!$A6525,nCURSO,DATOS!$D6525,nESPEC,DATOS!$E6525,nASIG,DATOS!$I6525,nEVAL,"OR")=0))</f>
      </c>
      <c r="I6525">
        <f>IF(DATOS!$I6525="","",IFERROR(VLOOKUP(DATOS!$I6525,CONFIG_ASIGNATURAS!$B$2:$J$91,9,FALSE()),""))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IF(DATOS!$A6526="",0,IF(CONFIG_METADATA!$B$4&lt;&gt;"OR+EX",--(DATOS!$G6526=CONFIG_METADATA!$B$4),IF(DATOS!$G6526="EX",1,IF(DATOS!$G6526="OR",--(COUNTIFS(nNIA,DATOS!$A6526,nCURSO,DATOS!$D6526,nESPEC,DATOS!$E6526,nASIG,DATOS!$I6526,nEVAL,"EX")=0),0))))</f>
      </c>
      <c r="H6526">
        <f>IF(DATOS!$G6526&lt;&gt;"EX",0,--(COUNTIFS(nNIA,DATOS!$A6526,nCURSO,DATOS!$D6526,nESPEC,DATOS!$E6526,nASIG,DATOS!$I6526,nEVAL,"OR")=0))</f>
      </c>
      <c r="I6526">
        <f>IF(DATOS!$I6526="","",IFERROR(VLOOKUP(DATOS!$I6526,CONFIG_ASIGNATURAS!$B$2:$J$91,9,FALSE()),""))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IF(DATOS!$A6527="",0,IF(CONFIG_METADATA!$B$4&lt;&gt;"OR+EX",--(DATOS!$G6527=CONFIG_METADATA!$B$4),IF(DATOS!$G6527="EX",1,IF(DATOS!$G6527="OR",--(COUNTIFS(nNIA,DATOS!$A6527,nCURSO,DATOS!$D6527,nESPEC,DATOS!$E6527,nASIG,DATOS!$I6527,nEVAL,"EX")=0),0))))</f>
      </c>
      <c r="H6527">
        <f>IF(DATOS!$G6527&lt;&gt;"EX",0,--(COUNTIFS(nNIA,DATOS!$A6527,nCURSO,DATOS!$D6527,nESPEC,DATOS!$E6527,nASIG,DATOS!$I6527,nEVAL,"OR")=0))</f>
      </c>
      <c r="I6527">
        <f>IF(DATOS!$I6527="","",IFERROR(VLOOKUP(DATOS!$I6527,CONFIG_ASIGNATURAS!$B$2:$J$91,9,FALSE()),""))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IF(DATOS!$A6528="",0,IF(CONFIG_METADATA!$B$4&lt;&gt;"OR+EX",--(DATOS!$G6528=CONFIG_METADATA!$B$4),IF(DATOS!$G6528="EX",1,IF(DATOS!$G6528="OR",--(COUNTIFS(nNIA,DATOS!$A6528,nCURSO,DATOS!$D6528,nESPEC,DATOS!$E6528,nASIG,DATOS!$I6528,nEVAL,"EX")=0),0))))</f>
      </c>
      <c r="H6528">
        <f>IF(DATOS!$G6528&lt;&gt;"EX",0,--(COUNTIFS(nNIA,DATOS!$A6528,nCURSO,DATOS!$D6528,nESPEC,DATOS!$E6528,nASIG,DATOS!$I6528,nEVAL,"OR")=0))</f>
      </c>
      <c r="I6528">
        <f>IF(DATOS!$I6528="","",IFERROR(VLOOKUP(DATOS!$I6528,CONFIG_ASIGNATURAS!$B$2:$J$91,9,FALSE()),""))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IF(DATOS!$A6529="",0,IF(CONFIG_METADATA!$B$4&lt;&gt;"OR+EX",--(DATOS!$G6529=CONFIG_METADATA!$B$4),IF(DATOS!$G6529="EX",1,IF(DATOS!$G6529="OR",--(COUNTIFS(nNIA,DATOS!$A6529,nCURSO,DATOS!$D6529,nESPEC,DATOS!$E6529,nASIG,DATOS!$I6529,nEVAL,"EX")=0),0))))</f>
      </c>
      <c r="H6529">
        <f>IF(DATOS!$G6529&lt;&gt;"EX",0,--(COUNTIFS(nNIA,DATOS!$A6529,nCURSO,DATOS!$D6529,nESPEC,DATOS!$E6529,nASIG,DATOS!$I6529,nEVAL,"OR")=0))</f>
      </c>
      <c r="I6529">
        <f>IF(DATOS!$I6529="","",IFERROR(VLOOKUP(DATOS!$I6529,CONFIG_ASIGNATURAS!$B$2:$J$91,9,FALSE()),""))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IF(DATOS!$A6530="",0,IF(CONFIG_METADATA!$B$4&lt;&gt;"OR+EX",--(DATOS!$G6530=CONFIG_METADATA!$B$4),IF(DATOS!$G6530="EX",1,IF(DATOS!$G6530="OR",--(COUNTIFS(nNIA,DATOS!$A6530,nCURSO,DATOS!$D6530,nESPEC,DATOS!$E6530,nASIG,DATOS!$I6530,nEVAL,"EX")=0),0))))</f>
      </c>
      <c r="H6530">
        <f>IF(DATOS!$G6530&lt;&gt;"EX",0,--(COUNTIFS(nNIA,DATOS!$A6530,nCURSO,DATOS!$D6530,nESPEC,DATOS!$E6530,nASIG,DATOS!$I6530,nEVAL,"OR")=0))</f>
      </c>
      <c r="I6530">
        <f>IF(DATOS!$I6530="","",IFERROR(VLOOKUP(DATOS!$I6530,CONFIG_ASIGNATURAS!$B$2:$J$91,9,FALSE()),""))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IF(DATOS!$A6531="",0,IF(CONFIG_METADATA!$B$4&lt;&gt;"OR+EX",--(DATOS!$G6531=CONFIG_METADATA!$B$4),IF(DATOS!$G6531="EX",1,IF(DATOS!$G6531="OR",--(COUNTIFS(nNIA,DATOS!$A6531,nCURSO,DATOS!$D6531,nESPEC,DATOS!$E6531,nASIG,DATOS!$I6531,nEVAL,"EX")=0),0))))</f>
      </c>
      <c r="H6531">
        <f>IF(DATOS!$G6531&lt;&gt;"EX",0,--(COUNTIFS(nNIA,DATOS!$A6531,nCURSO,DATOS!$D6531,nESPEC,DATOS!$E6531,nASIG,DATOS!$I6531,nEVAL,"OR")=0))</f>
      </c>
      <c r="I6531">
        <f>IF(DATOS!$I6531="","",IFERROR(VLOOKUP(DATOS!$I6531,CONFIG_ASIGNATURAS!$B$2:$J$91,9,FALSE()),""))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IF(DATOS!$A6532="",0,IF(CONFIG_METADATA!$B$4&lt;&gt;"OR+EX",--(DATOS!$G6532=CONFIG_METADATA!$B$4),IF(DATOS!$G6532="EX",1,IF(DATOS!$G6532="OR",--(COUNTIFS(nNIA,DATOS!$A6532,nCURSO,DATOS!$D6532,nESPEC,DATOS!$E6532,nASIG,DATOS!$I6532,nEVAL,"EX")=0),0))))</f>
      </c>
      <c r="H6532">
        <f>IF(DATOS!$G6532&lt;&gt;"EX",0,--(COUNTIFS(nNIA,DATOS!$A6532,nCURSO,DATOS!$D6532,nESPEC,DATOS!$E6532,nASIG,DATOS!$I6532,nEVAL,"OR")=0))</f>
      </c>
      <c r="I6532">
        <f>IF(DATOS!$I6532="","",IFERROR(VLOOKUP(DATOS!$I6532,CONFIG_ASIGNATURAS!$B$2:$J$91,9,FALSE()),""))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IF(DATOS!$A6533="",0,IF(CONFIG_METADATA!$B$4&lt;&gt;"OR+EX",--(DATOS!$G6533=CONFIG_METADATA!$B$4),IF(DATOS!$G6533="EX",1,IF(DATOS!$G6533="OR",--(COUNTIFS(nNIA,DATOS!$A6533,nCURSO,DATOS!$D6533,nESPEC,DATOS!$E6533,nASIG,DATOS!$I6533,nEVAL,"EX")=0),0))))</f>
      </c>
      <c r="H6533">
        <f>IF(DATOS!$G6533&lt;&gt;"EX",0,--(COUNTIFS(nNIA,DATOS!$A6533,nCURSO,DATOS!$D6533,nESPEC,DATOS!$E6533,nASIG,DATOS!$I6533,nEVAL,"OR")=0))</f>
      </c>
      <c r="I6533">
        <f>IF(DATOS!$I6533="","",IFERROR(VLOOKUP(DATOS!$I6533,CONFIG_ASIGNATURAS!$B$2:$J$91,9,FALSE()),""))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IF(DATOS!$A6534="",0,IF(CONFIG_METADATA!$B$4&lt;&gt;"OR+EX",--(DATOS!$G6534=CONFIG_METADATA!$B$4),IF(DATOS!$G6534="EX",1,IF(DATOS!$G6534="OR",--(COUNTIFS(nNIA,DATOS!$A6534,nCURSO,DATOS!$D6534,nESPEC,DATOS!$E6534,nASIG,DATOS!$I6534,nEVAL,"EX")=0),0))))</f>
      </c>
      <c r="H6534">
        <f>IF(DATOS!$G6534&lt;&gt;"EX",0,--(COUNTIFS(nNIA,DATOS!$A6534,nCURSO,DATOS!$D6534,nESPEC,DATOS!$E6534,nASIG,DATOS!$I6534,nEVAL,"OR")=0))</f>
      </c>
      <c r="I6534">
        <f>IF(DATOS!$I6534="","",IFERROR(VLOOKUP(DATOS!$I6534,CONFIG_ASIGNATURAS!$B$2:$J$91,9,FALSE()),""))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IF(DATOS!$A6535="",0,IF(CONFIG_METADATA!$B$4&lt;&gt;"OR+EX",--(DATOS!$G6535=CONFIG_METADATA!$B$4),IF(DATOS!$G6535="EX",1,IF(DATOS!$G6535="OR",--(COUNTIFS(nNIA,DATOS!$A6535,nCURSO,DATOS!$D6535,nESPEC,DATOS!$E6535,nASIG,DATOS!$I6535,nEVAL,"EX")=0),0))))</f>
      </c>
      <c r="H6535">
        <f>IF(DATOS!$G6535&lt;&gt;"EX",0,--(COUNTIFS(nNIA,DATOS!$A6535,nCURSO,DATOS!$D6535,nESPEC,DATOS!$E6535,nASIG,DATOS!$I6535,nEVAL,"OR")=0))</f>
      </c>
      <c r="I6535">
        <f>IF(DATOS!$I6535="","",IFERROR(VLOOKUP(DATOS!$I6535,CONFIG_ASIGNATURAS!$B$2:$J$91,9,FALSE()),""))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IF(DATOS!$A6536="",0,IF(CONFIG_METADATA!$B$4&lt;&gt;"OR+EX",--(DATOS!$G6536=CONFIG_METADATA!$B$4),IF(DATOS!$G6536="EX",1,IF(DATOS!$G6536="OR",--(COUNTIFS(nNIA,DATOS!$A6536,nCURSO,DATOS!$D6536,nESPEC,DATOS!$E6536,nASIG,DATOS!$I6536,nEVAL,"EX")=0),0))))</f>
      </c>
      <c r="H6536">
        <f>IF(DATOS!$G6536&lt;&gt;"EX",0,--(COUNTIFS(nNIA,DATOS!$A6536,nCURSO,DATOS!$D6536,nESPEC,DATOS!$E6536,nASIG,DATOS!$I6536,nEVAL,"OR")=0))</f>
      </c>
      <c r="I6536">
        <f>IF(DATOS!$I6536="","",IFERROR(VLOOKUP(DATOS!$I6536,CONFIG_ASIGNATURAS!$B$2:$J$91,9,FALSE()),""))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IF(DATOS!$A6537="",0,IF(CONFIG_METADATA!$B$4&lt;&gt;"OR+EX",--(DATOS!$G6537=CONFIG_METADATA!$B$4),IF(DATOS!$G6537="EX",1,IF(DATOS!$G6537="OR",--(COUNTIFS(nNIA,DATOS!$A6537,nCURSO,DATOS!$D6537,nESPEC,DATOS!$E6537,nASIG,DATOS!$I6537,nEVAL,"EX")=0),0))))</f>
      </c>
      <c r="H6537">
        <f>IF(DATOS!$G6537&lt;&gt;"EX",0,--(COUNTIFS(nNIA,DATOS!$A6537,nCURSO,DATOS!$D6537,nESPEC,DATOS!$E6537,nASIG,DATOS!$I6537,nEVAL,"OR")=0))</f>
      </c>
      <c r="I6537">
        <f>IF(DATOS!$I6537="","",IFERROR(VLOOKUP(DATOS!$I6537,CONFIG_ASIGNATURAS!$B$2:$J$91,9,FALSE()),""))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IF(DATOS!$A6538="",0,IF(CONFIG_METADATA!$B$4&lt;&gt;"OR+EX",--(DATOS!$G6538=CONFIG_METADATA!$B$4),IF(DATOS!$G6538="EX",1,IF(DATOS!$G6538="OR",--(COUNTIFS(nNIA,DATOS!$A6538,nCURSO,DATOS!$D6538,nESPEC,DATOS!$E6538,nASIG,DATOS!$I6538,nEVAL,"EX")=0),0))))</f>
      </c>
      <c r="H6538">
        <f>IF(DATOS!$G6538&lt;&gt;"EX",0,--(COUNTIFS(nNIA,DATOS!$A6538,nCURSO,DATOS!$D6538,nESPEC,DATOS!$E6538,nASIG,DATOS!$I6538,nEVAL,"OR")=0))</f>
      </c>
      <c r="I6538">
        <f>IF(DATOS!$I6538="","",IFERROR(VLOOKUP(DATOS!$I6538,CONFIG_ASIGNATURAS!$B$2:$J$91,9,FALSE()),""))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IF(DATOS!$A6539="",0,IF(CONFIG_METADATA!$B$4&lt;&gt;"OR+EX",--(DATOS!$G6539=CONFIG_METADATA!$B$4),IF(DATOS!$G6539="EX",1,IF(DATOS!$G6539="OR",--(COUNTIFS(nNIA,DATOS!$A6539,nCURSO,DATOS!$D6539,nESPEC,DATOS!$E6539,nASIG,DATOS!$I6539,nEVAL,"EX")=0),0))))</f>
      </c>
      <c r="H6539">
        <f>IF(DATOS!$G6539&lt;&gt;"EX",0,--(COUNTIFS(nNIA,DATOS!$A6539,nCURSO,DATOS!$D6539,nESPEC,DATOS!$E6539,nASIG,DATOS!$I6539,nEVAL,"OR")=0))</f>
      </c>
      <c r="I6539">
        <f>IF(DATOS!$I6539="","",IFERROR(VLOOKUP(DATOS!$I6539,CONFIG_ASIGNATURAS!$B$2:$J$91,9,FALSE()),""))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IF(DATOS!$A6540="",0,IF(CONFIG_METADATA!$B$4&lt;&gt;"OR+EX",--(DATOS!$G6540=CONFIG_METADATA!$B$4),IF(DATOS!$G6540="EX",1,IF(DATOS!$G6540="OR",--(COUNTIFS(nNIA,DATOS!$A6540,nCURSO,DATOS!$D6540,nESPEC,DATOS!$E6540,nASIG,DATOS!$I6540,nEVAL,"EX")=0),0))))</f>
      </c>
      <c r="H6540">
        <f>IF(DATOS!$G6540&lt;&gt;"EX",0,--(COUNTIFS(nNIA,DATOS!$A6540,nCURSO,DATOS!$D6540,nESPEC,DATOS!$E6540,nASIG,DATOS!$I6540,nEVAL,"OR")=0))</f>
      </c>
      <c r="I6540">
        <f>IF(DATOS!$I6540="","",IFERROR(VLOOKUP(DATOS!$I6540,CONFIG_ASIGNATURAS!$B$2:$J$91,9,FALSE()),""))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IF(DATOS!$A6541="",0,IF(CONFIG_METADATA!$B$4&lt;&gt;"OR+EX",--(DATOS!$G6541=CONFIG_METADATA!$B$4),IF(DATOS!$G6541="EX",1,IF(DATOS!$G6541="OR",--(COUNTIFS(nNIA,DATOS!$A6541,nCURSO,DATOS!$D6541,nESPEC,DATOS!$E6541,nASIG,DATOS!$I6541,nEVAL,"EX")=0),0))))</f>
      </c>
      <c r="H6541">
        <f>IF(DATOS!$G6541&lt;&gt;"EX",0,--(COUNTIFS(nNIA,DATOS!$A6541,nCURSO,DATOS!$D6541,nESPEC,DATOS!$E6541,nASIG,DATOS!$I6541,nEVAL,"OR")=0))</f>
      </c>
      <c r="I6541">
        <f>IF(DATOS!$I6541="","",IFERROR(VLOOKUP(DATOS!$I6541,CONFIG_ASIGNATURAS!$B$2:$J$91,9,FALSE()),""))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IF(DATOS!$A6542="",0,IF(CONFIG_METADATA!$B$4&lt;&gt;"OR+EX",--(DATOS!$G6542=CONFIG_METADATA!$B$4),IF(DATOS!$G6542="EX",1,IF(DATOS!$G6542="OR",--(COUNTIFS(nNIA,DATOS!$A6542,nCURSO,DATOS!$D6542,nESPEC,DATOS!$E6542,nASIG,DATOS!$I6542,nEVAL,"EX")=0),0))))</f>
      </c>
      <c r="H6542">
        <f>IF(DATOS!$G6542&lt;&gt;"EX",0,--(COUNTIFS(nNIA,DATOS!$A6542,nCURSO,DATOS!$D6542,nESPEC,DATOS!$E6542,nASIG,DATOS!$I6542,nEVAL,"OR")=0))</f>
      </c>
      <c r="I6542">
        <f>IF(DATOS!$I6542="","",IFERROR(VLOOKUP(DATOS!$I6542,CONFIG_ASIGNATURAS!$B$2:$J$91,9,FALSE()),""))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IF(DATOS!$A6543="",0,IF(CONFIG_METADATA!$B$4&lt;&gt;"OR+EX",--(DATOS!$G6543=CONFIG_METADATA!$B$4),IF(DATOS!$G6543="EX",1,IF(DATOS!$G6543="OR",--(COUNTIFS(nNIA,DATOS!$A6543,nCURSO,DATOS!$D6543,nESPEC,DATOS!$E6543,nASIG,DATOS!$I6543,nEVAL,"EX")=0),0))))</f>
      </c>
      <c r="H6543">
        <f>IF(DATOS!$G6543&lt;&gt;"EX",0,--(COUNTIFS(nNIA,DATOS!$A6543,nCURSO,DATOS!$D6543,nESPEC,DATOS!$E6543,nASIG,DATOS!$I6543,nEVAL,"OR")=0))</f>
      </c>
      <c r="I6543">
        <f>IF(DATOS!$I6543="","",IFERROR(VLOOKUP(DATOS!$I6543,CONFIG_ASIGNATURAS!$B$2:$J$91,9,FALSE()),""))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IF(DATOS!$A6544="",0,IF(CONFIG_METADATA!$B$4&lt;&gt;"OR+EX",--(DATOS!$G6544=CONFIG_METADATA!$B$4),IF(DATOS!$G6544="EX",1,IF(DATOS!$G6544="OR",--(COUNTIFS(nNIA,DATOS!$A6544,nCURSO,DATOS!$D6544,nESPEC,DATOS!$E6544,nASIG,DATOS!$I6544,nEVAL,"EX")=0),0))))</f>
      </c>
      <c r="H6544">
        <f>IF(DATOS!$G6544&lt;&gt;"EX",0,--(COUNTIFS(nNIA,DATOS!$A6544,nCURSO,DATOS!$D6544,nESPEC,DATOS!$E6544,nASIG,DATOS!$I6544,nEVAL,"OR")=0))</f>
      </c>
      <c r="I6544">
        <f>IF(DATOS!$I6544="","",IFERROR(VLOOKUP(DATOS!$I6544,CONFIG_ASIGNATURAS!$B$2:$J$91,9,FALSE()),""))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IF(DATOS!$A6545="",0,IF(CONFIG_METADATA!$B$4&lt;&gt;"OR+EX",--(DATOS!$G6545=CONFIG_METADATA!$B$4),IF(DATOS!$G6545="EX",1,IF(DATOS!$G6545="OR",--(COUNTIFS(nNIA,DATOS!$A6545,nCURSO,DATOS!$D6545,nESPEC,DATOS!$E6545,nASIG,DATOS!$I6545,nEVAL,"EX")=0),0))))</f>
      </c>
      <c r="H6545">
        <f>IF(DATOS!$G6545&lt;&gt;"EX",0,--(COUNTIFS(nNIA,DATOS!$A6545,nCURSO,DATOS!$D6545,nESPEC,DATOS!$E6545,nASIG,DATOS!$I6545,nEVAL,"OR")=0))</f>
      </c>
      <c r="I6545">
        <f>IF(DATOS!$I6545="","",IFERROR(VLOOKUP(DATOS!$I6545,CONFIG_ASIGNATURAS!$B$2:$J$91,9,FALSE()),""))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IF(DATOS!$A6546="",0,IF(CONFIG_METADATA!$B$4&lt;&gt;"OR+EX",--(DATOS!$G6546=CONFIG_METADATA!$B$4),IF(DATOS!$G6546="EX",1,IF(DATOS!$G6546="OR",--(COUNTIFS(nNIA,DATOS!$A6546,nCURSO,DATOS!$D6546,nESPEC,DATOS!$E6546,nASIG,DATOS!$I6546,nEVAL,"EX")=0),0))))</f>
      </c>
      <c r="H6546">
        <f>IF(DATOS!$G6546&lt;&gt;"EX",0,--(COUNTIFS(nNIA,DATOS!$A6546,nCURSO,DATOS!$D6546,nESPEC,DATOS!$E6546,nASIG,DATOS!$I6546,nEVAL,"OR")=0))</f>
      </c>
      <c r="I6546">
        <f>IF(DATOS!$I6546="","",IFERROR(VLOOKUP(DATOS!$I6546,CONFIG_ASIGNATURAS!$B$2:$J$91,9,FALSE()),""))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IF(DATOS!$A6547="",0,IF(CONFIG_METADATA!$B$4&lt;&gt;"OR+EX",--(DATOS!$G6547=CONFIG_METADATA!$B$4),IF(DATOS!$G6547="EX",1,IF(DATOS!$G6547="OR",--(COUNTIFS(nNIA,DATOS!$A6547,nCURSO,DATOS!$D6547,nESPEC,DATOS!$E6547,nASIG,DATOS!$I6547,nEVAL,"EX")=0),0))))</f>
      </c>
      <c r="H6547">
        <f>IF(DATOS!$G6547&lt;&gt;"EX",0,--(COUNTIFS(nNIA,DATOS!$A6547,nCURSO,DATOS!$D6547,nESPEC,DATOS!$E6547,nASIG,DATOS!$I6547,nEVAL,"OR")=0))</f>
      </c>
      <c r="I6547">
        <f>IF(DATOS!$I6547="","",IFERROR(VLOOKUP(DATOS!$I6547,CONFIG_ASIGNATURAS!$B$2:$J$91,9,FALSE()),""))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IF(DATOS!$A6548="",0,IF(CONFIG_METADATA!$B$4&lt;&gt;"OR+EX",--(DATOS!$G6548=CONFIG_METADATA!$B$4),IF(DATOS!$G6548="EX",1,IF(DATOS!$G6548="OR",--(COUNTIFS(nNIA,DATOS!$A6548,nCURSO,DATOS!$D6548,nESPEC,DATOS!$E6548,nASIG,DATOS!$I6548,nEVAL,"EX")=0),0))))</f>
      </c>
      <c r="H6548">
        <f>IF(DATOS!$G6548&lt;&gt;"EX",0,--(COUNTIFS(nNIA,DATOS!$A6548,nCURSO,DATOS!$D6548,nESPEC,DATOS!$E6548,nASIG,DATOS!$I6548,nEVAL,"OR")=0))</f>
      </c>
      <c r="I6548">
        <f>IF(DATOS!$I6548="","",IFERROR(VLOOKUP(DATOS!$I6548,CONFIG_ASIGNATURAS!$B$2:$J$91,9,FALSE()),""))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IF(DATOS!$A6549="",0,IF(CONFIG_METADATA!$B$4&lt;&gt;"OR+EX",--(DATOS!$G6549=CONFIG_METADATA!$B$4),IF(DATOS!$G6549="EX",1,IF(DATOS!$G6549="OR",--(COUNTIFS(nNIA,DATOS!$A6549,nCURSO,DATOS!$D6549,nESPEC,DATOS!$E6549,nASIG,DATOS!$I6549,nEVAL,"EX")=0),0))))</f>
      </c>
      <c r="H6549">
        <f>IF(DATOS!$G6549&lt;&gt;"EX",0,--(COUNTIFS(nNIA,DATOS!$A6549,nCURSO,DATOS!$D6549,nESPEC,DATOS!$E6549,nASIG,DATOS!$I6549,nEVAL,"OR")=0))</f>
      </c>
      <c r="I6549">
        <f>IF(DATOS!$I6549="","",IFERROR(VLOOKUP(DATOS!$I6549,CONFIG_ASIGNATURAS!$B$2:$J$91,9,FALSE()),""))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IF(DATOS!$A6550="",0,IF(CONFIG_METADATA!$B$4&lt;&gt;"OR+EX",--(DATOS!$G6550=CONFIG_METADATA!$B$4),IF(DATOS!$G6550="EX",1,IF(DATOS!$G6550="OR",--(COUNTIFS(nNIA,DATOS!$A6550,nCURSO,DATOS!$D6550,nESPEC,DATOS!$E6550,nASIG,DATOS!$I6550,nEVAL,"EX")=0),0))))</f>
      </c>
      <c r="H6550">
        <f>IF(DATOS!$G6550&lt;&gt;"EX",0,--(COUNTIFS(nNIA,DATOS!$A6550,nCURSO,DATOS!$D6550,nESPEC,DATOS!$E6550,nASIG,DATOS!$I6550,nEVAL,"OR")=0))</f>
      </c>
      <c r="I6550">
        <f>IF(DATOS!$I6550="","",IFERROR(VLOOKUP(DATOS!$I6550,CONFIG_ASIGNATURAS!$B$2:$J$91,9,FALSE()),""))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IF(DATOS!$A6551="",0,IF(CONFIG_METADATA!$B$4&lt;&gt;"OR+EX",--(DATOS!$G6551=CONFIG_METADATA!$B$4),IF(DATOS!$G6551="EX",1,IF(DATOS!$G6551="OR",--(COUNTIFS(nNIA,DATOS!$A6551,nCURSO,DATOS!$D6551,nESPEC,DATOS!$E6551,nASIG,DATOS!$I6551,nEVAL,"EX")=0),0))))</f>
      </c>
      <c r="H6551">
        <f>IF(DATOS!$G6551&lt;&gt;"EX",0,--(COUNTIFS(nNIA,DATOS!$A6551,nCURSO,DATOS!$D6551,nESPEC,DATOS!$E6551,nASIG,DATOS!$I6551,nEVAL,"OR")=0))</f>
      </c>
      <c r="I6551">
        <f>IF(DATOS!$I6551="","",IFERROR(VLOOKUP(DATOS!$I6551,CONFIG_ASIGNATURAS!$B$2:$J$91,9,FALSE()),""))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IF(DATOS!$A6552="",0,IF(CONFIG_METADATA!$B$4&lt;&gt;"OR+EX",--(DATOS!$G6552=CONFIG_METADATA!$B$4),IF(DATOS!$G6552="EX",1,IF(DATOS!$G6552="OR",--(COUNTIFS(nNIA,DATOS!$A6552,nCURSO,DATOS!$D6552,nESPEC,DATOS!$E6552,nASIG,DATOS!$I6552,nEVAL,"EX")=0),0))))</f>
      </c>
      <c r="H6552">
        <f>IF(DATOS!$G6552&lt;&gt;"EX",0,--(COUNTIFS(nNIA,DATOS!$A6552,nCURSO,DATOS!$D6552,nESPEC,DATOS!$E6552,nASIG,DATOS!$I6552,nEVAL,"OR")=0))</f>
      </c>
      <c r="I6552">
        <f>IF(DATOS!$I6552="","",IFERROR(VLOOKUP(DATOS!$I6552,CONFIG_ASIGNATURAS!$B$2:$J$91,9,FALSE()),""))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IF(DATOS!$A6553="",0,IF(CONFIG_METADATA!$B$4&lt;&gt;"OR+EX",--(DATOS!$G6553=CONFIG_METADATA!$B$4),IF(DATOS!$G6553="EX",1,IF(DATOS!$G6553="OR",--(COUNTIFS(nNIA,DATOS!$A6553,nCURSO,DATOS!$D6553,nESPEC,DATOS!$E6553,nASIG,DATOS!$I6553,nEVAL,"EX")=0),0))))</f>
      </c>
      <c r="H6553">
        <f>IF(DATOS!$G6553&lt;&gt;"EX",0,--(COUNTIFS(nNIA,DATOS!$A6553,nCURSO,DATOS!$D6553,nESPEC,DATOS!$E6553,nASIG,DATOS!$I6553,nEVAL,"OR")=0))</f>
      </c>
      <c r="I6553">
        <f>IF(DATOS!$I6553="","",IFERROR(VLOOKUP(DATOS!$I6553,CONFIG_ASIGNATURAS!$B$2:$J$91,9,FALSE()),""))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IF(DATOS!$A6554="",0,IF(CONFIG_METADATA!$B$4&lt;&gt;"OR+EX",--(DATOS!$G6554=CONFIG_METADATA!$B$4),IF(DATOS!$G6554="EX",1,IF(DATOS!$G6554="OR",--(COUNTIFS(nNIA,DATOS!$A6554,nCURSO,DATOS!$D6554,nESPEC,DATOS!$E6554,nASIG,DATOS!$I6554,nEVAL,"EX")=0),0))))</f>
      </c>
      <c r="H6554">
        <f>IF(DATOS!$G6554&lt;&gt;"EX",0,--(COUNTIFS(nNIA,DATOS!$A6554,nCURSO,DATOS!$D6554,nESPEC,DATOS!$E6554,nASIG,DATOS!$I6554,nEVAL,"OR")=0))</f>
      </c>
      <c r="I6554">
        <f>IF(DATOS!$I6554="","",IFERROR(VLOOKUP(DATOS!$I6554,CONFIG_ASIGNATURAS!$B$2:$J$91,9,FALSE()),""))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IF(DATOS!$A6555="",0,IF(CONFIG_METADATA!$B$4&lt;&gt;"OR+EX",--(DATOS!$G6555=CONFIG_METADATA!$B$4),IF(DATOS!$G6555="EX",1,IF(DATOS!$G6555="OR",--(COUNTIFS(nNIA,DATOS!$A6555,nCURSO,DATOS!$D6555,nESPEC,DATOS!$E6555,nASIG,DATOS!$I6555,nEVAL,"EX")=0),0))))</f>
      </c>
      <c r="H6555">
        <f>IF(DATOS!$G6555&lt;&gt;"EX",0,--(COUNTIFS(nNIA,DATOS!$A6555,nCURSO,DATOS!$D6555,nESPEC,DATOS!$E6555,nASIG,DATOS!$I6555,nEVAL,"OR")=0))</f>
      </c>
      <c r="I6555">
        <f>IF(DATOS!$I6555="","",IFERROR(VLOOKUP(DATOS!$I6555,CONFIG_ASIGNATURAS!$B$2:$J$91,9,FALSE()),""))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IF(DATOS!$A6556="",0,IF(CONFIG_METADATA!$B$4&lt;&gt;"OR+EX",--(DATOS!$G6556=CONFIG_METADATA!$B$4),IF(DATOS!$G6556="EX",1,IF(DATOS!$G6556="OR",--(COUNTIFS(nNIA,DATOS!$A6556,nCURSO,DATOS!$D6556,nESPEC,DATOS!$E6556,nASIG,DATOS!$I6556,nEVAL,"EX")=0),0))))</f>
      </c>
      <c r="H6556">
        <f>IF(DATOS!$G6556&lt;&gt;"EX",0,--(COUNTIFS(nNIA,DATOS!$A6556,nCURSO,DATOS!$D6556,nESPEC,DATOS!$E6556,nASIG,DATOS!$I6556,nEVAL,"OR")=0))</f>
      </c>
      <c r="I6556">
        <f>IF(DATOS!$I6556="","",IFERROR(VLOOKUP(DATOS!$I6556,CONFIG_ASIGNATURAS!$B$2:$J$91,9,FALSE()),""))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IF(DATOS!$A6557="",0,IF(CONFIG_METADATA!$B$4&lt;&gt;"OR+EX",--(DATOS!$G6557=CONFIG_METADATA!$B$4),IF(DATOS!$G6557="EX",1,IF(DATOS!$G6557="OR",--(COUNTIFS(nNIA,DATOS!$A6557,nCURSO,DATOS!$D6557,nESPEC,DATOS!$E6557,nASIG,DATOS!$I6557,nEVAL,"EX")=0),0))))</f>
      </c>
      <c r="H6557">
        <f>IF(DATOS!$G6557&lt;&gt;"EX",0,--(COUNTIFS(nNIA,DATOS!$A6557,nCURSO,DATOS!$D6557,nESPEC,DATOS!$E6557,nASIG,DATOS!$I6557,nEVAL,"OR")=0))</f>
      </c>
      <c r="I6557">
        <f>IF(DATOS!$I6557="","",IFERROR(VLOOKUP(DATOS!$I6557,CONFIG_ASIGNATURAS!$B$2:$J$91,9,FALSE()),""))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IF(DATOS!$A6558="",0,IF(CONFIG_METADATA!$B$4&lt;&gt;"OR+EX",--(DATOS!$G6558=CONFIG_METADATA!$B$4),IF(DATOS!$G6558="EX",1,IF(DATOS!$G6558="OR",--(COUNTIFS(nNIA,DATOS!$A6558,nCURSO,DATOS!$D6558,nESPEC,DATOS!$E6558,nASIG,DATOS!$I6558,nEVAL,"EX")=0),0))))</f>
      </c>
      <c r="H6558">
        <f>IF(DATOS!$G6558&lt;&gt;"EX",0,--(COUNTIFS(nNIA,DATOS!$A6558,nCURSO,DATOS!$D6558,nESPEC,DATOS!$E6558,nASIG,DATOS!$I6558,nEVAL,"OR")=0))</f>
      </c>
      <c r="I6558">
        <f>IF(DATOS!$I6558="","",IFERROR(VLOOKUP(DATOS!$I6558,CONFIG_ASIGNATURAS!$B$2:$J$91,9,FALSE()),""))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IF(DATOS!$A6559="",0,IF(CONFIG_METADATA!$B$4&lt;&gt;"OR+EX",--(DATOS!$G6559=CONFIG_METADATA!$B$4),IF(DATOS!$G6559="EX",1,IF(DATOS!$G6559="OR",--(COUNTIFS(nNIA,DATOS!$A6559,nCURSO,DATOS!$D6559,nESPEC,DATOS!$E6559,nASIG,DATOS!$I6559,nEVAL,"EX")=0),0))))</f>
      </c>
      <c r="H6559">
        <f>IF(DATOS!$G6559&lt;&gt;"EX",0,--(COUNTIFS(nNIA,DATOS!$A6559,nCURSO,DATOS!$D6559,nESPEC,DATOS!$E6559,nASIG,DATOS!$I6559,nEVAL,"OR")=0))</f>
      </c>
      <c r="I6559">
        <f>IF(DATOS!$I6559="","",IFERROR(VLOOKUP(DATOS!$I6559,CONFIG_ASIGNATURAS!$B$2:$J$91,9,FALSE()),""))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IF(DATOS!$A6560="",0,IF(CONFIG_METADATA!$B$4&lt;&gt;"OR+EX",--(DATOS!$G6560=CONFIG_METADATA!$B$4),IF(DATOS!$G6560="EX",1,IF(DATOS!$G6560="OR",--(COUNTIFS(nNIA,DATOS!$A6560,nCURSO,DATOS!$D6560,nESPEC,DATOS!$E6560,nASIG,DATOS!$I6560,nEVAL,"EX")=0),0))))</f>
      </c>
      <c r="H6560">
        <f>IF(DATOS!$G6560&lt;&gt;"EX",0,--(COUNTIFS(nNIA,DATOS!$A6560,nCURSO,DATOS!$D6560,nESPEC,DATOS!$E6560,nASIG,DATOS!$I6560,nEVAL,"OR")=0))</f>
      </c>
      <c r="I6560">
        <f>IF(DATOS!$I6560="","",IFERROR(VLOOKUP(DATOS!$I6560,CONFIG_ASIGNATURAS!$B$2:$J$91,9,FALSE()),""))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IF(DATOS!$A6561="",0,IF(CONFIG_METADATA!$B$4&lt;&gt;"OR+EX",--(DATOS!$G6561=CONFIG_METADATA!$B$4),IF(DATOS!$G6561="EX",1,IF(DATOS!$G6561="OR",--(COUNTIFS(nNIA,DATOS!$A6561,nCURSO,DATOS!$D6561,nESPEC,DATOS!$E6561,nASIG,DATOS!$I6561,nEVAL,"EX")=0),0))))</f>
      </c>
      <c r="H6561">
        <f>IF(DATOS!$G6561&lt;&gt;"EX",0,--(COUNTIFS(nNIA,DATOS!$A6561,nCURSO,DATOS!$D6561,nESPEC,DATOS!$E6561,nASIG,DATOS!$I6561,nEVAL,"OR")=0))</f>
      </c>
      <c r="I6561">
        <f>IF(DATOS!$I6561="","",IFERROR(VLOOKUP(DATOS!$I6561,CONFIG_ASIGNATURAS!$B$2:$J$91,9,FALSE()),""))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IF(DATOS!$A6562="",0,IF(CONFIG_METADATA!$B$4&lt;&gt;"OR+EX",--(DATOS!$G6562=CONFIG_METADATA!$B$4),IF(DATOS!$G6562="EX",1,IF(DATOS!$G6562="OR",--(COUNTIFS(nNIA,DATOS!$A6562,nCURSO,DATOS!$D6562,nESPEC,DATOS!$E6562,nASIG,DATOS!$I6562,nEVAL,"EX")=0),0))))</f>
      </c>
      <c r="H6562">
        <f>IF(DATOS!$G6562&lt;&gt;"EX",0,--(COUNTIFS(nNIA,DATOS!$A6562,nCURSO,DATOS!$D6562,nESPEC,DATOS!$E6562,nASIG,DATOS!$I6562,nEVAL,"OR")=0))</f>
      </c>
      <c r="I6562">
        <f>IF(DATOS!$I6562="","",IFERROR(VLOOKUP(DATOS!$I6562,CONFIG_ASIGNATURAS!$B$2:$J$91,9,FALSE()),""))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IF(DATOS!$A6563="",0,IF(CONFIG_METADATA!$B$4&lt;&gt;"OR+EX",--(DATOS!$G6563=CONFIG_METADATA!$B$4),IF(DATOS!$G6563="EX",1,IF(DATOS!$G6563="OR",--(COUNTIFS(nNIA,DATOS!$A6563,nCURSO,DATOS!$D6563,nESPEC,DATOS!$E6563,nASIG,DATOS!$I6563,nEVAL,"EX")=0),0))))</f>
      </c>
      <c r="H6563">
        <f>IF(DATOS!$G6563&lt;&gt;"EX",0,--(COUNTIFS(nNIA,DATOS!$A6563,nCURSO,DATOS!$D6563,nESPEC,DATOS!$E6563,nASIG,DATOS!$I6563,nEVAL,"OR")=0))</f>
      </c>
      <c r="I6563">
        <f>IF(DATOS!$I6563="","",IFERROR(VLOOKUP(DATOS!$I6563,CONFIG_ASIGNATURAS!$B$2:$J$91,9,FALSE()),""))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IF(DATOS!$A6564="",0,IF(CONFIG_METADATA!$B$4&lt;&gt;"OR+EX",--(DATOS!$G6564=CONFIG_METADATA!$B$4),IF(DATOS!$G6564="EX",1,IF(DATOS!$G6564="OR",--(COUNTIFS(nNIA,DATOS!$A6564,nCURSO,DATOS!$D6564,nESPEC,DATOS!$E6564,nASIG,DATOS!$I6564,nEVAL,"EX")=0),0))))</f>
      </c>
      <c r="H6564">
        <f>IF(DATOS!$G6564&lt;&gt;"EX",0,--(COUNTIFS(nNIA,DATOS!$A6564,nCURSO,DATOS!$D6564,nESPEC,DATOS!$E6564,nASIG,DATOS!$I6564,nEVAL,"OR")=0))</f>
      </c>
      <c r="I6564">
        <f>IF(DATOS!$I6564="","",IFERROR(VLOOKUP(DATOS!$I6564,CONFIG_ASIGNATURAS!$B$2:$J$91,9,FALSE()),""))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IF(DATOS!$A6565="",0,IF(CONFIG_METADATA!$B$4&lt;&gt;"OR+EX",--(DATOS!$G6565=CONFIG_METADATA!$B$4),IF(DATOS!$G6565="EX",1,IF(DATOS!$G6565="OR",--(COUNTIFS(nNIA,DATOS!$A6565,nCURSO,DATOS!$D6565,nESPEC,DATOS!$E6565,nASIG,DATOS!$I6565,nEVAL,"EX")=0),0))))</f>
      </c>
      <c r="H6565">
        <f>IF(DATOS!$G6565&lt;&gt;"EX",0,--(COUNTIFS(nNIA,DATOS!$A6565,nCURSO,DATOS!$D6565,nESPEC,DATOS!$E6565,nASIG,DATOS!$I6565,nEVAL,"OR")=0))</f>
      </c>
      <c r="I6565">
        <f>IF(DATOS!$I6565="","",IFERROR(VLOOKUP(DATOS!$I6565,CONFIG_ASIGNATURAS!$B$2:$J$91,9,FALSE()),""))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IF(DATOS!$A6566="",0,IF(CONFIG_METADATA!$B$4&lt;&gt;"OR+EX",--(DATOS!$G6566=CONFIG_METADATA!$B$4),IF(DATOS!$G6566="EX",1,IF(DATOS!$G6566="OR",--(COUNTIFS(nNIA,DATOS!$A6566,nCURSO,DATOS!$D6566,nESPEC,DATOS!$E6566,nASIG,DATOS!$I6566,nEVAL,"EX")=0),0))))</f>
      </c>
      <c r="H6566">
        <f>IF(DATOS!$G6566&lt;&gt;"EX",0,--(COUNTIFS(nNIA,DATOS!$A6566,nCURSO,DATOS!$D6566,nESPEC,DATOS!$E6566,nASIG,DATOS!$I6566,nEVAL,"OR")=0))</f>
      </c>
      <c r="I6566">
        <f>IF(DATOS!$I6566="","",IFERROR(VLOOKUP(DATOS!$I6566,CONFIG_ASIGNATURAS!$B$2:$J$91,9,FALSE()),""))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IF(DATOS!$A6567="",0,IF(CONFIG_METADATA!$B$4&lt;&gt;"OR+EX",--(DATOS!$G6567=CONFIG_METADATA!$B$4),IF(DATOS!$G6567="EX",1,IF(DATOS!$G6567="OR",--(COUNTIFS(nNIA,DATOS!$A6567,nCURSO,DATOS!$D6567,nESPEC,DATOS!$E6567,nASIG,DATOS!$I6567,nEVAL,"EX")=0),0))))</f>
      </c>
      <c r="H6567">
        <f>IF(DATOS!$G6567&lt;&gt;"EX",0,--(COUNTIFS(nNIA,DATOS!$A6567,nCURSO,DATOS!$D6567,nESPEC,DATOS!$E6567,nASIG,DATOS!$I6567,nEVAL,"OR")=0))</f>
      </c>
      <c r="I6567">
        <f>IF(DATOS!$I6567="","",IFERROR(VLOOKUP(DATOS!$I6567,CONFIG_ASIGNATURAS!$B$2:$J$91,9,FALSE()),""))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IF(DATOS!$A6568="",0,IF(CONFIG_METADATA!$B$4&lt;&gt;"OR+EX",--(DATOS!$G6568=CONFIG_METADATA!$B$4),IF(DATOS!$G6568="EX",1,IF(DATOS!$G6568="OR",--(COUNTIFS(nNIA,DATOS!$A6568,nCURSO,DATOS!$D6568,nESPEC,DATOS!$E6568,nASIG,DATOS!$I6568,nEVAL,"EX")=0),0))))</f>
      </c>
      <c r="H6568">
        <f>IF(DATOS!$G6568&lt;&gt;"EX",0,--(COUNTIFS(nNIA,DATOS!$A6568,nCURSO,DATOS!$D6568,nESPEC,DATOS!$E6568,nASIG,DATOS!$I6568,nEVAL,"OR")=0))</f>
      </c>
      <c r="I6568">
        <f>IF(DATOS!$I6568="","",IFERROR(VLOOKUP(DATOS!$I6568,CONFIG_ASIGNATURAS!$B$2:$J$91,9,FALSE()),""))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IF(DATOS!$A6569="",0,IF(CONFIG_METADATA!$B$4&lt;&gt;"OR+EX",--(DATOS!$G6569=CONFIG_METADATA!$B$4),IF(DATOS!$G6569="EX",1,IF(DATOS!$G6569="OR",--(COUNTIFS(nNIA,DATOS!$A6569,nCURSO,DATOS!$D6569,nESPEC,DATOS!$E6569,nASIG,DATOS!$I6569,nEVAL,"EX")=0),0))))</f>
      </c>
      <c r="H6569">
        <f>IF(DATOS!$G6569&lt;&gt;"EX",0,--(COUNTIFS(nNIA,DATOS!$A6569,nCURSO,DATOS!$D6569,nESPEC,DATOS!$E6569,nASIG,DATOS!$I6569,nEVAL,"OR")=0))</f>
      </c>
      <c r="I6569">
        <f>IF(DATOS!$I6569="","",IFERROR(VLOOKUP(DATOS!$I6569,CONFIG_ASIGNATURAS!$B$2:$J$91,9,FALSE()),""))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IF(DATOS!$A6570="",0,IF(CONFIG_METADATA!$B$4&lt;&gt;"OR+EX",--(DATOS!$G6570=CONFIG_METADATA!$B$4),IF(DATOS!$G6570="EX",1,IF(DATOS!$G6570="OR",--(COUNTIFS(nNIA,DATOS!$A6570,nCURSO,DATOS!$D6570,nESPEC,DATOS!$E6570,nASIG,DATOS!$I6570,nEVAL,"EX")=0),0))))</f>
      </c>
      <c r="H6570">
        <f>IF(DATOS!$G6570&lt;&gt;"EX",0,--(COUNTIFS(nNIA,DATOS!$A6570,nCURSO,DATOS!$D6570,nESPEC,DATOS!$E6570,nASIG,DATOS!$I6570,nEVAL,"OR")=0))</f>
      </c>
      <c r="I6570">
        <f>IF(DATOS!$I6570="","",IFERROR(VLOOKUP(DATOS!$I6570,CONFIG_ASIGNATURAS!$B$2:$J$91,9,FALSE()),""))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IF(DATOS!$A6571="",0,IF(CONFIG_METADATA!$B$4&lt;&gt;"OR+EX",--(DATOS!$G6571=CONFIG_METADATA!$B$4),IF(DATOS!$G6571="EX",1,IF(DATOS!$G6571="OR",--(COUNTIFS(nNIA,DATOS!$A6571,nCURSO,DATOS!$D6571,nESPEC,DATOS!$E6571,nASIG,DATOS!$I6571,nEVAL,"EX")=0),0))))</f>
      </c>
      <c r="H6571">
        <f>IF(DATOS!$G6571&lt;&gt;"EX",0,--(COUNTIFS(nNIA,DATOS!$A6571,nCURSO,DATOS!$D6571,nESPEC,DATOS!$E6571,nASIG,DATOS!$I6571,nEVAL,"OR")=0))</f>
      </c>
      <c r="I6571">
        <f>IF(DATOS!$I6571="","",IFERROR(VLOOKUP(DATOS!$I6571,CONFIG_ASIGNATURAS!$B$2:$J$91,9,FALSE()),""))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IF(DATOS!$A6572="",0,IF(CONFIG_METADATA!$B$4&lt;&gt;"OR+EX",--(DATOS!$G6572=CONFIG_METADATA!$B$4),IF(DATOS!$G6572="EX",1,IF(DATOS!$G6572="OR",--(COUNTIFS(nNIA,DATOS!$A6572,nCURSO,DATOS!$D6572,nESPEC,DATOS!$E6572,nASIG,DATOS!$I6572,nEVAL,"EX")=0),0))))</f>
      </c>
      <c r="H6572">
        <f>IF(DATOS!$G6572&lt;&gt;"EX",0,--(COUNTIFS(nNIA,DATOS!$A6572,nCURSO,DATOS!$D6572,nESPEC,DATOS!$E6572,nASIG,DATOS!$I6572,nEVAL,"OR")=0))</f>
      </c>
      <c r="I6572">
        <f>IF(DATOS!$I6572="","",IFERROR(VLOOKUP(DATOS!$I6572,CONFIG_ASIGNATURAS!$B$2:$J$91,9,FALSE()),""))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IF(DATOS!$A6573="",0,IF(CONFIG_METADATA!$B$4&lt;&gt;"OR+EX",--(DATOS!$G6573=CONFIG_METADATA!$B$4),IF(DATOS!$G6573="EX",1,IF(DATOS!$G6573="OR",--(COUNTIFS(nNIA,DATOS!$A6573,nCURSO,DATOS!$D6573,nESPEC,DATOS!$E6573,nASIG,DATOS!$I6573,nEVAL,"EX")=0),0))))</f>
      </c>
      <c r="H6573">
        <f>IF(DATOS!$G6573&lt;&gt;"EX",0,--(COUNTIFS(nNIA,DATOS!$A6573,nCURSO,DATOS!$D6573,nESPEC,DATOS!$E6573,nASIG,DATOS!$I6573,nEVAL,"OR")=0))</f>
      </c>
      <c r="I6573">
        <f>IF(DATOS!$I6573="","",IFERROR(VLOOKUP(DATOS!$I6573,CONFIG_ASIGNATURAS!$B$2:$J$91,9,FALSE()),""))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IF(DATOS!$A6574="",0,IF(CONFIG_METADATA!$B$4&lt;&gt;"OR+EX",--(DATOS!$G6574=CONFIG_METADATA!$B$4),IF(DATOS!$G6574="EX",1,IF(DATOS!$G6574="OR",--(COUNTIFS(nNIA,DATOS!$A6574,nCURSO,DATOS!$D6574,nESPEC,DATOS!$E6574,nASIG,DATOS!$I6574,nEVAL,"EX")=0),0))))</f>
      </c>
      <c r="H6574">
        <f>IF(DATOS!$G6574&lt;&gt;"EX",0,--(COUNTIFS(nNIA,DATOS!$A6574,nCURSO,DATOS!$D6574,nESPEC,DATOS!$E6574,nASIG,DATOS!$I6574,nEVAL,"OR")=0))</f>
      </c>
      <c r="I6574">
        <f>IF(DATOS!$I6574="","",IFERROR(VLOOKUP(DATOS!$I6574,CONFIG_ASIGNATURAS!$B$2:$J$91,9,FALSE()),""))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IF(DATOS!$A6575="",0,IF(CONFIG_METADATA!$B$4&lt;&gt;"OR+EX",--(DATOS!$G6575=CONFIG_METADATA!$B$4),IF(DATOS!$G6575="EX",1,IF(DATOS!$G6575="OR",--(COUNTIFS(nNIA,DATOS!$A6575,nCURSO,DATOS!$D6575,nESPEC,DATOS!$E6575,nASIG,DATOS!$I6575,nEVAL,"EX")=0),0))))</f>
      </c>
      <c r="H6575">
        <f>IF(DATOS!$G6575&lt;&gt;"EX",0,--(COUNTIFS(nNIA,DATOS!$A6575,nCURSO,DATOS!$D6575,nESPEC,DATOS!$E6575,nASIG,DATOS!$I6575,nEVAL,"OR")=0))</f>
      </c>
      <c r="I6575">
        <f>IF(DATOS!$I6575="","",IFERROR(VLOOKUP(DATOS!$I6575,CONFIG_ASIGNATURAS!$B$2:$J$91,9,FALSE()),""))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IF(DATOS!$A6576="",0,IF(CONFIG_METADATA!$B$4&lt;&gt;"OR+EX",--(DATOS!$G6576=CONFIG_METADATA!$B$4),IF(DATOS!$G6576="EX",1,IF(DATOS!$G6576="OR",--(COUNTIFS(nNIA,DATOS!$A6576,nCURSO,DATOS!$D6576,nESPEC,DATOS!$E6576,nASIG,DATOS!$I6576,nEVAL,"EX")=0),0))))</f>
      </c>
      <c r="H6576">
        <f>IF(DATOS!$G6576&lt;&gt;"EX",0,--(COUNTIFS(nNIA,DATOS!$A6576,nCURSO,DATOS!$D6576,nESPEC,DATOS!$E6576,nASIG,DATOS!$I6576,nEVAL,"OR")=0))</f>
      </c>
      <c r="I6576">
        <f>IF(DATOS!$I6576="","",IFERROR(VLOOKUP(DATOS!$I6576,CONFIG_ASIGNATURAS!$B$2:$J$91,9,FALSE()),""))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IF(DATOS!$A6577="",0,IF(CONFIG_METADATA!$B$4&lt;&gt;"OR+EX",--(DATOS!$G6577=CONFIG_METADATA!$B$4),IF(DATOS!$G6577="EX",1,IF(DATOS!$G6577="OR",--(COUNTIFS(nNIA,DATOS!$A6577,nCURSO,DATOS!$D6577,nESPEC,DATOS!$E6577,nASIG,DATOS!$I6577,nEVAL,"EX")=0),0))))</f>
      </c>
      <c r="H6577">
        <f>IF(DATOS!$G6577&lt;&gt;"EX",0,--(COUNTIFS(nNIA,DATOS!$A6577,nCURSO,DATOS!$D6577,nESPEC,DATOS!$E6577,nASIG,DATOS!$I6577,nEVAL,"OR")=0))</f>
      </c>
      <c r="I6577">
        <f>IF(DATOS!$I6577="","",IFERROR(VLOOKUP(DATOS!$I6577,CONFIG_ASIGNATURAS!$B$2:$J$91,9,FALSE()),""))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IF(DATOS!$A6578="",0,IF(CONFIG_METADATA!$B$4&lt;&gt;"OR+EX",--(DATOS!$G6578=CONFIG_METADATA!$B$4),IF(DATOS!$G6578="EX",1,IF(DATOS!$G6578="OR",--(COUNTIFS(nNIA,DATOS!$A6578,nCURSO,DATOS!$D6578,nESPEC,DATOS!$E6578,nASIG,DATOS!$I6578,nEVAL,"EX")=0),0))))</f>
      </c>
      <c r="H6578">
        <f>IF(DATOS!$G6578&lt;&gt;"EX",0,--(COUNTIFS(nNIA,DATOS!$A6578,nCURSO,DATOS!$D6578,nESPEC,DATOS!$E6578,nASIG,DATOS!$I6578,nEVAL,"OR")=0))</f>
      </c>
      <c r="I6578">
        <f>IF(DATOS!$I6578="","",IFERROR(VLOOKUP(DATOS!$I6578,CONFIG_ASIGNATURAS!$B$2:$J$91,9,FALSE()),""))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IF(DATOS!$A6579="",0,IF(CONFIG_METADATA!$B$4&lt;&gt;"OR+EX",--(DATOS!$G6579=CONFIG_METADATA!$B$4),IF(DATOS!$G6579="EX",1,IF(DATOS!$G6579="OR",--(COUNTIFS(nNIA,DATOS!$A6579,nCURSO,DATOS!$D6579,nESPEC,DATOS!$E6579,nASIG,DATOS!$I6579,nEVAL,"EX")=0),0))))</f>
      </c>
      <c r="H6579">
        <f>IF(DATOS!$G6579&lt;&gt;"EX",0,--(COUNTIFS(nNIA,DATOS!$A6579,nCURSO,DATOS!$D6579,nESPEC,DATOS!$E6579,nASIG,DATOS!$I6579,nEVAL,"OR")=0))</f>
      </c>
      <c r="I6579">
        <f>IF(DATOS!$I6579="","",IFERROR(VLOOKUP(DATOS!$I6579,CONFIG_ASIGNATURAS!$B$2:$J$91,9,FALSE()),""))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IF(DATOS!$A6580="",0,IF(CONFIG_METADATA!$B$4&lt;&gt;"OR+EX",--(DATOS!$G6580=CONFIG_METADATA!$B$4),IF(DATOS!$G6580="EX",1,IF(DATOS!$G6580="OR",--(COUNTIFS(nNIA,DATOS!$A6580,nCURSO,DATOS!$D6580,nESPEC,DATOS!$E6580,nASIG,DATOS!$I6580,nEVAL,"EX")=0),0))))</f>
      </c>
      <c r="H6580">
        <f>IF(DATOS!$G6580&lt;&gt;"EX",0,--(COUNTIFS(nNIA,DATOS!$A6580,nCURSO,DATOS!$D6580,nESPEC,DATOS!$E6580,nASIG,DATOS!$I6580,nEVAL,"OR")=0))</f>
      </c>
      <c r="I6580">
        <f>IF(DATOS!$I6580="","",IFERROR(VLOOKUP(DATOS!$I6580,CONFIG_ASIGNATURAS!$B$2:$J$91,9,FALSE()),""))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IF(DATOS!$A6581="",0,IF(CONFIG_METADATA!$B$4&lt;&gt;"OR+EX",--(DATOS!$G6581=CONFIG_METADATA!$B$4),IF(DATOS!$G6581="EX",1,IF(DATOS!$G6581="OR",--(COUNTIFS(nNIA,DATOS!$A6581,nCURSO,DATOS!$D6581,nESPEC,DATOS!$E6581,nASIG,DATOS!$I6581,nEVAL,"EX")=0),0))))</f>
      </c>
      <c r="H6581">
        <f>IF(DATOS!$G6581&lt;&gt;"EX",0,--(COUNTIFS(nNIA,DATOS!$A6581,nCURSO,DATOS!$D6581,nESPEC,DATOS!$E6581,nASIG,DATOS!$I6581,nEVAL,"OR")=0))</f>
      </c>
      <c r="I6581">
        <f>IF(DATOS!$I6581="","",IFERROR(VLOOKUP(DATOS!$I6581,CONFIG_ASIGNATURAS!$B$2:$J$91,9,FALSE()),""))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IF(DATOS!$A6582="",0,IF(CONFIG_METADATA!$B$4&lt;&gt;"OR+EX",--(DATOS!$G6582=CONFIG_METADATA!$B$4),IF(DATOS!$G6582="EX",1,IF(DATOS!$G6582="OR",--(COUNTIFS(nNIA,DATOS!$A6582,nCURSO,DATOS!$D6582,nESPEC,DATOS!$E6582,nASIG,DATOS!$I6582,nEVAL,"EX")=0),0))))</f>
      </c>
      <c r="H6582">
        <f>IF(DATOS!$G6582&lt;&gt;"EX",0,--(COUNTIFS(nNIA,DATOS!$A6582,nCURSO,DATOS!$D6582,nESPEC,DATOS!$E6582,nASIG,DATOS!$I6582,nEVAL,"OR")=0))</f>
      </c>
      <c r="I6582">
        <f>IF(DATOS!$I6582="","",IFERROR(VLOOKUP(DATOS!$I6582,CONFIG_ASIGNATURAS!$B$2:$J$91,9,FALSE()),""))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IF(DATOS!$A6583="",0,IF(CONFIG_METADATA!$B$4&lt;&gt;"OR+EX",--(DATOS!$G6583=CONFIG_METADATA!$B$4),IF(DATOS!$G6583="EX",1,IF(DATOS!$G6583="OR",--(COUNTIFS(nNIA,DATOS!$A6583,nCURSO,DATOS!$D6583,nESPEC,DATOS!$E6583,nASIG,DATOS!$I6583,nEVAL,"EX")=0),0))))</f>
      </c>
      <c r="H6583">
        <f>IF(DATOS!$G6583&lt;&gt;"EX",0,--(COUNTIFS(nNIA,DATOS!$A6583,nCURSO,DATOS!$D6583,nESPEC,DATOS!$E6583,nASIG,DATOS!$I6583,nEVAL,"OR")=0))</f>
      </c>
      <c r="I6583">
        <f>IF(DATOS!$I6583="","",IFERROR(VLOOKUP(DATOS!$I6583,CONFIG_ASIGNATURAS!$B$2:$J$91,9,FALSE()),""))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IF(DATOS!$A6584="",0,IF(CONFIG_METADATA!$B$4&lt;&gt;"OR+EX",--(DATOS!$G6584=CONFIG_METADATA!$B$4),IF(DATOS!$G6584="EX",1,IF(DATOS!$G6584="OR",--(COUNTIFS(nNIA,DATOS!$A6584,nCURSO,DATOS!$D6584,nESPEC,DATOS!$E6584,nASIG,DATOS!$I6584,nEVAL,"EX")=0),0))))</f>
      </c>
      <c r="H6584">
        <f>IF(DATOS!$G6584&lt;&gt;"EX",0,--(COUNTIFS(nNIA,DATOS!$A6584,nCURSO,DATOS!$D6584,nESPEC,DATOS!$E6584,nASIG,DATOS!$I6584,nEVAL,"OR")=0))</f>
      </c>
      <c r="I6584">
        <f>IF(DATOS!$I6584="","",IFERROR(VLOOKUP(DATOS!$I6584,CONFIG_ASIGNATURAS!$B$2:$J$91,9,FALSE()),""))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IF(DATOS!$A6585="",0,IF(CONFIG_METADATA!$B$4&lt;&gt;"OR+EX",--(DATOS!$G6585=CONFIG_METADATA!$B$4),IF(DATOS!$G6585="EX",1,IF(DATOS!$G6585="OR",--(COUNTIFS(nNIA,DATOS!$A6585,nCURSO,DATOS!$D6585,nESPEC,DATOS!$E6585,nASIG,DATOS!$I6585,nEVAL,"EX")=0),0))))</f>
      </c>
      <c r="H6585">
        <f>IF(DATOS!$G6585&lt;&gt;"EX",0,--(COUNTIFS(nNIA,DATOS!$A6585,nCURSO,DATOS!$D6585,nESPEC,DATOS!$E6585,nASIG,DATOS!$I6585,nEVAL,"OR")=0))</f>
      </c>
      <c r="I6585">
        <f>IF(DATOS!$I6585="","",IFERROR(VLOOKUP(DATOS!$I6585,CONFIG_ASIGNATURAS!$B$2:$J$91,9,FALSE()),""))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IF(DATOS!$A6586="",0,IF(CONFIG_METADATA!$B$4&lt;&gt;"OR+EX",--(DATOS!$G6586=CONFIG_METADATA!$B$4),IF(DATOS!$G6586="EX",1,IF(DATOS!$G6586="OR",--(COUNTIFS(nNIA,DATOS!$A6586,nCURSO,DATOS!$D6586,nESPEC,DATOS!$E6586,nASIG,DATOS!$I6586,nEVAL,"EX")=0),0))))</f>
      </c>
      <c r="H6586">
        <f>IF(DATOS!$G6586&lt;&gt;"EX",0,--(COUNTIFS(nNIA,DATOS!$A6586,nCURSO,DATOS!$D6586,nESPEC,DATOS!$E6586,nASIG,DATOS!$I6586,nEVAL,"OR")=0))</f>
      </c>
      <c r="I6586">
        <f>IF(DATOS!$I6586="","",IFERROR(VLOOKUP(DATOS!$I6586,CONFIG_ASIGNATURAS!$B$2:$J$91,9,FALSE()),""))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IF(DATOS!$A6587="",0,IF(CONFIG_METADATA!$B$4&lt;&gt;"OR+EX",--(DATOS!$G6587=CONFIG_METADATA!$B$4),IF(DATOS!$G6587="EX",1,IF(DATOS!$G6587="OR",--(COUNTIFS(nNIA,DATOS!$A6587,nCURSO,DATOS!$D6587,nESPEC,DATOS!$E6587,nASIG,DATOS!$I6587,nEVAL,"EX")=0),0))))</f>
      </c>
      <c r="H6587">
        <f>IF(DATOS!$G6587&lt;&gt;"EX",0,--(COUNTIFS(nNIA,DATOS!$A6587,nCURSO,DATOS!$D6587,nESPEC,DATOS!$E6587,nASIG,DATOS!$I6587,nEVAL,"OR")=0))</f>
      </c>
      <c r="I6587">
        <f>IF(DATOS!$I6587="","",IFERROR(VLOOKUP(DATOS!$I6587,CONFIG_ASIGNATURAS!$B$2:$J$91,9,FALSE()),""))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IF(DATOS!$A6588="",0,IF(CONFIG_METADATA!$B$4&lt;&gt;"OR+EX",--(DATOS!$G6588=CONFIG_METADATA!$B$4),IF(DATOS!$G6588="EX",1,IF(DATOS!$G6588="OR",--(COUNTIFS(nNIA,DATOS!$A6588,nCURSO,DATOS!$D6588,nESPEC,DATOS!$E6588,nASIG,DATOS!$I6588,nEVAL,"EX")=0),0))))</f>
      </c>
      <c r="H6588">
        <f>IF(DATOS!$G6588&lt;&gt;"EX",0,--(COUNTIFS(nNIA,DATOS!$A6588,nCURSO,DATOS!$D6588,nESPEC,DATOS!$E6588,nASIG,DATOS!$I6588,nEVAL,"OR")=0))</f>
      </c>
      <c r="I6588">
        <f>IF(DATOS!$I6588="","",IFERROR(VLOOKUP(DATOS!$I6588,CONFIG_ASIGNATURAS!$B$2:$J$91,9,FALSE()),""))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IF(DATOS!$A6589="",0,IF(CONFIG_METADATA!$B$4&lt;&gt;"OR+EX",--(DATOS!$G6589=CONFIG_METADATA!$B$4),IF(DATOS!$G6589="EX",1,IF(DATOS!$G6589="OR",--(COUNTIFS(nNIA,DATOS!$A6589,nCURSO,DATOS!$D6589,nESPEC,DATOS!$E6589,nASIG,DATOS!$I6589,nEVAL,"EX")=0),0))))</f>
      </c>
      <c r="H6589">
        <f>IF(DATOS!$G6589&lt;&gt;"EX",0,--(COUNTIFS(nNIA,DATOS!$A6589,nCURSO,DATOS!$D6589,nESPEC,DATOS!$E6589,nASIG,DATOS!$I6589,nEVAL,"OR")=0))</f>
      </c>
      <c r="I6589">
        <f>IF(DATOS!$I6589="","",IFERROR(VLOOKUP(DATOS!$I6589,CONFIG_ASIGNATURAS!$B$2:$J$91,9,FALSE()),""))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IF(DATOS!$A6590="",0,IF(CONFIG_METADATA!$B$4&lt;&gt;"OR+EX",--(DATOS!$G6590=CONFIG_METADATA!$B$4),IF(DATOS!$G6590="EX",1,IF(DATOS!$G6590="OR",--(COUNTIFS(nNIA,DATOS!$A6590,nCURSO,DATOS!$D6590,nESPEC,DATOS!$E6590,nASIG,DATOS!$I6590,nEVAL,"EX")=0),0))))</f>
      </c>
      <c r="H6590">
        <f>IF(DATOS!$G6590&lt;&gt;"EX",0,--(COUNTIFS(nNIA,DATOS!$A6590,nCURSO,DATOS!$D6590,nESPEC,DATOS!$E6590,nASIG,DATOS!$I6590,nEVAL,"OR")=0))</f>
      </c>
      <c r="I6590">
        <f>IF(DATOS!$I6590="","",IFERROR(VLOOKUP(DATOS!$I6590,CONFIG_ASIGNATURAS!$B$2:$J$91,9,FALSE()),""))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IF(DATOS!$A6591="",0,IF(CONFIG_METADATA!$B$4&lt;&gt;"OR+EX",--(DATOS!$G6591=CONFIG_METADATA!$B$4),IF(DATOS!$G6591="EX",1,IF(DATOS!$G6591="OR",--(COUNTIFS(nNIA,DATOS!$A6591,nCURSO,DATOS!$D6591,nESPEC,DATOS!$E6591,nASIG,DATOS!$I6591,nEVAL,"EX")=0),0))))</f>
      </c>
      <c r="H6591">
        <f>IF(DATOS!$G6591&lt;&gt;"EX",0,--(COUNTIFS(nNIA,DATOS!$A6591,nCURSO,DATOS!$D6591,nESPEC,DATOS!$E6591,nASIG,DATOS!$I6591,nEVAL,"OR")=0))</f>
      </c>
      <c r="I6591">
        <f>IF(DATOS!$I6591="","",IFERROR(VLOOKUP(DATOS!$I6591,CONFIG_ASIGNATURAS!$B$2:$J$91,9,FALSE()),""))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IF(DATOS!$A6592="",0,IF(CONFIG_METADATA!$B$4&lt;&gt;"OR+EX",--(DATOS!$G6592=CONFIG_METADATA!$B$4),IF(DATOS!$G6592="EX",1,IF(DATOS!$G6592="OR",--(COUNTIFS(nNIA,DATOS!$A6592,nCURSO,DATOS!$D6592,nESPEC,DATOS!$E6592,nASIG,DATOS!$I6592,nEVAL,"EX")=0),0))))</f>
      </c>
      <c r="H6592">
        <f>IF(DATOS!$G6592&lt;&gt;"EX",0,--(COUNTIFS(nNIA,DATOS!$A6592,nCURSO,DATOS!$D6592,nESPEC,DATOS!$E6592,nASIG,DATOS!$I6592,nEVAL,"OR")=0))</f>
      </c>
      <c r="I6592">
        <f>IF(DATOS!$I6592="","",IFERROR(VLOOKUP(DATOS!$I6592,CONFIG_ASIGNATURAS!$B$2:$J$91,9,FALSE()),""))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IF(DATOS!$A6593="",0,IF(CONFIG_METADATA!$B$4&lt;&gt;"OR+EX",--(DATOS!$G6593=CONFIG_METADATA!$B$4),IF(DATOS!$G6593="EX",1,IF(DATOS!$G6593="OR",--(COUNTIFS(nNIA,DATOS!$A6593,nCURSO,DATOS!$D6593,nESPEC,DATOS!$E6593,nASIG,DATOS!$I6593,nEVAL,"EX")=0),0))))</f>
      </c>
      <c r="H6593">
        <f>IF(DATOS!$G6593&lt;&gt;"EX",0,--(COUNTIFS(nNIA,DATOS!$A6593,nCURSO,DATOS!$D6593,nESPEC,DATOS!$E6593,nASIG,DATOS!$I6593,nEVAL,"OR")=0))</f>
      </c>
      <c r="I6593">
        <f>IF(DATOS!$I6593="","",IFERROR(VLOOKUP(DATOS!$I6593,CONFIG_ASIGNATURAS!$B$2:$J$91,9,FALSE()),""))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IF(DATOS!$A6594="",0,IF(CONFIG_METADATA!$B$4&lt;&gt;"OR+EX",--(DATOS!$G6594=CONFIG_METADATA!$B$4),IF(DATOS!$G6594="EX",1,IF(DATOS!$G6594="OR",--(COUNTIFS(nNIA,DATOS!$A6594,nCURSO,DATOS!$D6594,nESPEC,DATOS!$E6594,nASIG,DATOS!$I6594,nEVAL,"EX")=0),0))))</f>
      </c>
      <c r="H6594">
        <f>IF(DATOS!$G6594&lt;&gt;"EX",0,--(COUNTIFS(nNIA,DATOS!$A6594,nCURSO,DATOS!$D6594,nESPEC,DATOS!$E6594,nASIG,DATOS!$I6594,nEVAL,"OR")=0))</f>
      </c>
      <c r="I6594">
        <f>IF(DATOS!$I6594="","",IFERROR(VLOOKUP(DATOS!$I6594,CONFIG_ASIGNATURAS!$B$2:$J$91,9,FALSE()),""))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IF(DATOS!$A6595="",0,IF(CONFIG_METADATA!$B$4&lt;&gt;"OR+EX",--(DATOS!$G6595=CONFIG_METADATA!$B$4),IF(DATOS!$G6595="EX",1,IF(DATOS!$G6595="OR",--(COUNTIFS(nNIA,DATOS!$A6595,nCURSO,DATOS!$D6595,nESPEC,DATOS!$E6595,nASIG,DATOS!$I6595,nEVAL,"EX")=0),0))))</f>
      </c>
      <c r="H6595">
        <f>IF(DATOS!$G6595&lt;&gt;"EX",0,--(COUNTIFS(nNIA,DATOS!$A6595,nCURSO,DATOS!$D6595,nESPEC,DATOS!$E6595,nASIG,DATOS!$I6595,nEVAL,"OR")=0))</f>
      </c>
      <c r="I6595">
        <f>IF(DATOS!$I6595="","",IFERROR(VLOOKUP(DATOS!$I6595,CONFIG_ASIGNATURAS!$B$2:$J$91,9,FALSE()),""))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IF(DATOS!$A6596="",0,IF(CONFIG_METADATA!$B$4&lt;&gt;"OR+EX",--(DATOS!$G6596=CONFIG_METADATA!$B$4),IF(DATOS!$G6596="EX",1,IF(DATOS!$G6596="OR",--(COUNTIFS(nNIA,DATOS!$A6596,nCURSO,DATOS!$D6596,nESPEC,DATOS!$E6596,nASIG,DATOS!$I6596,nEVAL,"EX")=0),0))))</f>
      </c>
      <c r="H6596">
        <f>IF(DATOS!$G6596&lt;&gt;"EX",0,--(COUNTIFS(nNIA,DATOS!$A6596,nCURSO,DATOS!$D6596,nESPEC,DATOS!$E6596,nASIG,DATOS!$I6596,nEVAL,"OR")=0))</f>
      </c>
      <c r="I6596">
        <f>IF(DATOS!$I6596="","",IFERROR(VLOOKUP(DATOS!$I6596,CONFIG_ASIGNATURAS!$B$2:$J$91,9,FALSE()),""))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IF(DATOS!$A6597="",0,IF(CONFIG_METADATA!$B$4&lt;&gt;"OR+EX",--(DATOS!$G6597=CONFIG_METADATA!$B$4),IF(DATOS!$G6597="EX",1,IF(DATOS!$G6597="OR",--(COUNTIFS(nNIA,DATOS!$A6597,nCURSO,DATOS!$D6597,nESPEC,DATOS!$E6597,nASIG,DATOS!$I6597,nEVAL,"EX")=0),0))))</f>
      </c>
      <c r="H6597">
        <f>IF(DATOS!$G6597&lt;&gt;"EX",0,--(COUNTIFS(nNIA,DATOS!$A6597,nCURSO,DATOS!$D6597,nESPEC,DATOS!$E6597,nASIG,DATOS!$I6597,nEVAL,"OR")=0))</f>
      </c>
      <c r="I6597">
        <f>IF(DATOS!$I6597="","",IFERROR(VLOOKUP(DATOS!$I6597,CONFIG_ASIGNATURAS!$B$2:$J$91,9,FALSE()),""))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IF(DATOS!$A6598="",0,IF(CONFIG_METADATA!$B$4&lt;&gt;"OR+EX",--(DATOS!$G6598=CONFIG_METADATA!$B$4),IF(DATOS!$G6598="EX",1,IF(DATOS!$G6598="OR",--(COUNTIFS(nNIA,DATOS!$A6598,nCURSO,DATOS!$D6598,nESPEC,DATOS!$E6598,nASIG,DATOS!$I6598,nEVAL,"EX")=0),0))))</f>
      </c>
      <c r="H6598">
        <f>IF(DATOS!$G6598&lt;&gt;"EX",0,--(COUNTIFS(nNIA,DATOS!$A6598,nCURSO,DATOS!$D6598,nESPEC,DATOS!$E6598,nASIG,DATOS!$I6598,nEVAL,"OR")=0))</f>
      </c>
      <c r="I6598">
        <f>IF(DATOS!$I6598="","",IFERROR(VLOOKUP(DATOS!$I6598,CONFIG_ASIGNATURAS!$B$2:$J$91,9,FALSE()),""))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IF(DATOS!$A6599="",0,IF(CONFIG_METADATA!$B$4&lt;&gt;"OR+EX",--(DATOS!$G6599=CONFIG_METADATA!$B$4),IF(DATOS!$G6599="EX",1,IF(DATOS!$G6599="OR",--(COUNTIFS(nNIA,DATOS!$A6599,nCURSO,DATOS!$D6599,nESPEC,DATOS!$E6599,nASIG,DATOS!$I6599,nEVAL,"EX")=0),0))))</f>
      </c>
      <c r="H6599">
        <f>IF(DATOS!$G6599&lt;&gt;"EX",0,--(COUNTIFS(nNIA,DATOS!$A6599,nCURSO,DATOS!$D6599,nESPEC,DATOS!$E6599,nASIG,DATOS!$I6599,nEVAL,"OR")=0))</f>
      </c>
      <c r="I6599">
        <f>IF(DATOS!$I6599="","",IFERROR(VLOOKUP(DATOS!$I6599,CONFIG_ASIGNATURAS!$B$2:$J$91,9,FALSE()),""))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IF(DATOS!$A6600="",0,IF(CONFIG_METADATA!$B$4&lt;&gt;"OR+EX",--(DATOS!$G6600=CONFIG_METADATA!$B$4),IF(DATOS!$G6600="EX",1,IF(DATOS!$G6600="OR",--(COUNTIFS(nNIA,DATOS!$A6600,nCURSO,DATOS!$D6600,nESPEC,DATOS!$E6600,nASIG,DATOS!$I6600,nEVAL,"EX")=0),0))))</f>
      </c>
      <c r="H6600">
        <f>IF(DATOS!$G6600&lt;&gt;"EX",0,--(COUNTIFS(nNIA,DATOS!$A6600,nCURSO,DATOS!$D6600,nESPEC,DATOS!$E6600,nASIG,DATOS!$I6600,nEVAL,"OR")=0))</f>
      </c>
      <c r="I6600">
        <f>IF(DATOS!$I6600="","",IFERROR(VLOOKUP(DATOS!$I6600,CONFIG_ASIGNATURAS!$B$2:$J$91,9,FALSE()),""))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IF(DATOS!$A6601="",0,IF(CONFIG_METADATA!$B$4&lt;&gt;"OR+EX",--(DATOS!$G6601=CONFIG_METADATA!$B$4),IF(DATOS!$G6601="EX",1,IF(DATOS!$G6601="OR",--(COUNTIFS(nNIA,DATOS!$A6601,nCURSO,DATOS!$D6601,nESPEC,DATOS!$E6601,nASIG,DATOS!$I6601,nEVAL,"EX")=0),0))))</f>
      </c>
      <c r="H6601">
        <f>IF(DATOS!$G6601&lt;&gt;"EX",0,--(COUNTIFS(nNIA,DATOS!$A6601,nCURSO,DATOS!$D6601,nESPEC,DATOS!$E6601,nASIG,DATOS!$I6601,nEVAL,"OR")=0))</f>
      </c>
      <c r="I6601">
        <f>IF(DATOS!$I6601="","",IFERROR(VLOOKUP(DATOS!$I6601,CONFIG_ASIGNATURAS!$B$2:$J$91,9,FALSE()),""))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IF(DATOS!$A6602="",0,IF(CONFIG_METADATA!$B$4&lt;&gt;"OR+EX",--(DATOS!$G6602=CONFIG_METADATA!$B$4),IF(DATOS!$G6602="EX",1,IF(DATOS!$G6602="OR",--(COUNTIFS(nNIA,DATOS!$A6602,nCURSO,DATOS!$D6602,nESPEC,DATOS!$E6602,nASIG,DATOS!$I6602,nEVAL,"EX")=0),0))))</f>
      </c>
      <c r="H6602">
        <f>IF(DATOS!$G6602&lt;&gt;"EX",0,--(COUNTIFS(nNIA,DATOS!$A6602,nCURSO,DATOS!$D6602,nESPEC,DATOS!$E6602,nASIG,DATOS!$I6602,nEVAL,"OR")=0))</f>
      </c>
      <c r="I6602">
        <f>IF(DATOS!$I6602="","",IFERROR(VLOOKUP(DATOS!$I6602,CONFIG_ASIGNATURAS!$B$2:$J$91,9,FALSE()),""))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IF(DATOS!$A6603="",0,IF(CONFIG_METADATA!$B$4&lt;&gt;"OR+EX",--(DATOS!$G6603=CONFIG_METADATA!$B$4),IF(DATOS!$G6603="EX",1,IF(DATOS!$G6603="OR",--(COUNTIFS(nNIA,DATOS!$A6603,nCURSO,DATOS!$D6603,nESPEC,DATOS!$E6603,nASIG,DATOS!$I6603,nEVAL,"EX")=0),0))))</f>
      </c>
      <c r="H6603">
        <f>IF(DATOS!$G6603&lt;&gt;"EX",0,--(COUNTIFS(nNIA,DATOS!$A6603,nCURSO,DATOS!$D6603,nESPEC,DATOS!$E6603,nASIG,DATOS!$I6603,nEVAL,"OR")=0))</f>
      </c>
      <c r="I6603">
        <f>IF(DATOS!$I6603="","",IFERROR(VLOOKUP(DATOS!$I6603,CONFIG_ASIGNATURAS!$B$2:$J$91,9,FALSE()),""))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IF(DATOS!$A6604="",0,IF(CONFIG_METADATA!$B$4&lt;&gt;"OR+EX",--(DATOS!$G6604=CONFIG_METADATA!$B$4),IF(DATOS!$G6604="EX",1,IF(DATOS!$G6604="OR",--(COUNTIFS(nNIA,DATOS!$A6604,nCURSO,DATOS!$D6604,nESPEC,DATOS!$E6604,nASIG,DATOS!$I6604,nEVAL,"EX")=0),0))))</f>
      </c>
      <c r="H6604">
        <f>IF(DATOS!$G6604&lt;&gt;"EX",0,--(COUNTIFS(nNIA,DATOS!$A6604,nCURSO,DATOS!$D6604,nESPEC,DATOS!$E6604,nASIG,DATOS!$I6604,nEVAL,"OR")=0))</f>
      </c>
      <c r="I6604">
        <f>IF(DATOS!$I6604="","",IFERROR(VLOOKUP(DATOS!$I6604,CONFIG_ASIGNATURAS!$B$2:$J$91,9,FALSE()),""))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IF(DATOS!$A6605="",0,IF(CONFIG_METADATA!$B$4&lt;&gt;"OR+EX",--(DATOS!$G6605=CONFIG_METADATA!$B$4),IF(DATOS!$G6605="EX",1,IF(DATOS!$G6605="OR",--(COUNTIFS(nNIA,DATOS!$A6605,nCURSO,DATOS!$D6605,nESPEC,DATOS!$E6605,nASIG,DATOS!$I6605,nEVAL,"EX")=0),0))))</f>
      </c>
      <c r="H6605">
        <f>IF(DATOS!$G6605&lt;&gt;"EX",0,--(COUNTIFS(nNIA,DATOS!$A6605,nCURSO,DATOS!$D6605,nESPEC,DATOS!$E6605,nASIG,DATOS!$I6605,nEVAL,"OR")=0))</f>
      </c>
      <c r="I6605">
        <f>IF(DATOS!$I6605="","",IFERROR(VLOOKUP(DATOS!$I6605,CONFIG_ASIGNATURAS!$B$2:$J$91,9,FALSE()),""))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IF(DATOS!$A6606="",0,IF(CONFIG_METADATA!$B$4&lt;&gt;"OR+EX",--(DATOS!$G6606=CONFIG_METADATA!$B$4),IF(DATOS!$G6606="EX",1,IF(DATOS!$G6606="OR",--(COUNTIFS(nNIA,DATOS!$A6606,nCURSO,DATOS!$D6606,nESPEC,DATOS!$E6606,nASIG,DATOS!$I6606,nEVAL,"EX")=0),0))))</f>
      </c>
      <c r="H6606">
        <f>IF(DATOS!$G6606&lt;&gt;"EX",0,--(COUNTIFS(nNIA,DATOS!$A6606,nCURSO,DATOS!$D6606,nESPEC,DATOS!$E6606,nASIG,DATOS!$I6606,nEVAL,"OR")=0))</f>
      </c>
      <c r="I6606">
        <f>IF(DATOS!$I6606="","",IFERROR(VLOOKUP(DATOS!$I6606,CONFIG_ASIGNATURAS!$B$2:$J$91,9,FALSE()),""))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IF(DATOS!$A6607="",0,IF(CONFIG_METADATA!$B$4&lt;&gt;"OR+EX",--(DATOS!$G6607=CONFIG_METADATA!$B$4),IF(DATOS!$G6607="EX",1,IF(DATOS!$G6607="OR",--(COUNTIFS(nNIA,DATOS!$A6607,nCURSO,DATOS!$D6607,nESPEC,DATOS!$E6607,nASIG,DATOS!$I6607,nEVAL,"EX")=0),0))))</f>
      </c>
      <c r="H6607">
        <f>IF(DATOS!$G6607&lt;&gt;"EX",0,--(COUNTIFS(nNIA,DATOS!$A6607,nCURSO,DATOS!$D6607,nESPEC,DATOS!$E6607,nASIG,DATOS!$I6607,nEVAL,"OR")=0))</f>
      </c>
      <c r="I6607">
        <f>IF(DATOS!$I6607="","",IFERROR(VLOOKUP(DATOS!$I6607,CONFIG_ASIGNATURAS!$B$2:$J$91,9,FALSE()),""))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IF(DATOS!$A6608="",0,IF(CONFIG_METADATA!$B$4&lt;&gt;"OR+EX",--(DATOS!$G6608=CONFIG_METADATA!$B$4),IF(DATOS!$G6608="EX",1,IF(DATOS!$G6608="OR",--(COUNTIFS(nNIA,DATOS!$A6608,nCURSO,DATOS!$D6608,nESPEC,DATOS!$E6608,nASIG,DATOS!$I6608,nEVAL,"EX")=0),0))))</f>
      </c>
      <c r="H6608">
        <f>IF(DATOS!$G6608&lt;&gt;"EX",0,--(COUNTIFS(nNIA,DATOS!$A6608,nCURSO,DATOS!$D6608,nESPEC,DATOS!$E6608,nASIG,DATOS!$I6608,nEVAL,"OR")=0))</f>
      </c>
      <c r="I6608">
        <f>IF(DATOS!$I6608="","",IFERROR(VLOOKUP(DATOS!$I6608,CONFIG_ASIGNATURAS!$B$2:$J$91,9,FALSE()),""))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IF(DATOS!$A6609="",0,IF(CONFIG_METADATA!$B$4&lt;&gt;"OR+EX",--(DATOS!$G6609=CONFIG_METADATA!$B$4),IF(DATOS!$G6609="EX",1,IF(DATOS!$G6609="OR",--(COUNTIFS(nNIA,DATOS!$A6609,nCURSO,DATOS!$D6609,nESPEC,DATOS!$E6609,nASIG,DATOS!$I6609,nEVAL,"EX")=0),0))))</f>
      </c>
      <c r="H6609">
        <f>IF(DATOS!$G6609&lt;&gt;"EX",0,--(COUNTIFS(nNIA,DATOS!$A6609,nCURSO,DATOS!$D6609,nESPEC,DATOS!$E6609,nASIG,DATOS!$I6609,nEVAL,"OR")=0))</f>
      </c>
      <c r="I6609">
        <f>IF(DATOS!$I6609="","",IFERROR(VLOOKUP(DATOS!$I6609,CONFIG_ASIGNATURAS!$B$2:$J$91,9,FALSE()),""))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IF(DATOS!$A6610="",0,IF(CONFIG_METADATA!$B$4&lt;&gt;"OR+EX",--(DATOS!$G6610=CONFIG_METADATA!$B$4),IF(DATOS!$G6610="EX",1,IF(DATOS!$G6610="OR",--(COUNTIFS(nNIA,DATOS!$A6610,nCURSO,DATOS!$D6610,nESPEC,DATOS!$E6610,nASIG,DATOS!$I6610,nEVAL,"EX")=0),0))))</f>
      </c>
      <c r="H6610">
        <f>IF(DATOS!$G6610&lt;&gt;"EX",0,--(COUNTIFS(nNIA,DATOS!$A6610,nCURSO,DATOS!$D6610,nESPEC,DATOS!$E6610,nASIG,DATOS!$I6610,nEVAL,"OR")=0))</f>
      </c>
      <c r="I6610">
        <f>IF(DATOS!$I6610="","",IFERROR(VLOOKUP(DATOS!$I6610,CONFIG_ASIGNATURAS!$B$2:$J$91,9,FALSE()),""))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IF(DATOS!$A6611="",0,IF(CONFIG_METADATA!$B$4&lt;&gt;"OR+EX",--(DATOS!$G6611=CONFIG_METADATA!$B$4),IF(DATOS!$G6611="EX",1,IF(DATOS!$G6611="OR",--(COUNTIFS(nNIA,DATOS!$A6611,nCURSO,DATOS!$D6611,nESPEC,DATOS!$E6611,nASIG,DATOS!$I6611,nEVAL,"EX")=0),0))))</f>
      </c>
      <c r="H6611">
        <f>IF(DATOS!$G6611&lt;&gt;"EX",0,--(COUNTIFS(nNIA,DATOS!$A6611,nCURSO,DATOS!$D6611,nESPEC,DATOS!$E6611,nASIG,DATOS!$I6611,nEVAL,"OR")=0))</f>
      </c>
      <c r="I6611">
        <f>IF(DATOS!$I6611="","",IFERROR(VLOOKUP(DATOS!$I6611,CONFIG_ASIGNATURAS!$B$2:$J$91,9,FALSE()),""))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IF(DATOS!$A6612="",0,IF(CONFIG_METADATA!$B$4&lt;&gt;"OR+EX",--(DATOS!$G6612=CONFIG_METADATA!$B$4),IF(DATOS!$G6612="EX",1,IF(DATOS!$G6612="OR",--(COUNTIFS(nNIA,DATOS!$A6612,nCURSO,DATOS!$D6612,nESPEC,DATOS!$E6612,nASIG,DATOS!$I6612,nEVAL,"EX")=0),0))))</f>
      </c>
      <c r="H6612">
        <f>IF(DATOS!$G6612&lt;&gt;"EX",0,--(COUNTIFS(nNIA,DATOS!$A6612,nCURSO,DATOS!$D6612,nESPEC,DATOS!$E6612,nASIG,DATOS!$I6612,nEVAL,"OR")=0))</f>
      </c>
      <c r="I6612">
        <f>IF(DATOS!$I6612="","",IFERROR(VLOOKUP(DATOS!$I6612,CONFIG_ASIGNATURAS!$B$2:$J$91,9,FALSE()),""))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IF(DATOS!$A6613="",0,IF(CONFIG_METADATA!$B$4&lt;&gt;"OR+EX",--(DATOS!$G6613=CONFIG_METADATA!$B$4),IF(DATOS!$G6613="EX",1,IF(DATOS!$G6613="OR",--(COUNTIFS(nNIA,DATOS!$A6613,nCURSO,DATOS!$D6613,nESPEC,DATOS!$E6613,nASIG,DATOS!$I6613,nEVAL,"EX")=0),0))))</f>
      </c>
      <c r="H6613">
        <f>IF(DATOS!$G6613&lt;&gt;"EX",0,--(COUNTIFS(nNIA,DATOS!$A6613,nCURSO,DATOS!$D6613,nESPEC,DATOS!$E6613,nASIG,DATOS!$I6613,nEVAL,"OR")=0))</f>
      </c>
      <c r="I6613">
        <f>IF(DATOS!$I6613="","",IFERROR(VLOOKUP(DATOS!$I6613,CONFIG_ASIGNATURAS!$B$2:$J$91,9,FALSE()),""))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IF(DATOS!$A6614="",0,IF(CONFIG_METADATA!$B$4&lt;&gt;"OR+EX",--(DATOS!$G6614=CONFIG_METADATA!$B$4),IF(DATOS!$G6614="EX",1,IF(DATOS!$G6614="OR",--(COUNTIFS(nNIA,DATOS!$A6614,nCURSO,DATOS!$D6614,nESPEC,DATOS!$E6614,nASIG,DATOS!$I6614,nEVAL,"EX")=0),0))))</f>
      </c>
      <c r="H6614">
        <f>IF(DATOS!$G6614&lt;&gt;"EX",0,--(COUNTIFS(nNIA,DATOS!$A6614,nCURSO,DATOS!$D6614,nESPEC,DATOS!$E6614,nASIG,DATOS!$I6614,nEVAL,"OR")=0))</f>
      </c>
      <c r="I6614">
        <f>IF(DATOS!$I6614="","",IFERROR(VLOOKUP(DATOS!$I6614,CONFIG_ASIGNATURAS!$B$2:$J$91,9,FALSE()),""))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IF(DATOS!$A6615="",0,IF(CONFIG_METADATA!$B$4&lt;&gt;"OR+EX",--(DATOS!$G6615=CONFIG_METADATA!$B$4),IF(DATOS!$G6615="EX",1,IF(DATOS!$G6615="OR",--(COUNTIFS(nNIA,DATOS!$A6615,nCURSO,DATOS!$D6615,nESPEC,DATOS!$E6615,nASIG,DATOS!$I6615,nEVAL,"EX")=0),0))))</f>
      </c>
      <c r="H6615">
        <f>IF(DATOS!$G6615&lt;&gt;"EX",0,--(COUNTIFS(nNIA,DATOS!$A6615,nCURSO,DATOS!$D6615,nESPEC,DATOS!$E6615,nASIG,DATOS!$I6615,nEVAL,"OR")=0))</f>
      </c>
      <c r="I6615">
        <f>IF(DATOS!$I6615="","",IFERROR(VLOOKUP(DATOS!$I6615,CONFIG_ASIGNATURAS!$B$2:$J$91,9,FALSE()),""))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IF(DATOS!$A6616="",0,IF(CONFIG_METADATA!$B$4&lt;&gt;"OR+EX",--(DATOS!$G6616=CONFIG_METADATA!$B$4),IF(DATOS!$G6616="EX",1,IF(DATOS!$G6616="OR",--(COUNTIFS(nNIA,DATOS!$A6616,nCURSO,DATOS!$D6616,nESPEC,DATOS!$E6616,nASIG,DATOS!$I6616,nEVAL,"EX")=0),0))))</f>
      </c>
      <c r="H6616">
        <f>IF(DATOS!$G6616&lt;&gt;"EX",0,--(COUNTIFS(nNIA,DATOS!$A6616,nCURSO,DATOS!$D6616,nESPEC,DATOS!$E6616,nASIG,DATOS!$I6616,nEVAL,"OR")=0))</f>
      </c>
      <c r="I6616">
        <f>IF(DATOS!$I6616="","",IFERROR(VLOOKUP(DATOS!$I6616,CONFIG_ASIGNATURAS!$B$2:$J$91,9,FALSE()),""))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IF(DATOS!$A6617="",0,IF(CONFIG_METADATA!$B$4&lt;&gt;"OR+EX",--(DATOS!$G6617=CONFIG_METADATA!$B$4),IF(DATOS!$G6617="EX",1,IF(DATOS!$G6617="OR",--(COUNTIFS(nNIA,DATOS!$A6617,nCURSO,DATOS!$D6617,nESPEC,DATOS!$E6617,nASIG,DATOS!$I6617,nEVAL,"EX")=0),0))))</f>
      </c>
      <c r="H6617">
        <f>IF(DATOS!$G6617&lt;&gt;"EX",0,--(COUNTIFS(nNIA,DATOS!$A6617,nCURSO,DATOS!$D6617,nESPEC,DATOS!$E6617,nASIG,DATOS!$I6617,nEVAL,"OR")=0))</f>
      </c>
      <c r="I6617">
        <f>IF(DATOS!$I6617="","",IFERROR(VLOOKUP(DATOS!$I6617,CONFIG_ASIGNATURAS!$B$2:$J$91,9,FALSE()),""))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IF(DATOS!$A6618="",0,IF(CONFIG_METADATA!$B$4&lt;&gt;"OR+EX",--(DATOS!$G6618=CONFIG_METADATA!$B$4),IF(DATOS!$G6618="EX",1,IF(DATOS!$G6618="OR",--(COUNTIFS(nNIA,DATOS!$A6618,nCURSO,DATOS!$D6618,nESPEC,DATOS!$E6618,nASIG,DATOS!$I6618,nEVAL,"EX")=0),0))))</f>
      </c>
      <c r="H6618">
        <f>IF(DATOS!$G6618&lt;&gt;"EX",0,--(COUNTIFS(nNIA,DATOS!$A6618,nCURSO,DATOS!$D6618,nESPEC,DATOS!$E6618,nASIG,DATOS!$I6618,nEVAL,"OR")=0))</f>
      </c>
      <c r="I6618">
        <f>IF(DATOS!$I6618="","",IFERROR(VLOOKUP(DATOS!$I6618,CONFIG_ASIGNATURAS!$B$2:$J$91,9,FALSE()),""))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IF(DATOS!$A6619="",0,IF(CONFIG_METADATA!$B$4&lt;&gt;"OR+EX",--(DATOS!$G6619=CONFIG_METADATA!$B$4),IF(DATOS!$G6619="EX",1,IF(DATOS!$G6619="OR",--(COUNTIFS(nNIA,DATOS!$A6619,nCURSO,DATOS!$D6619,nESPEC,DATOS!$E6619,nASIG,DATOS!$I6619,nEVAL,"EX")=0),0))))</f>
      </c>
      <c r="H6619">
        <f>IF(DATOS!$G6619&lt;&gt;"EX",0,--(COUNTIFS(nNIA,DATOS!$A6619,nCURSO,DATOS!$D6619,nESPEC,DATOS!$E6619,nASIG,DATOS!$I6619,nEVAL,"OR")=0))</f>
      </c>
      <c r="I6619">
        <f>IF(DATOS!$I6619="","",IFERROR(VLOOKUP(DATOS!$I6619,CONFIG_ASIGNATURAS!$B$2:$J$91,9,FALSE()),""))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IF(DATOS!$A6620="",0,IF(CONFIG_METADATA!$B$4&lt;&gt;"OR+EX",--(DATOS!$G6620=CONFIG_METADATA!$B$4),IF(DATOS!$G6620="EX",1,IF(DATOS!$G6620="OR",--(COUNTIFS(nNIA,DATOS!$A6620,nCURSO,DATOS!$D6620,nESPEC,DATOS!$E6620,nASIG,DATOS!$I6620,nEVAL,"EX")=0),0))))</f>
      </c>
      <c r="H6620">
        <f>IF(DATOS!$G6620&lt;&gt;"EX",0,--(COUNTIFS(nNIA,DATOS!$A6620,nCURSO,DATOS!$D6620,nESPEC,DATOS!$E6620,nASIG,DATOS!$I6620,nEVAL,"OR")=0))</f>
      </c>
      <c r="I6620">
        <f>IF(DATOS!$I6620="","",IFERROR(VLOOKUP(DATOS!$I6620,CONFIG_ASIGNATURAS!$B$2:$J$91,9,FALSE()),""))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IF(DATOS!$A6621="",0,IF(CONFIG_METADATA!$B$4&lt;&gt;"OR+EX",--(DATOS!$G6621=CONFIG_METADATA!$B$4),IF(DATOS!$G6621="EX",1,IF(DATOS!$G6621="OR",--(COUNTIFS(nNIA,DATOS!$A6621,nCURSO,DATOS!$D6621,nESPEC,DATOS!$E6621,nASIG,DATOS!$I6621,nEVAL,"EX")=0),0))))</f>
      </c>
      <c r="H6621">
        <f>IF(DATOS!$G6621&lt;&gt;"EX",0,--(COUNTIFS(nNIA,DATOS!$A6621,nCURSO,DATOS!$D6621,nESPEC,DATOS!$E6621,nASIG,DATOS!$I6621,nEVAL,"OR")=0))</f>
      </c>
      <c r="I6621">
        <f>IF(DATOS!$I6621="","",IFERROR(VLOOKUP(DATOS!$I6621,CONFIG_ASIGNATURAS!$B$2:$J$91,9,FALSE()),""))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IF(DATOS!$A6622="",0,IF(CONFIG_METADATA!$B$4&lt;&gt;"OR+EX",--(DATOS!$G6622=CONFIG_METADATA!$B$4),IF(DATOS!$G6622="EX",1,IF(DATOS!$G6622="OR",--(COUNTIFS(nNIA,DATOS!$A6622,nCURSO,DATOS!$D6622,nESPEC,DATOS!$E6622,nASIG,DATOS!$I6622,nEVAL,"EX")=0),0))))</f>
      </c>
      <c r="H6622">
        <f>IF(DATOS!$G6622&lt;&gt;"EX",0,--(COUNTIFS(nNIA,DATOS!$A6622,nCURSO,DATOS!$D6622,nESPEC,DATOS!$E6622,nASIG,DATOS!$I6622,nEVAL,"OR")=0))</f>
      </c>
      <c r="I6622">
        <f>IF(DATOS!$I6622="","",IFERROR(VLOOKUP(DATOS!$I6622,CONFIG_ASIGNATURAS!$B$2:$J$91,9,FALSE()),""))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IF(DATOS!$A6623="",0,IF(CONFIG_METADATA!$B$4&lt;&gt;"OR+EX",--(DATOS!$G6623=CONFIG_METADATA!$B$4),IF(DATOS!$G6623="EX",1,IF(DATOS!$G6623="OR",--(COUNTIFS(nNIA,DATOS!$A6623,nCURSO,DATOS!$D6623,nESPEC,DATOS!$E6623,nASIG,DATOS!$I6623,nEVAL,"EX")=0),0))))</f>
      </c>
      <c r="H6623">
        <f>IF(DATOS!$G6623&lt;&gt;"EX",0,--(COUNTIFS(nNIA,DATOS!$A6623,nCURSO,DATOS!$D6623,nESPEC,DATOS!$E6623,nASIG,DATOS!$I6623,nEVAL,"OR")=0))</f>
      </c>
      <c r="I6623">
        <f>IF(DATOS!$I6623="","",IFERROR(VLOOKUP(DATOS!$I6623,CONFIG_ASIGNATURAS!$B$2:$J$91,9,FALSE()),""))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IF(DATOS!$A6624="",0,IF(CONFIG_METADATA!$B$4&lt;&gt;"OR+EX",--(DATOS!$G6624=CONFIG_METADATA!$B$4),IF(DATOS!$G6624="EX",1,IF(DATOS!$G6624="OR",--(COUNTIFS(nNIA,DATOS!$A6624,nCURSO,DATOS!$D6624,nESPEC,DATOS!$E6624,nASIG,DATOS!$I6624,nEVAL,"EX")=0),0))))</f>
      </c>
      <c r="H6624">
        <f>IF(DATOS!$G6624&lt;&gt;"EX",0,--(COUNTIFS(nNIA,DATOS!$A6624,nCURSO,DATOS!$D6624,nESPEC,DATOS!$E6624,nASIG,DATOS!$I6624,nEVAL,"OR")=0))</f>
      </c>
      <c r="I6624">
        <f>IF(DATOS!$I6624="","",IFERROR(VLOOKUP(DATOS!$I6624,CONFIG_ASIGNATURAS!$B$2:$J$91,9,FALSE()),""))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IF(DATOS!$A6625="",0,IF(CONFIG_METADATA!$B$4&lt;&gt;"OR+EX",--(DATOS!$G6625=CONFIG_METADATA!$B$4),IF(DATOS!$G6625="EX",1,IF(DATOS!$G6625="OR",--(COUNTIFS(nNIA,DATOS!$A6625,nCURSO,DATOS!$D6625,nESPEC,DATOS!$E6625,nASIG,DATOS!$I6625,nEVAL,"EX")=0),0))))</f>
      </c>
      <c r="H6625">
        <f>IF(DATOS!$G6625&lt;&gt;"EX",0,--(COUNTIFS(nNIA,DATOS!$A6625,nCURSO,DATOS!$D6625,nESPEC,DATOS!$E6625,nASIG,DATOS!$I6625,nEVAL,"OR")=0))</f>
      </c>
      <c r="I6625">
        <f>IF(DATOS!$I6625="","",IFERROR(VLOOKUP(DATOS!$I6625,CONFIG_ASIGNATURAS!$B$2:$J$91,9,FALSE()),""))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IF(DATOS!$A6626="",0,IF(CONFIG_METADATA!$B$4&lt;&gt;"OR+EX",--(DATOS!$G6626=CONFIG_METADATA!$B$4),IF(DATOS!$G6626="EX",1,IF(DATOS!$G6626="OR",--(COUNTIFS(nNIA,DATOS!$A6626,nCURSO,DATOS!$D6626,nESPEC,DATOS!$E6626,nASIG,DATOS!$I6626,nEVAL,"EX")=0),0))))</f>
      </c>
      <c r="H6626">
        <f>IF(DATOS!$G6626&lt;&gt;"EX",0,--(COUNTIFS(nNIA,DATOS!$A6626,nCURSO,DATOS!$D6626,nESPEC,DATOS!$E6626,nASIG,DATOS!$I6626,nEVAL,"OR")=0))</f>
      </c>
      <c r="I6626">
        <f>IF(DATOS!$I6626="","",IFERROR(VLOOKUP(DATOS!$I6626,CONFIG_ASIGNATURAS!$B$2:$J$91,9,FALSE()),""))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IF(DATOS!$A6627="",0,IF(CONFIG_METADATA!$B$4&lt;&gt;"OR+EX",--(DATOS!$G6627=CONFIG_METADATA!$B$4),IF(DATOS!$G6627="EX",1,IF(DATOS!$G6627="OR",--(COUNTIFS(nNIA,DATOS!$A6627,nCURSO,DATOS!$D6627,nESPEC,DATOS!$E6627,nASIG,DATOS!$I6627,nEVAL,"EX")=0),0))))</f>
      </c>
      <c r="H6627">
        <f>IF(DATOS!$G6627&lt;&gt;"EX",0,--(COUNTIFS(nNIA,DATOS!$A6627,nCURSO,DATOS!$D6627,nESPEC,DATOS!$E6627,nASIG,DATOS!$I6627,nEVAL,"OR")=0))</f>
      </c>
      <c r="I6627">
        <f>IF(DATOS!$I6627="","",IFERROR(VLOOKUP(DATOS!$I6627,CONFIG_ASIGNATURAS!$B$2:$J$91,9,FALSE()),""))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IF(DATOS!$A6628="",0,IF(CONFIG_METADATA!$B$4&lt;&gt;"OR+EX",--(DATOS!$G6628=CONFIG_METADATA!$B$4),IF(DATOS!$G6628="EX",1,IF(DATOS!$G6628="OR",--(COUNTIFS(nNIA,DATOS!$A6628,nCURSO,DATOS!$D6628,nESPEC,DATOS!$E6628,nASIG,DATOS!$I6628,nEVAL,"EX")=0),0))))</f>
      </c>
      <c r="H6628">
        <f>IF(DATOS!$G6628&lt;&gt;"EX",0,--(COUNTIFS(nNIA,DATOS!$A6628,nCURSO,DATOS!$D6628,nESPEC,DATOS!$E6628,nASIG,DATOS!$I6628,nEVAL,"OR")=0))</f>
      </c>
      <c r="I6628">
        <f>IF(DATOS!$I6628="","",IFERROR(VLOOKUP(DATOS!$I6628,CONFIG_ASIGNATURAS!$B$2:$J$91,9,FALSE()),""))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IF(DATOS!$A6629="",0,IF(CONFIG_METADATA!$B$4&lt;&gt;"OR+EX",--(DATOS!$G6629=CONFIG_METADATA!$B$4),IF(DATOS!$G6629="EX",1,IF(DATOS!$G6629="OR",--(COUNTIFS(nNIA,DATOS!$A6629,nCURSO,DATOS!$D6629,nESPEC,DATOS!$E6629,nASIG,DATOS!$I6629,nEVAL,"EX")=0),0))))</f>
      </c>
      <c r="H6629">
        <f>IF(DATOS!$G6629&lt;&gt;"EX",0,--(COUNTIFS(nNIA,DATOS!$A6629,nCURSO,DATOS!$D6629,nESPEC,DATOS!$E6629,nASIG,DATOS!$I6629,nEVAL,"OR")=0))</f>
      </c>
      <c r="I6629">
        <f>IF(DATOS!$I6629="","",IFERROR(VLOOKUP(DATOS!$I6629,CONFIG_ASIGNATURAS!$B$2:$J$91,9,FALSE()),""))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IF(DATOS!$A6630="",0,IF(CONFIG_METADATA!$B$4&lt;&gt;"OR+EX",--(DATOS!$G6630=CONFIG_METADATA!$B$4),IF(DATOS!$G6630="EX",1,IF(DATOS!$G6630="OR",--(COUNTIFS(nNIA,DATOS!$A6630,nCURSO,DATOS!$D6630,nESPEC,DATOS!$E6630,nASIG,DATOS!$I6630,nEVAL,"EX")=0),0))))</f>
      </c>
      <c r="H6630">
        <f>IF(DATOS!$G6630&lt;&gt;"EX",0,--(COUNTIFS(nNIA,DATOS!$A6630,nCURSO,DATOS!$D6630,nESPEC,DATOS!$E6630,nASIG,DATOS!$I6630,nEVAL,"OR")=0))</f>
      </c>
      <c r="I6630">
        <f>IF(DATOS!$I6630="","",IFERROR(VLOOKUP(DATOS!$I6630,CONFIG_ASIGNATURAS!$B$2:$J$91,9,FALSE()),""))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IF(DATOS!$A6631="",0,IF(CONFIG_METADATA!$B$4&lt;&gt;"OR+EX",--(DATOS!$G6631=CONFIG_METADATA!$B$4),IF(DATOS!$G6631="EX",1,IF(DATOS!$G6631="OR",--(COUNTIFS(nNIA,DATOS!$A6631,nCURSO,DATOS!$D6631,nESPEC,DATOS!$E6631,nASIG,DATOS!$I6631,nEVAL,"EX")=0),0))))</f>
      </c>
      <c r="H6631">
        <f>IF(DATOS!$G6631&lt;&gt;"EX",0,--(COUNTIFS(nNIA,DATOS!$A6631,nCURSO,DATOS!$D6631,nESPEC,DATOS!$E6631,nASIG,DATOS!$I6631,nEVAL,"OR")=0))</f>
      </c>
      <c r="I6631">
        <f>IF(DATOS!$I6631="","",IFERROR(VLOOKUP(DATOS!$I6631,CONFIG_ASIGNATURAS!$B$2:$J$91,9,FALSE()),""))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IF(DATOS!$A6632="",0,IF(CONFIG_METADATA!$B$4&lt;&gt;"OR+EX",--(DATOS!$G6632=CONFIG_METADATA!$B$4),IF(DATOS!$G6632="EX",1,IF(DATOS!$G6632="OR",--(COUNTIFS(nNIA,DATOS!$A6632,nCURSO,DATOS!$D6632,nESPEC,DATOS!$E6632,nASIG,DATOS!$I6632,nEVAL,"EX")=0),0))))</f>
      </c>
      <c r="H6632">
        <f>IF(DATOS!$G6632&lt;&gt;"EX",0,--(COUNTIFS(nNIA,DATOS!$A6632,nCURSO,DATOS!$D6632,nESPEC,DATOS!$E6632,nASIG,DATOS!$I6632,nEVAL,"OR")=0))</f>
      </c>
      <c r="I6632">
        <f>IF(DATOS!$I6632="","",IFERROR(VLOOKUP(DATOS!$I6632,CONFIG_ASIGNATURAS!$B$2:$J$91,9,FALSE()),""))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IF(DATOS!$A6633="",0,IF(CONFIG_METADATA!$B$4&lt;&gt;"OR+EX",--(DATOS!$G6633=CONFIG_METADATA!$B$4),IF(DATOS!$G6633="EX",1,IF(DATOS!$G6633="OR",--(COUNTIFS(nNIA,DATOS!$A6633,nCURSO,DATOS!$D6633,nESPEC,DATOS!$E6633,nASIG,DATOS!$I6633,nEVAL,"EX")=0),0))))</f>
      </c>
      <c r="H6633">
        <f>IF(DATOS!$G6633&lt;&gt;"EX",0,--(COUNTIFS(nNIA,DATOS!$A6633,nCURSO,DATOS!$D6633,nESPEC,DATOS!$E6633,nASIG,DATOS!$I6633,nEVAL,"OR")=0))</f>
      </c>
      <c r="I6633">
        <f>IF(DATOS!$I6633="","",IFERROR(VLOOKUP(DATOS!$I6633,CONFIG_ASIGNATURAS!$B$2:$J$91,9,FALSE()),""))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IF(DATOS!$A6634="",0,IF(CONFIG_METADATA!$B$4&lt;&gt;"OR+EX",--(DATOS!$G6634=CONFIG_METADATA!$B$4),IF(DATOS!$G6634="EX",1,IF(DATOS!$G6634="OR",--(COUNTIFS(nNIA,DATOS!$A6634,nCURSO,DATOS!$D6634,nESPEC,DATOS!$E6634,nASIG,DATOS!$I6634,nEVAL,"EX")=0),0))))</f>
      </c>
      <c r="H6634">
        <f>IF(DATOS!$G6634&lt;&gt;"EX",0,--(COUNTIFS(nNIA,DATOS!$A6634,nCURSO,DATOS!$D6634,nESPEC,DATOS!$E6634,nASIG,DATOS!$I6634,nEVAL,"OR")=0))</f>
      </c>
      <c r="I6634">
        <f>IF(DATOS!$I6634="","",IFERROR(VLOOKUP(DATOS!$I6634,CONFIG_ASIGNATURAS!$B$2:$J$91,9,FALSE()),""))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IF(DATOS!$A6635="",0,IF(CONFIG_METADATA!$B$4&lt;&gt;"OR+EX",--(DATOS!$G6635=CONFIG_METADATA!$B$4),IF(DATOS!$G6635="EX",1,IF(DATOS!$G6635="OR",--(COUNTIFS(nNIA,DATOS!$A6635,nCURSO,DATOS!$D6635,nESPEC,DATOS!$E6635,nASIG,DATOS!$I6635,nEVAL,"EX")=0),0))))</f>
      </c>
      <c r="H6635">
        <f>IF(DATOS!$G6635&lt;&gt;"EX",0,--(COUNTIFS(nNIA,DATOS!$A6635,nCURSO,DATOS!$D6635,nESPEC,DATOS!$E6635,nASIG,DATOS!$I6635,nEVAL,"OR")=0))</f>
      </c>
      <c r="I6635">
        <f>IF(DATOS!$I6635="","",IFERROR(VLOOKUP(DATOS!$I6635,CONFIG_ASIGNATURAS!$B$2:$J$91,9,FALSE()),""))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IF(DATOS!$A6636="",0,IF(CONFIG_METADATA!$B$4&lt;&gt;"OR+EX",--(DATOS!$G6636=CONFIG_METADATA!$B$4),IF(DATOS!$G6636="EX",1,IF(DATOS!$G6636="OR",--(COUNTIFS(nNIA,DATOS!$A6636,nCURSO,DATOS!$D6636,nESPEC,DATOS!$E6636,nASIG,DATOS!$I6636,nEVAL,"EX")=0),0))))</f>
      </c>
      <c r="H6636">
        <f>IF(DATOS!$G6636&lt;&gt;"EX",0,--(COUNTIFS(nNIA,DATOS!$A6636,nCURSO,DATOS!$D6636,nESPEC,DATOS!$E6636,nASIG,DATOS!$I6636,nEVAL,"OR")=0))</f>
      </c>
      <c r="I6636">
        <f>IF(DATOS!$I6636="","",IFERROR(VLOOKUP(DATOS!$I6636,CONFIG_ASIGNATURAS!$B$2:$J$91,9,FALSE()),""))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IF(DATOS!$A6637="",0,IF(CONFIG_METADATA!$B$4&lt;&gt;"OR+EX",--(DATOS!$G6637=CONFIG_METADATA!$B$4),IF(DATOS!$G6637="EX",1,IF(DATOS!$G6637="OR",--(COUNTIFS(nNIA,DATOS!$A6637,nCURSO,DATOS!$D6637,nESPEC,DATOS!$E6637,nASIG,DATOS!$I6637,nEVAL,"EX")=0),0))))</f>
      </c>
      <c r="H6637">
        <f>IF(DATOS!$G6637&lt;&gt;"EX",0,--(COUNTIFS(nNIA,DATOS!$A6637,nCURSO,DATOS!$D6637,nESPEC,DATOS!$E6637,nASIG,DATOS!$I6637,nEVAL,"OR")=0))</f>
      </c>
      <c r="I6637">
        <f>IF(DATOS!$I6637="","",IFERROR(VLOOKUP(DATOS!$I6637,CONFIG_ASIGNATURAS!$B$2:$J$91,9,FALSE()),""))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IF(DATOS!$A6638="",0,IF(CONFIG_METADATA!$B$4&lt;&gt;"OR+EX",--(DATOS!$G6638=CONFIG_METADATA!$B$4),IF(DATOS!$G6638="EX",1,IF(DATOS!$G6638="OR",--(COUNTIFS(nNIA,DATOS!$A6638,nCURSO,DATOS!$D6638,nESPEC,DATOS!$E6638,nASIG,DATOS!$I6638,nEVAL,"EX")=0),0))))</f>
      </c>
      <c r="H6638">
        <f>IF(DATOS!$G6638&lt;&gt;"EX",0,--(COUNTIFS(nNIA,DATOS!$A6638,nCURSO,DATOS!$D6638,nESPEC,DATOS!$E6638,nASIG,DATOS!$I6638,nEVAL,"OR")=0))</f>
      </c>
      <c r="I6638">
        <f>IF(DATOS!$I6638="","",IFERROR(VLOOKUP(DATOS!$I6638,CONFIG_ASIGNATURAS!$B$2:$J$91,9,FALSE()),""))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IF(DATOS!$A6639="",0,IF(CONFIG_METADATA!$B$4&lt;&gt;"OR+EX",--(DATOS!$G6639=CONFIG_METADATA!$B$4),IF(DATOS!$G6639="EX",1,IF(DATOS!$G6639="OR",--(COUNTIFS(nNIA,DATOS!$A6639,nCURSO,DATOS!$D6639,nESPEC,DATOS!$E6639,nASIG,DATOS!$I6639,nEVAL,"EX")=0),0))))</f>
      </c>
      <c r="H6639">
        <f>IF(DATOS!$G6639&lt;&gt;"EX",0,--(COUNTIFS(nNIA,DATOS!$A6639,nCURSO,DATOS!$D6639,nESPEC,DATOS!$E6639,nASIG,DATOS!$I6639,nEVAL,"OR")=0))</f>
      </c>
      <c r="I6639">
        <f>IF(DATOS!$I6639="","",IFERROR(VLOOKUP(DATOS!$I6639,CONFIG_ASIGNATURAS!$B$2:$J$91,9,FALSE()),""))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IF(DATOS!$A6640="",0,IF(CONFIG_METADATA!$B$4&lt;&gt;"OR+EX",--(DATOS!$G6640=CONFIG_METADATA!$B$4),IF(DATOS!$G6640="EX",1,IF(DATOS!$G6640="OR",--(COUNTIFS(nNIA,DATOS!$A6640,nCURSO,DATOS!$D6640,nESPEC,DATOS!$E6640,nASIG,DATOS!$I6640,nEVAL,"EX")=0),0))))</f>
      </c>
      <c r="H6640">
        <f>IF(DATOS!$G6640&lt;&gt;"EX",0,--(COUNTIFS(nNIA,DATOS!$A6640,nCURSO,DATOS!$D6640,nESPEC,DATOS!$E6640,nASIG,DATOS!$I6640,nEVAL,"OR")=0))</f>
      </c>
      <c r="I6640">
        <f>IF(DATOS!$I6640="","",IFERROR(VLOOKUP(DATOS!$I6640,CONFIG_ASIGNATURAS!$B$2:$J$91,9,FALSE()),""))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IF(DATOS!$A6641="",0,IF(CONFIG_METADATA!$B$4&lt;&gt;"OR+EX",--(DATOS!$G6641=CONFIG_METADATA!$B$4),IF(DATOS!$G6641="EX",1,IF(DATOS!$G6641="OR",--(COUNTIFS(nNIA,DATOS!$A6641,nCURSO,DATOS!$D6641,nESPEC,DATOS!$E6641,nASIG,DATOS!$I6641,nEVAL,"EX")=0),0))))</f>
      </c>
      <c r="H6641">
        <f>IF(DATOS!$G6641&lt;&gt;"EX",0,--(COUNTIFS(nNIA,DATOS!$A6641,nCURSO,DATOS!$D6641,nESPEC,DATOS!$E6641,nASIG,DATOS!$I6641,nEVAL,"OR")=0))</f>
      </c>
      <c r="I6641">
        <f>IF(DATOS!$I6641="","",IFERROR(VLOOKUP(DATOS!$I6641,CONFIG_ASIGNATURAS!$B$2:$J$91,9,FALSE()),""))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IF(DATOS!$A6642="",0,IF(CONFIG_METADATA!$B$4&lt;&gt;"OR+EX",--(DATOS!$G6642=CONFIG_METADATA!$B$4),IF(DATOS!$G6642="EX",1,IF(DATOS!$G6642="OR",--(COUNTIFS(nNIA,DATOS!$A6642,nCURSO,DATOS!$D6642,nESPEC,DATOS!$E6642,nASIG,DATOS!$I6642,nEVAL,"EX")=0),0))))</f>
      </c>
      <c r="H6642">
        <f>IF(DATOS!$G6642&lt;&gt;"EX",0,--(COUNTIFS(nNIA,DATOS!$A6642,nCURSO,DATOS!$D6642,nESPEC,DATOS!$E6642,nASIG,DATOS!$I6642,nEVAL,"OR")=0))</f>
      </c>
      <c r="I6642">
        <f>IF(DATOS!$I6642="","",IFERROR(VLOOKUP(DATOS!$I6642,CONFIG_ASIGNATURAS!$B$2:$J$91,9,FALSE()),""))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IF(DATOS!$A6643="",0,IF(CONFIG_METADATA!$B$4&lt;&gt;"OR+EX",--(DATOS!$G6643=CONFIG_METADATA!$B$4),IF(DATOS!$G6643="EX",1,IF(DATOS!$G6643="OR",--(COUNTIFS(nNIA,DATOS!$A6643,nCURSO,DATOS!$D6643,nESPEC,DATOS!$E6643,nASIG,DATOS!$I6643,nEVAL,"EX")=0),0))))</f>
      </c>
      <c r="H6643">
        <f>IF(DATOS!$G6643&lt;&gt;"EX",0,--(COUNTIFS(nNIA,DATOS!$A6643,nCURSO,DATOS!$D6643,nESPEC,DATOS!$E6643,nASIG,DATOS!$I6643,nEVAL,"OR")=0))</f>
      </c>
      <c r="I6643">
        <f>IF(DATOS!$I6643="","",IFERROR(VLOOKUP(DATOS!$I6643,CONFIG_ASIGNATURAS!$B$2:$J$91,9,FALSE()),""))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IF(DATOS!$A6644="",0,IF(CONFIG_METADATA!$B$4&lt;&gt;"OR+EX",--(DATOS!$G6644=CONFIG_METADATA!$B$4),IF(DATOS!$G6644="EX",1,IF(DATOS!$G6644="OR",--(COUNTIFS(nNIA,DATOS!$A6644,nCURSO,DATOS!$D6644,nESPEC,DATOS!$E6644,nASIG,DATOS!$I6644,nEVAL,"EX")=0),0))))</f>
      </c>
      <c r="H6644">
        <f>IF(DATOS!$G6644&lt;&gt;"EX",0,--(COUNTIFS(nNIA,DATOS!$A6644,nCURSO,DATOS!$D6644,nESPEC,DATOS!$E6644,nASIG,DATOS!$I6644,nEVAL,"OR")=0))</f>
      </c>
      <c r="I6644">
        <f>IF(DATOS!$I6644="","",IFERROR(VLOOKUP(DATOS!$I6644,CONFIG_ASIGNATURAS!$B$2:$J$91,9,FALSE()),""))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IF(DATOS!$A6645="",0,IF(CONFIG_METADATA!$B$4&lt;&gt;"OR+EX",--(DATOS!$G6645=CONFIG_METADATA!$B$4),IF(DATOS!$G6645="EX",1,IF(DATOS!$G6645="OR",--(COUNTIFS(nNIA,DATOS!$A6645,nCURSO,DATOS!$D6645,nESPEC,DATOS!$E6645,nASIG,DATOS!$I6645,nEVAL,"EX")=0),0))))</f>
      </c>
      <c r="H6645">
        <f>IF(DATOS!$G6645&lt;&gt;"EX",0,--(COUNTIFS(nNIA,DATOS!$A6645,nCURSO,DATOS!$D6645,nESPEC,DATOS!$E6645,nASIG,DATOS!$I6645,nEVAL,"OR")=0))</f>
      </c>
      <c r="I6645">
        <f>IF(DATOS!$I6645="","",IFERROR(VLOOKUP(DATOS!$I6645,CONFIG_ASIGNATURAS!$B$2:$J$91,9,FALSE()),""))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IF(DATOS!$A6646="",0,IF(CONFIG_METADATA!$B$4&lt;&gt;"OR+EX",--(DATOS!$G6646=CONFIG_METADATA!$B$4),IF(DATOS!$G6646="EX",1,IF(DATOS!$G6646="OR",--(COUNTIFS(nNIA,DATOS!$A6646,nCURSO,DATOS!$D6646,nESPEC,DATOS!$E6646,nASIG,DATOS!$I6646,nEVAL,"EX")=0),0))))</f>
      </c>
      <c r="H6646">
        <f>IF(DATOS!$G6646&lt;&gt;"EX",0,--(COUNTIFS(nNIA,DATOS!$A6646,nCURSO,DATOS!$D6646,nESPEC,DATOS!$E6646,nASIG,DATOS!$I6646,nEVAL,"OR")=0))</f>
      </c>
      <c r="I6646">
        <f>IF(DATOS!$I6646="","",IFERROR(VLOOKUP(DATOS!$I6646,CONFIG_ASIGNATURAS!$B$2:$J$91,9,FALSE()),""))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IF(DATOS!$A6647="",0,IF(CONFIG_METADATA!$B$4&lt;&gt;"OR+EX",--(DATOS!$G6647=CONFIG_METADATA!$B$4),IF(DATOS!$G6647="EX",1,IF(DATOS!$G6647="OR",--(COUNTIFS(nNIA,DATOS!$A6647,nCURSO,DATOS!$D6647,nESPEC,DATOS!$E6647,nASIG,DATOS!$I6647,nEVAL,"EX")=0),0))))</f>
      </c>
      <c r="H6647">
        <f>IF(DATOS!$G6647&lt;&gt;"EX",0,--(COUNTIFS(nNIA,DATOS!$A6647,nCURSO,DATOS!$D6647,nESPEC,DATOS!$E6647,nASIG,DATOS!$I6647,nEVAL,"OR")=0))</f>
      </c>
      <c r="I6647">
        <f>IF(DATOS!$I6647="","",IFERROR(VLOOKUP(DATOS!$I6647,CONFIG_ASIGNATURAS!$B$2:$J$91,9,FALSE()),""))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IF(DATOS!$A6648="",0,IF(CONFIG_METADATA!$B$4&lt;&gt;"OR+EX",--(DATOS!$G6648=CONFIG_METADATA!$B$4),IF(DATOS!$G6648="EX",1,IF(DATOS!$G6648="OR",--(COUNTIFS(nNIA,DATOS!$A6648,nCURSO,DATOS!$D6648,nESPEC,DATOS!$E6648,nASIG,DATOS!$I6648,nEVAL,"EX")=0),0))))</f>
      </c>
      <c r="H6648">
        <f>IF(DATOS!$G6648&lt;&gt;"EX",0,--(COUNTIFS(nNIA,DATOS!$A6648,nCURSO,DATOS!$D6648,nESPEC,DATOS!$E6648,nASIG,DATOS!$I6648,nEVAL,"OR")=0))</f>
      </c>
      <c r="I6648">
        <f>IF(DATOS!$I6648="","",IFERROR(VLOOKUP(DATOS!$I6648,CONFIG_ASIGNATURAS!$B$2:$J$91,9,FALSE()),""))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IF(DATOS!$A6649="",0,IF(CONFIG_METADATA!$B$4&lt;&gt;"OR+EX",--(DATOS!$G6649=CONFIG_METADATA!$B$4),IF(DATOS!$G6649="EX",1,IF(DATOS!$G6649="OR",--(COUNTIFS(nNIA,DATOS!$A6649,nCURSO,DATOS!$D6649,nESPEC,DATOS!$E6649,nASIG,DATOS!$I6649,nEVAL,"EX")=0),0))))</f>
      </c>
      <c r="H6649">
        <f>IF(DATOS!$G6649&lt;&gt;"EX",0,--(COUNTIFS(nNIA,DATOS!$A6649,nCURSO,DATOS!$D6649,nESPEC,DATOS!$E6649,nASIG,DATOS!$I6649,nEVAL,"OR")=0))</f>
      </c>
      <c r="I6649">
        <f>IF(DATOS!$I6649="","",IFERROR(VLOOKUP(DATOS!$I6649,CONFIG_ASIGNATURAS!$B$2:$J$91,9,FALSE()),""))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IF(DATOS!$A6650="",0,IF(CONFIG_METADATA!$B$4&lt;&gt;"OR+EX",--(DATOS!$G6650=CONFIG_METADATA!$B$4),IF(DATOS!$G6650="EX",1,IF(DATOS!$G6650="OR",--(COUNTIFS(nNIA,DATOS!$A6650,nCURSO,DATOS!$D6650,nESPEC,DATOS!$E6650,nASIG,DATOS!$I6650,nEVAL,"EX")=0),0))))</f>
      </c>
      <c r="H6650">
        <f>IF(DATOS!$G6650&lt;&gt;"EX",0,--(COUNTIFS(nNIA,DATOS!$A6650,nCURSO,DATOS!$D6650,nESPEC,DATOS!$E6650,nASIG,DATOS!$I6650,nEVAL,"OR")=0))</f>
      </c>
      <c r="I6650">
        <f>IF(DATOS!$I6650="","",IFERROR(VLOOKUP(DATOS!$I6650,CONFIG_ASIGNATURAS!$B$2:$J$91,9,FALSE()),""))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IF(DATOS!$A6651="",0,IF(CONFIG_METADATA!$B$4&lt;&gt;"OR+EX",--(DATOS!$G6651=CONFIG_METADATA!$B$4),IF(DATOS!$G6651="EX",1,IF(DATOS!$G6651="OR",--(COUNTIFS(nNIA,DATOS!$A6651,nCURSO,DATOS!$D6651,nESPEC,DATOS!$E6651,nASIG,DATOS!$I6651,nEVAL,"EX")=0),0))))</f>
      </c>
      <c r="H6651">
        <f>IF(DATOS!$G6651&lt;&gt;"EX",0,--(COUNTIFS(nNIA,DATOS!$A6651,nCURSO,DATOS!$D6651,nESPEC,DATOS!$E6651,nASIG,DATOS!$I6651,nEVAL,"OR")=0))</f>
      </c>
      <c r="I6651">
        <f>IF(DATOS!$I6651="","",IFERROR(VLOOKUP(DATOS!$I6651,CONFIG_ASIGNATURAS!$B$2:$J$91,9,FALSE()),""))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IF(DATOS!$A6652="",0,IF(CONFIG_METADATA!$B$4&lt;&gt;"OR+EX",--(DATOS!$G6652=CONFIG_METADATA!$B$4),IF(DATOS!$G6652="EX",1,IF(DATOS!$G6652="OR",--(COUNTIFS(nNIA,DATOS!$A6652,nCURSO,DATOS!$D6652,nESPEC,DATOS!$E6652,nASIG,DATOS!$I6652,nEVAL,"EX")=0),0))))</f>
      </c>
      <c r="H6652">
        <f>IF(DATOS!$G6652&lt;&gt;"EX",0,--(COUNTIFS(nNIA,DATOS!$A6652,nCURSO,DATOS!$D6652,nESPEC,DATOS!$E6652,nASIG,DATOS!$I6652,nEVAL,"OR")=0))</f>
      </c>
      <c r="I6652">
        <f>IF(DATOS!$I6652="","",IFERROR(VLOOKUP(DATOS!$I6652,CONFIG_ASIGNATURAS!$B$2:$J$91,9,FALSE()),""))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IF(DATOS!$A6653="",0,IF(CONFIG_METADATA!$B$4&lt;&gt;"OR+EX",--(DATOS!$G6653=CONFIG_METADATA!$B$4),IF(DATOS!$G6653="EX",1,IF(DATOS!$G6653="OR",--(COUNTIFS(nNIA,DATOS!$A6653,nCURSO,DATOS!$D6653,nESPEC,DATOS!$E6653,nASIG,DATOS!$I6653,nEVAL,"EX")=0),0))))</f>
      </c>
      <c r="H6653">
        <f>IF(DATOS!$G6653&lt;&gt;"EX",0,--(COUNTIFS(nNIA,DATOS!$A6653,nCURSO,DATOS!$D6653,nESPEC,DATOS!$E6653,nASIG,DATOS!$I6653,nEVAL,"OR")=0))</f>
      </c>
      <c r="I6653">
        <f>IF(DATOS!$I6653="","",IFERROR(VLOOKUP(DATOS!$I6653,CONFIG_ASIGNATURAS!$B$2:$J$91,9,FALSE()),""))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IF(DATOS!$A6654="",0,IF(CONFIG_METADATA!$B$4&lt;&gt;"OR+EX",--(DATOS!$G6654=CONFIG_METADATA!$B$4),IF(DATOS!$G6654="EX",1,IF(DATOS!$G6654="OR",--(COUNTIFS(nNIA,DATOS!$A6654,nCURSO,DATOS!$D6654,nESPEC,DATOS!$E6654,nASIG,DATOS!$I6654,nEVAL,"EX")=0),0))))</f>
      </c>
      <c r="H6654">
        <f>IF(DATOS!$G6654&lt;&gt;"EX",0,--(COUNTIFS(nNIA,DATOS!$A6654,nCURSO,DATOS!$D6654,nESPEC,DATOS!$E6654,nASIG,DATOS!$I6654,nEVAL,"OR")=0))</f>
      </c>
      <c r="I6654">
        <f>IF(DATOS!$I6654="","",IFERROR(VLOOKUP(DATOS!$I6654,CONFIG_ASIGNATURAS!$B$2:$J$91,9,FALSE()),""))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IF(DATOS!$A6655="",0,IF(CONFIG_METADATA!$B$4&lt;&gt;"OR+EX",--(DATOS!$G6655=CONFIG_METADATA!$B$4),IF(DATOS!$G6655="EX",1,IF(DATOS!$G6655="OR",--(COUNTIFS(nNIA,DATOS!$A6655,nCURSO,DATOS!$D6655,nESPEC,DATOS!$E6655,nASIG,DATOS!$I6655,nEVAL,"EX")=0),0))))</f>
      </c>
      <c r="H6655">
        <f>IF(DATOS!$G6655&lt;&gt;"EX",0,--(COUNTIFS(nNIA,DATOS!$A6655,nCURSO,DATOS!$D6655,nESPEC,DATOS!$E6655,nASIG,DATOS!$I6655,nEVAL,"OR")=0))</f>
      </c>
      <c r="I6655">
        <f>IF(DATOS!$I6655="","",IFERROR(VLOOKUP(DATOS!$I6655,CONFIG_ASIGNATURAS!$B$2:$J$91,9,FALSE()),""))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IF(DATOS!$A6656="",0,IF(CONFIG_METADATA!$B$4&lt;&gt;"OR+EX",--(DATOS!$G6656=CONFIG_METADATA!$B$4),IF(DATOS!$G6656="EX",1,IF(DATOS!$G6656="OR",--(COUNTIFS(nNIA,DATOS!$A6656,nCURSO,DATOS!$D6656,nESPEC,DATOS!$E6656,nASIG,DATOS!$I6656,nEVAL,"EX")=0),0))))</f>
      </c>
      <c r="H6656">
        <f>IF(DATOS!$G6656&lt;&gt;"EX",0,--(COUNTIFS(nNIA,DATOS!$A6656,nCURSO,DATOS!$D6656,nESPEC,DATOS!$E6656,nASIG,DATOS!$I6656,nEVAL,"OR")=0))</f>
      </c>
      <c r="I6656">
        <f>IF(DATOS!$I6656="","",IFERROR(VLOOKUP(DATOS!$I6656,CONFIG_ASIGNATURAS!$B$2:$J$91,9,FALSE()),""))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IF(DATOS!$A6657="",0,IF(CONFIG_METADATA!$B$4&lt;&gt;"OR+EX",--(DATOS!$G6657=CONFIG_METADATA!$B$4),IF(DATOS!$G6657="EX",1,IF(DATOS!$G6657="OR",--(COUNTIFS(nNIA,DATOS!$A6657,nCURSO,DATOS!$D6657,nESPEC,DATOS!$E6657,nASIG,DATOS!$I6657,nEVAL,"EX")=0),0))))</f>
      </c>
      <c r="H6657">
        <f>IF(DATOS!$G6657&lt;&gt;"EX",0,--(COUNTIFS(nNIA,DATOS!$A6657,nCURSO,DATOS!$D6657,nESPEC,DATOS!$E6657,nASIG,DATOS!$I6657,nEVAL,"OR")=0))</f>
      </c>
      <c r="I6657">
        <f>IF(DATOS!$I6657="","",IFERROR(VLOOKUP(DATOS!$I6657,CONFIG_ASIGNATURAS!$B$2:$J$91,9,FALSE()),""))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IF(DATOS!$A6658="",0,IF(CONFIG_METADATA!$B$4&lt;&gt;"OR+EX",--(DATOS!$G6658=CONFIG_METADATA!$B$4),IF(DATOS!$G6658="EX",1,IF(DATOS!$G6658="OR",--(COUNTIFS(nNIA,DATOS!$A6658,nCURSO,DATOS!$D6658,nESPEC,DATOS!$E6658,nASIG,DATOS!$I6658,nEVAL,"EX")=0),0))))</f>
      </c>
      <c r="H6658">
        <f>IF(DATOS!$G6658&lt;&gt;"EX",0,--(COUNTIFS(nNIA,DATOS!$A6658,nCURSO,DATOS!$D6658,nESPEC,DATOS!$E6658,nASIG,DATOS!$I6658,nEVAL,"OR")=0))</f>
      </c>
      <c r="I6658">
        <f>IF(DATOS!$I6658="","",IFERROR(VLOOKUP(DATOS!$I6658,CONFIG_ASIGNATURAS!$B$2:$J$91,9,FALSE()),""))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IF(DATOS!$A6659="",0,IF(CONFIG_METADATA!$B$4&lt;&gt;"OR+EX",--(DATOS!$G6659=CONFIG_METADATA!$B$4),IF(DATOS!$G6659="EX",1,IF(DATOS!$G6659="OR",--(COUNTIFS(nNIA,DATOS!$A6659,nCURSO,DATOS!$D6659,nESPEC,DATOS!$E6659,nASIG,DATOS!$I6659,nEVAL,"EX")=0),0))))</f>
      </c>
      <c r="H6659">
        <f>IF(DATOS!$G6659&lt;&gt;"EX",0,--(COUNTIFS(nNIA,DATOS!$A6659,nCURSO,DATOS!$D6659,nESPEC,DATOS!$E6659,nASIG,DATOS!$I6659,nEVAL,"OR")=0))</f>
      </c>
      <c r="I6659">
        <f>IF(DATOS!$I6659="","",IFERROR(VLOOKUP(DATOS!$I6659,CONFIG_ASIGNATURAS!$B$2:$J$91,9,FALSE()),""))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IF(DATOS!$A6660="",0,IF(CONFIG_METADATA!$B$4&lt;&gt;"OR+EX",--(DATOS!$G6660=CONFIG_METADATA!$B$4),IF(DATOS!$G6660="EX",1,IF(DATOS!$G6660="OR",--(COUNTIFS(nNIA,DATOS!$A6660,nCURSO,DATOS!$D6660,nESPEC,DATOS!$E6660,nASIG,DATOS!$I6660,nEVAL,"EX")=0),0))))</f>
      </c>
      <c r="H6660">
        <f>IF(DATOS!$G6660&lt;&gt;"EX",0,--(COUNTIFS(nNIA,DATOS!$A6660,nCURSO,DATOS!$D6660,nESPEC,DATOS!$E6660,nASIG,DATOS!$I6660,nEVAL,"OR")=0))</f>
      </c>
      <c r="I6660">
        <f>IF(DATOS!$I6660="","",IFERROR(VLOOKUP(DATOS!$I6660,CONFIG_ASIGNATURAS!$B$2:$J$91,9,FALSE()),""))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IF(DATOS!$A6661="",0,IF(CONFIG_METADATA!$B$4&lt;&gt;"OR+EX",--(DATOS!$G6661=CONFIG_METADATA!$B$4),IF(DATOS!$G6661="EX",1,IF(DATOS!$G6661="OR",--(COUNTIFS(nNIA,DATOS!$A6661,nCURSO,DATOS!$D6661,nESPEC,DATOS!$E6661,nASIG,DATOS!$I6661,nEVAL,"EX")=0),0))))</f>
      </c>
      <c r="H6661">
        <f>IF(DATOS!$G6661&lt;&gt;"EX",0,--(COUNTIFS(nNIA,DATOS!$A6661,nCURSO,DATOS!$D6661,nESPEC,DATOS!$E6661,nASIG,DATOS!$I6661,nEVAL,"OR")=0))</f>
      </c>
      <c r="I6661">
        <f>IF(DATOS!$I6661="","",IFERROR(VLOOKUP(DATOS!$I6661,CONFIG_ASIGNATURAS!$B$2:$J$91,9,FALSE()),""))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IF(DATOS!$A6662="",0,IF(CONFIG_METADATA!$B$4&lt;&gt;"OR+EX",--(DATOS!$G6662=CONFIG_METADATA!$B$4),IF(DATOS!$G6662="EX",1,IF(DATOS!$G6662="OR",--(COUNTIFS(nNIA,DATOS!$A6662,nCURSO,DATOS!$D6662,nESPEC,DATOS!$E6662,nASIG,DATOS!$I6662,nEVAL,"EX")=0),0))))</f>
      </c>
      <c r="H6662">
        <f>IF(DATOS!$G6662&lt;&gt;"EX",0,--(COUNTIFS(nNIA,DATOS!$A6662,nCURSO,DATOS!$D6662,nESPEC,DATOS!$E6662,nASIG,DATOS!$I6662,nEVAL,"OR")=0))</f>
      </c>
      <c r="I6662">
        <f>IF(DATOS!$I6662="","",IFERROR(VLOOKUP(DATOS!$I6662,CONFIG_ASIGNATURAS!$B$2:$J$91,9,FALSE()),""))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IF(DATOS!$A6663="",0,IF(CONFIG_METADATA!$B$4&lt;&gt;"OR+EX",--(DATOS!$G6663=CONFIG_METADATA!$B$4),IF(DATOS!$G6663="EX",1,IF(DATOS!$G6663="OR",--(COUNTIFS(nNIA,DATOS!$A6663,nCURSO,DATOS!$D6663,nESPEC,DATOS!$E6663,nASIG,DATOS!$I6663,nEVAL,"EX")=0),0))))</f>
      </c>
      <c r="H6663">
        <f>IF(DATOS!$G6663&lt;&gt;"EX",0,--(COUNTIFS(nNIA,DATOS!$A6663,nCURSO,DATOS!$D6663,nESPEC,DATOS!$E6663,nASIG,DATOS!$I6663,nEVAL,"OR")=0))</f>
      </c>
      <c r="I6663">
        <f>IF(DATOS!$I6663="","",IFERROR(VLOOKUP(DATOS!$I6663,CONFIG_ASIGNATURAS!$B$2:$J$91,9,FALSE()),""))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IF(DATOS!$A6664="",0,IF(CONFIG_METADATA!$B$4&lt;&gt;"OR+EX",--(DATOS!$G6664=CONFIG_METADATA!$B$4),IF(DATOS!$G6664="EX",1,IF(DATOS!$G6664="OR",--(COUNTIFS(nNIA,DATOS!$A6664,nCURSO,DATOS!$D6664,nESPEC,DATOS!$E6664,nASIG,DATOS!$I6664,nEVAL,"EX")=0),0))))</f>
      </c>
      <c r="H6664">
        <f>IF(DATOS!$G6664&lt;&gt;"EX",0,--(COUNTIFS(nNIA,DATOS!$A6664,nCURSO,DATOS!$D6664,nESPEC,DATOS!$E6664,nASIG,DATOS!$I6664,nEVAL,"OR")=0))</f>
      </c>
      <c r="I6664">
        <f>IF(DATOS!$I6664="","",IFERROR(VLOOKUP(DATOS!$I6664,CONFIG_ASIGNATURAS!$B$2:$J$91,9,FALSE()),""))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IF(DATOS!$A6665="",0,IF(CONFIG_METADATA!$B$4&lt;&gt;"OR+EX",--(DATOS!$G6665=CONFIG_METADATA!$B$4),IF(DATOS!$G6665="EX",1,IF(DATOS!$G6665="OR",--(COUNTIFS(nNIA,DATOS!$A6665,nCURSO,DATOS!$D6665,nESPEC,DATOS!$E6665,nASIG,DATOS!$I6665,nEVAL,"EX")=0),0))))</f>
      </c>
      <c r="H6665">
        <f>IF(DATOS!$G6665&lt;&gt;"EX",0,--(COUNTIFS(nNIA,DATOS!$A6665,nCURSO,DATOS!$D6665,nESPEC,DATOS!$E6665,nASIG,DATOS!$I6665,nEVAL,"OR")=0))</f>
      </c>
      <c r="I6665">
        <f>IF(DATOS!$I6665="","",IFERROR(VLOOKUP(DATOS!$I6665,CONFIG_ASIGNATURAS!$B$2:$J$91,9,FALSE()),""))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IF(DATOS!$A6666="",0,IF(CONFIG_METADATA!$B$4&lt;&gt;"OR+EX",--(DATOS!$G6666=CONFIG_METADATA!$B$4),IF(DATOS!$G6666="EX",1,IF(DATOS!$G6666="OR",--(COUNTIFS(nNIA,DATOS!$A6666,nCURSO,DATOS!$D6666,nESPEC,DATOS!$E6666,nASIG,DATOS!$I6666,nEVAL,"EX")=0),0))))</f>
      </c>
      <c r="H6666">
        <f>IF(DATOS!$G6666&lt;&gt;"EX",0,--(COUNTIFS(nNIA,DATOS!$A6666,nCURSO,DATOS!$D6666,nESPEC,DATOS!$E6666,nASIG,DATOS!$I6666,nEVAL,"OR")=0))</f>
      </c>
      <c r="I6666">
        <f>IF(DATOS!$I6666="","",IFERROR(VLOOKUP(DATOS!$I6666,CONFIG_ASIGNATURAS!$B$2:$J$91,9,FALSE()),""))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IF(DATOS!$A6667="",0,IF(CONFIG_METADATA!$B$4&lt;&gt;"OR+EX",--(DATOS!$G6667=CONFIG_METADATA!$B$4),IF(DATOS!$G6667="EX",1,IF(DATOS!$G6667="OR",--(COUNTIFS(nNIA,DATOS!$A6667,nCURSO,DATOS!$D6667,nESPEC,DATOS!$E6667,nASIG,DATOS!$I6667,nEVAL,"EX")=0),0))))</f>
      </c>
      <c r="H6667">
        <f>IF(DATOS!$G6667&lt;&gt;"EX",0,--(COUNTIFS(nNIA,DATOS!$A6667,nCURSO,DATOS!$D6667,nESPEC,DATOS!$E6667,nASIG,DATOS!$I6667,nEVAL,"OR")=0))</f>
      </c>
      <c r="I6667">
        <f>IF(DATOS!$I6667="","",IFERROR(VLOOKUP(DATOS!$I6667,CONFIG_ASIGNATURAS!$B$2:$J$91,9,FALSE()),""))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IF(DATOS!$A6668="",0,IF(CONFIG_METADATA!$B$4&lt;&gt;"OR+EX",--(DATOS!$G6668=CONFIG_METADATA!$B$4),IF(DATOS!$G6668="EX",1,IF(DATOS!$G6668="OR",--(COUNTIFS(nNIA,DATOS!$A6668,nCURSO,DATOS!$D6668,nESPEC,DATOS!$E6668,nASIG,DATOS!$I6668,nEVAL,"EX")=0),0))))</f>
      </c>
      <c r="H6668">
        <f>IF(DATOS!$G6668&lt;&gt;"EX",0,--(COUNTIFS(nNIA,DATOS!$A6668,nCURSO,DATOS!$D6668,nESPEC,DATOS!$E6668,nASIG,DATOS!$I6668,nEVAL,"OR")=0))</f>
      </c>
      <c r="I6668">
        <f>IF(DATOS!$I6668="","",IFERROR(VLOOKUP(DATOS!$I6668,CONFIG_ASIGNATURAS!$B$2:$J$91,9,FALSE()),""))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IF(DATOS!$A6669="",0,IF(CONFIG_METADATA!$B$4&lt;&gt;"OR+EX",--(DATOS!$G6669=CONFIG_METADATA!$B$4),IF(DATOS!$G6669="EX",1,IF(DATOS!$G6669="OR",--(COUNTIFS(nNIA,DATOS!$A6669,nCURSO,DATOS!$D6669,nESPEC,DATOS!$E6669,nASIG,DATOS!$I6669,nEVAL,"EX")=0),0))))</f>
      </c>
      <c r="H6669">
        <f>IF(DATOS!$G6669&lt;&gt;"EX",0,--(COUNTIFS(nNIA,DATOS!$A6669,nCURSO,DATOS!$D6669,nESPEC,DATOS!$E6669,nASIG,DATOS!$I6669,nEVAL,"OR")=0))</f>
      </c>
      <c r="I6669">
        <f>IF(DATOS!$I6669="","",IFERROR(VLOOKUP(DATOS!$I6669,CONFIG_ASIGNATURAS!$B$2:$J$91,9,FALSE()),""))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IF(DATOS!$A6670="",0,IF(CONFIG_METADATA!$B$4&lt;&gt;"OR+EX",--(DATOS!$G6670=CONFIG_METADATA!$B$4),IF(DATOS!$G6670="EX",1,IF(DATOS!$G6670="OR",--(COUNTIFS(nNIA,DATOS!$A6670,nCURSO,DATOS!$D6670,nESPEC,DATOS!$E6670,nASIG,DATOS!$I6670,nEVAL,"EX")=0),0))))</f>
      </c>
      <c r="H6670">
        <f>IF(DATOS!$G6670&lt;&gt;"EX",0,--(COUNTIFS(nNIA,DATOS!$A6670,nCURSO,DATOS!$D6670,nESPEC,DATOS!$E6670,nASIG,DATOS!$I6670,nEVAL,"OR")=0))</f>
      </c>
      <c r="I6670">
        <f>IF(DATOS!$I6670="","",IFERROR(VLOOKUP(DATOS!$I6670,CONFIG_ASIGNATURAS!$B$2:$J$91,9,FALSE()),""))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IF(DATOS!$A6671="",0,IF(CONFIG_METADATA!$B$4&lt;&gt;"OR+EX",--(DATOS!$G6671=CONFIG_METADATA!$B$4),IF(DATOS!$G6671="EX",1,IF(DATOS!$G6671="OR",--(COUNTIFS(nNIA,DATOS!$A6671,nCURSO,DATOS!$D6671,nESPEC,DATOS!$E6671,nASIG,DATOS!$I6671,nEVAL,"EX")=0),0))))</f>
      </c>
      <c r="H6671">
        <f>IF(DATOS!$G6671&lt;&gt;"EX",0,--(COUNTIFS(nNIA,DATOS!$A6671,nCURSO,DATOS!$D6671,nESPEC,DATOS!$E6671,nASIG,DATOS!$I6671,nEVAL,"OR")=0))</f>
      </c>
      <c r="I6671">
        <f>IF(DATOS!$I6671="","",IFERROR(VLOOKUP(DATOS!$I6671,CONFIG_ASIGNATURAS!$B$2:$J$91,9,FALSE()),""))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IF(DATOS!$A6672="",0,IF(CONFIG_METADATA!$B$4&lt;&gt;"OR+EX",--(DATOS!$G6672=CONFIG_METADATA!$B$4),IF(DATOS!$G6672="EX",1,IF(DATOS!$G6672="OR",--(COUNTIFS(nNIA,DATOS!$A6672,nCURSO,DATOS!$D6672,nESPEC,DATOS!$E6672,nASIG,DATOS!$I6672,nEVAL,"EX")=0),0))))</f>
      </c>
      <c r="H6672">
        <f>IF(DATOS!$G6672&lt;&gt;"EX",0,--(COUNTIFS(nNIA,DATOS!$A6672,nCURSO,DATOS!$D6672,nESPEC,DATOS!$E6672,nASIG,DATOS!$I6672,nEVAL,"OR")=0))</f>
      </c>
      <c r="I6672">
        <f>IF(DATOS!$I6672="","",IFERROR(VLOOKUP(DATOS!$I6672,CONFIG_ASIGNATURAS!$B$2:$J$91,9,FALSE()),""))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IF(DATOS!$A6673="",0,IF(CONFIG_METADATA!$B$4&lt;&gt;"OR+EX",--(DATOS!$G6673=CONFIG_METADATA!$B$4),IF(DATOS!$G6673="EX",1,IF(DATOS!$G6673="OR",--(COUNTIFS(nNIA,DATOS!$A6673,nCURSO,DATOS!$D6673,nESPEC,DATOS!$E6673,nASIG,DATOS!$I6673,nEVAL,"EX")=0),0))))</f>
      </c>
      <c r="H6673">
        <f>IF(DATOS!$G6673&lt;&gt;"EX",0,--(COUNTIFS(nNIA,DATOS!$A6673,nCURSO,DATOS!$D6673,nESPEC,DATOS!$E6673,nASIG,DATOS!$I6673,nEVAL,"OR")=0))</f>
      </c>
      <c r="I6673">
        <f>IF(DATOS!$I6673="","",IFERROR(VLOOKUP(DATOS!$I6673,CONFIG_ASIGNATURAS!$B$2:$J$91,9,FALSE()),""))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IF(DATOS!$A6674="",0,IF(CONFIG_METADATA!$B$4&lt;&gt;"OR+EX",--(DATOS!$G6674=CONFIG_METADATA!$B$4),IF(DATOS!$G6674="EX",1,IF(DATOS!$G6674="OR",--(COUNTIFS(nNIA,DATOS!$A6674,nCURSO,DATOS!$D6674,nESPEC,DATOS!$E6674,nASIG,DATOS!$I6674,nEVAL,"EX")=0),0))))</f>
      </c>
      <c r="H6674">
        <f>IF(DATOS!$G6674&lt;&gt;"EX",0,--(COUNTIFS(nNIA,DATOS!$A6674,nCURSO,DATOS!$D6674,nESPEC,DATOS!$E6674,nASIG,DATOS!$I6674,nEVAL,"OR")=0))</f>
      </c>
      <c r="I6674">
        <f>IF(DATOS!$I6674="","",IFERROR(VLOOKUP(DATOS!$I6674,CONFIG_ASIGNATURAS!$B$2:$J$91,9,FALSE()),""))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IF(DATOS!$A6675="",0,IF(CONFIG_METADATA!$B$4&lt;&gt;"OR+EX",--(DATOS!$G6675=CONFIG_METADATA!$B$4),IF(DATOS!$G6675="EX",1,IF(DATOS!$G6675="OR",--(COUNTIFS(nNIA,DATOS!$A6675,nCURSO,DATOS!$D6675,nESPEC,DATOS!$E6675,nASIG,DATOS!$I6675,nEVAL,"EX")=0),0))))</f>
      </c>
      <c r="H6675">
        <f>IF(DATOS!$G6675&lt;&gt;"EX",0,--(COUNTIFS(nNIA,DATOS!$A6675,nCURSO,DATOS!$D6675,nESPEC,DATOS!$E6675,nASIG,DATOS!$I6675,nEVAL,"OR")=0))</f>
      </c>
      <c r="I6675">
        <f>IF(DATOS!$I6675="","",IFERROR(VLOOKUP(DATOS!$I6675,CONFIG_ASIGNATURAS!$B$2:$J$91,9,FALSE()),""))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IF(DATOS!$A6676="",0,IF(CONFIG_METADATA!$B$4&lt;&gt;"OR+EX",--(DATOS!$G6676=CONFIG_METADATA!$B$4),IF(DATOS!$G6676="EX",1,IF(DATOS!$G6676="OR",--(COUNTIFS(nNIA,DATOS!$A6676,nCURSO,DATOS!$D6676,nESPEC,DATOS!$E6676,nASIG,DATOS!$I6676,nEVAL,"EX")=0),0))))</f>
      </c>
      <c r="H6676">
        <f>IF(DATOS!$G6676&lt;&gt;"EX",0,--(COUNTIFS(nNIA,DATOS!$A6676,nCURSO,DATOS!$D6676,nESPEC,DATOS!$E6676,nASIG,DATOS!$I6676,nEVAL,"OR")=0))</f>
      </c>
      <c r="I6676">
        <f>IF(DATOS!$I6676="","",IFERROR(VLOOKUP(DATOS!$I6676,CONFIG_ASIGNATURAS!$B$2:$J$91,9,FALSE()),""))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IF(DATOS!$A6677="",0,IF(CONFIG_METADATA!$B$4&lt;&gt;"OR+EX",--(DATOS!$G6677=CONFIG_METADATA!$B$4),IF(DATOS!$G6677="EX",1,IF(DATOS!$G6677="OR",--(COUNTIFS(nNIA,DATOS!$A6677,nCURSO,DATOS!$D6677,nESPEC,DATOS!$E6677,nASIG,DATOS!$I6677,nEVAL,"EX")=0),0))))</f>
      </c>
      <c r="H6677">
        <f>IF(DATOS!$G6677&lt;&gt;"EX",0,--(COUNTIFS(nNIA,DATOS!$A6677,nCURSO,DATOS!$D6677,nESPEC,DATOS!$E6677,nASIG,DATOS!$I6677,nEVAL,"OR")=0))</f>
      </c>
      <c r="I6677">
        <f>IF(DATOS!$I6677="","",IFERROR(VLOOKUP(DATOS!$I6677,CONFIG_ASIGNATURAS!$B$2:$J$91,9,FALSE()),""))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IF(DATOS!$A6678="",0,IF(CONFIG_METADATA!$B$4&lt;&gt;"OR+EX",--(DATOS!$G6678=CONFIG_METADATA!$B$4),IF(DATOS!$G6678="EX",1,IF(DATOS!$G6678="OR",--(COUNTIFS(nNIA,DATOS!$A6678,nCURSO,DATOS!$D6678,nESPEC,DATOS!$E6678,nASIG,DATOS!$I6678,nEVAL,"EX")=0),0))))</f>
      </c>
      <c r="H6678">
        <f>IF(DATOS!$G6678&lt;&gt;"EX",0,--(COUNTIFS(nNIA,DATOS!$A6678,nCURSO,DATOS!$D6678,nESPEC,DATOS!$E6678,nASIG,DATOS!$I6678,nEVAL,"OR")=0))</f>
      </c>
      <c r="I6678">
        <f>IF(DATOS!$I6678="","",IFERROR(VLOOKUP(DATOS!$I6678,CONFIG_ASIGNATURAS!$B$2:$J$91,9,FALSE()),""))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IF(DATOS!$A6679="",0,IF(CONFIG_METADATA!$B$4&lt;&gt;"OR+EX",--(DATOS!$G6679=CONFIG_METADATA!$B$4),IF(DATOS!$G6679="EX",1,IF(DATOS!$G6679="OR",--(COUNTIFS(nNIA,DATOS!$A6679,nCURSO,DATOS!$D6679,nESPEC,DATOS!$E6679,nASIG,DATOS!$I6679,nEVAL,"EX")=0),0))))</f>
      </c>
      <c r="H6679">
        <f>IF(DATOS!$G6679&lt;&gt;"EX",0,--(COUNTIFS(nNIA,DATOS!$A6679,nCURSO,DATOS!$D6679,nESPEC,DATOS!$E6679,nASIG,DATOS!$I6679,nEVAL,"OR")=0))</f>
      </c>
      <c r="I6679">
        <f>IF(DATOS!$I6679="","",IFERROR(VLOOKUP(DATOS!$I6679,CONFIG_ASIGNATURAS!$B$2:$J$91,9,FALSE()),""))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IF(DATOS!$A6680="",0,IF(CONFIG_METADATA!$B$4&lt;&gt;"OR+EX",--(DATOS!$G6680=CONFIG_METADATA!$B$4),IF(DATOS!$G6680="EX",1,IF(DATOS!$G6680="OR",--(COUNTIFS(nNIA,DATOS!$A6680,nCURSO,DATOS!$D6680,nESPEC,DATOS!$E6680,nASIG,DATOS!$I6680,nEVAL,"EX")=0),0))))</f>
      </c>
      <c r="H6680">
        <f>IF(DATOS!$G6680&lt;&gt;"EX",0,--(COUNTIFS(nNIA,DATOS!$A6680,nCURSO,DATOS!$D6680,nESPEC,DATOS!$E6680,nASIG,DATOS!$I6680,nEVAL,"OR")=0))</f>
      </c>
      <c r="I6680">
        <f>IF(DATOS!$I6680="","",IFERROR(VLOOKUP(DATOS!$I6680,CONFIG_ASIGNATURAS!$B$2:$J$91,9,FALSE()),""))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IF(DATOS!$A6681="",0,IF(CONFIG_METADATA!$B$4&lt;&gt;"OR+EX",--(DATOS!$G6681=CONFIG_METADATA!$B$4),IF(DATOS!$G6681="EX",1,IF(DATOS!$G6681="OR",--(COUNTIFS(nNIA,DATOS!$A6681,nCURSO,DATOS!$D6681,nESPEC,DATOS!$E6681,nASIG,DATOS!$I6681,nEVAL,"EX")=0),0))))</f>
      </c>
      <c r="H6681">
        <f>IF(DATOS!$G6681&lt;&gt;"EX",0,--(COUNTIFS(nNIA,DATOS!$A6681,nCURSO,DATOS!$D6681,nESPEC,DATOS!$E6681,nASIG,DATOS!$I6681,nEVAL,"OR")=0))</f>
      </c>
      <c r="I6681">
        <f>IF(DATOS!$I6681="","",IFERROR(VLOOKUP(DATOS!$I6681,CONFIG_ASIGNATURAS!$B$2:$J$91,9,FALSE()),""))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IF(DATOS!$A6682="",0,IF(CONFIG_METADATA!$B$4&lt;&gt;"OR+EX",--(DATOS!$G6682=CONFIG_METADATA!$B$4),IF(DATOS!$G6682="EX",1,IF(DATOS!$G6682="OR",--(COUNTIFS(nNIA,DATOS!$A6682,nCURSO,DATOS!$D6682,nESPEC,DATOS!$E6682,nASIG,DATOS!$I6682,nEVAL,"EX")=0),0))))</f>
      </c>
      <c r="H6682">
        <f>IF(DATOS!$G6682&lt;&gt;"EX",0,--(COUNTIFS(nNIA,DATOS!$A6682,nCURSO,DATOS!$D6682,nESPEC,DATOS!$E6682,nASIG,DATOS!$I6682,nEVAL,"OR")=0))</f>
      </c>
      <c r="I6682">
        <f>IF(DATOS!$I6682="","",IFERROR(VLOOKUP(DATOS!$I6682,CONFIG_ASIGNATURAS!$B$2:$J$91,9,FALSE()),""))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IF(DATOS!$A6683="",0,IF(CONFIG_METADATA!$B$4&lt;&gt;"OR+EX",--(DATOS!$G6683=CONFIG_METADATA!$B$4),IF(DATOS!$G6683="EX",1,IF(DATOS!$G6683="OR",--(COUNTIFS(nNIA,DATOS!$A6683,nCURSO,DATOS!$D6683,nESPEC,DATOS!$E6683,nASIG,DATOS!$I6683,nEVAL,"EX")=0),0))))</f>
      </c>
      <c r="H6683">
        <f>IF(DATOS!$G6683&lt;&gt;"EX",0,--(COUNTIFS(nNIA,DATOS!$A6683,nCURSO,DATOS!$D6683,nESPEC,DATOS!$E6683,nASIG,DATOS!$I6683,nEVAL,"OR")=0))</f>
      </c>
      <c r="I6683">
        <f>IF(DATOS!$I6683="","",IFERROR(VLOOKUP(DATOS!$I6683,CONFIG_ASIGNATURAS!$B$2:$J$91,9,FALSE()),""))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IF(DATOS!$A6684="",0,IF(CONFIG_METADATA!$B$4&lt;&gt;"OR+EX",--(DATOS!$G6684=CONFIG_METADATA!$B$4),IF(DATOS!$G6684="EX",1,IF(DATOS!$G6684="OR",--(COUNTIFS(nNIA,DATOS!$A6684,nCURSO,DATOS!$D6684,nESPEC,DATOS!$E6684,nASIG,DATOS!$I6684,nEVAL,"EX")=0),0))))</f>
      </c>
      <c r="H6684">
        <f>IF(DATOS!$G6684&lt;&gt;"EX",0,--(COUNTIFS(nNIA,DATOS!$A6684,nCURSO,DATOS!$D6684,nESPEC,DATOS!$E6684,nASIG,DATOS!$I6684,nEVAL,"OR")=0))</f>
      </c>
      <c r="I6684">
        <f>IF(DATOS!$I6684="","",IFERROR(VLOOKUP(DATOS!$I6684,CONFIG_ASIGNATURAS!$B$2:$J$91,9,FALSE()),""))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IF(DATOS!$A6685="",0,IF(CONFIG_METADATA!$B$4&lt;&gt;"OR+EX",--(DATOS!$G6685=CONFIG_METADATA!$B$4),IF(DATOS!$G6685="EX",1,IF(DATOS!$G6685="OR",--(COUNTIFS(nNIA,DATOS!$A6685,nCURSO,DATOS!$D6685,nESPEC,DATOS!$E6685,nASIG,DATOS!$I6685,nEVAL,"EX")=0),0))))</f>
      </c>
      <c r="H6685">
        <f>IF(DATOS!$G6685&lt;&gt;"EX",0,--(COUNTIFS(nNIA,DATOS!$A6685,nCURSO,DATOS!$D6685,nESPEC,DATOS!$E6685,nASIG,DATOS!$I6685,nEVAL,"OR")=0))</f>
      </c>
      <c r="I6685">
        <f>IF(DATOS!$I6685="","",IFERROR(VLOOKUP(DATOS!$I6685,CONFIG_ASIGNATURAS!$B$2:$J$91,9,FALSE()),""))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IF(DATOS!$A6686="",0,IF(CONFIG_METADATA!$B$4&lt;&gt;"OR+EX",--(DATOS!$G6686=CONFIG_METADATA!$B$4),IF(DATOS!$G6686="EX",1,IF(DATOS!$G6686="OR",--(COUNTIFS(nNIA,DATOS!$A6686,nCURSO,DATOS!$D6686,nESPEC,DATOS!$E6686,nASIG,DATOS!$I6686,nEVAL,"EX")=0),0))))</f>
      </c>
      <c r="H6686">
        <f>IF(DATOS!$G6686&lt;&gt;"EX",0,--(COUNTIFS(nNIA,DATOS!$A6686,nCURSO,DATOS!$D6686,nESPEC,DATOS!$E6686,nASIG,DATOS!$I6686,nEVAL,"OR")=0))</f>
      </c>
      <c r="I6686">
        <f>IF(DATOS!$I6686="","",IFERROR(VLOOKUP(DATOS!$I6686,CONFIG_ASIGNATURAS!$B$2:$J$91,9,FALSE()),""))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IF(DATOS!$A6687="",0,IF(CONFIG_METADATA!$B$4&lt;&gt;"OR+EX",--(DATOS!$G6687=CONFIG_METADATA!$B$4),IF(DATOS!$G6687="EX",1,IF(DATOS!$G6687="OR",--(COUNTIFS(nNIA,DATOS!$A6687,nCURSO,DATOS!$D6687,nESPEC,DATOS!$E6687,nASIG,DATOS!$I6687,nEVAL,"EX")=0),0))))</f>
      </c>
      <c r="H6687">
        <f>IF(DATOS!$G6687&lt;&gt;"EX",0,--(COUNTIFS(nNIA,DATOS!$A6687,nCURSO,DATOS!$D6687,nESPEC,DATOS!$E6687,nASIG,DATOS!$I6687,nEVAL,"OR")=0))</f>
      </c>
      <c r="I6687">
        <f>IF(DATOS!$I6687="","",IFERROR(VLOOKUP(DATOS!$I6687,CONFIG_ASIGNATURAS!$B$2:$J$91,9,FALSE()),""))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IF(DATOS!$A6688="",0,IF(CONFIG_METADATA!$B$4&lt;&gt;"OR+EX",--(DATOS!$G6688=CONFIG_METADATA!$B$4),IF(DATOS!$G6688="EX",1,IF(DATOS!$G6688="OR",--(COUNTIFS(nNIA,DATOS!$A6688,nCURSO,DATOS!$D6688,nESPEC,DATOS!$E6688,nASIG,DATOS!$I6688,nEVAL,"EX")=0),0))))</f>
      </c>
      <c r="H6688">
        <f>IF(DATOS!$G6688&lt;&gt;"EX",0,--(COUNTIFS(nNIA,DATOS!$A6688,nCURSO,DATOS!$D6688,nESPEC,DATOS!$E6688,nASIG,DATOS!$I6688,nEVAL,"OR")=0))</f>
      </c>
      <c r="I6688">
        <f>IF(DATOS!$I6688="","",IFERROR(VLOOKUP(DATOS!$I6688,CONFIG_ASIGNATURAS!$B$2:$J$91,9,FALSE()),""))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IF(DATOS!$A6689="",0,IF(CONFIG_METADATA!$B$4&lt;&gt;"OR+EX",--(DATOS!$G6689=CONFIG_METADATA!$B$4),IF(DATOS!$G6689="EX",1,IF(DATOS!$G6689="OR",--(COUNTIFS(nNIA,DATOS!$A6689,nCURSO,DATOS!$D6689,nESPEC,DATOS!$E6689,nASIG,DATOS!$I6689,nEVAL,"EX")=0),0))))</f>
      </c>
      <c r="H6689">
        <f>IF(DATOS!$G6689&lt;&gt;"EX",0,--(COUNTIFS(nNIA,DATOS!$A6689,nCURSO,DATOS!$D6689,nESPEC,DATOS!$E6689,nASIG,DATOS!$I6689,nEVAL,"OR")=0))</f>
      </c>
      <c r="I6689">
        <f>IF(DATOS!$I6689="","",IFERROR(VLOOKUP(DATOS!$I6689,CONFIG_ASIGNATURAS!$B$2:$J$91,9,FALSE()),""))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IF(DATOS!$A6690="",0,IF(CONFIG_METADATA!$B$4&lt;&gt;"OR+EX",--(DATOS!$G6690=CONFIG_METADATA!$B$4),IF(DATOS!$G6690="EX",1,IF(DATOS!$G6690="OR",--(COUNTIFS(nNIA,DATOS!$A6690,nCURSO,DATOS!$D6690,nESPEC,DATOS!$E6690,nASIG,DATOS!$I6690,nEVAL,"EX")=0),0))))</f>
      </c>
      <c r="H6690">
        <f>IF(DATOS!$G6690&lt;&gt;"EX",0,--(COUNTIFS(nNIA,DATOS!$A6690,nCURSO,DATOS!$D6690,nESPEC,DATOS!$E6690,nASIG,DATOS!$I6690,nEVAL,"OR")=0))</f>
      </c>
      <c r="I6690">
        <f>IF(DATOS!$I6690="","",IFERROR(VLOOKUP(DATOS!$I6690,CONFIG_ASIGNATURAS!$B$2:$J$91,9,FALSE()),""))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IF(DATOS!$A6691="",0,IF(CONFIG_METADATA!$B$4&lt;&gt;"OR+EX",--(DATOS!$G6691=CONFIG_METADATA!$B$4),IF(DATOS!$G6691="EX",1,IF(DATOS!$G6691="OR",--(COUNTIFS(nNIA,DATOS!$A6691,nCURSO,DATOS!$D6691,nESPEC,DATOS!$E6691,nASIG,DATOS!$I6691,nEVAL,"EX")=0),0))))</f>
      </c>
      <c r="H6691">
        <f>IF(DATOS!$G6691&lt;&gt;"EX",0,--(COUNTIFS(nNIA,DATOS!$A6691,nCURSO,DATOS!$D6691,nESPEC,DATOS!$E6691,nASIG,DATOS!$I6691,nEVAL,"OR")=0))</f>
      </c>
      <c r="I6691">
        <f>IF(DATOS!$I6691="","",IFERROR(VLOOKUP(DATOS!$I6691,CONFIG_ASIGNATURAS!$B$2:$J$91,9,FALSE()),""))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IF(DATOS!$A6692="",0,IF(CONFIG_METADATA!$B$4&lt;&gt;"OR+EX",--(DATOS!$G6692=CONFIG_METADATA!$B$4),IF(DATOS!$G6692="EX",1,IF(DATOS!$G6692="OR",--(COUNTIFS(nNIA,DATOS!$A6692,nCURSO,DATOS!$D6692,nESPEC,DATOS!$E6692,nASIG,DATOS!$I6692,nEVAL,"EX")=0),0))))</f>
      </c>
      <c r="H6692">
        <f>IF(DATOS!$G6692&lt;&gt;"EX",0,--(COUNTIFS(nNIA,DATOS!$A6692,nCURSO,DATOS!$D6692,nESPEC,DATOS!$E6692,nASIG,DATOS!$I6692,nEVAL,"OR")=0))</f>
      </c>
      <c r="I6692">
        <f>IF(DATOS!$I6692="","",IFERROR(VLOOKUP(DATOS!$I6692,CONFIG_ASIGNATURAS!$B$2:$J$91,9,FALSE()),""))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IF(DATOS!$A6693="",0,IF(CONFIG_METADATA!$B$4&lt;&gt;"OR+EX",--(DATOS!$G6693=CONFIG_METADATA!$B$4),IF(DATOS!$G6693="EX",1,IF(DATOS!$G6693="OR",--(COUNTIFS(nNIA,DATOS!$A6693,nCURSO,DATOS!$D6693,nESPEC,DATOS!$E6693,nASIG,DATOS!$I6693,nEVAL,"EX")=0),0))))</f>
      </c>
      <c r="H6693">
        <f>IF(DATOS!$G6693&lt;&gt;"EX",0,--(COUNTIFS(nNIA,DATOS!$A6693,nCURSO,DATOS!$D6693,nESPEC,DATOS!$E6693,nASIG,DATOS!$I6693,nEVAL,"OR")=0))</f>
      </c>
      <c r="I6693">
        <f>IF(DATOS!$I6693="","",IFERROR(VLOOKUP(DATOS!$I6693,CONFIG_ASIGNATURAS!$B$2:$J$91,9,FALSE()),""))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IF(DATOS!$A6694="",0,IF(CONFIG_METADATA!$B$4&lt;&gt;"OR+EX",--(DATOS!$G6694=CONFIG_METADATA!$B$4),IF(DATOS!$G6694="EX",1,IF(DATOS!$G6694="OR",--(COUNTIFS(nNIA,DATOS!$A6694,nCURSO,DATOS!$D6694,nESPEC,DATOS!$E6694,nASIG,DATOS!$I6694,nEVAL,"EX")=0),0))))</f>
      </c>
      <c r="H6694">
        <f>IF(DATOS!$G6694&lt;&gt;"EX",0,--(COUNTIFS(nNIA,DATOS!$A6694,nCURSO,DATOS!$D6694,nESPEC,DATOS!$E6694,nASIG,DATOS!$I6694,nEVAL,"OR")=0))</f>
      </c>
      <c r="I6694">
        <f>IF(DATOS!$I6694="","",IFERROR(VLOOKUP(DATOS!$I6694,CONFIG_ASIGNATURAS!$B$2:$J$91,9,FALSE()),""))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IF(DATOS!$A6695="",0,IF(CONFIG_METADATA!$B$4&lt;&gt;"OR+EX",--(DATOS!$G6695=CONFIG_METADATA!$B$4),IF(DATOS!$G6695="EX",1,IF(DATOS!$G6695="OR",--(COUNTIFS(nNIA,DATOS!$A6695,nCURSO,DATOS!$D6695,nESPEC,DATOS!$E6695,nASIG,DATOS!$I6695,nEVAL,"EX")=0),0))))</f>
      </c>
      <c r="H6695">
        <f>IF(DATOS!$G6695&lt;&gt;"EX",0,--(COUNTIFS(nNIA,DATOS!$A6695,nCURSO,DATOS!$D6695,nESPEC,DATOS!$E6695,nASIG,DATOS!$I6695,nEVAL,"OR")=0))</f>
      </c>
      <c r="I6695">
        <f>IF(DATOS!$I6695="","",IFERROR(VLOOKUP(DATOS!$I6695,CONFIG_ASIGNATURAS!$B$2:$J$91,9,FALSE()),""))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IF(DATOS!$A6696="",0,IF(CONFIG_METADATA!$B$4&lt;&gt;"OR+EX",--(DATOS!$G6696=CONFIG_METADATA!$B$4),IF(DATOS!$G6696="EX",1,IF(DATOS!$G6696="OR",--(COUNTIFS(nNIA,DATOS!$A6696,nCURSO,DATOS!$D6696,nESPEC,DATOS!$E6696,nASIG,DATOS!$I6696,nEVAL,"EX")=0),0))))</f>
      </c>
      <c r="H6696">
        <f>IF(DATOS!$G6696&lt;&gt;"EX",0,--(COUNTIFS(nNIA,DATOS!$A6696,nCURSO,DATOS!$D6696,nESPEC,DATOS!$E6696,nASIG,DATOS!$I6696,nEVAL,"OR")=0))</f>
      </c>
      <c r="I6696">
        <f>IF(DATOS!$I6696="","",IFERROR(VLOOKUP(DATOS!$I6696,CONFIG_ASIGNATURAS!$B$2:$J$91,9,FALSE()),""))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IF(DATOS!$A6697="",0,IF(CONFIG_METADATA!$B$4&lt;&gt;"OR+EX",--(DATOS!$G6697=CONFIG_METADATA!$B$4),IF(DATOS!$G6697="EX",1,IF(DATOS!$G6697="OR",--(COUNTIFS(nNIA,DATOS!$A6697,nCURSO,DATOS!$D6697,nESPEC,DATOS!$E6697,nASIG,DATOS!$I6697,nEVAL,"EX")=0),0))))</f>
      </c>
      <c r="H6697">
        <f>IF(DATOS!$G6697&lt;&gt;"EX",0,--(COUNTIFS(nNIA,DATOS!$A6697,nCURSO,DATOS!$D6697,nESPEC,DATOS!$E6697,nASIG,DATOS!$I6697,nEVAL,"OR")=0))</f>
      </c>
      <c r="I6697">
        <f>IF(DATOS!$I6697="","",IFERROR(VLOOKUP(DATOS!$I6697,CONFIG_ASIGNATURAS!$B$2:$J$91,9,FALSE()),""))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IF(DATOS!$A6698="",0,IF(CONFIG_METADATA!$B$4&lt;&gt;"OR+EX",--(DATOS!$G6698=CONFIG_METADATA!$B$4),IF(DATOS!$G6698="EX",1,IF(DATOS!$G6698="OR",--(COUNTIFS(nNIA,DATOS!$A6698,nCURSO,DATOS!$D6698,nESPEC,DATOS!$E6698,nASIG,DATOS!$I6698,nEVAL,"EX")=0),0))))</f>
      </c>
      <c r="H6698">
        <f>IF(DATOS!$G6698&lt;&gt;"EX",0,--(COUNTIFS(nNIA,DATOS!$A6698,nCURSO,DATOS!$D6698,nESPEC,DATOS!$E6698,nASIG,DATOS!$I6698,nEVAL,"OR")=0))</f>
      </c>
      <c r="I6698">
        <f>IF(DATOS!$I6698="","",IFERROR(VLOOKUP(DATOS!$I6698,CONFIG_ASIGNATURAS!$B$2:$J$91,9,FALSE()),""))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IF(DATOS!$A6699="",0,IF(CONFIG_METADATA!$B$4&lt;&gt;"OR+EX",--(DATOS!$G6699=CONFIG_METADATA!$B$4),IF(DATOS!$G6699="EX",1,IF(DATOS!$G6699="OR",--(COUNTIFS(nNIA,DATOS!$A6699,nCURSO,DATOS!$D6699,nESPEC,DATOS!$E6699,nASIG,DATOS!$I6699,nEVAL,"EX")=0),0))))</f>
      </c>
      <c r="H6699">
        <f>IF(DATOS!$G6699&lt;&gt;"EX",0,--(COUNTIFS(nNIA,DATOS!$A6699,nCURSO,DATOS!$D6699,nESPEC,DATOS!$E6699,nASIG,DATOS!$I6699,nEVAL,"OR")=0))</f>
      </c>
      <c r="I6699">
        <f>IF(DATOS!$I6699="","",IFERROR(VLOOKUP(DATOS!$I6699,CONFIG_ASIGNATURAS!$B$2:$J$91,9,FALSE()),""))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IF(DATOS!$A6700="",0,IF(CONFIG_METADATA!$B$4&lt;&gt;"OR+EX",--(DATOS!$G6700=CONFIG_METADATA!$B$4),IF(DATOS!$G6700="EX",1,IF(DATOS!$G6700="OR",--(COUNTIFS(nNIA,DATOS!$A6700,nCURSO,DATOS!$D6700,nESPEC,DATOS!$E6700,nASIG,DATOS!$I6700,nEVAL,"EX")=0),0))))</f>
      </c>
      <c r="H6700">
        <f>IF(DATOS!$G6700&lt;&gt;"EX",0,--(COUNTIFS(nNIA,DATOS!$A6700,nCURSO,DATOS!$D6700,nESPEC,DATOS!$E6700,nASIG,DATOS!$I6700,nEVAL,"OR")=0))</f>
      </c>
      <c r="I6700">
        <f>IF(DATOS!$I6700="","",IFERROR(VLOOKUP(DATOS!$I6700,CONFIG_ASIGNATURAS!$B$2:$J$91,9,FALSE()),""))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IF(DATOS!$A6701="",0,IF(CONFIG_METADATA!$B$4&lt;&gt;"OR+EX",--(DATOS!$G6701=CONFIG_METADATA!$B$4),IF(DATOS!$G6701="EX",1,IF(DATOS!$G6701="OR",--(COUNTIFS(nNIA,DATOS!$A6701,nCURSO,DATOS!$D6701,nESPEC,DATOS!$E6701,nASIG,DATOS!$I6701,nEVAL,"EX")=0),0))))</f>
      </c>
      <c r="H6701">
        <f>IF(DATOS!$G6701&lt;&gt;"EX",0,--(COUNTIFS(nNIA,DATOS!$A6701,nCURSO,DATOS!$D6701,nESPEC,DATOS!$E6701,nASIG,DATOS!$I6701,nEVAL,"OR")=0))</f>
      </c>
      <c r="I6701">
        <f>IF(DATOS!$I6701="","",IFERROR(VLOOKUP(DATOS!$I6701,CONFIG_ASIGNATURAS!$B$2:$J$91,9,FALSE()),""))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IF(DATOS!$A6702="",0,IF(CONFIG_METADATA!$B$4&lt;&gt;"OR+EX",--(DATOS!$G6702=CONFIG_METADATA!$B$4),IF(DATOS!$G6702="EX",1,IF(DATOS!$G6702="OR",--(COUNTIFS(nNIA,DATOS!$A6702,nCURSO,DATOS!$D6702,nESPEC,DATOS!$E6702,nASIG,DATOS!$I6702,nEVAL,"EX")=0),0))))</f>
      </c>
      <c r="H6702">
        <f>IF(DATOS!$G6702&lt;&gt;"EX",0,--(COUNTIFS(nNIA,DATOS!$A6702,nCURSO,DATOS!$D6702,nESPEC,DATOS!$E6702,nASIG,DATOS!$I6702,nEVAL,"OR")=0))</f>
      </c>
      <c r="I6702">
        <f>IF(DATOS!$I6702="","",IFERROR(VLOOKUP(DATOS!$I6702,CONFIG_ASIGNATURAS!$B$2:$J$91,9,FALSE()),""))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IF(DATOS!$A6703="",0,IF(CONFIG_METADATA!$B$4&lt;&gt;"OR+EX",--(DATOS!$G6703=CONFIG_METADATA!$B$4),IF(DATOS!$G6703="EX",1,IF(DATOS!$G6703="OR",--(COUNTIFS(nNIA,DATOS!$A6703,nCURSO,DATOS!$D6703,nESPEC,DATOS!$E6703,nASIG,DATOS!$I6703,nEVAL,"EX")=0),0))))</f>
      </c>
      <c r="H6703">
        <f>IF(DATOS!$G6703&lt;&gt;"EX",0,--(COUNTIFS(nNIA,DATOS!$A6703,nCURSO,DATOS!$D6703,nESPEC,DATOS!$E6703,nASIG,DATOS!$I6703,nEVAL,"OR")=0))</f>
      </c>
      <c r="I6703">
        <f>IF(DATOS!$I6703="","",IFERROR(VLOOKUP(DATOS!$I6703,CONFIG_ASIGNATURAS!$B$2:$J$91,9,FALSE()),""))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IF(DATOS!$A6704="",0,IF(CONFIG_METADATA!$B$4&lt;&gt;"OR+EX",--(DATOS!$G6704=CONFIG_METADATA!$B$4),IF(DATOS!$G6704="EX",1,IF(DATOS!$G6704="OR",--(COUNTIFS(nNIA,DATOS!$A6704,nCURSO,DATOS!$D6704,nESPEC,DATOS!$E6704,nASIG,DATOS!$I6704,nEVAL,"EX")=0),0))))</f>
      </c>
      <c r="H6704">
        <f>IF(DATOS!$G6704&lt;&gt;"EX",0,--(COUNTIFS(nNIA,DATOS!$A6704,nCURSO,DATOS!$D6704,nESPEC,DATOS!$E6704,nASIG,DATOS!$I6704,nEVAL,"OR")=0))</f>
      </c>
      <c r="I6704">
        <f>IF(DATOS!$I6704="","",IFERROR(VLOOKUP(DATOS!$I6704,CONFIG_ASIGNATURAS!$B$2:$J$91,9,FALSE()),""))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IF(DATOS!$A6705="",0,IF(CONFIG_METADATA!$B$4&lt;&gt;"OR+EX",--(DATOS!$G6705=CONFIG_METADATA!$B$4),IF(DATOS!$G6705="EX",1,IF(DATOS!$G6705="OR",--(COUNTIFS(nNIA,DATOS!$A6705,nCURSO,DATOS!$D6705,nESPEC,DATOS!$E6705,nASIG,DATOS!$I6705,nEVAL,"EX")=0),0))))</f>
      </c>
      <c r="H6705">
        <f>IF(DATOS!$G6705&lt;&gt;"EX",0,--(COUNTIFS(nNIA,DATOS!$A6705,nCURSO,DATOS!$D6705,nESPEC,DATOS!$E6705,nASIG,DATOS!$I6705,nEVAL,"OR")=0))</f>
      </c>
      <c r="I6705">
        <f>IF(DATOS!$I6705="","",IFERROR(VLOOKUP(DATOS!$I6705,CONFIG_ASIGNATURAS!$B$2:$J$91,9,FALSE()),""))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IF(DATOS!$A6706="",0,IF(CONFIG_METADATA!$B$4&lt;&gt;"OR+EX",--(DATOS!$G6706=CONFIG_METADATA!$B$4),IF(DATOS!$G6706="EX",1,IF(DATOS!$G6706="OR",--(COUNTIFS(nNIA,DATOS!$A6706,nCURSO,DATOS!$D6706,nESPEC,DATOS!$E6706,nASIG,DATOS!$I6706,nEVAL,"EX")=0),0))))</f>
      </c>
      <c r="H6706">
        <f>IF(DATOS!$G6706&lt;&gt;"EX",0,--(COUNTIFS(nNIA,DATOS!$A6706,nCURSO,DATOS!$D6706,nESPEC,DATOS!$E6706,nASIG,DATOS!$I6706,nEVAL,"OR")=0))</f>
      </c>
      <c r="I6706">
        <f>IF(DATOS!$I6706="","",IFERROR(VLOOKUP(DATOS!$I6706,CONFIG_ASIGNATURAS!$B$2:$J$91,9,FALSE()),""))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IF(DATOS!$A6707="",0,IF(CONFIG_METADATA!$B$4&lt;&gt;"OR+EX",--(DATOS!$G6707=CONFIG_METADATA!$B$4),IF(DATOS!$G6707="EX",1,IF(DATOS!$G6707="OR",--(COUNTIFS(nNIA,DATOS!$A6707,nCURSO,DATOS!$D6707,nESPEC,DATOS!$E6707,nASIG,DATOS!$I6707,nEVAL,"EX")=0),0))))</f>
      </c>
      <c r="H6707">
        <f>IF(DATOS!$G6707&lt;&gt;"EX",0,--(COUNTIFS(nNIA,DATOS!$A6707,nCURSO,DATOS!$D6707,nESPEC,DATOS!$E6707,nASIG,DATOS!$I6707,nEVAL,"OR")=0))</f>
      </c>
      <c r="I6707">
        <f>IF(DATOS!$I6707="","",IFERROR(VLOOKUP(DATOS!$I6707,CONFIG_ASIGNATURAS!$B$2:$J$91,9,FALSE()),""))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IF(DATOS!$A6708="",0,IF(CONFIG_METADATA!$B$4&lt;&gt;"OR+EX",--(DATOS!$G6708=CONFIG_METADATA!$B$4),IF(DATOS!$G6708="EX",1,IF(DATOS!$G6708="OR",--(COUNTIFS(nNIA,DATOS!$A6708,nCURSO,DATOS!$D6708,nESPEC,DATOS!$E6708,nASIG,DATOS!$I6708,nEVAL,"EX")=0),0))))</f>
      </c>
      <c r="H6708">
        <f>IF(DATOS!$G6708&lt;&gt;"EX",0,--(COUNTIFS(nNIA,DATOS!$A6708,nCURSO,DATOS!$D6708,nESPEC,DATOS!$E6708,nASIG,DATOS!$I6708,nEVAL,"OR")=0))</f>
      </c>
      <c r="I6708">
        <f>IF(DATOS!$I6708="","",IFERROR(VLOOKUP(DATOS!$I6708,CONFIG_ASIGNATURAS!$B$2:$J$91,9,FALSE()),""))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IF(DATOS!$A6709="",0,IF(CONFIG_METADATA!$B$4&lt;&gt;"OR+EX",--(DATOS!$G6709=CONFIG_METADATA!$B$4),IF(DATOS!$G6709="EX",1,IF(DATOS!$G6709="OR",--(COUNTIFS(nNIA,DATOS!$A6709,nCURSO,DATOS!$D6709,nESPEC,DATOS!$E6709,nASIG,DATOS!$I6709,nEVAL,"EX")=0),0))))</f>
      </c>
      <c r="H6709">
        <f>IF(DATOS!$G6709&lt;&gt;"EX",0,--(COUNTIFS(nNIA,DATOS!$A6709,nCURSO,DATOS!$D6709,nESPEC,DATOS!$E6709,nASIG,DATOS!$I6709,nEVAL,"OR")=0))</f>
      </c>
      <c r="I6709">
        <f>IF(DATOS!$I6709="","",IFERROR(VLOOKUP(DATOS!$I6709,CONFIG_ASIGNATURAS!$B$2:$J$91,9,FALSE()),""))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IF(DATOS!$A6710="",0,IF(CONFIG_METADATA!$B$4&lt;&gt;"OR+EX",--(DATOS!$G6710=CONFIG_METADATA!$B$4),IF(DATOS!$G6710="EX",1,IF(DATOS!$G6710="OR",--(COUNTIFS(nNIA,DATOS!$A6710,nCURSO,DATOS!$D6710,nESPEC,DATOS!$E6710,nASIG,DATOS!$I6710,nEVAL,"EX")=0),0))))</f>
      </c>
      <c r="H6710">
        <f>IF(DATOS!$G6710&lt;&gt;"EX",0,--(COUNTIFS(nNIA,DATOS!$A6710,nCURSO,DATOS!$D6710,nESPEC,DATOS!$E6710,nASIG,DATOS!$I6710,nEVAL,"OR")=0))</f>
      </c>
      <c r="I6710">
        <f>IF(DATOS!$I6710="","",IFERROR(VLOOKUP(DATOS!$I6710,CONFIG_ASIGNATURAS!$B$2:$J$91,9,FALSE()),""))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IF(DATOS!$A6711="",0,IF(CONFIG_METADATA!$B$4&lt;&gt;"OR+EX",--(DATOS!$G6711=CONFIG_METADATA!$B$4),IF(DATOS!$G6711="EX",1,IF(DATOS!$G6711="OR",--(COUNTIFS(nNIA,DATOS!$A6711,nCURSO,DATOS!$D6711,nESPEC,DATOS!$E6711,nASIG,DATOS!$I6711,nEVAL,"EX")=0),0))))</f>
      </c>
      <c r="H6711">
        <f>IF(DATOS!$G6711&lt;&gt;"EX",0,--(COUNTIFS(nNIA,DATOS!$A6711,nCURSO,DATOS!$D6711,nESPEC,DATOS!$E6711,nASIG,DATOS!$I6711,nEVAL,"OR")=0))</f>
      </c>
      <c r="I6711">
        <f>IF(DATOS!$I6711="","",IFERROR(VLOOKUP(DATOS!$I6711,CONFIG_ASIGNATURAS!$B$2:$J$91,9,FALSE()),""))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IF(DATOS!$A6712="",0,IF(CONFIG_METADATA!$B$4&lt;&gt;"OR+EX",--(DATOS!$G6712=CONFIG_METADATA!$B$4),IF(DATOS!$G6712="EX",1,IF(DATOS!$G6712="OR",--(COUNTIFS(nNIA,DATOS!$A6712,nCURSO,DATOS!$D6712,nESPEC,DATOS!$E6712,nASIG,DATOS!$I6712,nEVAL,"EX")=0),0))))</f>
      </c>
      <c r="H6712">
        <f>IF(DATOS!$G6712&lt;&gt;"EX",0,--(COUNTIFS(nNIA,DATOS!$A6712,nCURSO,DATOS!$D6712,nESPEC,DATOS!$E6712,nASIG,DATOS!$I6712,nEVAL,"OR")=0))</f>
      </c>
      <c r="I6712">
        <f>IF(DATOS!$I6712="","",IFERROR(VLOOKUP(DATOS!$I6712,CONFIG_ASIGNATURAS!$B$2:$J$91,9,FALSE()),""))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IF(DATOS!$A6713="",0,IF(CONFIG_METADATA!$B$4&lt;&gt;"OR+EX",--(DATOS!$G6713=CONFIG_METADATA!$B$4),IF(DATOS!$G6713="EX",1,IF(DATOS!$G6713="OR",--(COUNTIFS(nNIA,DATOS!$A6713,nCURSO,DATOS!$D6713,nESPEC,DATOS!$E6713,nASIG,DATOS!$I6713,nEVAL,"EX")=0),0))))</f>
      </c>
      <c r="H6713">
        <f>IF(DATOS!$G6713&lt;&gt;"EX",0,--(COUNTIFS(nNIA,DATOS!$A6713,nCURSO,DATOS!$D6713,nESPEC,DATOS!$E6713,nASIG,DATOS!$I6713,nEVAL,"OR")=0))</f>
      </c>
      <c r="I6713">
        <f>IF(DATOS!$I6713="","",IFERROR(VLOOKUP(DATOS!$I6713,CONFIG_ASIGNATURAS!$B$2:$J$91,9,FALSE()),""))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IF(DATOS!$A6714="",0,IF(CONFIG_METADATA!$B$4&lt;&gt;"OR+EX",--(DATOS!$G6714=CONFIG_METADATA!$B$4),IF(DATOS!$G6714="EX",1,IF(DATOS!$G6714="OR",--(COUNTIFS(nNIA,DATOS!$A6714,nCURSO,DATOS!$D6714,nESPEC,DATOS!$E6714,nASIG,DATOS!$I6714,nEVAL,"EX")=0),0))))</f>
      </c>
      <c r="H6714">
        <f>IF(DATOS!$G6714&lt;&gt;"EX",0,--(COUNTIFS(nNIA,DATOS!$A6714,nCURSO,DATOS!$D6714,nESPEC,DATOS!$E6714,nASIG,DATOS!$I6714,nEVAL,"OR")=0))</f>
      </c>
      <c r="I6714">
        <f>IF(DATOS!$I6714="","",IFERROR(VLOOKUP(DATOS!$I6714,CONFIG_ASIGNATURAS!$B$2:$J$91,9,FALSE()),""))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IF(DATOS!$A6715="",0,IF(CONFIG_METADATA!$B$4&lt;&gt;"OR+EX",--(DATOS!$G6715=CONFIG_METADATA!$B$4),IF(DATOS!$G6715="EX",1,IF(DATOS!$G6715="OR",--(COUNTIFS(nNIA,DATOS!$A6715,nCURSO,DATOS!$D6715,nESPEC,DATOS!$E6715,nASIG,DATOS!$I6715,nEVAL,"EX")=0),0))))</f>
      </c>
      <c r="H6715">
        <f>IF(DATOS!$G6715&lt;&gt;"EX",0,--(COUNTIFS(nNIA,DATOS!$A6715,nCURSO,DATOS!$D6715,nESPEC,DATOS!$E6715,nASIG,DATOS!$I6715,nEVAL,"OR")=0))</f>
      </c>
      <c r="I6715">
        <f>IF(DATOS!$I6715="","",IFERROR(VLOOKUP(DATOS!$I6715,CONFIG_ASIGNATURAS!$B$2:$J$91,9,FALSE()),""))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IF(DATOS!$A6716="",0,IF(CONFIG_METADATA!$B$4&lt;&gt;"OR+EX",--(DATOS!$G6716=CONFIG_METADATA!$B$4),IF(DATOS!$G6716="EX",1,IF(DATOS!$G6716="OR",--(COUNTIFS(nNIA,DATOS!$A6716,nCURSO,DATOS!$D6716,nESPEC,DATOS!$E6716,nASIG,DATOS!$I6716,nEVAL,"EX")=0),0))))</f>
      </c>
      <c r="H6716">
        <f>IF(DATOS!$G6716&lt;&gt;"EX",0,--(COUNTIFS(nNIA,DATOS!$A6716,nCURSO,DATOS!$D6716,nESPEC,DATOS!$E6716,nASIG,DATOS!$I6716,nEVAL,"OR")=0))</f>
      </c>
      <c r="I6716">
        <f>IF(DATOS!$I6716="","",IFERROR(VLOOKUP(DATOS!$I6716,CONFIG_ASIGNATURAS!$B$2:$J$91,9,FALSE()),""))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IF(DATOS!$A6717="",0,IF(CONFIG_METADATA!$B$4&lt;&gt;"OR+EX",--(DATOS!$G6717=CONFIG_METADATA!$B$4),IF(DATOS!$G6717="EX",1,IF(DATOS!$G6717="OR",--(COUNTIFS(nNIA,DATOS!$A6717,nCURSO,DATOS!$D6717,nESPEC,DATOS!$E6717,nASIG,DATOS!$I6717,nEVAL,"EX")=0),0))))</f>
      </c>
      <c r="H6717">
        <f>IF(DATOS!$G6717&lt;&gt;"EX",0,--(COUNTIFS(nNIA,DATOS!$A6717,nCURSO,DATOS!$D6717,nESPEC,DATOS!$E6717,nASIG,DATOS!$I6717,nEVAL,"OR")=0))</f>
      </c>
      <c r="I6717">
        <f>IF(DATOS!$I6717="","",IFERROR(VLOOKUP(DATOS!$I6717,CONFIG_ASIGNATURAS!$B$2:$J$91,9,FALSE()),""))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IF(DATOS!$A6718="",0,IF(CONFIG_METADATA!$B$4&lt;&gt;"OR+EX",--(DATOS!$G6718=CONFIG_METADATA!$B$4),IF(DATOS!$G6718="EX",1,IF(DATOS!$G6718="OR",--(COUNTIFS(nNIA,DATOS!$A6718,nCURSO,DATOS!$D6718,nESPEC,DATOS!$E6718,nASIG,DATOS!$I6718,nEVAL,"EX")=0),0))))</f>
      </c>
      <c r="H6718">
        <f>IF(DATOS!$G6718&lt;&gt;"EX",0,--(COUNTIFS(nNIA,DATOS!$A6718,nCURSO,DATOS!$D6718,nESPEC,DATOS!$E6718,nASIG,DATOS!$I6718,nEVAL,"OR")=0))</f>
      </c>
      <c r="I6718">
        <f>IF(DATOS!$I6718="","",IFERROR(VLOOKUP(DATOS!$I6718,CONFIG_ASIGNATURAS!$B$2:$J$91,9,FALSE()),""))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IF(DATOS!$A6719="",0,IF(CONFIG_METADATA!$B$4&lt;&gt;"OR+EX",--(DATOS!$G6719=CONFIG_METADATA!$B$4),IF(DATOS!$G6719="EX",1,IF(DATOS!$G6719="OR",--(COUNTIFS(nNIA,DATOS!$A6719,nCURSO,DATOS!$D6719,nESPEC,DATOS!$E6719,nASIG,DATOS!$I6719,nEVAL,"EX")=0),0))))</f>
      </c>
      <c r="H6719">
        <f>IF(DATOS!$G6719&lt;&gt;"EX",0,--(COUNTIFS(nNIA,DATOS!$A6719,nCURSO,DATOS!$D6719,nESPEC,DATOS!$E6719,nASIG,DATOS!$I6719,nEVAL,"OR")=0))</f>
      </c>
      <c r="I6719">
        <f>IF(DATOS!$I6719="","",IFERROR(VLOOKUP(DATOS!$I6719,CONFIG_ASIGNATURAS!$B$2:$J$91,9,FALSE()),""))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IF(DATOS!$A6720="",0,IF(CONFIG_METADATA!$B$4&lt;&gt;"OR+EX",--(DATOS!$G6720=CONFIG_METADATA!$B$4),IF(DATOS!$G6720="EX",1,IF(DATOS!$G6720="OR",--(COUNTIFS(nNIA,DATOS!$A6720,nCURSO,DATOS!$D6720,nESPEC,DATOS!$E6720,nASIG,DATOS!$I6720,nEVAL,"EX")=0),0))))</f>
      </c>
      <c r="H6720">
        <f>IF(DATOS!$G6720&lt;&gt;"EX",0,--(COUNTIFS(nNIA,DATOS!$A6720,nCURSO,DATOS!$D6720,nESPEC,DATOS!$E6720,nASIG,DATOS!$I6720,nEVAL,"OR")=0))</f>
      </c>
      <c r="I6720">
        <f>IF(DATOS!$I6720="","",IFERROR(VLOOKUP(DATOS!$I6720,CONFIG_ASIGNATURAS!$B$2:$J$91,9,FALSE()),""))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IF(DATOS!$A6721="",0,IF(CONFIG_METADATA!$B$4&lt;&gt;"OR+EX",--(DATOS!$G6721=CONFIG_METADATA!$B$4),IF(DATOS!$G6721="EX",1,IF(DATOS!$G6721="OR",--(COUNTIFS(nNIA,DATOS!$A6721,nCURSO,DATOS!$D6721,nESPEC,DATOS!$E6721,nASIG,DATOS!$I6721,nEVAL,"EX")=0),0))))</f>
      </c>
      <c r="H6721">
        <f>IF(DATOS!$G6721&lt;&gt;"EX",0,--(COUNTIFS(nNIA,DATOS!$A6721,nCURSO,DATOS!$D6721,nESPEC,DATOS!$E6721,nASIG,DATOS!$I6721,nEVAL,"OR")=0))</f>
      </c>
      <c r="I6721">
        <f>IF(DATOS!$I6721="","",IFERROR(VLOOKUP(DATOS!$I6721,CONFIG_ASIGNATURAS!$B$2:$J$91,9,FALSE()),""))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IF(DATOS!$A6722="",0,IF(CONFIG_METADATA!$B$4&lt;&gt;"OR+EX",--(DATOS!$G6722=CONFIG_METADATA!$B$4),IF(DATOS!$G6722="EX",1,IF(DATOS!$G6722="OR",--(COUNTIFS(nNIA,DATOS!$A6722,nCURSO,DATOS!$D6722,nESPEC,DATOS!$E6722,nASIG,DATOS!$I6722,nEVAL,"EX")=0),0))))</f>
      </c>
      <c r="H6722">
        <f>IF(DATOS!$G6722&lt;&gt;"EX",0,--(COUNTIFS(nNIA,DATOS!$A6722,nCURSO,DATOS!$D6722,nESPEC,DATOS!$E6722,nASIG,DATOS!$I6722,nEVAL,"OR")=0))</f>
      </c>
      <c r="I6722">
        <f>IF(DATOS!$I6722="","",IFERROR(VLOOKUP(DATOS!$I6722,CONFIG_ASIGNATURAS!$B$2:$J$91,9,FALSE()),""))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IF(DATOS!$A6723="",0,IF(CONFIG_METADATA!$B$4&lt;&gt;"OR+EX",--(DATOS!$G6723=CONFIG_METADATA!$B$4),IF(DATOS!$G6723="EX",1,IF(DATOS!$G6723="OR",--(COUNTIFS(nNIA,DATOS!$A6723,nCURSO,DATOS!$D6723,nESPEC,DATOS!$E6723,nASIG,DATOS!$I6723,nEVAL,"EX")=0),0))))</f>
      </c>
      <c r="H6723">
        <f>IF(DATOS!$G6723&lt;&gt;"EX",0,--(COUNTIFS(nNIA,DATOS!$A6723,nCURSO,DATOS!$D6723,nESPEC,DATOS!$E6723,nASIG,DATOS!$I6723,nEVAL,"OR")=0))</f>
      </c>
      <c r="I6723">
        <f>IF(DATOS!$I6723="","",IFERROR(VLOOKUP(DATOS!$I6723,CONFIG_ASIGNATURAS!$B$2:$J$91,9,FALSE()),""))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IF(DATOS!$A6724="",0,IF(CONFIG_METADATA!$B$4&lt;&gt;"OR+EX",--(DATOS!$G6724=CONFIG_METADATA!$B$4),IF(DATOS!$G6724="EX",1,IF(DATOS!$G6724="OR",--(COUNTIFS(nNIA,DATOS!$A6724,nCURSO,DATOS!$D6724,nESPEC,DATOS!$E6724,nASIG,DATOS!$I6724,nEVAL,"EX")=0),0))))</f>
      </c>
      <c r="H6724">
        <f>IF(DATOS!$G6724&lt;&gt;"EX",0,--(COUNTIFS(nNIA,DATOS!$A6724,nCURSO,DATOS!$D6724,nESPEC,DATOS!$E6724,nASIG,DATOS!$I6724,nEVAL,"OR")=0))</f>
      </c>
      <c r="I6724">
        <f>IF(DATOS!$I6724="","",IFERROR(VLOOKUP(DATOS!$I6724,CONFIG_ASIGNATURAS!$B$2:$J$91,9,FALSE()),""))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IF(DATOS!$A6725="",0,IF(CONFIG_METADATA!$B$4&lt;&gt;"OR+EX",--(DATOS!$G6725=CONFIG_METADATA!$B$4),IF(DATOS!$G6725="EX",1,IF(DATOS!$G6725="OR",--(COUNTIFS(nNIA,DATOS!$A6725,nCURSO,DATOS!$D6725,nESPEC,DATOS!$E6725,nASIG,DATOS!$I6725,nEVAL,"EX")=0),0))))</f>
      </c>
      <c r="H6725">
        <f>IF(DATOS!$G6725&lt;&gt;"EX",0,--(COUNTIFS(nNIA,DATOS!$A6725,nCURSO,DATOS!$D6725,nESPEC,DATOS!$E6725,nASIG,DATOS!$I6725,nEVAL,"OR")=0))</f>
      </c>
      <c r="I6725">
        <f>IF(DATOS!$I6725="","",IFERROR(VLOOKUP(DATOS!$I6725,CONFIG_ASIGNATURAS!$B$2:$J$91,9,FALSE()),""))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IF(DATOS!$A6726="",0,IF(CONFIG_METADATA!$B$4&lt;&gt;"OR+EX",--(DATOS!$G6726=CONFIG_METADATA!$B$4),IF(DATOS!$G6726="EX",1,IF(DATOS!$G6726="OR",--(COUNTIFS(nNIA,DATOS!$A6726,nCURSO,DATOS!$D6726,nESPEC,DATOS!$E6726,nASIG,DATOS!$I6726,nEVAL,"EX")=0),0))))</f>
      </c>
      <c r="H6726">
        <f>IF(DATOS!$G6726&lt;&gt;"EX",0,--(COUNTIFS(nNIA,DATOS!$A6726,nCURSO,DATOS!$D6726,nESPEC,DATOS!$E6726,nASIG,DATOS!$I6726,nEVAL,"OR")=0))</f>
      </c>
      <c r="I6726">
        <f>IF(DATOS!$I6726="","",IFERROR(VLOOKUP(DATOS!$I6726,CONFIG_ASIGNATURAS!$B$2:$J$91,9,FALSE()),""))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IF(DATOS!$A6727="",0,IF(CONFIG_METADATA!$B$4&lt;&gt;"OR+EX",--(DATOS!$G6727=CONFIG_METADATA!$B$4),IF(DATOS!$G6727="EX",1,IF(DATOS!$G6727="OR",--(COUNTIFS(nNIA,DATOS!$A6727,nCURSO,DATOS!$D6727,nESPEC,DATOS!$E6727,nASIG,DATOS!$I6727,nEVAL,"EX")=0),0))))</f>
      </c>
      <c r="H6727">
        <f>IF(DATOS!$G6727&lt;&gt;"EX",0,--(COUNTIFS(nNIA,DATOS!$A6727,nCURSO,DATOS!$D6727,nESPEC,DATOS!$E6727,nASIG,DATOS!$I6727,nEVAL,"OR")=0))</f>
      </c>
      <c r="I6727">
        <f>IF(DATOS!$I6727="","",IFERROR(VLOOKUP(DATOS!$I6727,CONFIG_ASIGNATURAS!$B$2:$J$91,9,FALSE()),""))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IF(DATOS!$A6728="",0,IF(CONFIG_METADATA!$B$4&lt;&gt;"OR+EX",--(DATOS!$G6728=CONFIG_METADATA!$B$4),IF(DATOS!$G6728="EX",1,IF(DATOS!$G6728="OR",--(COUNTIFS(nNIA,DATOS!$A6728,nCURSO,DATOS!$D6728,nESPEC,DATOS!$E6728,nASIG,DATOS!$I6728,nEVAL,"EX")=0),0))))</f>
      </c>
      <c r="H6728">
        <f>IF(DATOS!$G6728&lt;&gt;"EX",0,--(COUNTIFS(nNIA,DATOS!$A6728,nCURSO,DATOS!$D6728,nESPEC,DATOS!$E6728,nASIG,DATOS!$I6728,nEVAL,"OR")=0))</f>
      </c>
      <c r="I6728">
        <f>IF(DATOS!$I6728="","",IFERROR(VLOOKUP(DATOS!$I6728,CONFIG_ASIGNATURAS!$B$2:$J$91,9,FALSE()),""))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IF(DATOS!$A6729="",0,IF(CONFIG_METADATA!$B$4&lt;&gt;"OR+EX",--(DATOS!$G6729=CONFIG_METADATA!$B$4),IF(DATOS!$G6729="EX",1,IF(DATOS!$G6729="OR",--(COUNTIFS(nNIA,DATOS!$A6729,nCURSO,DATOS!$D6729,nESPEC,DATOS!$E6729,nASIG,DATOS!$I6729,nEVAL,"EX")=0),0))))</f>
      </c>
      <c r="H6729">
        <f>IF(DATOS!$G6729&lt;&gt;"EX",0,--(COUNTIFS(nNIA,DATOS!$A6729,nCURSO,DATOS!$D6729,nESPEC,DATOS!$E6729,nASIG,DATOS!$I6729,nEVAL,"OR")=0))</f>
      </c>
      <c r="I6729">
        <f>IF(DATOS!$I6729="","",IFERROR(VLOOKUP(DATOS!$I6729,CONFIG_ASIGNATURAS!$B$2:$J$91,9,FALSE()),""))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IF(DATOS!$A6730="",0,IF(CONFIG_METADATA!$B$4&lt;&gt;"OR+EX",--(DATOS!$G6730=CONFIG_METADATA!$B$4),IF(DATOS!$G6730="EX",1,IF(DATOS!$G6730="OR",--(COUNTIFS(nNIA,DATOS!$A6730,nCURSO,DATOS!$D6730,nESPEC,DATOS!$E6730,nASIG,DATOS!$I6730,nEVAL,"EX")=0),0))))</f>
      </c>
      <c r="H6730">
        <f>IF(DATOS!$G6730&lt;&gt;"EX",0,--(COUNTIFS(nNIA,DATOS!$A6730,nCURSO,DATOS!$D6730,nESPEC,DATOS!$E6730,nASIG,DATOS!$I6730,nEVAL,"OR")=0))</f>
      </c>
      <c r="I6730">
        <f>IF(DATOS!$I6730="","",IFERROR(VLOOKUP(DATOS!$I6730,CONFIG_ASIGNATURAS!$B$2:$J$91,9,FALSE()),""))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IF(DATOS!$A6731="",0,IF(CONFIG_METADATA!$B$4&lt;&gt;"OR+EX",--(DATOS!$G6731=CONFIG_METADATA!$B$4),IF(DATOS!$G6731="EX",1,IF(DATOS!$G6731="OR",--(COUNTIFS(nNIA,DATOS!$A6731,nCURSO,DATOS!$D6731,nESPEC,DATOS!$E6731,nASIG,DATOS!$I6731,nEVAL,"EX")=0),0))))</f>
      </c>
      <c r="H6731">
        <f>IF(DATOS!$G6731&lt;&gt;"EX",0,--(COUNTIFS(nNIA,DATOS!$A6731,nCURSO,DATOS!$D6731,nESPEC,DATOS!$E6731,nASIG,DATOS!$I6731,nEVAL,"OR")=0))</f>
      </c>
      <c r="I6731">
        <f>IF(DATOS!$I6731="","",IFERROR(VLOOKUP(DATOS!$I6731,CONFIG_ASIGNATURAS!$B$2:$J$91,9,FALSE()),""))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IF(DATOS!$A6732="",0,IF(CONFIG_METADATA!$B$4&lt;&gt;"OR+EX",--(DATOS!$G6732=CONFIG_METADATA!$B$4),IF(DATOS!$G6732="EX",1,IF(DATOS!$G6732="OR",--(COUNTIFS(nNIA,DATOS!$A6732,nCURSO,DATOS!$D6732,nESPEC,DATOS!$E6732,nASIG,DATOS!$I6732,nEVAL,"EX")=0),0))))</f>
      </c>
      <c r="H6732">
        <f>IF(DATOS!$G6732&lt;&gt;"EX",0,--(COUNTIFS(nNIA,DATOS!$A6732,nCURSO,DATOS!$D6732,nESPEC,DATOS!$E6732,nASIG,DATOS!$I6732,nEVAL,"OR")=0))</f>
      </c>
      <c r="I6732">
        <f>IF(DATOS!$I6732="","",IFERROR(VLOOKUP(DATOS!$I6732,CONFIG_ASIGNATURAS!$B$2:$J$91,9,FALSE()),""))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IF(DATOS!$A6733="",0,IF(CONFIG_METADATA!$B$4&lt;&gt;"OR+EX",--(DATOS!$G6733=CONFIG_METADATA!$B$4),IF(DATOS!$G6733="EX",1,IF(DATOS!$G6733="OR",--(COUNTIFS(nNIA,DATOS!$A6733,nCURSO,DATOS!$D6733,nESPEC,DATOS!$E6733,nASIG,DATOS!$I6733,nEVAL,"EX")=0),0))))</f>
      </c>
      <c r="H6733">
        <f>IF(DATOS!$G6733&lt;&gt;"EX",0,--(COUNTIFS(nNIA,DATOS!$A6733,nCURSO,DATOS!$D6733,nESPEC,DATOS!$E6733,nASIG,DATOS!$I6733,nEVAL,"OR")=0))</f>
      </c>
      <c r="I6733">
        <f>IF(DATOS!$I6733="","",IFERROR(VLOOKUP(DATOS!$I6733,CONFIG_ASIGNATURAS!$B$2:$J$91,9,FALSE()),""))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IF(DATOS!$A6734="",0,IF(CONFIG_METADATA!$B$4&lt;&gt;"OR+EX",--(DATOS!$G6734=CONFIG_METADATA!$B$4),IF(DATOS!$G6734="EX",1,IF(DATOS!$G6734="OR",--(COUNTIFS(nNIA,DATOS!$A6734,nCURSO,DATOS!$D6734,nESPEC,DATOS!$E6734,nASIG,DATOS!$I6734,nEVAL,"EX")=0),0))))</f>
      </c>
      <c r="H6734">
        <f>IF(DATOS!$G6734&lt;&gt;"EX",0,--(COUNTIFS(nNIA,DATOS!$A6734,nCURSO,DATOS!$D6734,nESPEC,DATOS!$E6734,nASIG,DATOS!$I6734,nEVAL,"OR")=0))</f>
      </c>
      <c r="I6734">
        <f>IF(DATOS!$I6734="","",IFERROR(VLOOKUP(DATOS!$I6734,CONFIG_ASIGNATURAS!$B$2:$J$91,9,FALSE()),""))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IF(DATOS!$A6735="",0,IF(CONFIG_METADATA!$B$4&lt;&gt;"OR+EX",--(DATOS!$G6735=CONFIG_METADATA!$B$4),IF(DATOS!$G6735="EX",1,IF(DATOS!$G6735="OR",--(COUNTIFS(nNIA,DATOS!$A6735,nCURSO,DATOS!$D6735,nESPEC,DATOS!$E6735,nASIG,DATOS!$I6735,nEVAL,"EX")=0),0))))</f>
      </c>
      <c r="H6735">
        <f>IF(DATOS!$G6735&lt;&gt;"EX",0,--(COUNTIFS(nNIA,DATOS!$A6735,nCURSO,DATOS!$D6735,nESPEC,DATOS!$E6735,nASIG,DATOS!$I6735,nEVAL,"OR")=0))</f>
      </c>
      <c r="I6735">
        <f>IF(DATOS!$I6735="","",IFERROR(VLOOKUP(DATOS!$I6735,CONFIG_ASIGNATURAS!$B$2:$J$91,9,FALSE()),""))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IF(DATOS!$A6736="",0,IF(CONFIG_METADATA!$B$4&lt;&gt;"OR+EX",--(DATOS!$G6736=CONFIG_METADATA!$B$4),IF(DATOS!$G6736="EX",1,IF(DATOS!$G6736="OR",--(COUNTIFS(nNIA,DATOS!$A6736,nCURSO,DATOS!$D6736,nESPEC,DATOS!$E6736,nASIG,DATOS!$I6736,nEVAL,"EX")=0),0))))</f>
      </c>
      <c r="H6736">
        <f>IF(DATOS!$G6736&lt;&gt;"EX",0,--(COUNTIFS(nNIA,DATOS!$A6736,nCURSO,DATOS!$D6736,nESPEC,DATOS!$E6736,nASIG,DATOS!$I6736,nEVAL,"OR")=0))</f>
      </c>
      <c r="I6736">
        <f>IF(DATOS!$I6736="","",IFERROR(VLOOKUP(DATOS!$I6736,CONFIG_ASIGNATURAS!$B$2:$J$91,9,FALSE()),""))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IF(DATOS!$A6737="",0,IF(CONFIG_METADATA!$B$4&lt;&gt;"OR+EX",--(DATOS!$G6737=CONFIG_METADATA!$B$4),IF(DATOS!$G6737="EX",1,IF(DATOS!$G6737="OR",--(COUNTIFS(nNIA,DATOS!$A6737,nCURSO,DATOS!$D6737,nESPEC,DATOS!$E6737,nASIG,DATOS!$I6737,nEVAL,"EX")=0),0))))</f>
      </c>
      <c r="H6737">
        <f>IF(DATOS!$G6737&lt;&gt;"EX",0,--(COUNTIFS(nNIA,DATOS!$A6737,nCURSO,DATOS!$D6737,nESPEC,DATOS!$E6737,nASIG,DATOS!$I6737,nEVAL,"OR")=0))</f>
      </c>
      <c r="I6737">
        <f>IF(DATOS!$I6737="","",IFERROR(VLOOKUP(DATOS!$I6737,CONFIG_ASIGNATURAS!$B$2:$J$91,9,FALSE()),""))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IF(DATOS!$A6738="",0,IF(CONFIG_METADATA!$B$4&lt;&gt;"OR+EX",--(DATOS!$G6738=CONFIG_METADATA!$B$4),IF(DATOS!$G6738="EX",1,IF(DATOS!$G6738="OR",--(COUNTIFS(nNIA,DATOS!$A6738,nCURSO,DATOS!$D6738,nESPEC,DATOS!$E6738,nASIG,DATOS!$I6738,nEVAL,"EX")=0),0))))</f>
      </c>
      <c r="H6738">
        <f>IF(DATOS!$G6738&lt;&gt;"EX",0,--(COUNTIFS(nNIA,DATOS!$A6738,nCURSO,DATOS!$D6738,nESPEC,DATOS!$E6738,nASIG,DATOS!$I6738,nEVAL,"OR")=0))</f>
      </c>
      <c r="I6738">
        <f>IF(DATOS!$I6738="","",IFERROR(VLOOKUP(DATOS!$I6738,CONFIG_ASIGNATURAS!$B$2:$J$91,9,FALSE()),""))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IF(DATOS!$A6739="",0,IF(CONFIG_METADATA!$B$4&lt;&gt;"OR+EX",--(DATOS!$G6739=CONFIG_METADATA!$B$4),IF(DATOS!$G6739="EX",1,IF(DATOS!$G6739="OR",--(COUNTIFS(nNIA,DATOS!$A6739,nCURSO,DATOS!$D6739,nESPEC,DATOS!$E6739,nASIG,DATOS!$I6739,nEVAL,"EX")=0),0))))</f>
      </c>
      <c r="H6739">
        <f>IF(DATOS!$G6739&lt;&gt;"EX",0,--(COUNTIFS(nNIA,DATOS!$A6739,nCURSO,DATOS!$D6739,nESPEC,DATOS!$E6739,nASIG,DATOS!$I6739,nEVAL,"OR")=0))</f>
      </c>
      <c r="I6739">
        <f>IF(DATOS!$I6739="","",IFERROR(VLOOKUP(DATOS!$I6739,CONFIG_ASIGNATURAS!$B$2:$J$91,9,FALSE()),""))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IF(DATOS!$A6740="",0,IF(CONFIG_METADATA!$B$4&lt;&gt;"OR+EX",--(DATOS!$G6740=CONFIG_METADATA!$B$4),IF(DATOS!$G6740="EX",1,IF(DATOS!$G6740="OR",--(COUNTIFS(nNIA,DATOS!$A6740,nCURSO,DATOS!$D6740,nESPEC,DATOS!$E6740,nASIG,DATOS!$I6740,nEVAL,"EX")=0),0))))</f>
      </c>
      <c r="H6740">
        <f>IF(DATOS!$G6740&lt;&gt;"EX",0,--(COUNTIFS(nNIA,DATOS!$A6740,nCURSO,DATOS!$D6740,nESPEC,DATOS!$E6740,nASIG,DATOS!$I6740,nEVAL,"OR")=0))</f>
      </c>
      <c r="I6740">
        <f>IF(DATOS!$I6740="","",IFERROR(VLOOKUP(DATOS!$I6740,CONFIG_ASIGNATURAS!$B$2:$J$91,9,FALSE()),""))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IF(DATOS!$A6741="",0,IF(CONFIG_METADATA!$B$4&lt;&gt;"OR+EX",--(DATOS!$G6741=CONFIG_METADATA!$B$4),IF(DATOS!$G6741="EX",1,IF(DATOS!$G6741="OR",--(COUNTIFS(nNIA,DATOS!$A6741,nCURSO,DATOS!$D6741,nESPEC,DATOS!$E6741,nASIG,DATOS!$I6741,nEVAL,"EX")=0),0))))</f>
      </c>
      <c r="H6741">
        <f>IF(DATOS!$G6741&lt;&gt;"EX",0,--(COUNTIFS(nNIA,DATOS!$A6741,nCURSO,DATOS!$D6741,nESPEC,DATOS!$E6741,nASIG,DATOS!$I6741,nEVAL,"OR")=0))</f>
      </c>
      <c r="I6741">
        <f>IF(DATOS!$I6741="","",IFERROR(VLOOKUP(DATOS!$I6741,CONFIG_ASIGNATURAS!$B$2:$J$91,9,FALSE()),""))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IF(DATOS!$A6742="",0,IF(CONFIG_METADATA!$B$4&lt;&gt;"OR+EX",--(DATOS!$G6742=CONFIG_METADATA!$B$4),IF(DATOS!$G6742="EX",1,IF(DATOS!$G6742="OR",--(COUNTIFS(nNIA,DATOS!$A6742,nCURSO,DATOS!$D6742,nESPEC,DATOS!$E6742,nASIG,DATOS!$I6742,nEVAL,"EX")=0),0))))</f>
      </c>
      <c r="H6742">
        <f>IF(DATOS!$G6742&lt;&gt;"EX",0,--(COUNTIFS(nNIA,DATOS!$A6742,nCURSO,DATOS!$D6742,nESPEC,DATOS!$E6742,nASIG,DATOS!$I6742,nEVAL,"OR")=0))</f>
      </c>
      <c r="I6742">
        <f>IF(DATOS!$I6742="","",IFERROR(VLOOKUP(DATOS!$I6742,CONFIG_ASIGNATURAS!$B$2:$J$91,9,FALSE()),""))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IF(DATOS!$A6743="",0,IF(CONFIG_METADATA!$B$4&lt;&gt;"OR+EX",--(DATOS!$G6743=CONFIG_METADATA!$B$4),IF(DATOS!$G6743="EX",1,IF(DATOS!$G6743="OR",--(COUNTIFS(nNIA,DATOS!$A6743,nCURSO,DATOS!$D6743,nESPEC,DATOS!$E6743,nASIG,DATOS!$I6743,nEVAL,"EX")=0),0))))</f>
      </c>
      <c r="H6743">
        <f>IF(DATOS!$G6743&lt;&gt;"EX",0,--(COUNTIFS(nNIA,DATOS!$A6743,nCURSO,DATOS!$D6743,nESPEC,DATOS!$E6743,nASIG,DATOS!$I6743,nEVAL,"OR")=0))</f>
      </c>
      <c r="I6743">
        <f>IF(DATOS!$I6743="","",IFERROR(VLOOKUP(DATOS!$I6743,CONFIG_ASIGNATURAS!$B$2:$J$91,9,FALSE()),""))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IF(DATOS!$A6744="",0,IF(CONFIG_METADATA!$B$4&lt;&gt;"OR+EX",--(DATOS!$G6744=CONFIG_METADATA!$B$4),IF(DATOS!$G6744="EX",1,IF(DATOS!$G6744="OR",--(COUNTIFS(nNIA,DATOS!$A6744,nCURSO,DATOS!$D6744,nESPEC,DATOS!$E6744,nASIG,DATOS!$I6744,nEVAL,"EX")=0),0))))</f>
      </c>
      <c r="H6744">
        <f>IF(DATOS!$G6744&lt;&gt;"EX",0,--(COUNTIFS(nNIA,DATOS!$A6744,nCURSO,DATOS!$D6744,nESPEC,DATOS!$E6744,nASIG,DATOS!$I6744,nEVAL,"OR")=0))</f>
      </c>
      <c r="I6744">
        <f>IF(DATOS!$I6744="","",IFERROR(VLOOKUP(DATOS!$I6744,CONFIG_ASIGNATURAS!$B$2:$J$91,9,FALSE()),""))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IF(DATOS!$A6745="",0,IF(CONFIG_METADATA!$B$4&lt;&gt;"OR+EX",--(DATOS!$G6745=CONFIG_METADATA!$B$4),IF(DATOS!$G6745="EX",1,IF(DATOS!$G6745="OR",--(COUNTIFS(nNIA,DATOS!$A6745,nCURSO,DATOS!$D6745,nESPEC,DATOS!$E6745,nASIG,DATOS!$I6745,nEVAL,"EX")=0),0))))</f>
      </c>
      <c r="H6745">
        <f>IF(DATOS!$G6745&lt;&gt;"EX",0,--(COUNTIFS(nNIA,DATOS!$A6745,nCURSO,DATOS!$D6745,nESPEC,DATOS!$E6745,nASIG,DATOS!$I6745,nEVAL,"OR")=0))</f>
      </c>
      <c r="I6745">
        <f>IF(DATOS!$I6745="","",IFERROR(VLOOKUP(DATOS!$I6745,CONFIG_ASIGNATURAS!$B$2:$J$91,9,FALSE()),""))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IF(DATOS!$A6746="",0,IF(CONFIG_METADATA!$B$4&lt;&gt;"OR+EX",--(DATOS!$G6746=CONFIG_METADATA!$B$4),IF(DATOS!$G6746="EX",1,IF(DATOS!$G6746="OR",--(COUNTIFS(nNIA,DATOS!$A6746,nCURSO,DATOS!$D6746,nESPEC,DATOS!$E6746,nASIG,DATOS!$I6746,nEVAL,"EX")=0),0))))</f>
      </c>
      <c r="H6746">
        <f>IF(DATOS!$G6746&lt;&gt;"EX",0,--(COUNTIFS(nNIA,DATOS!$A6746,nCURSO,DATOS!$D6746,nESPEC,DATOS!$E6746,nASIG,DATOS!$I6746,nEVAL,"OR")=0))</f>
      </c>
      <c r="I6746">
        <f>IF(DATOS!$I6746="","",IFERROR(VLOOKUP(DATOS!$I6746,CONFIG_ASIGNATURAS!$B$2:$J$91,9,FALSE()),""))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IF(DATOS!$A6747="",0,IF(CONFIG_METADATA!$B$4&lt;&gt;"OR+EX",--(DATOS!$G6747=CONFIG_METADATA!$B$4),IF(DATOS!$G6747="EX",1,IF(DATOS!$G6747="OR",--(COUNTIFS(nNIA,DATOS!$A6747,nCURSO,DATOS!$D6747,nESPEC,DATOS!$E6747,nASIG,DATOS!$I6747,nEVAL,"EX")=0),0))))</f>
      </c>
      <c r="H6747">
        <f>IF(DATOS!$G6747&lt;&gt;"EX",0,--(COUNTIFS(nNIA,DATOS!$A6747,nCURSO,DATOS!$D6747,nESPEC,DATOS!$E6747,nASIG,DATOS!$I6747,nEVAL,"OR")=0))</f>
      </c>
      <c r="I6747">
        <f>IF(DATOS!$I6747="","",IFERROR(VLOOKUP(DATOS!$I6747,CONFIG_ASIGNATURAS!$B$2:$J$91,9,FALSE()),""))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IF(DATOS!$A6748="",0,IF(CONFIG_METADATA!$B$4&lt;&gt;"OR+EX",--(DATOS!$G6748=CONFIG_METADATA!$B$4),IF(DATOS!$G6748="EX",1,IF(DATOS!$G6748="OR",--(COUNTIFS(nNIA,DATOS!$A6748,nCURSO,DATOS!$D6748,nESPEC,DATOS!$E6748,nASIG,DATOS!$I6748,nEVAL,"EX")=0),0))))</f>
      </c>
      <c r="H6748">
        <f>IF(DATOS!$G6748&lt;&gt;"EX",0,--(COUNTIFS(nNIA,DATOS!$A6748,nCURSO,DATOS!$D6748,nESPEC,DATOS!$E6748,nASIG,DATOS!$I6748,nEVAL,"OR")=0))</f>
      </c>
      <c r="I6748">
        <f>IF(DATOS!$I6748="","",IFERROR(VLOOKUP(DATOS!$I6748,CONFIG_ASIGNATURAS!$B$2:$J$91,9,FALSE()),""))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IF(DATOS!$A6749="",0,IF(CONFIG_METADATA!$B$4&lt;&gt;"OR+EX",--(DATOS!$G6749=CONFIG_METADATA!$B$4),IF(DATOS!$G6749="EX",1,IF(DATOS!$G6749="OR",--(COUNTIFS(nNIA,DATOS!$A6749,nCURSO,DATOS!$D6749,nESPEC,DATOS!$E6749,nASIG,DATOS!$I6749,nEVAL,"EX")=0),0))))</f>
      </c>
      <c r="H6749">
        <f>IF(DATOS!$G6749&lt;&gt;"EX",0,--(COUNTIFS(nNIA,DATOS!$A6749,nCURSO,DATOS!$D6749,nESPEC,DATOS!$E6749,nASIG,DATOS!$I6749,nEVAL,"OR")=0))</f>
      </c>
      <c r="I6749">
        <f>IF(DATOS!$I6749="","",IFERROR(VLOOKUP(DATOS!$I6749,CONFIG_ASIGNATURAS!$B$2:$J$91,9,FALSE()),""))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IF(DATOS!$A6750="",0,IF(CONFIG_METADATA!$B$4&lt;&gt;"OR+EX",--(DATOS!$G6750=CONFIG_METADATA!$B$4),IF(DATOS!$G6750="EX",1,IF(DATOS!$G6750="OR",--(COUNTIFS(nNIA,DATOS!$A6750,nCURSO,DATOS!$D6750,nESPEC,DATOS!$E6750,nASIG,DATOS!$I6750,nEVAL,"EX")=0),0))))</f>
      </c>
      <c r="H6750">
        <f>IF(DATOS!$G6750&lt;&gt;"EX",0,--(COUNTIFS(nNIA,DATOS!$A6750,nCURSO,DATOS!$D6750,nESPEC,DATOS!$E6750,nASIG,DATOS!$I6750,nEVAL,"OR")=0))</f>
      </c>
      <c r="I6750">
        <f>IF(DATOS!$I6750="","",IFERROR(VLOOKUP(DATOS!$I6750,CONFIG_ASIGNATURAS!$B$2:$J$91,9,FALSE()),""))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IF(DATOS!$A6751="",0,IF(CONFIG_METADATA!$B$4&lt;&gt;"OR+EX",--(DATOS!$G6751=CONFIG_METADATA!$B$4),IF(DATOS!$G6751="EX",1,IF(DATOS!$G6751="OR",--(COUNTIFS(nNIA,DATOS!$A6751,nCURSO,DATOS!$D6751,nESPEC,DATOS!$E6751,nASIG,DATOS!$I6751,nEVAL,"EX")=0),0))))</f>
      </c>
      <c r="H6751">
        <f>IF(DATOS!$G6751&lt;&gt;"EX",0,--(COUNTIFS(nNIA,DATOS!$A6751,nCURSO,DATOS!$D6751,nESPEC,DATOS!$E6751,nASIG,DATOS!$I6751,nEVAL,"OR")=0))</f>
      </c>
      <c r="I6751">
        <f>IF(DATOS!$I6751="","",IFERROR(VLOOKUP(DATOS!$I6751,CONFIG_ASIGNATURAS!$B$2:$J$91,9,FALSE()),""))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IF(DATOS!$A6752="",0,IF(CONFIG_METADATA!$B$4&lt;&gt;"OR+EX",--(DATOS!$G6752=CONFIG_METADATA!$B$4),IF(DATOS!$G6752="EX",1,IF(DATOS!$G6752="OR",--(COUNTIFS(nNIA,DATOS!$A6752,nCURSO,DATOS!$D6752,nESPEC,DATOS!$E6752,nASIG,DATOS!$I6752,nEVAL,"EX")=0),0))))</f>
      </c>
      <c r="H6752">
        <f>IF(DATOS!$G6752&lt;&gt;"EX",0,--(COUNTIFS(nNIA,DATOS!$A6752,nCURSO,DATOS!$D6752,nESPEC,DATOS!$E6752,nASIG,DATOS!$I6752,nEVAL,"OR")=0))</f>
      </c>
      <c r="I6752">
        <f>IF(DATOS!$I6752="","",IFERROR(VLOOKUP(DATOS!$I6752,CONFIG_ASIGNATURAS!$B$2:$J$91,9,FALSE()),""))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IF(DATOS!$A6753="",0,IF(CONFIG_METADATA!$B$4&lt;&gt;"OR+EX",--(DATOS!$G6753=CONFIG_METADATA!$B$4),IF(DATOS!$G6753="EX",1,IF(DATOS!$G6753="OR",--(COUNTIFS(nNIA,DATOS!$A6753,nCURSO,DATOS!$D6753,nESPEC,DATOS!$E6753,nASIG,DATOS!$I6753,nEVAL,"EX")=0),0))))</f>
      </c>
      <c r="H6753">
        <f>IF(DATOS!$G6753&lt;&gt;"EX",0,--(COUNTIFS(nNIA,DATOS!$A6753,nCURSO,DATOS!$D6753,nESPEC,DATOS!$E6753,nASIG,DATOS!$I6753,nEVAL,"OR")=0))</f>
      </c>
      <c r="I6753">
        <f>IF(DATOS!$I6753="","",IFERROR(VLOOKUP(DATOS!$I6753,CONFIG_ASIGNATURAS!$B$2:$J$91,9,FALSE()),""))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IF(DATOS!$A6754="",0,IF(CONFIG_METADATA!$B$4&lt;&gt;"OR+EX",--(DATOS!$G6754=CONFIG_METADATA!$B$4),IF(DATOS!$G6754="EX",1,IF(DATOS!$G6754="OR",--(COUNTIFS(nNIA,DATOS!$A6754,nCURSO,DATOS!$D6754,nESPEC,DATOS!$E6754,nASIG,DATOS!$I6754,nEVAL,"EX")=0),0))))</f>
      </c>
      <c r="H6754">
        <f>IF(DATOS!$G6754&lt;&gt;"EX",0,--(COUNTIFS(nNIA,DATOS!$A6754,nCURSO,DATOS!$D6754,nESPEC,DATOS!$E6754,nASIG,DATOS!$I6754,nEVAL,"OR")=0))</f>
      </c>
      <c r="I6754">
        <f>IF(DATOS!$I6754="","",IFERROR(VLOOKUP(DATOS!$I6754,CONFIG_ASIGNATURAS!$B$2:$J$91,9,FALSE()),""))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IF(DATOS!$A6755="",0,IF(CONFIG_METADATA!$B$4&lt;&gt;"OR+EX",--(DATOS!$G6755=CONFIG_METADATA!$B$4),IF(DATOS!$G6755="EX",1,IF(DATOS!$G6755="OR",--(COUNTIFS(nNIA,DATOS!$A6755,nCURSO,DATOS!$D6755,nESPEC,DATOS!$E6755,nASIG,DATOS!$I6755,nEVAL,"EX")=0),0))))</f>
      </c>
      <c r="H6755">
        <f>IF(DATOS!$G6755&lt;&gt;"EX",0,--(COUNTIFS(nNIA,DATOS!$A6755,nCURSO,DATOS!$D6755,nESPEC,DATOS!$E6755,nASIG,DATOS!$I6755,nEVAL,"OR")=0))</f>
      </c>
      <c r="I6755">
        <f>IF(DATOS!$I6755="","",IFERROR(VLOOKUP(DATOS!$I6755,CONFIG_ASIGNATURAS!$B$2:$J$91,9,FALSE()),""))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IF(DATOS!$A6756="",0,IF(CONFIG_METADATA!$B$4&lt;&gt;"OR+EX",--(DATOS!$G6756=CONFIG_METADATA!$B$4),IF(DATOS!$G6756="EX",1,IF(DATOS!$G6756="OR",--(COUNTIFS(nNIA,DATOS!$A6756,nCURSO,DATOS!$D6756,nESPEC,DATOS!$E6756,nASIG,DATOS!$I6756,nEVAL,"EX")=0),0))))</f>
      </c>
      <c r="H6756">
        <f>IF(DATOS!$G6756&lt;&gt;"EX",0,--(COUNTIFS(nNIA,DATOS!$A6756,nCURSO,DATOS!$D6756,nESPEC,DATOS!$E6756,nASIG,DATOS!$I6756,nEVAL,"OR")=0))</f>
      </c>
      <c r="I6756">
        <f>IF(DATOS!$I6756="","",IFERROR(VLOOKUP(DATOS!$I6756,CONFIG_ASIGNATURAS!$B$2:$J$91,9,FALSE()),""))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IF(DATOS!$A6757="",0,IF(CONFIG_METADATA!$B$4&lt;&gt;"OR+EX",--(DATOS!$G6757=CONFIG_METADATA!$B$4),IF(DATOS!$G6757="EX",1,IF(DATOS!$G6757="OR",--(COUNTIFS(nNIA,DATOS!$A6757,nCURSO,DATOS!$D6757,nESPEC,DATOS!$E6757,nASIG,DATOS!$I6757,nEVAL,"EX")=0),0))))</f>
      </c>
      <c r="H6757">
        <f>IF(DATOS!$G6757&lt;&gt;"EX",0,--(COUNTIFS(nNIA,DATOS!$A6757,nCURSO,DATOS!$D6757,nESPEC,DATOS!$E6757,nASIG,DATOS!$I6757,nEVAL,"OR")=0))</f>
      </c>
      <c r="I6757">
        <f>IF(DATOS!$I6757="","",IFERROR(VLOOKUP(DATOS!$I6757,CONFIG_ASIGNATURAS!$B$2:$J$91,9,FALSE()),""))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IF(DATOS!$A6758="",0,IF(CONFIG_METADATA!$B$4&lt;&gt;"OR+EX",--(DATOS!$G6758=CONFIG_METADATA!$B$4),IF(DATOS!$G6758="EX",1,IF(DATOS!$G6758="OR",--(COUNTIFS(nNIA,DATOS!$A6758,nCURSO,DATOS!$D6758,nESPEC,DATOS!$E6758,nASIG,DATOS!$I6758,nEVAL,"EX")=0),0))))</f>
      </c>
      <c r="H6758">
        <f>IF(DATOS!$G6758&lt;&gt;"EX",0,--(COUNTIFS(nNIA,DATOS!$A6758,nCURSO,DATOS!$D6758,nESPEC,DATOS!$E6758,nASIG,DATOS!$I6758,nEVAL,"OR")=0))</f>
      </c>
      <c r="I6758">
        <f>IF(DATOS!$I6758="","",IFERROR(VLOOKUP(DATOS!$I6758,CONFIG_ASIGNATURAS!$B$2:$J$91,9,FALSE()),""))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IF(DATOS!$A6759="",0,IF(CONFIG_METADATA!$B$4&lt;&gt;"OR+EX",--(DATOS!$G6759=CONFIG_METADATA!$B$4),IF(DATOS!$G6759="EX",1,IF(DATOS!$G6759="OR",--(COUNTIFS(nNIA,DATOS!$A6759,nCURSO,DATOS!$D6759,nESPEC,DATOS!$E6759,nASIG,DATOS!$I6759,nEVAL,"EX")=0),0))))</f>
      </c>
      <c r="H6759">
        <f>IF(DATOS!$G6759&lt;&gt;"EX",0,--(COUNTIFS(nNIA,DATOS!$A6759,nCURSO,DATOS!$D6759,nESPEC,DATOS!$E6759,nASIG,DATOS!$I6759,nEVAL,"OR")=0))</f>
      </c>
      <c r="I6759">
        <f>IF(DATOS!$I6759="","",IFERROR(VLOOKUP(DATOS!$I6759,CONFIG_ASIGNATURAS!$B$2:$J$91,9,FALSE()),""))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IF(DATOS!$A6760="",0,IF(CONFIG_METADATA!$B$4&lt;&gt;"OR+EX",--(DATOS!$G6760=CONFIG_METADATA!$B$4),IF(DATOS!$G6760="EX",1,IF(DATOS!$G6760="OR",--(COUNTIFS(nNIA,DATOS!$A6760,nCURSO,DATOS!$D6760,nESPEC,DATOS!$E6760,nASIG,DATOS!$I6760,nEVAL,"EX")=0),0))))</f>
      </c>
      <c r="H6760">
        <f>IF(DATOS!$G6760&lt;&gt;"EX",0,--(COUNTIFS(nNIA,DATOS!$A6760,nCURSO,DATOS!$D6760,nESPEC,DATOS!$E6760,nASIG,DATOS!$I6760,nEVAL,"OR")=0))</f>
      </c>
      <c r="I6760">
        <f>IF(DATOS!$I6760="","",IFERROR(VLOOKUP(DATOS!$I6760,CONFIG_ASIGNATURAS!$B$2:$J$91,9,FALSE()),""))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IF(DATOS!$A6761="",0,IF(CONFIG_METADATA!$B$4&lt;&gt;"OR+EX",--(DATOS!$G6761=CONFIG_METADATA!$B$4),IF(DATOS!$G6761="EX",1,IF(DATOS!$G6761="OR",--(COUNTIFS(nNIA,DATOS!$A6761,nCURSO,DATOS!$D6761,nESPEC,DATOS!$E6761,nASIG,DATOS!$I6761,nEVAL,"EX")=0),0))))</f>
      </c>
      <c r="H6761">
        <f>IF(DATOS!$G6761&lt;&gt;"EX",0,--(COUNTIFS(nNIA,DATOS!$A6761,nCURSO,DATOS!$D6761,nESPEC,DATOS!$E6761,nASIG,DATOS!$I6761,nEVAL,"OR")=0))</f>
      </c>
      <c r="I6761">
        <f>IF(DATOS!$I6761="","",IFERROR(VLOOKUP(DATOS!$I6761,CONFIG_ASIGNATURAS!$B$2:$J$91,9,FALSE()),""))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IF(DATOS!$A6762="",0,IF(CONFIG_METADATA!$B$4&lt;&gt;"OR+EX",--(DATOS!$G6762=CONFIG_METADATA!$B$4),IF(DATOS!$G6762="EX",1,IF(DATOS!$G6762="OR",--(COUNTIFS(nNIA,DATOS!$A6762,nCURSO,DATOS!$D6762,nESPEC,DATOS!$E6762,nASIG,DATOS!$I6762,nEVAL,"EX")=0),0))))</f>
      </c>
      <c r="H6762">
        <f>IF(DATOS!$G6762&lt;&gt;"EX",0,--(COUNTIFS(nNIA,DATOS!$A6762,nCURSO,DATOS!$D6762,nESPEC,DATOS!$E6762,nASIG,DATOS!$I6762,nEVAL,"OR")=0))</f>
      </c>
      <c r="I6762">
        <f>IF(DATOS!$I6762="","",IFERROR(VLOOKUP(DATOS!$I6762,CONFIG_ASIGNATURAS!$B$2:$J$91,9,FALSE()),""))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IF(DATOS!$A6763="",0,IF(CONFIG_METADATA!$B$4&lt;&gt;"OR+EX",--(DATOS!$G6763=CONFIG_METADATA!$B$4),IF(DATOS!$G6763="EX",1,IF(DATOS!$G6763="OR",--(COUNTIFS(nNIA,DATOS!$A6763,nCURSO,DATOS!$D6763,nESPEC,DATOS!$E6763,nASIG,DATOS!$I6763,nEVAL,"EX")=0),0))))</f>
      </c>
      <c r="H6763">
        <f>IF(DATOS!$G6763&lt;&gt;"EX",0,--(COUNTIFS(nNIA,DATOS!$A6763,nCURSO,DATOS!$D6763,nESPEC,DATOS!$E6763,nASIG,DATOS!$I6763,nEVAL,"OR")=0))</f>
      </c>
      <c r="I6763">
        <f>IF(DATOS!$I6763="","",IFERROR(VLOOKUP(DATOS!$I6763,CONFIG_ASIGNATURAS!$B$2:$J$91,9,FALSE()),""))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IF(DATOS!$A6764="",0,IF(CONFIG_METADATA!$B$4&lt;&gt;"OR+EX",--(DATOS!$G6764=CONFIG_METADATA!$B$4),IF(DATOS!$G6764="EX",1,IF(DATOS!$G6764="OR",--(COUNTIFS(nNIA,DATOS!$A6764,nCURSO,DATOS!$D6764,nESPEC,DATOS!$E6764,nASIG,DATOS!$I6764,nEVAL,"EX")=0),0))))</f>
      </c>
      <c r="H6764">
        <f>IF(DATOS!$G6764&lt;&gt;"EX",0,--(COUNTIFS(nNIA,DATOS!$A6764,nCURSO,DATOS!$D6764,nESPEC,DATOS!$E6764,nASIG,DATOS!$I6764,nEVAL,"OR")=0))</f>
      </c>
      <c r="I6764">
        <f>IF(DATOS!$I6764="","",IFERROR(VLOOKUP(DATOS!$I6764,CONFIG_ASIGNATURAS!$B$2:$J$91,9,FALSE()),""))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IF(DATOS!$A6765="",0,IF(CONFIG_METADATA!$B$4&lt;&gt;"OR+EX",--(DATOS!$G6765=CONFIG_METADATA!$B$4),IF(DATOS!$G6765="EX",1,IF(DATOS!$G6765="OR",--(COUNTIFS(nNIA,DATOS!$A6765,nCURSO,DATOS!$D6765,nESPEC,DATOS!$E6765,nASIG,DATOS!$I6765,nEVAL,"EX")=0),0))))</f>
      </c>
      <c r="H6765">
        <f>IF(DATOS!$G6765&lt;&gt;"EX",0,--(COUNTIFS(nNIA,DATOS!$A6765,nCURSO,DATOS!$D6765,nESPEC,DATOS!$E6765,nASIG,DATOS!$I6765,nEVAL,"OR")=0))</f>
      </c>
      <c r="I6765">
        <f>IF(DATOS!$I6765="","",IFERROR(VLOOKUP(DATOS!$I6765,CONFIG_ASIGNATURAS!$B$2:$J$91,9,FALSE()),""))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IF(DATOS!$A6766="",0,IF(CONFIG_METADATA!$B$4&lt;&gt;"OR+EX",--(DATOS!$G6766=CONFIG_METADATA!$B$4),IF(DATOS!$G6766="EX",1,IF(DATOS!$G6766="OR",--(COUNTIFS(nNIA,DATOS!$A6766,nCURSO,DATOS!$D6766,nESPEC,DATOS!$E6766,nASIG,DATOS!$I6766,nEVAL,"EX")=0),0))))</f>
      </c>
      <c r="H6766">
        <f>IF(DATOS!$G6766&lt;&gt;"EX",0,--(COUNTIFS(nNIA,DATOS!$A6766,nCURSO,DATOS!$D6766,nESPEC,DATOS!$E6766,nASIG,DATOS!$I6766,nEVAL,"OR")=0))</f>
      </c>
      <c r="I6766">
        <f>IF(DATOS!$I6766="","",IFERROR(VLOOKUP(DATOS!$I6766,CONFIG_ASIGNATURAS!$B$2:$J$91,9,FALSE()),""))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IF(DATOS!$A6767="",0,IF(CONFIG_METADATA!$B$4&lt;&gt;"OR+EX",--(DATOS!$G6767=CONFIG_METADATA!$B$4),IF(DATOS!$G6767="EX",1,IF(DATOS!$G6767="OR",--(COUNTIFS(nNIA,DATOS!$A6767,nCURSO,DATOS!$D6767,nESPEC,DATOS!$E6767,nASIG,DATOS!$I6767,nEVAL,"EX")=0),0))))</f>
      </c>
      <c r="H6767">
        <f>IF(DATOS!$G6767&lt;&gt;"EX",0,--(COUNTIFS(nNIA,DATOS!$A6767,nCURSO,DATOS!$D6767,nESPEC,DATOS!$E6767,nASIG,DATOS!$I6767,nEVAL,"OR")=0))</f>
      </c>
      <c r="I6767">
        <f>IF(DATOS!$I6767="","",IFERROR(VLOOKUP(DATOS!$I6767,CONFIG_ASIGNATURAS!$B$2:$J$91,9,FALSE()),""))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IF(DATOS!$A6768="",0,IF(CONFIG_METADATA!$B$4&lt;&gt;"OR+EX",--(DATOS!$G6768=CONFIG_METADATA!$B$4),IF(DATOS!$G6768="EX",1,IF(DATOS!$G6768="OR",--(COUNTIFS(nNIA,DATOS!$A6768,nCURSO,DATOS!$D6768,nESPEC,DATOS!$E6768,nASIG,DATOS!$I6768,nEVAL,"EX")=0),0))))</f>
      </c>
      <c r="H6768">
        <f>IF(DATOS!$G6768&lt;&gt;"EX",0,--(COUNTIFS(nNIA,DATOS!$A6768,nCURSO,DATOS!$D6768,nESPEC,DATOS!$E6768,nASIG,DATOS!$I6768,nEVAL,"OR")=0))</f>
      </c>
      <c r="I6768">
        <f>IF(DATOS!$I6768="","",IFERROR(VLOOKUP(DATOS!$I6768,CONFIG_ASIGNATURAS!$B$2:$J$91,9,FALSE()),""))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IF(DATOS!$A6769="",0,IF(CONFIG_METADATA!$B$4&lt;&gt;"OR+EX",--(DATOS!$G6769=CONFIG_METADATA!$B$4),IF(DATOS!$G6769="EX",1,IF(DATOS!$G6769="OR",--(COUNTIFS(nNIA,DATOS!$A6769,nCURSO,DATOS!$D6769,nESPEC,DATOS!$E6769,nASIG,DATOS!$I6769,nEVAL,"EX")=0),0))))</f>
      </c>
      <c r="H6769">
        <f>IF(DATOS!$G6769&lt;&gt;"EX",0,--(COUNTIFS(nNIA,DATOS!$A6769,nCURSO,DATOS!$D6769,nESPEC,DATOS!$E6769,nASIG,DATOS!$I6769,nEVAL,"OR")=0))</f>
      </c>
      <c r="I6769">
        <f>IF(DATOS!$I6769="","",IFERROR(VLOOKUP(DATOS!$I6769,CONFIG_ASIGNATURAS!$B$2:$J$91,9,FALSE()),""))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IF(DATOS!$A6770="",0,IF(CONFIG_METADATA!$B$4&lt;&gt;"OR+EX",--(DATOS!$G6770=CONFIG_METADATA!$B$4),IF(DATOS!$G6770="EX",1,IF(DATOS!$G6770="OR",--(COUNTIFS(nNIA,DATOS!$A6770,nCURSO,DATOS!$D6770,nESPEC,DATOS!$E6770,nASIG,DATOS!$I6770,nEVAL,"EX")=0),0))))</f>
      </c>
      <c r="H6770">
        <f>IF(DATOS!$G6770&lt;&gt;"EX",0,--(COUNTIFS(nNIA,DATOS!$A6770,nCURSO,DATOS!$D6770,nESPEC,DATOS!$E6770,nASIG,DATOS!$I6770,nEVAL,"OR")=0))</f>
      </c>
      <c r="I6770">
        <f>IF(DATOS!$I6770="","",IFERROR(VLOOKUP(DATOS!$I6770,CONFIG_ASIGNATURAS!$B$2:$J$91,9,FALSE()),""))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IF(DATOS!$A6771="",0,IF(CONFIG_METADATA!$B$4&lt;&gt;"OR+EX",--(DATOS!$G6771=CONFIG_METADATA!$B$4),IF(DATOS!$G6771="EX",1,IF(DATOS!$G6771="OR",--(COUNTIFS(nNIA,DATOS!$A6771,nCURSO,DATOS!$D6771,nESPEC,DATOS!$E6771,nASIG,DATOS!$I6771,nEVAL,"EX")=0),0))))</f>
      </c>
      <c r="H6771">
        <f>IF(DATOS!$G6771&lt;&gt;"EX",0,--(COUNTIFS(nNIA,DATOS!$A6771,nCURSO,DATOS!$D6771,nESPEC,DATOS!$E6771,nASIG,DATOS!$I6771,nEVAL,"OR")=0))</f>
      </c>
      <c r="I6771">
        <f>IF(DATOS!$I6771="","",IFERROR(VLOOKUP(DATOS!$I6771,CONFIG_ASIGNATURAS!$B$2:$J$91,9,FALSE()),""))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IF(DATOS!$A6772="",0,IF(CONFIG_METADATA!$B$4&lt;&gt;"OR+EX",--(DATOS!$G6772=CONFIG_METADATA!$B$4),IF(DATOS!$G6772="EX",1,IF(DATOS!$G6772="OR",--(COUNTIFS(nNIA,DATOS!$A6772,nCURSO,DATOS!$D6772,nESPEC,DATOS!$E6772,nASIG,DATOS!$I6772,nEVAL,"EX")=0),0))))</f>
      </c>
      <c r="H6772">
        <f>IF(DATOS!$G6772&lt;&gt;"EX",0,--(COUNTIFS(nNIA,DATOS!$A6772,nCURSO,DATOS!$D6772,nESPEC,DATOS!$E6772,nASIG,DATOS!$I6772,nEVAL,"OR")=0))</f>
      </c>
      <c r="I6772">
        <f>IF(DATOS!$I6772="","",IFERROR(VLOOKUP(DATOS!$I6772,CONFIG_ASIGNATURAS!$B$2:$J$91,9,FALSE()),""))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IF(DATOS!$A6773="",0,IF(CONFIG_METADATA!$B$4&lt;&gt;"OR+EX",--(DATOS!$G6773=CONFIG_METADATA!$B$4),IF(DATOS!$G6773="EX",1,IF(DATOS!$G6773="OR",--(COUNTIFS(nNIA,DATOS!$A6773,nCURSO,DATOS!$D6773,nESPEC,DATOS!$E6773,nASIG,DATOS!$I6773,nEVAL,"EX")=0),0))))</f>
      </c>
      <c r="H6773">
        <f>IF(DATOS!$G6773&lt;&gt;"EX",0,--(COUNTIFS(nNIA,DATOS!$A6773,nCURSO,DATOS!$D6773,nESPEC,DATOS!$E6773,nASIG,DATOS!$I6773,nEVAL,"OR")=0))</f>
      </c>
      <c r="I6773">
        <f>IF(DATOS!$I6773="","",IFERROR(VLOOKUP(DATOS!$I6773,CONFIG_ASIGNATURAS!$B$2:$J$91,9,FALSE()),""))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IF(DATOS!$A6774="",0,IF(CONFIG_METADATA!$B$4&lt;&gt;"OR+EX",--(DATOS!$G6774=CONFIG_METADATA!$B$4),IF(DATOS!$G6774="EX",1,IF(DATOS!$G6774="OR",--(COUNTIFS(nNIA,DATOS!$A6774,nCURSO,DATOS!$D6774,nESPEC,DATOS!$E6774,nASIG,DATOS!$I6774,nEVAL,"EX")=0),0))))</f>
      </c>
      <c r="H6774">
        <f>IF(DATOS!$G6774&lt;&gt;"EX",0,--(COUNTIFS(nNIA,DATOS!$A6774,nCURSO,DATOS!$D6774,nESPEC,DATOS!$E6774,nASIG,DATOS!$I6774,nEVAL,"OR")=0))</f>
      </c>
      <c r="I6774">
        <f>IF(DATOS!$I6774="","",IFERROR(VLOOKUP(DATOS!$I6774,CONFIG_ASIGNATURAS!$B$2:$J$91,9,FALSE()),""))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IF(DATOS!$A6775="",0,IF(CONFIG_METADATA!$B$4&lt;&gt;"OR+EX",--(DATOS!$G6775=CONFIG_METADATA!$B$4),IF(DATOS!$G6775="EX",1,IF(DATOS!$G6775="OR",--(COUNTIFS(nNIA,DATOS!$A6775,nCURSO,DATOS!$D6775,nESPEC,DATOS!$E6775,nASIG,DATOS!$I6775,nEVAL,"EX")=0),0))))</f>
      </c>
      <c r="H6775">
        <f>IF(DATOS!$G6775&lt;&gt;"EX",0,--(COUNTIFS(nNIA,DATOS!$A6775,nCURSO,DATOS!$D6775,nESPEC,DATOS!$E6775,nASIG,DATOS!$I6775,nEVAL,"OR")=0))</f>
      </c>
      <c r="I6775">
        <f>IF(DATOS!$I6775="","",IFERROR(VLOOKUP(DATOS!$I6775,CONFIG_ASIGNATURAS!$B$2:$J$91,9,FALSE()),""))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IF(DATOS!$A6776="",0,IF(CONFIG_METADATA!$B$4&lt;&gt;"OR+EX",--(DATOS!$G6776=CONFIG_METADATA!$B$4),IF(DATOS!$G6776="EX",1,IF(DATOS!$G6776="OR",--(COUNTIFS(nNIA,DATOS!$A6776,nCURSO,DATOS!$D6776,nESPEC,DATOS!$E6776,nASIG,DATOS!$I6776,nEVAL,"EX")=0),0))))</f>
      </c>
      <c r="H6776">
        <f>IF(DATOS!$G6776&lt;&gt;"EX",0,--(COUNTIFS(nNIA,DATOS!$A6776,nCURSO,DATOS!$D6776,nESPEC,DATOS!$E6776,nASIG,DATOS!$I6776,nEVAL,"OR")=0))</f>
      </c>
      <c r="I6776">
        <f>IF(DATOS!$I6776="","",IFERROR(VLOOKUP(DATOS!$I6776,CONFIG_ASIGNATURAS!$B$2:$J$91,9,FALSE()),""))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IF(DATOS!$A6777="",0,IF(CONFIG_METADATA!$B$4&lt;&gt;"OR+EX",--(DATOS!$G6777=CONFIG_METADATA!$B$4),IF(DATOS!$G6777="EX",1,IF(DATOS!$G6777="OR",--(COUNTIFS(nNIA,DATOS!$A6777,nCURSO,DATOS!$D6777,nESPEC,DATOS!$E6777,nASIG,DATOS!$I6777,nEVAL,"EX")=0),0))))</f>
      </c>
      <c r="H6777">
        <f>IF(DATOS!$G6777&lt;&gt;"EX",0,--(COUNTIFS(nNIA,DATOS!$A6777,nCURSO,DATOS!$D6777,nESPEC,DATOS!$E6777,nASIG,DATOS!$I6777,nEVAL,"OR")=0))</f>
      </c>
      <c r="I6777">
        <f>IF(DATOS!$I6777="","",IFERROR(VLOOKUP(DATOS!$I6777,CONFIG_ASIGNATURAS!$B$2:$J$91,9,FALSE()),""))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IF(DATOS!$A6778="",0,IF(CONFIG_METADATA!$B$4&lt;&gt;"OR+EX",--(DATOS!$G6778=CONFIG_METADATA!$B$4),IF(DATOS!$G6778="EX",1,IF(DATOS!$G6778="OR",--(COUNTIFS(nNIA,DATOS!$A6778,nCURSO,DATOS!$D6778,nESPEC,DATOS!$E6778,nASIG,DATOS!$I6778,nEVAL,"EX")=0),0))))</f>
      </c>
      <c r="H6778">
        <f>IF(DATOS!$G6778&lt;&gt;"EX",0,--(COUNTIFS(nNIA,DATOS!$A6778,nCURSO,DATOS!$D6778,nESPEC,DATOS!$E6778,nASIG,DATOS!$I6778,nEVAL,"OR")=0))</f>
      </c>
      <c r="I6778">
        <f>IF(DATOS!$I6778="","",IFERROR(VLOOKUP(DATOS!$I6778,CONFIG_ASIGNATURAS!$B$2:$J$91,9,FALSE()),""))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IF(DATOS!$A6779="",0,IF(CONFIG_METADATA!$B$4&lt;&gt;"OR+EX",--(DATOS!$G6779=CONFIG_METADATA!$B$4),IF(DATOS!$G6779="EX",1,IF(DATOS!$G6779="OR",--(COUNTIFS(nNIA,DATOS!$A6779,nCURSO,DATOS!$D6779,nESPEC,DATOS!$E6779,nASIG,DATOS!$I6779,nEVAL,"EX")=0),0))))</f>
      </c>
      <c r="H6779">
        <f>IF(DATOS!$G6779&lt;&gt;"EX",0,--(COUNTIFS(nNIA,DATOS!$A6779,nCURSO,DATOS!$D6779,nESPEC,DATOS!$E6779,nASIG,DATOS!$I6779,nEVAL,"OR")=0))</f>
      </c>
      <c r="I6779">
        <f>IF(DATOS!$I6779="","",IFERROR(VLOOKUP(DATOS!$I6779,CONFIG_ASIGNATURAS!$B$2:$J$91,9,FALSE()),""))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IF(DATOS!$A6780="",0,IF(CONFIG_METADATA!$B$4&lt;&gt;"OR+EX",--(DATOS!$G6780=CONFIG_METADATA!$B$4),IF(DATOS!$G6780="EX",1,IF(DATOS!$G6780="OR",--(COUNTIFS(nNIA,DATOS!$A6780,nCURSO,DATOS!$D6780,nESPEC,DATOS!$E6780,nASIG,DATOS!$I6780,nEVAL,"EX")=0),0))))</f>
      </c>
      <c r="H6780">
        <f>IF(DATOS!$G6780&lt;&gt;"EX",0,--(COUNTIFS(nNIA,DATOS!$A6780,nCURSO,DATOS!$D6780,nESPEC,DATOS!$E6780,nASIG,DATOS!$I6780,nEVAL,"OR")=0))</f>
      </c>
      <c r="I6780">
        <f>IF(DATOS!$I6780="","",IFERROR(VLOOKUP(DATOS!$I6780,CONFIG_ASIGNATURAS!$B$2:$J$91,9,FALSE()),""))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IF(DATOS!$A6781="",0,IF(CONFIG_METADATA!$B$4&lt;&gt;"OR+EX",--(DATOS!$G6781=CONFIG_METADATA!$B$4),IF(DATOS!$G6781="EX",1,IF(DATOS!$G6781="OR",--(COUNTIFS(nNIA,DATOS!$A6781,nCURSO,DATOS!$D6781,nESPEC,DATOS!$E6781,nASIG,DATOS!$I6781,nEVAL,"EX")=0),0))))</f>
      </c>
      <c r="H6781">
        <f>IF(DATOS!$G6781&lt;&gt;"EX",0,--(COUNTIFS(nNIA,DATOS!$A6781,nCURSO,DATOS!$D6781,nESPEC,DATOS!$E6781,nASIG,DATOS!$I6781,nEVAL,"OR")=0))</f>
      </c>
      <c r="I6781">
        <f>IF(DATOS!$I6781="","",IFERROR(VLOOKUP(DATOS!$I6781,CONFIG_ASIGNATURAS!$B$2:$J$91,9,FALSE()),""))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IF(DATOS!$A6782="",0,IF(CONFIG_METADATA!$B$4&lt;&gt;"OR+EX",--(DATOS!$G6782=CONFIG_METADATA!$B$4),IF(DATOS!$G6782="EX",1,IF(DATOS!$G6782="OR",--(COUNTIFS(nNIA,DATOS!$A6782,nCURSO,DATOS!$D6782,nESPEC,DATOS!$E6782,nASIG,DATOS!$I6782,nEVAL,"EX")=0),0))))</f>
      </c>
      <c r="H6782">
        <f>IF(DATOS!$G6782&lt;&gt;"EX",0,--(COUNTIFS(nNIA,DATOS!$A6782,nCURSO,DATOS!$D6782,nESPEC,DATOS!$E6782,nASIG,DATOS!$I6782,nEVAL,"OR")=0))</f>
      </c>
      <c r="I6782">
        <f>IF(DATOS!$I6782="","",IFERROR(VLOOKUP(DATOS!$I6782,CONFIG_ASIGNATURAS!$B$2:$J$91,9,FALSE()),""))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IF(DATOS!$A6783="",0,IF(CONFIG_METADATA!$B$4&lt;&gt;"OR+EX",--(DATOS!$G6783=CONFIG_METADATA!$B$4),IF(DATOS!$G6783="EX",1,IF(DATOS!$G6783="OR",--(COUNTIFS(nNIA,DATOS!$A6783,nCURSO,DATOS!$D6783,nESPEC,DATOS!$E6783,nASIG,DATOS!$I6783,nEVAL,"EX")=0),0))))</f>
      </c>
      <c r="H6783">
        <f>IF(DATOS!$G6783&lt;&gt;"EX",0,--(COUNTIFS(nNIA,DATOS!$A6783,nCURSO,DATOS!$D6783,nESPEC,DATOS!$E6783,nASIG,DATOS!$I6783,nEVAL,"OR")=0))</f>
      </c>
      <c r="I6783">
        <f>IF(DATOS!$I6783="","",IFERROR(VLOOKUP(DATOS!$I6783,CONFIG_ASIGNATURAS!$B$2:$J$91,9,FALSE()),""))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IF(DATOS!$A6784="",0,IF(CONFIG_METADATA!$B$4&lt;&gt;"OR+EX",--(DATOS!$G6784=CONFIG_METADATA!$B$4),IF(DATOS!$G6784="EX",1,IF(DATOS!$G6784="OR",--(COUNTIFS(nNIA,DATOS!$A6784,nCURSO,DATOS!$D6784,nESPEC,DATOS!$E6784,nASIG,DATOS!$I6784,nEVAL,"EX")=0),0))))</f>
      </c>
      <c r="H6784">
        <f>IF(DATOS!$G6784&lt;&gt;"EX",0,--(COUNTIFS(nNIA,DATOS!$A6784,nCURSO,DATOS!$D6784,nESPEC,DATOS!$E6784,nASIG,DATOS!$I6784,nEVAL,"OR")=0))</f>
      </c>
      <c r="I6784">
        <f>IF(DATOS!$I6784="","",IFERROR(VLOOKUP(DATOS!$I6784,CONFIG_ASIGNATURAS!$B$2:$J$91,9,FALSE()),""))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IF(DATOS!$A6785="",0,IF(CONFIG_METADATA!$B$4&lt;&gt;"OR+EX",--(DATOS!$G6785=CONFIG_METADATA!$B$4),IF(DATOS!$G6785="EX",1,IF(DATOS!$G6785="OR",--(COUNTIFS(nNIA,DATOS!$A6785,nCURSO,DATOS!$D6785,nESPEC,DATOS!$E6785,nASIG,DATOS!$I6785,nEVAL,"EX")=0),0))))</f>
      </c>
      <c r="H6785">
        <f>IF(DATOS!$G6785&lt;&gt;"EX",0,--(COUNTIFS(nNIA,DATOS!$A6785,nCURSO,DATOS!$D6785,nESPEC,DATOS!$E6785,nASIG,DATOS!$I6785,nEVAL,"OR")=0))</f>
      </c>
      <c r="I6785">
        <f>IF(DATOS!$I6785="","",IFERROR(VLOOKUP(DATOS!$I6785,CONFIG_ASIGNATURAS!$B$2:$J$91,9,FALSE()),""))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IF(DATOS!$A6786="",0,IF(CONFIG_METADATA!$B$4&lt;&gt;"OR+EX",--(DATOS!$G6786=CONFIG_METADATA!$B$4),IF(DATOS!$G6786="EX",1,IF(DATOS!$G6786="OR",--(COUNTIFS(nNIA,DATOS!$A6786,nCURSO,DATOS!$D6786,nESPEC,DATOS!$E6786,nASIG,DATOS!$I6786,nEVAL,"EX")=0),0))))</f>
      </c>
      <c r="H6786">
        <f>IF(DATOS!$G6786&lt;&gt;"EX",0,--(COUNTIFS(nNIA,DATOS!$A6786,nCURSO,DATOS!$D6786,nESPEC,DATOS!$E6786,nASIG,DATOS!$I6786,nEVAL,"OR")=0))</f>
      </c>
      <c r="I6786">
        <f>IF(DATOS!$I6786="","",IFERROR(VLOOKUP(DATOS!$I6786,CONFIG_ASIGNATURAS!$B$2:$J$91,9,FALSE()),""))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IF(DATOS!$A6787="",0,IF(CONFIG_METADATA!$B$4&lt;&gt;"OR+EX",--(DATOS!$G6787=CONFIG_METADATA!$B$4),IF(DATOS!$G6787="EX",1,IF(DATOS!$G6787="OR",--(COUNTIFS(nNIA,DATOS!$A6787,nCURSO,DATOS!$D6787,nESPEC,DATOS!$E6787,nASIG,DATOS!$I6787,nEVAL,"EX")=0),0))))</f>
      </c>
      <c r="H6787">
        <f>IF(DATOS!$G6787&lt;&gt;"EX",0,--(COUNTIFS(nNIA,DATOS!$A6787,nCURSO,DATOS!$D6787,nESPEC,DATOS!$E6787,nASIG,DATOS!$I6787,nEVAL,"OR")=0))</f>
      </c>
      <c r="I6787">
        <f>IF(DATOS!$I6787="","",IFERROR(VLOOKUP(DATOS!$I6787,CONFIG_ASIGNATURAS!$B$2:$J$91,9,FALSE()),""))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IF(DATOS!$A6788="",0,IF(CONFIG_METADATA!$B$4&lt;&gt;"OR+EX",--(DATOS!$G6788=CONFIG_METADATA!$B$4),IF(DATOS!$G6788="EX",1,IF(DATOS!$G6788="OR",--(COUNTIFS(nNIA,DATOS!$A6788,nCURSO,DATOS!$D6788,nESPEC,DATOS!$E6788,nASIG,DATOS!$I6788,nEVAL,"EX")=0),0))))</f>
      </c>
      <c r="H6788">
        <f>IF(DATOS!$G6788&lt;&gt;"EX",0,--(COUNTIFS(nNIA,DATOS!$A6788,nCURSO,DATOS!$D6788,nESPEC,DATOS!$E6788,nASIG,DATOS!$I6788,nEVAL,"OR")=0))</f>
      </c>
      <c r="I6788">
        <f>IF(DATOS!$I6788="","",IFERROR(VLOOKUP(DATOS!$I6788,CONFIG_ASIGNATURAS!$B$2:$J$91,9,FALSE()),""))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IF(DATOS!$A6789="",0,IF(CONFIG_METADATA!$B$4&lt;&gt;"OR+EX",--(DATOS!$G6789=CONFIG_METADATA!$B$4),IF(DATOS!$G6789="EX",1,IF(DATOS!$G6789="OR",--(COUNTIFS(nNIA,DATOS!$A6789,nCURSO,DATOS!$D6789,nESPEC,DATOS!$E6789,nASIG,DATOS!$I6789,nEVAL,"EX")=0),0))))</f>
      </c>
      <c r="H6789">
        <f>IF(DATOS!$G6789&lt;&gt;"EX",0,--(COUNTIFS(nNIA,DATOS!$A6789,nCURSO,DATOS!$D6789,nESPEC,DATOS!$E6789,nASIG,DATOS!$I6789,nEVAL,"OR")=0))</f>
      </c>
      <c r="I6789">
        <f>IF(DATOS!$I6789="","",IFERROR(VLOOKUP(DATOS!$I6789,CONFIG_ASIGNATURAS!$B$2:$J$91,9,FALSE()),""))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IF(DATOS!$A6790="",0,IF(CONFIG_METADATA!$B$4&lt;&gt;"OR+EX",--(DATOS!$G6790=CONFIG_METADATA!$B$4),IF(DATOS!$G6790="EX",1,IF(DATOS!$G6790="OR",--(COUNTIFS(nNIA,DATOS!$A6790,nCURSO,DATOS!$D6790,nESPEC,DATOS!$E6790,nASIG,DATOS!$I6790,nEVAL,"EX")=0),0))))</f>
      </c>
      <c r="H6790">
        <f>IF(DATOS!$G6790&lt;&gt;"EX",0,--(COUNTIFS(nNIA,DATOS!$A6790,nCURSO,DATOS!$D6790,nESPEC,DATOS!$E6790,nASIG,DATOS!$I6790,nEVAL,"OR")=0))</f>
      </c>
      <c r="I6790">
        <f>IF(DATOS!$I6790="","",IFERROR(VLOOKUP(DATOS!$I6790,CONFIG_ASIGNATURAS!$B$2:$J$91,9,FALSE()),""))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IF(DATOS!$A6791="",0,IF(CONFIG_METADATA!$B$4&lt;&gt;"OR+EX",--(DATOS!$G6791=CONFIG_METADATA!$B$4),IF(DATOS!$G6791="EX",1,IF(DATOS!$G6791="OR",--(COUNTIFS(nNIA,DATOS!$A6791,nCURSO,DATOS!$D6791,nESPEC,DATOS!$E6791,nASIG,DATOS!$I6791,nEVAL,"EX")=0),0))))</f>
      </c>
      <c r="H6791">
        <f>IF(DATOS!$G6791&lt;&gt;"EX",0,--(COUNTIFS(nNIA,DATOS!$A6791,nCURSO,DATOS!$D6791,nESPEC,DATOS!$E6791,nASIG,DATOS!$I6791,nEVAL,"OR")=0))</f>
      </c>
      <c r="I6791">
        <f>IF(DATOS!$I6791="","",IFERROR(VLOOKUP(DATOS!$I6791,CONFIG_ASIGNATURAS!$B$2:$J$91,9,FALSE()),""))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IF(DATOS!$A6792="",0,IF(CONFIG_METADATA!$B$4&lt;&gt;"OR+EX",--(DATOS!$G6792=CONFIG_METADATA!$B$4),IF(DATOS!$G6792="EX",1,IF(DATOS!$G6792="OR",--(COUNTIFS(nNIA,DATOS!$A6792,nCURSO,DATOS!$D6792,nESPEC,DATOS!$E6792,nASIG,DATOS!$I6792,nEVAL,"EX")=0),0))))</f>
      </c>
      <c r="H6792">
        <f>IF(DATOS!$G6792&lt;&gt;"EX",0,--(COUNTIFS(nNIA,DATOS!$A6792,nCURSO,DATOS!$D6792,nESPEC,DATOS!$E6792,nASIG,DATOS!$I6792,nEVAL,"OR")=0))</f>
      </c>
      <c r="I6792">
        <f>IF(DATOS!$I6792="","",IFERROR(VLOOKUP(DATOS!$I6792,CONFIG_ASIGNATURAS!$B$2:$J$91,9,FALSE()),""))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IF(DATOS!$A6793="",0,IF(CONFIG_METADATA!$B$4&lt;&gt;"OR+EX",--(DATOS!$G6793=CONFIG_METADATA!$B$4),IF(DATOS!$G6793="EX",1,IF(DATOS!$G6793="OR",--(COUNTIFS(nNIA,DATOS!$A6793,nCURSO,DATOS!$D6793,nESPEC,DATOS!$E6793,nASIG,DATOS!$I6793,nEVAL,"EX")=0),0))))</f>
      </c>
      <c r="H6793">
        <f>IF(DATOS!$G6793&lt;&gt;"EX",0,--(COUNTIFS(nNIA,DATOS!$A6793,nCURSO,DATOS!$D6793,nESPEC,DATOS!$E6793,nASIG,DATOS!$I6793,nEVAL,"OR")=0))</f>
      </c>
      <c r="I6793">
        <f>IF(DATOS!$I6793="","",IFERROR(VLOOKUP(DATOS!$I6793,CONFIG_ASIGNATURAS!$B$2:$J$91,9,FALSE()),""))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IF(DATOS!$A6794="",0,IF(CONFIG_METADATA!$B$4&lt;&gt;"OR+EX",--(DATOS!$G6794=CONFIG_METADATA!$B$4),IF(DATOS!$G6794="EX",1,IF(DATOS!$G6794="OR",--(COUNTIFS(nNIA,DATOS!$A6794,nCURSO,DATOS!$D6794,nESPEC,DATOS!$E6794,nASIG,DATOS!$I6794,nEVAL,"EX")=0),0))))</f>
      </c>
      <c r="H6794">
        <f>IF(DATOS!$G6794&lt;&gt;"EX",0,--(COUNTIFS(nNIA,DATOS!$A6794,nCURSO,DATOS!$D6794,nESPEC,DATOS!$E6794,nASIG,DATOS!$I6794,nEVAL,"OR")=0))</f>
      </c>
      <c r="I6794">
        <f>IF(DATOS!$I6794="","",IFERROR(VLOOKUP(DATOS!$I6794,CONFIG_ASIGNATURAS!$B$2:$J$91,9,FALSE()),""))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IF(DATOS!$A6795="",0,IF(CONFIG_METADATA!$B$4&lt;&gt;"OR+EX",--(DATOS!$G6795=CONFIG_METADATA!$B$4),IF(DATOS!$G6795="EX",1,IF(DATOS!$G6795="OR",--(COUNTIFS(nNIA,DATOS!$A6795,nCURSO,DATOS!$D6795,nESPEC,DATOS!$E6795,nASIG,DATOS!$I6795,nEVAL,"EX")=0),0))))</f>
      </c>
      <c r="H6795">
        <f>IF(DATOS!$G6795&lt;&gt;"EX",0,--(COUNTIFS(nNIA,DATOS!$A6795,nCURSO,DATOS!$D6795,nESPEC,DATOS!$E6795,nASIG,DATOS!$I6795,nEVAL,"OR")=0))</f>
      </c>
      <c r="I6795">
        <f>IF(DATOS!$I6795="","",IFERROR(VLOOKUP(DATOS!$I6795,CONFIG_ASIGNATURAS!$B$2:$J$91,9,FALSE()),""))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IF(DATOS!$A6796="",0,IF(CONFIG_METADATA!$B$4&lt;&gt;"OR+EX",--(DATOS!$G6796=CONFIG_METADATA!$B$4),IF(DATOS!$G6796="EX",1,IF(DATOS!$G6796="OR",--(COUNTIFS(nNIA,DATOS!$A6796,nCURSO,DATOS!$D6796,nESPEC,DATOS!$E6796,nASIG,DATOS!$I6796,nEVAL,"EX")=0),0))))</f>
      </c>
      <c r="H6796">
        <f>IF(DATOS!$G6796&lt;&gt;"EX",0,--(COUNTIFS(nNIA,DATOS!$A6796,nCURSO,DATOS!$D6796,nESPEC,DATOS!$E6796,nASIG,DATOS!$I6796,nEVAL,"OR")=0))</f>
      </c>
      <c r="I6796">
        <f>IF(DATOS!$I6796="","",IFERROR(VLOOKUP(DATOS!$I6796,CONFIG_ASIGNATURAS!$B$2:$J$91,9,FALSE()),""))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IF(DATOS!$A6797="",0,IF(CONFIG_METADATA!$B$4&lt;&gt;"OR+EX",--(DATOS!$G6797=CONFIG_METADATA!$B$4),IF(DATOS!$G6797="EX",1,IF(DATOS!$G6797="OR",--(COUNTIFS(nNIA,DATOS!$A6797,nCURSO,DATOS!$D6797,nESPEC,DATOS!$E6797,nASIG,DATOS!$I6797,nEVAL,"EX")=0),0))))</f>
      </c>
      <c r="H6797">
        <f>IF(DATOS!$G6797&lt;&gt;"EX",0,--(COUNTIFS(nNIA,DATOS!$A6797,nCURSO,DATOS!$D6797,nESPEC,DATOS!$E6797,nASIG,DATOS!$I6797,nEVAL,"OR")=0))</f>
      </c>
      <c r="I6797">
        <f>IF(DATOS!$I6797="","",IFERROR(VLOOKUP(DATOS!$I6797,CONFIG_ASIGNATURAS!$B$2:$J$91,9,FALSE()),""))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IF(DATOS!$A6798="",0,IF(CONFIG_METADATA!$B$4&lt;&gt;"OR+EX",--(DATOS!$G6798=CONFIG_METADATA!$B$4),IF(DATOS!$G6798="EX",1,IF(DATOS!$G6798="OR",--(COUNTIFS(nNIA,DATOS!$A6798,nCURSO,DATOS!$D6798,nESPEC,DATOS!$E6798,nASIG,DATOS!$I6798,nEVAL,"EX")=0),0))))</f>
      </c>
      <c r="H6798">
        <f>IF(DATOS!$G6798&lt;&gt;"EX",0,--(COUNTIFS(nNIA,DATOS!$A6798,nCURSO,DATOS!$D6798,nESPEC,DATOS!$E6798,nASIG,DATOS!$I6798,nEVAL,"OR")=0))</f>
      </c>
      <c r="I6798">
        <f>IF(DATOS!$I6798="","",IFERROR(VLOOKUP(DATOS!$I6798,CONFIG_ASIGNATURAS!$B$2:$J$91,9,FALSE()),""))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IF(DATOS!$A6799="",0,IF(CONFIG_METADATA!$B$4&lt;&gt;"OR+EX",--(DATOS!$G6799=CONFIG_METADATA!$B$4),IF(DATOS!$G6799="EX",1,IF(DATOS!$G6799="OR",--(COUNTIFS(nNIA,DATOS!$A6799,nCURSO,DATOS!$D6799,nESPEC,DATOS!$E6799,nASIG,DATOS!$I6799,nEVAL,"EX")=0),0))))</f>
      </c>
      <c r="H6799">
        <f>IF(DATOS!$G6799&lt;&gt;"EX",0,--(COUNTIFS(nNIA,DATOS!$A6799,nCURSO,DATOS!$D6799,nESPEC,DATOS!$E6799,nASIG,DATOS!$I6799,nEVAL,"OR")=0))</f>
      </c>
      <c r="I6799">
        <f>IF(DATOS!$I6799="","",IFERROR(VLOOKUP(DATOS!$I6799,CONFIG_ASIGNATURAS!$B$2:$J$91,9,FALSE()),""))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IF(DATOS!$A6800="",0,IF(CONFIG_METADATA!$B$4&lt;&gt;"OR+EX",--(DATOS!$G6800=CONFIG_METADATA!$B$4),IF(DATOS!$G6800="EX",1,IF(DATOS!$G6800="OR",--(COUNTIFS(nNIA,DATOS!$A6800,nCURSO,DATOS!$D6800,nESPEC,DATOS!$E6800,nASIG,DATOS!$I6800,nEVAL,"EX")=0),0))))</f>
      </c>
      <c r="H6800">
        <f>IF(DATOS!$G6800&lt;&gt;"EX",0,--(COUNTIFS(nNIA,DATOS!$A6800,nCURSO,DATOS!$D6800,nESPEC,DATOS!$E6800,nASIG,DATOS!$I6800,nEVAL,"OR")=0))</f>
      </c>
      <c r="I6800">
        <f>IF(DATOS!$I6800="","",IFERROR(VLOOKUP(DATOS!$I6800,CONFIG_ASIGNATURAS!$B$2:$J$91,9,FALSE()),""))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IF(DATOS!$A6801="",0,IF(CONFIG_METADATA!$B$4&lt;&gt;"OR+EX",--(DATOS!$G6801=CONFIG_METADATA!$B$4),IF(DATOS!$G6801="EX",1,IF(DATOS!$G6801="OR",--(COUNTIFS(nNIA,DATOS!$A6801,nCURSO,DATOS!$D6801,nESPEC,DATOS!$E6801,nASIG,DATOS!$I6801,nEVAL,"EX")=0),0))))</f>
      </c>
      <c r="H6801">
        <f>IF(DATOS!$G6801&lt;&gt;"EX",0,--(COUNTIFS(nNIA,DATOS!$A6801,nCURSO,DATOS!$D6801,nESPEC,DATOS!$E6801,nASIG,DATOS!$I6801,nEVAL,"OR")=0))</f>
      </c>
      <c r="I6801">
        <f>IF(DATOS!$I6801="","",IFERROR(VLOOKUP(DATOS!$I6801,CONFIG_ASIGNATURAS!$B$2:$J$91,9,FALSE()),""))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IF(DATOS!$A6802="",0,IF(CONFIG_METADATA!$B$4&lt;&gt;"OR+EX",--(DATOS!$G6802=CONFIG_METADATA!$B$4),IF(DATOS!$G6802="EX",1,IF(DATOS!$G6802="OR",--(COUNTIFS(nNIA,DATOS!$A6802,nCURSO,DATOS!$D6802,nESPEC,DATOS!$E6802,nASIG,DATOS!$I6802,nEVAL,"EX")=0),0))))</f>
      </c>
      <c r="H6802">
        <f>IF(DATOS!$G6802&lt;&gt;"EX",0,--(COUNTIFS(nNIA,DATOS!$A6802,nCURSO,DATOS!$D6802,nESPEC,DATOS!$E6802,nASIG,DATOS!$I6802,nEVAL,"OR")=0))</f>
      </c>
      <c r="I6802">
        <f>IF(DATOS!$I6802="","",IFERROR(VLOOKUP(DATOS!$I6802,CONFIG_ASIGNATURAS!$B$2:$J$91,9,FALSE()),""))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IF(DATOS!$A6803="",0,IF(CONFIG_METADATA!$B$4&lt;&gt;"OR+EX",--(DATOS!$G6803=CONFIG_METADATA!$B$4),IF(DATOS!$G6803="EX",1,IF(DATOS!$G6803="OR",--(COUNTIFS(nNIA,DATOS!$A6803,nCURSO,DATOS!$D6803,nESPEC,DATOS!$E6803,nASIG,DATOS!$I6803,nEVAL,"EX")=0),0))))</f>
      </c>
      <c r="H6803">
        <f>IF(DATOS!$G6803&lt;&gt;"EX",0,--(COUNTIFS(nNIA,DATOS!$A6803,nCURSO,DATOS!$D6803,nESPEC,DATOS!$E6803,nASIG,DATOS!$I6803,nEVAL,"OR")=0))</f>
      </c>
      <c r="I6803">
        <f>IF(DATOS!$I6803="","",IFERROR(VLOOKUP(DATOS!$I6803,CONFIG_ASIGNATURAS!$B$2:$J$91,9,FALSE()),""))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IF(DATOS!$A6804="",0,IF(CONFIG_METADATA!$B$4&lt;&gt;"OR+EX",--(DATOS!$G6804=CONFIG_METADATA!$B$4),IF(DATOS!$G6804="EX",1,IF(DATOS!$G6804="OR",--(COUNTIFS(nNIA,DATOS!$A6804,nCURSO,DATOS!$D6804,nESPEC,DATOS!$E6804,nASIG,DATOS!$I6804,nEVAL,"EX")=0),0))))</f>
      </c>
      <c r="H6804">
        <f>IF(DATOS!$G6804&lt;&gt;"EX",0,--(COUNTIFS(nNIA,DATOS!$A6804,nCURSO,DATOS!$D6804,nESPEC,DATOS!$E6804,nASIG,DATOS!$I6804,nEVAL,"OR")=0))</f>
      </c>
      <c r="I6804">
        <f>IF(DATOS!$I6804="","",IFERROR(VLOOKUP(DATOS!$I6804,CONFIG_ASIGNATURAS!$B$2:$J$91,9,FALSE()),""))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IF(DATOS!$A6805="",0,IF(CONFIG_METADATA!$B$4&lt;&gt;"OR+EX",--(DATOS!$G6805=CONFIG_METADATA!$B$4),IF(DATOS!$G6805="EX",1,IF(DATOS!$G6805="OR",--(COUNTIFS(nNIA,DATOS!$A6805,nCURSO,DATOS!$D6805,nESPEC,DATOS!$E6805,nASIG,DATOS!$I6805,nEVAL,"EX")=0),0))))</f>
      </c>
      <c r="H6805">
        <f>IF(DATOS!$G6805&lt;&gt;"EX",0,--(COUNTIFS(nNIA,DATOS!$A6805,nCURSO,DATOS!$D6805,nESPEC,DATOS!$E6805,nASIG,DATOS!$I6805,nEVAL,"OR")=0))</f>
      </c>
      <c r="I6805">
        <f>IF(DATOS!$I6805="","",IFERROR(VLOOKUP(DATOS!$I6805,CONFIG_ASIGNATURAS!$B$2:$J$91,9,FALSE()),""))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IF(DATOS!$A6806="",0,IF(CONFIG_METADATA!$B$4&lt;&gt;"OR+EX",--(DATOS!$G6806=CONFIG_METADATA!$B$4),IF(DATOS!$G6806="EX",1,IF(DATOS!$G6806="OR",--(COUNTIFS(nNIA,DATOS!$A6806,nCURSO,DATOS!$D6806,nESPEC,DATOS!$E6806,nASIG,DATOS!$I6806,nEVAL,"EX")=0),0))))</f>
      </c>
      <c r="H6806">
        <f>IF(DATOS!$G6806&lt;&gt;"EX",0,--(COUNTIFS(nNIA,DATOS!$A6806,nCURSO,DATOS!$D6806,nESPEC,DATOS!$E6806,nASIG,DATOS!$I6806,nEVAL,"OR")=0))</f>
      </c>
      <c r="I6806">
        <f>IF(DATOS!$I6806="","",IFERROR(VLOOKUP(DATOS!$I6806,CONFIG_ASIGNATURAS!$B$2:$J$91,9,FALSE()),""))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IF(DATOS!$A6807="",0,IF(CONFIG_METADATA!$B$4&lt;&gt;"OR+EX",--(DATOS!$G6807=CONFIG_METADATA!$B$4),IF(DATOS!$G6807="EX",1,IF(DATOS!$G6807="OR",--(COUNTIFS(nNIA,DATOS!$A6807,nCURSO,DATOS!$D6807,nESPEC,DATOS!$E6807,nASIG,DATOS!$I6807,nEVAL,"EX")=0),0))))</f>
      </c>
      <c r="H6807">
        <f>IF(DATOS!$G6807&lt;&gt;"EX",0,--(COUNTIFS(nNIA,DATOS!$A6807,nCURSO,DATOS!$D6807,nESPEC,DATOS!$E6807,nASIG,DATOS!$I6807,nEVAL,"OR")=0))</f>
      </c>
      <c r="I6807">
        <f>IF(DATOS!$I6807="","",IFERROR(VLOOKUP(DATOS!$I6807,CONFIG_ASIGNATURAS!$B$2:$J$91,9,FALSE()),""))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IF(DATOS!$A6808="",0,IF(CONFIG_METADATA!$B$4&lt;&gt;"OR+EX",--(DATOS!$G6808=CONFIG_METADATA!$B$4),IF(DATOS!$G6808="EX",1,IF(DATOS!$G6808="OR",--(COUNTIFS(nNIA,DATOS!$A6808,nCURSO,DATOS!$D6808,nESPEC,DATOS!$E6808,nASIG,DATOS!$I6808,nEVAL,"EX")=0),0))))</f>
      </c>
      <c r="H6808">
        <f>IF(DATOS!$G6808&lt;&gt;"EX",0,--(COUNTIFS(nNIA,DATOS!$A6808,nCURSO,DATOS!$D6808,nESPEC,DATOS!$E6808,nASIG,DATOS!$I6808,nEVAL,"OR")=0))</f>
      </c>
      <c r="I6808">
        <f>IF(DATOS!$I6808="","",IFERROR(VLOOKUP(DATOS!$I6808,CONFIG_ASIGNATURAS!$B$2:$J$91,9,FALSE()),""))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IF(DATOS!$A6809="",0,IF(CONFIG_METADATA!$B$4&lt;&gt;"OR+EX",--(DATOS!$G6809=CONFIG_METADATA!$B$4),IF(DATOS!$G6809="EX",1,IF(DATOS!$G6809="OR",--(COUNTIFS(nNIA,DATOS!$A6809,nCURSO,DATOS!$D6809,nESPEC,DATOS!$E6809,nASIG,DATOS!$I6809,nEVAL,"EX")=0),0))))</f>
      </c>
      <c r="H6809">
        <f>IF(DATOS!$G6809&lt;&gt;"EX",0,--(COUNTIFS(nNIA,DATOS!$A6809,nCURSO,DATOS!$D6809,nESPEC,DATOS!$E6809,nASIG,DATOS!$I6809,nEVAL,"OR")=0))</f>
      </c>
      <c r="I6809">
        <f>IF(DATOS!$I6809="","",IFERROR(VLOOKUP(DATOS!$I6809,CONFIG_ASIGNATURAS!$B$2:$J$91,9,FALSE()),""))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IF(DATOS!$A6810="",0,IF(CONFIG_METADATA!$B$4&lt;&gt;"OR+EX",--(DATOS!$G6810=CONFIG_METADATA!$B$4),IF(DATOS!$G6810="EX",1,IF(DATOS!$G6810="OR",--(COUNTIFS(nNIA,DATOS!$A6810,nCURSO,DATOS!$D6810,nESPEC,DATOS!$E6810,nASIG,DATOS!$I6810,nEVAL,"EX")=0),0))))</f>
      </c>
      <c r="H6810">
        <f>IF(DATOS!$G6810&lt;&gt;"EX",0,--(COUNTIFS(nNIA,DATOS!$A6810,nCURSO,DATOS!$D6810,nESPEC,DATOS!$E6810,nASIG,DATOS!$I6810,nEVAL,"OR")=0))</f>
      </c>
      <c r="I6810">
        <f>IF(DATOS!$I6810="","",IFERROR(VLOOKUP(DATOS!$I6810,CONFIG_ASIGNATURAS!$B$2:$J$91,9,FALSE()),""))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IF(DATOS!$A6811="",0,IF(CONFIG_METADATA!$B$4&lt;&gt;"OR+EX",--(DATOS!$G6811=CONFIG_METADATA!$B$4),IF(DATOS!$G6811="EX",1,IF(DATOS!$G6811="OR",--(COUNTIFS(nNIA,DATOS!$A6811,nCURSO,DATOS!$D6811,nESPEC,DATOS!$E6811,nASIG,DATOS!$I6811,nEVAL,"EX")=0),0))))</f>
      </c>
      <c r="H6811">
        <f>IF(DATOS!$G6811&lt;&gt;"EX",0,--(COUNTIFS(nNIA,DATOS!$A6811,nCURSO,DATOS!$D6811,nESPEC,DATOS!$E6811,nASIG,DATOS!$I6811,nEVAL,"OR")=0))</f>
      </c>
      <c r="I6811">
        <f>IF(DATOS!$I6811="","",IFERROR(VLOOKUP(DATOS!$I6811,CONFIG_ASIGNATURAS!$B$2:$J$91,9,FALSE()),""))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IF(DATOS!$A6812="",0,IF(CONFIG_METADATA!$B$4&lt;&gt;"OR+EX",--(DATOS!$G6812=CONFIG_METADATA!$B$4),IF(DATOS!$G6812="EX",1,IF(DATOS!$G6812="OR",--(COUNTIFS(nNIA,DATOS!$A6812,nCURSO,DATOS!$D6812,nESPEC,DATOS!$E6812,nASIG,DATOS!$I6812,nEVAL,"EX")=0),0))))</f>
      </c>
      <c r="H6812">
        <f>IF(DATOS!$G6812&lt;&gt;"EX",0,--(COUNTIFS(nNIA,DATOS!$A6812,nCURSO,DATOS!$D6812,nESPEC,DATOS!$E6812,nASIG,DATOS!$I6812,nEVAL,"OR")=0))</f>
      </c>
      <c r="I6812">
        <f>IF(DATOS!$I6812="","",IFERROR(VLOOKUP(DATOS!$I6812,CONFIG_ASIGNATURAS!$B$2:$J$91,9,FALSE()),""))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IF(DATOS!$A6813="",0,IF(CONFIG_METADATA!$B$4&lt;&gt;"OR+EX",--(DATOS!$G6813=CONFIG_METADATA!$B$4),IF(DATOS!$G6813="EX",1,IF(DATOS!$G6813="OR",--(COUNTIFS(nNIA,DATOS!$A6813,nCURSO,DATOS!$D6813,nESPEC,DATOS!$E6813,nASIG,DATOS!$I6813,nEVAL,"EX")=0),0))))</f>
      </c>
      <c r="H6813">
        <f>IF(DATOS!$G6813&lt;&gt;"EX",0,--(COUNTIFS(nNIA,DATOS!$A6813,nCURSO,DATOS!$D6813,nESPEC,DATOS!$E6813,nASIG,DATOS!$I6813,nEVAL,"OR")=0))</f>
      </c>
      <c r="I6813">
        <f>IF(DATOS!$I6813="","",IFERROR(VLOOKUP(DATOS!$I6813,CONFIG_ASIGNATURAS!$B$2:$J$91,9,FALSE()),""))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IF(DATOS!$A6814="",0,IF(CONFIG_METADATA!$B$4&lt;&gt;"OR+EX",--(DATOS!$G6814=CONFIG_METADATA!$B$4),IF(DATOS!$G6814="EX",1,IF(DATOS!$G6814="OR",--(COUNTIFS(nNIA,DATOS!$A6814,nCURSO,DATOS!$D6814,nESPEC,DATOS!$E6814,nASIG,DATOS!$I6814,nEVAL,"EX")=0),0))))</f>
      </c>
      <c r="H6814">
        <f>IF(DATOS!$G6814&lt;&gt;"EX",0,--(COUNTIFS(nNIA,DATOS!$A6814,nCURSO,DATOS!$D6814,nESPEC,DATOS!$E6814,nASIG,DATOS!$I6814,nEVAL,"OR")=0))</f>
      </c>
      <c r="I6814">
        <f>IF(DATOS!$I6814="","",IFERROR(VLOOKUP(DATOS!$I6814,CONFIG_ASIGNATURAS!$B$2:$J$91,9,FALSE()),""))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IF(DATOS!$A6815="",0,IF(CONFIG_METADATA!$B$4&lt;&gt;"OR+EX",--(DATOS!$G6815=CONFIG_METADATA!$B$4),IF(DATOS!$G6815="EX",1,IF(DATOS!$G6815="OR",--(COUNTIFS(nNIA,DATOS!$A6815,nCURSO,DATOS!$D6815,nESPEC,DATOS!$E6815,nASIG,DATOS!$I6815,nEVAL,"EX")=0),0))))</f>
      </c>
      <c r="H6815">
        <f>IF(DATOS!$G6815&lt;&gt;"EX",0,--(COUNTIFS(nNIA,DATOS!$A6815,nCURSO,DATOS!$D6815,nESPEC,DATOS!$E6815,nASIG,DATOS!$I6815,nEVAL,"OR")=0))</f>
      </c>
      <c r="I6815">
        <f>IF(DATOS!$I6815="","",IFERROR(VLOOKUP(DATOS!$I6815,CONFIG_ASIGNATURAS!$B$2:$J$91,9,FALSE()),""))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IF(DATOS!$A6816="",0,IF(CONFIG_METADATA!$B$4&lt;&gt;"OR+EX",--(DATOS!$G6816=CONFIG_METADATA!$B$4),IF(DATOS!$G6816="EX",1,IF(DATOS!$G6816="OR",--(COUNTIFS(nNIA,DATOS!$A6816,nCURSO,DATOS!$D6816,nESPEC,DATOS!$E6816,nASIG,DATOS!$I6816,nEVAL,"EX")=0),0))))</f>
      </c>
      <c r="H6816">
        <f>IF(DATOS!$G6816&lt;&gt;"EX",0,--(COUNTIFS(nNIA,DATOS!$A6816,nCURSO,DATOS!$D6816,nESPEC,DATOS!$E6816,nASIG,DATOS!$I6816,nEVAL,"OR")=0))</f>
      </c>
      <c r="I6816">
        <f>IF(DATOS!$I6816="","",IFERROR(VLOOKUP(DATOS!$I6816,CONFIG_ASIGNATURAS!$B$2:$J$91,9,FALSE()),""))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IF(DATOS!$A6817="",0,IF(CONFIG_METADATA!$B$4&lt;&gt;"OR+EX",--(DATOS!$G6817=CONFIG_METADATA!$B$4),IF(DATOS!$G6817="EX",1,IF(DATOS!$G6817="OR",--(COUNTIFS(nNIA,DATOS!$A6817,nCURSO,DATOS!$D6817,nESPEC,DATOS!$E6817,nASIG,DATOS!$I6817,nEVAL,"EX")=0),0))))</f>
      </c>
      <c r="H6817">
        <f>IF(DATOS!$G6817&lt;&gt;"EX",0,--(COUNTIFS(nNIA,DATOS!$A6817,nCURSO,DATOS!$D6817,nESPEC,DATOS!$E6817,nASIG,DATOS!$I6817,nEVAL,"OR")=0))</f>
      </c>
      <c r="I6817">
        <f>IF(DATOS!$I6817="","",IFERROR(VLOOKUP(DATOS!$I6817,CONFIG_ASIGNATURAS!$B$2:$J$91,9,FALSE()),""))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IF(DATOS!$A6818="",0,IF(CONFIG_METADATA!$B$4&lt;&gt;"OR+EX",--(DATOS!$G6818=CONFIG_METADATA!$B$4),IF(DATOS!$G6818="EX",1,IF(DATOS!$G6818="OR",--(COUNTIFS(nNIA,DATOS!$A6818,nCURSO,DATOS!$D6818,nESPEC,DATOS!$E6818,nASIG,DATOS!$I6818,nEVAL,"EX")=0),0))))</f>
      </c>
      <c r="H6818">
        <f>IF(DATOS!$G6818&lt;&gt;"EX",0,--(COUNTIFS(nNIA,DATOS!$A6818,nCURSO,DATOS!$D6818,nESPEC,DATOS!$E6818,nASIG,DATOS!$I6818,nEVAL,"OR")=0))</f>
      </c>
      <c r="I6818">
        <f>IF(DATOS!$I6818="","",IFERROR(VLOOKUP(DATOS!$I6818,CONFIG_ASIGNATURAS!$B$2:$J$91,9,FALSE()),""))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IF(DATOS!$A6819="",0,IF(CONFIG_METADATA!$B$4&lt;&gt;"OR+EX",--(DATOS!$G6819=CONFIG_METADATA!$B$4),IF(DATOS!$G6819="EX",1,IF(DATOS!$G6819="OR",--(COUNTIFS(nNIA,DATOS!$A6819,nCURSO,DATOS!$D6819,nESPEC,DATOS!$E6819,nASIG,DATOS!$I6819,nEVAL,"EX")=0),0))))</f>
      </c>
      <c r="H6819">
        <f>IF(DATOS!$G6819&lt;&gt;"EX",0,--(COUNTIFS(nNIA,DATOS!$A6819,nCURSO,DATOS!$D6819,nESPEC,DATOS!$E6819,nASIG,DATOS!$I6819,nEVAL,"OR")=0))</f>
      </c>
      <c r="I6819">
        <f>IF(DATOS!$I6819="","",IFERROR(VLOOKUP(DATOS!$I6819,CONFIG_ASIGNATURAS!$B$2:$J$91,9,FALSE()),""))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IF(DATOS!$A6820="",0,IF(CONFIG_METADATA!$B$4&lt;&gt;"OR+EX",--(DATOS!$G6820=CONFIG_METADATA!$B$4),IF(DATOS!$G6820="EX",1,IF(DATOS!$G6820="OR",--(COUNTIFS(nNIA,DATOS!$A6820,nCURSO,DATOS!$D6820,nESPEC,DATOS!$E6820,nASIG,DATOS!$I6820,nEVAL,"EX")=0),0))))</f>
      </c>
      <c r="H6820">
        <f>IF(DATOS!$G6820&lt;&gt;"EX",0,--(COUNTIFS(nNIA,DATOS!$A6820,nCURSO,DATOS!$D6820,nESPEC,DATOS!$E6820,nASIG,DATOS!$I6820,nEVAL,"OR")=0))</f>
      </c>
      <c r="I6820">
        <f>IF(DATOS!$I6820="","",IFERROR(VLOOKUP(DATOS!$I6820,CONFIG_ASIGNATURAS!$B$2:$J$91,9,FALSE()),""))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IF(DATOS!$A6821="",0,IF(CONFIG_METADATA!$B$4&lt;&gt;"OR+EX",--(DATOS!$G6821=CONFIG_METADATA!$B$4),IF(DATOS!$G6821="EX",1,IF(DATOS!$G6821="OR",--(COUNTIFS(nNIA,DATOS!$A6821,nCURSO,DATOS!$D6821,nESPEC,DATOS!$E6821,nASIG,DATOS!$I6821,nEVAL,"EX")=0),0))))</f>
      </c>
      <c r="H6821">
        <f>IF(DATOS!$G6821&lt;&gt;"EX",0,--(COUNTIFS(nNIA,DATOS!$A6821,nCURSO,DATOS!$D6821,nESPEC,DATOS!$E6821,nASIG,DATOS!$I6821,nEVAL,"OR")=0))</f>
      </c>
      <c r="I6821">
        <f>IF(DATOS!$I6821="","",IFERROR(VLOOKUP(DATOS!$I6821,CONFIG_ASIGNATURAS!$B$2:$J$91,9,FALSE()),""))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IF(DATOS!$A6822="",0,IF(CONFIG_METADATA!$B$4&lt;&gt;"OR+EX",--(DATOS!$G6822=CONFIG_METADATA!$B$4),IF(DATOS!$G6822="EX",1,IF(DATOS!$G6822="OR",--(COUNTIFS(nNIA,DATOS!$A6822,nCURSO,DATOS!$D6822,nESPEC,DATOS!$E6822,nASIG,DATOS!$I6822,nEVAL,"EX")=0),0))))</f>
      </c>
      <c r="H6822">
        <f>IF(DATOS!$G6822&lt;&gt;"EX",0,--(COUNTIFS(nNIA,DATOS!$A6822,nCURSO,DATOS!$D6822,nESPEC,DATOS!$E6822,nASIG,DATOS!$I6822,nEVAL,"OR")=0))</f>
      </c>
      <c r="I6822">
        <f>IF(DATOS!$I6822="","",IFERROR(VLOOKUP(DATOS!$I6822,CONFIG_ASIGNATURAS!$B$2:$J$91,9,FALSE()),""))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IF(DATOS!$A6823="",0,IF(CONFIG_METADATA!$B$4&lt;&gt;"OR+EX",--(DATOS!$G6823=CONFIG_METADATA!$B$4),IF(DATOS!$G6823="EX",1,IF(DATOS!$G6823="OR",--(COUNTIFS(nNIA,DATOS!$A6823,nCURSO,DATOS!$D6823,nESPEC,DATOS!$E6823,nASIG,DATOS!$I6823,nEVAL,"EX")=0),0))))</f>
      </c>
      <c r="H6823">
        <f>IF(DATOS!$G6823&lt;&gt;"EX",0,--(COUNTIFS(nNIA,DATOS!$A6823,nCURSO,DATOS!$D6823,nESPEC,DATOS!$E6823,nASIG,DATOS!$I6823,nEVAL,"OR")=0))</f>
      </c>
      <c r="I6823">
        <f>IF(DATOS!$I6823="","",IFERROR(VLOOKUP(DATOS!$I6823,CONFIG_ASIGNATURAS!$B$2:$J$91,9,FALSE()),""))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IF(DATOS!$A6824="",0,IF(CONFIG_METADATA!$B$4&lt;&gt;"OR+EX",--(DATOS!$G6824=CONFIG_METADATA!$B$4),IF(DATOS!$G6824="EX",1,IF(DATOS!$G6824="OR",--(COUNTIFS(nNIA,DATOS!$A6824,nCURSO,DATOS!$D6824,nESPEC,DATOS!$E6824,nASIG,DATOS!$I6824,nEVAL,"EX")=0),0))))</f>
      </c>
      <c r="H6824">
        <f>IF(DATOS!$G6824&lt;&gt;"EX",0,--(COUNTIFS(nNIA,DATOS!$A6824,nCURSO,DATOS!$D6824,nESPEC,DATOS!$E6824,nASIG,DATOS!$I6824,nEVAL,"OR")=0))</f>
      </c>
      <c r="I6824">
        <f>IF(DATOS!$I6824="","",IFERROR(VLOOKUP(DATOS!$I6824,CONFIG_ASIGNATURAS!$B$2:$J$91,9,FALSE()),""))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IF(DATOS!$A6825="",0,IF(CONFIG_METADATA!$B$4&lt;&gt;"OR+EX",--(DATOS!$G6825=CONFIG_METADATA!$B$4),IF(DATOS!$G6825="EX",1,IF(DATOS!$G6825="OR",--(COUNTIFS(nNIA,DATOS!$A6825,nCURSO,DATOS!$D6825,nESPEC,DATOS!$E6825,nASIG,DATOS!$I6825,nEVAL,"EX")=0),0))))</f>
      </c>
      <c r="H6825">
        <f>IF(DATOS!$G6825&lt;&gt;"EX",0,--(COUNTIFS(nNIA,DATOS!$A6825,nCURSO,DATOS!$D6825,nESPEC,DATOS!$E6825,nASIG,DATOS!$I6825,nEVAL,"OR")=0))</f>
      </c>
      <c r="I6825">
        <f>IF(DATOS!$I6825="","",IFERROR(VLOOKUP(DATOS!$I6825,CONFIG_ASIGNATURAS!$B$2:$J$91,9,FALSE()),""))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IF(DATOS!$A6826="",0,IF(CONFIG_METADATA!$B$4&lt;&gt;"OR+EX",--(DATOS!$G6826=CONFIG_METADATA!$B$4),IF(DATOS!$G6826="EX",1,IF(DATOS!$G6826="OR",--(COUNTIFS(nNIA,DATOS!$A6826,nCURSO,DATOS!$D6826,nESPEC,DATOS!$E6826,nASIG,DATOS!$I6826,nEVAL,"EX")=0),0))))</f>
      </c>
      <c r="H6826">
        <f>IF(DATOS!$G6826&lt;&gt;"EX",0,--(COUNTIFS(nNIA,DATOS!$A6826,nCURSO,DATOS!$D6826,nESPEC,DATOS!$E6826,nASIG,DATOS!$I6826,nEVAL,"OR")=0))</f>
      </c>
      <c r="I6826">
        <f>IF(DATOS!$I6826="","",IFERROR(VLOOKUP(DATOS!$I6826,CONFIG_ASIGNATURAS!$B$2:$J$91,9,FALSE()),""))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IF(DATOS!$A6827="",0,IF(CONFIG_METADATA!$B$4&lt;&gt;"OR+EX",--(DATOS!$G6827=CONFIG_METADATA!$B$4),IF(DATOS!$G6827="EX",1,IF(DATOS!$G6827="OR",--(COUNTIFS(nNIA,DATOS!$A6827,nCURSO,DATOS!$D6827,nESPEC,DATOS!$E6827,nASIG,DATOS!$I6827,nEVAL,"EX")=0),0))))</f>
      </c>
      <c r="H6827">
        <f>IF(DATOS!$G6827&lt;&gt;"EX",0,--(COUNTIFS(nNIA,DATOS!$A6827,nCURSO,DATOS!$D6827,nESPEC,DATOS!$E6827,nASIG,DATOS!$I6827,nEVAL,"OR")=0))</f>
      </c>
      <c r="I6827">
        <f>IF(DATOS!$I6827="","",IFERROR(VLOOKUP(DATOS!$I6827,CONFIG_ASIGNATURAS!$B$2:$J$91,9,FALSE()),""))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IF(DATOS!$A6828="",0,IF(CONFIG_METADATA!$B$4&lt;&gt;"OR+EX",--(DATOS!$G6828=CONFIG_METADATA!$B$4),IF(DATOS!$G6828="EX",1,IF(DATOS!$G6828="OR",--(COUNTIFS(nNIA,DATOS!$A6828,nCURSO,DATOS!$D6828,nESPEC,DATOS!$E6828,nASIG,DATOS!$I6828,nEVAL,"EX")=0),0))))</f>
      </c>
      <c r="H6828">
        <f>IF(DATOS!$G6828&lt;&gt;"EX",0,--(COUNTIFS(nNIA,DATOS!$A6828,nCURSO,DATOS!$D6828,nESPEC,DATOS!$E6828,nASIG,DATOS!$I6828,nEVAL,"OR")=0))</f>
      </c>
      <c r="I6828">
        <f>IF(DATOS!$I6828="","",IFERROR(VLOOKUP(DATOS!$I6828,CONFIG_ASIGNATURAS!$B$2:$J$91,9,FALSE()),""))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IF(DATOS!$A6829="",0,IF(CONFIG_METADATA!$B$4&lt;&gt;"OR+EX",--(DATOS!$G6829=CONFIG_METADATA!$B$4),IF(DATOS!$G6829="EX",1,IF(DATOS!$G6829="OR",--(COUNTIFS(nNIA,DATOS!$A6829,nCURSO,DATOS!$D6829,nESPEC,DATOS!$E6829,nASIG,DATOS!$I6829,nEVAL,"EX")=0),0))))</f>
      </c>
      <c r="H6829">
        <f>IF(DATOS!$G6829&lt;&gt;"EX",0,--(COUNTIFS(nNIA,DATOS!$A6829,nCURSO,DATOS!$D6829,nESPEC,DATOS!$E6829,nASIG,DATOS!$I6829,nEVAL,"OR")=0))</f>
      </c>
      <c r="I6829">
        <f>IF(DATOS!$I6829="","",IFERROR(VLOOKUP(DATOS!$I6829,CONFIG_ASIGNATURAS!$B$2:$J$91,9,FALSE()),""))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IF(DATOS!$A6830="",0,IF(CONFIG_METADATA!$B$4&lt;&gt;"OR+EX",--(DATOS!$G6830=CONFIG_METADATA!$B$4),IF(DATOS!$G6830="EX",1,IF(DATOS!$G6830="OR",--(COUNTIFS(nNIA,DATOS!$A6830,nCURSO,DATOS!$D6830,nESPEC,DATOS!$E6830,nASIG,DATOS!$I6830,nEVAL,"EX")=0),0))))</f>
      </c>
      <c r="H6830">
        <f>IF(DATOS!$G6830&lt;&gt;"EX",0,--(COUNTIFS(nNIA,DATOS!$A6830,nCURSO,DATOS!$D6830,nESPEC,DATOS!$E6830,nASIG,DATOS!$I6830,nEVAL,"OR")=0))</f>
      </c>
      <c r="I6830">
        <f>IF(DATOS!$I6830="","",IFERROR(VLOOKUP(DATOS!$I6830,CONFIG_ASIGNATURAS!$B$2:$J$91,9,FALSE()),""))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IF(DATOS!$A6831="",0,IF(CONFIG_METADATA!$B$4&lt;&gt;"OR+EX",--(DATOS!$G6831=CONFIG_METADATA!$B$4),IF(DATOS!$G6831="EX",1,IF(DATOS!$G6831="OR",--(COUNTIFS(nNIA,DATOS!$A6831,nCURSO,DATOS!$D6831,nESPEC,DATOS!$E6831,nASIG,DATOS!$I6831,nEVAL,"EX")=0),0))))</f>
      </c>
      <c r="H6831">
        <f>IF(DATOS!$G6831&lt;&gt;"EX",0,--(COUNTIFS(nNIA,DATOS!$A6831,nCURSO,DATOS!$D6831,nESPEC,DATOS!$E6831,nASIG,DATOS!$I6831,nEVAL,"OR")=0))</f>
      </c>
      <c r="I6831">
        <f>IF(DATOS!$I6831="","",IFERROR(VLOOKUP(DATOS!$I6831,CONFIG_ASIGNATURAS!$B$2:$J$91,9,FALSE()),""))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IF(DATOS!$A6832="",0,IF(CONFIG_METADATA!$B$4&lt;&gt;"OR+EX",--(DATOS!$G6832=CONFIG_METADATA!$B$4),IF(DATOS!$G6832="EX",1,IF(DATOS!$G6832="OR",--(COUNTIFS(nNIA,DATOS!$A6832,nCURSO,DATOS!$D6832,nESPEC,DATOS!$E6832,nASIG,DATOS!$I6832,nEVAL,"EX")=0),0))))</f>
      </c>
      <c r="H6832">
        <f>IF(DATOS!$G6832&lt;&gt;"EX",0,--(COUNTIFS(nNIA,DATOS!$A6832,nCURSO,DATOS!$D6832,nESPEC,DATOS!$E6832,nASIG,DATOS!$I6832,nEVAL,"OR")=0))</f>
      </c>
      <c r="I6832">
        <f>IF(DATOS!$I6832="","",IFERROR(VLOOKUP(DATOS!$I6832,CONFIG_ASIGNATURAS!$B$2:$J$91,9,FALSE()),""))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IF(DATOS!$A6833="",0,IF(CONFIG_METADATA!$B$4&lt;&gt;"OR+EX",--(DATOS!$G6833=CONFIG_METADATA!$B$4),IF(DATOS!$G6833="EX",1,IF(DATOS!$G6833="OR",--(COUNTIFS(nNIA,DATOS!$A6833,nCURSO,DATOS!$D6833,nESPEC,DATOS!$E6833,nASIG,DATOS!$I6833,nEVAL,"EX")=0),0))))</f>
      </c>
      <c r="H6833">
        <f>IF(DATOS!$G6833&lt;&gt;"EX",0,--(COUNTIFS(nNIA,DATOS!$A6833,nCURSO,DATOS!$D6833,nESPEC,DATOS!$E6833,nASIG,DATOS!$I6833,nEVAL,"OR")=0))</f>
      </c>
      <c r="I6833">
        <f>IF(DATOS!$I6833="","",IFERROR(VLOOKUP(DATOS!$I6833,CONFIG_ASIGNATURAS!$B$2:$J$91,9,FALSE()),""))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IF(DATOS!$A6834="",0,IF(CONFIG_METADATA!$B$4&lt;&gt;"OR+EX",--(DATOS!$G6834=CONFIG_METADATA!$B$4),IF(DATOS!$G6834="EX",1,IF(DATOS!$G6834="OR",--(COUNTIFS(nNIA,DATOS!$A6834,nCURSO,DATOS!$D6834,nESPEC,DATOS!$E6834,nASIG,DATOS!$I6834,nEVAL,"EX")=0),0))))</f>
      </c>
      <c r="H6834">
        <f>IF(DATOS!$G6834&lt;&gt;"EX",0,--(COUNTIFS(nNIA,DATOS!$A6834,nCURSO,DATOS!$D6834,nESPEC,DATOS!$E6834,nASIG,DATOS!$I6834,nEVAL,"OR")=0))</f>
      </c>
      <c r="I6834">
        <f>IF(DATOS!$I6834="","",IFERROR(VLOOKUP(DATOS!$I6834,CONFIG_ASIGNATURAS!$B$2:$J$91,9,FALSE()),""))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IF(DATOS!$A6835="",0,IF(CONFIG_METADATA!$B$4&lt;&gt;"OR+EX",--(DATOS!$G6835=CONFIG_METADATA!$B$4),IF(DATOS!$G6835="EX",1,IF(DATOS!$G6835="OR",--(COUNTIFS(nNIA,DATOS!$A6835,nCURSO,DATOS!$D6835,nESPEC,DATOS!$E6835,nASIG,DATOS!$I6835,nEVAL,"EX")=0),0))))</f>
      </c>
      <c r="H6835">
        <f>IF(DATOS!$G6835&lt;&gt;"EX",0,--(COUNTIFS(nNIA,DATOS!$A6835,nCURSO,DATOS!$D6835,nESPEC,DATOS!$E6835,nASIG,DATOS!$I6835,nEVAL,"OR")=0))</f>
      </c>
      <c r="I6835">
        <f>IF(DATOS!$I6835="","",IFERROR(VLOOKUP(DATOS!$I6835,CONFIG_ASIGNATURAS!$B$2:$J$91,9,FALSE()),""))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IF(DATOS!$A6836="",0,IF(CONFIG_METADATA!$B$4&lt;&gt;"OR+EX",--(DATOS!$G6836=CONFIG_METADATA!$B$4),IF(DATOS!$G6836="EX",1,IF(DATOS!$G6836="OR",--(COUNTIFS(nNIA,DATOS!$A6836,nCURSO,DATOS!$D6836,nESPEC,DATOS!$E6836,nASIG,DATOS!$I6836,nEVAL,"EX")=0),0))))</f>
      </c>
      <c r="H6836">
        <f>IF(DATOS!$G6836&lt;&gt;"EX",0,--(COUNTIFS(nNIA,DATOS!$A6836,nCURSO,DATOS!$D6836,nESPEC,DATOS!$E6836,nASIG,DATOS!$I6836,nEVAL,"OR")=0))</f>
      </c>
      <c r="I6836">
        <f>IF(DATOS!$I6836="","",IFERROR(VLOOKUP(DATOS!$I6836,CONFIG_ASIGNATURAS!$B$2:$J$91,9,FALSE()),""))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IF(DATOS!$A6837="",0,IF(CONFIG_METADATA!$B$4&lt;&gt;"OR+EX",--(DATOS!$G6837=CONFIG_METADATA!$B$4),IF(DATOS!$G6837="EX",1,IF(DATOS!$G6837="OR",--(COUNTIFS(nNIA,DATOS!$A6837,nCURSO,DATOS!$D6837,nESPEC,DATOS!$E6837,nASIG,DATOS!$I6837,nEVAL,"EX")=0),0))))</f>
      </c>
      <c r="H6837">
        <f>IF(DATOS!$G6837&lt;&gt;"EX",0,--(COUNTIFS(nNIA,DATOS!$A6837,nCURSO,DATOS!$D6837,nESPEC,DATOS!$E6837,nASIG,DATOS!$I6837,nEVAL,"OR")=0))</f>
      </c>
      <c r="I6837">
        <f>IF(DATOS!$I6837="","",IFERROR(VLOOKUP(DATOS!$I6837,CONFIG_ASIGNATURAS!$B$2:$J$91,9,FALSE()),""))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IF(DATOS!$A6838="",0,IF(CONFIG_METADATA!$B$4&lt;&gt;"OR+EX",--(DATOS!$G6838=CONFIG_METADATA!$B$4),IF(DATOS!$G6838="EX",1,IF(DATOS!$G6838="OR",--(COUNTIFS(nNIA,DATOS!$A6838,nCURSO,DATOS!$D6838,nESPEC,DATOS!$E6838,nASIG,DATOS!$I6838,nEVAL,"EX")=0),0))))</f>
      </c>
      <c r="H6838">
        <f>IF(DATOS!$G6838&lt;&gt;"EX",0,--(COUNTIFS(nNIA,DATOS!$A6838,nCURSO,DATOS!$D6838,nESPEC,DATOS!$E6838,nASIG,DATOS!$I6838,nEVAL,"OR")=0))</f>
      </c>
      <c r="I6838">
        <f>IF(DATOS!$I6838="","",IFERROR(VLOOKUP(DATOS!$I6838,CONFIG_ASIGNATURAS!$B$2:$J$91,9,FALSE()),""))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IF(DATOS!$A6839="",0,IF(CONFIG_METADATA!$B$4&lt;&gt;"OR+EX",--(DATOS!$G6839=CONFIG_METADATA!$B$4),IF(DATOS!$G6839="EX",1,IF(DATOS!$G6839="OR",--(COUNTIFS(nNIA,DATOS!$A6839,nCURSO,DATOS!$D6839,nESPEC,DATOS!$E6839,nASIG,DATOS!$I6839,nEVAL,"EX")=0),0))))</f>
      </c>
      <c r="H6839">
        <f>IF(DATOS!$G6839&lt;&gt;"EX",0,--(COUNTIFS(nNIA,DATOS!$A6839,nCURSO,DATOS!$D6839,nESPEC,DATOS!$E6839,nASIG,DATOS!$I6839,nEVAL,"OR")=0))</f>
      </c>
      <c r="I6839">
        <f>IF(DATOS!$I6839="","",IFERROR(VLOOKUP(DATOS!$I6839,CONFIG_ASIGNATURAS!$B$2:$J$91,9,FALSE()),""))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IF(DATOS!$A6840="",0,IF(CONFIG_METADATA!$B$4&lt;&gt;"OR+EX",--(DATOS!$G6840=CONFIG_METADATA!$B$4),IF(DATOS!$G6840="EX",1,IF(DATOS!$G6840="OR",--(COUNTIFS(nNIA,DATOS!$A6840,nCURSO,DATOS!$D6840,nESPEC,DATOS!$E6840,nASIG,DATOS!$I6840,nEVAL,"EX")=0),0))))</f>
      </c>
      <c r="H6840">
        <f>IF(DATOS!$G6840&lt;&gt;"EX",0,--(COUNTIFS(nNIA,DATOS!$A6840,nCURSO,DATOS!$D6840,nESPEC,DATOS!$E6840,nASIG,DATOS!$I6840,nEVAL,"OR")=0))</f>
      </c>
      <c r="I6840">
        <f>IF(DATOS!$I6840="","",IFERROR(VLOOKUP(DATOS!$I6840,CONFIG_ASIGNATURAS!$B$2:$J$91,9,FALSE()),""))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IF(DATOS!$A6841="",0,IF(CONFIG_METADATA!$B$4&lt;&gt;"OR+EX",--(DATOS!$G6841=CONFIG_METADATA!$B$4),IF(DATOS!$G6841="EX",1,IF(DATOS!$G6841="OR",--(COUNTIFS(nNIA,DATOS!$A6841,nCURSO,DATOS!$D6841,nESPEC,DATOS!$E6841,nASIG,DATOS!$I6841,nEVAL,"EX")=0),0))))</f>
      </c>
      <c r="H6841">
        <f>IF(DATOS!$G6841&lt;&gt;"EX",0,--(COUNTIFS(nNIA,DATOS!$A6841,nCURSO,DATOS!$D6841,nESPEC,DATOS!$E6841,nASIG,DATOS!$I6841,nEVAL,"OR")=0))</f>
      </c>
      <c r="I6841">
        <f>IF(DATOS!$I6841="","",IFERROR(VLOOKUP(DATOS!$I6841,CONFIG_ASIGNATURAS!$B$2:$J$91,9,FALSE()),""))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IF(DATOS!$A6842="",0,IF(CONFIG_METADATA!$B$4&lt;&gt;"OR+EX",--(DATOS!$G6842=CONFIG_METADATA!$B$4),IF(DATOS!$G6842="EX",1,IF(DATOS!$G6842="OR",--(COUNTIFS(nNIA,DATOS!$A6842,nCURSO,DATOS!$D6842,nESPEC,DATOS!$E6842,nASIG,DATOS!$I6842,nEVAL,"EX")=0),0))))</f>
      </c>
      <c r="H6842">
        <f>IF(DATOS!$G6842&lt;&gt;"EX",0,--(COUNTIFS(nNIA,DATOS!$A6842,nCURSO,DATOS!$D6842,nESPEC,DATOS!$E6842,nASIG,DATOS!$I6842,nEVAL,"OR")=0))</f>
      </c>
      <c r="I6842">
        <f>IF(DATOS!$I6842="","",IFERROR(VLOOKUP(DATOS!$I6842,CONFIG_ASIGNATURAS!$B$2:$J$91,9,FALSE()),""))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IF(DATOS!$A6843="",0,IF(CONFIG_METADATA!$B$4&lt;&gt;"OR+EX",--(DATOS!$G6843=CONFIG_METADATA!$B$4),IF(DATOS!$G6843="EX",1,IF(DATOS!$G6843="OR",--(COUNTIFS(nNIA,DATOS!$A6843,nCURSO,DATOS!$D6843,nESPEC,DATOS!$E6843,nASIG,DATOS!$I6843,nEVAL,"EX")=0),0))))</f>
      </c>
      <c r="H6843">
        <f>IF(DATOS!$G6843&lt;&gt;"EX",0,--(COUNTIFS(nNIA,DATOS!$A6843,nCURSO,DATOS!$D6843,nESPEC,DATOS!$E6843,nASIG,DATOS!$I6843,nEVAL,"OR")=0))</f>
      </c>
      <c r="I6843">
        <f>IF(DATOS!$I6843="","",IFERROR(VLOOKUP(DATOS!$I6843,CONFIG_ASIGNATURAS!$B$2:$J$91,9,FALSE()),""))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IF(DATOS!$A6844="",0,IF(CONFIG_METADATA!$B$4&lt;&gt;"OR+EX",--(DATOS!$G6844=CONFIG_METADATA!$B$4),IF(DATOS!$G6844="EX",1,IF(DATOS!$G6844="OR",--(COUNTIFS(nNIA,DATOS!$A6844,nCURSO,DATOS!$D6844,nESPEC,DATOS!$E6844,nASIG,DATOS!$I6844,nEVAL,"EX")=0),0))))</f>
      </c>
      <c r="H6844">
        <f>IF(DATOS!$G6844&lt;&gt;"EX",0,--(COUNTIFS(nNIA,DATOS!$A6844,nCURSO,DATOS!$D6844,nESPEC,DATOS!$E6844,nASIG,DATOS!$I6844,nEVAL,"OR")=0))</f>
      </c>
      <c r="I6844">
        <f>IF(DATOS!$I6844="","",IFERROR(VLOOKUP(DATOS!$I6844,CONFIG_ASIGNATURAS!$B$2:$J$91,9,FALSE()),""))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IF(DATOS!$A6845="",0,IF(CONFIG_METADATA!$B$4&lt;&gt;"OR+EX",--(DATOS!$G6845=CONFIG_METADATA!$B$4),IF(DATOS!$G6845="EX",1,IF(DATOS!$G6845="OR",--(COUNTIFS(nNIA,DATOS!$A6845,nCURSO,DATOS!$D6845,nESPEC,DATOS!$E6845,nASIG,DATOS!$I6845,nEVAL,"EX")=0),0))))</f>
      </c>
      <c r="H6845">
        <f>IF(DATOS!$G6845&lt;&gt;"EX",0,--(COUNTIFS(nNIA,DATOS!$A6845,nCURSO,DATOS!$D6845,nESPEC,DATOS!$E6845,nASIG,DATOS!$I6845,nEVAL,"OR")=0))</f>
      </c>
      <c r="I6845">
        <f>IF(DATOS!$I6845="","",IFERROR(VLOOKUP(DATOS!$I6845,CONFIG_ASIGNATURAS!$B$2:$J$91,9,FALSE()),""))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IF(DATOS!$A6846="",0,IF(CONFIG_METADATA!$B$4&lt;&gt;"OR+EX",--(DATOS!$G6846=CONFIG_METADATA!$B$4),IF(DATOS!$G6846="EX",1,IF(DATOS!$G6846="OR",--(COUNTIFS(nNIA,DATOS!$A6846,nCURSO,DATOS!$D6846,nESPEC,DATOS!$E6846,nASIG,DATOS!$I6846,nEVAL,"EX")=0),0))))</f>
      </c>
      <c r="H6846">
        <f>IF(DATOS!$G6846&lt;&gt;"EX",0,--(COUNTIFS(nNIA,DATOS!$A6846,nCURSO,DATOS!$D6846,nESPEC,DATOS!$E6846,nASIG,DATOS!$I6846,nEVAL,"OR")=0))</f>
      </c>
      <c r="I6846">
        <f>IF(DATOS!$I6846="","",IFERROR(VLOOKUP(DATOS!$I6846,CONFIG_ASIGNATURAS!$B$2:$J$91,9,FALSE()),""))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IF(DATOS!$A6847="",0,IF(CONFIG_METADATA!$B$4&lt;&gt;"OR+EX",--(DATOS!$G6847=CONFIG_METADATA!$B$4),IF(DATOS!$G6847="EX",1,IF(DATOS!$G6847="OR",--(COUNTIFS(nNIA,DATOS!$A6847,nCURSO,DATOS!$D6847,nESPEC,DATOS!$E6847,nASIG,DATOS!$I6847,nEVAL,"EX")=0),0))))</f>
      </c>
      <c r="H6847">
        <f>IF(DATOS!$G6847&lt;&gt;"EX",0,--(COUNTIFS(nNIA,DATOS!$A6847,nCURSO,DATOS!$D6847,nESPEC,DATOS!$E6847,nASIG,DATOS!$I6847,nEVAL,"OR")=0))</f>
      </c>
      <c r="I6847">
        <f>IF(DATOS!$I6847="","",IFERROR(VLOOKUP(DATOS!$I6847,CONFIG_ASIGNATURAS!$B$2:$J$91,9,FALSE()),""))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IF(DATOS!$A6848="",0,IF(CONFIG_METADATA!$B$4&lt;&gt;"OR+EX",--(DATOS!$G6848=CONFIG_METADATA!$B$4),IF(DATOS!$G6848="EX",1,IF(DATOS!$G6848="OR",--(COUNTIFS(nNIA,DATOS!$A6848,nCURSO,DATOS!$D6848,nESPEC,DATOS!$E6848,nASIG,DATOS!$I6848,nEVAL,"EX")=0),0))))</f>
      </c>
      <c r="H6848">
        <f>IF(DATOS!$G6848&lt;&gt;"EX",0,--(COUNTIFS(nNIA,DATOS!$A6848,nCURSO,DATOS!$D6848,nESPEC,DATOS!$E6848,nASIG,DATOS!$I6848,nEVAL,"OR")=0))</f>
      </c>
      <c r="I6848">
        <f>IF(DATOS!$I6848="","",IFERROR(VLOOKUP(DATOS!$I6848,CONFIG_ASIGNATURAS!$B$2:$J$91,9,FALSE()),""))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IF(DATOS!$A6849="",0,IF(CONFIG_METADATA!$B$4&lt;&gt;"OR+EX",--(DATOS!$G6849=CONFIG_METADATA!$B$4),IF(DATOS!$G6849="EX",1,IF(DATOS!$G6849="OR",--(COUNTIFS(nNIA,DATOS!$A6849,nCURSO,DATOS!$D6849,nESPEC,DATOS!$E6849,nASIG,DATOS!$I6849,nEVAL,"EX")=0),0))))</f>
      </c>
      <c r="H6849">
        <f>IF(DATOS!$G6849&lt;&gt;"EX",0,--(COUNTIFS(nNIA,DATOS!$A6849,nCURSO,DATOS!$D6849,nESPEC,DATOS!$E6849,nASIG,DATOS!$I6849,nEVAL,"OR")=0))</f>
      </c>
      <c r="I6849">
        <f>IF(DATOS!$I6849="","",IFERROR(VLOOKUP(DATOS!$I6849,CONFIG_ASIGNATURAS!$B$2:$J$91,9,FALSE()),""))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IF(DATOS!$A6850="",0,IF(CONFIG_METADATA!$B$4&lt;&gt;"OR+EX",--(DATOS!$G6850=CONFIG_METADATA!$B$4),IF(DATOS!$G6850="EX",1,IF(DATOS!$G6850="OR",--(COUNTIFS(nNIA,DATOS!$A6850,nCURSO,DATOS!$D6850,nESPEC,DATOS!$E6850,nASIG,DATOS!$I6850,nEVAL,"EX")=0),0))))</f>
      </c>
      <c r="H6850">
        <f>IF(DATOS!$G6850&lt;&gt;"EX",0,--(COUNTIFS(nNIA,DATOS!$A6850,nCURSO,DATOS!$D6850,nESPEC,DATOS!$E6850,nASIG,DATOS!$I6850,nEVAL,"OR")=0))</f>
      </c>
      <c r="I6850">
        <f>IF(DATOS!$I6850="","",IFERROR(VLOOKUP(DATOS!$I6850,CONFIG_ASIGNATURAS!$B$2:$J$91,9,FALSE()),""))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IF(DATOS!$A6851="",0,IF(CONFIG_METADATA!$B$4&lt;&gt;"OR+EX",--(DATOS!$G6851=CONFIG_METADATA!$B$4),IF(DATOS!$G6851="EX",1,IF(DATOS!$G6851="OR",--(COUNTIFS(nNIA,DATOS!$A6851,nCURSO,DATOS!$D6851,nESPEC,DATOS!$E6851,nASIG,DATOS!$I6851,nEVAL,"EX")=0),0))))</f>
      </c>
      <c r="H6851">
        <f>IF(DATOS!$G6851&lt;&gt;"EX",0,--(COUNTIFS(nNIA,DATOS!$A6851,nCURSO,DATOS!$D6851,nESPEC,DATOS!$E6851,nASIG,DATOS!$I6851,nEVAL,"OR")=0))</f>
      </c>
      <c r="I6851">
        <f>IF(DATOS!$I6851="","",IFERROR(VLOOKUP(DATOS!$I6851,CONFIG_ASIGNATURAS!$B$2:$J$91,9,FALSE()),""))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IF(DATOS!$A6852="",0,IF(CONFIG_METADATA!$B$4&lt;&gt;"OR+EX",--(DATOS!$G6852=CONFIG_METADATA!$B$4),IF(DATOS!$G6852="EX",1,IF(DATOS!$G6852="OR",--(COUNTIFS(nNIA,DATOS!$A6852,nCURSO,DATOS!$D6852,nESPEC,DATOS!$E6852,nASIG,DATOS!$I6852,nEVAL,"EX")=0),0))))</f>
      </c>
      <c r="H6852">
        <f>IF(DATOS!$G6852&lt;&gt;"EX",0,--(COUNTIFS(nNIA,DATOS!$A6852,nCURSO,DATOS!$D6852,nESPEC,DATOS!$E6852,nASIG,DATOS!$I6852,nEVAL,"OR")=0))</f>
      </c>
      <c r="I6852">
        <f>IF(DATOS!$I6852="","",IFERROR(VLOOKUP(DATOS!$I6852,CONFIG_ASIGNATURAS!$B$2:$J$91,9,FALSE()),""))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IF(DATOS!$A6853="",0,IF(CONFIG_METADATA!$B$4&lt;&gt;"OR+EX",--(DATOS!$G6853=CONFIG_METADATA!$B$4),IF(DATOS!$G6853="EX",1,IF(DATOS!$G6853="OR",--(COUNTIFS(nNIA,DATOS!$A6853,nCURSO,DATOS!$D6853,nESPEC,DATOS!$E6853,nASIG,DATOS!$I6853,nEVAL,"EX")=0),0))))</f>
      </c>
      <c r="H6853">
        <f>IF(DATOS!$G6853&lt;&gt;"EX",0,--(COUNTIFS(nNIA,DATOS!$A6853,nCURSO,DATOS!$D6853,nESPEC,DATOS!$E6853,nASIG,DATOS!$I6853,nEVAL,"OR")=0))</f>
      </c>
      <c r="I6853">
        <f>IF(DATOS!$I6853="","",IFERROR(VLOOKUP(DATOS!$I6853,CONFIG_ASIGNATURAS!$B$2:$J$91,9,FALSE()),""))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IF(DATOS!$A6854="",0,IF(CONFIG_METADATA!$B$4&lt;&gt;"OR+EX",--(DATOS!$G6854=CONFIG_METADATA!$B$4),IF(DATOS!$G6854="EX",1,IF(DATOS!$G6854="OR",--(COUNTIFS(nNIA,DATOS!$A6854,nCURSO,DATOS!$D6854,nESPEC,DATOS!$E6854,nASIG,DATOS!$I6854,nEVAL,"EX")=0),0))))</f>
      </c>
      <c r="H6854">
        <f>IF(DATOS!$G6854&lt;&gt;"EX",0,--(COUNTIFS(nNIA,DATOS!$A6854,nCURSO,DATOS!$D6854,nESPEC,DATOS!$E6854,nASIG,DATOS!$I6854,nEVAL,"OR")=0))</f>
      </c>
      <c r="I6854">
        <f>IF(DATOS!$I6854="","",IFERROR(VLOOKUP(DATOS!$I6854,CONFIG_ASIGNATURAS!$B$2:$J$91,9,FALSE()),""))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IF(DATOS!$A6855="",0,IF(CONFIG_METADATA!$B$4&lt;&gt;"OR+EX",--(DATOS!$G6855=CONFIG_METADATA!$B$4),IF(DATOS!$G6855="EX",1,IF(DATOS!$G6855="OR",--(COUNTIFS(nNIA,DATOS!$A6855,nCURSO,DATOS!$D6855,nESPEC,DATOS!$E6855,nASIG,DATOS!$I6855,nEVAL,"EX")=0),0))))</f>
      </c>
      <c r="H6855">
        <f>IF(DATOS!$G6855&lt;&gt;"EX",0,--(COUNTIFS(nNIA,DATOS!$A6855,nCURSO,DATOS!$D6855,nESPEC,DATOS!$E6855,nASIG,DATOS!$I6855,nEVAL,"OR")=0))</f>
      </c>
      <c r="I6855">
        <f>IF(DATOS!$I6855="","",IFERROR(VLOOKUP(DATOS!$I6855,CONFIG_ASIGNATURAS!$B$2:$J$91,9,FALSE()),""))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IF(DATOS!$A6856="",0,IF(CONFIG_METADATA!$B$4&lt;&gt;"OR+EX",--(DATOS!$G6856=CONFIG_METADATA!$B$4),IF(DATOS!$G6856="EX",1,IF(DATOS!$G6856="OR",--(COUNTIFS(nNIA,DATOS!$A6856,nCURSO,DATOS!$D6856,nESPEC,DATOS!$E6856,nASIG,DATOS!$I6856,nEVAL,"EX")=0),0))))</f>
      </c>
      <c r="H6856">
        <f>IF(DATOS!$G6856&lt;&gt;"EX",0,--(COUNTIFS(nNIA,DATOS!$A6856,nCURSO,DATOS!$D6856,nESPEC,DATOS!$E6856,nASIG,DATOS!$I6856,nEVAL,"OR")=0))</f>
      </c>
      <c r="I6856">
        <f>IF(DATOS!$I6856="","",IFERROR(VLOOKUP(DATOS!$I6856,CONFIG_ASIGNATURAS!$B$2:$J$91,9,FALSE()),""))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IF(DATOS!$A6857="",0,IF(CONFIG_METADATA!$B$4&lt;&gt;"OR+EX",--(DATOS!$G6857=CONFIG_METADATA!$B$4),IF(DATOS!$G6857="EX",1,IF(DATOS!$G6857="OR",--(COUNTIFS(nNIA,DATOS!$A6857,nCURSO,DATOS!$D6857,nESPEC,DATOS!$E6857,nASIG,DATOS!$I6857,nEVAL,"EX")=0),0))))</f>
      </c>
      <c r="H6857">
        <f>IF(DATOS!$G6857&lt;&gt;"EX",0,--(COUNTIFS(nNIA,DATOS!$A6857,nCURSO,DATOS!$D6857,nESPEC,DATOS!$E6857,nASIG,DATOS!$I6857,nEVAL,"OR")=0))</f>
      </c>
      <c r="I6857">
        <f>IF(DATOS!$I6857="","",IFERROR(VLOOKUP(DATOS!$I6857,CONFIG_ASIGNATURAS!$B$2:$J$91,9,FALSE()),""))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IF(DATOS!$A6858="",0,IF(CONFIG_METADATA!$B$4&lt;&gt;"OR+EX",--(DATOS!$G6858=CONFIG_METADATA!$B$4),IF(DATOS!$G6858="EX",1,IF(DATOS!$G6858="OR",--(COUNTIFS(nNIA,DATOS!$A6858,nCURSO,DATOS!$D6858,nESPEC,DATOS!$E6858,nASIG,DATOS!$I6858,nEVAL,"EX")=0),0))))</f>
      </c>
      <c r="H6858">
        <f>IF(DATOS!$G6858&lt;&gt;"EX",0,--(COUNTIFS(nNIA,DATOS!$A6858,nCURSO,DATOS!$D6858,nESPEC,DATOS!$E6858,nASIG,DATOS!$I6858,nEVAL,"OR")=0))</f>
      </c>
      <c r="I6858">
        <f>IF(DATOS!$I6858="","",IFERROR(VLOOKUP(DATOS!$I6858,CONFIG_ASIGNATURAS!$B$2:$J$91,9,FALSE()),""))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IF(DATOS!$A6859="",0,IF(CONFIG_METADATA!$B$4&lt;&gt;"OR+EX",--(DATOS!$G6859=CONFIG_METADATA!$B$4),IF(DATOS!$G6859="EX",1,IF(DATOS!$G6859="OR",--(COUNTIFS(nNIA,DATOS!$A6859,nCURSO,DATOS!$D6859,nESPEC,DATOS!$E6859,nASIG,DATOS!$I6859,nEVAL,"EX")=0),0))))</f>
      </c>
      <c r="H6859">
        <f>IF(DATOS!$G6859&lt;&gt;"EX",0,--(COUNTIFS(nNIA,DATOS!$A6859,nCURSO,DATOS!$D6859,nESPEC,DATOS!$E6859,nASIG,DATOS!$I6859,nEVAL,"OR")=0))</f>
      </c>
      <c r="I6859">
        <f>IF(DATOS!$I6859="","",IFERROR(VLOOKUP(DATOS!$I6859,CONFIG_ASIGNATURAS!$B$2:$J$91,9,FALSE()),""))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IF(DATOS!$A6860="",0,IF(CONFIG_METADATA!$B$4&lt;&gt;"OR+EX",--(DATOS!$G6860=CONFIG_METADATA!$B$4),IF(DATOS!$G6860="EX",1,IF(DATOS!$G6860="OR",--(COUNTIFS(nNIA,DATOS!$A6860,nCURSO,DATOS!$D6860,nESPEC,DATOS!$E6860,nASIG,DATOS!$I6860,nEVAL,"EX")=0),0))))</f>
      </c>
      <c r="H6860">
        <f>IF(DATOS!$G6860&lt;&gt;"EX",0,--(COUNTIFS(nNIA,DATOS!$A6860,nCURSO,DATOS!$D6860,nESPEC,DATOS!$E6860,nASIG,DATOS!$I6860,nEVAL,"OR")=0))</f>
      </c>
      <c r="I6860">
        <f>IF(DATOS!$I6860="","",IFERROR(VLOOKUP(DATOS!$I6860,CONFIG_ASIGNATURAS!$B$2:$J$91,9,FALSE()),""))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IF(DATOS!$A6861="",0,IF(CONFIG_METADATA!$B$4&lt;&gt;"OR+EX",--(DATOS!$G6861=CONFIG_METADATA!$B$4),IF(DATOS!$G6861="EX",1,IF(DATOS!$G6861="OR",--(COUNTIFS(nNIA,DATOS!$A6861,nCURSO,DATOS!$D6861,nESPEC,DATOS!$E6861,nASIG,DATOS!$I6861,nEVAL,"EX")=0),0))))</f>
      </c>
      <c r="H6861">
        <f>IF(DATOS!$G6861&lt;&gt;"EX",0,--(COUNTIFS(nNIA,DATOS!$A6861,nCURSO,DATOS!$D6861,nESPEC,DATOS!$E6861,nASIG,DATOS!$I6861,nEVAL,"OR")=0))</f>
      </c>
      <c r="I6861">
        <f>IF(DATOS!$I6861="","",IFERROR(VLOOKUP(DATOS!$I6861,CONFIG_ASIGNATURAS!$B$2:$J$91,9,FALSE()),""))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IF(DATOS!$A6862="",0,IF(CONFIG_METADATA!$B$4&lt;&gt;"OR+EX",--(DATOS!$G6862=CONFIG_METADATA!$B$4),IF(DATOS!$G6862="EX",1,IF(DATOS!$G6862="OR",--(COUNTIFS(nNIA,DATOS!$A6862,nCURSO,DATOS!$D6862,nESPEC,DATOS!$E6862,nASIG,DATOS!$I6862,nEVAL,"EX")=0),0))))</f>
      </c>
      <c r="H6862">
        <f>IF(DATOS!$G6862&lt;&gt;"EX",0,--(COUNTIFS(nNIA,DATOS!$A6862,nCURSO,DATOS!$D6862,nESPEC,DATOS!$E6862,nASIG,DATOS!$I6862,nEVAL,"OR")=0))</f>
      </c>
      <c r="I6862">
        <f>IF(DATOS!$I6862="","",IFERROR(VLOOKUP(DATOS!$I6862,CONFIG_ASIGNATURAS!$B$2:$J$91,9,FALSE()),""))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IF(DATOS!$A6863="",0,IF(CONFIG_METADATA!$B$4&lt;&gt;"OR+EX",--(DATOS!$G6863=CONFIG_METADATA!$B$4),IF(DATOS!$G6863="EX",1,IF(DATOS!$G6863="OR",--(COUNTIFS(nNIA,DATOS!$A6863,nCURSO,DATOS!$D6863,nESPEC,DATOS!$E6863,nASIG,DATOS!$I6863,nEVAL,"EX")=0),0))))</f>
      </c>
      <c r="H6863">
        <f>IF(DATOS!$G6863&lt;&gt;"EX",0,--(COUNTIFS(nNIA,DATOS!$A6863,nCURSO,DATOS!$D6863,nESPEC,DATOS!$E6863,nASIG,DATOS!$I6863,nEVAL,"OR")=0))</f>
      </c>
      <c r="I6863">
        <f>IF(DATOS!$I6863="","",IFERROR(VLOOKUP(DATOS!$I6863,CONFIG_ASIGNATURAS!$B$2:$J$91,9,FALSE()),""))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IF(DATOS!$A6864="",0,IF(CONFIG_METADATA!$B$4&lt;&gt;"OR+EX",--(DATOS!$G6864=CONFIG_METADATA!$B$4),IF(DATOS!$G6864="EX",1,IF(DATOS!$G6864="OR",--(COUNTIFS(nNIA,DATOS!$A6864,nCURSO,DATOS!$D6864,nESPEC,DATOS!$E6864,nASIG,DATOS!$I6864,nEVAL,"EX")=0),0))))</f>
      </c>
      <c r="H6864">
        <f>IF(DATOS!$G6864&lt;&gt;"EX",0,--(COUNTIFS(nNIA,DATOS!$A6864,nCURSO,DATOS!$D6864,nESPEC,DATOS!$E6864,nASIG,DATOS!$I6864,nEVAL,"OR")=0))</f>
      </c>
      <c r="I6864">
        <f>IF(DATOS!$I6864="","",IFERROR(VLOOKUP(DATOS!$I6864,CONFIG_ASIGNATURAS!$B$2:$J$91,9,FALSE()),""))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IF(DATOS!$A6865="",0,IF(CONFIG_METADATA!$B$4&lt;&gt;"OR+EX",--(DATOS!$G6865=CONFIG_METADATA!$B$4),IF(DATOS!$G6865="EX",1,IF(DATOS!$G6865="OR",--(COUNTIFS(nNIA,DATOS!$A6865,nCURSO,DATOS!$D6865,nESPEC,DATOS!$E6865,nASIG,DATOS!$I6865,nEVAL,"EX")=0),0))))</f>
      </c>
      <c r="H6865">
        <f>IF(DATOS!$G6865&lt;&gt;"EX",0,--(COUNTIFS(nNIA,DATOS!$A6865,nCURSO,DATOS!$D6865,nESPEC,DATOS!$E6865,nASIG,DATOS!$I6865,nEVAL,"OR")=0))</f>
      </c>
      <c r="I6865">
        <f>IF(DATOS!$I6865="","",IFERROR(VLOOKUP(DATOS!$I6865,CONFIG_ASIGNATURAS!$B$2:$J$91,9,FALSE()),""))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IF(DATOS!$A6866="",0,IF(CONFIG_METADATA!$B$4&lt;&gt;"OR+EX",--(DATOS!$G6866=CONFIG_METADATA!$B$4),IF(DATOS!$G6866="EX",1,IF(DATOS!$G6866="OR",--(COUNTIFS(nNIA,DATOS!$A6866,nCURSO,DATOS!$D6866,nESPEC,DATOS!$E6866,nASIG,DATOS!$I6866,nEVAL,"EX")=0),0))))</f>
      </c>
      <c r="H6866">
        <f>IF(DATOS!$G6866&lt;&gt;"EX",0,--(COUNTIFS(nNIA,DATOS!$A6866,nCURSO,DATOS!$D6866,nESPEC,DATOS!$E6866,nASIG,DATOS!$I6866,nEVAL,"OR")=0))</f>
      </c>
      <c r="I6866">
        <f>IF(DATOS!$I6866="","",IFERROR(VLOOKUP(DATOS!$I6866,CONFIG_ASIGNATURAS!$B$2:$J$91,9,FALSE()),""))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IF(DATOS!$A6867="",0,IF(CONFIG_METADATA!$B$4&lt;&gt;"OR+EX",--(DATOS!$G6867=CONFIG_METADATA!$B$4),IF(DATOS!$G6867="EX",1,IF(DATOS!$G6867="OR",--(COUNTIFS(nNIA,DATOS!$A6867,nCURSO,DATOS!$D6867,nESPEC,DATOS!$E6867,nASIG,DATOS!$I6867,nEVAL,"EX")=0),0))))</f>
      </c>
      <c r="H6867">
        <f>IF(DATOS!$G6867&lt;&gt;"EX",0,--(COUNTIFS(nNIA,DATOS!$A6867,nCURSO,DATOS!$D6867,nESPEC,DATOS!$E6867,nASIG,DATOS!$I6867,nEVAL,"OR")=0))</f>
      </c>
      <c r="I6867">
        <f>IF(DATOS!$I6867="","",IFERROR(VLOOKUP(DATOS!$I6867,CONFIG_ASIGNATURAS!$B$2:$J$91,9,FALSE()),""))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IF(DATOS!$A6868="",0,IF(CONFIG_METADATA!$B$4&lt;&gt;"OR+EX",--(DATOS!$G6868=CONFIG_METADATA!$B$4),IF(DATOS!$G6868="EX",1,IF(DATOS!$G6868="OR",--(COUNTIFS(nNIA,DATOS!$A6868,nCURSO,DATOS!$D6868,nESPEC,DATOS!$E6868,nASIG,DATOS!$I6868,nEVAL,"EX")=0),0))))</f>
      </c>
      <c r="H6868">
        <f>IF(DATOS!$G6868&lt;&gt;"EX",0,--(COUNTIFS(nNIA,DATOS!$A6868,nCURSO,DATOS!$D6868,nESPEC,DATOS!$E6868,nASIG,DATOS!$I6868,nEVAL,"OR")=0))</f>
      </c>
      <c r="I6868">
        <f>IF(DATOS!$I6868="","",IFERROR(VLOOKUP(DATOS!$I6868,CONFIG_ASIGNATURAS!$B$2:$J$91,9,FALSE()),""))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IF(DATOS!$A6869="",0,IF(CONFIG_METADATA!$B$4&lt;&gt;"OR+EX",--(DATOS!$G6869=CONFIG_METADATA!$B$4),IF(DATOS!$G6869="EX",1,IF(DATOS!$G6869="OR",--(COUNTIFS(nNIA,DATOS!$A6869,nCURSO,DATOS!$D6869,nESPEC,DATOS!$E6869,nASIG,DATOS!$I6869,nEVAL,"EX")=0),0))))</f>
      </c>
      <c r="H6869">
        <f>IF(DATOS!$G6869&lt;&gt;"EX",0,--(COUNTIFS(nNIA,DATOS!$A6869,nCURSO,DATOS!$D6869,nESPEC,DATOS!$E6869,nASIG,DATOS!$I6869,nEVAL,"OR")=0))</f>
      </c>
      <c r="I6869">
        <f>IF(DATOS!$I6869="","",IFERROR(VLOOKUP(DATOS!$I6869,CONFIG_ASIGNATURAS!$B$2:$J$91,9,FALSE()),""))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IF(DATOS!$A6870="",0,IF(CONFIG_METADATA!$B$4&lt;&gt;"OR+EX",--(DATOS!$G6870=CONFIG_METADATA!$B$4),IF(DATOS!$G6870="EX",1,IF(DATOS!$G6870="OR",--(COUNTIFS(nNIA,DATOS!$A6870,nCURSO,DATOS!$D6870,nESPEC,DATOS!$E6870,nASIG,DATOS!$I6870,nEVAL,"EX")=0),0))))</f>
      </c>
      <c r="H6870">
        <f>IF(DATOS!$G6870&lt;&gt;"EX",0,--(COUNTIFS(nNIA,DATOS!$A6870,nCURSO,DATOS!$D6870,nESPEC,DATOS!$E6870,nASIG,DATOS!$I6870,nEVAL,"OR")=0))</f>
      </c>
      <c r="I6870">
        <f>IF(DATOS!$I6870="","",IFERROR(VLOOKUP(DATOS!$I6870,CONFIG_ASIGNATURAS!$B$2:$J$91,9,FALSE()),""))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IF(DATOS!$A6871="",0,IF(CONFIG_METADATA!$B$4&lt;&gt;"OR+EX",--(DATOS!$G6871=CONFIG_METADATA!$B$4),IF(DATOS!$G6871="EX",1,IF(DATOS!$G6871="OR",--(COUNTIFS(nNIA,DATOS!$A6871,nCURSO,DATOS!$D6871,nESPEC,DATOS!$E6871,nASIG,DATOS!$I6871,nEVAL,"EX")=0),0))))</f>
      </c>
      <c r="H6871">
        <f>IF(DATOS!$G6871&lt;&gt;"EX",0,--(COUNTIFS(nNIA,DATOS!$A6871,nCURSO,DATOS!$D6871,nESPEC,DATOS!$E6871,nASIG,DATOS!$I6871,nEVAL,"OR")=0))</f>
      </c>
      <c r="I6871">
        <f>IF(DATOS!$I6871="","",IFERROR(VLOOKUP(DATOS!$I6871,CONFIG_ASIGNATURAS!$B$2:$J$91,9,FALSE()),""))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IF(DATOS!$A6872="",0,IF(CONFIG_METADATA!$B$4&lt;&gt;"OR+EX",--(DATOS!$G6872=CONFIG_METADATA!$B$4),IF(DATOS!$G6872="EX",1,IF(DATOS!$G6872="OR",--(COUNTIFS(nNIA,DATOS!$A6872,nCURSO,DATOS!$D6872,nESPEC,DATOS!$E6872,nASIG,DATOS!$I6872,nEVAL,"EX")=0),0))))</f>
      </c>
      <c r="H6872">
        <f>IF(DATOS!$G6872&lt;&gt;"EX",0,--(COUNTIFS(nNIA,DATOS!$A6872,nCURSO,DATOS!$D6872,nESPEC,DATOS!$E6872,nASIG,DATOS!$I6872,nEVAL,"OR")=0))</f>
      </c>
      <c r="I6872">
        <f>IF(DATOS!$I6872="","",IFERROR(VLOOKUP(DATOS!$I6872,CONFIG_ASIGNATURAS!$B$2:$J$91,9,FALSE()),""))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IF(DATOS!$A6873="",0,IF(CONFIG_METADATA!$B$4&lt;&gt;"OR+EX",--(DATOS!$G6873=CONFIG_METADATA!$B$4),IF(DATOS!$G6873="EX",1,IF(DATOS!$G6873="OR",--(COUNTIFS(nNIA,DATOS!$A6873,nCURSO,DATOS!$D6873,nESPEC,DATOS!$E6873,nASIG,DATOS!$I6873,nEVAL,"EX")=0),0))))</f>
      </c>
      <c r="H6873">
        <f>IF(DATOS!$G6873&lt;&gt;"EX",0,--(COUNTIFS(nNIA,DATOS!$A6873,nCURSO,DATOS!$D6873,nESPEC,DATOS!$E6873,nASIG,DATOS!$I6873,nEVAL,"OR")=0))</f>
      </c>
      <c r="I6873">
        <f>IF(DATOS!$I6873="","",IFERROR(VLOOKUP(DATOS!$I6873,CONFIG_ASIGNATURAS!$B$2:$J$91,9,FALSE()),""))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IF(DATOS!$A6874="",0,IF(CONFIG_METADATA!$B$4&lt;&gt;"OR+EX",--(DATOS!$G6874=CONFIG_METADATA!$B$4),IF(DATOS!$G6874="EX",1,IF(DATOS!$G6874="OR",--(COUNTIFS(nNIA,DATOS!$A6874,nCURSO,DATOS!$D6874,nESPEC,DATOS!$E6874,nASIG,DATOS!$I6874,nEVAL,"EX")=0),0))))</f>
      </c>
      <c r="H6874">
        <f>IF(DATOS!$G6874&lt;&gt;"EX",0,--(COUNTIFS(nNIA,DATOS!$A6874,nCURSO,DATOS!$D6874,nESPEC,DATOS!$E6874,nASIG,DATOS!$I6874,nEVAL,"OR")=0))</f>
      </c>
      <c r="I6874">
        <f>IF(DATOS!$I6874="","",IFERROR(VLOOKUP(DATOS!$I6874,CONFIG_ASIGNATURAS!$B$2:$J$91,9,FALSE()),""))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IF(DATOS!$A6875="",0,IF(CONFIG_METADATA!$B$4&lt;&gt;"OR+EX",--(DATOS!$G6875=CONFIG_METADATA!$B$4),IF(DATOS!$G6875="EX",1,IF(DATOS!$G6875="OR",--(COUNTIFS(nNIA,DATOS!$A6875,nCURSO,DATOS!$D6875,nESPEC,DATOS!$E6875,nASIG,DATOS!$I6875,nEVAL,"EX")=0),0))))</f>
      </c>
      <c r="H6875">
        <f>IF(DATOS!$G6875&lt;&gt;"EX",0,--(COUNTIFS(nNIA,DATOS!$A6875,nCURSO,DATOS!$D6875,nESPEC,DATOS!$E6875,nASIG,DATOS!$I6875,nEVAL,"OR")=0))</f>
      </c>
      <c r="I6875">
        <f>IF(DATOS!$I6875="","",IFERROR(VLOOKUP(DATOS!$I6875,CONFIG_ASIGNATURAS!$B$2:$J$91,9,FALSE()),""))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IF(DATOS!$A6876="",0,IF(CONFIG_METADATA!$B$4&lt;&gt;"OR+EX",--(DATOS!$G6876=CONFIG_METADATA!$B$4),IF(DATOS!$G6876="EX",1,IF(DATOS!$G6876="OR",--(COUNTIFS(nNIA,DATOS!$A6876,nCURSO,DATOS!$D6876,nESPEC,DATOS!$E6876,nASIG,DATOS!$I6876,nEVAL,"EX")=0),0))))</f>
      </c>
      <c r="H6876">
        <f>IF(DATOS!$G6876&lt;&gt;"EX",0,--(COUNTIFS(nNIA,DATOS!$A6876,nCURSO,DATOS!$D6876,nESPEC,DATOS!$E6876,nASIG,DATOS!$I6876,nEVAL,"OR")=0))</f>
      </c>
      <c r="I6876">
        <f>IF(DATOS!$I6876="","",IFERROR(VLOOKUP(DATOS!$I6876,CONFIG_ASIGNATURAS!$B$2:$J$91,9,FALSE()),""))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IF(DATOS!$A6877="",0,IF(CONFIG_METADATA!$B$4&lt;&gt;"OR+EX",--(DATOS!$G6877=CONFIG_METADATA!$B$4),IF(DATOS!$G6877="EX",1,IF(DATOS!$G6877="OR",--(COUNTIFS(nNIA,DATOS!$A6877,nCURSO,DATOS!$D6877,nESPEC,DATOS!$E6877,nASIG,DATOS!$I6877,nEVAL,"EX")=0),0))))</f>
      </c>
      <c r="H6877">
        <f>IF(DATOS!$G6877&lt;&gt;"EX",0,--(COUNTIFS(nNIA,DATOS!$A6877,nCURSO,DATOS!$D6877,nESPEC,DATOS!$E6877,nASIG,DATOS!$I6877,nEVAL,"OR")=0))</f>
      </c>
      <c r="I6877">
        <f>IF(DATOS!$I6877="","",IFERROR(VLOOKUP(DATOS!$I6877,CONFIG_ASIGNATURAS!$B$2:$J$91,9,FALSE()),""))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IF(DATOS!$A6878="",0,IF(CONFIG_METADATA!$B$4&lt;&gt;"OR+EX",--(DATOS!$G6878=CONFIG_METADATA!$B$4),IF(DATOS!$G6878="EX",1,IF(DATOS!$G6878="OR",--(COUNTIFS(nNIA,DATOS!$A6878,nCURSO,DATOS!$D6878,nESPEC,DATOS!$E6878,nASIG,DATOS!$I6878,nEVAL,"EX")=0),0))))</f>
      </c>
      <c r="H6878">
        <f>IF(DATOS!$G6878&lt;&gt;"EX",0,--(COUNTIFS(nNIA,DATOS!$A6878,nCURSO,DATOS!$D6878,nESPEC,DATOS!$E6878,nASIG,DATOS!$I6878,nEVAL,"OR")=0))</f>
      </c>
      <c r="I6878">
        <f>IF(DATOS!$I6878="","",IFERROR(VLOOKUP(DATOS!$I6878,CONFIG_ASIGNATURAS!$B$2:$J$91,9,FALSE()),""))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IF(DATOS!$A6879="",0,IF(CONFIG_METADATA!$B$4&lt;&gt;"OR+EX",--(DATOS!$G6879=CONFIG_METADATA!$B$4),IF(DATOS!$G6879="EX",1,IF(DATOS!$G6879="OR",--(COUNTIFS(nNIA,DATOS!$A6879,nCURSO,DATOS!$D6879,nESPEC,DATOS!$E6879,nASIG,DATOS!$I6879,nEVAL,"EX")=0),0))))</f>
      </c>
      <c r="H6879">
        <f>IF(DATOS!$G6879&lt;&gt;"EX",0,--(COUNTIFS(nNIA,DATOS!$A6879,nCURSO,DATOS!$D6879,nESPEC,DATOS!$E6879,nASIG,DATOS!$I6879,nEVAL,"OR")=0))</f>
      </c>
      <c r="I6879">
        <f>IF(DATOS!$I6879="","",IFERROR(VLOOKUP(DATOS!$I6879,CONFIG_ASIGNATURAS!$B$2:$J$91,9,FALSE()),""))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IF(DATOS!$A6880="",0,IF(CONFIG_METADATA!$B$4&lt;&gt;"OR+EX",--(DATOS!$G6880=CONFIG_METADATA!$B$4),IF(DATOS!$G6880="EX",1,IF(DATOS!$G6880="OR",--(COUNTIFS(nNIA,DATOS!$A6880,nCURSO,DATOS!$D6880,nESPEC,DATOS!$E6880,nASIG,DATOS!$I6880,nEVAL,"EX")=0),0))))</f>
      </c>
      <c r="H6880">
        <f>IF(DATOS!$G6880&lt;&gt;"EX",0,--(COUNTIFS(nNIA,DATOS!$A6880,nCURSO,DATOS!$D6880,nESPEC,DATOS!$E6880,nASIG,DATOS!$I6880,nEVAL,"OR")=0))</f>
      </c>
      <c r="I6880">
        <f>IF(DATOS!$I6880="","",IFERROR(VLOOKUP(DATOS!$I6880,CONFIG_ASIGNATURAS!$B$2:$J$91,9,FALSE()),""))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IF(DATOS!$A6881="",0,IF(CONFIG_METADATA!$B$4&lt;&gt;"OR+EX",--(DATOS!$G6881=CONFIG_METADATA!$B$4),IF(DATOS!$G6881="EX",1,IF(DATOS!$G6881="OR",--(COUNTIFS(nNIA,DATOS!$A6881,nCURSO,DATOS!$D6881,nESPEC,DATOS!$E6881,nASIG,DATOS!$I6881,nEVAL,"EX")=0),0))))</f>
      </c>
      <c r="H6881">
        <f>IF(DATOS!$G6881&lt;&gt;"EX",0,--(COUNTIFS(nNIA,DATOS!$A6881,nCURSO,DATOS!$D6881,nESPEC,DATOS!$E6881,nASIG,DATOS!$I6881,nEVAL,"OR")=0))</f>
      </c>
      <c r="I6881">
        <f>IF(DATOS!$I6881="","",IFERROR(VLOOKUP(DATOS!$I6881,CONFIG_ASIGNATURAS!$B$2:$J$91,9,FALSE()),""))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IF(DATOS!$A6882="",0,IF(CONFIG_METADATA!$B$4&lt;&gt;"OR+EX",--(DATOS!$G6882=CONFIG_METADATA!$B$4),IF(DATOS!$G6882="EX",1,IF(DATOS!$G6882="OR",--(COUNTIFS(nNIA,DATOS!$A6882,nCURSO,DATOS!$D6882,nESPEC,DATOS!$E6882,nASIG,DATOS!$I6882,nEVAL,"EX")=0),0))))</f>
      </c>
      <c r="H6882">
        <f>IF(DATOS!$G6882&lt;&gt;"EX",0,--(COUNTIFS(nNIA,DATOS!$A6882,nCURSO,DATOS!$D6882,nESPEC,DATOS!$E6882,nASIG,DATOS!$I6882,nEVAL,"OR")=0))</f>
      </c>
      <c r="I6882">
        <f>IF(DATOS!$I6882="","",IFERROR(VLOOKUP(DATOS!$I6882,CONFIG_ASIGNATURAS!$B$2:$J$91,9,FALSE()),""))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IF(DATOS!$A6883="",0,IF(CONFIG_METADATA!$B$4&lt;&gt;"OR+EX",--(DATOS!$G6883=CONFIG_METADATA!$B$4),IF(DATOS!$G6883="EX",1,IF(DATOS!$G6883="OR",--(COUNTIFS(nNIA,DATOS!$A6883,nCURSO,DATOS!$D6883,nESPEC,DATOS!$E6883,nASIG,DATOS!$I6883,nEVAL,"EX")=0),0))))</f>
      </c>
      <c r="H6883">
        <f>IF(DATOS!$G6883&lt;&gt;"EX",0,--(COUNTIFS(nNIA,DATOS!$A6883,nCURSO,DATOS!$D6883,nESPEC,DATOS!$E6883,nASIG,DATOS!$I6883,nEVAL,"OR")=0))</f>
      </c>
      <c r="I6883">
        <f>IF(DATOS!$I6883="","",IFERROR(VLOOKUP(DATOS!$I6883,CONFIG_ASIGNATURAS!$B$2:$J$91,9,FALSE()),""))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IF(DATOS!$A6884="",0,IF(CONFIG_METADATA!$B$4&lt;&gt;"OR+EX",--(DATOS!$G6884=CONFIG_METADATA!$B$4),IF(DATOS!$G6884="EX",1,IF(DATOS!$G6884="OR",--(COUNTIFS(nNIA,DATOS!$A6884,nCURSO,DATOS!$D6884,nESPEC,DATOS!$E6884,nASIG,DATOS!$I6884,nEVAL,"EX")=0),0))))</f>
      </c>
      <c r="H6884">
        <f>IF(DATOS!$G6884&lt;&gt;"EX",0,--(COUNTIFS(nNIA,DATOS!$A6884,nCURSO,DATOS!$D6884,nESPEC,DATOS!$E6884,nASIG,DATOS!$I6884,nEVAL,"OR")=0))</f>
      </c>
      <c r="I6884">
        <f>IF(DATOS!$I6884="","",IFERROR(VLOOKUP(DATOS!$I6884,CONFIG_ASIGNATURAS!$B$2:$J$91,9,FALSE()),""))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IF(DATOS!$A6885="",0,IF(CONFIG_METADATA!$B$4&lt;&gt;"OR+EX",--(DATOS!$G6885=CONFIG_METADATA!$B$4),IF(DATOS!$G6885="EX",1,IF(DATOS!$G6885="OR",--(COUNTIFS(nNIA,DATOS!$A6885,nCURSO,DATOS!$D6885,nESPEC,DATOS!$E6885,nASIG,DATOS!$I6885,nEVAL,"EX")=0),0))))</f>
      </c>
      <c r="H6885">
        <f>IF(DATOS!$G6885&lt;&gt;"EX",0,--(COUNTIFS(nNIA,DATOS!$A6885,nCURSO,DATOS!$D6885,nESPEC,DATOS!$E6885,nASIG,DATOS!$I6885,nEVAL,"OR")=0))</f>
      </c>
      <c r="I6885">
        <f>IF(DATOS!$I6885="","",IFERROR(VLOOKUP(DATOS!$I6885,CONFIG_ASIGNATURAS!$B$2:$J$91,9,FALSE()),""))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IF(DATOS!$A6886="",0,IF(CONFIG_METADATA!$B$4&lt;&gt;"OR+EX",--(DATOS!$G6886=CONFIG_METADATA!$B$4),IF(DATOS!$G6886="EX",1,IF(DATOS!$G6886="OR",--(COUNTIFS(nNIA,DATOS!$A6886,nCURSO,DATOS!$D6886,nESPEC,DATOS!$E6886,nASIG,DATOS!$I6886,nEVAL,"EX")=0),0))))</f>
      </c>
      <c r="H6886">
        <f>IF(DATOS!$G6886&lt;&gt;"EX",0,--(COUNTIFS(nNIA,DATOS!$A6886,nCURSO,DATOS!$D6886,nESPEC,DATOS!$E6886,nASIG,DATOS!$I6886,nEVAL,"OR")=0))</f>
      </c>
      <c r="I6886">
        <f>IF(DATOS!$I6886="","",IFERROR(VLOOKUP(DATOS!$I6886,CONFIG_ASIGNATURAS!$B$2:$J$91,9,FALSE()),""))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IF(DATOS!$A6887="",0,IF(CONFIG_METADATA!$B$4&lt;&gt;"OR+EX",--(DATOS!$G6887=CONFIG_METADATA!$B$4),IF(DATOS!$G6887="EX",1,IF(DATOS!$G6887="OR",--(COUNTIFS(nNIA,DATOS!$A6887,nCURSO,DATOS!$D6887,nESPEC,DATOS!$E6887,nASIG,DATOS!$I6887,nEVAL,"EX")=0),0))))</f>
      </c>
      <c r="H6887">
        <f>IF(DATOS!$G6887&lt;&gt;"EX",0,--(COUNTIFS(nNIA,DATOS!$A6887,nCURSO,DATOS!$D6887,nESPEC,DATOS!$E6887,nASIG,DATOS!$I6887,nEVAL,"OR")=0))</f>
      </c>
      <c r="I6887">
        <f>IF(DATOS!$I6887="","",IFERROR(VLOOKUP(DATOS!$I6887,CONFIG_ASIGNATURAS!$B$2:$J$91,9,FALSE()),""))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IF(DATOS!$A6888="",0,IF(CONFIG_METADATA!$B$4&lt;&gt;"OR+EX",--(DATOS!$G6888=CONFIG_METADATA!$B$4),IF(DATOS!$G6888="EX",1,IF(DATOS!$G6888="OR",--(COUNTIFS(nNIA,DATOS!$A6888,nCURSO,DATOS!$D6888,nESPEC,DATOS!$E6888,nASIG,DATOS!$I6888,nEVAL,"EX")=0),0))))</f>
      </c>
      <c r="H6888">
        <f>IF(DATOS!$G6888&lt;&gt;"EX",0,--(COUNTIFS(nNIA,DATOS!$A6888,nCURSO,DATOS!$D6888,nESPEC,DATOS!$E6888,nASIG,DATOS!$I6888,nEVAL,"OR")=0))</f>
      </c>
      <c r="I6888">
        <f>IF(DATOS!$I6888="","",IFERROR(VLOOKUP(DATOS!$I6888,CONFIG_ASIGNATURAS!$B$2:$J$91,9,FALSE()),""))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IF(DATOS!$A6889="",0,IF(CONFIG_METADATA!$B$4&lt;&gt;"OR+EX",--(DATOS!$G6889=CONFIG_METADATA!$B$4),IF(DATOS!$G6889="EX",1,IF(DATOS!$G6889="OR",--(COUNTIFS(nNIA,DATOS!$A6889,nCURSO,DATOS!$D6889,nESPEC,DATOS!$E6889,nASIG,DATOS!$I6889,nEVAL,"EX")=0),0))))</f>
      </c>
      <c r="H6889">
        <f>IF(DATOS!$G6889&lt;&gt;"EX",0,--(COUNTIFS(nNIA,DATOS!$A6889,nCURSO,DATOS!$D6889,nESPEC,DATOS!$E6889,nASIG,DATOS!$I6889,nEVAL,"OR")=0))</f>
      </c>
      <c r="I6889">
        <f>IF(DATOS!$I6889="","",IFERROR(VLOOKUP(DATOS!$I6889,CONFIG_ASIGNATURAS!$B$2:$J$91,9,FALSE()),""))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IF(DATOS!$A6890="",0,IF(CONFIG_METADATA!$B$4&lt;&gt;"OR+EX",--(DATOS!$G6890=CONFIG_METADATA!$B$4),IF(DATOS!$G6890="EX",1,IF(DATOS!$G6890="OR",--(COUNTIFS(nNIA,DATOS!$A6890,nCURSO,DATOS!$D6890,nESPEC,DATOS!$E6890,nASIG,DATOS!$I6890,nEVAL,"EX")=0),0))))</f>
      </c>
      <c r="H6890">
        <f>IF(DATOS!$G6890&lt;&gt;"EX",0,--(COUNTIFS(nNIA,DATOS!$A6890,nCURSO,DATOS!$D6890,nESPEC,DATOS!$E6890,nASIG,DATOS!$I6890,nEVAL,"OR")=0))</f>
      </c>
      <c r="I6890">
        <f>IF(DATOS!$I6890="","",IFERROR(VLOOKUP(DATOS!$I6890,CONFIG_ASIGNATURAS!$B$2:$J$91,9,FALSE()),""))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IF(DATOS!$A6891="",0,IF(CONFIG_METADATA!$B$4&lt;&gt;"OR+EX",--(DATOS!$G6891=CONFIG_METADATA!$B$4),IF(DATOS!$G6891="EX",1,IF(DATOS!$G6891="OR",--(COUNTIFS(nNIA,DATOS!$A6891,nCURSO,DATOS!$D6891,nESPEC,DATOS!$E6891,nASIG,DATOS!$I6891,nEVAL,"EX")=0),0))))</f>
      </c>
      <c r="H6891">
        <f>IF(DATOS!$G6891&lt;&gt;"EX",0,--(COUNTIFS(nNIA,DATOS!$A6891,nCURSO,DATOS!$D6891,nESPEC,DATOS!$E6891,nASIG,DATOS!$I6891,nEVAL,"OR")=0))</f>
      </c>
      <c r="I6891">
        <f>IF(DATOS!$I6891="","",IFERROR(VLOOKUP(DATOS!$I6891,CONFIG_ASIGNATURAS!$B$2:$J$91,9,FALSE()),""))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IF(DATOS!$A6892="",0,IF(CONFIG_METADATA!$B$4&lt;&gt;"OR+EX",--(DATOS!$G6892=CONFIG_METADATA!$B$4),IF(DATOS!$G6892="EX",1,IF(DATOS!$G6892="OR",--(COUNTIFS(nNIA,DATOS!$A6892,nCURSO,DATOS!$D6892,nESPEC,DATOS!$E6892,nASIG,DATOS!$I6892,nEVAL,"EX")=0),0))))</f>
      </c>
      <c r="H6892">
        <f>IF(DATOS!$G6892&lt;&gt;"EX",0,--(COUNTIFS(nNIA,DATOS!$A6892,nCURSO,DATOS!$D6892,nESPEC,DATOS!$E6892,nASIG,DATOS!$I6892,nEVAL,"OR")=0))</f>
      </c>
      <c r="I6892">
        <f>IF(DATOS!$I6892="","",IFERROR(VLOOKUP(DATOS!$I6892,CONFIG_ASIGNATURAS!$B$2:$J$91,9,FALSE()),""))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IF(DATOS!$A6893="",0,IF(CONFIG_METADATA!$B$4&lt;&gt;"OR+EX",--(DATOS!$G6893=CONFIG_METADATA!$B$4),IF(DATOS!$G6893="EX",1,IF(DATOS!$G6893="OR",--(COUNTIFS(nNIA,DATOS!$A6893,nCURSO,DATOS!$D6893,nESPEC,DATOS!$E6893,nASIG,DATOS!$I6893,nEVAL,"EX")=0),0))))</f>
      </c>
      <c r="H6893">
        <f>IF(DATOS!$G6893&lt;&gt;"EX",0,--(COUNTIFS(nNIA,DATOS!$A6893,nCURSO,DATOS!$D6893,nESPEC,DATOS!$E6893,nASIG,DATOS!$I6893,nEVAL,"OR")=0))</f>
      </c>
      <c r="I6893">
        <f>IF(DATOS!$I6893="","",IFERROR(VLOOKUP(DATOS!$I6893,CONFIG_ASIGNATURAS!$B$2:$J$91,9,FALSE()),""))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IF(DATOS!$A6894="",0,IF(CONFIG_METADATA!$B$4&lt;&gt;"OR+EX",--(DATOS!$G6894=CONFIG_METADATA!$B$4),IF(DATOS!$G6894="EX",1,IF(DATOS!$G6894="OR",--(COUNTIFS(nNIA,DATOS!$A6894,nCURSO,DATOS!$D6894,nESPEC,DATOS!$E6894,nASIG,DATOS!$I6894,nEVAL,"EX")=0),0))))</f>
      </c>
      <c r="H6894">
        <f>IF(DATOS!$G6894&lt;&gt;"EX",0,--(COUNTIFS(nNIA,DATOS!$A6894,nCURSO,DATOS!$D6894,nESPEC,DATOS!$E6894,nASIG,DATOS!$I6894,nEVAL,"OR")=0))</f>
      </c>
      <c r="I6894">
        <f>IF(DATOS!$I6894="","",IFERROR(VLOOKUP(DATOS!$I6894,CONFIG_ASIGNATURAS!$B$2:$J$91,9,FALSE()),""))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IF(DATOS!$A6895="",0,IF(CONFIG_METADATA!$B$4&lt;&gt;"OR+EX",--(DATOS!$G6895=CONFIG_METADATA!$B$4),IF(DATOS!$G6895="EX",1,IF(DATOS!$G6895="OR",--(COUNTIFS(nNIA,DATOS!$A6895,nCURSO,DATOS!$D6895,nESPEC,DATOS!$E6895,nASIG,DATOS!$I6895,nEVAL,"EX")=0),0))))</f>
      </c>
      <c r="H6895">
        <f>IF(DATOS!$G6895&lt;&gt;"EX",0,--(COUNTIFS(nNIA,DATOS!$A6895,nCURSO,DATOS!$D6895,nESPEC,DATOS!$E6895,nASIG,DATOS!$I6895,nEVAL,"OR")=0))</f>
      </c>
      <c r="I6895">
        <f>IF(DATOS!$I6895="","",IFERROR(VLOOKUP(DATOS!$I6895,CONFIG_ASIGNATURAS!$B$2:$J$91,9,FALSE()),""))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IF(DATOS!$A6896="",0,IF(CONFIG_METADATA!$B$4&lt;&gt;"OR+EX",--(DATOS!$G6896=CONFIG_METADATA!$B$4),IF(DATOS!$G6896="EX",1,IF(DATOS!$G6896="OR",--(COUNTIFS(nNIA,DATOS!$A6896,nCURSO,DATOS!$D6896,nESPEC,DATOS!$E6896,nASIG,DATOS!$I6896,nEVAL,"EX")=0),0))))</f>
      </c>
      <c r="H6896">
        <f>IF(DATOS!$G6896&lt;&gt;"EX",0,--(COUNTIFS(nNIA,DATOS!$A6896,nCURSO,DATOS!$D6896,nESPEC,DATOS!$E6896,nASIG,DATOS!$I6896,nEVAL,"OR")=0))</f>
      </c>
      <c r="I6896">
        <f>IF(DATOS!$I6896="","",IFERROR(VLOOKUP(DATOS!$I6896,CONFIG_ASIGNATURAS!$B$2:$J$91,9,FALSE()),""))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IF(DATOS!$A6897="",0,IF(CONFIG_METADATA!$B$4&lt;&gt;"OR+EX",--(DATOS!$G6897=CONFIG_METADATA!$B$4),IF(DATOS!$G6897="EX",1,IF(DATOS!$G6897="OR",--(COUNTIFS(nNIA,DATOS!$A6897,nCURSO,DATOS!$D6897,nESPEC,DATOS!$E6897,nASIG,DATOS!$I6897,nEVAL,"EX")=0),0))))</f>
      </c>
      <c r="H6897">
        <f>IF(DATOS!$G6897&lt;&gt;"EX",0,--(COUNTIFS(nNIA,DATOS!$A6897,nCURSO,DATOS!$D6897,nESPEC,DATOS!$E6897,nASIG,DATOS!$I6897,nEVAL,"OR")=0))</f>
      </c>
      <c r="I6897">
        <f>IF(DATOS!$I6897="","",IFERROR(VLOOKUP(DATOS!$I6897,CONFIG_ASIGNATURAS!$B$2:$J$91,9,FALSE()),""))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IF(DATOS!$A6898="",0,IF(CONFIG_METADATA!$B$4&lt;&gt;"OR+EX",--(DATOS!$G6898=CONFIG_METADATA!$B$4),IF(DATOS!$G6898="EX",1,IF(DATOS!$G6898="OR",--(COUNTIFS(nNIA,DATOS!$A6898,nCURSO,DATOS!$D6898,nESPEC,DATOS!$E6898,nASIG,DATOS!$I6898,nEVAL,"EX")=0),0))))</f>
      </c>
      <c r="H6898">
        <f>IF(DATOS!$G6898&lt;&gt;"EX",0,--(COUNTIFS(nNIA,DATOS!$A6898,nCURSO,DATOS!$D6898,nESPEC,DATOS!$E6898,nASIG,DATOS!$I6898,nEVAL,"OR")=0))</f>
      </c>
      <c r="I6898">
        <f>IF(DATOS!$I6898="","",IFERROR(VLOOKUP(DATOS!$I6898,CONFIG_ASIGNATURAS!$B$2:$J$91,9,FALSE()),""))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IF(DATOS!$A6899="",0,IF(CONFIG_METADATA!$B$4&lt;&gt;"OR+EX",--(DATOS!$G6899=CONFIG_METADATA!$B$4),IF(DATOS!$G6899="EX",1,IF(DATOS!$G6899="OR",--(COUNTIFS(nNIA,DATOS!$A6899,nCURSO,DATOS!$D6899,nESPEC,DATOS!$E6899,nASIG,DATOS!$I6899,nEVAL,"EX")=0),0))))</f>
      </c>
      <c r="H6899">
        <f>IF(DATOS!$G6899&lt;&gt;"EX",0,--(COUNTIFS(nNIA,DATOS!$A6899,nCURSO,DATOS!$D6899,nESPEC,DATOS!$E6899,nASIG,DATOS!$I6899,nEVAL,"OR")=0))</f>
      </c>
      <c r="I6899">
        <f>IF(DATOS!$I6899="","",IFERROR(VLOOKUP(DATOS!$I6899,CONFIG_ASIGNATURAS!$B$2:$J$91,9,FALSE()),""))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IF(DATOS!$A6900="",0,IF(CONFIG_METADATA!$B$4&lt;&gt;"OR+EX",--(DATOS!$G6900=CONFIG_METADATA!$B$4),IF(DATOS!$G6900="EX",1,IF(DATOS!$G6900="OR",--(COUNTIFS(nNIA,DATOS!$A6900,nCURSO,DATOS!$D6900,nESPEC,DATOS!$E6900,nASIG,DATOS!$I6900,nEVAL,"EX")=0),0))))</f>
      </c>
      <c r="H6900">
        <f>IF(DATOS!$G6900&lt;&gt;"EX",0,--(COUNTIFS(nNIA,DATOS!$A6900,nCURSO,DATOS!$D6900,nESPEC,DATOS!$E6900,nASIG,DATOS!$I6900,nEVAL,"OR")=0))</f>
      </c>
      <c r="I6900">
        <f>IF(DATOS!$I6900="","",IFERROR(VLOOKUP(DATOS!$I6900,CONFIG_ASIGNATURAS!$B$2:$J$91,9,FALSE()),""))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IF(DATOS!$A6901="",0,IF(CONFIG_METADATA!$B$4&lt;&gt;"OR+EX",--(DATOS!$G6901=CONFIG_METADATA!$B$4),IF(DATOS!$G6901="EX",1,IF(DATOS!$G6901="OR",--(COUNTIFS(nNIA,DATOS!$A6901,nCURSO,DATOS!$D6901,nESPEC,DATOS!$E6901,nASIG,DATOS!$I6901,nEVAL,"EX")=0),0))))</f>
      </c>
      <c r="H6901">
        <f>IF(DATOS!$G6901&lt;&gt;"EX",0,--(COUNTIFS(nNIA,DATOS!$A6901,nCURSO,DATOS!$D6901,nESPEC,DATOS!$E6901,nASIG,DATOS!$I6901,nEVAL,"OR")=0))</f>
      </c>
      <c r="I6901">
        <f>IF(DATOS!$I6901="","",IFERROR(VLOOKUP(DATOS!$I6901,CONFIG_ASIGNATURAS!$B$2:$J$91,9,FALSE()),""))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IF(DATOS!$A6902="",0,IF(CONFIG_METADATA!$B$4&lt;&gt;"OR+EX",--(DATOS!$G6902=CONFIG_METADATA!$B$4),IF(DATOS!$G6902="EX",1,IF(DATOS!$G6902="OR",--(COUNTIFS(nNIA,DATOS!$A6902,nCURSO,DATOS!$D6902,nESPEC,DATOS!$E6902,nASIG,DATOS!$I6902,nEVAL,"EX")=0),0))))</f>
      </c>
      <c r="H6902">
        <f>IF(DATOS!$G6902&lt;&gt;"EX",0,--(COUNTIFS(nNIA,DATOS!$A6902,nCURSO,DATOS!$D6902,nESPEC,DATOS!$E6902,nASIG,DATOS!$I6902,nEVAL,"OR")=0))</f>
      </c>
      <c r="I6902">
        <f>IF(DATOS!$I6902="","",IFERROR(VLOOKUP(DATOS!$I6902,CONFIG_ASIGNATURAS!$B$2:$J$91,9,FALSE()),""))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IF(DATOS!$A6903="",0,IF(CONFIG_METADATA!$B$4&lt;&gt;"OR+EX",--(DATOS!$G6903=CONFIG_METADATA!$B$4),IF(DATOS!$G6903="EX",1,IF(DATOS!$G6903="OR",--(COUNTIFS(nNIA,DATOS!$A6903,nCURSO,DATOS!$D6903,nESPEC,DATOS!$E6903,nASIG,DATOS!$I6903,nEVAL,"EX")=0),0))))</f>
      </c>
      <c r="H6903">
        <f>IF(DATOS!$G6903&lt;&gt;"EX",0,--(COUNTIFS(nNIA,DATOS!$A6903,nCURSO,DATOS!$D6903,nESPEC,DATOS!$E6903,nASIG,DATOS!$I6903,nEVAL,"OR")=0))</f>
      </c>
      <c r="I6903">
        <f>IF(DATOS!$I6903="","",IFERROR(VLOOKUP(DATOS!$I6903,CONFIG_ASIGNATURAS!$B$2:$J$91,9,FALSE()),""))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IF(DATOS!$A6904="",0,IF(CONFIG_METADATA!$B$4&lt;&gt;"OR+EX",--(DATOS!$G6904=CONFIG_METADATA!$B$4),IF(DATOS!$G6904="EX",1,IF(DATOS!$G6904="OR",--(COUNTIFS(nNIA,DATOS!$A6904,nCURSO,DATOS!$D6904,nESPEC,DATOS!$E6904,nASIG,DATOS!$I6904,nEVAL,"EX")=0),0))))</f>
      </c>
      <c r="H6904">
        <f>IF(DATOS!$G6904&lt;&gt;"EX",0,--(COUNTIFS(nNIA,DATOS!$A6904,nCURSO,DATOS!$D6904,nESPEC,DATOS!$E6904,nASIG,DATOS!$I6904,nEVAL,"OR")=0))</f>
      </c>
      <c r="I6904">
        <f>IF(DATOS!$I6904="","",IFERROR(VLOOKUP(DATOS!$I6904,CONFIG_ASIGNATURAS!$B$2:$J$91,9,FALSE()),""))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IF(DATOS!$A6905="",0,IF(CONFIG_METADATA!$B$4&lt;&gt;"OR+EX",--(DATOS!$G6905=CONFIG_METADATA!$B$4),IF(DATOS!$G6905="EX",1,IF(DATOS!$G6905="OR",--(COUNTIFS(nNIA,DATOS!$A6905,nCURSO,DATOS!$D6905,nESPEC,DATOS!$E6905,nASIG,DATOS!$I6905,nEVAL,"EX")=0),0))))</f>
      </c>
      <c r="H6905">
        <f>IF(DATOS!$G6905&lt;&gt;"EX",0,--(COUNTIFS(nNIA,DATOS!$A6905,nCURSO,DATOS!$D6905,nESPEC,DATOS!$E6905,nASIG,DATOS!$I6905,nEVAL,"OR")=0))</f>
      </c>
      <c r="I6905">
        <f>IF(DATOS!$I6905="","",IFERROR(VLOOKUP(DATOS!$I6905,CONFIG_ASIGNATURAS!$B$2:$J$91,9,FALSE()),""))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IF(DATOS!$A6906="",0,IF(CONFIG_METADATA!$B$4&lt;&gt;"OR+EX",--(DATOS!$G6906=CONFIG_METADATA!$B$4),IF(DATOS!$G6906="EX",1,IF(DATOS!$G6906="OR",--(COUNTIFS(nNIA,DATOS!$A6906,nCURSO,DATOS!$D6906,nESPEC,DATOS!$E6906,nASIG,DATOS!$I6906,nEVAL,"EX")=0),0))))</f>
      </c>
      <c r="H6906">
        <f>IF(DATOS!$G6906&lt;&gt;"EX",0,--(COUNTIFS(nNIA,DATOS!$A6906,nCURSO,DATOS!$D6906,nESPEC,DATOS!$E6906,nASIG,DATOS!$I6906,nEVAL,"OR")=0))</f>
      </c>
      <c r="I6906">
        <f>IF(DATOS!$I6906="","",IFERROR(VLOOKUP(DATOS!$I6906,CONFIG_ASIGNATURAS!$B$2:$J$91,9,FALSE()),""))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IF(DATOS!$A6907="",0,IF(CONFIG_METADATA!$B$4&lt;&gt;"OR+EX",--(DATOS!$G6907=CONFIG_METADATA!$B$4),IF(DATOS!$G6907="EX",1,IF(DATOS!$G6907="OR",--(COUNTIFS(nNIA,DATOS!$A6907,nCURSO,DATOS!$D6907,nESPEC,DATOS!$E6907,nASIG,DATOS!$I6907,nEVAL,"EX")=0),0))))</f>
      </c>
      <c r="H6907">
        <f>IF(DATOS!$G6907&lt;&gt;"EX",0,--(COUNTIFS(nNIA,DATOS!$A6907,nCURSO,DATOS!$D6907,nESPEC,DATOS!$E6907,nASIG,DATOS!$I6907,nEVAL,"OR")=0))</f>
      </c>
      <c r="I6907">
        <f>IF(DATOS!$I6907="","",IFERROR(VLOOKUP(DATOS!$I6907,CONFIG_ASIGNATURAS!$B$2:$J$91,9,FALSE()),""))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IF(DATOS!$A6908="",0,IF(CONFIG_METADATA!$B$4&lt;&gt;"OR+EX",--(DATOS!$G6908=CONFIG_METADATA!$B$4),IF(DATOS!$G6908="EX",1,IF(DATOS!$G6908="OR",--(COUNTIFS(nNIA,DATOS!$A6908,nCURSO,DATOS!$D6908,nESPEC,DATOS!$E6908,nASIG,DATOS!$I6908,nEVAL,"EX")=0),0))))</f>
      </c>
      <c r="H6908">
        <f>IF(DATOS!$G6908&lt;&gt;"EX",0,--(COUNTIFS(nNIA,DATOS!$A6908,nCURSO,DATOS!$D6908,nESPEC,DATOS!$E6908,nASIG,DATOS!$I6908,nEVAL,"OR")=0))</f>
      </c>
      <c r="I6908">
        <f>IF(DATOS!$I6908="","",IFERROR(VLOOKUP(DATOS!$I6908,CONFIG_ASIGNATURAS!$B$2:$J$91,9,FALSE()),""))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IF(DATOS!$A6909="",0,IF(CONFIG_METADATA!$B$4&lt;&gt;"OR+EX",--(DATOS!$G6909=CONFIG_METADATA!$B$4),IF(DATOS!$G6909="EX",1,IF(DATOS!$G6909="OR",--(COUNTIFS(nNIA,DATOS!$A6909,nCURSO,DATOS!$D6909,nESPEC,DATOS!$E6909,nASIG,DATOS!$I6909,nEVAL,"EX")=0),0))))</f>
      </c>
      <c r="H6909">
        <f>IF(DATOS!$G6909&lt;&gt;"EX",0,--(COUNTIFS(nNIA,DATOS!$A6909,nCURSO,DATOS!$D6909,nESPEC,DATOS!$E6909,nASIG,DATOS!$I6909,nEVAL,"OR")=0))</f>
      </c>
      <c r="I6909">
        <f>IF(DATOS!$I6909="","",IFERROR(VLOOKUP(DATOS!$I6909,CONFIG_ASIGNATURAS!$B$2:$J$91,9,FALSE()),""))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IF(DATOS!$A6910="",0,IF(CONFIG_METADATA!$B$4&lt;&gt;"OR+EX",--(DATOS!$G6910=CONFIG_METADATA!$B$4),IF(DATOS!$G6910="EX",1,IF(DATOS!$G6910="OR",--(COUNTIFS(nNIA,DATOS!$A6910,nCURSO,DATOS!$D6910,nESPEC,DATOS!$E6910,nASIG,DATOS!$I6910,nEVAL,"EX")=0),0))))</f>
      </c>
      <c r="H6910">
        <f>IF(DATOS!$G6910&lt;&gt;"EX",0,--(COUNTIFS(nNIA,DATOS!$A6910,nCURSO,DATOS!$D6910,nESPEC,DATOS!$E6910,nASIG,DATOS!$I6910,nEVAL,"OR")=0))</f>
      </c>
      <c r="I6910">
        <f>IF(DATOS!$I6910="","",IFERROR(VLOOKUP(DATOS!$I6910,CONFIG_ASIGNATURAS!$B$2:$J$91,9,FALSE()),""))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IF(DATOS!$A6911="",0,IF(CONFIG_METADATA!$B$4&lt;&gt;"OR+EX",--(DATOS!$G6911=CONFIG_METADATA!$B$4),IF(DATOS!$G6911="EX",1,IF(DATOS!$G6911="OR",--(COUNTIFS(nNIA,DATOS!$A6911,nCURSO,DATOS!$D6911,nESPEC,DATOS!$E6911,nASIG,DATOS!$I6911,nEVAL,"EX")=0),0))))</f>
      </c>
      <c r="H6911">
        <f>IF(DATOS!$G6911&lt;&gt;"EX",0,--(COUNTIFS(nNIA,DATOS!$A6911,nCURSO,DATOS!$D6911,nESPEC,DATOS!$E6911,nASIG,DATOS!$I6911,nEVAL,"OR")=0))</f>
      </c>
      <c r="I6911">
        <f>IF(DATOS!$I6911="","",IFERROR(VLOOKUP(DATOS!$I6911,CONFIG_ASIGNATURAS!$B$2:$J$91,9,FALSE()),""))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IF(DATOS!$A6912="",0,IF(CONFIG_METADATA!$B$4&lt;&gt;"OR+EX",--(DATOS!$G6912=CONFIG_METADATA!$B$4),IF(DATOS!$G6912="EX",1,IF(DATOS!$G6912="OR",--(COUNTIFS(nNIA,DATOS!$A6912,nCURSO,DATOS!$D6912,nESPEC,DATOS!$E6912,nASIG,DATOS!$I6912,nEVAL,"EX")=0),0))))</f>
      </c>
      <c r="H6912">
        <f>IF(DATOS!$G6912&lt;&gt;"EX",0,--(COUNTIFS(nNIA,DATOS!$A6912,nCURSO,DATOS!$D6912,nESPEC,DATOS!$E6912,nASIG,DATOS!$I6912,nEVAL,"OR")=0))</f>
      </c>
      <c r="I6912">
        <f>IF(DATOS!$I6912="","",IFERROR(VLOOKUP(DATOS!$I6912,CONFIG_ASIGNATURAS!$B$2:$J$91,9,FALSE()),""))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IF(DATOS!$A6913="",0,IF(CONFIG_METADATA!$B$4&lt;&gt;"OR+EX",--(DATOS!$G6913=CONFIG_METADATA!$B$4),IF(DATOS!$G6913="EX",1,IF(DATOS!$G6913="OR",--(COUNTIFS(nNIA,DATOS!$A6913,nCURSO,DATOS!$D6913,nESPEC,DATOS!$E6913,nASIG,DATOS!$I6913,nEVAL,"EX")=0),0))))</f>
      </c>
      <c r="H6913">
        <f>IF(DATOS!$G6913&lt;&gt;"EX",0,--(COUNTIFS(nNIA,DATOS!$A6913,nCURSO,DATOS!$D6913,nESPEC,DATOS!$E6913,nASIG,DATOS!$I6913,nEVAL,"OR")=0))</f>
      </c>
      <c r="I6913">
        <f>IF(DATOS!$I6913="","",IFERROR(VLOOKUP(DATOS!$I6913,CONFIG_ASIGNATURAS!$B$2:$J$91,9,FALSE()),""))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IF(DATOS!$A6914="",0,IF(CONFIG_METADATA!$B$4&lt;&gt;"OR+EX",--(DATOS!$G6914=CONFIG_METADATA!$B$4),IF(DATOS!$G6914="EX",1,IF(DATOS!$G6914="OR",--(COUNTIFS(nNIA,DATOS!$A6914,nCURSO,DATOS!$D6914,nESPEC,DATOS!$E6914,nASIG,DATOS!$I6914,nEVAL,"EX")=0),0))))</f>
      </c>
      <c r="H6914">
        <f>IF(DATOS!$G6914&lt;&gt;"EX",0,--(COUNTIFS(nNIA,DATOS!$A6914,nCURSO,DATOS!$D6914,nESPEC,DATOS!$E6914,nASIG,DATOS!$I6914,nEVAL,"OR")=0))</f>
      </c>
      <c r="I6914">
        <f>IF(DATOS!$I6914="","",IFERROR(VLOOKUP(DATOS!$I6914,CONFIG_ASIGNATURAS!$B$2:$J$91,9,FALSE()),""))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IF(DATOS!$A6915="",0,IF(CONFIG_METADATA!$B$4&lt;&gt;"OR+EX",--(DATOS!$G6915=CONFIG_METADATA!$B$4),IF(DATOS!$G6915="EX",1,IF(DATOS!$G6915="OR",--(COUNTIFS(nNIA,DATOS!$A6915,nCURSO,DATOS!$D6915,nESPEC,DATOS!$E6915,nASIG,DATOS!$I6915,nEVAL,"EX")=0),0))))</f>
      </c>
      <c r="H6915">
        <f>IF(DATOS!$G6915&lt;&gt;"EX",0,--(COUNTIFS(nNIA,DATOS!$A6915,nCURSO,DATOS!$D6915,nESPEC,DATOS!$E6915,nASIG,DATOS!$I6915,nEVAL,"OR")=0))</f>
      </c>
      <c r="I6915">
        <f>IF(DATOS!$I6915="","",IFERROR(VLOOKUP(DATOS!$I6915,CONFIG_ASIGNATURAS!$B$2:$J$91,9,FALSE()),""))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IF(DATOS!$A6916="",0,IF(CONFIG_METADATA!$B$4&lt;&gt;"OR+EX",--(DATOS!$G6916=CONFIG_METADATA!$B$4),IF(DATOS!$G6916="EX",1,IF(DATOS!$G6916="OR",--(COUNTIFS(nNIA,DATOS!$A6916,nCURSO,DATOS!$D6916,nESPEC,DATOS!$E6916,nASIG,DATOS!$I6916,nEVAL,"EX")=0),0))))</f>
      </c>
      <c r="H6916">
        <f>IF(DATOS!$G6916&lt;&gt;"EX",0,--(COUNTIFS(nNIA,DATOS!$A6916,nCURSO,DATOS!$D6916,nESPEC,DATOS!$E6916,nASIG,DATOS!$I6916,nEVAL,"OR")=0))</f>
      </c>
      <c r="I6916">
        <f>IF(DATOS!$I6916="","",IFERROR(VLOOKUP(DATOS!$I6916,CONFIG_ASIGNATURAS!$B$2:$J$91,9,FALSE()),""))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IF(DATOS!$A6917="",0,IF(CONFIG_METADATA!$B$4&lt;&gt;"OR+EX",--(DATOS!$G6917=CONFIG_METADATA!$B$4),IF(DATOS!$G6917="EX",1,IF(DATOS!$G6917="OR",--(COUNTIFS(nNIA,DATOS!$A6917,nCURSO,DATOS!$D6917,nESPEC,DATOS!$E6917,nASIG,DATOS!$I6917,nEVAL,"EX")=0),0))))</f>
      </c>
      <c r="H6917">
        <f>IF(DATOS!$G6917&lt;&gt;"EX",0,--(COUNTIFS(nNIA,DATOS!$A6917,nCURSO,DATOS!$D6917,nESPEC,DATOS!$E6917,nASIG,DATOS!$I6917,nEVAL,"OR")=0))</f>
      </c>
      <c r="I6917">
        <f>IF(DATOS!$I6917="","",IFERROR(VLOOKUP(DATOS!$I6917,CONFIG_ASIGNATURAS!$B$2:$J$91,9,FALSE()),""))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IF(DATOS!$A6918="",0,IF(CONFIG_METADATA!$B$4&lt;&gt;"OR+EX",--(DATOS!$G6918=CONFIG_METADATA!$B$4),IF(DATOS!$G6918="EX",1,IF(DATOS!$G6918="OR",--(COUNTIFS(nNIA,DATOS!$A6918,nCURSO,DATOS!$D6918,nESPEC,DATOS!$E6918,nASIG,DATOS!$I6918,nEVAL,"EX")=0),0))))</f>
      </c>
      <c r="H6918">
        <f>IF(DATOS!$G6918&lt;&gt;"EX",0,--(COUNTIFS(nNIA,DATOS!$A6918,nCURSO,DATOS!$D6918,nESPEC,DATOS!$E6918,nASIG,DATOS!$I6918,nEVAL,"OR")=0))</f>
      </c>
      <c r="I6918">
        <f>IF(DATOS!$I6918="","",IFERROR(VLOOKUP(DATOS!$I6918,CONFIG_ASIGNATURAS!$B$2:$J$91,9,FALSE()),""))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IF(DATOS!$A6919="",0,IF(CONFIG_METADATA!$B$4&lt;&gt;"OR+EX",--(DATOS!$G6919=CONFIG_METADATA!$B$4),IF(DATOS!$G6919="EX",1,IF(DATOS!$G6919="OR",--(COUNTIFS(nNIA,DATOS!$A6919,nCURSO,DATOS!$D6919,nESPEC,DATOS!$E6919,nASIG,DATOS!$I6919,nEVAL,"EX")=0),0))))</f>
      </c>
      <c r="H6919">
        <f>IF(DATOS!$G6919&lt;&gt;"EX",0,--(COUNTIFS(nNIA,DATOS!$A6919,nCURSO,DATOS!$D6919,nESPEC,DATOS!$E6919,nASIG,DATOS!$I6919,nEVAL,"OR")=0))</f>
      </c>
      <c r="I6919">
        <f>IF(DATOS!$I6919="","",IFERROR(VLOOKUP(DATOS!$I6919,CONFIG_ASIGNATURAS!$B$2:$J$91,9,FALSE()),""))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IF(DATOS!$A6920="",0,IF(CONFIG_METADATA!$B$4&lt;&gt;"OR+EX",--(DATOS!$G6920=CONFIG_METADATA!$B$4),IF(DATOS!$G6920="EX",1,IF(DATOS!$G6920="OR",--(COUNTIFS(nNIA,DATOS!$A6920,nCURSO,DATOS!$D6920,nESPEC,DATOS!$E6920,nASIG,DATOS!$I6920,nEVAL,"EX")=0),0))))</f>
      </c>
      <c r="H6920">
        <f>IF(DATOS!$G6920&lt;&gt;"EX",0,--(COUNTIFS(nNIA,DATOS!$A6920,nCURSO,DATOS!$D6920,nESPEC,DATOS!$E6920,nASIG,DATOS!$I6920,nEVAL,"OR")=0))</f>
      </c>
      <c r="I6920">
        <f>IF(DATOS!$I6920="","",IFERROR(VLOOKUP(DATOS!$I6920,CONFIG_ASIGNATURAS!$B$2:$J$91,9,FALSE()),""))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IF(DATOS!$A6921="",0,IF(CONFIG_METADATA!$B$4&lt;&gt;"OR+EX",--(DATOS!$G6921=CONFIG_METADATA!$B$4),IF(DATOS!$G6921="EX",1,IF(DATOS!$G6921="OR",--(COUNTIFS(nNIA,DATOS!$A6921,nCURSO,DATOS!$D6921,nESPEC,DATOS!$E6921,nASIG,DATOS!$I6921,nEVAL,"EX")=0),0))))</f>
      </c>
      <c r="H6921">
        <f>IF(DATOS!$G6921&lt;&gt;"EX",0,--(COUNTIFS(nNIA,DATOS!$A6921,nCURSO,DATOS!$D6921,nESPEC,DATOS!$E6921,nASIG,DATOS!$I6921,nEVAL,"OR")=0))</f>
      </c>
      <c r="I6921">
        <f>IF(DATOS!$I6921="","",IFERROR(VLOOKUP(DATOS!$I6921,CONFIG_ASIGNATURAS!$B$2:$J$91,9,FALSE()),""))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IF(DATOS!$A6922="",0,IF(CONFIG_METADATA!$B$4&lt;&gt;"OR+EX",--(DATOS!$G6922=CONFIG_METADATA!$B$4),IF(DATOS!$G6922="EX",1,IF(DATOS!$G6922="OR",--(COUNTIFS(nNIA,DATOS!$A6922,nCURSO,DATOS!$D6922,nESPEC,DATOS!$E6922,nASIG,DATOS!$I6922,nEVAL,"EX")=0),0))))</f>
      </c>
      <c r="H6922">
        <f>IF(DATOS!$G6922&lt;&gt;"EX",0,--(COUNTIFS(nNIA,DATOS!$A6922,nCURSO,DATOS!$D6922,nESPEC,DATOS!$E6922,nASIG,DATOS!$I6922,nEVAL,"OR")=0))</f>
      </c>
      <c r="I6922">
        <f>IF(DATOS!$I6922="","",IFERROR(VLOOKUP(DATOS!$I6922,CONFIG_ASIGNATURAS!$B$2:$J$91,9,FALSE()),""))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IF(DATOS!$A6923="",0,IF(CONFIG_METADATA!$B$4&lt;&gt;"OR+EX",--(DATOS!$G6923=CONFIG_METADATA!$B$4),IF(DATOS!$G6923="EX",1,IF(DATOS!$G6923="OR",--(COUNTIFS(nNIA,DATOS!$A6923,nCURSO,DATOS!$D6923,nESPEC,DATOS!$E6923,nASIG,DATOS!$I6923,nEVAL,"EX")=0),0))))</f>
      </c>
      <c r="H6923">
        <f>IF(DATOS!$G6923&lt;&gt;"EX",0,--(COUNTIFS(nNIA,DATOS!$A6923,nCURSO,DATOS!$D6923,nESPEC,DATOS!$E6923,nASIG,DATOS!$I6923,nEVAL,"OR")=0))</f>
      </c>
      <c r="I6923">
        <f>IF(DATOS!$I6923="","",IFERROR(VLOOKUP(DATOS!$I6923,CONFIG_ASIGNATURAS!$B$2:$J$91,9,FALSE()),""))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IF(DATOS!$A6924="",0,IF(CONFIG_METADATA!$B$4&lt;&gt;"OR+EX",--(DATOS!$G6924=CONFIG_METADATA!$B$4),IF(DATOS!$G6924="EX",1,IF(DATOS!$G6924="OR",--(COUNTIFS(nNIA,DATOS!$A6924,nCURSO,DATOS!$D6924,nESPEC,DATOS!$E6924,nASIG,DATOS!$I6924,nEVAL,"EX")=0),0))))</f>
      </c>
      <c r="H6924">
        <f>IF(DATOS!$G6924&lt;&gt;"EX",0,--(COUNTIFS(nNIA,DATOS!$A6924,nCURSO,DATOS!$D6924,nESPEC,DATOS!$E6924,nASIG,DATOS!$I6924,nEVAL,"OR")=0))</f>
      </c>
      <c r="I6924">
        <f>IF(DATOS!$I6924="","",IFERROR(VLOOKUP(DATOS!$I6924,CONFIG_ASIGNATURAS!$B$2:$J$91,9,FALSE()),""))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IF(DATOS!$A6925="",0,IF(CONFIG_METADATA!$B$4&lt;&gt;"OR+EX",--(DATOS!$G6925=CONFIG_METADATA!$B$4),IF(DATOS!$G6925="EX",1,IF(DATOS!$G6925="OR",--(COUNTIFS(nNIA,DATOS!$A6925,nCURSO,DATOS!$D6925,nESPEC,DATOS!$E6925,nASIG,DATOS!$I6925,nEVAL,"EX")=0),0))))</f>
      </c>
      <c r="H6925">
        <f>IF(DATOS!$G6925&lt;&gt;"EX",0,--(COUNTIFS(nNIA,DATOS!$A6925,nCURSO,DATOS!$D6925,nESPEC,DATOS!$E6925,nASIG,DATOS!$I6925,nEVAL,"OR")=0))</f>
      </c>
      <c r="I6925">
        <f>IF(DATOS!$I6925="","",IFERROR(VLOOKUP(DATOS!$I6925,CONFIG_ASIGNATURAS!$B$2:$J$91,9,FALSE()),""))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IF(DATOS!$A6926="",0,IF(CONFIG_METADATA!$B$4&lt;&gt;"OR+EX",--(DATOS!$G6926=CONFIG_METADATA!$B$4),IF(DATOS!$G6926="EX",1,IF(DATOS!$G6926="OR",--(COUNTIFS(nNIA,DATOS!$A6926,nCURSO,DATOS!$D6926,nESPEC,DATOS!$E6926,nASIG,DATOS!$I6926,nEVAL,"EX")=0),0))))</f>
      </c>
      <c r="H6926">
        <f>IF(DATOS!$G6926&lt;&gt;"EX",0,--(COUNTIFS(nNIA,DATOS!$A6926,nCURSO,DATOS!$D6926,nESPEC,DATOS!$E6926,nASIG,DATOS!$I6926,nEVAL,"OR")=0))</f>
      </c>
      <c r="I6926">
        <f>IF(DATOS!$I6926="","",IFERROR(VLOOKUP(DATOS!$I6926,CONFIG_ASIGNATURAS!$B$2:$J$91,9,FALSE()),""))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IF(DATOS!$A6927="",0,IF(CONFIG_METADATA!$B$4&lt;&gt;"OR+EX",--(DATOS!$G6927=CONFIG_METADATA!$B$4),IF(DATOS!$G6927="EX",1,IF(DATOS!$G6927="OR",--(COUNTIFS(nNIA,DATOS!$A6927,nCURSO,DATOS!$D6927,nESPEC,DATOS!$E6927,nASIG,DATOS!$I6927,nEVAL,"EX")=0),0))))</f>
      </c>
      <c r="H6927">
        <f>IF(DATOS!$G6927&lt;&gt;"EX",0,--(COUNTIFS(nNIA,DATOS!$A6927,nCURSO,DATOS!$D6927,nESPEC,DATOS!$E6927,nASIG,DATOS!$I6927,nEVAL,"OR")=0))</f>
      </c>
      <c r="I6927">
        <f>IF(DATOS!$I6927="","",IFERROR(VLOOKUP(DATOS!$I6927,CONFIG_ASIGNATURAS!$B$2:$J$91,9,FALSE()),""))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IF(DATOS!$A6928="",0,IF(CONFIG_METADATA!$B$4&lt;&gt;"OR+EX",--(DATOS!$G6928=CONFIG_METADATA!$B$4),IF(DATOS!$G6928="EX",1,IF(DATOS!$G6928="OR",--(COUNTIFS(nNIA,DATOS!$A6928,nCURSO,DATOS!$D6928,nESPEC,DATOS!$E6928,nASIG,DATOS!$I6928,nEVAL,"EX")=0),0))))</f>
      </c>
      <c r="H6928">
        <f>IF(DATOS!$G6928&lt;&gt;"EX",0,--(COUNTIFS(nNIA,DATOS!$A6928,nCURSO,DATOS!$D6928,nESPEC,DATOS!$E6928,nASIG,DATOS!$I6928,nEVAL,"OR")=0))</f>
      </c>
      <c r="I6928">
        <f>IF(DATOS!$I6928="","",IFERROR(VLOOKUP(DATOS!$I6928,CONFIG_ASIGNATURAS!$B$2:$J$91,9,FALSE()),""))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IF(DATOS!$A6929="",0,IF(CONFIG_METADATA!$B$4&lt;&gt;"OR+EX",--(DATOS!$G6929=CONFIG_METADATA!$B$4),IF(DATOS!$G6929="EX",1,IF(DATOS!$G6929="OR",--(COUNTIFS(nNIA,DATOS!$A6929,nCURSO,DATOS!$D6929,nESPEC,DATOS!$E6929,nASIG,DATOS!$I6929,nEVAL,"EX")=0),0))))</f>
      </c>
      <c r="H6929">
        <f>IF(DATOS!$G6929&lt;&gt;"EX",0,--(COUNTIFS(nNIA,DATOS!$A6929,nCURSO,DATOS!$D6929,nESPEC,DATOS!$E6929,nASIG,DATOS!$I6929,nEVAL,"OR")=0))</f>
      </c>
      <c r="I6929">
        <f>IF(DATOS!$I6929="","",IFERROR(VLOOKUP(DATOS!$I6929,CONFIG_ASIGNATURAS!$B$2:$J$91,9,FALSE()),""))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IF(DATOS!$A6930="",0,IF(CONFIG_METADATA!$B$4&lt;&gt;"OR+EX",--(DATOS!$G6930=CONFIG_METADATA!$B$4),IF(DATOS!$G6930="EX",1,IF(DATOS!$G6930="OR",--(COUNTIFS(nNIA,DATOS!$A6930,nCURSO,DATOS!$D6930,nESPEC,DATOS!$E6930,nASIG,DATOS!$I6930,nEVAL,"EX")=0),0))))</f>
      </c>
      <c r="H6930">
        <f>IF(DATOS!$G6930&lt;&gt;"EX",0,--(COUNTIFS(nNIA,DATOS!$A6930,nCURSO,DATOS!$D6930,nESPEC,DATOS!$E6930,nASIG,DATOS!$I6930,nEVAL,"OR")=0))</f>
      </c>
      <c r="I6930">
        <f>IF(DATOS!$I6930="","",IFERROR(VLOOKUP(DATOS!$I6930,CONFIG_ASIGNATURAS!$B$2:$J$91,9,FALSE()),""))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IF(DATOS!$A6931="",0,IF(CONFIG_METADATA!$B$4&lt;&gt;"OR+EX",--(DATOS!$G6931=CONFIG_METADATA!$B$4),IF(DATOS!$G6931="EX",1,IF(DATOS!$G6931="OR",--(COUNTIFS(nNIA,DATOS!$A6931,nCURSO,DATOS!$D6931,nESPEC,DATOS!$E6931,nASIG,DATOS!$I6931,nEVAL,"EX")=0),0))))</f>
      </c>
      <c r="H6931">
        <f>IF(DATOS!$G6931&lt;&gt;"EX",0,--(COUNTIFS(nNIA,DATOS!$A6931,nCURSO,DATOS!$D6931,nESPEC,DATOS!$E6931,nASIG,DATOS!$I6931,nEVAL,"OR")=0))</f>
      </c>
      <c r="I6931">
        <f>IF(DATOS!$I6931="","",IFERROR(VLOOKUP(DATOS!$I6931,CONFIG_ASIGNATURAS!$B$2:$J$91,9,FALSE()),""))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IF(DATOS!$A6932="",0,IF(CONFIG_METADATA!$B$4&lt;&gt;"OR+EX",--(DATOS!$G6932=CONFIG_METADATA!$B$4),IF(DATOS!$G6932="EX",1,IF(DATOS!$G6932="OR",--(COUNTIFS(nNIA,DATOS!$A6932,nCURSO,DATOS!$D6932,nESPEC,DATOS!$E6932,nASIG,DATOS!$I6932,nEVAL,"EX")=0),0))))</f>
      </c>
      <c r="H6932">
        <f>IF(DATOS!$G6932&lt;&gt;"EX",0,--(COUNTIFS(nNIA,DATOS!$A6932,nCURSO,DATOS!$D6932,nESPEC,DATOS!$E6932,nASIG,DATOS!$I6932,nEVAL,"OR")=0))</f>
      </c>
      <c r="I6932">
        <f>IF(DATOS!$I6932="","",IFERROR(VLOOKUP(DATOS!$I6932,CONFIG_ASIGNATURAS!$B$2:$J$91,9,FALSE()),""))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IF(DATOS!$A6933="",0,IF(CONFIG_METADATA!$B$4&lt;&gt;"OR+EX",--(DATOS!$G6933=CONFIG_METADATA!$B$4),IF(DATOS!$G6933="EX",1,IF(DATOS!$G6933="OR",--(COUNTIFS(nNIA,DATOS!$A6933,nCURSO,DATOS!$D6933,nESPEC,DATOS!$E6933,nASIG,DATOS!$I6933,nEVAL,"EX")=0),0))))</f>
      </c>
      <c r="H6933">
        <f>IF(DATOS!$G6933&lt;&gt;"EX",0,--(COUNTIFS(nNIA,DATOS!$A6933,nCURSO,DATOS!$D6933,nESPEC,DATOS!$E6933,nASIG,DATOS!$I6933,nEVAL,"OR")=0))</f>
      </c>
      <c r="I6933">
        <f>IF(DATOS!$I6933="","",IFERROR(VLOOKUP(DATOS!$I6933,CONFIG_ASIGNATURAS!$B$2:$J$91,9,FALSE()),""))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IF(DATOS!$A6934="",0,IF(CONFIG_METADATA!$B$4&lt;&gt;"OR+EX",--(DATOS!$G6934=CONFIG_METADATA!$B$4),IF(DATOS!$G6934="EX",1,IF(DATOS!$G6934="OR",--(COUNTIFS(nNIA,DATOS!$A6934,nCURSO,DATOS!$D6934,nESPEC,DATOS!$E6934,nASIG,DATOS!$I6934,nEVAL,"EX")=0),0))))</f>
      </c>
      <c r="H6934">
        <f>IF(DATOS!$G6934&lt;&gt;"EX",0,--(COUNTIFS(nNIA,DATOS!$A6934,nCURSO,DATOS!$D6934,nESPEC,DATOS!$E6934,nASIG,DATOS!$I6934,nEVAL,"OR")=0))</f>
      </c>
      <c r="I6934">
        <f>IF(DATOS!$I6934="","",IFERROR(VLOOKUP(DATOS!$I6934,CONFIG_ASIGNATURAS!$B$2:$J$91,9,FALSE()),""))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IF(DATOS!$A6935="",0,IF(CONFIG_METADATA!$B$4&lt;&gt;"OR+EX",--(DATOS!$G6935=CONFIG_METADATA!$B$4),IF(DATOS!$G6935="EX",1,IF(DATOS!$G6935="OR",--(COUNTIFS(nNIA,DATOS!$A6935,nCURSO,DATOS!$D6935,nESPEC,DATOS!$E6935,nASIG,DATOS!$I6935,nEVAL,"EX")=0),0))))</f>
      </c>
      <c r="H6935">
        <f>IF(DATOS!$G6935&lt;&gt;"EX",0,--(COUNTIFS(nNIA,DATOS!$A6935,nCURSO,DATOS!$D6935,nESPEC,DATOS!$E6935,nASIG,DATOS!$I6935,nEVAL,"OR")=0))</f>
      </c>
      <c r="I6935">
        <f>IF(DATOS!$I6935="","",IFERROR(VLOOKUP(DATOS!$I6935,CONFIG_ASIGNATURAS!$B$2:$J$91,9,FALSE()),""))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IF(DATOS!$A6936="",0,IF(CONFIG_METADATA!$B$4&lt;&gt;"OR+EX",--(DATOS!$G6936=CONFIG_METADATA!$B$4),IF(DATOS!$G6936="EX",1,IF(DATOS!$G6936="OR",--(COUNTIFS(nNIA,DATOS!$A6936,nCURSO,DATOS!$D6936,nESPEC,DATOS!$E6936,nASIG,DATOS!$I6936,nEVAL,"EX")=0),0))))</f>
      </c>
      <c r="H6936">
        <f>IF(DATOS!$G6936&lt;&gt;"EX",0,--(COUNTIFS(nNIA,DATOS!$A6936,nCURSO,DATOS!$D6936,nESPEC,DATOS!$E6936,nASIG,DATOS!$I6936,nEVAL,"OR")=0))</f>
      </c>
      <c r="I6936">
        <f>IF(DATOS!$I6936="","",IFERROR(VLOOKUP(DATOS!$I6936,CONFIG_ASIGNATURAS!$B$2:$J$91,9,FALSE()),""))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IF(DATOS!$A6937="",0,IF(CONFIG_METADATA!$B$4&lt;&gt;"OR+EX",--(DATOS!$G6937=CONFIG_METADATA!$B$4),IF(DATOS!$G6937="EX",1,IF(DATOS!$G6937="OR",--(COUNTIFS(nNIA,DATOS!$A6937,nCURSO,DATOS!$D6937,nESPEC,DATOS!$E6937,nASIG,DATOS!$I6937,nEVAL,"EX")=0),0))))</f>
      </c>
      <c r="H6937">
        <f>IF(DATOS!$G6937&lt;&gt;"EX",0,--(COUNTIFS(nNIA,DATOS!$A6937,nCURSO,DATOS!$D6937,nESPEC,DATOS!$E6937,nASIG,DATOS!$I6937,nEVAL,"OR")=0))</f>
      </c>
      <c r="I6937">
        <f>IF(DATOS!$I6937="","",IFERROR(VLOOKUP(DATOS!$I6937,CONFIG_ASIGNATURAS!$B$2:$J$91,9,FALSE()),""))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IF(DATOS!$A6938="",0,IF(CONFIG_METADATA!$B$4&lt;&gt;"OR+EX",--(DATOS!$G6938=CONFIG_METADATA!$B$4),IF(DATOS!$G6938="EX",1,IF(DATOS!$G6938="OR",--(COUNTIFS(nNIA,DATOS!$A6938,nCURSO,DATOS!$D6938,nESPEC,DATOS!$E6938,nASIG,DATOS!$I6938,nEVAL,"EX")=0),0))))</f>
      </c>
      <c r="H6938">
        <f>IF(DATOS!$G6938&lt;&gt;"EX",0,--(COUNTIFS(nNIA,DATOS!$A6938,nCURSO,DATOS!$D6938,nESPEC,DATOS!$E6938,nASIG,DATOS!$I6938,nEVAL,"OR")=0))</f>
      </c>
      <c r="I6938">
        <f>IF(DATOS!$I6938="","",IFERROR(VLOOKUP(DATOS!$I6938,CONFIG_ASIGNATURAS!$B$2:$J$91,9,FALSE()),""))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IF(DATOS!$A6939="",0,IF(CONFIG_METADATA!$B$4&lt;&gt;"OR+EX",--(DATOS!$G6939=CONFIG_METADATA!$B$4),IF(DATOS!$G6939="EX",1,IF(DATOS!$G6939="OR",--(COUNTIFS(nNIA,DATOS!$A6939,nCURSO,DATOS!$D6939,nESPEC,DATOS!$E6939,nASIG,DATOS!$I6939,nEVAL,"EX")=0),0))))</f>
      </c>
      <c r="H6939">
        <f>IF(DATOS!$G6939&lt;&gt;"EX",0,--(COUNTIFS(nNIA,DATOS!$A6939,nCURSO,DATOS!$D6939,nESPEC,DATOS!$E6939,nASIG,DATOS!$I6939,nEVAL,"OR")=0))</f>
      </c>
      <c r="I6939">
        <f>IF(DATOS!$I6939="","",IFERROR(VLOOKUP(DATOS!$I6939,CONFIG_ASIGNATURAS!$B$2:$J$91,9,FALSE()),""))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IF(DATOS!$A6940="",0,IF(CONFIG_METADATA!$B$4&lt;&gt;"OR+EX",--(DATOS!$G6940=CONFIG_METADATA!$B$4),IF(DATOS!$G6940="EX",1,IF(DATOS!$G6940="OR",--(COUNTIFS(nNIA,DATOS!$A6940,nCURSO,DATOS!$D6940,nESPEC,DATOS!$E6940,nASIG,DATOS!$I6940,nEVAL,"EX")=0),0))))</f>
      </c>
      <c r="H6940">
        <f>IF(DATOS!$G6940&lt;&gt;"EX",0,--(COUNTIFS(nNIA,DATOS!$A6940,nCURSO,DATOS!$D6940,nESPEC,DATOS!$E6940,nASIG,DATOS!$I6940,nEVAL,"OR")=0))</f>
      </c>
      <c r="I6940">
        <f>IF(DATOS!$I6940="","",IFERROR(VLOOKUP(DATOS!$I6940,CONFIG_ASIGNATURAS!$B$2:$J$91,9,FALSE()),""))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IF(DATOS!$A6941="",0,IF(CONFIG_METADATA!$B$4&lt;&gt;"OR+EX",--(DATOS!$G6941=CONFIG_METADATA!$B$4),IF(DATOS!$G6941="EX",1,IF(DATOS!$G6941="OR",--(COUNTIFS(nNIA,DATOS!$A6941,nCURSO,DATOS!$D6941,nESPEC,DATOS!$E6941,nASIG,DATOS!$I6941,nEVAL,"EX")=0),0))))</f>
      </c>
      <c r="H6941">
        <f>IF(DATOS!$G6941&lt;&gt;"EX",0,--(COUNTIFS(nNIA,DATOS!$A6941,nCURSO,DATOS!$D6941,nESPEC,DATOS!$E6941,nASIG,DATOS!$I6941,nEVAL,"OR")=0))</f>
      </c>
      <c r="I6941">
        <f>IF(DATOS!$I6941="","",IFERROR(VLOOKUP(DATOS!$I6941,CONFIG_ASIGNATURAS!$B$2:$J$91,9,FALSE()),""))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IF(DATOS!$A6942="",0,IF(CONFIG_METADATA!$B$4&lt;&gt;"OR+EX",--(DATOS!$G6942=CONFIG_METADATA!$B$4),IF(DATOS!$G6942="EX",1,IF(DATOS!$G6942="OR",--(COUNTIFS(nNIA,DATOS!$A6942,nCURSO,DATOS!$D6942,nESPEC,DATOS!$E6942,nASIG,DATOS!$I6942,nEVAL,"EX")=0),0))))</f>
      </c>
      <c r="H6942">
        <f>IF(DATOS!$G6942&lt;&gt;"EX",0,--(COUNTIFS(nNIA,DATOS!$A6942,nCURSO,DATOS!$D6942,nESPEC,DATOS!$E6942,nASIG,DATOS!$I6942,nEVAL,"OR")=0))</f>
      </c>
      <c r="I6942">
        <f>IF(DATOS!$I6942="","",IFERROR(VLOOKUP(DATOS!$I6942,CONFIG_ASIGNATURAS!$B$2:$J$91,9,FALSE()),""))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IF(DATOS!$A6943="",0,IF(CONFIG_METADATA!$B$4&lt;&gt;"OR+EX",--(DATOS!$G6943=CONFIG_METADATA!$B$4),IF(DATOS!$G6943="EX",1,IF(DATOS!$G6943="OR",--(COUNTIFS(nNIA,DATOS!$A6943,nCURSO,DATOS!$D6943,nESPEC,DATOS!$E6943,nASIG,DATOS!$I6943,nEVAL,"EX")=0),0))))</f>
      </c>
      <c r="H6943">
        <f>IF(DATOS!$G6943&lt;&gt;"EX",0,--(COUNTIFS(nNIA,DATOS!$A6943,nCURSO,DATOS!$D6943,nESPEC,DATOS!$E6943,nASIG,DATOS!$I6943,nEVAL,"OR")=0))</f>
      </c>
      <c r="I6943">
        <f>IF(DATOS!$I6943="","",IFERROR(VLOOKUP(DATOS!$I6943,CONFIG_ASIGNATURAS!$B$2:$J$91,9,FALSE()),""))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IF(DATOS!$A6944="",0,IF(CONFIG_METADATA!$B$4&lt;&gt;"OR+EX",--(DATOS!$G6944=CONFIG_METADATA!$B$4),IF(DATOS!$G6944="EX",1,IF(DATOS!$G6944="OR",--(COUNTIFS(nNIA,DATOS!$A6944,nCURSO,DATOS!$D6944,nESPEC,DATOS!$E6944,nASIG,DATOS!$I6944,nEVAL,"EX")=0),0))))</f>
      </c>
      <c r="H6944">
        <f>IF(DATOS!$G6944&lt;&gt;"EX",0,--(COUNTIFS(nNIA,DATOS!$A6944,nCURSO,DATOS!$D6944,nESPEC,DATOS!$E6944,nASIG,DATOS!$I6944,nEVAL,"OR")=0))</f>
      </c>
      <c r="I6944">
        <f>IF(DATOS!$I6944="","",IFERROR(VLOOKUP(DATOS!$I6944,CONFIG_ASIGNATURAS!$B$2:$J$91,9,FALSE()),""))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IF(DATOS!$A6945="",0,IF(CONFIG_METADATA!$B$4&lt;&gt;"OR+EX",--(DATOS!$G6945=CONFIG_METADATA!$B$4),IF(DATOS!$G6945="EX",1,IF(DATOS!$G6945="OR",--(COUNTIFS(nNIA,DATOS!$A6945,nCURSO,DATOS!$D6945,nESPEC,DATOS!$E6945,nASIG,DATOS!$I6945,nEVAL,"EX")=0),0))))</f>
      </c>
      <c r="H6945">
        <f>IF(DATOS!$G6945&lt;&gt;"EX",0,--(COUNTIFS(nNIA,DATOS!$A6945,nCURSO,DATOS!$D6945,nESPEC,DATOS!$E6945,nASIG,DATOS!$I6945,nEVAL,"OR")=0))</f>
      </c>
      <c r="I6945">
        <f>IF(DATOS!$I6945="","",IFERROR(VLOOKUP(DATOS!$I6945,CONFIG_ASIGNATURAS!$B$2:$J$91,9,FALSE()),""))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IF(DATOS!$A6946="",0,IF(CONFIG_METADATA!$B$4&lt;&gt;"OR+EX",--(DATOS!$G6946=CONFIG_METADATA!$B$4),IF(DATOS!$G6946="EX",1,IF(DATOS!$G6946="OR",--(COUNTIFS(nNIA,DATOS!$A6946,nCURSO,DATOS!$D6946,nESPEC,DATOS!$E6946,nASIG,DATOS!$I6946,nEVAL,"EX")=0),0))))</f>
      </c>
      <c r="H6946">
        <f>IF(DATOS!$G6946&lt;&gt;"EX",0,--(COUNTIFS(nNIA,DATOS!$A6946,nCURSO,DATOS!$D6946,nESPEC,DATOS!$E6946,nASIG,DATOS!$I6946,nEVAL,"OR")=0))</f>
      </c>
      <c r="I6946">
        <f>IF(DATOS!$I6946="","",IFERROR(VLOOKUP(DATOS!$I6946,CONFIG_ASIGNATURAS!$B$2:$J$91,9,FALSE()),""))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IF(DATOS!$A6947="",0,IF(CONFIG_METADATA!$B$4&lt;&gt;"OR+EX",--(DATOS!$G6947=CONFIG_METADATA!$B$4),IF(DATOS!$G6947="EX",1,IF(DATOS!$G6947="OR",--(COUNTIFS(nNIA,DATOS!$A6947,nCURSO,DATOS!$D6947,nESPEC,DATOS!$E6947,nASIG,DATOS!$I6947,nEVAL,"EX")=0),0))))</f>
      </c>
      <c r="H6947">
        <f>IF(DATOS!$G6947&lt;&gt;"EX",0,--(COUNTIFS(nNIA,DATOS!$A6947,nCURSO,DATOS!$D6947,nESPEC,DATOS!$E6947,nASIG,DATOS!$I6947,nEVAL,"OR")=0))</f>
      </c>
      <c r="I6947">
        <f>IF(DATOS!$I6947="","",IFERROR(VLOOKUP(DATOS!$I6947,CONFIG_ASIGNATURAS!$B$2:$J$91,9,FALSE()),""))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IF(DATOS!$A6948="",0,IF(CONFIG_METADATA!$B$4&lt;&gt;"OR+EX",--(DATOS!$G6948=CONFIG_METADATA!$B$4),IF(DATOS!$G6948="EX",1,IF(DATOS!$G6948="OR",--(COUNTIFS(nNIA,DATOS!$A6948,nCURSO,DATOS!$D6948,nESPEC,DATOS!$E6948,nASIG,DATOS!$I6948,nEVAL,"EX")=0),0))))</f>
      </c>
      <c r="H6948">
        <f>IF(DATOS!$G6948&lt;&gt;"EX",0,--(COUNTIFS(nNIA,DATOS!$A6948,nCURSO,DATOS!$D6948,nESPEC,DATOS!$E6948,nASIG,DATOS!$I6948,nEVAL,"OR")=0))</f>
      </c>
      <c r="I6948">
        <f>IF(DATOS!$I6948="","",IFERROR(VLOOKUP(DATOS!$I6948,CONFIG_ASIGNATURAS!$B$2:$J$91,9,FALSE()),""))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IF(DATOS!$A6949="",0,IF(CONFIG_METADATA!$B$4&lt;&gt;"OR+EX",--(DATOS!$G6949=CONFIG_METADATA!$B$4),IF(DATOS!$G6949="EX",1,IF(DATOS!$G6949="OR",--(COUNTIFS(nNIA,DATOS!$A6949,nCURSO,DATOS!$D6949,nESPEC,DATOS!$E6949,nASIG,DATOS!$I6949,nEVAL,"EX")=0),0))))</f>
      </c>
      <c r="H6949">
        <f>IF(DATOS!$G6949&lt;&gt;"EX",0,--(COUNTIFS(nNIA,DATOS!$A6949,nCURSO,DATOS!$D6949,nESPEC,DATOS!$E6949,nASIG,DATOS!$I6949,nEVAL,"OR")=0))</f>
      </c>
      <c r="I6949">
        <f>IF(DATOS!$I6949="","",IFERROR(VLOOKUP(DATOS!$I6949,CONFIG_ASIGNATURAS!$B$2:$J$91,9,FALSE()),""))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IF(DATOS!$A6950="",0,IF(CONFIG_METADATA!$B$4&lt;&gt;"OR+EX",--(DATOS!$G6950=CONFIG_METADATA!$B$4),IF(DATOS!$G6950="EX",1,IF(DATOS!$G6950="OR",--(COUNTIFS(nNIA,DATOS!$A6950,nCURSO,DATOS!$D6950,nESPEC,DATOS!$E6950,nASIG,DATOS!$I6950,nEVAL,"EX")=0),0))))</f>
      </c>
      <c r="H6950">
        <f>IF(DATOS!$G6950&lt;&gt;"EX",0,--(COUNTIFS(nNIA,DATOS!$A6950,nCURSO,DATOS!$D6950,nESPEC,DATOS!$E6950,nASIG,DATOS!$I6950,nEVAL,"OR")=0))</f>
      </c>
      <c r="I6950">
        <f>IF(DATOS!$I6950="","",IFERROR(VLOOKUP(DATOS!$I6950,CONFIG_ASIGNATURAS!$B$2:$J$91,9,FALSE()),""))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IF(DATOS!$A6951="",0,IF(CONFIG_METADATA!$B$4&lt;&gt;"OR+EX",--(DATOS!$G6951=CONFIG_METADATA!$B$4),IF(DATOS!$G6951="EX",1,IF(DATOS!$G6951="OR",--(COUNTIFS(nNIA,DATOS!$A6951,nCURSO,DATOS!$D6951,nESPEC,DATOS!$E6951,nASIG,DATOS!$I6951,nEVAL,"EX")=0),0))))</f>
      </c>
      <c r="H6951">
        <f>IF(DATOS!$G6951&lt;&gt;"EX",0,--(COUNTIFS(nNIA,DATOS!$A6951,nCURSO,DATOS!$D6951,nESPEC,DATOS!$E6951,nASIG,DATOS!$I6951,nEVAL,"OR")=0))</f>
      </c>
      <c r="I6951">
        <f>IF(DATOS!$I6951="","",IFERROR(VLOOKUP(DATOS!$I6951,CONFIG_ASIGNATURAS!$B$2:$J$91,9,FALSE()),""))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IF(DATOS!$A6952="",0,IF(CONFIG_METADATA!$B$4&lt;&gt;"OR+EX",--(DATOS!$G6952=CONFIG_METADATA!$B$4),IF(DATOS!$G6952="EX",1,IF(DATOS!$G6952="OR",--(COUNTIFS(nNIA,DATOS!$A6952,nCURSO,DATOS!$D6952,nESPEC,DATOS!$E6952,nASIG,DATOS!$I6952,nEVAL,"EX")=0),0))))</f>
      </c>
      <c r="H6952">
        <f>IF(DATOS!$G6952&lt;&gt;"EX",0,--(COUNTIFS(nNIA,DATOS!$A6952,nCURSO,DATOS!$D6952,nESPEC,DATOS!$E6952,nASIG,DATOS!$I6952,nEVAL,"OR")=0))</f>
      </c>
      <c r="I6952">
        <f>IF(DATOS!$I6952="","",IFERROR(VLOOKUP(DATOS!$I6952,CONFIG_ASIGNATURAS!$B$2:$J$91,9,FALSE()),""))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IF(DATOS!$A6953="",0,IF(CONFIG_METADATA!$B$4&lt;&gt;"OR+EX",--(DATOS!$G6953=CONFIG_METADATA!$B$4),IF(DATOS!$G6953="EX",1,IF(DATOS!$G6953="OR",--(COUNTIFS(nNIA,DATOS!$A6953,nCURSO,DATOS!$D6953,nESPEC,DATOS!$E6953,nASIG,DATOS!$I6953,nEVAL,"EX")=0),0))))</f>
      </c>
      <c r="H6953">
        <f>IF(DATOS!$G6953&lt;&gt;"EX",0,--(COUNTIFS(nNIA,DATOS!$A6953,nCURSO,DATOS!$D6953,nESPEC,DATOS!$E6953,nASIG,DATOS!$I6953,nEVAL,"OR")=0))</f>
      </c>
      <c r="I6953">
        <f>IF(DATOS!$I6953="","",IFERROR(VLOOKUP(DATOS!$I6953,CONFIG_ASIGNATURAS!$B$2:$J$91,9,FALSE()),""))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IF(DATOS!$A6954="",0,IF(CONFIG_METADATA!$B$4&lt;&gt;"OR+EX",--(DATOS!$G6954=CONFIG_METADATA!$B$4),IF(DATOS!$G6954="EX",1,IF(DATOS!$G6954="OR",--(COUNTIFS(nNIA,DATOS!$A6954,nCURSO,DATOS!$D6954,nESPEC,DATOS!$E6954,nASIG,DATOS!$I6954,nEVAL,"EX")=0),0))))</f>
      </c>
      <c r="H6954">
        <f>IF(DATOS!$G6954&lt;&gt;"EX",0,--(COUNTIFS(nNIA,DATOS!$A6954,nCURSO,DATOS!$D6954,nESPEC,DATOS!$E6954,nASIG,DATOS!$I6954,nEVAL,"OR")=0))</f>
      </c>
      <c r="I6954">
        <f>IF(DATOS!$I6954="","",IFERROR(VLOOKUP(DATOS!$I6954,CONFIG_ASIGNATURAS!$B$2:$J$91,9,FALSE()),""))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IF(DATOS!$A6955="",0,IF(CONFIG_METADATA!$B$4&lt;&gt;"OR+EX",--(DATOS!$G6955=CONFIG_METADATA!$B$4),IF(DATOS!$G6955="EX",1,IF(DATOS!$G6955="OR",--(COUNTIFS(nNIA,DATOS!$A6955,nCURSO,DATOS!$D6955,nESPEC,DATOS!$E6955,nASIG,DATOS!$I6955,nEVAL,"EX")=0),0))))</f>
      </c>
      <c r="H6955">
        <f>IF(DATOS!$G6955&lt;&gt;"EX",0,--(COUNTIFS(nNIA,DATOS!$A6955,nCURSO,DATOS!$D6955,nESPEC,DATOS!$E6955,nASIG,DATOS!$I6955,nEVAL,"OR")=0))</f>
      </c>
      <c r="I6955">
        <f>IF(DATOS!$I6955="","",IFERROR(VLOOKUP(DATOS!$I6955,CONFIG_ASIGNATURAS!$B$2:$J$91,9,FALSE()),""))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IF(DATOS!$A6956="",0,IF(CONFIG_METADATA!$B$4&lt;&gt;"OR+EX",--(DATOS!$G6956=CONFIG_METADATA!$B$4),IF(DATOS!$G6956="EX",1,IF(DATOS!$G6956="OR",--(COUNTIFS(nNIA,DATOS!$A6956,nCURSO,DATOS!$D6956,nESPEC,DATOS!$E6956,nASIG,DATOS!$I6956,nEVAL,"EX")=0),0))))</f>
      </c>
      <c r="H6956">
        <f>IF(DATOS!$G6956&lt;&gt;"EX",0,--(COUNTIFS(nNIA,DATOS!$A6956,nCURSO,DATOS!$D6956,nESPEC,DATOS!$E6956,nASIG,DATOS!$I6956,nEVAL,"OR")=0))</f>
      </c>
      <c r="I6956">
        <f>IF(DATOS!$I6956="","",IFERROR(VLOOKUP(DATOS!$I6956,CONFIG_ASIGNATURAS!$B$2:$J$91,9,FALSE()),""))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IF(DATOS!$A6957="",0,IF(CONFIG_METADATA!$B$4&lt;&gt;"OR+EX",--(DATOS!$G6957=CONFIG_METADATA!$B$4),IF(DATOS!$G6957="EX",1,IF(DATOS!$G6957="OR",--(COUNTIFS(nNIA,DATOS!$A6957,nCURSO,DATOS!$D6957,nESPEC,DATOS!$E6957,nASIG,DATOS!$I6957,nEVAL,"EX")=0),0))))</f>
      </c>
      <c r="H6957">
        <f>IF(DATOS!$G6957&lt;&gt;"EX",0,--(COUNTIFS(nNIA,DATOS!$A6957,nCURSO,DATOS!$D6957,nESPEC,DATOS!$E6957,nASIG,DATOS!$I6957,nEVAL,"OR")=0))</f>
      </c>
      <c r="I6957">
        <f>IF(DATOS!$I6957="","",IFERROR(VLOOKUP(DATOS!$I6957,CONFIG_ASIGNATURAS!$B$2:$J$91,9,FALSE()),""))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IF(DATOS!$A6958="",0,IF(CONFIG_METADATA!$B$4&lt;&gt;"OR+EX",--(DATOS!$G6958=CONFIG_METADATA!$B$4),IF(DATOS!$G6958="EX",1,IF(DATOS!$G6958="OR",--(COUNTIFS(nNIA,DATOS!$A6958,nCURSO,DATOS!$D6958,nESPEC,DATOS!$E6958,nASIG,DATOS!$I6958,nEVAL,"EX")=0),0))))</f>
      </c>
      <c r="H6958">
        <f>IF(DATOS!$G6958&lt;&gt;"EX",0,--(COUNTIFS(nNIA,DATOS!$A6958,nCURSO,DATOS!$D6958,nESPEC,DATOS!$E6958,nASIG,DATOS!$I6958,nEVAL,"OR")=0))</f>
      </c>
      <c r="I6958">
        <f>IF(DATOS!$I6958="","",IFERROR(VLOOKUP(DATOS!$I6958,CONFIG_ASIGNATURAS!$B$2:$J$91,9,FALSE()),""))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IF(DATOS!$A6959="",0,IF(CONFIG_METADATA!$B$4&lt;&gt;"OR+EX",--(DATOS!$G6959=CONFIG_METADATA!$B$4),IF(DATOS!$G6959="EX",1,IF(DATOS!$G6959="OR",--(COUNTIFS(nNIA,DATOS!$A6959,nCURSO,DATOS!$D6959,nESPEC,DATOS!$E6959,nASIG,DATOS!$I6959,nEVAL,"EX")=0),0))))</f>
      </c>
      <c r="H6959">
        <f>IF(DATOS!$G6959&lt;&gt;"EX",0,--(COUNTIFS(nNIA,DATOS!$A6959,nCURSO,DATOS!$D6959,nESPEC,DATOS!$E6959,nASIG,DATOS!$I6959,nEVAL,"OR")=0))</f>
      </c>
      <c r="I6959">
        <f>IF(DATOS!$I6959="","",IFERROR(VLOOKUP(DATOS!$I6959,CONFIG_ASIGNATURAS!$B$2:$J$91,9,FALSE()),""))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IF(DATOS!$A6960="",0,IF(CONFIG_METADATA!$B$4&lt;&gt;"OR+EX",--(DATOS!$G6960=CONFIG_METADATA!$B$4),IF(DATOS!$G6960="EX",1,IF(DATOS!$G6960="OR",--(COUNTIFS(nNIA,DATOS!$A6960,nCURSO,DATOS!$D6960,nESPEC,DATOS!$E6960,nASIG,DATOS!$I6960,nEVAL,"EX")=0),0))))</f>
      </c>
      <c r="H6960">
        <f>IF(DATOS!$G6960&lt;&gt;"EX",0,--(COUNTIFS(nNIA,DATOS!$A6960,nCURSO,DATOS!$D6960,nESPEC,DATOS!$E6960,nASIG,DATOS!$I6960,nEVAL,"OR")=0))</f>
      </c>
      <c r="I6960">
        <f>IF(DATOS!$I6960="","",IFERROR(VLOOKUP(DATOS!$I6960,CONFIG_ASIGNATURAS!$B$2:$J$91,9,FALSE()),""))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IF(DATOS!$A6961="",0,IF(CONFIG_METADATA!$B$4&lt;&gt;"OR+EX",--(DATOS!$G6961=CONFIG_METADATA!$B$4),IF(DATOS!$G6961="EX",1,IF(DATOS!$G6961="OR",--(COUNTIFS(nNIA,DATOS!$A6961,nCURSO,DATOS!$D6961,nESPEC,DATOS!$E6961,nASIG,DATOS!$I6961,nEVAL,"EX")=0),0))))</f>
      </c>
      <c r="H6961">
        <f>IF(DATOS!$G6961&lt;&gt;"EX",0,--(COUNTIFS(nNIA,DATOS!$A6961,nCURSO,DATOS!$D6961,nESPEC,DATOS!$E6961,nASIG,DATOS!$I6961,nEVAL,"OR")=0))</f>
      </c>
      <c r="I6961">
        <f>IF(DATOS!$I6961="","",IFERROR(VLOOKUP(DATOS!$I6961,CONFIG_ASIGNATURAS!$B$2:$J$91,9,FALSE()),""))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IF(DATOS!$A6962="",0,IF(CONFIG_METADATA!$B$4&lt;&gt;"OR+EX",--(DATOS!$G6962=CONFIG_METADATA!$B$4),IF(DATOS!$G6962="EX",1,IF(DATOS!$G6962="OR",--(COUNTIFS(nNIA,DATOS!$A6962,nCURSO,DATOS!$D6962,nESPEC,DATOS!$E6962,nASIG,DATOS!$I6962,nEVAL,"EX")=0),0))))</f>
      </c>
      <c r="H6962">
        <f>IF(DATOS!$G6962&lt;&gt;"EX",0,--(COUNTIFS(nNIA,DATOS!$A6962,nCURSO,DATOS!$D6962,nESPEC,DATOS!$E6962,nASIG,DATOS!$I6962,nEVAL,"OR")=0))</f>
      </c>
      <c r="I6962">
        <f>IF(DATOS!$I6962="","",IFERROR(VLOOKUP(DATOS!$I6962,CONFIG_ASIGNATURAS!$B$2:$J$91,9,FALSE()),""))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IF(DATOS!$A6963="",0,IF(CONFIG_METADATA!$B$4&lt;&gt;"OR+EX",--(DATOS!$G6963=CONFIG_METADATA!$B$4),IF(DATOS!$G6963="EX",1,IF(DATOS!$G6963="OR",--(COUNTIFS(nNIA,DATOS!$A6963,nCURSO,DATOS!$D6963,nESPEC,DATOS!$E6963,nASIG,DATOS!$I6963,nEVAL,"EX")=0),0))))</f>
      </c>
      <c r="H6963">
        <f>IF(DATOS!$G6963&lt;&gt;"EX",0,--(COUNTIFS(nNIA,DATOS!$A6963,nCURSO,DATOS!$D6963,nESPEC,DATOS!$E6963,nASIG,DATOS!$I6963,nEVAL,"OR")=0))</f>
      </c>
      <c r="I6963">
        <f>IF(DATOS!$I6963="","",IFERROR(VLOOKUP(DATOS!$I6963,CONFIG_ASIGNATURAS!$B$2:$J$91,9,FALSE()),""))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IF(DATOS!$A6964="",0,IF(CONFIG_METADATA!$B$4&lt;&gt;"OR+EX",--(DATOS!$G6964=CONFIG_METADATA!$B$4),IF(DATOS!$G6964="EX",1,IF(DATOS!$G6964="OR",--(COUNTIFS(nNIA,DATOS!$A6964,nCURSO,DATOS!$D6964,nESPEC,DATOS!$E6964,nASIG,DATOS!$I6964,nEVAL,"EX")=0),0))))</f>
      </c>
      <c r="H6964">
        <f>IF(DATOS!$G6964&lt;&gt;"EX",0,--(COUNTIFS(nNIA,DATOS!$A6964,nCURSO,DATOS!$D6964,nESPEC,DATOS!$E6964,nASIG,DATOS!$I6964,nEVAL,"OR")=0))</f>
      </c>
      <c r="I6964">
        <f>IF(DATOS!$I6964="","",IFERROR(VLOOKUP(DATOS!$I6964,CONFIG_ASIGNATURAS!$B$2:$J$91,9,FALSE()),""))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IF(DATOS!$A6965="",0,IF(CONFIG_METADATA!$B$4&lt;&gt;"OR+EX",--(DATOS!$G6965=CONFIG_METADATA!$B$4),IF(DATOS!$G6965="EX",1,IF(DATOS!$G6965="OR",--(COUNTIFS(nNIA,DATOS!$A6965,nCURSO,DATOS!$D6965,nESPEC,DATOS!$E6965,nASIG,DATOS!$I6965,nEVAL,"EX")=0),0))))</f>
      </c>
      <c r="H6965">
        <f>IF(DATOS!$G6965&lt;&gt;"EX",0,--(COUNTIFS(nNIA,DATOS!$A6965,nCURSO,DATOS!$D6965,nESPEC,DATOS!$E6965,nASIG,DATOS!$I6965,nEVAL,"OR")=0))</f>
      </c>
      <c r="I6965">
        <f>IF(DATOS!$I6965="","",IFERROR(VLOOKUP(DATOS!$I6965,CONFIG_ASIGNATURAS!$B$2:$J$91,9,FALSE()),""))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IF(DATOS!$A6966="",0,IF(CONFIG_METADATA!$B$4&lt;&gt;"OR+EX",--(DATOS!$G6966=CONFIG_METADATA!$B$4),IF(DATOS!$G6966="EX",1,IF(DATOS!$G6966="OR",--(COUNTIFS(nNIA,DATOS!$A6966,nCURSO,DATOS!$D6966,nESPEC,DATOS!$E6966,nASIG,DATOS!$I6966,nEVAL,"EX")=0),0))))</f>
      </c>
      <c r="H6966">
        <f>IF(DATOS!$G6966&lt;&gt;"EX",0,--(COUNTIFS(nNIA,DATOS!$A6966,nCURSO,DATOS!$D6966,nESPEC,DATOS!$E6966,nASIG,DATOS!$I6966,nEVAL,"OR")=0))</f>
      </c>
      <c r="I6966">
        <f>IF(DATOS!$I6966="","",IFERROR(VLOOKUP(DATOS!$I6966,CONFIG_ASIGNATURAS!$B$2:$J$91,9,FALSE()),""))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IF(DATOS!$A6967="",0,IF(CONFIG_METADATA!$B$4&lt;&gt;"OR+EX",--(DATOS!$G6967=CONFIG_METADATA!$B$4),IF(DATOS!$G6967="EX",1,IF(DATOS!$G6967="OR",--(COUNTIFS(nNIA,DATOS!$A6967,nCURSO,DATOS!$D6967,nESPEC,DATOS!$E6967,nASIG,DATOS!$I6967,nEVAL,"EX")=0),0))))</f>
      </c>
      <c r="H6967">
        <f>IF(DATOS!$G6967&lt;&gt;"EX",0,--(COUNTIFS(nNIA,DATOS!$A6967,nCURSO,DATOS!$D6967,nESPEC,DATOS!$E6967,nASIG,DATOS!$I6967,nEVAL,"OR")=0))</f>
      </c>
      <c r="I6967">
        <f>IF(DATOS!$I6967="","",IFERROR(VLOOKUP(DATOS!$I6967,CONFIG_ASIGNATURAS!$B$2:$J$91,9,FALSE()),""))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IF(DATOS!$A6968="",0,IF(CONFIG_METADATA!$B$4&lt;&gt;"OR+EX",--(DATOS!$G6968=CONFIG_METADATA!$B$4),IF(DATOS!$G6968="EX",1,IF(DATOS!$G6968="OR",--(COUNTIFS(nNIA,DATOS!$A6968,nCURSO,DATOS!$D6968,nESPEC,DATOS!$E6968,nASIG,DATOS!$I6968,nEVAL,"EX")=0),0))))</f>
      </c>
      <c r="H6968">
        <f>IF(DATOS!$G6968&lt;&gt;"EX",0,--(COUNTIFS(nNIA,DATOS!$A6968,nCURSO,DATOS!$D6968,nESPEC,DATOS!$E6968,nASIG,DATOS!$I6968,nEVAL,"OR")=0))</f>
      </c>
      <c r="I6968">
        <f>IF(DATOS!$I6968="","",IFERROR(VLOOKUP(DATOS!$I6968,CONFIG_ASIGNATURAS!$B$2:$J$91,9,FALSE()),""))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IF(DATOS!$A6969="",0,IF(CONFIG_METADATA!$B$4&lt;&gt;"OR+EX",--(DATOS!$G6969=CONFIG_METADATA!$B$4),IF(DATOS!$G6969="EX",1,IF(DATOS!$G6969="OR",--(COUNTIFS(nNIA,DATOS!$A6969,nCURSO,DATOS!$D6969,nESPEC,DATOS!$E6969,nASIG,DATOS!$I6969,nEVAL,"EX")=0),0))))</f>
      </c>
      <c r="H6969">
        <f>IF(DATOS!$G6969&lt;&gt;"EX",0,--(COUNTIFS(nNIA,DATOS!$A6969,nCURSO,DATOS!$D6969,nESPEC,DATOS!$E6969,nASIG,DATOS!$I6969,nEVAL,"OR")=0))</f>
      </c>
      <c r="I6969">
        <f>IF(DATOS!$I6969="","",IFERROR(VLOOKUP(DATOS!$I6969,CONFIG_ASIGNATURAS!$B$2:$J$91,9,FALSE()),""))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IF(DATOS!$A6970="",0,IF(CONFIG_METADATA!$B$4&lt;&gt;"OR+EX",--(DATOS!$G6970=CONFIG_METADATA!$B$4),IF(DATOS!$G6970="EX",1,IF(DATOS!$G6970="OR",--(COUNTIFS(nNIA,DATOS!$A6970,nCURSO,DATOS!$D6970,nESPEC,DATOS!$E6970,nASIG,DATOS!$I6970,nEVAL,"EX")=0),0))))</f>
      </c>
      <c r="H6970">
        <f>IF(DATOS!$G6970&lt;&gt;"EX",0,--(COUNTIFS(nNIA,DATOS!$A6970,nCURSO,DATOS!$D6970,nESPEC,DATOS!$E6970,nASIG,DATOS!$I6970,nEVAL,"OR")=0))</f>
      </c>
      <c r="I6970">
        <f>IF(DATOS!$I6970="","",IFERROR(VLOOKUP(DATOS!$I6970,CONFIG_ASIGNATURAS!$B$2:$J$91,9,FALSE()),""))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IF(DATOS!$A6971="",0,IF(CONFIG_METADATA!$B$4&lt;&gt;"OR+EX",--(DATOS!$G6971=CONFIG_METADATA!$B$4),IF(DATOS!$G6971="EX",1,IF(DATOS!$G6971="OR",--(COUNTIFS(nNIA,DATOS!$A6971,nCURSO,DATOS!$D6971,nESPEC,DATOS!$E6971,nASIG,DATOS!$I6971,nEVAL,"EX")=0),0))))</f>
      </c>
      <c r="H6971">
        <f>IF(DATOS!$G6971&lt;&gt;"EX",0,--(COUNTIFS(nNIA,DATOS!$A6971,nCURSO,DATOS!$D6971,nESPEC,DATOS!$E6971,nASIG,DATOS!$I6971,nEVAL,"OR")=0))</f>
      </c>
      <c r="I6971">
        <f>IF(DATOS!$I6971="","",IFERROR(VLOOKUP(DATOS!$I6971,CONFIG_ASIGNATURAS!$B$2:$J$91,9,FALSE()),""))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IF(DATOS!$A6972="",0,IF(CONFIG_METADATA!$B$4&lt;&gt;"OR+EX",--(DATOS!$G6972=CONFIG_METADATA!$B$4),IF(DATOS!$G6972="EX",1,IF(DATOS!$G6972="OR",--(COUNTIFS(nNIA,DATOS!$A6972,nCURSO,DATOS!$D6972,nESPEC,DATOS!$E6972,nASIG,DATOS!$I6972,nEVAL,"EX")=0),0))))</f>
      </c>
      <c r="H6972">
        <f>IF(DATOS!$G6972&lt;&gt;"EX",0,--(COUNTIFS(nNIA,DATOS!$A6972,nCURSO,DATOS!$D6972,nESPEC,DATOS!$E6972,nASIG,DATOS!$I6972,nEVAL,"OR")=0))</f>
      </c>
      <c r="I6972">
        <f>IF(DATOS!$I6972="","",IFERROR(VLOOKUP(DATOS!$I6972,CONFIG_ASIGNATURAS!$B$2:$J$91,9,FALSE()),""))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IF(DATOS!$A6973="",0,IF(CONFIG_METADATA!$B$4&lt;&gt;"OR+EX",--(DATOS!$G6973=CONFIG_METADATA!$B$4),IF(DATOS!$G6973="EX",1,IF(DATOS!$G6973="OR",--(COUNTIFS(nNIA,DATOS!$A6973,nCURSO,DATOS!$D6973,nESPEC,DATOS!$E6973,nASIG,DATOS!$I6973,nEVAL,"EX")=0),0))))</f>
      </c>
      <c r="H6973">
        <f>IF(DATOS!$G6973&lt;&gt;"EX",0,--(COUNTIFS(nNIA,DATOS!$A6973,nCURSO,DATOS!$D6973,nESPEC,DATOS!$E6973,nASIG,DATOS!$I6973,nEVAL,"OR")=0))</f>
      </c>
      <c r="I6973">
        <f>IF(DATOS!$I6973="","",IFERROR(VLOOKUP(DATOS!$I6973,CONFIG_ASIGNATURAS!$B$2:$J$91,9,FALSE()),""))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IF(DATOS!$A6974="",0,IF(CONFIG_METADATA!$B$4&lt;&gt;"OR+EX",--(DATOS!$G6974=CONFIG_METADATA!$B$4),IF(DATOS!$G6974="EX",1,IF(DATOS!$G6974="OR",--(COUNTIFS(nNIA,DATOS!$A6974,nCURSO,DATOS!$D6974,nESPEC,DATOS!$E6974,nASIG,DATOS!$I6974,nEVAL,"EX")=0),0))))</f>
      </c>
      <c r="H6974">
        <f>IF(DATOS!$G6974&lt;&gt;"EX",0,--(COUNTIFS(nNIA,DATOS!$A6974,nCURSO,DATOS!$D6974,nESPEC,DATOS!$E6974,nASIG,DATOS!$I6974,nEVAL,"OR")=0))</f>
      </c>
      <c r="I6974">
        <f>IF(DATOS!$I6974="","",IFERROR(VLOOKUP(DATOS!$I6974,CONFIG_ASIGNATURAS!$B$2:$J$91,9,FALSE()),""))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IF(DATOS!$A6975="",0,IF(CONFIG_METADATA!$B$4&lt;&gt;"OR+EX",--(DATOS!$G6975=CONFIG_METADATA!$B$4),IF(DATOS!$G6975="EX",1,IF(DATOS!$G6975="OR",--(COUNTIFS(nNIA,DATOS!$A6975,nCURSO,DATOS!$D6975,nESPEC,DATOS!$E6975,nASIG,DATOS!$I6975,nEVAL,"EX")=0),0))))</f>
      </c>
      <c r="H6975">
        <f>IF(DATOS!$G6975&lt;&gt;"EX",0,--(COUNTIFS(nNIA,DATOS!$A6975,nCURSO,DATOS!$D6975,nESPEC,DATOS!$E6975,nASIG,DATOS!$I6975,nEVAL,"OR")=0))</f>
      </c>
      <c r="I6975">
        <f>IF(DATOS!$I6975="","",IFERROR(VLOOKUP(DATOS!$I6975,CONFIG_ASIGNATURAS!$B$2:$J$91,9,FALSE()),""))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IF(DATOS!$A6976="",0,IF(CONFIG_METADATA!$B$4&lt;&gt;"OR+EX",--(DATOS!$G6976=CONFIG_METADATA!$B$4),IF(DATOS!$G6976="EX",1,IF(DATOS!$G6976="OR",--(COUNTIFS(nNIA,DATOS!$A6976,nCURSO,DATOS!$D6976,nESPEC,DATOS!$E6976,nASIG,DATOS!$I6976,nEVAL,"EX")=0),0))))</f>
      </c>
      <c r="H6976">
        <f>IF(DATOS!$G6976&lt;&gt;"EX",0,--(COUNTIFS(nNIA,DATOS!$A6976,nCURSO,DATOS!$D6976,nESPEC,DATOS!$E6976,nASIG,DATOS!$I6976,nEVAL,"OR")=0))</f>
      </c>
      <c r="I6976">
        <f>IF(DATOS!$I6976="","",IFERROR(VLOOKUP(DATOS!$I6976,CONFIG_ASIGNATURAS!$B$2:$J$91,9,FALSE()),""))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IF(DATOS!$A6977="",0,IF(CONFIG_METADATA!$B$4&lt;&gt;"OR+EX",--(DATOS!$G6977=CONFIG_METADATA!$B$4),IF(DATOS!$G6977="EX",1,IF(DATOS!$G6977="OR",--(COUNTIFS(nNIA,DATOS!$A6977,nCURSO,DATOS!$D6977,nESPEC,DATOS!$E6977,nASIG,DATOS!$I6977,nEVAL,"EX")=0),0))))</f>
      </c>
      <c r="H6977">
        <f>IF(DATOS!$G6977&lt;&gt;"EX",0,--(COUNTIFS(nNIA,DATOS!$A6977,nCURSO,DATOS!$D6977,nESPEC,DATOS!$E6977,nASIG,DATOS!$I6977,nEVAL,"OR")=0))</f>
      </c>
      <c r="I6977">
        <f>IF(DATOS!$I6977="","",IFERROR(VLOOKUP(DATOS!$I6977,CONFIG_ASIGNATURAS!$B$2:$J$91,9,FALSE()),""))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IF(DATOS!$A6978="",0,IF(CONFIG_METADATA!$B$4&lt;&gt;"OR+EX",--(DATOS!$G6978=CONFIG_METADATA!$B$4),IF(DATOS!$G6978="EX",1,IF(DATOS!$G6978="OR",--(COUNTIFS(nNIA,DATOS!$A6978,nCURSO,DATOS!$D6978,nESPEC,DATOS!$E6978,nASIG,DATOS!$I6978,nEVAL,"EX")=0),0))))</f>
      </c>
      <c r="H6978">
        <f>IF(DATOS!$G6978&lt;&gt;"EX",0,--(COUNTIFS(nNIA,DATOS!$A6978,nCURSO,DATOS!$D6978,nESPEC,DATOS!$E6978,nASIG,DATOS!$I6978,nEVAL,"OR")=0))</f>
      </c>
      <c r="I6978">
        <f>IF(DATOS!$I6978="","",IFERROR(VLOOKUP(DATOS!$I6978,CONFIG_ASIGNATURAS!$B$2:$J$91,9,FALSE()),""))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IF(DATOS!$A6979="",0,IF(CONFIG_METADATA!$B$4&lt;&gt;"OR+EX",--(DATOS!$G6979=CONFIG_METADATA!$B$4),IF(DATOS!$G6979="EX",1,IF(DATOS!$G6979="OR",--(COUNTIFS(nNIA,DATOS!$A6979,nCURSO,DATOS!$D6979,nESPEC,DATOS!$E6979,nASIG,DATOS!$I6979,nEVAL,"EX")=0),0))))</f>
      </c>
      <c r="H6979">
        <f>IF(DATOS!$G6979&lt;&gt;"EX",0,--(COUNTIFS(nNIA,DATOS!$A6979,nCURSO,DATOS!$D6979,nESPEC,DATOS!$E6979,nASIG,DATOS!$I6979,nEVAL,"OR")=0))</f>
      </c>
      <c r="I6979">
        <f>IF(DATOS!$I6979="","",IFERROR(VLOOKUP(DATOS!$I6979,CONFIG_ASIGNATURAS!$B$2:$J$91,9,FALSE()),""))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IF(DATOS!$A6980="",0,IF(CONFIG_METADATA!$B$4&lt;&gt;"OR+EX",--(DATOS!$G6980=CONFIG_METADATA!$B$4),IF(DATOS!$G6980="EX",1,IF(DATOS!$G6980="OR",--(COUNTIFS(nNIA,DATOS!$A6980,nCURSO,DATOS!$D6980,nESPEC,DATOS!$E6980,nASIG,DATOS!$I6980,nEVAL,"EX")=0),0))))</f>
      </c>
      <c r="H6980">
        <f>IF(DATOS!$G6980&lt;&gt;"EX",0,--(COUNTIFS(nNIA,DATOS!$A6980,nCURSO,DATOS!$D6980,nESPEC,DATOS!$E6980,nASIG,DATOS!$I6980,nEVAL,"OR")=0))</f>
      </c>
      <c r="I6980">
        <f>IF(DATOS!$I6980="","",IFERROR(VLOOKUP(DATOS!$I6980,CONFIG_ASIGNATURAS!$B$2:$J$91,9,FALSE()),""))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IF(DATOS!$A6981="",0,IF(CONFIG_METADATA!$B$4&lt;&gt;"OR+EX",--(DATOS!$G6981=CONFIG_METADATA!$B$4),IF(DATOS!$G6981="EX",1,IF(DATOS!$G6981="OR",--(COUNTIFS(nNIA,DATOS!$A6981,nCURSO,DATOS!$D6981,nESPEC,DATOS!$E6981,nASIG,DATOS!$I6981,nEVAL,"EX")=0),0))))</f>
      </c>
      <c r="H6981">
        <f>IF(DATOS!$G6981&lt;&gt;"EX",0,--(COUNTIFS(nNIA,DATOS!$A6981,nCURSO,DATOS!$D6981,nESPEC,DATOS!$E6981,nASIG,DATOS!$I6981,nEVAL,"OR")=0))</f>
      </c>
      <c r="I6981">
        <f>IF(DATOS!$I6981="","",IFERROR(VLOOKUP(DATOS!$I6981,CONFIG_ASIGNATURAS!$B$2:$J$91,9,FALSE()),""))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IF(DATOS!$A6982="",0,IF(CONFIG_METADATA!$B$4&lt;&gt;"OR+EX",--(DATOS!$G6982=CONFIG_METADATA!$B$4),IF(DATOS!$G6982="EX",1,IF(DATOS!$G6982="OR",--(COUNTIFS(nNIA,DATOS!$A6982,nCURSO,DATOS!$D6982,nESPEC,DATOS!$E6982,nASIG,DATOS!$I6982,nEVAL,"EX")=0),0))))</f>
      </c>
      <c r="H6982">
        <f>IF(DATOS!$G6982&lt;&gt;"EX",0,--(COUNTIFS(nNIA,DATOS!$A6982,nCURSO,DATOS!$D6982,nESPEC,DATOS!$E6982,nASIG,DATOS!$I6982,nEVAL,"OR")=0))</f>
      </c>
      <c r="I6982">
        <f>IF(DATOS!$I6982="","",IFERROR(VLOOKUP(DATOS!$I6982,CONFIG_ASIGNATURAS!$B$2:$J$91,9,FALSE()),""))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IF(DATOS!$A6983="",0,IF(CONFIG_METADATA!$B$4&lt;&gt;"OR+EX",--(DATOS!$G6983=CONFIG_METADATA!$B$4),IF(DATOS!$G6983="EX",1,IF(DATOS!$G6983="OR",--(COUNTIFS(nNIA,DATOS!$A6983,nCURSO,DATOS!$D6983,nESPEC,DATOS!$E6983,nASIG,DATOS!$I6983,nEVAL,"EX")=0),0))))</f>
      </c>
      <c r="H6983">
        <f>IF(DATOS!$G6983&lt;&gt;"EX",0,--(COUNTIFS(nNIA,DATOS!$A6983,nCURSO,DATOS!$D6983,nESPEC,DATOS!$E6983,nASIG,DATOS!$I6983,nEVAL,"OR")=0))</f>
      </c>
      <c r="I6983">
        <f>IF(DATOS!$I6983="","",IFERROR(VLOOKUP(DATOS!$I6983,CONFIG_ASIGNATURAS!$B$2:$J$91,9,FALSE()),""))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IF(DATOS!$A6984="",0,IF(CONFIG_METADATA!$B$4&lt;&gt;"OR+EX",--(DATOS!$G6984=CONFIG_METADATA!$B$4),IF(DATOS!$G6984="EX",1,IF(DATOS!$G6984="OR",--(COUNTIFS(nNIA,DATOS!$A6984,nCURSO,DATOS!$D6984,nESPEC,DATOS!$E6984,nASIG,DATOS!$I6984,nEVAL,"EX")=0),0))))</f>
      </c>
      <c r="H6984">
        <f>IF(DATOS!$G6984&lt;&gt;"EX",0,--(COUNTIFS(nNIA,DATOS!$A6984,nCURSO,DATOS!$D6984,nESPEC,DATOS!$E6984,nASIG,DATOS!$I6984,nEVAL,"OR")=0))</f>
      </c>
      <c r="I6984">
        <f>IF(DATOS!$I6984="","",IFERROR(VLOOKUP(DATOS!$I6984,CONFIG_ASIGNATURAS!$B$2:$J$91,9,FALSE()),""))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IF(DATOS!$A6985="",0,IF(CONFIG_METADATA!$B$4&lt;&gt;"OR+EX",--(DATOS!$G6985=CONFIG_METADATA!$B$4),IF(DATOS!$G6985="EX",1,IF(DATOS!$G6985="OR",--(COUNTIFS(nNIA,DATOS!$A6985,nCURSO,DATOS!$D6985,nESPEC,DATOS!$E6985,nASIG,DATOS!$I6985,nEVAL,"EX")=0),0))))</f>
      </c>
      <c r="H6985">
        <f>IF(DATOS!$G6985&lt;&gt;"EX",0,--(COUNTIFS(nNIA,DATOS!$A6985,nCURSO,DATOS!$D6985,nESPEC,DATOS!$E6985,nASIG,DATOS!$I6985,nEVAL,"OR")=0))</f>
      </c>
      <c r="I6985">
        <f>IF(DATOS!$I6985="","",IFERROR(VLOOKUP(DATOS!$I6985,CONFIG_ASIGNATURAS!$B$2:$J$91,9,FALSE()),""))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IF(DATOS!$A6986="",0,IF(CONFIG_METADATA!$B$4&lt;&gt;"OR+EX",--(DATOS!$G6986=CONFIG_METADATA!$B$4),IF(DATOS!$G6986="EX",1,IF(DATOS!$G6986="OR",--(COUNTIFS(nNIA,DATOS!$A6986,nCURSO,DATOS!$D6986,nESPEC,DATOS!$E6986,nASIG,DATOS!$I6986,nEVAL,"EX")=0),0))))</f>
      </c>
      <c r="H6986">
        <f>IF(DATOS!$G6986&lt;&gt;"EX",0,--(COUNTIFS(nNIA,DATOS!$A6986,nCURSO,DATOS!$D6986,nESPEC,DATOS!$E6986,nASIG,DATOS!$I6986,nEVAL,"OR")=0))</f>
      </c>
      <c r="I6986">
        <f>IF(DATOS!$I6986="","",IFERROR(VLOOKUP(DATOS!$I6986,CONFIG_ASIGNATURAS!$B$2:$J$91,9,FALSE()),""))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IF(DATOS!$A6987="",0,IF(CONFIG_METADATA!$B$4&lt;&gt;"OR+EX",--(DATOS!$G6987=CONFIG_METADATA!$B$4),IF(DATOS!$G6987="EX",1,IF(DATOS!$G6987="OR",--(COUNTIFS(nNIA,DATOS!$A6987,nCURSO,DATOS!$D6987,nESPEC,DATOS!$E6987,nASIG,DATOS!$I6987,nEVAL,"EX")=0),0))))</f>
      </c>
      <c r="H6987">
        <f>IF(DATOS!$G6987&lt;&gt;"EX",0,--(COUNTIFS(nNIA,DATOS!$A6987,nCURSO,DATOS!$D6987,nESPEC,DATOS!$E6987,nASIG,DATOS!$I6987,nEVAL,"OR")=0))</f>
      </c>
      <c r="I6987">
        <f>IF(DATOS!$I6987="","",IFERROR(VLOOKUP(DATOS!$I6987,CONFIG_ASIGNATURAS!$B$2:$J$91,9,FALSE()),""))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IF(DATOS!$A6988="",0,IF(CONFIG_METADATA!$B$4&lt;&gt;"OR+EX",--(DATOS!$G6988=CONFIG_METADATA!$B$4),IF(DATOS!$G6988="EX",1,IF(DATOS!$G6988="OR",--(COUNTIFS(nNIA,DATOS!$A6988,nCURSO,DATOS!$D6988,nESPEC,DATOS!$E6988,nASIG,DATOS!$I6988,nEVAL,"EX")=0),0))))</f>
      </c>
      <c r="H6988">
        <f>IF(DATOS!$G6988&lt;&gt;"EX",0,--(COUNTIFS(nNIA,DATOS!$A6988,nCURSO,DATOS!$D6988,nESPEC,DATOS!$E6988,nASIG,DATOS!$I6988,nEVAL,"OR")=0))</f>
      </c>
      <c r="I6988">
        <f>IF(DATOS!$I6988="","",IFERROR(VLOOKUP(DATOS!$I6988,CONFIG_ASIGNATURAS!$B$2:$J$91,9,FALSE()),""))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IF(DATOS!$A6989="",0,IF(CONFIG_METADATA!$B$4&lt;&gt;"OR+EX",--(DATOS!$G6989=CONFIG_METADATA!$B$4),IF(DATOS!$G6989="EX",1,IF(DATOS!$G6989="OR",--(COUNTIFS(nNIA,DATOS!$A6989,nCURSO,DATOS!$D6989,nESPEC,DATOS!$E6989,nASIG,DATOS!$I6989,nEVAL,"EX")=0),0))))</f>
      </c>
      <c r="H6989">
        <f>IF(DATOS!$G6989&lt;&gt;"EX",0,--(COUNTIFS(nNIA,DATOS!$A6989,nCURSO,DATOS!$D6989,nESPEC,DATOS!$E6989,nASIG,DATOS!$I6989,nEVAL,"OR")=0))</f>
      </c>
      <c r="I6989">
        <f>IF(DATOS!$I6989="","",IFERROR(VLOOKUP(DATOS!$I6989,CONFIG_ASIGNATURAS!$B$2:$J$91,9,FALSE()),""))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IF(DATOS!$A6990="",0,IF(CONFIG_METADATA!$B$4&lt;&gt;"OR+EX",--(DATOS!$G6990=CONFIG_METADATA!$B$4),IF(DATOS!$G6990="EX",1,IF(DATOS!$G6990="OR",--(COUNTIFS(nNIA,DATOS!$A6990,nCURSO,DATOS!$D6990,nESPEC,DATOS!$E6990,nASIG,DATOS!$I6990,nEVAL,"EX")=0),0))))</f>
      </c>
      <c r="H6990">
        <f>IF(DATOS!$G6990&lt;&gt;"EX",0,--(COUNTIFS(nNIA,DATOS!$A6990,nCURSO,DATOS!$D6990,nESPEC,DATOS!$E6990,nASIG,DATOS!$I6990,nEVAL,"OR")=0))</f>
      </c>
      <c r="I6990">
        <f>IF(DATOS!$I6990="","",IFERROR(VLOOKUP(DATOS!$I6990,CONFIG_ASIGNATURAS!$B$2:$J$91,9,FALSE()),""))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IF(DATOS!$A6991="",0,IF(CONFIG_METADATA!$B$4&lt;&gt;"OR+EX",--(DATOS!$G6991=CONFIG_METADATA!$B$4),IF(DATOS!$G6991="EX",1,IF(DATOS!$G6991="OR",--(COUNTIFS(nNIA,DATOS!$A6991,nCURSO,DATOS!$D6991,nESPEC,DATOS!$E6991,nASIG,DATOS!$I6991,nEVAL,"EX")=0),0))))</f>
      </c>
      <c r="H6991">
        <f>IF(DATOS!$G6991&lt;&gt;"EX",0,--(COUNTIFS(nNIA,DATOS!$A6991,nCURSO,DATOS!$D6991,nESPEC,DATOS!$E6991,nASIG,DATOS!$I6991,nEVAL,"OR")=0))</f>
      </c>
      <c r="I6991">
        <f>IF(DATOS!$I6991="","",IFERROR(VLOOKUP(DATOS!$I6991,CONFIG_ASIGNATURAS!$B$2:$J$91,9,FALSE()),""))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IF(DATOS!$A6992="",0,IF(CONFIG_METADATA!$B$4&lt;&gt;"OR+EX",--(DATOS!$G6992=CONFIG_METADATA!$B$4),IF(DATOS!$G6992="EX",1,IF(DATOS!$G6992="OR",--(COUNTIFS(nNIA,DATOS!$A6992,nCURSO,DATOS!$D6992,nESPEC,DATOS!$E6992,nASIG,DATOS!$I6992,nEVAL,"EX")=0),0))))</f>
      </c>
      <c r="H6992">
        <f>IF(DATOS!$G6992&lt;&gt;"EX",0,--(COUNTIFS(nNIA,DATOS!$A6992,nCURSO,DATOS!$D6992,nESPEC,DATOS!$E6992,nASIG,DATOS!$I6992,nEVAL,"OR")=0))</f>
      </c>
      <c r="I6992">
        <f>IF(DATOS!$I6992="","",IFERROR(VLOOKUP(DATOS!$I6992,CONFIG_ASIGNATURAS!$B$2:$J$91,9,FALSE()),""))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IF(DATOS!$A6993="",0,IF(CONFIG_METADATA!$B$4&lt;&gt;"OR+EX",--(DATOS!$G6993=CONFIG_METADATA!$B$4),IF(DATOS!$G6993="EX",1,IF(DATOS!$G6993="OR",--(COUNTIFS(nNIA,DATOS!$A6993,nCURSO,DATOS!$D6993,nESPEC,DATOS!$E6993,nASIG,DATOS!$I6993,nEVAL,"EX")=0),0))))</f>
      </c>
      <c r="H6993">
        <f>IF(DATOS!$G6993&lt;&gt;"EX",0,--(COUNTIFS(nNIA,DATOS!$A6993,nCURSO,DATOS!$D6993,nESPEC,DATOS!$E6993,nASIG,DATOS!$I6993,nEVAL,"OR")=0))</f>
      </c>
      <c r="I6993">
        <f>IF(DATOS!$I6993="","",IFERROR(VLOOKUP(DATOS!$I6993,CONFIG_ASIGNATURAS!$B$2:$J$91,9,FALSE()),""))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IF(DATOS!$A6994="",0,IF(CONFIG_METADATA!$B$4&lt;&gt;"OR+EX",--(DATOS!$G6994=CONFIG_METADATA!$B$4),IF(DATOS!$G6994="EX",1,IF(DATOS!$G6994="OR",--(COUNTIFS(nNIA,DATOS!$A6994,nCURSO,DATOS!$D6994,nESPEC,DATOS!$E6994,nASIG,DATOS!$I6994,nEVAL,"EX")=0),0))))</f>
      </c>
      <c r="H6994">
        <f>IF(DATOS!$G6994&lt;&gt;"EX",0,--(COUNTIFS(nNIA,DATOS!$A6994,nCURSO,DATOS!$D6994,nESPEC,DATOS!$E6994,nASIG,DATOS!$I6994,nEVAL,"OR")=0))</f>
      </c>
      <c r="I6994">
        <f>IF(DATOS!$I6994="","",IFERROR(VLOOKUP(DATOS!$I6994,CONFIG_ASIGNATURAS!$B$2:$J$91,9,FALSE()),""))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IF(DATOS!$A6995="",0,IF(CONFIG_METADATA!$B$4&lt;&gt;"OR+EX",--(DATOS!$G6995=CONFIG_METADATA!$B$4),IF(DATOS!$G6995="EX",1,IF(DATOS!$G6995="OR",--(COUNTIFS(nNIA,DATOS!$A6995,nCURSO,DATOS!$D6995,nESPEC,DATOS!$E6995,nASIG,DATOS!$I6995,nEVAL,"EX")=0),0))))</f>
      </c>
      <c r="H6995">
        <f>IF(DATOS!$G6995&lt;&gt;"EX",0,--(COUNTIFS(nNIA,DATOS!$A6995,nCURSO,DATOS!$D6995,nESPEC,DATOS!$E6995,nASIG,DATOS!$I6995,nEVAL,"OR")=0))</f>
      </c>
      <c r="I6995">
        <f>IF(DATOS!$I6995="","",IFERROR(VLOOKUP(DATOS!$I6995,CONFIG_ASIGNATURAS!$B$2:$J$91,9,FALSE()),""))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IF(DATOS!$A6996="",0,IF(CONFIG_METADATA!$B$4&lt;&gt;"OR+EX",--(DATOS!$G6996=CONFIG_METADATA!$B$4),IF(DATOS!$G6996="EX",1,IF(DATOS!$G6996="OR",--(COUNTIFS(nNIA,DATOS!$A6996,nCURSO,DATOS!$D6996,nESPEC,DATOS!$E6996,nASIG,DATOS!$I6996,nEVAL,"EX")=0),0))))</f>
      </c>
      <c r="H6996">
        <f>IF(DATOS!$G6996&lt;&gt;"EX",0,--(COUNTIFS(nNIA,DATOS!$A6996,nCURSO,DATOS!$D6996,nESPEC,DATOS!$E6996,nASIG,DATOS!$I6996,nEVAL,"OR")=0))</f>
      </c>
      <c r="I6996">
        <f>IF(DATOS!$I6996="","",IFERROR(VLOOKUP(DATOS!$I6996,CONFIG_ASIGNATURAS!$B$2:$J$91,9,FALSE()),""))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IF(DATOS!$A6997="",0,IF(CONFIG_METADATA!$B$4&lt;&gt;"OR+EX",--(DATOS!$G6997=CONFIG_METADATA!$B$4),IF(DATOS!$G6997="EX",1,IF(DATOS!$G6997="OR",--(COUNTIFS(nNIA,DATOS!$A6997,nCURSO,DATOS!$D6997,nESPEC,DATOS!$E6997,nASIG,DATOS!$I6997,nEVAL,"EX")=0),0))))</f>
      </c>
      <c r="H6997">
        <f>IF(DATOS!$G6997&lt;&gt;"EX",0,--(COUNTIFS(nNIA,DATOS!$A6997,nCURSO,DATOS!$D6997,nESPEC,DATOS!$E6997,nASIG,DATOS!$I6997,nEVAL,"OR")=0))</f>
      </c>
      <c r="I6997">
        <f>IF(DATOS!$I6997="","",IFERROR(VLOOKUP(DATOS!$I6997,CONFIG_ASIGNATURAS!$B$2:$J$91,9,FALSE()),""))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IF(DATOS!$A6998="",0,IF(CONFIG_METADATA!$B$4&lt;&gt;"OR+EX",--(DATOS!$G6998=CONFIG_METADATA!$B$4),IF(DATOS!$G6998="EX",1,IF(DATOS!$G6998="OR",--(COUNTIFS(nNIA,DATOS!$A6998,nCURSO,DATOS!$D6998,nESPEC,DATOS!$E6998,nASIG,DATOS!$I6998,nEVAL,"EX")=0),0))))</f>
      </c>
      <c r="H6998">
        <f>IF(DATOS!$G6998&lt;&gt;"EX",0,--(COUNTIFS(nNIA,DATOS!$A6998,nCURSO,DATOS!$D6998,nESPEC,DATOS!$E6998,nASIG,DATOS!$I6998,nEVAL,"OR")=0))</f>
      </c>
      <c r="I6998">
        <f>IF(DATOS!$I6998="","",IFERROR(VLOOKUP(DATOS!$I6998,CONFIG_ASIGNATURAS!$B$2:$J$91,9,FALSE()),""))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IF(DATOS!$A6999="",0,IF(CONFIG_METADATA!$B$4&lt;&gt;"OR+EX",--(DATOS!$G6999=CONFIG_METADATA!$B$4),IF(DATOS!$G6999="EX",1,IF(DATOS!$G6999="OR",--(COUNTIFS(nNIA,DATOS!$A6999,nCURSO,DATOS!$D6999,nESPEC,DATOS!$E6999,nASIG,DATOS!$I6999,nEVAL,"EX")=0),0))))</f>
      </c>
      <c r="H6999">
        <f>IF(DATOS!$G6999&lt;&gt;"EX",0,--(COUNTIFS(nNIA,DATOS!$A6999,nCURSO,DATOS!$D6999,nESPEC,DATOS!$E6999,nASIG,DATOS!$I6999,nEVAL,"OR")=0))</f>
      </c>
      <c r="I6999">
        <f>IF(DATOS!$I6999="","",IFERROR(VLOOKUP(DATOS!$I6999,CONFIG_ASIGNATURAS!$B$2:$J$91,9,FALSE()),""))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IF(DATOS!$A7000="",0,IF(CONFIG_METADATA!$B$4&lt;&gt;"OR+EX",--(DATOS!$G7000=CONFIG_METADATA!$B$4),IF(DATOS!$G7000="EX",1,IF(DATOS!$G7000="OR",--(COUNTIFS(nNIA,DATOS!$A7000,nCURSO,DATOS!$D7000,nESPEC,DATOS!$E7000,nASIG,DATOS!$I7000,nEVAL,"EX")=0),0))))</f>
      </c>
      <c r="H7000">
        <f>IF(DATOS!$G7000&lt;&gt;"EX",0,--(COUNTIFS(nNIA,DATOS!$A7000,nCURSO,DATOS!$D7000,nESPEC,DATOS!$E7000,nASIG,DATOS!$I7000,nEVAL,"OR")=0))</f>
      </c>
      <c r="I7000">
        <f>IF(DATOS!$I7000="","",IFERROR(VLOOKUP(DATOS!$I7000,CONFIG_ASIGNATURAS!$B$2:$J$91,9,FALSE()),""))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IF(DATOS!$A7001="",0,IF(CONFIG_METADATA!$B$4&lt;&gt;"OR+EX",--(DATOS!$G7001=CONFIG_METADATA!$B$4),IF(DATOS!$G7001="EX",1,IF(DATOS!$G7001="OR",--(COUNTIFS(nNIA,DATOS!$A7001,nCURSO,DATOS!$D7001,nESPEC,DATOS!$E7001,nASIG,DATOS!$I7001,nEVAL,"EX")=0),0))))</f>
      </c>
      <c r="H7001">
        <f>IF(DATOS!$G7001&lt;&gt;"EX",0,--(COUNTIFS(nNIA,DATOS!$A7001,nCURSO,DATOS!$D7001,nESPEC,DATOS!$E7001,nASIG,DATOS!$I7001,nEVAL,"OR")=0))</f>
      </c>
      <c r="I7001">
        <f>IF(DATOS!$I7001="","",IFERROR(VLOOKUP(DATOS!$I7001,CONFIG_ASIGNATURAS!$B$2:$J$91,9,FALSE()),""))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IF(DATOS!$A7002="",0,IF(CONFIG_METADATA!$B$4&lt;&gt;"OR+EX",--(DATOS!$G7002=CONFIG_METADATA!$B$4),IF(DATOS!$G7002="EX",1,IF(DATOS!$G7002="OR",--(COUNTIFS(nNIA,DATOS!$A7002,nCURSO,DATOS!$D7002,nESPEC,DATOS!$E7002,nASIG,DATOS!$I7002,nEVAL,"EX")=0),0))))</f>
      </c>
      <c r="H7002">
        <f>IF(DATOS!$G7002&lt;&gt;"EX",0,--(COUNTIFS(nNIA,DATOS!$A7002,nCURSO,DATOS!$D7002,nESPEC,DATOS!$E7002,nASIG,DATOS!$I7002,nEVAL,"OR")=0))</f>
      </c>
      <c r="I7002">
        <f>IF(DATOS!$I7002="","",IFERROR(VLOOKUP(DATOS!$I7002,CONFIG_ASIGNATURAS!$B$2:$J$91,9,FALSE()),""))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IF(DATOS!$A7003="",0,IF(CONFIG_METADATA!$B$4&lt;&gt;"OR+EX",--(DATOS!$G7003=CONFIG_METADATA!$B$4),IF(DATOS!$G7003="EX",1,IF(DATOS!$G7003="OR",--(COUNTIFS(nNIA,DATOS!$A7003,nCURSO,DATOS!$D7003,nESPEC,DATOS!$E7003,nASIG,DATOS!$I7003,nEVAL,"EX")=0),0))))</f>
      </c>
      <c r="H7003">
        <f>IF(DATOS!$G7003&lt;&gt;"EX",0,--(COUNTIFS(nNIA,DATOS!$A7003,nCURSO,DATOS!$D7003,nESPEC,DATOS!$E7003,nASIG,DATOS!$I7003,nEVAL,"OR")=0))</f>
      </c>
      <c r="I7003">
        <f>IF(DATOS!$I7003="","",IFERROR(VLOOKUP(DATOS!$I7003,CONFIG_ASIGNATURAS!$B$2:$J$91,9,FALSE()),""))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IF(DATOS!$A7004="",0,IF(CONFIG_METADATA!$B$4&lt;&gt;"OR+EX",--(DATOS!$G7004=CONFIG_METADATA!$B$4),IF(DATOS!$G7004="EX",1,IF(DATOS!$G7004="OR",--(COUNTIFS(nNIA,DATOS!$A7004,nCURSO,DATOS!$D7004,nESPEC,DATOS!$E7004,nASIG,DATOS!$I7004,nEVAL,"EX")=0),0))))</f>
      </c>
      <c r="H7004">
        <f>IF(DATOS!$G7004&lt;&gt;"EX",0,--(COUNTIFS(nNIA,DATOS!$A7004,nCURSO,DATOS!$D7004,nESPEC,DATOS!$E7004,nASIG,DATOS!$I7004,nEVAL,"OR")=0))</f>
      </c>
      <c r="I7004">
        <f>IF(DATOS!$I7004="","",IFERROR(VLOOKUP(DATOS!$I7004,CONFIG_ASIGNATURAS!$B$2:$J$91,9,FALSE()),""))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IF(DATOS!$A7005="",0,IF(CONFIG_METADATA!$B$4&lt;&gt;"OR+EX",--(DATOS!$G7005=CONFIG_METADATA!$B$4),IF(DATOS!$G7005="EX",1,IF(DATOS!$G7005="OR",--(COUNTIFS(nNIA,DATOS!$A7005,nCURSO,DATOS!$D7005,nESPEC,DATOS!$E7005,nASIG,DATOS!$I7005,nEVAL,"EX")=0),0))))</f>
      </c>
      <c r="H7005">
        <f>IF(DATOS!$G7005&lt;&gt;"EX",0,--(COUNTIFS(nNIA,DATOS!$A7005,nCURSO,DATOS!$D7005,nESPEC,DATOS!$E7005,nASIG,DATOS!$I7005,nEVAL,"OR")=0))</f>
      </c>
      <c r="I7005">
        <f>IF(DATOS!$I7005="","",IFERROR(VLOOKUP(DATOS!$I7005,CONFIG_ASIGNATURAS!$B$2:$J$91,9,FALSE()),""))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IF(DATOS!$A7006="",0,IF(CONFIG_METADATA!$B$4&lt;&gt;"OR+EX",--(DATOS!$G7006=CONFIG_METADATA!$B$4),IF(DATOS!$G7006="EX",1,IF(DATOS!$G7006="OR",--(COUNTIFS(nNIA,DATOS!$A7006,nCURSO,DATOS!$D7006,nESPEC,DATOS!$E7006,nASIG,DATOS!$I7006,nEVAL,"EX")=0),0))))</f>
      </c>
      <c r="H7006">
        <f>IF(DATOS!$G7006&lt;&gt;"EX",0,--(COUNTIFS(nNIA,DATOS!$A7006,nCURSO,DATOS!$D7006,nESPEC,DATOS!$E7006,nASIG,DATOS!$I7006,nEVAL,"OR")=0))</f>
      </c>
      <c r="I7006">
        <f>IF(DATOS!$I7006="","",IFERROR(VLOOKUP(DATOS!$I7006,CONFIG_ASIGNATURAS!$B$2:$J$91,9,FALSE()),""))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IF(DATOS!$A7007="",0,IF(CONFIG_METADATA!$B$4&lt;&gt;"OR+EX",--(DATOS!$G7007=CONFIG_METADATA!$B$4),IF(DATOS!$G7007="EX",1,IF(DATOS!$G7007="OR",--(COUNTIFS(nNIA,DATOS!$A7007,nCURSO,DATOS!$D7007,nESPEC,DATOS!$E7007,nASIG,DATOS!$I7007,nEVAL,"EX")=0),0))))</f>
      </c>
      <c r="H7007">
        <f>IF(DATOS!$G7007&lt;&gt;"EX",0,--(COUNTIFS(nNIA,DATOS!$A7007,nCURSO,DATOS!$D7007,nESPEC,DATOS!$E7007,nASIG,DATOS!$I7007,nEVAL,"OR")=0))</f>
      </c>
      <c r="I7007">
        <f>IF(DATOS!$I7007="","",IFERROR(VLOOKUP(DATOS!$I7007,CONFIG_ASIGNATURAS!$B$2:$J$91,9,FALSE()),""))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IF(DATOS!$A7008="",0,IF(CONFIG_METADATA!$B$4&lt;&gt;"OR+EX",--(DATOS!$G7008=CONFIG_METADATA!$B$4),IF(DATOS!$G7008="EX",1,IF(DATOS!$G7008="OR",--(COUNTIFS(nNIA,DATOS!$A7008,nCURSO,DATOS!$D7008,nESPEC,DATOS!$E7008,nASIG,DATOS!$I7008,nEVAL,"EX")=0),0))))</f>
      </c>
      <c r="H7008">
        <f>IF(DATOS!$G7008&lt;&gt;"EX",0,--(COUNTIFS(nNIA,DATOS!$A7008,nCURSO,DATOS!$D7008,nESPEC,DATOS!$E7008,nASIG,DATOS!$I7008,nEVAL,"OR")=0))</f>
      </c>
      <c r="I7008">
        <f>IF(DATOS!$I7008="","",IFERROR(VLOOKUP(DATOS!$I7008,CONFIG_ASIGNATURAS!$B$2:$J$91,9,FALSE()),""))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IF(DATOS!$A7009="",0,IF(CONFIG_METADATA!$B$4&lt;&gt;"OR+EX",--(DATOS!$G7009=CONFIG_METADATA!$B$4),IF(DATOS!$G7009="EX",1,IF(DATOS!$G7009="OR",--(COUNTIFS(nNIA,DATOS!$A7009,nCURSO,DATOS!$D7009,nESPEC,DATOS!$E7009,nASIG,DATOS!$I7009,nEVAL,"EX")=0),0))))</f>
      </c>
      <c r="H7009">
        <f>IF(DATOS!$G7009&lt;&gt;"EX",0,--(COUNTIFS(nNIA,DATOS!$A7009,nCURSO,DATOS!$D7009,nESPEC,DATOS!$E7009,nASIG,DATOS!$I7009,nEVAL,"OR")=0))</f>
      </c>
      <c r="I7009">
        <f>IF(DATOS!$I7009="","",IFERROR(VLOOKUP(DATOS!$I7009,CONFIG_ASIGNATURAS!$B$2:$J$91,9,FALSE()),""))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IF(DATOS!$A7010="",0,IF(CONFIG_METADATA!$B$4&lt;&gt;"OR+EX",--(DATOS!$G7010=CONFIG_METADATA!$B$4),IF(DATOS!$G7010="EX",1,IF(DATOS!$G7010="OR",--(COUNTIFS(nNIA,DATOS!$A7010,nCURSO,DATOS!$D7010,nESPEC,DATOS!$E7010,nASIG,DATOS!$I7010,nEVAL,"EX")=0),0))))</f>
      </c>
      <c r="H7010">
        <f>IF(DATOS!$G7010&lt;&gt;"EX",0,--(COUNTIFS(nNIA,DATOS!$A7010,nCURSO,DATOS!$D7010,nESPEC,DATOS!$E7010,nASIG,DATOS!$I7010,nEVAL,"OR")=0))</f>
      </c>
      <c r="I7010">
        <f>IF(DATOS!$I7010="","",IFERROR(VLOOKUP(DATOS!$I7010,CONFIG_ASIGNATURAS!$B$2:$J$91,9,FALSE()),""))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IF(DATOS!$A7011="",0,IF(CONFIG_METADATA!$B$4&lt;&gt;"OR+EX",--(DATOS!$G7011=CONFIG_METADATA!$B$4),IF(DATOS!$G7011="EX",1,IF(DATOS!$G7011="OR",--(COUNTIFS(nNIA,DATOS!$A7011,nCURSO,DATOS!$D7011,nESPEC,DATOS!$E7011,nASIG,DATOS!$I7011,nEVAL,"EX")=0),0))))</f>
      </c>
      <c r="H7011">
        <f>IF(DATOS!$G7011&lt;&gt;"EX",0,--(COUNTIFS(nNIA,DATOS!$A7011,nCURSO,DATOS!$D7011,nESPEC,DATOS!$E7011,nASIG,DATOS!$I7011,nEVAL,"OR")=0))</f>
      </c>
      <c r="I7011">
        <f>IF(DATOS!$I7011="","",IFERROR(VLOOKUP(DATOS!$I7011,CONFIG_ASIGNATURAS!$B$2:$J$91,9,FALSE()),""))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IF(DATOS!$A7012="",0,IF(CONFIG_METADATA!$B$4&lt;&gt;"OR+EX",--(DATOS!$G7012=CONFIG_METADATA!$B$4),IF(DATOS!$G7012="EX",1,IF(DATOS!$G7012="OR",--(COUNTIFS(nNIA,DATOS!$A7012,nCURSO,DATOS!$D7012,nESPEC,DATOS!$E7012,nASIG,DATOS!$I7012,nEVAL,"EX")=0),0))))</f>
      </c>
      <c r="H7012">
        <f>IF(DATOS!$G7012&lt;&gt;"EX",0,--(COUNTIFS(nNIA,DATOS!$A7012,nCURSO,DATOS!$D7012,nESPEC,DATOS!$E7012,nASIG,DATOS!$I7012,nEVAL,"OR")=0))</f>
      </c>
      <c r="I7012">
        <f>IF(DATOS!$I7012="","",IFERROR(VLOOKUP(DATOS!$I7012,CONFIG_ASIGNATURAS!$B$2:$J$91,9,FALSE()),""))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IF(DATOS!$A7013="",0,IF(CONFIG_METADATA!$B$4&lt;&gt;"OR+EX",--(DATOS!$G7013=CONFIG_METADATA!$B$4),IF(DATOS!$G7013="EX",1,IF(DATOS!$G7013="OR",--(COUNTIFS(nNIA,DATOS!$A7013,nCURSO,DATOS!$D7013,nESPEC,DATOS!$E7013,nASIG,DATOS!$I7013,nEVAL,"EX")=0),0))))</f>
      </c>
      <c r="H7013">
        <f>IF(DATOS!$G7013&lt;&gt;"EX",0,--(COUNTIFS(nNIA,DATOS!$A7013,nCURSO,DATOS!$D7013,nESPEC,DATOS!$E7013,nASIG,DATOS!$I7013,nEVAL,"OR")=0))</f>
      </c>
      <c r="I7013">
        <f>IF(DATOS!$I7013="","",IFERROR(VLOOKUP(DATOS!$I7013,CONFIG_ASIGNATURAS!$B$2:$J$91,9,FALSE()),""))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IF(DATOS!$A7014="",0,IF(CONFIG_METADATA!$B$4&lt;&gt;"OR+EX",--(DATOS!$G7014=CONFIG_METADATA!$B$4),IF(DATOS!$G7014="EX",1,IF(DATOS!$G7014="OR",--(COUNTIFS(nNIA,DATOS!$A7014,nCURSO,DATOS!$D7014,nESPEC,DATOS!$E7014,nASIG,DATOS!$I7014,nEVAL,"EX")=0),0))))</f>
      </c>
      <c r="H7014">
        <f>IF(DATOS!$G7014&lt;&gt;"EX",0,--(COUNTIFS(nNIA,DATOS!$A7014,nCURSO,DATOS!$D7014,nESPEC,DATOS!$E7014,nASIG,DATOS!$I7014,nEVAL,"OR")=0))</f>
      </c>
      <c r="I7014">
        <f>IF(DATOS!$I7014="","",IFERROR(VLOOKUP(DATOS!$I7014,CONFIG_ASIGNATURAS!$B$2:$J$91,9,FALSE()),""))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IF(DATOS!$A7015="",0,IF(CONFIG_METADATA!$B$4&lt;&gt;"OR+EX",--(DATOS!$G7015=CONFIG_METADATA!$B$4),IF(DATOS!$G7015="EX",1,IF(DATOS!$G7015="OR",--(COUNTIFS(nNIA,DATOS!$A7015,nCURSO,DATOS!$D7015,nESPEC,DATOS!$E7015,nASIG,DATOS!$I7015,nEVAL,"EX")=0),0))))</f>
      </c>
      <c r="H7015">
        <f>IF(DATOS!$G7015&lt;&gt;"EX",0,--(COUNTIFS(nNIA,DATOS!$A7015,nCURSO,DATOS!$D7015,nESPEC,DATOS!$E7015,nASIG,DATOS!$I7015,nEVAL,"OR")=0))</f>
      </c>
      <c r="I7015">
        <f>IF(DATOS!$I7015="","",IFERROR(VLOOKUP(DATOS!$I7015,CONFIG_ASIGNATURAS!$B$2:$J$91,9,FALSE()),""))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IF(DATOS!$A7016="",0,IF(CONFIG_METADATA!$B$4&lt;&gt;"OR+EX",--(DATOS!$G7016=CONFIG_METADATA!$B$4),IF(DATOS!$G7016="EX",1,IF(DATOS!$G7016="OR",--(COUNTIFS(nNIA,DATOS!$A7016,nCURSO,DATOS!$D7016,nESPEC,DATOS!$E7016,nASIG,DATOS!$I7016,nEVAL,"EX")=0),0))))</f>
      </c>
      <c r="H7016">
        <f>IF(DATOS!$G7016&lt;&gt;"EX",0,--(COUNTIFS(nNIA,DATOS!$A7016,nCURSO,DATOS!$D7016,nESPEC,DATOS!$E7016,nASIG,DATOS!$I7016,nEVAL,"OR")=0))</f>
      </c>
      <c r="I7016">
        <f>IF(DATOS!$I7016="","",IFERROR(VLOOKUP(DATOS!$I7016,CONFIG_ASIGNATURAS!$B$2:$J$91,9,FALSE()),""))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IF(DATOS!$A7017="",0,IF(CONFIG_METADATA!$B$4&lt;&gt;"OR+EX",--(DATOS!$G7017=CONFIG_METADATA!$B$4),IF(DATOS!$G7017="EX",1,IF(DATOS!$G7017="OR",--(COUNTIFS(nNIA,DATOS!$A7017,nCURSO,DATOS!$D7017,nESPEC,DATOS!$E7017,nASIG,DATOS!$I7017,nEVAL,"EX")=0),0))))</f>
      </c>
      <c r="H7017">
        <f>IF(DATOS!$G7017&lt;&gt;"EX",0,--(COUNTIFS(nNIA,DATOS!$A7017,nCURSO,DATOS!$D7017,nESPEC,DATOS!$E7017,nASIG,DATOS!$I7017,nEVAL,"OR")=0))</f>
      </c>
      <c r="I7017">
        <f>IF(DATOS!$I7017="","",IFERROR(VLOOKUP(DATOS!$I7017,CONFIG_ASIGNATURAS!$B$2:$J$91,9,FALSE()),""))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IF(DATOS!$A7018="",0,IF(CONFIG_METADATA!$B$4&lt;&gt;"OR+EX",--(DATOS!$G7018=CONFIG_METADATA!$B$4),IF(DATOS!$G7018="EX",1,IF(DATOS!$G7018="OR",--(COUNTIFS(nNIA,DATOS!$A7018,nCURSO,DATOS!$D7018,nESPEC,DATOS!$E7018,nASIG,DATOS!$I7018,nEVAL,"EX")=0),0))))</f>
      </c>
      <c r="H7018">
        <f>IF(DATOS!$G7018&lt;&gt;"EX",0,--(COUNTIFS(nNIA,DATOS!$A7018,nCURSO,DATOS!$D7018,nESPEC,DATOS!$E7018,nASIG,DATOS!$I7018,nEVAL,"OR")=0))</f>
      </c>
      <c r="I7018">
        <f>IF(DATOS!$I7018="","",IFERROR(VLOOKUP(DATOS!$I7018,CONFIG_ASIGNATURAS!$B$2:$J$91,9,FALSE()),""))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IF(DATOS!$A7019="",0,IF(CONFIG_METADATA!$B$4&lt;&gt;"OR+EX",--(DATOS!$G7019=CONFIG_METADATA!$B$4),IF(DATOS!$G7019="EX",1,IF(DATOS!$G7019="OR",--(COUNTIFS(nNIA,DATOS!$A7019,nCURSO,DATOS!$D7019,nESPEC,DATOS!$E7019,nASIG,DATOS!$I7019,nEVAL,"EX")=0),0))))</f>
      </c>
      <c r="H7019">
        <f>IF(DATOS!$G7019&lt;&gt;"EX",0,--(COUNTIFS(nNIA,DATOS!$A7019,nCURSO,DATOS!$D7019,nESPEC,DATOS!$E7019,nASIG,DATOS!$I7019,nEVAL,"OR")=0))</f>
      </c>
      <c r="I7019">
        <f>IF(DATOS!$I7019="","",IFERROR(VLOOKUP(DATOS!$I7019,CONFIG_ASIGNATURAS!$B$2:$J$91,9,FALSE()),""))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IF(DATOS!$A7020="",0,IF(CONFIG_METADATA!$B$4&lt;&gt;"OR+EX",--(DATOS!$G7020=CONFIG_METADATA!$B$4),IF(DATOS!$G7020="EX",1,IF(DATOS!$G7020="OR",--(COUNTIFS(nNIA,DATOS!$A7020,nCURSO,DATOS!$D7020,nESPEC,DATOS!$E7020,nASIG,DATOS!$I7020,nEVAL,"EX")=0),0))))</f>
      </c>
      <c r="H7020">
        <f>IF(DATOS!$G7020&lt;&gt;"EX",0,--(COUNTIFS(nNIA,DATOS!$A7020,nCURSO,DATOS!$D7020,nESPEC,DATOS!$E7020,nASIG,DATOS!$I7020,nEVAL,"OR")=0))</f>
      </c>
      <c r="I7020">
        <f>IF(DATOS!$I7020="","",IFERROR(VLOOKUP(DATOS!$I7020,CONFIG_ASIGNATURAS!$B$2:$J$91,9,FALSE()),""))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IF(DATOS!$A7021="",0,IF(CONFIG_METADATA!$B$4&lt;&gt;"OR+EX",--(DATOS!$G7021=CONFIG_METADATA!$B$4),IF(DATOS!$G7021="EX",1,IF(DATOS!$G7021="OR",--(COUNTIFS(nNIA,DATOS!$A7021,nCURSO,DATOS!$D7021,nESPEC,DATOS!$E7021,nASIG,DATOS!$I7021,nEVAL,"EX")=0),0))))</f>
      </c>
      <c r="H7021">
        <f>IF(DATOS!$G7021&lt;&gt;"EX",0,--(COUNTIFS(nNIA,DATOS!$A7021,nCURSO,DATOS!$D7021,nESPEC,DATOS!$E7021,nASIG,DATOS!$I7021,nEVAL,"OR")=0))</f>
      </c>
      <c r="I7021">
        <f>IF(DATOS!$I7021="","",IFERROR(VLOOKUP(DATOS!$I7021,CONFIG_ASIGNATURAS!$B$2:$J$91,9,FALSE()),""))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IF(DATOS!$A7022="",0,IF(CONFIG_METADATA!$B$4&lt;&gt;"OR+EX",--(DATOS!$G7022=CONFIG_METADATA!$B$4),IF(DATOS!$G7022="EX",1,IF(DATOS!$G7022="OR",--(COUNTIFS(nNIA,DATOS!$A7022,nCURSO,DATOS!$D7022,nESPEC,DATOS!$E7022,nASIG,DATOS!$I7022,nEVAL,"EX")=0),0))))</f>
      </c>
      <c r="H7022">
        <f>IF(DATOS!$G7022&lt;&gt;"EX",0,--(COUNTIFS(nNIA,DATOS!$A7022,nCURSO,DATOS!$D7022,nESPEC,DATOS!$E7022,nASIG,DATOS!$I7022,nEVAL,"OR")=0))</f>
      </c>
      <c r="I7022">
        <f>IF(DATOS!$I7022="","",IFERROR(VLOOKUP(DATOS!$I7022,CONFIG_ASIGNATURAS!$B$2:$J$91,9,FALSE()),""))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IF(DATOS!$A7023="",0,IF(CONFIG_METADATA!$B$4&lt;&gt;"OR+EX",--(DATOS!$G7023=CONFIG_METADATA!$B$4),IF(DATOS!$G7023="EX",1,IF(DATOS!$G7023="OR",--(COUNTIFS(nNIA,DATOS!$A7023,nCURSO,DATOS!$D7023,nESPEC,DATOS!$E7023,nASIG,DATOS!$I7023,nEVAL,"EX")=0),0))))</f>
      </c>
      <c r="H7023">
        <f>IF(DATOS!$G7023&lt;&gt;"EX",0,--(COUNTIFS(nNIA,DATOS!$A7023,nCURSO,DATOS!$D7023,nESPEC,DATOS!$E7023,nASIG,DATOS!$I7023,nEVAL,"OR")=0))</f>
      </c>
      <c r="I7023">
        <f>IF(DATOS!$I7023="","",IFERROR(VLOOKUP(DATOS!$I7023,CONFIG_ASIGNATURAS!$B$2:$J$91,9,FALSE()),""))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IF(DATOS!$A7024="",0,IF(CONFIG_METADATA!$B$4&lt;&gt;"OR+EX",--(DATOS!$G7024=CONFIG_METADATA!$B$4),IF(DATOS!$G7024="EX",1,IF(DATOS!$G7024="OR",--(COUNTIFS(nNIA,DATOS!$A7024,nCURSO,DATOS!$D7024,nESPEC,DATOS!$E7024,nASIG,DATOS!$I7024,nEVAL,"EX")=0),0))))</f>
      </c>
      <c r="H7024">
        <f>IF(DATOS!$G7024&lt;&gt;"EX",0,--(COUNTIFS(nNIA,DATOS!$A7024,nCURSO,DATOS!$D7024,nESPEC,DATOS!$E7024,nASIG,DATOS!$I7024,nEVAL,"OR")=0))</f>
      </c>
      <c r="I7024">
        <f>IF(DATOS!$I7024="","",IFERROR(VLOOKUP(DATOS!$I7024,CONFIG_ASIGNATURAS!$B$2:$J$91,9,FALSE()),""))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IF(DATOS!$A7025="",0,IF(CONFIG_METADATA!$B$4&lt;&gt;"OR+EX",--(DATOS!$G7025=CONFIG_METADATA!$B$4),IF(DATOS!$G7025="EX",1,IF(DATOS!$G7025="OR",--(COUNTIFS(nNIA,DATOS!$A7025,nCURSO,DATOS!$D7025,nESPEC,DATOS!$E7025,nASIG,DATOS!$I7025,nEVAL,"EX")=0),0))))</f>
      </c>
      <c r="H7025">
        <f>IF(DATOS!$G7025&lt;&gt;"EX",0,--(COUNTIFS(nNIA,DATOS!$A7025,nCURSO,DATOS!$D7025,nESPEC,DATOS!$E7025,nASIG,DATOS!$I7025,nEVAL,"OR")=0))</f>
      </c>
      <c r="I7025">
        <f>IF(DATOS!$I7025="","",IFERROR(VLOOKUP(DATOS!$I7025,CONFIG_ASIGNATURAS!$B$2:$J$91,9,FALSE()),""))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IF(DATOS!$A7026="",0,IF(CONFIG_METADATA!$B$4&lt;&gt;"OR+EX",--(DATOS!$G7026=CONFIG_METADATA!$B$4),IF(DATOS!$G7026="EX",1,IF(DATOS!$G7026="OR",--(COUNTIFS(nNIA,DATOS!$A7026,nCURSO,DATOS!$D7026,nESPEC,DATOS!$E7026,nASIG,DATOS!$I7026,nEVAL,"EX")=0),0))))</f>
      </c>
      <c r="H7026">
        <f>IF(DATOS!$G7026&lt;&gt;"EX",0,--(COUNTIFS(nNIA,DATOS!$A7026,nCURSO,DATOS!$D7026,nESPEC,DATOS!$E7026,nASIG,DATOS!$I7026,nEVAL,"OR")=0))</f>
      </c>
      <c r="I7026">
        <f>IF(DATOS!$I7026="","",IFERROR(VLOOKUP(DATOS!$I7026,CONFIG_ASIGNATURAS!$B$2:$J$91,9,FALSE()),""))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IF(DATOS!$A7027="",0,IF(CONFIG_METADATA!$B$4&lt;&gt;"OR+EX",--(DATOS!$G7027=CONFIG_METADATA!$B$4),IF(DATOS!$G7027="EX",1,IF(DATOS!$G7027="OR",--(COUNTIFS(nNIA,DATOS!$A7027,nCURSO,DATOS!$D7027,nESPEC,DATOS!$E7027,nASIG,DATOS!$I7027,nEVAL,"EX")=0),0))))</f>
      </c>
      <c r="H7027">
        <f>IF(DATOS!$G7027&lt;&gt;"EX",0,--(COUNTIFS(nNIA,DATOS!$A7027,nCURSO,DATOS!$D7027,nESPEC,DATOS!$E7027,nASIG,DATOS!$I7027,nEVAL,"OR")=0))</f>
      </c>
      <c r="I7027">
        <f>IF(DATOS!$I7027="","",IFERROR(VLOOKUP(DATOS!$I7027,CONFIG_ASIGNATURAS!$B$2:$J$91,9,FALSE()),""))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IF(DATOS!$A7028="",0,IF(CONFIG_METADATA!$B$4&lt;&gt;"OR+EX",--(DATOS!$G7028=CONFIG_METADATA!$B$4),IF(DATOS!$G7028="EX",1,IF(DATOS!$G7028="OR",--(COUNTIFS(nNIA,DATOS!$A7028,nCURSO,DATOS!$D7028,nESPEC,DATOS!$E7028,nASIG,DATOS!$I7028,nEVAL,"EX")=0),0))))</f>
      </c>
      <c r="H7028">
        <f>IF(DATOS!$G7028&lt;&gt;"EX",0,--(COUNTIFS(nNIA,DATOS!$A7028,nCURSO,DATOS!$D7028,nESPEC,DATOS!$E7028,nASIG,DATOS!$I7028,nEVAL,"OR")=0))</f>
      </c>
      <c r="I7028">
        <f>IF(DATOS!$I7028="","",IFERROR(VLOOKUP(DATOS!$I7028,CONFIG_ASIGNATURAS!$B$2:$J$91,9,FALSE()),""))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IF(DATOS!$A7029="",0,IF(CONFIG_METADATA!$B$4&lt;&gt;"OR+EX",--(DATOS!$G7029=CONFIG_METADATA!$B$4),IF(DATOS!$G7029="EX",1,IF(DATOS!$G7029="OR",--(COUNTIFS(nNIA,DATOS!$A7029,nCURSO,DATOS!$D7029,nESPEC,DATOS!$E7029,nASIG,DATOS!$I7029,nEVAL,"EX")=0),0))))</f>
      </c>
      <c r="H7029">
        <f>IF(DATOS!$G7029&lt;&gt;"EX",0,--(COUNTIFS(nNIA,DATOS!$A7029,nCURSO,DATOS!$D7029,nESPEC,DATOS!$E7029,nASIG,DATOS!$I7029,nEVAL,"OR")=0))</f>
      </c>
      <c r="I7029">
        <f>IF(DATOS!$I7029="","",IFERROR(VLOOKUP(DATOS!$I7029,CONFIG_ASIGNATURAS!$B$2:$J$91,9,FALSE()),""))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IF(DATOS!$A7030="",0,IF(CONFIG_METADATA!$B$4&lt;&gt;"OR+EX",--(DATOS!$G7030=CONFIG_METADATA!$B$4),IF(DATOS!$G7030="EX",1,IF(DATOS!$G7030="OR",--(COUNTIFS(nNIA,DATOS!$A7030,nCURSO,DATOS!$D7030,nESPEC,DATOS!$E7030,nASIG,DATOS!$I7030,nEVAL,"EX")=0),0))))</f>
      </c>
      <c r="H7030">
        <f>IF(DATOS!$G7030&lt;&gt;"EX",0,--(COUNTIFS(nNIA,DATOS!$A7030,nCURSO,DATOS!$D7030,nESPEC,DATOS!$E7030,nASIG,DATOS!$I7030,nEVAL,"OR")=0))</f>
      </c>
      <c r="I7030">
        <f>IF(DATOS!$I7030="","",IFERROR(VLOOKUP(DATOS!$I7030,CONFIG_ASIGNATURAS!$B$2:$J$91,9,FALSE()),""))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IF(DATOS!$A7031="",0,IF(CONFIG_METADATA!$B$4&lt;&gt;"OR+EX",--(DATOS!$G7031=CONFIG_METADATA!$B$4),IF(DATOS!$G7031="EX",1,IF(DATOS!$G7031="OR",--(COUNTIFS(nNIA,DATOS!$A7031,nCURSO,DATOS!$D7031,nESPEC,DATOS!$E7031,nASIG,DATOS!$I7031,nEVAL,"EX")=0),0))))</f>
      </c>
      <c r="H7031">
        <f>IF(DATOS!$G7031&lt;&gt;"EX",0,--(COUNTIFS(nNIA,DATOS!$A7031,nCURSO,DATOS!$D7031,nESPEC,DATOS!$E7031,nASIG,DATOS!$I7031,nEVAL,"OR")=0))</f>
      </c>
      <c r="I7031">
        <f>IF(DATOS!$I7031="","",IFERROR(VLOOKUP(DATOS!$I7031,CONFIG_ASIGNATURAS!$B$2:$J$91,9,FALSE()),""))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IF(DATOS!$A7032="",0,IF(CONFIG_METADATA!$B$4&lt;&gt;"OR+EX",--(DATOS!$G7032=CONFIG_METADATA!$B$4),IF(DATOS!$G7032="EX",1,IF(DATOS!$G7032="OR",--(COUNTIFS(nNIA,DATOS!$A7032,nCURSO,DATOS!$D7032,nESPEC,DATOS!$E7032,nASIG,DATOS!$I7032,nEVAL,"EX")=0),0))))</f>
      </c>
      <c r="H7032">
        <f>IF(DATOS!$G7032&lt;&gt;"EX",0,--(COUNTIFS(nNIA,DATOS!$A7032,nCURSO,DATOS!$D7032,nESPEC,DATOS!$E7032,nASIG,DATOS!$I7032,nEVAL,"OR")=0))</f>
      </c>
      <c r="I7032">
        <f>IF(DATOS!$I7032="","",IFERROR(VLOOKUP(DATOS!$I7032,CONFIG_ASIGNATURAS!$B$2:$J$91,9,FALSE()),""))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IF(DATOS!$A7033="",0,IF(CONFIG_METADATA!$B$4&lt;&gt;"OR+EX",--(DATOS!$G7033=CONFIG_METADATA!$B$4),IF(DATOS!$G7033="EX",1,IF(DATOS!$G7033="OR",--(COUNTIFS(nNIA,DATOS!$A7033,nCURSO,DATOS!$D7033,nESPEC,DATOS!$E7033,nASIG,DATOS!$I7033,nEVAL,"EX")=0),0))))</f>
      </c>
      <c r="H7033">
        <f>IF(DATOS!$G7033&lt;&gt;"EX",0,--(COUNTIFS(nNIA,DATOS!$A7033,nCURSO,DATOS!$D7033,nESPEC,DATOS!$E7033,nASIG,DATOS!$I7033,nEVAL,"OR")=0))</f>
      </c>
      <c r="I7033">
        <f>IF(DATOS!$I7033="","",IFERROR(VLOOKUP(DATOS!$I7033,CONFIG_ASIGNATURAS!$B$2:$J$91,9,FALSE()),""))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IF(DATOS!$A7034="",0,IF(CONFIG_METADATA!$B$4&lt;&gt;"OR+EX",--(DATOS!$G7034=CONFIG_METADATA!$B$4),IF(DATOS!$G7034="EX",1,IF(DATOS!$G7034="OR",--(COUNTIFS(nNIA,DATOS!$A7034,nCURSO,DATOS!$D7034,nESPEC,DATOS!$E7034,nASIG,DATOS!$I7034,nEVAL,"EX")=0),0))))</f>
      </c>
      <c r="H7034">
        <f>IF(DATOS!$G7034&lt;&gt;"EX",0,--(COUNTIFS(nNIA,DATOS!$A7034,nCURSO,DATOS!$D7034,nESPEC,DATOS!$E7034,nASIG,DATOS!$I7034,nEVAL,"OR")=0))</f>
      </c>
      <c r="I7034">
        <f>IF(DATOS!$I7034="","",IFERROR(VLOOKUP(DATOS!$I7034,CONFIG_ASIGNATURAS!$B$2:$J$91,9,FALSE()),""))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IF(DATOS!$A7035="",0,IF(CONFIG_METADATA!$B$4&lt;&gt;"OR+EX",--(DATOS!$G7035=CONFIG_METADATA!$B$4),IF(DATOS!$G7035="EX",1,IF(DATOS!$G7035="OR",--(COUNTIFS(nNIA,DATOS!$A7035,nCURSO,DATOS!$D7035,nESPEC,DATOS!$E7035,nASIG,DATOS!$I7035,nEVAL,"EX")=0),0))))</f>
      </c>
      <c r="H7035">
        <f>IF(DATOS!$G7035&lt;&gt;"EX",0,--(COUNTIFS(nNIA,DATOS!$A7035,nCURSO,DATOS!$D7035,nESPEC,DATOS!$E7035,nASIG,DATOS!$I7035,nEVAL,"OR")=0))</f>
      </c>
      <c r="I7035">
        <f>IF(DATOS!$I7035="","",IFERROR(VLOOKUP(DATOS!$I7035,CONFIG_ASIGNATURAS!$B$2:$J$91,9,FALSE()),""))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IF(DATOS!$A7036="",0,IF(CONFIG_METADATA!$B$4&lt;&gt;"OR+EX",--(DATOS!$G7036=CONFIG_METADATA!$B$4),IF(DATOS!$G7036="EX",1,IF(DATOS!$G7036="OR",--(COUNTIFS(nNIA,DATOS!$A7036,nCURSO,DATOS!$D7036,nESPEC,DATOS!$E7036,nASIG,DATOS!$I7036,nEVAL,"EX")=0),0))))</f>
      </c>
      <c r="H7036">
        <f>IF(DATOS!$G7036&lt;&gt;"EX",0,--(COUNTIFS(nNIA,DATOS!$A7036,nCURSO,DATOS!$D7036,nESPEC,DATOS!$E7036,nASIG,DATOS!$I7036,nEVAL,"OR")=0))</f>
      </c>
      <c r="I7036">
        <f>IF(DATOS!$I7036="","",IFERROR(VLOOKUP(DATOS!$I7036,CONFIG_ASIGNATURAS!$B$2:$J$91,9,FALSE()),""))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IF(DATOS!$A7037="",0,IF(CONFIG_METADATA!$B$4&lt;&gt;"OR+EX",--(DATOS!$G7037=CONFIG_METADATA!$B$4),IF(DATOS!$G7037="EX",1,IF(DATOS!$G7037="OR",--(COUNTIFS(nNIA,DATOS!$A7037,nCURSO,DATOS!$D7037,nESPEC,DATOS!$E7037,nASIG,DATOS!$I7037,nEVAL,"EX")=0),0))))</f>
      </c>
      <c r="H7037">
        <f>IF(DATOS!$G7037&lt;&gt;"EX",0,--(COUNTIFS(nNIA,DATOS!$A7037,nCURSO,DATOS!$D7037,nESPEC,DATOS!$E7037,nASIG,DATOS!$I7037,nEVAL,"OR")=0))</f>
      </c>
      <c r="I7037">
        <f>IF(DATOS!$I7037="","",IFERROR(VLOOKUP(DATOS!$I7037,CONFIG_ASIGNATURAS!$B$2:$J$91,9,FALSE()),""))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IF(DATOS!$A7038="",0,IF(CONFIG_METADATA!$B$4&lt;&gt;"OR+EX",--(DATOS!$G7038=CONFIG_METADATA!$B$4),IF(DATOS!$G7038="EX",1,IF(DATOS!$G7038="OR",--(COUNTIFS(nNIA,DATOS!$A7038,nCURSO,DATOS!$D7038,nESPEC,DATOS!$E7038,nASIG,DATOS!$I7038,nEVAL,"EX")=0),0))))</f>
      </c>
      <c r="H7038">
        <f>IF(DATOS!$G7038&lt;&gt;"EX",0,--(COUNTIFS(nNIA,DATOS!$A7038,nCURSO,DATOS!$D7038,nESPEC,DATOS!$E7038,nASIG,DATOS!$I7038,nEVAL,"OR")=0))</f>
      </c>
      <c r="I7038">
        <f>IF(DATOS!$I7038="","",IFERROR(VLOOKUP(DATOS!$I7038,CONFIG_ASIGNATURAS!$B$2:$J$91,9,FALSE()),""))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IF(DATOS!$A7039="",0,IF(CONFIG_METADATA!$B$4&lt;&gt;"OR+EX",--(DATOS!$G7039=CONFIG_METADATA!$B$4),IF(DATOS!$G7039="EX",1,IF(DATOS!$G7039="OR",--(COUNTIFS(nNIA,DATOS!$A7039,nCURSO,DATOS!$D7039,nESPEC,DATOS!$E7039,nASIG,DATOS!$I7039,nEVAL,"EX")=0),0))))</f>
      </c>
      <c r="H7039">
        <f>IF(DATOS!$G7039&lt;&gt;"EX",0,--(COUNTIFS(nNIA,DATOS!$A7039,nCURSO,DATOS!$D7039,nESPEC,DATOS!$E7039,nASIG,DATOS!$I7039,nEVAL,"OR")=0))</f>
      </c>
      <c r="I7039">
        <f>IF(DATOS!$I7039="","",IFERROR(VLOOKUP(DATOS!$I7039,CONFIG_ASIGNATURAS!$B$2:$J$91,9,FALSE()),""))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IF(DATOS!$A7040="",0,IF(CONFIG_METADATA!$B$4&lt;&gt;"OR+EX",--(DATOS!$G7040=CONFIG_METADATA!$B$4),IF(DATOS!$G7040="EX",1,IF(DATOS!$G7040="OR",--(COUNTIFS(nNIA,DATOS!$A7040,nCURSO,DATOS!$D7040,nESPEC,DATOS!$E7040,nASIG,DATOS!$I7040,nEVAL,"EX")=0),0))))</f>
      </c>
      <c r="H7040">
        <f>IF(DATOS!$G7040&lt;&gt;"EX",0,--(COUNTIFS(nNIA,DATOS!$A7040,nCURSO,DATOS!$D7040,nESPEC,DATOS!$E7040,nASIG,DATOS!$I7040,nEVAL,"OR")=0))</f>
      </c>
      <c r="I7040">
        <f>IF(DATOS!$I7040="","",IFERROR(VLOOKUP(DATOS!$I7040,CONFIG_ASIGNATURAS!$B$2:$J$91,9,FALSE()),""))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IF(DATOS!$A7041="",0,IF(CONFIG_METADATA!$B$4&lt;&gt;"OR+EX",--(DATOS!$G7041=CONFIG_METADATA!$B$4),IF(DATOS!$G7041="EX",1,IF(DATOS!$G7041="OR",--(COUNTIFS(nNIA,DATOS!$A7041,nCURSO,DATOS!$D7041,nESPEC,DATOS!$E7041,nASIG,DATOS!$I7041,nEVAL,"EX")=0),0))))</f>
      </c>
      <c r="H7041">
        <f>IF(DATOS!$G7041&lt;&gt;"EX",0,--(COUNTIFS(nNIA,DATOS!$A7041,nCURSO,DATOS!$D7041,nESPEC,DATOS!$E7041,nASIG,DATOS!$I7041,nEVAL,"OR")=0))</f>
      </c>
      <c r="I7041">
        <f>IF(DATOS!$I7041="","",IFERROR(VLOOKUP(DATOS!$I7041,CONFIG_ASIGNATURAS!$B$2:$J$91,9,FALSE()),""))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IF(DATOS!$A7042="",0,IF(CONFIG_METADATA!$B$4&lt;&gt;"OR+EX",--(DATOS!$G7042=CONFIG_METADATA!$B$4),IF(DATOS!$G7042="EX",1,IF(DATOS!$G7042="OR",--(COUNTIFS(nNIA,DATOS!$A7042,nCURSO,DATOS!$D7042,nESPEC,DATOS!$E7042,nASIG,DATOS!$I7042,nEVAL,"EX")=0),0))))</f>
      </c>
      <c r="H7042">
        <f>IF(DATOS!$G7042&lt;&gt;"EX",0,--(COUNTIFS(nNIA,DATOS!$A7042,nCURSO,DATOS!$D7042,nESPEC,DATOS!$E7042,nASIG,DATOS!$I7042,nEVAL,"OR")=0))</f>
      </c>
      <c r="I7042">
        <f>IF(DATOS!$I7042="","",IFERROR(VLOOKUP(DATOS!$I7042,CONFIG_ASIGNATURAS!$B$2:$J$91,9,FALSE()),""))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IF(DATOS!$A7043="",0,IF(CONFIG_METADATA!$B$4&lt;&gt;"OR+EX",--(DATOS!$G7043=CONFIG_METADATA!$B$4),IF(DATOS!$G7043="EX",1,IF(DATOS!$G7043="OR",--(COUNTIFS(nNIA,DATOS!$A7043,nCURSO,DATOS!$D7043,nESPEC,DATOS!$E7043,nASIG,DATOS!$I7043,nEVAL,"EX")=0),0))))</f>
      </c>
      <c r="H7043">
        <f>IF(DATOS!$G7043&lt;&gt;"EX",0,--(COUNTIFS(nNIA,DATOS!$A7043,nCURSO,DATOS!$D7043,nESPEC,DATOS!$E7043,nASIG,DATOS!$I7043,nEVAL,"OR")=0))</f>
      </c>
      <c r="I7043">
        <f>IF(DATOS!$I7043="","",IFERROR(VLOOKUP(DATOS!$I7043,CONFIG_ASIGNATURAS!$B$2:$J$91,9,FALSE()),""))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IF(DATOS!$A7044="",0,IF(CONFIG_METADATA!$B$4&lt;&gt;"OR+EX",--(DATOS!$G7044=CONFIG_METADATA!$B$4),IF(DATOS!$G7044="EX",1,IF(DATOS!$G7044="OR",--(COUNTIFS(nNIA,DATOS!$A7044,nCURSO,DATOS!$D7044,nESPEC,DATOS!$E7044,nASIG,DATOS!$I7044,nEVAL,"EX")=0),0))))</f>
      </c>
      <c r="H7044">
        <f>IF(DATOS!$G7044&lt;&gt;"EX",0,--(COUNTIFS(nNIA,DATOS!$A7044,nCURSO,DATOS!$D7044,nESPEC,DATOS!$E7044,nASIG,DATOS!$I7044,nEVAL,"OR")=0))</f>
      </c>
      <c r="I7044">
        <f>IF(DATOS!$I7044="","",IFERROR(VLOOKUP(DATOS!$I7044,CONFIG_ASIGNATURAS!$B$2:$J$91,9,FALSE()),""))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IF(DATOS!$A7045="",0,IF(CONFIG_METADATA!$B$4&lt;&gt;"OR+EX",--(DATOS!$G7045=CONFIG_METADATA!$B$4),IF(DATOS!$G7045="EX",1,IF(DATOS!$G7045="OR",--(COUNTIFS(nNIA,DATOS!$A7045,nCURSO,DATOS!$D7045,nESPEC,DATOS!$E7045,nASIG,DATOS!$I7045,nEVAL,"EX")=0),0))))</f>
      </c>
      <c r="H7045">
        <f>IF(DATOS!$G7045&lt;&gt;"EX",0,--(COUNTIFS(nNIA,DATOS!$A7045,nCURSO,DATOS!$D7045,nESPEC,DATOS!$E7045,nASIG,DATOS!$I7045,nEVAL,"OR")=0))</f>
      </c>
      <c r="I7045">
        <f>IF(DATOS!$I7045="","",IFERROR(VLOOKUP(DATOS!$I7045,CONFIG_ASIGNATURAS!$B$2:$J$91,9,FALSE()),""))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IF(DATOS!$A7046="",0,IF(CONFIG_METADATA!$B$4&lt;&gt;"OR+EX",--(DATOS!$G7046=CONFIG_METADATA!$B$4),IF(DATOS!$G7046="EX",1,IF(DATOS!$G7046="OR",--(COUNTIFS(nNIA,DATOS!$A7046,nCURSO,DATOS!$D7046,nESPEC,DATOS!$E7046,nASIG,DATOS!$I7046,nEVAL,"EX")=0),0))))</f>
      </c>
      <c r="H7046">
        <f>IF(DATOS!$G7046&lt;&gt;"EX",0,--(COUNTIFS(nNIA,DATOS!$A7046,nCURSO,DATOS!$D7046,nESPEC,DATOS!$E7046,nASIG,DATOS!$I7046,nEVAL,"OR")=0))</f>
      </c>
      <c r="I7046">
        <f>IF(DATOS!$I7046="","",IFERROR(VLOOKUP(DATOS!$I7046,CONFIG_ASIGNATURAS!$B$2:$J$91,9,FALSE()),""))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IF(DATOS!$A7047="",0,IF(CONFIG_METADATA!$B$4&lt;&gt;"OR+EX",--(DATOS!$G7047=CONFIG_METADATA!$B$4),IF(DATOS!$G7047="EX",1,IF(DATOS!$G7047="OR",--(COUNTIFS(nNIA,DATOS!$A7047,nCURSO,DATOS!$D7047,nESPEC,DATOS!$E7047,nASIG,DATOS!$I7047,nEVAL,"EX")=0),0))))</f>
      </c>
      <c r="H7047">
        <f>IF(DATOS!$G7047&lt;&gt;"EX",0,--(COUNTIFS(nNIA,DATOS!$A7047,nCURSO,DATOS!$D7047,nESPEC,DATOS!$E7047,nASIG,DATOS!$I7047,nEVAL,"OR")=0))</f>
      </c>
      <c r="I7047">
        <f>IF(DATOS!$I7047="","",IFERROR(VLOOKUP(DATOS!$I7047,CONFIG_ASIGNATURAS!$B$2:$J$91,9,FALSE()),""))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IF(DATOS!$A7048="",0,IF(CONFIG_METADATA!$B$4&lt;&gt;"OR+EX",--(DATOS!$G7048=CONFIG_METADATA!$B$4),IF(DATOS!$G7048="EX",1,IF(DATOS!$G7048="OR",--(COUNTIFS(nNIA,DATOS!$A7048,nCURSO,DATOS!$D7048,nESPEC,DATOS!$E7048,nASIG,DATOS!$I7048,nEVAL,"EX")=0),0))))</f>
      </c>
      <c r="H7048">
        <f>IF(DATOS!$G7048&lt;&gt;"EX",0,--(COUNTIFS(nNIA,DATOS!$A7048,nCURSO,DATOS!$D7048,nESPEC,DATOS!$E7048,nASIG,DATOS!$I7048,nEVAL,"OR")=0))</f>
      </c>
      <c r="I7048">
        <f>IF(DATOS!$I7048="","",IFERROR(VLOOKUP(DATOS!$I7048,CONFIG_ASIGNATURAS!$B$2:$J$91,9,FALSE()),""))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IF(DATOS!$A7049="",0,IF(CONFIG_METADATA!$B$4&lt;&gt;"OR+EX",--(DATOS!$G7049=CONFIG_METADATA!$B$4),IF(DATOS!$G7049="EX",1,IF(DATOS!$G7049="OR",--(COUNTIFS(nNIA,DATOS!$A7049,nCURSO,DATOS!$D7049,nESPEC,DATOS!$E7049,nASIG,DATOS!$I7049,nEVAL,"EX")=0),0))))</f>
      </c>
      <c r="H7049">
        <f>IF(DATOS!$G7049&lt;&gt;"EX",0,--(COUNTIFS(nNIA,DATOS!$A7049,nCURSO,DATOS!$D7049,nESPEC,DATOS!$E7049,nASIG,DATOS!$I7049,nEVAL,"OR")=0))</f>
      </c>
      <c r="I7049">
        <f>IF(DATOS!$I7049="","",IFERROR(VLOOKUP(DATOS!$I7049,CONFIG_ASIGNATURAS!$B$2:$J$91,9,FALSE()),""))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IF(DATOS!$A7050="",0,IF(CONFIG_METADATA!$B$4&lt;&gt;"OR+EX",--(DATOS!$G7050=CONFIG_METADATA!$B$4),IF(DATOS!$G7050="EX",1,IF(DATOS!$G7050="OR",--(COUNTIFS(nNIA,DATOS!$A7050,nCURSO,DATOS!$D7050,nESPEC,DATOS!$E7050,nASIG,DATOS!$I7050,nEVAL,"EX")=0),0))))</f>
      </c>
      <c r="H7050">
        <f>IF(DATOS!$G7050&lt;&gt;"EX",0,--(COUNTIFS(nNIA,DATOS!$A7050,nCURSO,DATOS!$D7050,nESPEC,DATOS!$E7050,nASIG,DATOS!$I7050,nEVAL,"OR")=0))</f>
      </c>
      <c r="I7050">
        <f>IF(DATOS!$I7050="","",IFERROR(VLOOKUP(DATOS!$I7050,CONFIG_ASIGNATURAS!$B$2:$J$91,9,FALSE()),""))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IF(DATOS!$A7051="",0,IF(CONFIG_METADATA!$B$4&lt;&gt;"OR+EX",--(DATOS!$G7051=CONFIG_METADATA!$B$4),IF(DATOS!$G7051="EX",1,IF(DATOS!$G7051="OR",--(COUNTIFS(nNIA,DATOS!$A7051,nCURSO,DATOS!$D7051,nESPEC,DATOS!$E7051,nASIG,DATOS!$I7051,nEVAL,"EX")=0),0))))</f>
      </c>
      <c r="H7051">
        <f>IF(DATOS!$G7051&lt;&gt;"EX",0,--(COUNTIFS(nNIA,DATOS!$A7051,nCURSO,DATOS!$D7051,nESPEC,DATOS!$E7051,nASIG,DATOS!$I7051,nEVAL,"OR")=0))</f>
      </c>
      <c r="I7051">
        <f>IF(DATOS!$I7051="","",IFERROR(VLOOKUP(DATOS!$I7051,CONFIG_ASIGNATURAS!$B$2:$J$91,9,FALSE()),""))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IF(DATOS!$A7052="",0,IF(CONFIG_METADATA!$B$4&lt;&gt;"OR+EX",--(DATOS!$G7052=CONFIG_METADATA!$B$4),IF(DATOS!$G7052="EX",1,IF(DATOS!$G7052="OR",--(COUNTIFS(nNIA,DATOS!$A7052,nCURSO,DATOS!$D7052,nESPEC,DATOS!$E7052,nASIG,DATOS!$I7052,nEVAL,"EX")=0),0))))</f>
      </c>
      <c r="H7052">
        <f>IF(DATOS!$G7052&lt;&gt;"EX",0,--(COUNTIFS(nNIA,DATOS!$A7052,nCURSO,DATOS!$D7052,nESPEC,DATOS!$E7052,nASIG,DATOS!$I7052,nEVAL,"OR")=0))</f>
      </c>
      <c r="I7052">
        <f>IF(DATOS!$I7052="","",IFERROR(VLOOKUP(DATOS!$I7052,CONFIG_ASIGNATURAS!$B$2:$J$91,9,FALSE()),""))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IF(DATOS!$A7053="",0,IF(CONFIG_METADATA!$B$4&lt;&gt;"OR+EX",--(DATOS!$G7053=CONFIG_METADATA!$B$4),IF(DATOS!$G7053="EX",1,IF(DATOS!$G7053="OR",--(COUNTIFS(nNIA,DATOS!$A7053,nCURSO,DATOS!$D7053,nESPEC,DATOS!$E7053,nASIG,DATOS!$I7053,nEVAL,"EX")=0),0))))</f>
      </c>
      <c r="H7053">
        <f>IF(DATOS!$G7053&lt;&gt;"EX",0,--(COUNTIFS(nNIA,DATOS!$A7053,nCURSO,DATOS!$D7053,nESPEC,DATOS!$E7053,nASIG,DATOS!$I7053,nEVAL,"OR")=0))</f>
      </c>
      <c r="I7053">
        <f>IF(DATOS!$I7053="","",IFERROR(VLOOKUP(DATOS!$I7053,CONFIG_ASIGNATURAS!$B$2:$J$91,9,FALSE()),""))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IF(DATOS!$A7054="",0,IF(CONFIG_METADATA!$B$4&lt;&gt;"OR+EX",--(DATOS!$G7054=CONFIG_METADATA!$B$4),IF(DATOS!$G7054="EX",1,IF(DATOS!$G7054="OR",--(COUNTIFS(nNIA,DATOS!$A7054,nCURSO,DATOS!$D7054,nESPEC,DATOS!$E7054,nASIG,DATOS!$I7054,nEVAL,"EX")=0),0))))</f>
      </c>
      <c r="H7054">
        <f>IF(DATOS!$G7054&lt;&gt;"EX",0,--(COUNTIFS(nNIA,DATOS!$A7054,nCURSO,DATOS!$D7054,nESPEC,DATOS!$E7054,nASIG,DATOS!$I7054,nEVAL,"OR")=0))</f>
      </c>
      <c r="I7054">
        <f>IF(DATOS!$I7054="","",IFERROR(VLOOKUP(DATOS!$I7054,CONFIG_ASIGNATURAS!$B$2:$J$91,9,FALSE()),""))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IF(DATOS!$A7055="",0,IF(CONFIG_METADATA!$B$4&lt;&gt;"OR+EX",--(DATOS!$G7055=CONFIG_METADATA!$B$4),IF(DATOS!$G7055="EX",1,IF(DATOS!$G7055="OR",--(COUNTIFS(nNIA,DATOS!$A7055,nCURSO,DATOS!$D7055,nESPEC,DATOS!$E7055,nASIG,DATOS!$I7055,nEVAL,"EX")=0),0))))</f>
      </c>
      <c r="H7055">
        <f>IF(DATOS!$G7055&lt;&gt;"EX",0,--(COUNTIFS(nNIA,DATOS!$A7055,nCURSO,DATOS!$D7055,nESPEC,DATOS!$E7055,nASIG,DATOS!$I7055,nEVAL,"OR")=0))</f>
      </c>
      <c r="I7055">
        <f>IF(DATOS!$I7055="","",IFERROR(VLOOKUP(DATOS!$I7055,CONFIG_ASIGNATURAS!$B$2:$J$91,9,FALSE()),""))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IF(DATOS!$A7056="",0,IF(CONFIG_METADATA!$B$4&lt;&gt;"OR+EX",--(DATOS!$G7056=CONFIG_METADATA!$B$4),IF(DATOS!$G7056="EX",1,IF(DATOS!$G7056="OR",--(COUNTIFS(nNIA,DATOS!$A7056,nCURSO,DATOS!$D7056,nESPEC,DATOS!$E7056,nASIG,DATOS!$I7056,nEVAL,"EX")=0),0))))</f>
      </c>
      <c r="H7056">
        <f>IF(DATOS!$G7056&lt;&gt;"EX",0,--(COUNTIFS(nNIA,DATOS!$A7056,nCURSO,DATOS!$D7056,nESPEC,DATOS!$E7056,nASIG,DATOS!$I7056,nEVAL,"OR")=0))</f>
      </c>
      <c r="I7056">
        <f>IF(DATOS!$I7056="","",IFERROR(VLOOKUP(DATOS!$I7056,CONFIG_ASIGNATURAS!$B$2:$J$91,9,FALSE()),""))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IF(DATOS!$A7057="",0,IF(CONFIG_METADATA!$B$4&lt;&gt;"OR+EX",--(DATOS!$G7057=CONFIG_METADATA!$B$4),IF(DATOS!$G7057="EX",1,IF(DATOS!$G7057="OR",--(COUNTIFS(nNIA,DATOS!$A7057,nCURSO,DATOS!$D7057,nESPEC,DATOS!$E7057,nASIG,DATOS!$I7057,nEVAL,"EX")=0),0))))</f>
      </c>
      <c r="H7057">
        <f>IF(DATOS!$G7057&lt;&gt;"EX",0,--(COUNTIFS(nNIA,DATOS!$A7057,nCURSO,DATOS!$D7057,nESPEC,DATOS!$E7057,nASIG,DATOS!$I7057,nEVAL,"OR")=0))</f>
      </c>
      <c r="I7057">
        <f>IF(DATOS!$I7057="","",IFERROR(VLOOKUP(DATOS!$I7057,CONFIG_ASIGNATURAS!$B$2:$J$91,9,FALSE()),""))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IF(DATOS!$A7058="",0,IF(CONFIG_METADATA!$B$4&lt;&gt;"OR+EX",--(DATOS!$G7058=CONFIG_METADATA!$B$4),IF(DATOS!$G7058="EX",1,IF(DATOS!$G7058="OR",--(COUNTIFS(nNIA,DATOS!$A7058,nCURSO,DATOS!$D7058,nESPEC,DATOS!$E7058,nASIG,DATOS!$I7058,nEVAL,"EX")=0),0))))</f>
      </c>
      <c r="H7058">
        <f>IF(DATOS!$G7058&lt;&gt;"EX",0,--(COUNTIFS(nNIA,DATOS!$A7058,nCURSO,DATOS!$D7058,nESPEC,DATOS!$E7058,nASIG,DATOS!$I7058,nEVAL,"OR")=0))</f>
      </c>
      <c r="I7058">
        <f>IF(DATOS!$I7058="","",IFERROR(VLOOKUP(DATOS!$I7058,CONFIG_ASIGNATURAS!$B$2:$J$91,9,FALSE()),""))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IF(DATOS!$A7059="",0,IF(CONFIG_METADATA!$B$4&lt;&gt;"OR+EX",--(DATOS!$G7059=CONFIG_METADATA!$B$4),IF(DATOS!$G7059="EX",1,IF(DATOS!$G7059="OR",--(COUNTIFS(nNIA,DATOS!$A7059,nCURSO,DATOS!$D7059,nESPEC,DATOS!$E7059,nASIG,DATOS!$I7059,nEVAL,"EX")=0),0))))</f>
      </c>
      <c r="H7059">
        <f>IF(DATOS!$G7059&lt;&gt;"EX",0,--(COUNTIFS(nNIA,DATOS!$A7059,nCURSO,DATOS!$D7059,nESPEC,DATOS!$E7059,nASIG,DATOS!$I7059,nEVAL,"OR")=0))</f>
      </c>
      <c r="I7059">
        <f>IF(DATOS!$I7059="","",IFERROR(VLOOKUP(DATOS!$I7059,CONFIG_ASIGNATURAS!$B$2:$J$91,9,FALSE()),""))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IF(DATOS!$A7060="",0,IF(CONFIG_METADATA!$B$4&lt;&gt;"OR+EX",--(DATOS!$G7060=CONFIG_METADATA!$B$4),IF(DATOS!$G7060="EX",1,IF(DATOS!$G7060="OR",--(COUNTIFS(nNIA,DATOS!$A7060,nCURSO,DATOS!$D7060,nESPEC,DATOS!$E7060,nASIG,DATOS!$I7060,nEVAL,"EX")=0),0))))</f>
      </c>
      <c r="H7060">
        <f>IF(DATOS!$G7060&lt;&gt;"EX",0,--(COUNTIFS(nNIA,DATOS!$A7060,nCURSO,DATOS!$D7060,nESPEC,DATOS!$E7060,nASIG,DATOS!$I7060,nEVAL,"OR")=0))</f>
      </c>
      <c r="I7060">
        <f>IF(DATOS!$I7060="","",IFERROR(VLOOKUP(DATOS!$I7060,CONFIG_ASIGNATURAS!$B$2:$J$91,9,FALSE()),""))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IF(DATOS!$A7061="",0,IF(CONFIG_METADATA!$B$4&lt;&gt;"OR+EX",--(DATOS!$G7061=CONFIG_METADATA!$B$4),IF(DATOS!$G7061="EX",1,IF(DATOS!$G7061="OR",--(COUNTIFS(nNIA,DATOS!$A7061,nCURSO,DATOS!$D7061,nESPEC,DATOS!$E7061,nASIG,DATOS!$I7061,nEVAL,"EX")=0),0))))</f>
      </c>
      <c r="H7061">
        <f>IF(DATOS!$G7061&lt;&gt;"EX",0,--(COUNTIFS(nNIA,DATOS!$A7061,nCURSO,DATOS!$D7061,nESPEC,DATOS!$E7061,nASIG,DATOS!$I7061,nEVAL,"OR")=0))</f>
      </c>
      <c r="I7061">
        <f>IF(DATOS!$I7061="","",IFERROR(VLOOKUP(DATOS!$I7061,CONFIG_ASIGNATURAS!$B$2:$J$91,9,FALSE()),""))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IF(DATOS!$A7062="",0,IF(CONFIG_METADATA!$B$4&lt;&gt;"OR+EX",--(DATOS!$G7062=CONFIG_METADATA!$B$4),IF(DATOS!$G7062="EX",1,IF(DATOS!$G7062="OR",--(COUNTIFS(nNIA,DATOS!$A7062,nCURSO,DATOS!$D7062,nESPEC,DATOS!$E7062,nASIG,DATOS!$I7062,nEVAL,"EX")=0),0))))</f>
      </c>
      <c r="H7062">
        <f>IF(DATOS!$G7062&lt;&gt;"EX",0,--(COUNTIFS(nNIA,DATOS!$A7062,nCURSO,DATOS!$D7062,nESPEC,DATOS!$E7062,nASIG,DATOS!$I7062,nEVAL,"OR")=0))</f>
      </c>
      <c r="I7062">
        <f>IF(DATOS!$I7062="","",IFERROR(VLOOKUP(DATOS!$I7062,CONFIG_ASIGNATURAS!$B$2:$J$91,9,FALSE()),""))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IF(DATOS!$A7063="",0,IF(CONFIG_METADATA!$B$4&lt;&gt;"OR+EX",--(DATOS!$G7063=CONFIG_METADATA!$B$4),IF(DATOS!$G7063="EX",1,IF(DATOS!$G7063="OR",--(COUNTIFS(nNIA,DATOS!$A7063,nCURSO,DATOS!$D7063,nESPEC,DATOS!$E7063,nASIG,DATOS!$I7063,nEVAL,"EX")=0),0))))</f>
      </c>
      <c r="H7063">
        <f>IF(DATOS!$G7063&lt;&gt;"EX",0,--(COUNTIFS(nNIA,DATOS!$A7063,nCURSO,DATOS!$D7063,nESPEC,DATOS!$E7063,nASIG,DATOS!$I7063,nEVAL,"OR")=0))</f>
      </c>
      <c r="I7063">
        <f>IF(DATOS!$I7063="","",IFERROR(VLOOKUP(DATOS!$I7063,CONFIG_ASIGNATURAS!$B$2:$J$91,9,FALSE()),""))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IF(DATOS!$A7064="",0,IF(CONFIG_METADATA!$B$4&lt;&gt;"OR+EX",--(DATOS!$G7064=CONFIG_METADATA!$B$4),IF(DATOS!$G7064="EX",1,IF(DATOS!$G7064="OR",--(COUNTIFS(nNIA,DATOS!$A7064,nCURSO,DATOS!$D7064,nESPEC,DATOS!$E7064,nASIG,DATOS!$I7064,nEVAL,"EX")=0),0))))</f>
      </c>
      <c r="H7064">
        <f>IF(DATOS!$G7064&lt;&gt;"EX",0,--(COUNTIFS(nNIA,DATOS!$A7064,nCURSO,DATOS!$D7064,nESPEC,DATOS!$E7064,nASIG,DATOS!$I7064,nEVAL,"OR")=0))</f>
      </c>
      <c r="I7064">
        <f>IF(DATOS!$I7064="","",IFERROR(VLOOKUP(DATOS!$I7064,CONFIG_ASIGNATURAS!$B$2:$J$91,9,FALSE()),""))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IF(DATOS!$A7065="",0,IF(CONFIG_METADATA!$B$4&lt;&gt;"OR+EX",--(DATOS!$G7065=CONFIG_METADATA!$B$4),IF(DATOS!$G7065="EX",1,IF(DATOS!$G7065="OR",--(COUNTIFS(nNIA,DATOS!$A7065,nCURSO,DATOS!$D7065,nESPEC,DATOS!$E7065,nASIG,DATOS!$I7065,nEVAL,"EX")=0),0))))</f>
      </c>
      <c r="H7065">
        <f>IF(DATOS!$G7065&lt;&gt;"EX",0,--(COUNTIFS(nNIA,DATOS!$A7065,nCURSO,DATOS!$D7065,nESPEC,DATOS!$E7065,nASIG,DATOS!$I7065,nEVAL,"OR")=0))</f>
      </c>
      <c r="I7065">
        <f>IF(DATOS!$I7065="","",IFERROR(VLOOKUP(DATOS!$I7065,CONFIG_ASIGNATURAS!$B$2:$J$91,9,FALSE()),""))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IF(DATOS!$A7066="",0,IF(CONFIG_METADATA!$B$4&lt;&gt;"OR+EX",--(DATOS!$G7066=CONFIG_METADATA!$B$4),IF(DATOS!$G7066="EX",1,IF(DATOS!$G7066="OR",--(COUNTIFS(nNIA,DATOS!$A7066,nCURSO,DATOS!$D7066,nESPEC,DATOS!$E7066,nASIG,DATOS!$I7066,nEVAL,"EX")=0),0))))</f>
      </c>
      <c r="H7066">
        <f>IF(DATOS!$G7066&lt;&gt;"EX",0,--(COUNTIFS(nNIA,DATOS!$A7066,nCURSO,DATOS!$D7066,nESPEC,DATOS!$E7066,nASIG,DATOS!$I7066,nEVAL,"OR")=0))</f>
      </c>
      <c r="I7066">
        <f>IF(DATOS!$I7066="","",IFERROR(VLOOKUP(DATOS!$I7066,CONFIG_ASIGNATURAS!$B$2:$J$91,9,FALSE()),""))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IF(DATOS!$A7067="",0,IF(CONFIG_METADATA!$B$4&lt;&gt;"OR+EX",--(DATOS!$G7067=CONFIG_METADATA!$B$4),IF(DATOS!$G7067="EX",1,IF(DATOS!$G7067="OR",--(COUNTIFS(nNIA,DATOS!$A7067,nCURSO,DATOS!$D7067,nESPEC,DATOS!$E7067,nASIG,DATOS!$I7067,nEVAL,"EX")=0),0))))</f>
      </c>
      <c r="H7067">
        <f>IF(DATOS!$G7067&lt;&gt;"EX",0,--(COUNTIFS(nNIA,DATOS!$A7067,nCURSO,DATOS!$D7067,nESPEC,DATOS!$E7067,nASIG,DATOS!$I7067,nEVAL,"OR")=0))</f>
      </c>
      <c r="I7067">
        <f>IF(DATOS!$I7067="","",IFERROR(VLOOKUP(DATOS!$I7067,CONFIG_ASIGNATURAS!$B$2:$J$91,9,FALSE()),""))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IF(DATOS!$A7068="",0,IF(CONFIG_METADATA!$B$4&lt;&gt;"OR+EX",--(DATOS!$G7068=CONFIG_METADATA!$B$4),IF(DATOS!$G7068="EX",1,IF(DATOS!$G7068="OR",--(COUNTIFS(nNIA,DATOS!$A7068,nCURSO,DATOS!$D7068,nESPEC,DATOS!$E7068,nASIG,DATOS!$I7068,nEVAL,"EX")=0),0))))</f>
      </c>
      <c r="H7068">
        <f>IF(DATOS!$G7068&lt;&gt;"EX",0,--(COUNTIFS(nNIA,DATOS!$A7068,nCURSO,DATOS!$D7068,nESPEC,DATOS!$E7068,nASIG,DATOS!$I7068,nEVAL,"OR")=0))</f>
      </c>
      <c r="I7068">
        <f>IF(DATOS!$I7068="","",IFERROR(VLOOKUP(DATOS!$I7068,CONFIG_ASIGNATURAS!$B$2:$J$91,9,FALSE()),""))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IF(DATOS!$A7069="",0,IF(CONFIG_METADATA!$B$4&lt;&gt;"OR+EX",--(DATOS!$G7069=CONFIG_METADATA!$B$4),IF(DATOS!$G7069="EX",1,IF(DATOS!$G7069="OR",--(COUNTIFS(nNIA,DATOS!$A7069,nCURSO,DATOS!$D7069,nESPEC,DATOS!$E7069,nASIG,DATOS!$I7069,nEVAL,"EX")=0),0))))</f>
      </c>
      <c r="H7069">
        <f>IF(DATOS!$G7069&lt;&gt;"EX",0,--(COUNTIFS(nNIA,DATOS!$A7069,nCURSO,DATOS!$D7069,nESPEC,DATOS!$E7069,nASIG,DATOS!$I7069,nEVAL,"OR")=0))</f>
      </c>
      <c r="I7069">
        <f>IF(DATOS!$I7069="","",IFERROR(VLOOKUP(DATOS!$I7069,CONFIG_ASIGNATURAS!$B$2:$J$91,9,FALSE()),""))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IF(DATOS!$A7070="",0,IF(CONFIG_METADATA!$B$4&lt;&gt;"OR+EX",--(DATOS!$G7070=CONFIG_METADATA!$B$4),IF(DATOS!$G7070="EX",1,IF(DATOS!$G7070="OR",--(COUNTIFS(nNIA,DATOS!$A7070,nCURSO,DATOS!$D7070,nESPEC,DATOS!$E7070,nASIG,DATOS!$I7070,nEVAL,"EX")=0),0))))</f>
      </c>
      <c r="H7070">
        <f>IF(DATOS!$G7070&lt;&gt;"EX",0,--(COUNTIFS(nNIA,DATOS!$A7070,nCURSO,DATOS!$D7070,nESPEC,DATOS!$E7070,nASIG,DATOS!$I7070,nEVAL,"OR")=0))</f>
      </c>
      <c r="I7070">
        <f>IF(DATOS!$I7070="","",IFERROR(VLOOKUP(DATOS!$I7070,CONFIG_ASIGNATURAS!$B$2:$J$91,9,FALSE()),""))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IF(DATOS!$A7071="",0,IF(CONFIG_METADATA!$B$4&lt;&gt;"OR+EX",--(DATOS!$G7071=CONFIG_METADATA!$B$4),IF(DATOS!$G7071="EX",1,IF(DATOS!$G7071="OR",--(COUNTIFS(nNIA,DATOS!$A7071,nCURSO,DATOS!$D7071,nESPEC,DATOS!$E7071,nASIG,DATOS!$I7071,nEVAL,"EX")=0),0))))</f>
      </c>
      <c r="H7071">
        <f>IF(DATOS!$G7071&lt;&gt;"EX",0,--(COUNTIFS(nNIA,DATOS!$A7071,nCURSO,DATOS!$D7071,nESPEC,DATOS!$E7071,nASIG,DATOS!$I7071,nEVAL,"OR")=0))</f>
      </c>
      <c r="I7071">
        <f>IF(DATOS!$I7071="","",IFERROR(VLOOKUP(DATOS!$I7071,CONFIG_ASIGNATURAS!$B$2:$J$91,9,FALSE()),""))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IF(DATOS!$A7072="",0,IF(CONFIG_METADATA!$B$4&lt;&gt;"OR+EX",--(DATOS!$G7072=CONFIG_METADATA!$B$4),IF(DATOS!$G7072="EX",1,IF(DATOS!$G7072="OR",--(COUNTIFS(nNIA,DATOS!$A7072,nCURSO,DATOS!$D7072,nESPEC,DATOS!$E7072,nASIG,DATOS!$I7072,nEVAL,"EX")=0),0))))</f>
      </c>
      <c r="H7072">
        <f>IF(DATOS!$G7072&lt;&gt;"EX",0,--(COUNTIFS(nNIA,DATOS!$A7072,nCURSO,DATOS!$D7072,nESPEC,DATOS!$E7072,nASIG,DATOS!$I7072,nEVAL,"OR")=0))</f>
      </c>
      <c r="I7072">
        <f>IF(DATOS!$I7072="","",IFERROR(VLOOKUP(DATOS!$I7072,CONFIG_ASIGNATURAS!$B$2:$J$91,9,FALSE()),""))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IF(DATOS!$A7073="",0,IF(CONFIG_METADATA!$B$4&lt;&gt;"OR+EX",--(DATOS!$G7073=CONFIG_METADATA!$B$4),IF(DATOS!$G7073="EX",1,IF(DATOS!$G7073="OR",--(COUNTIFS(nNIA,DATOS!$A7073,nCURSO,DATOS!$D7073,nESPEC,DATOS!$E7073,nASIG,DATOS!$I7073,nEVAL,"EX")=0),0))))</f>
      </c>
      <c r="H7073">
        <f>IF(DATOS!$G7073&lt;&gt;"EX",0,--(COUNTIFS(nNIA,DATOS!$A7073,nCURSO,DATOS!$D7073,nESPEC,DATOS!$E7073,nASIG,DATOS!$I7073,nEVAL,"OR")=0))</f>
      </c>
      <c r="I7073">
        <f>IF(DATOS!$I7073="","",IFERROR(VLOOKUP(DATOS!$I7073,CONFIG_ASIGNATURAS!$B$2:$J$91,9,FALSE()),""))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IF(DATOS!$A7074="",0,IF(CONFIG_METADATA!$B$4&lt;&gt;"OR+EX",--(DATOS!$G7074=CONFIG_METADATA!$B$4),IF(DATOS!$G7074="EX",1,IF(DATOS!$G7074="OR",--(COUNTIFS(nNIA,DATOS!$A7074,nCURSO,DATOS!$D7074,nESPEC,DATOS!$E7074,nASIG,DATOS!$I7074,nEVAL,"EX")=0),0))))</f>
      </c>
      <c r="H7074">
        <f>IF(DATOS!$G7074&lt;&gt;"EX",0,--(COUNTIFS(nNIA,DATOS!$A7074,nCURSO,DATOS!$D7074,nESPEC,DATOS!$E7074,nASIG,DATOS!$I7074,nEVAL,"OR")=0))</f>
      </c>
      <c r="I7074">
        <f>IF(DATOS!$I7074="","",IFERROR(VLOOKUP(DATOS!$I7074,CONFIG_ASIGNATURAS!$B$2:$J$91,9,FALSE()),""))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IF(DATOS!$A7075="",0,IF(CONFIG_METADATA!$B$4&lt;&gt;"OR+EX",--(DATOS!$G7075=CONFIG_METADATA!$B$4),IF(DATOS!$G7075="EX",1,IF(DATOS!$G7075="OR",--(COUNTIFS(nNIA,DATOS!$A7075,nCURSO,DATOS!$D7075,nESPEC,DATOS!$E7075,nASIG,DATOS!$I7075,nEVAL,"EX")=0),0))))</f>
      </c>
      <c r="H7075">
        <f>IF(DATOS!$G7075&lt;&gt;"EX",0,--(COUNTIFS(nNIA,DATOS!$A7075,nCURSO,DATOS!$D7075,nESPEC,DATOS!$E7075,nASIG,DATOS!$I7075,nEVAL,"OR")=0))</f>
      </c>
      <c r="I7075">
        <f>IF(DATOS!$I7075="","",IFERROR(VLOOKUP(DATOS!$I7075,CONFIG_ASIGNATURAS!$B$2:$J$91,9,FALSE()),""))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IF(DATOS!$A7076="",0,IF(CONFIG_METADATA!$B$4&lt;&gt;"OR+EX",--(DATOS!$G7076=CONFIG_METADATA!$B$4),IF(DATOS!$G7076="EX",1,IF(DATOS!$G7076="OR",--(COUNTIFS(nNIA,DATOS!$A7076,nCURSO,DATOS!$D7076,nESPEC,DATOS!$E7076,nASIG,DATOS!$I7076,nEVAL,"EX")=0),0))))</f>
      </c>
      <c r="H7076">
        <f>IF(DATOS!$G7076&lt;&gt;"EX",0,--(COUNTIFS(nNIA,DATOS!$A7076,nCURSO,DATOS!$D7076,nESPEC,DATOS!$E7076,nASIG,DATOS!$I7076,nEVAL,"OR")=0))</f>
      </c>
      <c r="I7076">
        <f>IF(DATOS!$I7076="","",IFERROR(VLOOKUP(DATOS!$I7076,CONFIG_ASIGNATURAS!$B$2:$J$91,9,FALSE()),""))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IF(DATOS!$A7077="",0,IF(CONFIG_METADATA!$B$4&lt;&gt;"OR+EX",--(DATOS!$G7077=CONFIG_METADATA!$B$4),IF(DATOS!$G7077="EX",1,IF(DATOS!$G7077="OR",--(COUNTIFS(nNIA,DATOS!$A7077,nCURSO,DATOS!$D7077,nESPEC,DATOS!$E7077,nASIG,DATOS!$I7077,nEVAL,"EX")=0),0))))</f>
      </c>
      <c r="H7077">
        <f>IF(DATOS!$G7077&lt;&gt;"EX",0,--(COUNTIFS(nNIA,DATOS!$A7077,nCURSO,DATOS!$D7077,nESPEC,DATOS!$E7077,nASIG,DATOS!$I7077,nEVAL,"OR")=0))</f>
      </c>
      <c r="I7077">
        <f>IF(DATOS!$I7077="","",IFERROR(VLOOKUP(DATOS!$I7077,CONFIG_ASIGNATURAS!$B$2:$J$91,9,FALSE()),""))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IF(DATOS!$A7078="",0,IF(CONFIG_METADATA!$B$4&lt;&gt;"OR+EX",--(DATOS!$G7078=CONFIG_METADATA!$B$4),IF(DATOS!$G7078="EX",1,IF(DATOS!$G7078="OR",--(COUNTIFS(nNIA,DATOS!$A7078,nCURSO,DATOS!$D7078,nESPEC,DATOS!$E7078,nASIG,DATOS!$I7078,nEVAL,"EX")=0),0))))</f>
      </c>
      <c r="H7078">
        <f>IF(DATOS!$G7078&lt;&gt;"EX",0,--(COUNTIFS(nNIA,DATOS!$A7078,nCURSO,DATOS!$D7078,nESPEC,DATOS!$E7078,nASIG,DATOS!$I7078,nEVAL,"OR")=0))</f>
      </c>
      <c r="I7078">
        <f>IF(DATOS!$I7078="","",IFERROR(VLOOKUP(DATOS!$I7078,CONFIG_ASIGNATURAS!$B$2:$J$91,9,FALSE()),""))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IF(DATOS!$A7079="",0,IF(CONFIG_METADATA!$B$4&lt;&gt;"OR+EX",--(DATOS!$G7079=CONFIG_METADATA!$B$4),IF(DATOS!$G7079="EX",1,IF(DATOS!$G7079="OR",--(COUNTIFS(nNIA,DATOS!$A7079,nCURSO,DATOS!$D7079,nESPEC,DATOS!$E7079,nASIG,DATOS!$I7079,nEVAL,"EX")=0),0))))</f>
      </c>
      <c r="H7079">
        <f>IF(DATOS!$G7079&lt;&gt;"EX",0,--(COUNTIFS(nNIA,DATOS!$A7079,nCURSO,DATOS!$D7079,nESPEC,DATOS!$E7079,nASIG,DATOS!$I7079,nEVAL,"OR")=0))</f>
      </c>
      <c r="I7079">
        <f>IF(DATOS!$I7079="","",IFERROR(VLOOKUP(DATOS!$I7079,CONFIG_ASIGNATURAS!$B$2:$J$91,9,FALSE()),""))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IF(DATOS!$A7080="",0,IF(CONFIG_METADATA!$B$4&lt;&gt;"OR+EX",--(DATOS!$G7080=CONFIG_METADATA!$B$4),IF(DATOS!$G7080="EX",1,IF(DATOS!$G7080="OR",--(COUNTIFS(nNIA,DATOS!$A7080,nCURSO,DATOS!$D7080,nESPEC,DATOS!$E7080,nASIG,DATOS!$I7080,nEVAL,"EX")=0),0))))</f>
      </c>
      <c r="H7080">
        <f>IF(DATOS!$G7080&lt;&gt;"EX",0,--(COUNTIFS(nNIA,DATOS!$A7080,nCURSO,DATOS!$D7080,nESPEC,DATOS!$E7080,nASIG,DATOS!$I7080,nEVAL,"OR")=0))</f>
      </c>
      <c r="I7080">
        <f>IF(DATOS!$I7080="","",IFERROR(VLOOKUP(DATOS!$I7080,CONFIG_ASIGNATURAS!$B$2:$J$91,9,FALSE()),""))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IF(DATOS!$A7081="",0,IF(CONFIG_METADATA!$B$4&lt;&gt;"OR+EX",--(DATOS!$G7081=CONFIG_METADATA!$B$4),IF(DATOS!$G7081="EX",1,IF(DATOS!$G7081="OR",--(COUNTIFS(nNIA,DATOS!$A7081,nCURSO,DATOS!$D7081,nESPEC,DATOS!$E7081,nASIG,DATOS!$I7081,nEVAL,"EX")=0),0))))</f>
      </c>
      <c r="H7081">
        <f>IF(DATOS!$G7081&lt;&gt;"EX",0,--(COUNTIFS(nNIA,DATOS!$A7081,nCURSO,DATOS!$D7081,nESPEC,DATOS!$E7081,nASIG,DATOS!$I7081,nEVAL,"OR")=0))</f>
      </c>
      <c r="I7081">
        <f>IF(DATOS!$I7081="","",IFERROR(VLOOKUP(DATOS!$I7081,CONFIG_ASIGNATURAS!$B$2:$J$91,9,FALSE()),""))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IF(DATOS!$A7082="",0,IF(CONFIG_METADATA!$B$4&lt;&gt;"OR+EX",--(DATOS!$G7082=CONFIG_METADATA!$B$4),IF(DATOS!$G7082="EX",1,IF(DATOS!$G7082="OR",--(COUNTIFS(nNIA,DATOS!$A7082,nCURSO,DATOS!$D7082,nESPEC,DATOS!$E7082,nASIG,DATOS!$I7082,nEVAL,"EX")=0),0))))</f>
      </c>
      <c r="H7082">
        <f>IF(DATOS!$G7082&lt;&gt;"EX",0,--(COUNTIFS(nNIA,DATOS!$A7082,nCURSO,DATOS!$D7082,nESPEC,DATOS!$E7082,nASIG,DATOS!$I7082,nEVAL,"OR")=0))</f>
      </c>
      <c r="I7082">
        <f>IF(DATOS!$I7082="","",IFERROR(VLOOKUP(DATOS!$I7082,CONFIG_ASIGNATURAS!$B$2:$J$91,9,FALSE()),""))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IF(DATOS!$A7083="",0,IF(CONFIG_METADATA!$B$4&lt;&gt;"OR+EX",--(DATOS!$G7083=CONFIG_METADATA!$B$4),IF(DATOS!$G7083="EX",1,IF(DATOS!$G7083="OR",--(COUNTIFS(nNIA,DATOS!$A7083,nCURSO,DATOS!$D7083,nESPEC,DATOS!$E7083,nASIG,DATOS!$I7083,nEVAL,"EX")=0),0))))</f>
      </c>
      <c r="H7083">
        <f>IF(DATOS!$G7083&lt;&gt;"EX",0,--(COUNTIFS(nNIA,DATOS!$A7083,nCURSO,DATOS!$D7083,nESPEC,DATOS!$E7083,nASIG,DATOS!$I7083,nEVAL,"OR")=0))</f>
      </c>
      <c r="I7083">
        <f>IF(DATOS!$I7083="","",IFERROR(VLOOKUP(DATOS!$I7083,CONFIG_ASIGNATURAS!$B$2:$J$91,9,FALSE()),""))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IF(DATOS!$A7084="",0,IF(CONFIG_METADATA!$B$4&lt;&gt;"OR+EX",--(DATOS!$G7084=CONFIG_METADATA!$B$4),IF(DATOS!$G7084="EX",1,IF(DATOS!$G7084="OR",--(COUNTIFS(nNIA,DATOS!$A7084,nCURSO,DATOS!$D7084,nESPEC,DATOS!$E7084,nASIG,DATOS!$I7084,nEVAL,"EX")=0),0))))</f>
      </c>
      <c r="H7084">
        <f>IF(DATOS!$G7084&lt;&gt;"EX",0,--(COUNTIFS(nNIA,DATOS!$A7084,nCURSO,DATOS!$D7084,nESPEC,DATOS!$E7084,nASIG,DATOS!$I7084,nEVAL,"OR")=0))</f>
      </c>
      <c r="I7084">
        <f>IF(DATOS!$I7084="","",IFERROR(VLOOKUP(DATOS!$I7084,CONFIG_ASIGNATURAS!$B$2:$J$91,9,FALSE()),""))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IF(DATOS!$A7085="",0,IF(CONFIG_METADATA!$B$4&lt;&gt;"OR+EX",--(DATOS!$G7085=CONFIG_METADATA!$B$4),IF(DATOS!$G7085="EX",1,IF(DATOS!$G7085="OR",--(COUNTIFS(nNIA,DATOS!$A7085,nCURSO,DATOS!$D7085,nESPEC,DATOS!$E7085,nASIG,DATOS!$I7085,nEVAL,"EX")=0),0))))</f>
      </c>
      <c r="H7085">
        <f>IF(DATOS!$G7085&lt;&gt;"EX",0,--(COUNTIFS(nNIA,DATOS!$A7085,nCURSO,DATOS!$D7085,nESPEC,DATOS!$E7085,nASIG,DATOS!$I7085,nEVAL,"OR")=0))</f>
      </c>
      <c r="I7085">
        <f>IF(DATOS!$I7085="","",IFERROR(VLOOKUP(DATOS!$I7085,CONFIG_ASIGNATURAS!$B$2:$J$91,9,FALSE()),""))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IF(DATOS!$A7086="",0,IF(CONFIG_METADATA!$B$4&lt;&gt;"OR+EX",--(DATOS!$G7086=CONFIG_METADATA!$B$4),IF(DATOS!$G7086="EX",1,IF(DATOS!$G7086="OR",--(COUNTIFS(nNIA,DATOS!$A7086,nCURSO,DATOS!$D7086,nESPEC,DATOS!$E7086,nASIG,DATOS!$I7086,nEVAL,"EX")=0),0))))</f>
      </c>
      <c r="H7086">
        <f>IF(DATOS!$G7086&lt;&gt;"EX",0,--(COUNTIFS(nNIA,DATOS!$A7086,nCURSO,DATOS!$D7086,nESPEC,DATOS!$E7086,nASIG,DATOS!$I7086,nEVAL,"OR")=0))</f>
      </c>
      <c r="I7086">
        <f>IF(DATOS!$I7086="","",IFERROR(VLOOKUP(DATOS!$I7086,CONFIG_ASIGNATURAS!$B$2:$J$91,9,FALSE()),""))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IF(DATOS!$A7087="",0,IF(CONFIG_METADATA!$B$4&lt;&gt;"OR+EX",--(DATOS!$G7087=CONFIG_METADATA!$B$4),IF(DATOS!$G7087="EX",1,IF(DATOS!$G7087="OR",--(COUNTIFS(nNIA,DATOS!$A7087,nCURSO,DATOS!$D7087,nESPEC,DATOS!$E7087,nASIG,DATOS!$I7087,nEVAL,"EX")=0),0))))</f>
      </c>
      <c r="H7087">
        <f>IF(DATOS!$G7087&lt;&gt;"EX",0,--(COUNTIFS(nNIA,DATOS!$A7087,nCURSO,DATOS!$D7087,nESPEC,DATOS!$E7087,nASIG,DATOS!$I7087,nEVAL,"OR")=0))</f>
      </c>
      <c r="I7087">
        <f>IF(DATOS!$I7087="","",IFERROR(VLOOKUP(DATOS!$I7087,CONFIG_ASIGNATURAS!$B$2:$J$91,9,FALSE()),""))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IF(DATOS!$A7088="",0,IF(CONFIG_METADATA!$B$4&lt;&gt;"OR+EX",--(DATOS!$G7088=CONFIG_METADATA!$B$4),IF(DATOS!$G7088="EX",1,IF(DATOS!$G7088="OR",--(COUNTIFS(nNIA,DATOS!$A7088,nCURSO,DATOS!$D7088,nESPEC,DATOS!$E7088,nASIG,DATOS!$I7088,nEVAL,"EX")=0),0))))</f>
      </c>
      <c r="H7088">
        <f>IF(DATOS!$G7088&lt;&gt;"EX",0,--(COUNTIFS(nNIA,DATOS!$A7088,nCURSO,DATOS!$D7088,nESPEC,DATOS!$E7088,nASIG,DATOS!$I7088,nEVAL,"OR")=0))</f>
      </c>
      <c r="I7088">
        <f>IF(DATOS!$I7088="","",IFERROR(VLOOKUP(DATOS!$I7088,CONFIG_ASIGNATURAS!$B$2:$J$91,9,FALSE()),""))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IF(DATOS!$A7089="",0,IF(CONFIG_METADATA!$B$4&lt;&gt;"OR+EX",--(DATOS!$G7089=CONFIG_METADATA!$B$4),IF(DATOS!$G7089="EX",1,IF(DATOS!$G7089="OR",--(COUNTIFS(nNIA,DATOS!$A7089,nCURSO,DATOS!$D7089,nESPEC,DATOS!$E7089,nASIG,DATOS!$I7089,nEVAL,"EX")=0),0))))</f>
      </c>
      <c r="H7089">
        <f>IF(DATOS!$G7089&lt;&gt;"EX",0,--(COUNTIFS(nNIA,DATOS!$A7089,nCURSO,DATOS!$D7089,nESPEC,DATOS!$E7089,nASIG,DATOS!$I7089,nEVAL,"OR")=0))</f>
      </c>
      <c r="I7089">
        <f>IF(DATOS!$I7089="","",IFERROR(VLOOKUP(DATOS!$I7089,CONFIG_ASIGNATURAS!$B$2:$J$91,9,FALSE()),""))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IF(DATOS!$A7090="",0,IF(CONFIG_METADATA!$B$4&lt;&gt;"OR+EX",--(DATOS!$G7090=CONFIG_METADATA!$B$4),IF(DATOS!$G7090="EX",1,IF(DATOS!$G7090="OR",--(COUNTIFS(nNIA,DATOS!$A7090,nCURSO,DATOS!$D7090,nESPEC,DATOS!$E7090,nASIG,DATOS!$I7090,nEVAL,"EX")=0),0))))</f>
      </c>
      <c r="H7090">
        <f>IF(DATOS!$G7090&lt;&gt;"EX",0,--(COUNTIFS(nNIA,DATOS!$A7090,nCURSO,DATOS!$D7090,nESPEC,DATOS!$E7090,nASIG,DATOS!$I7090,nEVAL,"OR")=0))</f>
      </c>
      <c r="I7090">
        <f>IF(DATOS!$I7090="","",IFERROR(VLOOKUP(DATOS!$I7090,CONFIG_ASIGNATURAS!$B$2:$J$91,9,FALSE()),""))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IF(DATOS!$A7091="",0,IF(CONFIG_METADATA!$B$4&lt;&gt;"OR+EX",--(DATOS!$G7091=CONFIG_METADATA!$B$4),IF(DATOS!$G7091="EX",1,IF(DATOS!$G7091="OR",--(COUNTIFS(nNIA,DATOS!$A7091,nCURSO,DATOS!$D7091,nESPEC,DATOS!$E7091,nASIG,DATOS!$I7091,nEVAL,"EX")=0),0))))</f>
      </c>
      <c r="H7091">
        <f>IF(DATOS!$G7091&lt;&gt;"EX",0,--(COUNTIFS(nNIA,DATOS!$A7091,nCURSO,DATOS!$D7091,nESPEC,DATOS!$E7091,nASIG,DATOS!$I7091,nEVAL,"OR")=0))</f>
      </c>
      <c r="I7091">
        <f>IF(DATOS!$I7091="","",IFERROR(VLOOKUP(DATOS!$I7091,CONFIG_ASIGNATURAS!$B$2:$J$91,9,FALSE()),""))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IF(DATOS!$A7092="",0,IF(CONFIG_METADATA!$B$4&lt;&gt;"OR+EX",--(DATOS!$G7092=CONFIG_METADATA!$B$4),IF(DATOS!$G7092="EX",1,IF(DATOS!$G7092="OR",--(COUNTIFS(nNIA,DATOS!$A7092,nCURSO,DATOS!$D7092,nESPEC,DATOS!$E7092,nASIG,DATOS!$I7092,nEVAL,"EX")=0),0))))</f>
      </c>
      <c r="H7092">
        <f>IF(DATOS!$G7092&lt;&gt;"EX",0,--(COUNTIFS(nNIA,DATOS!$A7092,nCURSO,DATOS!$D7092,nESPEC,DATOS!$E7092,nASIG,DATOS!$I7092,nEVAL,"OR")=0))</f>
      </c>
      <c r="I7092">
        <f>IF(DATOS!$I7092="","",IFERROR(VLOOKUP(DATOS!$I7092,CONFIG_ASIGNATURAS!$B$2:$J$91,9,FALSE()),""))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IF(DATOS!$A7093="",0,IF(CONFIG_METADATA!$B$4&lt;&gt;"OR+EX",--(DATOS!$G7093=CONFIG_METADATA!$B$4),IF(DATOS!$G7093="EX",1,IF(DATOS!$G7093="OR",--(COUNTIFS(nNIA,DATOS!$A7093,nCURSO,DATOS!$D7093,nESPEC,DATOS!$E7093,nASIG,DATOS!$I7093,nEVAL,"EX")=0),0))))</f>
      </c>
      <c r="H7093">
        <f>IF(DATOS!$G7093&lt;&gt;"EX",0,--(COUNTIFS(nNIA,DATOS!$A7093,nCURSO,DATOS!$D7093,nESPEC,DATOS!$E7093,nASIG,DATOS!$I7093,nEVAL,"OR")=0))</f>
      </c>
      <c r="I7093">
        <f>IF(DATOS!$I7093="","",IFERROR(VLOOKUP(DATOS!$I7093,CONFIG_ASIGNATURAS!$B$2:$J$91,9,FALSE()),""))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IF(DATOS!$A7094="",0,IF(CONFIG_METADATA!$B$4&lt;&gt;"OR+EX",--(DATOS!$G7094=CONFIG_METADATA!$B$4),IF(DATOS!$G7094="EX",1,IF(DATOS!$G7094="OR",--(COUNTIFS(nNIA,DATOS!$A7094,nCURSO,DATOS!$D7094,nESPEC,DATOS!$E7094,nASIG,DATOS!$I7094,nEVAL,"EX")=0),0))))</f>
      </c>
      <c r="H7094">
        <f>IF(DATOS!$G7094&lt;&gt;"EX",0,--(COUNTIFS(nNIA,DATOS!$A7094,nCURSO,DATOS!$D7094,nESPEC,DATOS!$E7094,nASIG,DATOS!$I7094,nEVAL,"OR")=0))</f>
      </c>
      <c r="I7094">
        <f>IF(DATOS!$I7094="","",IFERROR(VLOOKUP(DATOS!$I7094,CONFIG_ASIGNATURAS!$B$2:$J$91,9,FALSE()),""))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IF(DATOS!$A7095="",0,IF(CONFIG_METADATA!$B$4&lt;&gt;"OR+EX",--(DATOS!$G7095=CONFIG_METADATA!$B$4),IF(DATOS!$G7095="EX",1,IF(DATOS!$G7095="OR",--(COUNTIFS(nNIA,DATOS!$A7095,nCURSO,DATOS!$D7095,nESPEC,DATOS!$E7095,nASIG,DATOS!$I7095,nEVAL,"EX")=0),0))))</f>
      </c>
      <c r="H7095">
        <f>IF(DATOS!$G7095&lt;&gt;"EX",0,--(COUNTIFS(nNIA,DATOS!$A7095,nCURSO,DATOS!$D7095,nESPEC,DATOS!$E7095,nASIG,DATOS!$I7095,nEVAL,"OR")=0))</f>
      </c>
      <c r="I7095">
        <f>IF(DATOS!$I7095="","",IFERROR(VLOOKUP(DATOS!$I7095,CONFIG_ASIGNATURAS!$B$2:$J$91,9,FALSE()),""))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IF(DATOS!$A7096="",0,IF(CONFIG_METADATA!$B$4&lt;&gt;"OR+EX",--(DATOS!$G7096=CONFIG_METADATA!$B$4),IF(DATOS!$G7096="EX",1,IF(DATOS!$G7096="OR",--(COUNTIFS(nNIA,DATOS!$A7096,nCURSO,DATOS!$D7096,nESPEC,DATOS!$E7096,nASIG,DATOS!$I7096,nEVAL,"EX")=0),0))))</f>
      </c>
      <c r="H7096">
        <f>IF(DATOS!$G7096&lt;&gt;"EX",0,--(COUNTIFS(nNIA,DATOS!$A7096,nCURSO,DATOS!$D7096,nESPEC,DATOS!$E7096,nASIG,DATOS!$I7096,nEVAL,"OR")=0))</f>
      </c>
      <c r="I7096">
        <f>IF(DATOS!$I7096="","",IFERROR(VLOOKUP(DATOS!$I7096,CONFIG_ASIGNATURAS!$B$2:$J$91,9,FALSE()),""))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IF(DATOS!$A7097="",0,IF(CONFIG_METADATA!$B$4&lt;&gt;"OR+EX",--(DATOS!$G7097=CONFIG_METADATA!$B$4),IF(DATOS!$G7097="EX",1,IF(DATOS!$G7097="OR",--(COUNTIFS(nNIA,DATOS!$A7097,nCURSO,DATOS!$D7097,nESPEC,DATOS!$E7097,nASIG,DATOS!$I7097,nEVAL,"EX")=0),0))))</f>
      </c>
      <c r="H7097">
        <f>IF(DATOS!$G7097&lt;&gt;"EX",0,--(COUNTIFS(nNIA,DATOS!$A7097,nCURSO,DATOS!$D7097,nESPEC,DATOS!$E7097,nASIG,DATOS!$I7097,nEVAL,"OR")=0))</f>
      </c>
      <c r="I7097">
        <f>IF(DATOS!$I7097="","",IFERROR(VLOOKUP(DATOS!$I7097,CONFIG_ASIGNATURAS!$B$2:$J$91,9,FALSE()),""))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IF(DATOS!$A7098="",0,IF(CONFIG_METADATA!$B$4&lt;&gt;"OR+EX",--(DATOS!$G7098=CONFIG_METADATA!$B$4),IF(DATOS!$G7098="EX",1,IF(DATOS!$G7098="OR",--(COUNTIFS(nNIA,DATOS!$A7098,nCURSO,DATOS!$D7098,nESPEC,DATOS!$E7098,nASIG,DATOS!$I7098,nEVAL,"EX")=0),0))))</f>
      </c>
      <c r="H7098">
        <f>IF(DATOS!$G7098&lt;&gt;"EX",0,--(COUNTIFS(nNIA,DATOS!$A7098,nCURSO,DATOS!$D7098,nESPEC,DATOS!$E7098,nASIG,DATOS!$I7098,nEVAL,"OR")=0))</f>
      </c>
      <c r="I7098">
        <f>IF(DATOS!$I7098="","",IFERROR(VLOOKUP(DATOS!$I7098,CONFIG_ASIGNATURAS!$B$2:$J$91,9,FALSE()),""))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IF(DATOS!$A7099="",0,IF(CONFIG_METADATA!$B$4&lt;&gt;"OR+EX",--(DATOS!$G7099=CONFIG_METADATA!$B$4),IF(DATOS!$G7099="EX",1,IF(DATOS!$G7099="OR",--(COUNTIFS(nNIA,DATOS!$A7099,nCURSO,DATOS!$D7099,nESPEC,DATOS!$E7099,nASIG,DATOS!$I7099,nEVAL,"EX")=0),0))))</f>
      </c>
      <c r="H7099">
        <f>IF(DATOS!$G7099&lt;&gt;"EX",0,--(COUNTIFS(nNIA,DATOS!$A7099,nCURSO,DATOS!$D7099,nESPEC,DATOS!$E7099,nASIG,DATOS!$I7099,nEVAL,"OR")=0))</f>
      </c>
      <c r="I7099">
        <f>IF(DATOS!$I7099="","",IFERROR(VLOOKUP(DATOS!$I7099,CONFIG_ASIGNATURAS!$B$2:$J$91,9,FALSE()),""))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IF(DATOS!$A7100="",0,IF(CONFIG_METADATA!$B$4&lt;&gt;"OR+EX",--(DATOS!$G7100=CONFIG_METADATA!$B$4),IF(DATOS!$G7100="EX",1,IF(DATOS!$G7100="OR",--(COUNTIFS(nNIA,DATOS!$A7100,nCURSO,DATOS!$D7100,nESPEC,DATOS!$E7100,nASIG,DATOS!$I7100,nEVAL,"EX")=0),0))))</f>
      </c>
      <c r="H7100">
        <f>IF(DATOS!$G7100&lt;&gt;"EX",0,--(COUNTIFS(nNIA,DATOS!$A7100,nCURSO,DATOS!$D7100,nESPEC,DATOS!$E7100,nASIG,DATOS!$I7100,nEVAL,"OR")=0))</f>
      </c>
      <c r="I7100">
        <f>IF(DATOS!$I7100="","",IFERROR(VLOOKUP(DATOS!$I7100,CONFIG_ASIGNATURAS!$B$2:$J$91,9,FALSE()),""))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IF(DATOS!$A7101="",0,IF(CONFIG_METADATA!$B$4&lt;&gt;"OR+EX",--(DATOS!$G7101=CONFIG_METADATA!$B$4),IF(DATOS!$G7101="EX",1,IF(DATOS!$G7101="OR",--(COUNTIFS(nNIA,DATOS!$A7101,nCURSO,DATOS!$D7101,nESPEC,DATOS!$E7101,nASIG,DATOS!$I7101,nEVAL,"EX")=0),0))))</f>
      </c>
      <c r="H7101">
        <f>IF(DATOS!$G7101&lt;&gt;"EX",0,--(COUNTIFS(nNIA,DATOS!$A7101,nCURSO,DATOS!$D7101,nESPEC,DATOS!$E7101,nASIG,DATOS!$I7101,nEVAL,"OR")=0))</f>
      </c>
      <c r="I7101">
        <f>IF(DATOS!$I7101="","",IFERROR(VLOOKUP(DATOS!$I7101,CONFIG_ASIGNATURAS!$B$2:$J$91,9,FALSE()),""))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IF(DATOS!$A7102="",0,IF(CONFIG_METADATA!$B$4&lt;&gt;"OR+EX",--(DATOS!$G7102=CONFIG_METADATA!$B$4),IF(DATOS!$G7102="EX",1,IF(DATOS!$G7102="OR",--(COUNTIFS(nNIA,DATOS!$A7102,nCURSO,DATOS!$D7102,nESPEC,DATOS!$E7102,nASIG,DATOS!$I7102,nEVAL,"EX")=0),0))))</f>
      </c>
      <c r="H7102">
        <f>IF(DATOS!$G7102&lt;&gt;"EX",0,--(COUNTIFS(nNIA,DATOS!$A7102,nCURSO,DATOS!$D7102,nESPEC,DATOS!$E7102,nASIG,DATOS!$I7102,nEVAL,"OR")=0))</f>
      </c>
      <c r="I7102">
        <f>IF(DATOS!$I7102="","",IFERROR(VLOOKUP(DATOS!$I7102,CONFIG_ASIGNATURAS!$B$2:$J$91,9,FALSE()),""))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IF(DATOS!$A7103="",0,IF(CONFIG_METADATA!$B$4&lt;&gt;"OR+EX",--(DATOS!$G7103=CONFIG_METADATA!$B$4),IF(DATOS!$G7103="EX",1,IF(DATOS!$G7103="OR",--(COUNTIFS(nNIA,DATOS!$A7103,nCURSO,DATOS!$D7103,nESPEC,DATOS!$E7103,nASIG,DATOS!$I7103,nEVAL,"EX")=0),0))))</f>
      </c>
      <c r="H7103">
        <f>IF(DATOS!$G7103&lt;&gt;"EX",0,--(COUNTIFS(nNIA,DATOS!$A7103,nCURSO,DATOS!$D7103,nESPEC,DATOS!$E7103,nASIG,DATOS!$I7103,nEVAL,"OR")=0))</f>
      </c>
      <c r="I7103">
        <f>IF(DATOS!$I7103="","",IFERROR(VLOOKUP(DATOS!$I7103,CONFIG_ASIGNATURAS!$B$2:$J$91,9,FALSE()),""))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IF(DATOS!$A7104="",0,IF(CONFIG_METADATA!$B$4&lt;&gt;"OR+EX",--(DATOS!$G7104=CONFIG_METADATA!$B$4),IF(DATOS!$G7104="EX",1,IF(DATOS!$G7104="OR",--(COUNTIFS(nNIA,DATOS!$A7104,nCURSO,DATOS!$D7104,nESPEC,DATOS!$E7104,nASIG,DATOS!$I7104,nEVAL,"EX")=0),0))))</f>
      </c>
      <c r="H7104">
        <f>IF(DATOS!$G7104&lt;&gt;"EX",0,--(COUNTIFS(nNIA,DATOS!$A7104,nCURSO,DATOS!$D7104,nESPEC,DATOS!$E7104,nASIG,DATOS!$I7104,nEVAL,"OR")=0))</f>
      </c>
      <c r="I7104">
        <f>IF(DATOS!$I7104="","",IFERROR(VLOOKUP(DATOS!$I7104,CONFIG_ASIGNATURAS!$B$2:$J$91,9,FALSE()),""))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IF(DATOS!$A7105="",0,IF(CONFIG_METADATA!$B$4&lt;&gt;"OR+EX",--(DATOS!$G7105=CONFIG_METADATA!$B$4),IF(DATOS!$G7105="EX",1,IF(DATOS!$G7105="OR",--(COUNTIFS(nNIA,DATOS!$A7105,nCURSO,DATOS!$D7105,nESPEC,DATOS!$E7105,nASIG,DATOS!$I7105,nEVAL,"EX")=0),0))))</f>
      </c>
      <c r="H7105">
        <f>IF(DATOS!$G7105&lt;&gt;"EX",0,--(COUNTIFS(nNIA,DATOS!$A7105,nCURSO,DATOS!$D7105,nESPEC,DATOS!$E7105,nASIG,DATOS!$I7105,nEVAL,"OR")=0))</f>
      </c>
      <c r="I7105">
        <f>IF(DATOS!$I7105="","",IFERROR(VLOOKUP(DATOS!$I7105,CONFIG_ASIGNATURAS!$B$2:$J$91,9,FALSE()),""))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IF(DATOS!$A7106="",0,IF(CONFIG_METADATA!$B$4&lt;&gt;"OR+EX",--(DATOS!$G7106=CONFIG_METADATA!$B$4),IF(DATOS!$G7106="EX",1,IF(DATOS!$G7106="OR",--(COUNTIFS(nNIA,DATOS!$A7106,nCURSO,DATOS!$D7106,nESPEC,DATOS!$E7106,nASIG,DATOS!$I7106,nEVAL,"EX")=0),0))))</f>
      </c>
      <c r="H7106">
        <f>IF(DATOS!$G7106&lt;&gt;"EX",0,--(COUNTIFS(nNIA,DATOS!$A7106,nCURSO,DATOS!$D7106,nESPEC,DATOS!$E7106,nASIG,DATOS!$I7106,nEVAL,"OR")=0))</f>
      </c>
      <c r="I7106">
        <f>IF(DATOS!$I7106="","",IFERROR(VLOOKUP(DATOS!$I7106,CONFIG_ASIGNATURAS!$B$2:$J$91,9,FALSE()),""))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IF(DATOS!$A7107="",0,IF(CONFIG_METADATA!$B$4&lt;&gt;"OR+EX",--(DATOS!$G7107=CONFIG_METADATA!$B$4),IF(DATOS!$G7107="EX",1,IF(DATOS!$G7107="OR",--(COUNTIFS(nNIA,DATOS!$A7107,nCURSO,DATOS!$D7107,nESPEC,DATOS!$E7107,nASIG,DATOS!$I7107,nEVAL,"EX")=0),0))))</f>
      </c>
      <c r="H7107">
        <f>IF(DATOS!$G7107&lt;&gt;"EX",0,--(COUNTIFS(nNIA,DATOS!$A7107,nCURSO,DATOS!$D7107,nESPEC,DATOS!$E7107,nASIG,DATOS!$I7107,nEVAL,"OR")=0))</f>
      </c>
      <c r="I7107">
        <f>IF(DATOS!$I7107="","",IFERROR(VLOOKUP(DATOS!$I7107,CONFIG_ASIGNATURAS!$B$2:$J$91,9,FALSE()),""))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IF(DATOS!$A7108="",0,IF(CONFIG_METADATA!$B$4&lt;&gt;"OR+EX",--(DATOS!$G7108=CONFIG_METADATA!$B$4),IF(DATOS!$G7108="EX",1,IF(DATOS!$G7108="OR",--(COUNTIFS(nNIA,DATOS!$A7108,nCURSO,DATOS!$D7108,nESPEC,DATOS!$E7108,nASIG,DATOS!$I7108,nEVAL,"EX")=0),0))))</f>
      </c>
      <c r="H7108">
        <f>IF(DATOS!$G7108&lt;&gt;"EX",0,--(COUNTIFS(nNIA,DATOS!$A7108,nCURSO,DATOS!$D7108,nESPEC,DATOS!$E7108,nASIG,DATOS!$I7108,nEVAL,"OR")=0))</f>
      </c>
      <c r="I7108">
        <f>IF(DATOS!$I7108="","",IFERROR(VLOOKUP(DATOS!$I7108,CONFIG_ASIGNATURAS!$B$2:$J$91,9,FALSE()),""))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IF(DATOS!$A7109="",0,IF(CONFIG_METADATA!$B$4&lt;&gt;"OR+EX",--(DATOS!$G7109=CONFIG_METADATA!$B$4),IF(DATOS!$G7109="EX",1,IF(DATOS!$G7109="OR",--(COUNTIFS(nNIA,DATOS!$A7109,nCURSO,DATOS!$D7109,nESPEC,DATOS!$E7109,nASIG,DATOS!$I7109,nEVAL,"EX")=0),0))))</f>
      </c>
      <c r="H7109">
        <f>IF(DATOS!$G7109&lt;&gt;"EX",0,--(COUNTIFS(nNIA,DATOS!$A7109,nCURSO,DATOS!$D7109,nESPEC,DATOS!$E7109,nASIG,DATOS!$I7109,nEVAL,"OR")=0))</f>
      </c>
      <c r="I7109">
        <f>IF(DATOS!$I7109="","",IFERROR(VLOOKUP(DATOS!$I7109,CONFIG_ASIGNATURAS!$B$2:$J$91,9,FALSE()),""))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IF(DATOS!$A7110="",0,IF(CONFIG_METADATA!$B$4&lt;&gt;"OR+EX",--(DATOS!$G7110=CONFIG_METADATA!$B$4),IF(DATOS!$G7110="EX",1,IF(DATOS!$G7110="OR",--(COUNTIFS(nNIA,DATOS!$A7110,nCURSO,DATOS!$D7110,nESPEC,DATOS!$E7110,nASIG,DATOS!$I7110,nEVAL,"EX")=0),0))))</f>
      </c>
      <c r="H7110">
        <f>IF(DATOS!$G7110&lt;&gt;"EX",0,--(COUNTIFS(nNIA,DATOS!$A7110,nCURSO,DATOS!$D7110,nESPEC,DATOS!$E7110,nASIG,DATOS!$I7110,nEVAL,"OR")=0))</f>
      </c>
      <c r="I7110">
        <f>IF(DATOS!$I7110="","",IFERROR(VLOOKUP(DATOS!$I7110,CONFIG_ASIGNATURAS!$B$2:$J$91,9,FALSE()),""))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IF(DATOS!$A7111="",0,IF(CONFIG_METADATA!$B$4&lt;&gt;"OR+EX",--(DATOS!$G7111=CONFIG_METADATA!$B$4),IF(DATOS!$G7111="EX",1,IF(DATOS!$G7111="OR",--(COUNTIFS(nNIA,DATOS!$A7111,nCURSO,DATOS!$D7111,nESPEC,DATOS!$E7111,nASIG,DATOS!$I7111,nEVAL,"EX")=0),0))))</f>
      </c>
      <c r="H7111">
        <f>IF(DATOS!$G7111&lt;&gt;"EX",0,--(COUNTIFS(nNIA,DATOS!$A7111,nCURSO,DATOS!$D7111,nESPEC,DATOS!$E7111,nASIG,DATOS!$I7111,nEVAL,"OR")=0))</f>
      </c>
      <c r="I7111">
        <f>IF(DATOS!$I7111="","",IFERROR(VLOOKUP(DATOS!$I7111,CONFIG_ASIGNATURAS!$B$2:$J$91,9,FALSE()),""))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IF(DATOS!$A7112="",0,IF(CONFIG_METADATA!$B$4&lt;&gt;"OR+EX",--(DATOS!$G7112=CONFIG_METADATA!$B$4),IF(DATOS!$G7112="EX",1,IF(DATOS!$G7112="OR",--(COUNTIFS(nNIA,DATOS!$A7112,nCURSO,DATOS!$D7112,nESPEC,DATOS!$E7112,nASIG,DATOS!$I7112,nEVAL,"EX")=0),0))))</f>
      </c>
      <c r="H7112">
        <f>IF(DATOS!$G7112&lt;&gt;"EX",0,--(COUNTIFS(nNIA,DATOS!$A7112,nCURSO,DATOS!$D7112,nESPEC,DATOS!$E7112,nASIG,DATOS!$I7112,nEVAL,"OR")=0))</f>
      </c>
      <c r="I7112">
        <f>IF(DATOS!$I7112="","",IFERROR(VLOOKUP(DATOS!$I7112,CONFIG_ASIGNATURAS!$B$2:$J$91,9,FALSE()),""))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IF(DATOS!$A7113="",0,IF(CONFIG_METADATA!$B$4&lt;&gt;"OR+EX",--(DATOS!$G7113=CONFIG_METADATA!$B$4),IF(DATOS!$G7113="EX",1,IF(DATOS!$G7113="OR",--(COUNTIFS(nNIA,DATOS!$A7113,nCURSO,DATOS!$D7113,nESPEC,DATOS!$E7113,nASIG,DATOS!$I7113,nEVAL,"EX")=0),0))))</f>
      </c>
      <c r="H7113">
        <f>IF(DATOS!$G7113&lt;&gt;"EX",0,--(COUNTIFS(nNIA,DATOS!$A7113,nCURSO,DATOS!$D7113,nESPEC,DATOS!$E7113,nASIG,DATOS!$I7113,nEVAL,"OR")=0))</f>
      </c>
      <c r="I7113">
        <f>IF(DATOS!$I7113="","",IFERROR(VLOOKUP(DATOS!$I7113,CONFIG_ASIGNATURAS!$B$2:$J$91,9,FALSE()),""))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IF(DATOS!$A7114="",0,IF(CONFIG_METADATA!$B$4&lt;&gt;"OR+EX",--(DATOS!$G7114=CONFIG_METADATA!$B$4),IF(DATOS!$G7114="EX",1,IF(DATOS!$G7114="OR",--(COUNTIFS(nNIA,DATOS!$A7114,nCURSO,DATOS!$D7114,nESPEC,DATOS!$E7114,nASIG,DATOS!$I7114,nEVAL,"EX")=0),0))))</f>
      </c>
      <c r="H7114">
        <f>IF(DATOS!$G7114&lt;&gt;"EX",0,--(COUNTIFS(nNIA,DATOS!$A7114,nCURSO,DATOS!$D7114,nESPEC,DATOS!$E7114,nASIG,DATOS!$I7114,nEVAL,"OR")=0))</f>
      </c>
      <c r="I7114">
        <f>IF(DATOS!$I7114="","",IFERROR(VLOOKUP(DATOS!$I7114,CONFIG_ASIGNATURAS!$B$2:$J$91,9,FALSE()),""))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IF(DATOS!$A7115="",0,IF(CONFIG_METADATA!$B$4&lt;&gt;"OR+EX",--(DATOS!$G7115=CONFIG_METADATA!$B$4),IF(DATOS!$G7115="EX",1,IF(DATOS!$G7115="OR",--(COUNTIFS(nNIA,DATOS!$A7115,nCURSO,DATOS!$D7115,nESPEC,DATOS!$E7115,nASIG,DATOS!$I7115,nEVAL,"EX")=0),0))))</f>
      </c>
      <c r="H7115">
        <f>IF(DATOS!$G7115&lt;&gt;"EX",0,--(COUNTIFS(nNIA,DATOS!$A7115,nCURSO,DATOS!$D7115,nESPEC,DATOS!$E7115,nASIG,DATOS!$I7115,nEVAL,"OR")=0))</f>
      </c>
      <c r="I7115">
        <f>IF(DATOS!$I7115="","",IFERROR(VLOOKUP(DATOS!$I7115,CONFIG_ASIGNATURAS!$B$2:$J$91,9,FALSE()),""))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IF(DATOS!$A7116="",0,IF(CONFIG_METADATA!$B$4&lt;&gt;"OR+EX",--(DATOS!$G7116=CONFIG_METADATA!$B$4),IF(DATOS!$G7116="EX",1,IF(DATOS!$G7116="OR",--(COUNTIFS(nNIA,DATOS!$A7116,nCURSO,DATOS!$D7116,nESPEC,DATOS!$E7116,nASIG,DATOS!$I7116,nEVAL,"EX")=0),0))))</f>
      </c>
      <c r="H7116">
        <f>IF(DATOS!$G7116&lt;&gt;"EX",0,--(COUNTIFS(nNIA,DATOS!$A7116,nCURSO,DATOS!$D7116,nESPEC,DATOS!$E7116,nASIG,DATOS!$I7116,nEVAL,"OR")=0))</f>
      </c>
      <c r="I7116">
        <f>IF(DATOS!$I7116="","",IFERROR(VLOOKUP(DATOS!$I7116,CONFIG_ASIGNATURAS!$B$2:$J$91,9,FALSE()),""))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IF(DATOS!$A7117="",0,IF(CONFIG_METADATA!$B$4&lt;&gt;"OR+EX",--(DATOS!$G7117=CONFIG_METADATA!$B$4),IF(DATOS!$G7117="EX",1,IF(DATOS!$G7117="OR",--(COUNTIFS(nNIA,DATOS!$A7117,nCURSO,DATOS!$D7117,nESPEC,DATOS!$E7117,nASIG,DATOS!$I7117,nEVAL,"EX")=0),0))))</f>
      </c>
      <c r="H7117">
        <f>IF(DATOS!$G7117&lt;&gt;"EX",0,--(COUNTIFS(nNIA,DATOS!$A7117,nCURSO,DATOS!$D7117,nESPEC,DATOS!$E7117,nASIG,DATOS!$I7117,nEVAL,"OR")=0))</f>
      </c>
      <c r="I7117">
        <f>IF(DATOS!$I7117="","",IFERROR(VLOOKUP(DATOS!$I7117,CONFIG_ASIGNATURAS!$B$2:$J$91,9,FALSE()),""))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IF(DATOS!$A7118="",0,IF(CONFIG_METADATA!$B$4&lt;&gt;"OR+EX",--(DATOS!$G7118=CONFIG_METADATA!$B$4),IF(DATOS!$G7118="EX",1,IF(DATOS!$G7118="OR",--(COUNTIFS(nNIA,DATOS!$A7118,nCURSO,DATOS!$D7118,nESPEC,DATOS!$E7118,nASIG,DATOS!$I7118,nEVAL,"EX")=0),0))))</f>
      </c>
      <c r="H7118">
        <f>IF(DATOS!$G7118&lt;&gt;"EX",0,--(COUNTIFS(nNIA,DATOS!$A7118,nCURSO,DATOS!$D7118,nESPEC,DATOS!$E7118,nASIG,DATOS!$I7118,nEVAL,"OR")=0))</f>
      </c>
      <c r="I7118">
        <f>IF(DATOS!$I7118="","",IFERROR(VLOOKUP(DATOS!$I7118,CONFIG_ASIGNATURAS!$B$2:$J$91,9,FALSE()),""))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IF(DATOS!$A7119="",0,IF(CONFIG_METADATA!$B$4&lt;&gt;"OR+EX",--(DATOS!$G7119=CONFIG_METADATA!$B$4),IF(DATOS!$G7119="EX",1,IF(DATOS!$G7119="OR",--(COUNTIFS(nNIA,DATOS!$A7119,nCURSO,DATOS!$D7119,nESPEC,DATOS!$E7119,nASIG,DATOS!$I7119,nEVAL,"EX")=0),0))))</f>
      </c>
      <c r="H7119">
        <f>IF(DATOS!$G7119&lt;&gt;"EX",0,--(COUNTIFS(nNIA,DATOS!$A7119,nCURSO,DATOS!$D7119,nESPEC,DATOS!$E7119,nASIG,DATOS!$I7119,nEVAL,"OR")=0))</f>
      </c>
      <c r="I7119">
        <f>IF(DATOS!$I7119="","",IFERROR(VLOOKUP(DATOS!$I7119,CONFIG_ASIGNATURAS!$B$2:$J$91,9,FALSE()),""))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IF(DATOS!$A7120="",0,IF(CONFIG_METADATA!$B$4&lt;&gt;"OR+EX",--(DATOS!$G7120=CONFIG_METADATA!$B$4),IF(DATOS!$G7120="EX",1,IF(DATOS!$G7120="OR",--(COUNTIFS(nNIA,DATOS!$A7120,nCURSO,DATOS!$D7120,nESPEC,DATOS!$E7120,nASIG,DATOS!$I7120,nEVAL,"EX")=0),0))))</f>
      </c>
      <c r="H7120">
        <f>IF(DATOS!$G7120&lt;&gt;"EX",0,--(COUNTIFS(nNIA,DATOS!$A7120,nCURSO,DATOS!$D7120,nESPEC,DATOS!$E7120,nASIG,DATOS!$I7120,nEVAL,"OR")=0))</f>
      </c>
      <c r="I7120">
        <f>IF(DATOS!$I7120="","",IFERROR(VLOOKUP(DATOS!$I7120,CONFIG_ASIGNATURAS!$B$2:$J$91,9,FALSE()),""))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IF(DATOS!$A7121="",0,IF(CONFIG_METADATA!$B$4&lt;&gt;"OR+EX",--(DATOS!$G7121=CONFIG_METADATA!$B$4),IF(DATOS!$G7121="EX",1,IF(DATOS!$G7121="OR",--(COUNTIFS(nNIA,DATOS!$A7121,nCURSO,DATOS!$D7121,nESPEC,DATOS!$E7121,nASIG,DATOS!$I7121,nEVAL,"EX")=0),0))))</f>
      </c>
      <c r="H7121">
        <f>IF(DATOS!$G7121&lt;&gt;"EX",0,--(COUNTIFS(nNIA,DATOS!$A7121,nCURSO,DATOS!$D7121,nESPEC,DATOS!$E7121,nASIG,DATOS!$I7121,nEVAL,"OR")=0))</f>
      </c>
      <c r="I7121">
        <f>IF(DATOS!$I7121="","",IFERROR(VLOOKUP(DATOS!$I7121,CONFIG_ASIGNATURAS!$B$2:$J$91,9,FALSE()),""))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IF(DATOS!$A7122="",0,IF(CONFIG_METADATA!$B$4&lt;&gt;"OR+EX",--(DATOS!$G7122=CONFIG_METADATA!$B$4),IF(DATOS!$G7122="EX",1,IF(DATOS!$G7122="OR",--(COUNTIFS(nNIA,DATOS!$A7122,nCURSO,DATOS!$D7122,nESPEC,DATOS!$E7122,nASIG,DATOS!$I7122,nEVAL,"EX")=0),0))))</f>
      </c>
      <c r="H7122">
        <f>IF(DATOS!$G7122&lt;&gt;"EX",0,--(COUNTIFS(nNIA,DATOS!$A7122,nCURSO,DATOS!$D7122,nESPEC,DATOS!$E7122,nASIG,DATOS!$I7122,nEVAL,"OR")=0))</f>
      </c>
      <c r="I7122">
        <f>IF(DATOS!$I7122="","",IFERROR(VLOOKUP(DATOS!$I7122,CONFIG_ASIGNATURAS!$B$2:$J$91,9,FALSE()),""))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IF(DATOS!$A7123="",0,IF(CONFIG_METADATA!$B$4&lt;&gt;"OR+EX",--(DATOS!$G7123=CONFIG_METADATA!$B$4),IF(DATOS!$G7123="EX",1,IF(DATOS!$G7123="OR",--(COUNTIFS(nNIA,DATOS!$A7123,nCURSO,DATOS!$D7123,nESPEC,DATOS!$E7123,nASIG,DATOS!$I7123,nEVAL,"EX")=0),0))))</f>
      </c>
      <c r="H7123">
        <f>IF(DATOS!$G7123&lt;&gt;"EX",0,--(COUNTIFS(nNIA,DATOS!$A7123,nCURSO,DATOS!$D7123,nESPEC,DATOS!$E7123,nASIG,DATOS!$I7123,nEVAL,"OR")=0))</f>
      </c>
      <c r="I7123">
        <f>IF(DATOS!$I7123="","",IFERROR(VLOOKUP(DATOS!$I7123,CONFIG_ASIGNATURAS!$B$2:$J$91,9,FALSE()),""))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IF(DATOS!$A7124="",0,IF(CONFIG_METADATA!$B$4&lt;&gt;"OR+EX",--(DATOS!$G7124=CONFIG_METADATA!$B$4),IF(DATOS!$G7124="EX",1,IF(DATOS!$G7124="OR",--(COUNTIFS(nNIA,DATOS!$A7124,nCURSO,DATOS!$D7124,nESPEC,DATOS!$E7124,nASIG,DATOS!$I7124,nEVAL,"EX")=0),0))))</f>
      </c>
      <c r="H7124">
        <f>IF(DATOS!$G7124&lt;&gt;"EX",0,--(COUNTIFS(nNIA,DATOS!$A7124,nCURSO,DATOS!$D7124,nESPEC,DATOS!$E7124,nASIG,DATOS!$I7124,nEVAL,"OR")=0))</f>
      </c>
      <c r="I7124">
        <f>IF(DATOS!$I7124="","",IFERROR(VLOOKUP(DATOS!$I7124,CONFIG_ASIGNATURAS!$B$2:$J$91,9,FALSE()),""))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IF(DATOS!$A7125="",0,IF(CONFIG_METADATA!$B$4&lt;&gt;"OR+EX",--(DATOS!$G7125=CONFIG_METADATA!$B$4),IF(DATOS!$G7125="EX",1,IF(DATOS!$G7125="OR",--(COUNTIFS(nNIA,DATOS!$A7125,nCURSO,DATOS!$D7125,nESPEC,DATOS!$E7125,nASIG,DATOS!$I7125,nEVAL,"EX")=0),0))))</f>
      </c>
      <c r="H7125">
        <f>IF(DATOS!$G7125&lt;&gt;"EX",0,--(COUNTIFS(nNIA,DATOS!$A7125,nCURSO,DATOS!$D7125,nESPEC,DATOS!$E7125,nASIG,DATOS!$I7125,nEVAL,"OR")=0))</f>
      </c>
      <c r="I7125">
        <f>IF(DATOS!$I7125="","",IFERROR(VLOOKUP(DATOS!$I7125,CONFIG_ASIGNATURAS!$B$2:$J$91,9,FALSE()),""))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IF(DATOS!$A7126="",0,IF(CONFIG_METADATA!$B$4&lt;&gt;"OR+EX",--(DATOS!$G7126=CONFIG_METADATA!$B$4),IF(DATOS!$G7126="EX",1,IF(DATOS!$G7126="OR",--(COUNTIFS(nNIA,DATOS!$A7126,nCURSO,DATOS!$D7126,nESPEC,DATOS!$E7126,nASIG,DATOS!$I7126,nEVAL,"EX")=0),0))))</f>
      </c>
      <c r="H7126">
        <f>IF(DATOS!$G7126&lt;&gt;"EX",0,--(COUNTIFS(nNIA,DATOS!$A7126,nCURSO,DATOS!$D7126,nESPEC,DATOS!$E7126,nASIG,DATOS!$I7126,nEVAL,"OR")=0))</f>
      </c>
      <c r="I7126">
        <f>IF(DATOS!$I7126="","",IFERROR(VLOOKUP(DATOS!$I7126,CONFIG_ASIGNATURAS!$B$2:$J$91,9,FALSE()),""))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IF(DATOS!$A7127="",0,IF(CONFIG_METADATA!$B$4&lt;&gt;"OR+EX",--(DATOS!$G7127=CONFIG_METADATA!$B$4),IF(DATOS!$G7127="EX",1,IF(DATOS!$G7127="OR",--(COUNTIFS(nNIA,DATOS!$A7127,nCURSO,DATOS!$D7127,nESPEC,DATOS!$E7127,nASIG,DATOS!$I7127,nEVAL,"EX")=0),0))))</f>
      </c>
      <c r="H7127">
        <f>IF(DATOS!$G7127&lt;&gt;"EX",0,--(COUNTIFS(nNIA,DATOS!$A7127,nCURSO,DATOS!$D7127,nESPEC,DATOS!$E7127,nASIG,DATOS!$I7127,nEVAL,"OR")=0))</f>
      </c>
      <c r="I7127">
        <f>IF(DATOS!$I7127="","",IFERROR(VLOOKUP(DATOS!$I7127,CONFIG_ASIGNATURAS!$B$2:$J$91,9,FALSE()),""))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IF(DATOS!$A7128="",0,IF(CONFIG_METADATA!$B$4&lt;&gt;"OR+EX",--(DATOS!$G7128=CONFIG_METADATA!$B$4),IF(DATOS!$G7128="EX",1,IF(DATOS!$G7128="OR",--(COUNTIFS(nNIA,DATOS!$A7128,nCURSO,DATOS!$D7128,nESPEC,DATOS!$E7128,nASIG,DATOS!$I7128,nEVAL,"EX")=0),0))))</f>
      </c>
      <c r="H7128">
        <f>IF(DATOS!$G7128&lt;&gt;"EX",0,--(COUNTIFS(nNIA,DATOS!$A7128,nCURSO,DATOS!$D7128,nESPEC,DATOS!$E7128,nASIG,DATOS!$I7128,nEVAL,"OR")=0))</f>
      </c>
      <c r="I7128">
        <f>IF(DATOS!$I7128="","",IFERROR(VLOOKUP(DATOS!$I7128,CONFIG_ASIGNATURAS!$B$2:$J$91,9,FALSE()),""))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IF(DATOS!$A7129="",0,IF(CONFIG_METADATA!$B$4&lt;&gt;"OR+EX",--(DATOS!$G7129=CONFIG_METADATA!$B$4),IF(DATOS!$G7129="EX",1,IF(DATOS!$G7129="OR",--(COUNTIFS(nNIA,DATOS!$A7129,nCURSO,DATOS!$D7129,nESPEC,DATOS!$E7129,nASIG,DATOS!$I7129,nEVAL,"EX")=0),0))))</f>
      </c>
      <c r="H7129">
        <f>IF(DATOS!$G7129&lt;&gt;"EX",0,--(COUNTIFS(nNIA,DATOS!$A7129,nCURSO,DATOS!$D7129,nESPEC,DATOS!$E7129,nASIG,DATOS!$I7129,nEVAL,"OR")=0))</f>
      </c>
      <c r="I7129">
        <f>IF(DATOS!$I7129="","",IFERROR(VLOOKUP(DATOS!$I7129,CONFIG_ASIGNATURAS!$B$2:$J$91,9,FALSE()),""))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IF(DATOS!$A7130="",0,IF(CONFIG_METADATA!$B$4&lt;&gt;"OR+EX",--(DATOS!$G7130=CONFIG_METADATA!$B$4),IF(DATOS!$G7130="EX",1,IF(DATOS!$G7130="OR",--(COUNTIFS(nNIA,DATOS!$A7130,nCURSO,DATOS!$D7130,nESPEC,DATOS!$E7130,nASIG,DATOS!$I7130,nEVAL,"EX")=0),0))))</f>
      </c>
      <c r="H7130">
        <f>IF(DATOS!$G7130&lt;&gt;"EX",0,--(COUNTIFS(nNIA,DATOS!$A7130,nCURSO,DATOS!$D7130,nESPEC,DATOS!$E7130,nASIG,DATOS!$I7130,nEVAL,"OR")=0))</f>
      </c>
      <c r="I7130">
        <f>IF(DATOS!$I7130="","",IFERROR(VLOOKUP(DATOS!$I7130,CONFIG_ASIGNATURAS!$B$2:$J$91,9,FALSE()),""))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IF(DATOS!$A7131="",0,IF(CONFIG_METADATA!$B$4&lt;&gt;"OR+EX",--(DATOS!$G7131=CONFIG_METADATA!$B$4),IF(DATOS!$G7131="EX",1,IF(DATOS!$G7131="OR",--(COUNTIFS(nNIA,DATOS!$A7131,nCURSO,DATOS!$D7131,nESPEC,DATOS!$E7131,nASIG,DATOS!$I7131,nEVAL,"EX")=0),0))))</f>
      </c>
      <c r="H7131">
        <f>IF(DATOS!$G7131&lt;&gt;"EX",0,--(COUNTIFS(nNIA,DATOS!$A7131,nCURSO,DATOS!$D7131,nESPEC,DATOS!$E7131,nASIG,DATOS!$I7131,nEVAL,"OR")=0))</f>
      </c>
      <c r="I7131">
        <f>IF(DATOS!$I7131="","",IFERROR(VLOOKUP(DATOS!$I7131,CONFIG_ASIGNATURAS!$B$2:$J$91,9,FALSE()),""))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IF(DATOS!$A7132="",0,IF(CONFIG_METADATA!$B$4&lt;&gt;"OR+EX",--(DATOS!$G7132=CONFIG_METADATA!$B$4),IF(DATOS!$G7132="EX",1,IF(DATOS!$G7132="OR",--(COUNTIFS(nNIA,DATOS!$A7132,nCURSO,DATOS!$D7132,nESPEC,DATOS!$E7132,nASIG,DATOS!$I7132,nEVAL,"EX")=0),0))))</f>
      </c>
      <c r="H7132">
        <f>IF(DATOS!$G7132&lt;&gt;"EX",0,--(COUNTIFS(nNIA,DATOS!$A7132,nCURSO,DATOS!$D7132,nESPEC,DATOS!$E7132,nASIG,DATOS!$I7132,nEVAL,"OR")=0))</f>
      </c>
      <c r="I7132">
        <f>IF(DATOS!$I7132="","",IFERROR(VLOOKUP(DATOS!$I7132,CONFIG_ASIGNATURAS!$B$2:$J$91,9,FALSE()),""))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IF(DATOS!$A7133="",0,IF(CONFIG_METADATA!$B$4&lt;&gt;"OR+EX",--(DATOS!$G7133=CONFIG_METADATA!$B$4),IF(DATOS!$G7133="EX",1,IF(DATOS!$G7133="OR",--(COUNTIFS(nNIA,DATOS!$A7133,nCURSO,DATOS!$D7133,nESPEC,DATOS!$E7133,nASIG,DATOS!$I7133,nEVAL,"EX")=0),0))))</f>
      </c>
      <c r="H7133">
        <f>IF(DATOS!$G7133&lt;&gt;"EX",0,--(COUNTIFS(nNIA,DATOS!$A7133,nCURSO,DATOS!$D7133,nESPEC,DATOS!$E7133,nASIG,DATOS!$I7133,nEVAL,"OR")=0))</f>
      </c>
      <c r="I7133">
        <f>IF(DATOS!$I7133="","",IFERROR(VLOOKUP(DATOS!$I7133,CONFIG_ASIGNATURAS!$B$2:$J$91,9,FALSE()),""))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IF(DATOS!$A7134="",0,IF(CONFIG_METADATA!$B$4&lt;&gt;"OR+EX",--(DATOS!$G7134=CONFIG_METADATA!$B$4),IF(DATOS!$G7134="EX",1,IF(DATOS!$G7134="OR",--(COUNTIFS(nNIA,DATOS!$A7134,nCURSO,DATOS!$D7134,nESPEC,DATOS!$E7134,nASIG,DATOS!$I7134,nEVAL,"EX")=0),0))))</f>
      </c>
      <c r="H7134">
        <f>IF(DATOS!$G7134&lt;&gt;"EX",0,--(COUNTIFS(nNIA,DATOS!$A7134,nCURSO,DATOS!$D7134,nESPEC,DATOS!$E7134,nASIG,DATOS!$I7134,nEVAL,"OR")=0))</f>
      </c>
      <c r="I7134">
        <f>IF(DATOS!$I7134="","",IFERROR(VLOOKUP(DATOS!$I7134,CONFIG_ASIGNATURAS!$B$2:$J$91,9,FALSE()),""))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IF(DATOS!$A7135="",0,IF(CONFIG_METADATA!$B$4&lt;&gt;"OR+EX",--(DATOS!$G7135=CONFIG_METADATA!$B$4),IF(DATOS!$G7135="EX",1,IF(DATOS!$G7135="OR",--(COUNTIFS(nNIA,DATOS!$A7135,nCURSO,DATOS!$D7135,nESPEC,DATOS!$E7135,nASIG,DATOS!$I7135,nEVAL,"EX")=0),0))))</f>
      </c>
      <c r="H7135">
        <f>IF(DATOS!$G7135&lt;&gt;"EX",0,--(COUNTIFS(nNIA,DATOS!$A7135,nCURSO,DATOS!$D7135,nESPEC,DATOS!$E7135,nASIG,DATOS!$I7135,nEVAL,"OR")=0))</f>
      </c>
      <c r="I7135">
        <f>IF(DATOS!$I7135="","",IFERROR(VLOOKUP(DATOS!$I7135,CONFIG_ASIGNATURAS!$B$2:$J$91,9,FALSE()),""))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IF(DATOS!$A7136="",0,IF(CONFIG_METADATA!$B$4&lt;&gt;"OR+EX",--(DATOS!$G7136=CONFIG_METADATA!$B$4),IF(DATOS!$G7136="EX",1,IF(DATOS!$G7136="OR",--(COUNTIFS(nNIA,DATOS!$A7136,nCURSO,DATOS!$D7136,nESPEC,DATOS!$E7136,nASIG,DATOS!$I7136,nEVAL,"EX")=0),0))))</f>
      </c>
      <c r="H7136">
        <f>IF(DATOS!$G7136&lt;&gt;"EX",0,--(COUNTIFS(nNIA,DATOS!$A7136,nCURSO,DATOS!$D7136,nESPEC,DATOS!$E7136,nASIG,DATOS!$I7136,nEVAL,"OR")=0))</f>
      </c>
      <c r="I7136">
        <f>IF(DATOS!$I7136="","",IFERROR(VLOOKUP(DATOS!$I7136,CONFIG_ASIGNATURAS!$B$2:$J$91,9,FALSE()),""))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IF(DATOS!$A7137="",0,IF(CONFIG_METADATA!$B$4&lt;&gt;"OR+EX",--(DATOS!$G7137=CONFIG_METADATA!$B$4),IF(DATOS!$G7137="EX",1,IF(DATOS!$G7137="OR",--(COUNTIFS(nNIA,DATOS!$A7137,nCURSO,DATOS!$D7137,nESPEC,DATOS!$E7137,nASIG,DATOS!$I7137,nEVAL,"EX")=0),0))))</f>
      </c>
      <c r="H7137">
        <f>IF(DATOS!$G7137&lt;&gt;"EX",0,--(COUNTIFS(nNIA,DATOS!$A7137,nCURSO,DATOS!$D7137,nESPEC,DATOS!$E7137,nASIG,DATOS!$I7137,nEVAL,"OR")=0))</f>
      </c>
      <c r="I7137">
        <f>IF(DATOS!$I7137="","",IFERROR(VLOOKUP(DATOS!$I7137,CONFIG_ASIGNATURAS!$B$2:$J$91,9,FALSE()),""))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IF(DATOS!$A7138="",0,IF(CONFIG_METADATA!$B$4&lt;&gt;"OR+EX",--(DATOS!$G7138=CONFIG_METADATA!$B$4),IF(DATOS!$G7138="EX",1,IF(DATOS!$G7138="OR",--(COUNTIFS(nNIA,DATOS!$A7138,nCURSO,DATOS!$D7138,nESPEC,DATOS!$E7138,nASIG,DATOS!$I7138,nEVAL,"EX")=0),0))))</f>
      </c>
      <c r="H7138">
        <f>IF(DATOS!$G7138&lt;&gt;"EX",0,--(COUNTIFS(nNIA,DATOS!$A7138,nCURSO,DATOS!$D7138,nESPEC,DATOS!$E7138,nASIG,DATOS!$I7138,nEVAL,"OR")=0))</f>
      </c>
      <c r="I7138">
        <f>IF(DATOS!$I7138="","",IFERROR(VLOOKUP(DATOS!$I7138,CONFIG_ASIGNATURAS!$B$2:$J$91,9,FALSE()),""))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IF(DATOS!$A7139="",0,IF(CONFIG_METADATA!$B$4&lt;&gt;"OR+EX",--(DATOS!$G7139=CONFIG_METADATA!$B$4),IF(DATOS!$G7139="EX",1,IF(DATOS!$G7139="OR",--(COUNTIFS(nNIA,DATOS!$A7139,nCURSO,DATOS!$D7139,nESPEC,DATOS!$E7139,nASIG,DATOS!$I7139,nEVAL,"EX")=0),0))))</f>
      </c>
      <c r="H7139">
        <f>IF(DATOS!$G7139&lt;&gt;"EX",0,--(COUNTIFS(nNIA,DATOS!$A7139,nCURSO,DATOS!$D7139,nESPEC,DATOS!$E7139,nASIG,DATOS!$I7139,nEVAL,"OR")=0))</f>
      </c>
      <c r="I7139">
        <f>IF(DATOS!$I7139="","",IFERROR(VLOOKUP(DATOS!$I7139,CONFIG_ASIGNATURAS!$B$2:$J$91,9,FALSE()),""))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IF(DATOS!$A7140="",0,IF(CONFIG_METADATA!$B$4&lt;&gt;"OR+EX",--(DATOS!$G7140=CONFIG_METADATA!$B$4),IF(DATOS!$G7140="EX",1,IF(DATOS!$G7140="OR",--(COUNTIFS(nNIA,DATOS!$A7140,nCURSO,DATOS!$D7140,nESPEC,DATOS!$E7140,nASIG,DATOS!$I7140,nEVAL,"EX")=0),0))))</f>
      </c>
      <c r="H7140">
        <f>IF(DATOS!$G7140&lt;&gt;"EX",0,--(COUNTIFS(nNIA,DATOS!$A7140,nCURSO,DATOS!$D7140,nESPEC,DATOS!$E7140,nASIG,DATOS!$I7140,nEVAL,"OR")=0))</f>
      </c>
      <c r="I7140">
        <f>IF(DATOS!$I7140="","",IFERROR(VLOOKUP(DATOS!$I7140,CONFIG_ASIGNATURAS!$B$2:$J$91,9,FALSE()),""))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IF(DATOS!$A7141="",0,IF(CONFIG_METADATA!$B$4&lt;&gt;"OR+EX",--(DATOS!$G7141=CONFIG_METADATA!$B$4),IF(DATOS!$G7141="EX",1,IF(DATOS!$G7141="OR",--(COUNTIFS(nNIA,DATOS!$A7141,nCURSO,DATOS!$D7141,nESPEC,DATOS!$E7141,nASIG,DATOS!$I7141,nEVAL,"EX")=0),0))))</f>
      </c>
      <c r="H7141">
        <f>IF(DATOS!$G7141&lt;&gt;"EX",0,--(COUNTIFS(nNIA,DATOS!$A7141,nCURSO,DATOS!$D7141,nESPEC,DATOS!$E7141,nASIG,DATOS!$I7141,nEVAL,"OR")=0))</f>
      </c>
      <c r="I7141">
        <f>IF(DATOS!$I7141="","",IFERROR(VLOOKUP(DATOS!$I7141,CONFIG_ASIGNATURAS!$B$2:$J$91,9,FALSE()),""))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IF(DATOS!$A7142="",0,IF(CONFIG_METADATA!$B$4&lt;&gt;"OR+EX",--(DATOS!$G7142=CONFIG_METADATA!$B$4),IF(DATOS!$G7142="EX",1,IF(DATOS!$G7142="OR",--(COUNTIFS(nNIA,DATOS!$A7142,nCURSO,DATOS!$D7142,nESPEC,DATOS!$E7142,nASIG,DATOS!$I7142,nEVAL,"EX")=0),0))))</f>
      </c>
      <c r="H7142">
        <f>IF(DATOS!$G7142&lt;&gt;"EX",0,--(COUNTIFS(nNIA,DATOS!$A7142,nCURSO,DATOS!$D7142,nESPEC,DATOS!$E7142,nASIG,DATOS!$I7142,nEVAL,"OR")=0))</f>
      </c>
      <c r="I7142">
        <f>IF(DATOS!$I7142="","",IFERROR(VLOOKUP(DATOS!$I7142,CONFIG_ASIGNATURAS!$B$2:$J$91,9,FALSE()),""))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IF(DATOS!$A7143="",0,IF(CONFIG_METADATA!$B$4&lt;&gt;"OR+EX",--(DATOS!$G7143=CONFIG_METADATA!$B$4),IF(DATOS!$G7143="EX",1,IF(DATOS!$G7143="OR",--(COUNTIFS(nNIA,DATOS!$A7143,nCURSO,DATOS!$D7143,nESPEC,DATOS!$E7143,nASIG,DATOS!$I7143,nEVAL,"EX")=0),0))))</f>
      </c>
      <c r="H7143">
        <f>IF(DATOS!$G7143&lt;&gt;"EX",0,--(COUNTIFS(nNIA,DATOS!$A7143,nCURSO,DATOS!$D7143,nESPEC,DATOS!$E7143,nASIG,DATOS!$I7143,nEVAL,"OR")=0))</f>
      </c>
      <c r="I7143">
        <f>IF(DATOS!$I7143="","",IFERROR(VLOOKUP(DATOS!$I7143,CONFIG_ASIGNATURAS!$B$2:$J$91,9,FALSE()),""))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IF(DATOS!$A7144="",0,IF(CONFIG_METADATA!$B$4&lt;&gt;"OR+EX",--(DATOS!$G7144=CONFIG_METADATA!$B$4),IF(DATOS!$G7144="EX",1,IF(DATOS!$G7144="OR",--(COUNTIFS(nNIA,DATOS!$A7144,nCURSO,DATOS!$D7144,nESPEC,DATOS!$E7144,nASIG,DATOS!$I7144,nEVAL,"EX")=0),0))))</f>
      </c>
      <c r="H7144">
        <f>IF(DATOS!$G7144&lt;&gt;"EX",0,--(COUNTIFS(nNIA,DATOS!$A7144,nCURSO,DATOS!$D7144,nESPEC,DATOS!$E7144,nASIG,DATOS!$I7144,nEVAL,"OR")=0))</f>
      </c>
      <c r="I7144">
        <f>IF(DATOS!$I7144="","",IFERROR(VLOOKUP(DATOS!$I7144,CONFIG_ASIGNATURAS!$B$2:$J$91,9,FALSE()),""))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IF(DATOS!$A7145="",0,IF(CONFIG_METADATA!$B$4&lt;&gt;"OR+EX",--(DATOS!$G7145=CONFIG_METADATA!$B$4),IF(DATOS!$G7145="EX",1,IF(DATOS!$G7145="OR",--(COUNTIFS(nNIA,DATOS!$A7145,nCURSO,DATOS!$D7145,nESPEC,DATOS!$E7145,nASIG,DATOS!$I7145,nEVAL,"EX")=0),0))))</f>
      </c>
      <c r="H7145">
        <f>IF(DATOS!$G7145&lt;&gt;"EX",0,--(COUNTIFS(nNIA,DATOS!$A7145,nCURSO,DATOS!$D7145,nESPEC,DATOS!$E7145,nASIG,DATOS!$I7145,nEVAL,"OR")=0))</f>
      </c>
      <c r="I7145">
        <f>IF(DATOS!$I7145="","",IFERROR(VLOOKUP(DATOS!$I7145,CONFIG_ASIGNATURAS!$B$2:$J$91,9,FALSE()),""))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IF(DATOS!$A7146="",0,IF(CONFIG_METADATA!$B$4&lt;&gt;"OR+EX",--(DATOS!$G7146=CONFIG_METADATA!$B$4),IF(DATOS!$G7146="EX",1,IF(DATOS!$G7146="OR",--(COUNTIFS(nNIA,DATOS!$A7146,nCURSO,DATOS!$D7146,nESPEC,DATOS!$E7146,nASIG,DATOS!$I7146,nEVAL,"EX")=0),0))))</f>
      </c>
      <c r="H7146">
        <f>IF(DATOS!$G7146&lt;&gt;"EX",0,--(COUNTIFS(nNIA,DATOS!$A7146,nCURSO,DATOS!$D7146,nESPEC,DATOS!$E7146,nASIG,DATOS!$I7146,nEVAL,"OR")=0))</f>
      </c>
      <c r="I7146">
        <f>IF(DATOS!$I7146="","",IFERROR(VLOOKUP(DATOS!$I7146,CONFIG_ASIGNATURAS!$B$2:$J$91,9,FALSE()),""))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IF(DATOS!$A7147="",0,IF(CONFIG_METADATA!$B$4&lt;&gt;"OR+EX",--(DATOS!$G7147=CONFIG_METADATA!$B$4),IF(DATOS!$G7147="EX",1,IF(DATOS!$G7147="OR",--(COUNTIFS(nNIA,DATOS!$A7147,nCURSO,DATOS!$D7147,nESPEC,DATOS!$E7147,nASIG,DATOS!$I7147,nEVAL,"EX")=0),0))))</f>
      </c>
      <c r="H7147">
        <f>IF(DATOS!$G7147&lt;&gt;"EX",0,--(COUNTIFS(nNIA,DATOS!$A7147,nCURSO,DATOS!$D7147,nESPEC,DATOS!$E7147,nASIG,DATOS!$I7147,nEVAL,"OR")=0))</f>
      </c>
      <c r="I7147">
        <f>IF(DATOS!$I7147="","",IFERROR(VLOOKUP(DATOS!$I7147,CONFIG_ASIGNATURAS!$B$2:$J$91,9,FALSE()),""))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IF(DATOS!$A7148="",0,IF(CONFIG_METADATA!$B$4&lt;&gt;"OR+EX",--(DATOS!$G7148=CONFIG_METADATA!$B$4),IF(DATOS!$G7148="EX",1,IF(DATOS!$G7148="OR",--(COUNTIFS(nNIA,DATOS!$A7148,nCURSO,DATOS!$D7148,nESPEC,DATOS!$E7148,nASIG,DATOS!$I7148,nEVAL,"EX")=0),0))))</f>
      </c>
      <c r="H7148">
        <f>IF(DATOS!$G7148&lt;&gt;"EX",0,--(COUNTIFS(nNIA,DATOS!$A7148,nCURSO,DATOS!$D7148,nESPEC,DATOS!$E7148,nASIG,DATOS!$I7148,nEVAL,"OR")=0))</f>
      </c>
      <c r="I7148">
        <f>IF(DATOS!$I7148="","",IFERROR(VLOOKUP(DATOS!$I7148,CONFIG_ASIGNATURAS!$B$2:$J$91,9,FALSE()),""))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IF(DATOS!$A7149="",0,IF(CONFIG_METADATA!$B$4&lt;&gt;"OR+EX",--(DATOS!$G7149=CONFIG_METADATA!$B$4),IF(DATOS!$G7149="EX",1,IF(DATOS!$G7149="OR",--(COUNTIFS(nNIA,DATOS!$A7149,nCURSO,DATOS!$D7149,nESPEC,DATOS!$E7149,nASIG,DATOS!$I7149,nEVAL,"EX")=0),0))))</f>
      </c>
      <c r="H7149">
        <f>IF(DATOS!$G7149&lt;&gt;"EX",0,--(COUNTIFS(nNIA,DATOS!$A7149,nCURSO,DATOS!$D7149,nESPEC,DATOS!$E7149,nASIG,DATOS!$I7149,nEVAL,"OR")=0))</f>
      </c>
      <c r="I7149">
        <f>IF(DATOS!$I7149="","",IFERROR(VLOOKUP(DATOS!$I7149,CONFIG_ASIGNATURAS!$B$2:$J$91,9,FALSE()),""))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IF(DATOS!$A7150="",0,IF(CONFIG_METADATA!$B$4&lt;&gt;"OR+EX",--(DATOS!$G7150=CONFIG_METADATA!$B$4),IF(DATOS!$G7150="EX",1,IF(DATOS!$G7150="OR",--(COUNTIFS(nNIA,DATOS!$A7150,nCURSO,DATOS!$D7150,nESPEC,DATOS!$E7150,nASIG,DATOS!$I7150,nEVAL,"EX")=0),0))))</f>
      </c>
      <c r="H7150">
        <f>IF(DATOS!$G7150&lt;&gt;"EX",0,--(COUNTIFS(nNIA,DATOS!$A7150,nCURSO,DATOS!$D7150,nESPEC,DATOS!$E7150,nASIG,DATOS!$I7150,nEVAL,"OR")=0))</f>
      </c>
      <c r="I7150">
        <f>IF(DATOS!$I7150="","",IFERROR(VLOOKUP(DATOS!$I7150,CONFIG_ASIGNATURAS!$B$2:$J$91,9,FALSE()),""))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IF(DATOS!$A7151="",0,IF(CONFIG_METADATA!$B$4&lt;&gt;"OR+EX",--(DATOS!$G7151=CONFIG_METADATA!$B$4),IF(DATOS!$G7151="EX",1,IF(DATOS!$G7151="OR",--(COUNTIFS(nNIA,DATOS!$A7151,nCURSO,DATOS!$D7151,nESPEC,DATOS!$E7151,nASIG,DATOS!$I7151,nEVAL,"EX")=0),0))))</f>
      </c>
      <c r="H7151">
        <f>IF(DATOS!$G7151&lt;&gt;"EX",0,--(COUNTIFS(nNIA,DATOS!$A7151,nCURSO,DATOS!$D7151,nESPEC,DATOS!$E7151,nASIG,DATOS!$I7151,nEVAL,"OR")=0))</f>
      </c>
      <c r="I7151">
        <f>IF(DATOS!$I7151="","",IFERROR(VLOOKUP(DATOS!$I7151,CONFIG_ASIGNATURAS!$B$2:$J$91,9,FALSE()),""))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IF(DATOS!$A7152="",0,IF(CONFIG_METADATA!$B$4&lt;&gt;"OR+EX",--(DATOS!$G7152=CONFIG_METADATA!$B$4),IF(DATOS!$G7152="EX",1,IF(DATOS!$G7152="OR",--(COUNTIFS(nNIA,DATOS!$A7152,nCURSO,DATOS!$D7152,nESPEC,DATOS!$E7152,nASIG,DATOS!$I7152,nEVAL,"EX")=0),0))))</f>
      </c>
      <c r="H7152">
        <f>IF(DATOS!$G7152&lt;&gt;"EX",0,--(COUNTIFS(nNIA,DATOS!$A7152,nCURSO,DATOS!$D7152,nESPEC,DATOS!$E7152,nASIG,DATOS!$I7152,nEVAL,"OR")=0))</f>
      </c>
      <c r="I7152">
        <f>IF(DATOS!$I7152="","",IFERROR(VLOOKUP(DATOS!$I7152,CONFIG_ASIGNATURAS!$B$2:$J$91,9,FALSE()),""))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IF(DATOS!$A7153="",0,IF(CONFIG_METADATA!$B$4&lt;&gt;"OR+EX",--(DATOS!$G7153=CONFIG_METADATA!$B$4),IF(DATOS!$G7153="EX",1,IF(DATOS!$G7153="OR",--(COUNTIFS(nNIA,DATOS!$A7153,nCURSO,DATOS!$D7153,nESPEC,DATOS!$E7153,nASIG,DATOS!$I7153,nEVAL,"EX")=0),0))))</f>
      </c>
      <c r="H7153">
        <f>IF(DATOS!$G7153&lt;&gt;"EX",0,--(COUNTIFS(nNIA,DATOS!$A7153,nCURSO,DATOS!$D7153,nESPEC,DATOS!$E7153,nASIG,DATOS!$I7153,nEVAL,"OR")=0))</f>
      </c>
      <c r="I7153">
        <f>IF(DATOS!$I7153="","",IFERROR(VLOOKUP(DATOS!$I7153,CONFIG_ASIGNATURAS!$B$2:$J$91,9,FALSE()),""))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IF(DATOS!$A7154="",0,IF(CONFIG_METADATA!$B$4&lt;&gt;"OR+EX",--(DATOS!$G7154=CONFIG_METADATA!$B$4),IF(DATOS!$G7154="EX",1,IF(DATOS!$G7154="OR",--(COUNTIFS(nNIA,DATOS!$A7154,nCURSO,DATOS!$D7154,nESPEC,DATOS!$E7154,nASIG,DATOS!$I7154,nEVAL,"EX")=0),0))))</f>
      </c>
      <c r="H7154">
        <f>IF(DATOS!$G7154&lt;&gt;"EX",0,--(COUNTIFS(nNIA,DATOS!$A7154,nCURSO,DATOS!$D7154,nESPEC,DATOS!$E7154,nASIG,DATOS!$I7154,nEVAL,"OR")=0))</f>
      </c>
      <c r="I7154">
        <f>IF(DATOS!$I7154="","",IFERROR(VLOOKUP(DATOS!$I7154,CONFIG_ASIGNATURAS!$B$2:$J$91,9,FALSE()),""))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IF(DATOS!$A7155="",0,IF(CONFIG_METADATA!$B$4&lt;&gt;"OR+EX",--(DATOS!$G7155=CONFIG_METADATA!$B$4),IF(DATOS!$G7155="EX",1,IF(DATOS!$G7155="OR",--(COUNTIFS(nNIA,DATOS!$A7155,nCURSO,DATOS!$D7155,nESPEC,DATOS!$E7155,nASIG,DATOS!$I7155,nEVAL,"EX")=0),0))))</f>
      </c>
      <c r="H7155">
        <f>IF(DATOS!$G7155&lt;&gt;"EX",0,--(COUNTIFS(nNIA,DATOS!$A7155,nCURSO,DATOS!$D7155,nESPEC,DATOS!$E7155,nASIG,DATOS!$I7155,nEVAL,"OR")=0))</f>
      </c>
      <c r="I7155">
        <f>IF(DATOS!$I7155="","",IFERROR(VLOOKUP(DATOS!$I7155,CONFIG_ASIGNATURAS!$B$2:$J$91,9,FALSE()),""))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IF(DATOS!$A7156="",0,IF(CONFIG_METADATA!$B$4&lt;&gt;"OR+EX",--(DATOS!$G7156=CONFIG_METADATA!$B$4),IF(DATOS!$G7156="EX",1,IF(DATOS!$G7156="OR",--(COUNTIFS(nNIA,DATOS!$A7156,nCURSO,DATOS!$D7156,nESPEC,DATOS!$E7156,nASIG,DATOS!$I7156,nEVAL,"EX")=0),0))))</f>
      </c>
      <c r="H7156">
        <f>IF(DATOS!$G7156&lt;&gt;"EX",0,--(COUNTIFS(nNIA,DATOS!$A7156,nCURSO,DATOS!$D7156,nESPEC,DATOS!$E7156,nASIG,DATOS!$I7156,nEVAL,"OR")=0))</f>
      </c>
      <c r="I7156">
        <f>IF(DATOS!$I7156="","",IFERROR(VLOOKUP(DATOS!$I7156,CONFIG_ASIGNATURAS!$B$2:$J$91,9,FALSE()),""))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IF(DATOS!$A7157="",0,IF(CONFIG_METADATA!$B$4&lt;&gt;"OR+EX",--(DATOS!$G7157=CONFIG_METADATA!$B$4),IF(DATOS!$G7157="EX",1,IF(DATOS!$G7157="OR",--(COUNTIFS(nNIA,DATOS!$A7157,nCURSO,DATOS!$D7157,nESPEC,DATOS!$E7157,nASIG,DATOS!$I7157,nEVAL,"EX")=0),0))))</f>
      </c>
      <c r="H7157">
        <f>IF(DATOS!$G7157&lt;&gt;"EX",0,--(COUNTIFS(nNIA,DATOS!$A7157,nCURSO,DATOS!$D7157,nESPEC,DATOS!$E7157,nASIG,DATOS!$I7157,nEVAL,"OR")=0))</f>
      </c>
      <c r="I7157">
        <f>IF(DATOS!$I7157="","",IFERROR(VLOOKUP(DATOS!$I7157,CONFIG_ASIGNATURAS!$B$2:$J$91,9,FALSE()),""))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IF(DATOS!$A7158="",0,IF(CONFIG_METADATA!$B$4&lt;&gt;"OR+EX",--(DATOS!$G7158=CONFIG_METADATA!$B$4),IF(DATOS!$G7158="EX",1,IF(DATOS!$G7158="OR",--(COUNTIFS(nNIA,DATOS!$A7158,nCURSO,DATOS!$D7158,nESPEC,DATOS!$E7158,nASIG,DATOS!$I7158,nEVAL,"EX")=0),0))))</f>
      </c>
      <c r="H7158">
        <f>IF(DATOS!$G7158&lt;&gt;"EX",0,--(COUNTIFS(nNIA,DATOS!$A7158,nCURSO,DATOS!$D7158,nESPEC,DATOS!$E7158,nASIG,DATOS!$I7158,nEVAL,"OR")=0))</f>
      </c>
      <c r="I7158">
        <f>IF(DATOS!$I7158="","",IFERROR(VLOOKUP(DATOS!$I7158,CONFIG_ASIGNATURAS!$B$2:$J$91,9,FALSE()),""))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IF(DATOS!$A7159="",0,IF(CONFIG_METADATA!$B$4&lt;&gt;"OR+EX",--(DATOS!$G7159=CONFIG_METADATA!$B$4),IF(DATOS!$G7159="EX",1,IF(DATOS!$G7159="OR",--(COUNTIFS(nNIA,DATOS!$A7159,nCURSO,DATOS!$D7159,nESPEC,DATOS!$E7159,nASIG,DATOS!$I7159,nEVAL,"EX")=0),0))))</f>
      </c>
      <c r="H7159">
        <f>IF(DATOS!$G7159&lt;&gt;"EX",0,--(COUNTIFS(nNIA,DATOS!$A7159,nCURSO,DATOS!$D7159,nESPEC,DATOS!$E7159,nASIG,DATOS!$I7159,nEVAL,"OR")=0))</f>
      </c>
      <c r="I7159">
        <f>IF(DATOS!$I7159="","",IFERROR(VLOOKUP(DATOS!$I7159,CONFIG_ASIGNATURAS!$B$2:$J$91,9,FALSE()),""))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IF(DATOS!$A7160="",0,IF(CONFIG_METADATA!$B$4&lt;&gt;"OR+EX",--(DATOS!$G7160=CONFIG_METADATA!$B$4),IF(DATOS!$G7160="EX",1,IF(DATOS!$G7160="OR",--(COUNTIFS(nNIA,DATOS!$A7160,nCURSO,DATOS!$D7160,nESPEC,DATOS!$E7160,nASIG,DATOS!$I7160,nEVAL,"EX")=0),0))))</f>
      </c>
      <c r="H7160">
        <f>IF(DATOS!$G7160&lt;&gt;"EX",0,--(COUNTIFS(nNIA,DATOS!$A7160,nCURSO,DATOS!$D7160,nESPEC,DATOS!$E7160,nASIG,DATOS!$I7160,nEVAL,"OR")=0))</f>
      </c>
      <c r="I7160">
        <f>IF(DATOS!$I7160="","",IFERROR(VLOOKUP(DATOS!$I7160,CONFIG_ASIGNATURAS!$B$2:$J$91,9,FALSE()),""))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IF(DATOS!$A7161="",0,IF(CONFIG_METADATA!$B$4&lt;&gt;"OR+EX",--(DATOS!$G7161=CONFIG_METADATA!$B$4),IF(DATOS!$G7161="EX",1,IF(DATOS!$G7161="OR",--(COUNTIFS(nNIA,DATOS!$A7161,nCURSO,DATOS!$D7161,nESPEC,DATOS!$E7161,nASIG,DATOS!$I7161,nEVAL,"EX")=0),0))))</f>
      </c>
      <c r="H7161">
        <f>IF(DATOS!$G7161&lt;&gt;"EX",0,--(COUNTIFS(nNIA,DATOS!$A7161,nCURSO,DATOS!$D7161,nESPEC,DATOS!$E7161,nASIG,DATOS!$I7161,nEVAL,"OR")=0))</f>
      </c>
      <c r="I7161">
        <f>IF(DATOS!$I7161="","",IFERROR(VLOOKUP(DATOS!$I7161,CONFIG_ASIGNATURAS!$B$2:$J$91,9,FALSE()),""))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IF(DATOS!$A7162="",0,IF(CONFIG_METADATA!$B$4&lt;&gt;"OR+EX",--(DATOS!$G7162=CONFIG_METADATA!$B$4),IF(DATOS!$G7162="EX",1,IF(DATOS!$G7162="OR",--(COUNTIFS(nNIA,DATOS!$A7162,nCURSO,DATOS!$D7162,nESPEC,DATOS!$E7162,nASIG,DATOS!$I7162,nEVAL,"EX")=0),0))))</f>
      </c>
      <c r="H7162">
        <f>IF(DATOS!$G7162&lt;&gt;"EX",0,--(COUNTIFS(nNIA,DATOS!$A7162,nCURSO,DATOS!$D7162,nESPEC,DATOS!$E7162,nASIG,DATOS!$I7162,nEVAL,"OR")=0))</f>
      </c>
      <c r="I7162">
        <f>IF(DATOS!$I7162="","",IFERROR(VLOOKUP(DATOS!$I7162,CONFIG_ASIGNATURAS!$B$2:$J$91,9,FALSE()),""))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IF(DATOS!$A7163="",0,IF(CONFIG_METADATA!$B$4&lt;&gt;"OR+EX",--(DATOS!$G7163=CONFIG_METADATA!$B$4),IF(DATOS!$G7163="EX",1,IF(DATOS!$G7163="OR",--(COUNTIFS(nNIA,DATOS!$A7163,nCURSO,DATOS!$D7163,nESPEC,DATOS!$E7163,nASIG,DATOS!$I7163,nEVAL,"EX")=0),0))))</f>
      </c>
      <c r="H7163">
        <f>IF(DATOS!$G7163&lt;&gt;"EX",0,--(COUNTIFS(nNIA,DATOS!$A7163,nCURSO,DATOS!$D7163,nESPEC,DATOS!$E7163,nASIG,DATOS!$I7163,nEVAL,"OR")=0))</f>
      </c>
      <c r="I7163">
        <f>IF(DATOS!$I7163="","",IFERROR(VLOOKUP(DATOS!$I7163,CONFIG_ASIGNATURAS!$B$2:$J$91,9,FALSE()),""))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IF(DATOS!$A7164="",0,IF(CONFIG_METADATA!$B$4&lt;&gt;"OR+EX",--(DATOS!$G7164=CONFIG_METADATA!$B$4),IF(DATOS!$G7164="EX",1,IF(DATOS!$G7164="OR",--(COUNTIFS(nNIA,DATOS!$A7164,nCURSO,DATOS!$D7164,nESPEC,DATOS!$E7164,nASIG,DATOS!$I7164,nEVAL,"EX")=0),0))))</f>
      </c>
      <c r="H7164">
        <f>IF(DATOS!$G7164&lt;&gt;"EX",0,--(COUNTIFS(nNIA,DATOS!$A7164,nCURSO,DATOS!$D7164,nESPEC,DATOS!$E7164,nASIG,DATOS!$I7164,nEVAL,"OR")=0))</f>
      </c>
      <c r="I7164">
        <f>IF(DATOS!$I7164="","",IFERROR(VLOOKUP(DATOS!$I7164,CONFIG_ASIGNATURAS!$B$2:$J$91,9,FALSE()),""))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IF(DATOS!$A7165="",0,IF(CONFIG_METADATA!$B$4&lt;&gt;"OR+EX",--(DATOS!$G7165=CONFIG_METADATA!$B$4),IF(DATOS!$G7165="EX",1,IF(DATOS!$G7165="OR",--(COUNTIFS(nNIA,DATOS!$A7165,nCURSO,DATOS!$D7165,nESPEC,DATOS!$E7165,nASIG,DATOS!$I7165,nEVAL,"EX")=0),0))))</f>
      </c>
      <c r="H7165">
        <f>IF(DATOS!$G7165&lt;&gt;"EX",0,--(COUNTIFS(nNIA,DATOS!$A7165,nCURSO,DATOS!$D7165,nESPEC,DATOS!$E7165,nASIG,DATOS!$I7165,nEVAL,"OR")=0))</f>
      </c>
      <c r="I7165">
        <f>IF(DATOS!$I7165="","",IFERROR(VLOOKUP(DATOS!$I7165,CONFIG_ASIGNATURAS!$B$2:$J$91,9,FALSE()),""))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IF(DATOS!$A7166="",0,IF(CONFIG_METADATA!$B$4&lt;&gt;"OR+EX",--(DATOS!$G7166=CONFIG_METADATA!$B$4),IF(DATOS!$G7166="EX",1,IF(DATOS!$G7166="OR",--(COUNTIFS(nNIA,DATOS!$A7166,nCURSO,DATOS!$D7166,nESPEC,DATOS!$E7166,nASIG,DATOS!$I7166,nEVAL,"EX")=0),0))))</f>
      </c>
      <c r="H7166">
        <f>IF(DATOS!$G7166&lt;&gt;"EX",0,--(COUNTIFS(nNIA,DATOS!$A7166,nCURSO,DATOS!$D7166,nESPEC,DATOS!$E7166,nASIG,DATOS!$I7166,nEVAL,"OR")=0))</f>
      </c>
      <c r="I7166">
        <f>IF(DATOS!$I7166="","",IFERROR(VLOOKUP(DATOS!$I7166,CONFIG_ASIGNATURAS!$B$2:$J$91,9,FALSE()),""))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IF(DATOS!$A7167="",0,IF(CONFIG_METADATA!$B$4&lt;&gt;"OR+EX",--(DATOS!$G7167=CONFIG_METADATA!$B$4),IF(DATOS!$G7167="EX",1,IF(DATOS!$G7167="OR",--(COUNTIFS(nNIA,DATOS!$A7167,nCURSO,DATOS!$D7167,nESPEC,DATOS!$E7167,nASIG,DATOS!$I7167,nEVAL,"EX")=0),0))))</f>
      </c>
      <c r="H7167">
        <f>IF(DATOS!$G7167&lt;&gt;"EX",0,--(COUNTIFS(nNIA,DATOS!$A7167,nCURSO,DATOS!$D7167,nESPEC,DATOS!$E7167,nASIG,DATOS!$I7167,nEVAL,"OR")=0))</f>
      </c>
      <c r="I7167">
        <f>IF(DATOS!$I7167="","",IFERROR(VLOOKUP(DATOS!$I7167,CONFIG_ASIGNATURAS!$B$2:$J$91,9,FALSE()),""))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IF(DATOS!$A7168="",0,IF(CONFIG_METADATA!$B$4&lt;&gt;"OR+EX",--(DATOS!$G7168=CONFIG_METADATA!$B$4),IF(DATOS!$G7168="EX",1,IF(DATOS!$G7168="OR",--(COUNTIFS(nNIA,DATOS!$A7168,nCURSO,DATOS!$D7168,nESPEC,DATOS!$E7168,nASIG,DATOS!$I7168,nEVAL,"EX")=0),0))))</f>
      </c>
      <c r="H7168">
        <f>IF(DATOS!$G7168&lt;&gt;"EX",0,--(COUNTIFS(nNIA,DATOS!$A7168,nCURSO,DATOS!$D7168,nESPEC,DATOS!$E7168,nASIG,DATOS!$I7168,nEVAL,"OR")=0))</f>
      </c>
      <c r="I7168">
        <f>IF(DATOS!$I7168="","",IFERROR(VLOOKUP(DATOS!$I7168,CONFIG_ASIGNATURAS!$B$2:$J$91,9,FALSE()),""))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IF(DATOS!$A7169="",0,IF(CONFIG_METADATA!$B$4&lt;&gt;"OR+EX",--(DATOS!$G7169=CONFIG_METADATA!$B$4),IF(DATOS!$G7169="EX",1,IF(DATOS!$G7169="OR",--(COUNTIFS(nNIA,DATOS!$A7169,nCURSO,DATOS!$D7169,nESPEC,DATOS!$E7169,nASIG,DATOS!$I7169,nEVAL,"EX")=0),0))))</f>
      </c>
      <c r="H7169">
        <f>IF(DATOS!$G7169&lt;&gt;"EX",0,--(COUNTIFS(nNIA,DATOS!$A7169,nCURSO,DATOS!$D7169,nESPEC,DATOS!$E7169,nASIG,DATOS!$I7169,nEVAL,"OR")=0))</f>
      </c>
      <c r="I7169">
        <f>IF(DATOS!$I7169="","",IFERROR(VLOOKUP(DATOS!$I7169,CONFIG_ASIGNATURAS!$B$2:$J$91,9,FALSE()),""))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IF(DATOS!$A7170="",0,IF(CONFIG_METADATA!$B$4&lt;&gt;"OR+EX",--(DATOS!$G7170=CONFIG_METADATA!$B$4),IF(DATOS!$G7170="EX",1,IF(DATOS!$G7170="OR",--(COUNTIFS(nNIA,DATOS!$A7170,nCURSO,DATOS!$D7170,nESPEC,DATOS!$E7170,nASIG,DATOS!$I7170,nEVAL,"EX")=0),0))))</f>
      </c>
      <c r="H7170">
        <f>IF(DATOS!$G7170&lt;&gt;"EX",0,--(COUNTIFS(nNIA,DATOS!$A7170,nCURSO,DATOS!$D7170,nESPEC,DATOS!$E7170,nASIG,DATOS!$I7170,nEVAL,"OR")=0))</f>
      </c>
      <c r="I7170">
        <f>IF(DATOS!$I7170="","",IFERROR(VLOOKUP(DATOS!$I7170,CONFIG_ASIGNATURAS!$B$2:$J$91,9,FALSE()),""))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IF(DATOS!$A7171="",0,IF(CONFIG_METADATA!$B$4&lt;&gt;"OR+EX",--(DATOS!$G7171=CONFIG_METADATA!$B$4),IF(DATOS!$G7171="EX",1,IF(DATOS!$G7171="OR",--(COUNTIFS(nNIA,DATOS!$A7171,nCURSO,DATOS!$D7171,nESPEC,DATOS!$E7171,nASIG,DATOS!$I7171,nEVAL,"EX")=0),0))))</f>
      </c>
      <c r="H7171">
        <f>IF(DATOS!$G7171&lt;&gt;"EX",0,--(COUNTIFS(nNIA,DATOS!$A7171,nCURSO,DATOS!$D7171,nESPEC,DATOS!$E7171,nASIG,DATOS!$I7171,nEVAL,"OR")=0))</f>
      </c>
      <c r="I7171">
        <f>IF(DATOS!$I7171="","",IFERROR(VLOOKUP(DATOS!$I7171,CONFIG_ASIGNATURAS!$B$2:$J$91,9,FALSE()),""))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IF(DATOS!$A7172="",0,IF(CONFIG_METADATA!$B$4&lt;&gt;"OR+EX",--(DATOS!$G7172=CONFIG_METADATA!$B$4),IF(DATOS!$G7172="EX",1,IF(DATOS!$G7172="OR",--(COUNTIFS(nNIA,DATOS!$A7172,nCURSO,DATOS!$D7172,nESPEC,DATOS!$E7172,nASIG,DATOS!$I7172,nEVAL,"EX")=0),0))))</f>
      </c>
      <c r="H7172">
        <f>IF(DATOS!$G7172&lt;&gt;"EX",0,--(COUNTIFS(nNIA,DATOS!$A7172,nCURSO,DATOS!$D7172,nESPEC,DATOS!$E7172,nASIG,DATOS!$I7172,nEVAL,"OR")=0))</f>
      </c>
      <c r="I7172">
        <f>IF(DATOS!$I7172="","",IFERROR(VLOOKUP(DATOS!$I7172,CONFIG_ASIGNATURAS!$B$2:$J$91,9,FALSE()),""))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IF(DATOS!$A7173="",0,IF(CONFIG_METADATA!$B$4&lt;&gt;"OR+EX",--(DATOS!$G7173=CONFIG_METADATA!$B$4),IF(DATOS!$G7173="EX",1,IF(DATOS!$G7173="OR",--(COUNTIFS(nNIA,DATOS!$A7173,nCURSO,DATOS!$D7173,nESPEC,DATOS!$E7173,nASIG,DATOS!$I7173,nEVAL,"EX")=0),0))))</f>
      </c>
      <c r="H7173">
        <f>IF(DATOS!$G7173&lt;&gt;"EX",0,--(COUNTIFS(nNIA,DATOS!$A7173,nCURSO,DATOS!$D7173,nESPEC,DATOS!$E7173,nASIG,DATOS!$I7173,nEVAL,"OR")=0))</f>
      </c>
      <c r="I7173">
        <f>IF(DATOS!$I7173="","",IFERROR(VLOOKUP(DATOS!$I7173,CONFIG_ASIGNATURAS!$B$2:$J$91,9,FALSE()),""))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IF(DATOS!$A7174="",0,IF(CONFIG_METADATA!$B$4&lt;&gt;"OR+EX",--(DATOS!$G7174=CONFIG_METADATA!$B$4),IF(DATOS!$G7174="EX",1,IF(DATOS!$G7174="OR",--(COUNTIFS(nNIA,DATOS!$A7174,nCURSO,DATOS!$D7174,nESPEC,DATOS!$E7174,nASIG,DATOS!$I7174,nEVAL,"EX")=0),0))))</f>
      </c>
      <c r="H7174">
        <f>IF(DATOS!$G7174&lt;&gt;"EX",0,--(COUNTIFS(nNIA,DATOS!$A7174,nCURSO,DATOS!$D7174,nESPEC,DATOS!$E7174,nASIG,DATOS!$I7174,nEVAL,"OR")=0))</f>
      </c>
      <c r="I7174">
        <f>IF(DATOS!$I7174="","",IFERROR(VLOOKUP(DATOS!$I7174,CONFIG_ASIGNATURAS!$B$2:$J$91,9,FALSE()),""))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IF(DATOS!$A7175="",0,IF(CONFIG_METADATA!$B$4&lt;&gt;"OR+EX",--(DATOS!$G7175=CONFIG_METADATA!$B$4),IF(DATOS!$G7175="EX",1,IF(DATOS!$G7175="OR",--(COUNTIFS(nNIA,DATOS!$A7175,nCURSO,DATOS!$D7175,nESPEC,DATOS!$E7175,nASIG,DATOS!$I7175,nEVAL,"EX")=0),0))))</f>
      </c>
      <c r="H7175">
        <f>IF(DATOS!$G7175&lt;&gt;"EX",0,--(COUNTIFS(nNIA,DATOS!$A7175,nCURSO,DATOS!$D7175,nESPEC,DATOS!$E7175,nASIG,DATOS!$I7175,nEVAL,"OR")=0))</f>
      </c>
      <c r="I7175">
        <f>IF(DATOS!$I7175="","",IFERROR(VLOOKUP(DATOS!$I7175,CONFIG_ASIGNATURAS!$B$2:$J$91,9,FALSE()),""))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IF(DATOS!$A7176="",0,IF(CONFIG_METADATA!$B$4&lt;&gt;"OR+EX",--(DATOS!$G7176=CONFIG_METADATA!$B$4),IF(DATOS!$G7176="EX",1,IF(DATOS!$G7176="OR",--(COUNTIFS(nNIA,DATOS!$A7176,nCURSO,DATOS!$D7176,nESPEC,DATOS!$E7176,nASIG,DATOS!$I7176,nEVAL,"EX")=0),0))))</f>
      </c>
      <c r="H7176">
        <f>IF(DATOS!$G7176&lt;&gt;"EX",0,--(COUNTIFS(nNIA,DATOS!$A7176,nCURSO,DATOS!$D7176,nESPEC,DATOS!$E7176,nASIG,DATOS!$I7176,nEVAL,"OR")=0))</f>
      </c>
      <c r="I7176">
        <f>IF(DATOS!$I7176="","",IFERROR(VLOOKUP(DATOS!$I7176,CONFIG_ASIGNATURAS!$B$2:$J$91,9,FALSE()),""))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IF(DATOS!$A7177="",0,IF(CONFIG_METADATA!$B$4&lt;&gt;"OR+EX",--(DATOS!$G7177=CONFIG_METADATA!$B$4),IF(DATOS!$G7177="EX",1,IF(DATOS!$G7177="OR",--(COUNTIFS(nNIA,DATOS!$A7177,nCURSO,DATOS!$D7177,nESPEC,DATOS!$E7177,nASIG,DATOS!$I7177,nEVAL,"EX")=0),0))))</f>
      </c>
      <c r="H7177">
        <f>IF(DATOS!$G7177&lt;&gt;"EX",0,--(COUNTIFS(nNIA,DATOS!$A7177,nCURSO,DATOS!$D7177,nESPEC,DATOS!$E7177,nASIG,DATOS!$I7177,nEVAL,"OR")=0))</f>
      </c>
      <c r="I7177">
        <f>IF(DATOS!$I7177="","",IFERROR(VLOOKUP(DATOS!$I7177,CONFIG_ASIGNATURAS!$B$2:$J$91,9,FALSE()),""))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IF(DATOS!$A7178="",0,IF(CONFIG_METADATA!$B$4&lt;&gt;"OR+EX",--(DATOS!$G7178=CONFIG_METADATA!$B$4),IF(DATOS!$G7178="EX",1,IF(DATOS!$G7178="OR",--(COUNTIFS(nNIA,DATOS!$A7178,nCURSO,DATOS!$D7178,nESPEC,DATOS!$E7178,nASIG,DATOS!$I7178,nEVAL,"EX")=0),0))))</f>
      </c>
      <c r="H7178">
        <f>IF(DATOS!$G7178&lt;&gt;"EX",0,--(COUNTIFS(nNIA,DATOS!$A7178,nCURSO,DATOS!$D7178,nESPEC,DATOS!$E7178,nASIG,DATOS!$I7178,nEVAL,"OR")=0))</f>
      </c>
      <c r="I7178">
        <f>IF(DATOS!$I7178="","",IFERROR(VLOOKUP(DATOS!$I7178,CONFIG_ASIGNATURAS!$B$2:$J$91,9,FALSE()),""))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IF(DATOS!$A7179="",0,IF(CONFIG_METADATA!$B$4&lt;&gt;"OR+EX",--(DATOS!$G7179=CONFIG_METADATA!$B$4),IF(DATOS!$G7179="EX",1,IF(DATOS!$G7179="OR",--(COUNTIFS(nNIA,DATOS!$A7179,nCURSO,DATOS!$D7179,nESPEC,DATOS!$E7179,nASIG,DATOS!$I7179,nEVAL,"EX")=0),0))))</f>
      </c>
      <c r="H7179">
        <f>IF(DATOS!$G7179&lt;&gt;"EX",0,--(COUNTIFS(nNIA,DATOS!$A7179,nCURSO,DATOS!$D7179,nESPEC,DATOS!$E7179,nASIG,DATOS!$I7179,nEVAL,"OR")=0))</f>
      </c>
      <c r="I7179">
        <f>IF(DATOS!$I7179="","",IFERROR(VLOOKUP(DATOS!$I7179,CONFIG_ASIGNATURAS!$B$2:$J$91,9,FALSE()),""))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IF(DATOS!$A7180="",0,IF(CONFIG_METADATA!$B$4&lt;&gt;"OR+EX",--(DATOS!$G7180=CONFIG_METADATA!$B$4),IF(DATOS!$G7180="EX",1,IF(DATOS!$G7180="OR",--(COUNTIFS(nNIA,DATOS!$A7180,nCURSO,DATOS!$D7180,nESPEC,DATOS!$E7180,nASIG,DATOS!$I7180,nEVAL,"EX")=0),0))))</f>
      </c>
      <c r="H7180">
        <f>IF(DATOS!$G7180&lt;&gt;"EX",0,--(COUNTIFS(nNIA,DATOS!$A7180,nCURSO,DATOS!$D7180,nESPEC,DATOS!$E7180,nASIG,DATOS!$I7180,nEVAL,"OR")=0))</f>
      </c>
      <c r="I7180">
        <f>IF(DATOS!$I7180="","",IFERROR(VLOOKUP(DATOS!$I7180,CONFIG_ASIGNATURAS!$B$2:$J$91,9,FALSE()),""))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IF(DATOS!$A7181="",0,IF(CONFIG_METADATA!$B$4&lt;&gt;"OR+EX",--(DATOS!$G7181=CONFIG_METADATA!$B$4),IF(DATOS!$G7181="EX",1,IF(DATOS!$G7181="OR",--(COUNTIFS(nNIA,DATOS!$A7181,nCURSO,DATOS!$D7181,nESPEC,DATOS!$E7181,nASIG,DATOS!$I7181,nEVAL,"EX")=0),0))))</f>
      </c>
      <c r="H7181">
        <f>IF(DATOS!$G7181&lt;&gt;"EX",0,--(COUNTIFS(nNIA,DATOS!$A7181,nCURSO,DATOS!$D7181,nESPEC,DATOS!$E7181,nASIG,DATOS!$I7181,nEVAL,"OR")=0))</f>
      </c>
      <c r="I7181">
        <f>IF(DATOS!$I7181="","",IFERROR(VLOOKUP(DATOS!$I7181,CONFIG_ASIGNATURAS!$B$2:$J$91,9,FALSE()),""))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IF(DATOS!$A7182="",0,IF(CONFIG_METADATA!$B$4&lt;&gt;"OR+EX",--(DATOS!$G7182=CONFIG_METADATA!$B$4),IF(DATOS!$G7182="EX",1,IF(DATOS!$G7182="OR",--(COUNTIFS(nNIA,DATOS!$A7182,nCURSO,DATOS!$D7182,nESPEC,DATOS!$E7182,nASIG,DATOS!$I7182,nEVAL,"EX")=0),0))))</f>
      </c>
      <c r="H7182">
        <f>IF(DATOS!$G7182&lt;&gt;"EX",0,--(COUNTIFS(nNIA,DATOS!$A7182,nCURSO,DATOS!$D7182,nESPEC,DATOS!$E7182,nASIG,DATOS!$I7182,nEVAL,"OR")=0))</f>
      </c>
      <c r="I7182">
        <f>IF(DATOS!$I7182="","",IFERROR(VLOOKUP(DATOS!$I7182,CONFIG_ASIGNATURAS!$B$2:$J$91,9,FALSE()),""))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IF(DATOS!$A7183="",0,IF(CONFIG_METADATA!$B$4&lt;&gt;"OR+EX",--(DATOS!$G7183=CONFIG_METADATA!$B$4),IF(DATOS!$G7183="EX",1,IF(DATOS!$G7183="OR",--(COUNTIFS(nNIA,DATOS!$A7183,nCURSO,DATOS!$D7183,nESPEC,DATOS!$E7183,nASIG,DATOS!$I7183,nEVAL,"EX")=0),0))))</f>
      </c>
      <c r="H7183">
        <f>IF(DATOS!$G7183&lt;&gt;"EX",0,--(COUNTIFS(nNIA,DATOS!$A7183,nCURSO,DATOS!$D7183,nESPEC,DATOS!$E7183,nASIG,DATOS!$I7183,nEVAL,"OR")=0))</f>
      </c>
      <c r="I7183">
        <f>IF(DATOS!$I7183="","",IFERROR(VLOOKUP(DATOS!$I7183,CONFIG_ASIGNATURAS!$B$2:$J$91,9,FALSE()),""))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IF(DATOS!$A7184="",0,IF(CONFIG_METADATA!$B$4&lt;&gt;"OR+EX",--(DATOS!$G7184=CONFIG_METADATA!$B$4),IF(DATOS!$G7184="EX",1,IF(DATOS!$G7184="OR",--(COUNTIFS(nNIA,DATOS!$A7184,nCURSO,DATOS!$D7184,nESPEC,DATOS!$E7184,nASIG,DATOS!$I7184,nEVAL,"EX")=0),0))))</f>
      </c>
      <c r="H7184">
        <f>IF(DATOS!$G7184&lt;&gt;"EX",0,--(COUNTIFS(nNIA,DATOS!$A7184,nCURSO,DATOS!$D7184,nESPEC,DATOS!$E7184,nASIG,DATOS!$I7184,nEVAL,"OR")=0))</f>
      </c>
      <c r="I7184">
        <f>IF(DATOS!$I7184="","",IFERROR(VLOOKUP(DATOS!$I7184,CONFIG_ASIGNATURAS!$B$2:$J$91,9,FALSE()),""))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IF(DATOS!$A7185="",0,IF(CONFIG_METADATA!$B$4&lt;&gt;"OR+EX",--(DATOS!$G7185=CONFIG_METADATA!$B$4),IF(DATOS!$G7185="EX",1,IF(DATOS!$G7185="OR",--(COUNTIFS(nNIA,DATOS!$A7185,nCURSO,DATOS!$D7185,nESPEC,DATOS!$E7185,nASIG,DATOS!$I7185,nEVAL,"EX")=0),0))))</f>
      </c>
      <c r="H7185">
        <f>IF(DATOS!$G7185&lt;&gt;"EX",0,--(COUNTIFS(nNIA,DATOS!$A7185,nCURSO,DATOS!$D7185,nESPEC,DATOS!$E7185,nASIG,DATOS!$I7185,nEVAL,"OR")=0))</f>
      </c>
      <c r="I7185">
        <f>IF(DATOS!$I7185="","",IFERROR(VLOOKUP(DATOS!$I7185,CONFIG_ASIGNATURAS!$B$2:$J$91,9,FALSE()),""))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IF(DATOS!$A7186="",0,IF(CONFIG_METADATA!$B$4&lt;&gt;"OR+EX",--(DATOS!$G7186=CONFIG_METADATA!$B$4),IF(DATOS!$G7186="EX",1,IF(DATOS!$G7186="OR",--(COUNTIFS(nNIA,DATOS!$A7186,nCURSO,DATOS!$D7186,nESPEC,DATOS!$E7186,nASIG,DATOS!$I7186,nEVAL,"EX")=0),0))))</f>
      </c>
      <c r="H7186">
        <f>IF(DATOS!$G7186&lt;&gt;"EX",0,--(COUNTIFS(nNIA,DATOS!$A7186,nCURSO,DATOS!$D7186,nESPEC,DATOS!$E7186,nASIG,DATOS!$I7186,nEVAL,"OR")=0))</f>
      </c>
      <c r="I7186">
        <f>IF(DATOS!$I7186="","",IFERROR(VLOOKUP(DATOS!$I7186,CONFIG_ASIGNATURAS!$B$2:$J$91,9,FALSE()),""))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IF(DATOS!$A7187="",0,IF(CONFIG_METADATA!$B$4&lt;&gt;"OR+EX",--(DATOS!$G7187=CONFIG_METADATA!$B$4),IF(DATOS!$G7187="EX",1,IF(DATOS!$G7187="OR",--(COUNTIFS(nNIA,DATOS!$A7187,nCURSO,DATOS!$D7187,nESPEC,DATOS!$E7187,nASIG,DATOS!$I7187,nEVAL,"EX")=0),0))))</f>
      </c>
      <c r="H7187">
        <f>IF(DATOS!$G7187&lt;&gt;"EX",0,--(COUNTIFS(nNIA,DATOS!$A7187,nCURSO,DATOS!$D7187,nESPEC,DATOS!$E7187,nASIG,DATOS!$I7187,nEVAL,"OR")=0))</f>
      </c>
      <c r="I7187">
        <f>IF(DATOS!$I7187="","",IFERROR(VLOOKUP(DATOS!$I7187,CONFIG_ASIGNATURAS!$B$2:$J$91,9,FALSE()),""))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IF(DATOS!$A7188="",0,IF(CONFIG_METADATA!$B$4&lt;&gt;"OR+EX",--(DATOS!$G7188=CONFIG_METADATA!$B$4),IF(DATOS!$G7188="EX",1,IF(DATOS!$G7188="OR",--(COUNTIFS(nNIA,DATOS!$A7188,nCURSO,DATOS!$D7188,nESPEC,DATOS!$E7188,nASIG,DATOS!$I7188,nEVAL,"EX")=0),0))))</f>
      </c>
      <c r="H7188">
        <f>IF(DATOS!$G7188&lt;&gt;"EX",0,--(COUNTIFS(nNIA,DATOS!$A7188,nCURSO,DATOS!$D7188,nESPEC,DATOS!$E7188,nASIG,DATOS!$I7188,nEVAL,"OR")=0))</f>
      </c>
      <c r="I7188">
        <f>IF(DATOS!$I7188="","",IFERROR(VLOOKUP(DATOS!$I7188,CONFIG_ASIGNATURAS!$B$2:$J$91,9,FALSE()),""))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IF(DATOS!$A7189="",0,IF(CONFIG_METADATA!$B$4&lt;&gt;"OR+EX",--(DATOS!$G7189=CONFIG_METADATA!$B$4),IF(DATOS!$G7189="EX",1,IF(DATOS!$G7189="OR",--(COUNTIFS(nNIA,DATOS!$A7189,nCURSO,DATOS!$D7189,nESPEC,DATOS!$E7189,nASIG,DATOS!$I7189,nEVAL,"EX")=0),0))))</f>
      </c>
      <c r="H7189">
        <f>IF(DATOS!$G7189&lt;&gt;"EX",0,--(COUNTIFS(nNIA,DATOS!$A7189,nCURSO,DATOS!$D7189,nESPEC,DATOS!$E7189,nASIG,DATOS!$I7189,nEVAL,"OR")=0))</f>
      </c>
      <c r="I7189">
        <f>IF(DATOS!$I7189="","",IFERROR(VLOOKUP(DATOS!$I7189,CONFIG_ASIGNATURAS!$B$2:$J$91,9,FALSE()),""))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IF(DATOS!$A7190="",0,IF(CONFIG_METADATA!$B$4&lt;&gt;"OR+EX",--(DATOS!$G7190=CONFIG_METADATA!$B$4),IF(DATOS!$G7190="EX",1,IF(DATOS!$G7190="OR",--(COUNTIFS(nNIA,DATOS!$A7190,nCURSO,DATOS!$D7190,nESPEC,DATOS!$E7190,nASIG,DATOS!$I7190,nEVAL,"EX")=0),0))))</f>
      </c>
      <c r="H7190">
        <f>IF(DATOS!$G7190&lt;&gt;"EX",0,--(COUNTIFS(nNIA,DATOS!$A7190,nCURSO,DATOS!$D7190,nESPEC,DATOS!$E7190,nASIG,DATOS!$I7190,nEVAL,"OR")=0))</f>
      </c>
      <c r="I7190">
        <f>IF(DATOS!$I7190="","",IFERROR(VLOOKUP(DATOS!$I7190,CONFIG_ASIGNATURAS!$B$2:$J$91,9,FALSE()),""))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IF(DATOS!$A7191="",0,IF(CONFIG_METADATA!$B$4&lt;&gt;"OR+EX",--(DATOS!$G7191=CONFIG_METADATA!$B$4),IF(DATOS!$G7191="EX",1,IF(DATOS!$G7191="OR",--(COUNTIFS(nNIA,DATOS!$A7191,nCURSO,DATOS!$D7191,nESPEC,DATOS!$E7191,nASIG,DATOS!$I7191,nEVAL,"EX")=0),0))))</f>
      </c>
      <c r="H7191">
        <f>IF(DATOS!$G7191&lt;&gt;"EX",0,--(COUNTIFS(nNIA,DATOS!$A7191,nCURSO,DATOS!$D7191,nESPEC,DATOS!$E7191,nASIG,DATOS!$I7191,nEVAL,"OR")=0))</f>
      </c>
      <c r="I7191">
        <f>IF(DATOS!$I7191="","",IFERROR(VLOOKUP(DATOS!$I7191,CONFIG_ASIGNATURAS!$B$2:$J$91,9,FALSE()),""))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IF(DATOS!$A7192="",0,IF(CONFIG_METADATA!$B$4&lt;&gt;"OR+EX",--(DATOS!$G7192=CONFIG_METADATA!$B$4),IF(DATOS!$G7192="EX",1,IF(DATOS!$G7192="OR",--(COUNTIFS(nNIA,DATOS!$A7192,nCURSO,DATOS!$D7192,nESPEC,DATOS!$E7192,nASIG,DATOS!$I7192,nEVAL,"EX")=0),0))))</f>
      </c>
      <c r="H7192">
        <f>IF(DATOS!$G7192&lt;&gt;"EX",0,--(COUNTIFS(nNIA,DATOS!$A7192,nCURSO,DATOS!$D7192,nESPEC,DATOS!$E7192,nASIG,DATOS!$I7192,nEVAL,"OR")=0))</f>
      </c>
      <c r="I7192">
        <f>IF(DATOS!$I7192="","",IFERROR(VLOOKUP(DATOS!$I7192,CONFIG_ASIGNATURAS!$B$2:$J$91,9,FALSE()),""))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IF(DATOS!$A7193="",0,IF(CONFIG_METADATA!$B$4&lt;&gt;"OR+EX",--(DATOS!$G7193=CONFIG_METADATA!$B$4),IF(DATOS!$G7193="EX",1,IF(DATOS!$G7193="OR",--(COUNTIFS(nNIA,DATOS!$A7193,nCURSO,DATOS!$D7193,nESPEC,DATOS!$E7193,nASIG,DATOS!$I7193,nEVAL,"EX")=0),0))))</f>
      </c>
      <c r="H7193">
        <f>IF(DATOS!$G7193&lt;&gt;"EX",0,--(COUNTIFS(nNIA,DATOS!$A7193,nCURSO,DATOS!$D7193,nESPEC,DATOS!$E7193,nASIG,DATOS!$I7193,nEVAL,"OR")=0))</f>
      </c>
      <c r="I7193">
        <f>IF(DATOS!$I7193="","",IFERROR(VLOOKUP(DATOS!$I7193,CONFIG_ASIGNATURAS!$B$2:$J$91,9,FALSE()),""))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IF(DATOS!$A7194="",0,IF(CONFIG_METADATA!$B$4&lt;&gt;"OR+EX",--(DATOS!$G7194=CONFIG_METADATA!$B$4),IF(DATOS!$G7194="EX",1,IF(DATOS!$G7194="OR",--(COUNTIFS(nNIA,DATOS!$A7194,nCURSO,DATOS!$D7194,nESPEC,DATOS!$E7194,nASIG,DATOS!$I7194,nEVAL,"EX")=0),0))))</f>
      </c>
      <c r="H7194">
        <f>IF(DATOS!$G7194&lt;&gt;"EX",0,--(COUNTIFS(nNIA,DATOS!$A7194,nCURSO,DATOS!$D7194,nESPEC,DATOS!$E7194,nASIG,DATOS!$I7194,nEVAL,"OR")=0))</f>
      </c>
      <c r="I7194">
        <f>IF(DATOS!$I7194="","",IFERROR(VLOOKUP(DATOS!$I7194,CONFIG_ASIGNATURAS!$B$2:$J$91,9,FALSE()),""))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IF(DATOS!$A7195="",0,IF(CONFIG_METADATA!$B$4&lt;&gt;"OR+EX",--(DATOS!$G7195=CONFIG_METADATA!$B$4),IF(DATOS!$G7195="EX",1,IF(DATOS!$G7195="OR",--(COUNTIFS(nNIA,DATOS!$A7195,nCURSO,DATOS!$D7195,nESPEC,DATOS!$E7195,nASIG,DATOS!$I7195,nEVAL,"EX")=0),0))))</f>
      </c>
      <c r="H7195">
        <f>IF(DATOS!$G7195&lt;&gt;"EX",0,--(COUNTIFS(nNIA,DATOS!$A7195,nCURSO,DATOS!$D7195,nESPEC,DATOS!$E7195,nASIG,DATOS!$I7195,nEVAL,"OR")=0))</f>
      </c>
      <c r="I7195">
        <f>IF(DATOS!$I7195="","",IFERROR(VLOOKUP(DATOS!$I7195,CONFIG_ASIGNATURAS!$B$2:$J$91,9,FALSE()),""))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IF(DATOS!$A7196="",0,IF(CONFIG_METADATA!$B$4&lt;&gt;"OR+EX",--(DATOS!$G7196=CONFIG_METADATA!$B$4),IF(DATOS!$G7196="EX",1,IF(DATOS!$G7196="OR",--(COUNTIFS(nNIA,DATOS!$A7196,nCURSO,DATOS!$D7196,nESPEC,DATOS!$E7196,nASIG,DATOS!$I7196,nEVAL,"EX")=0),0))))</f>
      </c>
      <c r="H7196">
        <f>IF(DATOS!$G7196&lt;&gt;"EX",0,--(COUNTIFS(nNIA,DATOS!$A7196,nCURSO,DATOS!$D7196,nESPEC,DATOS!$E7196,nASIG,DATOS!$I7196,nEVAL,"OR")=0))</f>
      </c>
      <c r="I7196">
        <f>IF(DATOS!$I7196="","",IFERROR(VLOOKUP(DATOS!$I7196,CONFIG_ASIGNATURAS!$B$2:$J$91,9,FALSE()),""))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IF(DATOS!$A7197="",0,IF(CONFIG_METADATA!$B$4&lt;&gt;"OR+EX",--(DATOS!$G7197=CONFIG_METADATA!$B$4),IF(DATOS!$G7197="EX",1,IF(DATOS!$G7197="OR",--(COUNTIFS(nNIA,DATOS!$A7197,nCURSO,DATOS!$D7197,nESPEC,DATOS!$E7197,nASIG,DATOS!$I7197,nEVAL,"EX")=0),0))))</f>
      </c>
      <c r="H7197">
        <f>IF(DATOS!$G7197&lt;&gt;"EX",0,--(COUNTIFS(nNIA,DATOS!$A7197,nCURSO,DATOS!$D7197,nESPEC,DATOS!$E7197,nASIG,DATOS!$I7197,nEVAL,"OR")=0))</f>
      </c>
      <c r="I7197">
        <f>IF(DATOS!$I7197="","",IFERROR(VLOOKUP(DATOS!$I7197,CONFIG_ASIGNATURAS!$B$2:$J$91,9,FALSE()),""))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IF(DATOS!$A7198="",0,IF(CONFIG_METADATA!$B$4&lt;&gt;"OR+EX",--(DATOS!$G7198=CONFIG_METADATA!$B$4),IF(DATOS!$G7198="EX",1,IF(DATOS!$G7198="OR",--(COUNTIFS(nNIA,DATOS!$A7198,nCURSO,DATOS!$D7198,nESPEC,DATOS!$E7198,nASIG,DATOS!$I7198,nEVAL,"EX")=0),0))))</f>
      </c>
      <c r="H7198">
        <f>IF(DATOS!$G7198&lt;&gt;"EX",0,--(COUNTIFS(nNIA,DATOS!$A7198,nCURSO,DATOS!$D7198,nESPEC,DATOS!$E7198,nASIG,DATOS!$I7198,nEVAL,"OR")=0))</f>
      </c>
      <c r="I7198">
        <f>IF(DATOS!$I7198="","",IFERROR(VLOOKUP(DATOS!$I7198,CONFIG_ASIGNATURAS!$B$2:$J$91,9,FALSE()),""))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IF(DATOS!$A7199="",0,IF(CONFIG_METADATA!$B$4&lt;&gt;"OR+EX",--(DATOS!$G7199=CONFIG_METADATA!$B$4),IF(DATOS!$G7199="EX",1,IF(DATOS!$G7199="OR",--(COUNTIFS(nNIA,DATOS!$A7199,nCURSO,DATOS!$D7199,nESPEC,DATOS!$E7199,nASIG,DATOS!$I7199,nEVAL,"EX")=0),0))))</f>
      </c>
      <c r="H7199">
        <f>IF(DATOS!$G7199&lt;&gt;"EX",0,--(COUNTIFS(nNIA,DATOS!$A7199,nCURSO,DATOS!$D7199,nESPEC,DATOS!$E7199,nASIG,DATOS!$I7199,nEVAL,"OR")=0))</f>
      </c>
      <c r="I7199">
        <f>IF(DATOS!$I7199="","",IFERROR(VLOOKUP(DATOS!$I7199,CONFIG_ASIGNATURAS!$B$2:$J$91,9,FALSE()),""))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IF(DATOS!$A7200="",0,IF(CONFIG_METADATA!$B$4&lt;&gt;"OR+EX",--(DATOS!$G7200=CONFIG_METADATA!$B$4),IF(DATOS!$G7200="EX",1,IF(DATOS!$G7200="OR",--(COUNTIFS(nNIA,DATOS!$A7200,nCURSO,DATOS!$D7200,nESPEC,DATOS!$E7200,nASIG,DATOS!$I7200,nEVAL,"EX")=0),0))))</f>
      </c>
      <c r="H7200">
        <f>IF(DATOS!$G7200&lt;&gt;"EX",0,--(COUNTIFS(nNIA,DATOS!$A7200,nCURSO,DATOS!$D7200,nESPEC,DATOS!$E7200,nASIG,DATOS!$I7200,nEVAL,"OR")=0))</f>
      </c>
      <c r="I7200">
        <f>IF(DATOS!$I7200="","",IFERROR(VLOOKUP(DATOS!$I7200,CONFIG_ASIGNATURAS!$B$2:$J$91,9,FALSE()),""))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IF(DATOS!$A7201="",0,IF(CONFIG_METADATA!$B$4&lt;&gt;"OR+EX",--(DATOS!$G7201=CONFIG_METADATA!$B$4),IF(DATOS!$G7201="EX",1,IF(DATOS!$G7201="OR",--(COUNTIFS(nNIA,DATOS!$A7201,nCURSO,DATOS!$D7201,nESPEC,DATOS!$E7201,nASIG,DATOS!$I7201,nEVAL,"EX")=0),0))))</f>
      </c>
      <c r="H7201">
        <f>IF(DATOS!$G7201&lt;&gt;"EX",0,--(COUNTIFS(nNIA,DATOS!$A7201,nCURSO,DATOS!$D7201,nESPEC,DATOS!$E7201,nASIG,DATOS!$I7201,nEVAL,"OR")=0))</f>
      </c>
      <c r="I7201">
        <f>IF(DATOS!$I7201="","",IFERROR(VLOOKUP(DATOS!$I7201,CONFIG_ASIGNATURAS!$B$2:$J$91,9,FALSE()),""))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IF(DATOS!$A7202="",0,IF(CONFIG_METADATA!$B$4&lt;&gt;"OR+EX",--(DATOS!$G7202=CONFIG_METADATA!$B$4),IF(DATOS!$G7202="EX",1,IF(DATOS!$G7202="OR",--(COUNTIFS(nNIA,DATOS!$A7202,nCURSO,DATOS!$D7202,nESPEC,DATOS!$E7202,nASIG,DATOS!$I7202,nEVAL,"EX")=0),0))))</f>
      </c>
      <c r="H7202">
        <f>IF(DATOS!$G7202&lt;&gt;"EX",0,--(COUNTIFS(nNIA,DATOS!$A7202,nCURSO,DATOS!$D7202,nESPEC,DATOS!$E7202,nASIG,DATOS!$I7202,nEVAL,"OR")=0))</f>
      </c>
      <c r="I7202">
        <f>IF(DATOS!$I7202="","",IFERROR(VLOOKUP(DATOS!$I7202,CONFIG_ASIGNATURAS!$B$2:$J$91,9,FALSE()),""))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IF(DATOS!$A7203="",0,IF(CONFIG_METADATA!$B$4&lt;&gt;"OR+EX",--(DATOS!$G7203=CONFIG_METADATA!$B$4),IF(DATOS!$G7203="EX",1,IF(DATOS!$G7203="OR",--(COUNTIFS(nNIA,DATOS!$A7203,nCURSO,DATOS!$D7203,nESPEC,DATOS!$E7203,nASIG,DATOS!$I7203,nEVAL,"EX")=0),0))))</f>
      </c>
      <c r="H7203">
        <f>IF(DATOS!$G7203&lt;&gt;"EX",0,--(COUNTIFS(nNIA,DATOS!$A7203,nCURSO,DATOS!$D7203,nESPEC,DATOS!$E7203,nASIG,DATOS!$I7203,nEVAL,"OR")=0))</f>
      </c>
      <c r="I7203">
        <f>IF(DATOS!$I7203="","",IFERROR(VLOOKUP(DATOS!$I7203,CONFIG_ASIGNATURAS!$B$2:$J$91,9,FALSE()),""))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IF(DATOS!$A7204="",0,IF(CONFIG_METADATA!$B$4&lt;&gt;"OR+EX",--(DATOS!$G7204=CONFIG_METADATA!$B$4),IF(DATOS!$G7204="EX",1,IF(DATOS!$G7204="OR",--(COUNTIFS(nNIA,DATOS!$A7204,nCURSO,DATOS!$D7204,nESPEC,DATOS!$E7204,nASIG,DATOS!$I7204,nEVAL,"EX")=0),0))))</f>
      </c>
      <c r="H7204">
        <f>IF(DATOS!$G7204&lt;&gt;"EX",0,--(COUNTIFS(nNIA,DATOS!$A7204,nCURSO,DATOS!$D7204,nESPEC,DATOS!$E7204,nASIG,DATOS!$I7204,nEVAL,"OR")=0))</f>
      </c>
      <c r="I7204">
        <f>IF(DATOS!$I7204="","",IFERROR(VLOOKUP(DATOS!$I7204,CONFIG_ASIGNATURAS!$B$2:$J$91,9,FALSE()),""))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IF(DATOS!$A7205="",0,IF(CONFIG_METADATA!$B$4&lt;&gt;"OR+EX",--(DATOS!$G7205=CONFIG_METADATA!$B$4),IF(DATOS!$G7205="EX",1,IF(DATOS!$G7205="OR",--(COUNTIFS(nNIA,DATOS!$A7205,nCURSO,DATOS!$D7205,nESPEC,DATOS!$E7205,nASIG,DATOS!$I7205,nEVAL,"EX")=0),0))))</f>
      </c>
      <c r="H7205">
        <f>IF(DATOS!$G7205&lt;&gt;"EX",0,--(COUNTIFS(nNIA,DATOS!$A7205,nCURSO,DATOS!$D7205,nESPEC,DATOS!$E7205,nASIG,DATOS!$I7205,nEVAL,"OR")=0))</f>
      </c>
      <c r="I7205">
        <f>IF(DATOS!$I7205="","",IFERROR(VLOOKUP(DATOS!$I7205,CONFIG_ASIGNATURAS!$B$2:$J$91,9,FALSE()),""))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IF(DATOS!$A7206="",0,IF(CONFIG_METADATA!$B$4&lt;&gt;"OR+EX",--(DATOS!$G7206=CONFIG_METADATA!$B$4),IF(DATOS!$G7206="EX",1,IF(DATOS!$G7206="OR",--(COUNTIFS(nNIA,DATOS!$A7206,nCURSO,DATOS!$D7206,nESPEC,DATOS!$E7206,nASIG,DATOS!$I7206,nEVAL,"EX")=0),0))))</f>
      </c>
      <c r="H7206">
        <f>IF(DATOS!$G7206&lt;&gt;"EX",0,--(COUNTIFS(nNIA,DATOS!$A7206,nCURSO,DATOS!$D7206,nESPEC,DATOS!$E7206,nASIG,DATOS!$I7206,nEVAL,"OR")=0))</f>
      </c>
      <c r="I7206">
        <f>IF(DATOS!$I7206="","",IFERROR(VLOOKUP(DATOS!$I7206,CONFIG_ASIGNATURAS!$B$2:$J$91,9,FALSE()),""))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IF(DATOS!$A7207="",0,IF(CONFIG_METADATA!$B$4&lt;&gt;"OR+EX",--(DATOS!$G7207=CONFIG_METADATA!$B$4),IF(DATOS!$G7207="EX",1,IF(DATOS!$G7207="OR",--(COUNTIFS(nNIA,DATOS!$A7207,nCURSO,DATOS!$D7207,nESPEC,DATOS!$E7207,nASIG,DATOS!$I7207,nEVAL,"EX")=0),0))))</f>
      </c>
      <c r="H7207">
        <f>IF(DATOS!$G7207&lt;&gt;"EX",0,--(COUNTIFS(nNIA,DATOS!$A7207,nCURSO,DATOS!$D7207,nESPEC,DATOS!$E7207,nASIG,DATOS!$I7207,nEVAL,"OR")=0))</f>
      </c>
      <c r="I7207">
        <f>IF(DATOS!$I7207="","",IFERROR(VLOOKUP(DATOS!$I7207,CONFIG_ASIGNATURAS!$B$2:$J$91,9,FALSE()),""))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IF(DATOS!$A7208="",0,IF(CONFIG_METADATA!$B$4&lt;&gt;"OR+EX",--(DATOS!$G7208=CONFIG_METADATA!$B$4),IF(DATOS!$G7208="EX",1,IF(DATOS!$G7208="OR",--(COUNTIFS(nNIA,DATOS!$A7208,nCURSO,DATOS!$D7208,nESPEC,DATOS!$E7208,nASIG,DATOS!$I7208,nEVAL,"EX")=0),0))))</f>
      </c>
      <c r="H7208">
        <f>IF(DATOS!$G7208&lt;&gt;"EX",0,--(COUNTIFS(nNIA,DATOS!$A7208,nCURSO,DATOS!$D7208,nESPEC,DATOS!$E7208,nASIG,DATOS!$I7208,nEVAL,"OR")=0))</f>
      </c>
      <c r="I7208">
        <f>IF(DATOS!$I7208="","",IFERROR(VLOOKUP(DATOS!$I7208,CONFIG_ASIGNATURAS!$B$2:$J$91,9,FALSE()),""))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IF(DATOS!$A7209="",0,IF(CONFIG_METADATA!$B$4&lt;&gt;"OR+EX",--(DATOS!$G7209=CONFIG_METADATA!$B$4),IF(DATOS!$G7209="EX",1,IF(DATOS!$G7209="OR",--(COUNTIFS(nNIA,DATOS!$A7209,nCURSO,DATOS!$D7209,nESPEC,DATOS!$E7209,nASIG,DATOS!$I7209,nEVAL,"EX")=0),0))))</f>
      </c>
      <c r="H7209">
        <f>IF(DATOS!$G7209&lt;&gt;"EX",0,--(COUNTIFS(nNIA,DATOS!$A7209,nCURSO,DATOS!$D7209,nESPEC,DATOS!$E7209,nASIG,DATOS!$I7209,nEVAL,"OR")=0))</f>
      </c>
      <c r="I7209">
        <f>IF(DATOS!$I7209="","",IFERROR(VLOOKUP(DATOS!$I7209,CONFIG_ASIGNATURAS!$B$2:$J$91,9,FALSE()),""))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IF(DATOS!$A7210="",0,IF(CONFIG_METADATA!$B$4&lt;&gt;"OR+EX",--(DATOS!$G7210=CONFIG_METADATA!$B$4),IF(DATOS!$G7210="EX",1,IF(DATOS!$G7210="OR",--(COUNTIFS(nNIA,DATOS!$A7210,nCURSO,DATOS!$D7210,nESPEC,DATOS!$E7210,nASIG,DATOS!$I7210,nEVAL,"EX")=0),0))))</f>
      </c>
      <c r="H7210">
        <f>IF(DATOS!$G7210&lt;&gt;"EX",0,--(COUNTIFS(nNIA,DATOS!$A7210,nCURSO,DATOS!$D7210,nESPEC,DATOS!$E7210,nASIG,DATOS!$I7210,nEVAL,"OR")=0))</f>
      </c>
      <c r="I7210">
        <f>IF(DATOS!$I7210="","",IFERROR(VLOOKUP(DATOS!$I7210,CONFIG_ASIGNATURAS!$B$2:$J$91,9,FALSE()),""))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IF(DATOS!$A7211="",0,IF(CONFIG_METADATA!$B$4&lt;&gt;"OR+EX",--(DATOS!$G7211=CONFIG_METADATA!$B$4),IF(DATOS!$G7211="EX",1,IF(DATOS!$G7211="OR",--(COUNTIFS(nNIA,DATOS!$A7211,nCURSO,DATOS!$D7211,nESPEC,DATOS!$E7211,nASIG,DATOS!$I7211,nEVAL,"EX")=0),0))))</f>
      </c>
      <c r="H7211">
        <f>IF(DATOS!$G7211&lt;&gt;"EX",0,--(COUNTIFS(nNIA,DATOS!$A7211,nCURSO,DATOS!$D7211,nESPEC,DATOS!$E7211,nASIG,DATOS!$I7211,nEVAL,"OR")=0))</f>
      </c>
      <c r="I7211">
        <f>IF(DATOS!$I7211="","",IFERROR(VLOOKUP(DATOS!$I7211,CONFIG_ASIGNATURAS!$B$2:$J$91,9,FALSE()),""))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IF(DATOS!$A7212="",0,IF(CONFIG_METADATA!$B$4&lt;&gt;"OR+EX",--(DATOS!$G7212=CONFIG_METADATA!$B$4),IF(DATOS!$G7212="EX",1,IF(DATOS!$G7212="OR",--(COUNTIFS(nNIA,DATOS!$A7212,nCURSO,DATOS!$D7212,nESPEC,DATOS!$E7212,nASIG,DATOS!$I7212,nEVAL,"EX")=0),0))))</f>
      </c>
      <c r="H7212">
        <f>IF(DATOS!$G7212&lt;&gt;"EX",0,--(COUNTIFS(nNIA,DATOS!$A7212,nCURSO,DATOS!$D7212,nESPEC,DATOS!$E7212,nASIG,DATOS!$I7212,nEVAL,"OR")=0))</f>
      </c>
      <c r="I7212">
        <f>IF(DATOS!$I7212="","",IFERROR(VLOOKUP(DATOS!$I7212,CONFIG_ASIGNATURAS!$B$2:$J$91,9,FALSE()),""))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IF(DATOS!$A7213="",0,IF(CONFIG_METADATA!$B$4&lt;&gt;"OR+EX",--(DATOS!$G7213=CONFIG_METADATA!$B$4),IF(DATOS!$G7213="EX",1,IF(DATOS!$G7213="OR",--(COUNTIFS(nNIA,DATOS!$A7213,nCURSO,DATOS!$D7213,nESPEC,DATOS!$E7213,nASIG,DATOS!$I7213,nEVAL,"EX")=0),0))))</f>
      </c>
      <c r="H7213">
        <f>IF(DATOS!$G7213&lt;&gt;"EX",0,--(COUNTIFS(nNIA,DATOS!$A7213,nCURSO,DATOS!$D7213,nESPEC,DATOS!$E7213,nASIG,DATOS!$I7213,nEVAL,"OR")=0))</f>
      </c>
      <c r="I7213">
        <f>IF(DATOS!$I7213="","",IFERROR(VLOOKUP(DATOS!$I7213,CONFIG_ASIGNATURAS!$B$2:$J$91,9,FALSE()),""))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IF(DATOS!$A7214="",0,IF(CONFIG_METADATA!$B$4&lt;&gt;"OR+EX",--(DATOS!$G7214=CONFIG_METADATA!$B$4),IF(DATOS!$G7214="EX",1,IF(DATOS!$G7214="OR",--(COUNTIFS(nNIA,DATOS!$A7214,nCURSO,DATOS!$D7214,nESPEC,DATOS!$E7214,nASIG,DATOS!$I7214,nEVAL,"EX")=0),0))))</f>
      </c>
      <c r="H7214">
        <f>IF(DATOS!$G7214&lt;&gt;"EX",0,--(COUNTIFS(nNIA,DATOS!$A7214,nCURSO,DATOS!$D7214,nESPEC,DATOS!$E7214,nASIG,DATOS!$I7214,nEVAL,"OR")=0))</f>
      </c>
      <c r="I7214">
        <f>IF(DATOS!$I7214="","",IFERROR(VLOOKUP(DATOS!$I7214,CONFIG_ASIGNATURAS!$B$2:$J$91,9,FALSE()),""))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IF(DATOS!$A7215="",0,IF(CONFIG_METADATA!$B$4&lt;&gt;"OR+EX",--(DATOS!$G7215=CONFIG_METADATA!$B$4),IF(DATOS!$G7215="EX",1,IF(DATOS!$G7215="OR",--(COUNTIFS(nNIA,DATOS!$A7215,nCURSO,DATOS!$D7215,nESPEC,DATOS!$E7215,nASIG,DATOS!$I7215,nEVAL,"EX")=0),0))))</f>
      </c>
      <c r="H7215">
        <f>IF(DATOS!$G7215&lt;&gt;"EX",0,--(COUNTIFS(nNIA,DATOS!$A7215,nCURSO,DATOS!$D7215,nESPEC,DATOS!$E7215,nASIG,DATOS!$I7215,nEVAL,"OR")=0))</f>
      </c>
      <c r="I7215">
        <f>IF(DATOS!$I7215="","",IFERROR(VLOOKUP(DATOS!$I7215,CONFIG_ASIGNATURAS!$B$2:$J$91,9,FALSE()),""))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IF(DATOS!$A7216="",0,IF(CONFIG_METADATA!$B$4&lt;&gt;"OR+EX",--(DATOS!$G7216=CONFIG_METADATA!$B$4),IF(DATOS!$G7216="EX",1,IF(DATOS!$G7216="OR",--(COUNTIFS(nNIA,DATOS!$A7216,nCURSO,DATOS!$D7216,nESPEC,DATOS!$E7216,nASIG,DATOS!$I7216,nEVAL,"EX")=0),0))))</f>
      </c>
      <c r="H7216">
        <f>IF(DATOS!$G7216&lt;&gt;"EX",0,--(COUNTIFS(nNIA,DATOS!$A7216,nCURSO,DATOS!$D7216,nESPEC,DATOS!$E7216,nASIG,DATOS!$I7216,nEVAL,"OR")=0))</f>
      </c>
      <c r="I7216">
        <f>IF(DATOS!$I7216="","",IFERROR(VLOOKUP(DATOS!$I7216,CONFIG_ASIGNATURAS!$B$2:$J$91,9,FALSE()),""))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IF(DATOS!$A7217="",0,IF(CONFIG_METADATA!$B$4&lt;&gt;"OR+EX",--(DATOS!$G7217=CONFIG_METADATA!$B$4),IF(DATOS!$G7217="EX",1,IF(DATOS!$G7217="OR",--(COUNTIFS(nNIA,DATOS!$A7217,nCURSO,DATOS!$D7217,nESPEC,DATOS!$E7217,nASIG,DATOS!$I7217,nEVAL,"EX")=0),0))))</f>
      </c>
      <c r="H7217">
        <f>IF(DATOS!$G7217&lt;&gt;"EX",0,--(COUNTIFS(nNIA,DATOS!$A7217,nCURSO,DATOS!$D7217,nESPEC,DATOS!$E7217,nASIG,DATOS!$I7217,nEVAL,"OR")=0))</f>
      </c>
      <c r="I7217">
        <f>IF(DATOS!$I7217="","",IFERROR(VLOOKUP(DATOS!$I7217,CONFIG_ASIGNATURAS!$B$2:$J$91,9,FALSE()),""))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IF(DATOS!$A7218="",0,IF(CONFIG_METADATA!$B$4&lt;&gt;"OR+EX",--(DATOS!$G7218=CONFIG_METADATA!$B$4),IF(DATOS!$G7218="EX",1,IF(DATOS!$G7218="OR",--(COUNTIFS(nNIA,DATOS!$A7218,nCURSO,DATOS!$D7218,nESPEC,DATOS!$E7218,nASIG,DATOS!$I7218,nEVAL,"EX")=0),0))))</f>
      </c>
      <c r="H7218">
        <f>IF(DATOS!$G7218&lt;&gt;"EX",0,--(COUNTIFS(nNIA,DATOS!$A7218,nCURSO,DATOS!$D7218,nESPEC,DATOS!$E7218,nASIG,DATOS!$I7218,nEVAL,"OR")=0))</f>
      </c>
      <c r="I7218">
        <f>IF(DATOS!$I7218="","",IFERROR(VLOOKUP(DATOS!$I7218,CONFIG_ASIGNATURAS!$B$2:$J$91,9,FALSE()),""))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IF(DATOS!$A7219="",0,IF(CONFIG_METADATA!$B$4&lt;&gt;"OR+EX",--(DATOS!$G7219=CONFIG_METADATA!$B$4),IF(DATOS!$G7219="EX",1,IF(DATOS!$G7219="OR",--(COUNTIFS(nNIA,DATOS!$A7219,nCURSO,DATOS!$D7219,nESPEC,DATOS!$E7219,nASIG,DATOS!$I7219,nEVAL,"EX")=0),0))))</f>
      </c>
      <c r="H7219">
        <f>IF(DATOS!$G7219&lt;&gt;"EX",0,--(COUNTIFS(nNIA,DATOS!$A7219,nCURSO,DATOS!$D7219,nESPEC,DATOS!$E7219,nASIG,DATOS!$I7219,nEVAL,"OR")=0))</f>
      </c>
      <c r="I7219">
        <f>IF(DATOS!$I7219="","",IFERROR(VLOOKUP(DATOS!$I7219,CONFIG_ASIGNATURAS!$B$2:$J$91,9,FALSE()),""))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IF(DATOS!$A7220="",0,IF(CONFIG_METADATA!$B$4&lt;&gt;"OR+EX",--(DATOS!$G7220=CONFIG_METADATA!$B$4),IF(DATOS!$G7220="EX",1,IF(DATOS!$G7220="OR",--(COUNTIFS(nNIA,DATOS!$A7220,nCURSO,DATOS!$D7220,nESPEC,DATOS!$E7220,nASIG,DATOS!$I7220,nEVAL,"EX")=0),0))))</f>
      </c>
      <c r="H7220">
        <f>IF(DATOS!$G7220&lt;&gt;"EX",0,--(COUNTIFS(nNIA,DATOS!$A7220,nCURSO,DATOS!$D7220,nESPEC,DATOS!$E7220,nASIG,DATOS!$I7220,nEVAL,"OR")=0))</f>
      </c>
      <c r="I7220">
        <f>IF(DATOS!$I7220="","",IFERROR(VLOOKUP(DATOS!$I7220,CONFIG_ASIGNATURAS!$B$2:$J$91,9,FALSE()),""))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IF(DATOS!$A7221="",0,IF(CONFIG_METADATA!$B$4&lt;&gt;"OR+EX",--(DATOS!$G7221=CONFIG_METADATA!$B$4),IF(DATOS!$G7221="EX",1,IF(DATOS!$G7221="OR",--(COUNTIFS(nNIA,DATOS!$A7221,nCURSO,DATOS!$D7221,nESPEC,DATOS!$E7221,nASIG,DATOS!$I7221,nEVAL,"EX")=0),0))))</f>
      </c>
      <c r="H7221">
        <f>IF(DATOS!$G7221&lt;&gt;"EX",0,--(COUNTIFS(nNIA,DATOS!$A7221,nCURSO,DATOS!$D7221,nESPEC,DATOS!$E7221,nASIG,DATOS!$I7221,nEVAL,"OR")=0))</f>
      </c>
      <c r="I7221">
        <f>IF(DATOS!$I7221="","",IFERROR(VLOOKUP(DATOS!$I7221,CONFIG_ASIGNATURAS!$B$2:$J$91,9,FALSE()),""))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IF(DATOS!$A7222="",0,IF(CONFIG_METADATA!$B$4&lt;&gt;"OR+EX",--(DATOS!$G7222=CONFIG_METADATA!$B$4),IF(DATOS!$G7222="EX",1,IF(DATOS!$G7222="OR",--(COUNTIFS(nNIA,DATOS!$A7222,nCURSO,DATOS!$D7222,nESPEC,DATOS!$E7222,nASIG,DATOS!$I7222,nEVAL,"EX")=0),0))))</f>
      </c>
      <c r="H7222">
        <f>IF(DATOS!$G7222&lt;&gt;"EX",0,--(COUNTIFS(nNIA,DATOS!$A7222,nCURSO,DATOS!$D7222,nESPEC,DATOS!$E7222,nASIG,DATOS!$I7222,nEVAL,"OR")=0))</f>
      </c>
      <c r="I7222">
        <f>IF(DATOS!$I7222="","",IFERROR(VLOOKUP(DATOS!$I7222,CONFIG_ASIGNATURAS!$B$2:$J$91,9,FALSE()),""))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IF(DATOS!$A7223="",0,IF(CONFIG_METADATA!$B$4&lt;&gt;"OR+EX",--(DATOS!$G7223=CONFIG_METADATA!$B$4),IF(DATOS!$G7223="EX",1,IF(DATOS!$G7223="OR",--(COUNTIFS(nNIA,DATOS!$A7223,nCURSO,DATOS!$D7223,nESPEC,DATOS!$E7223,nASIG,DATOS!$I7223,nEVAL,"EX")=0),0))))</f>
      </c>
      <c r="H7223">
        <f>IF(DATOS!$G7223&lt;&gt;"EX",0,--(COUNTIFS(nNIA,DATOS!$A7223,nCURSO,DATOS!$D7223,nESPEC,DATOS!$E7223,nASIG,DATOS!$I7223,nEVAL,"OR")=0))</f>
      </c>
      <c r="I7223">
        <f>IF(DATOS!$I7223="","",IFERROR(VLOOKUP(DATOS!$I7223,CONFIG_ASIGNATURAS!$B$2:$J$91,9,FALSE()),""))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IF(DATOS!$A7224="",0,IF(CONFIG_METADATA!$B$4&lt;&gt;"OR+EX",--(DATOS!$G7224=CONFIG_METADATA!$B$4),IF(DATOS!$G7224="EX",1,IF(DATOS!$G7224="OR",--(COUNTIFS(nNIA,DATOS!$A7224,nCURSO,DATOS!$D7224,nESPEC,DATOS!$E7224,nASIG,DATOS!$I7224,nEVAL,"EX")=0),0))))</f>
      </c>
      <c r="H7224">
        <f>IF(DATOS!$G7224&lt;&gt;"EX",0,--(COUNTIFS(nNIA,DATOS!$A7224,nCURSO,DATOS!$D7224,nESPEC,DATOS!$E7224,nASIG,DATOS!$I7224,nEVAL,"OR")=0))</f>
      </c>
      <c r="I7224">
        <f>IF(DATOS!$I7224="","",IFERROR(VLOOKUP(DATOS!$I7224,CONFIG_ASIGNATURAS!$B$2:$J$91,9,FALSE()),""))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IF(DATOS!$A7225="",0,IF(CONFIG_METADATA!$B$4&lt;&gt;"OR+EX",--(DATOS!$G7225=CONFIG_METADATA!$B$4),IF(DATOS!$G7225="EX",1,IF(DATOS!$G7225="OR",--(COUNTIFS(nNIA,DATOS!$A7225,nCURSO,DATOS!$D7225,nESPEC,DATOS!$E7225,nASIG,DATOS!$I7225,nEVAL,"EX")=0),0))))</f>
      </c>
      <c r="H7225">
        <f>IF(DATOS!$G7225&lt;&gt;"EX",0,--(COUNTIFS(nNIA,DATOS!$A7225,nCURSO,DATOS!$D7225,nESPEC,DATOS!$E7225,nASIG,DATOS!$I7225,nEVAL,"OR")=0))</f>
      </c>
      <c r="I7225">
        <f>IF(DATOS!$I7225="","",IFERROR(VLOOKUP(DATOS!$I7225,CONFIG_ASIGNATURAS!$B$2:$J$91,9,FALSE()),""))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IF(DATOS!$A7226="",0,IF(CONFIG_METADATA!$B$4&lt;&gt;"OR+EX",--(DATOS!$G7226=CONFIG_METADATA!$B$4),IF(DATOS!$G7226="EX",1,IF(DATOS!$G7226="OR",--(COUNTIFS(nNIA,DATOS!$A7226,nCURSO,DATOS!$D7226,nESPEC,DATOS!$E7226,nASIG,DATOS!$I7226,nEVAL,"EX")=0),0))))</f>
      </c>
      <c r="H7226">
        <f>IF(DATOS!$G7226&lt;&gt;"EX",0,--(COUNTIFS(nNIA,DATOS!$A7226,nCURSO,DATOS!$D7226,nESPEC,DATOS!$E7226,nASIG,DATOS!$I7226,nEVAL,"OR")=0))</f>
      </c>
      <c r="I7226">
        <f>IF(DATOS!$I7226="","",IFERROR(VLOOKUP(DATOS!$I7226,CONFIG_ASIGNATURAS!$B$2:$J$91,9,FALSE()),""))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IF(DATOS!$A7227="",0,IF(CONFIG_METADATA!$B$4&lt;&gt;"OR+EX",--(DATOS!$G7227=CONFIG_METADATA!$B$4),IF(DATOS!$G7227="EX",1,IF(DATOS!$G7227="OR",--(COUNTIFS(nNIA,DATOS!$A7227,nCURSO,DATOS!$D7227,nESPEC,DATOS!$E7227,nASIG,DATOS!$I7227,nEVAL,"EX")=0),0))))</f>
      </c>
      <c r="H7227">
        <f>IF(DATOS!$G7227&lt;&gt;"EX",0,--(COUNTIFS(nNIA,DATOS!$A7227,nCURSO,DATOS!$D7227,nESPEC,DATOS!$E7227,nASIG,DATOS!$I7227,nEVAL,"OR")=0))</f>
      </c>
      <c r="I7227">
        <f>IF(DATOS!$I7227="","",IFERROR(VLOOKUP(DATOS!$I7227,CONFIG_ASIGNATURAS!$B$2:$J$91,9,FALSE()),""))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IF(DATOS!$A7228="",0,IF(CONFIG_METADATA!$B$4&lt;&gt;"OR+EX",--(DATOS!$G7228=CONFIG_METADATA!$B$4),IF(DATOS!$G7228="EX",1,IF(DATOS!$G7228="OR",--(COUNTIFS(nNIA,DATOS!$A7228,nCURSO,DATOS!$D7228,nESPEC,DATOS!$E7228,nASIG,DATOS!$I7228,nEVAL,"EX")=0),0))))</f>
      </c>
      <c r="H7228">
        <f>IF(DATOS!$G7228&lt;&gt;"EX",0,--(COUNTIFS(nNIA,DATOS!$A7228,nCURSO,DATOS!$D7228,nESPEC,DATOS!$E7228,nASIG,DATOS!$I7228,nEVAL,"OR")=0))</f>
      </c>
      <c r="I7228">
        <f>IF(DATOS!$I7228="","",IFERROR(VLOOKUP(DATOS!$I7228,CONFIG_ASIGNATURAS!$B$2:$J$91,9,FALSE()),""))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IF(DATOS!$A7229="",0,IF(CONFIG_METADATA!$B$4&lt;&gt;"OR+EX",--(DATOS!$G7229=CONFIG_METADATA!$B$4),IF(DATOS!$G7229="EX",1,IF(DATOS!$G7229="OR",--(COUNTIFS(nNIA,DATOS!$A7229,nCURSO,DATOS!$D7229,nESPEC,DATOS!$E7229,nASIG,DATOS!$I7229,nEVAL,"EX")=0),0))))</f>
      </c>
      <c r="H7229">
        <f>IF(DATOS!$G7229&lt;&gt;"EX",0,--(COUNTIFS(nNIA,DATOS!$A7229,nCURSO,DATOS!$D7229,nESPEC,DATOS!$E7229,nASIG,DATOS!$I7229,nEVAL,"OR")=0))</f>
      </c>
      <c r="I7229">
        <f>IF(DATOS!$I7229="","",IFERROR(VLOOKUP(DATOS!$I7229,CONFIG_ASIGNATURAS!$B$2:$J$91,9,FALSE()),""))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IF(DATOS!$A7230="",0,IF(CONFIG_METADATA!$B$4&lt;&gt;"OR+EX",--(DATOS!$G7230=CONFIG_METADATA!$B$4),IF(DATOS!$G7230="EX",1,IF(DATOS!$G7230="OR",--(COUNTIFS(nNIA,DATOS!$A7230,nCURSO,DATOS!$D7230,nESPEC,DATOS!$E7230,nASIG,DATOS!$I7230,nEVAL,"EX")=0),0))))</f>
      </c>
      <c r="H7230">
        <f>IF(DATOS!$G7230&lt;&gt;"EX",0,--(COUNTIFS(nNIA,DATOS!$A7230,nCURSO,DATOS!$D7230,nESPEC,DATOS!$E7230,nASIG,DATOS!$I7230,nEVAL,"OR")=0))</f>
      </c>
      <c r="I7230">
        <f>IF(DATOS!$I7230="","",IFERROR(VLOOKUP(DATOS!$I7230,CONFIG_ASIGNATURAS!$B$2:$J$91,9,FALSE()),""))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IF(DATOS!$A7231="",0,IF(CONFIG_METADATA!$B$4&lt;&gt;"OR+EX",--(DATOS!$G7231=CONFIG_METADATA!$B$4),IF(DATOS!$G7231="EX",1,IF(DATOS!$G7231="OR",--(COUNTIFS(nNIA,DATOS!$A7231,nCURSO,DATOS!$D7231,nESPEC,DATOS!$E7231,nASIG,DATOS!$I7231,nEVAL,"EX")=0),0))))</f>
      </c>
      <c r="H7231">
        <f>IF(DATOS!$G7231&lt;&gt;"EX",0,--(COUNTIFS(nNIA,DATOS!$A7231,nCURSO,DATOS!$D7231,nESPEC,DATOS!$E7231,nASIG,DATOS!$I7231,nEVAL,"OR")=0))</f>
      </c>
      <c r="I7231">
        <f>IF(DATOS!$I7231="","",IFERROR(VLOOKUP(DATOS!$I7231,CONFIG_ASIGNATURAS!$B$2:$J$91,9,FALSE()),""))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IF(DATOS!$A7232="",0,IF(CONFIG_METADATA!$B$4&lt;&gt;"OR+EX",--(DATOS!$G7232=CONFIG_METADATA!$B$4),IF(DATOS!$G7232="EX",1,IF(DATOS!$G7232="OR",--(COUNTIFS(nNIA,DATOS!$A7232,nCURSO,DATOS!$D7232,nESPEC,DATOS!$E7232,nASIG,DATOS!$I7232,nEVAL,"EX")=0),0))))</f>
      </c>
      <c r="H7232">
        <f>IF(DATOS!$G7232&lt;&gt;"EX",0,--(COUNTIFS(nNIA,DATOS!$A7232,nCURSO,DATOS!$D7232,nESPEC,DATOS!$E7232,nASIG,DATOS!$I7232,nEVAL,"OR")=0))</f>
      </c>
      <c r="I7232">
        <f>IF(DATOS!$I7232="","",IFERROR(VLOOKUP(DATOS!$I7232,CONFIG_ASIGNATURAS!$B$2:$J$91,9,FALSE()),""))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IF(DATOS!$A7233="",0,IF(CONFIG_METADATA!$B$4&lt;&gt;"OR+EX",--(DATOS!$G7233=CONFIG_METADATA!$B$4),IF(DATOS!$G7233="EX",1,IF(DATOS!$G7233="OR",--(COUNTIFS(nNIA,DATOS!$A7233,nCURSO,DATOS!$D7233,nESPEC,DATOS!$E7233,nASIG,DATOS!$I7233,nEVAL,"EX")=0),0))))</f>
      </c>
      <c r="H7233">
        <f>IF(DATOS!$G7233&lt;&gt;"EX",0,--(COUNTIFS(nNIA,DATOS!$A7233,nCURSO,DATOS!$D7233,nESPEC,DATOS!$E7233,nASIG,DATOS!$I7233,nEVAL,"OR")=0))</f>
      </c>
      <c r="I7233">
        <f>IF(DATOS!$I7233="","",IFERROR(VLOOKUP(DATOS!$I7233,CONFIG_ASIGNATURAS!$B$2:$J$91,9,FALSE()),""))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IF(DATOS!$A7234="",0,IF(CONFIG_METADATA!$B$4&lt;&gt;"OR+EX",--(DATOS!$G7234=CONFIG_METADATA!$B$4),IF(DATOS!$G7234="EX",1,IF(DATOS!$G7234="OR",--(COUNTIFS(nNIA,DATOS!$A7234,nCURSO,DATOS!$D7234,nESPEC,DATOS!$E7234,nASIG,DATOS!$I7234,nEVAL,"EX")=0),0))))</f>
      </c>
      <c r="H7234">
        <f>IF(DATOS!$G7234&lt;&gt;"EX",0,--(COUNTIFS(nNIA,DATOS!$A7234,nCURSO,DATOS!$D7234,nESPEC,DATOS!$E7234,nASIG,DATOS!$I7234,nEVAL,"OR")=0))</f>
      </c>
      <c r="I7234">
        <f>IF(DATOS!$I7234="","",IFERROR(VLOOKUP(DATOS!$I7234,CONFIG_ASIGNATURAS!$B$2:$J$91,9,FALSE()),""))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IF(DATOS!$A7235="",0,IF(CONFIG_METADATA!$B$4&lt;&gt;"OR+EX",--(DATOS!$G7235=CONFIG_METADATA!$B$4),IF(DATOS!$G7235="EX",1,IF(DATOS!$G7235="OR",--(COUNTIFS(nNIA,DATOS!$A7235,nCURSO,DATOS!$D7235,nESPEC,DATOS!$E7235,nASIG,DATOS!$I7235,nEVAL,"EX")=0),0))))</f>
      </c>
      <c r="H7235">
        <f>IF(DATOS!$G7235&lt;&gt;"EX",0,--(COUNTIFS(nNIA,DATOS!$A7235,nCURSO,DATOS!$D7235,nESPEC,DATOS!$E7235,nASIG,DATOS!$I7235,nEVAL,"OR")=0))</f>
      </c>
      <c r="I7235">
        <f>IF(DATOS!$I7235="","",IFERROR(VLOOKUP(DATOS!$I7235,CONFIG_ASIGNATURAS!$B$2:$J$91,9,FALSE()),""))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IF(DATOS!$A7236="",0,IF(CONFIG_METADATA!$B$4&lt;&gt;"OR+EX",--(DATOS!$G7236=CONFIG_METADATA!$B$4),IF(DATOS!$G7236="EX",1,IF(DATOS!$G7236="OR",--(COUNTIFS(nNIA,DATOS!$A7236,nCURSO,DATOS!$D7236,nESPEC,DATOS!$E7236,nASIG,DATOS!$I7236,nEVAL,"EX")=0),0))))</f>
      </c>
      <c r="H7236">
        <f>IF(DATOS!$G7236&lt;&gt;"EX",0,--(COUNTIFS(nNIA,DATOS!$A7236,nCURSO,DATOS!$D7236,nESPEC,DATOS!$E7236,nASIG,DATOS!$I7236,nEVAL,"OR")=0))</f>
      </c>
      <c r="I7236">
        <f>IF(DATOS!$I7236="","",IFERROR(VLOOKUP(DATOS!$I7236,CONFIG_ASIGNATURAS!$B$2:$J$91,9,FALSE()),""))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IF(DATOS!$A7237="",0,IF(CONFIG_METADATA!$B$4&lt;&gt;"OR+EX",--(DATOS!$G7237=CONFIG_METADATA!$B$4),IF(DATOS!$G7237="EX",1,IF(DATOS!$G7237="OR",--(COUNTIFS(nNIA,DATOS!$A7237,nCURSO,DATOS!$D7237,nESPEC,DATOS!$E7237,nASIG,DATOS!$I7237,nEVAL,"EX")=0),0))))</f>
      </c>
      <c r="H7237">
        <f>IF(DATOS!$G7237&lt;&gt;"EX",0,--(COUNTIFS(nNIA,DATOS!$A7237,nCURSO,DATOS!$D7237,nESPEC,DATOS!$E7237,nASIG,DATOS!$I7237,nEVAL,"OR")=0))</f>
      </c>
      <c r="I7237">
        <f>IF(DATOS!$I7237="","",IFERROR(VLOOKUP(DATOS!$I7237,CONFIG_ASIGNATURAS!$B$2:$J$91,9,FALSE()),""))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IF(DATOS!$A7238="",0,IF(CONFIG_METADATA!$B$4&lt;&gt;"OR+EX",--(DATOS!$G7238=CONFIG_METADATA!$B$4),IF(DATOS!$G7238="EX",1,IF(DATOS!$G7238="OR",--(COUNTIFS(nNIA,DATOS!$A7238,nCURSO,DATOS!$D7238,nESPEC,DATOS!$E7238,nASIG,DATOS!$I7238,nEVAL,"EX")=0),0))))</f>
      </c>
      <c r="H7238">
        <f>IF(DATOS!$G7238&lt;&gt;"EX",0,--(COUNTIFS(nNIA,DATOS!$A7238,nCURSO,DATOS!$D7238,nESPEC,DATOS!$E7238,nASIG,DATOS!$I7238,nEVAL,"OR")=0))</f>
      </c>
      <c r="I7238">
        <f>IF(DATOS!$I7238="","",IFERROR(VLOOKUP(DATOS!$I7238,CONFIG_ASIGNATURAS!$B$2:$J$91,9,FALSE()),""))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IF(DATOS!$A7239="",0,IF(CONFIG_METADATA!$B$4&lt;&gt;"OR+EX",--(DATOS!$G7239=CONFIG_METADATA!$B$4),IF(DATOS!$G7239="EX",1,IF(DATOS!$G7239="OR",--(COUNTIFS(nNIA,DATOS!$A7239,nCURSO,DATOS!$D7239,nESPEC,DATOS!$E7239,nASIG,DATOS!$I7239,nEVAL,"EX")=0),0))))</f>
      </c>
      <c r="H7239">
        <f>IF(DATOS!$G7239&lt;&gt;"EX",0,--(COUNTIFS(nNIA,DATOS!$A7239,nCURSO,DATOS!$D7239,nESPEC,DATOS!$E7239,nASIG,DATOS!$I7239,nEVAL,"OR")=0))</f>
      </c>
      <c r="I7239">
        <f>IF(DATOS!$I7239="","",IFERROR(VLOOKUP(DATOS!$I7239,CONFIG_ASIGNATURAS!$B$2:$J$91,9,FALSE()),""))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IF(DATOS!$A7240="",0,IF(CONFIG_METADATA!$B$4&lt;&gt;"OR+EX",--(DATOS!$G7240=CONFIG_METADATA!$B$4),IF(DATOS!$G7240="EX",1,IF(DATOS!$G7240="OR",--(COUNTIFS(nNIA,DATOS!$A7240,nCURSO,DATOS!$D7240,nESPEC,DATOS!$E7240,nASIG,DATOS!$I7240,nEVAL,"EX")=0),0))))</f>
      </c>
      <c r="H7240">
        <f>IF(DATOS!$G7240&lt;&gt;"EX",0,--(COUNTIFS(nNIA,DATOS!$A7240,nCURSO,DATOS!$D7240,nESPEC,DATOS!$E7240,nASIG,DATOS!$I7240,nEVAL,"OR")=0))</f>
      </c>
      <c r="I7240">
        <f>IF(DATOS!$I7240="","",IFERROR(VLOOKUP(DATOS!$I7240,CONFIG_ASIGNATURAS!$B$2:$J$91,9,FALSE()),""))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IF(DATOS!$A7241="",0,IF(CONFIG_METADATA!$B$4&lt;&gt;"OR+EX",--(DATOS!$G7241=CONFIG_METADATA!$B$4),IF(DATOS!$G7241="EX",1,IF(DATOS!$G7241="OR",--(COUNTIFS(nNIA,DATOS!$A7241,nCURSO,DATOS!$D7241,nESPEC,DATOS!$E7241,nASIG,DATOS!$I7241,nEVAL,"EX")=0),0))))</f>
      </c>
      <c r="H7241">
        <f>IF(DATOS!$G7241&lt;&gt;"EX",0,--(COUNTIFS(nNIA,DATOS!$A7241,nCURSO,DATOS!$D7241,nESPEC,DATOS!$E7241,nASIG,DATOS!$I7241,nEVAL,"OR")=0))</f>
      </c>
      <c r="I7241">
        <f>IF(DATOS!$I7241="","",IFERROR(VLOOKUP(DATOS!$I7241,CONFIG_ASIGNATURAS!$B$2:$J$91,9,FALSE()),""))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IF(DATOS!$A7242="",0,IF(CONFIG_METADATA!$B$4&lt;&gt;"OR+EX",--(DATOS!$G7242=CONFIG_METADATA!$B$4),IF(DATOS!$G7242="EX",1,IF(DATOS!$G7242="OR",--(COUNTIFS(nNIA,DATOS!$A7242,nCURSO,DATOS!$D7242,nESPEC,DATOS!$E7242,nASIG,DATOS!$I7242,nEVAL,"EX")=0),0))))</f>
      </c>
      <c r="H7242">
        <f>IF(DATOS!$G7242&lt;&gt;"EX",0,--(COUNTIFS(nNIA,DATOS!$A7242,nCURSO,DATOS!$D7242,nESPEC,DATOS!$E7242,nASIG,DATOS!$I7242,nEVAL,"OR")=0))</f>
      </c>
      <c r="I7242">
        <f>IF(DATOS!$I7242="","",IFERROR(VLOOKUP(DATOS!$I7242,CONFIG_ASIGNATURAS!$B$2:$J$91,9,FALSE()),""))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IF(DATOS!$A7243="",0,IF(CONFIG_METADATA!$B$4&lt;&gt;"OR+EX",--(DATOS!$G7243=CONFIG_METADATA!$B$4),IF(DATOS!$G7243="EX",1,IF(DATOS!$G7243="OR",--(COUNTIFS(nNIA,DATOS!$A7243,nCURSO,DATOS!$D7243,nESPEC,DATOS!$E7243,nASIG,DATOS!$I7243,nEVAL,"EX")=0),0))))</f>
      </c>
      <c r="H7243">
        <f>IF(DATOS!$G7243&lt;&gt;"EX",0,--(COUNTIFS(nNIA,DATOS!$A7243,nCURSO,DATOS!$D7243,nESPEC,DATOS!$E7243,nASIG,DATOS!$I7243,nEVAL,"OR")=0))</f>
      </c>
      <c r="I7243">
        <f>IF(DATOS!$I7243="","",IFERROR(VLOOKUP(DATOS!$I7243,CONFIG_ASIGNATURAS!$B$2:$J$91,9,FALSE()),""))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IF(DATOS!$A7244="",0,IF(CONFIG_METADATA!$B$4&lt;&gt;"OR+EX",--(DATOS!$G7244=CONFIG_METADATA!$B$4),IF(DATOS!$G7244="EX",1,IF(DATOS!$G7244="OR",--(COUNTIFS(nNIA,DATOS!$A7244,nCURSO,DATOS!$D7244,nESPEC,DATOS!$E7244,nASIG,DATOS!$I7244,nEVAL,"EX")=0),0))))</f>
      </c>
      <c r="H7244">
        <f>IF(DATOS!$G7244&lt;&gt;"EX",0,--(COUNTIFS(nNIA,DATOS!$A7244,nCURSO,DATOS!$D7244,nESPEC,DATOS!$E7244,nASIG,DATOS!$I7244,nEVAL,"OR")=0))</f>
      </c>
      <c r="I7244">
        <f>IF(DATOS!$I7244="","",IFERROR(VLOOKUP(DATOS!$I7244,CONFIG_ASIGNATURAS!$B$2:$J$91,9,FALSE()),""))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IF(DATOS!$A7245="",0,IF(CONFIG_METADATA!$B$4&lt;&gt;"OR+EX",--(DATOS!$G7245=CONFIG_METADATA!$B$4),IF(DATOS!$G7245="EX",1,IF(DATOS!$G7245="OR",--(COUNTIFS(nNIA,DATOS!$A7245,nCURSO,DATOS!$D7245,nESPEC,DATOS!$E7245,nASIG,DATOS!$I7245,nEVAL,"EX")=0),0))))</f>
      </c>
      <c r="H7245">
        <f>IF(DATOS!$G7245&lt;&gt;"EX",0,--(COUNTIFS(nNIA,DATOS!$A7245,nCURSO,DATOS!$D7245,nESPEC,DATOS!$E7245,nASIG,DATOS!$I7245,nEVAL,"OR")=0))</f>
      </c>
      <c r="I7245">
        <f>IF(DATOS!$I7245="","",IFERROR(VLOOKUP(DATOS!$I7245,CONFIG_ASIGNATURAS!$B$2:$J$91,9,FALSE()),""))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IF(DATOS!$A7246="",0,IF(CONFIG_METADATA!$B$4&lt;&gt;"OR+EX",--(DATOS!$G7246=CONFIG_METADATA!$B$4),IF(DATOS!$G7246="EX",1,IF(DATOS!$G7246="OR",--(COUNTIFS(nNIA,DATOS!$A7246,nCURSO,DATOS!$D7246,nESPEC,DATOS!$E7246,nASIG,DATOS!$I7246,nEVAL,"EX")=0),0))))</f>
      </c>
      <c r="H7246">
        <f>IF(DATOS!$G7246&lt;&gt;"EX",0,--(COUNTIFS(nNIA,DATOS!$A7246,nCURSO,DATOS!$D7246,nESPEC,DATOS!$E7246,nASIG,DATOS!$I7246,nEVAL,"OR")=0))</f>
      </c>
      <c r="I7246">
        <f>IF(DATOS!$I7246="","",IFERROR(VLOOKUP(DATOS!$I7246,CONFIG_ASIGNATURAS!$B$2:$J$91,9,FALSE()),""))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IF(DATOS!$A7247="",0,IF(CONFIG_METADATA!$B$4&lt;&gt;"OR+EX",--(DATOS!$G7247=CONFIG_METADATA!$B$4),IF(DATOS!$G7247="EX",1,IF(DATOS!$G7247="OR",--(COUNTIFS(nNIA,DATOS!$A7247,nCURSO,DATOS!$D7247,nESPEC,DATOS!$E7247,nASIG,DATOS!$I7247,nEVAL,"EX")=0),0))))</f>
      </c>
      <c r="H7247">
        <f>IF(DATOS!$G7247&lt;&gt;"EX",0,--(COUNTIFS(nNIA,DATOS!$A7247,nCURSO,DATOS!$D7247,nESPEC,DATOS!$E7247,nASIG,DATOS!$I7247,nEVAL,"OR")=0))</f>
      </c>
      <c r="I7247">
        <f>IF(DATOS!$I7247="","",IFERROR(VLOOKUP(DATOS!$I7247,CONFIG_ASIGNATURAS!$B$2:$J$91,9,FALSE()),""))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IF(DATOS!$A7248="",0,IF(CONFIG_METADATA!$B$4&lt;&gt;"OR+EX",--(DATOS!$G7248=CONFIG_METADATA!$B$4),IF(DATOS!$G7248="EX",1,IF(DATOS!$G7248="OR",--(COUNTIFS(nNIA,DATOS!$A7248,nCURSO,DATOS!$D7248,nESPEC,DATOS!$E7248,nASIG,DATOS!$I7248,nEVAL,"EX")=0),0))))</f>
      </c>
      <c r="H7248">
        <f>IF(DATOS!$G7248&lt;&gt;"EX",0,--(COUNTIFS(nNIA,DATOS!$A7248,nCURSO,DATOS!$D7248,nESPEC,DATOS!$E7248,nASIG,DATOS!$I7248,nEVAL,"OR")=0))</f>
      </c>
      <c r="I7248">
        <f>IF(DATOS!$I7248="","",IFERROR(VLOOKUP(DATOS!$I7248,CONFIG_ASIGNATURAS!$B$2:$J$91,9,FALSE()),""))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IF(DATOS!$A7249="",0,IF(CONFIG_METADATA!$B$4&lt;&gt;"OR+EX",--(DATOS!$G7249=CONFIG_METADATA!$B$4),IF(DATOS!$G7249="EX",1,IF(DATOS!$G7249="OR",--(COUNTIFS(nNIA,DATOS!$A7249,nCURSO,DATOS!$D7249,nESPEC,DATOS!$E7249,nASIG,DATOS!$I7249,nEVAL,"EX")=0),0))))</f>
      </c>
      <c r="H7249">
        <f>IF(DATOS!$G7249&lt;&gt;"EX",0,--(COUNTIFS(nNIA,DATOS!$A7249,nCURSO,DATOS!$D7249,nESPEC,DATOS!$E7249,nASIG,DATOS!$I7249,nEVAL,"OR")=0))</f>
      </c>
      <c r="I7249">
        <f>IF(DATOS!$I7249="","",IFERROR(VLOOKUP(DATOS!$I7249,CONFIG_ASIGNATURAS!$B$2:$J$91,9,FALSE()),""))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IF(DATOS!$A7250="",0,IF(CONFIG_METADATA!$B$4&lt;&gt;"OR+EX",--(DATOS!$G7250=CONFIG_METADATA!$B$4),IF(DATOS!$G7250="EX",1,IF(DATOS!$G7250="OR",--(COUNTIFS(nNIA,DATOS!$A7250,nCURSO,DATOS!$D7250,nESPEC,DATOS!$E7250,nASIG,DATOS!$I7250,nEVAL,"EX")=0),0))))</f>
      </c>
      <c r="H7250">
        <f>IF(DATOS!$G7250&lt;&gt;"EX",0,--(COUNTIFS(nNIA,DATOS!$A7250,nCURSO,DATOS!$D7250,nESPEC,DATOS!$E7250,nASIG,DATOS!$I7250,nEVAL,"OR")=0))</f>
      </c>
      <c r="I7250">
        <f>IF(DATOS!$I7250="","",IFERROR(VLOOKUP(DATOS!$I7250,CONFIG_ASIGNATURAS!$B$2:$J$91,9,FALSE()),""))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IF(DATOS!$A7251="",0,IF(CONFIG_METADATA!$B$4&lt;&gt;"OR+EX",--(DATOS!$G7251=CONFIG_METADATA!$B$4),IF(DATOS!$G7251="EX",1,IF(DATOS!$G7251="OR",--(COUNTIFS(nNIA,DATOS!$A7251,nCURSO,DATOS!$D7251,nESPEC,DATOS!$E7251,nASIG,DATOS!$I7251,nEVAL,"EX")=0),0))))</f>
      </c>
      <c r="H7251">
        <f>IF(DATOS!$G7251&lt;&gt;"EX",0,--(COUNTIFS(nNIA,DATOS!$A7251,nCURSO,DATOS!$D7251,nESPEC,DATOS!$E7251,nASIG,DATOS!$I7251,nEVAL,"OR")=0))</f>
      </c>
      <c r="I7251">
        <f>IF(DATOS!$I7251="","",IFERROR(VLOOKUP(DATOS!$I7251,CONFIG_ASIGNATURAS!$B$2:$J$91,9,FALSE()),""))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IF(DATOS!$A7252="",0,IF(CONFIG_METADATA!$B$4&lt;&gt;"OR+EX",--(DATOS!$G7252=CONFIG_METADATA!$B$4),IF(DATOS!$G7252="EX",1,IF(DATOS!$G7252="OR",--(COUNTIFS(nNIA,DATOS!$A7252,nCURSO,DATOS!$D7252,nESPEC,DATOS!$E7252,nASIG,DATOS!$I7252,nEVAL,"EX")=0),0))))</f>
      </c>
      <c r="H7252">
        <f>IF(DATOS!$G7252&lt;&gt;"EX",0,--(COUNTIFS(nNIA,DATOS!$A7252,nCURSO,DATOS!$D7252,nESPEC,DATOS!$E7252,nASIG,DATOS!$I7252,nEVAL,"OR")=0))</f>
      </c>
      <c r="I7252">
        <f>IF(DATOS!$I7252="","",IFERROR(VLOOKUP(DATOS!$I7252,CONFIG_ASIGNATURAS!$B$2:$J$91,9,FALSE()),""))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IF(DATOS!$A7253="",0,IF(CONFIG_METADATA!$B$4&lt;&gt;"OR+EX",--(DATOS!$G7253=CONFIG_METADATA!$B$4),IF(DATOS!$G7253="EX",1,IF(DATOS!$G7253="OR",--(COUNTIFS(nNIA,DATOS!$A7253,nCURSO,DATOS!$D7253,nESPEC,DATOS!$E7253,nASIG,DATOS!$I7253,nEVAL,"EX")=0),0))))</f>
      </c>
      <c r="H7253">
        <f>IF(DATOS!$G7253&lt;&gt;"EX",0,--(COUNTIFS(nNIA,DATOS!$A7253,nCURSO,DATOS!$D7253,nESPEC,DATOS!$E7253,nASIG,DATOS!$I7253,nEVAL,"OR")=0))</f>
      </c>
      <c r="I7253">
        <f>IF(DATOS!$I7253="","",IFERROR(VLOOKUP(DATOS!$I7253,CONFIG_ASIGNATURAS!$B$2:$J$91,9,FALSE()),""))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IF(DATOS!$A7254="",0,IF(CONFIG_METADATA!$B$4&lt;&gt;"OR+EX",--(DATOS!$G7254=CONFIG_METADATA!$B$4),IF(DATOS!$G7254="EX",1,IF(DATOS!$G7254="OR",--(COUNTIFS(nNIA,DATOS!$A7254,nCURSO,DATOS!$D7254,nESPEC,DATOS!$E7254,nASIG,DATOS!$I7254,nEVAL,"EX")=0),0))))</f>
      </c>
      <c r="H7254">
        <f>IF(DATOS!$G7254&lt;&gt;"EX",0,--(COUNTIFS(nNIA,DATOS!$A7254,nCURSO,DATOS!$D7254,nESPEC,DATOS!$E7254,nASIG,DATOS!$I7254,nEVAL,"OR")=0))</f>
      </c>
      <c r="I7254">
        <f>IF(DATOS!$I7254="","",IFERROR(VLOOKUP(DATOS!$I7254,CONFIG_ASIGNATURAS!$B$2:$J$91,9,FALSE()),""))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IF(DATOS!$A7255="",0,IF(CONFIG_METADATA!$B$4&lt;&gt;"OR+EX",--(DATOS!$G7255=CONFIG_METADATA!$B$4),IF(DATOS!$G7255="EX",1,IF(DATOS!$G7255="OR",--(COUNTIFS(nNIA,DATOS!$A7255,nCURSO,DATOS!$D7255,nESPEC,DATOS!$E7255,nASIG,DATOS!$I7255,nEVAL,"EX")=0),0))))</f>
      </c>
      <c r="H7255">
        <f>IF(DATOS!$G7255&lt;&gt;"EX",0,--(COUNTIFS(nNIA,DATOS!$A7255,nCURSO,DATOS!$D7255,nESPEC,DATOS!$E7255,nASIG,DATOS!$I7255,nEVAL,"OR")=0))</f>
      </c>
      <c r="I7255">
        <f>IF(DATOS!$I7255="","",IFERROR(VLOOKUP(DATOS!$I7255,CONFIG_ASIGNATURAS!$B$2:$J$91,9,FALSE()),""))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IF(DATOS!$A7256="",0,IF(CONFIG_METADATA!$B$4&lt;&gt;"OR+EX",--(DATOS!$G7256=CONFIG_METADATA!$B$4),IF(DATOS!$G7256="EX",1,IF(DATOS!$G7256="OR",--(COUNTIFS(nNIA,DATOS!$A7256,nCURSO,DATOS!$D7256,nESPEC,DATOS!$E7256,nASIG,DATOS!$I7256,nEVAL,"EX")=0),0))))</f>
      </c>
      <c r="H7256">
        <f>IF(DATOS!$G7256&lt;&gt;"EX",0,--(COUNTIFS(nNIA,DATOS!$A7256,nCURSO,DATOS!$D7256,nESPEC,DATOS!$E7256,nASIG,DATOS!$I7256,nEVAL,"OR")=0))</f>
      </c>
      <c r="I7256">
        <f>IF(DATOS!$I7256="","",IFERROR(VLOOKUP(DATOS!$I7256,CONFIG_ASIGNATURAS!$B$2:$J$91,9,FALSE()),""))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IF(DATOS!$A7257="",0,IF(CONFIG_METADATA!$B$4&lt;&gt;"OR+EX",--(DATOS!$G7257=CONFIG_METADATA!$B$4),IF(DATOS!$G7257="EX",1,IF(DATOS!$G7257="OR",--(COUNTIFS(nNIA,DATOS!$A7257,nCURSO,DATOS!$D7257,nESPEC,DATOS!$E7257,nASIG,DATOS!$I7257,nEVAL,"EX")=0),0))))</f>
      </c>
      <c r="H7257">
        <f>IF(DATOS!$G7257&lt;&gt;"EX",0,--(COUNTIFS(nNIA,DATOS!$A7257,nCURSO,DATOS!$D7257,nESPEC,DATOS!$E7257,nASIG,DATOS!$I7257,nEVAL,"OR")=0))</f>
      </c>
      <c r="I7257">
        <f>IF(DATOS!$I7257="","",IFERROR(VLOOKUP(DATOS!$I7257,CONFIG_ASIGNATURAS!$B$2:$J$91,9,FALSE()),""))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IF(DATOS!$A7258="",0,IF(CONFIG_METADATA!$B$4&lt;&gt;"OR+EX",--(DATOS!$G7258=CONFIG_METADATA!$B$4),IF(DATOS!$G7258="EX",1,IF(DATOS!$G7258="OR",--(COUNTIFS(nNIA,DATOS!$A7258,nCURSO,DATOS!$D7258,nESPEC,DATOS!$E7258,nASIG,DATOS!$I7258,nEVAL,"EX")=0),0))))</f>
      </c>
      <c r="H7258">
        <f>IF(DATOS!$G7258&lt;&gt;"EX",0,--(COUNTIFS(nNIA,DATOS!$A7258,nCURSO,DATOS!$D7258,nESPEC,DATOS!$E7258,nASIG,DATOS!$I7258,nEVAL,"OR")=0))</f>
      </c>
      <c r="I7258">
        <f>IF(DATOS!$I7258="","",IFERROR(VLOOKUP(DATOS!$I7258,CONFIG_ASIGNATURAS!$B$2:$J$91,9,FALSE()),""))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IF(DATOS!$A7259="",0,IF(CONFIG_METADATA!$B$4&lt;&gt;"OR+EX",--(DATOS!$G7259=CONFIG_METADATA!$B$4),IF(DATOS!$G7259="EX",1,IF(DATOS!$G7259="OR",--(COUNTIFS(nNIA,DATOS!$A7259,nCURSO,DATOS!$D7259,nESPEC,DATOS!$E7259,nASIG,DATOS!$I7259,nEVAL,"EX")=0),0))))</f>
      </c>
      <c r="H7259">
        <f>IF(DATOS!$G7259&lt;&gt;"EX",0,--(COUNTIFS(nNIA,DATOS!$A7259,nCURSO,DATOS!$D7259,nESPEC,DATOS!$E7259,nASIG,DATOS!$I7259,nEVAL,"OR")=0))</f>
      </c>
      <c r="I7259">
        <f>IF(DATOS!$I7259="","",IFERROR(VLOOKUP(DATOS!$I7259,CONFIG_ASIGNATURAS!$B$2:$J$91,9,FALSE()),""))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IF(DATOS!$A7260="",0,IF(CONFIG_METADATA!$B$4&lt;&gt;"OR+EX",--(DATOS!$G7260=CONFIG_METADATA!$B$4),IF(DATOS!$G7260="EX",1,IF(DATOS!$G7260="OR",--(COUNTIFS(nNIA,DATOS!$A7260,nCURSO,DATOS!$D7260,nESPEC,DATOS!$E7260,nASIG,DATOS!$I7260,nEVAL,"EX")=0),0))))</f>
      </c>
      <c r="H7260">
        <f>IF(DATOS!$G7260&lt;&gt;"EX",0,--(COUNTIFS(nNIA,DATOS!$A7260,nCURSO,DATOS!$D7260,nESPEC,DATOS!$E7260,nASIG,DATOS!$I7260,nEVAL,"OR")=0))</f>
      </c>
      <c r="I7260">
        <f>IF(DATOS!$I7260="","",IFERROR(VLOOKUP(DATOS!$I7260,CONFIG_ASIGNATURAS!$B$2:$J$91,9,FALSE()),""))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IF(DATOS!$A7261="",0,IF(CONFIG_METADATA!$B$4&lt;&gt;"OR+EX",--(DATOS!$G7261=CONFIG_METADATA!$B$4),IF(DATOS!$G7261="EX",1,IF(DATOS!$G7261="OR",--(COUNTIFS(nNIA,DATOS!$A7261,nCURSO,DATOS!$D7261,nESPEC,DATOS!$E7261,nASIG,DATOS!$I7261,nEVAL,"EX")=0),0))))</f>
      </c>
      <c r="H7261">
        <f>IF(DATOS!$G7261&lt;&gt;"EX",0,--(COUNTIFS(nNIA,DATOS!$A7261,nCURSO,DATOS!$D7261,nESPEC,DATOS!$E7261,nASIG,DATOS!$I7261,nEVAL,"OR")=0))</f>
      </c>
      <c r="I7261">
        <f>IF(DATOS!$I7261="","",IFERROR(VLOOKUP(DATOS!$I7261,CONFIG_ASIGNATURAS!$B$2:$J$91,9,FALSE()),""))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IF(DATOS!$A7262="",0,IF(CONFIG_METADATA!$B$4&lt;&gt;"OR+EX",--(DATOS!$G7262=CONFIG_METADATA!$B$4),IF(DATOS!$G7262="EX",1,IF(DATOS!$G7262="OR",--(COUNTIFS(nNIA,DATOS!$A7262,nCURSO,DATOS!$D7262,nESPEC,DATOS!$E7262,nASIG,DATOS!$I7262,nEVAL,"EX")=0),0))))</f>
      </c>
      <c r="H7262">
        <f>IF(DATOS!$G7262&lt;&gt;"EX",0,--(COUNTIFS(nNIA,DATOS!$A7262,nCURSO,DATOS!$D7262,nESPEC,DATOS!$E7262,nASIG,DATOS!$I7262,nEVAL,"OR")=0))</f>
      </c>
      <c r="I7262">
        <f>IF(DATOS!$I7262="","",IFERROR(VLOOKUP(DATOS!$I7262,CONFIG_ASIGNATURAS!$B$2:$J$91,9,FALSE()),""))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IF(DATOS!$A7263="",0,IF(CONFIG_METADATA!$B$4&lt;&gt;"OR+EX",--(DATOS!$G7263=CONFIG_METADATA!$B$4),IF(DATOS!$G7263="EX",1,IF(DATOS!$G7263="OR",--(COUNTIFS(nNIA,DATOS!$A7263,nCURSO,DATOS!$D7263,nESPEC,DATOS!$E7263,nASIG,DATOS!$I7263,nEVAL,"EX")=0),0))))</f>
      </c>
      <c r="H7263">
        <f>IF(DATOS!$G7263&lt;&gt;"EX",0,--(COUNTIFS(nNIA,DATOS!$A7263,nCURSO,DATOS!$D7263,nESPEC,DATOS!$E7263,nASIG,DATOS!$I7263,nEVAL,"OR")=0))</f>
      </c>
      <c r="I7263">
        <f>IF(DATOS!$I7263="","",IFERROR(VLOOKUP(DATOS!$I7263,CONFIG_ASIGNATURAS!$B$2:$J$91,9,FALSE()),""))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IF(DATOS!$A7264="",0,IF(CONFIG_METADATA!$B$4&lt;&gt;"OR+EX",--(DATOS!$G7264=CONFIG_METADATA!$B$4),IF(DATOS!$G7264="EX",1,IF(DATOS!$G7264="OR",--(COUNTIFS(nNIA,DATOS!$A7264,nCURSO,DATOS!$D7264,nESPEC,DATOS!$E7264,nASIG,DATOS!$I7264,nEVAL,"EX")=0),0))))</f>
      </c>
      <c r="H7264">
        <f>IF(DATOS!$G7264&lt;&gt;"EX",0,--(COUNTIFS(nNIA,DATOS!$A7264,nCURSO,DATOS!$D7264,nESPEC,DATOS!$E7264,nASIG,DATOS!$I7264,nEVAL,"OR")=0))</f>
      </c>
      <c r="I7264">
        <f>IF(DATOS!$I7264="","",IFERROR(VLOOKUP(DATOS!$I7264,CONFIG_ASIGNATURAS!$B$2:$J$91,9,FALSE()),""))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IF(DATOS!$A7265="",0,IF(CONFIG_METADATA!$B$4&lt;&gt;"OR+EX",--(DATOS!$G7265=CONFIG_METADATA!$B$4),IF(DATOS!$G7265="EX",1,IF(DATOS!$G7265="OR",--(COUNTIFS(nNIA,DATOS!$A7265,nCURSO,DATOS!$D7265,nESPEC,DATOS!$E7265,nASIG,DATOS!$I7265,nEVAL,"EX")=0),0))))</f>
      </c>
      <c r="H7265">
        <f>IF(DATOS!$G7265&lt;&gt;"EX",0,--(COUNTIFS(nNIA,DATOS!$A7265,nCURSO,DATOS!$D7265,nESPEC,DATOS!$E7265,nASIG,DATOS!$I7265,nEVAL,"OR")=0))</f>
      </c>
      <c r="I7265">
        <f>IF(DATOS!$I7265="","",IFERROR(VLOOKUP(DATOS!$I7265,CONFIG_ASIGNATURAS!$B$2:$J$91,9,FALSE()),""))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IF(DATOS!$A7266="",0,IF(CONFIG_METADATA!$B$4&lt;&gt;"OR+EX",--(DATOS!$G7266=CONFIG_METADATA!$B$4),IF(DATOS!$G7266="EX",1,IF(DATOS!$G7266="OR",--(COUNTIFS(nNIA,DATOS!$A7266,nCURSO,DATOS!$D7266,nESPEC,DATOS!$E7266,nASIG,DATOS!$I7266,nEVAL,"EX")=0),0))))</f>
      </c>
      <c r="H7266">
        <f>IF(DATOS!$G7266&lt;&gt;"EX",0,--(COUNTIFS(nNIA,DATOS!$A7266,nCURSO,DATOS!$D7266,nESPEC,DATOS!$E7266,nASIG,DATOS!$I7266,nEVAL,"OR")=0))</f>
      </c>
      <c r="I7266">
        <f>IF(DATOS!$I7266="","",IFERROR(VLOOKUP(DATOS!$I7266,CONFIG_ASIGNATURAS!$B$2:$J$91,9,FALSE()),""))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IF(DATOS!$A7267="",0,IF(CONFIG_METADATA!$B$4&lt;&gt;"OR+EX",--(DATOS!$G7267=CONFIG_METADATA!$B$4),IF(DATOS!$G7267="EX",1,IF(DATOS!$G7267="OR",--(COUNTIFS(nNIA,DATOS!$A7267,nCURSO,DATOS!$D7267,nESPEC,DATOS!$E7267,nASIG,DATOS!$I7267,nEVAL,"EX")=0),0))))</f>
      </c>
      <c r="H7267">
        <f>IF(DATOS!$G7267&lt;&gt;"EX",0,--(COUNTIFS(nNIA,DATOS!$A7267,nCURSO,DATOS!$D7267,nESPEC,DATOS!$E7267,nASIG,DATOS!$I7267,nEVAL,"OR")=0))</f>
      </c>
      <c r="I7267">
        <f>IF(DATOS!$I7267="","",IFERROR(VLOOKUP(DATOS!$I7267,CONFIG_ASIGNATURAS!$B$2:$J$91,9,FALSE()),""))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IF(DATOS!$A7268="",0,IF(CONFIG_METADATA!$B$4&lt;&gt;"OR+EX",--(DATOS!$G7268=CONFIG_METADATA!$B$4),IF(DATOS!$G7268="EX",1,IF(DATOS!$G7268="OR",--(COUNTIFS(nNIA,DATOS!$A7268,nCURSO,DATOS!$D7268,nESPEC,DATOS!$E7268,nASIG,DATOS!$I7268,nEVAL,"EX")=0),0))))</f>
      </c>
      <c r="H7268">
        <f>IF(DATOS!$G7268&lt;&gt;"EX",0,--(COUNTIFS(nNIA,DATOS!$A7268,nCURSO,DATOS!$D7268,nESPEC,DATOS!$E7268,nASIG,DATOS!$I7268,nEVAL,"OR")=0))</f>
      </c>
      <c r="I7268">
        <f>IF(DATOS!$I7268="","",IFERROR(VLOOKUP(DATOS!$I7268,CONFIG_ASIGNATURAS!$B$2:$J$91,9,FALSE()),""))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IF(DATOS!$A7269="",0,IF(CONFIG_METADATA!$B$4&lt;&gt;"OR+EX",--(DATOS!$G7269=CONFIG_METADATA!$B$4),IF(DATOS!$G7269="EX",1,IF(DATOS!$G7269="OR",--(COUNTIFS(nNIA,DATOS!$A7269,nCURSO,DATOS!$D7269,nESPEC,DATOS!$E7269,nASIG,DATOS!$I7269,nEVAL,"EX")=0),0))))</f>
      </c>
      <c r="H7269">
        <f>IF(DATOS!$G7269&lt;&gt;"EX",0,--(COUNTIFS(nNIA,DATOS!$A7269,nCURSO,DATOS!$D7269,nESPEC,DATOS!$E7269,nASIG,DATOS!$I7269,nEVAL,"OR")=0))</f>
      </c>
      <c r="I7269">
        <f>IF(DATOS!$I7269="","",IFERROR(VLOOKUP(DATOS!$I7269,CONFIG_ASIGNATURAS!$B$2:$J$91,9,FALSE()),""))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IF(DATOS!$A7270="",0,IF(CONFIG_METADATA!$B$4&lt;&gt;"OR+EX",--(DATOS!$G7270=CONFIG_METADATA!$B$4),IF(DATOS!$G7270="EX",1,IF(DATOS!$G7270="OR",--(COUNTIFS(nNIA,DATOS!$A7270,nCURSO,DATOS!$D7270,nESPEC,DATOS!$E7270,nASIG,DATOS!$I7270,nEVAL,"EX")=0),0))))</f>
      </c>
      <c r="H7270">
        <f>IF(DATOS!$G7270&lt;&gt;"EX",0,--(COUNTIFS(nNIA,DATOS!$A7270,nCURSO,DATOS!$D7270,nESPEC,DATOS!$E7270,nASIG,DATOS!$I7270,nEVAL,"OR")=0))</f>
      </c>
      <c r="I7270">
        <f>IF(DATOS!$I7270="","",IFERROR(VLOOKUP(DATOS!$I7270,CONFIG_ASIGNATURAS!$B$2:$J$91,9,FALSE()),""))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IF(DATOS!$A7271="",0,IF(CONFIG_METADATA!$B$4&lt;&gt;"OR+EX",--(DATOS!$G7271=CONFIG_METADATA!$B$4),IF(DATOS!$G7271="EX",1,IF(DATOS!$G7271="OR",--(COUNTIFS(nNIA,DATOS!$A7271,nCURSO,DATOS!$D7271,nESPEC,DATOS!$E7271,nASIG,DATOS!$I7271,nEVAL,"EX")=0),0))))</f>
      </c>
      <c r="H7271">
        <f>IF(DATOS!$G7271&lt;&gt;"EX",0,--(COUNTIFS(nNIA,DATOS!$A7271,nCURSO,DATOS!$D7271,nESPEC,DATOS!$E7271,nASIG,DATOS!$I7271,nEVAL,"OR")=0))</f>
      </c>
      <c r="I7271">
        <f>IF(DATOS!$I7271="","",IFERROR(VLOOKUP(DATOS!$I7271,CONFIG_ASIGNATURAS!$B$2:$J$91,9,FALSE()),""))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IF(DATOS!$A7272="",0,IF(CONFIG_METADATA!$B$4&lt;&gt;"OR+EX",--(DATOS!$G7272=CONFIG_METADATA!$B$4),IF(DATOS!$G7272="EX",1,IF(DATOS!$G7272="OR",--(COUNTIFS(nNIA,DATOS!$A7272,nCURSO,DATOS!$D7272,nESPEC,DATOS!$E7272,nASIG,DATOS!$I7272,nEVAL,"EX")=0),0))))</f>
      </c>
      <c r="H7272">
        <f>IF(DATOS!$G7272&lt;&gt;"EX",0,--(COUNTIFS(nNIA,DATOS!$A7272,nCURSO,DATOS!$D7272,nESPEC,DATOS!$E7272,nASIG,DATOS!$I7272,nEVAL,"OR")=0))</f>
      </c>
      <c r="I7272">
        <f>IF(DATOS!$I7272="","",IFERROR(VLOOKUP(DATOS!$I7272,CONFIG_ASIGNATURAS!$B$2:$J$91,9,FALSE()),""))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IF(DATOS!$A7273="",0,IF(CONFIG_METADATA!$B$4&lt;&gt;"OR+EX",--(DATOS!$G7273=CONFIG_METADATA!$B$4),IF(DATOS!$G7273="EX",1,IF(DATOS!$G7273="OR",--(COUNTIFS(nNIA,DATOS!$A7273,nCURSO,DATOS!$D7273,nESPEC,DATOS!$E7273,nASIG,DATOS!$I7273,nEVAL,"EX")=0),0))))</f>
      </c>
      <c r="H7273">
        <f>IF(DATOS!$G7273&lt;&gt;"EX",0,--(COUNTIFS(nNIA,DATOS!$A7273,nCURSO,DATOS!$D7273,nESPEC,DATOS!$E7273,nASIG,DATOS!$I7273,nEVAL,"OR")=0))</f>
      </c>
      <c r="I7273">
        <f>IF(DATOS!$I7273="","",IFERROR(VLOOKUP(DATOS!$I7273,CONFIG_ASIGNATURAS!$B$2:$J$91,9,FALSE()),""))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IF(DATOS!$A7274="",0,IF(CONFIG_METADATA!$B$4&lt;&gt;"OR+EX",--(DATOS!$G7274=CONFIG_METADATA!$B$4),IF(DATOS!$G7274="EX",1,IF(DATOS!$G7274="OR",--(COUNTIFS(nNIA,DATOS!$A7274,nCURSO,DATOS!$D7274,nESPEC,DATOS!$E7274,nASIG,DATOS!$I7274,nEVAL,"EX")=0),0))))</f>
      </c>
      <c r="H7274">
        <f>IF(DATOS!$G7274&lt;&gt;"EX",0,--(COUNTIFS(nNIA,DATOS!$A7274,nCURSO,DATOS!$D7274,nESPEC,DATOS!$E7274,nASIG,DATOS!$I7274,nEVAL,"OR")=0))</f>
      </c>
      <c r="I7274">
        <f>IF(DATOS!$I7274="","",IFERROR(VLOOKUP(DATOS!$I7274,CONFIG_ASIGNATURAS!$B$2:$J$91,9,FALSE()),""))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IF(DATOS!$A7275="",0,IF(CONFIG_METADATA!$B$4&lt;&gt;"OR+EX",--(DATOS!$G7275=CONFIG_METADATA!$B$4),IF(DATOS!$G7275="EX",1,IF(DATOS!$G7275="OR",--(COUNTIFS(nNIA,DATOS!$A7275,nCURSO,DATOS!$D7275,nESPEC,DATOS!$E7275,nASIG,DATOS!$I7275,nEVAL,"EX")=0),0))))</f>
      </c>
      <c r="H7275">
        <f>IF(DATOS!$G7275&lt;&gt;"EX",0,--(COUNTIFS(nNIA,DATOS!$A7275,nCURSO,DATOS!$D7275,nESPEC,DATOS!$E7275,nASIG,DATOS!$I7275,nEVAL,"OR")=0))</f>
      </c>
      <c r="I7275">
        <f>IF(DATOS!$I7275="","",IFERROR(VLOOKUP(DATOS!$I7275,CONFIG_ASIGNATURAS!$B$2:$J$91,9,FALSE()),""))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IF(DATOS!$A7276="",0,IF(CONFIG_METADATA!$B$4&lt;&gt;"OR+EX",--(DATOS!$G7276=CONFIG_METADATA!$B$4),IF(DATOS!$G7276="EX",1,IF(DATOS!$G7276="OR",--(COUNTIFS(nNIA,DATOS!$A7276,nCURSO,DATOS!$D7276,nESPEC,DATOS!$E7276,nASIG,DATOS!$I7276,nEVAL,"EX")=0),0))))</f>
      </c>
      <c r="H7276">
        <f>IF(DATOS!$G7276&lt;&gt;"EX",0,--(COUNTIFS(nNIA,DATOS!$A7276,nCURSO,DATOS!$D7276,nESPEC,DATOS!$E7276,nASIG,DATOS!$I7276,nEVAL,"OR")=0))</f>
      </c>
      <c r="I7276">
        <f>IF(DATOS!$I7276="","",IFERROR(VLOOKUP(DATOS!$I7276,CONFIG_ASIGNATURAS!$B$2:$J$91,9,FALSE()),""))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IF(DATOS!$A7277="",0,IF(CONFIG_METADATA!$B$4&lt;&gt;"OR+EX",--(DATOS!$G7277=CONFIG_METADATA!$B$4),IF(DATOS!$G7277="EX",1,IF(DATOS!$G7277="OR",--(COUNTIFS(nNIA,DATOS!$A7277,nCURSO,DATOS!$D7277,nESPEC,DATOS!$E7277,nASIG,DATOS!$I7277,nEVAL,"EX")=0),0))))</f>
      </c>
      <c r="H7277">
        <f>IF(DATOS!$G7277&lt;&gt;"EX",0,--(COUNTIFS(nNIA,DATOS!$A7277,nCURSO,DATOS!$D7277,nESPEC,DATOS!$E7277,nASIG,DATOS!$I7277,nEVAL,"OR")=0))</f>
      </c>
      <c r="I7277">
        <f>IF(DATOS!$I7277="","",IFERROR(VLOOKUP(DATOS!$I7277,CONFIG_ASIGNATURAS!$B$2:$J$91,9,FALSE()),""))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IF(DATOS!$A7278="",0,IF(CONFIG_METADATA!$B$4&lt;&gt;"OR+EX",--(DATOS!$G7278=CONFIG_METADATA!$B$4),IF(DATOS!$G7278="EX",1,IF(DATOS!$G7278="OR",--(COUNTIFS(nNIA,DATOS!$A7278,nCURSO,DATOS!$D7278,nESPEC,DATOS!$E7278,nASIG,DATOS!$I7278,nEVAL,"EX")=0),0))))</f>
      </c>
      <c r="H7278">
        <f>IF(DATOS!$G7278&lt;&gt;"EX",0,--(COUNTIFS(nNIA,DATOS!$A7278,nCURSO,DATOS!$D7278,nESPEC,DATOS!$E7278,nASIG,DATOS!$I7278,nEVAL,"OR")=0))</f>
      </c>
      <c r="I7278">
        <f>IF(DATOS!$I7278="","",IFERROR(VLOOKUP(DATOS!$I7278,CONFIG_ASIGNATURAS!$B$2:$J$91,9,FALSE()),""))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IF(DATOS!$A7279="",0,IF(CONFIG_METADATA!$B$4&lt;&gt;"OR+EX",--(DATOS!$G7279=CONFIG_METADATA!$B$4),IF(DATOS!$G7279="EX",1,IF(DATOS!$G7279="OR",--(COUNTIFS(nNIA,DATOS!$A7279,nCURSO,DATOS!$D7279,nESPEC,DATOS!$E7279,nASIG,DATOS!$I7279,nEVAL,"EX")=0),0))))</f>
      </c>
      <c r="H7279">
        <f>IF(DATOS!$G7279&lt;&gt;"EX",0,--(COUNTIFS(nNIA,DATOS!$A7279,nCURSO,DATOS!$D7279,nESPEC,DATOS!$E7279,nASIG,DATOS!$I7279,nEVAL,"OR")=0))</f>
      </c>
      <c r="I7279">
        <f>IF(DATOS!$I7279="","",IFERROR(VLOOKUP(DATOS!$I7279,CONFIG_ASIGNATURAS!$B$2:$J$91,9,FALSE()),""))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IF(DATOS!$A7280="",0,IF(CONFIG_METADATA!$B$4&lt;&gt;"OR+EX",--(DATOS!$G7280=CONFIG_METADATA!$B$4),IF(DATOS!$G7280="EX",1,IF(DATOS!$G7280="OR",--(COUNTIFS(nNIA,DATOS!$A7280,nCURSO,DATOS!$D7280,nESPEC,DATOS!$E7280,nASIG,DATOS!$I7280,nEVAL,"EX")=0),0))))</f>
      </c>
      <c r="H7280">
        <f>IF(DATOS!$G7280&lt;&gt;"EX",0,--(COUNTIFS(nNIA,DATOS!$A7280,nCURSO,DATOS!$D7280,nESPEC,DATOS!$E7280,nASIG,DATOS!$I7280,nEVAL,"OR")=0))</f>
      </c>
      <c r="I7280">
        <f>IF(DATOS!$I7280="","",IFERROR(VLOOKUP(DATOS!$I7280,CONFIG_ASIGNATURAS!$B$2:$J$91,9,FALSE()),""))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IF(DATOS!$A7281="",0,IF(CONFIG_METADATA!$B$4&lt;&gt;"OR+EX",--(DATOS!$G7281=CONFIG_METADATA!$B$4),IF(DATOS!$G7281="EX",1,IF(DATOS!$G7281="OR",--(COUNTIFS(nNIA,DATOS!$A7281,nCURSO,DATOS!$D7281,nESPEC,DATOS!$E7281,nASIG,DATOS!$I7281,nEVAL,"EX")=0),0))))</f>
      </c>
      <c r="H7281">
        <f>IF(DATOS!$G7281&lt;&gt;"EX",0,--(COUNTIFS(nNIA,DATOS!$A7281,nCURSO,DATOS!$D7281,nESPEC,DATOS!$E7281,nASIG,DATOS!$I7281,nEVAL,"OR")=0))</f>
      </c>
      <c r="I7281">
        <f>IF(DATOS!$I7281="","",IFERROR(VLOOKUP(DATOS!$I7281,CONFIG_ASIGNATURAS!$B$2:$J$91,9,FALSE()),""))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IF(DATOS!$A7282="",0,IF(CONFIG_METADATA!$B$4&lt;&gt;"OR+EX",--(DATOS!$G7282=CONFIG_METADATA!$B$4),IF(DATOS!$G7282="EX",1,IF(DATOS!$G7282="OR",--(COUNTIFS(nNIA,DATOS!$A7282,nCURSO,DATOS!$D7282,nESPEC,DATOS!$E7282,nASIG,DATOS!$I7282,nEVAL,"EX")=0),0))))</f>
      </c>
      <c r="H7282">
        <f>IF(DATOS!$G7282&lt;&gt;"EX",0,--(COUNTIFS(nNIA,DATOS!$A7282,nCURSO,DATOS!$D7282,nESPEC,DATOS!$E7282,nASIG,DATOS!$I7282,nEVAL,"OR")=0))</f>
      </c>
      <c r="I7282">
        <f>IF(DATOS!$I7282="","",IFERROR(VLOOKUP(DATOS!$I7282,CONFIG_ASIGNATURAS!$B$2:$J$91,9,FALSE()),""))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IF(DATOS!$A7283="",0,IF(CONFIG_METADATA!$B$4&lt;&gt;"OR+EX",--(DATOS!$G7283=CONFIG_METADATA!$B$4),IF(DATOS!$G7283="EX",1,IF(DATOS!$G7283="OR",--(COUNTIFS(nNIA,DATOS!$A7283,nCURSO,DATOS!$D7283,nESPEC,DATOS!$E7283,nASIG,DATOS!$I7283,nEVAL,"EX")=0),0))))</f>
      </c>
      <c r="H7283">
        <f>IF(DATOS!$G7283&lt;&gt;"EX",0,--(COUNTIFS(nNIA,DATOS!$A7283,nCURSO,DATOS!$D7283,nESPEC,DATOS!$E7283,nASIG,DATOS!$I7283,nEVAL,"OR")=0))</f>
      </c>
      <c r="I7283">
        <f>IF(DATOS!$I7283="","",IFERROR(VLOOKUP(DATOS!$I7283,CONFIG_ASIGNATURAS!$B$2:$J$91,9,FALSE()),""))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IF(DATOS!$A7284="",0,IF(CONFIG_METADATA!$B$4&lt;&gt;"OR+EX",--(DATOS!$G7284=CONFIG_METADATA!$B$4),IF(DATOS!$G7284="EX",1,IF(DATOS!$G7284="OR",--(COUNTIFS(nNIA,DATOS!$A7284,nCURSO,DATOS!$D7284,nESPEC,DATOS!$E7284,nASIG,DATOS!$I7284,nEVAL,"EX")=0),0))))</f>
      </c>
      <c r="H7284">
        <f>IF(DATOS!$G7284&lt;&gt;"EX",0,--(COUNTIFS(nNIA,DATOS!$A7284,nCURSO,DATOS!$D7284,nESPEC,DATOS!$E7284,nASIG,DATOS!$I7284,nEVAL,"OR")=0))</f>
      </c>
      <c r="I7284">
        <f>IF(DATOS!$I7284="","",IFERROR(VLOOKUP(DATOS!$I7284,CONFIG_ASIGNATURAS!$B$2:$J$91,9,FALSE()),""))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IF(DATOS!$A7285="",0,IF(CONFIG_METADATA!$B$4&lt;&gt;"OR+EX",--(DATOS!$G7285=CONFIG_METADATA!$B$4),IF(DATOS!$G7285="EX",1,IF(DATOS!$G7285="OR",--(COUNTIFS(nNIA,DATOS!$A7285,nCURSO,DATOS!$D7285,nESPEC,DATOS!$E7285,nASIG,DATOS!$I7285,nEVAL,"EX")=0),0))))</f>
      </c>
      <c r="H7285">
        <f>IF(DATOS!$G7285&lt;&gt;"EX",0,--(COUNTIFS(nNIA,DATOS!$A7285,nCURSO,DATOS!$D7285,nESPEC,DATOS!$E7285,nASIG,DATOS!$I7285,nEVAL,"OR")=0))</f>
      </c>
      <c r="I7285">
        <f>IF(DATOS!$I7285="","",IFERROR(VLOOKUP(DATOS!$I7285,CONFIG_ASIGNATURAS!$B$2:$J$91,9,FALSE()),""))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IF(DATOS!$A7286="",0,IF(CONFIG_METADATA!$B$4&lt;&gt;"OR+EX",--(DATOS!$G7286=CONFIG_METADATA!$B$4),IF(DATOS!$G7286="EX",1,IF(DATOS!$G7286="OR",--(COUNTIFS(nNIA,DATOS!$A7286,nCURSO,DATOS!$D7286,nESPEC,DATOS!$E7286,nASIG,DATOS!$I7286,nEVAL,"EX")=0),0))))</f>
      </c>
      <c r="H7286">
        <f>IF(DATOS!$G7286&lt;&gt;"EX",0,--(COUNTIFS(nNIA,DATOS!$A7286,nCURSO,DATOS!$D7286,nESPEC,DATOS!$E7286,nASIG,DATOS!$I7286,nEVAL,"OR")=0))</f>
      </c>
      <c r="I7286">
        <f>IF(DATOS!$I7286="","",IFERROR(VLOOKUP(DATOS!$I7286,CONFIG_ASIGNATURAS!$B$2:$J$91,9,FALSE()),""))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IF(DATOS!$A7287="",0,IF(CONFIG_METADATA!$B$4&lt;&gt;"OR+EX",--(DATOS!$G7287=CONFIG_METADATA!$B$4),IF(DATOS!$G7287="EX",1,IF(DATOS!$G7287="OR",--(COUNTIFS(nNIA,DATOS!$A7287,nCURSO,DATOS!$D7287,nESPEC,DATOS!$E7287,nASIG,DATOS!$I7287,nEVAL,"EX")=0),0))))</f>
      </c>
      <c r="H7287">
        <f>IF(DATOS!$G7287&lt;&gt;"EX",0,--(COUNTIFS(nNIA,DATOS!$A7287,nCURSO,DATOS!$D7287,nESPEC,DATOS!$E7287,nASIG,DATOS!$I7287,nEVAL,"OR")=0))</f>
      </c>
      <c r="I7287">
        <f>IF(DATOS!$I7287="","",IFERROR(VLOOKUP(DATOS!$I7287,CONFIG_ASIGNATURAS!$B$2:$J$91,9,FALSE()),""))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IF(DATOS!$A7288="",0,IF(CONFIG_METADATA!$B$4&lt;&gt;"OR+EX",--(DATOS!$G7288=CONFIG_METADATA!$B$4),IF(DATOS!$G7288="EX",1,IF(DATOS!$G7288="OR",--(COUNTIFS(nNIA,DATOS!$A7288,nCURSO,DATOS!$D7288,nESPEC,DATOS!$E7288,nASIG,DATOS!$I7288,nEVAL,"EX")=0),0))))</f>
      </c>
      <c r="H7288">
        <f>IF(DATOS!$G7288&lt;&gt;"EX",0,--(COUNTIFS(nNIA,DATOS!$A7288,nCURSO,DATOS!$D7288,nESPEC,DATOS!$E7288,nASIG,DATOS!$I7288,nEVAL,"OR")=0))</f>
      </c>
      <c r="I7288">
        <f>IF(DATOS!$I7288="","",IFERROR(VLOOKUP(DATOS!$I7288,CONFIG_ASIGNATURAS!$B$2:$J$91,9,FALSE()),""))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IF(DATOS!$A7289="",0,IF(CONFIG_METADATA!$B$4&lt;&gt;"OR+EX",--(DATOS!$G7289=CONFIG_METADATA!$B$4),IF(DATOS!$G7289="EX",1,IF(DATOS!$G7289="OR",--(COUNTIFS(nNIA,DATOS!$A7289,nCURSO,DATOS!$D7289,nESPEC,DATOS!$E7289,nASIG,DATOS!$I7289,nEVAL,"EX")=0),0))))</f>
      </c>
      <c r="H7289">
        <f>IF(DATOS!$G7289&lt;&gt;"EX",0,--(COUNTIFS(nNIA,DATOS!$A7289,nCURSO,DATOS!$D7289,nESPEC,DATOS!$E7289,nASIG,DATOS!$I7289,nEVAL,"OR")=0))</f>
      </c>
      <c r="I7289">
        <f>IF(DATOS!$I7289="","",IFERROR(VLOOKUP(DATOS!$I7289,CONFIG_ASIGNATURAS!$B$2:$J$91,9,FALSE()),""))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IF(DATOS!$A7290="",0,IF(CONFIG_METADATA!$B$4&lt;&gt;"OR+EX",--(DATOS!$G7290=CONFIG_METADATA!$B$4),IF(DATOS!$G7290="EX",1,IF(DATOS!$G7290="OR",--(COUNTIFS(nNIA,DATOS!$A7290,nCURSO,DATOS!$D7290,nESPEC,DATOS!$E7290,nASIG,DATOS!$I7290,nEVAL,"EX")=0),0))))</f>
      </c>
      <c r="H7290">
        <f>IF(DATOS!$G7290&lt;&gt;"EX",0,--(COUNTIFS(nNIA,DATOS!$A7290,nCURSO,DATOS!$D7290,nESPEC,DATOS!$E7290,nASIG,DATOS!$I7290,nEVAL,"OR")=0))</f>
      </c>
      <c r="I7290">
        <f>IF(DATOS!$I7290="","",IFERROR(VLOOKUP(DATOS!$I7290,CONFIG_ASIGNATURAS!$B$2:$J$91,9,FALSE()),""))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IF(DATOS!$A7291="",0,IF(CONFIG_METADATA!$B$4&lt;&gt;"OR+EX",--(DATOS!$G7291=CONFIG_METADATA!$B$4),IF(DATOS!$G7291="EX",1,IF(DATOS!$G7291="OR",--(COUNTIFS(nNIA,DATOS!$A7291,nCURSO,DATOS!$D7291,nESPEC,DATOS!$E7291,nASIG,DATOS!$I7291,nEVAL,"EX")=0),0))))</f>
      </c>
      <c r="H7291">
        <f>IF(DATOS!$G7291&lt;&gt;"EX",0,--(COUNTIFS(nNIA,DATOS!$A7291,nCURSO,DATOS!$D7291,nESPEC,DATOS!$E7291,nASIG,DATOS!$I7291,nEVAL,"OR")=0))</f>
      </c>
      <c r="I7291">
        <f>IF(DATOS!$I7291="","",IFERROR(VLOOKUP(DATOS!$I7291,CONFIG_ASIGNATURAS!$B$2:$J$91,9,FALSE()),""))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IF(DATOS!$A7292="",0,IF(CONFIG_METADATA!$B$4&lt;&gt;"OR+EX",--(DATOS!$G7292=CONFIG_METADATA!$B$4),IF(DATOS!$G7292="EX",1,IF(DATOS!$G7292="OR",--(COUNTIFS(nNIA,DATOS!$A7292,nCURSO,DATOS!$D7292,nESPEC,DATOS!$E7292,nASIG,DATOS!$I7292,nEVAL,"EX")=0),0))))</f>
      </c>
      <c r="H7292">
        <f>IF(DATOS!$G7292&lt;&gt;"EX",0,--(COUNTIFS(nNIA,DATOS!$A7292,nCURSO,DATOS!$D7292,nESPEC,DATOS!$E7292,nASIG,DATOS!$I7292,nEVAL,"OR")=0))</f>
      </c>
      <c r="I7292">
        <f>IF(DATOS!$I7292="","",IFERROR(VLOOKUP(DATOS!$I7292,CONFIG_ASIGNATURAS!$B$2:$J$91,9,FALSE()),""))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IF(DATOS!$A7293="",0,IF(CONFIG_METADATA!$B$4&lt;&gt;"OR+EX",--(DATOS!$G7293=CONFIG_METADATA!$B$4),IF(DATOS!$G7293="EX",1,IF(DATOS!$G7293="OR",--(COUNTIFS(nNIA,DATOS!$A7293,nCURSO,DATOS!$D7293,nESPEC,DATOS!$E7293,nASIG,DATOS!$I7293,nEVAL,"EX")=0),0))))</f>
      </c>
      <c r="H7293">
        <f>IF(DATOS!$G7293&lt;&gt;"EX",0,--(COUNTIFS(nNIA,DATOS!$A7293,nCURSO,DATOS!$D7293,nESPEC,DATOS!$E7293,nASIG,DATOS!$I7293,nEVAL,"OR")=0))</f>
      </c>
      <c r="I7293">
        <f>IF(DATOS!$I7293="","",IFERROR(VLOOKUP(DATOS!$I7293,CONFIG_ASIGNATURAS!$B$2:$J$91,9,FALSE()),""))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IF(DATOS!$A7294="",0,IF(CONFIG_METADATA!$B$4&lt;&gt;"OR+EX",--(DATOS!$G7294=CONFIG_METADATA!$B$4),IF(DATOS!$G7294="EX",1,IF(DATOS!$G7294="OR",--(COUNTIFS(nNIA,DATOS!$A7294,nCURSO,DATOS!$D7294,nESPEC,DATOS!$E7294,nASIG,DATOS!$I7294,nEVAL,"EX")=0),0))))</f>
      </c>
      <c r="H7294">
        <f>IF(DATOS!$G7294&lt;&gt;"EX",0,--(COUNTIFS(nNIA,DATOS!$A7294,nCURSO,DATOS!$D7294,nESPEC,DATOS!$E7294,nASIG,DATOS!$I7294,nEVAL,"OR")=0))</f>
      </c>
      <c r="I7294">
        <f>IF(DATOS!$I7294="","",IFERROR(VLOOKUP(DATOS!$I7294,CONFIG_ASIGNATURAS!$B$2:$J$91,9,FALSE()),""))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IF(DATOS!$A7295="",0,IF(CONFIG_METADATA!$B$4&lt;&gt;"OR+EX",--(DATOS!$G7295=CONFIG_METADATA!$B$4),IF(DATOS!$G7295="EX",1,IF(DATOS!$G7295="OR",--(COUNTIFS(nNIA,DATOS!$A7295,nCURSO,DATOS!$D7295,nESPEC,DATOS!$E7295,nASIG,DATOS!$I7295,nEVAL,"EX")=0),0))))</f>
      </c>
      <c r="H7295">
        <f>IF(DATOS!$G7295&lt;&gt;"EX",0,--(COUNTIFS(nNIA,DATOS!$A7295,nCURSO,DATOS!$D7295,nESPEC,DATOS!$E7295,nASIG,DATOS!$I7295,nEVAL,"OR")=0))</f>
      </c>
      <c r="I7295">
        <f>IF(DATOS!$I7295="","",IFERROR(VLOOKUP(DATOS!$I7295,CONFIG_ASIGNATURAS!$B$2:$J$91,9,FALSE()),""))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IF(DATOS!$A7296="",0,IF(CONFIG_METADATA!$B$4&lt;&gt;"OR+EX",--(DATOS!$G7296=CONFIG_METADATA!$B$4),IF(DATOS!$G7296="EX",1,IF(DATOS!$G7296="OR",--(COUNTIFS(nNIA,DATOS!$A7296,nCURSO,DATOS!$D7296,nESPEC,DATOS!$E7296,nASIG,DATOS!$I7296,nEVAL,"EX")=0),0))))</f>
      </c>
      <c r="H7296">
        <f>IF(DATOS!$G7296&lt;&gt;"EX",0,--(COUNTIFS(nNIA,DATOS!$A7296,nCURSO,DATOS!$D7296,nESPEC,DATOS!$E7296,nASIG,DATOS!$I7296,nEVAL,"OR")=0))</f>
      </c>
      <c r="I7296">
        <f>IF(DATOS!$I7296="","",IFERROR(VLOOKUP(DATOS!$I7296,CONFIG_ASIGNATURAS!$B$2:$J$91,9,FALSE()),""))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IF(DATOS!$A7297="",0,IF(CONFIG_METADATA!$B$4&lt;&gt;"OR+EX",--(DATOS!$G7297=CONFIG_METADATA!$B$4),IF(DATOS!$G7297="EX",1,IF(DATOS!$G7297="OR",--(COUNTIFS(nNIA,DATOS!$A7297,nCURSO,DATOS!$D7297,nESPEC,DATOS!$E7297,nASIG,DATOS!$I7297,nEVAL,"EX")=0),0))))</f>
      </c>
      <c r="H7297">
        <f>IF(DATOS!$G7297&lt;&gt;"EX",0,--(COUNTIFS(nNIA,DATOS!$A7297,nCURSO,DATOS!$D7297,nESPEC,DATOS!$E7297,nASIG,DATOS!$I7297,nEVAL,"OR")=0))</f>
      </c>
      <c r="I7297">
        <f>IF(DATOS!$I7297="","",IFERROR(VLOOKUP(DATOS!$I7297,CONFIG_ASIGNATURAS!$B$2:$J$91,9,FALSE()),""))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IF(DATOS!$A7298="",0,IF(CONFIG_METADATA!$B$4&lt;&gt;"OR+EX",--(DATOS!$G7298=CONFIG_METADATA!$B$4),IF(DATOS!$G7298="EX",1,IF(DATOS!$G7298="OR",--(COUNTIFS(nNIA,DATOS!$A7298,nCURSO,DATOS!$D7298,nESPEC,DATOS!$E7298,nASIG,DATOS!$I7298,nEVAL,"EX")=0),0))))</f>
      </c>
      <c r="H7298">
        <f>IF(DATOS!$G7298&lt;&gt;"EX",0,--(COUNTIFS(nNIA,DATOS!$A7298,nCURSO,DATOS!$D7298,nESPEC,DATOS!$E7298,nASIG,DATOS!$I7298,nEVAL,"OR")=0))</f>
      </c>
      <c r="I7298">
        <f>IF(DATOS!$I7298="","",IFERROR(VLOOKUP(DATOS!$I7298,CONFIG_ASIGNATURAS!$B$2:$J$91,9,FALSE()),""))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IF(DATOS!$A7299="",0,IF(CONFIG_METADATA!$B$4&lt;&gt;"OR+EX",--(DATOS!$G7299=CONFIG_METADATA!$B$4),IF(DATOS!$G7299="EX",1,IF(DATOS!$G7299="OR",--(COUNTIFS(nNIA,DATOS!$A7299,nCURSO,DATOS!$D7299,nESPEC,DATOS!$E7299,nASIG,DATOS!$I7299,nEVAL,"EX")=0),0))))</f>
      </c>
      <c r="H7299">
        <f>IF(DATOS!$G7299&lt;&gt;"EX",0,--(COUNTIFS(nNIA,DATOS!$A7299,nCURSO,DATOS!$D7299,nESPEC,DATOS!$E7299,nASIG,DATOS!$I7299,nEVAL,"OR")=0))</f>
      </c>
      <c r="I7299">
        <f>IF(DATOS!$I7299="","",IFERROR(VLOOKUP(DATOS!$I7299,CONFIG_ASIGNATURAS!$B$2:$J$91,9,FALSE()),""))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IF(DATOS!$A7300="",0,IF(CONFIG_METADATA!$B$4&lt;&gt;"OR+EX",--(DATOS!$G7300=CONFIG_METADATA!$B$4),IF(DATOS!$G7300="EX",1,IF(DATOS!$G7300="OR",--(COUNTIFS(nNIA,DATOS!$A7300,nCURSO,DATOS!$D7300,nESPEC,DATOS!$E7300,nASIG,DATOS!$I7300,nEVAL,"EX")=0),0))))</f>
      </c>
      <c r="H7300">
        <f>IF(DATOS!$G7300&lt;&gt;"EX",0,--(COUNTIFS(nNIA,DATOS!$A7300,nCURSO,DATOS!$D7300,nESPEC,DATOS!$E7300,nASIG,DATOS!$I7300,nEVAL,"OR")=0))</f>
      </c>
      <c r="I7300">
        <f>IF(DATOS!$I7300="","",IFERROR(VLOOKUP(DATOS!$I7300,CONFIG_ASIGNATURAS!$B$2:$J$91,9,FALSE()),""))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IF(DATOS!$A7301="",0,IF(CONFIG_METADATA!$B$4&lt;&gt;"OR+EX",--(DATOS!$G7301=CONFIG_METADATA!$B$4),IF(DATOS!$G7301="EX",1,IF(DATOS!$G7301="OR",--(COUNTIFS(nNIA,DATOS!$A7301,nCURSO,DATOS!$D7301,nESPEC,DATOS!$E7301,nASIG,DATOS!$I7301,nEVAL,"EX")=0),0))))</f>
      </c>
      <c r="H7301">
        <f>IF(DATOS!$G7301&lt;&gt;"EX",0,--(COUNTIFS(nNIA,DATOS!$A7301,nCURSO,DATOS!$D7301,nESPEC,DATOS!$E7301,nASIG,DATOS!$I7301,nEVAL,"OR")=0))</f>
      </c>
      <c r="I7301">
        <f>IF(DATOS!$I7301="","",IFERROR(VLOOKUP(DATOS!$I7301,CONFIG_ASIGNATURAS!$B$2:$J$91,9,FALSE()),""))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IF(DATOS!$A7302="",0,IF(CONFIG_METADATA!$B$4&lt;&gt;"OR+EX",--(DATOS!$G7302=CONFIG_METADATA!$B$4),IF(DATOS!$G7302="EX",1,IF(DATOS!$G7302="OR",--(COUNTIFS(nNIA,DATOS!$A7302,nCURSO,DATOS!$D7302,nESPEC,DATOS!$E7302,nASIG,DATOS!$I7302,nEVAL,"EX")=0),0))))</f>
      </c>
      <c r="H7302">
        <f>IF(DATOS!$G7302&lt;&gt;"EX",0,--(COUNTIFS(nNIA,DATOS!$A7302,nCURSO,DATOS!$D7302,nESPEC,DATOS!$E7302,nASIG,DATOS!$I7302,nEVAL,"OR")=0))</f>
      </c>
      <c r="I7302">
        <f>IF(DATOS!$I7302="","",IFERROR(VLOOKUP(DATOS!$I7302,CONFIG_ASIGNATURAS!$B$2:$J$91,9,FALSE()),""))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IF(DATOS!$A7303="",0,IF(CONFIG_METADATA!$B$4&lt;&gt;"OR+EX",--(DATOS!$G7303=CONFIG_METADATA!$B$4),IF(DATOS!$G7303="EX",1,IF(DATOS!$G7303="OR",--(COUNTIFS(nNIA,DATOS!$A7303,nCURSO,DATOS!$D7303,nESPEC,DATOS!$E7303,nASIG,DATOS!$I7303,nEVAL,"EX")=0),0))))</f>
      </c>
      <c r="H7303">
        <f>IF(DATOS!$G7303&lt;&gt;"EX",0,--(COUNTIFS(nNIA,DATOS!$A7303,nCURSO,DATOS!$D7303,nESPEC,DATOS!$E7303,nASIG,DATOS!$I7303,nEVAL,"OR")=0))</f>
      </c>
      <c r="I7303">
        <f>IF(DATOS!$I7303="","",IFERROR(VLOOKUP(DATOS!$I7303,CONFIG_ASIGNATURAS!$B$2:$J$91,9,FALSE()),""))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IF(DATOS!$A7304="",0,IF(CONFIG_METADATA!$B$4&lt;&gt;"OR+EX",--(DATOS!$G7304=CONFIG_METADATA!$B$4),IF(DATOS!$G7304="EX",1,IF(DATOS!$G7304="OR",--(COUNTIFS(nNIA,DATOS!$A7304,nCURSO,DATOS!$D7304,nESPEC,DATOS!$E7304,nASIG,DATOS!$I7304,nEVAL,"EX")=0),0))))</f>
      </c>
      <c r="H7304">
        <f>IF(DATOS!$G7304&lt;&gt;"EX",0,--(COUNTIFS(nNIA,DATOS!$A7304,nCURSO,DATOS!$D7304,nESPEC,DATOS!$E7304,nASIG,DATOS!$I7304,nEVAL,"OR")=0))</f>
      </c>
      <c r="I7304">
        <f>IF(DATOS!$I7304="","",IFERROR(VLOOKUP(DATOS!$I7304,CONFIG_ASIGNATURAS!$B$2:$J$91,9,FALSE()),""))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IF(DATOS!$A7305="",0,IF(CONFIG_METADATA!$B$4&lt;&gt;"OR+EX",--(DATOS!$G7305=CONFIG_METADATA!$B$4),IF(DATOS!$G7305="EX",1,IF(DATOS!$G7305="OR",--(COUNTIFS(nNIA,DATOS!$A7305,nCURSO,DATOS!$D7305,nESPEC,DATOS!$E7305,nASIG,DATOS!$I7305,nEVAL,"EX")=0),0))))</f>
      </c>
      <c r="H7305">
        <f>IF(DATOS!$G7305&lt;&gt;"EX",0,--(COUNTIFS(nNIA,DATOS!$A7305,nCURSO,DATOS!$D7305,nESPEC,DATOS!$E7305,nASIG,DATOS!$I7305,nEVAL,"OR")=0))</f>
      </c>
      <c r="I7305">
        <f>IF(DATOS!$I7305="","",IFERROR(VLOOKUP(DATOS!$I7305,CONFIG_ASIGNATURAS!$B$2:$J$91,9,FALSE()),""))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IF(DATOS!$A7306="",0,IF(CONFIG_METADATA!$B$4&lt;&gt;"OR+EX",--(DATOS!$G7306=CONFIG_METADATA!$B$4),IF(DATOS!$G7306="EX",1,IF(DATOS!$G7306="OR",--(COUNTIFS(nNIA,DATOS!$A7306,nCURSO,DATOS!$D7306,nESPEC,DATOS!$E7306,nASIG,DATOS!$I7306,nEVAL,"EX")=0),0))))</f>
      </c>
      <c r="H7306">
        <f>IF(DATOS!$G7306&lt;&gt;"EX",0,--(COUNTIFS(nNIA,DATOS!$A7306,nCURSO,DATOS!$D7306,nESPEC,DATOS!$E7306,nASIG,DATOS!$I7306,nEVAL,"OR")=0))</f>
      </c>
      <c r="I7306">
        <f>IF(DATOS!$I7306="","",IFERROR(VLOOKUP(DATOS!$I7306,CONFIG_ASIGNATURAS!$B$2:$J$91,9,FALSE()),""))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IF(DATOS!$A7307="",0,IF(CONFIG_METADATA!$B$4&lt;&gt;"OR+EX",--(DATOS!$G7307=CONFIG_METADATA!$B$4),IF(DATOS!$G7307="EX",1,IF(DATOS!$G7307="OR",--(COUNTIFS(nNIA,DATOS!$A7307,nCURSO,DATOS!$D7307,nESPEC,DATOS!$E7307,nASIG,DATOS!$I7307,nEVAL,"EX")=0),0))))</f>
      </c>
      <c r="H7307">
        <f>IF(DATOS!$G7307&lt;&gt;"EX",0,--(COUNTIFS(nNIA,DATOS!$A7307,nCURSO,DATOS!$D7307,nESPEC,DATOS!$E7307,nASIG,DATOS!$I7307,nEVAL,"OR")=0))</f>
      </c>
      <c r="I7307">
        <f>IF(DATOS!$I7307="","",IFERROR(VLOOKUP(DATOS!$I7307,CONFIG_ASIGNATURAS!$B$2:$J$91,9,FALSE()),""))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IF(DATOS!$A7308="",0,IF(CONFIG_METADATA!$B$4&lt;&gt;"OR+EX",--(DATOS!$G7308=CONFIG_METADATA!$B$4),IF(DATOS!$G7308="EX",1,IF(DATOS!$G7308="OR",--(COUNTIFS(nNIA,DATOS!$A7308,nCURSO,DATOS!$D7308,nESPEC,DATOS!$E7308,nASIG,DATOS!$I7308,nEVAL,"EX")=0),0))))</f>
      </c>
      <c r="H7308">
        <f>IF(DATOS!$G7308&lt;&gt;"EX",0,--(COUNTIFS(nNIA,DATOS!$A7308,nCURSO,DATOS!$D7308,nESPEC,DATOS!$E7308,nASIG,DATOS!$I7308,nEVAL,"OR")=0))</f>
      </c>
      <c r="I7308">
        <f>IF(DATOS!$I7308="","",IFERROR(VLOOKUP(DATOS!$I7308,CONFIG_ASIGNATURAS!$B$2:$J$91,9,FALSE()),""))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IF(DATOS!$A7309="",0,IF(CONFIG_METADATA!$B$4&lt;&gt;"OR+EX",--(DATOS!$G7309=CONFIG_METADATA!$B$4),IF(DATOS!$G7309="EX",1,IF(DATOS!$G7309="OR",--(COUNTIFS(nNIA,DATOS!$A7309,nCURSO,DATOS!$D7309,nESPEC,DATOS!$E7309,nASIG,DATOS!$I7309,nEVAL,"EX")=0),0))))</f>
      </c>
      <c r="H7309">
        <f>IF(DATOS!$G7309&lt;&gt;"EX",0,--(COUNTIFS(nNIA,DATOS!$A7309,nCURSO,DATOS!$D7309,nESPEC,DATOS!$E7309,nASIG,DATOS!$I7309,nEVAL,"OR")=0))</f>
      </c>
      <c r="I7309">
        <f>IF(DATOS!$I7309="","",IFERROR(VLOOKUP(DATOS!$I7309,CONFIG_ASIGNATURAS!$B$2:$J$91,9,FALSE()),""))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IF(DATOS!$A7310="",0,IF(CONFIG_METADATA!$B$4&lt;&gt;"OR+EX",--(DATOS!$G7310=CONFIG_METADATA!$B$4),IF(DATOS!$G7310="EX",1,IF(DATOS!$G7310="OR",--(COUNTIFS(nNIA,DATOS!$A7310,nCURSO,DATOS!$D7310,nESPEC,DATOS!$E7310,nASIG,DATOS!$I7310,nEVAL,"EX")=0),0))))</f>
      </c>
      <c r="H7310">
        <f>IF(DATOS!$G7310&lt;&gt;"EX",0,--(COUNTIFS(nNIA,DATOS!$A7310,nCURSO,DATOS!$D7310,nESPEC,DATOS!$E7310,nASIG,DATOS!$I7310,nEVAL,"OR")=0))</f>
      </c>
      <c r="I7310">
        <f>IF(DATOS!$I7310="","",IFERROR(VLOOKUP(DATOS!$I7310,CONFIG_ASIGNATURAS!$B$2:$J$91,9,FALSE()),""))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IF(DATOS!$A7311="",0,IF(CONFIG_METADATA!$B$4&lt;&gt;"OR+EX",--(DATOS!$G7311=CONFIG_METADATA!$B$4),IF(DATOS!$G7311="EX",1,IF(DATOS!$G7311="OR",--(COUNTIFS(nNIA,DATOS!$A7311,nCURSO,DATOS!$D7311,nESPEC,DATOS!$E7311,nASIG,DATOS!$I7311,nEVAL,"EX")=0),0))))</f>
      </c>
      <c r="H7311">
        <f>IF(DATOS!$G7311&lt;&gt;"EX",0,--(COUNTIFS(nNIA,DATOS!$A7311,nCURSO,DATOS!$D7311,nESPEC,DATOS!$E7311,nASIG,DATOS!$I7311,nEVAL,"OR")=0))</f>
      </c>
      <c r="I7311">
        <f>IF(DATOS!$I7311="","",IFERROR(VLOOKUP(DATOS!$I7311,CONFIG_ASIGNATURAS!$B$2:$J$91,9,FALSE()),""))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IF(DATOS!$A7312="",0,IF(CONFIG_METADATA!$B$4&lt;&gt;"OR+EX",--(DATOS!$G7312=CONFIG_METADATA!$B$4),IF(DATOS!$G7312="EX",1,IF(DATOS!$G7312="OR",--(COUNTIFS(nNIA,DATOS!$A7312,nCURSO,DATOS!$D7312,nESPEC,DATOS!$E7312,nASIG,DATOS!$I7312,nEVAL,"EX")=0),0))))</f>
      </c>
      <c r="H7312">
        <f>IF(DATOS!$G7312&lt;&gt;"EX",0,--(COUNTIFS(nNIA,DATOS!$A7312,nCURSO,DATOS!$D7312,nESPEC,DATOS!$E7312,nASIG,DATOS!$I7312,nEVAL,"OR")=0))</f>
      </c>
      <c r="I7312">
        <f>IF(DATOS!$I7312="","",IFERROR(VLOOKUP(DATOS!$I7312,CONFIG_ASIGNATURAS!$B$2:$J$91,9,FALSE()),""))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IF(DATOS!$A7313="",0,IF(CONFIG_METADATA!$B$4&lt;&gt;"OR+EX",--(DATOS!$G7313=CONFIG_METADATA!$B$4),IF(DATOS!$G7313="EX",1,IF(DATOS!$G7313="OR",--(COUNTIFS(nNIA,DATOS!$A7313,nCURSO,DATOS!$D7313,nESPEC,DATOS!$E7313,nASIG,DATOS!$I7313,nEVAL,"EX")=0),0))))</f>
      </c>
      <c r="H7313">
        <f>IF(DATOS!$G7313&lt;&gt;"EX",0,--(COUNTIFS(nNIA,DATOS!$A7313,nCURSO,DATOS!$D7313,nESPEC,DATOS!$E7313,nASIG,DATOS!$I7313,nEVAL,"OR")=0))</f>
      </c>
      <c r="I7313">
        <f>IF(DATOS!$I7313="","",IFERROR(VLOOKUP(DATOS!$I7313,CONFIG_ASIGNATURAS!$B$2:$J$91,9,FALSE()),""))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IF(DATOS!$A7314="",0,IF(CONFIG_METADATA!$B$4&lt;&gt;"OR+EX",--(DATOS!$G7314=CONFIG_METADATA!$B$4),IF(DATOS!$G7314="EX",1,IF(DATOS!$G7314="OR",--(COUNTIFS(nNIA,DATOS!$A7314,nCURSO,DATOS!$D7314,nESPEC,DATOS!$E7314,nASIG,DATOS!$I7314,nEVAL,"EX")=0),0))))</f>
      </c>
      <c r="H7314">
        <f>IF(DATOS!$G7314&lt;&gt;"EX",0,--(COUNTIFS(nNIA,DATOS!$A7314,nCURSO,DATOS!$D7314,nESPEC,DATOS!$E7314,nASIG,DATOS!$I7314,nEVAL,"OR")=0))</f>
      </c>
      <c r="I7314">
        <f>IF(DATOS!$I7314="","",IFERROR(VLOOKUP(DATOS!$I7314,CONFIG_ASIGNATURAS!$B$2:$J$91,9,FALSE()),""))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IF(DATOS!$A7315="",0,IF(CONFIG_METADATA!$B$4&lt;&gt;"OR+EX",--(DATOS!$G7315=CONFIG_METADATA!$B$4),IF(DATOS!$G7315="EX",1,IF(DATOS!$G7315="OR",--(COUNTIFS(nNIA,DATOS!$A7315,nCURSO,DATOS!$D7315,nESPEC,DATOS!$E7315,nASIG,DATOS!$I7315,nEVAL,"EX")=0),0))))</f>
      </c>
      <c r="H7315">
        <f>IF(DATOS!$G7315&lt;&gt;"EX",0,--(COUNTIFS(nNIA,DATOS!$A7315,nCURSO,DATOS!$D7315,nESPEC,DATOS!$E7315,nASIG,DATOS!$I7315,nEVAL,"OR")=0))</f>
      </c>
      <c r="I7315">
        <f>IF(DATOS!$I7315="","",IFERROR(VLOOKUP(DATOS!$I7315,CONFIG_ASIGNATURAS!$B$2:$J$91,9,FALSE()),""))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IF(DATOS!$A7316="",0,IF(CONFIG_METADATA!$B$4&lt;&gt;"OR+EX",--(DATOS!$G7316=CONFIG_METADATA!$B$4),IF(DATOS!$G7316="EX",1,IF(DATOS!$G7316="OR",--(COUNTIFS(nNIA,DATOS!$A7316,nCURSO,DATOS!$D7316,nESPEC,DATOS!$E7316,nASIG,DATOS!$I7316,nEVAL,"EX")=0),0))))</f>
      </c>
      <c r="H7316">
        <f>IF(DATOS!$G7316&lt;&gt;"EX",0,--(COUNTIFS(nNIA,DATOS!$A7316,nCURSO,DATOS!$D7316,nESPEC,DATOS!$E7316,nASIG,DATOS!$I7316,nEVAL,"OR")=0))</f>
      </c>
      <c r="I7316">
        <f>IF(DATOS!$I7316="","",IFERROR(VLOOKUP(DATOS!$I7316,CONFIG_ASIGNATURAS!$B$2:$J$91,9,FALSE()),""))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IF(DATOS!$A7317="",0,IF(CONFIG_METADATA!$B$4&lt;&gt;"OR+EX",--(DATOS!$G7317=CONFIG_METADATA!$B$4),IF(DATOS!$G7317="EX",1,IF(DATOS!$G7317="OR",--(COUNTIFS(nNIA,DATOS!$A7317,nCURSO,DATOS!$D7317,nESPEC,DATOS!$E7317,nASIG,DATOS!$I7317,nEVAL,"EX")=0),0))))</f>
      </c>
      <c r="H7317">
        <f>IF(DATOS!$G7317&lt;&gt;"EX",0,--(COUNTIFS(nNIA,DATOS!$A7317,nCURSO,DATOS!$D7317,nESPEC,DATOS!$E7317,nASIG,DATOS!$I7317,nEVAL,"OR")=0))</f>
      </c>
      <c r="I7317">
        <f>IF(DATOS!$I7317="","",IFERROR(VLOOKUP(DATOS!$I7317,CONFIG_ASIGNATURAS!$B$2:$J$91,9,FALSE()),""))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IF(DATOS!$A7318="",0,IF(CONFIG_METADATA!$B$4&lt;&gt;"OR+EX",--(DATOS!$G7318=CONFIG_METADATA!$B$4),IF(DATOS!$G7318="EX",1,IF(DATOS!$G7318="OR",--(COUNTIFS(nNIA,DATOS!$A7318,nCURSO,DATOS!$D7318,nESPEC,DATOS!$E7318,nASIG,DATOS!$I7318,nEVAL,"EX")=0),0))))</f>
      </c>
      <c r="H7318">
        <f>IF(DATOS!$G7318&lt;&gt;"EX",0,--(COUNTIFS(nNIA,DATOS!$A7318,nCURSO,DATOS!$D7318,nESPEC,DATOS!$E7318,nASIG,DATOS!$I7318,nEVAL,"OR")=0))</f>
      </c>
      <c r="I7318">
        <f>IF(DATOS!$I7318="","",IFERROR(VLOOKUP(DATOS!$I7318,CONFIG_ASIGNATURAS!$B$2:$J$91,9,FALSE()),""))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IF(DATOS!$A7319="",0,IF(CONFIG_METADATA!$B$4&lt;&gt;"OR+EX",--(DATOS!$G7319=CONFIG_METADATA!$B$4),IF(DATOS!$G7319="EX",1,IF(DATOS!$G7319="OR",--(COUNTIFS(nNIA,DATOS!$A7319,nCURSO,DATOS!$D7319,nESPEC,DATOS!$E7319,nASIG,DATOS!$I7319,nEVAL,"EX")=0),0))))</f>
      </c>
      <c r="H7319">
        <f>IF(DATOS!$G7319&lt;&gt;"EX",0,--(COUNTIFS(nNIA,DATOS!$A7319,nCURSO,DATOS!$D7319,nESPEC,DATOS!$E7319,nASIG,DATOS!$I7319,nEVAL,"OR")=0))</f>
      </c>
      <c r="I7319">
        <f>IF(DATOS!$I7319="","",IFERROR(VLOOKUP(DATOS!$I7319,CONFIG_ASIGNATURAS!$B$2:$J$91,9,FALSE()),""))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IF(DATOS!$A7320="",0,IF(CONFIG_METADATA!$B$4&lt;&gt;"OR+EX",--(DATOS!$G7320=CONFIG_METADATA!$B$4),IF(DATOS!$G7320="EX",1,IF(DATOS!$G7320="OR",--(COUNTIFS(nNIA,DATOS!$A7320,nCURSO,DATOS!$D7320,nESPEC,DATOS!$E7320,nASIG,DATOS!$I7320,nEVAL,"EX")=0),0))))</f>
      </c>
      <c r="H7320">
        <f>IF(DATOS!$G7320&lt;&gt;"EX",0,--(COUNTIFS(nNIA,DATOS!$A7320,nCURSO,DATOS!$D7320,nESPEC,DATOS!$E7320,nASIG,DATOS!$I7320,nEVAL,"OR")=0))</f>
      </c>
      <c r="I7320">
        <f>IF(DATOS!$I7320="","",IFERROR(VLOOKUP(DATOS!$I7320,CONFIG_ASIGNATURAS!$B$2:$J$91,9,FALSE()),""))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IF(DATOS!$A7321="",0,IF(CONFIG_METADATA!$B$4&lt;&gt;"OR+EX",--(DATOS!$G7321=CONFIG_METADATA!$B$4),IF(DATOS!$G7321="EX",1,IF(DATOS!$G7321="OR",--(COUNTIFS(nNIA,DATOS!$A7321,nCURSO,DATOS!$D7321,nESPEC,DATOS!$E7321,nASIG,DATOS!$I7321,nEVAL,"EX")=0),0))))</f>
      </c>
      <c r="H7321">
        <f>IF(DATOS!$G7321&lt;&gt;"EX",0,--(COUNTIFS(nNIA,DATOS!$A7321,nCURSO,DATOS!$D7321,nESPEC,DATOS!$E7321,nASIG,DATOS!$I7321,nEVAL,"OR")=0))</f>
      </c>
      <c r="I7321">
        <f>IF(DATOS!$I7321="","",IFERROR(VLOOKUP(DATOS!$I7321,CONFIG_ASIGNATURAS!$B$2:$J$91,9,FALSE()),""))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IF(DATOS!$A7322="",0,IF(CONFIG_METADATA!$B$4&lt;&gt;"OR+EX",--(DATOS!$G7322=CONFIG_METADATA!$B$4),IF(DATOS!$G7322="EX",1,IF(DATOS!$G7322="OR",--(COUNTIFS(nNIA,DATOS!$A7322,nCURSO,DATOS!$D7322,nESPEC,DATOS!$E7322,nASIG,DATOS!$I7322,nEVAL,"EX")=0),0))))</f>
      </c>
      <c r="H7322">
        <f>IF(DATOS!$G7322&lt;&gt;"EX",0,--(COUNTIFS(nNIA,DATOS!$A7322,nCURSO,DATOS!$D7322,nESPEC,DATOS!$E7322,nASIG,DATOS!$I7322,nEVAL,"OR")=0))</f>
      </c>
      <c r="I7322">
        <f>IF(DATOS!$I7322="","",IFERROR(VLOOKUP(DATOS!$I7322,CONFIG_ASIGNATURAS!$B$2:$J$91,9,FALSE()),""))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IF(DATOS!$A7323="",0,IF(CONFIG_METADATA!$B$4&lt;&gt;"OR+EX",--(DATOS!$G7323=CONFIG_METADATA!$B$4),IF(DATOS!$G7323="EX",1,IF(DATOS!$G7323="OR",--(COUNTIFS(nNIA,DATOS!$A7323,nCURSO,DATOS!$D7323,nESPEC,DATOS!$E7323,nASIG,DATOS!$I7323,nEVAL,"EX")=0),0))))</f>
      </c>
      <c r="H7323">
        <f>IF(DATOS!$G7323&lt;&gt;"EX",0,--(COUNTIFS(nNIA,DATOS!$A7323,nCURSO,DATOS!$D7323,nESPEC,DATOS!$E7323,nASIG,DATOS!$I7323,nEVAL,"OR")=0))</f>
      </c>
      <c r="I7323">
        <f>IF(DATOS!$I7323="","",IFERROR(VLOOKUP(DATOS!$I7323,CONFIG_ASIGNATURAS!$B$2:$J$91,9,FALSE()),""))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IF(DATOS!$A7324="",0,IF(CONFIG_METADATA!$B$4&lt;&gt;"OR+EX",--(DATOS!$G7324=CONFIG_METADATA!$B$4),IF(DATOS!$G7324="EX",1,IF(DATOS!$G7324="OR",--(COUNTIFS(nNIA,DATOS!$A7324,nCURSO,DATOS!$D7324,nESPEC,DATOS!$E7324,nASIG,DATOS!$I7324,nEVAL,"EX")=0),0))))</f>
      </c>
      <c r="H7324">
        <f>IF(DATOS!$G7324&lt;&gt;"EX",0,--(COUNTIFS(nNIA,DATOS!$A7324,nCURSO,DATOS!$D7324,nESPEC,DATOS!$E7324,nASIG,DATOS!$I7324,nEVAL,"OR")=0))</f>
      </c>
      <c r="I7324">
        <f>IF(DATOS!$I7324="","",IFERROR(VLOOKUP(DATOS!$I7324,CONFIG_ASIGNATURAS!$B$2:$J$91,9,FALSE()),""))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IF(DATOS!$A7325="",0,IF(CONFIG_METADATA!$B$4&lt;&gt;"OR+EX",--(DATOS!$G7325=CONFIG_METADATA!$B$4),IF(DATOS!$G7325="EX",1,IF(DATOS!$G7325="OR",--(COUNTIFS(nNIA,DATOS!$A7325,nCURSO,DATOS!$D7325,nESPEC,DATOS!$E7325,nASIG,DATOS!$I7325,nEVAL,"EX")=0),0))))</f>
      </c>
      <c r="H7325">
        <f>IF(DATOS!$G7325&lt;&gt;"EX",0,--(COUNTIFS(nNIA,DATOS!$A7325,nCURSO,DATOS!$D7325,nESPEC,DATOS!$E7325,nASIG,DATOS!$I7325,nEVAL,"OR")=0))</f>
      </c>
      <c r="I7325">
        <f>IF(DATOS!$I7325="","",IFERROR(VLOOKUP(DATOS!$I7325,CONFIG_ASIGNATURAS!$B$2:$J$91,9,FALSE()),""))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IF(DATOS!$A7326="",0,IF(CONFIG_METADATA!$B$4&lt;&gt;"OR+EX",--(DATOS!$G7326=CONFIG_METADATA!$B$4),IF(DATOS!$G7326="EX",1,IF(DATOS!$G7326="OR",--(COUNTIFS(nNIA,DATOS!$A7326,nCURSO,DATOS!$D7326,nESPEC,DATOS!$E7326,nASIG,DATOS!$I7326,nEVAL,"EX")=0),0))))</f>
      </c>
      <c r="H7326">
        <f>IF(DATOS!$G7326&lt;&gt;"EX",0,--(COUNTIFS(nNIA,DATOS!$A7326,nCURSO,DATOS!$D7326,nESPEC,DATOS!$E7326,nASIG,DATOS!$I7326,nEVAL,"OR")=0))</f>
      </c>
      <c r="I7326">
        <f>IF(DATOS!$I7326="","",IFERROR(VLOOKUP(DATOS!$I7326,CONFIG_ASIGNATURAS!$B$2:$J$91,9,FALSE()),""))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IF(DATOS!$A7327="",0,IF(CONFIG_METADATA!$B$4&lt;&gt;"OR+EX",--(DATOS!$G7327=CONFIG_METADATA!$B$4),IF(DATOS!$G7327="EX",1,IF(DATOS!$G7327="OR",--(COUNTIFS(nNIA,DATOS!$A7327,nCURSO,DATOS!$D7327,nESPEC,DATOS!$E7327,nASIG,DATOS!$I7327,nEVAL,"EX")=0),0))))</f>
      </c>
      <c r="H7327">
        <f>IF(DATOS!$G7327&lt;&gt;"EX",0,--(COUNTIFS(nNIA,DATOS!$A7327,nCURSO,DATOS!$D7327,nESPEC,DATOS!$E7327,nASIG,DATOS!$I7327,nEVAL,"OR")=0))</f>
      </c>
      <c r="I7327">
        <f>IF(DATOS!$I7327="","",IFERROR(VLOOKUP(DATOS!$I7327,CONFIG_ASIGNATURAS!$B$2:$J$91,9,FALSE()),""))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IF(DATOS!$A7328="",0,IF(CONFIG_METADATA!$B$4&lt;&gt;"OR+EX",--(DATOS!$G7328=CONFIG_METADATA!$B$4),IF(DATOS!$G7328="EX",1,IF(DATOS!$G7328="OR",--(COUNTIFS(nNIA,DATOS!$A7328,nCURSO,DATOS!$D7328,nESPEC,DATOS!$E7328,nASIG,DATOS!$I7328,nEVAL,"EX")=0),0))))</f>
      </c>
      <c r="H7328">
        <f>IF(DATOS!$G7328&lt;&gt;"EX",0,--(COUNTIFS(nNIA,DATOS!$A7328,nCURSO,DATOS!$D7328,nESPEC,DATOS!$E7328,nASIG,DATOS!$I7328,nEVAL,"OR")=0))</f>
      </c>
      <c r="I7328">
        <f>IF(DATOS!$I7328="","",IFERROR(VLOOKUP(DATOS!$I7328,CONFIG_ASIGNATURAS!$B$2:$J$91,9,FALSE()),""))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IF(DATOS!$A7329="",0,IF(CONFIG_METADATA!$B$4&lt;&gt;"OR+EX",--(DATOS!$G7329=CONFIG_METADATA!$B$4),IF(DATOS!$G7329="EX",1,IF(DATOS!$G7329="OR",--(COUNTIFS(nNIA,DATOS!$A7329,nCURSO,DATOS!$D7329,nESPEC,DATOS!$E7329,nASIG,DATOS!$I7329,nEVAL,"EX")=0),0))))</f>
      </c>
      <c r="H7329">
        <f>IF(DATOS!$G7329&lt;&gt;"EX",0,--(COUNTIFS(nNIA,DATOS!$A7329,nCURSO,DATOS!$D7329,nESPEC,DATOS!$E7329,nASIG,DATOS!$I7329,nEVAL,"OR")=0))</f>
      </c>
      <c r="I7329">
        <f>IF(DATOS!$I7329="","",IFERROR(VLOOKUP(DATOS!$I7329,CONFIG_ASIGNATURAS!$B$2:$J$91,9,FALSE()),""))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IF(DATOS!$A7330="",0,IF(CONFIG_METADATA!$B$4&lt;&gt;"OR+EX",--(DATOS!$G7330=CONFIG_METADATA!$B$4),IF(DATOS!$G7330="EX",1,IF(DATOS!$G7330="OR",--(COUNTIFS(nNIA,DATOS!$A7330,nCURSO,DATOS!$D7330,nESPEC,DATOS!$E7330,nASIG,DATOS!$I7330,nEVAL,"EX")=0),0))))</f>
      </c>
      <c r="H7330">
        <f>IF(DATOS!$G7330&lt;&gt;"EX",0,--(COUNTIFS(nNIA,DATOS!$A7330,nCURSO,DATOS!$D7330,nESPEC,DATOS!$E7330,nASIG,DATOS!$I7330,nEVAL,"OR")=0))</f>
      </c>
      <c r="I7330">
        <f>IF(DATOS!$I7330="","",IFERROR(VLOOKUP(DATOS!$I7330,CONFIG_ASIGNATURAS!$B$2:$J$91,9,FALSE()),""))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IF(DATOS!$A7331="",0,IF(CONFIG_METADATA!$B$4&lt;&gt;"OR+EX",--(DATOS!$G7331=CONFIG_METADATA!$B$4),IF(DATOS!$G7331="EX",1,IF(DATOS!$G7331="OR",--(COUNTIFS(nNIA,DATOS!$A7331,nCURSO,DATOS!$D7331,nESPEC,DATOS!$E7331,nASIG,DATOS!$I7331,nEVAL,"EX")=0),0))))</f>
      </c>
      <c r="H7331">
        <f>IF(DATOS!$G7331&lt;&gt;"EX",0,--(COUNTIFS(nNIA,DATOS!$A7331,nCURSO,DATOS!$D7331,nESPEC,DATOS!$E7331,nASIG,DATOS!$I7331,nEVAL,"OR")=0))</f>
      </c>
      <c r="I7331">
        <f>IF(DATOS!$I7331="","",IFERROR(VLOOKUP(DATOS!$I7331,CONFIG_ASIGNATURAS!$B$2:$J$91,9,FALSE()),""))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IF(DATOS!$A7332="",0,IF(CONFIG_METADATA!$B$4&lt;&gt;"OR+EX",--(DATOS!$G7332=CONFIG_METADATA!$B$4),IF(DATOS!$G7332="EX",1,IF(DATOS!$G7332="OR",--(COUNTIFS(nNIA,DATOS!$A7332,nCURSO,DATOS!$D7332,nESPEC,DATOS!$E7332,nASIG,DATOS!$I7332,nEVAL,"EX")=0),0))))</f>
      </c>
      <c r="H7332">
        <f>IF(DATOS!$G7332&lt;&gt;"EX",0,--(COUNTIFS(nNIA,DATOS!$A7332,nCURSO,DATOS!$D7332,nESPEC,DATOS!$E7332,nASIG,DATOS!$I7332,nEVAL,"OR")=0))</f>
      </c>
      <c r="I7332">
        <f>IF(DATOS!$I7332="","",IFERROR(VLOOKUP(DATOS!$I7332,CONFIG_ASIGNATURAS!$B$2:$J$91,9,FALSE()),""))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IF(DATOS!$A7333="",0,IF(CONFIG_METADATA!$B$4&lt;&gt;"OR+EX",--(DATOS!$G7333=CONFIG_METADATA!$B$4),IF(DATOS!$G7333="EX",1,IF(DATOS!$G7333="OR",--(COUNTIFS(nNIA,DATOS!$A7333,nCURSO,DATOS!$D7333,nESPEC,DATOS!$E7333,nASIG,DATOS!$I7333,nEVAL,"EX")=0),0))))</f>
      </c>
      <c r="H7333">
        <f>IF(DATOS!$G7333&lt;&gt;"EX",0,--(COUNTIFS(nNIA,DATOS!$A7333,nCURSO,DATOS!$D7333,nESPEC,DATOS!$E7333,nASIG,DATOS!$I7333,nEVAL,"OR")=0))</f>
      </c>
      <c r="I7333">
        <f>IF(DATOS!$I7333="","",IFERROR(VLOOKUP(DATOS!$I7333,CONFIG_ASIGNATURAS!$B$2:$J$91,9,FALSE()),""))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IF(DATOS!$A7334="",0,IF(CONFIG_METADATA!$B$4&lt;&gt;"OR+EX",--(DATOS!$G7334=CONFIG_METADATA!$B$4),IF(DATOS!$G7334="EX",1,IF(DATOS!$G7334="OR",--(COUNTIFS(nNIA,DATOS!$A7334,nCURSO,DATOS!$D7334,nESPEC,DATOS!$E7334,nASIG,DATOS!$I7334,nEVAL,"EX")=0),0))))</f>
      </c>
      <c r="H7334">
        <f>IF(DATOS!$G7334&lt;&gt;"EX",0,--(COUNTIFS(nNIA,DATOS!$A7334,nCURSO,DATOS!$D7334,nESPEC,DATOS!$E7334,nASIG,DATOS!$I7334,nEVAL,"OR")=0))</f>
      </c>
      <c r="I7334">
        <f>IF(DATOS!$I7334="","",IFERROR(VLOOKUP(DATOS!$I7334,CONFIG_ASIGNATURAS!$B$2:$J$91,9,FALSE()),""))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IF(DATOS!$A7335="",0,IF(CONFIG_METADATA!$B$4&lt;&gt;"OR+EX",--(DATOS!$G7335=CONFIG_METADATA!$B$4),IF(DATOS!$G7335="EX",1,IF(DATOS!$G7335="OR",--(COUNTIFS(nNIA,DATOS!$A7335,nCURSO,DATOS!$D7335,nESPEC,DATOS!$E7335,nASIG,DATOS!$I7335,nEVAL,"EX")=0),0))))</f>
      </c>
      <c r="H7335">
        <f>IF(DATOS!$G7335&lt;&gt;"EX",0,--(COUNTIFS(nNIA,DATOS!$A7335,nCURSO,DATOS!$D7335,nESPEC,DATOS!$E7335,nASIG,DATOS!$I7335,nEVAL,"OR")=0))</f>
      </c>
      <c r="I7335">
        <f>IF(DATOS!$I7335="","",IFERROR(VLOOKUP(DATOS!$I7335,CONFIG_ASIGNATURAS!$B$2:$J$91,9,FALSE()),""))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IF(DATOS!$A7336="",0,IF(CONFIG_METADATA!$B$4&lt;&gt;"OR+EX",--(DATOS!$G7336=CONFIG_METADATA!$B$4),IF(DATOS!$G7336="EX",1,IF(DATOS!$G7336="OR",--(COUNTIFS(nNIA,DATOS!$A7336,nCURSO,DATOS!$D7336,nESPEC,DATOS!$E7336,nASIG,DATOS!$I7336,nEVAL,"EX")=0),0))))</f>
      </c>
      <c r="H7336">
        <f>IF(DATOS!$G7336&lt;&gt;"EX",0,--(COUNTIFS(nNIA,DATOS!$A7336,nCURSO,DATOS!$D7336,nESPEC,DATOS!$E7336,nASIG,DATOS!$I7336,nEVAL,"OR")=0))</f>
      </c>
      <c r="I7336">
        <f>IF(DATOS!$I7336="","",IFERROR(VLOOKUP(DATOS!$I7336,CONFIG_ASIGNATURAS!$B$2:$J$91,9,FALSE()),""))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IF(DATOS!$A7337="",0,IF(CONFIG_METADATA!$B$4&lt;&gt;"OR+EX",--(DATOS!$G7337=CONFIG_METADATA!$B$4),IF(DATOS!$G7337="EX",1,IF(DATOS!$G7337="OR",--(COUNTIFS(nNIA,DATOS!$A7337,nCURSO,DATOS!$D7337,nESPEC,DATOS!$E7337,nASIG,DATOS!$I7337,nEVAL,"EX")=0),0))))</f>
      </c>
      <c r="H7337">
        <f>IF(DATOS!$G7337&lt;&gt;"EX",0,--(COUNTIFS(nNIA,DATOS!$A7337,nCURSO,DATOS!$D7337,nESPEC,DATOS!$E7337,nASIG,DATOS!$I7337,nEVAL,"OR")=0))</f>
      </c>
      <c r="I7337">
        <f>IF(DATOS!$I7337="","",IFERROR(VLOOKUP(DATOS!$I7337,CONFIG_ASIGNATURAS!$B$2:$J$91,9,FALSE()),""))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IF(DATOS!$A7338="",0,IF(CONFIG_METADATA!$B$4&lt;&gt;"OR+EX",--(DATOS!$G7338=CONFIG_METADATA!$B$4),IF(DATOS!$G7338="EX",1,IF(DATOS!$G7338="OR",--(COUNTIFS(nNIA,DATOS!$A7338,nCURSO,DATOS!$D7338,nESPEC,DATOS!$E7338,nASIG,DATOS!$I7338,nEVAL,"EX")=0),0))))</f>
      </c>
      <c r="H7338">
        <f>IF(DATOS!$G7338&lt;&gt;"EX",0,--(COUNTIFS(nNIA,DATOS!$A7338,nCURSO,DATOS!$D7338,nESPEC,DATOS!$E7338,nASIG,DATOS!$I7338,nEVAL,"OR")=0))</f>
      </c>
      <c r="I7338">
        <f>IF(DATOS!$I7338="","",IFERROR(VLOOKUP(DATOS!$I7338,CONFIG_ASIGNATURAS!$B$2:$J$91,9,FALSE()),""))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IF(DATOS!$A7339="",0,IF(CONFIG_METADATA!$B$4&lt;&gt;"OR+EX",--(DATOS!$G7339=CONFIG_METADATA!$B$4),IF(DATOS!$G7339="EX",1,IF(DATOS!$G7339="OR",--(COUNTIFS(nNIA,DATOS!$A7339,nCURSO,DATOS!$D7339,nESPEC,DATOS!$E7339,nASIG,DATOS!$I7339,nEVAL,"EX")=0),0))))</f>
      </c>
      <c r="H7339">
        <f>IF(DATOS!$G7339&lt;&gt;"EX",0,--(COUNTIFS(nNIA,DATOS!$A7339,nCURSO,DATOS!$D7339,nESPEC,DATOS!$E7339,nASIG,DATOS!$I7339,nEVAL,"OR")=0))</f>
      </c>
      <c r="I7339">
        <f>IF(DATOS!$I7339="","",IFERROR(VLOOKUP(DATOS!$I7339,CONFIG_ASIGNATURAS!$B$2:$J$91,9,FALSE()),""))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IF(DATOS!$A7340="",0,IF(CONFIG_METADATA!$B$4&lt;&gt;"OR+EX",--(DATOS!$G7340=CONFIG_METADATA!$B$4),IF(DATOS!$G7340="EX",1,IF(DATOS!$G7340="OR",--(COUNTIFS(nNIA,DATOS!$A7340,nCURSO,DATOS!$D7340,nESPEC,DATOS!$E7340,nASIG,DATOS!$I7340,nEVAL,"EX")=0),0))))</f>
      </c>
      <c r="H7340">
        <f>IF(DATOS!$G7340&lt;&gt;"EX",0,--(COUNTIFS(nNIA,DATOS!$A7340,nCURSO,DATOS!$D7340,nESPEC,DATOS!$E7340,nASIG,DATOS!$I7340,nEVAL,"OR")=0))</f>
      </c>
      <c r="I7340">
        <f>IF(DATOS!$I7340="","",IFERROR(VLOOKUP(DATOS!$I7340,CONFIG_ASIGNATURAS!$B$2:$J$91,9,FALSE()),""))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IF(DATOS!$A7341="",0,IF(CONFIG_METADATA!$B$4&lt;&gt;"OR+EX",--(DATOS!$G7341=CONFIG_METADATA!$B$4),IF(DATOS!$G7341="EX",1,IF(DATOS!$G7341="OR",--(COUNTIFS(nNIA,DATOS!$A7341,nCURSO,DATOS!$D7341,nESPEC,DATOS!$E7341,nASIG,DATOS!$I7341,nEVAL,"EX")=0),0))))</f>
      </c>
      <c r="H7341">
        <f>IF(DATOS!$G7341&lt;&gt;"EX",0,--(COUNTIFS(nNIA,DATOS!$A7341,nCURSO,DATOS!$D7341,nESPEC,DATOS!$E7341,nASIG,DATOS!$I7341,nEVAL,"OR")=0))</f>
      </c>
      <c r="I7341">
        <f>IF(DATOS!$I7341="","",IFERROR(VLOOKUP(DATOS!$I7341,CONFIG_ASIGNATURAS!$B$2:$J$91,9,FALSE()),""))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IF(DATOS!$A7342="",0,IF(CONFIG_METADATA!$B$4&lt;&gt;"OR+EX",--(DATOS!$G7342=CONFIG_METADATA!$B$4),IF(DATOS!$G7342="EX",1,IF(DATOS!$G7342="OR",--(COUNTIFS(nNIA,DATOS!$A7342,nCURSO,DATOS!$D7342,nESPEC,DATOS!$E7342,nASIG,DATOS!$I7342,nEVAL,"EX")=0),0))))</f>
      </c>
      <c r="H7342">
        <f>IF(DATOS!$G7342&lt;&gt;"EX",0,--(COUNTIFS(nNIA,DATOS!$A7342,nCURSO,DATOS!$D7342,nESPEC,DATOS!$E7342,nASIG,DATOS!$I7342,nEVAL,"OR")=0))</f>
      </c>
      <c r="I7342">
        <f>IF(DATOS!$I7342="","",IFERROR(VLOOKUP(DATOS!$I7342,CONFIG_ASIGNATURAS!$B$2:$J$91,9,FALSE()),""))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IF(DATOS!$A7343="",0,IF(CONFIG_METADATA!$B$4&lt;&gt;"OR+EX",--(DATOS!$G7343=CONFIG_METADATA!$B$4),IF(DATOS!$G7343="EX",1,IF(DATOS!$G7343="OR",--(COUNTIFS(nNIA,DATOS!$A7343,nCURSO,DATOS!$D7343,nESPEC,DATOS!$E7343,nASIG,DATOS!$I7343,nEVAL,"EX")=0),0))))</f>
      </c>
      <c r="H7343">
        <f>IF(DATOS!$G7343&lt;&gt;"EX",0,--(COUNTIFS(nNIA,DATOS!$A7343,nCURSO,DATOS!$D7343,nESPEC,DATOS!$E7343,nASIG,DATOS!$I7343,nEVAL,"OR")=0))</f>
      </c>
      <c r="I7343">
        <f>IF(DATOS!$I7343="","",IFERROR(VLOOKUP(DATOS!$I7343,CONFIG_ASIGNATURAS!$B$2:$J$91,9,FALSE()),""))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IF(DATOS!$A7344="",0,IF(CONFIG_METADATA!$B$4&lt;&gt;"OR+EX",--(DATOS!$G7344=CONFIG_METADATA!$B$4),IF(DATOS!$G7344="EX",1,IF(DATOS!$G7344="OR",--(COUNTIFS(nNIA,DATOS!$A7344,nCURSO,DATOS!$D7344,nESPEC,DATOS!$E7344,nASIG,DATOS!$I7344,nEVAL,"EX")=0),0))))</f>
      </c>
      <c r="H7344">
        <f>IF(DATOS!$G7344&lt;&gt;"EX",0,--(COUNTIFS(nNIA,DATOS!$A7344,nCURSO,DATOS!$D7344,nESPEC,DATOS!$E7344,nASIG,DATOS!$I7344,nEVAL,"OR")=0))</f>
      </c>
      <c r="I7344">
        <f>IF(DATOS!$I7344="","",IFERROR(VLOOKUP(DATOS!$I7344,CONFIG_ASIGNATURAS!$B$2:$J$91,9,FALSE()),""))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IF(DATOS!$A7345="",0,IF(CONFIG_METADATA!$B$4&lt;&gt;"OR+EX",--(DATOS!$G7345=CONFIG_METADATA!$B$4),IF(DATOS!$G7345="EX",1,IF(DATOS!$G7345="OR",--(COUNTIFS(nNIA,DATOS!$A7345,nCURSO,DATOS!$D7345,nESPEC,DATOS!$E7345,nASIG,DATOS!$I7345,nEVAL,"EX")=0),0))))</f>
      </c>
      <c r="H7345">
        <f>IF(DATOS!$G7345&lt;&gt;"EX",0,--(COUNTIFS(nNIA,DATOS!$A7345,nCURSO,DATOS!$D7345,nESPEC,DATOS!$E7345,nASIG,DATOS!$I7345,nEVAL,"OR")=0))</f>
      </c>
      <c r="I7345">
        <f>IF(DATOS!$I7345="","",IFERROR(VLOOKUP(DATOS!$I7345,CONFIG_ASIGNATURAS!$B$2:$J$91,9,FALSE()),""))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IF(DATOS!$A7346="",0,IF(CONFIG_METADATA!$B$4&lt;&gt;"OR+EX",--(DATOS!$G7346=CONFIG_METADATA!$B$4),IF(DATOS!$G7346="EX",1,IF(DATOS!$G7346="OR",--(COUNTIFS(nNIA,DATOS!$A7346,nCURSO,DATOS!$D7346,nESPEC,DATOS!$E7346,nASIG,DATOS!$I7346,nEVAL,"EX")=0),0))))</f>
      </c>
      <c r="H7346">
        <f>IF(DATOS!$G7346&lt;&gt;"EX",0,--(COUNTIFS(nNIA,DATOS!$A7346,nCURSO,DATOS!$D7346,nESPEC,DATOS!$E7346,nASIG,DATOS!$I7346,nEVAL,"OR")=0))</f>
      </c>
      <c r="I7346">
        <f>IF(DATOS!$I7346="","",IFERROR(VLOOKUP(DATOS!$I7346,CONFIG_ASIGNATURAS!$B$2:$J$91,9,FALSE()),""))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IF(DATOS!$A7347="",0,IF(CONFIG_METADATA!$B$4&lt;&gt;"OR+EX",--(DATOS!$G7347=CONFIG_METADATA!$B$4),IF(DATOS!$G7347="EX",1,IF(DATOS!$G7347="OR",--(COUNTIFS(nNIA,DATOS!$A7347,nCURSO,DATOS!$D7347,nESPEC,DATOS!$E7347,nASIG,DATOS!$I7347,nEVAL,"EX")=0),0))))</f>
      </c>
      <c r="H7347">
        <f>IF(DATOS!$G7347&lt;&gt;"EX",0,--(COUNTIFS(nNIA,DATOS!$A7347,nCURSO,DATOS!$D7347,nESPEC,DATOS!$E7347,nASIG,DATOS!$I7347,nEVAL,"OR")=0))</f>
      </c>
      <c r="I7347">
        <f>IF(DATOS!$I7347="","",IFERROR(VLOOKUP(DATOS!$I7347,CONFIG_ASIGNATURAS!$B$2:$J$91,9,FALSE()),""))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IF(DATOS!$A7348="",0,IF(CONFIG_METADATA!$B$4&lt;&gt;"OR+EX",--(DATOS!$G7348=CONFIG_METADATA!$B$4),IF(DATOS!$G7348="EX",1,IF(DATOS!$G7348="OR",--(COUNTIFS(nNIA,DATOS!$A7348,nCURSO,DATOS!$D7348,nESPEC,DATOS!$E7348,nASIG,DATOS!$I7348,nEVAL,"EX")=0),0))))</f>
      </c>
      <c r="H7348">
        <f>IF(DATOS!$G7348&lt;&gt;"EX",0,--(COUNTIFS(nNIA,DATOS!$A7348,nCURSO,DATOS!$D7348,nESPEC,DATOS!$E7348,nASIG,DATOS!$I7348,nEVAL,"OR")=0))</f>
      </c>
      <c r="I7348">
        <f>IF(DATOS!$I7348="","",IFERROR(VLOOKUP(DATOS!$I7348,CONFIG_ASIGNATURAS!$B$2:$J$91,9,FALSE()),""))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IF(DATOS!$A7349="",0,IF(CONFIG_METADATA!$B$4&lt;&gt;"OR+EX",--(DATOS!$G7349=CONFIG_METADATA!$B$4),IF(DATOS!$G7349="EX",1,IF(DATOS!$G7349="OR",--(COUNTIFS(nNIA,DATOS!$A7349,nCURSO,DATOS!$D7349,nESPEC,DATOS!$E7349,nASIG,DATOS!$I7349,nEVAL,"EX")=0),0))))</f>
      </c>
      <c r="H7349">
        <f>IF(DATOS!$G7349&lt;&gt;"EX",0,--(COUNTIFS(nNIA,DATOS!$A7349,nCURSO,DATOS!$D7349,nESPEC,DATOS!$E7349,nASIG,DATOS!$I7349,nEVAL,"OR")=0))</f>
      </c>
      <c r="I7349">
        <f>IF(DATOS!$I7349="","",IFERROR(VLOOKUP(DATOS!$I7349,CONFIG_ASIGNATURAS!$B$2:$J$91,9,FALSE()),""))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IF(DATOS!$A7350="",0,IF(CONFIG_METADATA!$B$4&lt;&gt;"OR+EX",--(DATOS!$G7350=CONFIG_METADATA!$B$4),IF(DATOS!$G7350="EX",1,IF(DATOS!$G7350="OR",--(COUNTIFS(nNIA,DATOS!$A7350,nCURSO,DATOS!$D7350,nESPEC,DATOS!$E7350,nASIG,DATOS!$I7350,nEVAL,"EX")=0),0))))</f>
      </c>
      <c r="H7350">
        <f>IF(DATOS!$G7350&lt;&gt;"EX",0,--(COUNTIFS(nNIA,DATOS!$A7350,nCURSO,DATOS!$D7350,nESPEC,DATOS!$E7350,nASIG,DATOS!$I7350,nEVAL,"OR")=0))</f>
      </c>
      <c r="I7350">
        <f>IF(DATOS!$I7350="","",IFERROR(VLOOKUP(DATOS!$I7350,CONFIG_ASIGNATURAS!$B$2:$J$91,9,FALSE()),""))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IF(DATOS!$A7351="",0,IF(CONFIG_METADATA!$B$4&lt;&gt;"OR+EX",--(DATOS!$G7351=CONFIG_METADATA!$B$4),IF(DATOS!$G7351="EX",1,IF(DATOS!$G7351="OR",--(COUNTIFS(nNIA,DATOS!$A7351,nCURSO,DATOS!$D7351,nESPEC,DATOS!$E7351,nASIG,DATOS!$I7351,nEVAL,"EX")=0),0))))</f>
      </c>
      <c r="H7351">
        <f>IF(DATOS!$G7351&lt;&gt;"EX",0,--(COUNTIFS(nNIA,DATOS!$A7351,nCURSO,DATOS!$D7351,nESPEC,DATOS!$E7351,nASIG,DATOS!$I7351,nEVAL,"OR")=0))</f>
      </c>
      <c r="I7351">
        <f>IF(DATOS!$I7351="","",IFERROR(VLOOKUP(DATOS!$I7351,CONFIG_ASIGNATURAS!$B$2:$J$91,9,FALSE()),""))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IF(DATOS!$A7352="",0,IF(CONFIG_METADATA!$B$4&lt;&gt;"OR+EX",--(DATOS!$G7352=CONFIG_METADATA!$B$4),IF(DATOS!$G7352="EX",1,IF(DATOS!$G7352="OR",--(COUNTIFS(nNIA,DATOS!$A7352,nCURSO,DATOS!$D7352,nESPEC,DATOS!$E7352,nASIG,DATOS!$I7352,nEVAL,"EX")=0),0))))</f>
      </c>
      <c r="H7352">
        <f>IF(DATOS!$G7352&lt;&gt;"EX",0,--(COUNTIFS(nNIA,DATOS!$A7352,nCURSO,DATOS!$D7352,nESPEC,DATOS!$E7352,nASIG,DATOS!$I7352,nEVAL,"OR")=0))</f>
      </c>
      <c r="I7352">
        <f>IF(DATOS!$I7352="","",IFERROR(VLOOKUP(DATOS!$I7352,CONFIG_ASIGNATURAS!$B$2:$J$91,9,FALSE()),""))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IF(DATOS!$A7353="",0,IF(CONFIG_METADATA!$B$4&lt;&gt;"OR+EX",--(DATOS!$G7353=CONFIG_METADATA!$B$4),IF(DATOS!$G7353="EX",1,IF(DATOS!$G7353="OR",--(COUNTIFS(nNIA,DATOS!$A7353,nCURSO,DATOS!$D7353,nESPEC,DATOS!$E7353,nASIG,DATOS!$I7353,nEVAL,"EX")=0),0))))</f>
      </c>
      <c r="H7353">
        <f>IF(DATOS!$G7353&lt;&gt;"EX",0,--(COUNTIFS(nNIA,DATOS!$A7353,nCURSO,DATOS!$D7353,nESPEC,DATOS!$E7353,nASIG,DATOS!$I7353,nEVAL,"OR")=0))</f>
      </c>
      <c r="I7353">
        <f>IF(DATOS!$I7353="","",IFERROR(VLOOKUP(DATOS!$I7353,CONFIG_ASIGNATURAS!$B$2:$J$91,9,FALSE()),""))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IF(DATOS!$A7354="",0,IF(CONFIG_METADATA!$B$4&lt;&gt;"OR+EX",--(DATOS!$G7354=CONFIG_METADATA!$B$4),IF(DATOS!$G7354="EX",1,IF(DATOS!$G7354="OR",--(COUNTIFS(nNIA,DATOS!$A7354,nCURSO,DATOS!$D7354,nESPEC,DATOS!$E7354,nASIG,DATOS!$I7354,nEVAL,"EX")=0),0))))</f>
      </c>
      <c r="H7354">
        <f>IF(DATOS!$G7354&lt;&gt;"EX",0,--(COUNTIFS(nNIA,DATOS!$A7354,nCURSO,DATOS!$D7354,nESPEC,DATOS!$E7354,nASIG,DATOS!$I7354,nEVAL,"OR")=0))</f>
      </c>
      <c r="I7354">
        <f>IF(DATOS!$I7354="","",IFERROR(VLOOKUP(DATOS!$I7354,CONFIG_ASIGNATURAS!$B$2:$J$91,9,FALSE()),""))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IF(DATOS!$A7355="",0,IF(CONFIG_METADATA!$B$4&lt;&gt;"OR+EX",--(DATOS!$G7355=CONFIG_METADATA!$B$4),IF(DATOS!$G7355="EX",1,IF(DATOS!$G7355="OR",--(COUNTIFS(nNIA,DATOS!$A7355,nCURSO,DATOS!$D7355,nESPEC,DATOS!$E7355,nASIG,DATOS!$I7355,nEVAL,"EX")=0),0))))</f>
      </c>
      <c r="H7355">
        <f>IF(DATOS!$G7355&lt;&gt;"EX",0,--(COUNTIFS(nNIA,DATOS!$A7355,nCURSO,DATOS!$D7355,nESPEC,DATOS!$E7355,nASIG,DATOS!$I7355,nEVAL,"OR")=0))</f>
      </c>
      <c r="I7355">
        <f>IF(DATOS!$I7355="","",IFERROR(VLOOKUP(DATOS!$I7355,CONFIG_ASIGNATURAS!$B$2:$J$91,9,FALSE()),""))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IF(DATOS!$A7356="",0,IF(CONFIG_METADATA!$B$4&lt;&gt;"OR+EX",--(DATOS!$G7356=CONFIG_METADATA!$B$4),IF(DATOS!$G7356="EX",1,IF(DATOS!$G7356="OR",--(COUNTIFS(nNIA,DATOS!$A7356,nCURSO,DATOS!$D7356,nESPEC,DATOS!$E7356,nASIG,DATOS!$I7356,nEVAL,"EX")=0),0))))</f>
      </c>
      <c r="H7356">
        <f>IF(DATOS!$G7356&lt;&gt;"EX",0,--(COUNTIFS(nNIA,DATOS!$A7356,nCURSO,DATOS!$D7356,nESPEC,DATOS!$E7356,nASIG,DATOS!$I7356,nEVAL,"OR")=0))</f>
      </c>
      <c r="I7356">
        <f>IF(DATOS!$I7356="","",IFERROR(VLOOKUP(DATOS!$I7356,CONFIG_ASIGNATURAS!$B$2:$J$91,9,FALSE()),""))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IF(DATOS!$A7357="",0,IF(CONFIG_METADATA!$B$4&lt;&gt;"OR+EX",--(DATOS!$G7357=CONFIG_METADATA!$B$4),IF(DATOS!$G7357="EX",1,IF(DATOS!$G7357="OR",--(COUNTIFS(nNIA,DATOS!$A7357,nCURSO,DATOS!$D7357,nESPEC,DATOS!$E7357,nASIG,DATOS!$I7357,nEVAL,"EX")=0),0))))</f>
      </c>
      <c r="H7357">
        <f>IF(DATOS!$G7357&lt;&gt;"EX",0,--(COUNTIFS(nNIA,DATOS!$A7357,nCURSO,DATOS!$D7357,nESPEC,DATOS!$E7357,nASIG,DATOS!$I7357,nEVAL,"OR")=0))</f>
      </c>
      <c r="I7357">
        <f>IF(DATOS!$I7357="","",IFERROR(VLOOKUP(DATOS!$I7357,CONFIG_ASIGNATURAS!$B$2:$J$91,9,FALSE()),""))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IF(DATOS!$A7358="",0,IF(CONFIG_METADATA!$B$4&lt;&gt;"OR+EX",--(DATOS!$G7358=CONFIG_METADATA!$B$4),IF(DATOS!$G7358="EX",1,IF(DATOS!$G7358="OR",--(COUNTIFS(nNIA,DATOS!$A7358,nCURSO,DATOS!$D7358,nESPEC,DATOS!$E7358,nASIG,DATOS!$I7358,nEVAL,"EX")=0),0))))</f>
      </c>
      <c r="H7358">
        <f>IF(DATOS!$G7358&lt;&gt;"EX",0,--(COUNTIFS(nNIA,DATOS!$A7358,nCURSO,DATOS!$D7358,nESPEC,DATOS!$E7358,nASIG,DATOS!$I7358,nEVAL,"OR")=0))</f>
      </c>
      <c r="I7358">
        <f>IF(DATOS!$I7358="","",IFERROR(VLOOKUP(DATOS!$I7358,CONFIG_ASIGNATURAS!$B$2:$J$91,9,FALSE()),""))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IF(DATOS!$A7359="",0,IF(CONFIG_METADATA!$B$4&lt;&gt;"OR+EX",--(DATOS!$G7359=CONFIG_METADATA!$B$4),IF(DATOS!$G7359="EX",1,IF(DATOS!$G7359="OR",--(COUNTIFS(nNIA,DATOS!$A7359,nCURSO,DATOS!$D7359,nESPEC,DATOS!$E7359,nASIG,DATOS!$I7359,nEVAL,"EX")=0),0))))</f>
      </c>
      <c r="H7359">
        <f>IF(DATOS!$G7359&lt;&gt;"EX",0,--(COUNTIFS(nNIA,DATOS!$A7359,nCURSO,DATOS!$D7359,nESPEC,DATOS!$E7359,nASIG,DATOS!$I7359,nEVAL,"OR")=0))</f>
      </c>
      <c r="I7359">
        <f>IF(DATOS!$I7359="","",IFERROR(VLOOKUP(DATOS!$I7359,CONFIG_ASIGNATURAS!$B$2:$J$91,9,FALSE()),""))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IF(DATOS!$A7360="",0,IF(CONFIG_METADATA!$B$4&lt;&gt;"OR+EX",--(DATOS!$G7360=CONFIG_METADATA!$B$4),IF(DATOS!$G7360="EX",1,IF(DATOS!$G7360="OR",--(COUNTIFS(nNIA,DATOS!$A7360,nCURSO,DATOS!$D7360,nESPEC,DATOS!$E7360,nASIG,DATOS!$I7360,nEVAL,"EX")=0),0))))</f>
      </c>
      <c r="H7360">
        <f>IF(DATOS!$G7360&lt;&gt;"EX",0,--(COUNTIFS(nNIA,DATOS!$A7360,nCURSO,DATOS!$D7360,nESPEC,DATOS!$E7360,nASIG,DATOS!$I7360,nEVAL,"OR")=0))</f>
      </c>
      <c r="I7360">
        <f>IF(DATOS!$I7360="","",IFERROR(VLOOKUP(DATOS!$I7360,CONFIG_ASIGNATURAS!$B$2:$J$91,9,FALSE()),""))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IF(DATOS!$A7361="",0,IF(CONFIG_METADATA!$B$4&lt;&gt;"OR+EX",--(DATOS!$G7361=CONFIG_METADATA!$B$4),IF(DATOS!$G7361="EX",1,IF(DATOS!$G7361="OR",--(COUNTIFS(nNIA,DATOS!$A7361,nCURSO,DATOS!$D7361,nESPEC,DATOS!$E7361,nASIG,DATOS!$I7361,nEVAL,"EX")=0),0))))</f>
      </c>
      <c r="H7361">
        <f>IF(DATOS!$G7361&lt;&gt;"EX",0,--(COUNTIFS(nNIA,DATOS!$A7361,nCURSO,DATOS!$D7361,nESPEC,DATOS!$E7361,nASIG,DATOS!$I7361,nEVAL,"OR")=0))</f>
      </c>
      <c r="I7361">
        <f>IF(DATOS!$I7361="","",IFERROR(VLOOKUP(DATOS!$I7361,CONFIG_ASIGNATURAS!$B$2:$J$91,9,FALSE()),""))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IF(DATOS!$A7362="",0,IF(CONFIG_METADATA!$B$4&lt;&gt;"OR+EX",--(DATOS!$G7362=CONFIG_METADATA!$B$4),IF(DATOS!$G7362="EX",1,IF(DATOS!$G7362="OR",--(COUNTIFS(nNIA,DATOS!$A7362,nCURSO,DATOS!$D7362,nESPEC,DATOS!$E7362,nASIG,DATOS!$I7362,nEVAL,"EX")=0),0))))</f>
      </c>
      <c r="H7362">
        <f>IF(DATOS!$G7362&lt;&gt;"EX",0,--(COUNTIFS(nNIA,DATOS!$A7362,nCURSO,DATOS!$D7362,nESPEC,DATOS!$E7362,nASIG,DATOS!$I7362,nEVAL,"OR")=0))</f>
      </c>
      <c r="I7362">
        <f>IF(DATOS!$I7362="","",IFERROR(VLOOKUP(DATOS!$I7362,CONFIG_ASIGNATURAS!$B$2:$J$91,9,FALSE()),""))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IF(DATOS!$A7363="",0,IF(CONFIG_METADATA!$B$4&lt;&gt;"OR+EX",--(DATOS!$G7363=CONFIG_METADATA!$B$4),IF(DATOS!$G7363="EX",1,IF(DATOS!$G7363="OR",--(COUNTIFS(nNIA,DATOS!$A7363,nCURSO,DATOS!$D7363,nESPEC,DATOS!$E7363,nASIG,DATOS!$I7363,nEVAL,"EX")=0),0))))</f>
      </c>
      <c r="H7363">
        <f>IF(DATOS!$G7363&lt;&gt;"EX",0,--(COUNTIFS(nNIA,DATOS!$A7363,nCURSO,DATOS!$D7363,nESPEC,DATOS!$E7363,nASIG,DATOS!$I7363,nEVAL,"OR")=0))</f>
      </c>
      <c r="I7363">
        <f>IF(DATOS!$I7363="","",IFERROR(VLOOKUP(DATOS!$I7363,CONFIG_ASIGNATURAS!$B$2:$J$91,9,FALSE()),""))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IF(DATOS!$A7364="",0,IF(CONFIG_METADATA!$B$4&lt;&gt;"OR+EX",--(DATOS!$G7364=CONFIG_METADATA!$B$4),IF(DATOS!$G7364="EX",1,IF(DATOS!$G7364="OR",--(COUNTIFS(nNIA,DATOS!$A7364,nCURSO,DATOS!$D7364,nESPEC,DATOS!$E7364,nASIG,DATOS!$I7364,nEVAL,"EX")=0),0))))</f>
      </c>
      <c r="H7364">
        <f>IF(DATOS!$G7364&lt;&gt;"EX",0,--(COUNTIFS(nNIA,DATOS!$A7364,nCURSO,DATOS!$D7364,nESPEC,DATOS!$E7364,nASIG,DATOS!$I7364,nEVAL,"OR")=0))</f>
      </c>
      <c r="I7364">
        <f>IF(DATOS!$I7364="","",IFERROR(VLOOKUP(DATOS!$I7364,CONFIG_ASIGNATURAS!$B$2:$J$91,9,FALSE()),""))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IF(DATOS!$A7365="",0,IF(CONFIG_METADATA!$B$4&lt;&gt;"OR+EX",--(DATOS!$G7365=CONFIG_METADATA!$B$4),IF(DATOS!$G7365="EX",1,IF(DATOS!$G7365="OR",--(COUNTIFS(nNIA,DATOS!$A7365,nCURSO,DATOS!$D7365,nESPEC,DATOS!$E7365,nASIG,DATOS!$I7365,nEVAL,"EX")=0),0))))</f>
      </c>
      <c r="H7365">
        <f>IF(DATOS!$G7365&lt;&gt;"EX",0,--(COUNTIFS(nNIA,DATOS!$A7365,nCURSO,DATOS!$D7365,nESPEC,DATOS!$E7365,nASIG,DATOS!$I7365,nEVAL,"OR")=0))</f>
      </c>
      <c r="I7365">
        <f>IF(DATOS!$I7365="","",IFERROR(VLOOKUP(DATOS!$I7365,CONFIG_ASIGNATURAS!$B$2:$J$91,9,FALSE()),""))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IF(DATOS!$A7366="",0,IF(CONFIG_METADATA!$B$4&lt;&gt;"OR+EX",--(DATOS!$G7366=CONFIG_METADATA!$B$4),IF(DATOS!$G7366="EX",1,IF(DATOS!$G7366="OR",--(COUNTIFS(nNIA,DATOS!$A7366,nCURSO,DATOS!$D7366,nESPEC,DATOS!$E7366,nASIG,DATOS!$I7366,nEVAL,"EX")=0),0))))</f>
      </c>
      <c r="H7366">
        <f>IF(DATOS!$G7366&lt;&gt;"EX",0,--(COUNTIFS(nNIA,DATOS!$A7366,nCURSO,DATOS!$D7366,nESPEC,DATOS!$E7366,nASIG,DATOS!$I7366,nEVAL,"OR")=0))</f>
      </c>
      <c r="I7366">
        <f>IF(DATOS!$I7366="","",IFERROR(VLOOKUP(DATOS!$I7366,CONFIG_ASIGNATURAS!$B$2:$J$91,9,FALSE()),""))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IF(DATOS!$A7367="",0,IF(CONFIG_METADATA!$B$4&lt;&gt;"OR+EX",--(DATOS!$G7367=CONFIG_METADATA!$B$4),IF(DATOS!$G7367="EX",1,IF(DATOS!$G7367="OR",--(COUNTIFS(nNIA,DATOS!$A7367,nCURSO,DATOS!$D7367,nESPEC,DATOS!$E7367,nASIG,DATOS!$I7367,nEVAL,"EX")=0),0))))</f>
      </c>
      <c r="H7367">
        <f>IF(DATOS!$G7367&lt;&gt;"EX",0,--(COUNTIFS(nNIA,DATOS!$A7367,nCURSO,DATOS!$D7367,nESPEC,DATOS!$E7367,nASIG,DATOS!$I7367,nEVAL,"OR")=0))</f>
      </c>
      <c r="I7367">
        <f>IF(DATOS!$I7367="","",IFERROR(VLOOKUP(DATOS!$I7367,CONFIG_ASIGNATURAS!$B$2:$J$91,9,FALSE()),""))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IF(DATOS!$A7368="",0,IF(CONFIG_METADATA!$B$4&lt;&gt;"OR+EX",--(DATOS!$G7368=CONFIG_METADATA!$B$4),IF(DATOS!$G7368="EX",1,IF(DATOS!$G7368="OR",--(COUNTIFS(nNIA,DATOS!$A7368,nCURSO,DATOS!$D7368,nESPEC,DATOS!$E7368,nASIG,DATOS!$I7368,nEVAL,"EX")=0),0))))</f>
      </c>
      <c r="H7368">
        <f>IF(DATOS!$G7368&lt;&gt;"EX",0,--(COUNTIFS(nNIA,DATOS!$A7368,nCURSO,DATOS!$D7368,nESPEC,DATOS!$E7368,nASIG,DATOS!$I7368,nEVAL,"OR")=0))</f>
      </c>
      <c r="I7368">
        <f>IF(DATOS!$I7368="","",IFERROR(VLOOKUP(DATOS!$I7368,CONFIG_ASIGNATURAS!$B$2:$J$91,9,FALSE()),""))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IF(DATOS!$A7369="",0,IF(CONFIG_METADATA!$B$4&lt;&gt;"OR+EX",--(DATOS!$G7369=CONFIG_METADATA!$B$4),IF(DATOS!$G7369="EX",1,IF(DATOS!$G7369="OR",--(COUNTIFS(nNIA,DATOS!$A7369,nCURSO,DATOS!$D7369,nESPEC,DATOS!$E7369,nASIG,DATOS!$I7369,nEVAL,"EX")=0),0))))</f>
      </c>
      <c r="H7369">
        <f>IF(DATOS!$G7369&lt;&gt;"EX",0,--(COUNTIFS(nNIA,DATOS!$A7369,nCURSO,DATOS!$D7369,nESPEC,DATOS!$E7369,nASIG,DATOS!$I7369,nEVAL,"OR")=0))</f>
      </c>
      <c r="I7369">
        <f>IF(DATOS!$I7369="","",IFERROR(VLOOKUP(DATOS!$I7369,CONFIG_ASIGNATURAS!$B$2:$J$91,9,FALSE()),""))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IF(DATOS!$A7370="",0,IF(CONFIG_METADATA!$B$4&lt;&gt;"OR+EX",--(DATOS!$G7370=CONFIG_METADATA!$B$4),IF(DATOS!$G7370="EX",1,IF(DATOS!$G7370="OR",--(COUNTIFS(nNIA,DATOS!$A7370,nCURSO,DATOS!$D7370,nESPEC,DATOS!$E7370,nASIG,DATOS!$I7370,nEVAL,"EX")=0),0))))</f>
      </c>
      <c r="H7370">
        <f>IF(DATOS!$G7370&lt;&gt;"EX",0,--(COUNTIFS(nNIA,DATOS!$A7370,nCURSO,DATOS!$D7370,nESPEC,DATOS!$E7370,nASIG,DATOS!$I7370,nEVAL,"OR")=0))</f>
      </c>
      <c r="I7370">
        <f>IF(DATOS!$I7370="","",IFERROR(VLOOKUP(DATOS!$I7370,CONFIG_ASIGNATURAS!$B$2:$J$91,9,FALSE()),""))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IF(DATOS!$A7371="",0,IF(CONFIG_METADATA!$B$4&lt;&gt;"OR+EX",--(DATOS!$G7371=CONFIG_METADATA!$B$4),IF(DATOS!$G7371="EX",1,IF(DATOS!$G7371="OR",--(COUNTIFS(nNIA,DATOS!$A7371,nCURSO,DATOS!$D7371,nESPEC,DATOS!$E7371,nASIG,DATOS!$I7371,nEVAL,"EX")=0),0))))</f>
      </c>
      <c r="H7371">
        <f>IF(DATOS!$G7371&lt;&gt;"EX",0,--(COUNTIFS(nNIA,DATOS!$A7371,nCURSO,DATOS!$D7371,nESPEC,DATOS!$E7371,nASIG,DATOS!$I7371,nEVAL,"OR")=0))</f>
      </c>
      <c r="I7371">
        <f>IF(DATOS!$I7371="","",IFERROR(VLOOKUP(DATOS!$I7371,CONFIG_ASIGNATURAS!$B$2:$J$91,9,FALSE()),""))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IF(DATOS!$A7372="",0,IF(CONFIG_METADATA!$B$4&lt;&gt;"OR+EX",--(DATOS!$G7372=CONFIG_METADATA!$B$4),IF(DATOS!$G7372="EX",1,IF(DATOS!$G7372="OR",--(COUNTIFS(nNIA,DATOS!$A7372,nCURSO,DATOS!$D7372,nESPEC,DATOS!$E7372,nASIG,DATOS!$I7372,nEVAL,"EX")=0),0))))</f>
      </c>
      <c r="H7372">
        <f>IF(DATOS!$G7372&lt;&gt;"EX",0,--(COUNTIFS(nNIA,DATOS!$A7372,nCURSO,DATOS!$D7372,nESPEC,DATOS!$E7372,nASIG,DATOS!$I7372,nEVAL,"OR")=0))</f>
      </c>
      <c r="I7372">
        <f>IF(DATOS!$I7372="","",IFERROR(VLOOKUP(DATOS!$I7372,CONFIG_ASIGNATURAS!$B$2:$J$91,9,FALSE()),""))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IF(DATOS!$A7373="",0,IF(CONFIG_METADATA!$B$4&lt;&gt;"OR+EX",--(DATOS!$G7373=CONFIG_METADATA!$B$4),IF(DATOS!$G7373="EX",1,IF(DATOS!$G7373="OR",--(COUNTIFS(nNIA,DATOS!$A7373,nCURSO,DATOS!$D7373,nESPEC,DATOS!$E7373,nASIG,DATOS!$I7373,nEVAL,"EX")=0),0))))</f>
      </c>
      <c r="H7373">
        <f>IF(DATOS!$G7373&lt;&gt;"EX",0,--(COUNTIFS(nNIA,DATOS!$A7373,nCURSO,DATOS!$D7373,nESPEC,DATOS!$E7373,nASIG,DATOS!$I7373,nEVAL,"OR")=0))</f>
      </c>
      <c r="I7373">
        <f>IF(DATOS!$I7373="","",IFERROR(VLOOKUP(DATOS!$I7373,CONFIG_ASIGNATURAS!$B$2:$J$91,9,FALSE()),""))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IF(DATOS!$A7374="",0,IF(CONFIG_METADATA!$B$4&lt;&gt;"OR+EX",--(DATOS!$G7374=CONFIG_METADATA!$B$4),IF(DATOS!$G7374="EX",1,IF(DATOS!$G7374="OR",--(COUNTIFS(nNIA,DATOS!$A7374,nCURSO,DATOS!$D7374,nESPEC,DATOS!$E7374,nASIG,DATOS!$I7374,nEVAL,"EX")=0),0))))</f>
      </c>
      <c r="H7374">
        <f>IF(DATOS!$G7374&lt;&gt;"EX",0,--(COUNTIFS(nNIA,DATOS!$A7374,nCURSO,DATOS!$D7374,nESPEC,DATOS!$E7374,nASIG,DATOS!$I7374,nEVAL,"OR")=0))</f>
      </c>
      <c r="I7374">
        <f>IF(DATOS!$I7374="","",IFERROR(VLOOKUP(DATOS!$I7374,CONFIG_ASIGNATURAS!$B$2:$J$91,9,FALSE()),""))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IF(DATOS!$A7375="",0,IF(CONFIG_METADATA!$B$4&lt;&gt;"OR+EX",--(DATOS!$G7375=CONFIG_METADATA!$B$4),IF(DATOS!$G7375="EX",1,IF(DATOS!$G7375="OR",--(COUNTIFS(nNIA,DATOS!$A7375,nCURSO,DATOS!$D7375,nESPEC,DATOS!$E7375,nASIG,DATOS!$I7375,nEVAL,"EX")=0),0))))</f>
      </c>
      <c r="H7375">
        <f>IF(DATOS!$G7375&lt;&gt;"EX",0,--(COUNTIFS(nNIA,DATOS!$A7375,nCURSO,DATOS!$D7375,nESPEC,DATOS!$E7375,nASIG,DATOS!$I7375,nEVAL,"OR")=0))</f>
      </c>
      <c r="I7375">
        <f>IF(DATOS!$I7375="","",IFERROR(VLOOKUP(DATOS!$I7375,CONFIG_ASIGNATURAS!$B$2:$J$91,9,FALSE()),""))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IF(DATOS!$A7376="",0,IF(CONFIG_METADATA!$B$4&lt;&gt;"OR+EX",--(DATOS!$G7376=CONFIG_METADATA!$B$4),IF(DATOS!$G7376="EX",1,IF(DATOS!$G7376="OR",--(COUNTIFS(nNIA,DATOS!$A7376,nCURSO,DATOS!$D7376,nESPEC,DATOS!$E7376,nASIG,DATOS!$I7376,nEVAL,"EX")=0),0))))</f>
      </c>
      <c r="H7376">
        <f>IF(DATOS!$G7376&lt;&gt;"EX",0,--(COUNTIFS(nNIA,DATOS!$A7376,nCURSO,DATOS!$D7376,nESPEC,DATOS!$E7376,nASIG,DATOS!$I7376,nEVAL,"OR")=0))</f>
      </c>
      <c r="I7376">
        <f>IF(DATOS!$I7376="","",IFERROR(VLOOKUP(DATOS!$I7376,CONFIG_ASIGNATURAS!$B$2:$J$91,9,FALSE()),""))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IF(DATOS!$A7377="",0,IF(CONFIG_METADATA!$B$4&lt;&gt;"OR+EX",--(DATOS!$G7377=CONFIG_METADATA!$B$4),IF(DATOS!$G7377="EX",1,IF(DATOS!$G7377="OR",--(COUNTIFS(nNIA,DATOS!$A7377,nCURSO,DATOS!$D7377,nESPEC,DATOS!$E7377,nASIG,DATOS!$I7377,nEVAL,"EX")=0),0))))</f>
      </c>
      <c r="H7377">
        <f>IF(DATOS!$G7377&lt;&gt;"EX",0,--(COUNTIFS(nNIA,DATOS!$A7377,nCURSO,DATOS!$D7377,nESPEC,DATOS!$E7377,nASIG,DATOS!$I7377,nEVAL,"OR")=0))</f>
      </c>
      <c r="I7377">
        <f>IF(DATOS!$I7377="","",IFERROR(VLOOKUP(DATOS!$I7377,CONFIG_ASIGNATURAS!$B$2:$J$91,9,FALSE()),""))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IF(DATOS!$A7378="",0,IF(CONFIG_METADATA!$B$4&lt;&gt;"OR+EX",--(DATOS!$G7378=CONFIG_METADATA!$B$4),IF(DATOS!$G7378="EX",1,IF(DATOS!$G7378="OR",--(COUNTIFS(nNIA,DATOS!$A7378,nCURSO,DATOS!$D7378,nESPEC,DATOS!$E7378,nASIG,DATOS!$I7378,nEVAL,"EX")=0),0))))</f>
      </c>
      <c r="H7378">
        <f>IF(DATOS!$G7378&lt;&gt;"EX",0,--(COUNTIFS(nNIA,DATOS!$A7378,nCURSO,DATOS!$D7378,nESPEC,DATOS!$E7378,nASIG,DATOS!$I7378,nEVAL,"OR")=0))</f>
      </c>
      <c r="I7378">
        <f>IF(DATOS!$I7378="","",IFERROR(VLOOKUP(DATOS!$I7378,CONFIG_ASIGNATURAS!$B$2:$J$91,9,FALSE()),""))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IF(DATOS!$A7379="",0,IF(CONFIG_METADATA!$B$4&lt;&gt;"OR+EX",--(DATOS!$G7379=CONFIG_METADATA!$B$4),IF(DATOS!$G7379="EX",1,IF(DATOS!$G7379="OR",--(COUNTIFS(nNIA,DATOS!$A7379,nCURSO,DATOS!$D7379,nESPEC,DATOS!$E7379,nASIG,DATOS!$I7379,nEVAL,"EX")=0),0))))</f>
      </c>
      <c r="H7379">
        <f>IF(DATOS!$G7379&lt;&gt;"EX",0,--(COUNTIFS(nNIA,DATOS!$A7379,nCURSO,DATOS!$D7379,nESPEC,DATOS!$E7379,nASIG,DATOS!$I7379,nEVAL,"OR")=0))</f>
      </c>
      <c r="I7379">
        <f>IF(DATOS!$I7379="","",IFERROR(VLOOKUP(DATOS!$I7379,CONFIG_ASIGNATURAS!$B$2:$J$91,9,FALSE()),""))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IF(DATOS!$A7380="",0,IF(CONFIG_METADATA!$B$4&lt;&gt;"OR+EX",--(DATOS!$G7380=CONFIG_METADATA!$B$4),IF(DATOS!$G7380="EX",1,IF(DATOS!$G7380="OR",--(COUNTIFS(nNIA,DATOS!$A7380,nCURSO,DATOS!$D7380,nESPEC,DATOS!$E7380,nASIG,DATOS!$I7380,nEVAL,"EX")=0),0))))</f>
      </c>
      <c r="H7380">
        <f>IF(DATOS!$G7380&lt;&gt;"EX",0,--(COUNTIFS(nNIA,DATOS!$A7380,nCURSO,DATOS!$D7380,nESPEC,DATOS!$E7380,nASIG,DATOS!$I7380,nEVAL,"OR")=0))</f>
      </c>
      <c r="I7380">
        <f>IF(DATOS!$I7380="","",IFERROR(VLOOKUP(DATOS!$I7380,CONFIG_ASIGNATURAS!$B$2:$J$91,9,FALSE()),""))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IF(DATOS!$A7381="",0,IF(CONFIG_METADATA!$B$4&lt;&gt;"OR+EX",--(DATOS!$G7381=CONFIG_METADATA!$B$4),IF(DATOS!$G7381="EX",1,IF(DATOS!$G7381="OR",--(COUNTIFS(nNIA,DATOS!$A7381,nCURSO,DATOS!$D7381,nESPEC,DATOS!$E7381,nASIG,DATOS!$I7381,nEVAL,"EX")=0),0))))</f>
      </c>
      <c r="H7381">
        <f>IF(DATOS!$G7381&lt;&gt;"EX",0,--(COUNTIFS(nNIA,DATOS!$A7381,nCURSO,DATOS!$D7381,nESPEC,DATOS!$E7381,nASIG,DATOS!$I7381,nEVAL,"OR")=0))</f>
      </c>
      <c r="I7381">
        <f>IF(DATOS!$I7381="","",IFERROR(VLOOKUP(DATOS!$I7381,CONFIG_ASIGNATURAS!$B$2:$J$91,9,FALSE()),""))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IF(DATOS!$A7382="",0,IF(CONFIG_METADATA!$B$4&lt;&gt;"OR+EX",--(DATOS!$G7382=CONFIG_METADATA!$B$4),IF(DATOS!$G7382="EX",1,IF(DATOS!$G7382="OR",--(COUNTIFS(nNIA,DATOS!$A7382,nCURSO,DATOS!$D7382,nESPEC,DATOS!$E7382,nASIG,DATOS!$I7382,nEVAL,"EX")=0),0))))</f>
      </c>
      <c r="H7382">
        <f>IF(DATOS!$G7382&lt;&gt;"EX",0,--(COUNTIFS(nNIA,DATOS!$A7382,nCURSO,DATOS!$D7382,nESPEC,DATOS!$E7382,nASIG,DATOS!$I7382,nEVAL,"OR")=0))</f>
      </c>
      <c r="I7382">
        <f>IF(DATOS!$I7382="","",IFERROR(VLOOKUP(DATOS!$I7382,CONFIG_ASIGNATURAS!$B$2:$J$91,9,FALSE()),""))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IF(DATOS!$A7383="",0,IF(CONFIG_METADATA!$B$4&lt;&gt;"OR+EX",--(DATOS!$G7383=CONFIG_METADATA!$B$4),IF(DATOS!$G7383="EX",1,IF(DATOS!$G7383="OR",--(COUNTIFS(nNIA,DATOS!$A7383,nCURSO,DATOS!$D7383,nESPEC,DATOS!$E7383,nASIG,DATOS!$I7383,nEVAL,"EX")=0),0))))</f>
      </c>
      <c r="H7383">
        <f>IF(DATOS!$G7383&lt;&gt;"EX",0,--(COUNTIFS(nNIA,DATOS!$A7383,nCURSO,DATOS!$D7383,nESPEC,DATOS!$E7383,nASIG,DATOS!$I7383,nEVAL,"OR")=0))</f>
      </c>
      <c r="I7383">
        <f>IF(DATOS!$I7383="","",IFERROR(VLOOKUP(DATOS!$I7383,CONFIG_ASIGNATURAS!$B$2:$J$91,9,FALSE()),""))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IF(DATOS!$A7384="",0,IF(CONFIG_METADATA!$B$4&lt;&gt;"OR+EX",--(DATOS!$G7384=CONFIG_METADATA!$B$4),IF(DATOS!$G7384="EX",1,IF(DATOS!$G7384="OR",--(COUNTIFS(nNIA,DATOS!$A7384,nCURSO,DATOS!$D7384,nESPEC,DATOS!$E7384,nASIG,DATOS!$I7384,nEVAL,"EX")=0),0))))</f>
      </c>
      <c r="H7384">
        <f>IF(DATOS!$G7384&lt;&gt;"EX",0,--(COUNTIFS(nNIA,DATOS!$A7384,nCURSO,DATOS!$D7384,nESPEC,DATOS!$E7384,nASIG,DATOS!$I7384,nEVAL,"OR")=0))</f>
      </c>
      <c r="I7384">
        <f>IF(DATOS!$I7384="","",IFERROR(VLOOKUP(DATOS!$I7384,CONFIG_ASIGNATURAS!$B$2:$J$91,9,FALSE()),""))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IF(DATOS!$A7385="",0,IF(CONFIG_METADATA!$B$4&lt;&gt;"OR+EX",--(DATOS!$G7385=CONFIG_METADATA!$B$4),IF(DATOS!$G7385="EX",1,IF(DATOS!$G7385="OR",--(COUNTIFS(nNIA,DATOS!$A7385,nCURSO,DATOS!$D7385,nESPEC,DATOS!$E7385,nASIG,DATOS!$I7385,nEVAL,"EX")=0),0))))</f>
      </c>
      <c r="H7385">
        <f>IF(DATOS!$G7385&lt;&gt;"EX",0,--(COUNTIFS(nNIA,DATOS!$A7385,nCURSO,DATOS!$D7385,nESPEC,DATOS!$E7385,nASIG,DATOS!$I7385,nEVAL,"OR")=0))</f>
      </c>
      <c r="I7385">
        <f>IF(DATOS!$I7385="","",IFERROR(VLOOKUP(DATOS!$I7385,CONFIG_ASIGNATURAS!$B$2:$J$91,9,FALSE()),""))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IF(DATOS!$A7386="",0,IF(CONFIG_METADATA!$B$4&lt;&gt;"OR+EX",--(DATOS!$G7386=CONFIG_METADATA!$B$4),IF(DATOS!$G7386="EX",1,IF(DATOS!$G7386="OR",--(COUNTIFS(nNIA,DATOS!$A7386,nCURSO,DATOS!$D7386,nESPEC,DATOS!$E7386,nASIG,DATOS!$I7386,nEVAL,"EX")=0),0))))</f>
      </c>
      <c r="H7386">
        <f>IF(DATOS!$G7386&lt;&gt;"EX",0,--(COUNTIFS(nNIA,DATOS!$A7386,nCURSO,DATOS!$D7386,nESPEC,DATOS!$E7386,nASIG,DATOS!$I7386,nEVAL,"OR")=0))</f>
      </c>
      <c r="I7386">
        <f>IF(DATOS!$I7386="","",IFERROR(VLOOKUP(DATOS!$I7386,CONFIG_ASIGNATURAS!$B$2:$J$91,9,FALSE()),""))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IF(DATOS!$A7387="",0,IF(CONFIG_METADATA!$B$4&lt;&gt;"OR+EX",--(DATOS!$G7387=CONFIG_METADATA!$B$4),IF(DATOS!$G7387="EX",1,IF(DATOS!$G7387="OR",--(COUNTIFS(nNIA,DATOS!$A7387,nCURSO,DATOS!$D7387,nESPEC,DATOS!$E7387,nASIG,DATOS!$I7387,nEVAL,"EX")=0),0))))</f>
      </c>
      <c r="H7387">
        <f>IF(DATOS!$G7387&lt;&gt;"EX",0,--(COUNTIFS(nNIA,DATOS!$A7387,nCURSO,DATOS!$D7387,nESPEC,DATOS!$E7387,nASIG,DATOS!$I7387,nEVAL,"OR")=0))</f>
      </c>
      <c r="I7387">
        <f>IF(DATOS!$I7387="","",IFERROR(VLOOKUP(DATOS!$I7387,CONFIG_ASIGNATURAS!$B$2:$J$91,9,FALSE()),""))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IF(DATOS!$A7388="",0,IF(CONFIG_METADATA!$B$4&lt;&gt;"OR+EX",--(DATOS!$G7388=CONFIG_METADATA!$B$4),IF(DATOS!$G7388="EX",1,IF(DATOS!$G7388="OR",--(COUNTIFS(nNIA,DATOS!$A7388,nCURSO,DATOS!$D7388,nESPEC,DATOS!$E7388,nASIG,DATOS!$I7388,nEVAL,"EX")=0),0))))</f>
      </c>
      <c r="H7388">
        <f>IF(DATOS!$G7388&lt;&gt;"EX",0,--(COUNTIFS(nNIA,DATOS!$A7388,nCURSO,DATOS!$D7388,nESPEC,DATOS!$E7388,nASIG,DATOS!$I7388,nEVAL,"OR")=0))</f>
      </c>
      <c r="I7388">
        <f>IF(DATOS!$I7388="","",IFERROR(VLOOKUP(DATOS!$I7388,CONFIG_ASIGNATURAS!$B$2:$J$91,9,FALSE()),""))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IF(DATOS!$A7389="",0,IF(CONFIG_METADATA!$B$4&lt;&gt;"OR+EX",--(DATOS!$G7389=CONFIG_METADATA!$B$4),IF(DATOS!$G7389="EX",1,IF(DATOS!$G7389="OR",--(COUNTIFS(nNIA,DATOS!$A7389,nCURSO,DATOS!$D7389,nESPEC,DATOS!$E7389,nASIG,DATOS!$I7389,nEVAL,"EX")=0),0))))</f>
      </c>
      <c r="H7389">
        <f>IF(DATOS!$G7389&lt;&gt;"EX",0,--(COUNTIFS(nNIA,DATOS!$A7389,nCURSO,DATOS!$D7389,nESPEC,DATOS!$E7389,nASIG,DATOS!$I7389,nEVAL,"OR")=0))</f>
      </c>
      <c r="I7389">
        <f>IF(DATOS!$I7389="","",IFERROR(VLOOKUP(DATOS!$I7389,CONFIG_ASIGNATURAS!$B$2:$J$91,9,FALSE()),""))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IF(DATOS!$A7390="",0,IF(CONFIG_METADATA!$B$4&lt;&gt;"OR+EX",--(DATOS!$G7390=CONFIG_METADATA!$B$4),IF(DATOS!$G7390="EX",1,IF(DATOS!$G7390="OR",--(COUNTIFS(nNIA,DATOS!$A7390,nCURSO,DATOS!$D7390,nESPEC,DATOS!$E7390,nASIG,DATOS!$I7390,nEVAL,"EX")=0),0))))</f>
      </c>
      <c r="H7390">
        <f>IF(DATOS!$G7390&lt;&gt;"EX",0,--(COUNTIFS(nNIA,DATOS!$A7390,nCURSO,DATOS!$D7390,nESPEC,DATOS!$E7390,nASIG,DATOS!$I7390,nEVAL,"OR")=0))</f>
      </c>
      <c r="I7390">
        <f>IF(DATOS!$I7390="","",IFERROR(VLOOKUP(DATOS!$I7390,CONFIG_ASIGNATURAS!$B$2:$J$91,9,FALSE()),""))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IF(DATOS!$A7391="",0,IF(CONFIG_METADATA!$B$4&lt;&gt;"OR+EX",--(DATOS!$G7391=CONFIG_METADATA!$B$4),IF(DATOS!$G7391="EX",1,IF(DATOS!$G7391="OR",--(COUNTIFS(nNIA,DATOS!$A7391,nCURSO,DATOS!$D7391,nESPEC,DATOS!$E7391,nASIG,DATOS!$I7391,nEVAL,"EX")=0),0))))</f>
      </c>
      <c r="H7391">
        <f>IF(DATOS!$G7391&lt;&gt;"EX",0,--(COUNTIFS(nNIA,DATOS!$A7391,nCURSO,DATOS!$D7391,nESPEC,DATOS!$E7391,nASIG,DATOS!$I7391,nEVAL,"OR")=0))</f>
      </c>
      <c r="I7391">
        <f>IF(DATOS!$I7391="","",IFERROR(VLOOKUP(DATOS!$I7391,CONFIG_ASIGNATURAS!$B$2:$J$91,9,FALSE()),""))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IF(DATOS!$A7392="",0,IF(CONFIG_METADATA!$B$4&lt;&gt;"OR+EX",--(DATOS!$G7392=CONFIG_METADATA!$B$4),IF(DATOS!$G7392="EX",1,IF(DATOS!$G7392="OR",--(COUNTIFS(nNIA,DATOS!$A7392,nCURSO,DATOS!$D7392,nESPEC,DATOS!$E7392,nASIG,DATOS!$I7392,nEVAL,"EX")=0),0))))</f>
      </c>
      <c r="H7392">
        <f>IF(DATOS!$G7392&lt;&gt;"EX",0,--(COUNTIFS(nNIA,DATOS!$A7392,nCURSO,DATOS!$D7392,nESPEC,DATOS!$E7392,nASIG,DATOS!$I7392,nEVAL,"OR")=0))</f>
      </c>
      <c r="I7392">
        <f>IF(DATOS!$I7392="","",IFERROR(VLOOKUP(DATOS!$I7392,CONFIG_ASIGNATURAS!$B$2:$J$91,9,FALSE()),""))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IF(DATOS!$A7393="",0,IF(CONFIG_METADATA!$B$4&lt;&gt;"OR+EX",--(DATOS!$G7393=CONFIG_METADATA!$B$4),IF(DATOS!$G7393="EX",1,IF(DATOS!$G7393="OR",--(COUNTIFS(nNIA,DATOS!$A7393,nCURSO,DATOS!$D7393,nESPEC,DATOS!$E7393,nASIG,DATOS!$I7393,nEVAL,"EX")=0),0))))</f>
      </c>
      <c r="H7393">
        <f>IF(DATOS!$G7393&lt;&gt;"EX",0,--(COUNTIFS(nNIA,DATOS!$A7393,nCURSO,DATOS!$D7393,nESPEC,DATOS!$E7393,nASIG,DATOS!$I7393,nEVAL,"OR")=0))</f>
      </c>
      <c r="I7393">
        <f>IF(DATOS!$I7393="","",IFERROR(VLOOKUP(DATOS!$I7393,CONFIG_ASIGNATURAS!$B$2:$J$91,9,FALSE()),""))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IF(DATOS!$A7394="",0,IF(CONFIG_METADATA!$B$4&lt;&gt;"OR+EX",--(DATOS!$G7394=CONFIG_METADATA!$B$4),IF(DATOS!$G7394="EX",1,IF(DATOS!$G7394="OR",--(COUNTIFS(nNIA,DATOS!$A7394,nCURSO,DATOS!$D7394,nESPEC,DATOS!$E7394,nASIG,DATOS!$I7394,nEVAL,"EX")=0),0))))</f>
      </c>
      <c r="H7394">
        <f>IF(DATOS!$G7394&lt;&gt;"EX",0,--(COUNTIFS(nNIA,DATOS!$A7394,nCURSO,DATOS!$D7394,nESPEC,DATOS!$E7394,nASIG,DATOS!$I7394,nEVAL,"OR")=0))</f>
      </c>
      <c r="I7394">
        <f>IF(DATOS!$I7394="","",IFERROR(VLOOKUP(DATOS!$I7394,CONFIG_ASIGNATURAS!$B$2:$J$91,9,FALSE()),""))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IF(DATOS!$A7395="",0,IF(CONFIG_METADATA!$B$4&lt;&gt;"OR+EX",--(DATOS!$G7395=CONFIG_METADATA!$B$4),IF(DATOS!$G7395="EX",1,IF(DATOS!$G7395="OR",--(COUNTIFS(nNIA,DATOS!$A7395,nCURSO,DATOS!$D7395,nESPEC,DATOS!$E7395,nASIG,DATOS!$I7395,nEVAL,"EX")=0),0))))</f>
      </c>
      <c r="H7395">
        <f>IF(DATOS!$G7395&lt;&gt;"EX",0,--(COUNTIFS(nNIA,DATOS!$A7395,nCURSO,DATOS!$D7395,nESPEC,DATOS!$E7395,nASIG,DATOS!$I7395,nEVAL,"OR")=0))</f>
      </c>
      <c r="I7395">
        <f>IF(DATOS!$I7395="","",IFERROR(VLOOKUP(DATOS!$I7395,CONFIG_ASIGNATURAS!$B$2:$J$91,9,FALSE()),""))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IF(DATOS!$A7396="",0,IF(CONFIG_METADATA!$B$4&lt;&gt;"OR+EX",--(DATOS!$G7396=CONFIG_METADATA!$B$4),IF(DATOS!$G7396="EX",1,IF(DATOS!$G7396="OR",--(COUNTIFS(nNIA,DATOS!$A7396,nCURSO,DATOS!$D7396,nESPEC,DATOS!$E7396,nASIG,DATOS!$I7396,nEVAL,"EX")=0),0))))</f>
      </c>
      <c r="H7396">
        <f>IF(DATOS!$G7396&lt;&gt;"EX",0,--(COUNTIFS(nNIA,DATOS!$A7396,nCURSO,DATOS!$D7396,nESPEC,DATOS!$E7396,nASIG,DATOS!$I7396,nEVAL,"OR")=0))</f>
      </c>
      <c r="I7396">
        <f>IF(DATOS!$I7396="","",IFERROR(VLOOKUP(DATOS!$I7396,CONFIG_ASIGNATURAS!$B$2:$J$91,9,FALSE()),""))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IF(DATOS!$A7397="",0,IF(CONFIG_METADATA!$B$4&lt;&gt;"OR+EX",--(DATOS!$G7397=CONFIG_METADATA!$B$4),IF(DATOS!$G7397="EX",1,IF(DATOS!$G7397="OR",--(COUNTIFS(nNIA,DATOS!$A7397,nCURSO,DATOS!$D7397,nESPEC,DATOS!$E7397,nASIG,DATOS!$I7397,nEVAL,"EX")=0),0))))</f>
      </c>
      <c r="H7397">
        <f>IF(DATOS!$G7397&lt;&gt;"EX",0,--(COUNTIFS(nNIA,DATOS!$A7397,nCURSO,DATOS!$D7397,nESPEC,DATOS!$E7397,nASIG,DATOS!$I7397,nEVAL,"OR")=0))</f>
      </c>
      <c r="I7397">
        <f>IF(DATOS!$I7397="","",IFERROR(VLOOKUP(DATOS!$I7397,CONFIG_ASIGNATURAS!$B$2:$J$91,9,FALSE()),""))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IF(DATOS!$A7398="",0,IF(CONFIG_METADATA!$B$4&lt;&gt;"OR+EX",--(DATOS!$G7398=CONFIG_METADATA!$B$4),IF(DATOS!$G7398="EX",1,IF(DATOS!$G7398="OR",--(COUNTIFS(nNIA,DATOS!$A7398,nCURSO,DATOS!$D7398,nESPEC,DATOS!$E7398,nASIG,DATOS!$I7398,nEVAL,"EX")=0),0))))</f>
      </c>
      <c r="H7398">
        <f>IF(DATOS!$G7398&lt;&gt;"EX",0,--(COUNTIFS(nNIA,DATOS!$A7398,nCURSO,DATOS!$D7398,nESPEC,DATOS!$E7398,nASIG,DATOS!$I7398,nEVAL,"OR")=0))</f>
      </c>
      <c r="I7398">
        <f>IF(DATOS!$I7398="","",IFERROR(VLOOKUP(DATOS!$I7398,CONFIG_ASIGNATURAS!$B$2:$J$91,9,FALSE()),""))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IF(DATOS!$A7399="",0,IF(CONFIG_METADATA!$B$4&lt;&gt;"OR+EX",--(DATOS!$G7399=CONFIG_METADATA!$B$4),IF(DATOS!$G7399="EX",1,IF(DATOS!$G7399="OR",--(COUNTIFS(nNIA,DATOS!$A7399,nCURSO,DATOS!$D7399,nESPEC,DATOS!$E7399,nASIG,DATOS!$I7399,nEVAL,"EX")=0),0))))</f>
      </c>
      <c r="H7399">
        <f>IF(DATOS!$G7399&lt;&gt;"EX",0,--(COUNTIFS(nNIA,DATOS!$A7399,nCURSO,DATOS!$D7399,nESPEC,DATOS!$E7399,nASIG,DATOS!$I7399,nEVAL,"OR")=0))</f>
      </c>
      <c r="I7399">
        <f>IF(DATOS!$I7399="","",IFERROR(VLOOKUP(DATOS!$I7399,CONFIG_ASIGNATURAS!$B$2:$J$91,9,FALSE()),""))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IF(DATOS!$A7400="",0,IF(CONFIG_METADATA!$B$4&lt;&gt;"OR+EX",--(DATOS!$G7400=CONFIG_METADATA!$B$4),IF(DATOS!$G7400="EX",1,IF(DATOS!$G7400="OR",--(COUNTIFS(nNIA,DATOS!$A7400,nCURSO,DATOS!$D7400,nESPEC,DATOS!$E7400,nASIG,DATOS!$I7400,nEVAL,"EX")=0),0))))</f>
      </c>
      <c r="H7400">
        <f>IF(DATOS!$G7400&lt;&gt;"EX",0,--(COUNTIFS(nNIA,DATOS!$A7400,nCURSO,DATOS!$D7400,nESPEC,DATOS!$E7400,nASIG,DATOS!$I7400,nEVAL,"OR")=0))</f>
      </c>
      <c r="I7400">
        <f>IF(DATOS!$I7400="","",IFERROR(VLOOKUP(DATOS!$I7400,CONFIG_ASIGNATURAS!$B$2:$J$91,9,FALSE()),""))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IF(DATOS!$A7401="",0,IF(CONFIG_METADATA!$B$4&lt;&gt;"OR+EX",--(DATOS!$G7401=CONFIG_METADATA!$B$4),IF(DATOS!$G7401="EX",1,IF(DATOS!$G7401="OR",--(COUNTIFS(nNIA,DATOS!$A7401,nCURSO,DATOS!$D7401,nESPEC,DATOS!$E7401,nASIG,DATOS!$I7401,nEVAL,"EX")=0),0))))</f>
      </c>
      <c r="H7401">
        <f>IF(DATOS!$G7401&lt;&gt;"EX",0,--(COUNTIFS(nNIA,DATOS!$A7401,nCURSO,DATOS!$D7401,nESPEC,DATOS!$E7401,nASIG,DATOS!$I7401,nEVAL,"OR")=0))</f>
      </c>
      <c r="I7401">
        <f>IF(DATOS!$I7401="","",IFERROR(VLOOKUP(DATOS!$I7401,CONFIG_ASIGNATURAS!$B$2:$J$91,9,FALSE()),""))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IF(DATOS!$A7402="",0,IF(CONFIG_METADATA!$B$4&lt;&gt;"OR+EX",--(DATOS!$G7402=CONFIG_METADATA!$B$4),IF(DATOS!$G7402="EX",1,IF(DATOS!$G7402="OR",--(COUNTIFS(nNIA,DATOS!$A7402,nCURSO,DATOS!$D7402,nESPEC,DATOS!$E7402,nASIG,DATOS!$I7402,nEVAL,"EX")=0),0))))</f>
      </c>
      <c r="H7402">
        <f>IF(DATOS!$G7402&lt;&gt;"EX",0,--(COUNTIFS(nNIA,DATOS!$A7402,nCURSO,DATOS!$D7402,nESPEC,DATOS!$E7402,nASIG,DATOS!$I7402,nEVAL,"OR")=0))</f>
      </c>
      <c r="I7402">
        <f>IF(DATOS!$I7402="","",IFERROR(VLOOKUP(DATOS!$I7402,CONFIG_ASIGNATURAS!$B$2:$J$91,9,FALSE()),""))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IF(DATOS!$A7403="",0,IF(CONFIG_METADATA!$B$4&lt;&gt;"OR+EX",--(DATOS!$G7403=CONFIG_METADATA!$B$4),IF(DATOS!$G7403="EX",1,IF(DATOS!$G7403="OR",--(COUNTIFS(nNIA,DATOS!$A7403,nCURSO,DATOS!$D7403,nESPEC,DATOS!$E7403,nASIG,DATOS!$I7403,nEVAL,"EX")=0),0))))</f>
      </c>
      <c r="H7403">
        <f>IF(DATOS!$G7403&lt;&gt;"EX",0,--(COUNTIFS(nNIA,DATOS!$A7403,nCURSO,DATOS!$D7403,nESPEC,DATOS!$E7403,nASIG,DATOS!$I7403,nEVAL,"OR")=0))</f>
      </c>
      <c r="I7403">
        <f>IF(DATOS!$I7403="","",IFERROR(VLOOKUP(DATOS!$I7403,CONFIG_ASIGNATURAS!$B$2:$J$91,9,FALSE()),""))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IF(DATOS!$A7404="",0,IF(CONFIG_METADATA!$B$4&lt;&gt;"OR+EX",--(DATOS!$G7404=CONFIG_METADATA!$B$4),IF(DATOS!$G7404="EX",1,IF(DATOS!$G7404="OR",--(COUNTIFS(nNIA,DATOS!$A7404,nCURSO,DATOS!$D7404,nESPEC,DATOS!$E7404,nASIG,DATOS!$I7404,nEVAL,"EX")=0),0))))</f>
      </c>
      <c r="H7404">
        <f>IF(DATOS!$G7404&lt;&gt;"EX",0,--(COUNTIFS(nNIA,DATOS!$A7404,nCURSO,DATOS!$D7404,nESPEC,DATOS!$E7404,nASIG,DATOS!$I7404,nEVAL,"OR")=0))</f>
      </c>
      <c r="I7404">
        <f>IF(DATOS!$I7404="","",IFERROR(VLOOKUP(DATOS!$I7404,CONFIG_ASIGNATURAS!$B$2:$J$91,9,FALSE()),""))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IF(DATOS!$A7405="",0,IF(CONFIG_METADATA!$B$4&lt;&gt;"OR+EX",--(DATOS!$G7405=CONFIG_METADATA!$B$4),IF(DATOS!$G7405="EX",1,IF(DATOS!$G7405="OR",--(COUNTIFS(nNIA,DATOS!$A7405,nCURSO,DATOS!$D7405,nESPEC,DATOS!$E7405,nASIG,DATOS!$I7405,nEVAL,"EX")=0),0))))</f>
      </c>
      <c r="H7405">
        <f>IF(DATOS!$G7405&lt;&gt;"EX",0,--(COUNTIFS(nNIA,DATOS!$A7405,nCURSO,DATOS!$D7405,nESPEC,DATOS!$E7405,nASIG,DATOS!$I7405,nEVAL,"OR")=0))</f>
      </c>
      <c r="I7405">
        <f>IF(DATOS!$I7405="","",IFERROR(VLOOKUP(DATOS!$I7405,CONFIG_ASIGNATURAS!$B$2:$J$91,9,FALSE()),""))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IF(DATOS!$A7406="",0,IF(CONFIG_METADATA!$B$4&lt;&gt;"OR+EX",--(DATOS!$G7406=CONFIG_METADATA!$B$4),IF(DATOS!$G7406="EX",1,IF(DATOS!$G7406="OR",--(COUNTIFS(nNIA,DATOS!$A7406,nCURSO,DATOS!$D7406,nESPEC,DATOS!$E7406,nASIG,DATOS!$I7406,nEVAL,"EX")=0),0))))</f>
      </c>
      <c r="H7406">
        <f>IF(DATOS!$G7406&lt;&gt;"EX",0,--(COUNTIFS(nNIA,DATOS!$A7406,nCURSO,DATOS!$D7406,nESPEC,DATOS!$E7406,nASIG,DATOS!$I7406,nEVAL,"OR")=0))</f>
      </c>
      <c r="I7406">
        <f>IF(DATOS!$I7406="","",IFERROR(VLOOKUP(DATOS!$I7406,CONFIG_ASIGNATURAS!$B$2:$J$91,9,FALSE()),""))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IF(DATOS!$A7407="",0,IF(CONFIG_METADATA!$B$4&lt;&gt;"OR+EX",--(DATOS!$G7407=CONFIG_METADATA!$B$4),IF(DATOS!$G7407="EX",1,IF(DATOS!$G7407="OR",--(COUNTIFS(nNIA,DATOS!$A7407,nCURSO,DATOS!$D7407,nESPEC,DATOS!$E7407,nASIG,DATOS!$I7407,nEVAL,"EX")=0),0))))</f>
      </c>
      <c r="H7407">
        <f>IF(DATOS!$G7407&lt;&gt;"EX",0,--(COUNTIFS(nNIA,DATOS!$A7407,nCURSO,DATOS!$D7407,nESPEC,DATOS!$E7407,nASIG,DATOS!$I7407,nEVAL,"OR")=0))</f>
      </c>
      <c r="I7407">
        <f>IF(DATOS!$I7407="","",IFERROR(VLOOKUP(DATOS!$I7407,CONFIG_ASIGNATURAS!$B$2:$J$91,9,FALSE()),""))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IF(DATOS!$A7408="",0,IF(CONFIG_METADATA!$B$4&lt;&gt;"OR+EX",--(DATOS!$G7408=CONFIG_METADATA!$B$4),IF(DATOS!$G7408="EX",1,IF(DATOS!$G7408="OR",--(COUNTIFS(nNIA,DATOS!$A7408,nCURSO,DATOS!$D7408,nESPEC,DATOS!$E7408,nASIG,DATOS!$I7408,nEVAL,"EX")=0),0))))</f>
      </c>
      <c r="H7408">
        <f>IF(DATOS!$G7408&lt;&gt;"EX",0,--(COUNTIFS(nNIA,DATOS!$A7408,nCURSO,DATOS!$D7408,nESPEC,DATOS!$E7408,nASIG,DATOS!$I7408,nEVAL,"OR")=0))</f>
      </c>
      <c r="I7408">
        <f>IF(DATOS!$I7408="","",IFERROR(VLOOKUP(DATOS!$I7408,CONFIG_ASIGNATURAS!$B$2:$J$91,9,FALSE()),""))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IF(DATOS!$A7409="",0,IF(CONFIG_METADATA!$B$4&lt;&gt;"OR+EX",--(DATOS!$G7409=CONFIG_METADATA!$B$4),IF(DATOS!$G7409="EX",1,IF(DATOS!$G7409="OR",--(COUNTIFS(nNIA,DATOS!$A7409,nCURSO,DATOS!$D7409,nESPEC,DATOS!$E7409,nASIG,DATOS!$I7409,nEVAL,"EX")=0),0))))</f>
      </c>
      <c r="H7409">
        <f>IF(DATOS!$G7409&lt;&gt;"EX",0,--(COUNTIFS(nNIA,DATOS!$A7409,nCURSO,DATOS!$D7409,nESPEC,DATOS!$E7409,nASIG,DATOS!$I7409,nEVAL,"OR")=0))</f>
      </c>
      <c r="I7409">
        <f>IF(DATOS!$I7409="","",IFERROR(VLOOKUP(DATOS!$I7409,CONFIG_ASIGNATURAS!$B$2:$J$91,9,FALSE()),""))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IF(DATOS!$A7410="",0,IF(CONFIG_METADATA!$B$4&lt;&gt;"OR+EX",--(DATOS!$G7410=CONFIG_METADATA!$B$4),IF(DATOS!$G7410="EX",1,IF(DATOS!$G7410="OR",--(COUNTIFS(nNIA,DATOS!$A7410,nCURSO,DATOS!$D7410,nESPEC,DATOS!$E7410,nASIG,DATOS!$I7410,nEVAL,"EX")=0),0))))</f>
      </c>
      <c r="H7410">
        <f>IF(DATOS!$G7410&lt;&gt;"EX",0,--(COUNTIFS(nNIA,DATOS!$A7410,nCURSO,DATOS!$D7410,nESPEC,DATOS!$E7410,nASIG,DATOS!$I7410,nEVAL,"OR")=0))</f>
      </c>
      <c r="I7410">
        <f>IF(DATOS!$I7410="","",IFERROR(VLOOKUP(DATOS!$I7410,CONFIG_ASIGNATURAS!$B$2:$J$91,9,FALSE()),""))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IF(DATOS!$A7411="",0,IF(CONFIG_METADATA!$B$4&lt;&gt;"OR+EX",--(DATOS!$G7411=CONFIG_METADATA!$B$4),IF(DATOS!$G7411="EX",1,IF(DATOS!$G7411="OR",--(COUNTIFS(nNIA,DATOS!$A7411,nCURSO,DATOS!$D7411,nESPEC,DATOS!$E7411,nASIG,DATOS!$I7411,nEVAL,"EX")=0),0))))</f>
      </c>
      <c r="H7411">
        <f>IF(DATOS!$G7411&lt;&gt;"EX",0,--(COUNTIFS(nNIA,DATOS!$A7411,nCURSO,DATOS!$D7411,nESPEC,DATOS!$E7411,nASIG,DATOS!$I7411,nEVAL,"OR")=0))</f>
      </c>
      <c r="I7411">
        <f>IF(DATOS!$I7411="","",IFERROR(VLOOKUP(DATOS!$I7411,CONFIG_ASIGNATURAS!$B$2:$J$91,9,FALSE()),""))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IF(DATOS!$A7412="",0,IF(CONFIG_METADATA!$B$4&lt;&gt;"OR+EX",--(DATOS!$G7412=CONFIG_METADATA!$B$4),IF(DATOS!$G7412="EX",1,IF(DATOS!$G7412="OR",--(COUNTIFS(nNIA,DATOS!$A7412,nCURSO,DATOS!$D7412,nESPEC,DATOS!$E7412,nASIG,DATOS!$I7412,nEVAL,"EX")=0),0))))</f>
      </c>
      <c r="H7412">
        <f>IF(DATOS!$G7412&lt;&gt;"EX",0,--(COUNTIFS(nNIA,DATOS!$A7412,nCURSO,DATOS!$D7412,nESPEC,DATOS!$E7412,nASIG,DATOS!$I7412,nEVAL,"OR")=0))</f>
      </c>
      <c r="I7412">
        <f>IF(DATOS!$I7412="","",IFERROR(VLOOKUP(DATOS!$I7412,CONFIG_ASIGNATURAS!$B$2:$J$91,9,FALSE()),""))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IF(DATOS!$A7413="",0,IF(CONFIG_METADATA!$B$4&lt;&gt;"OR+EX",--(DATOS!$G7413=CONFIG_METADATA!$B$4),IF(DATOS!$G7413="EX",1,IF(DATOS!$G7413="OR",--(COUNTIFS(nNIA,DATOS!$A7413,nCURSO,DATOS!$D7413,nESPEC,DATOS!$E7413,nASIG,DATOS!$I7413,nEVAL,"EX")=0),0))))</f>
      </c>
      <c r="H7413">
        <f>IF(DATOS!$G7413&lt;&gt;"EX",0,--(COUNTIFS(nNIA,DATOS!$A7413,nCURSO,DATOS!$D7413,nESPEC,DATOS!$E7413,nASIG,DATOS!$I7413,nEVAL,"OR")=0))</f>
      </c>
      <c r="I7413">
        <f>IF(DATOS!$I7413="","",IFERROR(VLOOKUP(DATOS!$I7413,CONFIG_ASIGNATURAS!$B$2:$J$91,9,FALSE()),""))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IF(DATOS!$A7414="",0,IF(CONFIG_METADATA!$B$4&lt;&gt;"OR+EX",--(DATOS!$G7414=CONFIG_METADATA!$B$4),IF(DATOS!$G7414="EX",1,IF(DATOS!$G7414="OR",--(COUNTIFS(nNIA,DATOS!$A7414,nCURSO,DATOS!$D7414,nESPEC,DATOS!$E7414,nASIG,DATOS!$I7414,nEVAL,"EX")=0),0))))</f>
      </c>
      <c r="H7414">
        <f>IF(DATOS!$G7414&lt;&gt;"EX",0,--(COUNTIFS(nNIA,DATOS!$A7414,nCURSO,DATOS!$D7414,nESPEC,DATOS!$E7414,nASIG,DATOS!$I7414,nEVAL,"OR")=0))</f>
      </c>
      <c r="I7414">
        <f>IF(DATOS!$I7414="","",IFERROR(VLOOKUP(DATOS!$I7414,CONFIG_ASIGNATURAS!$B$2:$J$91,9,FALSE()),""))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IF(DATOS!$A7415="",0,IF(CONFIG_METADATA!$B$4&lt;&gt;"OR+EX",--(DATOS!$G7415=CONFIG_METADATA!$B$4),IF(DATOS!$G7415="EX",1,IF(DATOS!$G7415="OR",--(COUNTIFS(nNIA,DATOS!$A7415,nCURSO,DATOS!$D7415,nESPEC,DATOS!$E7415,nASIG,DATOS!$I7415,nEVAL,"EX")=0),0))))</f>
      </c>
      <c r="H7415">
        <f>IF(DATOS!$G7415&lt;&gt;"EX",0,--(COUNTIFS(nNIA,DATOS!$A7415,nCURSO,DATOS!$D7415,nESPEC,DATOS!$E7415,nASIG,DATOS!$I7415,nEVAL,"OR")=0))</f>
      </c>
      <c r="I7415">
        <f>IF(DATOS!$I7415="","",IFERROR(VLOOKUP(DATOS!$I7415,CONFIG_ASIGNATURAS!$B$2:$J$91,9,FALSE()),""))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IF(DATOS!$A7416="",0,IF(CONFIG_METADATA!$B$4&lt;&gt;"OR+EX",--(DATOS!$G7416=CONFIG_METADATA!$B$4),IF(DATOS!$G7416="EX",1,IF(DATOS!$G7416="OR",--(COUNTIFS(nNIA,DATOS!$A7416,nCURSO,DATOS!$D7416,nESPEC,DATOS!$E7416,nASIG,DATOS!$I7416,nEVAL,"EX")=0),0))))</f>
      </c>
      <c r="H7416">
        <f>IF(DATOS!$G7416&lt;&gt;"EX",0,--(COUNTIFS(nNIA,DATOS!$A7416,nCURSO,DATOS!$D7416,nESPEC,DATOS!$E7416,nASIG,DATOS!$I7416,nEVAL,"OR")=0))</f>
      </c>
      <c r="I7416">
        <f>IF(DATOS!$I7416="","",IFERROR(VLOOKUP(DATOS!$I7416,CONFIG_ASIGNATURAS!$B$2:$J$91,9,FALSE()),""))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IF(DATOS!$A7417="",0,IF(CONFIG_METADATA!$B$4&lt;&gt;"OR+EX",--(DATOS!$G7417=CONFIG_METADATA!$B$4),IF(DATOS!$G7417="EX",1,IF(DATOS!$G7417="OR",--(COUNTIFS(nNIA,DATOS!$A7417,nCURSO,DATOS!$D7417,nESPEC,DATOS!$E7417,nASIG,DATOS!$I7417,nEVAL,"EX")=0),0))))</f>
      </c>
      <c r="H7417">
        <f>IF(DATOS!$G7417&lt;&gt;"EX",0,--(COUNTIFS(nNIA,DATOS!$A7417,nCURSO,DATOS!$D7417,nESPEC,DATOS!$E7417,nASIG,DATOS!$I7417,nEVAL,"OR")=0))</f>
      </c>
      <c r="I7417">
        <f>IF(DATOS!$I7417="","",IFERROR(VLOOKUP(DATOS!$I7417,CONFIG_ASIGNATURAS!$B$2:$J$91,9,FALSE()),""))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IF(DATOS!$A7418="",0,IF(CONFIG_METADATA!$B$4&lt;&gt;"OR+EX",--(DATOS!$G7418=CONFIG_METADATA!$B$4),IF(DATOS!$G7418="EX",1,IF(DATOS!$G7418="OR",--(COUNTIFS(nNIA,DATOS!$A7418,nCURSO,DATOS!$D7418,nESPEC,DATOS!$E7418,nASIG,DATOS!$I7418,nEVAL,"EX")=0),0))))</f>
      </c>
      <c r="H7418">
        <f>IF(DATOS!$G7418&lt;&gt;"EX",0,--(COUNTIFS(nNIA,DATOS!$A7418,nCURSO,DATOS!$D7418,nESPEC,DATOS!$E7418,nASIG,DATOS!$I7418,nEVAL,"OR")=0))</f>
      </c>
      <c r="I7418">
        <f>IF(DATOS!$I7418="","",IFERROR(VLOOKUP(DATOS!$I7418,CONFIG_ASIGNATURAS!$B$2:$J$91,9,FALSE()),""))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IF(DATOS!$A7419="",0,IF(CONFIG_METADATA!$B$4&lt;&gt;"OR+EX",--(DATOS!$G7419=CONFIG_METADATA!$B$4),IF(DATOS!$G7419="EX",1,IF(DATOS!$G7419="OR",--(COUNTIFS(nNIA,DATOS!$A7419,nCURSO,DATOS!$D7419,nESPEC,DATOS!$E7419,nASIG,DATOS!$I7419,nEVAL,"EX")=0),0))))</f>
      </c>
      <c r="H7419">
        <f>IF(DATOS!$G7419&lt;&gt;"EX",0,--(COUNTIFS(nNIA,DATOS!$A7419,nCURSO,DATOS!$D7419,nESPEC,DATOS!$E7419,nASIG,DATOS!$I7419,nEVAL,"OR")=0))</f>
      </c>
      <c r="I7419">
        <f>IF(DATOS!$I7419="","",IFERROR(VLOOKUP(DATOS!$I7419,CONFIG_ASIGNATURAS!$B$2:$J$91,9,FALSE()),""))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IF(DATOS!$A7420="",0,IF(CONFIG_METADATA!$B$4&lt;&gt;"OR+EX",--(DATOS!$G7420=CONFIG_METADATA!$B$4),IF(DATOS!$G7420="EX",1,IF(DATOS!$G7420="OR",--(COUNTIFS(nNIA,DATOS!$A7420,nCURSO,DATOS!$D7420,nESPEC,DATOS!$E7420,nASIG,DATOS!$I7420,nEVAL,"EX")=0),0))))</f>
      </c>
      <c r="H7420">
        <f>IF(DATOS!$G7420&lt;&gt;"EX",0,--(COUNTIFS(nNIA,DATOS!$A7420,nCURSO,DATOS!$D7420,nESPEC,DATOS!$E7420,nASIG,DATOS!$I7420,nEVAL,"OR")=0))</f>
      </c>
      <c r="I7420">
        <f>IF(DATOS!$I7420="","",IFERROR(VLOOKUP(DATOS!$I7420,CONFIG_ASIGNATURAS!$B$2:$J$91,9,FALSE()),""))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IF(DATOS!$A7421="",0,IF(CONFIG_METADATA!$B$4&lt;&gt;"OR+EX",--(DATOS!$G7421=CONFIG_METADATA!$B$4),IF(DATOS!$G7421="EX",1,IF(DATOS!$G7421="OR",--(COUNTIFS(nNIA,DATOS!$A7421,nCURSO,DATOS!$D7421,nESPEC,DATOS!$E7421,nASIG,DATOS!$I7421,nEVAL,"EX")=0),0))))</f>
      </c>
      <c r="H7421">
        <f>IF(DATOS!$G7421&lt;&gt;"EX",0,--(COUNTIFS(nNIA,DATOS!$A7421,nCURSO,DATOS!$D7421,nESPEC,DATOS!$E7421,nASIG,DATOS!$I7421,nEVAL,"OR")=0))</f>
      </c>
      <c r="I7421">
        <f>IF(DATOS!$I7421="","",IFERROR(VLOOKUP(DATOS!$I7421,CONFIG_ASIGNATURAS!$B$2:$J$91,9,FALSE()),""))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IF(DATOS!$A7422="",0,IF(CONFIG_METADATA!$B$4&lt;&gt;"OR+EX",--(DATOS!$G7422=CONFIG_METADATA!$B$4),IF(DATOS!$G7422="EX",1,IF(DATOS!$G7422="OR",--(COUNTIFS(nNIA,DATOS!$A7422,nCURSO,DATOS!$D7422,nESPEC,DATOS!$E7422,nASIG,DATOS!$I7422,nEVAL,"EX")=0),0))))</f>
      </c>
      <c r="H7422">
        <f>IF(DATOS!$G7422&lt;&gt;"EX",0,--(COUNTIFS(nNIA,DATOS!$A7422,nCURSO,DATOS!$D7422,nESPEC,DATOS!$E7422,nASIG,DATOS!$I7422,nEVAL,"OR")=0))</f>
      </c>
      <c r="I7422">
        <f>IF(DATOS!$I7422="","",IFERROR(VLOOKUP(DATOS!$I7422,CONFIG_ASIGNATURAS!$B$2:$J$91,9,FALSE()),""))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IF(DATOS!$A7423="",0,IF(CONFIG_METADATA!$B$4&lt;&gt;"OR+EX",--(DATOS!$G7423=CONFIG_METADATA!$B$4),IF(DATOS!$G7423="EX",1,IF(DATOS!$G7423="OR",--(COUNTIFS(nNIA,DATOS!$A7423,nCURSO,DATOS!$D7423,nESPEC,DATOS!$E7423,nASIG,DATOS!$I7423,nEVAL,"EX")=0),0))))</f>
      </c>
      <c r="H7423">
        <f>IF(DATOS!$G7423&lt;&gt;"EX",0,--(COUNTIFS(nNIA,DATOS!$A7423,nCURSO,DATOS!$D7423,nESPEC,DATOS!$E7423,nASIG,DATOS!$I7423,nEVAL,"OR")=0))</f>
      </c>
      <c r="I7423">
        <f>IF(DATOS!$I7423="","",IFERROR(VLOOKUP(DATOS!$I7423,CONFIG_ASIGNATURAS!$B$2:$J$91,9,FALSE()),""))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IF(DATOS!$A7424="",0,IF(CONFIG_METADATA!$B$4&lt;&gt;"OR+EX",--(DATOS!$G7424=CONFIG_METADATA!$B$4),IF(DATOS!$G7424="EX",1,IF(DATOS!$G7424="OR",--(COUNTIFS(nNIA,DATOS!$A7424,nCURSO,DATOS!$D7424,nESPEC,DATOS!$E7424,nASIG,DATOS!$I7424,nEVAL,"EX")=0),0))))</f>
      </c>
      <c r="H7424">
        <f>IF(DATOS!$G7424&lt;&gt;"EX",0,--(COUNTIFS(nNIA,DATOS!$A7424,nCURSO,DATOS!$D7424,nESPEC,DATOS!$E7424,nASIG,DATOS!$I7424,nEVAL,"OR")=0))</f>
      </c>
      <c r="I7424">
        <f>IF(DATOS!$I7424="","",IFERROR(VLOOKUP(DATOS!$I7424,CONFIG_ASIGNATURAS!$B$2:$J$91,9,FALSE()),""))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IF(DATOS!$A7425="",0,IF(CONFIG_METADATA!$B$4&lt;&gt;"OR+EX",--(DATOS!$G7425=CONFIG_METADATA!$B$4),IF(DATOS!$G7425="EX",1,IF(DATOS!$G7425="OR",--(COUNTIFS(nNIA,DATOS!$A7425,nCURSO,DATOS!$D7425,nESPEC,DATOS!$E7425,nASIG,DATOS!$I7425,nEVAL,"EX")=0),0))))</f>
      </c>
      <c r="H7425">
        <f>IF(DATOS!$G7425&lt;&gt;"EX",0,--(COUNTIFS(nNIA,DATOS!$A7425,nCURSO,DATOS!$D7425,nESPEC,DATOS!$E7425,nASIG,DATOS!$I7425,nEVAL,"OR")=0))</f>
      </c>
      <c r="I7425">
        <f>IF(DATOS!$I7425="","",IFERROR(VLOOKUP(DATOS!$I7425,CONFIG_ASIGNATURAS!$B$2:$J$91,9,FALSE()),""))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IF(DATOS!$A7426="",0,IF(CONFIG_METADATA!$B$4&lt;&gt;"OR+EX",--(DATOS!$G7426=CONFIG_METADATA!$B$4),IF(DATOS!$G7426="EX",1,IF(DATOS!$G7426="OR",--(COUNTIFS(nNIA,DATOS!$A7426,nCURSO,DATOS!$D7426,nESPEC,DATOS!$E7426,nASIG,DATOS!$I7426,nEVAL,"EX")=0),0))))</f>
      </c>
      <c r="H7426">
        <f>IF(DATOS!$G7426&lt;&gt;"EX",0,--(COUNTIFS(nNIA,DATOS!$A7426,nCURSO,DATOS!$D7426,nESPEC,DATOS!$E7426,nASIG,DATOS!$I7426,nEVAL,"OR")=0))</f>
      </c>
      <c r="I7426">
        <f>IF(DATOS!$I7426="","",IFERROR(VLOOKUP(DATOS!$I7426,CONFIG_ASIGNATURAS!$B$2:$J$91,9,FALSE()),""))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IF(DATOS!$A7427="",0,IF(CONFIG_METADATA!$B$4&lt;&gt;"OR+EX",--(DATOS!$G7427=CONFIG_METADATA!$B$4),IF(DATOS!$G7427="EX",1,IF(DATOS!$G7427="OR",--(COUNTIFS(nNIA,DATOS!$A7427,nCURSO,DATOS!$D7427,nESPEC,DATOS!$E7427,nASIG,DATOS!$I7427,nEVAL,"EX")=0),0))))</f>
      </c>
      <c r="H7427">
        <f>IF(DATOS!$G7427&lt;&gt;"EX",0,--(COUNTIFS(nNIA,DATOS!$A7427,nCURSO,DATOS!$D7427,nESPEC,DATOS!$E7427,nASIG,DATOS!$I7427,nEVAL,"OR")=0))</f>
      </c>
      <c r="I7427">
        <f>IF(DATOS!$I7427="","",IFERROR(VLOOKUP(DATOS!$I7427,CONFIG_ASIGNATURAS!$B$2:$J$91,9,FALSE()),""))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IF(DATOS!$A7428="",0,IF(CONFIG_METADATA!$B$4&lt;&gt;"OR+EX",--(DATOS!$G7428=CONFIG_METADATA!$B$4),IF(DATOS!$G7428="EX",1,IF(DATOS!$G7428="OR",--(COUNTIFS(nNIA,DATOS!$A7428,nCURSO,DATOS!$D7428,nESPEC,DATOS!$E7428,nASIG,DATOS!$I7428,nEVAL,"EX")=0),0))))</f>
      </c>
      <c r="H7428">
        <f>IF(DATOS!$G7428&lt;&gt;"EX",0,--(COUNTIFS(nNIA,DATOS!$A7428,nCURSO,DATOS!$D7428,nESPEC,DATOS!$E7428,nASIG,DATOS!$I7428,nEVAL,"OR")=0))</f>
      </c>
      <c r="I7428">
        <f>IF(DATOS!$I7428="","",IFERROR(VLOOKUP(DATOS!$I7428,CONFIG_ASIGNATURAS!$B$2:$J$91,9,FALSE()),""))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IF(DATOS!$A7429="",0,IF(CONFIG_METADATA!$B$4&lt;&gt;"OR+EX",--(DATOS!$G7429=CONFIG_METADATA!$B$4),IF(DATOS!$G7429="EX",1,IF(DATOS!$G7429="OR",--(COUNTIFS(nNIA,DATOS!$A7429,nCURSO,DATOS!$D7429,nESPEC,DATOS!$E7429,nASIG,DATOS!$I7429,nEVAL,"EX")=0),0))))</f>
      </c>
      <c r="H7429">
        <f>IF(DATOS!$G7429&lt;&gt;"EX",0,--(COUNTIFS(nNIA,DATOS!$A7429,nCURSO,DATOS!$D7429,nESPEC,DATOS!$E7429,nASIG,DATOS!$I7429,nEVAL,"OR")=0))</f>
      </c>
      <c r="I7429">
        <f>IF(DATOS!$I7429="","",IFERROR(VLOOKUP(DATOS!$I7429,CONFIG_ASIGNATURAS!$B$2:$J$91,9,FALSE()),""))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IF(DATOS!$A7430="",0,IF(CONFIG_METADATA!$B$4&lt;&gt;"OR+EX",--(DATOS!$G7430=CONFIG_METADATA!$B$4),IF(DATOS!$G7430="EX",1,IF(DATOS!$G7430="OR",--(COUNTIFS(nNIA,DATOS!$A7430,nCURSO,DATOS!$D7430,nESPEC,DATOS!$E7430,nASIG,DATOS!$I7430,nEVAL,"EX")=0),0))))</f>
      </c>
      <c r="H7430">
        <f>IF(DATOS!$G7430&lt;&gt;"EX",0,--(COUNTIFS(nNIA,DATOS!$A7430,nCURSO,DATOS!$D7430,nESPEC,DATOS!$E7430,nASIG,DATOS!$I7430,nEVAL,"OR")=0))</f>
      </c>
      <c r="I7430">
        <f>IF(DATOS!$I7430="","",IFERROR(VLOOKUP(DATOS!$I7430,CONFIG_ASIGNATURAS!$B$2:$J$91,9,FALSE()),""))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IF(DATOS!$A7431="",0,IF(CONFIG_METADATA!$B$4&lt;&gt;"OR+EX",--(DATOS!$G7431=CONFIG_METADATA!$B$4),IF(DATOS!$G7431="EX",1,IF(DATOS!$G7431="OR",--(COUNTIFS(nNIA,DATOS!$A7431,nCURSO,DATOS!$D7431,nESPEC,DATOS!$E7431,nASIG,DATOS!$I7431,nEVAL,"EX")=0),0))))</f>
      </c>
      <c r="H7431">
        <f>IF(DATOS!$G7431&lt;&gt;"EX",0,--(COUNTIFS(nNIA,DATOS!$A7431,nCURSO,DATOS!$D7431,nESPEC,DATOS!$E7431,nASIG,DATOS!$I7431,nEVAL,"OR")=0))</f>
      </c>
      <c r="I7431">
        <f>IF(DATOS!$I7431="","",IFERROR(VLOOKUP(DATOS!$I7431,CONFIG_ASIGNATURAS!$B$2:$J$91,9,FALSE()),""))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IF(DATOS!$A7432="",0,IF(CONFIG_METADATA!$B$4&lt;&gt;"OR+EX",--(DATOS!$G7432=CONFIG_METADATA!$B$4),IF(DATOS!$G7432="EX",1,IF(DATOS!$G7432="OR",--(COUNTIFS(nNIA,DATOS!$A7432,nCURSO,DATOS!$D7432,nESPEC,DATOS!$E7432,nASIG,DATOS!$I7432,nEVAL,"EX")=0),0))))</f>
      </c>
      <c r="H7432">
        <f>IF(DATOS!$G7432&lt;&gt;"EX",0,--(COUNTIFS(nNIA,DATOS!$A7432,nCURSO,DATOS!$D7432,nESPEC,DATOS!$E7432,nASIG,DATOS!$I7432,nEVAL,"OR")=0))</f>
      </c>
      <c r="I7432">
        <f>IF(DATOS!$I7432="","",IFERROR(VLOOKUP(DATOS!$I7432,CONFIG_ASIGNATURAS!$B$2:$J$91,9,FALSE()),""))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IF(DATOS!$A7433="",0,IF(CONFIG_METADATA!$B$4&lt;&gt;"OR+EX",--(DATOS!$G7433=CONFIG_METADATA!$B$4),IF(DATOS!$G7433="EX",1,IF(DATOS!$G7433="OR",--(COUNTIFS(nNIA,DATOS!$A7433,nCURSO,DATOS!$D7433,nESPEC,DATOS!$E7433,nASIG,DATOS!$I7433,nEVAL,"EX")=0),0))))</f>
      </c>
      <c r="H7433">
        <f>IF(DATOS!$G7433&lt;&gt;"EX",0,--(COUNTIFS(nNIA,DATOS!$A7433,nCURSO,DATOS!$D7433,nESPEC,DATOS!$E7433,nASIG,DATOS!$I7433,nEVAL,"OR")=0))</f>
      </c>
      <c r="I7433">
        <f>IF(DATOS!$I7433="","",IFERROR(VLOOKUP(DATOS!$I7433,CONFIG_ASIGNATURAS!$B$2:$J$91,9,FALSE()),""))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IF(DATOS!$A7434="",0,IF(CONFIG_METADATA!$B$4&lt;&gt;"OR+EX",--(DATOS!$G7434=CONFIG_METADATA!$B$4),IF(DATOS!$G7434="EX",1,IF(DATOS!$G7434="OR",--(COUNTIFS(nNIA,DATOS!$A7434,nCURSO,DATOS!$D7434,nESPEC,DATOS!$E7434,nASIG,DATOS!$I7434,nEVAL,"EX")=0),0))))</f>
      </c>
      <c r="H7434">
        <f>IF(DATOS!$G7434&lt;&gt;"EX",0,--(COUNTIFS(nNIA,DATOS!$A7434,nCURSO,DATOS!$D7434,nESPEC,DATOS!$E7434,nASIG,DATOS!$I7434,nEVAL,"OR")=0))</f>
      </c>
      <c r="I7434">
        <f>IF(DATOS!$I7434="","",IFERROR(VLOOKUP(DATOS!$I7434,CONFIG_ASIGNATURAS!$B$2:$J$91,9,FALSE()),""))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IF(DATOS!$A7435="",0,IF(CONFIG_METADATA!$B$4&lt;&gt;"OR+EX",--(DATOS!$G7435=CONFIG_METADATA!$B$4),IF(DATOS!$G7435="EX",1,IF(DATOS!$G7435="OR",--(COUNTIFS(nNIA,DATOS!$A7435,nCURSO,DATOS!$D7435,nESPEC,DATOS!$E7435,nASIG,DATOS!$I7435,nEVAL,"EX")=0),0))))</f>
      </c>
      <c r="H7435">
        <f>IF(DATOS!$G7435&lt;&gt;"EX",0,--(COUNTIFS(nNIA,DATOS!$A7435,nCURSO,DATOS!$D7435,nESPEC,DATOS!$E7435,nASIG,DATOS!$I7435,nEVAL,"OR")=0))</f>
      </c>
      <c r="I7435">
        <f>IF(DATOS!$I7435="","",IFERROR(VLOOKUP(DATOS!$I7435,CONFIG_ASIGNATURAS!$B$2:$J$91,9,FALSE()),""))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IF(DATOS!$A7436="",0,IF(CONFIG_METADATA!$B$4&lt;&gt;"OR+EX",--(DATOS!$G7436=CONFIG_METADATA!$B$4),IF(DATOS!$G7436="EX",1,IF(DATOS!$G7436="OR",--(COUNTIFS(nNIA,DATOS!$A7436,nCURSO,DATOS!$D7436,nESPEC,DATOS!$E7436,nASIG,DATOS!$I7436,nEVAL,"EX")=0),0))))</f>
      </c>
      <c r="H7436">
        <f>IF(DATOS!$G7436&lt;&gt;"EX",0,--(COUNTIFS(nNIA,DATOS!$A7436,nCURSO,DATOS!$D7436,nESPEC,DATOS!$E7436,nASIG,DATOS!$I7436,nEVAL,"OR")=0))</f>
      </c>
      <c r="I7436">
        <f>IF(DATOS!$I7436="","",IFERROR(VLOOKUP(DATOS!$I7436,CONFIG_ASIGNATURAS!$B$2:$J$91,9,FALSE()),""))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IF(DATOS!$A7437="",0,IF(CONFIG_METADATA!$B$4&lt;&gt;"OR+EX",--(DATOS!$G7437=CONFIG_METADATA!$B$4),IF(DATOS!$G7437="EX",1,IF(DATOS!$G7437="OR",--(COUNTIFS(nNIA,DATOS!$A7437,nCURSO,DATOS!$D7437,nESPEC,DATOS!$E7437,nASIG,DATOS!$I7437,nEVAL,"EX")=0),0))))</f>
      </c>
      <c r="H7437">
        <f>IF(DATOS!$G7437&lt;&gt;"EX",0,--(COUNTIFS(nNIA,DATOS!$A7437,nCURSO,DATOS!$D7437,nESPEC,DATOS!$E7437,nASIG,DATOS!$I7437,nEVAL,"OR")=0))</f>
      </c>
      <c r="I7437">
        <f>IF(DATOS!$I7437="","",IFERROR(VLOOKUP(DATOS!$I7437,CONFIG_ASIGNATURAS!$B$2:$J$91,9,FALSE()),""))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IF(DATOS!$A7438="",0,IF(CONFIG_METADATA!$B$4&lt;&gt;"OR+EX",--(DATOS!$G7438=CONFIG_METADATA!$B$4),IF(DATOS!$G7438="EX",1,IF(DATOS!$G7438="OR",--(COUNTIFS(nNIA,DATOS!$A7438,nCURSO,DATOS!$D7438,nESPEC,DATOS!$E7438,nASIG,DATOS!$I7438,nEVAL,"EX")=0),0))))</f>
      </c>
      <c r="H7438">
        <f>IF(DATOS!$G7438&lt;&gt;"EX",0,--(COUNTIFS(nNIA,DATOS!$A7438,nCURSO,DATOS!$D7438,nESPEC,DATOS!$E7438,nASIG,DATOS!$I7438,nEVAL,"OR")=0))</f>
      </c>
      <c r="I7438">
        <f>IF(DATOS!$I7438="","",IFERROR(VLOOKUP(DATOS!$I7438,CONFIG_ASIGNATURAS!$B$2:$J$91,9,FALSE()),""))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IF(DATOS!$A7439="",0,IF(CONFIG_METADATA!$B$4&lt;&gt;"OR+EX",--(DATOS!$G7439=CONFIG_METADATA!$B$4),IF(DATOS!$G7439="EX",1,IF(DATOS!$G7439="OR",--(COUNTIFS(nNIA,DATOS!$A7439,nCURSO,DATOS!$D7439,nESPEC,DATOS!$E7439,nASIG,DATOS!$I7439,nEVAL,"EX")=0),0))))</f>
      </c>
      <c r="H7439">
        <f>IF(DATOS!$G7439&lt;&gt;"EX",0,--(COUNTIFS(nNIA,DATOS!$A7439,nCURSO,DATOS!$D7439,nESPEC,DATOS!$E7439,nASIG,DATOS!$I7439,nEVAL,"OR")=0))</f>
      </c>
      <c r="I7439">
        <f>IF(DATOS!$I7439="","",IFERROR(VLOOKUP(DATOS!$I7439,CONFIG_ASIGNATURAS!$B$2:$J$91,9,FALSE()),""))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IF(DATOS!$A7440="",0,IF(CONFIG_METADATA!$B$4&lt;&gt;"OR+EX",--(DATOS!$G7440=CONFIG_METADATA!$B$4),IF(DATOS!$G7440="EX",1,IF(DATOS!$G7440="OR",--(COUNTIFS(nNIA,DATOS!$A7440,nCURSO,DATOS!$D7440,nESPEC,DATOS!$E7440,nASIG,DATOS!$I7440,nEVAL,"EX")=0),0))))</f>
      </c>
      <c r="H7440">
        <f>IF(DATOS!$G7440&lt;&gt;"EX",0,--(COUNTIFS(nNIA,DATOS!$A7440,nCURSO,DATOS!$D7440,nESPEC,DATOS!$E7440,nASIG,DATOS!$I7440,nEVAL,"OR")=0))</f>
      </c>
      <c r="I7440">
        <f>IF(DATOS!$I7440="","",IFERROR(VLOOKUP(DATOS!$I7440,CONFIG_ASIGNATURAS!$B$2:$J$91,9,FALSE()),""))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IF(DATOS!$A7441="",0,IF(CONFIG_METADATA!$B$4&lt;&gt;"OR+EX",--(DATOS!$G7441=CONFIG_METADATA!$B$4),IF(DATOS!$G7441="EX",1,IF(DATOS!$G7441="OR",--(COUNTIFS(nNIA,DATOS!$A7441,nCURSO,DATOS!$D7441,nESPEC,DATOS!$E7441,nASIG,DATOS!$I7441,nEVAL,"EX")=0),0))))</f>
      </c>
      <c r="H7441">
        <f>IF(DATOS!$G7441&lt;&gt;"EX",0,--(COUNTIFS(nNIA,DATOS!$A7441,nCURSO,DATOS!$D7441,nESPEC,DATOS!$E7441,nASIG,DATOS!$I7441,nEVAL,"OR")=0))</f>
      </c>
      <c r="I7441">
        <f>IF(DATOS!$I7441="","",IFERROR(VLOOKUP(DATOS!$I7441,CONFIG_ASIGNATURAS!$B$2:$J$91,9,FALSE()),""))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IF(DATOS!$A7442="",0,IF(CONFIG_METADATA!$B$4&lt;&gt;"OR+EX",--(DATOS!$G7442=CONFIG_METADATA!$B$4),IF(DATOS!$G7442="EX",1,IF(DATOS!$G7442="OR",--(COUNTIFS(nNIA,DATOS!$A7442,nCURSO,DATOS!$D7442,nESPEC,DATOS!$E7442,nASIG,DATOS!$I7442,nEVAL,"EX")=0),0))))</f>
      </c>
      <c r="H7442">
        <f>IF(DATOS!$G7442&lt;&gt;"EX",0,--(COUNTIFS(nNIA,DATOS!$A7442,nCURSO,DATOS!$D7442,nESPEC,DATOS!$E7442,nASIG,DATOS!$I7442,nEVAL,"OR")=0))</f>
      </c>
      <c r="I7442">
        <f>IF(DATOS!$I7442="","",IFERROR(VLOOKUP(DATOS!$I7442,CONFIG_ASIGNATURAS!$B$2:$J$91,9,FALSE()),""))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IF(DATOS!$A7443="",0,IF(CONFIG_METADATA!$B$4&lt;&gt;"OR+EX",--(DATOS!$G7443=CONFIG_METADATA!$B$4),IF(DATOS!$G7443="EX",1,IF(DATOS!$G7443="OR",--(COUNTIFS(nNIA,DATOS!$A7443,nCURSO,DATOS!$D7443,nESPEC,DATOS!$E7443,nASIG,DATOS!$I7443,nEVAL,"EX")=0),0))))</f>
      </c>
      <c r="H7443">
        <f>IF(DATOS!$G7443&lt;&gt;"EX",0,--(COUNTIFS(nNIA,DATOS!$A7443,nCURSO,DATOS!$D7443,nESPEC,DATOS!$E7443,nASIG,DATOS!$I7443,nEVAL,"OR")=0))</f>
      </c>
      <c r="I7443">
        <f>IF(DATOS!$I7443="","",IFERROR(VLOOKUP(DATOS!$I7443,CONFIG_ASIGNATURAS!$B$2:$J$91,9,FALSE()),""))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IF(DATOS!$A7444="",0,IF(CONFIG_METADATA!$B$4&lt;&gt;"OR+EX",--(DATOS!$G7444=CONFIG_METADATA!$B$4),IF(DATOS!$G7444="EX",1,IF(DATOS!$G7444="OR",--(COUNTIFS(nNIA,DATOS!$A7444,nCURSO,DATOS!$D7444,nESPEC,DATOS!$E7444,nASIG,DATOS!$I7444,nEVAL,"EX")=0),0))))</f>
      </c>
      <c r="H7444">
        <f>IF(DATOS!$G7444&lt;&gt;"EX",0,--(COUNTIFS(nNIA,DATOS!$A7444,nCURSO,DATOS!$D7444,nESPEC,DATOS!$E7444,nASIG,DATOS!$I7444,nEVAL,"OR")=0))</f>
      </c>
      <c r="I7444">
        <f>IF(DATOS!$I7444="","",IFERROR(VLOOKUP(DATOS!$I7444,CONFIG_ASIGNATURAS!$B$2:$J$91,9,FALSE()),""))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IF(DATOS!$A7445="",0,IF(CONFIG_METADATA!$B$4&lt;&gt;"OR+EX",--(DATOS!$G7445=CONFIG_METADATA!$B$4),IF(DATOS!$G7445="EX",1,IF(DATOS!$G7445="OR",--(COUNTIFS(nNIA,DATOS!$A7445,nCURSO,DATOS!$D7445,nESPEC,DATOS!$E7445,nASIG,DATOS!$I7445,nEVAL,"EX")=0),0))))</f>
      </c>
      <c r="H7445">
        <f>IF(DATOS!$G7445&lt;&gt;"EX",0,--(COUNTIFS(nNIA,DATOS!$A7445,nCURSO,DATOS!$D7445,nESPEC,DATOS!$E7445,nASIG,DATOS!$I7445,nEVAL,"OR")=0))</f>
      </c>
      <c r="I7445">
        <f>IF(DATOS!$I7445="","",IFERROR(VLOOKUP(DATOS!$I7445,CONFIG_ASIGNATURAS!$B$2:$J$91,9,FALSE()),""))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IF(DATOS!$A7446="",0,IF(CONFIG_METADATA!$B$4&lt;&gt;"OR+EX",--(DATOS!$G7446=CONFIG_METADATA!$B$4),IF(DATOS!$G7446="EX",1,IF(DATOS!$G7446="OR",--(COUNTIFS(nNIA,DATOS!$A7446,nCURSO,DATOS!$D7446,nESPEC,DATOS!$E7446,nASIG,DATOS!$I7446,nEVAL,"EX")=0),0))))</f>
      </c>
      <c r="H7446">
        <f>IF(DATOS!$G7446&lt;&gt;"EX",0,--(COUNTIFS(nNIA,DATOS!$A7446,nCURSO,DATOS!$D7446,nESPEC,DATOS!$E7446,nASIG,DATOS!$I7446,nEVAL,"OR")=0))</f>
      </c>
      <c r="I7446">
        <f>IF(DATOS!$I7446="","",IFERROR(VLOOKUP(DATOS!$I7446,CONFIG_ASIGNATURAS!$B$2:$J$91,9,FALSE()),""))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IF(DATOS!$A7447="",0,IF(CONFIG_METADATA!$B$4&lt;&gt;"OR+EX",--(DATOS!$G7447=CONFIG_METADATA!$B$4),IF(DATOS!$G7447="EX",1,IF(DATOS!$G7447="OR",--(COUNTIFS(nNIA,DATOS!$A7447,nCURSO,DATOS!$D7447,nESPEC,DATOS!$E7447,nASIG,DATOS!$I7447,nEVAL,"EX")=0),0))))</f>
      </c>
      <c r="H7447">
        <f>IF(DATOS!$G7447&lt;&gt;"EX",0,--(COUNTIFS(nNIA,DATOS!$A7447,nCURSO,DATOS!$D7447,nESPEC,DATOS!$E7447,nASIG,DATOS!$I7447,nEVAL,"OR")=0))</f>
      </c>
      <c r="I7447">
        <f>IF(DATOS!$I7447="","",IFERROR(VLOOKUP(DATOS!$I7447,CONFIG_ASIGNATURAS!$B$2:$J$91,9,FALSE()),""))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IF(DATOS!$A7448="",0,IF(CONFIG_METADATA!$B$4&lt;&gt;"OR+EX",--(DATOS!$G7448=CONFIG_METADATA!$B$4),IF(DATOS!$G7448="EX",1,IF(DATOS!$G7448="OR",--(COUNTIFS(nNIA,DATOS!$A7448,nCURSO,DATOS!$D7448,nESPEC,DATOS!$E7448,nASIG,DATOS!$I7448,nEVAL,"EX")=0),0))))</f>
      </c>
      <c r="H7448">
        <f>IF(DATOS!$G7448&lt;&gt;"EX",0,--(COUNTIFS(nNIA,DATOS!$A7448,nCURSO,DATOS!$D7448,nESPEC,DATOS!$E7448,nASIG,DATOS!$I7448,nEVAL,"OR")=0))</f>
      </c>
      <c r="I7448">
        <f>IF(DATOS!$I7448="","",IFERROR(VLOOKUP(DATOS!$I7448,CONFIG_ASIGNATURAS!$B$2:$J$91,9,FALSE()),""))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IF(DATOS!$A7449="",0,IF(CONFIG_METADATA!$B$4&lt;&gt;"OR+EX",--(DATOS!$G7449=CONFIG_METADATA!$B$4),IF(DATOS!$G7449="EX",1,IF(DATOS!$G7449="OR",--(COUNTIFS(nNIA,DATOS!$A7449,nCURSO,DATOS!$D7449,nESPEC,DATOS!$E7449,nASIG,DATOS!$I7449,nEVAL,"EX")=0),0))))</f>
      </c>
      <c r="H7449">
        <f>IF(DATOS!$G7449&lt;&gt;"EX",0,--(COUNTIFS(nNIA,DATOS!$A7449,nCURSO,DATOS!$D7449,nESPEC,DATOS!$E7449,nASIG,DATOS!$I7449,nEVAL,"OR")=0))</f>
      </c>
      <c r="I7449">
        <f>IF(DATOS!$I7449="","",IFERROR(VLOOKUP(DATOS!$I7449,CONFIG_ASIGNATURAS!$B$2:$J$91,9,FALSE()),""))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IF(DATOS!$A7450="",0,IF(CONFIG_METADATA!$B$4&lt;&gt;"OR+EX",--(DATOS!$G7450=CONFIG_METADATA!$B$4),IF(DATOS!$G7450="EX",1,IF(DATOS!$G7450="OR",--(COUNTIFS(nNIA,DATOS!$A7450,nCURSO,DATOS!$D7450,nESPEC,DATOS!$E7450,nASIG,DATOS!$I7450,nEVAL,"EX")=0),0))))</f>
      </c>
      <c r="H7450">
        <f>IF(DATOS!$G7450&lt;&gt;"EX",0,--(COUNTIFS(nNIA,DATOS!$A7450,nCURSO,DATOS!$D7450,nESPEC,DATOS!$E7450,nASIG,DATOS!$I7450,nEVAL,"OR")=0))</f>
      </c>
      <c r="I7450">
        <f>IF(DATOS!$I7450="","",IFERROR(VLOOKUP(DATOS!$I7450,CONFIG_ASIGNATURAS!$B$2:$J$91,9,FALSE()),""))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IF(DATOS!$A7451="",0,IF(CONFIG_METADATA!$B$4&lt;&gt;"OR+EX",--(DATOS!$G7451=CONFIG_METADATA!$B$4),IF(DATOS!$G7451="EX",1,IF(DATOS!$G7451="OR",--(COUNTIFS(nNIA,DATOS!$A7451,nCURSO,DATOS!$D7451,nESPEC,DATOS!$E7451,nASIG,DATOS!$I7451,nEVAL,"EX")=0),0))))</f>
      </c>
      <c r="H7451">
        <f>IF(DATOS!$G7451&lt;&gt;"EX",0,--(COUNTIFS(nNIA,DATOS!$A7451,nCURSO,DATOS!$D7451,nESPEC,DATOS!$E7451,nASIG,DATOS!$I7451,nEVAL,"OR")=0))</f>
      </c>
      <c r="I7451">
        <f>IF(DATOS!$I7451="","",IFERROR(VLOOKUP(DATOS!$I7451,CONFIG_ASIGNATURAS!$B$2:$J$91,9,FALSE()),""))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IF(DATOS!$A7452="",0,IF(CONFIG_METADATA!$B$4&lt;&gt;"OR+EX",--(DATOS!$G7452=CONFIG_METADATA!$B$4),IF(DATOS!$G7452="EX",1,IF(DATOS!$G7452="OR",--(COUNTIFS(nNIA,DATOS!$A7452,nCURSO,DATOS!$D7452,nESPEC,DATOS!$E7452,nASIG,DATOS!$I7452,nEVAL,"EX")=0),0))))</f>
      </c>
      <c r="H7452">
        <f>IF(DATOS!$G7452&lt;&gt;"EX",0,--(COUNTIFS(nNIA,DATOS!$A7452,nCURSO,DATOS!$D7452,nESPEC,DATOS!$E7452,nASIG,DATOS!$I7452,nEVAL,"OR")=0))</f>
      </c>
      <c r="I7452">
        <f>IF(DATOS!$I7452="","",IFERROR(VLOOKUP(DATOS!$I7452,CONFIG_ASIGNATURAS!$B$2:$J$91,9,FALSE()),""))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IF(DATOS!$A7453="",0,IF(CONFIG_METADATA!$B$4&lt;&gt;"OR+EX",--(DATOS!$G7453=CONFIG_METADATA!$B$4),IF(DATOS!$G7453="EX",1,IF(DATOS!$G7453="OR",--(COUNTIFS(nNIA,DATOS!$A7453,nCURSO,DATOS!$D7453,nESPEC,DATOS!$E7453,nASIG,DATOS!$I7453,nEVAL,"EX")=0),0))))</f>
      </c>
      <c r="H7453">
        <f>IF(DATOS!$G7453&lt;&gt;"EX",0,--(COUNTIFS(nNIA,DATOS!$A7453,nCURSO,DATOS!$D7453,nESPEC,DATOS!$E7453,nASIG,DATOS!$I7453,nEVAL,"OR")=0))</f>
      </c>
      <c r="I7453">
        <f>IF(DATOS!$I7453="","",IFERROR(VLOOKUP(DATOS!$I7453,CONFIG_ASIGNATURAS!$B$2:$J$91,9,FALSE()),""))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IF(DATOS!$A7454="",0,IF(CONFIG_METADATA!$B$4&lt;&gt;"OR+EX",--(DATOS!$G7454=CONFIG_METADATA!$B$4),IF(DATOS!$G7454="EX",1,IF(DATOS!$G7454="OR",--(COUNTIFS(nNIA,DATOS!$A7454,nCURSO,DATOS!$D7454,nESPEC,DATOS!$E7454,nASIG,DATOS!$I7454,nEVAL,"EX")=0),0))))</f>
      </c>
      <c r="H7454">
        <f>IF(DATOS!$G7454&lt;&gt;"EX",0,--(COUNTIFS(nNIA,DATOS!$A7454,nCURSO,DATOS!$D7454,nESPEC,DATOS!$E7454,nASIG,DATOS!$I7454,nEVAL,"OR")=0))</f>
      </c>
      <c r="I7454">
        <f>IF(DATOS!$I7454="","",IFERROR(VLOOKUP(DATOS!$I7454,CONFIG_ASIGNATURAS!$B$2:$J$91,9,FALSE()),""))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IF(DATOS!$A7455="",0,IF(CONFIG_METADATA!$B$4&lt;&gt;"OR+EX",--(DATOS!$G7455=CONFIG_METADATA!$B$4),IF(DATOS!$G7455="EX",1,IF(DATOS!$G7455="OR",--(COUNTIFS(nNIA,DATOS!$A7455,nCURSO,DATOS!$D7455,nESPEC,DATOS!$E7455,nASIG,DATOS!$I7455,nEVAL,"EX")=0),0))))</f>
      </c>
      <c r="H7455">
        <f>IF(DATOS!$G7455&lt;&gt;"EX",0,--(COUNTIFS(nNIA,DATOS!$A7455,nCURSO,DATOS!$D7455,nESPEC,DATOS!$E7455,nASIG,DATOS!$I7455,nEVAL,"OR")=0))</f>
      </c>
      <c r="I7455">
        <f>IF(DATOS!$I7455="","",IFERROR(VLOOKUP(DATOS!$I7455,CONFIG_ASIGNATURAS!$B$2:$J$91,9,FALSE()),""))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IF(DATOS!$A7456="",0,IF(CONFIG_METADATA!$B$4&lt;&gt;"OR+EX",--(DATOS!$G7456=CONFIG_METADATA!$B$4),IF(DATOS!$G7456="EX",1,IF(DATOS!$G7456="OR",--(COUNTIFS(nNIA,DATOS!$A7456,nCURSO,DATOS!$D7456,nESPEC,DATOS!$E7456,nASIG,DATOS!$I7456,nEVAL,"EX")=0),0))))</f>
      </c>
      <c r="H7456">
        <f>IF(DATOS!$G7456&lt;&gt;"EX",0,--(COUNTIFS(nNIA,DATOS!$A7456,nCURSO,DATOS!$D7456,nESPEC,DATOS!$E7456,nASIG,DATOS!$I7456,nEVAL,"OR")=0))</f>
      </c>
      <c r="I7456">
        <f>IF(DATOS!$I7456="","",IFERROR(VLOOKUP(DATOS!$I7456,CONFIG_ASIGNATURAS!$B$2:$J$91,9,FALSE()),""))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IF(DATOS!$A7457="",0,IF(CONFIG_METADATA!$B$4&lt;&gt;"OR+EX",--(DATOS!$G7457=CONFIG_METADATA!$B$4),IF(DATOS!$G7457="EX",1,IF(DATOS!$G7457="OR",--(COUNTIFS(nNIA,DATOS!$A7457,nCURSO,DATOS!$D7457,nESPEC,DATOS!$E7457,nASIG,DATOS!$I7457,nEVAL,"EX")=0),0))))</f>
      </c>
      <c r="H7457">
        <f>IF(DATOS!$G7457&lt;&gt;"EX",0,--(COUNTIFS(nNIA,DATOS!$A7457,nCURSO,DATOS!$D7457,nESPEC,DATOS!$E7457,nASIG,DATOS!$I7457,nEVAL,"OR")=0))</f>
      </c>
      <c r="I7457">
        <f>IF(DATOS!$I7457="","",IFERROR(VLOOKUP(DATOS!$I7457,CONFIG_ASIGNATURAS!$B$2:$J$91,9,FALSE()),""))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IF(DATOS!$A7458="",0,IF(CONFIG_METADATA!$B$4&lt;&gt;"OR+EX",--(DATOS!$G7458=CONFIG_METADATA!$B$4),IF(DATOS!$G7458="EX",1,IF(DATOS!$G7458="OR",--(COUNTIFS(nNIA,DATOS!$A7458,nCURSO,DATOS!$D7458,nESPEC,DATOS!$E7458,nASIG,DATOS!$I7458,nEVAL,"EX")=0),0))))</f>
      </c>
      <c r="H7458">
        <f>IF(DATOS!$G7458&lt;&gt;"EX",0,--(COUNTIFS(nNIA,DATOS!$A7458,nCURSO,DATOS!$D7458,nESPEC,DATOS!$E7458,nASIG,DATOS!$I7458,nEVAL,"OR")=0))</f>
      </c>
      <c r="I7458">
        <f>IF(DATOS!$I7458="","",IFERROR(VLOOKUP(DATOS!$I7458,CONFIG_ASIGNATURAS!$B$2:$J$91,9,FALSE()),""))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IF(DATOS!$A7459="",0,IF(CONFIG_METADATA!$B$4&lt;&gt;"OR+EX",--(DATOS!$G7459=CONFIG_METADATA!$B$4),IF(DATOS!$G7459="EX",1,IF(DATOS!$G7459="OR",--(COUNTIFS(nNIA,DATOS!$A7459,nCURSO,DATOS!$D7459,nESPEC,DATOS!$E7459,nASIG,DATOS!$I7459,nEVAL,"EX")=0),0))))</f>
      </c>
      <c r="H7459">
        <f>IF(DATOS!$G7459&lt;&gt;"EX",0,--(COUNTIFS(nNIA,DATOS!$A7459,nCURSO,DATOS!$D7459,nESPEC,DATOS!$E7459,nASIG,DATOS!$I7459,nEVAL,"OR")=0))</f>
      </c>
      <c r="I7459">
        <f>IF(DATOS!$I7459="","",IFERROR(VLOOKUP(DATOS!$I7459,CONFIG_ASIGNATURAS!$B$2:$J$91,9,FALSE()),""))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IF(DATOS!$A7460="",0,IF(CONFIG_METADATA!$B$4&lt;&gt;"OR+EX",--(DATOS!$G7460=CONFIG_METADATA!$B$4),IF(DATOS!$G7460="EX",1,IF(DATOS!$G7460="OR",--(COUNTIFS(nNIA,DATOS!$A7460,nCURSO,DATOS!$D7460,nESPEC,DATOS!$E7460,nASIG,DATOS!$I7460,nEVAL,"EX")=0),0))))</f>
      </c>
      <c r="H7460">
        <f>IF(DATOS!$G7460&lt;&gt;"EX",0,--(COUNTIFS(nNIA,DATOS!$A7460,nCURSO,DATOS!$D7460,nESPEC,DATOS!$E7460,nASIG,DATOS!$I7460,nEVAL,"OR")=0))</f>
      </c>
      <c r="I7460">
        <f>IF(DATOS!$I7460="","",IFERROR(VLOOKUP(DATOS!$I7460,CONFIG_ASIGNATURAS!$B$2:$J$91,9,FALSE()),""))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IF(DATOS!$A7461="",0,IF(CONFIG_METADATA!$B$4&lt;&gt;"OR+EX",--(DATOS!$G7461=CONFIG_METADATA!$B$4),IF(DATOS!$G7461="EX",1,IF(DATOS!$G7461="OR",--(COUNTIFS(nNIA,DATOS!$A7461,nCURSO,DATOS!$D7461,nESPEC,DATOS!$E7461,nASIG,DATOS!$I7461,nEVAL,"EX")=0),0))))</f>
      </c>
      <c r="H7461">
        <f>IF(DATOS!$G7461&lt;&gt;"EX",0,--(COUNTIFS(nNIA,DATOS!$A7461,nCURSO,DATOS!$D7461,nESPEC,DATOS!$E7461,nASIG,DATOS!$I7461,nEVAL,"OR")=0))</f>
      </c>
      <c r="I7461">
        <f>IF(DATOS!$I7461="","",IFERROR(VLOOKUP(DATOS!$I7461,CONFIG_ASIGNATURAS!$B$2:$J$91,9,FALSE()),""))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IF(DATOS!$A7462="",0,IF(CONFIG_METADATA!$B$4&lt;&gt;"OR+EX",--(DATOS!$G7462=CONFIG_METADATA!$B$4),IF(DATOS!$G7462="EX",1,IF(DATOS!$G7462="OR",--(COUNTIFS(nNIA,DATOS!$A7462,nCURSO,DATOS!$D7462,nESPEC,DATOS!$E7462,nASIG,DATOS!$I7462,nEVAL,"EX")=0),0))))</f>
      </c>
      <c r="H7462">
        <f>IF(DATOS!$G7462&lt;&gt;"EX",0,--(COUNTIFS(nNIA,DATOS!$A7462,nCURSO,DATOS!$D7462,nESPEC,DATOS!$E7462,nASIG,DATOS!$I7462,nEVAL,"OR")=0))</f>
      </c>
      <c r="I7462">
        <f>IF(DATOS!$I7462="","",IFERROR(VLOOKUP(DATOS!$I7462,CONFIG_ASIGNATURAS!$B$2:$J$91,9,FALSE()),""))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IF(DATOS!$A7463="",0,IF(CONFIG_METADATA!$B$4&lt;&gt;"OR+EX",--(DATOS!$G7463=CONFIG_METADATA!$B$4),IF(DATOS!$G7463="EX",1,IF(DATOS!$G7463="OR",--(COUNTIFS(nNIA,DATOS!$A7463,nCURSO,DATOS!$D7463,nESPEC,DATOS!$E7463,nASIG,DATOS!$I7463,nEVAL,"EX")=0),0))))</f>
      </c>
      <c r="H7463">
        <f>IF(DATOS!$G7463&lt;&gt;"EX",0,--(COUNTIFS(nNIA,DATOS!$A7463,nCURSO,DATOS!$D7463,nESPEC,DATOS!$E7463,nASIG,DATOS!$I7463,nEVAL,"OR")=0))</f>
      </c>
      <c r="I7463">
        <f>IF(DATOS!$I7463="","",IFERROR(VLOOKUP(DATOS!$I7463,CONFIG_ASIGNATURAS!$B$2:$J$91,9,FALSE()),""))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IF(DATOS!$A7464="",0,IF(CONFIG_METADATA!$B$4&lt;&gt;"OR+EX",--(DATOS!$G7464=CONFIG_METADATA!$B$4),IF(DATOS!$G7464="EX",1,IF(DATOS!$G7464="OR",--(COUNTIFS(nNIA,DATOS!$A7464,nCURSO,DATOS!$D7464,nESPEC,DATOS!$E7464,nASIG,DATOS!$I7464,nEVAL,"EX")=0),0))))</f>
      </c>
      <c r="H7464">
        <f>IF(DATOS!$G7464&lt;&gt;"EX",0,--(COUNTIFS(nNIA,DATOS!$A7464,nCURSO,DATOS!$D7464,nESPEC,DATOS!$E7464,nASIG,DATOS!$I7464,nEVAL,"OR")=0))</f>
      </c>
      <c r="I7464">
        <f>IF(DATOS!$I7464="","",IFERROR(VLOOKUP(DATOS!$I7464,CONFIG_ASIGNATURAS!$B$2:$J$91,9,FALSE()),""))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IF(DATOS!$A7465="",0,IF(CONFIG_METADATA!$B$4&lt;&gt;"OR+EX",--(DATOS!$G7465=CONFIG_METADATA!$B$4),IF(DATOS!$G7465="EX",1,IF(DATOS!$G7465="OR",--(COUNTIFS(nNIA,DATOS!$A7465,nCURSO,DATOS!$D7465,nESPEC,DATOS!$E7465,nASIG,DATOS!$I7465,nEVAL,"EX")=0),0))))</f>
      </c>
      <c r="H7465">
        <f>IF(DATOS!$G7465&lt;&gt;"EX",0,--(COUNTIFS(nNIA,DATOS!$A7465,nCURSO,DATOS!$D7465,nESPEC,DATOS!$E7465,nASIG,DATOS!$I7465,nEVAL,"OR")=0))</f>
      </c>
      <c r="I7465">
        <f>IF(DATOS!$I7465="","",IFERROR(VLOOKUP(DATOS!$I7465,CONFIG_ASIGNATURAS!$B$2:$J$91,9,FALSE()),""))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IF(DATOS!$A7466="",0,IF(CONFIG_METADATA!$B$4&lt;&gt;"OR+EX",--(DATOS!$G7466=CONFIG_METADATA!$B$4),IF(DATOS!$G7466="EX",1,IF(DATOS!$G7466="OR",--(COUNTIFS(nNIA,DATOS!$A7466,nCURSO,DATOS!$D7466,nESPEC,DATOS!$E7466,nASIG,DATOS!$I7466,nEVAL,"EX")=0),0))))</f>
      </c>
      <c r="H7466">
        <f>IF(DATOS!$G7466&lt;&gt;"EX",0,--(COUNTIFS(nNIA,DATOS!$A7466,nCURSO,DATOS!$D7466,nESPEC,DATOS!$E7466,nASIG,DATOS!$I7466,nEVAL,"OR")=0))</f>
      </c>
      <c r="I7466">
        <f>IF(DATOS!$I7466="","",IFERROR(VLOOKUP(DATOS!$I7466,CONFIG_ASIGNATURAS!$B$2:$J$91,9,FALSE()),""))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IF(DATOS!$A7467="",0,IF(CONFIG_METADATA!$B$4&lt;&gt;"OR+EX",--(DATOS!$G7467=CONFIG_METADATA!$B$4),IF(DATOS!$G7467="EX",1,IF(DATOS!$G7467="OR",--(COUNTIFS(nNIA,DATOS!$A7467,nCURSO,DATOS!$D7467,nESPEC,DATOS!$E7467,nASIG,DATOS!$I7467,nEVAL,"EX")=0),0))))</f>
      </c>
      <c r="H7467">
        <f>IF(DATOS!$G7467&lt;&gt;"EX",0,--(COUNTIFS(nNIA,DATOS!$A7467,nCURSO,DATOS!$D7467,nESPEC,DATOS!$E7467,nASIG,DATOS!$I7467,nEVAL,"OR")=0))</f>
      </c>
      <c r="I7467">
        <f>IF(DATOS!$I7467="","",IFERROR(VLOOKUP(DATOS!$I7467,CONFIG_ASIGNATURAS!$B$2:$J$91,9,FALSE()),""))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IF(DATOS!$A7468="",0,IF(CONFIG_METADATA!$B$4&lt;&gt;"OR+EX",--(DATOS!$G7468=CONFIG_METADATA!$B$4),IF(DATOS!$G7468="EX",1,IF(DATOS!$G7468="OR",--(COUNTIFS(nNIA,DATOS!$A7468,nCURSO,DATOS!$D7468,nESPEC,DATOS!$E7468,nASIG,DATOS!$I7468,nEVAL,"EX")=0),0))))</f>
      </c>
      <c r="H7468">
        <f>IF(DATOS!$G7468&lt;&gt;"EX",0,--(COUNTIFS(nNIA,DATOS!$A7468,nCURSO,DATOS!$D7468,nESPEC,DATOS!$E7468,nASIG,DATOS!$I7468,nEVAL,"OR")=0))</f>
      </c>
      <c r="I7468">
        <f>IF(DATOS!$I7468="","",IFERROR(VLOOKUP(DATOS!$I7468,CONFIG_ASIGNATURAS!$B$2:$J$91,9,FALSE()),""))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IF(DATOS!$A7469="",0,IF(CONFIG_METADATA!$B$4&lt;&gt;"OR+EX",--(DATOS!$G7469=CONFIG_METADATA!$B$4),IF(DATOS!$G7469="EX",1,IF(DATOS!$G7469="OR",--(COUNTIFS(nNIA,DATOS!$A7469,nCURSO,DATOS!$D7469,nESPEC,DATOS!$E7469,nASIG,DATOS!$I7469,nEVAL,"EX")=0),0))))</f>
      </c>
      <c r="H7469">
        <f>IF(DATOS!$G7469&lt;&gt;"EX",0,--(COUNTIFS(nNIA,DATOS!$A7469,nCURSO,DATOS!$D7469,nESPEC,DATOS!$E7469,nASIG,DATOS!$I7469,nEVAL,"OR")=0))</f>
      </c>
      <c r="I7469">
        <f>IF(DATOS!$I7469="","",IFERROR(VLOOKUP(DATOS!$I7469,CONFIG_ASIGNATURAS!$B$2:$J$91,9,FALSE()),""))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IF(DATOS!$A7470="",0,IF(CONFIG_METADATA!$B$4&lt;&gt;"OR+EX",--(DATOS!$G7470=CONFIG_METADATA!$B$4),IF(DATOS!$G7470="EX",1,IF(DATOS!$G7470="OR",--(COUNTIFS(nNIA,DATOS!$A7470,nCURSO,DATOS!$D7470,nESPEC,DATOS!$E7470,nASIG,DATOS!$I7470,nEVAL,"EX")=0),0))))</f>
      </c>
      <c r="H7470">
        <f>IF(DATOS!$G7470&lt;&gt;"EX",0,--(COUNTIFS(nNIA,DATOS!$A7470,nCURSO,DATOS!$D7470,nESPEC,DATOS!$E7470,nASIG,DATOS!$I7470,nEVAL,"OR")=0))</f>
      </c>
      <c r="I7470">
        <f>IF(DATOS!$I7470="","",IFERROR(VLOOKUP(DATOS!$I7470,CONFIG_ASIGNATURAS!$B$2:$J$91,9,FALSE()),""))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IF(DATOS!$A7471="",0,IF(CONFIG_METADATA!$B$4&lt;&gt;"OR+EX",--(DATOS!$G7471=CONFIG_METADATA!$B$4),IF(DATOS!$G7471="EX",1,IF(DATOS!$G7471="OR",--(COUNTIFS(nNIA,DATOS!$A7471,nCURSO,DATOS!$D7471,nESPEC,DATOS!$E7471,nASIG,DATOS!$I7471,nEVAL,"EX")=0),0))))</f>
      </c>
      <c r="H7471">
        <f>IF(DATOS!$G7471&lt;&gt;"EX",0,--(COUNTIFS(nNIA,DATOS!$A7471,nCURSO,DATOS!$D7471,nESPEC,DATOS!$E7471,nASIG,DATOS!$I7471,nEVAL,"OR")=0))</f>
      </c>
      <c r="I7471">
        <f>IF(DATOS!$I7471="","",IFERROR(VLOOKUP(DATOS!$I7471,CONFIG_ASIGNATURAS!$B$2:$J$91,9,FALSE()),""))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IF(DATOS!$A7472="",0,IF(CONFIG_METADATA!$B$4&lt;&gt;"OR+EX",--(DATOS!$G7472=CONFIG_METADATA!$B$4),IF(DATOS!$G7472="EX",1,IF(DATOS!$G7472="OR",--(COUNTIFS(nNIA,DATOS!$A7472,nCURSO,DATOS!$D7472,nESPEC,DATOS!$E7472,nASIG,DATOS!$I7472,nEVAL,"EX")=0),0))))</f>
      </c>
      <c r="H7472">
        <f>IF(DATOS!$G7472&lt;&gt;"EX",0,--(COUNTIFS(nNIA,DATOS!$A7472,nCURSO,DATOS!$D7472,nESPEC,DATOS!$E7472,nASIG,DATOS!$I7472,nEVAL,"OR")=0))</f>
      </c>
      <c r="I7472">
        <f>IF(DATOS!$I7472="","",IFERROR(VLOOKUP(DATOS!$I7472,CONFIG_ASIGNATURAS!$B$2:$J$91,9,FALSE()),""))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IF(DATOS!$A7473="",0,IF(CONFIG_METADATA!$B$4&lt;&gt;"OR+EX",--(DATOS!$G7473=CONFIG_METADATA!$B$4),IF(DATOS!$G7473="EX",1,IF(DATOS!$G7473="OR",--(COUNTIFS(nNIA,DATOS!$A7473,nCURSO,DATOS!$D7473,nESPEC,DATOS!$E7473,nASIG,DATOS!$I7473,nEVAL,"EX")=0),0))))</f>
      </c>
      <c r="H7473">
        <f>IF(DATOS!$G7473&lt;&gt;"EX",0,--(COUNTIFS(nNIA,DATOS!$A7473,nCURSO,DATOS!$D7473,nESPEC,DATOS!$E7473,nASIG,DATOS!$I7473,nEVAL,"OR")=0))</f>
      </c>
      <c r="I7473">
        <f>IF(DATOS!$I7473="","",IFERROR(VLOOKUP(DATOS!$I7473,CONFIG_ASIGNATURAS!$B$2:$J$91,9,FALSE()),""))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IF(DATOS!$A7474="",0,IF(CONFIG_METADATA!$B$4&lt;&gt;"OR+EX",--(DATOS!$G7474=CONFIG_METADATA!$B$4),IF(DATOS!$G7474="EX",1,IF(DATOS!$G7474="OR",--(COUNTIFS(nNIA,DATOS!$A7474,nCURSO,DATOS!$D7474,nESPEC,DATOS!$E7474,nASIG,DATOS!$I7474,nEVAL,"EX")=0),0))))</f>
      </c>
      <c r="H7474">
        <f>IF(DATOS!$G7474&lt;&gt;"EX",0,--(COUNTIFS(nNIA,DATOS!$A7474,nCURSO,DATOS!$D7474,nESPEC,DATOS!$E7474,nASIG,DATOS!$I7474,nEVAL,"OR")=0))</f>
      </c>
      <c r="I7474">
        <f>IF(DATOS!$I7474="","",IFERROR(VLOOKUP(DATOS!$I7474,CONFIG_ASIGNATURAS!$B$2:$J$91,9,FALSE()),""))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IF(DATOS!$A7475="",0,IF(CONFIG_METADATA!$B$4&lt;&gt;"OR+EX",--(DATOS!$G7475=CONFIG_METADATA!$B$4),IF(DATOS!$G7475="EX",1,IF(DATOS!$G7475="OR",--(COUNTIFS(nNIA,DATOS!$A7475,nCURSO,DATOS!$D7475,nESPEC,DATOS!$E7475,nASIG,DATOS!$I7475,nEVAL,"EX")=0),0))))</f>
      </c>
      <c r="H7475">
        <f>IF(DATOS!$G7475&lt;&gt;"EX",0,--(COUNTIFS(nNIA,DATOS!$A7475,nCURSO,DATOS!$D7475,nESPEC,DATOS!$E7475,nASIG,DATOS!$I7475,nEVAL,"OR")=0))</f>
      </c>
      <c r="I7475">
        <f>IF(DATOS!$I7475="","",IFERROR(VLOOKUP(DATOS!$I7475,CONFIG_ASIGNATURAS!$B$2:$J$91,9,FALSE()),""))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IF(DATOS!$A7476="",0,IF(CONFIG_METADATA!$B$4&lt;&gt;"OR+EX",--(DATOS!$G7476=CONFIG_METADATA!$B$4),IF(DATOS!$G7476="EX",1,IF(DATOS!$G7476="OR",--(COUNTIFS(nNIA,DATOS!$A7476,nCURSO,DATOS!$D7476,nESPEC,DATOS!$E7476,nASIG,DATOS!$I7476,nEVAL,"EX")=0),0))))</f>
      </c>
      <c r="H7476">
        <f>IF(DATOS!$G7476&lt;&gt;"EX",0,--(COUNTIFS(nNIA,DATOS!$A7476,nCURSO,DATOS!$D7476,nESPEC,DATOS!$E7476,nASIG,DATOS!$I7476,nEVAL,"OR")=0))</f>
      </c>
      <c r="I7476">
        <f>IF(DATOS!$I7476="","",IFERROR(VLOOKUP(DATOS!$I7476,CONFIG_ASIGNATURAS!$B$2:$J$91,9,FALSE()),""))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IF(DATOS!$A7477="",0,IF(CONFIG_METADATA!$B$4&lt;&gt;"OR+EX",--(DATOS!$G7477=CONFIG_METADATA!$B$4),IF(DATOS!$G7477="EX",1,IF(DATOS!$G7477="OR",--(COUNTIFS(nNIA,DATOS!$A7477,nCURSO,DATOS!$D7477,nESPEC,DATOS!$E7477,nASIG,DATOS!$I7477,nEVAL,"EX")=0),0))))</f>
      </c>
      <c r="H7477">
        <f>IF(DATOS!$G7477&lt;&gt;"EX",0,--(COUNTIFS(nNIA,DATOS!$A7477,nCURSO,DATOS!$D7477,nESPEC,DATOS!$E7477,nASIG,DATOS!$I7477,nEVAL,"OR")=0))</f>
      </c>
      <c r="I7477">
        <f>IF(DATOS!$I7477="","",IFERROR(VLOOKUP(DATOS!$I7477,CONFIG_ASIGNATURAS!$B$2:$J$91,9,FALSE()),""))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IF(DATOS!$A7478="",0,IF(CONFIG_METADATA!$B$4&lt;&gt;"OR+EX",--(DATOS!$G7478=CONFIG_METADATA!$B$4),IF(DATOS!$G7478="EX",1,IF(DATOS!$G7478="OR",--(COUNTIFS(nNIA,DATOS!$A7478,nCURSO,DATOS!$D7478,nESPEC,DATOS!$E7478,nASIG,DATOS!$I7478,nEVAL,"EX")=0),0))))</f>
      </c>
      <c r="H7478">
        <f>IF(DATOS!$G7478&lt;&gt;"EX",0,--(COUNTIFS(nNIA,DATOS!$A7478,nCURSO,DATOS!$D7478,nESPEC,DATOS!$E7478,nASIG,DATOS!$I7478,nEVAL,"OR")=0))</f>
      </c>
      <c r="I7478">
        <f>IF(DATOS!$I7478="","",IFERROR(VLOOKUP(DATOS!$I7478,CONFIG_ASIGNATURAS!$B$2:$J$91,9,FALSE()),""))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IF(DATOS!$A7479="",0,IF(CONFIG_METADATA!$B$4&lt;&gt;"OR+EX",--(DATOS!$G7479=CONFIG_METADATA!$B$4),IF(DATOS!$G7479="EX",1,IF(DATOS!$G7479="OR",--(COUNTIFS(nNIA,DATOS!$A7479,nCURSO,DATOS!$D7479,nESPEC,DATOS!$E7479,nASIG,DATOS!$I7479,nEVAL,"EX")=0),0))))</f>
      </c>
      <c r="H7479">
        <f>IF(DATOS!$G7479&lt;&gt;"EX",0,--(COUNTIFS(nNIA,DATOS!$A7479,nCURSO,DATOS!$D7479,nESPEC,DATOS!$E7479,nASIG,DATOS!$I7479,nEVAL,"OR")=0))</f>
      </c>
      <c r="I7479">
        <f>IF(DATOS!$I7479="","",IFERROR(VLOOKUP(DATOS!$I7479,CONFIG_ASIGNATURAS!$B$2:$J$91,9,FALSE()),""))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IF(DATOS!$A7480="",0,IF(CONFIG_METADATA!$B$4&lt;&gt;"OR+EX",--(DATOS!$G7480=CONFIG_METADATA!$B$4),IF(DATOS!$G7480="EX",1,IF(DATOS!$G7480="OR",--(COUNTIFS(nNIA,DATOS!$A7480,nCURSO,DATOS!$D7480,nESPEC,DATOS!$E7480,nASIG,DATOS!$I7480,nEVAL,"EX")=0),0))))</f>
      </c>
      <c r="H7480">
        <f>IF(DATOS!$G7480&lt;&gt;"EX",0,--(COUNTIFS(nNIA,DATOS!$A7480,nCURSO,DATOS!$D7480,nESPEC,DATOS!$E7480,nASIG,DATOS!$I7480,nEVAL,"OR")=0))</f>
      </c>
      <c r="I7480">
        <f>IF(DATOS!$I7480="","",IFERROR(VLOOKUP(DATOS!$I7480,CONFIG_ASIGNATURAS!$B$2:$J$91,9,FALSE()),""))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IF(DATOS!$A7481="",0,IF(CONFIG_METADATA!$B$4&lt;&gt;"OR+EX",--(DATOS!$G7481=CONFIG_METADATA!$B$4),IF(DATOS!$G7481="EX",1,IF(DATOS!$G7481="OR",--(COUNTIFS(nNIA,DATOS!$A7481,nCURSO,DATOS!$D7481,nESPEC,DATOS!$E7481,nASIG,DATOS!$I7481,nEVAL,"EX")=0),0))))</f>
      </c>
      <c r="H7481">
        <f>IF(DATOS!$G7481&lt;&gt;"EX",0,--(COUNTIFS(nNIA,DATOS!$A7481,nCURSO,DATOS!$D7481,nESPEC,DATOS!$E7481,nASIG,DATOS!$I7481,nEVAL,"OR")=0))</f>
      </c>
      <c r="I7481">
        <f>IF(DATOS!$I7481="","",IFERROR(VLOOKUP(DATOS!$I7481,CONFIG_ASIGNATURAS!$B$2:$J$91,9,FALSE()),""))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IF(DATOS!$A7482="",0,IF(CONFIG_METADATA!$B$4&lt;&gt;"OR+EX",--(DATOS!$G7482=CONFIG_METADATA!$B$4),IF(DATOS!$G7482="EX",1,IF(DATOS!$G7482="OR",--(COUNTIFS(nNIA,DATOS!$A7482,nCURSO,DATOS!$D7482,nESPEC,DATOS!$E7482,nASIG,DATOS!$I7482,nEVAL,"EX")=0),0))))</f>
      </c>
      <c r="H7482">
        <f>IF(DATOS!$G7482&lt;&gt;"EX",0,--(COUNTIFS(nNIA,DATOS!$A7482,nCURSO,DATOS!$D7482,nESPEC,DATOS!$E7482,nASIG,DATOS!$I7482,nEVAL,"OR")=0))</f>
      </c>
      <c r="I7482">
        <f>IF(DATOS!$I7482="","",IFERROR(VLOOKUP(DATOS!$I7482,CONFIG_ASIGNATURAS!$B$2:$J$91,9,FALSE()),""))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IF(DATOS!$A7483="",0,IF(CONFIG_METADATA!$B$4&lt;&gt;"OR+EX",--(DATOS!$G7483=CONFIG_METADATA!$B$4),IF(DATOS!$G7483="EX",1,IF(DATOS!$G7483="OR",--(COUNTIFS(nNIA,DATOS!$A7483,nCURSO,DATOS!$D7483,nESPEC,DATOS!$E7483,nASIG,DATOS!$I7483,nEVAL,"EX")=0),0))))</f>
      </c>
      <c r="H7483">
        <f>IF(DATOS!$G7483&lt;&gt;"EX",0,--(COUNTIFS(nNIA,DATOS!$A7483,nCURSO,DATOS!$D7483,nESPEC,DATOS!$E7483,nASIG,DATOS!$I7483,nEVAL,"OR")=0))</f>
      </c>
      <c r="I7483">
        <f>IF(DATOS!$I7483="","",IFERROR(VLOOKUP(DATOS!$I7483,CONFIG_ASIGNATURAS!$B$2:$J$91,9,FALSE()),""))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IF(DATOS!$A7484="",0,IF(CONFIG_METADATA!$B$4&lt;&gt;"OR+EX",--(DATOS!$G7484=CONFIG_METADATA!$B$4),IF(DATOS!$G7484="EX",1,IF(DATOS!$G7484="OR",--(COUNTIFS(nNIA,DATOS!$A7484,nCURSO,DATOS!$D7484,nESPEC,DATOS!$E7484,nASIG,DATOS!$I7484,nEVAL,"EX")=0),0))))</f>
      </c>
      <c r="H7484">
        <f>IF(DATOS!$G7484&lt;&gt;"EX",0,--(COUNTIFS(nNIA,DATOS!$A7484,nCURSO,DATOS!$D7484,nESPEC,DATOS!$E7484,nASIG,DATOS!$I7484,nEVAL,"OR")=0))</f>
      </c>
      <c r="I7484">
        <f>IF(DATOS!$I7484="","",IFERROR(VLOOKUP(DATOS!$I7484,CONFIG_ASIGNATURAS!$B$2:$J$91,9,FALSE()),""))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IF(DATOS!$A7485="",0,IF(CONFIG_METADATA!$B$4&lt;&gt;"OR+EX",--(DATOS!$G7485=CONFIG_METADATA!$B$4),IF(DATOS!$G7485="EX",1,IF(DATOS!$G7485="OR",--(COUNTIFS(nNIA,DATOS!$A7485,nCURSO,DATOS!$D7485,nESPEC,DATOS!$E7485,nASIG,DATOS!$I7485,nEVAL,"EX")=0),0))))</f>
      </c>
      <c r="H7485">
        <f>IF(DATOS!$G7485&lt;&gt;"EX",0,--(COUNTIFS(nNIA,DATOS!$A7485,nCURSO,DATOS!$D7485,nESPEC,DATOS!$E7485,nASIG,DATOS!$I7485,nEVAL,"OR")=0))</f>
      </c>
      <c r="I7485">
        <f>IF(DATOS!$I7485="","",IFERROR(VLOOKUP(DATOS!$I7485,CONFIG_ASIGNATURAS!$B$2:$J$91,9,FALSE()),""))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IF(DATOS!$A7486="",0,IF(CONFIG_METADATA!$B$4&lt;&gt;"OR+EX",--(DATOS!$G7486=CONFIG_METADATA!$B$4),IF(DATOS!$G7486="EX",1,IF(DATOS!$G7486="OR",--(COUNTIFS(nNIA,DATOS!$A7486,nCURSO,DATOS!$D7486,nESPEC,DATOS!$E7486,nASIG,DATOS!$I7486,nEVAL,"EX")=0),0))))</f>
      </c>
      <c r="H7486">
        <f>IF(DATOS!$G7486&lt;&gt;"EX",0,--(COUNTIFS(nNIA,DATOS!$A7486,nCURSO,DATOS!$D7486,nESPEC,DATOS!$E7486,nASIG,DATOS!$I7486,nEVAL,"OR")=0))</f>
      </c>
      <c r="I7486">
        <f>IF(DATOS!$I7486="","",IFERROR(VLOOKUP(DATOS!$I7486,CONFIG_ASIGNATURAS!$B$2:$J$91,9,FALSE()),""))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IF(DATOS!$A7487="",0,IF(CONFIG_METADATA!$B$4&lt;&gt;"OR+EX",--(DATOS!$G7487=CONFIG_METADATA!$B$4),IF(DATOS!$G7487="EX",1,IF(DATOS!$G7487="OR",--(COUNTIFS(nNIA,DATOS!$A7487,nCURSO,DATOS!$D7487,nESPEC,DATOS!$E7487,nASIG,DATOS!$I7487,nEVAL,"EX")=0),0))))</f>
      </c>
      <c r="H7487">
        <f>IF(DATOS!$G7487&lt;&gt;"EX",0,--(COUNTIFS(nNIA,DATOS!$A7487,nCURSO,DATOS!$D7487,nESPEC,DATOS!$E7487,nASIG,DATOS!$I7487,nEVAL,"OR")=0))</f>
      </c>
      <c r="I7487">
        <f>IF(DATOS!$I7487="","",IFERROR(VLOOKUP(DATOS!$I7487,CONFIG_ASIGNATURAS!$B$2:$J$91,9,FALSE()),""))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IF(DATOS!$A7488="",0,IF(CONFIG_METADATA!$B$4&lt;&gt;"OR+EX",--(DATOS!$G7488=CONFIG_METADATA!$B$4),IF(DATOS!$G7488="EX",1,IF(DATOS!$G7488="OR",--(COUNTIFS(nNIA,DATOS!$A7488,nCURSO,DATOS!$D7488,nESPEC,DATOS!$E7488,nASIG,DATOS!$I7488,nEVAL,"EX")=0),0))))</f>
      </c>
      <c r="H7488">
        <f>IF(DATOS!$G7488&lt;&gt;"EX",0,--(COUNTIFS(nNIA,DATOS!$A7488,nCURSO,DATOS!$D7488,nESPEC,DATOS!$E7488,nASIG,DATOS!$I7488,nEVAL,"OR")=0))</f>
      </c>
      <c r="I7488">
        <f>IF(DATOS!$I7488="","",IFERROR(VLOOKUP(DATOS!$I7488,CONFIG_ASIGNATURAS!$B$2:$J$91,9,FALSE()),""))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IF(DATOS!$A7489="",0,IF(CONFIG_METADATA!$B$4&lt;&gt;"OR+EX",--(DATOS!$G7489=CONFIG_METADATA!$B$4),IF(DATOS!$G7489="EX",1,IF(DATOS!$G7489="OR",--(COUNTIFS(nNIA,DATOS!$A7489,nCURSO,DATOS!$D7489,nESPEC,DATOS!$E7489,nASIG,DATOS!$I7489,nEVAL,"EX")=0),0))))</f>
      </c>
      <c r="H7489">
        <f>IF(DATOS!$G7489&lt;&gt;"EX",0,--(COUNTIFS(nNIA,DATOS!$A7489,nCURSO,DATOS!$D7489,nESPEC,DATOS!$E7489,nASIG,DATOS!$I7489,nEVAL,"OR")=0))</f>
      </c>
      <c r="I7489">
        <f>IF(DATOS!$I7489="","",IFERROR(VLOOKUP(DATOS!$I7489,CONFIG_ASIGNATURAS!$B$2:$J$91,9,FALSE()),""))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IF(DATOS!$A7490="",0,IF(CONFIG_METADATA!$B$4&lt;&gt;"OR+EX",--(DATOS!$G7490=CONFIG_METADATA!$B$4),IF(DATOS!$G7490="EX",1,IF(DATOS!$G7490="OR",--(COUNTIFS(nNIA,DATOS!$A7490,nCURSO,DATOS!$D7490,nESPEC,DATOS!$E7490,nASIG,DATOS!$I7490,nEVAL,"EX")=0),0))))</f>
      </c>
      <c r="H7490">
        <f>IF(DATOS!$G7490&lt;&gt;"EX",0,--(COUNTIFS(nNIA,DATOS!$A7490,nCURSO,DATOS!$D7490,nESPEC,DATOS!$E7490,nASIG,DATOS!$I7490,nEVAL,"OR")=0))</f>
      </c>
      <c r="I7490">
        <f>IF(DATOS!$I7490="","",IFERROR(VLOOKUP(DATOS!$I7490,CONFIG_ASIGNATURAS!$B$2:$J$91,9,FALSE()),""))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IF(DATOS!$A7491="",0,IF(CONFIG_METADATA!$B$4&lt;&gt;"OR+EX",--(DATOS!$G7491=CONFIG_METADATA!$B$4),IF(DATOS!$G7491="EX",1,IF(DATOS!$G7491="OR",--(COUNTIFS(nNIA,DATOS!$A7491,nCURSO,DATOS!$D7491,nESPEC,DATOS!$E7491,nASIG,DATOS!$I7491,nEVAL,"EX")=0),0))))</f>
      </c>
      <c r="H7491">
        <f>IF(DATOS!$G7491&lt;&gt;"EX",0,--(COUNTIFS(nNIA,DATOS!$A7491,nCURSO,DATOS!$D7491,nESPEC,DATOS!$E7491,nASIG,DATOS!$I7491,nEVAL,"OR")=0))</f>
      </c>
      <c r="I7491">
        <f>IF(DATOS!$I7491="","",IFERROR(VLOOKUP(DATOS!$I7491,CONFIG_ASIGNATURAS!$B$2:$J$91,9,FALSE()),""))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IF(DATOS!$A7492="",0,IF(CONFIG_METADATA!$B$4&lt;&gt;"OR+EX",--(DATOS!$G7492=CONFIG_METADATA!$B$4),IF(DATOS!$G7492="EX",1,IF(DATOS!$G7492="OR",--(COUNTIFS(nNIA,DATOS!$A7492,nCURSO,DATOS!$D7492,nESPEC,DATOS!$E7492,nASIG,DATOS!$I7492,nEVAL,"EX")=0),0))))</f>
      </c>
      <c r="H7492">
        <f>IF(DATOS!$G7492&lt;&gt;"EX",0,--(COUNTIFS(nNIA,DATOS!$A7492,nCURSO,DATOS!$D7492,nESPEC,DATOS!$E7492,nASIG,DATOS!$I7492,nEVAL,"OR")=0))</f>
      </c>
      <c r="I7492">
        <f>IF(DATOS!$I7492="","",IFERROR(VLOOKUP(DATOS!$I7492,CONFIG_ASIGNATURAS!$B$2:$J$91,9,FALSE()),""))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IF(DATOS!$A7493="",0,IF(CONFIG_METADATA!$B$4&lt;&gt;"OR+EX",--(DATOS!$G7493=CONFIG_METADATA!$B$4),IF(DATOS!$G7493="EX",1,IF(DATOS!$G7493="OR",--(COUNTIFS(nNIA,DATOS!$A7493,nCURSO,DATOS!$D7493,nESPEC,DATOS!$E7493,nASIG,DATOS!$I7493,nEVAL,"EX")=0),0))))</f>
      </c>
      <c r="H7493">
        <f>IF(DATOS!$G7493&lt;&gt;"EX",0,--(COUNTIFS(nNIA,DATOS!$A7493,nCURSO,DATOS!$D7493,nESPEC,DATOS!$E7493,nASIG,DATOS!$I7493,nEVAL,"OR")=0))</f>
      </c>
      <c r="I7493">
        <f>IF(DATOS!$I7493="","",IFERROR(VLOOKUP(DATOS!$I7493,CONFIG_ASIGNATURAS!$B$2:$J$91,9,FALSE()),""))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IF(DATOS!$A7494="",0,IF(CONFIG_METADATA!$B$4&lt;&gt;"OR+EX",--(DATOS!$G7494=CONFIG_METADATA!$B$4),IF(DATOS!$G7494="EX",1,IF(DATOS!$G7494="OR",--(COUNTIFS(nNIA,DATOS!$A7494,nCURSO,DATOS!$D7494,nESPEC,DATOS!$E7494,nASIG,DATOS!$I7494,nEVAL,"EX")=0),0))))</f>
      </c>
      <c r="H7494">
        <f>IF(DATOS!$G7494&lt;&gt;"EX",0,--(COUNTIFS(nNIA,DATOS!$A7494,nCURSO,DATOS!$D7494,nESPEC,DATOS!$E7494,nASIG,DATOS!$I7494,nEVAL,"OR")=0))</f>
      </c>
      <c r="I7494">
        <f>IF(DATOS!$I7494="","",IFERROR(VLOOKUP(DATOS!$I7494,CONFIG_ASIGNATURAS!$B$2:$J$91,9,FALSE()),""))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IF(DATOS!$A7495="",0,IF(CONFIG_METADATA!$B$4&lt;&gt;"OR+EX",--(DATOS!$G7495=CONFIG_METADATA!$B$4),IF(DATOS!$G7495="EX",1,IF(DATOS!$G7495="OR",--(COUNTIFS(nNIA,DATOS!$A7495,nCURSO,DATOS!$D7495,nESPEC,DATOS!$E7495,nASIG,DATOS!$I7495,nEVAL,"EX")=0),0))))</f>
      </c>
      <c r="H7495">
        <f>IF(DATOS!$G7495&lt;&gt;"EX",0,--(COUNTIFS(nNIA,DATOS!$A7495,nCURSO,DATOS!$D7495,nESPEC,DATOS!$E7495,nASIG,DATOS!$I7495,nEVAL,"OR")=0))</f>
      </c>
      <c r="I7495">
        <f>IF(DATOS!$I7495="","",IFERROR(VLOOKUP(DATOS!$I7495,CONFIG_ASIGNATURAS!$B$2:$J$91,9,FALSE()),""))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IF(DATOS!$A7496="",0,IF(CONFIG_METADATA!$B$4&lt;&gt;"OR+EX",--(DATOS!$G7496=CONFIG_METADATA!$B$4),IF(DATOS!$G7496="EX",1,IF(DATOS!$G7496="OR",--(COUNTIFS(nNIA,DATOS!$A7496,nCURSO,DATOS!$D7496,nESPEC,DATOS!$E7496,nASIG,DATOS!$I7496,nEVAL,"EX")=0),0))))</f>
      </c>
      <c r="H7496">
        <f>IF(DATOS!$G7496&lt;&gt;"EX",0,--(COUNTIFS(nNIA,DATOS!$A7496,nCURSO,DATOS!$D7496,nESPEC,DATOS!$E7496,nASIG,DATOS!$I7496,nEVAL,"OR")=0))</f>
      </c>
      <c r="I7496">
        <f>IF(DATOS!$I7496="","",IFERROR(VLOOKUP(DATOS!$I7496,CONFIG_ASIGNATURAS!$B$2:$J$91,9,FALSE()),""))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IF(DATOS!$A7497="",0,IF(CONFIG_METADATA!$B$4&lt;&gt;"OR+EX",--(DATOS!$G7497=CONFIG_METADATA!$B$4),IF(DATOS!$G7497="EX",1,IF(DATOS!$G7497="OR",--(COUNTIFS(nNIA,DATOS!$A7497,nCURSO,DATOS!$D7497,nESPEC,DATOS!$E7497,nASIG,DATOS!$I7497,nEVAL,"EX")=0),0))))</f>
      </c>
      <c r="H7497">
        <f>IF(DATOS!$G7497&lt;&gt;"EX",0,--(COUNTIFS(nNIA,DATOS!$A7497,nCURSO,DATOS!$D7497,nESPEC,DATOS!$E7497,nASIG,DATOS!$I7497,nEVAL,"OR")=0))</f>
      </c>
      <c r="I7497">
        <f>IF(DATOS!$I7497="","",IFERROR(VLOOKUP(DATOS!$I7497,CONFIG_ASIGNATURAS!$B$2:$J$91,9,FALSE()),""))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IF(DATOS!$A7498="",0,IF(CONFIG_METADATA!$B$4&lt;&gt;"OR+EX",--(DATOS!$G7498=CONFIG_METADATA!$B$4),IF(DATOS!$G7498="EX",1,IF(DATOS!$G7498="OR",--(COUNTIFS(nNIA,DATOS!$A7498,nCURSO,DATOS!$D7498,nESPEC,DATOS!$E7498,nASIG,DATOS!$I7498,nEVAL,"EX")=0),0))))</f>
      </c>
      <c r="H7498">
        <f>IF(DATOS!$G7498&lt;&gt;"EX",0,--(COUNTIFS(nNIA,DATOS!$A7498,nCURSO,DATOS!$D7498,nESPEC,DATOS!$E7498,nASIG,DATOS!$I7498,nEVAL,"OR")=0))</f>
      </c>
      <c r="I7498">
        <f>IF(DATOS!$I7498="","",IFERROR(VLOOKUP(DATOS!$I7498,CONFIG_ASIGNATURAS!$B$2:$J$91,9,FALSE()),""))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IF(DATOS!$A7499="",0,IF(CONFIG_METADATA!$B$4&lt;&gt;"OR+EX",--(DATOS!$G7499=CONFIG_METADATA!$B$4),IF(DATOS!$G7499="EX",1,IF(DATOS!$G7499="OR",--(COUNTIFS(nNIA,DATOS!$A7499,nCURSO,DATOS!$D7499,nESPEC,DATOS!$E7499,nASIG,DATOS!$I7499,nEVAL,"EX")=0),0))))</f>
      </c>
      <c r="H7499">
        <f>IF(DATOS!$G7499&lt;&gt;"EX",0,--(COUNTIFS(nNIA,DATOS!$A7499,nCURSO,DATOS!$D7499,nESPEC,DATOS!$E7499,nASIG,DATOS!$I7499,nEVAL,"OR")=0))</f>
      </c>
      <c r="I7499">
        <f>IF(DATOS!$I7499="","",IFERROR(VLOOKUP(DATOS!$I7499,CONFIG_ASIGNATURAS!$B$2:$J$91,9,FALSE()),""))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IF(DATOS!$A7500="",0,IF(CONFIG_METADATA!$B$4&lt;&gt;"OR+EX",--(DATOS!$G7500=CONFIG_METADATA!$B$4),IF(DATOS!$G7500="EX",1,IF(DATOS!$G7500="OR",--(COUNTIFS(nNIA,DATOS!$A7500,nCURSO,DATOS!$D7500,nESPEC,DATOS!$E7500,nASIG,DATOS!$I7500,nEVAL,"EX")=0),0))))</f>
      </c>
      <c r="H7500">
        <f>IF(DATOS!$G7500&lt;&gt;"EX",0,--(COUNTIFS(nNIA,DATOS!$A7500,nCURSO,DATOS!$D7500,nESPEC,DATOS!$E7500,nASIG,DATOS!$I7500,nEVAL,"OR")=0))</f>
      </c>
      <c r="I7500">
        <f>IF(DATOS!$I7500="","",IFERROR(VLOOKUP(DATOS!$I7500,CONFIG_ASIGNATURAS!$B$2:$J$91,9,FALSE()),""))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IF(DATOS!$A7501="",0,IF(CONFIG_METADATA!$B$4&lt;&gt;"OR+EX",--(DATOS!$G7501=CONFIG_METADATA!$B$4),IF(DATOS!$G7501="EX",1,IF(DATOS!$G7501="OR",--(COUNTIFS(nNIA,DATOS!$A7501,nCURSO,DATOS!$D7501,nESPEC,DATOS!$E7501,nASIG,DATOS!$I7501,nEVAL,"EX")=0),0))))</f>
      </c>
      <c r="H7501">
        <f>IF(DATOS!$G7501&lt;&gt;"EX",0,--(COUNTIFS(nNIA,DATOS!$A7501,nCURSO,DATOS!$D7501,nESPEC,DATOS!$E7501,nASIG,DATOS!$I7501,nEVAL,"OR")=0))</f>
      </c>
      <c r="I7501">
        <f>IF(DATOS!$I7501="","",IFERROR(VLOOKUP(DATOS!$I7501,CONFIG_ASIGNATURAS!$B$2:$J$91,9,FALSE()),""))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IF(DATOS!$A7502="",0,IF(CONFIG_METADATA!$B$4&lt;&gt;"OR+EX",--(DATOS!$G7502=CONFIG_METADATA!$B$4),IF(DATOS!$G7502="EX",1,IF(DATOS!$G7502="OR",--(COUNTIFS(nNIA,DATOS!$A7502,nCURSO,DATOS!$D7502,nESPEC,DATOS!$E7502,nASIG,DATOS!$I7502,nEVAL,"EX")=0),0))))</f>
      </c>
      <c r="H7502">
        <f>IF(DATOS!$G7502&lt;&gt;"EX",0,--(COUNTIFS(nNIA,DATOS!$A7502,nCURSO,DATOS!$D7502,nESPEC,DATOS!$E7502,nASIG,DATOS!$I7502,nEVAL,"OR")=0))</f>
      </c>
      <c r="I7502">
        <f>IF(DATOS!$I7502="","",IFERROR(VLOOKUP(DATOS!$I7502,CONFIG_ASIGNATURAS!$B$2:$J$91,9,FALSE()),""))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IF(DATOS!$A7503="",0,IF(CONFIG_METADATA!$B$4&lt;&gt;"OR+EX",--(DATOS!$G7503=CONFIG_METADATA!$B$4),IF(DATOS!$G7503="EX",1,IF(DATOS!$G7503="OR",--(COUNTIFS(nNIA,DATOS!$A7503,nCURSO,DATOS!$D7503,nESPEC,DATOS!$E7503,nASIG,DATOS!$I7503,nEVAL,"EX")=0),0))))</f>
      </c>
      <c r="H7503">
        <f>IF(DATOS!$G7503&lt;&gt;"EX",0,--(COUNTIFS(nNIA,DATOS!$A7503,nCURSO,DATOS!$D7503,nESPEC,DATOS!$E7503,nASIG,DATOS!$I7503,nEVAL,"OR")=0))</f>
      </c>
      <c r="I7503">
        <f>IF(DATOS!$I7503="","",IFERROR(VLOOKUP(DATOS!$I7503,CONFIG_ASIGNATURAS!$B$2:$J$91,9,FALSE()),""))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IF(DATOS!$A7504="",0,IF(CONFIG_METADATA!$B$4&lt;&gt;"OR+EX",--(DATOS!$G7504=CONFIG_METADATA!$B$4),IF(DATOS!$G7504="EX",1,IF(DATOS!$G7504="OR",--(COUNTIFS(nNIA,DATOS!$A7504,nCURSO,DATOS!$D7504,nESPEC,DATOS!$E7504,nASIG,DATOS!$I7504,nEVAL,"EX")=0),0))))</f>
      </c>
      <c r="H7504">
        <f>IF(DATOS!$G7504&lt;&gt;"EX",0,--(COUNTIFS(nNIA,DATOS!$A7504,nCURSO,DATOS!$D7504,nESPEC,DATOS!$E7504,nASIG,DATOS!$I7504,nEVAL,"OR")=0))</f>
      </c>
      <c r="I7504">
        <f>IF(DATOS!$I7504="","",IFERROR(VLOOKUP(DATOS!$I7504,CONFIG_ASIGNATURAS!$B$2:$J$91,9,FALSE()),""))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IF(DATOS!$A7505="",0,IF(CONFIG_METADATA!$B$4&lt;&gt;"OR+EX",--(DATOS!$G7505=CONFIG_METADATA!$B$4),IF(DATOS!$G7505="EX",1,IF(DATOS!$G7505="OR",--(COUNTIFS(nNIA,DATOS!$A7505,nCURSO,DATOS!$D7505,nESPEC,DATOS!$E7505,nASIG,DATOS!$I7505,nEVAL,"EX")=0),0))))</f>
      </c>
      <c r="H7505">
        <f>IF(DATOS!$G7505&lt;&gt;"EX",0,--(COUNTIFS(nNIA,DATOS!$A7505,nCURSO,DATOS!$D7505,nESPEC,DATOS!$E7505,nASIG,DATOS!$I7505,nEVAL,"OR")=0))</f>
      </c>
      <c r="I7505">
        <f>IF(DATOS!$I7505="","",IFERROR(VLOOKUP(DATOS!$I7505,CONFIG_ASIGNATURAS!$B$2:$J$91,9,FALSE()),""))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IF(DATOS!$A7506="",0,IF(CONFIG_METADATA!$B$4&lt;&gt;"OR+EX",--(DATOS!$G7506=CONFIG_METADATA!$B$4),IF(DATOS!$G7506="EX",1,IF(DATOS!$G7506="OR",--(COUNTIFS(nNIA,DATOS!$A7506,nCURSO,DATOS!$D7506,nESPEC,DATOS!$E7506,nASIG,DATOS!$I7506,nEVAL,"EX")=0),0))))</f>
      </c>
      <c r="H7506">
        <f>IF(DATOS!$G7506&lt;&gt;"EX",0,--(COUNTIFS(nNIA,DATOS!$A7506,nCURSO,DATOS!$D7506,nESPEC,DATOS!$E7506,nASIG,DATOS!$I7506,nEVAL,"OR")=0))</f>
      </c>
      <c r="I7506">
        <f>IF(DATOS!$I7506="","",IFERROR(VLOOKUP(DATOS!$I7506,CONFIG_ASIGNATURAS!$B$2:$J$91,9,FALSE()),""))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IF(DATOS!$A7507="",0,IF(CONFIG_METADATA!$B$4&lt;&gt;"OR+EX",--(DATOS!$G7507=CONFIG_METADATA!$B$4),IF(DATOS!$G7507="EX",1,IF(DATOS!$G7507="OR",--(COUNTIFS(nNIA,DATOS!$A7507,nCURSO,DATOS!$D7507,nESPEC,DATOS!$E7507,nASIG,DATOS!$I7507,nEVAL,"EX")=0),0))))</f>
      </c>
      <c r="H7507">
        <f>IF(DATOS!$G7507&lt;&gt;"EX",0,--(COUNTIFS(nNIA,DATOS!$A7507,nCURSO,DATOS!$D7507,nESPEC,DATOS!$E7507,nASIG,DATOS!$I7507,nEVAL,"OR")=0))</f>
      </c>
      <c r="I7507">
        <f>IF(DATOS!$I7507="","",IFERROR(VLOOKUP(DATOS!$I7507,CONFIG_ASIGNATURAS!$B$2:$J$91,9,FALSE()),""))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IF(DATOS!$A7508="",0,IF(CONFIG_METADATA!$B$4&lt;&gt;"OR+EX",--(DATOS!$G7508=CONFIG_METADATA!$B$4),IF(DATOS!$G7508="EX",1,IF(DATOS!$G7508="OR",--(COUNTIFS(nNIA,DATOS!$A7508,nCURSO,DATOS!$D7508,nESPEC,DATOS!$E7508,nASIG,DATOS!$I7508,nEVAL,"EX")=0),0))))</f>
      </c>
      <c r="H7508">
        <f>IF(DATOS!$G7508&lt;&gt;"EX",0,--(COUNTIFS(nNIA,DATOS!$A7508,nCURSO,DATOS!$D7508,nESPEC,DATOS!$E7508,nASIG,DATOS!$I7508,nEVAL,"OR")=0))</f>
      </c>
      <c r="I7508">
        <f>IF(DATOS!$I7508="","",IFERROR(VLOOKUP(DATOS!$I7508,CONFIG_ASIGNATURAS!$B$2:$J$91,9,FALSE()),""))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IF(DATOS!$A7509="",0,IF(CONFIG_METADATA!$B$4&lt;&gt;"OR+EX",--(DATOS!$G7509=CONFIG_METADATA!$B$4),IF(DATOS!$G7509="EX",1,IF(DATOS!$G7509="OR",--(COUNTIFS(nNIA,DATOS!$A7509,nCURSO,DATOS!$D7509,nESPEC,DATOS!$E7509,nASIG,DATOS!$I7509,nEVAL,"EX")=0),0))))</f>
      </c>
      <c r="H7509">
        <f>IF(DATOS!$G7509&lt;&gt;"EX",0,--(COUNTIFS(nNIA,DATOS!$A7509,nCURSO,DATOS!$D7509,nESPEC,DATOS!$E7509,nASIG,DATOS!$I7509,nEVAL,"OR")=0))</f>
      </c>
      <c r="I7509">
        <f>IF(DATOS!$I7509="","",IFERROR(VLOOKUP(DATOS!$I7509,CONFIG_ASIGNATURAS!$B$2:$J$91,9,FALSE()),""))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IF(DATOS!$A7510="",0,IF(CONFIG_METADATA!$B$4&lt;&gt;"OR+EX",--(DATOS!$G7510=CONFIG_METADATA!$B$4),IF(DATOS!$G7510="EX",1,IF(DATOS!$G7510="OR",--(COUNTIFS(nNIA,DATOS!$A7510,nCURSO,DATOS!$D7510,nESPEC,DATOS!$E7510,nASIG,DATOS!$I7510,nEVAL,"EX")=0),0))))</f>
      </c>
      <c r="H7510">
        <f>IF(DATOS!$G7510&lt;&gt;"EX",0,--(COUNTIFS(nNIA,DATOS!$A7510,nCURSO,DATOS!$D7510,nESPEC,DATOS!$E7510,nASIG,DATOS!$I7510,nEVAL,"OR")=0))</f>
      </c>
      <c r="I7510">
        <f>IF(DATOS!$I7510="","",IFERROR(VLOOKUP(DATOS!$I7510,CONFIG_ASIGNATURAS!$B$2:$J$91,9,FALSE()),""))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IF(DATOS!$A7511="",0,IF(CONFIG_METADATA!$B$4&lt;&gt;"OR+EX",--(DATOS!$G7511=CONFIG_METADATA!$B$4),IF(DATOS!$G7511="EX",1,IF(DATOS!$G7511="OR",--(COUNTIFS(nNIA,DATOS!$A7511,nCURSO,DATOS!$D7511,nESPEC,DATOS!$E7511,nASIG,DATOS!$I7511,nEVAL,"EX")=0),0))))</f>
      </c>
      <c r="H7511">
        <f>IF(DATOS!$G7511&lt;&gt;"EX",0,--(COUNTIFS(nNIA,DATOS!$A7511,nCURSO,DATOS!$D7511,nESPEC,DATOS!$E7511,nASIG,DATOS!$I7511,nEVAL,"OR")=0))</f>
      </c>
      <c r="I7511">
        <f>IF(DATOS!$I7511="","",IFERROR(VLOOKUP(DATOS!$I7511,CONFIG_ASIGNATURAS!$B$2:$J$91,9,FALSE()),""))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IF(DATOS!$A7512="",0,IF(CONFIG_METADATA!$B$4&lt;&gt;"OR+EX",--(DATOS!$G7512=CONFIG_METADATA!$B$4),IF(DATOS!$G7512="EX",1,IF(DATOS!$G7512="OR",--(COUNTIFS(nNIA,DATOS!$A7512,nCURSO,DATOS!$D7512,nESPEC,DATOS!$E7512,nASIG,DATOS!$I7512,nEVAL,"EX")=0),0))))</f>
      </c>
      <c r="H7512">
        <f>IF(DATOS!$G7512&lt;&gt;"EX",0,--(COUNTIFS(nNIA,DATOS!$A7512,nCURSO,DATOS!$D7512,nESPEC,DATOS!$E7512,nASIG,DATOS!$I7512,nEVAL,"OR")=0))</f>
      </c>
      <c r="I7512">
        <f>IF(DATOS!$I7512="","",IFERROR(VLOOKUP(DATOS!$I7512,CONFIG_ASIGNATURAS!$B$2:$J$91,9,FALSE()),""))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IF(DATOS!$A7513="",0,IF(CONFIG_METADATA!$B$4&lt;&gt;"OR+EX",--(DATOS!$G7513=CONFIG_METADATA!$B$4),IF(DATOS!$G7513="EX",1,IF(DATOS!$G7513="OR",--(COUNTIFS(nNIA,DATOS!$A7513,nCURSO,DATOS!$D7513,nESPEC,DATOS!$E7513,nASIG,DATOS!$I7513,nEVAL,"EX")=0),0))))</f>
      </c>
      <c r="H7513">
        <f>IF(DATOS!$G7513&lt;&gt;"EX",0,--(COUNTIFS(nNIA,DATOS!$A7513,nCURSO,DATOS!$D7513,nESPEC,DATOS!$E7513,nASIG,DATOS!$I7513,nEVAL,"OR")=0))</f>
      </c>
      <c r="I7513">
        <f>IF(DATOS!$I7513="","",IFERROR(VLOOKUP(DATOS!$I7513,CONFIG_ASIGNATURAS!$B$2:$J$91,9,FALSE()),""))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IF(DATOS!$A7514="",0,IF(CONFIG_METADATA!$B$4&lt;&gt;"OR+EX",--(DATOS!$G7514=CONFIG_METADATA!$B$4),IF(DATOS!$G7514="EX",1,IF(DATOS!$G7514="OR",--(COUNTIFS(nNIA,DATOS!$A7514,nCURSO,DATOS!$D7514,nESPEC,DATOS!$E7514,nASIG,DATOS!$I7514,nEVAL,"EX")=0),0))))</f>
      </c>
      <c r="H7514">
        <f>IF(DATOS!$G7514&lt;&gt;"EX",0,--(COUNTIFS(nNIA,DATOS!$A7514,nCURSO,DATOS!$D7514,nESPEC,DATOS!$E7514,nASIG,DATOS!$I7514,nEVAL,"OR")=0))</f>
      </c>
      <c r="I7514">
        <f>IF(DATOS!$I7514="","",IFERROR(VLOOKUP(DATOS!$I7514,CONFIG_ASIGNATURAS!$B$2:$J$91,9,FALSE()),""))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IF(DATOS!$A7515="",0,IF(CONFIG_METADATA!$B$4&lt;&gt;"OR+EX",--(DATOS!$G7515=CONFIG_METADATA!$B$4),IF(DATOS!$G7515="EX",1,IF(DATOS!$G7515="OR",--(COUNTIFS(nNIA,DATOS!$A7515,nCURSO,DATOS!$D7515,nESPEC,DATOS!$E7515,nASIG,DATOS!$I7515,nEVAL,"EX")=0),0))))</f>
      </c>
      <c r="H7515">
        <f>IF(DATOS!$G7515&lt;&gt;"EX",0,--(COUNTIFS(nNIA,DATOS!$A7515,nCURSO,DATOS!$D7515,nESPEC,DATOS!$E7515,nASIG,DATOS!$I7515,nEVAL,"OR")=0))</f>
      </c>
      <c r="I7515">
        <f>IF(DATOS!$I7515="","",IFERROR(VLOOKUP(DATOS!$I7515,CONFIG_ASIGNATURAS!$B$2:$J$91,9,FALSE()),""))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IF(DATOS!$A7516="",0,IF(CONFIG_METADATA!$B$4&lt;&gt;"OR+EX",--(DATOS!$G7516=CONFIG_METADATA!$B$4),IF(DATOS!$G7516="EX",1,IF(DATOS!$G7516="OR",--(COUNTIFS(nNIA,DATOS!$A7516,nCURSO,DATOS!$D7516,nESPEC,DATOS!$E7516,nASIG,DATOS!$I7516,nEVAL,"EX")=0),0))))</f>
      </c>
      <c r="H7516">
        <f>IF(DATOS!$G7516&lt;&gt;"EX",0,--(COUNTIFS(nNIA,DATOS!$A7516,nCURSO,DATOS!$D7516,nESPEC,DATOS!$E7516,nASIG,DATOS!$I7516,nEVAL,"OR")=0))</f>
      </c>
      <c r="I7516">
        <f>IF(DATOS!$I7516="","",IFERROR(VLOOKUP(DATOS!$I7516,CONFIG_ASIGNATURAS!$B$2:$J$91,9,FALSE()),""))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IF(DATOS!$A7517="",0,IF(CONFIG_METADATA!$B$4&lt;&gt;"OR+EX",--(DATOS!$G7517=CONFIG_METADATA!$B$4),IF(DATOS!$G7517="EX",1,IF(DATOS!$G7517="OR",--(COUNTIFS(nNIA,DATOS!$A7517,nCURSO,DATOS!$D7517,nESPEC,DATOS!$E7517,nASIG,DATOS!$I7517,nEVAL,"EX")=0),0))))</f>
      </c>
      <c r="H7517">
        <f>IF(DATOS!$G7517&lt;&gt;"EX",0,--(COUNTIFS(nNIA,DATOS!$A7517,nCURSO,DATOS!$D7517,nESPEC,DATOS!$E7517,nASIG,DATOS!$I7517,nEVAL,"OR")=0))</f>
      </c>
      <c r="I7517">
        <f>IF(DATOS!$I7517="","",IFERROR(VLOOKUP(DATOS!$I7517,CONFIG_ASIGNATURAS!$B$2:$J$91,9,FALSE()),""))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IF(DATOS!$A7518="",0,IF(CONFIG_METADATA!$B$4&lt;&gt;"OR+EX",--(DATOS!$G7518=CONFIG_METADATA!$B$4),IF(DATOS!$G7518="EX",1,IF(DATOS!$G7518="OR",--(COUNTIFS(nNIA,DATOS!$A7518,nCURSO,DATOS!$D7518,nESPEC,DATOS!$E7518,nASIG,DATOS!$I7518,nEVAL,"EX")=0),0))))</f>
      </c>
      <c r="H7518">
        <f>IF(DATOS!$G7518&lt;&gt;"EX",0,--(COUNTIFS(nNIA,DATOS!$A7518,nCURSO,DATOS!$D7518,nESPEC,DATOS!$E7518,nASIG,DATOS!$I7518,nEVAL,"OR")=0))</f>
      </c>
      <c r="I7518">
        <f>IF(DATOS!$I7518="","",IFERROR(VLOOKUP(DATOS!$I7518,CONFIG_ASIGNATURAS!$B$2:$J$91,9,FALSE()),""))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IF(DATOS!$A7519="",0,IF(CONFIG_METADATA!$B$4&lt;&gt;"OR+EX",--(DATOS!$G7519=CONFIG_METADATA!$B$4),IF(DATOS!$G7519="EX",1,IF(DATOS!$G7519="OR",--(COUNTIFS(nNIA,DATOS!$A7519,nCURSO,DATOS!$D7519,nESPEC,DATOS!$E7519,nASIG,DATOS!$I7519,nEVAL,"EX")=0),0))))</f>
      </c>
      <c r="H7519">
        <f>IF(DATOS!$G7519&lt;&gt;"EX",0,--(COUNTIFS(nNIA,DATOS!$A7519,nCURSO,DATOS!$D7519,nESPEC,DATOS!$E7519,nASIG,DATOS!$I7519,nEVAL,"OR")=0))</f>
      </c>
      <c r="I7519">
        <f>IF(DATOS!$I7519="","",IFERROR(VLOOKUP(DATOS!$I7519,CONFIG_ASIGNATURAS!$B$2:$J$91,9,FALSE()),""))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IF(DATOS!$A7520="",0,IF(CONFIG_METADATA!$B$4&lt;&gt;"OR+EX",--(DATOS!$G7520=CONFIG_METADATA!$B$4),IF(DATOS!$G7520="EX",1,IF(DATOS!$G7520="OR",--(COUNTIFS(nNIA,DATOS!$A7520,nCURSO,DATOS!$D7520,nESPEC,DATOS!$E7520,nASIG,DATOS!$I7520,nEVAL,"EX")=0),0))))</f>
      </c>
      <c r="H7520">
        <f>IF(DATOS!$G7520&lt;&gt;"EX",0,--(COUNTIFS(nNIA,DATOS!$A7520,nCURSO,DATOS!$D7520,nESPEC,DATOS!$E7520,nASIG,DATOS!$I7520,nEVAL,"OR")=0))</f>
      </c>
      <c r="I7520">
        <f>IF(DATOS!$I7520="","",IFERROR(VLOOKUP(DATOS!$I7520,CONFIG_ASIGNATURAS!$B$2:$J$91,9,FALSE()),""))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IF(DATOS!$A7521="",0,IF(CONFIG_METADATA!$B$4&lt;&gt;"OR+EX",--(DATOS!$G7521=CONFIG_METADATA!$B$4),IF(DATOS!$G7521="EX",1,IF(DATOS!$G7521="OR",--(COUNTIFS(nNIA,DATOS!$A7521,nCURSO,DATOS!$D7521,nESPEC,DATOS!$E7521,nASIG,DATOS!$I7521,nEVAL,"EX")=0),0))))</f>
      </c>
      <c r="H7521">
        <f>IF(DATOS!$G7521&lt;&gt;"EX",0,--(COUNTIFS(nNIA,DATOS!$A7521,nCURSO,DATOS!$D7521,nESPEC,DATOS!$E7521,nASIG,DATOS!$I7521,nEVAL,"OR")=0))</f>
      </c>
      <c r="I7521">
        <f>IF(DATOS!$I7521="","",IFERROR(VLOOKUP(DATOS!$I7521,CONFIG_ASIGNATURAS!$B$2:$J$91,9,FALSE()),""))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IF(DATOS!$A7522="",0,IF(CONFIG_METADATA!$B$4&lt;&gt;"OR+EX",--(DATOS!$G7522=CONFIG_METADATA!$B$4),IF(DATOS!$G7522="EX",1,IF(DATOS!$G7522="OR",--(COUNTIFS(nNIA,DATOS!$A7522,nCURSO,DATOS!$D7522,nESPEC,DATOS!$E7522,nASIG,DATOS!$I7522,nEVAL,"EX")=0),0))))</f>
      </c>
      <c r="H7522">
        <f>IF(DATOS!$G7522&lt;&gt;"EX",0,--(COUNTIFS(nNIA,DATOS!$A7522,nCURSO,DATOS!$D7522,nESPEC,DATOS!$E7522,nASIG,DATOS!$I7522,nEVAL,"OR")=0))</f>
      </c>
      <c r="I7522">
        <f>IF(DATOS!$I7522="","",IFERROR(VLOOKUP(DATOS!$I7522,CONFIG_ASIGNATURAS!$B$2:$J$91,9,FALSE()),""))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IF(DATOS!$A7523="",0,IF(CONFIG_METADATA!$B$4&lt;&gt;"OR+EX",--(DATOS!$G7523=CONFIG_METADATA!$B$4),IF(DATOS!$G7523="EX",1,IF(DATOS!$G7523="OR",--(COUNTIFS(nNIA,DATOS!$A7523,nCURSO,DATOS!$D7523,nESPEC,DATOS!$E7523,nASIG,DATOS!$I7523,nEVAL,"EX")=0),0))))</f>
      </c>
      <c r="H7523">
        <f>IF(DATOS!$G7523&lt;&gt;"EX",0,--(COUNTIFS(nNIA,DATOS!$A7523,nCURSO,DATOS!$D7523,nESPEC,DATOS!$E7523,nASIG,DATOS!$I7523,nEVAL,"OR")=0))</f>
      </c>
      <c r="I7523">
        <f>IF(DATOS!$I7523="","",IFERROR(VLOOKUP(DATOS!$I7523,CONFIG_ASIGNATURAS!$B$2:$J$91,9,FALSE()),""))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IF(DATOS!$A7524="",0,IF(CONFIG_METADATA!$B$4&lt;&gt;"OR+EX",--(DATOS!$G7524=CONFIG_METADATA!$B$4),IF(DATOS!$G7524="EX",1,IF(DATOS!$G7524="OR",--(COUNTIFS(nNIA,DATOS!$A7524,nCURSO,DATOS!$D7524,nESPEC,DATOS!$E7524,nASIG,DATOS!$I7524,nEVAL,"EX")=0),0))))</f>
      </c>
      <c r="H7524">
        <f>IF(DATOS!$G7524&lt;&gt;"EX",0,--(COUNTIFS(nNIA,DATOS!$A7524,nCURSO,DATOS!$D7524,nESPEC,DATOS!$E7524,nASIG,DATOS!$I7524,nEVAL,"OR")=0))</f>
      </c>
      <c r="I7524">
        <f>IF(DATOS!$I7524="","",IFERROR(VLOOKUP(DATOS!$I7524,CONFIG_ASIGNATURAS!$B$2:$J$91,9,FALSE()),""))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IF(DATOS!$A7525="",0,IF(CONFIG_METADATA!$B$4&lt;&gt;"OR+EX",--(DATOS!$G7525=CONFIG_METADATA!$B$4),IF(DATOS!$G7525="EX",1,IF(DATOS!$G7525="OR",--(COUNTIFS(nNIA,DATOS!$A7525,nCURSO,DATOS!$D7525,nESPEC,DATOS!$E7525,nASIG,DATOS!$I7525,nEVAL,"EX")=0),0))))</f>
      </c>
      <c r="H7525">
        <f>IF(DATOS!$G7525&lt;&gt;"EX",0,--(COUNTIFS(nNIA,DATOS!$A7525,nCURSO,DATOS!$D7525,nESPEC,DATOS!$E7525,nASIG,DATOS!$I7525,nEVAL,"OR")=0))</f>
      </c>
      <c r="I7525">
        <f>IF(DATOS!$I7525="","",IFERROR(VLOOKUP(DATOS!$I7525,CONFIG_ASIGNATURAS!$B$2:$J$91,9,FALSE()),""))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IF(DATOS!$A7526="",0,IF(CONFIG_METADATA!$B$4&lt;&gt;"OR+EX",--(DATOS!$G7526=CONFIG_METADATA!$B$4),IF(DATOS!$G7526="EX",1,IF(DATOS!$G7526="OR",--(COUNTIFS(nNIA,DATOS!$A7526,nCURSO,DATOS!$D7526,nESPEC,DATOS!$E7526,nASIG,DATOS!$I7526,nEVAL,"EX")=0),0))))</f>
      </c>
      <c r="H7526">
        <f>IF(DATOS!$G7526&lt;&gt;"EX",0,--(COUNTIFS(nNIA,DATOS!$A7526,nCURSO,DATOS!$D7526,nESPEC,DATOS!$E7526,nASIG,DATOS!$I7526,nEVAL,"OR")=0))</f>
      </c>
      <c r="I7526">
        <f>IF(DATOS!$I7526="","",IFERROR(VLOOKUP(DATOS!$I7526,CONFIG_ASIGNATURAS!$B$2:$J$91,9,FALSE()),""))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IF(DATOS!$A7527="",0,IF(CONFIG_METADATA!$B$4&lt;&gt;"OR+EX",--(DATOS!$G7527=CONFIG_METADATA!$B$4),IF(DATOS!$G7527="EX",1,IF(DATOS!$G7527="OR",--(COUNTIFS(nNIA,DATOS!$A7527,nCURSO,DATOS!$D7527,nESPEC,DATOS!$E7527,nASIG,DATOS!$I7527,nEVAL,"EX")=0),0))))</f>
      </c>
      <c r="H7527">
        <f>IF(DATOS!$G7527&lt;&gt;"EX",0,--(COUNTIFS(nNIA,DATOS!$A7527,nCURSO,DATOS!$D7527,nESPEC,DATOS!$E7527,nASIG,DATOS!$I7527,nEVAL,"OR")=0))</f>
      </c>
      <c r="I7527">
        <f>IF(DATOS!$I7527="","",IFERROR(VLOOKUP(DATOS!$I7527,CONFIG_ASIGNATURAS!$B$2:$J$91,9,FALSE()),""))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IF(DATOS!$A7528="",0,IF(CONFIG_METADATA!$B$4&lt;&gt;"OR+EX",--(DATOS!$G7528=CONFIG_METADATA!$B$4),IF(DATOS!$G7528="EX",1,IF(DATOS!$G7528="OR",--(COUNTIFS(nNIA,DATOS!$A7528,nCURSO,DATOS!$D7528,nESPEC,DATOS!$E7528,nASIG,DATOS!$I7528,nEVAL,"EX")=0),0))))</f>
      </c>
      <c r="H7528">
        <f>IF(DATOS!$G7528&lt;&gt;"EX",0,--(COUNTIFS(nNIA,DATOS!$A7528,nCURSO,DATOS!$D7528,nESPEC,DATOS!$E7528,nASIG,DATOS!$I7528,nEVAL,"OR")=0))</f>
      </c>
      <c r="I7528">
        <f>IF(DATOS!$I7528="","",IFERROR(VLOOKUP(DATOS!$I7528,CONFIG_ASIGNATURAS!$B$2:$J$91,9,FALSE()),""))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IF(DATOS!$A7529="",0,IF(CONFIG_METADATA!$B$4&lt;&gt;"OR+EX",--(DATOS!$G7529=CONFIG_METADATA!$B$4),IF(DATOS!$G7529="EX",1,IF(DATOS!$G7529="OR",--(COUNTIFS(nNIA,DATOS!$A7529,nCURSO,DATOS!$D7529,nESPEC,DATOS!$E7529,nASIG,DATOS!$I7529,nEVAL,"EX")=0),0))))</f>
      </c>
      <c r="H7529">
        <f>IF(DATOS!$G7529&lt;&gt;"EX",0,--(COUNTIFS(nNIA,DATOS!$A7529,nCURSO,DATOS!$D7529,nESPEC,DATOS!$E7529,nASIG,DATOS!$I7529,nEVAL,"OR")=0))</f>
      </c>
      <c r="I7529">
        <f>IF(DATOS!$I7529="","",IFERROR(VLOOKUP(DATOS!$I7529,CONFIG_ASIGNATURAS!$B$2:$J$91,9,FALSE()),""))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IF(DATOS!$A7530="",0,IF(CONFIG_METADATA!$B$4&lt;&gt;"OR+EX",--(DATOS!$G7530=CONFIG_METADATA!$B$4),IF(DATOS!$G7530="EX",1,IF(DATOS!$G7530="OR",--(COUNTIFS(nNIA,DATOS!$A7530,nCURSO,DATOS!$D7530,nESPEC,DATOS!$E7530,nASIG,DATOS!$I7530,nEVAL,"EX")=0),0))))</f>
      </c>
      <c r="H7530">
        <f>IF(DATOS!$G7530&lt;&gt;"EX",0,--(COUNTIFS(nNIA,DATOS!$A7530,nCURSO,DATOS!$D7530,nESPEC,DATOS!$E7530,nASIG,DATOS!$I7530,nEVAL,"OR")=0))</f>
      </c>
      <c r="I7530">
        <f>IF(DATOS!$I7530="","",IFERROR(VLOOKUP(DATOS!$I7530,CONFIG_ASIGNATURAS!$B$2:$J$91,9,FALSE()),""))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IF(DATOS!$A7531="",0,IF(CONFIG_METADATA!$B$4&lt;&gt;"OR+EX",--(DATOS!$G7531=CONFIG_METADATA!$B$4),IF(DATOS!$G7531="EX",1,IF(DATOS!$G7531="OR",--(COUNTIFS(nNIA,DATOS!$A7531,nCURSO,DATOS!$D7531,nESPEC,DATOS!$E7531,nASIG,DATOS!$I7531,nEVAL,"EX")=0),0))))</f>
      </c>
      <c r="H7531">
        <f>IF(DATOS!$G7531&lt;&gt;"EX",0,--(COUNTIFS(nNIA,DATOS!$A7531,nCURSO,DATOS!$D7531,nESPEC,DATOS!$E7531,nASIG,DATOS!$I7531,nEVAL,"OR")=0))</f>
      </c>
      <c r="I7531">
        <f>IF(DATOS!$I7531="","",IFERROR(VLOOKUP(DATOS!$I7531,CONFIG_ASIGNATURAS!$B$2:$J$91,9,FALSE()),""))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IF(DATOS!$A7532="",0,IF(CONFIG_METADATA!$B$4&lt;&gt;"OR+EX",--(DATOS!$G7532=CONFIG_METADATA!$B$4),IF(DATOS!$G7532="EX",1,IF(DATOS!$G7532="OR",--(COUNTIFS(nNIA,DATOS!$A7532,nCURSO,DATOS!$D7532,nESPEC,DATOS!$E7532,nASIG,DATOS!$I7532,nEVAL,"EX")=0),0))))</f>
      </c>
      <c r="H7532">
        <f>IF(DATOS!$G7532&lt;&gt;"EX",0,--(COUNTIFS(nNIA,DATOS!$A7532,nCURSO,DATOS!$D7532,nESPEC,DATOS!$E7532,nASIG,DATOS!$I7532,nEVAL,"OR")=0))</f>
      </c>
      <c r="I7532">
        <f>IF(DATOS!$I7532="","",IFERROR(VLOOKUP(DATOS!$I7532,CONFIG_ASIGNATURAS!$B$2:$J$91,9,FALSE()),""))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IF(DATOS!$A7533="",0,IF(CONFIG_METADATA!$B$4&lt;&gt;"OR+EX",--(DATOS!$G7533=CONFIG_METADATA!$B$4),IF(DATOS!$G7533="EX",1,IF(DATOS!$G7533="OR",--(COUNTIFS(nNIA,DATOS!$A7533,nCURSO,DATOS!$D7533,nESPEC,DATOS!$E7533,nASIG,DATOS!$I7533,nEVAL,"EX")=0),0))))</f>
      </c>
      <c r="H7533">
        <f>IF(DATOS!$G7533&lt;&gt;"EX",0,--(COUNTIFS(nNIA,DATOS!$A7533,nCURSO,DATOS!$D7533,nESPEC,DATOS!$E7533,nASIG,DATOS!$I7533,nEVAL,"OR")=0))</f>
      </c>
      <c r="I7533">
        <f>IF(DATOS!$I7533="","",IFERROR(VLOOKUP(DATOS!$I7533,CONFIG_ASIGNATURAS!$B$2:$J$91,9,FALSE()),""))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IF(DATOS!$A7534="",0,IF(CONFIG_METADATA!$B$4&lt;&gt;"OR+EX",--(DATOS!$G7534=CONFIG_METADATA!$B$4),IF(DATOS!$G7534="EX",1,IF(DATOS!$G7534="OR",--(COUNTIFS(nNIA,DATOS!$A7534,nCURSO,DATOS!$D7534,nESPEC,DATOS!$E7534,nASIG,DATOS!$I7534,nEVAL,"EX")=0),0))))</f>
      </c>
      <c r="H7534">
        <f>IF(DATOS!$G7534&lt;&gt;"EX",0,--(COUNTIFS(nNIA,DATOS!$A7534,nCURSO,DATOS!$D7534,nESPEC,DATOS!$E7534,nASIG,DATOS!$I7534,nEVAL,"OR")=0))</f>
      </c>
      <c r="I7534">
        <f>IF(DATOS!$I7534="","",IFERROR(VLOOKUP(DATOS!$I7534,CONFIG_ASIGNATURAS!$B$2:$J$91,9,FALSE()),""))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IF(DATOS!$A7535="",0,IF(CONFIG_METADATA!$B$4&lt;&gt;"OR+EX",--(DATOS!$G7535=CONFIG_METADATA!$B$4),IF(DATOS!$G7535="EX",1,IF(DATOS!$G7535="OR",--(COUNTIFS(nNIA,DATOS!$A7535,nCURSO,DATOS!$D7535,nESPEC,DATOS!$E7535,nASIG,DATOS!$I7535,nEVAL,"EX")=0),0))))</f>
      </c>
      <c r="H7535">
        <f>IF(DATOS!$G7535&lt;&gt;"EX",0,--(COUNTIFS(nNIA,DATOS!$A7535,nCURSO,DATOS!$D7535,nESPEC,DATOS!$E7535,nASIG,DATOS!$I7535,nEVAL,"OR")=0))</f>
      </c>
      <c r="I7535">
        <f>IF(DATOS!$I7535="","",IFERROR(VLOOKUP(DATOS!$I7535,CONFIG_ASIGNATURAS!$B$2:$J$91,9,FALSE()),""))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IF(DATOS!$A7536="",0,IF(CONFIG_METADATA!$B$4&lt;&gt;"OR+EX",--(DATOS!$G7536=CONFIG_METADATA!$B$4),IF(DATOS!$G7536="EX",1,IF(DATOS!$G7536="OR",--(COUNTIFS(nNIA,DATOS!$A7536,nCURSO,DATOS!$D7536,nESPEC,DATOS!$E7536,nASIG,DATOS!$I7536,nEVAL,"EX")=0),0))))</f>
      </c>
      <c r="H7536">
        <f>IF(DATOS!$G7536&lt;&gt;"EX",0,--(COUNTIFS(nNIA,DATOS!$A7536,nCURSO,DATOS!$D7536,nESPEC,DATOS!$E7536,nASIG,DATOS!$I7536,nEVAL,"OR")=0))</f>
      </c>
      <c r="I7536">
        <f>IF(DATOS!$I7536="","",IFERROR(VLOOKUP(DATOS!$I7536,CONFIG_ASIGNATURAS!$B$2:$J$91,9,FALSE()),""))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IF(DATOS!$A7537="",0,IF(CONFIG_METADATA!$B$4&lt;&gt;"OR+EX",--(DATOS!$G7537=CONFIG_METADATA!$B$4),IF(DATOS!$G7537="EX",1,IF(DATOS!$G7537="OR",--(COUNTIFS(nNIA,DATOS!$A7537,nCURSO,DATOS!$D7537,nESPEC,DATOS!$E7537,nASIG,DATOS!$I7537,nEVAL,"EX")=0),0))))</f>
      </c>
      <c r="H7537">
        <f>IF(DATOS!$G7537&lt;&gt;"EX",0,--(COUNTIFS(nNIA,DATOS!$A7537,nCURSO,DATOS!$D7537,nESPEC,DATOS!$E7537,nASIG,DATOS!$I7537,nEVAL,"OR")=0))</f>
      </c>
      <c r="I7537">
        <f>IF(DATOS!$I7537="","",IFERROR(VLOOKUP(DATOS!$I7537,CONFIG_ASIGNATURAS!$B$2:$J$91,9,FALSE()),""))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IF(DATOS!$A7538="",0,IF(CONFIG_METADATA!$B$4&lt;&gt;"OR+EX",--(DATOS!$G7538=CONFIG_METADATA!$B$4),IF(DATOS!$G7538="EX",1,IF(DATOS!$G7538="OR",--(COUNTIFS(nNIA,DATOS!$A7538,nCURSO,DATOS!$D7538,nESPEC,DATOS!$E7538,nASIG,DATOS!$I7538,nEVAL,"EX")=0),0))))</f>
      </c>
      <c r="H7538">
        <f>IF(DATOS!$G7538&lt;&gt;"EX",0,--(COUNTIFS(nNIA,DATOS!$A7538,nCURSO,DATOS!$D7538,nESPEC,DATOS!$E7538,nASIG,DATOS!$I7538,nEVAL,"OR")=0))</f>
      </c>
      <c r="I7538">
        <f>IF(DATOS!$I7538="","",IFERROR(VLOOKUP(DATOS!$I7538,CONFIG_ASIGNATURAS!$B$2:$J$91,9,FALSE()),""))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IF(DATOS!$A7539="",0,IF(CONFIG_METADATA!$B$4&lt;&gt;"OR+EX",--(DATOS!$G7539=CONFIG_METADATA!$B$4),IF(DATOS!$G7539="EX",1,IF(DATOS!$G7539="OR",--(COUNTIFS(nNIA,DATOS!$A7539,nCURSO,DATOS!$D7539,nESPEC,DATOS!$E7539,nASIG,DATOS!$I7539,nEVAL,"EX")=0),0))))</f>
      </c>
      <c r="H7539">
        <f>IF(DATOS!$G7539&lt;&gt;"EX",0,--(COUNTIFS(nNIA,DATOS!$A7539,nCURSO,DATOS!$D7539,nESPEC,DATOS!$E7539,nASIG,DATOS!$I7539,nEVAL,"OR")=0))</f>
      </c>
      <c r="I7539">
        <f>IF(DATOS!$I7539="","",IFERROR(VLOOKUP(DATOS!$I7539,CONFIG_ASIGNATURAS!$B$2:$J$91,9,FALSE()),""))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IF(DATOS!$A7540="",0,IF(CONFIG_METADATA!$B$4&lt;&gt;"OR+EX",--(DATOS!$G7540=CONFIG_METADATA!$B$4),IF(DATOS!$G7540="EX",1,IF(DATOS!$G7540="OR",--(COUNTIFS(nNIA,DATOS!$A7540,nCURSO,DATOS!$D7540,nESPEC,DATOS!$E7540,nASIG,DATOS!$I7540,nEVAL,"EX")=0),0))))</f>
      </c>
      <c r="H7540">
        <f>IF(DATOS!$G7540&lt;&gt;"EX",0,--(COUNTIFS(nNIA,DATOS!$A7540,nCURSO,DATOS!$D7540,nESPEC,DATOS!$E7540,nASIG,DATOS!$I7540,nEVAL,"OR")=0))</f>
      </c>
      <c r="I7540">
        <f>IF(DATOS!$I7540="","",IFERROR(VLOOKUP(DATOS!$I7540,CONFIG_ASIGNATURAS!$B$2:$J$91,9,FALSE()),""))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IF(DATOS!$A7541="",0,IF(CONFIG_METADATA!$B$4&lt;&gt;"OR+EX",--(DATOS!$G7541=CONFIG_METADATA!$B$4),IF(DATOS!$G7541="EX",1,IF(DATOS!$G7541="OR",--(COUNTIFS(nNIA,DATOS!$A7541,nCURSO,DATOS!$D7541,nESPEC,DATOS!$E7541,nASIG,DATOS!$I7541,nEVAL,"EX")=0),0))))</f>
      </c>
      <c r="H7541">
        <f>IF(DATOS!$G7541&lt;&gt;"EX",0,--(COUNTIFS(nNIA,DATOS!$A7541,nCURSO,DATOS!$D7541,nESPEC,DATOS!$E7541,nASIG,DATOS!$I7541,nEVAL,"OR")=0))</f>
      </c>
      <c r="I7541">
        <f>IF(DATOS!$I7541="","",IFERROR(VLOOKUP(DATOS!$I7541,CONFIG_ASIGNATURAS!$B$2:$J$91,9,FALSE()),""))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IF(DATOS!$A7542="",0,IF(CONFIG_METADATA!$B$4&lt;&gt;"OR+EX",--(DATOS!$G7542=CONFIG_METADATA!$B$4),IF(DATOS!$G7542="EX",1,IF(DATOS!$G7542="OR",--(COUNTIFS(nNIA,DATOS!$A7542,nCURSO,DATOS!$D7542,nESPEC,DATOS!$E7542,nASIG,DATOS!$I7542,nEVAL,"EX")=0),0))))</f>
      </c>
      <c r="H7542">
        <f>IF(DATOS!$G7542&lt;&gt;"EX",0,--(COUNTIFS(nNIA,DATOS!$A7542,nCURSO,DATOS!$D7542,nESPEC,DATOS!$E7542,nASIG,DATOS!$I7542,nEVAL,"OR")=0))</f>
      </c>
      <c r="I7542">
        <f>IF(DATOS!$I7542="","",IFERROR(VLOOKUP(DATOS!$I7542,CONFIG_ASIGNATURAS!$B$2:$J$91,9,FALSE()),""))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IF(DATOS!$A7543="",0,IF(CONFIG_METADATA!$B$4&lt;&gt;"OR+EX",--(DATOS!$G7543=CONFIG_METADATA!$B$4),IF(DATOS!$G7543="EX",1,IF(DATOS!$G7543="OR",--(COUNTIFS(nNIA,DATOS!$A7543,nCURSO,DATOS!$D7543,nESPEC,DATOS!$E7543,nASIG,DATOS!$I7543,nEVAL,"EX")=0),0))))</f>
      </c>
      <c r="H7543">
        <f>IF(DATOS!$G7543&lt;&gt;"EX",0,--(COUNTIFS(nNIA,DATOS!$A7543,nCURSO,DATOS!$D7543,nESPEC,DATOS!$E7543,nASIG,DATOS!$I7543,nEVAL,"OR")=0))</f>
      </c>
      <c r="I7543">
        <f>IF(DATOS!$I7543="","",IFERROR(VLOOKUP(DATOS!$I7543,CONFIG_ASIGNATURAS!$B$2:$J$91,9,FALSE()),""))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IF(DATOS!$A7544="",0,IF(CONFIG_METADATA!$B$4&lt;&gt;"OR+EX",--(DATOS!$G7544=CONFIG_METADATA!$B$4),IF(DATOS!$G7544="EX",1,IF(DATOS!$G7544="OR",--(COUNTIFS(nNIA,DATOS!$A7544,nCURSO,DATOS!$D7544,nESPEC,DATOS!$E7544,nASIG,DATOS!$I7544,nEVAL,"EX")=0),0))))</f>
      </c>
      <c r="H7544">
        <f>IF(DATOS!$G7544&lt;&gt;"EX",0,--(COUNTIFS(nNIA,DATOS!$A7544,nCURSO,DATOS!$D7544,nESPEC,DATOS!$E7544,nASIG,DATOS!$I7544,nEVAL,"OR")=0))</f>
      </c>
      <c r="I7544">
        <f>IF(DATOS!$I7544="","",IFERROR(VLOOKUP(DATOS!$I7544,CONFIG_ASIGNATURAS!$B$2:$J$91,9,FALSE()),""))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IF(DATOS!$A7545="",0,IF(CONFIG_METADATA!$B$4&lt;&gt;"OR+EX",--(DATOS!$G7545=CONFIG_METADATA!$B$4),IF(DATOS!$G7545="EX",1,IF(DATOS!$G7545="OR",--(COUNTIFS(nNIA,DATOS!$A7545,nCURSO,DATOS!$D7545,nESPEC,DATOS!$E7545,nASIG,DATOS!$I7545,nEVAL,"EX")=0),0))))</f>
      </c>
      <c r="H7545">
        <f>IF(DATOS!$G7545&lt;&gt;"EX",0,--(COUNTIFS(nNIA,DATOS!$A7545,nCURSO,DATOS!$D7545,nESPEC,DATOS!$E7545,nASIG,DATOS!$I7545,nEVAL,"OR")=0))</f>
      </c>
      <c r="I7545">
        <f>IF(DATOS!$I7545="","",IFERROR(VLOOKUP(DATOS!$I7545,CONFIG_ASIGNATURAS!$B$2:$J$91,9,FALSE()),""))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IF(DATOS!$A7546="",0,IF(CONFIG_METADATA!$B$4&lt;&gt;"OR+EX",--(DATOS!$G7546=CONFIG_METADATA!$B$4),IF(DATOS!$G7546="EX",1,IF(DATOS!$G7546="OR",--(COUNTIFS(nNIA,DATOS!$A7546,nCURSO,DATOS!$D7546,nESPEC,DATOS!$E7546,nASIG,DATOS!$I7546,nEVAL,"EX")=0),0))))</f>
      </c>
      <c r="H7546">
        <f>IF(DATOS!$G7546&lt;&gt;"EX",0,--(COUNTIFS(nNIA,DATOS!$A7546,nCURSO,DATOS!$D7546,nESPEC,DATOS!$E7546,nASIG,DATOS!$I7546,nEVAL,"OR")=0))</f>
      </c>
      <c r="I7546">
        <f>IF(DATOS!$I7546="","",IFERROR(VLOOKUP(DATOS!$I7546,CONFIG_ASIGNATURAS!$B$2:$J$91,9,FALSE()),""))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IF(DATOS!$A7547="",0,IF(CONFIG_METADATA!$B$4&lt;&gt;"OR+EX",--(DATOS!$G7547=CONFIG_METADATA!$B$4),IF(DATOS!$G7547="EX",1,IF(DATOS!$G7547="OR",--(COUNTIFS(nNIA,DATOS!$A7547,nCURSO,DATOS!$D7547,nESPEC,DATOS!$E7547,nASIG,DATOS!$I7547,nEVAL,"EX")=0),0))))</f>
      </c>
      <c r="H7547">
        <f>IF(DATOS!$G7547&lt;&gt;"EX",0,--(COUNTIFS(nNIA,DATOS!$A7547,nCURSO,DATOS!$D7547,nESPEC,DATOS!$E7547,nASIG,DATOS!$I7547,nEVAL,"OR")=0))</f>
      </c>
      <c r="I7547">
        <f>IF(DATOS!$I7547="","",IFERROR(VLOOKUP(DATOS!$I7547,CONFIG_ASIGNATURAS!$B$2:$J$91,9,FALSE()),""))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IF(DATOS!$A7548="",0,IF(CONFIG_METADATA!$B$4&lt;&gt;"OR+EX",--(DATOS!$G7548=CONFIG_METADATA!$B$4),IF(DATOS!$G7548="EX",1,IF(DATOS!$G7548="OR",--(COUNTIFS(nNIA,DATOS!$A7548,nCURSO,DATOS!$D7548,nESPEC,DATOS!$E7548,nASIG,DATOS!$I7548,nEVAL,"EX")=0),0))))</f>
      </c>
      <c r="H7548">
        <f>IF(DATOS!$G7548&lt;&gt;"EX",0,--(COUNTIFS(nNIA,DATOS!$A7548,nCURSO,DATOS!$D7548,nESPEC,DATOS!$E7548,nASIG,DATOS!$I7548,nEVAL,"OR")=0))</f>
      </c>
      <c r="I7548">
        <f>IF(DATOS!$I7548="","",IFERROR(VLOOKUP(DATOS!$I7548,CONFIG_ASIGNATURAS!$B$2:$J$91,9,FALSE()),""))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IF(DATOS!$A7549="",0,IF(CONFIG_METADATA!$B$4&lt;&gt;"OR+EX",--(DATOS!$G7549=CONFIG_METADATA!$B$4),IF(DATOS!$G7549="EX",1,IF(DATOS!$G7549="OR",--(COUNTIFS(nNIA,DATOS!$A7549,nCURSO,DATOS!$D7549,nESPEC,DATOS!$E7549,nASIG,DATOS!$I7549,nEVAL,"EX")=0),0))))</f>
      </c>
      <c r="H7549">
        <f>IF(DATOS!$G7549&lt;&gt;"EX",0,--(COUNTIFS(nNIA,DATOS!$A7549,nCURSO,DATOS!$D7549,nESPEC,DATOS!$E7549,nASIG,DATOS!$I7549,nEVAL,"OR")=0))</f>
      </c>
      <c r="I7549">
        <f>IF(DATOS!$I7549="","",IFERROR(VLOOKUP(DATOS!$I7549,CONFIG_ASIGNATURAS!$B$2:$J$91,9,FALSE()),""))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IF(DATOS!$A7550="",0,IF(CONFIG_METADATA!$B$4&lt;&gt;"OR+EX",--(DATOS!$G7550=CONFIG_METADATA!$B$4),IF(DATOS!$G7550="EX",1,IF(DATOS!$G7550="OR",--(COUNTIFS(nNIA,DATOS!$A7550,nCURSO,DATOS!$D7550,nESPEC,DATOS!$E7550,nASIG,DATOS!$I7550,nEVAL,"EX")=0),0))))</f>
      </c>
      <c r="H7550">
        <f>IF(DATOS!$G7550&lt;&gt;"EX",0,--(COUNTIFS(nNIA,DATOS!$A7550,nCURSO,DATOS!$D7550,nESPEC,DATOS!$E7550,nASIG,DATOS!$I7550,nEVAL,"OR")=0))</f>
      </c>
      <c r="I7550">
        <f>IF(DATOS!$I7550="","",IFERROR(VLOOKUP(DATOS!$I7550,CONFIG_ASIGNATURAS!$B$2:$J$91,9,FALSE()),""))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IF(DATOS!$A7551="",0,IF(CONFIG_METADATA!$B$4&lt;&gt;"OR+EX",--(DATOS!$G7551=CONFIG_METADATA!$B$4),IF(DATOS!$G7551="EX",1,IF(DATOS!$G7551="OR",--(COUNTIFS(nNIA,DATOS!$A7551,nCURSO,DATOS!$D7551,nESPEC,DATOS!$E7551,nASIG,DATOS!$I7551,nEVAL,"EX")=0),0))))</f>
      </c>
      <c r="H7551">
        <f>IF(DATOS!$G7551&lt;&gt;"EX",0,--(COUNTIFS(nNIA,DATOS!$A7551,nCURSO,DATOS!$D7551,nESPEC,DATOS!$E7551,nASIG,DATOS!$I7551,nEVAL,"OR")=0))</f>
      </c>
      <c r="I7551">
        <f>IF(DATOS!$I7551="","",IFERROR(VLOOKUP(DATOS!$I7551,CONFIG_ASIGNATURAS!$B$2:$J$91,9,FALSE()),""))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IF(DATOS!$A7552="",0,IF(CONFIG_METADATA!$B$4&lt;&gt;"OR+EX",--(DATOS!$G7552=CONFIG_METADATA!$B$4),IF(DATOS!$G7552="EX",1,IF(DATOS!$G7552="OR",--(COUNTIFS(nNIA,DATOS!$A7552,nCURSO,DATOS!$D7552,nESPEC,DATOS!$E7552,nASIG,DATOS!$I7552,nEVAL,"EX")=0),0))))</f>
      </c>
      <c r="H7552">
        <f>IF(DATOS!$G7552&lt;&gt;"EX",0,--(COUNTIFS(nNIA,DATOS!$A7552,nCURSO,DATOS!$D7552,nESPEC,DATOS!$E7552,nASIG,DATOS!$I7552,nEVAL,"OR")=0))</f>
      </c>
      <c r="I7552">
        <f>IF(DATOS!$I7552="","",IFERROR(VLOOKUP(DATOS!$I7552,CONFIG_ASIGNATURAS!$B$2:$J$91,9,FALSE()),""))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IF(DATOS!$A7553="",0,IF(CONFIG_METADATA!$B$4&lt;&gt;"OR+EX",--(DATOS!$G7553=CONFIG_METADATA!$B$4),IF(DATOS!$G7553="EX",1,IF(DATOS!$G7553="OR",--(COUNTIFS(nNIA,DATOS!$A7553,nCURSO,DATOS!$D7553,nESPEC,DATOS!$E7553,nASIG,DATOS!$I7553,nEVAL,"EX")=0),0))))</f>
      </c>
      <c r="H7553">
        <f>IF(DATOS!$G7553&lt;&gt;"EX",0,--(COUNTIFS(nNIA,DATOS!$A7553,nCURSO,DATOS!$D7553,nESPEC,DATOS!$E7553,nASIG,DATOS!$I7553,nEVAL,"OR")=0))</f>
      </c>
      <c r="I7553">
        <f>IF(DATOS!$I7553="","",IFERROR(VLOOKUP(DATOS!$I7553,CONFIG_ASIGNATURAS!$B$2:$J$91,9,FALSE()),""))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IF(DATOS!$A7554="",0,IF(CONFIG_METADATA!$B$4&lt;&gt;"OR+EX",--(DATOS!$G7554=CONFIG_METADATA!$B$4),IF(DATOS!$G7554="EX",1,IF(DATOS!$G7554="OR",--(COUNTIFS(nNIA,DATOS!$A7554,nCURSO,DATOS!$D7554,nESPEC,DATOS!$E7554,nASIG,DATOS!$I7554,nEVAL,"EX")=0),0))))</f>
      </c>
      <c r="H7554">
        <f>IF(DATOS!$G7554&lt;&gt;"EX",0,--(COUNTIFS(nNIA,DATOS!$A7554,nCURSO,DATOS!$D7554,nESPEC,DATOS!$E7554,nASIG,DATOS!$I7554,nEVAL,"OR")=0))</f>
      </c>
      <c r="I7554">
        <f>IF(DATOS!$I7554="","",IFERROR(VLOOKUP(DATOS!$I7554,CONFIG_ASIGNATURAS!$B$2:$J$91,9,FALSE()),""))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IF(DATOS!$A7555="",0,IF(CONFIG_METADATA!$B$4&lt;&gt;"OR+EX",--(DATOS!$G7555=CONFIG_METADATA!$B$4),IF(DATOS!$G7555="EX",1,IF(DATOS!$G7555="OR",--(COUNTIFS(nNIA,DATOS!$A7555,nCURSO,DATOS!$D7555,nESPEC,DATOS!$E7555,nASIG,DATOS!$I7555,nEVAL,"EX")=0),0))))</f>
      </c>
      <c r="H7555">
        <f>IF(DATOS!$G7555&lt;&gt;"EX",0,--(COUNTIFS(nNIA,DATOS!$A7555,nCURSO,DATOS!$D7555,nESPEC,DATOS!$E7555,nASIG,DATOS!$I7555,nEVAL,"OR")=0))</f>
      </c>
      <c r="I7555">
        <f>IF(DATOS!$I7555="","",IFERROR(VLOOKUP(DATOS!$I7555,CONFIG_ASIGNATURAS!$B$2:$J$91,9,FALSE()),""))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IF(DATOS!$A7556="",0,IF(CONFIG_METADATA!$B$4&lt;&gt;"OR+EX",--(DATOS!$G7556=CONFIG_METADATA!$B$4),IF(DATOS!$G7556="EX",1,IF(DATOS!$G7556="OR",--(COUNTIFS(nNIA,DATOS!$A7556,nCURSO,DATOS!$D7556,nESPEC,DATOS!$E7556,nASIG,DATOS!$I7556,nEVAL,"EX")=0),0))))</f>
      </c>
      <c r="H7556">
        <f>IF(DATOS!$G7556&lt;&gt;"EX",0,--(COUNTIFS(nNIA,DATOS!$A7556,nCURSO,DATOS!$D7556,nESPEC,DATOS!$E7556,nASIG,DATOS!$I7556,nEVAL,"OR")=0))</f>
      </c>
      <c r="I7556">
        <f>IF(DATOS!$I7556="","",IFERROR(VLOOKUP(DATOS!$I7556,CONFIG_ASIGNATURAS!$B$2:$J$91,9,FALSE()),""))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IF(DATOS!$A7557="",0,IF(CONFIG_METADATA!$B$4&lt;&gt;"OR+EX",--(DATOS!$G7557=CONFIG_METADATA!$B$4),IF(DATOS!$G7557="EX",1,IF(DATOS!$G7557="OR",--(COUNTIFS(nNIA,DATOS!$A7557,nCURSO,DATOS!$D7557,nESPEC,DATOS!$E7557,nASIG,DATOS!$I7557,nEVAL,"EX")=0),0))))</f>
      </c>
      <c r="H7557">
        <f>IF(DATOS!$G7557&lt;&gt;"EX",0,--(COUNTIFS(nNIA,DATOS!$A7557,nCURSO,DATOS!$D7557,nESPEC,DATOS!$E7557,nASIG,DATOS!$I7557,nEVAL,"OR")=0))</f>
      </c>
      <c r="I7557">
        <f>IF(DATOS!$I7557="","",IFERROR(VLOOKUP(DATOS!$I7557,CONFIG_ASIGNATURAS!$B$2:$J$91,9,FALSE()),""))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IF(DATOS!$A7558="",0,IF(CONFIG_METADATA!$B$4&lt;&gt;"OR+EX",--(DATOS!$G7558=CONFIG_METADATA!$B$4),IF(DATOS!$G7558="EX",1,IF(DATOS!$G7558="OR",--(COUNTIFS(nNIA,DATOS!$A7558,nCURSO,DATOS!$D7558,nESPEC,DATOS!$E7558,nASIG,DATOS!$I7558,nEVAL,"EX")=0),0))))</f>
      </c>
      <c r="H7558">
        <f>IF(DATOS!$G7558&lt;&gt;"EX",0,--(COUNTIFS(nNIA,DATOS!$A7558,nCURSO,DATOS!$D7558,nESPEC,DATOS!$E7558,nASIG,DATOS!$I7558,nEVAL,"OR")=0))</f>
      </c>
      <c r="I7558">
        <f>IF(DATOS!$I7558="","",IFERROR(VLOOKUP(DATOS!$I7558,CONFIG_ASIGNATURAS!$B$2:$J$91,9,FALSE()),""))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IF(DATOS!$A7559="",0,IF(CONFIG_METADATA!$B$4&lt;&gt;"OR+EX",--(DATOS!$G7559=CONFIG_METADATA!$B$4),IF(DATOS!$G7559="EX",1,IF(DATOS!$G7559="OR",--(COUNTIFS(nNIA,DATOS!$A7559,nCURSO,DATOS!$D7559,nESPEC,DATOS!$E7559,nASIG,DATOS!$I7559,nEVAL,"EX")=0),0))))</f>
      </c>
      <c r="H7559">
        <f>IF(DATOS!$G7559&lt;&gt;"EX",0,--(COUNTIFS(nNIA,DATOS!$A7559,nCURSO,DATOS!$D7559,nESPEC,DATOS!$E7559,nASIG,DATOS!$I7559,nEVAL,"OR")=0))</f>
      </c>
      <c r="I7559">
        <f>IF(DATOS!$I7559="","",IFERROR(VLOOKUP(DATOS!$I7559,CONFIG_ASIGNATURAS!$B$2:$J$91,9,FALSE()),""))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IF(DATOS!$A7560="",0,IF(CONFIG_METADATA!$B$4&lt;&gt;"OR+EX",--(DATOS!$G7560=CONFIG_METADATA!$B$4),IF(DATOS!$G7560="EX",1,IF(DATOS!$G7560="OR",--(COUNTIFS(nNIA,DATOS!$A7560,nCURSO,DATOS!$D7560,nESPEC,DATOS!$E7560,nASIG,DATOS!$I7560,nEVAL,"EX")=0),0))))</f>
      </c>
      <c r="H7560">
        <f>IF(DATOS!$G7560&lt;&gt;"EX",0,--(COUNTIFS(nNIA,DATOS!$A7560,nCURSO,DATOS!$D7560,nESPEC,DATOS!$E7560,nASIG,DATOS!$I7560,nEVAL,"OR")=0))</f>
      </c>
      <c r="I7560">
        <f>IF(DATOS!$I7560="","",IFERROR(VLOOKUP(DATOS!$I7560,CONFIG_ASIGNATURAS!$B$2:$J$91,9,FALSE()),""))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IF(DATOS!$A7561="",0,IF(CONFIG_METADATA!$B$4&lt;&gt;"OR+EX",--(DATOS!$G7561=CONFIG_METADATA!$B$4),IF(DATOS!$G7561="EX",1,IF(DATOS!$G7561="OR",--(COUNTIFS(nNIA,DATOS!$A7561,nCURSO,DATOS!$D7561,nESPEC,DATOS!$E7561,nASIG,DATOS!$I7561,nEVAL,"EX")=0),0))))</f>
      </c>
      <c r="H7561">
        <f>IF(DATOS!$G7561&lt;&gt;"EX",0,--(COUNTIFS(nNIA,DATOS!$A7561,nCURSO,DATOS!$D7561,nESPEC,DATOS!$E7561,nASIG,DATOS!$I7561,nEVAL,"OR")=0))</f>
      </c>
      <c r="I7561">
        <f>IF(DATOS!$I7561="","",IFERROR(VLOOKUP(DATOS!$I7561,CONFIG_ASIGNATURAS!$B$2:$J$91,9,FALSE()),""))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IF(DATOS!$A7562="",0,IF(CONFIG_METADATA!$B$4&lt;&gt;"OR+EX",--(DATOS!$G7562=CONFIG_METADATA!$B$4),IF(DATOS!$G7562="EX",1,IF(DATOS!$G7562="OR",--(COUNTIFS(nNIA,DATOS!$A7562,nCURSO,DATOS!$D7562,nESPEC,DATOS!$E7562,nASIG,DATOS!$I7562,nEVAL,"EX")=0),0))))</f>
      </c>
      <c r="H7562">
        <f>IF(DATOS!$G7562&lt;&gt;"EX",0,--(COUNTIFS(nNIA,DATOS!$A7562,nCURSO,DATOS!$D7562,nESPEC,DATOS!$E7562,nASIG,DATOS!$I7562,nEVAL,"OR")=0))</f>
      </c>
      <c r="I7562">
        <f>IF(DATOS!$I7562="","",IFERROR(VLOOKUP(DATOS!$I7562,CONFIG_ASIGNATURAS!$B$2:$J$91,9,FALSE()),""))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IF(DATOS!$A7563="",0,IF(CONFIG_METADATA!$B$4&lt;&gt;"OR+EX",--(DATOS!$G7563=CONFIG_METADATA!$B$4),IF(DATOS!$G7563="EX",1,IF(DATOS!$G7563="OR",--(COUNTIFS(nNIA,DATOS!$A7563,nCURSO,DATOS!$D7563,nESPEC,DATOS!$E7563,nASIG,DATOS!$I7563,nEVAL,"EX")=0),0))))</f>
      </c>
      <c r="H7563">
        <f>IF(DATOS!$G7563&lt;&gt;"EX",0,--(COUNTIFS(nNIA,DATOS!$A7563,nCURSO,DATOS!$D7563,nESPEC,DATOS!$E7563,nASIG,DATOS!$I7563,nEVAL,"OR")=0))</f>
      </c>
      <c r="I7563">
        <f>IF(DATOS!$I7563="","",IFERROR(VLOOKUP(DATOS!$I7563,CONFIG_ASIGNATURAS!$B$2:$J$91,9,FALSE()),""))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IF(DATOS!$A7564="",0,IF(CONFIG_METADATA!$B$4&lt;&gt;"OR+EX",--(DATOS!$G7564=CONFIG_METADATA!$B$4),IF(DATOS!$G7564="EX",1,IF(DATOS!$G7564="OR",--(COUNTIFS(nNIA,DATOS!$A7564,nCURSO,DATOS!$D7564,nESPEC,DATOS!$E7564,nASIG,DATOS!$I7564,nEVAL,"EX")=0),0))))</f>
      </c>
      <c r="H7564">
        <f>IF(DATOS!$G7564&lt;&gt;"EX",0,--(COUNTIFS(nNIA,DATOS!$A7564,nCURSO,DATOS!$D7564,nESPEC,DATOS!$E7564,nASIG,DATOS!$I7564,nEVAL,"OR")=0))</f>
      </c>
      <c r="I7564">
        <f>IF(DATOS!$I7564="","",IFERROR(VLOOKUP(DATOS!$I7564,CONFIG_ASIGNATURAS!$B$2:$J$91,9,FALSE()),""))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IF(DATOS!$A7565="",0,IF(CONFIG_METADATA!$B$4&lt;&gt;"OR+EX",--(DATOS!$G7565=CONFIG_METADATA!$B$4),IF(DATOS!$G7565="EX",1,IF(DATOS!$G7565="OR",--(COUNTIFS(nNIA,DATOS!$A7565,nCURSO,DATOS!$D7565,nESPEC,DATOS!$E7565,nASIG,DATOS!$I7565,nEVAL,"EX")=0),0))))</f>
      </c>
      <c r="H7565">
        <f>IF(DATOS!$G7565&lt;&gt;"EX",0,--(COUNTIFS(nNIA,DATOS!$A7565,nCURSO,DATOS!$D7565,nESPEC,DATOS!$E7565,nASIG,DATOS!$I7565,nEVAL,"OR")=0))</f>
      </c>
      <c r="I7565">
        <f>IF(DATOS!$I7565="","",IFERROR(VLOOKUP(DATOS!$I7565,CONFIG_ASIGNATURAS!$B$2:$J$91,9,FALSE()),""))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IF(DATOS!$A7566="",0,IF(CONFIG_METADATA!$B$4&lt;&gt;"OR+EX",--(DATOS!$G7566=CONFIG_METADATA!$B$4),IF(DATOS!$G7566="EX",1,IF(DATOS!$G7566="OR",--(COUNTIFS(nNIA,DATOS!$A7566,nCURSO,DATOS!$D7566,nESPEC,DATOS!$E7566,nASIG,DATOS!$I7566,nEVAL,"EX")=0),0))))</f>
      </c>
      <c r="H7566">
        <f>IF(DATOS!$G7566&lt;&gt;"EX",0,--(COUNTIFS(nNIA,DATOS!$A7566,nCURSO,DATOS!$D7566,nESPEC,DATOS!$E7566,nASIG,DATOS!$I7566,nEVAL,"OR")=0))</f>
      </c>
      <c r="I7566">
        <f>IF(DATOS!$I7566="","",IFERROR(VLOOKUP(DATOS!$I7566,CONFIG_ASIGNATURAS!$B$2:$J$91,9,FALSE()),""))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IF(DATOS!$A7567="",0,IF(CONFIG_METADATA!$B$4&lt;&gt;"OR+EX",--(DATOS!$G7567=CONFIG_METADATA!$B$4),IF(DATOS!$G7567="EX",1,IF(DATOS!$G7567="OR",--(COUNTIFS(nNIA,DATOS!$A7567,nCURSO,DATOS!$D7567,nESPEC,DATOS!$E7567,nASIG,DATOS!$I7567,nEVAL,"EX")=0),0))))</f>
      </c>
      <c r="H7567">
        <f>IF(DATOS!$G7567&lt;&gt;"EX",0,--(COUNTIFS(nNIA,DATOS!$A7567,nCURSO,DATOS!$D7567,nESPEC,DATOS!$E7567,nASIG,DATOS!$I7567,nEVAL,"OR")=0))</f>
      </c>
      <c r="I7567">
        <f>IF(DATOS!$I7567="","",IFERROR(VLOOKUP(DATOS!$I7567,CONFIG_ASIGNATURAS!$B$2:$J$91,9,FALSE()),""))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IF(DATOS!$A7568="",0,IF(CONFIG_METADATA!$B$4&lt;&gt;"OR+EX",--(DATOS!$G7568=CONFIG_METADATA!$B$4),IF(DATOS!$G7568="EX",1,IF(DATOS!$G7568="OR",--(COUNTIFS(nNIA,DATOS!$A7568,nCURSO,DATOS!$D7568,nESPEC,DATOS!$E7568,nASIG,DATOS!$I7568,nEVAL,"EX")=0),0))))</f>
      </c>
      <c r="H7568">
        <f>IF(DATOS!$G7568&lt;&gt;"EX",0,--(COUNTIFS(nNIA,DATOS!$A7568,nCURSO,DATOS!$D7568,nESPEC,DATOS!$E7568,nASIG,DATOS!$I7568,nEVAL,"OR")=0))</f>
      </c>
      <c r="I7568">
        <f>IF(DATOS!$I7568="","",IFERROR(VLOOKUP(DATOS!$I7568,CONFIG_ASIGNATURAS!$B$2:$J$91,9,FALSE()),""))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IF(DATOS!$A7569="",0,IF(CONFIG_METADATA!$B$4&lt;&gt;"OR+EX",--(DATOS!$G7569=CONFIG_METADATA!$B$4),IF(DATOS!$G7569="EX",1,IF(DATOS!$G7569="OR",--(COUNTIFS(nNIA,DATOS!$A7569,nCURSO,DATOS!$D7569,nESPEC,DATOS!$E7569,nASIG,DATOS!$I7569,nEVAL,"EX")=0),0))))</f>
      </c>
      <c r="H7569">
        <f>IF(DATOS!$G7569&lt;&gt;"EX",0,--(COUNTIFS(nNIA,DATOS!$A7569,nCURSO,DATOS!$D7569,nESPEC,DATOS!$E7569,nASIG,DATOS!$I7569,nEVAL,"OR")=0))</f>
      </c>
      <c r="I7569">
        <f>IF(DATOS!$I7569="","",IFERROR(VLOOKUP(DATOS!$I7569,CONFIG_ASIGNATURAS!$B$2:$J$91,9,FALSE()),""))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IF(DATOS!$A7570="",0,IF(CONFIG_METADATA!$B$4&lt;&gt;"OR+EX",--(DATOS!$G7570=CONFIG_METADATA!$B$4),IF(DATOS!$G7570="EX",1,IF(DATOS!$G7570="OR",--(COUNTIFS(nNIA,DATOS!$A7570,nCURSO,DATOS!$D7570,nESPEC,DATOS!$E7570,nASIG,DATOS!$I7570,nEVAL,"EX")=0),0))))</f>
      </c>
      <c r="H7570">
        <f>IF(DATOS!$G7570&lt;&gt;"EX",0,--(COUNTIFS(nNIA,DATOS!$A7570,nCURSO,DATOS!$D7570,nESPEC,DATOS!$E7570,nASIG,DATOS!$I7570,nEVAL,"OR")=0))</f>
      </c>
      <c r="I7570">
        <f>IF(DATOS!$I7570="","",IFERROR(VLOOKUP(DATOS!$I7570,CONFIG_ASIGNATURAS!$B$2:$J$91,9,FALSE()),""))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IF(DATOS!$A7571="",0,IF(CONFIG_METADATA!$B$4&lt;&gt;"OR+EX",--(DATOS!$G7571=CONFIG_METADATA!$B$4),IF(DATOS!$G7571="EX",1,IF(DATOS!$G7571="OR",--(COUNTIFS(nNIA,DATOS!$A7571,nCURSO,DATOS!$D7571,nESPEC,DATOS!$E7571,nASIG,DATOS!$I7571,nEVAL,"EX")=0),0))))</f>
      </c>
      <c r="H7571">
        <f>IF(DATOS!$G7571&lt;&gt;"EX",0,--(COUNTIFS(nNIA,DATOS!$A7571,nCURSO,DATOS!$D7571,nESPEC,DATOS!$E7571,nASIG,DATOS!$I7571,nEVAL,"OR")=0))</f>
      </c>
      <c r="I7571">
        <f>IF(DATOS!$I7571="","",IFERROR(VLOOKUP(DATOS!$I7571,CONFIG_ASIGNATURAS!$B$2:$J$91,9,FALSE()),""))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IF(DATOS!$A7572="",0,IF(CONFIG_METADATA!$B$4&lt;&gt;"OR+EX",--(DATOS!$G7572=CONFIG_METADATA!$B$4),IF(DATOS!$G7572="EX",1,IF(DATOS!$G7572="OR",--(COUNTIFS(nNIA,DATOS!$A7572,nCURSO,DATOS!$D7572,nESPEC,DATOS!$E7572,nASIG,DATOS!$I7572,nEVAL,"EX")=0),0))))</f>
      </c>
      <c r="H7572">
        <f>IF(DATOS!$G7572&lt;&gt;"EX",0,--(COUNTIFS(nNIA,DATOS!$A7572,nCURSO,DATOS!$D7572,nESPEC,DATOS!$E7572,nASIG,DATOS!$I7572,nEVAL,"OR")=0))</f>
      </c>
      <c r="I7572">
        <f>IF(DATOS!$I7572="","",IFERROR(VLOOKUP(DATOS!$I7572,CONFIG_ASIGNATURAS!$B$2:$J$91,9,FALSE()),""))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IF(DATOS!$A7573="",0,IF(CONFIG_METADATA!$B$4&lt;&gt;"OR+EX",--(DATOS!$G7573=CONFIG_METADATA!$B$4),IF(DATOS!$G7573="EX",1,IF(DATOS!$G7573="OR",--(COUNTIFS(nNIA,DATOS!$A7573,nCURSO,DATOS!$D7573,nESPEC,DATOS!$E7573,nASIG,DATOS!$I7573,nEVAL,"EX")=0),0))))</f>
      </c>
      <c r="H7573">
        <f>IF(DATOS!$G7573&lt;&gt;"EX",0,--(COUNTIFS(nNIA,DATOS!$A7573,nCURSO,DATOS!$D7573,nESPEC,DATOS!$E7573,nASIG,DATOS!$I7573,nEVAL,"OR")=0))</f>
      </c>
      <c r="I7573">
        <f>IF(DATOS!$I7573="","",IFERROR(VLOOKUP(DATOS!$I7573,CONFIG_ASIGNATURAS!$B$2:$J$91,9,FALSE()),""))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IF(DATOS!$A7574="",0,IF(CONFIG_METADATA!$B$4&lt;&gt;"OR+EX",--(DATOS!$G7574=CONFIG_METADATA!$B$4),IF(DATOS!$G7574="EX",1,IF(DATOS!$G7574="OR",--(COUNTIFS(nNIA,DATOS!$A7574,nCURSO,DATOS!$D7574,nESPEC,DATOS!$E7574,nASIG,DATOS!$I7574,nEVAL,"EX")=0),0))))</f>
      </c>
      <c r="H7574">
        <f>IF(DATOS!$G7574&lt;&gt;"EX",0,--(COUNTIFS(nNIA,DATOS!$A7574,nCURSO,DATOS!$D7574,nESPEC,DATOS!$E7574,nASIG,DATOS!$I7574,nEVAL,"OR")=0))</f>
      </c>
      <c r="I7574">
        <f>IF(DATOS!$I7574="","",IFERROR(VLOOKUP(DATOS!$I7574,CONFIG_ASIGNATURAS!$B$2:$J$91,9,FALSE()),""))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IF(DATOS!$A7575="",0,IF(CONFIG_METADATA!$B$4&lt;&gt;"OR+EX",--(DATOS!$G7575=CONFIG_METADATA!$B$4),IF(DATOS!$G7575="EX",1,IF(DATOS!$G7575="OR",--(COUNTIFS(nNIA,DATOS!$A7575,nCURSO,DATOS!$D7575,nESPEC,DATOS!$E7575,nASIG,DATOS!$I7575,nEVAL,"EX")=0),0))))</f>
      </c>
      <c r="H7575">
        <f>IF(DATOS!$G7575&lt;&gt;"EX",0,--(COUNTIFS(nNIA,DATOS!$A7575,nCURSO,DATOS!$D7575,nESPEC,DATOS!$E7575,nASIG,DATOS!$I7575,nEVAL,"OR")=0))</f>
      </c>
      <c r="I7575">
        <f>IF(DATOS!$I7575="","",IFERROR(VLOOKUP(DATOS!$I7575,CONFIG_ASIGNATURAS!$B$2:$J$91,9,FALSE()),""))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IF(DATOS!$A7576="",0,IF(CONFIG_METADATA!$B$4&lt;&gt;"OR+EX",--(DATOS!$G7576=CONFIG_METADATA!$B$4),IF(DATOS!$G7576="EX",1,IF(DATOS!$G7576="OR",--(COUNTIFS(nNIA,DATOS!$A7576,nCURSO,DATOS!$D7576,nESPEC,DATOS!$E7576,nASIG,DATOS!$I7576,nEVAL,"EX")=0),0))))</f>
      </c>
      <c r="H7576">
        <f>IF(DATOS!$G7576&lt;&gt;"EX",0,--(COUNTIFS(nNIA,DATOS!$A7576,nCURSO,DATOS!$D7576,nESPEC,DATOS!$E7576,nASIG,DATOS!$I7576,nEVAL,"OR")=0))</f>
      </c>
      <c r="I7576">
        <f>IF(DATOS!$I7576="","",IFERROR(VLOOKUP(DATOS!$I7576,CONFIG_ASIGNATURAS!$B$2:$J$91,9,FALSE()),""))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IF(DATOS!$A7577="",0,IF(CONFIG_METADATA!$B$4&lt;&gt;"OR+EX",--(DATOS!$G7577=CONFIG_METADATA!$B$4),IF(DATOS!$G7577="EX",1,IF(DATOS!$G7577="OR",--(COUNTIFS(nNIA,DATOS!$A7577,nCURSO,DATOS!$D7577,nESPEC,DATOS!$E7577,nASIG,DATOS!$I7577,nEVAL,"EX")=0),0))))</f>
      </c>
      <c r="H7577">
        <f>IF(DATOS!$G7577&lt;&gt;"EX",0,--(COUNTIFS(nNIA,DATOS!$A7577,nCURSO,DATOS!$D7577,nESPEC,DATOS!$E7577,nASIG,DATOS!$I7577,nEVAL,"OR")=0))</f>
      </c>
      <c r="I7577">
        <f>IF(DATOS!$I7577="","",IFERROR(VLOOKUP(DATOS!$I7577,CONFIG_ASIGNATURAS!$B$2:$J$91,9,FALSE()),""))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IF(DATOS!$A7578="",0,IF(CONFIG_METADATA!$B$4&lt;&gt;"OR+EX",--(DATOS!$G7578=CONFIG_METADATA!$B$4),IF(DATOS!$G7578="EX",1,IF(DATOS!$G7578="OR",--(COUNTIFS(nNIA,DATOS!$A7578,nCURSO,DATOS!$D7578,nESPEC,DATOS!$E7578,nASIG,DATOS!$I7578,nEVAL,"EX")=0),0))))</f>
      </c>
      <c r="H7578">
        <f>IF(DATOS!$G7578&lt;&gt;"EX",0,--(COUNTIFS(nNIA,DATOS!$A7578,nCURSO,DATOS!$D7578,nESPEC,DATOS!$E7578,nASIG,DATOS!$I7578,nEVAL,"OR")=0))</f>
      </c>
      <c r="I7578">
        <f>IF(DATOS!$I7578="","",IFERROR(VLOOKUP(DATOS!$I7578,CONFIG_ASIGNATURAS!$B$2:$J$91,9,FALSE()),""))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IF(DATOS!$A7579="",0,IF(CONFIG_METADATA!$B$4&lt;&gt;"OR+EX",--(DATOS!$G7579=CONFIG_METADATA!$B$4),IF(DATOS!$G7579="EX",1,IF(DATOS!$G7579="OR",--(COUNTIFS(nNIA,DATOS!$A7579,nCURSO,DATOS!$D7579,nESPEC,DATOS!$E7579,nASIG,DATOS!$I7579,nEVAL,"EX")=0),0))))</f>
      </c>
      <c r="H7579">
        <f>IF(DATOS!$G7579&lt;&gt;"EX",0,--(COUNTIFS(nNIA,DATOS!$A7579,nCURSO,DATOS!$D7579,nESPEC,DATOS!$E7579,nASIG,DATOS!$I7579,nEVAL,"OR")=0))</f>
      </c>
      <c r="I7579">
        <f>IF(DATOS!$I7579="","",IFERROR(VLOOKUP(DATOS!$I7579,CONFIG_ASIGNATURAS!$B$2:$J$91,9,FALSE()),""))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IF(DATOS!$A7580="",0,IF(CONFIG_METADATA!$B$4&lt;&gt;"OR+EX",--(DATOS!$G7580=CONFIG_METADATA!$B$4),IF(DATOS!$G7580="EX",1,IF(DATOS!$G7580="OR",--(COUNTIFS(nNIA,DATOS!$A7580,nCURSO,DATOS!$D7580,nESPEC,DATOS!$E7580,nASIG,DATOS!$I7580,nEVAL,"EX")=0),0))))</f>
      </c>
      <c r="H7580">
        <f>IF(DATOS!$G7580&lt;&gt;"EX",0,--(COUNTIFS(nNIA,DATOS!$A7580,nCURSO,DATOS!$D7580,nESPEC,DATOS!$E7580,nASIG,DATOS!$I7580,nEVAL,"OR")=0))</f>
      </c>
      <c r="I7580">
        <f>IF(DATOS!$I7580="","",IFERROR(VLOOKUP(DATOS!$I7580,CONFIG_ASIGNATURAS!$B$2:$J$91,9,FALSE()),""))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IF(DATOS!$A7581="",0,IF(CONFIG_METADATA!$B$4&lt;&gt;"OR+EX",--(DATOS!$G7581=CONFIG_METADATA!$B$4),IF(DATOS!$G7581="EX",1,IF(DATOS!$G7581="OR",--(COUNTIFS(nNIA,DATOS!$A7581,nCURSO,DATOS!$D7581,nESPEC,DATOS!$E7581,nASIG,DATOS!$I7581,nEVAL,"EX")=0),0))))</f>
      </c>
      <c r="H7581">
        <f>IF(DATOS!$G7581&lt;&gt;"EX",0,--(COUNTIFS(nNIA,DATOS!$A7581,nCURSO,DATOS!$D7581,nESPEC,DATOS!$E7581,nASIG,DATOS!$I7581,nEVAL,"OR")=0))</f>
      </c>
      <c r="I7581">
        <f>IF(DATOS!$I7581="","",IFERROR(VLOOKUP(DATOS!$I7581,CONFIG_ASIGNATURAS!$B$2:$J$91,9,FALSE()),""))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IF(DATOS!$A7582="",0,IF(CONFIG_METADATA!$B$4&lt;&gt;"OR+EX",--(DATOS!$G7582=CONFIG_METADATA!$B$4),IF(DATOS!$G7582="EX",1,IF(DATOS!$G7582="OR",--(COUNTIFS(nNIA,DATOS!$A7582,nCURSO,DATOS!$D7582,nESPEC,DATOS!$E7582,nASIG,DATOS!$I7582,nEVAL,"EX")=0),0))))</f>
      </c>
      <c r="H7582">
        <f>IF(DATOS!$G7582&lt;&gt;"EX",0,--(COUNTIFS(nNIA,DATOS!$A7582,nCURSO,DATOS!$D7582,nESPEC,DATOS!$E7582,nASIG,DATOS!$I7582,nEVAL,"OR")=0))</f>
      </c>
      <c r="I7582">
        <f>IF(DATOS!$I7582="","",IFERROR(VLOOKUP(DATOS!$I7582,CONFIG_ASIGNATURAS!$B$2:$J$91,9,FALSE()),""))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IF(DATOS!$A7583="",0,IF(CONFIG_METADATA!$B$4&lt;&gt;"OR+EX",--(DATOS!$G7583=CONFIG_METADATA!$B$4),IF(DATOS!$G7583="EX",1,IF(DATOS!$G7583="OR",--(COUNTIFS(nNIA,DATOS!$A7583,nCURSO,DATOS!$D7583,nESPEC,DATOS!$E7583,nASIG,DATOS!$I7583,nEVAL,"EX")=0),0))))</f>
      </c>
      <c r="H7583">
        <f>IF(DATOS!$G7583&lt;&gt;"EX",0,--(COUNTIFS(nNIA,DATOS!$A7583,nCURSO,DATOS!$D7583,nESPEC,DATOS!$E7583,nASIG,DATOS!$I7583,nEVAL,"OR")=0))</f>
      </c>
      <c r="I7583">
        <f>IF(DATOS!$I7583="","",IFERROR(VLOOKUP(DATOS!$I7583,CONFIG_ASIGNATURAS!$B$2:$J$91,9,FALSE()),""))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IF(DATOS!$A7584="",0,IF(CONFIG_METADATA!$B$4&lt;&gt;"OR+EX",--(DATOS!$G7584=CONFIG_METADATA!$B$4),IF(DATOS!$G7584="EX",1,IF(DATOS!$G7584="OR",--(COUNTIFS(nNIA,DATOS!$A7584,nCURSO,DATOS!$D7584,nESPEC,DATOS!$E7584,nASIG,DATOS!$I7584,nEVAL,"EX")=0),0))))</f>
      </c>
      <c r="H7584">
        <f>IF(DATOS!$G7584&lt;&gt;"EX",0,--(COUNTIFS(nNIA,DATOS!$A7584,nCURSO,DATOS!$D7584,nESPEC,DATOS!$E7584,nASIG,DATOS!$I7584,nEVAL,"OR")=0))</f>
      </c>
      <c r="I7584">
        <f>IF(DATOS!$I7584="","",IFERROR(VLOOKUP(DATOS!$I7584,CONFIG_ASIGNATURAS!$B$2:$J$91,9,FALSE()),""))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IF(DATOS!$A7585="",0,IF(CONFIG_METADATA!$B$4&lt;&gt;"OR+EX",--(DATOS!$G7585=CONFIG_METADATA!$B$4),IF(DATOS!$G7585="EX",1,IF(DATOS!$G7585="OR",--(COUNTIFS(nNIA,DATOS!$A7585,nCURSO,DATOS!$D7585,nESPEC,DATOS!$E7585,nASIG,DATOS!$I7585,nEVAL,"EX")=0),0))))</f>
      </c>
      <c r="H7585">
        <f>IF(DATOS!$G7585&lt;&gt;"EX",0,--(COUNTIFS(nNIA,DATOS!$A7585,nCURSO,DATOS!$D7585,nESPEC,DATOS!$E7585,nASIG,DATOS!$I7585,nEVAL,"OR")=0))</f>
      </c>
      <c r="I7585">
        <f>IF(DATOS!$I7585="","",IFERROR(VLOOKUP(DATOS!$I7585,CONFIG_ASIGNATURAS!$B$2:$J$91,9,FALSE()),""))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IF(DATOS!$A7586="",0,IF(CONFIG_METADATA!$B$4&lt;&gt;"OR+EX",--(DATOS!$G7586=CONFIG_METADATA!$B$4),IF(DATOS!$G7586="EX",1,IF(DATOS!$G7586="OR",--(COUNTIFS(nNIA,DATOS!$A7586,nCURSO,DATOS!$D7586,nESPEC,DATOS!$E7586,nASIG,DATOS!$I7586,nEVAL,"EX")=0),0))))</f>
      </c>
      <c r="H7586">
        <f>IF(DATOS!$G7586&lt;&gt;"EX",0,--(COUNTIFS(nNIA,DATOS!$A7586,nCURSO,DATOS!$D7586,nESPEC,DATOS!$E7586,nASIG,DATOS!$I7586,nEVAL,"OR")=0))</f>
      </c>
      <c r="I7586">
        <f>IF(DATOS!$I7586="","",IFERROR(VLOOKUP(DATOS!$I7586,CONFIG_ASIGNATURAS!$B$2:$J$91,9,FALSE()),""))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IF(DATOS!$A7587="",0,IF(CONFIG_METADATA!$B$4&lt;&gt;"OR+EX",--(DATOS!$G7587=CONFIG_METADATA!$B$4),IF(DATOS!$G7587="EX",1,IF(DATOS!$G7587="OR",--(COUNTIFS(nNIA,DATOS!$A7587,nCURSO,DATOS!$D7587,nESPEC,DATOS!$E7587,nASIG,DATOS!$I7587,nEVAL,"EX")=0),0))))</f>
      </c>
      <c r="H7587">
        <f>IF(DATOS!$G7587&lt;&gt;"EX",0,--(COUNTIFS(nNIA,DATOS!$A7587,nCURSO,DATOS!$D7587,nESPEC,DATOS!$E7587,nASIG,DATOS!$I7587,nEVAL,"OR")=0))</f>
      </c>
      <c r="I7587">
        <f>IF(DATOS!$I7587="","",IFERROR(VLOOKUP(DATOS!$I7587,CONFIG_ASIGNATURAS!$B$2:$J$91,9,FALSE()),""))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IF(DATOS!$A7588="",0,IF(CONFIG_METADATA!$B$4&lt;&gt;"OR+EX",--(DATOS!$G7588=CONFIG_METADATA!$B$4),IF(DATOS!$G7588="EX",1,IF(DATOS!$G7588="OR",--(COUNTIFS(nNIA,DATOS!$A7588,nCURSO,DATOS!$D7588,nESPEC,DATOS!$E7588,nASIG,DATOS!$I7588,nEVAL,"EX")=0),0))))</f>
      </c>
      <c r="H7588">
        <f>IF(DATOS!$G7588&lt;&gt;"EX",0,--(COUNTIFS(nNIA,DATOS!$A7588,nCURSO,DATOS!$D7588,nESPEC,DATOS!$E7588,nASIG,DATOS!$I7588,nEVAL,"OR")=0))</f>
      </c>
      <c r="I7588">
        <f>IF(DATOS!$I7588="","",IFERROR(VLOOKUP(DATOS!$I7588,CONFIG_ASIGNATURAS!$B$2:$J$91,9,FALSE()),""))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IF(DATOS!$A7589="",0,IF(CONFIG_METADATA!$B$4&lt;&gt;"OR+EX",--(DATOS!$G7589=CONFIG_METADATA!$B$4),IF(DATOS!$G7589="EX",1,IF(DATOS!$G7589="OR",--(COUNTIFS(nNIA,DATOS!$A7589,nCURSO,DATOS!$D7589,nESPEC,DATOS!$E7589,nASIG,DATOS!$I7589,nEVAL,"EX")=0),0))))</f>
      </c>
      <c r="H7589">
        <f>IF(DATOS!$G7589&lt;&gt;"EX",0,--(COUNTIFS(nNIA,DATOS!$A7589,nCURSO,DATOS!$D7589,nESPEC,DATOS!$E7589,nASIG,DATOS!$I7589,nEVAL,"OR")=0))</f>
      </c>
      <c r="I7589">
        <f>IF(DATOS!$I7589="","",IFERROR(VLOOKUP(DATOS!$I7589,CONFIG_ASIGNATURAS!$B$2:$J$91,9,FALSE()),""))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IF(DATOS!$A7590="",0,IF(CONFIG_METADATA!$B$4&lt;&gt;"OR+EX",--(DATOS!$G7590=CONFIG_METADATA!$B$4),IF(DATOS!$G7590="EX",1,IF(DATOS!$G7590="OR",--(COUNTIFS(nNIA,DATOS!$A7590,nCURSO,DATOS!$D7590,nESPEC,DATOS!$E7590,nASIG,DATOS!$I7590,nEVAL,"EX")=0),0))))</f>
      </c>
      <c r="H7590">
        <f>IF(DATOS!$G7590&lt;&gt;"EX",0,--(COUNTIFS(nNIA,DATOS!$A7590,nCURSO,DATOS!$D7590,nESPEC,DATOS!$E7590,nASIG,DATOS!$I7590,nEVAL,"OR")=0))</f>
      </c>
      <c r="I7590">
        <f>IF(DATOS!$I7590="","",IFERROR(VLOOKUP(DATOS!$I7590,CONFIG_ASIGNATURAS!$B$2:$J$91,9,FALSE()),""))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IF(DATOS!$A7591="",0,IF(CONFIG_METADATA!$B$4&lt;&gt;"OR+EX",--(DATOS!$G7591=CONFIG_METADATA!$B$4),IF(DATOS!$G7591="EX",1,IF(DATOS!$G7591="OR",--(COUNTIFS(nNIA,DATOS!$A7591,nCURSO,DATOS!$D7591,nESPEC,DATOS!$E7591,nASIG,DATOS!$I7591,nEVAL,"EX")=0),0))))</f>
      </c>
      <c r="H7591">
        <f>IF(DATOS!$G7591&lt;&gt;"EX",0,--(COUNTIFS(nNIA,DATOS!$A7591,nCURSO,DATOS!$D7591,nESPEC,DATOS!$E7591,nASIG,DATOS!$I7591,nEVAL,"OR")=0))</f>
      </c>
      <c r="I7591">
        <f>IF(DATOS!$I7591="","",IFERROR(VLOOKUP(DATOS!$I7591,CONFIG_ASIGNATURAS!$B$2:$J$91,9,FALSE()),""))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IF(DATOS!$A7592="",0,IF(CONFIG_METADATA!$B$4&lt;&gt;"OR+EX",--(DATOS!$G7592=CONFIG_METADATA!$B$4),IF(DATOS!$G7592="EX",1,IF(DATOS!$G7592="OR",--(COUNTIFS(nNIA,DATOS!$A7592,nCURSO,DATOS!$D7592,nESPEC,DATOS!$E7592,nASIG,DATOS!$I7592,nEVAL,"EX")=0),0))))</f>
      </c>
      <c r="H7592">
        <f>IF(DATOS!$G7592&lt;&gt;"EX",0,--(COUNTIFS(nNIA,DATOS!$A7592,nCURSO,DATOS!$D7592,nESPEC,DATOS!$E7592,nASIG,DATOS!$I7592,nEVAL,"OR")=0))</f>
      </c>
      <c r="I7592">
        <f>IF(DATOS!$I7592="","",IFERROR(VLOOKUP(DATOS!$I7592,CONFIG_ASIGNATURAS!$B$2:$J$91,9,FALSE()),""))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IF(DATOS!$A7593="",0,IF(CONFIG_METADATA!$B$4&lt;&gt;"OR+EX",--(DATOS!$G7593=CONFIG_METADATA!$B$4),IF(DATOS!$G7593="EX",1,IF(DATOS!$G7593="OR",--(COUNTIFS(nNIA,DATOS!$A7593,nCURSO,DATOS!$D7593,nESPEC,DATOS!$E7593,nASIG,DATOS!$I7593,nEVAL,"EX")=0),0))))</f>
      </c>
      <c r="H7593">
        <f>IF(DATOS!$G7593&lt;&gt;"EX",0,--(COUNTIFS(nNIA,DATOS!$A7593,nCURSO,DATOS!$D7593,nESPEC,DATOS!$E7593,nASIG,DATOS!$I7593,nEVAL,"OR")=0))</f>
      </c>
      <c r="I7593">
        <f>IF(DATOS!$I7593="","",IFERROR(VLOOKUP(DATOS!$I7593,CONFIG_ASIGNATURAS!$B$2:$J$91,9,FALSE()),""))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IF(DATOS!$A7594="",0,IF(CONFIG_METADATA!$B$4&lt;&gt;"OR+EX",--(DATOS!$G7594=CONFIG_METADATA!$B$4),IF(DATOS!$G7594="EX",1,IF(DATOS!$G7594="OR",--(COUNTIFS(nNIA,DATOS!$A7594,nCURSO,DATOS!$D7594,nESPEC,DATOS!$E7594,nASIG,DATOS!$I7594,nEVAL,"EX")=0),0))))</f>
      </c>
      <c r="H7594">
        <f>IF(DATOS!$G7594&lt;&gt;"EX",0,--(COUNTIFS(nNIA,DATOS!$A7594,nCURSO,DATOS!$D7594,nESPEC,DATOS!$E7594,nASIG,DATOS!$I7594,nEVAL,"OR")=0))</f>
      </c>
      <c r="I7594">
        <f>IF(DATOS!$I7594="","",IFERROR(VLOOKUP(DATOS!$I7594,CONFIG_ASIGNATURAS!$B$2:$J$91,9,FALSE()),""))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IF(DATOS!$A7595="",0,IF(CONFIG_METADATA!$B$4&lt;&gt;"OR+EX",--(DATOS!$G7595=CONFIG_METADATA!$B$4),IF(DATOS!$G7595="EX",1,IF(DATOS!$G7595="OR",--(COUNTIFS(nNIA,DATOS!$A7595,nCURSO,DATOS!$D7595,nESPEC,DATOS!$E7595,nASIG,DATOS!$I7595,nEVAL,"EX")=0),0))))</f>
      </c>
      <c r="H7595">
        <f>IF(DATOS!$G7595&lt;&gt;"EX",0,--(COUNTIFS(nNIA,DATOS!$A7595,nCURSO,DATOS!$D7595,nESPEC,DATOS!$E7595,nASIG,DATOS!$I7595,nEVAL,"OR")=0))</f>
      </c>
      <c r="I7595">
        <f>IF(DATOS!$I7595="","",IFERROR(VLOOKUP(DATOS!$I7595,CONFIG_ASIGNATURAS!$B$2:$J$91,9,FALSE()),""))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IF(DATOS!$A7596="",0,IF(CONFIG_METADATA!$B$4&lt;&gt;"OR+EX",--(DATOS!$G7596=CONFIG_METADATA!$B$4),IF(DATOS!$G7596="EX",1,IF(DATOS!$G7596="OR",--(COUNTIFS(nNIA,DATOS!$A7596,nCURSO,DATOS!$D7596,nESPEC,DATOS!$E7596,nASIG,DATOS!$I7596,nEVAL,"EX")=0),0))))</f>
      </c>
      <c r="H7596">
        <f>IF(DATOS!$G7596&lt;&gt;"EX",0,--(COUNTIFS(nNIA,DATOS!$A7596,nCURSO,DATOS!$D7596,nESPEC,DATOS!$E7596,nASIG,DATOS!$I7596,nEVAL,"OR")=0))</f>
      </c>
      <c r="I7596">
        <f>IF(DATOS!$I7596="","",IFERROR(VLOOKUP(DATOS!$I7596,CONFIG_ASIGNATURAS!$B$2:$J$91,9,FALSE()),""))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IF(DATOS!$A7597="",0,IF(CONFIG_METADATA!$B$4&lt;&gt;"OR+EX",--(DATOS!$G7597=CONFIG_METADATA!$B$4),IF(DATOS!$G7597="EX",1,IF(DATOS!$G7597="OR",--(COUNTIFS(nNIA,DATOS!$A7597,nCURSO,DATOS!$D7597,nESPEC,DATOS!$E7597,nASIG,DATOS!$I7597,nEVAL,"EX")=0),0))))</f>
      </c>
      <c r="H7597">
        <f>IF(DATOS!$G7597&lt;&gt;"EX",0,--(COUNTIFS(nNIA,DATOS!$A7597,nCURSO,DATOS!$D7597,nESPEC,DATOS!$E7597,nASIG,DATOS!$I7597,nEVAL,"OR")=0))</f>
      </c>
      <c r="I7597">
        <f>IF(DATOS!$I7597="","",IFERROR(VLOOKUP(DATOS!$I7597,CONFIG_ASIGNATURAS!$B$2:$J$91,9,FALSE()),""))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IF(DATOS!$A7598="",0,IF(CONFIG_METADATA!$B$4&lt;&gt;"OR+EX",--(DATOS!$G7598=CONFIG_METADATA!$B$4),IF(DATOS!$G7598="EX",1,IF(DATOS!$G7598="OR",--(COUNTIFS(nNIA,DATOS!$A7598,nCURSO,DATOS!$D7598,nESPEC,DATOS!$E7598,nASIG,DATOS!$I7598,nEVAL,"EX")=0),0))))</f>
      </c>
      <c r="H7598">
        <f>IF(DATOS!$G7598&lt;&gt;"EX",0,--(COUNTIFS(nNIA,DATOS!$A7598,nCURSO,DATOS!$D7598,nESPEC,DATOS!$E7598,nASIG,DATOS!$I7598,nEVAL,"OR")=0))</f>
      </c>
      <c r="I7598">
        <f>IF(DATOS!$I7598="","",IFERROR(VLOOKUP(DATOS!$I7598,CONFIG_ASIGNATURAS!$B$2:$J$91,9,FALSE()),""))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IF(DATOS!$A7599="",0,IF(CONFIG_METADATA!$B$4&lt;&gt;"OR+EX",--(DATOS!$G7599=CONFIG_METADATA!$B$4),IF(DATOS!$G7599="EX",1,IF(DATOS!$G7599="OR",--(COUNTIFS(nNIA,DATOS!$A7599,nCURSO,DATOS!$D7599,nESPEC,DATOS!$E7599,nASIG,DATOS!$I7599,nEVAL,"EX")=0),0))))</f>
      </c>
      <c r="H7599">
        <f>IF(DATOS!$G7599&lt;&gt;"EX",0,--(COUNTIFS(nNIA,DATOS!$A7599,nCURSO,DATOS!$D7599,nESPEC,DATOS!$E7599,nASIG,DATOS!$I7599,nEVAL,"OR")=0))</f>
      </c>
      <c r="I7599">
        <f>IF(DATOS!$I7599="","",IFERROR(VLOOKUP(DATOS!$I7599,CONFIG_ASIGNATURAS!$B$2:$J$91,9,FALSE()),""))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IF(DATOS!$A7600="",0,IF(CONFIG_METADATA!$B$4&lt;&gt;"OR+EX",--(DATOS!$G7600=CONFIG_METADATA!$B$4),IF(DATOS!$G7600="EX",1,IF(DATOS!$G7600="OR",--(COUNTIFS(nNIA,DATOS!$A7600,nCURSO,DATOS!$D7600,nESPEC,DATOS!$E7600,nASIG,DATOS!$I7600,nEVAL,"EX")=0),0))))</f>
      </c>
      <c r="H7600">
        <f>IF(DATOS!$G7600&lt;&gt;"EX",0,--(COUNTIFS(nNIA,DATOS!$A7600,nCURSO,DATOS!$D7600,nESPEC,DATOS!$E7600,nASIG,DATOS!$I7600,nEVAL,"OR")=0))</f>
      </c>
      <c r="I7600">
        <f>IF(DATOS!$I7600="","",IFERROR(VLOOKUP(DATOS!$I7600,CONFIG_ASIGNATURAS!$B$2:$J$91,9,FALSE()),""))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IF(DATOS!$A7601="",0,IF(CONFIG_METADATA!$B$4&lt;&gt;"OR+EX",--(DATOS!$G7601=CONFIG_METADATA!$B$4),IF(DATOS!$G7601="EX",1,IF(DATOS!$G7601="OR",--(COUNTIFS(nNIA,DATOS!$A7601,nCURSO,DATOS!$D7601,nESPEC,DATOS!$E7601,nASIG,DATOS!$I7601,nEVAL,"EX")=0),0))))</f>
      </c>
      <c r="H7601">
        <f>IF(DATOS!$G7601&lt;&gt;"EX",0,--(COUNTIFS(nNIA,DATOS!$A7601,nCURSO,DATOS!$D7601,nESPEC,DATOS!$E7601,nASIG,DATOS!$I7601,nEVAL,"OR")=0))</f>
      </c>
      <c r="I7601">
        <f>IF(DATOS!$I7601="","",IFERROR(VLOOKUP(DATOS!$I7601,CONFIG_ASIGNATURAS!$B$2:$J$91,9,FALSE()),""))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IF(DATOS!$A7602="",0,IF(CONFIG_METADATA!$B$4&lt;&gt;"OR+EX",--(DATOS!$G7602=CONFIG_METADATA!$B$4),IF(DATOS!$G7602="EX",1,IF(DATOS!$G7602="OR",--(COUNTIFS(nNIA,DATOS!$A7602,nCURSO,DATOS!$D7602,nESPEC,DATOS!$E7602,nASIG,DATOS!$I7602,nEVAL,"EX")=0),0))))</f>
      </c>
      <c r="H7602">
        <f>IF(DATOS!$G7602&lt;&gt;"EX",0,--(COUNTIFS(nNIA,DATOS!$A7602,nCURSO,DATOS!$D7602,nESPEC,DATOS!$E7602,nASIG,DATOS!$I7602,nEVAL,"OR")=0))</f>
      </c>
      <c r="I7602">
        <f>IF(DATOS!$I7602="","",IFERROR(VLOOKUP(DATOS!$I7602,CONFIG_ASIGNATURAS!$B$2:$J$91,9,FALSE()),""))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IF(DATOS!$A7603="",0,IF(CONFIG_METADATA!$B$4&lt;&gt;"OR+EX",--(DATOS!$G7603=CONFIG_METADATA!$B$4),IF(DATOS!$G7603="EX",1,IF(DATOS!$G7603="OR",--(COUNTIFS(nNIA,DATOS!$A7603,nCURSO,DATOS!$D7603,nESPEC,DATOS!$E7603,nASIG,DATOS!$I7603,nEVAL,"EX")=0),0))))</f>
      </c>
      <c r="H7603">
        <f>IF(DATOS!$G7603&lt;&gt;"EX",0,--(COUNTIFS(nNIA,DATOS!$A7603,nCURSO,DATOS!$D7603,nESPEC,DATOS!$E7603,nASIG,DATOS!$I7603,nEVAL,"OR")=0))</f>
      </c>
      <c r="I7603">
        <f>IF(DATOS!$I7603="","",IFERROR(VLOOKUP(DATOS!$I7603,CONFIG_ASIGNATURAS!$B$2:$J$91,9,FALSE()),""))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IF(DATOS!$A7604="",0,IF(CONFIG_METADATA!$B$4&lt;&gt;"OR+EX",--(DATOS!$G7604=CONFIG_METADATA!$B$4),IF(DATOS!$G7604="EX",1,IF(DATOS!$G7604="OR",--(COUNTIFS(nNIA,DATOS!$A7604,nCURSO,DATOS!$D7604,nESPEC,DATOS!$E7604,nASIG,DATOS!$I7604,nEVAL,"EX")=0),0))))</f>
      </c>
      <c r="H7604">
        <f>IF(DATOS!$G7604&lt;&gt;"EX",0,--(COUNTIFS(nNIA,DATOS!$A7604,nCURSO,DATOS!$D7604,nESPEC,DATOS!$E7604,nASIG,DATOS!$I7604,nEVAL,"OR")=0))</f>
      </c>
      <c r="I7604">
        <f>IF(DATOS!$I7604="","",IFERROR(VLOOKUP(DATOS!$I7604,CONFIG_ASIGNATURAS!$B$2:$J$91,9,FALSE()),""))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IF(DATOS!$A7605="",0,IF(CONFIG_METADATA!$B$4&lt;&gt;"OR+EX",--(DATOS!$G7605=CONFIG_METADATA!$B$4),IF(DATOS!$G7605="EX",1,IF(DATOS!$G7605="OR",--(COUNTIFS(nNIA,DATOS!$A7605,nCURSO,DATOS!$D7605,nESPEC,DATOS!$E7605,nASIG,DATOS!$I7605,nEVAL,"EX")=0),0))))</f>
      </c>
      <c r="H7605">
        <f>IF(DATOS!$G7605&lt;&gt;"EX",0,--(COUNTIFS(nNIA,DATOS!$A7605,nCURSO,DATOS!$D7605,nESPEC,DATOS!$E7605,nASIG,DATOS!$I7605,nEVAL,"OR")=0))</f>
      </c>
      <c r="I7605">
        <f>IF(DATOS!$I7605="","",IFERROR(VLOOKUP(DATOS!$I7605,CONFIG_ASIGNATURAS!$B$2:$J$91,9,FALSE()),""))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IF(DATOS!$A7606="",0,IF(CONFIG_METADATA!$B$4&lt;&gt;"OR+EX",--(DATOS!$G7606=CONFIG_METADATA!$B$4),IF(DATOS!$G7606="EX",1,IF(DATOS!$G7606="OR",--(COUNTIFS(nNIA,DATOS!$A7606,nCURSO,DATOS!$D7606,nESPEC,DATOS!$E7606,nASIG,DATOS!$I7606,nEVAL,"EX")=0),0))))</f>
      </c>
      <c r="H7606">
        <f>IF(DATOS!$G7606&lt;&gt;"EX",0,--(COUNTIFS(nNIA,DATOS!$A7606,nCURSO,DATOS!$D7606,nESPEC,DATOS!$E7606,nASIG,DATOS!$I7606,nEVAL,"OR")=0))</f>
      </c>
      <c r="I7606">
        <f>IF(DATOS!$I7606="","",IFERROR(VLOOKUP(DATOS!$I7606,CONFIG_ASIGNATURAS!$B$2:$J$91,9,FALSE()),""))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IF(DATOS!$A7607="",0,IF(CONFIG_METADATA!$B$4&lt;&gt;"OR+EX",--(DATOS!$G7607=CONFIG_METADATA!$B$4),IF(DATOS!$G7607="EX",1,IF(DATOS!$G7607="OR",--(COUNTIFS(nNIA,DATOS!$A7607,nCURSO,DATOS!$D7607,nESPEC,DATOS!$E7607,nASIG,DATOS!$I7607,nEVAL,"EX")=0),0))))</f>
      </c>
      <c r="H7607">
        <f>IF(DATOS!$G7607&lt;&gt;"EX",0,--(COUNTIFS(nNIA,DATOS!$A7607,nCURSO,DATOS!$D7607,nESPEC,DATOS!$E7607,nASIG,DATOS!$I7607,nEVAL,"OR")=0))</f>
      </c>
      <c r="I7607">
        <f>IF(DATOS!$I7607="","",IFERROR(VLOOKUP(DATOS!$I7607,CONFIG_ASIGNATURAS!$B$2:$J$91,9,FALSE()),""))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IF(DATOS!$A7608="",0,IF(CONFIG_METADATA!$B$4&lt;&gt;"OR+EX",--(DATOS!$G7608=CONFIG_METADATA!$B$4),IF(DATOS!$G7608="EX",1,IF(DATOS!$G7608="OR",--(COUNTIFS(nNIA,DATOS!$A7608,nCURSO,DATOS!$D7608,nESPEC,DATOS!$E7608,nASIG,DATOS!$I7608,nEVAL,"EX")=0),0))))</f>
      </c>
      <c r="H7608">
        <f>IF(DATOS!$G7608&lt;&gt;"EX",0,--(COUNTIFS(nNIA,DATOS!$A7608,nCURSO,DATOS!$D7608,nESPEC,DATOS!$E7608,nASIG,DATOS!$I7608,nEVAL,"OR")=0))</f>
      </c>
      <c r="I7608">
        <f>IF(DATOS!$I7608="","",IFERROR(VLOOKUP(DATOS!$I7608,CONFIG_ASIGNATURAS!$B$2:$J$91,9,FALSE()),""))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IF(DATOS!$A7609="",0,IF(CONFIG_METADATA!$B$4&lt;&gt;"OR+EX",--(DATOS!$G7609=CONFIG_METADATA!$B$4),IF(DATOS!$G7609="EX",1,IF(DATOS!$G7609="OR",--(COUNTIFS(nNIA,DATOS!$A7609,nCURSO,DATOS!$D7609,nESPEC,DATOS!$E7609,nASIG,DATOS!$I7609,nEVAL,"EX")=0),0))))</f>
      </c>
      <c r="H7609">
        <f>IF(DATOS!$G7609&lt;&gt;"EX",0,--(COUNTIFS(nNIA,DATOS!$A7609,nCURSO,DATOS!$D7609,nESPEC,DATOS!$E7609,nASIG,DATOS!$I7609,nEVAL,"OR")=0))</f>
      </c>
      <c r="I7609">
        <f>IF(DATOS!$I7609="","",IFERROR(VLOOKUP(DATOS!$I7609,CONFIG_ASIGNATURAS!$B$2:$J$91,9,FALSE()),""))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IF(DATOS!$A7610="",0,IF(CONFIG_METADATA!$B$4&lt;&gt;"OR+EX",--(DATOS!$G7610=CONFIG_METADATA!$B$4),IF(DATOS!$G7610="EX",1,IF(DATOS!$G7610="OR",--(COUNTIFS(nNIA,DATOS!$A7610,nCURSO,DATOS!$D7610,nESPEC,DATOS!$E7610,nASIG,DATOS!$I7610,nEVAL,"EX")=0),0))))</f>
      </c>
      <c r="H7610">
        <f>IF(DATOS!$G7610&lt;&gt;"EX",0,--(COUNTIFS(nNIA,DATOS!$A7610,nCURSO,DATOS!$D7610,nESPEC,DATOS!$E7610,nASIG,DATOS!$I7610,nEVAL,"OR")=0))</f>
      </c>
      <c r="I7610">
        <f>IF(DATOS!$I7610="","",IFERROR(VLOOKUP(DATOS!$I7610,CONFIG_ASIGNATURAS!$B$2:$J$91,9,FALSE()),""))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IF(DATOS!$A7611="",0,IF(CONFIG_METADATA!$B$4&lt;&gt;"OR+EX",--(DATOS!$G7611=CONFIG_METADATA!$B$4),IF(DATOS!$G7611="EX",1,IF(DATOS!$G7611="OR",--(COUNTIFS(nNIA,DATOS!$A7611,nCURSO,DATOS!$D7611,nESPEC,DATOS!$E7611,nASIG,DATOS!$I7611,nEVAL,"EX")=0),0))))</f>
      </c>
      <c r="H7611">
        <f>IF(DATOS!$G7611&lt;&gt;"EX",0,--(COUNTIFS(nNIA,DATOS!$A7611,nCURSO,DATOS!$D7611,nESPEC,DATOS!$E7611,nASIG,DATOS!$I7611,nEVAL,"OR")=0))</f>
      </c>
      <c r="I7611">
        <f>IF(DATOS!$I7611="","",IFERROR(VLOOKUP(DATOS!$I7611,CONFIG_ASIGNATURAS!$B$2:$J$91,9,FALSE()),""))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IF(DATOS!$A7612="",0,IF(CONFIG_METADATA!$B$4&lt;&gt;"OR+EX",--(DATOS!$G7612=CONFIG_METADATA!$B$4),IF(DATOS!$G7612="EX",1,IF(DATOS!$G7612="OR",--(COUNTIFS(nNIA,DATOS!$A7612,nCURSO,DATOS!$D7612,nESPEC,DATOS!$E7612,nASIG,DATOS!$I7612,nEVAL,"EX")=0),0))))</f>
      </c>
      <c r="H7612">
        <f>IF(DATOS!$G7612&lt;&gt;"EX",0,--(COUNTIFS(nNIA,DATOS!$A7612,nCURSO,DATOS!$D7612,nESPEC,DATOS!$E7612,nASIG,DATOS!$I7612,nEVAL,"OR")=0))</f>
      </c>
      <c r="I7612">
        <f>IF(DATOS!$I7612="","",IFERROR(VLOOKUP(DATOS!$I7612,CONFIG_ASIGNATURAS!$B$2:$J$91,9,FALSE()),""))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IF(DATOS!$A7613="",0,IF(CONFIG_METADATA!$B$4&lt;&gt;"OR+EX",--(DATOS!$G7613=CONFIG_METADATA!$B$4),IF(DATOS!$G7613="EX",1,IF(DATOS!$G7613="OR",--(COUNTIFS(nNIA,DATOS!$A7613,nCURSO,DATOS!$D7613,nESPEC,DATOS!$E7613,nASIG,DATOS!$I7613,nEVAL,"EX")=0),0))))</f>
      </c>
      <c r="H7613">
        <f>IF(DATOS!$G7613&lt;&gt;"EX",0,--(COUNTIFS(nNIA,DATOS!$A7613,nCURSO,DATOS!$D7613,nESPEC,DATOS!$E7613,nASIG,DATOS!$I7613,nEVAL,"OR")=0))</f>
      </c>
      <c r="I7613">
        <f>IF(DATOS!$I7613="","",IFERROR(VLOOKUP(DATOS!$I7613,CONFIG_ASIGNATURAS!$B$2:$J$91,9,FALSE()),""))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IF(DATOS!$A7614="",0,IF(CONFIG_METADATA!$B$4&lt;&gt;"OR+EX",--(DATOS!$G7614=CONFIG_METADATA!$B$4),IF(DATOS!$G7614="EX",1,IF(DATOS!$G7614="OR",--(COUNTIFS(nNIA,DATOS!$A7614,nCURSO,DATOS!$D7614,nESPEC,DATOS!$E7614,nASIG,DATOS!$I7614,nEVAL,"EX")=0),0))))</f>
      </c>
      <c r="H7614">
        <f>IF(DATOS!$G7614&lt;&gt;"EX",0,--(COUNTIFS(nNIA,DATOS!$A7614,nCURSO,DATOS!$D7614,nESPEC,DATOS!$E7614,nASIG,DATOS!$I7614,nEVAL,"OR")=0))</f>
      </c>
      <c r="I7614">
        <f>IF(DATOS!$I7614="","",IFERROR(VLOOKUP(DATOS!$I7614,CONFIG_ASIGNATURAS!$B$2:$J$91,9,FALSE()),""))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IF(DATOS!$A7615="",0,IF(CONFIG_METADATA!$B$4&lt;&gt;"OR+EX",--(DATOS!$G7615=CONFIG_METADATA!$B$4),IF(DATOS!$G7615="EX",1,IF(DATOS!$G7615="OR",--(COUNTIFS(nNIA,DATOS!$A7615,nCURSO,DATOS!$D7615,nESPEC,DATOS!$E7615,nASIG,DATOS!$I7615,nEVAL,"EX")=0),0))))</f>
      </c>
      <c r="H7615">
        <f>IF(DATOS!$G7615&lt;&gt;"EX",0,--(COUNTIFS(nNIA,DATOS!$A7615,nCURSO,DATOS!$D7615,nESPEC,DATOS!$E7615,nASIG,DATOS!$I7615,nEVAL,"OR")=0))</f>
      </c>
      <c r="I7615">
        <f>IF(DATOS!$I7615="","",IFERROR(VLOOKUP(DATOS!$I7615,CONFIG_ASIGNATURAS!$B$2:$J$91,9,FALSE()),""))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IF(DATOS!$A7616="",0,IF(CONFIG_METADATA!$B$4&lt;&gt;"OR+EX",--(DATOS!$G7616=CONFIG_METADATA!$B$4),IF(DATOS!$G7616="EX",1,IF(DATOS!$G7616="OR",--(COUNTIFS(nNIA,DATOS!$A7616,nCURSO,DATOS!$D7616,nESPEC,DATOS!$E7616,nASIG,DATOS!$I7616,nEVAL,"EX")=0),0))))</f>
      </c>
      <c r="H7616">
        <f>IF(DATOS!$G7616&lt;&gt;"EX",0,--(COUNTIFS(nNIA,DATOS!$A7616,nCURSO,DATOS!$D7616,nESPEC,DATOS!$E7616,nASIG,DATOS!$I7616,nEVAL,"OR")=0))</f>
      </c>
      <c r="I7616">
        <f>IF(DATOS!$I7616="","",IFERROR(VLOOKUP(DATOS!$I7616,CONFIG_ASIGNATURAS!$B$2:$J$91,9,FALSE()),""))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IF(DATOS!$A7617="",0,IF(CONFIG_METADATA!$B$4&lt;&gt;"OR+EX",--(DATOS!$G7617=CONFIG_METADATA!$B$4),IF(DATOS!$G7617="EX",1,IF(DATOS!$G7617="OR",--(COUNTIFS(nNIA,DATOS!$A7617,nCURSO,DATOS!$D7617,nESPEC,DATOS!$E7617,nASIG,DATOS!$I7617,nEVAL,"EX")=0),0))))</f>
      </c>
      <c r="H7617">
        <f>IF(DATOS!$G7617&lt;&gt;"EX",0,--(COUNTIFS(nNIA,DATOS!$A7617,nCURSO,DATOS!$D7617,nESPEC,DATOS!$E7617,nASIG,DATOS!$I7617,nEVAL,"OR")=0))</f>
      </c>
      <c r="I7617">
        <f>IF(DATOS!$I7617="","",IFERROR(VLOOKUP(DATOS!$I7617,CONFIG_ASIGNATURAS!$B$2:$J$91,9,FALSE()),""))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IF(DATOS!$A7618="",0,IF(CONFIG_METADATA!$B$4&lt;&gt;"OR+EX",--(DATOS!$G7618=CONFIG_METADATA!$B$4),IF(DATOS!$G7618="EX",1,IF(DATOS!$G7618="OR",--(COUNTIFS(nNIA,DATOS!$A7618,nCURSO,DATOS!$D7618,nESPEC,DATOS!$E7618,nASIG,DATOS!$I7618,nEVAL,"EX")=0),0))))</f>
      </c>
      <c r="H7618">
        <f>IF(DATOS!$G7618&lt;&gt;"EX",0,--(COUNTIFS(nNIA,DATOS!$A7618,nCURSO,DATOS!$D7618,nESPEC,DATOS!$E7618,nASIG,DATOS!$I7618,nEVAL,"OR")=0))</f>
      </c>
      <c r="I7618">
        <f>IF(DATOS!$I7618="","",IFERROR(VLOOKUP(DATOS!$I7618,CONFIG_ASIGNATURAS!$B$2:$J$91,9,FALSE()),""))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IF(DATOS!$A7619="",0,IF(CONFIG_METADATA!$B$4&lt;&gt;"OR+EX",--(DATOS!$G7619=CONFIG_METADATA!$B$4),IF(DATOS!$G7619="EX",1,IF(DATOS!$G7619="OR",--(COUNTIFS(nNIA,DATOS!$A7619,nCURSO,DATOS!$D7619,nESPEC,DATOS!$E7619,nASIG,DATOS!$I7619,nEVAL,"EX")=0),0))))</f>
      </c>
      <c r="H7619">
        <f>IF(DATOS!$G7619&lt;&gt;"EX",0,--(COUNTIFS(nNIA,DATOS!$A7619,nCURSO,DATOS!$D7619,nESPEC,DATOS!$E7619,nASIG,DATOS!$I7619,nEVAL,"OR")=0))</f>
      </c>
      <c r="I7619">
        <f>IF(DATOS!$I7619="","",IFERROR(VLOOKUP(DATOS!$I7619,CONFIG_ASIGNATURAS!$B$2:$J$91,9,FALSE()),""))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IF(DATOS!$A7620="",0,IF(CONFIG_METADATA!$B$4&lt;&gt;"OR+EX",--(DATOS!$G7620=CONFIG_METADATA!$B$4),IF(DATOS!$G7620="EX",1,IF(DATOS!$G7620="OR",--(COUNTIFS(nNIA,DATOS!$A7620,nCURSO,DATOS!$D7620,nESPEC,DATOS!$E7620,nASIG,DATOS!$I7620,nEVAL,"EX")=0),0))))</f>
      </c>
      <c r="H7620">
        <f>IF(DATOS!$G7620&lt;&gt;"EX",0,--(COUNTIFS(nNIA,DATOS!$A7620,nCURSO,DATOS!$D7620,nESPEC,DATOS!$E7620,nASIG,DATOS!$I7620,nEVAL,"OR")=0))</f>
      </c>
      <c r="I7620">
        <f>IF(DATOS!$I7620="","",IFERROR(VLOOKUP(DATOS!$I7620,CONFIG_ASIGNATURAS!$B$2:$J$91,9,FALSE()),""))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IF(DATOS!$A7621="",0,IF(CONFIG_METADATA!$B$4&lt;&gt;"OR+EX",--(DATOS!$G7621=CONFIG_METADATA!$B$4),IF(DATOS!$G7621="EX",1,IF(DATOS!$G7621="OR",--(COUNTIFS(nNIA,DATOS!$A7621,nCURSO,DATOS!$D7621,nESPEC,DATOS!$E7621,nASIG,DATOS!$I7621,nEVAL,"EX")=0),0))))</f>
      </c>
      <c r="H7621">
        <f>IF(DATOS!$G7621&lt;&gt;"EX",0,--(COUNTIFS(nNIA,DATOS!$A7621,nCURSO,DATOS!$D7621,nESPEC,DATOS!$E7621,nASIG,DATOS!$I7621,nEVAL,"OR")=0))</f>
      </c>
      <c r="I7621">
        <f>IF(DATOS!$I7621="","",IFERROR(VLOOKUP(DATOS!$I7621,CONFIG_ASIGNATURAS!$B$2:$J$91,9,FALSE()),""))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IF(DATOS!$A7622="",0,IF(CONFIG_METADATA!$B$4&lt;&gt;"OR+EX",--(DATOS!$G7622=CONFIG_METADATA!$B$4),IF(DATOS!$G7622="EX",1,IF(DATOS!$G7622="OR",--(COUNTIFS(nNIA,DATOS!$A7622,nCURSO,DATOS!$D7622,nESPEC,DATOS!$E7622,nASIG,DATOS!$I7622,nEVAL,"EX")=0),0))))</f>
      </c>
      <c r="H7622">
        <f>IF(DATOS!$G7622&lt;&gt;"EX",0,--(COUNTIFS(nNIA,DATOS!$A7622,nCURSO,DATOS!$D7622,nESPEC,DATOS!$E7622,nASIG,DATOS!$I7622,nEVAL,"OR")=0))</f>
      </c>
      <c r="I7622">
        <f>IF(DATOS!$I7622="","",IFERROR(VLOOKUP(DATOS!$I7622,CONFIG_ASIGNATURAS!$B$2:$J$91,9,FALSE()),""))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IF(DATOS!$A7623="",0,IF(CONFIG_METADATA!$B$4&lt;&gt;"OR+EX",--(DATOS!$G7623=CONFIG_METADATA!$B$4),IF(DATOS!$G7623="EX",1,IF(DATOS!$G7623="OR",--(COUNTIFS(nNIA,DATOS!$A7623,nCURSO,DATOS!$D7623,nESPEC,DATOS!$E7623,nASIG,DATOS!$I7623,nEVAL,"EX")=0),0))))</f>
      </c>
      <c r="H7623">
        <f>IF(DATOS!$G7623&lt;&gt;"EX",0,--(COUNTIFS(nNIA,DATOS!$A7623,nCURSO,DATOS!$D7623,nESPEC,DATOS!$E7623,nASIG,DATOS!$I7623,nEVAL,"OR")=0))</f>
      </c>
      <c r="I7623">
        <f>IF(DATOS!$I7623="","",IFERROR(VLOOKUP(DATOS!$I7623,CONFIG_ASIGNATURAS!$B$2:$J$91,9,FALSE()),""))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IF(DATOS!$A7624="",0,IF(CONFIG_METADATA!$B$4&lt;&gt;"OR+EX",--(DATOS!$G7624=CONFIG_METADATA!$B$4),IF(DATOS!$G7624="EX",1,IF(DATOS!$G7624="OR",--(COUNTIFS(nNIA,DATOS!$A7624,nCURSO,DATOS!$D7624,nESPEC,DATOS!$E7624,nASIG,DATOS!$I7624,nEVAL,"EX")=0),0))))</f>
      </c>
      <c r="H7624">
        <f>IF(DATOS!$G7624&lt;&gt;"EX",0,--(COUNTIFS(nNIA,DATOS!$A7624,nCURSO,DATOS!$D7624,nESPEC,DATOS!$E7624,nASIG,DATOS!$I7624,nEVAL,"OR")=0))</f>
      </c>
      <c r="I7624">
        <f>IF(DATOS!$I7624="","",IFERROR(VLOOKUP(DATOS!$I7624,CONFIG_ASIGNATURAS!$B$2:$J$91,9,FALSE()),""))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IF(DATOS!$A7625="",0,IF(CONFIG_METADATA!$B$4&lt;&gt;"OR+EX",--(DATOS!$G7625=CONFIG_METADATA!$B$4),IF(DATOS!$G7625="EX",1,IF(DATOS!$G7625="OR",--(COUNTIFS(nNIA,DATOS!$A7625,nCURSO,DATOS!$D7625,nESPEC,DATOS!$E7625,nASIG,DATOS!$I7625,nEVAL,"EX")=0),0))))</f>
      </c>
      <c r="H7625">
        <f>IF(DATOS!$G7625&lt;&gt;"EX",0,--(COUNTIFS(nNIA,DATOS!$A7625,nCURSO,DATOS!$D7625,nESPEC,DATOS!$E7625,nASIG,DATOS!$I7625,nEVAL,"OR")=0))</f>
      </c>
      <c r="I7625">
        <f>IF(DATOS!$I7625="","",IFERROR(VLOOKUP(DATOS!$I7625,CONFIG_ASIGNATURAS!$B$2:$J$91,9,FALSE()),""))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IF(DATOS!$A7626="",0,IF(CONFIG_METADATA!$B$4&lt;&gt;"OR+EX",--(DATOS!$G7626=CONFIG_METADATA!$B$4),IF(DATOS!$G7626="EX",1,IF(DATOS!$G7626="OR",--(COUNTIFS(nNIA,DATOS!$A7626,nCURSO,DATOS!$D7626,nESPEC,DATOS!$E7626,nASIG,DATOS!$I7626,nEVAL,"EX")=0),0))))</f>
      </c>
      <c r="H7626">
        <f>IF(DATOS!$G7626&lt;&gt;"EX",0,--(COUNTIFS(nNIA,DATOS!$A7626,nCURSO,DATOS!$D7626,nESPEC,DATOS!$E7626,nASIG,DATOS!$I7626,nEVAL,"OR")=0))</f>
      </c>
      <c r="I7626">
        <f>IF(DATOS!$I7626="","",IFERROR(VLOOKUP(DATOS!$I7626,CONFIG_ASIGNATURAS!$B$2:$J$91,9,FALSE()),""))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IF(DATOS!$A7627="",0,IF(CONFIG_METADATA!$B$4&lt;&gt;"OR+EX",--(DATOS!$G7627=CONFIG_METADATA!$B$4),IF(DATOS!$G7627="EX",1,IF(DATOS!$G7627="OR",--(COUNTIFS(nNIA,DATOS!$A7627,nCURSO,DATOS!$D7627,nESPEC,DATOS!$E7627,nASIG,DATOS!$I7627,nEVAL,"EX")=0),0))))</f>
      </c>
      <c r="H7627">
        <f>IF(DATOS!$G7627&lt;&gt;"EX",0,--(COUNTIFS(nNIA,DATOS!$A7627,nCURSO,DATOS!$D7627,nESPEC,DATOS!$E7627,nASIG,DATOS!$I7627,nEVAL,"OR")=0))</f>
      </c>
      <c r="I7627">
        <f>IF(DATOS!$I7627="","",IFERROR(VLOOKUP(DATOS!$I7627,CONFIG_ASIGNATURAS!$B$2:$J$91,9,FALSE()),""))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IF(DATOS!$A7628="",0,IF(CONFIG_METADATA!$B$4&lt;&gt;"OR+EX",--(DATOS!$G7628=CONFIG_METADATA!$B$4),IF(DATOS!$G7628="EX",1,IF(DATOS!$G7628="OR",--(COUNTIFS(nNIA,DATOS!$A7628,nCURSO,DATOS!$D7628,nESPEC,DATOS!$E7628,nASIG,DATOS!$I7628,nEVAL,"EX")=0),0))))</f>
      </c>
      <c r="H7628">
        <f>IF(DATOS!$G7628&lt;&gt;"EX",0,--(COUNTIFS(nNIA,DATOS!$A7628,nCURSO,DATOS!$D7628,nESPEC,DATOS!$E7628,nASIG,DATOS!$I7628,nEVAL,"OR")=0))</f>
      </c>
      <c r="I7628">
        <f>IF(DATOS!$I7628="","",IFERROR(VLOOKUP(DATOS!$I7628,CONFIG_ASIGNATURAS!$B$2:$J$91,9,FALSE()),""))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IF(DATOS!$A7629="",0,IF(CONFIG_METADATA!$B$4&lt;&gt;"OR+EX",--(DATOS!$G7629=CONFIG_METADATA!$B$4),IF(DATOS!$G7629="EX",1,IF(DATOS!$G7629="OR",--(COUNTIFS(nNIA,DATOS!$A7629,nCURSO,DATOS!$D7629,nESPEC,DATOS!$E7629,nASIG,DATOS!$I7629,nEVAL,"EX")=0),0))))</f>
      </c>
      <c r="H7629">
        <f>IF(DATOS!$G7629&lt;&gt;"EX",0,--(COUNTIFS(nNIA,DATOS!$A7629,nCURSO,DATOS!$D7629,nESPEC,DATOS!$E7629,nASIG,DATOS!$I7629,nEVAL,"OR")=0))</f>
      </c>
      <c r="I7629">
        <f>IF(DATOS!$I7629="","",IFERROR(VLOOKUP(DATOS!$I7629,CONFIG_ASIGNATURAS!$B$2:$J$91,9,FALSE()),""))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IF(DATOS!$A7630="",0,IF(CONFIG_METADATA!$B$4&lt;&gt;"OR+EX",--(DATOS!$G7630=CONFIG_METADATA!$B$4),IF(DATOS!$G7630="EX",1,IF(DATOS!$G7630="OR",--(COUNTIFS(nNIA,DATOS!$A7630,nCURSO,DATOS!$D7630,nESPEC,DATOS!$E7630,nASIG,DATOS!$I7630,nEVAL,"EX")=0),0))))</f>
      </c>
      <c r="H7630">
        <f>IF(DATOS!$G7630&lt;&gt;"EX",0,--(COUNTIFS(nNIA,DATOS!$A7630,nCURSO,DATOS!$D7630,nESPEC,DATOS!$E7630,nASIG,DATOS!$I7630,nEVAL,"OR")=0))</f>
      </c>
      <c r="I7630">
        <f>IF(DATOS!$I7630="","",IFERROR(VLOOKUP(DATOS!$I7630,CONFIG_ASIGNATURAS!$B$2:$J$91,9,FALSE()),""))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IF(DATOS!$A7631="",0,IF(CONFIG_METADATA!$B$4&lt;&gt;"OR+EX",--(DATOS!$G7631=CONFIG_METADATA!$B$4),IF(DATOS!$G7631="EX",1,IF(DATOS!$G7631="OR",--(COUNTIFS(nNIA,DATOS!$A7631,nCURSO,DATOS!$D7631,nESPEC,DATOS!$E7631,nASIG,DATOS!$I7631,nEVAL,"EX")=0),0))))</f>
      </c>
      <c r="H7631">
        <f>IF(DATOS!$G7631&lt;&gt;"EX",0,--(COUNTIFS(nNIA,DATOS!$A7631,nCURSO,DATOS!$D7631,nESPEC,DATOS!$E7631,nASIG,DATOS!$I7631,nEVAL,"OR")=0))</f>
      </c>
      <c r="I7631">
        <f>IF(DATOS!$I7631="","",IFERROR(VLOOKUP(DATOS!$I7631,CONFIG_ASIGNATURAS!$B$2:$J$91,9,FALSE()),""))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IF(DATOS!$A7632="",0,IF(CONFIG_METADATA!$B$4&lt;&gt;"OR+EX",--(DATOS!$G7632=CONFIG_METADATA!$B$4),IF(DATOS!$G7632="EX",1,IF(DATOS!$G7632="OR",--(COUNTIFS(nNIA,DATOS!$A7632,nCURSO,DATOS!$D7632,nESPEC,DATOS!$E7632,nASIG,DATOS!$I7632,nEVAL,"EX")=0),0))))</f>
      </c>
      <c r="H7632">
        <f>IF(DATOS!$G7632&lt;&gt;"EX",0,--(COUNTIFS(nNIA,DATOS!$A7632,nCURSO,DATOS!$D7632,nESPEC,DATOS!$E7632,nASIG,DATOS!$I7632,nEVAL,"OR")=0))</f>
      </c>
      <c r="I7632">
        <f>IF(DATOS!$I7632="","",IFERROR(VLOOKUP(DATOS!$I7632,CONFIG_ASIGNATURAS!$B$2:$J$91,9,FALSE()),""))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IF(DATOS!$A7633="",0,IF(CONFIG_METADATA!$B$4&lt;&gt;"OR+EX",--(DATOS!$G7633=CONFIG_METADATA!$B$4),IF(DATOS!$G7633="EX",1,IF(DATOS!$G7633="OR",--(COUNTIFS(nNIA,DATOS!$A7633,nCURSO,DATOS!$D7633,nESPEC,DATOS!$E7633,nASIG,DATOS!$I7633,nEVAL,"EX")=0),0))))</f>
      </c>
      <c r="H7633">
        <f>IF(DATOS!$G7633&lt;&gt;"EX",0,--(COUNTIFS(nNIA,DATOS!$A7633,nCURSO,DATOS!$D7633,nESPEC,DATOS!$E7633,nASIG,DATOS!$I7633,nEVAL,"OR")=0))</f>
      </c>
      <c r="I7633">
        <f>IF(DATOS!$I7633="","",IFERROR(VLOOKUP(DATOS!$I7633,CONFIG_ASIGNATURAS!$B$2:$J$91,9,FALSE()),""))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IF(DATOS!$A7634="",0,IF(CONFIG_METADATA!$B$4&lt;&gt;"OR+EX",--(DATOS!$G7634=CONFIG_METADATA!$B$4),IF(DATOS!$G7634="EX",1,IF(DATOS!$G7634="OR",--(COUNTIFS(nNIA,DATOS!$A7634,nCURSO,DATOS!$D7634,nESPEC,DATOS!$E7634,nASIG,DATOS!$I7634,nEVAL,"EX")=0),0))))</f>
      </c>
      <c r="H7634">
        <f>IF(DATOS!$G7634&lt;&gt;"EX",0,--(COUNTIFS(nNIA,DATOS!$A7634,nCURSO,DATOS!$D7634,nESPEC,DATOS!$E7634,nASIG,DATOS!$I7634,nEVAL,"OR")=0))</f>
      </c>
      <c r="I7634">
        <f>IF(DATOS!$I7634="","",IFERROR(VLOOKUP(DATOS!$I7634,CONFIG_ASIGNATURAS!$B$2:$J$91,9,FALSE()),""))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IF(DATOS!$A7635="",0,IF(CONFIG_METADATA!$B$4&lt;&gt;"OR+EX",--(DATOS!$G7635=CONFIG_METADATA!$B$4),IF(DATOS!$G7635="EX",1,IF(DATOS!$G7635="OR",--(COUNTIFS(nNIA,DATOS!$A7635,nCURSO,DATOS!$D7635,nESPEC,DATOS!$E7635,nASIG,DATOS!$I7635,nEVAL,"EX")=0),0))))</f>
      </c>
      <c r="H7635">
        <f>IF(DATOS!$G7635&lt;&gt;"EX",0,--(COUNTIFS(nNIA,DATOS!$A7635,nCURSO,DATOS!$D7635,nESPEC,DATOS!$E7635,nASIG,DATOS!$I7635,nEVAL,"OR")=0))</f>
      </c>
      <c r="I7635">
        <f>IF(DATOS!$I7635="","",IFERROR(VLOOKUP(DATOS!$I7635,CONFIG_ASIGNATURAS!$B$2:$J$91,9,FALSE()),""))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IF(DATOS!$A7636="",0,IF(CONFIG_METADATA!$B$4&lt;&gt;"OR+EX",--(DATOS!$G7636=CONFIG_METADATA!$B$4),IF(DATOS!$G7636="EX",1,IF(DATOS!$G7636="OR",--(COUNTIFS(nNIA,DATOS!$A7636,nCURSO,DATOS!$D7636,nESPEC,DATOS!$E7636,nASIG,DATOS!$I7636,nEVAL,"EX")=0),0))))</f>
      </c>
      <c r="H7636">
        <f>IF(DATOS!$G7636&lt;&gt;"EX",0,--(COUNTIFS(nNIA,DATOS!$A7636,nCURSO,DATOS!$D7636,nESPEC,DATOS!$E7636,nASIG,DATOS!$I7636,nEVAL,"OR")=0))</f>
      </c>
      <c r="I7636">
        <f>IF(DATOS!$I7636="","",IFERROR(VLOOKUP(DATOS!$I7636,CONFIG_ASIGNATURAS!$B$2:$J$91,9,FALSE()),""))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IF(DATOS!$A7637="",0,IF(CONFIG_METADATA!$B$4&lt;&gt;"OR+EX",--(DATOS!$G7637=CONFIG_METADATA!$B$4),IF(DATOS!$G7637="EX",1,IF(DATOS!$G7637="OR",--(COUNTIFS(nNIA,DATOS!$A7637,nCURSO,DATOS!$D7637,nESPEC,DATOS!$E7637,nASIG,DATOS!$I7637,nEVAL,"EX")=0),0))))</f>
      </c>
      <c r="H7637">
        <f>IF(DATOS!$G7637&lt;&gt;"EX",0,--(COUNTIFS(nNIA,DATOS!$A7637,nCURSO,DATOS!$D7637,nESPEC,DATOS!$E7637,nASIG,DATOS!$I7637,nEVAL,"OR")=0))</f>
      </c>
      <c r="I7637">
        <f>IF(DATOS!$I7637="","",IFERROR(VLOOKUP(DATOS!$I7637,CONFIG_ASIGNATURAS!$B$2:$J$91,9,FALSE()),""))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IF(DATOS!$A7638="",0,IF(CONFIG_METADATA!$B$4&lt;&gt;"OR+EX",--(DATOS!$G7638=CONFIG_METADATA!$B$4),IF(DATOS!$G7638="EX",1,IF(DATOS!$G7638="OR",--(COUNTIFS(nNIA,DATOS!$A7638,nCURSO,DATOS!$D7638,nESPEC,DATOS!$E7638,nASIG,DATOS!$I7638,nEVAL,"EX")=0),0))))</f>
      </c>
      <c r="H7638">
        <f>IF(DATOS!$G7638&lt;&gt;"EX",0,--(COUNTIFS(nNIA,DATOS!$A7638,nCURSO,DATOS!$D7638,nESPEC,DATOS!$E7638,nASIG,DATOS!$I7638,nEVAL,"OR")=0))</f>
      </c>
      <c r="I7638">
        <f>IF(DATOS!$I7638="","",IFERROR(VLOOKUP(DATOS!$I7638,CONFIG_ASIGNATURAS!$B$2:$J$91,9,FALSE()),""))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IF(DATOS!$A7639="",0,IF(CONFIG_METADATA!$B$4&lt;&gt;"OR+EX",--(DATOS!$G7639=CONFIG_METADATA!$B$4),IF(DATOS!$G7639="EX",1,IF(DATOS!$G7639="OR",--(COUNTIFS(nNIA,DATOS!$A7639,nCURSO,DATOS!$D7639,nESPEC,DATOS!$E7639,nASIG,DATOS!$I7639,nEVAL,"EX")=0),0))))</f>
      </c>
      <c r="H7639">
        <f>IF(DATOS!$G7639&lt;&gt;"EX",0,--(COUNTIFS(nNIA,DATOS!$A7639,nCURSO,DATOS!$D7639,nESPEC,DATOS!$E7639,nASIG,DATOS!$I7639,nEVAL,"OR")=0))</f>
      </c>
      <c r="I7639">
        <f>IF(DATOS!$I7639="","",IFERROR(VLOOKUP(DATOS!$I7639,CONFIG_ASIGNATURAS!$B$2:$J$91,9,FALSE()),""))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IF(DATOS!$A7640="",0,IF(CONFIG_METADATA!$B$4&lt;&gt;"OR+EX",--(DATOS!$G7640=CONFIG_METADATA!$B$4),IF(DATOS!$G7640="EX",1,IF(DATOS!$G7640="OR",--(COUNTIFS(nNIA,DATOS!$A7640,nCURSO,DATOS!$D7640,nESPEC,DATOS!$E7640,nASIG,DATOS!$I7640,nEVAL,"EX")=0),0))))</f>
      </c>
      <c r="H7640">
        <f>IF(DATOS!$G7640&lt;&gt;"EX",0,--(COUNTIFS(nNIA,DATOS!$A7640,nCURSO,DATOS!$D7640,nESPEC,DATOS!$E7640,nASIG,DATOS!$I7640,nEVAL,"OR")=0))</f>
      </c>
      <c r="I7640">
        <f>IF(DATOS!$I7640="","",IFERROR(VLOOKUP(DATOS!$I7640,CONFIG_ASIGNATURAS!$B$2:$J$91,9,FALSE()),""))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IF(DATOS!$A7641="",0,IF(CONFIG_METADATA!$B$4&lt;&gt;"OR+EX",--(DATOS!$G7641=CONFIG_METADATA!$B$4),IF(DATOS!$G7641="EX",1,IF(DATOS!$G7641="OR",--(COUNTIFS(nNIA,DATOS!$A7641,nCURSO,DATOS!$D7641,nESPEC,DATOS!$E7641,nASIG,DATOS!$I7641,nEVAL,"EX")=0),0))))</f>
      </c>
      <c r="H7641">
        <f>IF(DATOS!$G7641&lt;&gt;"EX",0,--(COUNTIFS(nNIA,DATOS!$A7641,nCURSO,DATOS!$D7641,nESPEC,DATOS!$E7641,nASIG,DATOS!$I7641,nEVAL,"OR")=0))</f>
      </c>
      <c r="I7641">
        <f>IF(DATOS!$I7641="","",IFERROR(VLOOKUP(DATOS!$I7641,CONFIG_ASIGNATURAS!$B$2:$J$91,9,FALSE()),""))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IF(DATOS!$A7642="",0,IF(CONFIG_METADATA!$B$4&lt;&gt;"OR+EX",--(DATOS!$G7642=CONFIG_METADATA!$B$4),IF(DATOS!$G7642="EX",1,IF(DATOS!$G7642="OR",--(COUNTIFS(nNIA,DATOS!$A7642,nCURSO,DATOS!$D7642,nESPEC,DATOS!$E7642,nASIG,DATOS!$I7642,nEVAL,"EX")=0),0))))</f>
      </c>
      <c r="H7642">
        <f>IF(DATOS!$G7642&lt;&gt;"EX",0,--(COUNTIFS(nNIA,DATOS!$A7642,nCURSO,DATOS!$D7642,nESPEC,DATOS!$E7642,nASIG,DATOS!$I7642,nEVAL,"OR")=0))</f>
      </c>
      <c r="I7642">
        <f>IF(DATOS!$I7642="","",IFERROR(VLOOKUP(DATOS!$I7642,CONFIG_ASIGNATURAS!$B$2:$J$91,9,FALSE()),""))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IF(DATOS!$A7643="",0,IF(CONFIG_METADATA!$B$4&lt;&gt;"OR+EX",--(DATOS!$G7643=CONFIG_METADATA!$B$4),IF(DATOS!$G7643="EX",1,IF(DATOS!$G7643="OR",--(COUNTIFS(nNIA,DATOS!$A7643,nCURSO,DATOS!$D7643,nESPEC,DATOS!$E7643,nASIG,DATOS!$I7643,nEVAL,"EX")=0),0))))</f>
      </c>
      <c r="H7643">
        <f>IF(DATOS!$G7643&lt;&gt;"EX",0,--(COUNTIFS(nNIA,DATOS!$A7643,nCURSO,DATOS!$D7643,nESPEC,DATOS!$E7643,nASIG,DATOS!$I7643,nEVAL,"OR")=0))</f>
      </c>
      <c r="I7643">
        <f>IF(DATOS!$I7643="","",IFERROR(VLOOKUP(DATOS!$I7643,CONFIG_ASIGNATURAS!$B$2:$J$91,9,FALSE()),""))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IF(DATOS!$A7644="",0,IF(CONFIG_METADATA!$B$4&lt;&gt;"OR+EX",--(DATOS!$G7644=CONFIG_METADATA!$B$4),IF(DATOS!$G7644="EX",1,IF(DATOS!$G7644="OR",--(COUNTIFS(nNIA,DATOS!$A7644,nCURSO,DATOS!$D7644,nESPEC,DATOS!$E7644,nASIG,DATOS!$I7644,nEVAL,"EX")=0),0))))</f>
      </c>
      <c r="H7644">
        <f>IF(DATOS!$G7644&lt;&gt;"EX",0,--(COUNTIFS(nNIA,DATOS!$A7644,nCURSO,DATOS!$D7644,nESPEC,DATOS!$E7644,nASIG,DATOS!$I7644,nEVAL,"OR")=0))</f>
      </c>
      <c r="I7644">
        <f>IF(DATOS!$I7644="","",IFERROR(VLOOKUP(DATOS!$I7644,CONFIG_ASIGNATURAS!$B$2:$J$91,9,FALSE()),""))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IF(DATOS!$A7645="",0,IF(CONFIG_METADATA!$B$4&lt;&gt;"OR+EX",--(DATOS!$G7645=CONFIG_METADATA!$B$4),IF(DATOS!$G7645="EX",1,IF(DATOS!$G7645="OR",--(COUNTIFS(nNIA,DATOS!$A7645,nCURSO,DATOS!$D7645,nESPEC,DATOS!$E7645,nASIG,DATOS!$I7645,nEVAL,"EX")=0),0))))</f>
      </c>
      <c r="H7645">
        <f>IF(DATOS!$G7645&lt;&gt;"EX",0,--(COUNTIFS(nNIA,DATOS!$A7645,nCURSO,DATOS!$D7645,nESPEC,DATOS!$E7645,nASIG,DATOS!$I7645,nEVAL,"OR")=0))</f>
      </c>
      <c r="I7645">
        <f>IF(DATOS!$I7645="","",IFERROR(VLOOKUP(DATOS!$I7645,CONFIG_ASIGNATURAS!$B$2:$J$91,9,FALSE()),""))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IF(DATOS!$A7646="",0,IF(CONFIG_METADATA!$B$4&lt;&gt;"OR+EX",--(DATOS!$G7646=CONFIG_METADATA!$B$4),IF(DATOS!$G7646="EX",1,IF(DATOS!$G7646="OR",--(COUNTIFS(nNIA,DATOS!$A7646,nCURSO,DATOS!$D7646,nESPEC,DATOS!$E7646,nASIG,DATOS!$I7646,nEVAL,"EX")=0),0))))</f>
      </c>
      <c r="H7646">
        <f>IF(DATOS!$G7646&lt;&gt;"EX",0,--(COUNTIFS(nNIA,DATOS!$A7646,nCURSO,DATOS!$D7646,nESPEC,DATOS!$E7646,nASIG,DATOS!$I7646,nEVAL,"OR")=0))</f>
      </c>
      <c r="I7646">
        <f>IF(DATOS!$I7646="","",IFERROR(VLOOKUP(DATOS!$I7646,CONFIG_ASIGNATURAS!$B$2:$J$91,9,FALSE()),""))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IF(DATOS!$A7647="",0,IF(CONFIG_METADATA!$B$4&lt;&gt;"OR+EX",--(DATOS!$G7647=CONFIG_METADATA!$B$4),IF(DATOS!$G7647="EX",1,IF(DATOS!$G7647="OR",--(COUNTIFS(nNIA,DATOS!$A7647,nCURSO,DATOS!$D7647,nESPEC,DATOS!$E7647,nASIG,DATOS!$I7647,nEVAL,"EX")=0),0))))</f>
      </c>
      <c r="H7647">
        <f>IF(DATOS!$G7647&lt;&gt;"EX",0,--(COUNTIFS(nNIA,DATOS!$A7647,nCURSO,DATOS!$D7647,nESPEC,DATOS!$E7647,nASIG,DATOS!$I7647,nEVAL,"OR")=0))</f>
      </c>
      <c r="I7647">
        <f>IF(DATOS!$I7647="","",IFERROR(VLOOKUP(DATOS!$I7647,CONFIG_ASIGNATURAS!$B$2:$J$91,9,FALSE()),""))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IF(DATOS!$A7648="",0,IF(CONFIG_METADATA!$B$4&lt;&gt;"OR+EX",--(DATOS!$G7648=CONFIG_METADATA!$B$4),IF(DATOS!$G7648="EX",1,IF(DATOS!$G7648="OR",--(COUNTIFS(nNIA,DATOS!$A7648,nCURSO,DATOS!$D7648,nESPEC,DATOS!$E7648,nASIG,DATOS!$I7648,nEVAL,"EX")=0),0))))</f>
      </c>
      <c r="H7648">
        <f>IF(DATOS!$G7648&lt;&gt;"EX",0,--(COUNTIFS(nNIA,DATOS!$A7648,nCURSO,DATOS!$D7648,nESPEC,DATOS!$E7648,nASIG,DATOS!$I7648,nEVAL,"OR")=0))</f>
      </c>
      <c r="I7648">
        <f>IF(DATOS!$I7648="","",IFERROR(VLOOKUP(DATOS!$I7648,CONFIG_ASIGNATURAS!$B$2:$J$91,9,FALSE()),""))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IF(DATOS!$A7649="",0,IF(CONFIG_METADATA!$B$4&lt;&gt;"OR+EX",--(DATOS!$G7649=CONFIG_METADATA!$B$4),IF(DATOS!$G7649="EX",1,IF(DATOS!$G7649="OR",--(COUNTIFS(nNIA,DATOS!$A7649,nCURSO,DATOS!$D7649,nESPEC,DATOS!$E7649,nASIG,DATOS!$I7649,nEVAL,"EX")=0),0))))</f>
      </c>
      <c r="H7649">
        <f>IF(DATOS!$G7649&lt;&gt;"EX",0,--(COUNTIFS(nNIA,DATOS!$A7649,nCURSO,DATOS!$D7649,nESPEC,DATOS!$E7649,nASIG,DATOS!$I7649,nEVAL,"OR")=0))</f>
      </c>
      <c r="I7649">
        <f>IF(DATOS!$I7649="","",IFERROR(VLOOKUP(DATOS!$I7649,CONFIG_ASIGNATURAS!$B$2:$J$91,9,FALSE()),""))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IF(DATOS!$A7650="",0,IF(CONFIG_METADATA!$B$4&lt;&gt;"OR+EX",--(DATOS!$G7650=CONFIG_METADATA!$B$4),IF(DATOS!$G7650="EX",1,IF(DATOS!$G7650="OR",--(COUNTIFS(nNIA,DATOS!$A7650,nCURSO,DATOS!$D7650,nESPEC,DATOS!$E7650,nASIG,DATOS!$I7650,nEVAL,"EX")=0),0))))</f>
      </c>
      <c r="H7650">
        <f>IF(DATOS!$G7650&lt;&gt;"EX",0,--(COUNTIFS(nNIA,DATOS!$A7650,nCURSO,DATOS!$D7650,nESPEC,DATOS!$E7650,nASIG,DATOS!$I7650,nEVAL,"OR")=0))</f>
      </c>
      <c r="I7650">
        <f>IF(DATOS!$I7650="","",IFERROR(VLOOKUP(DATOS!$I7650,CONFIG_ASIGNATURAS!$B$2:$J$91,9,FALSE()),""))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IF(DATOS!$A7651="",0,IF(CONFIG_METADATA!$B$4&lt;&gt;"OR+EX",--(DATOS!$G7651=CONFIG_METADATA!$B$4),IF(DATOS!$G7651="EX",1,IF(DATOS!$G7651="OR",--(COUNTIFS(nNIA,DATOS!$A7651,nCURSO,DATOS!$D7651,nESPEC,DATOS!$E7651,nASIG,DATOS!$I7651,nEVAL,"EX")=0),0))))</f>
      </c>
      <c r="H7651">
        <f>IF(DATOS!$G7651&lt;&gt;"EX",0,--(COUNTIFS(nNIA,DATOS!$A7651,nCURSO,DATOS!$D7651,nESPEC,DATOS!$E7651,nASIG,DATOS!$I7651,nEVAL,"OR")=0))</f>
      </c>
      <c r="I7651">
        <f>IF(DATOS!$I7651="","",IFERROR(VLOOKUP(DATOS!$I7651,CONFIG_ASIGNATURAS!$B$2:$J$91,9,FALSE()),""))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IF(DATOS!$A7652="",0,IF(CONFIG_METADATA!$B$4&lt;&gt;"OR+EX",--(DATOS!$G7652=CONFIG_METADATA!$B$4),IF(DATOS!$G7652="EX",1,IF(DATOS!$G7652="OR",--(COUNTIFS(nNIA,DATOS!$A7652,nCURSO,DATOS!$D7652,nESPEC,DATOS!$E7652,nASIG,DATOS!$I7652,nEVAL,"EX")=0),0))))</f>
      </c>
      <c r="H7652">
        <f>IF(DATOS!$G7652&lt;&gt;"EX",0,--(COUNTIFS(nNIA,DATOS!$A7652,nCURSO,DATOS!$D7652,nESPEC,DATOS!$E7652,nASIG,DATOS!$I7652,nEVAL,"OR")=0))</f>
      </c>
      <c r="I7652">
        <f>IF(DATOS!$I7652="","",IFERROR(VLOOKUP(DATOS!$I7652,CONFIG_ASIGNATURAS!$B$2:$J$91,9,FALSE()),""))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IF(DATOS!$A7653="",0,IF(CONFIG_METADATA!$B$4&lt;&gt;"OR+EX",--(DATOS!$G7653=CONFIG_METADATA!$B$4),IF(DATOS!$G7653="EX",1,IF(DATOS!$G7653="OR",--(COUNTIFS(nNIA,DATOS!$A7653,nCURSO,DATOS!$D7653,nESPEC,DATOS!$E7653,nASIG,DATOS!$I7653,nEVAL,"EX")=0),0))))</f>
      </c>
      <c r="H7653">
        <f>IF(DATOS!$G7653&lt;&gt;"EX",0,--(COUNTIFS(nNIA,DATOS!$A7653,nCURSO,DATOS!$D7653,nESPEC,DATOS!$E7653,nASIG,DATOS!$I7653,nEVAL,"OR")=0))</f>
      </c>
      <c r="I7653">
        <f>IF(DATOS!$I7653="","",IFERROR(VLOOKUP(DATOS!$I7653,CONFIG_ASIGNATURAS!$B$2:$J$91,9,FALSE()),""))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IF(DATOS!$A7654="",0,IF(CONFIG_METADATA!$B$4&lt;&gt;"OR+EX",--(DATOS!$G7654=CONFIG_METADATA!$B$4),IF(DATOS!$G7654="EX",1,IF(DATOS!$G7654="OR",--(COUNTIFS(nNIA,DATOS!$A7654,nCURSO,DATOS!$D7654,nESPEC,DATOS!$E7654,nASIG,DATOS!$I7654,nEVAL,"EX")=0),0))))</f>
      </c>
      <c r="H7654">
        <f>IF(DATOS!$G7654&lt;&gt;"EX",0,--(COUNTIFS(nNIA,DATOS!$A7654,nCURSO,DATOS!$D7654,nESPEC,DATOS!$E7654,nASIG,DATOS!$I7654,nEVAL,"OR")=0))</f>
      </c>
      <c r="I7654">
        <f>IF(DATOS!$I7654="","",IFERROR(VLOOKUP(DATOS!$I7654,CONFIG_ASIGNATURAS!$B$2:$J$91,9,FALSE()),""))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IF(DATOS!$A7655="",0,IF(CONFIG_METADATA!$B$4&lt;&gt;"OR+EX",--(DATOS!$G7655=CONFIG_METADATA!$B$4),IF(DATOS!$G7655="EX",1,IF(DATOS!$G7655="OR",--(COUNTIFS(nNIA,DATOS!$A7655,nCURSO,DATOS!$D7655,nESPEC,DATOS!$E7655,nASIG,DATOS!$I7655,nEVAL,"EX")=0),0))))</f>
      </c>
      <c r="H7655">
        <f>IF(DATOS!$G7655&lt;&gt;"EX",0,--(COUNTIFS(nNIA,DATOS!$A7655,nCURSO,DATOS!$D7655,nESPEC,DATOS!$E7655,nASIG,DATOS!$I7655,nEVAL,"OR")=0))</f>
      </c>
      <c r="I7655">
        <f>IF(DATOS!$I7655="","",IFERROR(VLOOKUP(DATOS!$I7655,CONFIG_ASIGNATURAS!$B$2:$J$91,9,FALSE()),""))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IF(DATOS!$A7656="",0,IF(CONFIG_METADATA!$B$4&lt;&gt;"OR+EX",--(DATOS!$G7656=CONFIG_METADATA!$B$4),IF(DATOS!$G7656="EX",1,IF(DATOS!$G7656="OR",--(COUNTIFS(nNIA,DATOS!$A7656,nCURSO,DATOS!$D7656,nESPEC,DATOS!$E7656,nASIG,DATOS!$I7656,nEVAL,"EX")=0),0))))</f>
      </c>
      <c r="H7656">
        <f>IF(DATOS!$G7656&lt;&gt;"EX",0,--(COUNTIFS(nNIA,DATOS!$A7656,nCURSO,DATOS!$D7656,nESPEC,DATOS!$E7656,nASIG,DATOS!$I7656,nEVAL,"OR")=0))</f>
      </c>
      <c r="I7656">
        <f>IF(DATOS!$I7656="","",IFERROR(VLOOKUP(DATOS!$I7656,CONFIG_ASIGNATURAS!$B$2:$J$91,9,FALSE()),""))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IF(DATOS!$A7657="",0,IF(CONFIG_METADATA!$B$4&lt;&gt;"OR+EX",--(DATOS!$G7657=CONFIG_METADATA!$B$4),IF(DATOS!$G7657="EX",1,IF(DATOS!$G7657="OR",--(COUNTIFS(nNIA,DATOS!$A7657,nCURSO,DATOS!$D7657,nESPEC,DATOS!$E7657,nASIG,DATOS!$I7657,nEVAL,"EX")=0),0))))</f>
      </c>
      <c r="H7657">
        <f>IF(DATOS!$G7657&lt;&gt;"EX",0,--(COUNTIFS(nNIA,DATOS!$A7657,nCURSO,DATOS!$D7657,nESPEC,DATOS!$E7657,nASIG,DATOS!$I7657,nEVAL,"OR")=0))</f>
      </c>
      <c r="I7657">
        <f>IF(DATOS!$I7657="","",IFERROR(VLOOKUP(DATOS!$I7657,CONFIG_ASIGNATURAS!$B$2:$J$91,9,FALSE()),""))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IF(DATOS!$A7658="",0,IF(CONFIG_METADATA!$B$4&lt;&gt;"OR+EX",--(DATOS!$G7658=CONFIG_METADATA!$B$4),IF(DATOS!$G7658="EX",1,IF(DATOS!$G7658="OR",--(COUNTIFS(nNIA,DATOS!$A7658,nCURSO,DATOS!$D7658,nESPEC,DATOS!$E7658,nASIG,DATOS!$I7658,nEVAL,"EX")=0),0))))</f>
      </c>
      <c r="H7658">
        <f>IF(DATOS!$G7658&lt;&gt;"EX",0,--(COUNTIFS(nNIA,DATOS!$A7658,nCURSO,DATOS!$D7658,nESPEC,DATOS!$E7658,nASIG,DATOS!$I7658,nEVAL,"OR")=0))</f>
      </c>
      <c r="I7658">
        <f>IF(DATOS!$I7658="","",IFERROR(VLOOKUP(DATOS!$I7658,CONFIG_ASIGNATURAS!$B$2:$J$91,9,FALSE()),""))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IF(DATOS!$A7659="",0,IF(CONFIG_METADATA!$B$4&lt;&gt;"OR+EX",--(DATOS!$G7659=CONFIG_METADATA!$B$4),IF(DATOS!$G7659="EX",1,IF(DATOS!$G7659="OR",--(COUNTIFS(nNIA,DATOS!$A7659,nCURSO,DATOS!$D7659,nESPEC,DATOS!$E7659,nASIG,DATOS!$I7659,nEVAL,"EX")=0),0))))</f>
      </c>
      <c r="H7659">
        <f>IF(DATOS!$G7659&lt;&gt;"EX",0,--(COUNTIFS(nNIA,DATOS!$A7659,nCURSO,DATOS!$D7659,nESPEC,DATOS!$E7659,nASIG,DATOS!$I7659,nEVAL,"OR")=0))</f>
      </c>
      <c r="I7659">
        <f>IF(DATOS!$I7659="","",IFERROR(VLOOKUP(DATOS!$I7659,CONFIG_ASIGNATURAS!$B$2:$J$91,9,FALSE()),""))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IF(DATOS!$A7660="",0,IF(CONFIG_METADATA!$B$4&lt;&gt;"OR+EX",--(DATOS!$G7660=CONFIG_METADATA!$B$4),IF(DATOS!$G7660="EX",1,IF(DATOS!$G7660="OR",--(COUNTIFS(nNIA,DATOS!$A7660,nCURSO,DATOS!$D7660,nESPEC,DATOS!$E7660,nASIG,DATOS!$I7660,nEVAL,"EX")=0),0))))</f>
      </c>
      <c r="H7660">
        <f>IF(DATOS!$G7660&lt;&gt;"EX",0,--(COUNTIFS(nNIA,DATOS!$A7660,nCURSO,DATOS!$D7660,nESPEC,DATOS!$E7660,nASIG,DATOS!$I7660,nEVAL,"OR")=0))</f>
      </c>
      <c r="I7660">
        <f>IF(DATOS!$I7660="","",IFERROR(VLOOKUP(DATOS!$I7660,CONFIG_ASIGNATURAS!$B$2:$J$91,9,FALSE()),""))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IF(DATOS!$A7661="",0,IF(CONFIG_METADATA!$B$4&lt;&gt;"OR+EX",--(DATOS!$G7661=CONFIG_METADATA!$B$4),IF(DATOS!$G7661="EX",1,IF(DATOS!$G7661="OR",--(COUNTIFS(nNIA,DATOS!$A7661,nCURSO,DATOS!$D7661,nESPEC,DATOS!$E7661,nASIG,DATOS!$I7661,nEVAL,"EX")=0),0))))</f>
      </c>
      <c r="H7661">
        <f>IF(DATOS!$G7661&lt;&gt;"EX",0,--(COUNTIFS(nNIA,DATOS!$A7661,nCURSO,DATOS!$D7661,nESPEC,DATOS!$E7661,nASIG,DATOS!$I7661,nEVAL,"OR")=0))</f>
      </c>
      <c r="I7661">
        <f>IF(DATOS!$I7661="","",IFERROR(VLOOKUP(DATOS!$I7661,CONFIG_ASIGNATURAS!$B$2:$J$91,9,FALSE()),""))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IF(DATOS!$A7662="",0,IF(CONFIG_METADATA!$B$4&lt;&gt;"OR+EX",--(DATOS!$G7662=CONFIG_METADATA!$B$4),IF(DATOS!$G7662="EX",1,IF(DATOS!$G7662="OR",--(COUNTIFS(nNIA,DATOS!$A7662,nCURSO,DATOS!$D7662,nESPEC,DATOS!$E7662,nASIG,DATOS!$I7662,nEVAL,"EX")=0),0))))</f>
      </c>
      <c r="H7662">
        <f>IF(DATOS!$G7662&lt;&gt;"EX",0,--(COUNTIFS(nNIA,DATOS!$A7662,nCURSO,DATOS!$D7662,nESPEC,DATOS!$E7662,nASIG,DATOS!$I7662,nEVAL,"OR")=0))</f>
      </c>
      <c r="I7662">
        <f>IF(DATOS!$I7662="","",IFERROR(VLOOKUP(DATOS!$I7662,CONFIG_ASIGNATURAS!$B$2:$J$91,9,FALSE()),""))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IF(DATOS!$A7663="",0,IF(CONFIG_METADATA!$B$4&lt;&gt;"OR+EX",--(DATOS!$G7663=CONFIG_METADATA!$B$4),IF(DATOS!$G7663="EX",1,IF(DATOS!$G7663="OR",--(COUNTIFS(nNIA,DATOS!$A7663,nCURSO,DATOS!$D7663,nESPEC,DATOS!$E7663,nASIG,DATOS!$I7663,nEVAL,"EX")=0),0))))</f>
      </c>
      <c r="H7663">
        <f>IF(DATOS!$G7663&lt;&gt;"EX",0,--(COUNTIFS(nNIA,DATOS!$A7663,nCURSO,DATOS!$D7663,nESPEC,DATOS!$E7663,nASIG,DATOS!$I7663,nEVAL,"OR")=0))</f>
      </c>
      <c r="I7663">
        <f>IF(DATOS!$I7663="","",IFERROR(VLOOKUP(DATOS!$I7663,CONFIG_ASIGNATURAS!$B$2:$J$91,9,FALSE()),""))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IF(DATOS!$A7664="",0,IF(CONFIG_METADATA!$B$4&lt;&gt;"OR+EX",--(DATOS!$G7664=CONFIG_METADATA!$B$4),IF(DATOS!$G7664="EX",1,IF(DATOS!$G7664="OR",--(COUNTIFS(nNIA,DATOS!$A7664,nCURSO,DATOS!$D7664,nESPEC,DATOS!$E7664,nASIG,DATOS!$I7664,nEVAL,"EX")=0),0))))</f>
      </c>
      <c r="H7664">
        <f>IF(DATOS!$G7664&lt;&gt;"EX",0,--(COUNTIFS(nNIA,DATOS!$A7664,nCURSO,DATOS!$D7664,nESPEC,DATOS!$E7664,nASIG,DATOS!$I7664,nEVAL,"OR")=0))</f>
      </c>
      <c r="I7664">
        <f>IF(DATOS!$I7664="","",IFERROR(VLOOKUP(DATOS!$I7664,CONFIG_ASIGNATURAS!$B$2:$J$91,9,FALSE()),""))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IF(DATOS!$A7665="",0,IF(CONFIG_METADATA!$B$4&lt;&gt;"OR+EX",--(DATOS!$G7665=CONFIG_METADATA!$B$4),IF(DATOS!$G7665="EX",1,IF(DATOS!$G7665="OR",--(COUNTIFS(nNIA,DATOS!$A7665,nCURSO,DATOS!$D7665,nESPEC,DATOS!$E7665,nASIG,DATOS!$I7665,nEVAL,"EX")=0),0))))</f>
      </c>
      <c r="H7665">
        <f>IF(DATOS!$G7665&lt;&gt;"EX",0,--(COUNTIFS(nNIA,DATOS!$A7665,nCURSO,DATOS!$D7665,nESPEC,DATOS!$E7665,nASIG,DATOS!$I7665,nEVAL,"OR")=0))</f>
      </c>
      <c r="I7665">
        <f>IF(DATOS!$I7665="","",IFERROR(VLOOKUP(DATOS!$I7665,CONFIG_ASIGNATURAS!$B$2:$J$91,9,FALSE()),""))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IF(DATOS!$A7666="",0,IF(CONFIG_METADATA!$B$4&lt;&gt;"OR+EX",--(DATOS!$G7666=CONFIG_METADATA!$B$4),IF(DATOS!$G7666="EX",1,IF(DATOS!$G7666="OR",--(COUNTIFS(nNIA,DATOS!$A7666,nCURSO,DATOS!$D7666,nESPEC,DATOS!$E7666,nASIG,DATOS!$I7666,nEVAL,"EX")=0),0))))</f>
      </c>
      <c r="H7666">
        <f>IF(DATOS!$G7666&lt;&gt;"EX",0,--(COUNTIFS(nNIA,DATOS!$A7666,nCURSO,DATOS!$D7666,nESPEC,DATOS!$E7666,nASIG,DATOS!$I7666,nEVAL,"OR")=0))</f>
      </c>
      <c r="I7666">
        <f>IF(DATOS!$I7666="","",IFERROR(VLOOKUP(DATOS!$I7666,CONFIG_ASIGNATURAS!$B$2:$J$91,9,FALSE()),""))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IF(DATOS!$A7667="",0,IF(CONFIG_METADATA!$B$4&lt;&gt;"OR+EX",--(DATOS!$G7667=CONFIG_METADATA!$B$4),IF(DATOS!$G7667="EX",1,IF(DATOS!$G7667="OR",--(COUNTIFS(nNIA,DATOS!$A7667,nCURSO,DATOS!$D7667,nESPEC,DATOS!$E7667,nASIG,DATOS!$I7667,nEVAL,"EX")=0),0))))</f>
      </c>
      <c r="H7667">
        <f>IF(DATOS!$G7667&lt;&gt;"EX",0,--(COUNTIFS(nNIA,DATOS!$A7667,nCURSO,DATOS!$D7667,nESPEC,DATOS!$E7667,nASIG,DATOS!$I7667,nEVAL,"OR")=0))</f>
      </c>
      <c r="I7667">
        <f>IF(DATOS!$I7667="","",IFERROR(VLOOKUP(DATOS!$I7667,CONFIG_ASIGNATURAS!$B$2:$J$91,9,FALSE()),""))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IF(DATOS!$A7668="",0,IF(CONFIG_METADATA!$B$4&lt;&gt;"OR+EX",--(DATOS!$G7668=CONFIG_METADATA!$B$4),IF(DATOS!$G7668="EX",1,IF(DATOS!$G7668="OR",--(COUNTIFS(nNIA,DATOS!$A7668,nCURSO,DATOS!$D7668,nESPEC,DATOS!$E7668,nASIG,DATOS!$I7668,nEVAL,"EX")=0),0))))</f>
      </c>
      <c r="H7668">
        <f>IF(DATOS!$G7668&lt;&gt;"EX",0,--(COUNTIFS(nNIA,DATOS!$A7668,nCURSO,DATOS!$D7668,nESPEC,DATOS!$E7668,nASIG,DATOS!$I7668,nEVAL,"OR")=0))</f>
      </c>
      <c r="I7668">
        <f>IF(DATOS!$I7668="","",IFERROR(VLOOKUP(DATOS!$I7668,CONFIG_ASIGNATURAS!$B$2:$J$91,9,FALSE()),""))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IF(DATOS!$A7669="",0,IF(CONFIG_METADATA!$B$4&lt;&gt;"OR+EX",--(DATOS!$G7669=CONFIG_METADATA!$B$4),IF(DATOS!$G7669="EX",1,IF(DATOS!$G7669="OR",--(COUNTIFS(nNIA,DATOS!$A7669,nCURSO,DATOS!$D7669,nESPEC,DATOS!$E7669,nASIG,DATOS!$I7669,nEVAL,"EX")=0),0))))</f>
      </c>
      <c r="H7669">
        <f>IF(DATOS!$G7669&lt;&gt;"EX",0,--(COUNTIFS(nNIA,DATOS!$A7669,nCURSO,DATOS!$D7669,nESPEC,DATOS!$E7669,nASIG,DATOS!$I7669,nEVAL,"OR")=0))</f>
      </c>
      <c r="I7669">
        <f>IF(DATOS!$I7669="","",IFERROR(VLOOKUP(DATOS!$I7669,CONFIG_ASIGNATURAS!$B$2:$J$91,9,FALSE()),""))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IF(DATOS!$A7670="",0,IF(CONFIG_METADATA!$B$4&lt;&gt;"OR+EX",--(DATOS!$G7670=CONFIG_METADATA!$B$4),IF(DATOS!$G7670="EX",1,IF(DATOS!$G7670="OR",--(COUNTIFS(nNIA,DATOS!$A7670,nCURSO,DATOS!$D7670,nESPEC,DATOS!$E7670,nASIG,DATOS!$I7670,nEVAL,"EX")=0),0))))</f>
      </c>
      <c r="H7670">
        <f>IF(DATOS!$G7670&lt;&gt;"EX",0,--(COUNTIFS(nNIA,DATOS!$A7670,nCURSO,DATOS!$D7670,nESPEC,DATOS!$E7670,nASIG,DATOS!$I7670,nEVAL,"OR")=0))</f>
      </c>
      <c r="I7670">
        <f>IF(DATOS!$I7670="","",IFERROR(VLOOKUP(DATOS!$I7670,CONFIG_ASIGNATURAS!$B$2:$J$91,9,FALSE()),""))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IF(DATOS!$A7671="",0,IF(CONFIG_METADATA!$B$4&lt;&gt;"OR+EX",--(DATOS!$G7671=CONFIG_METADATA!$B$4),IF(DATOS!$G7671="EX",1,IF(DATOS!$G7671="OR",--(COUNTIFS(nNIA,DATOS!$A7671,nCURSO,DATOS!$D7671,nESPEC,DATOS!$E7671,nASIG,DATOS!$I7671,nEVAL,"EX")=0),0))))</f>
      </c>
      <c r="H7671">
        <f>IF(DATOS!$G7671&lt;&gt;"EX",0,--(COUNTIFS(nNIA,DATOS!$A7671,nCURSO,DATOS!$D7671,nESPEC,DATOS!$E7671,nASIG,DATOS!$I7671,nEVAL,"OR")=0))</f>
      </c>
      <c r="I7671">
        <f>IF(DATOS!$I7671="","",IFERROR(VLOOKUP(DATOS!$I7671,CONFIG_ASIGNATURAS!$B$2:$J$91,9,FALSE()),""))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IF(DATOS!$A7672="",0,IF(CONFIG_METADATA!$B$4&lt;&gt;"OR+EX",--(DATOS!$G7672=CONFIG_METADATA!$B$4),IF(DATOS!$G7672="EX",1,IF(DATOS!$G7672="OR",--(COUNTIFS(nNIA,DATOS!$A7672,nCURSO,DATOS!$D7672,nESPEC,DATOS!$E7672,nASIG,DATOS!$I7672,nEVAL,"EX")=0),0))))</f>
      </c>
      <c r="H7672">
        <f>IF(DATOS!$G7672&lt;&gt;"EX",0,--(COUNTIFS(nNIA,DATOS!$A7672,nCURSO,DATOS!$D7672,nESPEC,DATOS!$E7672,nASIG,DATOS!$I7672,nEVAL,"OR")=0))</f>
      </c>
      <c r="I7672">
        <f>IF(DATOS!$I7672="","",IFERROR(VLOOKUP(DATOS!$I7672,CONFIG_ASIGNATURAS!$B$2:$J$91,9,FALSE()),""))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IF(DATOS!$A7673="",0,IF(CONFIG_METADATA!$B$4&lt;&gt;"OR+EX",--(DATOS!$G7673=CONFIG_METADATA!$B$4),IF(DATOS!$G7673="EX",1,IF(DATOS!$G7673="OR",--(COUNTIFS(nNIA,DATOS!$A7673,nCURSO,DATOS!$D7673,nESPEC,DATOS!$E7673,nASIG,DATOS!$I7673,nEVAL,"EX")=0),0))))</f>
      </c>
      <c r="H7673">
        <f>IF(DATOS!$G7673&lt;&gt;"EX",0,--(COUNTIFS(nNIA,DATOS!$A7673,nCURSO,DATOS!$D7673,nESPEC,DATOS!$E7673,nASIG,DATOS!$I7673,nEVAL,"OR")=0))</f>
      </c>
      <c r="I7673">
        <f>IF(DATOS!$I7673="","",IFERROR(VLOOKUP(DATOS!$I7673,CONFIG_ASIGNATURAS!$B$2:$J$91,9,FALSE()),""))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IF(DATOS!$A7674="",0,IF(CONFIG_METADATA!$B$4&lt;&gt;"OR+EX",--(DATOS!$G7674=CONFIG_METADATA!$B$4),IF(DATOS!$G7674="EX",1,IF(DATOS!$G7674="OR",--(COUNTIFS(nNIA,DATOS!$A7674,nCURSO,DATOS!$D7674,nESPEC,DATOS!$E7674,nASIG,DATOS!$I7674,nEVAL,"EX")=0),0))))</f>
      </c>
      <c r="H7674">
        <f>IF(DATOS!$G7674&lt;&gt;"EX",0,--(COUNTIFS(nNIA,DATOS!$A7674,nCURSO,DATOS!$D7674,nESPEC,DATOS!$E7674,nASIG,DATOS!$I7674,nEVAL,"OR")=0))</f>
      </c>
      <c r="I7674">
        <f>IF(DATOS!$I7674="","",IFERROR(VLOOKUP(DATOS!$I7674,CONFIG_ASIGNATURAS!$B$2:$J$91,9,FALSE()),""))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IF(DATOS!$A7675="",0,IF(CONFIG_METADATA!$B$4&lt;&gt;"OR+EX",--(DATOS!$G7675=CONFIG_METADATA!$B$4),IF(DATOS!$G7675="EX",1,IF(DATOS!$G7675="OR",--(COUNTIFS(nNIA,DATOS!$A7675,nCURSO,DATOS!$D7675,nESPEC,DATOS!$E7675,nASIG,DATOS!$I7675,nEVAL,"EX")=0),0))))</f>
      </c>
      <c r="H7675">
        <f>IF(DATOS!$G7675&lt;&gt;"EX",0,--(COUNTIFS(nNIA,DATOS!$A7675,nCURSO,DATOS!$D7675,nESPEC,DATOS!$E7675,nASIG,DATOS!$I7675,nEVAL,"OR")=0))</f>
      </c>
      <c r="I7675">
        <f>IF(DATOS!$I7675="","",IFERROR(VLOOKUP(DATOS!$I7675,CONFIG_ASIGNATURAS!$B$2:$J$91,9,FALSE()),""))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IF(DATOS!$A7676="",0,IF(CONFIG_METADATA!$B$4&lt;&gt;"OR+EX",--(DATOS!$G7676=CONFIG_METADATA!$B$4),IF(DATOS!$G7676="EX",1,IF(DATOS!$G7676="OR",--(COUNTIFS(nNIA,DATOS!$A7676,nCURSO,DATOS!$D7676,nESPEC,DATOS!$E7676,nASIG,DATOS!$I7676,nEVAL,"EX")=0),0))))</f>
      </c>
      <c r="H7676">
        <f>IF(DATOS!$G7676&lt;&gt;"EX",0,--(COUNTIFS(nNIA,DATOS!$A7676,nCURSO,DATOS!$D7676,nESPEC,DATOS!$E7676,nASIG,DATOS!$I7676,nEVAL,"OR")=0))</f>
      </c>
      <c r="I7676">
        <f>IF(DATOS!$I7676="","",IFERROR(VLOOKUP(DATOS!$I7676,CONFIG_ASIGNATURAS!$B$2:$J$91,9,FALSE()),""))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IF(DATOS!$A7677="",0,IF(CONFIG_METADATA!$B$4&lt;&gt;"OR+EX",--(DATOS!$G7677=CONFIG_METADATA!$B$4),IF(DATOS!$G7677="EX",1,IF(DATOS!$G7677="OR",--(COUNTIFS(nNIA,DATOS!$A7677,nCURSO,DATOS!$D7677,nESPEC,DATOS!$E7677,nASIG,DATOS!$I7677,nEVAL,"EX")=0),0))))</f>
      </c>
      <c r="H7677">
        <f>IF(DATOS!$G7677&lt;&gt;"EX",0,--(COUNTIFS(nNIA,DATOS!$A7677,nCURSO,DATOS!$D7677,nESPEC,DATOS!$E7677,nASIG,DATOS!$I7677,nEVAL,"OR")=0))</f>
      </c>
      <c r="I7677">
        <f>IF(DATOS!$I7677="","",IFERROR(VLOOKUP(DATOS!$I7677,CONFIG_ASIGNATURAS!$B$2:$J$91,9,FALSE()),""))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IF(DATOS!$A7678="",0,IF(CONFIG_METADATA!$B$4&lt;&gt;"OR+EX",--(DATOS!$G7678=CONFIG_METADATA!$B$4),IF(DATOS!$G7678="EX",1,IF(DATOS!$G7678="OR",--(COUNTIFS(nNIA,DATOS!$A7678,nCURSO,DATOS!$D7678,nESPEC,DATOS!$E7678,nASIG,DATOS!$I7678,nEVAL,"EX")=0),0))))</f>
      </c>
      <c r="H7678">
        <f>IF(DATOS!$G7678&lt;&gt;"EX",0,--(COUNTIFS(nNIA,DATOS!$A7678,nCURSO,DATOS!$D7678,nESPEC,DATOS!$E7678,nASIG,DATOS!$I7678,nEVAL,"OR")=0))</f>
      </c>
      <c r="I7678">
        <f>IF(DATOS!$I7678="","",IFERROR(VLOOKUP(DATOS!$I7678,CONFIG_ASIGNATURAS!$B$2:$J$91,9,FALSE()),""))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IF(DATOS!$A7679="",0,IF(CONFIG_METADATA!$B$4&lt;&gt;"OR+EX",--(DATOS!$G7679=CONFIG_METADATA!$B$4),IF(DATOS!$G7679="EX",1,IF(DATOS!$G7679="OR",--(COUNTIFS(nNIA,DATOS!$A7679,nCURSO,DATOS!$D7679,nESPEC,DATOS!$E7679,nASIG,DATOS!$I7679,nEVAL,"EX")=0),0))))</f>
      </c>
      <c r="H7679">
        <f>IF(DATOS!$G7679&lt;&gt;"EX",0,--(COUNTIFS(nNIA,DATOS!$A7679,nCURSO,DATOS!$D7679,nESPEC,DATOS!$E7679,nASIG,DATOS!$I7679,nEVAL,"OR")=0))</f>
      </c>
      <c r="I7679">
        <f>IF(DATOS!$I7679="","",IFERROR(VLOOKUP(DATOS!$I7679,CONFIG_ASIGNATURAS!$B$2:$J$91,9,FALSE()),""))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IF(DATOS!$A7680="",0,IF(CONFIG_METADATA!$B$4&lt;&gt;"OR+EX",--(DATOS!$G7680=CONFIG_METADATA!$B$4),IF(DATOS!$G7680="EX",1,IF(DATOS!$G7680="OR",--(COUNTIFS(nNIA,DATOS!$A7680,nCURSO,DATOS!$D7680,nESPEC,DATOS!$E7680,nASIG,DATOS!$I7680,nEVAL,"EX")=0),0))))</f>
      </c>
      <c r="H7680">
        <f>IF(DATOS!$G7680&lt;&gt;"EX",0,--(COUNTIFS(nNIA,DATOS!$A7680,nCURSO,DATOS!$D7680,nESPEC,DATOS!$E7680,nASIG,DATOS!$I7680,nEVAL,"OR")=0))</f>
      </c>
      <c r="I7680">
        <f>IF(DATOS!$I7680="","",IFERROR(VLOOKUP(DATOS!$I7680,CONFIG_ASIGNATURAS!$B$2:$J$91,9,FALSE()),""))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IF(DATOS!$A7681="",0,IF(CONFIG_METADATA!$B$4&lt;&gt;"OR+EX",--(DATOS!$G7681=CONFIG_METADATA!$B$4),IF(DATOS!$G7681="EX",1,IF(DATOS!$G7681="OR",--(COUNTIFS(nNIA,DATOS!$A7681,nCURSO,DATOS!$D7681,nESPEC,DATOS!$E7681,nASIG,DATOS!$I7681,nEVAL,"EX")=0),0))))</f>
      </c>
      <c r="H7681">
        <f>IF(DATOS!$G7681&lt;&gt;"EX",0,--(COUNTIFS(nNIA,DATOS!$A7681,nCURSO,DATOS!$D7681,nESPEC,DATOS!$E7681,nASIG,DATOS!$I7681,nEVAL,"OR")=0))</f>
      </c>
      <c r="I7681">
        <f>IF(DATOS!$I7681="","",IFERROR(VLOOKUP(DATOS!$I7681,CONFIG_ASIGNATURAS!$B$2:$J$91,9,FALSE()),""))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IF(DATOS!$A7682="",0,IF(CONFIG_METADATA!$B$4&lt;&gt;"OR+EX",--(DATOS!$G7682=CONFIG_METADATA!$B$4),IF(DATOS!$G7682="EX",1,IF(DATOS!$G7682="OR",--(COUNTIFS(nNIA,DATOS!$A7682,nCURSO,DATOS!$D7682,nESPEC,DATOS!$E7682,nASIG,DATOS!$I7682,nEVAL,"EX")=0),0))))</f>
      </c>
      <c r="H7682">
        <f>IF(DATOS!$G7682&lt;&gt;"EX",0,--(COUNTIFS(nNIA,DATOS!$A7682,nCURSO,DATOS!$D7682,nESPEC,DATOS!$E7682,nASIG,DATOS!$I7682,nEVAL,"OR")=0))</f>
      </c>
      <c r="I7682">
        <f>IF(DATOS!$I7682="","",IFERROR(VLOOKUP(DATOS!$I7682,CONFIG_ASIGNATURAS!$B$2:$J$91,9,FALSE()),""))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IF(DATOS!$A7683="",0,IF(CONFIG_METADATA!$B$4&lt;&gt;"OR+EX",--(DATOS!$G7683=CONFIG_METADATA!$B$4),IF(DATOS!$G7683="EX",1,IF(DATOS!$G7683="OR",--(COUNTIFS(nNIA,DATOS!$A7683,nCURSO,DATOS!$D7683,nESPEC,DATOS!$E7683,nASIG,DATOS!$I7683,nEVAL,"EX")=0),0))))</f>
      </c>
      <c r="H7683">
        <f>IF(DATOS!$G7683&lt;&gt;"EX",0,--(COUNTIFS(nNIA,DATOS!$A7683,nCURSO,DATOS!$D7683,nESPEC,DATOS!$E7683,nASIG,DATOS!$I7683,nEVAL,"OR")=0))</f>
      </c>
      <c r="I7683">
        <f>IF(DATOS!$I7683="","",IFERROR(VLOOKUP(DATOS!$I7683,CONFIG_ASIGNATURAS!$B$2:$J$91,9,FALSE()),""))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IF(DATOS!$A7684="",0,IF(CONFIG_METADATA!$B$4&lt;&gt;"OR+EX",--(DATOS!$G7684=CONFIG_METADATA!$B$4),IF(DATOS!$G7684="EX",1,IF(DATOS!$G7684="OR",--(COUNTIFS(nNIA,DATOS!$A7684,nCURSO,DATOS!$D7684,nESPEC,DATOS!$E7684,nASIG,DATOS!$I7684,nEVAL,"EX")=0),0))))</f>
      </c>
      <c r="H7684">
        <f>IF(DATOS!$G7684&lt;&gt;"EX",0,--(COUNTIFS(nNIA,DATOS!$A7684,nCURSO,DATOS!$D7684,nESPEC,DATOS!$E7684,nASIG,DATOS!$I7684,nEVAL,"OR")=0))</f>
      </c>
      <c r="I7684">
        <f>IF(DATOS!$I7684="","",IFERROR(VLOOKUP(DATOS!$I7684,CONFIG_ASIGNATURAS!$B$2:$J$91,9,FALSE()),""))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IF(DATOS!$A7685="",0,IF(CONFIG_METADATA!$B$4&lt;&gt;"OR+EX",--(DATOS!$G7685=CONFIG_METADATA!$B$4),IF(DATOS!$G7685="EX",1,IF(DATOS!$G7685="OR",--(COUNTIFS(nNIA,DATOS!$A7685,nCURSO,DATOS!$D7685,nESPEC,DATOS!$E7685,nASIG,DATOS!$I7685,nEVAL,"EX")=0),0))))</f>
      </c>
      <c r="H7685">
        <f>IF(DATOS!$G7685&lt;&gt;"EX",0,--(COUNTIFS(nNIA,DATOS!$A7685,nCURSO,DATOS!$D7685,nESPEC,DATOS!$E7685,nASIG,DATOS!$I7685,nEVAL,"OR")=0))</f>
      </c>
      <c r="I7685">
        <f>IF(DATOS!$I7685="","",IFERROR(VLOOKUP(DATOS!$I7685,CONFIG_ASIGNATURAS!$B$2:$J$91,9,FALSE()),""))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IF(DATOS!$A7686="",0,IF(CONFIG_METADATA!$B$4&lt;&gt;"OR+EX",--(DATOS!$G7686=CONFIG_METADATA!$B$4),IF(DATOS!$G7686="EX",1,IF(DATOS!$G7686="OR",--(COUNTIFS(nNIA,DATOS!$A7686,nCURSO,DATOS!$D7686,nESPEC,DATOS!$E7686,nASIG,DATOS!$I7686,nEVAL,"EX")=0),0))))</f>
      </c>
      <c r="H7686">
        <f>IF(DATOS!$G7686&lt;&gt;"EX",0,--(COUNTIFS(nNIA,DATOS!$A7686,nCURSO,DATOS!$D7686,nESPEC,DATOS!$E7686,nASIG,DATOS!$I7686,nEVAL,"OR")=0))</f>
      </c>
      <c r="I7686">
        <f>IF(DATOS!$I7686="","",IFERROR(VLOOKUP(DATOS!$I7686,CONFIG_ASIGNATURAS!$B$2:$J$91,9,FALSE()),""))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IF(DATOS!$A7687="",0,IF(CONFIG_METADATA!$B$4&lt;&gt;"OR+EX",--(DATOS!$G7687=CONFIG_METADATA!$B$4),IF(DATOS!$G7687="EX",1,IF(DATOS!$G7687="OR",--(COUNTIFS(nNIA,DATOS!$A7687,nCURSO,DATOS!$D7687,nESPEC,DATOS!$E7687,nASIG,DATOS!$I7687,nEVAL,"EX")=0),0))))</f>
      </c>
      <c r="H7687">
        <f>IF(DATOS!$G7687&lt;&gt;"EX",0,--(COUNTIFS(nNIA,DATOS!$A7687,nCURSO,DATOS!$D7687,nESPEC,DATOS!$E7687,nASIG,DATOS!$I7687,nEVAL,"OR")=0))</f>
      </c>
      <c r="I7687">
        <f>IF(DATOS!$I7687="","",IFERROR(VLOOKUP(DATOS!$I7687,CONFIG_ASIGNATURAS!$B$2:$J$91,9,FALSE()),""))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IF(DATOS!$A7688="",0,IF(CONFIG_METADATA!$B$4&lt;&gt;"OR+EX",--(DATOS!$G7688=CONFIG_METADATA!$B$4),IF(DATOS!$G7688="EX",1,IF(DATOS!$G7688="OR",--(COUNTIFS(nNIA,DATOS!$A7688,nCURSO,DATOS!$D7688,nESPEC,DATOS!$E7688,nASIG,DATOS!$I7688,nEVAL,"EX")=0),0))))</f>
      </c>
      <c r="H7688">
        <f>IF(DATOS!$G7688&lt;&gt;"EX",0,--(COUNTIFS(nNIA,DATOS!$A7688,nCURSO,DATOS!$D7688,nESPEC,DATOS!$E7688,nASIG,DATOS!$I7688,nEVAL,"OR")=0))</f>
      </c>
      <c r="I7688">
        <f>IF(DATOS!$I7688="","",IFERROR(VLOOKUP(DATOS!$I7688,CONFIG_ASIGNATURAS!$B$2:$J$91,9,FALSE()),""))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IF(DATOS!$A7689="",0,IF(CONFIG_METADATA!$B$4&lt;&gt;"OR+EX",--(DATOS!$G7689=CONFIG_METADATA!$B$4),IF(DATOS!$G7689="EX",1,IF(DATOS!$G7689="OR",--(COUNTIFS(nNIA,DATOS!$A7689,nCURSO,DATOS!$D7689,nESPEC,DATOS!$E7689,nASIG,DATOS!$I7689,nEVAL,"EX")=0),0))))</f>
      </c>
      <c r="H7689">
        <f>IF(DATOS!$G7689&lt;&gt;"EX",0,--(COUNTIFS(nNIA,DATOS!$A7689,nCURSO,DATOS!$D7689,nESPEC,DATOS!$E7689,nASIG,DATOS!$I7689,nEVAL,"OR")=0))</f>
      </c>
      <c r="I7689">
        <f>IF(DATOS!$I7689="","",IFERROR(VLOOKUP(DATOS!$I7689,CONFIG_ASIGNATURAS!$B$2:$J$91,9,FALSE()),""))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IF(DATOS!$A7690="",0,IF(CONFIG_METADATA!$B$4&lt;&gt;"OR+EX",--(DATOS!$G7690=CONFIG_METADATA!$B$4),IF(DATOS!$G7690="EX",1,IF(DATOS!$G7690="OR",--(COUNTIFS(nNIA,DATOS!$A7690,nCURSO,DATOS!$D7690,nESPEC,DATOS!$E7690,nASIG,DATOS!$I7690,nEVAL,"EX")=0),0))))</f>
      </c>
      <c r="H7690">
        <f>IF(DATOS!$G7690&lt;&gt;"EX",0,--(COUNTIFS(nNIA,DATOS!$A7690,nCURSO,DATOS!$D7690,nESPEC,DATOS!$E7690,nASIG,DATOS!$I7690,nEVAL,"OR")=0))</f>
      </c>
      <c r="I7690">
        <f>IF(DATOS!$I7690="","",IFERROR(VLOOKUP(DATOS!$I7690,CONFIG_ASIGNATURAS!$B$2:$J$91,9,FALSE()),""))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IF(DATOS!$A7691="",0,IF(CONFIG_METADATA!$B$4&lt;&gt;"OR+EX",--(DATOS!$G7691=CONFIG_METADATA!$B$4),IF(DATOS!$G7691="EX",1,IF(DATOS!$G7691="OR",--(COUNTIFS(nNIA,DATOS!$A7691,nCURSO,DATOS!$D7691,nESPEC,DATOS!$E7691,nASIG,DATOS!$I7691,nEVAL,"EX")=0),0))))</f>
      </c>
      <c r="H7691">
        <f>IF(DATOS!$G7691&lt;&gt;"EX",0,--(COUNTIFS(nNIA,DATOS!$A7691,nCURSO,DATOS!$D7691,nESPEC,DATOS!$E7691,nASIG,DATOS!$I7691,nEVAL,"OR")=0))</f>
      </c>
      <c r="I7691">
        <f>IF(DATOS!$I7691="","",IFERROR(VLOOKUP(DATOS!$I7691,CONFIG_ASIGNATURAS!$B$2:$J$91,9,FALSE()),""))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IF(DATOS!$A7692="",0,IF(CONFIG_METADATA!$B$4&lt;&gt;"OR+EX",--(DATOS!$G7692=CONFIG_METADATA!$B$4),IF(DATOS!$G7692="EX",1,IF(DATOS!$G7692="OR",--(COUNTIFS(nNIA,DATOS!$A7692,nCURSO,DATOS!$D7692,nESPEC,DATOS!$E7692,nASIG,DATOS!$I7692,nEVAL,"EX")=0),0))))</f>
      </c>
      <c r="H7692">
        <f>IF(DATOS!$G7692&lt;&gt;"EX",0,--(COUNTIFS(nNIA,DATOS!$A7692,nCURSO,DATOS!$D7692,nESPEC,DATOS!$E7692,nASIG,DATOS!$I7692,nEVAL,"OR")=0))</f>
      </c>
      <c r="I7692">
        <f>IF(DATOS!$I7692="","",IFERROR(VLOOKUP(DATOS!$I7692,CONFIG_ASIGNATURAS!$B$2:$J$91,9,FALSE()),""))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IF(DATOS!$A7693="",0,IF(CONFIG_METADATA!$B$4&lt;&gt;"OR+EX",--(DATOS!$G7693=CONFIG_METADATA!$B$4),IF(DATOS!$G7693="EX",1,IF(DATOS!$G7693="OR",--(COUNTIFS(nNIA,DATOS!$A7693,nCURSO,DATOS!$D7693,nESPEC,DATOS!$E7693,nASIG,DATOS!$I7693,nEVAL,"EX")=0),0))))</f>
      </c>
      <c r="H7693">
        <f>IF(DATOS!$G7693&lt;&gt;"EX",0,--(COUNTIFS(nNIA,DATOS!$A7693,nCURSO,DATOS!$D7693,nESPEC,DATOS!$E7693,nASIG,DATOS!$I7693,nEVAL,"OR")=0))</f>
      </c>
      <c r="I7693">
        <f>IF(DATOS!$I7693="","",IFERROR(VLOOKUP(DATOS!$I7693,CONFIG_ASIGNATURAS!$B$2:$J$91,9,FALSE()),""))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IF(DATOS!$A7694="",0,IF(CONFIG_METADATA!$B$4&lt;&gt;"OR+EX",--(DATOS!$G7694=CONFIG_METADATA!$B$4),IF(DATOS!$G7694="EX",1,IF(DATOS!$G7694="OR",--(COUNTIFS(nNIA,DATOS!$A7694,nCURSO,DATOS!$D7694,nESPEC,DATOS!$E7694,nASIG,DATOS!$I7694,nEVAL,"EX")=0),0))))</f>
      </c>
      <c r="H7694">
        <f>IF(DATOS!$G7694&lt;&gt;"EX",0,--(COUNTIFS(nNIA,DATOS!$A7694,nCURSO,DATOS!$D7694,nESPEC,DATOS!$E7694,nASIG,DATOS!$I7694,nEVAL,"OR")=0))</f>
      </c>
      <c r="I7694">
        <f>IF(DATOS!$I7694="","",IFERROR(VLOOKUP(DATOS!$I7694,CONFIG_ASIGNATURAS!$B$2:$J$91,9,FALSE()),""))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IF(DATOS!$A7695="",0,IF(CONFIG_METADATA!$B$4&lt;&gt;"OR+EX",--(DATOS!$G7695=CONFIG_METADATA!$B$4),IF(DATOS!$G7695="EX",1,IF(DATOS!$G7695="OR",--(COUNTIFS(nNIA,DATOS!$A7695,nCURSO,DATOS!$D7695,nESPEC,DATOS!$E7695,nASIG,DATOS!$I7695,nEVAL,"EX")=0),0))))</f>
      </c>
      <c r="H7695">
        <f>IF(DATOS!$G7695&lt;&gt;"EX",0,--(COUNTIFS(nNIA,DATOS!$A7695,nCURSO,DATOS!$D7695,nESPEC,DATOS!$E7695,nASIG,DATOS!$I7695,nEVAL,"OR")=0))</f>
      </c>
      <c r="I7695">
        <f>IF(DATOS!$I7695="","",IFERROR(VLOOKUP(DATOS!$I7695,CONFIG_ASIGNATURAS!$B$2:$J$91,9,FALSE()),""))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IF(DATOS!$A7696="",0,IF(CONFIG_METADATA!$B$4&lt;&gt;"OR+EX",--(DATOS!$G7696=CONFIG_METADATA!$B$4),IF(DATOS!$G7696="EX",1,IF(DATOS!$G7696="OR",--(COUNTIFS(nNIA,DATOS!$A7696,nCURSO,DATOS!$D7696,nESPEC,DATOS!$E7696,nASIG,DATOS!$I7696,nEVAL,"EX")=0),0))))</f>
      </c>
      <c r="H7696">
        <f>IF(DATOS!$G7696&lt;&gt;"EX",0,--(COUNTIFS(nNIA,DATOS!$A7696,nCURSO,DATOS!$D7696,nESPEC,DATOS!$E7696,nASIG,DATOS!$I7696,nEVAL,"OR")=0))</f>
      </c>
      <c r="I7696">
        <f>IF(DATOS!$I7696="","",IFERROR(VLOOKUP(DATOS!$I7696,CONFIG_ASIGNATURAS!$B$2:$J$91,9,FALSE()),""))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IF(DATOS!$A7697="",0,IF(CONFIG_METADATA!$B$4&lt;&gt;"OR+EX",--(DATOS!$G7697=CONFIG_METADATA!$B$4),IF(DATOS!$G7697="EX",1,IF(DATOS!$G7697="OR",--(COUNTIFS(nNIA,DATOS!$A7697,nCURSO,DATOS!$D7697,nESPEC,DATOS!$E7697,nASIG,DATOS!$I7697,nEVAL,"EX")=0),0))))</f>
      </c>
      <c r="H7697">
        <f>IF(DATOS!$G7697&lt;&gt;"EX",0,--(COUNTIFS(nNIA,DATOS!$A7697,nCURSO,DATOS!$D7697,nESPEC,DATOS!$E7697,nASIG,DATOS!$I7697,nEVAL,"OR")=0))</f>
      </c>
      <c r="I7697">
        <f>IF(DATOS!$I7697="","",IFERROR(VLOOKUP(DATOS!$I7697,CONFIG_ASIGNATURAS!$B$2:$J$91,9,FALSE()),""))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IF(DATOS!$A7698="",0,IF(CONFIG_METADATA!$B$4&lt;&gt;"OR+EX",--(DATOS!$G7698=CONFIG_METADATA!$B$4),IF(DATOS!$G7698="EX",1,IF(DATOS!$G7698="OR",--(COUNTIFS(nNIA,DATOS!$A7698,nCURSO,DATOS!$D7698,nESPEC,DATOS!$E7698,nASIG,DATOS!$I7698,nEVAL,"EX")=0),0))))</f>
      </c>
      <c r="H7698">
        <f>IF(DATOS!$G7698&lt;&gt;"EX",0,--(COUNTIFS(nNIA,DATOS!$A7698,nCURSO,DATOS!$D7698,nESPEC,DATOS!$E7698,nASIG,DATOS!$I7698,nEVAL,"OR")=0))</f>
      </c>
      <c r="I7698">
        <f>IF(DATOS!$I7698="","",IFERROR(VLOOKUP(DATOS!$I7698,CONFIG_ASIGNATURAS!$B$2:$J$91,9,FALSE()),""))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IF(DATOS!$A7699="",0,IF(CONFIG_METADATA!$B$4&lt;&gt;"OR+EX",--(DATOS!$G7699=CONFIG_METADATA!$B$4),IF(DATOS!$G7699="EX",1,IF(DATOS!$G7699="OR",--(COUNTIFS(nNIA,DATOS!$A7699,nCURSO,DATOS!$D7699,nESPEC,DATOS!$E7699,nASIG,DATOS!$I7699,nEVAL,"EX")=0),0))))</f>
      </c>
      <c r="H7699">
        <f>IF(DATOS!$G7699&lt;&gt;"EX",0,--(COUNTIFS(nNIA,DATOS!$A7699,nCURSO,DATOS!$D7699,nESPEC,DATOS!$E7699,nASIG,DATOS!$I7699,nEVAL,"OR")=0))</f>
      </c>
      <c r="I7699">
        <f>IF(DATOS!$I7699="","",IFERROR(VLOOKUP(DATOS!$I7699,CONFIG_ASIGNATURAS!$B$2:$J$91,9,FALSE()),""))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IF(DATOS!$A7700="",0,IF(CONFIG_METADATA!$B$4&lt;&gt;"OR+EX",--(DATOS!$G7700=CONFIG_METADATA!$B$4),IF(DATOS!$G7700="EX",1,IF(DATOS!$G7700="OR",--(COUNTIFS(nNIA,DATOS!$A7700,nCURSO,DATOS!$D7700,nESPEC,DATOS!$E7700,nASIG,DATOS!$I7700,nEVAL,"EX")=0),0))))</f>
      </c>
      <c r="H7700">
        <f>IF(DATOS!$G7700&lt;&gt;"EX",0,--(COUNTIFS(nNIA,DATOS!$A7700,nCURSO,DATOS!$D7700,nESPEC,DATOS!$E7700,nASIG,DATOS!$I7700,nEVAL,"OR")=0))</f>
      </c>
      <c r="I7700">
        <f>IF(DATOS!$I7700="","",IFERROR(VLOOKUP(DATOS!$I7700,CONFIG_ASIGNATURAS!$B$2:$J$91,9,FALSE()),""))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IF(DATOS!$A7701="",0,IF(CONFIG_METADATA!$B$4&lt;&gt;"OR+EX",--(DATOS!$G7701=CONFIG_METADATA!$B$4),IF(DATOS!$G7701="EX",1,IF(DATOS!$G7701="OR",--(COUNTIFS(nNIA,DATOS!$A7701,nCURSO,DATOS!$D7701,nESPEC,DATOS!$E7701,nASIG,DATOS!$I7701,nEVAL,"EX")=0),0))))</f>
      </c>
      <c r="H7701">
        <f>IF(DATOS!$G7701&lt;&gt;"EX",0,--(COUNTIFS(nNIA,DATOS!$A7701,nCURSO,DATOS!$D7701,nESPEC,DATOS!$E7701,nASIG,DATOS!$I7701,nEVAL,"OR")=0))</f>
      </c>
      <c r="I7701">
        <f>IF(DATOS!$I7701="","",IFERROR(VLOOKUP(DATOS!$I7701,CONFIG_ASIGNATURAS!$B$2:$J$91,9,FALSE()),""))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IF(DATOS!$A7702="",0,IF(CONFIG_METADATA!$B$4&lt;&gt;"OR+EX",--(DATOS!$G7702=CONFIG_METADATA!$B$4),IF(DATOS!$G7702="EX",1,IF(DATOS!$G7702="OR",--(COUNTIFS(nNIA,DATOS!$A7702,nCURSO,DATOS!$D7702,nESPEC,DATOS!$E7702,nASIG,DATOS!$I7702,nEVAL,"EX")=0),0))))</f>
      </c>
      <c r="H7702">
        <f>IF(DATOS!$G7702&lt;&gt;"EX",0,--(COUNTIFS(nNIA,DATOS!$A7702,nCURSO,DATOS!$D7702,nESPEC,DATOS!$E7702,nASIG,DATOS!$I7702,nEVAL,"OR")=0))</f>
      </c>
      <c r="I7702">
        <f>IF(DATOS!$I7702="","",IFERROR(VLOOKUP(DATOS!$I7702,CONFIG_ASIGNATURAS!$B$2:$J$91,9,FALSE()),""))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IF(DATOS!$A7703="",0,IF(CONFIG_METADATA!$B$4&lt;&gt;"OR+EX",--(DATOS!$G7703=CONFIG_METADATA!$B$4),IF(DATOS!$G7703="EX",1,IF(DATOS!$G7703="OR",--(COUNTIFS(nNIA,DATOS!$A7703,nCURSO,DATOS!$D7703,nESPEC,DATOS!$E7703,nASIG,DATOS!$I7703,nEVAL,"EX")=0),0))))</f>
      </c>
      <c r="H7703">
        <f>IF(DATOS!$G7703&lt;&gt;"EX",0,--(COUNTIFS(nNIA,DATOS!$A7703,nCURSO,DATOS!$D7703,nESPEC,DATOS!$E7703,nASIG,DATOS!$I7703,nEVAL,"OR")=0))</f>
      </c>
      <c r="I7703">
        <f>IF(DATOS!$I7703="","",IFERROR(VLOOKUP(DATOS!$I7703,CONFIG_ASIGNATURAS!$B$2:$J$91,9,FALSE()),""))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IF(DATOS!$A7704="",0,IF(CONFIG_METADATA!$B$4&lt;&gt;"OR+EX",--(DATOS!$G7704=CONFIG_METADATA!$B$4),IF(DATOS!$G7704="EX",1,IF(DATOS!$G7704="OR",--(COUNTIFS(nNIA,DATOS!$A7704,nCURSO,DATOS!$D7704,nESPEC,DATOS!$E7704,nASIG,DATOS!$I7704,nEVAL,"EX")=0),0))))</f>
      </c>
      <c r="H7704">
        <f>IF(DATOS!$G7704&lt;&gt;"EX",0,--(COUNTIFS(nNIA,DATOS!$A7704,nCURSO,DATOS!$D7704,nESPEC,DATOS!$E7704,nASIG,DATOS!$I7704,nEVAL,"OR")=0))</f>
      </c>
      <c r="I7704">
        <f>IF(DATOS!$I7704="","",IFERROR(VLOOKUP(DATOS!$I7704,CONFIG_ASIGNATURAS!$B$2:$J$91,9,FALSE()),""))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IF(DATOS!$A7705="",0,IF(CONFIG_METADATA!$B$4&lt;&gt;"OR+EX",--(DATOS!$G7705=CONFIG_METADATA!$B$4),IF(DATOS!$G7705="EX",1,IF(DATOS!$G7705="OR",--(COUNTIFS(nNIA,DATOS!$A7705,nCURSO,DATOS!$D7705,nESPEC,DATOS!$E7705,nASIG,DATOS!$I7705,nEVAL,"EX")=0),0))))</f>
      </c>
      <c r="H7705">
        <f>IF(DATOS!$G7705&lt;&gt;"EX",0,--(COUNTIFS(nNIA,DATOS!$A7705,nCURSO,DATOS!$D7705,nESPEC,DATOS!$E7705,nASIG,DATOS!$I7705,nEVAL,"OR")=0))</f>
      </c>
      <c r="I7705">
        <f>IF(DATOS!$I7705="","",IFERROR(VLOOKUP(DATOS!$I7705,CONFIG_ASIGNATURAS!$B$2:$J$91,9,FALSE()),""))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IF(DATOS!$A7706="",0,IF(CONFIG_METADATA!$B$4&lt;&gt;"OR+EX",--(DATOS!$G7706=CONFIG_METADATA!$B$4),IF(DATOS!$G7706="EX",1,IF(DATOS!$G7706="OR",--(COUNTIFS(nNIA,DATOS!$A7706,nCURSO,DATOS!$D7706,nESPEC,DATOS!$E7706,nASIG,DATOS!$I7706,nEVAL,"EX")=0),0))))</f>
      </c>
      <c r="H7706">
        <f>IF(DATOS!$G7706&lt;&gt;"EX",0,--(COUNTIFS(nNIA,DATOS!$A7706,nCURSO,DATOS!$D7706,nESPEC,DATOS!$E7706,nASIG,DATOS!$I7706,nEVAL,"OR")=0))</f>
      </c>
      <c r="I7706">
        <f>IF(DATOS!$I7706="","",IFERROR(VLOOKUP(DATOS!$I7706,CONFIG_ASIGNATURAS!$B$2:$J$91,9,FALSE()),""))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IF(DATOS!$A7707="",0,IF(CONFIG_METADATA!$B$4&lt;&gt;"OR+EX",--(DATOS!$G7707=CONFIG_METADATA!$B$4),IF(DATOS!$G7707="EX",1,IF(DATOS!$G7707="OR",--(COUNTIFS(nNIA,DATOS!$A7707,nCURSO,DATOS!$D7707,nESPEC,DATOS!$E7707,nASIG,DATOS!$I7707,nEVAL,"EX")=0),0))))</f>
      </c>
      <c r="H7707">
        <f>IF(DATOS!$G7707&lt;&gt;"EX",0,--(COUNTIFS(nNIA,DATOS!$A7707,nCURSO,DATOS!$D7707,nESPEC,DATOS!$E7707,nASIG,DATOS!$I7707,nEVAL,"OR")=0))</f>
      </c>
      <c r="I7707">
        <f>IF(DATOS!$I7707="","",IFERROR(VLOOKUP(DATOS!$I7707,CONFIG_ASIGNATURAS!$B$2:$J$91,9,FALSE()),""))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IF(DATOS!$A7708="",0,IF(CONFIG_METADATA!$B$4&lt;&gt;"OR+EX",--(DATOS!$G7708=CONFIG_METADATA!$B$4),IF(DATOS!$G7708="EX",1,IF(DATOS!$G7708="OR",--(COUNTIFS(nNIA,DATOS!$A7708,nCURSO,DATOS!$D7708,nESPEC,DATOS!$E7708,nASIG,DATOS!$I7708,nEVAL,"EX")=0),0))))</f>
      </c>
      <c r="H7708">
        <f>IF(DATOS!$G7708&lt;&gt;"EX",0,--(COUNTIFS(nNIA,DATOS!$A7708,nCURSO,DATOS!$D7708,nESPEC,DATOS!$E7708,nASIG,DATOS!$I7708,nEVAL,"OR")=0))</f>
      </c>
      <c r="I7708">
        <f>IF(DATOS!$I7708="","",IFERROR(VLOOKUP(DATOS!$I7708,CONFIG_ASIGNATURAS!$B$2:$J$91,9,FALSE()),""))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IF(DATOS!$A7709="",0,IF(CONFIG_METADATA!$B$4&lt;&gt;"OR+EX",--(DATOS!$G7709=CONFIG_METADATA!$B$4),IF(DATOS!$G7709="EX",1,IF(DATOS!$G7709="OR",--(COUNTIFS(nNIA,DATOS!$A7709,nCURSO,DATOS!$D7709,nESPEC,DATOS!$E7709,nASIG,DATOS!$I7709,nEVAL,"EX")=0),0))))</f>
      </c>
      <c r="H7709">
        <f>IF(DATOS!$G7709&lt;&gt;"EX",0,--(COUNTIFS(nNIA,DATOS!$A7709,nCURSO,DATOS!$D7709,nESPEC,DATOS!$E7709,nASIG,DATOS!$I7709,nEVAL,"OR")=0))</f>
      </c>
      <c r="I7709">
        <f>IF(DATOS!$I7709="","",IFERROR(VLOOKUP(DATOS!$I7709,CONFIG_ASIGNATURAS!$B$2:$J$91,9,FALSE()),""))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IF(DATOS!$A7710="",0,IF(CONFIG_METADATA!$B$4&lt;&gt;"OR+EX",--(DATOS!$G7710=CONFIG_METADATA!$B$4),IF(DATOS!$G7710="EX",1,IF(DATOS!$G7710="OR",--(COUNTIFS(nNIA,DATOS!$A7710,nCURSO,DATOS!$D7710,nESPEC,DATOS!$E7710,nASIG,DATOS!$I7710,nEVAL,"EX")=0),0))))</f>
      </c>
      <c r="H7710">
        <f>IF(DATOS!$G7710&lt;&gt;"EX",0,--(COUNTIFS(nNIA,DATOS!$A7710,nCURSO,DATOS!$D7710,nESPEC,DATOS!$E7710,nASIG,DATOS!$I7710,nEVAL,"OR")=0))</f>
      </c>
      <c r="I7710">
        <f>IF(DATOS!$I7710="","",IFERROR(VLOOKUP(DATOS!$I7710,CONFIG_ASIGNATURAS!$B$2:$J$91,9,FALSE()),""))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IF(DATOS!$A7711="",0,IF(CONFIG_METADATA!$B$4&lt;&gt;"OR+EX",--(DATOS!$G7711=CONFIG_METADATA!$B$4),IF(DATOS!$G7711="EX",1,IF(DATOS!$G7711="OR",--(COUNTIFS(nNIA,DATOS!$A7711,nCURSO,DATOS!$D7711,nESPEC,DATOS!$E7711,nASIG,DATOS!$I7711,nEVAL,"EX")=0),0))))</f>
      </c>
      <c r="H7711">
        <f>IF(DATOS!$G7711&lt;&gt;"EX",0,--(COUNTIFS(nNIA,DATOS!$A7711,nCURSO,DATOS!$D7711,nESPEC,DATOS!$E7711,nASIG,DATOS!$I7711,nEVAL,"OR")=0))</f>
      </c>
      <c r="I7711">
        <f>IF(DATOS!$I7711="","",IFERROR(VLOOKUP(DATOS!$I7711,CONFIG_ASIGNATURAS!$B$2:$J$91,9,FALSE()),""))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IF(DATOS!$A7712="",0,IF(CONFIG_METADATA!$B$4&lt;&gt;"OR+EX",--(DATOS!$G7712=CONFIG_METADATA!$B$4),IF(DATOS!$G7712="EX",1,IF(DATOS!$G7712="OR",--(COUNTIFS(nNIA,DATOS!$A7712,nCURSO,DATOS!$D7712,nESPEC,DATOS!$E7712,nASIG,DATOS!$I7712,nEVAL,"EX")=0),0))))</f>
      </c>
      <c r="H7712">
        <f>IF(DATOS!$G7712&lt;&gt;"EX",0,--(COUNTIFS(nNIA,DATOS!$A7712,nCURSO,DATOS!$D7712,nESPEC,DATOS!$E7712,nASIG,DATOS!$I7712,nEVAL,"OR")=0))</f>
      </c>
      <c r="I7712">
        <f>IF(DATOS!$I7712="","",IFERROR(VLOOKUP(DATOS!$I7712,CONFIG_ASIGNATURAS!$B$2:$J$91,9,FALSE()),""))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IF(DATOS!$A7713="",0,IF(CONFIG_METADATA!$B$4&lt;&gt;"OR+EX",--(DATOS!$G7713=CONFIG_METADATA!$B$4),IF(DATOS!$G7713="EX",1,IF(DATOS!$G7713="OR",--(COUNTIFS(nNIA,DATOS!$A7713,nCURSO,DATOS!$D7713,nESPEC,DATOS!$E7713,nASIG,DATOS!$I7713,nEVAL,"EX")=0),0))))</f>
      </c>
      <c r="H7713">
        <f>IF(DATOS!$G7713&lt;&gt;"EX",0,--(COUNTIFS(nNIA,DATOS!$A7713,nCURSO,DATOS!$D7713,nESPEC,DATOS!$E7713,nASIG,DATOS!$I7713,nEVAL,"OR")=0))</f>
      </c>
      <c r="I7713">
        <f>IF(DATOS!$I7713="","",IFERROR(VLOOKUP(DATOS!$I7713,CONFIG_ASIGNATURAS!$B$2:$J$91,9,FALSE()),""))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IF(DATOS!$A7714="",0,IF(CONFIG_METADATA!$B$4&lt;&gt;"OR+EX",--(DATOS!$G7714=CONFIG_METADATA!$B$4),IF(DATOS!$G7714="EX",1,IF(DATOS!$G7714="OR",--(COUNTIFS(nNIA,DATOS!$A7714,nCURSO,DATOS!$D7714,nESPEC,DATOS!$E7714,nASIG,DATOS!$I7714,nEVAL,"EX")=0),0))))</f>
      </c>
      <c r="H7714">
        <f>IF(DATOS!$G7714&lt;&gt;"EX",0,--(COUNTIFS(nNIA,DATOS!$A7714,nCURSO,DATOS!$D7714,nESPEC,DATOS!$E7714,nASIG,DATOS!$I7714,nEVAL,"OR")=0))</f>
      </c>
      <c r="I7714">
        <f>IF(DATOS!$I7714="","",IFERROR(VLOOKUP(DATOS!$I7714,CONFIG_ASIGNATURAS!$B$2:$J$91,9,FALSE()),""))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IF(DATOS!$A7715="",0,IF(CONFIG_METADATA!$B$4&lt;&gt;"OR+EX",--(DATOS!$G7715=CONFIG_METADATA!$B$4),IF(DATOS!$G7715="EX",1,IF(DATOS!$G7715="OR",--(COUNTIFS(nNIA,DATOS!$A7715,nCURSO,DATOS!$D7715,nESPEC,DATOS!$E7715,nASIG,DATOS!$I7715,nEVAL,"EX")=0),0))))</f>
      </c>
      <c r="H7715">
        <f>IF(DATOS!$G7715&lt;&gt;"EX",0,--(COUNTIFS(nNIA,DATOS!$A7715,nCURSO,DATOS!$D7715,nESPEC,DATOS!$E7715,nASIG,DATOS!$I7715,nEVAL,"OR")=0))</f>
      </c>
      <c r="I7715">
        <f>IF(DATOS!$I7715="","",IFERROR(VLOOKUP(DATOS!$I7715,CONFIG_ASIGNATURAS!$B$2:$J$91,9,FALSE()),""))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IF(DATOS!$A7716="",0,IF(CONFIG_METADATA!$B$4&lt;&gt;"OR+EX",--(DATOS!$G7716=CONFIG_METADATA!$B$4),IF(DATOS!$G7716="EX",1,IF(DATOS!$G7716="OR",--(COUNTIFS(nNIA,DATOS!$A7716,nCURSO,DATOS!$D7716,nESPEC,DATOS!$E7716,nASIG,DATOS!$I7716,nEVAL,"EX")=0),0))))</f>
      </c>
      <c r="H7716">
        <f>IF(DATOS!$G7716&lt;&gt;"EX",0,--(COUNTIFS(nNIA,DATOS!$A7716,nCURSO,DATOS!$D7716,nESPEC,DATOS!$E7716,nASIG,DATOS!$I7716,nEVAL,"OR")=0))</f>
      </c>
      <c r="I7716">
        <f>IF(DATOS!$I7716="","",IFERROR(VLOOKUP(DATOS!$I7716,CONFIG_ASIGNATURAS!$B$2:$J$91,9,FALSE()),""))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IF(DATOS!$A7717="",0,IF(CONFIG_METADATA!$B$4&lt;&gt;"OR+EX",--(DATOS!$G7717=CONFIG_METADATA!$B$4),IF(DATOS!$G7717="EX",1,IF(DATOS!$G7717="OR",--(COUNTIFS(nNIA,DATOS!$A7717,nCURSO,DATOS!$D7717,nESPEC,DATOS!$E7717,nASIG,DATOS!$I7717,nEVAL,"EX")=0),0))))</f>
      </c>
      <c r="H7717">
        <f>IF(DATOS!$G7717&lt;&gt;"EX",0,--(COUNTIFS(nNIA,DATOS!$A7717,nCURSO,DATOS!$D7717,nESPEC,DATOS!$E7717,nASIG,DATOS!$I7717,nEVAL,"OR")=0))</f>
      </c>
      <c r="I7717">
        <f>IF(DATOS!$I7717="","",IFERROR(VLOOKUP(DATOS!$I7717,CONFIG_ASIGNATURAS!$B$2:$J$91,9,FALSE()),""))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IF(DATOS!$A7718="",0,IF(CONFIG_METADATA!$B$4&lt;&gt;"OR+EX",--(DATOS!$G7718=CONFIG_METADATA!$B$4),IF(DATOS!$G7718="EX",1,IF(DATOS!$G7718="OR",--(COUNTIFS(nNIA,DATOS!$A7718,nCURSO,DATOS!$D7718,nESPEC,DATOS!$E7718,nASIG,DATOS!$I7718,nEVAL,"EX")=0),0))))</f>
      </c>
      <c r="H7718">
        <f>IF(DATOS!$G7718&lt;&gt;"EX",0,--(COUNTIFS(nNIA,DATOS!$A7718,nCURSO,DATOS!$D7718,nESPEC,DATOS!$E7718,nASIG,DATOS!$I7718,nEVAL,"OR")=0))</f>
      </c>
      <c r="I7718">
        <f>IF(DATOS!$I7718="","",IFERROR(VLOOKUP(DATOS!$I7718,CONFIG_ASIGNATURAS!$B$2:$J$91,9,FALSE()),""))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IF(DATOS!$A7719="",0,IF(CONFIG_METADATA!$B$4&lt;&gt;"OR+EX",--(DATOS!$G7719=CONFIG_METADATA!$B$4),IF(DATOS!$G7719="EX",1,IF(DATOS!$G7719="OR",--(COUNTIFS(nNIA,DATOS!$A7719,nCURSO,DATOS!$D7719,nESPEC,DATOS!$E7719,nASIG,DATOS!$I7719,nEVAL,"EX")=0),0))))</f>
      </c>
      <c r="H7719">
        <f>IF(DATOS!$G7719&lt;&gt;"EX",0,--(COUNTIFS(nNIA,DATOS!$A7719,nCURSO,DATOS!$D7719,nESPEC,DATOS!$E7719,nASIG,DATOS!$I7719,nEVAL,"OR")=0))</f>
      </c>
      <c r="I7719">
        <f>IF(DATOS!$I7719="","",IFERROR(VLOOKUP(DATOS!$I7719,CONFIG_ASIGNATURAS!$B$2:$J$91,9,FALSE()),""))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IF(DATOS!$A7720="",0,IF(CONFIG_METADATA!$B$4&lt;&gt;"OR+EX",--(DATOS!$G7720=CONFIG_METADATA!$B$4),IF(DATOS!$G7720="EX",1,IF(DATOS!$G7720="OR",--(COUNTIFS(nNIA,DATOS!$A7720,nCURSO,DATOS!$D7720,nESPEC,DATOS!$E7720,nASIG,DATOS!$I7720,nEVAL,"EX")=0),0))))</f>
      </c>
      <c r="H7720">
        <f>IF(DATOS!$G7720&lt;&gt;"EX",0,--(COUNTIFS(nNIA,DATOS!$A7720,nCURSO,DATOS!$D7720,nESPEC,DATOS!$E7720,nASIG,DATOS!$I7720,nEVAL,"OR")=0))</f>
      </c>
      <c r="I7720">
        <f>IF(DATOS!$I7720="","",IFERROR(VLOOKUP(DATOS!$I7720,CONFIG_ASIGNATURAS!$B$2:$J$91,9,FALSE()),""))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IF(DATOS!$A7721="",0,IF(CONFIG_METADATA!$B$4&lt;&gt;"OR+EX",--(DATOS!$G7721=CONFIG_METADATA!$B$4),IF(DATOS!$G7721="EX",1,IF(DATOS!$G7721="OR",--(COUNTIFS(nNIA,DATOS!$A7721,nCURSO,DATOS!$D7721,nESPEC,DATOS!$E7721,nASIG,DATOS!$I7721,nEVAL,"EX")=0),0))))</f>
      </c>
      <c r="H7721">
        <f>IF(DATOS!$G7721&lt;&gt;"EX",0,--(COUNTIFS(nNIA,DATOS!$A7721,nCURSO,DATOS!$D7721,nESPEC,DATOS!$E7721,nASIG,DATOS!$I7721,nEVAL,"OR")=0))</f>
      </c>
      <c r="I7721">
        <f>IF(DATOS!$I7721="","",IFERROR(VLOOKUP(DATOS!$I7721,CONFIG_ASIGNATURAS!$B$2:$J$91,9,FALSE()),""))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IF(DATOS!$A7722="",0,IF(CONFIG_METADATA!$B$4&lt;&gt;"OR+EX",--(DATOS!$G7722=CONFIG_METADATA!$B$4),IF(DATOS!$G7722="EX",1,IF(DATOS!$G7722="OR",--(COUNTIFS(nNIA,DATOS!$A7722,nCURSO,DATOS!$D7722,nESPEC,DATOS!$E7722,nASIG,DATOS!$I7722,nEVAL,"EX")=0),0))))</f>
      </c>
      <c r="H7722">
        <f>IF(DATOS!$G7722&lt;&gt;"EX",0,--(COUNTIFS(nNIA,DATOS!$A7722,nCURSO,DATOS!$D7722,nESPEC,DATOS!$E7722,nASIG,DATOS!$I7722,nEVAL,"OR")=0))</f>
      </c>
      <c r="I7722">
        <f>IF(DATOS!$I7722="","",IFERROR(VLOOKUP(DATOS!$I7722,CONFIG_ASIGNATURAS!$B$2:$J$91,9,FALSE()),""))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IF(DATOS!$A7723="",0,IF(CONFIG_METADATA!$B$4&lt;&gt;"OR+EX",--(DATOS!$G7723=CONFIG_METADATA!$B$4),IF(DATOS!$G7723="EX",1,IF(DATOS!$G7723="OR",--(COUNTIFS(nNIA,DATOS!$A7723,nCURSO,DATOS!$D7723,nESPEC,DATOS!$E7723,nASIG,DATOS!$I7723,nEVAL,"EX")=0),0))))</f>
      </c>
      <c r="H7723">
        <f>IF(DATOS!$G7723&lt;&gt;"EX",0,--(COUNTIFS(nNIA,DATOS!$A7723,nCURSO,DATOS!$D7723,nESPEC,DATOS!$E7723,nASIG,DATOS!$I7723,nEVAL,"OR")=0))</f>
      </c>
      <c r="I7723">
        <f>IF(DATOS!$I7723="","",IFERROR(VLOOKUP(DATOS!$I7723,CONFIG_ASIGNATURAS!$B$2:$J$91,9,FALSE()),""))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IF(DATOS!$A7724="",0,IF(CONFIG_METADATA!$B$4&lt;&gt;"OR+EX",--(DATOS!$G7724=CONFIG_METADATA!$B$4),IF(DATOS!$G7724="EX",1,IF(DATOS!$G7724="OR",--(COUNTIFS(nNIA,DATOS!$A7724,nCURSO,DATOS!$D7724,nESPEC,DATOS!$E7724,nASIG,DATOS!$I7724,nEVAL,"EX")=0),0))))</f>
      </c>
      <c r="H7724">
        <f>IF(DATOS!$G7724&lt;&gt;"EX",0,--(COUNTIFS(nNIA,DATOS!$A7724,nCURSO,DATOS!$D7724,nESPEC,DATOS!$E7724,nASIG,DATOS!$I7724,nEVAL,"OR")=0))</f>
      </c>
      <c r="I7724">
        <f>IF(DATOS!$I7724="","",IFERROR(VLOOKUP(DATOS!$I7724,CONFIG_ASIGNATURAS!$B$2:$J$91,9,FALSE()),""))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IF(DATOS!$A7725="",0,IF(CONFIG_METADATA!$B$4&lt;&gt;"OR+EX",--(DATOS!$G7725=CONFIG_METADATA!$B$4),IF(DATOS!$G7725="EX",1,IF(DATOS!$G7725="OR",--(COUNTIFS(nNIA,DATOS!$A7725,nCURSO,DATOS!$D7725,nESPEC,DATOS!$E7725,nASIG,DATOS!$I7725,nEVAL,"EX")=0),0))))</f>
      </c>
      <c r="H7725">
        <f>IF(DATOS!$G7725&lt;&gt;"EX",0,--(COUNTIFS(nNIA,DATOS!$A7725,nCURSO,DATOS!$D7725,nESPEC,DATOS!$E7725,nASIG,DATOS!$I7725,nEVAL,"OR")=0))</f>
      </c>
      <c r="I7725">
        <f>IF(DATOS!$I7725="","",IFERROR(VLOOKUP(DATOS!$I7725,CONFIG_ASIGNATURAS!$B$2:$J$91,9,FALSE()),""))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IF(DATOS!$A7726="",0,IF(CONFIG_METADATA!$B$4&lt;&gt;"OR+EX",--(DATOS!$G7726=CONFIG_METADATA!$B$4),IF(DATOS!$G7726="EX",1,IF(DATOS!$G7726="OR",--(COUNTIFS(nNIA,DATOS!$A7726,nCURSO,DATOS!$D7726,nESPEC,DATOS!$E7726,nASIG,DATOS!$I7726,nEVAL,"EX")=0),0))))</f>
      </c>
      <c r="H7726">
        <f>IF(DATOS!$G7726&lt;&gt;"EX",0,--(COUNTIFS(nNIA,DATOS!$A7726,nCURSO,DATOS!$D7726,nESPEC,DATOS!$E7726,nASIG,DATOS!$I7726,nEVAL,"OR")=0))</f>
      </c>
      <c r="I7726">
        <f>IF(DATOS!$I7726="","",IFERROR(VLOOKUP(DATOS!$I7726,CONFIG_ASIGNATURAS!$B$2:$J$91,9,FALSE()),""))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IF(DATOS!$A7727="",0,IF(CONFIG_METADATA!$B$4&lt;&gt;"OR+EX",--(DATOS!$G7727=CONFIG_METADATA!$B$4),IF(DATOS!$G7727="EX",1,IF(DATOS!$G7727="OR",--(COUNTIFS(nNIA,DATOS!$A7727,nCURSO,DATOS!$D7727,nESPEC,DATOS!$E7727,nASIG,DATOS!$I7727,nEVAL,"EX")=0),0))))</f>
      </c>
      <c r="H7727">
        <f>IF(DATOS!$G7727&lt;&gt;"EX",0,--(COUNTIFS(nNIA,DATOS!$A7727,nCURSO,DATOS!$D7727,nESPEC,DATOS!$E7727,nASIG,DATOS!$I7727,nEVAL,"OR")=0))</f>
      </c>
      <c r="I7727">
        <f>IF(DATOS!$I7727="","",IFERROR(VLOOKUP(DATOS!$I7727,CONFIG_ASIGNATURAS!$B$2:$J$91,9,FALSE()),""))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IF(DATOS!$A7728="",0,IF(CONFIG_METADATA!$B$4&lt;&gt;"OR+EX",--(DATOS!$G7728=CONFIG_METADATA!$B$4),IF(DATOS!$G7728="EX",1,IF(DATOS!$G7728="OR",--(COUNTIFS(nNIA,DATOS!$A7728,nCURSO,DATOS!$D7728,nESPEC,DATOS!$E7728,nASIG,DATOS!$I7728,nEVAL,"EX")=0),0))))</f>
      </c>
      <c r="H7728">
        <f>IF(DATOS!$G7728&lt;&gt;"EX",0,--(COUNTIFS(nNIA,DATOS!$A7728,nCURSO,DATOS!$D7728,nESPEC,DATOS!$E7728,nASIG,DATOS!$I7728,nEVAL,"OR")=0))</f>
      </c>
      <c r="I7728">
        <f>IF(DATOS!$I7728="","",IFERROR(VLOOKUP(DATOS!$I7728,CONFIG_ASIGNATURAS!$B$2:$J$91,9,FALSE()),""))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IF(DATOS!$A7729="",0,IF(CONFIG_METADATA!$B$4&lt;&gt;"OR+EX",--(DATOS!$G7729=CONFIG_METADATA!$B$4),IF(DATOS!$G7729="EX",1,IF(DATOS!$G7729="OR",--(COUNTIFS(nNIA,DATOS!$A7729,nCURSO,DATOS!$D7729,nESPEC,DATOS!$E7729,nASIG,DATOS!$I7729,nEVAL,"EX")=0),0))))</f>
      </c>
      <c r="H7729">
        <f>IF(DATOS!$G7729&lt;&gt;"EX",0,--(COUNTIFS(nNIA,DATOS!$A7729,nCURSO,DATOS!$D7729,nESPEC,DATOS!$E7729,nASIG,DATOS!$I7729,nEVAL,"OR")=0))</f>
      </c>
      <c r="I7729">
        <f>IF(DATOS!$I7729="","",IFERROR(VLOOKUP(DATOS!$I7729,CONFIG_ASIGNATURAS!$B$2:$J$91,9,FALSE()),""))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IF(DATOS!$A7730="",0,IF(CONFIG_METADATA!$B$4&lt;&gt;"OR+EX",--(DATOS!$G7730=CONFIG_METADATA!$B$4),IF(DATOS!$G7730="EX",1,IF(DATOS!$G7730="OR",--(COUNTIFS(nNIA,DATOS!$A7730,nCURSO,DATOS!$D7730,nESPEC,DATOS!$E7730,nASIG,DATOS!$I7730,nEVAL,"EX")=0),0))))</f>
      </c>
      <c r="H7730">
        <f>IF(DATOS!$G7730&lt;&gt;"EX",0,--(COUNTIFS(nNIA,DATOS!$A7730,nCURSO,DATOS!$D7730,nESPEC,DATOS!$E7730,nASIG,DATOS!$I7730,nEVAL,"OR")=0))</f>
      </c>
      <c r="I7730">
        <f>IF(DATOS!$I7730="","",IFERROR(VLOOKUP(DATOS!$I7730,CONFIG_ASIGNATURAS!$B$2:$J$91,9,FALSE()),""))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IF(DATOS!$A7731="",0,IF(CONFIG_METADATA!$B$4&lt;&gt;"OR+EX",--(DATOS!$G7731=CONFIG_METADATA!$B$4),IF(DATOS!$G7731="EX",1,IF(DATOS!$G7731="OR",--(COUNTIFS(nNIA,DATOS!$A7731,nCURSO,DATOS!$D7731,nESPEC,DATOS!$E7731,nASIG,DATOS!$I7731,nEVAL,"EX")=0),0))))</f>
      </c>
      <c r="H7731">
        <f>IF(DATOS!$G7731&lt;&gt;"EX",0,--(COUNTIFS(nNIA,DATOS!$A7731,nCURSO,DATOS!$D7731,nESPEC,DATOS!$E7731,nASIG,DATOS!$I7731,nEVAL,"OR")=0))</f>
      </c>
      <c r="I7731">
        <f>IF(DATOS!$I7731="","",IFERROR(VLOOKUP(DATOS!$I7731,CONFIG_ASIGNATURAS!$B$2:$J$91,9,FALSE()),""))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IF(DATOS!$A7732="",0,IF(CONFIG_METADATA!$B$4&lt;&gt;"OR+EX",--(DATOS!$G7732=CONFIG_METADATA!$B$4),IF(DATOS!$G7732="EX",1,IF(DATOS!$G7732="OR",--(COUNTIFS(nNIA,DATOS!$A7732,nCURSO,DATOS!$D7732,nESPEC,DATOS!$E7732,nASIG,DATOS!$I7732,nEVAL,"EX")=0),0))))</f>
      </c>
      <c r="H7732">
        <f>IF(DATOS!$G7732&lt;&gt;"EX",0,--(COUNTIFS(nNIA,DATOS!$A7732,nCURSO,DATOS!$D7732,nESPEC,DATOS!$E7732,nASIG,DATOS!$I7732,nEVAL,"OR")=0))</f>
      </c>
      <c r="I7732">
        <f>IF(DATOS!$I7732="","",IFERROR(VLOOKUP(DATOS!$I7732,CONFIG_ASIGNATURAS!$B$2:$J$91,9,FALSE()),""))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IF(DATOS!$A7733="",0,IF(CONFIG_METADATA!$B$4&lt;&gt;"OR+EX",--(DATOS!$G7733=CONFIG_METADATA!$B$4),IF(DATOS!$G7733="EX",1,IF(DATOS!$G7733="OR",--(COUNTIFS(nNIA,DATOS!$A7733,nCURSO,DATOS!$D7733,nESPEC,DATOS!$E7733,nASIG,DATOS!$I7733,nEVAL,"EX")=0),0))))</f>
      </c>
      <c r="H7733">
        <f>IF(DATOS!$G7733&lt;&gt;"EX",0,--(COUNTIFS(nNIA,DATOS!$A7733,nCURSO,DATOS!$D7733,nESPEC,DATOS!$E7733,nASIG,DATOS!$I7733,nEVAL,"OR")=0))</f>
      </c>
      <c r="I7733">
        <f>IF(DATOS!$I7733="","",IFERROR(VLOOKUP(DATOS!$I7733,CONFIG_ASIGNATURAS!$B$2:$J$91,9,FALSE()),""))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IF(DATOS!$A7734="",0,IF(CONFIG_METADATA!$B$4&lt;&gt;"OR+EX",--(DATOS!$G7734=CONFIG_METADATA!$B$4),IF(DATOS!$G7734="EX",1,IF(DATOS!$G7734="OR",--(COUNTIFS(nNIA,DATOS!$A7734,nCURSO,DATOS!$D7734,nESPEC,DATOS!$E7734,nASIG,DATOS!$I7734,nEVAL,"EX")=0),0))))</f>
      </c>
      <c r="H7734">
        <f>IF(DATOS!$G7734&lt;&gt;"EX",0,--(COUNTIFS(nNIA,DATOS!$A7734,nCURSO,DATOS!$D7734,nESPEC,DATOS!$E7734,nASIG,DATOS!$I7734,nEVAL,"OR")=0))</f>
      </c>
      <c r="I7734">
        <f>IF(DATOS!$I7734="","",IFERROR(VLOOKUP(DATOS!$I7734,CONFIG_ASIGNATURAS!$B$2:$J$91,9,FALSE()),""))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IF(DATOS!$A7735="",0,IF(CONFIG_METADATA!$B$4&lt;&gt;"OR+EX",--(DATOS!$G7735=CONFIG_METADATA!$B$4),IF(DATOS!$G7735="EX",1,IF(DATOS!$G7735="OR",--(COUNTIFS(nNIA,DATOS!$A7735,nCURSO,DATOS!$D7735,nESPEC,DATOS!$E7735,nASIG,DATOS!$I7735,nEVAL,"EX")=0),0))))</f>
      </c>
      <c r="H7735">
        <f>IF(DATOS!$G7735&lt;&gt;"EX",0,--(COUNTIFS(nNIA,DATOS!$A7735,nCURSO,DATOS!$D7735,nESPEC,DATOS!$E7735,nASIG,DATOS!$I7735,nEVAL,"OR")=0))</f>
      </c>
      <c r="I7735">
        <f>IF(DATOS!$I7735="","",IFERROR(VLOOKUP(DATOS!$I7735,CONFIG_ASIGNATURAS!$B$2:$J$91,9,FALSE()),""))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IF(DATOS!$A7736="",0,IF(CONFIG_METADATA!$B$4&lt;&gt;"OR+EX",--(DATOS!$G7736=CONFIG_METADATA!$B$4),IF(DATOS!$G7736="EX",1,IF(DATOS!$G7736="OR",--(COUNTIFS(nNIA,DATOS!$A7736,nCURSO,DATOS!$D7736,nESPEC,DATOS!$E7736,nASIG,DATOS!$I7736,nEVAL,"EX")=0),0))))</f>
      </c>
      <c r="H7736">
        <f>IF(DATOS!$G7736&lt;&gt;"EX",0,--(COUNTIFS(nNIA,DATOS!$A7736,nCURSO,DATOS!$D7736,nESPEC,DATOS!$E7736,nASIG,DATOS!$I7736,nEVAL,"OR")=0))</f>
      </c>
      <c r="I7736">
        <f>IF(DATOS!$I7736="","",IFERROR(VLOOKUP(DATOS!$I7736,CONFIG_ASIGNATURAS!$B$2:$J$91,9,FALSE()),""))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IF(DATOS!$A7737="",0,IF(CONFIG_METADATA!$B$4&lt;&gt;"OR+EX",--(DATOS!$G7737=CONFIG_METADATA!$B$4),IF(DATOS!$G7737="EX",1,IF(DATOS!$G7737="OR",--(COUNTIFS(nNIA,DATOS!$A7737,nCURSO,DATOS!$D7737,nESPEC,DATOS!$E7737,nASIG,DATOS!$I7737,nEVAL,"EX")=0),0))))</f>
      </c>
      <c r="H7737">
        <f>IF(DATOS!$G7737&lt;&gt;"EX",0,--(COUNTIFS(nNIA,DATOS!$A7737,nCURSO,DATOS!$D7737,nESPEC,DATOS!$E7737,nASIG,DATOS!$I7737,nEVAL,"OR")=0))</f>
      </c>
      <c r="I7737">
        <f>IF(DATOS!$I7737="","",IFERROR(VLOOKUP(DATOS!$I7737,CONFIG_ASIGNATURAS!$B$2:$J$91,9,FALSE()),""))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IF(DATOS!$A7738="",0,IF(CONFIG_METADATA!$B$4&lt;&gt;"OR+EX",--(DATOS!$G7738=CONFIG_METADATA!$B$4),IF(DATOS!$G7738="EX",1,IF(DATOS!$G7738="OR",--(COUNTIFS(nNIA,DATOS!$A7738,nCURSO,DATOS!$D7738,nESPEC,DATOS!$E7738,nASIG,DATOS!$I7738,nEVAL,"EX")=0),0))))</f>
      </c>
      <c r="H7738">
        <f>IF(DATOS!$G7738&lt;&gt;"EX",0,--(COUNTIFS(nNIA,DATOS!$A7738,nCURSO,DATOS!$D7738,nESPEC,DATOS!$E7738,nASIG,DATOS!$I7738,nEVAL,"OR")=0))</f>
      </c>
      <c r="I7738">
        <f>IF(DATOS!$I7738="","",IFERROR(VLOOKUP(DATOS!$I7738,CONFIG_ASIGNATURAS!$B$2:$J$91,9,FALSE()),""))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IF(DATOS!$A7739="",0,IF(CONFIG_METADATA!$B$4&lt;&gt;"OR+EX",--(DATOS!$G7739=CONFIG_METADATA!$B$4),IF(DATOS!$G7739="EX",1,IF(DATOS!$G7739="OR",--(COUNTIFS(nNIA,DATOS!$A7739,nCURSO,DATOS!$D7739,nESPEC,DATOS!$E7739,nASIG,DATOS!$I7739,nEVAL,"EX")=0),0))))</f>
      </c>
      <c r="H7739">
        <f>IF(DATOS!$G7739&lt;&gt;"EX",0,--(COUNTIFS(nNIA,DATOS!$A7739,nCURSO,DATOS!$D7739,nESPEC,DATOS!$E7739,nASIG,DATOS!$I7739,nEVAL,"OR")=0))</f>
      </c>
      <c r="I7739">
        <f>IF(DATOS!$I7739="","",IFERROR(VLOOKUP(DATOS!$I7739,CONFIG_ASIGNATURAS!$B$2:$J$91,9,FALSE()),""))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IF(DATOS!$A7740="",0,IF(CONFIG_METADATA!$B$4&lt;&gt;"OR+EX",--(DATOS!$G7740=CONFIG_METADATA!$B$4),IF(DATOS!$G7740="EX",1,IF(DATOS!$G7740="OR",--(COUNTIFS(nNIA,DATOS!$A7740,nCURSO,DATOS!$D7740,nESPEC,DATOS!$E7740,nASIG,DATOS!$I7740,nEVAL,"EX")=0),0))))</f>
      </c>
      <c r="H7740">
        <f>IF(DATOS!$G7740&lt;&gt;"EX",0,--(COUNTIFS(nNIA,DATOS!$A7740,nCURSO,DATOS!$D7740,nESPEC,DATOS!$E7740,nASIG,DATOS!$I7740,nEVAL,"OR")=0))</f>
      </c>
      <c r="I7740">
        <f>IF(DATOS!$I7740="","",IFERROR(VLOOKUP(DATOS!$I7740,CONFIG_ASIGNATURAS!$B$2:$J$91,9,FALSE()),""))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IF(DATOS!$A7741="",0,IF(CONFIG_METADATA!$B$4&lt;&gt;"OR+EX",--(DATOS!$G7741=CONFIG_METADATA!$B$4),IF(DATOS!$G7741="EX",1,IF(DATOS!$G7741="OR",--(COUNTIFS(nNIA,DATOS!$A7741,nCURSO,DATOS!$D7741,nESPEC,DATOS!$E7741,nASIG,DATOS!$I7741,nEVAL,"EX")=0),0))))</f>
      </c>
      <c r="H7741">
        <f>IF(DATOS!$G7741&lt;&gt;"EX",0,--(COUNTIFS(nNIA,DATOS!$A7741,nCURSO,DATOS!$D7741,nESPEC,DATOS!$E7741,nASIG,DATOS!$I7741,nEVAL,"OR")=0))</f>
      </c>
      <c r="I7741">
        <f>IF(DATOS!$I7741="","",IFERROR(VLOOKUP(DATOS!$I7741,CONFIG_ASIGNATURAS!$B$2:$J$91,9,FALSE()),""))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IF(DATOS!$A7742="",0,IF(CONFIG_METADATA!$B$4&lt;&gt;"OR+EX",--(DATOS!$G7742=CONFIG_METADATA!$B$4),IF(DATOS!$G7742="EX",1,IF(DATOS!$G7742="OR",--(COUNTIFS(nNIA,DATOS!$A7742,nCURSO,DATOS!$D7742,nESPEC,DATOS!$E7742,nASIG,DATOS!$I7742,nEVAL,"EX")=0),0))))</f>
      </c>
      <c r="H7742">
        <f>IF(DATOS!$G7742&lt;&gt;"EX",0,--(COUNTIFS(nNIA,DATOS!$A7742,nCURSO,DATOS!$D7742,nESPEC,DATOS!$E7742,nASIG,DATOS!$I7742,nEVAL,"OR")=0))</f>
      </c>
      <c r="I7742">
        <f>IF(DATOS!$I7742="","",IFERROR(VLOOKUP(DATOS!$I7742,CONFIG_ASIGNATURAS!$B$2:$J$91,9,FALSE()),""))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IF(DATOS!$A7743="",0,IF(CONFIG_METADATA!$B$4&lt;&gt;"OR+EX",--(DATOS!$G7743=CONFIG_METADATA!$B$4),IF(DATOS!$G7743="EX",1,IF(DATOS!$G7743="OR",--(COUNTIFS(nNIA,DATOS!$A7743,nCURSO,DATOS!$D7743,nESPEC,DATOS!$E7743,nASIG,DATOS!$I7743,nEVAL,"EX")=0),0))))</f>
      </c>
      <c r="H7743">
        <f>IF(DATOS!$G7743&lt;&gt;"EX",0,--(COUNTIFS(nNIA,DATOS!$A7743,nCURSO,DATOS!$D7743,nESPEC,DATOS!$E7743,nASIG,DATOS!$I7743,nEVAL,"OR")=0))</f>
      </c>
      <c r="I7743">
        <f>IF(DATOS!$I7743="","",IFERROR(VLOOKUP(DATOS!$I7743,CONFIG_ASIGNATURAS!$B$2:$J$91,9,FALSE()),""))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IF(DATOS!$A7744="",0,IF(CONFIG_METADATA!$B$4&lt;&gt;"OR+EX",--(DATOS!$G7744=CONFIG_METADATA!$B$4),IF(DATOS!$G7744="EX",1,IF(DATOS!$G7744="OR",--(COUNTIFS(nNIA,DATOS!$A7744,nCURSO,DATOS!$D7744,nESPEC,DATOS!$E7744,nASIG,DATOS!$I7744,nEVAL,"EX")=0),0))))</f>
      </c>
      <c r="H7744">
        <f>IF(DATOS!$G7744&lt;&gt;"EX",0,--(COUNTIFS(nNIA,DATOS!$A7744,nCURSO,DATOS!$D7744,nESPEC,DATOS!$E7744,nASIG,DATOS!$I7744,nEVAL,"OR")=0))</f>
      </c>
      <c r="I7744">
        <f>IF(DATOS!$I7744="","",IFERROR(VLOOKUP(DATOS!$I7744,CONFIG_ASIGNATURAS!$B$2:$J$91,9,FALSE()),""))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IF(DATOS!$A7745="",0,IF(CONFIG_METADATA!$B$4&lt;&gt;"OR+EX",--(DATOS!$G7745=CONFIG_METADATA!$B$4),IF(DATOS!$G7745="EX",1,IF(DATOS!$G7745="OR",--(COUNTIFS(nNIA,DATOS!$A7745,nCURSO,DATOS!$D7745,nESPEC,DATOS!$E7745,nASIG,DATOS!$I7745,nEVAL,"EX")=0),0))))</f>
      </c>
      <c r="H7745">
        <f>IF(DATOS!$G7745&lt;&gt;"EX",0,--(COUNTIFS(nNIA,DATOS!$A7745,nCURSO,DATOS!$D7745,nESPEC,DATOS!$E7745,nASIG,DATOS!$I7745,nEVAL,"OR")=0))</f>
      </c>
      <c r="I7745">
        <f>IF(DATOS!$I7745="","",IFERROR(VLOOKUP(DATOS!$I7745,CONFIG_ASIGNATURAS!$B$2:$J$91,9,FALSE()),""))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IF(DATOS!$A7746="",0,IF(CONFIG_METADATA!$B$4&lt;&gt;"OR+EX",--(DATOS!$G7746=CONFIG_METADATA!$B$4),IF(DATOS!$G7746="EX",1,IF(DATOS!$G7746="OR",--(COUNTIFS(nNIA,DATOS!$A7746,nCURSO,DATOS!$D7746,nESPEC,DATOS!$E7746,nASIG,DATOS!$I7746,nEVAL,"EX")=0),0))))</f>
      </c>
      <c r="H7746">
        <f>IF(DATOS!$G7746&lt;&gt;"EX",0,--(COUNTIFS(nNIA,DATOS!$A7746,nCURSO,DATOS!$D7746,nESPEC,DATOS!$E7746,nASIG,DATOS!$I7746,nEVAL,"OR")=0))</f>
      </c>
      <c r="I7746">
        <f>IF(DATOS!$I7746="","",IFERROR(VLOOKUP(DATOS!$I7746,CONFIG_ASIGNATURAS!$B$2:$J$91,9,FALSE()),""))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IF(DATOS!$A7747="",0,IF(CONFIG_METADATA!$B$4&lt;&gt;"OR+EX",--(DATOS!$G7747=CONFIG_METADATA!$B$4),IF(DATOS!$G7747="EX",1,IF(DATOS!$G7747="OR",--(COUNTIFS(nNIA,DATOS!$A7747,nCURSO,DATOS!$D7747,nESPEC,DATOS!$E7747,nASIG,DATOS!$I7747,nEVAL,"EX")=0),0))))</f>
      </c>
      <c r="H7747">
        <f>IF(DATOS!$G7747&lt;&gt;"EX",0,--(COUNTIFS(nNIA,DATOS!$A7747,nCURSO,DATOS!$D7747,nESPEC,DATOS!$E7747,nASIG,DATOS!$I7747,nEVAL,"OR")=0))</f>
      </c>
      <c r="I7747">
        <f>IF(DATOS!$I7747="","",IFERROR(VLOOKUP(DATOS!$I7747,CONFIG_ASIGNATURAS!$B$2:$J$91,9,FALSE()),""))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IF(DATOS!$A7748="",0,IF(CONFIG_METADATA!$B$4&lt;&gt;"OR+EX",--(DATOS!$G7748=CONFIG_METADATA!$B$4),IF(DATOS!$G7748="EX",1,IF(DATOS!$G7748="OR",--(COUNTIFS(nNIA,DATOS!$A7748,nCURSO,DATOS!$D7748,nESPEC,DATOS!$E7748,nASIG,DATOS!$I7748,nEVAL,"EX")=0),0))))</f>
      </c>
      <c r="H7748">
        <f>IF(DATOS!$G7748&lt;&gt;"EX",0,--(COUNTIFS(nNIA,DATOS!$A7748,nCURSO,DATOS!$D7748,nESPEC,DATOS!$E7748,nASIG,DATOS!$I7748,nEVAL,"OR")=0))</f>
      </c>
      <c r="I7748">
        <f>IF(DATOS!$I7748="","",IFERROR(VLOOKUP(DATOS!$I7748,CONFIG_ASIGNATURAS!$B$2:$J$91,9,FALSE()),""))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IF(DATOS!$A7749="",0,IF(CONFIG_METADATA!$B$4&lt;&gt;"OR+EX",--(DATOS!$G7749=CONFIG_METADATA!$B$4),IF(DATOS!$G7749="EX",1,IF(DATOS!$G7749="OR",--(COUNTIFS(nNIA,DATOS!$A7749,nCURSO,DATOS!$D7749,nESPEC,DATOS!$E7749,nASIG,DATOS!$I7749,nEVAL,"EX")=0),0))))</f>
      </c>
      <c r="H7749">
        <f>IF(DATOS!$G7749&lt;&gt;"EX",0,--(COUNTIFS(nNIA,DATOS!$A7749,nCURSO,DATOS!$D7749,nESPEC,DATOS!$E7749,nASIG,DATOS!$I7749,nEVAL,"OR")=0))</f>
      </c>
      <c r="I7749">
        <f>IF(DATOS!$I7749="","",IFERROR(VLOOKUP(DATOS!$I7749,CONFIG_ASIGNATURAS!$B$2:$J$91,9,FALSE()),""))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IF(DATOS!$A7750="",0,IF(CONFIG_METADATA!$B$4&lt;&gt;"OR+EX",--(DATOS!$G7750=CONFIG_METADATA!$B$4),IF(DATOS!$G7750="EX",1,IF(DATOS!$G7750="OR",--(COUNTIFS(nNIA,DATOS!$A7750,nCURSO,DATOS!$D7750,nESPEC,DATOS!$E7750,nASIG,DATOS!$I7750,nEVAL,"EX")=0),0))))</f>
      </c>
      <c r="H7750">
        <f>IF(DATOS!$G7750&lt;&gt;"EX",0,--(COUNTIFS(nNIA,DATOS!$A7750,nCURSO,DATOS!$D7750,nESPEC,DATOS!$E7750,nASIG,DATOS!$I7750,nEVAL,"OR")=0))</f>
      </c>
      <c r="I7750">
        <f>IF(DATOS!$I7750="","",IFERROR(VLOOKUP(DATOS!$I7750,CONFIG_ASIGNATURAS!$B$2:$J$91,9,FALSE()),""))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IF(DATOS!$A7751="",0,IF(CONFIG_METADATA!$B$4&lt;&gt;"OR+EX",--(DATOS!$G7751=CONFIG_METADATA!$B$4),IF(DATOS!$G7751="EX",1,IF(DATOS!$G7751="OR",--(COUNTIFS(nNIA,DATOS!$A7751,nCURSO,DATOS!$D7751,nESPEC,DATOS!$E7751,nASIG,DATOS!$I7751,nEVAL,"EX")=0),0))))</f>
      </c>
      <c r="H7751">
        <f>IF(DATOS!$G7751&lt;&gt;"EX",0,--(COUNTIFS(nNIA,DATOS!$A7751,nCURSO,DATOS!$D7751,nESPEC,DATOS!$E7751,nASIG,DATOS!$I7751,nEVAL,"OR")=0))</f>
      </c>
      <c r="I7751">
        <f>IF(DATOS!$I7751="","",IFERROR(VLOOKUP(DATOS!$I7751,CONFIG_ASIGNATURAS!$B$2:$J$91,9,FALSE()),""))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IF(DATOS!$A7752="",0,IF(CONFIG_METADATA!$B$4&lt;&gt;"OR+EX",--(DATOS!$G7752=CONFIG_METADATA!$B$4),IF(DATOS!$G7752="EX",1,IF(DATOS!$G7752="OR",--(COUNTIFS(nNIA,DATOS!$A7752,nCURSO,DATOS!$D7752,nESPEC,DATOS!$E7752,nASIG,DATOS!$I7752,nEVAL,"EX")=0),0))))</f>
      </c>
      <c r="H7752">
        <f>IF(DATOS!$G7752&lt;&gt;"EX",0,--(COUNTIFS(nNIA,DATOS!$A7752,nCURSO,DATOS!$D7752,nESPEC,DATOS!$E7752,nASIG,DATOS!$I7752,nEVAL,"OR")=0))</f>
      </c>
      <c r="I7752">
        <f>IF(DATOS!$I7752="","",IFERROR(VLOOKUP(DATOS!$I7752,CONFIG_ASIGNATURAS!$B$2:$J$91,9,FALSE()),""))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IF(DATOS!$A7753="",0,IF(CONFIG_METADATA!$B$4&lt;&gt;"OR+EX",--(DATOS!$G7753=CONFIG_METADATA!$B$4),IF(DATOS!$G7753="EX",1,IF(DATOS!$G7753="OR",--(COUNTIFS(nNIA,DATOS!$A7753,nCURSO,DATOS!$D7753,nESPEC,DATOS!$E7753,nASIG,DATOS!$I7753,nEVAL,"EX")=0),0))))</f>
      </c>
      <c r="H7753">
        <f>IF(DATOS!$G7753&lt;&gt;"EX",0,--(COUNTIFS(nNIA,DATOS!$A7753,nCURSO,DATOS!$D7753,nESPEC,DATOS!$E7753,nASIG,DATOS!$I7753,nEVAL,"OR")=0))</f>
      </c>
      <c r="I7753">
        <f>IF(DATOS!$I7753="","",IFERROR(VLOOKUP(DATOS!$I7753,CONFIG_ASIGNATURAS!$B$2:$J$91,9,FALSE()),""))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IF(DATOS!$A7754="",0,IF(CONFIG_METADATA!$B$4&lt;&gt;"OR+EX",--(DATOS!$G7754=CONFIG_METADATA!$B$4),IF(DATOS!$G7754="EX",1,IF(DATOS!$G7754="OR",--(COUNTIFS(nNIA,DATOS!$A7754,nCURSO,DATOS!$D7754,nESPEC,DATOS!$E7754,nASIG,DATOS!$I7754,nEVAL,"EX")=0),0))))</f>
      </c>
      <c r="H7754">
        <f>IF(DATOS!$G7754&lt;&gt;"EX",0,--(COUNTIFS(nNIA,DATOS!$A7754,nCURSO,DATOS!$D7754,nESPEC,DATOS!$E7754,nASIG,DATOS!$I7754,nEVAL,"OR")=0))</f>
      </c>
      <c r="I7754">
        <f>IF(DATOS!$I7754="","",IFERROR(VLOOKUP(DATOS!$I7754,CONFIG_ASIGNATURAS!$B$2:$J$91,9,FALSE()),""))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IF(DATOS!$A7755="",0,IF(CONFIG_METADATA!$B$4&lt;&gt;"OR+EX",--(DATOS!$G7755=CONFIG_METADATA!$B$4),IF(DATOS!$G7755="EX",1,IF(DATOS!$G7755="OR",--(COUNTIFS(nNIA,DATOS!$A7755,nCURSO,DATOS!$D7755,nESPEC,DATOS!$E7755,nASIG,DATOS!$I7755,nEVAL,"EX")=0),0))))</f>
      </c>
      <c r="H7755">
        <f>IF(DATOS!$G7755&lt;&gt;"EX",0,--(COUNTIFS(nNIA,DATOS!$A7755,nCURSO,DATOS!$D7755,nESPEC,DATOS!$E7755,nASIG,DATOS!$I7755,nEVAL,"OR")=0))</f>
      </c>
      <c r="I7755">
        <f>IF(DATOS!$I7755="","",IFERROR(VLOOKUP(DATOS!$I7755,CONFIG_ASIGNATURAS!$B$2:$J$91,9,FALSE()),""))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IF(DATOS!$A7756="",0,IF(CONFIG_METADATA!$B$4&lt;&gt;"OR+EX",--(DATOS!$G7756=CONFIG_METADATA!$B$4),IF(DATOS!$G7756="EX",1,IF(DATOS!$G7756="OR",--(COUNTIFS(nNIA,DATOS!$A7756,nCURSO,DATOS!$D7756,nESPEC,DATOS!$E7756,nASIG,DATOS!$I7756,nEVAL,"EX")=0),0))))</f>
      </c>
      <c r="H7756">
        <f>IF(DATOS!$G7756&lt;&gt;"EX",0,--(COUNTIFS(nNIA,DATOS!$A7756,nCURSO,DATOS!$D7756,nESPEC,DATOS!$E7756,nASIG,DATOS!$I7756,nEVAL,"OR")=0))</f>
      </c>
      <c r="I7756">
        <f>IF(DATOS!$I7756="","",IFERROR(VLOOKUP(DATOS!$I7756,CONFIG_ASIGNATURAS!$B$2:$J$91,9,FALSE()),""))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IF(DATOS!$A7757="",0,IF(CONFIG_METADATA!$B$4&lt;&gt;"OR+EX",--(DATOS!$G7757=CONFIG_METADATA!$B$4),IF(DATOS!$G7757="EX",1,IF(DATOS!$G7757="OR",--(COUNTIFS(nNIA,DATOS!$A7757,nCURSO,DATOS!$D7757,nESPEC,DATOS!$E7757,nASIG,DATOS!$I7757,nEVAL,"EX")=0),0))))</f>
      </c>
      <c r="H7757">
        <f>IF(DATOS!$G7757&lt;&gt;"EX",0,--(COUNTIFS(nNIA,DATOS!$A7757,nCURSO,DATOS!$D7757,nESPEC,DATOS!$E7757,nASIG,DATOS!$I7757,nEVAL,"OR")=0))</f>
      </c>
      <c r="I7757">
        <f>IF(DATOS!$I7757="","",IFERROR(VLOOKUP(DATOS!$I7757,CONFIG_ASIGNATURAS!$B$2:$J$91,9,FALSE()),""))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IF(DATOS!$A7758="",0,IF(CONFIG_METADATA!$B$4&lt;&gt;"OR+EX",--(DATOS!$G7758=CONFIG_METADATA!$B$4),IF(DATOS!$G7758="EX",1,IF(DATOS!$G7758="OR",--(COUNTIFS(nNIA,DATOS!$A7758,nCURSO,DATOS!$D7758,nESPEC,DATOS!$E7758,nASIG,DATOS!$I7758,nEVAL,"EX")=0),0))))</f>
      </c>
      <c r="H7758">
        <f>IF(DATOS!$G7758&lt;&gt;"EX",0,--(COUNTIFS(nNIA,DATOS!$A7758,nCURSO,DATOS!$D7758,nESPEC,DATOS!$E7758,nASIG,DATOS!$I7758,nEVAL,"OR")=0))</f>
      </c>
      <c r="I7758">
        <f>IF(DATOS!$I7758="","",IFERROR(VLOOKUP(DATOS!$I7758,CONFIG_ASIGNATURAS!$B$2:$J$91,9,FALSE()),""))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IF(DATOS!$A7759="",0,IF(CONFIG_METADATA!$B$4&lt;&gt;"OR+EX",--(DATOS!$G7759=CONFIG_METADATA!$B$4),IF(DATOS!$G7759="EX",1,IF(DATOS!$G7759="OR",--(COUNTIFS(nNIA,DATOS!$A7759,nCURSO,DATOS!$D7759,nESPEC,DATOS!$E7759,nASIG,DATOS!$I7759,nEVAL,"EX")=0),0))))</f>
      </c>
      <c r="H7759">
        <f>IF(DATOS!$G7759&lt;&gt;"EX",0,--(COUNTIFS(nNIA,DATOS!$A7759,nCURSO,DATOS!$D7759,nESPEC,DATOS!$E7759,nASIG,DATOS!$I7759,nEVAL,"OR")=0))</f>
      </c>
      <c r="I7759">
        <f>IF(DATOS!$I7759="","",IFERROR(VLOOKUP(DATOS!$I7759,CONFIG_ASIGNATURAS!$B$2:$J$91,9,FALSE()),""))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IF(DATOS!$A7760="",0,IF(CONFIG_METADATA!$B$4&lt;&gt;"OR+EX",--(DATOS!$G7760=CONFIG_METADATA!$B$4),IF(DATOS!$G7760="EX",1,IF(DATOS!$G7760="OR",--(COUNTIFS(nNIA,DATOS!$A7760,nCURSO,DATOS!$D7760,nESPEC,DATOS!$E7760,nASIG,DATOS!$I7760,nEVAL,"EX")=0),0))))</f>
      </c>
      <c r="H7760">
        <f>IF(DATOS!$G7760&lt;&gt;"EX",0,--(COUNTIFS(nNIA,DATOS!$A7760,nCURSO,DATOS!$D7760,nESPEC,DATOS!$E7760,nASIG,DATOS!$I7760,nEVAL,"OR")=0))</f>
      </c>
      <c r="I7760">
        <f>IF(DATOS!$I7760="","",IFERROR(VLOOKUP(DATOS!$I7760,CONFIG_ASIGNATURAS!$B$2:$J$91,9,FALSE()),""))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IF(DATOS!$A7761="",0,IF(CONFIG_METADATA!$B$4&lt;&gt;"OR+EX",--(DATOS!$G7761=CONFIG_METADATA!$B$4),IF(DATOS!$G7761="EX",1,IF(DATOS!$G7761="OR",--(COUNTIFS(nNIA,DATOS!$A7761,nCURSO,DATOS!$D7761,nESPEC,DATOS!$E7761,nASIG,DATOS!$I7761,nEVAL,"EX")=0),0))))</f>
      </c>
      <c r="H7761">
        <f>IF(DATOS!$G7761&lt;&gt;"EX",0,--(COUNTIFS(nNIA,DATOS!$A7761,nCURSO,DATOS!$D7761,nESPEC,DATOS!$E7761,nASIG,DATOS!$I7761,nEVAL,"OR")=0))</f>
      </c>
      <c r="I7761">
        <f>IF(DATOS!$I7761="","",IFERROR(VLOOKUP(DATOS!$I7761,CONFIG_ASIGNATURAS!$B$2:$J$91,9,FALSE()),""))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IF(DATOS!$A7762="",0,IF(CONFIG_METADATA!$B$4&lt;&gt;"OR+EX",--(DATOS!$G7762=CONFIG_METADATA!$B$4),IF(DATOS!$G7762="EX",1,IF(DATOS!$G7762="OR",--(COUNTIFS(nNIA,DATOS!$A7762,nCURSO,DATOS!$D7762,nESPEC,DATOS!$E7762,nASIG,DATOS!$I7762,nEVAL,"EX")=0),0))))</f>
      </c>
      <c r="H7762">
        <f>IF(DATOS!$G7762&lt;&gt;"EX",0,--(COUNTIFS(nNIA,DATOS!$A7762,nCURSO,DATOS!$D7762,nESPEC,DATOS!$E7762,nASIG,DATOS!$I7762,nEVAL,"OR")=0))</f>
      </c>
      <c r="I7762">
        <f>IF(DATOS!$I7762="","",IFERROR(VLOOKUP(DATOS!$I7762,CONFIG_ASIGNATURAS!$B$2:$J$91,9,FALSE()),""))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IF(DATOS!$A7763="",0,IF(CONFIG_METADATA!$B$4&lt;&gt;"OR+EX",--(DATOS!$G7763=CONFIG_METADATA!$B$4),IF(DATOS!$G7763="EX",1,IF(DATOS!$G7763="OR",--(COUNTIFS(nNIA,DATOS!$A7763,nCURSO,DATOS!$D7763,nESPEC,DATOS!$E7763,nASIG,DATOS!$I7763,nEVAL,"EX")=0),0))))</f>
      </c>
      <c r="H7763">
        <f>IF(DATOS!$G7763&lt;&gt;"EX",0,--(COUNTIFS(nNIA,DATOS!$A7763,nCURSO,DATOS!$D7763,nESPEC,DATOS!$E7763,nASIG,DATOS!$I7763,nEVAL,"OR")=0))</f>
      </c>
      <c r="I7763">
        <f>IF(DATOS!$I7763="","",IFERROR(VLOOKUP(DATOS!$I7763,CONFIG_ASIGNATURAS!$B$2:$J$91,9,FALSE()),""))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IF(DATOS!$A7764="",0,IF(CONFIG_METADATA!$B$4&lt;&gt;"OR+EX",--(DATOS!$G7764=CONFIG_METADATA!$B$4),IF(DATOS!$G7764="EX",1,IF(DATOS!$G7764="OR",--(COUNTIFS(nNIA,DATOS!$A7764,nCURSO,DATOS!$D7764,nESPEC,DATOS!$E7764,nASIG,DATOS!$I7764,nEVAL,"EX")=0),0))))</f>
      </c>
      <c r="H7764">
        <f>IF(DATOS!$G7764&lt;&gt;"EX",0,--(COUNTIFS(nNIA,DATOS!$A7764,nCURSO,DATOS!$D7764,nESPEC,DATOS!$E7764,nASIG,DATOS!$I7764,nEVAL,"OR")=0))</f>
      </c>
      <c r="I7764">
        <f>IF(DATOS!$I7764="","",IFERROR(VLOOKUP(DATOS!$I7764,CONFIG_ASIGNATURAS!$B$2:$J$91,9,FALSE()),""))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IF(DATOS!$A7765="",0,IF(CONFIG_METADATA!$B$4&lt;&gt;"OR+EX",--(DATOS!$G7765=CONFIG_METADATA!$B$4),IF(DATOS!$G7765="EX",1,IF(DATOS!$G7765="OR",--(COUNTIFS(nNIA,DATOS!$A7765,nCURSO,DATOS!$D7765,nESPEC,DATOS!$E7765,nASIG,DATOS!$I7765,nEVAL,"EX")=0),0))))</f>
      </c>
      <c r="H7765">
        <f>IF(DATOS!$G7765&lt;&gt;"EX",0,--(COUNTIFS(nNIA,DATOS!$A7765,nCURSO,DATOS!$D7765,nESPEC,DATOS!$E7765,nASIG,DATOS!$I7765,nEVAL,"OR")=0))</f>
      </c>
      <c r="I7765">
        <f>IF(DATOS!$I7765="","",IFERROR(VLOOKUP(DATOS!$I7765,CONFIG_ASIGNATURAS!$B$2:$J$91,9,FALSE()),""))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IF(DATOS!$A7766="",0,IF(CONFIG_METADATA!$B$4&lt;&gt;"OR+EX",--(DATOS!$G7766=CONFIG_METADATA!$B$4),IF(DATOS!$G7766="EX",1,IF(DATOS!$G7766="OR",--(COUNTIFS(nNIA,DATOS!$A7766,nCURSO,DATOS!$D7766,nESPEC,DATOS!$E7766,nASIG,DATOS!$I7766,nEVAL,"EX")=0),0))))</f>
      </c>
      <c r="H7766">
        <f>IF(DATOS!$G7766&lt;&gt;"EX",0,--(COUNTIFS(nNIA,DATOS!$A7766,nCURSO,DATOS!$D7766,nESPEC,DATOS!$E7766,nASIG,DATOS!$I7766,nEVAL,"OR")=0))</f>
      </c>
      <c r="I7766">
        <f>IF(DATOS!$I7766="","",IFERROR(VLOOKUP(DATOS!$I7766,CONFIG_ASIGNATURAS!$B$2:$J$91,9,FALSE()),""))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IF(DATOS!$A7767="",0,IF(CONFIG_METADATA!$B$4&lt;&gt;"OR+EX",--(DATOS!$G7767=CONFIG_METADATA!$B$4),IF(DATOS!$G7767="EX",1,IF(DATOS!$G7767="OR",--(COUNTIFS(nNIA,DATOS!$A7767,nCURSO,DATOS!$D7767,nESPEC,DATOS!$E7767,nASIG,DATOS!$I7767,nEVAL,"EX")=0),0))))</f>
      </c>
      <c r="H7767">
        <f>IF(DATOS!$G7767&lt;&gt;"EX",0,--(COUNTIFS(nNIA,DATOS!$A7767,nCURSO,DATOS!$D7767,nESPEC,DATOS!$E7767,nASIG,DATOS!$I7767,nEVAL,"OR")=0))</f>
      </c>
      <c r="I7767">
        <f>IF(DATOS!$I7767="","",IFERROR(VLOOKUP(DATOS!$I7767,CONFIG_ASIGNATURAS!$B$2:$J$91,9,FALSE()),""))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IF(DATOS!$A7768="",0,IF(CONFIG_METADATA!$B$4&lt;&gt;"OR+EX",--(DATOS!$G7768=CONFIG_METADATA!$B$4),IF(DATOS!$G7768="EX",1,IF(DATOS!$G7768="OR",--(COUNTIFS(nNIA,DATOS!$A7768,nCURSO,DATOS!$D7768,nESPEC,DATOS!$E7768,nASIG,DATOS!$I7768,nEVAL,"EX")=0),0))))</f>
      </c>
      <c r="H7768">
        <f>IF(DATOS!$G7768&lt;&gt;"EX",0,--(COUNTIFS(nNIA,DATOS!$A7768,nCURSO,DATOS!$D7768,nESPEC,DATOS!$E7768,nASIG,DATOS!$I7768,nEVAL,"OR")=0))</f>
      </c>
      <c r="I7768">
        <f>IF(DATOS!$I7768="","",IFERROR(VLOOKUP(DATOS!$I7768,CONFIG_ASIGNATURAS!$B$2:$J$91,9,FALSE()),""))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IF(DATOS!$A7769="",0,IF(CONFIG_METADATA!$B$4&lt;&gt;"OR+EX",--(DATOS!$G7769=CONFIG_METADATA!$B$4),IF(DATOS!$G7769="EX",1,IF(DATOS!$G7769="OR",--(COUNTIFS(nNIA,DATOS!$A7769,nCURSO,DATOS!$D7769,nESPEC,DATOS!$E7769,nASIG,DATOS!$I7769,nEVAL,"EX")=0),0))))</f>
      </c>
      <c r="H7769">
        <f>IF(DATOS!$G7769&lt;&gt;"EX",0,--(COUNTIFS(nNIA,DATOS!$A7769,nCURSO,DATOS!$D7769,nESPEC,DATOS!$E7769,nASIG,DATOS!$I7769,nEVAL,"OR")=0))</f>
      </c>
      <c r="I7769">
        <f>IF(DATOS!$I7769="","",IFERROR(VLOOKUP(DATOS!$I7769,CONFIG_ASIGNATURAS!$B$2:$J$91,9,FALSE()),""))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IF(DATOS!$A7770="",0,IF(CONFIG_METADATA!$B$4&lt;&gt;"OR+EX",--(DATOS!$G7770=CONFIG_METADATA!$B$4),IF(DATOS!$G7770="EX",1,IF(DATOS!$G7770="OR",--(COUNTIFS(nNIA,DATOS!$A7770,nCURSO,DATOS!$D7770,nESPEC,DATOS!$E7770,nASIG,DATOS!$I7770,nEVAL,"EX")=0),0))))</f>
      </c>
      <c r="H7770">
        <f>IF(DATOS!$G7770&lt;&gt;"EX",0,--(COUNTIFS(nNIA,DATOS!$A7770,nCURSO,DATOS!$D7770,nESPEC,DATOS!$E7770,nASIG,DATOS!$I7770,nEVAL,"OR")=0))</f>
      </c>
      <c r="I7770">
        <f>IF(DATOS!$I7770="","",IFERROR(VLOOKUP(DATOS!$I7770,CONFIG_ASIGNATURAS!$B$2:$J$91,9,FALSE()),""))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IF(DATOS!$A7771="",0,IF(CONFIG_METADATA!$B$4&lt;&gt;"OR+EX",--(DATOS!$G7771=CONFIG_METADATA!$B$4),IF(DATOS!$G7771="EX",1,IF(DATOS!$G7771="OR",--(COUNTIFS(nNIA,DATOS!$A7771,nCURSO,DATOS!$D7771,nESPEC,DATOS!$E7771,nASIG,DATOS!$I7771,nEVAL,"EX")=0),0))))</f>
      </c>
      <c r="H7771">
        <f>IF(DATOS!$G7771&lt;&gt;"EX",0,--(COUNTIFS(nNIA,DATOS!$A7771,nCURSO,DATOS!$D7771,nESPEC,DATOS!$E7771,nASIG,DATOS!$I7771,nEVAL,"OR")=0))</f>
      </c>
      <c r="I7771">
        <f>IF(DATOS!$I7771="","",IFERROR(VLOOKUP(DATOS!$I7771,CONFIG_ASIGNATURAS!$B$2:$J$91,9,FALSE()),""))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IF(DATOS!$A7772="",0,IF(CONFIG_METADATA!$B$4&lt;&gt;"OR+EX",--(DATOS!$G7772=CONFIG_METADATA!$B$4),IF(DATOS!$G7772="EX",1,IF(DATOS!$G7772="OR",--(COUNTIFS(nNIA,DATOS!$A7772,nCURSO,DATOS!$D7772,nESPEC,DATOS!$E7772,nASIG,DATOS!$I7772,nEVAL,"EX")=0),0))))</f>
      </c>
      <c r="H7772">
        <f>IF(DATOS!$G7772&lt;&gt;"EX",0,--(COUNTIFS(nNIA,DATOS!$A7772,nCURSO,DATOS!$D7772,nESPEC,DATOS!$E7772,nASIG,DATOS!$I7772,nEVAL,"OR")=0))</f>
      </c>
      <c r="I7772">
        <f>IF(DATOS!$I7772="","",IFERROR(VLOOKUP(DATOS!$I7772,CONFIG_ASIGNATURAS!$B$2:$J$91,9,FALSE()),""))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IF(DATOS!$A7773="",0,IF(CONFIG_METADATA!$B$4&lt;&gt;"OR+EX",--(DATOS!$G7773=CONFIG_METADATA!$B$4),IF(DATOS!$G7773="EX",1,IF(DATOS!$G7773="OR",--(COUNTIFS(nNIA,DATOS!$A7773,nCURSO,DATOS!$D7773,nESPEC,DATOS!$E7773,nASIG,DATOS!$I7773,nEVAL,"EX")=0),0))))</f>
      </c>
      <c r="H7773">
        <f>IF(DATOS!$G7773&lt;&gt;"EX",0,--(COUNTIFS(nNIA,DATOS!$A7773,nCURSO,DATOS!$D7773,nESPEC,DATOS!$E7773,nASIG,DATOS!$I7773,nEVAL,"OR")=0))</f>
      </c>
      <c r="I7773">
        <f>IF(DATOS!$I7773="","",IFERROR(VLOOKUP(DATOS!$I7773,CONFIG_ASIGNATURAS!$B$2:$J$91,9,FALSE()),""))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IF(DATOS!$A7774="",0,IF(CONFIG_METADATA!$B$4&lt;&gt;"OR+EX",--(DATOS!$G7774=CONFIG_METADATA!$B$4),IF(DATOS!$G7774="EX",1,IF(DATOS!$G7774="OR",--(COUNTIFS(nNIA,DATOS!$A7774,nCURSO,DATOS!$D7774,nESPEC,DATOS!$E7774,nASIG,DATOS!$I7774,nEVAL,"EX")=0),0))))</f>
      </c>
      <c r="H7774">
        <f>IF(DATOS!$G7774&lt;&gt;"EX",0,--(COUNTIFS(nNIA,DATOS!$A7774,nCURSO,DATOS!$D7774,nESPEC,DATOS!$E7774,nASIG,DATOS!$I7774,nEVAL,"OR")=0))</f>
      </c>
      <c r="I7774">
        <f>IF(DATOS!$I7774="","",IFERROR(VLOOKUP(DATOS!$I7774,CONFIG_ASIGNATURAS!$B$2:$J$91,9,FALSE()),""))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IF(DATOS!$A7775="",0,IF(CONFIG_METADATA!$B$4&lt;&gt;"OR+EX",--(DATOS!$G7775=CONFIG_METADATA!$B$4),IF(DATOS!$G7775="EX",1,IF(DATOS!$G7775="OR",--(COUNTIFS(nNIA,DATOS!$A7775,nCURSO,DATOS!$D7775,nESPEC,DATOS!$E7775,nASIG,DATOS!$I7775,nEVAL,"EX")=0),0))))</f>
      </c>
      <c r="H7775">
        <f>IF(DATOS!$G7775&lt;&gt;"EX",0,--(COUNTIFS(nNIA,DATOS!$A7775,nCURSO,DATOS!$D7775,nESPEC,DATOS!$E7775,nASIG,DATOS!$I7775,nEVAL,"OR")=0))</f>
      </c>
      <c r="I7775">
        <f>IF(DATOS!$I7775="","",IFERROR(VLOOKUP(DATOS!$I7775,CONFIG_ASIGNATURAS!$B$2:$J$91,9,FALSE()),""))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IF(DATOS!$A7776="",0,IF(CONFIG_METADATA!$B$4&lt;&gt;"OR+EX",--(DATOS!$G7776=CONFIG_METADATA!$B$4),IF(DATOS!$G7776="EX",1,IF(DATOS!$G7776="OR",--(COUNTIFS(nNIA,DATOS!$A7776,nCURSO,DATOS!$D7776,nESPEC,DATOS!$E7776,nASIG,DATOS!$I7776,nEVAL,"EX")=0),0))))</f>
      </c>
      <c r="H7776">
        <f>IF(DATOS!$G7776&lt;&gt;"EX",0,--(COUNTIFS(nNIA,DATOS!$A7776,nCURSO,DATOS!$D7776,nESPEC,DATOS!$E7776,nASIG,DATOS!$I7776,nEVAL,"OR")=0))</f>
      </c>
      <c r="I7776">
        <f>IF(DATOS!$I7776="","",IFERROR(VLOOKUP(DATOS!$I7776,CONFIG_ASIGNATURAS!$B$2:$J$91,9,FALSE()),""))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IF(DATOS!$A7777="",0,IF(CONFIG_METADATA!$B$4&lt;&gt;"OR+EX",--(DATOS!$G7777=CONFIG_METADATA!$B$4),IF(DATOS!$G7777="EX",1,IF(DATOS!$G7777="OR",--(COUNTIFS(nNIA,DATOS!$A7777,nCURSO,DATOS!$D7777,nESPEC,DATOS!$E7777,nASIG,DATOS!$I7777,nEVAL,"EX")=0),0))))</f>
      </c>
      <c r="H7777">
        <f>IF(DATOS!$G7777&lt;&gt;"EX",0,--(COUNTIFS(nNIA,DATOS!$A7777,nCURSO,DATOS!$D7777,nESPEC,DATOS!$E7777,nASIG,DATOS!$I7777,nEVAL,"OR")=0))</f>
      </c>
      <c r="I7777">
        <f>IF(DATOS!$I7777="","",IFERROR(VLOOKUP(DATOS!$I7777,CONFIG_ASIGNATURAS!$B$2:$J$91,9,FALSE()),""))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IF(DATOS!$A7778="",0,IF(CONFIG_METADATA!$B$4&lt;&gt;"OR+EX",--(DATOS!$G7778=CONFIG_METADATA!$B$4),IF(DATOS!$G7778="EX",1,IF(DATOS!$G7778="OR",--(COUNTIFS(nNIA,DATOS!$A7778,nCURSO,DATOS!$D7778,nESPEC,DATOS!$E7778,nASIG,DATOS!$I7778,nEVAL,"EX")=0),0))))</f>
      </c>
      <c r="H7778">
        <f>IF(DATOS!$G7778&lt;&gt;"EX",0,--(COUNTIFS(nNIA,DATOS!$A7778,nCURSO,DATOS!$D7778,nESPEC,DATOS!$E7778,nASIG,DATOS!$I7778,nEVAL,"OR")=0))</f>
      </c>
      <c r="I7778">
        <f>IF(DATOS!$I7778="","",IFERROR(VLOOKUP(DATOS!$I7778,CONFIG_ASIGNATURAS!$B$2:$J$91,9,FALSE()),""))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IF(DATOS!$A7779="",0,IF(CONFIG_METADATA!$B$4&lt;&gt;"OR+EX",--(DATOS!$G7779=CONFIG_METADATA!$B$4),IF(DATOS!$G7779="EX",1,IF(DATOS!$G7779="OR",--(COUNTIFS(nNIA,DATOS!$A7779,nCURSO,DATOS!$D7779,nESPEC,DATOS!$E7779,nASIG,DATOS!$I7779,nEVAL,"EX")=0),0))))</f>
      </c>
      <c r="H7779">
        <f>IF(DATOS!$G7779&lt;&gt;"EX",0,--(COUNTIFS(nNIA,DATOS!$A7779,nCURSO,DATOS!$D7779,nESPEC,DATOS!$E7779,nASIG,DATOS!$I7779,nEVAL,"OR")=0))</f>
      </c>
      <c r="I7779">
        <f>IF(DATOS!$I7779="","",IFERROR(VLOOKUP(DATOS!$I7779,CONFIG_ASIGNATURAS!$B$2:$J$91,9,FALSE()),""))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IF(DATOS!$A7780="",0,IF(CONFIG_METADATA!$B$4&lt;&gt;"OR+EX",--(DATOS!$G7780=CONFIG_METADATA!$B$4),IF(DATOS!$G7780="EX",1,IF(DATOS!$G7780="OR",--(COUNTIFS(nNIA,DATOS!$A7780,nCURSO,DATOS!$D7780,nESPEC,DATOS!$E7780,nASIG,DATOS!$I7780,nEVAL,"EX")=0),0))))</f>
      </c>
      <c r="H7780">
        <f>IF(DATOS!$G7780&lt;&gt;"EX",0,--(COUNTIFS(nNIA,DATOS!$A7780,nCURSO,DATOS!$D7780,nESPEC,DATOS!$E7780,nASIG,DATOS!$I7780,nEVAL,"OR")=0))</f>
      </c>
      <c r="I7780">
        <f>IF(DATOS!$I7780="","",IFERROR(VLOOKUP(DATOS!$I7780,CONFIG_ASIGNATURAS!$B$2:$J$91,9,FALSE()),""))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IF(DATOS!$A7781="",0,IF(CONFIG_METADATA!$B$4&lt;&gt;"OR+EX",--(DATOS!$G7781=CONFIG_METADATA!$B$4),IF(DATOS!$G7781="EX",1,IF(DATOS!$G7781="OR",--(COUNTIFS(nNIA,DATOS!$A7781,nCURSO,DATOS!$D7781,nESPEC,DATOS!$E7781,nASIG,DATOS!$I7781,nEVAL,"EX")=0),0))))</f>
      </c>
      <c r="H7781">
        <f>IF(DATOS!$G7781&lt;&gt;"EX",0,--(COUNTIFS(nNIA,DATOS!$A7781,nCURSO,DATOS!$D7781,nESPEC,DATOS!$E7781,nASIG,DATOS!$I7781,nEVAL,"OR")=0))</f>
      </c>
      <c r="I7781">
        <f>IF(DATOS!$I7781="","",IFERROR(VLOOKUP(DATOS!$I7781,CONFIG_ASIGNATURAS!$B$2:$J$91,9,FALSE()),""))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IF(DATOS!$A7782="",0,IF(CONFIG_METADATA!$B$4&lt;&gt;"OR+EX",--(DATOS!$G7782=CONFIG_METADATA!$B$4),IF(DATOS!$G7782="EX",1,IF(DATOS!$G7782="OR",--(COUNTIFS(nNIA,DATOS!$A7782,nCURSO,DATOS!$D7782,nESPEC,DATOS!$E7782,nASIG,DATOS!$I7782,nEVAL,"EX")=0),0))))</f>
      </c>
      <c r="H7782">
        <f>IF(DATOS!$G7782&lt;&gt;"EX",0,--(COUNTIFS(nNIA,DATOS!$A7782,nCURSO,DATOS!$D7782,nESPEC,DATOS!$E7782,nASIG,DATOS!$I7782,nEVAL,"OR")=0))</f>
      </c>
      <c r="I7782">
        <f>IF(DATOS!$I7782="","",IFERROR(VLOOKUP(DATOS!$I7782,CONFIG_ASIGNATURAS!$B$2:$J$91,9,FALSE()),""))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IF(DATOS!$A7783="",0,IF(CONFIG_METADATA!$B$4&lt;&gt;"OR+EX",--(DATOS!$G7783=CONFIG_METADATA!$B$4),IF(DATOS!$G7783="EX",1,IF(DATOS!$G7783="OR",--(COUNTIFS(nNIA,DATOS!$A7783,nCURSO,DATOS!$D7783,nESPEC,DATOS!$E7783,nASIG,DATOS!$I7783,nEVAL,"EX")=0),0))))</f>
      </c>
      <c r="H7783">
        <f>IF(DATOS!$G7783&lt;&gt;"EX",0,--(COUNTIFS(nNIA,DATOS!$A7783,nCURSO,DATOS!$D7783,nESPEC,DATOS!$E7783,nASIG,DATOS!$I7783,nEVAL,"OR")=0))</f>
      </c>
      <c r="I7783">
        <f>IF(DATOS!$I7783="","",IFERROR(VLOOKUP(DATOS!$I7783,CONFIG_ASIGNATURAS!$B$2:$J$91,9,FALSE()),""))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IF(DATOS!$A7784="",0,IF(CONFIG_METADATA!$B$4&lt;&gt;"OR+EX",--(DATOS!$G7784=CONFIG_METADATA!$B$4),IF(DATOS!$G7784="EX",1,IF(DATOS!$G7784="OR",--(COUNTIFS(nNIA,DATOS!$A7784,nCURSO,DATOS!$D7784,nESPEC,DATOS!$E7784,nASIG,DATOS!$I7784,nEVAL,"EX")=0),0))))</f>
      </c>
      <c r="H7784">
        <f>IF(DATOS!$G7784&lt;&gt;"EX",0,--(COUNTIFS(nNIA,DATOS!$A7784,nCURSO,DATOS!$D7784,nESPEC,DATOS!$E7784,nASIG,DATOS!$I7784,nEVAL,"OR")=0))</f>
      </c>
      <c r="I7784">
        <f>IF(DATOS!$I7784="","",IFERROR(VLOOKUP(DATOS!$I7784,CONFIG_ASIGNATURAS!$B$2:$J$91,9,FALSE()),""))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IF(DATOS!$A7785="",0,IF(CONFIG_METADATA!$B$4&lt;&gt;"OR+EX",--(DATOS!$G7785=CONFIG_METADATA!$B$4),IF(DATOS!$G7785="EX",1,IF(DATOS!$G7785="OR",--(COUNTIFS(nNIA,DATOS!$A7785,nCURSO,DATOS!$D7785,nESPEC,DATOS!$E7785,nASIG,DATOS!$I7785,nEVAL,"EX")=0),0))))</f>
      </c>
      <c r="H7785">
        <f>IF(DATOS!$G7785&lt;&gt;"EX",0,--(COUNTIFS(nNIA,DATOS!$A7785,nCURSO,DATOS!$D7785,nESPEC,DATOS!$E7785,nASIG,DATOS!$I7785,nEVAL,"OR")=0))</f>
      </c>
      <c r="I7785">
        <f>IF(DATOS!$I7785="","",IFERROR(VLOOKUP(DATOS!$I7785,CONFIG_ASIGNATURAS!$B$2:$J$91,9,FALSE()),""))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IF(DATOS!$A7786="",0,IF(CONFIG_METADATA!$B$4&lt;&gt;"OR+EX",--(DATOS!$G7786=CONFIG_METADATA!$B$4),IF(DATOS!$G7786="EX",1,IF(DATOS!$G7786="OR",--(COUNTIFS(nNIA,DATOS!$A7786,nCURSO,DATOS!$D7786,nESPEC,DATOS!$E7786,nASIG,DATOS!$I7786,nEVAL,"EX")=0),0))))</f>
      </c>
      <c r="H7786">
        <f>IF(DATOS!$G7786&lt;&gt;"EX",0,--(COUNTIFS(nNIA,DATOS!$A7786,nCURSO,DATOS!$D7786,nESPEC,DATOS!$E7786,nASIG,DATOS!$I7786,nEVAL,"OR")=0))</f>
      </c>
      <c r="I7786">
        <f>IF(DATOS!$I7786="","",IFERROR(VLOOKUP(DATOS!$I7786,CONFIG_ASIGNATURAS!$B$2:$J$91,9,FALSE()),""))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IF(DATOS!$A7787="",0,IF(CONFIG_METADATA!$B$4&lt;&gt;"OR+EX",--(DATOS!$G7787=CONFIG_METADATA!$B$4),IF(DATOS!$G7787="EX",1,IF(DATOS!$G7787="OR",--(COUNTIFS(nNIA,DATOS!$A7787,nCURSO,DATOS!$D7787,nESPEC,DATOS!$E7787,nASIG,DATOS!$I7787,nEVAL,"EX")=0),0))))</f>
      </c>
      <c r="H7787">
        <f>IF(DATOS!$G7787&lt;&gt;"EX",0,--(COUNTIFS(nNIA,DATOS!$A7787,nCURSO,DATOS!$D7787,nESPEC,DATOS!$E7787,nASIG,DATOS!$I7787,nEVAL,"OR")=0))</f>
      </c>
      <c r="I7787">
        <f>IF(DATOS!$I7787="","",IFERROR(VLOOKUP(DATOS!$I7787,CONFIG_ASIGNATURAS!$B$2:$J$91,9,FALSE()),""))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IF(DATOS!$A7788="",0,IF(CONFIG_METADATA!$B$4&lt;&gt;"OR+EX",--(DATOS!$G7788=CONFIG_METADATA!$B$4),IF(DATOS!$G7788="EX",1,IF(DATOS!$G7788="OR",--(COUNTIFS(nNIA,DATOS!$A7788,nCURSO,DATOS!$D7788,nESPEC,DATOS!$E7788,nASIG,DATOS!$I7788,nEVAL,"EX")=0),0))))</f>
      </c>
      <c r="H7788">
        <f>IF(DATOS!$G7788&lt;&gt;"EX",0,--(COUNTIFS(nNIA,DATOS!$A7788,nCURSO,DATOS!$D7788,nESPEC,DATOS!$E7788,nASIG,DATOS!$I7788,nEVAL,"OR")=0))</f>
      </c>
      <c r="I7788">
        <f>IF(DATOS!$I7788="","",IFERROR(VLOOKUP(DATOS!$I7788,CONFIG_ASIGNATURAS!$B$2:$J$91,9,FALSE()),""))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IF(DATOS!$A7789="",0,IF(CONFIG_METADATA!$B$4&lt;&gt;"OR+EX",--(DATOS!$G7789=CONFIG_METADATA!$B$4),IF(DATOS!$G7789="EX",1,IF(DATOS!$G7789="OR",--(COUNTIFS(nNIA,DATOS!$A7789,nCURSO,DATOS!$D7789,nESPEC,DATOS!$E7789,nASIG,DATOS!$I7789,nEVAL,"EX")=0),0))))</f>
      </c>
      <c r="H7789">
        <f>IF(DATOS!$G7789&lt;&gt;"EX",0,--(COUNTIFS(nNIA,DATOS!$A7789,nCURSO,DATOS!$D7789,nESPEC,DATOS!$E7789,nASIG,DATOS!$I7789,nEVAL,"OR")=0))</f>
      </c>
      <c r="I7789">
        <f>IF(DATOS!$I7789="","",IFERROR(VLOOKUP(DATOS!$I7789,CONFIG_ASIGNATURAS!$B$2:$J$91,9,FALSE()),""))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IF(DATOS!$A7790="",0,IF(CONFIG_METADATA!$B$4&lt;&gt;"OR+EX",--(DATOS!$G7790=CONFIG_METADATA!$B$4),IF(DATOS!$G7790="EX",1,IF(DATOS!$G7790="OR",--(COUNTIFS(nNIA,DATOS!$A7790,nCURSO,DATOS!$D7790,nESPEC,DATOS!$E7790,nASIG,DATOS!$I7790,nEVAL,"EX")=0),0))))</f>
      </c>
      <c r="H7790">
        <f>IF(DATOS!$G7790&lt;&gt;"EX",0,--(COUNTIFS(nNIA,DATOS!$A7790,nCURSO,DATOS!$D7790,nESPEC,DATOS!$E7790,nASIG,DATOS!$I7790,nEVAL,"OR")=0))</f>
      </c>
      <c r="I7790">
        <f>IF(DATOS!$I7790="","",IFERROR(VLOOKUP(DATOS!$I7790,CONFIG_ASIGNATURAS!$B$2:$J$91,9,FALSE()),""))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IF(DATOS!$A7791="",0,IF(CONFIG_METADATA!$B$4&lt;&gt;"OR+EX",--(DATOS!$G7791=CONFIG_METADATA!$B$4),IF(DATOS!$G7791="EX",1,IF(DATOS!$G7791="OR",--(COUNTIFS(nNIA,DATOS!$A7791,nCURSO,DATOS!$D7791,nESPEC,DATOS!$E7791,nASIG,DATOS!$I7791,nEVAL,"EX")=0),0))))</f>
      </c>
      <c r="H7791">
        <f>IF(DATOS!$G7791&lt;&gt;"EX",0,--(COUNTIFS(nNIA,DATOS!$A7791,nCURSO,DATOS!$D7791,nESPEC,DATOS!$E7791,nASIG,DATOS!$I7791,nEVAL,"OR")=0))</f>
      </c>
      <c r="I7791">
        <f>IF(DATOS!$I7791="","",IFERROR(VLOOKUP(DATOS!$I7791,CONFIG_ASIGNATURAS!$B$2:$J$91,9,FALSE()),""))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IF(DATOS!$A7792="",0,IF(CONFIG_METADATA!$B$4&lt;&gt;"OR+EX",--(DATOS!$G7792=CONFIG_METADATA!$B$4),IF(DATOS!$G7792="EX",1,IF(DATOS!$G7792="OR",--(COUNTIFS(nNIA,DATOS!$A7792,nCURSO,DATOS!$D7792,nESPEC,DATOS!$E7792,nASIG,DATOS!$I7792,nEVAL,"EX")=0),0))))</f>
      </c>
      <c r="H7792">
        <f>IF(DATOS!$G7792&lt;&gt;"EX",0,--(COUNTIFS(nNIA,DATOS!$A7792,nCURSO,DATOS!$D7792,nESPEC,DATOS!$E7792,nASIG,DATOS!$I7792,nEVAL,"OR")=0))</f>
      </c>
      <c r="I7792">
        <f>IF(DATOS!$I7792="","",IFERROR(VLOOKUP(DATOS!$I7792,CONFIG_ASIGNATURAS!$B$2:$J$91,9,FALSE()),""))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IF(DATOS!$A7793="",0,IF(CONFIG_METADATA!$B$4&lt;&gt;"OR+EX",--(DATOS!$G7793=CONFIG_METADATA!$B$4),IF(DATOS!$G7793="EX",1,IF(DATOS!$G7793="OR",--(COUNTIFS(nNIA,DATOS!$A7793,nCURSO,DATOS!$D7793,nESPEC,DATOS!$E7793,nASIG,DATOS!$I7793,nEVAL,"EX")=0),0))))</f>
      </c>
      <c r="H7793">
        <f>IF(DATOS!$G7793&lt;&gt;"EX",0,--(COUNTIFS(nNIA,DATOS!$A7793,nCURSO,DATOS!$D7793,nESPEC,DATOS!$E7793,nASIG,DATOS!$I7793,nEVAL,"OR")=0))</f>
      </c>
      <c r="I7793">
        <f>IF(DATOS!$I7793="","",IFERROR(VLOOKUP(DATOS!$I7793,CONFIG_ASIGNATURAS!$B$2:$J$91,9,FALSE()),""))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IF(DATOS!$A7794="",0,IF(CONFIG_METADATA!$B$4&lt;&gt;"OR+EX",--(DATOS!$G7794=CONFIG_METADATA!$B$4),IF(DATOS!$G7794="EX",1,IF(DATOS!$G7794="OR",--(COUNTIFS(nNIA,DATOS!$A7794,nCURSO,DATOS!$D7794,nESPEC,DATOS!$E7794,nASIG,DATOS!$I7794,nEVAL,"EX")=0),0))))</f>
      </c>
      <c r="H7794">
        <f>IF(DATOS!$G7794&lt;&gt;"EX",0,--(COUNTIFS(nNIA,DATOS!$A7794,nCURSO,DATOS!$D7794,nESPEC,DATOS!$E7794,nASIG,DATOS!$I7794,nEVAL,"OR")=0))</f>
      </c>
      <c r="I7794">
        <f>IF(DATOS!$I7794="","",IFERROR(VLOOKUP(DATOS!$I7794,CONFIG_ASIGNATURAS!$B$2:$J$91,9,FALSE()),""))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IF(DATOS!$A7795="",0,IF(CONFIG_METADATA!$B$4&lt;&gt;"OR+EX",--(DATOS!$G7795=CONFIG_METADATA!$B$4),IF(DATOS!$G7795="EX",1,IF(DATOS!$G7795="OR",--(COUNTIFS(nNIA,DATOS!$A7795,nCURSO,DATOS!$D7795,nESPEC,DATOS!$E7795,nASIG,DATOS!$I7795,nEVAL,"EX")=0),0))))</f>
      </c>
      <c r="H7795">
        <f>IF(DATOS!$G7795&lt;&gt;"EX",0,--(COUNTIFS(nNIA,DATOS!$A7795,nCURSO,DATOS!$D7795,nESPEC,DATOS!$E7795,nASIG,DATOS!$I7795,nEVAL,"OR")=0))</f>
      </c>
      <c r="I7795">
        <f>IF(DATOS!$I7795="","",IFERROR(VLOOKUP(DATOS!$I7795,CONFIG_ASIGNATURAS!$B$2:$J$91,9,FALSE()),""))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IF(DATOS!$A7796="",0,IF(CONFIG_METADATA!$B$4&lt;&gt;"OR+EX",--(DATOS!$G7796=CONFIG_METADATA!$B$4),IF(DATOS!$G7796="EX",1,IF(DATOS!$G7796="OR",--(COUNTIFS(nNIA,DATOS!$A7796,nCURSO,DATOS!$D7796,nESPEC,DATOS!$E7796,nASIG,DATOS!$I7796,nEVAL,"EX")=0),0))))</f>
      </c>
      <c r="H7796">
        <f>IF(DATOS!$G7796&lt;&gt;"EX",0,--(COUNTIFS(nNIA,DATOS!$A7796,nCURSO,DATOS!$D7796,nESPEC,DATOS!$E7796,nASIG,DATOS!$I7796,nEVAL,"OR")=0))</f>
      </c>
      <c r="I7796">
        <f>IF(DATOS!$I7796="","",IFERROR(VLOOKUP(DATOS!$I7796,CONFIG_ASIGNATURAS!$B$2:$J$91,9,FALSE()),""))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IF(DATOS!$A7797="",0,IF(CONFIG_METADATA!$B$4&lt;&gt;"OR+EX",--(DATOS!$G7797=CONFIG_METADATA!$B$4),IF(DATOS!$G7797="EX",1,IF(DATOS!$G7797="OR",--(COUNTIFS(nNIA,DATOS!$A7797,nCURSO,DATOS!$D7797,nESPEC,DATOS!$E7797,nASIG,DATOS!$I7797,nEVAL,"EX")=0),0))))</f>
      </c>
      <c r="H7797">
        <f>IF(DATOS!$G7797&lt;&gt;"EX",0,--(COUNTIFS(nNIA,DATOS!$A7797,nCURSO,DATOS!$D7797,nESPEC,DATOS!$E7797,nASIG,DATOS!$I7797,nEVAL,"OR")=0))</f>
      </c>
      <c r="I7797">
        <f>IF(DATOS!$I7797="","",IFERROR(VLOOKUP(DATOS!$I7797,CONFIG_ASIGNATURAS!$B$2:$J$91,9,FALSE()),""))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IF(DATOS!$A7798="",0,IF(CONFIG_METADATA!$B$4&lt;&gt;"OR+EX",--(DATOS!$G7798=CONFIG_METADATA!$B$4),IF(DATOS!$G7798="EX",1,IF(DATOS!$G7798="OR",--(COUNTIFS(nNIA,DATOS!$A7798,nCURSO,DATOS!$D7798,nESPEC,DATOS!$E7798,nASIG,DATOS!$I7798,nEVAL,"EX")=0),0))))</f>
      </c>
      <c r="H7798">
        <f>IF(DATOS!$G7798&lt;&gt;"EX",0,--(COUNTIFS(nNIA,DATOS!$A7798,nCURSO,DATOS!$D7798,nESPEC,DATOS!$E7798,nASIG,DATOS!$I7798,nEVAL,"OR")=0))</f>
      </c>
      <c r="I7798">
        <f>IF(DATOS!$I7798="","",IFERROR(VLOOKUP(DATOS!$I7798,CONFIG_ASIGNATURAS!$B$2:$J$91,9,FALSE()),""))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IF(DATOS!$A7799="",0,IF(CONFIG_METADATA!$B$4&lt;&gt;"OR+EX",--(DATOS!$G7799=CONFIG_METADATA!$B$4),IF(DATOS!$G7799="EX",1,IF(DATOS!$G7799="OR",--(COUNTIFS(nNIA,DATOS!$A7799,nCURSO,DATOS!$D7799,nESPEC,DATOS!$E7799,nASIG,DATOS!$I7799,nEVAL,"EX")=0),0))))</f>
      </c>
      <c r="H7799">
        <f>IF(DATOS!$G7799&lt;&gt;"EX",0,--(COUNTIFS(nNIA,DATOS!$A7799,nCURSO,DATOS!$D7799,nESPEC,DATOS!$E7799,nASIG,DATOS!$I7799,nEVAL,"OR")=0))</f>
      </c>
      <c r="I7799">
        <f>IF(DATOS!$I7799="","",IFERROR(VLOOKUP(DATOS!$I7799,CONFIG_ASIGNATURAS!$B$2:$J$91,9,FALSE()),""))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IF(DATOS!$A7800="",0,IF(CONFIG_METADATA!$B$4&lt;&gt;"OR+EX",--(DATOS!$G7800=CONFIG_METADATA!$B$4),IF(DATOS!$G7800="EX",1,IF(DATOS!$G7800="OR",--(COUNTIFS(nNIA,DATOS!$A7800,nCURSO,DATOS!$D7800,nESPEC,DATOS!$E7800,nASIG,DATOS!$I7800,nEVAL,"EX")=0),0))))</f>
      </c>
      <c r="H7800">
        <f>IF(DATOS!$G7800&lt;&gt;"EX",0,--(COUNTIFS(nNIA,DATOS!$A7800,nCURSO,DATOS!$D7800,nESPEC,DATOS!$E7800,nASIG,DATOS!$I7800,nEVAL,"OR")=0))</f>
      </c>
      <c r="I7800">
        <f>IF(DATOS!$I7800="","",IFERROR(VLOOKUP(DATOS!$I7800,CONFIG_ASIGNATURAS!$B$2:$J$91,9,FALSE()),""))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IF(DATOS!$A7801="",0,IF(CONFIG_METADATA!$B$4&lt;&gt;"OR+EX",--(DATOS!$G7801=CONFIG_METADATA!$B$4),IF(DATOS!$G7801="EX",1,IF(DATOS!$G7801="OR",--(COUNTIFS(nNIA,DATOS!$A7801,nCURSO,DATOS!$D7801,nESPEC,DATOS!$E7801,nASIG,DATOS!$I7801,nEVAL,"EX")=0),0))))</f>
      </c>
      <c r="H7801">
        <f>IF(DATOS!$G7801&lt;&gt;"EX",0,--(COUNTIFS(nNIA,DATOS!$A7801,nCURSO,DATOS!$D7801,nESPEC,DATOS!$E7801,nASIG,DATOS!$I7801,nEVAL,"OR")=0))</f>
      </c>
      <c r="I7801">
        <f>IF(DATOS!$I7801="","",IFERROR(VLOOKUP(DATOS!$I7801,CONFIG_ASIGNATURAS!$B$2:$J$91,9,FALSE()),""))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IF(DATOS!$A7802="",0,IF(CONFIG_METADATA!$B$4&lt;&gt;"OR+EX",--(DATOS!$G7802=CONFIG_METADATA!$B$4),IF(DATOS!$G7802="EX",1,IF(DATOS!$G7802="OR",--(COUNTIFS(nNIA,DATOS!$A7802,nCURSO,DATOS!$D7802,nESPEC,DATOS!$E7802,nASIG,DATOS!$I7802,nEVAL,"EX")=0),0))))</f>
      </c>
      <c r="H7802">
        <f>IF(DATOS!$G7802&lt;&gt;"EX",0,--(COUNTIFS(nNIA,DATOS!$A7802,nCURSO,DATOS!$D7802,nESPEC,DATOS!$E7802,nASIG,DATOS!$I7802,nEVAL,"OR")=0))</f>
      </c>
      <c r="I7802">
        <f>IF(DATOS!$I7802="","",IFERROR(VLOOKUP(DATOS!$I7802,CONFIG_ASIGNATURAS!$B$2:$J$91,9,FALSE()),""))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IF(DATOS!$A7803="",0,IF(CONFIG_METADATA!$B$4&lt;&gt;"OR+EX",--(DATOS!$G7803=CONFIG_METADATA!$B$4),IF(DATOS!$G7803="EX",1,IF(DATOS!$G7803="OR",--(COUNTIFS(nNIA,DATOS!$A7803,nCURSO,DATOS!$D7803,nESPEC,DATOS!$E7803,nASIG,DATOS!$I7803,nEVAL,"EX")=0),0))))</f>
      </c>
      <c r="H7803">
        <f>IF(DATOS!$G7803&lt;&gt;"EX",0,--(COUNTIFS(nNIA,DATOS!$A7803,nCURSO,DATOS!$D7803,nESPEC,DATOS!$E7803,nASIG,DATOS!$I7803,nEVAL,"OR")=0))</f>
      </c>
      <c r="I7803">
        <f>IF(DATOS!$I7803="","",IFERROR(VLOOKUP(DATOS!$I7803,CONFIG_ASIGNATURAS!$B$2:$J$91,9,FALSE()),""))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IF(DATOS!$A7804="",0,IF(CONFIG_METADATA!$B$4&lt;&gt;"OR+EX",--(DATOS!$G7804=CONFIG_METADATA!$B$4),IF(DATOS!$G7804="EX",1,IF(DATOS!$G7804="OR",--(COUNTIFS(nNIA,DATOS!$A7804,nCURSO,DATOS!$D7804,nESPEC,DATOS!$E7804,nASIG,DATOS!$I7804,nEVAL,"EX")=0),0))))</f>
      </c>
      <c r="H7804">
        <f>IF(DATOS!$G7804&lt;&gt;"EX",0,--(COUNTIFS(nNIA,DATOS!$A7804,nCURSO,DATOS!$D7804,nESPEC,DATOS!$E7804,nASIG,DATOS!$I7804,nEVAL,"OR")=0))</f>
      </c>
      <c r="I7804">
        <f>IF(DATOS!$I7804="","",IFERROR(VLOOKUP(DATOS!$I7804,CONFIG_ASIGNATURAS!$B$2:$J$91,9,FALSE()),""))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IF(DATOS!$A7805="",0,IF(CONFIG_METADATA!$B$4&lt;&gt;"OR+EX",--(DATOS!$G7805=CONFIG_METADATA!$B$4),IF(DATOS!$G7805="EX",1,IF(DATOS!$G7805="OR",--(COUNTIFS(nNIA,DATOS!$A7805,nCURSO,DATOS!$D7805,nESPEC,DATOS!$E7805,nASIG,DATOS!$I7805,nEVAL,"EX")=0),0))))</f>
      </c>
      <c r="H7805">
        <f>IF(DATOS!$G7805&lt;&gt;"EX",0,--(COUNTIFS(nNIA,DATOS!$A7805,nCURSO,DATOS!$D7805,nESPEC,DATOS!$E7805,nASIG,DATOS!$I7805,nEVAL,"OR")=0))</f>
      </c>
      <c r="I7805">
        <f>IF(DATOS!$I7805="","",IFERROR(VLOOKUP(DATOS!$I7805,CONFIG_ASIGNATURAS!$B$2:$J$91,9,FALSE()),""))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IF(DATOS!$A7806="",0,IF(CONFIG_METADATA!$B$4&lt;&gt;"OR+EX",--(DATOS!$G7806=CONFIG_METADATA!$B$4),IF(DATOS!$G7806="EX",1,IF(DATOS!$G7806="OR",--(COUNTIFS(nNIA,DATOS!$A7806,nCURSO,DATOS!$D7806,nESPEC,DATOS!$E7806,nASIG,DATOS!$I7806,nEVAL,"EX")=0),0))))</f>
      </c>
      <c r="H7806">
        <f>IF(DATOS!$G7806&lt;&gt;"EX",0,--(COUNTIFS(nNIA,DATOS!$A7806,nCURSO,DATOS!$D7806,nESPEC,DATOS!$E7806,nASIG,DATOS!$I7806,nEVAL,"OR")=0))</f>
      </c>
      <c r="I7806">
        <f>IF(DATOS!$I7806="","",IFERROR(VLOOKUP(DATOS!$I7806,CONFIG_ASIGNATURAS!$B$2:$J$91,9,FALSE()),""))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IF(DATOS!$A7807="",0,IF(CONFIG_METADATA!$B$4&lt;&gt;"OR+EX",--(DATOS!$G7807=CONFIG_METADATA!$B$4),IF(DATOS!$G7807="EX",1,IF(DATOS!$G7807="OR",--(COUNTIFS(nNIA,DATOS!$A7807,nCURSO,DATOS!$D7807,nESPEC,DATOS!$E7807,nASIG,DATOS!$I7807,nEVAL,"EX")=0),0))))</f>
      </c>
      <c r="H7807">
        <f>IF(DATOS!$G7807&lt;&gt;"EX",0,--(COUNTIFS(nNIA,DATOS!$A7807,nCURSO,DATOS!$D7807,nESPEC,DATOS!$E7807,nASIG,DATOS!$I7807,nEVAL,"OR")=0))</f>
      </c>
      <c r="I7807">
        <f>IF(DATOS!$I7807="","",IFERROR(VLOOKUP(DATOS!$I7807,CONFIG_ASIGNATURAS!$B$2:$J$91,9,FALSE()),""))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IF(DATOS!$A7808="",0,IF(CONFIG_METADATA!$B$4&lt;&gt;"OR+EX",--(DATOS!$G7808=CONFIG_METADATA!$B$4),IF(DATOS!$G7808="EX",1,IF(DATOS!$G7808="OR",--(COUNTIFS(nNIA,DATOS!$A7808,nCURSO,DATOS!$D7808,nESPEC,DATOS!$E7808,nASIG,DATOS!$I7808,nEVAL,"EX")=0),0))))</f>
      </c>
      <c r="H7808">
        <f>IF(DATOS!$G7808&lt;&gt;"EX",0,--(COUNTIFS(nNIA,DATOS!$A7808,nCURSO,DATOS!$D7808,nESPEC,DATOS!$E7808,nASIG,DATOS!$I7808,nEVAL,"OR")=0))</f>
      </c>
      <c r="I7808">
        <f>IF(DATOS!$I7808="","",IFERROR(VLOOKUP(DATOS!$I7808,CONFIG_ASIGNATURAS!$B$2:$J$91,9,FALSE()),""))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IF(DATOS!$A7809="",0,IF(CONFIG_METADATA!$B$4&lt;&gt;"OR+EX",--(DATOS!$G7809=CONFIG_METADATA!$B$4),IF(DATOS!$G7809="EX",1,IF(DATOS!$G7809="OR",--(COUNTIFS(nNIA,DATOS!$A7809,nCURSO,DATOS!$D7809,nESPEC,DATOS!$E7809,nASIG,DATOS!$I7809,nEVAL,"EX")=0),0))))</f>
      </c>
      <c r="H7809">
        <f>IF(DATOS!$G7809&lt;&gt;"EX",0,--(COUNTIFS(nNIA,DATOS!$A7809,nCURSO,DATOS!$D7809,nESPEC,DATOS!$E7809,nASIG,DATOS!$I7809,nEVAL,"OR")=0))</f>
      </c>
      <c r="I7809">
        <f>IF(DATOS!$I7809="","",IFERROR(VLOOKUP(DATOS!$I7809,CONFIG_ASIGNATURAS!$B$2:$J$91,9,FALSE()),""))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IF(DATOS!$A7810="",0,IF(CONFIG_METADATA!$B$4&lt;&gt;"OR+EX",--(DATOS!$G7810=CONFIG_METADATA!$B$4),IF(DATOS!$G7810="EX",1,IF(DATOS!$G7810="OR",--(COUNTIFS(nNIA,DATOS!$A7810,nCURSO,DATOS!$D7810,nESPEC,DATOS!$E7810,nASIG,DATOS!$I7810,nEVAL,"EX")=0),0))))</f>
      </c>
      <c r="H7810">
        <f>IF(DATOS!$G7810&lt;&gt;"EX",0,--(COUNTIFS(nNIA,DATOS!$A7810,nCURSO,DATOS!$D7810,nESPEC,DATOS!$E7810,nASIG,DATOS!$I7810,nEVAL,"OR")=0))</f>
      </c>
      <c r="I7810">
        <f>IF(DATOS!$I7810="","",IFERROR(VLOOKUP(DATOS!$I7810,CONFIG_ASIGNATURAS!$B$2:$J$91,9,FALSE()),""))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IF(DATOS!$A7811="",0,IF(CONFIG_METADATA!$B$4&lt;&gt;"OR+EX",--(DATOS!$G7811=CONFIG_METADATA!$B$4),IF(DATOS!$G7811="EX",1,IF(DATOS!$G7811="OR",--(COUNTIFS(nNIA,DATOS!$A7811,nCURSO,DATOS!$D7811,nESPEC,DATOS!$E7811,nASIG,DATOS!$I7811,nEVAL,"EX")=0),0))))</f>
      </c>
      <c r="H7811">
        <f>IF(DATOS!$G7811&lt;&gt;"EX",0,--(COUNTIFS(nNIA,DATOS!$A7811,nCURSO,DATOS!$D7811,nESPEC,DATOS!$E7811,nASIG,DATOS!$I7811,nEVAL,"OR")=0))</f>
      </c>
      <c r="I7811">
        <f>IF(DATOS!$I7811="","",IFERROR(VLOOKUP(DATOS!$I7811,CONFIG_ASIGNATURAS!$B$2:$J$91,9,FALSE()),""))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IF(DATOS!$A7812="",0,IF(CONFIG_METADATA!$B$4&lt;&gt;"OR+EX",--(DATOS!$G7812=CONFIG_METADATA!$B$4),IF(DATOS!$G7812="EX",1,IF(DATOS!$G7812="OR",--(COUNTIFS(nNIA,DATOS!$A7812,nCURSO,DATOS!$D7812,nESPEC,DATOS!$E7812,nASIG,DATOS!$I7812,nEVAL,"EX")=0),0))))</f>
      </c>
      <c r="H7812">
        <f>IF(DATOS!$G7812&lt;&gt;"EX",0,--(COUNTIFS(nNIA,DATOS!$A7812,nCURSO,DATOS!$D7812,nESPEC,DATOS!$E7812,nASIG,DATOS!$I7812,nEVAL,"OR")=0))</f>
      </c>
      <c r="I7812">
        <f>IF(DATOS!$I7812="","",IFERROR(VLOOKUP(DATOS!$I7812,CONFIG_ASIGNATURAS!$B$2:$J$91,9,FALSE()),""))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IF(DATOS!$A7813="",0,IF(CONFIG_METADATA!$B$4&lt;&gt;"OR+EX",--(DATOS!$G7813=CONFIG_METADATA!$B$4),IF(DATOS!$G7813="EX",1,IF(DATOS!$G7813="OR",--(COUNTIFS(nNIA,DATOS!$A7813,nCURSO,DATOS!$D7813,nESPEC,DATOS!$E7813,nASIG,DATOS!$I7813,nEVAL,"EX")=0),0))))</f>
      </c>
      <c r="H7813">
        <f>IF(DATOS!$G7813&lt;&gt;"EX",0,--(COUNTIFS(nNIA,DATOS!$A7813,nCURSO,DATOS!$D7813,nESPEC,DATOS!$E7813,nASIG,DATOS!$I7813,nEVAL,"OR")=0))</f>
      </c>
      <c r="I7813">
        <f>IF(DATOS!$I7813="","",IFERROR(VLOOKUP(DATOS!$I7813,CONFIG_ASIGNATURAS!$B$2:$J$91,9,FALSE()),""))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IF(DATOS!$A7814="",0,IF(CONFIG_METADATA!$B$4&lt;&gt;"OR+EX",--(DATOS!$G7814=CONFIG_METADATA!$B$4),IF(DATOS!$G7814="EX",1,IF(DATOS!$G7814="OR",--(COUNTIFS(nNIA,DATOS!$A7814,nCURSO,DATOS!$D7814,nESPEC,DATOS!$E7814,nASIG,DATOS!$I7814,nEVAL,"EX")=0),0))))</f>
      </c>
      <c r="H7814">
        <f>IF(DATOS!$G7814&lt;&gt;"EX",0,--(COUNTIFS(nNIA,DATOS!$A7814,nCURSO,DATOS!$D7814,nESPEC,DATOS!$E7814,nASIG,DATOS!$I7814,nEVAL,"OR")=0))</f>
      </c>
      <c r="I7814">
        <f>IF(DATOS!$I7814="","",IFERROR(VLOOKUP(DATOS!$I7814,CONFIG_ASIGNATURAS!$B$2:$J$91,9,FALSE()),""))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IF(DATOS!$A7815="",0,IF(CONFIG_METADATA!$B$4&lt;&gt;"OR+EX",--(DATOS!$G7815=CONFIG_METADATA!$B$4),IF(DATOS!$G7815="EX",1,IF(DATOS!$G7815="OR",--(COUNTIFS(nNIA,DATOS!$A7815,nCURSO,DATOS!$D7815,nESPEC,DATOS!$E7815,nASIG,DATOS!$I7815,nEVAL,"EX")=0),0))))</f>
      </c>
      <c r="H7815">
        <f>IF(DATOS!$G7815&lt;&gt;"EX",0,--(COUNTIFS(nNIA,DATOS!$A7815,nCURSO,DATOS!$D7815,nESPEC,DATOS!$E7815,nASIG,DATOS!$I7815,nEVAL,"OR")=0))</f>
      </c>
      <c r="I7815">
        <f>IF(DATOS!$I7815="","",IFERROR(VLOOKUP(DATOS!$I7815,CONFIG_ASIGNATURAS!$B$2:$J$91,9,FALSE()),""))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IF(DATOS!$A7816="",0,IF(CONFIG_METADATA!$B$4&lt;&gt;"OR+EX",--(DATOS!$G7816=CONFIG_METADATA!$B$4),IF(DATOS!$G7816="EX",1,IF(DATOS!$G7816="OR",--(COUNTIFS(nNIA,DATOS!$A7816,nCURSO,DATOS!$D7816,nESPEC,DATOS!$E7816,nASIG,DATOS!$I7816,nEVAL,"EX")=0),0))))</f>
      </c>
      <c r="H7816">
        <f>IF(DATOS!$G7816&lt;&gt;"EX",0,--(COUNTIFS(nNIA,DATOS!$A7816,nCURSO,DATOS!$D7816,nESPEC,DATOS!$E7816,nASIG,DATOS!$I7816,nEVAL,"OR")=0))</f>
      </c>
      <c r="I7816">
        <f>IF(DATOS!$I7816="","",IFERROR(VLOOKUP(DATOS!$I7816,CONFIG_ASIGNATURAS!$B$2:$J$91,9,FALSE()),""))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IF(DATOS!$A7817="",0,IF(CONFIG_METADATA!$B$4&lt;&gt;"OR+EX",--(DATOS!$G7817=CONFIG_METADATA!$B$4),IF(DATOS!$G7817="EX",1,IF(DATOS!$G7817="OR",--(COUNTIFS(nNIA,DATOS!$A7817,nCURSO,DATOS!$D7817,nESPEC,DATOS!$E7817,nASIG,DATOS!$I7817,nEVAL,"EX")=0),0))))</f>
      </c>
      <c r="H7817">
        <f>IF(DATOS!$G7817&lt;&gt;"EX",0,--(COUNTIFS(nNIA,DATOS!$A7817,nCURSO,DATOS!$D7817,nESPEC,DATOS!$E7817,nASIG,DATOS!$I7817,nEVAL,"OR")=0))</f>
      </c>
      <c r="I7817">
        <f>IF(DATOS!$I7817="","",IFERROR(VLOOKUP(DATOS!$I7817,CONFIG_ASIGNATURAS!$B$2:$J$91,9,FALSE()),""))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IF(DATOS!$A7818="",0,IF(CONFIG_METADATA!$B$4&lt;&gt;"OR+EX",--(DATOS!$G7818=CONFIG_METADATA!$B$4),IF(DATOS!$G7818="EX",1,IF(DATOS!$G7818="OR",--(COUNTIFS(nNIA,DATOS!$A7818,nCURSO,DATOS!$D7818,nESPEC,DATOS!$E7818,nASIG,DATOS!$I7818,nEVAL,"EX")=0),0))))</f>
      </c>
      <c r="H7818">
        <f>IF(DATOS!$G7818&lt;&gt;"EX",0,--(COUNTIFS(nNIA,DATOS!$A7818,nCURSO,DATOS!$D7818,nESPEC,DATOS!$E7818,nASIG,DATOS!$I7818,nEVAL,"OR")=0))</f>
      </c>
      <c r="I7818">
        <f>IF(DATOS!$I7818="","",IFERROR(VLOOKUP(DATOS!$I7818,CONFIG_ASIGNATURAS!$B$2:$J$91,9,FALSE()),""))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IF(DATOS!$A7819="",0,IF(CONFIG_METADATA!$B$4&lt;&gt;"OR+EX",--(DATOS!$G7819=CONFIG_METADATA!$B$4),IF(DATOS!$G7819="EX",1,IF(DATOS!$G7819="OR",--(COUNTIFS(nNIA,DATOS!$A7819,nCURSO,DATOS!$D7819,nESPEC,DATOS!$E7819,nASIG,DATOS!$I7819,nEVAL,"EX")=0),0))))</f>
      </c>
      <c r="H7819">
        <f>IF(DATOS!$G7819&lt;&gt;"EX",0,--(COUNTIFS(nNIA,DATOS!$A7819,nCURSO,DATOS!$D7819,nESPEC,DATOS!$E7819,nASIG,DATOS!$I7819,nEVAL,"OR")=0))</f>
      </c>
      <c r="I7819">
        <f>IF(DATOS!$I7819="","",IFERROR(VLOOKUP(DATOS!$I7819,CONFIG_ASIGNATURAS!$B$2:$J$91,9,FALSE()),""))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IF(DATOS!$A7820="",0,IF(CONFIG_METADATA!$B$4&lt;&gt;"OR+EX",--(DATOS!$G7820=CONFIG_METADATA!$B$4),IF(DATOS!$G7820="EX",1,IF(DATOS!$G7820="OR",--(COUNTIFS(nNIA,DATOS!$A7820,nCURSO,DATOS!$D7820,nESPEC,DATOS!$E7820,nASIG,DATOS!$I7820,nEVAL,"EX")=0),0))))</f>
      </c>
      <c r="H7820">
        <f>IF(DATOS!$G7820&lt;&gt;"EX",0,--(COUNTIFS(nNIA,DATOS!$A7820,nCURSO,DATOS!$D7820,nESPEC,DATOS!$E7820,nASIG,DATOS!$I7820,nEVAL,"OR")=0))</f>
      </c>
      <c r="I7820">
        <f>IF(DATOS!$I7820="","",IFERROR(VLOOKUP(DATOS!$I7820,CONFIG_ASIGNATURAS!$B$2:$J$91,9,FALSE()),""))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IF(DATOS!$A7821="",0,IF(CONFIG_METADATA!$B$4&lt;&gt;"OR+EX",--(DATOS!$G7821=CONFIG_METADATA!$B$4),IF(DATOS!$G7821="EX",1,IF(DATOS!$G7821="OR",--(COUNTIFS(nNIA,DATOS!$A7821,nCURSO,DATOS!$D7821,nESPEC,DATOS!$E7821,nASIG,DATOS!$I7821,nEVAL,"EX")=0),0))))</f>
      </c>
      <c r="H7821">
        <f>IF(DATOS!$G7821&lt;&gt;"EX",0,--(COUNTIFS(nNIA,DATOS!$A7821,nCURSO,DATOS!$D7821,nESPEC,DATOS!$E7821,nASIG,DATOS!$I7821,nEVAL,"OR")=0))</f>
      </c>
      <c r="I7821">
        <f>IF(DATOS!$I7821="","",IFERROR(VLOOKUP(DATOS!$I7821,CONFIG_ASIGNATURAS!$B$2:$J$91,9,FALSE()),""))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IF(DATOS!$A7822="",0,IF(CONFIG_METADATA!$B$4&lt;&gt;"OR+EX",--(DATOS!$G7822=CONFIG_METADATA!$B$4),IF(DATOS!$G7822="EX",1,IF(DATOS!$G7822="OR",--(COUNTIFS(nNIA,DATOS!$A7822,nCURSO,DATOS!$D7822,nESPEC,DATOS!$E7822,nASIG,DATOS!$I7822,nEVAL,"EX")=0),0))))</f>
      </c>
      <c r="H7822">
        <f>IF(DATOS!$G7822&lt;&gt;"EX",0,--(COUNTIFS(nNIA,DATOS!$A7822,nCURSO,DATOS!$D7822,nESPEC,DATOS!$E7822,nASIG,DATOS!$I7822,nEVAL,"OR")=0))</f>
      </c>
      <c r="I7822">
        <f>IF(DATOS!$I7822="","",IFERROR(VLOOKUP(DATOS!$I7822,CONFIG_ASIGNATURAS!$B$2:$J$91,9,FALSE()),""))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IF(DATOS!$A7823="",0,IF(CONFIG_METADATA!$B$4&lt;&gt;"OR+EX",--(DATOS!$G7823=CONFIG_METADATA!$B$4),IF(DATOS!$G7823="EX",1,IF(DATOS!$G7823="OR",--(COUNTIFS(nNIA,DATOS!$A7823,nCURSO,DATOS!$D7823,nESPEC,DATOS!$E7823,nASIG,DATOS!$I7823,nEVAL,"EX")=0),0))))</f>
      </c>
      <c r="H7823">
        <f>IF(DATOS!$G7823&lt;&gt;"EX",0,--(COUNTIFS(nNIA,DATOS!$A7823,nCURSO,DATOS!$D7823,nESPEC,DATOS!$E7823,nASIG,DATOS!$I7823,nEVAL,"OR")=0))</f>
      </c>
      <c r="I7823">
        <f>IF(DATOS!$I7823="","",IFERROR(VLOOKUP(DATOS!$I7823,CONFIG_ASIGNATURAS!$B$2:$J$91,9,FALSE()),""))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IF(DATOS!$A7824="",0,IF(CONFIG_METADATA!$B$4&lt;&gt;"OR+EX",--(DATOS!$G7824=CONFIG_METADATA!$B$4),IF(DATOS!$G7824="EX",1,IF(DATOS!$G7824="OR",--(COUNTIFS(nNIA,DATOS!$A7824,nCURSO,DATOS!$D7824,nESPEC,DATOS!$E7824,nASIG,DATOS!$I7824,nEVAL,"EX")=0),0))))</f>
      </c>
      <c r="H7824">
        <f>IF(DATOS!$G7824&lt;&gt;"EX",0,--(COUNTIFS(nNIA,DATOS!$A7824,nCURSO,DATOS!$D7824,nESPEC,DATOS!$E7824,nASIG,DATOS!$I7824,nEVAL,"OR")=0))</f>
      </c>
      <c r="I7824">
        <f>IF(DATOS!$I7824="","",IFERROR(VLOOKUP(DATOS!$I7824,CONFIG_ASIGNATURAS!$B$2:$J$91,9,FALSE()),""))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IF(DATOS!$A7825="",0,IF(CONFIG_METADATA!$B$4&lt;&gt;"OR+EX",--(DATOS!$G7825=CONFIG_METADATA!$B$4),IF(DATOS!$G7825="EX",1,IF(DATOS!$G7825="OR",--(COUNTIFS(nNIA,DATOS!$A7825,nCURSO,DATOS!$D7825,nESPEC,DATOS!$E7825,nASIG,DATOS!$I7825,nEVAL,"EX")=0),0))))</f>
      </c>
      <c r="H7825">
        <f>IF(DATOS!$G7825&lt;&gt;"EX",0,--(COUNTIFS(nNIA,DATOS!$A7825,nCURSO,DATOS!$D7825,nESPEC,DATOS!$E7825,nASIG,DATOS!$I7825,nEVAL,"OR")=0))</f>
      </c>
      <c r="I7825">
        <f>IF(DATOS!$I7825="","",IFERROR(VLOOKUP(DATOS!$I7825,CONFIG_ASIGNATURAS!$B$2:$J$91,9,FALSE()),""))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IF(DATOS!$A7826="",0,IF(CONFIG_METADATA!$B$4&lt;&gt;"OR+EX",--(DATOS!$G7826=CONFIG_METADATA!$B$4),IF(DATOS!$G7826="EX",1,IF(DATOS!$G7826="OR",--(COUNTIFS(nNIA,DATOS!$A7826,nCURSO,DATOS!$D7826,nESPEC,DATOS!$E7826,nASIG,DATOS!$I7826,nEVAL,"EX")=0),0))))</f>
      </c>
      <c r="H7826">
        <f>IF(DATOS!$G7826&lt;&gt;"EX",0,--(COUNTIFS(nNIA,DATOS!$A7826,nCURSO,DATOS!$D7826,nESPEC,DATOS!$E7826,nASIG,DATOS!$I7826,nEVAL,"OR")=0))</f>
      </c>
      <c r="I7826">
        <f>IF(DATOS!$I7826="","",IFERROR(VLOOKUP(DATOS!$I7826,CONFIG_ASIGNATURAS!$B$2:$J$91,9,FALSE()),""))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IF(DATOS!$A7827="",0,IF(CONFIG_METADATA!$B$4&lt;&gt;"OR+EX",--(DATOS!$G7827=CONFIG_METADATA!$B$4),IF(DATOS!$G7827="EX",1,IF(DATOS!$G7827="OR",--(COUNTIFS(nNIA,DATOS!$A7827,nCURSO,DATOS!$D7827,nESPEC,DATOS!$E7827,nASIG,DATOS!$I7827,nEVAL,"EX")=0),0))))</f>
      </c>
      <c r="H7827">
        <f>IF(DATOS!$G7827&lt;&gt;"EX",0,--(COUNTIFS(nNIA,DATOS!$A7827,nCURSO,DATOS!$D7827,nESPEC,DATOS!$E7827,nASIG,DATOS!$I7827,nEVAL,"OR")=0))</f>
      </c>
      <c r="I7827">
        <f>IF(DATOS!$I7827="","",IFERROR(VLOOKUP(DATOS!$I7827,CONFIG_ASIGNATURAS!$B$2:$J$91,9,FALSE()),""))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IF(DATOS!$A7828="",0,IF(CONFIG_METADATA!$B$4&lt;&gt;"OR+EX",--(DATOS!$G7828=CONFIG_METADATA!$B$4),IF(DATOS!$G7828="EX",1,IF(DATOS!$G7828="OR",--(COUNTIFS(nNIA,DATOS!$A7828,nCURSO,DATOS!$D7828,nESPEC,DATOS!$E7828,nASIG,DATOS!$I7828,nEVAL,"EX")=0),0))))</f>
      </c>
      <c r="H7828">
        <f>IF(DATOS!$G7828&lt;&gt;"EX",0,--(COUNTIFS(nNIA,DATOS!$A7828,nCURSO,DATOS!$D7828,nESPEC,DATOS!$E7828,nASIG,DATOS!$I7828,nEVAL,"OR")=0))</f>
      </c>
      <c r="I7828">
        <f>IF(DATOS!$I7828="","",IFERROR(VLOOKUP(DATOS!$I7828,CONFIG_ASIGNATURAS!$B$2:$J$91,9,FALSE()),""))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IF(DATOS!$A7829="",0,IF(CONFIG_METADATA!$B$4&lt;&gt;"OR+EX",--(DATOS!$G7829=CONFIG_METADATA!$B$4),IF(DATOS!$G7829="EX",1,IF(DATOS!$G7829="OR",--(COUNTIFS(nNIA,DATOS!$A7829,nCURSO,DATOS!$D7829,nESPEC,DATOS!$E7829,nASIG,DATOS!$I7829,nEVAL,"EX")=0),0))))</f>
      </c>
      <c r="H7829">
        <f>IF(DATOS!$G7829&lt;&gt;"EX",0,--(COUNTIFS(nNIA,DATOS!$A7829,nCURSO,DATOS!$D7829,nESPEC,DATOS!$E7829,nASIG,DATOS!$I7829,nEVAL,"OR")=0))</f>
      </c>
      <c r="I7829">
        <f>IF(DATOS!$I7829="","",IFERROR(VLOOKUP(DATOS!$I7829,CONFIG_ASIGNATURAS!$B$2:$J$91,9,FALSE()),""))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IF(DATOS!$A7830="",0,IF(CONFIG_METADATA!$B$4&lt;&gt;"OR+EX",--(DATOS!$G7830=CONFIG_METADATA!$B$4),IF(DATOS!$G7830="EX",1,IF(DATOS!$G7830="OR",--(COUNTIFS(nNIA,DATOS!$A7830,nCURSO,DATOS!$D7830,nESPEC,DATOS!$E7830,nASIG,DATOS!$I7830,nEVAL,"EX")=0),0))))</f>
      </c>
      <c r="H7830">
        <f>IF(DATOS!$G7830&lt;&gt;"EX",0,--(COUNTIFS(nNIA,DATOS!$A7830,nCURSO,DATOS!$D7830,nESPEC,DATOS!$E7830,nASIG,DATOS!$I7830,nEVAL,"OR")=0))</f>
      </c>
      <c r="I7830">
        <f>IF(DATOS!$I7830="","",IFERROR(VLOOKUP(DATOS!$I7830,CONFIG_ASIGNATURAS!$B$2:$J$91,9,FALSE()),""))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IF(DATOS!$A7831="",0,IF(CONFIG_METADATA!$B$4&lt;&gt;"OR+EX",--(DATOS!$G7831=CONFIG_METADATA!$B$4),IF(DATOS!$G7831="EX",1,IF(DATOS!$G7831="OR",--(COUNTIFS(nNIA,DATOS!$A7831,nCURSO,DATOS!$D7831,nESPEC,DATOS!$E7831,nASIG,DATOS!$I7831,nEVAL,"EX")=0),0))))</f>
      </c>
      <c r="H7831">
        <f>IF(DATOS!$G7831&lt;&gt;"EX",0,--(COUNTIFS(nNIA,DATOS!$A7831,nCURSO,DATOS!$D7831,nESPEC,DATOS!$E7831,nASIG,DATOS!$I7831,nEVAL,"OR")=0))</f>
      </c>
      <c r="I7831">
        <f>IF(DATOS!$I7831="","",IFERROR(VLOOKUP(DATOS!$I7831,CONFIG_ASIGNATURAS!$B$2:$J$91,9,FALSE()),""))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IF(DATOS!$A7832="",0,IF(CONFIG_METADATA!$B$4&lt;&gt;"OR+EX",--(DATOS!$G7832=CONFIG_METADATA!$B$4),IF(DATOS!$G7832="EX",1,IF(DATOS!$G7832="OR",--(COUNTIFS(nNIA,DATOS!$A7832,nCURSO,DATOS!$D7832,nESPEC,DATOS!$E7832,nASIG,DATOS!$I7832,nEVAL,"EX")=0),0))))</f>
      </c>
      <c r="H7832">
        <f>IF(DATOS!$G7832&lt;&gt;"EX",0,--(COUNTIFS(nNIA,DATOS!$A7832,nCURSO,DATOS!$D7832,nESPEC,DATOS!$E7832,nASIG,DATOS!$I7832,nEVAL,"OR")=0))</f>
      </c>
      <c r="I7832">
        <f>IF(DATOS!$I7832="","",IFERROR(VLOOKUP(DATOS!$I7832,CONFIG_ASIGNATURAS!$B$2:$J$91,9,FALSE()),""))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IF(DATOS!$A7833="",0,IF(CONFIG_METADATA!$B$4&lt;&gt;"OR+EX",--(DATOS!$G7833=CONFIG_METADATA!$B$4),IF(DATOS!$G7833="EX",1,IF(DATOS!$G7833="OR",--(COUNTIFS(nNIA,DATOS!$A7833,nCURSO,DATOS!$D7833,nESPEC,DATOS!$E7833,nASIG,DATOS!$I7833,nEVAL,"EX")=0),0))))</f>
      </c>
      <c r="H7833">
        <f>IF(DATOS!$G7833&lt;&gt;"EX",0,--(COUNTIFS(nNIA,DATOS!$A7833,nCURSO,DATOS!$D7833,nESPEC,DATOS!$E7833,nASIG,DATOS!$I7833,nEVAL,"OR")=0))</f>
      </c>
      <c r="I7833">
        <f>IF(DATOS!$I7833="","",IFERROR(VLOOKUP(DATOS!$I7833,CONFIG_ASIGNATURAS!$B$2:$J$91,9,FALSE()),""))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IF(DATOS!$A7834="",0,IF(CONFIG_METADATA!$B$4&lt;&gt;"OR+EX",--(DATOS!$G7834=CONFIG_METADATA!$B$4),IF(DATOS!$G7834="EX",1,IF(DATOS!$G7834="OR",--(COUNTIFS(nNIA,DATOS!$A7834,nCURSO,DATOS!$D7834,nESPEC,DATOS!$E7834,nASIG,DATOS!$I7834,nEVAL,"EX")=0),0))))</f>
      </c>
      <c r="H7834">
        <f>IF(DATOS!$G7834&lt;&gt;"EX",0,--(COUNTIFS(nNIA,DATOS!$A7834,nCURSO,DATOS!$D7834,nESPEC,DATOS!$E7834,nASIG,DATOS!$I7834,nEVAL,"OR")=0))</f>
      </c>
      <c r="I7834">
        <f>IF(DATOS!$I7834="","",IFERROR(VLOOKUP(DATOS!$I7834,CONFIG_ASIGNATURAS!$B$2:$J$91,9,FALSE()),""))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IF(DATOS!$A7835="",0,IF(CONFIG_METADATA!$B$4&lt;&gt;"OR+EX",--(DATOS!$G7835=CONFIG_METADATA!$B$4),IF(DATOS!$G7835="EX",1,IF(DATOS!$G7835="OR",--(COUNTIFS(nNIA,DATOS!$A7835,nCURSO,DATOS!$D7835,nESPEC,DATOS!$E7835,nASIG,DATOS!$I7835,nEVAL,"EX")=0),0))))</f>
      </c>
      <c r="H7835">
        <f>IF(DATOS!$G7835&lt;&gt;"EX",0,--(COUNTIFS(nNIA,DATOS!$A7835,nCURSO,DATOS!$D7835,nESPEC,DATOS!$E7835,nASIG,DATOS!$I7835,nEVAL,"OR")=0))</f>
      </c>
      <c r="I7835">
        <f>IF(DATOS!$I7835="","",IFERROR(VLOOKUP(DATOS!$I7835,CONFIG_ASIGNATURAS!$B$2:$J$91,9,FALSE()),""))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IF(DATOS!$A7836="",0,IF(CONFIG_METADATA!$B$4&lt;&gt;"OR+EX",--(DATOS!$G7836=CONFIG_METADATA!$B$4),IF(DATOS!$G7836="EX",1,IF(DATOS!$G7836="OR",--(COUNTIFS(nNIA,DATOS!$A7836,nCURSO,DATOS!$D7836,nESPEC,DATOS!$E7836,nASIG,DATOS!$I7836,nEVAL,"EX")=0),0))))</f>
      </c>
      <c r="H7836">
        <f>IF(DATOS!$G7836&lt;&gt;"EX",0,--(COUNTIFS(nNIA,DATOS!$A7836,nCURSO,DATOS!$D7836,nESPEC,DATOS!$E7836,nASIG,DATOS!$I7836,nEVAL,"OR")=0))</f>
      </c>
      <c r="I7836">
        <f>IF(DATOS!$I7836="","",IFERROR(VLOOKUP(DATOS!$I7836,CONFIG_ASIGNATURAS!$B$2:$J$91,9,FALSE()),""))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IF(DATOS!$A7837="",0,IF(CONFIG_METADATA!$B$4&lt;&gt;"OR+EX",--(DATOS!$G7837=CONFIG_METADATA!$B$4),IF(DATOS!$G7837="EX",1,IF(DATOS!$G7837="OR",--(COUNTIFS(nNIA,DATOS!$A7837,nCURSO,DATOS!$D7837,nESPEC,DATOS!$E7837,nASIG,DATOS!$I7837,nEVAL,"EX")=0),0))))</f>
      </c>
      <c r="H7837">
        <f>IF(DATOS!$G7837&lt;&gt;"EX",0,--(COUNTIFS(nNIA,DATOS!$A7837,nCURSO,DATOS!$D7837,nESPEC,DATOS!$E7837,nASIG,DATOS!$I7837,nEVAL,"OR")=0))</f>
      </c>
      <c r="I7837">
        <f>IF(DATOS!$I7837="","",IFERROR(VLOOKUP(DATOS!$I7837,CONFIG_ASIGNATURAS!$B$2:$J$91,9,FALSE()),""))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IF(DATOS!$A7838="",0,IF(CONFIG_METADATA!$B$4&lt;&gt;"OR+EX",--(DATOS!$G7838=CONFIG_METADATA!$B$4),IF(DATOS!$G7838="EX",1,IF(DATOS!$G7838="OR",--(COUNTIFS(nNIA,DATOS!$A7838,nCURSO,DATOS!$D7838,nESPEC,DATOS!$E7838,nASIG,DATOS!$I7838,nEVAL,"EX")=0),0))))</f>
      </c>
      <c r="H7838">
        <f>IF(DATOS!$G7838&lt;&gt;"EX",0,--(COUNTIFS(nNIA,DATOS!$A7838,nCURSO,DATOS!$D7838,nESPEC,DATOS!$E7838,nASIG,DATOS!$I7838,nEVAL,"OR")=0))</f>
      </c>
      <c r="I7838">
        <f>IF(DATOS!$I7838="","",IFERROR(VLOOKUP(DATOS!$I7838,CONFIG_ASIGNATURAS!$B$2:$J$91,9,FALSE()),""))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IF(DATOS!$A7839="",0,IF(CONFIG_METADATA!$B$4&lt;&gt;"OR+EX",--(DATOS!$G7839=CONFIG_METADATA!$B$4),IF(DATOS!$G7839="EX",1,IF(DATOS!$G7839="OR",--(COUNTIFS(nNIA,DATOS!$A7839,nCURSO,DATOS!$D7839,nESPEC,DATOS!$E7839,nASIG,DATOS!$I7839,nEVAL,"EX")=0),0))))</f>
      </c>
      <c r="H7839">
        <f>IF(DATOS!$G7839&lt;&gt;"EX",0,--(COUNTIFS(nNIA,DATOS!$A7839,nCURSO,DATOS!$D7839,nESPEC,DATOS!$E7839,nASIG,DATOS!$I7839,nEVAL,"OR")=0))</f>
      </c>
      <c r="I7839">
        <f>IF(DATOS!$I7839="","",IFERROR(VLOOKUP(DATOS!$I7839,CONFIG_ASIGNATURAS!$B$2:$J$91,9,FALSE()),""))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IF(DATOS!$A7840="",0,IF(CONFIG_METADATA!$B$4&lt;&gt;"OR+EX",--(DATOS!$G7840=CONFIG_METADATA!$B$4),IF(DATOS!$G7840="EX",1,IF(DATOS!$G7840="OR",--(COUNTIFS(nNIA,DATOS!$A7840,nCURSO,DATOS!$D7840,nESPEC,DATOS!$E7840,nASIG,DATOS!$I7840,nEVAL,"EX")=0),0))))</f>
      </c>
      <c r="H7840">
        <f>IF(DATOS!$G7840&lt;&gt;"EX",0,--(COUNTIFS(nNIA,DATOS!$A7840,nCURSO,DATOS!$D7840,nESPEC,DATOS!$E7840,nASIG,DATOS!$I7840,nEVAL,"OR")=0))</f>
      </c>
      <c r="I7840">
        <f>IF(DATOS!$I7840="","",IFERROR(VLOOKUP(DATOS!$I7840,CONFIG_ASIGNATURAS!$B$2:$J$91,9,FALSE()),""))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IF(DATOS!$A7841="",0,IF(CONFIG_METADATA!$B$4&lt;&gt;"OR+EX",--(DATOS!$G7841=CONFIG_METADATA!$B$4),IF(DATOS!$G7841="EX",1,IF(DATOS!$G7841="OR",--(COUNTIFS(nNIA,DATOS!$A7841,nCURSO,DATOS!$D7841,nESPEC,DATOS!$E7841,nASIG,DATOS!$I7841,nEVAL,"EX")=0),0))))</f>
      </c>
      <c r="H7841">
        <f>IF(DATOS!$G7841&lt;&gt;"EX",0,--(COUNTIFS(nNIA,DATOS!$A7841,nCURSO,DATOS!$D7841,nESPEC,DATOS!$E7841,nASIG,DATOS!$I7841,nEVAL,"OR")=0))</f>
      </c>
      <c r="I7841">
        <f>IF(DATOS!$I7841="","",IFERROR(VLOOKUP(DATOS!$I7841,CONFIG_ASIGNATURAS!$B$2:$J$91,9,FALSE()),""))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IF(DATOS!$A7842="",0,IF(CONFIG_METADATA!$B$4&lt;&gt;"OR+EX",--(DATOS!$G7842=CONFIG_METADATA!$B$4),IF(DATOS!$G7842="EX",1,IF(DATOS!$G7842="OR",--(COUNTIFS(nNIA,DATOS!$A7842,nCURSO,DATOS!$D7842,nESPEC,DATOS!$E7842,nASIG,DATOS!$I7842,nEVAL,"EX")=0),0))))</f>
      </c>
      <c r="H7842">
        <f>IF(DATOS!$G7842&lt;&gt;"EX",0,--(COUNTIFS(nNIA,DATOS!$A7842,nCURSO,DATOS!$D7842,nESPEC,DATOS!$E7842,nASIG,DATOS!$I7842,nEVAL,"OR")=0))</f>
      </c>
      <c r="I7842">
        <f>IF(DATOS!$I7842="","",IFERROR(VLOOKUP(DATOS!$I7842,CONFIG_ASIGNATURAS!$B$2:$J$91,9,FALSE()),""))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IF(DATOS!$A7843="",0,IF(CONFIG_METADATA!$B$4&lt;&gt;"OR+EX",--(DATOS!$G7843=CONFIG_METADATA!$B$4),IF(DATOS!$G7843="EX",1,IF(DATOS!$G7843="OR",--(COUNTIFS(nNIA,DATOS!$A7843,nCURSO,DATOS!$D7843,nESPEC,DATOS!$E7843,nASIG,DATOS!$I7843,nEVAL,"EX")=0),0))))</f>
      </c>
      <c r="H7843">
        <f>IF(DATOS!$G7843&lt;&gt;"EX",0,--(COUNTIFS(nNIA,DATOS!$A7843,nCURSO,DATOS!$D7843,nESPEC,DATOS!$E7843,nASIG,DATOS!$I7843,nEVAL,"OR")=0))</f>
      </c>
      <c r="I7843">
        <f>IF(DATOS!$I7843="","",IFERROR(VLOOKUP(DATOS!$I7843,CONFIG_ASIGNATURAS!$B$2:$J$91,9,FALSE()),""))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IF(DATOS!$A7844="",0,IF(CONFIG_METADATA!$B$4&lt;&gt;"OR+EX",--(DATOS!$G7844=CONFIG_METADATA!$B$4),IF(DATOS!$G7844="EX",1,IF(DATOS!$G7844="OR",--(COUNTIFS(nNIA,DATOS!$A7844,nCURSO,DATOS!$D7844,nESPEC,DATOS!$E7844,nASIG,DATOS!$I7844,nEVAL,"EX")=0),0))))</f>
      </c>
      <c r="H7844">
        <f>IF(DATOS!$G7844&lt;&gt;"EX",0,--(COUNTIFS(nNIA,DATOS!$A7844,nCURSO,DATOS!$D7844,nESPEC,DATOS!$E7844,nASIG,DATOS!$I7844,nEVAL,"OR")=0))</f>
      </c>
      <c r="I7844">
        <f>IF(DATOS!$I7844="","",IFERROR(VLOOKUP(DATOS!$I7844,CONFIG_ASIGNATURAS!$B$2:$J$91,9,FALSE()),""))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IF(DATOS!$A7845="",0,IF(CONFIG_METADATA!$B$4&lt;&gt;"OR+EX",--(DATOS!$G7845=CONFIG_METADATA!$B$4),IF(DATOS!$G7845="EX",1,IF(DATOS!$G7845="OR",--(COUNTIFS(nNIA,DATOS!$A7845,nCURSO,DATOS!$D7845,nESPEC,DATOS!$E7845,nASIG,DATOS!$I7845,nEVAL,"EX")=0),0))))</f>
      </c>
      <c r="H7845">
        <f>IF(DATOS!$G7845&lt;&gt;"EX",0,--(COUNTIFS(nNIA,DATOS!$A7845,nCURSO,DATOS!$D7845,nESPEC,DATOS!$E7845,nASIG,DATOS!$I7845,nEVAL,"OR")=0))</f>
      </c>
      <c r="I7845">
        <f>IF(DATOS!$I7845="","",IFERROR(VLOOKUP(DATOS!$I7845,CONFIG_ASIGNATURAS!$B$2:$J$91,9,FALSE()),""))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IF(DATOS!$A7846="",0,IF(CONFIG_METADATA!$B$4&lt;&gt;"OR+EX",--(DATOS!$G7846=CONFIG_METADATA!$B$4),IF(DATOS!$G7846="EX",1,IF(DATOS!$G7846="OR",--(COUNTIFS(nNIA,DATOS!$A7846,nCURSO,DATOS!$D7846,nESPEC,DATOS!$E7846,nASIG,DATOS!$I7846,nEVAL,"EX")=0),0))))</f>
      </c>
      <c r="H7846">
        <f>IF(DATOS!$G7846&lt;&gt;"EX",0,--(COUNTIFS(nNIA,DATOS!$A7846,nCURSO,DATOS!$D7846,nESPEC,DATOS!$E7846,nASIG,DATOS!$I7846,nEVAL,"OR")=0))</f>
      </c>
      <c r="I7846">
        <f>IF(DATOS!$I7846="","",IFERROR(VLOOKUP(DATOS!$I7846,CONFIG_ASIGNATURAS!$B$2:$J$91,9,FALSE()),""))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IF(DATOS!$A7847="",0,IF(CONFIG_METADATA!$B$4&lt;&gt;"OR+EX",--(DATOS!$G7847=CONFIG_METADATA!$B$4),IF(DATOS!$G7847="EX",1,IF(DATOS!$G7847="OR",--(COUNTIFS(nNIA,DATOS!$A7847,nCURSO,DATOS!$D7847,nESPEC,DATOS!$E7847,nASIG,DATOS!$I7847,nEVAL,"EX")=0),0))))</f>
      </c>
      <c r="H7847">
        <f>IF(DATOS!$G7847&lt;&gt;"EX",0,--(COUNTIFS(nNIA,DATOS!$A7847,nCURSO,DATOS!$D7847,nESPEC,DATOS!$E7847,nASIG,DATOS!$I7847,nEVAL,"OR")=0))</f>
      </c>
      <c r="I7847">
        <f>IF(DATOS!$I7847="","",IFERROR(VLOOKUP(DATOS!$I7847,CONFIG_ASIGNATURAS!$B$2:$J$91,9,FALSE()),""))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IF(DATOS!$A7848="",0,IF(CONFIG_METADATA!$B$4&lt;&gt;"OR+EX",--(DATOS!$G7848=CONFIG_METADATA!$B$4),IF(DATOS!$G7848="EX",1,IF(DATOS!$G7848="OR",--(COUNTIFS(nNIA,DATOS!$A7848,nCURSO,DATOS!$D7848,nESPEC,DATOS!$E7848,nASIG,DATOS!$I7848,nEVAL,"EX")=0),0))))</f>
      </c>
      <c r="H7848">
        <f>IF(DATOS!$G7848&lt;&gt;"EX",0,--(COUNTIFS(nNIA,DATOS!$A7848,nCURSO,DATOS!$D7848,nESPEC,DATOS!$E7848,nASIG,DATOS!$I7848,nEVAL,"OR")=0))</f>
      </c>
      <c r="I7848">
        <f>IF(DATOS!$I7848="","",IFERROR(VLOOKUP(DATOS!$I7848,CONFIG_ASIGNATURAS!$B$2:$J$91,9,FALSE()),""))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IF(DATOS!$A7849="",0,IF(CONFIG_METADATA!$B$4&lt;&gt;"OR+EX",--(DATOS!$G7849=CONFIG_METADATA!$B$4),IF(DATOS!$G7849="EX",1,IF(DATOS!$G7849="OR",--(COUNTIFS(nNIA,DATOS!$A7849,nCURSO,DATOS!$D7849,nESPEC,DATOS!$E7849,nASIG,DATOS!$I7849,nEVAL,"EX")=0),0))))</f>
      </c>
      <c r="H7849">
        <f>IF(DATOS!$G7849&lt;&gt;"EX",0,--(COUNTIFS(nNIA,DATOS!$A7849,nCURSO,DATOS!$D7849,nESPEC,DATOS!$E7849,nASIG,DATOS!$I7849,nEVAL,"OR")=0))</f>
      </c>
      <c r="I7849">
        <f>IF(DATOS!$I7849="","",IFERROR(VLOOKUP(DATOS!$I7849,CONFIG_ASIGNATURAS!$B$2:$J$91,9,FALSE()),""))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IF(DATOS!$A7850="",0,IF(CONFIG_METADATA!$B$4&lt;&gt;"OR+EX",--(DATOS!$G7850=CONFIG_METADATA!$B$4),IF(DATOS!$G7850="EX",1,IF(DATOS!$G7850="OR",--(COUNTIFS(nNIA,DATOS!$A7850,nCURSO,DATOS!$D7850,nESPEC,DATOS!$E7850,nASIG,DATOS!$I7850,nEVAL,"EX")=0),0))))</f>
      </c>
      <c r="H7850">
        <f>IF(DATOS!$G7850&lt;&gt;"EX",0,--(COUNTIFS(nNIA,DATOS!$A7850,nCURSO,DATOS!$D7850,nESPEC,DATOS!$E7850,nASIG,DATOS!$I7850,nEVAL,"OR")=0))</f>
      </c>
      <c r="I7850">
        <f>IF(DATOS!$I7850="","",IFERROR(VLOOKUP(DATOS!$I7850,CONFIG_ASIGNATURAS!$B$2:$J$91,9,FALSE()),""))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IF(DATOS!$A7851="",0,IF(CONFIG_METADATA!$B$4&lt;&gt;"OR+EX",--(DATOS!$G7851=CONFIG_METADATA!$B$4),IF(DATOS!$G7851="EX",1,IF(DATOS!$G7851="OR",--(COUNTIFS(nNIA,DATOS!$A7851,nCURSO,DATOS!$D7851,nESPEC,DATOS!$E7851,nASIG,DATOS!$I7851,nEVAL,"EX")=0),0))))</f>
      </c>
      <c r="H7851">
        <f>IF(DATOS!$G7851&lt;&gt;"EX",0,--(COUNTIFS(nNIA,DATOS!$A7851,nCURSO,DATOS!$D7851,nESPEC,DATOS!$E7851,nASIG,DATOS!$I7851,nEVAL,"OR")=0))</f>
      </c>
      <c r="I7851">
        <f>IF(DATOS!$I7851="","",IFERROR(VLOOKUP(DATOS!$I7851,CONFIG_ASIGNATURAS!$B$2:$J$91,9,FALSE()),""))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IF(DATOS!$A7852="",0,IF(CONFIG_METADATA!$B$4&lt;&gt;"OR+EX",--(DATOS!$G7852=CONFIG_METADATA!$B$4),IF(DATOS!$G7852="EX",1,IF(DATOS!$G7852="OR",--(COUNTIFS(nNIA,DATOS!$A7852,nCURSO,DATOS!$D7852,nESPEC,DATOS!$E7852,nASIG,DATOS!$I7852,nEVAL,"EX")=0),0))))</f>
      </c>
      <c r="H7852">
        <f>IF(DATOS!$G7852&lt;&gt;"EX",0,--(COUNTIFS(nNIA,DATOS!$A7852,nCURSO,DATOS!$D7852,nESPEC,DATOS!$E7852,nASIG,DATOS!$I7852,nEVAL,"OR")=0))</f>
      </c>
      <c r="I7852">
        <f>IF(DATOS!$I7852="","",IFERROR(VLOOKUP(DATOS!$I7852,CONFIG_ASIGNATURAS!$B$2:$J$91,9,FALSE()),""))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IF(DATOS!$A7853="",0,IF(CONFIG_METADATA!$B$4&lt;&gt;"OR+EX",--(DATOS!$G7853=CONFIG_METADATA!$B$4),IF(DATOS!$G7853="EX",1,IF(DATOS!$G7853="OR",--(COUNTIFS(nNIA,DATOS!$A7853,nCURSO,DATOS!$D7853,nESPEC,DATOS!$E7853,nASIG,DATOS!$I7853,nEVAL,"EX")=0),0))))</f>
      </c>
      <c r="H7853">
        <f>IF(DATOS!$G7853&lt;&gt;"EX",0,--(COUNTIFS(nNIA,DATOS!$A7853,nCURSO,DATOS!$D7853,nESPEC,DATOS!$E7853,nASIG,DATOS!$I7853,nEVAL,"OR")=0))</f>
      </c>
      <c r="I7853">
        <f>IF(DATOS!$I7853="","",IFERROR(VLOOKUP(DATOS!$I7853,CONFIG_ASIGNATURAS!$B$2:$J$91,9,FALSE()),""))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IF(DATOS!$A7854="",0,IF(CONFIG_METADATA!$B$4&lt;&gt;"OR+EX",--(DATOS!$G7854=CONFIG_METADATA!$B$4),IF(DATOS!$G7854="EX",1,IF(DATOS!$G7854="OR",--(COUNTIFS(nNIA,DATOS!$A7854,nCURSO,DATOS!$D7854,nESPEC,DATOS!$E7854,nASIG,DATOS!$I7854,nEVAL,"EX")=0),0))))</f>
      </c>
      <c r="H7854">
        <f>IF(DATOS!$G7854&lt;&gt;"EX",0,--(COUNTIFS(nNIA,DATOS!$A7854,nCURSO,DATOS!$D7854,nESPEC,DATOS!$E7854,nASIG,DATOS!$I7854,nEVAL,"OR")=0))</f>
      </c>
      <c r="I7854">
        <f>IF(DATOS!$I7854="","",IFERROR(VLOOKUP(DATOS!$I7854,CONFIG_ASIGNATURAS!$B$2:$J$91,9,FALSE()),""))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IF(DATOS!$A7855="",0,IF(CONFIG_METADATA!$B$4&lt;&gt;"OR+EX",--(DATOS!$G7855=CONFIG_METADATA!$B$4),IF(DATOS!$G7855="EX",1,IF(DATOS!$G7855="OR",--(COUNTIFS(nNIA,DATOS!$A7855,nCURSO,DATOS!$D7855,nESPEC,DATOS!$E7855,nASIG,DATOS!$I7855,nEVAL,"EX")=0),0))))</f>
      </c>
      <c r="H7855">
        <f>IF(DATOS!$G7855&lt;&gt;"EX",0,--(COUNTIFS(nNIA,DATOS!$A7855,nCURSO,DATOS!$D7855,nESPEC,DATOS!$E7855,nASIG,DATOS!$I7855,nEVAL,"OR")=0))</f>
      </c>
      <c r="I7855">
        <f>IF(DATOS!$I7855="","",IFERROR(VLOOKUP(DATOS!$I7855,CONFIG_ASIGNATURAS!$B$2:$J$91,9,FALSE()),""))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IF(DATOS!$A7856="",0,IF(CONFIG_METADATA!$B$4&lt;&gt;"OR+EX",--(DATOS!$G7856=CONFIG_METADATA!$B$4),IF(DATOS!$G7856="EX",1,IF(DATOS!$G7856="OR",--(COUNTIFS(nNIA,DATOS!$A7856,nCURSO,DATOS!$D7856,nESPEC,DATOS!$E7856,nASIG,DATOS!$I7856,nEVAL,"EX")=0),0))))</f>
      </c>
      <c r="H7856">
        <f>IF(DATOS!$G7856&lt;&gt;"EX",0,--(COUNTIFS(nNIA,DATOS!$A7856,nCURSO,DATOS!$D7856,nESPEC,DATOS!$E7856,nASIG,DATOS!$I7856,nEVAL,"OR")=0))</f>
      </c>
      <c r="I7856">
        <f>IF(DATOS!$I7856="","",IFERROR(VLOOKUP(DATOS!$I7856,CONFIG_ASIGNATURAS!$B$2:$J$91,9,FALSE()),""))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IF(DATOS!$A7857="",0,IF(CONFIG_METADATA!$B$4&lt;&gt;"OR+EX",--(DATOS!$G7857=CONFIG_METADATA!$B$4),IF(DATOS!$G7857="EX",1,IF(DATOS!$G7857="OR",--(COUNTIFS(nNIA,DATOS!$A7857,nCURSO,DATOS!$D7857,nESPEC,DATOS!$E7857,nASIG,DATOS!$I7857,nEVAL,"EX")=0),0))))</f>
      </c>
      <c r="H7857">
        <f>IF(DATOS!$G7857&lt;&gt;"EX",0,--(COUNTIFS(nNIA,DATOS!$A7857,nCURSO,DATOS!$D7857,nESPEC,DATOS!$E7857,nASIG,DATOS!$I7857,nEVAL,"OR")=0))</f>
      </c>
      <c r="I7857">
        <f>IF(DATOS!$I7857="","",IFERROR(VLOOKUP(DATOS!$I7857,CONFIG_ASIGNATURAS!$B$2:$J$91,9,FALSE()),""))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IF(DATOS!$A7858="",0,IF(CONFIG_METADATA!$B$4&lt;&gt;"OR+EX",--(DATOS!$G7858=CONFIG_METADATA!$B$4),IF(DATOS!$G7858="EX",1,IF(DATOS!$G7858="OR",--(COUNTIFS(nNIA,DATOS!$A7858,nCURSO,DATOS!$D7858,nESPEC,DATOS!$E7858,nASIG,DATOS!$I7858,nEVAL,"EX")=0),0))))</f>
      </c>
      <c r="H7858">
        <f>IF(DATOS!$G7858&lt;&gt;"EX",0,--(COUNTIFS(nNIA,DATOS!$A7858,nCURSO,DATOS!$D7858,nESPEC,DATOS!$E7858,nASIG,DATOS!$I7858,nEVAL,"OR")=0))</f>
      </c>
      <c r="I7858">
        <f>IF(DATOS!$I7858="","",IFERROR(VLOOKUP(DATOS!$I7858,CONFIG_ASIGNATURAS!$B$2:$J$91,9,FALSE()),""))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IF(DATOS!$A7859="",0,IF(CONFIG_METADATA!$B$4&lt;&gt;"OR+EX",--(DATOS!$G7859=CONFIG_METADATA!$B$4),IF(DATOS!$G7859="EX",1,IF(DATOS!$G7859="OR",--(COUNTIFS(nNIA,DATOS!$A7859,nCURSO,DATOS!$D7859,nESPEC,DATOS!$E7859,nASIG,DATOS!$I7859,nEVAL,"EX")=0),0))))</f>
      </c>
      <c r="H7859">
        <f>IF(DATOS!$G7859&lt;&gt;"EX",0,--(COUNTIFS(nNIA,DATOS!$A7859,nCURSO,DATOS!$D7859,nESPEC,DATOS!$E7859,nASIG,DATOS!$I7859,nEVAL,"OR")=0))</f>
      </c>
      <c r="I7859">
        <f>IF(DATOS!$I7859="","",IFERROR(VLOOKUP(DATOS!$I7859,CONFIG_ASIGNATURAS!$B$2:$J$91,9,FALSE()),""))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IF(DATOS!$A7860="",0,IF(CONFIG_METADATA!$B$4&lt;&gt;"OR+EX",--(DATOS!$G7860=CONFIG_METADATA!$B$4),IF(DATOS!$G7860="EX",1,IF(DATOS!$G7860="OR",--(COUNTIFS(nNIA,DATOS!$A7860,nCURSO,DATOS!$D7860,nESPEC,DATOS!$E7860,nASIG,DATOS!$I7860,nEVAL,"EX")=0),0))))</f>
      </c>
      <c r="H7860">
        <f>IF(DATOS!$G7860&lt;&gt;"EX",0,--(COUNTIFS(nNIA,DATOS!$A7860,nCURSO,DATOS!$D7860,nESPEC,DATOS!$E7860,nASIG,DATOS!$I7860,nEVAL,"OR")=0))</f>
      </c>
      <c r="I7860">
        <f>IF(DATOS!$I7860="","",IFERROR(VLOOKUP(DATOS!$I7860,CONFIG_ASIGNATURAS!$B$2:$J$91,9,FALSE()),""))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IF(DATOS!$A7861="",0,IF(CONFIG_METADATA!$B$4&lt;&gt;"OR+EX",--(DATOS!$G7861=CONFIG_METADATA!$B$4),IF(DATOS!$G7861="EX",1,IF(DATOS!$G7861="OR",--(COUNTIFS(nNIA,DATOS!$A7861,nCURSO,DATOS!$D7861,nESPEC,DATOS!$E7861,nASIG,DATOS!$I7861,nEVAL,"EX")=0),0))))</f>
      </c>
      <c r="H7861">
        <f>IF(DATOS!$G7861&lt;&gt;"EX",0,--(COUNTIFS(nNIA,DATOS!$A7861,nCURSO,DATOS!$D7861,nESPEC,DATOS!$E7861,nASIG,DATOS!$I7861,nEVAL,"OR")=0))</f>
      </c>
      <c r="I7861">
        <f>IF(DATOS!$I7861="","",IFERROR(VLOOKUP(DATOS!$I7861,CONFIG_ASIGNATURAS!$B$2:$J$91,9,FALSE()),""))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IF(DATOS!$A7862="",0,IF(CONFIG_METADATA!$B$4&lt;&gt;"OR+EX",--(DATOS!$G7862=CONFIG_METADATA!$B$4),IF(DATOS!$G7862="EX",1,IF(DATOS!$G7862="OR",--(COUNTIFS(nNIA,DATOS!$A7862,nCURSO,DATOS!$D7862,nESPEC,DATOS!$E7862,nASIG,DATOS!$I7862,nEVAL,"EX")=0),0))))</f>
      </c>
      <c r="H7862">
        <f>IF(DATOS!$G7862&lt;&gt;"EX",0,--(COUNTIFS(nNIA,DATOS!$A7862,nCURSO,DATOS!$D7862,nESPEC,DATOS!$E7862,nASIG,DATOS!$I7862,nEVAL,"OR")=0))</f>
      </c>
      <c r="I7862">
        <f>IF(DATOS!$I7862="","",IFERROR(VLOOKUP(DATOS!$I7862,CONFIG_ASIGNATURAS!$B$2:$J$91,9,FALSE()),""))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IF(DATOS!$A7863="",0,IF(CONFIG_METADATA!$B$4&lt;&gt;"OR+EX",--(DATOS!$G7863=CONFIG_METADATA!$B$4),IF(DATOS!$G7863="EX",1,IF(DATOS!$G7863="OR",--(COUNTIFS(nNIA,DATOS!$A7863,nCURSO,DATOS!$D7863,nESPEC,DATOS!$E7863,nASIG,DATOS!$I7863,nEVAL,"EX")=0),0))))</f>
      </c>
      <c r="H7863">
        <f>IF(DATOS!$G7863&lt;&gt;"EX",0,--(COUNTIFS(nNIA,DATOS!$A7863,nCURSO,DATOS!$D7863,nESPEC,DATOS!$E7863,nASIG,DATOS!$I7863,nEVAL,"OR")=0))</f>
      </c>
      <c r="I7863">
        <f>IF(DATOS!$I7863="","",IFERROR(VLOOKUP(DATOS!$I7863,CONFIG_ASIGNATURAS!$B$2:$J$91,9,FALSE()),""))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IF(DATOS!$A7864="",0,IF(CONFIG_METADATA!$B$4&lt;&gt;"OR+EX",--(DATOS!$G7864=CONFIG_METADATA!$B$4),IF(DATOS!$G7864="EX",1,IF(DATOS!$G7864="OR",--(COUNTIFS(nNIA,DATOS!$A7864,nCURSO,DATOS!$D7864,nESPEC,DATOS!$E7864,nASIG,DATOS!$I7864,nEVAL,"EX")=0),0))))</f>
      </c>
      <c r="H7864">
        <f>IF(DATOS!$G7864&lt;&gt;"EX",0,--(COUNTIFS(nNIA,DATOS!$A7864,nCURSO,DATOS!$D7864,nESPEC,DATOS!$E7864,nASIG,DATOS!$I7864,nEVAL,"OR")=0))</f>
      </c>
      <c r="I7864">
        <f>IF(DATOS!$I7864="","",IFERROR(VLOOKUP(DATOS!$I7864,CONFIG_ASIGNATURAS!$B$2:$J$91,9,FALSE()),""))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IF(DATOS!$A7865="",0,IF(CONFIG_METADATA!$B$4&lt;&gt;"OR+EX",--(DATOS!$G7865=CONFIG_METADATA!$B$4),IF(DATOS!$G7865="EX",1,IF(DATOS!$G7865="OR",--(COUNTIFS(nNIA,DATOS!$A7865,nCURSO,DATOS!$D7865,nESPEC,DATOS!$E7865,nASIG,DATOS!$I7865,nEVAL,"EX")=0),0))))</f>
      </c>
      <c r="H7865">
        <f>IF(DATOS!$G7865&lt;&gt;"EX",0,--(COUNTIFS(nNIA,DATOS!$A7865,nCURSO,DATOS!$D7865,nESPEC,DATOS!$E7865,nASIG,DATOS!$I7865,nEVAL,"OR")=0))</f>
      </c>
      <c r="I7865">
        <f>IF(DATOS!$I7865="","",IFERROR(VLOOKUP(DATOS!$I7865,CONFIG_ASIGNATURAS!$B$2:$J$91,9,FALSE()),""))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IF(DATOS!$A7866="",0,IF(CONFIG_METADATA!$B$4&lt;&gt;"OR+EX",--(DATOS!$G7866=CONFIG_METADATA!$B$4),IF(DATOS!$G7866="EX",1,IF(DATOS!$G7866="OR",--(COUNTIFS(nNIA,DATOS!$A7866,nCURSO,DATOS!$D7866,nESPEC,DATOS!$E7866,nASIG,DATOS!$I7866,nEVAL,"EX")=0),0))))</f>
      </c>
      <c r="H7866">
        <f>IF(DATOS!$G7866&lt;&gt;"EX",0,--(COUNTIFS(nNIA,DATOS!$A7866,nCURSO,DATOS!$D7866,nESPEC,DATOS!$E7866,nASIG,DATOS!$I7866,nEVAL,"OR")=0))</f>
      </c>
      <c r="I7866">
        <f>IF(DATOS!$I7866="","",IFERROR(VLOOKUP(DATOS!$I7866,CONFIG_ASIGNATURAS!$B$2:$J$91,9,FALSE()),""))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IF(DATOS!$A7867="",0,IF(CONFIG_METADATA!$B$4&lt;&gt;"OR+EX",--(DATOS!$G7867=CONFIG_METADATA!$B$4),IF(DATOS!$G7867="EX",1,IF(DATOS!$G7867="OR",--(COUNTIFS(nNIA,DATOS!$A7867,nCURSO,DATOS!$D7867,nESPEC,DATOS!$E7867,nASIG,DATOS!$I7867,nEVAL,"EX")=0),0))))</f>
      </c>
      <c r="H7867">
        <f>IF(DATOS!$G7867&lt;&gt;"EX",0,--(COUNTIFS(nNIA,DATOS!$A7867,nCURSO,DATOS!$D7867,nESPEC,DATOS!$E7867,nASIG,DATOS!$I7867,nEVAL,"OR")=0))</f>
      </c>
      <c r="I7867">
        <f>IF(DATOS!$I7867="","",IFERROR(VLOOKUP(DATOS!$I7867,CONFIG_ASIGNATURAS!$B$2:$J$91,9,FALSE()),""))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IF(DATOS!$A7868="",0,IF(CONFIG_METADATA!$B$4&lt;&gt;"OR+EX",--(DATOS!$G7868=CONFIG_METADATA!$B$4),IF(DATOS!$G7868="EX",1,IF(DATOS!$G7868="OR",--(COUNTIFS(nNIA,DATOS!$A7868,nCURSO,DATOS!$D7868,nESPEC,DATOS!$E7868,nASIG,DATOS!$I7868,nEVAL,"EX")=0),0))))</f>
      </c>
      <c r="H7868">
        <f>IF(DATOS!$G7868&lt;&gt;"EX",0,--(COUNTIFS(nNIA,DATOS!$A7868,nCURSO,DATOS!$D7868,nESPEC,DATOS!$E7868,nASIG,DATOS!$I7868,nEVAL,"OR")=0))</f>
      </c>
      <c r="I7868">
        <f>IF(DATOS!$I7868="","",IFERROR(VLOOKUP(DATOS!$I7868,CONFIG_ASIGNATURAS!$B$2:$J$91,9,FALSE()),""))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IF(DATOS!$A7869="",0,IF(CONFIG_METADATA!$B$4&lt;&gt;"OR+EX",--(DATOS!$G7869=CONFIG_METADATA!$B$4),IF(DATOS!$G7869="EX",1,IF(DATOS!$G7869="OR",--(COUNTIFS(nNIA,DATOS!$A7869,nCURSO,DATOS!$D7869,nESPEC,DATOS!$E7869,nASIG,DATOS!$I7869,nEVAL,"EX")=0),0))))</f>
      </c>
      <c r="H7869">
        <f>IF(DATOS!$G7869&lt;&gt;"EX",0,--(COUNTIFS(nNIA,DATOS!$A7869,nCURSO,DATOS!$D7869,nESPEC,DATOS!$E7869,nASIG,DATOS!$I7869,nEVAL,"OR")=0))</f>
      </c>
      <c r="I7869">
        <f>IF(DATOS!$I7869="","",IFERROR(VLOOKUP(DATOS!$I7869,CONFIG_ASIGNATURAS!$B$2:$J$91,9,FALSE()),""))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IF(DATOS!$A7870="",0,IF(CONFIG_METADATA!$B$4&lt;&gt;"OR+EX",--(DATOS!$G7870=CONFIG_METADATA!$B$4),IF(DATOS!$G7870="EX",1,IF(DATOS!$G7870="OR",--(COUNTIFS(nNIA,DATOS!$A7870,nCURSO,DATOS!$D7870,nESPEC,DATOS!$E7870,nASIG,DATOS!$I7870,nEVAL,"EX")=0),0))))</f>
      </c>
      <c r="H7870">
        <f>IF(DATOS!$G7870&lt;&gt;"EX",0,--(COUNTIFS(nNIA,DATOS!$A7870,nCURSO,DATOS!$D7870,nESPEC,DATOS!$E7870,nASIG,DATOS!$I7870,nEVAL,"OR")=0))</f>
      </c>
      <c r="I7870">
        <f>IF(DATOS!$I7870="","",IFERROR(VLOOKUP(DATOS!$I7870,CONFIG_ASIGNATURAS!$B$2:$J$91,9,FALSE()),""))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IF(DATOS!$A7871="",0,IF(CONFIG_METADATA!$B$4&lt;&gt;"OR+EX",--(DATOS!$G7871=CONFIG_METADATA!$B$4),IF(DATOS!$G7871="EX",1,IF(DATOS!$G7871="OR",--(COUNTIFS(nNIA,DATOS!$A7871,nCURSO,DATOS!$D7871,nESPEC,DATOS!$E7871,nASIG,DATOS!$I7871,nEVAL,"EX")=0),0))))</f>
      </c>
      <c r="H7871">
        <f>IF(DATOS!$G7871&lt;&gt;"EX",0,--(COUNTIFS(nNIA,DATOS!$A7871,nCURSO,DATOS!$D7871,nESPEC,DATOS!$E7871,nASIG,DATOS!$I7871,nEVAL,"OR")=0))</f>
      </c>
      <c r="I7871">
        <f>IF(DATOS!$I7871="","",IFERROR(VLOOKUP(DATOS!$I7871,CONFIG_ASIGNATURAS!$B$2:$J$91,9,FALSE()),""))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IF(DATOS!$A7872="",0,IF(CONFIG_METADATA!$B$4&lt;&gt;"OR+EX",--(DATOS!$G7872=CONFIG_METADATA!$B$4),IF(DATOS!$G7872="EX",1,IF(DATOS!$G7872="OR",--(COUNTIFS(nNIA,DATOS!$A7872,nCURSO,DATOS!$D7872,nESPEC,DATOS!$E7872,nASIG,DATOS!$I7872,nEVAL,"EX")=0),0))))</f>
      </c>
      <c r="H7872">
        <f>IF(DATOS!$G7872&lt;&gt;"EX",0,--(COUNTIFS(nNIA,DATOS!$A7872,nCURSO,DATOS!$D7872,nESPEC,DATOS!$E7872,nASIG,DATOS!$I7872,nEVAL,"OR")=0))</f>
      </c>
      <c r="I7872">
        <f>IF(DATOS!$I7872="","",IFERROR(VLOOKUP(DATOS!$I7872,CONFIG_ASIGNATURAS!$B$2:$J$91,9,FALSE()),""))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IF(DATOS!$A7873="",0,IF(CONFIG_METADATA!$B$4&lt;&gt;"OR+EX",--(DATOS!$G7873=CONFIG_METADATA!$B$4),IF(DATOS!$G7873="EX",1,IF(DATOS!$G7873="OR",--(COUNTIFS(nNIA,DATOS!$A7873,nCURSO,DATOS!$D7873,nESPEC,DATOS!$E7873,nASIG,DATOS!$I7873,nEVAL,"EX")=0),0))))</f>
      </c>
      <c r="H7873">
        <f>IF(DATOS!$G7873&lt;&gt;"EX",0,--(COUNTIFS(nNIA,DATOS!$A7873,nCURSO,DATOS!$D7873,nESPEC,DATOS!$E7873,nASIG,DATOS!$I7873,nEVAL,"OR")=0))</f>
      </c>
      <c r="I7873">
        <f>IF(DATOS!$I7873="","",IFERROR(VLOOKUP(DATOS!$I7873,CONFIG_ASIGNATURAS!$B$2:$J$91,9,FALSE()),""))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IF(DATOS!$A7874="",0,IF(CONFIG_METADATA!$B$4&lt;&gt;"OR+EX",--(DATOS!$G7874=CONFIG_METADATA!$B$4),IF(DATOS!$G7874="EX",1,IF(DATOS!$G7874="OR",--(COUNTIFS(nNIA,DATOS!$A7874,nCURSO,DATOS!$D7874,nESPEC,DATOS!$E7874,nASIG,DATOS!$I7874,nEVAL,"EX")=0),0))))</f>
      </c>
      <c r="H7874">
        <f>IF(DATOS!$G7874&lt;&gt;"EX",0,--(COUNTIFS(nNIA,DATOS!$A7874,nCURSO,DATOS!$D7874,nESPEC,DATOS!$E7874,nASIG,DATOS!$I7874,nEVAL,"OR")=0))</f>
      </c>
      <c r="I7874">
        <f>IF(DATOS!$I7874="","",IFERROR(VLOOKUP(DATOS!$I7874,CONFIG_ASIGNATURAS!$B$2:$J$91,9,FALSE()),""))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IF(DATOS!$A7875="",0,IF(CONFIG_METADATA!$B$4&lt;&gt;"OR+EX",--(DATOS!$G7875=CONFIG_METADATA!$B$4),IF(DATOS!$G7875="EX",1,IF(DATOS!$G7875="OR",--(COUNTIFS(nNIA,DATOS!$A7875,nCURSO,DATOS!$D7875,nESPEC,DATOS!$E7875,nASIG,DATOS!$I7875,nEVAL,"EX")=0),0))))</f>
      </c>
      <c r="H7875">
        <f>IF(DATOS!$G7875&lt;&gt;"EX",0,--(COUNTIFS(nNIA,DATOS!$A7875,nCURSO,DATOS!$D7875,nESPEC,DATOS!$E7875,nASIG,DATOS!$I7875,nEVAL,"OR")=0))</f>
      </c>
      <c r="I7875">
        <f>IF(DATOS!$I7875="","",IFERROR(VLOOKUP(DATOS!$I7875,CONFIG_ASIGNATURAS!$B$2:$J$91,9,FALSE()),""))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IF(DATOS!$A7876="",0,IF(CONFIG_METADATA!$B$4&lt;&gt;"OR+EX",--(DATOS!$G7876=CONFIG_METADATA!$B$4),IF(DATOS!$G7876="EX",1,IF(DATOS!$G7876="OR",--(COUNTIFS(nNIA,DATOS!$A7876,nCURSO,DATOS!$D7876,nESPEC,DATOS!$E7876,nASIG,DATOS!$I7876,nEVAL,"EX")=0),0))))</f>
      </c>
      <c r="H7876">
        <f>IF(DATOS!$G7876&lt;&gt;"EX",0,--(COUNTIFS(nNIA,DATOS!$A7876,nCURSO,DATOS!$D7876,nESPEC,DATOS!$E7876,nASIG,DATOS!$I7876,nEVAL,"OR")=0))</f>
      </c>
      <c r="I7876">
        <f>IF(DATOS!$I7876="","",IFERROR(VLOOKUP(DATOS!$I7876,CONFIG_ASIGNATURAS!$B$2:$J$91,9,FALSE()),""))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IF(DATOS!$A7877="",0,IF(CONFIG_METADATA!$B$4&lt;&gt;"OR+EX",--(DATOS!$G7877=CONFIG_METADATA!$B$4),IF(DATOS!$G7877="EX",1,IF(DATOS!$G7877="OR",--(COUNTIFS(nNIA,DATOS!$A7877,nCURSO,DATOS!$D7877,nESPEC,DATOS!$E7877,nASIG,DATOS!$I7877,nEVAL,"EX")=0),0))))</f>
      </c>
      <c r="H7877">
        <f>IF(DATOS!$G7877&lt;&gt;"EX",0,--(COUNTIFS(nNIA,DATOS!$A7877,nCURSO,DATOS!$D7877,nESPEC,DATOS!$E7877,nASIG,DATOS!$I7877,nEVAL,"OR")=0))</f>
      </c>
      <c r="I7877">
        <f>IF(DATOS!$I7877="","",IFERROR(VLOOKUP(DATOS!$I7877,CONFIG_ASIGNATURAS!$B$2:$J$91,9,FALSE()),""))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IF(DATOS!$A7878="",0,IF(CONFIG_METADATA!$B$4&lt;&gt;"OR+EX",--(DATOS!$G7878=CONFIG_METADATA!$B$4),IF(DATOS!$G7878="EX",1,IF(DATOS!$G7878="OR",--(COUNTIFS(nNIA,DATOS!$A7878,nCURSO,DATOS!$D7878,nESPEC,DATOS!$E7878,nASIG,DATOS!$I7878,nEVAL,"EX")=0),0))))</f>
      </c>
      <c r="H7878">
        <f>IF(DATOS!$G7878&lt;&gt;"EX",0,--(COUNTIFS(nNIA,DATOS!$A7878,nCURSO,DATOS!$D7878,nESPEC,DATOS!$E7878,nASIG,DATOS!$I7878,nEVAL,"OR")=0))</f>
      </c>
      <c r="I7878">
        <f>IF(DATOS!$I7878="","",IFERROR(VLOOKUP(DATOS!$I7878,CONFIG_ASIGNATURAS!$B$2:$J$91,9,FALSE()),""))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IF(DATOS!$A7879="",0,IF(CONFIG_METADATA!$B$4&lt;&gt;"OR+EX",--(DATOS!$G7879=CONFIG_METADATA!$B$4),IF(DATOS!$G7879="EX",1,IF(DATOS!$G7879="OR",--(COUNTIFS(nNIA,DATOS!$A7879,nCURSO,DATOS!$D7879,nESPEC,DATOS!$E7879,nASIG,DATOS!$I7879,nEVAL,"EX")=0),0))))</f>
      </c>
      <c r="H7879">
        <f>IF(DATOS!$G7879&lt;&gt;"EX",0,--(COUNTIFS(nNIA,DATOS!$A7879,nCURSO,DATOS!$D7879,nESPEC,DATOS!$E7879,nASIG,DATOS!$I7879,nEVAL,"OR")=0))</f>
      </c>
      <c r="I7879">
        <f>IF(DATOS!$I7879="","",IFERROR(VLOOKUP(DATOS!$I7879,CONFIG_ASIGNATURAS!$B$2:$J$91,9,FALSE()),""))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IF(DATOS!$A7880="",0,IF(CONFIG_METADATA!$B$4&lt;&gt;"OR+EX",--(DATOS!$G7880=CONFIG_METADATA!$B$4),IF(DATOS!$G7880="EX",1,IF(DATOS!$G7880="OR",--(COUNTIFS(nNIA,DATOS!$A7880,nCURSO,DATOS!$D7880,nESPEC,DATOS!$E7880,nASIG,DATOS!$I7880,nEVAL,"EX")=0),0))))</f>
      </c>
      <c r="H7880">
        <f>IF(DATOS!$G7880&lt;&gt;"EX",0,--(COUNTIFS(nNIA,DATOS!$A7880,nCURSO,DATOS!$D7880,nESPEC,DATOS!$E7880,nASIG,DATOS!$I7880,nEVAL,"OR")=0))</f>
      </c>
      <c r="I7880">
        <f>IF(DATOS!$I7880="","",IFERROR(VLOOKUP(DATOS!$I7880,CONFIG_ASIGNATURAS!$B$2:$J$91,9,FALSE()),""))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IF(DATOS!$A7881="",0,IF(CONFIG_METADATA!$B$4&lt;&gt;"OR+EX",--(DATOS!$G7881=CONFIG_METADATA!$B$4),IF(DATOS!$G7881="EX",1,IF(DATOS!$G7881="OR",--(COUNTIFS(nNIA,DATOS!$A7881,nCURSO,DATOS!$D7881,nESPEC,DATOS!$E7881,nASIG,DATOS!$I7881,nEVAL,"EX")=0),0))))</f>
      </c>
      <c r="H7881">
        <f>IF(DATOS!$G7881&lt;&gt;"EX",0,--(COUNTIFS(nNIA,DATOS!$A7881,nCURSO,DATOS!$D7881,nESPEC,DATOS!$E7881,nASIG,DATOS!$I7881,nEVAL,"OR")=0))</f>
      </c>
      <c r="I7881">
        <f>IF(DATOS!$I7881="","",IFERROR(VLOOKUP(DATOS!$I7881,CONFIG_ASIGNATURAS!$B$2:$J$91,9,FALSE()),""))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IF(DATOS!$A7882="",0,IF(CONFIG_METADATA!$B$4&lt;&gt;"OR+EX",--(DATOS!$G7882=CONFIG_METADATA!$B$4),IF(DATOS!$G7882="EX",1,IF(DATOS!$G7882="OR",--(COUNTIFS(nNIA,DATOS!$A7882,nCURSO,DATOS!$D7882,nESPEC,DATOS!$E7882,nASIG,DATOS!$I7882,nEVAL,"EX")=0),0))))</f>
      </c>
      <c r="H7882">
        <f>IF(DATOS!$G7882&lt;&gt;"EX",0,--(COUNTIFS(nNIA,DATOS!$A7882,nCURSO,DATOS!$D7882,nESPEC,DATOS!$E7882,nASIG,DATOS!$I7882,nEVAL,"OR")=0))</f>
      </c>
      <c r="I7882">
        <f>IF(DATOS!$I7882="","",IFERROR(VLOOKUP(DATOS!$I7882,CONFIG_ASIGNATURAS!$B$2:$J$91,9,FALSE()),""))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IF(DATOS!$A7883="",0,IF(CONFIG_METADATA!$B$4&lt;&gt;"OR+EX",--(DATOS!$G7883=CONFIG_METADATA!$B$4),IF(DATOS!$G7883="EX",1,IF(DATOS!$G7883="OR",--(COUNTIFS(nNIA,DATOS!$A7883,nCURSO,DATOS!$D7883,nESPEC,DATOS!$E7883,nASIG,DATOS!$I7883,nEVAL,"EX")=0),0))))</f>
      </c>
      <c r="H7883">
        <f>IF(DATOS!$G7883&lt;&gt;"EX",0,--(COUNTIFS(nNIA,DATOS!$A7883,nCURSO,DATOS!$D7883,nESPEC,DATOS!$E7883,nASIG,DATOS!$I7883,nEVAL,"OR")=0))</f>
      </c>
      <c r="I7883">
        <f>IF(DATOS!$I7883="","",IFERROR(VLOOKUP(DATOS!$I7883,CONFIG_ASIGNATURAS!$B$2:$J$91,9,FALSE()),""))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IF(DATOS!$A7884="",0,IF(CONFIG_METADATA!$B$4&lt;&gt;"OR+EX",--(DATOS!$G7884=CONFIG_METADATA!$B$4),IF(DATOS!$G7884="EX",1,IF(DATOS!$G7884="OR",--(COUNTIFS(nNIA,DATOS!$A7884,nCURSO,DATOS!$D7884,nESPEC,DATOS!$E7884,nASIG,DATOS!$I7884,nEVAL,"EX")=0),0))))</f>
      </c>
      <c r="H7884">
        <f>IF(DATOS!$G7884&lt;&gt;"EX",0,--(COUNTIFS(nNIA,DATOS!$A7884,nCURSO,DATOS!$D7884,nESPEC,DATOS!$E7884,nASIG,DATOS!$I7884,nEVAL,"OR")=0))</f>
      </c>
      <c r="I7884">
        <f>IF(DATOS!$I7884="","",IFERROR(VLOOKUP(DATOS!$I7884,CONFIG_ASIGNATURAS!$B$2:$J$91,9,FALSE()),""))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IF(DATOS!$A7885="",0,IF(CONFIG_METADATA!$B$4&lt;&gt;"OR+EX",--(DATOS!$G7885=CONFIG_METADATA!$B$4),IF(DATOS!$G7885="EX",1,IF(DATOS!$G7885="OR",--(COUNTIFS(nNIA,DATOS!$A7885,nCURSO,DATOS!$D7885,nESPEC,DATOS!$E7885,nASIG,DATOS!$I7885,nEVAL,"EX")=0),0))))</f>
      </c>
      <c r="H7885">
        <f>IF(DATOS!$G7885&lt;&gt;"EX",0,--(COUNTIFS(nNIA,DATOS!$A7885,nCURSO,DATOS!$D7885,nESPEC,DATOS!$E7885,nASIG,DATOS!$I7885,nEVAL,"OR")=0))</f>
      </c>
      <c r="I7885">
        <f>IF(DATOS!$I7885="","",IFERROR(VLOOKUP(DATOS!$I7885,CONFIG_ASIGNATURAS!$B$2:$J$91,9,FALSE()),""))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IF(DATOS!$A7886="",0,IF(CONFIG_METADATA!$B$4&lt;&gt;"OR+EX",--(DATOS!$G7886=CONFIG_METADATA!$B$4),IF(DATOS!$G7886="EX",1,IF(DATOS!$G7886="OR",--(COUNTIFS(nNIA,DATOS!$A7886,nCURSO,DATOS!$D7886,nESPEC,DATOS!$E7886,nASIG,DATOS!$I7886,nEVAL,"EX")=0),0))))</f>
      </c>
      <c r="H7886">
        <f>IF(DATOS!$G7886&lt;&gt;"EX",0,--(COUNTIFS(nNIA,DATOS!$A7886,nCURSO,DATOS!$D7886,nESPEC,DATOS!$E7886,nASIG,DATOS!$I7886,nEVAL,"OR")=0))</f>
      </c>
      <c r="I7886">
        <f>IF(DATOS!$I7886="","",IFERROR(VLOOKUP(DATOS!$I7886,CONFIG_ASIGNATURAS!$B$2:$J$91,9,FALSE()),""))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IF(DATOS!$A7887="",0,IF(CONFIG_METADATA!$B$4&lt;&gt;"OR+EX",--(DATOS!$G7887=CONFIG_METADATA!$B$4),IF(DATOS!$G7887="EX",1,IF(DATOS!$G7887="OR",--(COUNTIFS(nNIA,DATOS!$A7887,nCURSO,DATOS!$D7887,nESPEC,DATOS!$E7887,nASIG,DATOS!$I7887,nEVAL,"EX")=0),0))))</f>
      </c>
      <c r="H7887">
        <f>IF(DATOS!$G7887&lt;&gt;"EX",0,--(COUNTIFS(nNIA,DATOS!$A7887,nCURSO,DATOS!$D7887,nESPEC,DATOS!$E7887,nASIG,DATOS!$I7887,nEVAL,"OR")=0))</f>
      </c>
      <c r="I7887">
        <f>IF(DATOS!$I7887="","",IFERROR(VLOOKUP(DATOS!$I7887,CONFIG_ASIGNATURAS!$B$2:$J$91,9,FALSE()),""))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IF(DATOS!$A7888="",0,IF(CONFIG_METADATA!$B$4&lt;&gt;"OR+EX",--(DATOS!$G7888=CONFIG_METADATA!$B$4),IF(DATOS!$G7888="EX",1,IF(DATOS!$G7888="OR",--(COUNTIFS(nNIA,DATOS!$A7888,nCURSO,DATOS!$D7888,nESPEC,DATOS!$E7888,nASIG,DATOS!$I7888,nEVAL,"EX")=0),0))))</f>
      </c>
      <c r="H7888">
        <f>IF(DATOS!$G7888&lt;&gt;"EX",0,--(COUNTIFS(nNIA,DATOS!$A7888,nCURSO,DATOS!$D7888,nESPEC,DATOS!$E7888,nASIG,DATOS!$I7888,nEVAL,"OR")=0))</f>
      </c>
      <c r="I7888">
        <f>IF(DATOS!$I7888="","",IFERROR(VLOOKUP(DATOS!$I7888,CONFIG_ASIGNATURAS!$B$2:$J$91,9,FALSE()),""))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IF(DATOS!$A7889="",0,IF(CONFIG_METADATA!$B$4&lt;&gt;"OR+EX",--(DATOS!$G7889=CONFIG_METADATA!$B$4),IF(DATOS!$G7889="EX",1,IF(DATOS!$G7889="OR",--(COUNTIFS(nNIA,DATOS!$A7889,nCURSO,DATOS!$D7889,nESPEC,DATOS!$E7889,nASIG,DATOS!$I7889,nEVAL,"EX")=0),0))))</f>
      </c>
      <c r="H7889">
        <f>IF(DATOS!$G7889&lt;&gt;"EX",0,--(COUNTIFS(nNIA,DATOS!$A7889,nCURSO,DATOS!$D7889,nESPEC,DATOS!$E7889,nASIG,DATOS!$I7889,nEVAL,"OR")=0))</f>
      </c>
      <c r="I7889">
        <f>IF(DATOS!$I7889="","",IFERROR(VLOOKUP(DATOS!$I7889,CONFIG_ASIGNATURAS!$B$2:$J$91,9,FALSE()),""))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IF(DATOS!$A7890="",0,IF(CONFIG_METADATA!$B$4&lt;&gt;"OR+EX",--(DATOS!$G7890=CONFIG_METADATA!$B$4),IF(DATOS!$G7890="EX",1,IF(DATOS!$G7890="OR",--(COUNTIFS(nNIA,DATOS!$A7890,nCURSO,DATOS!$D7890,nESPEC,DATOS!$E7890,nASIG,DATOS!$I7890,nEVAL,"EX")=0),0))))</f>
      </c>
      <c r="H7890">
        <f>IF(DATOS!$G7890&lt;&gt;"EX",0,--(COUNTIFS(nNIA,DATOS!$A7890,nCURSO,DATOS!$D7890,nESPEC,DATOS!$E7890,nASIG,DATOS!$I7890,nEVAL,"OR")=0))</f>
      </c>
      <c r="I7890">
        <f>IF(DATOS!$I7890="","",IFERROR(VLOOKUP(DATOS!$I7890,CONFIG_ASIGNATURAS!$B$2:$J$91,9,FALSE()),""))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IF(DATOS!$A7891="",0,IF(CONFIG_METADATA!$B$4&lt;&gt;"OR+EX",--(DATOS!$G7891=CONFIG_METADATA!$B$4),IF(DATOS!$G7891="EX",1,IF(DATOS!$G7891="OR",--(COUNTIFS(nNIA,DATOS!$A7891,nCURSO,DATOS!$D7891,nESPEC,DATOS!$E7891,nASIG,DATOS!$I7891,nEVAL,"EX")=0),0))))</f>
      </c>
      <c r="H7891">
        <f>IF(DATOS!$G7891&lt;&gt;"EX",0,--(COUNTIFS(nNIA,DATOS!$A7891,nCURSO,DATOS!$D7891,nESPEC,DATOS!$E7891,nASIG,DATOS!$I7891,nEVAL,"OR")=0))</f>
      </c>
      <c r="I7891">
        <f>IF(DATOS!$I7891="","",IFERROR(VLOOKUP(DATOS!$I7891,CONFIG_ASIGNATURAS!$B$2:$J$91,9,FALSE()),""))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IF(DATOS!$A7892="",0,IF(CONFIG_METADATA!$B$4&lt;&gt;"OR+EX",--(DATOS!$G7892=CONFIG_METADATA!$B$4),IF(DATOS!$G7892="EX",1,IF(DATOS!$G7892="OR",--(COUNTIFS(nNIA,DATOS!$A7892,nCURSO,DATOS!$D7892,nESPEC,DATOS!$E7892,nASIG,DATOS!$I7892,nEVAL,"EX")=0),0))))</f>
      </c>
      <c r="H7892">
        <f>IF(DATOS!$G7892&lt;&gt;"EX",0,--(COUNTIFS(nNIA,DATOS!$A7892,nCURSO,DATOS!$D7892,nESPEC,DATOS!$E7892,nASIG,DATOS!$I7892,nEVAL,"OR")=0))</f>
      </c>
      <c r="I7892">
        <f>IF(DATOS!$I7892="","",IFERROR(VLOOKUP(DATOS!$I7892,CONFIG_ASIGNATURAS!$B$2:$J$91,9,FALSE()),""))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IF(DATOS!$A7893="",0,IF(CONFIG_METADATA!$B$4&lt;&gt;"OR+EX",--(DATOS!$G7893=CONFIG_METADATA!$B$4),IF(DATOS!$G7893="EX",1,IF(DATOS!$G7893="OR",--(COUNTIFS(nNIA,DATOS!$A7893,nCURSO,DATOS!$D7893,nESPEC,DATOS!$E7893,nASIG,DATOS!$I7893,nEVAL,"EX")=0),0))))</f>
      </c>
      <c r="H7893">
        <f>IF(DATOS!$G7893&lt;&gt;"EX",0,--(COUNTIFS(nNIA,DATOS!$A7893,nCURSO,DATOS!$D7893,nESPEC,DATOS!$E7893,nASIG,DATOS!$I7893,nEVAL,"OR")=0))</f>
      </c>
      <c r="I7893">
        <f>IF(DATOS!$I7893="","",IFERROR(VLOOKUP(DATOS!$I7893,CONFIG_ASIGNATURAS!$B$2:$J$91,9,FALSE()),""))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IF(DATOS!$A7894="",0,IF(CONFIG_METADATA!$B$4&lt;&gt;"OR+EX",--(DATOS!$G7894=CONFIG_METADATA!$B$4),IF(DATOS!$G7894="EX",1,IF(DATOS!$G7894="OR",--(COUNTIFS(nNIA,DATOS!$A7894,nCURSO,DATOS!$D7894,nESPEC,DATOS!$E7894,nASIG,DATOS!$I7894,nEVAL,"EX")=0),0))))</f>
      </c>
      <c r="H7894">
        <f>IF(DATOS!$G7894&lt;&gt;"EX",0,--(COUNTIFS(nNIA,DATOS!$A7894,nCURSO,DATOS!$D7894,nESPEC,DATOS!$E7894,nASIG,DATOS!$I7894,nEVAL,"OR")=0))</f>
      </c>
      <c r="I7894">
        <f>IF(DATOS!$I7894="","",IFERROR(VLOOKUP(DATOS!$I7894,CONFIG_ASIGNATURAS!$B$2:$J$91,9,FALSE()),""))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IF(DATOS!$A7895="",0,IF(CONFIG_METADATA!$B$4&lt;&gt;"OR+EX",--(DATOS!$G7895=CONFIG_METADATA!$B$4),IF(DATOS!$G7895="EX",1,IF(DATOS!$G7895="OR",--(COUNTIFS(nNIA,DATOS!$A7895,nCURSO,DATOS!$D7895,nESPEC,DATOS!$E7895,nASIG,DATOS!$I7895,nEVAL,"EX")=0),0))))</f>
      </c>
      <c r="H7895">
        <f>IF(DATOS!$G7895&lt;&gt;"EX",0,--(COUNTIFS(nNIA,DATOS!$A7895,nCURSO,DATOS!$D7895,nESPEC,DATOS!$E7895,nASIG,DATOS!$I7895,nEVAL,"OR")=0))</f>
      </c>
      <c r="I7895">
        <f>IF(DATOS!$I7895="","",IFERROR(VLOOKUP(DATOS!$I7895,CONFIG_ASIGNATURAS!$B$2:$J$91,9,FALSE()),""))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IF(DATOS!$A7896="",0,IF(CONFIG_METADATA!$B$4&lt;&gt;"OR+EX",--(DATOS!$G7896=CONFIG_METADATA!$B$4),IF(DATOS!$G7896="EX",1,IF(DATOS!$G7896="OR",--(COUNTIFS(nNIA,DATOS!$A7896,nCURSO,DATOS!$D7896,nESPEC,DATOS!$E7896,nASIG,DATOS!$I7896,nEVAL,"EX")=0),0))))</f>
      </c>
      <c r="H7896">
        <f>IF(DATOS!$G7896&lt;&gt;"EX",0,--(COUNTIFS(nNIA,DATOS!$A7896,nCURSO,DATOS!$D7896,nESPEC,DATOS!$E7896,nASIG,DATOS!$I7896,nEVAL,"OR")=0))</f>
      </c>
      <c r="I7896">
        <f>IF(DATOS!$I7896="","",IFERROR(VLOOKUP(DATOS!$I7896,CONFIG_ASIGNATURAS!$B$2:$J$91,9,FALSE()),""))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IF(DATOS!$A7897="",0,IF(CONFIG_METADATA!$B$4&lt;&gt;"OR+EX",--(DATOS!$G7897=CONFIG_METADATA!$B$4),IF(DATOS!$G7897="EX",1,IF(DATOS!$G7897="OR",--(COUNTIFS(nNIA,DATOS!$A7897,nCURSO,DATOS!$D7897,nESPEC,DATOS!$E7897,nASIG,DATOS!$I7897,nEVAL,"EX")=0),0))))</f>
      </c>
      <c r="H7897">
        <f>IF(DATOS!$G7897&lt;&gt;"EX",0,--(COUNTIFS(nNIA,DATOS!$A7897,nCURSO,DATOS!$D7897,nESPEC,DATOS!$E7897,nASIG,DATOS!$I7897,nEVAL,"OR")=0))</f>
      </c>
      <c r="I7897">
        <f>IF(DATOS!$I7897="","",IFERROR(VLOOKUP(DATOS!$I7897,CONFIG_ASIGNATURAS!$B$2:$J$91,9,FALSE()),""))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IF(DATOS!$A7898="",0,IF(CONFIG_METADATA!$B$4&lt;&gt;"OR+EX",--(DATOS!$G7898=CONFIG_METADATA!$B$4),IF(DATOS!$G7898="EX",1,IF(DATOS!$G7898="OR",--(COUNTIFS(nNIA,DATOS!$A7898,nCURSO,DATOS!$D7898,nESPEC,DATOS!$E7898,nASIG,DATOS!$I7898,nEVAL,"EX")=0),0))))</f>
      </c>
      <c r="H7898">
        <f>IF(DATOS!$G7898&lt;&gt;"EX",0,--(COUNTIFS(nNIA,DATOS!$A7898,nCURSO,DATOS!$D7898,nESPEC,DATOS!$E7898,nASIG,DATOS!$I7898,nEVAL,"OR")=0))</f>
      </c>
      <c r="I7898">
        <f>IF(DATOS!$I7898="","",IFERROR(VLOOKUP(DATOS!$I7898,CONFIG_ASIGNATURAS!$B$2:$J$91,9,FALSE()),""))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IF(DATOS!$A7899="",0,IF(CONFIG_METADATA!$B$4&lt;&gt;"OR+EX",--(DATOS!$G7899=CONFIG_METADATA!$B$4),IF(DATOS!$G7899="EX",1,IF(DATOS!$G7899="OR",--(COUNTIFS(nNIA,DATOS!$A7899,nCURSO,DATOS!$D7899,nESPEC,DATOS!$E7899,nASIG,DATOS!$I7899,nEVAL,"EX")=0),0))))</f>
      </c>
      <c r="H7899">
        <f>IF(DATOS!$G7899&lt;&gt;"EX",0,--(COUNTIFS(nNIA,DATOS!$A7899,nCURSO,DATOS!$D7899,nESPEC,DATOS!$E7899,nASIG,DATOS!$I7899,nEVAL,"OR")=0))</f>
      </c>
      <c r="I7899">
        <f>IF(DATOS!$I7899="","",IFERROR(VLOOKUP(DATOS!$I7899,CONFIG_ASIGNATURAS!$B$2:$J$91,9,FALSE()),""))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IF(DATOS!$A7900="",0,IF(CONFIG_METADATA!$B$4&lt;&gt;"OR+EX",--(DATOS!$G7900=CONFIG_METADATA!$B$4),IF(DATOS!$G7900="EX",1,IF(DATOS!$G7900="OR",--(COUNTIFS(nNIA,DATOS!$A7900,nCURSO,DATOS!$D7900,nESPEC,DATOS!$E7900,nASIG,DATOS!$I7900,nEVAL,"EX")=0),0))))</f>
      </c>
      <c r="H7900">
        <f>IF(DATOS!$G7900&lt;&gt;"EX",0,--(COUNTIFS(nNIA,DATOS!$A7900,nCURSO,DATOS!$D7900,nESPEC,DATOS!$E7900,nASIG,DATOS!$I7900,nEVAL,"OR")=0))</f>
      </c>
      <c r="I7900">
        <f>IF(DATOS!$I7900="","",IFERROR(VLOOKUP(DATOS!$I7900,CONFIG_ASIGNATURAS!$B$2:$J$91,9,FALSE()),""))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IF(DATOS!$A7901="",0,IF(CONFIG_METADATA!$B$4&lt;&gt;"OR+EX",--(DATOS!$G7901=CONFIG_METADATA!$B$4),IF(DATOS!$G7901="EX",1,IF(DATOS!$G7901="OR",--(COUNTIFS(nNIA,DATOS!$A7901,nCURSO,DATOS!$D7901,nESPEC,DATOS!$E7901,nASIG,DATOS!$I7901,nEVAL,"EX")=0),0))))</f>
      </c>
      <c r="H7901">
        <f>IF(DATOS!$G7901&lt;&gt;"EX",0,--(COUNTIFS(nNIA,DATOS!$A7901,nCURSO,DATOS!$D7901,nESPEC,DATOS!$E7901,nASIG,DATOS!$I7901,nEVAL,"OR")=0))</f>
      </c>
      <c r="I7901">
        <f>IF(DATOS!$I7901="","",IFERROR(VLOOKUP(DATOS!$I7901,CONFIG_ASIGNATURAS!$B$2:$J$91,9,FALSE()),""))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IF(DATOS!$A7902="",0,IF(CONFIG_METADATA!$B$4&lt;&gt;"OR+EX",--(DATOS!$G7902=CONFIG_METADATA!$B$4),IF(DATOS!$G7902="EX",1,IF(DATOS!$G7902="OR",--(COUNTIFS(nNIA,DATOS!$A7902,nCURSO,DATOS!$D7902,nESPEC,DATOS!$E7902,nASIG,DATOS!$I7902,nEVAL,"EX")=0),0))))</f>
      </c>
      <c r="H7902">
        <f>IF(DATOS!$G7902&lt;&gt;"EX",0,--(COUNTIFS(nNIA,DATOS!$A7902,nCURSO,DATOS!$D7902,nESPEC,DATOS!$E7902,nASIG,DATOS!$I7902,nEVAL,"OR")=0))</f>
      </c>
      <c r="I7902">
        <f>IF(DATOS!$I7902="","",IFERROR(VLOOKUP(DATOS!$I7902,CONFIG_ASIGNATURAS!$B$2:$J$91,9,FALSE()),""))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IF(DATOS!$A7903="",0,IF(CONFIG_METADATA!$B$4&lt;&gt;"OR+EX",--(DATOS!$G7903=CONFIG_METADATA!$B$4),IF(DATOS!$G7903="EX",1,IF(DATOS!$G7903="OR",--(COUNTIFS(nNIA,DATOS!$A7903,nCURSO,DATOS!$D7903,nESPEC,DATOS!$E7903,nASIG,DATOS!$I7903,nEVAL,"EX")=0),0))))</f>
      </c>
      <c r="H7903">
        <f>IF(DATOS!$G7903&lt;&gt;"EX",0,--(COUNTIFS(nNIA,DATOS!$A7903,nCURSO,DATOS!$D7903,nESPEC,DATOS!$E7903,nASIG,DATOS!$I7903,nEVAL,"OR")=0))</f>
      </c>
      <c r="I7903">
        <f>IF(DATOS!$I7903="","",IFERROR(VLOOKUP(DATOS!$I7903,CONFIG_ASIGNATURAS!$B$2:$J$91,9,FALSE()),""))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IF(DATOS!$A7904="",0,IF(CONFIG_METADATA!$B$4&lt;&gt;"OR+EX",--(DATOS!$G7904=CONFIG_METADATA!$B$4),IF(DATOS!$G7904="EX",1,IF(DATOS!$G7904="OR",--(COUNTIFS(nNIA,DATOS!$A7904,nCURSO,DATOS!$D7904,nESPEC,DATOS!$E7904,nASIG,DATOS!$I7904,nEVAL,"EX")=0),0))))</f>
      </c>
      <c r="H7904">
        <f>IF(DATOS!$G7904&lt;&gt;"EX",0,--(COUNTIFS(nNIA,DATOS!$A7904,nCURSO,DATOS!$D7904,nESPEC,DATOS!$E7904,nASIG,DATOS!$I7904,nEVAL,"OR")=0))</f>
      </c>
      <c r="I7904">
        <f>IF(DATOS!$I7904="","",IFERROR(VLOOKUP(DATOS!$I7904,CONFIG_ASIGNATURAS!$B$2:$J$91,9,FALSE()),""))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IF(DATOS!$A7905="",0,IF(CONFIG_METADATA!$B$4&lt;&gt;"OR+EX",--(DATOS!$G7905=CONFIG_METADATA!$B$4),IF(DATOS!$G7905="EX",1,IF(DATOS!$G7905="OR",--(COUNTIFS(nNIA,DATOS!$A7905,nCURSO,DATOS!$D7905,nESPEC,DATOS!$E7905,nASIG,DATOS!$I7905,nEVAL,"EX")=0),0))))</f>
      </c>
      <c r="H7905">
        <f>IF(DATOS!$G7905&lt;&gt;"EX",0,--(COUNTIFS(nNIA,DATOS!$A7905,nCURSO,DATOS!$D7905,nESPEC,DATOS!$E7905,nASIG,DATOS!$I7905,nEVAL,"OR")=0))</f>
      </c>
      <c r="I7905">
        <f>IF(DATOS!$I7905="","",IFERROR(VLOOKUP(DATOS!$I7905,CONFIG_ASIGNATURAS!$B$2:$J$91,9,FALSE()),""))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IF(DATOS!$A7906="",0,IF(CONFIG_METADATA!$B$4&lt;&gt;"OR+EX",--(DATOS!$G7906=CONFIG_METADATA!$B$4),IF(DATOS!$G7906="EX",1,IF(DATOS!$G7906="OR",--(COUNTIFS(nNIA,DATOS!$A7906,nCURSO,DATOS!$D7906,nESPEC,DATOS!$E7906,nASIG,DATOS!$I7906,nEVAL,"EX")=0),0))))</f>
      </c>
      <c r="H7906">
        <f>IF(DATOS!$G7906&lt;&gt;"EX",0,--(COUNTIFS(nNIA,DATOS!$A7906,nCURSO,DATOS!$D7906,nESPEC,DATOS!$E7906,nASIG,DATOS!$I7906,nEVAL,"OR")=0))</f>
      </c>
      <c r="I7906">
        <f>IF(DATOS!$I7906="","",IFERROR(VLOOKUP(DATOS!$I7906,CONFIG_ASIGNATURAS!$B$2:$J$91,9,FALSE()),""))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IF(DATOS!$A7907="",0,IF(CONFIG_METADATA!$B$4&lt;&gt;"OR+EX",--(DATOS!$G7907=CONFIG_METADATA!$B$4),IF(DATOS!$G7907="EX",1,IF(DATOS!$G7907="OR",--(COUNTIFS(nNIA,DATOS!$A7907,nCURSO,DATOS!$D7907,nESPEC,DATOS!$E7907,nASIG,DATOS!$I7907,nEVAL,"EX")=0),0))))</f>
      </c>
      <c r="H7907">
        <f>IF(DATOS!$G7907&lt;&gt;"EX",0,--(COUNTIFS(nNIA,DATOS!$A7907,nCURSO,DATOS!$D7907,nESPEC,DATOS!$E7907,nASIG,DATOS!$I7907,nEVAL,"OR")=0))</f>
      </c>
      <c r="I7907">
        <f>IF(DATOS!$I7907="","",IFERROR(VLOOKUP(DATOS!$I7907,CONFIG_ASIGNATURAS!$B$2:$J$91,9,FALSE()),""))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IF(DATOS!$A7908="",0,IF(CONFIG_METADATA!$B$4&lt;&gt;"OR+EX",--(DATOS!$G7908=CONFIG_METADATA!$B$4),IF(DATOS!$G7908="EX",1,IF(DATOS!$G7908="OR",--(COUNTIFS(nNIA,DATOS!$A7908,nCURSO,DATOS!$D7908,nESPEC,DATOS!$E7908,nASIG,DATOS!$I7908,nEVAL,"EX")=0),0))))</f>
      </c>
      <c r="H7908">
        <f>IF(DATOS!$G7908&lt;&gt;"EX",0,--(COUNTIFS(nNIA,DATOS!$A7908,nCURSO,DATOS!$D7908,nESPEC,DATOS!$E7908,nASIG,DATOS!$I7908,nEVAL,"OR")=0))</f>
      </c>
      <c r="I7908">
        <f>IF(DATOS!$I7908="","",IFERROR(VLOOKUP(DATOS!$I7908,CONFIG_ASIGNATURAS!$B$2:$J$91,9,FALSE()),""))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IF(DATOS!$A7909="",0,IF(CONFIG_METADATA!$B$4&lt;&gt;"OR+EX",--(DATOS!$G7909=CONFIG_METADATA!$B$4),IF(DATOS!$G7909="EX",1,IF(DATOS!$G7909="OR",--(COUNTIFS(nNIA,DATOS!$A7909,nCURSO,DATOS!$D7909,nESPEC,DATOS!$E7909,nASIG,DATOS!$I7909,nEVAL,"EX")=0),0))))</f>
      </c>
      <c r="H7909">
        <f>IF(DATOS!$G7909&lt;&gt;"EX",0,--(COUNTIFS(nNIA,DATOS!$A7909,nCURSO,DATOS!$D7909,nESPEC,DATOS!$E7909,nASIG,DATOS!$I7909,nEVAL,"OR")=0))</f>
      </c>
      <c r="I7909">
        <f>IF(DATOS!$I7909="","",IFERROR(VLOOKUP(DATOS!$I7909,CONFIG_ASIGNATURAS!$B$2:$J$91,9,FALSE()),""))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IF(DATOS!$A7910="",0,IF(CONFIG_METADATA!$B$4&lt;&gt;"OR+EX",--(DATOS!$G7910=CONFIG_METADATA!$B$4),IF(DATOS!$G7910="EX",1,IF(DATOS!$G7910="OR",--(COUNTIFS(nNIA,DATOS!$A7910,nCURSO,DATOS!$D7910,nESPEC,DATOS!$E7910,nASIG,DATOS!$I7910,nEVAL,"EX")=0),0))))</f>
      </c>
      <c r="H7910">
        <f>IF(DATOS!$G7910&lt;&gt;"EX",0,--(COUNTIFS(nNIA,DATOS!$A7910,nCURSO,DATOS!$D7910,nESPEC,DATOS!$E7910,nASIG,DATOS!$I7910,nEVAL,"OR")=0))</f>
      </c>
      <c r="I7910">
        <f>IF(DATOS!$I7910="","",IFERROR(VLOOKUP(DATOS!$I7910,CONFIG_ASIGNATURAS!$B$2:$J$91,9,FALSE()),""))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IF(DATOS!$A7911="",0,IF(CONFIG_METADATA!$B$4&lt;&gt;"OR+EX",--(DATOS!$G7911=CONFIG_METADATA!$B$4),IF(DATOS!$G7911="EX",1,IF(DATOS!$G7911="OR",--(COUNTIFS(nNIA,DATOS!$A7911,nCURSO,DATOS!$D7911,nESPEC,DATOS!$E7911,nASIG,DATOS!$I7911,nEVAL,"EX")=0),0))))</f>
      </c>
      <c r="H7911">
        <f>IF(DATOS!$G7911&lt;&gt;"EX",0,--(COUNTIFS(nNIA,DATOS!$A7911,nCURSO,DATOS!$D7911,nESPEC,DATOS!$E7911,nASIG,DATOS!$I7911,nEVAL,"OR")=0))</f>
      </c>
      <c r="I7911">
        <f>IF(DATOS!$I7911="","",IFERROR(VLOOKUP(DATOS!$I7911,CONFIG_ASIGNATURAS!$B$2:$J$91,9,FALSE()),""))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IF(DATOS!$A7912="",0,IF(CONFIG_METADATA!$B$4&lt;&gt;"OR+EX",--(DATOS!$G7912=CONFIG_METADATA!$B$4),IF(DATOS!$G7912="EX",1,IF(DATOS!$G7912="OR",--(COUNTIFS(nNIA,DATOS!$A7912,nCURSO,DATOS!$D7912,nESPEC,DATOS!$E7912,nASIG,DATOS!$I7912,nEVAL,"EX")=0),0))))</f>
      </c>
      <c r="H7912">
        <f>IF(DATOS!$G7912&lt;&gt;"EX",0,--(COUNTIFS(nNIA,DATOS!$A7912,nCURSO,DATOS!$D7912,nESPEC,DATOS!$E7912,nASIG,DATOS!$I7912,nEVAL,"OR")=0))</f>
      </c>
      <c r="I7912">
        <f>IF(DATOS!$I7912="","",IFERROR(VLOOKUP(DATOS!$I7912,CONFIG_ASIGNATURAS!$B$2:$J$91,9,FALSE()),""))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IF(DATOS!$A7913="",0,IF(CONFIG_METADATA!$B$4&lt;&gt;"OR+EX",--(DATOS!$G7913=CONFIG_METADATA!$B$4),IF(DATOS!$G7913="EX",1,IF(DATOS!$G7913="OR",--(COUNTIFS(nNIA,DATOS!$A7913,nCURSO,DATOS!$D7913,nESPEC,DATOS!$E7913,nASIG,DATOS!$I7913,nEVAL,"EX")=0),0))))</f>
      </c>
      <c r="H7913">
        <f>IF(DATOS!$G7913&lt;&gt;"EX",0,--(COUNTIFS(nNIA,DATOS!$A7913,nCURSO,DATOS!$D7913,nESPEC,DATOS!$E7913,nASIG,DATOS!$I7913,nEVAL,"OR")=0))</f>
      </c>
      <c r="I7913">
        <f>IF(DATOS!$I7913="","",IFERROR(VLOOKUP(DATOS!$I7913,CONFIG_ASIGNATURAS!$B$2:$J$91,9,FALSE()),""))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IF(DATOS!$A7914="",0,IF(CONFIG_METADATA!$B$4&lt;&gt;"OR+EX",--(DATOS!$G7914=CONFIG_METADATA!$B$4),IF(DATOS!$G7914="EX",1,IF(DATOS!$G7914="OR",--(COUNTIFS(nNIA,DATOS!$A7914,nCURSO,DATOS!$D7914,nESPEC,DATOS!$E7914,nASIG,DATOS!$I7914,nEVAL,"EX")=0),0))))</f>
      </c>
      <c r="H7914">
        <f>IF(DATOS!$G7914&lt;&gt;"EX",0,--(COUNTIFS(nNIA,DATOS!$A7914,nCURSO,DATOS!$D7914,nESPEC,DATOS!$E7914,nASIG,DATOS!$I7914,nEVAL,"OR")=0))</f>
      </c>
      <c r="I7914">
        <f>IF(DATOS!$I7914="","",IFERROR(VLOOKUP(DATOS!$I7914,CONFIG_ASIGNATURAS!$B$2:$J$91,9,FALSE()),""))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IF(DATOS!$A7915="",0,IF(CONFIG_METADATA!$B$4&lt;&gt;"OR+EX",--(DATOS!$G7915=CONFIG_METADATA!$B$4),IF(DATOS!$G7915="EX",1,IF(DATOS!$G7915="OR",--(COUNTIFS(nNIA,DATOS!$A7915,nCURSO,DATOS!$D7915,nESPEC,DATOS!$E7915,nASIG,DATOS!$I7915,nEVAL,"EX")=0),0))))</f>
      </c>
      <c r="H7915">
        <f>IF(DATOS!$G7915&lt;&gt;"EX",0,--(COUNTIFS(nNIA,DATOS!$A7915,nCURSO,DATOS!$D7915,nESPEC,DATOS!$E7915,nASIG,DATOS!$I7915,nEVAL,"OR")=0))</f>
      </c>
      <c r="I7915">
        <f>IF(DATOS!$I7915="","",IFERROR(VLOOKUP(DATOS!$I7915,CONFIG_ASIGNATURAS!$B$2:$J$91,9,FALSE()),""))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IF(DATOS!$A7916="",0,IF(CONFIG_METADATA!$B$4&lt;&gt;"OR+EX",--(DATOS!$G7916=CONFIG_METADATA!$B$4),IF(DATOS!$G7916="EX",1,IF(DATOS!$G7916="OR",--(COUNTIFS(nNIA,DATOS!$A7916,nCURSO,DATOS!$D7916,nESPEC,DATOS!$E7916,nASIG,DATOS!$I7916,nEVAL,"EX")=0),0))))</f>
      </c>
      <c r="H7916">
        <f>IF(DATOS!$G7916&lt;&gt;"EX",0,--(COUNTIFS(nNIA,DATOS!$A7916,nCURSO,DATOS!$D7916,nESPEC,DATOS!$E7916,nASIG,DATOS!$I7916,nEVAL,"OR")=0))</f>
      </c>
      <c r="I7916">
        <f>IF(DATOS!$I7916="","",IFERROR(VLOOKUP(DATOS!$I7916,CONFIG_ASIGNATURAS!$B$2:$J$91,9,FALSE()),""))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IF(DATOS!$A7917="",0,IF(CONFIG_METADATA!$B$4&lt;&gt;"OR+EX",--(DATOS!$G7917=CONFIG_METADATA!$B$4),IF(DATOS!$G7917="EX",1,IF(DATOS!$G7917="OR",--(COUNTIFS(nNIA,DATOS!$A7917,nCURSO,DATOS!$D7917,nESPEC,DATOS!$E7917,nASIG,DATOS!$I7917,nEVAL,"EX")=0),0))))</f>
      </c>
      <c r="H7917">
        <f>IF(DATOS!$G7917&lt;&gt;"EX",0,--(COUNTIFS(nNIA,DATOS!$A7917,nCURSO,DATOS!$D7917,nESPEC,DATOS!$E7917,nASIG,DATOS!$I7917,nEVAL,"OR")=0))</f>
      </c>
      <c r="I7917">
        <f>IF(DATOS!$I7917="","",IFERROR(VLOOKUP(DATOS!$I7917,CONFIG_ASIGNATURAS!$B$2:$J$91,9,FALSE()),""))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IF(DATOS!$A7918="",0,IF(CONFIG_METADATA!$B$4&lt;&gt;"OR+EX",--(DATOS!$G7918=CONFIG_METADATA!$B$4),IF(DATOS!$G7918="EX",1,IF(DATOS!$G7918="OR",--(COUNTIFS(nNIA,DATOS!$A7918,nCURSO,DATOS!$D7918,nESPEC,DATOS!$E7918,nASIG,DATOS!$I7918,nEVAL,"EX")=0),0))))</f>
      </c>
      <c r="H7918">
        <f>IF(DATOS!$G7918&lt;&gt;"EX",0,--(COUNTIFS(nNIA,DATOS!$A7918,nCURSO,DATOS!$D7918,nESPEC,DATOS!$E7918,nASIG,DATOS!$I7918,nEVAL,"OR")=0))</f>
      </c>
      <c r="I7918">
        <f>IF(DATOS!$I7918="","",IFERROR(VLOOKUP(DATOS!$I7918,CONFIG_ASIGNATURAS!$B$2:$J$91,9,FALSE()),""))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IF(DATOS!$A7919="",0,IF(CONFIG_METADATA!$B$4&lt;&gt;"OR+EX",--(DATOS!$G7919=CONFIG_METADATA!$B$4),IF(DATOS!$G7919="EX",1,IF(DATOS!$G7919="OR",--(COUNTIFS(nNIA,DATOS!$A7919,nCURSO,DATOS!$D7919,nESPEC,DATOS!$E7919,nASIG,DATOS!$I7919,nEVAL,"EX")=0),0))))</f>
      </c>
      <c r="H7919">
        <f>IF(DATOS!$G7919&lt;&gt;"EX",0,--(COUNTIFS(nNIA,DATOS!$A7919,nCURSO,DATOS!$D7919,nESPEC,DATOS!$E7919,nASIG,DATOS!$I7919,nEVAL,"OR")=0))</f>
      </c>
      <c r="I7919">
        <f>IF(DATOS!$I7919="","",IFERROR(VLOOKUP(DATOS!$I7919,CONFIG_ASIGNATURAS!$B$2:$J$91,9,FALSE()),""))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IF(DATOS!$A7920="",0,IF(CONFIG_METADATA!$B$4&lt;&gt;"OR+EX",--(DATOS!$G7920=CONFIG_METADATA!$B$4),IF(DATOS!$G7920="EX",1,IF(DATOS!$G7920="OR",--(COUNTIFS(nNIA,DATOS!$A7920,nCURSO,DATOS!$D7920,nESPEC,DATOS!$E7920,nASIG,DATOS!$I7920,nEVAL,"EX")=0),0))))</f>
      </c>
      <c r="H7920">
        <f>IF(DATOS!$G7920&lt;&gt;"EX",0,--(COUNTIFS(nNIA,DATOS!$A7920,nCURSO,DATOS!$D7920,nESPEC,DATOS!$E7920,nASIG,DATOS!$I7920,nEVAL,"OR")=0))</f>
      </c>
      <c r="I7920">
        <f>IF(DATOS!$I7920="","",IFERROR(VLOOKUP(DATOS!$I7920,CONFIG_ASIGNATURAS!$B$2:$J$91,9,FALSE()),""))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IF(DATOS!$A7921="",0,IF(CONFIG_METADATA!$B$4&lt;&gt;"OR+EX",--(DATOS!$G7921=CONFIG_METADATA!$B$4),IF(DATOS!$G7921="EX",1,IF(DATOS!$G7921="OR",--(COUNTIFS(nNIA,DATOS!$A7921,nCURSO,DATOS!$D7921,nESPEC,DATOS!$E7921,nASIG,DATOS!$I7921,nEVAL,"EX")=0),0))))</f>
      </c>
      <c r="H7921">
        <f>IF(DATOS!$G7921&lt;&gt;"EX",0,--(COUNTIFS(nNIA,DATOS!$A7921,nCURSO,DATOS!$D7921,nESPEC,DATOS!$E7921,nASIG,DATOS!$I7921,nEVAL,"OR")=0))</f>
      </c>
      <c r="I7921">
        <f>IF(DATOS!$I7921="","",IFERROR(VLOOKUP(DATOS!$I7921,CONFIG_ASIGNATURAS!$B$2:$J$91,9,FALSE()),""))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IF(DATOS!$A7922="",0,IF(CONFIG_METADATA!$B$4&lt;&gt;"OR+EX",--(DATOS!$G7922=CONFIG_METADATA!$B$4),IF(DATOS!$G7922="EX",1,IF(DATOS!$G7922="OR",--(COUNTIFS(nNIA,DATOS!$A7922,nCURSO,DATOS!$D7922,nESPEC,DATOS!$E7922,nASIG,DATOS!$I7922,nEVAL,"EX")=0),0))))</f>
      </c>
      <c r="H7922">
        <f>IF(DATOS!$G7922&lt;&gt;"EX",0,--(COUNTIFS(nNIA,DATOS!$A7922,nCURSO,DATOS!$D7922,nESPEC,DATOS!$E7922,nASIG,DATOS!$I7922,nEVAL,"OR")=0))</f>
      </c>
      <c r="I7922">
        <f>IF(DATOS!$I7922="","",IFERROR(VLOOKUP(DATOS!$I7922,CONFIG_ASIGNATURAS!$B$2:$J$91,9,FALSE()),""))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IF(DATOS!$A7923="",0,IF(CONFIG_METADATA!$B$4&lt;&gt;"OR+EX",--(DATOS!$G7923=CONFIG_METADATA!$B$4),IF(DATOS!$G7923="EX",1,IF(DATOS!$G7923="OR",--(COUNTIFS(nNIA,DATOS!$A7923,nCURSO,DATOS!$D7923,nESPEC,DATOS!$E7923,nASIG,DATOS!$I7923,nEVAL,"EX")=0),0))))</f>
      </c>
      <c r="H7923">
        <f>IF(DATOS!$G7923&lt;&gt;"EX",0,--(COUNTIFS(nNIA,DATOS!$A7923,nCURSO,DATOS!$D7923,nESPEC,DATOS!$E7923,nASIG,DATOS!$I7923,nEVAL,"OR")=0))</f>
      </c>
      <c r="I7923">
        <f>IF(DATOS!$I7923="","",IFERROR(VLOOKUP(DATOS!$I7923,CONFIG_ASIGNATURAS!$B$2:$J$91,9,FALSE()),""))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IF(DATOS!$A7924="",0,IF(CONFIG_METADATA!$B$4&lt;&gt;"OR+EX",--(DATOS!$G7924=CONFIG_METADATA!$B$4),IF(DATOS!$G7924="EX",1,IF(DATOS!$G7924="OR",--(COUNTIFS(nNIA,DATOS!$A7924,nCURSO,DATOS!$D7924,nESPEC,DATOS!$E7924,nASIG,DATOS!$I7924,nEVAL,"EX")=0),0))))</f>
      </c>
      <c r="H7924">
        <f>IF(DATOS!$G7924&lt;&gt;"EX",0,--(COUNTIFS(nNIA,DATOS!$A7924,nCURSO,DATOS!$D7924,nESPEC,DATOS!$E7924,nASIG,DATOS!$I7924,nEVAL,"OR")=0))</f>
      </c>
      <c r="I7924">
        <f>IF(DATOS!$I7924="","",IFERROR(VLOOKUP(DATOS!$I7924,CONFIG_ASIGNATURAS!$B$2:$J$91,9,FALSE()),""))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IF(DATOS!$A7925="",0,IF(CONFIG_METADATA!$B$4&lt;&gt;"OR+EX",--(DATOS!$G7925=CONFIG_METADATA!$B$4),IF(DATOS!$G7925="EX",1,IF(DATOS!$G7925="OR",--(COUNTIFS(nNIA,DATOS!$A7925,nCURSO,DATOS!$D7925,nESPEC,DATOS!$E7925,nASIG,DATOS!$I7925,nEVAL,"EX")=0),0))))</f>
      </c>
      <c r="H7925">
        <f>IF(DATOS!$G7925&lt;&gt;"EX",0,--(COUNTIFS(nNIA,DATOS!$A7925,nCURSO,DATOS!$D7925,nESPEC,DATOS!$E7925,nASIG,DATOS!$I7925,nEVAL,"OR")=0))</f>
      </c>
      <c r="I7925">
        <f>IF(DATOS!$I7925="","",IFERROR(VLOOKUP(DATOS!$I7925,CONFIG_ASIGNATURAS!$B$2:$J$91,9,FALSE()),""))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IF(DATOS!$A7926="",0,IF(CONFIG_METADATA!$B$4&lt;&gt;"OR+EX",--(DATOS!$G7926=CONFIG_METADATA!$B$4),IF(DATOS!$G7926="EX",1,IF(DATOS!$G7926="OR",--(COUNTIFS(nNIA,DATOS!$A7926,nCURSO,DATOS!$D7926,nESPEC,DATOS!$E7926,nASIG,DATOS!$I7926,nEVAL,"EX")=0),0))))</f>
      </c>
      <c r="H7926">
        <f>IF(DATOS!$G7926&lt;&gt;"EX",0,--(COUNTIFS(nNIA,DATOS!$A7926,nCURSO,DATOS!$D7926,nESPEC,DATOS!$E7926,nASIG,DATOS!$I7926,nEVAL,"OR")=0))</f>
      </c>
      <c r="I7926">
        <f>IF(DATOS!$I7926="","",IFERROR(VLOOKUP(DATOS!$I7926,CONFIG_ASIGNATURAS!$B$2:$J$91,9,FALSE()),""))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IF(DATOS!$A7927="",0,IF(CONFIG_METADATA!$B$4&lt;&gt;"OR+EX",--(DATOS!$G7927=CONFIG_METADATA!$B$4),IF(DATOS!$G7927="EX",1,IF(DATOS!$G7927="OR",--(COUNTIFS(nNIA,DATOS!$A7927,nCURSO,DATOS!$D7927,nESPEC,DATOS!$E7927,nASIG,DATOS!$I7927,nEVAL,"EX")=0),0))))</f>
      </c>
      <c r="H7927">
        <f>IF(DATOS!$G7927&lt;&gt;"EX",0,--(COUNTIFS(nNIA,DATOS!$A7927,nCURSO,DATOS!$D7927,nESPEC,DATOS!$E7927,nASIG,DATOS!$I7927,nEVAL,"OR")=0))</f>
      </c>
      <c r="I7927">
        <f>IF(DATOS!$I7927="","",IFERROR(VLOOKUP(DATOS!$I7927,CONFIG_ASIGNATURAS!$B$2:$J$91,9,FALSE()),""))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IF(DATOS!$A7928="",0,IF(CONFIG_METADATA!$B$4&lt;&gt;"OR+EX",--(DATOS!$G7928=CONFIG_METADATA!$B$4),IF(DATOS!$G7928="EX",1,IF(DATOS!$G7928="OR",--(COUNTIFS(nNIA,DATOS!$A7928,nCURSO,DATOS!$D7928,nESPEC,DATOS!$E7928,nASIG,DATOS!$I7928,nEVAL,"EX")=0),0))))</f>
      </c>
      <c r="H7928">
        <f>IF(DATOS!$G7928&lt;&gt;"EX",0,--(COUNTIFS(nNIA,DATOS!$A7928,nCURSO,DATOS!$D7928,nESPEC,DATOS!$E7928,nASIG,DATOS!$I7928,nEVAL,"OR")=0))</f>
      </c>
      <c r="I7928">
        <f>IF(DATOS!$I7928="","",IFERROR(VLOOKUP(DATOS!$I7928,CONFIG_ASIGNATURAS!$B$2:$J$91,9,FALSE()),""))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IF(DATOS!$A7929="",0,IF(CONFIG_METADATA!$B$4&lt;&gt;"OR+EX",--(DATOS!$G7929=CONFIG_METADATA!$B$4),IF(DATOS!$G7929="EX",1,IF(DATOS!$G7929="OR",--(COUNTIFS(nNIA,DATOS!$A7929,nCURSO,DATOS!$D7929,nESPEC,DATOS!$E7929,nASIG,DATOS!$I7929,nEVAL,"EX")=0),0))))</f>
      </c>
      <c r="H7929">
        <f>IF(DATOS!$G7929&lt;&gt;"EX",0,--(COUNTIFS(nNIA,DATOS!$A7929,nCURSO,DATOS!$D7929,nESPEC,DATOS!$E7929,nASIG,DATOS!$I7929,nEVAL,"OR")=0))</f>
      </c>
      <c r="I7929">
        <f>IF(DATOS!$I7929="","",IFERROR(VLOOKUP(DATOS!$I7929,CONFIG_ASIGNATURAS!$B$2:$J$91,9,FALSE()),""))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IF(DATOS!$A7930="",0,IF(CONFIG_METADATA!$B$4&lt;&gt;"OR+EX",--(DATOS!$G7930=CONFIG_METADATA!$B$4),IF(DATOS!$G7930="EX",1,IF(DATOS!$G7930="OR",--(COUNTIFS(nNIA,DATOS!$A7930,nCURSO,DATOS!$D7930,nESPEC,DATOS!$E7930,nASIG,DATOS!$I7930,nEVAL,"EX")=0),0))))</f>
      </c>
      <c r="H7930">
        <f>IF(DATOS!$G7930&lt;&gt;"EX",0,--(COUNTIFS(nNIA,DATOS!$A7930,nCURSO,DATOS!$D7930,nESPEC,DATOS!$E7930,nASIG,DATOS!$I7930,nEVAL,"OR")=0))</f>
      </c>
      <c r="I7930">
        <f>IF(DATOS!$I7930="","",IFERROR(VLOOKUP(DATOS!$I7930,CONFIG_ASIGNATURAS!$B$2:$J$91,9,FALSE()),""))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IF(DATOS!$A7931="",0,IF(CONFIG_METADATA!$B$4&lt;&gt;"OR+EX",--(DATOS!$G7931=CONFIG_METADATA!$B$4),IF(DATOS!$G7931="EX",1,IF(DATOS!$G7931="OR",--(COUNTIFS(nNIA,DATOS!$A7931,nCURSO,DATOS!$D7931,nESPEC,DATOS!$E7931,nASIG,DATOS!$I7931,nEVAL,"EX")=0),0))))</f>
      </c>
      <c r="H7931">
        <f>IF(DATOS!$G7931&lt;&gt;"EX",0,--(COUNTIFS(nNIA,DATOS!$A7931,nCURSO,DATOS!$D7931,nESPEC,DATOS!$E7931,nASIG,DATOS!$I7931,nEVAL,"OR")=0))</f>
      </c>
      <c r="I7931">
        <f>IF(DATOS!$I7931="","",IFERROR(VLOOKUP(DATOS!$I7931,CONFIG_ASIGNATURAS!$B$2:$J$91,9,FALSE()),""))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IF(DATOS!$A7932="",0,IF(CONFIG_METADATA!$B$4&lt;&gt;"OR+EX",--(DATOS!$G7932=CONFIG_METADATA!$B$4),IF(DATOS!$G7932="EX",1,IF(DATOS!$G7932="OR",--(COUNTIFS(nNIA,DATOS!$A7932,nCURSO,DATOS!$D7932,nESPEC,DATOS!$E7932,nASIG,DATOS!$I7932,nEVAL,"EX")=0),0))))</f>
      </c>
      <c r="H7932">
        <f>IF(DATOS!$G7932&lt;&gt;"EX",0,--(COUNTIFS(nNIA,DATOS!$A7932,nCURSO,DATOS!$D7932,nESPEC,DATOS!$E7932,nASIG,DATOS!$I7932,nEVAL,"OR")=0))</f>
      </c>
      <c r="I7932">
        <f>IF(DATOS!$I7932="","",IFERROR(VLOOKUP(DATOS!$I7932,CONFIG_ASIGNATURAS!$B$2:$J$91,9,FALSE()),""))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IF(DATOS!$A7933="",0,IF(CONFIG_METADATA!$B$4&lt;&gt;"OR+EX",--(DATOS!$G7933=CONFIG_METADATA!$B$4),IF(DATOS!$G7933="EX",1,IF(DATOS!$G7933="OR",--(COUNTIFS(nNIA,DATOS!$A7933,nCURSO,DATOS!$D7933,nESPEC,DATOS!$E7933,nASIG,DATOS!$I7933,nEVAL,"EX")=0),0))))</f>
      </c>
      <c r="H7933">
        <f>IF(DATOS!$G7933&lt;&gt;"EX",0,--(COUNTIFS(nNIA,DATOS!$A7933,nCURSO,DATOS!$D7933,nESPEC,DATOS!$E7933,nASIG,DATOS!$I7933,nEVAL,"OR")=0))</f>
      </c>
      <c r="I7933">
        <f>IF(DATOS!$I7933="","",IFERROR(VLOOKUP(DATOS!$I7933,CONFIG_ASIGNATURAS!$B$2:$J$91,9,FALSE()),""))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IF(DATOS!$A7934="",0,IF(CONFIG_METADATA!$B$4&lt;&gt;"OR+EX",--(DATOS!$G7934=CONFIG_METADATA!$B$4),IF(DATOS!$G7934="EX",1,IF(DATOS!$G7934="OR",--(COUNTIFS(nNIA,DATOS!$A7934,nCURSO,DATOS!$D7934,nESPEC,DATOS!$E7934,nASIG,DATOS!$I7934,nEVAL,"EX")=0),0))))</f>
      </c>
      <c r="H7934">
        <f>IF(DATOS!$G7934&lt;&gt;"EX",0,--(COUNTIFS(nNIA,DATOS!$A7934,nCURSO,DATOS!$D7934,nESPEC,DATOS!$E7934,nASIG,DATOS!$I7934,nEVAL,"OR")=0))</f>
      </c>
      <c r="I7934">
        <f>IF(DATOS!$I7934="","",IFERROR(VLOOKUP(DATOS!$I7934,CONFIG_ASIGNATURAS!$B$2:$J$91,9,FALSE()),""))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IF(DATOS!$A7935="",0,IF(CONFIG_METADATA!$B$4&lt;&gt;"OR+EX",--(DATOS!$G7935=CONFIG_METADATA!$B$4),IF(DATOS!$G7935="EX",1,IF(DATOS!$G7935="OR",--(COUNTIFS(nNIA,DATOS!$A7935,nCURSO,DATOS!$D7935,nESPEC,DATOS!$E7935,nASIG,DATOS!$I7935,nEVAL,"EX")=0),0))))</f>
      </c>
      <c r="H7935">
        <f>IF(DATOS!$G7935&lt;&gt;"EX",0,--(COUNTIFS(nNIA,DATOS!$A7935,nCURSO,DATOS!$D7935,nESPEC,DATOS!$E7935,nASIG,DATOS!$I7935,nEVAL,"OR")=0))</f>
      </c>
      <c r="I7935">
        <f>IF(DATOS!$I7935="","",IFERROR(VLOOKUP(DATOS!$I7935,CONFIG_ASIGNATURAS!$B$2:$J$91,9,FALSE()),""))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IF(DATOS!$A7936="",0,IF(CONFIG_METADATA!$B$4&lt;&gt;"OR+EX",--(DATOS!$G7936=CONFIG_METADATA!$B$4),IF(DATOS!$G7936="EX",1,IF(DATOS!$G7936="OR",--(COUNTIFS(nNIA,DATOS!$A7936,nCURSO,DATOS!$D7936,nESPEC,DATOS!$E7936,nASIG,DATOS!$I7936,nEVAL,"EX")=0),0))))</f>
      </c>
      <c r="H7936">
        <f>IF(DATOS!$G7936&lt;&gt;"EX",0,--(COUNTIFS(nNIA,DATOS!$A7936,nCURSO,DATOS!$D7936,nESPEC,DATOS!$E7936,nASIG,DATOS!$I7936,nEVAL,"OR")=0))</f>
      </c>
      <c r="I7936">
        <f>IF(DATOS!$I7936="","",IFERROR(VLOOKUP(DATOS!$I7936,CONFIG_ASIGNATURAS!$B$2:$J$91,9,FALSE()),""))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IF(DATOS!$A7937="",0,IF(CONFIG_METADATA!$B$4&lt;&gt;"OR+EX",--(DATOS!$G7937=CONFIG_METADATA!$B$4),IF(DATOS!$G7937="EX",1,IF(DATOS!$G7937="OR",--(COUNTIFS(nNIA,DATOS!$A7937,nCURSO,DATOS!$D7937,nESPEC,DATOS!$E7937,nASIG,DATOS!$I7937,nEVAL,"EX")=0),0))))</f>
      </c>
      <c r="H7937">
        <f>IF(DATOS!$G7937&lt;&gt;"EX",0,--(COUNTIFS(nNIA,DATOS!$A7937,nCURSO,DATOS!$D7937,nESPEC,DATOS!$E7937,nASIG,DATOS!$I7937,nEVAL,"OR")=0))</f>
      </c>
      <c r="I7937">
        <f>IF(DATOS!$I7937="","",IFERROR(VLOOKUP(DATOS!$I7937,CONFIG_ASIGNATURAS!$B$2:$J$91,9,FALSE()),""))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IF(DATOS!$A7938="",0,IF(CONFIG_METADATA!$B$4&lt;&gt;"OR+EX",--(DATOS!$G7938=CONFIG_METADATA!$B$4),IF(DATOS!$G7938="EX",1,IF(DATOS!$G7938="OR",--(COUNTIFS(nNIA,DATOS!$A7938,nCURSO,DATOS!$D7938,nESPEC,DATOS!$E7938,nASIG,DATOS!$I7938,nEVAL,"EX")=0),0))))</f>
      </c>
      <c r="H7938">
        <f>IF(DATOS!$G7938&lt;&gt;"EX",0,--(COUNTIFS(nNIA,DATOS!$A7938,nCURSO,DATOS!$D7938,nESPEC,DATOS!$E7938,nASIG,DATOS!$I7938,nEVAL,"OR")=0))</f>
      </c>
      <c r="I7938">
        <f>IF(DATOS!$I7938="","",IFERROR(VLOOKUP(DATOS!$I7938,CONFIG_ASIGNATURAS!$B$2:$J$91,9,FALSE()),""))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IF(DATOS!$A7939="",0,IF(CONFIG_METADATA!$B$4&lt;&gt;"OR+EX",--(DATOS!$G7939=CONFIG_METADATA!$B$4),IF(DATOS!$G7939="EX",1,IF(DATOS!$G7939="OR",--(COUNTIFS(nNIA,DATOS!$A7939,nCURSO,DATOS!$D7939,nESPEC,DATOS!$E7939,nASIG,DATOS!$I7939,nEVAL,"EX")=0),0))))</f>
      </c>
      <c r="H7939">
        <f>IF(DATOS!$G7939&lt;&gt;"EX",0,--(COUNTIFS(nNIA,DATOS!$A7939,nCURSO,DATOS!$D7939,nESPEC,DATOS!$E7939,nASIG,DATOS!$I7939,nEVAL,"OR")=0))</f>
      </c>
      <c r="I7939">
        <f>IF(DATOS!$I7939="","",IFERROR(VLOOKUP(DATOS!$I7939,CONFIG_ASIGNATURAS!$B$2:$J$91,9,FALSE()),""))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IF(DATOS!$A7940="",0,IF(CONFIG_METADATA!$B$4&lt;&gt;"OR+EX",--(DATOS!$G7940=CONFIG_METADATA!$B$4),IF(DATOS!$G7940="EX",1,IF(DATOS!$G7940="OR",--(COUNTIFS(nNIA,DATOS!$A7940,nCURSO,DATOS!$D7940,nESPEC,DATOS!$E7940,nASIG,DATOS!$I7940,nEVAL,"EX")=0),0))))</f>
      </c>
      <c r="H7940">
        <f>IF(DATOS!$G7940&lt;&gt;"EX",0,--(COUNTIFS(nNIA,DATOS!$A7940,nCURSO,DATOS!$D7940,nESPEC,DATOS!$E7940,nASIG,DATOS!$I7940,nEVAL,"OR")=0))</f>
      </c>
      <c r="I7940">
        <f>IF(DATOS!$I7940="","",IFERROR(VLOOKUP(DATOS!$I7940,CONFIG_ASIGNATURAS!$B$2:$J$91,9,FALSE()),""))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IF(DATOS!$A7941="",0,IF(CONFIG_METADATA!$B$4&lt;&gt;"OR+EX",--(DATOS!$G7941=CONFIG_METADATA!$B$4),IF(DATOS!$G7941="EX",1,IF(DATOS!$G7941="OR",--(COUNTIFS(nNIA,DATOS!$A7941,nCURSO,DATOS!$D7941,nESPEC,DATOS!$E7941,nASIG,DATOS!$I7941,nEVAL,"EX")=0),0))))</f>
      </c>
      <c r="H7941">
        <f>IF(DATOS!$G7941&lt;&gt;"EX",0,--(COUNTIFS(nNIA,DATOS!$A7941,nCURSO,DATOS!$D7941,nESPEC,DATOS!$E7941,nASIG,DATOS!$I7941,nEVAL,"OR")=0))</f>
      </c>
      <c r="I7941">
        <f>IF(DATOS!$I7941="","",IFERROR(VLOOKUP(DATOS!$I7941,CONFIG_ASIGNATURAS!$B$2:$J$91,9,FALSE()),""))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IF(DATOS!$A7942="",0,IF(CONFIG_METADATA!$B$4&lt;&gt;"OR+EX",--(DATOS!$G7942=CONFIG_METADATA!$B$4),IF(DATOS!$G7942="EX",1,IF(DATOS!$G7942="OR",--(COUNTIFS(nNIA,DATOS!$A7942,nCURSO,DATOS!$D7942,nESPEC,DATOS!$E7942,nASIG,DATOS!$I7942,nEVAL,"EX")=0),0))))</f>
      </c>
      <c r="H7942">
        <f>IF(DATOS!$G7942&lt;&gt;"EX",0,--(COUNTIFS(nNIA,DATOS!$A7942,nCURSO,DATOS!$D7942,nESPEC,DATOS!$E7942,nASIG,DATOS!$I7942,nEVAL,"OR")=0))</f>
      </c>
      <c r="I7942">
        <f>IF(DATOS!$I7942="","",IFERROR(VLOOKUP(DATOS!$I7942,CONFIG_ASIGNATURAS!$B$2:$J$91,9,FALSE()),""))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IF(DATOS!$A7943="",0,IF(CONFIG_METADATA!$B$4&lt;&gt;"OR+EX",--(DATOS!$G7943=CONFIG_METADATA!$B$4),IF(DATOS!$G7943="EX",1,IF(DATOS!$G7943="OR",--(COUNTIFS(nNIA,DATOS!$A7943,nCURSO,DATOS!$D7943,nESPEC,DATOS!$E7943,nASIG,DATOS!$I7943,nEVAL,"EX")=0),0))))</f>
      </c>
      <c r="H7943">
        <f>IF(DATOS!$G7943&lt;&gt;"EX",0,--(COUNTIFS(nNIA,DATOS!$A7943,nCURSO,DATOS!$D7943,nESPEC,DATOS!$E7943,nASIG,DATOS!$I7943,nEVAL,"OR")=0))</f>
      </c>
      <c r="I7943">
        <f>IF(DATOS!$I7943="","",IFERROR(VLOOKUP(DATOS!$I7943,CONFIG_ASIGNATURAS!$B$2:$J$91,9,FALSE()),""))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IF(DATOS!$A7944="",0,IF(CONFIG_METADATA!$B$4&lt;&gt;"OR+EX",--(DATOS!$G7944=CONFIG_METADATA!$B$4),IF(DATOS!$G7944="EX",1,IF(DATOS!$G7944="OR",--(COUNTIFS(nNIA,DATOS!$A7944,nCURSO,DATOS!$D7944,nESPEC,DATOS!$E7944,nASIG,DATOS!$I7944,nEVAL,"EX")=0),0))))</f>
      </c>
      <c r="H7944">
        <f>IF(DATOS!$G7944&lt;&gt;"EX",0,--(COUNTIFS(nNIA,DATOS!$A7944,nCURSO,DATOS!$D7944,nESPEC,DATOS!$E7944,nASIG,DATOS!$I7944,nEVAL,"OR")=0))</f>
      </c>
      <c r="I7944">
        <f>IF(DATOS!$I7944="","",IFERROR(VLOOKUP(DATOS!$I7944,CONFIG_ASIGNATURAS!$B$2:$J$91,9,FALSE()),""))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IF(DATOS!$A7945="",0,IF(CONFIG_METADATA!$B$4&lt;&gt;"OR+EX",--(DATOS!$G7945=CONFIG_METADATA!$B$4),IF(DATOS!$G7945="EX",1,IF(DATOS!$G7945="OR",--(COUNTIFS(nNIA,DATOS!$A7945,nCURSO,DATOS!$D7945,nESPEC,DATOS!$E7945,nASIG,DATOS!$I7945,nEVAL,"EX")=0),0))))</f>
      </c>
      <c r="H7945">
        <f>IF(DATOS!$G7945&lt;&gt;"EX",0,--(COUNTIFS(nNIA,DATOS!$A7945,nCURSO,DATOS!$D7945,nESPEC,DATOS!$E7945,nASIG,DATOS!$I7945,nEVAL,"OR")=0))</f>
      </c>
      <c r="I7945">
        <f>IF(DATOS!$I7945="","",IFERROR(VLOOKUP(DATOS!$I7945,CONFIG_ASIGNATURAS!$B$2:$J$91,9,FALSE()),""))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IF(DATOS!$A7946="",0,IF(CONFIG_METADATA!$B$4&lt;&gt;"OR+EX",--(DATOS!$G7946=CONFIG_METADATA!$B$4),IF(DATOS!$G7946="EX",1,IF(DATOS!$G7946="OR",--(COUNTIFS(nNIA,DATOS!$A7946,nCURSO,DATOS!$D7946,nESPEC,DATOS!$E7946,nASIG,DATOS!$I7946,nEVAL,"EX")=0),0))))</f>
      </c>
      <c r="H7946">
        <f>IF(DATOS!$G7946&lt;&gt;"EX",0,--(COUNTIFS(nNIA,DATOS!$A7946,nCURSO,DATOS!$D7946,nESPEC,DATOS!$E7946,nASIG,DATOS!$I7946,nEVAL,"OR")=0))</f>
      </c>
      <c r="I7946">
        <f>IF(DATOS!$I7946="","",IFERROR(VLOOKUP(DATOS!$I7946,CONFIG_ASIGNATURAS!$B$2:$J$91,9,FALSE()),""))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IF(DATOS!$A7947="",0,IF(CONFIG_METADATA!$B$4&lt;&gt;"OR+EX",--(DATOS!$G7947=CONFIG_METADATA!$B$4),IF(DATOS!$G7947="EX",1,IF(DATOS!$G7947="OR",--(COUNTIFS(nNIA,DATOS!$A7947,nCURSO,DATOS!$D7947,nESPEC,DATOS!$E7947,nASIG,DATOS!$I7947,nEVAL,"EX")=0),0))))</f>
      </c>
      <c r="H7947">
        <f>IF(DATOS!$G7947&lt;&gt;"EX",0,--(COUNTIFS(nNIA,DATOS!$A7947,nCURSO,DATOS!$D7947,nESPEC,DATOS!$E7947,nASIG,DATOS!$I7947,nEVAL,"OR")=0))</f>
      </c>
      <c r="I7947">
        <f>IF(DATOS!$I7947="","",IFERROR(VLOOKUP(DATOS!$I7947,CONFIG_ASIGNATURAS!$B$2:$J$91,9,FALSE()),""))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IF(DATOS!$A7948="",0,IF(CONFIG_METADATA!$B$4&lt;&gt;"OR+EX",--(DATOS!$G7948=CONFIG_METADATA!$B$4),IF(DATOS!$G7948="EX",1,IF(DATOS!$G7948="OR",--(COUNTIFS(nNIA,DATOS!$A7948,nCURSO,DATOS!$D7948,nESPEC,DATOS!$E7948,nASIG,DATOS!$I7948,nEVAL,"EX")=0),0))))</f>
      </c>
      <c r="H7948">
        <f>IF(DATOS!$G7948&lt;&gt;"EX",0,--(COUNTIFS(nNIA,DATOS!$A7948,nCURSO,DATOS!$D7948,nESPEC,DATOS!$E7948,nASIG,DATOS!$I7948,nEVAL,"OR")=0))</f>
      </c>
      <c r="I7948">
        <f>IF(DATOS!$I7948="","",IFERROR(VLOOKUP(DATOS!$I7948,CONFIG_ASIGNATURAS!$B$2:$J$91,9,FALSE()),""))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IF(DATOS!$A7949="",0,IF(CONFIG_METADATA!$B$4&lt;&gt;"OR+EX",--(DATOS!$G7949=CONFIG_METADATA!$B$4),IF(DATOS!$G7949="EX",1,IF(DATOS!$G7949="OR",--(COUNTIFS(nNIA,DATOS!$A7949,nCURSO,DATOS!$D7949,nESPEC,DATOS!$E7949,nASIG,DATOS!$I7949,nEVAL,"EX")=0),0))))</f>
      </c>
      <c r="H7949">
        <f>IF(DATOS!$G7949&lt;&gt;"EX",0,--(COUNTIFS(nNIA,DATOS!$A7949,nCURSO,DATOS!$D7949,nESPEC,DATOS!$E7949,nASIG,DATOS!$I7949,nEVAL,"OR")=0))</f>
      </c>
      <c r="I7949">
        <f>IF(DATOS!$I7949="","",IFERROR(VLOOKUP(DATOS!$I7949,CONFIG_ASIGNATURAS!$B$2:$J$91,9,FALSE()),""))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IF(DATOS!$A7950="",0,IF(CONFIG_METADATA!$B$4&lt;&gt;"OR+EX",--(DATOS!$G7950=CONFIG_METADATA!$B$4),IF(DATOS!$G7950="EX",1,IF(DATOS!$G7950="OR",--(COUNTIFS(nNIA,DATOS!$A7950,nCURSO,DATOS!$D7950,nESPEC,DATOS!$E7950,nASIG,DATOS!$I7950,nEVAL,"EX")=0),0))))</f>
      </c>
      <c r="H7950">
        <f>IF(DATOS!$G7950&lt;&gt;"EX",0,--(COUNTIFS(nNIA,DATOS!$A7950,nCURSO,DATOS!$D7950,nESPEC,DATOS!$E7950,nASIG,DATOS!$I7950,nEVAL,"OR")=0))</f>
      </c>
      <c r="I7950">
        <f>IF(DATOS!$I7950="","",IFERROR(VLOOKUP(DATOS!$I7950,CONFIG_ASIGNATURAS!$B$2:$J$91,9,FALSE()),""))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IF(DATOS!$A7951="",0,IF(CONFIG_METADATA!$B$4&lt;&gt;"OR+EX",--(DATOS!$G7951=CONFIG_METADATA!$B$4),IF(DATOS!$G7951="EX",1,IF(DATOS!$G7951="OR",--(COUNTIFS(nNIA,DATOS!$A7951,nCURSO,DATOS!$D7951,nESPEC,DATOS!$E7951,nASIG,DATOS!$I7951,nEVAL,"EX")=0),0))))</f>
      </c>
      <c r="H7951">
        <f>IF(DATOS!$G7951&lt;&gt;"EX",0,--(COUNTIFS(nNIA,DATOS!$A7951,nCURSO,DATOS!$D7951,nESPEC,DATOS!$E7951,nASIG,DATOS!$I7951,nEVAL,"OR")=0))</f>
      </c>
      <c r="I7951">
        <f>IF(DATOS!$I7951="","",IFERROR(VLOOKUP(DATOS!$I7951,CONFIG_ASIGNATURAS!$B$2:$J$91,9,FALSE()),""))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IF(DATOS!$A7952="",0,IF(CONFIG_METADATA!$B$4&lt;&gt;"OR+EX",--(DATOS!$G7952=CONFIG_METADATA!$B$4),IF(DATOS!$G7952="EX",1,IF(DATOS!$G7952="OR",--(COUNTIFS(nNIA,DATOS!$A7952,nCURSO,DATOS!$D7952,nESPEC,DATOS!$E7952,nASIG,DATOS!$I7952,nEVAL,"EX")=0),0))))</f>
      </c>
      <c r="H7952">
        <f>IF(DATOS!$G7952&lt;&gt;"EX",0,--(COUNTIFS(nNIA,DATOS!$A7952,nCURSO,DATOS!$D7952,nESPEC,DATOS!$E7952,nASIG,DATOS!$I7952,nEVAL,"OR")=0))</f>
      </c>
      <c r="I7952">
        <f>IF(DATOS!$I7952="","",IFERROR(VLOOKUP(DATOS!$I7952,CONFIG_ASIGNATURAS!$B$2:$J$91,9,FALSE()),""))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IF(DATOS!$A7953="",0,IF(CONFIG_METADATA!$B$4&lt;&gt;"OR+EX",--(DATOS!$G7953=CONFIG_METADATA!$B$4),IF(DATOS!$G7953="EX",1,IF(DATOS!$G7953="OR",--(COUNTIFS(nNIA,DATOS!$A7953,nCURSO,DATOS!$D7953,nESPEC,DATOS!$E7953,nASIG,DATOS!$I7953,nEVAL,"EX")=0),0))))</f>
      </c>
      <c r="H7953">
        <f>IF(DATOS!$G7953&lt;&gt;"EX",0,--(COUNTIFS(nNIA,DATOS!$A7953,nCURSO,DATOS!$D7953,nESPEC,DATOS!$E7953,nASIG,DATOS!$I7953,nEVAL,"OR")=0))</f>
      </c>
      <c r="I7953">
        <f>IF(DATOS!$I7953="","",IFERROR(VLOOKUP(DATOS!$I7953,CONFIG_ASIGNATURAS!$B$2:$J$91,9,FALSE()),""))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IF(DATOS!$A7954="",0,IF(CONFIG_METADATA!$B$4&lt;&gt;"OR+EX",--(DATOS!$G7954=CONFIG_METADATA!$B$4),IF(DATOS!$G7954="EX",1,IF(DATOS!$G7954="OR",--(COUNTIFS(nNIA,DATOS!$A7954,nCURSO,DATOS!$D7954,nESPEC,DATOS!$E7954,nASIG,DATOS!$I7954,nEVAL,"EX")=0),0))))</f>
      </c>
      <c r="H7954">
        <f>IF(DATOS!$G7954&lt;&gt;"EX",0,--(COUNTIFS(nNIA,DATOS!$A7954,nCURSO,DATOS!$D7954,nESPEC,DATOS!$E7954,nASIG,DATOS!$I7954,nEVAL,"OR")=0))</f>
      </c>
      <c r="I7954">
        <f>IF(DATOS!$I7954="","",IFERROR(VLOOKUP(DATOS!$I7954,CONFIG_ASIGNATURAS!$B$2:$J$91,9,FALSE()),""))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IF(DATOS!$A7955="",0,IF(CONFIG_METADATA!$B$4&lt;&gt;"OR+EX",--(DATOS!$G7955=CONFIG_METADATA!$B$4),IF(DATOS!$G7955="EX",1,IF(DATOS!$G7955="OR",--(COUNTIFS(nNIA,DATOS!$A7955,nCURSO,DATOS!$D7955,nESPEC,DATOS!$E7955,nASIG,DATOS!$I7955,nEVAL,"EX")=0),0))))</f>
      </c>
      <c r="H7955">
        <f>IF(DATOS!$G7955&lt;&gt;"EX",0,--(COUNTIFS(nNIA,DATOS!$A7955,nCURSO,DATOS!$D7955,nESPEC,DATOS!$E7955,nASIG,DATOS!$I7955,nEVAL,"OR")=0))</f>
      </c>
      <c r="I7955">
        <f>IF(DATOS!$I7955="","",IFERROR(VLOOKUP(DATOS!$I7955,CONFIG_ASIGNATURAS!$B$2:$J$91,9,FALSE()),""))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IF(DATOS!$A7956="",0,IF(CONFIG_METADATA!$B$4&lt;&gt;"OR+EX",--(DATOS!$G7956=CONFIG_METADATA!$B$4),IF(DATOS!$G7956="EX",1,IF(DATOS!$G7956="OR",--(COUNTIFS(nNIA,DATOS!$A7956,nCURSO,DATOS!$D7956,nESPEC,DATOS!$E7956,nASIG,DATOS!$I7956,nEVAL,"EX")=0),0))))</f>
      </c>
      <c r="H7956">
        <f>IF(DATOS!$G7956&lt;&gt;"EX",0,--(COUNTIFS(nNIA,DATOS!$A7956,nCURSO,DATOS!$D7956,nESPEC,DATOS!$E7956,nASIG,DATOS!$I7956,nEVAL,"OR")=0))</f>
      </c>
      <c r="I7956">
        <f>IF(DATOS!$I7956="","",IFERROR(VLOOKUP(DATOS!$I7956,CONFIG_ASIGNATURAS!$B$2:$J$91,9,FALSE()),""))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IF(DATOS!$A7957="",0,IF(CONFIG_METADATA!$B$4&lt;&gt;"OR+EX",--(DATOS!$G7957=CONFIG_METADATA!$B$4),IF(DATOS!$G7957="EX",1,IF(DATOS!$G7957="OR",--(COUNTIFS(nNIA,DATOS!$A7957,nCURSO,DATOS!$D7957,nESPEC,DATOS!$E7957,nASIG,DATOS!$I7957,nEVAL,"EX")=0),0))))</f>
      </c>
      <c r="H7957">
        <f>IF(DATOS!$G7957&lt;&gt;"EX",0,--(COUNTIFS(nNIA,DATOS!$A7957,nCURSO,DATOS!$D7957,nESPEC,DATOS!$E7957,nASIG,DATOS!$I7957,nEVAL,"OR")=0))</f>
      </c>
      <c r="I7957">
        <f>IF(DATOS!$I7957="","",IFERROR(VLOOKUP(DATOS!$I7957,CONFIG_ASIGNATURAS!$B$2:$J$91,9,FALSE()),""))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IF(DATOS!$A7958="",0,IF(CONFIG_METADATA!$B$4&lt;&gt;"OR+EX",--(DATOS!$G7958=CONFIG_METADATA!$B$4),IF(DATOS!$G7958="EX",1,IF(DATOS!$G7958="OR",--(COUNTIFS(nNIA,DATOS!$A7958,nCURSO,DATOS!$D7958,nESPEC,DATOS!$E7958,nASIG,DATOS!$I7958,nEVAL,"EX")=0),0))))</f>
      </c>
      <c r="H7958">
        <f>IF(DATOS!$G7958&lt;&gt;"EX",0,--(COUNTIFS(nNIA,DATOS!$A7958,nCURSO,DATOS!$D7958,nESPEC,DATOS!$E7958,nASIG,DATOS!$I7958,nEVAL,"OR")=0))</f>
      </c>
      <c r="I7958">
        <f>IF(DATOS!$I7958="","",IFERROR(VLOOKUP(DATOS!$I7958,CONFIG_ASIGNATURAS!$B$2:$J$91,9,FALSE()),""))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IF(DATOS!$A7959="",0,IF(CONFIG_METADATA!$B$4&lt;&gt;"OR+EX",--(DATOS!$G7959=CONFIG_METADATA!$B$4),IF(DATOS!$G7959="EX",1,IF(DATOS!$G7959="OR",--(COUNTIFS(nNIA,DATOS!$A7959,nCURSO,DATOS!$D7959,nESPEC,DATOS!$E7959,nASIG,DATOS!$I7959,nEVAL,"EX")=0),0))))</f>
      </c>
      <c r="H7959">
        <f>IF(DATOS!$G7959&lt;&gt;"EX",0,--(COUNTIFS(nNIA,DATOS!$A7959,nCURSO,DATOS!$D7959,nESPEC,DATOS!$E7959,nASIG,DATOS!$I7959,nEVAL,"OR")=0))</f>
      </c>
      <c r="I7959">
        <f>IF(DATOS!$I7959="","",IFERROR(VLOOKUP(DATOS!$I7959,CONFIG_ASIGNATURAS!$B$2:$J$91,9,FALSE()),""))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IF(DATOS!$A7960="",0,IF(CONFIG_METADATA!$B$4&lt;&gt;"OR+EX",--(DATOS!$G7960=CONFIG_METADATA!$B$4),IF(DATOS!$G7960="EX",1,IF(DATOS!$G7960="OR",--(COUNTIFS(nNIA,DATOS!$A7960,nCURSO,DATOS!$D7960,nESPEC,DATOS!$E7960,nASIG,DATOS!$I7960,nEVAL,"EX")=0),0))))</f>
      </c>
      <c r="H7960">
        <f>IF(DATOS!$G7960&lt;&gt;"EX",0,--(COUNTIFS(nNIA,DATOS!$A7960,nCURSO,DATOS!$D7960,nESPEC,DATOS!$E7960,nASIG,DATOS!$I7960,nEVAL,"OR")=0))</f>
      </c>
      <c r="I7960">
        <f>IF(DATOS!$I7960="","",IFERROR(VLOOKUP(DATOS!$I7960,CONFIG_ASIGNATURAS!$B$2:$J$91,9,FALSE()),""))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IF(DATOS!$A7961="",0,IF(CONFIG_METADATA!$B$4&lt;&gt;"OR+EX",--(DATOS!$G7961=CONFIG_METADATA!$B$4),IF(DATOS!$G7961="EX",1,IF(DATOS!$G7961="OR",--(COUNTIFS(nNIA,DATOS!$A7961,nCURSO,DATOS!$D7961,nESPEC,DATOS!$E7961,nASIG,DATOS!$I7961,nEVAL,"EX")=0),0))))</f>
      </c>
      <c r="H7961">
        <f>IF(DATOS!$G7961&lt;&gt;"EX",0,--(COUNTIFS(nNIA,DATOS!$A7961,nCURSO,DATOS!$D7961,nESPEC,DATOS!$E7961,nASIG,DATOS!$I7961,nEVAL,"OR")=0))</f>
      </c>
      <c r="I7961">
        <f>IF(DATOS!$I7961="","",IFERROR(VLOOKUP(DATOS!$I7961,CONFIG_ASIGNATURAS!$B$2:$J$91,9,FALSE()),""))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IF(DATOS!$A7962="",0,IF(CONFIG_METADATA!$B$4&lt;&gt;"OR+EX",--(DATOS!$G7962=CONFIG_METADATA!$B$4),IF(DATOS!$G7962="EX",1,IF(DATOS!$G7962="OR",--(COUNTIFS(nNIA,DATOS!$A7962,nCURSO,DATOS!$D7962,nESPEC,DATOS!$E7962,nASIG,DATOS!$I7962,nEVAL,"EX")=0),0))))</f>
      </c>
      <c r="H7962">
        <f>IF(DATOS!$G7962&lt;&gt;"EX",0,--(COUNTIFS(nNIA,DATOS!$A7962,nCURSO,DATOS!$D7962,nESPEC,DATOS!$E7962,nASIG,DATOS!$I7962,nEVAL,"OR")=0))</f>
      </c>
      <c r="I7962">
        <f>IF(DATOS!$I7962="","",IFERROR(VLOOKUP(DATOS!$I7962,CONFIG_ASIGNATURAS!$B$2:$J$91,9,FALSE()),""))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IF(DATOS!$A7963="",0,IF(CONFIG_METADATA!$B$4&lt;&gt;"OR+EX",--(DATOS!$G7963=CONFIG_METADATA!$B$4),IF(DATOS!$G7963="EX",1,IF(DATOS!$G7963="OR",--(COUNTIFS(nNIA,DATOS!$A7963,nCURSO,DATOS!$D7963,nESPEC,DATOS!$E7963,nASIG,DATOS!$I7963,nEVAL,"EX")=0),0))))</f>
      </c>
      <c r="H7963">
        <f>IF(DATOS!$G7963&lt;&gt;"EX",0,--(COUNTIFS(nNIA,DATOS!$A7963,nCURSO,DATOS!$D7963,nESPEC,DATOS!$E7963,nASIG,DATOS!$I7963,nEVAL,"OR")=0))</f>
      </c>
      <c r="I7963">
        <f>IF(DATOS!$I7963="","",IFERROR(VLOOKUP(DATOS!$I7963,CONFIG_ASIGNATURAS!$B$2:$J$91,9,FALSE()),""))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IF(DATOS!$A7964="",0,IF(CONFIG_METADATA!$B$4&lt;&gt;"OR+EX",--(DATOS!$G7964=CONFIG_METADATA!$B$4),IF(DATOS!$G7964="EX",1,IF(DATOS!$G7964="OR",--(COUNTIFS(nNIA,DATOS!$A7964,nCURSO,DATOS!$D7964,nESPEC,DATOS!$E7964,nASIG,DATOS!$I7964,nEVAL,"EX")=0),0))))</f>
      </c>
      <c r="H7964">
        <f>IF(DATOS!$G7964&lt;&gt;"EX",0,--(COUNTIFS(nNIA,DATOS!$A7964,nCURSO,DATOS!$D7964,nESPEC,DATOS!$E7964,nASIG,DATOS!$I7964,nEVAL,"OR")=0))</f>
      </c>
      <c r="I7964">
        <f>IF(DATOS!$I7964="","",IFERROR(VLOOKUP(DATOS!$I7964,CONFIG_ASIGNATURAS!$B$2:$J$91,9,FALSE()),""))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IF(DATOS!$A7965="",0,IF(CONFIG_METADATA!$B$4&lt;&gt;"OR+EX",--(DATOS!$G7965=CONFIG_METADATA!$B$4),IF(DATOS!$G7965="EX",1,IF(DATOS!$G7965="OR",--(COUNTIFS(nNIA,DATOS!$A7965,nCURSO,DATOS!$D7965,nESPEC,DATOS!$E7965,nASIG,DATOS!$I7965,nEVAL,"EX")=0),0))))</f>
      </c>
      <c r="H7965">
        <f>IF(DATOS!$G7965&lt;&gt;"EX",0,--(COUNTIFS(nNIA,DATOS!$A7965,nCURSO,DATOS!$D7965,nESPEC,DATOS!$E7965,nASIG,DATOS!$I7965,nEVAL,"OR")=0))</f>
      </c>
      <c r="I7965">
        <f>IF(DATOS!$I7965="","",IFERROR(VLOOKUP(DATOS!$I7965,CONFIG_ASIGNATURAS!$B$2:$J$91,9,FALSE()),""))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IF(DATOS!$A7966="",0,IF(CONFIG_METADATA!$B$4&lt;&gt;"OR+EX",--(DATOS!$G7966=CONFIG_METADATA!$B$4),IF(DATOS!$G7966="EX",1,IF(DATOS!$G7966="OR",--(COUNTIFS(nNIA,DATOS!$A7966,nCURSO,DATOS!$D7966,nESPEC,DATOS!$E7966,nASIG,DATOS!$I7966,nEVAL,"EX")=0),0))))</f>
      </c>
      <c r="H7966">
        <f>IF(DATOS!$G7966&lt;&gt;"EX",0,--(COUNTIFS(nNIA,DATOS!$A7966,nCURSO,DATOS!$D7966,nESPEC,DATOS!$E7966,nASIG,DATOS!$I7966,nEVAL,"OR")=0))</f>
      </c>
      <c r="I7966">
        <f>IF(DATOS!$I7966="","",IFERROR(VLOOKUP(DATOS!$I7966,CONFIG_ASIGNATURAS!$B$2:$J$91,9,FALSE()),""))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IF(DATOS!$A7967="",0,IF(CONFIG_METADATA!$B$4&lt;&gt;"OR+EX",--(DATOS!$G7967=CONFIG_METADATA!$B$4),IF(DATOS!$G7967="EX",1,IF(DATOS!$G7967="OR",--(COUNTIFS(nNIA,DATOS!$A7967,nCURSO,DATOS!$D7967,nESPEC,DATOS!$E7967,nASIG,DATOS!$I7967,nEVAL,"EX")=0),0))))</f>
      </c>
      <c r="H7967">
        <f>IF(DATOS!$G7967&lt;&gt;"EX",0,--(COUNTIFS(nNIA,DATOS!$A7967,nCURSO,DATOS!$D7967,nESPEC,DATOS!$E7967,nASIG,DATOS!$I7967,nEVAL,"OR")=0))</f>
      </c>
      <c r="I7967">
        <f>IF(DATOS!$I7967="","",IFERROR(VLOOKUP(DATOS!$I7967,CONFIG_ASIGNATURAS!$B$2:$J$91,9,FALSE()),""))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IF(DATOS!$A7968="",0,IF(CONFIG_METADATA!$B$4&lt;&gt;"OR+EX",--(DATOS!$G7968=CONFIG_METADATA!$B$4),IF(DATOS!$G7968="EX",1,IF(DATOS!$G7968="OR",--(COUNTIFS(nNIA,DATOS!$A7968,nCURSO,DATOS!$D7968,nESPEC,DATOS!$E7968,nASIG,DATOS!$I7968,nEVAL,"EX")=0),0))))</f>
      </c>
      <c r="H7968">
        <f>IF(DATOS!$G7968&lt;&gt;"EX",0,--(COUNTIFS(nNIA,DATOS!$A7968,nCURSO,DATOS!$D7968,nESPEC,DATOS!$E7968,nASIG,DATOS!$I7968,nEVAL,"OR")=0))</f>
      </c>
      <c r="I7968">
        <f>IF(DATOS!$I7968="","",IFERROR(VLOOKUP(DATOS!$I7968,CONFIG_ASIGNATURAS!$B$2:$J$91,9,FALSE()),""))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IF(DATOS!$A7969="",0,IF(CONFIG_METADATA!$B$4&lt;&gt;"OR+EX",--(DATOS!$G7969=CONFIG_METADATA!$B$4),IF(DATOS!$G7969="EX",1,IF(DATOS!$G7969="OR",--(COUNTIFS(nNIA,DATOS!$A7969,nCURSO,DATOS!$D7969,nESPEC,DATOS!$E7969,nASIG,DATOS!$I7969,nEVAL,"EX")=0),0))))</f>
      </c>
      <c r="H7969">
        <f>IF(DATOS!$G7969&lt;&gt;"EX",0,--(COUNTIFS(nNIA,DATOS!$A7969,nCURSO,DATOS!$D7969,nESPEC,DATOS!$E7969,nASIG,DATOS!$I7969,nEVAL,"OR")=0))</f>
      </c>
      <c r="I7969">
        <f>IF(DATOS!$I7969="","",IFERROR(VLOOKUP(DATOS!$I7969,CONFIG_ASIGNATURAS!$B$2:$J$91,9,FALSE()),""))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IF(DATOS!$A7970="",0,IF(CONFIG_METADATA!$B$4&lt;&gt;"OR+EX",--(DATOS!$G7970=CONFIG_METADATA!$B$4),IF(DATOS!$G7970="EX",1,IF(DATOS!$G7970="OR",--(COUNTIFS(nNIA,DATOS!$A7970,nCURSO,DATOS!$D7970,nESPEC,DATOS!$E7970,nASIG,DATOS!$I7970,nEVAL,"EX")=0),0))))</f>
      </c>
      <c r="H7970">
        <f>IF(DATOS!$G7970&lt;&gt;"EX",0,--(COUNTIFS(nNIA,DATOS!$A7970,nCURSO,DATOS!$D7970,nESPEC,DATOS!$E7970,nASIG,DATOS!$I7970,nEVAL,"OR")=0))</f>
      </c>
      <c r="I7970">
        <f>IF(DATOS!$I7970="","",IFERROR(VLOOKUP(DATOS!$I7970,CONFIG_ASIGNATURAS!$B$2:$J$91,9,FALSE()),""))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IF(DATOS!$A7971="",0,IF(CONFIG_METADATA!$B$4&lt;&gt;"OR+EX",--(DATOS!$G7971=CONFIG_METADATA!$B$4),IF(DATOS!$G7971="EX",1,IF(DATOS!$G7971="OR",--(COUNTIFS(nNIA,DATOS!$A7971,nCURSO,DATOS!$D7971,nESPEC,DATOS!$E7971,nASIG,DATOS!$I7971,nEVAL,"EX")=0),0))))</f>
      </c>
      <c r="H7971">
        <f>IF(DATOS!$G7971&lt;&gt;"EX",0,--(COUNTIFS(nNIA,DATOS!$A7971,nCURSO,DATOS!$D7971,nESPEC,DATOS!$E7971,nASIG,DATOS!$I7971,nEVAL,"OR")=0))</f>
      </c>
      <c r="I7971">
        <f>IF(DATOS!$I7971="","",IFERROR(VLOOKUP(DATOS!$I7971,CONFIG_ASIGNATURAS!$B$2:$J$91,9,FALSE()),""))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IF(DATOS!$A7972="",0,IF(CONFIG_METADATA!$B$4&lt;&gt;"OR+EX",--(DATOS!$G7972=CONFIG_METADATA!$B$4),IF(DATOS!$G7972="EX",1,IF(DATOS!$G7972="OR",--(COUNTIFS(nNIA,DATOS!$A7972,nCURSO,DATOS!$D7972,nESPEC,DATOS!$E7972,nASIG,DATOS!$I7972,nEVAL,"EX")=0),0))))</f>
      </c>
      <c r="H7972">
        <f>IF(DATOS!$G7972&lt;&gt;"EX",0,--(COUNTIFS(nNIA,DATOS!$A7972,nCURSO,DATOS!$D7972,nESPEC,DATOS!$E7972,nASIG,DATOS!$I7972,nEVAL,"OR")=0))</f>
      </c>
      <c r="I7972">
        <f>IF(DATOS!$I7972="","",IFERROR(VLOOKUP(DATOS!$I7972,CONFIG_ASIGNATURAS!$B$2:$J$91,9,FALSE()),""))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IF(DATOS!$A7973="",0,IF(CONFIG_METADATA!$B$4&lt;&gt;"OR+EX",--(DATOS!$G7973=CONFIG_METADATA!$B$4),IF(DATOS!$G7973="EX",1,IF(DATOS!$G7973="OR",--(COUNTIFS(nNIA,DATOS!$A7973,nCURSO,DATOS!$D7973,nESPEC,DATOS!$E7973,nASIG,DATOS!$I7973,nEVAL,"EX")=0),0))))</f>
      </c>
      <c r="H7973">
        <f>IF(DATOS!$G7973&lt;&gt;"EX",0,--(COUNTIFS(nNIA,DATOS!$A7973,nCURSO,DATOS!$D7973,nESPEC,DATOS!$E7973,nASIG,DATOS!$I7973,nEVAL,"OR")=0))</f>
      </c>
      <c r="I7973">
        <f>IF(DATOS!$I7973="","",IFERROR(VLOOKUP(DATOS!$I7973,CONFIG_ASIGNATURAS!$B$2:$J$91,9,FALSE()),""))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IF(DATOS!$A7974="",0,IF(CONFIG_METADATA!$B$4&lt;&gt;"OR+EX",--(DATOS!$G7974=CONFIG_METADATA!$B$4),IF(DATOS!$G7974="EX",1,IF(DATOS!$G7974="OR",--(COUNTIFS(nNIA,DATOS!$A7974,nCURSO,DATOS!$D7974,nESPEC,DATOS!$E7974,nASIG,DATOS!$I7974,nEVAL,"EX")=0),0))))</f>
      </c>
      <c r="H7974">
        <f>IF(DATOS!$G7974&lt;&gt;"EX",0,--(COUNTIFS(nNIA,DATOS!$A7974,nCURSO,DATOS!$D7974,nESPEC,DATOS!$E7974,nASIG,DATOS!$I7974,nEVAL,"OR")=0))</f>
      </c>
      <c r="I7974">
        <f>IF(DATOS!$I7974="","",IFERROR(VLOOKUP(DATOS!$I7974,CONFIG_ASIGNATURAS!$B$2:$J$91,9,FALSE()),""))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IF(DATOS!$A7975="",0,IF(CONFIG_METADATA!$B$4&lt;&gt;"OR+EX",--(DATOS!$G7975=CONFIG_METADATA!$B$4),IF(DATOS!$G7975="EX",1,IF(DATOS!$G7975="OR",--(COUNTIFS(nNIA,DATOS!$A7975,nCURSO,DATOS!$D7975,nESPEC,DATOS!$E7975,nASIG,DATOS!$I7975,nEVAL,"EX")=0),0))))</f>
      </c>
      <c r="H7975">
        <f>IF(DATOS!$G7975&lt;&gt;"EX",0,--(COUNTIFS(nNIA,DATOS!$A7975,nCURSO,DATOS!$D7975,nESPEC,DATOS!$E7975,nASIG,DATOS!$I7975,nEVAL,"OR")=0))</f>
      </c>
      <c r="I7975">
        <f>IF(DATOS!$I7975="","",IFERROR(VLOOKUP(DATOS!$I7975,CONFIG_ASIGNATURAS!$B$2:$J$91,9,FALSE()),""))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IF(DATOS!$A7976="",0,IF(CONFIG_METADATA!$B$4&lt;&gt;"OR+EX",--(DATOS!$G7976=CONFIG_METADATA!$B$4),IF(DATOS!$G7976="EX",1,IF(DATOS!$G7976="OR",--(COUNTIFS(nNIA,DATOS!$A7976,nCURSO,DATOS!$D7976,nESPEC,DATOS!$E7976,nASIG,DATOS!$I7976,nEVAL,"EX")=0),0))))</f>
      </c>
      <c r="H7976">
        <f>IF(DATOS!$G7976&lt;&gt;"EX",0,--(COUNTIFS(nNIA,DATOS!$A7976,nCURSO,DATOS!$D7976,nESPEC,DATOS!$E7976,nASIG,DATOS!$I7976,nEVAL,"OR")=0))</f>
      </c>
      <c r="I7976">
        <f>IF(DATOS!$I7976="","",IFERROR(VLOOKUP(DATOS!$I7976,CONFIG_ASIGNATURAS!$B$2:$J$91,9,FALSE()),""))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IF(DATOS!$A7977="",0,IF(CONFIG_METADATA!$B$4&lt;&gt;"OR+EX",--(DATOS!$G7977=CONFIG_METADATA!$B$4),IF(DATOS!$G7977="EX",1,IF(DATOS!$G7977="OR",--(COUNTIFS(nNIA,DATOS!$A7977,nCURSO,DATOS!$D7977,nESPEC,DATOS!$E7977,nASIG,DATOS!$I7977,nEVAL,"EX")=0),0))))</f>
      </c>
      <c r="H7977">
        <f>IF(DATOS!$G7977&lt;&gt;"EX",0,--(COUNTIFS(nNIA,DATOS!$A7977,nCURSO,DATOS!$D7977,nESPEC,DATOS!$E7977,nASIG,DATOS!$I7977,nEVAL,"OR")=0))</f>
      </c>
      <c r="I7977">
        <f>IF(DATOS!$I7977="","",IFERROR(VLOOKUP(DATOS!$I7977,CONFIG_ASIGNATURAS!$B$2:$J$91,9,FALSE()),""))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IF(DATOS!$A7978="",0,IF(CONFIG_METADATA!$B$4&lt;&gt;"OR+EX",--(DATOS!$G7978=CONFIG_METADATA!$B$4),IF(DATOS!$G7978="EX",1,IF(DATOS!$G7978="OR",--(COUNTIFS(nNIA,DATOS!$A7978,nCURSO,DATOS!$D7978,nESPEC,DATOS!$E7978,nASIG,DATOS!$I7978,nEVAL,"EX")=0),0))))</f>
      </c>
      <c r="H7978">
        <f>IF(DATOS!$G7978&lt;&gt;"EX",0,--(COUNTIFS(nNIA,DATOS!$A7978,nCURSO,DATOS!$D7978,nESPEC,DATOS!$E7978,nASIG,DATOS!$I7978,nEVAL,"OR")=0))</f>
      </c>
      <c r="I7978">
        <f>IF(DATOS!$I7978="","",IFERROR(VLOOKUP(DATOS!$I7978,CONFIG_ASIGNATURAS!$B$2:$J$91,9,FALSE()),""))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IF(DATOS!$A7979="",0,IF(CONFIG_METADATA!$B$4&lt;&gt;"OR+EX",--(DATOS!$G7979=CONFIG_METADATA!$B$4),IF(DATOS!$G7979="EX",1,IF(DATOS!$G7979="OR",--(COUNTIFS(nNIA,DATOS!$A7979,nCURSO,DATOS!$D7979,nESPEC,DATOS!$E7979,nASIG,DATOS!$I7979,nEVAL,"EX")=0),0))))</f>
      </c>
      <c r="H7979">
        <f>IF(DATOS!$G7979&lt;&gt;"EX",0,--(COUNTIFS(nNIA,DATOS!$A7979,nCURSO,DATOS!$D7979,nESPEC,DATOS!$E7979,nASIG,DATOS!$I7979,nEVAL,"OR")=0))</f>
      </c>
      <c r="I7979">
        <f>IF(DATOS!$I7979="","",IFERROR(VLOOKUP(DATOS!$I7979,CONFIG_ASIGNATURAS!$B$2:$J$91,9,FALSE()),""))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IF(DATOS!$A7980="",0,IF(CONFIG_METADATA!$B$4&lt;&gt;"OR+EX",--(DATOS!$G7980=CONFIG_METADATA!$B$4),IF(DATOS!$G7980="EX",1,IF(DATOS!$G7980="OR",--(COUNTIFS(nNIA,DATOS!$A7980,nCURSO,DATOS!$D7980,nESPEC,DATOS!$E7980,nASIG,DATOS!$I7980,nEVAL,"EX")=0),0))))</f>
      </c>
      <c r="H7980">
        <f>IF(DATOS!$G7980&lt;&gt;"EX",0,--(COUNTIFS(nNIA,DATOS!$A7980,nCURSO,DATOS!$D7980,nESPEC,DATOS!$E7980,nASIG,DATOS!$I7980,nEVAL,"OR")=0))</f>
      </c>
      <c r="I7980">
        <f>IF(DATOS!$I7980="","",IFERROR(VLOOKUP(DATOS!$I7980,CONFIG_ASIGNATURAS!$B$2:$J$91,9,FALSE()),""))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IF(DATOS!$A7981="",0,IF(CONFIG_METADATA!$B$4&lt;&gt;"OR+EX",--(DATOS!$G7981=CONFIG_METADATA!$B$4),IF(DATOS!$G7981="EX",1,IF(DATOS!$G7981="OR",--(COUNTIFS(nNIA,DATOS!$A7981,nCURSO,DATOS!$D7981,nESPEC,DATOS!$E7981,nASIG,DATOS!$I7981,nEVAL,"EX")=0),0))))</f>
      </c>
      <c r="H7981">
        <f>IF(DATOS!$G7981&lt;&gt;"EX",0,--(COUNTIFS(nNIA,DATOS!$A7981,nCURSO,DATOS!$D7981,nESPEC,DATOS!$E7981,nASIG,DATOS!$I7981,nEVAL,"OR")=0))</f>
      </c>
      <c r="I7981">
        <f>IF(DATOS!$I7981="","",IFERROR(VLOOKUP(DATOS!$I7981,CONFIG_ASIGNATURAS!$B$2:$J$91,9,FALSE()),""))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IF(DATOS!$A7982="",0,IF(CONFIG_METADATA!$B$4&lt;&gt;"OR+EX",--(DATOS!$G7982=CONFIG_METADATA!$B$4),IF(DATOS!$G7982="EX",1,IF(DATOS!$G7982="OR",--(COUNTIFS(nNIA,DATOS!$A7982,nCURSO,DATOS!$D7982,nESPEC,DATOS!$E7982,nASIG,DATOS!$I7982,nEVAL,"EX")=0),0))))</f>
      </c>
      <c r="H7982">
        <f>IF(DATOS!$G7982&lt;&gt;"EX",0,--(COUNTIFS(nNIA,DATOS!$A7982,nCURSO,DATOS!$D7982,nESPEC,DATOS!$E7982,nASIG,DATOS!$I7982,nEVAL,"OR")=0))</f>
      </c>
      <c r="I7982">
        <f>IF(DATOS!$I7982="","",IFERROR(VLOOKUP(DATOS!$I7982,CONFIG_ASIGNATURAS!$B$2:$J$91,9,FALSE()),""))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IF(DATOS!$A7983="",0,IF(CONFIG_METADATA!$B$4&lt;&gt;"OR+EX",--(DATOS!$G7983=CONFIG_METADATA!$B$4),IF(DATOS!$G7983="EX",1,IF(DATOS!$G7983="OR",--(COUNTIFS(nNIA,DATOS!$A7983,nCURSO,DATOS!$D7983,nESPEC,DATOS!$E7983,nASIG,DATOS!$I7983,nEVAL,"EX")=0),0))))</f>
      </c>
      <c r="H7983">
        <f>IF(DATOS!$G7983&lt;&gt;"EX",0,--(COUNTIFS(nNIA,DATOS!$A7983,nCURSO,DATOS!$D7983,nESPEC,DATOS!$E7983,nASIG,DATOS!$I7983,nEVAL,"OR")=0))</f>
      </c>
      <c r="I7983">
        <f>IF(DATOS!$I7983="","",IFERROR(VLOOKUP(DATOS!$I7983,CONFIG_ASIGNATURAS!$B$2:$J$91,9,FALSE()),""))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IF(DATOS!$A7984="",0,IF(CONFIG_METADATA!$B$4&lt;&gt;"OR+EX",--(DATOS!$G7984=CONFIG_METADATA!$B$4),IF(DATOS!$G7984="EX",1,IF(DATOS!$G7984="OR",--(COUNTIFS(nNIA,DATOS!$A7984,nCURSO,DATOS!$D7984,nESPEC,DATOS!$E7984,nASIG,DATOS!$I7984,nEVAL,"EX")=0),0))))</f>
      </c>
      <c r="H7984">
        <f>IF(DATOS!$G7984&lt;&gt;"EX",0,--(COUNTIFS(nNIA,DATOS!$A7984,nCURSO,DATOS!$D7984,nESPEC,DATOS!$E7984,nASIG,DATOS!$I7984,nEVAL,"OR")=0))</f>
      </c>
      <c r="I7984">
        <f>IF(DATOS!$I7984="","",IFERROR(VLOOKUP(DATOS!$I7984,CONFIG_ASIGNATURAS!$B$2:$J$91,9,FALSE()),""))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IF(DATOS!$A7985="",0,IF(CONFIG_METADATA!$B$4&lt;&gt;"OR+EX",--(DATOS!$G7985=CONFIG_METADATA!$B$4),IF(DATOS!$G7985="EX",1,IF(DATOS!$G7985="OR",--(COUNTIFS(nNIA,DATOS!$A7985,nCURSO,DATOS!$D7985,nESPEC,DATOS!$E7985,nASIG,DATOS!$I7985,nEVAL,"EX")=0),0))))</f>
      </c>
      <c r="H7985">
        <f>IF(DATOS!$G7985&lt;&gt;"EX",0,--(COUNTIFS(nNIA,DATOS!$A7985,nCURSO,DATOS!$D7985,nESPEC,DATOS!$E7985,nASIG,DATOS!$I7985,nEVAL,"OR")=0))</f>
      </c>
      <c r="I7985">
        <f>IF(DATOS!$I7985="","",IFERROR(VLOOKUP(DATOS!$I7985,CONFIG_ASIGNATURAS!$B$2:$J$91,9,FALSE()),""))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IF(DATOS!$A7986="",0,IF(CONFIG_METADATA!$B$4&lt;&gt;"OR+EX",--(DATOS!$G7986=CONFIG_METADATA!$B$4),IF(DATOS!$G7986="EX",1,IF(DATOS!$G7986="OR",--(COUNTIFS(nNIA,DATOS!$A7986,nCURSO,DATOS!$D7986,nESPEC,DATOS!$E7986,nASIG,DATOS!$I7986,nEVAL,"EX")=0),0))))</f>
      </c>
      <c r="H7986">
        <f>IF(DATOS!$G7986&lt;&gt;"EX",0,--(COUNTIFS(nNIA,DATOS!$A7986,nCURSO,DATOS!$D7986,nESPEC,DATOS!$E7986,nASIG,DATOS!$I7986,nEVAL,"OR")=0))</f>
      </c>
      <c r="I7986">
        <f>IF(DATOS!$I7986="","",IFERROR(VLOOKUP(DATOS!$I7986,CONFIG_ASIGNATURAS!$B$2:$J$91,9,FALSE()),""))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IF(DATOS!$A7987="",0,IF(CONFIG_METADATA!$B$4&lt;&gt;"OR+EX",--(DATOS!$G7987=CONFIG_METADATA!$B$4),IF(DATOS!$G7987="EX",1,IF(DATOS!$G7987="OR",--(COUNTIFS(nNIA,DATOS!$A7987,nCURSO,DATOS!$D7987,nESPEC,DATOS!$E7987,nASIG,DATOS!$I7987,nEVAL,"EX")=0),0))))</f>
      </c>
      <c r="H7987">
        <f>IF(DATOS!$G7987&lt;&gt;"EX",0,--(COUNTIFS(nNIA,DATOS!$A7987,nCURSO,DATOS!$D7987,nESPEC,DATOS!$E7987,nASIG,DATOS!$I7987,nEVAL,"OR")=0))</f>
      </c>
      <c r="I7987">
        <f>IF(DATOS!$I7987="","",IFERROR(VLOOKUP(DATOS!$I7987,CONFIG_ASIGNATURAS!$B$2:$J$91,9,FALSE()),""))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IF(DATOS!$A7988="",0,IF(CONFIG_METADATA!$B$4&lt;&gt;"OR+EX",--(DATOS!$G7988=CONFIG_METADATA!$B$4),IF(DATOS!$G7988="EX",1,IF(DATOS!$G7988="OR",--(COUNTIFS(nNIA,DATOS!$A7988,nCURSO,DATOS!$D7988,nESPEC,DATOS!$E7988,nASIG,DATOS!$I7988,nEVAL,"EX")=0),0))))</f>
      </c>
      <c r="H7988">
        <f>IF(DATOS!$G7988&lt;&gt;"EX",0,--(COUNTIFS(nNIA,DATOS!$A7988,nCURSO,DATOS!$D7988,nESPEC,DATOS!$E7988,nASIG,DATOS!$I7988,nEVAL,"OR")=0))</f>
      </c>
      <c r="I7988">
        <f>IF(DATOS!$I7988="","",IFERROR(VLOOKUP(DATOS!$I7988,CONFIG_ASIGNATURAS!$B$2:$J$91,9,FALSE()),""))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IF(DATOS!$A7989="",0,IF(CONFIG_METADATA!$B$4&lt;&gt;"OR+EX",--(DATOS!$G7989=CONFIG_METADATA!$B$4),IF(DATOS!$G7989="EX",1,IF(DATOS!$G7989="OR",--(COUNTIFS(nNIA,DATOS!$A7989,nCURSO,DATOS!$D7989,nESPEC,DATOS!$E7989,nASIG,DATOS!$I7989,nEVAL,"EX")=0),0))))</f>
      </c>
      <c r="H7989">
        <f>IF(DATOS!$G7989&lt;&gt;"EX",0,--(COUNTIFS(nNIA,DATOS!$A7989,nCURSO,DATOS!$D7989,nESPEC,DATOS!$E7989,nASIG,DATOS!$I7989,nEVAL,"OR")=0))</f>
      </c>
      <c r="I7989">
        <f>IF(DATOS!$I7989="","",IFERROR(VLOOKUP(DATOS!$I7989,CONFIG_ASIGNATURAS!$B$2:$J$91,9,FALSE()),""))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IF(DATOS!$A7990="",0,IF(CONFIG_METADATA!$B$4&lt;&gt;"OR+EX",--(DATOS!$G7990=CONFIG_METADATA!$B$4),IF(DATOS!$G7990="EX",1,IF(DATOS!$G7990="OR",--(COUNTIFS(nNIA,DATOS!$A7990,nCURSO,DATOS!$D7990,nESPEC,DATOS!$E7990,nASIG,DATOS!$I7990,nEVAL,"EX")=0),0))))</f>
      </c>
      <c r="H7990">
        <f>IF(DATOS!$G7990&lt;&gt;"EX",0,--(COUNTIFS(nNIA,DATOS!$A7990,nCURSO,DATOS!$D7990,nESPEC,DATOS!$E7990,nASIG,DATOS!$I7990,nEVAL,"OR")=0))</f>
      </c>
      <c r="I7990">
        <f>IF(DATOS!$I7990="","",IFERROR(VLOOKUP(DATOS!$I7990,CONFIG_ASIGNATURAS!$B$2:$J$91,9,FALSE()),""))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IF(DATOS!$A7991="",0,IF(CONFIG_METADATA!$B$4&lt;&gt;"OR+EX",--(DATOS!$G7991=CONFIG_METADATA!$B$4),IF(DATOS!$G7991="EX",1,IF(DATOS!$G7991="OR",--(COUNTIFS(nNIA,DATOS!$A7991,nCURSO,DATOS!$D7991,nESPEC,DATOS!$E7991,nASIG,DATOS!$I7991,nEVAL,"EX")=0),0))))</f>
      </c>
      <c r="H7991">
        <f>IF(DATOS!$G7991&lt;&gt;"EX",0,--(COUNTIFS(nNIA,DATOS!$A7991,nCURSO,DATOS!$D7991,nESPEC,DATOS!$E7991,nASIG,DATOS!$I7991,nEVAL,"OR")=0))</f>
      </c>
      <c r="I7991">
        <f>IF(DATOS!$I7991="","",IFERROR(VLOOKUP(DATOS!$I7991,CONFIG_ASIGNATURAS!$B$2:$J$91,9,FALSE()),""))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IF(DATOS!$A7992="",0,IF(CONFIG_METADATA!$B$4&lt;&gt;"OR+EX",--(DATOS!$G7992=CONFIG_METADATA!$B$4),IF(DATOS!$G7992="EX",1,IF(DATOS!$G7992="OR",--(COUNTIFS(nNIA,DATOS!$A7992,nCURSO,DATOS!$D7992,nESPEC,DATOS!$E7992,nASIG,DATOS!$I7992,nEVAL,"EX")=0),0))))</f>
      </c>
      <c r="H7992">
        <f>IF(DATOS!$G7992&lt;&gt;"EX",0,--(COUNTIFS(nNIA,DATOS!$A7992,nCURSO,DATOS!$D7992,nESPEC,DATOS!$E7992,nASIG,DATOS!$I7992,nEVAL,"OR")=0))</f>
      </c>
      <c r="I7992">
        <f>IF(DATOS!$I7992="","",IFERROR(VLOOKUP(DATOS!$I7992,CONFIG_ASIGNATURAS!$B$2:$J$91,9,FALSE()),""))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IF(DATOS!$A7993="",0,IF(CONFIG_METADATA!$B$4&lt;&gt;"OR+EX",--(DATOS!$G7993=CONFIG_METADATA!$B$4),IF(DATOS!$G7993="EX",1,IF(DATOS!$G7993="OR",--(COUNTIFS(nNIA,DATOS!$A7993,nCURSO,DATOS!$D7993,nESPEC,DATOS!$E7993,nASIG,DATOS!$I7993,nEVAL,"EX")=0),0))))</f>
      </c>
      <c r="H7993">
        <f>IF(DATOS!$G7993&lt;&gt;"EX",0,--(COUNTIFS(nNIA,DATOS!$A7993,nCURSO,DATOS!$D7993,nESPEC,DATOS!$E7993,nASIG,DATOS!$I7993,nEVAL,"OR")=0))</f>
      </c>
      <c r="I7993">
        <f>IF(DATOS!$I7993="","",IFERROR(VLOOKUP(DATOS!$I7993,CONFIG_ASIGNATURAS!$B$2:$J$91,9,FALSE()),""))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IF(DATOS!$A7994="",0,IF(CONFIG_METADATA!$B$4&lt;&gt;"OR+EX",--(DATOS!$G7994=CONFIG_METADATA!$B$4),IF(DATOS!$G7994="EX",1,IF(DATOS!$G7994="OR",--(COUNTIFS(nNIA,DATOS!$A7994,nCURSO,DATOS!$D7994,nESPEC,DATOS!$E7994,nASIG,DATOS!$I7994,nEVAL,"EX")=0),0))))</f>
      </c>
      <c r="H7994">
        <f>IF(DATOS!$G7994&lt;&gt;"EX",0,--(COUNTIFS(nNIA,DATOS!$A7994,nCURSO,DATOS!$D7994,nESPEC,DATOS!$E7994,nASIG,DATOS!$I7994,nEVAL,"OR")=0))</f>
      </c>
      <c r="I7994">
        <f>IF(DATOS!$I7994="","",IFERROR(VLOOKUP(DATOS!$I7994,CONFIG_ASIGNATURAS!$B$2:$J$91,9,FALSE()),""))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IF(DATOS!$A7995="",0,IF(CONFIG_METADATA!$B$4&lt;&gt;"OR+EX",--(DATOS!$G7995=CONFIG_METADATA!$B$4),IF(DATOS!$G7995="EX",1,IF(DATOS!$G7995="OR",--(COUNTIFS(nNIA,DATOS!$A7995,nCURSO,DATOS!$D7995,nESPEC,DATOS!$E7995,nASIG,DATOS!$I7995,nEVAL,"EX")=0),0))))</f>
      </c>
      <c r="H7995">
        <f>IF(DATOS!$G7995&lt;&gt;"EX",0,--(COUNTIFS(nNIA,DATOS!$A7995,nCURSO,DATOS!$D7995,nESPEC,DATOS!$E7995,nASIG,DATOS!$I7995,nEVAL,"OR")=0))</f>
      </c>
      <c r="I7995">
        <f>IF(DATOS!$I7995="","",IFERROR(VLOOKUP(DATOS!$I7995,CONFIG_ASIGNATURAS!$B$2:$J$91,9,FALSE()),""))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IF(DATOS!$A7996="",0,IF(CONFIG_METADATA!$B$4&lt;&gt;"OR+EX",--(DATOS!$G7996=CONFIG_METADATA!$B$4),IF(DATOS!$G7996="EX",1,IF(DATOS!$G7996="OR",--(COUNTIFS(nNIA,DATOS!$A7996,nCURSO,DATOS!$D7996,nESPEC,DATOS!$E7996,nASIG,DATOS!$I7996,nEVAL,"EX")=0),0))))</f>
      </c>
      <c r="H7996">
        <f>IF(DATOS!$G7996&lt;&gt;"EX",0,--(COUNTIFS(nNIA,DATOS!$A7996,nCURSO,DATOS!$D7996,nESPEC,DATOS!$E7996,nASIG,DATOS!$I7996,nEVAL,"OR")=0))</f>
      </c>
      <c r="I7996">
        <f>IF(DATOS!$I7996="","",IFERROR(VLOOKUP(DATOS!$I7996,CONFIG_ASIGNATURAS!$B$2:$J$91,9,FALSE()),""))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IF(DATOS!$A7997="",0,IF(CONFIG_METADATA!$B$4&lt;&gt;"OR+EX",--(DATOS!$G7997=CONFIG_METADATA!$B$4),IF(DATOS!$G7997="EX",1,IF(DATOS!$G7997="OR",--(COUNTIFS(nNIA,DATOS!$A7997,nCURSO,DATOS!$D7997,nESPEC,DATOS!$E7997,nASIG,DATOS!$I7997,nEVAL,"EX")=0),0))))</f>
      </c>
      <c r="H7997">
        <f>IF(DATOS!$G7997&lt;&gt;"EX",0,--(COUNTIFS(nNIA,DATOS!$A7997,nCURSO,DATOS!$D7997,nESPEC,DATOS!$E7997,nASIG,DATOS!$I7997,nEVAL,"OR")=0))</f>
      </c>
      <c r="I7997">
        <f>IF(DATOS!$I7997="","",IFERROR(VLOOKUP(DATOS!$I7997,CONFIG_ASIGNATURAS!$B$2:$J$91,9,FALSE()),""))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IF(DATOS!$A7998="",0,IF(CONFIG_METADATA!$B$4&lt;&gt;"OR+EX",--(DATOS!$G7998=CONFIG_METADATA!$B$4),IF(DATOS!$G7998="EX",1,IF(DATOS!$G7998="OR",--(COUNTIFS(nNIA,DATOS!$A7998,nCURSO,DATOS!$D7998,nESPEC,DATOS!$E7998,nASIG,DATOS!$I7998,nEVAL,"EX")=0),0))))</f>
      </c>
      <c r="H7998">
        <f>IF(DATOS!$G7998&lt;&gt;"EX",0,--(COUNTIFS(nNIA,DATOS!$A7998,nCURSO,DATOS!$D7998,nESPEC,DATOS!$E7998,nASIG,DATOS!$I7998,nEVAL,"OR")=0))</f>
      </c>
      <c r="I7998">
        <f>IF(DATOS!$I7998="","",IFERROR(VLOOKUP(DATOS!$I7998,CONFIG_ASIGNATURAS!$B$2:$J$91,9,FALSE()),""))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IF(DATOS!$A7999="",0,IF(CONFIG_METADATA!$B$4&lt;&gt;"OR+EX",--(DATOS!$G7999=CONFIG_METADATA!$B$4),IF(DATOS!$G7999="EX",1,IF(DATOS!$G7999="OR",--(COUNTIFS(nNIA,DATOS!$A7999,nCURSO,DATOS!$D7999,nESPEC,DATOS!$E7999,nASIG,DATOS!$I7999,nEVAL,"EX")=0),0))))</f>
      </c>
      <c r="H7999">
        <f>IF(DATOS!$G7999&lt;&gt;"EX",0,--(COUNTIFS(nNIA,DATOS!$A7999,nCURSO,DATOS!$D7999,nESPEC,DATOS!$E7999,nASIG,DATOS!$I7999,nEVAL,"OR")=0))</f>
      </c>
      <c r="I7999">
        <f>IF(DATOS!$I7999="","",IFERROR(VLOOKUP(DATOS!$I7999,CONFIG_ASIGNATURAS!$B$2:$J$91,9,FALSE()),""))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IF(DATOS!$A8000="",0,IF(CONFIG_METADATA!$B$4&lt;&gt;"OR+EX",--(DATOS!$G8000=CONFIG_METADATA!$B$4),IF(DATOS!$G8000="EX",1,IF(DATOS!$G8000="OR",--(COUNTIFS(nNIA,DATOS!$A8000,nCURSO,DATOS!$D8000,nESPEC,DATOS!$E8000,nASIG,DATOS!$I8000,nEVAL,"EX")=0),0))))</f>
      </c>
      <c r="H8000">
        <f>IF(DATOS!$G8000&lt;&gt;"EX",0,--(COUNTIFS(nNIA,DATOS!$A8000,nCURSO,DATOS!$D8000,nESPEC,DATOS!$E8000,nASIG,DATOS!$I8000,nEVAL,"OR")=0))</f>
      </c>
      <c r="I8000">
        <f>IF(DATOS!$I8000="","",IFERROR(VLOOKUP(DATOS!$I8000,CONFIG_ASIGNATURAS!$B$2:$J$91,9,FALSE()),""))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IF(DATOS!$A8001="",0,IF(CONFIG_METADATA!$B$4&lt;&gt;"OR+EX",--(DATOS!$G8001=CONFIG_METADATA!$B$4),IF(DATOS!$G8001="EX",1,IF(DATOS!$G8001="OR",--(COUNTIFS(nNIA,DATOS!$A8001,nCURSO,DATOS!$D8001,nESPEC,DATOS!$E8001,nASIG,DATOS!$I8001,nEVAL,"EX")=0),0))))</f>
      </c>
      <c r="H8001">
        <f>IF(DATOS!$G8001&lt;&gt;"EX",0,--(COUNTIFS(nNIA,DATOS!$A8001,nCURSO,DATOS!$D8001,nESPEC,DATOS!$E8001,nASIG,DATOS!$I8001,nEVAL,"OR")=0))</f>
      </c>
      <c r="I8001">
        <f>IF(DATOS!$I8001="","",IFERROR(VLOOKUP(DATOS!$I8001,CONFIG_ASIGNATURAS!$B$2:$J$91,9,FALSE()),""))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IF(DATOS!$A8002="",0,IF(CONFIG_METADATA!$B$4&lt;&gt;"OR+EX",--(DATOS!$G8002=CONFIG_METADATA!$B$4),IF(DATOS!$G8002="EX",1,IF(DATOS!$G8002="OR",--(COUNTIFS(nNIA,DATOS!$A8002,nCURSO,DATOS!$D8002,nESPEC,DATOS!$E8002,nASIG,DATOS!$I8002,nEVAL,"EX")=0),0))))</f>
      </c>
      <c r="H8002">
        <f>IF(DATOS!$G8002&lt;&gt;"EX",0,--(COUNTIFS(nNIA,DATOS!$A8002,nCURSO,DATOS!$D8002,nESPEC,DATOS!$E8002,nASIG,DATOS!$I8002,nEVAL,"OR")=0))</f>
      </c>
      <c r="I8002">
        <f>IF(DATOS!$I8002="","",IFERROR(VLOOKUP(DATOS!$I8002,CONFIG_ASIGNATURAS!$B$2:$J$91,9,FALSE()),""))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IF(DATOS!$A8003="",0,IF(CONFIG_METADATA!$B$4&lt;&gt;"OR+EX",--(DATOS!$G8003=CONFIG_METADATA!$B$4),IF(DATOS!$G8003="EX",1,IF(DATOS!$G8003="OR",--(COUNTIFS(nNIA,DATOS!$A8003,nCURSO,DATOS!$D8003,nESPEC,DATOS!$E8003,nASIG,DATOS!$I8003,nEVAL,"EX")=0),0))))</f>
      </c>
      <c r="H8003">
        <f>IF(DATOS!$G8003&lt;&gt;"EX",0,--(COUNTIFS(nNIA,DATOS!$A8003,nCURSO,DATOS!$D8003,nESPEC,DATOS!$E8003,nASIG,DATOS!$I8003,nEVAL,"OR")=0))</f>
      </c>
      <c r="I8003">
        <f>IF(DATOS!$I8003="","",IFERROR(VLOOKUP(DATOS!$I8003,CONFIG_ASIGNATURAS!$B$2:$J$91,9,FALSE()),""))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IF(DATOS!$A8004="",0,IF(CONFIG_METADATA!$B$4&lt;&gt;"OR+EX",--(DATOS!$G8004=CONFIG_METADATA!$B$4),IF(DATOS!$G8004="EX",1,IF(DATOS!$G8004="OR",--(COUNTIFS(nNIA,DATOS!$A8004,nCURSO,DATOS!$D8004,nESPEC,DATOS!$E8004,nASIG,DATOS!$I8004,nEVAL,"EX")=0),0))))</f>
      </c>
      <c r="H8004">
        <f>IF(DATOS!$G8004&lt;&gt;"EX",0,--(COUNTIFS(nNIA,DATOS!$A8004,nCURSO,DATOS!$D8004,nESPEC,DATOS!$E8004,nASIG,DATOS!$I8004,nEVAL,"OR")=0))</f>
      </c>
      <c r="I8004">
        <f>IF(DATOS!$I8004="","",IFERROR(VLOOKUP(DATOS!$I8004,CONFIG_ASIGNATURAS!$B$2:$J$91,9,FALSE()),""))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IF(DATOS!$A8005="",0,IF(CONFIG_METADATA!$B$4&lt;&gt;"OR+EX",--(DATOS!$G8005=CONFIG_METADATA!$B$4),IF(DATOS!$G8005="EX",1,IF(DATOS!$G8005="OR",--(COUNTIFS(nNIA,DATOS!$A8005,nCURSO,DATOS!$D8005,nESPEC,DATOS!$E8005,nASIG,DATOS!$I8005,nEVAL,"EX")=0),0))))</f>
      </c>
      <c r="H8005">
        <f>IF(DATOS!$G8005&lt;&gt;"EX",0,--(COUNTIFS(nNIA,DATOS!$A8005,nCURSO,DATOS!$D8005,nESPEC,DATOS!$E8005,nASIG,DATOS!$I8005,nEVAL,"OR")=0))</f>
      </c>
      <c r="I8005">
        <f>IF(DATOS!$I8005="","",IFERROR(VLOOKUP(DATOS!$I8005,CONFIG_ASIGNATURAS!$B$2:$J$91,9,FALSE()),""))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IF(DATOS!$A8006="",0,IF(CONFIG_METADATA!$B$4&lt;&gt;"OR+EX",--(DATOS!$G8006=CONFIG_METADATA!$B$4),IF(DATOS!$G8006="EX",1,IF(DATOS!$G8006="OR",--(COUNTIFS(nNIA,DATOS!$A8006,nCURSO,DATOS!$D8006,nESPEC,DATOS!$E8006,nASIG,DATOS!$I8006,nEVAL,"EX")=0),0))))</f>
      </c>
      <c r="H8006">
        <f>IF(DATOS!$G8006&lt;&gt;"EX",0,--(COUNTIFS(nNIA,DATOS!$A8006,nCURSO,DATOS!$D8006,nESPEC,DATOS!$E8006,nASIG,DATOS!$I8006,nEVAL,"OR")=0))</f>
      </c>
      <c r="I8006">
        <f>IF(DATOS!$I8006="","",IFERROR(VLOOKUP(DATOS!$I8006,CONFIG_ASIGNATURAS!$B$2:$J$91,9,FALSE()),""))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IF(DATOS!$A8007="",0,IF(CONFIG_METADATA!$B$4&lt;&gt;"OR+EX",--(DATOS!$G8007=CONFIG_METADATA!$B$4),IF(DATOS!$G8007="EX",1,IF(DATOS!$G8007="OR",--(COUNTIFS(nNIA,DATOS!$A8007,nCURSO,DATOS!$D8007,nESPEC,DATOS!$E8007,nASIG,DATOS!$I8007,nEVAL,"EX")=0),0))))</f>
      </c>
      <c r="H8007">
        <f>IF(DATOS!$G8007&lt;&gt;"EX",0,--(COUNTIFS(nNIA,DATOS!$A8007,nCURSO,DATOS!$D8007,nESPEC,DATOS!$E8007,nASIG,DATOS!$I8007,nEVAL,"OR")=0))</f>
      </c>
      <c r="I8007">
        <f>IF(DATOS!$I8007="","",IFERROR(VLOOKUP(DATOS!$I8007,CONFIG_ASIGNATURAS!$B$2:$J$91,9,FALSE()),""))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IF(DATOS!$A8008="",0,IF(CONFIG_METADATA!$B$4&lt;&gt;"OR+EX",--(DATOS!$G8008=CONFIG_METADATA!$B$4),IF(DATOS!$G8008="EX",1,IF(DATOS!$G8008="OR",--(COUNTIFS(nNIA,DATOS!$A8008,nCURSO,DATOS!$D8008,nESPEC,DATOS!$E8008,nASIG,DATOS!$I8008,nEVAL,"EX")=0),0))))</f>
      </c>
      <c r="H8008">
        <f>IF(DATOS!$G8008&lt;&gt;"EX",0,--(COUNTIFS(nNIA,DATOS!$A8008,nCURSO,DATOS!$D8008,nESPEC,DATOS!$E8008,nASIG,DATOS!$I8008,nEVAL,"OR")=0))</f>
      </c>
      <c r="I8008">
        <f>IF(DATOS!$I8008="","",IFERROR(VLOOKUP(DATOS!$I8008,CONFIG_ASIGNATURAS!$B$2:$J$91,9,FALSE()),""))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IF(DATOS!$A8009="",0,IF(CONFIG_METADATA!$B$4&lt;&gt;"OR+EX",--(DATOS!$G8009=CONFIG_METADATA!$B$4),IF(DATOS!$G8009="EX",1,IF(DATOS!$G8009="OR",--(COUNTIFS(nNIA,DATOS!$A8009,nCURSO,DATOS!$D8009,nESPEC,DATOS!$E8009,nASIG,DATOS!$I8009,nEVAL,"EX")=0),0))))</f>
      </c>
      <c r="H8009">
        <f>IF(DATOS!$G8009&lt;&gt;"EX",0,--(COUNTIFS(nNIA,DATOS!$A8009,nCURSO,DATOS!$D8009,nESPEC,DATOS!$E8009,nASIG,DATOS!$I8009,nEVAL,"OR")=0))</f>
      </c>
      <c r="I8009">
        <f>IF(DATOS!$I8009="","",IFERROR(VLOOKUP(DATOS!$I8009,CONFIG_ASIGNATURAS!$B$2:$J$91,9,FALSE()),""))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IF(DATOS!$A8010="",0,IF(CONFIG_METADATA!$B$4&lt;&gt;"OR+EX",--(DATOS!$G8010=CONFIG_METADATA!$B$4),IF(DATOS!$G8010="EX",1,IF(DATOS!$G8010="OR",--(COUNTIFS(nNIA,DATOS!$A8010,nCURSO,DATOS!$D8010,nESPEC,DATOS!$E8010,nASIG,DATOS!$I8010,nEVAL,"EX")=0),0))))</f>
      </c>
      <c r="H8010">
        <f>IF(DATOS!$G8010&lt;&gt;"EX",0,--(COUNTIFS(nNIA,DATOS!$A8010,nCURSO,DATOS!$D8010,nESPEC,DATOS!$E8010,nASIG,DATOS!$I8010,nEVAL,"OR")=0))</f>
      </c>
      <c r="I8010">
        <f>IF(DATOS!$I8010="","",IFERROR(VLOOKUP(DATOS!$I8010,CONFIG_ASIGNATURAS!$B$2:$J$91,9,FALSE()),""))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IF(DATOS!$A8011="",0,IF(CONFIG_METADATA!$B$4&lt;&gt;"OR+EX",--(DATOS!$G8011=CONFIG_METADATA!$B$4),IF(DATOS!$G8011="EX",1,IF(DATOS!$G8011="OR",--(COUNTIFS(nNIA,DATOS!$A8011,nCURSO,DATOS!$D8011,nESPEC,DATOS!$E8011,nASIG,DATOS!$I8011,nEVAL,"EX")=0),0))))</f>
      </c>
      <c r="H8011">
        <f>IF(DATOS!$G8011&lt;&gt;"EX",0,--(COUNTIFS(nNIA,DATOS!$A8011,nCURSO,DATOS!$D8011,nESPEC,DATOS!$E8011,nASIG,DATOS!$I8011,nEVAL,"OR")=0))</f>
      </c>
      <c r="I8011">
        <f>IF(DATOS!$I8011="","",IFERROR(VLOOKUP(DATOS!$I8011,CONFIG_ASIGNATURAS!$B$2:$J$91,9,FALSE()),""))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IF(DATOS!$A8012="",0,IF(CONFIG_METADATA!$B$4&lt;&gt;"OR+EX",--(DATOS!$G8012=CONFIG_METADATA!$B$4),IF(DATOS!$G8012="EX",1,IF(DATOS!$G8012="OR",--(COUNTIFS(nNIA,DATOS!$A8012,nCURSO,DATOS!$D8012,nESPEC,DATOS!$E8012,nASIG,DATOS!$I8012,nEVAL,"EX")=0),0))))</f>
      </c>
      <c r="H8012">
        <f>IF(DATOS!$G8012&lt;&gt;"EX",0,--(COUNTIFS(nNIA,DATOS!$A8012,nCURSO,DATOS!$D8012,nESPEC,DATOS!$E8012,nASIG,DATOS!$I8012,nEVAL,"OR")=0))</f>
      </c>
      <c r="I8012">
        <f>IF(DATOS!$I8012="","",IFERROR(VLOOKUP(DATOS!$I8012,CONFIG_ASIGNATURAS!$B$2:$J$91,9,FALSE()),""))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IF(DATOS!$A8013="",0,IF(CONFIG_METADATA!$B$4&lt;&gt;"OR+EX",--(DATOS!$G8013=CONFIG_METADATA!$B$4),IF(DATOS!$G8013="EX",1,IF(DATOS!$G8013="OR",--(COUNTIFS(nNIA,DATOS!$A8013,nCURSO,DATOS!$D8013,nESPEC,DATOS!$E8013,nASIG,DATOS!$I8013,nEVAL,"EX")=0),0))))</f>
      </c>
      <c r="H8013">
        <f>IF(DATOS!$G8013&lt;&gt;"EX",0,--(COUNTIFS(nNIA,DATOS!$A8013,nCURSO,DATOS!$D8013,nESPEC,DATOS!$E8013,nASIG,DATOS!$I8013,nEVAL,"OR")=0))</f>
      </c>
      <c r="I8013">
        <f>IF(DATOS!$I8013="","",IFERROR(VLOOKUP(DATOS!$I8013,CONFIG_ASIGNATURAS!$B$2:$J$91,9,FALSE()),""))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IF(DATOS!$A8014="",0,IF(CONFIG_METADATA!$B$4&lt;&gt;"OR+EX",--(DATOS!$G8014=CONFIG_METADATA!$B$4),IF(DATOS!$G8014="EX",1,IF(DATOS!$G8014="OR",--(COUNTIFS(nNIA,DATOS!$A8014,nCURSO,DATOS!$D8014,nESPEC,DATOS!$E8014,nASIG,DATOS!$I8014,nEVAL,"EX")=0),0))))</f>
      </c>
      <c r="H8014">
        <f>IF(DATOS!$G8014&lt;&gt;"EX",0,--(COUNTIFS(nNIA,DATOS!$A8014,nCURSO,DATOS!$D8014,nESPEC,DATOS!$E8014,nASIG,DATOS!$I8014,nEVAL,"OR")=0))</f>
      </c>
      <c r="I8014">
        <f>IF(DATOS!$I8014="","",IFERROR(VLOOKUP(DATOS!$I8014,CONFIG_ASIGNATURAS!$B$2:$J$91,9,FALSE()),""))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IF(DATOS!$A8015="",0,IF(CONFIG_METADATA!$B$4&lt;&gt;"OR+EX",--(DATOS!$G8015=CONFIG_METADATA!$B$4),IF(DATOS!$G8015="EX",1,IF(DATOS!$G8015="OR",--(COUNTIFS(nNIA,DATOS!$A8015,nCURSO,DATOS!$D8015,nESPEC,DATOS!$E8015,nASIG,DATOS!$I8015,nEVAL,"EX")=0),0))))</f>
      </c>
      <c r="H8015">
        <f>IF(DATOS!$G8015&lt;&gt;"EX",0,--(COUNTIFS(nNIA,DATOS!$A8015,nCURSO,DATOS!$D8015,nESPEC,DATOS!$E8015,nASIG,DATOS!$I8015,nEVAL,"OR")=0))</f>
      </c>
      <c r="I8015">
        <f>IF(DATOS!$I8015="","",IFERROR(VLOOKUP(DATOS!$I8015,CONFIG_ASIGNATURAS!$B$2:$J$91,9,FALSE()),""))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IF(DATOS!$A8016="",0,IF(CONFIG_METADATA!$B$4&lt;&gt;"OR+EX",--(DATOS!$G8016=CONFIG_METADATA!$B$4),IF(DATOS!$G8016="EX",1,IF(DATOS!$G8016="OR",--(COUNTIFS(nNIA,DATOS!$A8016,nCURSO,DATOS!$D8016,nESPEC,DATOS!$E8016,nASIG,DATOS!$I8016,nEVAL,"EX")=0),0))))</f>
      </c>
      <c r="H8016">
        <f>IF(DATOS!$G8016&lt;&gt;"EX",0,--(COUNTIFS(nNIA,DATOS!$A8016,nCURSO,DATOS!$D8016,nESPEC,DATOS!$E8016,nASIG,DATOS!$I8016,nEVAL,"OR")=0))</f>
      </c>
      <c r="I8016">
        <f>IF(DATOS!$I8016="","",IFERROR(VLOOKUP(DATOS!$I8016,CONFIG_ASIGNATURAS!$B$2:$J$91,9,FALSE()),""))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IF(DATOS!$A8017="",0,IF(CONFIG_METADATA!$B$4&lt;&gt;"OR+EX",--(DATOS!$G8017=CONFIG_METADATA!$B$4),IF(DATOS!$G8017="EX",1,IF(DATOS!$G8017="OR",--(COUNTIFS(nNIA,DATOS!$A8017,nCURSO,DATOS!$D8017,nESPEC,DATOS!$E8017,nASIG,DATOS!$I8017,nEVAL,"EX")=0),0))))</f>
      </c>
      <c r="H8017">
        <f>IF(DATOS!$G8017&lt;&gt;"EX",0,--(COUNTIFS(nNIA,DATOS!$A8017,nCURSO,DATOS!$D8017,nESPEC,DATOS!$E8017,nASIG,DATOS!$I8017,nEVAL,"OR")=0))</f>
      </c>
      <c r="I8017">
        <f>IF(DATOS!$I8017="","",IFERROR(VLOOKUP(DATOS!$I8017,CONFIG_ASIGNATURAS!$B$2:$J$91,9,FALSE()),""))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IF(DATOS!$A8018="",0,IF(CONFIG_METADATA!$B$4&lt;&gt;"OR+EX",--(DATOS!$G8018=CONFIG_METADATA!$B$4),IF(DATOS!$G8018="EX",1,IF(DATOS!$G8018="OR",--(COUNTIFS(nNIA,DATOS!$A8018,nCURSO,DATOS!$D8018,nESPEC,DATOS!$E8018,nASIG,DATOS!$I8018,nEVAL,"EX")=0),0))))</f>
      </c>
      <c r="H8018">
        <f>IF(DATOS!$G8018&lt;&gt;"EX",0,--(COUNTIFS(nNIA,DATOS!$A8018,nCURSO,DATOS!$D8018,nESPEC,DATOS!$E8018,nASIG,DATOS!$I8018,nEVAL,"OR")=0))</f>
      </c>
      <c r="I8018">
        <f>IF(DATOS!$I8018="","",IFERROR(VLOOKUP(DATOS!$I8018,CONFIG_ASIGNATURAS!$B$2:$J$91,9,FALSE()),""))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IF(DATOS!$A8019="",0,IF(CONFIG_METADATA!$B$4&lt;&gt;"OR+EX",--(DATOS!$G8019=CONFIG_METADATA!$B$4),IF(DATOS!$G8019="EX",1,IF(DATOS!$G8019="OR",--(COUNTIFS(nNIA,DATOS!$A8019,nCURSO,DATOS!$D8019,nESPEC,DATOS!$E8019,nASIG,DATOS!$I8019,nEVAL,"EX")=0),0))))</f>
      </c>
      <c r="H8019">
        <f>IF(DATOS!$G8019&lt;&gt;"EX",0,--(COUNTIFS(nNIA,DATOS!$A8019,nCURSO,DATOS!$D8019,nESPEC,DATOS!$E8019,nASIG,DATOS!$I8019,nEVAL,"OR")=0))</f>
      </c>
      <c r="I8019">
        <f>IF(DATOS!$I8019="","",IFERROR(VLOOKUP(DATOS!$I8019,CONFIG_ASIGNATURAS!$B$2:$J$91,9,FALSE()),""))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IF(DATOS!$A8020="",0,IF(CONFIG_METADATA!$B$4&lt;&gt;"OR+EX",--(DATOS!$G8020=CONFIG_METADATA!$B$4),IF(DATOS!$G8020="EX",1,IF(DATOS!$G8020="OR",--(COUNTIFS(nNIA,DATOS!$A8020,nCURSO,DATOS!$D8020,nESPEC,DATOS!$E8020,nASIG,DATOS!$I8020,nEVAL,"EX")=0),0))))</f>
      </c>
      <c r="H8020">
        <f>IF(DATOS!$G8020&lt;&gt;"EX",0,--(COUNTIFS(nNIA,DATOS!$A8020,nCURSO,DATOS!$D8020,nESPEC,DATOS!$E8020,nASIG,DATOS!$I8020,nEVAL,"OR")=0))</f>
      </c>
      <c r="I8020">
        <f>IF(DATOS!$I8020="","",IFERROR(VLOOKUP(DATOS!$I8020,CONFIG_ASIGNATURAS!$B$2:$J$91,9,FALSE()),""))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IF(DATOS!$A8021="",0,IF(CONFIG_METADATA!$B$4&lt;&gt;"OR+EX",--(DATOS!$G8021=CONFIG_METADATA!$B$4),IF(DATOS!$G8021="EX",1,IF(DATOS!$G8021="OR",--(COUNTIFS(nNIA,DATOS!$A8021,nCURSO,DATOS!$D8021,nESPEC,DATOS!$E8021,nASIG,DATOS!$I8021,nEVAL,"EX")=0),0))))</f>
      </c>
      <c r="H8021">
        <f>IF(DATOS!$G8021&lt;&gt;"EX",0,--(COUNTIFS(nNIA,DATOS!$A8021,nCURSO,DATOS!$D8021,nESPEC,DATOS!$E8021,nASIG,DATOS!$I8021,nEVAL,"OR")=0))</f>
      </c>
      <c r="I8021">
        <f>IF(DATOS!$I8021="","",IFERROR(VLOOKUP(DATOS!$I8021,CONFIG_ASIGNATURAS!$B$2:$J$91,9,FALSE()),""))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IF(DATOS!$A8022="",0,IF(CONFIG_METADATA!$B$4&lt;&gt;"OR+EX",--(DATOS!$G8022=CONFIG_METADATA!$B$4),IF(DATOS!$G8022="EX",1,IF(DATOS!$G8022="OR",--(COUNTIFS(nNIA,DATOS!$A8022,nCURSO,DATOS!$D8022,nESPEC,DATOS!$E8022,nASIG,DATOS!$I8022,nEVAL,"EX")=0),0))))</f>
      </c>
      <c r="H8022">
        <f>IF(DATOS!$G8022&lt;&gt;"EX",0,--(COUNTIFS(nNIA,DATOS!$A8022,nCURSO,DATOS!$D8022,nESPEC,DATOS!$E8022,nASIG,DATOS!$I8022,nEVAL,"OR")=0))</f>
      </c>
      <c r="I8022">
        <f>IF(DATOS!$I8022="","",IFERROR(VLOOKUP(DATOS!$I8022,CONFIG_ASIGNATURAS!$B$2:$J$91,9,FALSE()),""))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IF(DATOS!$A8023="",0,IF(CONFIG_METADATA!$B$4&lt;&gt;"OR+EX",--(DATOS!$G8023=CONFIG_METADATA!$B$4),IF(DATOS!$G8023="EX",1,IF(DATOS!$G8023="OR",--(COUNTIFS(nNIA,DATOS!$A8023,nCURSO,DATOS!$D8023,nESPEC,DATOS!$E8023,nASIG,DATOS!$I8023,nEVAL,"EX")=0),0))))</f>
      </c>
      <c r="H8023">
        <f>IF(DATOS!$G8023&lt;&gt;"EX",0,--(COUNTIFS(nNIA,DATOS!$A8023,nCURSO,DATOS!$D8023,nESPEC,DATOS!$E8023,nASIG,DATOS!$I8023,nEVAL,"OR")=0))</f>
      </c>
      <c r="I8023">
        <f>IF(DATOS!$I8023="","",IFERROR(VLOOKUP(DATOS!$I8023,CONFIG_ASIGNATURAS!$B$2:$J$91,9,FALSE()),""))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IF(DATOS!$A8024="",0,IF(CONFIG_METADATA!$B$4&lt;&gt;"OR+EX",--(DATOS!$G8024=CONFIG_METADATA!$B$4),IF(DATOS!$G8024="EX",1,IF(DATOS!$G8024="OR",--(COUNTIFS(nNIA,DATOS!$A8024,nCURSO,DATOS!$D8024,nESPEC,DATOS!$E8024,nASIG,DATOS!$I8024,nEVAL,"EX")=0),0))))</f>
      </c>
      <c r="H8024">
        <f>IF(DATOS!$G8024&lt;&gt;"EX",0,--(COUNTIFS(nNIA,DATOS!$A8024,nCURSO,DATOS!$D8024,nESPEC,DATOS!$E8024,nASIG,DATOS!$I8024,nEVAL,"OR")=0))</f>
      </c>
      <c r="I8024">
        <f>IF(DATOS!$I8024="","",IFERROR(VLOOKUP(DATOS!$I8024,CONFIG_ASIGNATURAS!$B$2:$J$91,9,FALSE()),""))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IF(DATOS!$A8025="",0,IF(CONFIG_METADATA!$B$4&lt;&gt;"OR+EX",--(DATOS!$G8025=CONFIG_METADATA!$B$4),IF(DATOS!$G8025="EX",1,IF(DATOS!$G8025="OR",--(COUNTIFS(nNIA,DATOS!$A8025,nCURSO,DATOS!$D8025,nESPEC,DATOS!$E8025,nASIG,DATOS!$I8025,nEVAL,"EX")=0),0))))</f>
      </c>
      <c r="H8025">
        <f>IF(DATOS!$G8025&lt;&gt;"EX",0,--(COUNTIFS(nNIA,DATOS!$A8025,nCURSO,DATOS!$D8025,nESPEC,DATOS!$E8025,nASIG,DATOS!$I8025,nEVAL,"OR")=0))</f>
      </c>
      <c r="I8025">
        <f>IF(DATOS!$I8025="","",IFERROR(VLOOKUP(DATOS!$I8025,CONFIG_ASIGNATURAS!$B$2:$J$91,9,FALSE()),""))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IF(DATOS!$A8026="",0,IF(CONFIG_METADATA!$B$4&lt;&gt;"OR+EX",--(DATOS!$G8026=CONFIG_METADATA!$B$4),IF(DATOS!$G8026="EX",1,IF(DATOS!$G8026="OR",--(COUNTIFS(nNIA,DATOS!$A8026,nCURSO,DATOS!$D8026,nESPEC,DATOS!$E8026,nASIG,DATOS!$I8026,nEVAL,"EX")=0),0))))</f>
      </c>
      <c r="H8026">
        <f>IF(DATOS!$G8026&lt;&gt;"EX",0,--(COUNTIFS(nNIA,DATOS!$A8026,nCURSO,DATOS!$D8026,nESPEC,DATOS!$E8026,nASIG,DATOS!$I8026,nEVAL,"OR")=0))</f>
      </c>
      <c r="I8026">
        <f>IF(DATOS!$I8026="","",IFERROR(VLOOKUP(DATOS!$I8026,CONFIG_ASIGNATURAS!$B$2:$J$91,9,FALSE()),""))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IF(DATOS!$A8027="",0,IF(CONFIG_METADATA!$B$4&lt;&gt;"OR+EX",--(DATOS!$G8027=CONFIG_METADATA!$B$4),IF(DATOS!$G8027="EX",1,IF(DATOS!$G8027="OR",--(COUNTIFS(nNIA,DATOS!$A8027,nCURSO,DATOS!$D8027,nESPEC,DATOS!$E8027,nASIG,DATOS!$I8027,nEVAL,"EX")=0),0))))</f>
      </c>
      <c r="H8027">
        <f>IF(DATOS!$G8027&lt;&gt;"EX",0,--(COUNTIFS(nNIA,DATOS!$A8027,nCURSO,DATOS!$D8027,nESPEC,DATOS!$E8027,nASIG,DATOS!$I8027,nEVAL,"OR")=0))</f>
      </c>
      <c r="I8027">
        <f>IF(DATOS!$I8027="","",IFERROR(VLOOKUP(DATOS!$I8027,CONFIG_ASIGNATURAS!$B$2:$J$91,9,FALSE()),""))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IF(DATOS!$A8028="",0,IF(CONFIG_METADATA!$B$4&lt;&gt;"OR+EX",--(DATOS!$G8028=CONFIG_METADATA!$B$4),IF(DATOS!$G8028="EX",1,IF(DATOS!$G8028="OR",--(COUNTIFS(nNIA,DATOS!$A8028,nCURSO,DATOS!$D8028,nESPEC,DATOS!$E8028,nASIG,DATOS!$I8028,nEVAL,"EX")=0),0))))</f>
      </c>
      <c r="H8028">
        <f>IF(DATOS!$G8028&lt;&gt;"EX",0,--(COUNTIFS(nNIA,DATOS!$A8028,nCURSO,DATOS!$D8028,nESPEC,DATOS!$E8028,nASIG,DATOS!$I8028,nEVAL,"OR")=0))</f>
      </c>
      <c r="I8028">
        <f>IF(DATOS!$I8028="","",IFERROR(VLOOKUP(DATOS!$I8028,CONFIG_ASIGNATURAS!$B$2:$J$91,9,FALSE()),""))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IF(DATOS!$A8029="",0,IF(CONFIG_METADATA!$B$4&lt;&gt;"OR+EX",--(DATOS!$G8029=CONFIG_METADATA!$B$4),IF(DATOS!$G8029="EX",1,IF(DATOS!$G8029="OR",--(COUNTIFS(nNIA,DATOS!$A8029,nCURSO,DATOS!$D8029,nESPEC,DATOS!$E8029,nASIG,DATOS!$I8029,nEVAL,"EX")=0),0))))</f>
      </c>
      <c r="H8029">
        <f>IF(DATOS!$G8029&lt;&gt;"EX",0,--(COUNTIFS(nNIA,DATOS!$A8029,nCURSO,DATOS!$D8029,nESPEC,DATOS!$E8029,nASIG,DATOS!$I8029,nEVAL,"OR")=0))</f>
      </c>
      <c r="I8029">
        <f>IF(DATOS!$I8029="","",IFERROR(VLOOKUP(DATOS!$I8029,CONFIG_ASIGNATURAS!$B$2:$J$91,9,FALSE()),""))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IF(DATOS!$A8030="",0,IF(CONFIG_METADATA!$B$4&lt;&gt;"OR+EX",--(DATOS!$G8030=CONFIG_METADATA!$B$4),IF(DATOS!$G8030="EX",1,IF(DATOS!$G8030="OR",--(COUNTIFS(nNIA,DATOS!$A8030,nCURSO,DATOS!$D8030,nESPEC,DATOS!$E8030,nASIG,DATOS!$I8030,nEVAL,"EX")=0),0))))</f>
      </c>
      <c r="H8030">
        <f>IF(DATOS!$G8030&lt;&gt;"EX",0,--(COUNTIFS(nNIA,DATOS!$A8030,nCURSO,DATOS!$D8030,nESPEC,DATOS!$E8030,nASIG,DATOS!$I8030,nEVAL,"OR")=0))</f>
      </c>
      <c r="I8030">
        <f>IF(DATOS!$I8030="","",IFERROR(VLOOKUP(DATOS!$I8030,CONFIG_ASIGNATURAS!$B$2:$J$91,9,FALSE()),""))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IF(DATOS!$A8031="",0,IF(CONFIG_METADATA!$B$4&lt;&gt;"OR+EX",--(DATOS!$G8031=CONFIG_METADATA!$B$4),IF(DATOS!$G8031="EX",1,IF(DATOS!$G8031="OR",--(COUNTIFS(nNIA,DATOS!$A8031,nCURSO,DATOS!$D8031,nESPEC,DATOS!$E8031,nASIG,DATOS!$I8031,nEVAL,"EX")=0),0))))</f>
      </c>
      <c r="H8031">
        <f>IF(DATOS!$G8031&lt;&gt;"EX",0,--(COUNTIFS(nNIA,DATOS!$A8031,nCURSO,DATOS!$D8031,nESPEC,DATOS!$E8031,nASIG,DATOS!$I8031,nEVAL,"OR")=0))</f>
      </c>
      <c r="I8031">
        <f>IF(DATOS!$I8031="","",IFERROR(VLOOKUP(DATOS!$I8031,CONFIG_ASIGNATURAS!$B$2:$J$91,9,FALSE()),""))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IF(DATOS!$A8032="",0,IF(CONFIG_METADATA!$B$4&lt;&gt;"OR+EX",--(DATOS!$G8032=CONFIG_METADATA!$B$4),IF(DATOS!$G8032="EX",1,IF(DATOS!$G8032="OR",--(COUNTIFS(nNIA,DATOS!$A8032,nCURSO,DATOS!$D8032,nESPEC,DATOS!$E8032,nASIG,DATOS!$I8032,nEVAL,"EX")=0),0))))</f>
      </c>
      <c r="H8032">
        <f>IF(DATOS!$G8032&lt;&gt;"EX",0,--(COUNTIFS(nNIA,DATOS!$A8032,nCURSO,DATOS!$D8032,nESPEC,DATOS!$E8032,nASIG,DATOS!$I8032,nEVAL,"OR")=0))</f>
      </c>
      <c r="I8032">
        <f>IF(DATOS!$I8032="","",IFERROR(VLOOKUP(DATOS!$I8032,CONFIG_ASIGNATURAS!$B$2:$J$91,9,FALSE()),""))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IF(DATOS!$A8033="",0,IF(CONFIG_METADATA!$B$4&lt;&gt;"OR+EX",--(DATOS!$G8033=CONFIG_METADATA!$B$4),IF(DATOS!$G8033="EX",1,IF(DATOS!$G8033="OR",--(COUNTIFS(nNIA,DATOS!$A8033,nCURSO,DATOS!$D8033,nESPEC,DATOS!$E8033,nASIG,DATOS!$I8033,nEVAL,"EX")=0),0))))</f>
      </c>
      <c r="H8033">
        <f>IF(DATOS!$G8033&lt;&gt;"EX",0,--(COUNTIFS(nNIA,DATOS!$A8033,nCURSO,DATOS!$D8033,nESPEC,DATOS!$E8033,nASIG,DATOS!$I8033,nEVAL,"OR")=0))</f>
      </c>
      <c r="I8033">
        <f>IF(DATOS!$I8033="","",IFERROR(VLOOKUP(DATOS!$I8033,CONFIG_ASIGNATURAS!$B$2:$J$91,9,FALSE()),""))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IF(DATOS!$A8034="",0,IF(CONFIG_METADATA!$B$4&lt;&gt;"OR+EX",--(DATOS!$G8034=CONFIG_METADATA!$B$4),IF(DATOS!$G8034="EX",1,IF(DATOS!$G8034="OR",--(COUNTIFS(nNIA,DATOS!$A8034,nCURSO,DATOS!$D8034,nESPEC,DATOS!$E8034,nASIG,DATOS!$I8034,nEVAL,"EX")=0),0))))</f>
      </c>
      <c r="H8034">
        <f>IF(DATOS!$G8034&lt;&gt;"EX",0,--(COUNTIFS(nNIA,DATOS!$A8034,nCURSO,DATOS!$D8034,nESPEC,DATOS!$E8034,nASIG,DATOS!$I8034,nEVAL,"OR")=0))</f>
      </c>
      <c r="I8034">
        <f>IF(DATOS!$I8034="","",IFERROR(VLOOKUP(DATOS!$I8034,CONFIG_ASIGNATURAS!$B$2:$J$91,9,FALSE()),""))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IF(DATOS!$A8035="",0,IF(CONFIG_METADATA!$B$4&lt;&gt;"OR+EX",--(DATOS!$G8035=CONFIG_METADATA!$B$4),IF(DATOS!$G8035="EX",1,IF(DATOS!$G8035="OR",--(COUNTIFS(nNIA,DATOS!$A8035,nCURSO,DATOS!$D8035,nESPEC,DATOS!$E8035,nASIG,DATOS!$I8035,nEVAL,"EX")=0),0))))</f>
      </c>
      <c r="H8035">
        <f>IF(DATOS!$G8035&lt;&gt;"EX",0,--(COUNTIFS(nNIA,DATOS!$A8035,nCURSO,DATOS!$D8035,nESPEC,DATOS!$E8035,nASIG,DATOS!$I8035,nEVAL,"OR")=0))</f>
      </c>
      <c r="I8035">
        <f>IF(DATOS!$I8035="","",IFERROR(VLOOKUP(DATOS!$I8035,CONFIG_ASIGNATURAS!$B$2:$J$91,9,FALSE()),""))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IF(DATOS!$A8036="",0,IF(CONFIG_METADATA!$B$4&lt;&gt;"OR+EX",--(DATOS!$G8036=CONFIG_METADATA!$B$4),IF(DATOS!$G8036="EX",1,IF(DATOS!$G8036="OR",--(COUNTIFS(nNIA,DATOS!$A8036,nCURSO,DATOS!$D8036,nESPEC,DATOS!$E8036,nASIG,DATOS!$I8036,nEVAL,"EX")=0),0))))</f>
      </c>
      <c r="H8036">
        <f>IF(DATOS!$G8036&lt;&gt;"EX",0,--(COUNTIFS(nNIA,DATOS!$A8036,nCURSO,DATOS!$D8036,nESPEC,DATOS!$E8036,nASIG,DATOS!$I8036,nEVAL,"OR")=0))</f>
      </c>
      <c r="I8036">
        <f>IF(DATOS!$I8036="","",IFERROR(VLOOKUP(DATOS!$I8036,CONFIG_ASIGNATURAS!$B$2:$J$91,9,FALSE()),""))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IF(DATOS!$A8037="",0,IF(CONFIG_METADATA!$B$4&lt;&gt;"OR+EX",--(DATOS!$G8037=CONFIG_METADATA!$B$4),IF(DATOS!$G8037="EX",1,IF(DATOS!$G8037="OR",--(COUNTIFS(nNIA,DATOS!$A8037,nCURSO,DATOS!$D8037,nESPEC,DATOS!$E8037,nASIG,DATOS!$I8037,nEVAL,"EX")=0),0))))</f>
      </c>
      <c r="H8037">
        <f>IF(DATOS!$G8037&lt;&gt;"EX",0,--(COUNTIFS(nNIA,DATOS!$A8037,nCURSO,DATOS!$D8037,nESPEC,DATOS!$E8037,nASIG,DATOS!$I8037,nEVAL,"OR")=0))</f>
      </c>
      <c r="I8037">
        <f>IF(DATOS!$I8037="","",IFERROR(VLOOKUP(DATOS!$I8037,CONFIG_ASIGNATURAS!$B$2:$J$91,9,FALSE()),""))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IF(DATOS!$A8038="",0,IF(CONFIG_METADATA!$B$4&lt;&gt;"OR+EX",--(DATOS!$G8038=CONFIG_METADATA!$B$4),IF(DATOS!$G8038="EX",1,IF(DATOS!$G8038="OR",--(COUNTIFS(nNIA,DATOS!$A8038,nCURSO,DATOS!$D8038,nESPEC,DATOS!$E8038,nASIG,DATOS!$I8038,nEVAL,"EX")=0),0))))</f>
      </c>
      <c r="H8038">
        <f>IF(DATOS!$G8038&lt;&gt;"EX",0,--(COUNTIFS(nNIA,DATOS!$A8038,nCURSO,DATOS!$D8038,nESPEC,DATOS!$E8038,nASIG,DATOS!$I8038,nEVAL,"OR")=0))</f>
      </c>
      <c r="I8038">
        <f>IF(DATOS!$I8038="","",IFERROR(VLOOKUP(DATOS!$I8038,CONFIG_ASIGNATURAS!$B$2:$J$91,9,FALSE()),""))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IF(DATOS!$A8039="",0,IF(CONFIG_METADATA!$B$4&lt;&gt;"OR+EX",--(DATOS!$G8039=CONFIG_METADATA!$B$4),IF(DATOS!$G8039="EX",1,IF(DATOS!$G8039="OR",--(COUNTIFS(nNIA,DATOS!$A8039,nCURSO,DATOS!$D8039,nESPEC,DATOS!$E8039,nASIG,DATOS!$I8039,nEVAL,"EX")=0),0))))</f>
      </c>
      <c r="H8039">
        <f>IF(DATOS!$G8039&lt;&gt;"EX",0,--(COUNTIFS(nNIA,DATOS!$A8039,nCURSO,DATOS!$D8039,nESPEC,DATOS!$E8039,nASIG,DATOS!$I8039,nEVAL,"OR")=0))</f>
      </c>
      <c r="I8039">
        <f>IF(DATOS!$I8039="","",IFERROR(VLOOKUP(DATOS!$I8039,CONFIG_ASIGNATURAS!$B$2:$J$91,9,FALSE()),""))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IF(DATOS!$A8040="",0,IF(CONFIG_METADATA!$B$4&lt;&gt;"OR+EX",--(DATOS!$G8040=CONFIG_METADATA!$B$4),IF(DATOS!$G8040="EX",1,IF(DATOS!$G8040="OR",--(COUNTIFS(nNIA,DATOS!$A8040,nCURSO,DATOS!$D8040,nESPEC,DATOS!$E8040,nASIG,DATOS!$I8040,nEVAL,"EX")=0),0))))</f>
      </c>
      <c r="H8040">
        <f>IF(DATOS!$G8040&lt;&gt;"EX",0,--(COUNTIFS(nNIA,DATOS!$A8040,nCURSO,DATOS!$D8040,nESPEC,DATOS!$E8040,nASIG,DATOS!$I8040,nEVAL,"OR")=0))</f>
      </c>
      <c r="I8040">
        <f>IF(DATOS!$I8040="","",IFERROR(VLOOKUP(DATOS!$I8040,CONFIG_ASIGNATURAS!$B$2:$J$91,9,FALSE()),""))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IF(DATOS!$A8041="",0,IF(CONFIG_METADATA!$B$4&lt;&gt;"OR+EX",--(DATOS!$G8041=CONFIG_METADATA!$B$4),IF(DATOS!$G8041="EX",1,IF(DATOS!$G8041="OR",--(COUNTIFS(nNIA,DATOS!$A8041,nCURSO,DATOS!$D8041,nESPEC,DATOS!$E8041,nASIG,DATOS!$I8041,nEVAL,"EX")=0),0))))</f>
      </c>
      <c r="H8041">
        <f>IF(DATOS!$G8041&lt;&gt;"EX",0,--(COUNTIFS(nNIA,DATOS!$A8041,nCURSO,DATOS!$D8041,nESPEC,DATOS!$E8041,nASIG,DATOS!$I8041,nEVAL,"OR")=0))</f>
      </c>
      <c r="I8041">
        <f>IF(DATOS!$I8041="","",IFERROR(VLOOKUP(DATOS!$I8041,CONFIG_ASIGNATURAS!$B$2:$J$91,9,FALSE()),""))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IF(DATOS!$A8042="",0,IF(CONFIG_METADATA!$B$4&lt;&gt;"OR+EX",--(DATOS!$G8042=CONFIG_METADATA!$B$4),IF(DATOS!$G8042="EX",1,IF(DATOS!$G8042="OR",--(COUNTIFS(nNIA,DATOS!$A8042,nCURSO,DATOS!$D8042,nESPEC,DATOS!$E8042,nASIG,DATOS!$I8042,nEVAL,"EX")=0),0))))</f>
      </c>
      <c r="H8042">
        <f>IF(DATOS!$G8042&lt;&gt;"EX",0,--(COUNTIFS(nNIA,DATOS!$A8042,nCURSO,DATOS!$D8042,nESPEC,DATOS!$E8042,nASIG,DATOS!$I8042,nEVAL,"OR")=0))</f>
      </c>
      <c r="I8042">
        <f>IF(DATOS!$I8042="","",IFERROR(VLOOKUP(DATOS!$I8042,CONFIG_ASIGNATURAS!$B$2:$J$91,9,FALSE()),""))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IF(DATOS!$A8043="",0,IF(CONFIG_METADATA!$B$4&lt;&gt;"OR+EX",--(DATOS!$G8043=CONFIG_METADATA!$B$4),IF(DATOS!$G8043="EX",1,IF(DATOS!$G8043="OR",--(COUNTIFS(nNIA,DATOS!$A8043,nCURSO,DATOS!$D8043,nESPEC,DATOS!$E8043,nASIG,DATOS!$I8043,nEVAL,"EX")=0),0))))</f>
      </c>
      <c r="H8043">
        <f>IF(DATOS!$G8043&lt;&gt;"EX",0,--(COUNTIFS(nNIA,DATOS!$A8043,nCURSO,DATOS!$D8043,nESPEC,DATOS!$E8043,nASIG,DATOS!$I8043,nEVAL,"OR")=0))</f>
      </c>
      <c r="I8043">
        <f>IF(DATOS!$I8043="","",IFERROR(VLOOKUP(DATOS!$I8043,CONFIG_ASIGNATURAS!$B$2:$J$91,9,FALSE()),""))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IF(DATOS!$A8044="",0,IF(CONFIG_METADATA!$B$4&lt;&gt;"OR+EX",--(DATOS!$G8044=CONFIG_METADATA!$B$4),IF(DATOS!$G8044="EX",1,IF(DATOS!$G8044="OR",--(COUNTIFS(nNIA,DATOS!$A8044,nCURSO,DATOS!$D8044,nESPEC,DATOS!$E8044,nASIG,DATOS!$I8044,nEVAL,"EX")=0),0))))</f>
      </c>
      <c r="H8044">
        <f>IF(DATOS!$G8044&lt;&gt;"EX",0,--(COUNTIFS(nNIA,DATOS!$A8044,nCURSO,DATOS!$D8044,nESPEC,DATOS!$E8044,nASIG,DATOS!$I8044,nEVAL,"OR")=0))</f>
      </c>
      <c r="I8044">
        <f>IF(DATOS!$I8044="","",IFERROR(VLOOKUP(DATOS!$I8044,CONFIG_ASIGNATURAS!$B$2:$J$91,9,FALSE()),""))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IF(DATOS!$A8045="",0,IF(CONFIG_METADATA!$B$4&lt;&gt;"OR+EX",--(DATOS!$G8045=CONFIG_METADATA!$B$4),IF(DATOS!$G8045="EX",1,IF(DATOS!$G8045="OR",--(COUNTIFS(nNIA,DATOS!$A8045,nCURSO,DATOS!$D8045,nESPEC,DATOS!$E8045,nASIG,DATOS!$I8045,nEVAL,"EX")=0),0))))</f>
      </c>
      <c r="H8045">
        <f>IF(DATOS!$G8045&lt;&gt;"EX",0,--(COUNTIFS(nNIA,DATOS!$A8045,nCURSO,DATOS!$D8045,nESPEC,DATOS!$E8045,nASIG,DATOS!$I8045,nEVAL,"OR")=0))</f>
      </c>
      <c r="I8045">
        <f>IF(DATOS!$I8045="","",IFERROR(VLOOKUP(DATOS!$I8045,CONFIG_ASIGNATURAS!$B$2:$J$91,9,FALSE()),""))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IF(DATOS!$A8046="",0,IF(CONFIG_METADATA!$B$4&lt;&gt;"OR+EX",--(DATOS!$G8046=CONFIG_METADATA!$B$4),IF(DATOS!$G8046="EX",1,IF(DATOS!$G8046="OR",--(COUNTIFS(nNIA,DATOS!$A8046,nCURSO,DATOS!$D8046,nESPEC,DATOS!$E8046,nASIG,DATOS!$I8046,nEVAL,"EX")=0),0))))</f>
      </c>
      <c r="H8046">
        <f>IF(DATOS!$G8046&lt;&gt;"EX",0,--(COUNTIFS(nNIA,DATOS!$A8046,nCURSO,DATOS!$D8046,nESPEC,DATOS!$E8046,nASIG,DATOS!$I8046,nEVAL,"OR")=0))</f>
      </c>
      <c r="I8046">
        <f>IF(DATOS!$I8046="","",IFERROR(VLOOKUP(DATOS!$I8046,CONFIG_ASIGNATURAS!$B$2:$J$91,9,FALSE()),""))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IF(DATOS!$A8047="",0,IF(CONFIG_METADATA!$B$4&lt;&gt;"OR+EX",--(DATOS!$G8047=CONFIG_METADATA!$B$4),IF(DATOS!$G8047="EX",1,IF(DATOS!$G8047="OR",--(COUNTIFS(nNIA,DATOS!$A8047,nCURSO,DATOS!$D8047,nESPEC,DATOS!$E8047,nASIG,DATOS!$I8047,nEVAL,"EX")=0),0))))</f>
      </c>
      <c r="H8047">
        <f>IF(DATOS!$G8047&lt;&gt;"EX",0,--(COUNTIFS(nNIA,DATOS!$A8047,nCURSO,DATOS!$D8047,nESPEC,DATOS!$E8047,nASIG,DATOS!$I8047,nEVAL,"OR")=0))</f>
      </c>
      <c r="I8047">
        <f>IF(DATOS!$I8047="","",IFERROR(VLOOKUP(DATOS!$I8047,CONFIG_ASIGNATURAS!$B$2:$J$91,9,FALSE()),""))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IF(DATOS!$A8048="",0,IF(CONFIG_METADATA!$B$4&lt;&gt;"OR+EX",--(DATOS!$G8048=CONFIG_METADATA!$B$4),IF(DATOS!$G8048="EX",1,IF(DATOS!$G8048="OR",--(COUNTIFS(nNIA,DATOS!$A8048,nCURSO,DATOS!$D8048,nESPEC,DATOS!$E8048,nASIG,DATOS!$I8048,nEVAL,"EX")=0),0))))</f>
      </c>
      <c r="H8048">
        <f>IF(DATOS!$G8048&lt;&gt;"EX",0,--(COUNTIFS(nNIA,DATOS!$A8048,nCURSO,DATOS!$D8048,nESPEC,DATOS!$E8048,nASIG,DATOS!$I8048,nEVAL,"OR")=0))</f>
      </c>
      <c r="I8048">
        <f>IF(DATOS!$I8048="","",IFERROR(VLOOKUP(DATOS!$I8048,CONFIG_ASIGNATURAS!$B$2:$J$91,9,FALSE()),""))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IF(DATOS!$A8049="",0,IF(CONFIG_METADATA!$B$4&lt;&gt;"OR+EX",--(DATOS!$G8049=CONFIG_METADATA!$B$4),IF(DATOS!$G8049="EX",1,IF(DATOS!$G8049="OR",--(COUNTIFS(nNIA,DATOS!$A8049,nCURSO,DATOS!$D8049,nESPEC,DATOS!$E8049,nASIG,DATOS!$I8049,nEVAL,"EX")=0),0))))</f>
      </c>
      <c r="H8049">
        <f>IF(DATOS!$G8049&lt;&gt;"EX",0,--(COUNTIFS(nNIA,DATOS!$A8049,nCURSO,DATOS!$D8049,nESPEC,DATOS!$E8049,nASIG,DATOS!$I8049,nEVAL,"OR")=0))</f>
      </c>
      <c r="I8049">
        <f>IF(DATOS!$I8049="","",IFERROR(VLOOKUP(DATOS!$I8049,CONFIG_ASIGNATURAS!$B$2:$J$91,9,FALSE()),""))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IF(DATOS!$A8050="",0,IF(CONFIG_METADATA!$B$4&lt;&gt;"OR+EX",--(DATOS!$G8050=CONFIG_METADATA!$B$4),IF(DATOS!$G8050="EX",1,IF(DATOS!$G8050="OR",--(COUNTIFS(nNIA,DATOS!$A8050,nCURSO,DATOS!$D8050,nESPEC,DATOS!$E8050,nASIG,DATOS!$I8050,nEVAL,"EX")=0),0))))</f>
      </c>
      <c r="H8050">
        <f>IF(DATOS!$G8050&lt;&gt;"EX",0,--(COUNTIFS(nNIA,DATOS!$A8050,nCURSO,DATOS!$D8050,nESPEC,DATOS!$E8050,nASIG,DATOS!$I8050,nEVAL,"OR")=0))</f>
      </c>
      <c r="I8050">
        <f>IF(DATOS!$I8050="","",IFERROR(VLOOKUP(DATOS!$I8050,CONFIG_ASIGNATURAS!$B$2:$J$91,9,FALSE()),""))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IF(DATOS!$A8051="",0,IF(CONFIG_METADATA!$B$4&lt;&gt;"OR+EX",--(DATOS!$G8051=CONFIG_METADATA!$B$4),IF(DATOS!$G8051="EX",1,IF(DATOS!$G8051="OR",--(COUNTIFS(nNIA,DATOS!$A8051,nCURSO,DATOS!$D8051,nESPEC,DATOS!$E8051,nASIG,DATOS!$I8051,nEVAL,"EX")=0),0))))</f>
      </c>
      <c r="H8051">
        <f>IF(DATOS!$G8051&lt;&gt;"EX",0,--(COUNTIFS(nNIA,DATOS!$A8051,nCURSO,DATOS!$D8051,nESPEC,DATOS!$E8051,nASIG,DATOS!$I8051,nEVAL,"OR")=0))</f>
      </c>
      <c r="I8051">
        <f>IF(DATOS!$I8051="","",IFERROR(VLOOKUP(DATOS!$I8051,CONFIG_ASIGNATURAS!$B$2:$J$91,9,FALSE()),""))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IF(DATOS!$A8052="",0,IF(CONFIG_METADATA!$B$4&lt;&gt;"OR+EX",--(DATOS!$G8052=CONFIG_METADATA!$B$4),IF(DATOS!$G8052="EX",1,IF(DATOS!$G8052="OR",--(COUNTIFS(nNIA,DATOS!$A8052,nCURSO,DATOS!$D8052,nESPEC,DATOS!$E8052,nASIG,DATOS!$I8052,nEVAL,"EX")=0),0))))</f>
      </c>
      <c r="H8052">
        <f>IF(DATOS!$G8052&lt;&gt;"EX",0,--(COUNTIFS(nNIA,DATOS!$A8052,nCURSO,DATOS!$D8052,nESPEC,DATOS!$E8052,nASIG,DATOS!$I8052,nEVAL,"OR")=0))</f>
      </c>
      <c r="I8052">
        <f>IF(DATOS!$I8052="","",IFERROR(VLOOKUP(DATOS!$I8052,CONFIG_ASIGNATURAS!$B$2:$J$91,9,FALSE()),""))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IF(DATOS!$A8053="",0,IF(CONFIG_METADATA!$B$4&lt;&gt;"OR+EX",--(DATOS!$G8053=CONFIG_METADATA!$B$4),IF(DATOS!$G8053="EX",1,IF(DATOS!$G8053="OR",--(COUNTIFS(nNIA,DATOS!$A8053,nCURSO,DATOS!$D8053,nESPEC,DATOS!$E8053,nASIG,DATOS!$I8053,nEVAL,"EX")=0),0))))</f>
      </c>
      <c r="H8053">
        <f>IF(DATOS!$G8053&lt;&gt;"EX",0,--(COUNTIFS(nNIA,DATOS!$A8053,nCURSO,DATOS!$D8053,nESPEC,DATOS!$E8053,nASIG,DATOS!$I8053,nEVAL,"OR")=0))</f>
      </c>
      <c r="I8053">
        <f>IF(DATOS!$I8053="","",IFERROR(VLOOKUP(DATOS!$I8053,CONFIG_ASIGNATURAS!$B$2:$J$91,9,FALSE()),""))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IF(DATOS!$A8054="",0,IF(CONFIG_METADATA!$B$4&lt;&gt;"OR+EX",--(DATOS!$G8054=CONFIG_METADATA!$B$4),IF(DATOS!$G8054="EX",1,IF(DATOS!$G8054="OR",--(COUNTIFS(nNIA,DATOS!$A8054,nCURSO,DATOS!$D8054,nESPEC,DATOS!$E8054,nASIG,DATOS!$I8054,nEVAL,"EX")=0),0))))</f>
      </c>
      <c r="H8054">
        <f>IF(DATOS!$G8054&lt;&gt;"EX",0,--(COUNTIFS(nNIA,DATOS!$A8054,nCURSO,DATOS!$D8054,nESPEC,DATOS!$E8054,nASIG,DATOS!$I8054,nEVAL,"OR")=0))</f>
      </c>
      <c r="I8054">
        <f>IF(DATOS!$I8054="","",IFERROR(VLOOKUP(DATOS!$I8054,CONFIG_ASIGNATURAS!$B$2:$J$91,9,FALSE()),""))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IF(DATOS!$A8055="",0,IF(CONFIG_METADATA!$B$4&lt;&gt;"OR+EX",--(DATOS!$G8055=CONFIG_METADATA!$B$4),IF(DATOS!$G8055="EX",1,IF(DATOS!$G8055="OR",--(COUNTIFS(nNIA,DATOS!$A8055,nCURSO,DATOS!$D8055,nESPEC,DATOS!$E8055,nASIG,DATOS!$I8055,nEVAL,"EX")=0),0))))</f>
      </c>
      <c r="H8055">
        <f>IF(DATOS!$G8055&lt;&gt;"EX",0,--(COUNTIFS(nNIA,DATOS!$A8055,nCURSO,DATOS!$D8055,nESPEC,DATOS!$E8055,nASIG,DATOS!$I8055,nEVAL,"OR")=0))</f>
      </c>
      <c r="I8055">
        <f>IF(DATOS!$I8055="","",IFERROR(VLOOKUP(DATOS!$I8055,CONFIG_ASIGNATURAS!$B$2:$J$91,9,FALSE()),""))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IF(DATOS!$A8056="",0,IF(CONFIG_METADATA!$B$4&lt;&gt;"OR+EX",--(DATOS!$G8056=CONFIG_METADATA!$B$4),IF(DATOS!$G8056="EX",1,IF(DATOS!$G8056="OR",--(COUNTIFS(nNIA,DATOS!$A8056,nCURSO,DATOS!$D8056,nESPEC,DATOS!$E8056,nASIG,DATOS!$I8056,nEVAL,"EX")=0),0))))</f>
      </c>
      <c r="H8056">
        <f>IF(DATOS!$G8056&lt;&gt;"EX",0,--(COUNTIFS(nNIA,DATOS!$A8056,nCURSO,DATOS!$D8056,nESPEC,DATOS!$E8056,nASIG,DATOS!$I8056,nEVAL,"OR")=0))</f>
      </c>
      <c r="I8056">
        <f>IF(DATOS!$I8056="","",IFERROR(VLOOKUP(DATOS!$I8056,CONFIG_ASIGNATURAS!$B$2:$J$91,9,FALSE()),""))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IF(DATOS!$A8057="",0,IF(CONFIG_METADATA!$B$4&lt;&gt;"OR+EX",--(DATOS!$G8057=CONFIG_METADATA!$B$4),IF(DATOS!$G8057="EX",1,IF(DATOS!$G8057="OR",--(COUNTIFS(nNIA,DATOS!$A8057,nCURSO,DATOS!$D8057,nESPEC,DATOS!$E8057,nASIG,DATOS!$I8057,nEVAL,"EX")=0),0))))</f>
      </c>
      <c r="H8057">
        <f>IF(DATOS!$G8057&lt;&gt;"EX",0,--(COUNTIFS(nNIA,DATOS!$A8057,nCURSO,DATOS!$D8057,nESPEC,DATOS!$E8057,nASIG,DATOS!$I8057,nEVAL,"OR")=0))</f>
      </c>
      <c r="I8057">
        <f>IF(DATOS!$I8057="","",IFERROR(VLOOKUP(DATOS!$I8057,CONFIG_ASIGNATURAS!$B$2:$J$91,9,FALSE()),""))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IF(DATOS!$A8058="",0,IF(CONFIG_METADATA!$B$4&lt;&gt;"OR+EX",--(DATOS!$G8058=CONFIG_METADATA!$B$4),IF(DATOS!$G8058="EX",1,IF(DATOS!$G8058="OR",--(COUNTIFS(nNIA,DATOS!$A8058,nCURSO,DATOS!$D8058,nESPEC,DATOS!$E8058,nASIG,DATOS!$I8058,nEVAL,"EX")=0),0))))</f>
      </c>
      <c r="H8058">
        <f>IF(DATOS!$G8058&lt;&gt;"EX",0,--(COUNTIFS(nNIA,DATOS!$A8058,nCURSO,DATOS!$D8058,nESPEC,DATOS!$E8058,nASIG,DATOS!$I8058,nEVAL,"OR")=0))</f>
      </c>
      <c r="I8058">
        <f>IF(DATOS!$I8058="","",IFERROR(VLOOKUP(DATOS!$I8058,CONFIG_ASIGNATURAS!$B$2:$J$91,9,FALSE()),""))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IF(DATOS!$A8059="",0,IF(CONFIG_METADATA!$B$4&lt;&gt;"OR+EX",--(DATOS!$G8059=CONFIG_METADATA!$B$4),IF(DATOS!$G8059="EX",1,IF(DATOS!$G8059="OR",--(COUNTIFS(nNIA,DATOS!$A8059,nCURSO,DATOS!$D8059,nESPEC,DATOS!$E8059,nASIG,DATOS!$I8059,nEVAL,"EX")=0),0))))</f>
      </c>
      <c r="H8059">
        <f>IF(DATOS!$G8059&lt;&gt;"EX",0,--(COUNTIFS(nNIA,DATOS!$A8059,nCURSO,DATOS!$D8059,nESPEC,DATOS!$E8059,nASIG,DATOS!$I8059,nEVAL,"OR")=0))</f>
      </c>
      <c r="I8059">
        <f>IF(DATOS!$I8059="","",IFERROR(VLOOKUP(DATOS!$I8059,CONFIG_ASIGNATURAS!$B$2:$J$91,9,FALSE()),""))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IF(DATOS!$A8060="",0,IF(CONFIG_METADATA!$B$4&lt;&gt;"OR+EX",--(DATOS!$G8060=CONFIG_METADATA!$B$4),IF(DATOS!$G8060="EX",1,IF(DATOS!$G8060="OR",--(COUNTIFS(nNIA,DATOS!$A8060,nCURSO,DATOS!$D8060,nESPEC,DATOS!$E8060,nASIG,DATOS!$I8060,nEVAL,"EX")=0),0))))</f>
      </c>
      <c r="H8060">
        <f>IF(DATOS!$G8060&lt;&gt;"EX",0,--(COUNTIFS(nNIA,DATOS!$A8060,nCURSO,DATOS!$D8060,nESPEC,DATOS!$E8060,nASIG,DATOS!$I8060,nEVAL,"OR")=0))</f>
      </c>
      <c r="I8060">
        <f>IF(DATOS!$I8060="","",IFERROR(VLOOKUP(DATOS!$I8060,CONFIG_ASIGNATURAS!$B$2:$J$91,9,FALSE()),""))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IF(DATOS!$A8061="",0,IF(CONFIG_METADATA!$B$4&lt;&gt;"OR+EX",--(DATOS!$G8061=CONFIG_METADATA!$B$4),IF(DATOS!$G8061="EX",1,IF(DATOS!$G8061="OR",--(COUNTIFS(nNIA,DATOS!$A8061,nCURSO,DATOS!$D8061,nESPEC,DATOS!$E8061,nASIG,DATOS!$I8061,nEVAL,"EX")=0),0))))</f>
      </c>
      <c r="H8061">
        <f>IF(DATOS!$G8061&lt;&gt;"EX",0,--(COUNTIFS(nNIA,DATOS!$A8061,nCURSO,DATOS!$D8061,nESPEC,DATOS!$E8061,nASIG,DATOS!$I8061,nEVAL,"OR")=0))</f>
      </c>
      <c r="I8061">
        <f>IF(DATOS!$I8061="","",IFERROR(VLOOKUP(DATOS!$I8061,CONFIG_ASIGNATURAS!$B$2:$J$91,9,FALSE()),""))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IF(DATOS!$A8062="",0,IF(CONFIG_METADATA!$B$4&lt;&gt;"OR+EX",--(DATOS!$G8062=CONFIG_METADATA!$B$4),IF(DATOS!$G8062="EX",1,IF(DATOS!$G8062="OR",--(COUNTIFS(nNIA,DATOS!$A8062,nCURSO,DATOS!$D8062,nESPEC,DATOS!$E8062,nASIG,DATOS!$I8062,nEVAL,"EX")=0),0))))</f>
      </c>
      <c r="H8062">
        <f>IF(DATOS!$G8062&lt;&gt;"EX",0,--(COUNTIFS(nNIA,DATOS!$A8062,nCURSO,DATOS!$D8062,nESPEC,DATOS!$E8062,nASIG,DATOS!$I8062,nEVAL,"OR")=0))</f>
      </c>
      <c r="I8062">
        <f>IF(DATOS!$I8062="","",IFERROR(VLOOKUP(DATOS!$I8062,CONFIG_ASIGNATURAS!$B$2:$J$91,9,FALSE()),""))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IF(DATOS!$A8063="",0,IF(CONFIG_METADATA!$B$4&lt;&gt;"OR+EX",--(DATOS!$G8063=CONFIG_METADATA!$B$4),IF(DATOS!$G8063="EX",1,IF(DATOS!$G8063="OR",--(COUNTIFS(nNIA,DATOS!$A8063,nCURSO,DATOS!$D8063,nESPEC,DATOS!$E8063,nASIG,DATOS!$I8063,nEVAL,"EX")=0),0))))</f>
      </c>
      <c r="H8063">
        <f>IF(DATOS!$G8063&lt;&gt;"EX",0,--(COUNTIFS(nNIA,DATOS!$A8063,nCURSO,DATOS!$D8063,nESPEC,DATOS!$E8063,nASIG,DATOS!$I8063,nEVAL,"OR")=0))</f>
      </c>
      <c r="I8063">
        <f>IF(DATOS!$I8063="","",IFERROR(VLOOKUP(DATOS!$I8063,CONFIG_ASIGNATURAS!$B$2:$J$91,9,FALSE()),""))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IF(DATOS!$A8064="",0,IF(CONFIG_METADATA!$B$4&lt;&gt;"OR+EX",--(DATOS!$G8064=CONFIG_METADATA!$B$4),IF(DATOS!$G8064="EX",1,IF(DATOS!$G8064="OR",--(COUNTIFS(nNIA,DATOS!$A8064,nCURSO,DATOS!$D8064,nESPEC,DATOS!$E8064,nASIG,DATOS!$I8064,nEVAL,"EX")=0),0))))</f>
      </c>
      <c r="H8064">
        <f>IF(DATOS!$G8064&lt;&gt;"EX",0,--(COUNTIFS(nNIA,DATOS!$A8064,nCURSO,DATOS!$D8064,nESPEC,DATOS!$E8064,nASIG,DATOS!$I8064,nEVAL,"OR")=0))</f>
      </c>
      <c r="I8064">
        <f>IF(DATOS!$I8064="","",IFERROR(VLOOKUP(DATOS!$I8064,CONFIG_ASIGNATURAS!$B$2:$J$91,9,FALSE()),""))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IF(DATOS!$A8065="",0,IF(CONFIG_METADATA!$B$4&lt;&gt;"OR+EX",--(DATOS!$G8065=CONFIG_METADATA!$B$4),IF(DATOS!$G8065="EX",1,IF(DATOS!$G8065="OR",--(COUNTIFS(nNIA,DATOS!$A8065,nCURSO,DATOS!$D8065,nESPEC,DATOS!$E8065,nASIG,DATOS!$I8065,nEVAL,"EX")=0),0))))</f>
      </c>
      <c r="H8065">
        <f>IF(DATOS!$G8065&lt;&gt;"EX",0,--(COUNTIFS(nNIA,DATOS!$A8065,nCURSO,DATOS!$D8065,nESPEC,DATOS!$E8065,nASIG,DATOS!$I8065,nEVAL,"OR")=0))</f>
      </c>
      <c r="I8065">
        <f>IF(DATOS!$I8065="","",IFERROR(VLOOKUP(DATOS!$I8065,CONFIG_ASIGNATURAS!$B$2:$J$91,9,FALSE()),""))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IF(DATOS!$A8066="",0,IF(CONFIG_METADATA!$B$4&lt;&gt;"OR+EX",--(DATOS!$G8066=CONFIG_METADATA!$B$4),IF(DATOS!$G8066="EX",1,IF(DATOS!$G8066="OR",--(COUNTIFS(nNIA,DATOS!$A8066,nCURSO,DATOS!$D8066,nESPEC,DATOS!$E8066,nASIG,DATOS!$I8066,nEVAL,"EX")=0),0))))</f>
      </c>
      <c r="H8066">
        <f>IF(DATOS!$G8066&lt;&gt;"EX",0,--(COUNTIFS(nNIA,DATOS!$A8066,nCURSO,DATOS!$D8066,nESPEC,DATOS!$E8066,nASIG,DATOS!$I8066,nEVAL,"OR")=0))</f>
      </c>
      <c r="I8066">
        <f>IF(DATOS!$I8066="","",IFERROR(VLOOKUP(DATOS!$I8066,CONFIG_ASIGNATURAS!$B$2:$J$91,9,FALSE()),""))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IF(DATOS!$A8067="",0,IF(CONFIG_METADATA!$B$4&lt;&gt;"OR+EX",--(DATOS!$G8067=CONFIG_METADATA!$B$4),IF(DATOS!$G8067="EX",1,IF(DATOS!$G8067="OR",--(COUNTIFS(nNIA,DATOS!$A8067,nCURSO,DATOS!$D8067,nESPEC,DATOS!$E8067,nASIG,DATOS!$I8067,nEVAL,"EX")=0),0))))</f>
      </c>
      <c r="H8067">
        <f>IF(DATOS!$G8067&lt;&gt;"EX",0,--(COUNTIFS(nNIA,DATOS!$A8067,nCURSO,DATOS!$D8067,nESPEC,DATOS!$E8067,nASIG,DATOS!$I8067,nEVAL,"OR")=0))</f>
      </c>
      <c r="I8067">
        <f>IF(DATOS!$I8067="","",IFERROR(VLOOKUP(DATOS!$I8067,CONFIG_ASIGNATURAS!$B$2:$J$91,9,FALSE()),""))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IF(DATOS!$A8068="",0,IF(CONFIG_METADATA!$B$4&lt;&gt;"OR+EX",--(DATOS!$G8068=CONFIG_METADATA!$B$4),IF(DATOS!$G8068="EX",1,IF(DATOS!$G8068="OR",--(COUNTIFS(nNIA,DATOS!$A8068,nCURSO,DATOS!$D8068,nESPEC,DATOS!$E8068,nASIG,DATOS!$I8068,nEVAL,"EX")=0),0))))</f>
      </c>
      <c r="H8068">
        <f>IF(DATOS!$G8068&lt;&gt;"EX",0,--(COUNTIFS(nNIA,DATOS!$A8068,nCURSO,DATOS!$D8068,nESPEC,DATOS!$E8068,nASIG,DATOS!$I8068,nEVAL,"OR")=0))</f>
      </c>
      <c r="I8068">
        <f>IF(DATOS!$I8068="","",IFERROR(VLOOKUP(DATOS!$I8068,CONFIG_ASIGNATURAS!$B$2:$J$91,9,FALSE()),""))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IF(DATOS!$A8069="",0,IF(CONFIG_METADATA!$B$4&lt;&gt;"OR+EX",--(DATOS!$G8069=CONFIG_METADATA!$B$4),IF(DATOS!$G8069="EX",1,IF(DATOS!$G8069="OR",--(COUNTIFS(nNIA,DATOS!$A8069,nCURSO,DATOS!$D8069,nESPEC,DATOS!$E8069,nASIG,DATOS!$I8069,nEVAL,"EX")=0),0))))</f>
      </c>
      <c r="H8069">
        <f>IF(DATOS!$G8069&lt;&gt;"EX",0,--(COUNTIFS(nNIA,DATOS!$A8069,nCURSO,DATOS!$D8069,nESPEC,DATOS!$E8069,nASIG,DATOS!$I8069,nEVAL,"OR")=0))</f>
      </c>
      <c r="I8069">
        <f>IF(DATOS!$I8069="","",IFERROR(VLOOKUP(DATOS!$I8069,CONFIG_ASIGNATURAS!$B$2:$J$91,9,FALSE()),""))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IF(DATOS!$A8070="",0,IF(CONFIG_METADATA!$B$4&lt;&gt;"OR+EX",--(DATOS!$G8070=CONFIG_METADATA!$B$4),IF(DATOS!$G8070="EX",1,IF(DATOS!$G8070="OR",--(COUNTIFS(nNIA,DATOS!$A8070,nCURSO,DATOS!$D8070,nESPEC,DATOS!$E8070,nASIG,DATOS!$I8070,nEVAL,"EX")=0),0))))</f>
      </c>
      <c r="H8070">
        <f>IF(DATOS!$G8070&lt;&gt;"EX",0,--(COUNTIFS(nNIA,DATOS!$A8070,nCURSO,DATOS!$D8070,nESPEC,DATOS!$E8070,nASIG,DATOS!$I8070,nEVAL,"OR")=0))</f>
      </c>
      <c r="I8070">
        <f>IF(DATOS!$I8070="","",IFERROR(VLOOKUP(DATOS!$I8070,CONFIG_ASIGNATURAS!$B$2:$J$91,9,FALSE()),""))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IF(DATOS!$A8071="",0,IF(CONFIG_METADATA!$B$4&lt;&gt;"OR+EX",--(DATOS!$G8071=CONFIG_METADATA!$B$4),IF(DATOS!$G8071="EX",1,IF(DATOS!$G8071="OR",--(COUNTIFS(nNIA,DATOS!$A8071,nCURSO,DATOS!$D8071,nESPEC,DATOS!$E8071,nASIG,DATOS!$I8071,nEVAL,"EX")=0),0))))</f>
      </c>
      <c r="H8071">
        <f>IF(DATOS!$G8071&lt;&gt;"EX",0,--(COUNTIFS(nNIA,DATOS!$A8071,nCURSO,DATOS!$D8071,nESPEC,DATOS!$E8071,nASIG,DATOS!$I8071,nEVAL,"OR")=0))</f>
      </c>
      <c r="I8071">
        <f>IF(DATOS!$I8071="","",IFERROR(VLOOKUP(DATOS!$I8071,CONFIG_ASIGNATURAS!$B$2:$J$91,9,FALSE()),""))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IF(DATOS!$A8072="",0,IF(CONFIG_METADATA!$B$4&lt;&gt;"OR+EX",--(DATOS!$G8072=CONFIG_METADATA!$B$4),IF(DATOS!$G8072="EX",1,IF(DATOS!$G8072="OR",--(COUNTIFS(nNIA,DATOS!$A8072,nCURSO,DATOS!$D8072,nESPEC,DATOS!$E8072,nASIG,DATOS!$I8072,nEVAL,"EX")=0),0))))</f>
      </c>
      <c r="H8072">
        <f>IF(DATOS!$G8072&lt;&gt;"EX",0,--(COUNTIFS(nNIA,DATOS!$A8072,nCURSO,DATOS!$D8072,nESPEC,DATOS!$E8072,nASIG,DATOS!$I8072,nEVAL,"OR")=0))</f>
      </c>
      <c r="I8072">
        <f>IF(DATOS!$I8072="","",IFERROR(VLOOKUP(DATOS!$I8072,CONFIG_ASIGNATURAS!$B$2:$J$91,9,FALSE()),""))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IF(DATOS!$A8073="",0,IF(CONFIG_METADATA!$B$4&lt;&gt;"OR+EX",--(DATOS!$G8073=CONFIG_METADATA!$B$4),IF(DATOS!$G8073="EX",1,IF(DATOS!$G8073="OR",--(COUNTIFS(nNIA,DATOS!$A8073,nCURSO,DATOS!$D8073,nESPEC,DATOS!$E8073,nASIG,DATOS!$I8073,nEVAL,"EX")=0),0))))</f>
      </c>
      <c r="H8073">
        <f>IF(DATOS!$G8073&lt;&gt;"EX",0,--(COUNTIFS(nNIA,DATOS!$A8073,nCURSO,DATOS!$D8073,nESPEC,DATOS!$E8073,nASIG,DATOS!$I8073,nEVAL,"OR")=0))</f>
      </c>
      <c r="I8073">
        <f>IF(DATOS!$I8073="","",IFERROR(VLOOKUP(DATOS!$I8073,CONFIG_ASIGNATURAS!$B$2:$J$91,9,FALSE()),""))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IF(DATOS!$A8074="",0,IF(CONFIG_METADATA!$B$4&lt;&gt;"OR+EX",--(DATOS!$G8074=CONFIG_METADATA!$B$4),IF(DATOS!$G8074="EX",1,IF(DATOS!$G8074="OR",--(COUNTIFS(nNIA,DATOS!$A8074,nCURSO,DATOS!$D8074,nESPEC,DATOS!$E8074,nASIG,DATOS!$I8074,nEVAL,"EX")=0),0))))</f>
      </c>
      <c r="H8074">
        <f>IF(DATOS!$G8074&lt;&gt;"EX",0,--(COUNTIFS(nNIA,DATOS!$A8074,nCURSO,DATOS!$D8074,nESPEC,DATOS!$E8074,nASIG,DATOS!$I8074,nEVAL,"OR")=0))</f>
      </c>
      <c r="I8074">
        <f>IF(DATOS!$I8074="","",IFERROR(VLOOKUP(DATOS!$I8074,CONFIG_ASIGNATURAS!$B$2:$J$91,9,FALSE()),""))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IF(DATOS!$A8075="",0,IF(CONFIG_METADATA!$B$4&lt;&gt;"OR+EX",--(DATOS!$G8075=CONFIG_METADATA!$B$4),IF(DATOS!$G8075="EX",1,IF(DATOS!$G8075="OR",--(COUNTIFS(nNIA,DATOS!$A8075,nCURSO,DATOS!$D8075,nESPEC,DATOS!$E8075,nASIG,DATOS!$I8075,nEVAL,"EX")=0),0))))</f>
      </c>
      <c r="H8075">
        <f>IF(DATOS!$G8075&lt;&gt;"EX",0,--(COUNTIFS(nNIA,DATOS!$A8075,nCURSO,DATOS!$D8075,nESPEC,DATOS!$E8075,nASIG,DATOS!$I8075,nEVAL,"OR")=0))</f>
      </c>
      <c r="I8075">
        <f>IF(DATOS!$I8075="","",IFERROR(VLOOKUP(DATOS!$I8075,CONFIG_ASIGNATURAS!$B$2:$J$91,9,FALSE()),""))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IF(DATOS!$A8076="",0,IF(CONFIG_METADATA!$B$4&lt;&gt;"OR+EX",--(DATOS!$G8076=CONFIG_METADATA!$B$4),IF(DATOS!$G8076="EX",1,IF(DATOS!$G8076="OR",--(COUNTIFS(nNIA,DATOS!$A8076,nCURSO,DATOS!$D8076,nESPEC,DATOS!$E8076,nASIG,DATOS!$I8076,nEVAL,"EX")=0),0))))</f>
      </c>
      <c r="H8076">
        <f>IF(DATOS!$G8076&lt;&gt;"EX",0,--(COUNTIFS(nNIA,DATOS!$A8076,nCURSO,DATOS!$D8076,nESPEC,DATOS!$E8076,nASIG,DATOS!$I8076,nEVAL,"OR")=0))</f>
      </c>
      <c r="I8076">
        <f>IF(DATOS!$I8076="","",IFERROR(VLOOKUP(DATOS!$I8076,CONFIG_ASIGNATURAS!$B$2:$J$91,9,FALSE()),""))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IF(DATOS!$A8077="",0,IF(CONFIG_METADATA!$B$4&lt;&gt;"OR+EX",--(DATOS!$G8077=CONFIG_METADATA!$B$4),IF(DATOS!$G8077="EX",1,IF(DATOS!$G8077="OR",--(COUNTIFS(nNIA,DATOS!$A8077,nCURSO,DATOS!$D8077,nESPEC,DATOS!$E8077,nASIG,DATOS!$I8077,nEVAL,"EX")=0),0))))</f>
      </c>
      <c r="H8077">
        <f>IF(DATOS!$G8077&lt;&gt;"EX",0,--(COUNTIFS(nNIA,DATOS!$A8077,nCURSO,DATOS!$D8077,nESPEC,DATOS!$E8077,nASIG,DATOS!$I8077,nEVAL,"OR")=0))</f>
      </c>
      <c r="I8077">
        <f>IF(DATOS!$I8077="","",IFERROR(VLOOKUP(DATOS!$I8077,CONFIG_ASIGNATURAS!$B$2:$J$91,9,FALSE()),""))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IF(DATOS!$A8078="",0,IF(CONFIG_METADATA!$B$4&lt;&gt;"OR+EX",--(DATOS!$G8078=CONFIG_METADATA!$B$4),IF(DATOS!$G8078="EX",1,IF(DATOS!$G8078="OR",--(COUNTIFS(nNIA,DATOS!$A8078,nCURSO,DATOS!$D8078,nESPEC,DATOS!$E8078,nASIG,DATOS!$I8078,nEVAL,"EX")=0),0))))</f>
      </c>
      <c r="H8078">
        <f>IF(DATOS!$G8078&lt;&gt;"EX",0,--(COUNTIFS(nNIA,DATOS!$A8078,nCURSO,DATOS!$D8078,nESPEC,DATOS!$E8078,nASIG,DATOS!$I8078,nEVAL,"OR")=0))</f>
      </c>
      <c r="I8078">
        <f>IF(DATOS!$I8078="","",IFERROR(VLOOKUP(DATOS!$I8078,CONFIG_ASIGNATURAS!$B$2:$J$91,9,FALSE()),""))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IF(DATOS!$A8079="",0,IF(CONFIG_METADATA!$B$4&lt;&gt;"OR+EX",--(DATOS!$G8079=CONFIG_METADATA!$B$4),IF(DATOS!$G8079="EX",1,IF(DATOS!$G8079="OR",--(COUNTIFS(nNIA,DATOS!$A8079,nCURSO,DATOS!$D8079,nESPEC,DATOS!$E8079,nASIG,DATOS!$I8079,nEVAL,"EX")=0),0))))</f>
      </c>
      <c r="H8079">
        <f>IF(DATOS!$G8079&lt;&gt;"EX",0,--(COUNTIFS(nNIA,DATOS!$A8079,nCURSO,DATOS!$D8079,nESPEC,DATOS!$E8079,nASIG,DATOS!$I8079,nEVAL,"OR")=0))</f>
      </c>
      <c r="I8079">
        <f>IF(DATOS!$I8079="","",IFERROR(VLOOKUP(DATOS!$I8079,CONFIG_ASIGNATURAS!$B$2:$J$91,9,FALSE()),""))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IF(DATOS!$A8080="",0,IF(CONFIG_METADATA!$B$4&lt;&gt;"OR+EX",--(DATOS!$G8080=CONFIG_METADATA!$B$4),IF(DATOS!$G8080="EX",1,IF(DATOS!$G8080="OR",--(COUNTIFS(nNIA,DATOS!$A8080,nCURSO,DATOS!$D8080,nESPEC,DATOS!$E8080,nASIG,DATOS!$I8080,nEVAL,"EX")=0),0))))</f>
      </c>
      <c r="H8080">
        <f>IF(DATOS!$G8080&lt;&gt;"EX",0,--(COUNTIFS(nNIA,DATOS!$A8080,nCURSO,DATOS!$D8080,nESPEC,DATOS!$E8080,nASIG,DATOS!$I8080,nEVAL,"OR")=0))</f>
      </c>
      <c r="I8080">
        <f>IF(DATOS!$I8080="","",IFERROR(VLOOKUP(DATOS!$I8080,CONFIG_ASIGNATURAS!$B$2:$J$91,9,FALSE()),""))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IF(DATOS!$A8081="",0,IF(CONFIG_METADATA!$B$4&lt;&gt;"OR+EX",--(DATOS!$G8081=CONFIG_METADATA!$B$4),IF(DATOS!$G8081="EX",1,IF(DATOS!$G8081="OR",--(COUNTIFS(nNIA,DATOS!$A8081,nCURSO,DATOS!$D8081,nESPEC,DATOS!$E8081,nASIG,DATOS!$I8081,nEVAL,"EX")=0),0))))</f>
      </c>
      <c r="H8081">
        <f>IF(DATOS!$G8081&lt;&gt;"EX",0,--(COUNTIFS(nNIA,DATOS!$A8081,nCURSO,DATOS!$D8081,nESPEC,DATOS!$E8081,nASIG,DATOS!$I8081,nEVAL,"OR")=0))</f>
      </c>
      <c r="I8081">
        <f>IF(DATOS!$I8081="","",IFERROR(VLOOKUP(DATOS!$I8081,CONFIG_ASIGNATURAS!$B$2:$J$91,9,FALSE()),""))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IF(DATOS!$A8082="",0,IF(CONFIG_METADATA!$B$4&lt;&gt;"OR+EX",--(DATOS!$G8082=CONFIG_METADATA!$B$4),IF(DATOS!$G8082="EX",1,IF(DATOS!$G8082="OR",--(COUNTIFS(nNIA,DATOS!$A8082,nCURSO,DATOS!$D8082,nESPEC,DATOS!$E8082,nASIG,DATOS!$I8082,nEVAL,"EX")=0),0))))</f>
      </c>
      <c r="H8082">
        <f>IF(DATOS!$G8082&lt;&gt;"EX",0,--(COUNTIFS(nNIA,DATOS!$A8082,nCURSO,DATOS!$D8082,nESPEC,DATOS!$E8082,nASIG,DATOS!$I8082,nEVAL,"OR")=0))</f>
      </c>
      <c r="I8082">
        <f>IF(DATOS!$I8082="","",IFERROR(VLOOKUP(DATOS!$I8082,CONFIG_ASIGNATURAS!$B$2:$J$91,9,FALSE()),""))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IF(DATOS!$A8083="",0,IF(CONFIG_METADATA!$B$4&lt;&gt;"OR+EX",--(DATOS!$G8083=CONFIG_METADATA!$B$4),IF(DATOS!$G8083="EX",1,IF(DATOS!$G8083="OR",--(COUNTIFS(nNIA,DATOS!$A8083,nCURSO,DATOS!$D8083,nESPEC,DATOS!$E8083,nASIG,DATOS!$I8083,nEVAL,"EX")=0),0))))</f>
      </c>
      <c r="H8083">
        <f>IF(DATOS!$G8083&lt;&gt;"EX",0,--(COUNTIFS(nNIA,DATOS!$A8083,nCURSO,DATOS!$D8083,nESPEC,DATOS!$E8083,nASIG,DATOS!$I8083,nEVAL,"OR")=0))</f>
      </c>
      <c r="I8083">
        <f>IF(DATOS!$I8083="","",IFERROR(VLOOKUP(DATOS!$I8083,CONFIG_ASIGNATURAS!$B$2:$J$91,9,FALSE()),""))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IF(DATOS!$A8084="",0,IF(CONFIG_METADATA!$B$4&lt;&gt;"OR+EX",--(DATOS!$G8084=CONFIG_METADATA!$B$4),IF(DATOS!$G8084="EX",1,IF(DATOS!$G8084="OR",--(COUNTIFS(nNIA,DATOS!$A8084,nCURSO,DATOS!$D8084,nESPEC,DATOS!$E8084,nASIG,DATOS!$I8084,nEVAL,"EX")=0),0))))</f>
      </c>
      <c r="H8084">
        <f>IF(DATOS!$G8084&lt;&gt;"EX",0,--(COUNTIFS(nNIA,DATOS!$A8084,nCURSO,DATOS!$D8084,nESPEC,DATOS!$E8084,nASIG,DATOS!$I8084,nEVAL,"OR")=0))</f>
      </c>
      <c r="I8084">
        <f>IF(DATOS!$I8084="","",IFERROR(VLOOKUP(DATOS!$I8084,CONFIG_ASIGNATURAS!$B$2:$J$91,9,FALSE()),""))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IF(DATOS!$A8085="",0,IF(CONFIG_METADATA!$B$4&lt;&gt;"OR+EX",--(DATOS!$G8085=CONFIG_METADATA!$B$4),IF(DATOS!$G8085="EX",1,IF(DATOS!$G8085="OR",--(COUNTIFS(nNIA,DATOS!$A8085,nCURSO,DATOS!$D8085,nESPEC,DATOS!$E8085,nASIG,DATOS!$I8085,nEVAL,"EX")=0),0))))</f>
      </c>
      <c r="H8085">
        <f>IF(DATOS!$G8085&lt;&gt;"EX",0,--(COUNTIFS(nNIA,DATOS!$A8085,nCURSO,DATOS!$D8085,nESPEC,DATOS!$E8085,nASIG,DATOS!$I8085,nEVAL,"OR")=0))</f>
      </c>
      <c r="I8085">
        <f>IF(DATOS!$I8085="","",IFERROR(VLOOKUP(DATOS!$I8085,CONFIG_ASIGNATURAS!$B$2:$J$91,9,FALSE()),""))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IF(DATOS!$A8086="",0,IF(CONFIG_METADATA!$B$4&lt;&gt;"OR+EX",--(DATOS!$G8086=CONFIG_METADATA!$B$4),IF(DATOS!$G8086="EX",1,IF(DATOS!$G8086="OR",--(COUNTIFS(nNIA,DATOS!$A8086,nCURSO,DATOS!$D8086,nESPEC,DATOS!$E8086,nASIG,DATOS!$I8086,nEVAL,"EX")=0),0))))</f>
      </c>
      <c r="H8086">
        <f>IF(DATOS!$G8086&lt;&gt;"EX",0,--(COUNTIFS(nNIA,DATOS!$A8086,nCURSO,DATOS!$D8086,nESPEC,DATOS!$E8086,nASIG,DATOS!$I8086,nEVAL,"OR")=0))</f>
      </c>
      <c r="I8086">
        <f>IF(DATOS!$I8086="","",IFERROR(VLOOKUP(DATOS!$I8086,CONFIG_ASIGNATURAS!$B$2:$J$91,9,FALSE()),""))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IF(DATOS!$A8087="",0,IF(CONFIG_METADATA!$B$4&lt;&gt;"OR+EX",--(DATOS!$G8087=CONFIG_METADATA!$B$4),IF(DATOS!$G8087="EX",1,IF(DATOS!$G8087="OR",--(COUNTIFS(nNIA,DATOS!$A8087,nCURSO,DATOS!$D8087,nESPEC,DATOS!$E8087,nASIG,DATOS!$I8087,nEVAL,"EX")=0),0))))</f>
      </c>
      <c r="H8087">
        <f>IF(DATOS!$G8087&lt;&gt;"EX",0,--(COUNTIFS(nNIA,DATOS!$A8087,nCURSO,DATOS!$D8087,nESPEC,DATOS!$E8087,nASIG,DATOS!$I8087,nEVAL,"OR")=0))</f>
      </c>
      <c r="I8087">
        <f>IF(DATOS!$I8087="","",IFERROR(VLOOKUP(DATOS!$I8087,CONFIG_ASIGNATURAS!$B$2:$J$91,9,FALSE()),""))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IF(DATOS!$A8088="",0,IF(CONFIG_METADATA!$B$4&lt;&gt;"OR+EX",--(DATOS!$G8088=CONFIG_METADATA!$B$4),IF(DATOS!$G8088="EX",1,IF(DATOS!$G8088="OR",--(COUNTIFS(nNIA,DATOS!$A8088,nCURSO,DATOS!$D8088,nESPEC,DATOS!$E8088,nASIG,DATOS!$I8088,nEVAL,"EX")=0),0))))</f>
      </c>
      <c r="H8088">
        <f>IF(DATOS!$G8088&lt;&gt;"EX",0,--(COUNTIFS(nNIA,DATOS!$A8088,nCURSO,DATOS!$D8088,nESPEC,DATOS!$E8088,nASIG,DATOS!$I8088,nEVAL,"OR")=0))</f>
      </c>
      <c r="I8088">
        <f>IF(DATOS!$I8088="","",IFERROR(VLOOKUP(DATOS!$I8088,CONFIG_ASIGNATURAS!$B$2:$J$91,9,FALSE()),""))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IF(DATOS!$A8089="",0,IF(CONFIG_METADATA!$B$4&lt;&gt;"OR+EX",--(DATOS!$G8089=CONFIG_METADATA!$B$4),IF(DATOS!$G8089="EX",1,IF(DATOS!$G8089="OR",--(COUNTIFS(nNIA,DATOS!$A8089,nCURSO,DATOS!$D8089,nESPEC,DATOS!$E8089,nASIG,DATOS!$I8089,nEVAL,"EX")=0),0))))</f>
      </c>
      <c r="H8089">
        <f>IF(DATOS!$G8089&lt;&gt;"EX",0,--(COUNTIFS(nNIA,DATOS!$A8089,nCURSO,DATOS!$D8089,nESPEC,DATOS!$E8089,nASIG,DATOS!$I8089,nEVAL,"OR")=0))</f>
      </c>
      <c r="I8089">
        <f>IF(DATOS!$I8089="","",IFERROR(VLOOKUP(DATOS!$I8089,CONFIG_ASIGNATURAS!$B$2:$J$91,9,FALSE()),""))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IF(DATOS!$A8090="",0,IF(CONFIG_METADATA!$B$4&lt;&gt;"OR+EX",--(DATOS!$G8090=CONFIG_METADATA!$B$4),IF(DATOS!$G8090="EX",1,IF(DATOS!$G8090="OR",--(COUNTIFS(nNIA,DATOS!$A8090,nCURSO,DATOS!$D8090,nESPEC,DATOS!$E8090,nASIG,DATOS!$I8090,nEVAL,"EX")=0),0))))</f>
      </c>
      <c r="H8090">
        <f>IF(DATOS!$G8090&lt;&gt;"EX",0,--(COUNTIFS(nNIA,DATOS!$A8090,nCURSO,DATOS!$D8090,nESPEC,DATOS!$E8090,nASIG,DATOS!$I8090,nEVAL,"OR")=0))</f>
      </c>
      <c r="I8090">
        <f>IF(DATOS!$I8090="","",IFERROR(VLOOKUP(DATOS!$I8090,CONFIG_ASIGNATURAS!$B$2:$J$91,9,FALSE()),""))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IF(DATOS!$A8091="",0,IF(CONFIG_METADATA!$B$4&lt;&gt;"OR+EX",--(DATOS!$G8091=CONFIG_METADATA!$B$4),IF(DATOS!$G8091="EX",1,IF(DATOS!$G8091="OR",--(COUNTIFS(nNIA,DATOS!$A8091,nCURSO,DATOS!$D8091,nESPEC,DATOS!$E8091,nASIG,DATOS!$I8091,nEVAL,"EX")=0),0))))</f>
      </c>
      <c r="H8091">
        <f>IF(DATOS!$G8091&lt;&gt;"EX",0,--(COUNTIFS(nNIA,DATOS!$A8091,nCURSO,DATOS!$D8091,nESPEC,DATOS!$E8091,nASIG,DATOS!$I8091,nEVAL,"OR")=0))</f>
      </c>
      <c r="I8091">
        <f>IF(DATOS!$I8091="","",IFERROR(VLOOKUP(DATOS!$I8091,CONFIG_ASIGNATURAS!$B$2:$J$91,9,FALSE()),""))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IF(DATOS!$A8092="",0,IF(CONFIG_METADATA!$B$4&lt;&gt;"OR+EX",--(DATOS!$G8092=CONFIG_METADATA!$B$4),IF(DATOS!$G8092="EX",1,IF(DATOS!$G8092="OR",--(COUNTIFS(nNIA,DATOS!$A8092,nCURSO,DATOS!$D8092,nESPEC,DATOS!$E8092,nASIG,DATOS!$I8092,nEVAL,"EX")=0),0))))</f>
      </c>
      <c r="H8092">
        <f>IF(DATOS!$G8092&lt;&gt;"EX",0,--(COUNTIFS(nNIA,DATOS!$A8092,nCURSO,DATOS!$D8092,nESPEC,DATOS!$E8092,nASIG,DATOS!$I8092,nEVAL,"OR")=0))</f>
      </c>
      <c r="I8092">
        <f>IF(DATOS!$I8092="","",IFERROR(VLOOKUP(DATOS!$I8092,CONFIG_ASIGNATURAS!$B$2:$J$91,9,FALSE()),""))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IF(DATOS!$A8093="",0,IF(CONFIG_METADATA!$B$4&lt;&gt;"OR+EX",--(DATOS!$G8093=CONFIG_METADATA!$B$4),IF(DATOS!$G8093="EX",1,IF(DATOS!$G8093="OR",--(COUNTIFS(nNIA,DATOS!$A8093,nCURSO,DATOS!$D8093,nESPEC,DATOS!$E8093,nASIG,DATOS!$I8093,nEVAL,"EX")=0),0))))</f>
      </c>
      <c r="H8093">
        <f>IF(DATOS!$G8093&lt;&gt;"EX",0,--(COUNTIFS(nNIA,DATOS!$A8093,nCURSO,DATOS!$D8093,nESPEC,DATOS!$E8093,nASIG,DATOS!$I8093,nEVAL,"OR")=0))</f>
      </c>
      <c r="I8093">
        <f>IF(DATOS!$I8093="","",IFERROR(VLOOKUP(DATOS!$I8093,CONFIG_ASIGNATURAS!$B$2:$J$91,9,FALSE()),""))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IF(DATOS!$A8094="",0,IF(CONFIG_METADATA!$B$4&lt;&gt;"OR+EX",--(DATOS!$G8094=CONFIG_METADATA!$B$4),IF(DATOS!$G8094="EX",1,IF(DATOS!$G8094="OR",--(COUNTIFS(nNIA,DATOS!$A8094,nCURSO,DATOS!$D8094,nESPEC,DATOS!$E8094,nASIG,DATOS!$I8094,nEVAL,"EX")=0),0))))</f>
      </c>
      <c r="H8094">
        <f>IF(DATOS!$G8094&lt;&gt;"EX",0,--(COUNTIFS(nNIA,DATOS!$A8094,nCURSO,DATOS!$D8094,nESPEC,DATOS!$E8094,nASIG,DATOS!$I8094,nEVAL,"OR")=0))</f>
      </c>
      <c r="I8094">
        <f>IF(DATOS!$I8094="","",IFERROR(VLOOKUP(DATOS!$I8094,CONFIG_ASIGNATURAS!$B$2:$J$91,9,FALSE()),""))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IF(DATOS!$A8095="",0,IF(CONFIG_METADATA!$B$4&lt;&gt;"OR+EX",--(DATOS!$G8095=CONFIG_METADATA!$B$4),IF(DATOS!$G8095="EX",1,IF(DATOS!$G8095="OR",--(COUNTIFS(nNIA,DATOS!$A8095,nCURSO,DATOS!$D8095,nESPEC,DATOS!$E8095,nASIG,DATOS!$I8095,nEVAL,"EX")=0),0))))</f>
      </c>
      <c r="H8095">
        <f>IF(DATOS!$G8095&lt;&gt;"EX",0,--(COUNTIFS(nNIA,DATOS!$A8095,nCURSO,DATOS!$D8095,nESPEC,DATOS!$E8095,nASIG,DATOS!$I8095,nEVAL,"OR")=0))</f>
      </c>
      <c r="I8095">
        <f>IF(DATOS!$I8095="","",IFERROR(VLOOKUP(DATOS!$I8095,CONFIG_ASIGNATURAS!$B$2:$J$91,9,FALSE()),""))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IF(DATOS!$A8096="",0,IF(CONFIG_METADATA!$B$4&lt;&gt;"OR+EX",--(DATOS!$G8096=CONFIG_METADATA!$B$4),IF(DATOS!$G8096="EX",1,IF(DATOS!$G8096="OR",--(COUNTIFS(nNIA,DATOS!$A8096,nCURSO,DATOS!$D8096,nESPEC,DATOS!$E8096,nASIG,DATOS!$I8096,nEVAL,"EX")=0),0))))</f>
      </c>
      <c r="H8096">
        <f>IF(DATOS!$G8096&lt;&gt;"EX",0,--(COUNTIFS(nNIA,DATOS!$A8096,nCURSO,DATOS!$D8096,nESPEC,DATOS!$E8096,nASIG,DATOS!$I8096,nEVAL,"OR")=0))</f>
      </c>
      <c r="I8096">
        <f>IF(DATOS!$I8096="","",IFERROR(VLOOKUP(DATOS!$I8096,CONFIG_ASIGNATURAS!$B$2:$J$91,9,FALSE()),""))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IF(DATOS!$A8097="",0,IF(CONFIG_METADATA!$B$4&lt;&gt;"OR+EX",--(DATOS!$G8097=CONFIG_METADATA!$B$4),IF(DATOS!$G8097="EX",1,IF(DATOS!$G8097="OR",--(COUNTIFS(nNIA,DATOS!$A8097,nCURSO,DATOS!$D8097,nESPEC,DATOS!$E8097,nASIG,DATOS!$I8097,nEVAL,"EX")=0),0))))</f>
      </c>
      <c r="H8097">
        <f>IF(DATOS!$G8097&lt;&gt;"EX",0,--(COUNTIFS(nNIA,DATOS!$A8097,nCURSO,DATOS!$D8097,nESPEC,DATOS!$E8097,nASIG,DATOS!$I8097,nEVAL,"OR")=0))</f>
      </c>
      <c r="I8097">
        <f>IF(DATOS!$I8097="","",IFERROR(VLOOKUP(DATOS!$I8097,CONFIG_ASIGNATURAS!$B$2:$J$91,9,FALSE()),""))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IF(DATOS!$A8098="",0,IF(CONFIG_METADATA!$B$4&lt;&gt;"OR+EX",--(DATOS!$G8098=CONFIG_METADATA!$B$4),IF(DATOS!$G8098="EX",1,IF(DATOS!$G8098="OR",--(COUNTIFS(nNIA,DATOS!$A8098,nCURSO,DATOS!$D8098,nESPEC,DATOS!$E8098,nASIG,DATOS!$I8098,nEVAL,"EX")=0),0))))</f>
      </c>
      <c r="H8098">
        <f>IF(DATOS!$G8098&lt;&gt;"EX",0,--(COUNTIFS(nNIA,DATOS!$A8098,nCURSO,DATOS!$D8098,nESPEC,DATOS!$E8098,nASIG,DATOS!$I8098,nEVAL,"OR")=0))</f>
      </c>
      <c r="I8098">
        <f>IF(DATOS!$I8098="","",IFERROR(VLOOKUP(DATOS!$I8098,CONFIG_ASIGNATURAS!$B$2:$J$91,9,FALSE()),""))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IF(DATOS!$A8099="",0,IF(CONFIG_METADATA!$B$4&lt;&gt;"OR+EX",--(DATOS!$G8099=CONFIG_METADATA!$B$4),IF(DATOS!$G8099="EX",1,IF(DATOS!$G8099="OR",--(COUNTIFS(nNIA,DATOS!$A8099,nCURSO,DATOS!$D8099,nESPEC,DATOS!$E8099,nASIG,DATOS!$I8099,nEVAL,"EX")=0),0))))</f>
      </c>
      <c r="H8099">
        <f>IF(DATOS!$G8099&lt;&gt;"EX",0,--(COUNTIFS(nNIA,DATOS!$A8099,nCURSO,DATOS!$D8099,nESPEC,DATOS!$E8099,nASIG,DATOS!$I8099,nEVAL,"OR")=0))</f>
      </c>
      <c r="I8099">
        <f>IF(DATOS!$I8099="","",IFERROR(VLOOKUP(DATOS!$I8099,CONFIG_ASIGNATURAS!$B$2:$J$91,9,FALSE()),""))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IF(DATOS!$A8100="",0,IF(CONFIG_METADATA!$B$4&lt;&gt;"OR+EX",--(DATOS!$G8100=CONFIG_METADATA!$B$4),IF(DATOS!$G8100="EX",1,IF(DATOS!$G8100="OR",--(COUNTIFS(nNIA,DATOS!$A8100,nCURSO,DATOS!$D8100,nESPEC,DATOS!$E8100,nASIG,DATOS!$I8100,nEVAL,"EX")=0),0))))</f>
      </c>
      <c r="H8100">
        <f>IF(DATOS!$G8100&lt;&gt;"EX",0,--(COUNTIFS(nNIA,DATOS!$A8100,nCURSO,DATOS!$D8100,nESPEC,DATOS!$E8100,nASIG,DATOS!$I8100,nEVAL,"OR")=0))</f>
      </c>
      <c r="I8100">
        <f>IF(DATOS!$I8100="","",IFERROR(VLOOKUP(DATOS!$I8100,CONFIG_ASIGNATURAS!$B$2:$J$91,9,FALSE()),""))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IF(DATOS!$A8101="",0,IF(CONFIG_METADATA!$B$4&lt;&gt;"OR+EX",--(DATOS!$G8101=CONFIG_METADATA!$B$4),IF(DATOS!$G8101="EX",1,IF(DATOS!$G8101="OR",--(COUNTIFS(nNIA,DATOS!$A8101,nCURSO,DATOS!$D8101,nESPEC,DATOS!$E8101,nASIG,DATOS!$I8101,nEVAL,"EX")=0),0))))</f>
      </c>
      <c r="H8101">
        <f>IF(DATOS!$G8101&lt;&gt;"EX",0,--(COUNTIFS(nNIA,DATOS!$A8101,nCURSO,DATOS!$D8101,nESPEC,DATOS!$E8101,nASIG,DATOS!$I8101,nEVAL,"OR")=0))</f>
      </c>
      <c r="I8101">
        <f>IF(DATOS!$I8101="","",IFERROR(VLOOKUP(DATOS!$I8101,CONFIG_ASIGNATURAS!$B$2:$J$91,9,FALSE()),""))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IF(DATOS!$A8102="",0,IF(CONFIG_METADATA!$B$4&lt;&gt;"OR+EX",--(DATOS!$G8102=CONFIG_METADATA!$B$4),IF(DATOS!$G8102="EX",1,IF(DATOS!$G8102="OR",--(COUNTIFS(nNIA,DATOS!$A8102,nCURSO,DATOS!$D8102,nESPEC,DATOS!$E8102,nASIG,DATOS!$I8102,nEVAL,"EX")=0),0))))</f>
      </c>
      <c r="H8102">
        <f>IF(DATOS!$G8102&lt;&gt;"EX",0,--(COUNTIFS(nNIA,DATOS!$A8102,nCURSO,DATOS!$D8102,nESPEC,DATOS!$E8102,nASIG,DATOS!$I8102,nEVAL,"OR")=0))</f>
      </c>
      <c r="I8102">
        <f>IF(DATOS!$I8102="","",IFERROR(VLOOKUP(DATOS!$I8102,CONFIG_ASIGNATURAS!$B$2:$J$91,9,FALSE()),""))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IF(DATOS!$A8103="",0,IF(CONFIG_METADATA!$B$4&lt;&gt;"OR+EX",--(DATOS!$G8103=CONFIG_METADATA!$B$4),IF(DATOS!$G8103="EX",1,IF(DATOS!$G8103="OR",--(COUNTIFS(nNIA,DATOS!$A8103,nCURSO,DATOS!$D8103,nESPEC,DATOS!$E8103,nASIG,DATOS!$I8103,nEVAL,"EX")=0),0))))</f>
      </c>
      <c r="H8103">
        <f>IF(DATOS!$G8103&lt;&gt;"EX",0,--(COUNTIFS(nNIA,DATOS!$A8103,nCURSO,DATOS!$D8103,nESPEC,DATOS!$E8103,nASIG,DATOS!$I8103,nEVAL,"OR")=0))</f>
      </c>
      <c r="I8103">
        <f>IF(DATOS!$I8103="","",IFERROR(VLOOKUP(DATOS!$I8103,CONFIG_ASIGNATURAS!$B$2:$J$91,9,FALSE()),""))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IF(DATOS!$A8104="",0,IF(CONFIG_METADATA!$B$4&lt;&gt;"OR+EX",--(DATOS!$G8104=CONFIG_METADATA!$B$4),IF(DATOS!$G8104="EX",1,IF(DATOS!$G8104="OR",--(COUNTIFS(nNIA,DATOS!$A8104,nCURSO,DATOS!$D8104,nESPEC,DATOS!$E8104,nASIG,DATOS!$I8104,nEVAL,"EX")=0),0))))</f>
      </c>
      <c r="H8104">
        <f>IF(DATOS!$G8104&lt;&gt;"EX",0,--(COUNTIFS(nNIA,DATOS!$A8104,nCURSO,DATOS!$D8104,nESPEC,DATOS!$E8104,nASIG,DATOS!$I8104,nEVAL,"OR")=0))</f>
      </c>
      <c r="I8104">
        <f>IF(DATOS!$I8104="","",IFERROR(VLOOKUP(DATOS!$I8104,CONFIG_ASIGNATURAS!$B$2:$J$91,9,FALSE()),""))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IF(DATOS!$A8105="",0,IF(CONFIG_METADATA!$B$4&lt;&gt;"OR+EX",--(DATOS!$G8105=CONFIG_METADATA!$B$4),IF(DATOS!$G8105="EX",1,IF(DATOS!$G8105="OR",--(COUNTIFS(nNIA,DATOS!$A8105,nCURSO,DATOS!$D8105,nESPEC,DATOS!$E8105,nASIG,DATOS!$I8105,nEVAL,"EX")=0),0))))</f>
      </c>
      <c r="H8105">
        <f>IF(DATOS!$G8105&lt;&gt;"EX",0,--(COUNTIFS(nNIA,DATOS!$A8105,nCURSO,DATOS!$D8105,nESPEC,DATOS!$E8105,nASIG,DATOS!$I8105,nEVAL,"OR")=0))</f>
      </c>
      <c r="I8105">
        <f>IF(DATOS!$I8105="","",IFERROR(VLOOKUP(DATOS!$I8105,CONFIG_ASIGNATURAS!$B$2:$J$91,9,FALSE()),""))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IF(DATOS!$A8106="",0,IF(CONFIG_METADATA!$B$4&lt;&gt;"OR+EX",--(DATOS!$G8106=CONFIG_METADATA!$B$4),IF(DATOS!$G8106="EX",1,IF(DATOS!$G8106="OR",--(COUNTIFS(nNIA,DATOS!$A8106,nCURSO,DATOS!$D8106,nESPEC,DATOS!$E8106,nASIG,DATOS!$I8106,nEVAL,"EX")=0),0))))</f>
      </c>
      <c r="H8106">
        <f>IF(DATOS!$G8106&lt;&gt;"EX",0,--(COUNTIFS(nNIA,DATOS!$A8106,nCURSO,DATOS!$D8106,nESPEC,DATOS!$E8106,nASIG,DATOS!$I8106,nEVAL,"OR")=0))</f>
      </c>
      <c r="I8106">
        <f>IF(DATOS!$I8106="","",IFERROR(VLOOKUP(DATOS!$I8106,CONFIG_ASIGNATURAS!$B$2:$J$91,9,FALSE()),""))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IF(DATOS!$A8107="",0,IF(CONFIG_METADATA!$B$4&lt;&gt;"OR+EX",--(DATOS!$G8107=CONFIG_METADATA!$B$4),IF(DATOS!$G8107="EX",1,IF(DATOS!$G8107="OR",--(COUNTIFS(nNIA,DATOS!$A8107,nCURSO,DATOS!$D8107,nESPEC,DATOS!$E8107,nASIG,DATOS!$I8107,nEVAL,"EX")=0),0))))</f>
      </c>
      <c r="H8107">
        <f>IF(DATOS!$G8107&lt;&gt;"EX",0,--(COUNTIFS(nNIA,DATOS!$A8107,nCURSO,DATOS!$D8107,nESPEC,DATOS!$E8107,nASIG,DATOS!$I8107,nEVAL,"OR")=0))</f>
      </c>
      <c r="I8107">
        <f>IF(DATOS!$I8107="","",IFERROR(VLOOKUP(DATOS!$I8107,CONFIG_ASIGNATURAS!$B$2:$J$91,9,FALSE()),""))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IF(DATOS!$A8108="",0,IF(CONFIG_METADATA!$B$4&lt;&gt;"OR+EX",--(DATOS!$G8108=CONFIG_METADATA!$B$4),IF(DATOS!$G8108="EX",1,IF(DATOS!$G8108="OR",--(COUNTIFS(nNIA,DATOS!$A8108,nCURSO,DATOS!$D8108,nESPEC,DATOS!$E8108,nASIG,DATOS!$I8108,nEVAL,"EX")=0),0))))</f>
      </c>
      <c r="H8108">
        <f>IF(DATOS!$G8108&lt;&gt;"EX",0,--(COUNTIFS(nNIA,DATOS!$A8108,nCURSO,DATOS!$D8108,nESPEC,DATOS!$E8108,nASIG,DATOS!$I8108,nEVAL,"OR")=0))</f>
      </c>
      <c r="I8108">
        <f>IF(DATOS!$I8108="","",IFERROR(VLOOKUP(DATOS!$I8108,CONFIG_ASIGNATURAS!$B$2:$J$91,9,FALSE()),""))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IF(DATOS!$A8109="",0,IF(CONFIG_METADATA!$B$4&lt;&gt;"OR+EX",--(DATOS!$G8109=CONFIG_METADATA!$B$4),IF(DATOS!$G8109="EX",1,IF(DATOS!$G8109="OR",--(COUNTIFS(nNIA,DATOS!$A8109,nCURSO,DATOS!$D8109,nESPEC,DATOS!$E8109,nASIG,DATOS!$I8109,nEVAL,"EX")=0),0))))</f>
      </c>
      <c r="H8109">
        <f>IF(DATOS!$G8109&lt;&gt;"EX",0,--(COUNTIFS(nNIA,DATOS!$A8109,nCURSO,DATOS!$D8109,nESPEC,DATOS!$E8109,nASIG,DATOS!$I8109,nEVAL,"OR")=0))</f>
      </c>
      <c r="I8109">
        <f>IF(DATOS!$I8109="","",IFERROR(VLOOKUP(DATOS!$I8109,CONFIG_ASIGNATURAS!$B$2:$J$91,9,FALSE()),""))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IF(DATOS!$A8110="",0,IF(CONFIG_METADATA!$B$4&lt;&gt;"OR+EX",--(DATOS!$G8110=CONFIG_METADATA!$B$4),IF(DATOS!$G8110="EX",1,IF(DATOS!$G8110="OR",--(COUNTIFS(nNIA,DATOS!$A8110,nCURSO,DATOS!$D8110,nESPEC,DATOS!$E8110,nASIG,DATOS!$I8110,nEVAL,"EX")=0),0))))</f>
      </c>
      <c r="H8110">
        <f>IF(DATOS!$G8110&lt;&gt;"EX",0,--(COUNTIFS(nNIA,DATOS!$A8110,nCURSO,DATOS!$D8110,nESPEC,DATOS!$E8110,nASIG,DATOS!$I8110,nEVAL,"OR")=0))</f>
      </c>
      <c r="I8110">
        <f>IF(DATOS!$I8110="","",IFERROR(VLOOKUP(DATOS!$I8110,CONFIG_ASIGNATURAS!$B$2:$J$91,9,FALSE()),""))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IF(DATOS!$A8111="",0,IF(CONFIG_METADATA!$B$4&lt;&gt;"OR+EX",--(DATOS!$G8111=CONFIG_METADATA!$B$4),IF(DATOS!$G8111="EX",1,IF(DATOS!$G8111="OR",--(COUNTIFS(nNIA,DATOS!$A8111,nCURSO,DATOS!$D8111,nESPEC,DATOS!$E8111,nASIG,DATOS!$I8111,nEVAL,"EX")=0),0))))</f>
      </c>
      <c r="H8111">
        <f>IF(DATOS!$G8111&lt;&gt;"EX",0,--(COUNTIFS(nNIA,DATOS!$A8111,nCURSO,DATOS!$D8111,nESPEC,DATOS!$E8111,nASIG,DATOS!$I8111,nEVAL,"OR")=0))</f>
      </c>
      <c r="I8111">
        <f>IF(DATOS!$I8111="","",IFERROR(VLOOKUP(DATOS!$I8111,CONFIG_ASIGNATURAS!$B$2:$J$91,9,FALSE()),""))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IF(DATOS!$A8112="",0,IF(CONFIG_METADATA!$B$4&lt;&gt;"OR+EX",--(DATOS!$G8112=CONFIG_METADATA!$B$4),IF(DATOS!$G8112="EX",1,IF(DATOS!$G8112="OR",--(COUNTIFS(nNIA,DATOS!$A8112,nCURSO,DATOS!$D8112,nESPEC,DATOS!$E8112,nASIG,DATOS!$I8112,nEVAL,"EX")=0),0))))</f>
      </c>
      <c r="H8112">
        <f>IF(DATOS!$G8112&lt;&gt;"EX",0,--(COUNTIFS(nNIA,DATOS!$A8112,nCURSO,DATOS!$D8112,nESPEC,DATOS!$E8112,nASIG,DATOS!$I8112,nEVAL,"OR")=0))</f>
      </c>
      <c r="I8112">
        <f>IF(DATOS!$I8112="","",IFERROR(VLOOKUP(DATOS!$I8112,CONFIG_ASIGNATURAS!$B$2:$J$91,9,FALSE()),""))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IF(DATOS!$A8113="",0,IF(CONFIG_METADATA!$B$4&lt;&gt;"OR+EX",--(DATOS!$G8113=CONFIG_METADATA!$B$4),IF(DATOS!$G8113="EX",1,IF(DATOS!$G8113="OR",--(COUNTIFS(nNIA,DATOS!$A8113,nCURSO,DATOS!$D8113,nESPEC,DATOS!$E8113,nASIG,DATOS!$I8113,nEVAL,"EX")=0),0))))</f>
      </c>
      <c r="H8113">
        <f>IF(DATOS!$G8113&lt;&gt;"EX",0,--(COUNTIFS(nNIA,DATOS!$A8113,nCURSO,DATOS!$D8113,nESPEC,DATOS!$E8113,nASIG,DATOS!$I8113,nEVAL,"OR")=0))</f>
      </c>
      <c r="I8113">
        <f>IF(DATOS!$I8113="","",IFERROR(VLOOKUP(DATOS!$I8113,CONFIG_ASIGNATURAS!$B$2:$J$91,9,FALSE()),""))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IF(DATOS!$A8114="",0,IF(CONFIG_METADATA!$B$4&lt;&gt;"OR+EX",--(DATOS!$G8114=CONFIG_METADATA!$B$4),IF(DATOS!$G8114="EX",1,IF(DATOS!$G8114="OR",--(COUNTIFS(nNIA,DATOS!$A8114,nCURSO,DATOS!$D8114,nESPEC,DATOS!$E8114,nASIG,DATOS!$I8114,nEVAL,"EX")=0),0))))</f>
      </c>
      <c r="H8114">
        <f>IF(DATOS!$G8114&lt;&gt;"EX",0,--(COUNTIFS(nNIA,DATOS!$A8114,nCURSO,DATOS!$D8114,nESPEC,DATOS!$E8114,nASIG,DATOS!$I8114,nEVAL,"OR")=0))</f>
      </c>
      <c r="I8114">
        <f>IF(DATOS!$I8114="","",IFERROR(VLOOKUP(DATOS!$I8114,CONFIG_ASIGNATURAS!$B$2:$J$91,9,FALSE()),""))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IF(DATOS!$A8115="",0,IF(CONFIG_METADATA!$B$4&lt;&gt;"OR+EX",--(DATOS!$G8115=CONFIG_METADATA!$B$4),IF(DATOS!$G8115="EX",1,IF(DATOS!$G8115="OR",--(COUNTIFS(nNIA,DATOS!$A8115,nCURSO,DATOS!$D8115,nESPEC,DATOS!$E8115,nASIG,DATOS!$I8115,nEVAL,"EX")=0),0))))</f>
      </c>
      <c r="H8115">
        <f>IF(DATOS!$G8115&lt;&gt;"EX",0,--(COUNTIFS(nNIA,DATOS!$A8115,nCURSO,DATOS!$D8115,nESPEC,DATOS!$E8115,nASIG,DATOS!$I8115,nEVAL,"OR")=0))</f>
      </c>
      <c r="I8115">
        <f>IF(DATOS!$I8115="","",IFERROR(VLOOKUP(DATOS!$I8115,CONFIG_ASIGNATURAS!$B$2:$J$91,9,FALSE()),""))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IF(DATOS!$A8116="",0,IF(CONFIG_METADATA!$B$4&lt;&gt;"OR+EX",--(DATOS!$G8116=CONFIG_METADATA!$B$4),IF(DATOS!$G8116="EX",1,IF(DATOS!$G8116="OR",--(COUNTIFS(nNIA,DATOS!$A8116,nCURSO,DATOS!$D8116,nESPEC,DATOS!$E8116,nASIG,DATOS!$I8116,nEVAL,"EX")=0),0))))</f>
      </c>
      <c r="H8116">
        <f>IF(DATOS!$G8116&lt;&gt;"EX",0,--(COUNTIFS(nNIA,DATOS!$A8116,nCURSO,DATOS!$D8116,nESPEC,DATOS!$E8116,nASIG,DATOS!$I8116,nEVAL,"OR")=0))</f>
      </c>
      <c r="I8116">
        <f>IF(DATOS!$I8116="","",IFERROR(VLOOKUP(DATOS!$I8116,CONFIG_ASIGNATURAS!$B$2:$J$91,9,FALSE()),""))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IF(DATOS!$A8117="",0,IF(CONFIG_METADATA!$B$4&lt;&gt;"OR+EX",--(DATOS!$G8117=CONFIG_METADATA!$B$4),IF(DATOS!$G8117="EX",1,IF(DATOS!$G8117="OR",--(COUNTIFS(nNIA,DATOS!$A8117,nCURSO,DATOS!$D8117,nESPEC,DATOS!$E8117,nASIG,DATOS!$I8117,nEVAL,"EX")=0),0))))</f>
      </c>
      <c r="H8117">
        <f>IF(DATOS!$G8117&lt;&gt;"EX",0,--(COUNTIFS(nNIA,DATOS!$A8117,nCURSO,DATOS!$D8117,nESPEC,DATOS!$E8117,nASIG,DATOS!$I8117,nEVAL,"OR")=0))</f>
      </c>
      <c r="I8117">
        <f>IF(DATOS!$I8117="","",IFERROR(VLOOKUP(DATOS!$I8117,CONFIG_ASIGNATURAS!$B$2:$J$91,9,FALSE()),""))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IF(DATOS!$A8118="",0,IF(CONFIG_METADATA!$B$4&lt;&gt;"OR+EX",--(DATOS!$G8118=CONFIG_METADATA!$B$4),IF(DATOS!$G8118="EX",1,IF(DATOS!$G8118="OR",--(COUNTIFS(nNIA,DATOS!$A8118,nCURSO,DATOS!$D8118,nESPEC,DATOS!$E8118,nASIG,DATOS!$I8118,nEVAL,"EX")=0),0))))</f>
      </c>
      <c r="H8118">
        <f>IF(DATOS!$G8118&lt;&gt;"EX",0,--(COUNTIFS(nNIA,DATOS!$A8118,nCURSO,DATOS!$D8118,nESPEC,DATOS!$E8118,nASIG,DATOS!$I8118,nEVAL,"OR")=0))</f>
      </c>
      <c r="I8118">
        <f>IF(DATOS!$I8118="","",IFERROR(VLOOKUP(DATOS!$I8118,CONFIG_ASIGNATURAS!$B$2:$J$91,9,FALSE()),""))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IF(DATOS!$A8119="",0,IF(CONFIG_METADATA!$B$4&lt;&gt;"OR+EX",--(DATOS!$G8119=CONFIG_METADATA!$B$4),IF(DATOS!$G8119="EX",1,IF(DATOS!$G8119="OR",--(COUNTIFS(nNIA,DATOS!$A8119,nCURSO,DATOS!$D8119,nESPEC,DATOS!$E8119,nASIG,DATOS!$I8119,nEVAL,"EX")=0),0))))</f>
      </c>
      <c r="H8119">
        <f>IF(DATOS!$G8119&lt;&gt;"EX",0,--(COUNTIFS(nNIA,DATOS!$A8119,nCURSO,DATOS!$D8119,nESPEC,DATOS!$E8119,nASIG,DATOS!$I8119,nEVAL,"OR")=0))</f>
      </c>
      <c r="I8119">
        <f>IF(DATOS!$I8119="","",IFERROR(VLOOKUP(DATOS!$I8119,CONFIG_ASIGNATURAS!$B$2:$J$91,9,FALSE()),""))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IF(DATOS!$A8120="",0,IF(CONFIG_METADATA!$B$4&lt;&gt;"OR+EX",--(DATOS!$G8120=CONFIG_METADATA!$B$4),IF(DATOS!$G8120="EX",1,IF(DATOS!$G8120="OR",--(COUNTIFS(nNIA,DATOS!$A8120,nCURSO,DATOS!$D8120,nESPEC,DATOS!$E8120,nASIG,DATOS!$I8120,nEVAL,"EX")=0),0))))</f>
      </c>
      <c r="H8120">
        <f>IF(DATOS!$G8120&lt;&gt;"EX",0,--(COUNTIFS(nNIA,DATOS!$A8120,nCURSO,DATOS!$D8120,nESPEC,DATOS!$E8120,nASIG,DATOS!$I8120,nEVAL,"OR")=0))</f>
      </c>
      <c r="I8120">
        <f>IF(DATOS!$I8120="","",IFERROR(VLOOKUP(DATOS!$I8120,CONFIG_ASIGNATURAS!$B$2:$J$91,9,FALSE()),""))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IF(DATOS!$A8121="",0,IF(CONFIG_METADATA!$B$4&lt;&gt;"OR+EX",--(DATOS!$G8121=CONFIG_METADATA!$B$4),IF(DATOS!$G8121="EX",1,IF(DATOS!$G8121="OR",--(COUNTIFS(nNIA,DATOS!$A8121,nCURSO,DATOS!$D8121,nESPEC,DATOS!$E8121,nASIG,DATOS!$I8121,nEVAL,"EX")=0),0))))</f>
      </c>
      <c r="H8121">
        <f>IF(DATOS!$G8121&lt;&gt;"EX",0,--(COUNTIFS(nNIA,DATOS!$A8121,nCURSO,DATOS!$D8121,nESPEC,DATOS!$E8121,nASIG,DATOS!$I8121,nEVAL,"OR")=0))</f>
      </c>
      <c r="I8121">
        <f>IF(DATOS!$I8121="","",IFERROR(VLOOKUP(DATOS!$I8121,CONFIG_ASIGNATURAS!$B$2:$J$91,9,FALSE()),""))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IF(DATOS!$A8122="",0,IF(CONFIG_METADATA!$B$4&lt;&gt;"OR+EX",--(DATOS!$G8122=CONFIG_METADATA!$B$4),IF(DATOS!$G8122="EX",1,IF(DATOS!$G8122="OR",--(COUNTIFS(nNIA,DATOS!$A8122,nCURSO,DATOS!$D8122,nESPEC,DATOS!$E8122,nASIG,DATOS!$I8122,nEVAL,"EX")=0),0))))</f>
      </c>
      <c r="H8122">
        <f>IF(DATOS!$G8122&lt;&gt;"EX",0,--(COUNTIFS(nNIA,DATOS!$A8122,nCURSO,DATOS!$D8122,nESPEC,DATOS!$E8122,nASIG,DATOS!$I8122,nEVAL,"OR")=0))</f>
      </c>
      <c r="I8122">
        <f>IF(DATOS!$I8122="","",IFERROR(VLOOKUP(DATOS!$I8122,CONFIG_ASIGNATURAS!$B$2:$J$91,9,FALSE()),""))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IF(DATOS!$A8123="",0,IF(CONFIG_METADATA!$B$4&lt;&gt;"OR+EX",--(DATOS!$G8123=CONFIG_METADATA!$B$4),IF(DATOS!$G8123="EX",1,IF(DATOS!$G8123="OR",--(COUNTIFS(nNIA,DATOS!$A8123,nCURSO,DATOS!$D8123,nESPEC,DATOS!$E8123,nASIG,DATOS!$I8123,nEVAL,"EX")=0),0))))</f>
      </c>
      <c r="H8123">
        <f>IF(DATOS!$G8123&lt;&gt;"EX",0,--(COUNTIFS(nNIA,DATOS!$A8123,nCURSO,DATOS!$D8123,nESPEC,DATOS!$E8123,nASIG,DATOS!$I8123,nEVAL,"OR")=0))</f>
      </c>
      <c r="I8123">
        <f>IF(DATOS!$I8123="","",IFERROR(VLOOKUP(DATOS!$I8123,CONFIG_ASIGNATURAS!$B$2:$J$91,9,FALSE()),""))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IF(DATOS!$A8124="",0,IF(CONFIG_METADATA!$B$4&lt;&gt;"OR+EX",--(DATOS!$G8124=CONFIG_METADATA!$B$4),IF(DATOS!$G8124="EX",1,IF(DATOS!$G8124="OR",--(COUNTIFS(nNIA,DATOS!$A8124,nCURSO,DATOS!$D8124,nESPEC,DATOS!$E8124,nASIG,DATOS!$I8124,nEVAL,"EX")=0),0))))</f>
      </c>
      <c r="H8124">
        <f>IF(DATOS!$G8124&lt;&gt;"EX",0,--(COUNTIFS(nNIA,DATOS!$A8124,nCURSO,DATOS!$D8124,nESPEC,DATOS!$E8124,nASIG,DATOS!$I8124,nEVAL,"OR")=0))</f>
      </c>
      <c r="I8124">
        <f>IF(DATOS!$I8124="","",IFERROR(VLOOKUP(DATOS!$I8124,CONFIG_ASIGNATURAS!$B$2:$J$91,9,FALSE()),""))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IF(DATOS!$A8125="",0,IF(CONFIG_METADATA!$B$4&lt;&gt;"OR+EX",--(DATOS!$G8125=CONFIG_METADATA!$B$4),IF(DATOS!$G8125="EX",1,IF(DATOS!$G8125="OR",--(COUNTIFS(nNIA,DATOS!$A8125,nCURSO,DATOS!$D8125,nESPEC,DATOS!$E8125,nASIG,DATOS!$I8125,nEVAL,"EX")=0),0))))</f>
      </c>
      <c r="H8125">
        <f>IF(DATOS!$G8125&lt;&gt;"EX",0,--(COUNTIFS(nNIA,DATOS!$A8125,nCURSO,DATOS!$D8125,nESPEC,DATOS!$E8125,nASIG,DATOS!$I8125,nEVAL,"OR")=0))</f>
      </c>
      <c r="I8125">
        <f>IF(DATOS!$I8125="","",IFERROR(VLOOKUP(DATOS!$I8125,CONFIG_ASIGNATURAS!$B$2:$J$91,9,FALSE()),""))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IF(DATOS!$A8126="",0,IF(CONFIG_METADATA!$B$4&lt;&gt;"OR+EX",--(DATOS!$G8126=CONFIG_METADATA!$B$4),IF(DATOS!$G8126="EX",1,IF(DATOS!$G8126="OR",--(COUNTIFS(nNIA,DATOS!$A8126,nCURSO,DATOS!$D8126,nESPEC,DATOS!$E8126,nASIG,DATOS!$I8126,nEVAL,"EX")=0),0))))</f>
      </c>
      <c r="H8126">
        <f>IF(DATOS!$G8126&lt;&gt;"EX",0,--(COUNTIFS(nNIA,DATOS!$A8126,nCURSO,DATOS!$D8126,nESPEC,DATOS!$E8126,nASIG,DATOS!$I8126,nEVAL,"OR")=0))</f>
      </c>
      <c r="I8126">
        <f>IF(DATOS!$I8126="","",IFERROR(VLOOKUP(DATOS!$I8126,CONFIG_ASIGNATURAS!$B$2:$J$91,9,FALSE()),""))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IF(DATOS!$A8127="",0,IF(CONFIG_METADATA!$B$4&lt;&gt;"OR+EX",--(DATOS!$G8127=CONFIG_METADATA!$B$4),IF(DATOS!$G8127="EX",1,IF(DATOS!$G8127="OR",--(COUNTIFS(nNIA,DATOS!$A8127,nCURSO,DATOS!$D8127,nESPEC,DATOS!$E8127,nASIG,DATOS!$I8127,nEVAL,"EX")=0),0))))</f>
      </c>
      <c r="H8127">
        <f>IF(DATOS!$G8127&lt;&gt;"EX",0,--(COUNTIFS(nNIA,DATOS!$A8127,nCURSO,DATOS!$D8127,nESPEC,DATOS!$E8127,nASIG,DATOS!$I8127,nEVAL,"OR")=0))</f>
      </c>
      <c r="I8127">
        <f>IF(DATOS!$I8127="","",IFERROR(VLOOKUP(DATOS!$I8127,CONFIG_ASIGNATURAS!$B$2:$J$91,9,FALSE()),""))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IF(DATOS!$A8128="",0,IF(CONFIG_METADATA!$B$4&lt;&gt;"OR+EX",--(DATOS!$G8128=CONFIG_METADATA!$B$4),IF(DATOS!$G8128="EX",1,IF(DATOS!$G8128="OR",--(COUNTIFS(nNIA,DATOS!$A8128,nCURSO,DATOS!$D8128,nESPEC,DATOS!$E8128,nASIG,DATOS!$I8128,nEVAL,"EX")=0),0))))</f>
      </c>
      <c r="H8128">
        <f>IF(DATOS!$G8128&lt;&gt;"EX",0,--(COUNTIFS(nNIA,DATOS!$A8128,nCURSO,DATOS!$D8128,nESPEC,DATOS!$E8128,nASIG,DATOS!$I8128,nEVAL,"OR")=0))</f>
      </c>
      <c r="I8128">
        <f>IF(DATOS!$I8128="","",IFERROR(VLOOKUP(DATOS!$I8128,CONFIG_ASIGNATURAS!$B$2:$J$91,9,FALSE()),""))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IF(DATOS!$A8129="",0,IF(CONFIG_METADATA!$B$4&lt;&gt;"OR+EX",--(DATOS!$G8129=CONFIG_METADATA!$B$4),IF(DATOS!$G8129="EX",1,IF(DATOS!$G8129="OR",--(COUNTIFS(nNIA,DATOS!$A8129,nCURSO,DATOS!$D8129,nESPEC,DATOS!$E8129,nASIG,DATOS!$I8129,nEVAL,"EX")=0),0))))</f>
      </c>
      <c r="H8129">
        <f>IF(DATOS!$G8129&lt;&gt;"EX",0,--(COUNTIFS(nNIA,DATOS!$A8129,nCURSO,DATOS!$D8129,nESPEC,DATOS!$E8129,nASIG,DATOS!$I8129,nEVAL,"OR")=0))</f>
      </c>
      <c r="I8129">
        <f>IF(DATOS!$I8129="","",IFERROR(VLOOKUP(DATOS!$I8129,CONFIG_ASIGNATURAS!$B$2:$J$91,9,FALSE()),""))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IF(DATOS!$A8130="",0,IF(CONFIG_METADATA!$B$4&lt;&gt;"OR+EX",--(DATOS!$G8130=CONFIG_METADATA!$B$4),IF(DATOS!$G8130="EX",1,IF(DATOS!$G8130="OR",--(COUNTIFS(nNIA,DATOS!$A8130,nCURSO,DATOS!$D8130,nESPEC,DATOS!$E8130,nASIG,DATOS!$I8130,nEVAL,"EX")=0),0))))</f>
      </c>
      <c r="H8130">
        <f>IF(DATOS!$G8130&lt;&gt;"EX",0,--(COUNTIFS(nNIA,DATOS!$A8130,nCURSO,DATOS!$D8130,nESPEC,DATOS!$E8130,nASIG,DATOS!$I8130,nEVAL,"OR")=0))</f>
      </c>
      <c r="I8130">
        <f>IF(DATOS!$I8130="","",IFERROR(VLOOKUP(DATOS!$I8130,CONFIG_ASIGNATURAS!$B$2:$J$91,9,FALSE()),""))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IF(DATOS!$A8131="",0,IF(CONFIG_METADATA!$B$4&lt;&gt;"OR+EX",--(DATOS!$G8131=CONFIG_METADATA!$B$4),IF(DATOS!$G8131="EX",1,IF(DATOS!$G8131="OR",--(COUNTIFS(nNIA,DATOS!$A8131,nCURSO,DATOS!$D8131,nESPEC,DATOS!$E8131,nASIG,DATOS!$I8131,nEVAL,"EX")=0),0))))</f>
      </c>
      <c r="H8131">
        <f>IF(DATOS!$G8131&lt;&gt;"EX",0,--(COUNTIFS(nNIA,DATOS!$A8131,nCURSO,DATOS!$D8131,nESPEC,DATOS!$E8131,nASIG,DATOS!$I8131,nEVAL,"OR")=0))</f>
      </c>
      <c r="I8131">
        <f>IF(DATOS!$I8131="","",IFERROR(VLOOKUP(DATOS!$I8131,CONFIG_ASIGNATURAS!$B$2:$J$91,9,FALSE()),""))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IF(DATOS!$A8132="",0,IF(CONFIG_METADATA!$B$4&lt;&gt;"OR+EX",--(DATOS!$G8132=CONFIG_METADATA!$B$4),IF(DATOS!$G8132="EX",1,IF(DATOS!$G8132="OR",--(COUNTIFS(nNIA,DATOS!$A8132,nCURSO,DATOS!$D8132,nESPEC,DATOS!$E8132,nASIG,DATOS!$I8132,nEVAL,"EX")=0),0))))</f>
      </c>
      <c r="H8132">
        <f>IF(DATOS!$G8132&lt;&gt;"EX",0,--(COUNTIFS(nNIA,DATOS!$A8132,nCURSO,DATOS!$D8132,nESPEC,DATOS!$E8132,nASIG,DATOS!$I8132,nEVAL,"OR")=0))</f>
      </c>
      <c r="I8132">
        <f>IF(DATOS!$I8132="","",IFERROR(VLOOKUP(DATOS!$I8132,CONFIG_ASIGNATURAS!$B$2:$J$91,9,FALSE()),""))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IF(DATOS!$A8133="",0,IF(CONFIG_METADATA!$B$4&lt;&gt;"OR+EX",--(DATOS!$G8133=CONFIG_METADATA!$B$4),IF(DATOS!$G8133="EX",1,IF(DATOS!$G8133="OR",--(COUNTIFS(nNIA,DATOS!$A8133,nCURSO,DATOS!$D8133,nESPEC,DATOS!$E8133,nASIG,DATOS!$I8133,nEVAL,"EX")=0),0))))</f>
      </c>
      <c r="H8133">
        <f>IF(DATOS!$G8133&lt;&gt;"EX",0,--(COUNTIFS(nNIA,DATOS!$A8133,nCURSO,DATOS!$D8133,nESPEC,DATOS!$E8133,nASIG,DATOS!$I8133,nEVAL,"OR")=0))</f>
      </c>
      <c r="I8133">
        <f>IF(DATOS!$I8133="","",IFERROR(VLOOKUP(DATOS!$I8133,CONFIG_ASIGNATURAS!$B$2:$J$91,9,FALSE()),""))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IF(DATOS!$A8134="",0,IF(CONFIG_METADATA!$B$4&lt;&gt;"OR+EX",--(DATOS!$G8134=CONFIG_METADATA!$B$4),IF(DATOS!$G8134="EX",1,IF(DATOS!$G8134="OR",--(COUNTIFS(nNIA,DATOS!$A8134,nCURSO,DATOS!$D8134,nESPEC,DATOS!$E8134,nASIG,DATOS!$I8134,nEVAL,"EX")=0),0))))</f>
      </c>
      <c r="H8134">
        <f>IF(DATOS!$G8134&lt;&gt;"EX",0,--(COUNTIFS(nNIA,DATOS!$A8134,nCURSO,DATOS!$D8134,nESPEC,DATOS!$E8134,nASIG,DATOS!$I8134,nEVAL,"OR")=0))</f>
      </c>
      <c r="I8134">
        <f>IF(DATOS!$I8134="","",IFERROR(VLOOKUP(DATOS!$I8134,CONFIG_ASIGNATURAS!$B$2:$J$91,9,FALSE()),""))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IF(DATOS!$A8135="",0,IF(CONFIG_METADATA!$B$4&lt;&gt;"OR+EX",--(DATOS!$G8135=CONFIG_METADATA!$B$4),IF(DATOS!$G8135="EX",1,IF(DATOS!$G8135="OR",--(COUNTIFS(nNIA,DATOS!$A8135,nCURSO,DATOS!$D8135,nESPEC,DATOS!$E8135,nASIG,DATOS!$I8135,nEVAL,"EX")=0),0))))</f>
      </c>
      <c r="H8135">
        <f>IF(DATOS!$G8135&lt;&gt;"EX",0,--(COUNTIFS(nNIA,DATOS!$A8135,nCURSO,DATOS!$D8135,nESPEC,DATOS!$E8135,nASIG,DATOS!$I8135,nEVAL,"OR")=0))</f>
      </c>
      <c r="I8135">
        <f>IF(DATOS!$I8135="","",IFERROR(VLOOKUP(DATOS!$I8135,CONFIG_ASIGNATURAS!$B$2:$J$91,9,FALSE()),""))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IF(DATOS!$A8136="",0,IF(CONFIG_METADATA!$B$4&lt;&gt;"OR+EX",--(DATOS!$G8136=CONFIG_METADATA!$B$4),IF(DATOS!$G8136="EX",1,IF(DATOS!$G8136="OR",--(COUNTIFS(nNIA,DATOS!$A8136,nCURSO,DATOS!$D8136,nESPEC,DATOS!$E8136,nASIG,DATOS!$I8136,nEVAL,"EX")=0),0))))</f>
      </c>
      <c r="H8136">
        <f>IF(DATOS!$G8136&lt;&gt;"EX",0,--(COUNTIFS(nNIA,DATOS!$A8136,nCURSO,DATOS!$D8136,nESPEC,DATOS!$E8136,nASIG,DATOS!$I8136,nEVAL,"OR")=0))</f>
      </c>
      <c r="I8136">
        <f>IF(DATOS!$I8136="","",IFERROR(VLOOKUP(DATOS!$I8136,CONFIG_ASIGNATURAS!$B$2:$J$91,9,FALSE()),""))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IF(DATOS!$A8137="",0,IF(CONFIG_METADATA!$B$4&lt;&gt;"OR+EX",--(DATOS!$G8137=CONFIG_METADATA!$B$4),IF(DATOS!$G8137="EX",1,IF(DATOS!$G8137="OR",--(COUNTIFS(nNIA,DATOS!$A8137,nCURSO,DATOS!$D8137,nESPEC,DATOS!$E8137,nASIG,DATOS!$I8137,nEVAL,"EX")=0),0))))</f>
      </c>
      <c r="H8137">
        <f>IF(DATOS!$G8137&lt;&gt;"EX",0,--(COUNTIFS(nNIA,DATOS!$A8137,nCURSO,DATOS!$D8137,nESPEC,DATOS!$E8137,nASIG,DATOS!$I8137,nEVAL,"OR")=0))</f>
      </c>
      <c r="I8137">
        <f>IF(DATOS!$I8137="","",IFERROR(VLOOKUP(DATOS!$I8137,CONFIG_ASIGNATURAS!$B$2:$J$91,9,FALSE()),""))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IF(DATOS!$A8138="",0,IF(CONFIG_METADATA!$B$4&lt;&gt;"OR+EX",--(DATOS!$G8138=CONFIG_METADATA!$B$4),IF(DATOS!$G8138="EX",1,IF(DATOS!$G8138="OR",--(COUNTIFS(nNIA,DATOS!$A8138,nCURSO,DATOS!$D8138,nESPEC,DATOS!$E8138,nASIG,DATOS!$I8138,nEVAL,"EX")=0),0))))</f>
      </c>
      <c r="H8138">
        <f>IF(DATOS!$G8138&lt;&gt;"EX",0,--(COUNTIFS(nNIA,DATOS!$A8138,nCURSO,DATOS!$D8138,nESPEC,DATOS!$E8138,nASIG,DATOS!$I8138,nEVAL,"OR")=0))</f>
      </c>
      <c r="I8138">
        <f>IF(DATOS!$I8138="","",IFERROR(VLOOKUP(DATOS!$I8138,CONFIG_ASIGNATURAS!$B$2:$J$91,9,FALSE()),""))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IF(DATOS!$A8139="",0,IF(CONFIG_METADATA!$B$4&lt;&gt;"OR+EX",--(DATOS!$G8139=CONFIG_METADATA!$B$4),IF(DATOS!$G8139="EX",1,IF(DATOS!$G8139="OR",--(COUNTIFS(nNIA,DATOS!$A8139,nCURSO,DATOS!$D8139,nESPEC,DATOS!$E8139,nASIG,DATOS!$I8139,nEVAL,"EX")=0),0))))</f>
      </c>
      <c r="H8139">
        <f>IF(DATOS!$G8139&lt;&gt;"EX",0,--(COUNTIFS(nNIA,DATOS!$A8139,nCURSO,DATOS!$D8139,nESPEC,DATOS!$E8139,nASIG,DATOS!$I8139,nEVAL,"OR")=0))</f>
      </c>
      <c r="I8139">
        <f>IF(DATOS!$I8139="","",IFERROR(VLOOKUP(DATOS!$I8139,CONFIG_ASIGNATURAS!$B$2:$J$91,9,FALSE()),""))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IF(DATOS!$A8140="",0,IF(CONFIG_METADATA!$B$4&lt;&gt;"OR+EX",--(DATOS!$G8140=CONFIG_METADATA!$B$4),IF(DATOS!$G8140="EX",1,IF(DATOS!$G8140="OR",--(COUNTIFS(nNIA,DATOS!$A8140,nCURSO,DATOS!$D8140,nESPEC,DATOS!$E8140,nASIG,DATOS!$I8140,nEVAL,"EX")=0),0))))</f>
      </c>
      <c r="H8140">
        <f>IF(DATOS!$G8140&lt;&gt;"EX",0,--(COUNTIFS(nNIA,DATOS!$A8140,nCURSO,DATOS!$D8140,nESPEC,DATOS!$E8140,nASIG,DATOS!$I8140,nEVAL,"OR")=0))</f>
      </c>
      <c r="I8140">
        <f>IF(DATOS!$I8140="","",IFERROR(VLOOKUP(DATOS!$I8140,CONFIG_ASIGNATURAS!$B$2:$J$91,9,FALSE()),""))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IF(DATOS!$A8141="",0,IF(CONFIG_METADATA!$B$4&lt;&gt;"OR+EX",--(DATOS!$G8141=CONFIG_METADATA!$B$4),IF(DATOS!$G8141="EX",1,IF(DATOS!$G8141="OR",--(COUNTIFS(nNIA,DATOS!$A8141,nCURSO,DATOS!$D8141,nESPEC,DATOS!$E8141,nASIG,DATOS!$I8141,nEVAL,"EX")=0),0))))</f>
      </c>
      <c r="H8141">
        <f>IF(DATOS!$G8141&lt;&gt;"EX",0,--(COUNTIFS(nNIA,DATOS!$A8141,nCURSO,DATOS!$D8141,nESPEC,DATOS!$E8141,nASIG,DATOS!$I8141,nEVAL,"OR")=0))</f>
      </c>
      <c r="I8141">
        <f>IF(DATOS!$I8141="","",IFERROR(VLOOKUP(DATOS!$I8141,CONFIG_ASIGNATURAS!$B$2:$J$91,9,FALSE()),""))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IF(DATOS!$A8142="",0,IF(CONFIG_METADATA!$B$4&lt;&gt;"OR+EX",--(DATOS!$G8142=CONFIG_METADATA!$B$4),IF(DATOS!$G8142="EX",1,IF(DATOS!$G8142="OR",--(COUNTIFS(nNIA,DATOS!$A8142,nCURSO,DATOS!$D8142,nESPEC,DATOS!$E8142,nASIG,DATOS!$I8142,nEVAL,"EX")=0),0))))</f>
      </c>
      <c r="H8142">
        <f>IF(DATOS!$G8142&lt;&gt;"EX",0,--(COUNTIFS(nNIA,DATOS!$A8142,nCURSO,DATOS!$D8142,nESPEC,DATOS!$E8142,nASIG,DATOS!$I8142,nEVAL,"OR")=0))</f>
      </c>
      <c r="I8142">
        <f>IF(DATOS!$I8142="","",IFERROR(VLOOKUP(DATOS!$I8142,CONFIG_ASIGNATURAS!$B$2:$J$91,9,FALSE()),""))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IF(DATOS!$A8143="",0,IF(CONFIG_METADATA!$B$4&lt;&gt;"OR+EX",--(DATOS!$G8143=CONFIG_METADATA!$B$4),IF(DATOS!$G8143="EX",1,IF(DATOS!$G8143="OR",--(COUNTIFS(nNIA,DATOS!$A8143,nCURSO,DATOS!$D8143,nESPEC,DATOS!$E8143,nASIG,DATOS!$I8143,nEVAL,"EX")=0),0))))</f>
      </c>
      <c r="H8143">
        <f>IF(DATOS!$G8143&lt;&gt;"EX",0,--(COUNTIFS(nNIA,DATOS!$A8143,nCURSO,DATOS!$D8143,nESPEC,DATOS!$E8143,nASIG,DATOS!$I8143,nEVAL,"OR")=0))</f>
      </c>
      <c r="I8143">
        <f>IF(DATOS!$I8143="","",IFERROR(VLOOKUP(DATOS!$I8143,CONFIG_ASIGNATURAS!$B$2:$J$91,9,FALSE()),""))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IF(DATOS!$A8144="",0,IF(CONFIG_METADATA!$B$4&lt;&gt;"OR+EX",--(DATOS!$G8144=CONFIG_METADATA!$B$4),IF(DATOS!$G8144="EX",1,IF(DATOS!$G8144="OR",--(COUNTIFS(nNIA,DATOS!$A8144,nCURSO,DATOS!$D8144,nESPEC,DATOS!$E8144,nASIG,DATOS!$I8144,nEVAL,"EX")=0),0))))</f>
      </c>
      <c r="H8144">
        <f>IF(DATOS!$G8144&lt;&gt;"EX",0,--(COUNTIFS(nNIA,DATOS!$A8144,nCURSO,DATOS!$D8144,nESPEC,DATOS!$E8144,nASIG,DATOS!$I8144,nEVAL,"OR")=0))</f>
      </c>
      <c r="I8144">
        <f>IF(DATOS!$I8144="","",IFERROR(VLOOKUP(DATOS!$I8144,CONFIG_ASIGNATURAS!$B$2:$J$91,9,FALSE()),""))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IF(DATOS!$A8145="",0,IF(CONFIG_METADATA!$B$4&lt;&gt;"OR+EX",--(DATOS!$G8145=CONFIG_METADATA!$B$4),IF(DATOS!$G8145="EX",1,IF(DATOS!$G8145="OR",--(COUNTIFS(nNIA,DATOS!$A8145,nCURSO,DATOS!$D8145,nESPEC,DATOS!$E8145,nASIG,DATOS!$I8145,nEVAL,"EX")=0),0))))</f>
      </c>
      <c r="H8145">
        <f>IF(DATOS!$G8145&lt;&gt;"EX",0,--(COUNTIFS(nNIA,DATOS!$A8145,nCURSO,DATOS!$D8145,nESPEC,DATOS!$E8145,nASIG,DATOS!$I8145,nEVAL,"OR")=0))</f>
      </c>
      <c r="I8145">
        <f>IF(DATOS!$I8145="","",IFERROR(VLOOKUP(DATOS!$I8145,CONFIG_ASIGNATURAS!$B$2:$J$91,9,FALSE()),""))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IF(DATOS!$A8146="",0,IF(CONFIG_METADATA!$B$4&lt;&gt;"OR+EX",--(DATOS!$G8146=CONFIG_METADATA!$B$4),IF(DATOS!$G8146="EX",1,IF(DATOS!$G8146="OR",--(COUNTIFS(nNIA,DATOS!$A8146,nCURSO,DATOS!$D8146,nESPEC,DATOS!$E8146,nASIG,DATOS!$I8146,nEVAL,"EX")=0),0))))</f>
      </c>
      <c r="H8146">
        <f>IF(DATOS!$G8146&lt;&gt;"EX",0,--(COUNTIFS(nNIA,DATOS!$A8146,nCURSO,DATOS!$D8146,nESPEC,DATOS!$E8146,nASIG,DATOS!$I8146,nEVAL,"OR")=0))</f>
      </c>
      <c r="I8146">
        <f>IF(DATOS!$I8146="","",IFERROR(VLOOKUP(DATOS!$I8146,CONFIG_ASIGNATURAS!$B$2:$J$91,9,FALSE()),""))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IF(DATOS!$A8147="",0,IF(CONFIG_METADATA!$B$4&lt;&gt;"OR+EX",--(DATOS!$G8147=CONFIG_METADATA!$B$4),IF(DATOS!$G8147="EX",1,IF(DATOS!$G8147="OR",--(COUNTIFS(nNIA,DATOS!$A8147,nCURSO,DATOS!$D8147,nESPEC,DATOS!$E8147,nASIG,DATOS!$I8147,nEVAL,"EX")=0),0))))</f>
      </c>
      <c r="H8147">
        <f>IF(DATOS!$G8147&lt;&gt;"EX",0,--(COUNTIFS(nNIA,DATOS!$A8147,nCURSO,DATOS!$D8147,nESPEC,DATOS!$E8147,nASIG,DATOS!$I8147,nEVAL,"OR")=0))</f>
      </c>
      <c r="I8147">
        <f>IF(DATOS!$I8147="","",IFERROR(VLOOKUP(DATOS!$I8147,CONFIG_ASIGNATURAS!$B$2:$J$91,9,FALSE()),""))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IF(DATOS!$A8148="",0,IF(CONFIG_METADATA!$B$4&lt;&gt;"OR+EX",--(DATOS!$G8148=CONFIG_METADATA!$B$4),IF(DATOS!$G8148="EX",1,IF(DATOS!$G8148="OR",--(COUNTIFS(nNIA,DATOS!$A8148,nCURSO,DATOS!$D8148,nESPEC,DATOS!$E8148,nASIG,DATOS!$I8148,nEVAL,"EX")=0),0))))</f>
      </c>
      <c r="H8148">
        <f>IF(DATOS!$G8148&lt;&gt;"EX",0,--(COUNTIFS(nNIA,DATOS!$A8148,nCURSO,DATOS!$D8148,nESPEC,DATOS!$E8148,nASIG,DATOS!$I8148,nEVAL,"OR")=0))</f>
      </c>
      <c r="I8148">
        <f>IF(DATOS!$I8148="","",IFERROR(VLOOKUP(DATOS!$I8148,CONFIG_ASIGNATURAS!$B$2:$J$91,9,FALSE()),""))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IF(DATOS!$A8149="",0,IF(CONFIG_METADATA!$B$4&lt;&gt;"OR+EX",--(DATOS!$G8149=CONFIG_METADATA!$B$4),IF(DATOS!$G8149="EX",1,IF(DATOS!$G8149="OR",--(COUNTIFS(nNIA,DATOS!$A8149,nCURSO,DATOS!$D8149,nESPEC,DATOS!$E8149,nASIG,DATOS!$I8149,nEVAL,"EX")=0),0))))</f>
      </c>
      <c r="H8149">
        <f>IF(DATOS!$G8149&lt;&gt;"EX",0,--(COUNTIFS(nNIA,DATOS!$A8149,nCURSO,DATOS!$D8149,nESPEC,DATOS!$E8149,nASIG,DATOS!$I8149,nEVAL,"OR")=0))</f>
      </c>
      <c r="I8149">
        <f>IF(DATOS!$I8149="","",IFERROR(VLOOKUP(DATOS!$I8149,CONFIG_ASIGNATURAS!$B$2:$J$91,9,FALSE()),""))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IF(DATOS!$A8150="",0,IF(CONFIG_METADATA!$B$4&lt;&gt;"OR+EX",--(DATOS!$G8150=CONFIG_METADATA!$B$4),IF(DATOS!$G8150="EX",1,IF(DATOS!$G8150="OR",--(COUNTIFS(nNIA,DATOS!$A8150,nCURSO,DATOS!$D8150,nESPEC,DATOS!$E8150,nASIG,DATOS!$I8150,nEVAL,"EX")=0),0))))</f>
      </c>
      <c r="H8150">
        <f>IF(DATOS!$G8150&lt;&gt;"EX",0,--(COUNTIFS(nNIA,DATOS!$A8150,nCURSO,DATOS!$D8150,nESPEC,DATOS!$E8150,nASIG,DATOS!$I8150,nEVAL,"OR")=0))</f>
      </c>
      <c r="I8150">
        <f>IF(DATOS!$I8150="","",IFERROR(VLOOKUP(DATOS!$I8150,CONFIG_ASIGNATURAS!$B$2:$J$91,9,FALSE()),""))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IF(DATOS!$A8151="",0,IF(CONFIG_METADATA!$B$4&lt;&gt;"OR+EX",--(DATOS!$G8151=CONFIG_METADATA!$B$4),IF(DATOS!$G8151="EX",1,IF(DATOS!$G8151="OR",--(COUNTIFS(nNIA,DATOS!$A8151,nCURSO,DATOS!$D8151,nESPEC,DATOS!$E8151,nASIG,DATOS!$I8151,nEVAL,"EX")=0),0))))</f>
      </c>
      <c r="H8151">
        <f>IF(DATOS!$G8151&lt;&gt;"EX",0,--(COUNTIFS(nNIA,DATOS!$A8151,nCURSO,DATOS!$D8151,nESPEC,DATOS!$E8151,nASIG,DATOS!$I8151,nEVAL,"OR")=0))</f>
      </c>
      <c r="I8151">
        <f>IF(DATOS!$I8151="","",IFERROR(VLOOKUP(DATOS!$I8151,CONFIG_ASIGNATURAS!$B$2:$J$91,9,FALSE()),""))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IF(DATOS!$A8152="",0,IF(CONFIG_METADATA!$B$4&lt;&gt;"OR+EX",--(DATOS!$G8152=CONFIG_METADATA!$B$4),IF(DATOS!$G8152="EX",1,IF(DATOS!$G8152="OR",--(COUNTIFS(nNIA,DATOS!$A8152,nCURSO,DATOS!$D8152,nESPEC,DATOS!$E8152,nASIG,DATOS!$I8152,nEVAL,"EX")=0),0))))</f>
      </c>
      <c r="H8152">
        <f>IF(DATOS!$G8152&lt;&gt;"EX",0,--(COUNTIFS(nNIA,DATOS!$A8152,nCURSO,DATOS!$D8152,nESPEC,DATOS!$E8152,nASIG,DATOS!$I8152,nEVAL,"OR")=0))</f>
      </c>
      <c r="I8152">
        <f>IF(DATOS!$I8152="","",IFERROR(VLOOKUP(DATOS!$I8152,CONFIG_ASIGNATURAS!$B$2:$J$91,9,FALSE()),""))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IF(DATOS!$A8153="",0,IF(CONFIG_METADATA!$B$4&lt;&gt;"OR+EX",--(DATOS!$G8153=CONFIG_METADATA!$B$4),IF(DATOS!$G8153="EX",1,IF(DATOS!$G8153="OR",--(COUNTIFS(nNIA,DATOS!$A8153,nCURSO,DATOS!$D8153,nESPEC,DATOS!$E8153,nASIG,DATOS!$I8153,nEVAL,"EX")=0),0))))</f>
      </c>
      <c r="H8153">
        <f>IF(DATOS!$G8153&lt;&gt;"EX",0,--(COUNTIFS(nNIA,DATOS!$A8153,nCURSO,DATOS!$D8153,nESPEC,DATOS!$E8153,nASIG,DATOS!$I8153,nEVAL,"OR")=0))</f>
      </c>
      <c r="I8153">
        <f>IF(DATOS!$I8153="","",IFERROR(VLOOKUP(DATOS!$I8153,CONFIG_ASIGNATURAS!$B$2:$J$91,9,FALSE()),""))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IF(DATOS!$A8154="",0,IF(CONFIG_METADATA!$B$4&lt;&gt;"OR+EX",--(DATOS!$G8154=CONFIG_METADATA!$B$4),IF(DATOS!$G8154="EX",1,IF(DATOS!$G8154="OR",--(COUNTIFS(nNIA,DATOS!$A8154,nCURSO,DATOS!$D8154,nESPEC,DATOS!$E8154,nASIG,DATOS!$I8154,nEVAL,"EX")=0),0))))</f>
      </c>
      <c r="H8154">
        <f>IF(DATOS!$G8154&lt;&gt;"EX",0,--(COUNTIFS(nNIA,DATOS!$A8154,nCURSO,DATOS!$D8154,nESPEC,DATOS!$E8154,nASIG,DATOS!$I8154,nEVAL,"OR")=0))</f>
      </c>
      <c r="I8154">
        <f>IF(DATOS!$I8154="","",IFERROR(VLOOKUP(DATOS!$I8154,CONFIG_ASIGNATURAS!$B$2:$J$91,9,FALSE()),""))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IF(DATOS!$A8155="",0,IF(CONFIG_METADATA!$B$4&lt;&gt;"OR+EX",--(DATOS!$G8155=CONFIG_METADATA!$B$4),IF(DATOS!$G8155="EX",1,IF(DATOS!$G8155="OR",--(COUNTIFS(nNIA,DATOS!$A8155,nCURSO,DATOS!$D8155,nESPEC,DATOS!$E8155,nASIG,DATOS!$I8155,nEVAL,"EX")=0),0))))</f>
      </c>
      <c r="H8155">
        <f>IF(DATOS!$G8155&lt;&gt;"EX",0,--(COUNTIFS(nNIA,DATOS!$A8155,nCURSO,DATOS!$D8155,nESPEC,DATOS!$E8155,nASIG,DATOS!$I8155,nEVAL,"OR")=0))</f>
      </c>
      <c r="I8155">
        <f>IF(DATOS!$I8155="","",IFERROR(VLOOKUP(DATOS!$I8155,CONFIG_ASIGNATURAS!$B$2:$J$91,9,FALSE()),""))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IF(DATOS!$A8156="",0,IF(CONFIG_METADATA!$B$4&lt;&gt;"OR+EX",--(DATOS!$G8156=CONFIG_METADATA!$B$4),IF(DATOS!$G8156="EX",1,IF(DATOS!$G8156="OR",--(COUNTIFS(nNIA,DATOS!$A8156,nCURSO,DATOS!$D8156,nESPEC,DATOS!$E8156,nASIG,DATOS!$I8156,nEVAL,"EX")=0),0))))</f>
      </c>
      <c r="H8156">
        <f>IF(DATOS!$G8156&lt;&gt;"EX",0,--(COUNTIFS(nNIA,DATOS!$A8156,nCURSO,DATOS!$D8156,nESPEC,DATOS!$E8156,nASIG,DATOS!$I8156,nEVAL,"OR")=0))</f>
      </c>
      <c r="I8156">
        <f>IF(DATOS!$I8156="","",IFERROR(VLOOKUP(DATOS!$I8156,CONFIG_ASIGNATURAS!$B$2:$J$91,9,FALSE()),""))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IF(DATOS!$A8157="",0,IF(CONFIG_METADATA!$B$4&lt;&gt;"OR+EX",--(DATOS!$G8157=CONFIG_METADATA!$B$4),IF(DATOS!$G8157="EX",1,IF(DATOS!$G8157="OR",--(COUNTIFS(nNIA,DATOS!$A8157,nCURSO,DATOS!$D8157,nESPEC,DATOS!$E8157,nASIG,DATOS!$I8157,nEVAL,"EX")=0),0))))</f>
      </c>
      <c r="H8157">
        <f>IF(DATOS!$G8157&lt;&gt;"EX",0,--(COUNTIFS(nNIA,DATOS!$A8157,nCURSO,DATOS!$D8157,nESPEC,DATOS!$E8157,nASIG,DATOS!$I8157,nEVAL,"OR")=0))</f>
      </c>
      <c r="I8157">
        <f>IF(DATOS!$I8157="","",IFERROR(VLOOKUP(DATOS!$I8157,CONFIG_ASIGNATURAS!$B$2:$J$91,9,FALSE()),""))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IF(DATOS!$A8158="",0,IF(CONFIG_METADATA!$B$4&lt;&gt;"OR+EX",--(DATOS!$G8158=CONFIG_METADATA!$B$4),IF(DATOS!$G8158="EX",1,IF(DATOS!$G8158="OR",--(COUNTIFS(nNIA,DATOS!$A8158,nCURSO,DATOS!$D8158,nESPEC,DATOS!$E8158,nASIG,DATOS!$I8158,nEVAL,"EX")=0),0))))</f>
      </c>
      <c r="H8158">
        <f>IF(DATOS!$G8158&lt;&gt;"EX",0,--(COUNTIFS(nNIA,DATOS!$A8158,nCURSO,DATOS!$D8158,nESPEC,DATOS!$E8158,nASIG,DATOS!$I8158,nEVAL,"OR")=0))</f>
      </c>
      <c r="I8158">
        <f>IF(DATOS!$I8158="","",IFERROR(VLOOKUP(DATOS!$I8158,CONFIG_ASIGNATURAS!$B$2:$J$91,9,FALSE()),""))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IF(DATOS!$A8159="",0,IF(CONFIG_METADATA!$B$4&lt;&gt;"OR+EX",--(DATOS!$G8159=CONFIG_METADATA!$B$4),IF(DATOS!$G8159="EX",1,IF(DATOS!$G8159="OR",--(COUNTIFS(nNIA,DATOS!$A8159,nCURSO,DATOS!$D8159,nESPEC,DATOS!$E8159,nASIG,DATOS!$I8159,nEVAL,"EX")=0),0))))</f>
      </c>
      <c r="H8159">
        <f>IF(DATOS!$G8159&lt;&gt;"EX",0,--(COUNTIFS(nNIA,DATOS!$A8159,nCURSO,DATOS!$D8159,nESPEC,DATOS!$E8159,nASIG,DATOS!$I8159,nEVAL,"OR")=0))</f>
      </c>
      <c r="I8159">
        <f>IF(DATOS!$I8159="","",IFERROR(VLOOKUP(DATOS!$I8159,CONFIG_ASIGNATURAS!$B$2:$J$91,9,FALSE()),""))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IF(DATOS!$A8160="",0,IF(CONFIG_METADATA!$B$4&lt;&gt;"OR+EX",--(DATOS!$G8160=CONFIG_METADATA!$B$4),IF(DATOS!$G8160="EX",1,IF(DATOS!$G8160="OR",--(COUNTIFS(nNIA,DATOS!$A8160,nCURSO,DATOS!$D8160,nESPEC,DATOS!$E8160,nASIG,DATOS!$I8160,nEVAL,"EX")=0),0))))</f>
      </c>
      <c r="H8160">
        <f>IF(DATOS!$G8160&lt;&gt;"EX",0,--(COUNTIFS(nNIA,DATOS!$A8160,nCURSO,DATOS!$D8160,nESPEC,DATOS!$E8160,nASIG,DATOS!$I8160,nEVAL,"OR")=0))</f>
      </c>
      <c r="I8160">
        <f>IF(DATOS!$I8160="","",IFERROR(VLOOKUP(DATOS!$I8160,CONFIG_ASIGNATURAS!$B$2:$J$91,9,FALSE()),""))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IF(DATOS!$A8161="",0,IF(CONFIG_METADATA!$B$4&lt;&gt;"OR+EX",--(DATOS!$G8161=CONFIG_METADATA!$B$4),IF(DATOS!$G8161="EX",1,IF(DATOS!$G8161="OR",--(COUNTIFS(nNIA,DATOS!$A8161,nCURSO,DATOS!$D8161,nESPEC,DATOS!$E8161,nASIG,DATOS!$I8161,nEVAL,"EX")=0),0))))</f>
      </c>
      <c r="H8161">
        <f>IF(DATOS!$G8161&lt;&gt;"EX",0,--(COUNTIFS(nNIA,DATOS!$A8161,nCURSO,DATOS!$D8161,nESPEC,DATOS!$E8161,nASIG,DATOS!$I8161,nEVAL,"OR")=0))</f>
      </c>
      <c r="I8161">
        <f>IF(DATOS!$I8161="","",IFERROR(VLOOKUP(DATOS!$I8161,CONFIG_ASIGNATURAS!$B$2:$J$91,9,FALSE()),""))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IF(DATOS!$A8162="",0,IF(CONFIG_METADATA!$B$4&lt;&gt;"OR+EX",--(DATOS!$G8162=CONFIG_METADATA!$B$4),IF(DATOS!$G8162="EX",1,IF(DATOS!$G8162="OR",--(COUNTIFS(nNIA,DATOS!$A8162,nCURSO,DATOS!$D8162,nESPEC,DATOS!$E8162,nASIG,DATOS!$I8162,nEVAL,"EX")=0),0))))</f>
      </c>
      <c r="H8162">
        <f>IF(DATOS!$G8162&lt;&gt;"EX",0,--(COUNTIFS(nNIA,DATOS!$A8162,nCURSO,DATOS!$D8162,nESPEC,DATOS!$E8162,nASIG,DATOS!$I8162,nEVAL,"OR")=0))</f>
      </c>
      <c r="I8162">
        <f>IF(DATOS!$I8162="","",IFERROR(VLOOKUP(DATOS!$I8162,CONFIG_ASIGNATURAS!$B$2:$J$91,9,FALSE()),""))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IF(DATOS!$A8163="",0,IF(CONFIG_METADATA!$B$4&lt;&gt;"OR+EX",--(DATOS!$G8163=CONFIG_METADATA!$B$4),IF(DATOS!$G8163="EX",1,IF(DATOS!$G8163="OR",--(COUNTIFS(nNIA,DATOS!$A8163,nCURSO,DATOS!$D8163,nESPEC,DATOS!$E8163,nASIG,DATOS!$I8163,nEVAL,"EX")=0),0))))</f>
      </c>
      <c r="H8163">
        <f>IF(DATOS!$G8163&lt;&gt;"EX",0,--(COUNTIFS(nNIA,DATOS!$A8163,nCURSO,DATOS!$D8163,nESPEC,DATOS!$E8163,nASIG,DATOS!$I8163,nEVAL,"OR")=0))</f>
      </c>
      <c r="I8163">
        <f>IF(DATOS!$I8163="","",IFERROR(VLOOKUP(DATOS!$I8163,CONFIG_ASIGNATURAS!$B$2:$J$91,9,FALSE()),""))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IF(DATOS!$A8164="",0,IF(CONFIG_METADATA!$B$4&lt;&gt;"OR+EX",--(DATOS!$G8164=CONFIG_METADATA!$B$4),IF(DATOS!$G8164="EX",1,IF(DATOS!$G8164="OR",--(COUNTIFS(nNIA,DATOS!$A8164,nCURSO,DATOS!$D8164,nESPEC,DATOS!$E8164,nASIG,DATOS!$I8164,nEVAL,"EX")=0),0))))</f>
      </c>
      <c r="H8164">
        <f>IF(DATOS!$G8164&lt;&gt;"EX",0,--(COUNTIFS(nNIA,DATOS!$A8164,nCURSO,DATOS!$D8164,nESPEC,DATOS!$E8164,nASIG,DATOS!$I8164,nEVAL,"OR")=0))</f>
      </c>
      <c r="I8164">
        <f>IF(DATOS!$I8164="","",IFERROR(VLOOKUP(DATOS!$I8164,CONFIG_ASIGNATURAS!$B$2:$J$91,9,FALSE()),""))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IF(DATOS!$A8165="",0,IF(CONFIG_METADATA!$B$4&lt;&gt;"OR+EX",--(DATOS!$G8165=CONFIG_METADATA!$B$4),IF(DATOS!$G8165="EX",1,IF(DATOS!$G8165="OR",--(COUNTIFS(nNIA,DATOS!$A8165,nCURSO,DATOS!$D8165,nESPEC,DATOS!$E8165,nASIG,DATOS!$I8165,nEVAL,"EX")=0),0))))</f>
      </c>
      <c r="H8165">
        <f>IF(DATOS!$G8165&lt;&gt;"EX",0,--(COUNTIFS(nNIA,DATOS!$A8165,nCURSO,DATOS!$D8165,nESPEC,DATOS!$E8165,nASIG,DATOS!$I8165,nEVAL,"OR")=0))</f>
      </c>
      <c r="I8165">
        <f>IF(DATOS!$I8165="","",IFERROR(VLOOKUP(DATOS!$I8165,CONFIG_ASIGNATURAS!$B$2:$J$91,9,FALSE()),""))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IF(DATOS!$A8166="",0,IF(CONFIG_METADATA!$B$4&lt;&gt;"OR+EX",--(DATOS!$G8166=CONFIG_METADATA!$B$4),IF(DATOS!$G8166="EX",1,IF(DATOS!$G8166="OR",--(COUNTIFS(nNIA,DATOS!$A8166,nCURSO,DATOS!$D8166,nESPEC,DATOS!$E8166,nASIG,DATOS!$I8166,nEVAL,"EX")=0),0))))</f>
      </c>
      <c r="H8166">
        <f>IF(DATOS!$G8166&lt;&gt;"EX",0,--(COUNTIFS(nNIA,DATOS!$A8166,nCURSO,DATOS!$D8166,nESPEC,DATOS!$E8166,nASIG,DATOS!$I8166,nEVAL,"OR")=0))</f>
      </c>
      <c r="I8166">
        <f>IF(DATOS!$I8166="","",IFERROR(VLOOKUP(DATOS!$I8166,CONFIG_ASIGNATURAS!$B$2:$J$91,9,FALSE()),""))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IF(DATOS!$A8167="",0,IF(CONFIG_METADATA!$B$4&lt;&gt;"OR+EX",--(DATOS!$G8167=CONFIG_METADATA!$B$4),IF(DATOS!$G8167="EX",1,IF(DATOS!$G8167="OR",--(COUNTIFS(nNIA,DATOS!$A8167,nCURSO,DATOS!$D8167,nESPEC,DATOS!$E8167,nASIG,DATOS!$I8167,nEVAL,"EX")=0),0))))</f>
      </c>
      <c r="H8167">
        <f>IF(DATOS!$G8167&lt;&gt;"EX",0,--(COUNTIFS(nNIA,DATOS!$A8167,nCURSO,DATOS!$D8167,nESPEC,DATOS!$E8167,nASIG,DATOS!$I8167,nEVAL,"OR")=0))</f>
      </c>
      <c r="I8167">
        <f>IF(DATOS!$I8167="","",IFERROR(VLOOKUP(DATOS!$I8167,CONFIG_ASIGNATURAS!$B$2:$J$91,9,FALSE()),""))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IF(DATOS!$A8168="",0,IF(CONFIG_METADATA!$B$4&lt;&gt;"OR+EX",--(DATOS!$G8168=CONFIG_METADATA!$B$4),IF(DATOS!$G8168="EX",1,IF(DATOS!$G8168="OR",--(COUNTIFS(nNIA,DATOS!$A8168,nCURSO,DATOS!$D8168,nESPEC,DATOS!$E8168,nASIG,DATOS!$I8168,nEVAL,"EX")=0),0))))</f>
      </c>
      <c r="H8168">
        <f>IF(DATOS!$G8168&lt;&gt;"EX",0,--(COUNTIFS(nNIA,DATOS!$A8168,nCURSO,DATOS!$D8168,nESPEC,DATOS!$E8168,nASIG,DATOS!$I8168,nEVAL,"OR")=0))</f>
      </c>
      <c r="I8168">
        <f>IF(DATOS!$I8168="","",IFERROR(VLOOKUP(DATOS!$I8168,CONFIG_ASIGNATURAS!$B$2:$J$91,9,FALSE()),""))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IF(DATOS!$A8169="",0,IF(CONFIG_METADATA!$B$4&lt;&gt;"OR+EX",--(DATOS!$G8169=CONFIG_METADATA!$B$4),IF(DATOS!$G8169="EX",1,IF(DATOS!$G8169="OR",--(COUNTIFS(nNIA,DATOS!$A8169,nCURSO,DATOS!$D8169,nESPEC,DATOS!$E8169,nASIG,DATOS!$I8169,nEVAL,"EX")=0),0))))</f>
      </c>
      <c r="H8169">
        <f>IF(DATOS!$G8169&lt;&gt;"EX",0,--(COUNTIFS(nNIA,DATOS!$A8169,nCURSO,DATOS!$D8169,nESPEC,DATOS!$E8169,nASIG,DATOS!$I8169,nEVAL,"OR")=0))</f>
      </c>
      <c r="I8169">
        <f>IF(DATOS!$I8169="","",IFERROR(VLOOKUP(DATOS!$I8169,CONFIG_ASIGNATURAS!$B$2:$J$91,9,FALSE()),""))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IF(DATOS!$A8170="",0,IF(CONFIG_METADATA!$B$4&lt;&gt;"OR+EX",--(DATOS!$G8170=CONFIG_METADATA!$B$4),IF(DATOS!$G8170="EX",1,IF(DATOS!$G8170="OR",--(COUNTIFS(nNIA,DATOS!$A8170,nCURSO,DATOS!$D8170,nESPEC,DATOS!$E8170,nASIG,DATOS!$I8170,nEVAL,"EX")=0),0))))</f>
      </c>
      <c r="H8170">
        <f>IF(DATOS!$G8170&lt;&gt;"EX",0,--(COUNTIFS(nNIA,DATOS!$A8170,nCURSO,DATOS!$D8170,nESPEC,DATOS!$E8170,nASIG,DATOS!$I8170,nEVAL,"OR")=0))</f>
      </c>
      <c r="I8170">
        <f>IF(DATOS!$I8170="","",IFERROR(VLOOKUP(DATOS!$I8170,CONFIG_ASIGNATURAS!$B$2:$J$91,9,FALSE()),""))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IF(DATOS!$A8171="",0,IF(CONFIG_METADATA!$B$4&lt;&gt;"OR+EX",--(DATOS!$G8171=CONFIG_METADATA!$B$4),IF(DATOS!$G8171="EX",1,IF(DATOS!$G8171="OR",--(COUNTIFS(nNIA,DATOS!$A8171,nCURSO,DATOS!$D8171,nESPEC,DATOS!$E8171,nASIG,DATOS!$I8171,nEVAL,"EX")=0),0))))</f>
      </c>
      <c r="H8171">
        <f>IF(DATOS!$G8171&lt;&gt;"EX",0,--(COUNTIFS(nNIA,DATOS!$A8171,nCURSO,DATOS!$D8171,nESPEC,DATOS!$E8171,nASIG,DATOS!$I8171,nEVAL,"OR")=0))</f>
      </c>
      <c r="I8171">
        <f>IF(DATOS!$I8171="","",IFERROR(VLOOKUP(DATOS!$I8171,CONFIG_ASIGNATURAS!$B$2:$J$91,9,FALSE()),""))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IF(DATOS!$A8172="",0,IF(CONFIG_METADATA!$B$4&lt;&gt;"OR+EX",--(DATOS!$G8172=CONFIG_METADATA!$B$4),IF(DATOS!$G8172="EX",1,IF(DATOS!$G8172="OR",--(COUNTIFS(nNIA,DATOS!$A8172,nCURSO,DATOS!$D8172,nESPEC,DATOS!$E8172,nASIG,DATOS!$I8172,nEVAL,"EX")=0),0))))</f>
      </c>
      <c r="H8172">
        <f>IF(DATOS!$G8172&lt;&gt;"EX",0,--(COUNTIFS(nNIA,DATOS!$A8172,nCURSO,DATOS!$D8172,nESPEC,DATOS!$E8172,nASIG,DATOS!$I8172,nEVAL,"OR")=0))</f>
      </c>
      <c r="I8172">
        <f>IF(DATOS!$I8172="","",IFERROR(VLOOKUP(DATOS!$I8172,CONFIG_ASIGNATURAS!$B$2:$J$91,9,FALSE()),""))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IF(DATOS!$A8173="",0,IF(CONFIG_METADATA!$B$4&lt;&gt;"OR+EX",--(DATOS!$G8173=CONFIG_METADATA!$B$4),IF(DATOS!$G8173="EX",1,IF(DATOS!$G8173="OR",--(COUNTIFS(nNIA,DATOS!$A8173,nCURSO,DATOS!$D8173,nESPEC,DATOS!$E8173,nASIG,DATOS!$I8173,nEVAL,"EX")=0),0))))</f>
      </c>
      <c r="H8173">
        <f>IF(DATOS!$G8173&lt;&gt;"EX",0,--(COUNTIFS(nNIA,DATOS!$A8173,nCURSO,DATOS!$D8173,nESPEC,DATOS!$E8173,nASIG,DATOS!$I8173,nEVAL,"OR")=0))</f>
      </c>
      <c r="I8173">
        <f>IF(DATOS!$I8173="","",IFERROR(VLOOKUP(DATOS!$I8173,CONFIG_ASIGNATURAS!$B$2:$J$91,9,FALSE()),""))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IF(DATOS!$A8174="",0,IF(CONFIG_METADATA!$B$4&lt;&gt;"OR+EX",--(DATOS!$G8174=CONFIG_METADATA!$B$4),IF(DATOS!$G8174="EX",1,IF(DATOS!$G8174="OR",--(COUNTIFS(nNIA,DATOS!$A8174,nCURSO,DATOS!$D8174,nESPEC,DATOS!$E8174,nASIG,DATOS!$I8174,nEVAL,"EX")=0),0))))</f>
      </c>
      <c r="H8174">
        <f>IF(DATOS!$G8174&lt;&gt;"EX",0,--(COUNTIFS(nNIA,DATOS!$A8174,nCURSO,DATOS!$D8174,nESPEC,DATOS!$E8174,nASIG,DATOS!$I8174,nEVAL,"OR")=0))</f>
      </c>
      <c r="I8174">
        <f>IF(DATOS!$I8174="","",IFERROR(VLOOKUP(DATOS!$I8174,CONFIG_ASIGNATURAS!$B$2:$J$91,9,FALSE()),""))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IF(DATOS!$A8175="",0,IF(CONFIG_METADATA!$B$4&lt;&gt;"OR+EX",--(DATOS!$G8175=CONFIG_METADATA!$B$4),IF(DATOS!$G8175="EX",1,IF(DATOS!$G8175="OR",--(COUNTIFS(nNIA,DATOS!$A8175,nCURSO,DATOS!$D8175,nESPEC,DATOS!$E8175,nASIG,DATOS!$I8175,nEVAL,"EX")=0),0))))</f>
      </c>
      <c r="H8175">
        <f>IF(DATOS!$G8175&lt;&gt;"EX",0,--(COUNTIFS(nNIA,DATOS!$A8175,nCURSO,DATOS!$D8175,nESPEC,DATOS!$E8175,nASIG,DATOS!$I8175,nEVAL,"OR")=0))</f>
      </c>
      <c r="I8175">
        <f>IF(DATOS!$I8175="","",IFERROR(VLOOKUP(DATOS!$I8175,CONFIG_ASIGNATURAS!$B$2:$J$91,9,FALSE()),""))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IF(DATOS!$A8176="",0,IF(CONFIG_METADATA!$B$4&lt;&gt;"OR+EX",--(DATOS!$G8176=CONFIG_METADATA!$B$4),IF(DATOS!$G8176="EX",1,IF(DATOS!$G8176="OR",--(COUNTIFS(nNIA,DATOS!$A8176,nCURSO,DATOS!$D8176,nESPEC,DATOS!$E8176,nASIG,DATOS!$I8176,nEVAL,"EX")=0),0))))</f>
      </c>
      <c r="H8176">
        <f>IF(DATOS!$G8176&lt;&gt;"EX",0,--(COUNTIFS(nNIA,DATOS!$A8176,nCURSO,DATOS!$D8176,nESPEC,DATOS!$E8176,nASIG,DATOS!$I8176,nEVAL,"OR")=0))</f>
      </c>
      <c r="I8176">
        <f>IF(DATOS!$I8176="","",IFERROR(VLOOKUP(DATOS!$I8176,CONFIG_ASIGNATURAS!$B$2:$J$91,9,FALSE()),""))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IF(DATOS!$A8177="",0,IF(CONFIG_METADATA!$B$4&lt;&gt;"OR+EX",--(DATOS!$G8177=CONFIG_METADATA!$B$4),IF(DATOS!$G8177="EX",1,IF(DATOS!$G8177="OR",--(COUNTIFS(nNIA,DATOS!$A8177,nCURSO,DATOS!$D8177,nESPEC,DATOS!$E8177,nASIG,DATOS!$I8177,nEVAL,"EX")=0),0))))</f>
      </c>
      <c r="H8177">
        <f>IF(DATOS!$G8177&lt;&gt;"EX",0,--(COUNTIFS(nNIA,DATOS!$A8177,nCURSO,DATOS!$D8177,nESPEC,DATOS!$E8177,nASIG,DATOS!$I8177,nEVAL,"OR")=0))</f>
      </c>
      <c r="I8177">
        <f>IF(DATOS!$I8177="","",IFERROR(VLOOKUP(DATOS!$I8177,CONFIG_ASIGNATURAS!$B$2:$J$91,9,FALSE()),""))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IF(DATOS!$A8178="",0,IF(CONFIG_METADATA!$B$4&lt;&gt;"OR+EX",--(DATOS!$G8178=CONFIG_METADATA!$B$4),IF(DATOS!$G8178="EX",1,IF(DATOS!$G8178="OR",--(COUNTIFS(nNIA,DATOS!$A8178,nCURSO,DATOS!$D8178,nESPEC,DATOS!$E8178,nASIG,DATOS!$I8178,nEVAL,"EX")=0),0))))</f>
      </c>
      <c r="H8178">
        <f>IF(DATOS!$G8178&lt;&gt;"EX",0,--(COUNTIFS(nNIA,DATOS!$A8178,nCURSO,DATOS!$D8178,nESPEC,DATOS!$E8178,nASIG,DATOS!$I8178,nEVAL,"OR")=0))</f>
      </c>
      <c r="I8178">
        <f>IF(DATOS!$I8178="","",IFERROR(VLOOKUP(DATOS!$I8178,CONFIG_ASIGNATURAS!$B$2:$J$91,9,FALSE()),""))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IF(DATOS!$A8179="",0,IF(CONFIG_METADATA!$B$4&lt;&gt;"OR+EX",--(DATOS!$G8179=CONFIG_METADATA!$B$4),IF(DATOS!$G8179="EX",1,IF(DATOS!$G8179="OR",--(COUNTIFS(nNIA,DATOS!$A8179,nCURSO,DATOS!$D8179,nESPEC,DATOS!$E8179,nASIG,DATOS!$I8179,nEVAL,"EX")=0),0))))</f>
      </c>
      <c r="H8179">
        <f>IF(DATOS!$G8179&lt;&gt;"EX",0,--(COUNTIFS(nNIA,DATOS!$A8179,nCURSO,DATOS!$D8179,nESPEC,DATOS!$E8179,nASIG,DATOS!$I8179,nEVAL,"OR")=0))</f>
      </c>
      <c r="I8179">
        <f>IF(DATOS!$I8179="","",IFERROR(VLOOKUP(DATOS!$I8179,CONFIG_ASIGNATURAS!$B$2:$J$91,9,FALSE()),""))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IF(DATOS!$A8180="",0,IF(CONFIG_METADATA!$B$4&lt;&gt;"OR+EX",--(DATOS!$G8180=CONFIG_METADATA!$B$4),IF(DATOS!$G8180="EX",1,IF(DATOS!$G8180="OR",--(COUNTIFS(nNIA,DATOS!$A8180,nCURSO,DATOS!$D8180,nESPEC,DATOS!$E8180,nASIG,DATOS!$I8180,nEVAL,"EX")=0),0))))</f>
      </c>
      <c r="H8180">
        <f>IF(DATOS!$G8180&lt;&gt;"EX",0,--(COUNTIFS(nNIA,DATOS!$A8180,nCURSO,DATOS!$D8180,nESPEC,DATOS!$E8180,nASIG,DATOS!$I8180,nEVAL,"OR")=0))</f>
      </c>
      <c r="I8180">
        <f>IF(DATOS!$I8180="","",IFERROR(VLOOKUP(DATOS!$I8180,CONFIG_ASIGNATURAS!$B$2:$J$91,9,FALSE()),""))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IF(DATOS!$A8181="",0,IF(CONFIG_METADATA!$B$4&lt;&gt;"OR+EX",--(DATOS!$G8181=CONFIG_METADATA!$B$4),IF(DATOS!$G8181="EX",1,IF(DATOS!$G8181="OR",--(COUNTIFS(nNIA,DATOS!$A8181,nCURSO,DATOS!$D8181,nESPEC,DATOS!$E8181,nASIG,DATOS!$I8181,nEVAL,"EX")=0),0))))</f>
      </c>
      <c r="H8181">
        <f>IF(DATOS!$G8181&lt;&gt;"EX",0,--(COUNTIFS(nNIA,DATOS!$A8181,nCURSO,DATOS!$D8181,nESPEC,DATOS!$E8181,nASIG,DATOS!$I8181,nEVAL,"OR")=0))</f>
      </c>
      <c r="I8181">
        <f>IF(DATOS!$I8181="","",IFERROR(VLOOKUP(DATOS!$I8181,CONFIG_ASIGNATURAS!$B$2:$J$91,9,FALSE()),""))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IF(DATOS!$A8182="",0,IF(CONFIG_METADATA!$B$4&lt;&gt;"OR+EX",--(DATOS!$G8182=CONFIG_METADATA!$B$4),IF(DATOS!$G8182="EX",1,IF(DATOS!$G8182="OR",--(COUNTIFS(nNIA,DATOS!$A8182,nCURSO,DATOS!$D8182,nESPEC,DATOS!$E8182,nASIG,DATOS!$I8182,nEVAL,"EX")=0),0))))</f>
      </c>
      <c r="H8182">
        <f>IF(DATOS!$G8182&lt;&gt;"EX",0,--(COUNTIFS(nNIA,DATOS!$A8182,nCURSO,DATOS!$D8182,nESPEC,DATOS!$E8182,nASIG,DATOS!$I8182,nEVAL,"OR")=0))</f>
      </c>
      <c r="I8182">
        <f>IF(DATOS!$I8182="","",IFERROR(VLOOKUP(DATOS!$I8182,CONFIG_ASIGNATURAS!$B$2:$J$91,9,FALSE()),""))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IF(DATOS!$A8183="",0,IF(CONFIG_METADATA!$B$4&lt;&gt;"OR+EX",--(DATOS!$G8183=CONFIG_METADATA!$B$4),IF(DATOS!$G8183="EX",1,IF(DATOS!$G8183="OR",--(COUNTIFS(nNIA,DATOS!$A8183,nCURSO,DATOS!$D8183,nESPEC,DATOS!$E8183,nASIG,DATOS!$I8183,nEVAL,"EX")=0),0))))</f>
      </c>
      <c r="H8183">
        <f>IF(DATOS!$G8183&lt;&gt;"EX",0,--(COUNTIFS(nNIA,DATOS!$A8183,nCURSO,DATOS!$D8183,nESPEC,DATOS!$E8183,nASIG,DATOS!$I8183,nEVAL,"OR")=0))</f>
      </c>
      <c r="I8183">
        <f>IF(DATOS!$I8183="","",IFERROR(VLOOKUP(DATOS!$I8183,CONFIG_ASIGNATURAS!$B$2:$J$91,9,FALSE()),""))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IF(DATOS!$A8184="",0,IF(CONFIG_METADATA!$B$4&lt;&gt;"OR+EX",--(DATOS!$G8184=CONFIG_METADATA!$B$4),IF(DATOS!$G8184="EX",1,IF(DATOS!$G8184="OR",--(COUNTIFS(nNIA,DATOS!$A8184,nCURSO,DATOS!$D8184,nESPEC,DATOS!$E8184,nASIG,DATOS!$I8184,nEVAL,"EX")=0),0))))</f>
      </c>
      <c r="H8184">
        <f>IF(DATOS!$G8184&lt;&gt;"EX",0,--(COUNTIFS(nNIA,DATOS!$A8184,nCURSO,DATOS!$D8184,nESPEC,DATOS!$E8184,nASIG,DATOS!$I8184,nEVAL,"OR")=0))</f>
      </c>
      <c r="I8184">
        <f>IF(DATOS!$I8184="","",IFERROR(VLOOKUP(DATOS!$I8184,CONFIG_ASIGNATURAS!$B$2:$J$91,9,FALSE()),""))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IF(DATOS!$A8185="",0,IF(CONFIG_METADATA!$B$4&lt;&gt;"OR+EX",--(DATOS!$G8185=CONFIG_METADATA!$B$4),IF(DATOS!$G8185="EX",1,IF(DATOS!$G8185="OR",--(COUNTIFS(nNIA,DATOS!$A8185,nCURSO,DATOS!$D8185,nESPEC,DATOS!$E8185,nASIG,DATOS!$I8185,nEVAL,"EX")=0),0))))</f>
      </c>
      <c r="H8185">
        <f>IF(DATOS!$G8185&lt;&gt;"EX",0,--(COUNTIFS(nNIA,DATOS!$A8185,nCURSO,DATOS!$D8185,nESPEC,DATOS!$E8185,nASIG,DATOS!$I8185,nEVAL,"OR")=0))</f>
      </c>
      <c r="I8185">
        <f>IF(DATOS!$I8185="","",IFERROR(VLOOKUP(DATOS!$I8185,CONFIG_ASIGNATURAS!$B$2:$J$91,9,FALSE()),""))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IF(DATOS!$A8186="",0,IF(CONFIG_METADATA!$B$4&lt;&gt;"OR+EX",--(DATOS!$G8186=CONFIG_METADATA!$B$4),IF(DATOS!$G8186="EX",1,IF(DATOS!$G8186="OR",--(COUNTIFS(nNIA,DATOS!$A8186,nCURSO,DATOS!$D8186,nESPEC,DATOS!$E8186,nASIG,DATOS!$I8186,nEVAL,"EX")=0),0))))</f>
      </c>
      <c r="H8186">
        <f>IF(DATOS!$G8186&lt;&gt;"EX",0,--(COUNTIFS(nNIA,DATOS!$A8186,nCURSO,DATOS!$D8186,nESPEC,DATOS!$E8186,nASIG,DATOS!$I8186,nEVAL,"OR")=0))</f>
      </c>
      <c r="I8186">
        <f>IF(DATOS!$I8186="","",IFERROR(VLOOKUP(DATOS!$I8186,CONFIG_ASIGNATURAS!$B$2:$J$91,9,FALSE()),""))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IF(DATOS!$A8187="",0,IF(CONFIG_METADATA!$B$4&lt;&gt;"OR+EX",--(DATOS!$G8187=CONFIG_METADATA!$B$4),IF(DATOS!$G8187="EX",1,IF(DATOS!$G8187="OR",--(COUNTIFS(nNIA,DATOS!$A8187,nCURSO,DATOS!$D8187,nESPEC,DATOS!$E8187,nASIG,DATOS!$I8187,nEVAL,"EX")=0),0))))</f>
      </c>
      <c r="H8187">
        <f>IF(DATOS!$G8187&lt;&gt;"EX",0,--(COUNTIFS(nNIA,DATOS!$A8187,nCURSO,DATOS!$D8187,nESPEC,DATOS!$E8187,nASIG,DATOS!$I8187,nEVAL,"OR")=0))</f>
      </c>
      <c r="I8187">
        <f>IF(DATOS!$I8187="","",IFERROR(VLOOKUP(DATOS!$I8187,CONFIG_ASIGNATURAS!$B$2:$J$91,9,FALSE()),""))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IF(DATOS!$A8188="",0,IF(CONFIG_METADATA!$B$4&lt;&gt;"OR+EX",--(DATOS!$G8188=CONFIG_METADATA!$B$4),IF(DATOS!$G8188="EX",1,IF(DATOS!$G8188="OR",--(COUNTIFS(nNIA,DATOS!$A8188,nCURSO,DATOS!$D8188,nESPEC,DATOS!$E8188,nASIG,DATOS!$I8188,nEVAL,"EX")=0),0))))</f>
      </c>
      <c r="H8188">
        <f>IF(DATOS!$G8188&lt;&gt;"EX",0,--(COUNTIFS(nNIA,DATOS!$A8188,nCURSO,DATOS!$D8188,nESPEC,DATOS!$E8188,nASIG,DATOS!$I8188,nEVAL,"OR")=0))</f>
      </c>
      <c r="I8188">
        <f>IF(DATOS!$I8188="","",IFERROR(VLOOKUP(DATOS!$I8188,CONFIG_ASIGNATURAS!$B$2:$J$91,9,FALSE()),""))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IF(DATOS!$A8189="",0,IF(CONFIG_METADATA!$B$4&lt;&gt;"OR+EX",--(DATOS!$G8189=CONFIG_METADATA!$B$4),IF(DATOS!$G8189="EX",1,IF(DATOS!$G8189="OR",--(COUNTIFS(nNIA,DATOS!$A8189,nCURSO,DATOS!$D8189,nESPEC,DATOS!$E8189,nASIG,DATOS!$I8189,nEVAL,"EX")=0),0))))</f>
      </c>
      <c r="H8189">
        <f>IF(DATOS!$G8189&lt;&gt;"EX",0,--(COUNTIFS(nNIA,DATOS!$A8189,nCURSO,DATOS!$D8189,nESPEC,DATOS!$E8189,nASIG,DATOS!$I8189,nEVAL,"OR")=0))</f>
      </c>
      <c r="I8189">
        <f>IF(DATOS!$I8189="","",IFERROR(VLOOKUP(DATOS!$I8189,CONFIG_ASIGNATURAS!$B$2:$J$91,9,FALSE()),""))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IF(DATOS!$A8190="",0,IF(CONFIG_METADATA!$B$4&lt;&gt;"OR+EX",--(DATOS!$G8190=CONFIG_METADATA!$B$4),IF(DATOS!$G8190="EX",1,IF(DATOS!$G8190="OR",--(COUNTIFS(nNIA,DATOS!$A8190,nCURSO,DATOS!$D8190,nESPEC,DATOS!$E8190,nASIG,DATOS!$I8190,nEVAL,"EX")=0),0))))</f>
      </c>
      <c r="H8190">
        <f>IF(DATOS!$G8190&lt;&gt;"EX",0,--(COUNTIFS(nNIA,DATOS!$A8190,nCURSO,DATOS!$D8190,nESPEC,DATOS!$E8190,nASIG,DATOS!$I8190,nEVAL,"OR")=0))</f>
      </c>
      <c r="I8190">
        <f>IF(DATOS!$I8190="","",IFERROR(VLOOKUP(DATOS!$I8190,CONFIG_ASIGNATURAS!$B$2:$J$91,9,FALSE()),""))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IF(DATOS!$A8191="",0,IF(CONFIG_METADATA!$B$4&lt;&gt;"OR+EX",--(DATOS!$G8191=CONFIG_METADATA!$B$4),IF(DATOS!$G8191="EX",1,IF(DATOS!$G8191="OR",--(COUNTIFS(nNIA,DATOS!$A8191,nCURSO,DATOS!$D8191,nESPEC,DATOS!$E8191,nASIG,DATOS!$I8191,nEVAL,"EX")=0),0))))</f>
      </c>
      <c r="H8191">
        <f>IF(DATOS!$G8191&lt;&gt;"EX",0,--(COUNTIFS(nNIA,DATOS!$A8191,nCURSO,DATOS!$D8191,nESPEC,DATOS!$E8191,nASIG,DATOS!$I8191,nEVAL,"OR")=0))</f>
      </c>
      <c r="I8191">
        <f>IF(DATOS!$I8191="","",IFERROR(VLOOKUP(DATOS!$I8191,CONFIG_ASIGNATURAS!$B$2:$J$91,9,FALSE()),""))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IF(DATOS!$A8192="",0,IF(CONFIG_METADATA!$B$4&lt;&gt;"OR+EX",--(DATOS!$G8192=CONFIG_METADATA!$B$4),IF(DATOS!$G8192="EX",1,IF(DATOS!$G8192="OR",--(COUNTIFS(nNIA,DATOS!$A8192,nCURSO,DATOS!$D8192,nESPEC,DATOS!$E8192,nASIG,DATOS!$I8192,nEVAL,"EX")=0),0))))</f>
      </c>
      <c r="H8192">
        <f>IF(DATOS!$G8192&lt;&gt;"EX",0,--(COUNTIFS(nNIA,DATOS!$A8192,nCURSO,DATOS!$D8192,nESPEC,DATOS!$E8192,nASIG,DATOS!$I8192,nEVAL,"OR")=0))</f>
      </c>
      <c r="I8192">
        <f>IF(DATOS!$I8192="","",IFERROR(VLOOKUP(DATOS!$I8192,CONFIG_ASIGNATURAS!$B$2:$J$91,9,FALSE()),""))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IF(DATOS!$A8193="",0,IF(CONFIG_METADATA!$B$4&lt;&gt;"OR+EX",--(DATOS!$G8193=CONFIG_METADATA!$B$4),IF(DATOS!$G8193="EX",1,IF(DATOS!$G8193="OR",--(COUNTIFS(nNIA,DATOS!$A8193,nCURSO,DATOS!$D8193,nESPEC,DATOS!$E8193,nASIG,DATOS!$I8193,nEVAL,"EX")=0),0))))</f>
      </c>
      <c r="H8193">
        <f>IF(DATOS!$G8193&lt;&gt;"EX",0,--(COUNTIFS(nNIA,DATOS!$A8193,nCURSO,DATOS!$D8193,nESPEC,DATOS!$E8193,nASIG,DATOS!$I8193,nEVAL,"OR")=0))</f>
      </c>
      <c r="I8193">
        <f>IF(DATOS!$I8193="","",IFERROR(VLOOKUP(DATOS!$I8193,CONFIG_ASIGNATURAS!$B$2:$J$91,9,FALSE()),""))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IF(DATOS!$A8194="",0,IF(CONFIG_METADATA!$B$4&lt;&gt;"OR+EX",--(DATOS!$G8194=CONFIG_METADATA!$B$4),IF(DATOS!$G8194="EX",1,IF(DATOS!$G8194="OR",--(COUNTIFS(nNIA,DATOS!$A8194,nCURSO,DATOS!$D8194,nESPEC,DATOS!$E8194,nASIG,DATOS!$I8194,nEVAL,"EX")=0),0))))</f>
      </c>
      <c r="H8194">
        <f>IF(DATOS!$G8194&lt;&gt;"EX",0,--(COUNTIFS(nNIA,DATOS!$A8194,nCURSO,DATOS!$D8194,nESPEC,DATOS!$E8194,nASIG,DATOS!$I8194,nEVAL,"OR")=0))</f>
      </c>
      <c r="I8194">
        <f>IF(DATOS!$I8194="","",IFERROR(VLOOKUP(DATOS!$I8194,CONFIG_ASIGNATURAS!$B$2:$J$91,9,FALSE()),""))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IF(DATOS!$A8195="",0,IF(CONFIG_METADATA!$B$4&lt;&gt;"OR+EX",--(DATOS!$G8195=CONFIG_METADATA!$B$4),IF(DATOS!$G8195="EX",1,IF(DATOS!$G8195="OR",--(COUNTIFS(nNIA,DATOS!$A8195,nCURSO,DATOS!$D8195,nESPEC,DATOS!$E8195,nASIG,DATOS!$I8195,nEVAL,"EX")=0),0))))</f>
      </c>
      <c r="H8195">
        <f>IF(DATOS!$G8195&lt;&gt;"EX",0,--(COUNTIFS(nNIA,DATOS!$A8195,nCURSO,DATOS!$D8195,nESPEC,DATOS!$E8195,nASIG,DATOS!$I8195,nEVAL,"OR")=0))</f>
      </c>
      <c r="I8195">
        <f>IF(DATOS!$I8195="","",IFERROR(VLOOKUP(DATOS!$I8195,CONFIG_ASIGNATURAS!$B$2:$J$91,9,FALSE()),""))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IF(DATOS!$A8196="",0,IF(CONFIG_METADATA!$B$4&lt;&gt;"OR+EX",--(DATOS!$G8196=CONFIG_METADATA!$B$4),IF(DATOS!$G8196="EX",1,IF(DATOS!$G8196="OR",--(COUNTIFS(nNIA,DATOS!$A8196,nCURSO,DATOS!$D8196,nESPEC,DATOS!$E8196,nASIG,DATOS!$I8196,nEVAL,"EX")=0),0))))</f>
      </c>
      <c r="H8196">
        <f>IF(DATOS!$G8196&lt;&gt;"EX",0,--(COUNTIFS(nNIA,DATOS!$A8196,nCURSO,DATOS!$D8196,nESPEC,DATOS!$E8196,nASIG,DATOS!$I8196,nEVAL,"OR")=0))</f>
      </c>
      <c r="I8196">
        <f>IF(DATOS!$I8196="","",IFERROR(VLOOKUP(DATOS!$I8196,CONFIG_ASIGNATURAS!$B$2:$J$91,9,FALSE()),""))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IF(DATOS!$A8197="",0,IF(CONFIG_METADATA!$B$4&lt;&gt;"OR+EX",--(DATOS!$G8197=CONFIG_METADATA!$B$4),IF(DATOS!$G8197="EX",1,IF(DATOS!$G8197="OR",--(COUNTIFS(nNIA,DATOS!$A8197,nCURSO,DATOS!$D8197,nESPEC,DATOS!$E8197,nASIG,DATOS!$I8197,nEVAL,"EX")=0),0))))</f>
      </c>
      <c r="H8197">
        <f>IF(DATOS!$G8197&lt;&gt;"EX",0,--(COUNTIFS(nNIA,DATOS!$A8197,nCURSO,DATOS!$D8197,nESPEC,DATOS!$E8197,nASIG,DATOS!$I8197,nEVAL,"OR")=0))</f>
      </c>
      <c r="I8197">
        <f>IF(DATOS!$I8197="","",IFERROR(VLOOKUP(DATOS!$I8197,CONFIG_ASIGNATURAS!$B$2:$J$91,9,FALSE()),""))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IF(DATOS!$A8198="",0,IF(CONFIG_METADATA!$B$4&lt;&gt;"OR+EX",--(DATOS!$G8198=CONFIG_METADATA!$B$4),IF(DATOS!$G8198="EX",1,IF(DATOS!$G8198="OR",--(COUNTIFS(nNIA,DATOS!$A8198,nCURSO,DATOS!$D8198,nESPEC,DATOS!$E8198,nASIG,DATOS!$I8198,nEVAL,"EX")=0),0))))</f>
      </c>
      <c r="H8198">
        <f>IF(DATOS!$G8198&lt;&gt;"EX",0,--(COUNTIFS(nNIA,DATOS!$A8198,nCURSO,DATOS!$D8198,nESPEC,DATOS!$E8198,nASIG,DATOS!$I8198,nEVAL,"OR")=0))</f>
      </c>
      <c r="I8198">
        <f>IF(DATOS!$I8198="","",IFERROR(VLOOKUP(DATOS!$I8198,CONFIG_ASIGNATURAS!$B$2:$J$91,9,FALSE()),""))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IF(DATOS!$A8199="",0,IF(CONFIG_METADATA!$B$4&lt;&gt;"OR+EX",--(DATOS!$G8199=CONFIG_METADATA!$B$4),IF(DATOS!$G8199="EX",1,IF(DATOS!$G8199="OR",--(COUNTIFS(nNIA,DATOS!$A8199,nCURSO,DATOS!$D8199,nESPEC,DATOS!$E8199,nASIG,DATOS!$I8199,nEVAL,"EX")=0),0))))</f>
      </c>
      <c r="H8199">
        <f>IF(DATOS!$G8199&lt;&gt;"EX",0,--(COUNTIFS(nNIA,DATOS!$A8199,nCURSO,DATOS!$D8199,nESPEC,DATOS!$E8199,nASIG,DATOS!$I8199,nEVAL,"OR")=0))</f>
      </c>
      <c r="I8199">
        <f>IF(DATOS!$I8199="","",IFERROR(VLOOKUP(DATOS!$I8199,CONFIG_ASIGNATURAS!$B$2:$J$91,9,FALSE()),""))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IF(DATOS!$A8200="",0,IF(CONFIG_METADATA!$B$4&lt;&gt;"OR+EX",--(DATOS!$G8200=CONFIG_METADATA!$B$4),IF(DATOS!$G8200="EX",1,IF(DATOS!$G8200="OR",--(COUNTIFS(nNIA,DATOS!$A8200,nCURSO,DATOS!$D8200,nESPEC,DATOS!$E8200,nASIG,DATOS!$I8200,nEVAL,"EX")=0),0))))</f>
      </c>
      <c r="H8200">
        <f>IF(DATOS!$G8200&lt;&gt;"EX",0,--(COUNTIFS(nNIA,DATOS!$A8200,nCURSO,DATOS!$D8200,nESPEC,DATOS!$E8200,nASIG,DATOS!$I8200,nEVAL,"OR")=0))</f>
      </c>
      <c r="I8200">
        <f>IF(DATOS!$I8200="","",IFERROR(VLOOKUP(DATOS!$I8200,CONFIG_ASIGNATURAS!$B$2:$J$91,9,FALSE()),""))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IF(DATOS!$A8201="",0,IF(CONFIG_METADATA!$B$4&lt;&gt;"OR+EX",--(DATOS!$G8201=CONFIG_METADATA!$B$4),IF(DATOS!$G8201="EX",1,IF(DATOS!$G8201="OR",--(COUNTIFS(nNIA,DATOS!$A8201,nCURSO,DATOS!$D8201,nESPEC,DATOS!$E8201,nASIG,DATOS!$I8201,nEVAL,"EX")=0),0))))</f>
      </c>
      <c r="H8201">
        <f>IF(DATOS!$G8201&lt;&gt;"EX",0,--(COUNTIFS(nNIA,DATOS!$A8201,nCURSO,DATOS!$D8201,nESPEC,DATOS!$E8201,nASIG,DATOS!$I8201,nEVAL,"OR")=0))</f>
      </c>
      <c r="I8201">
        <f>IF(DATOS!$I8201="","",IFERROR(VLOOKUP(DATOS!$I8201,CONFIG_ASIGNATURAS!$B$2:$J$91,9,FALSE()),""))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IF(DATOS!$A8202="",0,IF(CONFIG_METADATA!$B$4&lt;&gt;"OR+EX",--(DATOS!$G8202=CONFIG_METADATA!$B$4),IF(DATOS!$G8202="EX",1,IF(DATOS!$G8202="OR",--(COUNTIFS(nNIA,DATOS!$A8202,nCURSO,DATOS!$D8202,nESPEC,DATOS!$E8202,nASIG,DATOS!$I8202,nEVAL,"EX")=0),0))))</f>
      </c>
      <c r="H8202">
        <f>IF(DATOS!$G8202&lt;&gt;"EX",0,--(COUNTIFS(nNIA,DATOS!$A8202,nCURSO,DATOS!$D8202,nESPEC,DATOS!$E8202,nASIG,DATOS!$I8202,nEVAL,"OR")=0))</f>
      </c>
      <c r="I8202">
        <f>IF(DATOS!$I8202="","",IFERROR(VLOOKUP(DATOS!$I8202,CONFIG_ASIGNATURAS!$B$2:$J$91,9,FALSE()),""))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IF(DATOS!$A8203="",0,IF(CONFIG_METADATA!$B$4&lt;&gt;"OR+EX",--(DATOS!$G8203=CONFIG_METADATA!$B$4),IF(DATOS!$G8203="EX",1,IF(DATOS!$G8203="OR",--(COUNTIFS(nNIA,DATOS!$A8203,nCURSO,DATOS!$D8203,nESPEC,DATOS!$E8203,nASIG,DATOS!$I8203,nEVAL,"EX")=0),0))))</f>
      </c>
      <c r="H8203">
        <f>IF(DATOS!$G8203&lt;&gt;"EX",0,--(COUNTIFS(nNIA,DATOS!$A8203,nCURSO,DATOS!$D8203,nESPEC,DATOS!$E8203,nASIG,DATOS!$I8203,nEVAL,"OR")=0))</f>
      </c>
      <c r="I8203">
        <f>IF(DATOS!$I8203="","",IFERROR(VLOOKUP(DATOS!$I8203,CONFIG_ASIGNATURAS!$B$2:$J$91,9,FALSE()),""))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IF(DATOS!$A8204="",0,IF(CONFIG_METADATA!$B$4&lt;&gt;"OR+EX",--(DATOS!$G8204=CONFIG_METADATA!$B$4),IF(DATOS!$G8204="EX",1,IF(DATOS!$G8204="OR",--(COUNTIFS(nNIA,DATOS!$A8204,nCURSO,DATOS!$D8204,nESPEC,DATOS!$E8204,nASIG,DATOS!$I8204,nEVAL,"EX")=0),0))))</f>
      </c>
      <c r="H8204">
        <f>IF(DATOS!$G8204&lt;&gt;"EX",0,--(COUNTIFS(nNIA,DATOS!$A8204,nCURSO,DATOS!$D8204,nESPEC,DATOS!$E8204,nASIG,DATOS!$I8204,nEVAL,"OR")=0))</f>
      </c>
      <c r="I8204">
        <f>IF(DATOS!$I8204="","",IFERROR(VLOOKUP(DATOS!$I8204,CONFIG_ASIGNATURAS!$B$2:$J$91,9,FALSE()),""))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IF(DATOS!$A8205="",0,IF(CONFIG_METADATA!$B$4&lt;&gt;"OR+EX",--(DATOS!$G8205=CONFIG_METADATA!$B$4),IF(DATOS!$G8205="EX",1,IF(DATOS!$G8205="OR",--(COUNTIFS(nNIA,DATOS!$A8205,nCURSO,DATOS!$D8205,nESPEC,DATOS!$E8205,nASIG,DATOS!$I8205,nEVAL,"EX")=0),0))))</f>
      </c>
      <c r="H8205">
        <f>IF(DATOS!$G8205&lt;&gt;"EX",0,--(COUNTIFS(nNIA,DATOS!$A8205,nCURSO,DATOS!$D8205,nESPEC,DATOS!$E8205,nASIG,DATOS!$I8205,nEVAL,"OR")=0))</f>
      </c>
      <c r="I8205">
        <f>IF(DATOS!$I8205="","",IFERROR(VLOOKUP(DATOS!$I8205,CONFIG_ASIGNATURAS!$B$2:$J$91,9,FALSE()),""))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IF(DATOS!$A8206="",0,IF(CONFIG_METADATA!$B$4&lt;&gt;"OR+EX",--(DATOS!$G8206=CONFIG_METADATA!$B$4),IF(DATOS!$G8206="EX",1,IF(DATOS!$G8206="OR",--(COUNTIFS(nNIA,DATOS!$A8206,nCURSO,DATOS!$D8206,nESPEC,DATOS!$E8206,nASIG,DATOS!$I8206,nEVAL,"EX")=0),0))))</f>
      </c>
      <c r="H8206">
        <f>IF(DATOS!$G8206&lt;&gt;"EX",0,--(COUNTIFS(nNIA,DATOS!$A8206,nCURSO,DATOS!$D8206,nESPEC,DATOS!$E8206,nASIG,DATOS!$I8206,nEVAL,"OR")=0))</f>
      </c>
      <c r="I8206">
        <f>IF(DATOS!$I8206="","",IFERROR(VLOOKUP(DATOS!$I8206,CONFIG_ASIGNATURAS!$B$2:$J$91,9,FALSE()),""))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IF(DATOS!$A8207="",0,IF(CONFIG_METADATA!$B$4&lt;&gt;"OR+EX",--(DATOS!$G8207=CONFIG_METADATA!$B$4),IF(DATOS!$G8207="EX",1,IF(DATOS!$G8207="OR",--(COUNTIFS(nNIA,DATOS!$A8207,nCURSO,DATOS!$D8207,nESPEC,DATOS!$E8207,nASIG,DATOS!$I8207,nEVAL,"EX")=0),0))))</f>
      </c>
      <c r="H8207">
        <f>IF(DATOS!$G8207&lt;&gt;"EX",0,--(COUNTIFS(nNIA,DATOS!$A8207,nCURSO,DATOS!$D8207,nESPEC,DATOS!$E8207,nASIG,DATOS!$I8207,nEVAL,"OR")=0))</f>
      </c>
      <c r="I8207">
        <f>IF(DATOS!$I8207="","",IFERROR(VLOOKUP(DATOS!$I8207,CONFIG_ASIGNATURAS!$B$2:$J$91,9,FALSE()),""))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IF(DATOS!$A8208="",0,IF(CONFIG_METADATA!$B$4&lt;&gt;"OR+EX",--(DATOS!$G8208=CONFIG_METADATA!$B$4),IF(DATOS!$G8208="EX",1,IF(DATOS!$G8208="OR",--(COUNTIFS(nNIA,DATOS!$A8208,nCURSO,DATOS!$D8208,nESPEC,DATOS!$E8208,nASIG,DATOS!$I8208,nEVAL,"EX")=0),0))))</f>
      </c>
      <c r="H8208">
        <f>IF(DATOS!$G8208&lt;&gt;"EX",0,--(COUNTIFS(nNIA,DATOS!$A8208,nCURSO,DATOS!$D8208,nESPEC,DATOS!$E8208,nASIG,DATOS!$I8208,nEVAL,"OR")=0))</f>
      </c>
      <c r="I8208">
        <f>IF(DATOS!$I8208="","",IFERROR(VLOOKUP(DATOS!$I8208,CONFIG_ASIGNATURAS!$B$2:$J$91,9,FALSE()),""))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IF(DATOS!$A8209="",0,IF(CONFIG_METADATA!$B$4&lt;&gt;"OR+EX",--(DATOS!$G8209=CONFIG_METADATA!$B$4),IF(DATOS!$G8209="EX",1,IF(DATOS!$G8209="OR",--(COUNTIFS(nNIA,DATOS!$A8209,nCURSO,DATOS!$D8209,nESPEC,DATOS!$E8209,nASIG,DATOS!$I8209,nEVAL,"EX")=0),0))))</f>
      </c>
      <c r="H8209">
        <f>IF(DATOS!$G8209&lt;&gt;"EX",0,--(COUNTIFS(nNIA,DATOS!$A8209,nCURSO,DATOS!$D8209,nESPEC,DATOS!$E8209,nASIG,DATOS!$I8209,nEVAL,"OR")=0))</f>
      </c>
      <c r="I8209">
        <f>IF(DATOS!$I8209="","",IFERROR(VLOOKUP(DATOS!$I8209,CONFIG_ASIGNATURAS!$B$2:$J$91,9,FALSE()),""))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IF(DATOS!$A8210="",0,IF(CONFIG_METADATA!$B$4&lt;&gt;"OR+EX",--(DATOS!$G8210=CONFIG_METADATA!$B$4),IF(DATOS!$G8210="EX",1,IF(DATOS!$G8210="OR",--(COUNTIFS(nNIA,DATOS!$A8210,nCURSO,DATOS!$D8210,nESPEC,DATOS!$E8210,nASIG,DATOS!$I8210,nEVAL,"EX")=0),0))))</f>
      </c>
      <c r="H8210">
        <f>IF(DATOS!$G8210&lt;&gt;"EX",0,--(COUNTIFS(nNIA,DATOS!$A8210,nCURSO,DATOS!$D8210,nESPEC,DATOS!$E8210,nASIG,DATOS!$I8210,nEVAL,"OR")=0))</f>
      </c>
      <c r="I8210">
        <f>IF(DATOS!$I8210="","",IFERROR(VLOOKUP(DATOS!$I8210,CONFIG_ASIGNATURAS!$B$2:$J$91,9,FALSE()),""))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IF(DATOS!$A8211="",0,IF(CONFIG_METADATA!$B$4&lt;&gt;"OR+EX",--(DATOS!$G8211=CONFIG_METADATA!$B$4),IF(DATOS!$G8211="EX",1,IF(DATOS!$G8211="OR",--(COUNTIFS(nNIA,DATOS!$A8211,nCURSO,DATOS!$D8211,nESPEC,DATOS!$E8211,nASIG,DATOS!$I8211,nEVAL,"EX")=0),0))))</f>
      </c>
      <c r="H8211">
        <f>IF(DATOS!$G8211&lt;&gt;"EX",0,--(COUNTIFS(nNIA,DATOS!$A8211,nCURSO,DATOS!$D8211,nESPEC,DATOS!$E8211,nASIG,DATOS!$I8211,nEVAL,"OR")=0))</f>
      </c>
      <c r="I8211">
        <f>IF(DATOS!$I8211="","",IFERROR(VLOOKUP(DATOS!$I8211,CONFIG_ASIGNATURAS!$B$2:$J$91,9,FALSE()),""))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IF(DATOS!$A8212="",0,IF(CONFIG_METADATA!$B$4&lt;&gt;"OR+EX",--(DATOS!$G8212=CONFIG_METADATA!$B$4),IF(DATOS!$G8212="EX",1,IF(DATOS!$G8212="OR",--(COUNTIFS(nNIA,DATOS!$A8212,nCURSO,DATOS!$D8212,nESPEC,DATOS!$E8212,nASIG,DATOS!$I8212,nEVAL,"EX")=0),0))))</f>
      </c>
      <c r="H8212">
        <f>IF(DATOS!$G8212&lt;&gt;"EX",0,--(COUNTIFS(nNIA,DATOS!$A8212,nCURSO,DATOS!$D8212,nESPEC,DATOS!$E8212,nASIG,DATOS!$I8212,nEVAL,"OR")=0))</f>
      </c>
      <c r="I8212">
        <f>IF(DATOS!$I8212="","",IFERROR(VLOOKUP(DATOS!$I8212,CONFIG_ASIGNATURAS!$B$2:$J$91,9,FALSE()),""))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IF(DATOS!$A8213="",0,IF(CONFIG_METADATA!$B$4&lt;&gt;"OR+EX",--(DATOS!$G8213=CONFIG_METADATA!$B$4),IF(DATOS!$G8213="EX",1,IF(DATOS!$G8213="OR",--(COUNTIFS(nNIA,DATOS!$A8213,nCURSO,DATOS!$D8213,nESPEC,DATOS!$E8213,nASIG,DATOS!$I8213,nEVAL,"EX")=0),0))))</f>
      </c>
      <c r="H8213">
        <f>IF(DATOS!$G8213&lt;&gt;"EX",0,--(COUNTIFS(nNIA,DATOS!$A8213,nCURSO,DATOS!$D8213,nESPEC,DATOS!$E8213,nASIG,DATOS!$I8213,nEVAL,"OR")=0))</f>
      </c>
      <c r="I8213">
        <f>IF(DATOS!$I8213="","",IFERROR(VLOOKUP(DATOS!$I8213,CONFIG_ASIGNATURAS!$B$2:$J$91,9,FALSE()),""))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IF(DATOS!$A8214="",0,IF(CONFIG_METADATA!$B$4&lt;&gt;"OR+EX",--(DATOS!$G8214=CONFIG_METADATA!$B$4),IF(DATOS!$G8214="EX",1,IF(DATOS!$G8214="OR",--(COUNTIFS(nNIA,DATOS!$A8214,nCURSO,DATOS!$D8214,nESPEC,DATOS!$E8214,nASIG,DATOS!$I8214,nEVAL,"EX")=0),0))))</f>
      </c>
      <c r="H8214">
        <f>IF(DATOS!$G8214&lt;&gt;"EX",0,--(COUNTIFS(nNIA,DATOS!$A8214,nCURSO,DATOS!$D8214,nESPEC,DATOS!$E8214,nASIG,DATOS!$I8214,nEVAL,"OR")=0))</f>
      </c>
      <c r="I8214">
        <f>IF(DATOS!$I8214="","",IFERROR(VLOOKUP(DATOS!$I8214,CONFIG_ASIGNATURAS!$B$2:$J$91,9,FALSE()),""))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IF(DATOS!$A8215="",0,IF(CONFIG_METADATA!$B$4&lt;&gt;"OR+EX",--(DATOS!$G8215=CONFIG_METADATA!$B$4),IF(DATOS!$G8215="EX",1,IF(DATOS!$G8215="OR",--(COUNTIFS(nNIA,DATOS!$A8215,nCURSO,DATOS!$D8215,nESPEC,DATOS!$E8215,nASIG,DATOS!$I8215,nEVAL,"EX")=0),0))))</f>
      </c>
      <c r="H8215">
        <f>IF(DATOS!$G8215&lt;&gt;"EX",0,--(COUNTIFS(nNIA,DATOS!$A8215,nCURSO,DATOS!$D8215,nESPEC,DATOS!$E8215,nASIG,DATOS!$I8215,nEVAL,"OR")=0))</f>
      </c>
      <c r="I8215">
        <f>IF(DATOS!$I8215="","",IFERROR(VLOOKUP(DATOS!$I8215,CONFIG_ASIGNATURAS!$B$2:$J$91,9,FALSE()),""))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IF(DATOS!$A8216="",0,IF(CONFIG_METADATA!$B$4&lt;&gt;"OR+EX",--(DATOS!$G8216=CONFIG_METADATA!$B$4),IF(DATOS!$G8216="EX",1,IF(DATOS!$G8216="OR",--(COUNTIFS(nNIA,DATOS!$A8216,nCURSO,DATOS!$D8216,nESPEC,DATOS!$E8216,nASIG,DATOS!$I8216,nEVAL,"EX")=0),0))))</f>
      </c>
      <c r="H8216">
        <f>IF(DATOS!$G8216&lt;&gt;"EX",0,--(COUNTIFS(nNIA,DATOS!$A8216,nCURSO,DATOS!$D8216,nESPEC,DATOS!$E8216,nASIG,DATOS!$I8216,nEVAL,"OR")=0))</f>
      </c>
      <c r="I8216">
        <f>IF(DATOS!$I8216="","",IFERROR(VLOOKUP(DATOS!$I8216,CONFIG_ASIGNATURAS!$B$2:$J$91,9,FALSE()),""))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IF(DATOS!$A8217="",0,IF(CONFIG_METADATA!$B$4&lt;&gt;"OR+EX",--(DATOS!$G8217=CONFIG_METADATA!$B$4),IF(DATOS!$G8217="EX",1,IF(DATOS!$G8217="OR",--(COUNTIFS(nNIA,DATOS!$A8217,nCURSO,DATOS!$D8217,nESPEC,DATOS!$E8217,nASIG,DATOS!$I8217,nEVAL,"EX")=0),0))))</f>
      </c>
      <c r="H8217">
        <f>IF(DATOS!$G8217&lt;&gt;"EX",0,--(COUNTIFS(nNIA,DATOS!$A8217,nCURSO,DATOS!$D8217,nESPEC,DATOS!$E8217,nASIG,DATOS!$I8217,nEVAL,"OR")=0))</f>
      </c>
      <c r="I8217">
        <f>IF(DATOS!$I8217="","",IFERROR(VLOOKUP(DATOS!$I8217,CONFIG_ASIGNATURAS!$B$2:$J$91,9,FALSE()),""))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IF(DATOS!$A8218="",0,IF(CONFIG_METADATA!$B$4&lt;&gt;"OR+EX",--(DATOS!$G8218=CONFIG_METADATA!$B$4),IF(DATOS!$G8218="EX",1,IF(DATOS!$G8218="OR",--(COUNTIFS(nNIA,DATOS!$A8218,nCURSO,DATOS!$D8218,nESPEC,DATOS!$E8218,nASIG,DATOS!$I8218,nEVAL,"EX")=0),0))))</f>
      </c>
      <c r="H8218">
        <f>IF(DATOS!$G8218&lt;&gt;"EX",0,--(COUNTIFS(nNIA,DATOS!$A8218,nCURSO,DATOS!$D8218,nESPEC,DATOS!$E8218,nASIG,DATOS!$I8218,nEVAL,"OR")=0))</f>
      </c>
      <c r="I8218">
        <f>IF(DATOS!$I8218="","",IFERROR(VLOOKUP(DATOS!$I8218,CONFIG_ASIGNATURAS!$B$2:$J$91,9,FALSE()),""))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IF(DATOS!$A8219="",0,IF(CONFIG_METADATA!$B$4&lt;&gt;"OR+EX",--(DATOS!$G8219=CONFIG_METADATA!$B$4),IF(DATOS!$G8219="EX",1,IF(DATOS!$G8219="OR",--(COUNTIFS(nNIA,DATOS!$A8219,nCURSO,DATOS!$D8219,nESPEC,DATOS!$E8219,nASIG,DATOS!$I8219,nEVAL,"EX")=0),0))))</f>
      </c>
      <c r="H8219">
        <f>IF(DATOS!$G8219&lt;&gt;"EX",0,--(COUNTIFS(nNIA,DATOS!$A8219,nCURSO,DATOS!$D8219,nESPEC,DATOS!$E8219,nASIG,DATOS!$I8219,nEVAL,"OR")=0))</f>
      </c>
      <c r="I8219">
        <f>IF(DATOS!$I8219="","",IFERROR(VLOOKUP(DATOS!$I8219,CONFIG_ASIGNATURAS!$B$2:$J$91,9,FALSE()),""))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IF(DATOS!$A8220="",0,IF(CONFIG_METADATA!$B$4&lt;&gt;"OR+EX",--(DATOS!$G8220=CONFIG_METADATA!$B$4),IF(DATOS!$G8220="EX",1,IF(DATOS!$G8220="OR",--(COUNTIFS(nNIA,DATOS!$A8220,nCURSO,DATOS!$D8220,nESPEC,DATOS!$E8220,nASIG,DATOS!$I8220,nEVAL,"EX")=0),0))))</f>
      </c>
      <c r="H8220">
        <f>IF(DATOS!$G8220&lt;&gt;"EX",0,--(COUNTIFS(nNIA,DATOS!$A8220,nCURSO,DATOS!$D8220,nESPEC,DATOS!$E8220,nASIG,DATOS!$I8220,nEVAL,"OR")=0))</f>
      </c>
      <c r="I8220">
        <f>IF(DATOS!$I8220="","",IFERROR(VLOOKUP(DATOS!$I8220,CONFIG_ASIGNATURAS!$B$2:$J$91,9,FALSE()),""))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IF(DATOS!$A8221="",0,IF(CONFIG_METADATA!$B$4&lt;&gt;"OR+EX",--(DATOS!$G8221=CONFIG_METADATA!$B$4),IF(DATOS!$G8221="EX",1,IF(DATOS!$G8221="OR",--(COUNTIFS(nNIA,DATOS!$A8221,nCURSO,DATOS!$D8221,nESPEC,DATOS!$E8221,nASIG,DATOS!$I8221,nEVAL,"EX")=0),0))))</f>
      </c>
      <c r="H8221">
        <f>IF(DATOS!$G8221&lt;&gt;"EX",0,--(COUNTIFS(nNIA,DATOS!$A8221,nCURSO,DATOS!$D8221,nESPEC,DATOS!$E8221,nASIG,DATOS!$I8221,nEVAL,"OR")=0))</f>
      </c>
      <c r="I8221">
        <f>IF(DATOS!$I8221="","",IFERROR(VLOOKUP(DATOS!$I8221,CONFIG_ASIGNATURAS!$B$2:$J$91,9,FALSE()),""))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IF(DATOS!$A8222="",0,IF(CONFIG_METADATA!$B$4&lt;&gt;"OR+EX",--(DATOS!$G8222=CONFIG_METADATA!$B$4),IF(DATOS!$G8222="EX",1,IF(DATOS!$G8222="OR",--(COUNTIFS(nNIA,DATOS!$A8222,nCURSO,DATOS!$D8222,nESPEC,DATOS!$E8222,nASIG,DATOS!$I8222,nEVAL,"EX")=0),0))))</f>
      </c>
      <c r="H8222">
        <f>IF(DATOS!$G8222&lt;&gt;"EX",0,--(COUNTIFS(nNIA,DATOS!$A8222,nCURSO,DATOS!$D8222,nESPEC,DATOS!$E8222,nASIG,DATOS!$I8222,nEVAL,"OR")=0))</f>
      </c>
      <c r="I8222">
        <f>IF(DATOS!$I8222="","",IFERROR(VLOOKUP(DATOS!$I8222,CONFIG_ASIGNATURAS!$B$2:$J$91,9,FALSE()),""))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IF(DATOS!$A8223="",0,IF(CONFIG_METADATA!$B$4&lt;&gt;"OR+EX",--(DATOS!$G8223=CONFIG_METADATA!$B$4),IF(DATOS!$G8223="EX",1,IF(DATOS!$G8223="OR",--(COUNTIFS(nNIA,DATOS!$A8223,nCURSO,DATOS!$D8223,nESPEC,DATOS!$E8223,nASIG,DATOS!$I8223,nEVAL,"EX")=0),0))))</f>
      </c>
      <c r="H8223">
        <f>IF(DATOS!$G8223&lt;&gt;"EX",0,--(COUNTIFS(nNIA,DATOS!$A8223,nCURSO,DATOS!$D8223,nESPEC,DATOS!$E8223,nASIG,DATOS!$I8223,nEVAL,"OR")=0))</f>
      </c>
      <c r="I8223">
        <f>IF(DATOS!$I8223="","",IFERROR(VLOOKUP(DATOS!$I8223,CONFIG_ASIGNATURAS!$B$2:$J$91,9,FALSE()),""))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IF(DATOS!$A8224="",0,IF(CONFIG_METADATA!$B$4&lt;&gt;"OR+EX",--(DATOS!$G8224=CONFIG_METADATA!$B$4),IF(DATOS!$G8224="EX",1,IF(DATOS!$G8224="OR",--(COUNTIFS(nNIA,DATOS!$A8224,nCURSO,DATOS!$D8224,nESPEC,DATOS!$E8224,nASIG,DATOS!$I8224,nEVAL,"EX")=0),0))))</f>
      </c>
      <c r="H8224">
        <f>IF(DATOS!$G8224&lt;&gt;"EX",0,--(COUNTIFS(nNIA,DATOS!$A8224,nCURSO,DATOS!$D8224,nESPEC,DATOS!$E8224,nASIG,DATOS!$I8224,nEVAL,"OR")=0))</f>
      </c>
      <c r="I8224">
        <f>IF(DATOS!$I8224="","",IFERROR(VLOOKUP(DATOS!$I8224,CONFIG_ASIGNATURAS!$B$2:$J$91,9,FALSE()),""))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IF(DATOS!$A8225="",0,IF(CONFIG_METADATA!$B$4&lt;&gt;"OR+EX",--(DATOS!$G8225=CONFIG_METADATA!$B$4),IF(DATOS!$G8225="EX",1,IF(DATOS!$G8225="OR",--(COUNTIFS(nNIA,DATOS!$A8225,nCURSO,DATOS!$D8225,nESPEC,DATOS!$E8225,nASIG,DATOS!$I8225,nEVAL,"EX")=0),0))))</f>
      </c>
      <c r="H8225">
        <f>IF(DATOS!$G8225&lt;&gt;"EX",0,--(COUNTIFS(nNIA,DATOS!$A8225,nCURSO,DATOS!$D8225,nESPEC,DATOS!$E8225,nASIG,DATOS!$I8225,nEVAL,"OR")=0))</f>
      </c>
      <c r="I8225">
        <f>IF(DATOS!$I8225="","",IFERROR(VLOOKUP(DATOS!$I8225,CONFIG_ASIGNATURAS!$B$2:$J$91,9,FALSE()),""))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IF(DATOS!$A8226="",0,IF(CONFIG_METADATA!$B$4&lt;&gt;"OR+EX",--(DATOS!$G8226=CONFIG_METADATA!$B$4),IF(DATOS!$G8226="EX",1,IF(DATOS!$G8226="OR",--(COUNTIFS(nNIA,DATOS!$A8226,nCURSO,DATOS!$D8226,nESPEC,DATOS!$E8226,nASIG,DATOS!$I8226,nEVAL,"EX")=0),0))))</f>
      </c>
      <c r="H8226">
        <f>IF(DATOS!$G8226&lt;&gt;"EX",0,--(COUNTIFS(nNIA,DATOS!$A8226,nCURSO,DATOS!$D8226,nESPEC,DATOS!$E8226,nASIG,DATOS!$I8226,nEVAL,"OR")=0))</f>
      </c>
      <c r="I8226">
        <f>IF(DATOS!$I8226="","",IFERROR(VLOOKUP(DATOS!$I8226,CONFIG_ASIGNATURAS!$B$2:$J$91,9,FALSE()),""))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IF(DATOS!$A8227="",0,IF(CONFIG_METADATA!$B$4&lt;&gt;"OR+EX",--(DATOS!$G8227=CONFIG_METADATA!$B$4),IF(DATOS!$G8227="EX",1,IF(DATOS!$G8227="OR",--(COUNTIFS(nNIA,DATOS!$A8227,nCURSO,DATOS!$D8227,nESPEC,DATOS!$E8227,nASIG,DATOS!$I8227,nEVAL,"EX")=0),0))))</f>
      </c>
      <c r="H8227">
        <f>IF(DATOS!$G8227&lt;&gt;"EX",0,--(COUNTIFS(nNIA,DATOS!$A8227,nCURSO,DATOS!$D8227,nESPEC,DATOS!$E8227,nASIG,DATOS!$I8227,nEVAL,"OR")=0))</f>
      </c>
      <c r="I8227">
        <f>IF(DATOS!$I8227="","",IFERROR(VLOOKUP(DATOS!$I8227,CONFIG_ASIGNATURAS!$B$2:$J$91,9,FALSE()),""))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IF(DATOS!$A8228="",0,IF(CONFIG_METADATA!$B$4&lt;&gt;"OR+EX",--(DATOS!$G8228=CONFIG_METADATA!$B$4),IF(DATOS!$G8228="EX",1,IF(DATOS!$G8228="OR",--(COUNTIFS(nNIA,DATOS!$A8228,nCURSO,DATOS!$D8228,nESPEC,DATOS!$E8228,nASIG,DATOS!$I8228,nEVAL,"EX")=0),0))))</f>
      </c>
      <c r="H8228">
        <f>IF(DATOS!$G8228&lt;&gt;"EX",0,--(COUNTIFS(nNIA,DATOS!$A8228,nCURSO,DATOS!$D8228,nESPEC,DATOS!$E8228,nASIG,DATOS!$I8228,nEVAL,"OR")=0))</f>
      </c>
      <c r="I8228">
        <f>IF(DATOS!$I8228="","",IFERROR(VLOOKUP(DATOS!$I8228,CONFIG_ASIGNATURAS!$B$2:$J$91,9,FALSE()),""))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IF(DATOS!$A8229="",0,IF(CONFIG_METADATA!$B$4&lt;&gt;"OR+EX",--(DATOS!$G8229=CONFIG_METADATA!$B$4),IF(DATOS!$G8229="EX",1,IF(DATOS!$G8229="OR",--(COUNTIFS(nNIA,DATOS!$A8229,nCURSO,DATOS!$D8229,nESPEC,DATOS!$E8229,nASIG,DATOS!$I8229,nEVAL,"EX")=0),0))))</f>
      </c>
      <c r="H8229">
        <f>IF(DATOS!$G8229&lt;&gt;"EX",0,--(COUNTIFS(nNIA,DATOS!$A8229,nCURSO,DATOS!$D8229,nESPEC,DATOS!$E8229,nASIG,DATOS!$I8229,nEVAL,"OR")=0))</f>
      </c>
      <c r="I8229">
        <f>IF(DATOS!$I8229="","",IFERROR(VLOOKUP(DATOS!$I8229,CONFIG_ASIGNATURAS!$B$2:$J$91,9,FALSE()),""))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IF(DATOS!$A8230="",0,IF(CONFIG_METADATA!$B$4&lt;&gt;"OR+EX",--(DATOS!$G8230=CONFIG_METADATA!$B$4),IF(DATOS!$G8230="EX",1,IF(DATOS!$G8230="OR",--(COUNTIFS(nNIA,DATOS!$A8230,nCURSO,DATOS!$D8230,nESPEC,DATOS!$E8230,nASIG,DATOS!$I8230,nEVAL,"EX")=0),0))))</f>
      </c>
      <c r="H8230">
        <f>IF(DATOS!$G8230&lt;&gt;"EX",0,--(COUNTIFS(nNIA,DATOS!$A8230,nCURSO,DATOS!$D8230,nESPEC,DATOS!$E8230,nASIG,DATOS!$I8230,nEVAL,"OR")=0))</f>
      </c>
      <c r="I8230">
        <f>IF(DATOS!$I8230="","",IFERROR(VLOOKUP(DATOS!$I8230,CONFIG_ASIGNATURAS!$B$2:$J$91,9,FALSE()),""))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IF(DATOS!$A8231="",0,IF(CONFIG_METADATA!$B$4&lt;&gt;"OR+EX",--(DATOS!$G8231=CONFIG_METADATA!$B$4),IF(DATOS!$G8231="EX",1,IF(DATOS!$G8231="OR",--(COUNTIFS(nNIA,DATOS!$A8231,nCURSO,DATOS!$D8231,nESPEC,DATOS!$E8231,nASIG,DATOS!$I8231,nEVAL,"EX")=0),0))))</f>
      </c>
      <c r="H8231">
        <f>IF(DATOS!$G8231&lt;&gt;"EX",0,--(COUNTIFS(nNIA,DATOS!$A8231,nCURSO,DATOS!$D8231,nESPEC,DATOS!$E8231,nASIG,DATOS!$I8231,nEVAL,"OR")=0))</f>
      </c>
      <c r="I8231">
        <f>IF(DATOS!$I8231="","",IFERROR(VLOOKUP(DATOS!$I8231,CONFIG_ASIGNATURAS!$B$2:$J$91,9,FALSE()),""))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IF(DATOS!$A8232="",0,IF(CONFIG_METADATA!$B$4&lt;&gt;"OR+EX",--(DATOS!$G8232=CONFIG_METADATA!$B$4),IF(DATOS!$G8232="EX",1,IF(DATOS!$G8232="OR",--(COUNTIFS(nNIA,DATOS!$A8232,nCURSO,DATOS!$D8232,nESPEC,DATOS!$E8232,nASIG,DATOS!$I8232,nEVAL,"EX")=0),0))))</f>
      </c>
      <c r="H8232">
        <f>IF(DATOS!$G8232&lt;&gt;"EX",0,--(COUNTIFS(nNIA,DATOS!$A8232,nCURSO,DATOS!$D8232,nESPEC,DATOS!$E8232,nASIG,DATOS!$I8232,nEVAL,"OR")=0))</f>
      </c>
      <c r="I8232">
        <f>IF(DATOS!$I8232="","",IFERROR(VLOOKUP(DATOS!$I8232,CONFIG_ASIGNATURAS!$B$2:$J$91,9,FALSE()),""))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IF(DATOS!$A8233="",0,IF(CONFIG_METADATA!$B$4&lt;&gt;"OR+EX",--(DATOS!$G8233=CONFIG_METADATA!$B$4),IF(DATOS!$G8233="EX",1,IF(DATOS!$G8233="OR",--(COUNTIFS(nNIA,DATOS!$A8233,nCURSO,DATOS!$D8233,nESPEC,DATOS!$E8233,nASIG,DATOS!$I8233,nEVAL,"EX")=0),0))))</f>
      </c>
      <c r="H8233">
        <f>IF(DATOS!$G8233&lt;&gt;"EX",0,--(COUNTIFS(nNIA,DATOS!$A8233,nCURSO,DATOS!$D8233,nESPEC,DATOS!$E8233,nASIG,DATOS!$I8233,nEVAL,"OR")=0))</f>
      </c>
      <c r="I8233">
        <f>IF(DATOS!$I8233="","",IFERROR(VLOOKUP(DATOS!$I8233,CONFIG_ASIGNATURAS!$B$2:$J$91,9,FALSE()),""))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IF(DATOS!$A8234="",0,IF(CONFIG_METADATA!$B$4&lt;&gt;"OR+EX",--(DATOS!$G8234=CONFIG_METADATA!$B$4),IF(DATOS!$G8234="EX",1,IF(DATOS!$G8234="OR",--(COUNTIFS(nNIA,DATOS!$A8234,nCURSO,DATOS!$D8234,nESPEC,DATOS!$E8234,nASIG,DATOS!$I8234,nEVAL,"EX")=0),0))))</f>
      </c>
      <c r="H8234">
        <f>IF(DATOS!$G8234&lt;&gt;"EX",0,--(COUNTIFS(nNIA,DATOS!$A8234,nCURSO,DATOS!$D8234,nESPEC,DATOS!$E8234,nASIG,DATOS!$I8234,nEVAL,"OR")=0))</f>
      </c>
      <c r="I8234">
        <f>IF(DATOS!$I8234="","",IFERROR(VLOOKUP(DATOS!$I8234,CONFIG_ASIGNATURAS!$B$2:$J$91,9,FALSE()),""))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IF(DATOS!$A8235="",0,IF(CONFIG_METADATA!$B$4&lt;&gt;"OR+EX",--(DATOS!$G8235=CONFIG_METADATA!$B$4),IF(DATOS!$G8235="EX",1,IF(DATOS!$G8235="OR",--(COUNTIFS(nNIA,DATOS!$A8235,nCURSO,DATOS!$D8235,nESPEC,DATOS!$E8235,nASIG,DATOS!$I8235,nEVAL,"EX")=0),0))))</f>
      </c>
      <c r="H8235">
        <f>IF(DATOS!$G8235&lt;&gt;"EX",0,--(COUNTIFS(nNIA,DATOS!$A8235,nCURSO,DATOS!$D8235,nESPEC,DATOS!$E8235,nASIG,DATOS!$I8235,nEVAL,"OR")=0))</f>
      </c>
      <c r="I8235">
        <f>IF(DATOS!$I8235="","",IFERROR(VLOOKUP(DATOS!$I8235,CONFIG_ASIGNATURAS!$B$2:$J$91,9,FALSE()),""))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IF(DATOS!$A8236="",0,IF(CONFIG_METADATA!$B$4&lt;&gt;"OR+EX",--(DATOS!$G8236=CONFIG_METADATA!$B$4),IF(DATOS!$G8236="EX",1,IF(DATOS!$G8236="OR",--(COUNTIFS(nNIA,DATOS!$A8236,nCURSO,DATOS!$D8236,nESPEC,DATOS!$E8236,nASIG,DATOS!$I8236,nEVAL,"EX")=0),0))))</f>
      </c>
      <c r="H8236">
        <f>IF(DATOS!$G8236&lt;&gt;"EX",0,--(COUNTIFS(nNIA,DATOS!$A8236,nCURSO,DATOS!$D8236,nESPEC,DATOS!$E8236,nASIG,DATOS!$I8236,nEVAL,"OR")=0))</f>
      </c>
      <c r="I8236">
        <f>IF(DATOS!$I8236="","",IFERROR(VLOOKUP(DATOS!$I8236,CONFIG_ASIGNATURAS!$B$2:$J$91,9,FALSE()),""))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IF(DATOS!$A8237="",0,IF(CONFIG_METADATA!$B$4&lt;&gt;"OR+EX",--(DATOS!$G8237=CONFIG_METADATA!$B$4),IF(DATOS!$G8237="EX",1,IF(DATOS!$G8237="OR",--(COUNTIFS(nNIA,DATOS!$A8237,nCURSO,DATOS!$D8237,nESPEC,DATOS!$E8237,nASIG,DATOS!$I8237,nEVAL,"EX")=0),0))))</f>
      </c>
      <c r="H8237">
        <f>IF(DATOS!$G8237&lt;&gt;"EX",0,--(COUNTIFS(nNIA,DATOS!$A8237,nCURSO,DATOS!$D8237,nESPEC,DATOS!$E8237,nASIG,DATOS!$I8237,nEVAL,"OR")=0))</f>
      </c>
      <c r="I8237">
        <f>IF(DATOS!$I8237="","",IFERROR(VLOOKUP(DATOS!$I8237,CONFIG_ASIGNATURAS!$B$2:$J$91,9,FALSE()),""))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IF(DATOS!$A8238="",0,IF(CONFIG_METADATA!$B$4&lt;&gt;"OR+EX",--(DATOS!$G8238=CONFIG_METADATA!$B$4),IF(DATOS!$G8238="EX",1,IF(DATOS!$G8238="OR",--(COUNTIFS(nNIA,DATOS!$A8238,nCURSO,DATOS!$D8238,nESPEC,DATOS!$E8238,nASIG,DATOS!$I8238,nEVAL,"EX")=0),0))))</f>
      </c>
      <c r="H8238">
        <f>IF(DATOS!$G8238&lt;&gt;"EX",0,--(COUNTIFS(nNIA,DATOS!$A8238,nCURSO,DATOS!$D8238,nESPEC,DATOS!$E8238,nASIG,DATOS!$I8238,nEVAL,"OR")=0))</f>
      </c>
      <c r="I8238">
        <f>IF(DATOS!$I8238="","",IFERROR(VLOOKUP(DATOS!$I8238,CONFIG_ASIGNATURAS!$B$2:$J$91,9,FALSE()),""))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IF(DATOS!$A8239="",0,IF(CONFIG_METADATA!$B$4&lt;&gt;"OR+EX",--(DATOS!$G8239=CONFIG_METADATA!$B$4),IF(DATOS!$G8239="EX",1,IF(DATOS!$G8239="OR",--(COUNTIFS(nNIA,DATOS!$A8239,nCURSO,DATOS!$D8239,nESPEC,DATOS!$E8239,nASIG,DATOS!$I8239,nEVAL,"EX")=0),0))))</f>
      </c>
      <c r="H8239">
        <f>IF(DATOS!$G8239&lt;&gt;"EX",0,--(COUNTIFS(nNIA,DATOS!$A8239,nCURSO,DATOS!$D8239,nESPEC,DATOS!$E8239,nASIG,DATOS!$I8239,nEVAL,"OR")=0))</f>
      </c>
      <c r="I8239">
        <f>IF(DATOS!$I8239="","",IFERROR(VLOOKUP(DATOS!$I8239,CONFIG_ASIGNATURAS!$B$2:$J$91,9,FALSE()),""))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IF(DATOS!$A8240="",0,IF(CONFIG_METADATA!$B$4&lt;&gt;"OR+EX",--(DATOS!$G8240=CONFIG_METADATA!$B$4),IF(DATOS!$G8240="EX",1,IF(DATOS!$G8240="OR",--(COUNTIFS(nNIA,DATOS!$A8240,nCURSO,DATOS!$D8240,nESPEC,DATOS!$E8240,nASIG,DATOS!$I8240,nEVAL,"EX")=0),0))))</f>
      </c>
      <c r="H8240">
        <f>IF(DATOS!$G8240&lt;&gt;"EX",0,--(COUNTIFS(nNIA,DATOS!$A8240,nCURSO,DATOS!$D8240,nESPEC,DATOS!$E8240,nASIG,DATOS!$I8240,nEVAL,"OR")=0))</f>
      </c>
      <c r="I8240">
        <f>IF(DATOS!$I8240="","",IFERROR(VLOOKUP(DATOS!$I8240,CONFIG_ASIGNATURAS!$B$2:$J$91,9,FALSE()),""))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IF(DATOS!$A8241="",0,IF(CONFIG_METADATA!$B$4&lt;&gt;"OR+EX",--(DATOS!$G8241=CONFIG_METADATA!$B$4),IF(DATOS!$G8241="EX",1,IF(DATOS!$G8241="OR",--(COUNTIFS(nNIA,DATOS!$A8241,nCURSO,DATOS!$D8241,nESPEC,DATOS!$E8241,nASIG,DATOS!$I8241,nEVAL,"EX")=0),0))))</f>
      </c>
      <c r="H8241">
        <f>IF(DATOS!$G8241&lt;&gt;"EX",0,--(COUNTIFS(nNIA,DATOS!$A8241,nCURSO,DATOS!$D8241,nESPEC,DATOS!$E8241,nASIG,DATOS!$I8241,nEVAL,"OR")=0))</f>
      </c>
      <c r="I8241">
        <f>IF(DATOS!$I8241="","",IFERROR(VLOOKUP(DATOS!$I8241,CONFIG_ASIGNATURAS!$B$2:$J$91,9,FALSE()),""))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IF(DATOS!$A8242="",0,IF(CONFIG_METADATA!$B$4&lt;&gt;"OR+EX",--(DATOS!$G8242=CONFIG_METADATA!$B$4),IF(DATOS!$G8242="EX",1,IF(DATOS!$G8242="OR",--(COUNTIFS(nNIA,DATOS!$A8242,nCURSO,DATOS!$D8242,nESPEC,DATOS!$E8242,nASIG,DATOS!$I8242,nEVAL,"EX")=0),0))))</f>
      </c>
      <c r="H8242">
        <f>IF(DATOS!$G8242&lt;&gt;"EX",0,--(COUNTIFS(nNIA,DATOS!$A8242,nCURSO,DATOS!$D8242,nESPEC,DATOS!$E8242,nASIG,DATOS!$I8242,nEVAL,"OR")=0))</f>
      </c>
      <c r="I8242">
        <f>IF(DATOS!$I8242="","",IFERROR(VLOOKUP(DATOS!$I8242,CONFIG_ASIGNATURAS!$B$2:$J$91,9,FALSE()),""))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IF(DATOS!$A8243="",0,IF(CONFIG_METADATA!$B$4&lt;&gt;"OR+EX",--(DATOS!$G8243=CONFIG_METADATA!$B$4),IF(DATOS!$G8243="EX",1,IF(DATOS!$G8243="OR",--(COUNTIFS(nNIA,DATOS!$A8243,nCURSO,DATOS!$D8243,nESPEC,DATOS!$E8243,nASIG,DATOS!$I8243,nEVAL,"EX")=0),0))))</f>
      </c>
      <c r="H8243">
        <f>IF(DATOS!$G8243&lt;&gt;"EX",0,--(COUNTIFS(nNIA,DATOS!$A8243,nCURSO,DATOS!$D8243,nESPEC,DATOS!$E8243,nASIG,DATOS!$I8243,nEVAL,"OR")=0))</f>
      </c>
      <c r="I8243">
        <f>IF(DATOS!$I8243="","",IFERROR(VLOOKUP(DATOS!$I8243,CONFIG_ASIGNATURAS!$B$2:$J$91,9,FALSE()),""))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IF(DATOS!$A8244="",0,IF(CONFIG_METADATA!$B$4&lt;&gt;"OR+EX",--(DATOS!$G8244=CONFIG_METADATA!$B$4),IF(DATOS!$G8244="EX",1,IF(DATOS!$G8244="OR",--(COUNTIFS(nNIA,DATOS!$A8244,nCURSO,DATOS!$D8244,nESPEC,DATOS!$E8244,nASIG,DATOS!$I8244,nEVAL,"EX")=0),0))))</f>
      </c>
      <c r="H8244">
        <f>IF(DATOS!$G8244&lt;&gt;"EX",0,--(COUNTIFS(nNIA,DATOS!$A8244,nCURSO,DATOS!$D8244,nESPEC,DATOS!$E8244,nASIG,DATOS!$I8244,nEVAL,"OR")=0))</f>
      </c>
      <c r="I8244">
        <f>IF(DATOS!$I8244="","",IFERROR(VLOOKUP(DATOS!$I8244,CONFIG_ASIGNATURAS!$B$2:$J$91,9,FALSE()),""))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IF(DATOS!$A8245="",0,IF(CONFIG_METADATA!$B$4&lt;&gt;"OR+EX",--(DATOS!$G8245=CONFIG_METADATA!$B$4),IF(DATOS!$G8245="EX",1,IF(DATOS!$G8245="OR",--(COUNTIFS(nNIA,DATOS!$A8245,nCURSO,DATOS!$D8245,nESPEC,DATOS!$E8245,nASIG,DATOS!$I8245,nEVAL,"EX")=0),0))))</f>
      </c>
      <c r="H8245">
        <f>IF(DATOS!$G8245&lt;&gt;"EX",0,--(COUNTIFS(nNIA,DATOS!$A8245,nCURSO,DATOS!$D8245,nESPEC,DATOS!$E8245,nASIG,DATOS!$I8245,nEVAL,"OR")=0))</f>
      </c>
      <c r="I8245">
        <f>IF(DATOS!$I8245="","",IFERROR(VLOOKUP(DATOS!$I8245,CONFIG_ASIGNATURAS!$B$2:$J$91,9,FALSE()),""))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IF(DATOS!$A8246="",0,IF(CONFIG_METADATA!$B$4&lt;&gt;"OR+EX",--(DATOS!$G8246=CONFIG_METADATA!$B$4),IF(DATOS!$G8246="EX",1,IF(DATOS!$G8246="OR",--(COUNTIFS(nNIA,DATOS!$A8246,nCURSO,DATOS!$D8246,nESPEC,DATOS!$E8246,nASIG,DATOS!$I8246,nEVAL,"EX")=0),0))))</f>
      </c>
      <c r="H8246">
        <f>IF(DATOS!$G8246&lt;&gt;"EX",0,--(COUNTIFS(nNIA,DATOS!$A8246,nCURSO,DATOS!$D8246,nESPEC,DATOS!$E8246,nASIG,DATOS!$I8246,nEVAL,"OR")=0))</f>
      </c>
      <c r="I8246">
        <f>IF(DATOS!$I8246="","",IFERROR(VLOOKUP(DATOS!$I8246,CONFIG_ASIGNATURAS!$B$2:$J$91,9,FALSE()),""))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IF(DATOS!$A8247="",0,IF(CONFIG_METADATA!$B$4&lt;&gt;"OR+EX",--(DATOS!$G8247=CONFIG_METADATA!$B$4),IF(DATOS!$G8247="EX",1,IF(DATOS!$G8247="OR",--(COUNTIFS(nNIA,DATOS!$A8247,nCURSO,DATOS!$D8247,nESPEC,DATOS!$E8247,nASIG,DATOS!$I8247,nEVAL,"EX")=0),0))))</f>
      </c>
      <c r="H8247">
        <f>IF(DATOS!$G8247&lt;&gt;"EX",0,--(COUNTIFS(nNIA,DATOS!$A8247,nCURSO,DATOS!$D8247,nESPEC,DATOS!$E8247,nASIG,DATOS!$I8247,nEVAL,"OR")=0))</f>
      </c>
      <c r="I8247">
        <f>IF(DATOS!$I8247="","",IFERROR(VLOOKUP(DATOS!$I8247,CONFIG_ASIGNATURAS!$B$2:$J$91,9,FALSE()),""))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IF(DATOS!$A8248="",0,IF(CONFIG_METADATA!$B$4&lt;&gt;"OR+EX",--(DATOS!$G8248=CONFIG_METADATA!$B$4),IF(DATOS!$G8248="EX",1,IF(DATOS!$G8248="OR",--(COUNTIFS(nNIA,DATOS!$A8248,nCURSO,DATOS!$D8248,nESPEC,DATOS!$E8248,nASIG,DATOS!$I8248,nEVAL,"EX")=0),0))))</f>
      </c>
      <c r="H8248">
        <f>IF(DATOS!$G8248&lt;&gt;"EX",0,--(COUNTIFS(nNIA,DATOS!$A8248,nCURSO,DATOS!$D8248,nESPEC,DATOS!$E8248,nASIG,DATOS!$I8248,nEVAL,"OR")=0))</f>
      </c>
      <c r="I8248">
        <f>IF(DATOS!$I8248="","",IFERROR(VLOOKUP(DATOS!$I8248,CONFIG_ASIGNATURAS!$B$2:$J$91,9,FALSE()),""))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IF(DATOS!$A8249="",0,IF(CONFIG_METADATA!$B$4&lt;&gt;"OR+EX",--(DATOS!$G8249=CONFIG_METADATA!$B$4),IF(DATOS!$G8249="EX",1,IF(DATOS!$G8249="OR",--(COUNTIFS(nNIA,DATOS!$A8249,nCURSO,DATOS!$D8249,nESPEC,DATOS!$E8249,nASIG,DATOS!$I8249,nEVAL,"EX")=0),0))))</f>
      </c>
      <c r="H8249">
        <f>IF(DATOS!$G8249&lt;&gt;"EX",0,--(COUNTIFS(nNIA,DATOS!$A8249,nCURSO,DATOS!$D8249,nESPEC,DATOS!$E8249,nASIG,DATOS!$I8249,nEVAL,"OR")=0))</f>
      </c>
      <c r="I8249">
        <f>IF(DATOS!$I8249="","",IFERROR(VLOOKUP(DATOS!$I8249,CONFIG_ASIGNATURAS!$B$2:$J$91,9,FALSE()),""))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IF(DATOS!$A8250="",0,IF(CONFIG_METADATA!$B$4&lt;&gt;"OR+EX",--(DATOS!$G8250=CONFIG_METADATA!$B$4),IF(DATOS!$G8250="EX",1,IF(DATOS!$G8250="OR",--(COUNTIFS(nNIA,DATOS!$A8250,nCURSO,DATOS!$D8250,nESPEC,DATOS!$E8250,nASIG,DATOS!$I8250,nEVAL,"EX")=0),0))))</f>
      </c>
      <c r="H8250">
        <f>IF(DATOS!$G8250&lt;&gt;"EX",0,--(COUNTIFS(nNIA,DATOS!$A8250,nCURSO,DATOS!$D8250,nESPEC,DATOS!$E8250,nASIG,DATOS!$I8250,nEVAL,"OR")=0))</f>
      </c>
      <c r="I8250">
        <f>IF(DATOS!$I8250="","",IFERROR(VLOOKUP(DATOS!$I8250,CONFIG_ASIGNATURAS!$B$2:$J$91,9,FALSE()),""))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IF(DATOS!$A8251="",0,IF(CONFIG_METADATA!$B$4&lt;&gt;"OR+EX",--(DATOS!$G8251=CONFIG_METADATA!$B$4),IF(DATOS!$G8251="EX",1,IF(DATOS!$G8251="OR",--(COUNTIFS(nNIA,DATOS!$A8251,nCURSO,DATOS!$D8251,nESPEC,DATOS!$E8251,nASIG,DATOS!$I8251,nEVAL,"EX")=0),0))))</f>
      </c>
      <c r="H8251">
        <f>IF(DATOS!$G8251&lt;&gt;"EX",0,--(COUNTIFS(nNIA,DATOS!$A8251,nCURSO,DATOS!$D8251,nESPEC,DATOS!$E8251,nASIG,DATOS!$I8251,nEVAL,"OR")=0))</f>
      </c>
      <c r="I8251">
        <f>IF(DATOS!$I8251="","",IFERROR(VLOOKUP(DATOS!$I8251,CONFIG_ASIGNATURAS!$B$2:$J$91,9,FALSE()),""))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IF(DATOS!$A8252="",0,IF(CONFIG_METADATA!$B$4&lt;&gt;"OR+EX",--(DATOS!$G8252=CONFIG_METADATA!$B$4),IF(DATOS!$G8252="EX",1,IF(DATOS!$G8252="OR",--(COUNTIFS(nNIA,DATOS!$A8252,nCURSO,DATOS!$D8252,nESPEC,DATOS!$E8252,nASIG,DATOS!$I8252,nEVAL,"EX")=0),0))))</f>
      </c>
      <c r="H8252">
        <f>IF(DATOS!$G8252&lt;&gt;"EX",0,--(COUNTIFS(nNIA,DATOS!$A8252,nCURSO,DATOS!$D8252,nESPEC,DATOS!$E8252,nASIG,DATOS!$I8252,nEVAL,"OR")=0))</f>
      </c>
      <c r="I8252">
        <f>IF(DATOS!$I8252="","",IFERROR(VLOOKUP(DATOS!$I8252,CONFIG_ASIGNATURAS!$B$2:$J$91,9,FALSE()),""))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IF(DATOS!$A8253="",0,IF(CONFIG_METADATA!$B$4&lt;&gt;"OR+EX",--(DATOS!$G8253=CONFIG_METADATA!$B$4),IF(DATOS!$G8253="EX",1,IF(DATOS!$G8253="OR",--(COUNTIFS(nNIA,DATOS!$A8253,nCURSO,DATOS!$D8253,nESPEC,DATOS!$E8253,nASIG,DATOS!$I8253,nEVAL,"EX")=0),0))))</f>
      </c>
      <c r="H8253">
        <f>IF(DATOS!$G8253&lt;&gt;"EX",0,--(COUNTIFS(nNIA,DATOS!$A8253,nCURSO,DATOS!$D8253,nESPEC,DATOS!$E8253,nASIG,DATOS!$I8253,nEVAL,"OR")=0))</f>
      </c>
      <c r="I8253">
        <f>IF(DATOS!$I8253="","",IFERROR(VLOOKUP(DATOS!$I8253,CONFIG_ASIGNATURAS!$B$2:$J$91,9,FALSE()),""))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IF(DATOS!$A8254="",0,IF(CONFIG_METADATA!$B$4&lt;&gt;"OR+EX",--(DATOS!$G8254=CONFIG_METADATA!$B$4),IF(DATOS!$G8254="EX",1,IF(DATOS!$G8254="OR",--(COUNTIFS(nNIA,DATOS!$A8254,nCURSO,DATOS!$D8254,nESPEC,DATOS!$E8254,nASIG,DATOS!$I8254,nEVAL,"EX")=0),0))))</f>
      </c>
      <c r="H8254">
        <f>IF(DATOS!$G8254&lt;&gt;"EX",0,--(COUNTIFS(nNIA,DATOS!$A8254,nCURSO,DATOS!$D8254,nESPEC,DATOS!$E8254,nASIG,DATOS!$I8254,nEVAL,"OR")=0))</f>
      </c>
      <c r="I8254">
        <f>IF(DATOS!$I8254="","",IFERROR(VLOOKUP(DATOS!$I8254,CONFIG_ASIGNATURAS!$B$2:$J$91,9,FALSE()),""))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IF(DATOS!$A8255="",0,IF(CONFIG_METADATA!$B$4&lt;&gt;"OR+EX",--(DATOS!$G8255=CONFIG_METADATA!$B$4),IF(DATOS!$G8255="EX",1,IF(DATOS!$G8255="OR",--(COUNTIFS(nNIA,DATOS!$A8255,nCURSO,DATOS!$D8255,nESPEC,DATOS!$E8255,nASIG,DATOS!$I8255,nEVAL,"EX")=0),0))))</f>
      </c>
      <c r="H8255">
        <f>IF(DATOS!$G8255&lt;&gt;"EX",0,--(COUNTIFS(nNIA,DATOS!$A8255,nCURSO,DATOS!$D8255,nESPEC,DATOS!$E8255,nASIG,DATOS!$I8255,nEVAL,"OR")=0))</f>
      </c>
      <c r="I8255">
        <f>IF(DATOS!$I8255="","",IFERROR(VLOOKUP(DATOS!$I8255,CONFIG_ASIGNATURAS!$B$2:$J$91,9,FALSE()),""))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IF(DATOS!$A8256="",0,IF(CONFIG_METADATA!$B$4&lt;&gt;"OR+EX",--(DATOS!$G8256=CONFIG_METADATA!$B$4),IF(DATOS!$G8256="EX",1,IF(DATOS!$G8256="OR",--(COUNTIFS(nNIA,DATOS!$A8256,nCURSO,DATOS!$D8256,nESPEC,DATOS!$E8256,nASIG,DATOS!$I8256,nEVAL,"EX")=0),0))))</f>
      </c>
      <c r="H8256">
        <f>IF(DATOS!$G8256&lt;&gt;"EX",0,--(COUNTIFS(nNIA,DATOS!$A8256,nCURSO,DATOS!$D8256,nESPEC,DATOS!$E8256,nASIG,DATOS!$I8256,nEVAL,"OR")=0))</f>
      </c>
      <c r="I8256">
        <f>IF(DATOS!$I8256="","",IFERROR(VLOOKUP(DATOS!$I8256,CONFIG_ASIGNATURAS!$B$2:$J$91,9,FALSE()),""))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IF(DATOS!$A8257="",0,IF(CONFIG_METADATA!$B$4&lt;&gt;"OR+EX",--(DATOS!$G8257=CONFIG_METADATA!$B$4),IF(DATOS!$G8257="EX",1,IF(DATOS!$G8257="OR",--(COUNTIFS(nNIA,DATOS!$A8257,nCURSO,DATOS!$D8257,nESPEC,DATOS!$E8257,nASIG,DATOS!$I8257,nEVAL,"EX")=0),0))))</f>
      </c>
      <c r="H8257">
        <f>IF(DATOS!$G8257&lt;&gt;"EX",0,--(COUNTIFS(nNIA,DATOS!$A8257,nCURSO,DATOS!$D8257,nESPEC,DATOS!$E8257,nASIG,DATOS!$I8257,nEVAL,"OR")=0))</f>
      </c>
      <c r="I8257">
        <f>IF(DATOS!$I8257="","",IFERROR(VLOOKUP(DATOS!$I8257,CONFIG_ASIGNATURAS!$B$2:$J$91,9,FALSE()),""))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IF(DATOS!$A8258="",0,IF(CONFIG_METADATA!$B$4&lt;&gt;"OR+EX",--(DATOS!$G8258=CONFIG_METADATA!$B$4),IF(DATOS!$G8258="EX",1,IF(DATOS!$G8258="OR",--(COUNTIFS(nNIA,DATOS!$A8258,nCURSO,DATOS!$D8258,nESPEC,DATOS!$E8258,nASIG,DATOS!$I8258,nEVAL,"EX")=0),0))))</f>
      </c>
      <c r="H8258">
        <f>IF(DATOS!$G8258&lt;&gt;"EX",0,--(COUNTIFS(nNIA,DATOS!$A8258,nCURSO,DATOS!$D8258,nESPEC,DATOS!$E8258,nASIG,DATOS!$I8258,nEVAL,"OR")=0))</f>
      </c>
      <c r="I8258">
        <f>IF(DATOS!$I8258="","",IFERROR(VLOOKUP(DATOS!$I8258,CONFIG_ASIGNATURAS!$B$2:$J$91,9,FALSE()),""))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IF(DATOS!$A8259="",0,IF(CONFIG_METADATA!$B$4&lt;&gt;"OR+EX",--(DATOS!$G8259=CONFIG_METADATA!$B$4),IF(DATOS!$G8259="EX",1,IF(DATOS!$G8259="OR",--(COUNTIFS(nNIA,DATOS!$A8259,nCURSO,DATOS!$D8259,nESPEC,DATOS!$E8259,nASIG,DATOS!$I8259,nEVAL,"EX")=0),0))))</f>
      </c>
      <c r="H8259">
        <f>IF(DATOS!$G8259&lt;&gt;"EX",0,--(COUNTIFS(nNIA,DATOS!$A8259,nCURSO,DATOS!$D8259,nESPEC,DATOS!$E8259,nASIG,DATOS!$I8259,nEVAL,"OR")=0))</f>
      </c>
      <c r="I8259">
        <f>IF(DATOS!$I8259="","",IFERROR(VLOOKUP(DATOS!$I8259,CONFIG_ASIGNATURAS!$B$2:$J$91,9,FALSE()),""))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IF(DATOS!$A8260="",0,IF(CONFIG_METADATA!$B$4&lt;&gt;"OR+EX",--(DATOS!$G8260=CONFIG_METADATA!$B$4),IF(DATOS!$G8260="EX",1,IF(DATOS!$G8260="OR",--(COUNTIFS(nNIA,DATOS!$A8260,nCURSO,DATOS!$D8260,nESPEC,DATOS!$E8260,nASIG,DATOS!$I8260,nEVAL,"EX")=0),0))))</f>
      </c>
      <c r="H8260">
        <f>IF(DATOS!$G8260&lt;&gt;"EX",0,--(COUNTIFS(nNIA,DATOS!$A8260,nCURSO,DATOS!$D8260,nESPEC,DATOS!$E8260,nASIG,DATOS!$I8260,nEVAL,"OR")=0))</f>
      </c>
      <c r="I8260">
        <f>IF(DATOS!$I8260="","",IFERROR(VLOOKUP(DATOS!$I8260,CONFIG_ASIGNATURAS!$B$2:$J$91,9,FALSE()),""))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IF(DATOS!$A8261="",0,IF(CONFIG_METADATA!$B$4&lt;&gt;"OR+EX",--(DATOS!$G8261=CONFIG_METADATA!$B$4),IF(DATOS!$G8261="EX",1,IF(DATOS!$G8261="OR",--(COUNTIFS(nNIA,DATOS!$A8261,nCURSO,DATOS!$D8261,nESPEC,DATOS!$E8261,nASIG,DATOS!$I8261,nEVAL,"EX")=0),0))))</f>
      </c>
      <c r="H8261">
        <f>IF(DATOS!$G8261&lt;&gt;"EX",0,--(COUNTIFS(nNIA,DATOS!$A8261,nCURSO,DATOS!$D8261,nESPEC,DATOS!$E8261,nASIG,DATOS!$I8261,nEVAL,"OR")=0))</f>
      </c>
      <c r="I8261">
        <f>IF(DATOS!$I8261="","",IFERROR(VLOOKUP(DATOS!$I8261,CONFIG_ASIGNATURAS!$B$2:$J$91,9,FALSE()),""))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IF(DATOS!$A8262="",0,IF(CONFIG_METADATA!$B$4&lt;&gt;"OR+EX",--(DATOS!$G8262=CONFIG_METADATA!$B$4),IF(DATOS!$G8262="EX",1,IF(DATOS!$G8262="OR",--(COUNTIFS(nNIA,DATOS!$A8262,nCURSO,DATOS!$D8262,nESPEC,DATOS!$E8262,nASIG,DATOS!$I8262,nEVAL,"EX")=0),0))))</f>
      </c>
      <c r="H8262">
        <f>IF(DATOS!$G8262&lt;&gt;"EX",0,--(COUNTIFS(nNIA,DATOS!$A8262,nCURSO,DATOS!$D8262,nESPEC,DATOS!$E8262,nASIG,DATOS!$I8262,nEVAL,"OR")=0))</f>
      </c>
      <c r="I8262">
        <f>IF(DATOS!$I8262="","",IFERROR(VLOOKUP(DATOS!$I8262,CONFIG_ASIGNATURAS!$B$2:$J$91,9,FALSE()),""))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IF(DATOS!$A8263="",0,IF(CONFIG_METADATA!$B$4&lt;&gt;"OR+EX",--(DATOS!$G8263=CONFIG_METADATA!$B$4),IF(DATOS!$G8263="EX",1,IF(DATOS!$G8263="OR",--(COUNTIFS(nNIA,DATOS!$A8263,nCURSO,DATOS!$D8263,nESPEC,DATOS!$E8263,nASIG,DATOS!$I8263,nEVAL,"EX")=0),0))))</f>
      </c>
      <c r="H8263">
        <f>IF(DATOS!$G8263&lt;&gt;"EX",0,--(COUNTIFS(nNIA,DATOS!$A8263,nCURSO,DATOS!$D8263,nESPEC,DATOS!$E8263,nASIG,DATOS!$I8263,nEVAL,"OR")=0))</f>
      </c>
      <c r="I8263">
        <f>IF(DATOS!$I8263="","",IFERROR(VLOOKUP(DATOS!$I8263,CONFIG_ASIGNATURAS!$B$2:$J$91,9,FALSE()),""))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IF(DATOS!$A8264="",0,IF(CONFIG_METADATA!$B$4&lt;&gt;"OR+EX",--(DATOS!$G8264=CONFIG_METADATA!$B$4),IF(DATOS!$G8264="EX",1,IF(DATOS!$G8264="OR",--(COUNTIFS(nNIA,DATOS!$A8264,nCURSO,DATOS!$D8264,nESPEC,DATOS!$E8264,nASIG,DATOS!$I8264,nEVAL,"EX")=0),0))))</f>
      </c>
      <c r="H8264">
        <f>IF(DATOS!$G8264&lt;&gt;"EX",0,--(COUNTIFS(nNIA,DATOS!$A8264,nCURSO,DATOS!$D8264,nESPEC,DATOS!$E8264,nASIG,DATOS!$I8264,nEVAL,"OR")=0))</f>
      </c>
      <c r="I8264">
        <f>IF(DATOS!$I8264="","",IFERROR(VLOOKUP(DATOS!$I8264,CONFIG_ASIGNATURAS!$B$2:$J$91,9,FALSE()),""))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IF(DATOS!$A8265="",0,IF(CONFIG_METADATA!$B$4&lt;&gt;"OR+EX",--(DATOS!$G8265=CONFIG_METADATA!$B$4),IF(DATOS!$G8265="EX",1,IF(DATOS!$G8265="OR",--(COUNTIFS(nNIA,DATOS!$A8265,nCURSO,DATOS!$D8265,nESPEC,DATOS!$E8265,nASIG,DATOS!$I8265,nEVAL,"EX")=0),0))))</f>
      </c>
      <c r="H8265">
        <f>IF(DATOS!$G8265&lt;&gt;"EX",0,--(COUNTIFS(nNIA,DATOS!$A8265,nCURSO,DATOS!$D8265,nESPEC,DATOS!$E8265,nASIG,DATOS!$I8265,nEVAL,"OR")=0))</f>
      </c>
      <c r="I8265">
        <f>IF(DATOS!$I8265="","",IFERROR(VLOOKUP(DATOS!$I8265,CONFIG_ASIGNATURAS!$B$2:$J$91,9,FALSE()),""))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IF(DATOS!$A8266="",0,IF(CONFIG_METADATA!$B$4&lt;&gt;"OR+EX",--(DATOS!$G8266=CONFIG_METADATA!$B$4),IF(DATOS!$G8266="EX",1,IF(DATOS!$G8266="OR",--(COUNTIFS(nNIA,DATOS!$A8266,nCURSO,DATOS!$D8266,nESPEC,DATOS!$E8266,nASIG,DATOS!$I8266,nEVAL,"EX")=0),0))))</f>
      </c>
      <c r="H8266">
        <f>IF(DATOS!$G8266&lt;&gt;"EX",0,--(COUNTIFS(nNIA,DATOS!$A8266,nCURSO,DATOS!$D8266,nESPEC,DATOS!$E8266,nASIG,DATOS!$I8266,nEVAL,"OR")=0))</f>
      </c>
      <c r="I8266">
        <f>IF(DATOS!$I8266="","",IFERROR(VLOOKUP(DATOS!$I8266,CONFIG_ASIGNATURAS!$B$2:$J$91,9,FALSE()),""))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IF(DATOS!$A8267="",0,IF(CONFIG_METADATA!$B$4&lt;&gt;"OR+EX",--(DATOS!$G8267=CONFIG_METADATA!$B$4),IF(DATOS!$G8267="EX",1,IF(DATOS!$G8267="OR",--(COUNTIFS(nNIA,DATOS!$A8267,nCURSO,DATOS!$D8267,nESPEC,DATOS!$E8267,nASIG,DATOS!$I8267,nEVAL,"EX")=0),0))))</f>
      </c>
      <c r="H8267">
        <f>IF(DATOS!$G8267&lt;&gt;"EX",0,--(COUNTIFS(nNIA,DATOS!$A8267,nCURSO,DATOS!$D8267,nESPEC,DATOS!$E8267,nASIG,DATOS!$I8267,nEVAL,"OR")=0))</f>
      </c>
      <c r="I8267">
        <f>IF(DATOS!$I8267="","",IFERROR(VLOOKUP(DATOS!$I8267,CONFIG_ASIGNATURAS!$B$2:$J$91,9,FALSE()),""))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IF(DATOS!$A8268="",0,IF(CONFIG_METADATA!$B$4&lt;&gt;"OR+EX",--(DATOS!$G8268=CONFIG_METADATA!$B$4),IF(DATOS!$G8268="EX",1,IF(DATOS!$G8268="OR",--(COUNTIFS(nNIA,DATOS!$A8268,nCURSO,DATOS!$D8268,nESPEC,DATOS!$E8268,nASIG,DATOS!$I8268,nEVAL,"EX")=0),0))))</f>
      </c>
      <c r="H8268">
        <f>IF(DATOS!$G8268&lt;&gt;"EX",0,--(COUNTIFS(nNIA,DATOS!$A8268,nCURSO,DATOS!$D8268,nESPEC,DATOS!$E8268,nASIG,DATOS!$I8268,nEVAL,"OR")=0))</f>
      </c>
      <c r="I8268">
        <f>IF(DATOS!$I8268="","",IFERROR(VLOOKUP(DATOS!$I8268,CONFIG_ASIGNATURAS!$B$2:$J$91,9,FALSE()),""))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IF(DATOS!$A8269="",0,IF(CONFIG_METADATA!$B$4&lt;&gt;"OR+EX",--(DATOS!$G8269=CONFIG_METADATA!$B$4),IF(DATOS!$G8269="EX",1,IF(DATOS!$G8269="OR",--(COUNTIFS(nNIA,DATOS!$A8269,nCURSO,DATOS!$D8269,nESPEC,DATOS!$E8269,nASIG,DATOS!$I8269,nEVAL,"EX")=0),0))))</f>
      </c>
      <c r="H8269">
        <f>IF(DATOS!$G8269&lt;&gt;"EX",0,--(COUNTIFS(nNIA,DATOS!$A8269,nCURSO,DATOS!$D8269,nESPEC,DATOS!$E8269,nASIG,DATOS!$I8269,nEVAL,"OR")=0))</f>
      </c>
      <c r="I8269">
        <f>IF(DATOS!$I8269="","",IFERROR(VLOOKUP(DATOS!$I8269,CONFIG_ASIGNATURAS!$B$2:$J$91,9,FALSE()),""))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IF(DATOS!$A8270="",0,IF(CONFIG_METADATA!$B$4&lt;&gt;"OR+EX",--(DATOS!$G8270=CONFIG_METADATA!$B$4),IF(DATOS!$G8270="EX",1,IF(DATOS!$G8270="OR",--(COUNTIFS(nNIA,DATOS!$A8270,nCURSO,DATOS!$D8270,nESPEC,DATOS!$E8270,nASIG,DATOS!$I8270,nEVAL,"EX")=0),0))))</f>
      </c>
      <c r="H8270">
        <f>IF(DATOS!$G8270&lt;&gt;"EX",0,--(COUNTIFS(nNIA,DATOS!$A8270,nCURSO,DATOS!$D8270,nESPEC,DATOS!$E8270,nASIG,DATOS!$I8270,nEVAL,"OR")=0))</f>
      </c>
      <c r="I8270">
        <f>IF(DATOS!$I8270="","",IFERROR(VLOOKUP(DATOS!$I8270,CONFIG_ASIGNATURAS!$B$2:$J$91,9,FALSE()),""))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IF(DATOS!$A8271="",0,IF(CONFIG_METADATA!$B$4&lt;&gt;"OR+EX",--(DATOS!$G8271=CONFIG_METADATA!$B$4),IF(DATOS!$G8271="EX",1,IF(DATOS!$G8271="OR",--(COUNTIFS(nNIA,DATOS!$A8271,nCURSO,DATOS!$D8271,nESPEC,DATOS!$E8271,nASIG,DATOS!$I8271,nEVAL,"EX")=0),0))))</f>
      </c>
      <c r="H8271">
        <f>IF(DATOS!$G8271&lt;&gt;"EX",0,--(COUNTIFS(nNIA,DATOS!$A8271,nCURSO,DATOS!$D8271,nESPEC,DATOS!$E8271,nASIG,DATOS!$I8271,nEVAL,"OR")=0))</f>
      </c>
      <c r="I8271">
        <f>IF(DATOS!$I8271="","",IFERROR(VLOOKUP(DATOS!$I8271,CONFIG_ASIGNATURAS!$B$2:$J$91,9,FALSE()),""))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IF(DATOS!$A8272="",0,IF(CONFIG_METADATA!$B$4&lt;&gt;"OR+EX",--(DATOS!$G8272=CONFIG_METADATA!$B$4),IF(DATOS!$G8272="EX",1,IF(DATOS!$G8272="OR",--(COUNTIFS(nNIA,DATOS!$A8272,nCURSO,DATOS!$D8272,nESPEC,DATOS!$E8272,nASIG,DATOS!$I8272,nEVAL,"EX")=0),0))))</f>
      </c>
      <c r="H8272">
        <f>IF(DATOS!$G8272&lt;&gt;"EX",0,--(COUNTIFS(nNIA,DATOS!$A8272,nCURSO,DATOS!$D8272,nESPEC,DATOS!$E8272,nASIG,DATOS!$I8272,nEVAL,"OR")=0))</f>
      </c>
      <c r="I8272">
        <f>IF(DATOS!$I8272="","",IFERROR(VLOOKUP(DATOS!$I8272,CONFIG_ASIGNATURAS!$B$2:$J$91,9,FALSE()),""))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IF(DATOS!$A8273="",0,IF(CONFIG_METADATA!$B$4&lt;&gt;"OR+EX",--(DATOS!$G8273=CONFIG_METADATA!$B$4),IF(DATOS!$G8273="EX",1,IF(DATOS!$G8273="OR",--(COUNTIFS(nNIA,DATOS!$A8273,nCURSO,DATOS!$D8273,nESPEC,DATOS!$E8273,nASIG,DATOS!$I8273,nEVAL,"EX")=0),0))))</f>
      </c>
      <c r="H8273">
        <f>IF(DATOS!$G8273&lt;&gt;"EX",0,--(COUNTIFS(nNIA,DATOS!$A8273,nCURSO,DATOS!$D8273,nESPEC,DATOS!$E8273,nASIG,DATOS!$I8273,nEVAL,"OR")=0))</f>
      </c>
      <c r="I8273">
        <f>IF(DATOS!$I8273="","",IFERROR(VLOOKUP(DATOS!$I8273,CONFIG_ASIGNATURAS!$B$2:$J$91,9,FALSE()),""))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IF(DATOS!$A8274="",0,IF(CONFIG_METADATA!$B$4&lt;&gt;"OR+EX",--(DATOS!$G8274=CONFIG_METADATA!$B$4),IF(DATOS!$G8274="EX",1,IF(DATOS!$G8274="OR",--(COUNTIFS(nNIA,DATOS!$A8274,nCURSO,DATOS!$D8274,nESPEC,DATOS!$E8274,nASIG,DATOS!$I8274,nEVAL,"EX")=0),0))))</f>
      </c>
      <c r="H8274">
        <f>IF(DATOS!$G8274&lt;&gt;"EX",0,--(COUNTIFS(nNIA,DATOS!$A8274,nCURSO,DATOS!$D8274,nESPEC,DATOS!$E8274,nASIG,DATOS!$I8274,nEVAL,"OR")=0))</f>
      </c>
      <c r="I8274">
        <f>IF(DATOS!$I8274="","",IFERROR(VLOOKUP(DATOS!$I8274,CONFIG_ASIGNATURAS!$B$2:$J$91,9,FALSE()),""))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IF(DATOS!$A8275="",0,IF(CONFIG_METADATA!$B$4&lt;&gt;"OR+EX",--(DATOS!$G8275=CONFIG_METADATA!$B$4),IF(DATOS!$G8275="EX",1,IF(DATOS!$G8275="OR",--(COUNTIFS(nNIA,DATOS!$A8275,nCURSO,DATOS!$D8275,nESPEC,DATOS!$E8275,nASIG,DATOS!$I8275,nEVAL,"EX")=0),0))))</f>
      </c>
      <c r="H8275">
        <f>IF(DATOS!$G8275&lt;&gt;"EX",0,--(COUNTIFS(nNIA,DATOS!$A8275,nCURSO,DATOS!$D8275,nESPEC,DATOS!$E8275,nASIG,DATOS!$I8275,nEVAL,"OR")=0))</f>
      </c>
      <c r="I8275">
        <f>IF(DATOS!$I8275="","",IFERROR(VLOOKUP(DATOS!$I8275,CONFIG_ASIGNATURAS!$B$2:$J$91,9,FALSE()),""))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IF(DATOS!$A8276="",0,IF(CONFIG_METADATA!$B$4&lt;&gt;"OR+EX",--(DATOS!$G8276=CONFIG_METADATA!$B$4),IF(DATOS!$G8276="EX",1,IF(DATOS!$G8276="OR",--(COUNTIFS(nNIA,DATOS!$A8276,nCURSO,DATOS!$D8276,nESPEC,DATOS!$E8276,nASIG,DATOS!$I8276,nEVAL,"EX")=0),0))))</f>
      </c>
      <c r="H8276">
        <f>IF(DATOS!$G8276&lt;&gt;"EX",0,--(COUNTIFS(nNIA,DATOS!$A8276,nCURSO,DATOS!$D8276,nESPEC,DATOS!$E8276,nASIG,DATOS!$I8276,nEVAL,"OR")=0))</f>
      </c>
      <c r="I8276">
        <f>IF(DATOS!$I8276="","",IFERROR(VLOOKUP(DATOS!$I8276,CONFIG_ASIGNATURAS!$B$2:$J$91,9,FALSE()),""))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IF(DATOS!$A8277="",0,IF(CONFIG_METADATA!$B$4&lt;&gt;"OR+EX",--(DATOS!$G8277=CONFIG_METADATA!$B$4),IF(DATOS!$G8277="EX",1,IF(DATOS!$G8277="OR",--(COUNTIFS(nNIA,DATOS!$A8277,nCURSO,DATOS!$D8277,nESPEC,DATOS!$E8277,nASIG,DATOS!$I8277,nEVAL,"EX")=0),0))))</f>
      </c>
      <c r="H8277">
        <f>IF(DATOS!$G8277&lt;&gt;"EX",0,--(COUNTIFS(nNIA,DATOS!$A8277,nCURSO,DATOS!$D8277,nESPEC,DATOS!$E8277,nASIG,DATOS!$I8277,nEVAL,"OR")=0))</f>
      </c>
      <c r="I8277">
        <f>IF(DATOS!$I8277="","",IFERROR(VLOOKUP(DATOS!$I8277,CONFIG_ASIGNATURAS!$B$2:$J$91,9,FALSE()),""))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IF(DATOS!$A8278="",0,IF(CONFIG_METADATA!$B$4&lt;&gt;"OR+EX",--(DATOS!$G8278=CONFIG_METADATA!$B$4),IF(DATOS!$G8278="EX",1,IF(DATOS!$G8278="OR",--(COUNTIFS(nNIA,DATOS!$A8278,nCURSO,DATOS!$D8278,nESPEC,DATOS!$E8278,nASIG,DATOS!$I8278,nEVAL,"EX")=0),0))))</f>
      </c>
      <c r="H8278">
        <f>IF(DATOS!$G8278&lt;&gt;"EX",0,--(COUNTIFS(nNIA,DATOS!$A8278,nCURSO,DATOS!$D8278,nESPEC,DATOS!$E8278,nASIG,DATOS!$I8278,nEVAL,"OR")=0))</f>
      </c>
      <c r="I8278">
        <f>IF(DATOS!$I8278="","",IFERROR(VLOOKUP(DATOS!$I8278,CONFIG_ASIGNATURAS!$B$2:$J$91,9,FALSE()),""))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IF(DATOS!$A8279="",0,IF(CONFIG_METADATA!$B$4&lt;&gt;"OR+EX",--(DATOS!$G8279=CONFIG_METADATA!$B$4),IF(DATOS!$G8279="EX",1,IF(DATOS!$G8279="OR",--(COUNTIFS(nNIA,DATOS!$A8279,nCURSO,DATOS!$D8279,nESPEC,DATOS!$E8279,nASIG,DATOS!$I8279,nEVAL,"EX")=0),0))))</f>
      </c>
      <c r="H8279">
        <f>IF(DATOS!$G8279&lt;&gt;"EX",0,--(COUNTIFS(nNIA,DATOS!$A8279,nCURSO,DATOS!$D8279,nESPEC,DATOS!$E8279,nASIG,DATOS!$I8279,nEVAL,"OR")=0))</f>
      </c>
      <c r="I8279">
        <f>IF(DATOS!$I8279="","",IFERROR(VLOOKUP(DATOS!$I8279,CONFIG_ASIGNATURAS!$B$2:$J$91,9,FALSE()),""))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IF(DATOS!$A8280="",0,IF(CONFIG_METADATA!$B$4&lt;&gt;"OR+EX",--(DATOS!$G8280=CONFIG_METADATA!$B$4),IF(DATOS!$G8280="EX",1,IF(DATOS!$G8280="OR",--(COUNTIFS(nNIA,DATOS!$A8280,nCURSO,DATOS!$D8280,nESPEC,DATOS!$E8280,nASIG,DATOS!$I8280,nEVAL,"EX")=0),0))))</f>
      </c>
      <c r="H8280">
        <f>IF(DATOS!$G8280&lt;&gt;"EX",0,--(COUNTIFS(nNIA,DATOS!$A8280,nCURSO,DATOS!$D8280,nESPEC,DATOS!$E8280,nASIG,DATOS!$I8280,nEVAL,"OR")=0))</f>
      </c>
      <c r="I8280">
        <f>IF(DATOS!$I8280="","",IFERROR(VLOOKUP(DATOS!$I8280,CONFIG_ASIGNATURAS!$B$2:$J$91,9,FALSE()),""))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IF(DATOS!$A8281="",0,IF(CONFIG_METADATA!$B$4&lt;&gt;"OR+EX",--(DATOS!$G8281=CONFIG_METADATA!$B$4),IF(DATOS!$G8281="EX",1,IF(DATOS!$G8281="OR",--(COUNTIFS(nNIA,DATOS!$A8281,nCURSO,DATOS!$D8281,nESPEC,DATOS!$E8281,nASIG,DATOS!$I8281,nEVAL,"EX")=0),0))))</f>
      </c>
      <c r="H8281">
        <f>IF(DATOS!$G8281&lt;&gt;"EX",0,--(COUNTIFS(nNIA,DATOS!$A8281,nCURSO,DATOS!$D8281,nESPEC,DATOS!$E8281,nASIG,DATOS!$I8281,nEVAL,"OR")=0))</f>
      </c>
      <c r="I8281">
        <f>IF(DATOS!$I8281="","",IFERROR(VLOOKUP(DATOS!$I8281,CONFIG_ASIGNATURAS!$B$2:$J$91,9,FALSE()),""))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IF(DATOS!$A8282="",0,IF(CONFIG_METADATA!$B$4&lt;&gt;"OR+EX",--(DATOS!$G8282=CONFIG_METADATA!$B$4),IF(DATOS!$G8282="EX",1,IF(DATOS!$G8282="OR",--(COUNTIFS(nNIA,DATOS!$A8282,nCURSO,DATOS!$D8282,nESPEC,DATOS!$E8282,nASIG,DATOS!$I8282,nEVAL,"EX")=0),0))))</f>
      </c>
      <c r="H8282">
        <f>IF(DATOS!$G8282&lt;&gt;"EX",0,--(COUNTIFS(nNIA,DATOS!$A8282,nCURSO,DATOS!$D8282,nESPEC,DATOS!$E8282,nASIG,DATOS!$I8282,nEVAL,"OR")=0))</f>
      </c>
      <c r="I8282">
        <f>IF(DATOS!$I8282="","",IFERROR(VLOOKUP(DATOS!$I8282,CONFIG_ASIGNATURAS!$B$2:$J$91,9,FALSE()),""))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IF(DATOS!$A8283="",0,IF(CONFIG_METADATA!$B$4&lt;&gt;"OR+EX",--(DATOS!$G8283=CONFIG_METADATA!$B$4),IF(DATOS!$G8283="EX",1,IF(DATOS!$G8283="OR",--(COUNTIFS(nNIA,DATOS!$A8283,nCURSO,DATOS!$D8283,nESPEC,DATOS!$E8283,nASIG,DATOS!$I8283,nEVAL,"EX")=0),0))))</f>
      </c>
      <c r="H8283">
        <f>IF(DATOS!$G8283&lt;&gt;"EX",0,--(COUNTIFS(nNIA,DATOS!$A8283,nCURSO,DATOS!$D8283,nESPEC,DATOS!$E8283,nASIG,DATOS!$I8283,nEVAL,"OR")=0))</f>
      </c>
      <c r="I8283">
        <f>IF(DATOS!$I8283="","",IFERROR(VLOOKUP(DATOS!$I8283,CONFIG_ASIGNATURAS!$B$2:$J$91,9,FALSE()),""))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IF(DATOS!$A8284="",0,IF(CONFIG_METADATA!$B$4&lt;&gt;"OR+EX",--(DATOS!$G8284=CONFIG_METADATA!$B$4),IF(DATOS!$G8284="EX",1,IF(DATOS!$G8284="OR",--(COUNTIFS(nNIA,DATOS!$A8284,nCURSO,DATOS!$D8284,nESPEC,DATOS!$E8284,nASIG,DATOS!$I8284,nEVAL,"EX")=0),0))))</f>
      </c>
      <c r="H8284">
        <f>IF(DATOS!$G8284&lt;&gt;"EX",0,--(COUNTIFS(nNIA,DATOS!$A8284,nCURSO,DATOS!$D8284,nESPEC,DATOS!$E8284,nASIG,DATOS!$I8284,nEVAL,"OR")=0))</f>
      </c>
      <c r="I8284">
        <f>IF(DATOS!$I8284="","",IFERROR(VLOOKUP(DATOS!$I8284,CONFIG_ASIGNATURAS!$B$2:$J$91,9,FALSE()),""))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IF(DATOS!$A8285="",0,IF(CONFIG_METADATA!$B$4&lt;&gt;"OR+EX",--(DATOS!$G8285=CONFIG_METADATA!$B$4),IF(DATOS!$G8285="EX",1,IF(DATOS!$G8285="OR",--(COUNTIFS(nNIA,DATOS!$A8285,nCURSO,DATOS!$D8285,nESPEC,DATOS!$E8285,nASIG,DATOS!$I8285,nEVAL,"EX")=0),0))))</f>
      </c>
      <c r="H8285">
        <f>IF(DATOS!$G8285&lt;&gt;"EX",0,--(COUNTIFS(nNIA,DATOS!$A8285,nCURSO,DATOS!$D8285,nESPEC,DATOS!$E8285,nASIG,DATOS!$I8285,nEVAL,"OR")=0))</f>
      </c>
      <c r="I8285">
        <f>IF(DATOS!$I8285="","",IFERROR(VLOOKUP(DATOS!$I8285,CONFIG_ASIGNATURAS!$B$2:$J$91,9,FALSE()),""))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IF(DATOS!$A8286="",0,IF(CONFIG_METADATA!$B$4&lt;&gt;"OR+EX",--(DATOS!$G8286=CONFIG_METADATA!$B$4),IF(DATOS!$G8286="EX",1,IF(DATOS!$G8286="OR",--(COUNTIFS(nNIA,DATOS!$A8286,nCURSO,DATOS!$D8286,nESPEC,DATOS!$E8286,nASIG,DATOS!$I8286,nEVAL,"EX")=0),0))))</f>
      </c>
      <c r="H8286">
        <f>IF(DATOS!$G8286&lt;&gt;"EX",0,--(COUNTIFS(nNIA,DATOS!$A8286,nCURSO,DATOS!$D8286,nESPEC,DATOS!$E8286,nASIG,DATOS!$I8286,nEVAL,"OR")=0))</f>
      </c>
      <c r="I8286">
        <f>IF(DATOS!$I8286="","",IFERROR(VLOOKUP(DATOS!$I8286,CONFIG_ASIGNATURAS!$B$2:$J$91,9,FALSE()),""))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IF(DATOS!$A8287="",0,IF(CONFIG_METADATA!$B$4&lt;&gt;"OR+EX",--(DATOS!$G8287=CONFIG_METADATA!$B$4),IF(DATOS!$G8287="EX",1,IF(DATOS!$G8287="OR",--(COUNTIFS(nNIA,DATOS!$A8287,nCURSO,DATOS!$D8287,nESPEC,DATOS!$E8287,nASIG,DATOS!$I8287,nEVAL,"EX")=0),0))))</f>
      </c>
      <c r="H8287">
        <f>IF(DATOS!$G8287&lt;&gt;"EX",0,--(COUNTIFS(nNIA,DATOS!$A8287,nCURSO,DATOS!$D8287,nESPEC,DATOS!$E8287,nASIG,DATOS!$I8287,nEVAL,"OR")=0))</f>
      </c>
      <c r="I8287">
        <f>IF(DATOS!$I8287="","",IFERROR(VLOOKUP(DATOS!$I8287,CONFIG_ASIGNATURAS!$B$2:$J$91,9,FALSE()),""))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IF(DATOS!$A8288="",0,IF(CONFIG_METADATA!$B$4&lt;&gt;"OR+EX",--(DATOS!$G8288=CONFIG_METADATA!$B$4),IF(DATOS!$G8288="EX",1,IF(DATOS!$G8288="OR",--(COUNTIFS(nNIA,DATOS!$A8288,nCURSO,DATOS!$D8288,nESPEC,DATOS!$E8288,nASIG,DATOS!$I8288,nEVAL,"EX")=0),0))))</f>
      </c>
      <c r="H8288">
        <f>IF(DATOS!$G8288&lt;&gt;"EX",0,--(COUNTIFS(nNIA,DATOS!$A8288,nCURSO,DATOS!$D8288,nESPEC,DATOS!$E8288,nASIG,DATOS!$I8288,nEVAL,"OR")=0))</f>
      </c>
      <c r="I8288">
        <f>IF(DATOS!$I8288="","",IFERROR(VLOOKUP(DATOS!$I8288,CONFIG_ASIGNATURAS!$B$2:$J$91,9,FALSE()),""))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IF(DATOS!$A8289="",0,IF(CONFIG_METADATA!$B$4&lt;&gt;"OR+EX",--(DATOS!$G8289=CONFIG_METADATA!$B$4),IF(DATOS!$G8289="EX",1,IF(DATOS!$G8289="OR",--(COUNTIFS(nNIA,DATOS!$A8289,nCURSO,DATOS!$D8289,nESPEC,DATOS!$E8289,nASIG,DATOS!$I8289,nEVAL,"EX")=0),0))))</f>
      </c>
      <c r="H8289">
        <f>IF(DATOS!$G8289&lt;&gt;"EX",0,--(COUNTIFS(nNIA,DATOS!$A8289,nCURSO,DATOS!$D8289,nESPEC,DATOS!$E8289,nASIG,DATOS!$I8289,nEVAL,"OR")=0))</f>
      </c>
      <c r="I8289">
        <f>IF(DATOS!$I8289="","",IFERROR(VLOOKUP(DATOS!$I8289,CONFIG_ASIGNATURAS!$B$2:$J$91,9,FALSE()),""))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IF(DATOS!$A8290="",0,IF(CONFIG_METADATA!$B$4&lt;&gt;"OR+EX",--(DATOS!$G8290=CONFIG_METADATA!$B$4),IF(DATOS!$G8290="EX",1,IF(DATOS!$G8290="OR",--(COUNTIFS(nNIA,DATOS!$A8290,nCURSO,DATOS!$D8290,nESPEC,DATOS!$E8290,nASIG,DATOS!$I8290,nEVAL,"EX")=0),0))))</f>
      </c>
      <c r="H8290">
        <f>IF(DATOS!$G8290&lt;&gt;"EX",0,--(COUNTIFS(nNIA,DATOS!$A8290,nCURSO,DATOS!$D8290,nESPEC,DATOS!$E8290,nASIG,DATOS!$I8290,nEVAL,"OR")=0))</f>
      </c>
      <c r="I8290">
        <f>IF(DATOS!$I8290="","",IFERROR(VLOOKUP(DATOS!$I8290,CONFIG_ASIGNATURAS!$B$2:$J$91,9,FALSE()),""))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IF(DATOS!$A8291="",0,IF(CONFIG_METADATA!$B$4&lt;&gt;"OR+EX",--(DATOS!$G8291=CONFIG_METADATA!$B$4),IF(DATOS!$G8291="EX",1,IF(DATOS!$G8291="OR",--(COUNTIFS(nNIA,DATOS!$A8291,nCURSO,DATOS!$D8291,nESPEC,DATOS!$E8291,nASIG,DATOS!$I8291,nEVAL,"EX")=0),0))))</f>
      </c>
      <c r="H8291">
        <f>IF(DATOS!$G8291&lt;&gt;"EX",0,--(COUNTIFS(nNIA,DATOS!$A8291,nCURSO,DATOS!$D8291,nESPEC,DATOS!$E8291,nASIG,DATOS!$I8291,nEVAL,"OR")=0))</f>
      </c>
      <c r="I8291">
        <f>IF(DATOS!$I8291="","",IFERROR(VLOOKUP(DATOS!$I8291,CONFIG_ASIGNATURAS!$B$2:$J$91,9,FALSE()),""))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IF(DATOS!$A8292="",0,IF(CONFIG_METADATA!$B$4&lt;&gt;"OR+EX",--(DATOS!$G8292=CONFIG_METADATA!$B$4),IF(DATOS!$G8292="EX",1,IF(DATOS!$G8292="OR",--(COUNTIFS(nNIA,DATOS!$A8292,nCURSO,DATOS!$D8292,nESPEC,DATOS!$E8292,nASIG,DATOS!$I8292,nEVAL,"EX")=0),0))))</f>
      </c>
      <c r="H8292">
        <f>IF(DATOS!$G8292&lt;&gt;"EX",0,--(COUNTIFS(nNIA,DATOS!$A8292,nCURSO,DATOS!$D8292,nESPEC,DATOS!$E8292,nASIG,DATOS!$I8292,nEVAL,"OR")=0))</f>
      </c>
      <c r="I8292">
        <f>IF(DATOS!$I8292="","",IFERROR(VLOOKUP(DATOS!$I8292,CONFIG_ASIGNATURAS!$B$2:$J$91,9,FALSE()),""))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IF(DATOS!$A8293="",0,IF(CONFIG_METADATA!$B$4&lt;&gt;"OR+EX",--(DATOS!$G8293=CONFIG_METADATA!$B$4),IF(DATOS!$G8293="EX",1,IF(DATOS!$G8293="OR",--(COUNTIFS(nNIA,DATOS!$A8293,nCURSO,DATOS!$D8293,nESPEC,DATOS!$E8293,nASIG,DATOS!$I8293,nEVAL,"EX")=0),0))))</f>
      </c>
      <c r="H8293">
        <f>IF(DATOS!$G8293&lt;&gt;"EX",0,--(COUNTIFS(nNIA,DATOS!$A8293,nCURSO,DATOS!$D8293,nESPEC,DATOS!$E8293,nASIG,DATOS!$I8293,nEVAL,"OR")=0))</f>
      </c>
      <c r="I8293">
        <f>IF(DATOS!$I8293="","",IFERROR(VLOOKUP(DATOS!$I8293,CONFIG_ASIGNATURAS!$B$2:$J$91,9,FALSE()),""))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IF(DATOS!$A8294="",0,IF(CONFIG_METADATA!$B$4&lt;&gt;"OR+EX",--(DATOS!$G8294=CONFIG_METADATA!$B$4),IF(DATOS!$G8294="EX",1,IF(DATOS!$G8294="OR",--(COUNTIFS(nNIA,DATOS!$A8294,nCURSO,DATOS!$D8294,nESPEC,DATOS!$E8294,nASIG,DATOS!$I8294,nEVAL,"EX")=0),0))))</f>
      </c>
      <c r="H8294">
        <f>IF(DATOS!$G8294&lt;&gt;"EX",0,--(COUNTIFS(nNIA,DATOS!$A8294,nCURSO,DATOS!$D8294,nESPEC,DATOS!$E8294,nASIG,DATOS!$I8294,nEVAL,"OR")=0))</f>
      </c>
      <c r="I8294">
        <f>IF(DATOS!$I8294="","",IFERROR(VLOOKUP(DATOS!$I8294,CONFIG_ASIGNATURAS!$B$2:$J$91,9,FALSE()),""))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IF(DATOS!$A8295="",0,IF(CONFIG_METADATA!$B$4&lt;&gt;"OR+EX",--(DATOS!$G8295=CONFIG_METADATA!$B$4),IF(DATOS!$G8295="EX",1,IF(DATOS!$G8295="OR",--(COUNTIFS(nNIA,DATOS!$A8295,nCURSO,DATOS!$D8295,nESPEC,DATOS!$E8295,nASIG,DATOS!$I8295,nEVAL,"EX")=0),0))))</f>
      </c>
      <c r="H8295">
        <f>IF(DATOS!$G8295&lt;&gt;"EX",0,--(COUNTIFS(nNIA,DATOS!$A8295,nCURSO,DATOS!$D8295,nESPEC,DATOS!$E8295,nASIG,DATOS!$I8295,nEVAL,"OR")=0))</f>
      </c>
      <c r="I8295">
        <f>IF(DATOS!$I8295="","",IFERROR(VLOOKUP(DATOS!$I8295,CONFIG_ASIGNATURAS!$B$2:$J$91,9,FALSE()),""))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IF(DATOS!$A8296="",0,IF(CONFIG_METADATA!$B$4&lt;&gt;"OR+EX",--(DATOS!$G8296=CONFIG_METADATA!$B$4),IF(DATOS!$G8296="EX",1,IF(DATOS!$G8296="OR",--(COUNTIFS(nNIA,DATOS!$A8296,nCURSO,DATOS!$D8296,nESPEC,DATOS!$E8296,nASIG,DATOS!$I8296,nEVAL,"EX")=0),0))))</f>
      </c>
      <c r="H8296">
        <f>IF(DATOS!$G8296&lt;&gt;"EX",0,--(COUNTIFS(nNIA,DATOS!$A8296,nCURSO,DATOS!$D8296,nESPEC,DATOS!$E8296,nASIG,DATOS!$I8296,nEVAL,"OR")=0))</f>
      </c>
      <c r="I8296">
        <f>IF(DATOS!$I8296="","",IFERROR(VLOOKUP(DATOS!$I8296,CONFIG_ASIGNATURAS!$B$2:$J$91,9,FALSE()),""))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IF(DATOS!$A8297="",0,IF(CONFIG_METADATA!$B$4&lt;&gt;"OR+EX",--(DATOS!$G8297=CONFIG_METADATA!$B$4),IF(DATOS!$G8297="EX",1,IF(DATOS!$G8297="OR",--(COUNTIFS(nNIA,DATOS!$A8297,nCURSO,DATOS!$D8297,nESPEC,DATOS!$E8297,nASIG,DATOS!$I8297,nEVAL,"EX")=0),0))))</f>
      </c>
      <c r="H8297">
        <f>IF(DATOS!$G8297&lt;&gt;"EX",0,--(COUNTIFS(nNIA,DATOS!$A8297,nCURSO,DATOS!$D8297,nESPEC,DATOS!$E8297,nASIG,DATOS!$I8297,nEVAL,"OR")=0))</f>
      </c>
      <c r="I8297">
        <f>IF(DATOS!$I8297="","",IFERROR(VLOOKUP(DATOS!$I8297,CONFIG_ASIGNATURAS!$B$2:$J$91,9,FALSE()),""))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IF(DATOS!$A8298="",0,IF(CONFIG_METADATA!$B$4&lt;&gt;"OR+EX",--(DATOS!$G8298=CONFIG_METADATA!$B$4),IF(DATOS!$G8298="EX",1,IF(DATOS!$G8298="OR",--(COUNTIFS(nNIA,DATOS!$A8298,nCURSO,DATOS!$D8298,nESPEC,DATOS!$E8298,nASIG,DATOS!$I8298,nEVAL,"EX")=0),0))))</f>
      </c>
      <c r="H8298">
        <f>IF(DATOS!$G8298&lt;&gt;"EX",0,--(COUNTIFS(nNIA,DATOS!$A8298,nCURSO,DATOS!$D8298,nESPEC,DATOS!$E8298,nASIG,DATOS!$I8298,nEVAL,"OR")=0))</f>
      </c>
      <c r="I8298">
        <f>IF(DATOS!$I8298="","",IFERROR(VLOOKUP(DATOS!$I8298,CONFIG_ASIGNATURAS!$B$2:$J$91,9,FALSE()),""))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IF(DATOS!$A8299="",0,IF(CONFIG_METADATA!$B$4&lt;&gt;"OR+EX",--(DATOS!$G8299=CONFIG_METADATA!$B$4),IF(DATOS!$G8299="EX",1,IF(DATOS!$G8299="OR",--(COUNTIFS(nNIA,DATOS!$A8299,nCURSO,DATOS!$D8299,nESPEC,DATOS!$E8299,nASIG,DATOS!$I8299,nEVAL,"EX")=0),0))))</f>
      </c>
      <c r="H8299">
        <f>IF(DATOS!$G8299&lt;&gt;"EX",0,--(COUNTIFS(nNIA,DATOS!$A8299,nCURSO,DATOS!$D8299,nESPEC,DATOS!$E8299,nASIG,DATOS!$I8299,nEVAL,"OR")=0))</f>
      </c>
      <c r="I8299">
        <f>IF(DATOS!$I8299="","",IFERROR(VLOOKUP(DATOS!$I8299,CONFIG_ASIGNATURAS!$B$2:$J$91,9,FALSE()),""))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IF(DATOS!$A8300="",0,IF(CONFIG_METADATA!$B$4&lt;&gt;"OR+EX",--(DATOS!$G8300=CONFIG_METADATA!$B$4),IF(DATOS!$G8300="EX",1,IF(DATOS!$G8300="OR",--(COUNTIFS(nNIA,DATOS!$A8300,nCURSO,DATOS!$D8300,nESPEC,DATOS!$E8300,nASIG,DATOS!$I8300,nEVAL,"EX")=0),0))))</f>
      </c>
      <c r="H8300">
        <f>IF(DATOS!$G8300&lt;&gt;"EX",0,--(COUNTIFS(nNIA,DATOS!$A8300,nCURSO,DATOS!$D8300,nESPEC,DATOS!$E8300,nASIG,DATOS!$I8300,nEVAL,"OR")=0))</f>
      </c>
      <c r="I8300">
        <f>IF(DATOS!$I8300="","",IFERROR(VLOOKUP(DATOS!$I8300,CONFIG_ASIGNATURAS!$B$2:$J$91,9,FALSE()),""))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IF(DATOS!$A8301="",0,IF(CONFIG_METADATA!$B$4&lt;&gt;"OR+EX",--(DATOS!$G8301=CONFIG_METADATA!$B$4),IF(DATOS!$G8301="EX",1,IF(DATOS!$G8301="OR",--(COUNTIFS(nNIA,DATOS!$A8301,nCURSO,DATOS!$D8301,nESPEC,DATOS!$E8301,nASIG,DATOS!$I8301,nEVAL,"EX")=0),0))))</f>
      </c>
      <c r="H8301">
        <f>IF(DATOS!$G8301&lt;&gt;"EX",0,--(COUNTIFS(nNIA,DATOS!$A8301,nCURSO,DATOS!$D8301,nESPEC,DATOS!$E8301,nASIG,DATOS!$I8301,nEVAL,"OR")=0))</f>
      </c>
      <c r="I8301">
        <f>IF(DATOS!$I8301="","",IFERROR(VLOOKUP(DATOS!$I8301,CONFIG_ASIGNATURAS!$B$2:$J$91,9,FALSE()),""))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IF(DATOS!$A8302="",0,IF(CONFIG_METADATA!$B$4&lt;&gt;"OR+EX",--(DATOS!$G8302=CONFIG_METADATA!$B$4),IF(DATOS!$G8302="EX",1,IF(DATOS!$G8302="OR",--(COUNTIFS(nNIA,DATOS!$A8302,nCURSO,DATOS!$D8302,nESPEC,DATOS!$E8302,nASIG,DATOS!$I8302,nEVAL,"EX")=0),0))))</f>
      </c>
      <c r="H8302">
        <f>IF(DATOS!$G8302&lt;&gt;"EX",0,--(COUNTIFS(nNIA,DATOS!$A8302,nCURSO,DATOS!$D8302,nESPEC,DATOS!$E8302,nASIG,DATOS!$I8302,nEVAL,"OR")=0))</f>
      </c>
      <c r="I8302">
        <f>IF(DATOS!$I8302="","",IFERROR(VLOOKUP(DATOS!$I8302,CONFIG_ASIGNATURAS!$B$2:$J$91,9,FALSE()),""))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IF(DATOS!$A8303="",0,IF(CONFIG_METADATA!$B$4&lt;&gt;"OR+EX",--(DATOS!$G8303=CONFIG_METADATA!$B$4),IF(DATOS!$G8303="EX",1,IF(DATOS!$G8303="OR",--(COUNTIFS(nNIA,DATOS!$A8303,nCURSO,DATOS!$D8303,nESPEC,DATOS!$E8303,nASIG,DATOS!$I8303,nEVAL,"EX")=0),0))))</f>
      </c>
      <c r="H8303">
        <f>IF(DATOS!$G8303&lt;&gt;"EX",0,--(COUNTIFS(nNIA,DATOS!$A8303,nCURSO,DATOS!$D8303,nESPEC,DATOS!$E8303,nASIG,DATOS!$I8303,nEVAL,"OR")=0))</f>
      </c>
      <c r="I8303">
        <f>IF(DATOS!$I8303="","",IFERROR(VLOOKUP(DATOS!$I8303,CONFIG_ASIGNATURAS!$B$2:$J$91,9,FALSE()),""))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IF(DATOS!$A8304="",0,IF(CONFIG_METADATA!$B$4&lt;&gt;"OR+EX",--(DATOS!$G8304=CONFIG_METADATA!$B$4),IF(DATOS!$G8304="EX",1,IF(DATOS!$G8304="OR",--(COUNTIFS(nNIA,DATOS!$A8304,nCURSO,DATOS!$D8304,nESPEC,DATOS!$E8304,nASIG,DATOS!$I8304,nEVAL,"EX")=0),0))))</f>
      </c>
      <c r="H8304">
        <f>IF(DATOS!$G8304&lt;&gt;"EX",0,--(COUNTIFS(nNIA,DATOS!$A8304,nCURSO,DATOS!$D8304,nESPEC,DATOS!$E8304,nASIG,DATOS!$I8304,nEVAL,"OR")=0))</f>
      </c>
      <c r="I8304">
        <f>IF(DATOS!$I8304="","",IFERROR(VLOOKUP(DATOS!$I8304,CONFIG_ASIGNATURAS!$B$2:$J$91,9,FALSE()),""))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IF(DATOS!$A8305="",0,IF(CONFIG_METADATA!$B$4&lt;&gt;"OR+EX",--(DATOS!$G8305=CONFIG_METADATA!$B$4),IF(DATOS!$G8305="EX",1,IF(DATOS!$G8305="OR",--(COUNTIFS(nNIA,DATOS!$A8305,nCURSO,DATOS!$D8305,nESPEC,DATOS!$E8305,nASIG,DATOS!$I8305,nEVAL,"EX")=0),0))))</f>
      </c>
      <c r="H8305">
        <f>IF(DATOS!$G8305&lt;&gt;"EX",0,--(COUNTIFS(nNIA,DATOS!$A8305,nCURSO,DATOS!$D8305,nESPEC,DATOS!$E8305,nASIG,DATOS!$I8305,nEVAL,"OR")=0))</f>
      </c>
      <c r="I8305">
        <f>IF(DATOS!$I8305="","",IFERROR(VLOOKUP(DATOS!$I8305,CONFIG_ASIGNATURAS!$B$2:$J$91,9,FALSE()),""))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IF(DATOS!$A8306="",0,IF(CONFIG_METADATA!$B$4&lt;&gt;"OR+EX",--(DATOS!$G8306=CONFIG_METADATA!$B$4),IF(DATOS!$G8306="EX",1,IF(DATOS!$G8306="OR",--(COUNTIFS(nNIA,DATOS!$A8306,nCURSO,DATOS!$D8306,nESPEC,DATOS!$E8306,nASIG,DATOS!$I8306,nEVAL,"EX")=0),0))))</f>
      </c>
      <c r="H8306">
        <f>IF(DATOS!$G8306&lt;&gt;"EX",0,--(COUNTIFS(nNIA,DATOS!$A8306,nCURSO,DATOS!$D8306,nESPEC,DATOS!$E8306,nASIG,DATOS!$I8306,nEVAL,"OR")=0))</f>
      </c>
      <c r="I8306">
        <f>IF(DATOS!$I8306="","",IFERROR(VLOOKUP(DATOS!$I8306,CONFIG_ASIGNATURAS!$B$2:$J$91,9,FALSE()),""))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IF(DATOS!$A8307="",0,IF(CONFIG_METADATA!$B$4&lt;&gt;"OR+EX",--(DATOS!$G8307=CONFIG_METADATA!$B$4),IF(DATOS!$G8307="EX",1,IF(DATOS!$G8307="OR",--(COUNTIFS(nNIA,DATOS!$A8307,nCURSO,DATOS!$D8307,nESPEC,DATOS!$E8307,nASIG,DATOS!$I8307,nEVAL,"EX")=0),0))))</f>
      </c>
      <c r="H8307">
        <f>IF(DATOS!$G8307&lt;&gt;"EX",0,--(COUNTIFS(nNIA,DATOS!$A8307,nCURSO,DATOS!$D8307,nESPEC,DATOS!$E8307,nASIG,DATOS!$I8307,nEVAL,"OR")=0))</f>
      </c>
      <c r="I8307">
        <f>IF(DATOS!$I8307="","",IFERROR(VLOOKUP(DATOS!$I8307,CONFIG_ASIGNATURAS!$B$2:$J$91,9,FALSE()),""))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IF(DATOS!$A8308="",0,IF(CONFIG_METADATA!$B$4&lt;&gt;"OR+EX",--(DATOS!$G8308=CONFIG_METADATA!$B$4),IF(DATOS!$G8308="EX",1,IF(DATOS!$G8308="OR",--(COUNTIFS(nNIA,DATOS!$A8308,nCURSO,DATOS!$D8308,nESPEC,DATOS!$E8308,nASIG,DATOS!$I8308,nEVAL,"EX")=0),0))))</f>
      </c>
      <c r="H8308">
        <f>IF(DATOS!$G8308&lt;&gt;"EX",0,--(COUNTIFS(nNIA,DATOS!$A8308,nCURSO,DATOS!$D8308,nESPEC,DATOS!$E8308,nASIG,DATOS!$I8308,nEVAL,"OR")=0))</f>
      </c>
      <c r="I8308">
        <f>IF(DATOS!$I8308="","",IFERROR(VLOOKUP(DATOS!$I8308,CONFIG_ASIGNATURAS!$B$2:$J$91,9,FALSE()),""))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IF(DATOS!$A8309="",0,IF(CONFIG_METADATA!$B$4&lt;&gt;"OR+EX",--(DATOS!$G8309=CONFIG_METADATA!$B$4),IF(DATOS!$G8309="EX",1,IF(DATOS!$G8309="OR",--(COUNTIFS(nNIA,DATOS!$A8309,nCURSO,DATOS!$D8309,nESPEC,DATOS!$E8309,nASIG,DATOS!$I8309,nEVAL,"EX")=0),0))))</f>
      </c>
      <c r="H8309">
        <f>IF(DATOS!$G8309&lt;&gt;"EX",0,--(COUNTIFS(nNIA,DATOS!$A8309,nCURSO,DATOS!$D8309,nESPEC,DATOS!$E8309,nASIG,DATOS!$I8309,nEVAL,"OR")=0))</f>
      </c>
      <c r="I8309">
        <f>IF(DATOS!$I8309="","",IFERROR(VLOOKUP(DATOS!$I8309,CONFIG_ASIGNATURAS!$B$2:$J$91,9,FALSE()),""))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IF(DATOS!$A8310="",0,IF(CONFIG_METADATA!$B$4&lt;&gt;"OR+EX",--(DATOS!$G8310=CONFIG_METADATA!$B$4),IF(DATOS!$G8310="EX",1,IF(DATOS!$G8310="OR",--(COUNTIFS(nNIA,DATOS!$A8310,nCURSO,DATOS!$D8310,nESPEC,DATOS!$E8310,nASIG,DATOS!$I8310,nEVAL,"EX")=0),0))))</f>
      </c>
      <c r="H8310">
        <f>IF(DATOS!$G8310&lt;&gt;"EX",0,--(COUNTIFS(nNIA,DATOS!$A8310,nCURSO,DATOS!$D8310,nESPEC,DATOS!$E8310,nASIG,DATOS!$I8310,nEVAL,"OR")=0))</f>
      </c>
      <c r="I8310">
        <f>IF(DATOS!$I8310="","",IFERROR(VLOOKUP(DATOS!$I8310,CONFIG_ASIGNATURAS!$B$2:$J$91,9,FALSE()),""))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IF(DATOS!$A8311="",0,IF(CONFIG_METADATA!$B$4&lt;&gt;"OR+EX",--(DATOS!$G8311=CONFIG_METADATA!$B$4),IF(DATOS!$G8311="EX",1,IF(DATOS!$G8311="OR",--(COUNTIFS(nNIA,DATOS!$A8311,nCURSO,DATOS!$D8311,nESPEC,DATOS!$E8311,nASIG,DATOS!$I8311,nEVAL,"EX")=0),0))))</f>
      </c>
      <c r="H8311">
        <f>IF(DATOS!$G8311&lt;&gt;"EX",0,--(COUNTIFS(nNIA,DATOS!$A8311,nCURSO,DATOS!$D8311,nESPEC,DATOS!$E8311,nASIG,DATOS!$I8311,nEVAL,"OR")=0))</f>
      </c>
      <c r="I8311">
        <f>IF(DATOS!$I8311="","",IFERROR(VLOOKUP(DATOS!$I8311,CONFIG_ASIGNATURAS!$B$2:$J$91,9,FALSE()),""))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IF(DATOS!$A8312="",0,IF(CONFIG_METADATA!$B$4&lt;&gt;"OR+EX",--(DATOS!$G8312=CONFIG_METADATA!$B$4),IF(DATOS!$G8312="EX",1,IF(DATOS!$G8312="OR",--(COUNTIFS(nNIA,DATOS!$A8312,nCURSO,DATOS!$D8312,nESPEC,DATOS!$E8312,nASIG,DATOS!$I8312,nEVAL,"EX")=0),0))))</f>
      </c>
      <c r="H8312">
        <f>IF(DATOS!$G8312&lt;&gt;"EX",0,--(COUNTIFS(nNIA,DATOS!$A8312,nCURSO,DATOS!$D8312,nESPEC,DATOS!$E8312,nASIG,DATOS!$I8312,nEVAL,"OR")=0))</f>
      </c>
      <c r="I8312">
        <f>IF(DATOS!$I8312="","",IFERROR(VLOOKUP(DATOS!$I8312,CONFIG_ASIGNATURAS!$B$2:$J$91,9,FALSE()),""))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IF(DATOS!$A8313="",0,IF(CONFIG_METADATA!$B$4&lt;&gt;"OR+EX",--(DATOS!$G8313=CONFIG_METADATA!$B$4),IF(DATOS!$G8313="EX",1,IF(DATOS!$G8313="OR",--(COUNTIFS(nNIA,DATOS!$A8313,nCURSO,DATOS!$D8313,nESPEC,DATOS!$E8313,nASIG,DATOS!$I8313,nEVAL,"EX")=0),0))))</f>
      </c>
      <c r="H8313">
        <f>IF(DATOS!$G8313&lt;&gt;"EX",0,--(COUNTIFS(nNIA,DATOS!$A8313,nCURSO,DATOS!$D8313,nESPEC,DATOS!$E8313,nASIG,DATOS!$I8313,nEVAL,"OR")=0))</f>
      </c>
      <c r="I8313">
        <f>IF(DATOS!$I8313="","",IFERROR(VLOOKUP(DATOS!$I8313,CONFIG_ASIGNATURAS!$B$2:$J$91,9,FALSE()),""))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IF(DATOS!$A8314="",0,IF(CONFIG_METADATA!$B$4&lt;&gt;"OR+EX",--(DATOS!$G8314=CONFIG_METADATA!$B$4),IF(DATOS!$G8314="EX",1,IF(DATOS!$G8314="OR",--(COUNTIFS(nNIA,DATOS!$A8314,nCURSO,DATOS!$D8314,nESPEC,DATOS!$E8314,nASIG,DATOS!$I8314,nEVAL,"EX")=0),0))))</f>
      </c>
      <c r="H8314">
        <f>IF(DATOS!$G8314&lt;&gt;"EX",0,--(COUNTIFS(nNIA,DATOS!$A8314,nCURSO,DATOS!$D8314,nESPEC,DATOS!$E8314,nASIG,DATOS!$I8314,nEVAL,"OR")=0))</f>
      </c>
      <c r="I8314">
        <f>IF(DATOS!$I8314="","",IFERROR(VLOOKUP(DATOS!$I8314,CONFIG_ASIGNATURAS!$B$2:$J$91,9,FALSE()),""))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IF(DATOS!$A8315="",0,IF(CONFIG_METADATA!$B$4&lt;&gt;"OR+EX",--(DATOS!$G8315=CONFIG_METADATA!$B$4),IF(DATOS!$G8315="EX",1,IF(DATOS!$G8315="OR",--(COUNTIFS(nNIA,DATOS!$A8315,nCURSO,DATOS!$D8315,nESPEC,DATOS!$E8315,nASIG,DATOS!$I8315,nEVAL,"EX")=0),0))))</f>
      </c>
      <c r="H8315">
        <f>IF(DATOS!$G8315&lt;&gt;"EX",0,--(COUNTIFS(nNIA,DATOS!$A8315,nCURSO,DATOS!$D8315,nESPEC,DATOS!$E8315,nASIG,DATOS!$I8315,nEVAL,"OR")=0))</f>
      </c>
      <c r="I8315">
        <f>IF(DATOS!$I8315="","",IFERROR(VLOOKUP(DATOS!$I8315,CONFIG_ASIGNATURAS!$B$2:$J$91,9,FALSE()),""))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IF(DATOS!$A8316="",0,IF(CONFIG_METADATA!$B$4&lt;&gt;"OR+EX",--(DATOS!$G8316=CONFIG_METADATA!$B$4),IF(DATOS!$G8316="EX",1,IF(DATOS!$G8316="OR",--(COUNTIFS(nNIA,DATOS!$A8316,nCURSO,DATOS!$D8316,nESPEC,DATOS!$E8316,nASIG,DATOS!$I8316,nEVAL,"EX")=0),0))))</f>
      </c>
      <c r="H8316">
        <f>IF(DATOS!$G8316&lt;&gt;"EX",0,--(COUNTIFS(nNIA,DATOS!$A8316,nCURSO,DATOS!$D8316,nESPEC,DATOS!$E8316,nASIG,DATOS!$I8316,nEVAL,"OR")=0))</f>
      </c>
      <c r="I8316">
        <f>IF(DATOS!$I8316="","",IFERROR(VLOOKUP(DATOS!$I8316,CONFIG_ASIGNATURAS!$B$2:$J$91,9,FALSE()),""))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IF(DATOS!$A8317="",0,IF(CONFIG_METADATA!$B$4&lt;&gt;"OR+EX",--(DATOS!$G8317=CONFIG_METADATA!$B$4),IF(DATOS!$G8317="EX",1,IF(DATOS!$G8317="OR",--(COUNTIFS(nNIA,DATOS!$A8317,nCURSO,DATOS!$D8317,nESPEC,DATOS!$E8317,nASIG,DATOS!$I8317,nEVAL,"EX")=0),0))))</f>
      </c>
      <c r="H8317">
        <f>IF(DATOS!$G8317&lt;&gt;"EX",0,--(COUNTIFS(nNIA,DATOS!$A8317,nCURSO,DATOS!$D8317,nESPEC,DATOS!$E8317,nASIG,DATOS!$I8317,nEVAL,"OR")=0))</f>
      </c>
      <c r="I8317">
        <f>IF(DATOS!$I8317="","",IFERROR(VLOOKUP(DATOS!$I8317,CONFIG_ASIGNATURAS!$B$2:$J$91,9,FALSE()),""))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IF(DATOS!$A8318="",0,IF(CONFIG_METADATA!$B$4&lt;&gt;"OR+EX",--(DATOS!$G8318=CONFIG_METADATA!$B$4),IF(DATOS!$G8318="EX",1,IF(DATOS!$G8318="OR",--(COUNTIFS(nNIA,DATOS!$A8318,nCURSO,DATOS!$D8318,nESPEC,DATOS!$E8318,nASIG,DATOS!$I8318,nEVAL,"EX")=0),0))))</f>
      </c>
      <c r="H8318">
        <f>IF(DATOS!$G8318&lt;&gt;"EX",0,--(COUNTIFS(nNIA,DATOS!$A8318,nCURSO,DATOS!$D8318,nESPEC,DATOS!$E8318,nASIG,DATOS!$I8318,nEVAL,"OR")=0))</f>
      </c>
      <c r="I8318">
        <f>IF(DATOS!$I8318="","",IFERROR(VLOOKUP(DATOS!$I8318,CONFIG_ASIGNATURAS!$B$2:$J$91,9,FALSE()),""))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IF(DATOS!$A8319="",0,IF(CONFIG_METADATA!$B$4&lt;&gt;"OR+EX",--(DATOS!$G8319=CONFIG_METADATA!$B$4),IF(DATOS!$G8319="EX",1,IF(DATOS!$G8319="OR",--(COUNTIFS(nNIA,DATOS!$A8319,nCURSO,DATOS!$D8319,nESPEC,DATOS!$E8319,nASIG,DATOS!$I8319,nEVAL,"EX")=0),0))))</f>
      </c>
      <c r="H8319">
        <f>IF(DATOS!$G8319&lt;&gt;"EX",0,--(COUNTIFS(nNIA,DATOS!$A8319,nCURSO,DATOS!$D8319,nESPEC,DATOS!$E8319,nASIG,DATOS!$I8319,nEVAL,"OR")=0))</f>
      </c>
      <c r="I8319">
        <f>IF(DATOS!$I8319="","",IFERROR(VLOOKUP(DATOS!$I8319,CONFIG_ASIGNATURAS!$B$2:$J$91,9,FALSE()),""))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IF(DATOS!$A8320="",0,IF(CONFIG_METADATA!$B$4&lt;&gt;"OR+EX",--(DATOS!$G8320=CONFIG_METADATA!$B$4),IF(DATOS!$G8320="EX",1,IF(DATOS!$G8320="OR",--(COUNTIFS(nNIA,DATOS!$A8320,nCURSO,DATOS!$D8320,nESPEC,DATOS!$E8320,nASIG,DATOS!$I8320,nEVAL,"EX")=0),0))))</f>
      </c>
      <c r="H8320">
        <f>IF(DATOS!$G8320&lt;&gt;"EX",0,--(COUNTIFS(nNIA,DATOS!$A8320,nCURSO,DATOS!$D8320,nESPEC,DATOS!$E8320,nASIG,DATOS!$I8320,nEVAL,"OR")=0))</f>
      </c>
      <c r="I8320">
        <f>IF(DATOS!$I8320="","",IFERROR(VLOOKUP(DATOS!$I8320,CONFIG_ASIGNATURAS!$B$2:$J$91,9,FALSE()),""))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IF(DATOS!$A8321="",0,IF(CONFIG_METADATA!$B$4&lt;&gt;"OR+EX",--(DATOS!$G8321=CONFIG_METADATA!$B$4),IF(DATOS!$G8321="EX",1,IF(DATOS!$G8321="OR",--(COUNTIFS(nNIA,DATOS!$A8321,nCURSO,DATOS!$D8321,nESPEC,DATOS!$E8321,nASIG,DATOS!$I8321,nEVAL,"EX")=0),0))))</f>
      </c>
      <c r="H8321">
        <f>IF(DATOS!$G8321&lt;&gt;"EX",0,--(COUNTIFS(nNIA,DATOS!$A8321,nCURSO,DATOS!$D8321,nESPEC,DATOS!$E8321,nASIG,DATOS!$I8321,nEVAL,"OR")=0))</f>
      </c>
      <c r="I8321">
        <f>IF(DATOS!$I8321="","",IFERROR(VLOOKUP(DATOS!$I8321,CONFIG_ASIGNATURAS!$B$2:$J$91,9,FALSE()),""))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IF(DATOS!$A8322="",0,IF(CONFIG_METADATA!$B$4&lt;&gt;"OR+EX",--(DATOS!$G8322=CONFIG_METADATA!$B$4),IF(DATOS!$G8322="EX",1,IF(DATOS!$G8322="OR",--(COUNTIFS(nNIA,DATOS!$A8322,nCURSO,DATOS!$D8322,nESPEC,DATOS!$E8322,nASIG,DATOS!$I8322,nEVAL,"EX")=0),0))))</f>
      </c>
      <c r="H8322">
        <f>IF(DATOS!$G8322&lt;&gt;"EX",0,--(COUNTIFS(nNIA,DATOS!$A8322,nCURSO,DATOS!$D8322,nESPEC,DATOS!$E8322,nASIG,DATOS!$I8322,nEVAL,"OR")=0))</f>
      </c>
      <c r="I8322">
        <f>IF(DATOS!$I8322="","",IFERROR(VLOOKUP(DATOS!$I8322,CONFIG_ASIGNATURAS!$B$2:$J$91,9,FALSE()),""))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IF(DATOS!$A8323="",0,IF(CONFIG_METADATA!$B$4&lt;&gt;"OR+EX",--(DATOS!$G8323=CONFIG_METADATA!$B$4),IF(DATOS!$G8323="EX",1,IF(DATOS!$G8323="OR",--(COUNTIFS(nNIA,DATOS!$A8323,nCURSO,DATOS!$D8323,nESPEC,DATOS!$E8323,nASIG,DATOS!$I8323,nEVAL,"EX")=0),0))))</f>
      </c>
      <c r="H8323">
        <f>IF(DATOS!$G8323&lt;&gt;"EX",0,--(COUNTIFS(nNIA,DATOS!$A8323,nCURSO,DATOS!$D8323,nESPEC,DATOS!$E8323,nASIG,DATOS!$I8323,nEVAL,"OR")=0))</f>
      </c>
      <c r="I8323">
        <f>IF(DATOS!$I8323="","",IFERROR(VLOOKUP(DATOS!$I8323,CONFIG_ASIGNATURAS!$B$2:$J$91,9,FALSE()),""))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IF(DATOS!$A8324="",0,IF(CONFIG_METADATA!$B$4&lt;&gt;"OR+EX",--(DATOS!$G8324=CONFIG_METADATA!$B$4),IF(DATOS!$G8324="EX",1,IF(DATOS!$G8324="OR",--(COUNTIFS(nNIA,DATOS!$A8324,nCURSO,DATOS!$D8324,nESPEC,DATOS!$E8324,nASIG,DATOS!$I8324,nEVAL,"EX")=0),0))))</f>
      </c>
      <c r="H8324">
        <f>IF(DATOS!$G8324&lt;&gt;"EX",0,--(COUNTIFS(nNIA,DATOS!$A8324,nCURSO,DATOS!$D8324,nESPEC,DATOS!$E8324,nASIG,DATOS!$I8324,nEVAL,"OR")=0))</f>
      </c>
      <c r="I8324">
        <f>IF(DATOS!$I8324="","",IFERROR(VLOOKUP(DATOS!$I8324,CONFIG_ASIGNATURAS!$B$2:$J$91,9,FALSE()),""))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IF(DATOS!$A8325="",0,IF(CONFIG_METADATA!$B$4&lt;&gt;"OR+EX",--(DATOS!$G8325=CONFIG_METADATA!$B$4),IF(DATOS!$G8325="EX",1,IF(DATOS!$G8325="OR",--(COUNTIFS(nNIA,DATOS!$A8325,nCURSO,DATOS!$D8325,nESPEC,DATOS!$E8325,nASIG,DATOS!$I8325,nEVAL,"EX")=0),0))))</f>
      </c>
      <c r="H8325">
        <f>IF(DATOS!$G8325&lt;&gt;"EX",0,--(COUNTIFS(nNIA,DATOS!$A8325,nCURSO,DATOS!$D8325,nESPEC,DATOS!$E8325,nASIG,DATOS!$I8325,nEVAL,"OR")=0))</f>
      </c>
      <c r="I8325">
        <f>IF(DATOS!$I8325="","",IFERROR(VLOOKUP(DATOS!$I8325,CONFIG_ASIGNATURAS!$B$2:$J$91,9,FALSE()),""))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IF(DATOS!$A8326="",0,IF(CONFIG_METADATA!$B$4&lt;&gt;"OR+EX",--(DATOS!$G8326=CONFIG_METADATA!$B$4),IF(DATOS!$G8326="EX",1,IF(DATOS!$G8326="OR",--(COUNTIFS(nNIA,DATOS!$A8326,nCURSO,DATOS!$D8326,nESPEC,DATOS!$E8326,nASIG,DATOS!$I8326,nEVAL,"EX")=0),0))))</f>
      </c>
      <c r="H8326">
        <f>IF(DATOS!$G8326&lt;&gt;"EX",0,--(COUNTIFS(nNIA,DATOS!$A8326,nCURSO,DATOS!$D8326,nESPEC,DATOS!$E8326,nASIG,DATOS!$I8326,nEVAL,"OR")=0))</f>
      </c>
      <c r="I8326">
        <f>IF(DATOS!$I8326="","",IFERROR(VLOOKUP(DATOS!$I8326,CONFIG_ASIGNATURAS!$B$2:$J$91,9,FALSE()),""))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IF(DATOS!$A8327="",0,IF(CONFIG_METADATA!$B$4&lt;&gt;"OR+EX",--(DATOS!$G8327=CONFIG_METADATA!$B$4),IF(DATOS!$G8327="EX",1,IF(DATOS!$G8327="OR",--(COUNTIFS(nNIA,DATOS!$A8327,nCURSO,DATOS!$D8327,nESPEC,DATOS!$E8327,nASIG,DATOS!$I8327,nEVAL,"EX")=0),0))))</f>
      </c>
      <c r="H8327">
        <f>IF(DATOS!$G8327&lt;&gt;"EX",0,--(COUNTIFS(nNIA,DATOS!$A8327,nCURSO,DATOS!$D8327,nESPEC,DATOS!$E8327,nASIG,DATOS!$I8327,nEVAL,"OR")=0))</f>
      </c>
      <c r="I8327">
        <f>IF(DATOS!$I8327="","",IFERROR(VLOOKUP(DATOS!$I8327,CONFIG_ASIGNATURAS!$B$2:$J$91,9,FALSE()),""))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IF(DATOS!$A8328="",0,IF(CONFIG_METADATA!$B$4&lt;&gt;"OR+EX",--(DATOS!$G8328=CONFIG_METADATA!$B$4),IF(DATOS!$G8328="EX",1,IF(DATOS!$G8328="OR",--(COUNTIFS(nNIA,DATOS!$A8328,nCURSO,DATOS!$D8328,nESPEC,DATOS!$E8328,nASIG,DATOS!$I8328,nEVAL,"EX")=0),0))))</f>
      </c>
      <c r="H8328">
        <f>IF(DATOS!$G8328&lt;&gt;"EX",0,--(COUNTIFS(nNIA,DATOS!$A8328,nCURSO,DATOS!$D8328,nESPEC,DATOS!$E8328,nASIG,DATOS!$I8328,nEVAL,"OR")=0))</f>
      </c>
      <c r="I8328">
        <f>IF(DATOS!$I8328="","",IFERROR(VLOOKUP(DATOS!$I8328,CONFIG_ASIGNATURAS!$B$2:$J$91,9,FALSE()),""))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IF(DATOS!$A8329="",0,IF(CONFIG_METADATA!$B$4&lt;&gt;"OR+EX",--(DATOS!$G8329=CONFIG_METADATA!$B$4),IF(DATOS!$G8329="EX",1,IF(DATOS!$G8329="OR",--(COUNTIFS(nNIA,DATOS!$A8329,nCURSO,DATOS!$D8329,nESPEC,DATOS!$E8329,nASIG,DATOS!$I8329,nEVAL,"EX")=0),0))))</f>
      </c>
      <c r="H8329">
        <f>IF(DATOS!$G8329&lt;&gt;"EX",0,--(COUNTIFS(nNIA,DATOS!$A8329,nCURSO,DATOS!$D8329,nESPEC,DATOS!$E8329,nASIG,DATOS!$I8329,nEVAL,"OR")=0))</f>
      </c>
      <c r="I8329">
        <f>IF(DATOS!$I8329="","",IFERROR(VLOOKUP(DATOS!$I8329,CONFIG_ASIGNATURAS!$B$2:$J$91,9,FALSE()),""))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IF(DATOS!$A8330="",0,IF(CONFIG_METADATA!$B$4&lt;&gt;"OR+EX",--(DATOS!$G8330=CONFIG_METADATA!$B$4),IF(DATOS!$G8330="EX",1,IF(DATOS!$G8330="OR",--(COUNTIFS(nNIA,DATOS!$A8330,nCURSO,DATOS!$D8330,nESPEC,DATOS!$E8330,nASIG,DATOS!$I8330,nEVAL,"EX")=0),0))))</f>
      </c>
      <c r="H8330">
        <f>IF(DATOS!$G8330&lt;&gt;"EX",0,--(COUNTIFS(nNIA,DATOS!$A8330,nCURSO,DATOS!$D8330,nESPEC,DATOS!$E8330,nASIG,DATOS!$I8330,nEVAL,"OR")=0))</f>
      </c>
      <c r="I8330">
        <f>IF(DATOS!$I8330="","",IFERROR(VLOOKUP(DATOS!$I8330,CONFIG_ASIGNATURAS!$B$2:$J$91,9,FALSE()),""))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IF(DATOS!$A8331="",0,IF(CONFIG_METADATA!$B$4&lt;&gt;"OR+EX",--(DATOS!$G8331=CONFIG_METADATA!$B$4),IF(DATOS!$G8331="EX",1,IF(DATOS!$G8331="OR",--(COUNTIFS(nNIA,DATOS!$A8331,nCURSO,DATOS!$D8331,nESPEC,DATOS!$E8331,nASIG,DATOS!$I8331,nEVAL,"EX")=0),0))))</f>
      </c>
      <c r="H8331">
        <f>IF(DATOS!$G8331&lt;&gt;"EX",0,--(COUNTIFS(nNIA,DATOS!$A8331,nCURSO,DATOS!$D8331,nESPEC,DATOS!$E8331,nASIG,DATOS!$I8331,nEVAL,"OR")=0))</f>
      </c>
      <c r="I8331">
        <f>IF(DATOS!$I8331="","",IFERROR(VLOOKUP(DATOS!$I8331,CONFIG_ASIGNATURAS!$B$2:$J$91,9,FALSE()),""))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IF(DATOS!$A8332="",0,IF(CONFIG_METADATA!$B$4&lt;&gt;"OR+EX",--(DATOS!$G8332=CONFIG_METADATA!$B$4),IF(DATOS!$G8332="EX",1,IF(DATOS!$G8332="OR",--(COUNTIFS(nNIA,DATOS!$A8332,nCURSO,DATOS!$D8332,nESPEC,DATOS!$E8332,nASIG,DATOS!$I8332,nEVAL,"EX")=0),0))))</f>
      </c>
      <c r="H8332">
        <f>IF(DATOS!$G8332&lt;&gt;"EX",0,--(COUNTIFS(nNIA,DATOS!$A8332,nCURSO,DATOS!$D8332,nESPEC,DATOS!$E8332,nASIG,DATOS!$I8332,nEVAL,"OR")=0))</f>
      </c>
      <c r="I8332">
        <f>IF(DATOS!$I8332="","",IFERROR(VLOOKUP(DATOS!$I8332,CONFIG_ASIGNATURAS!$B$2:$J$91,9,FALSE()),""))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IF(DATOS!$A8333="",0,IF(CONFIG_METADATA!$B$4&lt;&gt;"OR+EX",--(DATOS!$G8333=CONFIG_METADATA!$B$4),IF(DATOS!$G8333="EX",1,IF(DATOS!$G8333="OR",--(COUNTIFS(nNIA,DATOS!$A8333,nCURSO,DATOS!$D8333,nESPEC,DATOS!$E8333,nASIG,DATOS!$I8333,nEVAL,"EX")=0),0))))</f>
      </c>
      <c r="H8333">
        <f>IF(DATOS!$G8333&lt;&gt;"EX",0,--(COUNTIFS(nNIA,DATOS!$A8333,nCURSO,DATOS!$D8333,nESPEC,DATOS!$E8333,nASIG,DATOS!$I8333,nEVAL,"OR")=0))</f>
      </c>
      <c r="I8333">
        <f>IF(DATOS!$I8333="","",IFERROR(VLOOKUP(DATOS!$I8333,CONFIG_ASIGNATURAS!$B$2:$J$91,9,FALSE()),""))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IF(DATOS!$A8334="",0,IF(CONFIG_METADATA!$B$4&lt;&gt;"OR+EX",--(DATOS!$G8334=CONFIG_METADATA!$B$4),IF(DATOS!$G8334="EX",1,IF(DATOS!$G8334="OR",--(COUNTIFS(nNIA,DATOS!$A8334,nCURSO,DATOS!$D8334,nESPEC,DATOS!$E8334,nASIG,DATOS!$I8334,nEVAL,"EX")=0),0))))</f>
      </c>
      <c r="H8334">
        <f>IF(DATOS!$G8334&lt;&gt;"EX",0,--(COUNTIFS(nNIA,DATOS!$A8334,nCURSO,DATOS!$D8334,nESPEC,DATOS!$E8334,nASIG,DATOS!$I8334,nEVAL,"OR")=0))</f>
      </c>
      <c r="I8334">
        <f>IF(DATOS!$I8334="","",IFERROR(VLOOKUP(DATOS!$I8334,CONFIG_ASIGNATURAS!$B$2:$J$91,9,FALSE()),""))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IF(DATOS!$A8335="",0,IF(CONFIG_METADATA!$B$4&lt;&gt;"OR+EX",--(DATOS!$G8335=CONFIG_METADATA!$B$4),IF(DATOS!$G8335="EX",1,IF(DATOS!$G8335="OR",--(COUNTIFS(nNIA,DATOS!$A8335,nCURSO,DATOS!$D8335,nESPEC,DATOS!$E8335,nASIG,DATOS!$I8335,nEVAL,"EX")=0),0))))</f>
      </c>
      <c r="H8335">
        <f>IF(DATOS!$G8335&lt;&gt;"EX",0,--(COUNTIFS(nNIA,DATOS!$A8335,nCURSO,DATOS!$D8335,nESPEC,DATOS!$E8335,nASIG,DATOS!$I8335,nEVAL,"OR")=0))</f>
      </c>
      <c r="I8335">
        <f>IF(DATOS!$I8335="","",IFERROR(VLOOKUP(DATOS!$I8335,CONFIG_ASIGNATURAS!$B$2:$J$91,9,FALSE()),""))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IF(DATOS!$A8336="",0,IF(CONFIG_METADATA!$B$4&lt;&gt;"OR+EX",--(DATOS!$G8336=CONFIG_METADATA!$B$4),IF(DATOS!$G8336="EX",1,IF(DATOS!$G8336="OR",--(COUNTIFS(nNIA,DATOS!$A8336,nCURSO,DATOS!$D8336,nESPEC,DATOS!$E8336,nASIG,DATOS!$I8336,nEVAL,"EX")=0),0))))</f>
      </c>
      <c r="H8336">
        <f>IF(DATOS!$G8336&lt;&gt;"EX",0,--(COUNTIFS(nNIA,DATOS!$A8336,nCURSO,DATOS!$D8336,nESPEC,DATOS!$E8336,nASIG,DATOS!$I8336,nEVAL,"OR")=0))</f>
      </c>
      <c r="I8336">
        <f>IF(DATOS!$I8336="","",IFERROR(VLOOKUP(DATOS!$I8336,CONFIG_ASIGNATURAS!$B$2:$J$91,9,FALSE()),""))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IF(DATOS!$A8337="",0,IF(CONFIG_METADATA!$B$4&lt;&gt;"OR+EX",--(DATOS!$G8337=CONFIG_METADATA!$B$4),IF(DATOS!$G8337="EX",1,IF(DATOS!$G8337="OR",--(COUNTIFS(nNIA,DATOS!$A8337,nCURSO,DATOS!$D8337,nESPEC,DATOS!$E8337,nASIG,DATOS!$I8337,nEVAL,"EX")=0),0))))</f>
      </c>
      <c r="H8337">
        <f>IF(DATOS!$G8337&lt;&gt;"EX",0,--(COUNTIFS(nNIA,DATOS!$A8337,nCURSO,DATOS!$D8337,nESPEC,DATOS!$E8337,nASIG,DATOS!$I8337,nEVAL,"OR")=0))</f>
      </c>
      <c r="I8337">
        <f>IF(DATOS!$I8337="","",IFERROR(VLOOKUP(DATOS!$I8337,CONFIG_ASIGNATURAS!$B$2:$J$91,9,FALSE()),""))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IF(DATOS!$A8338="",0,IF(CONFIG_METADATA!$B$4&lt;&gt;"OR+EX",--(DATOS!$G8338=CONFIG_METADATA!$B$4),IF(DATOS!$G8338="EX",1,IF(DATOS!$G8338="OR",--(COUNTIFS(nNIA,DATOS!$A8338,nCURSO,DATOS!$D8338,nESPEC,DATOS!$E8338,nASIG,DATOS!$I8338,nEVAL,"EX")=0),0))))</f>
      </c>
      <c r="H8338">
        <f>IF(DATOS!$G8338&lt;&gt;"EX",0,--(COUNTIFS(nNIA,DATOS!$A8338,nCURSO,DATOS!$D8338,nESPEC,DATOS!$E8338,nASIG,DATOS!$I8338,nEVAL,"OR")=0))</f>
      </c>
      <c r="I8338">
        <f>IF(DATOS!$I8338="","",IFERROR(VLOOKUP(DATOS!$I8338,CONFIG_ASIGNATURAS!$B$2:$J$91,9,FALSE()),""))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IF(DATOS!$A8339="",0,IF(CONFIG_METADATA!$B$4&lt;&gt;"OR+EX",--(DATOS!$G8339=CONFIG_METADATA!$B$4),IF(DATOS!$G8339="EX",1,IF(DATOS!$G8339="OR",--(COUNTIFS(nNIA,DATOS!$A8339,nCURSO,DATOS!$D8339,nESPEC,DATOS!$E8339,nASIG,DATOS!$I8339,nEVAL,"EX")=0),0))))</f>
      </c>
      <c r="H8339">
        <f>IF(DATOS!$G8339&lt;&gt;"EX",0,--(COUNTIFS(nNIA,DATOS!$A8339,nCURSO,DATOS!$D8339,nESPEC,DATOS!$E8339,nASIG,DATOS!$I8339,nEVAL,"OR")=0))</f>
      </c>
      <c r="I8339">
        <f>IF(DATOS!$I8339="","",IFERROR(VLOOKUP(DATOS!$I8339,CONFIG_ASIGNATURAS!$B$2:$J$91,9,FALSE()),""))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IF(DATOS!$A8340="",0,IF(CONFIG_METADATA!$B$4&lt;&gt;"OR+EX",--(DATOS!$G8340=CONFIG_METADATA!$B$4),IF(DATOS!$G8340="EX",1,IF(DATOS!$G8340="OR",--(COUNTIFS(nNIA,DATOS!$A8340,nCURSO,DATOS!$D8340,nESPEC,DATOS!$E8340,nASIG,DATOS!$I8340,nEVAL,"EX")=0),0))))</f>
      </c>
      <c r="H8340">
        <f>IF(DATOS!$G8340&lt;&gt;"EX",0,--(COUNTIFS(nNIA,DATOS!$A8340,nCURSO,DATOS!$D8340,nESPEC,DATOS!$E8340,nASIG,DATOS!$I8340,nEVAL,"OR")=0))</f>
      </c>
      <c r="I8340">
        <f>IF(DATOS!$I8340="","",IFERROR(VLOOKUP(DATOS!$I8340,CONFIG_ASIGNATURAS!$B$2:$J$91,9,FALSE()),""))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IF(DATOS!$A8341="",0,IF(CONFIG_METADATA!$B$4&lt;&gt;"OR+EX",--(DATOS!$G8341=CONFIG_METADATA!$B$4),IF(DATOS!$G8341="EX",1,IF(DATOS!$G8341="OR",--(COUNTIFS(nNIA,DATOS!$A8341,nCURSO,DATOS!$D8341,nESPEC,DATOS!$E8341,nASIG,DATOS!$I8341,nEVAL,"EX")=0),0))))</f>
      </c>
      <c r="H8341">
        <f>IF(DATOS!$G8341&lt;&gt;"EX",0,--(COUNTIFS(nNIA,DATOS!$A8341,nCURSO,DATOS!$D8341,nESPEC,DATOS!$E8341,nASIG,DATOS!$I8341,nEVAL,"OR")=0))</f>
      </c>
      <c r="I8341">
        <f>IF(DATOS!$I8341="","",IFERROR(VLOOKUP(DATOS!$I8341,CONFIG_ASIGNATURAS!$B$2:$J$91,9,FALSE()),""))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IF(DATOS!$A8342="",0,IF(CONFIG_METADATA!$B$4&lt;&gt;"OR+EX",--(DATOS!$G8342=CONFIG_METADATA!$B$4),IF(DATOS!$G8342="EX",1,IF(DATOS!$G8342="OR",--(COUNTIFS(nNIA,DATOS!$A8342,nCURSO,DATOS!$D8342,nESPEC,DATOS!$E8342,nASIG,DATOS!$I8342,nEVAL,"EX")=0),0))))</f>
      </c>
      <c r="H8342">
        <f>IF(DATOS!$G8342&lt;&gt;"EX",0,--(COUNTIFS(nNIA,DATOS!$A8342,nCURSO,DATOS!$D8342,nESPEC,DATOS!$E8342,nASIG,DATOS!$I8342,nEVAL,"OR")=0))</f>
      </c>
      <c r="I8342">
        <f>IF(DATOS!$I8342="","",IFERROR(VLOOKUP(DATOS!$I8342,CONFIG_ASIGNATURAS!$B$2:$J$91,9,FALSE()),""))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IF(DATOS!$A8343="",0,IF(CONFIG_METADATA!$B$4&lt;&gt;"OR+EX",--(DATOS!$G8343=CONFIG_METADATA!$B$4),IF(DATOS!$G8343="EX",1,IF(DATOS!$G8343="OR",--(COUNTIFS(nNIA,DATOS!$A8343,nCURSO,DATOS!$D8343,nESPEC,DATOS!$E8343,nASIG,DATOS!$I8343,nEVAL,"EX")=0),0))))</f>
      </c>
      <c r="H8343">
        <f>IF(DATOS!$G8343&lt;&gt;"EX",0,--(COUNTIFS(nNIA,DATOS!$A8343,nCURSO,DATOS!$D8343,nESPEC,DATOS!$E8343,nASIG,DATOS!$I8343,nEVAL,"OR")=0))</f>
      </c>
      <c r="I8343">
        <f>IF(DATOS!$I8343="","",IFERROR(VLOOKUP(DATOS!$I8343,CONFIG_ASIGNATURAS!$B$2:$J$91,9,FALSE()),""))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IF(DATOS!$A8344="",0,IF(CONFIG_METADATA!$B$4&lt;&gt;"OR+EX",--(DATOS!$G8344=CONFIG_METADATA!$B$4),IF(DATOS!$G8344="EX",1,IF(DATOS!$G8344="OR",--(COUNTIFS(nNIA,DATOS!$A8344,nCURSO,DATOS!$D8344,nESPEC,DATOS!$E8344,nASIG,DATOS!$I8344,nEVAL,"EX")=0),0))))</f>
      </c>
      <c r="H8344">
        <f>IF(DATOS!$G8344&lt;&gt;"EX",0,--(COUNTIFS(nNIA,DATOS!$A8344,nCURSO,DATOS!$D8344,nESPEC,DATOS!$E8344,nASIG,DATOS!$I8344,nEVAL,"OR")=0))</f>
      </c>
      <c r="I8344">
        <f>IF(DATOS!$I8344="","",IFERROR(VLOOKUP(DATOS!$I8344,CONFIG_ASIGNATURAS!$B$2:$J$91,9,FALSE()),""))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IF(DATOS!$A8345="",0,IF(CONFIG_METADATA!$B$4&lt;&gt;"OR+EX",--(DATOS!$G8345=CONFIG_METADATA!$B$4),IF(DATOS!$G8345="EX",1,IF(DATOS!$G8345="OR",--(COUNTIFS(nNIA,DATOS!$A8345,nCURSO,DATOS!$D8345,nESPEC,DATOS!$E8345,nASIG,DATOS!$I8345,nEVAL,"EX")=0),0))))</f>
      </c>
      <c r="H8345">
        <f>IF(DATOS!$G8345&lt;&gt;"EX",0,--(COUNTIFS(nNIA,DATOS!$A8345,nCURSO,DATOS!$D8345,nESPEC,DATOS!$E8345,nASIG,DATOS!$I8345,nEVAL,"OR")=0))</f>
      </c>
      <c r="I8345">
        <f>IF(DATOS!$I8345="","",IFERROR(VLOOKUP(DATOS!$I8345,CONFIG_ASIGNATURAS!$B$2:$J$91,9,FALSE()),""))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IF(DATOS!$A8346="",0,IF(CONFIG_METADATA!$B$4&lt;&gt;"OR+EX",--(DATOS!$G8346=CONFIG_METADATA!$B$4),IF(DATOS!$G8346="EX",1,IF(DATOS!$G8346="OR",--(COUNTIFS(nNIA,DATOS!$A8346,nCURSO,DATOS!$D8346,nESPEC,DATOS!$E8346,nASIG,DATOS!$I8346,nEVAL,"EX")=0),0))))</f>
      </c>
      <c r="H8346">
        <f>IF(DATOS!$G8346&lt;&gt;"EX",0,--(COUNTIFS(nNIA,DATOS!$A8346,nCURSO,DATOS!$D8346,nESPEC,DATOS!$E8346,nASIG,DATOS!$I8346,nEVAL,"OR")=0))</f>
      </c>
      <c r="I8346">
        <f>IF(DATOS!$I8346="","",IFERROR(VLOOKUP(DATOS!$I8346,CONFIG_ASIGNATURAS!$B$2:$J$91,9,FALSE()),""))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IF(DATOS!$A8347="",0,IF(CONFIG_METADATA!$B$4&lt;&gt;"OR+EX",--(DATOS!$G8347=CONFIG_METADATA!$B$4),IF(DATOS!$G8347="EX",1,IF(DATOS!$G8347="OR",--(COUNTIFS(nNIA,DATOS!$A8347,nCURSO,DATOS!$D8347,nESPEC,DATOS!$E8347,nASIG,DATOS!$I8347,nEVAL,"EX")=0),0))))</f>
      </c>
      <c r="H8347">
        <f>IF(DATOS!$G8347&lt;&gt;"EX",0,--(COUNTIFS(nNIA,DATOS!$A8347,nCURSO,DATOS!$D8347,nESPEC,DATOS!$E8347,nASIG,DATOS!$I8347,nEVAL,"OR")=0))</f>
      </c>
      <c r="I8347">
        <f>IF(DATOS!$I8347="","",IFERROR(VLOOKUP(DATOS!$I8347,CONFIG_ASIGNATURAS!$B$2:$J$91,9,FALSE()),""))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IF(DATOS!$A8348="",0,IF(CONFIG_METADATA!$B$4&lt;&gt;"OR+EX",--(DATOS!$G8348=CONFIG_METADATA!$B$4),IF(DATOS!$G8348="EX",1,IF(DATOS!$G8348="OR",--(COUNTIFS(nNIA,DATOS!$A8348,nCURSO,DATOS!$D8348,nESPEC,DATOS!$E8348,nASIG,DATOS!$I8348,nEVAL,"EX")=0),0))))</f>
      </c>
      <c r="H8348">
        <f>IF(DATOS!$G8348&lt;&gt;"EX",0,--(COUNTIFS(nNIA,DATOS!$A8348,nCURSO,DATOS!$D8348,nESPEC,DATOS!$E8348,nASIG,DATOS!$I8348,nEVAL,"OR")=0))</f>
      </c>
      <c r="I8348">
        <f>IF(DATOS!$I8348="","",IFERROR(VLOOKUP(DATOS!$I8348,CONFIG_ASIGNATURAS!$B$2:$J$91,9,FALSE()),""))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IF(DATOS!$A8349="",0,IF(CONFIG_METADATA!$B$4&lt;&gt;"OR+EX",--(DATOS!$G8349=CONFIG_METADATA!$B$4),IF(DATOS!$G8349="EX",1,IF(DATOS!$G8349="OR",--(COUNTIFS(nNIA,DATOS!$A8349,nCURSO,DATOS!$D8349,nESPEC,DATOS!$E8349,nASIG,DATOS!$I8349,nEVAL,"EX")=0),0))))</f>
      </c>
      <c r="H8349">
        <f>IF(DATOS!$G8349&lt;&gt;"EX",0,--(COUNTIFS(nNIA,DATOS!$A8349,nCURSO,DATOS!$D8349,nESPEC,DATOS!$E8349,nASIG,DATOS!$I8349,nEVAL,"OR")=0))</f>
      </c>
      <c r="I8349">
        <f>IF(DATOS!$I8349="","",IFERROR(VLOOKUP(DATOS!$I8349,CONFIG_ASIGNATURAS!$B$2:$J$91,9,FALSE()),""))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IF(DATOS!$A8350="",0,IF(CONFIG_METADATA!$B$4&lt;&gt;"OR+EX",--(DATOS!$G8350=CONFIG_METADATA!$B$4),IF(DATOS!$G8350="EX",1,IF(DATOS!$G8350="OR",--(COUNTIFS(nNIA,DATOS!$A8350,nCURSO,DATOS!$D8350,nESPEC,DATOS!$E8350,nASIG,DATOS!$I8350,nEVAL,"EX")=0),0))))</f>
      </c>
      <c r="H8350">
        <f>IF(DATOS!$G8350&lt;&gt;"EX",0,--(COUNTIFS(nNIA,DATOS!$A8350,nCURSO,DATOS!$D8350,nESPEC,DATOS!$E8350,nASIG,DATOS!$I8350,nEVAL,"OR")=0))</f>
      </c>
      <c r="I8350">
        <f>IF(DATOS!$I8350="","",IFERROR(VLOOKUP(DATOS!$I8350,CONFIG_ASIGNATURAS!$B$2:$J$91,9,FALSE()),""))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IF(DATOS!$A8351="",0,IF(CONFIG_METADATA!$B$4&lt;&gt;"OR+EX",--(DATOS!$G8351=CONFIG_METADATA!$B$4),IF(DATOS!$G8351="EX",1,IF(DATOS!$G8351="OR",--(COUNTIFS(nNIA,DATOS!$A8351,nCURSO,DATOS!$D8351,nESPEC,DATOS!$E8351,nASIG,DATOS!$I8351,nEVAL,"EX")=0),0))))</f>
      </c>
      <c r="H8351">
        <f>IF(DATOS!$G8351&lt;&gt;"EX",0,--(COUNTIFS(nNIA,DATOS!$A8351,nCURSO,DATOS!$D8351,nESPEC,DATOS!$E8351,nASIG,DATOS!$I8351,nEVAL,"OR")=0))</f>
      </c>
      <c r="I8351">
        <f>IF(DATOS!$I8351="","",IFERROR(VLOOKUP(DATOS!$I8351,CONFIG_ASIGNATURAS!$B$2:$J$91,9,FALSE()),""))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IF(DATOS!$A8352="",0,IF(CONFIG_METADATA!$B$4&lt;&gt;"OR+EX",--(DATOS!$G8352=CONFIG_METADATA!$B$4),IF(DATOS!$G8352="EX",1,IF(DATOS!$G8352="OR",--(COUNTIFS(nNIA,DATOS!$A8352,nCURSO,DATOS!$D8352,nESPEC,DATOS!$E8352,nASIG,DATOS!$I8352,nEVAL,"EX")=0),0))))</f>
      </c>
      <c r="H8352">
        <f>IF(DATOS!$G8352&lt;&gt;"EX",0,--(COUNTIFS(nNIA,DATOS!$A8352,nCURSO,DATOS!$D8352,nESPEC,DATOS!$E8352,nASIG,DATOS!$I8352,nEVAL,"OR")=0))</f>
      </c>
      <c r="I8352">
        <f>IF(DATOS!$I8352="","",IFERROR(VLOOKUP(DATOS!$I8352,CONFIG_ASIGNATURAS!$B$2:$J$91,9,FALSE()),""))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IF(DATOS!$A8353="",0,IF(CONFIG_METADATA!$B$4&lt;&gt;"OR+EX",--(DATOS!$G8353=CONFIG_METADATA!$B$4),IF(DATOS!$G8353="EX",1,IF(DATOS!$G8353="OR",--(COUNTIFS(nNIA,DATOS!$A8353,nCURSO,DATOS!$D8353,nESPEC,DATOS!$E8353,nASIG,DATOS!$I8353,nEVAL,"EX")=0),0))))</f>
      </c>
      <c r="H8353">
        <f>IF(DATOS!$G8353&lt;&gt;"EX",0,--(COUNTIFS(nNIA,DATOS!$A8353,nCURSO,DATOS!$D8353,nESPEC,DATOS!$E8353,nASIG,DATOS!$I8353,nEVAL,"OR")=0))</f>
      </c>
      <c r="I8353">
        <f>IF(DATOS!$I8353="","",IFERROR(VLOOKUP(DATOS!$I8353,CONFIG_ASIGNATURAS!$B$2:$J$91,9,FALSE()),""))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IF(DATOS!$A8354="",0,IF(CONFIG_METADATA!$B$4&lt;&gt;"OR+EX",--(DATOS!$G8354=CONFIG_METADATA!$B$4),IF(DATOS!$G8354="EX",1,IF(DATOS!$G8354="OR",--(COUNTIFS(nNIA,DATOS!$A8354,nCURSO,DATOS!$D8354,nESPEC,DATOS!$E8354,nASIG,DATOS!$I8354,nEVAL,"EX")=0),0))))</f>
      </c>
      <c r="H8354">
        <f>IF(DATOS!$G8354&lt;&gt;"EX",0,--(COUNTIFS(nNIA,DATOS!$A8354,nCURSO,DATOS!$D8354,nESPEC,DATOS!$E8354,nASIG,DATOS!$I8354,nEVAL,"OR")=0))</f>
      </c>
      <c r="I8354">
        <f>IF(DATOS!$I8354="","",IFERROR(VLOOKUP(DATOS!$I8354,CONFIG_ASIGNATURAS!$B$2:$J$91,9,FALSE()),""))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IF(DATOS!$A8355="",0,IF(CONFIG_METADATA!$B$4&lt;&gt;"OR+EX",--(DATOS!$G8355=CONFIG_METADATA!$B$4),IF(DATOS!$G8355="EX",1,IF(DATOS!$G8355="OR",--(COUNTIFS(nNIA,DATOS!$A8355,nCURSO,DATOS!$D8355,nESPEC,DATOS!$E8355,nASIG,DATOS!$I8355,nEVAL,"EX")=0),0))))</f>
      </c>
      <c r="H8355">
        <f>IF(DATOS!$G8355&lt;&gt;"EX",0,--(COUNTIFS(nNIA,DATOS!$A8355,nCURSO,DATOS!$D8355,nESPEC,DATOS!$E8355,nASIG,DATOS!$I8355,nEVAL,"OR")=0))</f>
      </c>
      <c r="I8355">
        <f>IF(DATOS!$I8355="","",IFERROR(VLOOKUP(DATOS!$I8355,CONFIG_ASIGNATURAS!$B$2:$J$91,9,FALSE()),""))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IF(DATOS!$A8356="",0,IF(CONFIG_METADATA!$B$4&lt;&gt;"OR+EX",--(DATOS!$G8356=CONFIG_METADATA!$B$4),IF(DATOS!$G8356="EX",1,IF(DATOS!$G8356="OR",--(COUNTIFS(nNIA,DATOS!$A8356,nCURSO,DATOS!$D8356,nESPEC,DATOS!$E8356,nASIG,DATOS!$I8356,nEVAL,"EX")=0),0))))</f>
      </c>
      <c r="H8356">
        <f>IF(DATOS!$G8356&lt;&gt;"EX",0,--(COUNTIFS(nNIA,DATOS!$A8356,nCURSO,DATOS!$D8356,nESPEC,DATOS!$E8356,nASIG,DATOS!$I8356,nEVAL,"OR")=0))</f>
      </c>
      <c r="I8356">
        <f>IF(DATOS!$I8356="","",IFERROR(VLOOKUP(DATOS!$I8356,CONFIG_ASIGNATURAS!$B$2:$J$91,9,FALSE()),""))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IF(DATOS!$A8357="",0,IF(CONFIG_METADATA!$B$4&lt;&gt;"OR+EX",--(DATOS!$G8357=CONFIG_METADATA!$B$4),IF(DATOS!$G8357="EX",1,IF(DATOS!$G8357="OR",--(COUNTIFS(nNIA,DATOS!$A8357,nCURSO,DATOS!$D8357,nESPEC,DATOS!$E8357,nASIG,DATOS!$I8357,nEVAL,"EX")=0),0))))</f>
      </c>
      <c r="H8357">
        <f>IF(DATOS!$G8357&lt;&gt;"EX",0,--(COUNTIFS(nNIA,DATOS!$A8357,nCURSO,DATOS!$D8357,nESPEC,DATOS!$E8357,nASIG,DATOS!$I8357,nEVAL,"OR")=0))</f>
      </c>
      <c r="I8357">
        <f>IF(DATOS!$I8357="","",IFERROR(VLOOKUP(DATOS!$I8357,CONFIG_ASIGNATURAS!$B$2:$J$91,9,FALSE()),""))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IF(DATOS!$A8358="",0,IF(CONFIG_METADATA!$B$4&lt;&gt;"OR+EX",--(DATOS!$G8358=CONFIG_METADATA!$B$4),IF(DATOS!$G8358="EX",1,IF(DATOS!$G8358="OR",--(COUNTIFS(nNIA,DATOS!$A8358,nCURSO,DATOS!$D8358,nESPEC,DATOS!$E8358,nASIG,DATOS!$I8358,nEVAL,"EX")=0),0))))</f>
      </c>
      <c r="H8358">
        <f>IF(DATOS!$G8358&lt;&gt;"EX",0,--(COUNTIFS(nNIA,DATOS!$A8358,nCURSO,DATOS!$D8358,nESPEC,DATOS!$E8358,nASIG,DATOS!$I8358,nEVAL,"OR")=0))</f>
      </c>
      <c r="I8358">
        <f>IF(DATOS!$I8358="","",IFERROR(VLOOKUP(DATOS!$I8358,CONFIG_ASIGNATURAS!$B$2:$J$91,9,FALSE()),""))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IF(DATOS!$A8359="",0,IF(CONFIG_METADATA!$B$4&lt;&gt;"OR+EX",--(DATOS!$G8359=CONFIG_METADATA!$B$4),IF(DATOS!$G8359="EX",1,IF(DATOS!$G8359="OR",--(COUNTIFS(nNIA,DATOS!$A8359,nCURSO,DATOS!$D8359,nESPEC,DATOS!$E8359,nASIG,DATOS!$I8359,nEVAL,"EX")=0),0))))</f>
      </c>
      <c r="H8359">
        <f>IF(DATOS!$G8359&lt;&gt;"EX",0,--(COUNTIFS(nNIA,DATOS!$A8359,nCURSO,DATOS!$D8359,nESPEC,DATOS!$E8359,nASIG,DATOS!$I8359,nEVAL,"OR")=0))</f>
      </c>
      <c r="I8359">
        <f>IF(DATOS!$I8359="","",IFERROR(VLOOKUP(DATOS!$I8359,CONFIG_ASIGNATURAS!$B$2:$J$91,9,FALSE()),""))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IF(DATOS!$A8360="",0,IF(CONFIG_METADATA!$B$4&lt;&gt;"OR+EX",--(DATOS!$G8360=CONFIG_METADATA!$B$4),IF(DATOS!$G8360="EX",1,IF(DATOS!$G8360="OR",--(COUNTIFS(nNIA,DATOS!$A8360,nCURSO,DATOS!$D8360,nESPEC,DATOS!$E8360,nASIG,DATOS!$I8360,nEVAL,"EX")=0),0))))</f>
      </c>
      <c r="H8360">
        <f>IF(DATOS!$G8360&lt;&gt;"EX",0,--(COUNTIFS(nNIA,DATOS!$A8360,nCURSO,DATOS!$D8360,nESPEC,DATOS!$E8360,nASIG,DATOS!$I8360,nEVAL,"OR")=0))</f>
      </c>
      <c r="I8360">
        <f>IF(DATOS!$I8360="","",IFERROR(VLOOKUP(DATOS!$I8360,CONFIG_ASIGNATURAS!$B$2:$J$91,9,FALSE()),""))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IF(DATOS!$A8361="",0,IF(CONFIG_METADATA!$B$4&lt;&gt;"OR+EX",--(DATOS!$G8361=CONFIG_METADATA!$B$4),IF(DATOS!$G8361="EX",1,IF(DATOS!$G8361="OR",--(COUNTIFS(nNIA,DATOS!$A8361,nCURSO,DATOS!$D8361,nESPEC,DATOS!$E8361,nASIG,DATOS!$I8361,nEVAL,"EX")=0),0))))</f>
      </c>
      <c r="H8361">
        <f>IF(DATOS!$G8361&lt;&gt;"EX",0,--(COUNTIFS(nNIA,DATOS!$A8361,nCURSO,DATOS!$D8361,nESPEC,DATOS!$E8361,nASIG,DATOS!$I8361,nEVAL,"OR")=0))</f>
      </c>
      <c r="I8361">
        <f>IF(DATOS!$I8361="","",IFERROR(VLOOKUP(DATOS!$I8361,CONFIG_ASIGNATURAS!$B$2:$J$91,9,FALSE()),""))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IF(DATOS!$A8362="",0,IF(CONFIG_METADATA!$B$4&lt;&gt;"OR+EX",--(DATOS!$G8362=CONFIG_METADATA!$B$4),IF(DATOS!$G8362="EX",1,IF(DATOS!$G8362="OR",--(COUNTIFS(nNIA,DATOS!$A8362,nCURSO,DATOS!$D8362,nESPEC,DATOS!$E8362,nASIG,DATOS!$I8362,nEVAL,"EX")=0),0))))</f>
      </c>
      <c r="H8362">
        <f>IF(DATOS!$G8362&lt;&gt;"EX",0,--(COUNTIFS(nNIA,DATOS!$A8362,nCURSO,DATOS!$D8362,nESPEC,DATOS!$E8362,nASIG,DATOS!$I8362,nEVAL,"OR")=0))</f>
      </c>
      <c r="I8362">
        <f>IF(DATOS!$I8362="","",IFERROR(VLOOKUP(DATOS!$I8362,CONFIG_ASIGNATURAS!$B$2:$J$91,9,FALSE()),""))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IF(DATOS!$A8363="",0,IF(CONFIG_METADATA!$B$4&lt;&gt;"OR+EX",--(DATOS!$G8363=CONFIG_METADATA!$B$4),IF(DATOS!$G8363="EX",1,IF(DATOS!$G8363="OR",--(COUNTIFS(nNIA,DATOS!$A8363,nCURSO,DATOS!$D8363,nESPEC,DATOS!$E8363,nASIG,DATOS!$I8363,nEVAL,"EX")=0),0))))</f>
      </c>
      <c r="H8363">
        <f>IF(DATOS!$G8363&lt;&gt;"EX",0,--(COUNTIFS(nNIA,DATOS!$A8363,nCURSO,DATOS!$D8363,nESPEC,DATOS!$E8363,nASIG,DATOS!$I8363,nEVAL,"OR")=0))</f>
      </c>
      <c r="I8363">
        <f>IF(DATOS!$I8363="","",IFERROR(VLOOKUP(DATOS!$I8363,CONFIG_ASIGNATURAS!$B$2:$J$91,9,FALSE()),""))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IF(DATOS!$A8364="",0,IF(CONFIG_METADATA!$B$4&lt;&gt;"OR+EX",--(DATOS!$G8364=CONFIG_METADATA!$B$4),IF(DATOS!$G8364="EX",1,IF(DATOS!$G8364="OR",--(COUNTIFS(nNIA,DATOS!$A8364,nCURSO,DATOS!$D8364,nESPEC,DATOS!$E8364,nASIG,DATOS!$I8364,nEVAL,"EX")=0),0))))</f>
      </c>
      <c r="H8364">
        <f>IF(DATOS!$G8364&lt;&gt;"EX",0,--(COUNTIFS(nNIA,DATOS!$A8364,nCURSO,DATOS!$D8364,nESPEC,DATOS!$E8364,nASIG,DATOS!$I8364,nEVAL,"OR")=0))</f>
      </c>
      <c r="I8364">
        <f>IF(DATOS!$I8364="","",IFERROR(VLOOKUP(DATOS!$I8364,CONFIG_ASIGNATURAS!$B$2:$J$91,9,FALSE()),""))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IF(DATOS!$A8365="",0,IF(CONFIG_METADATA!$B$4&lt;&gt;"OR+EX",--(DATOS!$G8365=CONFIG_METADATA!$B$4),IF(DATOS!$G8365="EX",1,IF(DATOS!$G8365="OR",--(COUNTIFS(nNIA,DATOS!$A8365,nCURSO,DATOS!$D8365,nESPEC,DATOS!$E8365,nASIG,DATOS!$I8365,nEVAL,"EX")=0),0))))</f>
      </c>
      <c r="H8365">
        <f>IF(DATOS!$G8365&lt;&gt;"EX",0,--(COUNTIFS(nNIA,DATOS!$A8365,nCURSO,DATOS!$D8365,nESPEC,DATOS!$E8365,nASIG,DATOS!$I8365,nEVAL,"OR")=0))</f>
      </c>
      <c r="I8365">
        <f>IF(DATOS!$I8365="","",IFERROR(VLOOKUP(DATOS!$I8365,CONFIG_ASIGNATURAS!$B$2:$J$91,9,FALSE()),""))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IF(DATOS!$A8366="",0,IF(CONFIG_METADATA!$B$4&lt;&gt;"OR+EX",--(DATOS!$G8366=CONFIG_METADATA!$B$4),IF(DATOS!$G8366="EX",1,IF(DATOS!$G8366="OR",--(COUNTIFS(nNIA,DATOS!$A8366,nCURSO,DATOS!$D8366,nESPEC,DATOS!$E8366,nASIG,DATOS!$I8366,nEVAL,"EX")=0),0))))</f>
      </c>
      <c r="H8366">
        <f>IF(DATOS!$G8366&lt;&gt;"EX",0,--(COUNTIFS(nNIA,DATOS!$A8366,nCURSO,DATOS!$D8366,nESPEC,DATOS!$E8366,nASIG,DATOS!$I8366,nEVAL,"OR")=0))</f>
      </c>
      <c r="I8366">
        <f>IF(DATOS!$I8366="","",IFERROR(VLOOKUP(DATOS!$I8366,CONFIG_ASIGNATURAS!$B$2:$J$91,9,FALSE()),""))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IF(DATOS!$A8367="",0,IF(CONFIG_METADATA!$B$4&lt;&gt;"OR+EX",--(DATOS!$G8367=CONFIG_METADATA!$B$4),IF(DATOS!$G8367="EX",1,IF(DATOS!$G8367="OR",--(COUNTIFS(nNIA,DATOS!$A8367,nCURSO,DATOS!$D8367,nESPEC,DATOS!$E8367,nASIG,DATOS!$I8367,nEVAL,"EX")=0),0))))</f>
      </c>
      <c r="H8367">
        <f>IF(DATOS!$G8367&lt;&gt;"EX",0,--(COUNTIFS(nNIA,DATOS!$A8367,nCURSO,DATOS!$D8367,nESPEC,DATOS!$E8367,nASIG,DATOS!$I8367,nEVAL,"OR")=0))</f>
      </c>
      <c r="I8367">
        <f>IF(DATOS!$I8367="","",IFERROR(VLOOKUP(DATOS!$I8367,CONFIG_ASIGNATURAS!$B$2:$J$91,9,FALSE()),""))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IF(DATOS!$A8368="",0,IF(CONFIG_METADATA!$B$4&lt;&gt;"OR+EX",--(DATOS!$G8368=CONFIG_METADATA!$B$4),IF(DATOS!$G8368="EX",1,IF(DATOS!$G8368="OR",--(COUNTIFS(nNIA,DATOS!$A8368,nCURSO,DATOS!$D8368,nESPEC,DATOS!$E8368,nASIG,DATOS!$I8368,nEVAL,"EX")=0),0))))</f>
      </c>
      <c r="H8368">
        <f>IF(DATOS!$G8368&lt;&gt;"EX",0,--(COUNTIFS(nNIA,DATOS!$A8368,nCURSO,DATOS!$D8368,nESPEC,DATOS!$E8368,nASIG,DATOS!$I8368,nEVAL,"OR")=0))</f>
      </c>
      <c r="I8368">
        <f>IF(DATOS!$I8368="","",IFERROR(VLOOKUP(DATOS!$I8368,CONFIG_ASIGNATURAS!$B$2:$J$91,9,FALSE()),""))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IF(DATOS!$A8369="",0,IF(CONFIG_METADATA!$B$4&lt;&gt;"OR+EX",--(DATOS!$G8369=CONFIG_METADATA!$B$4),IF(DATOS!$G8369="EX",1,IF(DATOS!$G8369="OR",--(COUNTIFS(nNIA,DATOS!$A8369,nCURSO,DATOS!$D8369,nESPEC,DATOS!$E8369,nASIG,DATOS!$I8369,nEVAL,"EX")=0),0))))</f>
      </c>
      <c r="H8369">
        <f>IF(DATOS!$G8369&lt;&gt;"EX",0,--(COUNTIFS(nNIA,DATOS!$A8369,nCURSO,DATOS!$D8369,nESPEC,DATOS!$E8369,nASIG,DATOS!$I8369,nEVAL,"OR")=0))</f>
      </c>
      <c r="I8369">
        <f>IF(DATOS!$I8369="","",IFERROR(VLOOKUP(DATOS!$I8369,CONFIG_ASIGNATURAS!$B$2:$J$91,9,FALSE()),""))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IF(DATOS!$A8370="",0,IF(CONFIG_METADATA!$B$4&lt;&gt;"OR+EX",--(DATOS!$G8370=CONFIG_METADATA!$B$4),IF(DATOS!$G8370="EX",1,IF(DATOS!$G8370="OR",--(COUNTIFS(nNIA,DATOS!$A8370,nCURSO,DATOS!$D8370,nESPEC,DATOS!$E8370,nASIG,DATOS!$I8370,nEVAL,"EX")=0),0))))</f>
      </c>
      <c r="H8370">
        <f>IF(DATOS!$G8370&lt;&gt;"EX",0,--(COUNTIFS(nNIA,DATOS!$A8370,nCURSO,DATOS!$D8370,nESPEC,DATOS!$E8370,nASIG,DATOS!$I8370,nEVAL,"OR")=0))</f>
      </c>
      <c r="I8370">
        <f>IF(DATOS!$I8370="","",IFERROR(VLOOKUP(DATOS!$I8370,CONFIG_ASIGNATURAS!$B$2:$J$91,9,FALSE()),""))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IF(DATOS!$A8371="",0,IF(CONFIG_METADATA!$B$4&lt;&gt;"OR+EX",--(DATOS!$G8371=CONFIG_METADATA!$B$4),IF(DATOS!$G8371="EX",1,IF(DATOS!$G8371="OR",--(COUNTIFS(nNIA,DATOS!$A8371,nCURSO,DATOS!$D8371,nESPEC,DATOS!$E8371,nASIG,DATOS!$I8371,nEVAL,"EX")=0),0))))</f>
      </c>
      <c r="H8371">
        <f>IF(DATOS!$G8371&lt;&gt;"EX",0,--(COUNTIFS(nNIA,DATOS!$A8371,nCURSO,DATOS!$D8371,nESPEC,DATOS!$E8371,nASIG,DATOS!$I8371,nEVAL,"OR")=0))</f>
      </c>
      <c r="I8371">
        <f>IF(DATOS!$I8371="","",IFERROR(VLOOKUP(DATOS!$I8371,CONFIG_ASIGNATURAS!$B$2:$J$91,9,FALSE()),""))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IF(DATOS!$A8372="",0,IF(CONFIG_METADATA!$B$4&lt;&gt;"OR+EX",--(DATOS!$G8372=CONFIG_METADATA!$B$4),IF(DATOS!$G8372="EX",1,IF(DATOS!$G8372="OR",--(COUNTIFS(nNIA,DATOS!$A8372,nCURSO,DATOS!$D8372,nESPEC,DATOS!$E8372,nASIG,DATOS!$I8372,nEVAL,"EX")=0),0))))</f>
      </c>
      <c r="H8372">
        <f>IF(DATOS!$G8372&lt;&gt;"EX",0,--(COUNTIFS(nNIA,DATOS!$A8372,nCURSO,DATOS!$D8372,nESPEC,DATOS!$E8372,nASIG,DATOS!$I8372,nEVAL,"OR")=0))</f>
      </c>
      <c r="I8372">
        <f>IF(DATOS!$I8372="","",IFERROR(VLOOKUP(DATOS!$I8372,CONFIG_ASIGNATURAS!$B$2:$J$91,9,FALSE()),""))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IF(DATOS!$A8373="",0,IF(CONFIG_METADATA!$B$4&lt;&gt;"OR+EX",--(DATOS!$G8373=CONFIG_METADATA!$B$4),IF(DATOS!$G8373="EX",1,IF(DATOS!$G8373="OR",--(COUNTIFS(nNIA,DATOS!$A8373,nCURSO,DATOS!$D8373,nESPEC,DATOS!$E8373,nASIG,DATOS!$I8373,nEVAL,"EX")=0),0))))</f>
      </c>
      <c r="H8373">
        <f>IF(DATOS!$G8373&lt;&gt;"EX",0,--(COUNTIFS(nNIA,DATOS!$A8373,nCURSO,DATOS!$D8373,nESPEC,DATOS!$E8373,nASIG,DATOS!$I8373,nEVAL,"OR")=0))</f>
      </c>
      <c r="I8373">
        <f>IF(DATOS!$I8373="","",IFERROR(VLOOKUP(DATOS!$I8373,CONFIG_ASIGNATURAS!$B$2:$J$91,9,FALSE()),""))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IF(DATOS!$A8374="",0,IF(CONFIG_METADATA!$B$4&lt;&gt;"OR+EX",--(DATOS!$G8374=CONFIG_METADATA!$B$4),IF(DATOS!$G8374="EX",1,IF(DATOS!$G8374="OR",--(COUNTIFS(nNIA,DATOS!$A8374,nCURSO,DATOS!$D8374,nESPEC,DATOS!$E8374,nASIG,DATOS!$I8374,nEVAL,"EX")=0),0))))</f>
      </c>
      <c r="H8374">
        <f>IF(DATOS!$G8374&lt;&gt;"EX",0,--(COUNTIFS(nNIA,DATOS!$A8374,nCURSO,DATOS!$D8374,nESPEC,DATOS!$E8374,nASIG,DATOS!$I8374,nEVAL,"OR")=0))</f>
      </c>
      <c r="I8374">
        <f>IF(DATOS!$I8374="","",IFERROR(VLOOKUP(DATOS!$I8374,CONFIG_ASIGNATURAS!$B$2:$J$91,9,FALSE()),""))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IF(DATOS!$A8375="",0,IF(CONFIG_METADATA!$B$4&lt;&gt;"OR+EX",--(DATOS!$G8375=CONFIG_METADATA!$B$4),IF(DATOS!$G8375="EX",1,IF(DATOS!$G8375="OR",--(COUNTIFS(nNIA,DATOS!$A8375,nCURSO,DATOS!$D8375,nESPEC,DATOS!$E8375,nASIG,DATOS!$I8375,nEVAL,"EX")=0),0))))</f>
      </c>
      <c r="H8375">
        <f>IF(DATOS!$G8375&lt;&gt;"EX",0,--(COUNTIFS(nNIA,DATOS!$A8375,nCURSO,DATOS!$D8375,nESPEC,DATOS!$E8375,nASIG,DATOS!$I8375,nEVAL,"OR")=0))</f>
      </c>
      <c r="I8375">
        <f>IF(DATOS!$I8375="","",IFERROR(VLOOKUP(DATOS!$I8375,CONFIG_ASIGNATURAS!$B$2:$J$91,9,FALSE()),""))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IF(DATOS!$A8376="",0,IF(CONFIG_METADATA!$B$4&lt;&gt;"OR+EX",--(DATOS!$G8376=CONFIG_METADATA!$B$4),IF(DATOS!$G8376="EX",1,IF(DATOS!$G8376="OR",--(COUNTIFS(nNIA,DATOS!$A8376,nCURSO,DATOS!$D8376,nESPEC,DATOS!$E8376,nASIG,DATOS!$I8376,nEVAL,"EX")=0),0))))</f>
      </c>
      <c r="H8376">
        <f>IF(DATOS!$G8376&lt;&gt;"EX",0,--(COUNTIFS(nNIA,DATOS!$A8376,nCURSO,DATOS!$D8376,nESPEC,DATOS!$E8376,nASIG,DATOS!$I8376,nEVAL,"OR")=0))</f>
      </c>
      <c r="I8376">
        <f>IF(DATOS!$I8376="","",IFERROR(VLOOKUP(DATOS!$I8376,CONFIG_ASIGNATURAS!$B$2:$J$91,9,FALSE()),""))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IF(DATOS!$A8377="",0,IF(CONFIG_METADATA!$B$4&lt;&gt;"OR+EX",--(DATOS!$G8377=CONFIG_METADATA!$B$4),IF(DATOS!$G8377="EX",1,IF(DATOS!$G8377="OR",--(COUNTIFS(nNIA,DATOS!$A8377,nCURSO,DATOS!$D8377,nESPEC,DATOS!$E8377,nASIG,DATOS!$I8377,nEVAL,"EX")=0),0))))</f>
      </c>
      <c r="H8377">
        <f>IF(DATOS!$G8377&lt;&gt;"EX",0,--(COUNTIFS(nNIA,DATOS!$A8377,nCURSO,DATOS!$D8377,nESPEC,DATOS!$E8377,nASIG,DATOS!$I8377,nEVAL,"OR")=0))</f>
      </c>
      <c r="I8377">
        <f>IF(DATOS!$I8377="","",IFERROR(VLOOKUP(DATOS!$I8377,CONFIG_ASIGNATURAS!$B$2:$J$91,9,FALSE()),""))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IF(DATOS!$A8378="",0,IF(CONFIG_METADATA!$B$4&lt;&gt;"OR+EX",--(DATOS!$G8378=CONFIG_METADATA!$B$4),IF(DATOS!$G8378="EX",1,IF(DATOS!$G8378="OR",--(COUNTIFS(nNIA,DATOS!$A8378,nCURSO,DATOS!$D8378,nESPEC,DATOS!$E8378,nASIG,DATOS!$I8378,nEVAL,"EX")=0),0))))</f>
      </c>
      <c r="H8378">
        <f>IF(DATOS!$G8378&lt;&gt;"EX",0,--(COUNTIFS(nNIA,DATOS!$A8378,nCURSO,DATOS!$D8378,nESPEC,DATOS!$E8378,nASIG,DATOS!$I8378,nEVAL,"OR")=0))</f>
      </c>
      <c r="I8378">
        <f>IF(DATOS!$I8378="","",IFERROR(VLOOKUP(DATOS!$I8378,CONFIG_ASIGNATURAS!$B$2:$J$91,9,FALSE()),""))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IF(DATOS!$A8379="",0,IF(CONFIG_METADATA!$B$4&lt;&gt;"OR+EX",--(DATOS!$G8379=CONFIG_METADATA!$B$4),IF(DATOS!$G8379="EX",1,IF(DATOS!$G8379="OR",--(COUNTIFS(nNIA,DATOS!$A8379,nCURSO,DATOS!$D8379,nESPEC,DATOS!$E8379,nASIG,DATOS!$I8379,nEVAL,"EX")=0),0))))</f>
      </c>
      <c r="H8379">
        <f>IF(DATOS!$G8379&lt;&gt;"EX",0,--(COUNTIFS(nNIA,DATOS!$A8379,nCURSO,DATOS!$D8379,nESPEC,DATOS!$E8379,nASIG,DATOS!$I8379,nEVAL,"OR")=0))</f>
      </c>
      <c r="I8379">
        <f>IF(DATOS!$I8379="","",IFERROR(VLOOKUP(DATOS!$I8379,CONFIG_ASIGNATURAS!$B$2:$J$91,9,FALSE()),""))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IF(DATOS!$A8380="",0,IF(CONFIG_METADATA!$B$4&lt;&gt;"OR+EX",--(DATOS!$G8380=CONFIG_METADATA!$B$4),IF(DATOS!$G8380="EX",1,IF(DATOS!$G8380="OR",--(COUNTIFS(nNIA,DATOS!$A8380,nCURSO,DATOS!$D8380,nESPEC,DATOS!$E8380,nASIG,DATOS!$I8380,nEVAL,"EX")=0),0))))</f>
      </c>
      <c r="H8380">
        <f>IF(DATOS!$G8380&lt;&gt;"EX",0,--(COUNTIFS(nNIA,DATOS!$A8380,nCURSO,DATOS!$D8380,nESPEC,DATOS!$E8380,nASIG,DATOS!$I8380,nEVAL,"OR")=0))</f>
      </c>
      <c r="I8380">
        <f>IF(DATOS!$I8380="","",IFERROR(VLOOKUP(DATOS!$I8380,CONFIG_ASIGNATURAS!$B$2:$J$91,9,FALSE()),""))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IF(DATOS!$A8381="",0,IF(CONFIG_METADATA!$B$4&lt;&gt;"OR+EX",--(DATOS!$G8381=CONFIG_METADATA!$B$4),IF(DATOS!$G8381="EX",1,IF(DATOS!$G8381="OR",--(COUNTIFS(nNIA,DATOS!$A8381,nCURSO,DATOS!$D8381,nESPEC,DATOS!$E8381,nASIG,DATOS!$I8381,nEVAL,"EX")=0),0))))</f>
      </c>
      <c r="H8381">
        <f>IF(DATOS!$G8381&lt;&gt;"EX",0,--(COUNTIFS(nNIA,DATOS!$A8381,nCURSO,DATOS!$D8381,nESPEC,DATOS!$E8381,nASIG,DATOS!$I8381,nEVAL,"OR")=0))</f>
      </c>
      <c r="I8381">
        <f>IF(DATOS!$I8381="","",IFERROR(VLOOKUP(DATOS!$I8381,CONFIG_ASIGNATURAS!$B$2:$J$91,9,FALSE()),""))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IF(DATOS!$A8382="",0,IF(CONFIG_METADATA!$B$4&lt;&gt;"OR+EX",--(DATOS!$G8382=CONFIG_METADATA!$B$4),IF(DATOS!$G8382="EX",1,IF(DATOS!$G8382="OR",--(COUNTIFS(nNIA,DATOS!$A8382,nCURSO,DATOS!$D8382,nESPEC,DATOS!$E8382,nASIG,DATOS!$I8382,nEVAL,"EX")=0),0))))</f>
      </c>
      <c r="H8382">
        <f>IF(DATOS!$G8382&lt;&gt;"EX",0,--(COUNTIFS(nNIA,DATOS!$A8382,nCURSO,DATOS!$D8382,nESPEC,DATOS!$E8382,nASIG,DATOS!$I8382,nEVAL,"OR")=0))</f>
      </c>
      <c r="I8382">
        <f>IF(DATOS!$I8382="","",IFERROR(VLOOKUP(DATOS!$I8382,CONFIG_ASIGNATURAS!$B$2:$J$91,9,FALSE()),""))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IF(DATOS!$A8383="",0,IF(CONFIG_METADATA!$B$4&lt;&gt;"OR+EX",--(DATOS!$G8383=CONFIG_METADATA!$B$4),IF(DATOS!$G8383="EX",1,IF(DATOS!$G8383="OR",--(COUNTIFS(nNIA,DATOS!$A8383,nCURSO,DATOS!$D8383,nESPEC,DATOS!$E8383,nASIG,DATOS!$I8383,nEVAL,"EX")=0),0))))</f>
      </c>
      <c r="H8383">
        <f>IF(DATOS!$G8383&lt;&gt;"EX",0,--(COUNTIFS(nNIA,DATOS!$A8383,nCURSO,DATOS!$D8383,nESPEC,DATOS!$E8383,nASIG,DATOS!$I8383,nEVAL,"OR")=0))</f>
      </c>
      <c r="I8383">
        <f>IF(DATOS!$I8383="","",IFERROR(VLOOKUP(DATOS!$I8383,CONFIG_ASIGNATURAS!$B$2:$J$91,9,FALSE()),""))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IF(DATOS!$A8384="",0,IF(CONFIG_METADATA!$B$4&lt;&gt;"OR+EX",--(DATOS!$G8384=CONFIG_METADATA!$B$4),IF(DATOS!$G8384="EX",1,IF(DATOS!$G8384="OR",--(COUNTIFS(nNIA,DATOS!$A8384,nCURSO,DATOS!$D8384,nESPEC,DATOS!$E8384,nASIG,DATOS!$I8384,nEVAL,"EX")=0),0))))</f>
      </c>
      <c r="H8384">
        <f>IF(DATOS!$G8384&lt;&gt;"EX",0,--(COUNTIFS(nNIA,DATOS!$A8384,nCURSO,DATOS!$D8384,nESPEC,DATOS!$E8384,nASIG,DATOS!$I8384,nEVAL,"OR")=0))</f>
      </c>
      <c r="I8384">
        <f>IF(DATOS!$I8384="","",IFERROR(VLOOKUP(DATOS!$I8384,CONFIG_ASIGNATURAS!$B$2:$J$91,9,FALSE()),""))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IF(DATOS!$A8385="",0,IF(CONFIG_METADATA!$B$4&lt;&gt;"OR+EX",--(DATOS!$G8385=CONFIG_METADATA!$B$4),IF(DATOS!$G8385="EX",1,IF(DATOS!$G8385="OR",--(COUNTIFS(nNIA,DATOS!$A8385,nCURSO,DATOS!$D8385,nESPEC,DATOS!$E8385,nASIG,DATOS!$I8385,nEVAL,"EX")=0),0))))</f>
      </c>
      <c r="H8385">
        <f>IF(DATOS!$G8385&lt;&gt;"EX",0,--(COUNTIFS(nNIA,DATOS!$A8385,nCURSO,DATOS!$D8385,nESPEC,DATOS!$E8385,nASIG,DATOS!$I8385,nEVAL,"OR")=0))</f>
      </c>
      <c r="I8385">
        <f>IF(DATOS!$I8385="","",IFERROR(VLOOKUP(DATOS!$I8385,CONFIG_ASIGNATURAS!$B$2:$J$91,9,FALSE()),""))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IF(DATOS!$A8386="",0,IF(CONFIG_METADATA!$B$4&lt;&gt;"OR+EX",--(DATOS!$G8386=CONFIG_METADATA!$B$4),IF(DATOS!$G8386="EX",1,IF(DATOS!$G8386="OR",--(COUNTIFS(nNIA,DATOS!$A8386,nCURSO,DATOS!$D8386,nESPEC,DATOS!$E8386,nASIG,DATOS!$I8386,nEVAL,"EX")=0),0))))</f>
      </c>
      <c r="H8386">
        <f>IF(DATOS!$G8386&lt;&gt;"EX",0,--(COUNTIFS(nNIA,DATOS!$A8386,nCURSO,DATOS!$D8386,nESPEC,DATOS!$E8386,nASIG,DATOS!$I8386,nEVAL,"OR")=0))</f>
      </c>
      <c r="I8386">
        <f>IF(DATOS!$I8386="","",IFERROR(VLOOKUP(DATOS!$I8386,CONFIG_ASIGNATURAS!$B$2:$J$91,9,FALSE()),""))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IF(DATOS!$A8387="",0,IF(CONFIG_METADATA!$B$4&lt;&gt;"OR+EX",--(DATOS!$G8387=CONFIG_METADATA!$B$4),IF(DATOS!$G8387="EX",1,IF(DATOS!$G8387="OR",--(COUNTIFS(nNIA,DATOS!$A8387,nCURSO,DATOS!$D8387,nESPEC,DATOS!$E8387,nASIG,DATOS!$I8387,nEVAL,"EX")=0),0))))</f>
      </c>
      <c r="H8387">
        <f>IF(DATOS!$G8387&lt;&gt;"EX",0,--(COUNTIFS(nNIA,DATOS!$A8387,nCURSO,DATOS!$D8387,nESPEC,DATOS!$E8387,nASIG,DATOS!$I8387,nEVAL,"OR")=0))</f>
      </c>
      <c r="I8387">
        <f>IF(DATOS!$I8387="","",IFERROR(VLOOKUP(DATOS!$I8387,CONFIG_ASIGNATURAS!$B$2:$J$91,9,FALSE()),""))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IF(DATOS!$A8388="",0,IF(CONFIG_METADATA!$B$4&lt;&gt;"OR+EX",--(DATOS!$G8388=CONFIG_METADATA!$B$4),IF(DATOS!$G8388="EX",1,IF(DATOS!$G8388="OR",--(COUNTIFS(nNIA,DATOS!$A8388,nCURSO,DATOS!$D8388,nESPEC,DATOS!$E8388,nASIG,DATOS!$I8388,nEVAL,"EX")=0),0))))</f>
      </c>
      <c r="H8388">
        <f>IF(DATOS!$G8388&lt;&gt;"EX",0,--(COUNTIFS(nNIA,DATOS!$A8388,nCURSO,DATOS!$D8388,nESPEC,DATOS!$E8388,nASIG,DATOS!$I8388,nEVAL,"OR")=0))</f>
      </c>
      <c r="I8388">
        <f>IF(DATOS!$I8388="","",IFERROR(VLOOKUP(DATOS!$I8388,CONFIG_ASIGNATURAS!$B$2:$J$91,9,FALSE()),""))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IF(DATOS!$A8389="",0,IF(CONFIG_METADATA!$B$4&lt;&gt;"OR+EX",--(DATOS!$G8389=CONFIG_METADATA!$B$4),IF(DATOS!$G8389="EX",1,IF(DATOS!$G8389="OR",--(COUNTIFS(nNIA,DATOS!$A8389,nCURSO,DATOS!$D8389,nESPEC,DATOS!$E8389,nASIG,DATOS!$I8389,nEVAL,"EX")=0),0))))</f>
      </c>
      <c r="H8389">
        <f>IF(DATOS!$G8389&lt;&gt;"EX",0,--(COUNTIFS(nNIA,DATOS!$A8389,nCURSO,DATOS!$D8389,nESPEC,DATOS!$E8389,nASIG,DATOS!$I8389,nEVAL,"OR")=0))</f>
      </c>
      <c r="I8389">
        <f>IF(DATOS!$I8389="","",IFERROR(VLOOKUP(DATOS!$I8389,CONFIG_ASIGNATURAS!$B$2:$J$91,9,FALSE()),""))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IF(DATOS!$A8390="",0,IF(CONFIG_METADATA!$B$4&lt;&gt;"OR+EX",--(DATOS!$G8390=CONFIG_METADATA!$B$4),IF(DATOS!$G8390="EX",1,IF(DATOS!$G8390="OR",--(COUNTIFS(nNIA,DATOS!$A8390,nCURSO,DATOS!$D8390,nESPEC,DATOS!$E8390,nASIG,DATOS!$I8390,nEVAL,"EX")=0),0))))</f>
      </c>
      <c r="H8390">
        <f>IF(DATOS!$G8390&lt;&gt;"EX",0,--(COUNTIFS(nNIA,DATOS!$A8390,nCURSO,DATOS!$D8390,nESPEC,DATOS!$E8390,nASIG,DATOS!$I8390,nEVAL,"OR")=0))</f>
      </c>
      <c r="I8390">
        <f>IF(DATOS!$I8390="","",IFERROR(VLOOKUP(DATOS!$I8390,CONFIG_ASIGNATURAS!$B$2:$J$91,9,FALSE()),""))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IF(DATOS!$A8391="",0,IF(CONFIG_METADATA!$B$4&lt;&gt;"OR+EX",--(DATOS!$G8391=CONFIG_METADATA!$B$4),IF(DATOS!$G8391="EX",1,IF(DATOS!$G8391="OR",--(COUNTIFS(nNIA,DATOS!$A8391,nCURSO,DATOS!$D8391,nESPEC,DATOS!$E8391,nASIG,DATOS!$I8391,nEVAL,"EX")=0),0))))</f>
      </c>
      <c r="H8391">
        <f>IF(DATOS!$G8391&lt;&gt;"EX",0,--(COUNTIFS(nNIA,DATOS!$A8391,nCURSO,DATOS!$D8391,nESPEC,DATOS!$E8391,nASIG,DATOS!$I8391,nEVAL,"OR")=0))</f>
      </c>
      <c r="I8391">
        <f>IF(DATOS!$I8391="","",IFERROR(VLOOKUP(DATOS!$I8391,CONFIG_ASIGNATURAS!$B$2:$J$91,9,FALSE()),""))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IF(DATOS!$A8392="",0,IF(CONFIG_METADATA!$B$4&lt;&gt;"OR+EX",--(DATOS!$G8392=CONFIG_METADATA!$B$4),IF(DATOS!$G8392="EX",1,IF(DATOS!$G8392="OR",--(COUNTIFS(nNIA,DATOS!$A8392,nCURSO,DATOS!$D8392,nESPEC,DATOS!$E8392,nASIG,DATOS!$I8392,nEVAL,"EX")=0),0))))</f>
      </c>
      <c r="H8392">
        <f>IF(DATOS!$G8392&lt;&gt;"EX",0,--(COUNTIFS(nNIA,DATOS!$A8392,nCURSO,DATOS!$D8392,nESPEC,DATOS!$E8392,nASIG,DATOS!$I8392,nEVAL,"OR")=0))</f>
      </c>
      <c r="I8392">
        <f>IF(DATOS!$I8392="","",IFERROR(VLOOKUP(DATOS!$I8392,CONFIG_ASIGNATURAS!$B$2:$J$91,9,FALSE()),""))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IF(DATOS!$A8393="",0,IF(CONFIG_METADATA!$B$4&lt;&gt;"OR+EX",--(DATOS!$G8393=CONFIG_METADATA!$B$4),IF(DATOS!$G8393="EX",1,IF(DATOS!$G8393="OR",--(COUNTIFS(nNIA,DATOS!$A8393,nCURSO,DATOS!$D8393,nESPEC,DATOS!$E8393,nASIG,DATOS!$I8393,nEVAL,"EX")=0),0))))</f>
      </c>
      <c r="H8393">
        <f>IF(DATOS!$G8393&lt;&gt;"EX",0,--(COUNTIFS(nNIA,DATOS!$A8393,nCURSO,DATOS!$D8393,nESPEC,DATOS!$E8393,nASIG,DATOS!$I8393,nEVAL,"OR")=0))</f>
      </c>
      <c r="I8393">
        <f>IF(DATOS!$I8393="","",IFERROR(VLOOKUP(DATOS!$I8393,CONFIG_ASIGNATURAS!$B$2:$J$91,9,FALSE()),""))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IF(DATOS!$A8394="",0,IF(CONFIG_METADATA!$B$4&lt;&gt;"OR+EX",--(DATOS!$G8394=CONFIG_METADATA!$B$4),IF(DATOS!$G8394="EX",1,IF(DATOS!$G8394="OR",--(COUNTIFS(nNIA,DATOS!$A8394,nCURSO,DATOS!$D8394,nESPEC,DATOS!$E8394,nASIG,DATOS!$I8394,nEVAL,"EX")=0),0))))</f>
      </c>
      <c r="H8394">
        <f>IF(DATOS!$G8394&lt;&gt;"EX",0,--(COUNTIFS(nNIA,DATOS!$A8394,nCURSO,DATOS!$D8394,nESPEC,DATOS!$E8394,nASIG,DATOS!$I8394,nEVAL,"OR")=0))</f>
      </c>
      <c r="I8394">
        <f>IF(DATOS!$I8394="","",IFERROR(VLOOKUP(DATOS!$I8394,CONFIG_ASIGNATURAS!$B$2:$J$91,9,FALSE()),""))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IF(DATOS!$A8395="",0,IF(CONFIG_METADATA!$B$4&lt;&gt;"OR+EX",--(DATOS!$G8395=CONFIG_METADATA!$B$4),IF(DATOS!$G8395="EX",1,IF(DATOS!$G8395="OR",--(COUNTIFS(nNIA,DATOS!$A8395,nCURSO,DATOS!$D8395,nESPEC,DATOS!$E8395,nASIG,DATOS!$I8395,nEVAL,"EX")=0),0))))</f>
      </c>
      <c r="H8395">
        <f>IF(DATOS!$G8395&lt;&gt;"EX",0,--(COUNTIFS(nNIA,DATOS!$A8395,nCURSO,DATOS!$D8395,nESPEC,DATOS!$E8395,nASIG,DATOS!$I8395,nEVAL,"OR")=0))</f>
      </c>
      <c r="I8395">
        <f>IF(DATOS!$I8395="","",IFERROR(VLOOKUP(DATOS!$I8395,CONFIG_ASIGNATURAS!$B$2:$J$91,9,FALSE()),""))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IF(DATOS!$A8396="",0,IF(CONFIG_METADATA!$B$4&lt;&gt;"OR+EX",--(DATOS!$G8396=CONFIG_METADATA!$B$4),IF(DATOS!$G8396="EX",1,IF(DATOS!$G8396="OR",--(COUNTIFS(nNIA,DATOS!$A8396,nCURSO,DATOS!$D8396,nESPEC,DATOS!$E8396,nASIG,DATOS!$I8396,nEVAL,"EX")=0),0))))</f>
      </c>
      <c r="H8396">
        <f>IF(DATOS!$G8396&lt;&gt;"EX",0,--(COUNTIFS(nNIA,DATOS!$A8396,nCURSO,DATOS!$D8396,nESPEC,DATOS!$E8396,nASIG,DATOS!$I8396,nEVAL,"OR")=0))</f>
      </c>
      <c r="I8396">
        <f>IF(DATOS!$I8396="","",IFERROR(VLOOKUP(DATOS!$I8396,CONFIG_ASIGNATURAS!$B$2:$J$91,9,FALSE()),""))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IF(DATOS!$A8397="",0,IF(CONFIG_METADATA!$B$4&lt;&gt;"OR+EX",--(DATOS!$G8397=CONFIG_METADATA!$B$4),IF(DATOS!$G8397="EX",1,IF(DATOS!$G8397="OR",--(COUNTIFS(nNIA,DATOS!$A8397,nCURSO,DATOS!$D8397,nESPEC,DATOS!$E8397,nASIG,DATOS!$I8397,nEVAL,"EX")=0),0))))</f>
      </c>
      <c r="H8397">
        <f>IF(DATOS!$G8397&lt;&gt;"EX",0,--(COUNTIFS(nNIA,DATOS!$A8397,nCURSO,DATOS!$D8397,nESPEC,DATOS!$E8397,nASIG,DATOS!$I8397,nEVAL,"OR")=0))</f>
      </c>
      <c r="I8397">
        <f>IF(DATOS!$I8397="","",IFERROR(VLOOKUP(DATOS!$I8397,CONFIG_ASIGNATURAS!$B$2:$J$91,9,FALSE()),""))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IF(DATOS!$A8398="",0,IF(CONFIG_METADATA!$B$4&lt;&gt;"OR+EX",--(DATOS!$G8398=CONFIG_METADATA!$B$4),IF(DATOS!$G8398="EX",1,IF(DATOS!$G8398="OR",--(COUNTIFS(nNIA,DATOS!$A8398,nCURSO,DATOS!$D8398,nESPEC,DATOS!$E8398,nASIG,DATOS!$I8398,nEVAL,"EX")=0),0))))</f>
      </c>
      <c r="H8398">
        <f>IF(DATOS!$G8398&lt;&gt;"EX",0,--(COUNTIFS(nNIA,DATOS!$A8398,nCURSO,DATOS!$D8398,nESPEC,DATOS!$E8398,nASIG,DATOS!$I8398,nEVAL,"OR")=0))</f>
      </c>
      <c r="I8398">
        <f>IF(DATOS!$I8398="","",IFERROR(VLOOKUP(DATOS!$I8398,CONFIG_ASIGNATURAS!$B$2:$J$91,9,FALSE()),""))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IF(DATOS!$A8399="",0,IF(CONFIG_METADATA!$B$4&lt;&gt;"OR+EX",--(DATOS!$G8399=CONFIG_METADATA!$B$4),IF(DATOS!$G8399="EX",1,IF(DATOS!$G8399="OR",--(COUNTIFS(nNIA,DATOS!$A8399,nCURSO,DATOS!$D8399,nESPEC,DATOS!$E8399,nASIG,DATOS!$I8399,nEVAL,"EX")=0),0))))</f>
      </c>
      <c r="H8399">
        <f>IF(DATOS!$G8399&lt;&gt;"EX",0,--(COUNTIFS(nNIA,DATOS!$A8399,nCURSO,DATOS!$D8399,nESPEC,DATOS!$E8399,nASIG,DATOS!$I8399,nEVAL,"OR")=0))</f>
      </c>
      <c r="I8399">
        <f>IF(DATOS!$I8399="","",IFERROR(VLOOKUP(DATOS!$I8399,CONFIG_ASIGNATURAS!$B$2:$J$91,9,FALSE()),""))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IF(DATOS!$A8400="",0,IF(CONFIG_METADATA!$B$4&lt;&gt;"OR+EX",--(DATOS!$G8400=CONFIG_METADATA!$B$4),IF(DATOS!$G8400="EX",1,IF(DATOS!$G8400="OR",--(COUNTIFS(nNIA,DATOS!$A8400,nCURSO,DATOS!$D8400,nESPEC,DATOS!$E8400,nASIG,DATOS!$I8400,nEVAL,"EX")=0),0))))</f>
      </c>
      <c r="H8400">
        <f>IF(DATOS!$G8400&lt;&gt;"EX",0,--(COUNTIFS(nNIA,DATOS!$A8400,nCURSO,DATOS!$D8400,nESPEC,DATOS!$E8400,nASIG,DATOS!$I8400,nEVAL,"OR")=0))</f>
      </c>
      <c r="I8400">
        <f>IF(DATOS!$I8400="","",IFERROR(VLOOKUP(DATOS!$I8400,CONFIG_ASIGNATURAS!$B$2:$J$91,9,FALSE()),""))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IF(DATOS!$A8401="",0,IF(CONFIG_METADATA!$B$4&lt;&gt;"OR+EX",--(DATOS!$G8401=CONFIG_METADATA!$B$4),IF(DATOS!$G8401="EX",1,IF(DATOS!$G8401="OR",--(COUNTIFS(nNIA,DATOS!$A8401,nCURSO,DATOS!$D8401,nESPEC,DATOS!$E8401,nASIG,DATOS!$I8401,nEVAL,"EX")=0),0))))</f>
      </c>
      <c r="H8401">
        <f>IF(DATOS!$G8401&lt;&gt;"EX",0,--(COUNTIFS(nNIA,DATOS!$A8401,nCURSO,DATOS!$D8401,nESPEC,DATOS!$E8401,nASIG,DATOS!$I8401,nEVAL,"OR")=0))</f>
      </c>
      <c r="I8401">
        <f>IF(DATOS!$I8401="","",IFERROR(VLOOKUP(DATOS!$I8401,CONFIG_ASIGNATURAS!$B$2:$J$91,9,FALSE()),""))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IF(DATOS!$A8402="",0,IF(CONFIG_METADATA!$B$4&lt;&gt;"OR+EX",--(DATOS!$G8402=CONFIG_METADATA!$B$4),IF(DATOS!$G8402="EX",1,IF(DATOS!$G8402="OR",--(COUNTIFS(nNIA,DATOS!$A8402,nCURSO,DATOS!$D8402,nESPEC,DATOS!$E8402,nASIG,DATOS!$I8402,nEVAL,"EX")=0),0))))</f>
      </c>
      <c r="H8402">
        <f>IF(DATOS!$G8402&lt;&gt;"EX",0,--(COUNTIFS(nNIA,DATOS!$A8402,nCURSO,DATOS!$D8402,nESPEC,DATOS!$E8402,nASIG,DATOS!$I8402,nEVAL,"OR")=0))</f>
      </c>
      <c r="I8402">
        <f>IF(DATOS!$I8402="","",IFERROR(VLOOKUP(DATOS!$I8402,CONFIG_ASIGNATURAS!$B$2:$J$91,9,FALSE()),""))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IF(DATOS!$A8403="",0,IF(CONFIG_METADATA!$B$4&lt;&gt;"OR+EX",--(DATOS!$G8403=CONFIG_METADATA!$B$4),IF(DATOS!$G8403="EX",1,IF(DATOS!$G8403="OR",--(COUNTIFS(nNIA,DATOS!$A8403,nCURSO,DATOS!$D8403,nESPEC,DATOS!$E8403,nASIG,DATOS!$I8403,nEVAL,"EX")=0),0))))</f>
      </c>
      <c r="H8403">
        <f>IF(DATOS!$G8403&lt;&gt;"EX",0,--(COUNTIFS(nNIA,DATOS!$A8403,nCURSO,DATOS!$D8403,nESPEC,DATOS!$E8403,nASIG,DATOS!$I8403,nEVAL,"OR")=0))</f>
      </c>
      <c r="I8403">
        <f>IF(DATOS!$I8403="","",IFERROR(VLOOKUP(DATOS!$I8403,CONFIG_ASIGNATURAS!$B$2:$J$91,9,FALSE()),""))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IF(DATOS!$A8404="",0,IF(CONFIG_METADATA!$B$4&lt;&gt;"OR+EX",--(DATOS!$G8404=CONFIG_METADATA!$B$4),IF(DATOS!$G8404="EX",1,IF(DATOS!$G8404="OR",--(COUNTIFS(nNIA,DATOS!$A8404,nCURSO,DATOS!$D8404,nESPEC,DATOS!$E8404,nASIG,DATOS!$I8404,nEVAL,"EX")=0),0))))</f>
      </c>
      <c r="H8404">
        <f>IF(DATOS!$G8404&lt;&gt;"EX",0,--(COUNTIFS(nNIA,DATOS!$A8404,nCURSO,DATOS!$D8404,nESPEC,DATOS!$E8404,nASIG,DATOS!$I8404,nEVAL,"OR")=0))</f>
      </c>
      <c r="I8404">
        <f>IF(DATOS!$I8404="","",IFERROR(VLOOKUP(DATOS!$I8404,CONFIG_ASIGNATURAS!$B$2:$J$91,9,FALSE()),""))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IF(DATOS!$A8405="",0,IF(CONFIG_METADATA!$B$4&lt;&gt;"OR+EX",--(DATOS!$G8405=CONFIG_METADATA!$B$4),IF(DATOS!$G8405="EX",1,IF(DATOS!$G8405="OR",--(COUNTIFS(nNIA,DATOS!$A8405,nCURSO,DATOS!$D8405,nESPEC,DATOS!$E8405,nASIG,DATOS!$I8405,nEVAL,"EX")=0),0))))</f>
      </c>
      <c r="H8405">
        <f>IF(DATOS!$G8405&lt;&gt;"EX",0,--(COUNTIFS(nNIA,DATOS!$A8405,nCURSO,DATOS!$D8405,nESPEC,DATOS!$E8405,nASIG,DATOS!$I8405,nEVAL,"OR")=0))</f>
      </c>
      <c r="I8405">
        <f>IF(DATOS!$I8405="","",IFERROR(VLOOKUP(DATOS!$I8405,CONFIG_ASIGNATURAS!$B$2:$J$91,9,FALSE()),""))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IF(DATOS!$A8406="",0,IF(CONFIG_METADATA!$B$4&lt;&gt;"OR+EX",--(DATOS!$G8406=CONFIG_METADATA!$B$4),IF(DATOS!$G8406="EX",1,IF(DATOS!$G8406="OR",--(COUNTIFS(nNIA,DATOS!$A8406,nCURSO,DATOS!$D8406,nESPEC,DATOS!$E8406,nASIG,DATOS!$I8406,nEVAL,"EX")=0),0))))</f>
      </c>
      <c r="H8406">
        <f>IF(DATOS!$G8406&lt;&gt;"EX",0,--(COUNTIFS(nNIA,DATOS!$A8406,nCURSO,DATOS!$D8406,nESPEC,DATOS!$E8406,nASIG,DATOS!$I8406,nEVAL,"OR")=0))</f>
      </c>
      <c r="I8406">
        <f>IF(DATOS!$I8406="","",IFERROR(VLOOKUP(DATOS!$I8406,CONFIG_ASIGNATURAS!$B$2:$J$91,9,FALSE()),""))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IF(DATOS!$A8407="",0,IF(CONFIG_METADATA!$B$4&lt;&gt;"OR+EX",--(DATOS!$G8407=CONFIG_METADATA!$B$4),IF(DATOS!$G8407="EX",1,IF(DATOS!$G8407="OR",--(COUNTIFS(nNIA,DATOS!$A8407,nCURSO,DATOS!$D8407,nESPEC,DATOS!$E8407,nASIG,DATOS!$I8407,nEVAL,"EX")=0),0))))</f>
      </c>
      <c r="H8407">
        <f>IF(DATOS!$G8407&lt;&gt;"EX",0,--(COUNTIFS(nNIA,DATOS!$A8407,nCURSO,DATOS!$D8407,nESPEC,DATOS!$E8407,nASIG,DATOS!$I8407,nEVAL,"OR")=0))</f>
      </c>
      <c r="I8407">
        <f>IF(DATOS!$I8407="","",IFERROR(VLOOKUP(DATOS!$I8407,CONFIG_ASIGNATURAS!$B$2:$J$91,9,FALSE()),""))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IF(DATOS!$A8408="",0,IF(CONFIG_METADATA!$B$4&lt;&gt;"OR+EX",--(DATOS!$G8408=CONFIG_METADATA!$B$4),IF(DATOS!$G8408="EX",1,IF(DATOS!$G8408="OR",--(COUNTIFS(nNIA,DATOS!$A8408,nCURSO,DATOS!$D8408,nESPEC,DATOS!$E8408,nASIG,DATOS!$I8408,nEVAL,"EX")=0),0))))</f>
      </c>
      <c r="H8408">
        <f>IF(DATOS!$G8408&lt;&gt;"EX",0,--(COUNTIFS(nNIA,DATOS!$A8408,nCURSO,DATOS!$D8408,nESPEC,DATOS!$E8408,nASIG,DATOS!$I8408,nEVAL,"OR")=0))</f>
      </c>
      <c r="I8408">
        <f>IF(DATOS!$I8408="","",IFERROR(VLOOKUP(DATOS!$I8408,CONFIG_ASIGNATURAS!$B$2:$J$91,9,FALSE()),""))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IF(DATOS!$A8409="",0,IF(CONFIG_METADATA!$B$4&lt;&gt;"OR+EX",--(DATOS!$G8409=CONFIG_METADATA!$B$4),IF(DATOS!$G8409="EX",1,IF(DATOS!$G8409="OR",--(COUNTIFS(nNIA,DATOS!$A8409,nCURSO,DATOS!$D8409,nESPEC,DATOS!$E8409,nASIG,DATOS!$I8409,nEVAL,"EX")=0),0))))</f>
      </c>
      <c r="H8409">
        <f>IF(DATOS!$G8409&lt;&gt;"EX",0,--(COUNTIFS(nNIA,DATOS!$A8409,nCURSO,DATOS!$D8409,nESPEC,DATOS!$E8409,nASIG,DATOS!$I8409,nEVAL,"OR")=0))</f>
      </c>
      <c r="I8409">
        <f>IF(DATOS!$I8409="","",IFERROR(VLOOKUP(DATOS!$I8409,CONFIG_ASIGNATURAS!$B$2:$J$91,9,FALSE()),""))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IF(DATOS!$A8410="",0,IF(CONFIG_METADATA!$B$4&lt;&gt;"OR+EX",--(DATOS!$G8410=CONFIG_METADATA!$B$4),IF(DATOS!$G8410="EX",1,IF(DATOS!$G8410="OR",--(COUNTIFS(nNIA,DATOS!$A8410,nCURSO,DATOS!$D8410,nESPEC,DATOS!$E8410,nASIG,DATOS!$I8410,nEVAL,"EX")=0),0))))</f>
      </c>
      <c r="H8410">
        <f>IF(DATOS!$G8410&lt;&gt;"EX",0,--(COUNTIFS(nNIA,DATOS!$A8410,nCURSO,DATOS!$D8410,nESPEC,DATOS!$E8410,nASIG,DATOS!$I8410,nEVAL,"OR")=0))</f>
      </c>
      <c r="I8410">
        <f>IF(DATOS!$I8410="","",IFERROR(VLOOKUP(DATOS!$I8410,CONFIG_ASIGNATURAS!$B$2:$J$91,9,FALSE()),""))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IF(DATOS!$A8411="",0,IF(CONFIG_METADATA!$B$4&lt;&gt;"OR+EX",--(DATOS!$G8411=CONFIG_METADATA!$B$4),IF(DATOS!$G8411="EX",1,IF(DATOS!$G8411="OR",--(COUNTIFS(nNIA,DATOS!$A8411,nCURSO,DATOS!$D8411,nESPEC,DATOS!$E8411,nASIG,DATOS!$I8411,nEVAL,"EX")=0),0))))</f>
      </c>
      <c r="H8411">
        <f>IF(DATOS!$G8411&lt;&gt;"EX",0,--(COUNTIFS(nNIA,DATOS!$A8411,nCURSO,DATOS!$D8411,nESPEC,DATOS!$E8411,nASIG,DATOS!$I8411,nEVAL,"OR")=0))</f>
      </c>
      <c r="I8411">
        <f>IF(DATOS!$I8411="","",IFERROR(VLOOKUP(DATOS!$I8411,CONFIG_ASIGNATURAS!$B$2:$J$91,9,FALSE()),""))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IF(DATOS!$A8412="",0,IF(CONFIG_METADATA!$B$4&lt;&gt;"OR+EX",--(DATOS!$G8412=CONFIG_METADATA!$B$4),IF(DATOS!$G8412="EX",1,IF(DATOS!$G8412="OR",--(COUNTIFS(nNIA,DATOS!$A8412,nCURSO,DATOS!$D8412,nESPEC,DATOS!$E8412,nASIG,DATOS!$I8412,nEVAL,"EX")=0),0))))</f>
      </c>
      <c r="H8412">
        <f>IF(DATOS!$G8412&lt;&gt;"EX",0,--(COUNTIFS(nNIA,DATOS!$A8412,nCURSO,DATOS!$D8412,nESPEC,DATOS!$E8412,nASIG,DATOS!$I8412,nEVAL,"OR")=0))</f>
      </c>
      <c r="I8412">
        <f>IF(DATOS!$I8412="","",IFERROR(VLOOKUP(DATOS!$I8412,CONFIG_ASIGNATURAS!$B$2:$J$91,9,FALSE()),""))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IF(DATOS!$A8413="",0,IF(CONFIG_METADATA!$B$4&lt;&gt;"OR+EX",--(DATOS!$G8413=CONFIG_METADATA!$B$4),IF(DATOS!$G8413="EX",1,IF(DATOS!$G8413="OR",--(COUNTIFS(nNIA,DATOS!$A8413,nCURSO,DATOS!$D8413,nESPEC,DATOS!$E8413,nASIG,DATOS!$I8413,nEVAL,"EX")=0),0))))</f>
      </c>
      <c r="H8413">
        <f>IF(DATOS!$G8413&lt;&gt;"EX",0,--(COUNTIFS(nNIA,DATOS!$A8413,nCURSO,DATOS!$D8413,nESPEC,DATOS!$E8413,nASIG,DATOS!$I8413,nEVAL,"OR")=0))</f>
      </c>
      <c r="I8413">
        <f>IF(DATOS!$I8413="","",IFERROR(VLOOKUP(DATOS!$I8413,CONFIG_ASIGNATURAS!$B$2:$J$91,9,FALSE()),""))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IF(DATOS!$A8414="",0,IF(CONFIG_METADATA!$B$4&lt;&gt;"OR+EX",--(DATOS!$G8414=CONFIG_METADATA!$B$4),IF(DATOS!$G8414="EX",1,IF(DATOS!$G8414="OR",--(COUNTIFS(nNIA,DATOS!$A8414,nCURSO,DATOS!$D8414,nESPEC,DATOS!$E8414,nASIG,DATOS!$I8414,nEVAL,"EX")=0),0))))</f>
      </c>
      <c r="H8414">
        <f>IF(DATOS!$G8414&lt;&gt;"EX",0,--(COUNTIFS(nNIA,DATOS!$A8414,nCURSO,DATOS!$D8414,nESPEC,DATOS!$E8414,nASIG,DATOS!$I8414,nEVAL,"OR")=0))</f>
      </c>
      <c r="I8414">
        <f>IF(DATOS!$I8414="","",IFERROR(VLOOKUP(DATOS!$I8414,CONFIG_ASIGNATURAS!$B$2:$J$91,9,FALSE()),""))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IF(DATOS!$A8415="",0,IF(CONFIG_METADATA!$B$4&lt;&gt;"OR+EX",--(DATOS!$G8415=CONFIG_METADATA!$B$4),IF(DATOS!$G8415="EX",1,IF(DATOS!$G8415="OR",--(COUNTIFS(nNIA,DATOS!$A8415,nCURSO,DATOS!$D8415,nESPEC,DATOS!$E8415,nASIG,DATOS!$I8415,nEVAL,"EX")=0),0))))</f>
      </c>
      <c r="H8415">
        <f>IF(DATOS!$G8415&lt;&gt;"EX",0,--(COUNTIFS(nNIA,DATOS!$A8415,nCURSO,DATOS!$D8415,nESPEC,DATOS!$E8415,nASIG,DATOS!$I8415,nEVAL,"OR")=0))</f>
      </c>
      <c r="I8415">
        <f>IF(DATOS!$I8415="","",IFERROR(VLOOKUP(DATOS!$I8415,CONFIG_ASIGNATURAS!$B$2:$J$91,9,FALSE()),""))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IF(DATOS!$A8416="",0,IF(CONFIG_METADATA!$B$4&lt;&gt;"OR+EX",--(DATOS!$G8416=CONFIG_METADATA!$B$4),IF(DATOS!$G8416="EX",1,IF(DATOS!$G8416="OR",--(COUNTIFS(nNIA,DATOS!$A8416,nCURSO,DATOS!$D8416,nESPEC,DATOS!$E8416,nASIG,DATOS!$I8416,nEVAL,"EX")=0),0))))</f>
      </c>
      <c r="H8416">
        <f>IF(DATOS!$G8416&lt;&gt;"EX",0,--(COUNTIFS(nNIA,DATOS!$A8416,nCURSO,DATOS!$D8416,nESPEC,DATOS!$E8416,nASIG,DATOS!$I8416,nEVAL,"OR")=0))</f>
      </c>
      <c r="I8416">
        <f>IF(DATOS!$I8416="","",IFERROR(VLOOKUP(DATOS!$I8416,CONFIG_ASIGNATURAS!$B$2:$J$91,9,FALSE()),""))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IF(DATOS!$A8417="",0,IF(CONFIG_METADATA!$B$4&lt;&gt;"OR+EX",--(DATOS!$G8417=CONFIG_METADATA!$B$4),IF(DATOS!$G8417="EX",1,IF(DATOS!$G8417="OR",--(COUNTIFS(nNIA,DATOS!$A8417,nCURSO,DATOS!$D8417,nESPEC,DATOS!$E8417,nASIG,DATOS!$I8417,nEVAL,"EX")=0),0))))</f>
      </c>
      <c r="H8417">
        <f>IF(DATOS!$G8417&lt;&gt;"EX",0,--(COUNTIFS(nNIA,DATOS!$A8417,nCURSO,DATOS!$D8417,nESPEC,DATOS!$E8417,nASIG,DATOS!$I8417,nEVAL,"OR")=0))</f>
      </c>
      <c r="I8417">
        <f>IF(DATOS!$I8417="","",IFERROR(VLOOKUP(DATOS!$I8417,CONFIG_ASIGNATURAS!$B$2:$J$91,9,FALSE()),""))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IF(DATOS!$A8418="",0,IF(CONFIG_METADATA!$B$4&lt;&gt;"OR+EX",--(DATOS!$G8418=CONFIG_METADATA!$B$4),IF(DATOS!$G8418="EX",1,IF(DATOS!$G8418="OR",--(COUNTIFS(nNIA,DATOS!$A8418,nCURSO,DATOS!$D8418,nESPEC,DATOS!$E8418,nASIG,DATOS!$I8418,nEVAL,"EX")=0),0))))</f>
      </c>
      <c r="H8418">
        <f>IF(DATOS!$G8418&lt;&gt;"EX",0,--(COUNTIFS(nNIA,DATOS!$A8418,nCURSO,DATOS!$D8418,nESPEC,DATOS!$E8418,nASIG,DATOS!$I8418,nEVAL,"OR")=0))</f>
      </c>
      <c r="I8418">
        <f>IF(DATOS!$I8418="","",IFERROR(VLOOKUP(DATOS!$I8418,CONFIG_ASIGNATURAS!$B$2:$J$91,9,FALSE()),""))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IF(DATOS!$A8419="",0,IF(CONFIG_METADATA!$B$4&lt;&gt;"OR+EX",--(DATOS!$G8419=CONFIG_METADATA!$B$4),IF(DATOS!$G8419="EX",1,IF(DATOS!$G8419="OR",--(COUNTIFS(nNIA,DATOS!$A8419,nCURSO,DATOS!$D8419,nESPEC,DATOS!$E8419,nASIG,DATOS!$I8419,nEVAL,"EX")=0),0))))</f>
      </c>
      <c r="H8419">
        <f>IF(DATOS!$G8419&lt;&gt;"EX",0,--(COUNTIFS(nNIA,DATOS!$A8419,nCURSO,DATOS!$D8419,nESPEC,DATOS!$E8419,nASIG,DATOS!$I8419,nEVAL,"OR")=0))</f>
      </c>
      <c r="I8419">
        <f>IF(DATOS!$I8419="","",IFERROR(VLOOKUP(DATOS!$I8419,CONFIG_ASIGNATURAS!$B$2:$J$91,9,FALSE()),""))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IF(DATOS!$A8420="",0,IF(CONFIG_METADATA!$B$4&lt;&gt;"OR+EX",--(DATOS!$G8420=CONFIG_METADATA!$B$4),IF(DATOS!$G8420="EX",1,IF(DATOS!$G8420="OR",--(COUNTIFS(nNIA,DATOS!$A8420,nCURSO,DATOS!$D8420,nESPEC,DATOS!$E8420,nASIG,DATOS!$I8420,nEVAL,"EX")=0),0))))</f>
      </c>
      <c r="H8420">
        <f>IF(DATOS!$G8420&lt;&gt;"EX",0,--(COUNTIFS(nNIA,DATOS!$A8420,nCURSO,DATOS!$D8420,nESPEC,DATOS!$E8420,nASIG,DATOS!$I8420,nEVAL,"OR")=0))</f>
      </c>
      <c r="I8420">
        <f>IF(DATOS!$I8420="","",IFERROR(VLOOKUP(DATOS!$I8420,CONFIG_ASIGNATURAS!$B$2:$J$91,9,FALSE()),""))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IF(DATOS!$A8421="",0,IF(CONFIG_METADATA!$B$4&lt;&gt;"OR+EX",--(DATOS!$G8421=CONFIG_METADATA!$B$4),IF(DATOS!$G8421="EX",1,IF(DATOS!$G8421="OR",--(COUNTIFS(nNIA,DATOS!$A8421,nCURSO,DATOS!$D8421,nESPEC,DATOS!$E8421,nASIG,DATOS!$I8421,nEVAL,"EX")=0),0))))</f>
      </c>
      <c r="H8421">
        <f>IF(DATOS!$G8421&lt;&gt;"EX",0,--(COUNTIFS(nNIA,DATOS!$A8421,nCURSO,DATOS!$D8421,nESPEC,DATOS!$E8421,nASIG,DATOS!$I8421,nEVAL,"OR")=0))</f>
      </c>
      <c r="I8421">
        <f>IF(DATOS!$I8421="","",IFERROR(VLOOKUP(DATOS!$I8421,CONFIG_ASIGNATURAS!$B$2:$J$91,9,FALSE()),""))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IF(DATOS!$A8422="",0,IF(CONFIG_METADATA!$B$4&lt;&gt;"OR+EX",--(DATOS!$G8422=CONFIG_METADATA!$B$4),IF(DATOS!$G8422="EX",1,IF(DATOS!$G8422="OR",--(COUNTIFS(nNIA,DATOS!$A8422,nCURSO,DATOS!$D8422,nESPEC,DATOS!$E8422,nASIG,DATOS!$I8422,nEVAL,"EX")=0),0))))</f>
      </c>
      <c r="H8422">
        <f>IF(DATOS!$G8422&lt;&gt;"EX",0,--(COUNTIFS(nNIA,DATOS!$A8422,nCURSO,DATOS!$D8422,nESPEC,DATOS!$E8422,nASIG,DATOS!$I8422,nEVAL,"OR")=0))</f>
      </c>
      <c r="I8422">
        <f>IF(DATOS!$I8422="","",IFERROR(VLOOKUP(DATOS!$I8422,CONFIG_ASIGNATURAS!$B$2:$J$91,9,FALSE()),""))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IF(DATOS!$A8423="",0,IF(CONFIG_METADATA!$B$4&lt;&gt;"OR+EX",--(DATOS!$G8423=CONFIG_METADATA!$B$4),IF(DATOS!$G8423="EX",1,IF(DATOS!$G8423="OR",--(COUNTIFS(nNIA,DATOS!$A8423,nCURSO,DATOS!$D8423,nESPEC,DATOS!$E8423,nASIG,DATOS!$I8423,nEVAL,"EX")=0),0))))</f>
      </c>
      <c r="H8423">
        <f>IF(DATOS!$G8423&lt;&gt;"EX",0,--(COUNTIFS(nNIA,DATOS!$A8423,nCURSO,DATOS!$D8423,nESPEC,DATOS!$E8423,nASIG,DATOS!$I8423,nEVAL,"OR")=0))</f>
      </c>
      <c r="I8423">
        <f>IF(DATOS!$I8423="","",IFERROR(VLOOKUP(DATOS!$I8423,CONFIG_ASIGNATURAS!$B$2:$J$91,9,FALSE()),""))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IF(DATOS!$A8424="",0,IF(CONFIG_METADATA!$B$4&lt;&gt;"OR+EX",--(DATOS!$G8424=CONFIG_METADATA!$B$4),IF(DATOS!$G8424="EX",1,IF(DATOS!$G8424="OR",--(COUNTIFS(nNIA,DATOS!$A8424,nCURSO,DATOS!$D8424,nESPEC,DATOS!$E8424,nASIG,DATOS!$I8424,nEVAL,"EX")=0),0))))</f>
      </c>
      <c r="H8424">
        <f>IF(DATOS!$G8424&lt;&gt;"EX",0,--(COUNTIFS(nNIA,DATOS!$A8424,nCURSO,DATOS!$D8424,nESPEC,DATOS!$E8424,nASIG,DATOS!$I8424,nEVAL,"OR")=0))</f>
      </c>
      <c r="I8424">
        <f>IF(DATOS!$I8424="","",IFERROR(VLOOKUP(DATOS!$I8424,CONFIG_ASIGNATURAS!$B$2:$J$91,9,FALSE()),""))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IF(DATOS!$A8425="",0,IF(CONFIG_METADATA!$B$4&lt;&gt;"OR+EX",--(DATOS!$G8425=CONFIG_METADATA!$B$4),IF(DATOS!$G8425="EX",1,IF(DATOS!$G8425="OR",--(COUNTIFS(nNIA,DATOS!$A8425,nCURSO,DATOS!$D8425,nESPEC,DATOS!$E8425,nASIG,DATOS!$I8425,nEVAL,"EX")=0),0))))</f>
      </c>
      <c r="H8425">
        <f>IF(DATOS!$G8425&lt;&gt;"EX",0,--(COUNTIFS(nNIA,DATOS!$A8425,nCURSO,DATOS!$D8425,nESPEC,DATOS!$E8425,nASIG,DATOS!$I8425,nEVAL,"OR")=0))</f>
      </c>
      <c r="I8425">
        <f>IF(DATOS!$I8425="","",IFERROR(VLOOKUP(DATOS!$I8425,CONFIG_ASIGNATURAS!$B$2:$J$91,9,FALSE()),""))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IF(DATOS!$A8426="",0,IF(CONFIG_METADATA!$B$4&lt;&gt;"OR+EX",--(DATOS!$G8426=CONFIG_METADATA!$B$4),IF(DATOS!$G8426="EX",1,IF(DATOS!$G8426="OR",--(COUNTIFS(nNIA,DATOS!$A8426,nCURSO,DATOS!$D8426,nESPEC,DATOS!$E8426,nASIG,DATOS!$I8426,nEVAL,"EX")=0),0))))</f>
      </c>
      <c r="H8426">
        <f>IF(DATOS!$G8426&lt;&gt;"EX",0,--(COUNTIFS(nNIA,DATOS!$A8426,nCURSO,DATOS!$D8426,nESPEC,DATOS!$E8426,nASIG,DATOS!$I8426,nEVAL,"OR")=0))</f>
      </c>
      <c r="I8426">
        <f>IF(DATOS!$I8426="","",IFERROR(VLOOKUP(DATOS!$I8426,CONFIG_ASIGNATURAS!$B$2:$J$91,9,FALSE()),""))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IF(DATOS!$A8427="",0,IF(CONFIG_METADATA!$B$4&lt;&gt;"OR+EX",--(DATOS!$G8427=CONFIG_METADATA!$B$4),IF(DATOS!$G8427="EX",1,IF(DATOS!$G8427="OR",--(COUNTIFS(nNIA,DATOS!$A8427,nCURSO,DATOS!$D8427,nESPEC,DATOS!$E8427,nASIG,DATOS!$I8427,nEVAL,"EX")=0),0))))</f>
      </c>
      <c r="H8427">
        <f>IF(DATOS!$G8427&lt;&gt;"EX",0,--(COUNTIFS(nNIA,DATOS!$A8427,nCURSO,DATOS!$D8427,nESPEC,DATOS!$E8427,nASIG,DATOS!$I8427,nEVAL,"OR")=0))</f>
      </c>
      <c r="I8427">
        <f>IF(DATOS!$I8427="","",IFERROR(VLOOKUP(DATOS!$I8427,CONFIG_ASIGNATURAS!$B$2:$J$91,9,FALSE()),""))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IF(DATOS!$A8428="",0,IF(CONFIG_METADATA!$B$4&lt;&gt;"OR+EX",--(DATOS!$G8428=CONFIG_METADATA!$B$4),IF(DATOS!$G8428="EX",1,IF(DATOS!$G8428="OR",--(COUNTIFS(nNIA,DATOS!$A8428,nCURSO,DATOS!$D8428,nESPEC,DATOS!$E8428,nASIG,DATOS!$I8428,nEVAL,"EX")=0),0))))</f>
      </c>
      <c r="H8428">
        <f>IF(DATOS!$G8428&lt;&gt;"EX",0,--(COUNTIFS(nNIA,DATOS!$A8428,nCURSO,DATOS!$D8428,nESPEC,DATOS!$E8428,nASIG,DATOS!$I8428,nEVAL,"OR")=0))</f>
      </c>
      <c r="I8428">
        <f>IF(DATOS!$I8428="","",IFERROR(VLOOKUP(DATOS!$I8428,CONFIG_ASIGNATURAS!$B$2:$J$91,9,FALSE()),""))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IF(DATOS!$A8429="",0,IF(CONFIG_METADATA!$B$4&lt;&gt;"OR+EX",--(DATOS!$G8429=CONFIG_METADATA!$B$4),IF(DATOS!$G8429="EX",1,IF(DATOS!$G8429="OR",--(COUNTIFS(nNIA,DATOS!$A8429,nCURSO,DATOS!$D8429,nESPEC,DATOS!$E8429,nASIG,DATOS!$I8429,nEVAL,"EX")=0),0))))</f>
      </c>
      <c r="H8429">
        <f>IF(DATOS!$G8429&lt;&gt;"EX",0,--(COUNTIFS(nNIA,DATOS!$A8429,nCURSO,DATOS!$D8429,nESPEC,DATOS!$E8429,nASIG,DATOS!$I8429,nEVAL,"OR")=0))</f>
      </c>
      <c r="I8429">
        <f>IF(DATOS!$I8429="","",IFERROR(VLOOKUP(DATOS!$I8429,CONFIG_ASIGNATURAS!$B$2:$J$91,9,FALSE()),""))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IF(DATOS!$A8430="",0,IF(CONFIG_METADATA!$B$4&lt;&gt;"OR+EX",--(DATOS!$G8430=CONFIG_METADATA!$B$4),IF(DATOS!$G8430="EX",1,IF(DATOS!$G8430="OR",--(COUNTIFS(nNIA,DATOS!$A8430,nCURSO,DATOS!$D8430,nESPEC,DATOS!$E8430,nASIG,DATOS!$I8430,nEVAL,"EX")=0),0))))</f>
      </c>
      <c r="H8430">
        <f>IF(DATOS!$G8430&lt;&gt;"EX",0,--(COUNTIFS(nNIA,DATOS!$A8430,nCURSO,DATOS!$D8430,nESPEC,DATOS!$E8430,nASIG,DATOS!$I8430,nEVAL,"OR")=0))</f>
      </c>
      <c r="I8430">
        <f>IF(DATOS!$I8430="","",IFERROR(VLOOKUP(DATOS!$I8430,CONFIG_ASIGNATURAS!$B$2:$J$91,9,FALSE()),""))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IF(DATOS!$A8431="",0,IF(CONFIG_METADATA!$B$4&lt;&gt;"OR+EX",--(DATOS!$G8431=CONFIG_METADATA!$B$4),IF(DATOS!$G8431="EX",1,IF(DATOS!$G8431="OR",--(COUNTIFS(nNIA,DATOS!$A8431,nCURSO,DATOS!$D8431,nESPEC,DATOS!$E8431,nASIG,DATOS!$I8431,nEVAL,"EX")=0),0))))</f>
      </c>
      <c r="H8431">
        <f>IF(DATOS!$G8431&lt;&gt;"EX",0,--(COUNTIFS(nNIA,DATOS!$A8431,nCURSO,DATOS!$D8431,nESPEC,DATOS!$E8431,nASIG,DATOS!$I8431,nEVAL,"OR")=0))</f>
      </c>
      <c r="I8431">
        <f>IF(DATOS!$I8431="","",IFERROR(VLOOKUP(DATOS!$I8431,CONFIG_ASIGNATURAS!$B$2:$J$91,9,FALSE()),""))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IF(DATOS!$A8432="",0,IF(CONFIG_METADATA!$B$4&lt;&gt;"OR+EX",--(DATOS!$G8432=CONFIG_METADATA!$B$4),IF(DATOS!$G8432="EX",1,IF(DATOS!$G8432="OR",--(COUNTIFS(nNIA,DATOS!$A8432,nCURSO,DATOS!$D8432,nESPEC,DATOS!$E8432,nASIG,DATOS!$I8432,nEVAL,"EX")=0),0))))</f>
      </c>
      <c r="H8432">
        <f>IF(DATOS!$G8432&lt;&gt;"EX",0,--(COUNTIFS(nNIA,DATOS!$A8432,nCURSO,DATOS!$D8432,nESPEC,DATOS!$E8432,nASIG,DATOS!$I8432,nEVAL,"OR")=0))</f>
      </c>
      <c r="I8432">
        <f>IF(DATOS!$I8432="","",IFERROR(VLOOKUP(DATOS!$I8432,CONFIG_ASIGNATURAS!$B$2:$J$91,9,FALSE()),""))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IF(DATOS!$A8433="",0,IF(CONFIG_METADATA!$B$4&lt;&gt;"OR+EX",--(DATOS!$G8433=CONFIG_METADATA!$B$4),IF(DATOS!$G8433="EX",1,IF(DATOS!$G8433="OR",--(COUNTIFS(nNIA,DATOS!$A8433,nCURSO,DATOS!$D8433,nESPEC,DATOS!$E8433,nASIG,DATOS!$I8433,nEVAL,"EX")=0),0))))</f>
      </c>
      <c r="H8433">
        <f>IF(DATOS!$G8433&lt;&gt;"EX",0,--(COUNTIFS(nNIA,DATOS!$A8433,nCURSO,DATOS!$D8433,nESPEC,DATOS!$E8433,nASIG,DATOS!$I8433,nEVAL,"OR")=0))</f>
      </c>
      <c r="I8433">
        <f>IF(DATOS!$I8433="","",IFERROR(VLOOKUP(DATOS!$I8433,CONFIG_ASIGNATURAS!$B$2:$J$91,9,FALSE()),""))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IF(DATOS!$A8434="",0,IF(CONFIG_METADATA!$B$4&lt;&gt;"OR+EX",--(DATOS!$G8434=CONFIG_METADATA!$B$4),IF(DATOS!$G8434="EX",1,IF(DATOS!$G8434="OR",--(COUNTIFS(nNIA,DATOS!$A8434,nCURSO,DATOS!$D8434,nESPEC,DATOS!$E8434,nASIG,DATOS!$I8434,nEVAL,"EX")=0),0))))</f>
      </c>
      <c r="H8434">
        <f>IF(DATOS!$G8434&lt;&gt;"EX",0,--(COUNTIFS(nNIA,DATOS!$A8434,nCURSO,DATOS!$D8434,nESPEC,DATOS!$E8434,nASIG,DATOS!$I8434,nEVAL,"OR")=0))</f>
      </c>
      <c r="I8434">
        <f>IF(DATOS!$I8434="","",IFERROR(VLOOKUP(DATOS!$I8434,CONFIG_ASIGNATURAS!$B$2:$J$91,9,FALSE()),""))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IF(DATOS!$A8435="",0,IF(CONFIG_METADATA!$B$4&lt;&gt;"OR+EX",--(DATOS!$G8435=CONFIG_METADATA!$B$4),IF(DATOS!$G8435="EX",1,IF(DATOS!$G8435="OR",--(COUNTIFS(nNIA,DATOS!$A8435,nCURSO,DATOS!$D8435,nESPEC,DATOS!$E8435,nASIG,DATOS!$I8435,nEVAL,"EX")=0),0))))</f>
      </c>
      <c r="H8435">
        <f>IF(DATOS!$G8435&lt;&gt;"EX",0,--(COUNTIFS(nNIA,DATOS!$A8435,nCURSO,DATOS!$D8435,nESPEC,DATOS!$E8435,nASIG,DATOS!$I8435,nEVAL,"OR")=0))</f>
      </c>
      <c r="I8435">
        <f>IF(DATOS!$I8435="","",IFERROR(VLOOKUP(DATOS!$I8435,CONFIG_ASIGNATURAS!$B$2:$J$91,9,FALSE()),""))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IF(DATOS!$A8436="",0,IF(CONFIG_METADATA!$B$4&lt;&gt;"OR+EX",--(DATOS!$G8436=CONFIG_METADATA!$B$4),IF(DATOS!$G8436="EX",1,IF(DATOS!$G8436="OR",--(COUNTIFS(nNIA,DATOS!$A8436,nCURSO,DATOS!$D8436,nESPEC,DATOS!$E8436,nASIG,DATOS!$I8436,nEVAL,"EX")=0),0))))</f>
      </c>
      <c r="H8436">
        <f>IF(DATOS!$G8436&lt;&gt;"EX",0,--(COUNTIFS(nNIA,DATOS!$A8436,nCURSO,DATOS!$D8436,nESPEC,DATOS!$E8436,nASIG,DATOS!$I8436,nEVAL,"OR")=0))</f>
      </c>
      <c r="I8436">
        <f>IF(DATOS!$I8436="","",IFERROR(VLOOKUP(DATOS!$I8436,CONFIG_ASIGNATURAS!$B$2:$J$91,9,FALSE()),""))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IF(DATOS!$A8437="",0,IF(CONFIG_METADATA!$B$4&lt;&gt;"OR+EX",--(DATOS!$G8437=CONFIG_METADATA!$B$4),IF(DATOS!$G8437="EX",1,IF(DATOS!$G8437="OR",--(COUNTIFS(nNIA,DATOS!$A8437,nCURSO,DATOS!$D8437,nESPEC,DATOS!$E8437,nASIG,DATOS!$I8437,nEVAL,"EX")=0),0))))</f>
      </c>
      <c r="H8437">
        <f>IF(DATOS!$G8437&lt;&gt;"EX",0,--(COUNTIFS(nNIA,DATOS!$A8437,nCURSO,DATOS!$D8437,nESPEC,DATOS!$E8437,nASIG,DATOS!$I8437,nEVAL,"OR")=0))</f>
      </c>
      <c r="I8437">
        <f>IF(DATOS!$I8437="","",IFERROR(VLOOKUP(DATOS!$I8437,CONFIG_ASIGNATURAS!$B$2:$J$91,9,FALSE()),""))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IF(DATOS!$A8438="",0,IF(CONFIG_METADATA!$B$4&lt;&gt;"OR+EX",--(DATOS!$G8438=CONFIG_METADATA!$B$4),IF(DATOS!$G8438="EX",1,IF(DATOS!$G8438="OR",--(COUNTIFS(nNIA,DATOS!$A8438,nCURSO,DATOS!$D8438,nESPEC,DATOS!$E8438,nASIG,DATOS!$I8438,nEVAL,"EX")=0),0))))</f>
      </c>
      <c r="H8438">
        <f>IF(DATOS!$G8438&lt;&gt;"EX",0,--(COUNTIFS(nNIA,DATOS!$A8438,nCURSO,DATOS!$D8438,nESPEC,DATOS!$E8438,nASIG,DATOS!$I8438,nEVAL,"OR")=0))</f>
      </c>
      <c r="I8438">
        <f>IF(DATOS!$I8438="","",IFERROR(VLOOKUP(DATOS!$I8438,CONFIG_ASIGNATURAS!$B$2:$J$91,9,FALSE()),""))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IF(DATOS!$A8439="",0,IF(CONFIG_METADATA!$B$4&lt;&gt;"OR+EX",--(DATOS!$G8439=CONFIG_METADATA!$B$4),IF(DATOS!$G8439="EX",1,IF(DATOS!$G8439="OR",--(COUNTIFS(nNIA,DATOS!$A8439,nCURSO,DATOS!$D8439,nESPEC,DATOS!$E8439,nASIG,DATOS!$I8439,nEVAL,"EX")=0),0))))</f>
      </c>
      <c r="H8439">
        <f>IF(DATOS!$G8439&lt;&gt;"EX",0,--(COUNTIFS(nNIA,DATOS!$A8439,nCURSO,DATOS!$D8439,nESPEC,DATOS!$E8439,nASIG,DATOS!$I8439,nEVAL,"OR")=0))</f>
      </c>
      <c r="I8439">
        <f>IF(DATOS!$I8439="","",IFERROR(VLOOKUP(DATOS!$I8439,CONFIG_ASIGNATURAS!$B$2:$J$91,9,FALSE()),""))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IF(DATOS!$A8440="",0,IF(CONFIG_METADATA!$B$4&lt;&gt;"OR+EX",--(DATOS!$G8440=CONFIG_METADATA!$B$4),IF(DATOS!$G8440="EX",1,IF(DATOS!$G8440="OR",--(COUNTIFS(nNIA,DATOS!$A8440,nCURSO,DATOS!$D8440,nESPEC,DATOS!$E8440,nASIG,DATOS!$I8440,nEVAL,"EX")=0),0))))</f>
      </c>
      <c r="H8440">
        <f>IF(DATOS!$G8440&lt;&gt;"EX",0,--(COUNTIFS(nNIA,DATOS!$A8440,nCURSO,DATOS!$D8440,nESPEC,DATOS!$E8440,nASIG,DATOS!$I8440,nEVAL,"OR")=0))</f>
      </c>
      <c r="I8440">
        <f>IF(DATOS!$I8440="","",IFERROR(VLOOKUP(DATOS!$I8440,CONFIG_ASIGNATURAS!$B$2:$J$91,9,FALSE()),""))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IF(DATOS!$A8441="",0,IF(CONFIG_METADATA!$B$4&lt;&gt;"OR+EX",--(DATOS!$G8441=CONFIG_METADATA!$B$4),IF(DATOS!$G8441="EX",1,IF(DATOS!$G8441="OR",--(COUNTIFS(nNIA,DATOS!$A8441,nCURSO,DATOS!$D8441,nESPEC,DATOS!$E8441,nASIG,DATOS!$I8441,nEVAL,"EX")=0),0))))</f>
      </c>
      <c r="H8441">
        <f>IF(DATOS!$G8441&lt;&gt;"EX",0,--(COUNTIFS(nNIA,DATOS!$A8441,nCURSO,DATOS!$D8441,nESPEC,DATOS!$E8441,nASIG,DATOS!$I8441,nEVAL,"OR")=0))</f>
      </c>
      <c r="I8441">
        <f>IF(DATOS!$I8441="","",IFERROR(VLOOKUP(DATOS!$I8441,CONFIG_ASIGNATURAS!$B$2:$J$91,9,FALSE()),""))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IF(DATOS!$A8442="",0,IF(CONFIG_METADATA!$B$4&lt;&gt;"OR+EX",--(DATOS!$G8442=CONFIG_METADATA!$B$4),IF(DATOS!$G8442="EX",1,IF(DATOS!$G8442="OR",--(COUNTIFS(nNIA,DATOS!$A8442,nCURSO,DATOS!$D8442,nESPEC,DATOS!$E8442,nASIG,DATOS!$I8442,nEVAL,"EX")=0),0))))</f>
      </c>
      <c r="H8442">
        <f>IF(DATOS!$G8442&lt;&gt;"EX",0,--(COUNTIFS(nNIA,DATOS!$A8442,nCURSO,DATOS!$D8442,nESPEC,DATOS!$E8442,nASIG,DATOS!$I8442,nEVAL,"OR")=0))</f>
      </c>
      <c r="I8442">
        <f>IF(DATOS!$I8442="","",IFERROR(VLOOKUP(DATOS!$I8442,CONFIG_ASIGNATURAS!$B$2:$J$91,9,FALSE()),""))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IF(DATOS!$A8443="",0,IF(CONFIG_METADATA!$B$4&lt;&gt;"OR+EX",--(DATOS!$G8443=CONFIG_METADATA!$B$4),IF(DATOS!$G8443="EX",1,IF(DATOS!$G8443="OR",--(COUNTIFS(nNIA,DATOS!$A8443,nCURSO,DATOS!$D8443,nESPEC,DATOS!$E8443,nASIG,DATOS!$I8443,nEVAL,"EX")=0),0))))</f>
      </c>
      <c r="H8443">
        <f>IF(DATOS!$G8443&lt;&gt;"EX",0,--(COUNTIFS(nNIA,DATOS!$A8443,nCURSO,DATOS!$D8443,nESPEC,DATOS!$E8443,nASIG,DATOS!$I8443,nEVAL,"OR")=0))</f>
      </c>
      <c r="I8443">
        <f>IF(DATOS!$I8443="","",IFERROR(VLOOKUP(DATOS!$I8443,CONFIG_ASIGNATURAS!$B$2:$J$91,9,FALSE()),""))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IF(DATOS!$A8444="",0,IF(CONFIG_METADATA!$B$4&lt;&gt;"OR+EX",--(DATOS!$G8444=CONFIG_METADATA!$B$4),IF(DATOS!$G8444="EX",1,IF(DATOS!$G8444="OR",--(COUNTIFS(nNIA,DATOS!$A8444,nCURSO,DATOS!$D8444,nESPEC,DATOS!$E8444,nASIG,DATOS!$I8444,nEVAL,"EX")=0),0))))</f>
      </c>
      <c r="H8444">
        <f>IF(DATOS!$G8444&lt;&gt;"EX",0,--(COUNTIFS(nNIA,DATOS!$A8444,nCURSO,DATOS!$D8444,nESPEC,DATOS!$E8444,nASIG,DATOS!$I8444,nEVAL,"OR")=0))</f>
      </c>
      <c r="I8444">
        <f>IF(DATOS!$I8444="","",IFERROR(VLOOKUP(DATOS!$I8444,CONFIG_ASIGNATURAS!$B$2:$J$91,9,FALSE()),""))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IF(DATOS!$A8445="",0,IF(CONFIG_METADATA!$B$4&lt;&gt;"OR+EX",--(DATOS!$G8445=CONFIG_METADATA!$B$4),IF(DATOS!$G8445="EX",1,IF(DATOS!$G8445="OR",--(COUNTIFS(nNIA,DATOS!$A8445,nCURSO,DATOS!$D8445,nESPEC,DATOS!$E8445,nASIG,DATOS!$I8445,nEVAL,"EX")=0),0))))</f>
      </c>
      <c r="H8445">
        <f>IF(DATOS!$G8445&lt;&gt;"EX",0,--(COUNTIFS(nNIA,DATOS!$A8445,nCURSO,DATOS!$D8445,nESPEC,DATOS!$E8445,nASIG,DATOS!$I8445,nEVAL,"OR")=0))</f>
      </c>
      <c r="I8445">
        <f>IF(DATOS!$I8445="","",IFERROR(VLOOKUP(DATOS!$I8445,CONFIG_ASIGNATURAS!$B$2:$J$91,9,FALSE()),""))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IF(DATOS!$A8446="",0,IF(CONFIG_METADATA!$B$4&lt;&gt;"OR+EX",--(DATOS!$G8446=CONFIG_METADATA!$B$4),IF(DATOS!$G8446="EX",1,IF(DATOS!$G8446="OR",--(COUNTIFS(nNIA,DATOS!$A8446,nCURSO,DATOS!$D8446,nESPEC,DATOS!$E8446,nASIG,DATOS!$I8446,nEVAL,"EX")=0),0))))</f>
      </c>
      <c r="H8446">
        <f>IF(DATOS!$G8446&lt;&gt;"EX",0,--(COUNTIFS(nNIA,DATOS!$A8446,nCURSO,DATOS!$D8446,nESPEC,DATOS!$E8446,nASIG,DATOS!$I8446,nEVAL,"OR")=0))</f>
      </c>
      <c r="I8446">
        <f>IF(DATOS!$I8446="","",IFERROR(VLOOKUP(DATOS!$I8446,CONFIG_ASIGNATURAS!$B$2:$J$91,9,FALSE()),""))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IF(DATOS!$A8447="",0,IF(CONFIG_METADATA!$B$4&lt;&gt;"OR+EX",--(DATOS!$G8447=CONFIG_METADATA!$B$4),IF(DATOS!$G8447="EX",1,IF(DATOS!$G8447="OR",--(COUNTIFS(nNIA,DATOS!$A8447,nCURSO,DATOS!$D8447,nESPEC,DATOS!$E8447,nASIG,DATOS!$I8447,nEVAL,"EX")=0),0))))</f>
      </c>
      <c r="H8447">
        <f>IF(DATOS!$G8447&lt;&gt;"EX",0,--(COUNTIFS(nNIA,DATOS!$A8447,nCURSO,DATOS!$D8447,nESPEC,DATOS!$E8447,nASIG,DATOS!$I8447,nEVAL,"OR")=0))</f>
      </c>
      <c r="I8447">
        <f>IF(DATOS!$I8447="","",IFERROR(VLOOKUP(DATOS!$I8447,CONFIG_ASIGNATURAS!$B$2:$J$91,9,FALSE()),""))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IF(DATOS!$A8448="",0,IF(CONFIG_METADATA!$B$4&lt;&gt;"OR+EX",--(DATOS!$G8448=CONFIG_METADATA!$B$4),IF(DATOS!$G8448="EX",1,IF(DATOS!$G8448="OR",--(COUNTIFS(nNIA,DATOS!$A8448,nCURSO,DATOS!$D8448,nESPEC,DATOS!$E8448,nASIG,DATOS!$I8448,nEVAL,"EX")=0),0))))</f>
      </c>
      <c r="H8448">
        <f>IF(DATOS!$G8448&lt;&gt;"EX",0,--(COUNTIFS(nNIA,DATOS!$A8448,nCURSO,DATOS!$D8448,nESPEC,DATOS!$E8448,nASIG,DATOS!$I8448,nEVAL,"OR")=0))</f>
      </c>
      <c r="I8448">
        <f>IF(DATOS!$I8448="","",IFERROR(VLOOKUP(DATOS!$I8448,CONFIG_ASIGNATURAS!$B$2:$J$91,9,FALSE()),""))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IF(DATOS!$A8449="",0,IF(CONFIG_METADATA!$B$4&lt;&gt;"OR+EX",--(DATOS!$G8449=CONFIG_METADATA!$B$4),IF(DATOS!$G8449="EX",1,IF(DATOS!$G8449="OR",--(COUNTIFS(nNIA,DATOS!$A8449,nCURSO,DATOS!$D8449,nESPEC,DATOS!$E8449,nASIG,DATOS!$I8449,nEVAL,"EX")=0),0))))</f>
      </c>
      <c r="H8449">
        <f>IF(DATOS!$G8449&lt;&gt;"EX",0,--(COUNTIFS(nNIA,DATOS!$A8449,nCURSO,DATOS!$D8449,nESPEC,DATOS!$E8449,nASIG,DATOS!$I8449,nEVAL,"OR")=0))</f>
      </c>
      <c r="I8449">
        <f>IF(DATOS!$I8449="","",IFERROR(VLOOKUP(DATOS!$I8449,CONFIG_ASIGNATURAS!$B$2:$J$91,9,FALSE()),""))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IF(DATOS!$A8450="",0,IF(CONFIG_METADATA!$B$4&lt;&gt;"OR+EX",--(DATOS!$G8450=CONFIG_METADATA!$B$4),IF(DATOS!$G8450="EX",1,IF(DATOS!$G8450="OR",--(COUNTIFS(nNIA,DATOS!$A8450,nCURSO,DATOS!$D8450,nESPEC,DATOS!$E8450,nASIG,DATOS!$I8450,nEVAL,"EX")=0),0))))</f>
      </c>
      <c r="H8450">
        <f>IF(DATOS!$G8450&lt;&gt;"EX",0,--(COUNTIFS(nNIA,DATOS!$A8450,nCURSO,DATOS!$D8450,nESPEC,DATOS!$E8450,nASIG,DATOS!$I8450,nEVAL,"OR")=0))</f>
      </c>
      <c r="I8450">
        <f>IF(DATOS!$I8450="","",IFERROR(VLOOKUP(DATOS!$I8450,CONFIG_ASIGNATURAS!$B$2:$J$91,9,FALSE()),""))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IF(DATOS!$A8451="",0,IF(CONFIG_METADATA!$B$4&lt;&gt;"OR+EX",--(DATOS!$G8451=CONFIG_METADATA!$B$4),IF(DATOS!$G8451="EX",1,IF(DATOS!$G8451="OR",--(COUNTIFS(nNIA,DATOS!$A8451,nCURSO,DATOS!$D8451,nESPEC,DATOS!$E8451,nASIG,DATOS!$I8451,nEVAL,"EX")=0),0))))</f>
      </c>
      <c r="H8451">
        <f>IF(DATOS!$G8451&lt;&gt;"EX",0,--(COUNTIFS(nNIA,DATOS!$A8451,nCURSO,DATOS!$D8451,nESPEC,DATOS!$E8451,nASIG,DATOS!$I8451,nEVAL,"OR")=0))</f>
      </c>
      <c r="I8451">
        <f>IF(DATOS!$I8451="","",IFERROR(VLOOKUP(DATOS!$I8451,CONFIG_ASIGNATURAS!$B$2:$J$91,9,FALSE()),""))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IF(DATOS!$A8452="",0,IF(CONFIG_METADATA!$B$4&lt;&gt;"OR+EX",--(DATOS!$G8452=CONFIG_METADATA!$B$4),IF(DATOS!$G8452="EX",1,IF(DATOS!$G8452="OR",--(COUNTIFS(nNIA,DATOS!$A8452,nCURSO,DATOS!$D8452,nESPEC,DATOS!$E8452,nASIG,DATOS!$I8452,nEVAL,"EX")=0),0))))</f>
      </c>
      <c r="H8452">
        <f>IF(DATOS!$G8452&lt;&gt;"EX",0,--(COUNTIFS(nNIA,DATOS!$A8452,nCURSO,DATOS!$D8452,nESPEC,DATOS!$E8452,nASIG,DATOS!$I8452,nEVAL,"OR")=0))</f>
      </c>
      <c r="I8452">
        <f>IF(DATOS!$I8452="","",IFERROR(VLOOKUP(DATOS!$I8452,CONFIG_ASIGNATURAS!$B$2:$J$91,9,FALSE()),""))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IF(DATOS!$A8453="",0,IF(CONFIG_METADATA!$B$4&lt;&gt;"OR+EX",--(DATOS!$G8453=CONFIG_METADATA!$B$4),IF(DATOS!$G8453="EX",1,IF(DATOS!$G8453="OR",--(COUNTIFS(nNIA,DATOS!$A8453,nCURSO,DATOS!$D8453,nESPEC,DATOS!$E8453,nASIG,DATOS!$I8453,nEVAL,"EX")=0),0))))</f>
      </c>
      <c r="H8453">
        <f>IF(DATOS!$G8453&lt;&gt;"EX",0,--(COUNTIFS(nNIA,DATOS!$A8453,nCURSO,DATOS!$D8453,nESPEC,DATOS!$E8453,nASIG,DATOS!$I8453,nEVAL,"OR")=0))</f>
      </c>
      <c r="I8453">
        <f>IF(DATOS!$I8453="","",IFERROR(VLOOKUP(DATOS!$I8453,CONFIG_ASIGNATURAS!$B$2:$J$91,9,FALSE()),""))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IF(DATOS!$A8454="",0,IF(CONFIG_METADATA!$B$4&lt;&gt;"OR+EX",--(DATOS!$G8454=CONFIG_METADATA!$B$4),IF(DATOS!$G8454="EX",1,IF(DATOS!$G8454="OR",--(COUNTIFS(nNIA,DATOS!$A8454,nCURSO,DATOS!$D8454,nESPEC,DATOS!$E8454,nASIG,DATOS!$I8454,nEVAL,"EX")=0),0))))</f>
      </c>
      <c r="H8454">
        <f>IF(DATOS!$G8454&lt;&gt;"EX",0,--(COUNTIFS(nNIA,DATOS!$A8454,nCURSO,DATOS!$D8454,nESPEC,DATOS!$E8454,nASIG,DATOS!$I8454,nEVAL,"OR")=0))</f>
      </c>
      <c r="I8454">
        <f>IF(DATOS!$I8454="","",IFERROR(VLOOKUP(DATOS!$I8454,CONFIG_ASIGNATURAS!$B$2:$J$91,9,FALSE()),""))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IF(DATOS!$A8455="",0,IF(CONFIG_METADATA!$B$4&lt;&gt;"OR+EX",--(DATOS!$G8455=CONFIG_METADATA!$B$4),IF(DATOS!$G8455="EX",1,IF(DATOS!$G8455="OR",--(COUNTIFS(nNIA,DATOS!$A8455,nCURSO,DATOS!$D8455,nESPEC,DATOS!$E8455,nASIG,DATOS!$I8455,nEVAL,"EX")=0),0))))</f>
      </c>
      <c r="H8455">
        <f>IF(DATOS!$G8455&lt;&gt;"EX",0,--(COUNTIFS(nNIA,DATOS!$A8455,nCURSO,DATOS!$D8455,nESPEC,DATOS!$E8455,nASIG,DATOS!$I8455,nEVAL,"OR")=0))</f>
      </c>
      <c r="I8455">
        <f>IF(DATOS!$I8455="","",IFERROR(VLOOKUP(DATOS!$I8455,CONFIG_ASIGNATURAS!$B$2:$J$91,9,FALSE()),""))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IF(DATOS!$A8456="",0,IF(CONFIG_METADATA!$B$4&lt;&gt;"OR+EX",--(DATOS!$G8456=CONFIG_METADATA!$B$4),IF(DATOS!$G8456="EX",1,IF(DATOS!$G8456="OR",--(COUNTIFS(nNIA,DATOS!$A8456,nCURSO,DATOS!$D8456,nESPEC,DATOS!$E8456,nASIG,DATOS!$I8456,nEVAL,"EX")=0),0))))</f>
      </c>
      <c r="H8456">
        <f>IF(DATOS!$G8456&lt;&gt;"EX",0,--(COUNTIFS(nNIA,DATOS!$A8456,nCURSO,DATOS!$D8456,nESPEC,DATOS!$E8456,nASIG,DATOS!$I8456,nEVAL,"OR")=0))</f>
      </c>
      <c r="I8456">
        <f>IF(DATOS!$I8456="","",IFERROR(VLOOKUP(DATOS!$I8456,CONFIG_ASIGNATURAS!$B$2:$J$91,9,FALSE()),""))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IF(DATOS!$A8457="",0,IF(CONFIG_METADATA!$B$4&lt;&gt;"OR+EX",--(DATOS!$G8457=CONFIG_METADATA!$B$4),IF(DATOS!$G8457="EX",1,IF(DATOS!$G8457="OR",--(COUNTIFS(nNIA,DATOS!$A8457,nCURSO,DATOS!$D8457,nESPEC,DATOS!$E8457,nASIG,DATOS!$I8457,nEVAL,"EX")=0),0))))</f>
      </c>
      <c r="H8457">
        <f>IF(DATOS!$G8457&lt;&gt;"EX",0,--(COUNTIFS(nNIA,DATOS!$A8457,nCURSO,DATOS!$D8457,nESPEC,DATOS!$E8457,nASIG,DATOS!$I8457,nEVAL,"OR")=0))</f>
      </c>
      <c r="I8457">
        <f>IF(DATOS!$I8457="","",IFERROR(VLOOKUP(DATOS!$I8457,CONFIG_ASIGNATURAS!$B$2:$J$91,9,FALSE()),""))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IF(DATOS!$A8458="",0,IF(CONFIG_METADATA!$B$4&lt;&gt;"OR+EX",--(DATOS!$G8458=CONFIG_METADATA!$B$4),IF(DATOS!$G8458="EX",1,IF(DATOS!$G8458="OR",--(COUNTIFS(nNIA,DATOS!$A8458,nCURSO,DATOS!$D8458,nESPEC,DATOS!$E8458,nASIG,DATOS!$I8458,nEVAL,"EX")=0),0))))</f>
      </c>
      <c r="H8458">
        <f>IF(DATOS!$G8458&lt;&gt;"EX",0,--(COUNTIFS(nNIA,DATOS!$A8458,nCURSO,DATOS!$D8458,nESPEC,DATOS!$E8458,nASIG,DATOS!$I8458,nEVAL,"OR")=0))</f>
      </c>
      <c r="I8458">
        <f>IF(DATOS!$I8458="","",IFERROR(VLOOKUP(DATOS!$I8458,CONFIG_ASIGNATURAS!$B$2:$J$91,9,FALSE()),""))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IF(DATOS!$A8459="",0,IF(CONFIG_METADATA!$B$4&lt;&gt;"OR+EX",--(DATOS!$G8459=CONFIG_METADATA!$B$4),IF(DATOS!$G8459="EX",1,IF(DATOS!$G8459="OR",--(COUNTIFS(nNIA,DATOS!$A8459,nCURSO,DATOS!$D8459,nESPEC,DATOS!$E8459,nASIG,DATOS!$I8459,nEVAL,"EX")=0),0))))</f>
      </c>
      <c r="H8459">
        <f>IF(DATOS!$G8459&lt;&gt;"EX",0,--(COUNTIFS(nNIA,DATOS!$A8459,nCURSO,DATOS!$D8459,nESPEC,DATOS!$E8459,nASIG,DATOS!$I8459,nEVAL,"OR")=0))</f>
      </c>
      <c r="I8459">
        <f>IF(DATOS!$I8459="","",IFERROR(VLOOKUP(DATOS!$I8459,CONFIG_ASIGNATURAS!$B$2:$J$91,9,FALSE()),""))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IF(DATOS!$A8460="",0,IF(CONFIG_METADATA!$B$4&lt;&gt;"OR+EX",--(DATOS!$G8460=CONFIG_METADATA!$B$4),IF(DATOS!$G8460="EX",1,IF(DATOS!$G8460="OR",--(COUNTIFS(nNIA,DATOS!$A8460,nCURSO,DATOS!$D8460,nESPEC,DATOS!$E8460,nASIG,DATOS!$I8460,nEVAL,"EX")=0),0))))</f>
      </c>
      <c r="H8460">
        <f>IF(DATOS!$G8460&lt;&gt;"EX",0,--(COUNTIFS(nNIA,DATOS!$A8460,nCURSO,DATOS!$D8460,nESPEC,DATOS!$E8460,nASIG,DATOS!$I8460,nEVAL,"OR")=0))</f>
      </c>
      <c r="I8460">
        <f>IF(DATOS!$I8460="","",IFERROR(VLOOKUP(DATOS!$I8460,CONFIG_ASIGNATURAS!$B$2:$J$91,9,FALSE()),""))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IF(DATOS!$A8461="",0,IF(CONFIG_METADATA!$B$4&lt;&gt;"OR+EX",--(DATOS!$G8461=CONFIG_METADATA!$B$4),IF(DATOS!$G8461="EX",1,IF(DATOS!$G8461="OR",--(COUNTIFS(nNIA,DATOS!$A8461,nCURSO,DATOS!$D8461,nESPEC,DATOS!$E8461,nASIG,DATOS!$I8461,nEVAL,"EX")=0),0))))</f>
      </c>
      <c r="H8461">
        <f>IF(DATOS!$G8461&lt;&gt;"EX",0,--(COUNTIFS(nNIA,DATOS!$A8461,nCURSO,DATOS!$D8461,nESPEC,DATOS!$E8461,nASIG,DATOS!$I8461,nEVAL,"OR")=0))</f>
      </c>
      <c r="I8461">
        <f>IF(DATOS!$I8461="","",IFERROR(VLOOKUP(DATOS!$I8461,CONFIG_ASIGNATURAS!$B$2:$J$91,9,FALSE()),""))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IF(DATOS!$A8462="",0,IF(CONFIG_METADATA!$B$4&lt;&gt;"OR+EX",--(DATOS!$G8462=CONFIG_METADATA!$B$4),IF(DATOS!$G8462="EX",1,IF(DATOS!$G8462="OR",--(COUNTIFS(nNIA,DATOS!$A8462,nCURSO,DATOS!$D8462,nESPEC,DATOS!$E8462,nASIG,DATOS!$I8462,nEVAL,"EX")=0),0))))</f>
      </c>
      <c r="H8462">
        <f>IF(DATOS!$G8462&lt;&gt;"EX",0,--(COUNTIFS(nNIA,DATOS!$A8462,nCURSO,DATOS!$D8462,nESPEC,DATOS!$E8462,nASIG,DATOS!$I8462,nEVAL,"OR")=0))</f>
      </c>
      <c r="I8462">
        <f>IF(DATOS!$I8462="","",IFERROR(VLOOKUP(DATOS!$I8462,CONFIG_ASIGNATURAS!$B$2:$J$91,9,FALSE()),""))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IF(DATOS!$A8463="",0,IF(CONFIG_METADATA!$B$4&lt;&gt;"OR+EX",--(DATOS!$G8463=CONFIG_METADATA!$B$4),IF(DATOS!$G8463="EX",1,IF(DATOS!$G8463="OR",--(COUNTIFS(nNIA,DATOS!$A8463,nCURSO,DATOS!$D8463,nESPEC,DATOS!$E8463,nASIG,DATOS!$I8463,nEVAL,"EX")=0),0))))</f>
      </c>
      <c r="H8463">
        <f>IF(DATOS!$G8463&lt;&gt;"EX",0,--(COUNTIFS(nNIA,DATOS!$A8463,nCURSO,DATOS!$D8463,nESPEC,DATOS!$E8463,nASIG,DATOS!$I8463,nEVAL,"OR")=0))</f>
      </c>
      <c r="I8463">
        <f>IF(DATOS!$I8463="","",IFERROR(VLOOKUP(DATOS!$I8463,CONFIG_ASIGNATURAS!$B$2:$J$91,9,FALSE()),""))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IF(DATOS!$A8464="",0,IF(CONFIG_METADATA!$B$4&lt;&gt;"OR+EX",--(DATOS!$G8464=CONFIG_METADATA!$B$4),IF(DATOS!$G8464="EX",1,IF(DATOS!$G8464="OR",--(COUNTIFS(nNIA,DATOS!$A8464,nCURSO,DATOS!$D8464,nESPEC,DATOS!$E8464,nASIG,DATOS!$I8464,nEVAL,"EX")=0),0))))</f>
      </c>
      <c r="H8464">
        <f>IF(DATOS!$G8464&lt;&gt;"EX",0,--(COUNTIFS(nNIA,DATOS!$A8464,nCURSO,DATOS!$D8464,nESPEC,DATOS!$E8464,nASIG,DATOS!$I8464,nEVAL,"OR")=0))</f>
      </c>
      <c r="I8464">
        <f>IF(DATOS!$I8464="","",IFERROR(VLOOKUP(DATOS!$I8464,CONFIG_ASIGNATURAS!$B$2:$J$91,9,FALSE()),""))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IF(DATOS!$A8465="",0,IF(CONFIG_METADATA!$B$4&lt;&gt;"OR+EX",--(DATOS!$G8465=CONFIG_METADATA!$B$4),IF(DATOS!$G8465="EX",1,IF(DATOS!$G8465="OR",--(COUNTIFS(nNIA,DATOS!$A8465,nCURSO,DATOS!$D8465,nESPEC,DATOS!$E8465,nASIG,DATOS!$I8465,nEVAL,"EX")=0),0))))</f>
      </c>
      <c r="H8465">
        <f>IF(DATOS!$G8465&lt;&gt;"EX",0,--(COUNTIFS(nNIA,DATOS!$A8465,nCURSO,DATOS!$D8465,nESPEC,DATOS!$E8465,nASIG,DATOS!$I8465,nEVAL,"OR")=0))</f>
      </c>
      <c r="I8465">
        <f>IF(DATOS!$I8465="","",IFERROR(VLOOKUP(DATOS!$I8465,CONFIG_ASIGNATURAS!$B$2:$J$91,9,FALSE()),""))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IF(DATOS!$A8466="",0,IF(CONFIG_METADATA!$B$4&lt;&gt;"OR+EX",--(DATOS!$G8466=CONFIG_METADATA!$B$4),IF(DATOS!$G8466="EX",1,IF(DATOS!$G8466="OR",--(COUNTIFS(nNIA,DATOS!$A8466,nCURSO,DATOS!$D8466,nESPEC,DATOS!$E8466,nASIG,DATOS!$I8466,nEVAL,"EX")=0),0))))</f>
      </c>
      <c r="H8466">
        <f>IF(DATOS!$G8466&lt;&gt;"EX",0,--(COUNTIFS(nNIA,DATOS!$A8466,nCURSO,DATOS!$D8466,nESPEC,DATOS!$E8466,nASIG,DATOS!$I8466,nEVAL,"OR")=0))</f>
      </c>
      <c r="I8466">
        <f>IF(DATOS!$I8466="","",IFERROR(VLOOKUP(DATOS!$I8466,CONFIG_ASIGNATURAS!$B$2:$J$91,9,FALSE()),""))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IF(DATOS!$A8467="",0,IF(CONFIG_METADATA!$B$4&lt;&gt;"OR+EX",--(DATOS!$G8467=CONFIG_METADATA!$B$4),IF(DATOS!$G8467="EX",1,IF(DATOS!$G8467="OR",--(COUNTIFS(nNIA,DATOS!$A8467,nCURSO,DATOS!$D8467,nESPEC,DATOS!$E8467,nASIG,DATOS!$I8467,nEVAL,"EX")=0),0))))</f>
      </c>
      <c r="H8467">
        <f>IF(DATOS!$G8467&lt;&gt;"EX",0,--(COUNTIFS(nNIA,DATOS!$A8467,nCURSO,DATOS!$D8467,nESPEC,DATOS!$E8467,nASIG,DATOS!$I8467,nEVAL,"OR")=0))</f>
      </c>
      <c r="I8467">
        <f>IF(DATOS!$I8467="","",IFERROR(VLOOKUP(DATOS!$I8467,CONFIG_ASIGNATURAS!$B$2:$J$91,9,FALSE()),""))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IF(DATOS!$A8468="",0,IF(CONFIG_METADATA!$B$4&lt;&gt;"OR+EX",--(DATOS!$G8468=CONFIG_METADATA!$B$4),IF(DATOS!$G8468="EX",1,IF(DATOS!$G8468="OR",--(COUNTIFS(nNIA,DATOS!$A8468,nCURSO,DATOS!$D8468,nESPEC,DATOS!$E8468,nASIG,DATOS!$I8468,nEVAL,"EX")=0),0))))</f>
      </c>
      <c r="H8468">
        <f>IF(DATOS!$G8468&lt;&gt;"EX",0,--(COUNTIFS(nNIA,DATOS!$A8468,nCURSO,DATOS!$D8468,nESPEC,DATOS!$E8468,nASIG,DATOS!$I8468,nEVAL,"OR")=0))</f>
      </c>
      <c r="I8468">
        <f>IF(DATOS!$I8468="","",IFERROR(VLOOKUP(DATOS!$I8468,CONFIG_ASIGNATURAS!$B$2:$J$91,9,FALSE()),""))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IF(DATOS!$A8469="",0,IF(CONFIG_METADATA!$B$4&lt;&gt;"OR+EX",--(DATOS!$G8469=CONFIG_METADATA!$B$4),IF(DATOS!$G8469="EX",1,IF(DATOS!$G8469="OR",--(COUNTIFS(nNIA,DATOS!$A8469,nCURSO,DATOS!$D8469,nESPEC,DATOS!$E8469,nASIG,DATOS!$I8469,nEVAL,"EX")=0),0))))</f>
      </c>
      <c r="H8469">
        <f>IF(DATOS!$G8469&lt;&gt;"EX",0,--(COUNTIFS(nNIA,DATOS!$A8469,nCURSO,DATOS!$D8469,nESPEC,DATOS!$E8469,nASIG,DATOS!$I8469,nEVAL,"OR")=0))</f>
      </c>
      <c r="I8469">
        <f>IF(DATOS!$I8469="","",IFERROR(VLOOKUP(DATOS!$I8469,CONFIG_ASIGNATURAS!$B$2:$J$91,9,FALSE()),""))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IF(DATOS!$A8470="",0,IF(CONFIG_METADATA!$B$4&lt;&gt;"OR+EX",--(DATOS!$G8470=CONFIG_METADATA!$B$4),IF(DATOS!$G8470="EX",1,IF(DATOS!$G8470="OR",--(COUNTIFS(nNIA,DATOS!$A8470,nCURSO,DATOS!$D8470,nESPEC,DATOS!$E8470,nASIG,DATOS!$I8470,nEVAL,"EX")=0),0))))</f>
      </c>
      <c r="H8470">
        <f>IF(DATOS!$G8470&lt;&gt;"EX",0,--(COUNTIFS(nNIA,DATOS!$A8470,nCURSO,DATOS!$D8470,nESPEC,DATOS!$E8470,nASIG,DATOS!$I8470,nEVAL,"OR")=0))</f>
      </c>
      <c r="I8470">
        <f>IF(DATOS!$I8470="","",IFERROR(VLOOKUP(DATOS!$I8470,CONFIG_ASIGNATURAS!$B$2:$J$91,9,FALSE()),""))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IF(DATOS!$A8471="",0,IF(CONFIG_METADATA!$B$4&lt;&gt;"OR+EX",--(DATOS!$G8471=CONFIG_METADATA!$B$4),IF(DATOS!$G8471="EX",1,IF(DATOS!$G8471="OR",--(COUNTIFS(nNIA,DATOS!$A8471,nCURSO,DATOS!$D8471,nESPEC,DATOS!$E8471,nASIG,DATOS!$I8471,nEVAL,"EX")=0),0))))</f>
      </c>
      <c r="H8471">
        <f>IF(DATOS!$G8471&lt;&gt;"EX",0,--(COUNTIFS(nNIA,DATOS!$A8471,nCURSO,DATOS!$D8471,nESPEC,DATOS!$E8471,nASIG,DATOS!$I8471,nEVAL,"OR")=0))</f>
      </c>
      <c r="I8471">
        <f>IF(DATOS!$I8471="","",IFERROR(VLOOKUP(DATOS!$I8471,CONFIG_ASIGNATURAS!$B$2:$J$91,9,FALSE()),""))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IF(DATOS!$A8472="",0,IF(CONFIG_METADATA!$B$4&lt;&gt;"OR+EX",--(DATOS!$G8472=CONFIG_METADATA!$B$4),IF(DATOS!$G8472="EX",1,IF(DATOS!$G8472="OR",--(COUNTIFS(nNIA,DATOS!$A8472,nCURSO,DATOS!$D8472,nESPEC,DATOS!$E8472,nASIG,DATOS!$I8472,nEVAL,"EX")=0),0))))</f>
      </c>
      <c r="H8472">
        <f>IF(DATOS!$G8472&lt;&gt;"EX",0,--(COUNTIFS(nNIA,DATOS!$A8472,nCURSO,DATOS!$D8472,nESPEC,DATOS!$E8472,nASIG,DATOS!$I8472,nEVAL,"OR")=0))</f>
      </c>
      <c r="I8472">
        <f>IF(DATOS!$I8472="","",IFERROR(VLOOKUP(DATOS!$I8472,CONFIG_ASIGNATURAS!$B$2:$J$91,9,FALSE()),""))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IF(DATOS!$A8473="",0,IF(CONFIG_METADATA!$B$4&lt;&gt;"OR+EX",--(DATOS!$G8473=CONFIG_METADATA!$B$4),IF(DATOS!$G8473="EX",1,IF(DATOS!$G8473="OR",--(COUNTIFS(nNIA,DATOS!$A8473,nCURSO,DATOS!$D8473,nESPEC,DATOS!$E8473,nASIG,DATOS!$I8473,nEVAL,"EX")=0),0))))</f>
      </c>
      <c r="H8473">
        <f>IF(DATOS!$G8473&lt;&gt;"EX",0,--(COUNTIFS(nNIA,DATOS!$A8473,nCURSO,DATOS!$D8473,nESPEC,DATOS!$E8473,nASIG,DATOS!$I8473,nEVAL,"OR")=0))</f>
      </c>
      <c r="I8473">
        <f>IF(DATOS!$I8473="","",IFERROR(VLOOKUP(DATOS!$I8473,CONFIG_ASIGNATURAS!$B$2:$J$91,9,FALSE()),""))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IF(DATOS!$A8474="",0,IF(CONFIG_METADATA!$B$4&lt;&gt;"OR+EX",--(DATOS!$G8474=CONFIG_METADATA!$B$4),IF(DATOS!$G8474="EX",1,IF(DATOS!$G8474="OR",--(COUNTIFS(nNIA,DATOS!$A8474,nCURSO,DATOS!$D8474,nESPEC,DATOS!$E8474,nASIG,DATOS!$I8474,nEVAL,"EX")=0),0))))</f>
      </c>
      <c r="H8474">
        <f>IF(DATOS!$G8474&lt;&gt;"EX",0,--(COUNTIFS(nNIA,DATOS!$A8474,nCURSO,DATOS!$D8474,nESPEC,DATOS!$E8474,nASIG,DATOS!$I8474,nEVAL,"OR")=0))</f>
      </c>
      <c r="I8474">
        <f>IF(DATOS!$I8474="","",IFERROR(VLOOKUP(DATOS!$I8474,CONFIG_ASIGNATURAS!$B$2:$J$91,9,FALSE()),""))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IF(DATOS!$A8475="",0,IF(CONFIG_METADATA!$B$4&lt;&gt;"OR+EX",--(DATOS!$G8475=CONFIG_METADATA!$B$4),IF(DATOS!$G8475="EX",1,IF(DATOS!$G8475="OR",--(COUNTIFS(nNIA,DATOS!$A8475,nCURSO,DATOS!$D8475,nESPEC,DATOS!$E8475,nASIG,DATOS!$I8475,nEVAL,"EX")=0),0))))</f>
      </c>
      <c r="H8475">
        <f>IF(DATOS!$G8475&lt;&gt;"EX",0,--(COUNTIFS(nNIA,DATOS!$A8475,nCURSO,DATOS!$D8475,nESPEC,DATOS!$E8475,nASIG,DATOS!$I8475,nEVAL,"OR")=0))</f>
      </c>
      <c r="I8475">
        <f>IF(DATOS!$I8475="","",IFERROR(VLOOKUP(DATOS!$I8475,CONFIG_ASIGNATURAS!$B$2:$J$91,9,FALSE()),""))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IF(DATOS!$A8476="",0,IF(CONFIG_METADATA!$B$4&lt;&gt;"OR+EX",--(DATOS!$G8476=CONFIG_METADATA!$B$4),IF(DATOS!$G8476="EX",1,IF(DATOS!$G8476="OR",--(COUNTIFS(nNIA,DATOS!$A8476,nCURSO,DATOS!$D8476,nESPEC,DATOS!$E8476,nASIG,DATOS!$I8476,nEVAL,"EX")=0),0))))</f>
      </c>
      <c r="H8476">
        <f>IF(DATOS!$G8476&lt;&gt;"EX",0,--(COUNTIFS(nNIA,DATOS!$A8476,nCURSO,DATOS!$D8476,nESPEC,DATOS!$E8476,nASIG,DATOS!$I8476,nEVAL,"OR")=0))</f>
      </c>
      <c r="I8476">
        <f>IF(DATOS!$I8476="","",IFERROR(VLOOKUP(DATOS!$I8476,CONFIG_ASIGNATURAS!$B$2:$J$91,9,FALSE()),""))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IF(DATOS!$A8477="",0,IF(CONFIG_METADATA!$B$4&lt;&gt;"OR+EX",--(DATOS!$G8477=CONFIG_METADATA!$B$4),IF(DATOS!$G8477="EX",1,IF(DATOS!$G8477="OR",--(COUNTIFS(nNIA,DATOS!$A8477,nCURSO,DATOS!$D8477,nESPEC,DATOS!$E8477,nASIG,DATOS!$I8477,nEVAL,"EX")=0),0))))</f>
      </c>
      <c r="H8477">
        <f>IF(DATOS!$G8477&lt;&gt;"EX",0,--(COUNTIFS(nNIA,DATOS!$A8477,nCURSO,DATOS!$D8477,nESPEC,DATOS!$E8477,nASIG,DATOS!$I8477,nEVAL,"OR")=0))</f>
      </c>
      <c r="I8477">
        <f>IF(DATOS!$I8477="","",IFERROR(VLOOKUP(DATOS!$I8477,CONFIG_ASIGNATURAS!$B$2:$J$91,9,FALSE()),""))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IF(DATOS!$A8478="",0,IF(CONFIG_METADATA!$B$4&lt;&gt;"OR+EX",--(DATOS!$G8478=CONFIG_METADATA!$B$4),IF(DATOS!$G8478="EX",1,IF(DATOS!$G8478="OR",--(COUNTIFS(nNIA,DATOS!$A8478,nCURSO,DATOS!$D8478,nESPEC,DATOS!$E8478,nASIG,DATOS!$I8478,nEVAL,"EX")=0),0))))</f>
      </c>
      <c r="H8478">
        <f>IF(DATOS!$G8478&lt;&gt;"EX",0,--(COUNTIFS(nNIA,DATOS!$A8478,nCURSO,DATOS!$D8478,nESPEC,DATOS!$E8478,nASIG,DATOS!$I8478,nEVAL,"OR")=0))</f>
      </c>
      <c r="I8478">
        <f>IF(DATOS!$I8478="","",IFERROR(VLOOKUP(DATOS!$I8478,CONFIG_ASIGNATURAS!$B$2:$J$91,9,FALSE()),""))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IF(DATOS!$A8479="",0,IF(CONFIG_METADATA!$B$4&lt;&gt;"OR+EX",--(DATOS!$G8479=CONFIG_METADATA!$B$4),IF(DATOS!$G8479="EX",1,IF(DATOS!$G8479="OR",--(COUNTIFS(nNIA,DATOS!$A8479,nCURSO,DATOS!$D8479,nESPEC,DATOS!$E8479,nASIG,DATOS!$I8479,nEVAL,"EX")=0),0))))</f>
      </c>
      <c r="H8479">
        <f>IF(DATOS!$G8479&lt;&gt;"EX",0,--(COUNTIFS(nNIA,DATOS!$A8479,nCURSO,DATOS!$D8479,nESPEC,DATOS!$E8479,nASIG,DATOS!$I8479,nEVAL,"OR")=0))</f>
      </c>
      <c r="I8479">
        <f>IF(DATOS!$I8479="","",IFERROR(VLOOKUP(DATOS!$I8479,CONFIG_ASIGNATURAS!$B$2:$J$91,9,FALSE()),""))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IF(DATOS!$A8480="",0,IF(CONFIG_METADATA!$B$4&lt;&gt;"OR+EX",--(DATOS!$G8480=CONFIG_METADATA!$B$4),IF(DATOS!$G8480="EX",1,IF(DATOS!$G8480="OR",--(COUNTIFS(nNIA,DATOS!$A8480,nCURSO,DATOS!$D8480,nESPEC,DATOS!$E8480,nASIG,DATOS!$I8480,nEVAL,"EX")=0),0))))</f>
      </c>
      <c r="H8480">
        <f>IF(DATOS!$G8480&lt;&gt;"EX",0,--(COUNTIFS(nNIA,DATOS!$A8480,nCURSO,DATOS!$D8480,nESPEC,DATOS!$E8480,nASIG,DATOS!$I8480,nEVAL,"OR")=0))</f>
      </c>
      <c r="I8480">
        <f>IF(DATOS!$I8480="","",IFERROR(VLOOKUP(DATOS!$I8480,CONFIG_ASIGNATURAS!$B$2:$J$91,9,FALSE()),""))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IF(DATOS!$A8481="",0,IF(CONFIG_METADATA!$B$4&lt;&gt;"OR+EX",--(DATOS!$G8481=CONFIG_METADATA!$B$4),IF(DATOS!$G8481="EX",1,IF(DATOS!$G8481="OR",--(COUNTIFS(nNIA,DATOS!$A8481,nCURSO,DATOS!$D8481,nESPEC,DATOS!$E8481,nASIG,DATOS!$I8481,nEVAL,"EX")=0),0))))</f>
      </c>
      <c r="H8481">
        <f>IF(DATOS!$G8481&lt;&gt;"EX",0,--(COUNTIFS(nNIA,DATOS!$A8481,nCURSO,DATOS!$D8481,nESPEC,DATOS!$E8481,nASIG,DATOS!$I8481,nEVAL,"OR")=0))</f>
      </c>
      <c r="I8481">
        <f>IF(DATOS!$I8481="","",IFERROR(VLOOKUP(DATOS!$I8481,CONFIG_ASIGNATURAS!$B$2:$J$91,9,FALSE()),""))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IF(DATOS!$A8482="",0,IF(CONFIG_METADATA!$B$4&lt;&gt;"OR+EX",--(DATOS!$G8482=CONFIG_METADATA!$B$4),IF(DATOS!$G8482="EX",1,IF(DATOS!$G8482="OR",--(COUNTIFS(nNIA,DATOS!$A8482,nCURSO,DATOS!$D8482,nESPEC,DATOS!$E8482,nASIG,DATOS!$I8482,nEVAL,"EX")=0),0))))</f>
      </c>
      <c r="H8482">
        <f>IF(DATOS!$G8482&lt;&gt;"EX",0,--(COUNTIFS(nNIA,DATOS!$A8482,nCURSO,DATOS!$D8482,nESPEC,DATOS!$E8482,nASIG,DATOS!$I8482,nEVAL,"OR")=0))</f>
      </c>
      <c r="I8482">
        <f>IF(DATOS!$I8482="","",IFERROR(VLOOKUP(DATOS!$I8482,CONFIG_ASIGNATURAS!$B$2:$J$91,9,FALSE()),""))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IF(DATOS!$A8483="",0,IF(CONFIG_METADATA!$B$4&lt;&gt;"OR+EX",--(DATOS!$G8483=CONFIG_METADATA!$B$4),IF(DATOS!$G8483="EX",1,IF(DATOS!$G8483="OR",--(COUNTIFS(nNIA,DATOS!$A8483,nCURSO,DATOS!$D8483,nESPEC,DATOS!$E8483,nASIG,DATOS!$I8483,nEVAL,"EX")=0),0))))</f>
      </c>
      <c r="H8483">
        <f>IF(DATOS!$G8483&lt;&gt;"EX",0,--(COUNTIFS(nNIA,DATOS!$A8483,nCURSO,DATOS!$D8483,nESPEC,DATOS!$E8483,nASIG,DATOS!$I8483,nEVAL,"OR")=0))</f>
      </c>
      <c r="I8483">
        <f>IF(DATOS!$I8483="","",IFERROR(VLOOKUP(DATOS!$I8483,CONFIG_ASIGNATURAS!$B$2:$J$91,9,FALSE()),""))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IF(DATOS!$A8484="",0,IF(CONFIG_METADATA!$B$4&lt;&gt;"OR+EX",--(DATOS!$G8484=CONFIG_METADATA!$B$4),IF(DATOS!$G8484="EX",1,IF(DATOS!$G8484="OR",--(COUNTIFS(nNIA,DATOS!$A8484,nCURSO,DATOS!$D8484,nESPEC,DATOS!$E8484,nASIG,DATOS!$I8484,nEVAL,"EX")=0),0))))</f>
      </c>
      <c r="H8484">
        <f>IF(DATOS!$G8484&lt;&gt;"EX",0,--(COUNTIFS(nNIA,DATOS!$A8484,nCURSO,DATOS!$D8484,nESPEC,DATOS!$E8484,nASIG,DATOS!$I8484,nEVAL,"OR")=0))</f>
      </c>
      <c r="I8484">
        <f>IF(DATOS!$I8484="","",IFERROR(VLOOKUP(DATOS!$I8484,CONFIG_ASIGNATURAS!$B$2:$J$91,9,FALSE()),""))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IF(DATOS!$A8485="",0,IF(CONFIG_METADATA!$B$4&lt;&gt;"OR+EX",--(DATOS!$G8485=CONFIG_METADATA!$B$4),IF(DATOS!$G8485="EX",1,IF(DATOS!$G8485="OR",--(COUNTIFS(nNIA,DATOS!$A8485,nCURSO,DATOS!$D8485,nESPEC,DATOS!$E8485,nASIG,DATOS!$I8485,nEVAL,"EX")=0),0))))</f>
      </c>
      <c r="H8485">
        <f>IF(DATOS!$G8485&lt;&gt;"EX",0,--(COUNTIFS(nNIA,DATOS!$A8485,nCURSO,DATOS!$D8485,nESPEC,DATOS!$E8485,nASIG,DATOS!$I8485,nEVAL,"OR")=0))</f>
      </c>
      <c r="I8485">
        <f>IF(DATOS!$I8485="","",IFERROR(VLOOKUP(DATOS!$I8485,CONFIG_ASIGNATURAS!$B$2:$J$91,9,FALSE()),""))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IF(DATOS!$A8486="",0,IF(CONFIG_METADATA!$B$4&lt;&gt;"OR+EX",--(DATOS!$G8486=CONFIG_METADATA!$B$4),IF(DATOS!$G8486="EX",1,IF(DATOS!$G8486="OR",--(COUNTIFS(nNIA,DATOS!$A8486,nCURSO,DATOS!$D8486,nESPEC,DATOS!$E8486,nASIG,DATOS!$I8486,nEVAL,"EX")=0),0))))</f>
      </c>
      <c r="H8486">
        <f>IF(DATOS!$G8486&lt;&gt;"EX",0,--(COUNTIFS(nNIA,DATOS!$A8486,nCURSO,DATOS!$D8486,nESPEC,DATOS!$E8486,nASIG,DATOS!$I8486,nEVAL,"OR")=0))</f>
      </c>
      <c r="I8486">
        <f>IF(DATOS!$I8486="","",IFERROR(VLOOKUP(DATOS!$I8486,CONFIG_ASIGNATURAS!$B$2:$J$91,9,FALSE()),""))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IF(DATOS!$A8487="",0,IF(CONFIG_METADATA!$B$4&lt;&gt;"OR+EX",--(DATOS!$G8487=CONFIG_METADATA!$B$4),IF(DATOS!$G8487="EX",1,IF(DATOS!$G8487="OR",--(COUNTIFS(nNIA,DATOS!$A8487,nCURSO,DATOS!$D8487,nESPEC,DATOS!$E8487,nASIG,DATOS!$I8487,nEVAL,"EX")=0),0))))</f>
      </c>
      <c r="H8487">
        <f>IF(DATOS!$G8487&lt;&gt;"EX",0,--(COUNTIFS(nNIA,DATOS!$A8487,nCURSO,DATOS!$D8487,nESPEC,DATOS!$E8487,nASIG,DATOS!$I8487,nEVAL,"OR")=0))</f>
      </c>
      <c r="I8487">
        <f>IF(DATOS!$I8487="","",IFERROR(VLOOKUP(DATOS!$I8487,CONFIG_ASIGNATURAS!$B$2:$J$91,9,FALSE()),""))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IF(DATOS!$A8488="",0,IF(CONFIG_METADATA!$B$4&lt;&gt;"OR+EX",--(DATOS!$G8488=CONFIG_METADATA!$B$4),IF(DATOS!$G8488="EX",1,IF(DATOS!$G8488="OR",--(COUNTIFS(nNIA,DATOS!$A8488,nCURSO,DATOS!$D8488,nESPEC,DATOS!$E8488,nASIG,DATOS!$I8488,nEVAL,"EX")=0),0))))</f>
      </c>
      <c r="H8488">
        <f>IF(DATOS!$G8488&lt;&gt;"EX",0,--(COUNTIFS(nNIA,DATOS!$A8488,nCURSO,DATOS!$D8488,nESPEC,DATOS!$E8488,nASIG,DATOS!$I8488,nEVAL,"OR")=0))</f>
      </c>
      <c r="I8488">
        <f>IF(DATOS!$I8488="","",IFERROR(VLOOKUP(DATOS!$I8488,CONFIG_ASIGNATURAS!$B$2:$J$91,9,FALSE()),""))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IF(DATOS!$A8489="",0,IF(CONFIG_METADATA!$B$4&lt;&gt;"OR+EX",--(DATOS!$G8489=CONFIG_METADATA!$B$4),IF(DATOS!$G8489="EX",1,IF(DATOS!$G8489="OR",--(COUNTIFS(nNIA,DATOS!$A8489,nCURSO,DATOS!$D8489,nESPEC,DATOS!$E8489,nASIG,DATOS!$I8489,nEVAL,"EX")=0),0))))</f>
      </c>
      <c r="H8489">
        <f>IF(DATOS!$G8489&lt;&gt;"EX",0,--(COUNTIFS(nNIA,DATOS!$A8489,nCURSO,DATOS!$D8489,nESPEC,DATOS!$E8489,nASIG,DATOS!$I8489,nEVAL,"OR")=0))</f>
      </c>
      <c r="I8489">
        <f>IF(DATOS!$I8489="","",IFERROR(VLOOKUP(DATOS!$I8489,CONFIG_ASIGNATURAS!$B$2:$J$91,9,FALSE()),""))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IF(DATOS!$A8490="",0,IF(CONFIG_METADATA!$B$4&lt;&gt;"OR+EX",--(DATOS!$G8490=CONFIG_METADATA!$B$4),IF(DATOS!$G8490="EX",1,IF(DATOS!$G8490="OR",--(COUNTIFS(nNIA,DATOS!$A8490,nCURSO,DATOS!$D8490,nESPEC,DATOS!$E8490,nASIG,DATOS!$I8490,nEVAL,"EX")=0),0))))</f>
      </c>
      <c r="H8490">
        <f>IF(DATOS!$G8490&lt;&gt;"EX",0,--(COUNTIFS(nNIA,DATOS!$A8490,nCURSO,DATOS!$D8490,nESPEC,DATOS!$E8490,nASIG,DATOS!$I8490,nEVAL,"OR")=0))</f>
      </c>
      <c r="I8490">
        <f>IF(DATOS!$I8490="","",IFERROR(VLOOKUP(DATOS!$I8490,CONFIG_ASIGNATURAS!$B$2:$J$91,9,FALSE()),""))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IF(DATOS!$A8491="",0,IF(CONFIG_METADATA!$B$4&lt;&gt;"OR+EX",--(DATOS!$G8491=CONFIG_METADATA!$B$4),IF(DATOS!$G8491="EX",1,IF(DATOS!$G8491="OR",--(COUNTIFS(nNIA,DATOS!$A8491,nCURSO,DATOS!$D8491,nESPEC,DATOS!$E8491,nASIG,DATOS!$I8491,nEVAL,"EX")=0),0))))</f>
      </c>
      <c r="H8491">
        <f>IF(DATOS!$G8491&lt;&gt;"EX",0,--(COUNTIFS(nNIA,DATOS!$A8491,nCURSO,DATOS!$D8491,nESPEC,DATOS!$E8491,nASIG,DATOS!$I8491,nEVAL,"OR")=0))</f>
      </c>
      <c r="I8491">
        <f>IF(DATOS!$I8491="","",IFERROR(VLOOKUP(DATOS!$I8491,CONFIG_ASIGNATURAS!$B$2:$J$91,9,FALSE()),""))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IF(DATOS!$A8492="",0,IF(CONFIG_METADATA!$B$4&lt;&gt;"OR+EX",--(DATOS!$G8492=CONFIG_METADATA!$B$4),IF(DATOS!$G8492="EX",1,IF(DATOS!$G8492="OR",--(COUNTIFS(nNIA,DATOS!$A8492,nCURSO,DATOS!$D8492,nESPEC,DATOS!$E8492,nASIG,DATOS!$I8492,nEVAL,"EX")=0),0))))</f>
      </c>
      <c r="H8492">
        <f>IF(DATOS!$G8492&lt;&gt;"EX",0,--(COUNTIFS(nNIA,DATOS!$A8492,nCURSO,DATOS!$D8492,nESPEC,DATOS!$E8492,nASIG,DATOS!$I8492,nEVAL,"OR")=0))</f>
      </c>
      <c r="I8492">
        <f>IF(DATOS!$I8492="","",IFERROR(VLOOKUP(DATOS!$I8492,CONFIG_ASIGNATURAS!$B$2:$J$91,9,FALSE()),""))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IF(DATOS!$A8493="",0,IF(CONFIG_METADATA!$B$4&lt;&gt;"OR+EX",--(DATOS!$G8493=CONFIG_METADATA!$B$4),IF(DATOS!$G8493="EX",1,IF(DATOS!$G8493="OR",--(COUNTIFS(nNIA,DATOS!$A8493,nCURSO,DATOS!$D8493,nESPEC,DATOS!$E8493,nASIG,DATOS!$I8493,nEVAL,"EX")=0),0))))</f>
      </c>
      <c r="H8493">
        <f>IF(DATOS!$G8493&lt;&gt;"EX",0,--(COUNTIFS(nNIA,DATOS!$A8493,nCURSO,DATOS!$D8493,nESPEC,DATOS!$E8493,nASIG,DATOS!$I8493,nEVAL,"OR")=0))</f>
      </c>
      <c r="I8493">
        <f>IF(DATOS!$I8493="","",IFERROR(VLOOKUP(DATOS!$I8493,CONFIG_ASIGNATURAS!$B$2:$J$91,9,FALSE()),""))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IF(DATOS!$A8494="",0,IF(CONFIG_METADATA!$B$4&lt;&gt;"OR+EX",--(DATOS!$G8494=CONFIG_METADATA!$B$4),IF(DATOS!$G8494="EX",1,IF(DATOS!$G8494="OR",--(COUNTIFS(nNIA,DATOS!$A8494,nCURSO,DATOS!$D8494,nESPEC,DATOS!$E8494,nASIG,DATOS!$I8494,nEVAL,"EX")=0),0))))</f>
      </c>
      <c r="H8494">
        <f>IF(DATOS!$G8494&lt;&gt;"EX",0,--(COUNTIFS(nNIA,DATOS!$A8494,nCURSO,DATOS!$D8494,nESPEC,DATOS!$E8494,nASIG,DATOS!$I8494,nEVAL,"OR")=0))</f>
      </c>
      <c r="I8494">
        <f>IF(DATOS!$I8494="","",IFERROR(VLOOKUP(DATOS!$I8494,CONFIG_ASIGNATURAS!$B$2:$J$91,9,FALSE()),""))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IF(DATOS!$A8495="",0,IF(CONFIG_METADATA!$B$4&lt;&gt;"OR+EX",--(DATOS!$G8495=CONFIG_METADATA!$B$4),IF(DATOS!$G8495="EX",1,IF(DATOS!$G8495="OR",--(COUNTIFS(nNIA,DATOS!$A8495,nCURSO,DATOS!$D8495,nESPEC,DATOS!$E8495,nASIG,DATOS!$I8495,nEVAL,"EX")=0),0))))</f>
      </c>
      <c r="H8495">
        <f>IF(DATOS!$G8495&lt;&gt;"EX",0,--(COUNTIFS(nNIA,DATOS!$A8495,nCURSO,DATOS!$D8495,nESPEC,DATOS!$E8495,nASIG,DATOS!$I8495,nEVAL,"OR")=0))</f>
      </c>
      <c r="I8495">
        <f>IF(DATOS!$I8495="","",IFERROR(VLOOKUP(DATOS!$I8495,CONFIG_ASIGNATURAS!$B$2:$J$91,9,FALSE()),""))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IF(DATOS!$A8496="",0,IF(CONFIG_METADATA!$B$4&lt;&gt;"OR+EX",--(DATOS!$G8496=CONFIG_METADATA!$B$4),IF(DATOS!$G8496="EX",1,IF(DATOS!$G8496="OR",--(COUNTIFS(nNIA,DATOS!$A8496,nCURSO,DATOS!$D8496,nESPEC,DATOS!$E8496,nASIG,DATOS!$I8496,nEVAL,"EX")=0),0))))</f>
      </c>
      <c r="H8496">
        <f>IF(DATOS!$G8496&lt;&gt;"EX",0,--(COUNTIFS(nNIA,DATOS!$A8496,nCURSO,DATOS!$D8496,nESPEC,DATOS!$E8496,nASIG,DATOS!$I8496,nEVAL,"OR")=0))</f>
      </c>
      <c r="I8496">
        <f>IF(DATOS!$I8496="","",IFERROR(VLOOKUP(DATOS!$I8496,CONFIG_ASIGNATURAS!$B$2:$J$91,9,FALSE()),""))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IF(DATOS!$A8497="",0,IF(CONFIG_METADATA!$B$4&lt;&gt;"OR+EX",--(DATOS!$G8497=CONFIG_METADATA!$B$4),IF(DATOS!$G8497="EX",1,IF(DATOS!$G8497="OR",--(COUNTIFS(nNIA,DATOS!$A8497,nCURSO,DATOS!$D8497,nESPEC,DATOS!$E8497,nASIG,DATOS!$I8497,nEVAL,"EX")=0),0))))</f>
      </c>
      <c r="H8497">
        <f>IF(DATOS!$G8497&lt;&gt;"EX",0,--(COUNTIFS(nNIA,DATOS!$A8497,nCURSO,DATOS!$D8497,nESPEC,DATOS!$E8497,nASIG,DATOS!$I8497,nEVAL,"OR")=0))</f>
      </c>
      <c r="I8497">
        <f>IF(DATOS!$I8497="","",IFERROR(VLOOKUP(DATOS!$I8497,CONFIG_ASIGNATURAS!$B$2:$J$91,9,FALSE()),""))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IF(DATOS!$A8498="",0,IF(CONFIG_METADATA!$B$4&lt;&gt;"OR+EX",--(DATOS!$G8498=CONFIG_METADATA!$B$4),IF(DATOS!$G8498="EX",1,IF(DATOS!$G8498="OR",--(COUNTIFS(nNIA,DATOS!$A8498,nCURSO,DATOS!$D8498,nESPEC,DATOS!$E8498,nASIG,DATOS!$I8498,nEVAL,"EX")=0),0))))</f>
      </c>
      <c r="H8498">
        <f>IF(DATOS!$G8498&lt;&gt;"EX",0,--(COUNTIFS(nNIA,DATOS!$A8498,nCURSO,DATOS!$D8498,nESPEC,DATOS!$E8498,nASIG,DATOS!$I8498,nEVAL,"OR")=0))</f>
      </c>
      <c r="I8498">
        <f>IF(DATOS!$I8498="","",IFERROR(VLOOKUP(DATOS!$I8498,CONFIG_ASIGNATURAS!$B$2:$J$91,9,FALSE()),""))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IF(DATOS!$A8499="",0,IF(CONFIG_METADATA!$B$4&lt;&gt;"OR+EX",--(DATOS!$G8499=CONFIG_METADATA!$B$4),IF(DATOS!$G8499="EX",1,IF(DATOS!$G8499="OR",--(COUNTIFS(nNIA,DATOS!$A8499,nCURSO,DATOS!$D8499,nESPEC,DATOS!$E8499,nASIG,DATOS!$I8499,nEVAL,"EX")=0),0))))</f>
      </c>
      <c r="H8499">
        <f>IF(DATOS!$G8499&lt;&gt;"EX",0,--(COUNTIFS(nNIA,DATOS!$A8499,nCURSO,DATOS!$D8499,nESPEC,DATOS!$E8499,nASIG,DATOS!$I8499,nEVAL,"OR")=0))</f>
      </c>
      <c r="I8499">
        <f>IF(DATOS!$I8499="","",IFERROR(VLOOKUP(DATOS!$I8499,CONFIG_ASIGNATURAS!$B$2:$J$91,9,FALSE()),""))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IF(DATOS!$A8500="",0,IF(CONFIG_METADATA!$B$4&lt;&gt;"OR+EX",--(DATOS!$G8500=CONFIG_METADATA!$B$4),IF(DATOS!$G8500="EX",1,IF(DATOS!$G8500="OR",--(COUNTIFS(nNIA,DATOS!$A8500,nCURSO,DATOS!$D8500,nESPEC,DATOS!$E8500,nASIG,DATOS!$I8500,nEVAL,"EX")=0),0))))</f>
      </c>
      <c r="H8500">
        <f>IF(DATOS!$G8500&lt;&gt;"EX",0,--(COUNTIFS(nNIA,DATOS!$A8500,nCURSO,DATOS!$D8500,nESPEC,DATOS!$E8500,nASIG,DATOS!$I8500,nEVAL,"OR")=0))</f>
      </c>
      <c r="I8500">
        <f>IF(DATOS!$I8500="","",IFERROR(VLOOKUP(DATOS!$I8500,CONFIG_ASIGNATURAS!$B$2:$J$91,9,FALSE()),""))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IF(DATOS!$A8501="",0,IF(CONFIG_METADATA!$B$4&lt;&gt;"OR+EX",--(DATOS!$G8501=CONFIG_METADATA!$B$4),IF(DATOS!$G8501="EX",1,IF(DATOS!$G8501="OR",--(COUNTIFS(nNIA,DATOS!$A8501,nCURSO,DATOS!$D8501,nESPEC,DATOS!$E8501,nASIG,DATOS!$I8501,nEVAL,"EX")=0),0))))</f>
      </c>
      <c r="H8501">
        <f>IF(DATOS!$G8501&lt;&gt;"EX",0,--(COUNTIFS(nNIA,DATOS!$A8501,nCURSO,DATOS!$D8501,nESPEC,DATOS!$E8501,nASIG,DATOS!$I8501,nEVAL,"OR")=0))</f>
      </c>
      <c r="I8501">
        <f>IF(DATOS!$I8501="","",IFERROR(VLOOKUP(DATOS!$I8501,CONFIG_ASIGNATURAS!$B$2:$J$91,9,FALSE()),""))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IF(DATOS!$A8502="",0,IF(CONFIG_METADATA!$B$4&lt;&gt;"OR+EX",--(DATOS!$G8502=CONFIG_METADATA!$B$4),IF(DATOS!$G8502="EX",1,IF(DATOS!$G8502="OR",--(COUNTIFS(nNIA,DATOS!$A8502,nCURSO,DATOS!$D8502,nESPEC,DATOS!$E8502,nASIG,DATOS!$I8502,nEVAL,"EX")=0),0))))</f>
      </c>
      <c r="H8502">
        <f>IF(DATOS!$G8502&lt;&gt;"EX",0,--(COUNTIFS(nNIA,DATOS!$A8502,nCURSO,DATOS!$D8502,nESPEC,DATOS!$E8502,nASIG,DATOS!$I8502,nEVAL,"OR")=0))</f>
      </c>
      <c r="I8502">
        <f>IF(DATOS!$I8502="","",IFERROR(VLOOKUP(DATOS!$I8502,CONFIG_ASIGNATURAS!$B$2:$J$91,9,FALSE()),""))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IF(DATOS!$A8503="",0,IF(CONFIG_METADATA!$B$4&lt;&gt;"OR+EX",--(DATOS!$G8503=CONFIG_METADATA!$B$4),IF(DATOS!$G8503="EX",1,IF(DATOS!$G8503="OR",--(COUNTIFS(nNIA,DATOS!$A8503,nCURSO,DATOS!$D8503,nESPEC,DATOS!$E8503,nASIG,DATOS!$I8503,nEVAL,"EX")=0),0))))</f>
      </c>
      <c r="H8503">
        <f>IF(DATOS!$G8503&lt;&gt;"EX",0,--(COUNTIFS(nNIA,DATOS!$A8503,nCURSO,DATOS!$D8503,nESPEC,DATOS!$E8503,nASIG,DATOS!$I8503,nEVAL,"OR")=0))</f>
      </c>
      <c r="I8503">
        <f>IF(DATOS!$I8503="","",IFERROR(VLOOKUP(DATOS!$I8503,CONFIG_ASIGNATURAS!$B$2:$J$91,9,FALSE()),""))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IF(DATOS!$A8504="",0,IF(CONFIG_METADATA!$B$4&lt;&gt;"OR+EX",--(DATOS!$G8504=CONFIG_METADATA!$B$4),IF(DATOS!$G8504="EX",1,IF(DATOS!$G8504="OR",--(COUNTIFS(nNIA,DATOS!$A8504,nCURSO,DATOS!$D8504,nESPEC,DATOS!$E8504,nASIG,DATOS!$I8504,nEVAL,"EX")=0),0))))</f>
      </c>
      <c r="H8504">
        <f>IF(DATOS!$G8504&lt;&gt;"EX",0,--(COUNTIFS(nNIA,DATOS!$A8504,nCURSO,DATOS!$D8504,nESPEC,DATOS!$E8504,nASIG,DATOS!$I8504,nEVAL,"OR")=0))</f>
      </c>
      <c r="I8504">
        <f>IF(DATOS!$I8504="","",IFERROR(VLOOKUP(DATOS!$I8504,CONFIG_ASIGNATURAS!$B$2:$J$91,9,FALSE()),""))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IF(DATOS!$A8505="",0,IF(CONFIG_METADATA!$B$4&lt;&gt;"OR+EX",--(DATOS!$G8505=CONFIG_METADATA!$B$4),IF(DATOS!$G8505="EX",1,IF(DATOS!$G8505="OR",--(COUNTIFS(nNIA,DATOS!$A8505,nCURSO,DATOS!$D8505,nESPEC,DATOS!$E8505,nASIG,DATOS!$I8505,nEVAL,"EX")=0),0))))</f>
      </c>
      <c r="H8505">
        <f>IF(DATOS!$G8505&lt;&gt;"EX",0,--(COUNTIFS(nNIA,DATOS!$A8505,nCURSO,DATOS!$D8505,nESPEC,DATOS!$E8505,nASIG,DATOS!$I8505,nEVAL,"OR")=0))</f>
      </c>
      <c r="I8505">
        <f>IF(DATOS!$I8505="","",IFERROR(VLOOKUP(DATOS!$I8505,CONFIG_ASIGNATURAS!$B$2:$J$91,9,FALSE()),""))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IF(DATOS!$A8506="",0,IF(CONFIG_METADATA!$B$4&lt;&gt;"OR+EX",--(DATOS!$G8506=CONFIG_METADATA!$B$4),IF(DATOS!$G8506="EX",1,IF(DATOS!$G8506="OR",--(COUNTIFS(nNIA,DATOS!$A8506,nCURSO,DATOS!$D8506,nESPEC,DATOS!$E8506,nASIG,DATOS!$I8506,nEVAL,"EX")=0),0))))</f>
      </c>
      <c r="H8506">
        <f>IF(DATOS!$G8506&lt;&gt;"EX",0,--(COUNTIFS(nNIA,DATOS!$A8506,nCURSO,DATOS!$D8506,nESPEC,DATOS!$E8506,nASIG,DATOS!$I8506,nEVAL,"OR")=0))</f>
      </c>
      <c r="I8506">
        <f>IF(DATOS!$I8506="","",IFERROR(VLOOKUP(DATOS!$I8506,CONFIG_ASIGNATURAS!$B$2:$J$91,9,FALSE()),""))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IF(DATOS!$A8507="",0,IF(CONFIG_METADATA!$B$4&lt;&gt;"OR+EX",--(DATOS!$G8507=CONFIG_METADATA!$B$4),IF(DATOS!$G8507="EX",1,IF(DATOS!$G8507="OR",--(COUNTIFS(nNIA,DATOS!$A8507,nCURSO,DATOS!$D8507,nESPEC,DATOS!$E8507,nASIG,DATOS!$I8507,nEVAL,"EX")=0),0))))</f>
      </c>
      <c r="H8507">
        <f>IF(DATOS!$G8507&lt;&gt;"EX",0,--(COUNTIFS(nNIA,DATOS!$A8507,nCURSO,DATOS!$D8507,nESPEC,DATOS!$E8507,nASIG,DATOS!$I8507,nEVAL,"OR")=0))</f>
      </c>
      <c r="I8507">
        <f>IF(DATOS!$I8507="","",IFERROR(VLOOKUP(DATOS!$I8507,CONFIG_ASIGNATURAS!$B$2:$J$91,9,FALSE()),""))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IF(DATOS!$A8508="",0,IF(CONFIG_METADATA!$B$4&lt;&gt;"OR+EX",--(DATOS!$G8508=CONFIG_METADATA!$B$4),IF(DATOS!$G8508="EX",1,IF(DATOS!$G8508="OR",--(COUNTIFS(nNIA,DATOS!$A8508,nCURSO,DATOS!$D8508,nESPEC,DATOS!$E8508,nASIG,DATOS!$I8508,nEVAL,"EX")=0),0))))</f>
      </c>
      <c r="H8508">
        <f>IF(DATOS!$G8508&lt;&gt;"EX",0,--(COUNTIFS(nNIA,DATOS!$A8508,nCURSO,DATOS!$D8508,nESPEC,DATOS!$E8508,nASIG,DATOS!$I8508,nEVAL,"OR")=0))</f>
      </c>
      <c r="I8508">
        <f>IF(DATOS!$I8508="","",IFERROR(VLOOKUP(DATOS!$I8508,CONFIG_ASIGNATURAS!$B$2:$J$91,9,FALSE()),""))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IF(DATOS!$A8509="",0,IF(CONFIG_METADATA!$B$4&lt;&gt;"OR+EX",--(DATOS!$G8509=CONFIG_METADATA!$B$4),IF(DATOS!$G8509="EX",1,IF(DATOS!$G8509="OR",--(COUNTIFS(nNIA,DATOS!$A8509,nCURSO,DATOS!$D8509,nESPEC,DATOS!$E8509,nASIG,DATOS!$I8509,nEVAL,"EX")=0),0))))</f>
      </c>
      <c r="H8509">
        <f>IF(DATOS!$G8509&lt;&gt;"EX",0,--(COUNTIFS(nNIA,DATOS!$A8509,nCURSO,DATOS!$D8509,nESPEC,DATOS!$E8509,nASIG,DATOS!$I8509,nEVAL,"OR")=0))</f>
      </c>
      <c r="I8509">
        <f>IF(DATOS!$I8509="","",IFERROR(VLOOKUP(DATOS!$I8509,CONFIG_ASIGNATURAS!$B$2:$J$91,9,FALSE()),""))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IF(DATOS!$A8510="",0,IF(CONFIG_METADATA!$B$4&lt;&gt;"OR+EX",--(DATOS!$G8510=CONFIG_METADATA!$B$4),IF(DATOS!$G8510="EX",1,IF(DATOS!$G8510="OR",--(COUNTIFS(nNIA,DATOS!$A8510,nCURSO,DATOS!$D8510,nESPEC,DATOS!$E8510,nASIG,DATOS!$I8510,nEVAL,"EX")=0),0))))</f>
      </c>
      <c r="H8510">
        <f>IF(DATOS!$G8510&lt;&gt;"EX",0,--(COUNTIFS(nNIA,DATOS!$A8510,nCURSO,DATOS!$D8510,nESPEC,DATOS!$E8510,nASIG,DATOS!$I8510,nEVAL,"OR")=0))</f>
      </c>
      <c r="I8510">
        <f>IF(DATOS!$I8510="","",IFERROR(VLOOKUP(DATOS!$I8510,CONFIG_ASIGNATURAS!$B$2:$J$91,9,FALSE()),""))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IF(DATOS!$A8511="",0,IF(CONFIG_METADATA!$B$4&lt;&gt;"OR+EX",--(DATOS!$G8511=CONFIG_METADATA!$B$4),IF(DATOS!$G8511="EX",1,IF(DATOS!$G8511="OR",--(COUNTIFS(nNIA,DATOS!$A8511,nCURSO,DATOS!$D8511,nESPEC,DATOS!$E8511,nASIG,DATOS!$I8511,nEVAL,"EX")=0),0))))</f>
      </c>
      <c r="H8511">
        <f>IF(DATOS!$G8511&lt;&gt;"EX",0,--(COUNTIFS(nNIA,DATOS!$A8511,nCURSO,DATOS!$D8511,nESPEC,DATOS!$E8511,nASIG,DATOS!$I8511,nEVAL,"OR")=0))</f>
      </c>
      <c r="I8511">
        <f>IF(DATOS!$I8511="","",IFERROR(VLOOKUP(DATOS!$I8511,CONFIG_ASIGNATURAS!$B$2:$J$91,9,FALSE()),""))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IF(DATOS!$A8512="",0,IF(CONFIG_METADATA!$B$4&lt;&gt;"OR+EX",--(DATOS!$G8512=CONFIG_METADATA!$B$4),IF(DATOS!$G8512="EX",1,IF(DATOS!$G8512="OR",--(COUNTIFS(nNIA,DATOS!$A8512,nCURSO,DATOS!$D8512,nESPEC,DATOS!$E8512,nASIG,DATOS!$I8512,nEVAL,"EX")=0),0))))</f>
      </c>
      <c r="H8512">
        <f>IF(DATOS!$G8512&lt;&gt;"EX",0,--(COUNTIFS(nNIA,DATOS!$A8512,nCURSO,DATOS!$D8512,nESPEC,DATOS!$E8512,nASIG,DATOS!$I8512,nEVAL,"OR")=0))</f>
      </c>
      <c r="I8512">
        <f>IF(DATOS!$I8512="","",IFERROR(VLOOKUP(DATOS!$I8512,CONFIG_ASIGNATURAS!$B$2:$J$91,9,FALSE()),""))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IF(DATOS!$A8513="",0,IF(CONFIG_METADATA!$B$4&lt;&gt;"OR+EX",--(DATOS!$G8513=CONFIG_METADATA!$B$4),IF(DATOS!$G8513="EX",1,IF(DATOS!$G8513="OR",--(COUNTIFS(nNIA,DATOS!$A8513,nCURSO,DATOS!$D8513,nESPEC,DATOS!$E8513,nASIG,DATOS!$I8513,nEVAL,"EX")=0),0))))</f>
      </c>
      <c r="H8513">
        <f>IF(DATOS!$G8513&lt;&gt;"EX",0,--(COUNTIFS(nNIA,DATOS!$A8513,nCURSO,DATOS!$D8513,nESPEC,DATOS!$E8513,nASIG,DATOS!$I8513,nEVAL,"OR")=0))</f>
      </c>
      <c r="I8513">
        <f>IF(DATOS!$I8513="","",IFERROR(VLOOKUP(DATOS!$I8513,CONFIG_ASIGNATURAS!$B$2:$J$91,9,FALSE()),""))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IF(DATOS!$A8514="",0,IF(CONFIG_METADATA!$B$4&lt;&gt;"OR+EX",--(DATOS!$G8514=CONFIG_METADATA!$B$4),IF(DATOS!$G8514="EX",1,IF(DATOS!$G8514="OR",--(COUNTIFS(nNIA,DATOS!$A8514,nCURSO,DATOS!$D8514,nESPEC,DATOS!$E8514,nASIG,DATOS!$I8514,nEVAL,"EX")=0),0))))</f>
      </c>
      <c r="H8514">
        <f>IF(DATOS!$G8514&lt;&gt;"EX",0,--(COUNTIFS(nNIA,DATOS!$A8514,nCURSO,DATOS!$D8514,nESPEC,DATOS!$E8514,nASIG,DATOS!$I8514,nEVAL,"OR")=0))</f>
      </c>
      <c r="I8514">
        <f>IF(DATOS!$I8514="","",IFERROR(VLOOKUP(DATOS!$I8514,CONFIG_ASIGNATURAS!$B$2:$J$91,9,FALSE()),""))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IF(DATOS!$A8515="",0,IF(CONFIG_METADATA!$B$4&lt;&gt;"OR+EX",--(DATOS!$G8515=CONFIG_METADATA!$B$4),IF(DATOS!$G8515="EX",1,IF(DATOS!$G8515="OR",--(COUNTIFS(nNIA,DATOS!$A8515,nCURSO,DATOS!$D8515,nESPEC,DATOS!$E8515,nASIG,DATOS!$I8515,nEVAL,"EX")=0),0))))</f>
      </c>
      <c r="H8515">
        <f>IF(DATOS!$G8515&lt;&gt;"EX",0,--(COUNTIFS(nNIA,DATOS!$A8515,nCURSO,DATOS!$D8515,nESPEC,DATOS!$E8515,nASIG,DATOS!$I8515,nEVAL,"OR")=0))</f>
      </c>
      <c r="I8515">
        <f>IF(DATOS!$I8515="","",IFERROR(VLOOKUP(DATOS!$I8515,CONFIG_ASIGNATURAS!$B$2:$J$91,9,FALSE()),""))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IF(DATOS!$A8516="",0,IF(CONFIG_METADATA!$B$4&lt;&gt;"OR+EX",--(DATOS!$G8516=CONFIG_METADATA!$B$4),IF(DATOS!$G8516="EX",1,IF(DATOS!$G8516="OR",--(COUNTIFS(nNIA,DATOS!$A8516,nCURSO,DATOS!$D8516,nESPEC,DATOS!$E8516,nASIG,DATOS!$I8516,nEVAL,"EX")=0),0))))</f>
      </c>
      <c r="H8516">
        <f>IF(DATOS!$G8516&lt;&gt;"EX",0,--(COUNTIFS(nNIA,DATOS!$A8516,nCURSO,DATOS!$D8516,nESPEC,DATOS!$E8516,nASIG,DATOS!$I8516,nEVAL,"OR")=0))</f>
      </c>
      <c r="I8516">
        <f>IF(DATOS!$I8516="","",IFERROR(VLOOKUP(DATOS!$I8516,CONFIG_ASIGNATURAS!$B$2:$J$91,9,FALSE()),""))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IF(DATOS!$A8517="",0,IF(CONFIG_METADATA!$B$4&lt;&gt;"OR+EX",--(DATOS!$G8517=CONFIG_METADATA!$B$4),IF(DATOS!$G8517="EX",1,IF(DATOS!$G8517="OR",--(COUNTIFS(nNIA,DATOS!$A8517,nCURSO,DATOS!$D8517,nESPEC,DATOS!$E8517,nASIG,DATOS!$I8517,nEVAL,"EX")=0),0))))</f>
      </c>
      <c r="H8517">
        <f>IF(DATOS!$G8517&lt;&gt;"EX",0,--(COUNTIFS(nNIA,DATOS!$A8517,nCURSO,DATOS!$D8517,nESPEC,DATOS!$E8517,nASIG,DATOS!$I8517,nEVAL,"OR")=0))</f>
      </c>
      <c r="I8517">
        <f>IF(DATOS!$I8517="","",IFERROR(VLOOKUP(DATOS!$I8517,CONFIG_ASIGNATURAS!$B$2:$J$91,9,FALSE()),""))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IF(DATOS!$A8518="",0,IF(CONFIG_METADATA!$B$4&lt;&gt;"OR+EX",--(DATOS!$G8518=CONFIG_METADATA!$B$4),IF(DATOS!$G8518="EX",1,IF(DATOS!$G8518="OR",--(COUNTIFS(nNIA,DATOS!$A8518,nCURSO,DATOS!$D8518,nESPEC,DATOS!$E8518,nASIG,DATOS!$I8518,nEVAL,"EX")=0),0))))</f>
      </c>
      <c r="H8518">
        <f>IF(DATOS!$G8518&lt;&gt;"EX",0,--(COUNTIFS(nNIA,DATOS!$A8518,nCURSO,DATOS!$D8518,nESPEC,DATOS!$E8518,nASIG,DATOS!$I8518,nEVAL,"OR")=0))</f>
      </c>
      <c r="I8518">
        <f>IF(DATOS!$I8518="","",IFERROR(VLOOKUP(DATOS!$I8518,CONFIG_ASIGNATURAS!$B$2:$J$91,9,FALSE()),""))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IF(DATOS!$A8519="",0,IF(CONFIG_METADATA!$B$4&lt;&gt;"OR+EX",--(DATOS!$G8519=CONFIG_METADATA!$B$4),IF(DATOS!$G8519="EX",1,IF(DATOS!$G8519="OR",--(COUNTIFS(nNIA,DATOS!$A8519,nCURSO,DATOS!$D8519,nESPEC,DATOS!$E8519,nASIG,DATOS!$I8519,nEVAL,"EX")=0),0))))</f>
      </c>
      <c r="H8519">
        <f>IF(DATOS!$G8519&lt;&gt;"EX",0,--(COUNTIFS(nNIA,DATOS!$A8519,nCURSO,DATOS!$D8519,nESPEC,DATOS!$E8519,nASIG,DATOS!$I8519,nEVAL,"OR")=0))</f>
      </c>
      <c r="I8519">
        <f>IF(DATOS!$I8519="","",IFERROR(VLOOKUP(DATOS!$I8519,CONFIG_ASIGNATURAS!$B$2:$J$91,9,FALSE()),""))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IF(DATOS!$A8520="",0,IF(CONFIG_METADATA!$B$4&lt;&gt;"OR+EX",--(DATOS!$G8520=CONFIG_METADATA!$B$4),IF(DATOS!$G8520="EX",1,IF(DATOS!$G8520="OR",--(COUNTIFS(nNIA,DATOS!$A8520,nCURSO,DATOS!$D8520,nESPEC,DATOS!$E8520,nASIG,DATOS!$I8520,nEVAL,"EX")=0),0))))</f>
      </c>
      <c r="H8520">
        <f>IF(DATOS!$G8520&lt;&gt;"EX",0,--(COUNTIFS(nNIA,DATOS!$A8520,nCURSO,DATOS!$D8520,nESPEC,DATOS!$E8520,nASIG,DATOS!$I8520,nEVAL,"OR")=0))</f>
      </c>
      <c r="I8520">
        <f>IF(DATOS!$I8520="","",IFERROR(VLOOKUP(DATOS!$I8520,CONFIG_ASIGNATURAS!$B$2:$J$91,9,FALSE()),""))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IF(DATOS!$A8521="",0,IF(CONFIG_METADATA!$B$4&lt;&gt;"OR+EX",--(DATOS!$G8521=CONFIG_METADATA!$B$4),IF(DATOS!$G8521="EX",1,IF(DATOS!$G8521="OR",--(COUNTIFS(nNIA,DATOS!$A8521,nCURSO,DATOS!$D8521,nESPEC,DATOS!$E8521,nASIG,DATOS!$I8521,nEVAL,"EX")=0),0))))</f>
      </c>
      <c r="H8521">
        <f>IF(DATOS!$G8521&lt;&gt;"EX",0,--(COUNTIFS(nNIA,DATOS!$A8521,nCURSO,DATOS!$D8521,nESPEC,DATOS!$E8521,nASIG,DATOS!$I8521,nEVAL,"OR")=0))</f>
      </c>
      <c r="I8521">
        <f>IF(DATOS!$I8521="","",IFERROR(VLOOKUP(DATOS!$I8521,CONFIG_ASIGNATURAS!$B$2:$J$91,9,FALSE()),""))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IF(DATOS!$A8522="",0,IF(CONFIG_METADATA!$B$4&lt;&gt;"OR+EX",--(DATOS!$G8522=CONFIG_METADATA!$B$4),IF(DATOS!$G8522="EX",1,IF(DATOS!$G8522="OR",--(COUNTIFS(nNIA,DATOS!$A8522,nCURSO,DATOS!$D8522,nESPEC,DATOS!$E8522,nASIG,DATOS!$I8522,nEVAL,"EX")=0),0))))</f>
      </c>
      <c r="H8522">
        <f>IF(DATOS!$G8522&lt;&gt;"EX",0,--(COUNTIFS(nNIA,DATOS!$A8522,nCURSO,DATOS!$D8522,nESPEC,DATOS!$E8522,nASIG,DATOS!$I8522,nEVAL,"OR")=0))</f>
      </c>
      <c r="I8522">
        <f>IF(DATOS!$I8522="","",IFERROR(VLOOKUP(DATOS!$I8522,CONFIG_ASIGNATURAS!$B$2:$J$91,9,FALSE()),""))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IF(DATOS!$A8523="",0,IF(CONFIG_METADATA!$B$4&lt;&gt;"OR+EX",--(DATOS!$G8523=CONFIG_METADATA!$B$4),IF(DATOS!$G8523="EX",1,IF(DATOS!$G8523="OR",--(COUNTIFS(nNIA,DATOS!$A8523,nCURSO,DATOS!$D8523,nESPEC,DATOS!$E8523,nASIG,DATOS!$I8523,nEVAL,"EX")=0),0))))</f>
      </c>
      <c r="H8523">
        <f>IF(DATOS!$G8523&lt;&gt;"EX",0,--(COUNTIFS(nNIA,DATOS!$A8523,nCURSO,DATOS!$D8523,nESPEC,DATOS!$E8523,nASIG,DATOS!$I8523,nEVAL,"OR")=0))</f>
      </c>
      <c r="I8523">
        <f>IF(DATOS!$I8523="","",IFERROR(VLOOKUP(DATOS!$I8523,CONFIG_ASIGNATURAS!$B$2:$J$91,9,FALSE()),""))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IF(DATOS!$A8524="",0,IF(CONFIG_METADATA!$B$4&lt;&gt;"OR+EX",--(DATOS!$G8524=CONFIG_METADATA!$B$4),IF(DATOS!$G8524="EX",1,IF(DATOS!$G8524="OR",--(COUNTIFS(nNIA,DATOS!$A8524,nCURSO,DATOS!$D8524,nESPEC,DATOS!$E8524,nASIG,DATOS!$I8524,nEVAL,"EX")=0),0))))</f>
      </c>
      <c r="H8524">
        <f>IF(DATOS!$G8524&lt;&gt;"EX",0,--(COUNTIFS(nNIA,DATOS!$A8524,nCURSO,DATOS!$D8524,nESPEC,DATOS!$E8524,nASIG,DATOS!$I8524,nEVAL,"OR")=0))</f>
      </c>
      <c r="I8524">
        <f>IF(DATOS!$I8524="","",IFERROR(VLOOKUP(DATOS!$I8524,CONFIG_ASIGNATURAS!$B$2:$J$91,9,FALSE()),""))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IF(DATOS!$A8525="",0,IF(CONFIG_METADATA!$B$4&lt;&gt;"OR+EX",--(DATOS!$G8525=CONFIG_METADATA!$B$4),IF(DATOS!$G8525="EX",1,IF(DATOS!$G8525="OR",--(COUNTIFS(nNIA,DATOS!$A8525,nCURSO,DATOS!$D8525,nESPEC,DATOS!$E8525,nASIG,DATOS!$I8525,nEVAL,"EX")=0),0))))</f>
      </c>
      <c r="H8525">
        <f>IF(DATOS!$G8525&lt;&gt;"EX",0,--(COUNTIFS(nNIA,DATOS!$A8525,nCURSO,DATOS!$D8525,nESPEC,DATOS!$E8525,nASIG,DATOS!$I8525,nEVAL,"OR")=0))</f>
      </c>
      <c r="I8525">
        <f>IF(DATOS!$I8525="","",IFERROR(VLOOKUP(DATOS!$I8525,CONFIG_ASIGNATURAS!$B$2:$J$91,9,FALSE()),""))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IF(DATOS!$A8526="",0,IF(CONFIG_METADATA!$B$4&lt;&gt;"OR+EX",--(DATOS!$G8526=CONFIG_METADATA!$B$4),IF(DATOS!$G8526="EX",1,IF(DATOS!$G8526="OR",--(COUNTIFS(nNIA,DATOS!$A8526,nCURSO,DATOS!$D8526,nESPEC,DATOS!$E8526,nASIG,DATOS!$I8526,nEVAL,"EX")=0),0))))</f>
      </c>
      <c r="H8526">
        <f>IF(DATOS!$G8526&lt;&gt;"EX",0,--(COUNTIFS(nNIA,DATOS!$A8526,nCURSO,DATOS!$D8526,nESPEC,DATOS!$E8526,nASIG,DATOS!$I8526,nEVAL,"OR")=0))</f>
      </c>
      <c r="I8526">
        <f>IF(DATOS!$I8526="","",IFERROR(VLOOKUP(DATOS!$I8526,CONFIG_ASIGNATURAS!$B$2:$J$91,9,FALSE()),""))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IF(DATOS!$A8527="",0,IF(CONFIG_METADATA!$B$4&lt;&gt;"OR+EX",--(DATOS!$G8527=CONFIG_METADATA!$B$4),IF(DATOS!$G8527="EX",1,IF(DATOS!$G8527="OR",--(COUNTIFS(nNIA,DATOS!$A8527,nCURSO,DATOS!$D8527,nESPEC,DATOS!$E8527,nASIG,DATOS!$I8527,nEVAL,"EX")=0),0))))</f>
      </c>
      <c r="H8527">
        <f>IF(DATOS!$G8527&lt;&gt;"EX",0,--(COUNTIFS(nNIA,DATOS!$A8527,nCURSO,DATOS!$D8527,nESPEC,DATOS!$E8527,nASIG,DATOS!$I8527,nEVAL,"OR")=0))</f>
      </c>
      <c r="I8527">
        <f>IF(DATOS!$I8527="","",IFERROR(VLOOKUP(DATOS!$I8527,CONFIG_ASIGNATURAS!$B$2:$J$91,9,FALSE()),""))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IF(DATOS!$A8528="",0,IF(CONFIG_METADATA!$B$4&lt;&gt;"OR+EX",--(DATOS!$G8528=CONFIG_METADATA!$B$4),IF(DATOS!$G8528="EX",1,IF(DATOS!$G8528="OR",--(COUNTIFS(nNIA,DATOS!$A8528,nCURSO,DATOS!$D8528,nESPEC,DATOS!$E8528,nASIG,DATOS!$I8528,nEVAL,"EX")=0),0))))</f>
      </c>
      <c r="H8528">
        <f>IF(DATOS!$G8528&lt;&gt;"EX",0,--(COUNTIFS(nNIA,DATOS!$A8528,nCURSO,DATOS!$D8528,nESPEC,DATOS!$E8528,nASIG,DATOS!$I8528,nEVAL,"OR")=0))</f>
      </c>
      <c r="I8528">
        <f>IF(DATOS!$I8528="","",IFERROR(VLOOKUP(DATOS!$I8528,CONFIG_ASIGNATURAS!$B$2:$J$91,9,FALSE()),""))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IF(DATOS!$A8529="",0,IF(CONFIG_METADATA!$B$4&lt;&gt;"OR+EX",--(DATOS!$G8529=CONFIG_METADATA!$B$4),IF(DATOS!$G8529="EX",1,IF(DATOS!$G8529="OR",--(COUNTIFS(nNIA,DATOS!$A8529,nCURSO,DATOS!$D8529,nESPEC,DATOS!$E8529,nASIG,DATOS!$I8529,nEVAL,"EX")=0),0))))</f>
      </c>
      <c r="H8529">
        <f>IF(DATOS!$G8529&lt;&gt;"EX",0,--(COUNTIFS(nNIA,DATOS!$A8529,nCURSO,DATOS!$D8529,nESPEC,DATOS!$E8529,nASIG,DATOS!$I8529,nEVAL,"OR")=0))</f>
      </c>
      <c r="I8529">
        <f>IF(DATOS!$I8529="","",IFERROR(VLOOKUP(DATOS!$I8529,CONFIG_ASIGNATURAS!$B$2:$J$91,9,FALSE()),""))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IF(DATOS!$A8530="",0,IF(CONFIG_METADATA!$B$4&lt;&gt;"OR+EX",--(DATOS!$G8530=CONFIG_METADATA!$B$4),IF(DATOS!$G8530="EX",1,IF(DATOS!$G8530="OR",--(COUNTIFS(nNIA,DATOS!$A8530,nCURSO,DATOS!$D8530,nESPEC,DATOS!$E8530,nASIG,DATOS!$I8530,nEVAL,"EX")=0),0))))</f>
      </c>
      <c r="H8530">
        <f>IF(DATOS!$G8530&lt;&gt;"EX",0,--(COUNTIFS(nNIA,DATOS!$A8530,nCURSO,DATOS!$D8530,nESPEC,DATOS!$E8530,nASIG,DATOS!$I8530,nEVAL,"OR")=0))</f>
      </c>
      <c r="I8530">
        <f>IF(DATOS!$I8530="","",IFERROR(VLOOKUP(DATOS!$I8530,CONFIG_ASIGNATURAS!$B$2:$J$91,9,FALSE()),""))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IF(DATOS!$A8531="",0,IF(CONFIG_METADATA!$B$4&lt;&gt;"OR+EX",--(DATOS!$G8531=CONFIG_METADATA!$B$4),IF(DATOS!$G8531="EX",1,IF(DATOS!$G8531="OR",--(COUNTIFS(nNIA,DATOS!$A8531,nCURSO,DATOS!$D8531,nESPEC,DATOS!$E8531,nASIG,DATOS!$I8531,nEVAL,"EX")=0),0))))</f>
      </c>
      <c r="H8531">
        <f>IF(DATOS!$G8531&lt;&gt;"EX",0,--(COUNTIFS(nNIA,DATOS!$A8531,nCURSO,DATOS!$D8531,nESPEC,DATOS!$E8531,nASIG,DATOS!$I8531,nEVAL,"OR")=0))</f>
      </c>
      <c r="I8531">
        <f>IF(DATOS!$I8531="","",IFERROR(VLOOKUP(DATOS!$I8531,CONFIG_ASIGNATURAS!$B$2:$J$91,9,FALSE()),""))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IF(DATOS!$A8532="",0,IF(CONFIG_METADATA!$B$4&lt;&gt;"OR+EX",--(DATOS!$G8532=CONFIG_METADATA!$B$4),IF(DATOS!$G8532="EX",1,IF(DATOS!$G8532="OR",--(COUNTIFS(nNIA,DATOS!$A8532,nCURSO,DATOS!$D8532,nESPEC,DATOS!$E8532,nASIG,DATOS!$I8532,nEVAL,"EX")=0),0))))</f>
      </c>
      <c r="H8532">
        <f>IF(DATOS!$G8532&lt;&gt;"EX",0,--(COUNTIFS(nNIA,DATOS!$A8532,nCURSO,DATOS!$D8532,nESPEC,DATOS!$E8532,nASIG,DATOS!$I8532,nEVAL,"OR")=0))</f>
      </c>
      <c r="I8532">
        <f>IF(DATOS!$I8532="","",IFERROR(VLOOKUP(DATOS!$I8532,CONFIG_ASIGNATURAS!$B$2:$J$91,9,FALSE()),""))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IF(DATOS!$A8533="",0,IF(CONFIG_METADATA!$B$4&lt;&gt;"OR+EX",--(DATOS!$G8533=CONFIG_METADATA!$B$4),IF(DATOS!$G8533="EX",1,IF(DATOS!$G8533="OR",--(COUNTIFS(nNIA,DATOS!$A8533,nCURSO,DATOS!$D8533,nESPEC,DATOS!$E8533,nASIG,DATOS!$I8533,nEVAL,"EX")=0),0))))</f>
      </c>
      <c r="H8533">
        <f>IF(DATOS!$G8533&lt;&gt;"EX",0,--(COUNTIFS(nNIA,DATOS!$A8533,nCURSO,DATOS!$D8533,nESPEC,DATOS!$E8533,nASIG,DATOS!$I8533,nEVAL,"OR")=0))</f>
      </c>
      <c r="I8533">
        <f>IF(DATOS!$I8533="","",IFERROR(VLOOKUP(DATOS!$I8533,CONFIG_ASIGNATURAS!$B$2:$J$91,9,FALSE()),""))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IF(DATOS!$A8534="",0,IF(CONFIG_METADATA!$B$4&lt;&gt;"OR+EX",--(DATOS!$G8534=CONFIG_METADATA!$B$4),IF(DATOS!$G8534="EX",1,IF(DATOS!$G8534="OR",--(COUNTIFS(nNIA,DATOS!$A8534,nCURSO,DATOS!$D8534,nESPEC,DATOS!$E8534,nASIG,DATOS!$I8534,nEVAL,"EX")=0),0))))</f>
      </c>
      <c r="H8534">
        <f>IF(DATOS!$G8534&lt;&gt;"EX",0,--(COUNTIFS(nNIA,DATOS!$A8534,nCURSO,DATOS!$D8534,nESPEC,DATOS!$E8534,nASIG,DATOS!$I8534,nEVAL,"OR")=0))</f>
      </c>
      <c r="I8534">
        <f>IF(DATOS!$I8534="","",IFERROR(VLOOKUP(DATOS!$I8534,CONFIG_ASIGNATURAS!$B$2:$J$91,9,FALSE()),""))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IF(DATOS!$A8535="",0,IF(CONFIG_METADATA!$B$4&lt;&gt;"OR+EX",--(DATOS!$G8535=CONFIG_METADATA!$B$4),IF(DATOS!$G8535="EX",1,IF(DATOS!$G8535="OR",--(COUNTIFS(nNIA,DATOS!$A8535,nCURSO,DATOS!$D8535,nESPEC,DATOS!$E8535,nASIG,DATOS!$I8535,nEVAL,"EX")=0),0))))</f>
      </c>
      <c r="H8535">
        <f>IF(DATOS!$G8535&lt;&gt;"EX",0,--(COUNTIFS(nNIA,DATOS!$A8535,nCURSO,DATOS!$D8535,nESPEC,DATOS!$E8535,nASIG,DATOS!$I8535,nEVAL,"OR")=0))</f>
      </c>
      <c r="I8535">
        <f>IF(DATOS!$I8535="","",IFERROR(VLOOKUP(DATOS!$I8535,CONFIG_ASIGNATURAS!$B$2:$J$91,9,FALSE()),""))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IF(DATOS!$A8536="",0,IF(CONFIG_METADATA!$B$4&lt;&gt;"OR+EX",--(DATOS!$G8536=CONFIG_METADATA!$B$4),IF(DATOS!$G8536="EX",1,IF(DATOS!$G8536="OR",--(COUNTIFS(nNIA,DATOS!$A8536,nCURSO,DATOS!$D8536,nESPEC,DATOS!$E8536,nASIG,DATOS!$I8536,nEVAL,"EX")=0),0))))</f>
      </c>
      <c r="H8536">
        <f>IF(DATOS!$G8536&lt;&gt;"EX",0,--(COUNTIFS(nNIA,DATOS!$A8536,nCURSO,DATOS!$D8536,nESPEC,DATOS!$E8536,nASIG,DATOS!$I8536,nEVAL,"OR")=0))</f>
      </c>
      <c r="I8536">
        <f>IF(DATOS!$I8536="","",IFERROR(VLOOKUP(DATOS!$I8536,CONFIG_ASIGNATURAS!$B$2:$J$91,9,FALSE()),""))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IF(DATOS!$A8537="",0,IF(CONFIG_METADATA!$B$4&lt;&gt;"OR+EX",--(DATOS!$G8537=CONFIG_METADATA!$B$4),IF(DATOS!$G8537="EX",1,IF(DATOS!$G8537="OR",--(COUNTIFS(nNIA,DATOS!$A8537,nCURSO,DATOS!$D8537,nESPEC,DATOS!$E8537,nASIG,DATOS!$I8537,nEVAL,"EX")=0),0))))</f>
      </c>
      <c r="H8537">
        <f>IF(DATOS!$G8537&lt;&gt;"EX",0,--(COUNTIFS(nNIA,DATOS!$A8537,nCURSO,DATOS!$D8537,nESPEC,DATOS!$E8537,nASIG,DATOS!$I8537,nEVAL,"OR")=0))</f>
      </c>
      <c r="I8537">
        <f>IF(DATOS!$I8537="","",IFERROR(VLOOKUP(DATOS!$I8537,CONFIG_ASIGNATURAS!$B$2:$J$91,9,FALSE()),""))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IF(DATOS!$A8538="",0,IF(CONFIG_METADATA!$B$4&lt;&gt;"OR+EX",--(DATOS!$G8538=CONFIG_METADATA!$B$4),IF(DATOS!$G8538="EX",1,IF(DATOS!$G8538="OR",--(COUNTIFS(nNIA,DATOS!$A8538,nCURSO,DATOS!$D8538,nESPEC,DATOS!$E8538,nASIG,DATOS!$I8538,nEVAL,"EX")=0),0))))</f>
      </c>
      <c r="H8538">
        <f>IF(DATOS!$G8538&lt;&gt;"EX",0,--(COUNTIFS(nNIA,DATOS!$A8538,nCURSO,DATOS!$D8538,nESPEC,DATOS!$E8538,nASIG,DATOS!$I8538,nEVAL,"OR")=0))</f>
      </c>
      <c r="I8538">
        <f>IF(DATOS!$I8538="","",IFERROR(VLOOKUP(DATOS!$I8538,CONFIG_ASIGNATURAS!$B$2:$J$91,9,FALSE()),""))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IF(DATOS!$A8539="",0,IF(CONFIG_METADATA!$B$4&lt;&gt;"OR+EX",--(DATOS!$G8539=CONFIG_METADATA!$B$4),IF(DATOS!$G8539="EX",1,IF(DATOS!$G8539="OR",--(COUNTIFS(nNIA,DATOS!$A8539,nCURSO,DATOS!$D8539,nESPEC,DATOS!$E8539,nASIG,DATOS!$I8539,nEVAL,"EX")=0),0))))</f>
      </c>
      <c r="H8539">
        <f>IF(DATOS!$G8539&lt;&gt;"EX",0,--(COUNTIFS(nNIA,DATOS!$A8539,nCURSO,DATOS!$D8539,nESPEC,DATOS!$E8539,nASIG,DATOS!$I8539,nEVAL,"OR")=0))</f>
      </c>
      <c r="I8539">
        <f>IF(DATOS!$I8539="","",IFERROR(VLOOKUP(DATOS!$I8539,CONFIG_ASIGNATURAS!$B$2:$J$91,9,FALSE()),""))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IF(DATOS!$A8540="",0,IF(CONFIG_METADATA!$B$4&lt;&gt;"OR+EX",--(DATOS!$G8540=CONFIG_METADATA!$B$4),IF(DATOS!$G8540="EX",1,IF(DATOS!$G8540="OR",--(COUNTIFS(nNIA,DATOS!$A8540,nCURSO,DATOS!$D8540,nESPEC,DATOS!$E8540,nASIG,DATOS!$I8540,nEVAL,"EX")=0),0))))</f>
      </c>
      <c r="H8540">
        <f>IF(DATOS!$G8540&lt;&gt;"EX",0,--(COUNTIFS(nNIA,DATOS!$A8540,nCURSO,DATOS!$D8540,nESPEC,DATOS!$E8540,nASIG,DATOS!$I8540,nEVAL,"OR")=0))</f>
      </c>
      <c r="I8540">
        <f>IF(DATOS!$I8540="","",IFERROR(VLOOKUP(DATOS!$I8540,CONFIG_ASIGNATURAS!$B$2:$J$91,9,FALSE()),""))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IF(DATOS!$A8541="",0,IF(CONFIG_METADATA!$B$4&lt;&gt;"OR+EX",--(DATOS!$G8541=CONFIG_METADATA!$B$4),IF(DATOS!$G8541="EX",1,IF(DATOS!$G8541="OR",--(COUNTIFS(nNIA,DATOS!$A8541,nCURSO,DATOS!$D8541,nESPEC,DATOS!$E8541,nASIG,DATOS!$I8541,nEVAL,"EX")=0),0))))</f>
      </c>
      <c r="H8541">
        <f>IF(DATOS!$G8541&lt;&gt;"EX",0,--(COUNTIFS(nNIA,DATOS!$A8541,nCURSO,DATOS!$D8541,nESPEC,DATOS!$E8541,nASIG,DATOS!$I8541,nEVAL,"OR")=0))</f>
      </c>
      <c r="I8541">
        <f>IF(DATOS!$I8541="","",IFERROR(VLOOKUP(DATOS!$I8541,CONFIG_ASIGNATURAS!$B$2:$J$91,9,FALSE()),""))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IF(DATOS!$A8542="",0,IF(CONFIG_METADATA!$B$4&lt;&gt;"OR+EX",--(DATOS!$G8542=CONFIG_METADATA!$B$4),IF(DATOS!$G8542="EX",1,IF(DATOS!$G8542="OR",--(COUNTIFS(nNIA,DATOS!$A8542,nCURSO,DATOS!$D8542,nESPEC,DATOS!$E8542,nASIG,DATOS!$I8542,nEVAL,"EX")=0),0))))</f>
      </c>
      <c r="H8542">
        <f>IF(DATOS!$G8542&lt;&gt;"EX",0,--(COUNTIFS(nNIA,DATOS!$A8542,nCURSO,DATOS!$D8542,nESPEC,DATOS!$E8542,nASIG,DATOS!$I8542,nEVAL,"OR")=0))</f>
      </c>
      <c r="I8542">
        <f>IF(DATOS!$I8542="","",IFERROR(VLOOKUP(DATOS!$I8542,CONFIG_ASIGNATURAS!$B$2:$J$91,9,FALSE()),""))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IF(DATOS!$A8543="",0,IF(CONFIG_METADATA!$B$4&lt;&gt;"OR+EX",--(DATOS!$G8543=CONFIG_METADATA!$B$4),IF(DATOS!$G8543="EX",1,IF(DATOS!$G8543="OR",--(COUNTIFS(nNIA,DATOS!$A8543,nCURSO,DATOS!$D8543,nESPEC,DATOS!$E8543,nASIG,DATOS!$I8543,nEVAL,"EX")=0),0))))</f>
      </c>
      <c r="H8543">
        <f>IF(DATOS!$G8543&lt;&gt;"EX",0,--(COUNTIFS(nNIA,DATOS!$A8543,nCURSO,DATOS!$D8543,nESPEC,DATOS!$E8543,nASIG,DATOS!$I8543,nEVAL,"OR")=0))</f>
      </c>
      <c r="I8543">
        <f>IF(DATOS!$I8543="","",IFERROR(VLOOKUP(DATOS!$I8543,CONFIG_ASIGNATURAS!$B$2:$J$91,9,FALSE()),""))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IF(DATOS!$A8544="",0,IF(CONFIG_METADATA!$B$4&lt;&gt;"OR+EX",--(DATOS!$G8544=CONFIG_METADATA!$B$4),IF(DATOS!$G8544="EX",1,IF(DATOS!$G8544="OR",--(COUNTIFS(nNIA,DATOS!$A8544,nCURSO,DATOS!$D8544,nESPEC,DATOS!$E8544,nASIG,DATOS!$I8544,nEVAL,"EX")=0),0))))</f>
      </c>
      <c r="H8544">
        <f>IF(DATOS!$G8544&lt;&gt;"EX",0,--(COUNTIFS(nNIA,DATOS!$A8544,nCURSO,DATOS!$D8544,nESPEC,DATOS!$E8544,nASIG,DATOS!$I8544,nEVAL,"OR")=0))</f>
      </c>
      <c r="I8544">
        <f>IF(DATOS!$I8544="","",IFERROR(VLOOKUP(DATOS!$I8544,CONFIG_ASIGNATURAS!$B$2:$J$91,9,FALSE()),""))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IF(DATOS!$A8545="",0,IF(CONFIG_METADATA!$B$4&lt;&gt;"OR+EX",--(DATOS!$G8545=CONFIG_METADATA!$B$4),IF(DATOS!$G8545="EX",1,IF(DATOS!$G8545="OR",--(COUNTIFS(nNIA,DATOS!$A8545,nCURSO,DATOS!$D8545,nESPEC,DATOS!$E8545,nASIG,DATOS!$I8545,nEVAL,"EX")=0),0))))</f>
      </c>
      <c r="H8545">
        <f>IF(DATOS!$G8545&lt;&gt;"EX",0,--(COUNTIFS(nNIA,DATOS!$A8545,nCURSO,DATOS!$D8545,nESPEC,DATOS!$E8545,nASIG,DATOS!$I8545,nEVAL,"OR")=0))</f>
      </c>
      <c r="I8545">
        <f>IF(DATOS!$I8545="","",IFERROR(VLOOKUP(DATOS!$I8545,CONFIG_ASIGNATURAS!$B$2:$J$91,9,FALSE()),""))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IF(DATOS!$A8546="",0,IF(CONFIG_METADATA!$B$4&lt;&gt;"OR+EX",--(DATOS!$G8546=CONFIG_METADATA!$B$4),IF(DATOS!$G8546="EX",1,IF(DATOS!$G8546="OR",--(COUNTIFS(nNIA,DATOS!$A8546,nCURSO,DATOS!$D8546,nESPEC,DATOS!$E8546,nASIG,DATOS!$I8546,nEVAL,"EX")=0),0))))</f>
      </c>
      <c r="H8546">
        <f>IF(DATOS!$G8546&lt;&gt;"EX",0,--(COUNTIFS(nNIA,DATOS!$A8546,nCURSO,DATOS!$D8546,nESPEC,DATOS!$E8546,nASIG,DATOS!$I8546,nEVAL,"OR")=0))</f>
      </c>
      <c r="I8546">
        <f>IF(DATOS!$I8546="","",IFERROR(VLOOKUP(DATOS!$I8546,CONFIG_ASIGNATURAS!$B$2:$J$91,9,FALSE()),""))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IF(DATOS!$A8547="",0,IF(CONFIG_METADATA!$B$4&lt;&gt;"OR+EX",--(DATOS!$G8547=CONFIG_METADATA!$B$4),IF(DATOS!$G8547="EX",1,IF(DATOS!$G8547="OR",--(COUNTIFS(nNIA,DATOS!$A8547,nCURSO,DATOS!$D8547,nESPEC,DATOS!$E8547,nASIG,DATOS!$I8547,nEVAL,"EX")=0),0))))</f>
      </c>
      <c r="H8547">
        <f>IF(DATOS!$G8547&lt;&gt;"EX",0,--(COUNTIFS(nNIA,DATOS!$A8547,nCURSO,DATOS!$D8547,nESPEC,DATOS!$E8547,nASIG,DATOS!$I8547,nEVAL,"OR")=0))</f>
      </c>
      <c r="I8547">
        <f>IF(DATOS!$I8547="","",IFERROR(VLOOKUP(DATOS!$I8547,CONFIG_ASIGNATURAS!$B$2:$J$91,9,FALSE()),""))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IF(DATOS!$A8548="",0,IF(CONFIG_METADATA!$B$4&lt;&gt;"OR+EX",--(DATOS!$G8548=CONFIG_METADATA!$B$4),IF(DATOS!$G8548="EX",1,IF(DATOS!$G8548="OR",--(COUNTIFS(nNIA,DATOS!$A8548,nCURSO,DATOS!$D8548,nESPEC,DATOS!$E8548,nASIG,DATOS!$I8548,nEVAL,"EX")=0),0))))</f>
      </c>
      <c r="H8548">
        <f>IF(DATOS!$G8548&lt;&gt;"EX",0,--(COUNTIFS(nNIA,DATOS!$A8548,nCURSO,DATOS!$D8548,nESPEC,DATOS!$E8548,nASIG,DATOS!$I8548,nEVAL,"OR")=0))</f>
      </c>
      <c r="I8548">
        <f>IF(DATOS!$I8548="","",IFERROR(VLOOKUP(DATOS!$I8548,CONFIG_ASIGNATURAS!$B$2:$J$91,9,FALSE()),""))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IF(DATOS!$A8549="",0,IF(CONFIG_METADATA!$B$4&lt;&gt;"OR+EX",--(DATOS!$G8549=CONFIG_METADATA!$B$4),IF(DATOS!$G8549="EX",1,IF(DATOS!$G8549="OR",--(COUNTIFS(nNIA,DATOS!$A8549,nCURSO,DATOS!$D8549,nESPEC,DATOS!$E8549,nASIG,DATOS!$I8549,nEVAL,"EX")=0),0))))</f>
      </c>
      <c r="H8549">
        <f>IF(DATOS!$G8549&lt;&gt;"EX",0,--(COUNTIFS(nNIA,DATOS!$A8549,nCURSO,DATOS!$D8549,nESPEC,DATOS!$E8549,nASIG,DATOS!$I8549,nEVAL,"OR")=0))</f>
      </c>
      <c r="I8549">
        <f>IF(DATOS!$I8549="","",IFERROR(VLOOKUP(DATOS!$I8549,CONFIG_ASIGNATURAS!$B$2:$J$91,9,FALSE()),""))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IF(DATOS!$A8550="",0,IF(CONFIG_METADATA!$B$4&lt;&gt;"OR+EX",--(DATOS!$G8550=CONFIG_METADATA!$B$4),IF(DATOS!$G8550="EX",1,IF(DATOS!$G8550="OR",--(COUNTIFS(nNIA,DATOS!$A8550,nCURSO,DATOS!$D8550,nESPEC,DATOS!$E8550,nASIG,DATOS!$I8550,nEVAL,"EX")=0),0))))</f>
      </c>
      <c r="H8550">
        <f>IF(DATOS!$G8550&lt;&gt;"EX",0,--(COUNTIFS(nNIA,DATOS!$A8550,nCURSO,DATOS!$D8550,nESPEC,DATOS!$E8550,nASIG,DATOS!$I8550,nEVAL,"OR")=0))</f>
      </c>
      <c r="I8550">
        <f>IF(DATOS!$I8550="","",IFERROR(VLOOKUP(DATOS!$I8550,CONFIG_ASIGNATURAS!$B$2:$J$91,9,FALSE()),""))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IF(DATOS!$A8551="",0,IF(CONFIG_METADATA!$B$4&lt;&gt;"OR+EX",--(DATOS!$G8551=CONFIG_METADATA!$B$4),IF(DATOS!$G8551="EX",1,IF(DATOS!$G8551="OR",--(COUNTIFS(nNIA,DATOS!$A8551,nCURSO,DATOS!$D8551,nESPEC,DATOS!$E8551,nASIG,DATOS!$I8551,nEVAL,"EX")=0),0))))</f>
      </c>
      <c r="H8551">
        <f>IF(DATOS!$G8551&lt;&gt;"EX",0,--(COUNTIFS(nNIA,DATOS!$A8551,nCURSO,DATOS!$D8551,nESPEC,DATOS!$E8551,nASIG,DATOS!$I8551,nEVAL,"OR")=0))</f>
      </c>
      <c r="I8551">
        <f>IF(DATOS!$I8551="","",IFERROR(VLOOKUP(DATOS!$I8551,CONFIG_ASIGNATURAS!$B$2:$J$91,9,FALSE()),""))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IF(DATOS!$A8552="",0,IF(CONFIG_METADATA!$B$4&lt;&gt;"OR+EX",--(DATOS!$G8552=CONFIG_METADATA!$B$4),IF(DATOS!$G8552="EX",1,IF(DATOS!$G8552="OR",--(COUNTIFS(nNIA,DATOS!$A8552,nCURSO,DATOS!$D8552,nESPEC,DATOS!$E8552,nASIG,DATOS!$I8552,nEVAL,"EX")=0),0))))</f>
      </c>
      <c r="H8552">
        <f>IF(DATOS!$G8552&lt;&gt;"EX",0,--(COUNTIFS(nNIA,DATOS!$A8552,nCURSO,DATOS!$D8552,nESPEC,DATOS!$E8552,nASIG,DATOS!$I8552,nEVAL,"OR")=0))</f>
      </c>
      <c r="I8552">
        <f>IF(DATOS!$I8552="","",IFERROR(VLOOKUP(DATOS!$I8552,CONFIG_ASIGNATURAS!$B$2:$J$91,9,FALSE()),""))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IF(DATOS!$A8553="",0,IF(CONFIG_METADATA!$B$4&lt;&gt;"OR+EX",--(DATOS!$G8553=CONFIG_METADATA!$B$4),IF(DATOS!$G8553="EX",1,IF(DATOS!$G8553="OR",--(COUNTIFS(nNIA,DATOS!$A8553,nCURSO,DATOS!$D8553,nESPEC,DATOS!$E8553,nASIG,DATOS!$I8553,nEVAL,"EX")=0),0))))</f>
      </c>
      <c r="H8553">
        <f>IF(DATOS!$G8553&lt;&gt;"EX",0,--(COUNTIFS(nNIA,DATOS!$A8553,nCURSO,DATOS!$D8553,nESPEC,DATOS!$E8553,nASIG,DATOS!$I8553,nEVAL,"OR")=0))</f>
      </c>
      <c r="I8553">
        <f>IF(DATOS!$I8553="","",IFERROR(VLOOKUP(DATOS!$I8553,CONFIG_ASIGNATURAS!$B$2:$J$91,9,FALSE()),""))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IF(DATOS!$A8554="",0,IF(CONFIG_METADATA!$B$4&lt;&gt;"OR+EX",--(DATOS!$G8554=CONFIG_METADATA!$B$4),IF(DATOS!$G8554="EX",1,IF(DATOS!$G8554="OR",--(COUNTIFS(nNIA,DATOS!$A8554,nCURSO,DATOS!$D8554,nESPEC,DATOS!$E8554,nASIG,DATOS!$I8554,nEVAL,"EX")=0),0))))</f>
      </c>
      <c r="H8554">
        <f>IF(DATOS!$G8554&lt;&gt;"EX",0,--(COUNTIFS(nNIA,DATOS!$A8554,nCURSO,DATOS!$D8554,nESPEC,DATOS!$E8554,nASIG,DATOS!$I8554,nEVAL,"OR")=0))</f>
      </c>
      <c r="I8554">
        <f>IF(DATOS!$I8554="","",IFERROR(VLOOKUP(DATOS!$I8554,CONFIG_ASIGNATURAS!$B$2:$J$91,9,FALSE()),""))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IF(DATOS!$A8555="",0,IF(CONFIG_METADATA!$B$4&lt;&gt;"OR+EX",--(DATOS!$G8555=CONFIG_METADATA!$B$4),IF(DATOS!$G8555="EX",1,IF(DATOS!$G8555="OR",--(COUNTIFS(nNIA,DATOS!$A8555,nCURSO,DATOS!$D8555,nESPEC,DATOS!$E8555,nASIG,DATOS!$I8555,nEVAL,"EX")=0),0))))</f>
      </c>
      <c r="H8555">
        <f>IF(DATOS!$G8555&lt;&gt;"EX",0,--(COUNTIFS(nNIA,DATOS!$A8555,nCURSO,DATOS!$D8555,nESPEC,DATOS!$E8555,nASIG,DATOS!$I8555,nEVAL,"OR")=0))</f>
      </c>
      <c r="I8555">
        <f>IF(DATOS!$I8555="","",IFERROR(VLOOKUP(DATOS!$I8555,CONFIG_ASIGNATURAS!$B$2:$J$91,9,FALSE()),""))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IF(DATOS!$A8556="",0,IF(CONFIG_METADATA!$B$4&lt;&gt;"OR+EX",--(DATOS!$G8556=CONFIG_METADATA!$B$4),IF(DATOS!$G8556="EX",1,IF(DATOS!$G8556="OR",--(COUNTIFS(nNIA,DATOS!$A8556,nCURSO,DATOS!$D8556,nESPEC,DATOS!$E8556,nASIG,DATOS!$I8556,nEVAL,"EX")=0),0))))</f>
      </c>
      <c r="H8556">
        <f>IF(DATOS!$G8556&lt;&gt;"EX",0,--(COUNTIFS(nNIA,DATOS!$A8556,nCURSO,DATOS!$D8556,nESPEC,DATOS!$E8556,nASIG,DATOS!$I8556,nEVAL,"OR")=0))</f>
      </c>
      <c r="I8556">
        <f>IF(DATOS!$I8556="","",IFERROR(VLOOKUP(DATOS!$I8556,CONFIG_ASIGNATURAS!$B$2:$J$91,9,FALSE()),""))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IF(DATOS!$A8557="",0,IF(CONFIG_METADATA!$B$4&lt;&gt;"OR+EX",--(DATOS!$G8557=CONFIG_METADATA!$B$4),IF(DATOS!$G8557="EX",1,IF(DATOS!$G8557="OR",--(COUNTIFS(nNIA,DATOS!$A8557,nCURSO,DATOS!$D8557,nESPEC,DATOS!$E8557,nASIG,DATOS!$I8557,nEVAL,"EX")=0),0))))</f>
      </c>
      <c r="H8557">
        <f>IF(DATOS!$G8557&lt;&gt;"EX",0,--(COUNTIFS(nNIA,DATOS!$A8557,nCURSO,DATOS!$D8557,nESPEC,DATOS!$E8557,nASIG,DATOS!$I8557,nEVAL,"OR")=0))</f>
      </c>
      <c r="I8557">
        <f>IF(DATOS!$I8557="","",IFERROR(VLOOKUP(DATOS!$I8557,CONFIG_ASIGNATURAS!$B$2:$J$91,9,FALSE()),""))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IF(DATOS!$A8558="",0,IF(CONFIG_METADATA!$B$4&lt;&gt;"OR+EX",--(DATOS!$G8558=CONFIG_METADATA!$B$4),IF(DATOS!$G8558="EX",1,IF(DATOS!$G8558="OR",--(COUNTIFS(nNIA,DATOS!$A8558,nCURSO,DATOS!$D8558,nESPEC,DATOS!$E8558,nASIG,DATOS!$I8558,nEVAL,"EX")=0),0))))</f>
      </c>
      <c r="H8558">
        <f>IF(DATOS!$G8558&lt;&gt;"EX",0,--(COUNTIFS(nNIA,DATOS!$A8558,nCURSO,DATOS!$D8558,nESPEC,DATOS!$E8558,nASIG,DATOS!$I8558,nEVAL,"OR")=0))</f>
      </c>
      <c r="I8558">
        <f>IF(DATOS!$I8558="","",IFERROR(VLOOKUP(DATOS!$I8558,CONFIG_ASIGNATURAS!$B$2:$J$91,9,FALSE()),""))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IF(DATOS!$A8559="",0,IF(CONFIG_METADATA!$B$4&lt;&gt;"OR+EX",--(DATOS!$G8559=CONFIG_METADATA!$B$4),IF(DATOS!$G8559="EX",1,IF(DATOS!$G8559="OR",--(COUNTIFS(nNIA,DATOS!$A8559,nCURSO,DATOS!$D8559,nESPEC,DATOS!$E8559,nASIG,DATOS!$I8559,nEVAL,"EX")=0),0))))</f>
      </c>
      <c r="H8559">
        <f>IF(DATOS!$G8559&lt;&gt;"EX",0,--(COUNTIFS(nNIA,DATOS!$A8559,nCURSO,DATOS!$D8559,nESPEC,DATOS!$E8559,nASIG,DATOS!$I8559,nEVAL,"OR")=0))</f>
      </c>
      <c r="I8559">
        <f>IF(DATOS!$I8559="","",IFERROR(VLOOKUP(DATOS!$I8559,CONFIG_ASIGNATURAS!$B$2:$J$91,9,FALSE()),""))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IF(DATOS!$A8560="",0,IF(CONFIG_METADATA!$B$4&lt;&gt;"OR+EX",--(DATOS!$G8560=CONFIG_METADATA!$B$4),IF(DATOS!$G8560="EX",1,IF(DATOS!$G8560="OR",--(COUNTIFS(nNIA,DATOS!$A8560,nCURSO,DATOS!$D8560,nESPEC,DATOS!$E8560,nASIG,DATOS!$I8560,nEVAL,"EX")=0),0))))</f>
      </c>
      <c r="H8560">
        <f>IF(DATOS!$G8560&lt;&gt;"EX",0,--(COUNTIFS(nNIA,DATOS!$A8560,nCURSO,DATOS!$D8560,nESPEC,DATOS!$E8560,nASIG,DATOS!$I8560,nEVAL,"OR")=0))</f>
      </c>
      <c r="I8560">
        <f>IF(DATOS!$I8560="","",IFERROR(VLOOKUP(DATOS!$I8560,CONFIG_ASIGNATURAS!$B$2:$J$91,9,FALSE()),""))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IF(DATOS!$A8561="",0,IF(CONFIG_METADATA!$B$4&lt;&gt;"OR+EX",--(DATOS!$G8561=CONFIG_METADATA!$B$4),IF(DATOS!$G8561="EX",1,IF(DATOS!$G8561="OR",--(COUNTIFS(nNIA,DATOS!$A8561,nCURSO,DATOS!$D8561,nESPEC,DATOS!$E8561,nASIG,DATOS!$I8561,nEVAL,"EX")=0),0))))</f>
      </c>
      <c r="H8561">
        <f>IF(DATOS!$G8561&lt;&gt;"EX",0,--(COUNTIFS(nNIA,DATOS!$A8561,nCURSO,DATOS!$D8561,nESPEC,DATOS!$E8561,nASIG,DATOS!$I8561,nEVAL,"OR")=0))</f>
      </c>
      <c r="I8561">
        <f>IF(DATOS!$I8561="","",IFERROR(VLOOKUP(DATOS!$I8561,CONFIG_ASIGNATURAS!$B$2:$J$91,9,FALSE()),""))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IF(DATOS!$A8562="",0,IF(CONFIG_METADATA!$B$4&lt;&gt;"OR+EX",--(DATOS!$G8562=CONFIG_METADATA!$B$4),IF(DATOS!$G8562="EX",1,IF(DATOS!$G8562="OR",--(COUNTIFS(nNIA,DATOS!$A8562,nCURSO,DATOS!$D8562,nESPEC,DATOS!$E8562,nASIG,DATOS!$I8562,nEVAL,"EX")=0),0))))</f>
      </c>
      <c r="H8562">
        <f>IF(DATOS!$G8562&lt;&gt;"EX",0,--(COUNTIFS(nNIA,DATOS!$A8562,nCURSO,DATOS!$D8562,nESPEC,DATOS!$E8562,nASIG,DATOS!$I8562,nEVAL,"OR")=0))</f>
      </c>
      <c r="I8562">
        <f>IF(DATOS!$I8562="","",IFERROR(VLOOKUP(DATOS!$I8562,CONFIG_ASIGNATURAS!$B$2:$J$91,9,FALSE()),""))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IF(DATOS!$A8563="",0,IF(CONFIG_METADATA!$B$4&lt;&gt;"OR+EX",--(DATOS!$G8563=CONFIG_METADATA!$B$4),IF(DATOS!$G8563="EX",1,IF(DATOS!$G8563="OR",--(COUNTIFS(nNIA,DATOS!$A8563,nCURSO,DATOS!$D8563,nESPEC,DATOS!$E8563,nASIG,DATOS!$I8563,nEVAL,"EX")=0),0))))</f>
      </c>
      <c r="H8563">
        <f>IF(DATOS!$G8563&lt;&gt;"EX",0,--(COUNTIFS(nNIA,DATOS!$A8563,nCURSO,DATOS!$D8563,nESPEC,DATOS!$E8563,nASIG,DATOS!$I8563,nEVAL,"OR")=0))</f>
      </c>
      <c r="I8563">
        <f>IF(DATOS!$I8563="","",IFERROR(VLOOKUP(DATOS!$I8563,CONFIG_ASIGNATURAS!$B$2:$J$91,9,FALSE()),""))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IF(DATOS!$A8564="",0,IF(CONFIG_METADATA!$B$4&lt;&gt;"OR+EX",--(DATOS!$G8564=CONFIG_METADATA!$B$4),IF(DATOS!$G8564="EX",1,IF(DATOS!$G8564="OR",--(COUNTIFS(nNIA,DATOS!$A8564,nCURSO,DATOS!$D8564,nESPEC,DATOS!$E8564,nASIG,DATOS!$I8564,nEVAL,"EX")=0),0))))</f>
      </c>
      <c r="H8564">
        <f>IF(DATOS!$G8564&lt;&gt;"EX",0,--(COUNTIFS(nNIA,DATOS!$A8564,nCURSO,DATOS!$D8564,nESPEC,DATOS!$E8564,nASIG,DATOS!$I8564,nEVAL,"OR")=0))</f>
      </c>
      <c r="I8564">
        <f>IF(DATOS!$I8564="","",IFERROR(VLOOKUP(DATOS!$I8564,CONFIG_ASIGNATURAS!$B$2:$J$91,9,FALSE()),""))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IF(DATOS!$A8565="",0,IF(CONFIG_METADATA!$B$4&lt;&gt;"OR+EX",--(DATOS!$G8565=CONFIG_METADATA!$B$4),IF(DATOS!$G8565="EX",1,IF(DATOS!$G8565="OR",--(COUNTIFS(nNIA,DATOS!$A8565,nCURSO,DATOS!$D8565,nESPEC,DATOS!$E8565,nASIG,DATOS!$I8565,nEVAL,"EX")=0),0))))</f>
      </c>
      <c r="H8565">
        <f>IF(DATOS!$G8565&lt;&gt;"EX",0,--(COUNTIFS(nNIA,DATOS!$A8565,nCURSO,DATOS!$D8565,nESPEC,DATOS!$E8565,nASIG,DATOS!$I8565,nEVAL,"OR")=0))</f>
      </c>
      <c r="I8565">
        <f>IF(DATOS!$I8565="","",IFERROR(VLOOKUP(DATOS!$I8565,CONFIG_ASIGNATURAS!$B$2:$J$91,9,FALSE()),""))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IF(DATOS!$A8566="",0,IF(CONFIG_METADATA!$B$4&lt;&gt;"OR+EX",--(DATOS!$G8566=CONFIG_METADATA!$B$4),IF(DATOS!$G8566="EX",1,IF(DATOS!$G8566="OR",--(COUNTIFS(nNIA,DATOS!$A8566,nCURSO,DATOS!$D8566,nESPEC,DATOS!$E8566,nASIG,DATOS!$I8566,nEVAL,"EX")=0),0))))</f>
      </c>
      <c r="H8566">
        <f>IF(DATOS!$G8566&lt;&gt;"EX",0,--(COUNTIFS(nNIA,DATOS!$A8566,nCURSO,DATOS!$D8566,nESPEC,DATOS!$E8566,nASIG,DATOS!$I8566,nEVAL,"OR")=0))</f>
      </c>
      <c r="I8566">
        <f>IF(DATOS!$I8566="","",IFERROR(VLOOKUP(DATOS!$I8566,CONFIG_ASIGNATURAS!$B$2:$J$91,9,FALSE()),""))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IF(DATOS!$A8567="",0,IF(CONFIG_METADATA!$B$4&lt;&gt;"OR+EX",--(DATOS!$G8567=CONFIG_METADATA!$B$4),IF(DATOS!$G8567="EX",1,IF(DATOS!$G8567="OR",--(COUNTIFS(nNIA,DATOS!$A8567,nCURSO,DATOS!$D8567,nESPEC,DATOS!$E8567,nASIG,DATOS!$I8567,nEVAL,"EX")=0),0))))</f>
      </c>
      <c r="H8567">
        <f>IF(DATOS!$G8567&lt;&gt;"EX",0,--(COUNTIFS(nNIA,DATOS!$A8567,nCURSO,DATOS!$D8567,nESPEC,DATOS!$E8567,nASIG,DATOS!$I8567,nEVAL,"OR")=0))</f>
      </c>
      <c r="I8567">
        <f>IF(DATOS!$I8567="","",IFERROR(VLOOKUP(DATOS!$I8567,CONFIG_ASIGNATURAS!$B$2:$J$91,9,FALSE()),""))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IF(DATOS!$A8568="",0,IF(CONFIG_METADATA!$B$4&lt;&gt;"OR+EX",--(DATOS!$G8568=CONFIG_METADATA!$B$4),IF(DATOS!$G8568="EX",1,IF(DATOS!$G8568="OR",--(COUNTIFS(nNIA,DATOS!$A8568,nCURSO,DATOS!$D8568,nESPEC,DATOS!$E8568,nASIG,DATOS!$I8568,nEVAL,"EX")=0),0))))</f>
      </c>
      <c r="H8568">
        <f>IF(DATOS!$G8568&lt;&gt;"EX",0,--(COUNTIFS(nNIA,DATOS!$A8568,nCURSO,DATOS!$D8568,nESPEC,DATOS!$E8568,nASIG,DATOS!$I8568,nEVAL,"OR")=0))</f>
      </c>
      <c r="I8568">
        <f>IF(DATOS!$I8568="","",IFERROR(VLOOKUP(DATOS!$I8568,CONFIG_ASIGNATURAS!$B$2:$J$91,9,FALSE()),""))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IF(DATOS!$A8569="",0,IF(CONFIG_METADATA!$B$4&lt;&gt;"OR+EX",--(DATOS!$G8569=CONFIG_METADATA!$B$4),IF(DATOS!$G8569="EX",1,IF(DATOS!$G8569="OR",--(COUNTIFS(nNIA,DATOS!$A8569,nCURSO,DATOS!$D8569,nESPEC,DATOS!$E8569,nASIG,DATOS!$I8569,nEVAL,"EX")=0),0))))</f>
      </c>
      <c r="H8569">
        <f>IF(DATOS!$G8569&lt;&gt;"EX",0,--(COUNTIFS(nNIA,DATOS!$A8569,nCURSO,DATOS!$D8569,nESPEC,DATOS!$E8569,nASIG,DATOS!$I8569,nEVAL,"OR")=0))</f>
      </c>
      <c r="I8569">
        <f>IF(DATOS!$I8569="","",IFERROR(VLOOKUP(DATOS!$I8569,CONFIG_ASIGNATURAS!$B$2:$J$91,9,FALSE()),""))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IF(DATOS!$A8570="",0,IF(CONFIG_METADATA!$B$4&lt;&gt;"OR+EX",--(DATOS!$G8570=CONFIG_METADATA!$B$4),IF(DATOS!$G8570="EX",1,IF(DATOS!$G8570="OR",--(COUNTIFS(nNIA,DATOS!$A8570,nCURSO,DATOS!$D8570,nESPEC,DATOS!$E8570,nASIG,DATOS!$I8570,nEVAL,"EX")=0),0))))</f>
      </c>
      <c r="H8570">
        <f>IF(DATOS!$G8570&lt;&gt;"EX",0,--(COUNTIFS(nNIA,DATOS!$A8570,nCURSO,DATOS!$D8570,nESPEC,DATOS!$E8570,nASIG,DATOS!$I8570,nEVAL,"OR")=0))</f>
      </c>
      <c r="I8570">
        <f>IF(DATOS!$I8570="","",IFERROR(VLOOKUP(DATOS!$I8570,CONFIG_ASIGNATURAS!$B$2:$J$91,9,FALSE()),""))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IF(DATOS!$A8571="",0,IF(CONFIG_METADATA!$B$4&lt;&gt;"OR+EX",--(DATOS!$G8571=CONFIG_METADATA!$B$4),IF(DATOS!$G8571="EX",1,IF(DATOS!$G8571="OR",--(COUNTIFS(nNIA,DATOS!$A8571,nCURSO,DATOS!$D8571,nESPEC,DATOS!$E8571,nASIG,DATOS!$I8571,nEVAL,"EX")=0),0))))</f>
      </c>
      <c r="H8571">
        <f>IF(DATOS!$G8571&lt;&gt;"EX",0,--(COUNTIFS(nNIA,DATOS!$A8571,nCURSO,DATOS!$D8571,nESPEC,DATOS!$E8571,nASIG,DATOS!$I8571,nEVAL,"OR")=0))</f>
      </c>
      <c r="I8571">
        <f>IF(DATOS!$I8571="","",IFERROR(VLOOKUP(DATOS!$I8571,CONFIG_ASIGNATURAS!$B$2:$J$91,9,FALSE()),""))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IF(DATOS!$A8572="",0,IF(CONFIG_METADATA!$B$4&lt;&gt;"OR+EX",--(DATOS!$G8572=CONFIG_METADATA!$B$4),IF(DATOS!$G8572="EX",1,IF(DATOS!$G8572="OR",--(COUNTIFS(nNIA,DATOS!$A8572,nCURSO,DATOS!$D8572,nESPEC,DATOS!$E8572,nASIG,DATOS!$I8572,nEVAL,"EX")=0),0))))</f>
      </c>
      <c r="H8572">
        <f>IF(DATOS!$G8572&lt;&gt;"EX",0,--(COUNTIFS(nNIA,DATOS!$A8572,nCURSO,DATOS!$D8572,nESPEC,DATOS!$E8572,nASIG,DATOS!$I8572,nEVAL,"OR")=0))</f>
      </c>
      <c r="I8572">
        <f>IF(DATOS!$I8572="","",IFERROR(VLOOKUP(DATOS!$I8572,CONFIG_ASIGNATURAS!$B$2:$J$91,9,FALSE()),""))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IF(DATOS!$A8573="",0,IF(CONFIG_METADATA!$B$4&lt;&gt;"OR+EX",--(DATOS!$G8573=CONFIG_METADATA!$B$4),IF(DATOS!$G8573="EX",1,IF(DATOS!$G8573="OR",--(COUNTIFS(nNIA,DATOS!$A8573,nCURSO,DATOS!$D8573,nESPEC,DATOS!$E8573,nASIG,DATOS!$I8573,nEVAL,"EX")=0),0))))</f>
      </c>
      <c r="H8573">
        <f>IF(DATOS!$G8573&lt;&gt;"EX",0,--(COUNTIFS(nNIA,DATOS!$A8573,nCURSO,DATOS!$D8573,nESPEC,DATOS!$E8573,nASIG,DATOS!$I8573,nEVAL,"OR")=0))</f>
      </c>
      <c r="I8573">
        <f>IF(DATOS!$I8573="","",IFERROR(VLOOKUP(DATOS!$I8573,CONFIG_ASIGNATURAS!$B$2:$J$91,9,FALSE()),""))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IF(DATOS!$A8574="",0,IF(CONFIG_METADATA!$B$4&lt;&gt;"OR+EX",--(DATOS!$G8574=CONFIG_METADATA!$B$4),IF(DATOS!$G8574="EX",1,IF(DATOS!$G8574="OR",--(COUNTIFS(nNIA,DATOS!$A8574,nCURSO,DATOS!$D8574,nESPEC,DATOS!$E8574,nASIG,DATOS!$I8574,nEVAL,"EX")=0),0))))</f>
      </c>
      <c r="H8574">
        <f>IF(DATOS!$G8574&lt;&gt;"EX",0,--(COUNTIFS(nNIA,DATOS!$A8574,nCURSO,DATOS!$D8574,nESPEC,DATOS!$E8574,nASIG,DATOS!$I8574,nEVAL,"OR")=0))</f>
      </c>
      <c r="I8574">
        <f>IF(DATOS!$I8574="","",IFERROR(VLOOKUP(DATOS!$I8574,CONFIG_ASIGNATURAS!$B$2:$J$91,9,FALSE()),""))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IF(DATOS!$A8575="",0,IF(CONFIG_METADATA!$B$4&lt;&gt;"OR+EX",--(DATOS!$G8575=CONFIG_METADATA!$B$4),IF(DATOS!$G8575="EX",1,IF(DATOS!$G8575="OR",--(COUNTIFS(nNIA,DATOS!$A8575,nCURSO,DATOS!$D8575,nESPEC,DATOS!$E8575,nASIG,DATOS!$I8575,nEVAL,"EX")=0),0))))</f>
      </c>
      <c r="H8575">
        <f>IF(DATOS!$G8575&lt;&gt;"EX",0,--(COUNTIFS(nNIA,DATOS!$A8575,nCURSO,DATOS!$D8575,nESPEC,DATOS!$E8575,nASIG,DATOS!$I8575,nEVAL,"OR")=0))</f>
      </c>
      <c r="I8575">
        <f>IF(DATOS!$I8575="","",IFERROR(VLOOKUP(DATOS!$I8575,CONFIG_ASIGNATURAS!$B$2:$J$91,9,FALSE()),""))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IF(DATOS!$A8576="",0,IF(CONFIG_METADATA!$B$4&lt;&gt;"OR+EX",--(DATOS!$G8576=CONFIG_METADATA!$B$4),IF(DATOS!$G8576="EX",1,IF(DATOS!$G8576="OR",--(COUNTIFS(nNIA,DATOS!$A8576,nCURSO,DATOS!$D8576,nESPEC,DATOS!$E8576,nASIG,DATOS!$I8576,nEVAL,"EX")=0),0))))</f>
      </c>
      <c r="H8576">
        <f>IF(DATOS!$G8576&lt;&gt;"EX",0,--(COUNTIFS(nNIA,DATOS!$A8576,nCURSO,DATOS!$D8576,nESPEC,DATOS!$E8576,nASIG,DATOS!$I8576,nEVAL,"OR")=0))</f>
      </c>
      <c r="I8576">
        <f>IF(DATOS!$I8576="","",IFERROR(VLOOKUP(DATOS!$I8576,CONFIG_ASIGNATURAS!$B$2:$J$91,9,FALSE()),""))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IF(DATOS!$A8577="",0,IF(CONFIG_METADATA!$B$4&lt;&gt;"OR+EX",--(DATOS!$G8577=CONFIG_METADATA!$B$4),IF(DATOS!$G8577="EX",1,IF(DATOS!$G8577="OR",--(COUNTIFS(nNIA,DATOS!$A8577,nCURSO,DATOS!$D8577,nESPEC,DATOS!$E8577,nASIG,DATOS!$I8577,nEVAL,"EX")=0),0))))</f>
      </c>
      <c r="H8577">
        <f>IF(DATOS!$G8577&lt;&gt;"EX",0,--(COUNTIFS(nNIA,DATOS!$A8577,nCURSO,DATOS!$D8577,nESPEC,DATOS!$E8577,nASIG,DATOS!$I8577,nEVAL,"OR")=0))</f>
      </c>
      <c r="I8577">
        <f>IF(DATOS!$I8577="","",IFERROR(VLOOKUP(DATOS!$I8577,CONFIG_ASIGNATURAS!$B$2:$J$91,9,FALSE()),""))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IF(DATOS!$A8578="",0,IF(CONFIG_METADATA!$B$4&lt;&gt;"OR+EX",--(DATOS!$G8578=CONFIG_METADATA!$B$4),IF(DATOS!$G8578="EX",1,IF(DATOS!$G8578="OR",--(COUNTIFS(nNIA,DATOS!$A8578,nCURSO,DATOS!$D8578,nESPEC,DATOS!$E8578,nASIG,DATOS!$I8578,nEVAL,"EX")=0),0))))</f>
      </c>
      <c r="H8578">
        <f>IF(DATOS!$G8578&lt;&gt;"EX",0,--(COUNTIFS(nNIA,DATOS!$A8578,nCURSO,DATOS!$D8578,nESPEC,DATOS!$E8578,nASIG,DATOS!$I8578,nEVAL,"OR")=0))</f>
      </c>
      <c r="I8578">
        <f>IF(DATOS!$I8578="","",IFERROR(VLOOKUP(DATOS!$I8578,CONFIG_ASIGNATURAS!$B$2:$J$91,9,FALSE()),""))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IF(DATOS!$A8579="",0,IF(CONFIG_METADATA!$B$4&lt;&gt;"OR+EX",--(DATOS!$G8579=CONFIG_METADATA!$B$4),IF(DATOS!$G8579="EX",1,IF(DATOS!$G8579="OR",--(COUNTIFS(nNIA,DATOS!$A8579,nCURSO,DATOS!$D8579,nESPEC,DATOS!$E8579,nASIG,DATOS!$I8579,nEVAL,"EX")=0),0))))</f>
      </c>
      <c r="H8579">
        <f>IF(DATOS!$G8579&lt;&gt;"EX",0,--(COUNTIFS(nNIA,DATOS!$A8579,nCURSO,DATOS!$D8579,nESPEC,DATOS!$E8579,nASIG,DATOS!$I8579,nEVAL,"OR")=0))</f>
      </c>
      <c r="I8579">
        <f>IF(DATOS!$I8579="","",IFERROR(VLOOKUP(DATOS!$I8579,CONFIG_ASIGNATURAS!$B$2:$J$91,9,FALSE()),""))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IF(DATOS!$A8580="",0,IF(CONFIG_METADATA!$B$4&lt;&gt;"OR+EX",--(DATOS!$G8580=CONFIG_METADATA!$B$4),IF(DATOS!$G8580="EX",1,IF(DATOS!$G8580="OR",--(COUNTIFS(nNIA,DATOS!$A8580,nCURSO,DATOS!$D8580,nESPEC,DATOS!$E8580,nASIG,DATOS!$I8580,nEVAL,"EX")=0),0))))</f>
      </c>
      <c r="H8580">
        <f>IF(DATOS!$G8580&lt;&gt;"EX",0,--(COUNTIFS(nNIA,DATOS!$A8580,nCURSO,DATOS!$D8580,nESPEC,DATOS!$E8580,nASIG,DATOS!$I8580,nEVAL,"OR")=0))</f>
      </c>
      <c r="I8580">
        <f>IF(DATOS!$I8580="","",IFERROR(VLOOKUP(DATOS!$I8580,CONFIG_ASIGNATURAS!$B$2:$J$91,9,FALSE()),""))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IF(DATOS!$A8581="",0,IF(CONFIG_METADATA!$B$4&lt;&gt;"OR+EX",--(DATOS!$G8581=CONFIG_METADATA!$B$4),IF(DATOS!$G8581="EX",1,IF(DATOS!$G8581="OR",--(COUNTIFS(nNIA,DATOS!$A8581,nCURSO,DATOS!$D8581,nESPEC,DATOS!$E8581,nASIG,DATOS!$I8581,nEVAL,"EX")=0),0))))</f>
      </c>
      <c r="H8581">
        <f>IF(DATOS!$G8581&lt;&gt;"EX",0,--(COUNTIFS(nNIA,DATOS!$A8581,nCURSO,DATOS!$D8581,nESPEC,DATOS!$E8581,nASIG,DATOS!$I8581,nEVAL,"OR")=0))</f>
      </c>
      <c r="I8581">
        <f>IF(DATOS!$I8581="","",IFERROR(VLOOKUP(DATOS!$I8581,CONFIG_ASIGNATURAS!$B$2:$J$91,9,FALSE()),""))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IF(DATOS!$A8582="",0,IF(CONFIG_METADATA!$B$4&lt;&gt;"OR+EX",--(DATOS!$G8582=CONFIG_METADATA!$B$4),IF(DATOS!$G8582="EX",1,IF(DATOS!$G8582="OR",--(COUNTIFS(nNIA,DATOS!$A8582,nCURSO,DATOS!$D8582,nESPEC,DATOS!$E8582,nASIG,DATOS!$I8582,nEVAL,"EX")=0),0))))</f>
      </c>
      <c r="H8582">
        <f>IF(DATOS!$G8582&lt;&gt;"EX",0,--(COUNTIFS(nNIA,DATOS!$A8582,nCURSO,DATOS!$D8582,nESPEC,DATOS!$E8582,nASIG,DATOS!$I8582,nEVAL,"OR")=0))</f>
      </c>
      <c r="I8582">
        <f>IF(DATOS!$I8582="","",IFERROR(VLOOKUP(DATOS!$I8582,CONFIG_ASIGNATURAS!$B$2:$J$91,9,FALSE()),""))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IF(DATOS!$A8583="",0,IF(CONFIG_METADATA!$B$4&lt;&gt;"OR+EX",--(DATOS!$G8583=CONFIG_METADATA!$B$4),IF(DATOS!$G8583="EX",1,IF(DATOS!$G8583="OR",--(COUNTIFS(nNIA,DATOS!$A8583,nCURSO,DATOS!$D8583,nESPEC,DATOS!$E8583,nASIG,DATOS!$I8583,nEVAL,"EX")=0),0))))</f>
      </c>
      <c r="H8583">
        <f>IF(DATOS!$G8583&lt;&gt;"EX",0,--(COUNTIFS(nNIA,DATOS!$A8583,nCURSO,DATOS!$D8583,nESPEC,DATOS!$E8583,nASIG,DATOS!$I8583,nEVAL,"OR")=0))</f>
      </c>
      <c r="I8583">
        <f>IF(DATOS!$I8583="","",IFERROR(VLOOKUP(DATOS!$I8583,CONFIG_ASIGNATURAS!$B$2:$J$91,9,FALSE()),""))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IF(DATOS!$A8584="",0,IF(CONFIG_METADATA!$B$4&lt;&gt;"OR+EX",--(DATOS!$G8584=CONFIG_METADATA!$B$4),IF(DATOS!$G8584="EX",1,IF(DATOS!$G8584="OR",--(COUNTIFS(nNIA,DATOS!$A8584,nCURSO,DATOS!$D8584,nESPEC,DATOS!$E8584,nASIG,DATOS!$I8584,nEVAL,"EX")=0),0))))</f>
      </c>
      <c r="H8584">
        <f>IF(DATOS!$G8584&lt;&gt;"EX",0,--(COUNTIFS(nNIA,DATOS!$A8584,nCURSO,DATOS!$D8584,nESPEC,DATOS!$E8584,nASIG,DATOS!$I8584,nEVAL,"OR")=0))</f>
      </c>
      <c r="I8584">
        <f>IF(DATOS!$I8584="","",IFERROR(VLOOKUP(DATOS!$I8584,CONFIG_ASIGNATURAS!$B$2:$J$91,9,FALSE()),""))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IF(DATOS!$A8585="",0,IF(CONFIG_METADATA!$B$4&lt;&gt;"OR+EX",--(DATOS!$G8585=CONFIG_METADATA!$B$4),IF(DATOS!$G8585="EX",1,IF(DATOS!$G8585="OR",--(COUNTIFS(nNIA,DATOS!$A8585,nCURSO,DATOS!$D8585,nESPEC,DATOS!$E8585,nASIG,DATOS!$I8585,nEVAL,"EX")=0),0))))</f>
      </c>
      <c r="H8585">
        <f>IF(DATOS!$G8585&lt;&gt;"EX",0,--(COUNTIFS(nNIA,DATOS!$A8585,nCURSO,DATOS!$D8585,nESPEC,DATOS!$E8585,nASIG,DATOS!$I8585,nEVAL,"OR")=0))</f>
      </c>
      <c r="I8585">
        <f>IF(DATOS!$I8585="","",IFERROR(VLOOKUP(DATOS!$I8585,CONFIG_ASIGNATURAS!$B$2:$J$91,9,FALSE()),""))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IF(DATOS!$A8586="",0,IF(CONFIG_METADATA!$B$4&lt;&gt;"OR+EX",--(DATOS!$G8586=CONFIG_METADATA!$B$4),IF(DATOS!$G8586="EX",1,IF(DATOS!$G8586="OR",--(COUNTIFS(nNIA,DATOS!$A8586,nCURSO,DATOS!$D8586,nESPEC,DATOS!$E8586,nASIG,DATOS!$I8586,nEVAL,"EX")=0),0))))</f>
      </c>
      <c r="H8586">
        <f>IF(DATOS!$G8586&lt;&gt;"EX",0,--(COUNTIFS(nNIA,DATOS!$A8586,nCURSO,DATOS!$D8586,nESPEC,DATOS!$E8586,nASIG,DATOS!$I8586,nEVAL,"OR")=0))</f>
      </c>
      <c r="I8586">
        <f>IF(DATOS!$I8586="","",IFERROR(VLOOKUP(DATOS!$I8586,CONFIG_ASIGNATURAS!$B$2:$J$91,9,FALSE()),""))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IF(DATOS!$A8587="",0,IF(CONFIG_METADATA!$B$4&lt;&gt;"OR+EX",--(DATOS!$G8587=CONFIG_METADATA!$B$4),IF(DATOS!$G8587="EX",1,IF(DATOS!$G8587="OR",--(COUNTIFS(nNIA,DATOS!$A8587,nCURSO,DATOS!$D8587,nESPEC,DATOS!$E8587,nASIG,DATOS!$I8587,nEVAL,"EX")=0),0))))</f>
      </c>
      <c r="H8587">
        <f>IF(DATOS!$G8587&lt;&gt;"EX",0,--(COUNTIFS(nNIA,DATOS!$A8587,nCURSO,DATOS!$D8587,nESPEC,DATOS!$E8587,nASIG,DATOS!$I8587,nEVAL,"OR")=0))</f>
      </c>
      <c r="I8587">
        <f>IF(DATOS!$I8587="","",IFERROR(VLOOKUP(DATOS!$I8587,CONFIG_ASIGNATURAS!$B$2:$J$91,9,FALSE()),""))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IF(DATOS!$A8588="",0,IF(CONFIG_METADATA!$B$4&lt;&gt;"OR+EX",--(DATOS!$G8588=CONFIG_METADATA!$B$4),IF(DATOS!$G8588="EX",1,IF(DATOS!$G8588="OR",--(COUNTIFS(nNIA,DATOS!$A8588,nCURSO,DATOS!$D8588,nESPEC,DATOS!$E8588,nASIG,DATOS!$I8588,nEVAL,"EX")=0),0))))</f>
      </c>
      <c r="H8588">
        <f>IF(DATOS!$G8588&lt;&gt;"EX",0,--(COUNTIFS(nNIA,DATOS!$A8588,nCURSO,DATOS!$D8588,nESPEC,DATOS!$E8588,nASIG,DATOS!$I8588,nEVAL,"OR")=0))</f>
      </c>
      <c r="I8588">
        <f>IF(DATOS!$I8588="","",IFERROR(VLOOKUP(DATOS!$I8588,CONFIG_ASIGNATURAS!$B$2:$J$91,9,FALSE()),""))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IF(DATOS!$A8589="",0,IF(CONFIG_METADATA!$B$4&lt;&gt;"OR+EX",--(DATOS!$G8589=CONFIG_METADATA!$B$4),IF(DATOS!$G8589="EX",1,IF(DATOS!$G8589="OR",--(COUNTIFS(nNIA,DATOS!$A8589,nCURSO,DATOS!$D8589,nESPEC,DATOS!$E8589,nASIG,DATOS!$I8589,nEVAL,"EX")=0),0))))</f>
      </c>
      <c r="H8589">
        <f>IF(DATOS!$G8589&lt;&gt;"EX",0,--(COUNTIFS(nNIA,DATOS!$A8589,nCURSO,DATOS!$D8589,nESPEC,DATOS!$E8589,nASIG,DATOS!$I8589,nEVAL,"OR")=0))</f>
      </c>
      <c r="I8589">
        <f>IF(DATOS!$I8589="","",IFERROR(VLOOKUP(DATOS!$I8589,CONFIG_ASIGNATURAS!$B$2:$J$91,9,FALSE()),""))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IF(DATOS!$A8590="",0,IF(CONFIG_METADATA!$B$4&lt;&gt;"OR+EX",--(DATOS!$G8590=CONFIG_METADATA!$B$4),IF(DATOS!$G8590="EX",1,IF(DATOS!$G8590="OR",--(COUNTIFS(nNIA,DATOS!$A8590,nCURSO,DATOS!$D8590,nESPEC,DATOS!$E8590,nASIG,DATOS!$I8590,nEVAL,"EX")=0),0))))</f>
      </c>
      <c r="H8590">
        <f>IF(DATOS!$G8590&lt;&gt;"EX",0,--(COUNTIFS(nNIA,DATOS!$A8590,nCURSO,DATOS!$D8590,nESPEC,DATOS!$E8590,nASIG,DATOS!$I8590,nEVAL,"OR")=0))</f>
      </c>
      <c r="I8590">
        <f>IF(DATOS!$I8590="","",IFERROR(VLOOKUP(DATOS!$I8590,CONFIG_ASIGNATURAS!$B$2:$J$91,9,FALSE()),""))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IF(DATOS!$A8591="",0,IF(CONFIG_METADATA!$B$4&lt;&gt;"OR+EX",--(DATOS!$G8591=CONFIG_METADATA!$B$4),IF(DATOS!$G8591="EX",1,IF(DATOS!$G8591="OR",--(COUNTIFS(nNIA,DATOS!$A8591,nCURSO,DATOS!$D8591,nESPEC,DATOS!$E8591,nASIG,DATOS!$I8591,nEVAL,"EX")=0),0))))</f>
      </c>
      <c r="H8591">
        <f>IF(DATOS!$G8591&lt;&gt;"EX",0,--(COUNTIFS(nNIA,DATOS!$A8591,nCURSO,DATOS!$D8591,nESPEC,DATOS!$E8591,nASIG,DATOS!$I8591,nEVAL,"OR")=0))</f>
      </c>
      <c r="I8591">
        <f>IF(DATOS!$I8591="","",IFERROR(VLOOKUP(DATOS!$I8591,CONFIG_ASIGNATURAS!$B$2:$J$91,9,FALSE()),""))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IF(DATOS!$A8592="",0,IF(CONFIG_METADATA!$B$4&lt;&gt;"OR+EX",--(DATOS!$G8592=CONFIG_METADATA!$B$4),IF(DATOS!$G8592="EX",1,IF(DATOS!$G8592="OR",--(COUNTIFS(nNIA,DATOS!$A8592,nCURSO,DATOS!$D8592,nESPEC,DATOS!$E8592,nASIG,DATOS!$I8592,nEVAL,"EX")=0),0))))</f>
      </c>
      <c r="H8592">
        <f>IF(DATOS!$G8592&lt;&gt;"EX",0,--(COUNTIFS(nNIA,DATOS!$A8592,nCURSO,DATOS!$D8592,nESPEC,DATOS!$E8592,nASIG,DATOS!$I8592,nEVAL,"OR")=0))</f>
      </c>
      <c r="I8592">
        <f>IF(DATOS!$I8592="","",IFERROR(VLOOKUP(DATOS!$I8592,CONFIG_ASIGNATURAS!$B$2:$J$91,9,FALSE()),""))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IF(DATOS!$A8593="",0,IF(CONFIG_METADATA!$B$4&lt;&gt;"OR+EX",--(DATOS!$G8593=CONFIG_METADATA!$B$4),IF(DATOS!$G8593="EX",1,IF(DATOS!$G8593="OR",--(COUNTIFS(nNIA,DATOS!$A8593,nCURSO,DATOS!$D8593,nESPEC,DATOS!$E8593,nASIG,DATOS!$I8593,nEVAL,"EX")=0),0))))</f>
      </c>
      <c r="H8593">
        <f>IF(DATOS!$G8593&lt;&gt;"EX",0,--(COUNTIFS(nNIA,DATOS!$A8593,nCURSO,DATOS!$D8593,nESPEC,DATOS!$E8593,nASIG,DATOS!$I8593,nEVAL,"OR")=0))</f>
      </c>
      <c r="I8593">
        <f>IF(DATOS!$I8593="","",IFERROR(VLOOKUP(DATOS!$I8593,CONFIG_ASIGNATURAS!$B$2:$J$91,9,FALSE()),""))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IF(DATOS!$A8594="",0,IF(CONFIG_METADATA!$B$4&lt;&gt;"OR+EX",--(DATOS!$G8594=CONFIG_METADATA!$B$4),IF(DATOS!$G8594="EX",1,IF(DATOS!$G8594="OR",--(COUNTIFS(nNIA,DATOS!$A8594,nCURSO,DATOS!$D8594,nESPEC,DATOS!$E8594,nASIG,DATOS!$I8594,nEVAL,"EX")=0),0))))</f>
      </c>
      <c r="H8594">
        <f>IF(DATOS!$G8594&lt;&gt;"EX",0,--(COUNTIFS(nNIA,DATOS!$A8594,nCURSO,DATOS!$D8594,nESPEC,DATOS!$E8594,nASIG,DATOS!$I8594,nEVAL,"OR")=0))</f>
      </c>
      <c r="I8594">
        <f>IF(DATOS!$I8594="","",IFERROR(VLOOKUP(DATOS!$I8594,CONFIG_ASIGNATURAS!$B$2:$J$91,9,FALSE()),""))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IF(DATOS!$A8595="",0,IF(CONFIG_METADATA!$B$4&lt;&gt;"OR+EX",--(DATOS!$G8595=CONFIG_METADATA!$B$4),IF(DATOS!$G8595="EX",1,IF(DATOS!$G8595="OR",--(COUNTIFS(nNIA,DATOS!$A8595,nCURSO,DATOS!$D8595,nESPEC,DATOS!$E8595,nASIG,DATOS!$I8595,nEVAL,"EX")=0),0))))</f>
      </c>
      <c r="H8595">
        <f>IF(DATOS!$G8595&lt;&gt;"EX",0,--(COUNTIFS(nNIA,DATOS!$A8595,nCURSO,DATOS!$D8595,nESPEC,DATOS!$E8595,nASIG,DATOS!$I8595,nEVAL,"OR")=0))</f>
      </c>
      <c r="I8595">
        <f>IF(DATOS!$I8595="","",IFERROR(VLOOKUP(DATOS!$I8595,CONFIG_ASIGNATURAS!$B$2:$J$91,9,FALSE()),""))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IF(DATOS!$A8596="",0,IF(CONFIG_METADATA!$B$4&lt;&gt;"OR+EX",--(DATOS!$G8596=CONFIG_METADATA!$B$4),IF(DATOS!$G8596="EX",1,IF(DATOS!$G8596="OR",--(COUNTIFS(nNIA,DATOS!$A8596,nCURSO,DATOS!$D8596,nESPEC,DATOS!$E8596,nASIG,DATOS!$I8596,nEVAL,"EX")=0),0))))</f>
      </c>
      <c r="H8596">
        <f>IF(DATOS!$G8596&lt;&gt;"EX",0,--(COUNTIFS(nNIA,DATOS!$A8596,nCURSO,DATOS!$D8596,nESPEC,DATOS!$E8596,nASIG,DATOS!$I8596,nEVAL,"OR")=0))</f>
      </c>
      <c r="I8596">
        <f>IF(DATOS!$I8596="","",IFERROR(VLOOKUP(DATOS!$I8596,CONFIG_ASIGNATURAS!$B$2:$J$91,9,FALSE()),""))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IF(DATOS!$A8597="",0,IF(CONFIG_METADATA!$B$4&lt;&gt;"OR+EX",--(DATOS!$G8597=CONFIG_METADATA!$B$4),IF(DATOS!$G8597="EX",1,IF(DATOS!$G8597="OR",--(COUNTIFS(nNIA,DATOS!$A8597,nCURSO,DATOS!$D8597,nESPEC,DATOS!$E8597,nASIG,DATOS!$I8597,nEVAL,"EX")=0),0))))</f>
      </c>
      <c r="H8597">
        <f>IF(DATOS!$G8597&lt;&gt;"EX",0,--(COUNTIFS(nNIA,DATOS!$A8597,nCURSO,DATOS!$D8597,nESPEC,DATOS!$E8597,nASIG,DATOS!$I8597,nEVAL,"OR")=0))</f>
      </c>
      <c r="I8597">
        <f>IF(DATOS!$I8597="","",IFERROR(VLOOKUP(DATOS!$I8597,CONFIG_ASIGNATURAS!$B$2:$J$91,9,FALSE()),""))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IF(DATOS!$A8598="",0,IF(CONFIG_METADATA!$B$4&lt;&gt;"OR+EX",--(DATOS!$G8598=CONFIG_METADATA!$B$4),IF(DATOS!$G8598="EX",1,IF(DATOS!$G8598="OR",--(COUNTIFS(nNIA,DATOS!$A8598,nCURSO,DATOS!$D8598,nESPEC,DATOS!$E8598,nASIG,DATOS!$I8598,nEVAL,"EX")=0),0))))</f>
      </c>
      <c r="H8598">
        <f>IF(DATOS!$G8598&lt;&gt;"EX",0,--(COUNTIFS(nNIA,DATOS!$A8598,nCURSO,DATOS!$D8598,nESPEC,DATOS!$E8598,nASIG,DATOS!$I8598,nEVAL,"OR")=0))</f>
      </c>
      <c r="I8598">
        <f>IF(DATOS!$I8598="","",IFERROR(VLOOKUP(DATOS!$I8598,CONFIG_ASIGNATURAS!$B$2:$J$91,9,FALSE()),""))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IF(DATOS!$A8599="",0,IF(CONFIG_METADATA!$B$4&lt;&gt;"OR+EX",--(DATOS!$G8599=CONFIG_METADATA!$B$4),IF(DATOS!$G8599="EX",1,IF(DATOS!$G8599="OR",--(COUNTIFS(nNIA,DATOS!$A8599,nCURSO,DATOS!$D8599,nESPEC,DATOS!$E8599,nASIG,DATOS!$I8599,nEVAL,"EX")=0),0))))</f>
      </c>
      <c r="H8599">
        <f>IF(DATOS!$G8599&lt;&gt;"EX",0,--(COUNTIFS(nNIA,DATOS!$A8599,nCURSO,DATOS!$D8599,nESPEC,DATOS!$E8599,nASIG,DATOS!$I8599,nEVAL,"OR")=0))</f>
      </c>
      <c r="I8599">
        <f>IF(DATOS!$I8599="","",IFERROR(VLOOKUP(DATOS!$I8599,CONFIG_ASIGNATURAS!$B$2:$J$91,9,FALSE()),""))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IF(DATOS!$A8600="",0,IF(CONFIG_METADATA!$B$4&lt;&gt;"OR+EX",--(DATOS!$G8600=CONFIG_METADATA!$B$4),IF(DATOS!$G8600="EX",1,IF(DATOS!$G8600="OR",--(COUNTIFS(nNIA,DATOS!$A8600,nCURSO,DATOS!$D8600,nESPEC,DATOS!$E8600,nASIG,DATOS!$I8600,nEVAL,"EX")=0),0))))</f>
      </c>
      <c r="H8600">
        <f>IF(DATOS!$G8600&lt;&gt;"EX",0,--(COUNTIFS(nNIA,DATOS!$A8600,nCURSO,DATOS!$D8600,nESPEC,DATOS!$E8600,nASIG,DATOS!$I8600,nEVAL,"OR")=0))</f>
      </c>
      <c r="I8600">
        <f>IF(DATOS!$I8600="","",IFERROR(VLOOKUP(DATOS!$I8600,CONFIG_ASIGNATURAS!$B$2:$J$91,9,FALSE()),""))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IF(DATOS!$A8601="",0,IF(CONFIG_METADATA!$B$4&lt;&gt;"OR+EX",--(DATOS!$G8601=CONFIG_METADATA!$B$4),IF(DATOS!$G8601="EX",1,IF(DATOS!$G8601="OR",--(COUNTIFS(nNIA,DATOS!$A8601,nCURSO,DATOS!$D8601,nESPEC,DATOS!$E8601,nASIG,DATOS!$I8601,nEVAL,"EX")=0),0))))</f>
      </c>
      <c r="H8601">
        <f>IF(DATOS!$G8601&lt;&gt;"EX",0,--(COUNTIFS(nNIA,DATOS!$A8601,nCURSO,DATOS!$D8601,nESPEC,DATOS!$E8601,nASIG,DATOS!$I8601,nEVAL,"OR")=0))</f>
      </c>
      <c r="I8601">
        <f>IF(DATOS!$I8601="","",IFERROR(VLOOKUP(DATOS!$I8601,CONFIG_ASIGNATURAS!$B$2:$J$91,9,FALSE()),""))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IF(DATOS!$A8602="",0,IF(CONFIG_METADATA!$B$4&lt;&gt;"OR+EX",--(DATOS!$G8602=CONFIG_METADATA!$B$4),IF(DATOS!$G8602="EX",1,IF(DATOS!$G8602="OR",--(COUNTIFS(nNIA,DATOS!$A8602,nCURSO,DATOS!$D8602,nESPEC,DATOS!$E8602,nASIG,DATOS!$I8602,nEVAL,"EX")=0),0))))</f>
      </c>
      <c r="H8602">
        <f>IF(DATOS!$G8602&lt;&gt;"EX",0,--(COUNTIFS(nNIA,DATOS!$A8602,nCURSO,DATOS!$D8602,nESPEC,DATOS!$E8602,nASIG,DATOS!$I8602,nEVAL,"OR")=0))</f>
      </c>
      <c r="I8602">
        <f>IF(DATOS!$I8602="","",IFERROR(VLOOKUP(DATOS!$I8602,CONFIG_ASIGNATURAS!$B$2:$J$91,9,FALSE()),""))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IF(DATOS!$A8603="",0,IF(CONFIG_METADATA!$B$4&lt;&gt;"OR+EX",--(DATOS!$G8603=CONFIG_METADATA!$B$4),IF(DATOS!$G8603="EX",1,IF(DATOS!$G8603="OR",--(COUNTIFS(nNIA,DATOS!$A8603,nCURSO,DATOS!$D8603,nESPEC,DATOS!$E8603,nASIG,DATOS!$I8603,nEVAL,"EX")=0),0))))</f>
      </c>
      <c r="H8603">
        <f>IF(DATOS!$G8603&lt;&gt;"EX",0,--(COUNTIFS(nNIA,DATOS!$A8603,nCURSO,DATOS!$D8603,nESPEC,DATOS!$E8603,nASIG,DATOS!$I8603,nEVAL,"OR")=0))</f>
      </c>
      <c r="I8603">
        <f>IF(DATOS!$I8603="","",IFERROR(VLOOKUP(DATOS!$I8603,CONFIG_ASIGNATURAS!$B$2:$J$91,9,FALSE()),""))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IF(DATOS!$A8604="",0,IF(CONFIG_METADATA!$B$4&lt;&gt;"OR+EX",--(DATOS!$G8604=CONFIG_METADATA!$B$4),IF(DATOS!$G8604="EX",1,IF(DATOS!$G8604="OR",--(COUNTIFS(nNIA,DATOS!$A8604,nCURSO,DATOS!$D8604,nESPEC,DATOS!$E8604,nASIG,DATOS!$I8604,nEVAL,"EX")=0),0))))</f>
      </c>
      <c r="H8604">
        <f>IF(DATOS!$G8604&lt;&gt;"EX",0,--(COUNTIFS(nNIA,DATOS!$A8604,nCURSO,DATOS!$D8604,nESPEC,DATOS!$E8604,nASIG,DATOS!$I8604,nEVAL,"OR")=0))</f>
      </c>
      <c r="I8604">
        <f>IF(DATOS!$I8604="","",IFERROR(VLOOKUP(DATOS!$I8604,CONFIG_ASIGNATURAS!$B$2:$J$91,9,FALSE()),""))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IF(DATOS!$A8605="",0,IF(CONFIG_METADATA!$B$4&lt;&gt;"OR+EX",--(DATOS!$G8605=CONFIG_METADATA!$B$4),IF(DATOS!$G8605="EX",1,IF(DATOS!$G8605="OR",--(COUNTIFS(nNIA,DATOS!$A8605,nCURSO,DATOS!$D8605,nESPEC,DATOS!$E8605,nASIG,DATOS!$I8605,nEVAL,"EX")=0),0))))</f>
      </c>
      <c r="H8605">
        <f>IF(DATOS!$G8605&lt;&gt;"EX",0,--(COUNTIFS(nNIA,DATOS!$A8605,nCURSO,DATOS!$D8605,nESPEC,DATOS!$E8605,nASIG,DATOS!$I8605,nEVAL,"OR")=0))</f>
      </c>
      <c r="I8605">
        <f>IF(DATOS!$I8605="","",IFERROR(VLOOKUP(DATOS!$I8605,CONFIG_ASIGNATURAS!$B$2:$J$91,9,FALSE()),""))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IF(DATOS!$A8606="",0,IF(CONFIG_METADATA!$B$4&lt;&gt;"OR+EX",--(DATOS!$G8606=CONFIG_METADATA!$B$4),IF(DATOS!$G8606="EX",1,IF(DATOS!$G8606="OR",--(COUNTIFS(nNIA,DATOS!$A8606,nCURSO,DATOS!$D8606,nESPEC,DATOS!$E8606,nASIG,DATOS!$I8606,nEVAL,"EX")=0),0))))</f>
      </c>
      <c r="H8606">
        <f>IF(DATOS!$G8606&lt;&gt;"EX",0,--(COUNTIFS(nNIA,DATOS!$A8606,nCURSO,DATOS!$D8606,nESPEC,DATOS!$E8606,nASIG,DATOS!$I8606,nEVAL,"OR")=0))</f>
      </c>
      <c r="I8606">
        <f>IF(DATOS!$I8606="","",IFERROR(VLOOKUP(DATOS!$I8606,CONFIG_ASIGNATURAS!$B$2:$J$91,9,FALSE()),""))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IF(DATOS!$A8607="",0,IF(CONFIG_METADATA!$B$4&lt;&gt;"OR+EX",--(DATOS!$G8607=CONFIG_METADATA!$B$4),IF(DATOS!$G8607="EX",1,IF(DATOS!$G8607="OR",--(COUNTIFS(nNIA,DATOS!$A8607,nCURSO,DATOS!$D8607,nESPEC,DATOS!$E8607,nASIG,DATOS!$I8607,nEVAL,"EX")=0),0))))</f>
      </c>
      <c r="H8607">
        <f>IF(DATOS!$G8607&lt;&gt;"EX",0,--(COUNTIFS(nNIA,DATOS!$A8607,nCURSO,DATOS!$D8607,nESPEC,DATOS!$E8607,nASIG,DATOS!$I8607,nEVAL,"OR")=0))</f>
      </c>
      <c r="I8607">
        <f>IF(DATOS!$I8607="","",IFERROR(VLOOKUP(DATOS!$I8607,CONFIG_ASIGNATURAS!$B$2:$J$91,9,FALSE()),""))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IF(DATOS!$A8608="",0,IF(CONFIG_METADATA!$B$4&lt;&gt;"OR+EX",--(DATOS!$G8608=CONFIG_METADATA!$B$4),IF(DATOS!$G8608="EX",1,IF(DATOS!$G8608="OR",--(COUNTIFS(nNIA,DATOS!$A8608,nCURSO,DATOS!$D8608,nESPEC,DATOS!$E8608,nASIG,DATOS!$I8608,nEVAL,"EX")=0),0))))</f>
      </c>
      <c r="H8608">
        <f>IF(DATOS!$G8608&lt;&gt;"EX",0,--(COUNTIFS(nNIA,DATOS!$A8608,nCURSO,DATOS!$D8608,nESPEC,DATOS!$E8608,nASIG,DATOS!$I8608,nEVAL,"OR")=0))</f>
      </c>
      <c r="I8608">
        <f>IF(DATOS!$I8608="","",IFERROR(VLOOKUP(DATOS!$I8608,CONFIG_ASIGNATURAS!$B$2:$J$91,9,FALSE()),""))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IF(DATOS!$A8609="",0,IF(CONFIG_METADATA!$B$4&lt;&gt;"OR+EX",--(DATOS!$G8609=CONFIG_METADATA!$B$4),IF(DATOS!$G8609="EX",1,IF(DATOS!$G8609="OR",--(COUNTIFS(nNIA,DATOS!$A8609,nCURSO,DATOS!$D8609,nESPEC,DATOS!$E8609,nASIG,DATOS!$I8609,nEVAL,"EX")=0),0))))</f>
      </c>
      <c r="H8609">
        <f>IF(DATOS!$G8609&lt;&gt;"EX",0,--(COUNTIFS(nNIA,DATOS!$A8609,nCURSO,DATOS!$D8609,nESPEC,DATOS!$E8609,nASIG,DATOS!$I8609,nEVAL,"OR")=0))</f>
      </c>
      <c r="I8609">
        <f>IF(DATOS!$I8609="","",IFERROR(VLOOKUP(DATOS!$I8609,CONFIG_ASIGNATURAS!$B$2:$J$91,9,FALSE()),""))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IF(DATOS!$A8610="",0,IF(CONFIG_METADATA!$B$4&lt;&gt;"OR+EX",--(DATOS!$G8610=CONFIG_METADATA!$B$4),IF(DATOS!$G8610="EX",1,IF(DATOS!$G8610="OR",--(COUNTIFS(nNIA,DATOS!$A8610,nCURSO,DATOS!$D8610,nESPEC,DATOS!$E8610,nASIG,DATOS!$I8610,nEVAL,"EX")=0),0))))</f>
      </c>
      <c r="H8610">
        <f>IF(DATOS!$G8610&lt;&gt;"EX",0,--(COUNTIFS(nNIA,DATOS!$A8610,nCURSO,DATOS!$D8610,nESPEC,DATOS!$E8610,nASIG,DATOS!$I8610,nEVAL,"OR")=0))</f>
      </c>
      <c r="I8610">
        <f>IF(DATOS!$I8610="","",IFERROR(VLOOKUP(DATOS!$I8610,CONFIG_ASIGNATURAS!$B$2:$J$91,9,FALSE()),""))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IF(DATOS!$A8611="",0,IF(CONFIG_METADATA!$B$4&lt;&gt;"OR+EX",--(DATOS!$G8611=CONFIG_METADATA!$B$4),IF(DATOS!$G8611="EX",1,IF(DATOS!$G8611="OR",--(COUNTIFS(nNIA,DATOS!$A8611,nCURSO,DATOS!$D8611,nESPEC,DATOS!$E8611,nASIG,DATOS!$I8611,nEVAL,"EX")=0),0))))</f>
      </c>
      <c r="H8611">
        <f>IF(DATOS!$G8611&lt;&gt;"EX",0,--(COUNTIFS(nNIA,DATOS!$A8611,nCURSO,DATOS!$D8611,nESPEC,DATOS!$E8611,nASIG,DATOS!$I8611,nEVAL,"OR")=0))</f>
      </c>
      <c r="I8611">
        <f>IF(DATOS!$I8611="","",IFERROR(VLOOKUP(DATOS!$I8611,CONFIG_ASIGNATURAS!$B$2:$J$91,9,FALSE()),""))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IF(DATOS!$A8612="",0,IF(CONFIG_METADATA!$B$4&lt;&gt;"OR+EX",--(DATOS!$G8612=CONFIG_METADATA!$B$4),IF(DATOS!$G8612="EX",1,IF(DATOS!$G8612="OR",--(COUNTIFS(nNIA,DATOS!$A8612,nCURSO,DATOS!$D8612,nESPEC,DATOS!$E8612,nASIG,DATOS!$I8612,nEVAL,"EX")=0),0))))</f>
      </c>
      <c r="H8612">
        <f>IF(DATOS!$G8612&lt;&gt;"EX",0,--(COUNTIFS(nNIA,DATOS!$A8612,nCURSO,DATOS!$D8612,nESPEC,DATOS!$E8612,nASIG,DATOS!$I8612,nEVAL,"OR")=0))</f>
      </c>
      <c r="I8612">
        <f>IF(DATOS!$I8612="","",IFERROR(VLOOKUP(DATOS!$I8612,CONFIG_ASIGNATURAS!$B$2:$J$91,9,FALSE()),""))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IF(DATOS!$A8613="",0,IF(CONFIG_METADATA!$B$4&lt;&gt;"OR+EX",--(DATOS!$G8613=CONFIG_METADATA!$B$4),IF(DATOS!$G8613="EX",1,IF(DATOS!$G8613="OR",--(COUNTIFS(nNIA,DATOS!$A8613,nCURSO,DATOS!$D8613,nESPEC,DATOS!$E8613,nASIG,DATOS!$I8613,nEVAL,"EX")=0),0))))</f>
      </c>
      <c r="H8613">
        <f>IF(DATOS!$G8613&lt;&gt;"EX",0,--(COUNTIFS(nNIA,DATOS!$A8613,nCURSO,DATOS!$D8613,nESPEC,DATOS!$E8613,nASIG,DATOS!$I8613,nEVAL,"OR")=0))</f>
      </c>
      <c r="I8613">
        <f>IF(DATOS!$I8613="","",IFERROR(VLOOKUP(DATOS!$I8613,CONFIG_ASIGNATURAS!$B$2:$J$91,9,FALSE()),""))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IF(DATOS!$A8614="",0,IF(CONFIG_METADATA!$B$4&lt;&gt;"OR+EX",--(DATOS!$G8614=CONFIG_METADATA!$B$4),IF(DATOS!$G8614="EX",1,IF(DATOS!$G8614="OR",--(COUNTIFS(nNIA,DATOS!$A8614,nCURSO,DATOS!$D8614,nESPEC,DATOS!$E8614,nASIG,DATOS!$I8614,nEVAL,"EX")=0),0))))</f>
      </c>
      <c r="H8614">
        <f>IF(DATOS!$G8614&lt;&gt;"EX",0,--(COUNTIFS(nNIA,DATOS!$A8614,nCURSO,DATOS!$D8614,nESPEC,DATOS!$E8614,nASIG,DATOS!$I8614,nEVAL,"OR")=0))</f>
      </c>
      <c r="I8614">
        <f>IF(DATOS!$I8614="","",IFERROR(VLOOKUP(DATOS!$I8614,CONFIG_ASIGNATURAS!$B$2:$J$91,9,FALSE()),""))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IF(DATOS!$A8615="",0,IF(CONFIG_METADATA!$B$4&lt;&gt;"OR+EX",--(DATOS!$G8615=CONFIG_METADATA!$B$4),IF(DATOS!$G8615="EX",1,IF(DATOS!$G8615="OR",--(COUNTIFS(nNIA,DATOS!$A8615,nCURSO,DATOS!$D8615,nESPEC,DATOS!$E8615,nASIG,DATOS!$I8615,nEVAL,"EX")=0),0))))</f>
      </c>
      <c r="H8615">
        <f>IF(DATOS!$G8615&lt;&gt;"EX",0,--(COUNTIFS(nNIA,DATOS!$A8615,nCURSO,DATOS!$D8615,nESPEC,DATOS!$E8615,nASIG,DATOS!$I8615,nEVAL,"OR")=0))</f>
      </c>
      <c r="I8615">
        <f>IF(DATOS!$I8615="","",IFERROR(VLOOKUP(DATOS!$I8615,CONFIG_ASIGNATURAS!$B$2:$J$91,9,FALSE()),""))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IF(DATOS!$A8616="",0,IF(CONFIG_METADATA!$B$4&lt;&gt;"OR+EX",--(DATOS!$G8616=CONFIG_METADATA!$B$4),IF(DATOS!$G8616="EX",1,IF(DATOS!$G8616="OR",--(COUNTIFS(nNIA,DATOS!$A8616,nCURSO,DATOS!$D8616,nESPEC,DATOS!$E8616,nASIG,DATOS!$I8616,nEVAL,"EX")=0),0))))</f>
      </c>
      <c r="H8616">
        <f>IF(DATOS!$G8616&lt;&gt;"EX",0,--(COUNTIFS(nNIA,DATOS!$A8616,nCURSO,DATOS!$D8616,nESPEC,DATOS!$E8616,nASIG,DATOS!$I8616,nEVAL,"OR")=0))</f>
      </c>
      <c r="I8616">
        <f>IF(DATOS!$I8616="","",IFERROR(VLOOKUP(DATOS!$I8616,CONFIG_ASIGNATURAS!$B$2:$J$91,9,FALSE()),""))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IF(DATOS!$A8617="",0,IF(CONFIG_METADATA!$B$4&lt;&gt;"OR+EX",--(DATOS!$G8617=CONFIG_METADATA!$B$4),IF(DATOS!$G8617="EX",1,IF(DATOS!$G8617="OR",--(COUNTIFS(nNIA,DATOS!$A8617,nCURSO,DATOS!$D8617,nESPEC,DATOS!$E8617,nASIG,DATOS!$I8617,nEVAL,"EX")=0),0))))</f>
      </c>
      <c r="H8617">
        <f>IF(DATOS!$G8617&lt;&gt;"EX",0,--(COUNTIFS(nNIA,DATOS!$A8617,nCURSO,DATOS!$D8617,nESPEC,DATOS!$E8617,nASIG,DATOS!$I8617,nEVAL,"OR")=0))</f>
      </c>
      <c r="I8617">
        <f>IF(DATOS!$I8617="","",IFERROR(VLOOKUP(DATOS!$I8617,CONFIG_ASIGNATURAS!$B$2:$J$91,9,FALSE()),""))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IF(DATOS!$A8618="",0,IF(CONFIG_METADATA!$B$4&lt;&gt;"OR+EX",--(DATOS!$G8618=CONFIG_METADATA!$B$4),IF(DATOS!$G8618="EX",1,IF(DATOS!$G8618="OR",--(COUNTIFS(nNIA,DATOS!$A8618,nCURSO,DATOS!$D8618,nESPEC,DATOS!$E8618,nASIG,DATOS!$I8618,nEVAL,"EX")=0),0))))</f>
      </c>
      <c r="H8618">
        <f>IF(DATOS!$G8618&lt;&gt;"EX",0,--(COUNTIFS(nNIA,DATOS!$A8618,nCURSO,DATOS!$D8618,nESPEC,DATOS!$E8618,nASIG,DATOS!$I8618,nEVAL,"OR")=0))</f>
      </c>
      <c r="I8618">
        <f>IF(DATOS!$I8618="","",IFERROR(VLOOKUP(DATOS!$I8618,CONFIG_ASIGNATURAS!$B$2:$J$91,9,FALSE()),""))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IF(DATOS!$A8619="",0,IF(CONFIG_METADATA!$B$4&lt;&gt;"OR+EX",--(DATOS!$G8619=CONFIG_METADATA!$B$4),IF(DATOS!$G8619="EX",1,IF(DATOS!$G8619="OR",--(COUNTIFS(nNIA,DATOS!$A8619,nCURSO,DATOS!$D8619,nESPEC,DATOS!$E8619,nASIG,DATOS!$I8619,nEVAL,"EX")=0),0))))</f>
      </c>
      <c r="H8619">
        <f>IF(DATOS!$G8619&lt;&gt;"EX",0,--(COUNTIFS(nNIA,DATOS!$A8619,nCURSO,DATOS!$D8619,nESPEC,DATOS!$E8619,nASIG,DATOS!$I8619,nEVAL,"OR")=0))</f>
      </c>
      <c r="I8619">
        <f>IF(DATOS!$I8619="","",IFERROR(VLOOKUP(DATOS!$I8619,CONFIG_ASIGNATURAS!$B$2:$J$91,9,FALSE()),""))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IF(DATOS!$A8620="",0,IF(CONFIG_METADATA!$B$4&lt;&gt;"OR+EX",--(DATOS!$G8620=CONFIG_METADATA!$B$4),IF(DATOS!$G8620="EX",1,IF(DATOS!$G8620="OR",--(COUNTIFS(nNIA,DATOS!$A8620,nCURSO,DATOS!$D8620,nESPEC,DATOS!$E8620,nASIG,DATOS!$I8620,nEVAL,"EX")=0),0))))</f>
      </c>
      <c r="H8620">
        <f>IF(DATOS!$G8620&lt;&gt;"EX",0,--(COUNTIFS(nNIA,DATOS!$A8620,nCURSO,DATOS!$D8620,nESPEC,DATOS!$E8620,nASIG,DATOS!$I8620,nEVAL,"OR")=0))</f>
      </c>
      <c r="I8620">
        <f>IF(DATOS!$I8620="","",IFERROR(VLOOKUP(DATOS!$I8620,CONFIG_ASIGNATURAS!$B$2:$J$91,9,FALSE()),""))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IF(DATOS!$A8621="",0,IF(CONFIG_METADATA!$B$4&lt;&gt;"OR+EX",--(DATOS!$G8621=CONFIG_METADATA!$B$4),IF(DATOS!$G8621="EX",1,IF(DATOS!$G8621="OR",--(COUNTIFS(nNIA,DATOS!$A8621,nCURSO,DATOS!$D8621,nESPEC,DATOS!$E8621,nASIG,DATOS!$I8621,nEVAL,"EX")=0),0))))</f>
      </c>
      <c r="H8621">
        <f>IF(DATOS!$G8621&lt;&gt;"EX",0,--(COUNTIFS(nNIA,DATOS!$A8621,nCURSO,DATOS!$D8621,nESPEC,DATOS!$E8621,nASIG,DATOS!$I8621,nEVAL,"OR")=0))</f>
      </c>
      <c r="I8621">
        <f>IF(DATOS!$I8621="","",IFERROR(VLOOKUP(DATOS!$I8621,CONFIG_ASIGNATURAS!$B$2:$J$91,9,FALSE()),""))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IF(DATOS!$A8622="",0,IF(CONFIG_METADATA!$B$4&lt;&gt;"OR+EX",--(DATOS!$G8622=CONFIG_METADATA!$B$4),IF(DATOS!$G8622="EX",1,IF(DATOS!$G8622="OR",--(COUNTIFS(nNIA,DATOS!$A8622,nCURSO,DATOS!$D8622,nESPEC,DATOS!$E8622,nASIG,DATOS!$I8622,nEVAL,"EX")=0),0))))</f>
      </c>
      <c r="H8622">
        <f>IF(DATOS!$G8622&lt;&gt;"EX",0,--(COUNTIFS(nNIA,DATOS!$A8622,nCURSO,DATOS!$D8622,nESPEC,DATOS!$E8622,nASIG,DATOS!$I8622,nEVAL,"OR")=0))</f>
      </c>
      <c r="I8622">
        <f>IF(DATOS!$I8622="","",IFERROR(VLOOKUP(DATOS!$I8622,CONFIG_ASIGNATURAS!$B$2:$J$91,9,FALSE()),""))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IF(DATOS!$A8623="",0,IF(CONFIG_METADATA!$B$4&lt;&gt;"OR+EX",--(DATOS!$G8623=CONFIG_METADATA!$B$4),IF(DATOS!$G8623="EX",1,IF(DATOS!$G8623="OR",--(COUNTIFS(nNIA,DATOS!$A8623,nCURSO,DATOS!$D8623,nESPEC,DATOS!$E8623,nASIG,DATOS!$I8623,nEVAL,"EX")=0),0))))</f>
      </c>
      <c r="H8623">
        <f>IF(DATOS!$G8623&lt;&gt;"EX",0,--(COUNTIFS(nNIA,DATOS!$A8623,nCURSO,DATOS!$D8623,nESPEC,DATOS!$E8623,nASIG,DATOS!$I8623,nEVAL,"OR")=0))</f>
      </c>
      <c r="I8623">
        <f>IF(DATOS!$I8623="","",IFERROR(VLOOKUP(DATOS!$I8623,CONFIG_ASIGNATURAS!$B$2:$J$91,9,FALSE()),""))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IF(DATOS!$A8624="",0,IF(CONFIG_METADATA!$B$4&lt;&gt;"OR+EX",--(DATOS!$G8624=CONFIG_METADATA!$B$4),IF(DATOS!$G8624="EX",1,IF(DATOS!$G8624="OR",--(COUNTIFS(nNIA,DATOS!$A8624,nCURSO,DATOS!$D8624,nESPEC,DATOS!$E8624,nASIG,DATOS!$I8624,nEVAL,"EX")=0),0))))</f>
      </c>
      <c r="H8624">
        <f>IF(DATOS!$G8624&lt;&gt;"EX",0,--(COUNTIFS(nNIA,DATOS!$A8624,nCURSO,DATOS!$D8624,nESPEC,DATOS!$E8624,nASIG,DATOS!$I8624,nEVAL,"OR")=0))</f>
      </c>
      <c r="I8624">
        <f>IF(DATOS!$I8624="","",IFERROR(VLOOKUP(DATOS!$I8624,CONFIG_ASIGNATURAS!$B$2:$J$91,9,FALSE()),""))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IF(DATOS!$A8625="",0,IF(CONFIG_METADATA!$B$4&lt;&gt;"OR+EX",--(DATOS!$G8625=CONFIG_METADATA!$B$4),IF(DATOS!$G8625="EX",1,IF(DATOS!$G8625="OR",--(COUNTIFS(nNIA,DATOS!$A8625,nCURSO,DATOS!$D8625,nESPEC,DATOS!$E8625,nASIG,DATOS!$I8625,nEVAL,"EX")=0),0))))</f>
      </c>
      <c r="H8625">
        <f>IF(DATOS!$G8625&lt;&gt;"EX",0,--(COUNTIFS(nNIA,DATOS!$A8625,nCURSO,DATOS!$D8625,nESPEC,DATOS!$E8625,nASIG,DATOS!$I8625,nEVAL,"OR")=0))</f>
      </c>
      <c r="I8625">
        <f>IF(DATOS!$I8625="","",IFERROR(VLOOKUP(DATOS!$I8625,CONFIG_ASIGNATURAS!$B$2:$J$91,9,FALSE()),""))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IF(DATOS!$A8626="",0,IF(CONFIG_METADATA!$B$4&lt;&gt;"OR+EX",--(DATOS!$G8626=CONFIG_METADATA!$B$4),IF(DATOS!$G8626="EX",1,IF(DATOS!$G8626="OR",--(COUNTIFS(nNIA,DATOS!$A8626,nCURSO,DATOS!$D8626,nESPEC,DATOS!$E8626,nASIG,DATOS!$I8626,nEVAL,"EX")=0),0))))</f>
      </c>
      <c r="H8626">
        <f>IF(DATOS!$G8626&lt;&gt;"EX",0,--(COUNTIFS(nNIA,DATOS!$A8626,nCURSO,DATOS!$D8626,nESPEC,DATOS!$E8626,nASIG,DATOS!$I8626,nEVAL,"OR")=0))</f>
      </c>
      <c r="I8626">
        <f>IF(DATOS!$I8626="","",IFERROR(VLOOKUP(DATOS!$I8626,CONFIG_ASIGNATURAS!$B$2:$J$91,9,FALSE()),""))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IF(DATOS!$A8627="",0,IF(CONFIG_METADATA!$B$4&lt;&gt;"OR+EX",--(DATOS!$G8627=CONFIG_METADATA!$B$4),IF(DATOS!$G8627="EX",1,IF(DATOS!$G8627="OR",--(COUNTIFS(nNIA,DATOS!$A8627,nCURSO,DATOS!$D8627,nESPEC,DATOS!$E8627,nASIG,DATOS!$I8627,nEVAL,"EX")=0),0))))</f>
      </c>
      <c r="H8627">
        <f>IF(DATOS!$G8627&lt;&gt;"EX",0,--(COUNTIFS(nNIA,DATOS!$A8627,nCURSO,DATOS!$D8627,nESPEC,DATOS!$E8627,nASIG,DATOS!$I8627,nEVAL,"OR")=0))</f>
      </c>
      <c r="I8627">
        <f>IF(DATOS!$I8627="","",IFERROR(VLOOKUP(DATOS!$I8627,CONFIG_ASIGNATURAS!$B$2:$J$91,9,FALSE()),""))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IF(DATOS!$A8628="",0,IF(CONFIG_METADATA!$B$4&lt;&gt;"OR+EX",--(DATOS!$G8628=CONFIG_METADATA!$B$4),IF(DATOS!$G8628="EX",1,IF(DATOS!$G8628="OR",--(COUNTIFS(nNIA,DATOS!$A8628,nCURSO,DATOS!$D8628,nESPEC,DATOS!$E8628,nASIG,DATOS!$I8628,nEVAL,"EX")=0),0))))</f>
      </c>
      <c r="H8628">
        <f>IF(DATOS!$G8628&lt;&gt;"EX",0,--(COUNTIFS(nNIA,DATOS!$A8628,nCURSO,DATOS!$D8628,nESPEC,DATOS!$E8628,nASIG,DATOS!$I8628,nEVAL,"OR")=0))</f>
      </c>
      <c r="I8628">
        <f>IF(DATOS!$I8628="","",IFERROR(VLOOKUP(DATOS!$I8628,CONFIG_ASIGNATURAS!$B$2:$J$91,9,FALSE()),""))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IF(DATOS!$A8629="",0,IF(CONFIG_METADATA!$B$4&lt;&gt;"OR+EX",--(DATOS!$G8629=CONFIG_METADATA!$B$4),IF(DATOS!$G8629="EX",1,IF(DATOS!$G8629="OR",--(COUNTIFS(nNIA,DATOS!$A8629,nCURSO,DATOS!$D8629,nESPEC,DATOS!$E8629,nASIG,DATOS!$I8629,nEVAL,"EX")=0),0))))</f>
      </c>
      <c r="H8629">
        <f>IF(DATOS!$G8629&lt;&gt;"EX",0,--(COUNTIFS(nNIA,DATOS!$A8629,nCURSO,DATOS!$D8629,nESPEC,DATOS!$E8629,nASIG,DATOS!$I8629,nEVAL,"OR")=0))</f>
      </c>
      <c r="I8629">
        <f>IF(DATOS!$I8629="","",IFERROR(VLOOKUP(DATOS!$I8629,CONFIG_ASIGNATURAS!$B$2:$J$91,9,FALSE()),""))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IF(DATOS!$A8630="",0,IF(CONFIG_METADATA!$B$4&lt;&gt;"OR+EX",--(DATOS!$G8630=CONFIG_METADATA!$B$4),IF(DATOS!$G8630="EX",1,IF(DATOS!$G8630="OR",--(COUNTIFS(nNIA,DATOS!$A8630,nCURSO,DATOS!$D8630,nESPEC,DATOS!$E8630,nASIG,DATOS!$I8630,nEVAL,"EX")=0),0))))</f>
      </c>
      <c r="H8630">
        <f>IF(DATOS!$G8630&lt;&gt;"EX",0,--(COUNTIFS(nNIA,DATOS!$A8630,nCURSO,DATOS!$D8630,nESPEC,DATOS!$E8630,nASIG,DATOS!$I8630,nEVAL,"OR")=0))</f>
      </c>
      <c r="I8630">
        <f>IF(DATOS!$I8630="","",IFERROR(VLOOKUP(DATOS!$I8630,CONFIG_ASIGNATURAS!$B$2:$J$91,9,FALSE()),""))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IF(DATOS!$A8631="",0,IF(CONFIG_METADATA!$B$4&lt;&gt;"OR+EX",--(DATOS!$G8631=CONFIG_METADATA!$B$4),IF(DATOS!$G8631="EX",1,IF(DATOS!$G8631="OR",--(COUNTIFS(nNIA,DATOS!$A8631,nCURSO,DATOS!$D8631,nESPEC,DATOS!$E8631,nASIG,DATOS!$I8631,nEVAL,"EX")=0),0))))</f>
      </c>
      <c r="H8631">
        <f>IF(DATOS!$G8631&lt;&gt;"EX",0,--(COUNTIFS(nNIA,DATOS!$A8631,nCURSO,DATOS!$D8631,nESPEC,DATOS!$E8631,nASIG,DATOS!$I8631,nEVAL,"OR")=0))</f>
      </c>
      <c r="I8631">
        <f>IF(DATOS!$I8631="","",IFERROR(VLOOKUP(DATOS!$I8631,CONFIG_ASIGNATURAS!$B$2:$J$91,9,FALSE()),""))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IF(DATOS!$A8632="",0,IF(CONFIG_METADATA!$B$4&lt;&gt;"OR+EX",--(DATOS!$G8632=CONFIG_METADATA!$B$4),IF(DATOS!$G8632="EX",1,IF(DATOS!$G8632="OR",--(COUNTIFS(nNIA,DATOS!$A8632,nCURSO,DATOS!$D8632,nESPEC,DATOS!$E8632,nASIG,DATOS!$I8632,nEVAL,"EX")=0),0))))</f>
      </c>
      <c r="H8632">
        <f>IF(DATOS!$G8632&lt;&gt;"EX",0,--(COUNTIFS(nNIA,DATOS!$A8632,nCURSO,DATOS!$D8632,nESPEC,DATOS!$E8632,nASIG,DATOS!$I8632,nEVAL,"OR")=0))</f>
      </c>
      <c r="I8632">
        <f>IF(DATOS!$I8632="","",IFERROR(VLOOKUP(DATOS!$I8632,CONFIG_ASIGNATURAS!$B$2:$J$91,9,FALSE()),""))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IF(DATOS!$A8633="",0,IF(CONFIG_METADATA!$B$4&lt;&gt;"OR+EX",--(DATOS!$G8633=CONFIG_METADATA!$B$4),IF(DATOS!$G8633="EX",1,IF(DATOS!$G8633="OR",--(COUNTIFS(nNIA,DATOS!$A8633,nCURSO,DATOS!$D8633,nESPEC,DATOS!$E8633,nASIG,DATOS!$I8633,nEVAL,"EX")=0),0))))</f>
      </c>
      <c r="H8633">
        <f>IF(DATOS!$G8633&lt;&gt;"EX",0,--(COUNTIFS(nNIA,DATOS!$A8633,nCURSO,DATOS!$D8633,nESPEC,DATOS!$E8633,nASIG,DATOS!$I8633,nEVAL,"OR")=0))</f>
      </c>
      <c r="I8633">
        <f>IF(DATOS!$I8633="","",IFERROR(VLOOKUP(DATOS!$I8633,CONFIG_ASIGNATURAS!$B$2:$J$91,9,FALSE()),""))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IF(DATOS!$A8634="",0,IF(CONFIG_METADATA!$B$4&lt;&gt;"OR+EX",--(DATOS!$G8634=CONFIG_METADATA!$B$4),IF(DATOS!$G8634="EX",1,IF(DATOS!$G8634="OR",--(COUNTIFS(nNIA,DATOS!$A8634,nCURSO,DATOS!$D8634,nESPEC,DATOS!$E8634,nASIG,DATOS!$I8634,nEVAL,"EX")=0),0))))</f>
      </c>
      <c r="H8634">
        <f>IF(DATOS!$G8634&lt;&gt;"EX",0,--(COUNTIFS(nNIA,DATOS!$A8634,nCURSO,DATOS!$D8634,nESPEC,DATOS!$E8634,nASIG,DATOS!$I8634,nEVAL,"OR")=0))</f>
      </c>
      <c r="I8634">
        <f>IF(DATOS!$I8634="","",IFERROR(VLOOKUP(DATOS!$I8634,CONFIG_ASIGNATURAS!$B$2:$J$91,9,FALSE()),""))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IF(DATOS!$A8635="",0,IF(CONFIG_METADATA!$B$4&lt;&gt;"OR+EX",--(DATOS!$G8635=CONFIG_METADATA!$B$4),IF(DATOS!$G8635="EX",1,IF(DATOS!$G8635="OR",--(COUNTIFS(nNIA,DATOS!$A8635,nCURSO,DATOS!$D8635,nESPEC,DATOS!$E8635,nASIG,DATOS!$I8635,nEVAL,"EX")=0),0))))</f>
      </c>
      <c r="H8635">
        <f>IF(DATOS!$G8635&lt;&gt;"EX",0,--(COUNTIFS(nNIA,DATOS!$A8635,nCURSO,DATOS!$D8635,nESPEC,DATOS!$E8635,nASIG,DATOS!$I8635,nEVAL,"OR")=0))</f>
      </c>
      <c r="I8635">
        <f>IF(DATOS!$I8635="","",IFERROR(VLOOKUP(DATOS!$I8635,CONFIG_ASIGNATURAS!$B$2:$J$91,9,FALSE()),""))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IF(DATOS!$A8636="",0,IF(CONFIG_METADATA!$B$4&lt;&gt;"OR+EX",--(DATOS!$G8636=CONFIG_METADATA!$B$4),IF(DATOS!$G8636="EX",1,IF(DATOS!$G8636="OR",--(COUNTIFS(nNIA,DATOS!$A8636,nCURSO,DATOS!$D8636,nESPEC,DATOS!$E8636,nASIG,DATOS!$I8636,nEVAL,"EX")=0),0))))</f>
      </c>
      <c r="H8636">
        <f>IF(DATOS!$G8636&lt;&gt;"EX",0,--(COUNTIFS(nNIA,DATOS!$A8636,nCURSO,DATOS!$D8636,nESPEC,DATOS!$E8636,nASIG,DATOS!$I8636,nEVAL,"OR")=0))</f>
      </c>
      <c r="I8636">
        <f>IF(DATOS!$I8636="","",IFERROR(VLOOKUP(DATOS!$I8636,CONFIG_ASIGNATURAS!$B$2:$J$91,9,FALSE()),""))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IF(DATOS!$A8637="",0,IF(CONFIG_METADATA!$B$4&lt;&gt;"OR+EX",--(DATOS!$G8637=CONFIG_METADATA!$B$4),IF(DATOS!$G8637="EX",1,IF(DATOS!$G8637="OR",--(COUNTIFS(nNIA,DATOS!$A8637,nCURSO,DATOS!$D8637,nESPEC,DATOS!$E8637,nASIG,DATOS!$I8637,nEVAL,"EX")=0),0))))</f>
      </c>
      <c r="H8637">
        <f>IF(DATOS!$G8637&lt;&gt;"EX",0,--(COUNTIFS(nNIA,DATOS!$A8637,nCURSO,DATOS!$D8637,nESPEC,DATOS!$E8637,nASIG,DATOS!$I8637,nEVAL,"OR")=0))</f>
      </c>
      <c r="I8637">
        <f>IF(DATOS!$I8637="","",IFERROR(VLOOKUP(DATOS!$I8637,CONFIG_ASIGNATURAS!$B$2:$J$91,9,FALSE()),""))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IF(DATOS!$A8638="",0,IF(CONFIG_METADATA!$B$4&lt;&gt;"OR+EX",--(DATOS!$G8638=CONFIG_METADATA!$B$4),IF(DATOS!$G8638="EX",1,IF(DATOS!$G8638="OR",--(COUNTIFS(nNIA,DATOS!$A8638,nCURSO,DATOS!$D8638,nESPEC,DATOS!$E8638,nASIG,DATOS!$I8638,nEVAL,"EX")=0),0))))</f>
      </c>
      <c r="H8638">
        <f>IF(DATOS!$G8638&lt;&gt;"EX",0,--(COUNTIFS(nNIA,DATOS!$A8638,nCURSO,DATOS!$D8638,nESPEC,DATOS!$E8638,nASIG,DATOS!$I8638,nEVAL,"OR")=0))</f>
      </c>
      <c r="I8638">
        <f>IF(DATOS!$I8638="","",IFERROR(VLOOKUP(DATOS!$I8638,CONFIG_ASIGNATURAS!$B$2:$J$91,9,FALSE()),""))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IF(DATOS!$A8639="",0,IF(CONFIG_METADATA!$B$4&lt;&gt;"OR+EX",--(DATOS!$G8639=CONFIG_METADATA!$B$4),IF(DATOS!$G8639="EX",1,IF(DATOS!$G8639="OR",--(COUNTIFS(nNIA,DATOS!$A8639,nCURSO,DATOS!$D8639,nESPEC,DATOS!$E8639,nASIG,DATOS!$I8639,nEVAL,"EX")=0),0))))</f>
      </c>
      <c r="H8639">
        <f>IF(DATOS!$G8639&lt;&gt;"EX",0,--(COUNTIFS(nNIA,DATOS!$A8639,nCURSO,DATOS!$D8639,nESPEC,DATOS!$E8639,nASIG,DATOS!$I8639,nEVAL,"OR")=0))</f>
      </c>
      <c r="I8639">
        <f>IF(DATOS!$I8639="","",IFERROR(VLOOKUP(DATOS!$I8639,CONFIG_ASIGNATURAS!$B$2:$J$91,9,FALSE()),""))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IF(DATOS!$A8640="",0,IF(CONFIG_METADATA!$B$4&lt;&gt;"OR+EX",--(DATOS!$G8640=CONFIG_METADATA!$B$4),IF(DATOS!$G8640="EX",1,IF(DATOS!$G8640="OR",--(COUNTIFS(nNIA,DATOS!$A8640,nCURSO,DATOS!$D8640,nESPEC,DATOS!$E8640,nASIG,DATOS!$I8640,nEVAL,"EX")=0),0))))</f>
      </c>
      <c r="H8640">
        <f>IF(DATOS!$G8640&lt;&gt;"EX",0,--(COUNTIFS(nNIA,DATOS!$A8640,nCURSO,DATOS!$D8640,nESPEC,DATOS!$E8640,nASIG,DATOS!$I8640,nEVAL,"OR")=0))</f>
      </c>
      <c r="I8640">
        <f>IF(DATOS!$I8640="","",IFERROR(VLOOKUP(DATOS!$I8640,CONFIG_ASIGNATURAS!$B$2:$J$91,9,FALSE()),""))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IF(DATOS!$A8641="",0,IF(CONFIG_METADATA!$B$4&lt;&gt;"OR+EX",--(DATOS!$G8641=CONFIG_METADATA!$B$4),IF(DATOS!$G8641="EX",1,IF(DATOS!$G8641="OR",--(COUNTIFS(nNIA,DATOS!$A8641,nCURSO,DATOS!$D8641,nESPEC,DATOS!$E8641,nASIG,DATOS!$I8641,nEVAL,"EX")=0),0))))</f>
      </c>
      <c r="H8641">
        <f>IF(DATOS!$G8641&lt;&gt;"EX",0,--(COUNTIFS(nNIA,DATOS!$A8641,nCURSO,DATOS!$D8641,nESPEC,DATOS!$E8641,nASIG,DATOS!$I8641,nEVAL,"OR")=0))</f>
      </c>
      <c r="I8641">
        <f>IF(DATOS!$I8641="","",IFERROR(VLOOKUP(DATOS!$I8641,CONFIG_ASIGNATURAS!$B$2:$J$91,9,FALSE()),""))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IF(DATOS!$A8642="",0,IF(CONFIG_METADATA!$B$4&lt;&gt;"OR+EX",--(DATOS!$G8642=CONFIG_METADATA!$B$4),IF(DATOS!$G8642="EX",1,IF(DATOS!$G8642="OR",--(COUNTIFS(nNIA,DATOS!$A8642,nCURSO,DATOS!$D8642,nESPEC,DATOS!$E8642,nASIG,DATOS!$I8642,nEVAL,"EX")=0),0))))</f>
      </c>
      <c r="H8642">
        <f>IF(DATOS!$G8642&lt;&gt;"EX",0,--(COUNTIFS(nNIA,DATOS!$A8642,nCURSO,DATOS!$D8642,nESPEC,DATOS!$E8642,nASIG,DATOS!$I8642,nEVAL,"OR")=0))</f>
      </c>
      <c r="I8642">
        <f>IF(DATOS!$I8642="","",IFERROR(VLOOKUP(DATOS!$I8642,CONFIG_ASIGNATURAS!$B$2:$J$91,9,FALSE()),""))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IF(DATOS!$A8643="",0,IF(CONFIG_METADATA!$B$4&lt;&gt;"OR+EX",--(DATOS!$G8643=CONFIG_METADATA!$B$4),IF(DATOS!$G8643="EX",1,IF(DATOS!$G8643="OR",--(COUNTIFS(nNIA,DATOS!$A8643,nCURSO,DATOS!$D8643,nESPEC,DATOS!$E8643,nASIG,DATOS!$I8643,nEVAL,"EX")=0),0))))</f>
      </c>
      <c r="H8643">
        <f>IF(DATOS!$G8643&lt;&gt;"EX",0,--(COUNTIFS(nNIA,DATOS!$A8643,nCURSO,DATOS!$D8643,nESPEC,DATOS!$E8643,nASIG,DATOS!$I8643,nEVAL,"OR")=0))</f>
      </c>
      <c r="I8643">
        <f>IF(DATOS!$I8643="","",IFERROR(VLOOKUP(DATOS!$I8643,CONFIG_ASIGNATURAS!$B$2:$J$91,9,FALSE()),""))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IF(DATOS!$A8644="",0,IF(CONFIG_METADATA!$B$4&lt;&gt;"OR+EX",--(DATOS!$G8644=CONFIG_METADATA!$B$4),IF(DATOS!$G8644="EX",1,IF(DATOS!$G8644="OR",--(COUNTIFS(nNIA,DATOS!$A8644,nCURSO,DATOS!$D8644,nESPEC,DATOS!$E8644,nASIG,DATOS!$I8644,nEVAL,"EX")=0),0))))</f>
      </c>
      <c r="H8644">
        <f>IF(DATOS!$G8644&lt;&gt;"EX",0,--(COUNTIFS(nNIA,DATOS!$A8644,nCURSO,DATOS!$D8644,nESPEC,DATOS!$E8644,nASIG,DATOS!$I8644,nEVAL,"OR")=0))</f>
      </c>
      <c r="I8644">
        <f>IF(DATOS!$I8644="","",IFERROR(VLOOKUP(DATOS!$I8644,CONFIG_ASIGNATURAS!$B$2:$J$91,9,FALSE()),""))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IF(DATOS!$A8645="",0,IF(CONFIG_METADATA!$B$4&lt;&gt;"OR+EX",--(DATOS!$G8645=CONFIG_METADATA!$B$4),IF(DATOS!$G8645="EX",1,IF(DATOS!$G8645="OR",--(COUNTIFS(nNIA,DATOS!$A8645,nCURSO,DATOS!$D8645,nESPEC,DATOS!$E8645,nASIG,DATOS!$I8645,nEVAL,"EX")=0),0))))</f>
      </c>
      <c r="H8645">
        <f>IF(DATOS!$G8645&lt;&gt;"EX",0,--(COUNTIFS(nNIA,DATOS!$A8645,nCURSO,DATOS!$D8645,nESPEC,DATOS!$E8645,nASIG,DATOS!$I8645,nEVAL,"OR")=0))</f>
      </c>
      <c r="I8645">
        <f>IF(DATOS!$I8645="","",IFERROR(VLOOKUP(DATOS!$I8645,CONFIG_ASIGNATURAS!$B$2:$J$91,9,FALSE()),""))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IF(DATOS!$A8646="",0,IF(CONFIG_METADATA!$B$4&lt;&gt;"OR+EX",--(DATOS!$G8646=CONFIG_METADATA!$B$4),IF(DATOS!$G8646="EX",1,IF(DATOS!$G8646="OR",--(COUNTIFS(nNIA,DATOS!$A8646,nCURSO,DATOS!$D8646,nESPEC,DATOS!$E8646,nASIG,DATOS!$I8646,nEVAL,"EX")=0),0))))</f>
      </c>
      <c r="H8646">
        <f>IF(DATOS!$G8646&lt;&gt;"EX",0,--(COUNTIFS(nNIA,DATOS!$A8646,nCURSO,DATOS!$D8646,nESPEC,DATOS!$E8646,nASIG,DATOS!$I8646,nEVAL,"OR")=0))</f>
      </c>
      <c r="I8646">
        <f>IF(DATOS!$I8646="","",IFERROR(VLOOKUP(DATOS!$I8646,CONFIG_ASIGNATURAS!$B$2:$J$91,9,FALSE()),""))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IF(DATOS!$A8647="",0,IF(CONFIG_METADATA!$B$4&lt;&gt;"OR+EX",--(DATOS!$G8647=CONFIG_METADATA!$B$4),IF(DATOS!$G8647="EX",1,IF(DATOS!$G8647="OR",--(COUNTIFS(nNIA,DATOS!$A8647,nCURSO,DATOS!$D8647,nESPEC,DATOS!$E8647,nASIG,DATOS!$I8647,nEVAL,"EX")=0),0))))</f>
      </c>
      <c r="H8647">
        <f>IF(DATOS!$G8647&lt;&gt;"EX",0,--(COUNTIFS(nNIA,DATOS!$A8647,nCURSO,DATOS!$D8647,nESPEC,DATOS!$E8647,nASIG,DATOS!$I8647,nEVAL,"OR")=0))</f>
      </c>
      <c r="I8647">
        <f>IF(DATOS!$I8647="","",IFERROR(VLOOKUP(DATOS!$I8647,CONFIG_ASIGNATURAS!$B$2:$J$91,9,FALSE()),""))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IF(DATOS!$A8648="",0,IF(CONFIG_METADATA!$B$4&lt;&gt;"OR+EX",--(DATOS!$G8648=CONFIG_METADATA!$B$4),IF(DATOS!$G8648="EX",1,IF(DATOS!$G8648="OR",--(COUNTIFS(nNIA,DATOS!$A8648,nCURSO,DATOS!$D8648,nESPEC,DATOS!$E8648,nASIG,DATOS!$I8648,nEVAL,"EX")=0),0))))</f>
      </c>
      <c r="H8648">
        <f>IF(DATOS!$G8648&lt;&gt;"EX",0,--(COUNTIFS(nNIA,DATOS!$A8648,nCURSO,DATOS!$D8648,nESPEC,DATOS!$E8648,nASIG,DATOS!$I8648,nEVAL,"OR")=0))</f>
      </c>
      <c r="I8648">
        <f>IF(DATOS!$I8648="","",IFERROR(VLOOKUP(DATOS!$I8648,CONFIG_ASIGNATURAS!$B$2:$J$91,9,FALSE()),""))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IF(DATOS!$A8649="",0,IF(CONFIG_METADATA!$B$4&lt;&gt;"OR+EX",--(DATOS!$G8649=CONFIG_METADATA!$B$4),IF(DATOS!$G8649="EX",1,IF(DATOS!$G8649="OR",--(COUNTIFS(nNIA,DATOS!$A8649,nCURSO,DATOS!$D8649,nESPEC,DATOS!$E8649,nASIG,DATOS!$I8649,nEVAL,"EX")=0),0))))</f>
      </c>
      <c r="H8649">
        <f>IF(DATOS!$G8649&lt;&gt;"EX",0,--(COUNTIFS(nNIA,DATOS!$A8649,nCURSO,DATOS!$D8649,nESPEC,DATOS!$E8649,nASIG,DATOS!$I8649,nEVAL,"OR")=0))</f>
      </c>
      <c r="I8649">
        <f>IF(DATOS!$I8649="","",IFERROR(VLOOKUP(DATOS!$I8649,CONFIG_ASIGNATURAS!$B$2:$J$91,9,FALSE()),""))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IF(DATOS!$A8650="",0,IF(CONFIG_METADATA!$B$4&lt;&gt;"OR+EX",--(DATOS!$G8650=CONFIG_METADATA!$B$4),IF(DATOS!$G8650="EX",1,IF(DATOS!$G8650="OR",--(COUNTIFS(nNIA,DATOS!$A8650,nCURSO,DATOS!$D8650,nESPEC,DATOS!$E8650,nASIG,DATOS!$I8650,nEVAL,"EX")=0),0))))</f>
      </c>
      <c r="H8650">
        <f>IF(DATOS!$G8650&lt;&gt;"EX",0,--(COUNTIFS(nNIA,DATOS!$A8650,nCURSO,DATOS!$D8650,nESPEC,DATOS!$E8650,nASIG,DATOS!$I8650,nEVAL,"OR")=0))</f>
      </c>
      <c r="I8650">
        <f>IF(DATOS!$I8650="","",IFERROR(VLOOKUP(DATOS!$I8650,CONFIG_ASIGNATURAS!$B$2:$J$91,9,FALSE()),""))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IF(DATOS!$A8651="",0,IF(CONFIG_METADATA!$B$4&lt;&gt;"OR+EX",--(DATOS!$G8651=CONFIG_METADATA!$B$4),IF(DATOS!$G8651="EX",1,IF(DATOS!$G8651="OR",--(COUNTIFS(nNIA,DATOS!$A8651,nCURSO,DATOS!$D8651,nESPEC,DATOS!$E8651,nASIG,DATOS!$I8651,nEVAL,"EX")=0),0))))</f>
      </c>
      <c r="H8651">
        <f>IF(DATOS!$G8651&lt;&gt;"EX",0,--(COUNTIFS(nNIA,DATOS!$A8651,nCURSO,DATOS!$D8651,nESPEC,DATOS!$E8651,nASIG,DATOS!$I8651,nEVAL,"OR")=0))</f>
      </c>
      <c r="I8651">
        <f>IF(DATOS!$I8651="","",IFERROR(VLOOKUP(DATOS!$I8651,CONFIG_ASIGNATURAS!$B$2:$J$91,9,FALSE()),""))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IF(DATOS!$A8652="",0,IF(CONFIG_METADATA!$B$4&lt;&gt;"OR+EX",--(DATOS!$G8652=CONFIG_METADATA!$B$4),IF(DATOS!$G8652="EX",1,IF(DATOS!$G8652="OR",--(COUNTIFS(nNIA,DATOS!$A8652,nCURSO,DATOS!$D8652,nESPEC,DATOS!$E8652,nASIG,DATOS!$I8652,nEVAL,"EX")=0),0))))</f>
      </c>
      <c r="H8652">
        <f>IF(DATOS!$G8652&lt;&gt;"EX",0,--(COUNTIFS(nNIA,DATOS!$A8652,nCURSO,DATOS!$D8652,nESPEC,DATOS!$E8652,nASIG,DATOS!$I8652,nEVAL,"OR")=0))</f>
      </c>
      <c r="I8652">
        <f>IF(DATOS!$I8652="","",IFERROR(VLOOKUP(DATOS!$I8652,CONFIG_ASIGNATURAS!$B$2:$J$91,9,FALSE()),""))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IF(DATOS!$A8653="",0,IF(CONFIG_METADATA!$B$4&lt;&gt;"OR+EX",--(DATOS!$G8653=CONFIG_METADATA!$B$4),IF(DATOS!$G8653="EX",1,IF(DATOS!$G8653="OR",--(COUNTIFS(nNIA,DATOS!$A8653,nCURSO,DATOS!$D8653,nESPEC,DATOS!$E8653,nASIG,DATOS!$I8653,nEVAL,"EX")=0),0))))</f>
      </c>
      <c r="H8653">
        <f>IF(DATOS!$G8653&lt;&gt;"EX",0,--(COUNTIFS(nNIA,DATOS!$A8653,nCURSO,DATOS!$D8653,nESPEC,DATOS!$E8653,nASIG,DATOS!$I8653,nEVAL,"OR")=0))</f>
      </c>
      <c r="I8653">
        <f>IF(DATOS!$I8653="","",IFERROR(VLOOKUP(DATOS!$I8653,CONFIG_ASIGNATURAS!$B$2:$J$91,9,FALSE()),""))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IF(DATOS!$A8654="",0,IF(CONFIG_METADATA!$B$4&lt;&gt;"OR+EX",--(DATOS!$G8654=CONFIG_METADATA!$B$4),IF(DATOS!$G8654="EX",1,IF(DATOS!$G8654="OR",--(COUNTIFS(nNIA,DATOS!$A8654,nCURSO,DATOS!$D8654,nESPEC,DATOS!$E8654,nASIG,DATOS!$I8654,nEVAL,"EX")=0),0))))</f>
      </c>
      <c r="H8654">
        <f>IF(DATOS!$G8654&lt;&gt;"EX",0,--(COUNTIFS(nNIA,DATOS!$A8654,nCURSO,DATOS!$D8654,nESPEC,DATOS!$E8654,nASIG,DATOS!$I8654,nEVAL,"OR")=0))</f>
      </c>
      <c r="I8654">
        <f>IF(DATOS!$I8654="","",IFERROR(VLOOKUP(DATOS!$I8654,CONFIG_ASIGNATURAS!$B$2:$J$91,9,FALSE()),""))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IF(DATOS!$A8655="",0,IF(CONFIG_METADATA!$B$4&lt;&gt;"OR+EX",--(DATOS!$G8655=CONFIG_METADATA!$B$4),IF(DATOS!$G8655="EX",1,IF(DATOS!$G8655="OR",--(COUNTIFS(nNIA,DATOS!$A8655,nCURSO,DATOS!$D8655,nESPEC,DATOS!$E8655,nASIG,DATOS!$I8655,nEVAL,"EX")=0),0))))</f>
      </c>
      <c r="H8655">
        <f>IF(DATOS!$G8655&lt;&gt;"EX",0,--(COUNTIFS(nNIA,DATOS!$A8655,nCURSO,DATOS!$D8655,nESPEC,DATOS!$E8655,nASIG,DATOS!$I8655,nEVAL,"OR")=0))</f>
      </c>
      <c r="I8655">
        <f>IF(DATOS!$I8655="","",IFERROR(VLOOKUP(DATOS!$I8655,CONFIG_ASIGNATURAS!$B$2:$J$91,9,FALSE()),""))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IF(DATOS!$A8656="",0,IF(CONFIG_METADATA!$B$4&lt;&gt;"OR+EX",--(DATOS!$G8656=CONFIG_METADATA!$B$4),IF(DATOS!$G8656="EX",1,IF(DATOS!$G8656="OR",--(COUNTIFS(nNIA,DATOS!$A8656,nCURSO,DATOS!$D8656,nESPEC,DATOS!$E8656,nASIG,DATOS!$I8656,nEVAL,"EX")=0),0))))</f>
      </c>
      <c r="H8656">
        <f>IF(DATOS!$G8656&lt;&gt;"EX",0,--(COUNTIFS(nNIA,DATOS!$A8656,nCURSO,DATOS!$D8656,nESPEC,DATOS!$E8656,nASIG,DATOS!$I8656,nEVAL,"OR")=0))</f>
      </c>
      <c r="I8656">
        <f>IF(DATOS!$I8656="","",IFERROR(VLOOKUP(DATOS!$I8656,CONFIG_ASIGNATURAS!$B$2:$J$91,9,FALSE()),""))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IF(DATOS!$A8657="",0,IF(CONFIG_METADATA!$B$4&lt;&gt;"OR+EX",--(DATOS!$G8657=CONFIG_METADATA!$B$4),IF(DATOS!$G8657="EX",1,IF(DATOS!$G8657="OR",--(COUNTIFS(nNIA,DATOS!$A8657,nCURSO,DATOS!$D8657,nESPEC,DATOS!$E8657,nASIG,DATOS!$I8657,nEVAL,"EX")=0),0))))</f>
      </c>
      <c r="H8657">
        <f>IF(DATOS!$G8657&lt;&gt;"EX",0,--(COUNTIFS(nNIA,DATOS!$A8657,nCURSO,DATOS!$D8657,nESPEC,DATOS!$E8657,nASIG,DATOS!$I8657,nEVAL,"OR")=0))</f>
      </c>
      <c r="I8657">
        <f>IF(DATOS!$I8657="","",IFERROR(VLOOKUP(DATOS!$I8657,CONFIG_ASIGNATURAS!$B$2:$J$91,9,FALSE()),""))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IF(DATOS!$A8658="",0,IF(CONFIG_METADATA!$B$4&lt;&gt;"OR+EX",--(DATOS!$G8658=CONFIG_METADATA!$B$4),IF(DATOS!$G8658="EX",1,IF(DATOS!$G8658="OR",--(COUNTIFS(nNIA,DATOS!$A8658,nCURSO,DATOS!$D8658,nESPEC,DATOS!$E8658,nASIG,DATOS!$I8658,nEVAL,"EX")=0),0))))</f>
      </c>
      <c r="H8658">
        <f>IF(DATOS!$G8658&lt;&gt;"EX",0,--(COUNTIFS(nNIA,DATOS!$A8658,nCURSO,DATOS!$D8658,nESPEC,DATOS!$E8658,nASIG,DATOS!$I8658,nEVAL,"OR")=0))</f>
      </c>
      <c r="I8658">
        <f>IF(DATOS!$I8658="","",IFERROR(VLOOKUP(DATOS!$I8658,CONFIG_ASIGNATURAS!$B$2:$J$91,9,FALSE()),""))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IF(DATOS!$A8659="",0,IF(CONFIG_METADATA!$B$4&lt;&gt;"OR+EX",--(DATOS!$G8659=CONFIG_METADATA!$B$4),IF(DATOS!$G8659="EX",1,IF(DATOS!$G8659="OR",--(COUNTIFS(nNIA,DATOS!$A8659,nCURSO,DATOS!$D8659,nESPEC,DATOS!$E8659,nASIG,DATOS!$I8659,nEVAL,"EX")=0),0))))</f>
      </c>
      <c r="H8659">
        <f>IF(DATOS!$G8659&lt;&gt;"EX",0,--(COUNTIFS(nNIA,DATOS!$A8659,nCURSO,DATOS!$D8659,nESPEC,DATOS!$E8659,nASIG,DATOS!$I8659,nEVAL,"OR")=0))</f>
      </c>
      <c r="I8659">
        <f>IF(DATOS!$I8659="","",IFERROR(VLOOKUP(DATOS!$I8659,CONFIG_ASIGNATURAS!$B$2:$J$91,9,FALSE()),""))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IF(DATOS!$A8660="",0,IF(CONFIG_METADATA!$B$4&lt;&gt;"OR+EX",--(DATOS!$G8660=CONFIG_METADATA!$B$4),IF(DATOS!$G8660="EX",1,IF(DATOS!$G8660="OR",--(COUNTIFS(nNIA,DATOS!$A8660,nCURSO,DATOS!$D8660,nESPEC,DATOS!$E8660,nASIG,DATOS!$I8660,nEVAL,"EX")=0),0))))</f>
      </c>
      <c r="H8660">
        <f>IF(DATOS!$G8660&lt;&gt;"EX",0,--(COUNTIFS(nNIA,DATOS!$A8660,nCURSO,DATOS!$D8660,nESPEC,DATOS!$E8660,nASIG,DATOS!$I8660,nEVAL,"OR")=0))</f>
      </c>
      <c r="I8660">
        <f>IF(DATOS!$I8660="","",IFERROR(VLOOKUP(DATOS!$I8660,CONFIG_ASIGNATURAS!$B$2:$J$91,9,FALSE()),""))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IF(DATOS!$A8661="",0,IF(CONFIG_METADATA!$B$4&lt;&gt;"OR+EX",--(DATOS!$G8661=CONFIG_METADATA!$B$4),IF(DATOS!$G8661="EX",1,IF(DATOS!$G8661="OR",--(COUNTIFS(nNIA,DATOS!$A8661,nCURSO,DATOS!$D8661,nESPEC,DATOS!$E8661,nASIG,DATOS!$I8661,nEVAL,"EX")=0),0))))</f>
      </c>
      <c r="H8661">
        <f>IF(DATOS!$G8661&lt;&gt;"EX",0,--(COUNTIFS(nNIA,DATOS!$A8661,nCURSO,DATOS!$D8661,nESPEC,DATOS!$E8661,nASIG,DATOS!$I8661,nEVAL,"OR")=0))</f>
      </c>
      <c r="I8661">
        <f>IF(DATOS!$I8661="","",IFERROR(VLOOKUP(DATOS!$I8661,CONFIG_ASIGNATURAS!$B$2:$J$91,9,FALSE()),""))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IF(DATOS!$A8662="",0,IF(CONFIG_METADATA!$B$4&lt;&gt;"OR+EX",--(DATOS!$G8662=CONFIG_METADATA!$B$4),IF(DATOS!$G8662="EX",1,IF(DATOS!$G8662="OR",--(COUNTIFS(nNIA,DATOS!$A8662,nCURSO,DATOS!$D8662,nESPEC,DATOS!$E8662,nASIG,DATOS!$I8662,nEVAL,"EX")=0),0))))</f>
      </c>
      <c r="H8662">
        <f>IF(DATOS!$G8662&lt;&gt;"EX",0,--(COUNTIFS(nNIA,DATOS!$A8662,nCURSO,DATOS!$D8662,nESPEC,DATOS!$E8662,nASIG,DATOS!$I8662,nEVAL,"OR")=0))</f>
      </c>
      <c r="I8662">
        <f>IF(DATOS!$I8662="","",IFERROR(VLOOKUP(DATOS!$I8662,CONFIG_ASIGNATURAS!$B$2:$J$91,9,FALSE()),""))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IF(DATOS!$A8663="",0,IF(CONFIG_METADATA!$B$4&lt;&gt;"OR+EX",--(DATOS!$G8663=CONFIG_METADATA!$B$4),IF(DATOS!$G8663="EX",1,IF(DATOS!$G8663="OR",--(COUNTIFS(nNIA,DATOS!$A8663,nCURSO,DATOS!$D8663,nESPEC,DATOS!$E8663,nASIG,DATOS!$I8663,nEVAL,"EX")=0),0))))</f>
      </c>
      <c r="H8663">
        <f>IF(DATOS!$G8663&lt;&gt;"EX",0,--(COUNTIFS(nNIA,DATOS!$A8663,nCURSO,DATOS!$D8663,nESPEC,DATOS!$E8663,nASIG,DATOS!$I8663,nEVAL,"OR")=0))</f>
      </c>
      <c r="I8663">
        <f>IF(DATOS!$I8663="","",IFERROR(VLOOKUP(DATOS!$I8663,CONFIG_ASIGNATURAS!$B$2:$J$91,9,FALSE()),""))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IF(DATOS!$A8664="",0,IF(CONFIG_METADATA!$B$4&lt;&gt;"OR+EX",--(DATOS!$G8664=CONFIG_METADATA!$B$4),IF(DATOS!$G8664="EX",1,IF(DATOS!$G8664="OR",--(COUNTIFS(nNIA,DATOS!$A8664,nCURSO,DATOS!$D8664,nESPEC,DATOS!$E8664,nASIG,DATOS!$I8664,nEVAL,"EX")=0),0))))</f>
      </c>
      <c r="H8664">
        <f>IF(DATOS!$G8664&lt;&gt;"EX",0,--(COUNTIFS(nNIA,DATOS!$A8664,nCURSO,DATOS!$D8664,nESPEC,DATOS!$E8664,nASIG,DATOS!$I8664,nEVAL,"OR")=0))</f>
      </c>
      <c r="I8664">
        <f>IF(DATOS!$I8664="","",IFERROR(VLOOKUP(DATOS!$I8664,CONFIG_ASIGNATURAS!$B$2:$J$91,9,FALSE()),""))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IF(DATOS!$A8665="",0,IF(CONFIG_METADATA!$B$4&lt;&gt;"OR+EX",--(DATOS!$G8665=CONFIG_METADATA!$B$4),IF(DATOS!$G8665="EX",1,IF(DATOS!$G8665="OR",--(COUNTIFS(nNIA,DATOS!$A8665,nCURSO,DATOS!$D8665,nESPEC,DATOS!$E8665,nASIG,DATOS!$I8665,nEVAL,"EX")=0),0))))</f>
      </c>
      <c r="H8665">
        <f>IF(DATOS!$G8665&lt;&gt;"EX",0,--(COUNTIFS(nNIA,DATOS!$A8665,nCURSO,DATOS!$D8665,nESPEC,DATOS!$E8665,nASIG,DATOS!$I8665,nEVAL,"OR")=0))</f>
      </c>
      <c r="I8665">
        <f>IF(DATOS!$I8665="","",IFERROR(VLOOKUP(DATOS!$I8665,CONFIG_ASIGNATURAS!$B$2:$J$91,9,FALSE()),""))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IF(DATOS!$A8666="",0,IF(CONFIG_METADATA!$B$4&lt;&gt;"OR+EX",--(DATOS!$G8666=CONFIG_METADATA!$B$4),IF(DATOS!$G8666="EX",1,IF(DATOS!$G8666="OR",--(COUNTIFS(nNIA,DATOS!$A8666,nCURSO,DATOS!$D8666,nESPEC,DATOS!$E8666,nASIG,DATOS!$I8666,nEVAL,"EX")=0),0))))</f>
      </c>
      <c r="H8666">
        <f>IF(DATOS!$G8666&lt;&gt;"EX",0,--(COUNTIFS(nNIA,DATOS!$A8666,nCURSO,DATOS!$D8666,nESPEC,DATOS!$E8666,nASIG,DATOS!$I8666,nEVAL,"OR")=0))</f>
      </c>
      <c r="I8666">
        <f>IF(DATOS!$I8666="","",IFERROR(VLOOKUP(DATOS!$I8666,CONFIG_ASIGNATURAS!$B$2:$J$91,9,FALSE()),""))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IF(DATOS!$A8667="",0,IF(CONFIG_METADATA!$B$4&lt;&gt;"OR+EX",--(DATOS!$G8667=CONFIG_METADATA!$B$4),IF(DATOS!$G8667="EX",1,IF(DATOS!$G8667="OR",--(COUNTIFS(nNIA,DATOS!$A8667,nCURSO,DATOS!$D8667,nESPEC,DATOS!$E8667,nASIG,DATOS!$I8667,nEVAL,"EX")=0),0))))</f>
      </c>
      <c r="H8667">
        <f>IF(DATOS!$G8667&lt;&gt;"EX",0,--(COUNTIFS(nNIA,DATOS!$A8667,nCURSO,DATOS!$D8667,nESPEC,DATOS!$E8667,nASIG,DATOS!$I8667,nEVAL,"OR")=0))</f>
      </c>
      <c r="I8667">
        <f>IF(DATOS!$I8667="","",IFERROR(VLOOKUP(DATOS!$I8667,CONFIG_ASIGNATURAS!$B$2:$J$91,9,FALSE()),""))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IF(DATOS!$A8668="",0,IF(CONFIG_METADATA!$B$4&lt;&gt;"OR+EX",--(DATOS!$G8668=CONFIG_METADATA!$B$4),IF(DATOS!$G8668="EX",1,IF(DATOS!$G8668="OR",--(COUNTIFS(nNIA,DATOS!$A8668,nCURSO,DATOS!$D8668,nESPEC,DATOS!$E8668,nASIG,DATOS!$I8668,nEVAL,"EX")=0),0))))</f>
      </c>
      <c r="H8668">
        <f>IF(DATOS!$G8668&lt;&gt;"EX",0,--(COUNTIFS(nNIA,DATOS!$A8668,nCURSO,DATOS!$D8668,nESPEC,DATOS!$E8668,nASIG,DATOS!$I8668,nEVAL,"OR")=0))</f>
      </c>
      <c r="I8668">
        <f>IF(DATOS!$I8668="","",IFERROR(VLOOKUP(DATOS!$I8668,CONFIG_ASIGNATURAS!$B$2:$J$91,9,FALSE()),""))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IF(DATOS!$A8669="",0,IF(CONFIG_METADATA!$B$4&lt;&gt;"OR+EX",--(DATOS!$G8669=CONFIG_METADATA!$B$4),IF(DATOS!$G8669="EX",1,IF(DATOS!$G8669="OR",--(COUNTIFS(nNIA,DATOS!$A8669,nCURSO,DATOS!$D8669,nESPEC,DATOS!$E8669,nASIG,DATOS!$I8669,nEVAL,"EX")=0),0))))</f>
      </c>
      <c r="H8669">
        <f>IF(DATOS!$G8669&lt;&gt;"EX",0,--(COUNTIFS(nNIA,DATOS!$A8669,nCURSO,DATOS!$D8669,nESPEC,DATOS!$E8669,nASIG,DATOS!$I8669,nEVAL,"OR")=0))</f>
      </c>
      <c r="I8669">
        <f>IF(DATOS!$I8669="","",IFERROR(VLOOKUP(DATOS!$I8669,CONFIG_ASIGNATURAS!$B$2:$J$91,9,FALSE()),""))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IF(DATOS!$A8670="",0,IF(CONFIG_METADATA!$B$4&lt;&gt;"OR+EX",--(DATOS!$G8670=CONFIG_METADATA!$B$4),IF(DATOS!$G8670="EX",1,IF(DATOS!$G8670="OR",--(COUNTIFS(nNIA,DATOS!$A8670,nCURSO,DATOS!$D8670,nESPEC,DATOS!$E8670,nASIG,DATOS!$I8670,nEVAL,"EX")=0),0))))</f>
      </c>
      <c r="H8670">
        <f>IF(DATOS!$G8670&lt;&gt;"EX",0,--(COUNTIFS(nNIA,DATOS!$A8670,nCURSO,DATOS!$D8670,nESPEC,DATOS!$E8670,nASIG,DATOS!$I8670,nEVAL,"OR")=0))</f>
      </c>
      <c r="I8670">
        <f>IF(DATOS!$I8670="","",IFERROR(VLOOKUP(DATOS!$I8670,CONFIG_ASIGNATURAS!$B$2:$J$91,9,FALSE()),""))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IF(DATOS!$A8671="",0,IF(CONFIG_METADATA!$B$4&lt;&gt;"OR+EX",--(DATOS!$G8671=CONFIG_METADATA!$B$4),IF(DATOS!$G8671="EX",1,IF(DATOS!$G8671="OR",--(COUNTIFS(nNIA,DATOS!$A8671,nCURSO,DATOS!$D8671,nESPEC,DATOS!$E8671,nASIG,DATOS!$I8671,nEVAL,"EX")=0),0))))</f>
      </c>
      <c r="H8671">
        <f>IF(DATOS!$G8671&lt;&gt;"EX",0,--(COUNTIFS(nNIA,DATOS!$A8671,nCURSO,DATOS!$D8671,nESPEC,DATOS!$E8671,nASIG,DATOS!$I8671,nEVAL,"OR")=0))</f>
      </c>
      <c r="I8671">
        <f>IF(DATOS!$I8671="","",IFERROR(VLOOKUP(DATOS!$I8671,CONFIG_ASIGNATURAS!$B$2:$J$91,9,FALSE()),""))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IF(DATOS!$A8672="",0,IF(CONFIG_METADATA!$B$4&lt;&gt;"OR+EX",--(DATOS!$G8672=CONFIG_METADATA!$B$4),IF(DATOS!$G8672="EX",1,IF(DATOS!$G8672="OR",--(COUNTIFS(nNIA,DATOS!$A8672,nCURSO,DATOS!$D8672,nESPEC,DATOS!$E8672,nASIG,DATOS!$I8672,nEVAL,"EX")=0),0))))</f>
      </c>
      <c r="H8672">
        <f>IF(DATOS!$G8672&lt;&gt;"EX",0,--(COUNTIFS(nNIA,DATOS!$A8672,nCURSO,DATOS!$D8672,nESPEC,DATOS!$E8672,nASIG,DATOS!$I8672,nEVAL,"OR")=0))</f>
      </c>
      <c r="I8672">
        <f>IF(DATOS!$I8672="","",IFERROR(VLOOKUP(DATOS!$I8672,CONFIG_ASIGNATURAS!$B$2:$J$91,9,FALSE()),""))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IF(DATOS!$A8673="",0,IF(CONFIG_METADATA!$B$4&lt;&gt;"OR+EX",--(DATOS!$G8673=CONFIG_METADATA!$B$4),IF(DATOS!$G8673="EX",1,IF(DATOS!$G8673="OR",--(COUNTIFS(nNIA,DATOS!$A8673,nCURSO,DATOS!$D8673,nESPEC,DATOS!$E8673,nASIG,DATOS!$I8673,nEVAL,"EX")=0),0))))</f>
      </c>
      <c r="H8673">
        <f>IF(DATOS!$G8673&lt;&gt;"EX",0,--(COUNTIFS(nNIA,DATOS!$A8673,nCURSO,DATOS!$D8673,nESPEC,DATOS!$E8673,nASIG,DATOS!$I8673,nEVAL,"OR")=0))</f>
      </c>
      <c r="I8673">
        <f>IF(DATOS!$I8673="","",IFERROR(VLOOKUP(DATOS!$I8673,CONFIG_ASIGNATURAS!$B$2:$J$91,9,FALSE()),""))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IF(DATOS!$A8674="",0,IF(CONFIG_METADATA!$B$4&lt;&gt;"OR+EX",--(DATOS!$G8674=CONFIG_METADATA!$B$4),IF(DATOS!$G8674="EX",1,IF(DATOS!$G8674="OR",--(COUNTIFS(nNIA,DATOS!$A8674,nCURSO,DATOS!$D8674,nESPEC,DATOS!$E8674,nASIG,DATOS!$I8674,nEVAL,"EX")=0),0))))</f>
      </c>
      <c r="H8674">
        <f>IF(DATOS!$G8674&lt;&gt;"EX",0,--(COUNTIFS(nNIA,DATOS!$A8674,nCURSO,DATOS!$D8674,nESPEC,DATOS!$E8674,nASIG,DATOS!$I8674,nEVAL,"OR")=0))</f>
      </c>
      <c r="I8674">
        <f>IF(DATOS!$I8674="","",IFERROR(VLOOKUP(DATOS!$I8674,CONFIG_ASIGNATURAS!$B$2:$J$91,9,FALSE()),""))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IF(DATOS!$A8675="",0,IF(CONFIG_METADATA!$B$4&lt;&gt;"OR+EX",--(DATOS!$G8675=CONFIG_METADATA!$B$4),IF(DATOS!$G8675="EX",1,IF(DATOS!$G8675="OR",--(COUNTIFS(nNIA,DATOS!$A8675,nCURSO,DATOS!$D8675,nESPEC,DATOS!$E8675,nASIG,DATOS!$I8675,nEVAL,"EX")=0),0))))</f>
      </c>
      <c r="H8675">
        <f>IF(DATOS!$G8675&lt;&gt;"EX",0,--(COUNTIFS(nNIA,DATOS!$A8675,nCURSO,DATOS!$D8675,nESPEC,DATOS!$E8675,nASIG,DATOS!$I8675,nEVAL,"OR")=0))</f>
      </c>
      <c r="I8675">
        <f>IF(DATOS!$I8675="","",IFERROR(VLOOKUP(DATOS!$I8675,CONFIG_ASIGNATURAS!$B$2:$J$91,9,FALSE()),""))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IF(DATOS!$A8676="",0,IF(CONFIG_METADATA!$B$4&lt;&gt;"OR+EX",--(DATOS!$G8676=CONFIG_METADATA!$B$4),IF(DATOS!$G8676="EX",1,IF(DATOS!$G8676="OR",--(COUNTIFS(nNIA,DATOS!$A8676,nCURSO,DATOS!$D8676,nESPEC,DATOS!$E8676,nASIG,DATOS!$I8676,nEVAL,"EX")=0),0))))</f>
      </c>
      <c r="H8676">
        <f>IF(DATOS!$G8676&lt;&gt;"EX",0,--(COUNTIFS(nNIA,DATOS!$A8676,nCURSO,DATOS!$D8676,nESPEC,DATOS!$E8676,nASIG,DATOS!$I8676,nEVAL,"OR")=0))</f>
      </c>
      <c r="I8676">
        <f>IF(DATOS!$I8676="","",IFERROR(VLOOKUP(DATOS!$I8676,CONFIG_ASIGNATURAS!$B$2:$J$91,9,FALSE()),""))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IF(DATOS!$A8677="",0,IF(CONFIG_METADATA!$B$4&lt;&gt;"OR+EX",--(DATOS!$G8677=CONFIG_METADATA!$B$4),IF(DATOS!$G8677="EX",1,IF(DATOS!$G8677="OR",--(COUNTIFS(nNIA,DATOS!$A8677,nCURSO,DATOS!$D8677,nESPEC,DATOS!$E8677,nASIG,DATOS!$I8677,nEVAL,"EX")=0),0))))</f>
      </c>
      <c r="H8677">
        <f>IF(DATOS!$G8677&lt;&gt;"EX",0,--(COUNTIFS(nNIA,DATOS!$A8677,nCURSO,DATOS!$D8677,nESPEC,DATOS!$E8677,nASIG,DATOS!$I8677,nEVAL,"OR")=0))</f>
      </c>
      <c r="I8677">
        <f>IF(DATOS!$I8677="","",IFERROR(VLOOKUP(DATOS!$I8677,CONFIG_ASIGNATURAS!$B$2:$J$91,9,FALSE()),""))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IF(DATOS!$A8678="",0,IF(CONFIG_METADATA!$B$4&lt;&gt;"OR+EX",--(DATOS!$G8678=CONFIG_METADATA!$B$4),IF(DATOS!$G8678="EX",1,IF(DATOS!$G8678="OR",--(COUNTIFS(nNIA,DATOS!$A8678,nCURSO,DATOS!$D8678,nESPEC,DATOS!$E8678,nASIG,DATOS!$I8678,nEVAL,"EX")=0),0))))</f>
      </c>
      <c r="H8678">
        <f>IF(DATOS!$G8678&lt;&gt;"EX",0,--(COUNTIFS(nNIA,DATOS!$A8678,nCURSO,DATOS!$D8678,nESPEC,DATOS!$E8678,nASIG,DATOS!$I8678,nEVAL,"OR")=0))</f>
      </c>
      <c r="I8678">
        <f>IF(DATOS!$I8678="","",IFERROR(VLOOKUP(DATOS!$I8678,CONFIG_ASIGNATURAS!$B$2:$J$91,9,FALSE()),""))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IF(DATOS!$A8679="",0,IF(CONFIG_METADATA!$B$4&lt;&gt;"OR+EX",--(DATOS!$G8679=CONFIG_METADATA!$B$4),IF(DATOS!$G8679="EX",1,IF(DATOS!$G8679="OR",--(COUNTIFS(nNIA,DATOS!$A8679,nCURSO,DATOS!$D8679,nESPEC,DATOS!$E8679,nASIG,DATOS!$I8679,nEVAL,"EX")=0),0))))</f>
      </c>
      <c r="H8679">
        <f>IF(DATOS!$G8679&lt;&gt;"EX",0,--(COUNTIFS(nNIA,DATOS!$A8679,nCURSO,DATOS!$D8679,nESPEC,DATOS!$E8679,nASIG,DATOS!$I8679,nEVAL,"OR")=0))</f>
      </c>
      <c r="I8679">
        <f>IF(DATOS!$I8679="","",IFERROR(VLOOKUP(DATOS!$I8679,CONFIG_ASIGNATURAS!$B$2:$J$91,9,FALSE()),""))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IF(DATOS!$A8680="",0,IF(CONFIG_METADATA!$B$4&lt;&gt;"OR+EX",--(DATOS!$G8680=CONFIG_METADATA!$B$4),IF(DATOS!$G8680="EX",1,IF(DATOS!$G8680="OR",--(COUNTIFS(nNIA,DATOS!$A8680,nCURSO,DATOS!$D8680,nESPEC,DATOS!$E8680,nASIG,DATOS!$I8680,nEVAL,"EX")=0),0))))</f>
      </c>
      <c r="H8680">
        <f>IF(DATOS!$G8680&lt;&gt;"EX",0,--(COUNTIFS(nNIA,DATOS!$A8680,nCURSO,DATOS!$D8680,nESPEC,DATOS!$E8680,nASIG,DATOS!$I8680,nEVAL,"OR")=0))</f>
      </c>
      <c r="I8680">
        <f>IF(DATOS!$I8680="","",IFERROR(VLOOKUP(DATOS!$I8680,CONFIG_ASIGNATURAS!$B$2:$J$91,9,FALSE()),""))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IF(DATOS!$A8681="",0,IF(CONFIG_METADATA!$B$4&lt;&gt;"OR+EX",--(DATOS!$G8681=CONFIG_METADATA!$B$4),IF(DATOS!$G8681="EX",1,IF(DATOS!$G8681="OR",--(COUNTIFS(nNIA,DATOS!$A8681,nCURSO,DATOS!$D8681,nESPEC,DATOS!$E8681,nASIG,DATOS!$I8681,nEVAL,"EX")=0),0))))</f>
      </c>
      <c r="H8681">
        <f>IF(DATOS!$G8681&lt;&gt;"EX",0,--(COUNTIFS(nNIA,DATOS!$A8681,nCURSO,DATOS!$D8681,nESPEC,DATOS!$E8681,nASIG,DATOS!$I8681,nEVAL,"OR")=0))</f>
      </c>
      <c r="I8681">
        <f>IF(DATOS!$I8681="","",IFERROR(VLOOKUP(DATOS!$I8681,CONFIG_ASIGNATURAS!$B$2:$J$91,9,FALSE()),""))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IF(DATOS!$A8682="",0,IF(CONFIG_METADATA!$B$4&lt;&gt;"OR+EX",--(DATOS!$G8682=CONFIG_METADATA!$B$4),IF(DATOS!$G8682="EX",1,IF(DATOS!$G8682="OR",--(COUNTIFS(nNIA,DATOS!$A8682,nCURSO,DATOS!$D8682,nESPEC,DATOS!$E8682,nASIG,DATOS!$I8682,nEVAL,"EX")=0),0))))</f>
      </c>
      <c r="H8682">
        <f>IF(DATOS!$G8682&lt;&gt;"EX",0,--(COUNTIFS(nNIA,DATOS!$A8682,nCURSO,DATOS!$D8682,nESPEC,DATOS!$E8682,nASIG,DATOS!$I8682,nEVAL,"OR")=0))</f>
      </c>
      <c r="I8682">
        <f>IF(DATOS!$I8682="","",IFERROR(VLOOKUP(DATOS!$I8682,CONFIG_ASIGNATURAS!$B$2:$J$91,9,FALSE()),""))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IF(DATOS!$A8683="",0,IF(CONFIG_METADATA!$B$4&lt;&gt;"OR+EX",--(DATOS!$G8683=CONFIG_METADATA!$B$4),IF(DATOS!$G8683="EX",1,IF(DATOS!$G8683="OR",--(COUNTIFS(nNIA,DATOS!$A8683,nCURSO,DATOS!$D8683,nESPEC,DATOS!$E8683,nASIG,DATOS!$I8683,nEVAL,"EX")=0),0))))</f>
      </c>
      <c r="H8683">
        <f>IF(DATOS!$G8683&lt;&gt;"EX",0,--(COUNTIFS(nNIA,DATOS!$A8683,nCURSO,DATOS!$D8683,nESPEC,DATOS!$E8683,nASIG,DATOS!$I8683,nEVAL,"OR")=0))</f>
      </c>
      <c r="I8683">
        <f>IF(DATOS!$I8683="","",IFERROR(VLOOKUP(DATOS!$I8683,CONFIG_ASIGNATURAS!$B$2:$J$91,9,FALSE()),""))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IF(DATOS!$A8684="",0,IF(CONFIG_METADATA!$B$4&lt;&gt;"OR+EX",--(DATOS!$G8684=CONFIG_METADATA!$B$4),IF(DATOS!$G8684="EX",1,IF(DATOS!$G8684="OR",--(COUNTIFS(nNIA,DATOS!$A8684,nCURSO,DATOS!$D8684,nESPEC,DATOS!$E8684,nASIG,DATOS!$I8684,nEVAL,"EX")=0),0))))</f>
      </c>
      <c r="H8684">
        <f>IF(DATOS!$G8684&lt;&gt;"EX",0,--(COUNTIFS(nNIA,DATOS!$A8684,nCURSO,DATOS!$D8684,nESPEC,DATOS!$E8684,nASIG,DATOS!$I8684,nEVAL,"OR")=0))</f>
      </c>
      <c r="I8684">
        <f>IF(DATOS!$I8684="","",IFERROR(VLOOKUP(DATOS!$I8684,CONFIG_ASIGNATURAS!$B$2:$J$91,9,FALSE()),""))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IF(DATOS!$A8685="",0,IF(CONFIG_METADATA!$B$4&lt;&gt;"OR+EX",--(DATOS!$G8685=CONFIG_METADATA!$B$4),IF(DATOS!$G8685="EX",1,IF(DATOS!$G8685="OR",--(COUNTIFS(nNIA,DATOS!$A8685,nCURSO,DATOS!$D8685,nESPEC,DATOS!$E8685,nASIG,DATOS!$I8685,nEVAL,"EX")=0),0))))</f>
      </c>
      <c r="H8685">
        <f>IF(DATOS!$G8685&lt;&gt;"EX",0,--(COUNTIFS(nNIA,DATOS!$A8685,nCURSO,DATOS!$D8685,nESPEC,DATOS!$E8685,nASIG,DATOS!$I8685,nEVAL,"OR")=0))</f>
      </c>
      <c r="I8685">
        <f>IF(DATOS!$I8685="","",IFERROR(VLOOKUP(DATOS!$I8685,CONFIG_ASIGNATURAS!$B$2:$J$91,9,FALSE()),""))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IF(DATOS!$A8686="",0,IF(CONFIG_METADATA!$B$4&lt;&gt;"OR+EX",--(DATOS!$G8686=CONFIG_METADATA!$B$4),IF(DATOS!$G8686="EX",1,IF(DATOS!$G8686="OR",--(COUNTIFS(nNIA,DATOS!$A8686,nCURSO,DATOS!$D8686,nESPEC,DATOS!$E8686,nASIG,DATOS!$I8686,nEVAL,"EX")=0),0))))</f>
      </c>
      <c r="H8686">
        <f>IF(DATOS!$G8686&lt;&gt;"EX",0,--(COUNTIFS(nNIA,DATOS!$A8686,nCURSO,DATOS!$D8686,nESPEC,DATOS!$E8686,nASIG,DATOS!$I8686,nEVAL,"OR")=0))</f>
      </c>
      <c r="I8686">
        <f>IF(DATOS!$I8686="","",IFERROR(VLOOKUP(DATOS!$I8686,CONFIG_ASIGNATURAS!$B$2:$J$91,9,FALSE()),""))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IF(DATOS!$A8687="",0,IF(CONFIG_METADATA!$B$4&lt;&gt;"OR+EX",--(DATOS!$G8687=CONFIG_METADATA!$B$4),IF(DATOS!$G8687="EX",1,IF(DATOS!$G8687="OR",--(COUNTIFS(nNIA,DATOS!$A8687,nCURSO,DATOS!$D8687,nESPEC,DATOS!$E8687,nASIG,DATOS!$I8687,nEVAL,"EX")=0),0))))</f>
      </c>
      <c r="H8687">
        <f>IF(DATOS!$G8687&lt;&gt;"EX",0,--(COUNTIFS(nNIA,DATOS!$A8687,nCURSO,DATOS!$D8687,nESPEC,DATOS!$E8687,nASIG,DATOS!$I8687,nEVAL,"OR")=0))</f>
      </c>
      <c r="I8687">
        <f>IF(DATOS!$I8687="","",IFERROR(VLOOKUP(DATOS!$I8687,CONFIG_ASIGNATURAS!$B$2:$J$91,9,FALSE()),""))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IF(DATOS!$A8688="",0,IF(CONFIG_METADATA!$B$4&lt;&gt;"OR+EX",--(DATOS!$G8688=CONFIG_METADATA!$B$4),IF(DATOS!$G8688="EX",1,IF(DATOS!$G8688="OR",--(COUNTIFS(nNIA,DATOS!$A8688,nCURSO,DATOS!$D8688,nESPEC,DATOS!$E8688,nASIG,DATOS!$I8688,nEVAL,"EX")=0),0))))</f>
      </c>
      <c r="H8688">
        <f>IF(DATOS!$G8688&lt;&gt;"EX",0,--(COUNTIFS(nNIA,DATOS!$A8688,nCURSO,DATOS!$D8688,nESPEC,DATOS!$E8688,nASIG,DATOS!$I8688,nEVAL,"OR")=0))</f>
      </c>
      <c r="I8688">
        <f>IF(DATOS!$I8688="","",IFERROR(VLOOKUP(DATOS!$I8688,CONFIG_ASIGNATURAS!$B$2:$J$91,9,FALSE()),""))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IF(DATOS!$A8689="",0,IF(CONFIG_METADATA!$B$4&lt;&gt;"OR+EX",--(DATOS!$G8689=CONFIG_METADATA!$B$4),IF(DATOS!$G8689="EX",1,IF(DATOS!$G8689="OR",--(COUNTIFS(nNIA,DATOS!$A8689,nCURSO,DATOS!$D8689,nESPEC,DATOS!$E8689,nASIG,DATOS!$I8689,nEVAL,"EX")=0),0))))</f>
      </c>
      <c r="H8689">
        <f>IF(DATOS!$G8689&lt;&gt;"EX",0,--(COUNTIFS(nNIA,DATOS!$A8689,nCURSO,DATOS!$D8689,nESPEC,DATOS!$E8689,nASIG,DATOS!$I8689,nEVAL,"OR")=0))</f>
      </c>
      <c r="I8689">
        <f>IF(DATOS!$I8689="","",IFERROR(VLOOKUP(DATOS!$I8689,CONFIG_ASIGNATURAS!$B$2:$J$91,9,FALSE()),""))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IF(DATOS!$A8690="",0,IF(CONFIG_METADATA!$B$4&lt;&gt;"OR+EX",--(DATOS!$G8690=CONFIG_METADATA!$B$4),IF(DATOS!$G8690="EX",1,IF(DATOS!$G8690="OR",--(COUNTIFS(nNIA,DATOS!$A8690,nCURSO,DATOS!$D8690,nESPEC,DATOS!$E8690,nASIG,DATOS!$I8690,nEVAL,"EX")=0),0))))</f>
      </c>
      <c r="H8690">
        <f>IF(DATOS!$G8690&lt;&gt;"EX",0,--(COUNTIFS(nNIA,DATOS!$A8690,nCURSO,DATOS!$D8690,nESPEC,DATOS!$E8690,nASIG,DATOS!$I8690,nEVAL,"OR")=0))</f>
      </c>
      <c r="I8690">
        <f>IF(DATOS!$I8690="","",IFERROR(VLOOKUP(DATOS!$I8690,CONFIG_ASIGNATURAS!$B$2:$J$91,9,FALSE()),""))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IF(DATOS!$A8691="",0,IF(CONFIG_METADATA!$B$4&lt;&gt;"OR+EX",--(DATOS!$G8691=CONFIG_METADATA!$B$4),IF(DATOS!$G8691="EX",1,IF(DATOS!$G8691="OR",--(COUNTIFS(nNIA,DATOS!$A8691,nCURSO,DATOS!$D8691,nESPEC,DATOS!$E8691,nASIG,DATOS!$I8691,nEVAL,"EX")=0),0))))</f>
      </c>
      <c r="H8691">
        <f>IF(DATOS!$G8691&lt;&gt;"EX",0,--(COUNTIFS(nNIA,DATOS!$A8691,nCURSO,DATOS!$D8691,nESPEC,DATOS!$E8691,nASIG,DATOS!$I8691,nEVAL,"OR")=0))</f>
      </c>
      <c r="I8691">
        <f>IF(DATOS!$I8691="","",IFERROR(VLOOKUP(DATOS!$I8691,CONFIG_ASIGNATURAS!$B$2:$J$91,9,FALSE()),""))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IF(DATOS!$A8692="",0,IF(CONFIG_METADATA!$B$4&lt;&gt;"OR+EX",--(DATOS!$G8692=CONFIG_METADATA!$B$4),IF(DATOS!$G8692="EX",1,IF(DATOS!$G8692="OR",--(COUNTIFS(nNIA,DATOS!$A8692,nCURSO,DATOS!$D8692,nESPEC,DATOS!$E8692,nASIG,DATOS!$I8692,nEVAL,"EX")=0),0))))</f>
      </c>
      <c r="H8692">
        <f>IF(DATOS!$G8692&lt;&gt;"EX",0,--(COUNTIFS(nNIA,DATOS!$A8692,nCURSO,DATOS!$D8692,nESPEC,DATOS!$E8692,nASIG,DATOS!$I8692,nEVAL,"OR")=0))</f>
      </c>
      <c r="I8692">
        <f>IF(DATOS!$I8692="","",IFERROR(VLOOKUP(DATOS!$I8692,CONFIG_ASIGNATURAS!$B$2:$J$91,9,FALSE()),""))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IF(DATOS!$A8693="",0,IF(CONFIG_METADATA!$B$4&lt;&gt;"OR+EX",--(DATOS!$G8693=CONFIG_METADATA!$B$4),IF(DATOS!$G8693="EX",1,IF(DATOS!$G8693="OR",--(COUNTIFS(nNIA,DATOS!$A8693,nCURSO,DATOS!$D8693,nESPEC,DATOS!$E8693,nASIG,DATOS!$I8693,nEVAL,"EX")=0),0))))</f>
      </c>
      <c r="H8693">
        <f>IF(DATOS!$G8693&lt;&gt;"EX",0,--(COUNTIFS(nNIA,DATOS!$A8693,nCURSO,DATOS!$D8693,nESPEC,DATOS!$E8693,nASIG,DATOS!$I8693,nEVAL,"OR")=0))</f>
      </c>
      <c r="I8693">
        <f>IF(DATOS!$I8693="","",IFERROR(VLOOKUP(DATOS!$I8693,CONFIG_ASIGNATURAS!$B$2:$J$91,9,FALSE()),""))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IF(DATOS!$A8694="",0,IF(CONFIG_METADATA!$B$4&lt;&gt;"OR+EX",--(DATOS!$G8694=CONFIG_METADATA!$B$4),IF(DATOS!$G8694="EX",1,IF(DATOS!$G8694="OR",--(COUNTIFS(nNIA,DATOS!$A8694,nCURSO,DATOS!$D8694,nESPEC,DATOS!$E8694,nASIG,DATOS!$I8694,nEVAL,"EX")=0),0))))</f>
      </c>
      <c r="H8694">
        <f>IF(DATOS!$G8694&lt;&gt;"EX",0,--(COUNTIFS(nNIA,DATOS!$A8694,nCURSO,DATOS!$D8694,nESPEC,DATOS!$E8694,nASIG,DATOS!$I8694,nEVAL,"OR")=0))</f>
      </c>
      <c r="I8694">
        <f>IF(DATOS!$I8694="","",IFERROR(VLOOKUP(DATOS!$I8694,CONFIG_ASIGNATURAS!$B$2:$J$91,9,FALSE()),""))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IF(DATOS!$A8695="",0,IF(CONFIG_METADATA!$B$4&lt;&gt;"OR+EX",--(DATOS!$G8695=CONFIG_METADATA!$B$4),IF(DATOS!$G8695="EX",1,IF(DATOS!$G8695="OR",--(COUNTIFS(nNIA,DATOS!$A8695,nCURSO,DATOS!$D8695,nESPEC,DATOS!$E8695,nASIG,DATOS!$I8695,nEVAL,"EX")=0),0))))</f>
      </c>
      <c r="H8695">
        <f>IF(DATOS!$G8695&lt;&gt;"EX",0,--(COUNTIFS(nNIA,DATOS!$A8695,nCURSO,DATOS!$D8695,nESPEC,DATOS!$E8695,nASIG,DATOS!$I8695,nEVAL,"OR")=0))</f>
      </c>
      <c r="I8695">
        <f>IF(DATOS!$I8695="","",IFERROR(VLOOKUP(DATOS!$I8695,CONFIG_ASIGNATURAS!$B$2:$J$91,9,FALSE()),""))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IF(DATOS!$A8696="",0,IF(CONFIG_METADATA!$B$4&lt;&gt;"OR+EX",--(DATOS!$G8696=CONFIG_METADATA!$B$4),IF(DATOS!$G8696="EX",1,IF(DATOS!$G8696="OR",--(COUNTIFS(nNIA,DATOS!$A8696,nCURSO,DATOS!$D8696,nESPEC,DATOS!$E8696,nASIG,DATOS!$I8696,nEVAL,"EX")=0),0))))</f>
      </c>
      <c r="H8696">
        <f>IF(DATOS!$G8696&lt;&gt;"EX",0,--(COUNTIFS(nNIA,DATOS!$A8696,nCURSO,DATOS!$D8696,nESPEC,DATOS!$E8696,nASIG,DATOS!$I8696,nEVAL,"OR")=0))</f>
      </c>
      <c r="I8696">
        <f>IF(DATOS!$I8696="","",IFERROR(VLOOKUP(DATOS!$I8696,CONFIG_ASIGNATURAS!$B$2:$J$91,9,FALSE()),""))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IF(DATOS!$A8697="",0,IF(CONFIG_METADATA!$B$4&lt;&gt;"OR+EX",--(DATOS!$G8697=CONFIG_METADATA!$B$4),IF(DATOS!$G8697="EX",1,IF(DATOS!$G8697="OR",--(COUNTIFS(nNIA,DATOS!$A8697,nCURSO,DATOS!$D8697,nESPEC,DATOS!$E8697,nASIG,DATOS!$I8697,nEVAL,"EX")=0),0))))</f>
      </c>
      <c r="H8697">
        <f>IF(DATOS!$G8697&lt;&gt;"EX",0,--(COUNTIFS(nNIA,DATOS!$A8697,nCURSO,DATOS!$D8697,nESPEC,DATOS!$E8697,nASIG,DATOS!$I8697,nEVAL,"OR")=0))</f>
      </c>
      <c r="I8697">
        <f>IF(DATOS!$I8697="","",IFERROR(VLOOKUP(DATOS!$I8697,CONFIG_ASIGNATURAS!$B$2:$J$91,9,FALSE()),""))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IF(DATOS!$A8698="",0,IF(CONFIG_METADATA!$B$4&lt;&gt;"OR+EX",--(DATOS!$G8698=CONFIG_METADATA!$B$4),IF(DATOS!$G8698="EX",1,IF(DATOS!$G8698="OR",--(COUNTIFS(nNIA,DATOS!$A8698,nCURSO,DATOS!$D8698,nESPEC,DATOS!$E8698,nASIG,DATOS!$I8698,nEVAL,"EX")=0),0))))</f>
      </c>
      <c r="H8698">
        <f>IF(DATOS!$G8698&lt;&gt;"EX",0,--(COUNTIFS(nNIA,DATOS!$A8698,nCURSO,DATOS!$D8698,nESPEC,DATOS!$E8698,nASIG,DATOS!$I8698,nEVAL,"OR")=0))</f>
      </c>
      <c r="I8698">
        <f>IF(DATOS!$I8698="","",IFERROR(VLOOKUP(DATOS!$I8698,CONFIG_ASIGNATURAS!$B$2:$J$91,9,FALSE()),""))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IF(DATOS!$A8699="",0,IF(CONFIG_METADATA!$B$4&lt;&gt;"OR+EX",--(DATOS!$G8699=CONFIG_METADATA!$B$4),IF(DATOS!$G8699="EX",1,IF(DATOS!$G8699="OR",--(COUNTIFS(nNIA,DATOS!$A8699,nCURSO,DATOS!$D8699,nESPEC,DATOS!$E8699,nASIG,DATOS!$I8699,nEVAL,"EX")=0),0))))</f>
      </c>
      <c r="H8699">
        <f>IF(DATOS!$G8699&lt;&gt;"EX",0,--(COUNTIFS(nNIA,DATOS!$A8699,nCURSO,DATOS!$D8699,nESPEC,DATOS!$E8699,nASIG,DATOS!$I8699,nEVAL,"OR")=0))</f>
      </c>
      <c r="I8699">
        <f>IF(DATOS!$I8699="","",IFERROR(VLOOKUP(DATOS!$I8699,CONFIG_ASIGNATURAS!$B$2:$J$91,9,FALSE()),""))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IF(DATOS!$A8700="",0,IF(CONFIG_METADATA!$B$4&lt;&gt;"OR+EX",--(DATOS!$G8700=CONFIG_METADATA!$B$4),IF(DATOS!$G8700="EX",1,IF(DATOS!$G8700="OR",--(COUNTIFS(nNIA,DATOS!$A8700,nCURSO,DATOS!$D8700,nESPEC,DATOS!$E8700,nASIG,DATOS!$I8700,nEVAL,"EX")=0),0))))</f>
      </c>
      <c r="H8700">
        <f>IF(DATOS!$G8700&lt;&gt;"EX",0,--(COUNTIFS(nNIA,DATOS!$A8700,nCURSO,DATOS!$D8700,nESPEC,DATOS!$E8700,nASIG,DATOS!$I8700,nEVAL,"OR")=0))</f>
      </c>
      <c r="I8700">
        <f>IF(DATOS!$I8700="","",IFERROR(VLOOKUP(DATOS!$I8700,CONFIG_ASIGNATURAS!$B$2:$J$91,9,FALSE()),""))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IF(DATOS!$A8701="",0,IF(CONFIG_METADATA!$B$4&lt;&gt;"OR+EX",--(DATOS!$G8701=CONFIG_METADATA!$B$4),IF(DATOS!$G8701="EX",1,IF(DATOS!$G8701="OR",--(COUNTIFS(nNIA,DATOS!$A8701,nCURSO,DATOS!$D8701,nESPEC,DATOS!$E8701,nASIG,DATOS!$I8701,nEVAL,"EX")=0),0))))</f>
      </c>
      <c r="H8701">
        <f>IF(DATOS!$G8701&lt;&gt;"EX",0,--(COUNTIFS(nNIA,DATOS!$A8701,nCURSO,DATOS!$D8701,nESPEC,DATOS!$E8701,nASIG,DATOS!$I8701,nEVAL,"OR")=0))</f>
      </c>
      <c r="I8701">
        <f>IF(DATOS!$I8701="","",IFERROR(VLOOKUP(DATOS!$I8701,CONFIG_ASIGNATURAS!$B$2:$J$91,9,FALSE()),""))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IF(DATOS!$A8702="",0,IF(CONFIG_METADATA!$B$4&lt;&gt;"OR+EX",--(DATOS!$G8702=CONFIG_METADATA!$B$4),IF(DATOS!$G8702="EX",1,IF(DATOS!$G8702="OR",--(COUNTIFS(nNIA,DATOS!$A8702,nCURSO,DATOS!$D8702,nESPEC,DATOS!$E8702,nASIG,DATOS!$I8702,nEVAL,"EX")=0),0))))</f>
      </c>
      <c r="H8702">
        <f>IF(DATOS!$G8702&lt;&gt;"EX",0,--(COUNTIFS(nNIA,DATOS!$A8702,nCURSO,DATOS!$D8702,nESPEC,DATOS!$E8702,nASIG,DATOS!$I8702,nEVAL,"OR")=0))</f>
      </c>
      <c r="I8702">
        <f>IF(DATOS!$I8702="","",IFERROR(VLOOKUP(DATOS!$I8702,CONFIG_ASIGNATURAS!$B$2:$J$91,9,FALSE()),""))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IF(DATOS!$A8703="",0,IF(CONFIG_METADATA!$B$4&lt;&gt;"OR+EX",--(DATOS!$G8703=CONFIG_METADATA!$B$4),IF(DATOS!$G8703="EX",1,IF(DATOS!$G8703="OR",--(COUNTIFS(nNIA,DATOS!$A8703,nCURSO,DATOS!$D8703,nESPEC,DATOS!$E8703,nASIG,DATOS!$I8703,nEVAL,"EX")=0),0))))</f>
      </c>
      <c r="H8703">
        <f>IF(DATOS!$G8703&lt;&gt;"EX",0,--(COUNTIFS(nNIA,DATOS!$A8703,nCURSO,DATOS!$D8703,nESPEC,DATOS!$E8703,nASIG,DATOS!$I8703,nEVAL,"OR")=0))</f>
      </c>
      <c r="I8703">
        <f>IF(DATOS!$I8703="","",IFERROR(VLOOKUP(DATOS!$I8703,CONFIG_ASIGNATURAS!$B$2:$J$91,9,FALSE()),""))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IF(DATOS!$A8704="",0,IF(CONFIG_METADATA!$B$4&lt;&gt;"OR+EX",--(DATOS!$G8704=CONFIG_METADATA!$B$4),IF(DATOS!$G8704="EX",1,IF(DATOS!$G8704="OR",--(COUNTIFS(nNIA,DATOS!$A8704,nCURSO,DATOS!$D8704,nESPEC,DATOS!$E8704,nASIG,DATOS!$I8704,nEVAL,"EX")=0),0))))</f>
      </c>
      <c r="H8704">
        <f>IF(DATOS!$G8704&lt;&gt;"EX",0,--(COUNTIFS(nNIA,DATOS!$A8704,nCURSO,DATOS!$D8704,nESPEC,DATOS!$E8704,nASIG,DATOS!$I8704,nEVAL,"OR")=0))</f>
      </c>
      <c r="I8704">
        <f>IF(DATOS!$I8704="","",IFERROR(VLOOKUP(DATOS!$I8704,CONFIG_ASIGNATURAS!$B$2:$J$91,9,FALSE()),""))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IF(DATOS!$A8705="",0,IF(CONFIG_METADATA!$B$4&lt;&gt;"OR+EX",--(DATOS!$G8705=CONFIG_METADATA!$B$4),IF(DATOS!$G8705="EX",1,IF(DATOS!$G8705="OR",--(COUNTIFS(nNIA,DATOS!$A8705,nCURSO,DATOS!$D8705,nESPEC,DATOS!$E8705,nASIG,DATOS!$I8705,nEVAL,"EX")=0),0))))</f>
      </c>
      <c r="H8705">
        <f>IF(DATOS!$G8705&lt;&gt;"EX",0,--(COUNTIFS(nNIA,DATOS!$A8705,nCURSO,DATOS!$D8705,nESPEC,DATOS!$E8705,nASIG,DATOS!$I8705,nEVAL,"OR")=0))</f>
      </c>
      <c r="I8705">
        <f>IF(DATOS!$I8705="","",IFERROR(VLOOKUP(DATOS!$I8705,CONFIG_ASIGNATURAS!$B$2:$J$91,9,FALSE()),""))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IF(DATOS!$A8706="",0,IF(CONFIG_METADATA!$B$4&lt;&gt;"OR+EX",--(DATOS!$G8706=CONFIG_METADATA!$B$4),IF(DATOS!$G8706="EX",1,IF(DATOS!$G8706="OR",--(COUNTIFS(nNIA,DATOS!$A8706,nCURSO,DATOS!$D8706,nESPEC,DATOS!$E8706,nASIG,DATOS!$I8706,nEVAL,"EX")=0),0))))</f>
      </c>
      <c r="H8706">
        <f>IF(DATOS!$G8706&lt;&gt;"EX",0,--(COUNTIFS(nNIA,DATOS!$A8706,nCURSO,DATOS!$D8706,nESPEC,DATOS!$E8706,nASIG,DATOS!$I8706,nEVAL,"OR")=0))</f>
      </c>
      <c r="I8706">
        <f>IF(DATOS!$I8706="","",IFERROR(VLOOKUP(DATOS!$I8706,CONFIG_ASIGNATURAS!$B$2:$J$91,9,FALSE()),""))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IF(DATOS!$A8707="",0,IF(CONFIG_METADATA!$B$4&lt;&gt;"OR+EX",--(DATOS!$G8707=CONFIG_METADATA!$B$4),IF(DATOS!$G8707="EX",1,IF(DATOS!$G8707="OR",--(COUNTIFS(nNIA,DATOS!$A8707,nCURSO,DATOS!$D8707,nESPEC,DATOS!$E8707,nASIG,DATOS!$I8707,nEVAL,"EX")=0),0))))</f>
      </c>
      <c r="H8707">
        <f>IF(DATOS!$G8707&lt;&gt;"EX",0,--(COUNTIFS(nNIA,DATOS!$A8707,nCURSO,DATOS!$D8707,nESPEC,DATOS!$E8707,nASIG,DATOS!$I8707,nEVAL,"OR")=0))</f>
      </c>
      <c r="I8707">
        <f>IF(DATOS!$I8707="","",IFERROR(VLOOKUP(DATOS!$I8707,CONFIG_ASIGNATURAS!$B$2:$J$91,9,FALSE()),""))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IF(DATOS!$A8708="",0,IF(CONFIG_METADATA!$B$4&lt;&gt;"OR+EX",--(DATOS!$G8708=CONFIG_METADATA!$B$4),IF(DATOS!$G8708="EX",1,IF(DATOS!$G8708="OR",--(COUNTIFS(nNIA,DATOS!$A8708,nCURSO,DATOS!$D8708,nESPEC,DATOS!$E8708,nASIG,DATOS!$I8708,nEVAL,"EX")=0),0))))</f>
      </c>
      <c r="H8708">
        <f>IF(DATOS!$G8708&lt;&gt;"EX",0,--(COUNTIFS(nNIA,DATOS!$A8708,nCURSO,DATOS!$D8708,nESPEC,DATOS!$E8708,nASIG,DATOS!$I8708,nEVAL,"OR")=0))</f>
      </c>
      <c r="I8708">
        <f>IF(DATOS!$I8708="","",IFERROR(VLOOKUP(DATOS!$I8708,CONFIG_ASIGNATURAS!$B$2:$J$91,9,FALSE()),""))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IF(DATOS!$A8709="",0,IF(CONFIG_METADATA!$B$4&lt;&gt;"OR+EX",--(DATOS!$G8709=CONFIG_METADATA!$B$4),IF(DATOS!$G8709="EX",1,IF(DATOS!$G8709="OR",--(COUNTIFS(nNIA,DATOS!$A8709,nCURSO,DATOS!$D8709,nESPEC,DATOS!$E8709,nASIG,DATOS!$I8709,nEVAL,"EX")=0),0))))</f>
      </c>
      <c r="H8709">
        <f>IF(DATOS!$G8709&lt;&gt;"EX",0,--(COUNTIFS(nNIA,DATOS!$A8709,nCURSO,DATOS!$D8709,nESPEC,DATOS!$E8709,nASIG,DATOS!$I8709,nEVAL,"OR")=0))</f>
      </c>
      <c r="I8709">
        <f>IF(DATOS!$I8709="","",IFERROR(VLOOKUP(DATOS!$I8709,CONFIG_ASIGNATURAS!$B$2:$J$91,9,FALSE()),""))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IF(DATOS!$A8710="",0,IF(CONFIG_METADATA!$B$4&lt;&gt;"OR+EX",--(DATOS!$G8710=CONFIG_METADATA!$B$4),IF(DATOS!$G8710="EX",1,IF(DATOS!$G8710="OR",--(COUNTIFS(nNIA,DATOS!$A8710,nCURSO,DATOS!$D8710,nESPEC,DATOS!$E8710,nASIG,DATOS!$I8710,nEVAL,"EX")=0),0))))</f>
      </c>
      <c r="H8710">
        <f>IF(DATOS!$G8710&lt;&gt;"EX",0,--(COUNTIFS(nNIA,DATOS!$A8710,nCURSO,DATOS!$D8710,nESPEC,DATOS!$E8710,nASIG,DATOS!$I8710,nEVAL,"OR")=0))</f>
      </c>
      <c r="I8710">
        <f>IF(DATOS!$I8710="","",IFERROR(VLOOKUP(DATOS!$I8710,CONFIG_ASIGNATURAS!$B$2:$J$91,9,FALSE()),""))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IF(DATOS!$A8711="",0,IF(CONFIG_METADATA!$B$4&lt;&gt;"OR+EX",--(DATOS!$G8711=CONFIG_METADATA!$B$4),IF(DATOS!$G8711="EX",1,IF(DATOS!$G8711="OR",--(COUNTIFS(nNIA,DATOS!$A8711,nCURSO,DATOS!$D8711,nESPEC,DATOS!$E8711,nASIG,DATOS!$I8711,nEVAL,"EX")=0),0))))</f>
      </c>
      <c r="H8711">
        <f>IF(DATOS!$G8711&lt;&gt;"EX",0,--(COUNTIFS(nNIA,DATOS!$A8711,nCURSO,DATOS!$D8711,nESPEC,DATOS!$E8711,nASIG,DATOS!$I8711,nEVAL,"OR")=0))</f>
      </c>
      <c r="I8711">
        <f>IF(DATOS!$I8711="","",IFERROR(VLOOKUP(DATOS!$I8711,CONFIG_ASIGNATURAS!$B$2:$J$91,9,FALSE()),""))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IF(DATOS!$A8712="",0,IF(CONFIG_METADATA!$B$4&lt;&gt;"OR+EX",--(DATOS!$G8712=CONFIG_METADATA!$B$4),IF(DATOS!$G8712="EX",1,IF(DATOS!$G8712="OR",--(COUNTIFS(nNIA,DATOS!$A8712,nCURSO,DATOS!$D8712,nESPEC,DATOS!$E8712,nASIG,DATOS!$I8712,nEVAL,"EX")=0),0))))</f>
      </c>
      <c r="H8712">
        <f>IF(DATOS!$G8712&lt;&gt;"EX",0,--(COUNTIFS(nNIA,DATOS!$A8712,nCURSO,DATOS!$D8712,nESPEC,DATOS!$E8712,nASIG,DATOS!$I8712,nEVAL,"OR")=0))</f>
      </c>
      <c r="I8712">
        <f>IF(DATOS!$I8712="","",IFERROR(VLOOKUP(DATOS!$I8712,CONFIG_ASIGNATURAS!$B$2:$J$91,9,FALSE()),""))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IF(DATOS!$A8713="",0,IF(CONFIG_METADATA!$B$4&lt;&gt;"OR+EX",--(DATOS!$G8713=CONFIG_METADATA!$B$4),IF(DATOS!$G8713="EX",1,IF(DATOS!$G8713="OR",--(COUNTIFS(nNIA,DATOS!$A8713,nCURSO,DATOS!$D8713,nESPEC,DATOS!$E8713,nASIG,DATOS!$I8713,nEVAL,"EX")=0),0))))</f>
      </c>
      <c r="H8713">
        <f>IF(DATOS!$G8713&lt;&gt;"EX",0,--(COUNTIFS(nNIA,DATOS!$A8713,nCURSO,DATOS!$D8713,nESPEC,DATOS!$E8713,nASIG,DATOS!$I8713,nEVAL,"OR")=0))</f>
      </c>
      <c r="I8713">
        <f>IF(DATOS!$I8713="","",IFERROR(VLOOKUP(DATOS!$I8713,CONFIG_ASIGNATURAS!$B$2:$J$91,9,FALSE()),""))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IF(DATOS!$A8714="",0,IF(CONFIG_METADATA!$B$4&lt;&gt;"OR+EX",--(DATOS!$G8714=CONFIG_METADATA!$B$4),IF(DATOS!$G8714="EX",1,IF(DATOS!$G8714="OR",--(COUNTIFS(nNIA,DATOS!$A8714,nCURSO,DATOS!$D8714,nESPEC,DATOS!$E8714,nASIG,DATOS!$I8714,nEVAL,"EX")=0),0))))</f>
      </c>
      <c r="H8714">
        <f>IF(DATOS!$G8714&lt;&gt;"EX",0,--(COUNTIFS(nNIA,DATOS!$A8714,nCURSO,DATOS!$D8714,nESPEC,DATOS!$E8714,nASIG,DATOS!$I8714,nEVAL,"OR")=0))</f>
      </c>
      <c r="I8714">
        <f>IF(DATOS!$I8714="","",IFERROR(VLOOKUP(DATOS!$I8714,CONFIG_ASIGNATURAS!$B$2:$J$91,9,FALSE()),""))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IF(DATOS!$A8715="",0,IF(CONFIG_METADATA!$B$4&lt;&gt;"OR+EX",--(DATOS!$G8715=CONFIG_METADATA!$B$4),IF(DATOS!$G8715="EX",1,IF(DATOS!$G8715="OR",--(COUNTIFS(nNIA,DATOS!$A8715,nCURSO,DATOS!$D8715,nESPEC,DATOS!$E8715,nASIG,DATOS!$I8715,nEVAL,"EX")=0),0))))</f>
      </c>
      <c r="H8715">
        <f>IF(DATOS!$G8715&lt;&gt;"EX",0,--(COUNTIFS(nNIA,DATOS!$A8715,nCURSO,DATOS!$D8715,nESPEC,DATOS!$E8715,nASIG,DATOS!$I8715,nEVAL,"OR")=0))</f>
      </c>
      <c r="I8715">
        <f>IF(DATOS!$I8715="","",IFERROR(VLOOKUP(DATOS!$I8715,CONFIG_ASIGNATURAS!$B$2:$J$91,9,FALSE()),""))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IF(DATOS!$A8716="",0,IF(CONFIG_METADATA!$B$4&lt;&gt;"OR+EX",--(DATOS!$G8716=CONFIG_METADATA!$B$4),IF(DATOS!$G8716="EX",1,IF(DATOS!$G8716="OR",--(COUNTIFS(nNIA,DATOS!$A8716,nCURSO,DATOS!$D8716,nESPEC,DATOS!$E8716,nASIG,DATOS!$I8716,nEVAL,"EX")=0),0))))</f>
      </c>
      <c r="H8716">
        <f>IF(DATOS!$G8716&lt;&gt;"EX",0,--(COUNTIFS(nNIA,DATOS!$A8716,nCURSO,DATOS!$D8716,nESPEC,DATOS!$E8716,nASIG,DATOS!$I8716,nEVAL,"OR")=0))</f>
      </c>
      <c r="I8716">
        <f>IF(DATOS!$I8716="","",IFERROR(VLOOKUP(DATOS!$I8716,CONFIG_ASIGNATURAS!$B$2:$J$91,9,FALSE()),""))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IF(DATOS!$A8717="",0,IF(CONFIG_METADATA!$B$4&lt;&gt;"OR+EX",--(DATOS!$G8717=CONFIG_METADATA!$B$4),IF(DATOS!$G8717="EX",1,IF(DATOS!$G8717="OR",--(COUNTIFS(nNIA,DATOS!$A8717,nCURSO,DATOS!$D8717,nESPEC,DATOS!$E8717,nASIG,DATOS!$I8717,nEVAL,"EX")=0),0))))</f>
      </c>
      <c r="H8717">
        <f>IF(DATOS!$G8717&lt;&gt;"EX",0,--(COUNTIFS(nNIA,DATOS!$A8717,nCURSO,DATOS!$D8717,nESPEC,DATOS!$E8717,nASIG,DATOS!$I8717,nEVAL,"OR")=0))</f>
      </c>
      <c r="I8717">
        <f>IF(DATOS!$I8717="","",IFERROR(VLOOKUP(DATOS!$I8717,CONFIG_ASIGNATURAS!$B$2:$J$91,9,FALSE()),""))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IF(DATOS!$A8718="",0,IF(CONFIG_METADATA!$B$4&lt;&gt;"OR+EX",--(DATOS!$G8718=CONFIG_METADATA!$B$4),IF(DATOS!$G8718="EX",1,IF(DATOS!$G8718="OR",--(COUNTIFS(nNIA,DATOS!$A8718,nCURSO,DATOS!$D8718,nESPEC,DATOS!$E8718,nASIG,DATOS!$I8718,nEVAL,"EX")=0),0))))</f>
      </c>
      <c r="H8718">
        <f>IF(DATOS!$G8718&lt;&gt;"EX",0,--(COUNTIFS(nNIA,DATOS!$A8718,nCURSO,DATOS!$D8718,nESPEC,DATOS!$E8718,nASIG,DATOS!$I8718,nEVAL,"OR")=0))</f>
      </c>
      <c r="I8718">
        <f>IF(DATOS!$I8718="","",IFERROR(VLOOKUP(DATOS!$I8718,CONFIG_ASIGNATURAS!$B$2:$J$91,9,FALSE()),""))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IF(DATOS!$A8719="",0,IF(CONFIG_METADATA!$B$4&lt;&gt;"OR+EX",--(DATOS!$G8719=CONFIG_METADATA!$B$4),IF(DATOS!$G8719="EX",1,IF(DATOS!$G8719="OR",--(COUNTIFS(nNIA,DATOS!$A8719,nCURSO,DATOS!$D8719,nESPEC,DATOS!$E8719,nASIG,DATOS!$I8719,nEVAL,"EX")=0),0))))</f>
      </c>
      <c r="H8719">
        <f>IF(DATOS!$G8719&lt;&gt;"EX",0,--(COUNTIFS(nNIA,DATOS!$A8719,nCURSO,DATOS!$D8719,nESPEC,DATOS!$E8719,nASIG,DATOS!$I8719,nEVAL,"OR")=0))</f>
      </c>
      <c r="I8719">
        <f>IF(DATOS!$I8719="","",IFERROR(VLOOKUP(DATOS!$I8719,CONFIG_ASIGNATURAS!$B$2:$J$91,9,FALSE()),""))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IF(DATOS!$A8720="",0,IF(CONFIG_METADATA!$B$4&lt;&gt;"OR+EX",--(DATOS!$G8720=CONFIG_METADATA!$B$4),IF(DATOS!$G8720="EX",1,IF(DATOS!$G8720="OR",--(COUNTIFS(nNIA,DATOS!$A8720,nCURSO,DATOS!$D8720,nESPEC,DATOS!$E8720,nASIG,DATOS!$I8720,nEVAL,"EX")=0),0))))</f>
      </c>
      <c r="H8720">
        <f>IF(DATOS!$G8720&lt;&gt;"EX",0,--(COUNTIFS(nNIA,DATOS!$A8720,nCURSO,DATOS!$D8720,nESPEC,DATOS!$E8720,nASIG,DATOS!$I8720,nEVAL,"OR")=0))</f>
      </c>
      <c r="I8720">
        <f>IF(DATOS!$I8720="","",IFERROR(VLOOKUP(DATOS!$I8720,CONFIG_ASIGNATURAS!$B$2:$J$91,9,FALSE()),""))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IF(DATOS!$A8721="",0,IF(CONFIG_METADATA!$B$4&lt;&gt;"OR+EX",--(DATOS!$G8721=CONFIG_METADATA!$B$4),IF(DATOS!$G8721="EX",1,IF(DATOS!$G8721="OR",--(COUNTIFS(nNIA,DATOS!$A8721,nCURSO,DATOS!$D8721,nESPEC,DATOS!$E8721,nASIG,DATOS!$I8721,nEVAL,"EX")=0),0))))</f>
      </c>
      <c r="H8721">
        <f>IF(DATOS!$G8721&lt;&gt;"EX",0,--(COUNTIFS(nNIA,DATOS!$A8721,nCURSO,DATOS!$D8721,nESPEC,DATOS!$E8721,nASIG,DATOS!$I8721,nEVAL,"OR")=0))</f>
      </c>
      <c r="I8721">
        <f>IF(DATOS!$I8721="","",IFERROR(VLOOKUP(DATOS!$I8721,CONFIG_ASIGNATURAS!$B$2:$J$91,9,FALSE()),""))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IF(DATOS!$A8722="",0,IF(CONFIG_METADATA!$B$4&lt;&gt;"OR+EX",--(DATOS!$G8722=CONFIG_METADATA!$B$4),IF(DATOS!$G8722="EX",1,IF(DATOS!$G8722="OR",--(COUNTIFS(nNIA,DATOS!$A8722,nCURSO,DATOS!$D8722,nESPEC,DATOS!$E8722,nASIG,DATOS!$I8722,nEVAL,"EX")=0),0))))</f>
      </c>
      <c r="H8722">
        <f>IF(DATOS!$G8722&lt;&gt;"EX",0,--(COUNTIFS(nNIA,DATOS!$A8722,nCURSO,DATOS!$D8722,nESPEC,DATOS!$E8722,nASIG,DATOS!$I8722,nEVAL,"OR")=0))</f>
      </c>
      <c r="I8722">
        <f>IF(DATOS!$I8722="","",IFERROR(VLOOKUP(DATOS!$I8722,CONFIG_ASIGNATURAS!$B$2:$J$91,9,FALSE()),""))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IF(DATOS!$A8723="",0,IF(CONFIG_METADATA!$B$4&lt;&gt;"OR+EX",--(DATOS!$G8723=CONFIG_METADATA!$B$4),IF(DATOS!$G8723="EX",1,IF(DATOS!$G8723="OR",--(COUNTIFS(nNIA,DATOS!$A8723,nCURSO,DATOS!$D8723,nESPEC,DATOS!$E8723,nASIG,DATOS!$I8723,nEVAL,"EX")=0),0))))</f>
      </c>
      <c r="H8723">
        <f>IF(DATOS!$G8723&lt;&gt;"EX",0,--(COUNTIFS(nNIA,DATOS!$A8723,nCURSO,DATOS!$D8723,nESPEC,DATOS!$E8723,nASIG,DATOS!$I8723,nEVAL,"OR")=0))</f>
      </c>
      <c r="I8723">
        <f>IF(DATOS!$I8723="","",IFERROR(VLOOKUP(DATOS!$I8723,CONFIG_ASIGNATURAS!$B$2:$J$91,9,FALSE()),""))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IF(DATOS!$A8724="",0,IF(CONFIG_METADATA!$B$4&lt;&gt;"OR+EX",--(DATOS!$G8724=CONFIG_METADATA!$B$4),IF(DATOS!$G8724="EX",1,IF(DATOS!$G8724="OR",--(COUNTIFS(nNIA,DATOS!$A8724,nCURSO,DATOS!$D8724,nESPEC,DATOS!$E8724,nASIG,DATOS!$I8724,nEVAL,"EX")=0),0))))</f>
      </c>
      <c r="H8724">
        <f>IF(DATOS!$G8724&lt;&gt;"EX",0,--(COUNTIFS(nNIA,DATOS!$A8724,nCURSO,DATOS!$D8724,nESPEC,DATOS!$E8724,nASIG,DATOS!$I8724,nEVAL,"OR")=0))</f>
      </c>
      <c r="I8724">
        <f>IF(DATOS!$I8724="","",IFERROR(VLOOKUP(DATOS!$I8724,CONFIG_ASIGNATURAS!$B$2:$J$91,9,FALSE()),""))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IF(DATOS!$A8725="",0,IF(CONFIG_METADATA!$B$4&lt;&gt;"OR+EX",--(DATOS!$G8725=CONFIG_METADATA!$B$4),IF(DATOS!$G8725="EX",1,IF(DATOS!$G8725="OR",--(COUNTIFS(nNIA,DATOS!$A8725,nCURSO,DATOS!$D8725,nESPEC,DATOS!$E8725,nASIG,DATOS!$I8725,nEVAL,"EX")=0),0))))</f>
      </c>
      <c r="H8725">
        <f>IF(DATOS!$G8725&lt;&gt;"EX",0,--(COUNTIFS(nNIA,DATOS!$A8725,nCURSO,DATOS!$D8725,nESPEC,DATOS!$E8725,nASIG,DATOS!$I8725,nEVAL,"OR")=0))</f>
      </c>
      <c r="I8725">
        <f>IF(DATOS!$I8725="","",IFERROR(VLOOKUP(DATOS!$I8725,CONFIG_ASIGNATURAS!$B$2:$J$91,9,FALSE()),""))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IF(DATOS!$A8726="",0,IF(CONFIG_METADATA!$B$4&lt;&gt;"OR+EX",--(DATOS!$G8726=CONFIG_METADATA!$B$4),IF(DATOS!$G8726="EX",1,IF(DATOS!$G8726="OR",--(COUNTIFS(nNIA,DATOS!$A8726,nCURSO,DATOS!$D8726,nESPEC,DATOS!$E8726,nASIG,DATOS!$I8726,nEVAL,"EX")=0),0))))</f>
      </c>
      <c r="H8726">
        <f>IF(DATOS!$G8726&lt;&gt;"EX",0,--(COUNTIFS(nNIA,DATOS!$A8726,nCURSO,DATOS!$D8726,nESPEC,DATOS!$E8726,nASIG,DATOS!$I8726,nEVAL,"OR")=0))</f>
      </c>
      <c r="I8726">
        <f>IF(DATOS!$I8726="","",IFERROR(VLOOKUP(DATOS!$I8726,CONFIG_ASIGNATURAS!$B$2:$J$91,9,FALSE()),""))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IF(DATOS!$A8727="",0,IF(CONFIG_METADATA!$B$4&lt;&gt;"OR+EX",--(DATOS!$G8727=CONFIG_METADATA!$B$4),IF(DATOS!$G8727="EX",1,IF(DATOS!$G8727="OR",--(COUNTIFS(nNIA,DATOS!$A8727,nCURSO,DATOS!$D8727,nESPEC,DATOS!$E8727,nASIG,DATOS!$I8727,nEVAL,"EX")=0),0))))</f>
      </c>
      <c r="H8727">
        <f>IF(DATOS!$G8727&lt;&gt;"EX",0,--(COUNTIFS(nNIA,DATOS!$A8727,nCURSO,DATOS!$D8727,nESPEC,DATOS!$E8727,nASIG,DATOS!$I8727,nEVAL,"OR")=0))</f>
      </c>
      <c r="I8727">
        <f>IF(DATOS!$I8727="","",IFERROR(VLOOKUP(DATOS!$I8727,CONFIG_ASIGNATURAS!$B$2:$J$91,9,FALSE()),""))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IF(DATOS!$A8728="",0,IF(CONFIG_METADATA!$B$4&lt;&gt;"OR+EX",--(DATOS!$G8728=CONFIG_METADATA!$B$4),IF(DATOS!$G8728="EX",1,IF(DATOS!$G8728="OR",--(COUNTIFS(nNIA,DATOS!$A8728,nCURSO,DATOS!$D8728,nESPEC,DATOS!$E8728,nASIG,DATOS!$I8728,nEVAL,"EX")=0),0))))</f>
      </c>
      <c r="H8728">
        <f>IF(DATOS!$G8728&lt;&gt;"EX",0,--(COUNTIFS(nNIA,DATOS!$A8728,nCURSO,DATOS!$D8728,nESPEC,DATOS!$E8728,nASIG,DATOS!$I8728,nEVAL,"OR")=0))</f>
      </c>
      <c r="I8728">
        <f>IF(DATOS!$I8728="","",IFERROR(VLOOKUP(DATOS!$I8728,CONFIG_ASIGNATURAS!$B$2:$J$91,9,FALSE()),""))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IF(DATOS!$A8729="",0,IF(CONFIG_METADATA!$B$4&lt;&gt;"OR+EX",--(DATOS!$G8729=CONFIG_METADATA!$B$4),IF(DATOS!$G8729="EX",1,IF(DATOS!$G8729="OR",--(COUNTIFS(nNIA,DATOS!$A8729,nCURSO,DATOS!$D8729,nESPEC,DATOS!$E8729,nASIG,DATOS!$I8729,nEVAL,"EX")=0),0))))</f>
      </c>
      <c r="H8729">
        <f>IF(DATOS!$G8729&lt;&gt;"EX",0,--(COUNTIFS(nNIA,DATOS!$A8729,nCURSO,DATOS!$D8729,nESPEC,DATOS!$E8729,nASIG,DATOS!$I8729,nEVAL,"OR")=0))</f>
      </c>
      <c r="I8729">
        <f>IF(DATOS!$I8729="","",IFERROR(VLOOKUP(DATOS!$I8729,CONFIG_ASIGNATURAS!$B$2:$J$91,9,FALSE()),""))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IF(DATOS!$A8730="",0,IF(CONFIG_METADATA!$B$4&lt;&gt;"OR+EX",--(DATOS!$G8730=CONFIG_METADATA!$B$4),IF(DATOS!$G8730="EX",1,IF(DATOS!$G8730="OR",--(COUNTIFS(nNIA,DATOS!$A8730,nCURSO,DATOS!$D8730,nESPEC,DATOS!$E8730,nASIG,DATOS!$I8730,nEVAL,"EX")=0),0))))</f>
      </c>
      <c r="H8730">
        <f>IF(DATOS!$G8730&lt;&gt;"EX",0,--(COUNTIFS(nNIA,DATOS!$A8730,nCURSO,DATOS!$D8730,nESPEC,DATOS!$E8730,nASIG,DATOS!$I8730,nEVAL,"OR")=0))</f>
      </c>
      <c r="I8730">
        <f>IF(DATOS!$I8730="","",IFERROR(VLOOKUP(DATOS!$I8730,CONFIG_ASIGNATURAS!$B$2:$J$91,9,FALSE()),""))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IF(DATOS!$A8731="",0,IF(CONFIG_METADATA!$B$4&lt;&gt;"OR+EX",--(DATOS!$G8731=CONFIG_METADATA!$B$4),IF(DATOS!$G8731="EX",1,IF(DATOS!$G8731="OR",--(COUNTIFS(nNIA,DATOS!$A8731,nCURSO,DATOS!$D8731,nESPEC,DATOS!$E8731,nASIG,DATOS!$I8731,nEVAL,"EX")=0),0))))</f>
      </c>
      <c r="H8731">
        <f>IF(DATOS!$G8731&lt;&gt;"EX",0,--(COUNTIFS(nNIA,DATOS!$A8731,nCURSO,DATOS!$D8731,nESPEC,DATOS!$E8731,nASIG,DATOS!$I8731,nEVAL,"OR")=0))</f>
      </c>
      <c r="I8731">
        <f>IF(DATOS!$I8731="","",IFERROR(VLOOKUP(DATOS!$I8731,CONFIG_ASIGNATURAS!$B$2:$J$91,9,FALSE()),""))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IF(DATOS!$A8732="",0,IF(CONFIG_METADATA!$B$4&lt;&gt;"OR+EX",--(DATOS!$G8732=CONFIG_METADATA!$B$4),IF(DATOS!$G8732="EX",1,IF(DATOS!$G8732="OR",--(COUNTIFS(nNIA,DATOS!$A8732,nCURSO,DATOS!$D8732,nESPEC,DATOS!$E8732,nASIG,DATOS!$I8732,nEVAL,"EX")=0),0))))</f>
      </c>
      <c r="H8732">
        <f>IF(DATOS!$G8732&lt;&gt;"EX",0,--(COUNTIFS(nNIA,DATOS!$A8732,nCURSO,DATOS!$D8732,nESPEC,DATOS!$E8732,nASIG,DATOS!$I8732,nEVAL,"OR")=0))</f>
      </c>
      <c r="I8732">
        <f>IF(DATOS!$I8732="","",IFERROR(VLOOKUP(DATOS!$I8732,CONFIG_ASIGNATURAS!$B$2:$J$91,9,FALSE()),""))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IF(DATOS!$A8733="",0,IF(CONFIG_METADATA!$B$4&lt;&gt;"OR+EX",--(DATOS!$G8733=CONFIG_METADATA!$B$4),IF(DATOS!$G8733="EX",1,IF(DATOS!$G8733="OR",--(COUNTIFS(nNIA,DATOS!$A8733,nCURSO,DATOS!$D8733,nESPEC,DATOS!$E8733,nASIG,DATOS!$I8733,nEVAL,"EX")=0),0))))</f>
      </c>
      <c r="H8733">
        <f>IF(DATOS!$G8733&lt;&gt;"EX",0,--(COUNTIFS(nNIA,DATOS!$A8733,nCURSO,DATOS!$D8733,nESPEC,DATOS!$E8733,nASIG,DATOS!$I8733,nEVAL,"OR")=0))</f>
      </c>
      <c r="I8733">
        <f>IF(DATOS!$I8733="","",IFERROR(VLOOKUP(DATOS!$I8733,CONFIG_ASIGNATURAS!$B$2:$J$91,9,FALSE()),""))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IF(DATOS!$A8734="",0,IF(CONFIG_METADATA!$B$4&lt;&gt;"OR+EX",--(DATOS!$G8734=CONFIG_METADATA!$B$4),IF(DATOS!$G8734="EX",1,IF(DATOS!$G8734="OR",--(COUNTIFS(nNIA,DATOS!$A8734,nCURSO,DATOS!$D8734,nESPEC,DATOS!$E8734,nASIG,DATOS!$I8734,nEVAL,"EX")=0),0))))</f>
      </c>
      <c r="H8734">
        <f>IF(DATOS!$G8734&lt;&gt;"EX",0,--(COUNTIFS(nNIA,DATOS!$A8734,nCURSO,DATOS!$D8734,nESPEC,DATOS!$E8734,nASIG,DATOS!$I8734,nEVAL,"OR")=0))</f>
      </c>
      <c r="I8734">
        <f>IF(DATOS!$I8734="","",IFERROR(VLOOKUP(DATOS!$I8734,CONFIG_ASIGNATURAS!$B$2:$J$91,9,FALSE()),""))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IF(DATOS!$A8735="",0,IF(CONFIG_METADATA!$B$4&lt;&gt;"OR+EX",--(DATOS!$G8735=CONFIG_METADATA!$B$4),IF(DATOS!$G8735="EX",1,IF(DATOS!$G8735="OR",--(COUNTIFS(nNIA,DATOS!$A8735,nCURSO,DATOS!$D8735,nESPEC,DATOS!$E8735,nASIG,DATOS!$I8735,nEVAL,"EX")=0),0))))</f>
      </c>
      <c r="H8735">
        <f>IF(DATOS!$G8735&lt;&gt;"EX",0,--(COUNTIFS(nNIA,DATOS!$A8735,nCURSO,DATOS!$D8735,nESPEC,DATOS!$E8735,nASIG,DATOS!$I8735,nEVAL,"OR")=0))</f>
      </c>
      <c r="I8735">
        <f>IF(DATOS!$I8735="","",IFERROR(VLOOKUP(DATOS!$I8735,CONFIG_ASIGNATURAS!$B$2:$J$91,9,FALSE()),""))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IF(DATOS!$A8736="",0,IF(CONFIG_METADATA!$B$4&lt;&gt;"OR+EX",--(DATOS!$G8736=CONFIG_METADATA!$B$4),IF(DATOS!$G8736="EX",1,IF(DATOS!$G8736="OR",--(COUNTIFS(nNIA,DATOS!$A8736,nCURSO,DATOS!$D8736,nESPEC,DATOS!$E8736,nASIG,DATOS!$I8736,nEVAL,"EX")=0),0))))</f>
      </c>
      <c r="H8736">
        <f>IF(DATOS!$G8736&lt;&gt;"EX",0,--(COUNTIFS(nNIA,DATOS!$A8736,nCURSO,DATOS!$D8736,nESPEC,DATOS!$E8736,nASIG,DATOS!$I8736,nEVAL,"OR")=0))</f>
      </c>
      <c r="I8736">
        <f>IF(DATOS!$I8736="","",IFERROR(VLOOKUP(DATOS!$I8736,CONFIG_ASIGNATURAS!$B$2:$J$91,9,FALSE()),""))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IF(DATOS!$A8737="",0,IF(CONFIG_METADATA!$B$4&lt;&gt;"OR+EX",--(DATOS!$G8737=CONFIG_METADATA!$B$4),IF(DATOS!$G8737="EX",1,IF(DATOS!$G8737="OR",--(COUNTIFS(nNIA,DATOS!$A8737,nCURSO,DATOS!$D8737,nESPEC,DATOS!$E8737,nASIG,DATOS!$I8737,nEVAL,"EX")=0),0))))</f>
      </c>
      <c r="H8737">
        <f>IF(DATOS!$G8737&lt;&gt;"EX",0,--(COUNTIFS(nNIA,DATOS!$A8737,nCURSO,DATOS!$D8737,nESPEC,DATOS!$E8737,nASIG,DATOS!$I8737,nEVAL,"OR")=0))</f>
      </c>
      <c r="I8737">
        <f>IF(DATOS!$I8737="","",IFERROR(VLOOKUP(DATOS!$I8737,CONFIG_ASIGNATURAS!$B$2:$J$91,9,FALSE()),""))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IF(DATOS!$A8738="",0,IF(CONFIG_METADATA!$B$4&lt;&gt;"OR+EX",--(DATOS!$G8738=CONFIG_METADATA!$B$4),IF(DATOS!$G8738="EX",1,IF(DATOS!$G8738="OR",--(COUNTIFS(nNIA,DATOS!$A8738,nCURSO,DATOS!$D8738,nESPEC,DATOS!$E8738,nASIG,DATOS!$I8738,nEVAL,"EX")=0),0))))</f>
      </c>
      <c r="H8738">
        <f>IF(DATOS!$G8738&lt;&gt;"EX",0,--(COUNTIFS(nNIA,DATOS!$A8738,nCURSO,DATOS!$D8738,nESPEC,DATOS!$E8738,nASIG,DATOS!$I8738,nEVAL,"OR")=0))</f>
      </c>
      <c r="I8738">
        <f>IF(DATOS!$I8738="","",IFERROR(VLOOKUP(DATOS!$I8738,CONFIG_ASIGNATURAS!$B$2:$J$91,9,FALSE()),""))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IF(DATOS!$A8739="",0,IF(CONFIG_METADATA!$B$4&lt;&gt;"OR+EX",--(DATOS!$G8739=CONFIG_METADATA!$B$4),IF(DATOS!$G8739="EX",1,IF(DATOS!$G8739="OR",--(COUNTIFS(nNIA,DATOS!$A8739,nCURSO,DATOS!$D8739,nESPEC,DATOS!$E8739,nASIG,DATOS!$I8739,nEVAL,"EX")=0),0))))</f>
      </c>
      <c r="H8739">
        <f>IF(DATOS!$G8739&lt;&gt;"EX",0,--(COUNTIFS(nNIA,DATOS!$A8739,nCURSO,DATOS!$D8739,nESPEC,DATOS!$E8739,nASIG,DATOS!$I8739,nEVAL,"OR")=0))</f>
      </c>
      <c r="I8739">
        <f>IF(DATOS!$I8739="","",IFERROR(VLOOKUP(DATOS!$I8739,CONFIG_ASIGNATURAS!$B$2:$J$91,9,FALSE()),""))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IF(DATOS!$A8740="",0,IF(CONFIG_METADATA!$B$4&lt;&gt;"OR+EX",--(DATOS!$G8740=CONFIG_METADATA!$B$4),IF(DATOS!$G8740="EX",1,IF(DATOS!$G8740="OR",--(COUNTIFS(nNIA,DATOS!$A8740,nCURSO,DATOS!$D8740,nESPEC,DATOS!$E8740,nASIG,DATOS!$I8740,nEVAL,"EX")=0),0))))</f>
      </c>
      <c r="H8740">
        <f>IF(DATOS!$G8740&lt;&gt;"EX",0,--(COUNTIFS(nNIA,DATOS!$A8740,nCURSO,DATOS!$D8740,nESPEC,DATOS!$E8740,nASIG,DATOS!$I8740,nEVAL,"OR")=0))</f>
      </c>
      <c r="I8740">
        <f>IF(DATOS!$I8740="","",IFERROR(VLOOKUP(DATOS!$I8740,CONFIG_ASIGNATURAS!$B$2:$J$91,9,FALSE()),""))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IF(DATOS!$A8741="",0,IF(CONFIG_METADATA!$B$4&lt;&gt;"OR+EX",--(DATOS!$G8741=CONFIG_METADATA!$B$4),IF(DATOS!$G8741="EX",1,IF(DATOS!$G8741="OR",--(COUNTIFS(nNIA,DATOS!$A8741,nCURSO,DATOS!$D8741,nESPEC,DATOS!$E8741,nASIG,DATOS!$I8741,nEVAL,"EX")=0),0))))</f>
      </c>
      <c r="H8741">
        <f>IF(DATOS!$G8741&lt;&gt;"EX",0,--(COUNTIFS(nNIA,DATOS!$A8741,nCURSO,DATOS!$D8741,nESPEC,DATOS!$E8741,nASIG,DATOS!$I8741,nEVAL,"OR")=0))</f>
      </c>
      <c r="I8741">
        <f>IF(DATOS!$I8741="","",IFERROR(VLOOKUP(DATOS!$I8741,CONFIG_ASIGNATURAS!$B$2:$J$91,9,FALSE()),""))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IF(DATOS!$A8742="",0,IF(CONFIG_METADATA!$B$4&lt;&gt;"OR+EX",--(DATOS!$G8742=CONFIG_METADATA!$B$4),IF(DATOS!$G8742="EX",1,IF(DATOS!$G8742="OR",--(COUNTIFS(nNIA,DATOS!$A8742,nCURSO,DATOS!$D8742,nESPEC,DATOS!$E8742,nASIG,DATOS!$I8742,nEVAL,"EX")=0),0))))</f>
      </c>
      <c r="H8742">
        <f>IF(DATOS!$G8742&lt;&gt;"EX",0,--(COUNTIFS(nNIA,DATOS!$A8742,nCURSO,DATOS!$D8742,nESPEC,DATOS!$E8742,nASIG,DATOS!$I8742,nEVAL,"OR")=0))</f>
      </c>
      <c r="I8742">
        <f>IF(DATOS!$I8742="","",IFERROR(VLOOKUP(DATOS!$I8742,CONFIG_ASIGNATURAS!$B$2:$J$91,9,FALSE()),""))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IF(DATOS!$A8743="",0,IF(CONFIG_METADATA!$B$4&lt;&gt;"OR+EX",--(DATOS!$G8743=CONFIG_METADATA!$B$4),IF(DATOS!$G8743="EX",1,IF(DATOS!$G8743="OR",--(COUNTIFS(nNIA,DATOS!$A8743,nCURSO,DATOS!$D8743,nESPEC,DATOS!$E8743,nASIG,DATOS!$I8743,nEVAL,"EX")=0),0))))</f>
      </c>
      <c r="H8743">
        <f>IF(DATOS!$G8743&lt;&gt;"EX",0,--(COUNTIFS(nNIA,DATOS!$A8743,nCURSO,DATOS!$D8743,nESPEC,DATOS!$E8743,nASIG,DATOS!$I8743,nEVAL,"OR")=0))</f>
      </c>
      <c r="I8743">
        <f>IF(DATOS!$I8743="","",IFERROR(VLOOKUP(DATOS!$I8743,CONFIG_ASIGNATURAS!$B$2:$J$91,9,FALSE()),""))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IF(DATOS!$A8744="",0,IF(CONFIG_METADATA!$B$4&lt;&gt;"OR+EX",--(DATOS!$G8744=CONFIG_METADATA!$B$4),IF(DATOS!$G8744="EX",1,IF(DATOS!$G8744="OR",--(COUNTIFS(nNIA,DATOS!$A8744,nCURSO,DATOS!$D8744,nESPEC,DATOS!$E8744,nASIG,DATOS!$I8744,nEVAL,"EX")=0),0))))</f>
      </c>
      <c r="H8744">
        <f>IF(DATOS!$G8744&lt;&gt;"EX",0,--(COUNTIFS(nNIA,DATOS!$A8744,nCURSO,DATOS!$D8744,nESPEC,DATOS!$E8744,nASIG,DATOS!$I8744,nEVAL,"OR")=0))</f>
      </c>
      <c r="I8744">
        <f>IF(DATOS!$I8744="","",IFERROR(VLOOKUP(DATOS!$I8744,CONFIG_ASIGNATURAS!$B$2:$J$91,9,FALSE()),""))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IF(DATOS!$A8745="",0,IF(CONFIG_METADATA!$B$4&lt;&gt;"OR+EX",--(DATOS!$G8745=CONFIG_METADATA!$B$4),IF(DATOS!$G8745="EX",1,IF(DATOS!$G8745="OR",--(COUNTIFS(nNIA,DATOS!$A8745,nCURSO,DATOS!$D8745,nESPEC,DATOS!$E8745,nASIG,DATOS!$I8745,nEVAL,"EX")=0),0))))</f>
      </c>
      <c r="H8745">
        <f>IF(DATOS!$G8745&lt;&gt;"EX",0,--(COUNTIFS(nNIA,DATOS!$A8745,nCURSO,DATOS!$D8745,nESPEC,DATOS!$E8745,nASIG,DATOS!$I8745,nEVAL,"OR")=0))</f>
      </c>
      <c r="I8745">
        <f>IF(DATOS!$I8745="","",IFERROR(VLOOKUP(DATOS!$I8745,CONFIG_ASIGNATURAS!$B$2:$J$91,9,FALSE()),""))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IF(DATOS!$A8746="",0,IF(CONFIG_METADATA!$B$4&lt;&gt;"OR+EX",--(DATOS!$G8746=CONFIG_METADATA!$B$4),IF(DATOS!$G8746="EX",1,IF(DATOS!$G8746="OR",--(COUNTIFS(nNIA,DATOS!$A8746,nCURSO,DATOS!$D8746,nESPEC,DATOS!$E8746,nASIG,DATOS!$I8746,nEVAL,"EX")=0),0))))</f>
      </c>
      <c r="H8746">
        <f>IF(DATOS!$G8746&lt;&gt;"EX",0,--(COUNTIFS(nNIA,DATOS!$A8746,nCURSO,DATOS!$D8746,nESPEC,DATOS!$E8746,nASIG,DATOS!$I8746,nEVAL,"OR")=0))</f>
      </c>
      <c r="I8746">
        <f>IF(DATOS!$I8746="","",IFERROR(VLOOKUP(DATOS!$I8746,CONFIG_ASIGNATURAS!$B$2:$J$91,9,FALSE()),""))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IF(DATOS!$A8747="",0,IF(CONFIG_METADATA!$B$4&lt;&gt;"OR+EX",--(DATOS!$G8747=CONFIG_METADATA!$B$4),IF(DATOS!$G8747="EX",1,IF(DATOS!$G8747="OR",--(COUNTIFS(nNIA,DATOS!$A8747,nCURSO,DATOS!$D8747,nESPEC,DATOS!$E8747,nASIG,DATOS!$I8747,nEVAL,"EX")=0),0))))</f>
      </c>
      <c r="H8747">
        <f>IF(DATOS!$G8747&lt;&gt;"EX",0,--(COUNTIFS(nNIA,DATOS!$A8747,nCURSO,DATOS!$D8747,nESPEC,DATOS!$E8747,nASIG,DATOS!$I8747,nEVAL,"OR")=0))</f>
      </c>
      <c r="I8747">
        <f>IF(DATOS!$I8747="","",IFERROR(VLOOKUP(DATOS!$I8747,CONFIG_ASIGNATURAS!$B$2:$J$91,9,FALSE()),""))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IF(DATOS!$A8748="",0,IF(CONFIG_METADATA!$B$4&lt;&gt;"OR+EX",--(DATOS!$G8748=CONFIG_METADATA!$B$4),IF(DATOS!$G8748="EX",1,IF(DATOS!$G8748="OR",--(COUNTIFS(nNIA,DATOS!$A8748,nCURSO,DATOS!$D8748,nESPEC,DATOS!$E8748,nASIG,DATOS!$I8748,nEVAL,"EX")=0),0))))</f>
      </c>
      <c r="H8748">
        <f>IF(DATOS!$G8748&lt;&gt;"EX",0,--(COUNTIFS(nNIA,DATOS!$A8748,nCURSO,DATOS!$D8748,nESPEC,DATOS!$E8748,nASIG,DATOS!$I8748,nEVAL,"OR")=0))</f>
      </c>
      <c r="I8748">
        <f>IF(DATOS!$I8748="","",IFERROR(VLOOKUP(DATOS!$I8748,CONFIG_ASIGNATURAS!$B$2:$J$91,9,FALSE()),""))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IF(DATOS!$A8749="",0,IF(CONFIG_METADATA!$B$4&lt;&gt;"OR+EX",--(DATOS!$G8749=CONFIG_METADATA!$B$4),IF(DATOS!$G8749="EX",1,IF(DATOS!$G8749="OR",--(COUNTIFS(nNIA,DATOS!$A8749,nCURSO,DATOS!$D8749,nESPEC,DATOS!$E8749,nASIG,DATOS!$I8749,nEVAL,"EX")=0),0))))</f>
      </c>
      <c r="H8749">
        <f>IF(DATOS!$G8749&lt;&gt;"EX",0,--(COUNTIFS(nNIA,DATOS!$A8749,nCURSO,DATOS!$D8749,nESPEC,DATOS!$E8749,nASIG,DATOS!$I8749,nEVAL,"OR")=0))</f>
      </c>
      <c r="I8749">
        <f>IF(DATOS!$I8749="","",IFERROR(VLOOKUP(DATOS!$I8749,CONFIG_ASIGNATURAS!$B$2:$J$91,9,FALSE()),""))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IF(DATOS!$A8750="",0,IF(CONFIG_METADATA!$B$4&lt;&gt;"OR+EX",--(DATOS!$G8750=CONFIG_METADATA!$B$4),IF(DATOS!$G8750="EX",1,IF(DATOS!$G8750="OR",--(COUNTIFS(nNIA,DATOS!$A8750,nCURSO,DATOS!$D8750,nESPEC,DATOS!$E8750,nASIG,DATOS!$I8750,nEVAL,"EX")=0),0))))</f>
      </c>
      <c r="H8750">
        <f>IF(DATOS!$G8750&lt;&gt;"EX",0,--(COUNTIFS(nNIA,DATOS!$A8750,nCURSO,DATOS!$D8750,nESPEC,DATOS!$E8750,nASIG,DATOS!$I8750,nEVAL,"OR")=0))</f>
      </c>
      <c r="I8750">
        <f>IF(DATOS!$I8750="","",IFERROR(VLOOKUP(DATOS!$I8750,CONFIG_ASIGNATURAS!$B$2:$J$91,9,FALSE()),""))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IF(DATOS!$A8751="",0,IF(CONFIG_METADATA!$B$4&lt;&gt;"OR+EX",--(DATOS!$G8751=CONFIG_METADATA!$B$4),IF(DATOS!$G8751="EX",1,IF(DATOS!$G8751="OR",--(COUNTIFS(nNIA,DATOS!$A8751,nCURSO,DATOS!$D8751,nESPEC,DATOS!$E8751,nASIG,DATOS!$I8751,nEVAL,"EX")=0),0))))</f>
      </c>
      <c r="H8751">
        <f>IF(DATOS!$G8751&lt;&gt;"EX",0,--(COUNTIFS(nNIA,DATOS!$A8751,nCURSO,DATOS!$D8751,nESPEC,DATOS!$E8751,nASIG,DATOS!$I8751,nEVAL,"OR")=0))</f>
      </c>
      <c r="I8751">
        <f>IF(DATOS!$I8751="","",IFERROR(VLOOKUP(DATOS!$I8751,CONFIG_ASIGNATURAS!$B$2:$J$91,9,FALSE()),""))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IF(DATOS!$A8752="",0,IF(CONFIG_METADATA!$B$4&lt;&gt;"OR+EX",--(DATOS!$G8752=CONFIG_METADATA!$B$4),IF(DATOS!$G8752="EX",1,IF(DATOS!$G8752="OR",--(COUNTIFS(nNIA,DATOS!$A8752,nCURSO,DATOS!$D8752,nESPEC,DATOS!$E8752,nASIG,DATOS!$I8752,nEVAL,"EX")=0),0))))</f>
      </c>
      <c r="H8752">
        <f>IF(DATOS!$G8752&lt;&gt;"EX",0,--(COUNTIFS(nNIA,DATOS!$A8752,nCURSO,DATOS!$D8752,nESPEC,DATOS!$E8752,nASIG,DATOS!$I8752,nEVAL,"OR")=0))</f>
      </c>
      <c r="I8752">
        <f>IF(DATOS!$I8752="","",IFERROR(VLOOKUP(DATOS!$I8752,CONFIG_ASIGNATURAS!$B$2:$J$91,9,FALSE()),""))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IF(DATOS!$A8753="",0,IF(CONFIG_METADATA!$B$4&lt;&gt;"OR+EX",--(DATOS!$G8753=CONFIG_METADATA!$B$4),IF(DATOS!$G8753="EX",1,IF(DATOS!$G8753="OR",--(COUNTIFS(nNIA,DATOS!$A8753,nCURSO,DATOS!$D8753,nESPEC,DATOS!$E8753,nASIG,DATOS!$I8753,nEVAL,"EX")=0),0))))</f>
      </c>
      <c r="H8753">
        <f>IF(DATOS!$G8753&lt;&gt;"EX",0,--(COUNTIFS(nNIA,DATOS!$A8753,nCURSO,DATOS!$D8753,nESPEC,DATOS!$E8753,nASIG,DATOS!$I8753,nEVAL,"OR")=0))</f>
      </c>
      <c r="I8753">
        <f>IF(DATOS!$I8753="","",IFERROR(VLOOKUP(DATOS!$I8753,CONFIG_ASIGNATURAS!$B$2:$J$91,9,FALSE()),""))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IF(DATOS!$A8754="",0,IF(CONFIG_METADATA!$B$4&lt;&gt;"OR+EX",--(DATOS!$G8754=CONFIG_METADATA!$B$4),IF(DATOS!$G8754="EX",1,IF(DATOS!$G8754="OR",--(COUNTIFS(nNIA,DATOS!$A8754,nCURSO,DATOS!$D8754,nESPEC,DATOS!$E8754,nASIG,DATOS!$I8754,nEVAL,"EX")=0),0))))</f>
      </c>
      <c r="H8754">
        <f>IF(DATOS!$G8754&lt;&gt;"EX",0,--(COUNTIFS(nNIA,DATOS!$A8754,nCURSO,DATOS!$D8754,nESPEC,DATOS!$E8754,nASIG,DATOS!$I8754,nEVAL,"OR")=0))</f>
      </c>
      <c r="I8754">
        <f>IF(DATOS!$I8754="","",IFERROR(VLOOKUP(DATOS!$I8754,CONFIG_ASIGNATURAS!$B$2:$J$91,9,FALSE()),""))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IF(DATOS!$A8755="",0,IF(CONFIG_METADATA!$B$4&lt;&gt;"OR+EX",--(DATOS!$G8755=CONFIG_METADATA!$B$4),IF(DATOS!$G8755="EX",1,IF(DATOS!$G8755="OR",--(COUNTIFS(nNIA,DATOS!$A8755,nCURSO,DATOS!$D8755,nESPEC,DATOS!$E8755,nASIG,DATOS!$I8755,nEVAL,"EX")=0),0))))</f>
      </c>
      <c r="H8755">
        <f>IF(DATOS!$G8755&lt;&gt;"EX",0,--(COUNTIFS(nNIA,DATOS!$A8755,nCURSO,DATOS!$D8755,nESPEC,DATOS!$E8755,nASIG,DATOS!$I8755,nEVAL,"OR")=0))</f>
      </c>
      <c r="I8755">
        <f>IF(DATOS!$I8755="","",IFERROR(VLOOKUP(DATOS!$I8755,CONFIG_ASIGNATURAS!$B$2:$J$91,9,FALSE()),""))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IF(DATOS!$A8756="",0,IF(CONFIG_METADATA!$B$4&lt;&gt;"OR+EX",--(DATOS!$G8756=CONFIG_METADATA!$B$4),IF(DATOS!$G8756="EX",1,IF(DATOS!$G8756="OR",--(COUNTIFS(nNIA,DATOS!$A8756,nCURSO,DATOS!$D8756,nESPEC,DATOS!$E8756,nASIG,DATOS!$I8756,nEVAL,"EX")=0),0))))</f>
      </c>
      <c r="H8756">
        <f>IF(DATOS!$G8756&lt;&gt;"EX",0,--(COUNTIFS(nNIA,DATOS!$A8756,nCURSO,DATOS!$D8756,nESPEC,DATOS!$E8756,nASIG,DATOS!$I8756,nEVAL,"OR")=0))</f>
      </c>
      <c r="I8756">
        <f>IF(DATOS!$I8756="","",IFERROR(VLOOKUP(DATOS!$I8756,CONFIG_ASIGNATURAS!$B$2:$J$91,9,FALSE()),""))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IF(DATOS!$A8757="",0,IF(CONFIG_METADATA!$B$4&lt;&gt;"OR+EX",--(DATOS!$G8757=CONFIG_METADATA!$B$4),IF(DATOS!$G8757="EX",1,IF(DATOS!$G8757="OR",--(COUNTIFS(nNIA,DATOS!$A8757,nCURSO,DATOS!$D8757,nESPEC,DATOS!$E8757,nASIG,DATOS!$I8757,nEVAL,"EX")=0),0))))</f>
      </c>
      <c r="H8757">
        <f>IF(DATOS!$G8757&lt;&gt;"EX",0,--(COUNTIFS(nNIA,DATOS!$A8757,nCURSO,DATOS!$D8757,nESPEC,DATOS!$E8757,nASIG,DATOS!$I8757,nEVAL,"OR")=0))</f>
      </c>
      <c r="I8757">
        <f>IF(DATOS!$I8757="","",IFERROR(VLOOKUP(DATOS!$I8757,CONFIG_ASIGNATURAS!$B$2:$J$91,9,FALSE()),""))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IF(DATOS!$A8758="",0,IF(CONFIG_METADATA!$B$4&lt;&gt;"OR+EX",--(DATOS!$G8758=CONFIG_METADATA!$B$4),IF(DATOS!$G8758="EX",1,IF(DATOS!$G8758="OR",--(COUNTIFS(nNIA,DATOS!$A8758,nCURSO,DATOS!$D8758,nESPEC,DATOS!$E8758,nASIG,DATOS!$I8758,nEVAL,"EX")=0),0))))</f>
      </c>
      <c r="H8758">
        <f>IF(DATOS!$G8758&lt;&gt;"EX",0,--(COUNTIFS(nNIA,DATOS!$A8758,nCURSO,DATOS!$D8758,nESPEC,DATOS!$E8758,nASIG,DATOS!$I8758,nEVAL,"OR")=0))</f>
      </c>
      <c r="I8758">
        <f>IF(DATOS!$I8758="","",IFERROR(VLOOKUP(DATOS!$I8758,CONFIG_ASIGNATURAS!$B$2:$J$91,9,FALSE()),""))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IF(DATOS!$A8759="",0,IF(CONFIG_METADATA!$B$4&lt;&gt;"OR+EX",--(DATOS!$G8759=CONFIG_METADATA!$B$4),IF(DATOS!$G8759="EX",1,IF(DATOS!$G8759="OR",--(COUNTIFS(nNIA,DATOS!$A8759,nCURSO,DATOS!$D8759,nESPEC,DATOS!$E8759,nASIG,DATOS!$I8759,nEVAL,"EX")=0),0))))</f>
      </c>
      <c r="H8759">
        <f>IF(DATOS!$G8759&lt;&gt;"EX",0,--(COUNTIFS(nNIA,DATOS!$A8759,nCURSO,DATOS!$D8759,nESPEC,DATOS!$E8759,nASIG,DATOS!$I8759,nEVAL,"OR")=0))</f>
      </c>
      <c r="I8759">
        <f>IF(DATOS!$I8759="","",IFERROR(VLOOKUP(DATOS!$I8759,CONFIG_ASIGNATURAS!$B$2:$J$91,9,FALSE()),""))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IF(DATOS!$A8760="",0,IF(CONFIG_METADATA!$B$4&lt;&gt;"OR+EX",--(DATOS!$G8760=CONFIG_METADATA!$B$4),IF(DATOS!$G8760="EX",1,IF(DATOS!$G8760="OR",--(COUNTIFS(nNIA,DATOS!$A8760,nCURSO,DATOS!$D8760,nESPEC,DATOS!$E8760,nASIG,DATOS!$I8760,nEVAL,"EX")=0),0))))</f>
      </c>
      <c r="H8760">
        <f>IF(DATOS!$G8760&lt;&gt;"EX",0,--(COUNTIFS(nNIA,DATOS!$A8760,nCURSO,DATOS!$D8760,nESPEC,DATOS!$E8760,nASIG,DATOS!$I8760,nEVAL,"OR")=0))</f>
      </c>
      <c r="I8760">
        <f>IF(DATOS!$I8760="","",IFERROR(VLOOKUP(DATOS!$I8760,CONFIG_ASIGNATURAS!$B$2:$J$91,9,FALSE()),""))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IF(DATOS!$A8761="",0,IF(CONFIG_METADATA!$B$4&lt;&gt;"OR+EX",--(DATOS!$G8761=CONFIG_METADATA!$B$4),IF(DATOS!$G8761="EX",1,IF(DATOS!$G8761="OR",--(COUNTIFS(nNIA,DATOS!$A8761,nCURSO,DATOS!$D8761,nESPEC,DATOS!$E8761,nASIG,DATOS!$I8761,nEVAL,"EX")=0),0))))</f>
      </c>
      <c r="H8761">
        <f>IF(DATOS!$G8761&lt;&gt;"EX",0,--(COUNTIFS(nNIA,DATOS!$A8761,nCURSO,DATOS!$D8761,nESPEC,DATOS!$E8761,nASIG,DATOS!$I8761,nEVAL,"OR")=0))</f>
      </c>
      <c r="I8761">
        <f>IF(DATOS!$I8761="","",IFERROR(VLOOKUP(DATOS!$I8761,CONFIG_ASIGNATURAS!$B$2:$J$91,9,FALSE()),""))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IF(DATOS!$A8762="",0,IF(CONFIG_METADATA!$B$4&lt;&gt;"OR+EX",--(DATOS!$G8762=CONFIG_METADATA!$B$4),IF(DATOS!$G8762="EX",1,IF(DATOS!$G8762="OR",--(COUNTIFS(nNIA,DATOS!$A8762,nCURSO,DATOS!$D8762,nESPEC,DATOS!$E8762,nASIG,DATOS!$I8762,nEVAL,"EX")=0),0))))</f>
      </c>
      <c r="H8762">
        <f>IF(DATOS!$G8762&lt;&gt;"EX",0,--(COUNTIFS(nNIA,DATOS!$A8762,nCURSO,DATOS!$D8762,nESPEC,DATOS!$E8762,nASIG,DATOS!$I8762,nEVAL,"OR")=0))</f>
      </c>
      <c r="I8762">
        <f>IF(DATOS!$I8762="","",IFERROR(VLOOKUP(DATOS!$I8762,CONFIG_ASIGNATURAS!$B$2:$J$91,9,FALSE()),""))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IF(DATOS!$A8763="",0,IF(CONFIG_METADATA!$B$4&lt;&gt;"OR+EX",--(DATOS!$G8763=CONFIG_METADATA!$B$4),IF(DATOS!$G8763="EX",1,IF(DATOS!$G8763="OR",--(COUNTIFS(nNIA,DATOS!$A8763,nCURSO,DATOS!$D8763,nESPEC,DATOS!$E8763,nASIG,DATOS!$I8763,nEVAL,"EX")=0),0))))</f>
      </c>
      <c r="H8763">
        <f>IF(DATOS!$G8763&lt;&gt;"EX",0,--(COUNTIFS(nNIA,DATOS!$A8763,nCURSO,DATOS!$D8763,nESPEC,DATOS!$E8763,nASIG,DATOS!$I8763,nEVAL,"OR")=0))</f>
      </c>
      <c r="I8763">
        <f>IF(DATOS!$I8763="","",IFERROR(VLOOKUP(DATOS!$I8763,CONFIG_ASIGNATURAS!$B$2:$J$91,9,FALSE()),""))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IF(DATOS!$A8764="",0,IF(CONFIG_METADATA!$B$4&lt;&gt;"OR+EX",--(DATOS!$G8764=CONFIG_METADATA!$B$4),IF(DATOS!$G8764="EX",1,IF(DATOS!$G8764="OR",--(COUNTIFS(nNIA,DATOS!$A8764,nCURSO,DATOS!$D8764,nESPEC,DATOS!$E8764,nASIG,DATOS!$I8764,nEVAL,"EX")=0),0))))</f>
      </c>
      <c r="H8764">
        <f>IF(DATOS!$G8764&lt;&gt;"EX",0,--(COUNTIFS(nNIA,DATOS!$A8764,nCURSO,DATOS!$D8764,nESPEC,DATOS!$E8764,nASIG,DATOS!$I8764,nEVAL,"OR")=0))</f>
      </c>
      <c r="I8764">
        <f>IF(DATOS!$I8764="","",IFERROR(VLOOKUP(DATOS!$I8764,CONFIG_ASIGNATURAS!$B$2:$J$91,9,FALSE()),""))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IF(DATOS!$A8765="",0,IF(CONFIG_METADATA!$B$4&lt;&gt;"OR+EX",--(DATOS!$G8765=CONFIG_METADATA!$B$4),IF(DATOS!$G8765="EX",1,IF(DATOS!$G8765="OR",--(COUNTIFS(nNIA,DATOS!$A8765,nCURSO,DATOS!$D8765,nESPEC,DATOS!$E8765,nASIG,DATOS!$I8765,nEVAL,"EX")=0),0))))</f>
      </c>
      <c r="H8765">
        <f>IF(DATOS!$G8765&lt;&gt;"EX",0,--(COUNTIFS(nNIA,DATOS!$A8765,nCURSO,DATOS!$D8765,nESPEC,DATOS!$E8765,nASIG,DATOS!$I8765,nEVAL,"OR")=0))</f>
      </c>
      <c r="I8765">
        <f>IF(DATOS!$I8765="","",IFERROR(VLOOKUP(DATOS!$I8765,CONFIG_ASIGNATURAS!$B$2:$J$91,9,FALSE()),""))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IF(DATOS!$A8766="",0,IF(CONFIG_METADATA!$B$4&lt;&gt;"OR+EX",--(DATOS!$G8766=CONFIG_METADATA!$B$4),IF(DATOS!$G8766="EX",1,IF(DATOS!$G8766="OR",--(COUNTIFS(nNIA,DATOS!$A8766,nCURSO,DATOS!$D8766,nESPEC,DATOS!$E8766,nASIG,DATOS!$I8766,nEVAL,"EX")=0),0))))</f>
      </c>
      <c r="H8766">
        <f>IF(DATOS!$G8766&lt;&gt;"EX",0,--(COUNTIFS(nNIA,DATOS!$A8766,nCURSO,DATOS!$D8766,nESPEC,DATOS!$E8766,nASIG,DATOS!$I8766,nEVAL,"OR")=0))</f>
      </c>
      <c r="I8766">
        <f>IF(DATOS!$I8766="","",IFERROR(VLOOKUP(DATOS!$I8766,CONFIG_ASIGNATURAS!$B$2:$J$91,9,FALSE()),""))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IF(DATOS!$A8767="",0,IF(CONFIG_METADATA!$B$4&lt;&gt;"OR+EX",--(DATOS!$G8767=CONFIG_METADATA!$B$4),IF(DATOS!$G8767="EX",1,IF(DATOS!$G8767="OR",--(COUNTIFS(nNIA,DATOS!$A8767,nCURSO,DATOS!$D8767,nESPEC,DATOS!$E8767,nASIG,DATOS!$I8767,nEVAL,"EX")=0),0))))</f>
      </c>
      <c r="H8767">
        <f>IF(DATOS!$G8767&lt;&gt;"EX",0,--(COUNTIFS(nNIA,DATOS!$A8767,nCURSO,DATOS!$D8767,nESPEC,DATOS!$E8767,nASIG,DATOS!$I8767,nEVAL,"OR")=0))</f>
      </c>
      <c r="I8767">
        <f>IF(DATOS!$I8767="","",IFERROR(VLOOKUP(DATOS!$I8767,CONFIG_ASIGNATURAS!$B$2:$J$91,9,FALSE()),""))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IF(DATOS!$A8768="",0,IF(CONFIG_METADATA!$B$4&lt;&gt;"OR+EX",--(DATOS!$G8768=CONFIG_METADATA!$B$4),IF(DATOS!$G8768="EX",1,IF(DATOS!$G8768="OR",--(COUNTIFS(nNIA,DATOS!$A8768,nCURSO,DATOS!$D8768,nESPEC,DATOS!$E8768,nASIG,DATOS!$I8768,nEVAL,"EX")=0),0))))</f>
      </c>
      <c r="H8768">
        <f>IF(DATOS!$G8768&lt;&gt;"EX",0,--(COUNTIFS(nNIA,DATOS!$A8768,nCURSO,DATOS!$D8768,nESPEC,DATOS!$E8768,nASIG,DATOS!$I8768,nEVAL,"OR")=0))</f>
      </c>
      <c r="I8768">
        <f>IF(DATOS!$I8768="","",IFERROR(VLOOKUP(DATOS!$I8768,CONFIG_ASIGNATURAS!$B$2:$J$91,9,FALSE()),""))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IF(DATOS!$A8769="",0,IF(CONFIG_METADATA!$B$4&lt;&gt;"OR+EX",--(DATOS!$G8769=CONFIG_METADATA!$B$4),IF(DATOS!$G8769="EX",1,IF(DATOS!$G8769="OR",--(COUNTIFS(nNIA,DATOS!$A8769,nCURSO,DATOS!$D8769,nESPEC,DATOS!$E8769,nASIG,DATOS!$I8769,nEVAL,"EX")=0),0))))</f>
      </c>
      <c r="H8769">
        <f>IF(DATOS!$G8769&lt;&gt;"EX",0,--(COUNTIFS(nNIA,DATOS!$A8769,nCURSO,DATOS!$D8769,nESPEC,DATOS!$E8769,nASIG,DATOS!$I8769,nEVAL,"OR")=0))</f>
      </c>
      <c r="I8769">
        <f>IF(DATOS!$I8769="","",IFERROR(VLOOKUP(DATOS!$I8769,CONFIG_ASIGNATURAS!$B$2:$J$91,9,FALSE()),""))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IF(DATOS!$A8770="",0,IF(CONFIG_METADATA!$B$4&lt;&gt;"OR+EX",--(DATOS!$G8770=CONFIG_METADATA!$B$4),IF(DATOS!$G8770="EX",1,IF(DATOS!$G8770="OR",--(COUNTIFS(nNIA,DATOS!$A8770,nCURSO,DATOS!$D8770,nESPEC,DATOS!$E8770,nASIG,DATOS!$I8770,nEVAL,"EX")=0),0))))</f>
      </c>
      <c r="H8770">
        <f>IF(DATOS!$G8770&lt;&gt;"EX",0,--(COUNTIFS(nNIA,DATOS!$A8770,nCURSO,DATOS!$D8770,nESPEC,DATOS!$E8770,nASIG,DATOS!$I8770,nEVAL,"OR")=0))</f>
      </c>
      <c r="I8770">
        <f>IF(DATOS!$I8770="","",IFERROR(VLOOKUP(DATOS!$I8770,CONFIG_ASIGNATURAS!$B$2:$J$91,9,FALSE()),""))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IF(DATOS!$A8771="",0,IF(CONFIG_METADATA!$B$4&lt;&gt;"OR+EX",--(DATOS!$G8771=CONFIG_METADATA!$B$4),IF(DATOS!$G8771="EX",1,IF(DATOS!$G8771="OR",--(COUNTIFS(nNIA,DATOS!$A8771,nCURSO,DATOS!$D8771,nESPEC,DATOS!$E8771,nASIG,DATOS!$I8771,nEVAL,"EX")=0),0))))</f>
      </c>
      <c r="H8771">
        <f>IF(DATOS!$G8771&lt;&gt;"EX",0,--(COUNTIFS(nNIA,DATOS!$A8771,nCURSO,DATOS!$D8771,nESPEC,DATOS!$E8771,nASIG,DATOS!$I8771,nEVAL,"OR")=0))</f>
      </c>
      <c r="I8771">
        <f>IF(DATOS!$I8771="","",IFERROR(VLOOKUP(DATOS!$I8771,CONFIG_ASIGNATURAS!$B$2:$J$91,9,FALSE()),""))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IF(DATOS!$A8772="",0,IF(CONFIG_METADATA!$B$4&lt;&gt;"OR+EX",--(DATOS!$G8772=CONFIG_METADATA!$B$4),IF(DATOS!$G8772="EX",1,IF(DATOS!$G8772="OR",--(COUNTIFS(nNIA,DATOS!$A8772,nCURSO,DATOS!$D8772,nESPEC,DATOS!$E8772,nASIG,DATOS!$I8772,nEVAL,"EX")=0),0))))</f>
      </c>
      <c r="H8772">
        <f>IF(DATOS!$G8772&lt;&gt;"EX",0,--(COUNTIFS(nNIA,DATOS!$A8772,nCURSO,DATOS!$D8772,nESPEC,DATOS!$E8772,nASIG,DATOS!$I8772,nEVAL,"OR")=0))</f>
      </c>
      <c r="I8772">
        <f>IF(DATOS!$I8772="","",IFERROR(VLOOKUP(DATOS!$I8772,CONFIG_ASIGNATURAS!$B$2:$J$91,9,FALSE()),""))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IF(DATOS!$A8773="",0,IF(CONFIG_METADATA!$B$4&lt;&gt;"OR+EX",--(DATOS!$G8773=CONFIG_METADATA!$B$4),IF(DATOS!$G8773="EX",1,IF(DATOS!$G8773="OR",--(COUNTIFS(nNIA,DATOS!$A8773,nCURSO,DATOS!$D8773,nESPEC,DATOS!$E8773,nASIG,DATOS!$I8773,nEVAL,"EX")=0),0))))</f>
      </c>
      <c r="H8773">
        <f>IF(DATOS!$G8773&lt;&gt;"EX",0,--(COUNTIFS(nNIA,DATOS!$A8773,nCURSO,DATOS!$D8773,nESPEC,DATOS!$E8773,nASIG,DATOS!$I8773,nEVAL,"OR")=0))</f>
      </c>
      <c r="I8773">
        <f>IF(DATOS!$I8773="","",IFERROR(VLOOKUP(DATOS!$I8773,CONFIG_ASIGNATURAS!$B$2:$J$91,9,FALSE()),""))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IF(DATOS!$A8774="",0,IF(CONFIG_METADATA!$B$4&lt;&gt;"OR+EX",--(DATOS!$G8774=CONFIG_METADATA!$B$4),IF(DATOS!$G8774="EX",1,IF(DATOS!$G8774="OR",--(COUNTIFS(nNIA,DATOS!$A8774,nCURSO,DATOS!$D8774,nESPEC,DATOS!$E8774,nASIG,DATOS!$I8774,nEVAL,"EX")=0),0))))</f>
      </c>
      <c r="H8774">
        <f>IF(DATOS!$G8774&lt;&gt;"EX",0,--(COUNTIFS(nNIA,DATOS!$A8774,nCURSO,DATOS!$D8774,nESPEC,DATOS!$E8774,nASIG,DATOS!$I8774,nEVAL,"OR")=0))</f>
      </c>
      <c r="I8774">
        <f>IF(DATOS!$I8774="","",IFERROR(VLOOKUP(DATOS!$I8774,CONFIG_ASIGNATURAS!$B$2:$J$91,9,FALSE()),""))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IF(DATOS!$A8775="",0,IF(CONFIG_METADATA!$B$4&lt;&gt;"OR+EX",--(DATOS!$G8775=CONFIG_METADATA!$B$4),IF(DATOS!$G8775="EX",1,IF(DATOS!$G8775="OR",--(COUNTIFS(nNIA,DATOS!$A8775,nCURSO,DATOS!$D8775,nESPEC,DATOS!$E8775,nASIG,DATOS!$I8775,nEVAL,"EX")=0),0))))</f>
      </c>
      <c r="H8775">
        <f>IF(DATOS!$G8775&lt;&gt;"EX",0,--(COUNTIFS(nNIA,DATOS!$A8775,nCURSO,DATOS!$D8775,nESPEC,DATOS!$E8775,nASIG,DATOS!$I8775,nEVAL,"OR")=0))</f>
      </c>
      <c r="I8775">
        <f>IF(DATOS!$I8775="","",IFERROR(VLOOKUP(DATOS!$I8775,CONFIG_ASIGNATURAS!$B$2:$J$91,9,FALSE()),""))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IF(DATOS!$A8776="",0,IF(CONFIG_METADATA!$B$4&lt;&gt;"OR+EX",--(DATOS!$G8776=CONFIG_METADATA!$B$4),IF(DATOS!$G8776="EX",1,IF(DATOS!$G8776="OR",--(COUNTIFS(nNIA,DATOS!$A8776,nCURSO,DATOS!$D8776,nESPEC,DATOS!$E8776,nASIG,DATOS!$I8776,nEVAL,"EX")=0),0))))</f>
      </c>
      <c r="H8776">
        <f>IF(DATOS!$G8776&lt;&gt;"EX",0,--(COUNTIFS(nNIA,DATOS!$A8776,nCURSO,DATOS!$D8776,nESPEC,DATOS!$E8776,nASIG,DATOS!$I8776,nEVAL,"OR")=0))</f>
      </c>
      <c r="I8776">
        <f>IF(DATOS!$I8776="","",IFERROR(VLOOKUP(DATOS!$I8776,CONFIG_ASIGNATURAS!$B$2:$J$91,9,FALSE()),""))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IF(DATOS!$A8777="",0,IF(CONFIG_METADATA!$B$4&lt;&gt;"OR+EX",--(DATOS!$G8777=CONFIG_METADATA!$B$4),IF(DATOS!$G8777="EX",1,IF(DATOS!$G8777="OR",--(COUNTIFS(nNIA,DATOS!$A8777,nCURSO,DATOS!$D8777,nESPEC,DATOS!$E8777,nASIG,DATOS!$I8777,nEVAL,"EX")=0),0))))</f>
      </c>
      <c r="H8777">
        <f>IF(DATOS!$G8777&lt;&gt;"EX",0,--(COUNTIFS(nNIA,DATOS!$A8777,nCURSO,DATOS!$D8777,nESPEC,DATOS!$E8777,nASIG,DATOS!$I8777,nEVAL,"OR")=0))</f>
      </c>
      <c r="I8777">
        <f>IF(DATOS!$I8777="","",IFERROR(VLOOKUP(DATOS!$I8777,CONFIG_ASIGNATURAS!$B$2:$J$91,9,FALSE()),""))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IF(DATOS!$A8778="",0,IF(CONFIG_METADATA!$B$4&lt;&gt;"OR+EX",--(DATOS!$G8778=CONFIG_METADATA!$B$4),IF(DATOS!$G8778="EX",1,IF(DATOS!$G8778="OR",--(COUNTIFS(nNIA,DATOS!$A8778,nCURSO,DATOS!$D8778,nESPEC,DATOS!$E8778,nASIG,DATOS!$I8778,nEVAL,"EX")=0),0))))</f>
      </c>
      <c r="H8778">
        <f>IF(DATOS!$G8778&lt;&gt;"EX",0,--(COUNTIFS(nNIA,DATOS!$A8778,nCURSO,DATOS!$D8778,nESPEC,DATOS!$E8778,nASIG,DATOS!$I8778,nEVAL,"OR")=0))</f>
      </c>
      <c r="I8778">
        <f>IF(DATOS!$I8778="","",IFERROR(VLOOKUP(DATOS!$I8778,CONFIG_ASIGNATURAS!$B$2:$J$91,9,FALSE()),""))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IF(DATOS!$A8779="",0,IF(CONFIG_METADATA!$B$4&lt;&gt;"OR+EX",--(DATOS!$G8779=CONFIG_METADATA!$B$4),IF(DATOS!$G8779="EX",1,IF(DATOS!$G8779="OR",--(COUNTIFS(nNIA,DATOS!$A8779,nCURSO,DATOS!$D8779,nESPEC,DATOS!$E8779,nASIG,DATOS!$I8779,nEVAL,"EX")=0),0))))</f>
      </c>
      <c r="H8779">
        <f>IF(DATOS!$G8779&lt;&gt;"EX",0,--(COUNTIFS(nNIA,DATOS!$A8779,nCURSO,DATOS!$D8779,nESPEC,DATOS!$E8779,nASIG,DATOS!$I8779,nEVAL,"OR")=0))</f>
      </c>
      <c r="I8779">
        <f>IF(DATOS!$I8779="","",IFERROR(VLOOKUP(DATOS!$I8779,CONFIG_ASIGNATURAS!$B$2:$J$91,9,FALSE()),""))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IF(DATOS!$A8780="",0,IF(CONFIG_METADATA!$B$4&lt;&gt;"OR+EX",--(DATOS!$G8780=CONFIG_METADATA!$B$4),IF(DATOS!$G8780="EX",1,IF(DATOS!$G8780="OR",--(COUNTIFS(nNIA,DATOS!$A8780,nCURSO,DATOS!$D8780,nESPEC,DATOS!$E8780,nASIG,DATOS!$I8780,nEVAL,"EX")=0),0))))</f>
      </c>
      <c r="H8780">
        <f>IF(DATOS!$G8780&lt;&gt;"EX",0,--(COUNTIFS(nNIA,DATOS!$A8780,nCURSO,DATOS!$D8780,nESPEC,DATOS!$E8780,nASIG,DATOS!$I8780,nEVAL,"OR")=0))</f>
      </c>
      <c r="I8780">
        <f>IF(DATOS!$I8780="","",IFERROR(VLOOKUP(DATOS!$I8780,CONFIG_ASIGNATURAS!$B$2:$J$91,9,FALSE()),""))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IF(DATOS!$A8781="",0,IF(CONFIG_METADATA!$B$4&lt;&gt;"OR+EX",--(DATOS!$G8781=CONFIG_METADATA!$B$4),IF(DATOS!$G8781="EX",1,IF(DATOS!$G8781="OR",--(COUNTIFS(nNIA,DATOS!$A8781,nCURSO,DATOS!$D8781,nESPEC,DATOS!$E8781,nASIG,DATOS!$I8781,nEVAL,"EX")=0),0))))</f>
      </c>
      <c r="H8781">
        <f>IF(DATOS!$G8781&lt;&gt;"EX",0,--(COUNTIFS(nNIA,DATOS!$A8781,nCURSO,DATOS!$D8781,nESPEC,DATOS!$E8781,nASIG,DATOS!$I8781,nEVAL,"OR")=0))</f>
      </c>
      <c r="I8781">
        <f>IF(DATOS!$I8781="","",IFERROR(VLOOKUP(DATOS!$I8781,CONFIG_ASIGNATURAS!$B$2:$J$91,9,FALSE()),""))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IF(DATOS!$A8782="",0,IF(CONFIG_METADATA!$B$4&lt;&gt;"OR+EX",--(DATOS!$G8782=CONFIG_METADATA!$B$4),IF(DATOS!$G8782="EX",1,IF(DATOS!$G8782="OR",--(COUNTIFS(nNIA,DATOS!$A8782,nCURSO,DATOS!$D8782,nESPEC,DATOS!$E8782,nASIG,DATOS!$I8782,nEVAL,"EX")=0),0))))</f>
      </c>
      <c r="H8782">
        <f>IF(DATOS!$G8782&lt;&gt;"EX",0,--(COUNTIFS(nNIA,DATOS!$A8782,nCURSO,DATOS!$D8782,nESPEC,DATOS!$E8782,nASIG,DATOS!$I8782,nEVAL,"OR")=0))</f>
      </c>
      <c r="I8782">
        <f>IF(DATOS!$I8782="","",IFERROR(VLOOKUP(DATOS!$I8782,CONFIG_ASIGNATURAS!$B$2:$J$91,9,FALSE()),""))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IF(DATOS!$A8783="",0,IF(CONFIG_METADATA!$B$4&lt;&gt;"OR+EX",--(DATOS!$G8783=CONFIG_METADATA!$B$4),IF(DATOS!$G8783="EX",1,IF(DATOS!$G8783="OR",--(COUNTIFS(nNIA,DATOS!$A8783,nCURSO,DATOS!$D8783,nESPEC,DATOS!$E8783,nASIG,DATOS!$I8783,nEVAL,"EX")=0),0))))</f>
      </c>
      <c r="H8783">
        <f>IF(DATOS!$G8783&lt;&gt;"EX",0,--(COUNTIFS(nNIA,DATOS!$A8783,nCURSO,DATOS!$D8783,nESPEC,DATOS!$E8783,nASIG,DATOS!$I8783,nEVAL,"OR")=0))</f>
      </c>
      <c r="I8783">
        <f>IF(DATOS!$I8783="","",IFERROR(VLOOKUP(DATOS!$I8783,CONFIG_ASIGNATURAS!$B$2:$J$91,9,FALSE()),""))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IF(DATOS!$A8784="",0,IF(CONFIG_METADATA!$B$4&lt;&gt;"OR+EX",--(DATOS!$G8784=CONFIG_METADATA!$B$4),IF(DATOS!$G8784="EX",1,IF(DATOS!$G8784="OR",--(COUNTIFS(nNIA,DATOS!$A8784,nCURSO,DATOS!$D8784,nESPEC,DATOS!$E8784,nASIG,DATOS!$I8784,nEVAL,"EX")=0),0))))</f>
      </c>
      <c r="H8784">
        <f>IF(DATOS!$G8784&lt;&gt;"EX",0,--(COUNTIFS(nNIA,DATOS!$A8784,nCURSO,DATOS!$D8784,nESPEC,DATOS!$E8784,nASIG,DATOS!$I8784,nEVAL,"OR")=0))</f>
      </c>
      <c r="I8784">
        <f>IF(DATOS!$I8784="","",IFERROR(VLOOKUP(DATOS!$I8784,CONFIG_ASIGNATURAS!$B$2:$J$91,9,FALSE()),""))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IF(DATOS!$A8785="",0,IF(CONFIG_METADATA!$B$4&lt;&gt;"OR+EX",--(DATOS!$G8785=CONFIG_METADATA!$B$4),IF(DATOS!$G8785="EX",1,IF(DATOS!$G8785="OR",--(COUNTIFS(nNIA,DATOS!$A8785,nCURSO,DATOS!$D8785,nESPEC,DATOS!$E8785,nASIG,DATOS!$I8785,nEVAL,"EX")=0),0))))</f>
      </c>
      <c r="H8785">
        <f>IF(DATOS!$G8785&lt;&gt;"EX",0,--(COUNTIFS(nNIA,DATOS!$A8785,nCURSO,DATOS!$D8785,nESPEC,DATOS!$E8785,nASIG,DATOS!$I8785,nEVAL,"OR")=0))</f>
      </c>
      <c r="I8785">
        <f>IF(DATOS!$I8785="","",IFERROR(VLOOKUP(DATOS!$I8785,CONFIG_ASIGNATURAS!$B$2:$J$91,9,FALSE()),""))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IF(DATOS!$A8786="",0,IF(CONFIG_METADATA!$B$4&lt;&gt;"OR+EX",--(DATOS!$G8786=CONFIG_METADATA!$B$4),IF(DATOS!$G8786="EX",1,IF(DATOS!$G8786="OR",--(COUNTIFS(nNIA,DATOS!$A8786,nCURSO,DATOS!$D8786,nESPEC,DATOS!$E8786,nASIG,DATOS!$I8786,nEVAL,"EX")=0),0))))</f>
      </c>
      <c r="H8786">
        <f>IF(DATOS!$G8786&lt;&gt;"EX",0,--(COUNTIFS(nNIA,DATOS!$A8786,nCURSO,DATOS!$D8786,nESPEC,DATOS!$E8786,nASIG,DATOS!$I8786,nEVAL,"OR")=0))</f>
      </c>
      <c r="I8786">
        <f>IF(DATOS!$I8786="","",IFERROR(VLOOKUP(DATOS!$I8786,CONFIG_ASIGNATURAS!$B$2:$J$91,9,FALSE()),""))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IF(DATOS!$A8787="",0,IF(CONFIG_METADATA!$B$4&lt;&gt;"OR+EX",--(DATOS!$G8787=CONFIG_METADATA!$B$4),IF(DATOS!$G8787="EX",1,IF(DATOS!$G8787="OR",--(COUNTIFS(nNIA,DATOS!$A8787,nCURSO,DATOS!$D8787,nESPEC,DATOS!$E8787,nASIG,DATOS!$I8787,nEVAL,"EX")=0),0))))</f>
      </c>
      <c r="H8787">
        <f>IF(DATOS!$G8787&lt;&gt;"EX",0,--(COUNTIFS(nNIA,DATOS!$A8787,nCURSO,DATOS!$D8787,nESPEC,DATOS!$E8787,nASIG,DATOS!$I8787,nEVAL,"OR")=0))</f>
      </c>
      <c r="I8787">
        <f>IF(DATOS!$I8787="","",IFERROR(VLOOKUP(DATOS!$I8787,CONFIG_ASIGNATURAS!$B$2:$J$91,9,FALSE()),""))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IF(DATOS!$A8788="",0,IF(CONFIG_METADATA!$B$4&lt;&gt;"OR+EX",--(DATOS!$G8788=CONFIG_METADATA!$B$4),IF(DATOS!$G8788="EX",1,IF(DATOS!$G8788="OR",--(COUNTIFS(nNIA,DATOS!$A8788,nCURSO,DATOS!$D8788,nESPEC,DATOS!$E8788,nASIG,DATOS!$I8788,nEVAL,"EX")=0),0))))</f>
      </c>
      <c r="H8788">
        <f>IF(DATOS!$G8788&lt;&gt;"EX",0,--(COUNTIFS(nNIA,DATOS!$A8788,nCURSO,DATOS!$D8788,nESPEC,DATOS!$E8788,nASIG,DATOS!$I8788,nEVAL,"OR")=0))</f>
      </c>
      <c r="I8788">
        <f>IF(DATOS!$I8788="","",IFERROR(VLOOKUP(DATOS!$I8788,CONFIG_ASIGNATURAS!$B$2:$J$91,9,FALSE()),""))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IF(DATOS!$A8789="",0,IF(CONFIG_METADATA!$B$4&lt;&gt;"OR+EX",--(DATOS!$G8789=CONFIG_METADATA!$B$4),IF(DATOS!$G8789="EX",1,IF(DATOS!$G8789="OR",--(COUNTIFS(nNIA,DATOS!$A8789,nCURSO,DATOS!$D8789,nESPEC,DATOS!$E8789,nASIG,DATOS!$I8789,nEVAL,"EX")=0),0))))</f>
      </c>
      <c r="H8789">
        <f>IF(DATOS!$G8789&lt;&gt;"EX",0,--(COUNTIFS(nNIA,DATOS!$A8789,nCURSO,DATOS!$D8789,nESPEC,DATOS!$E8789,nASIG,DATOS!$I8789,nEVAL,"OR")=0))</f>
      </c>
      <c r="I8789">
        <f>IF(DATOS!$I8789="","",IFERROR(VLOOKUP(DATOS!$I8789,CONFIG_ASIGNATURAS!$B$2:$J$91,9,FALSE()),""))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IF(DATOS!$A8790="",0,IF(CONFIG_METADATA!$B$4&lt;&gt;"OR+EX",--(DATOS!$G8790=CONFIG_METADATA!$B$4),IF(DATOS!$G8790="EX",1,IF(DATOS!$G8790="OR",--(COUNTIFS(nNIA,DATOS!$A8790,nCURSO,DATOS!$D8790,nESPEC,DATOS!$E8790,nASIG,DATOS!$I8790,nEVAL,"EX")=0),0))))</f>
      </c>
      <c r="H8790">
        <f>IF(DATOS!$G8790&lt;&gt;"EX",0,--(COUNTIFS(nNIA,DATOS!$A8790,nCURSO,DATOS!$D8790,nESPEC,DATOS!$E8790,nASIG,DATOS!$I8790,nEVAL,"OR")=0))</f>
      </c>
      <c r="I8790">
        <f>IF(DATOS!$I8790="","",IFERROR(VLOOKUP(DATOS!$I8790,CONFIG_ASIGNATURAS!$B$2:$J$91,9,FALSE()),""))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IF(DATOS!$A8791="",0,IF(CONFIG_METADATA!$B$4&lt;&gt;"OR+EX",--(DATOS!$G8791=CONFIG_METADATA!$B$4),IF(DATOS!$G8791="EX",1,IF(DATOS!$G8791="OR",--(COUNTIFS(nNIA,DATOS!$A8791,nCURSO,DATOS!$D8791,nESPEC,DATOS!$E8791,nASIG,DATOS!$I8791,nEVAL,"EX")=0),0))))</f>
      </c>
      <c r="H8791">
        <f>IF(DATOS!$G8791&lt;&gt;"EX",0,--(COUNTIFS(nNIA,DATOS!$A8791,nCURSO,DATOS!$D8791,nESPEC,DATOS!$E8791,nASIG,DATOS!$I8791,nEVAL,"OR")=0))</f>
      </c>
      <c r="I8791">
        <f>IF(DATOS!$I8791="","",IFERROR(VLOOKUP(DATOS!$I8791,CONFIG_ASIGNATURAS!$B$2:$J$91,9,FALSE()),""))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IF(DATOS!$A8792="",0,IF(CONFIG_METADATA!$B$4&lt;&gt;"OR+EX",--(DATOS!$G8792=CONFIG_METADATA!$B$4),IF(DATOS!$G8792="EX",1,IF(DATOS!$G8792="OR",--(COUNTIFS(nNIA,DATOS!$A8792,nCURSO,DATOS!$D8792,nESPEC,DATOS!$E8792,nASIG,DATOS!$I8792,nEVAL,"EX")=0),0))))</f>
      </c>
      <c r="H8792">
        <f>IF(DATOS!$G8792&lt;&gt;"EX",0,--(COUNTIFS(nNIA,DATOS!$A8792,nCURSO,DATOS!$D8792,nESPEC,DATOS!$E8792,nASIG,DATOS!$I8792,nEVAL,"OR")=0))</f>
      </c>
      <c r="I8792">
        <f>IF(DATOS!$I8792="","",IFERROR(VLOOKUP(DATOS!$I8792,CONFIG_ASIGNATURAS!$B$2:$J$91,9,FALSE()),""))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IF(DATOS!$A8793="",0,IF(CONFIG_METADATA!$B$4&lt;&gt;"OR+EX",--(DATOS!$G8793=CONFIG_METADATA!$B$4),IF(DATOS!$G8793="EX",1,IF(DATOS!$G8793="OR",--(COUNTIFS(nNIA,DATOS!$A8793,nCURSO,DATOS!$D8793,nESPEC,DATOS!$E8793,nASIG,DATOS!$I8793,nEVAL,"EX")=0),0))))</f>
      </c>
      <c r="H8793">
        <f>IF(DATOS!$G8793&lt;&gt;"EX",0,--(COUNTIFS(nNIA,DATOS!$A8793,nCURSO,DATOS!$D8793,nESPEC,DATOS!$E8793,nASIG,DATOS!$I8793,nEVAL,"OR")=0))</f>
      </c>
      <c r="I8793">
        <f>IF(DATOS!$I8793="","",IFERROR(VLOOKUP(DATOS!$I8793,CONFIG_ASIGNATURAS!$B$2:$J$91,9,FALSE()),""))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IF(DATOS!$A8794="",0,IF(CONFIG_METADATA!$B$4&lt;&gt;"OR+EX",--(DATOS!$G8794=CONFIG_METADATA!$B$4),IF(DATOS!$G8794="EX",1,IF(DATOS!$G8794="OR",--(COUNTIFS(nNIA,DATOS!$A8794,nCURSO,DATOS!$D8794,nESPEC,DATOS!$E8794,nASIG,DATOS!$I8794,nEVAL,"EX")=0),0))))</f>
      </c>
      <c r="H8794">
        <f>IF(DATOS!$G8794&lt;&gt;"EX",0,--(COUNTIFS(nNIA,DATOS!$A8794,nCURSO,DATOS!$D8794,nESPEC,DATOS!$E8794,nASIG,DATOS!$I8794,nEVAL,"OR")=0))</f>
      </c>
      <c r="I8794">
        <f>IF(DATOS!$I8794="","",IFERROR(VLOOKUP(DATOS!$I8794,CONFIG_ASIGNATURAS!$B$2:$J$91,9,FALSE()),""))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IF(DATOS!$A8795="",0,IF(CONFIG_METADATA!$B$4&lt;&gt;"OR+EX",--(DATOS!$G8795=CONFIG_METADATA!$B$4),IF(DATOS!$G8795="EX",1,IF(DATOS!$G8795="OR",--(COUNTIFS(nNIA,DATOS!$A8795,nCURSO,DATOS!$D8795,nESPEC,DATOS!$E8795,nASIG,DATOS!$I8795,nEVAL,"EX")=0),0))))</f>
      </c>
      <c r="H8795">
        <f>IF(DATOS!$G8795&lt;&gt;"EX",0,--(COUNTIFS(nNIA,DATOS!$A8795,nCURSO,DATOS!$D8795,nESPEC,DATOS!$E8795,nASIG,DATOS!$I8795,nEVAL,"OR")=0))</f>
      </c>
      <c r="I8795">
        <f>IF(DATOS!$I8795="","",IFERROR(VLOOKUP(DATOS!$I8795,CONFIG_ASIGNATURAS!$B$2:$J$91,9,FALSE()),""))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IF(DATOS!$A8796="",0,IF(CONFIG_METADATA!$B$4&lt;&gt;"OR+EX",--(DATOS!$G8796=CONFIG_METADATA!$B$4),IF(DATOS!$G8796="EX",1,IF(DATOS!$G8796="OR",--(COUNTIFS(nNIA,DATOS!$A8796,nCURSO,DATOS!$D8796,nESPEC,DATOS!$E8796,nASIG,DATOS!$I8796,nEVAL,"EX")=0),0))))</f>
      </c>
      <c r="H8796">
        <f>IF(DATOS!$G8796&lt;&gt;"EX",0,--(COUNTIFS(nNIA,DATOS!$A8796,nCURSO,DATOS!$D8796,nESPEC,DATOS!$E8796,nASIG,DATOS!$I8796,nEVAL,"OR")=0))</f>
      </c>
      <c r="I8796">
        <f>IF(DATOS!$I8796="","",IFERROR(VLOOKUP(DATOS!$I8796,CONFIG_ASIGNATURAS!$B$2:$J$91,9,FALSE()),""))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IF(DATOS!$A8797="",0,IF(CONFIG_METADATA!$B$4&lt;&gt;"OR+EX",--(DATOS!$G8797=CONFIG_METADATA!$B$4),IF(DATOS!$G8797="EX",1,IF(DATOS!$G8797="OR",--(COUNTIFS(nNIA,DATOS!$A8797,nCURSO,DATOS!$D8797,nESPEC,DATOS!$E8797,nASIG,DATOS!$I8797,nEVAL,"EX")=0),0))))</f>
      </c>
      <c r="H8797">
        <f>IF(DATOS!$G8797&lt;&gt;"EX",0,--(COUNTIFS(nNIA,DATOS!$A8797,nCURSO,DATOS!$D8797,nESPEC,DATOS!$E8797,nASIG,DATOS!$I8797,nEVAL,"OR")=0))</f>
      </c>
      <c r="I8797">
        <f>IF(DATOS!$I8797="","",IFERROR(VLOOKUP(DATOS!$I8797,CONFIG_ASIGNATURAS!$B$2:$J$91,9,FALSE()),""))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IF(DATOS!$A8798="",0,IF(CONFIG_METADATA!$B$4&lt;&gt;"OR+EX",--(DATOS!$G8798=CONFIG_METADATA!$B$4),IF(DATOS!$G8798="EX",1,IF(DATOS!$G8798="OR",--(COUNTIFS(nNIA,DATOS!$A8798,nCURSO,DATOS!$D8798,nESPEC,DATOS!$E8798,nASIG,DATOS!$I8798,nEVAL,"EX")=0),0))))</f>
      </c>
      <c r="H8798">
        <f>IF(DATOS!$G8798&lt;&gt;"EX",0,--(COUNTIFS(nNIA,DATOS!$A8798,nCURSO,DATOS!$D8798,nESPEC,DATOS!$E8798,nASIG,DATOS!$I8798,nEVAL,"OR")=0))</f>
      </c>
      <c r="I8798">
        <f>IF(DATOS!$I8798="","",IFERROR(VLOOKUP(DATOS!$I8798,CONFIG_ASIGNATURAS!$B$2:$J$91,9,FALSE()),""))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IF(DATOS!$A8799="",0,IF(CONFIG_METADATA!$B$4&lt;&gt;"OR+EX",--(DATOS!$G8799=CONFIG_METADATA!$B$4),IF(DATOS!$G8799="EX",1,IF(DATOS!$G8799="OR",--(COUNTIFS(nNIA,DATOS!$A8799,nCURSO,DATOS!$D8799,nESPEC,DATOS!$E8799,nASIG,DATOS!$I8799,nEVAL,"EX")=0),0))))</f>
      </c>
      <c r="H8799">
        <f>IF(DATOS!$G8799&lt;&gt;"EX",0,--(COUNTIFS(nNIA,DATOS!$A8799,nCURSO,DATOS!$D8799,nESPEC,DATOS!$E8799,nASIG,DATOS!$I8799,nEVAL,"OR")=0))</f>
      </c>
      <c r="I8799">
        <f>IF(DATOS!$I8799="","",IFERROR(VLOOKUP(DATOS!$I8799,CONFIG_ASIGNATURAS!$B$2:$J$91,9,FALSE()),""))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IF(DATOS!$A8800="",0,IF(CONFIG_METADATA!$B$4&lt;&gt;"OR+EX",--(DATOS!$G8800=CONFIG_METADATA!$B$4),IF(DATOS!$G8800="EX",1,IF(DATOS!$G8800="OR",--(COUNTIFS(nNIA,DATOS!$A8800,nCURSO,DATOS!$D8800,nESPEC,DATOS!$E8800,nASIG,DATOS!$I8800,nEVAL,"EX")=0),0))))</f>
      </c>
      <c r="H8800">
        <f>IF(DATOS!$G8800&lt;&gt;"EX",0,--(COUNTIFS(nNIA,DATOS!$A8800,nCURSO,DATOS!$D8800,nESPEC,DATOS!$E8800,nASIG,DATOS!$I8800,nEVAL,"OR")=0))</f>
      </c>
      <c r="I8800">
        <f>IF(DATOS!$I8800="","",IFERROR(VLOOKUP(DATOS!$I8800,CONFIG_ASIGNATURAS!$B$2:$J$91,9,FALSE()),""))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IF(DATOS!$A8801="",0,IF(CONFIG_METADATA!$B$4&lt;&gt;"OR+EX",--(DATOS!$G8801=CONFIG_METADATA!$B$4),IF(DATOS!$G8801="EX",1,IF(DATOS!$G8801="OR",--(COUNTIFS(nNIA,DATOS!$A8801,nCURSO,DATOS!$D8801,nESPEC,DATOS!$E8801,nASIG,DATOS!$I8801,nEVAL,"EX")=0),0))))</f>
      </c>
      <c r="H8801">
        <f>IF(DATOS!$G8801&lt;&gt;"EX",0,--(COUNTIFS(nNIA,DATOS!$A8801,nCURSO,DATOS!$D8801,nESPEC,DATOS!$E8801,nASIG,DATOS!$I8801,nEVAL,"OR")=0))</f>
      </c>
      <c r="I8801">
        <f>IF(DATOS!$I8801="","",IFERROR(VLOOKUP(DATOS!$I8801,CONFIG_ASIGNATURAS!$B$2:$J$91,9,FALSE()),""))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IF(DATOS!$A8802="",0,IF(CONFIG_METADATA!$B$4&lt;&gt;"OR+EX",--(DATOS!$G8802=CONFIG_METADATA!$B$4),IF(DATOS!$G8802="EX",1,IF(DATOS!$G8802="OR",--(COUNTIFS(nNIA,DATOS!$A8802,nCURSO,DATOS!$D8802,nESPEC,DATOS!$E8802,nASIG,DATOS!$I8802,nEVAL,"EX")=0),0))))</f>
      </c>
      <c r="H8802">
        <f>IF(DATOS!$G8802&lt;&gt;"EX",0,--(COUNTIFS(nNIA,DATOS!$A8802,nCURSO,DATOS!$D8802,nESPEC,DATOS!$E8802,nASIG,DATOS!$I8802,nEVAL,"OR")=0))</f>
      </c>
      <c r="I8802">
        <f>IF(DATOS!$I8802="","",IFERROR(VLOOKUP(DATOS!$I8802,CONFIG_ASIGNATURAS!$B$2:$J$91,9,FALSE()),""))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IF(DATOS!$A8803="",0,IF(CONFIG_METADATA!$B$4&lt;&gt;"OR+EX",--(DATOS!$G8803=CONFIG_METADATA!$B$4),IF(DATOS!$G8803="EX",1,IF(DATOS!$G8803="OR",--(COUNTIFS(nNIA,DATOS!$A8803,nCURSO,DATOS!$D8803,nESPEC,DATOS!$E8803,nASIG,DATOS!$I8803,nEVAL,"EX")=0),0))))</f>
      </c>
      <c r="H8803">
        <f>IF(DATOS!$G8803&lt;&gt;"EX",0,--(COUNTIFS(nNIA,DATOS!$A8803,nCURSO,DATOS!$D8803,nESPEC,DATOS!$E8803,nASIG,DATOS!$I8803,nEVAL,"OR")=0))</f>
      </c>
      <c r="I8803">
        <f>IF(DATOS!$I8803="","",IFERROR(VLOOKUP(DATOS!$I8803,CONFIG_ASIGNATURAS!$B$2:$J$91,9,FALSE()),""))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IF(DATOS!$A8804="",0,IF(CONFIG_METADATA!$B$4&lt;&gt;"OR+EX",--(DATOS!$G8804=CONFIG_METADATA!$B$4),IF(DATOS!$G8804="EX",1,IF(DATOS!$G8804="OR",--(COUNTIFS(nNIA,DATOS!$A8804,nCURSO,DATOS!$D8804,nESPEC,DATOS!$E8804,nASIG,DATOS!$I8804,nEVAL,"EX")=0),0))))</f>
      </c>
      <c r="H8804">
        <f>IF(DATOS!$G8804&lt;&gt;"EX",0,--(COUNTIFS(nNIA,DATOS!$A8804,nCURSO,DATOS!$D8804,nESPEC,DATOS!$E8804,nASIG,DATOS!$I8804,nEVAL,"OR")=0))</f>
      </c>
      <c r="I8804">
        <f>IF(DATOS!$I8804="","",IFERROR(VLOOKUP(DATOS!$I8804,CONFIG_ASIGNATURAS!$B$2:$J$91,9,FALSE()),""))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IF(DATOS!$A8805="",0,IF(CONFIG_METADATA!$B$4&lt;&gt;"OR+EX",--(DATOS!$G8805=CONFIG_METADATA!$B$4),IF(DATOS!$G8805="EX",1,IF(DATOS!$G8805="OR",--(COUNTIFS(nNIA,DATOS!$A8805,nCURSO,DATOS!$D8805,nESPEC,DATOS!$E8805,nASIG,DATOS!$I8805,nEVAL,"EX")=0),0))))</f>
      </c>
      <c r="H8805">
        <f>IF(DATOS!$G8805&lt;&gt;"EX",0,--(COUNTIFS(nNIA,DATOS!$A8805,nCURSO,DATOS!$D8805,nESPEC,DATOS!$E8805,nASIG,DATOS!$I8805,nEVAL,"OR")=0))</f>
      </c>
      <c r="I8805">
        <f>IF(DATOS!$I8805="","",IFERROR(VLOOKUP(DATOS!$I8805,CONFIG_ASIGNATURAS!$B$2:$J$91,9,FALSE()),""))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IF(DATOS!$A8806="",0,IF(CONFIG_METADATA!$B$4&lt;&gt;"OR+EX",--(DATOS!$G8806=CONFIG_METADATA!$B$4),IF(DATOS!$G8806="EX",1,IF(DATOS!$G8806="OR",--(COUNTIFS(nNIA,DATOS!$A8806,nCURSO,DATOS!$D8806,nESPEC,DATOS!$E8806,nASIG,DATOS!$I8806,nEVAL,"EX")=0),0))))</f>
      </c>
      <c r="H8806">
        <f>IF(DATOS!$G8806&lt;&gt;"EX",0,--(COUNTIFS(nNIA,DATOS!$A8806,nCURSO,DATOS!$D8806,nESPEC,DATOS!$E8806,nASIG,DATOS!$I8806,nEVAL,"OR")=0))</f>
      </c>
      <c r="I8806">
        <f>IF(DATOS!$I8806="","",IFERROR(VLOOKUP(DATOS!$I8806,CONFIG_ASIGNATURAS!$B$2:$J$91,9,FALSE()),""))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IF(DATOS!$A8807="",0,IF(CONFIG_METADATA!$B$4&lt;&gt;"OR+EX",--(DATOS!$G8807=CONFIG_METADATA!$B$4),IF(DATOS!$G8807="EX",1,IF(DATOS!$G8807="OR",--(COUNTIFS(nNIA,DATOS!$A8807,nCURSO,DATOS!$D8807,nESPEC,DATOS!$E8807,nASIG,DATOS!$I8807,nEVAL,"EX")=0),0))))</f>
      </c>
      <c r="H8807">
        <f>IF(DATOS!$G8807&lt;&gt;"EX",0,--(COUNTIFS(nNIA,DATOS!$A8807,nCURSO,DATOS!$D8807,nESPEC,DATOS!$E8807,nASIG,DATOS!$I8807,nEVAL,"OR")=0))</f>
      </c>
      <c r="I8807">
        <f>IF(DATOS!$I8807="","",IFERROR(VLOOKUP(DATOS!$I8807,CONFIG_ASIGNATURAS!$B$2:$J$91,9,FALSE()),""))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IF(DATOS!$A8808="",0,IF(CONFIG_METADATA!$B$4&lt;&gt;"OR+EX",--(DATOS!$G8808=CONFIG_METADATA!$B$4),IF(DATOS!$G8808="EX",1,IF(DATOS!$G8808="OR",--(COUNTIFS(nNIA,DATOS!$A8808,nCURSO,DATOS!$D8808,nESPEC,DATOS!$E8808,nASIG,DATOS!$I8808,nEVAL,"EX")=0),0))))</f>
      </c>
      <c r="H8808">
        <f>IF(DATOS!$G8808&lt;&gt;"EX",0,--(COUNTIFS(nNIA,DATOS!$A8808,nCURSO,DATOS!$D8808,nESPEC,DATOS!$E8808,nASIG,DATOS!$I8808,nEVAL,"OR")=0))</f>
      </c>
      <c r="I8808">
        <f>IF(DATOS!$I8808="","",IFERROR(VLOOKUP(DATOS!$I8808,CONFIG_ASIGNATURAS!$B$2:$J$91,9,FALSE()),""))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IF(DATOS!$A8809="",0,IF(CONFIG_METADATA!$B$4&lt;&gt;"OR+EX",--(DATOS!$G8809=CONFIG_METADATA!$B$4),IF(DATOS!$G8809="EX",1,IF(DATOS!$G8809="OR",--(COUNTIFS(nNIA,DATOS!$A8809,nCURSO,DATOS!$D8809,nESPEC,DATOS!$E8809,nASIG,DATOS!$I8809,nEVAL,"EX")=0),0))))</f>
      </c>
      <c r="H8809">
        <f>IF(DATOS!$G8809&lt;&gt;"EX",0,--(COUNTIFS(nNIA,DATOS!$A8809,nCURSO,DATOS!$D8809,nESPEC,DATOS!$E8809,nASIG,DATOS!$I8809,nEVAL,"OR")=0))</f>
      </c>
      <c r="I8809">
        <f>IF(DATOS!$I8809="","",IFERROR(VLOOKUP(DATOS!$I8809,CONFIG_ASIGNATURAS!$B$2:$J$91,9,FALSE()),""))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IF(DATOS!$A8810="",0,IF(CONFIG_METADATA!$B$4&lt;&gt;"OR+EX",--(DATOS!$G8810=CONFIG_METADATA!$B$4),IF(DATOS!$G8810="EX",1,IF(DATOS!$G8810="OR",--(COUNTIFS(nNIA,DATOS!$A8810,nCURSO,DATOS!$D8810,nESPEC,DATOS!$E8810,nASIG,DATOS!$I8810,nEVAL,"EX")=0),0))))</f>
      </c>
      <c r="H8810">
        <f>IF(DATOS!$G8810&lt;&gt;"EX",0,--(COUNTIFS(nNIA,DATOS!$A8810,nCURSO,DATOS!$D8810,nESPEC,DATOS!$E8810,nASIG,DATOS!$I8810,nEVAL,"OR")=0))</f>
      </c>
      <c r="I8810">
        <f>IF(DATOS!$I8810="","",IFERROR(VLOOKUP(DATOS!$I8810,CONFIG_ASIGNATURAS!$B$2:$J$91,9,FALSE()),""))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IF(DATOS!$A8811="",0,IF(CONFIG_METADATA!$B$4&lt;&gt;"OR+EX",--(DATOS!$G8811=CONFIG_METADATA!$B$4),IF(DATOS!$G8811="EX",1,IF(DATOS!$G8811="OR",--(COUNTIFS(nNIA,DATOS!$A8811,nCURSO,DATOS!$D8811,nESPEC,DATOS!$E8811,nASIG,DATOS!$I8811,nEVAL,"EX")=0),0))))</f>
      </c>
      <c r="H8811">
        <f>IF(DATOS!$G8811&lt;&gt;"EX",0,--(COUNTIFS(nNIA,DATOS!$A8811,nCURSO,DATOS!$D8811,nESPEC,DATOS!$E8811,nASIG,DATOS!$I8811,nEVAL,"OR")=0))</f>
      </c>
      <c r="I8811">
        <f>IF(DATOS!$I8811="","",IFERROR(VLOOKUP(DATOS!$I8811,CONFIG_ASIGNATURAS!$B$2:$J$91,9,FALSE()),""))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IF(DATOS!$A8812="",0,IF(CONFIG_METADATA!$B$4&lt;&gt;"OR+EX",--(DATOS!$G8812=CONFIG_METADATA!$B$4),IF(DATOS!$G8812="EX",1,IF(DATOS!$G8812="OR",--(COUNTIFS(nNIA,DATOS!$A8812,nCURSO,DATOS!$D8812,nESPEC,DATOS!$E8812,nASIG,DATOS!$I8812,nEVAL,"EX")=0),0))))</f>
      </c>
      <c r="H8812">
        <f>IF(DATOS!$G8812&lt;&gt;"EX",0,--(COUNTIFS(nNIA,DATOS!$A8812,nCURSO,DATOS!$D8812,nESPEC,DATOS!$E8812,nASIG,DATOS!$I8812,nEVAL,"OR")=0))</f>
      </c>
      <c r="I8812">
        <f>IF(DATOS!$I8812="","",IFERROR(VLOOKUP(DATOS!$I8812,CONFIG_ASIGNATURAS!$B$2:$J$91,9,FALSE()),""))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IF(DATOS!$A8813="",0,IF(CONFIG_METADATA!$B$4&lt;&gt;"OR+EX",--(DATOS!$G8813=CONFIG_METADATA!$B$4),IF(DATOS!$G8813="EX",1,IF(DATOS!$G8813="OR",--(COUNTIFS(nNIA,DATOS!$A8813,nCURSO,DATOS!$D8813,nESPEC,DATOS!$E8813,nASIG,DATOS!$I8813,nEVAL,"EX")=0),0))))</f>
      </c>
      <c r="H8813">
        <f>IF(DATOS!$G8813&lt;&gt;"EX",0,--(COUNTIFS(nNIA,DATOS!$A8813,nCURSO,DATOS!$D8813,nESPEC,DATOS!$E8813,nASIG,DATOS!$I8813,nEVAL,"OR")=0))</f>
      </c>
      <c r="I8813">
        <f>IF(DATOS!$I8813="","",IFERROR(VLOOKUP(DATOS!$I8813,CONFIG_ASIGNATURAS!$B$2:$J$91,9,FALSE()),""))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IF(DATOS!$A8814="",0,IF(CONFIG_METADATA!$B$4&lt;&gt;"OR+EX",--(DATOS!$G8814=CONFIG_METADATA!$B$4),IF(DATOS!$G8814="EX",1,IF(DATOS!$G8814="OR",--(COUNTIFS(nNIA,DATOS!$A8814,nCURSO,DATOS!$D8814,nESPEC,DATOS!$E8814,nASIG,DATOS!$I8814,nEVAL,"EX")=0),0))))</f>
      </c>
      <c r="H8814">
        <f>IF(DATOS!$G8814&lt;&gt;"EX",0,--(COUNTIFS(nNIA,DATOS!$A8814,nCURSO,DATOS!$D8814,nESPEC,DATOS!$E8814,nASIG,DATOS!$I8814,nEVAL,"OR")=0))</f>
      </c>
      <c r="I8814">
        <f>IF(DATOS!$I8814="","",IFERROR(VLOOKUP(DATOS!$I8814,CONFIG_ASIGNATURAS!$B$2:$J$91,9,FALSE()),""))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IF(DATOS!$A8815="",0,IF(CONFIG_METADATA!$B$4&lt;&gt;"OR+EX",--(DATOS!$G8815=CONFIG_METADATA!$B$4),IF(DATOS!$G8815="EX",1,IF(DATOS!$G8815="OR",--(COUNTIFS(nNIA,DATOS!$A8815,nCURSO,DATOS!$D8815,nESPEC,DATOS!$E8815,nASIG,DATOS!$I8815,nEVAL,"EX")=0),0))))</f>
      </c>
      <c r="H8815">
        <f>IF(DATOS!$G8815&lt;&gt;"EX",0,--(COUNTIFS(nNIA,DATOS!$A8815,nCURSO,DATOS!$D8815,nESPEC,DATOS!$E8815,nASIG,DATOS!$I8815,nEVAL,"OR")=0))</f>
      </c>
      <c r="I8815">
        <f>IF(DATOS!$I8815="","",IFERROR(VLOOKUP(DATOS!$I8815,CONFIG_ASIGNATURAS!$B$2:$J$91,9,FALSE()),""))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IF(DATOS!$A8816="",0,IF(CONFIG_METADATA!$B$4&lt;&gt;"OR+EX",--(DATOS!$G8816=CONFIG_METADATA!$B$4),IF(DATOS!$G8816="EX",1,IF(DATOS!$G8816="OR",--(COUNTIFS(nNIA,DATOS!$A8816,nCURSO,DATOS!$D8816,nESPEC,DATOS!$E8816,nASIG,DATOS!$I8816,nEVAL,"EX")=0),0))))</f>
      </c>
      <c r="H8816">
        <f>IF(DATOS!$G8816&lt;&gt;"EX",0,--(COUNTIFS(nNIA,DATOS!$A8816,nCURSO,DATOS!$D8816,nESPEC,DATOS!$E8816,nASIG,DATOS!$I8816,nEVAL,"OR")=0))</f>
      </c>
      <c r="I8816">
        <f>IF(DATOS!$I8816="","",IFERROR(VLOOKUP(DATOS!$I8816,CONFIG_ASIGNATURAS!$B$2:$J$91,9,FALSE()),""))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IF(DATOS!$A8817="",0,IF(CONFIG_METADATA!$B$4&lt;&gt;"OR+EX",--(DATOS!$G8817=CONFIG_METADATA!$B$4),IF(DATOS!$G8817="EX",1,IF(DATOS!$G8817="OR",--(COUNTIFS(nNIA,DATOS!$A8817,nCURSO,DATOS!$D8817,nESPEC,DATOS!$E8817,nASIG,DATOS!$I8817,nEVAL,"EX")=0),0))))</f>
      </c>
      <c r="H8817">
        <f>IF(DATOS!$G8817&lt;&gt;"EX",0,--(COUNTIFS(nNIA,DATOS!$A8817,nCURSO,DATOS!$D8817,nESPEC,DATOS!$E8817,nASIG,DATOS!$I8817,nEVAL,"OR")=0))</f>
      </c>
      <c r="I8817">
        <f>IF(DATOS!$I8817="","",IFERROR(VLOOKUP(DATOS!$I8817,CONFIG_ASIGNATURAS!$B$2:$J$91,9,FALSE()),""))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IF(DATOS!$A8818="",0,IF(CONFIG_METADATA!$B$4&lt;&gt;"OR+EX",--(DATOS!$G8818=CONFIG_METADATA!$B$4),IF(DATOS!$G8818="EX",1,IF(DATOS!$G8818="OR",--(COUNTIFS(nNIA,DATOS!$A8818,nCURSO,DATOS!$D8818,nESPEC,DATOS!$E8818,nASIG,DATOS!$I8818,nEVAL,"EX")=0),0))))</f>
      </c>
      <c r="H8818">
        <f>IF(DATOS!$G8818&lt;&gt;"EX",0,--(COUNTIFS(nNIA,DATOS!$A8818,nCURSO,DATOS!$D8818,nESPEC,DATOS!$E8818,nASIG,DATOS!$I8818,nEVAL,"OR")=0))</f>
      </c>
      <c r="I8818">
        <f>IF(DATOS!$I8818="","",IFERROR(VLOOKUP(DATOS!$I8818,CONFIG_ASIGNATURAS!$B$2:$J$91,9,FALSE()),""))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IF(DATOS!$A8819="",0,IF(CONFIG_METADATA!$B$4&lt;&gt;"OR+EX",--(DATOS!$G8819=CONFIG_METADATA!$B$4),IF(DATOS!$G8819="EX",1,IF(DATOS!$G8819="OR",--(COUNTIFS(nNIA,DATOS!$A8819,nCURSO,DATOS!$D8819,nESPEC,DATOS!$E8819,nASIG,DATOS!$I8819,nEVAL,"EX")=0),0))))</f>
      </c>
      <c r="H8819">
        <f>IF(DATOS!$G8819&lt;&gt;"EX",0,--(COUNTIFS(nNIA,DATOS!$A8819,nCURSO,DATOS!$D8819,nESPEC,DATOS!$E8819,nASIG,DATOS!$I8819,nEVAL,"OR")=0))</f>
      </c>
      <c r="I8819">
        <f>IF(DATOS!$I8819="","",IFERROR(VLOOKUP(DATOS!$I8819,CONFIG_ASIGNATURAS!$B$2:$J$91,9,FALSE()),""))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IF(DATOS!$A8820="",0,IF(CONFIG_METADATA!$B$4&lt;&gt;"OR+EX",--(DATOS!$G8820=CONFIG_METADATA!$B$4),IF(DATOS!$G8820="EX",1,IF(DATOS!$G8820="OR",--(COUNTIFS(nNIA,DATOS!$A8820,nCURSO,DATOS!$D8820,nESPEC,DATOS!$E8820,nASIG,DATOS!$I8820,nEVAL,"EX")=0),0))))</f>
      </c>
      <c r="H8820">
        <f>IF(DATOS!$G8820&lt;&gt;"EX",0,--(COUNTIFS(nNIA,DATOS!$A8820,nCURSO,DATOS!$D8820,nESPEC,DATOS!$E8820,nASIG,DATOS!$I8820,nEVAL,"OR")=0))</f>
      </c>
      <c r="I8820">
        <f>IF(DATOS!$I8820="","",IFERROR(VLOOKUP(DATOS!$I8820,CONFIG_ASIGNATURAS!$B$2:$J$91,9,FALSE()),""))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IF(DATOS!$A8821="",0,IF(CONFIG_METADATA!$B$4&lt;&gt;"OR+EX",--(DATOS!$G8821=CONFIG_METADATA!$B$4),IF(DATOS!$G8821="EX",1,IF(DATOS!$G8821="OR",--(COUNTIFS(nNIA,DATOS!$A8821,nCURSO,DATOS!$D8821,nESPEC,DATOS!$E8821,nASIG,DATOS!$I8821,nEVAL,"EX")=0),0))))</f>
      </c>
      <c r="H8821">
        <f>IF(DATOS!$G8821&lt;&gt;"EX",0,--(COUNTIFS(nNIA,DATOS!$A8821,nCURSO,DATOS!$D8821,nESPEC,DATOS!$E8821,nASIG,DATOS!$I8821,nEVAL,"OR")=0))</f>
      </c>
      <c r="I8821">
        <f>IF(DATOS!$I8821="","",IFERROR(VLOOKUP(DATOS!$I8821,CONFIG_ASIGNATURAS!$B$2:$J$91,9,FALSE()),""))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IF(DATOS!$A8822="",0,IF(CONFIG_METADATA!$B$4&lt;&gt;"OR+EX",--(DATOS!$G8822=CONFIG_METADATA!$B$4),IF(DATOS!$G8822="EX",1,IF(DATOS!$G8822="OR",--(COUNTIFS(nNIA,DATOS!$A8822,nCURSO,DATOS!$D8822,nESPEC,DATOS!$E8822,nASIG,DATOS!$I8822,nEVAL,"EX")=0),0))))</f>
      </c>
      <c r="H8822">
        <f>IF(DATOS!$G8822&lt;&gt;"EX",0,--(COUNTIFS(nNIA,DATOS!$A8822,nCURSO,DATOS!$D8822,nESPEC,DATOS!$E8822,nASIG,DATOS!$I8822,nEVAL,"OR")=0))</f>
      </c>
      <c r="I8822">
        <f>IF(DATOS!$I8822="","",IFERROR(VLOOKUP(DATOS!$I8822,CONFIG_ASIGNATURAS!$B$2:$J$91,9,FALSE()),""))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IF(DATOS!$A8823="",0,IF(CONFIG_METADATA!$B$4&lt;&gt;"OR+EX",--(DATOS!$G8823=CONFIG_METADATA!$B$4),IF(DATOS!$G8823="EX",1,IF(DATOS!$G8823="OR",--(COUNTIFS(nNIA,DATOS!$A8823,nCURSO,DATOS!$D8823,nESPEC,DATOS!$E8823,nASIG,DATOS!$I8823,nEVAL,"EX")=0),0))))</f>
      </c>
      <c r="H8823">
        <f>IF(DATOS!$G8823&lt;&gt;"EX",0,--(COUNTIFS(nNIA,DATOS!$A8823,nCURSO,DATOS!$D8823,nESPEC,DATOS!$E8823,nASIG,DATOS!$I8823,nEVAL,"OR")=0))</f>
      </c>
      <c r="I8823">
        <f>IF(DATOS!$I8823="","",IFERROR(VLOOKUP(DATOS!$I8823,CONFIG_ASIGNATURAS!$B$2:$J$91,9,FALSE()),""))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IF(DATOS!$A8824="",0,IF(CONFIG_METADATA!$B$4&lt;&gt;"OR+EX",--(DATOS!$G8824=CONFIG_METADATA!$B$4),IF(DATOS!$G8824="EX",1,IF(DATOS!$G8824="OR",--(COUNTIFS(nNIA,DATOS!$A8824,nCURSO,DATOS!$D8824,nESPEC,DATOS!$E8824,nASIG,DATOS!$I8824,nEVAL,"EX")=0),0))))</f>
      </c>
      <c r="H8824">
        <f>IF(DATOS!$G8824&lt;&gt;"EX",0,--(COUNTIFS(nNIA,DATOS!$A8824,nCURSO,DATOS!$D8824,nESPEC,DATOS!$E8824,nASIG,DATOS!$I8824,nEVAL,"OR")=0))</f>
      </c>
      <c r="I8824">
        <f>IF(DATOS!$I8824="","",IFERROR(VLOOKUP(DATOS!$I8824,CONFIG_ASIGNATURAS!$B$2:$J$91,9,FALSE()),""))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IF(DATOS!$A8825="",0,IF(CONFIG_METADATA!$B$4&lt;&gt;"OR+EX",--(DATOS!$G8825=CONFIG_METADATA!$B$4),IF(DATOS!$G8825="EX",1,IF(DATOS!$G8825="OR",--(COUNTIFS(nNIA,DATOS!$A8825,nCURSO,DATOS!$D8825,nESPEC,DATOS!$E8825,nASIG,DATOS!$I8825,nEVAL,"EX")=0),0))))</f>
      </c>
      <c r="H8825">
        <f>IF(DATOS!$G8825&lt;&gt;"EX",0,--(COUNTIFS(nNIA,DATOS!$A8825,nCURSO,DATOS!$D8825,nESPEC,DATOS!$E8825,nASIG,DATOS!$I8825,nEVAL,"OR")=0))</f>
      </c>
      <c r="I8825">
        <f>IF(DATOS!$I8825="","",IFERROR(VLOOKUP(DATOS!$I8825,CONFIG_ASIGNATURAS!$B$2:$J$91,9,FALSE()),""))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IF(DATOS!$A8826="",0,IF(CONFIG_METADATA!$B$4&lt;&gt;"OR+EX",--(DATOS!$G8826=CONFIG_METADATA!$B$4),IF(DATOS!$G8826="EX",1,IF(DATOS!$G8826="OR",--(COUNTIFS(nNIA,DATOS!$A8826,nCURSO,DATOS!$D8826,nESPEC,DATOS!$E8826,nASIG,DATOS!$I8826,nEVAL,"EX")=0),0))))</f>
      </c>
      <c r="H8826">
        <f>IF(DATOS!$G8826&lt;&gt;"EX",0,--(COUNTIFS(nNIA,DATOS!$A8826,nCURSO,DATOS!$D8826,nESPEC,DATOS!$E8826,nASIG,DATOS!$I8826,nEVAL,"OR")=0))</f>
      </c>
      <c r="I8826">
        <f>IF(DATOS!$I8826="","",IFERROR(VLOOKUP(DATOS!$I8826,CONFIG_ASIGNATURAS!$B$2:$J$91,9,FALSE()),""))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IF(DATOS!$A8827="",0,IF(CONFIG_METADATA!$B$4&lt;&gt;"OR+EX",--(DATOS!$G8827=CONFIG_METADATA!$B$4),IF(DATOS!$G8827="EX",1,IF(DATOS!$G8827="OR",--(COUNTIFS(nNIA,DATOS!$A8827,nCURSO,DATOS!$D8827,nESPEC,DATOS!$E8827,nASIG,DATOS!$I8827,nEVAL,"EX")=0),0))))</f>
      </c>
      <c r="H8827">
        <f>IF(DATOS!$G8827&lt;&gt;"EX",0,--(COUNTIFS(nNIA,DATOS!$A8827,nCURSO,DATOS!$D8827,nESPEC,DATOS!$E8827,nASIG,DATOS!$I8827,nEVAL,"OR")=0))</f>
      </c>
      <c r="I8827">
        <f>IF(DATOS!$I8827="","",IFERROR(VLOOKUP(DATOS!$I8827,CONFIG_ASIGNATURAS!$B$2:$J$91,9,FALSE()),""))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IF(DATOS!$A8828="",0,IF(CONFIG_METADATA!$B$4&lt;&gt;"OR+EX",--(DATOS!$G8828=CONFIG_METADATA!$B$4),IF(DATOS!$G8828="EX",1,IF(DATOS!$G8828="OR",--(COUNTIFS(nNIA,DATOS!$A8828,nCURSO,DATOS!$D8828,nESPEC,DATOS!$E8828,nASIG,DATOS!$I8828,nEVAL,"EX")=0),0))))</f>
      </c>
      <c r="H8828">
        <f>IF(DATOS!$G8828&lt;&gt;"EX",0,--(COUNTIFS(nNIA,DATOS!$A8828,nCURSO,DATOS!$D8828,nESPEC,DATOS!$E8828,nASIG,DATOS!$I8828,nEVAL,"OR")=0))</f>
      </c>
      <c r="I8828">
        <f>IF(DATOS!$I8828="","",IFERROR(VLOOKUP(DATOS!$I8828,CONFIG_ASIGNATURAS!$B$2:$J$91,9,FALSE()),""))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IF(DATOS!$A8829="",0,IF(CONFIG_METADATA!$B$4&lt;&gt;"OR+EX",--(DATOS!$G8829=CONFIG_METADATA!$B$4),IF(DATOS!$G8829="EX",1,IF(DATOS!$G8829="OR",--(COUNTIFS(nNIA,DATOS!$A8829,nCURSO,DATOS!$D8829,nESPEC,DATOS!$E8829,nASIG,DATOS!$I8829,nEVAL,"EX")=0),0))))</f>
      </c>
      <c r="H8829">
        <f>IF(DATOS!$G8829&lt;&gt;"EX",0,--(COUNTIFS(nNIA,DATOS!$A8829,nCURSO,DATOS!$D8829,nESPEC,DATOS!$E8829,nASIG,DATOS!$I8829,nEVAL,"OR")=0))</f>
      </c>
      <c r="I8829">
        <f>IF(DATOS!$I8829="","",IFERROR(VLOOKUP(DATOS!$I8829,CONFIG_ASIGNATURAS!$B$2:$J$91,9,FALSE()),""))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IF(DATOS!$A8830="",0,IF(CONFIG_METADATA!$B$4&lt;&gt;"OR+EX",--(DATOS!$G8830=CONFIG_METADATA!$B$4),IF(DATOS!$G8830="EX",1,IF(DATOS!$G8830="OR",--(COUNTIFS(nNIA,DATOS!$A8830,nCURSO,DATOS!$D8830,nESPEC,DATOS!$E8830,nASIG,DATOS!$I8830,nEVAL,"EX")=0),0))))</f>
      </c>
      <c r="H8830">
        <f>IF(DATOS!$G8830&lt;&gt;"EX",0,--(COUNTIFS(nNIA,DATOS!$A8830,nCURSO,DATOS!$D8830,nESPEC,DATOS!$E8830,nASIG,DATOS!$I8830,nEVAL,"OR")=0))</f>
      </c>
      <c r="I8830">
        <f>IF(DATOS!$I8830="","",IFERROR(VLOOKUP(DATOS!$I8830,CONFIG_ASIGNATURAS!$B$2:$J$91,9,FALSE()),""))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IF(DATOS!$A8831="",0,IF(CONFIG_METADATA!$B$4&lt;&gt;"OR+EX",--(DATOS!$G8831=CONFIG_METADATA!$B$4),IF(DATOS!$G8831="EX",1,IF(DATOS!$G8831="OR",--(COUNTIFS(nNIA,DATOS!$A8831,nCURSO,DATOS!$D8831,nESPEC,DATOS!$E8831,nASIG,DATOS!$I8831,nEVAL,"EX")=0),0))))</f>
      </c>
      <c r="H8831">
        <f>IF(DATOS!$G8831&lt;&gt;"EX",0,--(COUNTIFS(nNIA,DATOS!$A8831,nCURSO,DATOS!$D8831,nESPEC,DATOS!$E8831,nASIG,DATOS!$I8831,nEVAL,"OR")=0))</f>
      </c>
      <c r="I8831">
        <f>IF(DATOS!$I8831="","",IFERROR(VLOOKUP(DATOS!$I8831,CONFIG_ASIGNATURAS!$B$2:$J$91,9,FALSE()),""))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IF(DATOS!$A8832="",0,IF(CONFIG_METADATA!$B$4&lt;&gt;"OR+EX",--(DATOS!$G8832=CONFIG_METADATA!$B$4),IF(DATOS!$G8832="EX",1,IF(DATOS!$G8832="OR",--(COUNTIFS(nNIA,DATOS!$A8832,nCURSO,DATOS!$D8832,nESPEC,DATOS!$E8832,nASIG,DATOS!$I8832,nEVAL,"EX")=0),0))))</f>
      </c>
      <c r="H8832">
        <f>IF(DATOS!$G8832&lt;&gt;"EX",0,--(COUNTIFS(nNIA,DATOS!$A8832,nCURSO,DATOS!$D8832,nESPEC,DATOS!$E8832,nASIG,DATOS!$I8832,nEVAL,"OR")=0))</f>
      </c>
      <c r="I8832">
        <f>IF(DATOS!$I8832="","",IFERROR(VLOOKUP(DATOS!$I8832,CONFIG_ASIGNATURAS!$B$2:$J$91,9,FALSE()),""))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IF(DATOS!$A8833="",0,IF(CONFIG_METADATA!$B$4&lt;&gt;"OR+EX",--(DATOS!$G8833=CONFIG_METADATA!$B$4),IF(DATOS!$G8833="EX",1,IF(DATOS!$G8833="OR",--(COUNTIFS(nNIA,DATOS!$A8833,nCURSO,DATOS!$D8833,nESPEC,DATOS!$E8833,nASIG,DATOS!$I8833,nEVAL,"EX")=0),0))))</f>
      </c>
      <c r="H8833">
        <f>IF(DATOS!$G8833&lt;&gt;"EX",0,--(COUNTIFS(nNIA,DATOS!$A8833,nCURSO,DATOS!$D8833,nESPEC,DATOS!$E8833,nASIG,DATOS!$I8833,nEVAL,"OR")=0))</f>
      </c>
      <c r="I8833">
        <f>IF(DATOS!$I8833="","",IFERROR(VLOOKUP(DATOS!$I8833,CONFIG_ASIGNATURAS!$B$2:$J$91,9,FALSE()),""))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IF(DATOS!$A8834="",0,IF(CONFIG_METADATA!$B$4&lt;&gt;"OR+EX",--(DATOS!$G8834=CONFIG_METADATA!$B$4),IF(DATOS!$G8834="EX",1,IF(DATOS!$G8834="OR",--(COUNTIFS(nNIA,DATOS!$A8834,nCURSO,DATOS!$D8834,nESPEC,DATOS!$E8834,nASIG,DATOS!$I8834,nEVAL,"EX")=0),0))))</f>
      </c>
      <c r="H8834">
        <f>IF(DATOS!$G8834&lt;&gt;"EX",0,--(COUNTIFS(nNIA,DATOS!$A8834,nCURSO,DATOS!$D8834,nESPEC,DATOS!$E8834,nASIG,DATOS!$I8834,nEVAL,"OR")=0))</f>
      </c>
      <c r="I8834">
        <f>IF(DATOS!$I8834="","",IFERROR(VLOOKUP(DATOS!$I8834,CONFIG_ASIGNATURAS!$B$2:$J$91,9,FALSE()),""))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IF(DATOS!$A8835="",0,IF(CONFIG_METADATA!$B$4&lt;&gt;"OR+EX",--(DATOS!$G8835=CONFIG_METADATA!$B$4),IF(DATOS!$G8835="EX",1,IF(DATOS!$G8835="OR",--(COUNTIFS(nNIA,DATOS!$A8835,nCURSO,DATOS!$D8835,nESPEC,DATOS!$E8835,nASIG,DATOS!$I8835,nEVAL,"EX")=0),0))))</f>
      </c>
      <c r="H8835">
        <f>IF(DATOS!$G8835&lt;&gt;"EX",0,--(COUNTIFS(nNIA,DATOS!$A8835,nCURSO,DATOS!$D8835,nESPEC,DATOS!$E8835,nASIG,DATOS!$I8835,nEVAL,"OR")=0))</f>
      </c>
      <c r="I8835">
        <f>IF(DATOS!$I8835="","",IFERROR(VLOOKUP(DATOS!$I8835,CONFIG_ASIGNATURAS!$B$2:$J$91,9,FALSE()),""))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IF(DATOS!$A8836="",0,IF(CONFIG_METADATA!$B$4&lt;&gt;"OR+EX",--(DATOS!$G8836=CONFIG_METADATA!$B$4),IF(DATOS!$G8836="EX",1,IF(DATOS!$G8836="OR",--(COUNTIFS(nNIA,DATOS!$A8836,nCURSO,DATOS!$D8836,nESPEC,DATOS!$E8836,nASIG,DATOS!$I8836,nEVAL,"EX")=0),0))))</f>
      </c>
      <c r="H8836">
        <f>IF(DATOS!$G8836&lt;&gt;"EX",0,--(COUNTIFS(nNIA,DATOS!$A8836,nCURSO,DATOS!$D8836,nESPEC,DATOS!$E8836,nASIG,DATOS!$I8836,nEVAL,"OR")=0))</f>
      </c>
      <c r="I8836">
        <f>IF(DATOS!$I8836="","",IFERROR(VLOOKUP(DATOS!$I8836,CONFIG_ASIGNATURAS!$B$2:$J$91,9,FALSE()),""))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IF(DATOS!$A8837="",0,IF(CONFIG_METADATA!$B$4&lt;&gt;"OR+EX",--(DATOS!$G8837=CONFIG_METADATA!$B$4),IF(DATOS!$G8837="EX",1,IF(DATOS!$G8837="OR",--(COUNTIFS(nNIA,DATOS!$A8837,nCURSO,DATOS!$D8837,nESPEC,DATOS!$E8837,nASIG,DATOS!$I8837,nEVAL,"EX")=0),0))))</f>
      </c>
      <c r="H8837">
        <f>IF(DATOS!$G8837&lt;&gt;"EX",0,--(COUNTIFS(nNIA,DATOS!$A8837,nCURSO,DATOS!$D8837,nESPEC,DATOS!$E8837,nASIG,DATOS!$I8837,nEVAL,"OR")=0))</f>
      </c>
      <c r="I8837">
        <f>IF(DATOS!$I8837="","",IFERROR(VLOOKUP(DATOS!$I8837,CONFIG_ASIGNATURAS!$B$2:$J$91,9,FALSE()),""))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IF(DATOS!$A8838="",0,IF(CONFIG_METADATA!$B$4&lt;&gt;"OR+EX",--(DATOS!$G8838=CONFIG_METADATA!$B$4),IF(DATOS!$G8838="EX",1,IF(DATOS!$G8838="OR",--(COUNTIFS(nNIA,DATOS!$A8838,nCURSO,DATOS!$D8838,nESPEC,DATOS!$E8838,nASIG,DATOS!$I8838,nEVAL,"EX")=0),0))))</f>
      </c>
      <c r="H8838">
        <f>IF(DATOS!$G8838&lt;&gt;"EX",0,--(COUNTIFS(nNIA,DATOS!$A8838,nCURSO,DATOS!$D8838,nESPEC,DATOS!$E8838,nASIG,DATOS!$I8838,nEVAL,"OR")=0))</f>
      </c>
      <c r="I8838">
        <f>IF(DATOS!$I8838="","",IFERROR(VLOOKUP(DATOS!$I8838,CONFIG_ASIGNATURAS!$B$2:$J$91,9,FALSE()),""))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IF(DATOS!$A8839="",0,IF(CONFIG_METADATA!$B$4&lt;&gt;"OR+EX",--(DATOS!$G8839=CONFIG_METADATA!$B$4),IF(DATOS!$G8839="EX",1,IF(DATOS!$G8839="OR",--(COUNTIFS(nNIA,DATOS!$A8839,nCURSO,DATOS!$D8839,nESPEC,DATOS!$E8839,nASIG,DATOS!$I8839,nEVAL,"EX")=0),0))))</f>
      </c>
      <c r="H8839">
        <f>IF(DATOS!$G8839&lt;&gt;"EX",0,--(COUNTIFS(nNIA,DATOS!$A8839,nCURSO,DATOS!$D8839,nESPEC,DATOS!$E8839,nASIG,DATOS!$I8839,nEVAL,"OR")=0))</f>
      </c>
      <c r="I8839">
        <f>IF(DATOS!$I8839="","",IFERROR(VLOOKUP(DATOS!$I8839,CONFIG_ASIGNATURAS!$B$2:$J$91,9,FALSE()),""))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IF(DATOS!$A8840="",0,IF(CONFIG_METADATA!$B$4&lt;&gt;"OR+EX",--(DATOS!$G8840=CONFIG_METADATA!$B$4),IF(DATOS!$G8840="EX",1,IF(DATOS!$G8840="OR",--(COUNTIFS(nNIA,DATOS!$A8840,nCURSO,DATOS!$D8840,nESPEC,DATOS!$E8840,nASIG,DATOS!$I8840,nEVAL,"EX")=0),0))))</f>
      </c>
      <c r="H8840">
        <f>IF(DATOS!$G8840&lt;&gt;"EX",0,--(COUNTIFS(nNIA,DATOS!$A8840,nCURSO,DATOS!$D8840,nESPEC,DATOS!$E8840,nASIG,DATOS!$I8840,nEVAL,"OR")=0))</f>
      </c>
      <c r="I8840">
        <f>IF(DATOS!$I8840="","",IFERROR(VLOOKUP(DATOS!$I8840,CONFIG_ASIGNATURAS!$B$2:$J$91,9,FALSE()),""))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IF(DATOS!$A8841="",0,IF(CONFIG_METADATA!$B$4&lt;&gt;"OR+EX",--(DATOS!$G8841=CONFIG_METADATA!$B$4),IF(DATOS!$G8841="EX",1,IF(DATOS!$G8841="OR",--(COUNTIFS(nNIA,DATOS!$A8841,nCURSO,DATOS!$D8841,nESPEC,DATOS!$E8841,nASIG,DATOS!$I8841,nEVAL,"EX")=0),0))))</f>
      </c>
      <c r="H8841">
        <f>IF(DATOS!$G8841&lt;&gt;"EX",0,--(COUNTIFS(nNIA,DATOS!$A8841,nCURSO,DATOS!$D8841,nESPEC,DATOS!$E8841,nASIG,DATOS!$I8841,nEVAL,"OR")=0))</f>
      </c>
      <c r="I8841">
        <f>IF(DATOS!$I8841="","",IFERROR(VLOOKUP(DATOS!$I8841,CONFIG_ASIGNATURAS!$B$2:$J$91,9,FALSE()),""))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IF(DATOS!$A8842="",0,IF(CONFIG_METADATA!$B$4&lt;&gt;"OR+EX",--(DATOS!$G8842=CONFIG_METADATA!$B$4),IF(DATOS!$G8842="EX",1,IF(DATOS!$G8842="OR",--(COUNTIFS(nNIA,DATOS!$A8842,nCURSO,DATOS!$D8842,nESPEC,DATOS!$E8842,nASIG,DATOS!$I8842,nEVAL,"EX")=0),0))))</f>
      </c>
      <c r="H8842">
        <f>IF(DATOS!$G8842&lt;&gt;"EX",0,--(COUNTIFS(nNIA,DATOS!$A8842,nCURSO,DATOS!$D8842,nESPEC,DATOS!$E8842,nASIG,DATOS!$I8842,nEVAL,"OR")=0))</f>
      </c>
      <c r="I8842">
        <f>IF(DATOS!$I8842="","",IFERROR(VLOOKUP(DATOS!$I8842,CONFIG_ASIGNATURAS!$B$2:$J$91,9,FALSE()),""))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IF(DATOS!$A8843="",0,IF(CONFIG_METADATA!$B$4&lt;&gt;"OR+EX",--(DATOS!$G8843=CONFIG_METADATA!$B$4),IF(DATOS!$G8843="EX",1,IF(DATOS!$G8843="OR",--(COUNTIFS(nNIA,DATOS!$A8843,nCURSO,DATOS!$D8843,nESPEC,DATOS!$E8843,nASIG,DATOS!$I8843,nEVAL,"EX")=0),0))))</f>
      </c>
      <c r="H8843">
        <f>IF(DATOS!$G8843&lt;&gt;"EX",0,--(COUNTIFS(nNIA,DATOS!$A8843,nCURSO,DATOS!$D8843,nESPEC,DATOS!$E8843,nASIG,DATOS!$I8843,nEVAL,"OR")=0))</f>
      </c>
      <c r="I8843">
        <f>IF(DATOS!$I8843="","",IFERROR(VLOOKUP(DATOS!$I8843,CONFIG_ASIGNATURAS!$B$2:$J$91,9,FALSE()),""))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IF(DATOS!$A8844="",0,IF(CONFIG_METADATA!$B$4&lt;&gt;"OR+EX",--(DATOS!$G8844=CONFIG_METADATA!$B$4),IF(DATOS!$G8844="EX",1,IF(DATOS!$G8844="OR",--(COUNTIFS(nNIA,DATOS!$A8844,nCURSO,DATOS!$D8844,nESPEC,DATOS!$E8844,nASIG,DATOS!$I8844,nEVAL,"EX")=0),0))))</f>
      </c>
      <c r="H8844">
        <f>IF(DATOS!$G8844&lt;&gt;"EX",0,--(COUNTIFS(nNIA,DATOS!$A8844,nCURSO,DATOS!$D8844,nESPEC,DATOS!$E8844,nASIG,DATOS!$I8844,nEVAL,"OR")=0))</f>
      </c>
      <c r="I8844">
        <f>IF(DATOS!$I8844="","",IFERROR(VLOOKUP(DATOS!$I8844,CONFIG_ASIGNATURAS!$B$2:$J$91,9,FALSE()),""))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IF(DATOS!$A8845="",0,IF(CONFIG_METADATA!$B$4&lt;&gt;"OR+EX",--(DATOS!$G8845=CONFIG_METADATA!$B$4),IF(DATOS!$G8845="EX",1,IF(DATOS!$G8845="OR",--(COUNTIFS(nNIA,DATOS!$A8845,nCURSO,DATOS!$D8845,nESPEC,DATOS!$E8845,nASIG,DATOS!$I8845,nEVAL,"EX")=0),0))))</f>
      </c>
      <c r="H8845">
        <f>IF(DATOS!$G8845&lt;&gt;"EX",0,--(COUNTIFS(nNIA,DATOS!$A8845,nCURSO,DATOS!$D8845,nESPEC,DATOS!$E8845,nASIG,DATOS!$I8845,nEVAL,"OR")=0))</f>
      </c>
      <c r="I8845">
        <f>IF(DATOS!$I8845="","",IFERROR(VLOOKUP(DATOS!$I8845,CONFIG_ASIGNATURAS!$B$2:$J$91,9,FALSE()),""))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IF(DATOS!$A8846="",0,IF(CONFIG_METADATA!$B$4&lt;&gt;"OR+EX",--(DATOS!$G8846=CONFIG_METADATA!$B$4),IF(DATOS!$G8846="EX",1,IF(DATOS!$G8846="OR",--(COUNTIFS(nNIA,DATOS!$A8846,nCURSO,DATOS!$D8846,nESPEC,DATOS!$E8846,nASIG,DATOS!$I8846,nEVAL,"EX")=0),0))))</f>
      </c>
      <c r="H8846">
        <f>IF(DATOS!$G8846&lt;&gt;"EX",0,--(COUNTIFS(nNIA,DATOS!$A8846,nCURSO,DATOS!$D8846,nESPEC,DATOS!$E8846,nASIG,DATOS!$I8846,nEVAL,"OR")=0))</f>
      </c>
      <c r="I8846">
        <f>IF(DATOS!$I8846="","",IFERROR(VLOOKUP(DATOS!$I8846,CONFIG_ASIGNATURAS!$B$2:$J$91,9,FALSE()),""))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IF(DATOS!$A8847="",0,IF(CONFIG_METADATA!$B$4&lt;&gt;"OR+EX",--(DATOS!$G8847=CONFIG_METADATA!$B$4),IF(DATOS!$G8847="EX",1,IF(DATOS!$G8847="OR",--(COUNTIFS(nNIA,DATOS!$A8847,nCURSO,DATOS!$D8847,nESPEC,DATOS!$E8847,nASIG,DATOS!$I8847,nEVAL,"EX")=0),0))))</f>
      </c>
      <c r="H8847">
        <f>IF(DATOS!$G8847&lt;&gt;"EX",0,--(COUNTIFS(nNIA,DATOS!$A8847,nCURSO,DATOS!$D8847,nESPEC,DATOS!$E8847,nASIG,DATOS!$I8847,nEVAL,"OR")=0))</f>
      </c>
      <c r="I8847">
        <f>IF(DATOS!$I8847="","",IFERROR(VLOOKUP(DATOS!$I8847,CONFIG_ASIGNATURAS!$B$2:$J$91,9,FALSE()),""))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IF(DATOS!$A8848="",0,IF(CONFIG_METADATA!$B$4&lt;&gt;"OR+EX",--(DATOS!$G8848=CONFIG_METADATA!$B$4),IF(DATOS!$G8848="EX",1,IF(DATOS!$G8848="OR",--(COUNTIFS(nNIA,DATOS!$A8848,nCURSO,DATOS!$D8848,nESPEC,DATOS!$E8848,nASIG,DATOS!$I8848,nEVAL,"EX")=0),0))))</f>
      </c>
      <c r="H8848">
        <f>IF(DATOS!$G8848&lt;&gt;"EX",0,--(COUNTIFS(nNIA,DATOS!$A8848,nCURSO,DATOS!$D8848,nESPEC,DATOS!$E8848,nASIG,DATOS!$I8848,nEVAL,"OR")=0))</f>
      </c>
      <c r="I8848">
        <f>IF(DATOS!$I8848="","",IFERROR(VLOOKUP(DATOS!$I8848,CONFIG_ASIGNATURAS!$B$2:$J$91,9,FALSE()),""))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IF(DATOS!$A8849="",0,IF(CONFIG_METADATA!$B$4&lt;&gt;"OR+EX",--(DATOS!$G8849=CONFIG_METADATA!$B$4),IF(DATOS!$G8849="EX",1,IF(DATOS!$G8849="OR",--(COUNTIFS(nNIA,DATOS!$A8849,nCURSO,DATOS!$D8849,nESPEC,DATOS!$E8849,nASIG,DATOS!$I8849,nEVAL,"EX")=0),0))))</f>
      </c>
      <c r="H8849">
        <f>IF(DATOS!$G8849&lt;&gt;"EX",0,--(COUNTIFS(nNIA,DATOS!$A8849,nCURSO,DATOS!$D8849,nESPEC,DATOS!$E8849,nASIG,DATOS!$I8849,nEVAL,"OR")=0))</f>
      </c>
      <c r="I8849">
        <f>IF(DATOS!$I8849="","",IFERROR(VLOOKUP(DATOS!$I8849,CONFIG_ASIGNATURAS!$B$2:$J$91,9,FALSE()),""))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IF(DATOS!$A8850="",0,IF(CONFIG_METADATA!$B$4&lt;&gt;"OR+EX",--(DATOS!$G8850=CONFIG_METADATA!$B$4),IF(DATOS!$G8850="EX",1,IF(DATOS!$G8850="OR",--(COUNTIFS(nNIA,DATOS!$A8850,nCURSO,DATOS!$D8850,nESPEC,DATOS!$E8850,nASIG,DATOS!$I8850,nEVAL,"EX")=0),0))))</f>
      </c>
      <c r="H8850">
        <f>IF(DATOS!$G8850&lt;&gt;"EX",0,--(COUNTIFS(nNIA,DATOS!$A8850,nCURSO,DATOS!$D8850,nESPEC,DATOS!$E8850,nASIG,DATOS!$I8850,nEVAL,"OR")=0))</f>
      </c>
      <c r="I8850">
        <f>IF(DATOS!$I8850="","",IFERROR(VLOOKUP(DATOS!$I8850,CONFIG_ASIGNATURAS!$B$2:$J$91,9,FALSE()),""))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IF(DATOS!$A8851="",0,IF(CONFIG_METADATA!$B$4&lt;&gt;"OR+EX",--(DATOS!$G8851=CONFIG_METADATA!$B$4),IF(DATOS!$G8851="EX",1,IF(DATOS!$G8851="OR",--(COUNTIFS(nNIA,DATOS!$A8851,nCURSO,DATOS!$D8851,nESPEC,DATOS!$E8851,nASIG,DATOS!$I8851,nEVAL,"EX")=0),0))))</f>
      </c>
      <c r="H8851">
        <f>IF(DATOS!$G8851&lt;&gt;"EX",0,--(COUNTIFS(nNIA,DATOS!$A8851,nCURSO,DATOS!$D8851,nESPEC,DATOS!$E8851,nASIG,DATOS!$I8851,nEVAL,"OR")=0))</f>
      </c>
      <c r="I8851">
        <f>IF(DATOS!$I8851="","",IFERROR(VLOOKUP(DATOS!$I8851,CONFIG_ASIGNATURAS!$B$2:$J$91,9,FALSE()),""))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IF(DATOS!$A8852="",0,IF(CONFIG_METADATA!$B$4&lt;&gt;"OR+EX",--(DATOS!$G8852=CONFIG_METADATA!$B$4),IF(DATOS!$G8852="EX",1,IF(DATOS!$G8852="OR",--(COUNTIFS(nNIA,DATOS!$A8852,nCURSO,DATOS!$D8852,nESPEC,DATOS!$E8852,nASIG,DATOS!$I8852,nEVAL,"EX")=0),0))))</f>
      </c>
      <c r="H8852">
        <f>IF(DATOS!$G8852&lt;&gt;"EX",0,--(COUNTIFS(nNIA,DATOS!$A8852,nCURSO,DATOS!$D8852,nESPEC,DATOS!$E8852,nASIG,DATOS!$I8852,nEVAL,"OR")=0))</f>
      </c>
      <c r="I8852">
        <f>IF(DATOS!$I8852="","",IFERROR(VLOOKUP(DATOS!$I8852,CONFIG_ASIGNATURAS!$B$2:$J$91,9,FALSE()),""))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IF(DATOS!$A8853="",0,IF(CONFIG_METADATA!$B$4&lt;&gt;"OR+EX",--(DATOS!$G8853=CONFIG_METADATA!$B$4),IF(DATOS!$G8853="EX",1,IF(DATOS!$G8853="OR",--(COUNTIFS(nNIA,DATOS!$A8853,nCURSO,DATOS!$D8853,nESPEC,DATOS!$E8853,nASIG,DATOS!$I8853,nEVAL,"EX")=0),0))))</f>
      </c>
      <c r="H8853">
        <f>IF(DATOS!$G8853&lt;&gt;"EX",0,--(COUNTIFS(nNIA,DATOS!$A8853,nCURSO,DATOS!$D8853,nESPEC,DATOS!$E8853,nASIG,DATOS!$I8853,nEVAL,"OR")=0))</f>
      </c>
      <c r="I8853">
        <f>IF(DATOS!$I8853="","",IFERROR(VLOOKUP(DATOS!$I8853,CONFIG_ASIGNATURAS!$B$2:$J$91,9,FALSE()),""))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IF(DATOS!$A8854="",0,IF(CONFIG_METADATA!$B$4&lt;&gt;"OR+EX",--(DATOS!$G8854=CONFIG_METADATA!$B$4),IF(DATOS!$G8854="EX",1,IF(DATOS!$G8854="OR",--(COUNTIFS(nNIA,DATOS!$A8854,nCURSO,DATOS!$D8854,nESPEC,DATOS!$E8854,nASIG,DATOS!$I8854,nEVAL,"EX")=0),0))))</f>
      </c>
      <c r="H8854">
        <f>IF(DATOS!$G8854&lt;&gt;"EX",0,--(COUNTIFS(nNIA,DATOS!$A8854,nCURSO,DATOS!$D8854,nESPEC,DATOS!$E8854,nASIG,DATOS!$I8854,nEVAL,"OR")=0))</f>
      </c>
      <c r="I8854">
        <f>IF(DATOS!$I8854="","",IFERROR(VLOOKUP(DATOS!$I8854,CONFIG_ASIGNATURAS!$B$2:$J$91,9,FALSE()),""))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IF(DATOS!$A8855="",0,IF(CONFIG_METADATA!$B$4&lt;&gt;"OR+EX",--(DATOS!$G8855=CONFIG_METADATA!$B$4),IF(DATOS!$G8855="EX",1,IF(DATOS!$G8855="OR",--(COUNTIFS(nNIA,DATOS!$A8855,nCURSO,DATOS!$D8855,nESPEC,DATOS!$E8855,nASIG,DATOS!$I8855,nEVAL,"EX")=0),0))))</f>
      </c>
      <c r="H8855">
        <f>IF(DATOS!$G8855&lt;&gt;"EX",0,--(COUNTIFS(nNIA,DATOS!$A8855,nCURSO,DATOS!$D8855,nESPEC,DATOS!$E8855,nASIG,DATOS!$I8855,nEVAL,"OR")=0))</f>
      </c>
      <c r="I8855">
        <f>IF(DATOS!$I8855="","",IFERROR(VLOOKUP(DATOS!$I8855,CONFIG_ASIGNATURAS!$B$2:$J$91,9,FALSE()),""))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IF(DATOS!$A8856="",0,IF(CONFIG_METADATA!$B$4&lt;&gt;"OR+EX",--(DATOS!$G8856=CONFIG_METADATA!$B$4),IF(DATOS!$G8856="EX",1,IF(DATOS!$G8856="OR",--(COUNTIFS(nNIA,DATOS!$A8856,nCURSO,DATOS!$D8856,nESPEC,DATOS!$E8856,nASIG,DATOS!$I8856,nEVAL,"EX")=0),0))))</f>
      </c>
      <c r="H8856">
        <f>IF(DATOS!$G8856&lt;&gt;"EX",0,--(COUNTIFS(nNIA,DATOS!$A8856,nCURSO,DATOS!$D8856,nESPEC,DATOS!$E8856,nASIG,DATOS!$I8856,nEVAL,"OR")=0))</f>
      </c>
      <c r="I8856">
        <f>IF(DATOS!$I8856="","",IFERROR(VLOOKUP(DATOS!$I8856,CONFIG_ASIGNATURAS!$B$2:$J$91,9,FALSE()),""))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IF(DATOS!$A8857="",0,IF(CONFIG_METADATA!$B$4&lt;&gt;"OR+EX",--(DATOS!$G8857=CONFIG_METADATA!$B$4),IF(DATOS!$G8857="EX",1,IF(DATOS!$G8857="OR",--(COUNTIFS(nNIA,DATOS!$A8857,nCURSO,DATOS!$D8857,nESPEC,DATOS!$E8857,nASIG,DATOS!$I8857,nEVAL,"EX")=0),0))))</f>
      </c>
      <c r="H8857">
        <f>IF(DATOS!$G8857&lt;&gt;"EX",0,--(COUNTIFS(nNIA,DATOS!$A8857,nCURSO,DATOS!$D8857,nESPEC,DATOS!$E8857,nASIG,DATOS!$I8857,nEVAL,"OR")=0))</f>
      </c>
      <c r="I8857">
        <f>IF(DATOS!$I8857="","",IFERROR(VLOOKUP(DATOS!$I8857,CONFIG_ASIGNATURAS!$B$2:$J$91,9,FALSE()),""))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IF(DATOS!$A8858="",0,IF(CONFIG_METADATA!$B$4&lt;&gt;"OR+EX",--(DATOS!$G8858=CONFIG_METADATA!$B$4),IF(DATOS!$G8858="EX",1,IF(DATOS!$G8858="OR",--(COUNTIFS(nNIA,DATOS!$A8858,nCURSO,DATOS!$D8858,nESPEC,DATOS!$E8858,nASIG,DATOS!$I8858,nEVAL,"EX")=0),0))))</f>
      </c>
      <c r="H8858">
        <f>IF(DATOS!$G8858&lt;&gt;"EX",0,--(COUNTIFS(nNIA,DATOS!$A8858,nCURSO,DATOS!$D8858,nESPEC,DATOS!$E8858,nASIG,DATOS!$I8858,nEVAL,"OR")=0))</f>
      </c>
      <c r="I8858">
        <f>IF(DATOS!$I8858="","",IFERROR(VLOOKUP(DATOS!$I8858,CONFIG_ASIGNATURAS!$B$2:$J$91,9,FALSE()),""))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IF(DATOS!$A8859="",0,IF(CONFIG_METADATA!$B$4&lt;&gt;"OR+EX",--(DATOS!$G8859=CONFIG_METADATA!$B$4),IF(DATOS!$G8859="EX",1,IF(DATOS!$G8859="OR",--(COUNTIFS(nNIA,DATOS!$A8859,nCURSO,DATOS!$D8859,nESPEC,DATOS!$E8859,nASIG,DATOS!$I8859,nEVAL,"EX")=0),0))))</f>
      </c>
      <c r="H8859">
        <f>IF(DATOS!$G8859&lt;&gt;"EX",0,--(COUNTIFS(nNIA,DATOS!$A8859,nCURSO,DATOS!$D8859,nESPEC,DATOS!$E8859,nASIG,DATOS!$I8859,nEVAL,"OR")=0))</f>
      </c>
      <c r="I8859">
        <f>IF(DATOS!$I8859="","",IFERROR(VLOOKUP(DATOS!$I8859,CONFIG_ASIGNATURAS!$B$2:$J$91,9,FALSE()),""))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IF(DATOS!$A8860="",0,IF(CONFIG_METADATA!$B$4&lt;&gt;"OR+EX",--(DATOS!$G8860=CONFIG_METADATA!$B$4),IF(DATOS!$G8860="EX",1,IF(DATOS!$G8860="OR",--(COUNTIFS(nNIA,DATOS!$A8860,nCURSO,DATOS!$D8860,nESPEC,DATOS!$E8860,nASIG,DATOS!$I8860,nEVAL,"EX")=0),0))))</f>
      </c>
      <c r="H8860">
        <f>IF(DATOS!$G8860&lt;&gt;"EX",0,--(COUNTIFS(nNIA,DATOS!$A8860,nCURSO,DATOS!$D8860,nESPEC,DATOS!$E8860,nASIG,DATOS!$I8860,nEVAL,"OR")=0))</f>
      </c>
      <c r="I8860">
        <f>IF(DATOS!$I8860="","",IFERROR(VLOOKUP(DATOS!$I8860,CONFIG_ASIGNATURAS!$B$2:$J$91,9,FALSE()),""))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IF(DATOS!$A8861="",0,IF(CONFIG_METADATA!$B$4&lt;&gt;"OR+EX",--(DATOS!$G8861=CONFIG_METADATA!$B$4),IF(DATOS!$G8861="EX",1,IF(DATOS!$G8861="OR",--(COUNTIFS(nNIA,DATOS!$A8861,nCURSO,DATOS!$D8861,nESPEC,DATOS!$E8861,nASIG,DATOS!$I8861,nEVAL,"EX")=0),0))))</f>
      </c>
      <c r="H8861">
        <f>IF(DATOS!$G8861&lt;&gt;"EX",0,--(COUNTIFS(nNIA,DATOS!$A8861,nCURSO,DATOS!$D8861,nESPEC,DATOS!$E8861,nASIG,DATOS!$I8861,nEVAL,"OR")=0))</f>
      </c>
      <c r="I8861">
        <f>IF(DATOS!$I8861="","",IFERROR(VLOOKUP(DATOS!$I8861,CONFIG_ASIGNATURAS!$B$2:$J$91,9,FALSE()),""))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IF(DATOS!$A8862="",0,IF(CONFIG_METADATA!$B$4&lt;&gt;"OR+EX",--(DATOS!$G8862=CONFIG_METADATA!$B$4),IF(DATOS!$G8862="EX",1,IF(DATOS!$G8862="OR",--(COUNTIFS(nNIA,DATOS!$A8862,nCURSO,DATOS!$D8862,nESPEC,DATOS!$E8862,nASIG,DATOS!$I8862,nEVAL,"EX")=0),0))))</f>
      </c>
      <c r="H8862">
        <f>IF(DATOS!$G8862&lt;&gt;"EX",0,--(COUNTIFS(nNIA,DATOS!$A8862,nCURSO,DATOS!$D8862,nESPEC,DATOS!$E8862,nASIG,DATOS!$I8862,nEVAL,"OR")=0))</f>
      </c>
      <c r="I8862">
        <f>IF(DATOS!$I8862="","",IFERROR(VLOOKUP(DATOS!$I8862,CONFIG_ASIGNATURAS!$B$2:$J$91,9,FALSE()),""))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IF(DATOS!$A8863="",0,IF(CONFIG_METADATA!$B$4&lt;&gt;"OR+EX",--(DATOS!$G8863=CONFIG_METADATA!$B$4),IF(DATOS!$G8863="EX",1,IF(DATOS!$G8863="OR",--(COUNTIFS(nNIA,DATOS!$A8863,nCURSO,DATOS!$D8863,nESPEC,DATOS!$E8863,nASIG,DATOS!$I8863,nEVAL,"EX")=0),0))))</f>
      </c>
      <c r="H8863">
        <f>IF(DATOS!$G8863&lt;&gt;"EX",0,--(COUNTIFS(nNIA,DATOS!$A8863,nCURSO,DATOS!$D8863,nESPEC,DATOS!$E8863,nASIG,DATOS!$I8863,nEVAL,"OR")=0))</f>
      </c>
      <c r="I8863">
        <f>IF(DATOS!$I8863="","",IFERROR(VLOOKUP(DATOS!$I8863,CONFIG_ASIGNATURAS!$B$2:$J$91,9,FALSE()),""))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IF(DATOS!$A8864="",0,IF(CONFIG_METADATA!$B$4&lt;&gt;"OR+EX",--(DATOS!$G8864=CONFIG_METADATA!$B$4),IF(DATOS!$G8864="EX",1,IF(DATOS!$G8864="OR",--(COUNTIFS(nNIA,DATOS!$A8864,nCURSO,DATOS!$D8864,nESPEC,DATOS!$E8864,nASIG,DATOS!$I8864,nEVAL,"EX")=0),0))))</f>
      </c>
      <c r="H8864">
        <f>IF(DATOS!$G8864&lt;&gt;"EX",0,--(COUNTIFS(nNIA,DATOS!$A8864,nCURSO,DATOS!$D8864,nESPEC,DATOS!$E8864,nASIG,DATOS!$I8864,nEVAL,"OR")=0))</f>
      </c>
      <c r="I8864">
        <f>IF(DATOS!$I8864="","",IFERROR(VLOOKUP(DATOS!$I8864,CONFIG_ASIGNATURAS!$B$2:$J$91,9,FALSE()),""))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IF(DATOS!$A8865="",0,IF(CONFIG_METADATA!$B$4&lt;&gt;"OR+EX",--(DATOS!$G8865=CONFIG_METADATA!$B$4),IF(DATOS!$G8865="EX",1,IF(DATOS!$G8865="OR",--(COUNTIFS(nNIA,DATOS!$A8865,nCURSO,DATOS!$D8865,nESPEC,DATOS!$E8865,nASIG,DATOS!$I8865,nEVAL,"EX")=0),0))))</f>
      </c>
      <c r="H8865">
        <f>IF(DATOS!$G8865&lt;&gt;"EX",0,--(COUNTIFS(nNIA,DATOS!$A8865,nCURSO,DATOS!$D8865,nESPEC,DATOS!$E8865,nASIG,DATOS!$I8865,nEVAL,"OR")=0))</f>
      </c>
      <c r="I8865">
        <f>IF(DATOS!$I8865="","",IFERROR(VLOOKUP(DATOS!$I8865,CONFIG_ASIGNATURAS!$B$2:$J$91,9,FALSE()),""))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IF(DATOS!$A8866="",0,IF(CONFIG_METADATA!$B$4&lt;&gt;"OR+EX",--(DATOS!$G8866=CONFIG_METADATA!$B$4),IF(DATOS!$G8866="EX",1,IF(DATOS!$G8866="OR",--(COUNTIFS(nNIA,DATOS!$A8866,nCURSO,DATOS!$D8866,nESPEC,DATOS!$E8866,nASIG,DATOS!$I8866,nEVAL,"EX")=0),0))))</f>
      </c>
      <c r="H8866">
        <f>IF(DATOS!$G8866&lt;&gt;"EX",0,--(COUNTIFS(nNIA,DATOS!$A8866,nCURSO,DATOS!$D8866,nESPEC,DATOS!$E8866,nASIG,DATOS!$I8866,nEVAL,"OR")=0))</f>
      </c>
      <c r="I8866">
        <f>IF(DATOS!$I8866="","",IFERROR(VLOOKUP(DATOS!$I8866,CONFIG_ASIGNATURAS!$B$2:$J$91,9,FALSE()),""))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IF(DATOS!$A8867="",0,IF(CONFIG_METADATA!$B$4&lt;&gt;"OR+EX",--(DATOS!$G8867=CONFIG_METADATA!$B$4),IF(DATOS!$G8867="EX",1,IF(DATOS!$G8867="OR",--(COUNTIFS(nNIA,DATOS!$A8867,nCURSO,DATOS!$D8867,nESPEC,DATOS!$E8867,nASIG,DATOS!$I8867,nEVAL,"EX")=0),0))))</f>
      </c>
      <c r="H8867">
        <f>IF(DATOS!$G8867&lt;&gt;"EX",0,--(COUNTIFS(nNIA,DATOS!$A8867,nCURSO,DATOS!$D8867,nESPEC,DATOS!$E8867,nASIG,DATOS!$I8867,nEVAL,"OR")=0))</f>
      </c>
      <c r="I8867">
        <f>IF(DATOS!$I8867="","",IFERROR(VLOOKUP(DATOS!$I8867,CONFIG_ASIGNATURAS!$B$2:$J$91,9,FALSE()),""))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IF(DATOS!$A8868="",0,IF(CONFIG_METADATA!$B$4&lt;&gt;"OR+EX",--(DATOS!$G8868=CONFIG_METADATA!$B$4),IF(DATOS!$G8868="EX",1,IF(DATOS!$G8868="OR",--(COUNTIFS(nNIA,DATOS!$A8868,nCURSO,DATOS!$D8868,nESPEC,DATOS!$E8868,nASIG,DATOS!$I8868,nEVAL,"EX")=0),0))))</f>
      </c>
      <c r="H8868">
        <f>IF(DATOS!$G8868&lt;&gt;"EX",0,--(COUNTIFS(nNIA,DATOS!$A8868,nCURSO,DATOS!$D8868,nESPEC,DATOS!$E8868,nASIG,DATOS!$I8868,nEVAL,"OR")=0))</f>
      </c>
      <c r="I8868">
        <f>IF(DATOS!$I8868="","",IFERROR(VLOOKUP(DATOS!$I8868,CONFIG_ASIGNATURAS!$B$2:$J$91,9,FALSE()),""))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IF(DATOS!$A8869="",0,IF(CONFIG_METADATA!$B$4&lt;&gt;"OR+EX",--(DATOS!$G8869=CONFIG_METADATA!$B$4),IF(DATOS!$G8869="EX",1,IF(DATOS!$G8869="OR",--(COUNTIFS(nNIA,DATOS!$A8869,nCURSO,DATOS!$D8869,nESPEC,DATOS!$E8869,nASIG,DATOS!$I8869,nEVAL,"EX")=0),0))))</f>
      </c>
      <c r="H8869">
        <f>IF(DATOS!$G8869&lt;&gt;"EX",0,--(COUNTIFS(nNIA,DATOS!$A8869,nCURSO,DATOS!$D8869,nESPEC,DATOS!$E8869,nASIG,DATOS!$I8869,nEVAL,"OR")=0))</f>
      </c>
      <c r="I8869">
        <f>IF(DATOS!$I8869="","",IFERROR(VLOOKUP(DATOS!$I8869,CONFIG_ASIGNATURAS!$B$2:$J$91,9,FALSE()),""))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IF(DATOS!$A8870="",0,IF(CONFIG_METADATA!$B$4&lt;&gt;"OR+EX",--(DATOS!$G8870=CONFIG_METADATA!$B$4),IF(DATOS!$G8870="EX",1,IF(DATOS!$G8870="OR",--(COUNTIFS(nNIA,DATOS!$A8870,nCURSO,DATOS!$D8870,nESPEC,DATOS!$E8870,nASIG,DATOS!$I8870,nEVAL,"EX")=0),0))))</f>
      </c>
      <c r="H8870">
        <f>IF(DATOS!$G8870&lt;&gt;"EX",0,--(COUNTIFS(nNIA,DATOS!$A8870,nCURSO,DATOS!$D8870,nESPEC,DATOS!$E8870,nASIG,DATOS!$I8870,nEVAL,"OR")=0))</f>
      </c>
      <c r="I8870">
        <f>IF(DATOS!$I8870="","",IFERROR(VLOOKUP(DATOS!$I8870,CONFIG_ASIGNATURAS!$B$2:$J$91,9,FALSE()),""))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IF(DATOS!$A8871="",0,IF(CONFIG_METADATA!$B$4&lt;&gt;"OR+EX",--(DATOS!$G8871=CONFIG_METADATA!$B$4),IF(DATOS!$G8871="EX",1,IF(DATOS!$G8871="OR",--(COUNTIFS(nNIA,DATOS!$A8871,nCURSO,DATOS!$D8871,nESPEC,DATOS!$E8871,nASIG,DATOS!$I8871,nEVAL,"EX")=0),0))))</f>
      </c>
      <c r="H8871">
        <f>IF(DATOS!$G8871&lt;&gt;"EX",0,--(COUNTIFS(nNIA,DATOS!$A8871,nCURSO,DATOS!$D8871,nESPEC,DATOS!$E8871,nASIG,DATOS!$I8871,nEVAL,"OR")=0))</f>
      </c>
      <c r="I8871">
        <f>IF(DATOS!$I8871="","",IFERROR(VLOOKUP(DATOS!$I8871,CONFIG_ASIGNATURAS!$B$2:$J$91,9,FALSE()),""))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IF(DATOS!$A8872="",0,IF(CONFIG_METADATA!$B$4&lt;&gt;"OR+EX",--(DATOS!$G8872=CONFIG_METADATA!$B$4),IF(DATOS!$G8872="EX",1,IF(DATOS!$G8872="OR",--(COUNTIFS(nNIA,DATOS!$A8872,nCURSO,DATOS!$D8872,nESPEC,DATOS!$E8872,nASIG,DATOS!$I8872,nEVAL,"EX")=0),0))))</f>
      </c>
      <c r="H8872">
        <f>IF(DATOS!$G8872&lt;&gt;"EX",0,--(COUNTIFS(nNIA,DATOS!$A8872,nCURSO,DATOS!$D8872,nESPEC,DATOS!$E8872,nASIG,DATOS!$I8872,nEVAL,"OR")=0))</f>
      </c>
      <c r="I8872">
        <f>IF(DATOS!$I8872="","",IFERROR(VLOOKUP(DATOS!$I8872,CONFIG_ASIGNATURAS!$B$2:$J$91,9,FALSE()),""))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IF(DATOS!$A8873="",0,IF(CONFIG_METADATA!$B$4&lt;&gt;"OR+EX",--(DATOS!$G8873=CONFIG_METADATA!$B$4),IF(DATOS!$G8873="EX",1,IF(DATOS!$G8873="OR",--(COUNTIFS(nNIA,DATOS!$A8873,nCURSO,DATOS!$D8873,nESPEC,DATOS!$E8873,nASIG,DATOS!$I8873,nEVAL,"EX")=0),0))))</f>
      </c>
      <c r="H8873">
        <f>IF(DATOS!$G8873&lt;&gt;"EX",0,--(COUNTIFS(nNIA,DATOS!$A8873,nCURSO,DATOS!$D8873,nESPEC,DATOS!$E8873,nASIG,DATOS!$I8873,nEVAL,"OR")=0))</f>
      </c>
      <c r="I8873">
        <f>IF(DATOS!$I8873="","",IFERROR(VLOOKUP(DATOS!$I8873,CONFIG_ASIGNATURAS!$B$2:$J$91,9,FALSE()),""))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IF(DATOS!$A8874="",0,IF(CONFIG_METADATA!$B$4&lt;&gt;"OR+EX",--(DATOS!$G8874=CONFIG_METADATA!$B$4),IF(DATOS!$G8874="EX",1,IF(DATOS!$G8874="OR",--(COUNTIFS(nNIA,DATOS!$A8874,nCURSO,DATOS!$D8874,nESPEC,DATOS!$E8874,nASIG,DATOS!$I8874,nEVAL,"EX")=0),0))))</f>
      </c>
      <c r="H8874">
        <f>IF(DATOS!$G8874&lt;&gt;"EX",0,--(COUNTIFS(nNIA,DATOS!$A8874,nCURSO,DATOS!$D8874,nESPEC,DATOS!$E8874,nASIG,DATOS!$I8874,nEVAL,"OR")=0))</f>
      </c>
      <c r="I8874">
        <f>IF(DATOS!$I8874="","",IFERROR(VLOOKUP(DATOS!$I8874,CONFIG_ASIGNATURAS!$B$2:$J$91,9,FALSE()),""))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IF(DATOS!$A8875="",0,IF(CONFIG_METADATA!$B$4&lt;&gt;"OR+EX",--(DATOS!$G8875=CONFIG_METADATA!$B$4),IF(DATOS!$G8875="EX",1,IF(DATOS!$G8875="OR",--(COUNTIFS(nNIA,DATOS!$A8875,nCURSO,DATOS!$D8875,nESPEC,DATOS!$E8875,nASIG,DATOS!$I8875,nEVAL,"EX")=0),0))))</f>
      </c>
      <c r="H8875">
        <f>IF(DATOS!$G8875&lt;&gt;"EX",0,--(COUNTIFS(nNIA,DATOS!$A8875,nCURSO,DATOS!$D8875,nESPEC,DATOS!$E8875,nASIG,DATOS!$I8875,nEVAL,"OR")=0))</f>
      </c>
      <c r="I8875">
        <f>IF(DATOS!$I8875="","",IFERROR(VLOOKUP(DATOS!$I8875,CONFIG_ASIGNATURAS!$B$2:$J$91,9,FALSE()),""))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IF(DATOS!$A8876="",0,IF(CONFIG_METADATA!$B$4&lt;&gt;"OR+EX",--(DATOS!$G8876=CONFIG_METADATA!$B$4),IF(DATOS!$G8876="EX",1,IF(DATOS!$G8876="OR",--(COUNTIFS(nNIA,DATOS!$A8876,nCURSO,DATOS!$D8876,nESPEC,DATOS!$E8876,nASIG,DATOS!$I8876,nEVAL,"EX")=0),0))))</f>
      </c>
      <c r="H8876">
        <f>IF(DATOS!$G8876&lt;&gt;"EX",0,--(COUNTIFS(nNIA,DATOS!$A8876,nCURSO,DATOS!$D8876,nESPEC,DATOS!$E8876,nASIG,DATOS!$I8876,nEVAL,"OR")=0))</f>
      </c>
      <c r="I8876">
        <f>IF(DATOS!$I8876="","",IFERROR(VLOOKUP(DATOS!$I8876,CONFIG_ASIGNATURAS!$B$2:$J$91,9,FALSE()),""))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IF(DATOS!$A8877="",0,IF(CONFIG_METADATA!$B$4&lt;&gt;"OR+EX",--(DATOS!$G8877=CONFIG_METADATA!$B$4),IF(DATOS!$G8877="EX",1,IF(DATOS!$G8877="OR",--(COUNTIFS(nNIA,DATOS!$A8877,nCURSO,DATOS!$D8877,nESPEC,DATOS!$E8877,nASIG,DATOS!$I8877,nEVAL,"EX")=0),0))))</f>
      </c>
      <c r="H8877">
        <f>IF(DATOS!$G8877&lt;&gt;"EX",0,--(COUNTIFS(nNIA,DATOS!$A8877,nCURSO,DATOS!$D8877,nESPEC,DATOS!$E8877,nASIG,DATOS!$I8877,nEVAL,"OR")=0))</f>
      </c>
      <c r="I8877">
        <f>IF(DATOS!$I8877="","",IFERROR(VLOOKUP(DATOS!$I8877,CONFIG_ASIGNATURAS!$B$2:$J$91,9,FALSE()),""))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IF(DATOS!$A8878="",0,IF(CONFIG_METADATA!$B$4&lt;&gt;"OR+EX",--(DATOS!$G8878=CONFIG_METADATA!$B$4),IF(DATOS!$G8878="EX",1,IF(DATOS!$G8878="OR",--(COUNTIFS(nNIA,DATOS!$A8878,nCURSO,DATOS!$D8878,nESPEC,DATOS!$E8878,nASIG,DATOS!$I8878,nEVAL,"EX")=0),0))))</f>
      </c>
      <c r="H8878">
        <f>IF(DATOS!$G8878&lt;&gt;"EX",0,--(COUNTIFS(nNIA,DATOS!$A8878,nCURSO,DATOS!$D8878,nESPEC,DATOS!$E8878,nASIG,DATOS!$I8878,nEVAL,"OR")=0))</f>
      </c>
      <c r="I8878">
        <f>IF(DATOS!$I8878="","",IFERROR(VLOOKUP(DATOS!$I8878,CONFIG_ASIGNATURAS!$B$2:$J$91,9,FALSE()),""))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IF(DATOS!$A8879="",0,IF(CONFIG_METADATA!$B$4&lt;&gt;"OR+EX",--(DATOS!$G8879=CONFIG_METADATA!$B$4),IF(DATOS!$G8879="EX",1,IF(DATOS!$G8879="OR",--(COUNTIFS(nNIA,DATOS!$A8879,nCURSO,DATOS!$D8879,nESPEC,DATOS!$E8879,nASIG,DATOS!$I8879,nEVAL,"EX")=0),0))))</f>
      </c>
      <c r="H8879">
        <f>IF(DATOS!$G8879&lt;&gt;"EX",0,--(COUNTIFS(nNIA,DATOS!$A8879,nCURSO,DATOS!$D8879,nESPEC,DATOS!$E8879,nASIG,DATOS!$I8879,nEVAL,"OR")=0))</f>
      </c>
      <c r="I8879">
        <f>IF(DATOS!$I8879="","",IFERROR(VLOOKUP(DATOS!$I8879,CONFIG_ASIGNATURAS!$B$2:$J$91,9,FALSE()),""))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IF(DATOS!$A8880="",0,IF(CONFIG_METADATA!$B$4&lt;&gt;"OR+EX",--(DATOS!$G8880=CONFIG_METADATA!$B$4),IF(DATOS!$G8880="EX",1,IF(DATOS!$G8880="OR",--(COUNTIFS(nNIA,DATOS!$A8880,nCURSO,DATOS!$D8880,nESPEC,DATOS!$E8880,nASIG,DATOS!$I8880,nEVAL,"EX")=0),0))))</f>
      </c>
      <c r="H8880">
        <f>IF(DATOS!$G8880&lt;&gt;"EX",0,--(COUNTIFS(nNIA,DATOS!$A8880,nCURSO,DATOS!$D8880,nESPEC,DATOS!$E8880,nASIG,DATOS!$I8880,nEVAL,"OR")=0))</f>
      </c>
      <c r="I8880">
        <f>IF(DATOS!$I8880="","",IFERROR(VLOOKUP(DATOS!$I8880,CONFIG_ASIGNATURAS!$B$2:$J$91,9,FALSE()),""))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IF(DATOS!$A8881="",0,IF(CONFIG_METADATA!$B$4&lt;&gt;"OR+EX",--(DATOS!$G8881=CONFIG_METADATA!$B$4),IF(DATOS!$G8881="EX",1,IF(DATOS!$G8881="OR",--(COUNTIFS(nNIA,DATOS!$A8881,nCURSO,DATOS!$D8881,nESPEC,DATOS!$E8881,nASIG,DATOS!$I8881,nEVAL,"EX")=0),0))))</f>
      </c>
      <c r="H8881">
        <f>IF(DATOS!$G8881&lt;&gt;"EX",0,--(COUNTIFS(nNIA,DATOS!$A8881,nCURSO,DATOS!$D8881,nESPEC,DATOS!$E8881,nASIG,DATOS!$I8881,nEVAL,"OR")=0))</f>
      </c>
      <c r="I8881">
        <f>IF(DATOS!$I8881="","",IFERROR(VLOOKUP(DATOS!$I8881,CONFIG_ASIGNATURAS!$B$2:$J$91,9,FALSE()),""))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IF(DATOS!$A8882="",0,IF(CONFIG_METADATA!$B$4&lt;&gt;"OR+EX",--(DATOS!$G8882=CONFIG_METADATA!$B$4),IF(DATOS!$G8882="EX",1,IF(DATOS!$G8882="OR",--(COUNTIFS(nNIA,DATOS!$A8882,nCURSO,DATOS!$D8882,nESPEC,DATOS!$E8882,nASIG,DATOS!$I8882,nEVAL,"EX")=0),0))))</f>
      </c>
      <c r="H8882">
        <f>IF(DATOS!$G8882&lt;&gt;"EX",0,--(COUNTIFS(nNIA,DATOS!$A8882,nCURSO,DATOS!$D8882,nESPEC,DATOS!$E8882,nASIG,DATOS!$I8882,nEVAL,"OR")=0))</f>
      </c>
      <c r="I8882">
        <f>IF(DATOS!$I8882="","",IFERROR(VLOOKUP(DATOS!$I8882,CONFIG_ASIGNATURAS!$B$2:$J$91,9,FALSE()),""))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IF(DATOS!$A8883="",0,IF(CONFIG_METADATA!$B$4&lt;&gt;"OR+EX",--(DATOS!$G8883=CONFIG_METADATA!$B$4),IF(DATOS!$G8883="EX",1,IF(DATOS!$G8883="OR",--(COUNTIFS(nNIA,DATOS!$A8883,nCURSO,DATOS!$D8883,nESPEC,DATOS!$E8883,nASIG,DATOS!$I8883,nEVAL,"EX")=0),0))))</f>
      </c>
      <c r="H8883">
        <f>IF(DATOS!$G8883&lt;&gt;"EX",0,--(COUNTIFS(nNIA,DATOS!$A8883,nCURSO,DATOS!$D8883,nESPEC,DATOS!$E8883,nASIG,DATOS!$I8883,nEVAL,"OR")=0))</f>
      </c>
      <c r="I8883">
        <f>IF(DATOS!$I8883="","",IFERROR(VLOOKUP(DATOS!$I8883,CONFIG_ASIGNATURAS!$B$2:$J$91,9,FALSE()),""))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IF(DATOS!$A8884="",0,IF(CONFIG_METADATA!$B$4&lt;&gt;"OR+EX",--(DATOS!$G8884=CONFIG_METADATA!$B$4),IF(DATOS!$G8884="EX",1,IF(DATOS!$G8884="OR",--(COUNTIFS(nNIA,DATOS!$A8884,nCURSO,DATOS!$D8884,nESPEC,DATOS!$E8884,nASIG,DATOS!$I8884,nEVAL,"EX")=0),0))))</f>
      </c>
      <c r="H8884">
        <f>IF(DATOS!$G8884&lt;&gt;"EX",0,--(COUNTIFS(nNIA,DATOS!$A8884,nCURSO,DATOS!$D8884,nESPEC,DATOS!$E8884,nASIG,DATOS!$I8884,nEVAL,"OR")=0))</f>
      </c>
      <c r="I8884">
        <f>IF(DATOS!$I8884="","",IFERROR(VLOOKUP(DATOS!$I8884,CONFIG_ASIGNATURAS!$B$2:$J$91,9,FALSE()),""))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IF(DATOS!$A8885="",0,IF(CONFIG_METADATA!$B$4&lt;&gt;"OR+EX",--(DATOS!$G8885=CONFIG_METADATA!$B$4),IF(DATOS!$G8885="EX",1,IF(DATOS!$G8885="OR",--(COUNTIFS(nNIA,DATOS!$A8885,nCURSO,DATOS!$D8885,nESPEC,DATOS!$E8885,nASIG,DATOS!$I8885,nEVAL,"EX")=0),0))))</f>
      </c>
      <c r="H8885">
        <f>IF(DATOS!$G8885&lt;&gt;"EX",0,--(COUNTIFS(nNIA,DATOS!$A8885,nCURSO,DATOS!$D8885,nESPEC,DATOS!$E8885,nASIG,DATOS!$I8885,nEVAL,"OR")=0))</f>
      </c>
      <c r="I8885">
        <f>IF(DATOS!$I8885="","",IFERROR(VLOOKUP(DATOS!$I8885,CONFIG_ASIGNATURAS!$B$2:$J$91,9,FALSE()),""))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IF(DATOS!$A8886="",0,IF(CONFIG_METADATA!$B$4&lt;&gt;"OR+EX",--(DATOS!$G8886=CONFIG_METADATA!$B$4),IF(DATOS!$G8886="EX",1,IF(DATOS!$G8886="OR",--(COUNTIFS(nNIA,DATOS!$A8886,nCURSO,DATOS!$D8886,nESPEC,DATOS!$E8886,nASIG,DATOS!$I8886,nEVAL,"EX")=0),0))))</f>
      </c>
      <c r="H8886">
        <f>IF(DATOS!$G8886&lt;&gt;"EX",0,--(COUNTIFS(nNIA,DATOS!$A8886,nCURSO,DATOS!$D8886,nESPEC,DATOS!$E8886,nASIG,DATOS!$I8886,nEVAL,"OR")=0))</f>
      </c>
      <c r="I8886">
        <f>IF(DATOS!$I8886="","",IFERROR(VLOOKUP(DATOS!$I8886,CONFIG_ASIGNATURAS!$B$2:$J$91,9,FALSE()),""))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IF(DATOS!$A8887="",0,IF(CONFIG_METADATA!$B$4&lt;&gt;"OR+EX",--(DATOS!$G8887=CONFIG_METADATA!$B$4),IF(DATOS!$G8887="EX",1,IF(DATOS!$G8887="OR",--(COUNTIFS(nNIA,DATOS!$A8887,nCURSO,DATOS!$D8887,nESPEC,DATOS!$E8887,nASIG,DATOS!$I8887,nEVAL,"EX")=0),0))))</f>
      </c>
      <c r="H8887">
        <f>IF(DATOS!$G8887&lt;&gt;"EX",0,--(COUNTIFS(nNIA,DATOS!$A8887,nCURSO,DATOS!$D8887,nESPEC,DATOS!$E8887,nASIG,DATOS!$I8887,nEVAL,"OR")=0))</f>
      </c>
      <c r="I8887">
        <f>IF(DATOS!$I8887="","",IFERROR(VLOOKUP(DATOS!$I8887,CONFIG_ASIGNATURAS!$B$2:$J$91,9,FALSE()),""))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IF(DATOS!$A8888="",0,IF(CONFIG_METADATA!$B$4&lt;&gt;"OR+EX",--(DATOS!$G8888=CONFIG_METADATA!$B$4),IF(DATOS!$G8888="EX",1,IF(DATOS!$G8888="OR",--(COUNTIFS(nNIA,DATOS!$A8888,nCURSO,DATOS!$D8888,nESPEC,DATOS!$E8888,nASIG,DATOS!$I8888,nEVAL,"EX")=0),0))))</f>
      </c>
      <c r="H8888">
        <f>IF(DATOS!$G8888&lt;&gt;"EX",0,--(COUNTIFS(nNIA,DATOS!$A8888,nCURSO,DATOS!$D8888,nESPEC,DATOS!$E8888,nASIG,DATOS!$I8888,nEVAL,"OR")=0))</f>
      </c>
      <c r="I8888">
        <f>IF(DATOS!$I8888="","",IFERROR(VLOOKUP(DATOS!$I8888,CONFIG_ASIGNATURAS!$B$2:$J$91,9,FALSE()),""))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IF(DATOS!$A8889="",0,IF(CONFIG_METADATA!$B$4&lt;&gt;"OR+EX",--(DATOS!$G8889=CONFIG_METADATA!$B$4),IF(DATOS!$G8889="EX",1,IF(DATOS!$G8889="OR",--(COUNTIFS(nNIA,DATOS!$A8889,nCURSO,DATOS!$D8889,nESPEC,DATOS!$E8889,nASIG,DATOS!$I8889,nEVAL,"EX")=0),0))))</f>
      </c>
      <c r="H8889">
        <f>IF(DATOS!$G8889&lt;&gt;"EX",0,--(COUNTIFS(nNIA,DATOS!$A8889,nCURSO,DATOS!$D8889,nESPEC,DATOS!$E8889,nASIG,DATOS!$I8889,nEVAL,"OR")=0))</f>
      </c>
      <c r="I8889">
        <f>IF(DATOS!$I8889="","",IFERROR(VLOOKUP(DATOS!$I8889,CONFIG_ASIGNATURAS!$B$2:$J$91,9,FALSE()),""))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IF(DATOS!$A8890="",0,IF(CONFIG_METADATA!$B$4&lt;&gt;"OR+EX",--(DATOS!$G8890=CONFIG_METADATA!$B$4),IF(DATOS!$G8890="EX",1,IF(DATOS!$G8890="OR",--(COUNTIFS(nNIA,DATOS!$A8890,nCURSO,DATOS!$D8890,nESPEC,DATOS!$E8890,nASIG,DATOS!$I8890,nEVAL,"EX")=0),0))))</f>
      </c>
      <c r="H8890">
        <f>IF(DATOS!$G8890&lt;&gt;"EX",0,--(COUNTIFS(nNIA,DATOS!$A8890,nCURSO,DATOS!$D8890,nESPEC,DATOS!$E8890,nASIG,DATOS!$I8890,nEVAL,"OR")=0))</f>
      </c>
      <c r="I8890">
        <f>IF(DATOS!$I8890="","",IFERROR(VLOOKUP(DATOS!$I8890,CONFIG_ASIGNATURAS!$B$2:$J$91,9,FALSE()),""))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IF(DATOS!$A8891="",0,IF(CONFIG_METADATA!$B$4&lt;&gt;"OR+EX",--(DATOS!$G8891=CONFIG_METADATA!$B$4),IF(DATOS!$G8891="EX",1,IF(DATOS!$G8891="OR",--(COUNTIFS(nNIA,DATOS!$A8891,nCURSO,DATOS!$D8891,nESPEC,DATOS!$E8891,nASIG,DATOS!$I8891,nEVAL,"EX")=0),0))))</f>
      </c>
      <c r="H8891">
        <f>IF(DATOS!$G8891&lt;&gt;"EX",0,--(COUNTIFS(nNIA,DATOS!$A8891,nCURSO,DATOS!$D8891,nESPEC,DATOS!$E8891,nASIG,DATOS!$I8891,nEVAL,"OR")=0))</f>
      </c>
      <c r="I8891">
        <f>IF(DATOS!$I8891="","",IFERROR(VLOOKUP(DATOS!$I8891,CONFIG_ASIGNATURAS!$B$2:$J$91,9,FALSE()),""))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IF(DATOS!$A8892="",0,IF(CONFIG_METADATA!$B$4&lt;&gt;"OR+EX",--(DATOS!$G8892=CONFIG_METADATA!$B$4),IF(DATOS!$G8892="EX",1,IF(DATOS!$G8892="OR",--(COUNTIFS(nNIA,DATOS!$A8892,nCURSO,DATOS!$D8892,nESPEC,DATOS!$E8892,nASIG,DATOS!$I8892,nEVAL,"EX")=0),0))))</f>
      </c>
      <c r="H8892">
        <f>IF(DATOS!$G8892&lt;&gt;"EX",0,--(COUNTIFS(nNIA,DATOS!$A8892,nCURSO,DATOS!$D8892,nESPEC,DATOS!$E8892,nASIG,DATOS!$I8892,nEVAL,"OR")=0))</f>
      </c>
      <c r="I8892">
        <f>IF(DATOS!$I8892="","",IFERROR(VLOOKUP(DATOS!$I8892,CONFIG_ASIGNATURAS!$B$2:$J$91,9,FALSE()),""))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IF(DATOS!$A8893="",0,IF(CONFIG_METADATA!$B$4&lt;&gt;"OR+EX",--(DATOS!$G8893=CONFIG_METADATA!$B$4),IF(DATOS!$G8893="EX",1,IF(DATOS!$G8893="OR",--(COUNTIFS(nNIA,DATOS!$A8893,nCURSO,DATOS!$D8893,nESPEC,DATOS!$E8893,nASIG,DATOS!$I8893,nEVAL,"EX")=0),0))))</f>
      </c>
      <c r="H8893">
        <f>IF(DATOS!$G8893&lt;&gt;"EX",0,--(COUNTIFS(nNIA,DATOS!$A8893,nCURSO,DATOS!$D8893,nESPEC,DATOS!$E8893,nASIG,DATOS!$I8893,nEVAL,"OR")=0))</f>
      </c>
      <c r="I8893">
        <f>IF(DATOS!$I8893="","",IFERROR(VLOOKUP(DATOS!$I8893,CONFIG_ASIGNATURAS!$B$2:$J$91,9,FALSE()),""))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IF(DATOS!$A8894="",0,IF(CONFIG_METADATA!$B$4&lt;&gt;"OR+EX",--(DATOS!$G8894=CONFIG_METADATA!$B$4),IF(DATOS!$G8894="EX",1,IF(DATOS!$G8894="OR",--(COUNTIFS(nNIA,DATOS!$A8894,nCURSO,DATOS!$D8894,nESPEC,DATOS!$E8894,nASIG,DATOS!$I8894,nEVAL,"EX")=0),0))))</f>
      </c>
      <c r="H8894">
        <f>IF(DATOS!$G8894&lt;&gt;"EX",0,--(COUNTIFS(nNIA,DATOS!$A8894,nCURSO,DATOS!$D8894,nESPEC,DATOS!$E8894,nASIG,DATOS!$I8894,nEVAL,"OR")=0))</f>
      </c>
      <c r="I8894">
        <f>IF(DATOS!$I8894="","",IFERROR(VLOOKUP(DATOS!$I8894,CONFIG_ASIGNATURAS!$B$2:$J$91,9,FALSE()),""))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IF(DATOS!$A8895="",0,IF(CONFIG_METADATA!$B$4&lt;&gt;"OR+EX",--(DATOS!$G8895=CONFIG_METADATA!$B$4),IF(DATOS!$G8895="EX",1,IF(DATOS!$G8895="OR",--(COUNTIFS(nNIA,DATOS!$A8895,nCURSO,DATOS!$D8895,nESPEC,DATOS!$E8895,nASIG,DATOS!$I8895,nEVAL,"EX")=0),0))))</f>
      </c>
      <c r="H8895">
        <f>IF(DATOS!$G8895&lt;&gt;"EX",0,--(COUNTIFS(nNIA,DATOS!$A8895,nCURSO,DATOS!$D8895,nESPEC,DATOS!$E8895,nASIG,DATOS!$I8895,nEVAL,"OR")=0))</f>
      </c>
      <c r="I8895">
        <f>IF(DATOS!$I8895="","",IFERROR(VLOOKUP(DATOS!$I8895,CONFIG_ASIGNATURAS!$B$2:$J$91,9,FALSE()),""))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IF(DATOS!$A8896="",0,IF(CONFIG_METADATA!$B$4&lt;&gt;"OR+EX",--(DATOS!$G8896=CONFIG_METADATA!$B$4),IF(DATOS!$G8896="EX",1,IF(DATOS!$G8896="OR",--(COUNTIFS(nNIA,DATOS!$A8896,nCURSO,DATOS!$D8896,nESPEC,DATOS!$E8896,nASIG,DATOS!$I8896,nEVAL,"EX")=0),0))))</f>
      </c>
      <c r="H8896">
        <f>IF(DATOS!$G8896&lt;&gt;"EX",0,--(COUNTIFS(nNIA,DATOS!$A8896,nCURSO,DATOS!$D8896,nESPEC,DATOS!$E8896,nASIG,DATOS!$I8896,nEVAL,"OR")=0))</f>
      </c>
      <c r="I8896">
        <f>IF(DATOS!$I8896="","",IFERROR(VLOOKUP(DATOS!$I8896,CONFIG_ASIGNATURAS!$B$2:$J$91,9,FALSE()),""))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IF(DATOS!$A8897="",0,IF(CONFIG_METADATA!$B$4&lt;&gt;"OR+EX",--(DATOS!$G8897=CONFIG_METADATA!$B$4),IF(DATOS!$G8897="EX",1,IF(DATOS!$G8897="OR",--(COUNTIFS(nNIA,DATOS!$A8897,nCURSO,DATOS!$D8897,nESPEC,DATOS!$E8897,nASIG,DATOS!$I8897,nEVAL,"EX")=0),0))))</f>
      </c>
      <c r="H8897">
        <f>IF(DATOS!$G8897&lt;&gt;"EX",0,--(COUNTIFS(nNIA,DATOS!$A8897,nCURSO,DATOS!$D8897,nESPEC,DATOS!$E8897,nASIG,DATOS!$I8897,nEVAL,"OR")=0))</f>
      </c>
      <c r="I8897">
        <f>IF(DATOS!$I8897="","",IFERROR(VLOOKUP(DATOS!$I8897,CONFIG_ASIGNATURAS!$B$2:$J$91,9,FALSE()),""))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IF(DATOS!$A8898="",0,IF(CONFIG_METADATA!$B$4&lt;&gt;"OR+EX",--(DATOS!$G8898=CONFIG_METADATA!$B$4),IF(DATOS!$G8898="EX",1,IF(DATOS!$G8898="OR",--(COUNTIFS(nNIA,DATOS!$A8898,nCURSO,DATOS!$D8898,nESPEC,DATOS!$E8898,nASIG,DATOS!$I8898,nEVAL,"EX")=0),0))))</f>
      </c>
      <c r="H8898">
        <f>IF(DATOS!$G8898&lt;&gt;"EX",0,--(COUNTIFS(nNIA,DATOS!$A8898,nCURSO,DATOS!$D8898,nESPEC,DATOS!$E8898,nASIG,DATOS!$I8898,nEVAL,"OR")=0))</f>
      </c>
      <c r="I8898">
        <f>IF(DATOS!$I8898="","",IFERROR(VLOOKUP(DATOS!$I8898,CONFIG_ASIGNATURAS!$B$2:$J$91,9,FALSE()),""))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IF(DATOS!$A8899="",0,IF(CONFIG_METADATA!$B$4&lt;&gt;"OR+EX",--(DATOS!$G8899=CONFIG_METADATA!$B$4),IF(DATOS!$G8899="EX",1,IF(DATOS!$G8899="OR",--(COUNTIFS(nNIA,DATOS!$A8899,nCURSO,DATOS!$D8899,nESPEC,DATOS!$E8899,nASIG,DATOS!$I8899,nEVAL,"EX")=0),0))))</f>
      </c>
      <c r="H8899">
        <f>IF(DATOS!$G8899&lt;&gt;"EX",0,--(COUNTIFS(nNIA,DATOS!$A8899,nCURSO,DATOS!$D8899,nESPEC,DATOS!$E8899,nASIG,DATOS!$I8899,nEVAL,"OR")=0))</f>
      </c>
      <c r="I8899">
        <f>IF(DATOS!$I8899="","",IFERROR(VLOOKUP(DATOS!$I8899,CONFIG_ASIGNATURAS!$B$2:$J$91,9,FALSE()),""))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IF(DATOS!$A8900="",0,IF(CONFIG_METADATA!$B$4&lt;&gt;"OR+EX",--(DATOS!$G8900=CONFIG_METADATA!$B$4),IF(DATOS!$G8900="EX",1,IF(DATOS!$G8900="OR",--(COUNTIFS(nNIA,DATOS!$A8900,nCURSO,DATOS!$D8900,nESPEC,DATOS!$E8900,nASIG,DATOS!$I8900,nEVAL,"EX")=0),0))))</f>
      </c>
      <c r="H8900">
        <f>IF(DATOS!$G8900&lt;&gt;"EX",0,--(COUNTIFS(nNIA,DATOS!$A8900,nCURSO,DATOS!$D8900,nESPEC,DATOS!$E8900,nASIG,DATOS!$I8900,nEVAL,"OR")=0))</f>
      </c>
      <c r="I8900">
        <f>IF(DATOS!$I8900="","",IFERROR(VLOOKUP(DATOS!$I8900,CONFIG_ASIGNATURAS!$B$2:$J$91,9,FALSE()),""))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IF(DATOS!$A8901="",0,IF(CONFIG_METADATA!$B$4&lt;&gt;"OR+EX",--(DATOS!$G8901=CONFIG_METADATA!$B$4),IF(DATOS!$G8901="EX",1,IF(DATOS!$G8901="OR",--(COUNTIFS(nNIA,DATOS!$A8901,nCURSO,DATOS!$D8901,nESPEC,DATOS!$E8901,nASIG,DATOS!$I8901,nEVAL,"EX")=0),0))))</f>
      </c>
      <c r="H8901">
        <f>IF(DATOS!$G8901&lt;&gt;"EX",0,--(COUNTIFS(nNIA,DATOS!$A8901,nCURSO,DATOS!$D8901,nESPEC,DATOS!$E8901,nASIG,DATOS!$I8901,nEVAL,"OR")=0))</f>
      </c>
      <c r="I8901">
        <f>IF(DATOS!$I8901="","",IFERROR(VLOOKUP(DATOS!$I8901,CONFIG_ASIGNATURAS!$B$2:$J$91,9,FALSE()),""))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IF(DATOS!$A8902="",0,IF(CONFIG_METADATA!$B$4&lt;&gt;"OR+EX",--(DATOS!$G8902=CONFIG_METADATA!$B$4),IF(DATOS!$G8902="EX",1,IF(DATOS!$G8902="OR",--(COUNTIFS(nNIA,DATOS!$A8902,nCURSO,DATOS!$D8902,nESPEC,DATOS!$E8902,nASIG,DATOS!$I8902,nEVAL,"EX")=0),0))))</f>
      </c>
      <c r="H8902">
        <f>IF(DATOS!$G8902&lt;&gt;"EX",0,--(COUNTIFS(nNIA,DATOS!$A8902,nCURSO,DATOS!$D8902,nESPEC,DATOS!$E8902,nASIG,DATOS!$I8902,nEVAL,"OR")=0))</f>
      </c>
      <c r="I8902">
        <f>IF(DATOS!$I8902="","",IFERROR(VLOOKUP(DATOS!$I8902,CONFIG_ASIGNATURAS!$B$2:$J$91,9,FALSE()),""))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IF(DATOS!$A8903="",0,IF(CONFIG_METADATA!$B$4&lt;&gt;"OR+EX",--(DATOS!$G8903=CONFIG_METADATA!$B$4),IF(DATOS!$G8903="EX",1,IF(DATOS!$G8903="OR",--(COUNTIFS(nNIA,DATOS!$A8903,nCURSO,DATOS!$D8903,nESPEC,DATOS!$E8903,nASIG,DATOS!$I8903,nEVAL,"EX")=0),0))))</f>
      </c>
      <c r="H8903">
        <f>IF(DATOS!$G8903&lt;&gt;"EX",0,--(COUNTIFS(nNIA,DATOS!$A8903,nCURSO,DATOS!$D8903,nESPEC,DATOS!$E8903,nASIG,DATOS!$I8903,nEVAL,"OR")=0))</f>
      </c>
      <c r="I8903">
        <f>IF(DATOS!$I8903="","",IFERROR(VLOOKUP(DATOS!$I8903,CONFIG_ASIGNATURAS!$B$2:$J$91,9,FALSE()),""))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IF(DATOS!$A8904="",0,IF(CONFIG_METADATA!$B$4&lt;&gt;"OR+EX",--(DATOS!$G8904=CONFIG_METADATA!$B$4),IF(DATOS!$G8904="EX",1,IF(DATOS!$G8904="OR",--(COUNTIFS(nNIA,DATOS!$A8904,nCURSO,DATOS!$D8904,nESPEC,DATOS!$E8904,nASIG,DATOS!$I8904,nEVAL,"EX")=0),0))))</f>
      </c>
      <c r="H8904">
        <f>IF(DATOS!$G8904&lt;&gt;"EX",0,--(COUNTIFS(nNIA,DATOS!$A8904,nCURSO,DATOS!$D8904,nESPEC,DATOS!$E8904,nASIG,DATOS!$I8904,nEVAL,"OR")=0))</f>
      </c>
      <c r="I8904">
        <f>IF(DATOS!$I8904="","",IFERROR(VLOOKUP(DATOS!$I8904,CONFIG_ASIGNATURAS!$B$2:$J$91,9,FALSE()),""))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IF(DATOS!$A8905="",0,IF(CONFIG_METADATA!$B$4&lt;&gt;"OR+EX",--(DATOS!$G8905=CONFIG_METADATA!$B$4),IF(DATOS!$G8905="EX",1,IF(DATOS!$G8905="OR",--(COUNTIFS(nNIA,DATOS!$A8905,nCURSO,DATOS!$D8905,nESPEC,DATOS!$E8905,nASIG,DATOS!$I8905,nEVAL,"EX")=0),0))))</f>
      </c>
      <c r="H8905">
        <f>IF(DATOS!$G8905&lt;&gt;"EX",0,--(COUNTIFS(nNIA,DATOS!$A8905,nCURSO,DATOS!$D8905,nESPEC,DATOS!$E8905,nASIG,DATOS!$I8905,nEVAL,"OR")=0))</f>
      </c>
      <c r="I8905">
        <f>IF(DATOS!$I8905="","",IFERROR(VLOOKUP(DATOS!$I8905,CONFIG_ASIGNATURAS!$B$2:$J$91,9,FALSE()),""))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IF(DATOS!$A8906="",0,IF(CONFIG_METADATA!$B$4&lt;&gt;"OR+EX",--(DATOS!$G8906=CONFIG_METADATA!$B$4),IF(DATOS!$G8906="EX",1,IF(DATOS!$G8906="OR",--(COUNTIFS(nNIA,DATOS!$A8906,nCURSO,DATOS!$D8906,nESPEC,DATOS!$E8906,nASIG,DATOS!$I8906,nEVAL,"EX")=0),0))))</f>
      </c>
      <c r="H8906">
        <f>IF(DATOS!$G8906&lt;&gt;"EX",0,--(COUNTIFS(nNIA,DATOS!$A8906,nCURSO,DATOS!$D8906,nESPEC,DATOS!$E8906,nASIG,DATOS!$I8906,nEVAL,"OR")=0))</f>
      </c>
      <c r="I8906">
        <f>IF(DATOS!$I8906="","",IFERROR(VLOOKUP(DATOS!$I8906,CONFIG_ASIGNATURAS!$B$2:$J$91,9,FALSE()),""))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IF(DATOS!$A8907="",0,IF(CONFIG_METADATA!$B$4&lt;&gt;"OR+EX",--(DATOS!$G8907=CONFIG_METADATA!$B$4),IF(DATOS!$G8907="EX",1,IF(DATOS!$G8907="OR",--(COUNTIFS(nNIA,DATOS!$A8907,nCURSO,DATOS!$D8907,nESPEC,DATOS!$E8907,nASIG,DATOS!$I8907,nEVAL,"EX")=0),0))))</f>
      </c>
      <c r="H8907">
        <f>IF(DATOS!$G8907&lt;&gt;"EX",0,--(COUNTIFS(nNIA,DATOS!$A8907,nCURSO,DATOS!$D8907,nESPEC,DATOS!$E8907,nASIG,DATOS!$I8907,nEVAL,"OR")=0))</f>
      </c>
      <c r="I8907">
        <f>IF(DATOS!$I8907="","",IFERROR(VLOOKUP(DATOS!$I8907,CONFIG_ASIGNATURAS!$B$2:$J$91,9,FALSE()),""))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IF(DATOS!$A8908="",0,IF(CONFIG_METADATA!$B$4&lt;&gt;"OR+EX",--(DATOS!$G8908=CONFIG_METADATA!$B$4),IF(DATOS!$G8908="EX",1,IF(DATOS!$G8908="OR",--(COUNTIFS(nNIA,DATOS!$A8908,nCURSO,DATOS!$D8908,nESPEC,DATOS!$E8908,nASIG,DATOS!$I8908,nEVAL,"EX")=0),0))))</f>
      </c>
      <c r="H8908">
        <f>IF(DATOS!$G8908&lt;&gt;"EX",0,--(COUNTIFS(nNIA,DATOS!$A8908,nCURSO,DATOS!$D8908,nESPEC,DATOS!$E8908,nASIG,DATOS!$I8908,nEVAL,"OR")=0))</f>
      </c>
      <c r="I8908">
        <f>IF(DATOS!$I8908="","",IFERROR(VLOOKUP(DATOS!$I8908,CONFIG_ASIGNATURAS!$B$2:$J$91,9,FALSE()),""))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IF(DATOS!$A8909="",0,IF(CONFIG_METADATA!$B$4&lt;&gt;"OR+EX",--(DATOS!$G8909=CONFIG_METADATA!$B$4),IF(DATOS!$G8909="EX",1,IF(DATOS!$G8909="OR",--(COUNTIFS(nNIA,DATOS!$A8909,nCURSO,DATOS!$D8909,nESPEC,DATOS!$E8909,nASIG,DATOS!$I8909,nEVAL,"EX")=0),0))))</f>
      </c>
      <c r="H8909">
        <f>IF(DATOS!$G8909&lt;&gt;"EX",0,--(COUNTIFS(nNIA,DATOS!$A8909,nCURSO,DATOS!$D8909,nESPEC,DATOS!$E8909,nASIG,DATOS!$I8909,nEVAL,"OR")=0))</f>
      </c>
      <c r="I8909">
        <f>IF(DATOS!$I8909="","",IFERROR(VLOOKUP(DATOS!$I8909,CONFIG_ASIGNATURAS!$B$2:$J$91,9,FALSE()),""))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IF(DATOS!$A8910="",0,IF(CONFIG_METADATA!$B$4&lt;&gt;"OR+EX",--(DATOS!$G8910=CONFIG_METADATA!$B$4),IF(DATOS!$G8910="EX",1,IF(DATOS!$G8910="OR",--(COUNTIFS(nNIA,DATOS!$A8910,nCURSO,DATOS!$D8910,nESPEC,DATOS!$E8910,nASIG,DATOS!$I8910,nEVAL,"EX")=0),0))))</f>
      </c>
      <c r="H8910">
        <f>IF(DATOS!$G8910&lt;&gt;"EX",0,--(COUNTIFS(nNIA,DATOS!$A8910,nCURSO,DATOS!$D8910,nESPEC,DATOS!$E8910,nASIG,DATOS!$I8910,nEVAL,"OR")=0))</f>
      </c>
      <c r="I8910">
        <f>IF(DATOS!$I8910="","",IFERROR(VLOOKUP(DATOS!$I8910,CONFIG_ASIGNATURAS!$B$2:$J$91,9,FALSE()),""))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IF(DATOS!$A8911="",0,IF(CONFIG_METADATA!$B$4&lt;&gt;"OR+EX",--(DATOS!$G8911=CONFIG_METADATA!$B$4),IF(DATOS!$G8911="EX",1,IF(DATOS!$G8911="OR",--(COUNTIFS(nNIA,DATOS!$A8911,nCURSO,DATOS!$D8911,nESPEC,DATOS!$E8911,nASIG,DATOS!$I8911,nEVAL,"EX")=0),0))))</f>
      </c>
      <c r="H8911">
        <f>IF(DATOS!$G8911&lt;&gt;"EX",0,--(COUNTIFS(nNIA,DATOS!$A8911,nCURSO,DATOS!$D8911,nESPEC,DATOS!$E8911,nASIG,DATOS!$I8911,nEVAL,"OR")=0))</f>
      </c>
      <c r="I8911">
        <f>IF(DATOS!$I8911="","",IFERROR(VLOOKUP(DATOS!$I8911,CONFIG_ASIGNATURAS!$B$2:$J$91,9,FALSE()),""))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IF(DATOS!$A8912="",0,IF(CONFIG_METADATA!$B$4&lt;&gt;"OR+EX",--(DATOS!$G8912=CONFIG_METADATA!$B$4),IF(DATOS!$G8912="EX",1,IF(DATOS!$G8912="OR",--(COUNTIFS(nNIA,DATOS!$A8912,nCURSO,DATOS!$D8912,nESPEC,DATOS!$E8912,nASIG,DATOS!$I8912,nEVAL,"EX")=0),0))))</f>
      </c>
      <c r="H8912">
        <f>IF(DATOS!$G8912&lt;&gt;"EX",0,--(COUNTIFS(nNIA,DATOS!$A8912,nCURSO,DATOS!$D8912,nESPEC,DATOS!$E8912,nASIG,DATOS!$I8912,nEVAL,"OR")=0))</f>
      </c>
      <c r="I8912">
        <f>IF(DATOS!$I8912="","",IFERROR(VLOOKUP(DATOS!$I8912,CONFIG_ASIGNATURAS!$B$2:$J$91,9,FALSE()),""))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IF(DATOS!$A8913="",0,IF(CONFIG_METADATA!$B$4&lt;&gt;"OR+EX",--(DATOS!$G8913=CONFIG_METADATA!$B$4),IF(DATOS!$G8913="EX",1,IF(DATOS!$G8913="OR",--(COUNTIFS(nNIA,DATOS!$A8913,nCURSO,DATOS!$D8913,nESPEC,DATOS!$E8913,nASIG,DATOS!$I8913,nEVAL,"EX")=0),0))))</f>
      </c>
      <c r="H8913">
        <f>IF(DATOS!$G8913&lt;&gt;"EX",0,--(COUNTIFS(nNIA,DATOS!$A8913,nCURSO,DATOS!$D8913,nESPEC,DATOS!$E8913,nASIG,DATOS!$I8913,nEVAL,"OR")=0))</f>
      </c>
      <c r="I8913">
        <f>IF(DATOS!$I8913="","",IFERROR(VLOOKUP(DATOS!$I8913,CONFIG_ASIGNATURAS!$B$2:$J$91,9,FALSE()),""))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IF(DATOS!$A8914="",0,IF(CONFIG_METADATA!$B$4&lt;&gt;"OR+EX",--(DATOS!$G8914=CONFIG_METADATA!$B$4),IF(DATOS!$G8914="EX",1,IF(DATOS!$G8914="OR",--(COUNTIFS(nNIA,DATOS!$A8914,nCURSO,DATOS!$D8914,nESPEC,DATOS!$E8914,nASIG,DATOS!$I8914,nEVAL,"EX")=0),0))))</f>
      </c>
      <c r="H8914">
        <f>IF(DATOS!$G8914&lt;&gt;"EX",0,--(COUNTIFS(nNIA,DATOS!$A8914,nCURSO,DATOS!$D8914,nESPEC,DATOS!$E8914,nASIG,DATOS!$I8914,nEVAL,"OR")=0))</f>
      </c>
      <c r="I8914">
        <f>IF(DATOS!$I8914="","",IFERROR(VLOOKUP(DATOS!$I8914,CONFIG_ASIGNATURAS!$B$2:$J$91,9,FALSE()),""))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IF(DATOS!$A8915="",0,IF(CONFIG_METADATA!$B$4&lt;&gt;"OR+EX",--(DATOS!$G8915=CONFIG_METADATA!$B$4),IF(DATOS!$G8915="EX",1,IF(DATOS!$G8915="OR",--(COUNTIFS(nNIA,DATOS!$A8915,nCURSO,DATOS!$D8915,nESPEC,DATOS!$E8915,nASIG,DATOS!$I8915,nEVAL,"EX")=0),0))))</f>
      </c>
      <c r="H8915">
        <f>IF(DATOS!$G8915&lt;&gt;"EX",0,--(COUNTIFS(nNIA,DATOS!$A8915,nCURSO,DATOS!$D8915,nESPEC,DATOS!$E8915,nASIG,DATOS!$I8915,nEVAL,"OR")=0))</f>
      </c>
      <c r="I8915">
        <f>IF(DATOS!$I8915="","",IFERROR(VLOOKUP(DATOS!$I8915,CONFIG_ASIGNATURAS!$B$2:$J$91,9,FALSE()),""))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IF(DATOS!$A8916="",0,IF(CONFIG_METADATA!$B$4&lt;&gt;"OR+EX",--(DATOS!$G8916=CONFIG_METADATA!$B$4),IF(DATOS!$G8916="EX",1,IF(DATOS!$G8916="OR",--(COUNTIFS(nNIA,DATOS!$A8916,nCURSO,DATOS!$D8916,nESPEC,DATOS!$E8916,nASIG,DATOS!$I8916,nEVAL,"EX")=0),0))))</f>
      </c>
      <c r="H8916">
        <f>IF(DATOS!$G8916&lt;&gt;"EX",0,--(COUNTIFS(nNIA,DATOS!$A8916,nCURSO,DATOS!$D8916,nESPEC,DATOS!$E8916,nASIG,DATOS!$I8916,nEVAL,"OR")=0))</f>
      </c>
      <c r="I8916">
        <f>IF(DATOS!$I8916="","",IFERROR(VLOOKUP(DATOS!$I8916,CONFIG_ASIGNATURAS!$B$2:$J$91,9,FALSE()),""))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IF(DATOS!$A8917="",0,IF(CONFIG_METADATA!$B$4&lt;&gt;"OR+EX",--(DATOS!$G8917=CONFIG_METADATA!$B$4),IF(DATOS!$G8917="EX",1,IF(DATOS!$G8917="OR",--(COUNTIFS(nNIA,DATOS!$A8917,nCURSO,DATOS!$D8917,nESPEC,DATOS!$E8917,nASIG,DATOS!$I8917,nEVAL,"EX")=0),0))))</f>
      </c>
      <c r="H8917">
        <f>IF(DATOS!$G8917&lt;&gt;"EX",0,--(COUNTIFS(nNIA,DATOS!$A8917,nCURSO,DATOS!$D8917,nESPEC,DATOS!$E8917,nASIG,DATOS!$I8917,nEVAL,"OR")=0))</f>
      </c>
      <c r="I8917">
        <f>IF(DATOS!$I8917="","",IFERROR(VLOOKUP(DATOS!$I8917,CONFIG_ASIGNATURAS!$B$2:$J$91,9,FALSE()),""))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IF(DATOS!$A8918="",0,IF(CONFIG_METADATA!$B$4&lt;&gt;"OR+EX",--(DATOS!$G8918=CONFIG_METADATA!$B$4),IF(DATOS!$G8918="EX",1,IF(DATOS!$G8918="OR",--(COUNTIFS(nNIA,DATOS!$A8918,nCURSO,DATOS!$D8918,nESPEC,DATOS!$E8918,nASIG,DATOS!$I8918,nEVAL,"EX")=0),0))))</f>
      </c>
      <c r="H8918">
        <f>IF(DATOS!$G8918&lt;&gt;"EX",0,--(COUNTIFS(nNIA,DATOS!$A8918,nCURSO,DATOS!$D8918,nESPEC,DATOS!$E8918,nASIG,DATOS!$I8918,nEVAL,"OR")=0))</f>
      </c>
      <c r="I8918">
        <f>IF(DATOS!$I8918="","",IFERROR(VLOOKUP(DATOS!$I8918,CONFIG_ASIGNATURAS!$B$2:$J$91,9,FALSE()),""))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IF(DATOS!$A8919="",0,IF(CONFIG_METADATA!$B$4&lt;&gt;"OR+EX",--(DATOS!$G8919=CONFIG_METADATA!$B$4),IF(DATOS!$G8919="EX",1,IF(DATOS!$G8919="OR",--(COUNTIFS(nNIA,DATOS!$A8919,nCURSO,DATOS!$D8919,nESPEC,DATOS!$E8919,nASIG,DATOS!$I8919,nEVAL,"EX")=0),0))))</f>
      </c>
      <c r="H8919">
        <f>IF(DATOS!$G8919&lt;&gt;"EX",0,--(COUNTIFS(nNIA,DATOS!$A8919,nCURSO,DATOS!$D8919,nESPEC,DATOS!$E8919,nASIG,DATOS!$I8919,nEVAL,"OR")=0))</f>
      </c>
      <c r="I8919">
        <f>IF(DATOS!$I8919="","",IFERROR(VLOOKUP(DATOS!$I8919,CONFIG_ASIGNATURAS!$B$2:$J$91,9,FALSE()),""))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IF(DATOS!$A8920="",0,IF(CONFIG_METADATA!$B$4&lt;&gt;"OR+EX",--(DATOS!$G8920=CONFIG_METADATA!$B$4),IF(DATOS!$G8920="EX",1,IF(DATOS!$G8920="OR",--(COUNTIFS(nNIA,DATOS!$A8920,nCURSO,DATOS!$D8920,nESPEC,DATOS!$E8920,nASIG,DATOS!$I8920,nEVAL,"EX")=0),0))))</f>
      </c>
      <c r="H8920">
        <f>IF(DATOS!$G8920&lt;&gt;"EX",0,--(COUNTIFS(nNIA,DATOS!$A8920,nCURSO,DATOS!$D8920,nESPEC,DATOS!$E8920,nASIG,DATOS!$I8920,nEVAL,"OR")=0))</f>
      </c>
      <c r="I8920">
        <f>IF(DATOS!$I8920="","",IFERROR(VLOOKUP(DATOS!$I8920,CONFIG_ASIGNATURAS!$B$2:$J$91,9,FALSE()),""))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IF(DATOS!$A8921="",0,IF(CONFIG_METADATA!$B$4&lt;&gt;"OR+EX",--(DATOS!$G8921=CONFIG_METADATA!$B$4),IF(DATOS!$G8921="EX",1,IF(DATOS!$G8921="OR",--(COUNTIFS(nNIA,DATOS!$A8921,nCURSO,DATOS!$D8921,nESPEC,DATOS!$E8921,nASIG,DATOS!$I8921,nEVAL,"EX")=0),0))))</f>
      </c>
      <c r="H8921">
        <f>IF(DATOS!$G8921&lt;&gt;"EX",0,--(COUNTIFS(nNIA,DATOS!$A8921,nCURSO,DATOS!$D8921,nESPEC,DATOS!$E8921,nASIG,DATOS!$I8921,nEVAL,"OR")=0))</f>
      </c>
      <c r="I8921">
        <f>IF(DATOS!$I8921="","",IFERROR(VLOOKUP(DATOS!$I8921,CONFIG_ASIGNATURAS!$B$2:$J$91,9,FALSE()),""))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IF(DATOS!$A8922="",0,IF(CONFIG_METADATA!$B$4&lt;&gt;"OR+EX",--(DATOS!$G8922=CONFIG_METADATA!$B$4),IF(DATOS!$G8922="EX",1,IF(DATOS!$G8922="OR",--(COUNTIFS(nNIA,DATOS!$A8922,nCURSO,DATOS!$D8922,nESPEC,DATOS!$E8922,nASIG,DATOS!$I8922,nEVAL,"EX")=0),0))))</f>
      </c>
      <c r="H8922">
        <f>IF(DATOS!$G8922&lt;&gt;"EX",0,--(COUNTIFS(nNIA,DATOS!$A8922,nCURSO,DATOS!$D8922,nESPEC,DATOS!$E8922,nASIG,DATOS!$I8922,nEVAL,"OR")=0))</f>
      </c>
      <c r="I8922">
        <f>IF(DATOS!$I8922="","",IFERROR(VLOOKUP(DATOS!$I8922,CONFIG_ASIGNATURAS!$B$2:$J$91,9,FALSE()),""))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IF(DATOS!$A8923="",0,IF(CONFIG_METADATA!$B$4&lt;&gt;"OR+EX",--(DATOS!$G8923=CONFIG_METADATA!$B$4),IF(DATOS!$G8923="EX",1,IF(DATOS!$G8923="OR",--(COUNTIFS(nNIA,DATOS!$A8923,nCURSO,DATOS!$D8923,nESPEC,DATOS!$E8923,nASIG,DATOS!$I8923,nEVAL,"EX")=0),0))))</f>
      </c>
      <c r="H8923">
        <f>IF(DATOS!$G8923&lt;&gt;"EX",0,--(COUNTIFS(nNIA,DATOS!$A8923,nCURSO,DATOS!$D8923,nESPEC,DATOS!$E8923,nASIG,DATOS!$I8923,nEVAL,"OR")=0))</f>
      </c>
      <c r="I8923">
        <f>IF(DATOS!$I8923="","",IFERROR(VLOOKUP(DATOS!$I8923,CONFIG_ASIGNATURAS!$B$2:$J$91,9,FALSE()),""))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IF(DATOS!$A8924="",0,IF(CONFIG_METADATA!$B$4&lt;&gt;"OR+EX",--(DATOS!$G8924=CONFIG_METADATA!$B$4),IF(DATOS!$G8924="EX",1,IF(DATOS!$G8924="OR",--(COUNTIFS(nNIA,DATOS!$A8924,nCURSO,DATOS!$D8924,nESPEC,DATOS!$E8924,nASIG,DATOS!$I8924,nEVAL,"EX")=0),0))))</f>
      </c>
      <c r="H8924">
        <f>IF(DATOS!$G8924&lt;&gt;"EX",0,--(COUNTIFS(nNIA,DATOS!$A8924,nCURSO,DATOS!$D8924,nESPEC,DATOS!$E8924,nASIG,DATOS!$I8924,nEVAL,"OR")=0))</f>
      </c>
      <c r="I8924">
        <f>IF(DATOS!$I8924="","",IFERROR(VLOOKUP(DATOS!$I8924,CONFIG_ASIGNATURAS!$B$2:$J$91,9,FALSE()),""))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IF(DATOS!$A8925="",0,IF(CONFIG_METADATA!$B$4&lt;&gt;"OR+EX",--(DATOS!$G8925=CONFIG_METADATA!$B$4),IF(DATOS!$G8925="EX",1,IF(DATOS!$G8925="OR",--(COUNTIFS(nNIA,DATOS!$A8925,nCURSO,DATOS!$D8925,nESPEC,DATOS!$E8925,nASIG,DATOS!$I8925,nEVAL,"EX")=0),0))))</f>
      </c>
      <c r="H8925">
        <f>IF(DATOS!$G8925&lt;&gt;"EX",0,--(COUNTIFS(nNIA,DATOS!$A8925,nCURSO,DATOS!$D8925,nESPEC,DATOS!$E8925,nASIG,DATOS!$I8925,nEVAL,"OR")=0))</f>
      </c>
      <c r="I8925">
        <f>IF(DATOS!$I8925="","",IFERROR(VLOOKUP(DATOS!$I8925,CONFIG_ASIGNATURAS!$B$2:$J$91,9,FALSE()),""))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IF(DATOS!$A8926="",0,IF(CONFIG_METADATA!$B$4&lt;&gt;"OR+EX",--(DATOS!$G8926=CONFIG_METADATA!$B$4),IF(DATOS!$G8926="EX",1,IF(DATOS!$G8926="OR",--(COUNTIFS(nNIA,DATOS!$A8926,nCURSO,DATOS!$D8926,nESPEC,DATOS!$E8926,nASIG,DATOS!$I8926,nEVAL,"EX")=0),0))))</f>
      </c>
      <c r="H8926">
        <f>IF(DATOS!$G8926&lt;&gt;"EX",0,--(COUNTIFS(nNIA,DATOS!$A8926,nCURSO,DATOS!$D8926,nESPEC,DATOS!$E8926,nASIG,DATOS!$I8926,nEVAL,"OR")=0))</f>
      </c>
      <c r="I8926">
        <f>IF(DATOS!$I8926="","",IFERROR(VLOOKUP(DATOS!$I8926,CONFIG_ASIGNATURAS!$B$2:$J$91,9,FALSE()),""))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IF(DATOS!$A8927="",0,IF(CONFIG_METADATA!$B$4&lt;&gt;"OR+EX",--(DATOS!$G8927=CONFIG_METADATA!$B$4),IF(DATOS!$G8927="EX",1,IF(DATOS!$G8927="OR",--(COUNTIFS(nNIA,DATOS!$A8927,nCURSO,DATOS!$D8927,nESPEC,DATOS!$E8927,nASIG,DATOS!$I8927,nEVAL,"EX")=0),0))))</f>
      </c>
      <c r="H8927">
        <f>IF(DATOS!$G8927&lt;&gt;"EX",0,--(COUNTIFS(nNIA,DATOS!$A8927,nCURSO,DATOS!$D8927,nESPEC,DATOS!$E8927,nASIG,DATOS!$I8927,nEVAL,"OR")=0))</f>
      </c>
      <c r="I8927">
        <f>IF(DATOS!$I8927="","",IFERROR(VLOOKUP(DATOS!$I8927,CONFIG_ASIGNATURAS!$B$2:$J$91,9,FALSE()),""))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IF(DATOS!$A8928="",0,IF(CONFIG_METADATA!$B$4&lt;&gt;"OR+EX",--(DATOS!$G8928=CONFIG_METADATA!$B$4),IF(DATOS!$G8928="EX",1,IF(DATOS!$G8928="OR",--(COUNTIFS(nNIA,DATOS!$A8928,nCURSO,DATOS!$D8928,nESPEC,DATOS!$E8928,nASIG,DATOS!$I8928,nEVAL,"EX")=0),0))))</f>
      </c>
      <c r="H8928">
        <f>IF(DATOS!$G8928&lt;&gt;"EX",0,--(COUNTIFS(nNIA,DATOS!$A8928,nCURSO,DATOS!$D8928,nESPEC,DATOS!$E8928,nASIG,DATOS!$I8928,nEVAL,"OR")=0))</f>
      </c>
      <c r="I8928">
        <f>IF(DATOS!$I8928="","",IFERROR(VLOOKUP(DATOS!$I8928,CONFIG_ASIGNATURAS!$B$2:$J$91,9,FALSE()),""))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IF(DATOS!$A8929="",0,IF(CONFIG_METADATA!$B$4&lt;&gt;"OR+EX",--(DATOS!$G8929=CONFIG_METADATA!$B$4),IF(DATOS!$G8929="EX",1,IF(DATOS!$G8929="OR",--(COUNTIFS(nNIA,DATOS!$A8929,nCURSO,DATOS!$D8929,nESPEC,DATOS!$E8929,nASIG,DATOS!$I8929,nEVAL,"EX")=0),0))))</f>
      </c>
      <c r="H8929">
        <f>IF(DATOS!$G8929&lt;&gt;"EX",0,--(COUNTIFS(nNIA,DATOS!$A8929,nCURSO,DATOS!$D8929,nESPEC,DATOS!$E8929,nASIG,DATOS!$I8929,nEVAL,"OR")=0))</f>
      </c>
      <c r="I8929">
        <f>IF(DATOS!$I8929="","",IFERROR(VLOOKUP(DATOS!$I8929,CONFIG_ASIGNATURAS!$B$2:$J$91,9,FALSE()),""))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IF(DATOS!$A8930="",0,IF(CONFIG_METADATA!$B$4&lt;&gt;"OR+EX",--(DATOS!$G8930=CONFIG_METADATA!$B$4),IF(DATOS!$G8930="EX",1,IF(DATOS!$G8930="OR",--(COUNTIFS(nNIA,DATOS!$A8930,nCURSO,DATOS!$D8930,nESPEC,DATOS!$E8930,nASIG,DATOS!$I8930,nEVAL,"EX")=0),0))))</f>
      </c>
      <c r="H8930">
        <f>IF(DATOS!$G8930&lt;&gt;"EX",0,--(COUNTIFS(nNIA,DATOS!$A8930,nCURSO,DATOS!$D8930,nESPEC,DATOS!$E8930,nASIG,DATOS!$I8930,nEVAL,"OR")=0))</f>
      </c>
      <c r="I8930">
        <f>IF(DATOS!$I8930="","",IFERROR(VLOOKUP(DATOS!$I8930,CONFIG_ASIGNATURAS!$B$2:$J$91,9,FALSE()),""))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IF(DATOS!$A8931="",0,IF(CONFIG_METADATA!$B$4&lt;&gt;"OR+EX",--(DATOS!$G8931=CONFIG_METADATA!$B$4),IF(DATOS!$G8931="EX",1,IF(DATOS!$G8931="OR",--(COUNTIFS(nNIA,DATOS!$A8931,nCURSO,DATOS!$D8931,nESPEC,DATOS!$E8931,nASIG,DATOS!$I8931,nEVAL,"EX")=0),0))))</f>
      </c>
      <c r="H8931">
        <f>IF(DATOS!$G8931&lt;&gt;"EX",0,--(COUNTIFS(nNIA,DATOS!$A8931,nCURSO,DATOS!$D8931,nESPEC,DATOS!$E8931,nASIG,DATOS!$I8931,nEVAL,"OR")=0))</f>
      </c>
      <c r="I8931">
        <f>IF(DATOS!$I8931="","",IFERROR(VLOOKUP(DATOS!$I8931,CONFIG_ASIGNATURAS!$B$2:$J$91,9,FALSE()),""))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IF(DATOS!$A8932="",0,IF(CONFIG_METADATA!$B$4&lt;&gt;"OR+EX",--(DATOS!$G8932=CONFIG_METADATA!$B$4),IF(DATOS!$G8932="EX",1,IF(DATOS!$G8932="OR",--(COUNTIFS(nNIA,DATOS!$A8932,nCURSO,DATOS!$D8932,nESPEC,DATOS!$E8932,nASIG,DATOS!$I8932,nEVAL,"EX")=0),0))))</f>
      </c>
      <c r="H8932">
        <f>IF(DATOS!$G8932&lt;&gt;"EX",0,--(COUNTIFS(nNIA,DATOS!$A8932,nCURSO,DATOS!$D8932,nESPEC,DATOS!$E8932,nASIG,DATOS!$I8932,nEVAL,"OR")=0))</f>
      </c>
      <c r="I8932">
        <f>IF(DATOS!$I8932="","",IFERROR(VLOOKUP(DATOS!$I8932,CONFIG_ASIGNATURAS!$B$2:$J$91,9,FALSE()),""))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IF(DATOS!$A8933="",0,IF(CONFIG_METADATA!$B$4&lt;&gt;"OR+EX",--(DATOS!$G8933=CONFIG_METADATA!$B$4),IF(DATOS!$G8933="EX",1,IF(DATOS!$G8933="OR",--(COUNTIFS(nNIA,DATOS!$A8933,nCURSO,DATOS!$D8933,nESPEC,DATOS!$E8933,nASIG,DATOS!$I8933,nEVAL,"EX")=0),0))))</f>
      </c>
      <c r="H8933">
        <f>IF(DATOS!$G8933&lt;&gt;"EX",0,--(COUNTIFS(nNIA,DATOS!$A8933,nCURSO,DATOS!$D8933,nESPEC,DATOS!$E8933,nASIG,DATOS!$I8933,nEVAL,"OR")=0))</f>
      </c>
      <c r="I8933">
        <f>IF(DATOS!$I8933="","",IFERROR(VLOOKUP(DATOS!$I8933,CONFIG_ASIGNATURAS!$B$2:$J$91,9,FALSE()),""))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IF(DATOS!$A8934="",0,IF(CONFIG_METADATA!$B$4&lt;&gt;"OR+EX",--(DATOS!$G8934=CONFIG_METADATA!$B$4),IF(DATOS!$G8934="EX",1,IF(DATOS!$G8934="OR",--(COUNTIFS(nNIA,DATOS!$A8934,nCURSO,DATOS!$D8934,nESPEC,DATOS!$E8934,nASIG,DATOS!$I8934,nEVAL,"EX")=0),0))))</f>
      </c>
      <c r="H8934">
        <f>IF(DATOS!$G8934&lt;&gt;"EX",0,--(COUNTIFS(nNIA,DATOS!$A8934,nCURSO,DATOS!$D8934,nESPEC,DATOS!$E8934,nASIG,DATOS!$I8934,nEVAL,"OR")=0))</f>
      </c>
      <c r="I8934">
        <f>IF(DATOS!$I8934="","",IFERROR(VLOOKUP(DATOS!$I8934,CONFIG_ASIGNATURAS!$B$2:$J$91,9,FALSE()),""))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IF(DATOS!$A8935="",0,IF(CONFIG_METADATA!$B$4&lt;&gt;"OR+EX",--(DATOS!$G8935=CONFIG_METADATA!$B$4),IF(DATOS!$G8935="EX",1,IF(DATOS!$G8935="OR",--(COUNTIFS(nNIA,DATOS!$A8935,nCURSO,DATOS!$D8935,nESPEC,DATOS!$E8935,nASIG,DATOS!$I8935,nEVAL,"EX")=0),0))))</f>
      </c>
      <c r="H8935">
        <f>IF(DATOS!$G8935&lt;&gt;"EX",0,--(COUNTIFS(nNIA,DATOS!$A8935,nCURSO,DATOS!$D8935,nESPEC,DATOS!$E8935,nASIG,DATOS!$I8935,nEVAL,"OR")=0))</f>
      </c>
      <c r="I8935">
        <f>IF(DATOS!$I8935="","",IFERROR(VLOOKUP(DATOS!$I8935,CONFIG_ASIGNATURAS!$B$2:$J$91,9,FALSE()),""))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IF(DATOS!$A8936="",0,IF(CONFIG_METADATA!$B$4&lt;&gt;"OR+EX",--(DATOS!$G8936=CONFIG_METADATA!$B$4),IF(DATOS!$G8936="EX",1,IF(DATOS!$G8936="OR",--(COUNTIFS(nNIA,DATOS!$A8936,nCURSO,DATOS!$D8936,nESPEC,DATOS!$E8936,nASIG,DATOS!$I8936,nEVAL,"EX")=0),0))))</f>
      </c>
      <c r="H8936">
        <f>IF(DATOS!$G8936&lt;&gt;"EX",0,--(COUNTIFS(nNIA,DATOS!$A8936,nCURSO,DATOS!$D8936,nESPEC,DATOS!$E8936,nASIG,DATOS!$I8936,nEVAL,"OR")=0))</f>
      </c>
      <c r="I8936">
        <f>IF(DATOS!$I8936="","",IFERROR(VLOOKUP(DATOS!$I8936,CONFIG_ASIGNATURAS!$B$2:$J$91,9,FALSE()),""))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IF(DATOS!$A8937="",0,IF(CONFIG_METADATA!$B$4&lt;&gt;"OR+EX",--(DATOS!$G8937=CONFIG_METADATA!$B$4),IF(DATOS!$G8937="EX",1,IF(DATOS!$G8937="OR",--(COUNTIFS(nNIA,DATOS!$A8937,nCURSO,DATOS!$D8937,nESPEC,DATOS!$E8937,nASIG,DATOS!$I8937,nEVAL,"EX")=0),0))))</f>
      </c>
      <c r="H8937">
        <f>IF(DATOS!$G8937&lt;&gt;"EX",0,--(COUNTIFS(nNIA,DATOS!$A8937,nCURSO,DATOS!$D8937,nESPEC,DATOS!$E8937,nASIG,DATOS!$I8937,nEVAL,"OR")=0))</f>
      </c>
      <c r="I8937">
        <f>IF(DATOS!$I8937="","",IFERROR(VLOOKUP(DATOS!$I8937,CONFIG_ASIGNATURAS!$B$2:$J$91,9,FALSE()),""))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IF(DATOS!$A8938="",0,IF(CONFIG_METADATA!$B$4&lt;&gt;"OR+EX",--(DATOS!$G8938=CONFIG_METADATA!$B$4),IF(DATOS!$G8938="EX",1,IF(DATOS!$G8938="OR",--(COUNTIFS(nNIA,DATOS!$A8938,nCURSO,DATOS!$D8938,nESPEC,DATOS!$E8938,nASIG,DATOS!$I8938,nEVAL,"EX")=0),0))))</f>
      </c>
      <c r="H8938">
        <f>IF(DATOS!$G8938&lt;&gt;"EX",0,--(COUNTIFS(nNIA,DATOS!$A8938,nCURSO,DATOS!$D8938,nESPEC,DATOS!$E8938,nASIG,DATOS!$I8938,nEVAL,"OR")=0))</f>
      </c>
      <c r="I8938">
        <f>IF(DATOS!$I8938="","",IFERROR(VLOOKUP(DATOS!$I8938,CONFIG_ASIGNATURAS!$B$2:$J$91,9,FALSE()),""))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IF(DATOS!$A8939="",0,IF(CONFIG_METADATA!$B$4&lt;&gt;"OR+EX",--(DATOS!$G8939=CONFIG_METADATA!$B$4),IF(DATOS!$G8939="EX",1,IF(DATOS!$G8939="OR",--(COUNTIFS(nNIA,DATOS!$A8939,nCURSO,DATOS!$D8939,nESPEC,DATOS!$E8939,nASIG,DATOS!$I8939,nEVAL,"EX")=0),0))))</f>
      </c>
      <c r="H8939">
        <f>IF(DATOS!$G8939&lt;&gt;"EX",0,--(COUNTIFS(nNIA,DATOS!$A8939,nCURSO,DATOS!$D8939,nESPEC,DATOS!$E8939,nASIG,DATOS!$I8939,nEVAL,"OR")=0))</f>
      </c>
      <c r="I8939">
        <f>IF(DATOS!$I8939="","",IFERROR(VLOOKUP(DATOS!$I8939,CONFIG_ASIGNATURAS!$B$2:$J$91,9,FALSE()),""))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IF(DATOS!$A8940="",0,IF(CONFIG_METADATA!$B$4&lt;&gt;"OR+EX",--(DATOS!$G8940=CONFIG_METADATA!$B$4),IF(DATOS!$G8940="EX",1,IF(DATOS!$G8940="OR",--(COUNTIFS(nNIA,DATOS!$A8940,nCURSO,DATOS!$D8940,nESPEC,DATOS!$E8940,nASIG,DATOS!$I8940,nEVAL,"EX")=0),0))))</f>
      </c>
      <c r="H8940">
        <f>IF(DATOS!$G8940&lt;&gt;"EX",0,--(COUNTIFS(nNIA,DATOS!$A8940,nCURSO,DATOS!$D8940,nESPEC,DATOS!$E8940,nASIG,DATOS!$I8940,nEVAL,"OR")=0))</f>
      </c>
      <c r="I8940">
        <f>IF(DATOS!$I8940="","",IFERROR(VLOOKUP(DATOS!$I8940,CONFIG_ASIGNATURAS!$B$2:$J$91,9,FALSE()),""))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IF(DATOS!$A8941="",0,IF(CONFIG_METADATA!$B$4&lt;&gt;"OR+EX",--(DATOS!$G8941=CONFIG_METADATA!$B$4),IF(DATOS!$G8941="EX",1,IF(DATOS!$G8941="OR",--(COUNTIFS(nNIA,DATOS!$A8941,nCURSO,DATOS!$D8941,nESPEC,DATOS!$E8941,nASIG,DATOS!$I8941,nEVAL,"EX")=0),0))))</f>
      </c>
      <c r="H8941">
        <f>IF(DATOS!$G8941&lt;&gt;"EX",0,--(COUNTIFS(nNIA,DATOS!$A8941,nCURSO,DATOS!$D8941,nESPEC,DATOS!$E8941,nASIG,DATOS!$I8941,nEVAL,"OR")=0))</f>
      </c>
      <c r="I8941">
        <f>IF(DATOS!$I8941="","",IFERROR(VLOOKUP(DATOS!$I8941,CONFIG_ASIGNATURAS!$B$2:$J$91,9,FALSE()),""))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IF(DATOS!$A8942="",0,IF(CONFIG_METADATA!$B$4&lt;&gt;"OR+EX",--(DATOS!$G8942=CONFIG_METADATA!$B$4),IF(DATOS!$G8942="EX",1,IF(DATOS!$G8942="OR",--(COUNTIFS(nNIA,DATOS!$A8942,nCURSO,DATOS!$D8942,nESPEC,DATOS!$E8942,nASIG,DATOS!$I8942,nEVAL,"EX")=0),0))))</f>
      </c>
      <c r="H8942">
        <f>IF(DATOS!$G8942&lt;&gt;"EX",0,--(COUNTIFS(nNIA,DATOS!$A8942,nCURSO,DATOS!$D8942,nESPEC,DATOS!$E8942,nASIG,DATOS!$I8942,nEVAL,"OR")=0))</f>
      </c>
      <c r="I8942">
        <f>IF(DATOS!$I8942="","",IFERROR(VLOOKUP(DATOS!$I8942,CONFIG_ASIGNATURAS!$B$2:$J$91,9,FALSE()),""))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IF(DATOS!$A8943="",0,IF(CONFIG_METADATA!$B$4&lt;&gt;"OR+EX",--(DATOS!$G8943=CONFIG_METADATA!$B$4),IF(DATOS!$G8943="EX",1,IF(DATOS!$G8943="OR",--(COUNTIFS(nNIA,DATOS!$A8943,nCURSO,DATOS!$D8943,nESPEC,DATOS!$E8943,nASIG,DATOS!$I8943,nEVAL,"EX")=0),0))))</f>
      </c>
      <c r="H8943">
        <f>IF(DATOS!$G8943&lt;&gt;"EX",0,--(COUNTIFS(nNIA,DATOS!$A8943,nCURSO,DATOS!$D8943,nESPEC,DATOS!$E8943,nASIG,DATOS!$I8943,nEVAL,"OR")=0))</f>
      </c>
      <c r="I8943">
        <f>IF(DATOS!$I8943="","",IFERROR(VLOOKUP(DATOS!$I8943,CONFIG_ASIGNATURAS!$B$2:$J$91,9,FALSE()),""))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IF(DATOS!$A8944="",0,IF(CONFIG_METADATA!$B$4&lt;&gt;"OR+EX",--(DATOS!$G8944=CONFIG_METADATA!$B$4),IF(DATOS!$G8944="EX",1,IF(DATOS!$G8944="OR",--(COUNTIFS(nNIA,DATOS!$A8944,nCURSO,DATOS!$D8944,nESPEC,DATOS!$E8944,nASIG,DATOS!$I8944,nEVAL,"EX")=0),0))))</f>
      </c>
      <c r="H8944">
        <f>IF(DATOS!$G8944&lt;&gt;"EX",0,--(COUNTIFS(nNIA,DATOS!$A8944,nCURSO,DATOS!$D8944,nESPEC,DATOS!$E8944,nASIG,DATOS!$I8944,nEVAL,"OR")=0))</f>
      </c>
      <c r="I8944">
        <f>IF(DATOS!$I8944="","",IFERROR(VLOOKUP(DATOS!$I8944,CONFIG_ASIGNATURAS!$B$2:$J$91,9,FALSE()),""))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IF(DATOS!$A8945="",0,IF(CONFIG_METADATA!$B$4&lt;&gt;"OR+EX",--(DATOS!$G8945=CONFIG_METADATA!$B$4),IF(DATOS!$G8945="EX",1,IF(DATOS!$G8945="OR",--(COUNTIFS(nNIA,DATOS!$A8945,nCURSO,DATOS!$D8945,nESPEC,DATOS!$E8945,nASIG,DATOS!$I8945,nEVAL,"EX")=0),0))))</f>
      </c>
      <c r="H8945">
        <f>IF(DATOS!$G8945&lt;&gt;"EX",0,--(COUNTIFS(nNIA,DATOS!$A8945,nCURSO,DATOS!$D8945,nESPEC,DATOS!$E8945,nASIG,DATOS!$I8945,nEVAL,"OR")=0))</f>
      </c>
      <c r="I8945">
        <f>IF(DATOS!$I8945="","",IFERROR(VLOOKUP(DATOS!$I8945,CONFIG_ASIGNATURAS!$B$2:$J$91,9,FALSE()),""))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IF(DATOS!$A8946="",0,IF(CONFIG_METADATA!$B$4&lt;&gt;"OR+EX",--(DATOS!$G8946=CONFIG_METADATA!$B$4),IF(DATOS!$G8946="EX",1,IF(DATOS!$G8946="OR",--(COUNTIFS(nNIA,DATOS!$A8946,nCURSO,DATOS!$D8946,nESPEC,DATOS!$E8946,nASIG,DATOS!$I8946,nEVAL,"EX")=0),0))))</f>
      </c>
      <c r="H8946">
        <f>IF(DATOS!$G8946&lt;&gt;"EX",0,--(COUNTIFS(nNIA,DATOS!$A8946,nCURSO,DATOS!$D8946,nESPEC,DATOS!$E8946,nASIG,DATOS!$I8946,nEVAL,"OR")=0))</f>
      </c>
      <c r="I8946">
        <f>IF(DATOS!$I8946="","",IFERROR(VLOOKUP(DATOS!$I8946,CONFIG_ASIGNATURAS!$B$2:$J$91,9,FALSE()),""))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IF(DATOS!$A8947="",0,IF(CONFIG_METADATA!$B$4&lt;&gt;"OR+EX",--(DATOS!$G8947=CONFIG_METADATA!$B$4),IF(DATOS!$G8947="EX",1,IF(DATOS!$G8947="OR",--(COUNTIFS(nNIA,DATOS!$A8947,nCURSO,DATOS!$D8947,nESPEC,DATOS!$E8947,nASIG,DATOS!$I8947,nEVAL,"EX")=0),0))))</f>
      </c>
      <c r="H8947">
        <f>IF(DATOS!$G8947&lt;&gt;"EX",0,--(COUNTIFS(nNIA,DATOS!$A8947,nCURSO,DATOS!$D8947,nESPEC,DATOS!$E8947,nASIG,DATOS!$I8947,nEVAL,"OR")=0))</f>
      </c>
      <c r="I8947">
        <f>IF(DATOS!$I8947="","",IFERROR(VLOOKUP(DATOS!$I8947,CONFIG_ASIGNATURAS!$B$2:$J$91,9,FALSE()),""))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IF(DATOS!$A8948="",0,IF(CONFIG_METADATA!$B$4&lt;&gt;"OR+EX",--(DATOS!$G8948=CONFIG_METADATA!$B$4),IF(DATOS!$G8948="EX",1,IF(DATOS!$G8948="OR",--(COUNTIFS(nNIA,DATOS!$A8948,nCURSO,DATOS!$D8948,nESPEC,DATOS!$E8948,nASIG,DATOS!$I8948,nEVAL,"EX")=0),0))))</f>
      </c>
      <c r="H8948">
        <f>IF(DATOS!$G8948&lt;&gt;"EX",0,--(COUNTIFS(nNIA,DATOS!$A8948,nCURSO,DATOS!$D8948,nESPEC,DATOS!$E8948,nASIG,DATOS!$I8948,nEVAL,"OR")=0))</f>
      </c>
      <c r="I8948">
        <f>IF(DATOS!$I8948="","",IFERROR(VLOOKUP(DATOS!$I8948,CONFIG_ASIGNATURAS!$B$2:$J$91,9,FALSE()),""))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IF(DATOS!$A8949="",0,IF(CONFIG_METADATA!$B$4&lt;&gt;"OR+EX",--(DATOS!$G8949=CONFIG_METADATA!$B$4),IF(DATOS!$G8949="EX",1,IF(DATOS!$G8949="OR",--(COUNTIFS(nNIA,DATOS!$A8949,nCURSO,DATOS!$D8949,nESPEC,DATOS!$E8949,nASIG,DATOS!$I8949,nEVAL,"EX")=0),0))))</f>
      </c>
      <c r="H8949">
        <f>IF(DATOS!$G8949&lt;&gt;"EX",0,--(COUNTIFS(nNIA,DATOS!$A8949,nCURSO,DATOS!$D8949,nESPEC,DATOS!$E8949,nASIG,DATOS!$I8949,nEVAL,"OR")=0))</f>
      </c>
      <c r="I8949">
        <f>IF(DATOS!$I8949="","",IFERROR(VLOOKUP(DATOS!$I8949,CONFIG_ASIGNATURAS!$B$2:$J$91,9,FALSE()),""))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IF(DATOS!$A8950="",0,IF(CONFIG_METADATA!$B$4&lt;&gt;"OR+EX",--(DATOS!$G8950=CONFIG_METADATA!$B$4),IF(DATOS!$G8950="EX",1,IF(DATOS!$G8950="OR",--(COUNTIFS(nNIA,DATOS!$A8950,nCURSO,DATOS!$D8950,nESPEC,DATOS!$E8950,nASIG,DATOS!$I8950,nEVAL,"EX")=0),0))))</f>
      </c>
      <c r="H8950">
        <f>IF(DATOS!$G8950&lt;&gt;"EX",0,--(COUNTIFS(nNIA,DATOS!$A8950,nCURSO,DATOS!$D8950,nESPEC,DATOS!$E8950,nASIG,DATOS!$I8950,nEVAL,"OR")=0))</f>
      </c>
      <c r="I8950">
        <f>IF(DATOS!$I8950="","",IFERROR(VLOOKUP(DATOS!$I8950,CONFIG_ASIGNATURAS!$B$2:$J$91,9,FALSE()),""))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IF(DATOS!$A8951="",0,IF(CONFIG_METADATA!$B$4&lt;&gt;"OR+EX",--(DATOS!$G8951=CONFIG_METADATA!$B$4),IF(DATOS!$G8951="EX",1,IF(DATOS!$G8951="OR",--(COUNTIFS(nNIA,DATOS!$A8951,nCURSO,DATOS!$D8951,nESPEC,DATOS!$E8951,nASIG,DATOS!$I8951,nEVAL,"EX")=0),0))))</f>
      </c>
      <c r="H8951">
        <f>IF(DATOS!$G8951&lt;&gt;"EX",0,--(COUNTIFS(nNIA,DATOS!$A8951,nCURSO,DATOS!$D8951,nESPEC,DATOS!$E8951,nASIG,DATOS!$I8951,nEVAL,"OR")=0))</f>
      </c>
      <c r="I8951">
        <f>IF(DATOS!$I8951="","",IFERROR(VLOOKUP(DATOS!$I8951,CONFIG_ASIGNATURAS!$B$2:$J$91,9,FALSE()),""))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IF(DATOS!$A8952="",0,IF(CONFIG_METADATA!$B$4&lt;&gt;"OR+EX",--(DATOS!$G8952=CONFIG_METADATA!$B$4),IF(DATOS!$G8952="EX",1,IF(DATOS!$G8952="OR",--(COUNTIFS(nNIA,DATOS!$A8952,nCURSO,DATOS!$D8952,nESPEC,DATOS!$E8952,nASIG,DATOS!$I8952,nEVAL,"EX")=0),0))))</f>
      </c>
      <c r="H8952">
        <f>IF(DATOS!$G8952&lt;&gt;"EX",0,--(COUNTIFS(nNIA,DATOS!$A8952,nCURSO,DATOS!$D8952,nESPEC,DATOS!$E8952,nASIG,DATOS!$I8952,nEVAL,"OR")=0))</f>
      </c>
      <c r="I8952">
        <f>IF(DATOS!$I8952="","",IFERROR(VLOOKUP(DATOS!$I8952,CONFIG_ASIGNATURAS!$B$2:$J$91,9,FALSE()),""))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IF(DATOS!$A8953="",0,IF(CONFIG_METADATA!$B$4&lt;&gt;"OR+EX",--(DATOS!$G8953=CONFIG_METADATA!$B$4),IF(DATOS!$G8953="EX",1,IF(DATOS!$G8953="OR",--(COUNTIFS(nNIA,DATOS!$A8953,nCURSO,DATOS!$D8953,nESPEC,DATOS!$E8953,nASIG,DATOS!$I8953,nEVAL,"EX")=0),0))))</f>
      </c>
      <c r="H8953">
        <f>IF(DATOS!$G8953&lt;&gt;"EX",0,--(COUNTIFS(nNIA,DATOS!$A8953,nCURSO,DATOS!$D8953,nESPEC,DATOS!$E8953,nASIG,DATOS!$I8953,nEVAL,"OR")=0))</f>
      </c>
      <c r="I8953">
        <f>IF(DATOS!$I8953="","",IFERROR(VLOOKUP(DATOS!$I8953,CONFIG_ASIGNATURAS!$B$2:$J$91,9,FALSE()),""))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IF(DATOS!$A8954="",0,IF(CONFIG_METADATA!$B$4&lt;&gt;"OR+EX",--(DATOS!$G8954=CONFIG_METADATA!$B$4),IF(DATOS!$G8954="EX",1,IF(DATOS!$G8954="OR",--(COUNTIFS(nNIA,DATOS!$A8954,nCURSO,DATOS!$D8954,nESPEC,DATOS!$E8954,nASIG,DATOS!$I8954,nEVAL,"EX")=0),0))))</f>
      </c>
      <c r="H8954">
        <f>IF(DATOS!$G8954&lt;&gt;"EX",0,--(COUNTIFS(nNIA,DATOS!$A8954,nCURSO,DATOS!$D8954,nESPEC,DATOS!$E8954,nASIG,DATOS!$I8954,nEVAL,"OR")=0))</f>
      </c>
      <c r="I8954">
        <f>IF(DATOS!$I8954="","",IFERROR(VLOOKUP(DATOS!$I8954,CONFIG_ASIGNATURAS!$B$2:$J$91,9,FALSE()),""))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IF(DATOS!$A8955="",0,IF(CONFIG_METADATA!$B$4&lt;&gt;"OR+EX",--(DATOS!$G8955=CONFIG_METADATA!$B$4),IF(DATOS!$G8955="EX",1,IF(DATOS!$G8955="OR",--(COUNTIFS(nNIA,DATOS!$A8955,nCURSO,DATOS!$D8955,nESPEC,DATOS!$E8955,nASIG,DATOS!$I8955,nEVAL,"EX")=0),0))))</f>
      </c>
      <c r="H8955">
        <f>IF(DATOS!$G8955&lt;&gt;"EX",0,--(COUNTIFS(nNIA,DATOS!$A8955,nCURSO,DATOS!$D8955,nESPEC,DATOS!$E8955,nASIG,DATOS!$I8955,nEVAL,"OR")=0))</f>
      </c>
      <c r="I8955">
        <f>IF(DATOS!$I8955="","",IFERROR(VLOOKUP(DATOS!$I8955,CONFIG_ASIGNATURAS!$B$2:$J$91,9,FALSE()),""))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IF(DATOS!$A8956="",0,IF(CONFIG_METADATA!$B$4&lt;&gt;"OR+EX",--(DATOS!$G8956=CONFIG_METADATA!$B$4),IF(DATOS!$G8956="EX",1,IF(DATOS!$G8956="OR",--(COUNTIFS(nNIA,DATOS!$A8956,nCURSO,DATOS!$D8956,nESPEC,DATOS!$E8956,nASIG,DATOS!$I8956,nEVAL,"EX")=0),0))))</f>
      </c>
      <c r="H8956">
        <f>IF(DATOS!$G8956&lt;&gt;"EX",0,--(COUNTIFS(nNIA,DATOS!$A8956,nCURSO,DATOS!$D8956,nESPEC,DATOS!$E8956,nASIG,DATOS!$I8956,nEVAL,"OR")=0))</f>
      </c>
      <c r="I8956">
        <f>IF(DATOS!$I8956="","",IFERROR(VLOOKUP(DATOS!$I8956,CONFIG_ASIGNATURAS!$B$2:$J$91,9,FALSE()),""))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IF(DATOS!$A8957="",0,IF(CONFIG_METADATA!$B$4&lt;&gt;"OR+EX",--(DATOS!$G8957=CONFIG_METADATA!$B$4),IF(DATOS!$G8957="EX",1,IF(DATOS!$G8957="OR",--(COUNTIFS(nNIA,DATOS!$A8957,nCURSO,DATOS!$D8957,nESPEC,DATOS!$E8957,nASIG,DATOS!$I8957,nEVAL,"EX")=0),0))))</f>
      </c>
      <c r="H8957">
        <f>IF(DATOS!$G8957&lt;&gt;"EX",0,--(COUNTIFS(nNIA,DATOS!$A8957,nCURSO,DATOS!$D8957,nESPEC,DATOS!$E8957,nASIG,DATOS!$I8957,nEVAL,"OR")=0))</f>
      </c>
      <c r="I8957">
        <f>IF(DATOS!$I8957="","",IFERROR(VLOOKUP(DATOS!$I8957,CONFIG_ASIGNATURAS!$B$2:$J$91,9,FALSE()),""))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IF(DATOS!$A8958="",0,IF(CONFIG_METADATA!$B$4&lt;&gt;"OR+EX",--(DATOS!$G8958=CONFIG_METADATA!$B$4),IF(DATOS!$G8958="EX",1,IF(DATOS!$G8958="OR",--(COUNTIFS(nNIA,DATOS!$A8958,nCURSO,DATOS!$D8958,nESPEC,DATOS!$E8958,nASIG,DATOS!$I8958,nEVAL,"EX")=0),0))))</f>
      </c>
      <c r="H8958">
        <f>IF(DATOS!$G8958&lt;&gt;"EX",0,--(COUNTIFS(nNIA,DATOS!$A8958,nCURSO,DATOS!$D8958,nESPEC,DATOS!$E8958,nASIG,DATOS!$I8958,nEVAL,"OR")=0))</f>
      </c>
      <c r="I8958">
        <f>IF(DATOS!$I8958="","",IFERROR(VLOOKUP(DATOS!$I8958,CONFIG_ASIGNATURAS!$B$2:$J$91,9,FALSE()),""))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IF(DATOS!$A8959="",0,IF(CONFIG_METADATA!$B$4&lt;&gt;"OR+EX",--(DATOS!$G8959=CONFIG_METADATA!$B$4),IF(DATOS!$G8959="EX",1,IF(DATOS!$G8959="OR",--(COUNTIFS(nNIA,DATOS!$A8959,nCURSO,DATOS!$D8959,nESPEC,DATOS!$E8959,nASIG,DATOS!$I8959,nEVAL,"EX")=0),0))))</f>
      </c>
      <c r="H8959">
        <f>IF(DATOS!$G8959&lt;&gt;"EX",0,--(COUNTIFS(nNIA,DATOS!$A8959,nCURSO,DATOS!$D8959,nESPEC,DATOS!$E8959,nASIG,DATOS!$I8959,nEVAL,"OR")=0))</f>
      </c>
      <c r="I8959">
        <f>IF(DATOS!$I8959="","",IFERROR(VLOOKUP(DATOS!$I8959,CONFIG_ASIGNATURAS!$B$2:$J$91,9,FALSE()),""))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IF(DATOS!$A8960="",0,IF(CONFIG_METADATA!$B$4&lt;&gt;"OR+EX",--(DATOS!$G8960=CONFIG_METADATA!$B$4),IF(DATOS!$G8960="EX",1,IF(DATOS!$G8960="OR",--(COUNTIFS(nNIA,DATOS!$A8960,nCURSO,DATOS!$D8960,nESPEC,DATOS!$E8960,nASIG,DATOS!$I8960,nEVAL,"EX")=0),0))))</f>
      </c>
      <c r="H8960">
        <f>IF(DATOS!$G8960&lt;&gt;"EX",0,--(COUNTIFS(nNIA,DATOS!$A8960,nCURSO,DATOS!$D8960,nESPEC,DATOS!$E8960,nASIG,DATOS!$I8960,nEVAL,"OR")=0))</f>
      </c>
      <c r="I8960">
        <f>IF(DATOS!$I8960="","",IFERROR(VLOOKUP(DATOS!$I8960,CONFIG_ASIGNATURAS!$B$2:$J$91,9,FALSE()),""))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IF(DATOS!$A8961="",0,IF(CONFIG_METADATA!$B$4&lt;&gt;"OR+EX",--(DATOS!$G8961=CONFIG_METADATA!$B$4),IF(DATOS!$G8961="EX",1,IF(DATOS!$G8961="OR",--(COUNTIFS(nNIA,DATOS!$A8961,nCURSO,DATOS!$D8961,nESPEC,DATOS!$E8961,nASIG,DATOS!$I8961,nEVAL,"EX")=0),0))))</f>
      </c>
      <c r="H8961">
        <f>IF(DATOS!$G8961&lt;&gt;"EX",0,--(COUNTIFS(nNIA,DATOS!$A8961,nCURSO,DATOS!$D8961,nESPEC,DATOS!$E8961,nASIG,DATOS!$I8961,nEVAL,"OR")=0))</f>
      </c>
      <c r="I8961">
        <f>IF(DATOS!$I8961="","",IFERROR(VLOOKUP(DATOS!$I8961,CONFIG_ASIGNATURAS!$B$2:$J$91,9,FALSE()),""))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IF(DATOS!$A8962="",0,IF(CONFIG_METADATA!$B$4&lt;&gt;"OR+EX",--(DATOS!$G8962=CONFIG_METADATA!$B$4),IF(DATOS!$G8962="EX",1,IF(DATOS!$G8962="OR",--(COUNTIFS(nNIA,DATOS!$A8962,nCURSO,DATOS!$D8962,nESPEC,DATOS!$E8962,nASIG,DATOS!$I8962,nEVAL,"EX")=0),0))))</f>
      </c>
      <c r="H8962">
        <f>IF(DATOS!$G8962&lt;&gt;"EX",0,--(COUNTIFS(nNIA,DATOS!$A8962,nCURSO,DATOS!$D8962,nESPEC,DATOS!$E8962,nASIG,DATOS!$I8962,nEVAL,"OR")=0))</f>
      </c>
      <c r="I8962">
        <f>IF(DATOS!$I8962="","",IFERROR(VLOOKUP(DATOS!$I8962,CONFIG_ASIGNATURAS!$B$2:$J$91,9,FALSE()),""))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IF(DATOS!$A8963="",0,IF(CONFIG_METADATA!$B$4&lt;&gt;"OR+EX",--(DATOS!$G8963=CONFIG_METADATA!$B$4),IF(DATOS!$G8963="EX",1,IF(DATOS!$G8963="OR",--(COUNTIFS(nNIA,DATOS!$A8963,nCURSO,DATOS!$D8963,nESPEC,DATOS!$E8963,nASIG,DATOS!$I8963,nEVAL,"EX")=0),0))))</f>
      </c>
      <c r="H8963">
        <f>IF(DATOS!$G8963&lt;&gt;"EX",0,--(COUNTIFS(nNIA,DATOS!$A8963,nCURSO,DATOS!$D8963,nESPEC,DATOS!$E8963,nASIG,DATOS!$I8963,nEVAL,"OR")=0))</f>
      </c>
      <c r="I8963">
        <f>IF(DATOS!$I8963="","",IFERROR(VLOOKUP(DATOS!$I8963,CONFIG_ASIGNATURAS!$B$2:$J$91,9,FALSE()),""))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IF(DATOS!$A8964="",0,IF(CONFIG_METADATA!$B$4&lt;&gt;"OR+EX",--(DATOS!$G8964=CONFIG_METADATA!$B$4),IF(DATOS!$G8964="EX",1,IF(DATOS!$G8964="OR",--(COUNTIFS(nNIA,DATOS!$A8964,nCURSO,DATOS!$D8964,nESPEC,DATOS!$E8964,nASIG,DATOS!$I8964,nEVAL,"EX")=0),0))))</f>
      </c>
      <c r="H8964">
        <f>IF(DATOS!$G8964&lt;&gt;"EX",0,--(COUNTIFS(nNIA,DATOS!$A8964,nCURSO,DATOS!$D8964,nESPEC,DATOS!$E8964,nASIG,DATOS!$I8964,nEVAL,"OR")=0))</f>
      </c>
      <c r="I8964">
        <f>IF(DATOS!$I8964="","",IFERROR(VLOOKUP(DATOS!$I8964,CONFIG_ASIGNATURAS!$B$2:$J$91,9,FALSE()),""))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IF(DATOS!$A8965="",0,IF(CONFIG_METADATA!$B$4&lt;&gt;"OR+EX",--(DATOS!$G8965=CONFIG_METADATA!$B$4),IF(DATOS!$G8965="EX",1,IF(DATOS!$G8965="OR",--(COUNTIFS(nNIA,DATOS!$A8965,nCURSO,DATOS!$D8965,nESPEC,DATOS!$E8965,nASIG,DATOS!$I8965,nEVAL,"EX")=0),0))))</f>
      </c>
      <c r="H8965">
        <f>IF(DATOS!$G8965&lt;&gt;"EX",0,--(COUNTIFS(nNIA,DATOS!$A8965,nCURSO,DATOS!$D8965,nESPEC,DATOS!$E8965,nASIG,DATOS!$I8965,nEVAL,"OR")=0))</f>
      </c>
      <c r="I8965">
        <f>IF(DATOS!$I8965="","",IFERROR(VLOOKUP(DATOS!$I8965,CONFIG_ASIGNATURAS!$B$2:$J$91,9,FALSE()),""))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IF(DATOS!$A8966="",0,IF(CONFIG_METADATA!$B$4&lt;&gt;"OR+EX",--(DATOS!$G8966=CONFIG_METADATA!$B$4),IF(DATOS!$G8966="EX",1,IF(DATOS!$G8966="OR",--(COUNTIFS(nNIA,DATOS!$A8966,nCURSO,DATOS!$D8966,nESPEC,DATOS!$E8966,nASIG,DATOS!$I8966,nEVAL,"EX")=0),0))))</f>
      </c>
      <c r="H8966">
        <f>IF(DATOS!$G8966&lt;&gt;"EX",0,--(COUNTIFS(nNIA,DATOS!$A8966,nCURSO,DATOS!$D8966,nESPEC,DATOS!$E8966,nASIG,DATOS!$I8966,nEVAL,"OR")=0))</f>
      </c>
      <c r="I8966">
        <f>IF(DATOS!$I8966="","",IFERROR(VLOOKUP(DATOS!$I8966,CONFIG_ASIGNATURAS!$B$2:$J$91,9,FALSE()),""))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IF(DATOS!$A8967="",0,IF(CONFIG_METADATA!$B$4&lt;&gt;"OR+EX",--(DATOS!$G8967=CONFIG_METADATA!$B$4),IF(DATOS!$G8967="EX",1,IF(DATOS!$G8967="OR",--(COUNTIFS(nNIA,DATOS!$A8967,nCURSO,DATOS!$D8967,nESPEC,DATOS!$E8967,nASIG,DATOS!$I8967,nEVAL,"EX")=0),0))))</f>
      </c>
      <c r="H8967">
        <f>IF(DATOS!$G8967&lt;&gt;"EX",0,--(COUNTIFS(nNIA,DATOS!$A8967,nCURSO,DATOS!$D8967,nESPEC,DATOS!$E8967,nASIG,DATOS!$I8967,nEVAL,"OR")=0))</f>
      </c>
      <c r="I8967">
        <f>IF(DATOS!$I8967="","",IFERROR(VLOOKUP(DATOS!$I8967,CONFIG_ASIGNATURAS!$B$2:$J$91,9,FALSE()),""))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IF(DATOS!$A8968="",0,IF(CONFIG_METADATA!$B$4&lt;&gt;"OR+EX",--(DATOS!$G8968=CONFIG_METADATA!$B$4),IF(DATOS!$G8968="EX",1,IF(DATOS!$G8968="OR",--(COUNTIFS(nNIA,DATOS!$A8968,nCURSO,DATOS!$D8968,nESPEC,DATOS!$E8968,nASIG,DATOS!$I8968,nEVAL,"EX")=0),0))))</f>
      </c>
      <c r="H8968">
        <f>IF(DATOS!$G8968&lt;&gt;"EX",0,--(COUNTIFS(nNIA,DATOS!$A8968,nCURSO,DATOS!$D8968,nESPEC,DATOS!$E8968,nASIG,DATOS!$I8968,nEVAL,"OR")=0))</f>
      </c>
      <c r="I8968">
        <f>IF(DATOS!$I8968="","",IFERROR(VLOOKUP(DATOS!$I8968,CONFIG_ASIGNATURAS!$B$2:$J$91,9,FALSE()),""))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IF(DATOS!$A8969="",0,IF(CONFIG_METADATA!$B$4&lt;&gt;"OR+EX",--(DATOS!$G8969=CONFIG_METADATA!$B$4),IF(DATOS!$G8969="EX",1,IF(DATOS!$G8969="OR",--(COUNTIFS(nNIA,DATOS!$A8969,nCURSO,DATOS!$D8969,nESPEC,DATOS!$E8969,nASIG,DATOS!$I8969,nEVAL,"EX")=0),0))))</f>
      </c>
      <c r="H8969">
        <f>IF(DATOS!$G8969&lt;&gt;"EX",0,--(COUNTIFS(nNIA,DATOS!$A8969,nCURSO,DATOS!$D8969,nESPEC,DATOS!$E8969,nASIG,DATOS!$I8969,nEVAL,"OR")=0))</f>
      </c>
      <c r="I8969">
        <f>IF(DATOS!$I8969="","",IFERROR(VLOOKUP(DATOS!$I8969,CONFIG_ASIGNATURAS!$B$2:$J$91,9,FALSE()),""))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IF(DATOS!$A8970="",0,IF(CONFIG_METADATA!$B$4&lt;&gt;"OR+EX",--(DATOS!$G8970=CONFIG_METADATA!$B$4),IF(DATOS!$G8970="EX",1,IF(DATOS!$G8970="OR",--(COUNTIFS(nNIA,DATOS!$A8970,nCURSO,DATOS!$D8970,nESPEC,DATOS!$E8970,nASIG,DATOS!$I8970,nEVAL,"EX")=0),0))))</f>
      </c>
      <c r="H8970">
        <f>IF(DATOS!$G8970&lt;&gt;"EX",0,--(COUNTIFS(nNIA,DATOS!$A8970,nCURSO,DATOS!$D8970,nESPEC,DATOS!$E8970,nASIG,DATOS!$I8970,nEVAL,"OR")=0))</f>
      </c>
      <c r="I8970">
        <f>IF(DATOS!$I8970="","",IFERROR(VLOOKUP(DATOS!$I8970,CONFIG_ASIGNATURAS!$B$2:$J$91,9,FALSE()),""))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IF(DATOS!$A8971="",0,IF(CONFIG_METADATA!$B$4&lt;&gt;"OR+EX",--(DATOS!$G8971=CONFIG_METADATA!$B$4),IF(DATOS!$G8971="EX",1,IF(DATOS!$G8971="OR",--(COUNTIFS(nNIA,DATOS!$A8971,nCURSO,DATOS!$D8971,nESPEC,DATOS!$E8971,nASIG,DATOS!$I8971,nEVAL,"EX")=0),0))))</f>
      </c>
      <c r="H8971">
        <f>IF(DATOS!$G8971&lt;&gt;"EX",0,--(COUNTIFS(nNIA,DATOS!$A8971,nCURSO,DATOS!$D8971,nESPEC,DATOS!$E8971,nASIG,DATOS!$I8971,nEVAL,"OR")=0))</f>
      </c>
      <c r="I8971">
        <f>IF(DATOS!$I8971="","",IFERROR(VLOOKUP(DATOS!$I8971,CONFIG_ASIGNATURAS!$B$2:$J$91,9,FALSE()),""))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IF(DATOS!$A8972="",0,IF(CONFIG_METADATA!$B$4&lt;&gt;"OR+EX",--(DATOS!$G8972=CONFIG_METADATA!$B$4),IF(DATOS!$G8972="EX",1,IF(DATOS!$G8972="OR",--(COUNTIFS(nNIA,DATOS!$A8972,nCURSO,DATOS!$D8972,nESPEC,DATOS!$E8972,nASIG,DATOS!$I8972,nEVAL,"EX")=0),0))))</f>
      </c>
      <c r="H8972">
        <f>IF(DATOS!$G8972&lt;&gt;"EX",0,--(COUNTIFS(nNIA,DATOS!$A8972,nCURSO,DATOS!$D8972,nESPEC,DATOS!$E8972,nASIG,DATOS!$I8972,nEVAL,"OR")=0))</f>
      </c>
      <c r="I8972">
        <f>IF(DATOS!$I8972="","",IFERROR(VLOOKUP(DATOS!$I8972,CONFIG_ASIGNATURAS!$B$2:$J$91,9,FALSE()),""))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IF(DATOS!$A8973="",0,IF(CONFIG_METADATA!$B$4&lt;&gt;"OR+EX",--(DATOS!$G8973=CONFIG_METADATA!$B$4),IF(DATOS!$G8973="EX",1,IF(DATOS!$G8973="OR",--(COUNTIFS(nNIA,DATOS!$A8973,nCURSO,DATOS!$D8973,nESPEC,DATOS!$E8973,nASIG,DATOS!$I8973,nEVAL,"EX")=0),0))))</f>
      </c>
      <c r="H8973">
        <f>IF(DATOS!$G8973&lt;&gt;"EX",0,--(COUNTIFS(nNIA,DATOS!$A8973,nCURSO,DATOS!$D8973,nESPEC,DATOS!$E8973,nASIG,DATOS!$I8973,nEVAL,"OR")=0))</f>
      </c>
      <c r="I8973">
        <f>IF(DATOS!$I8973="","",IFERROR(VLOOKUP(DATOS!$I8973,CONFIG_ASIGNATURAS!$B$2:$J$91,9,FALSE()),""))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IF(DATOS!$A8974="",0,IF(CONFIG_METADATA!$B$4&lt;&gt;"OR+EX",--(DATOS!$G8974=CONFIG_METADATA!$B$4),IF(DATOS!$G8974="EX",1,IF(DATOS!$G8974="OR",--(COUNTIFS(nNIA,DATOS!$A8974,nCURSO,DATOS!$D8974,nESPEC,DATOS!$E8974,nASIG,DATOS!$I8974,nEVAL,"EX")=0),0))))</f>
      </c>
      <c r="H8974">
        <f>IF(DATOS!$G8974&lt;&gt;"EX",0,--(COUNTIFS(nNIA,DATOS!$A8974,nCURSO,DATOS!$D8974,nESPEC,DATOS!$E8974,nASIG,DATOS!$I8974,nEVAL,"OR")=0))</f>
      </c>
      <c r="I8974">
        <f>IF(DATOS!$I8974="","",IFERROR(VLOOKUP(DATOS!$I8974,CONFIG_ASIGNATURAS!$B$2:$J$91,9,FALSE()),""))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IF(DATOS!$A8975="",0,IF(CONFIG_METADATA!$B$4&lt;&gt;"OR+EX",--(DATOS!$G8975=CONFIG_METADATA!$B$4),IF(DATOS!$G8975="EX",1,IF(DATOS!$G8975="OR",--(COUNTIFS(nNIA,DATOS!$A8975,nCURSO,DATOS!$D8975,nESPEC,DATOS!$E8975,nASIG,DATOS!$I8975,nEVAL,"EX")=0),0))))</f>
      </c>
      <c r="H8975">
        <f>IF(DATOS!$G8975&lt;&gt;"EX",0,--(COUNTIFS(nNIA,DATOS!$A8975,nCURSO,DATOS!$D8975,nESPEC,DATOS!$E8975,nASIG,DATOS!$I8975,nEVAL,"OR")=0))</f>
      </c>
      <c r="I8975">
        <f>IF(DATOS!$I8975="","",IFERROR(VLOOKUP(DATOS!$I8975,CONFIG_ASIGNATURAS!$B$2:$J$91,9,FALSE()),""))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IF(DATOS!$A8976="",0,IF(CONFIG_METADATA!$B$4&lt;&gt;"OR+EX",--(DATOS!$G8976=CONFIG_METADATA!$B$4),IF(DATOS!$G8976="EX",1,IF(DATOS!$G8976="OR",--(COUNTIFS(nNIA,DATOS!$A8976,nCURSO,DATOS!$D8976,nESPEC,DATOS!$E8976,nASIG,DATOS!$I8976,nEVAL,"EX")=0),0))))</f>
      </c>
      <c r="H8976">
        <f>IF(DATOS!$G8976&lt;&gt;"EX",0,--(COUNTIFS(nNIA,DATOS!$A8976,nCURSO,DATOS!$D8976,nESPEC,DATOS!$E8976,nASIG,DATOS!$I8976,nEVAL,"OR")=0))</f>
      </c>
      <c r="I8976">
        <f>IF(DATOS!$I8976="","",IFERROR(VLOOKUP(DATOS!$I8976,CONFIG_ASIGNATURAS!$B$2:$J$91,9,FALSE()),""))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IF(DATOS!$A8977="",0,IF(CONFIG_METADATA!$B$4&lt;&gt;"OR+EX",--(DATOS!$G8977=CONFIG_METADATA!$B$4),IF(DATOS!$G8977="EX",1,IF(DATOS!$G8977="OR",--(COUNTIFS(nNIA,DATOS!$A8977,nCURSO,DATOS!$D8977,nESPEC,DATOS!$E8977,nASIG,DATOS!$I8977,nEVAL,"EX")=0),0))))</f>
      </c>
      <c r="H8977">
        <f>IF(DATOS!$G8977&lt;&gt;"EX",0,--(COUNTIFS(nNIA,DATOS!$A8977,nCURSO,DATOS!$D8977,nESPEC,DATOS!$E8977,nASIG,DATOS!$I8977,nEVAL,"OR")=0))</f>
      </c>
      <c r="I8977">
        <f>IF(DATOS!$I8977="","",IFERROR(VLOOKUP(DATOS!$I8977,CONFIG_ASIGNATURAS!$B$2:$J$91,9,FALSE()),""))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IF(DATOS!$A8978="",0,IF(CONFIG_METADATA!$B$4&lt;&gt;"OR+EX",--(DATOS!$G8978=CONFIG_METADATA!$B$4),IF(DATOS!$G8978="EX",1,IF(DATOS!$G8978="OR",--(COUNTIFS(nNIA,DATOS!$A8978,nCURSO,DATOS!$D8978,nESPEC,DATOS!$E8978,nASIG,DATOS!$I8978,nEVAL,"EX")=0),0))))</f>
      </c>
      <c r="H8978">
        <f>IF(DATOS!$G8978&lt;&gt;"EX",0,--(COUNTIFS(nNIA,DATOS!$A8978,nCURSO,DATOS!$D8978,nESPEC,DATOS!$E8978,nASIG,DATOS!$I8978,nEVAL,"OR")=0))</f>
      </c>
      <c r="I8978">
        <f>IF(DATOS!$I8978="","",IFERROR(VLOOKUP(DATOS!$I8978,CONFIG_ASIGNATURAS!$B$2:$J$91,9,FALSE()),""))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IF(DATOS!$A8979="",0,IF(CONFIG_METADATA!$B$4&lt;&gt;"OR+EX",--(DATOS!$G8979=CONFIG_METADATA!$B$4),IF(DATOS!$G8979="EX",1,IF(DATOS!$G8979="OR",--(COUNTIFS(nNIA,DATOS!$A8979,nCURSO,DATOS!$D8979,nESPEC,DATOS!$E8979,nASIG,DATOS!$I8979,nEVAL,"EX")=0),0))))</f>
      </c>
      <c r="H8979">
        <f>IF(DATOS!$G8979&lt;&gt;"EX",0,--(COUNTIFS(nNIA,DATOS!$A8979,nCURSO,DATOS!$D8979,nESPEC,DATOS!$E8979,nASIG,DATOS!$I8979,nEVAL,"OR")=0))</f>
      </c>
      <c r="I8979">
        <f>IF(DATOS!$I8979="","",IFERROR(VLOOKUP(DATOS!$I8979,CONFIG_ASIGNATURAS!$B$2:$J$91,9,FALSE()),""))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IF(DATOS!$A8980="",0,IF(CONFIG_METADATA!$B$4&lt;&gt;"OR+EX",--(DATOS!$G8980=CONFIG_METADATA!$B$4),IF(DATOS!$G8980="EX",1,IF(DATOS!$G8980="OR",--(COUNTIFS(nNIA,DATOS!$A8980,nCURSO,DATOS!$D8980,nESPEC,DATOS!$E8980,nASIG,DATOS!$I8980,nEVAL,"EX")=0),0))))</f>
      </c>
      <c r="H8980">
        <f>IF(DATOS!$G8980&lt;&gt;"EX",0,--(COUNTIFS(nNIA,DATOS!$A8980,nCURSO,DATOS!$D8980,nESPEC,DATOS!$E8980,nASIG,DATOS!$I8980,nEVAL,"OR")=0))</f>
      </c>
      <c r="I8980">
        <f>IF(DATOS!$I8980="","",IFERROR(VLOOKUP(DATOS!$I8980,CONFIG_ASIGNATURAS!$B$2:$J$91,9,FALSE()),""))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IF(DATOS!$A8981="",0,IF(CONFIG_METADATA!$B$4&lt;&gt;"OR+EX",--(DATOS!$G8981=CONFIG_METADATA!$B$4),IF(DATOS!$G8981="EX",1,IF(DATOS!$G8981="OR",--(COUNTIFS(nNIA,DATOS!$A8981,nCURSO,DATOS!$D8981,nESPEC,DATOS!$E8981,nASIG,DATOS!$I8981,nEVAL,"EX")=0),0))))</f>
      </c>
      <c r="H8981">
        <f>IF(DATOS!$G8981&lt;&gt;"EX",0,--(COUNTIFS(nNIA,DATOS!$A8981,nCURSO,DATOS!$D8981,nESPEC,DATOS!$E8981,nASIG,DATOS!$I8981,nEVAL,"OR")=0))</f>
      </c>
      <c r="I8981">
        <f>IF(DATOS!$I8981="","",IFERROR(VLOOKUP(DATOS!$I8981,CONFIG_ASIGNATURAS!$B$2:$J$91,9,FALSE()),""))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IF(DATOS!$A8982="",0,IF(CONFIG_METADATA!$B$4&lt;&gt;"OR+EX",--(DATOS!$G8982=CONFIG_METADATA!$B$4),IF(DATOS!$G8982="EX",1,IF(DATOS!$G8982="OR",--(COUNTIFS(nNIA,DATOS!$A8982,nCURSO,DATOS!$D8982,nESPEC,DATOS!$E8982,nASIG,DATOS!$I8982,nEVAL,"EX")=0),0))))</f>
      </c>
      <c r="H8982">
        <f>IF(DATOS!$G8982&lt;&gt;"EX",0,--(COUNTIFS(nNIA,DATOS!$A8982,nCURSO,DATOS!$D8982,nESPEC,DATOS!$E8982,nASIG,DATOS!$I8982,nEVAL,"OR")=0))</f>
      </c>
      <c r="I8982">
        <f>IF(DATOS!$I8982="","",IFERROR(VLOOKUP(DATOS!$I8982,CONFIG_ASIGNATURAS!$B$2:$J$91,9,FALSE()),""))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IF(DATOS!$A8983="",0,IF(CONFIG_METADATA!$B$4&lt;&gt;"OR+EX",--(DATOS!$G8983=CONFIG_METADATA!$B$4),IF(DATOS!$G8983="EX",1,IF(DATOS!$G8983="OR",--(COUNTIFS(nNIA,DATOS!$A8983,nCURSO,DATOS!$D8983,nESPEC,DATOS!$E8983,nASIG,DATOS!$I8983,nEVAL,"EX")=0),0))))</f>
      </c>
      <c r="H8983">
        <f>IF(DATOS!$G8983&lt;&gt;"EX",0,--(COUNTIFS(nNIA,DATOS!$A8983,nCURSO,DATOS!$D8983,nESPEC,DATOS!$E8983,nASIG,DATOS!$I8983,nEVAL,"OR")=0))</f>
      </c>
      <c r="I8983">
        <f>IF(DATOS!$I8983="","",IFERROR(VLOOKUP(DATOS!$I8983,CONFIG_ASIGNATURAS!$B$2:$J$91,9,FALSE()),""))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IF(DATOS!$A8984="",0,IF(CONFIG_METADATA!$B$4&lt;&gt;"OR+EX",--(DATOS!$G8984=CONFIG_METADATA!$B$4),IF(DATOS!$G8984="EX",1,IF(DATOS!$G8984="OR",--(COUNTIFS(nNIA,DATOS!$A8984,nCURSO,DATOS!$D8984,nESPEC,DATOS!$E8984,nASIG,DATOS!$I8984,nEVAL,"EX")=0),0))))</f>
      </c>
      <c r="H8984">
        <f>IF(DATOS!$G8984&lt;&gt;"EX",0,--(COUNTIFS(nNIA,DATOS!$A8984,nCURSO,DATOS!$D8984,nESPEC,DATOS!$E8984,nASIG,DATOS!$I8984,nEVAL,"OR")=0))</f>
      </c>
      <c r="I8984">
        <f>IF(DATOS!$I8984="","",IFERROR(VLOOKUP(DATOS!$I8984,CONFIG_ASIGNATURAS!$B$2:$J$91,9,FALSE()),""))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IF(DATOS!$A8985="",0,IF(CONFIG_METADATA!$B$4&lt;&gt;"OR+EX",--(DATOS!$G8985=CONFIG_METADATA!$B$4),IF(DATOS!$G8985="EX",1,IF(DATOS!$G8985="OR",--(COUNTIFS(nNIA,DATOS!$A8985,nCURSO,DATOS!$D8985,nESPEC,DATOS!$E8985,nASIG,DATOS!$I8985,nEVAL,"EX")=0),0))))</f>
      </c>
      <c r="H8985">
        <f>IF(DATOS!$G8985&lt;&gt;"EX",0,--(COUNTIFS(nNIA,DATOS!$A8985,nCURSO,DATOS!$D8985,nESPEC,DATOS!$E8985,nASIG,DATOS!$I8985,nEVAL,"OR")=0))</f>
      </c>
      <c r="I8985">
        <f>IF(DATOS!$I8985="","",IFERROR(VLOOKUP(DATOS!$I8985,CONFIG_ASIGNATURAS!$B$2:$J$91,9,FALSE()),""))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IF(DATOS!$A8986="",0,IF(CONFIG_METADATA!$B$4&lt;&gt;"OR+EX",--(DATOS!$G8986=CONFIG_METADATA!$B$4),IF(DATOS!$G8986="EX",1,IF(DATOS!$G8986="OR",--(COUNTIFS(nNIA,DATOS!$A8986,nCURSO,DATOS!$D8986,nESPEC,DATOS!$E8986,nASIG,DATOS!$I8986,nEVAL,"EX")=0),0))))</f>
      </c>
      <c r="H8986">
        <f>IF(DATOS!$G8986&lt;&gt;"EX",0,--(COUNTIFS(nNIA,DATOS!$A8986,nCURSO,DATOS!$D8986,nESPEC,DATOS!$E8986,nASIG,DATOS!$I8986,nEVAL,"OR")=0))</f>
      </c>
      <c r="I8986">
        <f>IF(DATOS!$I8986="","",IFERROR(VLOOKUP(DATOS!$I8986,CONFIG_ASIGNATURAS!$B$2:$J$91,9,FALSE()),""))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IF(DATOS!$A8987="",0,IF(CONFIG_METADATA!$B$4&lt;&gt;"OR+EX",--(DATOS!$G8987=CONFIG_METADATA!$B$4),IF(DATOS!$G8987="EX",1,IF(DATOS!$G8987="OR",--(COUNTIFS(nNIA,DATOS!$A8987,nCURSO,DATOS!$D8987,nESPEC,DATOS!$E8987,nASIG,DATOS!$I8987,nEVAL,"EX")=0),0))))</f>
      </c>
      <c r="H8987">
        <f>IF(DATOS!$G8987&lt;&gt;"EX",0,--(COUNTIFS(nNIA,DATOS!$A8987,nCURSO,DATOS!$D8987,nESPEC,DATOS!$E8987,nASIG,DATOS!$I8987,nEVAL,"OR")=0))</f>
      </c>
      <c r="I8987">
        <f>IF(DATOS!$I8987="","",IFERROR(VLOOKUP(DATOS!$I8987,CONFIG_ASIGNATURAS!$B$2:$J$91,9,FALSE()),""))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IF(DATOS!$A8988="",0,IF(CONFIG_METADATA!$B$4&lt;&gt;"OR+EX",--(DATOS!$G8988=CONFIG_METADATA!$B$4),IF(DATOS!$G8988="EX",1,IF(DATOS!$G8988="OR",--(COUNTIFS(nNIA,DATOS!$A8988,nCURSO,DATOS!$D8988,nESPEC,DATOS!$E8988,nASIG,DATOS!$I8988,nEVAL,"EX")=0),0))))</f>
      </c>
      <c r="H8988">
        <f>IF(DATOS!$G8988&lt;&gt;"EX",0,--(COUNTIFS(nNIA,DATOS!$A8988,nCURSO,DATOS!$D8988,nESPEC,DATOS!$E8988,nASIG,DATOS!$I8988,nEVAL,"OR")=0))</f>
      </c>
      <c r="I8988">
        <f>IF(DATOS!$I8988="","",IFERROR(VLOOKUP(DATOS!$I8988,CONFIG_ASIGNATURAS!$B$2:$J$91,9,FALSE()),""))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IF(DATOS!$A8989="",0,IF(CONFIG_METADATA!$B$4&lt;&gt;"OR+EX",--(DATOS!$G8989=CONFIG_METADATA!$B$4),IF(DATOS!$G8989="EX",1,IF(DATOS!$G8989="OR",--(COUNTIFS(nNIA,DATOS!$A8989,nCURSO,DATOS!$D8989,nESPEC,DATOS!$E8989,nASIG,DATOS!$I8989,nEVAL,"EX")=0),0))))</f>
      </c>
      <c r="H8989">
        <f>IF(DATOS!$G8989&lt;&gt;"EX",0,--(COUNTIFS(nNIA,DATOS!$A8989,nCURSO,DATOS!$D8989,nESPEC,DATOS!$E8989,nASIG,DATOS!$I8989,nEVAL,"OR")=0))</f>
      </c>
      <c r="I8989">
        <f>IF(DATOS!$I8989="","",IFERROR(VLOOKUP(DATOS!$I8989,CONFIG_ASIGNATURAS!$B$2:$J$91,9,FALSE()),""))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IF(DATOS!$A8990="",0,IF(CONFIG_METADATA!$B$4&lt;&gt;"OR+EX",--(DATOS!$G8990=CONFIG_METADATA!$B$4),IF(DATOS!$G8990="EX",1,IF(DATOS!$G8990="OR",--(COUNTIFS(nNIA,DATOS!$A8990,nCURSO,DATOS!$D8990,nESPEC,DATOS!$E8990,nASIG,DATOS!$I8990,nEVAL,"EX")=0),0))))</f>
      </c>
      <c r="H8990">
        <f>IF(DATOS!$G8990&lt;&gt;"EX",0,--(COUNTIFS(nNIA,DATOS!$A8990,nCURSO,DATOS!$D8990,nESPEC,DATOS!$E8990,nASIG,DATOS!$I8990,nEVAL,"OR")=0))</f>
      </c>
      <c r="I8990">
        <f>IF(DATOS!$I8990="","",IFERROR(VLOOKUP(DATOS!$I8990,CONFIG_ASIGNATURAS!$B$2:$J$91,9,FALSE()),""))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IF(DATOS!$A8991="",0,IF(CONFIG_METADATA!$B$4&lt;&gt;"OR+EX",--(DATOS!$G8991=CONFIG_METADATA!$B$4),IF(DATOS!$G8991="EX",1,IF(DATOS!$G8991="OR",--(COUNTIFS(nNIA,DATOS!$A8991,nCURSO,DATOS!$D8991,nESPEC,DATOS!$E8991,nASIG,DATOS!$I8991,nEVAL,"EX")=0),0))))</f>
      </c>
      <c r="H8991">
        <f>IF(DATOS!$G8991&lt;&gt;"EX",0,--(COUNTIFS(nNIA,DATOS!$A8991,nCURSO,DATOS!$D8991,nESPEC,DATOS!$E8991,nASIG,DATOS!$I8991,nEVAL,"OR")=0))</f>
      </c>
      <c r="I8991">
        <f>IF(DATOS!$I8991="","",IFERROR(VLOOKUP(DATOS!$I8991,CONFIG_ASIGNATURAS!$B$2:$J$91,9,FALSE()),""))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IF(DATOS!$A8992="",0,IF(CONFIG_METADATA!$B$4&lt;&gt;"OR+EX",--(DATOS!$G8992=CONFIG_METADATA!$B$4),IF(DATOS!$G8992="EX",1,IF(DATOS!$G8992="OR",--(COUNTIFS(nNIA,DATOS!$A8992,nCURSO,DATOS!$D8992,nESPEC,DATOS!$E8992,nASIG,DATOS!$I8992,nEVAL,"EX")=0),0))))</f>
      </c>
      <c r="H8992">
        <f>IF(DATOS!$G8992&lt;&gt;"EX",0,--(COUNTIFS(nNIA,DATOS!$A8992,nCURSO,DATOS!$D8992,nESPEC,DATOS!$E8992,nASIG,DATOS!$I8992,nEVAL,"OR")=0))</f>
      </c>
      <c r="I8992">
        <f>IF(DATOS!$I8992="","",IFERROR(VLOOKUP(DATOS!$I8992,CONFIG_ASIGNATURAS!$B$2:$J$91,9,FALSE()),""))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IF(DATOS!$A8993="",0,IF(CONFIG_METADATA!$B$4&lt;&gt;"OR+EX",--(DATOS!$G8993=CONFIG_METADATA!$B$4),IF(DATOS!$G8993="EX",1,IF(DATOS!$G8993="OR",--(COUNTIFS(nNIA,DATOS!$A8993,nCURSO,DATOS!$D8993,nESPEC,DATOS!$E8993,nASIG,DATOS!$I8993,nEVAL,"EX")=0),0))))</f>
      </c>
      <c r="H8993">
        <f>IF(DATOS!$G8993&lt;&gt;"EX",0,--(COUNTIFS(nNIA,DATOS!$A8993,nCURSO,DATOS!$D8993,nESPEC,DATOS!$E8993,nASIG,DATOS!$I8993,nEVAL,"OR")=0))</f>
      </c>
      <c r="I8993">
        <f>IF(DATOS!$I8993="","",IFERROR(VLOOKUP(DATOS!$I8993,CONFIG_ASIGNATURAS!$B$2:$J$91,9,FALSE()),""))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IF(DATOS!$A8994="",0,IF(CONFIG_METADATA!$B$4&lt;&gt;"OR+EX",--(DATOS!$G8994=CONFIG_METADATA!$B$4),IF(DATOS!$G8994="EX",1,IF(DATOS!$G8994="OR",--(COUNTIFS(nNIA,DATOS!$A8994,nCURSO,DATOS!$D8994,nESPEC,DATOS!$E8994,nASIG,DATOS!$I8994,nEVAL,"EX")=0),0))))</f>
      </c>
      <c r="H8994">
        <f>IF(DATOS!$G8994&lt;&gt;"EX",0,--(COUNTIFS(nNIA,DATOS!$A8994,nCURSO,DATOS!$D8994,nESPEC,DATOS!$E8994,nASIG,DATOS!$I8994,nEVAL,"OR")=0))</f>
      </c>
      <c r="I8994">
        <f>IF(DATOS!$I8994="","",IFERROR(VLOOKUP(DATOS!$I8994,CONFIG_ASIGNATURAS!$B$2:$J$91,9,FALSE()),""))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IF(DATOS!$A8995="",0,IF(CONFIG_METADATA!$B$4&lt;&gt;"OR+EX",--(DATOS!$G8995=CONFIG_METADATA!$B$4),IF(DATOS!$G8995="EX",1,IF(DATOS!$G8995="OR",--(COUNTIFS(nNIA,DATOS!$A8995,nCURSO,DATOS!$D8995,nESPEC,DATOS!$E8995,nASIG,DATOS!$I8995,nEVAL,"EX")=0),0))))</f>
      </c>
      <c r="H8995">
        <f>IF(DATOS!$G8995&lt;&gt;"EX",0,--(COUNTIFS(nNIA,DATOS!$A8995,nCURSO,DATOS!$D8995,nESPEC,DATOS!$E8995,nASIG,DATOS!$I8995,nEVAL,"OR")=0))</f>
      </c>
      <c r="I8995">
        <f>IF(DATOS!$I8995="","",IFERROR(VLOOKUP(DATOS!$I8995,CONFIG_ASIGNATURAS!$B$2:$J$91,9,FALSE()),""))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IF(DATOS!$A8996="",0,IF(CONFIG_METADATA!$B$4&lt;&gt;"OR+EX",--(DATOS!$G8996=CONFIG_METADATA!$B$4),IF(DATOS!$G8996="EX",1,IF(DATOS!$G8996="OR",--(COUNTIFS(nNIA,DATOS!$A8996,nCURSO,DATOS!$D8996,nESPEC,DATOS!$E8996,nASIG,DATOS!$I8996,nEVAL,"EX")=0),0))))</f>
      </c>
      <c r="H8996">
        <f>IF(DATOS!$G8996&lt;&gt;"EX",0,--(COUNTIFS(nNIA,DATOS!$A8996,nCURSO,DATOS!$D8996,nESPEC,DATOS!$E8996,nASIG,DATOS!$I8996,nEVAL,"OR")=0))</f>
      </c>
      <c r="I8996">
        <f>IF(DATOS!$I8996="","",IFERROR(VLOOKUP(DATOS!$I8996,CONFIG_ASIGNATURAS!$B$2:$J$91,9,FALSE()),""))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IF(DATOS!$A8997="",0,IF(CONFIG_METADATA!$B$4&lt;&gt;"OR+EX",--(DATOS!$G8997=CONFIG_METADATA!$B$4),IF(DATOS!$G8997="EX",1,IF(DATOS!$G8997="OR",--(COUNTIFS(nNIA,DATOS!$A8997,nCURSO,DATOS!$D8997,nESPEC,DATOS!$E8997,nASIG,DATOS!$I8997,nEVAL,"EX")=0),0))))</f>
      </c>
      <c r="H8997">
        <f>IF(DATOS!$G8997&lt;&gt;"EX",0,--(COUNTIFS(nNIA,DATOS!$A8997,nCURSO,DATOS!$D8997,nESPEC,DATOS!$E8997,nASIG,DATOS!$I8997,nEVAL,"OR")=0))</f>
      </c>
      <c r="I8997">
        <f>IF(DATOS!$I8997="","",IFERROR(VLOOKUP(DATOS!$I8997,CONFIG_ASIGNATURAS!$B$2:$J$91,9,FALSE()),""))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IF(DATOS!$A8998="",0,IF(CONFIG_METADATA!$B$4&lt;&gt;"OR+EX",--(DATOS!$G8998=CONFIG_METADATA!$B$4),IF(DATOS!$G8998="EX",1,IF(DATOS!$G8998="OR",--(COUNTIFS(nNIA,DATOS!$A8998,nCURSO,DATOS!$D8998,nESPEC,DATOS!$E8998,nASIG,DATOS!$I8998,nEVAL,"EX")=0),0))))</f>
      </c>
      <c r="H8998">
        <f>IF(DATOS!$G8998&lt;&gt;"EX",0,--(COUNTIFS(nNIA,DATOS!$A8998,nCURSO,DATOS!$D8998,nESPEC,DATOS!$E8998,nASIG,DATOS!$I8998,nEVAL,"OR")=0))</f>
      </c>
      <c r="I8998">
        <f>IF(DATOS!$I8998="","",IFERROR(VLOOKUP(DATOS!$I8998,CONFIG_ASIGNATURAS!$B$2:$J$91,9,FALSE()),""))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IF(DATOS!$A8999="",0,IF(CONFIG_METADATA!$B$4&lt;&gt;"OR+EX",--(DATOS!$G8999=CONFIG_METADATA!$B$4),IF(DATOS!$G8999="EX",1,IF(DATOS!$G8999="OR",--(COUNTIFS(nNIA,DATOS!$A8999,nCURSO,DATOS!$D8999,nESPEC,DATOS!$E8999,nASIG,DATOS!$I8999,nEVAL,"EX")=0),0))))</f>
      </c>
      <c r="H8999">
        <f>IF(DATOS!$G8999&lt;&gt;"EX",0,--(COUNTIFS(nNIA,DATOS!$A8999,nCURSO,DATOS!$D8999,nESPEC,DATOS!$E8999,nASIG,DATOS!$I8999,nEVAL,"OR")=0))</f>
      </c>
      <c r="I8999">
        <f>IF(DATOS!$I8999="","",IFERROR(VLOOKUP(DATOS!$I8999,CONFIG_ASIGNATURAS!$B$2:$J$91,9,FALSE()),""))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IF(DATOS!$A9000="",0,IF(CONFIG_METADATA!$B$4&lt;&gt;"OR+EX",--(DATOS!$G9000=CONFIG_METADATA!$B$4),IF(DATOS!$G9000="EX",1,IF(DATOS!$G9000="OR",--(COUNTIFS(nNIA,DATOS!$A9000,nCURSO,DATOS!$D9000,nESPEC,DATOS!$E9000,nASIG,DATOS!$I9000,nEVAL,"EX")=0),0))))</f>
      </c>
      <c r="H9000">
        <f>IF(DATOS!$G9000&lt;&gt;"EX",0,--(COUNTIFS(nNIA,DATOS!$A9000,nCURSO,DATOS!$D9000,nESPEC,DATOS!$E9000,nASIG,DATOS!$I9000,nEVAL,"OR")=0))</f>
      </c>
      <c r="I9000">
        <f>IF(DATOS!$I9000="","",IFERROR(VLOOKUP(DATOS!$I9000,CONFIG_ASIGNATURAS!$B$2:$J$91,9,FALSE()),""))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IF(DATOS!$A9001="",0,IF(CONFIG_METADATA!$B$4&lt;&gt;"OR+EX",--(DATOS!$G9001=CONFIG_METADATA!$B$4),IF(DATOS!$G9001="EX",1,IF(DATOS!$G9001="OR",--(COUNTIFS(nNIA,DATOS!$A9001,nCURSO,DATOS!$D9001,nESPEC,DATOS!$E9001,nASIG,DATOS!$I9001,nEVAL,"EX")=0),0))))</f>
      </c>
      <c r="H9001">
        <f>IF(DATOS!$G9001&lt;&gt;"EX",0,--(COUNTIFS(nNIA,DATOS!$A9001,nCURSO,DATOS!$D9001,nESPEC,DATOS!$E9001,nASIG,DATOS!$I9001,nEVAL,"OR")=0))</f>
      </c>
      <c r="I9001">
        <f>IF(DATOS!$I9001="","",IFERROR(VLOOKUP(DATOS!$I9001,CONFIG_ASIGNATURAS!$B$2:$J$91,9,FALSE()),""))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IF(DATOS!$A9002="",0,IF(CONFIG_METADATA!$B$4&lt;&gt;"OR+EX",--(DATOS!$G9002=CONFIG_METADATA!$B$4),IF(DATOS!$G9002="EX",1,IF(DATOS!$G9002="OR",--(COUNTIFS(nNIA,DATOS!$A9002,nCURSO,DATOS!$D9002,nESPEC,DATOS!$E9002,nASIG,DATOS!$I9002,nEVAL,"EX")=0),0))))</f>
      </c>
      <c r="H9002">
        <f>IF(DATOS!$G9002&lt;&gt;"EX",0,--(COUNTIFS(nNIA,DATOS!$A9002,nCURSO,DATOS!$D9002,nESPEC,DATOS!$E9002,nASIG,DATOS!$I9002,nEVAL,"OR")=0))</f>
      </c>
      <c r="I9002">
        <f>IF(DATOS!$I9002="","",IFERROR(VLOOKUP(DATOS!$I9002,CONFIG_ASIGNATURAS!$B$2:$J$91,9,FALSE()),""))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IF(DATOS!$A9003="",0,IF(CONFIG_METADATA!$B$4&lt;&gt;"OR+EX",--(DATOS!$G9003=CONFIG_METADATA!$B$4),IF(DATOS!$G9003="EX",1,IF(DATOS!$G9003="OR",--(COUNTIFS(nNIA,DATOS!$A9003,nCURSO,DATOS!$D9003,nESPEC,DATOS!$E9003,nASIG,DATOS!$I9003,nEVAL,"EX")=0),0))))</f>
      </c>
      <c r="H9003">
        <f>IF(DATOS!$G9003&lt;&gt;"EX",0,--(COUNTIFS(nNIA,DATOS!$A9003,nCURSO,DATOS!$D9003,nESPEC,DATOS!$E9003,nASIG,DATOS!$I9003,nEVAL,"OR")=0))</f>
      </c>
      <c r="I9003">
        <f>IF(DATOS!$I9003="","",IFERROR(VLOOKUP(DATOS!$I9003,CONFIG_ASIGNATURAS!$B$2:$J$91,9,FALSE()),""))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IF(DATOS!$A9004="",0,IF(CONFIG_METADATA!$B$4&lt;&gt;"OR+EX",--(DATOS!$G9004=CONFIG_METADATA!$B$4),IF(DATOS!$G9004="EX",1,IF(DATOS!$G9004="OR",--(COUNTIFS(nNIA,DATOS!$A9004,nCURSO,DATOS!$D9004,nESPEC,DATOS!$E9004,nASIG,DATOS!$I9004,nEVAL,"EX")=0),0))))</f>
      </c>
      <c r="H9004">
        <f>IF(DATOS!$G9004&lt;&gt;"EX",0,--(COUNTIFS(nNIA,DATOS!$A9004,nCURSO,DATOS!$D9004,nESPEC,DATOS!$E9004,nASIG,DATOS!$I9004,nEVAL,"OR")=0))</f>
      </c>
      <c r="I9004">
        <f>IF(DATOS!$I9004="","",IFERROR(VLOOKUP(DATOS!$I9004,CONFIG_ASIGNATURAS!$B$2:$J$91,9,FALSE()),""))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IF(DATOS!$A9005="",0,IF(CONFIG_METADATA!$B$4&lt;&gt;"OR+EX",--(DATOS!$G9005=CONFIG_METADATA!$B$4),IF(DATOS!$G9005="EX",1,IF(DATOS!$G9005="OR",--(COUNTIFS(nNIA,DATOS!$A9005,nCURSO,DATOS!$D9005,nESPEC,DATOS!$E9005,nASIG,DATOS!$I9005,nEVAL,"EX")=0),0))))</f>
      </c>
      <c r="H9005">
        <f>IF(DATOS!$G9005&lt;&gt;"EX",0,--(COUNTIFS(nNIA,DATOS!$A9005,nCURSO,DATOS!$D9005,nESPEC,DATOS!$E9005,nASIG,DATOS!$I9005,nEVAL,"OR")=0))</f>
      </c>
      <c r="I9005">
        <f>IF(DATOS!$I9005="","",IFERROR(VLOOKUP(DATOS!$I9005,CONFIG_ASIGNATURAS!$B$2:$J$91,9,FALSE()),""))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IF(DATOS!$A9006="",0,IF(CONFIG_METADATA!$B$4&lt;&gt;"OR+EX",--(DATOS!$G9006=CONFIG_METADATA!$B$4),IF(DATOS!$G9006="EX",1,IF(DATOS!$G9006="OR",--(COUNTIFS(nNIA,DATOS!$A9006,nCURSO,DATOS!$D9006,nESPEC,DATOS!$E9006,nASIG,DATOS!$I9006,nEVAL,"EX")=0),0))))</f>
      </c>
      <c r="H9006">
        <f>IF(DATOS!$G9006&lt;&gt;"EX",0,--(COUNTIFS(nNIA,DATOS!$A9006,nCURSO,DATOS!$D9006,nESPEC,DATOS!$E9006,nASIG,DATOS!$I9006,nEVAL,"OR")=0))</f>
      </c>
      <c r="I9006">
        <f>IF(DATOS!$I9006="","",IFERROR(VLOOKUP(DATOS!$I9006,CONFIG_ASIGNATURAS!$B$2:$J$91,9,FALSE()),""))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IF(DATOS!$A9007="",0,IF(CONFIG_METADATA!$B$4&lt;&gt;"OR+EX",--(DATOS!$G9007=CONFIG_METADATA!$B$4),IF(DATOS!$G9007="EX",1,IF(DATOS!$G9007="OR",--(COUNTIFS(nNIA,DATOS!$A9007,nCURSO,DATOS!$D9007,nESPEC,DATOS!$E9007,nASIG,DATOS!$I9007,nEVAL,"EX")=0),0))))</f>
      </c>
      <c r="H9007">
        <f>IF(DATOS!$G9007&lt;&gt;"EX",0,--(COUNTIFS(nNIA,DATOS!$A9007,nCURSO,DATOS!$D9007,nESPEC,DATOS!$E9007,nASIG,DATOS!$I9007,nEVAL,"OR")=0))</f>
      </c>
      <c r="I9007">
        <f>IF(DATOS!$I9007="","",IFERROR(VLOOKUP(DATOS!$I9007,CONFIG_ASIGNATURAS!$B$2:$J$91,9,FALSE()),""))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IF(DATOS!$A9008="",0,IF(CONFIG_METADATA!$B$4&lt;&gt;"OR+EX",--(DATOS!$G9008=CONFIG_METADATA!$B$4),IF(DATOS!$G9008="EX",1,IF(DATOS!$G9008="OR",--(COUNTIFS(nNIA,DATOS!$A9008,nCURSO,DATOS!$D9008,nESPEC,DATOS!$E9008,nASIG,DATOS!$I9008,nEVAL,"EX")=0),0))))</f>
      </c>
      <c r="H9008">
        <f>IF(DATOS!$G9008&lt;&gt;"EX",0,--(COUNTIFS(nNIA,DATOS!$A9008,nCURSO,DATOS!$D9008,nESPEC,DATOS!$E9008,nASIG,DATOS!$I9008,nEVAL,"OR")=0))</f>
      </c>
      <c r="I9008">
        <f>IF(DATOS!$I9008="","",IFERROR(VLOOKUP(DATOS!$I9008,CONFIG_ASIGNATURAS!$B$2:$J$91,9,FALSE()),""))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IF(DATOS!$A9009="",0,IF(CONFIG_METADATA!$B$4&lt;&gt;"OR+EX",--(DATOS!$G9009=CONFIG_METADATA!$B$4),IF(DATOS!$G9009="EX",1,IF(DATOS!$G9009="OR",--(COUNTIFS(nNIA,DATOS!$A9009,nCURSO,DATOS!$D9009,nESPEC,DATOS!$E9009,nASIG,DATOS!$I9009,nEVAL,"EX")=0),0))))</f>
      </c>
      <c r="H9009">
        <f>IF(DATOS!$G9009&lt;&gt;"EX",0,--(COUNTIFS(nNIA,DATOS!$A9009,nCURSO,DATOS!$D9009,nESPEC,DATOS!$E9009,nASIG,DATOS!$I9009,nEVAL,"OR")=0))</f>
      </c>
      <c r="I9009">
        <f>IF(DATOS!$I9009="","",IFERROR(VLOOKUP(DATOS!$I9009,CONFIG_ASIGNATURAS!$B$2:$J$91,9,FALSE()),""))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IF(DATOS!$A9010="",0,IF(CONFIG_METADATA!$B$4&lt;&gt;"OR+EX",--(DATOS!$G9010=CONFIG_METADATA!$B$4),IF(DATOS!$G9010="EX",1,IF(DATOS!$G9010="OR",--(COUNTIFS(nNIA,DATOS!$A9010,nCURSO,DATOS!$D9010,nESPEC,DATOS!$E9010,nASIG,DATOS!$I9010,nEVAL,"EX")=0),0))))</f>
      </c>
      <c r="H9010">
        <f>IF(DATOS!$G9010&lt;&gt;"EX",0,--(COUNTIFS(nNIA,DATOS!$A9010,nCURSO,DATOS!$D9010,nESPEC,DATOS!$E9010,nASIG,DATOS!$I9010,nEVAL,"OR")=0))</f>
      </c>
      <c r="I9010">
        <f>IF(DATOS!$I9010="","",IFERROR(VLOOKUP(DATOS!$I9010,CONFIG_ASIGNATURAS!$B$2:$J$91,9,FALSE()),""))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IF(DATOS!$A9011="",0,IF(CONFIG_METADATA!$B$4&lt;&gt;"OR+EX",--(DATOS!$G9011=CONFIG_METADATA!$B$4),IF(DATOS!$G9011="EX",1,IF(DATOS!$G9011="OR",--(COUNTIFS(nNIA,DATOS!$A9011,nCURSO,DATOS!$D9011,nESPEC,DATOS!$E9011,nASIG,DATOS!$I9011,nEVAL,"EX")=0),0))))</f>
      </c>
      <c r="H9011">
        <f>IF(DATOS!$G9011&lt;&gt;"EX",0,--(COUNTIFS(nNIA,DATOS!$A9011,nCURSO,DATOS!$D9011,nESPEC,DATOS!$E9011,nASIG,DATOS!$I9011,nEVAL,"OR")=0))</f>
      </c>
      <c r="I9011">
        <f>IF(DATOS!$I9011="","",IFERROR(VLOOKUP(DATOS!$I9011,CONFIG_ASIGNATURAS!$B$2:$J$91,9,FALSE()),""))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IF(DATOS!$A9012="",0,IF(CONFIG_METADATA!$B$4&lt;&gt;"OR+EX",--(DATOS!$G9012=CONFIG_METADATA!$B$4),IF(DATOS!$G9012="EX",1,IF(DATOS!$G9012="OR",--(COUNTIFS(nNIA,DATOS!$A9012,nCURSO,DATOS!$D9012,nESPEC,DATOS!$E9012,nASIG,DATOS!$I9012,nEVAL,"EX")=0),0))))</f>
      </c>
      <c r="H9012">
        <f>IF(DATOS!$G9012&lt;&gt;"EX",0,--(COUNTIFS(nNIA,DATOS!$A9012,nCURSO,DATOS!$D9012,nESPEC,DATOS!$E9012,nASIG,DATOS!$I9012,nEVAL,"OR")=0))</f>
      </c>
      <c r="I9012">
        <f>IF(DATOS!$I9012="","",IFERROR(VLOOKUP(DATOS!$I9012,CONFIG_ASIGNATURAS!$B$2:$J$91,9,FALSE()),""))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IF(DATOS!$A9013="",0,IF(CONFIG_METADATA!$B$4&lt;&gt;"OR+EX",--(DATOS!$G9013=CONFIG_METADATA!$B$4),IF(DATOS!$G9013="EX",1,IF(DATOS!$G9013="OR",--(COUNTIFS(nNIA,DATOS!$A9013,nCURSO,DATOS!$D9013,nESPEC,DATOS!$E9013,nASIG,DATOS!$I9013,nEVAL,"EX")=0),0))))</f>
      </c>
      <c r="H9013">
        <f>IF(DATOS!$G9013&lt;&gt;"EX",0,--(COUNTIFS(nNIA,DATOS!$A9013,nCURSO,DATOS!$D9013,nESPEC,DATOS!$E9013,nASIG,DATOS!$I9013,nEVAL,"OR")=0))</f>
      </c>
      <c r="I9013">
        <f>IF(DATOS!$I9013="","",IFERROR(VLOOKUP(DATOS!$I9013,CONFIG_ASIGNATURAS!$B$2:$J$91,9,FALSE()),""))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IF(DATOS!$A9014="",0,IF(CONFIG_METADATA!$B$4&lt;&gt;"OR+EX",--(DATOS!$G9014=CONFIG_METADATA!$B$4),IF(DATOS!$G9014="EX",1,IF(DATOS!$G9014="OR",--(COUNTIFS(nNIA,DATOS!$A9014,nCURSO,DATOS!$D9014,nESPEC,DATOS!$E9014,nASIG,DATOS!$I9014,nEVAL,"EX")=0),0))))</f>
      </c>
      <c r="H9014">
        <f>IF(DATOS!$G9014&lt;&gt;"EX",0,--(COUNTIFS(nNIA,DATOS!$A9014,nCURSO,DATOS!$D9014,nESPEC,DATOS!$E9014,nASIG,DATOS!$I9014,nEVAL,"OR")=0))</f>
      </c>
      <c r="I9014">
        <f>IF(DATOS!$I9014="","",IFERROR(VLOOKUP(DATOS!$I9014,CONFIG_ASIGNATURAS!$B$2:$J$91,9,FALSE()),""))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IF(DATOS!$A9015="",0,IF(CONFIG_METADATA!$B$4&lt;&gt;"OR+EX",--(DATOS!$G9015=CONFIG_METADATA!$B$4),IF(DATOS!$G9015="EX",1,IF(DATOS!$G9015="OR",--(COUNTIFS(nNIA,DATOS!$A9015,nCURSO,DATOS!$D9015,nESPEC,DATOS!$E9015,nASIG,DATOS!$I9015,nEVAL,"EX")=0),0))))</f>
      </c>
      <c r="H9015">
        <f>IF(DATOS!$G9015&lt;&gt;"EX",0,--(COUNTIFS(nNIA,DATOS!$A9015,nCURSO,DATOS!$D9015,nESPEC,DATOS!$E9015,nASIG,DATOS!$I9015,nEVAL,"OR")=0))</f>
      </c>
      <c r="I9015">
        <f>IF(DATOS!$I9015="","",IFERROR(VLOOKUP(DATOS!$I9015,CONFIG_ASIGNATURAS!$B$2:$J$91,9,FALSE()),""))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IF(DATOS!$A9016="",0,IF(CONFIG_METADATA!$B$4&lt;&gt;"OR+EX",--(DATOS!$G9016=CONFIG_METADATA!$B$4),IF(DATOS!$G9016="EX",1,IF(DATOS!$G9016="OR",--(COUNTIFS(nNIA,DATOS!$A9016,nCURSO,DATOS!$D9016,nESPEC,DATOS!$E9016,nASIG,DATOS!$I9016,nEVAL,"EX")=0),0))))</f>
      </c>
      <c r="H9016">
        <f>IF(DATOS!$G9016&lt;&gt;"EX",0,--(COUNTIFS(nNIA,DATOS!$A9016,nCURSO,DATOS!$D9016,nESPEC,DATOS!$E9016,nASIG,DATOS!$I9016,nEVAL,"OR")=0))</f>
      </c>
      <c r="I9016">
        <f>IF(DATOS!$I9016="","",IFERROR(VLOOKUP(DATOS!$I9016,CONFIG_ASIGNATURAS!$B$2:$J$91,9,FALSE()),""))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IF(DATOS!$A9017="",0,IF(CONFIG_METADATA!$B$4&lt;&gt;"OR+EX",--(DATOS!$G9017=CONFIG_METADATA!$B$4),IF(DATOS!$G9017="EX",1,IF(DATOS!$G9017="OR",--(COUNTIFS(nNIA,DATOS!$A9017,nCURSO,DATOS!$D9017,nESPEC,DATOS!$E9017,nASIG,DATOS!$I9017,nEVAL,"EX")=0),0))))</f>
      </c>
      <c r="H9017">
        <f>IF(DATOS!$G9017&lt;&gt;"EX",0,--(COUNTIFS(nNIA,DATOS!$A9017,nCURSO,DATOS!$D9017,nESPEC,DATOS!$E9017,nASIG,DATOS!$I9017,nEVAL,"OR")=0))</f>
      </c>
      <c r="I9017">
        <f>IF(DATOS!$I9017="","",IFERROR(VLOOKUP(DATOS!$I9017,CONFIG_ASIGNATURAS!$B$2:$J$91,9,FALSE()),""))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IF(DATOS!$A9018="",0,IF(CONFIG_METADATA!$B$4&lt;&gt;"OR+EX",--(DATOS!$G9018=CONFIG_METADATA!$B$4),IF(DATOS!$G9018="EX",1,IF(DATOS!$G9018="OR",--(COUNTIFS(nNIA,DATOS!$A9018,nCURSO,DATOS!$D9018,nESPEC,DATOS!$E9018,nASIG,DATOS!$I9018,nEVAL,"EX")=0),0))))</f>
      </c>
      <c r="H9018">
        <f>IF(DATOS!$G9018&lt;&gt;"EX",0,--(COUNTIFS(nNIA,DATOS!$A9018,nCURSO,DATOS!$D9018,nESPEC,DATOS!$E9018,nASIG,DATOS!$I9018,nEVAL,"OR")=0))</f>
      </c>
      <c r="I9018">
        <f>IF(DATOS!$I9018="","",IFERROR(VLOOKUP(DATOS!$I9018,CONFIG_ASIGNATURAS!$B$2:$J$91,9,FALSE()),""))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IF(DATOS!$A9019="",0,IF(CONFIG_METADATA!$B$4&lt;&gt;"OR+EX",--(DATOS!$G9019=CONFIG_METADATA!$B$4),IF(DATOS!$G9019="EX",1,IF(DATOS!$G9019="OR",--(COUNTIFS(nNIA,DATOS!$A9019,nCURSO,DATOS!$D9019,nESPEC,DATOS!$E9019,nASIG,DATOS!$I9019,nEVAL,"EX")=0),0))))</f>
      </c>
      <c r="H9019">
        <f>IF(DATOS!$G9019&lt;&gt;"EX",0,--(COUNTIFS(nNIA,DATOS!$A9019,nCURSO,DATOS!$D9019,nESPEC,DATOS!$E9019,nASIG,DATOS!$I9019,nEVAL,"OR")=0))</f>
      </c>
      <c r="I9019">
        <f>IF(DATOS!$I9019="","",IFERROR(VLOOKUP(DATOS!$I9019,CONFIG_ASIGNATURAS!$B$2:$J$91,9,FALSE()),""))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IF(DATOS!$A9020="",0,IF(CONFIG_METADATA!$B$4&lt;&gt;"OR+EX",--(DATOS!$G9020=CONFIG_METADATA!$B$4),IF(DATOS!$G9020="EX",1,IF(DATOS!$G9020="OR",--(COUNTIFS(nNIA,DATOS!$A9020,nCURSO,DATOS!$D9020,nESPEC,DATOS!$E9020,nASIG,DATOS!$I9020,nEVAL,"EX")=0),0))))</f>
      </c>
      <c r="H9020">
        <f>IF(DATOS!$G9020&lt;&gt;"EX",0,--(COUNTIFS(nNIA,DATOS!$A9020,nCURSO,DATOS!$D9020,nESPEC,DATOS!$E9020,nASIG,DATOS!$I9020,nEVAL,"OR")=0))</f>
      </c>
      <c r="I9020">
        <f>IF(DATOS!$I9020="","",IFERROR(VLOOKUP(DATOS!$I9020,CONFIG_ASIGNATURAS!$B$2:$J$91,9,FALSE()),""))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IF(DATOS!$A9021="",0,IF(CONFIG_METADATA!$B$4&lt;&gt;"OR+EX",--(DATOS!$G9021=CONFIG_METADATA!$B$4),IF(DATOS!$G9021="EX",1,IF(DATOS!$G9021="OR",--(COUNTIFS(nNIA,DATOS!$A9021,nCURSO,DATOS!$D9021,nESPEC,DATOS!$E9021,nASIG,DATOS!$I9021,nEVAL,"EX")=0),0))))</f>
      </c>
      <c r="H9021">
        <f>IF(DATOS!$G9021&lt;&gt;"EX",0,--(COUNTIFS(nNIA,DATOS!$A9021,nCURSO,DATOS!$D9021,nESPEC,DATOS!$E9021,nASIG,DATOS!$I9021,nEVAL,"OR")=0))</f>
      </c>
      <c r="I9021">
        <f>IF(DATOS!$I9021="","",IFERROR(VLOOKUP(DATOS!$I9021,CONFIG_ASIGNATURAS!$B$2:$J$91,9,FALSE()),""))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IF(DATOS!$A9022="",0,IF(CONFIG_METADATA!$B$4&lt;&gt;"OR+EX",--(DATOS!$G9022=CONFIG_METADATA!$B$4),IF(DATOS!$G9022="EX",1,IF(DATOS!$G9022="OR",--(COUNTIFS(nNIA,DATOS!$A9022,nCURSO,DATOS!$D9022,nESPEC,DATOS!$E9022,nASIG,DATOS!$I9022,nEVAL,"EX")=0),0))))</f>
      </c>
      <c r="H9022">
        <f>IF(DATOS!$G9022&lt;&gt;"EX",0,--(COUNTIFS(nNIA,DATOS!$A9022,nCURSO,DATOS!$D9022,nESPEC,DATOS!$E9022,nASIG,DATOS!$I9022,nEVAL,"OR")=0))</f>
      </c>
      <c r="I9022">
        <f>IF(DATOS!$I9022="","",IFERROR(VLOOKUP(DATOS!$I9022,CONFIG_ASIGNATURAS!$B$2:$J$91,9,FALSE()),""))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IF(DATOS!$A9023="",0,IF(CONFIG_METADATA!$B$4&lt;&gt;"OR+EX",--(DATOS!$G9023=CONFIG_METADATA!$B$4),IF(DATOS!$G9023="EX",1,IF(DATOS!$G9023="OR",--(COUNTIFS(nNIA,DATOS!$A9023,nCURSO,DATOS!$D9023,nESPEC,DATOS!$E9023,nASIG,DATOS!$I9023,nEVAL,"EX")=0),0))))</f>
      </c>
      <c r="H9023">
        <f>IF(DATOS!$G9023&lt;&gt;"EX",0,--(COUNTIFS(nNIA,DATOS!$A9023,nCURSO,DATOS!$D9023,nESPEC,DATOS!$E9023,nASIG,DATOS!$I9023,nEVAL,"OR")=0))</f>
      </c>
      <c r="I9023">
        <f>IF(DATOS!$I9023="","",IFERROR(VLOOKUP(DATOS!$I9023,CONFIG_ASIGNATURAS!$B$2:$J$91,9,FALSE()),""))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IF(DATOS!$A9024="",0,IF(CONFIG_METADATA!$B$4&lt;&gt;"OR+EX",--(DATOS!$G9024=CONFIG_METADATA!$B$4),IF(DATOS!$G9024="EX",1,IF(DATOS!$G9024="OR",--(COUNTIFS(nNIA,DATOS!$A9024,nCURSO,DATOS!$D9024,nESPEC,DATOS!$E9024,nASIG,DATOS!$I9024,nEVAL,"EX")=0),0))))</f>
      </c>
      <c r="H9024">
        <f>IF(DATOS!$G9024&lt;&gt;"EX",0,--(COUNTIFS(nNIA,DATOS!$A9024,nCURSO,DATOS!$D9024,nESPEC,DATOS!$E9024,nASIG,DATOS!$I9024,nEVAL,"OR")=0))</f>
      </c>
      <c r="I9024">
        <f>IF(DATOS!$I9024="","",IFERROR(VLOOKUP(DATOS!$I9024,CONFIG_ASIGNATURAS!$B$2:$J$91,9,FALSE()),""))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IF(DATOS!$A9025="",0,IF(CONFIG_METADATA!$B$4&lt;&gt;"OR+EX",--(DATOS!$G9025=CONFIG_METADATA!$B$4),IF(DATOS!$G9025="EX",1,IF(DATOS!$G9025="OR",--(COUNTIFS(nNIA,DATOS!$A9025,nCURSO,DATOS!$D9025,nESPEC,DATOS!$E9025,nASIG,DATOS!$I9025,nEVAL,"EX")=0),0))))</f>
      </c>
      <c r="H9025">
        <f>IF(DATOS!$G9025&lt;&gt;"EX",0,--(COUNTIFS(nNIA,DATOS!$A9025,nCURSO,DATOS!$D9025,nESPEC,DATOS!$E9025,nASIG,DATOS!$I9025,nEVAL,"OR")=0))</f>
      </c>
      <c r="I9025">
        <f>IF(DATOS!$I9025="","",IFERROR(VLOOKUP(DATOS!$I9025,CONFIG_ASIGNATURAS!$B$2:$J$91,9,FALSE()),""))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IF(DATOS!$A9026="",0,IF(CONFIG_METADATA!$B$4&lt;&gt;"OR+EX",--(DATOS!$G9026=CONFIG_METADATA!$B$4),IF(DATOS!$G9026="EX",1,IF(DATOS!$G9026="OR",--(COUNTIFS(nNIA,DATOS!$A9026,nCURSO,DATOS!$D9026,nESPEC,DATOS!$E9026,nASIG,DATOS!$I9026,nEVAL,"EX")=0),0))))</f>
      </c>
      <c r="H9026">
        <f>IF(DATOS!$G9026&lt;&gt;"EX",0,--(COUNTIFS(nNIA,DATOS!$A9026,nCURSO,DATOS!$D9026,nESPEC,DATOS!$E9026,nASIG,DATOS!$I9026,nEVAL,"OR")=0))</f>
      </c>
      <c r="I9026">
        <f>IF(DATOS!$I9026="","",IFERROR(VLOOKUP(DATOS!$I9026,CONFIG_ASIGNATURAS!$B$2:$J$91,9,FALSE()),""))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IF(DATOS!$A9027="",0,IF(CONFIG_METADATA!$B$4&lt;&gt;"OR+EX",--(DATOS!$G9027=CONFIG_METADATA!$B$4),IF(DATOS!$G9027="EX",1,IF(DATOS!$G9027="OR",--(COUNTIFS(nNIA,DATOS!$A9027,nCURSO,DATOS!$D9027,nESPEC,DATOS!$E9027,nASIG,DATOS!$I9027,nEVAL,"EX")=0),0))))</f>
      </c>
      <c r="H9027">
        <f>IF(DATOS!$G9027&lt;&gt;"EX",0,--(COUNTIFS(nNIA,DATOS!$A9027,nCURSO,DATOS!$D9027,nESPEC,DATOS!$E9027,nASIG,DATOS!$I9027,nEVAL,"OR")=0))</f>
      </c>
      <c r="I9027">
        <f>IF(DATOS!$I9027="","",IFERROR(VLOOKUP(DATOS!$I9027,CONFIG_ASIGNATURAS!$B$2:$J$91,9,FALSE()),""))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IF(DATOS!$A9028="",0,IF(CONFIG_METADATA!$B$4&lt;&gt;"OR+EX",--(DATOS!$G9028=CONFIG_METADATA!$B$4),IF(DATOS!$G9028="EX",1,IF(DATOS!$G9028="OR",--(COUNTIFS(nNIA,DATOS!$A9028,nCURSO,DATOS!$D9028,nESPEC,DATOS!$E9028,nASIG,DATOS!$I9028,nEVAL,"EX")=0),0))))</f>
      </c>
      <c r="H9028">
        <f>IF(DATOS!$G9028&lt;&gt;"EX",0,--(COUNTIFS(nNIA,DATOS!$A9028,nCURSO,DATOS!$D9028,nESPEC,DATOS!$E9028,nASIG,DATOS!$I9028,nEVAL,"OR")=0))</f>
      </c>
      <c r="I9028">
        <f>IF(DATOS!$I9028="","",IFERROR(VLOOKUP(DATOS!$I9028,CONFIG_ASIGNATURAS!$B$2:$J$91,9,FALSE()),""))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IF(DATOS!$A9029="",0,IF(CONFIG_METADATA!$B$4&lt;&gt;"OR+EX",--(DATOS!$G9029=CONFIG_METADATA!$B$4),IF(DATOS!$G9029="EX",1,IF(DATOS!$G9029="OR",--(COUNTIFS(nNIA,DATOS!$A9029,nCURSO,DATOS!$D9029,nESPEC,DATOS!$E9029,nASIG,DATOS!$I9029,nEVAL,"EX")=0),0))))</f>
      </c>
      <c r="H9029">
        <f>IF(DATOS!$G9029&lt;&gt;"EX",0,--(COUNTIFS(nNIA,DATOS!$A9029,nCURSO,DATOS!$D9029,nESPEC,DATOS!$E9029,nASIG,DATOS!$I9029,nEVAL,"OR")=0))</f>
      </c>
      <c r="I9029">
        <f>IF(DATOS!$I9029="","",IFERROR(VLOOKUP(DATOS!$I9029,CONFIG_ASIGNATURAS!$B$2:$J$91,9,FALSE()),""))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IF(DATOS!$A9030="",0,IF(CONFIG_METADATA!$B$4&lt;&gt;"OR+EX",--(DATOS!$G9030=CONFIG_METADATA!$B$4),IF(DATOS!$G9030="EX",1,IF(DATOS!$G9030="OR",--(COUNTIFS(nNIA,DATOS!$A9030,nCURSO,DATOS!$D9030,nESPEC,DATOS!$E9030,nASIG,DATOS!$I9030,nEVAL,"EX")=0),0))))</f>
      </c>
      <c r="H9030">
        <f>IF(DATOS!$G9030&lt;&gt;"EX",0,--(COUNTIFS(nNIA,DATOS!$A9030,nCURSO,DATOS!$D9030,nESPEC,DATOS!$E9030,nASIG,DATOS!$I9030,nEVAL,"OR")=0))</f>
      </c>
      <c r="I9030">
        <f>IF(DATOS!$I9030="","",IFERROR(VLOOKUP(DATOS!$I9030,CONFIG_ASIGNATURAS!$B$2:$J$91,9,FALSE()),""))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IF(DATOS!$A9031="",0,IF(CONFIG_METADATA!$B$4&lt;&gt;"OR+EX",--(DATOS!$G9031=CONFIG_METADATA!$B$4),IF(DATOS!$G9031="EX",1,IF(DATOS!$G9031="OR",--(COUNTIFS(nNIA,DATOS!$A9031,nCURSO,DATOS!$D9031,nESPEC,DATOS!$E9031,nASIG,DATOS!$I9031,nEVAL,"EX")=0),0))))</f>
      </c>
      <c r="H9031">
        <f>IF(DATOS!$G9031&lt;&gt;"EX",0,--(COUNTIFS(nNIA,DATOS!$A9031,nCURSO,DATOS!$D9031,nESPEC,DATOS!$E9031,nASIG,DATOS!$I9031,nEVAL,"OR")=0))</f>
      </c>
      <c r="I9031">
        <f>IF(DATOS!$I9031="","",IFERROR(VLOOKUP(DATOS!$I9031,CONFIG_ASIGNATURAS!$B$2:$J$91,9,FALSE()),""))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IF(DATOS!$A9032="",0,IF(CONFIG_METADATA!$B$4&lt;&gt;"OR+EX",--(DATOS!$G9032=CONFIG_METADATA!$B$4),IF(DATOS!$G9032="EX",1,IF(DATOS!$G9032="OR",--(COUNTIFS(nNIA,DATOS!$A9032,nCURSO,DATOS!$D9032,nESPEC,DATOS!$E9032,nASIG,DATOS!$I9032,nEVAL,"EX")=0),0))))</f>
      </c>
      <c r="H9032">
        <f>IF(DATOS!$G9032&lt;&gt;"EX",0,--(COUNTIFS(nNIA,DATOS!$A9032,nCURSO,DATOS!$D9032,nESPEC,DATOS!$E9032,nASIG,DATOS!$I9032,nEVAL,"OR")=0))</f>
      </c>
      <c r="I9032">
        <f>IF(DATOS!$I9032="","",IFERROR(VLOOKUP(DATOS!$I9032,CONFIG_ASIGNATURAS!$B$2:$J$91,9,FALSE()),""))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IF(DATOS!$A9033="",0,IF(CONFIG_METADATA!$B$4&lt;&gt;"OR+EX",--(DATOS!$G9033=CONFIG_METADATA!$B$4),IF(DATOS!$G9033="EX",1,IF(DATOS!$G9033="OR",--(COUNTIFS(nNIA,DATOS!$A9033,nCURSO,DATOS!$D9033,nESPEC,DATOS!$E9033,nASIG,DATOS!$I9033,nEVAL,"EX")=0),0))))</f>
      </c>
      <c r="H9033">
        <f>IF(DATOS!$G9033&lt;&gt;"EX",0,--(COUNTIFS(nNIA,DATOS!$A9033,nCURSO,DATOS!$D9033,nESPEC,DATOS!$E9033,nASIG,DATOS!$I9033,nEVAL,"OR")=0))</f>
      </c>
      <c r="I9033">
        <f>IF(DATOS!$I9033="","",IFERROR(VLOOKUP(DATOS!$I9033,CONFIG_ASIGNATURAS!$B$2:$J$91,9,FALSE()),""))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IF(DATOS!$A9034="",0,IF(CONFIG_METADATA!$B$4&lt;&gt;"OR+EX",--(DATOS!$G9034=CONFIG_METADATA!$B$4),IF(DATOS!$G9034="EX",1,IF(DATOS!$G9034="OR",--(COUNTIFS(nNIA,DATOS!$A9034,nCURSO,DATOS!$D9034,nESPEC,DATOS!$E9034,nASIG,DATOS!$I9034,nEVAL,"EX")=0),0))))</f>
      </c>
      <c r="H9034">
        <f>IF(DATOS!$G9034&lt;&gt;"EX",0,--(COUNTIFS(nNIA,DATOS!$A9034,nCURSO,DATOS!$D9034,nESPEC,DATOS!$E9034,nASIG,DATOS!$I9034,nEVAL,"OR")=0))</f>
      </c>
      <c r="I9034">
        <f>IF(DATOS!$I9034="","",IFERROR(VLOOKUP(DATOS!$I9034,CONFIG_ASIGNATURAS!$B$2:$J$91,9,FALSE()),""))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IF(DATOS!$A9035="",0,IF(CONFIG_METADATA!$B$4&lt;&gt;"OR+EX",--(DATOS!$G9035=CONFIG_METADATA!$B$4),IF(DATOS!$G9035="EX",1,IF(DATOS!$G9035="OR",--(COUNTIFS(nNIA,DATOS!$A9035,nCURSO,DATOS!$D9035,nESPEC,DATOS!$E9035,nASIG,DATOS!$I9035,nEVAL,"EX")=0),0))))</f>
      </c>
      <c r="H9035">
        <f>IF(DATOS!$G9035&lt;&gt;"EX",0,--(COUNTIFS(nNIA,DATOS!$A9035,nCURSO,DATOS!$D9035,nESPEC,DATOS!$E9035,nASIG,DATOS!$I9035,nEVAL,"OR")=0))</f>
      </c>
      <c r="I9035">
        <f>IF(DATOS!$I9035="","",IFERROR(VLOOKUP(DATOS!$I9035,CONFIG_ASIGNATURAS!$B$2:$J$91,9,FALSE()),""))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IF(DATOS!$A9036="",0,IF(CONFIG_METADATA!$B$4&lt;&gt;"OR+EX",--(DATOS!$G9036=CONFIG_METADATA!$B$4),IF(DATOS!$G9036="EX",1,IF(DATOS!$G9036="OR",--(COUNTIFS(nNIA,DATOS!$A9036,nCURSO,DATOS!$D9036,nESPEC,DATOS!$E9036,nASIG,DATOS!$I9036,nEVAL,"EX")=0),0))))</f>
      </c>
      <c r="H9036">
        <f>IF(DATOS!$G9036&lt;&gt;"EX",0,--(COUNTIFS(nNIA,DATOS!$A9036,nCURSO,DATOS!$D9036,nESPEC,DATOS!$E9036,nASIG,DATOS!$I9036,nEVAL,"OR")=0))</f>
      </c>
      <c r="I9036">
        <f>IF(DATOS!$I9036="","",IFERROR(VLOOKUP(DATOS!$I9036,CONFIG_ASIGNATURAS!$B$2:$J$91,9,FALSE()),""))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IF(DATOS!$A9037="",0,IF(CONFIG_METADATA!$B$4&lt;&gt;"OR+EX",--(DATOS!$G9037=CONFIG_METADATA!$B$4),IF(DATOS!$G9037="EX",1,IF(DATOS!$G9037="OR",--(COUNTIFS(nNIA,DATOS!$A9037,nCURSO,DATOS!$D9037,nESPEC,DATOS!$E9037,nASIG,DATOS!$I9037,nEVAL,"EX")=0),0))))</f>
      </c>
      <c r="H9037">
        <f>IF(DATOS!$G9037&lt;&gt;"EX",0,--(COUNTIFS(nNIA,DATOS!$A9037,nCURSO,DATOS!$D9037,nESPEC,DATOS!$E9037,nASIG,DATOS!$I9037,nEVAL,"OR")=0))</f>
      </c>
      <c r="I9037">
        <f>IF(DATOS!$I9037="","",IFERROR(VLOOKUP(DATOS!$I9037,CONFIG_ASIGNATURAS!$B$2:$J$91,9,FALSE()),""))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IF(DATOS!$A9038="",0,IF(CONFIG_METADATA!$B$4&lt;&gt;"OR+EX",--(DATOS!$G9038=CONFIG_METADATA!$B$4),IF(DATOS!$G9038="EX",1,IF(DATOS!$G9038="OR",--(COUNTIFS(nNIA,DATOS!$A9038,nCURSO,DATOS!$D9038,nESPEC,DATOS!$E9038,nASIG,DATOS!$I9038,nEVAL,"EX")=0),0))))</f>
      </c>
      <c r="H9038">
        <f>IF(DATOS!$G9038&lt;&gt;"EX",0,--(COUNTIFS(nNIA,DATOS!$A9038,nCURSO,DATOS!$D9038,nESPEC,DATOS!$E9038,nASIG,DATOS!$I9038,nEVAL,"OR")=0))</f>
      </c>
      <c r="I9038">
        <f>IF(DATOS!$I9038="","",IFERROR(VLOOKUP(DATOS!$I9038,CONFIG_ASIGNATURAS!$B$2:$J$91,9,FALSE()),""))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IF(DATOS!$A9039="",0,IF(CONFIG_METADATA!$B$4&lt;&gt;"OR+EX",--(DATOS!$G9039=CONFIG_METADATA!$B$4),IF(DATOS!$G9039="EX",1,IF(DATOS!$G9039="OR",--(COUNTIFS(nNIA,DATOS!$A9039,nCURSO,DATOS!$D9039,nESPEC,DATOS!$E9039,nASIG,DATOS!$I9039,nEVAL,"EX")=0),0))))</f>
      </c>
      <c r="H9039">
        <f>IF(DATOS!$G9039&lt;&gt;"EX",0,--(COUNTIFS(nNIA,DATOS!$A9039,nCURSO,DATOS!$D9039,nESPEC,DATOS!$E9039,nASIG,DATOS!$I9039,nEVAL,"OR")=0))</f>
      </c>
      <c r="I9039">
        <f>IF(DATOS!$I9039="","",IFERROR(VLOOKUP(DATOS!$I9039,CONFIG_ASIGNATURAS!$B$2:$J$91,9,FALSE()),""))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IF(DATOS!$A9040="",0,IF(CONFIG_METADATA!$B$4&lt;&gt;"OR+EX",--(DATOS!$G9040=CONFIG_METADATA!$B$4),IF(DATOS!$G9040="EX",1,IF(DATOS!$G9040="OR",--(COUNTIFS(nNIA,DATOS!$A9040,nCURSO,DATOS!$D9040,nESPEC,DATOS!$E9040,nASIG,DATOS!$I9040,nEVAL,"EX")=0),0))))</f>
      </c>
      <c r="H9040">
        <f>IF(DATOS!$G9040&lt;&gt;"EX",0,--(COUNTIFS(nNIA,DATOS!$A9040,nCURSO,DATOS!$D9040,nESPEC,DATOS!$E9040,nASIG,DATOS!$I9040,nEVAL,"OR")=0))</f>
      </c>
      <c r="I9040">
        <f>IF(DATOS!$I9040="","",IFERROR(VLOOKUP(DATOS!$I9040,CONFIG_ASIGNATURAS!$B$2:$J$91,9,FALSE()),""))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IF(DATOS!$A9041="",0,IF(CONFIG_METADATA!$B$4&lt;&gt;"OR+EX",--(DATOS!$G9041=CONFIG_METADATA!$B$4),IF(DATOS!$G9041="EX",1,IF(DATOS!$G9041="OR",--(COUNTIFS(nNIA,DATOS!$A9041,nCURSO,DATOS!$D9041,nESPEC,DATOS!$E9041,nASIG,DATOS!$I9041,nEVAL,"EX")=0),0))))</f>
      </c>
      <c r="H9041">
        <f>IF(DATOS!$G9041&lt;&gt;"EX",0,--(COUNTIFS(nNIA,DATOS!$A9041,nCURSO,DATOS!$D9041,nESPEC,DATOS!$E9041,nASIG,DATOS!$I9041,nEVAL,"OR")=0))</f>
      </c>
      <c r="I9041">
        <f>IF(DATOS!$I9041="","",IFERROR(VLOOKUP(DATOS!$I9041,CONFIG_ASIGNATURAS!$B$2:$J$91,9,FALSE()),""))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IF(DATOS!$A9042="",0,IF(CONFIG_METADATA!$B$4&lt;&gt;"OR+EX",--(DATOS!$G9042=CONFIG_METADATA!$B$4),IF(DATOS!$G9042="EX",1,IF(DATOS!$G9042="OR",--(COUNTIFS(nNIA,DATOS!$A9042,nCURSO,DATOS!$D9042,nESPEC,DATOS!$E9042,nASIG,DATOS!$I9042,nEVAL,"EX")=0),0))))</f>
      </c>
      <c r="H9042">
        <f>IF(DATOS!$G9042&lt;&gt;"EX",0,--(COUNTIFS(nNIA,DATOS!$A9042,nCURSO,DATOS!$D9042,nESPEC,DATOS!$E9042,nASIG,DATOS!$I9042,nEVAL,"OR")=0))</f>
      </c>
      <c r="I9042">
        <f>IF(DATOS!$I9042="","",IFERROR(VLOOKUP(DATOS!$I9042,CONFIG_ASIGNATURAS!$B$2:$J$91,9,FALSE()),""))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IF(DATOS!$A9043="",0,IF(CONFIG_METADATA!$B$4&lt;&gt;"OR+EX",--(DATOS!$G9043=CONFIG_METADATA!$B$4),IF(DATOS!$G9043="EX",1,IF(DATOS!$G9043="OR",--(COUNTIFS(nNIA,DATOS!$A9043,nCURSO,DATOS!$D9043,nESPEC,DATOS!$E9043,nASIG,DATOS!$I9043,nEVAL,"EX")=0),0))))</f>
      </c>
      <c r="H9043">
        <f>IF(DATOS!$G9043&lt;&gt;"EX",0,--(COUNTIFS(nNIA,DATOS!$A9043,nCURSO,DATOS!$D9043,nESPEC,DATOS!$E9043,nASIG,DATOS!$I9043,nEVAL,"OR")=0))</f>
      </c>
      <c r="I9043">
        <f>IF(DATOS!$I9043="","",IFERROR(VLOOKUP(DATOS!$I9043,CONFIG_ASIGNATURAS!$B$2:$J$91,9,FALSE()),""))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IF(DATOS!$A9044="",0,IF(CONFIG_METADATA!$B$4&lt;&gt;"OR+EX",--(DATOS!$G9044=CONFIG_METADATA!$B$4),IF(DATOS!$G9044="EX",1,IF(DATOS!$G9044="OR",--(COUNTIFS(nNIA,DATOS!$A9044,nCURSO,DATOS!$D9044,nESPEC,DATOS!$E9044,nASIG,DATOS!$I9044,nEVAL,"EX")=0),0))))</f>
      </c>
      <c r="H9044">
        <f>IF(DATOS!$G9044&lt;&gt;"EX",0,--(COUNTIFS(nNIA,DATOS!$A9044,nCURSO,DATOS!$D9044,nESPEC,DATOS!$E9044,nASIG,DATOS!$I9044,nEVAL,"OR")=0))</f>
      </c>
      <c r="I9044">
        <f>IF(DATOS!$I9044="","",IFERROR(VLOOKUP(DATOS!$I9044,CONFIG_ASIGNATURAS!$B$2:$J$91,9,FALSE()),""))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IF(DATOS!$A9045="",0,IF(CONFIG_METADATA!$B$4&lt;&gt;"OR+EX",--(DATOS!$G9045=CONFIG_METADATA!$B$4),IF(DATOS!$G9045="EX",1,IF(DATOS!$G9045="OR",--(COUNTIFS(nNIA,DATOS!$A9045,nCURSO,DATOS!$D9045,nESPEC,DATOS!$E9045,nASIG,DATOS!$I9045,nEVAL,"EX")=0),0))))</f>
      </c>
      <c r="H9045">
        <f>IF(DATOS!$G9045&lt;&gt;"EX",0,--(COUNTIFS(nNIA,DATOS!$A9045,nCURSO,DATOS!$D9045,nESPEC,DATOS!$E9045,nASIG,DATOS!$I9045,nEVAL,"OR")=0))</f>
      </c>
      <c r="I9045">
        <f>IF(DATOS!$I9045="","",IFERROR(VLOOKUP(DATOS!$I9045,CONFIG_ASIGNATURAS!$B$2:$J$91,9,FALSE()),""))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IF(DATOS!$A9046="",0,IF(CONFIG_METADATA!$B$4&lt;&gt;"OR+EX",--(DATOS!$G9046=CONFIG_METADATA!$B$4),IF(DATOS!$G9046="EX",1,IF(DATOS!$G9046="OR",--(COUNTIFS(nNIA,DATOS!$A9046,nCURSO,DATOS!$D9046,nESPEC,DATOS!$E9046,nASIG,DATOS!$I9046,nEVAL,"EX")=0),0))))</f>
      </c>
      <c r="H9046">
        <f>IF(DATOS!$G9046&lt;&gt;"EX",0,--(COUNTIFS(nNIA,DATOS!$A9046,nCURSO,DATOS!$D9046,nESPEC,DATOS!$E9046,nASIG,DATOS!$I9046,nEVAL,"OR")=0))</f>
      </c>
      <c r="I9046">
        <f>IF(DATOS!$I9046="","",IFERROR(VLOOKUP(DATOS!$I9046,CONFIG_ASIGNATURAS!$B$2:$J$91,9,FALSE()),""))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IF(DATOS!$A9047="",0,IF(CONFIG_METADATA!$B$4&lt;&gt;"OR+EX",--(DATOS!$G9047=CONFIG_METADATA!$B$4),IF(DATOS!$G9047="EX",1,IF(DATOS!$G9047="OR",--(COUNTIFS(nNIA,DATOS!$A9047,nCURSO,DATOS!$D9047,nESPEC,DATOS!$E9047,nASIG,DATOS!$I9047,nEVAL,"EX")=0),0))))</f>
      </c>
      <c r="H9047">
        <f>IF(DATOS!$G9047&lt;&gt;"EX",0,--(COUNTIFS(nNIA,DATOS!$A9047,nCURSO,DATOS!$D9047,nESPEC,DATOS!$E9047,nASIG,DATOS!$I9047,nEVAL,"OR")=0))</f>
      </c>
      <c r="I9047">
        <f>IF(DATOS!$I9047="","",IFERROR(VLOOKUP(DATOS!$I9047,CONFIG_ASIGNATURAS!$B$2:$J$91,9,FALSE()),""))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IF(DATOS!$A9048="",0,IF(CONFIG_METADATA!$B$4&lt;&gt;"OR+EX",--(DATOS!$G9048=CONFIG_METADATA!$B$4),IF(DATOS!$G9048="EX",1,IF(DATOS!$G9048="OR",--(COUNTIFS(nNIA,DATOS!$A9048,nCURSO,DATOS!$D9048,nESPEC,DATOS!$E9048,nASIG,DATOS!$I9048,nEVAL,"EX")=0),0))))</f>
      </c>
      <c r="H9048">
        <f>IF(DATOS!$G9048&lt;&gt;"EX",0,--(COUNTIFS(nNIA,DATOS!$A9048,nCURSO,DATOS!$D9048,nESPEC,DATOS!$E9048,nASIG,DATOS!$I9048,nEVAL,"OR")=0))</f>
      </c>
      <c r="I9048">
        <f>IF(DATOS!$I9048="","",IFERROR(VLOOKUP(DATOS!$I9048,CONFIG_ASIGNATURAS!$B$2:$J$91,9,FALSE()),""))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IF(DATOS!$A9049="",0,IF(CONFIG_METADATA!$B$4&lt;&gt;"OR+EX",--(DATOS!$G9049=CONFIG_METADATA!$B$4),IF(DATOS!$G9049="EX",1,IF(DATOS!$G9049="OR",--(COUNTIFS(nNIA,DATOS!$A9049,nCURSO,DATOS!$D9049,nESPEC,DATOS!$E9049,nASIG,DATOS!$I9049,nEVAL,"EX")=0),0))))</f>
      </c>
      <c r="H9049">
        <f>IF(DATOS!$G9049&lt;&gt;"EX",0,--(COUNTIFS(nNIA,DATOS!$A9049,nCURSO,DATOS!$D9049,nESPEC,DATOS!$E9049,nASIG,DATOS!$I9049,nEVAL,"OR")=0))</f>
      </c>
      <c r="I9049">
        <f>IF(DATOS!$I9049="","",IFERROR(VLOOKUP(DATOS!$I9049,CONFIG_ASIGNATURAS!$B$2:$J$91,9,FALSE()),""))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IF(DATOS!$A9050="",0,IF(CONFIG_METADATA!$B$4&lt;&gt;"OR+EX",--(DATOS!$G9050=CONFIG_METADATA!$B$4),IF(DATOS!$G9050="EX",1,IF(DATOS!$G9050="OR",--(COUNTIFS(nNIA,DATOS!$A9050,nCURSO,DATOS!$D9050,nESPEC,DATOS!$E9050,nASIG,DATOS!$I9050,nEVAL,"EX")=0),0))))</f>
      </c>
      <c r="H9050">
        <f>IF(DATOS!$G9050&lt;&gt;"EX",0,--(COUNTIFS(nNIA,DATOS!$A9050,nCURSO,DATOS!$D9050,nESPEC,DATOS!$E9050,nASIG,DATOS!$I9050,nEVAL,"OR")=0))</f>
      </c>
      <c r="I9050">
        <f>IF(DATOS!$I9050="","",IFERROR(VLOOKUP(DATOS!$I9050,CONFIG_ASIGNATURAS!$B$2:$J$91,9,FALSE()),""))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IF(DATOS!$A9051="",0,IF(CONFIG_METADATA!$B$4&lt;&gt;"OR+EX",--(DATOS!$G9051=CONFIG_METADATA!$B$4),IF(DATOS!$G9051="EX",1,IF(DATOS!$G9051="OR",--(COUNTIFS(nNIA,DATOS!$A9051,nCURSO,DATOS!$D9051,nESPEC,DATOS!$E9051,nASIG,DATOS!$I9051,nEVAL,"EX")=0),0))))</f>
      </c>
      <c r="H9051">
        <f>IF(DATOS!$G9051&lt;&gt;"EX",0,--(COUNTIFS(nNIA,DATOS!$A9051,nCURSO,DATOS!$D9051,nESPEC,DATOS!$E9051,nASIG,DATOS!$I9051,nEVAL,"OR")=0))</f>
      </c>
      <c r="I9051">
        <f>IF(DATOS!$I9051="","",IFERROR(VLOOKUP(DATOS!$I9051,CONFIG_ASIGNATURAS!$B$2:$J$91,9,FALSE()),""))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IF(DATOS!$A9052="",0,IF(CONFIG_METADATA!$B$4&lt;&gt;"OR+EX",--(DATOS!$G9052=CONFIG_METADATA!$B$4),IF(DATOS!$G9052="EX",1,IF(DATOS!$G9052="OR",--(COUNTIFS(nNIA,DATOS!$A9052,nCURSO,DATOS!$D9052,nESPEC,DATOS!$E9052,nASIG,DATOS!$I9052,nEVAL,"EX")=0),0))))</f>
      </c>
      <c r="H9052">
        <f>IF(DATOS!$G9052&lt;&gt;"EX",0,--(COUNTIFS(nNIA,DATOS!$A9052,nCURSO,DATOS!$D9052,nESPEC,DATOS!$E9052,nASIG,DATOS!$I9052,nEVAL,"OR")=0))</f>
      </c>
      <c r="I9052">
        <f>IF(DATOS!$I9052="","",IFERROR(VLOOKUP(DATOS!$I9052,CONFIG_ASIGNATURAS!$B$2:$J$91,9,FALSE()),""))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IF(DATOS!$A9053="",0,IF(CONFIG_METADATA!$B$4&lt;&gt;"OR+EX",--(DATOS!$G9053=CONFIG_METADATA!$B$4),IF(DATOS!$G9053="EX",1,IF(DATOS!$G9053="OR",--(COUNTIFS(nNIA,DATOS!$A9053,nCURSO,DATOS!$D9053,nESPEC,DATOS!$E9053,nASIG,DATOS!$I9053,nEVAL,"EX")=0),0))))</f>
      </c>
      <c r="H9053">
        <f>IF(DATOS!$G9053&lt;&gt;"EX",0,--(COUNTIFS(nNIA,DATOS!$A9053,nCURSO,DATOS!$D9053,nESPEC,DATOS!$E9053,nASIG,DATOS!$I9053,nEVAL,"OR")=0))</f>
      </c>
      <c r="I9053">
        <f>IF(DATOS!$I9053="","",IFERROR(VLOOKUP(DATOS!$I9053,CONFIG_ASIGNATURAS!$B$2:$J$91,9,FALSE()),""))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IF(DATOS!$A9054="",0,IF(CONFIG_METADATA!$B$4&lt;&gt;"OR+EX",--(DATOS!$G9054=CONFIG_METADATA!$B$4),IF(DATOS!$G9054="EX",1,IF(DATOS!$G9054="OR",--(COUNTIFS(nNIA,DATOS!$A9054,nCURSO,DATOS!$D9054,nESPEC,DATOS!$E9054,nASIG,DATOS!$I9054,nEVAL,"EX")=0),0))))</f>
      </c>
      <c r="H9054">
        <f>IF(DATOS!$G9054&lt;&gt;"EX",0,--(COUNTIFS(nNIA,DATOS!$A9054,nCURSO,DATOS!$D9054,nESPEC,DATOS!$E9054,nASIG,DATOS!$I9054,nEVAL,"OR")=0))</f>
      </c>
      <c r="I9054">
        <f>IF(DATOS!$I9054="","",IFERROR(VLOOKUP(DATOS!$I9054,CONFIG_ASIGNATURAS!$B$2:$J$91,9,FALSE()),""))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IF(DATOS!$A9055="",0,IF(CONFIG_METADATA!$B$4&lt;&gt;"OR+EX",--(DATOS!$G9055=CONFIG_METADATA!$B$4),IF(DATOS!$G9055="EX",1,IF(DATOS!$G9055="OR",--(COUNTIFS(nNIA,DATOS!$A9055,nCURSO,DATOS!$D9055,nESPEC,DATOS!$E9055,nASIG,DATOS!$I9055,nEVAL,"EX")=0),0))))</f>
      </c>
      <c r="H9055">
        <f>IF(DATOS!$G9055&lt;&gt;"EX",0,--(COUNTIFS(nNIA,DATOS!$A9055,nCURSO,DATOS!$D9055,nESPEC,DATOS!$E9055,nASIG,DATOS!$I9055,nEVAL,"OR")=0))</f>
      </c>
      <c r="I9055">
        <f>IF(DATOS!$I9055="","",IFERROR(VLOOKUP(DATOS!$I9055,CONFIG_ASIGNATURAS!$B$2:$J$91,9,FALSE()),""))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IF(DATOS!$A9056="",0,IF(CONFIG_METADATA!$B$4&lt;&gt;"OR+EX",--(DATOS!$G9056=CONFIG_METADATA!$B$4),IF(DATOS!$G9056="EX",1,IF(DATOS!$G9056="OR",--(COUNTIFS(nNIA,DATOS!$A9056,nCURSO,DATOS!$D9056,nESPEC,DATOS!$E9056,nASIG,DATOS!$I9056,nEVAL,"EX")=0),0))))</f>
      </c>
      <c r="H9056">
        <f>IF(DATOS!$G9056&lt;&gt;"EX",0,--(COUNTIFS(nNIA,DATOS!$A9056,nCURSO,DATOS!$D9056,nESPEC,DATOS!$E9056,nASIG,DATOS!$I9056,nEVAL,"OR")=0))</f>
      </c>
      <c r="I9056">
        <f>IF(DATOS!$I9056="","",IFERROR(VLOOKUP(DATOS!$I9056,CONFIG_ASIGNATURAS!$B$2:$J$91,9,FALSE()),""))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IF(DATOS!$A9057="",0,IF(CONFIG_METADATA!$B$4&lt;&gt;"OR+EX",--(DATOS!$G9057=CONFIG_METADATA!$B$4),IF(DATOS!$G9057="EX",1,IF(DATOS!$G9057="OR",--(COUNTIFS(nNIA,DATOS!$A9057,nCURSO,DATOS!$D9057,nESPEC,DATOS!$E9057,nASIG,DATOS!$I9057,nEVAL,"EX")=0),0))))</f>
      </c>
      <c r="H9057">
        <f>IF(DATOS!$G9057&lt;&gt;"EX",0,--(COUNTIFS(nNIA,DATOS!$A9057,nCURSO,DATOS!$D9057,nESPEC,DATOS!$E9057,nASIG,DATOS!$I9057,nEVAL,"OR")=0))</f>
      </c>
      <c r="I9057">
        <f>IF(DATOS!$I9057="","",IFERROR(VLOOKUP(DATOS!$I9057,CONFIG_ASIGNATURAS!$B$2:$J$91,9,FALSE()),""))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IF(DATOS!$A9058="",0,IF(CONFIG_METADATA!$B$4&lt;&gt;"OR+EX",--(DATOS!$G9058=CONFIG_METADATA!$B$4),IF(DATOS!$G9058="EX",1,IF(DATOS!$G9058="OR",--(COUNTIFS(nNIA,DATOS!$A9058,nCURSO,DATOS!$D9058,nESPEC,DATOS!$E9058,nASIG,DATOS!$I9058,nEVAL,"EX")=0),0))))</f>
      </c>
      <c r="H9058">
        <f>IF(DATOS!$G9058&lt;&gt;"EX",0,--(COUNTIFS(nNIA,DATOS!$A9058,nCURSO,DATOS!$D9058,nESPEC,DATOS!$E9058,nASIG,DATOS!$I9058,nEVAL,"OR")=0))</f>
      </c>
      <c r="I9058">
        <f>IF(DATOS!$I9058="","",IFERROR(VLOOKUP(DATOS!$I9058,CONFIG_ASIGNATURAS!$B$2:$J$91,9,FALSE()),""))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IF(DATOS!$A9059="",0,IF(CONFIG_METADATA!$B$4&lt;&gt;"OR+EX",--(DATOS!$G9059=CONFIG_METADATA!$B$4),IF(DATOS!$G9059="EX",1,IF(DATOS!$G9059="OR",--(COUNTIFS(nNIA,DATOS!$A9059,nCURSO,DATOS!$D9059,nESPEC,DATOS!$E9059,nASIG,DATOS!$I9059,nEVAL,"EX")=0),0))))</f>
      </c>
      <c r="H9059">
        <f>IF(DATOS!$G9059&lt;&gt;"EX",0,--(COUNTIFS(nNIA,DATOS!$A9059,nCURSO,DATOS!$D9059,nESPEC,DATOS!$E9059,nASIG,DATOS!$I9059,nEVAL,"OR")=0))</f>
      </c>
      <c r="I9059">
        <f>IF(DATOS!$I9059="","",IFERROR(VLOOKUP(DATOS!$I9059,CONFIG_ASIGNATURAS!$B$2:$J$91,9,FALSE()),""))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IF(DATOS!$A9060="",0,IF(CONFIG_METADATA!$B$4&lt;&gt;"OR+EX",--(DATOS!$G9060=CONFIG_METADATA!$B$4),IF(DATOS!$G9060="EX",1,IF(DATOS!$G9060="OR",--(COUNTIFS(nNIA,DATOS!$A9060,nCURSO,DATOS!$D9060,nESPEC,DATOS!$E9060,nASIG,DATOS!$I9060,nEVAL,"EX")=0),0))))</f>
      </c>
      <c r="H9060">
        <f>IF(DATOS!$G9060&lt;&gt;"EX",0,--(COUNTIFS(nNIA,DATOS!$A9060,nCURSO,DATOS!$D9060,nESPEC,DATOS!$E9060,nASIG,DATOS!$I9060,nEVAL,"OR")=0))</f>
      </c>
      <c r="I9060">
        <f>IF(DATOS!$I9060="","",IFERROR(VLOOKUP(DATOS!$I9060,CONFIG_ASIGNATURAS!$B$2:$J$91,9,FALSE()),""))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IF(DATOS!$A9061="",0,IF(CONFIG_METADATA!$B$4&lt;&gt;"OR+EX",--(DATOS!$G9061=CONFIG_METADATA!$B$4),IF(DATOS!$G9061="EX",1,IF(DATOS!$G9061="OR",--(COUNTIFS(nNIA,DATOS!$A9061,nCURSO,DATOS!$D9061,nESPEC,DATOS!$E9061,nASIG,DATOS!$I9061,nEVAL,"EX")=0),0))))</f>
      </c>
      <c r="H9061">
        <f>IF(DATOS!$G9061&lt;&gt;"EX",0,--(COUNTIFS(nNIA,DATOS!$A9061,nCURSO,DATOS!$D9061,nESPEC,DATOS!$E9061,nASIG,DATOS!$I9061,nEVAL,"OR")=0))</f>
      </c>
      <c r="I9061">
        <f>IF(DATOS!$I9061="","",IFERROR(VLOOKUP(DATOS!$I9061,CONFIG_ASIGNATURAS!$B$2:$J$91,9,FALSE()),""))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IF(DATOS!$A9062="",0,IF(CONFIG_METADATA!$B$4&lt;&gt;"OR+EX",--(DATOS!$G9062=CONFIG_METADATA!$B$4),IF(DATOS!$G9062="EX",1,IF(DATOS!$G9062="OR",--(COUNTIFS(nNIA,DATOS!$A9062,nCURSO,DATOS!$D9062,nESPEC,DATOS!$E9062,nASIG,DATOS!$I9062,nEVAL,"EX")=0),0))))</f>
      </c>
      <c r="H9062">
        <f>IF(DATOS!$G9062&lt;&gt;"EX",0,--(COUNTIFS(nNIA,DATOS!$A9062,nCURSO,DATOS!$D9062,nESPEC,DATOS!$E9062,nASIG,DATOS!$I9062,nEVAL,"OR")=0))</f>
      </c>
      <c r="I9062">
        <f>IF(DATOS!$I9062="","",IFERROR(VLOOKUP(DATOS!$I9062,CONFIG_ASIGNATURAS!$B$2:$J$91,9,FALSE()),""))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IF(DATOS!$A9063="",0,IF(CONFIG_METADATA!$B$4&lt;&gt;"OR+EX",--(DATOS!$G9063=CONFIG_METADATA!$B$4),IF(DATOS!$G9063="EX",1,IF(DATOS!$G9063="OR",--(COUNTIFS(nNIA,DATOS!$A9063,nCURSO,DATOS!$D9063,nESPEC,DATOS!$E9063,nASIG,DATOS!$I9063,nEVAL,"EX")=0),0))))</f>
      </c>
      <c r="H9063">
        <f>IF(DATOS!$G9063&lt;&gt;"EX",0,--(COUNTIFS(nNIA,DATOS!$A9063,nCURSO,DATOS!$D9063,nESPEC,DATOS!$E9063,nASIG,DATOS!$I9063,nEVAL,"OR")=0))</f>
      </c>
      <c r="I9063">
        <f>IF(DATOS!$I9063="","",IFERROR(VLOOKUP(DATOS!$I9063,CONFIG_ASIGNATURAS!$B$2:$J$91,9,FALSE()),""))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IF(DATOS!$A9064="",0,IF(CONFIG_METADATA!$B$4&lt;&gt;"OR+EX",--(DATOS!$G9064=CONFIG_METADATA!$B$4),IF(DATOS!$G9064="EX",1,IF(DATOS!$G9064="OR",--(COUNTIFS(nNIA,DATOS!$A9064,nCURSO,DATOS!$D9064,nESPEC,DATOS!$E9064,nASIG,DATOS!$I9064,nEVAL,"EX")=0),0))))</f>
      </c>
      <c r="H9064">
        <f>IF(DATOS!$G9064&lt;&gt;"EX",0,--(COUNTIFS(nNIA,DATOS!$A9064,nCURSO,DATOS!$D9064,nESPEC,DATOS!$E9064,nASIG,DATOS!$I9064,nEVAL,"OR")=0))</f>
      </c>
      <c r="I9064">
        <f>IF(DATOS!$I9064="","",IFERROR(VLOOKUP(DATOS!$I9064,CONFIG_ASIGNATURAS!$B$2:$J$91,9,FALSE()),""))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IF(DATOS!$A9065="",0,IF(CONFIG_METADATA!$B$4&lt;&gt;"OR+EX",--(DATOS!$G9065=CONFIG_METADATA!$B$4),IF(DATOS!$G9065="EX",1,IF(DATOS!$G9065="OR",--(COUNTIFS(nNIA,DATOS!$A9065,nCURSO,DATOS!$D9065,nESPEC,DATOS!$E9065,nASIG,DATOS!$I9065,nEVAL,"EX")=0),0))))</f>
      </c>
      <c r="H9065">
        <f>IF(DATOS!$G9065&lt;&gt;"EX",0,--(COUNTIFS(nNIA,DATOS!$A9065,nCURSO,DATOS!$D9065,nESPEC,DATOS!$E9065,nASIG,DATOS!$I9065,nEVAL,"OR")=0))</f>
      </c>
      <c r="I9065">
        <f>IF(DATOS!$I9065="","",IFERROR(VLOOKUP(DATOS!$I9065,CONFIG_ASIGNATURAS!$B$2:$J$91,9,FALSE()),""))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IF(DATOS!$A9066="",0,IF(CONFIG_METADATA!$B$4&lt;&gt;"OR+EX",--(DATOS!$G9066=CONFIG_METADATA!$B$4),IF(DATOS!$G9066="EX",1,IF(DATOS!$G9066="OR",--(COUNTIFS(nNIA,DATOS!$A9066,nCURSO,DATOS!$D9066,nESPEC,DATOS!$E9066,nASIG,DATOS!$I9066,nEVAL,"EX")=0),0))))</f>
      </c>
      <c r="H9066">
        <f>IF(DATOS!$G9066&lt;&gt;"EX",0,--(COUNTIFS(nNIA,DATOS!$A9066,nCURSO,DATOS!$D9066,nESPEC,DATOS!$E9066,nASIG,DATOS!$I9066,nEVAL,"OR")=0))</f>
      </c>
      <c r="I9066">
        <f>IF(DATOS!$I9066="","",IFERROR(VLOOKUP(DATOS!$I9066,CONFIG_ASIGNATURAS!$B$2:$J$91,9,FALSE()),""))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IF(DATOS!$A9067="",0,IF(CONFIG_METADATA!$B$4&lt;&gt;"OR+EX",--(DATOS!$G9067=CONFIG_METADATA!$B$4),IF(DATOS!$G9067="EX",1,IF(DATOS!$G9067="OR",--(COUNTIFS(nNIA,DATOS!$A9067,nCURSO,DATOS!$D9067,nESPEC,DATOS!$E9067,nASIG,DATOS!$I9067,nEVAL,"EX")=0),0))))</f>
      </c>
      <c r="H9067">
        <f>IF(DATOS!$G9067&lt;&gt;"EX",0,--(COUNTIFS(nNIA,DATOS!$A9067,nCURSO,DATOS!$D9067,nESPEC,DATOS!$E9067,nASIG,DATOS!$I9067,nEVAL,"OR")=0))</f>
      </c>
      <c r="I9067">
        <f>IF(DATOS!$I9067="","",IFERROR(VLOOKUP(DATOS!$I9067,CONFIG_ASIGNATURAS!$B$2:$J$91,9,FALSE()),""))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IF(DATOS!$A9068="",0,IF(CONFIG_METADATA!$B$4&lt;&gt;"OR+EX",--(DATOS!$G9068=CONFIG_METADATA!$B$4),IF(DATOS!$G9068="EX",1,IF(DATOS!$G9068="OR",--(COUNTIFS(nNIA,DATOS!$A9068,nCURSO,DATOS!$D9068,nESPEC,DATOS!$E9068,nASIG,DATOS!$I9068,nEVAL,"EX")=0),0))))</f>
      </c>
      <c r="H9068">
        <f>IF(DATOS!$G9068&lt;&gt;"EX",0,--(COUNTIFS(nNIA,DATOS!$A9068,nCURSO,DATOS!$D9068,nESPEC,DATOS!$E9068,nASIG,DATOS!$I9068,nEVAL,"OR")=0))</f>
      </c>
      <c r="I9068">
        <f>IF(DATOS!$I9068="","",IFERROR(VLOOKUP(DATOS!$I9068,CONFIG_ASIGNATURAS!$B$2:$J$91,9,FALSE()),""))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IF(DATOS!$A9069="",0,IF(CONFIG_METADATA!$B$4&lt;&gt;"OR+EX",--(DATOS!$G9069=CONFIG_METADATA!$B$4),IF(DATOS!$G9069="EX",1,IF(DATOS!$G9069="OR",--(COUNTIFS(nNIA,DATOS!$A9069,nCURSO,DATOS!$D9069,nESPEC,DATOS!$E9069,nASIG,DATOS!$I9069,nEVAL,"EX")=0),0))))</f>
      </c>
      <c r="H9069">
        <f>IF(DATOS!$G9069&lt;&gt;"EX",0,--(COUNTIFS(nNIA,DATOS!$A9069,nCURSO,DATOS!$D9069,nESPEC,DATOS!$E9069,nASIG,DATOS!$I9069,nEVAL,"OR")=0))</f>
      </c>
      <c r="I9069">
        <f>IF(DATOS!$I9069="","",IFERROR(VLOOKUP(DATOS!$I9069,CONFIG_ASIGNATURAS!$B$2:$J$91,9,FALSE()),""))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IF(DATOS!$A9070="",0,IF(CONFIG_METADATA!$B$4&lt;&gt;"OR+EX",--(DATOS!$G9070=CONFIG_METADATA!$B$4),IF(DATOS!$G9070="EX",1,IF(DATOS!$G9070="OR",--(COUNTIFS(nNIA,DATOS!$A9070,nCURSO,DATOS!$D9070,nESPEC,DATOS!$E9070,nASIG,DATOS!$I9070,nEVAL,"EX")=0),0))))</f>
      </c>
      <c r="H9070">
        <f>IF(DATOS!$G9070&lt;&gt;"EX",0,--(COUNTIFS(nNIA,DATOS!$A9070,nCURSO,DATOS!$D9070,nESPEC,DATOS!$E9070,nASIG,DATOS!$I9070,nEVAL,"OR")=0))</f>
      </c>
      <c r="I9070">
        <f>IF(DATOS!$I9070="","",IFERROR(VLOOKUP(DATOS!$I9070,CONFIG_ASIGNATURAS!$B$2:$J$91,9,FALSE()),""))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IF(DATOS!$A9071="",0,IF(CONFIG_METADATA!$B$4&lt;&gt;"OR+EX",--(DATOS!$G9071=CONFIG_METADATA!$B$4),IF(DATOS!$G9071="EX",1,IF(DATOS!$G9071="OR",--(COUNTIFS(nNIA,DATOS!$A9071,nCURSO,DATOS!$D9071,nESPEC,DATOS!$E9071,nASIG,DATOS!$I9071,nEVAL,"EX")=0),0))))</f>
      </c>
      <c r="H9071">
        <f>IF(DATOS!$G9071&lt;&gt;"EX",0,--(COUNTIFS(nNIA,DATOS!$A9071,nCURSO,DATOS!$D9071,nESPEC,DATOS!$E9071,nASIG,DATOS!$I9071,nEVAL,"OR")=0))</f>
      </c>
      <c r="I9071">
        <f>IF(DATOS!$I9071="","",IFERROR(VLOOKUP(DATOS!$I9071,CONFIG_ASIGNATURAS!$B$2:$J$91,9,FALSE()),""))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IF(DATOS!$A9072="",0,IF(CONFIG_METADATA!$B$4&lt;&gt;"OR+EX",--(DATOS!$G9072=CONFIG_METADATA!$B$4),IF(DATOS!$G9072="EX",1,IF(DATOS!$G9072="OR",--(COUNTIFS(nNIA,DATOS!$A9072,nCURSO,DATOS!$D9072,nESPEC,DATOS!$E9072,nASIG,DATOS!$I9072,nEVAL,"EX")=0),0))))</f>
      </c>
      <c r="H9072">
        <f>IF(DATOS!$G9072&lt;&gt;"EX",0,--(COUNTIFS(nNIA,DATOS!$A9072,nCURSO,DATOS!$D9072,nESPEC,DATOS!$E9072,nASIG,DATOS!$I9072,nEVAL,"OR")=0))</f>
      </c>
      <c r="I9072">
        <f>IF(DATOS!$I9072="","",IFERROR(VLOOKUP(DATOS!$I9072,CONFIG_ASIGNATURAS!$B$2:$J$91,9,FALSE()),""))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IF(DATOS!$A9073="",0,IF(CONFIG_METADATA!$B$4&lt;&gt;"OR+EX",--(DATOS!$G9073=CONFIG_METADATA!$B$4),IF(DATOS!$G9073="EX",1,IF(DATOS!$G9073="OR",--(COUNTIFS(nNIA,DATOS!$A9073,nCURSO,DATOS!$D9073,nESPEC,DATOS!$E9073,nASIG,DATOS!$I9073,nEVAL,"EX")=0),0))))</f>
      </c>
      <c r="H9073">
        <f>IF(DATOS!$G9073&lt;&gt;"EX",0,--(COUNTIFS(nNIA,DATOS!$A9073,nCURSO,DATOS!$D9073,nESPEC,DATOS!$E9073,nASIG,DATOS!$I9073,nEVAL,"OR")=0))</f>
      </c>
      <c r="I9073">
        <f>IF(DATOS!$I9073="","",IFERROR(VLOOKUP(DATOS!$I9073,CONFIG_ASIGNATURAS!$B$2:$J$91,9,FALSE()),""))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IF(DATOS!$A9074="",0,IF(CONFIG_METADATA!$B$4&lt;&gt;"OR+EX",--(DATOS!$G9074=CONFIG_METADATA!$B$4),IF(DATOS!$G9074="EX",1,IF(DATOS!$G9074="OR",--(COUNTIFS(nNIA,DATOS!$A9074,nCURSO,DATOS!$D9074,nESPEC,DATOS!$E9074,nASIG,DATOS!$I9074,nEVAL,"EX")=0),0))))</f>
      </c>
      <c r="H9074">
        <f>IF(DATOS!$G9074&lt;&gt;"EX",0,--(COUNTIFS(nNIA,DATOS!$A9074,nCURSO,DATOS!$D9074,nESPEC,DATOS!$E9074,nASIG,DATOS!$I9074,nEVAL,"OR")=0))</f>
      </c>
      <c r="I9074">
        <f>IF(DATOS!$I9074="","",IFERROR(VLOOKUP(DATOS!$I9074,CONFIG_ASIGNATURAS!$B$2:$J$91,9,FALSE()),""))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IF(DATOS!$A9075="",0,IF(CONFIG_METADATA!$B$4&lt;&gt;"OR+EX",--(DATOS!$G9075=CONFIG_METADATA!$B$4),IF(DATOS!$G9075="EX",1,IF(DATOS!$G9075="OR",--(COUNTIFS(nNIA,DATOS!$A9075,nCURSO,DATOS!$D9075,nESPEC,DATOS!$E9075,nASIG,DATOS!$I9075,nEVAL,"EX")=0),0))))</f>
      </c>
      <c r="H9075">
        <f>IF(DATOS!$G9075&lt;&gt;"EX",0,--(COUNTIFS(nNIA,DATOS!$A9075,nCURSO,DATOS!$D9075,nESPEC,DATOS!$E9075,nASIG,DATOS!$I9075,nEVAL,"OR")=0))</f>
      </c>
      <c r="I9075">
        <f>IF(DATOS!$I9075="","",IFERROR(VLOOKUP(DATOS!$I9075,CONFIG_ASIGNATURAS!$B$2:$J$91,9,FALSE()),""))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IF(DATOS!$A9076="",0,IF(CONFIG_METADATA!$B$4&lt;&gt;"OR+EX",--(DATOS!$G9076=CONFIG_METADATA!$B$4),IF(DATOS!$G9076="EX",1,IF(DATOS!$G9076="OR",--(COUNTIFS(nNIA,DATOS!$A9076,nCURSO,DATOS!$D9076,nESPEC,DATOS!$E9076,nASIG,DATOS!$I9076,nEVAL,"EX")=0),0))))</f>
      </c>
      <c r="H9076">
        <f>IF(DATOS!$G9076&lt;&gt;"EX",0,--(COUNTIFS(nNIA,DATOS!$A9076,nCURSO,DATOS!$D9076,nESPEC,DATOS!$E9076,nASIG,DATOS!$I9076,nEVAL,"OR")=0))</f>
      </c>
      <c r="I9076">
        <f>IF(DATOS!$I9076="","",IFERROR(VLOOKUP(DATOS!$I9076,CONFIG_ASIGNATURAS!$B$2:$J$91,9,FALSE()),""))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IF(DATOS!$A9077="",0,IF(CONFIG_METADATA!$B$4&lt;&gt;"OR+EX",--(DATOS!$G9077=CONFIG_METADATA!$B$4),IF(DATOS!$G9077="EX",1,IF(DATOS!$G9077="OR",--(COUNTIFS(nNIA,DATOS!$A9077,nCURSO,DATOS!$D9077,nESPEC,DATOS!$E9077,nASIG,DATOS!$I9077,nEVAL,"EX")=0),0))))</f>
      </c>
      <c r="H9077">
        <f>IF(DATOS!$G9077&lt;&gt;"EX",0,--(COUNTIFS(nNIA,DATOS!$A9077,nCURSO,DATOS!$D9077,nESPEC,DATOS!$E9077,nASIG,DATOS!$I9077,nEVAL,"OR")=0))</f>
      </c>
      <c r="I9077">
        <f>IF(DATOS!$I9077="","",IFERROR(VLOOKUP(DATOS!$I9077,CONFIG_ASIGNATURAS!$B$2:$J$91,9,FALSE()),""))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IF(DATOS!$A9078="",0,IF(CONFIG_METADATA!$B$4&lt;&gt;"OR+EX",--(DATOS!$G9078=CONFIG_METADATA!$B$4),IF(DATOS!$G9078="EX",1,IF(DATOS!$G9078="OR",--(COUNTIFS(nNIA,DATOS!$A9078,nCURSO,DATOS!$D9078,nESPEC,DATOS!$E9078,nASIG,DATOS!$I9078,nEVAL,"EX")=0),0))))</f>
      </c>
      <c r="H9078">
        <f>IF(DATOS!$G9078&lt;&gt;"EX",0,--(COUNTIFS(nNIA,DATOS!$A9078,nCURSO,DATOS!$D9078,nESPEC,DATOS!$E9078,nASIG,DATOS!$I9078,nEVAL,"OR")=0))</f>
      </c>
      <c r="I9078">
        <f>IF(DATOS!$I9078="","",IFERROR(VLOOKUP(DATOS!$I9078,CONFIG_ASIGNATURAS!$B$2:$J$91,9,FALSE()),""))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IF(DATOS!$A9079="",0,IF(CONFIG_METADATA!$B$4&lt;&gt;"OR+EX",--(DATOS!$G9079=CONFIG_METADATA!$B$4),IF(DATOS!$G9079="EX",1,IF(DATOS!$G9079="OR",--(COUNTIFS(nNIA,DATOS!$A9079,nCURSO,DATOS!$D9079,nESPEC,DATOS!$E9079,nASIG,DATOS!$I9079,nEVAL,"EX")=0),0))))</f>
      </c>
      <c r="H9079">
        <f>IF(DATOS!$G9079&lt;&gt;"EX",0,--(COUNTIFS(nNIA,DATOS!$A9079,nCURSO,DATOS!$D9079,nESPEC,DATOS!$E9079,nASIG,DATOS!$I9079,nEVAL,"OR")=0))</f>
      </c>
      <c r="I9079">
        <f>IF(DATOS!$I9079="","",IFERROR(VLOOKUP(DATOS!$I9079,CONFIG_ASIGNATURAS!$B$2:$J$91,9,FALSE()),""))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IF(DATOS!$A9080="",0,IF(CONFIG_METADATA!$B$4&lt;&gt;"OR+EX",--(DATOS!$G9080=CONFIG_METADATA!$B$4),IF(DATOS!$G9080="EX",1,IF(DATOS!$G9080="OR",--(COUNTIFS(nNIA,DATOS!$A9080,nCURSO,DATOS!$D9080,nESPEC,DATOS!$E9080,nASIG,DATOS!$I9080,nEVAL,"EX")=0),0))))</f>
      </c>
      <c r="H9080">
        <f>IF(DATOS!$G9080&lt;&gt;"EX",0,--(COUNTIFS(nNIA,DATOS!$A9080,nCURSO,DATOS!$D9080,nESPEC,DATOS!$E9080,nASIG,DATOS!$I9080,nEVAL,"OR")=0))</f>
      </c>
      <c r="I9080">
        <f>IF(DATOS!$I9080="","",IFERROR(VLOOKUP(DATOS!$I9080,CONFIG_ASIGNATURAS!$B$2:$J$91,9,FALSE()),""))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IF(DATOS!$A9081="",0,IF(CONFIG_METADATA!$B$4&lt;&gt;"OR+EX",--(DATOS!$G9081=CONFIG_METADATA!$B$4),IF(DATOS!$G9081="EX",1,IF(DATOS!$G9081="OR",--(COUNTIFS(nNIA,DATOS!$A9081,nCURSO,DATOS!$D9081,nESPEC,DATOS!$E9081,nASIG,DATOS!$I9081,nEVAL,"EX")=0),0))))</f>
      </c>
      <c r="H9081">
        <f>IF(DATOS!$G9081&lt;&gt;"EX",0,--(COUNTIFS(nNIA,DATOS!$A9081,nCURSO,DATOS!$D9081,nESPEC,DATOS!$E9081,nASIG,DATOS!$I9081,nEVAL,"OR")=0))</f>
      </c>
      <c r="I9081">
        <f>IF(DATOS!$I9081="","",IFERROR(VLOOKUP(DATOS!$I9081,CONFIG_ASIGNATURAS!$B$2:$J$91,9,FALSE()),""))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IF(DATOS!$A9082="",0,IF(CONFIG_METADATA!$B$4&lt;&gt;"OR+EX",--(DATOS!$G9082=CONFIG_METADATA!$B$4),IF(DATOS!$G9082="EX",1,IF(DATOS!$G9082="OR",--(COUNTIFS(nNIA,DATOS!$A9082,nCURSO,DATOS!$D9082,nESPEC,DATOS!$E9082,nASIG,DATOS!$I9082,nEVAL,"EX")=0),0))))</f>
      </c>
      <c r="H9082">
        <f>IF(DATOS!$G9082&lt;&gt;"EX",0,--(COUNTIFS(nNIA,DATOS!$A9082,nCURSO,DATOS!$D9082,nESPEC,DATOS!$E9082,nASIG,DATOS!$I9082,nEVAL,"OR")=0))</f>
      </c>
      <c r="I9082">
        <f>IF(DATOS!$I9082="","",IFERROR(VLOOKUP(DATOS!$I9082,CONFIG_ASIGNATURAS!$B$2:$J$91,9,FALSE()),""))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IF(DATOS!$A9083="",0,IF(CONFIG_METADATA!$B$4&lt;&gt;"OR+EX",--(DATOS!$G9083=CONFIG_METADATA!$B$4),IF(DATOS!$G9083="EX",1,IF(DATOS!$G9083="OR",--(COUNTIFS(nNIA,DATOS!$A9083,nCURSO,DATOS!$D9083,nESPEC,DATOS!$E9083,nASIG,DATOS!$I9083,nEVAL,"EX")=0),0))))</f>
      </c>
      <c r="H9083">
        <f>IF(DATOS!$G9083&lt;&gt;"EX",0,--(COUNTIFS(nNIA,DATOS!$A9083,nCURSO,DATOS!$D9083,nESPEC,DATOS!$E9083,nASIG,DATOS!$I9083,nEVAL,"OR")=0))</f>
      </c>
      <c r="I9083">
        <f>IF(DATOS!$I9083="","",IFERROR(VLOOKUP(DATOS!$I9083,CONFIG_ASIGNATURAS!$B$2:$J$91,9,FALSE()),""))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IF(DATOS!$A9084="",0,IF(CONFIG_METADATA!$B$4&lt;&gt;"OR+EX",--(DATOS!$G9084=CONFIG_METADATA!$B$4),IF(DATOS!$G9084="EX",1,IF(DATOS!$G9084="OR",--(COUNTIFS(nNIA,DATOS!$A9084,nCURSO,DATOS!$D9084,nESPEC,DATOS!$E9084,nASIG,DATOS!$I9084,nEVAL,"EX")=0),0))))</f>
      </c>
      <c r="H9084">
        <f>IF(DATOS!$G9084&lt;&gt;"EX",0,--(COUNTIFS(nNIA,DATOS!$A9084,nCURSO,DATOS!$D9084,nESPEC,DATOS!$E9084,nASIG,DATOS!$I9084,nEVAL,"OR")=0))</f>
      </c>
      <c r="I9084">
        <f>IF(DATOS!$I9084="","",IFERROR(VLOOKUP(DATOS!$I9084,CONFIG_ASIGNATURAS!$B$2:$J$91,9,FALSE()),""))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IF(DATOS!$A9085="",0,IF(CONFIG_METADATA!$B$4&lt;&gt;"OR+EX",--(DATOS!$G9085=CONFIG_METADATA!$B$4),IF(DATOS!$G9085="EX",1,IF(DATOS!$G9085="OR",--(COUNTIFS(nNIA,DATOS!$A9085,nCURSO,DATOS!$D9085,nESPEC,DATOS!$E9085,nASIG,DATOS!$I9085,nEVAL,"EX")=0),0))))</f>
      </c>
      <c r="H9085">
        <f>IF(DATOS!$G9085&lt;&gt;"EX",0,--(COUNTIFS(nNIA,DATOS!$A9085,nCURSO,DATOS!$D9085,nESPEC,DATOS!$E9085,nASIG,DATOS!$I9085,nEVAL,"OR")=0))</f>
      </c>
      <c r="I9085">
        <f>IF(DATOS!$I9085="","",IFERROR(VLOOKUP(DATOS!$I9085,CONFIG_ASIGNATURAS!$B$2:$J$91,9,FALSE()),""))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IF(DATOS!$A9086="",0,IF(CONFIG_METADATA!$B$4&lt;&gt;"OR+EX",--(DATOS!$G9086=CONFIG_METADATA!$B$4),IF(DATOS!$G9086="EX",1,IF(DATOS!$G9086="OR",--(COUNTIFS(nNIA,DATOS!$A9086,nCURSO,DATOS!$D9086,nESPEC,DATOS!$E9086,nASIG,DATOS!$I9086,nEVAL,"EX")=0),0))))</f>
      </c>
      <c r="H9086">
        <f>IF(DATOS!$G9086&lt;&gt;"EX",0,--(COUNTIFS(nNIA,DATOS!$A9086,nCURSO,DATOS!$D9086,nESPEC,DATOS!$E9086,nASIG,DATOS!$I9086,nEVAL,"OR")=0))</f>
      </c>
      <c r="I9086">
        <f>IF(DATOS!$I9086="","",IFERROR(VLOOKUP(DATOS!$I9086,CONFIG_ASIGNATURAS!$B$2:$J$91,9,FALSE()),""))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IF(DATOS!$A9087="",0,IF(CONFIG_METADATA!$B$4&lt;&gt;"OR+EX",--(DATOS!$G9087=CONFIG_METADATA!$B$4),IF(DATOS!$G9087="EX",1,IF(DATOS!$G9087="OR",--(COUNTIFS(nNIA,DATOS!$A9087,nCURSO,DATOS!$D9087,nESPEC,DATOS!$E9087,nASIG,DATOS!$I9087,nEVAL,"EX")=0),0))))</f>
      </c>
      <c r="H9087">
        <f>IF(DATOS!$G9087&lt;&gt;"EX",0,--(COUNTIFS(nNIA,DATOS!$A9087,nCURSO,DATOS!$D9087,nESPEC,DATOS!$E9087,nASIG,DATOS!$I9087,nEVAL,"OR")=0))</f>
      </c>
      <c r="I9087">
        <f>IF(DATOS!$I9087="","",IFERROR(VLOOKUP(DATOS!$I9087,CONFIG_ASIGNATURAS!$B$2:$J$91,9,FALSE()),""))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IF(DATOS!$A9088="",0,IF(CONFIG_METADATA!$B$4&lt;&gt;"OR+EX",--(DATOS!$G9088=CONFIG_METADATA!$B$4),IF(DATOS!$G9088="EX",1,IF(DATOS!$G9088="OR",--(COUNTIFS(nNIA,DATOS!$A9088,nCURSO,DATOS!$D9088,nESPEC,DATOS!$E9088,nASIG,DATOS!$I9088,nEVAL,"EX")=0),0))))</f>
      </c>
      <c r="H9088">
        <f>IF(DATOS!$G9088&lt;&gt;"EX",0,--(COUNTIFS(nNIA,DATOS!$A9088,nCURSO,DATOS!$D9088,nESPEC,DATOS!$E9088,nASIG,DATOS!$I9088,nEVAL,"OR")=0))</f>
      </c>
      <c r="I9088">
        <f>IF(DATOS!$I9088="","",IFERROR(VLOOKUP(DATOS!$I9088,CONFIG_ASIGNATURAS!$B$2:$J$91,9,FALSE()),""))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IF(DATOS!$A9089="",0,IF(CONFIG_METADATA!$B$4&lt;&gt;"OR+EX",--(DATOS!$G9089=CONFIG_METADATA!$B$4),IF(DATOS!$G9089="EX",1,IF(DATOS!$G9089="OR",--(COUNTIFS(nNIA,DATOS!$A9089,nCURSO,DATOS!$D9089,nESPEC,DATOS!$E9089,nASIG,DATOS!$I9089,nEVAL,"EX")=0),0))))</f>
      </c>
      <c r="H9089">
        <f>IF(DATOS!$G9089&lt;&gt;"EX",0,--(COUNTIFS(nNIA,DATOS!$A9089,nCURSO,DATOS!$D9089,nESPEC,DATOS!$E9089,nASIG,DATOS!$I9089,nEVAL,"OR")=0))</f>
      </c>
      <c r="I9089">
        <f>IF(DATOS!$I9089="","",IFERROR(VLOOKUP(DATOS!$I9089,CONFIG_ASIGNATURAS!$B$2:$J$91,9,FALSE()),""))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IF(DATOS!$A9090="",0,IF(CONFIG_METADATA!$B$4&lt;&gt;"OR+EX",--(DATOS!$G9090=CONFIG_METADATA!$B$4),IF(DATOS!$G9090="EX",1,IF(DATOS!$G9090="OR",--(COUNTIFS(nNIA,DATOS!$A9090,nCURSO,DATOS!$D9090,nESPEC,DATOS!$E9090,nASIG,DATOS!$I9090,nEVAL,"EX")=0),0))))</f>
      </c>
      <c r="H9090">
        <f>IF(DATOS!$G9090&lt;&gt;"EX",0,--(COUNTIFS(nNIA,DATOS!$A9090,nCURSO,DATOS!$D9090,nESPEC,DATOS!$E9090,nASIG,DATOS!$I9090,nEVAL,"OR")=0))</f>
      </c>
      <c r="I9090">
        <f>IF(DATOS!$I9090="","",IFERROR(VLOOKUP(DATOS!$I9090,CONFIG_ASIGNATURAS!$B$2:$J$91,9,FALSE()),""))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IF(DATOS!$A9091="",0,IF(CONFIG_METADATA!$B$4&lt;&gt;"OR+EX",--(DATOS!$G9091=CONFIG_METADATA!$B$4),IF(DATOS!$G9091="EX",1,IF(DATOS!$G9091="OR",--(COUNTIFS(nNIA,DATOS!$A9091,nCURSO,DATOS!$D9091,nESPEC,DATOS!$E9091,nASIG,DATOS!$I9091,nEVAL,"EX")=0),0))))</f>
      </c>
      <c r="H9091">
        <f>IF(DATOS!$G9091&lt;&gt;"EX",0,--(COUNTIFS(nNIA,DATOS!$A9091,nCURSO,DATOS!$D9091,nESPEC,DATOS!$E9091,nASIG,DATOS!$I9091,nEVAL,"OR")=0))</f>
      </c>
      <c r="I9091">
        <f>IF(DATOS!$I9091="","",IFERROR(VLOOKUP(DATOS!$I9091,CONFIG_ASIGNATURAS!$B$2:$J$91,9,FALSE()),""))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IF(DATOS!$A9092="",0,IF(CONFIG_METADATA!$B$4&lt;&gt;"OR+EX",--(DATOS!$G9092=CONFIG_METADATA!$B$4),IF(DATOS!$G9092="EX",1,IF(DATOS!$G9092="OR",--(COUNTIFS(nNIA,DATOS!$A9092,nCURSO,DATOS!$D9092,nESPEC,DATOS!$E9092,nASIG,DATOS!$I9092,nEVAL,"EX")=0),0))))</f>
      </c>
      <c r="H9092">
        <f>IF(DATOS!$G9092&lt;&gt;"EX",0,--(COUNTIFS(nNIA,DATOS!$A9092,nCURSO,DATOS!$D9092,nESPEC,DATOS!$E9092,nASIG,DATOS!$I9092,nEVAL,"OR")=0))</f>
      </c>
      <c r="I9092">
        <f>IF(DATOS!$I9092="","",IFERROR(VLOOKUP(DATOS!$I9092,CONFIG_ASIGNATURAS!$B$2:$J$91,9,FALSE()),""))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IF(DATOS!$A9093="",0,IF(CONFIG_METADATA!$B$4&lt;&gt;"OR+EX",--(DATOS!$G9093=CONFIG_METADATA!$B$4),IF(DATOS!$G9093="EX",1,IF(DATOS!$G9093="OR",--(COUNTIFS(nNIA,DATOS!$A9093,nCURSO,DATOS!$D9093,nESPEC,DATOS!$E9093,nASIG,DATOS!$I9093,nEVAL,"EX")=0),0))))</f>
      </c>
      <c r="H9093">
        <f>IF(DATOS!$G9093&lt;&gt;"EX",0,--(COUNTIFS(nNIA,DATOS!$A9093,nCURSO,DATOS!$D9093,nESPEC,DATOS!$E9093,nASIG,DATOS!$I9093,nEVAL,"OR")=0))</f>
      </c>
      <c r="I9093">
        <f>IF(DATOS!$I9093="","",IFERROR(VLOOKUP(DATOS!$I9093,CONFIG_ASIGNATURAS!$B$2:$J$91,9,FALSE()),""))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IF(DATOS!$A9094="",0,IF(CONFIG_METADATA!$B$4&lt;&gt;"OR+EX",--(DATOS!$G9094=CONFIG_METADATA!$B$4),IF(DATOS!$G9094="EX",1,IF(DATOS!$G9094="OR",--(COUNTIFS(nNIA,DATOS!$A9094,nCURSO,DATOS!$D9094,nESPEC,DATOS!$E9094,nASIG,DATOS!$I9094,nEVAL,"EX")=0),0))))</f>
      </c>
      <c r="H9094">
        <f>IF(DATOS!$G9094&lt;&gt;"EX",0,--(COUNTIFS(nNIA,DATOS!$A9094,nCURSO,DATOS!$D9094,nESPEC,DATOS!$E9094,nASIG,DATOS!$I9094,nEVAL,"OR")=0))</f>
      </c>
      <c r="I9094">
        <f>IF(DATOS!$I9094="","",IFERROR(VLOOKUP(DATOS!$I9094,CONFIG_ASIGNATURAS!$B$2:$J$91,9,FALSE()),""))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IF(DATOS!$A9095="",0,IF(CONFIG_METADATA!$B$4&lt;&gt;"OR+EX",--(DATOS!$G9095=CONFIG_METADATA!$B$4),IF(DATOS!$G9095="EX",1,IF(DATOS!$G9095="OR",--(COUNTIFS(nNIA,DATOS!$A9095,nCURSO,DATOS!$D9095,nESPEC,DATOS!$E9095,nASIG,DATOS!$I9095,nEVAL,"EX")=0),0))))</f>
      </c>
      <c r="H9095">
        <f>IF(DATOS!$G9095&lt;&gt;"EX",0,--(COUNTIFS(nNIA,DATOS!$A9095,nCURSO,DATOS!$D9095,nESPEC,DATOS!$E9095,nASIG,DATOS!$I9095,nEVAL,"OR")=0))</f>
      </c>
      <c r="I9095">
        <f>IF(DATOS!$I9095="","",IFERROR(VLOOKUP(DATOS!$I9095,CONFIG_ASIGNATURAS!$B$2:$J$91,9,FALSE()),""))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IF(DATOS!$A9096="",0,IF(CONFIG_METADATA!$B$4&lt;&gt;"OR+EX",--(DATOS!$G9096=CONFIG_METADATA!$B$4),IF(DATOS!$G9096="EX",1,IF(DATOS!$G9096="OR",--(COUNTIFS(nNIA,DATOS!$A9096,nCURSO,DATOS!$D9096,nESPEC,DATOS!$E9096,nASIG,DATOS!$I9096,nEVAL,"EX")=0),0))))</f>
      </c>
      <c r="H9096">
        <f>IF(DATOS!$G9096&lt;&gt;"EX",0,--(COUNTIFS(nNIA,DATOS!$A9096,nCURSO,DATOS!$D9096,nESPEC,DATOS!$E9096,nASIG,DATOS!$I9096,nEVAL,"OR")=0))</f>
      </c>
      <c r="I9096">
        <f>IF(DATOS!$I9096="","",IFERROR(VLOOKUP(DATOS!$I9096,CONFIG_ASIGNATURAS!$B$2:$J$91,9,FALSE()),""))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IF(DATOS!$A9097="",0,IF(CONFIG_METADATA!$B$4&lt;&gt;"OR+EX",--(DATOS!$G9097=CONFIG_METADATA!$B$4),IF(DATOS!$G9097="EX",1,IF(DATOS!$G9097="OR",--(COUNTIFS(nNIA,DATOS!$A9097,nCURSO,DATOS!$D9097,nESPEC,DATOS!$E9097,nASIG,DATOS!$I9097,nEVAL,"EX")=0),0))))</f>
      </c>
      <c r="H9097">
        <f>IF(DATOS!$G9097&lt;&gt;"EX",0,--(COUNTIFS(nNIA,DATOS!$A9097,nCURSO,DATOS!$D9097,nESPEC,DATOS!$E9097,nASIG,DATOS!$I9097,nEVAL,"OR")=0))</f>
      </c>
      <c r="I9097">
        <f>IF(DATOS!$I9097="","",IFERROR(VLOOKUP(DATOS!$I9097,CONFIG_ASIGNATURAS!$B$2:$J$91,9,FALSE()),""))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IF(DATOS!$A9098="",0,IF(CONFIG_METADATA!$B$4&lt;&gt;"OR+EX",--(DATOS!$G9098=CONFIG_METADATA!$B$4),IF(DATOS!$G9098="EX",1,IF(DATOS!$G9098="OR",--(COUNTIFS(nNIA,DATOS!$A9098,nCURSO,DATOS!$D9098,nESPEC,DATOS!$E9098,nASIG,DATOS!$I9098,nEVAL,"EX")=0),0))))</f>
      </c>
      <c r="H9098">
        <f>IF(DATOS!$G9098&lt;&gt;"EX",0,--(COUNTIFS(nNIA,DATOS!$A9098,nCURSO,DATOS!$D9098,nESPEC,DATOS!$E9098,nASIG,DATOS!$I9098,nEVAL,"OR")=0))</f>
      </c>
      <c r="I9098">
        <f>IF(DATOS!$I9098="","",IFERROR(VLOOKUP(DATOS!$I9098,CONFIG_ASIGNATURAS!$B$2:$J$91,9,FALSE()),""))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IF(DATOS!$A9099="",0,IF(CONFIG_METADATA!$B$4&lt;&gt;"OR+EX",--(DATOS!$G9099=CONFIG_METADATA!$B$4),IF(DATOS!$G9099="EX",1,IF(DATOS!$G9099="OR",--(COUNTIFS(nNIA,DATOS!$A9099,nCURSO,DATOS!$D9099,nESPEC,DATOS!$E9099,nASIG,DATOS!$I9099,nEVAL,"EX")=0),0))))</f>
      </c>
      <c r="H9099">
        <f>IF(DATOS!$G9099&lt;&gt;"EX",0,--(COUNTIFS(nNIA,DATOS!$A9099,nCURSO,DATOS!$D9099,nESPEC,DATOS!$E9099,nASIG,DATOS!$I9099,nEVAL,"OR")=0))</f>
      </c>
      <c r="I9099">
        <f>IF(DATOS!$I9099="","",IFERROR(VLOOKUP(DATOS!$I9099,CONFIG_ASIGNATURAS!$B$2:$J$91,9,FALSE()),""))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IF(DATOS!$A9100="",0,IF(CONFIG_METADATA!$B$4&lt;&gt;"OR+EX",--(DATOS!$G9100=CONFIG_METADATA!$B$4),IF(DATOS!$G9100="EX",1,IF(DATOS!$G9100="OR",--(COUNTIFS(nNIA,DATOS!$A9100,nCURSO,DATOS!$D9100,nESPEC,DATOS!$E9100,nASIG,DATOS!$I9100,nEVAL,"EX")=0),0))))</f>
      </c>
      <c r="H9100">
        <f>IF(DATOS!$G9100&lt;&gt;"EX",0,--(COUNTIFS(nNIA,DATOS!$A9100,nCURSO,DATOS!$D9100,nESPEC,DATOS!$E9100,nASIG,DATOS!$I9100,nEVAL,"OR")=0))</f>
      </c>
      <c r="I9100">
        <f>IF(DATOS!$I9100="","",IFERROR(VLOOKUP(DATOS!$I9100,CONFIG_ASIGNATURAS!$B$2:$J$91,9,FALSE()),""))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IF(DATOS!$A9101="",0,IF(CONFIG_METADATA!$B$4&lt;&gt;"OR+EX",--(DATOS!$G9101=CONFIG_METADATA!$B$4),IF(DATOS!$G9101="EX",1,IF(DATOS!$G9101="OR",--(COUNTIFS(nNIA,DATOS!$A9101,nCURSO,DATOS!$D9101,nESPEC,DATOS!$E9101,nASIG,DATOS!$I9101,nEVAL,"EX")=0),0))))</f>
      </c>
      <c r="H9101">
        <f>IF(DATOS!$G9101&lt;&gt;"EX",0,--(COUNTIFS(nNIA,DATOS!$A9101,nCURSO,DATOS!$D9101,nESPEC,DATOS!$E9101,nASIG,DATOS!$I9101,nEVAL,"OR")=0))</f>
      </c>
      <c r="I9101">
        <f>IF(DATOS!$I9101="","",IFERROR(VLOOKUP(DATOS!$I9101,CONFIG_ASIGNATURAS!$B$2:$J$91,9,FALSE()),""))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IF(DATOS!$A9102="",0,IF(CONFIG_METADATA!$B$4&lt;&gt;"OR+EX",--(DATOS!$G9102=CONFIG_METADATA!$B$4),IF(DATOS!$G9102="EX",1,IF(DATOS!$G9102="OR",--(COUNTIFS(nNIA,DATOS!$A9102,nCURSO,DATOS!$D9102,nESPEC,DATOS!$E9102,nASIG,DATOS!$I9102,nEVAL,"EX")=0),0))))</f>
      </c>
      <c r="H9102">
        <f>IF(DATOS!$G9102&lt;&gt;"EX",0,--(COUNTIFS(nNIA,DATOS!$A9102,nCURSO,DATOS!$D9102,nESPEC,DATOS!$E9102,nASIG,DATOS!$I9102,nEVAL,"OR")=0))</f>
      </c>
      <c r="I9102">
        <f>IF(DATOS!$I9102="","",IFERROR(VLOOKUP(DATOS!$I9102,CONFIG_ASIGNATURAS!$B$2:$J$91,9,FALSE()),""))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IF(DATOS!$A9103="",0,IF(CONFIG_METADATA!$B$4&lt;&gt;"OR+EX",--(DATOS!$G9103=CONFIG_METADATA!$B$4),IF(DATOS!$G9103="EX",1,IF(DATOS!$G9103="OR",--(COUNTIFS(nNIA,DATOS!$A9103,nCURSO,DATOS!$D9103,nESPEC,DATOS!$E9103,nASIG,DATOS!$I9103,nEVAL,"EX")=0),0))))</f>
      </c>
      <c r="H9103">
        <f>IF(DATOS!$G9103&lt;&gt;"EX",0,--(COUNTIFS(nNIA,DATOS!$A9103,nCURSO,DATOS!$D9103,nESPEC,DATOS!$E9103,nASIG,DATOS!$I9103,nEVAL,"OR")=0))</f>
      </c>
      <c r="I9103">
        <f>IF(DATOS!$I9103="","",IFERROR(VLOOKUP(DATOS!$I9103,CONFIG_ASIGNATURAS!$B$2:$J$91,9,FALSE()),""))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IF(DATOS!$A9104="",0,IF(CONFIG_METADATA!$B$4&lt;&gt;"OR+EX",--(DATOS!$G9104=CONFIG_METADATA!$B$4),IF(DATOS!$G9104="EX",1,IF(DATOS!$G9104="OR",--(COUNTIFS(nNIA,DATOS!$A9104,nCURSO,DATOS!$D9104,nESPEC,DATOS!$E9104,nASIG,DATOS!$I9104,nEVAL,"EX")=0),0))))</f>
      </c>
      <c r="H9104">
        <f>IF(DATOS!$G9104&lt;&gt;"EX",0,--(COUNTIFS(nNIA,DATOS!$A9104,nCURSO,DATOS!$D9104,nESPEC,DATOS!$E9104,nASIG,DATOS!$I9104,nEVAL,"OR")=0))</f>
      </c>
      <c r="I9104">
        <f>IF(DATOS!$I9104="","",IFERROR(VLOOKUP(DATOS!$I9104,CONFIG_ASIGNATURAS!$B$2:$J$91,9,FALSE()),""))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IF(DATOS!$A9105="",0,IF(CONFIG_METADATA!$B$4&lt;&gt;"OR+EX",--(DATOS!$G9105=CONFIG_METADATA!$B$4),IF(DATOS!$G9105="EX",1,IF(DATOS!$G9105="OR",--(COUNTIFS(nNIA,DATOS!$A9105,nCURSO,DATOS!$D9105,nESPEC,DATOS!$E9105,nASIG,DATOS!$I9105,nEVAL,"EX")=0),0))))</f>
      </c>
      <c r="H9105">
        <f>IF(DATOS!$G9105&lt;&gt;"EX",0,--(COUNTIFS(nNIA,DATOS!$A9105,nCURSO,DATOS!$D9105,nESPEC,DATOS!$E9105,nASIG,DATOS!$I9105,nEVAL,"OR")=0))</f>
      </c>
      <c r="I9105">
        <f>IF(DATOS!$I9105="","",IFERROR(VLOOKUP(DATOS!$I9105,CONFIG_ASIGNATURAS!$B$2:$J$91,9,FALSE()),""))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IF(DATOS!$A9106="",0,IF(CONFIG_METADATA!$B$4&lt;&gt;"OR+EX",--(DATOS!$G9106=CONFIG_METADATA!$B$4),IF(DATOS!$G9106="EX",1,IF(DATOS!$G9106="OR",--(COUNTIFS(nNIA,DATOS!$A9106,nCURSO,DATOS!$D9106,nESPEC,DATOS!$E9106,nASIG,DATOS!$I9106,nEVAL,"EX")=0),0))))</f>
      </c>
      <c r="H9106">
        <f>IF(DATOS!$G9106&lt;&gt;"EX",0,--(COUNTIFS(nNIA,DATOS!$A9106,nCURSO,DATOS!$D9106,nESPEC,DATOS!$E9106,nASIG,DATOS!$I9106,nEVAL,"OR")=0))</f>
      </c>
      <c r="I9106">
        <f>IF(DATOS!$I9106="","",IFERROR(VLOOKUP(DATOS!$I9106,CONFIG_ASIGNATURAS!$B$2:$J$91,9,FALSE()),""))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IF(DATOS!$A9107="",0,IF(CONFIG_METADATA!$B$4&lt;&gt;"OR+EX",--(DATOS!$G9107=CONFIG_METADATA!$B$4),IF(DATOS!$G9107="EX",1,IF(DATOS!$G9107="OR",--(COUNTIFS(nNIA,DATOS!$A9107,nCURSO,DATOS!$D9107,nESPEC,DATOS!$E9107,nASIG,DATOS!$I9107,nEVAL,"EX")=0),0))))</f>
      </c>
      <c r="H9107">
        <f>IF(DATOS!$G9107&lt;&gt;"EX",0,--(COUNTIFS(nNIA,DATOS!$A9107,nCURSO,DATOS!$D9107,nESPEC,DATOS!$E9107,nASIG,DATOS!$I9107,nEVAL,"OR")=0))</f>
      </c>
      <c r="I9107">
        <f>IF(DATOS!$I9107="","",IFERROR(VLOOKUP(DATOS!$I9107,CONFIG_ASIGNATURAS!$B$2:$J$91,9,FALSE()),""))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IF(DATOS!$A9108="",0,IF(CONFIG_METADATA!$B$4&lt;&gt;"OR+EX",--(DATOS!$G9108=CONFIG_METADATA!$B$4),IF(DATOS!$G9108="EX",1,IF(DATOS!$G9108="OR",--(COUNTIFS(nNIA,DATOS!$A9108,nCURSO,DATOS!$D9108,nESPEC,DATOS!$E9108,nASIG,DATOS!$I9108,nEVAL,"EX")=0),0))))</f>
      </c>
      <c r="H9108">
        <f>IF(DATOS!$G9108&lt;&gt;"EX",0,--(COUNTIFS(nNIA,DATOS!$A9108,nCURSO,DATOS!$D9108,nESPEC,DATOS!$E9108,nASIG,DATOS!$I9108,nEVAL,"OR")=0))</f>
      </c>
      <c r="I9108">
        <f>IF(DATOS!$I9108="","",IFERROR(VLOOKUP(DATOS!$I9108,CONFIG_ASIGNATURAS!$B$2:$J$91,9,FALSE()),""))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IF(DATOS!$A9109="",0,IF(CONFIG_METADATA!$B$4&lt;&gt;"OR+EX",--(DATOS!$G9109=CONFIG_METADATA!$B$4),IF(DATOS!$G9109="EX",1,IF(DATOS!$G9109="OR",--(COUNTIFS(nNIA,DATOS!$A9109,nCURSO,DATOS!$D9109,nESPEC,DATOS!$E9109,nASIG,DATOS!$I9109,nEVAL,"EX")=0),0))))</f>
      </c>
      <c r="H9109">
        <f>IF(DATOS!$G9109&lt;&gt;"EX",0,--(COUNTIFS(nNIA,DATOS!$A9109,nCURSO,DATOS!$D9109,nESPEC,DATOS!$E9109,nASIG,DATOS!$I9109,nEVAL,"OR")=0))</f>
      </c>
      <c r="I9109">
        <f>IF(DATOS!$I9109="","",IFERROR(VLOOKUP(DATOS!$I9109,CONFIG_ASIGNATURAS!$B$2:$J$91,9,FALSE()),""))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IF(DATOS!$A9110="",0,IF(CONFIG_METADATA!$B$4&lt;&gt;"OR+EX",--(DATOS!$G9110=CONFIG_METADATA!$B$4),IF(DATOS!$G9110="EX",1,IF(DATOS!$G9110="OR",--(COUNTIFS(nNIA,DATOS!$A9110,nCURSO,DATOS!$D9110,nESPEC,DATOS!$E9110,nASIG,DATOS!$I9110,nEVAL,"EX")=0),0))))</f>
      </c>
      <c r="H9110">
        <f>IF(DATOS!$G9110&lt;&gt;"EX",0,--(COUNTIFS(nNIA,DATOS!$A9110,nCURSO,DATOS!$D9110,nESPEC,DATOS!$E9110,nASIG,DATOS!$I9110,nEVAL,"OR")=0))</f>
      </c>
      <c r="I9110">
        <f>IF(DATOS!$I9110="","",IFERROR(VLOOKUP(DATOS!$I9110,CONFIG_ASIGNATURAS!$B$2:$J$91,9,FALSE()),""))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IF(DATOS!$A9111="",0,IF(CONFIG_METADATA!$B$4&lt;&gt;"OR+EX",--(DATOS!$G9111=CONFIG_METADATA!$B$4),IF(DATOS!$G9111="EX",1,IF(DATOS!$G9111="OR",--(COUNTIFS(nNIA,DATOS!$A9111,nCURSO,DATOS!$D9111,nESPEC,DATOS!$E9111,nASIG,DATOS!$I9111,nEVAL,"EX")=0),0))))</f>
      </c>
      <c r="H9111">
        <f>IF(DATOS!$G9111&lt;&gt;"EX",0,--(COUNTIFS(nNIA,DATOS!$A9111,nCURSO,DATOS!$D9111,nESPEC,DATOS!$E9111,nASIG,DATOS!$I9111,nEVAL,"OR")=0))</f>
      </c>
      <c r="I9111">
        <f>IF(DATOS!$I9111="","",IFERROR(VLOOKUP(DATOS!$I9111,CONFIG_ASIGNATURAS!$B$2:$J$91,9,FALSE()),""))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IF(DATOS!$A9112="",0,IF(CONFIG_METADATA!$B$4&lt;&gt;"OR+EX",--(DATOS!$G9112=CONFIG_METADATA!$B$4),IF(DATOS!$G9112="EX",1,IF(DATOS!$G9112="OR",--(COUNTIFS(nNIA,DATOS!$A9112,nCURSO,DATOS!$D9112,nESPEC,DATOS!$E9112,nASIG,DATOS!$I9112,nEVAL,"EX")=0),0))))</f>
      </c>
      <c r="H9112">
        <f>IF(DATOS!$G9112&lt;&gt;"EX",0,--(COUNTIFS(nNIA,DATOS!$A9112,nCURSO,DATOS!$D9112,nESPEC,DATOS!$E9112,nASIG,DATOS!$I9112,nEVAL,"OR")=0))</f>
      </c>
      <c r="I9112">
        <f>IF(DATOS!$I9112="","",IFERROR(VLOOKUP(DATOS!$I9112,CONFIG_ASIGNATURAS!$B$2:$J$91,9,FALSE()),""))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IF(DATOS!$A9113="",0,IF(CONFIG_METADATA!$B$4&lt;&gt;"OR+EX",--(DATOS!$G9113=CONFIG_METADATA!$B$4),IF(DATOS!$G9113="EX",1,IF(DATOS!$G9113="OR",--(COUNTIFS(nNIA,DATOS!$A9113,nCURSO,DATOS!$D9113,nESPEC,DATOS!$E9113,nASIG,DATOS!$I9113,nEVAL,"EX")=0),0))))</f>
      </c>
      <c r="H9113">
        <f>IF(DATOS!$G9113&lt;&gt;"EX",0,--(COUNTIFS(nNIA,DATOS!$A9113,nCURSO,DATOS!$D9113,nESPEC,DATOS!$E9113,nASIG,DATOS!$I9113,nEVAL,"OR")=0))</f>
      </c>
      <c r="I9113">
        <f>IF(DATOS!$I9113="","",IFERROR(VLOOKUP(DATOS!$I9113,CONFIG_ASIGNATURAS!$B$2:$J$91,9,FALSE()),""))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IF(DATOS!$A9114="",0,IF(CONFIG_METADATA!$B$4&lt;&gt;"OR+EX",--(DATOS!$G9114=CONFIG_METADATA!$B$4),IF(DATOS!$G9114="EX",1,IF(DATOS!$G9114="OR",--(COUNTIFS(nNIA,DATOS!$A9114,nCURSO,DATOS!$D9114,nESPEC,DATOS!$E9114,nASIG,DATOS!$I9114,nEVAL,"EX")=0),0))))</f>
      </c>
      <c r="H9114">
        <f>IF(DATOS!$G9114&lt;&gt;"EX",0,--(COUNTIFS(nNIA,DATOS!$A9114,nCURSO,DATOS!$D9114,nESPEC,DATOS!$E9114,nASIG,DATOS!$I9114,nEVAL,"OR")=0))</f>
      </c>
      <c r="I9114">
        <f>IF(DATOS!$I9114="","",IFERROR(VLOOKUP(DATOS!$I9114,CONFIG_ASIGNATURAS!$B$2:$J$91,9,FALSE()),""))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IF(DATOS!$A9115="",0,IF(CONFIG_METADATA!$B$4&lt;&gt;"OR+EX",--(DATOS!$G9115=CONFIG_METADATA!$B$4),IF(DATOS!$G9115="EX",1,IF(DATOS!$G9115="OR",--(COUNTIFS(nNIA,DATOS!$A9115,nCURSO,DATOS!$D9115,nESPEC,DATOS!$E9115,nASIG,DATOS!$I9115,nEVAL,"EX")=0),0))))</f>
      </c>
      <c r="H9115">
        <f>IF(DATOS!$G9115&lt;&gt;"EX",0,--(COUNTIFS(nNIA,DATOS!$A9115,nCURSO,DATOS!$D9115,nESPEC,DATOS!$E9115,nASIG,DATOS!$I9115,nEVAL,"OR")=0))</f>
      </c>
      <c r="I9115">
        <f>IF(DATOS!$I9115="","",IFERROR(VLOOKUP(DATOS!$I9115,CONFIG_ASIGNATURAS!$B$2:$J$91,9,FALSE()),""))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IF(DATOS!$A9116="",0,IF(CONFIG_METADATA!$B$4&lt;&gt;"OR+EX",--(DATOS!$G9116=CONFIG_METADATA!$B$4),IF(DATOS!$G9116="EX",1,IF(DATOS!$G9116="OR",--(COUNTIFS(nNIA,DATOS!$A9116,nCURSO,DATOS!$D9116,nESPEC,DATOS!$E9116,nASIG,DATOS!$I9116,nEVAL,"EX")=0),0))))</f>
      </c>
      <c r="H9116">
        <f>IF(DATOS!$G9116&lt;&gt;"EX",0,--(COUNTIFS(nNIA,DATOS!$A9116,nCURSO,DATOS!$D9116,nESPEC,DATOS!$E9116,nASIG,DATOS!$I9116,nEVAL,"OR")=0))</f>
      </c>
      <c r="I9116">
        <f>IF(DATOS!$I9116="","",IFERROR(VLOOKUP(DATOS!$I9116,CONFIG_ASIGNATURAS!$B$2:$J$91,9,FALSE()),""))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IF(DATOS!$A9117="",0,IF(CONFIG_METADATA!$B$4&lt;&gt;"OR+EX",--(DATOS!$G9117=CONFIG_METADATA!$B$4),IF(DATOS!$G9117="EX",1,IF(DATOS!$G9117="OR",--(COUNTIFS(nNIA,DATOS!$A9117,nCURSO,DATOS!$D9117,nESPEC,DATOS!$E9117,nASIG,DATOS!$I9117,nEVAL,"EX")=0),0))))</f>
      </c>
      <c r="H9117">
        <f>IF(DATOS!$G9117&lt;&gt;"EX",0,--(COUNTIFS(nNIA,DATOS!$A9117,nCURSO,DATOS!$D9117,nESPEC,DATOS!$E9117,nASIG,DATOS!$I9117,nEVAL,"OR")=0))</f>
      </c>
      <c r="I9117">
        <f>IF(DATOS!$I9117="","",IFERROR(VLOOKUP(DATOS!$I9117,CONFIG_ASIGNATURAS!$B$2:$J$91,9,FALSE()),""))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IF(DATOS!$A9118="",0,IF(CONFIG_METADATA!$B$4&lt;&gt;"OR+EX",--(DATOS!$G9118=CONFIG_METADATA!$B$4),IF(DATOS!$G9118="EX",1,IF(DATOS!$G9118="OR",--(COUNTIFS(nNIA,DATOS!$A9118,nCURSO,DATOS!$D9118,nESPEC,DATOS!$E9118,nASIG,DATOS!$I9118,nEVAL,"EX")=0),0))))</f>
      </c>
      <c r="H9118">
        <f>IF(DATOS!$G9118&lt;&gt;"EX",0,--(COUNTIFS(nNIA,DATOS!$A9118,nCURSO,DATOS!$D9118,nESPEC,DATOS!$E9118,nASIG,DATOS!$I9118,nEVAL,"OR")=0))</f>
      </c>
      <c r="I9118">
        <f>IF(DATOS!$I9118="","",IFERROR(VLOOKUP(DATOS!$I9118,CONFIG_ASIGNATURAS!$B$2:$J$91,9,FALSE()),""))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IF(DATOS!$A9119="",0,IF(CONFIG_METADATA!$B$4&lt;&gt;"OR+EX",--(DATOS!$G9119=CONFIG_METADATA!$B$4),IF(DATOS!$G9119="EX",1,IF(DATOS!$G9119="OR",--(COUNTIFS(nNIA,DATOS!$A9119,nCURSO,DATOS!$D9119,nESPEC,DATOS!$E9119,nASIG,DATOS!$I9119,nEVAL,"EX")=0),0))))</f>
      </c>
      <c r="H9119">
        <f>IF(DATOS!$G9119&lt;&gt;"EX",0,--(COUNTIFS(nNIA,DATOS!$A9119,nCURSO,DATOS!$D9119,nESPEC,DATOS!$E9119,nASIG,DATOS!$I9119,nEVAL,"OR")=0))</f>
      </c>
      <c r="I9119">
        <f>IF(DATOS!$I9119="","",IFERROR(VLOOKUP(DATOS!$I9119,CONFIG_ASIGNATURAS!$B$2:$J$91,9,FALSE()),""))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IF(DATOS!$A9120="",0,IF(CONFIG_METADATA!$B$4&lt;&gt;"OR+EX",--(DATOS!$G9120=CONFIG_METADATA!$B$4),IF(DATOS!$G9120="EX",1,IF(DATOS!$G9120="OR",--(COUNTIFS(nNIA,DATOS!$A9120,nCURSO,DATOS!$D9120,nESPEC,DATOS!$E9120,nASIG,DATOS!$I9120,nEVAL,"EX")=0),0))))</f>
      </c>
      <c r="H9120">
        <f>IF(DATOS!$G9120&lt;&gt;"EX",0,--(COUNTIFS(nNIA,DATOS!$A9120,nCURSO,DATOS!$D9120,nESPEC,DATOS!$E9120,nASIG,DATOS!$I9120,nEVAL,"OR")=0))</f>
      </c>
      <c r="I9120">
        <f>IF(DATOS!$I9120="","",IFERROR(VLOOKUP(DATOS!$I9120,CONFIG_ASIGNATURAS!$B$2:$J$91,9,FALSE()),""))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IF(DATOS!$A9121="",0,IF(CONFIG_METADATA!$B$4&lt;&gt;"OR+EX",--(DATOS!$G9121=CONFIG_METADATA!$B$4),IF(DATOS!$G9121="EX",1,IF(DATOS!$G9121="OR",--(COUNTIFS(nNIA,DATOS!$A9121,nCURSO,DATOS!$D9121,nESPEC,DATOS!$E9121,nASIG,DATOS!$I9121,nEVAL,"EX")=0),0))))</f>
      </c>
      <c r="H9121">
        <f>IF(DATOS!$G9121&lt;&gt;"EX",0,--(COUNTIFS(nNIA,DATOS!$A9121,nCURSO,DATOS!$D9121,nESPEC,DATOS!$E9121,nASIG,DATOS!$I9121,nEVAL,"OR")=0))</f>
      </c>
      <c r="I9121">
        <f>IF(DATOS!$I9121="","",IFERROR(VLOOKUP(DATOS!$I9121,CONFIG_ASIGNATURAS!$B$2:$J$91,9,FALSE()),""))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IF(DATOS!$A9122="",0,IF(CONFIG_METADATA!$B$4&lt;&gt;"OR+EX",--(DATOS!$G9122=CONFIG_METADATA!$B$4),IF(DATOS!$G9122="EX",1,IF(DATOS!$G9122="OR",--(COUNTIFS(nNIA,DATOS!$A9122,nCURSO,DATOS!$D9122,nESPEC,DATOS!$E9122,nASIG,DATOS!$I9122,nEVAL,"EX")=0),0))))</f>
      </c>
      <c r="H9122">
        <f>IF(DATOS!$G9122&lt;&gt;"EX",0,--(COUNTIFS(nNIA,DATOS!$A9122,nCURSO,DATOS!$D9122,nESPEC,DATOS!$E9122,nASIG,DATOS!$I9122,nEVAL,"OR")=0))</f>
      </c>
      <c r="I9122">
        <f>IF(DATOS!$I9122="","",IFERROR(VLOOKUP(DATOS!$I9122,CONFIG_ASIGNATURAS!$B$2:$J$91,9,FALSE()),""))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IF(DATOS!$A9123="",0,IF(CONFIG_METADATA!$B$4&lt;&gt;"OR+EX",--(DATOS!$G9123=CONFIG_METADATA!$B$4),IF(DATOS!$G9123="EX",1,IF(DATOS!$G9123="OR",--(COUNTIFS(nNIA,DATOS!$A9123,nCURSO,DATOS!$D9123,nESPEC,DATOS!$E9123,nASIG,DATOS!$I9123,nEVAL,"EX")=0),0))))</f>
      </c>
      <c r="H9123">
        <f>IF(DATOS!$G9123&lt;&gt;"EX",0,--(COUNTIFS(nNIA,DATOS!$A9123,nCURSO,DATOS!$D9123,nESPEC,DATOS!$E9123,nASIG,DATOS!$I9123,nEVAL,"OR")=0))</f>
      </c>
      <c r="I9123">
        <f>IF(DATOS!$I9123="","",IFERROR(VLOOKUP(DATOS!$I9123,CONFIG_ASIGNATURAS!$B$2:$J$91,9,FALSE()),""))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IF(DATOS!$A9124="",0,IF(CONFIG_METADATA!$B$4&lt;&gt;"OR+EX",--(DATOS!$G9124=CONFIG_METADATA!$B$4),IF(DATOS!$G9124="EX",1,IF(DATOS!$G9124="OR",--(COUNTIFS(nNIA,DATOS!$A9124,nCURSO,DATOS!$D9124,nESPEC,DATOS!$E9124,nASIG,DATOS!$I9124,nEVAL,"EX")=0),0))))</f>
      </c>
      <c r="H9124">
        <f>IF(DATOS!$G9124&lt;&gt;"EX",0,--(COUNTIFS(nNIA,DATOS!$A9124,nCURSO,DATOS!$D9124,nESPEC,DATOS!$E9124,nASIG,DATOS!$I9124,nEVAL,"OR")=0))</f>
      </c>
      <c r="I9124">
        <f>IF(DATOS!$I9124="","",IFERROR(VLOOKUP(DATOS!$I9124,CONFIG_ASIGNATURAS!$B$2:$J$91,9,FALSE()),""))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IF(DATOS!$A9125="",0,IF(CONFIG_METADATA!$B$4&lt;&gt;"OR+EX",--(DATOS!$G9125=CONFIG_METADATA!$B$4),IF(DATOS!$G9125="EX",1,IF(DATOS!$G9125="OR",--(COUNTIFS(nNIA,DATOS!$A9125,nCURSO,DATOS!$D9125,nESPEC,DATOS!$E9125,nASIG,DATOS!$I9125,nEVAL,"EX")=0),0))))</f>
      </c>
      <c r="H9125">
        <f>IF(DATOS!$G9125&lt;&gt;"EX",0,--(COUNTIFS(nNIA,DATOS!$A9125,nCURSO,DATOS!$D9125,nESPEC,DATOS!$E9125,nASIG,DATOS!$I9125,nEVAL,"OR")=0))</f>
      </c>
      <c r="I9125">
        <f>IF(DATOS!$I9125="","",IFERROR(VLOOKUP(DATOS!$I9125,CONFIG_ASIGNATURAS!$B$2:$J$91,9,FALSE()),""))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IF(DATOS!$A9126="",0,IF(CONFIG_METADATA!$B$4&lt;&gt;"OR+EX",--(DATOS!$G9126=CONFIG_METADATA!$B$4),IF(DATOS!$G9126="EX",1,IF(DATOS!$G9126="OR",--(COUNTIFS(nNIA,DATOS!$A9126,nCURSO,DATOS!$D9126,nESPEC,DATOS!$E9126,nASIG,DATOS!$I9126,nEVAL,"EX")=0),0))))</f>
      </c>
      <c r="H9126">
        <f>IF(DATOS!$G9126&lt;&gt;"EX",0,--(COUNTIFS(nNIA,DATOS!$A9126,nCURSO,DATOS!$D9126,nESPEC,DATOS!$E9126,nASIG,DATOS!$I9126,nEVAL,"OR")=0))</f>
      </c>
      <c r="I9126">
        <f>IF(DATOS!$I9126="","",IFERROR(VLOOKUP(DATOS!$I9126,CONFIG_ASIGNATURAS!$B$2:$J$91,9,FALSE()),""))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IF(DATOS!$A9127="",0,IF(CONFIG_METADATA!$B$4&lt;&gt;"OR+EX",--(DATOS!$G9127=CONFIG_METADATA!$B$4),IF(DATOS!$G9127="EX",1,IF(DATOS!$G9127="OR",--(COUNTIFS(nNIA,DATOS!$A9127,nCURSO,DATOS!$D9127,nESPEC,DATOS!$E9127,nASIG,DATOS!$I9127,nEVAL,"EX")=0),0))))</f>
      </c>
      <c r="H9127">
        <f>IF(DATOS!$G9127&lt;&gt;"EX",0,--(COUNTIFS(nNIA,DATOS!$A9127,nCURSO,DATOS!$D9127,nESPEC,DATOS!$E9127,nASIG,DATOS!$I9127,nEVAL,"OR")=0))</f>
      </c>
      <c r="I9127">
        <f>IF(DATOS!$I9127="","",IFERROR(VLOOKUP(DATOS!$I9127,CONFIG_ASIGNATURAS!$B$2:$J$91,9,FALSE()),""))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IF(DATOS!$A9128="",0,IF(CONFIG_METADATA!$B$4&lt;&gt;"OR+EX",--(DATOS!$G9128=CONFIG_METADATA!$B$4),IF(DATOS!$G9128="EX",1,IF(DATOS!$G9128="OR",--(COUNTIFS(nNIA,DATOS!$A9128,nCURSO,DATOS!$D9128,nESPEC,DATOS!$E9128,nASIG,DATOS!$I9128,nEVAL,"EX")=0),0))))</f>
      </c>
      <c r="H9128">
        <f>IF(DATOS!$G9128&lt;&gt;"EX",0,--(COUNTIFS(nNIA,DATOS!$A9128,nCURSO,DATOS!$D9128,nESPEC,DATOS!$E9128,nASIG,DATOS!$I9128,nEVAL,"OR")=0))</f>
      </c>
      <c r="I9128">
        <f>IF(DATOS!$I9128="","",IFERROR(VLOOKUP(DATOS!$I9128,CONFIG_ASIGNATURAS!$B$2:$J$91,9,FALSE()),""))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IF(DATOS!$A9129="",0,IF(CONFIG_METADATA!$B$4&lt;&gt;"OR+EX",--(DATOS!$G9129=CONFIG_METADATA!$B$4),IF(DATOS!$G9129="EX",1,IF(DATOS!$G9129="OR",--(COUNTIFS(nNIA,DATOS!$A9129,nCURSO,DATOS!$D9129,nESPEC,DATOS!$E9129,nASIG,DATOS!$I9129,nEVAL,"EX")=0),0))))</f>
      </c>
      <c r="H9129">
        <f>IF(DATOS!$G9129&lt;&gt;"EX",0,--(COUNTIFS(nNIA,DATOS!$A9129,nCURSO,DATOS!$D9129,nESPEC,DATOS!$E9129,nASIG,DATOS!$I9129,nEVAL,"OR")=0))</f>
      </c>
      <c r="I9129">
        <f>IF(DATOS!$I9129="","",IFERROR(VLOOKUP(DATOS!$I9129,CONFIG_ASIGNATURAS!$B$2:$J$91,9,FALSE()),""))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IF(DATOS!$A9130="",0,IF(CONFIG_METADATA!$B$4&lt;&gt;"OR+EX",--(DATOS!$G9130=CONFIG_METADATA!$B$4),IF(DATOS!$G9130="EX",1,IF(DATOS!$G9130="OR",--(COUNTIFS(nNIA,DATOS!$A9130,nCURSO,DATOS!$D9130,nESPEC,DATOS!$E9130,nASIG,DATOS!$I9130,nEVAL,"EX")=0),0))))</f>
      </c>
      <c r="H9130">
        <f>IF(DATOS!$G9130&lt;&gt;"EX",0,--(COUNTIFS(nNIA,DATOS!$A9130,nCURSO,DATOS!$D9130,nESPEC,DATOS!$E9130,nASIG,DATOS!$I9130,nEVAL,"OR")=0))</f>
      </c>
      <c r="I9130">
        <f>IF(DATOS!$I9130="","",IFERROR(VLOOKUP(DATOS!$I9130,CONFIG_ASIGNATURAS!$B$2:$J$91,9,FALSE()),""))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IF(DATOS!$A9131="",0,IF(CONFIG_METADATA!$B$4&lt;&gt;"OR+EX",--(DATOS!$G9131=CONFIG_METADATA!$B$4),IF(DATOS!$G9131="EX",1,IF(DATOS!$G9131="OR",--(COUNTIFS(nNIA,DATOS!$A9131,nCURSO,DATOS!$D9131,nESPEC,DATOS!$E9131,nASIG,DATOS!$I9131,nEVAL,"EX")=0),0))))</f>
      </c>
      <c r="H9131">
        <f>IF(DATOS!$G9131&lt;&gt;"EX",0,--(COUNTIFS(nNIA,DATOS!$A9131,nCURSO,DATOS!$D9131,nESPEC,DATOS!$E9131,nASIG,DATOS!$I9131,nEVAL,"OR")=0))</f>
      </c>
      <c r="I9131">
        <f>IF(DATOS!$I9131="","",IFERROR(VLOOKUP(DATOS!$I9131,CONFIG_ASIGNATURAS!$B$2:$J$91,9,FALSE()),""))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IF(DATOS!$A9132="",0,IF(CONFIG_METADATA!$B$4&lt;&gt;"OR+EX",--(DATOS!$G9132=CONFIG_METADATA!$B$4),IF(DATOS!$G9132="EX",1,IF(DATOS!$G9132="OR",--(COUNTIFS(nNIA,DATOS!$A9132,nCURSO,DATOS!$D9132,nESPEC,DATOS!$E9132,nASIG,DATOS!$I9132,nEVAL,"EX")=0),0))))</f>
      </c>
      <c r="H9132">
        <f>IF(DATOS!$G9132&lt;&gt;"EX",0,--(COUNTIFS(nNIA,DATOS!$A9132,nCURSO,DATOS!$D9132,nESPEC,DATOS!$E9132,nASIG,DATOS!$I9132,nEVAL,"OR")=0))</f>
      </c>
      <c r="I9132">
        <f>IF(DATOS!$I9132="","",IFERROR(VLOOKUP(DATOS!$I9132,CONFIG_ASIGNATURAS!$B$2:$J$91,9,FALSE()),""))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IF(DATOS!$A9133="",0,IF(CONFIG_METADATA!$B$4&lt;&gt;"OR+EX",--(DATOS!$G9133=CONFIG_METADATA!$B$4),IF(DATOS!$G9133="EX",1,IF(DATOS!$G9133="OR",--(COUNTIFS(nNIA,DATOS!$A9133,nCURSO,DATOS!$D9133,nESPEC,DATOS!$E9133,nASIG,DATOS!$I9133,nEVAL,"EX")=0),0))))</f>
      </c>
      <c r="H9133">
        <f>IF(DATOS!$G9133&lt;&gt;"EX",0,--(COUNTIFS(nNIA,DATOS!$A9133,nCURSO,DATOS!$D9133,nESPEC,DATOS!$E9133,nASIG,DATOS!$I9133,nEVAL,"OR")=0))</f>
      </c>
      <c r="I9133">
        <f>IF(DATOS!$I9133="","",IFERROR(VLOOKUP(DATOS!$I9133,CONFIG_ASIGNATURAS!$B$2:$J$91,9,FALSE()),""))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IF(DATOS!$A9134="",0,IF(CONFIG_METADATA!$B$4&lt;&gt;"OR+EX",--(DATOS!$G9134=CONFIG_METADATA!$B$4),IF(DATOS!$G9134="EX",1,IF(DATOS!$G9134="OR",--(COUNTIFS(nNIA,DATOS!$A9134,nCURSO,DATOS!$D9134,nESPEC,DATOS!$E9134,nASIG,DATOS!$I9134,nEVAL,"EX")=0),0))))</f>
      </c>
      <c r="H9134">
        <f>IF(DATOS!$G9134&lt;&gt;"EX",0,--(COUNTIFS(nNIA,DATOS!$A9134,nCURSO,DATOS!$D9134,nESPEC,DATOS!$E9134,nASIG,DATOS!$I9134,nEVAL,"OR")=0))</f>
      </c>
      <c r="I9134">
        <f>IF(DATOS!$I9134="","",IFERROR(VLOOKUP(DATOS!$I9134,CONFIG_ASIGNATURAS!$B$2:$J$91,9,FALSE()),""))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IF(DATOS!$A9135="",0,IF(CONFIG_METADATA!$B$4&lt;&gt;"OR+EX",--(DATOS!$G9135=CONFIG_METADATA!$B$4),IF(DATOS!$G9135="EX",1,IF(DATOS!$G9135="OR",--(COUNTIFS(nNIA,DATOS!$A9135,nCURSO,DATOS!$D9135,nESPEC,DATOS!$E9135,nASIG,DATOS!$I9135,nEVAL,"EX")=0),0))))</f>
      </c>
      <c r="H9135">
        <f>IF(DATOS!$G9135&lt;&gt;"EX",0,--(COUNTIFS(nNIA,DATOS!$A9135,nCURSO,DATOS!$D9135,nESPEC,DATOS!$E9135,nASIG,DATOS!$I9135,nEVAL,"OR")=0))</f>
      </c>
      <c r="I9135">
        <f>IF(DATOS!$I9135="","",IFERROR(VLOOKUP(DATOS!$I9135,CONFIG_ASIGNATURAS!$B$2:$J$91,9,FALSE()),""))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IF(DATOS!$A9136="",0,IF(CONFIG_METADATA!$B$4&lt;&gt;"OR+EX",--(DATOS!$G9136=CONFIG_METADATA!$B$4),IF(DATOS!$G9136="EX",1,IF(DATOS!$G9136="OR",--(COUNTIFS(nNIA,DATOS!$A9136,nCURSO,DATOS!$D9136,nESPEC,DATOS!$E9136,nASIG,DATOS!$I9136,nEVAL,"EX")=0),0))))</f>
      </c>
      <c r="H9136">
        <f>IF(DATOS!$G9136&lt;&gt;"EX",0,--(COUNTIFS(nNIA,DATOS!$A9136,nCURSO,DATOS!$D9136,nESPEC,DATOS!$E9136,nASIG,DATOS!$I9136,nEVAL,"OR")=0))</f>
      </c>
      <c r="I9136">
        <f>IF(DATOS!$I9136="","",IFERROR(VLOOKUP(DATOS!$I9136,CONFIG_ASIGNATURAS!$B$2:$J$91,9,FALSE()),""))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IF(DATOS!$A9137="",0,IF(CONFIG_METADATA!$B$4&lt;&gt;"OR+EX",--(DATOS!$G9137=CONFIG_METADATA!$B$4),IF(DATOS!$G9137="EX",1,IF(DATOS!$G9137="OR",--(COUNTIFS(nNIA,DATOS!$A9137,nCURSO,DATOS!$D9137,nESPEC,DATOS!$E9137,nASIG,DATOS!$I9137,nEVAL,"EX")=0),0))))</f>
      </c>
      <c r="H9137">
        <f>IF(DATOS!$G9137&lt;&gt;"EX",0,--(COUNTIFS(nNIA,DATOS!$A9137,nCURSO,DATOS!$D9137,nESPEC,DATOS!$E9137,nASIG,DATOS!$I9137,nEVAL,"OR")=0))</f>
      </c>
      <c r="I9137">
        <f>IF(DATOS!$I9137="","",IFERROR(VLOOKUP(DATOS!$I9137,CONFIG_ASIGNATURAS!$B$2:$J$91,9,FALSE()),""))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IF(DATOS!$A9138="",0,IF(CONFIG_METADATA!$B$4&lt;&gt;"OR+EX",--(DATOS!$G9138=CONFIG_METADATA!$B$4),IF(DATOS!$G9138="EX",1,IF(DATOS!$G9138="OR",--(COUNTIFS(nNIA,DATOS!$A9138,nCURSO,DATOS!$D9138,nESPEC,DATOS!$E9138,nASIG,DATOS!$I9138,nEVAL,"EX")=0),0))))</f>
      </c>
      <c r="H9138">
        <f>IF(DATOS!$G9138&lt;&gt;"EX",0,--(COUNTIFS(nNIA,DATOS!$A9138,nCURSO,DATOS!$D9138,nESPEC,DATOS!$E9138,nASIG,DATOS!$I9138,nEVAL,"OR")=0))</f>
      </c>
      <c r="I9138">
        <f>IF(DATOS!$I9138="","",IFERROR(VLOOKUP(DATOS!$I9138,CONFIG_ASIGNATURAS!$B$2:$J$91,9,FALSE()),""))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IF(DATOS!$A9139="",0,IF(CONFIG_METADATA!$B$4&lt;&gt;"OR+EX",--(DATOS!$G9139=CONFIG_METADATA!$B$4),IF(DATOS!$G9139="EX",1,IF(DATOS!$G9139="OR",--(COUNTIFS(nNIA,DATOS!$A9139,nCURSO,DATOS!$D9139,nESPEC,DATOS!$E9139,nASIG,DATOS!$I9139,nEVAL,"EX")=0),0))))</f>
      </c>
      <c r="H9139">
        <f>IF(DATOS!$G9139&lt;&gt;"EX",0,--(COUNTIFS(nNIA,DATOS!$A9139,nCURSO,DATOS!$D9139,nESPEC,DATOS!$E9139,nASIG,DATOS!$I9139,nEVAL,"OR")=0))</f>
      </c>
      <c r="I9139">
        <f>IF(DATOS!$I9139="","",IFERROR(VLOOKUP(DATOS!$I9139,CONFIG_ASIGNATURAS!$B$2:$J$91,9,FALSE()),""))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IF(DATOS!$A9140="",0,IF(CONFIG_METADATA!$B$4&lt;&gt;"OR+EX",--(DATOS!$G9140=CONFIG_METADATA!$B$4),IF(DATOS!$G9140="EX",1,IF(DATOS!$G9140="OR",--(COUNTIFS(nNIA,DATOS!$A9140,nCURSO,DATOS!$D9140,nESPEC,DATOS!$E9140,nASIG,DATOS!$I9140,nEVAL,"EX")=0),0))))</f>
      </c>
      <c r="H9140">
        <f>IF(DATOS!$G9140&lt;&gt;"EX",0,--(COUNTIFS(nNIA,DATOS!$A9140,nCURSO,DATOS!$D9140,nESPEC,DATOS!$E9140,nASIG,DATOS!$I9140,nEVAL,"OR")=0))</f>
      </c>
      <c r="I9140">
        <f>IF(DATOS!$I9140="","",IFERROR(VLOOKUP(DATOS!$I9140,CONFIG_ASIGNATURAS!$B$2:$J$91,9,FALSE()),""))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IF(DATOS!$A9141="",0,IF(CONFIG_METADATA!$B$4&lt;&gt;"OR+EX",--(DATOS!$G9141=CONFIG_METADATA!$B$4),IF(DATOS!$G9141="EX",1,IF(DATOS!$G9141="OR",--(COUNTIFS(nNIA,DATOS!$A9141,nCURSO,DATOS!$D9141,nESPEC,DATOS!$E9141,nASIG,DATOS!$I9141,nEVAL,"EX")=0),0))))</f>
      </c>
      <c r="H9141">
        <f>IF(DATOS!$G9141&lt;&gt;"EX",0,--(COUNTIFS(nNIA,DATOS!$A9141,nCURSO,DATOS!$D9141,nESPEC,DATOS!$E9141,nASIG,DATOS!$I9141,nEVAL,"OR")=0))</f>
      </c>
      <c r="I9141">
        <f>IF(DATOS!$I9141="","",IFERROR(VLOOKUP(DATOS!$I9141,CONFIG_ASIGNATURAS!$B$2:$J$91,9,FALSE()),""))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IF(DATOS!$A9142="",0,IF(CONFIG_METADATA!$B$4&lt;&gt;"OR+EX",--(DATOS!$G9142=CONFIG_METADATA!$B$4),IF(DATOS!$G9142="EX",1,IF(DATOS!$G9142="OR",--(COUNTIFS(nNIA,DATOS!$A9142,nCURSO,DATOS!$D9142,nESPEC,DATOS!$E9142,nASIG,DATOS!$I9142,nEVAL,"EX")=0),0))))</f>
      </c>
      <c r="H9142">
        <f>IF(DATOS!$G9142&lt;&gt;"EX",0,--(COUNTIFS(nNIA,DATOS!$A9142,nCURSO,DATOS!$D9142,nESPEC,DATOS!$E9142,nASIG,DATOS!$I9142,nEVAL,"OR")=0))</f>
      </c>
      <c r="I9142">
        <f>IF(DATOS!$I9142="","",IFERROR(VLOOKUP(DATOS!$I9142,CONFIG_ASIGNATURAS!$B$2:$J$91,9,FALSE()),""))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IF(DATOS!$A9143="",0,IF(CONFIG_METADATA!$B$4&lt;&gt;"OR+EX",--(DATOS!$G9143=CONFIG_METADATA!$B$4),IF(DATOS!$G9143="EX",1,IF(DATOS!$G9143="OR",--(COUNTIFS(nNIA,DATOS!$A9143,nCURSO,DATOS!$D9143,nESPEC,DATOS!$E9143,nASIG,DATOS!$I9143,nEVAL,"EX")=0),0))))</f>
      </c>
      <c r="H9143">
        <f>IF(DATOS!$G9143&lt;&gt;"EX",0,--(COUNTIFS(nNIA,DATOS!$A9143,nCURSO,DATOS!$D9143,nESPEC,DATOS!$E9143,nASIG,DATOS!$I9143,nEVAL,"OR")=0))</f>
      </c>
      <c r="I9143">
        <f>IF(DATOS!$I9143="","",IFERROR(VLOOKUP(DATOS!$I9143,CONFIG_ASIGNATURAS!$B$2:$J$91,9,FALSE()),""))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IF(DATOS!$A9144="",0,IF(CONFIG_METADATA!$B$4&lt;&gt;"OR+EX",--(DATOS!$G9144=CONFIG_METADATA!$B$4),IF(DATOS!$G9144="EX",1,IF(DATOS!$G9144="OR",--(COUNTIFS(nNIA,DATOS!$A9144,nCURSO,DATOS!$D9144,nESPEC,DATOS!$E9144,nASIG,DATOS!$I9144,nEVAL,"EX")=0),0))))</f>
      </c>
      <c r="H9144">
        <f>IF(DATOS!$G9144&lt;&gt;"EX",0,--(COUNTIFS(nNIA,DATOS!$A9144,nCURSO,DATOS!$D9144,nESPEC,DATOS!$E9144,nASIG,DATOS!$I9144,nEVAL,"OR")=0))</f>
      </c>
      <c r="I9144">
        <f>IF(DATOS!$I9144="","",IFERROR(VLOOKUP(DATOS!$I9144,CONFIG_ASIGNATURAS!$B$2:$J$91,9,FALSE()),""))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IF(DATOS!$A9145="",0,IF(CONFIG_METADATA!$B$4&lt;&gt;"OR+EX",--(DATOS!$G9145=CONFIG_METADATA!$B$4),IF(DATOS!$G9145="EX",1,IF(DATOS!$G9145="OR",--(COUNTIFS(nNIA,DATOS!$A9145,nCURSO,DATOS!$D9145,nESPEC,DATOS!$E9145,nASIG,DATOS!$I9145,nEVAL,"EX")=0),0))))</f>
      </c>
      <c r="H9145">
        <f>IF(DATOS!$G9145&lt;&gt;"EX",0,--(COUNTIFS(nNIA,DATOS!$A9145,nCURSO,DATOS!$D9145,nESPEC,DATOS!$E9145,nASIG,DATOS!$I9145,nEVAL,"OR")=0))</f>
      </c>
      <c r="I9145">
        <f>IF(DATOS!$I9145="","",IFERROR(VLOOKUP(DATOS!$I9145,CONFIG_ASIGNATURAS!$B$2:$J$91,9,FALSE()),""))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IF(DATOS!$A9146="",0,IF(CONFIG_METADATA!$B$4&lt;&gt;"OR+EX",--(DATOS!$G9146=CONFIG_METADATA!$B$4),IF(DATOS!$G9146="EX",1,IF(DATOS!$G9146="OR",--(COUNTIFS(nNIA,DATOS!$A9146,nCURSO,DATOS!$D9146,nESPEC,DATOS!$E9146,nASIG,DATOS!$I9146,nEVAL,"EX")=0),0))))</f>
      </c>
      <c r="H9146">
        <f>IF(DATOS!$G9146&lt;&gt;"EX",0,--(COUNTIFS(nNIA,DATOS!$A9146,nCURSO,DATOS!$D9146,nESPEC,DATOS!$E9146,nASIG,DATOS!$I9146,nEVAL,"OR")=0))</f>
      </c>
      <c r="I9146">
        <f>IF(DATOS!$I9146="","",IFERROR(VLOOKUP(DATOS!$I9146,CONFIG_ASIGNATURAS!$B$2:$J$91,9,FALSE()),""))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IF(DATOS!$A9147="",0,IF(CONFIG_METADATA!$B$4&lt;&gt;"OR+EX",--(DATOS!$G9147=CONFIG_METADATA!$B$4),IF(DATOS!$G9147="EX",1,IF(DATOS!$G9147="OR",--(COUNTIFS(nNIA,DATOS!$A9147,nCURSO,DATOS!$D9147,nESPEC,DATOS!$E9147,nASIG,DATOS!$I9147,nEVAL,"EX")=0),0))))</f>
      </c>
      <c r="H9147">
        <f>IF(DATOS!$G9147&lt;&gt;"EX",0,--(COUNTIFS(nNIA,DATOS!$A9147,nCURSO,DATOS!$D9147,nESPEC,DATOS!$E9147,nASIG,DATOS!$I9147,nEVAL,"OR")=0))</f>
      </c>
      <c r="I9147">
        <f>IF(DATOS!$I9147="","",IFERROR(VLOOKUP(DATOS!$I9147,CONFIG_ASIGNATURAS!$B$2:$J$91,9,FALSE()),""))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IF(DATOS!$A9148="",0,IF(CONFIG_METADATA!$B$4&lt;&gt;"OR+EX",--(DATOS!$G9148=CONFIG_METADATA!$B$4),IF(DATOS!$G9148="EX",1,IF(DATOS!$G9148="OR",--(COUNTIFS(nNIA,DATOS!$A9148,nCURSO,DATOS!$D9148,nESPEC,DATOS!$E9148,nASIG,DATOS!$I9148,nEVAL,"EX")=0),0))))</f>
      </c>
      <c r="H9148">
        <f>IF(DATOS!$G9148&lt;&gt;"EX",0,--(COUNTIFS(nNIA,DATOS!$A9148,nCURSO,DATOS!$D9148,nESPEC,DATOS!$E9148,nASIG,DATOS!$I9148,nEVAL,"OR")=0))</f>
      </c>
      <c r="I9148">
        <f>IF(DATOS!$I9148="","",IFERROR(VLOOKUP(DATOS!$I9148,CONFIG_ASIGNATURAS!$B$2:$J$91,9,FALSE()),""))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IF(DATOS!$A9149="",0,IF(CONFIG_METADATA!$B$4&lt;&gt;"OR+EX",--(DATOS!$G9149=CONFIG_METADATA!$B$4),IF(DATOS!$G9149="EX",1,IF(DATOS!$G9149="OR",--(COUNTIFS(nNIA,DATOS!$A9149,nCURSO,DATOS!$D9149,nESPEC,DATOS!$E9149,nASIG,DATOS!$I9149,nEVAL,"EX")=0),0))))</f>
      </c>
      <c r="H9149">
        <f>IF(DATOS!$G9149&lt;&gt;"EX",0,--(COUNTIFS(nNIA,DATOS!$A9149,nCURSO,DATOS!$D9149,nESPEC,DATOS!$E9149,nASIG,DATOS!$I9149,nEVAL,"OR")=0))</f>
      </c>
      <c r="I9149">
        <f>IF(DATOS!$I9149="","",IFERROR(VLOOKUP(DATOS!$I9149,CONFIG_ASIGNATURAS!$B$2:$J$91,9,FALSE()),""))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IF(DATOS!$A9150="",0,IF(CONFIG_METADATA!$B$4&lt;&gt;"OR+EX",--(DATOS!$G9150=CONFIG_METADATA!$B$4),IF(DATOS!$G9150="EX",1,IF(DATOS!$G9150="OR",--(COUNTIFS(nNIA,DATOS!$A9150,nCURSO,DATOS!$D9150,nESPEC,DATOS!$E9150,nASIG,DATOS!$I9150,nEVAL,"EX")=0),0))))</f>
      </c>
      <c r="H9150">
        <f>IF(DATOS!$G9150&lt;&gt;"EX",0,--(COUNTIFS(nNIA,DATOS!$A9150,nCURSO,DATOS!$D9150,nESPEC,DATOS!$E9150,nASIG,DATOS!$I9150,nEVAL,"OR")=0))</f>
      </c>
      <c r="I9150">
        <f>IF(DATOS!$I9150="","",IFERROR(VLOOKUP(DATOS!$I9150,CONFIG_ASIGNATURAS!$B$2:$J$91,9,FALSE()),""))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IF(DATOS!$A9151="",0,IF(CONFIG_METADATA!$B$4&lt;&gt;"OR+EX",--(DATOS!$G9151=CONFIG_METADATA!$B$4),IF(DATOS!$G9151="EX",1,IF(DATOS!$G9151="OR",--(COUNTIFS(nNIA,DATOS!$A9151,nCURSO,DATOS!$D9151,nESPEC,DATOS!$E9151,nASIG,DATOS!$I9151,nEVAL,"EX")=0),0))))</f>
      </c>
      <c r="H9151">
        <f>IF(DATOS!$G9151&lt;&gt;"EX",0,--(COUNTIFS(nNIA,DATOS!$A9151,nCURSO,DATOS!$D9151,nESPEC,DATOS!$E9151,nASIG,DATOS!$I9151,nEVAL,"OR")=0))</f>
      </c>
      <c r="I9151">
        <f>IF(DATOS!$I9151="","",IFERROR(VLOOKUP(DATOS!$I9151,CONFIG_ASIGNATURAS!$B$2:$J$91,9,FALSE()),""))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IF(DATOS!$A9152="",0,IF(CONFIG_METADATA!$B$4&lt;&gt;"OR+EX",--(DATOS!$G9152=CONFIG_METADATA!$B$4),IF(DATOS!$G9152="EX",1,IF(DATOS!$G9152="OR",--(COUNTIFS(nNIA,DATOS!$A9152,nCURSO,DATOS!$D9152,nESPEC,DATOS!$E9152,nASIG,DATOS!$I9152,nEVAL,"EX")=0),0))))</f>
      </c>
      <c r="H9152">
        <f>IF(DATOS!$G9152&lt;&gt;"EX",0,--(COUNTIFS(nNIA,DATOS!$A9152,nCURSO,DATOS!$D9152,nESPEC,DATOS!$E9152,nASIG,DATOS!$I9152,nEVAL,"OR")=0))</f>
      </c>
      <c r="I9152">
        <f>IF(DATOS!$I9152="","",IFERROR(VLOOKUP(DATOS!$I9152,CONFIG_ASIGNATURAS!$B$2:$J$91,9,FALSE()),""))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IF(DATOS!$A9153="",0,IF(CONFIG_METADATA!$B$4&lt;&gt;"OR+EX",--(DATOS!$G9153=CONFIG_METADATA!$B$4),IF(DATOS!$G9153="EX",1,IF(DATOS!$G9153="OR",--(COUNTIFS(nNIA,DATOS!$A9153,nCURSO,DATOS!$D9153,nESPEC,DATOS!$E9153,nASIG,DATOS!$I9153,nEVAL,"EX")=0),0))))</f>
      </c>
      <c r="H9153">
        <f>IF(DATOS!$G9153&lt;&gt;"EX",0,--(COUNTIFS(nNIA,DATOS!$A9153,nCURSO,DATOS!$D9153,nESPEC,DATOS!$E9153,nASIG,DATOS!$I9153,nEVAL,"OR")=0))</f>
      </c>
      <c r="I9153">
        <f>IF(DATOS!$I9153="","",IFERROR(VLOOKUP(DATOS!$I9153,CONFIG_ASIGNATURAS!$B$2:$J$91,9,FALSE()),""))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IF(DATOS!$A9154="",0,IF(CONFIG_METADATA!$B$4&lt;&gt;"OR+EX",--(DATOS!$G9154=CONFIG_METADATA!$B$4),IF(DATOS!$G9154="EX",1,IF(DATOS!$G9154="OR",--(COUNTIFS(nNIA,DATOS!$A9154,nCURSO,DATOS!$D9154,nESPEC,DATOS!$E9154,nASIG,DATOS!$I9154,nEVAL,"EX")=0),0))))</f>
      </c>
      <c r="H9154">
        <f>IF(DATOS!$G9154&lt;&gt;"EX",0,--(COUNTIFS(nNIA,DATOS!$A9154,nCURSO,DATOS!$D9154,nESPEC,DATOS!$E9154,nASIG,DATOS!$I9154,nEVAL,"OR")=0))</f>
      </c>
      <c r="I9154">
        <f>IF(DATOS!$I9154="","",IFERROR(VLOOKUP(DATOS!$I9154,CONFIG_ASIGNATURAS!$B$2:$J$91,9,FALSE()),""))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IF(DATOS!$A9155="",0,IF(CONFIG_METADATA!$B$4&lt;&gt;"OR+EX",--(DATOS!$G9155=CONFIG_METADATA!$B$4),IF(DATOS!$G9155="EX",1,IF(DATOS!$G9155="OR",--(COUNTIFS(nNIA,DATOS!$A9155,nCURSO,DATOS!$D9155,nESPEC,DATOS!$E9155,nASIG,DATOS!$I9155,nEVAL,"EX")=0),0))))</f>
      </c>
      <c r="H9155">
        <f>IF(DATOS!$G9155&lt;&gt;"EX",0,--(COUNTIFS(nNIA,DATOS!$A9155,nCURSO,DATOS!$D9155,nESPEC,DATOS!$E9155,nASIG,DATOS!$I9155,nEVAL,"OR")=0))</f>
      </c>
      <c r="I9155">
        <f>IF(DATOS!$I9155="","",IFERROR(VLOOKUP(DATOS!$I9155,CONFIG_ASIGNATURAS!$B$2:$J$91,9,FALSE()),""))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IF(DATOS!$A9156="",0,IF(CONFIG_METADATA!$B$4&lt;&gt;"OR+EX",--(DATOS!$G9156=CONFIG_METADATA!$B$4),IF(DATOS!$G9156="EX",1,IF(DATOS!$G9156="OR",--(COUNTIFS(nNIA,DATOS!$A9156,nCURSO,DATOS!$D9156,nESPEC,DATOS!$E9156,nASIG,DATOS!$I9156,nEVAL,"EX")=0),0))))</f>
      </c>
      <c r="H9156">
        <f>IF(DATOS!$G9156&lt;&gt;"EX",0,--(COUNTIFS(nNIA,DATOS!$A9156,nCURSO,DATOS!$D9156,nESPEC,DATOS!$E9156,nASIG,DATOS!$I9156,nEVAL,"OR")=0))</f>
      </c>
      <c r="I9156">
        <f>IF(DATOS!$I9156="","",IFERROR(VLOOKUP(DATOS!$I9156,CONFIG_ASIGNATURAS!$B$2:$J$91,9,FALSE()),""))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IF(DATOS!$A9157="",0,IF(CONFIG_METADATA!$B$4&lt;&gt;"OR+EX",--(DATOS!$G9157=CONFIG_METADATA!$B$4),IF(DATOS!$G9157="EX",1,IF(DATOS!$G9157="OR",--(COUNTIFS(nNIA,DATOS!$A9157,nCURSO,DATOS!$D9157,nESPEC,DATOS!$E9157,nASIG,DATOS!$I9157,nEVAL,"EX")=0),0))))</f>
      </c>
      <c r="H9157">
        <f>IF(DATOS!$G9157&lt;&gt;"EX",0,--(COUNTIFS(nNIA,DATOS!$A9157,nCURSO,DATOS!$D9157,nESPEC,DATOS!$E9157,nASIG,DATOS!$I9157,nEVAL,"OR")=0))</f>
      </c>
      <c r="I9157">
        <f>IF(DATOS!$I9157="","",IFERROR(VLOOKUP(DATOS!$I9157,CONFIG_ASIGNATURAS!$B$2:$J$91,9,FALSE()),""))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IF(DATOS!$A9158="",0,IF(CONFIG_METADATA!$B$4&lt;&gt;"OR+EX",--(DATOS!$G9158=CONFIG_METADATA!$B$4),IF(DATOS!$G9158="EX",1,IF(DATOS!$G9158="OR",--(COUNTIFS(nNIA,DATOS!$A9158,nCURSO,DATOS!$D9158,nESPEC,DATOS!$E9158,nASIG,DATOS!$I9158,nEVAL,"EX")=0),0))))</f>
      </c>
      <c r="H9158">
        <f>IF(DATOS!$G9158&lt;&gt;"EX",0,--(COUNTIFS(nNIA,DATOS!$A9158,nCURSO,DATOS!$D9158,nESPEC,DATOS!$E9158,nASIG,DATOS!$I9158,nEVAL,"OR")=0))</f>
      </c>
      <c r="I9158">
        <f>IF(DATOS!$I9158="","",IFERROR(VLOOKUP(DATOS!$I9158,CONFIG_ASIGNATURAS!$B$2:$J$91,9,FALSE()),""))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IF(DATOS!$A9159="",0,IF(CONFIG_METADATA!$B$4&lt;&gt;"OR+EX",--(DATOS!$G9159=CONFIG_METADATA!$B$4),IF(DATOS!$G9159="EX",1,IF(DATOS!$G9159="OR",--(COUNTIFS(nNIA,DATOS!$A9159,nCURSO,DATOS!$D9159,nESPEC,DATOS!$E9159,nASIG,DATOS!$I9159,nEVAL,"EX")=0),0))))</f>
      </c>
      <c r="H9159">
        <f>IF(DATOS!$G9159&lt;&gt;"EX",0,--(COUNTIFS(nNIA,DATOS!$A9159,nCURSO,DATOS!$D9159,nESPEC,DATOS!$E9159,nASIG,DATOS!$I9159,nEVAL,"OR")=0))</f>
      </c>
      <c r="I9159">
        <f>IF(DATOS!$I9159="","",IFERROR(VLOOKUP(DATOS!$I9159,CONFIG_ASIGNATURAS!$B$2:$J$91,9,FALSE()),""))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IF(DATOS!$A9160="",0,IF(CONFIG_METADATA!$B$4&lt;&gt;"OR+EX",--(DATOS!$G9160=CONFIG_METADATA!$B$4),IF(DATOS!$G9160="EX",1,IF(DATOS!$G9160="OR",--(COUNTIFS(nNIA,DATOS!$A9160,nCURSO,DATOS!$D9160,nESPEC,DATOS!$E9160,nASIG,DATOS!$I9160,nEVAL,"EX")=0),0))))</f>
      </c>
      <c r="H9160">
        <f>IF(DATOS!$G9160&lt;&gt;"EX",0,--(COUNTIFS(nNIA,DATOS!$A9160,nCURSO,DATOS!$D9160,nESPEC,DATOS!$E9160,nASIG,DATOS!$I9160,nEVAL,"OR")=0))</f>
      </c>
      <c r="I9160">
        <f>IF(DATOS!$I9160="","",IFERROR(VLOOKUP(DATOS!$I9160,CONFIG_ASIGNATURAS!$B$2:$J$91,9,FALSE()),""))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IF(DATOS!$A9161="",0,IF(CONFIG_METADATA!$B$4&lt;&gt;"OR+EX",--(DATOS!$G9161=CONFIG_METADATA!$B$4),IF(DATOS!$G9161="EX",1,IF(DATOS!$G9161="OR",--(COUNTIFS(nNIA,DATOS!$A9161,nCURSO,DATOS!$D9161,nESPEC,DATOS!$E9161,nASIG,DATOS!$I9161,nEVAL,"EX")=0),0))))</f>
      </c>
      <c r="H9161">
        <f>IF(DATOS!$G9161&lt;&gt;"EX",0,--(COUNTIFS(nNIA,DATOS!$A9161,nCURSO,DATOS!$D9161,nESPEC,DATOS!$E9161,nASIG,DATOS!$I9161,nEVAL,"OR")=0))</f>
      </c>
      <c r="I9161">
        <f>IF(DATOS!$I9161="","",IFERROR(VLOOKUP(DATOS!$I9161,CONFIG_ASIGNATURAS!$B$2:$J$91,9,FALSE()),""))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IF(DATOS!$A9162="",0,IF(CONFIG_METADATA!$B$4&lt;&gt;"OR+EX",--(DATOS!$G9162=CONFIG_METADATA!$B$4),IF(DATOS!$G9162="EX",1,IF(DATOS!$G9162="OR",--(COUNTIFS(nNIA,DATOS!$A9162,nCURSO,DATOS!$D9162,nESPEC,DATOS!$E9162,nASIG,DATOS!$I9162,nEVAL,"EX")=0),0))))</f>
      </c>
      <c r="H9162">
        <f>IF(DATOS!$G9162&lt;&gt;"EX",0,--(COUNTIFS(nNIA,DATOS!$A9162,nCURSO,DATOS!$D9162,nESPEC,DATOS!$E9162,nASIG,DATOS!$I9162,nEVAL,"OR")=0))</f>
      </c>
      <c r="I9162">
        <f>IF(DATOS!$I9162="","",IFERROR(VLOOKUP(DATOS!$I9162,CONFIG_ASIGNATURAS!$B$2:$J$91,9,FALSE()),""))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IF(DATOS!$A9163="",0,IF(CONFIG_METADATA!$B$4&lt;&gt;"OR+EX",--(DATOS!$G9163=CONFIG_METADATA!$B$4),IF(DATOS!$G9163="EX",1,IF(DATOS!$G9163="OR",--(COUNTIFS(nNIA,DATOS!$A9163,nCURSO,DATOS!$D9163,nESPEC,DATOS!$E9163,nASIG,DATOS!$I9163,nEVAL,"EX")=0),0))))</f>
      </c>
      <c r="H9163">
        <f>IF(DATOS!$G9163&lt;&gt;"EX",0,--(COUNTIFS(nNIA,DATOS!$A9163,nCURSO,DATOS!$D9163,nESPEC,DATOS!$E9163,nASIG,DATOS!$I9163,nEVAL,"OR")=0))</f>
      </c>
      <c r="I9163">
        <f>IF(DATOS!$I9163="","",IFERROR(VLOOKUP(DATOS!$I9163,CONFIG_ASIGNATURAS!$B$2:$J$91,9,FALSE()),""))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IF(DATOS!$A9164="",0,IF(CONFIG_METADATA!$B$4&lt;&gt;"OR+EX",--(DATOS!$G9164=CONFIG_METADATA!$B$4),IF(DATOS!$G9164="EX",1,IF(DATOS!$G9164="OR",--(COUNTIFS(nNIA,DATOS!$A9164,nCURSO,DATOS!$D9164,nESPEC,DATOS!$E9164,nASIG,DATOS!$I9164,nEVAL,"EX")=0),0))))</f>
      </c>
      <c r="H9164">
        <f>IF(DATOS!$G9164&lt;&gt;"EX",0,--(COUNTIFS(nNIA,DATOS!$A9164,nCURSO,DATOS!$D9164,nESPEC,DATOS!$E9164,nASIG,DATOS!$I9164,nEVAL,"OR")=0))</f>
      </c>
      <c r="I9164">
        <f>IF(DATOS!$I9164="","",IFERROR(VLOOKUP(DATOS!$I9164,CONFIG_ASIGNATURAS!$B$2:$J$91,9,FALSE()),""))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IF(DATOS!$A9165="",0,IF(CONFIG_METADATA!$B$4&lt;&gt;"OR+EX",--(DATOS!$G9165=CONFIG_METADATA!$B$4),IF(DATOS!$G9165="EX",1,IF(DATOS!$G9165="OR",--(COUNTIFS(nNIA,DATOS!$A9165,nCURSO,DATOS!$D9165,nESPEC,DATOS!$E9165,nASIG,DATOS!$I9165,nEVAL,"EX")=0),0))))</f>
      </c>
      <c r="H9165">
        <f>IF(DATOS!$G9165&lt;&gt;"EX",0,--(COUNTIFS(nNIA,DATOS!$A9165,nCURSO,DATOS!$D9165,nESPEC,DATOS!$E9165,nASIG,DATOS!$I9165,nEVAL,"OR")=0))</f>
      </c>
      <c r="I9165">
        <f>IF(DATOS!$I9165="","",IFERROR(VLOOKUP(DATOS!$I9165,CONFIG_ASIGNATURAS!$B$2:$J$91,9,FALSE()),""))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IF(DATOS!$A9166="",0,IF(CONFIG_METADATA!$B$4&lt;&gt;"OR+EX",--(DATOS!$G9166=CONFIG_METADATA!$B$4),IF(DATOS!$G9166="EX",1,IF(DATOS!$G9166="OR",--(COUNTIFS(nNIA,DATOS!$A9166,nCURSO,DATOS!$D9166,nESPEC,DATOS!$E9166,nASIG,DATOS!$I9166,nEVAL,"EX")=0),0))))</f>
      </c>
      <c r="H9166">
        <f>IF(DATOS!$G9166&lt;&gt;"EX",0,--(COUNTIFS(nNIA,DATOS!$A9166,nCURSO,DATOS!$D9166,nESPEC,DATOS!$E9166,nASIG,DATOS!$I9166,nEVAL,"OR")=0))</f>
      </c>
      <c r="I9166">
        <f>IF(DATOS!$I9166="","",IFERROR(VLOOKUP(DATOS!$I9166,CONFIG_ASIGNATURAS!$B$2:$J$91,9,FALSE()),""))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IF(DATOS!$A9167="",0,IF(CONFIG_METADATA!$B$4&lt;&gt;"OR+EX",--(DATOS!$G9167=CONFIG_METADATA!$B$4),IF(DATOS!$G9167="EX",1,IF(DATOS!$G9167="OR",--(COUNTIFS(nNIA,DATOS!$A9167,nCURSO,DATOS!$D9167,nESPEC,DATOS!$E9167,nASIG,DATOS!$I9167,nEVAL,"EX")=0),0))))</f>
      </c>
      <c r="H9167">
        <f>IF(DATOS!$G9167&lt;&gt;"EX",0,--(COUNTIFS(nNIA,DATOS!$A9167,nCURSO,DATOS!$D9167,nESPEC,DATOS!$E9167,nASIG,DATOS!$I9167,nEVAL,"OR")=0))</f>
      </c>
      <c r="I9167">
        <f>IF(DATOS!$I9167="","",IFERROR(VLOOKUP(DATOS!$I9167,CONFIG_ASIGNATURAS!$B$2:$J$91,9,FALSE()),""))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IF(DATOS!$A9168="",0,IF(CONFIG_METADATA!$B$4&lt;&gt;"OR+EX",--(DATOS!$G9168=CONFIG_METADATA!$B$4),IF(DATOS!$G9168="EX",1,IF(DATOS!$G9168="OR",--(COUNTIFS(nNIA,DATOS!$A9168,nCURSO,DATOS!$D9168,nESPEC,DATOS!$E9168,nASIG,DATOS!$I9168,nEVAL,"EX")=0),0))))</f>
      </c>
      <c r="H9168">
        <f>IF(DATOS!$G9168&lt;&gt;"EX",0,--(COUNTIFS(nNIA,DATOS!$A9168,nCURSO,DATOS!$D9168,nESPEC,DATOS!$E9168,nASIG,DATOS!$I9168,nEVAL,"OR")=0))</f>
      </c>
      <c r="I9168">
        <f>IF(DATOS!$I9168="","",IFERROR(VLOOKUP(DATOS!$I9168,CONFIG_ASIGNATURAS!$B$2:$J$91,9,FALSE()),""))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IF(DATOS!$A9169="",0,IF(CONFIG_METADATA!$B$4&lt;&gt;"OR+EX",--(DATOS!$G9169=CONFIG_METADATA!$B$4),IF(DATOS!$G9169="EX",1,IF(DATOS!$G9169="OR",--(COUNTIFS(nNIA,DATOS!$A9169,nCURSO,DATOS!$D9169,nESPEC,DATOS!$E9169,nASIG,DATOS!$I9169,nEVAL,"EX")=0),0))))</f>
      </c>
      <c r="H9169">
        <f>IF(DATOS!$G9169&lt;&gt;"EX",0,--(COUNTIFS(nNIA,DATOS!$A9169,nCURSO,DATOS!$D9169,nESPEC,DATOS!$E9169,nASIG,DATOS!$I9169,nEVAL,"OR")=0))</f>
      </c>
      <c r="I9169">
        <f>IF(DATOS!$I9169="","",IFERROR(VLOOKUP(DATOS!$I9169,CONFIG_ASIGNATURAS!$B$2:$J$91,9,FALSE()),""))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IF(DATOS!$A9170="",0,IF(CONFIG_METADATA!$B$4&lt;&gt;"OR+EX",--(DATOS!$G9170=CONFIG_METADATA!$B$4),IF(DATOS!$G9170="EX",1,IF(DATOS!$G9170="OR",--(COUNTIFS(nNIA,DATOS!$A9170,nCURSO,DATOS!$D9170,nESPEC,DATOS!$E9170,nASIG,DATOS!$I9170,nEVAL,"EX")=0),0))))</f>
      </c>
      <c r="H9170">
        <f>IF(DATOS!$G9170&lt;&gt;"EX",0,--(COUNTIFS(nNIA,DATOS!$A9170,nCURSO,DATOS!$D9170,nESPEC,DATOS!$E9170,nASIG,DATOS!$I9170,nEVAL,"OR")=0))</f>
      </c>
      <c r="I9170">
        <f>IF(DATOS!$I9170="","",IFERROR(VLOOKUP(DATOS!$I9170,CONFIG_ASIGNATURAS!$B$2:$J$91,9,FALSE()),""))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IF(DATOS!$A9171="",0,IF(CONFIG_METADATA!$B$4&lt;&gt;"OR+EX",--(DATOS!$G9171=CONFIG_METADATA!$B$4),IF(DATOS!$G9171="EX",1,IF(DATOS!$G9171="OR",--(COUNTIFS(nNIA,DATOS!$A9171,nCURSO,DATOS!$D9171,nESPEC,DATOS!$E9171,nASIG,DATOS!$I9171,nEVAL,"EX")=0),0))))</f>
      </c>
      <c r="H9171">
        <f>IF(DATOS!$G9171&lt;&gt;"EX",0,--(COUNTIFS(nNIA,DATOS!$A9171,nCURSO,DATOS!$D9171,nESPEC,DATOS!$E9171,nASIG,DATOS!$I9171,nEVAL,"OR")=0))</f>
      </c>
      <c r="I9171">
        <f>IF(DATOS!$I9171="","",IFERROR(VLOOKUP(DATOS!$I9171,CONFIG_ASIGNATURAS!$B$2:$J$91,9,FALSE()),""))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IF(DATOS!$A9172="",0,IF(CONFIG_METADATA!$B$4&lt;&gt;"OR+EX",--(DATOS!$G9172=CONFIG_METADATA!$B$4),IF(DATOS!$G9172="EX",1,IF(DATOS!$G9172="OR",--(COUNTIFS(nNIA,DATOS!$A9172,nCURSO,DATOS!$D9172,nESPEC,DATOS!$E9172,nASIG,DATOS!$I9172,nEVAL,"EX")=0),0))))</f>
      </c>
      <c r="H9172">
        <f>IF(DATOS!$G9172&lt;&gt;"EX",0,--(COUNTIFS(nNIA,DATOS!$A9172,nCURSO,DATOS!$D9172,nESPEC,DATOS!$E9172,nASIG,DATOS!$I9172,nEVAL,"OR")=0))</f>
      </c>
      <c r="I9172">
        <f>IF(DATOS!$I9172="","",IFERROR(VLOOKUP(DATOS!$I9172,CONFIG_ASIGNATURAS!$B$2:$J$91,9,FALSE()),""))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IF(DATOS!$A9173="",0,IF(CONFIG_METADATA!$B$4&lt;&gt;"OR+EX",--(DATOS!$G9173=CONFIG_METADATA!$B$4),IF(DATOS!$G9173="EX",1,IF(DATOS!$G9173="OR",--(COUNTIFS(nNIA,DATOS!$A9173,nCURSO,DATOS!$D9173,nESPEC,DATOS!$E9173,nASIG,DATOS!$I9173,nEVAL,"EX")=0),0))))</f>
      </c>
      <c r="H9173">
        <f>IF(DATOS!$G9173&lt;&gt;"EX",0,--(COUNTIFS(nNIA,DATOS!$A9173,nCURSO,DATOS!$D9173,nESPEC,DATOS!$E9173,nASIG,DATOS!$I9173,nEVAL,"OR")=0))</f>
      </c>
      <c r="I9173">
        <f>IF(DATOS!$I9173="","",IFERROR(VLOOKUP(DATOS!$I9173,CONFIG_ASIGNATURAS!$B$2:$J$91,9,FALSE()),""))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IF(DATOS!$A9174="",0,IF(CONFIG_METADATA!$B$4&lt;&gt;"OR+EX",--(DATOS!$G9174=CONFIG_METADATA!$B$4),IF(DATOS!$G9174="EX",1,IF(DATOS!$G9174="OR",--(COUNTIFS(nNIA,DATOS!$A9174,nCURSO,DATOS!$D9174,nESPEC,DATOS!$E9174,nASIG,DATOS!$I9174,nEVAL,"EX")=0),0))))</f>
      </c>
      <c r="H9174">
        <f>IF(DATOS!$G9174&lt;&gt;"EX",0,--(COUNTIFS(nNIA,DATOS!$A9174,nCURSO,DATOS!$D9174,nESPEC,DATOS!$E9174,nASIG,DATOS!$I9174,nEVAL,"OR")=0))</f>
      </c>
      <c r="I9174">
        <f>IF(DATOS!$I9174="","",IFERROR(VLOOKUP(DATOS!$I9174,CONFIG_ASIGNATURAS!$B$2:$J$91,9,FALSE()),""))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IF(DATOS!$A9175="",0,IF(CONFIG_METADATA!$B$4&lt;&gt;"OR+EX",--(DATOS!$G9175=CONFIG_METADATA!$B$4),IF(DATOS!$G9175="EX",1,IF(DATOS!$G9175="OR",--(COUNTIFS(nNIA,DATOS!$A9175,nCURSO,DATOS!$D9175,nESPEC,DATOS!$E9175,nASIG,DATOS!$I9175,nEVAL,"EX")=0),0))))</f>
      </c>
      <c r="H9175">
        <f>IF(DATOS!$G9175&lt;&gt;"EX",0,--(COUNTIFS(nNIA,DATOS!$A9175,nCURSO,DATOS!$D9175,nESPEC,DATOS!$E9175,nASIG,DATOS!$I9175,nEVAL,"OR")=0))</f>
      </c>
      <c r="I9175">
        <f>IF(DATOS!$I9175="","",IFERROR(VLOOKUP(DATOS!$I9175,CONFIG_ASIGNATURAS!$B$2:$J$91,9,FALSE()),""))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IF(DATOS!$A9176="",0,IF(CONFIG_METADATA!$B$4&lt;&gt;"OR+EX",--(DATOS!$G9176=CONFIG_METADATA!$B$4),IF(DATOS!$G9176="EX",1,IF(DATOS!$G9176="OR",--(COUNTIFS(nNIA,DATOS!$A9176,nCURSO,DATOS!$D9176,nESPEC,DATOS!$E9176,nASIG,DATOS!$I9176,nEVAL,"EX")=0),0))))</f>
      </c>
      <c r="H9176">
        <f>IF(DATOS!$G9176&lt;&gt;"EX",0,--(COUNTIFS(nNIA,DATOS!$A9176,nCURSO,DATOS!$D9176,nESPEC,DATOS!$E9176,nASIG,DATOS!$I9176,nEVAL,"OR")=0))</f>
      </c>
      <c r="I9176">
        <f>IF(DATOS!$I9176="","",IFERROR(VLOOKUP(DATOS!$I9176,CONFIG_ASIGNATURAS!$B$2:$J$91,9,FALSE()),""))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IF(DATOS!$A9177="",0,IF(CONFIG_METADATA!$B$4&lt;&gt;"OR+EX",--(DATOS!$G9177=CONFIG_METADATA!$B$4),IF(DATOS!$G9177="EX",1,IF(DATOS!$G9177="OR",--(COUNTIFS(nNIA,DATOS!$A9177,nCURSO,DATOS!$D9177,nESPEC,DATOS!$E9177,nASIG,DATOS!$I9177,nEVAL,"EX")=0),0))))</f>
      </c>
      <c r="H9177">
        <f>IF(DATOS!$G9177&lt;&gt;"EX",0,--(COUNTIFS(nNIA,DATOS!$A9177,nCURSO,DATOS!$D9177,nESPEC,DATOS!$E9177,nASIG,DATOS!$I9177,nEVAL,"OR")=0))</f>
      </c>
      <c r="I9177">
        <f>IF(DATOS!$I9177="","",IFERROR(VLOOKUP(DATOS!$I9177,CONFIG_ASIGNATURAS!$B$2:$J$91,9,FALSE()),""))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IF(DATOS!$A9178="",0,IF(CONFIG_METADATA!$B$4&lt;&gt;"OR+EX",--(DATOS!$G9178=CONFIG_METADATA!$B$4),IF(DATOS!$G9178="EX",1,IF(DATOS!$G9178="OR",--(COUNTIFS(nNIA,DATOS!$A9178,nCURSO,DATOS!$D9178,nESPEC,DATOS!$E9178,nASIG,DATOS!$I9178,nEVAL,"EX")=0),0))))</f>
      </c>
      <c r="H9178">
        <f>IF(DATOS!$G9178&lt;&gt;"EX",0,--(COUNTIFS(nNIA,DATOS!$A9178,nCURSO,DATOS!$D9178,nESPEC,DATOS!$E9178,nASIG,DATOS!$I9178,nEVAL,"OR")=0))</f>
      </c>
      <c r="I9178">
        <f>IF(DATOS!$I9178="","",IFERROR(VLOOKUP(DATOS!$I9178,CONFIG_ASIGNATURAS!$B$2:$J$91,9,FALSE()),""))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IF(DATOS!$A9179="",0,IF(CONFIG_METADATA!$B$4&lt;&gt;"OR+EX",--(DATOS!$G9179=CONFIG_METADATA!$B$4),IF(DATOS!$G9179="EX",1,IF(DATOS!$G9179="OR",--(COUNTIFS(nNIA,DATOS!$A9179,nCURSO,DATOS!$D9179,nESPEC,DATOS!$E9179,nASIG,DATOS!$I9179,nEVAL,"EX")=0),0))))</f>
      </c>
      <c r="H9179">
        <f>IF(DATOS!$G9179&lt;&gt;"EX",0,--(COUNTIFS(nNIA,DATOS!$A9179,nCURSO,DATOS!$D9179,nESPEC,DATOS!$E9179,nASIG,DATOS!$I9179,nEVAL,"OR")=0))</f>
      </c>
      <c r="I9179">
        <f>IF(DATOS!$I9179="","",IFERROR(VLOOKUP(DATOS!$I9179,CONFIG_ASIGNATURAS!$B$2:$J$91,9,FALSE()),""))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IF(DATOS!$A9180="",0,IF(CONFIG_METADATA!$B$4&lt;&gt;"OR+EX",--(DATOS!$G9180=CONFIG_METADATA!$B$4),IF(DATOS!$G9180="EX",1,IF(DATOS!$G9180="OR",--(COUNTIFS(nNIA,DATOS!$A9180,nCURSO,DATOS!$D9180,nESPEC,DATOS!$E9180,nASIG,DATOS!$I9180,nEVAL,"EX")=0),0))))</f>
      </c>
      <c r="H9180">
        <f>IF(DATOS!$G9180&lt;&gt;"EX",0,--(COUNTIFS(nNIA,DATOS!$A9180,nCURSO,DATOS!$D9180,nESPEC,DATOS!$E9180,nASIG,DATOS!$I9180,nEVAL,"OR")=0))</f>
      </c>
      <c r="I9180">
        <f>IF(DATOS!$I9180="","",IFERROR(VLOOKUP(DATOS!$I9180,CONFIG_ASIGNATURAS!$B$2:$J$91,9,FALSE()),""))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IF(DATOS!$A9181="",0,IF(CONFIG_METADATA!$B$4&lt;&gt;"OR+EX",--(DATOS!$G9181=CONFIG_METADATA!$B$4),IF(DATOS!$G9181="EX",1,IF(DATOS!$G9181="OR",--(COUNTIFS(nNIA,DATOS!$A9181,nCURSO,DATOS!$D9181,nESPEC,DATOS!$E9181,nASIG,DATOS!$I9181,nEVAL,"EX")=0),0))))</f>
      </c>
      <c r="H9181">
        <f>IF(DATOS!$G9181&lt;&gt;"EX",0,--(COUNTIFS(nNIA,DATOS!$A9181,nCURSO,DATOS!$D9181,nESPEC,DATOS!$E9181,nASIG,DATOS!$I9181,nEVAL,"OR")=0))</f>
      </c>
      <c r="I9181">
        <f>IF(DATOS!$I9181="","",IFERROR(VLOOKUP(DATOS!$I9181,CONFIG_ASIGNATURAS!$B$2:$J$91,9,FALSE()),""))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IF(DATOS!$A9182="",0,IF(CONFIG_METADATA!$B$4&lt;&gt;"OR+EX",--(DATOS!$G9182=CONFIG_METADATA!$B$4),IF(DATOS!$G9182="EX",1,IF(DATOS!$G9182="OR",--(COUNTIFS(nNIA,DATOS!$A9182,nCURSO,DATOS!$D9182,nESPEC,DATOS!$E9182,nASIG,DATOS!$I9182,nEVAL,"EX")=0),0))))</f>
      </c>
      <c r="H9182">
        <f>IF(DATOS!$G9182&lt;&gt;"EX",0,--(COUNTIFS(nNIA,DATOS!$A9182,nCURSO,DATOS!$D9182,nESPEC,DATOS!$E9182,nASIG,DATOS!$I9182,nEVAL,"OR")=0))</f>
      </c>
      <c r="I9182">
        <f>IF(DATOS!$I9182="","",IFERROR(VLOOKUP(DATOS!$I9182,CONFIG_ASIGNATURAS!$B$2:$J$91,9,FALSE()),""))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IF(DATOS!$A9183="",0,IF(CONFIG_METADATA!$B$4&lt;&gt;"OR+EX",--(DATOS!$G9183=CONFIG_METADATA!$B$4),IF(DATOS!$G9183="EX",1,IF(DATOS!$G9183="OR",--(COUNTIFS(nNIA,DATOS!$A9183,nCURSO,DATOS!$D9183,nESPEC,DATOS!$E9183,nASIG,DATOS!$I9183,nEVAL,"EX")=0),0))))</f>
      </c>
      <c r="H9183">
        <f>IF(DATOS!$G9183&lt;&gt;"EX",0,--(COUNTIFS(nNIA,DATOS!$A9183,nCURSO,DATOS!$D9183,nESPEC,DATOS!$E9183,nASIG,DATOS!$I9183,nEVAL,"OR")=0))</f>
      </c>
      <c r="I9183">
        <f>IF(DATOS!$I9183="","",IFERROR(VLOOKUP(DATOS!$I9183,CONFIG_ASIGNATURAS!$B$2:$J$91,9,FALSE()),""))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IF(DATOS!$A9184="",0,IF(CONFIG_METADATA!$B$4&lt;&gt;"OR+EX",--(DATOS!$G9184=CONFIG_METADATA!$B$4),IF(DATOS!$G9184="EX",1,IF(DATOS!$G9184="OR",--(COUNTIFS(nNIA,DATOS!$A9184,nCURSO,DATOS!$D9184,nESPEC,DATOS!$E9184,nASIG,DATOS!$I9184,nEVAL,"EX")=0),0))))</f>
      </c>
      <c r="H9184">
        <f>IF(DATOS!$G9184&lt;&gt;"EX",0,--(COUNTIFS(nNIA,DATOS!$A9184,nCURSO,DATOS!$D9184,nESPEC,DATOS!$E9184,nASIG,DATOS!$I9184,nEVAL,"OR")=0))</f>
      </c>
      <c r="I9184">
        <f>IF(DATOS!$I9184="","",IFERROR(VLOOKUP(DATOS!$I9184,CONFIG_ASIGNATURAS!$B$2:$J$91,9,FALSE()),""))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IF(DATOS!$A9185="",0,IF(CONFIG_METADATA!$B$4&lt;&gt;"OR+EX",--(DATOS!$G9185=CONFIG_METADATA!$B$4),IF(DATOS!$G9185="EX",1,IF(DATOS!$G9185="OR",--(COUNTIFS(nNIA,DATOS!$A9185,nCURSO,DATOS!$D9185,nESPEC,DATOS!$E9185,nASIG,DATOS!$I9185,nEVAL,"EX")=0),0))))</f>
      </c>
      <c r="H9185">
        <f>IF(DATOS!$G9185&lt;&gt;"EX",0,--(COUNTIFS(nNIA,DATOS!$A9185,nCURSO,DATOS!$D9185,nESPEC,DATOS!$E9185,nASIG,DATOS!$I9185,nEVAL,"OR")=0))</f>
      </c>
      <c r="I9185">
        <f>IF(DATOS!$I9185="","",IFERROR(VLOOKUP(DATOS!$I9185,CONFIG_ASIGNATURAS!$B$2:$J$91,9,FALSE()),""))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IF(DATOS!$A9186="",0,IF(CONFIG_METADATA!$B$4&lt;&gt;"OR+EX",--(DATOS!$G9186=CONFIG_METADATA!$B$4),IF(DATOS!$G9186="EX",1,IF(DATOS!$G9186="OR",--(COUNTIFS(nNIA,DATOS!$A9186,nCURSO,DATOS!$D9186,nESPEC,DATOS!$E9186,nASIG,DATOS!$I9186,nEVAL,"EX")=0),0))))</f>
      </c>
      <c r="H9186">
        <f>IF(DATOS!$G9186&lt;&gt;"EX",0,--(COUNTIFS(nNIA,DATOS!$A9186,nCURSO,DATOS!$D9186,nESPEC,DATOS!$E9186,nASIG,DATOS!$I9186,nEVAL,"OR")=0))</f>
      </c>
      <c r="I9186">
        <f>IF(DATOS!$I9186="","",IFERROR(VLOOKUP(DATOS!$I9186,CONFIG_ASIGNATURAS!$B$2:$J$91,9,FALSE()),""))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IF(DATOS!$A9187="",0,IF(CONFIG_METADATA!$B$4&lt;&gt;"OR+EX",--(DATOS!$G9187=CONFIG_METADATA!$B$4),IF(DATOS!$G9187="EX",1,IF(DATOS!$G9187="OR",--(COUNTIFS(nNIA,DATOS!$A9187,nCURSO,DATOS!$D9187,nESPEC,DATOS!$E9187,nASIG,DATOS!$I9187,nEVAL,"EX")=0),0))))</f>
      </c>
      <c r="H9187">
        <f>IF(DATOS!$G9187&lt;&gt;"EX",0,--(COUNTIFS(nNIA,DATOS!$A9187,nCURSO,DATOS!$D9187,nESPEC,DATOS!$E9187,nASIG,DATOS!$I9187,nEVAL,"OR")=0))</f>
      </c>
      <c r="I9187">
        <f>IF(DATOS!$I9187="","",IFERROR(VLOOKUP(DATOS!$I9187,CONFIG_ASIGNATURAS!$B$2:$J$91,9,FALSE()),""))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IF(DATOS!$A9188="",0,IF(CONFIG_METADATA!$B$4&lt;&gt;"OR+EX",--(DATOS!$G9188=CONFIG_METADATA!$B$4),IF(DATOS!$G9188="EX",1,IF(DATOS!$G9188="OR",--(COUNTIFS(nNIA,DATOS!$A9188,nCURSO,DATOS!$D9188,nESPEC,DATOS!$E9188,nASIG,DATOS!$I9188,nEVAL,"EX")=0),0))))</f>
      </c>
      <c r="H9188">
        <f>IF(DATOS!$G9188&lt;&gt;"EX",0,--(COUNTIFS(nNIA,DATOS!$A9188,nCURSO,DATOS!$D9188,nESPEC,DATOS!$E9188,nASIG,DATOS!$I9188,nEVAL,"OR")=0))</f>
      </c>
      <c r="I9188">
        <f>IF(DATOS!$I9188="","",IFERROR(VLOOKUP(DATOS!$I9188,CONFIG_ASIGNATURAS!$B$2:$J$91,9,FALSE()),""))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IF(DATOS!$A9189="",0,IF(CONFIG_METADATA!$B$4&lt;&gt;"OR+EX",--(DATOS!$G9189=CONFIG_METADATA!$B$4),IF(DATOS!$G9189="EX",1,IF(DATOS!$G9189="OR",--(COUNTIFS(nNIA,DATOS!$A9189,nCURSO,DATOS!$D9189,nESPEC,DATOS!$E9189,nASIG,DATOS!$I9189,nEVAL,"EX")=0),0))))</f>
      </c>
      <c r="H9189">
        <f>IF(DATOS!$G9189&lt;&gt;"EX",0,--(COUNTIFS(nNIA,DATOS!$A9189,nCURSO,DATOS!$D9189,nESPEC,DATOS!$E9189,nASIG,DATOS!$I9189,nEVAL,"OR")=0))</f>
      </c>
      <c r="I9189">
        <f>IF(DATOS!$I9189="","",IFERROR(VLOOKUP(DATOS!$I9189,CONFIG_ASIGNATURAS!$B$2:$J$91,9,FALSE()),""))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IF(DATOS!$A9190="",0,IF(CONFIG_METADATA!$B$4&lt;&gt;"OR+EX",--(DATOS!$G9190=CONFIG_METADATA!$B$4),IF(DATOS!$G9190="EX",1,IF(DATOS!$G9190="OR",--(COUNTIFS(nNIA,DATOS!$A9190,nCURSO,DATOS!$D9190,nESPEC,DATOS!$E9190,nASIG,DATOS!$I9190,nEVAL,"EX")=0),0))))</f>
      </c>
      <c r="H9190">
        <f>IF(DATOS!$G9190&lt;&gt;"EX",0,--(COUNTIFS(nNIA,DATOS!$A9190,nCURSO,DATOS!$D9190,nESPEC,DATOS!$E9190,nASIG,DATOS!$I9190,nEVAL,"OR")=0))</f>
      </c>
      <c r="I9190">
        <f>IF(DATOS!$I9190="","",IFERROR(VLOOKUP(DATOS!$I9190,CONFIG_ASIGNATURAS!$B$2:$J$91,9,FALSE()),""))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IF(DATOS!$A9191="",0,IF(CONFIG_METADATA!$B$4&lt;&gt;"OR+EX",--(DATOS!$G9191=CONFIG_METADATA!$B$4),IF(DATOS!$G9191="EX",1,IF(DATOS!$G9191="OR",--(COUNTIFS(nNIA,DATOS!$A9191,nCURSO,DATOS!$D9191,nESPEC,DATOS!$E9191,nASIG,DATOS!$I9191,nEVAL,"EX")=0),0))))</f>
      </c>
      <c r="H9191">
        <f>IF(DATOS!$G9191&lt;&gt;"EX",0,--(COUNTIFS(nNIA,DATOS!$A9191,nCURSO,DATOS!$D9191,nESPEC,DATOS!$E9191,nASIG,DATOS!$I9191,nEVAL,"OR")=0))</f>
      </c>
      <c r="I9191">
        <f>IF(DATOS!$I9191="","",IFERROR(VLOOKUP(DATOS!$I9191,CONFIG_ASIGNATURAS!$B$2:$J$91,9,FALSE()),""))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IF(DATOS!$A9192="",0,IF(CONFIG_METADATA!$B$4&lt;&gt;"OR+EX",--(DATOS!$G9192=CONFIG_METADATA!$B$4),IF(DATOS!$G9192="EX",1,IF(DATOS!$G9192="OR",--(COUNTIFS(nNIA,DATOS!$A9192,nCURSO,DATOS!$D9192,nESPEC,DATOS!$E9192,nASIG,DATOS!$I9192,nEVAL,"EX")=0),0))))</f>
      </c>
      <c r="H9192">
        <f>IF(DATOS!$G9192&lt;&gt;"EX",0,--(COUNTIFS(nNIA,DATOS!$A9192,nCURSO,DATOS!$D9192,nESPEC,DATOS!$E9192,nASIG,DATOS!$I9192,nEVAL,"OR")=0))</f>
      </c>
      <c r="I9192">
        <f>IF(DATOS!$I9192="","",IFERROR(VLOOKUP(DATOS!$I9192,CONFIG_ASIGNATURAS!$B$2:$J$91,9,FALSE()),""))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IF(DATOS!$A9193="",0,IF(CONFIG_METADATA!$B$4&lt;&gt;"OR+EX",--(DATOS!$G9193=CONFIG_METADATA!$B$4),IF(DATOS!$G9193="EX",1,IF(DATOS!$G9193="OR",--(COUNTIFS(nNIA,DATOS!$A9193,nCURSO,DATOS!$D9193,nESPEC,DATOS!$E9193,nASIG,DATOS!$I9193,nEVAL,"EX")=0),0))))</f>
      </c>
      <c r="H9193">
        <f>IF(DATOS!$G9193&lt;&gt;"EX",0,--(COUNTIFS(nNIA,DATOS!$A9193,nCURSO,DATOS!$D9193,nESPEC,DATOS!$E9193,nASIG,DATOS!$I9193,nEVAL,"OR")=0))</f>
      </c>
      <c r="I9193">
        <f>IF(DATOS!$I9193="","",IFERROR(VLOOKUP(DATOS!$I9193,CONFIG_ASIGNATURAS!$B$2:$J$91,9,FALSE()),""))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IF(DATOS!$A9194="",0,IF(CONFIG_METADATA!$B$4&lt;&gt;"OR+EX",--(DATOS!$G9194=CONFIG_METADATA!$B$4),IF(DATOS!$G9194="EX",1,IF(DATOS!$G9194="OR",--(COUNTIFS(nNIA,DATOS!$A9194,nCURSO,DATOS!$D9194,nESPEC,DATOS!$E9194,nASIG,DATOS!$I9194,nEVAL,"EX")=0),0))))</f>
      </c>
      <c r="H9194">
        <f>IF(DATOS!$G9194&lt;&gt;"EX",0,--(COUNTIFS(nNIA,DATOS!$A9194,nCURSO,DATOS!$D9194,nESPEC,DATOS!$E9194,nASIG,DATOS!$I9194,nEVAL,"OR")=0))</f>
      </c>
      <c r="I9194">
        <f>IF(DATOS!$I9194="","",IFERROR(VLOOKUP(DATOS!$I9194,CONFIG_ASIGNATURAS!$B$2:$J$91,9,FALSE()),""))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IF(DATOS!$A9195="",0,IF(CONFIG_METADATA!$B$4&lt;&gt;"OR+EX",--(DATOS!$G9195=CONFIG_METADATA!$B$4),IF(DATOS!$G9195="EX",1,IF(DATOS!$G9195="OR",--(COUNTIFS(nNIA,DATOS!$A9195,nCURSO,DATOS!$D9195,nESPEC,DATOS!$E9195,nASIG,DATOS!$I9195,nEVAL,"EX")=0),0))))</f>
      </c>
      <c r="H9195">
        <f>IF(DATOS!$G9195&lt;&gt;"EX",0,--(COUNTIFS(nNIA,DATOS!$A9195,nCURSO,DATOS!$D9195,nESPEC,DATOS!$E9195,nASIG,DATOS!$I9195,nEVAL,"OR")=0))</f>
      </c>
      <c r="I9195">
        <f>IF(DATOS!$I9195="","",IFERROR(VLOOKUP(DATOS!$I9195,CONFIG_ASIGNATURAS!$B$2:$J$91,9,FALSE()),""))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IF(DATOS!$A9196="",0,IF(CONFIG_METADATA!$B$4&lt;&gt;"OR+EX",--(DATOS!$G9196=CONFIG_METADATA!$B$4),IF(DATOS!$G9196="EX",1,IF(DATOS!$G9196="OR",--(COUNTIFS(nNIA,DATOS!$A9196,nCURSO,DATOS!$D9196,nESPEC,DATOS!$E9196,nASIG,DATOS!$I9196,nEVAL,"EX")=0),0))))</f>
      </c>
      <c r="H9196">
        <f>IF(DATOS!$G9196&lt;&gt;"EX",0,--(COUNTIFS(nNIA,DATOS!$A9196,nCURSO,DATOS!$D9196,nESPEC,DATOS!$E9196,nASIG,DATOS!$I9196,nEVAL,"OR")=0))</f>
      </c>
      <c r="I9196">
        <f>IF(DATOS!$I9196="","",IFERROR(VLOOKUP(DATOS!$I9196,CONFIG_ASIGNATURAS!$B$2:$J$91,9,FALSE()),""))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IF(DATOS!$A9197="",0,IF(CONFIG_METADATA!$B$4&lt;&gt;"OR+EX",--(DATOS!$G9197=CONFIG_METADATA!$B$4),IF(DATOS!$G9197="EX",1,IF(DATOS!$G9197="OR",--(COUNTIFS(nNIA,DATOS!$A9197,nCURSO,DATOS!$D9197,nESPEC,DATOS!$E9197,nASIG,DATOS!$I9197,nEVAL,"EX")=0),0))))</f>
      </c>
      <c r="H9197">
        <f>IF(DATOS!$G9197&lt;&gt;"EX",0,--(COUNTIFS(nNIA,DATOS!$A9197,nCURSO,DATOS!$D9197,nESPEC,DATOS!$E9197,nASIG,DATOS!$I9197,nEVAL,"OR")=0))</f>
      </c>
      <c r="I9197">
        <f>IF(DATOS!$I9197="","",IFERROR(VLOOKUP(DATOS!$I9197,CONFIG_ASIGNATURAS!$B$2:$J$91,9,FALSE()),""))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IF(DATOS!$A9198="",0,IF(CONFIG_METADATA!$B$4&lt;&gt;"OR+EX",--(DATOS!$G9198=CONFIG_METADATA!$B$4),IF(DATOS!$G9198="EX",1,IF(DATOS!$G9198="OR",--(COUNTIFS(nNIA,DATOS!$A9198,nCURSO,DATOS!$D9198,nESPEC,DATOS!$E9198,nASIG,DATOS!$I9198,nEVAL,"EX")=0),0))))</f>
      </c>
      <c r="H9198">
        <f>IF(DATOS!$G9198&lt;&gt;"EX",0,--(COUNTIFS(nNIA,DATOS!$A9198,nCURSO,DATOS!$D9198,nESPEC,DATOS!$E9198,nASIG,DATOS!$I9198,nEVAL,"OR")=0))</f>
      </c>
      <c r="I9198">
        <f>IF(DATOS!$I9198="","",IFERROR(VLOOKUP(DATOS!$I9198,CONFIG_ASIGNATURAS!$B$2:$J$91,9,FALSE()),""))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IF(DATOS!$A9199="",0,IF(CONFIG_METADATA!$B$4&lt;&gt;"OR+EX",--(DATOS!$G9199=CONFIG_METADATA!$B$4),IF(DATOS!$G9199="EX",1,IF(DATOS!$G9199="OR",--(COUNTIFS(nNIA,DATOS!$A9199,nCURSO,DATOS!$D9199,nESPEC,DATOS!$E9199,nASIG,DATOS!$I9199,nEVAL,"EX")=0),0))))</f>
      </c>
      <c r="H9199">
        <f>IF(DATOS!$G9199&lt;&gt;"EX",0,--(COUNTIFS(nNIA,DATOS!$A9199,nCURSO,DATOS!$D9199,nESPEC,DATOS!$E9199,nASIG,DATOS!$I9199,nEVAL,"OR")=0))</f>
      </c>
      <c r="I9199">
        <f>IF(DATOS!$I9199="","",IFERROR(VLOOKUP(DATOS!$I9199,CONFIG_ASIGNATURAS!$B$2:$J$91,9,FALSE()),""))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IF(DATOS!$A9200="",0,IF(CONFIG_METADATA!$B$4&lt;&gt;"OR+EX",--(DATOS!$G9200=CONFIG_METADATA!$B$4),IF(DATOS!$G9200="EX",1,IF(DATOS!$G9200="OR",--(COUNTIFS(nNIA,DATOS!$A9200,nCURSO,DATOS!$D9200,nESPEC,DATOS!$E9200,nASIG,DATOS!$I9200,nEVAL,"EX")=0),0))))</f>
      </c>
      <c r="H9200">
        <f>IF(DATOS!$G9200&lt;&gt;"EX",0,--(COUNTIFS(nNIA,DATOS!$A9200,nCURSO,DATOS!$D9200,nESPEC,DATOS!$E9200,nASIG,DATOS!$I9200,nEVAL,"OR")=0))</f>
      </c>
      <c r="I9200">
        <f>IF(DATOS!$I9200="","",IFERROR(VLOOKUP(DATOS!$I9200,CONFIG_ASIGNATURAS!$B$2:$J$91,9,FALSE()),""))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IF(DATOS!$A9201="",0,IF(CONFIG_METADATA!$B$4&lt;&gt;"OR+EX",--(DATOS!$G9201=CONFIG_METADATA!$B$4),IF(DATOS!$G9201="EX",1,IF(DATOS!$G9201="OR",--(COUNTIFS(nNIA,DATOS!$A9201,nCURSO,DATOS!$D9201,nESPEC,DATOS!$E9201,nASIG,DATOS!$I9201,nEVAL,"EX")=0),0))))</f>
      </c>
      <c r="H9201">
        <f>IF(DATOS!$G9201&lt;&gt;"EX",0,--(COUNTIFS(nNIA,DATOS!$A9201,nCURSO,DATOS!$D9201,nESPEC,DATOS!$E9201,nASIG,DATOS!$I9201,nEVAL,"OR")=0))</f>
      </c>
      <c r="I9201">
        <f>IF(DATOS!$I9201="","",IFERROR(VLOOKUP(DATOS!$I9201,CONFIG_ASIGNATURAS!$B$2:$J$91,9,FALSE()),""))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IF(DATOS!$A9202="",0,IF(CONFIG_METADATA!$B$4&lt;&gt;"OR+EX",--(DATOS!$G9202=CONFIG_METADATA!$B$4),IF(DATOS!$G9202="EX",1,IF(DATOS!$G9202="OR",--(COUNTIFS(nNIA,DATOS!$A9202,nCURSO,DATOS!$D9202,nESPEC,DATOS!$E9202,nASIG,DATOS!$I9202,nEVAL,"EX")=0),0))))</f>
      </c>
      <c r="H9202">
        <f>IF(DATOS!$G9202&lt;&gt;"EX",0,--(COUNTIFS(nNIA,DATOS!$A9202,nCURSO,DATOS!$D9202,nESPEC,DATOS!$E9202,nASIG,DATOS!$I9202,nEVAL,"OR")=0))</f>
      </c>
      <c r="I9202">
        <f>IF(DATOS!$I9202="","",IFERROR(VLOOKUP(DATOS!$I9202,CONFIG_ASIGNATURAS!$B$2:$J$91,9,FALSE()),""))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IF(DATOS!$A9203="",0,IF(CONFIG_METADATA!$B$4&lt;&gt;"OR+EX",--(DATOS!$G9203=CONFIG_METADATA!$B$4),IF(DATOS!$G9203="EX",1,IF(DATOS!$G9203="OR",--(COUNTIFS(nNIA,DATOS!$A9203,nCURSO,DATOS!$D9203,nESPEC,DATOS!$E9203,nASIG,DATOS!$I9203,nEVAL,"EX")=0),0))))</f>
      </c>
      <c r="H9203">
        <f>IF(DATOS!$G9203&lt;&gt;"EX",0,--(COUNTIFS(nNIA,DATOS!$A9203,nCURSO,DATOS!$D9203,nESPEC,DATOS!$E9203,nASIG,DATOS!$I9203,nEVAL,"OR")=0))</f>
      </c>
      <c r="I9203">
        <f>IF(DATOS!$I9203="","",IFERROR(VLOOKUP(DATOS!$I9203,CONFIG_ASIGNATURAS!$B$2:$J$91,9,FALSE()),""))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IF(DATOS!$A9204="",0,IF(CONFIG_METADATA!$B$4&lt;&gt;"OR+EX",--(DATOS!$G9204=CONFIG_METADATA!$B$4),IF(DATOS!$G9204="EX",1,IF(DATOS!$G9204="OR",--(COUNTIFS(nNIA,DATOS!$A9204,nCURSO,DATOS!$D9204,nESPEC,DATOS!$E9204,nASIG,DATOS!$I9204,nEVAL,"EX")=0),0))))</f>
      </c>
      <c r="H9204">
        <f>IF(DATOS!$G9204&lt;&gt;"EX",0,--(COUNTIFS(nNIA,DATOS!$A9204,nCURSO,DATOS!$D9204,nESPEC,DATOS!$E9204,nASIG,DATOS!$I9204,nEVAL,"OR")=0))</f>
      </c>
      <c r="I9204">
        <f>IF(DATOS!$I9204="","",IFERROR(VLOOKUP(DATOS!$I9204,CONFIG_ASIGNATURAS!$B$2:$J$91,9,FALSE()),""))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IF(DATOS!$A9205="",0,IF(CONFIG_METADATA!$B$4&lt;&gt;"OR+EX",--(DATOS!$G9205=CONFIG_METADATA!$B$4),IF(DATOS!$G9205="EX",1,IF(DATOS!$G9205="OR",--(COUNTIFS(nNIA,DATOS!$A9205,nCURSO,DATOS!$D9205,nESPEC,DATOS!$E9205,nASIG,DATOS!$I9205,nEVAL,"EX")=0),0))))</f>
      </c>
      <c r="H9205">
        <f>IF(DATOS!$G9205&lt;&gt;"EX",0,--(COUNTIFS(nNIA,DATOS!$A9205,nCURSO,DATOS!$D9205,nESPEC,DATOS!$E9205,nASIG,DATOS!$I9205,nEVAL,"OR")=0))</f>
      </c>
      <c r="I9205">
        <f>IF(DATOS!$I9205="","",IFERROR(VLOOKUP(DATOS!$I9205,CONFIG_ASIGNATURAS!$B$2:$J$91,9,FALSE()),""))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IF(DATOS!$A9206="",0,IF(CONFIG_METADATA!$B$4&lt;&gt;"OR+EX",--(DATOS!$G9206=CONFIG_METADATA!$B$4),IF(DATOS!$G9206="EX",1,IF(DATOS!$G9206="OR",--(COUNTIFS(nNIA,DATOS!$A9206,nCURSO,DATOS!$D9206,nESPEC,DATOS!$E9206,nASIG,DATOS!$I9206,nEVAL,"EX")=0),0))))</f>
      </c>
      <c r="H9206">
        <f>IF(DATOS!$G9206&lt;&gt;"EX",0,--(COUNTIFS(nNIA,DATOS!$A9206,nCURSO,DATOS!$D9206,nESPEC,DATOS!$E9206,nASIG,DATOS!$I9206,nEVAL,"OR")=0))</f>
      </c>
      <c r="I9206">
        <f>IF(DATOS!$I9206="","",IFERROR(VLOOKUP(DATOS!$I9206,CONFIG_ASIGNATURAS!$B$2:$J$91,9,FALSE()),""))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IF(DATOS!$A9207="",0,IF(CONFIG_METADATA!$B$4&lt;&gt;"OR+EX",--(DATOS!$G9207=CONFIG_METADATA!$B$4),IF(DATOS!$G9207="EX",1,IF(DATOS!$G9207="OR",--(COUNTIFS(nNIA,DATOS!$A9207,nCURSO,DATOS!$D9207,nESPEC,DATOS!$E9207,nASIG,DATOS!$I9207,nEVAL,"EX")=0),0))))</f>
      </c>
      <c r="H9207">
        <f>IF(DATOS!$G9207&lt;&gt;"EX",0,--(COUNTIFS(nNIA,DATOS!$A9207,nCURSO,DATOS!$D9207,nESPEC,DATOS!$E9207,nASIG,DATOS!$I9207,nEVAL,"OR")=0))</f>
      </c>
      <c r="I9207">
        <f>IF(DATOS!$I9207="","",IFERROR(VLOOKUP(DATOS!$I9207,CONFIG_ASIGNATURAS!$B$2:$J$91,9,FALSE()),""))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IF(DATOS!$A9208="",0,IF(CONFIG_METADATA!$B$4&lt;&gt;"OR+EX",--(DATOS!$G9208=CONFIG_METADATA!$B$4),IF(DATOS!$G9208="EX",1,IF(DATOS!$G9208="OR",--(COUNTIFS(nNIA,DATOS!$A9208,nCURSO,DATOS!$D9208,nESPEC,DATOS!$E9208,nASIG,DATOS!$I9208,nEVAL,"EX")=0),0))))</f>
      </c>
      <c r="H9208">
        <f>IF(DATOS!$G9208&lt;&gt;"EX",0,--(COUNTIFS(nNIA,DATOS!$A9208,nCURSO,DATOS!$D9208,nESPEC,DATOS!$E9208,nASIG,DATOS!$I9208,nEVAL,"OR")=0))</f>
      </c>
      <c r="I9208">
        <f>IF(DATOS!$I9208="","",IFERROR(VLOOKUP(DATOS!$I9208,CONFIG_ASIGNATURAS!$B$2:$J$91,9,FALSE()),""))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IF(DATOS!$A9209="",0,IF(CONFIG_METADATA!$B$4&lt;&gt;"OR+EX",--(DATOS!$G9209=CONFIG_METADATA!$B$4),IF(DATOS!$G9209="EX",1,IF(DATOS!$G9209="OR",--(COUNTIFS(nNIA,DATOS!$A9209,nCURSO,DATOS!$D9209,nESPEC,DATOS!$E9209,nASIG,DATOS!$I9209,nEVAL,"EX")=0),0))))</f>
      </c>
      <c r="H9209">
        <f>IF(DATOS!$G9209&lt;&gt;"EX",0,--(COUNTIFS(nNIA,DATOS!$A9209,nCURSO,DATOS!$D9209,nESPEC,DATOS!$E9209,nASIG,DATOS!$I9209,nEVAL,"OR")=0))</f>
      </c>
      <c r="I9209">
        <f>IF(DATOS!$I9209="","",IFERROR(VLOOKUP(DATOS!$I9209,CONFIG_ASIGNATURAS!$B$2:$J$91,9,FALSE()),""))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IF(DATOS!$A9210="",0,IF(CONFIG_METADATA!$B$4&lt;&gt;"OR+EX",--(DATOS!$G9210=CONFIG_METADATA!$B$4),IF(DATOS!$G9210="EX",1,IF(DATOS!$G9210="OR",--(COUNTIFS(nNIA,DATOS!$A9210,nCURSO,DATOS!$D9210,nESPEC,DATOS!$E9210,nASIG,DATOS!$I9210,nEVAL,"EX")=0),0))))</f>
      </c>
      <c r="H9210">
        <f>IF(DATOS!$G9210&lt;&gt;"EX",0,--(COUNTIFS(nNIA,DATOS!$A9210,nCURSO,DATOS!$D9210,nESPEC,DATOS!$E9210,nASIG,DATOS!$I9210,nEVAL,"OR")=0))</f>
      </c>
      <c r="I9210">
        <f>IF(DATOS!$I9210="","",IFERROR(VLOOKUP(DATOS!$I9210,CONFIG_ASIGNATURAS!$B$2:$J$91,9,FALSE()),""))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IF(DATOS!$A9211="",0,IF(CONFIG_METADATA!$B$4&lt;&gt;"OR+EX",--(DATOS!$G9211=CONFIG_METADATA!$B$4),IF(DATOS!$G9211="EX",1,IF(DATOS!$G9211="OR",--(COUNTIFS(nNIA,DATOS!$A9211,nCURSO,DATOS!$D9211,nESPEC,DATOS!$E9211,nASIG,DATOS!$I9211,nEVAL,"EX")=0),0))))</f>
      </c>
      <c r="H9211">
        <f>IF(DATOS!$G9211&lt;&gt;"EX",0,--(COUNTIFS(nNIA,DATOS!$A9211,nCURSO,DATOS!$D9211,nESPEC,DATOS!$E9211,nASIG,DATOS!$I9211,nEVAL,"OR")=0))</f>
      </c>
      <c r="I9211">
        <f>IF(DATOS!$I9211="","",IFERROR(VLOOKUP(DATOS!$I9211,CONFIG_ASIGNATURAS!$B$2:$J$91,9,FALSE()),""))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IF(DATOS!$A9212="",0,IF(CONFIG_METADATA!$B$4&lt;&gt;"OR+EX",--(DATOS!$G9212=CONFIG_METADATA!$B$4),IF(DATOS!$G9212="EX",1,IF(DATOS!$G9212="OR",--(COUNTIFS(nNIA,DATOS!$A9212,nCURSO,DATOS!$D9212,nESPEC,DATOS!$E9212,nASIG,DATOS!$I9212,nEVAL,"EX")=0),0))))</f>
      </c>
      <c r="H9212">
        <f>IF(DATOS!$G9212&lt;&gt;"EX",0,--(COUNTIFS(nNIA,DATOS!$A9212,nCURSO,DATOS!$D9212,nESPEC,DATOS!$E9212,nASIG,DATOS!$I9212,nEVAL,"OR")=0))</f>
      </c>
      <c r="I9212">
        <f>IF(DATOS!$I9212="","",IFERROR(VLOOKUP(DATOS!$I9212,CONFIG_ASIGNATURAS!$B$2:$J$91,9,FALSE()),""))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IF(DATOS!$A9213="",0,IF(CONFIG_METADATA!$B$4&lt;&gt;"OR+EX",--(DATOS!$G9213=CONFIG_METADATA!$B$4),IF(DATOS!$G9213="EX",1,IF(DATOS!$G9213="OR",--(COUNTIFS(nNIA,DATOS!$A9213,nCURSO,DATOS!$D9213,nESPEC,DATOS!$E9213,nASIG,DATOS!$I9213,nEVAL,"EX")=0),0))))</f>
      </c>
      <c r="H9213">
        <f>IF(DATOS!$G9213&lt;&gt;"EX",0,--(COUNTIFS(nNIA,DATOS!$A9213,nCURSO,DATOS!$D9213,nESPEC,DATOS!$E9213,nASIG,DATOS!$I9213,nEVAL,"OR")=0))</f>
      </c>
      <c r="I9213">
        <f>IF(DATOS!$I9213="","",IFERROR(VLOOKUP(DATOS!$I9213,CONFIG_ASIGNATURAS!$B$2:$J$91,9,FALSE()),""))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IF(DATOS!$A9214="",0,IF(CONFIG_METADATA!$B$4&lt;&gt;"OR+EX",--(DATOS!$G9214=CONFIG_METADATA!$B$4),IF(DATOS!$G9214="EX",1,IF(DATOS!$G9214="OR",--(COUNTIFS(nNIA,DATOS!$A9214,nCURSO,DATOS!$D9214,nESPEC,DATOS!$E9214,nASIG,DATOS!$I9214,nEVAL,"EX")=0),0))))</f>
      </c>
      <c r="H9214">
        <f>IF(DATOS!$G9214&lt;&gt;"EX",0,--(COUNTIFS(nNIA,DATOS!$A9214,nCURSO,DATOS!$D9214,nESPEC,DATOS!$E9214,nASIG,DATOS!$I9214,nEVAL,"OR")=0))</f>
      </c>
      <c r="I9214">
        <f>IF(DATOS!$I9214="","",IFERROR(VLOOKUP(DATOS!$I9214,CONFIG_ASIGNATURAS!$B$2:$J$91,9,FALSE()),""))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IF(DATOS!$A9215="",0,IF(CONFIG_METADATA!$B$4&lt;&gt;"OR+EX",--(DATOS!$G9215=CONFIG_METADATA!$B$4),IF(DATOS!$G9215="EX",1,IF(DATOS!$G9215="OR",--(COUNTIFS(nNIA,DATOS!$A9215,nCURSO,DATOS!$D9215,nESPEC,DATOS!$E9215,nASIG,DATOS!$I9215,nEVAL,"EX")=0),0))))</f>
      </c>
      <c r="H9215">
        <f>IF(DATOS!$G9215&lt;&gt;"EX",0,--(COUNTIFS(nNIA,DATOS!$A9215,nCURSO,DATOS!$D9215,nESPEC,DATOS!$E9215,nASIG,DATOS!$I9215,nEVAL,"OR")=0))</f>
      </c>
      <c r="I9215">
        <f>IF(DATOS!$I9215="","",IFERROR(VLOOKUP(DATOS!$I9215,CONFIG_ASIGNATURAS!$B$2:$J$91,9,FALSE()),""))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IF(DATOS!$A9216="",0,IF(CONFIG_METADATA!$B$4&lt;&gt;"OR+EX",--(DATOS!$G9216=CONFIG_METADATA!$B$4),IF(DATOS!$G9216="EX",1,IF(DATOS!$G9216="OR",--(COUNTIFS(nNIA,DATOS!$A9216,nCURSO,DATOS!$D9216,nESPEC,DATOS!$E9216,nASIG,DATOS!$I9216,nEVAL,"EX")=0),0))))</f>
      </c>
      <c r="H9216">
        <f>IF(DATOS!$G9216&lt;&gt;"EX",0,--(COUNTIFS(nNIA,DATOS!$A9216,nCURSO,DATOS!$D9216,nESPEC,DATOS!$E9216,nASIG,DATOS!$I9216,nEVAL,"OR")=0))</f>
      </c>
      <c r="I9216">
        <f>IF(DATOS!$I9216="","",IFERROR(VLOOKUP(DATOS!$I9216,CONFIG_ASIGNATURAS!$B$2:$J$91,9,FALSE()),""))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IF(DATOS!$A9217="",0,IF(CONFIG_METADATA!$B$4&lt;&gt;"OR+EX",--(DATOS!$G9217=CONFIG_METADATA!$B$4),IF(DATOS!$G9217="EX",1,IF(DATOS!$G9217="OR",--(COUNTIFS(nNIA,DATOS!$A9217,nCURSO,DATOS!$D9217,nESPEC,DATOS!$E9217,nASIG,DATOS!$I9217,nEVAL,"EX")=0),0))))</f>
      </c>
      <c r="H9217">
        <f>IF(DATOS!$G9217&lt;&gt;"EX",0,--(COUNTIFS(nNIA,DATOS!$A9217,nCURSO,DATOS!$D9217,nESPEC,DATOS!$E9217,nASIG,DATOS!$I9217,nEVAL,"OR")=0))</f>
      </c>
      <c r="I9217">
        <f>IF(DATOS!$I9217="","",IFERROR(VLOOKUP(DATOS!$I9217,CONFIG_ASIGNATURAS!$B$2:$J$91,9,FALSE()),""))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IF(DATOS!$A9218="",0,IF(CONFIG_METADATA!$B$4&lt;&gt;"OR+EX",--(DATOS!$G9218=CONFIG_METADATA!$B$4),IF(DATOS!$G9218="EX",1,IF(DATOS!$G9218="OR",--(COUNTIFS(nNIA,DATOS!$A9218,nCURSO,DATOS!$D9218,nESPEC,DATOS!$E9218,nASIG,DATOS!$I9218,nEVAL,"EX")=0),0))))</f>
      </c>
      <c r="H9218">
        <f>IF(DATOS!$G9218&lt;&gt;"EX",0,--(COUNTIFS(nNIA,DATOS!$A9218,nCURSO,DATOS!$D9218,nESPEC,DATOS!$E9218,nASIG,DATOS!$I9218,nEVAL,"OR")=0))</f>
      </c>
      <c r="I9218">
        <f>IF(DATOS!$I9218="","",IFERROR(VLOOKUP(DATOS!$I9218,CONFIG_ASIGNATURAS!$B$2:$J$91,9,FALSE()),""))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IF(DATOS!$A9219="",0,IF(CONFIG_METADATA!$B$4&lt;&gt;"OR+EX",--(DATOS!$G9219=CONFIG_METADATA!$B$4),IF(DATOS!$G9219="EX",1,IF(DATOS!$G9219="OR",--(COUNTIFS(nNIA,DATOS!$A9219,nCURSO,DATOS!$D9219,nESPEC,DATOS!$E9219,nASIG,DATOS!$I9219,nEVAL,"EX")=0),0))))</f>
      </c>
      <c r="H9219">
        <f>IF(DATOS!$G9219&lt;&gt;"EX",0,--(COUNTIFS(nNIA,DATOS!$A9219,nCURSO,DATOS!$D9219,nESPEC,DATOS!$E9219,nASIG,DATOS!$I9219,nEVAL,"OR")=0))</f>
      </c>
      <c r="I9219">
        <f>IF(DATOS!$I9219="","",IFERROR(VLOOKUP(DATOS!$I9219,CONFIG_ASIGNATURAS!$B$2:$J$91,9,FALSE()),""))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IF(DATOS!$A9220="",0,IF(CONFIG_METADATA!$B$4&lt;&gt;"OR+EX",--(DATOS!$G9220=CONFIG_METADATA!$B$4),IF(DATOS!$G9220="EX",1,IF(DATOS!$G9220="OR",--(COUNTIFS(nNIA,DATOS!$A9220,nCURSO,DATOS!$D9220,nESPEC,DATOS!$E9220,nASIG,DATOS!$I9220,nEVAL,"EX")=0),0))))</f>
      </c>
      <c r="H9220">
        <f>IF(DATOS!$G9220&lt;&gt;"EX",0,--(COUNTIFS(nNIA,DATOS!$A9220,nCURSO,DATOS!$D9220,nESPEC,DATOS!$E9220,nASIG,DATOS!$I9220,nEVAL,"OR")=0))</f>
      </c>
      <c r="I9220">
        <f>IF(DATOS!$I9220="","",IFERROR(VLOOKUP(DATOS!$I9220,CONFIG_ASIGNATURAS!$B$2:$J$91,9,FALSE()),""))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IF(DATOS!$A9221="",0,IF(CONFIG_METADATA!$B$4&lt;&gt;"OR+EX",--(DATOS!$G9221=CONFIG_METADATA!$B$4),IF(DATOS!$G9221="EX",1,IF(DATOS!$G9221="OR",--(COUNTIFS(nNIA,DATOS!$A9221,nCURSO,DATOS!$D9221,nESPEC,DATOS!$E9221,nASIG,DATOS!$I9221,nEVAL,"EX")=0),0))))</f>
      </c>
      <c r="H9221">
        <f>IF(DATOS!$G9221&lt;&gt;"EX",0,--(COUNTIFS(nNIA,DATOS!$A9221,nCURSO,DATOS!$D9221,nESPEC,DATOS!$E9221,nASIG,DATOS!$I9221,nEVAL,"OR")=0))</f>
      </c>
      <c r="I9221">
        <f>IF(DATOS!$I9221="","",IFERROR(VLOOKUP(DATOS!$I9221,CONFIG_ASIGNATURAS!$B$2:$J$91,9,FALSE()),""))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IF(DATOS!$A9222="",0,IF(CONFIG_METADATA!$B$4&lt;&gt;"OR+EX",--(DATOS!$G9222=CONFIG_METADATA!$B$4),IF(DATOS!$G9222="EX",1,IF(DATOS!$G9222="OR",--(COUNTIFS(nNIA,DATOS!$A9222,nCURSO,DATOS!$D9222,nESPEC,DATOS!$E9222,nASIG,DATOS!$I9222,nEVAL,"EX")=0),0))))</f>
      </c>
      <c r="H9222">
        <f>IF(DATOS!$G9222&lt;&gt;"EX",0,--(COUNTIFS(nNIA,DATOS!$A9222,nCURSO,DATOS!$D9222,nESPEC,DATOS!$E9222,nASIG,DATOS!$I9222,nEVAL,"OR")=0))</f>
      </c>
      <c r="I9222">
        <f>IF(DATOS!$I9222="","",IFERROR(VLOOKUP(DATOS!$I9222,CONFIG_ASIGNATURAS!$B$2:$J$91,9,FALSE()),""))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IF(DATOS!$A9223="",0,IF(CONFIG_METADATA!$B$4&lt;&gt;"OR+EX",--(DATOS!$G9223=CONFIG_METADATA!$B$4),IF(DATOS!$G9223="EX",1,IF(DATOS!$G9223="OR",--(COUNTIFS(nNIA,DATOS!$A9223,nCURSO,DATOS!$D9223,nESPEC,DATOS!$E9223,nASIG,DATOS!$I9223,nEVAL,"EX")=0),0))))</f>
      </c>
      <c r="H9223">
        <f>IF(DATOS!$G9223&lt;&gt;"EX",0,--(COUNTIFS(nNIA,DATOS!$A9223,nCURSO,DATOS!$D9223,nESPEC,DATOS!$E9223,nASIG,DATOS!$I9223,nEVAL,"OR")=0))</f>
      </c>
      <c r="I9223">
        <f>IF(DATOS!$I9223="","",IFERROR(VLOOKUP(DATOS!$I9223,CONFIG_ASIGNATURAS!$B$2:$J$91,9,FALSE()),""))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IF(DATOS!$A9224="",0,IF(CONFIG_METADATA!$B$4&lt;&gt;"OR+EX",--(DATOS!$G9224=CONFIG_METADATA!$B$4),IF(DATOS!$G9224="EX",1,IF(DATOS!$G9224="OR",--(COUNTIFS(nNIA,DATOS!$A9224,nCURSO,DATOS!$D9224,nESPEC,DATOS!$E9224,nASIG,DATOS!$I9224,nEVAL,"EX")=0),0))))</f>
      </c>
      <c r="H9224">
        <f>IF(DATOS!$G9224&lt;&gt;"EX",0,--(COUNTIFS(nNIA,DATOS!$A9224,nCURSO,DATOS!$D9224,nESPEC,DATOS!$E9224,nASIG,DATOS!$I9224,nEVAL,"OR")=0))</f>
      </c>
      <c r="I9224">
        <f>IF(DATOS!$I9224="","",IFERROR(VLOOKUP(DATOS!$I9224,CONFIG_ASIGNATURAS!$B$2:$J$91,9,FALSE()),""))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IF(DATOS!$A9225="",0,IF(CONFIG_METADATA!$B$4&lt;&gt;"OR+EX",--(DATOS!$G9225=CONFIG_METADATA!$B$4),IF(DATOS!$G9225="EX",1,IF(DATOS!$G9225="OR",--(COUNTIFS(nNIA,DATOS!$A9225,nCURSO,DATOS!$D9225,nESPEC,DATOS!$E9225,nASIG,DATOS!$I9225,nEVAL,"EX")=0),0))))</f>
      </c>
      <c r="H9225">
        <f>IF(DATOS!$G9225&lt;&gt;"EX",0,--(COUNTIFS(nNIA,DATOS!$A9225,nCURSO,DATOS!$D9225,nESPEC,DATOS!$E9225,nASIG,DATOS!$I9225,nEVAL,"OR")=0))</f>
      </c>
      <c r="I9225">
        <f>IF(DATOS!$I9225="","",IFERROR(VLOOKUP(DATOS!$I9225,CONFIG_ASIGNATURAS!$B$2:$J$91,9,FALSE()),""))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IF(DATOS!$A9226="",0,IF(CONFIG_METADATA!$B$4&lt;&gt;"OR+EX",--(DATOS!$G9226=CONFIG_METADATA!$B$4),IF(DATOS!$G9226="EX",1,IF(DATOS!$G9226="OR",--(COUNTIFS(nNIA,DATOS!$A9226,nCURSO,DATOS!$D9226,nESPEC,DATOS!$E9226,nASIG,DATOS!$I9226,nEVAL,"EX")=0),0))))</f>
      </c>
      <c r="H9226">
        <f>IF(DATOS!$G9226&lt;&gt;"EX",0,--(COUNTIFS(nNIA,DATOS!$A9226,nCURSO,DATOS!$D9226,nESPEC,DATOS!$E9226,nASIG,DATOS!$I9226,nEVAL,"OR")=0))</f>
      </c>
      <c r="I9226">
        <f>IF(DATOS!$I9226="","",IFERROR(VLOOKUP(DATOS!$I9226,CONFIG_ASIGNATURAS!$B$2:$J$91,9,FALSE()),""))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IF(DATOS!$A9227="",0,IF(CONFIG_METADATA!$B$4&lt;&gt;"OR+EX",--(DATOS!$G9227=CONFIG_METADATA!$B$4),IF(DATOS!$G9227="EX",1,IF(DATOS!$G9227="OR",--(COUNTIFS(nNIA,DATOS!$A9227,nCURSO,DATOS!$D9227,nESPEC,DATOS!$E9227,nASIG,DATOS!$I9227,nEVAL,"EX")=0),0))))</f>
      </c>
      <c r="H9227">
        <f>IF(DATOS!$G9227&lt;&gt;"EX",0,--(COUNTIFS(nNIA,DATOS!$A9227,nCURSO,DATOS!$D9227,nESPEC,DATOS!$E9227,nASIG,DATOS!$I9227,nEVAL,"OR")=0))</f>
      </c>
      <c r="I9227">
        <f>IF(DATOS!$I9227="","",IFERROR(VLOOKUP(DATOS!$I9227,CONFIG_ASIGNATURAS!$B$2:$J$91,9,FALSE()),""))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IF(DATOS!$A9228="",0,IF(CONFIG_METADATA!$B$4&lt;&gt;"OR+EX",--(DATOS!$G9228=CONFIG_METADATA!$B$4),IF(DATOS!$G9228="EX",1,IF(DATOS!$G9228="OR",--(COUNTIFS(nNIA,DATOS!$A9228,nCURSO,DATOS!$D9228,nESPEC,DATOS!$E9228,nASIG,DATOS!$I9228,nEVAL,"EX")=0),0))))</f>
      </c>
      <c r="H9228">
        <f>IF(DATOS!$G9228&lt;&gt;"EX",0,--(COUNTIFS(nNIA,DATOS!$A9228,nCURSO,DATOS!$D9228,nESPEC,DATOS!$E9228,nASIG,DATOS!$I9228,nEVAL,"OR")=0))</f>
      </c>
      <c r="I9228">
        <f>IF(DATOS!$I9228="","",IFERROR(VLOOKUP(DATOS!$I9228,CONFIG_ASIGNATURAS!$B$2:$J$91,9,FALSE()),""))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IF(DATOS!$A9229="",0,IF(CONFIG_METADATA!$B$4&lt;&gt;"OR+EX",--(DATOS!$G9229=CONFIG_METADATA!$B$4),IF(DATOS!$G9229="EX",1,IF(DATOS!$G9229="OR",--(COUNTIFS(nNIA,DATOS!$A9229,nCURSO,DATOS!$D9229,nESPEC,DATOS!$E9229,nASIG,DATOS!$I9229,nEVAL,"EX")=0),0))))</f>
      </c>
      <c r="H9229">
        <f>IF(DATOS!$G9229&lt;&gt;"EX",0,--(COUNTIFS(nNIA,DATOS!$A9229,nCURSO,DATOS!$D9229,nESPEC,DATOS!$E9229,nASIG,DATOS!$I9229,nEVAL,"OR")=0))</f>
      </c>
      <c r="I9229">
        <f>IF(DATOS!$I9229="","",IFERROR(VLOOKUP(DATOS!$I9229,CONFIG_ASIGNATURAS!$B$2:$J$91,9,FALSE()),""))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IF(DATOS!$A9230="",0,IF(CONFIG_METADATA!$B$4&lt;&gt;"OR+EX",--(DATOS!$G9230=CONFIG_METADATA!$B$4),IF(DATOS!$G9230="EX",1,IF(DATOS!$G9230="OR",--(COUNTIFS(nNIA,DATOS!$A9230,nCURSO,DATOS!$D9230,nESPEC,DATOS!$E9230,nASIG,DATOS!$I9230,nEVAL,"EX")=0),0))))</f>
      </c>
      <c r="H9230">
        <f>IF(DATOS!$G9230&lt;&gt;"EX",0,--(COUNTIFS(nNIA,DATOS!$A9230,nCURSO,DATOS!$D9230,nESPEC,DATOS!$E9230,nASIG,DATOS!$I9230,nEVAL,"OR")=0))</f>
      </c>
      <c r="I9230">
        <f>IF(DATOS!$I9230="","",IFERROR(VLOOKUP(DATOS!$I9230,CONFIG_ASIGNATURAS!$B$2:$J$91,9,FALSE()),""))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IF(DATOS!$A9231="",0,IF(CONFIG_METADATA!$B$4&lt;&gt;"OR+EX",--(DATOS!$G9231=CONFIG_METADATA!$B$4),IF(DATOS!$G9231="EX",1,IF(DATOS!$G9231="OR",--(COUNTIFS(nNIA,DATOS!$A9231,nCURSO,DATOS!$D9231,nESPEC,DATOS!$E9231,nASIG,DATOS!$I9231,nEVAL,"EX")=0),0))))</f>
      </c>
      <c r="H9231">
        <f>IF(DATOS!$G9231&lt;&gt;"EX",0,--(COUNTIFS(nNIA,DATOS!$A9231,nCURSO,DATOS!$D9231,nESPEC,DATOS!$E9231,nASIG,DATOS!$I9231,nEVAL,"OR")=0))</f>
      </c>
      <c r="I9231">
        <f>IF(DATOS!$I9231="","",IFERROR(VLOOKUP(DATOS!$I9231,CONFIG_ASIGNATURAS!$B$2:$J$91,9,FALSE()),""))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IF(DATOS!$A9232="",0,IF(CONFIG_METADATA!$B$4&lt;&gt;"OR+EX",--(DATOS!$G9232=CONFIG_METADATA!$B$4),IF(DATOS!$G9232="EX",1,IF(DATOS!$G9232="OR",--(COUNTIFS(nNIA,DATOS!$A9232,nCURSO,DATOS!$D9232,nESPEC,DATOS!$E9232,nASIG,DATOS!$I9232,nEVAL,"EX")=0),0))))</f>
      </c>
      <c r="H9232">
        <f>IF(DATOS!$G9232&lt;&gt;"EX",0,--(COUNTIFS(nNIA,DATOS!$A9232,nCURSO,DATOS!$D9232,nESPEC,DATOS!$E9232,nASIG,DATOS!$I9232,nEVAL,"OR")=0))</f>
      </c>
      <c r="I9232">
        <f>IF(DATOS!$I9232="","",IFERROR(VLOOKUP(DATOS!$I9232,CONFIG_ASIGNATURAS!$B$2:$J$91,9,FALSE()),""))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IF(DATOS!$A9233="",0,IF(CONFIG_METADATA!$B$4&lt;&gt;"OR+EX",--(DATOS!$G9233=CONFIG_METADATA!$B$4),IF(DATOS!$G9233="EX",1,IF(DATOS!$G9233="OR",--(COUNTIFS(nNIA,DATOS!$A9233,nCURSO,DATOS!$D9233,nESPEC,DATOS!$E9233,nASIG,DATOS!$I9233,nEVAL,"EX")=0),0))))</f>
      </c>
      <c r="H9233">
        <f>IF(DATOS!$G9233&lt;&gt;"EX",0,--(COUNTIFS(nNIA,DATOS!$A9233,nCURSO,DATOS!$D9233,nESPEC,DATOS!$E9233,nASIG,DATOS!$I9233,nEVAL,"OR")=0))</f>
      </c>
      <c r="I9233">
        <f>IF(DATOS!$I9233="","",IFERROR(VLOOKUP(DATOS!$I9233,CONFIG_ASIGNATURAS!$B$2:$J$91,9,FALSE()),""))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IF(DATOS!$A9234="",0,IF(CONFIG_METADATA!$B$4&lt;&gt;"OR+EX",--(DATOS!$G9234=CONFIG_METADATA!$B$4),IF(DATOS!$G9234="EX",1,IF(DATOS!$G9234="OR",--(COUNTIFS(nNIA,DATOS!$A9234,nCURSO,DATOS!$D9234,nESPEC,DATOS!$E9234,nASIG,DATOS!$I9234,nEVAL,"EX")=0),0))))</f>
      </c>
      <c r="H9234">
        <f>IF(DATOS!$G9234&lt;&gt;"EX",0,--(COUNTIFS(nNIA,DATOS!$A9234,nCURSO,DATOS!$D9234,nESPEC,DATOS!$E9234,nASIG,DATOS!$I9234,nEVAL,"OR")=0))</f>
      </c>
      <c r="I9234">
        <f>IF(DATOS!$I9234="","",IFERROR(VLOOKUP(DATOS!$I9234,CONFIG_ASIGNATURAS!$B$2:$J$91,9,FALSE()),""))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IF(DATOS!$A9235="",0,IF(CONFIG_METADATA!$B$4&lt;&gt;"OR+EX",--(DATOS!$G9235=CONFIG_METADATA!$B$4),IF(DATOS!$G9235="EX",1,IF(DATOS!$G9235="OR",--(COUNTIFS(nNIA,DATOS!$A9235,nCURSO,DATOS!$D9235,nESPEC,DATOS!$E9235,nASIG,DATOS!$I9235,nEVAL,"EX")=0),0))))</f>
      </c>
      <c r="H9235">
        <f>IF(DATOS!$G9235&lt;&gt;"EX",0,--(COUNTIFS(nNIA,DATOS!$A9235,nCURSO,DATOS!$D9235,nESPEC,DATOS!$E9235,nASIG,DATOS!$I9235,nEVAL,"OR")=0))</f>
      </c>
      <c r="I9235">
        <f>IF(DATOS!$I9235="","",IFERROR(VLOOKUP(DATOS!$I9235,CONFIG_ASIGNATURAS!$B$2:$J$91,9,FALSE()),""))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IF(DATOS!$A9236="",0,IF(CONFIG_METADATA!$B$4&lt;&gt;"OR+EX",--(DATOS!$G9236=CONFIG_METADATA!$B$4),IF(DATOS!$G9236="EX",1,IF(DATOS!$G9236="OR",--(COUNTIFS(nNIA,DATOS!$A9236,nCURSO,DATOS!$D9236,nESPEC,DATOS!$E9236,nASIG,DATOS!$I9236,nEVAL,"EX")=0),0))))</f>
      </c>
      <c r="H9236">
        <f>IF(DATOS!$G9236&lt;&gt;"EX",0,--(COUNTIFS(nNIA,DATOS!$A9236,nCURSO,DATOS!$D9236,nESPEC,DATOS!$E9236,nASIG,DATOS!$I9236,nEVAL,"OR")=0))</f>
      </c>
      <c r="I9236">
        <f>IF(DATOS!$I9236="","",IFERROR(VLOOKUP(DATOS!$I9236,CONFIG_ASIGNATURAS!$B$2:$J$91,9,FALSE()),""))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IF(DATOS!$A9237="",0,IF(CONFIG_METADATA!$B$4&lt;&gt;"OR+EX",--(DATOS!$G9237=CONFIG_METADATA!$B$4),IF(DATOS!$G9237="EX",1,IF(DATOS!$G9237="OR",--(COUNTIFS(nNIA,DATOS!$A9237,nCURSO,DATOS!$D9237,nESPEC,DATOS!$E9237,nASIG,DATOS!$I9237,nEVAL,"EX")=0),0))))</f>
      </c>
      <c r="H9237">
        <f>IF(DATOS!$G9237&lt;&gt;"EX",0,--(COUNTIFS(nNIA,DATOS!$A9237,nCURSO,DATOS!$D9237,nESPEC,DATOS!$E9237,nASIG,DATOS!$I9237,nEVAL,"OR")=0))</f>
      </c>
      <c r="I9237">
        <f>IF(DATOS!$I9237="","",IFERROR(VLOOKUP(DATOS!$I9237,CONFIG_ASIGNATURAS!$B$2:$J$91,9,FALSE()),""))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IF(DATOS!$A9238="",0,IF(CONFIG_METADATA!$B$4&lt;&gt;"OR+EX",--(DATOS!$G9238=CONFIG_METADATA!$B$4),IF(DATOS!$G9238="EX",1,IF(DATOS!$G9238="OR",--(COUNTIFS(nNIA,DATOS!$A9238,nCURSO,DATOS!$D9238,nESPEC,DATOS!$E9238,nASIG,DATOS!$I9238,nEVAL,"EX")=0),0))))</f>
      </c>
      <c r="H9238">
        <f>IF(DATOS!$G9238&lt;&gt;"EX",0,--(COUNTIFS(nNIA,DATOS!$A9238,nCURSO,DATOS!$D9238,nESPEC,DATOS!$E9238,nASIG,DATOS!$I9238,nEVAL,"OR")=0))</f>
      </c>
      <c r="I9238">
        <f>IF(DATOS!$I9238="","",IFERROR(VLOOKUP(DATOS!$I9238,CONFIG_ASIGNATURAS!$B$2:$J$91,9,FALSE()),""))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IF(DATOS!$A9239="",0,IF(CONFIG_METADATA!$B$4&lt;&gt;"OR+EX",--(DATOS!$G9239=CONFIG_METADATA!$B$4),IF(DATOS!$G9239="EX",1,IF(DATOS!$G9239="OR",--(COUNTIFS(nNIA,DATOS!$A9239,nCURSO,DATOS!$D9239,nESPEC,DATOS!$E9239,nASIG,DATOS!$I9239,nEVAL,"EX")=0),0))))</f>
      </c>
      <c r="H9239">
        <f>IF(DATOS!$G9239&lt;&gt;"EX",0,--(COUNTIFS(nNIA,DATOS!$A9239,nCURSO,DATOS!$D9239,nESPEC,DATOS!$E9239,nASIG,DATOS!$I9239,nEVAL,"OR")=0))</f>
      </c>
      <c r="I9239">
        <f>IF(DATOS!$I9239="","",IFERROR(VLOOKUP(DATOS!$I9239,CONFIG_ASIGNATURAS!$B$2:$J$91,9,FALSE()),""))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IF(DATOS!$A9240="",0,IF(CONFIG_METADATA!$B$4&lt;&gt;"OR+EX",--(DATOS!$G9240=CONFIG_METADATA!$B$4),IF(DATOS!$G9240="EX",1,IF(DATOS!$G9240="OR",--(COUNTIFS(nNIA,DATOS!$A9240,nCURSO,DATOS!$D9240,nESPEC,DATOS!$E9240,nASIG,DATOS!$I9240,nEVAL,"EX")=0),0))))</f>
      </c>
      <c r="H9240">
        <f>IF(DATOS!$G9240&lt;&gt;"EX",0,--(COUNTIFS(nNIA,DATOS!$A9240,nCURSO,DATOS!$D9240,nESPEC,DATOS!$E9240,nASIG,DATOS!$I9240,nEVAL,"OR")=0))</f>
      </c>
      <c r="I9240">
        <f>IF(DATOS!$I9240="","",IFERROR(VLOOKUP(DATOS!$I9240,CONFIG_ASIGNATURAS!$B$2:$J$91,9,FALSE()),""))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IF(DATOS!$A9241="",0,IF(CONFIG_METADATA!$B$4&lt;&gt;"OR+EX",--(DATOS!$G9241=CONFIG_METADATA!$B$4),IF(DATOS!$G9241="EX",1,IF(DATOS!$G9241="OR",--(COUNTIFS(nNIA,DATOS!$A9241,nCURSO,DATOS!$D9241,nESPEC,DATOS!$E9241,nASIG,DATOS!$I9241,nEVAL,"EX")=0),0))))</f>
      </c>
      <c r="H9241">
        <f>IF(DATOS!$G9241&lt;&gt;"EX",0,--(COUNTIFS(nNIA,DATOS!$A9241,nCURSO,DATOS!$D9241,nESPEC,DATOS!$E9241,nASIG,DATOS!$I9241,nEVAL,"OR")=0))</f>
      </c>
      <c r="I9241">
        <f>IF(DATOS!$I9241="","",IFERROR(VLOOKUP(DATOS!$I9241,CONFIG_ASIGNATURAS!$B$2:$J$91,9,FALSE()),""))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IF(DATOS!$A9242="",0,IF(CONFIG_METADATA!$B$4&lt;&gt;"OR+EX",--(DATOS!$G9242=CONFIG_METADATA!$B$4),IF(DATOS!$G9242="EX",1,IF(DATOS!$G9242="OR",--(COUNTIFS(nNIA,DATOS!$A9242,nCURSO,DATOS!$D9242,nESPEC,DATOS!$E9242,nASIG,DATOS!$I9242,nEVAL,"EX")=0),0))))</f>
      </c>
      <c r="H9242">
        <f>IF(DATOS!$G9242&lt;&gt;"EX",0,--(COUNTIFS(nNIA,DATOS!$A9242,nCURSO,DATOS!$D9242,nESPEC,DATOS!$E9242,nASIG,DATOS!$I9242,nEVAL,"OR")=0))</f>
      </c>
      <c r="I9242">
        <f>IF(DATOS!$I9242="","",IFERROR(VLOOKUP(DATOS!$I9242,CONFIG_ASIGNATURAS!$B$2:$J$91,9,FALSE()),""))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IF(DATOS!$A9243="",0,IF(CONFIG_METADATA!$B$4&lt;&gt;"OR+EX",--(DATOS!$G9243=CONFIG_METADATA!$B$4),IF(DATOS!$G9243="EX",1,IF(DATOS!$G9243="OR",--(COUNTIFS(nNIA,DATOS!$A9243,nCURSO,DATOS!$D9243,nESPEC,DATOS!$E9243,nASIG,DATOS!$I9243,nEVAL,"EX")=0),0))))</f>
      </c>
      <c r="H9243">
        <f>IF(DATOS!$G9243&lt;&gt;"EX",0,--(COUNTIFS(nNIA,DATOS!$A9243,nCURSO,DATOS!$D9243,nESPEC,DATOS!$E9243,nASIG,DATOS!$I9243,nEVAL,"OR")=0))</f>
      </c>
      <c r="I9243">
        <f>IF(DATOS!$I9243="","",IFERROR(VLOOKUP(DATOS!$I9243,CONFIG_ASIGNATURAS!$B$2:$J$91,9,FALSE()),""))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IF(DATOS!$A9244="",0,IF(CONFIG_METADATA!$B$4&lt;&gt;"OR+EX",--(DATOS!$G9244=CONFIG_METADATA!$B$4),IF(DATOS!$G9244="EX",1,IF(DATOS!$G9244="OR",--(COUNTIFS(nNIA,DATOS!$A9244,nCURSO,DATOS!$D9244,nESPEC,DATOS!$E9244,nASIG,DATOS!$I9244,nEVAL,"EX")=0),0))))</f>
      </c>
      <c r="H9244">
        <f>IF(DATOS!$G9244&lt;&gt;"EX",0,--(COUNTIFS(nNIA,DATOS!$A9244,nCURSO,DATOS!$D9244,nESPEC,DATOS!$E9244,nASIG,DATOS!$I9244,nEVAL,"OR")=0))</f>
      </c>
      <c r="I9244">
        <f>IF(DATOS!$I9244="","",IFERROR(VLOOKUP(DATOS!$I9244,CONFIG_ASIGNATURAS!$B$2:$J$91,9,FALSE()),""))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IF(DATOS!$A9245="",0,IF(CONFIG_METADATA!$B$4&lt;&gt;"OR+EX",--(DATOS!$G9245=CONFIG_METADATA!$B$4),IF(DATOS!$G9245="EX",1,IF(DATOS!$G9245="OR",--(COUNTIFS(nNIA,DATOS!$A9245,nCURSO,DATOS!$D9245,nESPEC,DATOS!$E9245,nASIG,DATOS!$I9245,nEVAL,"EX")=0),0))))</f>
      </c>
      <c r="H9245">
        <f>IF(DATOS!$G9245&lt;&gt;"EX",0,--(COUNTIFS(nNIA,DATOS!$A9245,nCURSO,DATOS!$D9245,nESPEC,DATOS!$E9245,nASIG,DATOS!$I9245,nEVAL,"OR")=0))</f>
      </c>
      <c r="I9245">
        <f>IF(DATOS!$I9245="","",IFERROR(VLOOKUP(DATOS!$I9245,CONFIG_ASIGNATURAS!$B$2:$J$91,9,FALSE()),""))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IF(DATOS!$A9246="",0,IF(CONFIG_METADATA!$B$4&lt;&gt;"OR+EX",--(DATOS!$G9246=CONFIG_METADATA!$B$4),IF(DATOS!$G9246="EX",1,IF(DATOS!$G9246="OR",--(COUNTIFS(nNIA,DATOS!$A9246,nCURSO,DATOS!$D9246,nESPEC,DATOS!$E9246,nASIG,DATOS!$I9246,nEVAL,"EX")=0),0))))</f>
      </c>
      <c r="H9246">
        <f>IF(DATOS!$G9246&lt;&gt;"EX",0,--(COUNTIFS(nNIA,DATOS!$A9246,nCURSO,DATOS!$D9246,nESPEC,DATOS!$E9246,nASIG,DATOS!$I9246,nEVAL,"OR")=0))</f>
      </c>
      <c r="I9246">
        <f>IF(DATOS!$I9246="","",IFERROR(VLOOKUP(DATOS!$I9246,CONFIG_ASIGNATURAS!$B$2:$J$91,9,FALSE()),""))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IF(DATOS!$A9247="",0,IF(CONFIG_METADATA!$B$4&lt;&gt;"OR+EX",--(DATOS!$G9247=CONFIG_METADATA!$B$4),IF(DATOS!$G9247="EX",1,IF(DATOS!$G9247="OR",--(COUNTIFS(nNIA,DATOS!$A9247,nCURSO,DATOS!$D9247,nESPEC,DATOS!$E9247,nASIG,DATOS!$I9247,nEVAL,"EX")=0),0))))</f>
      </c>
      <c r="H9247">
        <f>IF(DATOS!$G9247&lt;&gt;"EX",0,--(COUNTIFS(nNIA,DATOS!$A9247,nCURSO,DATOS!$D9247,nESPEC,DATOS!$E9247,nASIG,DATOS!$I9247,nEVAL,"OR")=0))</f>
      </c>
      <c r="I9247">
        <f>IF(DATOS!$I9247="","",IFERROR(VLOOKUP(DATOS!$I9247,CONFIG_ASIGNATURAS!$B$2:$J$91,9,FALSE()),""))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IF(DATOS!$A9248="",0,IF(CONFIG_METADATA!$B$4&lt;&gt;"OR+EX",--(DATOS!$G9248=CONFIG_METADATA!$B$4),IF(DATOS!$G9248="EX",1,IF(DATOS!$G9248="OR",--(COUNTIFS(nNIA,DATOS!$A9248,nCURSO,DATOS!$D9248,nESPEC,DATOS!$E9248,nASIG,DATOS!$I9248,nEVAL,"EX")=0),0))))</f>
      </c>
      <c r="H9248">
        <f>IF(DATOS!$G9248&lt;&gt;"EX",0,--(COUNTIFS(nNIA,DATOS!$A9248,nCURSO,DATOS!$D9248,nESPEC,DATOS!$E9248,nASIG,DATOS!$I9248,nEVAL,"OR")=0))</f>
      </c>
      <c r="I9248">
        <f>IF(DATOS!$I9248="","",IFERROR(VLOOKUP(DATOS!$I9248,CONFIG_ASIGNATURAS!$B$2:$J$91,9,FALSE()),""))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IF(DATOS!$A9249="",0,IF(CONFIG_METADATA!$B$4&lt;&gt;"OR+EX",--(DATOS!$G9249=CONFIG_METADATA!$B$4),IF(DATOS!$G9249="EX",1,IF(DATOS!$G9249="OR",--(COUNTIFS(nNIA,DATOS!$A9249,nCURSO,DATOS!$D9249,nESPEC,DATOS!$E9249,nASIG,DATOS!$I9249,nEVAL,"EX")=0),0))))</f>
      </c>
      <c r="H9249">
        <f>IF(DATOS!$G9249&lt;&gt;"EX",0,--(COUNTIFS(nNIA,DATOS!$A9249,nCURSO,DATOS!$D9249,nESPEC,DATOS!$E9249,nASIG,DATOS!$I9249,nEVAL,"OR")=0))</f>
      </c>
      <c r="I9249">
        <f>IF(DATOS!$I9249="","",IFERROR(VLOOKUP(DATOS!$I9249,CONFIG_ASIGNATURAS!$B$2:$J$91,9,FALSE()),""))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IF(DATOS!$A9250="",0,IF(CONFIG_METADATA!$B$4&lt;&gt;"OR+EX",--(DATOS!$G9250=CONFIG_METADATA!$B$4),IF(DATOS!$G9250="EX",1,IF(DATOS!$G9250="OR",--(COUNTIFS(nNIA,DATOS!$A9250,nCURSO,DATOS!$D9250,nESPEC,DATOS!$E9250,nASIG,DATOS!$I9250,nEVAL,"EX")=0),0))))</f>
      </c>
      <c r="H9250">
        <f>IF(DATOS!$G9250&lt;&gt;"EX",0,--(COUNTIFS(nNIA,DATOS!$A9250,nCURSO,DATOS!$D9250,nESPEC,DATOS!$E9250,nASIG,DATOS!$I9250,nEVAL,"OR")=0))</f>
      </c>
      <c r="I9250">
        <f>IF(DATOS!$I9250="","",IFERROR(VLOOKUP(DATOS!$I9250,CONFIG_ASIGNATURAS!$B$2:$J$91,9,FALSE()),""))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IF(DATOS!$A9251="",0,IF(CONFIG_METADATA!$B$4&lt;&gt;"OR+EX",--(DATOS!$G9251=CONFIG_METADATA!$B$4),IF(DATOS!$G9251="EX",1,IF(DATOS!$G9251="OR",--(COUNTIFS(nNIA,DATOS!$A9251,nCURSO,DATOS!$D9251,nESPEC,DATOS!$E9251,nASIG,DATOS!$I9251,nEVAL,"EX")=0),0))))</f>
      </c>
      <c r="H9251">
        <f>IF(DATOS!$G9251&lt;&gt;"EX",0,--(COUNTIFS(nNIA,DATOS!$A9251,nCURSO,DATOS!$D9251,nESPEC,DATOS!$E9251,nASIG,DATOS!$I9251,nEVAL,"OR")=0))</f>
      </c>
      <c r="I9251">
        <f>IF(DATOS!$I9251="","",IFERROR(VLOOKUP(DATOS!$I9251,CONFIG_ASIGNATURAS!$B$2:$J$91,9,FALSE()),""))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IF(DATOS!$A9252="",0,IF(CONFIG_METADATA!$B$4&lt;&gt;"OR+EX",--(DATOS!$G9252=CONFIG_METADATA!$B$4),IF(DATOS!$G9252="EX",1,IF(DATOS!$G9252="OR",--(COUNTIFS(nNIA,DATOS!$A9252,nCURSO,DATOS!$D9252,nESPEC,DATOS!$E9252,nASIG,DATOS!$I9252,nEVAL,"EX")=0),0))))</f>
      </c>
      <c r="H9252">
        <f>IF(DATOS!$G9252&lt;&gt;"EX",0,--(COUNTIFS(nNIA,DATOS!$A9252,nCURSO,DATOS!$D9252,nESPEC,DATOS!$E9252,nASIG,DATOS!$I9252,nEVAL,"OR")=0))</f>
      </c>
      <c r="I9252">
        <f>IF(DATOS!$I9252="","",IFERROR(VLOOKUP(DATOS!$I9252,CONFIG_ASIGNATURAS!$B$2:$J$91,9,FALSE()),""))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IF(DATOS!$A9253="",0,IF(CONFIG_METADATA!$B$4&lt;&gt;"OR+EX",--(DATOS!$G9253=CONFIG_METADATA!$B$4),IF(DATOS!$G9253="EX",1,IF(DATOS!$G9253="OR",--(COUNTIFS(nNIA,DATOS!$A9253,nCURSO,DATOS!$D9253,nESPEC,DATOS!$E9253,nASIG,DATOS!$I9253,nEVAL,"EX")=0),0))))</f>
      </c>
      <c r="H9253">
        <f>IF(DATOS!$G9253&lt;&gt;"EX",0,--(COUNTIFS(nNIA,DATOS!$A9253,nCURSO,DATOS!$D9253,nESPEC,DATOS!$E9253,nASIG,DATOS!$I9253,nEVAL,"OR")=0))</f>
      </c>
      <c r="I9253">
        <f>IF(DATOS!$I9253="","",IFERROR(VLOOKUP(DATOS!$I9253,CONFIG_ASIGNATURAS!$B$2:$J$91,9,FALSE()),""))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IF(DATOS!$A9254="",0,IF(CONFIG_METADATA!$B$4&lt;&gt;"OR+EX",--(DATOS!$G9254=CONFIG_METADATA!$B$4),IF(DATOS!$G9254="EX",1,IF(DATOS!$G9254="OR",--(COUNTIFS(nNIA,DATOS!$A9254,nCURSO,DATOS!$D9254,nESPEC,DATOS!$E9254,nASIG,DATOS!$I9254,nEVAL,"EX")=0),0))))</f>
      </c>
      <c r="H9254">
        <f>IF(DATOS!$G9254&lt;&gt;"EX",0,--(COUNTIFS(nNIA,DATOS!$A9254,nCURSO,DATOS!$D9254,nESPEC,DATOS!$E9254,nASIG,DATOS!$I9254,nEVAL,"OR")=0))</f>
      </c>
      <c r="I9254">
        <f>IF(DATOS!$I9254="","",IFERROR(VLOOKUP(DATOS!$I9254,CONFIG_ASIGNATURAS!$B$2:$J$91,9,FALSE()),""))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IF(DATOS!$A9255="",0,IF(CONFIG_METADATA!$B$4&lt;&gt;"OR+EX",--(DATOS!$G9255=CONFIG_METADATA!$B$4),IF(DATOS!$G9255="EX",1,IF(DATOS!$G9255="OR",--(COUNTIFS(nNIA,DATOS!$A9255,nCURSO,DATOS!$D9255,nESPEC,DATOS!$E9255,nASIG,DATOS!$I9255,nEVAL,"EX")=0),0))))</f>
      </c>
      <c r="H9255">
        <f>IF(DATOS!$G9255&lt;&gt;"EX",0,--(COUNTIFS(nNIA,DATOS!$A9255,nCURSO,DATOS!$D9255,nESPEC,DATOS!$E9255,nASIG,DATOS!$I9255,nEVAL,"OR")=0))</f>
      </c>
      <c r="I9255">
        <f>IF(DATOS!$I9255="","",IFERROR(VLOOKUP(DATOS!$I9255,CONFIG_ASIGNATURAS!$B$2:$J$91,9,FALSE()),""))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IF(DATOS!$A9256="",0,IF(CONFIG_METADATA!$B$4&lt;&gt;"OR+EX",--(DATOS!$G9256=CONFIG_METADATA!$B$4),IF(DATOS!$G9256="EX",1,IF(DATOS!$G9256="OR",--(COUNTIFS(nNIA,DATOS!$A9256,nCURSO,DATOS!$D9256,nESPEC,DATOS!$E9256,nASIG,DATOS!$I9256,nEVAL,"EX")=0),0))))</f>
      </c>
      <c r="H9256">
        <f>IF(DATOS!$G9256&lt;&gt;"EX",0,--(COUNTIFS(nNIA,DATOS!$A9256,nCURSO,DATOS!$D9256,nESPEC,DATOS!$E9256,nASIG,DATOS!$I9256,nEVAL,"OR")=0))</f>
      </c>
      <c r="I9256">
        <f>IF(DATOS!$I9256="","",IFERROR(VLOOKUP(DATOS!$I9256,CONFIG_ASIGNATURAS!$B$2:$J$91,9,FALSE()),""))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IF(DATOS!$A9257="",0,IF(CONFIG_METADATA!$B$4&lt;&gt;"OR+EX",--(DATOS!$G9257=CONFIG_METADATA!$B$4),IF(DATOS!$G9257="EX",1,IF(DATOS!$G9257="OR",--(COUNTIFS(nNIA,DATOS!$A9257,nCURSO,DATOS!$D9257,nESPEC,DATOS!$E9257,nASIG,DATOS!$I9257,nEVAL,"EX")=0),0))))</f>
      </c>
      <c r="H9257">
        <f>IF(DATOS!$G9257&lt;&gt;"EX",0,--(COUNTIFS(nNIA,DATOS!$A9257,nCURSO,DATOS!$D9257,nESPEC,DATOS!$E9257,nASIG,DATOS!$I9257,nEVAL,"OR")=0))</f>
      </c>
      <c r="I9257">
        <f>IF(DATOS!$I9257="","",IFERROR(VLOOKUP(DATOS!$I9257,CONFIG_ASIGNATURAS!$B$2:$J$91,9,FALSE()),""))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IF(DATOS!$A9258="",0,IF(CONFIG_METADATA!$B$4&lt;&gt;"OR+EX",--(DATOS!$G9258=CONFIG_METADATA!$B$4),IF(DATOS!$G9258="EX",1,IF(DATOS!$G9258="OR",--(COUNTIFS(nNIA,DATOS!$A9258,nCURSO,DATOS!$D9258,nESPEC,DATOS!$E9258,nASIG,DATOS!$I9258,nEVAL,"EX")=0),0))))</f>
      </c>
      <c r="H9258">
        <f>IF(DATOS!$G9258&lt;&gt;"EX",0,--(COUNTIFS(nNIA,DATOS!$A9258,nCURSO,DATOS!$D9258,nESPEC,DATOS!$E9258,nASIG,DATOS!$I9258,nEVAL,"OR")=0))</f>
      </c>
      <c r="I9258">
        <f>IF(DATOS!$I9258="","",IFERROR(VLOOKUP(DATOS!$I9258,CONFIG_ASIGNATURAS!$B$2:$J$91,9,FALSE()),""))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IF(DATOS!$A9259="",0,IF(CONFIG_METADATA!$B$4&lt;&gt;"OR+EX",--(DATOS!$G9259=CONFIG_METADATA!$B$4),IF(DATOS!$G9259="EX",1,IF(DATOS!$G9259="OR",--(COUNTIFS(nNIA,DATOS!$A9259,nCURSO,DATOS!$D9259,nESPEC,DATOS!$E9259,nASIG,DATOS!$I9259,nEVAL,"EX")=0),0))))</f>
      </c>
      <c r="H9259">
        <f>IF(DATOS!$G9259&lt;&gt;"EX",0,--(COUNTIFS(nNIA,DATOS!$A9259,nCURSO,DATOS!$D9259,nESPEC,DATOS!$E9259,nASIG,DATOS!$I9259,nEVAL,"OR")=0))</f>
      </c>
      <c r="I9259">
        <f>IF(DATOS!$I9259="","",IFERROR(VLOOKUP(DATOS!$I9259,CONFIG_ASIGNATURAS!$B$2:$J$91,9,FALSE()),""))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IF(DATOS!$A9260="",0,IF(CONFIG_METADATA!$B$4&lt;&gt;"OR+EX",--(DATOS!$G9260=CONFIG_METADATA!$B$4),IF(DATOS!$G9260="EX",1,IF(DATOS!$G9260="OR",--(COUNTIFS(nNIA,DATOS!$A9260,nCURSO,DATOS!$D9260,nESPEC,DATOS!$E9260,nASIG,DATOS!$I9260,nEVAL,"EX")=0),0))))</f>
      </c>
      <c r="H9260">
        <f>IF(DATOS!$G9260&lt;&gt;"EX",0,--(COUNTIFS(nNIA,DATOS!$A9260,nCURSO,DATOS!$D9260,nESPEC,DATOS!$E9260,nASIG,DATOS!$I9260,nEVAL,"OR")=0))</f>
      </c>
      <c r="I9260">
        <f>IF(DATOS!$I9260="","",IFERROR(VLOOKUP(DATOS!$I9260,CONFIG_ASIGNATURAS!$B$2:$J$91,9,FALSE()),""))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IF(DATOS!$A9261="",0,IF(CONFIG_METADATA!$B$4&lt;&gt;"OR+EX",--(DATOS!$G9261=CONFIG_METADATA!$B$4),IF(DATOS!$G9261="EX",1,IF(DATOS!$G9261="OR",--(COUNTIFS(nNIA,DATOS!$A9261,nCURSO,DATOS!$D9261,nESPEC,DATOS!$E9261,nASIG,DATOS!$I9261,nEVAL,"EX")=0),0))))</f>
      </c>
      <c r="H9261">
        <f>IF(DATOS!$G9261&lt;&gt;"EX",0,--(COUNTIFS(nNIA,DATOS!$A9261,nCURSO,DATOS!$D9261,nESPEC,DATOS!$E9261,nASIG,DATOS!$I9261,nEVAL,"OR")=0))</f>
      </c>
      <c r="I9261">
        <f>IF(DATOS!$I9261="","",IFERROR(VLOOKUP(DATOS!$I9261,CONFIG_ASIGNATURAS!$B$2:$J$91,9,FALSE()),""))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IF(DATOS!$A9262="",0,IF(CONFIG_METADATA!$B$4&lt;&gt;"OR+EX",--(DATOS!$G9262=CONFIG_METADATA!$B$4),IF(DATOS!$G9262="EX",1,IF(DATOS!$G9262="OR",--(COUNTIFS(nNIA,DATOS!$A9262,nCURSO,DATOS!$D9262,nESPEC,DATOS!$E9262,nASIG,DATOS!$I9262,nEVAL,"EX")=0),0))))</f>
      </c>
      <c r="H9262">
        <f>IF(DATOS!$G9262&lt;&gt;"EX",0,--(COUNTIFS(nNIA,DATOS!$A9262,nCURSO,DATOS!$D9262,nESPEC,DATOS!$E9262,nASIG,DATOS!$I9262,nEVAL,"OR")=0))</f>
      </c>
      <c r="I9262">
        <f>IF(DATOS!$I9262="","",IFERROR(VLOOKUP(DATOS!$I9262,CONFIG_ASIGNATURAS!$B$2:$J$91,9,FALSE()),""))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IF(DATOS!$A9263="",0,IF(CONFIG_METADATA!$B$4&lt;&gt;"OR+EX",--(DATOS!$G9263=CONFIG_METADATA!$B$4),IF(DATOS!$G9263="EX",1,IF(DATOS!$G9263="OR",--(COUNTIFS(nNIA,DATOS!$A9263,nCURSO,DATOS!$D9263,nESPEC,DATOS!$E9263,nASIG,DATOS!$I9263,nEVAL,"EX")=0),0))))</f>
      </c>
      <c r="H9263">
        <f>IF(DATOS!$G9263&lt;&gt;"EX",0,--(COUNTIFS(nNIA,DATOS!$A9263,nCURSO,DATOS!$D9263,nESPEC,DATOS!$E9263,nASIG,DATOS!$I9263,nEVAL,"OR")=0))</f>
      </c>
      <c r="I9263">
        <f>IF(DATOS!$I9263="","",IFERROR(VLOOKUP(DATOS!$I9263,CONFIG_ASIGNATURAS!$B$2:$J$91,9,FALSE()),""))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IF(DATOS!$A9264="",0,IF(CONFIG_METADATA!$B$4&lt;&gt;"OR+EX",--(DATOS!$G9264=CONFIG_METADATA!$B$4),IF(DATOS!$G9264="EX",1,IF(DATOS!$G9264="OR",--(COUNTIFS(nNIA,DATOS!$A9264,nCURSO,DATOS!$D9264,nESPEC,DATOS!$E9264,nASIG,DATOS!$I9264,nEVAL,"EX")=0),0))))</f>
      </c>
      <c r="H9264">
        <f>IF(DATOS!$G9264&lt;&gt;"EX",0,--(COUNTIFS(nNIA,DATOS!$A9264,nCURSO,DATOS!$D9264,nESPEC,DATOS!$E9264,nASIG,DATOS!$I9264,nEVAL,"OR")=0))</f>
      </c>
      <c r="I9264">
        <f>IF(DATOS!$I9264="","",IFERROR(VLOOKUP(DATOS!$I9264,CONFIG_ASIGNATURAS!$B$2:$J$91,9,FALSE()),""))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IF(DATOS!$A9265="",0,IF(CONFIG_METADATA!$B$4&lt;&gt;"OR+EX",--(DATOS!$G9265=CONFIG_METADATA!$B$4),IF(DATOS!$G9265="EX",1,IF(DATOS!$G9265="OR",--(COUNTIFS(nNIA,DATOS!$A9265,nCURSO,DATOS!$D9265,nESPEC,DATOS!$E9265,nASIG,DATOS!$I9265,nEVAL,"EX")=0),0))))</f>
      </c>
      <c r="H9265">
        <f>IF(DATOS!$G9265&lt;&gt;"EX",0,--(COUNTIFS(nNIA,DATOS!$A9265,nCURSO,DATOS!$D9265,nESPEC,DATOS!$E9265,nASIG,DATOS!$I9265,nEVAL,"OR")=0))</f>
      </c>
      <c r="I9265">
        <f>IF(DATOS!$I9265="","",IFERROR(VLOOKUP(DATOS!$I9265,CONFIG_ASIGNATURAS!$B$2:$J$91,9,FALSE()),""))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IF(DATOS!$A9266="",0,IF(CONFIG_METADATA!$B$4&lt;&gt;"OR+EX",--(DATOS!$G9266=CONFIG_METADATA!$B$4),IF(DATOS!$G9266="EX",1,IF(DATOS!$G9266="OR",--(COUNTIFS(nNIA,DATOS!$A9266,nCURSO,DATOS!$D9266,nESPEC,DATOS!$E9266,nASIG,DATOS!$I9266,nEVAL,"EX")=0),0))))</f>
      </c>
      <c r="H9266">
        <f>IF(DATOS!$G9266&lt;&gt;"EX",0,--(COUNTIFS(nNIA,DATOS!$A9266,nCURSO,DATOS!$D9266,nESPEC,DATOS!$E9266,nASIG,DATOS!$I9266,nEVAL,"OR")=0))</f>
      </c>
      <c r="I9266">
        <f>IF(DATOS!$I9266="","",IFERROR(VLOOKUP(DATOS!$I9266,CONFIG_ASIGNATURAS!$B$2:$J$91,9,FALSE()),""))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IF(DATOS!$A9267="",0,IF(CONFIG_METADATA!$B$4&lt;&gt;"OR+EX",--(DATOS!$G9267=CONFIG_METADATA!$B$4),IF(DATOS!$G9267="EX",1,IF(DATOS!$G9267="OR",--(COUNTIFS(nNIA,DATOS!$A9267,nCURSO,DATOS!$D9267,nESPEC,DATOS!$E9267,nASIG,DATOS!$I9267,nEVAL,"EX")=0),0))))</f>
      </c>
      <c r="H9267">
        <f>IF(DATOS!$G9267&lt;&gt;"EX",0,--(COUNTIFS(nNIA,DATOS!$A9267,nCURSO,DATOS!$D9267,nESPEC,DATOS!$E9267,nASIG,DATOS!$I9267,nEVAL,"OR")=0))</f>
      </c>
      <c r="I9267">
        <f>IF(DATOS!$I9267="","",IFERROR(VLOOKUP(DATOS!$I9267,CONFIG_ASIGNATURAS!$B$2:$J$91,9,FALSE()),""))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IF(DATOS!$A9268="",0,IF(CONFIG_METADATA!$B$4&lt;&gt;"OR+EX",--(DATOS!$G9268=CONFIG_METADATA!$B$4),IF(DATOS!$G9268="EX",1,IF(DATOS!$G9268="OR",--(COUNTIFS(nNIA,DATOS!$A9268,nCURSO,DATOS!$D9268,nESPEC,DATOS!$E9268,nASIG,DATOS!$I9268,nEVAL,"EX")=0),0))))</f>
      </c>
      <c r="H9268">
        <f>IF(DATOS!$G9268&lt;&gt;"EX",0,--(COUNTIFS(nNIA,DATOS!$A9268,nCURSO,DATOS!$D9268,nESPEC,DATOS!$E9268,nASIG,DATOS!$I9268,nEVAL,"OR")=0))</f>
      </c>
      <c r="I9268">
        <f>IF(DATOS!$I9268="","",IFERROR(VLOOKUP(DATOS!$I9268,CONFIG_ASIGNATURAS!$B$2:$J$91,9,FALSE()),""))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IF(DATOS!$A9269="",0,IF(CONFIG_METADATA!$B$4&lt;&gt;"OR+EX",--(DATOS!$G9269=CONFIG_METADATA!$B$4),IF(DATOS!$G9269="EX",1,IF(DATOS!$G9269="OR",--(COUNTIFS(nNIA,DATOS!$A9269,nCURSO,DATOS!$D9269,nESPEC,DATOS!$E9269,nASIG,DATOS!$I9269,nEVAL,"EX")=0),0))))</f>
      </c>
      <c r="H9269">
        <f>IF(DATOS!$G9269&lt;&gt;"EX",0,--(COUNTIFS(nNIA,DATOS!$A9269,nCURSO,DATOS!$D9269,nESPEC,DATOS!$E9269,nASIG,DATOS!$I9269,nEVAL,"OR")=0))</f>
      </c>
      <c r="I9269">
        <f>IF(DATOS!$I9269="","",IFERROR(VLOOKUP(DATOS!$I9269,CONFIG_ASIGNATURAS!$B$2:$J$91,9,FALSE()),""))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IF(DATOS!$A9270="",0,IF(CONFIG_METADATA!$B$4&lt;&gt;"OR+EX",--(DATOS!$G9270=CONFIG_METADATA!$B$4),IF(DATOS!$G9270="EX",1,IF(DATOS!$G9270="OR",--(COUNTIFS(nNIA,DATOS!$A9270,nCURSO,DATOS!$D9270,nESPEC,DATOS!$E9270,nASIG,DATOS!$I9270,nEVAL,"EX")=0),0))))</f>
      </c>
      <c r="H9270">
        <f>IF(DATOS!$G9270&lt;&gt;"EX",0,--(COUNTIFS(nNIA,DATOS!$A9270,nCURSO,DATOS!$D9270,nESPEC,DATOS!$E9270,nASIG,DATOS!$I9270,nEVAL,"OR")=0))</f>
      </c>
      <c r="I9270">
        <f>IF(DATOS!$I9270="","",IFERROR(VLOOKUP(DATOS!$I9270,CONFIG_ASIGNATURAS!$B$2:$J$91,9,FALSE()),""))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IF(DATOS!$A9271="",0,IF(CONFIG_METADATA!$B$4&lt;&gt;"OR+EX",--(DATOS!$G9271=CONFIG_METADATA!$B$4),IF(DATOS!$G9271="EX",1,IF(DATOS!$G9271="OR",--(COUNTIFS(nNIA,DATOS!$A9271,nCURSO,DATOS!$D9271,nESPEC,DATOS!$E9271,nASIG,DATOS!$I9271,nEVAL,"EX")=0),0))))</f>
      </c>
      <c r="H9271">
        <f>IF(DATOS!$G9271&lt;&gt;"EX",0,--(COUNTIFS(nNIA,DATOS!$A9271,nCURSO,DATOS!$D9271,nESPEC,DATOS!$E9271,nASIG,DATOS!$I9271,nEVAL,"OR")=0))</f>
      </c>
      <c r="I9271">
        <f>IF(DATOS!$I9271="","",IFERROR(VLOOKUP(DATOS!$I9271,CONFIG_ASIGNATURAS!$B$2:$J$91,9,FALSE()),""))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IF(DATOS!$A9272="",0,IF(CONFIG_METADATA!$B$4&lt;&gt;"OR+EX",--(DATOS!$G9272=CONFIG_METADATA!$B$4),IF(DATOS!$G9272="EX",1,IF(DATOS!$G9272="OR",--(COUNTIFS(nNIA,DATOS!$A9272,nCURSO,DATOS!$D9272,nESPEC,DATOS!$E9272,nASIG,DATOS!$I9272,nEVAL,"EX")=0),0))))</f>
      </c>
      <c r="H9272">
        <f>IF(DATOS!$G9272&lt;&gt;"EX",0,--(COUNTIFS(nNIA,DATOS!$A9272,nCURSO,DATOS!$D9272,nESPEC,DATOS!$E9272,nASIG,DATOS!$I9272,nEVAL,"OR")=0))</f>
      </c>
      <c r="I9272">
        <f>IF(DATOS!$I9272="","",IFERROR(VLOOKUP(DATOS!$I9272,CONFIG_ASIGNATURAS!$B$2:$J$91,9,FALSE()),""))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IF(DATOS!$A9273="",0,IF(CONFIG_METADATA!$B$4&lt;&gt;"OR+EX",--(DATOS!$G9273=CONFIG_METADATA!$B$4),IF(DATOS!$G9273="EX",1,IF(DATOS!$G9273="OR",--(COUNTIFS(nNIA,DATOS!$A9273,nCURSO,DATOS!$D9273,nESPEC,DATOS!$E9273,nASIG,DATOS!$I9273,nEVAL,"EX")=0),0))))</f>
      </c>
      <c r="H9273">
        <f>IF(DATOS!$G9273&lt;&gt;"EX",0,--(COUNTIFS(nNIA,DATOS!$A9273,nCURSO,DATOS!$D9273,nESPEC,DATOS!$E9273,nASIG,DATOS!$I9273,nEVAL,"OR")=0))</f>
      </c>
      <c r="I9273">
        <f>IF(DATOS!$I9273="","",IFERROR(VLOOKUP(DATOS!$I9273,CONFIG_ASIGNATURAS!$B$2:$J$91,9,FALSE()),""))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IF(DATOS!$A9274="",0,IF(CONFIG_METADATA!$B$4&lt;&gt;"OR+EX",--(DATOS!$G9274=CONFIG_METADATA!$B$4),IF(DATOS!$G9274="EX",1,IF(DATOS!$G9274="OR",--(COUNTIFS(nNIA,DATOS!$A9274,nCURSO,DATOS!$D9274,nESPEC,DATOS!$E9274,nASIG,DATOS!$I9274,nEVAL,"EX")=0),0))))</f>
      </c>
      <c r="H9274">
        <f>IF(DATOS!$G9274&lt;&gt;"EX",0,--(COUNTIFS(nNIA,DATOS!$A9274,nCURSO,DATOS!$D9274,nESPEC,DATOS!$E9274,nASIG,DATOS!$I9274,nEVAL,"OR")=0))</f>
      </c>
      <c r="I9274">
        <f>IF(DATOS!$I9274="","",IFERROR(VLOOKUP(DATOS!$I9274,CONFIG_ASIGNATURAS!$B$2:$J$91,9,FALSE()),""))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IF(DATOS!$A9275="",0,IF(CONFIG_METADATA!$B$4&lt;&gt;"OR+EX",--(DATOS!$G9275=CONFIG_METADATA!$B$4),IF(DATOS!$G9275="EX",1,IF(DATOS!$G9275="OR",--(COUNTIFS(nNIA,DATOS!$A9275,nCURSO,DATOS!$D9275,nESPEC,DATOS!$E9275,nASIG,DATOS!$I9275,nEVAL,"EX")=0),0))))</f>
      </c>
      <c r="H9275">
        <f>IF(DATOS!$G9275&lt;&gt;"EX",0,--(COUNTIFS(nNIA,DATOS!$A9275,nCURSO,DATOS!$D9275,nESPEC,DATOS!$E9275,nASIG,DATOS!$I9275,nEVAL,"OR")=0))</f>
      </c>
      <c r="I9275">
        <f>IF(DATOS!$I9275="","",IFERROR(VLOOKUP(DATOS!$I9275,CONFIG_ASIGNATURAS!$B$2:$J$91,9,FALSE()),""))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IF(DATOS!$A9276="",0,IF(CONFIG_METADATA!$B$4&lt;&gt;"OR+EX",--(DATOS!$G9276=CONFIG_METADATA!$B$4),IF(DATOS!$G9276="EX",1,IF(DATOS!$G9276="OR",--(COUNTIFS(nNIA,DATOS!$A9276,nCURSO,DATOS!$D9276,nESPEC,DATOS!$E9276,nASIG,DATOS!$I9276,nEVAL,"EX")=0),0))))</f>
      </c>
      <c r="H9276">
        <f>IF(DATOS!$G9276&lt;&gt;"EX",0,--(COUNTIFS(nNIA,DATOS!$A9276,nCURSO,DATOS!$D9276,nESPEC,DATOS!$E9276,nASIG,DATOS!$I9276,nEVAL,"OR")=0))</f>
      </c>
      <c r="I9276">
        <f>IF(DATOS!$I9276="","",IFERROR(VLOOKUP(DATOS!$I9276,CONFIG_ASIGNATURAS!$B$2:$J$91,9,FALSE()),""))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IF(DATOS!$A9277="",0,IF(CONFIG_METADATA!$B$4&lt;&gt;"OR+EX",--(DATOS!$G9277=CONFIG_METADATA!$B$4),IF(DATOS!$G9277="EX",1,IF(DATOS!$G9277="OR",--(COUNTIFS(nNIA,DATOS!$A9277,nCURSO,DATOS!$D9277,nESPEC,DATOS!$E9277,nASIG,DATOS!$I9277,nEVAL,"EX")=0),0))))</f>
      </c>
      <c r="H9277">
        <f>IF(DATOS!$G9277&lt;&gt;"EX",0,--(COUNTIFS(nNIA,DATOS!$A9277,nCURSO,DATOS!$D9277,nESPEC,DATOS!$E9277,nASIG,DATOS!$I9277,nEVAL,"OR")=0))</f>
      </c>
      <c r="I9277">
        <f>IF(DATOS!$I9277="","",IFERROR(VLOOKUP(DATOS!$I9277,CONFIG_ASIGNATURAS!$B$2:$J$91,9,FALSE()),""))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IF(DATOS!$A9278="",0,IF(CONFIG_METADATA!$B$4&lt;&gt;"OR+EX",--(DATOS!$G9278=CONFIG_METADATA!$B$4),IF(DATOS!$G9278="EX",1,IF(DATOS!$G9278="OR",--(COUNTIFS(nNIA,DATOS!$A9278,nCURSO,DATOS!$D9278,nESPEC,DATOS!$E9278,nASIG,DATOS!$I9278,nEVAL,"EX")=0),0))))</f>
      </c>
      <c r="H9278">
        <f>IF(DATOS!$G9278&lt;&gt;"EX",0,--(COUNTIFS(nNIA,DATOS!$A9278,nCURSO,DATOS!$D9278,nESPEC,DATOS!$E9278,nASIG,DATOS!$I9278,nEVAL,"OR")=0))</f>
      </c>
      <c r="I9278">
        <f>IF(DATOS!$I9278="","",IFERROR(VLOOKUP(DATOS!$I9278,CONFIG_ASIGNATURAS!$B$2:$J$91,9,FALSE()),""))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IF(DATOS!$A9279="",0,IF(CONFIG_METADATA!$B$4&lt;&gt;"OR+EX",--(DATOS!$G9279=CONFIG_METADATA!$B$4),IF(DATOS!$G9279="EX",1,IF(DATOS!$G9279="OR",--(COUNTIFS(nNIA,DATOS!$A9279,nCURSO,DATOS!$D9279,nESPEC,DATOS!$E9279,nASIG,DATOS!$I9279,nEVAL,"EX")=0),0))))</f>
      </c>
      <c r="H9279">
        <f>IF(DATOS!$G9279&lt;&gt;"EX",0,--(COUNTIFS(nNIA,DATOS!$A9279,nCURSO,DATOS!$D9279,nESPEC,DATOS!$E9279,nASIG,DATOS!$I9279,nEVAL,"OR")=0))</f>
      </c>
      <c r="I9279">
        <f>IF(DATOS!$I9279="","",IFERROR(VLOOKUP(DATOS!$I9279,CONFIG_ASIGNATURAS!$B$2:$J$91,9,FALSE()),""))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IF(DATOS!$A9280="",0,IF(CONFIG_METADATA!$B$4&lt;&gt;"OR+EX",--(DATOS!$G9280=CONFIG_METADATA!$B$4),IF(DATOS!$G9280="EX",1,IF(DATOS!$G9280="OR",--(COUNTIFS(nNIA,DATOS!$A9280,nCURSO,DATOS!$D9280,nESPEC,DATOS!$E9280,nASIG,DATOS!$I9280,nEVAL,"EX")=0),0))))</f>
      </c>
      <c r="H9280">
        <f>IF(DATOS!$G9280&lt;&gt;"EX",0,--(COUNTIFS(nNIA,DATOS!$A9280,nCURSO,DATOS!$D9280,nESPEC,DATOS!$E9280,nASIG,DATOS!$I9280,nEVAL,"OR")=0))</f>
      </c>
      <c r="I9280">
        <f>IF(DATOS!$I9280="","",IFERROR(VLOOKUP(DATOS!$I9280,CONFIG_ASIGNATURAS!$B$2:$J$91,9,FALSE()),""))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IF(DATOS!$A9281="",0,IF(CONFIG_METADATA!$B$4&lt;&gt;"OR+EX",--(DATOS!$G9281=CONFIG_METADATA!$B$4),IF(DATOS!$G9281="EX",1,IF(DATOS!$G9281="OR",--(COUNTIFS(nNIA,DATOS!$A9281,nCURSO,DATOS!$D9281,nESPEC,DATOS!$E9281,nASIG,DATOS!$I9281,nEVAL,"EX")=0),0))))</f>
      </c>
      <c r="H9281">
        <f>IF(DATOS!$G9281&lt;&gt;"EX",0,--(COUNTIFS(nNIA,DATOS!$A9281,nCURSO,DATOS!$D9281,nESPEC,DATOS!$E9281,nASIG,DATOS!$I9281,nEVAL,"OR")=0))</f>
      </c>
      <c r="I9281">
        <f>IF(DATOS!$I9281="","",IFERROR(VLOOKUP(DATOS!$I9281,CONFIG_ASIGNATURAS!$B$2:$J$91,9,FALSE()),""))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IF(DATOS!$A9282="",0,IF(CONFIG_METADATA!$B$4&lt;&gt;"OR+EX",--(DATOS!$G9282=CONFIG_METADATA!$B$4),IF(DATOS!$G9282="EX",1,IF(DATOS!$G9282="OR",--(COUNTIFS(nNIA,DATOS!$A9282,nCURSO,DATOS!$D9282,nESPEC,DATOS!$E9282,nASIG,DATOS!$I9282,nEVAL,"EX")=0),0))))</f>
      </c>
      <c r="H9282">
        <f>IF(DATOS!$G9282&lt;&gt;"EX",0,--(COUNTIFS(nNIA,DATOS!$A9282,nCURSO,DATOS!$D9282,nESPEC,DATOS!$E9282,nASIG,DATOS!$I9282,nEVAL,"OR")=0))</f>
      </c>
      <c r="I9282">
        <f>IF(DATOS!$I9282="","",IFERROR(VLOOKUP(DATOS!$I9282,CONFIG_ASIGNATURAS!$B$2:$J$91,9,FALSE()),""))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IF(DATOS!$A9283="",0,IF(CONFIG_METADATA!$B$4&lt;&gt;"OR+EX",--(DATOS!$G9283=CONFIG_METADATA!$B$4),IF(DATOS!$G9283="EX",1,IF(DATOS!$G9283="OR",--(COUNTIFS(nNIA,DATOS!$A9283,nCURSO,DATOS!$D9283,nESPEC,DATOS!$E9283,nASIG,DATOS!$I9283,nEVAL,"EX")=0),0))))</f>
      </c>
      <c r="H9283">
        <f>IF(DATOS!$G9283&lt;&gt;"EX",0,--(COUNTIFS(nNIA,DATOS!$A9283,nCURSO,DATOS!$D9283,nESPEC,DATOS!$E9283,nASIG,DATOS!$I9283,nEVAL,"OR")=0))</f>
      </c>
      <c r="I9283">
        <f>IF(DATOS!$I9283="","",IFERROR(VLOOKUP(DATOS!$I9283,CONFIG_ASIGNATURAS!$B$2:$J$91,9,FALSE()),""))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IF(DATOS!$A9284="",0,IF(CONFIG_METADATA!$B$4&lt;&gt;"OR+EX",--(DATOS!$G9284=CONFIG_METADATA!$B$4),IF(DATOS!$G9284="EX",1,IF(DATOS!$G9284="OR",--(COUNTIFS(nNIA,DATOS!$A9284,nCURSO,DATOS!$D9284,nESPEC,DATOS!$E9284,nASIG,DATOS!$I9284,nEVAL,"EX")=0),0))))</f>
      </c>
      <c r="H9284">
        <f>IF(DATOS!$G9284&lt;&gt;"EX",0,--(COUNTIFS(nNIA,DATOS!$A9284,nCURSO,DATOS!$D9284,nESPEC,DATOS!$E9284,nASIG,DATOS!$I9284,nEVAL,"OR")=0))</f>
      </c>
      <c r="I9284">
        <f>IF(DATOS!$I9284="","",IFERROR(VLOOKUP(DATOS!$I9284,CONFIG_ASIGNATURAS!$B$2:$J$91,9,FALSE()),""))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IF(DATOS!$A9285="",0,IF(CONFIG_METADATA!$B$4&lt;&gt;"OR+EX",--(DATOS!$G9285=CONFIG_METADATA!$B$4),IF(DATOS!$G9285="EX",1,IF(DATOS!$G9285="OR",--(COUNTIFS(nNIA,DATOS!$A9285,nCURSO,DATOS!$D9285,nESPEC,DATOS!$E9285,nASIG,DATOS!$I9285,nEVAL,"EX")=0),0))))</f>
      </c>
      <c r="H9285">
        <f>IF(DATOS!$G9285&lt;&gt;"EX",0,--(COUNTIFS(nNIA,DATOS!$A9285,nCURSO,DATOS!$D9285,nESPEC,DATOS!$E9285,nASIG,DATOS!$I9285,nEVAL,"OR")=0))</f>
      </c>
      <c r="I9285">
        <f>IF(DATOS!$I9285="","",IFERROR(VLOOKUP(DATOS!$I9285,CONFIG_ASIGNATURAS!$B$2:$J$91,9,FALSE()),""))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IF(DATOS!$A9286="",0,IF(CONFIG_METADATA!$B$4&lt;&gt;"OR+EX",--(DATOS!$G9286=CONFIG_METADATA!$B$4),IF(DATOS!$G9286="EX",1,IF(DATOS!$G9286="OR",--(COUNTIFS(nNIA,DATOS!$A9286,nCURSO,DATOS!$D9286,nESPEC,DATOS!$E9286,nASIG,DATOS!$I9286,nEVAL,"EX")=0),0))))</f>
      </c>
      <c r="H9286">
        <f>IF(DATOS!$G9286&lt;&gt;"EX",0,--(COUNTIFS(nNIA,DATOS!$A9286,nCURSO,DATOS!$D9286,nESPEC,DATOS!$E9286,nASIG,DATOS!$I9286,nEVAL,"OR")=0))</f>
      </c>
      <c r="I9286">
        <f>IF(DATOS!$I9286="","",IFERROR(VLOOKUP(DATOS!$I9286,CONFIG_ASIGNATURAS!$B$2:$J$91,9,FALSE()),""))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IF(DATOS!$A9287="",0,IF(CONFIG_METADATA!$B$4&lt;&gt;"OR+EX",--(DATOS!$G9287=CONFIG_METADATA!$B$4),IF(DATOS!$G9287="EX",1,IF(DATOS!$G9287="OR",--(COUNTIFS(nNIA,DATOS!$A9287,nCURSO,DATOS!$D9287,nESPEC,DATOS!$E9287,nASIG,DATOS!$I9287,nEVAL,"EX")=0),0))))</f>
      </c>
      <c r="H9287">
        <f>IF(DATOS!$G9287&lt;&gt;"EX",0,--(COUNTIFS(nNIA,DATOS!$A9287,nCURSO,DATOS!$D9287,nESPEC,DATOS!$E9287,nASIG,DATOS!$I9287,nEVAL,"OR")=0))</f>
      </c>
      <c r="I9287">
        <f>IF(DATOS!$I9287="","",IFERROR(VLOOKUP(DATOS!$I9287,CONFIG_ASIGNATURAS!$B$2:$J$91,9,FALSE()),""))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IF(DATOS!$A9288="",0,IF(CONFIG_METADATA!$B$4&lt;&gt;"OR+EX",--(DATOS!$G9288=CONFIG_METADATA!$B$4),IF(DATOS!$G9288="EX",1,IF(DATOS!$G9288="OR",--(COUNTIFS(nNIA,DATOS!$A9288,nCURSO,DATOS!$D9288,nESPEC,DATOS!$E9288,nASIG,DATOS!$I9288,nEVAL,"EX")=0),0))))</f>
      </c>
      <c r="H9288">
        <f>IF(DATOS!$G9288&lt;&gt;"EX",0,--(COUNTIFS(nNIA,DATOS!$A9288,nCURSO,DATOS!$D9288,nESPEC,DATOS!$E9288,nASIG,DATOS!$I9288,nEVAL,"OR")=0))</f>
      </c>
      <c r="I9288">
        <f>IF(DATOS!$I9288="","",IFERROR(VLOOKUP(DATOS!$I9288,CONFIG_ASIGNATURAS!$B$2:$J$91,9,FALSE()),""))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IF(DATOS!$A9289="",0,IF(CONFIG_METADATA!$B$4&lt;&gt;"OR+EX",--(DATOS!$G9289=CONFIG_METADATA!$B$4),IF(DATOS!$G9289="EX",1,IF(DATOS!$G9289="OR",--(COUNTIFS(nNIA,DATOS!$A9289,nCURSO,DATOS!$D9289,nESPEC,DATOS!$E9289,nASIG,DATOS!$I9289,nEVAL,"EX")=0),0))))</f>
      </c>
      <c r="H9289">
        <f>IF(DATOS!$G9289&lt;&gt;"EX",0,--(COUNTIFS(nNIA,DATOS!$A9289,nCURSO,DATOS!$D9289,nESPEC,DATOS!$E9289,nASIG,DATOS!$I9289,nEVAL,"OR")=0))</f>
      </c>
      <c r="I9289">
        <f>IF(DATOS!$I9289="","",IFERROR(VLOOKUP(DATOS!$I9289,CONFIG_ASIGNATURAS!$B$2:$J$91,9,FALSE()),""))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IF(DATOS!$A9290="",0,IF(CONFIG_METADATA!$B$4&lt;&gt;"OR+EX",--(DATOS!$G9290=CONFIG_METADATA!$B$4),IF(DATOS!$G9290="EX",1,IF(DATOS!$G9290="OR",--(COUNTIFS(nNIA,DATOS!$A9290,nCURSO,DATOS!$D9290,nESPEC,DATOS!$E9290,nASIG,DATOS!$I9290,nEVAL,"EX")=0),0))))</f>
      </c>
      <c r="H9290">
        <f>IF(DATOS!$G9290&lt;&gt;"EX",0,--(COUNTIFS(nNIA,DATOS!$A9290,nCURSO,DATOS!$D9290,nESPEC,DATOS!$E9290,nASIG,DATOS!$I9290,nEVAL,"OR")=0))</f>
      </c>
      <c r="I9290">
        <f>IF(DATOS!$I9290="","",IFERROR(VLOOKUP(DATOS!$I9290,CONFIG_ASIGNATURAS!$B$2:$J$91,9,FALSE()),""))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IF(DATOS!$A9291="",0,IF(CONFIG_METADATA!$B$4&lt;&gt;"OR+EX",--(DATOS!$G9291=CONFIG_METADATA!$B$4),IF(DATOS!$G9291="EX",1,IF(DATOS!$G9291="OR",--(COUNTIFS(nNIA,DATOS!$A9291,nCURSO,DATOS!$D9291,nESPEC,DATOS!$E9291,nASIG,DATOS!$I9291,nEVAL,"EX")=0),0))))</f>
      </c>
      <c r="H9291">
        <f>IF(DATOS!$G9291&lt;&gt;"EX",0,--(COUNTIFS(nNIA,DATOS!$A9291,nCURSO,DATOS!$D9291,nESPEC,DATOS!$E9291,nASIG,DATOS!$I9291,nEVAL,"OR")=0))</f>
      </c>
      <c r="I9291">
        <f>IF(DATOS!$I9291="","",IFERROR(VLOOKUP(DATOS!$I9291,CONFIG_ASIGNATURAS!$B$2:$J$91,9,FALSE()),""))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IF(DATOS!$A9292="",0,IF(CONFIG_METADATA!$B$4&lt;&gt;"OR+EX",--(DATOS!$G9292=CONFIG_METADATA!$B$4),IF(DATOS!$G9292="EX",1,IF(DATOS!$G9292="OR",--(COUNTIFS(nNIA,DATOS!$A9292,nCURSO,DATOS!$D9292,nESPEC,DATOS!$E9292,nASIG,DATOS!$I9292,nEVAL,"EX")=0),0))))</f>
      </c>
      <c r="H9292">
        <f>IF(DATOS!$G9292&lt;&gt;"EX",0,--(COUNTIFS(nNIA,DATOS!$A9292,nCURSO,DATOS!$D9292,nESPEC,DATOS!$E9292,nASIG,DATOS!$I9292,nEVAL,"OR")=0))</f>
      </c>
      <c r="I9292">
        <f>IF(DATOS!$I9292="","",IFERROR(VLOOKUP(DATOS!$I9292,CONFIG_ASIGNATURAS!$B$2:$J$91,9,FALSE()),""))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IF(DATOS!$A9293="",0,IF(CONFIG_METADATA!$B$4&lt;&gt;"OR+EX",--(DATOS!$G9293=CONFIG_METADATA!$B$4),IF(DATOS!$G9293="EX",1,IF(DATOS!$G9293="OR",--(COUNTIFS(nNIA,DATOS!$A9293,nCURSO,DATOS!$D9293,nESPEC,DATOS!$E9293,nASIG,DATOS!$I9293,nEVAL,"EX")=0),0))))</f>
      </c>
      <c r="H9293">
        <f>IF(DATOS!$G9293&lt;&gt;"EX",0,--(COUNTIFS(nNIA,DATOS!$A9293,nCURSO,DATOS!$D9293,nESPEC,DATOS!$E9293,nASIG,DATOS!$I9293,nEVAL,"OR")=0))</f>
      </c>
      <c r="I9293">
        <f>IF(DATOS!$I9293="","",IFERROR(VLOOKUP(DATOS!$I9293,CONFIG_ASIGNATURAS!$B$2:$J$91,9,FALSE()),""))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IF(DATOS!$A9294="",0,IF(CONFIG_METADATA!$B$4&lt;&gt;"OR+EX",--(DATOS!$G9294=CONFIG_METADATA!$B$4),IF(DATOS!$G9294="EX",1,IF(DATOS!$G9294="OR",--(COUNTIFS(nNIA,DATOS!$A9294,nCURSO,DATOS!$D9294,nESPEC,DATOS!$E9294,nASIG,DATOS!$I9294,nEVAL,"EX")=0),0))))</f>
      </c>
      <c r="H9294">
        <f>IF(DATOS!$G9294&lt;&gt;"EX",0,--(COUNTIFS(nNIA,DATOS!$A9294,nCURSO,DATOS!$D9294,nESPEC,DATOS!$E9294,nASIG,DATOS!$I9294,nEVAL,"OR")=0))</f>
      </c>
      <c r="I9294">
        <f>IF(DATOS!$I9294="","",IFERROR(VLOOKUP(DATOS!$I9294,CONFIG_ASIGNATURAS!$B$2:$J$91,9,FALSE()),""))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IF(DATOS!$A9295="",0,IF(CONFIG_METADATA!$B$4&lt;&gt;"OR+EX",--(DATOS!$G9295=CONFIG_METADATA!$B$4),IF(DATOS!$G9295="EX",1,IF(DATOS!$G9295="OR",--(COUNTIFS(nNIA,DATOS!$A9295,nCURSO,DATOS!$D9295,nESPEC,DATOS!$E9295,nASIG,DATOS!$I9295,nEVAL,"EX")=0),0))))</f>
      </c>
      <c r="H9295">
        <f>IF(DATOS!$G9295&lt;&gt;"EX",0,--(COUNTIFS(nNIA,DATOS!$A9295,nCURSO,DATOS!$D9295,nESPEC,DATOS!$E9295,nASIG,DATOS!$I9295,nEVAL,"OR")=0))</f>
      </c>
      <c r="I9295">
        <f>IF(DATOS!$I9295="","",IFERROR(VLOOKUP(DATOS!$I9295,CONFIG_ASIGNATURAS!$B$2:$J$91,9,FALSE()),""))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IF(DATOS!$A9296="",0,IF(CONFIG_METADATA!$B$4&lt;&gt;"OR+EX",--(DATOS!$G9296=CONFIG_METADATA!$B$4),IF(DATOS!$G9296="EX",1,IF(DATOS!$G9296="OR",--(COUNTIFS(nNIA,DATOS!$A9296,nCURSO,DATOS!$D9296,nESPEC,DATOS!$E9296,nASIG,DATOS!$I9296,nEVAL,"EX")=0),0))))</f>
      </c>
      <c r="H9296">
        <f>IF(DATOS!$G9296&lt;&gt;"EX",0,--(COUNTIFS(nNIA,DATOS!$A9296,nCURSO,DATOS!$D9296,nESPEC,DATOS!$E9296,nASIG,DATOS!$I9296,nEVAL,"OR")=0))</f>
      </c>
      <c r="I9296">
        <f>IF(DATOS!$I9296="","",IFERROR(VLOOKUP(DATOS!$I9296,CONFIG_ASIGNATURAS!$B$2:$J$91,9,FALSE()),""))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IF(DATOS!$A9297="",0,IF(CONFIG_METADATA!$B$4&lt;&gt;"OR+EX",--(DATOS!$G9297=CONFIG_METADATA!$B$4),IF(DATOS!$G9297="EX",1,IF(DATOS!$G9297="OR",--(COUNTIFS(nNIA,DATOS!$A9297,nCURSO,DATOS!$D9297,nESPEC,DATOS!$E9297,nASIG,DATOS!$I9297,nEVAL,"EX")=0),0))))</f>
      </c>
      <c r="H9297">
        <f>IF(DATOS!$G9297&lt;&gt;"EX",0,--(COUNTIFS(nNIA,DATOS!$A9297,nCURSO,DATOS!$D9297,nESPEC,DATOS!$E9297,nASIG,DATOS!$I9297,nEVAL,"OR")=0))</f>
      </c>
      <c r="I9297">
        <f>IF(DATOS!$I9297="","",IFERROR(VLOOKUP(DATOS!$I9297,CONFIG_ASIGNATURAS!$B$2:$J$91,9,FALSE()),""))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IF(DATOS!$A9298="",0,IF(CONFIG_METADATA!$B$4&lt;&gt;"OR+EX",--(DATOS!$G9298=CONFIG_METADATA!$B$4),IF(DATOS!$G9298="EX",1,IF(DATOS!$G9298="OR",--(COUNTIFS(nNIA,DATOS!$A9298,nCURSO,DATOS!$D9298,nESPEC,DATOS!$E9298,nASIG,DATOS!$I9298,nEVAL,"EX")=0),0))))</f>
      </c>
      <c r="H9298">
        <f>IF(DATOS!$G9298&lt;&gt;"EX",0,--(COUNTIFS(nNIA,DATOS!$A9298,nCURSO,DATOS!$D9298,nESPEC,DATOS!$E9298,nASIG,DATOS!$I9298,nEVAL,"OR")=0))</f>
      </c>
      <c r="I9298">
        <f>IF(DATOS!$I9298="","",IFERROR(VLOOKUP(DATOS!$I9298,CONFIG_ASIGNATURAS!$B$2:$J$91,9,FALSE()),""))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IF(DATOS!$A9299="",0,IF(CONFIG_METADATA!$B$4&lt;&gt;"OR+EX",--(DATOS!$G9299=CONFIG_METADATA!$B$4),IF(DATOS!$G9299="EX",1,IF(DATOS!$G9299="OR",--(COUNTIFS(nNIA,DATOS!$A9299,nCURSO,DATOS!$D9299,nESPEC,DATOS!$E9299,nASIG,DATOS!$I9299,nEVAL,"EX")=0),0))))</f>
      </c>
      <c r="H9299">
        <f>IF(DATOS!$G9299&lt;&gt;"EX",0,--(COUNTIFS(nNIA,DATOS!$A9299,nCURSO,DATOS!$D9299,nESPEC,DATOS!$E9299,nASIG,DATOS!$I9299,nEVAL,"OR")=0))</f>
      </c>
      <c r="I9299">
        <f>IF(DATOS!$I9299="","",IFERROR(VLOOKUP(DATOS!$I9299,CONFIG_ASIGNATURAS!$B$2:$J$91,9,FALSE()),""))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IF(DATOS!$A9300="",0,IF(CONFIG_METADATA!$B$4&lt;&gt;"OR+EX",--(DATOS!$G9300=CONFIG_METADATA!$B$4),IF(DATOS!$G9300="EX",1,IF(DATOS!$G9300="OR",--(COUNTIFS(nNIA,DATOS!$A9300,nCURSO,DATOS!$D9300,nESPEC,DATOS!$E9300,nASIG,DATOS!$I9300,nEVAL,"EX")=0),0))))</f>
      </c>
      <c r="H9300">
        <f>IF(DATOS!$G9300&lt;&gt;"EX",0,--(COUNTIFS(nNIA,DATOS!$A9300,nCURSO,DATOS!$D9300,nESPEC,DATOS!$E9300,nASIG,DATOS!$I9300,nEVAL,"OR")=0))</f>
      </c>
      <c r="I9300">
        <f>IF(DATOS!$I9300="","",IFERROR(VLOOKUP(DATOS!$I9300,CONFIG_ASIGNATURAS!$B$2:$J$91,9,FALSE()),""))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IF(DATOS!$A9301="",0,IF(CONFIG_METADATA!$B$4&lt;&gt;"OR+EX",--(DATOS!$G9301=CONFIG_METADATA!$B$4),IF(DATOS!$G9301="EX",1,IF(DATOS!$G9301="OR",--(COUNTIFS(nNIA,DATOS!$A9301,nCURSO,DATOS!$D9301,nESPEC,DATOS!$E9301,nASIG,DATOS!$I9301,nEVAL,"EX")=0),0))))</f>
      </c>
      <c r="H9301">
        <f>IF(DATOS!$G9301&lt;&gt;"EX",0,--(COUNTIFS(nNIA,DATOS!$A9301,nCURSO,DATOS!$D9301,nESPEC,DATOS!$E9301,nASIG,DATOS!$I9301,nEVAL,"OR")=0))</f>
      </c>
      <c r="I9301">
        <f>IF(DATOS!$I9301="","",IFERROR(VLOOKUP(DATOS!$I9301,CONFIG_ASIGNATURAS!$B$2:$J$91,9,FALSE()),""))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IF(DATOS!$A9302="",0,IF(CONFIG_METADATA!$B$4&lt;&gt;"OR+EX",--(DATOS!$G9302=CONFIG_METADATA!$B$4),IF(DATOS!$G9302="EX",1,IF(DATOS!$G9302="OR",--(COUNTIFS(nNIA,DATOS!$A9302,nCURSO,DATOS!$D9302,nESPEC,DATOS!$E9302,nASIG,DATOS!$I9302,nEVAL,"EX")=0),0))))</f>
      </c>
      <c r="H9302">
        <f>IF(DATOS!$G9302&lt;&gt;"EX",0,--(COUNTIFS(nNIA,DATOS!$A9302,nCURSO,DATOS!$D9302,nESPEC,DATOS!$E9302,nASIG,DATOS!$I9302,nEVAL,"OR")=0))</f>
      </c>
      <c r="I9302">
        <f>IF(DATOS!$I9302="","",IFERROR(VLOOKUP(DATOS!$I9302,CONFIG_ASIGNATURAS!$B$2:$J$91,9,FALSE()),""))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IF(DATOS!$A9303="",0,IF(CONFIG_METADATA!$B$4&lt;&gt;"OR+EX",--(DATOS!$G9303=CONFIG_METADATA!$B$4),IF(DATOS!$G9303="EX",1,IF(DATOS!$G9303="OR",--(COUNTIFS(nNIA,DATOS!$A9303,nCURSO,DATOS!$D9303,nESPEC,DATOS!$E9303,nASIG,DATOS!$I9303,nEVAL,"EX")=0),0))))</f>
      </c>
      <c r="H9303">
        <f>IF(DATOS!$G9303&lt;&gt;"EX",0,--(COUNTIFS(nNIA,DATOS!$A9303,nCURSO,DATOS!$D9303,nESPEC,DATOS!$E9303,nASIG,DATOS!$I9303,nEVAL,"OR")=0))</f>
      </c>
      <c r="I9303">
        <f>IF(DATOS!$I9303="","",IFERROR(VLOOKUP(DATOS!$I9303,CONFIG_ASIGNATURAS!$B$2:$J$91,9,FALSE()),""))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IF(DATOS!$A9304="",0,IF(CONFIG_METADATA!$B$4&lt;&gt;"OR+EX",--(DATOS!$G9304=CONFIG_METADATA!$B$4),IF(DATOS!$G9304="EX",1,IF(DATOS!$G9304="OR",--(COUNTIFS(nNIA,DATOS!$A9304,nCURSO,DATOS!$D9304,nESPEC,DATOS!$E9304,nASIG,DATOS!$I9304,nEVAL,"EX")=0),0))))</f>
      </c>
      <c r="H9304">
        <f>IF(DATOS!$G9304&lt;&gt;"EX",0,--(COUNTIFS(nNIA,DATOS!$A9304,nCURSO,DATOS!$D9304,nESPEC,DATOS!$E9304,nASIG,DATOS!$I9304,nEVAL,"OR")=0))</f>
      </c>
      <c r="I9304">
        <f>IF(DATOS!$I9304="","",IFERROR(VLOOKUP(DATOS!$I9304,CONFIG_ASIGNATURAS!$B$2:$J$91,9,FALSE()),""))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IF(DATOS!$A9305="",0,IF(CONFIG_METADATA!$B$4&lt;&gt;"OR+EX",--(DATOS!$G9305=CONFIG_METADATA!$B$4),IF(DATOS!$G9305="EX",1,IF(DATOS!$G9305="OR",--(COUNTIFS(nNIA,DATOS!$A9305,nCURSO,DATOS!$D9305,nESPEC,DATOS!$E9305,nASIG,DATOS!$I9305,nEVAL,"EX")=0),0))))</f>
      </c>
      <c r="H9305">
        <f>IF(DATOS!$G9305&lt;&gt;"EX",0,--(COUNTIFS(nNIA,DATOS!$A9305,nCURSO,DATOS!$D9305,nESPEC,DATOS!$E9305,nASIG,DATOS!$I9305,nEVAL,"OR")=0))</f>
      </c>
      <c r="I9305">
        <f>IF(DATOS!$I9305="","",IFERROR(VLOOKUP(DATOS!$I9305,CONFIG_ASIGNATURAS!$B$2:$J$91,9,FALSE()),""))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IF(DATOS!$A9306="",0,IF(CONFIG_METADATA!$B$4&lt;&gt;"OR+EX",--(DATOS!$G9306=CONFIG_METADATA!$B$4),IF(DATOS!$G9306="EX",1,IF(DATOS!$G9306="OR",--(COUNTIFS(nNIA,DATOS!$A9306,nCURSO,DATOS!$D9306,nESPEC,DATOS!$E9306,nASIG,DATOS!$I9306,nEVAL,"EX")=0),0))))</f>
      </c>
      <c r="H9306">
        <f>IF(DATOS!$G9306&lt;&gt;"EX",0,--(COUNTIFS(nNIA,DATOS!$A9306,nCURSO,DATOS!$D9306,nESPEC,DATOS!$E9306,nASIG,DATOS!$I9306,nEVAL,"OR")=0))</f>
      </c>
      <c r="I9306">
        <f>IF(DATOS!$I9306="","",IFERROR(VLOOKUP(DATOS!$I9306,CONFIG_ASIGNATURAS!$B$2:$J$91,9,FALSE()),""))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IF(DATOS!$A9307="",0,IF(CONFIG_METADATA!$B$4&lt;&gt;"OR+EX",--(DATOS!$G9307=CONFIG_METADATA!$B$4),IF(DATOS!$G9307="EX",1,IF(DATOS!$G9307="OR",--(COUNTIFS(nNIA,DATOS!$A9307,nCURSO,DATOS!$D9307,nESPEC,DATOS!$E9307,nASIG,DATOS!$I9307,nEVAL,"EX")=0),0))))</f>
      </c>
      <c r="H9307">
        <f>IF(DATOS!$G9307&lt;&gt;"EX",0,--(COUNTIFS(nNIA,DATOS!$A9307,nCURSO,DATOS!$D9307,nESPEC,DATOS!$E9307,nASIG,DATOS!$I9307,nEVAL,"OR")=0))</f>
      </c>
      <c r="I9307">
        <f>IF(DATOS!$I9307="","",IFERROR(VLOOKUP(DATOS!$I9307,CONFIG_ASIGNATURAS!$B$2:$J$91,9,FALSE()),""))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IF(DATOS!$A9308="",0,IF(CONFIG_METADATA!$B$4&lt;&gt;"OR+EX",--(DATOS!$G9308=CONFIG_METADATA!$B$4),IF(DATOS!$G9308="EX",1,IF(DATOS!$G9308="OR",--(COUNTIFS(nNIA,DATOS!$A9308,nCURSO,DATOS!$D9308,nESPEC,DATOS!$E9308,nASIG,DATOS!$I9308,nEVAL,"EX")=0),0))))</f>
      </c>
      <c r="H9308">
        <f>IF(DATOS!$G9308&lt;&gt;"EX",0,--(COUNTIFS(nNIA,DATOS!$A9308,nCURSO,DATOS!$D9308,nESPEC,DATOS!$E9308,nASIG,DATOS!$I9308,nEVAL,"OR")=0))</f>
      </c>
      <c r="I9308">
        <f>IF(DATOS!$I9308="","",IFERROR(VLOOKUP(DATOS!$I9308,CONFIG_ASIGNATURAS!$B$2:$J$91,9,FALSE()),""))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IF(DATOS!$A9309="",0,IF(CONFIG_METADATA!$B$4&lt;&gt;"OR+EX",--(DATOS!$G9309=CONFIG_METADATA!$B$4),IF(DATOS!$G9309="EX",1,IF(DATOS!$G9309="OR",--(COUNTIFS(nNIA,DATOS!$A9309,nCURSO,DATOS!$D9309,nESPEC,DATOS!$E9309,nASIG,DATOS!$I9309,nEVAL,"EX")=0),0))))</f>
      </c>
      <c r="H9309">
        <f>IF(DATOS!$G9309&lt;&gt;"EX",0,--(COUNTIFS(nNIA,DATOS!$A9309,nCURSO,DATOS!$D9309,nESPEC,DATOS!$E9309,nASIG,DATOS!$I9309,nEVAL,"OR")=0))</f>
      </c>
      <c r="I9309">
        <f>IF(DATOS!$I9309="","",IFERROR(VLOOKUP(DATOS!$I9309,CONFIG_ASIGNATURAS!$B$2:$J$91,9,FALSE()),""))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IF(DATOS!$A9310="",0,IF(CONFIG_METADATA!$B$4&lt;&gt;"OR+EX",--(DATOS!$G9310=CONFIG_METADATA!$B$4),IF(DATOS!$G9310="EX",1,IF(DATOS!$G9310="OR",--(COUNTIFS(nNIA,DATOS!$A9310,nCURSO,DATOS!$D9310,nESPEC,DATOS!$E9310,nASIG,DATOS!$I9310,nEVAL,"EX")=0),0))))</f>
      </c>
      <c r="H9310">
        <f>IF(DATOS!$G9310&lt;&gt;"EX",0,--(COUNTIFS(nNIA,DATOS!$A9310,nCURSO,DATOS!$D9310,nESPEC,DATOS!$E9310,nASIG,DATOS!$I9310,nEVAL,"OR")=0))</f>
      </c>
      <c r="I9310">
        <f>IF(DATOS!$I9310="","",IFERROR(VLOOKUP(DATOS!$I9310,CONFIG_ASIGNATURAS!$B$2:$J$91,9,FALSE()),""))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IF(DATOS!$A9311="",0,IF(CONFIG_METADATA!$B$4&lt;&gt;"OR+EX",--(DATOS!$G9311=CONFIG_METADATA!$B$4),IF(DATOS!$G9311="EX",1,IF(DATOS!$G9311="OR",--(COUNTIFS(nNIA,DATOS!$A9311,nCURSO,DATOS!$D9311,nESPEC,DATOS!$E9311,nASIG,DATOS!$I9311,nEVAL,"EX")=0),0))))</f>
      </c>
      <c r="H9311">
        <f>IF(DATOS!$G9311&lt;&gt;"EX",0,--(COUNTIFS(nNIA,DATOS!$A9311,nCURSO,DATOS!$D9311,nESPEC,DATOS!$E9311,nASIG,DATOS!$I9311,nEVAL,"OR")=0))</f>
      </c>
      <c r="I9311">
        <f>IF(DATOS!$I9311="","",IFERROR(VLOOKUP(DATOS!$I9311,CONFIG_ASIGNATURAS!$B$2:$J$91,9,FALSE()),""))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IF(DATOS!$A9312="",0,IF(CONFIG_METADATA!$B$4&lt;&gt;"OR+EX",--(DATOS!$G9312=CONFIG_METADATA!$B$4),IF(DATOS!$G9312="EX",1,IF(DATOS!$G9312="OR",--(COUNTIFS(nNIA,DATOS!$A9312,nCURSO,DATOS!$D9312,nESPEC,DATOS!$E9312,nASIG,DATOS!$I9312,nEVAL,"EX")=0),0))))</f>
      </c>
      <c r="H9312">
        <f>IF(DATOS!$G9312&lt;&gt;"EX",0,--(COUNTIFS(nNIA,DATOS!$A9312,nCURSO,DATOS!$D9312,nESPEC,DATOS!$E9312,nASIG,DATOS!$I9312,nEVAL,"OR")=0))</f>
      </c>
      <c r="I9312">
        <f>IF(DATOS!$I9312="","",IFERROR(VLOOKUP(DATOS!$I9312,CONFIG_ASIGNATURAS!$B$2:$J$91,9,FALSE()),""))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IF(DATOS!$A9313="",0,IF(CONFIG_METADATA!$B$4&lt;&gt;"OR+EX",--(DATOS!$G9313=CONFIG_METADATA!$B$4),IF(DATOS!$G9313="EX",1,IF(DATOS!$G9313="OR",--(COUNTIFS(nNIA,DATOS!$A9313,nCURSO,DATOS!$D9313,nESPEC,DATOS!$E9313,nASIG,DATOS!$I9313,nEVAL,"EX")=0),0))))</f>
      </c>
      <c r="H9313">
        <f>IF(DATOS!$G9313&lt;&gt;"EX",0,--(COUNTIFS(nNIA,DATOS!$A9313,nCURSO,DATOS!$D9313,nESPEC,DATOS!$E9313,nASIG,DATOS!$I9313,nEVAL,"OR")=0))</f>
      </c>
      <c r="I9313">
        <f>IF(DATOS!$I9313="","",IFERROR(VLOOKUP(DATOS!$I9313,CONFIG_ASIGNATURAS!$B$2:$J$91,9,FALSE()),""))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IF(DATOS!$A9314="",0,IF(CONFIG_METADATA!$B$4&lt;&gt;"OR+EX",--(DATOS!$G9314=CONFIG_METADATA!$B$4),IF(DATOS!$G9314="EX",1,IF(DATOS!$G9314="OR",--(COUNTIFS(nNIA,DATOS!$A9314,nCURSO,DATOS!$D9314,nESPEC,DATOS!$E9314,nASIG,DATOS!$I9314,nEVAL,"EX")=0),0))))</f>
      </c>
      <c r="H9314">
        <f>IF(DATOS!$G9314&lt;&gt;"EX",0,--(COUNTIFS(nNIA,DATOS!$A9314,nCURSO,DATOS!$D9314,nESPEC,DATOS!$E9314,nASIG,DATOS!$I9314,nEVAL,"OR")=0))</f>
      </c>
      <c r="I9314">
        <f>IF(DATOS!$I9314="","",IFERROR(VLOOKUP(DATOS!$I9314,CONFIG_ASIGNATURAS!$B$2:$J$91,9,FALSE()),""))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IF(DATOS!$A9315="",0,IF(CONFIG_METADATA!$B$4&lt;&gt;"OR+EX",--(DATOS!$G9315=CONFIG_METADATA!$B$4),IF(DATOS!$G9315="EX",1,IF(DATOS!$G9315="OR",--(COUNTIFS(nNIA,DATOS!$A9315,nCURSO,DATOS!$D9315,nESPEC,DATOS!$E9315,nASIG,DATOS!$I9315,nEVAL,"EX")=0),0))))</f>
      </c>
      <c r="H9315">
        <f>IF(DATOS!$G9315&lt;&gt;"EX",0,--(COUNTIFS(nNIA,DATOS!$A9315,nCURSO,DATOS!$D9315,nESPEC,DATOS!$E9315,nASIG,DATOS!$I9315,nEVAL,"OR")=0))</f>
      </c>
      <c r="I9315">
        <f>IF(DATOS!$I9315="","",IFERROR(VLOOKUP(DATOS!$I9315,CONFIG_ASIGNATURAS!$B$2:$J$91,9,FALSE()),""))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IF(DATOS!$A9316="",0,IF(CONFIG_METADATA!$B$4&lt;&gt;"OR+EX",--(DATOS!$G9316=CONFIG_METADATA!$B$4),IF(DATOS!$G9316="EX",1,IF(DATOS!$G9316="OR",--(COUNTIFS(nNIA,DATOS!$A9316,nCURSO,DATOS!$D9316,nESPEC,DATOS!$E9316,nASIG,DATOS!$I9316,nEVAL,"EX")=0),0))))</f>
      </c>
      <c r="H9316">
        <f>IF(DATOS!$G9316&lt;&gt;"EX",0,--(COUNTIFS(nNIA,DATOS!$A9316,nCURSO,DATOS!$D9316,nESPEC,DATOS!$E9316,nASIG,DATOS!$I9316,nEVAL,"OR")=0))</f>
      </c>
      <c r="I9316">
        <f>IF(DATOS!$I9316="","",IFERROR(VLOOKUP(DATOS!$I9316,CONFIG_ASIGNATURAS!$B$2:$J$91,9,FALSE()),""))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IF(DATOS!$A9317="",0,IF(CONFIG_METADATA!$B$4&lt;&gt;"OR+EX",--(DATOS!$G9317=CONFIG_METADATA!$B$4),IF(DATOS!$G9317="EX",1,IF(DATOS!$G9317="OR",--(COUNTIFS(nNIA,DATOS!$A9317,nCURSO,DATOS!$D9317,nESPEC,DATOS!$E9317,nASIG,DATOS!$I9317,nEVAL,"EX")=0),0))))</f>
      </c>
      <c r="H9317">
        <f>IF(DATOS!$G9317&lt;&gt;"EX",0,--(COUNTIFS(nNIA,DATOS!$A9317,nCURSO,DATOS!$D9317,nESPEC,DATOS!$E9317,nASIG,DATOS!$I9317,nEVAL,"OR")=0))</f>
      </c>
      <c r="I9317">
        <f>IF(DATOS!$I9317="","",IFERROR(VLOOKUP(DATOS!$I9317,CONFIG_ASIGNATURAS!$B$2:$J$91,9,FALSE()),""))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IF(DATOS!$A9318="",0,IF(CONFIG_METADATA!$B$4&lt;&gt;"OR+EX",--(DATOS!$G9318=CONFIG_METADATA!$B$4),IF(DATOS!$G9318="EX",1,IF(DATOS!$G9318="OR",--(COUNTIFS(nNIA,DATOS!$A9318,nCURSO,DATOS!$D9318,nESPEC,DATOS!$E9318,nASIG,DATOS!$I9318,nEVAL,"EX")=0),0))))</f>
      </c>
      <c r="H9318">
        <f>IF(DATOS!$G9318&lt;&gt;"EX",0,--(COUNTIFS(nNIA,DATOS!$A9318,nCURSO,DATOS!$D9318,nESPEC,DATOS!$E9318,nASIG,DATOS!$I9318,nEVAL,"OR")=0))</f>
      </c>
      <c r="I9318">
        <f>IF(DATOS!$I9318="","",IFERROR(VLOOKUP(DATOS!$I9318,CONFIG_ASIGNATURAS!$B$2:$J$91,9,FALSE()),""))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IF(DATOS!$A9319="",0,IF(CONFIG_METADATA!$B$4&lt;&gt;"OR+EX",--(DATOS!$G9319=CONFIG_METADATA!$B$4),IF(DATOS!$G9319="EX",1,IF(DATOS!$G9319="OR",--(COUNTIFS(nNIA,DATOS!$A9319,nCURSO,DATOS!$D9319,nESPEC,DATOS!$E9319,nASIG,DATOS!$I9319,nEVAL,"EX")=0),0))))</f>
      </c>
      <c r="H9319">
        <f>IF(DATOS!$G9319&lt;&gt;"EX",0,--(COUNTIFS(nNIA,DATOS!$A9319,nCURSO,DATOS!$D9319,nESPEC,DATOS!$E9319,nASIG,DATOS!$I9319,nEVAL,"OR")=0))</f>
      </c>
      <c r="I9319">
        <f>IF(DATOS!$I9319="","",IFERROR(VLOOKUP(DATOS!$I9319,CONFIG_ASIGNATURAS!$B$2:$J$91,9,FALSE()),""))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IF(DATOS!$A9320="",0,IF(CONFIG_METADATA!$B$4&lt;&gt;"OR+EX",--(DATOS!$G9320=CONFIG_METADATA!$B$4),IF(DATOS!$G9320="EX",1,IF(DATOS!$G9320="OR",--(COUNTIFS(nNIA,DATOS!$A9320,nCURSO,DATOS!$D9320,nESPEC,DATOS!$E9320,nASIG,DATOS!$I9320,nEVAL,"EX")=0),0))))</f>
      </c>
      <c r="H9320">
        <f>IF(DATOS!$G9320&lt;&gt;"EX",0,--(COUNTIFS(nNIA,DATOS!$A9320,nCURSO,DATOS!$D9320,nESPEC,DATOS!$E9320,nASIG,DATOS!$I9320,nEVAL,"OR")=0))</f>
      </c>
      <c r="I9320">
        <f>IF(DATOS!$I9320="","",IFERROR(VLOOKUP(DATOS!$I9320,CONFIG_ASIGNATURAS!$B$2:$J$91,9,FALSE()),""))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IF(DATOS!$A9321="",0,IF(CONFIG_METADATA!$B$4&lt;&gt;"OR+EX",--(DATOS!$G9321=CONFIG_METADATA!$B$4),IF(DATOS!$G9321="EX",1,IF(DATOS!$G9321="OR",--(COUNTIFS(nNIA,DATOS!$A9321,nCURSO,DATOS!$D9321,nESPEC,DATOS!$E9321,nASIG,DATOS!$I9321,nEVAL,"EX")=0),0))))</f>
      </c>
      <c r="H9321">
        <f>IF(DATOS!$G9321&lt;&gt;"EX",0,--(COUNTIFS(nNIA,DATOS!$A9321,nCURSO,DATOS!$D9321,nESPEC,DATOS!$E9321,nASIG,DATOS!$I9321,nEVAL,"OR")=0))</f>
      </c>
      <c r="I9321">
        <f>IF(DATOS!$I9321="","",IFERROR(VLOOKUP(DATOS!$I9321,CONFIG_ASIGNATURAS!$B$2:$J$91,9,FALSE()),""))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IF(DATOS!$A9322="",0,IF(CONFIG_METADATA!$B$4&lt;&gt;"OR+EX",--(DATOS!$G9322=CONFIG_METADATA!$B$4),IF(DATOS!$G9322="EX",1,IF(DATOS!$G9322="OR",--(COUNTIFS(nNIA,DATOS!$A9322,nCURSO,DATOS!$D9322,nESPEC,DATOS!$E9322,nASIG,DATOS!$I9322,nEVAL,"EX")=0),0))))</f>
      </c>
      <c r="H9322">
        <f>IF(DATOS!$G9322&lt;&gt;"EX",0,--(COUNTIFS(nNIA,DATOS!$A9322,nCURSO,DATOS!$D9322,nESPEC,DATOS!$E9322,nASIG,DATOS!$I9322,nEVAL,"OR")=0))</f>
      </c>
      <c r="I9322">
        <f>IF(DATOS!$I9322="","",IFERROR(VLOOKUP(DATOS!$I9322,CONFIG_ASIGNATURAS!$B$2:$J$91,9,FALSE()),""))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IF(DATOS!$A9323="",0,IF(CONFIG_METADATA!$B$4&lt;&gt;"OR+EX",--(DATOS!$G9323=CONFIG_METADATA!$B$4),IF(DATOS!$G9323="EX",1,IF(DATOS!$G9323="OR",--(COUNTIFS(nNIA,DATOS!$A9323,nCURSO,DATOS!$D9323,nESPEC,DATOS!$E9323,nASIG,DATOS!$I9323,nEVAL,"EX")=0),0))))</f>
      </c>
      <c r="H9323">
        <f>IF(DATOS!$G9323&lt;&gt;"EX",0,--(COUNTIFS(nNIA,DATOS!$A9323,nCURSO,DATOS!$D9323,nESPEC,DATOS!$E9323,nASIG,DATOS!$I9323,nEVAL,"OR")=0))</f>
      </c>
      <c r="I9323">
        <f>IF(DATOS!$I9323="","",IFERROR(VLOOKUP(DATOS!$I9323,CONFIG_ASIGNATURAS!$B$2:$J$91,9,FALSE()),""))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IF(DATOS!$A9324="",0,IF(CONFIG_METADATA!$B$4&lt;&gt;"OR+EX",--(DATOS!$G9324=CONFIG_METADATA!$B$4),IF(DATOS!$G9324="EX",1,IF(DATOS!$G9324="OR",--(COUNTIFS(nNIA,DATOS!$A9324,nCURSO,DATOS!$D9324,nESPEC,DATOS!$E9324,nASIG,DATOS!$I9324,nEVAL,"EX")=0),0))))</f>
      </c>
      <c r="H9324">
        <f>IF(DATOS!$G9324&lt;&gt;"EX",0,--(COUNTIFS(nNIA,DATOS!$A9324,nCURSO,DATOS!$D9324,nESPEC,DATOS!$E9324,nASIG,DATOS!$I9324,nEVAL,"OR")=0))</f>
      </c>
      <c r="I9324">
        <f>IF(DATOS!$I9324="","",IFERROR(VLOOKUP(DATOS!$I9324,CONFIG_ASIGNATURAS!$B$2:$J$91,9,FALSE()),""))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IF(DATOS!$A9325="",0,IF(CONFIG_METADATA!$B$4&lt;&gt;"OR+EX",--(DATOS!$G9325=CONFIG_METADATA!$B$4),IF(DATOS!$G9325="EX",1,IF(DATOS!$G9325="OR",--(COUNTIFS(nNIA,DATOS!$A9325,nCURSO,DATOS!$D9325,nESPEC,DATOS!$E9325,nASIG,DATOS!$I9325,nEVAL,"EX")=0),0))))</f>
      </c>
      <c r="H9325">
        <f>IF(DATOS!$G9325&lt;&gt;"EX",0,--(COUNTIFS(nNIA,DATOS!$A9325,nCURSO,DATOS!$D9325,nESPEC,DATOS!$E9325,nASIG,DATOS!$I9325,nEVAL,"OR")=0))</f>
      </c>
      <c r="I9325">
        <f>IF(DATOS!$I9325="","",IFERROR(VLOOKUP(DATOS!$I9325,CONFIG_ASIGNATURAS!$B$2:$J$91,9,FALSE()),""))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IF(DATOS!$A9326="",0,IF(CONFIG_METADATA!$B$4&lt;&gt;"OR+EX",--(DATOS!$G9326=CONFIG_METADATA!$B$4),IF(DATOS!$G9326="EX",1,IF(DATOS!$G9326="OR",--(COUNTIFS(nNIA,DATOS!$A9326,nCURSO,DATOS!$D9326,nESPEC,DATOS!$E9326,nASIG,DATOS!$I9326,nEVAL,"EX")=0),0))))</f>
      </c>
      <c r="H9326">
        <f>IF(DATOS!$G9326&lt;&gt;"EX",0,--(COUNTIFS(nNIA,DATOS!$A9326,nCURSO,DATOS!$D9326,nESPEC,DATOS!$E9326,nASIG,DATOS!$I9326,nEVAL,"OR")=0))</f>
      </c>
      <c r="I9326">
        <f>IF(DATOS!$I9326="","",IFERROR(VLOOKUP(DATOS!$I9326,CONFIG_ASIGNATURAS!$B$2:$J$91,9,FALSE()),""))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IF(DATOS!$A9327="",0,IF(CONFIG_METADATA!$B$4&lt;&gt;"OR+EX",--(DATOS!$G9327=CONFIG_METADATA!$B$4),IF(DATOS!$G9327="EX",1,IF(DATOS!$G9327="OR",--(COUNTIFS(nNIA,DATOS!$A9327,nCURSO,DATOS!$D9327,nESPEC,DATOS!$E9327,nASIG,DATOS!$I9327,nEVAL,"EX")=0),0))))</f>
      </c>
      <c r="H9327">
        <f>IF(DATOS!$G9327&lt;&gt;"EX",0,--(COUNTIFS(nNIA,DATOS!$A9327,nCURSO,DATOS!$D9327,nESPEC,DATOS!$E9327,nASIG,DATOS!$I9327,nEVAL,"OR")=0))</f>
      </c>
      <c r="I9327">
        <f>IF(DATOS!$I9327="","",IFERROR(VLOOKUP(DATOS!$I9327,CONFIG_ASIGNATURAS!$B$2:$J$91,9,FALSE()),""))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IF(DATOS!$A9328="",0,IF(CONFIG_METADATA!$B$4&lt;&gt;"OR+EX",--(DATOS!$G9328=CONFIG_METADATA!$B$4),IF(DATOS!$G9328="EX",1,IF(DATOS!$G9328="OR",--(COUNTIFS(nNIA,DATOS!$A9328,nCURSO,DATOS!$D9328,nESPEC,DATOS!$E9328,nASIG,DATOS!$I9328,nEVAL,"EX")=0),0))))</f>
      </c>
      <c r="H9328">
        <f>IF(DATOS!$G9328&lt;&gt;"EX",0,--(COUNTIFS(nNIA,DATOS!$A9328,nCURSO,DATOS!$D9328,nESPEC,DATOS!$E9328,nASIG,DATOS!$I9328,nEVAL,"OR")=0))</f>
      </c>
      <c r="I9328">
        <f>IF(DATOS!$I9328="","",IFERROR(VLOOKUP(DATOS!$I9328,CONFIG_ASIGNATURAS!$B$2:$J$91,9,FALSE()),""))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IF(DATOS!$A9329="",0,IF(CONFIG_METADATA!$B$4&lt;&gt;"OR+EX",--(DATOS!$G9329=CONFIG_METADATA!$B$4),IF(DATOS!$G9329="EX",1,IF(DATOS!$G9329="OR",--(COUNTIFS(nNIA,DATOS!$A9329,nCURSO,DATOS!$D9329,nESPEC,DATOS!$E9329,nASIG,DATOS!$I9329,nEVAL,"EX")=0),0))))</f>
      </c>
      <c r="H9329">
        <f>IF(DATOS!$G9329&lt;&gt;"EX",0,--(COUNTIFS(nNIA,DATOS!$A9329,nCURSO,DATOS!$D9329,nESPEC,DATOS!$E9329,nASIG,DATOS!$I9329,nEVAL,"OR")=0))</f>
      </c>
      <c r="I9329">
        <f>IF(DATOS!$I9329="","",IFERROR(VLOOKUP(DATOS!$I9329,CONFIG_ASIGNATURAS!$B$2:$J$91,9,FALSE()),""))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IF(DATOS!$A9330="",0,IF(CONFIG_METADATA!$B$4&lt;&gt;"OR+EX",--(DATOS!$G9330=CONFIG_METADATA!$B$4),IF(DATOS!$G9330="EX",1,IF(DATOS!$G9330="OR",--(COUNTIFS(nNIA,DATOS!$A9330,nCURSO,DATOS!$D9330,nESPEC,DATOS!$E9330,nASIG,DATOS!$I9330,nEVAL,"EX")=0),0))))</f>
      </c>
      <c r="H9330">
        <f>IF(DATOS!$G9330&lt;&gt;"EX",0,--(COUNTIFS(nNIA,DATOS!$A9330,nCURSO,DATOS!$D9330,nESPEC,DATOS!$E9330,nASIG,DATOS!$I9330,nEVAL,"OR")=0))</f>
      </c>
      <c r="I9330">
        <f>IF(DATOS!$I9330="","",IFERROR(VLOOKUP(DATOS!$I9330,CONFIG_ASIGNATURAS!$B$2:$J$91,9,FALSE()),""))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IF(DATOS!$A9331="",0,IF(CONFIG_METADATA!$B$4&lt;&gt;"OR+EX",--(DATOS!$G9331=CONFIG_METADATA!$B$4),IF(DATOS!$G9331="EX",1,IF(DATOS!$G9331="OR",--(COUNTIFS(nNIA,DATOS!$A9331,nCURSO,DATOS!$D9331,nESPEC,DATOS!$E9331,nASIG,DATOS!$I9331,nEVAL,"EX")=0),0))))</f>
      </c>
      <c r="H9331">
        <f>IF(DATOS!$G9331&lt;&gt;"EX",0,--(COUNTIFS(nNIA,DATOS!$A9331,nCURSO,DATOS!$D9331,nESPEC,DATOS!$E9331,nASIG,DATOS!$I9331,nEVAL,"OR")=0))</f>
      </c>
      <c r="I9331">
        <f>IF(DATOS!$I9331="","",IFERROR(VLOOKUP(DATOS!$I9331,CONFIG_ASIGNATURAS!$B$2:$J$91,9,FALSE()),""))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IF(DATOS!$A9332="",0,IF(CONFIG_METADATA!$B$4&lt;&gt;"OR+EX",--(DATOS!$G9332=CONFIG_METADATA!$B$4),IF(DATOS!$G9332="EX",1,IF(DATOS!$G9332="OR",--(COUNTIFS(nNIA,DATOS!$A9332,nCURSO,DATOS!$D9332,nESPEC,DATOS!$E9332,nASIG,DATOS!$I9332,nEVAL,"EX")=0),0))))</f>
      </c>
      <c r="H9332">
        <f>IF(DATOS!$G9332&lt;&gt;"EX",0,--(COUNTIFS(nNIA,DATOS!$A9332,nCURSO,DATOS!$D9332,nESPEC,DATOS!$E9332,nASIG,DATOS!$I9332,nEVAL,"OR")=0))</f>
      </c>
      <c r="I9332">
        <f>IF(DATOS!$I9332="","",IFERROR(VLOOKUP(DATOS!$I9332,CONFIG_ASIGNATURAS!$B$2:$J$91,9,FALSE()),""))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IF(DATOS!$A9333="",0,IF(CONFIG_METADATA!$B$4&lt;&gt;"OR+EX",--(DATOS!$G9333=CONFIG_METADATA!$B$4),IF(DATOS!$G9333="EX",1,IF(DATOS!$G9333="OR",--(COUNTIFS(nNIA,DATOS!$A9333,nCURSO,DATOS!$D9333,nESPEC,DATOS!$E9333,nASIG,DATOS!$I9333,nEVAL,"EX")=0),0))))</f>
      </c>
      <c r="H9333">
        <f>IF(DATOS!$G9333&lt;&gt;"EX",0,--(COUNTIFS(nNIA,DATOS!$A9333,nCURSO,DATOS!$D9333,nESPEC,DATOS!$E9333,nASIG,DATOS!$I9333,nEVAL,"OR")=0))</f>
      </c>
      <c r="I9333">
        <f>IF(DATOS!$I9333="","",IFERROR(VLOOKUP(DATOS!$I9333,CONFIG_ASIGNATURAS!$B$2:$J$91,9,FALSE()),""))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IF(DATOS!$A9334="",0,IF(CONFIG_METADATA!$B$4&lt;&gt;"OR+EX",--(DATOS!$G9334=CONFIG_METADATA!$B$4),IF(DATOS!$G9334="EX",1,IF(DATOS!$G9334="OR",--(COUNTIFS(nNIA,DATOS!$A9334,nCURSO,DATOS!$D9334,nESPEC,DATOS!$E9334,nASIG,DATOS!$I9334,nEVAL,"EX")=0),0))))</f>
      </c>
      <c r="H9334">
        <f>IF(DATOS!$G9334&lt;&gt;"EX",0,--(COUNTIFS(nNIA,DATOS!$A9334,nCURSO,DATOS!$D9334,nESPEC,DATOS!$E9334,nASIG,DATOS!$I9334,nEVAL,"OR")=0))</f>
      </c>
      <c r="I9334">
        <f>IF(DATOS!$I9334="","",IFERROR(VLOOKUP(DATOS!$I9334,CONFIG_ASIGNATURAS!$B$2:$J$91,9,FALSE()),""))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IF(DATOS!$A9335="",0,IF(CONFIG_METADATA!$B$4&lt;&gt;"OR+EX",--(DATOS!$G9335=CONFIG_METADATA!$B$4),IF(DATOS!$G9335="EX",1,IF(DATOS!$G9335="OR",--(COUNTIFS(nNIA,DATOS!$A9335,nCURSO,DATOS!$D9335,nESPEC,DATOS!$E9335,nASIG,DATOS!$I9335,nEVAL,"EX")=0),0))))</f>
      </c>
      <c r="H9335">
        <f>IF(DATOS!$G9335&lt;&gt;"EX",0,--(COUNTIFS(nNIA,DATOS!$A9335,nCURSO,DATOS!$D9335,nESPEC,DATOS!$E9335,nASIG,DATOS!$I9335,nEVAL,"OR")=0))</f>
      </c>
      <c r="I9335">
        <f>IF(DATOS!$I9335="","",IFERROR(VLOOKUP(DATOS!$I9335,CONFIG_ASIGNATURAS!$B$2:$J$91,9,FALSE()),""))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IF(DATOS!$A9336="",0,IF(CONFIG_METADATA!$B$4&lt;&gt;"OR+EX",--(DATOS!$G9336=CONFIG_METADATA!$B$4),IF(DATOS!$G9336="EX",1,IF(DATOS!$G9336="OR",--(COUNTIFS(nNIA,DATOS!$A9336,nCURSO,DATOS!$D9336,nESPEC,DATOS!$E9336,nASIG,DATOS!$I9336,nEVAL,"EX")=0),0))))</f>
      </c>
      <c r="H9336">
        <f>IF(DATOS!$G9336&lt;&gt;"EX",0,--(COUNTIFS(nNIA,DATOS!$A9336,nCURSO,DATOS!$D9336,nESPEC,DATOS!$E9336,nASIG,DATOS!$I9336,nEVAL,"OR")=0))</f>
      </c>
      <c r="I9336">
        <f>IF(DATOS!$I9336="","",IFERROR(VLOOKUP(DATOS!$I9336,CONFIG_ASIGNATURAS!$B$2:$J$91,9,FALSE()),""))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IF(DATOS!$A9337="",0,IF(CONFIG_METADATA!$B$4&lt;&gt;"OR+EX",--(DATOS!$G9337=CONFIG_METADATA!$B$4),IF(DATOS!$G9337="EX",1,IF(DATOS!$G9337="OR",--(COUNTIFS(nNIA,DATOS!$A9337,nCURSO,DATOS!$D9337,nESPEC,DATOS!$E9337,nASIG,DATOS!$I9337,nEVAL,"EX")=0),0))))</f>
      </c>
      <c r="H9337">
        <f>IF(DATOS!$G9337&lt;&gt;"EX",0,--(COUNTIFS(nNIA,DATOS!$A9337,nCURSO,DATOS!$D9337,nESPEC,DATOS!$E9337,nASIG,DATOS!$I9337,nEVAL,"OR")=0))</f>
      </c>
      <c r="I9337">
        <f>IF(DATOS!$I9337="","",IFERROR(VLOOKUP(DATOS!$I9337,CONFIG_ASIGNATURAS!$B$2:$J$91,9,FALSE()),""))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IF(DATOS!$A9338="",0,IF(CONFIG_METADATA!$B$4&lt;&gt;"OR+EX",--(DATOS!$G9338=CONFIG_METADATA!$B$4),IF(DATOS!$G9338="EX",1,IF(DATOS!$G9338="OR",--(COUNTIFS(nNIA,DATOS!$A9338,nCURSO,DATOS!$D9338,nESPEC,DATOS!$E9338,nASIG,DATOS!$I9338,nEVAL,"EX")=0),0))))</f>
      </c>
      <c r="H9338">
        <f>IF(DATOS!$G9338&lt;&gt;"EX",0,--(COUNTIFS(nNIA,DATOS!$A9338,nCURSO,DATOS!$D9338,nESPEC,DATOS!$E9338,nASIG,DATOS!$I9338,nEVAL,"OR")=0))</f>
      </c>
      <c r="I9338">
        <f>IF(DATOS!$I9338="","",IFERROR(VLOOKUP(DATOS!$I9338,CONFIG_ASIGNATURAS!$B$2:$J$91,9,FALSE()),""))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IF(DATOS!$A9339="",0,IF(CONFIG_METADATA!$B$4&lt;&gt;"OR+EX",--(DATOS!$G9339=CONFIG_METADATA!$B$4),IF(DATOS!$G9339="EX",1,IF(DATOS!$G9339="OR",--(COUNTIFS(nNIA,DATOS!$A9339,nCURSO,DATOS!$D9339,nESPEC,DATOS!$E9339,nASIG,DATOS!$I9339,nEVAL,"EX")=0),0))))</f>
      </c>
      <c r="H9339">
        <f>IF(DATOS!$G9339&lt;&gt;"EX",0,--(COUNTIFS(nNIA,DATOS!$A9339,nCURSO,DATOS!$D9339,nESPEC,DATOS!$E9339,nASIG,DATOS!$I9339,nEVAL,"OR")=0))</f>
      </c>
      <c r="I9339">
        <f>IF(DATOS!$I9339="","",IFERROR(VLOOKUP(DATOS!$I9339,CONFIG_ASIGNATURAS!$B$2:$J$91,9,FALSE()),""))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IF(DATOS!$A9340="",0,IF(CONFIG_METADATA!$B$4&lt;&gt;"OR+EX",--(DATOS!$G9340=CONFIG_METADATA!$B$4),IF(DATOS!$G9340="EX",1,IF(DATOS!$G9340="OR",--(COUNTIFS(nNIA,DATOS!$A9340,nCURSO,DATOS!$D9340,nESPEC,DATOS!$E9340,nASIG,DATOS!$I9340,nEVAL,"EX")=0),0))))</f>
      </c>
      <c r="H9340">
        <f>IF(DATOS!$G9340&lt;&gt;"EX",0,--(COUNTIFS(nNIA,DATOS!$A9340,nCURSO,DATOS!$D9340,nESPEC,DATOS!$E9340,nASIG,DATOS!$I9340,nEVAL,"OR")=0))</f>
      </c>
      <c r="I9340">
        <f>IF(DATOS!$I9340="","",IFERROR(VLOOKUP(DATOS!$I9340,CONFIG_ASIGNATURAS!$B$2:$J$91,9,FALSE()),""))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IF(DATOS!$A9341="",0,IF(CONFIG_METADATA!$B$4&lt;&gt;"OR+EX",--(DATOS!$G9341=CONFIG_METADATA!$B$4),IF(DATOS!$G9341="EX",1,IF(DATOS!$G9341="OR",--(COUNTIFS(nNIA,DATOS!$A9341,nCURSO,DATOS!$D9341,nESPEC,DATOS!$E9341,nASIG,DATOS!$I9341,nEVAL,"EX")=0),0))))</f>
      </c>
      <c r="H9341">
        <f>IF(DATOS!$G9341&lt;&gt;"EX",0,--(COUNTIFS(nNIA,DATOS!$A9341,nCURSO,DATOS!$D9341,nESPEC,DATOS!$E9341,nASIG,DATOS!$I9341,nEVAL,"OR")=0))</f>
      </c>
      <c r="I9341">
        <f>IF(DATOS!$I9341="","",IFERROR(VLOOKUP(DATOS!$I9341,CONFIG_ASIGNATURAS!$B$2:$J$91,9,FALSE()),""))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IF(DATOS!$A9342="",0,IF(CONFIG_METADATA!$B$4&lt;&gt;"OR+EX",--(DATOS!$G9342=CONFIG_METADATA!$B$4),IF(DATOS!$G9342="EX",1,IF(DATOS!$G9342="OR",--(COUNTIFS(nNIA,DATOS!$A9342,nCURSO,DATOS!$D9342,nESPEC,DATOS!$E9342,nASIG,DATOS!$I9342,nEVAL,"EX")=0),0))))</f>
      </c>
      <c r="H9342">
        <f>IF(DATOS!$G9342&lt;&gt;"EX",0,--(COUNTIFS(nNIA,DATOS!$A9342,nCURSO,DATOS!$D9342,nESPEC,DATOS!$E9342,nASIG,DATOS!$I9342,nEVAL,"OR")=0))</f>
      </c>
      <c r="I9342">
        <f>IF(DATOS!$I9342="","",IFERROR(VLOOKUP(DATOS!$I9342,CONFIG_ASIGNATURAS!$B$2:$J$91,9,FALSE()),""))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IF(DATOS!$A9343="",0,IF(CONFIG_METADATA!$B$4&lt;&gt;"OR+EX",--(DATOS!$G9343=CONFIG_METADATA!$B$4),IF(DATOS!$G9343="EX",1,IF(DATOS!$G9343="OR",--(COUNTIFS(nNIA,DATOS!$A9343,nCURSO,DATOS!$D9343,nESPEC,DATOS!$E9343,nASIG,DATOS!$I9343,nEVAL,"EX")=0),0))))</f>
      </c>
      <c r="H9343">
        <f>IF(DATOS!$G9343&lt;&gt;"EX",0,--(COUNTIFS(nNIA,DATOS!$A9343,nCURSO,DATOS!$D9343,nESPEC,DATOS!$E9343,nASIG,DATOS!$I9343,nEVAL,"OR")=0))</f>
      </c>
      <c r="I9343">
        <f>IF(DATOS!$I9343="","",IFERROR(VLOOKUP(DATOS!$I9343,CONFIG_ASIGNATURAS!$B$2:$J$91,9,FALSE()),""))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IF(DATOS!$A9344="",0,IF(CONFIG_METADATA!$B$4&lt;&gt;"OR+EX",--(DATOS!$G9344=CONFIG_METADATA!$B$4),IF(DATOS!$G9344="EX",1,IF(DATOS!$G9344="OR",--(COUNTIFS(nNIA,DATOS!$A9344,nCURSO,DATOS!$D9344,nESPEC,DATOS!$E9344,nASIG,DATOS!$I9344,nEVAL,"EX")=0),0))))</f>
      </c>
      <c r="H9344">
        <f>IF(DATOS!$G9344&lt;&gt;"EX",0,--(COUNTIFS(nNIA,DATOS!$A9344,nCURSO,DATOS!$D9344,nESPEC,DATOS!$E9344,nASIG,DATOS!$I9344,nEVAL,"OR")=0))</f>
      </c>
      <c r="I9344">
        <f>IF(DATOS!$I9344="","",IFERROR(VLOOKUP(DATOS!$I9344,CONFIG_ASIGNATURAS!$B$2:$J$91,9,FALSE()),""))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IF(DATOS!$A9345="",0,IF(CONFIG_METADATA!$B$4&lt;&gt;"OR+EX",--(DATOS!$G9345=CONFIG_METADATA!$B$4),IF(DATOS!$G9345="EX",1,IF(DATOS!$G9345="OR",--(COUNTIFS(nNIA,DATOS!$A9345,nCURSO,DATOS!$D9345,nESPEC,DATOS!$E9345,nASIG,DATOS!$I9345,nEVAL,"EX")=0),0))))</f>
      </c>
      <c r="H9345">
        <f>IF(DATOS!$G9345&lt;&gt;"EX",0,--(COUNTIFS(nNIA,DATOS!$A9345,nCURSO,DATOS!$D9345,nESPEC,DATOS!$E9345,nASIG,DATOS!$I9345,nEVAL,"OR")=0))</f>
      </c>
      <c r="I9345">
        <f>IF(DATOS!$I9345="","",IFERROR(VLOOKUP(DATOS!$I9345,CONFIG_ASIGNATURAS!$B$2:$J$91,9,FALSE()),""))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IF(DATOS!$A9346="",0,IF(CONFIG_METADATA!$B$4&lt;&gt;"OR+EX",--(DATOS!$G9346=CONFIG_METADATA!$B$4),IF(DATOS!$G9346="EX",1,IF(DATOS!$G9346="OR",--(COUNTIFS(nNIA,DATOS!$A9346,nCURSO,DATOS!$D9346,nESPEC,DATOS!$E9346,nASIG,DATOS!$I9346,nEVAL,"EX")=0),0))))</f>
      </c>
      <c r="H9346">
        <f>IF(DATOS!$G9346&lt;&gt;"EX",0,--(COUNTIFS(nNIA,DATOS!$A9346,nCURSO,DATOS!$D9346,nESPEC,DATOS!$E9346,nASIG,DATOS!$I9346,nEVAL,"OR")=0))</f>
      </c>
      <c r="I9346">
        <f>IF(DATOS!$I9346="","",IFERROR(VLOOKUP(DATOS!$I9346,CONFIG_ASIGNATURAS!$B$2:$J$91,9,FALSE()),""))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IF(DATOS!$A9347="",0,IF(CONFIG_METADATA!$B$4&lt;&gt;"OR+EX",--(DATOS!$G9347=CONFIG_METADATA!$B$4),IF(DATOS!$G9347="EX",1,IF(DATOS!$G9347="OR",--(COUNTIFS(nNIA,DATOS!$A9347,nCURSO,DATOS!$D9347,nESPEC,DATOS!$E9347,nASIG,DATOS!$I9347,nEVAL,"EX")=0),0))))</f>
      </c>
      <c r="H9347">
        <f>IF(DATOS!$G9347&lt;&gt;"EX",0,--(COUNTIFS(nNIA,DATOS!$A9347,nCURSO,DATOS!$D9347,nESPEC,DATOS!$E9347,nASIG,DATOS!$I9347,nEVAL,"OR")=0))</f>
      </c>
      <c r="I9347">
        <f>IF(DATOS!$I9347="","",IFERROR(VLOOKUP(DATOS!$I9347,CONFIG_ASIGNATURAS!$B$2:$J$91,9,FALSE()),""))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IF(DATOS!$A9348="",0,IF(CONFIG_METADATA!$B$4&lt;&gt;"OR+EX",--(DATOS!$G9348=CONFIG_METADATA!$B$4),IF(DATOS!$G9348="EX",1,IF(DATOS!$G9348="OR",--(COUNTIFS(nNIA,DATOS!$A9348,nCURSO,DATOS!$D9348,nESPEC,DATOS!$E9348,nASIG,DATOS!$I9348,nEVAL,"EX")=0),0))))</f>
      </c>
      <c r="H9348">
        <f>IF(DATOS!$G9348&lt;&gt;"EX",0,--(COUNTIFS(nNIA,DATOS!$A9348,nCURSO,DATOS!$D9348,nESPEC,DATOS!$E9348,nASIG,DATOS!$I9348,nEVAL,"OR")=0))</f>
      </c>
      <c r="I9348">
        <f>IF(DATOS!$I9348="","",IFERROR(VLOOKUP(DATOS!$I9348,CONFIG_ASIGNATURAS!$B$2:$J$91,9,FALSE()),""))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IF(DATOS!$A9349="",0,IF(CONFIG_METADATA!$B$4&lt;&gt;"OR+EX",--(DATOS!$G9349=CONFIG_METADATA!$B$4),IF(DATOS!$G9349="EX",1,IF(DATOS!$G9349="OR",--(COUNTIFS(nNIA,DATOS!$A9349,nCURSO,DATOS!$D9349,nESPEC,DATOS!$E9349,nASIG,DATOS!$I9349,nEVAL,"EX")=0),0))))</f>
      </c>
      <c r="H9349">
        <f>IF(DATOS!$G9349&lt;&gt;"EX",0,--(COUNTIFS(nNIA,DATOS!$A9349,nCURSO,DATOS!$D9349,nESPEC,DATOS!$E9349,nASIG,DATOS!$I9349,nEVAL,"OR")=0))</f>
      </c>
      <c r="I9349">
        <f>IF(DATOS!$I9349="","",IFERROR(VLOOKUP(DATOS!$I9349,CONFIG_ASIGNATURAS!$B$2:$J$91,9,FALSE()),""))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IF(DATOS!$A9350="",0,IF(CONFIG_METADATA!$B$4&lt;&gt;"OR+EX",--(DATOS!$G9350=CONFIG_METADATA!$B$4),IF(DATOS!$G9350="EX",1,IF(DATOS!$G9350="OR",--(COUNTIFS(nNIA,DATOS!$A9350,nCURSO,DATOS!$D9350,nESPEC,DATOS!$E9350,nASIG,DATOS!$I9350,nEVAL,"EX")=0),0))))</f>
      </c>
      <c r="H9350">
        <f>IF(DATOS!$G9350&lt;&gt;"EX",0,--(COUNTIFS(nNIA,DATOS!$A9350,nCURSO,DATOS!$D9350,nESPEC,DATOS!$E9350,nASIG,DATOS!$I9350,nEVAL,"OR")=0))</f>
      </c>
      <c r="I9350">
        <f>IF(DATOS!$I9350="","",IFERROR(VLOOKUP(DATOS!$I9350,CONFIG_ASIGNATURAS!$B$2:$J$91,9,FALSE()),""))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IF(DATOS!$A9351="",0,IF(CONFIG_METADATA!$B$4&lt;&gt;"OR+EX",--(DATOS!$G9351=CONFIG_METADATA!$B$4),IF(DATOS!$G9351="EX",1,IF(DATOS!$G9351="OR",--(COUNTIFS(nNIA,DATOS!$A9351,nCURSO,DATOS!$D9351,nESPEC,DATOS!$E9351,nASIG,DATOS!$I9351,nEVAL,"EX")=0),0))))</f>
      </c>
      <c r="H9351">
        <f>IF(DATOS!$G9351&lt;&gt;"EX",0,--(COUNTIFS(nNIA,DATOS!$A9351,nCURSO,DATOS!$D9351,nESPEC,DATOS!$E9351,nASIG,DATOS!$I9351,nEVAL,"OR")=0))</f>
      </c>
      <c r="I9351">
        <f>IF(DATOS!$I9351="","",IFERROR(VLOOKUP(DATOS!$I9351,CONFIG_ASIGNATURAS!$B$2:$J$91,9,FALSE()),""))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IF(DATOS!$A9352="",0,IF(CONFIG_METADATA!$B$4&lt;&gt;"OR+EX",--(DATOS!$G9352=CONFIG_METADATA!$B$4),IF(DATOS!$G9352="EX",1,IF(DATOS!$G9352="OR",--(COUNTIFS(nNIA,DATOS!$A9352,nCURSO,DATOS!$D9352,nESPEC,DATOS!$E9352,nASIG,DATOS!$I9352,nEVAL,"EX")=0),0))))</f>
      </c>
      <c r="H9352">
        <f>IF(DATOS!$G9352&lt;&gt;"EX",0,--(COUNTIFS(nNIA,DATOS!$A9352,nCURSO,DATOS!$D9352,nESPEC,DATOS!$E9352,nASIG,DATOS!$I9352,nEVAL,"OR")=0))</f>
      </c>
      <c r="I9352">
        <f>IF(DATOS!$I9352="","",IFERROR(VLOOKUP(DATOS!$I9352,CONFIG_ASIGNATURAS!$B$2:$J$91,9,FALSE()),""))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IF(DATOS!$A9353="",0,IF(CONFIG_METADATA!$B$4&lt;&gt;"OR+EX",--(DATOS!$G9353=CONFIG_METADATA!$B$4),IF(DATOS!$G9353="EX",1,IF(DATOS!$G9353="OR",--(COUNTIFS(nNIA,DATOS!$A9353,nCURSO,DATOS!$D9353,nESPEC,DATOS!$E9353,nASIG,DATOS!$I9353,nEVAL,"EX")=0),0))))</f>
      </c>
      <c r="H9353">
        <f>IF(DATOS!$G9353&lt;&gt;"EX",0,--(COUNTIFS(nNIA,DATOS!$A9353,nCURSO,DATOS!$D9353,nESPEC,DATOS!$E9353,nASIG,DATOS!$I9353,nEVAL,"OR")=0))</f>
      </c>
      <c r="I9353">
        <f>IF(DATOS!$I9353="","",IFERROR(VLOOKUP(DATOS!$I9353,CONFIG_ASIGNATURAS!$B$2:$J$91,9,FALSE()),""))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IF(DATOS!$A9354="",0,IF(CONFIG_METADATA!$B$4&lt;&gt;"OR+EX",--(DATOS!$G9354=CONFIG_METADATA!$B$4),IF(DATOS!$G9354="EX",1,IF(DATOS!$G9354="OR",--(COUNTIFS(nNIA,DATOS!$A9354,nCURSO,DATOS!$D9354,nESPEC,DATOS!$E9354,nASIG,DATOS!$I9354,nEVAL,"EX")=0),0))))</f>
      </c>
      <c r="H9354">
        <f>IF(DATOS!$G9354&lt;&gt;"EX",0,--(COUNTIFS(nNIA,DATOS!$A9354,nCURSO,DATOS!$D9354,nESPEC,DATOS!$E9354,nASIG,DATOS!$I9354,nEVAL,"OR")=0))</f>
      </c>
      <c r="I9354">
        <f>IF(DATOS!$I9354="","",IFERROR(VLOOKUP(DATOS!$I9354,CONFIG_ASIGNATURAS!$B$2:$J$91,9,FALSE()),""))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IF(DATOS!$A9355="",0,IF(CONFIG_METADATA!$B$4&lt;&gt;"OR+EX",--(DATOS!$G9355=CONFIG_METADATA!$B$4),IF(DATOS!$G9355="EX",1,IF(DATOS!$G9355="OR",--(COUNTIFS(nNIA,DATOS!$A9355,nCURSO,DATOS!$D9355,nESPEC,DATOS!$E9355,nASIG,DATOS!$I9355,nEVAL,"EX")=0),0))))</f>
      </c>
      <c r="H9355">
        <f>IF(DATOS!$G9355&lt;&gt;"EX",0,--(COUNTIFS(nNIA,DATOS!$A9355,nCURSO,DATOS!$D9355,nESPEC,DATOS!$E9355,nASIG,DATOS!$I9355,nEVAL,"OR")=0))</f>
      </c>
      <c r="I9355">
        <f>IF(DATOS!$I9355="","",IFERROR(VLOOKUP(DATOS!$I9355,CONFIG_ASIGNATURAS!$B$2:$J$91,9,FALSE()),""))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IF(DATOS!$A9356="",0,IF(CONFIG_METADATA!$B$4&lt;&gt;"OR+EX",--(DATOS!$G9356=CONFIG_METADATA!$B$4),IF(DATOS!$G9356="EX",1,IF(DATOS!$G9356="OR",--(COUNTIFS(nNIA,DATOS!$A9356,nCURSO,DATOS!$D9356,nESPEC,DATOS!$E9356,nASIG,DATOS!$I9356,nEVAL,"EX")=0),0))))</f>
      </c>
      <c r="H9356">
        <f>IF(DATOS!$G9356&lt;&gt;"EX",0,--(COUNTIFS(nNIA,DATOS!$A9356,nCURSO,DATOS!$D9356,nESPEC,DATOS!$E9356,nASIG,DATOS!$I9356,nEVAL,"OR")=0))</f>
      </c>
      <c r="I9356">
        <f>IF(DATOS!$I9356="","",IFERROR(VLOOKUP(DATOS!$I9356,CONFIG_ASIGNATURAS!$B$2:$J$91,9,FALSE()),""))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IF(DATOS!$A9357="",0,IF(CONFIG_METADATA!$B$4&lt;&gt;"OR+EX",--(DATOS!$G9357=CONFIG_METADATA!$B$4),IF(DATOS!$G9357="EX",1,IF(DATOS!$G9357="OR",--(COUNTIFS(nNIA,DATOS!$A9357,nCURSO,DATOS!$D9357,nESPEC,DATOS!$E9357,nASIG,DATOS!$I9357,nEVAL,"EX")=0),0))))</f>
      </c>
      <c r="H9357">
        <f>IF(DATOS!$G9357&lt;&gt;"EX",0,--(COUNTIFS(nNIA,DATOS!$A9357,nCURSO,DATOS!$D9357,nESPEC,DATOS!$E9357,nASIG,DATOS!$I9357,nEVAL,"OR")=0))</f>
      </c>
      <c r="I9357">
        <f>IF(DATOS!$I9357="","",IFERROR(VLOOKUP(DATOS!$I9357,CONFIG_ASIGNATURAS!$B$2:$J$91,9,FALSE()),""))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IF(DATOS!$A9358="",0,IF(CONFIG_METADATA!$B$4&lt;&gt;"OR+EX",--(DATOS!$G9358=CONFIG_METADATA!$B$4),IF(DATOS!$G9358="EX",1,IF(DATOS!$G9358="OR",--(COUNTIFS(nNIA,DATOS!$A9358,nCURSO,DATOS!$D9358,nESPEC,DATOS!$E9358,nASIG,DATOS!$I9358,nEVAL,"EX")=0),0))))</f>
      </c>
      <c r="H9358">
        <f>IF(DATOS!$G9358&lt;&gt;"EX",0,--(COUNTIFS(nNIA,DATOS!$A9358,nCURSO,DATOS!$D9358,nESPEC,DATOS!$E9358,nASIG,DATOS!$I9358,nEVAL,"OR")=0))</f>
      </c>
      <c r="I9358">
        <f>IF(DATOS!$I9358="","",IFERROR(VLOOKUP(DATOS!$I9358,CONFIG_ASIGNATURAS!$B$2:$J$91,9,FALSE()),""))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IF(DATOS!$A9359="",0,IF(CONFIG_METADATA!$B$4&lt;&gt;"OR+EX",--(DATOS!$G9359=CONFIG_METADATA!$B$4),IF(DATOS!$G9359="EX",1,IF(DATOS!$G9359="OR",--(COUNTIFS(nNIA,DATOS!$A9359,nCURSO,DATOS!$D9359,nESPEC,DATOS!$E9359,nASIG,DATOS!$I9359,nEVAL,"EX")=0),0))))</f>
      </c>
      <c r="H9359">
        <f>IF(DATOS!$G9359&lt;&gt;"EX",0,--(COUNTIFS(nNIA,DATOS!$A9359,nCURSO,DATOS!$D9359,nESPEC,DATOS!$E9359,nASIG,DATOS!$I9359,nEVAL,"OR")=0))</f>
      </c>
      <c r="I9359">
        <f>IF(DATOS!$I9359="","",IFERROR(VLOOKUP(DATOS!$I9359,CONFIG_ASIGNATURAS!$B$2:$J$91,9,FALSE()),""))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IF(DATOS!$A9360="",0,IF(CONFIG_METADATA!$B$4&lt;&gt;"OR+EX",--(DATOS!$G9360=CONFIG_METADATA!$B$4),IF(DATOS!$G9360="EX",1,IF(DATOS!$G9360="OR",--(COUNTIFS(nNIA,DATOS!$A9360,nCURSO,DATOS!$D9360,nESPEC,DATOS!$E9360,nASIG,DATOS!$I9360,nEVAL,"EX")=0),0))))</f>
      </c>
      <c r="H9360">
        <f>IF(DATOS!$G9360&lt;&gt;"EX",0,--(COUNTIFS(nNIA,DATOS!$A9360,nCURSO,DATOS!$D9360,nESPEC,DATOS!$E9360,nASIG,DATOS!$I9360,nEVAL,"OR")=0))</f>
      </c>
      <c r="I9360">
        <f>IF(DATOS!$I9360="","",IFERROR(VLOOKUP(DATOS!$I9360,CONFIG_ASIGNATURAS!$B$2:$J$91,9,FALSE()),""))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IF(DATOS!$A9361="",0,IF(CONFIG_METADATA!$B$4&lt;&gt;"OR+EX",--(DATOS!$G9361=CONFIG_METADATA!$B$4),IF(DATOS!$G9361="EX",1,IF(DATOS!$G9361="OR",--(COUNTIFS(nNIA,DATOS!$A9361,nCURSO,DATOS!$D9361,nESPEC,DATOS!$E9361,nASIG,DATOS!$I9361,nEVAL,"EX")=0),0))))</f>
      </c>
      <c r="H9361">
        <f>IF(DATOS!$G9361&lt;&gt;"EX",0,--(COUNTIFS(nNIA,DATOS!$A9361,nCURSO,DATOS!$D9361,nESPEC,DATOS!$E9361,nASIG,DATOS!$I9361,nEVAL,"OR")=0))</f>
      </c>
      <c r="I9361">
        <f>IF(DATOS!$I9361="","",IFERROR(VLOOKUP(DATOS!$I9361,CONFIG_ASIGNATURAS!$B$2:$J$91,9,FALSE()),""))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IF(DATOS!$A9362="",0,IF(CONFIG_METADATA!$B$4&lt;&gt;"OR+EX",--(DATOS!$G9362=CONFIG_METADATA!$B$4),IF(DATOS!$G9362="EX",1,IF(DATOS!$G9362="OR",--(COUNTIFS(nNIA,DATOS!$A9362,nCURSO,DATOS!$D9362,nESPEC,DATOS!$E9362,nASIG,DATOS!$I9362,nEVAL,"EX")=0),0))))</f>
      </c>
      <c r="H9362">
        <f>IF(DATOS!$G9362&lt;&gt;"EX",0,--(COUNTIFS(nNIA,DATOS!$A9362,nCURSO,DATOS!$D9362,nESPEC,DATOS!$E9362,nASIG,DATOS!$I9362,nEVAL,"OR")=0))</f>
      </c>
      <c r="I9362">
        <f>IF(DATOS!$I9362="","",IFERROR(VLOOKUP(DATOS!$I9362,CONFIG_ASIGNATURAS!$B$2:$J$91,9,FALSE()),""))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IF(DATOS!$A9363="",0,IF(CONFIG_METADATA!$B$4&lt;&gt;"OR+EX",--(DATOS!$G9363=CONFIG_METADATA!$B$4),IF(DATOS!$G9363="EX",1,IF(DATOS!$G9363="OR",--(COUNTIFS(nNIA,DATOS!$A9363,nCURSO,DATOS!$D9363,nESPEC,DATOS!$E9363,nASIG,DATOS!$I9363,nEVAL,"EX")=0),0))))</f>
      </c>
      <c r="H9363">
        <f>IF(DATOS!$G9363&lt;&gt;"EX",0,--(COUNTIFS(nNIA,DATOS!$A9363,nCURSO,DATOS!$D9363,nESPEC,DATOS!$E9363,nASIG,DATOS!$I9363,nEVAL,"OR")=0))</f>
      </c>
      <c r="I9363">
        <f>IF(DATOS!$I9363="","",IFERROR(VLOOKUP(DATOS!$I9363,CONFIG_ASIGNATURAS!$B$2:$J$91,9,FALSE()),""))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IF(DATOS!$A9364="",0,IF(CONFIG_METADATA!$B$4&lt;&gt;"OR+EX",--(DATOS!$G9364=CONFIG_METADATA!$B$4),IF(DATOS!$G9364="EX",1,IF(DATOS!$G9364="OR",--(COUNTIFS(nNIA,DATOS!$A9364,nCURSO,DATOS!$D9364,nESPEC,DATOS!$E9364,nASIG,DATOS!$I9364,nEVAL,"EX")=0),0))))</f>
      </c>
      <c r="H9364">
        <f>IF(DATOS!$G9364&lt;&gt;"EX",0,--(COUNTIFS(nNIA,DATOS!$A9364,nCURSO,DATOS!$D9364,nESPEC,DATOS!$E9364,nASIG,DATOS!$I9364,nEVAL,"OR")=0))</f>
      </c>
      <c r="I9364">
        <f>IF(DATOS!$I9364="","",IFERROR(VLOOKUP(DATOS!$I9364,CONFIG_ASIGNATURAS!$B$2:$J$91,9,FALSE()),""))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IF(DATOS!$A9365="",0,IF(CONFIG_METADATA!$B$4&lt;&gt;"OR+EX",--(DATOS!$G9365=CONFIG_METADATA!$B$4),IF(DATOS!$G9365="EX",1,IF(DATOS!$G9365="OR",--(COUNTIFS(nNIA,DATOS!$A9365,nCURSO,DATOS!$D9365,nESPEC,DATOS!$E9365,nASIG,DATOS!$I9365,nEVAL,"EX")=0),0))))</f>
      </c>
      <c r="H9365">
        <f>IF(DATOS!$G9365&lt;&gt;"EX",0,--(COUNTIFS(nNIA,DATOS!$A9365,nCURSO,DATOS!$D9365,nESPEC,DATOS!$E9365,nASIG,DATOS!$I9365,nEVAL,"OR")=0))</f>
      </c>
      <c r="I9365">
        <f>IF(DATOS!$I9365="","",IFERROR(VLOOKUP(DATOS!$I9365,CONFIG_ASIGNATURAS!$B$2:$J$91,9,FALSE()),""))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IF(DATOS!$A9366="",0,IF(CONFIG_METADATA!$B$4&lt;&gt;"OR+EX",--(DATOS!$G9366=CONFIG_METADATA!$B$4),IF(DATOS!$G9366="EX",1,IF(DATOS!$G9366="OR",--(COUNTIFS(nNIA,DATOS!$A9366,nCURSO,DATOS!$D9366,nESPEC,DATOS!$E9366,nASIG,DATOS!$I9366,nEVAL,"EX")=0),0))))</f>
      </c>
      <c r="H9366">
        <f>IF(DATOS!$G9366&lt;&gt;"EX",0,--(COUNTIFS(nNIA,DATOS!$A9366,nCURSO,DATOS!$D9366,nESPEC,DATOS!$E9366,nASIG,DATOS!$I9366,nEVAL,"OR")=0))</f>
      </c>
      <c r="I9366">
        <f>IF(DATOS!$I9366="","",IFERROR(VLOOKUP(DATOS!$I9366,CONFIG_ASIGNATURAS!$B$2:$J$91,9,FALSE()),""))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IF(DATOS!$A9367="",0,IF(CONFIG_METADATA!$B$4&lt;&gt;"OR+EX",--(DATOS!$G9367=CONFIG_METADATA!$B$4),IF(DATOS!$G9367="EX",1,IF(DATOS!$G9367="OR",--(COUNTIFS(nNIA,DATOS!$A9367,nCURSO,DATOS!$D9367,nESPEC,DATOS!$E9367,nASIG,DATOS!$I9367,nEVAL,"EX")=0),0))))</f>
      </c>
      <c r="H9367">
        <f>IF(DATOS!$G9367&lt;&gt;"EX",0,--(COUNTIFS(nNIA,DATOS!$A9367,nCURSO,DATOS!$D9367,nESPEC,DATOS!$E9367,nASIG,DATOS!$I9367,nEVAL,"OR")=0))</f>
      </c>
      <c r="I9367">
        <f>IF(DATOS!$I9367="","",IFERROR(VLOOKUP(DATOS!$I9367,CONFIG_ASIGNATURAS!$B$2:$J$91,9,FALSE()),""))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IF(DATOS!$A9368="",0,IF(CONFIG_METADATA!$B$4&lt;&gt;"OR+EX",--(DATOS!$G9368=CONFIG_METADATA!$B$4),IF(DATOS!$G9368="EX",1,IF(DATOS!$G9368="OR",--(COUNTIFS(nNIA,DATOS!$A9368,nCURSO,DATOS!$D9368,nESPEC,DATOS!$E9368,nASIG,DATOS!$I9368,nEVAL,"EX")=0),0))))</f>
      </c>
      <c r="H9368">
        <f>IF(DATOS!$G9368&lt;&gt;"EX",0,--(COUNTIFS(nNIA,DATOS!$A9368,nCURSO,DATOS!$D9368,nESPEC,DATOS!$E9368,nASIG,DATOS!$I9368,nEVAL,"OR")=0))</f>
      </c>
      <c r="I9368">
        <f>IF(DATOS!$I9368="","",IFERROR(VLOOKUP(DATOS!$I9368,CONFIG_ASIGNATURAS!$B$2:$J$91,9,FALSE()),""))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IF(DATOS!$A9369="",0,IF(CONFIG_METADATA!$B$4&lt;&gt;"OR+EX",--(DATOS!$G9369=CONFIG_METADATA!$B$4),IF(DATOS!$G9369="EX",1,IF(DATOS!$G9369="OR",--(COUNTIFS(nNIA,DATOS!$A9369,nCURSO,DATOS!$D9369,nESPEC,DATOS!$E9369,nASIG,DATOS!$I9369,nEVAL,"EX")=0),0))))</f>
      </c>
      <c r="H9369">
        <f>IF(DATOS!$G9369&lt;&gt;"EX",0,--(COUNTIFS(nNIA,DATOS!$A9369,nCURSO,DATOS!$D9369,nESPEC,DATOS!$E9369,nASIG,DATOS!$I9369,nEVAL,"OR")=0))</f>
      </c>
      <c r="I9369">
        <f>IF(DATOS!$I9369="","",IFERROR(VLOOKUP(DATOS!$I9369,CONFIG_ASIGNATURAS!$B$2:$J$91,9,FALSE()),""))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IF(DATOS!$A9370="",0,IF(CONFIG_METADATA!$B$4&lt;&gt;"OR+EX",--(DATOS!$G9370=CONFIG_METADATA!$B$4),IF(DATOS!$G9370="EX",1,IF(DATOS!$G9370="OR",--(COUNTIFS(nNIA,DATOS!$A9370,nCURSO,DATOS!$D9370,nESPEC,DATOS!$E9370,nASIG,DATOS!$I9370,nEVAL,"EX")=0),0))))</f>
      </c>
      <c r="H9370">
        <f>IF(DATOS!$G9370&lt;&gt;"EX",0,--(COUNTIFS(nNIA,DATOS!$A9370,nCURSO,DATOS!$D9370,nESPEC,DATOS!$E9370,nASIG,DATOS!$I9370,nEVAL,"OR")=0))</f>
      </c>
      <c r="I9370">
        <f>IF(DATOS!$I9370="","",IFERROR(VLOOKUP(DATOS!$I9370,CONFIG_ASIGNATURAS!$B$2:$J$91,9,FALSE()),""))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IF(DATOS!$A9371="",0,IF(CONFIG_METADATA!$B$4&lt;&gt;"OR+EX",--(DATOS!$G9371=CONFIG_METADATA!$B$4),IF(DATOS!$G9371="EX",1,IF(DATOS!$G9371="OR",--(COUNTIFS(nNIA,DATOS!$A9371,nCURSO,DATOS!$D9371,nESPEC,DATOS!$E9371,nASIG,DATOS!$I9371,nEVAL,"EX")=0),0))))</f>
      </c>
      <c r="H9371">
        <f>IF(DATOS!$G9371&lt;&gt;"EX",0,--(COUNTIFS(nNIA,DATOS!$A9371,nCURSO,DATOS!$D9371,nESPEC,DATOS!$E9371,nASIG,DATOS!$I9371,nEVAL,"OR")=0))</f>
      </c>
      <c r="I9371">
        <f>IF(DATOS!$I9371="","",IFERROR(VLOOKUP(DATOS!$I9371,CONFIG_ASIGNATURAS!$B$2:$J$91,9,FALSE()),""))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IF(DATOS!$A9372="",0,IF(CONFIG_METADATA!$B$4&lt;&gt;"OR+EX",--(DATOS!$G9372=CONFIG_METADATA!$B$4),IF(DATOS!$G9372="EX",1,IF(DATOS!$G9372="OR",--(COUNTIFS(nNIA,DATOS!$A9372,nCURSO,DATOS!$D9372,nESPEC,DATOS!$E9372,nASIG,DATOS!$I9372,nEVAL,"EX")=0),0))))</f>
      </c>
      <c r="H9372">
        <f>IF(DATOS!$G9372&lt;&gt;"EX",0,--(COUNTIFS(nNIA,DATOS!$A9372,nCURSO,DATOS!$D9372,nESPEC,DATOS!$E9372,nASIG,DATOS!$I9372,nEVAL,"OR")=0))</f>
      </c>
      <c r="I9372">
        <f>IF(DATOS!$I9372="","",IFERROR(VLOOKUP(DATOS!$I9372,CONFIG_ASIGNATURAS!$B$2:$J$91,9,FALSE()),""))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IF(DATOS!$A9373="",0,IF(CONFIG_METADATA!$B$4&lt;&gt;"OR+EX",--(DATOS!$G9373=CONFIG_METADATA!$B$4),IF(DATOS!$G9373="EX",1,IF(DATOS!$G9373="OR",--(COUNTIFS(nNIA,DATOS!$A9373,nCURSO,DATOS!$D9373,nESPEC,DATOS!$E9373,nASIG,DATOS!$I9373,nEVAL,"EX")=0),0))))</f>
      </c>
      <c r="H9373">
        <f>IF(DATOS!$G9373&lt;&gt;"EX",0,--(COUNTIFS(nNIA,DATOS!$A9373,nCURSO,DATOS!$D9373,nESPEC,DATOS!$E9373,nASIG,DATOS!$I9373,nEVAL,"OR")=0))</f>
      </c>
      <c r="I9373">
        <f>IF(DATOS!$I9373="","",IFERROR(VLOOKUP(DATOS!$I9373,CONFIG_ASIGNATURAS!$B$2:$J$91,9,FALSE()),""))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IF(DATOS!$A9374="",0,IF(CONFIG_METADATA!$B$4&lt;&gt;"OR+EX",--(DATOS!$G9374=CONFIG_METADATA!$B$4),IF(DATOS!$G9374="EX",1,IF(DATOS!$G9374="OR",--(COUNTIFS(nNIA,DATOS!$A9374,nCURSO,DATOS!$D9374,nESPEC,DATOS!$E9374,nASIG,DATOS!$I9374,nEVAL,"EX")=0),0))))</f>
      </c>
      <c r="H9374">
        <f>IF(DATOS!$G9374&lt;&gt;"EX",0,--(COUNTIFS(nNIA,DATOS!$A9374,nCURSO,DATOS!$D9374,nESPEC,DATOS!$E9374,nASIG,DATOS!$I9374,nEVAL,"OR")=0))</f>
      </c>
      <c r="I9374">
        <f>IF(DATOS!$I9374="","",IFERROR(VLOOKUP(DATOS!$I9374,CONFIG_ASIGNATURAS!$B$2:$J$91,9,FALSE()),""))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IF(DATOS!$A9375="",0,IF(CONFIG_METADATA!$B$4&lt;&gt;"OR+EX",--(DATOS!$G9375=CONFIG_METADATA!$B$4),IF(DATOS!$G9375="EX",1,IF(DATOS!$G9375="OR",--(COUNTIFS(nNIA,DATOS!$A9375,nCURSO,DATOS!$D9375,nESPEC,DATOS!$E9375,nASIG,DATOS!$I9375,nEVAL,"EX")=0),0))))</f>
      </c>
      <c r="H9375">
        <f>IF(DATOS!$G9375&lt;&gt;"EX",0,--(COUNTIFS(nNIA,DATOS!$A9375,nCURSO,DATOS!$D9375,nESPEC,DATOS!$E9375,nASIG,DATOS!$I9375,nEVAL,"OR")=0))</f>
      </c>
      <c r="I9375">
        <f>IF(DATOS!$I9375="","",IFERROR(VLOOKUP(DATOS!$I9375,CONFIG_ASIGNATURAS!$B$2:$J$91,9,FALSE()),""))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IF(DATOS!$A9376="",0,IF(CONFIG_METADATA!$B$4&lt;&gt;"OR+EX",--(DATOS!$G9376=CONFIG_METADATA!$B$4),IF(DATOS!$G9376="EX",1,IF(DATOS!$G9376="OR",--(COUNTIFS(nNIA,DATOS!$A9376,nCURSO,DATOS!$D9376,nESPEC,DATOS!$E9376,nASIG,DATOS!$I9376,nEVAL,"EX")=0),0))))</f>
      </c>
      <c r="H9376">
        <f>IF(DATOS!$G9376&lt;&gt;"EX",0,--(COUNTIFS(nNIA,DATOS!$A9376,nCURSO,DATOS!$D9376,nESPEC,DATOS!$E9376,nASIG,DATOS!$I9376,nEVAL,"OR")=0))</f>
      </c>
      <c r="I9376">
        <f>IF(DATOS!$I9376="","",IFERROR(VLOOKUP(DATOS!$I9376,CONFIG_ASIGNATURAS!$B$2:$J$91,9,FALSE()),""))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IF(DATOS!$A9377="",0,IF(CONFIG_METADATA!$B$4&lt;&gt;"OR+EX",--(DATOS!$G9377=CONFIG_METADATA!$B$4),IF(DATOS!$G9377="EX",1,IF(DATOS!$G9377="OR",--(COUNTIFS(nNIA,DATOS!$A9377,nCURSO,DATOS!$D9377,nESPEC,DATOS!$E9377,nASIG,DATOS!$I9377,nEVAL,"EX")=0),0))))</f>
      </c>
      <c r="H9377">
        <f>IF(DATOS!$G9377&lt;&gt;"EX",0,--(COUNTIFS(nNIA,DATOS!$A9377,nCURSO,DATOS!$D9377,nESPEC,DATOS!$E9377,nASIG,DATOS!$I9377,nEVAL,"OR")=0))</f>
      </c>
      <c r="I9377">
        <f>IF(DATOS!$I9377="","",IFERROR(VLOOKUP(DATOS!$I9377,CONFIG_ASIGNATURAS!$B$2:$J$91,9,FALSE()),""))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IF(DATOS!$A9378="",0,IF(CONFIG_METADATA!$B$4&lt;&gt;"OR+EX",--(DATOS!$G9378=CONFIG_METADATA!$B$4),IF(DATOS!$G9378="EX",1,IF(DATOS!$G9378="OR",--(COUNTIFS(nNIA,DATOS!$A9378,nCURSO,DATOS!$D9378,nESPEC,DATOS!$E9378,nASIG,DATOS!$I9378,nEVAL,"EX")=0),0))))</f>
      </c>
      <c r="H9378">
        <f>IF(DATOS!$G9378&lt;&gt;"EX",0,--(COUNTIFS(nNIA,DATOS!$A9378,nCURSO,DATOS!$D9378,nESPEC,DATOS!$E9378,nASIG,DATOS!$I9378,nEVAL,"OR")=0))</f>
      </c>
      <c r="I9378">
        <f>IF(DATOS!$I9378="","",IFERROR(VLOOKUP(DATOS!$I9378,CONFIG_ASIGNATURAS!$B$2:$J$91,9,FALSE()),""))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IF(DATOS!$A9379="",0,IF(CONFIG_METADATA!$B$4&lt;&gt;"OR+EX",--(DATOS!$G9379=CONFIG_METADATA!$B$4),IF(DATOS!$G9379="EX",1,IF(DATOS!$G9379="OR",--(COUNTIFS(nNIA,DATOS!$A9379,nCURSO,DATOS!$D9379,nESPEC,DATOS!$E9379,nASIG,DATOS!$I9379,nEVAL,"EX")=0),0))))</f>
      </c>
      <c r="H9379">
        <f>IF(DATOS!$G9379&lt;&gt;"EX",0,--(COUNTIFS(nNIA,DATOS!$A9379,nCURSO,DATOS!$D9379,nESPEC,DATOS!$E9379,nASIG,DATOS!$I9379,nEVAL,"OR")=0))</f>
      </c>
      <c r="I9379">
        <f>IF(DATOS!$I9379="","",IFERROR(VLOOKUP(DATOS!$I9379,CONFIG_ASIGNATURAS!$B$2:$J$91,9,FALSE()),""))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IF(DATOS!$A9380="",0,IF(CONFIG_METADATA!$B$4&lt;&gt;"OR+EX",--(DATOS!$G9380=CONFIG_METADATA!$B$4),IF(DATOS!$G9380="EX",1,IF(DATOS!$G9380="OR",--(COUNTIFS(nNIA,DATOS!$A9380,nCURSO,DATOS!$D9380,nESPEC,DATOS!$E9380,nASIG,DATOS!$I9380,nEVAL,"EX")=0),0))))</f>
      </c>
      <c r="H9380">
        <f>IF(DATOS!$G9380&lt;&gt;"EX",0,--(COUNTIFS(nNIA,DATOS!$A9380,nCURSO,DATOS!$D9380,nESPEC,DATOS!$E9380,nASIG,DATOS!$I9380,nEVAL,"OR")=0))</f>
      </c>
      <c r="I9380">
        <f>IF(DATOS!$I9380="","",IFERROR(VLOOKUP(DATOS!$I9380,CONFIG_ASIGNATURAS!$B$2:$J$91,9,FALSE()),""))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IF(DATOS!$A9381="",0,IF(CONFIG_METADATA!$B$4&lt;&gt;"OR+EX",--(DATOS!$G9381=CONFIG_METADATA!$B$4),IF(DATOS!$G9381="EX",1,IF(DATOS!$G9381="OR",--(COUNTIFS(nNIA,DATOS!$A9381,nCURSO,DATOS!$D9381,nESPEC,DATOS!$E9381,nASIG,DATOS!$I9381,nEVAL,"EX")=0),0))))</f>
      </c>
      <c r="H9381">
        <f>IF(DATOS!$G9381&lt;&gt;"EX",0,--(COUNTIFS(nNIA,DATOS!$A9381,nCURSO,DATOS!$D9381,nESPEC,DATOS!$E9381,nASIG,DATOS!$I9381,nEVAL,"OR")=0))</f>
      </c>
      <c r="I9381">
        <f>IF(DATOS!$I9381="","",IFERROR(VLOOKUP(DATOS!$I9381,CONFIG_ASIGNATURAS!$B$2:$J$91,9,FALSE()),""))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IF(DATOS!$A9382="",0,IF(CONFIG_METADATA!$B$4&lt;&gt;"OR+EX",--(DATOS!$G9382=CONFIG_METADATA!$B$4),IF(DATOS!$G9382="EX",1,IF(DATOS!$G9382="OR",--(COUNTIFS(nNIA,DATOS!$A9382,nCURSO,DATOS!$D9382,nESPEC,DATOS!$E9382,nASIG,DATOS!$I9382,nEVAL,"EX")=0),0))))</f>
      </c>
      <c r="H9382">
        <f>IF(DATOS!$G9382&lt;&gt;"EX",0,--(COUNTIFS(nNIA,DATOS!$A9382,nCURSO,DATOS!$D9382,nESPEC,DATOS!$E9382,nASIG,DATOS!$I9382,nEVAL,"OR")=0))</f>
      </c>
      <c r="I9382">
        <f>IF(DATOS!$I9382="","",IFERROR(VLOOKUP(DATOS!$I9382,CONFIG_ASIGNATURAS!$B$2:$J$91,9,FALSE()),""))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IF(DATOS!$A9383="",0,IF(CONFIG_METADATA!$B$4&lt;&gt;"OR+EX",--(DATOS!$G9383=CONFIG_METADATA!$B$4),IF(DATOS!$G9383="EX",1,IF(DATOS!$G9383="OR",--(COUNTIFS(nNIA,DATOS!$A9383,nCURSO,DATOS!$D9383,nESPEC,DATOS!$E9383,nASIG,DATOS!$I9383,nEVAL,"EX")=0),0))))</f>
      </c>
      <c r="H9383">
        <f>IF(DATOS!$G9383&lt;&gt;"EX",0,--(COUNTIFS(nNIA,DATOS!$A9383,nCURSO,DATOS!$D9383,nESPEC,DATOS!$E9383,nASIG,DATOS!$I9383,nEVAL,"OR")=0))</f>
      </c>
      <c r="I9383">
        <f>IF(DATOS!$I9383="","",IFERROR(VLOOKUP(DATOS!$I9383,CONFIG_ASIGNATURAS!$B$2:$J$91,9,FALSE()),""))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IF(DATOS!$A9384="",0,IF(CONFIG_METADATA!$B$4&lt;&gt;"OR+EX",--(DATOS!$G9384=CONFIG_METADATA!$B$4),IF(DATOS!$G9384="EX",1,IF(DATOS!$G9384="OR",--(COUNTIFS(nNIA,DATOS!$A9384,nCURSO,DATOS!$D9384,nESPEC,DATOS!$E9384,nASIG,DATOS!$I9384,nEVAL,"EX")=0),0))))</f>
      </c>
      <c r="H9384">
        <f>IF(DATOS!$G9384&lt;&gt;"EX",0,--(COUNTIFS(nNIA,DATOS!$A9384,nCURSO,DATOS!$D9384,nESPEC,DATOS!$E9384,nASIG,DATOS!$I9384,nEVAL,"OR")=0))</f>
      </c>
      <c r="I9384">
        <f>IF(DATOS!$I9384="","",IFERROR(VLOOKUP(DATOS!$I9384,CONFIG_ASIGNATURAS!$B$2:$J$91,9,FALSE()),""))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IF(DATOS!$A9385="",0,IF(CONFIG_METADATA!$B$4&lt;&gt;"OR+EX",--(DATOS!$G9385=CONFIG_METADATA!$B$4),IF(DATOS!$G9385="EX",1,IF(DATOS!$G9385="OR",--(COUNTIFS(nNIA,DATOS!$A9385,nCURSO,DATOS!$D9385,nESPEC,DATOS!$E9385,nASIG,DATOS!$I9385,nEVAL,"EX")=0),0))))</f>
      </c>
      <c r="H9385">
        <f>IF(DATOS!$G9385&lt;&gt;"EX",0,--(COUNTIFS(nNIA,DATOS!$A9385,nCURSO,DATOS!$D9385,nESPEC,DATOS!$E9385,nASIG,DATOS!$I9385,nEVAL,"OR")=0))</f>
      </c>
      <c r="I9385">
        <f>IF(DATOS!$I9385="","",IFERROR(VLOOKUP(DATOS!$I9385,CONFIG_ASIGNATURAS!$B$2:$J$91,9,FALSE()),""))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IF(DATOS!$A9386="",0,IF(CONFIG_METADATA!$B$4&lt;&gt;"OR+EX",--(DATOS!$G9386=CONFIG_METADATA!$B$4),IF(DATOS!$G9386="EX",1,IF(DATOS!$G9386="OR",--(COUNTIFS(nNIA,DATOS!$A9386,nCURSO,DATOS!$D9386,nESPEC,DATOS!$E9386,nASIG,DATOS!$I9386,nEVAL,"EX")=0),0))))</f>
      </c>
      <c r="H9386">
        <f>IF(DATOS!$G9386&lt;&gt;"EX",0,--(COUNTIFS(nNIA,DATOS!$A9386,nCURSO,DATOS!$D9386,nESPEC,DATOS!$E9386,nASIG,DATOS!$I9386,nEVAL,"OR")=0))</f>
      </c>
      <c r="I9386">
        <f>IF(DATOS!$I9386="","",IFERROR(VLOOKUP(DATOS!$I9386,CONFIG_ASIGNATURAS!$B$2:$J$91,9,FALSE()),""))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IF(DATOS!$A9387="",0,IF(CONFIG_METADATA!$B$4&lt;&gt;"OR+EX",--(DATOS!$G9387=CONFIG_METADATA!$B$4),IF(DATOS!$G9387="EX",1,IF(DATOS!$G9387="OR",--(COUNTIFS(nNIA,DATOS!$A9387,nCURSO,DATOS!$D9387,nESPEC,DATOS!$E9387,nASIG,DATOS!$I9387,nEVAL,"EX")=0),0))))</f>
      </c>
      <c r="H9387">
        <f>IF(DATOS!$G9387&lt;&gt;"EX",0,--(COUNTIFS(nNIA,DATOS!$A9387,nCURSO,DATOS!$D9387,nESPEC,DATOS!$E9387,nASIG,DATOS!$I9387,nEVAL,"OR")=0))</f>
      </c>
      <c r="I9387">
        <f>IF(DATOS!$I9387="","",IFERROR(VLOOKUP(DATOS!$I9387,CONFIG_ASIGNATURAS!$B$2:$J$91,9,FALSE()),""))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IF(DATOS!$A9388="",0,IF(CONFIG_METADATA!$B$4&lt;&gt;"OR+EX",--(DATOS!$G9388=CONFIG_METADATA!$B$4),IF(DATOS!$G9388="EX",1,IF(DATOS!$G9388="OR",--(COUNTIFS(nNIA,DATOS!$A9388,nCURSO,DATOS!$D9388,nESPEC,DATOS!$E9388,nASIG,DATOS!$I9388,nEVAL,"EX")=0),0))))</f>
      </c>
      <c r="H9388">
        <f>IF(DATOS!$G9388&lt;&gt;"EX",0,--(COUNTIFS(nNIA,DATOS!$A9388,nCURSO,DATOS!$D9388,nESPEC,DATOS!$E9388,nASIG,DATOS!$I9388,nEVAL,"OR")=0))</f>
      </c>
      <c r="I9388">
        <f>IF(DATOS!$I9388="","",IFERROR(VLOOKUP(DATOS!$I9388,CONFIG_ASIGNATURAS!$B$2:$J$91,9,FALSE()),""))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IF(DATOS!$A9389="",0,IF(CONFIG_METADATA!$B$4&lt;&gt;"OR+EX",--(DATOS!$G9389=CONFIG_METADATA!$B$4),IF(DATOS!$G9389="EX",1,IF(DATOS!$G9389="OR",--(COUNTIFS(nNIA,DATOS!$A9389,nCURSO,DATOS!$D9389,nESPEC,DATOS!$E9389,nASIG,DATOS!$I9389,nEVAL,"EX")=0),0))))</f>
      </c>
      <c r="H9389">
        <f>IF(DATOS!$G9389&lt;&gt;"EX",0,--(COUNTIFS(nNIA,DATOS!$A9389,nCURSO,DATOS!$D9389,nESPEC,DATOS!$E9389,nASIG,DATOS!$I9389,nEVAL,"OR")=0))</f>
      </c>
      <c r="I9389">
        <f>IF(DATOS!$I9389="","",IFERROR(VLOOKUP(DATOS!$I9389,CONFIG_ASIGNATURAS!$B$2:$J$91,9,FALSE()),""))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IF(DATOS!$A9390="",0,IF(CONFIG_METADATA!$B$4&lt;&gt;"OR+EX",--(DATOS!$G9390=CONFIG_METADATA!$B$4),IF(DATOS!$G9390="EX",1,IF(DATOS!$G9390="OR",--(COUNTIFS(nNIA,DATOS!$A9390,nCURSO,DATOS!$D9390,nESPEC,DATOS!$E9390,nASIG,DATOS!$I9390,nEVAL,"EX")=0),0))))</f>
      </c>
      <c r="H9390">
        <f>IF(DATOS!$G9390&lt;&gt;"EX",0,--(COUNTIFS(nNIA,DATOS!$A9390,nCURSO,DATOS!$D9390,nESPEC,DATOS!$E9390,nASIG,DATOS!$I9390,nEVAL,"OR")=0))</f>
      </c>
      <c r="I9390">
        <f>IF(DATOS!$I9390="","",IFERROR(VLOOKUP(DATOS!$I9390,CONFIG_ASIGNATURAS!$B$2:$J$91,9,FALSE()),""))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IF(DATOS!$A9391="",0,IF(CONFIG_METADATA!$B$4&lt;&gt;"OR+EX",--(DATOS!$G9391=CONFIG_METADATA!$B$4),IF(DATOS!$G9391="EX",1,IF(DATOS!$G9391="OR",--(COUNTIFS(nNIA,DATOS!$A9391,nCURSO,DATOS!$D9391,nESPEC,DATOS!$E9391,nASIG,DATOS!$I9391,nEVAL,"EX")=0),0))))</f>
      </c>
      <c r="H9391">
        <f>IF(DATOS!$G9391&lt;&gt;"EX",0,--(COUNTIFS(nNIA,DATOS!$A9391,nCURSO,DATOS!$D9391,nESPEC,DATOS!$E9391,nASIG,DATOS!$I9391,nEVAL,"OR")=0))</f>
      </c>
      <c r="I9391">
        <f>IF(DATOS!$I9391="","",IFERROR(VLOOKUP(DATOS!$I9391,CONFIG_ASIGNATURAS!$B$2:$J$91,9,FALSE()),""))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IF(DATOS!$A9392="",0,IF(CONFIG_METADATA!$B$4&lt;&gt;"OR+EX",--(DATOS!$G9392=CONFIG_METADATA!$B$4),IF(DATOS!$G9392="EX",1,IF(DATOS!$G9392="OR",--(COUNTIFS(nNIA,DATOS!$A9392,nCURSO,DATOS!$D9392,nESPEC,DATOS!$E9392,nASIG,DATOS!$I9392,nEVAL,"EX")=0),0))))</f>
      </c>
      <c r="H9392">
        <f>IF(DATOS!$G9392&lt;&gt;"EX",0,--(COUNTIFS(nNIA,DATOS!$A9392,nCURSO,DATOS!$D9392,nESPEC,DATOS!$E9392,nASIG,DATOS!$I9392,nEVAL,"OR")=0))</f>
      </c>
      <c r="I9392">
        <f>IF(DATOS!$I9392="","",IFERROR(VLOOKUP(DATOS!$I9392,CONFIG_ASIGNATURAS!$B$2:$J$91,9,FALSE()),""))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IF(DATOS!$A9393="",0,IF(CONFIG_METADATA!$B$4&lt;&gt;"OR+EX",--(DATOS!$G9393=CONFIG_METADATA!$B$4),IF(DATOS!$G9393="EX",1,IF(DATOS!$G9393="OR",--(COUNTIFS(nNIA,DATOS!$A9393,nCURSO,DATOS!$D9393,nESPEC,DATOS!$E9393,nASIG,DATOS!$I9393,nEVAL,"EX")=0),0))))</f>
      </c>
      <c r="H9393">
        <f>IF(DATOS!$G9393&lt;&gt;"EX",0,--(COUNTIFS(nNIA,DATOS!$A9393,nCURSO,DATOS!$D9393,nESPEC,DATOS!$E9393,nASIG,DATOS!$I9393,nEVAL,"OR")=0))</f>
      </c>
      <c r="I9393">
        <f>IF(DATOS!$I9393="","",IFERROR(VLOOKUP(DATOS!$I9393,CONFIG_ASIGNATURAS!$B$2:$J$91,9,FALSE()),""))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IF(DATOS!$A9394="",0,IF(CONFIG_METADATA!$B$4&lt;&gt;"OR+EX",--(DATOS!$G9394=CONFIG_METADATA!$B$4),IF(DATOS!$G9394="EX",1,IF(DATOS!$G9394="OR",--(COUNTIFS(nNIA,DATOS!$A9394,nCURSO,DATOS!$D9394,nESPEC,DATOS!$E9394,nASIG,DATOS!$I9394,nEVAL,"EX")=0),0))))</f>
      </c>
      <c r="H9394">
        <f>IF(DATOS!$G9394&lt;&gt;"EX",0,--(COUNTIFS(nNIA,DATOS!$A9394,nCURSO,DATOS!$D9394,nESPEC,DATOS!$E9394,nASIG,DATOS!$I9394,nEVAL,"OR")=0))</f>
      </c>
      <c r="I9394">
        <f>IF(DATOS!$I9394="","",IFERROR(VLOOKUP(DATOS!$I9394,CONFIG_ASIGNATURAS!$B$2:$J$91,9,FALSE()),""))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IF(DATOS!$A9395="",0,IF(CONFIG_METADATA!$B$4&lt;&gt;"OR+EX",--(DATOS!$G9395=CONFIG_METADATA!$B$4),IF(DATOS!$G9395="EX",1,IF(DATOS!$G9395="OR",--(COUNTIFS(nNIA,DATOS!$A9395,nCURSO,DATOS!$D9395,nESPEC,DATOS!$E9395,nASIG,DATOS!$I9395,nEVAL,"EX")=0),0))))</f>
      </c>
      <c r="H9395">
        <f>IF(DATOS!$G9395&lt;&gt;"EX",0,--(COUNTIFS(nNIA,DATOS!$A9395,nCURSO,DATOS!$D9395,nESPEC,DATOS!$E9395,nASIG,DATOS!$I9395,nEVAL,"OR")=0))</f>
      </c>
      <c r="I9395">
        <f>IF(DATOS!$I9395="","",IFERROR(VLOOKUP(DATOS!$I9395,CONFIG_ASIGNATURAS!$B$2:$J$91,9,FALSE()),""))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IF(DATOS!$A9396="",0,IF(CONFIG_METADATA!$B$4&lt;&gt;"OR+EX",--(DATOS!$G9396=CONFIG_METADATA!$B$4),IF(DATOS!$G9396="EX",1,IF(DATOS!$G9396="OR",--(COUNTIFS(nNIA,DATOS!$A9396,nCURSO,DATOS!$D9396,nESPEC,DATOS!$E9396,nASIG,DATOS!$I9396,nEVAL,"EX")=0),0))))</f>
      </c>
      <c r="H9396">
        <f>IF(DATOS!$G9396&lt;&gt;"EX",0,--(COUNTIFS(nNIA,DATOS!$A9396,nCURSO,DATOS!$D9396,nESPEC,DATOS!$E9396,nASIG,DATOS!$I9396,nEVAL,"OR")=0))</f>
      </c>
      <c r="I9396">
        <f>IF(DATOS!$I9396="","",IFERROR(VLOOKUP(DATOS!$I9396,CONFIG_ASIGNATURAS!$B$2:$J$91,9,FALSE()),""))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IF(DATOS!$A9397="",0,IF(CONFIG_METADATA!$B$4&lt;&gt;"OR+EX",--(DATOS!$G9397=CONFIG_METADATA!$B$4),IF(DATOS!$G9397="EX",1,IF(DATOS!$G9397="OR",--(COUNTIFS(nNIA,DATOS!$A9397,nCURSO,DATOS!$D9397,nESPEC,DATOS!$E9397,nASIG,DATOS!$I9397,nEVAL,"EX")=0),0))))</f>
      </c>
      <c r="H9397">
        <f>IF(DATOS!$G9397&lt;&gt;"EX",0,--(COUNTIFS(nNIA,DATOS!$A9397,nCURSO,DATOS!$D9397,nESPEC,DATOS!$E9397,nASIG,DATOS!$I9397,nEVAL,"OR")=0))</f>
      </c>
      <c r="I9397">
        <f>IF(DATOS!$I9397="","",IFERROR(VLOOKUP(DATOS!$I9397,CONFIG_ASIGNATURAS!$B$2:$J$91,9,FALSE()),""))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IF(DATOS!$A9398="",0,IF(CONFIG_METADATA!$B$4&lt;&gt;"OR+EX",--(DATOS!$G9398=CONFIG_METADATA!$B$4),IF(DATOS!$G9398="EX",1,IF(DATOS!$G9398="OR",--(COUNTIFS(nNIA,DATOS!$A9398,nCURSO,DATOS!$D9398,nESPEC,DATOS!$E9398,nASIG,DATOS!$I9398,nEVAL,"EX")=0),0))))</f>
      </c>
      <c r="H9398">
        <f>IF(DATOS!$G9398&lt;&gt;"EX",0,--(COUNTIFS(nNIA,DATOS!$A9398,nCURSO,DATOS!$D9398,nESPEC,DATOS!$E9398,nASIG,DATOS!$I9398,nEVAL,"OR")=0))</f>
      </c>
      <c r="I9398">
        <f>IF(DATOS!$I9398="","",IFERROR(VLOOKUP(DATOS!$I9398,CONFIG_ASIGNATURAS!$B$2:$J$91,9,FALSE()),""))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IF(DATOS!$A9399="",0,IF(CONFIG_METADATA!$B$4&lt;&gt;"OR+EX",--(DATOS!$G9399=CONFIG_METADATA!$B$4),IF(DATOS!$G9399="EX",1,IF(DATOS!$G9399="OR",--(COUNTIFS(nNIA,DATOS!$A9399,nCURSO,DATOS!$D9399,nESPEC,DATOS!$E9399,nASIG,DATOS!$I9399,nEVAL,"EX")=0),0))))</f>
      </c>
      <c r="H9399">
        <f>IF(DATOS!$G9399&lt;&gt;"EX",0,--(COUNTIFS(nNIA,DATOS!$A9399,nCURSO,DATOS!$D9399,nESPEC,DATOS!$E9399,nASIG,DATOS!$I9399,nEVAL,"OR")=0))</f>
      </c>
      <c r="I9399">
        <f>IF(DATOS!$I9399="","",IFERROR(VLOOKUP(DATOS!$I9399,CONFIG_ASIGNATURAS!$B$2:$J$91,9,FALSE()),""))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IF(DATOS!$A9400="",0,IF(CONFIG_METADATA!$B$4&lt;&gt;"OR+EX",--(DATOS!$G9400=CONFIG_METADATA!$B$4),IF(DATOS!$G9400="EX",1,IF(DATOS!$G9400="OR",--(COUNTIFS(nNIA,DATOS!$A9400,nCURSO,DATOS!$D9400,nESPEC,DATOS!$E9400,nASIG,DATOS!$I9400,nEVAL,"EX")=0),0))))</f>
      </c>
      <c r="H9400">
        <f>IF(DATOS!$G9400&lt;&gt;"EX",0,--(COUNTIFS(nNIA,DATOS!$A9400,nCURSO,DATOS!$D9400,nESPEC,DATOS!$E9400,nASIG,DATOS!$I9400,nEVAL,"OR")=0))</f>
      </c>
      <c r="I9400">
        <f>IF(DATOS!$I9400="","",IFERROR(VLOOKUP(DATOS!$I9400,CONFIG_ASIGNATURAS!$B$2:$J$91,9,FALSE()),""))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IF(DATOS!$A9401="",0,IF(CONFIG_METADATA!$B$4&lt;&gt;"OR+EX",--(DATOS!$G9401=CONFIG_METADATA!$B$4),IF(DATOS!$G9401="EX",1,IF(DATOS!$G9401="OR",--(COUNTIFS(nNIA,DATOS!$A9401,nCURSO,DATOS!$D9401,nESPEC,DATOS!$E9401,nASIG,DATOS!$I9401,nEVAL,"EX")=0),0))))</f>
      </c>
      <c r="H9401">
        <f>IF(DATOS!$G9401&lt;&gt;"EX",0,--(COUNTIFS(nNIA,DATOS!$A9401,nCURSO,DATOS!$D9401,nESPEC,DATOS!$E9401,nASIG,DATOS!$I9401,nEVAL,"OR")=0))</f>
      </c>
      <c r="I9401">
        <f>IF(DATOS!$I9401="","",IFERROR(VLOOKUP(DATOS!$I9401,CONFIG_ASIGNATURAS!$B$2:$J$91,9,FALSE()),""))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IF(DATOS!$A9402="",0,IF(CONFIG_METADATA!$B$4&lt;&gt;"OR+EX",--(DATOS!$G9402=CONFIG_METADATA!$B$4),IF(DATOS!$G9402="EX",1,IF(DATOS!$G9402="OR",--(COUNTIFS(nNIA,DATOS!$A9402,nCURSO,DATOS!$D9402,nESPEC,DATOS!$E9402,nASIG,DATOS!$I9402,nEVAL,"EX")=0),0))))</f>
      </c>
      <c r="H9402">
        <f>IF(DATOS!$G9402&lt;&gt;"EX",0,--(COUNTIFS(nNIA,DATOS!$A9402,nCURSO,DATOS!$D9402,nESPEC,DATOS!$E9402,nASIG,DATOS!$I9402,nEVAL,"OR")=0))</f>
      </c>
      <c r="I9402">
        <f>IF(DATOS!$I9402="","",IFERROR(VLOOKUP(DATOS!$I9402,CONFIG_ASIGNATURAS!$B$2:$J$91,9,FALSE()),""))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IF(DATOS!$A9403="",0,IF(CONFIG_METADATA!$B$4&lt;&gt;"OR+EX",--(DATOS!$G9403=CONFIG_METADATA!$B$4),IF(DATOS!$G9403="EX",1,IF(DATOS!$G9403="OR",--(COUNTIFS(nNIA,DATOS!$A9403,nCURSO,DATOS!$D9403,nESPEC,DATOS!$E9403,nASIG,DATOS!$I9403,nEVAL,"EX")=0),0))))</f>
      </c>
      <c r="H9403">
        <f>IF(DATOS!$G9403&lt;&gt;"EX",0,--(COUNTIFS(nNIA,DATOS!$A9403,nCURSO,DATOS!$D9403,nESPEC,DATOS!$E9403,nASIG,DATOS!$I9403,nEVAL,"OR")=0))</f>
      </c>
      <c r="I9403">
        <f>IF(DATOS!$I9403="","",IFERROR(VLOOKUP(DATOS!$I9403,CONFIG_ASIGNATURAS!$B$2:$J$91,9,FALSE()),""))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IF(DATOS!$A9404="",0,IF(CONFIG_METADATA!$B$4&lt;&gt;"OR+EX",--(DATOS!$G9404=CONFIG_METADATA!$B$4),IF(DATOS!$G9404="EX",1,IF(DATOS!$G9404="OR",--(COUNTIFS(nNIA,DATOS!$A9404,nCURSO,DATOS!$D9404,nESPEC,DATOS!$E9404,nASIG,DATOS!$I9404,nEVAL,"EX")=0),0))))</f>
      </c>
      <c r="H9404">
        <f>IF(DATOS!$G9404&lt;&gt;"EX",0,--(COUNTIFS(nNIA,DATOS!$A9404,nCURSO,DATOS!$D9404,nESPEC,DATOS!$E9404,nASIG,DATOS!$I9404,nEVAL,"OR")=0))</f>
      </c>
      <c r="I9404">
        <f>IF(DATOS!$I9404="","",IFERROR(VLOOKUP(DATOS!$I9404,CONFIG_ASIGNATURAS!$B$2:$J$91,9,FALSE()),""))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IF(DATOS!$A9405="",0,IF(CONFIG_METADATA!$B$4&lt;&gt;"OR+EX",--(DATOS!$G9405=CONFIG_METADATA!$B$4),IF(DATOS!$G9405="EX",1,IF(DATOS!$G9405="OR",--(COUNTIFS(nNIA,DATOS!$A9405,nCURSO,DATOS!$D9405,nESPEC,DATOS!$E9405,nASIG,DATOS!$I9405,nEVAL,"EX")=0),0))))</f>
      </c>
      <c r="H9405">
        <f>IF(DATOS!$G9405&lt;&gt;"EX",0,--(COUNTIFS(nNIA,DATOS!$A9405,nCURSO,DATOS!$D9405,nESPEC,DATOS!$E9405,nASIG,DATOS!$I9405,nEVAL,"OR")=0))</f>
      </c>
      <c r="I9405">
        <f>IF(DATOS!$I9405="","",IFERROR(VLOOKUP(DATOS!$I9405,CONFIG_ASIGNATURAS!$B$2:$J$91,9,FALSE()),""))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IF(DATOS!$A9406="",0,IF(CONFIG_METADATA!$B$4&lt;&gt;"OR+EX",--(DATOS!$G9406=CONFIG_METADATA!$B$4),IF(DATOS!$G9406="EX",1,IF(DATOS!$G9406="OR",--(COUNTIFS(nNIA,DATOS!$A9406,nCURSO,DATOS!$D9406,nESPEC,DATOS!$E9406,nASIG,DATOS!$I9406,nEVAL,"EX")=0),0))))</f>
      </c>
      <c r="H9406">
        <f>IF(DATOS!$G9406&lt;&gt;"EX",0,--(COUNTIFS(nNIA,DATOS!$A9406,nCURSO,DATOS!$D9406,nESPEC,DATOS!$E9406,nASIG,DATOS!$I9406,nEVAL,"OR")=0))</f>
      </c>
      <c r="I9406">
        <f>IF(DATOS!$I9406="","",IFERROR(VLOOKUP(DATOS!$I9406,CONFIG_ASIGNATURAS!$B$2:$J$91,9,FALSE()),""))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IF(DATOS!$A9407="",0,IF(CONFIG_METADATA!$B$4&lt;&gt;"OR+EX",--(DATOS!$G9407=CONFIG_METADATA!$B$4),IF(DATOS!$G9407="EX",1,IF(DATOS!$G9407="OR",--(COUNTIFS(nNIA,DATOS!$A9407,nCURSO,DATOS!$D9407,nESPEC,DATOS!$E9407,nASIG,DATOS!$I9407,nEVAL,"EX")=0),0))))</f>
      </c>
      <c r="H9407">
        <f>IF(DATOS!$G9407&lt;&gt;"EX",0,--(COUNTIFS(nNIA,DATOS!$A9407,nCURSO,DATOS!$D9407,nESPEC,DATOS!$E9407,nASIG,DATOS!$I9407,nEVAL,"OR")=0))</f>
      </c>
      <c r="I9407">
        <f>IF(DATOS!$I9407="","",IFERROR(VLOOKUP(DATOS!$I9407,CONFIG_ASIGNATURAS!$B$2:$J$91,9,FALSE()),""))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IF(DATOS!$A9408="",0,IF(CONFIG_METADATA!$B$4&lt;&gt;"OR+EX",--(DATOS!$G9408=CONFIG_METADATA!$B$4),IF(DATOS!$G9408="EX",1,IF(DATOS!$G9408="OR",--(COUNTIFS(nNIA,DATOS!$A9408,nCURSO,DATOS!$D9408,nESPEC,DATOS!$E9408,nASIG,DATOS!$I9408,nEVAL,"EX")=0),0))))</f>
      </c>
      <c r="H9408">
        <f>IF(DATOS!$G9408&lt;&gt;"EX",0,--(COUNTIFS(nNIA,DATOS!$A9408,nCURSO,DATOS!$D9408,nESPEC,DATOS!$E9408,nASIG,DATOS!$I9408,nEVAL,"OR")=0))</f>
      </c>
      <c r="I9408">
        <f>IF(DATOS!$I9408="","",IFERROR(VLOOKUP(DATOS!$I9408,CONFIG_ASIGNATURAS!$B$2:$J$91,9,FALSE()),""))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IF(DATOS!$A9409="",0,IF(CONFIG_METADATA!$B$4&lt;&gt;"OR+EX",--(DATOS!$G9409=CONFIG_METADATA!$B$4),IF(DATOS!$G9409="EX",1,IF(DATOS!$G9409="OR",--(COUNTIFS(nNIA,DATOS!$A9409,nCURSO,DATOS!$D9409,nESPEC,DATOS!$E9409,nASIG,DATOS!$I9409,nEVAL,"EX")=0),0))))</f>
      </c>
      <c r="H9409">
        <f>IF(DATOS!$G9409&lt;&gt;"EX",0,--(COUNTIFS(nNIA,DATOS!$A9409,nCURSO,DATOS!$D9409,nESPEC,DATOS!$E9409,nASIG,DATOS!$I9409,nEVAL,"OR")=0))</f>
      </c>
      <c r="I9409">
        <f>IF(DATOS!$I9409="","",IFERROR(VLOOKUP(DATOS!$I9409,CONFIG_ASIGNATURAS!$B$2:$J$91,9,FALSE()),""))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IF(DATOS!$A9410="",0,IF(CONFIG_METADATA!$B$4&lt;&gt;"OR+EX",--(DATOS!$G9410=CONFIG_METADATA!$B$4),IF(DATOS!$G9410="EX",1,IF(DATOS!$G9410="OR",--(COUNTIFS(nNIA,DATOS!$A9410,nCURSO,DATOS!$D9410,nESPEC,DATOS!$E9410,nASIG,DATOS!$I9410,nEVAL,"EX")=0),0))))</f>
      </c>
      <c r="H9410">
        <f>IF(DATOS!$G9410&lt;&gt;"EX",0,--(COUNTIFS(nNIA,DATOS!$A9410,nCURSO,DATOS!$D9410,nESPEC,DATOS!$E9410,nASIG,DATOS!$I9410,nEVAL,"OR")=0))</f>
      </c>
      <c r="I9410">
        <f>IF(DATOS!$I9410="","",IFERROR(VLOOKUP(DATOS!$I9410,CONFIG_ASIGNATURAS!$B$2:$J$91,9,FALSE()),""))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IF(DATOS!$A9411="",0,IF(CONFIG_METADATA!$B$4&lt;&gt;"OR+EX",--(DATOS!$G9411=CONFIG_METADATA!$B$4),IF(DATOS!$G9411="EX",1,IF(DATOS!$G9411="OR",--(COUNTIFS(nNIA,DATOS!$A9411,nCURSO,DATOS!$D9411,nESPEC,DATOS!$E9411,nASIG,DATOS!$I9411,nEVAL,"EX")=0),0))))</f>
      </c>
      <c r="H9411">
        <f>IF(DATOS!$G9411&lt;&gt;"EX",0,--(COUNTIFS(nNIA,DATOS!$A9411,nCURSO,DATOS!$D9411,nESPEC,DATOS!$E9411,nASIG,DATOS!$I9411,nEVAL,"OR")=0))</f>
      </c>
      <c r="I9411">
        <f>IF(DATOS!$I9411="","",IFERROR(VLOOKUP(DATOS!$I9411,CONFIG_ASIGNATURAS!$B$2:$J$91,9,FALSE()),""))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IF(DATOS!$A9412="",0,IF(CONFIG_METADATA!$B$4&lt;&gt;"OR+EX",--(DATOS!$G9412=CONFIG_METADATA!$B$4),IF(DATOS!$G9412="EX",1,IF(DATOS!$G9412="OR",--(COUNTIFS(nNIA,DATOS!$A9412,nCURSO,DATOS!$D9412,nESPEC,DATOS!$E9412,nASIG,DATOS!$I9412,nEVAL,"EX")=0),0))))</f>
      </c>
      <c r="H9412">
        <f>IF(DATOS!$G9412&lt;&gt;"EX",0,--(COUNTIFS(nNIA,DATOS!$A9412,nCURSO,DATOS!$D9412,nESPEC,DATOS!$E9412,nASIG,DATOS!$I9412,nEVAL,"OR")=0))</f>
      </c>
      <c r="I9412">
        <f>IF(DATOS!$I9412="","",IFERROR(VLOOKUP(DATOS!$I9412,CONFIG_ASIGNATURAS!$B$2:$J$91,9,FALSE()),""))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IF(DATOS!$A9413="",0,IF(CONFIG_METADATA!$B$4&lt;&gt;"OR+EX",--(DATOS!$G9413=CONFIG_METADATA!$B$4),IF(DATOS!$G9413="EX",1,IF(DATOS!$G9413="OR",--(COUNTIFS(nNIA,DATOS!$A9413,nCURSO,DATOS!$D9413,nESPEC,DATOS!$E9413,nASIG,DATOS!$I9413,nEVAL,"EX")=0),0))))</f>
      </c>
      <c r="H9413">
        <f>IF(DATOS!$G9413&lt;&gt;"EX",0,--(COUNTIFS(nNIA,DATOS!$A9413,nCURSO,DATOS!$D9413,nESPEC,DATOS!$E9413,nASIG,DATOS!$I9413,nEVAL,"OR")=0))</f>
      </c>
      <c r="I9413">
        <f>IF(DATOS!$I9413="","",IFERROR(VLOOKUP(DATOS!$I9413,CONFIG_ASIGNATURAS!$B$2:$J$91,9,FALSE()),""))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IF(DATOS!$A9414="",0,IF(CONFIG_METADATA!$B$4&lt;&gt;"OR+EX",--(DATOS!$G9414=CONFIG_METADATA!$B$4),IF(DATOS!$G9414="EX",1,IF(DATOS!$G9414="OR",--(COUNTIFS(nNIA,DATOS!$A9414,nCURSO,DATOS!$D9414,nESPEC,DATOS!$E9414,nASIG,DATOS!$I9414,nEVAL,"EX")=0),0))))</f>
      </c>
      <c r="H9414">
        <f>IF(DATOS!$G9414&lt;&gt;"EX",0,--(COUNTIFS(nNIA,DATOS!$A9414,nCURSO,DATOS!$D9414,nESPEC,DATOS!$E9414,nASIG,DATOS!$I9414,nEVAL,"OR")=0))</f>
      </c>
      <c r="I9414">
        <f>IF(DATOS!$I9414="","",IFERROR(VLOOKUP(DATOS!$I9414,CONFIG_ASIGNATURAS!$B$2:$J$91,9,FALSE()),""))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IF(DATOS!$A9415="",0,IF(CONFIG_METADATA!$B$4&lt;&gt;"OR+EX",--(DATOS!$G9415=CONFIG_METADATA!$B$4),IF(DATOS!$G9415="EX",1,IF(DATOS!$G9415="OR",--(COUNTIFS(nNIA,DATOS!$A9415,nCURSO,DATOS!$D9415,nESPEC,DATOS!$E9415,nASIG,DATOS!$I9415,nEVAL,"EX")=0),0))))</f>
      </c>
      <c r="H9415">
        <f>IF(DATOS!$G9415&lt;&gt;"EX",0,--(COUNTIFS(nNIA,DATOS!$A9415,nCURSO,DATOS!$D9415,nESPEC,DATOS!$E9415,nASIG,DATOS!$I9415,nEVAL,"OR")=0))</f>
      </c>
      <c r="I9415">
        <f>IF(DATOS!$I9415="","",IFERROR(VLOOKUP(DATOS!$I9415,CONFIG_ASIGNATURAS!$B$2:$J$91,9,FALSE()),""))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IF(DATOS!$A9416="",0,IF(CONFIG_METADATA!$B$4&lt;&gt;"OR+EX",--(DATOS!$G9416=CONFIG_METADATA!$B$4),IF(DATOS!$G9416="EX",1,IF(DATOS!$G9416="OR",--(COUNTIFS(nNIA,DATOS!$A9416,nCURSO,DATOS!$D9416,nESPEC,DATOS!$E9416,nASIG,DATOS!$I9416,nEVAL,"EX")=0),0))))</f>
      </c>
      <c r="H9416">
        <f>IF(DATOS!$G9416&lt;&gt;"EX",0,--(COUNTIFS(nNIA,DATOS!$A9416,nCURSO,DATOS!$D9416,nESPEC,DATOS!$E9416,nASIG,DATOS!$I9416,nEVAL,"OR")=0))</f>
      </c>
      <c r="I9416">
        <f>IF(DATOS!$I9416="","",IFERROR(VLOOKUP(DATOS!$I9416,CONFIG_ASIGNATURAS!$B$2:$J$91,9,FALSE()),""))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IF(DATOS!$A9417="",0,IF(CONFIG_METADATA!$B$4&lt;&gt;"OR+EX",--(DATOS!$G9417=CONFIG_METADATA!$B$4),IF(DATOS!$G9417="EX",1,IF(DATOS!$G9417="OR",--(COUNTIFS(nNIA,DATOS!$A9417,nCURSO,DATOS!$D9417,nESPEC,DATOS!$E9417,nASIG,DATOS!$I9417,nEVAL,"EX")=0),0))))</f>
      </c>
      <c r="H9417">
        <f>IF(DATOS!$G9417&lt;&gt;"EX",0,--(COUNTIFS(nNIA,DATOS!$A9417,nCURSO,DATOS!$D9417,nESPEC,DATOS!$E9417,nASIG,DATOS!$I9417,nEVAL,"OR")=0))</f>
      </c>
      <c r="I9417">
        <f>IF(DATOS!$I9417="","",IFERROR(VLOOKUP(DATOS!$I9417,CONFIG_ASIGNATURAS!$B$2:$J$91,9,FALSE()),""))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IF(DATOS!$A9418="",0,IF(CONFIG_METADATA!$B$4&lt;&gt;"OR+EX",--(DATOS!$G9418=CONFIG_METADATA!$B$4),IF(DATOS!$G9418="EX",1,IF(DATOS!$G9418="OR",--(COUNTIFS(nNIA,DATOS!$A9418,nCURSO,DATOS!$D9418,nESPEC,DATOS!$E9418,nASIG,DATOS!$I9418,nEVAL,"EX")=0),0))))</f>
      </c>
      <c r="H9418">
        <f>IF(DATOS!$G9418&lt;&gt;"EX",0,--(COUNTIFS(nNIA,DATOS!$A9418,nCURSO,DATOS!$D9418,nESPEC,DATOS!$E9418,nASIG,DATOS!$I9418,nEVAL,"OR")=0))</f>
      </c>
      <c r="I9418">
        <f>IF(DATOS!$I9418="","",IFERROR(VLOOKUP(DATOS!$I9418,CONFIG_ASIGNATURAS!$B$2:$J$91,9,FALSE()),""))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IF(DATOS!$A9419="",0,IF(CONFIG_METADATA!$B$4&lt;&gt;"OR+EX",--(DATOS!$G9419=CONFIG_METADATA!$B$4),IF(DATOS!$G9419="EX",1,IF(DATOS!$G9419="OR",--(COUNTIFS(nNIA,DATOS!$A9419,nCURSO,DATOS!$D9419,nESPEC,DATOS!$E9419,nASIG,DATOS!$I9419,nEVAL,"EX")=0),0))))</f>
      </c>
      <c r="H9419">
        <f>IF(DATOS!$G9419&lt;&gt;"EX",0,--(COUNTIFS(nNIA,DATOS!$A9419,nCURSO,DATOS!$D9419,nESPEC,DATOS!$E9419,nASIG,DATOS!$I9419,nEVAL,"OR")=0))</f>
      </c>
      <c r="I9419">
        <f>IF(DATOS!$I9419="","",IFERROR(VLOOKUP(DATOS!$I9419,CONFIG_ASIGNATURAS!$B$2:$J$91,9,FALSE()),""))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IF(DATOS!$A9420="",0,IF(CONFIG_METADATA!$B$4&lt;&gt;"OR+EX",--(DATOS!$G9420=CONFIG_METADATA!$B$4),IF(DATOS!$G9420="EX",1,IF(DATOS!$G9420="OR",--(COUNTIFS(nNIA,DATOS!$A9420,nCURSO,DATOS!$D9420,nESPEC,DATOS!$E9420,nASIG,DATOS!$I9420,nEVAL,"EX")=0),0))))</f>
      </c>
      <c r="H9420">
        <f>IF(DATOS!$G9420&lt;&gt;"EX",0,--(COUNTIFS(nNIA,DATOS!$A9420,nCURSO,DATOS!$D9420,nESPEC,DATOS!$E9420,nASIG,DATOS!$I9420,nEVAL,"OR")=0))</f>
      </c>
      <c r="I9420">
        <f>IF(DATOS!$I9420="","",IFERROR(VLOOKUP(DATOS!$I9420,CONFIG_ASIGNATURAS!$B$2:$J$91,9,FALSE()),""))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IF(DATOS!$A9421="",0,IF(CONFIG_METADATA!$B$4&lt;&gt;"OR+EX",--(DATOS!$G9421=CONFIG_METADATA!$B$4),IF(DATOS!$G9421="EX",1,IF(DATOS!$G9421="OR",--(COUNTIFS(nNIA,DATOS!$A9421,nCURSO,DATOS!$D9421,nESPEC,DATOS!$E9421,nASIG,DATOS!$I9421,nEVAL,"EX")=0),0))))</f>
      </c>
      <c r="H9421">
        <f>IF(DATOS!$G9421&lt;&gt;"EX",0,--(COUNTIFS(nNIA,DATOS!$A9421,nCURSO,DATOS!$D9421,nESPEC,DATOS!$E9421,nASIG,DATOS!$I9421,nEVAL,"OR")=0))</f>
      </c>
      <c r="I9421">
        <f>IF(DATOS!$I9421="","",IFERROR(VLOOKUP(DATOS!$I9421,CONFIG_ASIGNATURAS!$B$2:$J$91,9,FALSE()),""))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IF(DATOS!$A9422="",0,IF(CONFIG_METADATA!$B$4&lt;&gt;"OR+EX",--(DATOS!$G9422=CONFIG_METADATA!$B$4),IF(DATOS!$G9422="EX",1,IF(DATOS!$G9422="OR",--(COUNTIFS(nNIA,DATOS!$A9422,nCURSO,DATOS!$D9422,nESPEC,DATOS!$E9422,nASIG,DATOS!$I9422,nEVAL,"EX")=0),0))))</f>
      </c>
      <c r="H9422">
        <f>IF(DATOS!$G9422&lt;&gt;"EX",0,--(COUNTIFS(nNIA,DATOS!$A9422,nCURSO,DATOS!$D9422,nESPEC,DATOS!$E9422,nASIG,DATOS!$I9422,nEVAL,"OR")=0))</f>
      </c>
      <c r="I9422">
        <f>IF(DATOS!$I9422="","",IFERROR(VLOOKUP(DATOS!$I9422,CONFIG_ASIGNATURAS!$B$2:$J$91,9,FALSE()),""))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IF(DATOS!$A9423="",0,IF(CONFIG_METADATA!$B$4&lt;&gt;"OR+EX",--(DATOS!$G9423=CONFIG_METADATA!$B$4),IF(DATOS!$G9423="EX",1,IF(DATOS!$G9423="OR",--(COUNTIFS(nNIA,DATOS!$A9423,nCURSO,DATOS!$D9423,nESPEC,DATOS!$E9423,nASIG,DATOS!$I9423,nEVAL,"EX")=0),0))))</f>
      </c>
      <c r="H9423">
        <f>IF(DATOS!$G9423&lt;&gt;"EX",0,--(COUNTIFS(nNIA,DATOS!$A9423,nCURSO,DATOS!$D9423,nESPEC,DATOS!$E9423,nASIG,DATOS!$I9423,nEVAL,"OR")=0))</f>
      </c>
      <c r="I9423">
        <f>IF(DATOS!$I9423="","",IFERROR(VLOOKUP(DATOS!$I9423,CONFIG_ASIGNATURAS!$B$2:$J$91,9,FALSE()),""))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IF(DATOS!$A9424="",0,IF(CONFIG_METADATA!$B$4&lt;&gt;"OR+EX",--(DATOS!$G9424=CONFIG_METADATA!$B$4),IF(DATOS!$G9424="EX",1,IF(DATOS!$G9424="OR",--(COUNTIFS(nNIA,DATOS!$A9424,nCURSO,DATOS!$D9424,nESPEC,DATOS!$E9424,nASIG,DATOS!$I9424,nEVAL,"EX")=0),0))))</f>
      </c>
      <c r="H9424">
        <f>IF(DATOS!$G9424&lt;&gt;"EX",0,--(COUNTIFS(nNIA,DATOS!$A9424,nCURSO,DATOS!$D9424,nESPEC,DATOS!$E9424,nASIG,DATOS!$I9424,nEVAL,"OR")=0))</f>
      </c>
      <c r="I9424">
        <f>IF(DATOS!$I9424="","",IFERROR(VLOOKUP(DATOS!$I9424,CONFIG_ASIGNATURAS!$B$2:$J$91,9,FALSE()),""))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IF(DATOS!$A9425="",0,IF(CONFIG_METADATA!$B$4&lt;&gt;"OR+EX",--(DATOS!$G9425=CONFIG_METADATA!$B$4),IF(DATOS!$G9425="EX",1,IF(DATOS!$G9425="OR",--(COUNTIFS(nNIA,DATOS!$A9425,nCURSO,DATOS!$D9425,nESPEC,DATOS!$E9425,nASIG,DATOS!$I9425,nEVAL,"EX")=0),0))))</f>
      </c>
      <c r="H9425">
        <f>IF(DATOS!$G9425&lt;&gt;"EX",0,--(COUNTIFS(nNIA,DATOS!$A9425,nCURSO,DATOS!$D9425,nESPEC,DATOS!$E9425,nASIG,DATOS!$I9425,nEVAL,"OR")=0))</f>
      </c>
      <c r="I9425">
        <f>IF(DATOS!$I9425="","",IFERROR(VLOOKUP(DATOS!$I9425,CONFIG_ASIGNATURAS!$B$2:$J$91,9,FALSE()),""))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IF(DATOS!$A9426="",0,IF(CONFIG_METADATA!$B$4&lt;&gt;"OR+EX",--(DATOS!$G9426=CONFIG_METADATA!$B$4),IF(DATOS!$G9426="EX",1,IF(DATOS!$G9426="OR",--(COUNTIFS(nNIA,DATOS!$A9426,nCURSO,DATOS!$D9426,nESPEC,DATOS!$E9426,nASIG,DATOS!$I9426,nEVAL,"EX")=0),0))))</f>
      </c>
      <c r="H9426">
        <f>IF(DATOS!$G9426&lt;&gt;"EX",0,--(COUNTIFS(nNIA,DATOS!$A9426,nCURSO,DATOS!$D9426,nESPEC,DATOS!$E9426,nASIG,DATOS!$I9426,nEVAL,"OR")=0))</f>
      </c>
      <c r="I9426">
        <f>IF(DATOS!$I9426="","",IFERROR(VLOOKUP(DATOS!$I9426,CONFIG_ASIGNATURAS!$B$2:$J$91,9,FALSE()),""))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IF(DATOS!$A9427="",0,IF(CONFIG_METADATA!$B$4&lt;&gt;"OR+EX",--(DATOS!$G9427=CONFIG_METADATA!$B$4),IF(DATOS!$G9427="EX",1,IF(DATOS!$G9427="OR",--(COUNTIFS(nNIA,DATOS!$A9427,nCURSO,DATOS!$D9427,nESPEC,DATOS!$E9427,nASIG,DATOS!$I9427,nEVAL,"EX")=0),0))))</f>
      </c>
      <c r="H9427">
        <f>IF(DATOS!$G9427&lt;&gt;"EX",0,--(COUNTIFS(nNIA,DATOS!$A9427,nCURSO,DATOS!$D9427,nESPEC,DATOS!$E9427,nASIG,DATOS!$I9427,nEVAL,"OR")=0))</f>
      </c>
      <c r="I9427">
        <f>IF(DATOS!$I9427="","",IFERROR(VLOOKUP(DATOS!$I9427,CONFIG_ASIGNATURAS!$B$2:$J$91,9,FALSE()),""))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IF(DATOS!$A9428="",0,IF(CONFIG_METADATA!$B$4&lt;&gt;"OR+EX",--(DATOS!$G9428=CONFIG_METADATA!$B$4),IF(DATOS!$G9428="EX",1,IF(DATOS!$G9428="OR",--(COUNTIFS(nNIA,DATOS!$A9428,nCURSO,DATOS!$D9428,nESPEC,DATOS!$E9428,nASIG,DATOS!$I9428,nEVAL,"EX")=0),0))))</f>
      </c>
      <c r="H9428">
        <f>IF(DATOS!$G9428&lt;&gt;"EX",0,--(COUNTIFS(nNIA,DATOS!$A9428,nCURSO,DATOS!$D9428,nESPEC,DATOS!$E9428,nASIG,DATOS!$I9428,nEVAL,"OR")=0))</f>
      </c>
      <c r="I9428">
        <f>IF(DATOS!$I9428="","",IFERROR(VLOOKUP(DATOS!$I9428,CONFIG_ASIGNATURAS!$B$2:$J$91,9,FALSE()),""))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IF(DATOS!$A9429="",0,IF(CONFIG_METADATA!$B$4&lt;&gt;"OR+EX",--(DATOS!$G9429=CONFIG_METADATA!$B$4),IF(DATOS!$G9429="EX",1,IF(DATOS!$G9429="OR",--(COUNTIFS(nNIA,DATOS!$A9429,nCURSO,DATOS!$D9429,nESPEC,DATOS!$E9429,nASIG,DATOS!$I9429,nEVAL,"EX")=0),0))))</f>
      </c>
      <c r="H9429">
        <f>IF(DATOS!$G9429&lt;&gt;"EX",0,--(COUNTIFS(nNIA,DATOS!$A9429,nCURSO,DATOS!$D9429,nESPEC,DATOS!$E9429,nASIG,DATOS!$I9429,nEVAL,"OR")=0))</f>
      </c>
      <c r="I9429">
        <f>IF(DATOS!$I9429="","",IFERROR(VLOOKUP(DATOS!$I9429,CONFIG_ASIGNATURAS!$B$2:$J$91,9,FALSE()),""))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IF(DATOS!$A9430="",0,IF(CONFIG_METADATA!$B$4&lt;&gt;"OR+EX",--(DATOS!$G9430=CONFIG_METADATA!$B$4),IF(DATOS!$G9430="EX",1,IF(DATOS!$G9430="OR",--(COUNTIFS(nNIA,DATOS!$A9430,nCURSO,DATOS!$D9430,nESPEC,DATOS!$E9430,nASIG,DATOS!$I9430,nEVAL,"EX")=0),0))))</f>
      </c>
      <c r="H9430">
        <f>IF(DATOS!$G9430&lt;&gt;"EX",0,--(COUNTIFS(nNIA,DATOS!$A9430,nCURSO,DATOS!$D9430,nESPEC,DATOS!$E9430,nASIG,DATOS!$I9430,nEVAL,"OR")=0))</f>
      </c>
      <c r="I9430">
        <f>IF(DATOS!$I9430="","",IFERROR(VLOOKUP(DATOS!$I9430,CONFIG_ASIGNATURAS!$B$2:$J$91,9,FALSE()),""))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IF(DATOS!$A9431="",0,IF(CONFIG_METADATA!$B$4&lt;&gt;"OR+EX",--(DATOS!$G9431=CONFIG_METADATA!$B$4),IF(DATOS!$G9431="EX",1,IF(DATOS!$G9431="OR",--(COUNTIFS(nNIA,DATOS!$A9431,nCURSO,DATOS!$D9431,nESPEC,DATOS!$E9431,nASIG,DATOS!$I9431,nEVAL,"EX")=0),0))))</f>
      </c>
      <c r="H9431">
        <f>IF(DATOS!$G9431&lt;&gt;"EX",0,--(COUNTIFS(nNIA,DATOS!$A9431,nCURSO,DATOS!$D9431,nESPEC,DATOS!$E9431,nASIG,DATOS!$I9431,nEVAL,"OR")=0))</f>
      </c>
      <c r="I9431">
        <f>IF(DATOS!$I9431="","",IFERROR(VLOOKUP(DATOS!$I9431,CONFIG_ASIGNATURAS!$B$2:$J$91,9,FALSE()),""))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IF(DATOS!$A9432="",0,IF(CONFIG_METADATA!$B$4&lt;&gt;"OR+EX",--(DATOS!$G9432=CONFIG_METADATA!$B$4),IF(DATOS!$G9432="EX",1,IF(DATOS!$G9432="OR",--(COUNTIFS(nNIA,DATOS!$A9432,nCURSO,DATOS!$D9432,nESPEC,DATOS!$E9432,nASIG,DATOS!$I9432,nEVAL,"EX")=0),0))))</f>
      </c>
      <c r="H9432">
        <f>IF(DATOS!$G9432&lt;&gt;"EX",0,--(COUNTIFS(nNIA,DATOS!$A9432,nCURSO,DATOS!$D9432,nESPEC,DATOS!$E9432,nASIG,DATOS!$I9432,nEVAL,"OR")=0))</f>
      </c>
      <c r="I9432">
        <f>IF(DATOS!$I9432="","",IFERROR(VLOOKUP(DATOS!$I9432,CONFIG_ASIGNATURAS!$B$2:$J$91,9,FALSE()),""))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IF(DATOS!$A9433="",0,IF(CONFIG_METADATA!$B$4&lt;&gt;"OR+EX",--(DATOS!$G9433=CONFIG_METADATA!$B$4),IF(DATOS!$G9433="EX",1,IF(DATOS!$G9433="OR",--(COUNTIFS(nNIA,DATOS!$A9433,nCURSO,DATOS!$D9433,nESPEC,DATOS!$E9433,nASIG,DATOS!$I9433,nEVAL,"EX")=0),0))))</f>
      </c>
      <c r="H9433">
        <f>IF(DATOS!$G9433&lt;&gt;"EX",0,--(COUNTIFS(nNIA,DATOS!$A9433,nCURSO,DATOS!$D9433,nESPEC,DATOS!$E9433,nASIG,DATOS!$I9433,nEVAL,"OR")=0))</f>
      </c>
      <c r="I9433">
        <f>IF(DATOS!$I9433="","",IFERROR(VLOOKUP(DATOS!$I9433,CONFIG_ASIGNATURAS!$B$2:$J$91,9,FALSE()),""))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IF(DATOS!$A9434="",0,IF(CONFIG_METADATA!$B$4&lt;&gt;"OR+EX",--(DATOS!$G9434=CONFIG_METADATA!$B$4),IF(DATOS!$G9434="EX",1,IF(DATOS!$G9434="OR",--(COUNTIFS(nNIA,DATOS!$A9434,nCURSO,DATOS!$D9434,nESPEC,DATOS!$E9434,nASIG,DATOS!$I9434,nEVAL,"EX")=0),0))))</f>
      </c>
      <c r="H9434">
        <f>IF(DATOS!$G9434&lt;&gt;"EX",0,--(COUNTIFS(nNIA,DATOS!$A9434,nCURSO,DATOS!$D9434,nESPEC,DATOS!$E9434,nASIG,DATOS!$I9434,nEVAL,"OR")=0))</f>
      </c>
      <c r="I9434">
        <f>IF(DATOS!$I9434="","",IFERROR(VLOOKUP(DATOS!$I9434,CONFIG_ASIGNATURAS!$B$2:$J$91,9,FALSE()),""))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IF(DATOS!$A9435="",0,IF(CONFIG_METADATA!$B$4&lt;&gt;"OR+EX",--(DATOS!$G9435=CONFIG_METADATA!$B$4),IF(DATOS!$G9435="EX",1,IF(DATOS!$G9435="OR",--(COUNTIFS(nNIA,DATOS!$A9435,nCURSO,DATOS!$D9435,nESPEC,DATOS!$E9435,nASIG,DATOS!$I9435,nEVAL,"EX")=0),0))))</f>
      </c>
      <c r="H9435">
        <f>IF(DATOS!$G9435&lt;&gt;"EX",0,--(COUNTIFS(nNIA,DATOS!$A9435,nCURSO,DATOS!$D9435,nESPEC,DATOS!$E9435,nASIG,DATOS!$I9435,nEVAL,"OR")=0))</f>
      </c>
      <c r="I9435">
        <f>IF(DATOS!$I9435="","",IFERROR(VLOOKUP(DATOS!$I9435,CONFIG_ASIGNATURAS!$B$2:$J$91,9,FALSE()),""))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IF(DATOS!$A9436="",0,IF(CONFIG_METADATA!$B$4&lt;&gt;"OR+EX",--(DATOS!$G9436=CONFIG_METADATA!$B$4),IF(DATOS!$G9436="EX",1,IF(DATOS!$G9436="OR",--(COUNTIFS(nNIA,DATOS!$A9436,nCURSO,DATOS!$D9436,nESPEC,DATOS!$E9436,nASIG,DATOS!$I9436,nEVAL,"EX")=0),0))))</f>
      </c>
      <c r="H9436">
        <f>IF(DATOS!$G9436&lt;&gt;"EX",0,--(COUNTIFS(nNIA,DATOS!$A9436,nCURSO,DATOS!$D9436,nESPEC,DATOS!$E9436,nASIG,DATOS!$I9436,nEVAL,"OR")=0))</f>
      </c>
      <c r="I9436">
        <f>IF(DATOS!$I9436="","",IFERROR(VLOOKUP(DATOS!$I9436,CONFIG_ASIGNATURAS!$B$2:$J$91,9,FALSE()),""))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IF(DATOS!$A9437="",0,IF(CONFIG_METADATA!$B$4&lt;&gt;"OR+EX",--(DATOS!$G9437=CONFIG_METADATA!$B$4),IF(DATOS!$G9437="EX",1,IF(DATOS!$G9437="OR",--(COUNTIFS(nNIA,DATOS!$A9437,nCURSO,DATOS!$D9437,nESPEC,DATOS!$E9437,nASIG,DATOS!$I9437,nEVAL,"EX")=0),0))))</f>
      </c>
      <c r="H9437">
        <f>IF(DATOS!$G9437&lt;&gt;"EX",0,--(COUNTIFS(nNIA,DATOS!$A9437,nCURSO,DATOS!$D9437,nESPEC,DATOS!$E9437,nASIG,DATOS!$I9437,nEVAL,"OR")=0))</f>
      </c>
      <c r="I9437">
        <f>IF(DATOS!$I9437="","",IFERROR(VLOOKUP(DATOS!$I9437,CONFIG_ASIGNATURAS!$B$2:$J$91,9,FALSE()),""))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IF(DATOS!$A9438="",0,IF(CONFIG_METADATA!$B$4&lt;&gt;"OR+EX",--(DATOS!$G9438=CONFIG_METADATA!$B$4),IF(DATOS!$G9438="EX",1,IF(DATOS!$G9438="OR",--(COUNTIFS(nNIA,DATOS!$A9438,nCURSO,DATOS!$D9438,nESPEC,DATOS!$E9438,nASIG,DATOS!$I9438,nEVAL,"EX")=0),0))))</f>
      </c>
      <c r="H9438">
        <f>IF(DATOS!$G9438&lt;&gt;"EX",0,--(COUNTIFS(nNIA,DATOS!$A9438,nCURSO,DATOS!$D9438,nESPEC,DATOS!$E9438,nASIG,DATOS!$I9438,nEVAL,"OR")=0))</f>
      </c>
      <c r="I9438">
        <f>IF(DATOS!$I9438="","",IFERROR(VLOOKUP(DATOS!$I9438,CONFIG_ASIGNATURAS!$B$2:$J$91,9,FALSE()),""))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IF(DATOS!$A9439="",0,IF(CONFIG_METADATA!$B$4&lt;&gt;"OR+EX",--(DATOS!$G9439=CONFIG_METADATA!$B$4),IF(DATOS!$G9439="EX",1,IF(DATOS!$G9439="OR",--(COUNTIFS(nNIA,DATOS!$A9439,nCURSO,DATOS!$D9439,nESPEC,DATOS!$E9439,nASIG,DATOS!$I9439,nEVAL,"EX")=0),0))))</f>
      </c>
      <c r="H9439">
        <f>IF(DATOS!$G9439&lt;&gt;"EX",0,--(COUNTIFS(nNIA,DATOS!$A9439,nCURSO,DATOS!$D9439,nESPEC,DATOS!$E9439,nASIG,DATOS!$I9439,nEVAL,"OR")=0))</f>
      </c>
      <c r="I9439">
        <f>IF(DATOS!$I9439="","",IFERROR(VLOOKUP(DATOS!$I9439,CONFIG_ASIGNATURAS!$B$2:$J$91,9,FALSE()),""))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IF(DATOS!$A9440="",0,IF(CONFIG_METADATA!$B$4&lt;&gt;"OR+EX",--(DATOS!$G9440=CONFIG_METADATA!$B$4),IF(DATOS!$G9440="EX",1,IF(DATOS!$G9440="OR",--(COUNTIFS(nNIA,DATOS!$A9440,nCURSO,DATOS!$D9440,nESPEC,DATOS!$E9440,nASIG,DATOS!$I9440,nEVAL,"EX")=0),0))))</f>
      </c>
      <c r="H9440">
        <f>IF(DATOS!$G9440&lt;&gt;"EX",0,--(COUNTIFS(nNIA,DATOS!$A9440,nCURSO,DATOS!$D9440,nESPEC,DATOS!$E9440,nASIG,DATOS!$I9440,nEVAL,"OR")=0))</f>
      </c>
      <c r="I9440">
        <f>IF(DATOS!$I9440="","",IFERROR(VLOOKUP(DATOS!$I9440,CONFIG_ASIGNATURAS!$B$2:$J$91,9,FALSE()),""))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IF(DATOS!$A9441="",0,IF(CONFIG_METADATA!$B$4&lt;&gt;"OR+EX",--(DATOS!$G9441=CONFIG_METADATA!$B$4),IF(DATOS!$G9441="EX",1,IF(DATOS!$G9441="OR",--(COUNTIFS(nNIA,DATOS!$A9441,nCURSO,DATOS!$D9441,nESPEC,DATOS!$E9441,nASIG,DATOS!$I9441,nEVAL,"EX")=0),0))))</f>
      </c>
      <c r="H9441">
        <f>IF(DATOS!$G9441&lt;&gt;"EX",0,--(COUNTIFS(nNIA,DATOS!$A9441,nCURSO,DATOS!$D9441,nESPEC,DATOS!$E9441,nASIG,DATOS!$I9441,nEVAL,"OR")=0))</f>
      </c>
      <c r="I9441">
        <f>IF(DATOS!$I9441="","",IFERROR(VLOOKUP(DATOS!$I9441,CONFIG_ASIGNATURAS!$B$2:$J$91,9,FALSE()),""))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IF(DATOS!$A9442="",0,IF(CONFIG_METADATA!$B$4&lt;&gt;"OR+EX",--(DATOS!$G9442=CONFIG_METADATA!$B$4),IF(DATOS!$G9442="EX",1,IF(DATOS!$G9442="OR",--(COUNTIFS(nNIA,DATOS!$A9442,nCURSO,DATOS!$D9442,nESPEC,DATOS!$E9442,nASIG,DATOS!$I9442,nEVAL,"EX")=0),0))))</f>
      </c>
      <c r="H9442">
        <f>IF(DATOS!$G9442&lt;&gt;"EX",0,--(COUNTIFS(nNIA,DATOS!$A9442,nCURSO,DATOS!$D9442,nESPEC,DATOS!$E9442,nASIG,DATOS!$I9442,nEVAL,"OR")=0))</f>
      </c>
      <c r="I9442">
        <f>IF(DATOS!$I9442="","",IFERROR(VLOOKUP(DATOS!$I9442,CONFIG_ASIGNATURAS!$B$2:$J$91,9,FALSE()),""))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IF(DATOS!$A9443="",0,IF(CONFIG_METADATA!$B$4&lt;&gt;"OR+EX",--(DATOS!$G9443=CONFIG_METADATA!$B$4),IF(DATOS!$G9443="EX",1,IF(DATOS!$G9443="OR",--(COUNTIFS(nNIA,DATOS!$A9443,nCURSO,DATOS!$D9443,nESPEC,DATOS!$E9443,nASIG,DATOS!$I9443,nEVAL,"EX")=0),0))))</f>
      </c>
      <c r="H9443">
        <f>IF(DATOS!$G9443&lt;&gt;"EX",0,--(COUNTIFS(nNIA,DATOS!$A9443,nCURSO,DATOS!$D9443,nESPEC,DATOS!$E9443,nASIG,DATOS!$I9443,nEVAL,"OR")=0))</f>
      </c>
      <c r="I9443">
        <f>IF(DATOS!$I9443="","",IFERROR(VLOOKUP(DATOS!$I9443,CONFIG_ASIGNATURAS!$B$2:$J$91,9,FALSE()),""))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IF(DATOS!$A9444="",0,IF(CONFIG_METADATA!$B$4&lt;&gt;"OR+EX",--(DATOS!$G9444=CONFIG_METADATA!$B$4),IF(DATOS!$G9444="EX",1,IF(DATOS!$G9444="OR",--(COUNTIFS(nNIA,DATOS!$A9444,nCURSO,DATOS!$D9444,nESPEC,DATOS!$E9444,nASIG,DATOS!$I9444,nEVAL,"EX")=0),0))))</f>
      </c>
      <c r="H9444">
        <f>IF(DATOS!$G9444&lt;&gt;"EX",0,--(COUNTIFS(nNIA,DATOS!$A9444,nCURSO,DATOS!$D9444,nESPEC,DATOS!$E9444,nASIG,DATOS!$I9444,nEVAL,"OR")=0))</f>
      </c>
      <c r="I9444">
        <f>IF(DATOS!$I9444="","",IFERROR(VLOOKUP(DATOS!$I9444,CONFIG_ASIGNATURAS!$B$2:$J$91,9,FALSE()),""))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IF(DATOS!$A9445="",0,IF(CONFIG_METADATA!$B$4&lt;&gt;"OR+EX",--(DATOS!$G9445=CONFIG_METADATA!$B$4),IF(DATOS!$G9445="EX",1,IF(DATOS!$G9445="OR",--(COUNTIFS(nNIA,DATOS!$A9445,nCURSO,DATOS!$D9445,nESPEC,DATOS!$E9445,nASIG,DATOS!$I9445,nEVAL,"EX")=0),0))))</f>
      </c>
      <c r="H9445">
        <f>IF(DATOS!$G9445&lt;&gt;"EX",0,--(COUNTIFS(nNIA,DATOS!$A9445,nCURSO,DATOS!$D9445,nESPEC,DATOS!$E9445,nASIG,DATOS!$I9445,nEVAL,"OR")=0))</f>
      </c>
      <c r="I9445">
        <f>IF(DATOS!$I9445="","",IFERROR(VLOOKUP(DATOS!$I9445,CONFIG_ASIGNATURAS!$B$2:$J$91,9,FALSE()),""))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IF(DATOS!$A9446="",0,IF(CONFIG_METADATA!$B$4&lt;&gt;"OR+EX",--(DATOS!$G9446=CONFIG_METADATA!$B$4),IF(DATOS!$G9446="EX",1,IF(DATOS!$G9446="OR",--(COUNTIFS(nNIA,DATOS!$A9446,nCURSO,DATOS!$D9446,nESPEC,DATOS!$E9446,nASIG,DATOS!$I9446,nEVAL,"EX")=0),0))))</f>
      </c>
      <c r="H9446">
        <f>IF(DATOS!$G9446&lt;&gt;"EX",0,--(COUNTIFS(nNIA,DATOS!$A9446,nCURSO,DATOS!$D9446,nESPEC,DATOS!$E9446,nASIG,DATOS!$I9446,nEVAL,"OR")=0))</f>
      </c>
      <c r="I9446">
        <f>IF(DATOS!$I9446="","",IFERROR(VLOOKUP(DATOS!$I9446,CONFIG_ASIGNATURAS!$B$2:$J$91,9,FALSE()),""))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IF(DATOS!$A9447="",0,IF(CONFIG_METADATA!$B$4&lt;&gt;"OR+EX",--(DATOS!$G9447=CONFIG_METADATA!$B$4),IF(DATOS!$G9447="EX",1,IF(DATOS!$G9447="OR",--(COUNTIFS(nNIA,DATOS!$A9447,nCURSO,DATOS!$D9447,nESPEC,DATOS!$E9447,nASIG,DATOS!$I9447,nEVAL,"EX")=0),0))))</f>
      </c>
      <c r="H9447">
        <f>IF(DATOS!$G9447&lt;&gt;"EX",0,--(COUNTIFS(nNIA,DATOS!$A9447,nCURSO,DATOS!$D9447,nESPEC,DATOS!$E9447,nASIG,DATOS!$I9447,nEVAL,"OR")=0))</f>
      </c>
      <c r="I9447">
        <f>IF(DATOS!$I9447="","",IFERROR(VLOOKUP(DATOS!$I9447,CONFIG_ASIGNATURAS!$B$2:$J$91,9,FALSE()),""))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IF(DATOS!$A9448="",0,IF(CONFIG_METADATA!$B$4&lt;&gt;"OR+EX",--(DATOS!$G9448=CONFIG_METADATA!$B$4),IF(DATOS!$G9448="EX",1,IF(DATOS!$G9448="OR",--(COUNTIFS(nNIA,DATOS!$A9448,nCURSO,DATOS!$D9448,nESPEC,DATOS!$E9448,nASIG,DATOS!$I9448,nEVAL,"EX")=0),0))))</f>
      </c>
      <c r="H9448">
        <f>IF(DATOS!$G9448&lt;&gt;"EX",0,--(COUNTIFS(nNIA,DATOS!$A9448,nCURSO,DATOS!$D9448,nESPEC,DATOS!$E9448,nASIG,DATOS!$I9448,nEVAL,"OR")=0))</f>
      </c>
      <c r="I9448">
        <f>IF(DATOS!$I9448="","",IFERROR(VLOOKUP(DATOS!$I9448,CONFIG_ASIGNATURAS!$B$2:$J$91,9,FALSE()),""))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IF(DATOS!$A9449="",0,IF(CONFIG_METADATA!$B$4&lt;&gt;"OR+EX",--(DATOS!$G9449=CONFIG_METADATA!$B$4),IF(DATOS!$G9449="EX",1,IF(DATOS!$G9449="OR",--(COUNTIFS(nNIA,DATOS!$A9449,nCURSO,DATOS!$D9449,nESPEC,DATOS!$E9449,nASIG,DATOS!$I9449,nEVAL,"EX")=0),0))))</f>
      </c>
      <c r="H9449">
        <f>IF(DATOS!$G9449&lt;&gt;"EX",0,--(COUNTIFS(nNIA,DATOS!$A9449,nCURSO,DATOS!$D9449,nESPEC,DATOS!$E9449,nASIG,DATOS!$I9449,nEVAL,"OR")=0))</f>
      </c>
      <c r="I9449">
        <f>IF(DATOS!$I9449="","",IFERROR(VLOOKUP(DATOS!$I9449,CONFIG_ASIGNATURAS!$B$2:$J$91,9,FALSE()),""))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IF(DATOS!$A9450="",0,IF(CONFIG_METADATA!$B$4&lt;&gt;"OR+EX",--(DATOS!$G9450=CONFIG_METADATA!$B$4),IF(DATOS!$G9450="EX",1,IF(DATOS!$G9450="OR",--(COUNTIFS(nNIA,DATOS!$A9450,nCURSO,DATOS!$D9450,nESPEC,DATOS!$E9450,nASIG,DATOS!$I9450,nEVAL,"EX")=0),0))))</f>
      </c>
      <c r="H9450">
        <f>IF(DATOS!$G9450&lt;&gt;"EX",0,--(COUNTIFS(nNIA,DATOS!$A9450,nCURSO,DATOS!$D9450,nESPEC,DATOS!$E9450,nASIG,DATOS!$I9450,nEVAL,"OR")=0))</f>
      </c>
      <c r="I9450">
        <f>IF(DATOS!$I9450="","",IFERROR(VLOOKUP(DATOS!$I9450,CONFIG_ASIGNATURAS!$B$2:$J$91,9,FALSE()),""))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IF(DATOS!$A9451="",0,IF(CONFIG_METADATA!$B$4&lt;&gt;"OR+EX",--(DATOS!$G9451=CONFIG_METADATA!$B$4),IF(DATOS!$G9451="EX",1,IF(DATOS!$G9451="OR",--(COUNTIFS(nNIA,DATOS!$A9451,nCURSO,DATOS!$D9451,nESPEC,DATOS!$E9451,nASIG,DATOS!$I9451,nEVAL,"EX")=0),0))))</f>
      </c>
      <c r="H9451">
        <f>IF(DATOS!$G9451&lt;&gt;"EX",0,--(COUNTIFS(nNIA,DATOS!$A9451,nCURSO,DATOS!$D9451,nESPEC,DATOS!$E9451,nASIG,DATOS!$I9451,nEVAL,"OR")=0))</f>
      </c>
      <c r="I9451">
        <f>IF(DATOS!$I9451="","",IFERROR(VLOOKUP(DATOS!$I9451,CONFIG_ASIGNATURAS!$B$2:$J$91,9,FALSE()),""))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IF(DATOS!$A9452="",0,IF(CONFIG_METADATA!$B$4&lt;&gt;"OR+EX",--(DATOS!$G9452=CONFIG_METADATA!$B$4),IF(DATOS!$G9452="EX",1,IF(DATOS!$G9452="OR",--(COUNTIFS(nNIA,DATOS!$A9452,nCURSO,DATOS!$D9452,nESPEC,DATOS!$E9452,nASIG,DATOS!$I9452,nEVAL,"EX")=0),0))))</f>
      </c>
      <c r="H9452">
        <f>IF(DATOS!$G9452&lt;&gt;"EX",0,--(COUNTIFS(nNIA,DATOS!$A9452,nCURSO,DATOS!$D9452,nESPEC,DATOS!$E9452,nASIG,DATOS!$I9452,nEVAL,"OR")=0))</f>
      </c>
      <c r="I9452">
        <f>IF(DATOS!$I9452="","",IFERROR(VLOOKUP(DATOS!$I9452,CONFIG_ASIGNATURAS!$B$2:$J$91,9,FALSE()),""))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IF(DATOS!$A9453="",0,IF(CONFIG_METADATA!$B$4&lt;&gt;"OR+EX",--(DATOS!$G9453=CONFIG_METADATA!$B$4),IF(DATOS!$G9453="EX",1,IF(DATOS!$G9453="OR",--(COUNTIFS(nNIA,DATOS!$A9453,nCURSO,DATOS!$D9453,nESPEC,DATOS!$E9453,nASIG,DATOS!$I9453,nEVAL,"EX")=0),0))))</f>
      </c>
      <c r="H9453">
        <f>IF(DATOS!$G9453&lt;&gt;"EX",0,--(COUNTIFS(nNIA,DATOS!$A9453,nCURSO,DATOS!$D9453,nESPEC,DATOS!$E9453,nASIG,DATOS!$I9453,nEVAL,"OR")=0))</f>
      </c>
      <c r="I9453">
        <f>IF(DATOS!$I9453="","",IFERROR(VLOOKUP(DATOS!$I9453,CONFIG_ASIGNATURAS!$B$2:$J$91,9,FALSE()),""))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IF(DATOS!$A9454="",0,IF(CONFIG_METADATA!$B$4&lt;&gt;"OR+EX",--(DATOS!$G9454=CONFIG_METADATA!$B$4),IF(DATOS!$G9454="EX",1,IF(DATOS!$G9454="OR",--(COUNTIFS(nNIA,DATOS!$A9454,nCURSO,DATOS!$D9454,nESPEC,DATOS!$E9454,nASIG,DATOS!$I9454,nEVAL,"EX")=0),0))))</f>
      </c>
      <c r="H9454">
        <f>IF(DATOS!$G9454&lt;&gt;"EX",0,--(COUNTIFS(nNIA,DATOS!$A9454,nCURSO,DATOS!$D9454,nESPEC,DATOS!$E9454,nASIG,DATOS!$I9454,nEVAL,"OR")=0))</f>
      </c>
      <c r="I9454">
        <f>IF(DATOS!$I9454="","",IFERROR(VLOOKUP(DATOS!$I9454,CONFIG_ASIGNATURAS!$B$2:$J$91,9,FALSE()),""))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IF(DATOS!$A9455="",0,IF(CONFIG_METADATA!$B$4&lt;&gt;"OR+EX",--(DATOS!$G9455=CONFIG_METADATA!$B$4),IF(DATOS!$G9455="EX",1,IF(DATOS!$G9455="OR",--(COUNTIFS(nNIA,DATOS!$A9455,nCURSO,DATOS!$D9455,nESPEC,DATOS!$E9455,nASIG,DATOS!$I9455,nEVAL,"EX")=0),0))))</f>
      </c>
      <c r="H9455">
        <f>IF(DATOS!$G9455&lt;&gt;"EX",0,--(COUNTIFS(nNIA,DATOS!$A9455,nCURSO,DATOS!$D9455,nESPEC,DATOS!$E9455,nASIG,DATOS!$I9455,nEVAL,"OR")=0))</f>
      </c>
      <c r="I9455">
        <f>IF(DATOS!$I9455="","",IFERROR(VLOOKUP(DATOS!$I9455,CONFIG_ASIGNATURAS!$B$2:$J$91,9,FALSE()),""))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IF(DATOS!$A9456="",0,IF(CONFIG_METADATA!$B$4&lt;&gt;"OR+EX",--(DATOS!$G9456=CONFIG_METADATA!$B$4),IF(DATOS!$G9456="EX",1,IF(DATOS!$G9456="OR",--(COUNTIFS(nNIA,DATOS!$A9456,nCURSO,DATOS!$D9456,nESPEC,DATOS!$E9456,nASIG,DATOS!$I9456,nEVAL,"EX")=0),0))))</f>
      </c>
      <c r="H9456">
        <f>IF(DATOS!$G9456&lt;&gt;"EX",0,--(COUNTIFS(nNIA,DATOS!$A9456,nCURSO,DATOS!$D9456,nESPEC,DATOS!$E9456,nASIG,DATOS!$I9456,nEVAL,"OR")=0))</f>
      </c>
      <c r="I9456">
        <f>IF(DATOS!$I9456="","",IFERROR(VLOOKUP(DATOS!$I9456,CONFIG_ASIGNATURAS!$B$2:$J$91,9,FALSE()),""))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IF(DATOS!$A9457="",0,IF(CONFIG_METADATA!$B$4&lt;&gt;"OR+EX",--(DATOS!$G9457=CONFIG_METADATA!$B$4),IF(DATOS!$G9457="EX",1,IF(DATOS!$G9457="OR",--(COUNTIFS(nNIA,DATOS!$A9457,nCURSO,DATOS!$D9457,nESPEC,DATOS!$E9457,nASIG,DATOS!$I9457,nEVAL,"EX")=0),0))))</f>
      </c>
      <c r="H9457">
        <f>IF(DATOS!$G9457&lt;&gt;"EX",0,--(COUNTIFS(nNIA,DATOS!$A9457,nCURSO,DATOS!$D9457,nESPEC,DATOS!$E9457,nASIG,DATOS!$I9457,nEVAL,"OR")=0))</f>
      </c>
      <c r="I9457">
        <f>IF(DATOS!$I9457="","",IFERROR(VLOOKUP(DATOS!$I9457,CONFIG_ASIGNATURAS!$B$2:$J$91,9,FALSE()),""))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IF(DATOS!$A9458="",0,IF(CONFIG_METADATA!$B$4&lt;&gt;"OR+EX",--(DATOS!$G9458=CONFIG_METADATA!$B$4),IF(DATOS!$G9458="EX",1,IF(DATOS!$G9458="OR",--(COUNTIFS(nNIA,DATOS!$A9458,nCURSO,DATOS!$D9458,nESPEC,DATOS!$E9458,nASIG,DATOS!$I9458,nEVAL,"EX")=0),0))))</f>
      </c>
      <c r="H9458">
        <f>IF(DATOS!$G9458&lt;&gt;"EX",0,--(COUNTIFS(nNIA,DATOS!$A9458,nCURSO,DATOS!$D9458,nESPEC,DATOS!$E9458,nASIG,DATOS!$I9458,nEVAL,"OR")=0))</f>
      </c>
      <c r="I9458">
        <f>IF(DATOS!$I9458="","",IFERROR(VLOOKUP(DATOS!$I9458,CONFIG_ASIGNATURAS!$B$2:$J$91,9,FALSE()),""))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IF(DATOS!$A9459="",0,IF(CONFIG_METADATA!$B$4&lt;&gt;"OR+EX",--(DATOS!$G9459=CONFIG_METADATA!$B$4),IF(DATOS!$G9459="EX",1,IF(DATOS!$G9459="OR",--(COUNTIFS(nNIA,DATOS!$A9459,nCURSO,DATOS!$D9459,nESPEC,DATOS!$E9459,nASIG,DATOS!$I9459,nEVAL,"EX")=0),0))))</f>
      </c>
      <c r="H9459">
        <f>IF(DATOS!$G9459&lt;&gt;"EX",0,--(COUNTIFS(nNIA,DATOS!$A9459,nCURSO,DATOS!$D9459,nESPEC,DATOS!$E9459,nASIG,DATOS!$I9459,nEVAL,"OR")=0))</f>
      </c>
      <c r="I9459">
        <f>IF(DATOS!$I9459="","",IFERROR(VLOOKUP(DATOS!$I9459,CONFIG_ASIGNATURAS!$B$2:$J$91,9,FALSE()),""))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IF(DATOS!$A9460="",0,IF(CONFIG_METADATA!$B$4&lt;&gt;"OR+EX",--(DATOS!$G9460=CONFIG_METADATA!$B$4),IF(DATOS!$G9460="EX",1,IF(DATOS!$G9460="OR",--(COUNTIFS(nNIA,DATOS!$A9460,nCURSO,DATOS!$D9460,nESPEC,DATOS!$E9460,nASIG,DATOS!$I9460,nEVAL,"EX")=0),0))))</f>
      </c>
      <c r="H9460">
        <f>IF(DATOS!$G9460&lt;&gt;"EX",0,--(COUNTIFS(nNIA,DATOS!$A9460,nCURSO,DATOS!$D9460,nESPEC,DATOS!$E9460,nASIG,DATOS!$I9460,nEVAL,"OR")=0))</f>
      </c>
      <c r="I9460">
        <f>IF(DATOS!$I9460="","",IFERROR(VLOOKUP(DATOS!$I9460,CONFIG_ASIGNATURAS!$B$2:$J$91,9,FALSE()),""))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IF(DATOS!$A9461="",0,IF(CONFIG_METADATA!$B$4&lt;&gt;"OR+EX",--(DATOS!$G9461=CONFIG_METADATA!$B$4),IF(DATOS!$G9461="EX",1,IF(DATOS!$G9461="OR",--(COUNTIFS(nNIA,DATOS!$A9461,nCURSO,DATOS!$D9461,nESPEC,DATOS!$E9461,nASIG,DATOS!$I9461,nEVAL,"EX")=0),0))))</f>
      </c>
      <c r="H9461">
        <f>IF(DATOS!$G9461&lt;&gt;"EX",0,--(COUNTIFS(nNIA,DATOS!$A9461,nCURSO,DATOS!$D9461,nESPEC,DATOS!$E9461,nASIG,DATOS!$I9461,nEVAL,"OR")=0))</f>
      </c>
      <c r="I9461">
        <f>IF(DATOS!$I9461="","",IFERROR(VLOOKUP(DATOS!$I9461,CONFIG_ASIGNATURAS!$B$2:$J$91,9,FALSE()),""))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IF(DATOS!$A9462="",0,IF(CONFIG_METADATA!$B$4&lt;&gt;"OR+EX",--(DATOS!$G9462=CONFIG_METADATA!$B$4),IF(DATOS!$G9462="EX",1,IF(DATOS!$G9462="OR",--(COUNTIFS(nNIA,DATOS!$A9462,nCURSO,DATOS!$D9462,nESPEC,DATOS!$E9462,nASIG,DATOS!$I9462,nEVAL,"EX")=0),0))))</f>
      </c>
      <c r="H9462">
        <f>IF(DATOS!$G9462&lt;&gt;"EX",0,--(COUNTIFS(nNIA,DATOS!$A9462,nCURSO,DATOS!$D9462,nESPEC,DATOS!$E9462,nASIG,DATOS!$I9462,nEVAL,"OR")=0))</f>
      </c>
      <c r="I9462">
        <f>IF(DATOS!$I9462="","",IFERROR(VLOOKUP(DATOS!$I9462,CONFIG_ASIGNATURAS!$B$2:$J$91,9,FALSE()),""))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IF(DATOS!$A9463="",0,IF(CONFIG_METADATA!$B$4&lt;&gt;"OR+EX",--(DATOS!$G9463=CONFIG_METADATA!$B$4),IF(DATOS!$G9463="EX",1,IF(DATOS!$G9463="OR",--(COUNTIFS(nNIA,DATOS!$A9463,nCURSO,DATOS!$D9463,nESPEC,DATOS!$E9463,nASIG,DATOS!$I9463,nEVAL,"EX")=0),0))))</f>
      </c>
      <c r="H9463">
        <f>IF(DATOS!$G9463&lt;&gt;"EX",0,--(COUNTIFS(nNIA,DATOS!$A9463,nCURSO,DATOS!$D9463,nESPEC,DATOS!$E9463,nASIG,DATOS!$I9463,nEVAL,"OR")=0))</f>
      </c>
      <c r="I9463">
        <f>IF(DATOS!$I9463="","",IFERROR(VLOOKUP(DATOS!$I9463,CONFIG_ASIGNATURAS!$B$2:$J$91,9,FALSE()),""))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IF(DATOS!$A9464="",0,IF(CONFIG_METADATA!$B$4&lt;&gt;"OR+EX",--(DATOS!$G9464=CONFIG_METADATA!$B$4),IF(DATOS!$G9464="EX",1,IF(DATOS!$G9464="OR",--(COUNTIFS(nNIA,DATOS!$A9464,nCURSO,DATOS!$D9464,nESPEC,DATOS!$E9464,nASIG,DATOS!$I9464,nEVAL,"EX")=0),0))))</f>
      </c>
      <c r="H9464">
        <f>IF(DATOS!$G9464&lt;&gt;"EX",0,--(COUNTIFS(nNIA,DATOS!$A9464,nCURSO,DATOS!$D9464,nESPEC,DATOS!$E9464,nASIG,DATOS!$I9464,nEVAL,"OR")=0))</f>
      </c>
      <c r="I9464">
        <f>IF(DATOS!$I9464="","",IFERROR(VLOOKUP(DATOS!$I9464,CONFIG_ASIGNATURAS!$B$2:$J$91,9,FALSE()),""))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IF(DATOS!$A9465="",0,IF(CONFIG_METADATA!$B$4&lt;&gt;"OR+EX",--(DATOS!$G9465=CONFIG_METADATA!$B$4),IF(DATOS!$G9465="EX",1,IF(DATOS!$G9465="OR",--(COUNTIFS(nNIA,DATOS!$A9465,nCURSO,DATOS!$D9465,nESPEC,DATOS!$E9465,nASIG,DATOS!$I9465,nEVAL,"EX")=0),0))))</f>
      </c>
      <c r="H9465">
        <f>IF(DATOS!$G9465&lt;&gt;"EX",0,--(COUNTIFS(nNIA,DATOS!$A9465,nCURSO,DATOS!$D9465,nESPEC,DATOS!$E9465,nASIG,DATOS!$I9465,nEVAL,"OR")=0))</f>
      </c>
      <c r="I9465">
        <f>IF(DATOS!$I9465="","",IFERROR(VLOOKUP(DATOS!$I9465,CONFIG_ASIGNATURAS!$B$2:$J$91,9,FALSE()),""))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IF(DATOS!$A9466="",0,IF(CONFIG_METADATA!$B$4&lt;&gt;"OR+EX",--(DATOS!$G9466=CONFIG_METADATA!$B$4),IF(DATOS!$G9466="EX",1,IF(DATOS!$G9466="OR",--(COUNTIFS(nNIA,DATOS!$A9466,nCURSO,DATOS!$D9466,nESPEC,DATOS!$E9466,nASIG,DATOS!$I9466,nEVAL,"EX")=0),0))))</f>
      </c>
      <c r="H9466">
        <f>IF(DATOS!$G9466&lt;&gt;"EX",0,--(COUNTIFS(nNIA,DATOS!$A9466,nCURSO,DATOS!$D9466,nESPEC,DATOS!$E9466,nASIG,DATOS!$I9466,nEVAL,"OR")=0))</f>
      </c>
      <c r="I9466">
        <f>IF(DATOS!$I9466="","",IFERROR(VLOOKUP(DATOS!$I9466,CONFIG_ASIGNATURAS!$B$2:$J$91,9,FALSE()),""))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IF(DATOS!$A9467="",0,IF(CONFIG_METADATA!$B$4&lt;&gt;"OR+EX",--(DATOS!$G9467=CONFIG_METADATA!$B$4),IF(DATOS!$G9467="EX",1,IF(DATOS!$G9467="OR",--(COUNTIFS(nNIA,DATOS!$A9467,nCURSO,DATOS!$D9467,nESPEC,DATOS!$E9467,nASIG,DATOS!$I9467,nEVAL,"EX")=0),0))))</f>
      </c>
      <c r="H9467">
        <f>IF(DATOS!$G9467&lt;&gt;"EX",0,--(COUNTIFS(nNIA,DATOS!$A9467,nCURSO,DATOS!$D9467,nESPEC,DATOS!$E9467,nASIG,DATOS!$I9467,nEVAL,"OR")=0))</f>
      </c>
      <c r="I9467">
        <f>IF(DATOS!$I9467="","",IFERROR(VLOOKUP(DATOS!$I9467,CONFIG_ASIGNATURAS!$B$2:$J$91,9,FALSE()),""))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IF(DATOS!$A9468="",0,IF(CONFIG_METADATA!$B$4&lt;&gt;"OR+EX",--(DATOS!$G9468=CONFIG_METADATA!$B$4),IF(DATOS!$G9468="EX",1,IF(DATOS!$G9468="OR",--(COUNTIFS(nNIA,DATOS!$A9468,nCURSO,DATOS!$D9468,nESPEC,DATOS!$E9468,nASIG,DATOS!$I9468,nEVAL,"EX")=0),0))))</f>
      </c>
      <c r="H9468">
        <f>IF(DATOS!$G9468&lt;&gt;"EX",0,--(COUNTIFS(nNIA,DATOS!$A9468,nCURSO,DATOS!$D9468,nESPEC,DATOS!$E9468,nASIG,DATOS!$I9468,nEVAL,"OR")=0))</f>
      </c>
      <c r="I9468">
        <f>IF(DATOS!$I9468="","",IFERROR(VLOOKUP(DATOS!$I9468,CONFIG_ASIGNATURAS!$B$2:$J$91,9,FALSE()),""))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IF(DATOS!$A9469="",0,IF(CONFIG_METADATA!$B$4&lt;&gt;"OR+EX",--(DATOS!$G9469=CONFIG_METADATA!$B$4),IF(DATOS!$G9469="EX",1,IF(DATOS!$G9469="OR",--(COUNTIFS(nNIA,DATOS!$A9469,nCURSO,DATOS!$D9469,nESPEC,DATOS!$E9469,nASIG,DATOS!$I9469,nEVAL,"EX")=0),0))))</f>
      </c>
      <c r="H9469">
        <f>IF(DATOS!$G9469&lt;&gt;"EX",0,--(COUNTIFS(nNIA,DATOS!$A9469,nCURSO,DATOS!$D9469,nESPEC,DATOS!$E9469,nASIG,DATOS!$I9469,nEVAL,"OR")=0))</f>
      </c>
      <c r="I9469">
        <f>IF(DATOS!$I9469="","",IFERROR(VLOOKUP(DATOS!$I9469,CONFIG_ASIGNATURAS!$B$2:$J$91,9,FALSE()),""))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IF(DATOS!$A9470="",0,IF(CONFIG_METADATA!$B$4&lt;&gt;"OR+EX",--(DATOS!$G9470=CONFIG_METADATA!$B$4),IF(DATOS!$G9470="EX",1,IF(DATOS!$G9470="OR",--(COUNTIFS(nNIA,DATOS!$A9470,nCURSO,DATOS!$D9470,nESPEC,DATOS!$E9470,nASIG,DATOS!$I9470,nEVAL,"EX")=0),0))))</f>
      </c>
      <c r="H9470">
        <f>IF(DATOS!$G9470&lt;&gt;"EX",0,--(COUNTIFS(nNIA,DATOS!$A9470,nCURSO,DATOS!$D9470,nESPEC,DATOS!$E9470,nASIG,DATOS!$I9470,nEVAL,"OR")=0))</f>
      </c>
      <c r="I9470">
        <f>IF(DATOS!$I9470="","",IFERROR(VLOOKUP(DATOS!$I9470,CONFIG_ASIGNATURAS!$B$2:$J$91,9,FALSE()),""))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IF(DATOS!$A9471="",0,IF(CONFIG_METADATA!$B$4&lt;&gt;"OR+EX",--(DATOS!$G9471=CONFIG_METADATA!$B$4),IF(DATOS!$G9471="EX",1,IF(DATOS!$G9471="OR",--(COUNTIFS(nNIA,DATOS!$A9471,nCURSO,DATOS!$D9471,nESPEC,DATOS!$E9471,nASIG,DATOS!$I9471,nEVAL,"EX")=0),0))))</f>
      </c>
      <c r="H9471">
        <f>IF(DATOS!$G9471&lt;&gt;"EX",0,--(COUNTIFS(nNIA,DATOS!$A9471,nCURSO,DATOS!$D9471,nESPEC,DATOS!$E9471,nASIG,DATOS!$I9471,nEVAL,"OR")=0))</f>
      </c>
      <c r="I9471">
        <f>IF(DATOS!$I9471="","",IFERROR(VLOOKUP(DATOS!$I9471,CONFIG_ASIGNATURAS!$B$2:$J$91,9,FALSE()),""))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IF(DATOS!$A9472="",0,IF(CONFIG_METADATA!$B$4&lt;&gt;"OR+EX",--(DATOS!$G9472=CONFIG_METADATA!$B$4),IF(DATOS!$G9472="EX",1,IF(DATOS!$G9472="OR",--(COUNTIFS(nNIA,DATOS!$A9472,nCURSO,DATOS!$D9472,nESPEC,DATOS!$E9472,nASIG,DATOS!$I9472,nEVAL,"EX")=0),0))))</f>
      </c>
      <c r="H9472">
        <f>IF(DATOS!$G9472&lt;&gt;"EX",0,--(COUNTIFS(nNIA,DATOS!$A9472,nCURSO,DATOS!$D9472,nESPEC,DATOS!$E9472,nASIG,DATOS!$I9472,nEVAL,"OR")=0))</f>
      </c>
      <c r="I9472">
        <f>IF(DATOS!$I9472="","",IFERROR(VLOOKUP(DATOS!$I9472,CONFIG_ASIGNATURAS!$B$2:$J$91,9,FALSE()),""))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IF(DATOS!$A9473="",0,IF(CONFIG_METADATA!$B$4&lt;&gt;"OR+EX",--(DATOS!$G9473=CONFIG_METADATA!$B$4),IF(DATOS!$G9473="EX",1,IF(DATOS!$G9473="OR",--(COUNTIFS(nNIA,DATOS!$A9473,nCURSO,DATOS!$D9473,nESPEC,DATOS!$E9473,nASIG,DATOS!$I9473,nEVAL,"EX")=0),0))))</f>
      </c>
      <c r="H9473">
        <f>IF(DATOS!$G9473&lt;&gt;"EX",0,--(COUNTIFS(nNIA,DATOS!$A9473,nCURSO,DATOS!$D9473,nESPEC,DATOS!$E9473,nASIG,DATOS!$I9473,nEVAL,"OR")=0))</f>
      </c>
      <c r="I9473">
        <f>IF(DATOS!$I9473="","",IFERROR(VLOOKUP(DATOS!$I9473,CONFIG_ASIGNATURAS!$B$2:$J$91,9,FALSE()),""))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IF(DATOS!$A9474="",0,IF(CONFIG_METADATA!$B$4&lt;&gt;"OR+EX",--(DATOS!$G9474=CONFIG_METADATA!$B$4),IF(DATOS!$G9474="EX",1,IF(DATOS!$G9474="OR",--(COUNTIFS(nNIA,DATOS!$A9474,nCURSO,DATOS!$D9474,nESPEC,DATOS!$E9474,nASIG,DATOS!$I9474,nEVAL,"EX")=0),0))))</f>
      </c>
      <c r="H9474">
        <f>IF(DATOS!$G9474&lt;&gt;"EX",0,--(COUNTIFS(nNIA,DATOS!$A9474,nCURSO,DATOS!$D9474,nESPEC,DATOS!$E9474,nASIG,DATOS!$I9474,nEVAL,"OR")=0))</f>
      </c>
      <c r="I9474">
        <f>IF(DATOS!$I9474="","",IFERROR(VLOOKUP(DATOS!$I9474,CONFIG_ASIGNATURAS!$B$2:$J$91,9,FALSE()),""))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IF(DATOS!$A9475="",0,IF(CONFIG_METADATA!$B$4&lt;&gt;"OR+EX",--(DATOS!$G9475=CONFIG_METADATA!$B$4),IF(DATOS!$G9475="EX",1,IF(DATOS!$G9475="OR",--(COUNTIFS(nNIA,DATOS!$A9475,nCURSO,DATOS!$D9475,nESPEC,DATOS!$E9475,nASIG,DATOS!$I9475,nEVAL,"EX")=0),0))))</f>
      </c>
      <c r="H9475">
        <f>IF(DATOS!$G9475&lt;&gt;"EX",0,--(COUNTIFS(nNIA,DATOS!$A9475,nCURSO,DATOS!$D9475,nESPEC,DATOS!$E9475,nASIG,DATOS!$I9475,nEVAL,"OR")=0))</f>
      </c>
      <c r="I9475">
        <f>IF(DATOS!$I9475="","",IFERROR(VLOOKUP(DATOS!$I9475,CONFIG_ASIGNATURAS!$B$2:$J$91,9,FALSE()),""))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IF(DATOS!$A9476="",0,IF(CONFIG_METADATA!$B$4&lt;&gt;"OR+EX",--(DATOS!$G9476=CONFIG_METADATA!$B$4),IF(DATOS!$G9476="EX",1,IF(DATOS!$G9476="OR",--(COUNTIFS(nNIA,DATOS!$A9476,nCURSO,DATOS!$D9476,nESPEC,DATOS!$E9476,nASIG,DATOS!$I9476,nEVAL,"EX")=0),0))))</f>
      </c>
      <c r="H9476">
        <f>IF(DATOS!$G9476&lt;&gt;"EX",0,--(COUNTIFS(nNIA,DATOS!$A9476,nCURSO,DATOS!$D9476,nESPEC,DATOS!$E9476,nASIG,DATOS!$I9476,nEVAL,"OR")=0))</f>
      </c>
      <c r="I9476">
        <f>IF(DATOS!$I9476="","",IFERROR(VLOOKUP(DATOS!$I9476,CONFIG_ASIGNATURAS!$B$2:$J$91,9,FALSE()),""))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IF(DATOS!$A9477="",0,IF(CONFIG_METADATA!$B$4&lt;&gt;"OR+EX",--(DATOS!$G9477=CONFIG_METADATA!$B$4),IF(DATOS!$G9477="EX",1,IF(DATOS!$G9477="OR",--(COUNTIFS(nNIA,DATOS!$A9477,nCURSO,DATOS!$D9477,nESPEC,DATOS!$E9477,nASIG,DATOS!$I9477,nEVAL,"EX")=0),0))))</f>
      </c>
      <c r="H9477">
        <f>IF(DATOS!$G9477&lt;&gt;"EX",0,--(COUNTIFS(nNIA,DATOS!$A9477,nCURSO,DATOS!$D9477,nESPEC,DATOS!$E9477,nASIG,DATOS!$I9477,nEVAL,"OR")=0))</f>
      </c>
      <c r="I9477">
        <f>IF(DATOS!$I9477="","",IFERROR(VLOOKUP(DATOS!$I9477,CONFIG_ASIGNATURAS!$B$2:$J$91,9,FALSE()),""))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IF(DATOS!$A9478="",0,IF(CONFIG_METADATA!$B$4&lt;&gt;"OR+EX",--(DATOS!$G9478=CONFIG_METADATA!$B$4),IF(DATOS!$G9478="EX",1,IF(DATOS!$G9478="OR",--(COUNTIFS(nNIA,DATOS!$A9478,nCURSO,DATOS!$D9478,nESPEC,DATOS!$E9478,nASIG,DATOS!$I9478,nEVAL,"EX")=0),0))))</f>
      </c>
      <c r="H9478">
        <f>IF(DATOS!$G9478&lt;&gt;"EX",0,--(COUNTIFS(nNIA,DATOS!$A9478,nCURSO,DATOS!$D9478,nESPEC,DATOS!$E9478,nASIG,DATOS!$I9478,nEVAL,"OR")=0))</f>
      </c>
      <c r="I9478">
        <f>IF(DATOS!$I9478="","",IFERROR(VLOOKUP(DATOS!$I9478,CONFIG_ASIGNATURAS!$B$2:$J$91,9,FALSE()),""))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IF(DATOS!$A9479="",0,IF(CONFIG_METADATA!$B$4&lt;&gt;"OR+EX",--(DATOS!$G9479=CONFIG_METADATA!$B$4),IF(DATOS!$G9479="EX",1,IF(DATOS!$G9479="OR",--(COUNTIFS(nNIA,DATOS!$A9479,nCURSO,DATOS!$D9479,nESPEC,DATOS!$E9479,nASIG,DATOS!$I9479,nEVAL,"EX")=0),0))))</f>
      </c>
      <c r="H9479">
        <f>IF(DATOS!$G9479&lt;&gt;"EX",0,--(COUNTIFS(nNIA,DATOS!$A9479,nCURSO,DATOS!$D9479,nESPEC,DATOS!$E9479,nASIG,DATOS!$I9479,nEVAL,"OR")=0))</f>
      </c>
      <c r="I9479">
        <f>IF(DATOS!$I9479="","",IFERROR(VLOOKUP(DATOS!$I9479,CONFIG_ASIGNATURAS!$B$2:$J$91,9,FALSE()),""))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IF(DATOS!$A9480="",0,IF(CONFIG_METADATA!$B$4&lt;&gt;"OR+EX",--(DATOS!$G9480=CONFIG_METADATA!$B$4),IF(DATOS!$G9480="EX",1,IF(DATOS!$G9480="OR",--(COUNTIFS(nNIA,DATOS!$A9480,nCURSO,DATOS!$D9480,nESPEC,DATOS!$E9480,nASIG,DATOS!$I9480,nEVAL,"EX")=0),0))))</f>
      </c>
      <c r="H9480">
        <f>IF(DATOS!$G9480&lt;&gt;"EX",0,--(COUNTIFS(nNIA,DATOS!$A9480,nCURSO,DATOS!$D9480,nESPEC,DATOS!$E9480,nASIG,DATOS!$I9480,nEVAL,"OR")=0))</f>
      </c>
      <c r="I9480">
        <f>IF(DATOS!$I9480="","",IFERROR(VLOOKUP(DATOS!$I9480,CONFIG_ASIGNATURAS!$B$2:$J$91,9,FALSE()),""))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IF(DATOS!$A9481="",0,IF(CONFIG_METADATA!$B$4&lt;&gt;"OR+EX",--(DATOS!$G9481=CONFIG_METADATA!$B$4),IF(DATOS!$G9481="EX",1,IF(DATOS!$G9481="OR",--(COUNTIFS(nNIA,DATOS!$A9481,nCURSO,DATOS!$D9481,nESPEC,DATOS!$E9481,nASIG,DATOS!$I9481,nEVAL,"EX")=0),0))))</f>
      </c>
      <c r="H9481">
        <f>IF(DATOS!$G9481&lt;&gt;"EX",0,--(COUNTIFS(nNIA,DATOS!$A9481,nCURSO,DATOS!$D9481,nESPEC,DATOS!$E9481,nASIG,DATOS!$I9481,nEVAL,"OR")=0))</f>
      </c>
      <c r="I9481">
        <f>IF(DATOS!$I9481="","",IFERROR(VLOOKUP(DATOS!$I9481,CONFIG_ASIGNATURAS!$B$2:$J$91,9,FALSE()),""))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IF(DATOS!$A9482="",0,IF(CONFIG_METADATA!$B$4&lt;&gt;"OR+EX",--(DATOS!$G9482=CONFIG_METADATA!$B$4),IF(DATOS!$G9482="EX",1,IF(DATOS!$G9482="OR",--(COUNTIFS(nNIA,DATOS!$A9482,nCURSO,DATOS!$D9482,nESPEC,DATOS!$E9482,nASIG,DATOS!$I9482,nEVAL,"EX")=0),0))))</f>
      </c>
      <c r="H9482">
        <f>IF(DATOS!$G9482&lt;&gt;"EX",0,--(COUNTIFS(nNIA,DATOS!$A9482,nCURSO,DATOS!$D9482,nESPEC,DATOS!$E9482,nASIG,DATOS!$I9482,nEVAL,"OR")=0))</f>
      </c>
      <c r="I9482">
        <f>IF(DATOS!$I9482="","",IFERROR(VLOOKUP(DATOS!$I9482,CONFIG_ASIGNATURAS!$B$2:$J$91,9,FALSE()),""))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IF(DATOS!$A9483="",0,IF(CONFIG_METADATA!$B$4&lt;&gt;"OR+EX",--(DATOS!$G9483=CONFIG_METADATA!$B$4),IF(DATOS!$G9483="EX",1,IF(DATOS!$G9483="OR",--(COUNTIFS(nNIA,DATOS!$A9483,nCURSO,DATOS!$D9483,nESPEC,DATOS!$E9483,nASIG,DATOS!$I9483,nEVAL,"EX")=0),0))))</f>
      </c>
      <c r="H9483">
        <f>IF(DATOS!$G9483&lt;&gt;"EX",0,--(COUNTIFS(nNIA,DATOS!$A9483,nCURSO,DATOS!$D9483,nESPEC,DATOS!$E9483,nASIG,DATOS!$I9483,nEVAL,"OR")=0))</f>
      </c>
      <c r="I9483">
        <f>IF(DATOS!$I9483="","",IFERROR(VLOOKUP(DATOS!$I9483,CONFIG_ASIGNATURAS!$B$2:$J$91,9,FALSE()),""))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IF(DATOS!$A9484="",0,IF(CONFIG_METADATA!$B$4&lt;&gt;"OR+EX",--(DATOS!$G9484=CONFIG_METADATA!$B$4),IF(DATOS!$G9484="EX",1,IF(DATOS!$G9484="OR",--(COUNTIFS(nNIA,DATOS!$A9484,nCURSO,DATOS!$D9484,nESPEC,DATOS!$E9484,nASIG,DATOS!$I9484,nEVAL,"EX")=0),0))))</f>
      </c>
      <c r="H9484">
        <f>IF(DATOS!$G9484&lt;&gt;"EX",0,--(COUNTIFS(nNIA,DATOS!$A9484,nCURSO,DATOS!$D9484,nESPEC,DATOS!$E9484,nASIG,DATOS!$I9484,nEVAL,"OR")=0))</f>
      </c>
      <c r="I9484">
        <f>IF(DATOS!$I9484="","",IFERROR(VLOOKUP(DATOS!$I9484,CONFIG_ASIGNATURAS!$B$2:$J$91,9,FALSE()),""))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IF(DATOS!$A9485="",0,IF(CONFIG_METADATA!$B$4&lt;&gt;"OR+EX",--(DATOS!$G9485=CONFIG_METADATA!$B$4),IF(DATOS!$G9485="EX",1,IF(DATOS!$G9485="OR",--(COUNTIFS(nNIA,DATOS!$A9485,nCURSO,DATOS!$D9485,nESPEC,DATOS!$E9485,nASIG,DATOS!$I9485,nEVAL,"EX")=0),0))))</f>
      </c>
      <c r="H9485">
        <f>IF(DATOS!$G9485&lt;&gt;"EX",0,--(COUNTIFS(nNIA,DATOS!$A9485,nCURSO,DATOS!$D9485,nESPEC,DATOS!$E9485,nASIG,DATOS!$I9485,nEVAL,"OR")=0))</f>
      </c>
      <c r="I9485">
        <f>IF(DATOS!$I9485="","",IFERROR(VLOOKUP(DATOS!$I9485,CONFIG_ASIGNATURAS!$B$2:$J$91,9,FALSE()),""))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IF(DATOS!$A9486="",0,IF(CONFIG_METADATA!$B$4&lt;&gt;"OR+EX",--(DATOS!$G9486=CONFIG_METADATA!$B$4),IF(DATOS!$G9486="EX",1,IF(DATOS!$G9486="OR",--(COUNTIFS(nNIA,DATOS!$A9486,nCURSO,DATOS!$D9486,nESPEC,DATOS!$E9486,nASIG,DATOS!$I9486,nEVAL,"EX")=0),0))))</f>
      </c>
      <c r="H9486">
        <f>IF(DATOS!$G9486&lt;&gt;"EX",0,--(COUNTIFS(nNIA,DATOS!$A9486,nCURSO,DATOS!$D9486,nESPEC,DATOS!$E9486,nASIG,DATOS!$I9486,nEVAL,"OR")=0))</f>
      </c>
      <c r="I9486">
        <f>IF(DATOS!$I9486="","",IFERROR(VLOOKUP(DATOS!$I9486,CONFIG_ASIGNATURAS!$B$2:$J$91,9,FALSE()),""))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IF(DATOS!$A9487="",0,IF(CONFIG_METADATA!$B$4&lt;&gt;"OR+EX",--(DATOS!$G9487=CONFIG_METADATA!$B$4),IF(DATOS!$G9487="EX",1,IF(DATOS!$G9487="OR",--(COUNTIFS(nNIA,DATOS!$A9487,nCURSO,DATOS!$D9487,nESPEC,DATOS!$E9487,nASIG,DATOS!$I9487,nEVAL,"EX")=0),0))))</f>
      </c>
      <c r="H9487">
        <f>IF(DATOS!$G9487&lt;&gt;"EX",0,--(COUNTIFS(nNIA,DATOS!$A9487,nCURSO,DATOS!$D9487,nESPEC,DATOS!$E9487,nASIG,DATOS!$I9487,nEVAL,"OR")=0))</f>
      </c>
      <c r="I9487">
        <f>IF(DATOS!$I9487="","",IFERROR(VLOOKUP(DATOS!$I9487,CONFIG_ASIGNATURAS!$B$2:$J$91,9,FALSE()),""))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IF(DATOS!$A9488="",0,IF(CONFIG_METADATA!$B$4&lt;&gt;"OR+EX",--(DATOS!$G9488=CONFIG_METADATA!$B$4),IF(DATOS!$G9488="EX",1,IF(DATOS!$G9488="OR",--(COUNTIFS(nNIA,DATOS!$A9488,nCURSO,DATOS!$D9488,nESPEC,DATOS!$E9488,nASIG,DATOS!$I9488,nEVAL,"EX")=0),0))))</f>
      </c>
      <c r="H9488">
        <f>IF(DATOS!$G9488&lt;&gt;"EX",0,--(COUNTIFS(nNIA,DATOS!$A9488,nCURSO,DATOS!$D9488,nESPEC,DATOS!$E9488,nASIG,DATOS!$I9488,nEVAL,"OR")=0))</f>
      </c>
      <c r="I9488">
        <f>IF(DATOS!$I9488="","",IFERROR(VLOOKUP(DATOS!$I9488,CONFIG_ASIGNATURAS!$B$2:$J$91,9,FALSE()),""))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IF(DATOS!$A9489="",0,IF(CONFIG_METADATA!$B$4&lt;&gt;"OR+EX",--(DATOS!$G9489=CONFIG_METADATA!$B$4),IF(DATOS!$G9489="EX",1,IF(DATOS!$G9489="OR",--(COUNTIFS(nNIA,DATOS!$A9489,nCURSO,DATOS!$D9489,nESPEC,DATOS!$E9489,nASIG,DATOS!$I9489,nEVAL,"EX")=0),0))))</f>
      </c>
      <c r="H9489">
        <f>IF(DATOS!$G9489&lt;&gt;"EX",0,--(COUNTIFS(nNIA,DATOS!$A9489,nCURSO,DATOS!$D9489,nESPEC,DATOS!$E9489,nASIG,DATOS!$I9489,nEVAL,"OR")=0))</f>
      </c>
      <c r="I9489">
        <f>IF(DATOS!$I9489="","",IFERROR(VLOOKUP(DATOS!$I9489,CONFIG_ASIGNATURAS!$B$2:$J$91,9,FALSE()),""))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IF(DATOS!$A9490="",0,IF(CONFIG_METADATA!$B$4&lt;&gt;"OR+EX",--(DATOS!$G9490=CONFIG_METADATA!$B$4),IF(DATOS!$G9490="EX",1,IF(DATOS!$G9490="OR",--(COUNTIFS(nNIA,DATOS!$A9490,nCURSO,DATOS!$D9490,nESPEC,DATOS!$E9490,nASIG,DATOS!$I9490,nEVAL,"EX")=0),0))))</f>
      </c>
      <c r="H9490">
        <f>IF(DATOS!$G9490&lt;&gt;"EX",0,--(COUNTIFS(nNIA,DATOS!$A9490,nCURSO,DATOS!$D9490,nESPEC,DATOS!$E9490,nASIG,DATOS!$I9490,nEVAL,"OR")=0))</f>
      </c>
      <c r="I9490">
        <f>IF(DATOS!$I9490="","",IFERROR(VLOOKUP(DATOS!$I9490,CONFIG_ASIGNATURAS!$B$2:$J$91,9,FALSE()),""))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IF(DATOS!$A9491="",0,IF(CONFIG_METADATA!$B$4&lt;&gt;"OR+EX",--(DATOS!$G9491=CONFIG_METADATA!$B$4),IF(DATOS!$G9491="EX",1,IF(DATOS!$G9491="OR",--(COUNTIFS(nNIA,DATOS!$A9491,nCURSO,DATOS!$D9491,nESPEC,DATOS!$E9491,nASIG,DATOS!$I9491,nEVAL,"EX")=0),0))))</f>
      </c>
      <c r="H9491">
        <f>IF(DATOS!$G9491&lt;&gt;"EX",0,--(COUNTIFS(nNIA,DATOS!$A9491,nCURSO,DATOS!$D9491,nESPEC,DATOS!$E9491,nASIG,DATOS!$I9491,nEVAL,"OR")=0))</f>
      </c>
      <c r="I9491">
        <f>IF(DATOS!$I9491="","",IFERROR(VLOOKUP(DATOS!$I9491,CONFIG_ASIGNATURAS!$B$2:$J$91,9,FALSE()),""))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IF(DATOS!$A9492="",0,IF(CONFIG_METADATA!$B$4&lt;&gt;"OR+EX",--(DATOS!$G9492=CONFIG_METADATA!$B$4),IF(DATOS!$G9492="EX",1,IF(DATOS!$G9492="OR",--(COUNTIFS(nNIA,DATOS!$A9492,nCURSO,DATOS!$D9492,nESPEC,DATOS!$E9492,nASIG,DATOS!$I9492,nEVAL,"EX")=0),0))))</f>
      </c>
      <c r="H9492">
        <f>IF(DATOS!$G9492&lt;&gt;"EX",0,--(COUNTIFS(nNIA,DATOS!$A9492,nCURSO,DATOS!$D9492,nESPEC,DATOS!$E9492,nASIG,DATOS!$I9492,nEVAL,"OR")=0))</f>
      </c>
      <c r="I9492">
        <f>IF(DATOS!$I9492="","",IFERROR(VLOOKUP(DATOS!$I9492,CONFIG_ASIGNATURAS!$B$2:$J$91,9,FALSE()),""))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IF(DATOS!$A9493="",0,IF(CONFIG_METADATA!$B$4&lt;&gt;"OR+EX",--(DATOS!$G9493=CONFIG_METADATA!$B$4),IF(DATOS!$G9493="EX",1,IF(DATOS!$G9493="OR",--(COUNTIFS(nNIA,DATOS!$A9493,nCURSO,DATOS!$D9493,nESPEC,DATOS!$E9493,nASIG,DATOS!$I9493,nEVAL,"EX")=0),0))))</f>
      </c>
      <c r="H9493">
        <f>IF(DATOS!$G9493&lt;&gt;"EX",0,--(COUNTIFS(nNIA,DATOS!$A9493,nCURSO,DATOS!$D9493,nESPEC,DATOS!$E9493,nASIG,DATOS!$I9493,nEVAL,"OR")=0))</f>
      </c>
      <c r="I9493">
        <f>IF(DATOS!$I9493="","",IFERROR(VLOOKUP(DATOS!$I9493,CONFIG_ASIGNATURAS!$B$2:$J$91,9,FALSE()),""))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IF(DATOS!$A9494="",0,IF(CONFIG_METADATA!$B$4&lt;&gt;"OR+EX",--(DATOS!$G9494=CONFIG_METADATA!$B$4),IF(DATOS!$G9494="EX",1,IF(DATOS!$G9494="OR",--(COUNTIFS(nNIA,DATOS!$A9494,nCURSO,DATOS!$D9494,nESPEC,DATOS!$E9494,nASIG,DATOS!$I9494,nEVAL,"EX")=0),0))))</f>
      </c>
      <c r="H9494">
        <f>IF(DATOS!$G9494&lt;&gt;"EX",0,--(COUNTIFS(nNIA,DATOS!$A9494,nCURSO,DATOS!$D9494,nESPEC,DATOS!$E9494,nASIG,DATOS!$I9494,nEVAL,"OR")=0))</f>
      </c>
      <c r="I9494">
        <f>IF(DATOS!$I9494="","",IFERROR(VLOOKUP(DATOS!$I9494,CONFIG_ASIGNATURAS!$B$2:$J$91,9,FALSE()),""))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IF(DATOS!$A9495="",0,IF(CONFIG_METADATA!$B$4&lt;&gt;"OR+EX",--(DATOS!$G9495=CONFIG_METADATA!$B$4),IF(DATOS!$G9495="EX",1,IF(DATOS!$G9495="OR",--(COUNTIFS(nNIA,DATOS!$A9495,nCURSO,DATOS!$D9495,nESPEC,DATOS!$E9495,nASIG,DATOS!$I9495,nEVAL,"EX")=0),0))))</f>
      </c>
      <c r="H9495">
        <f>IF(DATOS!$G9495&lt;&gt;"EX",0,--(COUNTIFS(nNIA,DATOS!$A9495,nCURSO,DATOS!$D9495,nESPEC,DATOS!$E9495,nASIG,DATOS!$I9495,nEVAL,"OR")=0))</f>
      </c>
      <c r="I9495">
        <f>IF(DATOS!$I9495="","",IFERROR(VLOOKUP(DATOS!$I9495,CONFIG_ASIGNATURAS!$B$2:$J$91,9,FALSE()),""))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IF(DATOS!$A9496="",0,IF(CONFIG_METADATA!$B$4&lt;&gt;"OR+EX",--(DATOS!$G9496=CONFIG_METADATA!$B$4),IF(DATOS!$G9496="EX",1,IF(DATOS!$G9496="OR",--(COUNTIFS(nNIA,DATOS!$A9496,nCURSO,DATOS!$D9496,nESPEC,DATOS!$E9496,nASIG,DATOS!$I9496,nEVAL,"EX")=0),0))))</f>
      </c>
      <c r="H9496">
        <f>IF(DATOS!$G9496&lt;&gt;"EX",0,--(COUNTIFS(nNIA,DATOS!$A9496,nCURSO,DATOS!$D9496,nESPEC,DATOS!$E9496,nASIG,DATOS!$I9496,nEVAL,"OR")=0))</f>
      </c>
      <c r="I9496">
        <f>IF(DATOS!$I9496="","",IFERROR(VLOOKUP(DATOS!$I9496,CONFIG_ASIGNATURAS!$B$2:$J$91,9,FALSE()),""))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IF(DATOS!$A9497="",0,IF(CONFIG_METADATA!$B$4&lt;&gt;"OR+EX",--(DATOS!$G9497=CONFIG_METADATA!$B$4),IF(DATOS!$G9497="EX",1,IF(DATOS!$G9497="OR",--(COUNTIFS(nNIA,DATOS!$A9497,nCURSO,DATOS!$D9497,nESPEC,DATOS!$E9497,nASIG,DATOS!$I9497,nEVAL,"EX")=0),0))))</f>
      </c>
      <c r="H9497">
        <f>IF(DATOS!$G9497&lt;&gt;"EX",0,--(COUNTIFS(nNIA,DATOS!$A9497,nCURSO,DATOS!$D9497,nESPEC,DATOS!$E9497,nASIG,DATOS!$I9497,nEVAL,"OR")=0))</f>
      </c>
      <c r="I9497">
        <f>IF(DATOS!$I9497="","",IFERROR(VLOOKUP(DATOS!$I9497,CONFIG_ASIGNATURAS!$B$2:$J$91,9,FALSE()),""))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IF(DATOS!$A9498="",0,IF(CONFIG_METADATA!$B$4&lt;&gt;"OR+EX",--(DATOS!$G9498=CONFIG_METADATA!$B$4),IF(DATOS!$G9498="EX",1,IF(DATOS!$G9498="OR",--(COUNTIFS(nNIA,DATOS!$A9498,nCURSO,DATOS!$D9498,nESPEC,DATOS!$E9498,nASIG,DATOS!$I9498,nEVAL,"EX")=0),0))))</f>
      </c>
      <c r="H9498">
        <f>IF(DATOS!$G9498&lt;&gt;"EX",0,--(COUNTIFS(nNIA,DATOS!$A9498,nCURSO,DATOS!$D9498,nESPEC,DATOS!$E9498,nASIG,DATOS!$I9498,nEVAL,"OR")=0))</f>
      </c>
      <c r="I9498">
        <f>IF(DATOS!$I9498="","",IFERROR(VLOOKUP(DATOS!$I9498,CONFIG_ASIGNATURAS!$B$2:$J$91,9,FALSE()),""))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IF(DATOS!$A9499="",0,IF(CONFIG_METADATA!$B$4&lt;&gt;"OR+EX",--(DATOS!$G9499=CONFIG_METADATA!$B$4),IF(DATOS!$G9499="EX",1,IF(DATOS!$G9499="OR",--(COUNTIFS(nNIA,DATOS!$A9499,nCURSO,DATOS!$D9499,nESPEC,DATOS!$E9499,nASIG,DATOS!$I9499,nEVAL,"EX")=0),0))))</f>
      </c>
      <c r="H9499">
        <f>IF(DATOS!$G9499&lt;&gt;"EX",0,--(COUNTIFS(nNIA,DATOS!$A9499,nCURSO,DATOS!$D9499,nESPEC,DATOS!$E9499,nASIG,DATOS!$I9499,nEVAL,"OR")=0))</f>
      </c>
      <c r="I9499">
        <f>IF(DATOS!$I9499="","",IFERROR(VLOOKUP(DATOS!$I9499,CONFIG_ASIGNATURAS!$B$2:$J$91,9,FALSE()),""))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IF(DATOS!$A9500="",0,IF(CONFIG_METADATA!$B$4&lt;&gt;"OR+EX",--(DATOS!$G9500=CONFIG_METADATA!$B$4),IF(DATOS!$G9500="EX",1,IF(DATOS!$G9500="OR",--(COUNTIFS(nNIA,DATOS!$A9500,nCURSO,DATOS!$D9500,nESPEC,DATOS!$E9500,nASIG,DATOS!$I9500,nEVAL,"EX")=0),0))))</f>
      </c>
      <c r="H9500">
        <f>IF(DATOS!$G9500&lt;&gt;"EX",0,--(COUNTIFS(nNIA,DATOS!$A9500,nCURSO,DATOS!$D9500,nESPEC,DATOS!$E9500,nASIG,DATOS!$I9500,nEVAL,"OR")=0))</f>
      </c>
      <c r="I9500">
        <f>IF(DATOS!$I9500="","",IFERROR(VLOOKUP(DATOS!$I9500,CONFIG_ASIGNATURAS!$B$2:$J$91,9,FALSE()),""))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IF(DATOS!$A9501="",0,IF(CONFIG_METADATA!$B$4&lt;&gt;"OR+EX",--(DATOS!$G9501=CONFIG_METADATA!$B$4),IF(DATOS!$G9501="EX",1,IF(DATOS!$G9501="OR",--(COUNTIFS(nNIA,DATOS!$A9501,nCURSO,DATOS!$D9501,nESPEC,DATOS!$E9501,nASIG,DATOS!$I9501,nEVAL,"EX")=0),0))))</f>
      </c>
      <c r="H9501">
        <f>IF(DATOS!$G9501&lt;&gt;"EX",0,--(COUNTIFS(nNIA,DATOS!$A9501,nCURSO,DATOS!$D9501,nESPEC,DATOS!$E9501,nASIG,DATOS!$I9501,nEVAL,"OR")=0))</f>
      </c>
      <c r="I9501">
        <f>IF(DATOS!$I9501="","",IFERROR(VLOOKUP(DATOS!$I9501,CONFIG_ASIGNATURAS!$B$2:$J$91,9,FALSE()),""))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IF(DATOS!$A9502="",0,IF(CONFIG_METADATA!$B$4&lt;&gt;"OR+EX",--(DATOS!$G9502=CONFIG_METADATA!$B$4),IF(DATOS!$G9502="EX",1,IF(DATOS!$G9502="OR",--(COUNTIFS(nNIA,DATOS!$A9502,nCURSO,DATOS!$D9502,nESPEC,DATOS!$E9502,nASIG,DATOS!$I9502,nEVAL,"EX")=0),0))))</f>
      </c>
      <c r="H9502">
        <f>IF(DATOS!$G9502&lt;&gt;"EX",0,--(COUNTIFS(nNIA,DATOS!$A9502,nCURSO,DATOS!$D9502,nESPEC,DATOS!$E9502,nASIG,DATOS!$I9502,nEVAL,"OR")=0))</f>
      </c>
      <c r="I9502">
        <f>IF(DATOS!$I9502="","",IFERROR(VLOOKUP(DATOS!$I9502,CONFIG_ASIGNATURAS!$B$2:$J$91,9,FALSE()),""))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IF(DATOS!$A9503="",0,IF(CONFIG_METADATA!$B$4&lt;&gt;"OR+EX",--(DATOS!$G9503=CONFIG_METADATA!$B$4),IF(DATOS!$G9503="EX",1,IF(DATOS!$G9503="OR",--(COUNTIFS(nNIA,DATOS!$A9503,nCURSO,DATOS!$D9503,nESPEC,DATOS!$E9503,nASIG,DATOS!$I9503,nEVAL,"EX")=0),0))))</f>
      </c>
      <c r="H9503">
        <f>IF(DATOS!$G9503&lt;&gt;"EX",0,--(COUNTIFS(nNIA,DATOS!$A9503,nCURSO,DATOS!$D9503,nESPEC,DATOS!$E9503,nASIG,DATOS!$I9503,nEVAL,"OR")=0))</f>
      </c>
      <c r="I9503">
        <f>IF(DATOS!$I9503="","",IFERROR(VLOOKUP(DATOS!$I9503,CONFIG_ASIGNATURAS!$B$2:$J$91,9,FALSE()),""))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IF(DATOS!$A9504="",0,IF(CONFIG_METADATA!$B$4&lt;&gt;"OR+EX",--(DATOS!$G9504=CONFIG_METADATA!$B$4),IF(DATOS!$G9504="EX",1,IF(DATOS!$G9504="OR",--(COUNTIFS(nNIA,DATOS!$A9504,nCURSO,DATOS!$D9504,nESPEC,DATOS!$E9504,nASIG,DATOS!$I9504,nEVAL,"EX")=0),0))))</f>
      </c>
      <c r="H9504">
        <f>IF(DATOS!$G9504&lt;&gt;"EX",0,--(COUNTIFS(nNIA,DATOS!$A9504,nCURSO,DATOS!$D9504,nESPEC,DATOS!$E9504,nASIG,DATOS!$I9504,nEVAL,"OR")=0))</f>
      </c>
      <c r="I9504">
        <f>IF(DATOS!$I9504="","",IFERROR(VLOOKUP(DATOS!$I9504,CONFIG_ASIGNATURAS!$B$2:$J$91,9,FALSE()),""))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IF(DATOS!$A9505="",0,IF(CONFIG_METADATA!$B$4&lt;&gt;"OR+EX",--(DATOS!$G9505=CONFIG_METADATA!$B$4),IF(DATOS!$G9505="EX",1,IF(DATOS!$G9505="OR",--(COUNTIFS(nNIA,DATOS!$A9505,nCURSO,DATOS!$D9505,nESPEC,DATOS!$E9505,nASIG,DATOS!$I9505,nEVAL,"EX")=0),0))))</f>
      </c>
      <c r="H9505">
        <f>IF(DATOS!$G9505&lt;&gt;"EX",0,--(COUNTIFS(nNIA,DATOS!$A9505,nCURSO,DATOS!$D9505,nESPEC,DATOS!$E9505,nASIG,DATOS!$I9505,nEVAL,"OR")=0))</f>
      </c>
      <c r="I9505">
        <f>IF(DATOS!$I9505="","",IFERROR(VLOOKUP(DATOS!$I9505,CONFIG_ASIGNATURAS!$B$2:$J$91,9,FALSE()),""))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IF(DATOS!$A9506="",0,IF(CONFIG_METADATA!$B$4&lt;&gt;"OR+EX",--(DATOS!$G9506=CONFIG_METADATA!$B$4),IF(DATOS!$G9506="EX",1,IF(DATOS!$G9506="OR",--(COUNTIFS(nNIA,DATOS!$A9506,nCURSO,DATOS!$D9506,nESPEC,DATOS!$E9506,nASIG,DATOS!$I9506,nEVAL,"EX")=0),0))))</f>
      </c>
      <c r="H9506">
        <f>IF(DATOS!$G9506&lt;&gt;"EX",0,--(COUNTIFS(nNIA,DATOS!$A9506,nCURSO,DATOS!$D9506,nESPEC,DATOS!$E9506,nASIG,DATOS!$I9506,nEVAL,"OR")=0))</f>
      </c>
      <c r="I9506">
        <f>IF(DATOS!$I9506="","",IFERROR(VLOOKUP(DATOS!$I9506,CONFIG_ASIGNATURAS!$B$2:$J$91,9,FALSE()),""))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IF(DATOS!$A9507="",0,IF(CONFIG_METADATA!$B$4&lt;&gt;"OR+EX",--(DATOS!$G9507=CONFIG_METADATA!$B$4),IF(DATOS!$G9507="EX",1,IF(DATOS!$G9507="OR",--(COUNTIFS(nNIA,DATOS!$A9507,nCURSO,DATOS!$D9507,nESPEC,DATOS!$E9507,nASIG,DATOS!$I9507,nEVAL,"EX")=0),0))))</f>
      </c>
      <c r="H9507">
        <f>IF(DATOS!$G9507&lt;&gt;"EX",0,--(COUNTIFS(nNIA,DATOS!$A9507,nCURSO,DATOS!$D9507,nESPEC,DATOS!$E9507,nASIG,DATOS!$I9507,nEVAL,"OR")=0))</f>
      </c>
      <c r="I9507">
        <f>IF(DATOS!$I9507="","",IFERROR(VLOOKUP(DATOS!$I9507,CONFIG_ASIGNATURAS!$B$2:$J$91,9,FALSE()),""))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IF(DATOS!$A9508="",0,IF(CONFIG_METADATA!$B$4&lt;&gt;"OR+EX",--(DATOS!$G9508=CONFIG_METADATA!$B$4),IF(DATOS!$G9508="EX",1,IF(DATOS!$G9508="OR",--(COUNTIFS(nNIA,DATOS!$A9508,nCURSO,DATOS!$D9508,nESPEC,DATOS!$E9508,nASIG,DATOS!$I9508,nEVAL,"EX")=0),0))))</f>
      </c>
      <c r="H9508">
        <f>IF(DATOS!$G9508&lt;&gt;"EX",0,--(COUNTIFS(nNIA,DATOS!$A9508,nCURSO,DATOS!$D9508,nESPEC,DATOS!$E9508,nASIG,DATOS!$I9508,nEVAL,"OR")=0))</f>
      </c>
      <c r="I9508">
        <f>IF(DATOS!$I9508="","",IFERROR(VLOOKUP(DATOS!$I9508,CONFIG_ASIGNATURAS!$B$2:$J$91,9,FALSE()),""))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IF(DATOS!$A9509="",0,IF(CONFIG_METADATA!$B$4&lt;&gt;"OR+EX",--(DATOS!$G9509=CONFIG_METADATA!$B$4),IF(DATOS!$G9509="EX",1,IF(DATOS!$G9509="OR",--(COUNTIFS(nNIA,DATOS!$A9509,nCURSO,DATOS!$D9509,nESPEC,DATOS!$E9509,nASIG,DATOS!$I9509,nEVAL,"EX")=0),0))))</f>
      </c>
      <c r="H9509">
        <f>IF(DATOS!$G9509&lt;&gt;"EX",0,--(COUNTIFS(nNIA,DATOS!$A9509,nCURSO,DATOS!$D9509,nESPEC,DATOS!$E9509,nASIG,DATOS!$I9509,nEVAL,"OR")=0))</f>
      </c>
      <c r="I9509">
        <f>IF(DATOS!$I9509="","",IFERROR(VLOOKUP(DATOS!$I9509,CONFIG_ASIGNATURAS!$B$2:$J$91,9,FALSE()),""))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IF(DATOS!$A9510="",0,IF(CONFIG_METADATA!$B$4&lt;&gt;"OR+EX",--(DATOS!$G9510=CONFIG_METADATA!$B$4),IF(DATOS!$G9510="EX",1,IF(DATOS!$G9510="OR",--(COUNTIFS(nNIA,DATOS!$A9510,nCURSO,DATOS!$D9510,nESPEC,DATOS!$E9510,nASIG,DATOS!$I9510,nEVAL,"EX")=0),0))))</f>
      </c>
      <c r="H9510">
        <f>IF(DATOS!$G9510&lt;&gt;"EX",0,--(COUNTIFS(nNIA,DATOS!$A9510,nCURSO,DATOS!$D9510,nESPEC,DATOS!$E9510,nASIG,DATOS!$I9510,nEVAL,"OR")=0))</f>
      </c>
      <c r="I9510">
        <f>IF(DATOS!$I9510="","",IFERROR(VLOOKUP(DATOS!$I9510,CONFIG_ASIGNATURAS!$B$2:$J$91,9,FALSE()),""))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IF(DATOS!$A9511="",0,IF(CONFIG_METADATA!$B$4&lt;&gt;"OR+EX",--(DATOS!$G9511=CONFIG_METADATA!$B$4),IF(DATOS!$G9511="EX",1,IF(DATOS!$G9511="OR",--(COUNTIFS(nNIA,DATOS!$A9511,nCURSO,DATOS!$D9511,nESPEC,DATOS!$E9511,nASIG,DATOS!$I9511,nEVAL,"EX")=0),0))))</f>
      </c>
      <c r="H9511">
        <f>IF(DATOS!$G9511&lt;&gt;"EX",0,--(COUNTIFS(nNIA,DATOS!$A9511,nCURSO,DATOS!$D9511,nESPEC,DATOS!$E9511,nASIG,DATOS!$I9511,nEVAL,"OR")=0))</f>
      </c>
      <c r="I9511">
        <f>IF(DATOS!$I9511="","",IFERROR(VLOOKUP(DATOS!$I9511,CONFIG_ASIGNATURAS!$B$2:$J$91,9,FALSE()),""))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IF(DATOS!$A9512="",0,IF(CONFIG_METADATA!$B$4&lt;&gt;"OR+EX",--(DATOS!$G9512=CONFIG_METADATA!$B$4),IF(DATOS!$G9512="EX",1,IF(DATOS!$G9512="OR",--(COUNTIFS(nNIA,DATOS!$A9512,nCURSO,DATOS!$D9512,nESPEC,DATOS!$E9512,nASIG,DATOS!$I9512,nEVAL,"EX")=0),0))))</f>
      </c>
      <c r="H9512">
        <f>IF(DATOS!$G9512&lt;&gt;"EX",0,--(COUNTIFS(nNIA,DATOS!$A9512,nCURSO,DATOS!$D9512,nESPEC,DATOS!$E9512,nASIG,DATOS!$I9512,nEVAL,"OR")=0))</f>
      </c>
      <c r="I9512">
        <f>IF(DATOS!$I9512="","",IFERROR(VLOOKUP(DATOS!$I9512,CONFIG_ASIGNATURAS!$B$2:$J$91,9,FALSE()),""))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IF(DATOS!$A9513="",0,IF(CONFIG_METADATA!$B$4&lt;&gt;"OR+EX",--(DATOS!$G9513=CONFIG_METADATA!$B$4),IF(DATOS!$G9513="EX",1,IF(DATOS!$G9513="OR",--(COUNTIFS(nNIA,DATOS!$A9513,nCURSO,DATOS!$D9513,nESPEC,DATOS!$E9513,nASIG,DATOS!$I9513,nEVAL,"EX")=0),0))))</f>
      </c>
      <c r="H9513">
        <f>IF(DATOS!$G9513&lt;&gt;"EX",0,--(COUNTIFS(nNIA,DATOS!$A9513,nCURSO,DATOS!$D9513,nESPEC,DATOS!$E9513,nASIG,DATOS!$I9513,nEVAL,"OR")=0))</f>
      </c>
      <c r="I9513">
        <f>IF(DATOS!$I9513="","",IFERROR(VLOOKUP(DATOS!$I9513,CONFIG_ASIGNATURAS!$B$2:$J$91,9,FALSE()),""))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IF(DATOS!$A9514="",0,IF(CONFIG_METADATA!$B$4&lt;&gt;"OR+EX",--(DATOS!$G9514=CONFIG_METADATA!$B$4),IF(DATOS!$G9514="EX",1,IF(DATOS!$G9514="OR",--(COUNTIFS(nNIA,DATOS!$A9514,nCURSO,DATOS!$D9514,nESPEC,DATOS!$E9514,nASIG,DATOS!$I9514,nEVAL,"EX")=0),0))))</f>
      </c>
      <c r="H9514">
        <f>IF(DATOS!$G9514&lt;&gt;"EX",0,--(COUNTIFS(nNIA,DATOS!$A9514,nCURSO,DATOS!$D9514,nESPEC,DATOS!$E9514,nASIG,DATOS!$I9514,nEVAL,"OR")=0))</f>
      </c>
      <c r="I9514">
        <f>IF(DATOS!$I9514="","",IFERROR(VLOOKUP(DATOS!$I9514,CONFIG_ASIGNATURAS!$B$2:$J$91,9,FALSE()),""))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IF(DATOS!$A9515="",0,IF(CONFIG_METADATA!$B$4&lt;&gt;"OR+EX",--(DATOS!$G9515=CONFIG_METADATA!$B$4),IF(DATOS!$G9515="EX",1,IF(DATOS!$G9515="OR",--(COUNTIFS(nNIA,DATOS!$A9515,nCURSO,DATOS!$D9515,nESPEC,DATOS!$E9515,nASIG,DATOS!$I9515,nEVAL,"EX")=0),0))))</f>
      </c>
      <c r="H9515">
        <f>IF(DATOS!$G9515&lt;&gt;"EX",0,--(COUNTIFS(nNIA,DATOS!$A9515,nCURSO,DATOS!$D9515,nESPEC,DATOS!$E9515,nASIG,DATOS!$I9515,nEVAL,"OR")=0))</f>
      </c>
      <c r="I9515">
        <f>IF(DATOS!$I9515="","",IFERROR(VLOOKUP(DATOS!$I9515,CONFIG_ASIGNATURAS!$B$2:$J$91,9,FALSE()),""))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IF(DATOS!$A9516="",0,IF(CONFIG_METADATA!$B$4&lt;&gt;"OR+EX",--(DATOS!$G9516=CONFIG_METADATA!$B$4),IF(DATOS!$G9516="EX",1,IF(DATOS!$G9516="OR",--(COUNTIFS(nNIA,DATOS!$A9516,nCURSO,DATOS!$D9516,nESPEC,DATOS!$E9516,nASIG,DATOS!$I9516,nEVAL,"EX")=0),0))))</f>
      </c>
      <c r="H9516">
        <f>IF(DATOS!$G9516&lt;&gt;"EX",0,--(COUNTIFS(nNIA,DATOS!$A9516,nCURSO,DATOS!$D9516,nESPEC,DATOS!$E9516,nASIG,DATOS!$I9516,nEVAL,"OR")=0))</f>
      </c>
      <c r="I9516">
        <f>IF(DATOS!$I9516="","",IFERROR(VLOOKUP(DATOS!$I9516,CONFIG_ASIGNATURAS!$B$2:$J$91,9,FALSE()),""))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IF(DATOS!$A9517="",0,IF(CONFIG_METADATA!$B$4&lt;&gt;"OR+EX",--(DATOS!$G9517=CONFIG_METADATA!$B$4),IF(DATOS!$G9517="EX",1,IF(DATOS!$G9517="OR",--(COUNTIFS(nNIA,DATOS!$A9517,nCURSO,DATOS!$D9517,nESPEC,DATOS!$E9517,nASIG,DATOS!$I9517,nEVAL,"EX")=0),0))))</f>
      </c>
      <c r="H9517">
        <f>IF(DATOS!$G9517&lt;&gt;"EX",0,--(COUNTIFS(nNIA,DATOS!$A9517,nCURSO,DATOS!$D9517,nESPEC,DATOS!$E9517,nASIG,DATOS!$I9517,nEVAL,"OR")=0))</f>
      </c>
      <c r="I9517">
        <f>IF(DATOS!$I9517="","",IFERROR(VLOOKUP(DATOS!$I9517,CONFIG_ASIGNATURAS!$B$2:$J$91,9,FALSE()),""))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IF(DATOS!$A9518="",0,IF(CONFIG_METADATA!$B$4&lt;&gt;"OR+EX",--(DATOS!$G9518=CONFIG_METADATA!$B$4),IF(DATOS!$G9518="EX",1,IF(DATOS!$G9518="OR",--(COUNTIFS(nNIA,DATOS!$A9518,nCURSO,DATOS!$D9518,nESPEC,DATOS!$E9518,nASIG,DATOS!$I9518,nEVAL,"EX")=0),0))))</f>
      </c>
      <c r="H9518">
        <f>IF(DATOS!$G9518&lt;&gt;"EX",0,--(COUNTIFS(nNIA,DATOS!$A9518,nCURSO,DATOS!$D9518,nESPEC,DATOS!$E9518,nASIG,DATOS!$I9518,nEVAL,"OR")=0))</f>
      </c>
      <c r="I9518">
        <f>IF(DATOS!$I9518="","",IFERROR(VLOOKUP(DATOS!$I9518,CONFIG_ASIGNATURAS!$B$2:$J$91,9,FALSE()),""))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IF(DATOS!$A9519="",0,IF(CONFIG_METADATA!$B$4&lt;&gt;"OR+EX",--(DATOS!$G9519=CONFIG_METADATA!$B$4),IF(DATOS!$G9519="EX",1,IF(DATOS!$G9519="OR",--(COUNTIFS(nNIA,DATOS!$A9519,nCURSO,DATOS!$D9519,nESPEC,DATOS!$E9519,nASIG,DATOS!$I9519,nEVAL,"EX")=0),0))))</f>
      </c>
      <c r="H9519">
        <f>IF(DATOS!$G9519&lt;&gt;"EX",0,--(COUNTIFS(nNIA,DATOS!$A9519,nCURSO,DATOS!$D9519,nESPEC,DATOS!$E9519,nASIG,DATOS!$I9519,nEVAL,"OR")=0))</f>
      </c>
      <c r="I9519">
        <f>IF(DATOS!$I9519="","",IFERROR(VLOOKUP(DATOS!$I9519,CONFIG_ASIGNATURAS!$B$2:$J$91,9,FALSE()),""))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IF(DATOS!$A9520="",0,IF(CONFIG_METADATA!$B$4&lt;&gt;"OR+EX",--(DATOS!$G9520=CONFIG_METADATA!$B$4),IF(DATOS!$G9520="EX",1,IF(DATOS!$G9520="OR",--(COUNTIFS(nNIA,DATOS!$A9520,nCURSO,DATOS!$D9520,nESPEC,DATOS!$E9520,nASIG,DATOS!$I9520,nEVAL,"EX")=0),0))))</f>
      </c>
      <c r="H9520">
        <f>IF(DATOS!$G9520&lt;&gt;"EX",0,--(COUNTIFS(nNIA,DATOS!$A9520,nCURSO,DATOS!$D9520,nESPEC,DATOS!$E9520,nASIG,DATOS!$I9520,nEVAL,"OR")=0))</f>
      </c>
      <c r="I9520">
        <f>IF(DATOS!$I9520="","",IFERROR(VLOOKUP(DATOS!$I9520,CONFIG_ASIGNATURAS!$B$2:$J$91,9,FALSE()),""))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IF(DATOS!$A9521="",0,IF(CONFIG_METADATA!$B$4&lt;&gt;"OR+EX",--(DATOS!$G9521=CONFIG_METADATA!$B$4),IF(DATOS!$G9521="EX",1,IF(DATOS!$G9521="OR",--(COUNTIFS(nNIA,DATOS!$A9521,nCURSO,DATOS!$D9521,nESPEC,DATOS!$E9521,nASIG,DATOS!$I9521,nEVAL,"EX")=0),0))))</f>
      </c>
      <c r="H9521">
        <f>IF(DATOS!$G9521&lt;&gt;"EX",0,--(COUNTIFS(nNIA,DATOS!$A9521,nCURSO,DATOS!$D9521,nESPEC,DATOS!$E9521,nASIG,DATOS!$I9521,nEVAL,"OR")=0))</f>
      </c>
      <c r="I9521">
        <f>IF(DATOS!$I9521="","",IFERROR(VLOOKUP(DATOS!$I9521,CONFIG_ASIGNATURAS!$B$2:$J$91,9,FALSE()),""))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IF(DATOS!$A9522="",0,IF(CONFIG_METADATA!$B$4&lt;&gt;"OR+EX",--(DATOS!$G9522=CONFIG_METADATA!$B$4),IF(DATOS!$G9522="EX",1,IF(DATOS!$G9522="OR",--(COUNTIFS(nNIA,DATOS!$A9522,nCURSO,DATOS!$D9522,nESPEC,DATOS!$E9522,nASIG,DATOS!$I9522,nEVAL,"EX")=0),0))))</f>
      </c>
      <c r="H9522">
        <f>IF(DATOS!$G9522&lt;&gt;"EX",0,--(COUNTIFS(nNIA,DATOS!$A9522,nCURSO,DATOS!$D9522,nESPEC,DATOS!$E9522,nASIG,DATOS!$I9522,nEVAL,"OR")=0))</f>
      </c>
      <c r="I9522">
        <f>IF(DATOS!$I9522="","",IFERROR(VLOOKUP(DATOS!$I9522,CONFIG_ASIGNATURAS!$B$2:$J$91,9,FALSE()),""))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IF(DATOS!$A9523="",0,IF(CONFIG_METADATA!$B$4&lt;&gt;"OR+EX",--(DATOS!$G9523=CONFIG_METADATA!$B$4),IF(DATOS!$G9523="EX",1,IF(DATOS!$G9523="OR",--(COUNTIFS(nNIA,DATOS!$A9523,nCURSO,DATOS!$D9523,nESPEC,DATOS!$E9523,nASIG,DATOS!$I9523,nEVAL,"EX")=0),0))))</f>
      </c>
      <c r="H9523">
        <f>IF(DATOS!$G9523&lt;&gt;"EX",0,--(COUNTIFS(nNIA,DATOS!$A9523,nCURSO,DATOS!$D9523,nESPEC,DATOS!$E9523,nASIG,DATOS!$I9523,nEVAL,"OR")=0))</f>
      </c>
      <c r="I9523">
        <f>IF(DATOS!$I9523="","",IFERROR(VLOOKUP(DATOS!$I9523,CONFIG_ASIGNATURAS!$B$2:$J$91,9,FALSE()),""))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IF(DATOS!$A9524="",0,IF(CONFIG_METADATA!$B$4&lt;&gt;"OR+EX",--(DATOS!$G9524=CONFIG_METADATA!$B$4),IF(DATOS!$G9524="EX",1,IF(DATOS!$G9524="OR",--(COUNTIFS(nNIA,DATOS!$A9524,nCURSO,DATOS!$D9524,nESPEC,DATOS!$E9524,nASIG,DATOS!$I9524,nEVAL,"EX")=0),0))))</f>
      </c>
      <c r="H9524">
        <f>IF(DATOS!$G9524&lt;&gt;"EX",0,--(COUNTIFS(nNIA,DATOS!$A9524,nCURSO,DATOS!$D9524,nESPEC,DATOS!$E9524,nASIG,DATOS!$I9524,nEVAL,"OR")=0))</f>
      </c>
      <c r="I9524">
        <f>IF(DATOS!$I9524="","",IFERROR(VLOOKUP(DATOS!$I9524,CONFIG_ASIGNATURAS!$B$2:$J$91,9,FALSE()),""))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IF(DATOS!$A9525="",0,IF(CONFIG_METADATA!$B$4&lt;&gt;"OR+EX",--(DATOS!$G9525=CONFIG_METADATA!$B$4),IF(DATOS!$G9525="EX",1,IF(DATOS!$G9525="OR",--(COUNTIFS(nNIA,DATOS!$A9525,nCURSO,DATOS!$D9525,nESPEC,DATOS!$E9525,nASIG,DATOS!$I9525,nEVAL,"EX")=0),0))))</f>
      </c>
      <c r="H9525">
        <f>IF(DATOS!$G9525&lt;&gt;"EX",0,--(COUNTIFS(nNIA,DATOS!$A9525,nCURSO,DATOS!$D9525,nESPEC,DATOS!$E9525,nASIG,DATOS!$I9525,nEVAL,"OR")=0))</f>
      </c>
      <c r="I9525">
        <f>IF(DATOS!$I9525="","",IFERROR(VLOOKUP(DATOS!$I9525,CONFIG_ASIGNATURAS!$B$2:$J$91,9,FALSE()),""))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IF(DATOS!$A9526="",0,IF(CONFIG_METADATA!$B$4&lt;&gt;"OR+EX",--(DATOS!$G9526=CONFIG_METADATA!$B$4),IF(DATOS!$G9526="EX",1,IF(DATOS!$G9526="OR",--(COUNTIFS(nNIA,DATOS!$A9526,nCURSO,DATOS!$D9526,nESPEC,DATOS!$E9526,nASIG,DATOS!$I9526,nEVAL,"EX")=0),0))))</f>
      </c>
      <c r="H9526">
        <f>IF(DATOS!$G9526&lt;&gt;"EX",0,--(COUNTIFS(nNIA,DATOS!$A9526,nCURSO,DATOS!$D9526,nESPEC,DATOS!$E9526,nASIG,DATOS!$I9526,nEVAL,"OR")=0))</f>
      </c>
      <c r="I9526">
        <f>IF(DATOS!$I9526="","",IFERROR(VLOOKUP(DATOS!$I9526,CONFIG_ASIGNATURAS!$B$2:$J$91,9,FALSE()),""))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IF(DATOS!$A9527="",0,IF(CONFIG_METADATA!$B$4&lt;&gt;"OR+EX",--(DATOS!$G9527=CONFIG_METADATA!$B$4),IF(DATOS!$G9527="EX",1,IF(DATOS!$G9527="OR",--(COUNTIFS(nNIA,DATOS!$A9527,nCURSO,DATOS!$D9527,nESPEC,DATOS!$E9527,nASIG,DATOS!$I9527,nEVAL,"EX")=0),0))))</f>
      </c>
      <c r="H9527">
        <f>IF(DATOS!$G9527&lt;&gt;"EX",0,--(COUNTIFS(nNIA,DATOS!$A9527,nCURSO,DATOS!$D9527,nESPEC,DATOS!$E9527,nASIG,DATOS!$I9527,nEVAL,"OR")=0))</f>
      </c>
      <c r="I9527">
        <f>IF(DATOS!$I9527="","",IFERROR(VLOOKUP(DATOS!$I9527,CONFIG_ASIGNATURAS!$B$2:$J$91,9,FALSE()),""))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IF(DATOS!$A9528="",0,IF(CONFIG_METADATA!$B$4&lt;&gt;"OR+EX",--(DATOS!$G9528=CONFIG_METADATA!$B$4),IF(DATOS!$G9528="EX",1,IF(DATOS!$G9528="OR",--(COUNTIFS(nNIA,DATOS!$A9528,nCURSO,DATOS!$D9528,nESPEC,DATOS!$E9528,nASIG,DATOS!$I9528,nEVAL,"EX")=0),0))))</f>
      </c>
      <c r="H9528">
        <f>IF(DATOS!$G9528&lt;&gt;"EX",0,--(COUNTIFS(nNIA,DATOS!$A9528,nCURSO,DATOS!$D9528,nESPEC,DATOS!$E9528,nASIG,DATOS!$I9528,nEVAL,"OR")=0))</f>
      </c>
      <c r="I9528">
        <f>IF(DATOS!$I9528="","",IFERROR(VLOOKUP(DATOS!$I9528,CONFIG_ASIGNATURAS!$B$2:$J$91,9,FALSE()),""))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IF(DATOS!$A9529="",0,IF(CONFIG_METADATA!$B$4&lt;&gt;"OR+EX",--(DATOS!$G9529=CONFIG_METADATA!$B$4),IF(DATOS!$G9529="EX",1,IF(DATOS!$G9529="OR",--(COUNTIFS(nNIA,DATOS!$A9529,nCURSO,DATOS!$D9529,nESPEC,DATOS!$E9529,nASIG,DATOS!$I9529,nEVAL,"EX")=0),0))))</f>
      </c>
      <c r="H9529">
        <f>IF(DATOS!$G9529&lt;&gt;"EX",0,--(COUNTIFS(nNIA,DATOS!$A9529,nCURSO,DATOS!$D9529,nESPEC,DATOS!$E9529,nASIG,DATOS!$I9529,nEVAL,"OR")=0))</f>
      </c>
      <c r="I9529">
        <f>IF(DATOS!$I9529="","",IFERROR(VLOOKUP(DATOS!$I9529,CONFIG_ASIGNATURAS!$B$2:$J$91,9,FALSE()),""))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IF(DATOS!$A9530="",0,IF(CONFIG_METADATA!$B$4&lt;&gt;"OR+EX",--(DATOS!$G9530=CONFIG_METADATA!$B$4),IF(DATOS!$G9530="EX",1,IF(DATOS!$G9530="OR",--(COUNTIFS(nNIA,DATOS!$A9530,nCURSO,DATOS!$D9530,nESPEC,DATOS!$E9530,nASIG,DATOS!$I9530,nEVAL,"EX")=0),0))))</f>
      </c>
      <c r="H9530">
        <f>IF(DATOS!$G9530&lt;&gt;"EX",0,--(COUNTIFS(nNIA,DATOS!$A9530,nCURSO,DATOS!$D9530,nESPEC,DATOS!$E9530,nASIG,DATOS!$I9530,nEVAL,"OR")=0))</f>
      </c>
      <c r="I9530">
        <f>IF(DATOS!$I9530="","",IFERROR(VLOOKUP(DATOS!$I9530,CONFIG_ASIGNATURAS!$B$2:$J$91,9,FALSE()),""))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IF(DATOS!$A9531="",0,IF(CONFIG_METADATA!$B$4&lt;&gt;"OR+EX",--(DATOS!$G9531=CONFIG_METADATA!$B$4),IF(DATOS!$G9531="EX",1,IF(DATOS!$G9531="OR",--(COUNTIFS(nNIA,DATOS!$A9531,nCURSO,DATOS!$D9531,nESPEC,DATOS!$E9531,nASIG,DATOS!$I9531,nEVAL,"EX")=0),0))))</f>
      </c>
      <c r="H9531">
        <f>IF(DATOS!$G9531&lt;&gt;"EX",0,--(COUNTIFS(nNIA,DATOS!$A9531,nCURSO,DATOS!$D9531,nESPEC,DATOS!$E9531,nASIG,DATOS!$I9531,nEVAL,"OR")=0))</f>
      </c>
      <c r="I9531">
        <f>IF(DATOS!$I9531="","",IFERROR(VLOOKUP(DATOS!$I9531,CONFIG_ASIGNATURAS!$B$2:$J$91,9,FALSE()),""))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IF(DATOS!$A9532="",0,IF(CONFIG_METADATA!$B$4&lt;&gt;"OR+EX",--(DATOS!$G9532=CONFIG_METADATA!$B$4),IF(DATOS!$G9532="EX",1,IF(DATOS!$G9532="OR",--(COUNTIFS(nNIA,DATOS!$A9532,nCURSO,DATOS!$D9532,nESPEC,DATOS!$E9532,nASIG,DATOS!$I9532,nEVAL,"EX")=0),0))))</f>
      </c>
      <c r="H9532">
        <f>IF(DATOS!$G9532&lt;&gt;"EX",0,--(COUNTIFS(nNIA,DATOS!$A9532,nCURSO,DATOS!$D9532,nESPEC,DATOS!$E9532,nASIG,DATOS!$I9532,nEVAL,"OR")=0))</f>
      </c>
      <c r="I9532">
        <f>IF(DATOS!$I9532="","",IFERROR(VLOOKUP(DATOS!$I9532,CONFIG_ASIGNATURAS!$B$2:$J$91,9,FALSE()),""))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IF(DATOS!$A9533="",0,IF(CONFIG_METADATA!$B$4&lt;&gt;"OR+EX",--(DATOS!$G9533=CONFIG_METADATA!$B$4),IF(DATOS!$G9533="EX",1,IF(DATOS!$G9533="OR",--(COUNTIFS(nNIA,DATOS!$A9533,nCURSO,DATOS!$D9533,nESPEC,DATOS!$E9533,nASIG,DATOS!$I9533,nEVAL,"EX")=0),0))))</f>
      </c>
      <c r="H9533">
        <f>IF(DATOS!$G9533&lt;&gt;"EX",0,--(COUNTIFS(nNIA,DATOS!$A9533,nCURSO,DATOS!$D9533,nESPEC,DATOS!$E9533,nASIG,DATOS!$I9533,nEVAL,"OR")=0))</f>
      </c>
      <c r="I9533">
        <f>IF(DATOS!$I9533="","",IFERROR(VLOOKUP(DATOS!$I9533,CONFIG_ASIGNATURAS!$B$2:$J$91,9,FALSE()),""))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IF(DATOS!$A9534="",0,IF(CONFIG_METADATA!$B$4&lt;&gt;"OR+EX",--(DATOS!$G9534=CONFIG_METADATA!$B$4),IF(DATOS!$G9534="EX",1,IF(DATOS!$G9534="OR",--(COUNTIFS(nNIA,DATOS!$A9534,nCURSO,DATOS!$D9534,nESPEC,DATOS!$E9534,nASIG,DATOS!$I9534,nEVAL,"EX")=0),0))))</f>
      </c>
      <c r="H9534">
        <f>IF(DATOS!$G9534&lt;&gt;"EX",0,--(COUNTIFS(nNIA,DATOS!$A9534,nCURSO,DATOS!$D9534,nESPEC,DATOS!$E9534,nASIG,DATOS!$I9534,nEVAL,"OR")=0))</f>
      </c>
      <c r="I9534">
        <f>IF(DATOS!$I9534="","",IFERROR(VLOOKUP(DATOS!$I9534,CONFIG_ASIGNATURAS!$B$2:$J$91,9,FALSE()),""))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IF(DATOS!$A9535="",0,IF(CONFIG_METADATA!$B$4&lt;&gt;"OR+EX",--(DATOS!$G9535=CONFIG_METADATA!$B$4),IF(DATOS!$G9535="EX",1,IF(DATOS!$G9535="OR",--(COUNTIFS(nNIA,DATOS!$A9535,nCURSO,DATOS!$D9535,nESPEC,DATOS!$E9535,nASIG,DATOS!$I9535,nEVAL,"EX")=0),0))))</f>
      </c>
      <c r="H9535">
        <f>IF(DATOS!$G9535&lt;&gt;"EX",0,--(COUNTIFS(nNIA,DATOS!$A9535,nCURSO,DATOS!$D9535,nESPEC,DATOS!$E9535,nASIG,DATOS!$I9535,nEVAL,"OR")=0))</f>
      </c>
      <c r="I9535">
        <f>IF(DATOS!$I9535="","",IFERROR(VLOOKUP(DATOS!$I9535,CONFIG_ASIGNATURAS!$B$2:$J$91,9,FALSE()),""))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IF(DATOS!$A9536="",0,IF(CONFIG_METADATA!$B$4&lt;&gt;"OR+EX",--(DATOS!$G9536=CONFIG_METADATA!$B$4),IF(DATOS!$G9536="EX",1,IF(DATOS!$G9536="OR",--(COUNTIFS(nNIA,DATOS!$A9536,nCURSO,DATOS!$D9536,nESPEC,DATOS!$E9536,nASIG,DATOS!$I9536,nEVAL,"EX")=0),0))))</f>
      </c>
      <c r="H9536">
        <f>IF(DATOS!$G9536&lt;&gt;"EX",0,--(COUNTIFS(nNIA,DATOS!$A9536,nCURSO,DATOS!$D9536,nESPEC,DATOS!$E9536,nASIG,DATOS!$I9536,nEVAL,"OR")=0))</f>
      </c>
      <c r="I9536">
        <f>IF(DATOS!$I9536="","",IFERROR(VLOOKUP(DATOS!$I9536,CONFIG_ASIGNATURAS!$B$2:$J$91,9,FALSE()),""))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IF(DATOS!$A9537="",0,IF(CONFIG_METADATA!$B$4&lt;&gt;"OR+EX",--(DATOS!$G9537=CONFIG_METADATA!$B$4),IF(DATOS!$G9537="EX",1,IF(DATOS!$G9537="OR",--(COUNTIFS(nNIA,DATOS!$A9537,nCURSO,DATOS!$D9537,nESPEC,DATOS!$E9537,nASIG,DATOS!$I9537,nEVAL,"EX")=0),0))))</f>
      </c>
      <c r="H9537">
        <f>IF(DATOS!$G9537&lt;&gt;"EX",0,--(COUNTIFS(nNIA,DATOS!$A9537,nCURSO,DATOS!$D9537,nESPEC,DATOS!$E9537,nASIG,DATOS!$I9537,nEVAL,"OR")=0))</f>
      </c>
      <c r="I9537">
        <f>IF(DATOS!$I9537="","",IFERROR(VLOOKUP(DATOS!$I9537,CONFIG_ASIGNATURAS!$B$2:$J$91,9,FALSE()),""))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IF(DATOS!$A9538="",0,IF(CONFIG_METADATA!$B$4&lt;&gt;"OR+EX",--(DATOS!$G9538=CONFIG_METADATA!$B$4),IF(DATOS!$G9538="EX",1,IF(DATOS!$G9538="OR",--(COUNTIFS(nNIA,DATOS!$A9538,nCURSO,DATOS!$D9538,nESPEC,DATOS!$E9538,nASIG,DATOS!$I9538,nEVAL,"EX")=0),0))))</f>
      </c>
      <c r="H9538">
        <f>IF(DATOS!$G9538&lt;&gt;"EX",0,--(COUNTIFS(nNIA,DATOS!$A9538,nCURSO,DATOS!$D9538,nESPEC,DATOS!$E9538,nASIG,DATOS!$I9538,nEVAL,"OR")=0))</f>
      </c>
      <c r="I9538">
        <f>IF(DATOS!$I9538="","",IFERROR(VLOOKUP(DATOS!$I9538,CONFIG_ASIGNATURAS!$B$2:$J$91,9,FALSE()),""))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IF(DATOS!$A9539="",0,IF(CONFIG_METADATA!$B$4&lt;&gt;"OR+EX",--(DATOS!$G9539=CONFIG_METADATA!$B$4),IF(DATOS!$G9539="EX",1,IF(DATOS!$G9539="OR",--(COUNTIFS(nNIA,DATOS!$A9539,nCURSO,DATOS!$D9539,nESPEC,DATOS!$E9539,nASIG,DATOS!$I9539,nEVAL,"EX")=0),0))))</f>
      </c>
      <c r="H9539">
        <f>IF(DATOS!$G9539&lt;&gt;"EX",0,--(COUNTIFS(nNIA,DATOS!$A9539,nCURSO,DATOS!$D9539,nESPEC,DATOS!$E9539,nASIG,DATOS!$I9539,nEVAL,"OR")=0))</f>
      </c>
      <c r="I9539">
        <f>IF(DATOS!$I9539="","",IFERROR(VLOOKUP(DATOS!$I9539,CONFIG_ASIGNATURAS!$B$2:$J$91,9,FALSE()),""))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IF(DATOS!$A9540="",0,IF(CONFIG_METADATA!$B$4&lt;&gt;"OR+EX",--(DATOS!$G9540=CONFIG_METADATA!$B$4),IF(DATOS!$G9540="EX",1,IF(DATOS!$G9540="OR",--(COUNTIFS(nNIA,DATOS!$A9540,nCURSO,DATOS!$D9540,nESPEC,DATOS!$E9540,nASIG,DATOS!$I9540,nEVAL,"EX")=0),0))))</f>
      </c>
      <c r="H9540">
        <f>IF(DATOS!$G9540&lt;&gt;"EX",0,--(COUNTIFS(nNIA,DATOS!$A9540,nCURSO,DATOS!$D9540,nESPEC,DATOS!$E9540,nASIG,DATOS!$I9540,nEVAL,"OR")=0))</f>
      </c>
      <c r="I9540">
        <f>IF(DATOS!$I9540="","",IFERROR(VLOOKUP(DATOS!$I9540,CONFIG_ASIGNATURAS!$B$2:$J$91,9,FALSE()),""))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IF(DATOS!$A9541="",0,IF(CONFIG_METADATA!$B$4&lt;&gt;"OR+EX",--(DATOS!$G9541=CONFIG_METADATA!$B$4),IF(DATOS!$G9541="EX",1,IF(DATOS!$G9541="OR",--(COUNTIFS(nNIA,DATOS!$A9541,nCURSO,DATOS!$D9541,nESPEC,DATOS!$E9541,nASIG,DATOS!$I9541,nEVAL,"EX")=0),0))))</f>
      </c>
      <c r="H9541">
        <f>IF(DATOS!$G9541&lt;&gt;"EX",0,--(COUNTIFS(nNIA,DATOS!$A9541,nCURSO,DATOS!$D9541,nESPEC,DATOS!$E9541,nASIG,DATOS!$I9541,nEVAL,"OR")=0))</f>
      </c>
      <c r="I9541">
        <f>IF(DATOS!$I9541="","",IFERROR(VLOOKUP(DATOS!$I9541,CONFIG_ASIGNATURAS!$B$2:$J$91,9,FALSE()),""))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IF(DATOS!$A9542="",0,IF(CONFIG_METADATA!$B$4&lt;&gt;"OR+EX",--(DATOS!$G9542=CONFIG_METADATA!$B$4),IF(DATOS!$G9542="EX",1,IF(DATOS!$G9542="OR",--(COUNTIFS(nNIA,DATOS!$A9542,nCURSO,DATOS!$D9542,nESPEC,DATOS!$E9542,nASIG,DATOS!$I9542,nEVAL,"EX")=0),0))))</f>
      </c>
      <c r="H9542">
        <f>IF(DATOS!$G9542&lt;&gt;"EX",0,--(COUNTIFS(nNIA,DATOS!$A9542,nCURSO,DATOS!$D9542,nESPEC,DATOS!$E9542,nASIG,DATOS!$I9542,nEVAL,"OR")=0))</f>
      </c>
      <c r="I9542">
        <f>IF(DATOS!$I9542="","",IFERROR(VLOOKUP(DATOS!$I9542,CONFIG_ASIGNATURAS!$B$2:$J$91,9,FALSE()),""))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IF(DATOS!$A9543="",0,IF(CONFIG_METADATA!$B$4&lt;&gt;"OR+EX",--(DATOS!$G9543=CONFIG_METADATA!$B$4),IF(DATOS!$G9543="EX",1,IF(DATOS!$G9543="OR",--(COUNTIFS(nNIA,DATOS!$A9543,nCURSO,DATOS!$D9543,nESPEC,DATOS!$E9543,nASIG,DATOS!$I9543,nEVAL,"EX")=0),0))))</f>
      </c>
      <c r="H9543">
        <f>IF(DATOS!$G9543&lt;&gt;"EX",0,--(COUNTIFS(nNIA,DATOS!$A9543,nCURSO,DATOS!$D9543,nESPEC,DATOS!$E9543,nASIG,DATOS!$I9543,nEVAL,"OR")=0))</f>
      </c>
      <c r="I9543">
        <f>IF(DATOS!$I9543="","",IFERROR(VLOOKUP(DATOS!$I9543,CONFIG_ASIGNATURAS!$B$2:$J$91,9,FALSE()),""))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IF(DATOS!$A9544="",0,IF(CONFIG_METADATA!$B$4&lt;&gt;"OR+EX",--(DATOS!$G9544=CONFIG_METADATA!$B$4),IF(DATOS!$G9544="EX",1,IF(DATOS!$G9544="OR",--(COUNTIFS(nNIA,DATOS!$A9544,nCURSO,DATOS!$D9544,nESPEC,DATOS!$E9544,nASIG,DATOS!$I9544,nEVAL,"EX")=0),0))))</f>
      </c>
      <c r="H9544">
        <f>IF(DATOS!$G9544&lt;&gt;"EX",0,--(COUNTIFS(nNIA,DATOS!$A9544,nCURSO,DATOS!$D9544,nESPEC,DATOS!$E9544,nASIG,DATOS!$I9544,nEVAL,"OR")=0))</f>
      </c>
      <c r="I9544">
        <f>IF(DATOS!$I9544="","",IFERROR(VLOOKUP(DATOS!$I9544,CONFIG_ASIGNATURAS!$B$2:$J$91,9,FALSE()),""))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IF(DATOS!$A9545="",0,IF(CONFIG_METADATA!$B$4&lt;&gt;"OR+EX",--(DATOS!$G9545=CONFIG_METADATA!$B$4),IF(DATOS!$G9545="EX",1,IF(DATOS!$G9545="OR",--(COUNTIFS(nNIA,DATOS!$A9545,nCURSO,DATOS!$D9545,nESPEC,DATOS!$E9545,nASIG,DATOS!$I9545,nEVAL,"EX")=0),0))))</f>
      </c>
      <c r="H9545">
        <f>IF(DATOS!$G9545&lt;&gt;"EX",0,--(COUNTIFS(nNIA,DATOS!$A9545,nCURSO,DATOS!$D9545,nESPEC,DATOS!$E9545,nASIG,DATOS!$I9545,nEVAL,"OR")=0))</f>
      </c>
      <c r="I9545">
        <f>IF(DATOS!$I9545="","",IFERROR(VLOOKUP(DATOS!$I9545,CONFIG_ASIGNATURAS!$B$2:$J$91,9,FALSE()),""))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IF(DATOS!$A9546="",0,IF(CONFIG_METADATA!$B$4&lt;&gt;"OR+EX",--(DATOS!$G9546=CONFIG_METADATA!$B$4),IF(DATOS!$G9546="EX",1,IF(DATOS!$G9546="OR",--(COUNTIFS(nNIA,DATOS!$A9546,nCURSO,DATOS!$D9546,nESPEC,DATOS!$E9546,nASIG,DATOS!$I9546,nEVAL,"EX")=0),0))))</f>
      </c>
      <c r="H9546">
        <f>IF(DATOS!$G9546&lt;&gt;"EX",0,--(COUNTIFS(nNIA,DATOS!$A9546,nCURSO,DATOS!$D9546,nESPEC,DATOS!$E9546,nASIG,DATOS!$I9546,nEVAL,"OR")=0))</f>
      </c>
      <c r="I9546">
        <f>IF(DATOS!$I9546="","",IFERROR(VLOOKUP(DATOS!$I9546,CONFIG_ASIGNATURAS!$B$2:$J$91,9,FALSE()),""))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IF(DATOS!$A9547="",0,IF(CONFIG_METADATA!$B$4&lt;&gt;"OR+EX",--(DATOS!$G9547=CONFIG_METADATA!$B$4),IF(DATOS!$G9547="EX",1,IF(DATOS!$G9547="OR",--(COUNTIFS(nNIA,DATOS!$A9547,nCURSO,DATOS!$D9547,nESPEC,DATOS!$E9547,nASIG,DATOS!$I9547,nEVAL,"EX")=0),0))))</f>
      </c>
      <c r="H9547">
        <f>IF(DATOS!$G9547&lt;&gt;"EX",0,--(COUNTIFS(nNIA,DATOS!$A9547,nCURSO,DATOS!$D9547,nESPEC,DATOS!$E9547,nASIG,DATOS!$I9547,nEVAL,"OR")=0))</f>
      </c>
      <c r="I9547">
        <f>IF(DATOS!$I9547="","",IFERROR(VLOOKUP(DATOS!$I9547,CONFIG_ASIGNATURAS!$B$2:$J$91,9,FALSE()),""))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IF(DATOS!$A9548="",0,IF(CONFIG_METADATA!$B$4&lt;&gt;"OR+EX",--(DATOS!$G9548=CONFIG_METADATA!$B$4),IF(DATOS!$G9548="EX",1,IF(DATOS!$G9548="OR",--(COUNTIFS(nNIA,DATOS!$A9548,nCURSO,DATOS!$D9548,nESPEC,DATOS!$E9548,nASIG,DATOS!$I9548,nEVAL,"EX")=0),0))))</f>
      </c>
      <c r="H9548">
        <f>IF(DATOS!$G9548&lt;&gt;"EX",0,--(COUNTIFS(nNIA,DATOS!$A9548,nCURSO,DATOS!$D9548,nESPEC,DATOS!$E9548,nASIG,DATOS!$I9548,nEVAL,"OR")=0))</f>
      </c>
      <c r="I9548">
        <f>IF(DATOS!$I9548="","",IFERROR(VLOOKUP(DATOS!$I9548,CONFIG_ASIGNATURAS!$B$2:$J$91,9,FALSE()),""))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IF(DATOS!$A9549="",0,IF(CONFIG_METADATA!$B$4&lt;&gt;"OR+EX",--(DATOS!$G9549=CONFIG_METADATA!$B$4),IF(DATOS!$G9549="EX",1,IF(DATOS!$G9549="OR",--(COUNTIFS(nNIA,DATOS!$A9549,nCURSO,DATOS!$D9549,nESPEC,DATOS!$E9549,nASIG,DATOS!$I9549,nEVAL,"EX")=0),0))))</f>
      </c>
      <c r="H9549">
        <f>IF(DATOS!$G9549&lt;&gt;"EX",0,--(COUNTIFS(nNIA,DATOS!$A9549,nCURSO,DATOS!$D9549,nESPEC,DATOS!$E9549,nASIG,DATOS!$I9549,nEVAL,"OR")=0))</f>
      </c>
      <c r="I9549">
        <f>IF(DATOS!$I9549="","",IFERROR(VLOOKUP(DATOS!$I9549,CONFIG_ASIGNATURAS!$B$2:$J$91,9,FALSE()),""))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IF(DATOS!$A9550="",0,IF(CONFIG_METADATA!$B$4&lt;&gt;"OR+EX",--(DATOS!$G9550=CONFIG_METADATA!$B$4),IF(DATOS!$G9550="EX",1,IF(DATOS!$G9550="OR",--(COUNTIFS(nNIA,DATOS!$A9550,nCURSO,DATOS!$D9550,nESPEC,DATOS!$E9550,nASIG,DATOS!$I9550,nEVAL,"EX")=0),0))))</f>
      </c>
      <c r="H9550">
        <f>IF(DATOS!$G9550&lt;&gt;"EX",0,--(COUNTIFS(nNIA,DATOS!$A9550,nCURSO,DATOS!$D9550,nESPEC,DATOS!$E9550,nASIG,DATOS!$I9550,nEVAL,"OR")=0))</f>
      </c>
      <c r="I9550">
        <f>IF(DATOS!$I9550="","",IFERROR(VLOOKUP(DATOS!$I9550,CONFIG_ASIGNATURAS!$B$2:$J$91,9,FALSE()),""))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IF(DATOS!$A9551="",0,IF(CONFIG_METADATA!$B$4&lt;&gt;"OR+EX",--(DATOS!$G9551=CONFIG_METADATA!$B$4),IF(DATOS!$G9551="EX",1,IF(DATOS!$G9551="OR",--(COUNTIFS(nNIA,DATOS!$A9551,nCURSO,DATOS!$D9551,nESPEC,DATOS!$E9551,nASIG,DATOS!$I9551,nEVAL,"EX")=0),0))))</f>
      </c>
      <c r="H9551">
        <f>IF(DATOS!$G9551&lt;&gt;"EX",0,--(COUNTIFS(nNIA,DATOS!$A9551,nCURSO,DATOS!$D9551,nESPEC,DATOS!$E9551,nASIG,DATOS!$I9551,nEVAL,"OR")=0))</f>
      </c>
      <c r="I9551">
        <f>IF(DATOS!$I9551="","",IFERROR(VLOOKUP(DATOS!$I9551,CONFIG_ASIGNATURAS!$B$2:$J$91,9,FALSE()),""))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IF(DATOS!$A9552="",0,IF(CONFIG_METADATA!$B$4&lt;&gt;"OR+EX",--(DATOS!$G9552=CONFIG_METADATA!$B$4),IF(DATOS!$G9552="EX",1,IF(DATOS!$G9552="OR",--(COUNTIFS(nNIA,DATOS!$A9552,nCURSO,DATOS!$D9552,nESPEC,DATOS!$E9552,nASIG,DATOS!$I9552,nEVAL,"EX")=0),0))))</f>
      </c>
      <c r="H9552">
        <f>IF(DATOS!$G9552&lt;&gt;"EX",0,--(COUNTIFS(nNIA,DATOS!$A9552,nCURSO,DATOS!$D9552,nESPEC,DATOS!$E9552,nASIG,DATOS!$I9552,nEVAL,"OR")=0))</f>
      </c>
      <c r="I9552">
        <f>IF(DATOS!$I9552="","",IFERROR(VLOOKUP(DATOS!$I9552,CONFIG_ASIGNATURAS!$B$2:$J$91,9,FALSE()),""))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IF(DATOS!$A9553="",0,IF(CONFIG_METADATA!$B$4&lt;&gt;"OR+EX",--(DATOS!$G9553=CONFIG_METADATA!$B$4),IF(DATOS!$G9553="EX",1,IF(DATOS!$G9553="OR",--(COUNTIFS(nNIA,DATOS!$A9553,nCURSO,DATOS!$D9553,nESPEC,DATOS!$E9553,nASIG,DATOS!$I9553,nEVAL,"EX")=0),0))))</f>
      </c>
      <c r="H9553">
        <f>IF(DATOS!$G9553&lt;&gt;"EX",0,--(COUNTIFS(nNIA,DATOS!$A9553,nCURSO,DATOS!$D9553,nESPEC,DATOS!$E9553,nASIG,DATOS!$I9553,nEVAL,"OR")=0))</f>
      </c>
      <c r="I9553">
        <f>IF(DATOS!$I9553="","",IFERROR(VLOOKUP(DATOS!$I9553,CONFIG_ASIGNATURAS!$B$2:$J$91,9,FALSE()),""))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IF(DATOS!$A9554="",0,IF(CONFIG_METADATA!$B$4&lt;&gt;"OR+EX",--(DATOS!$G9554=CONFIG_METADATA!$B$4),IF(DATOS!$G9554="EX",1,IF(DATOS!$G9554="OR",--(COUNTIFS(nNIA,DATOS!$A9554,nCURSO,DATOS!$D9554,nESPEC,DATOS!$E9554,nASIG,DATOS!$I9554,nEVAL,"EX")=0),0))))</f>
      </c>
      <c r="H9554">
        <f>IF(DATOS!$G9554&lt;&gt;"EX",0,--(COUNTIFS(nNIA,DATOS!$A9554,nCURSO,DATOS!$D9554,nESPEC,DATOS!$E9554,nASIG,DATOS!$I9554,nEVAL,"OR")=0))</f>
      </c>
      <c r="I9554">
        <f>IF(DATOS!$I9554="","",IFERROR(VLOOKUP(DATOS!$I9554,CONFIG_ASIGNATURAS!$B$2:$J$91,9,FALSE()),""))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IF(DATOS!$A9555="",0,IF(CONFIG_METADATA!$B$4&lt;&gt;"OR+EX",--(DATOS!$G9555=CONFIG_METADATA!$B$4),IF(DATOS!$G9555="EX",1,IF(DATOS!$G9555="OR",--(COUNTIFS(nNIA,DATOS!$A9555,nCURSO,DATOS!$D9555,nESPEC,DATOS!$E9555,nASIG,DATOS!$I9555,nEVAL,"EX")=0),0))))</f>
      </c>
      <c r="H9555">
        <f>IF(DATOS!$G9555&lt;&gt;"EX",0,--(COUNTIFS(nNIA,DATOS!$A9555,nCURSO,DATOS!$D9555,nESPEC,DATOS!$E9555,nASIG,DATOS!$I9555,nEVAL,"OR")=0))</f>
      </c>
      <c r="I9555">
        <f>IF(DATOS!$I9555="","",IFERROR(VLOOKUP(DATOS!$I9555,CONFIG_ASIGNATURAS!$B$2:$J$91,9,FALSE()),""))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IF(DATOS!$A9556="",0,IF(CONFIG_METADATA!$B$4&lt;&gt;"OR+EX",--(DATOS!$G9556=CONFIG_METADATA!$B$4),IF(DATOS!$G9556="EX",1,IF(DATOS!$G9556="OR",--(COUNTIFS(nNIA,DATOS!$A9556,nCURSO,DATOS!$D9556,nESPEC,DATOS!$E9556,nASIG,DATOS!$I9556,nEVAL,"EX")=0),0))))</f>
      </c>
      <c r="H9556">
        <f>IF(DATOS!$G9556&lt;&gt;"EX",0,--(COUNTIFS(nNIA,DATOS!$A9556,nCURSO,DATOS!$D9556,nESPEC,DATOS!$E9556,nASIG,DATOS!$I9556,nEVAL,"OR")=0))</f>
      </c>
      <c r="I9556">
        <f>IF(DATOS!$I9556="","",IFERROR(VLOOKUP(DATOS!$I9556,CONFIG_ASIGNATURAS!$B$2:$J$91,9,FALSE()),""))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IF(DATOS!$A9557="",0,IF(CONFIG_METADATA!$B$4&lt;&gt;"OR+EX",--(DATOS!$G9557=CONFIG_METADATA!$B$4),IF(DATOS!$G9557="EX",1,IF(DATOS!$G9557="OR",--(COUNTIFS(nNIA,DATOS!$A9557,nCURSO,DATOS!$D9557,nESPEC,DATOS!$E9557,nASIG,DATOS!$I9557,nEVAL,"EX")=0),0))))</f>
      </c>
      <c r="H9557">
        <f>IF(DATOS!$G9557&lt;&gt;"EX",0,--(COUNTIFS(nNIA,DATOS!$A9557,nCURSO,DATOS!$D9557,nESPEC,DATOS!$E9557,nASIG,DATOS!$I9557,nEVAL,"OR")=0))</f>
      </c>
      <c r="I9557">
        <f>IF(DATOS!$I9557="","",IFERROR(VLOOKUP(DATOS!$I9557,CONFIG_ASIGNATURAS!$B$2:$J$91,9,FALSE()),""))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IF(DATOS!$A9558="",0,IF(CONFIG_METADATA!$B$4&lt;&gt;"OR+EX",--(DATOS!$G9558=CONFIG_METADATA!$B$4),IF(DATOS!$G9558="EX",1,IF(DATOS!$G9558="OR",--(COUNTIFS(nNIA,DATOS!$A9558,nCURSO,DATOS!$D9558,nESPEC,DATOS!$E9558,nASIG,DATOS!$I9558,nEVAL,"EX")=0),0))))</f>
      </c>
      <c r="H9558">
        <f>IF(DATOS!$G9558&lt;&gt;"EX",0,--(COUNTIFS(nNIA,DATOS!$A9558,nCURSO,DATOS!$D9558,nESPEC,DATOS!$E9558,nASIG,DATOS!$I9558,nEVAL,"OR")=0))</f>
      </c>
      <c r="I9558">
        <f>IF(DATOS!$I9558="","",IFERROR(VLOOKUP(DATOS!$I9558,CONFIG_ASIGNATURAS!$B$2:$J$91,9,FALSE()),""))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IF(DATOS!$A9559="",0,IF(CONFIG_METADATA!$B$4&lt;&gt;"OR+EX",--(DATOS!$G9559=CONFIG_METADATA!$B$4),IF(DATOS!$G9559="EX",1,IF(DATOS!$G9559="OR",--(COUNTIFS(nNIA,DATOS!$A9559,nCURSO,DATOS!$D9559,nESPEC,DATOS!$E9559,nASIG,DATOS!$I9559,nEVAL,"EX")=0),0))))</f>
      </c>
      <c r="H9559">
        <f>IF(DATOS!$G9559&lt;&gt;"EX",0,--(COUNTIFS(nNIA,DATOS!$A9559,nCURSO,DATOS!$D9559,nESPEC,DATOS!$E9559,nASIG,DATOS!$I9559,nEVAL,"OR")=0))</f>
      </c>
      <c r="I9559">
        <f>IF(DATOS!$I9559="","",IFERROR(VLOOKUP(DATOS!$I9559,CONFIG_ASIGNATURAS!$B$2:$J$91,9,FALSE()),""))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IF(DATOS!$A9560="",0,IF(CONFIG_METADATA!$B$4&lt;&gt;"OR+EX",--(DATOS!$G9560=CONFIG_METADATA!$B$4),IF(DATOS!$G9560="EX",1,IF(DATOS!$G9560="OR",--(COUNTIFS(nNIA,DATOS!$A9560,nCURSO,DATOS!$D9560,nESPEC,DATOS!$E9560,nASIG,DATOS!$I9560,nEVAL,"EX")=0),0))))</f>
      </c>
      <c r="H9560">
        <f>IF(DATOS!$G9560&lt;&gt;"EX",0,--(COUNTIFS(nNIA,DATOS!$A9560,nCURSO,DATOS!$D9560,nESPEC,DATOS!$E9560,nASIG,DATOS!$I9560,nEVAL,"OR")=0))</f>
      </c>
      <c r="I9560">
        <f>IF(DATOS!$I9560="","",IFERROR(VLOOKUP(DATOS!$I9560,CONFIG_ASIGNATURAS!$B$2:$J$91,9,FALSE()),""))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IF(DATOS!$A9561="",0,IF(CONFIG_METADATA!$B$4&lt;&gt;"OR+EX",--(DATOS!$G9561=CONFIG_METADATA!$B$4),IF(DATOS!$G9561="EX",1,IF(DATOS!$G9561="OR",--(COUNTIFS(nNIA,DATOS!$A9561,nCURSO,DATOS!$D9561,nESPEC,DATOS!$E9561,nASIG,DATOS!$I9561,nEVAL,"EX")=0),0))))</f>
      </c>
      <c r="H9561">
        <f>IF(DATOS!$G9561&lt;&gt;"EX",0,--(COUNTIFS(nNIA,DATOS!$A9561,nCURSO,DATOS!$D9561,nESPEC,DATOS!$E9561,nASIG,DATOS!$I9561,nEVAL,"OR")=0))</f>
      </c>
      <c r="I9561">
        <f>IF(DATOS!$I9561="","",IFERROR(VLOOKUP(DATOS!$I9561,CONFIG_ASIGNATURAS!$B$2:$J$91,9,FALSE()),""))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IF(DATOS!$A9562="",0,IF(CONFIG_METADATA!$B$4&lt;&gt;"OR+EX",--(DATOS!$G9562=CONFIG_METADATA!$B$4),IF(DATOS!$G9562="EX",1,IF(DATOS!$G9562="OR",--(COUNTIFS(nNIA,DATOS!$A9562,nCURSO,DATOS!$D9562,nESPEC,DATOS!$E9562,nASIG,DATOS!$I9562,nEVAL,"EX")=0),0))))</f>
      </c>
      <c r="H9562">
        <f>IF(DATOS!$G9562&lt;&gt;"EX",0,--(COUNTIFS(nNIA,DATOS!$A9562,nCURSO,DATOS!$D9562,nESPEC,DATOS!$E9562,nASIG,DATOS!$I9562,nEVAL,"OR")=0))</f>
      </c>
      <c r="I9562">
        <f>IF(DATOS!$I9562="","",IFERROR(VLOOKUP(DATOS!$I9562,CONFIG_ASIGNATURAS!$B$2:$J$91,9,FALSE()),""))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IF(DATOS!$A9563="",0,IF(CONFIG_METADATA!$B$4&lt;&gt;"OR+EX",--(DATOS!$G9563=CONFIG_METADATA!$B$4),IF(DATOS!$G9563="EX",1,IF(DATOS!$G9563="OR",--(COUNTIFS(nNIA,DATOS!$A9563,nCURSO,DATOS!$D9563,nESPEC,DATOS!$E9563,nASIG,DATOS!$I9563,nEVAL,"EX")=0),0))))</f>
      </c>
      <c r="H9563">
        <f>IF(DATOS!$G9563&lt;&gt;"EX",0,--(COUNTIFS(nNIA,DATOS!$A9563,nCURSO,DATOS!$D9563,nESPEC,DATOS!$E9563,nASIG,DATOS!$I9563,nEVAL,"OR")=0))</f>
      </c>
      <c r="I9563">
        <f>IF(DATOS!$I9563="","",IFERROR(VLOOKUP(DATOS!$I9563,CONFIG_ASIGNATURAS!$B$2:$J$91,9,FALSE()),""))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IF(DATOS!$A9564="",0,IF(CONFIG_METADATA!$B$4&lt;&gt;"OR+EX",--(DATOS!$G9564=CONFIG_METADATA!$B$4),IF(DATOS!$G9564="EX",1,IF(DATOS!$G9564="OR",--(COUNTIFS(nNIA,DATOS!$A9564,nCURSO,DATOS!$D9564,nESPEC,DATOS!$E9564,nASIG,DATOS!$I9564,nEVAL,"EX")=0),0))))</f>
      </c>
      <c r="H9564">
        <f>IF(DATOS!$G9564&lt;&gt;"EX",0,--(COUNTIFS(nNIA,DATOS!$A9564,nCURSO,DATOS!$D9564,nESPEC,DATOS!$E9564,nASIG,DATOS!$I9564,nEVAL,"OR")=0))</f>
      </c>
      <c r="I9564">
        <f>IF(DATOS!$I9564="","",IFERROR(VLOOKUP(DATOS!$I9564,CONFIG_ASIGNATURAS!$B$2:$J$91,9,FALSE()),""))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IF(DATOS!$A9565="",0,IF(CONFIG_METADATA!$B$4&lt;&gt;"OR+EX",--(DATOS!$G9565=CONFIG_METADATA!$B$4),IF(DATOS!$G9565="EX",1,IF(DATOS!$G9565="OR",--(COUNTIFS(nNIA,DATOS!$A9565,nCURSO,DATOS!$D9565,nESPEC,DATOS!$E9565,nASIG,DATOS!$I9565,nEVAL,"EX")=0),0))))</f>
      </c>
      <c r="H9565">
        <f>IF(DATOS!$G9565&lt;&gt;"EX",0,--(COUNTIFS(nNIA,DATOS!$A9565,nCURSO,DATOS!$D9565,nESPEC,DATOS!$E9565,nASIG,DATOS!$I9565,nEVAL,"OR")=0))</f>
      </c>
      <c r="I9565">
        <f>IF(DATOS!$I9565="","",IFERROR(VLOOKUP(DATOS!$I9565,CONFIG_ASIGNATURAS!$B$2:$J$91,9,FALSE()),""))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IF(DATOS!$A9566="",0,IF(CONFIG_METADATA!$B$4&lt;&gt;"OR+EX",--(DATOS!$G9566=CONFIG_METADATA!$B$4),IF(DATOS!$G9566="EX",1,IF(DATOS!$G9566="OR",--(COUNTIFS(nNIA,DATOS!$A9566,nCURSO,DATOS!$D9566,nESPEC,DATOS!$E9566,nASIG,DATOS!$I9566,nEVAL,"EX")=0),0))))</f>
      </c>
      <c r="H9566">
        <f>IF(DATOS!$G9566&lt;&gt;"EX",0,--(COUNTIFS(nNIA,DATOS!$A9566,nCURSO,DATOS!$D9566,nESPEC,DATOS!$E9566,nASIG,DATOS!$I9566,nEVAL,"OR")=0))</f>
      </c>
      <c r="I9566">
        <f>IF(DATOS!$I9566="","",IFERROR(VLOOKUP(DATOS!$I9566,CONFIG_ASIGNATURAS!$B$2:$J$91,9,FALSE()),""))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IF(DATOS!$A9567="",0,IF(CONFIG_METADATA!$B$4&lt;&gt;"OR+EX",--(DATOS!$G9567=CONFIG_METADATA!$B$4),IF(DATOS!$G9567="EX",1,IF(DATOS!$G9567="OR",--(COUNTIFS(nNIA,DATOS!$A9567,nCURSO,DATOS!$D9567,nESPEC,DATOS!$E9567,nASIG,DATOS!$I9567,nEVAL,"EX")=0),0))))</f>
      </c>
      <c r="H9567">
        <f>IF(DATOS!$G9567&lt;&gt;"EX",0,--(COUNTIFS(nNIA,DATOS!$A9567,nCURSO,DATOS!$D9567,nESPEC,DATOS!$E9567,nASIG,DATOS!$I9567,nEVAL,"OR")=0))</f>
      </c>
      <c r="I9567">
        <f>IF(DATOS!$I9567="","",IFERROR(VLOOKUP(DATOS!$I9567,CONFIG_ASIGNATURAS!$B$2:$J$91,9,FALSE()),""))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IF(DATOS!$A9568="",0,IF(CONFIG_METADATA!$B$4&lt;&gt;"OR+EX",--(DATOS!$G9568=CONFIG_METADATA!$B$4),IF(DATOS!$G9568="EX",1,IF(DATOS!$G9568="OR",--(COUNTIFS(nNIA,DATOS!$A9568,nCURSO,DATOS!$D9568,nESPEC,DATOS!$E9568,nASIG,DATOS!$I9568,nEVAL,"EX")=0),0))))</f>
      </c>
      <c r="H9568">
        <f>IF(DATOS!$G9568&lt;&gt;"EX",0,--(COUNTIFS(nNIA,DATOS!$A9568,nCURSO,DATOS!$D9568,nESPEC,DATOS!$E9568,nASIG,DATOS!$I9568,nEVAL,"OR")=0))</f>
      </c>
      <c r="I9568">
        <f>IF(DATOS!$I9568="","",IFERROR(VLOOKUP(DATOS!$I9568,CONFIG_ASIGNATURAS!$B$2:$J$91,9,FALSE()),""))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IF(DATOS!$A9569="",0,IF(CONFIG_METADATA!$B$4&lt;&gt;"OR+EX",--(DATOS!$G9569=CONFIG_METADATA!$B$4),IF(DATOS!$G9569="EX",1,IF(DATOS!$G9569="OR",--(COUNTIFS(nNIA,DATOS!$A9569,nCURSO,DATOS!$D9569,nESPEC,DATOS!$E9569,nASIG,DATOS!$I9569,nEVAL,"EX")=0),0))))</f>
      </c>
      <c r="H9569">
        <f>IF(DATOS!$G9569&lt;&gt;"EX",0,--(COUNTIFS(nNIA,DATOS!$A9569,nCURSO,DATOS!$D9569,nESPEC,DATOS!$E9569,nASIG,DATOS!$I9569,nEVAL,"OR")=0))</f>
      </c>
      <c r="I9569">
        <f>IF(DATOS!$I9569="","",IFERROR(VLOOKUP(DATOS!$I9569,CONFIG_ASIGNATURAS!$B$2:$J$91,9,FALSE()),""))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IF(DATOS!$A9570="",0,IF(CONFIG_METADATA!$B$4&lt;&gt;"OR+EX",--(DATOS!$G9570=CONFIG_METADATA!$B$4),IF(DATOS!$G9570="EX",1,IF(DATOS!$G9570="OR",--(COUNTIFS(nNIA,DATOS!$A9570,nCURSO,DATOS!$D9570,nESPEC,DATOS!$E9570,nASIG,DATOS!$I9570,nEVAL,"EX")=0),0))))</f>
      </c>
      <c r="H9570">
        <f>IF(DATOS!$G9570&lt;&gt;"EX",0,--(COUNTIFS(nNIA,DATOS!$A9570,nCURSO,DATOS!$D9570,nESPEC,DATOS!$E9570,nASIG,DATOS!$I9570,nEVAL,"OR")=0))</f>
      </c>
      <c r="I9570">
        <f>IF(DATOS!$I9570="","",IFERROR(VLOOKUP(DATOS!$I9570,CONFIG_ASIGNATURAS!$B$2:$J$91,9,FALSE()),""))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IF(DATOS!$A9571="",0,IF(CONFIG_METADATA!$B$4&lt;&gt;"OR+EX",--(DATOS!$G9571=CONFIG_METADATA!$B$4),IF(DATOS!$G9571="EX",1,IF(DATOS!$G9571="OR",--(COUNTIFS(nNIA,DATOS!$A9571,nCURSO,DATOS!$D9571,nESPEC,DATOS!$E9571,nASIG,DATOS!$I9571,nEVAL,"EX")=0),0))))</f>
      </c>
      <c r="H9571">
        <f>IF(DATOS!$G9571&lt;&gt;"EX",0,--(COUNTIFS(nNIA,DATOS!$A9571,nCURSO,DATOS!$D9571,nESPEC,DATOS!$E9571,nASIG,DATOS!$I9571,nEVAL,"OR")=0))</f>
      </c>
      <c r="I9571">
        <f>IF(DATOS!$I9571="","",IFERROR(VLOOKUP(DATOS!$I9571,CONFIG_ASIGNATURAS!$B$2:$J$91,9,FALSE()),""))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IF(DATOS!$A9572="",0,IF(CONFIG_METADATA!$B$4&lt;&gt;"OR+EX",--(DATOS!$G9572=CONFIG_METADATA!$B$4),IF(DATOS!$G9572="EX",1,IF(DATOS!$G9572="OR",--(COUNTIFS(nNIA,DATOS!$A9572,nCURSO,DATOS!$D9572,nESPEC,DATOS!$E9572,nASIG,DATOS!$I9572,nEVAL,"EX")=0),0))))</f>
      </c>
      <c r="H9572">
        <f>IF(DATOS!$G9572&lt;&gt;"EX",0,--(COUNTIFS(nNIA,DATOS!$A9572,nCURSO,DATOS!$D9572,nESPEC,DATOS!$E9572,nASIG,DATOS!$I9572,nEVAL,"OR")=0))</f>
      </c>
      <c r="I9572">
        <f>IF(DATOS!$I9572="","",IFERROR(VLOOKUP(DATOS!$I9572,CONFIG_ASIGNATURAS!$B$2:$J$91,9,FALSE()),""))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IF(DATOS!$A9573="",0,IF(CONFIG_METADATA!$B$4&lt;&gt;"OR+EX",--(DATOS!$G9573=CONFIG_METADATA!$B$4),IF(DATOS!$G9573="EX",1,IF(DATOS!$G9573="OR",--(COUNTIFS(nNIA,DATOS!$A9573,nCURSO,DATOS!$D9573,nESPEC,DATOS!$E9573,nASIG,DATOS!$I9573,nEVAL,"EX")=0),0))))</f>
      </c>
      <c r="H9573">
        <f>IF(DATOS!$G9573&lt;&gt;"EX",0,--(COUNTIFS(nNIA,DATOS!$A9573,nCURSO,DATOS!$D9573,nESPEC,DATOS!$E9573,nASIG,DATOS!$I9573,nEVAL,"OR")=0))</f>
      </c>
      <c r="I9573">
        <f>IF(DATOS!$I9573="","",IFERROR(VLOOKUP(DATOS!$I9573,CONFIG_ASIGNATURAS!$B$2:$J$91,9,FALSE()),""))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IF(DATOS!$A9574="",0,IF(CONFIG_METADATA!$B$4&lt;&gt;"OR+EX",--(DATOS!$G9574=CONFIG_METADATA!$B$4),IF(DATOS!$G9574="EX",1,IF(DATOS!$G9574="OR",--(COUNTIFS(nNIA,DATOS!$A9574,nCURSO,DATOS!$D9574,nESPEC,DATOS!$E9574,nASIG,DATOS!$I9574,nEVAL,"EX")=0),0))))</f>
      </c>
      <c r="H9574">
        <f>IF(DATOS!$G9574&lt;&gt;"EX",0,--(COUNTIFS(nNIA,DATOS!$A9574,nCURSO,DATOS!$D9574,nESPEC,DATOS!$E9574,nASIG,DATOS!$I9574,nEVAL,"OR")=0))</f>
      </c>
      <c r="I9574">
        <f>IF(DATOS!$I9574="","",IFERROR(VLOOKUP(DATOS!$I9574,CONFIG_ASIGNATURAS!$B$2:$J$91,9,FALSE()),""))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IF(DATOS!$A9575="",0,IF(CONFIG_METADATA!$B$4&lt;&gt;"OR+EX",--(DATOS!$G9575=CONFIG_METADATA!$B$4),IF(DATOS!$G9575="EX",1,IF(DATOS!$G9575="OR",--(COUNTIFS(nNIA,DATOS!$A9575,nCURSO,DATOS!$D9575,nESPEC,DATOS!$E9575,nASIG,DATOS!$I9575,nEVAL,"EX")=0),0))))</f>
      </c>
      <c r="H9575">
        <f>IF(DATOS!$G9575&lt;&gt;"EX",0,--(COUNTIFS(nNIA,DATOS!$A9575,nCURSO,DATOS!$D9575,nESPEC,DATOS!$E9575,nASIG,DATOS!$I9575,nEVAL,"OR")=0))</f>
      </c>
      <c r="I9575">
        <f>IF(DATOS!$I9575="","",IFERROR(VLOOKUP(DATOS!$I9575,CONFIG_ASIGNATURAS!$B$2:$J$91,9,FALSE()),""))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IF(DATOS!$A9576="",0,IF(CONFIG_METADATA!$B$4&lt;&gt;"OR+EX",--(DATOS!$G9576=CONFIG_METADATA!$B$4),IF(DATOS!$G9576="EX",1,IF(DATOS!$G9576="OR",--(COUNTIFS(nNIA,DATOS!$A9576,nCURSO,DATOS!$D9576,nESPEC,DATOS!$E9576,nASIG,DATOS!$I9576,nEVAL,"EX")=0),0))))</f>
      </c>
      <c r="H9576">
        <f>IF(DATOS!$G9576&lt;&gt;"EX",0,--(COUNTIFS(nNIA,DATOS!$A9576,nCURSO,DATOS!$D9576,nESPEC,DATOS!$E9576,nASIG,DATOS!$I9576,nEVAL,"OR")=0))</f>
      </c>
      <c r="I9576">
        <f>IF(DATOS!$I9576="","",IFERROR(VLOOKUP(DATOS!$I9576,CONFIG_ASIGNATURAS!$B$2:$J$91,9,FALSE()),""))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IF(DATOS!$A9577="",0,IF(CONFIG_METADATA!$B$4&lt;&gt;"OR+EX",--(DATOS!$G9577=CONFIG_METADATA!$B$4),IF(DATOS!$G9577="EX",1,IF(DATOS!$G9577="OR",--(COUNTIFS(nNIA,DATOS!$A9577,nCURSO,DATOS!$D9577,nESPEC,DATOS!$E9577,nASIG,DATOS!$I9577,nEVAL,"EX")=0),0))))</f>
      </c>
      <c r="H9577">
        <f>IF(DATOS!$G9577&lt;&gt;"EX",0,--(COUNTIFS(nNIA,DATOS!$A9577,nCURSO,DATOS!$D9577,nESPEC,DATOS!$E9577,nASIG,DATOS!$I9577,nEVAL,"OR")=0))</f>
      </c>
      <c r="I9577">
        <f>IF(DATOS!$I9577="","",IFERROR(VLOOKUP(DATOS!$I9577,CONFIG_ASIGNATURAS!$B$2:$J$91,9,FALSE()),""))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IF(DATOS!$A9578="",0,IF(CONFIG_METADATA!$B$4&lt;&gt;"OR+EX",--(DATOS!$G9578=CONFIG_METADATA!$B$4),IF(DATOS!$G9578="EX",1,IF(DATOS!$G9578="OR",--(COUNTIFS(nNIA,DATOS!$A9578,nCURSO,DATOS!$D9578,nESPEC,DATOS!$E9578,nASIG,DATOS!$I9578,nEVAL,"EX")=0),0))))</f>
      </c>
      <c r="H9578">
        <f>IF(DATOS!$G9578&lt;&gt;"EX",0,--(COUNTIFS(nNIA,DATOS!$A9578,nCURSO,DATOS!$D9578,nESPEC,DATOS!$E9578,nASIG,DATOS!$I9578,nEVAL,"OR")=0))</f>
      </c>
      <c r="I9578">
        <f>IF(DATOS!$I9578="","",IFERROR(VLOOKUP(DATOS!$I9578,CONFIG_ASIGNATURAS!$B$2:$J$91,9,FALSE()),""))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IF(DATOS!$A9579="",0,IF(CONFIG_METADATA!$B$4&lt;&gt;"OR+EX",--(DATOS!$G9579=CONFIG_METADATA!$B$4),IF(DATOS!$G9579="EX",1,IF(DATOS!$G9579="OR",--(COUNTIFS(nNIA,DATOS!$A9579,nCURSO,DATOS!$D9579,nESPEC,DATOS!$E9579,nASIG,DATOS!$I9579,nEVAL,"EX")=0),0))))</f>
      </c>
      <c r="H9579">
        <f>IF(DATOS!$G9579&lt;&gt;"EX",0,--(COUNTIFS(nNIA,DATOS!$A9579,nCURSO,DATOS!$D9579,nESPEC,DATOS!$E9579,nASIG,DATOS!$I9579,nEVAL,"OR")=0))</f>
      </c>
      <c r="I9579">
        <f>IF(DATOS!$I9579="","",IFERROR(VLOOKUP(DATOS!$I9579,CONFIG_ASIGNATURAS!$B$2:$J$91,9,FALSE()),""))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IF(DATOS!$A9580="",0,IF(CONFIG_METADATA!$B$4&lt;&gt;"OR+EX",--(DATOS!$G9580=CONFIG_METADATA!$B$4),IF(DATOS!$G9580="EX",1,IF(DATOS!$G9580="OR",--(COUNTIFS(nNIA,DATOS!$A9580,nCURSO,DATOS!$D9580,nESPEC,DATOS!$E9580,nASIG,DATOS!$I9580,nEVAL,"EX")=0),0))))</f>
      </c>
      <c r="H9580">
        <f>IF(DATOS!$G9580&lt;&gt;"EX",0,--(COUNTIFS(nNIA,DATOS!$A9580,nCURSO,DATOS!$D9580,nESPEC,DATOS!$E9580,nASIG,DATOS!$I9580,nEVAL,"OR")=0))</f>
      </c>
      <c r="I9580">
        <f>IF(DATOS!$I9580="","",IFERROR(VLOOKUP(DATOS!$I9580,CONFIG_ASIGNATURAS!$B$2:$J$91,9,FALSE()),""))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IF(DATOS!$A9581="",0,IF(CONFIG_METADATA!$B$4&lt;&gt;"OR+EX",--(DATOS!$G9581=CONFIG_METADATA!$B$4),IF(DATOS!$G9581="EX",1,IF(DATOS!$G9581="OR",--(COUNTIFS(nNIA,DATOS!$A9581,nCURSO,DATOS!$D9581,nESPEC,DATOS!$E9581,nASIG,DATOS!$I9581,nEVAL,"EX")=0),0))))</f>
      </c>
      <c r="H9581">
        <f>IF(DATOS!$G9581&lt;&gt;"EX",0,--(COUNTIFS(nNIA,DATOS!$A9581,nCURSO,DATOS!$D9581,nESPEC,DATOS!$E9581,nASIG,DATOS!$I9581,nEVAL,"OR")=0))</f>
      </c>
      <c r="I9581">
        <f>IF(DATOS!$I9581="","",IFERROR(VLOOKUP(DATOS!$I9581,CONFIG_ASIGNATURAS!$B$2:$J$91,9,FALSE()),""))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IF(DATOS!$A9582="",0,IF(CONFIG_METADATA!$B$4&lt;&gt;"OR+EX",--(DATOS!$G9582=CONFIG_METADATA!$B$4),IF(DATOS!$G9582="EX",1,IF(DATOS!$G9582="OR",--(COUNTIFS(nNIA,DATOS!$A9582,nCURSO,DATOS!$D9582,nESPEC,DATOS!$E9582,nASIG,DATOS!$I9582,nEVAL,"EX")=0),0))))</f>
      </c>
      <c r="H9582">
        <f>IF(DATOS!$G9582&lt;&gt;"EX",0,--(COUNTIFS(nNIA,DATOS!$A9582,nCURSO,DATOS!$D9582,nESPEC,DATOS!$E9582,nASIG,DATOS!$I9582,nEVAL,"OR")=0))</f>
      </c>
      <c r="I9582">
        <f>IF(DATOS!$I9582="","",IFERROR(VLOOKUP(DATOS!$I9582,CONFIG_ASIGNATURAS!$B$2:$J$91,9,FALSE()),""))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IF(DATOS!$A9583="",0,IF(CONFIG_METADATA!$B$4&lt;&gt;"OR+EX",--(DATOS!$G9583=CONFIG_METADATA!$B$4),IF(DATOS!$G9583="EX",1,IF(DATOS!$G9583="OR",--(COUNTIFS(nNIA,DATOS!$A9583,nCURSO,DATOS!$D9583,nESPEC,DATOS!$E9583,nASIG,DATOS!$I9583,nEVAL,"EX")=0),0))))</f>
      </c>
      <c r="H9583">
        <f>IF(DATOS!$G9583&lt;&gt;"EX",0,--(COUNTIFS(nNIA,DATOS!$A9583,nCURSO,DATOS!$D9583,nESPEC,DATOS!$E9583,nASIG,DATOS!$I9583,nEVAL,"OR")=0))</f>
      </c>
      <c r="I9583">
        <f>IF(DATOS!$I9583="","",IFERROR(VLOOKUP(DATOS!$I9583,CONFIG_ASIGNATURAS!$B$2:$J$91,9,FALSE()),""))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IF(DATOS!$A9584="",0,IF(CONFIG_METADATA!$B$4&lt;&gt;"OR+EX",--(DATOS!$G9584=CONFIG_METADATA!$B$4),IF(DATOS!$G9584="EX",1,IF(DATOS!$G9584="OR",--(COUNTIFS(nNIA,DATOS!$A9584,nCURSO,DATOS!$D9584,nESPEC,DATOS!$E9584,nASIG,DATOS!$I9584,nEVAL,"EX")=0),0))))</f>
      </c>
      <c r="H9584">
        <f>IF(DATOS!$G9584&lt;&gt;"EX",0,--(COUNTIFS(nNIA,DATOS!$A9584,nCURSO,DATOS!$D9584,nESPEC,DATOS!$E9584,nASIG,DATOS!$I9584,nEVAL,"OR")=0))</f>
      </c>
      <c r="I9584">
        <f>IF(DATOS!$I9584="","",IFERROR(VLOOKUP(DATOS!$I9584,CONFIG_ASIGNATURAS!$B$2:$J$91,9,FALSE()),""))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IF(DATOS!$A9585="",0,IF(CONFIG_METADATA!$B$4&lt;&gt;"OR+EX",--(DATOS!$G9585=CONFIG_METADATA!$B$4),IF(DATOS!$G9585="EX",1,IF(DATOS!$G9585="OR",--(COUNTIFS(nNIA,DATOS!$A9585,nCURSO,DATOS!$D9585,nESPEC,DATOS!$E9585,nASIG,DATOS!$I9585,nEVAL,"EX")=0),0))))</f>
      </c>
      <c r="H9585">
        <f>IF(DATOS!$G9585&lt;&gt;"EX",0,--(COUNTIFS(nNIA,DATOS!$A9585,nCURSO,DATOS!$D9585,nESPEC,DATOS!$E9585,nASIG,DATOS!$I9585,nEVAL,"OR")=0))</f>
      </c>
      <c r="I9585">
        <f>IF(DATOS!$I9585="","",IFERROR(VLOOKUP(DATOS!$I9585,CONFIG_ASIGNATURAS!$B$2:$J$91,9,FALSE()),""))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IF(DATOS!$A9586="",0,IF(CONFIG_METADATA!$B$4&lt;&gt;"OR+EX",--(DATOS!$G9586=CONFIG_METADATA!$B$4),IF(DATOS!$G9586="EX",1,IF(DATOS!$G9586="OR",--(COUNTIFS(nNIA,DATOS!$A9586,nCURSO,DATOS!$D9586,nESPEC,DATOS!$E9586,nASIG,DATOS!$I9586,nEVAL,"EX")=0),0))))</f>
      </c>
      <c r="H9586">
        <f>IF(DATOS!$G9586&lt;&gt;"EX",0,--(COUNTIFS(nNIA,DATOS!$A9586,nCURSO,DATOS!$D9586,nESPEC,DATOS!$E9586,nASIG,DATOS!$I9586,nEVAL,"OR")=0))</f>
      </c>
      <c r="I9586">
        <f>IF(DATOS!$I9586="","",IFERROR(VLOOKUP(DATOS!$I9586,CONFIG_ASIGNATURAS!$B$2:$J$91,9,FALSE()),""))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IF(DATOS!$A9587="",0,IF(CONFIG_METADATA!$B$4&lt;&gt;"OR+EX",--(DATOS!$G9587=CONFIG_METADATA!$B$4),IF(DATOS!$G9587="EX",1,IF(DATOS!$G9587="OR",--(COUNTIFS(nNIA,DATOS!$A9587,nCURSO,DATOS!$D9587,nESPEC,DATOS!$E9587,nASIG,DATOS!$I9587,nEVAL,"EX")=0),0))))</f>
      </c>
      <c r="H9587">
        <f>IF(DATOS!$G9587&lt;&gt;"EX",0,--(COUNTIFS(nNIA,DATOS!$A9587,nCURSO,DATOS!$D9587,nESPEC,DATOS!$E9587,nASIG,DATOS!$I9587,nEVAL,"OR")=0))</f>
      </c>
      <c r="I9587">
        <f>IF(DATOS!$I9587="","",IFERROR(VLOOKUP(DATOS!$I9587,CONFIG_ASIGNATURAS!$B$2:$J$91,9,FALSE()),""))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IF(DATOS!$A9588="",0,IF(CONFIG_METADATA!$B$4&lt;&gt;"OR+EX",--(DATOS!$G9588=CONFIG_METADATA!$B$4),IF(DATOS!$G9588="EX",1,IF(DATOS!$G9588="OR",--(COUNTIFS(nNIA,DATOS!$A9588,nCURSO,DATOS!$D9588,nESPEC,DATOS!$E9588,nASIG,DATOS!$I9588,nEVAL,"EX")=0),0))))</f>
      </c>
      <c r="H9588">
        <f>IF(DATOS!$G9588&lt;&gt;"EX",0,--(COUNTIFS(nNIA,DATOS!$A9588,nCURSO,DATOS!$D9588,nESPEC,DATOS!$E9588,nASIG,DATOS!$I9588,nEVAL,"OR")=0))</f>
      </c>
      <c r="I9588">
        <f>IF(DATOS!$I9588="","",IFERROR(VLOOKUP(DATOS!$I9588,CONFIG_ASIGNATURAS!$B$2:$J$91,9,FALSE()),""))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IF(DATOS!$A9589="",0,IF(CONFIG_METADATA!$B$4&lt;&gt;"OR+EX",--(DATOS!$G9589=CONFIG_METADATA!$B$4),IF(DATOS!$G9589="EX",1,IF(DATOS!$G9589="OR",--(COUNTIFS(nNIA,DATOS!$A9589,nCURSO,DATOS!$D9589,nESPEC,DATOS!$E9589,nASIG,DATOS!$I9589,nEVAL,"EX")=0),0))))</f>
      </c>
      <c r="H9589">
        <f>IF(DATOS!$G9589&lt;&gt;"EX",0,--(COUNTIFS(nNIA,DATOS!$A9589,nCURSO,DATOS!$D9589,nESPEC,DATOS!$E9589,nASIG,DATOS!$I9589,nEVAL,"OR")=0))</f>
      </c>
      <c r="I9589">
        <f>IF(DATOS!$I9589="","",IFERROR(VLOOKUP(DATOS!$I9589,CONFIG_ASIGNATURAS!$B$2:$J$91,9,FALSE()),""))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IF(DATOS!$A9590="",0,IF(CONFIG_METADATA!$B$4&lt;&gt;"OR+EX",--(DATOS!$G9590=CONFIG_METADATA!$B$4),IF(DATOS!$G9590="EX",1,IF(DATOS!$G9590="OR",--(COUNTIFS(nNIA,DATOS!$A9590,nCURSO,DATOS!$D9590,nESPEC,DATOS!$E9590,nASIG,DATOS!$I9590,nEVAL,"EX")=0),0))))</f>
      </c>
      <c r="H9590">
        <f>IF(DATOS!$G9590&lt;&gt;"EX",0,--(COUNTIFS(nNIA,DATOS!$A9590,nCURSO,DATOS!$D9590,nESPEC,DATOS!$E9590,nASIG,DATOS!$I9590,nEVAL,"OR")=0))</f>
      </c>
      <c r="I9590">
        <f>IF(DATOS!$I9590="","",IFERROR(VLOOKUP(DATOS!$I9590,CONFIG_ASIGNATURAS!$B$2:$J$91,9,FALSE()),""))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IF(DATOS!$A9591="",0,IF(CONFIG_METADATA!$B$4&lt;&gt;"OR+EX",--(DATOS!$G9591=CONFIG_METADATA!$B$4),IF(DATOS!$G9591="EX",1,IF(DATOS!$G9591="OR",--(COUNTIFS(nNIA,DATOS!$A9591,nCURSO,DATOS!$D9591,nESPEC,DATOS!$E9591,nASIG,DATOS!$I9591,nEVAL,"EX")=0),0))))</f>
      </c>
      <c r="H9591">
        <f>IF(DATOS!$G9591&lt;&gt;"EX",0,--(COUNTIFS(nNIA,DATOS!$A9591,nCURSO,DATOS!$D9591,nESPEC,DATOS!$E9591,nASIG,DATOS!$I9591,nEVAL,"OR")=0))</f>
      </c>
      <c r="I9591">
        <f>IF(DATOS!$I9591="","",IFERROR(VLOOKUP(DATOS!$I9591,CONFIG_ASIGNATURAS!$B$2:$J$91,9,FALSE()),""))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IF(DATOS!$A9592="",0,IF(CONFIG_METADATA!$B$4&lt;&gt;"OR+EX",--(DATOS!$G9592=CONFIG_METADATA!$B$4),IF(DATOS!$G9592="EX",1,IF(DATOS!$G9592="OR",--(COUNTIFS(nNIA,DATOS!$A9592,nCURSO,DATOS!$D9592,nESPEC,DATOS!$E9592,nASIG,DATOS!$I9592,nEVAL,"EX")=0),0))))</f>
      </c>
      <c r="H9592">
        <f>IF(DATOS!$G9592&lt;&gt;"EX",0,--(COUNTIFS(nNIA,DATOS!$A9592,nCURSO,DATOS!$D9592,nESPEC,DATOS!$E9592,nASIG,DATOS!$I9592,nEVAL,"OR")=0))</f>
      </c>
      <c r="I9592">
        <f>IF(DATOS!$I9592="","",IFERROR(VLOOKUP(DATOS!$I9592,CONFIG_ASIGNATURAS!$B$2:$J$91,9,FALSE()),""))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IF(DATOS!$A9593="",0,IF(CONFIG_METADATA!$B$4&lt;&gt;"OR+EX",--(DATOS!$G9593=CONFIG_METADATA!$B$4),IF(DATOS!$G9593="EX",1,IF(DATOS!$G9593="OR",--(COUNTIFS(nNIA,DATOS!$A9593,nCURSO,DATOS!$D9593,nESPEC,DATOS!$E9593,nASIG,DATOS!$I9593,nEVAL,"EX")=0),0))))</f>
      </c>
      <c r="H9593">
        <f>IF(DATOS!$G9593&lt;&gt;"EX",0,--(COUNTIFS(nNIA,DATOS!$A9593,nCURSO,DATOS!$D9593,nESPEC,DATOS!$E9593,nASIG,DATOS!$I9593,nEVAL,"OR")=0))</f>
      </c>
      <c r="I9593">
        <f>IF(DATOS!$I9593="","",IFERROR(VLOOKUP(DATOS!$I9593,CONFIG_ASIGNATURAS!$B$2:$J$91,9,FALSE()),""))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IF(DATOS!$A9594="",0,IF(CONFIG_METADATA!$B$4&lt;&gt;"OR+EX",--(DATOS!$G9594=CONFIG_METADATA!$B$4),IF(DATOS!$G9594="EX",1,IF(DATOS!$G9594="OR",--(COUNTIFS(nNIA,DATOS!$A9594,nCURSO,DATOS!$D9594,nESPEC,DATOS!$E9594,nASIG,DATOS!$I9594,nEVAL,"EX")=0),0))))</f>
      </c>
      <c r="H9594">
        <f>IF(DATOS!$G9594&lt;&gt;"EX",0,--(COUNTIFS(nNIA,DATOS!$A9594,nCURSO,DATOS!$D9594,nESPEC,DATOS!$E9594,nASIG,DATOS!$I9594,nEVAL,"OR")=0))</f>
      </c>
      <c r="I9594">
        <f>IF(DATOS!$I9594="","",IFERROR(VLOOKUP(DATOS!$I9594,CONFIG_ASIGNATURAS!$B$2:$J$91,9,FALSE()),""))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IF(DATOS!$A9595="",0,IF(CONFIG_METADATA!$B$4&lt;&gt;"OR+EX",--(DATOS!$G9595=CONFIG_METADATA!$B$4),IF(DATOS!$G9595="EX",1,IF(DATOS!$G9595="OR",--(COUNTIFS(nNIA,DATOS!$A9595,nCURSO,DATOS!$D9595,nESPEC,DATOS!$E9595,nASIG,DATOS!$I9595,nEVAL,"EX")=0),0))))</f>
      </c>
      <c r="H9595">
        <f>IF(DATOS!$G9595&lt;&gt;"EX",0,--(COUNTIFS(nNIA,DATOS!$A9595,nCURSO,DATOS!$D9595,nESPEC,DATOS!$E9595,nASIG,DATOS!$I9595,nEVAL,"OR")=0))</f>
      </c>
      <c r="I9595">
        <f>IF(DATOS!$I9595="","",IFERROR(VLOOKUP(DATOS!$I9595,CONFIG_ASIGNATURAS!$B$2:$J$91,9,FALSE()),""))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IF(DATOS!$A9596="",0,IF(CONFIG_METADATA!$B$4&lt;&gt;"OR+EX",--(DATOS!$G9596=CONFIG_METADATA!$B$4),IF(DATOS!$G9596="EX",1,IF(DATOS!$G9596="OR",--(COUNTIFS(nNIA,DATOS!$A9596,nCURSO,DATOS!$D9596,nESPEC,DATOS!$E9596,nASIG,DATOS!$I9596,nEVAL,"EX")=0),0))))</f>
      </c>
      <c r="H9596">
        <f>IF(DATOS!$G9596&lt;&gt;"EX",0,--(COUNTIFS(nNIA,DATOS!$A9596,nCURSO,DATOS!$D9596,nESPEC,DATOS!$E9596,nASIG,DATOS!$I9596,nEVAL,"OR")=0))</f>
      </c>
      <c r="I9596">
        <f>IF(DATOS!$I9596="","",IFERROR(VLOOKUP(DATOS!$I9596,CONFIG_ASIGNATURAS!$B$2:$J$91,9,FALSE()),""))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IF(DATOS!$A9597="",0,IF(CONFIG_METADATA!$B$4&lt;&gt;"OR+EX",--(DATOS!$G9597=CONFIG_METADATA!$B$4),IF(DATOS!$G9597="EX",1,IF(DATOS!$G9597="OR",--(COUNTIFS(nNIA,DATOS!$A9597,nCURSO,DATOS!$D9597,nESPEC,DATOS!$E9597,nASIG,DATOS!$I9597,nEVAL,"EX")=0),0))))</f>
      </c>
      <c r="H9597">
        <f>IF(DATOS!$G9597&lt;&gt;"EX",0,--(COUNTIFS(nNIA,DATOS!$A9597,nCURSO,DATOS!$D9597,nESPEC,DATOS!$E9597,nASIG,DATOS!$I9597,nEVAL,"OR")=0))</f>
      </c>
      <c r="I9597">
        <f>IF(DATOS!$I9597="","",IFERROR(VLOOKUP(DATOS!$I9597,CONFIG_ASIGNATURAS!$B$2:$J$91,9,FALSE()),""))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IF(DATOS!$A9598="",0,IF(CONFIG_METADATA!$B$4&lt;&gt;"OR+EX",--(DATOS!$G9598=CONFIG_METADATA!$B$4),IF(DATOS!$G9598="EX",1,IF(DATOS!$G9598="OR",--(COUNTIFS(nNIA,DATOS!$A9598,nCURSO,DATOS!$D9598,nESPEC,DATOS!$E9598,nASIG,DATOS!$I9598,nEVAL,"EX")=0),0))))</f>
      </c>
      <c r="H9598">
        <f>IF(DATOS!$G9598&lt;&gt;"EX",0,--(COUNTIFS(nNIA,DATOS!$A9598,nCURSO,DATOS!$D9598,nESPEC,DATOS!$E9598,nASIG,DATOS!$I9598,nEVAL,"OR")=0))</f>
      </c>
      <c r="I9598">
        <f>IF(DATOS!$I9598="","",IFERROR(VLOOKUP(DATOS!$I9598,CONFIG_ASIGNATURAS!$B$2:$J$91,9,FALSE()),""))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IF(DATOS!$A9599="",0,IF(CONFIG_METADATA!$B$4&lt;&gt;"OR+EX",--(DATOS!$G9599=CONFIG_METADATA!$B$4),IF(DATOS!$G9599="EX",1,IF(DATOS!$G9599="OR",--(COUNTIFS(nNIA,DATOS!$A9599,nCURSO,DATOS!$D9599,nESPEC,DATOS!$E9599,nASIG,DATOS!$I9599,nEVAL,"EX")=0),0))))</f>
      </c>
      <c r="H9599">
        <f>IF(DATOS!$G9599&lt;&gt;"EX",0,--(COUNTIFS(nNIA,DATOS!$A9599,nCURSO,DATOS!$D9599,nESPEC,DATOS!$E9599,nASIG,DATOS!$I9599,nEVAL,"OR")=0))</f>
      </c>
      <c r="I9599">
        <f>IF(DATOS!$I9599="","",IFERROR(VLOOKUP(DATOS!$I9599,CONFIG_ASIGNATURAS!$B$2:$J$91,9,FALSE()),""))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IF(DATOS!$A9600="",0,IF(CONFIG_METADATA!$B$4&lt;&gt;"OR+EX",--(DATOS!$G9600=CONFIG_METADATA!$B$4),IF(DATOS!$G9600="EX",1,IF(DATOS!$G9600="OR",--(COUNTIFS(nNIA,DATOS!$A9600,nCURSO,DATOS!$D9600,nESPEC,DATOS!$E9600,nASIG,DATOS!$I9600,nEVAL,"EX")=0),0))))</f>
      </c>
      <c r="H9600">
        <f>IF(DATOS!$G9600&lt;&gt;"EX",0,--(COUNTIFS(nNIA,DATOS!$A9600,nCURSO,DATOS!$D9600,nESPEC,DATOS!$E9600,nASIG,DATOS!$I9600,nEVAL,"OR")=0))</f>
      </c>
      <c r="I9600">
        <f>IF(DATOS!$I9600="","",IFERROR(VLOOKUP(DATOS!$I9600,CONFIG_ASIGNATURAS!$B$2:$J$91,9,FALSE()),""))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IF(DATOS!$A9601="",0,IF(CONFIG_METADATA!$B$4&lt;&gt;"OR+EX",--(DATOS!$G9601=CONFIG_METADATA!$B$4),IF(DATOS!$G9601="EX",1,IF(DATOS!$G9601="OR",--(COUNTIFS(nNIA,DATOS!$A9601,nCURSO,DATOS!$D9601,nESPEC,DATOS!$E9601,nASIG,DATOS!$I9601,nEVAL,"EX")=0),0))))</f>
      </c>
      <c r="H9601">
        <f>IF(DATOS!$G9601&lt;&gt;"EX",0,--(COUNTIFS(nNIA,DATOS!$A9601,nCURSO,DATOS!$D9601,nESPEC,DATOS!$E9601,nASIG,DATOS!$I9601,nEVAL,"OR")=0))</f>
      </c>
      <c r="I9601">
        <f>IF(DATOS!$I9601="","",IFERROR(VLOOKUP(DATOS!$I9601,CONFIG_ASIGNATURAS!$B$2:$J$91,9,FALSE()),""))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IF(DATOS!$A9602="",0,IF(CONFIG_METADATA!$B$4&lt;&gt;"OR+EX",--(DATOS!$G9602=CONFIG_METADATA!$B$4),IF(DATOS!$G9602="EX",1,IF(DATOS!$G9602="OR",--(COUNTIFS(nNIA,DATOS!$A9602,nCURSO,DATOS!$D9602,nESPEC,DATOS!$E9602,nASIG,DATOS!$I9602,nEVAL,"EX")=0),0))))</f>
      </c>
      <c r="H9602">
        <f>IF(DATOS!$G9602&lt;&gt;"EX",0,--(COUNTIFS(nNIA,DATOS!$A9602,nCURSO,DATOS!$D9602,nESPEC,DATOS!$E9602,nASIG,DATOS!$I9602,nEVAL,"OR")=0))</f>
      </c>
      <c r="I9602">
        <f>IF(DATOS!$I9602="","",IFERROR(VLOOKUP(DATOS!$I9602,CONFIG_ASIGNATURAS!$B$2:$J$91,9,FALSE()),""))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IF(DATOS!$A9603="",0,IF(CONFIG_METADATA!$B$4&lt;&gt;"OR+EX",--(DATOS!$G9603=CONFIG_METADATA!$B$4),IF(DATOS!$G9603="EX",1,IF(DATOS!$G9603="OR",--(COUNTIFS(nNIA,DATOS!$A9603,nCURSO,DATOS!$D9603,nESPEC,DATOS!$E9603,nASIG,DATOS!$I9603,nEVAL,"EX")=0),0))))</f>
      </c>
      <c r="H9603">
        <f>IF(DATOS!$G9603&lt;&gt;"EX",0,--(COUNTIFS(nNIA,DATOS!$A9603,nCURSO,DATOS!$D9603,nESPEC,DATOS!$E9603,nASIG,DATOS!$I9603,nEVAL,"OR")=0))</f>
      </c>
      <c r="I9603">
        <f>IF(DATOS!$I9603="","",IFERROR(VLOOKUP(DATOS!$I9603,CONFIG_ASIGNATURAS!$B$2:$J$91,9,FALSE()),""))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IF(DATOS!$A9604="",0,IF(CONFIG_METADATA!$B$4&lt;&gt;"OR+EX",--(DATOS!$G9604=CONFIG_METADATA!$B$4),IF(DATOS!$G9604="EX",1,IF(DATOS!$G9604="OR",--(COUNTIFS(nNIA,DATOS!$A9604,nCURSO,DATOS!$D9604,nESPEC,DATOS!$E9604,nASIG,DATOS!$I9604,nEVAL,"EX")=0),0))))</f>
      </c>
      <c r="H9604">
        <f>IF(DATOS!$G9604&lt;&gt;"EX",0,--(COUNTIFS(nNIA,DATOS!$A9604,nCURSO,DATOS!$D9604,nESPEC,DATOS!$E9604,nASIG,DATOS!$I9604,nEVAL,"OR")=0))</f>
      </c>
      <c r="I9604">
        <f>IF(DATOS!$I9604="","",IFERROR(VLOOKUP(DATOS!$I9604,CONFIG_ASIGNATURAS!$B$2:$J$91,9,FALSE()),""))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IF(DATOS!$A9605="",0,IF(CONFIG_METADATA!$B$4&lt;&gt;"OR+EX",--(DATOS!$G9605=CONFIG_METADATA!$B$4),IF(DATOS!$G9605="EX",1,IF(DATOS!$G9605="OR",--(COUNTIFS(nNIA,DATOS!$A9605,nCURSO,DATOS!$D9605,nESPEC,DATOS!$E9605,nASIG,DATOS!$I9605,nEVAL,"EX")=0),0))))</f>
      </c>
      <c r="H9605">
        <f>IF(DATOS!$G9605&lt;&gt;"EX",0,--(COUNTIFS(nNIA,DATOS!$A9605,nCURSO,DATOS!$D9605,nESPEC,DATOS!$E9605,nASIG,DATOS!$I9605,nEVAL,"OR")=0))</f>
      </c>
      <c r="I9605">
        <f>IF(DATOS!$I9605="","",IFERROR(VLOOKUP(DATOS!$I9605,CONFIG_ASIGNATURAS!$B$2:$J$91,9,FALSE()),""))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IF(DATOS!$A9606="",0,IF(CONFIG_METADATA!$B$4&lt;&gt;"OR+EX",--(DATOS!$G9606=CONFIG_METADATA!$B$4),IF(DATOS!$G9606="EX",1,IF(DATOS!$G9606="OR",--(COUNTIFS(nNIA,DATOS!$A9606,nCURSO,DATOS!$D9606,nESPEC,DATOS!$E9606,nASIG,DATOS!$I9606,nEVAL,"EX")=0),0))))</f>
      </c>
      <c r="H9606">
        <f>IF(DATOS!$G9606&lt;&gt;"EX",0,--(COUNTIFS(nNIA,DATOS!$A9606,nCURSO,DATOS!$D9606,nESPEC,DATOS!$E9606,nASIG,DATOS!$I9606,nEVAL,"OR")=0))</f>
      </c>
      <c r="I9606">
        <f>IF(DATOS!$I9606="","",IFERROR(VLOOKUP(DATOS!$I9606,CONFIG_ASIGNATURAS!$B$2:$J$91,9,FALSE()),""))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IF(DATOS!$A9607="",0,IF(CONFIG_METADATA!$B$4&lt;&gt;"OR+EX",--(DATOS!$G9607=CONFIG_METADATA!$B$4),IF(DATOS!$G9607="EX",1,IF(DATOS!$G9607="OR",--(COUNTIFS(nNIA,DATOS!$A9607,nCURSO,DATOS!$D9607,nESPEC,DATOS!$E9607,nASIG,DATOS!$I9607,nEVAL,"EX")=0),0))))</f>
      </c>
      <c r="H9607">
        <f>IF(DATOS!$G9607&lt;&gt;"EX",0,--(COUNTIFS(nNIA,DATOS!$A9607,nCURSO,DATOS!$D9607,nESPEC,DATOS!$E9607,nASIG,DATOS!$I9607,nEVAL,"OR")=0))</f>
      </c>
      <c r="I9607">
        <f>IF(DATOS!$I9607="","",IFERROR(VLOOKUP(DATOS!$I9607,CONFIG_ASIGNATURAS!$B$2:$J$91,9,FALSE()),""))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IF(DATOS!$A9608="",0,IF(CONFIG_METADATA!$B$4&lt;&gt;"OR+EX",--(DATOS!$G9608=CONFIG_METADATA!$B$4),IF(DATOS!$G9608="EX",1,IF(DATOS!$G9608="OR",--(COUNTIFS(nNIA,DATOS!$A9608,nCURSO,DATOS!$D9608,nESPEC,DATOS!$E9608,nASIG,DATOS!$I9608,nEVAL,"EX")=0),0))))</f>
      </c>
      <c r="H9608">
        <f>IF(DATOS!$G9608&lt;&gt;"EX",0,--(COUNTIFS(nNIA,DATOS!$A9608,nCURSO,DATOS!$D9608,nESPEC,DATOS!$E9608,nASIG,DATOS!$I9608,nEVAL,"OR")=0))</f>
      </c>
      <c r="I9608">
        <f>IF(DATOS!$I9608="","",IFERROR(VLOOKUP(DATOS!$I9608,CONFIG_ASIGNATURAS!$B$2:$J$91,9,FALSE()),""))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IF(DATOS!$A9609="",0,IF(CONFIG_METADATA!$B$4&lt;&gt;"OR+EX",--(DATOS!$G9609=CONFIG_METADATA!$B$4),IF(DATOS!$G9609="EX",1,IF(DATOS!$G9609="OR",--(COUNTIFS(nNIA,DATOS!$A9609,nCURSO,DATOS!$D9609,nESPEC,DATOS!$E9609,nASIG,DATOS!$I9609,nEVAL,"EX")=0),0))))</f>
      </c>
      <c r="H9609">
        <f>IF(DATOS!$G9609&lt;&gt;"EX",0,--(COUNTIFS(nNIA,DATOS!$A9609,nCURSO,DATOS!$D9609,nESPEC,DATOS!$E9609,nASIG,DATOS!$I9609,nEVAL,"OR")=0))</f>
      </c>
      <c r="I9609">
        <f>IF(DATOS!$I9609="","",IFERROR(VLOOKUP(DATOS!$I9609,CONFIG_ASIGNATURAS!$B$2:$J$91,9,FALSE()),""))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IF(DATOS!$A9610="",0,IF(CONFIG_METADATA!$B$4&lt;&gt;"OR+EX",--(DATOS!$G9610=CONFIG_METADATA!$B$4),IF(DATOS!$G9610="EX",1,IF(DATOS!$G9610="OR",--(COUNTIFS(nNIA,DATOS!$A9610,nCURSO,DATOS!$D9610,nESPEC,DATOS!$E9610,nASIG,DATOS!$I9610,nEVAL,"EX")=0),0))))</f>
      </c>
      <c r="H9610">
        <f>IF(DATOS!$G9610&lt;&gt;"EX",0,--(COUNTIFS(nNIA,DATOS!$A9610,nCURSO,DATOS!$D9610,nESPEC,DATOS!$E9610,nASIG,DATOS!$I9610,nEVAL,"OR")=0))</f>
      </c>
      <c r="I9610">
        <f>IF(DATOS!$I9610="","",IFERROR(VLOOKUP(DATOS!$I9610,CONFIG_ASIGNATURAS!$B$2:$J$91,9,FALSE()),""))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IF(DATOS!$A9611="",0,IF(CONFIG_METADATA!$B$4&lt;&gt;"OR+EX",--(DATOS!$G9611=CONFIG_METADATA!$B$4),IF(DATOS!$G9611="EX",1,IF(DATOS!$G9611="OR",--(COUNTIFS(nNIA,DATOS!$A9611,nCURSO,DATOS!$D9611,nESPEC,DATOS!$E9611,nASIG,DATOS!$I9611,nEVAL,"EX")=0),0))))</f>
      </c>
      <c r="H9611">
        <f>IF(DATOS!$G9611&lt;&gt;"EX",0,--(COUNTIFS(nNIA,DATOS!$A9611,nCURSO,DATOS!$D9611,nESPEC,DATOS!$E9611,nASIG,DATOS!$I9611,nEVAL,"OR")=0))</f>
      </c>
      <c r="I9611">
        <f>IF(DATOS!$I9611="","",IFERROR(VLOOKUP(DATOS!$I9611,CONFIG_ASIGNATURAS!$B$2:$J$91,9,FALSE()),""))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IF(DATOS!$A9612="",0,IF(CONFIG_METADATA!$B$4&lt;&gt;"OR+EX",--(DATOS!$G9612=CONFIG_METADATA!$B$4),IF(DATOS!$G9612="EX",1,IF(DATOS!$G9612="OR",--(COUNTIFS(nNIA,DATOS!$A9612,nCURSO,DATOS!$D9612,nESPEC,DATOS!$E9612,nASIG,DATOS!$I9612,nEVAL,"EX")=0),0))))</f>
      </c>
      <c r="H9612">
        <f>IF(DATOS!$G9612&lt;&gt;"EX",0,--(COUNTIFS(nNIA,DATOS!$A9612,nCURSO,DATOS!$D9612,nESPEC,DATOS!$E9612,nASIG,DATOS!$I9612,nEVAL,"OR")=0))</f>
      </c>
      <c r="I9612">
        <f>IF(DATOS!$I9612="","",IFERROR(VLOOKUP(DATOS!$I9612,CONFIG_ASIGNATURAS!$B$2:$J$91,9,FALSE()),""))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IF(DATOS!$A9613="",0,IF(CONFIG_METADATA!$B$4&lt;&gt;"OR+EX",--(DATOS!$G9613=CONFIG_METADATA!$B$4),IF(DATOS!$G9613="EX",1,IF(DATOS!$G9613="OR",--(COUNTIFS(nNIA,DATOS!$A9613,nCURSO,DATOS!$D9613,nESPEC,DATOS!$E9613,nASIG,DATOS!$I9613,nEVAL,"EX")=0),0))))</f>
      </c>
      <c r="H9613">
        <f>IF(DATOS!$G9613&lt;&gt;"EX",0,--(COUNTIFS(nNIA,DATOS!$A9613,nCURSO,DATOS!$D9613,nESPEC,DATOS!$E9613,nASIG,DATOS!$I9613,nEVAL,"OR")=0))</f>
      </c>
      <c r="I9613">
        <f>IF(DATOS!$I9613="","",IFERROR(VLOOKUP(DATOS!$I9613,CONFIG_ASIGNATURAS!$B$2:$J$91,9,FALSE()),""))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IF(DATOS!$A9614="",0,IF(CONFIG_METADATA!$B$4&lt;&gt;"OR+EX",--(DATOS!$G9614=CONFIG_METADATA!$B$4),IF(DATOS!$G9614="EX",1,IF(DATOS!$G9614="OR",--(COUNTIFS(nNIA,DATOS!$A9614,nCURSO,DATOS!$D9614,nESPEC,DATOS!$E9614,nASIG,DATOS!$I9614,nEVAL,"EX")=0),0))))</f>
      </c>
      <c r="H9614">
        <f>IF(DATOS!$G9614&lt;&gt;"EX",0,--(COUNTIFS(nNIA,DATOS!$A9614,nCURSO,DATOS!$D9614,nESPEC,DATOS!$E9614,nASIG,DATOS!$I9614,nEVAL,"OR")=0))</f>
      </c>
      <c r="I9614">
        <f>IF(DATOS!$I9614="","",IFERROR(VLOOKUP(DATOS!$I9614,CONFIG_ASIGNATURAS!$B$2:$J$91,9,FALSE()),""))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IF(DATOS!$A9615="",0,IF(CONFIG_METADATA!$B$4&lt;&gt;"OR+EX",--(DATOS!$G9615=CONFIG_METADATA!$B$4),IF(DATOS!$G9615="EX",1,IF(DATOS!$G9615="OR",--(COUNTIFS(nNIA,DATOS!$A9615,nCURSO,DATOS!$D9615,nESPEC,DATOS!$E9615,nASIG,DATOS!$I9615,nEVAL,"EX")=0),0))))</f>
      </c>
      <c r="H9615">
        <f>IF(DATOS!$G9615&lt;&gt;"EX",0,--(COUNTIFS(nNIA,DATOS!$A9615,nCURSO,DATOS!$D9615,nESPEC,DATOS!$E9615,nASIG,DATOS!$I9615,nEVAL,"OR")=0))</f>
      </c>
      <c r="I9615">
        <f>IF(DATOS!$I9615="","",IFERROR(VLOOKUP(DATOS!$I9615,CONFIG_ASIGNATURAS!$B$2:$J$91,9,FALSE()),""))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IF(DATOS!$A9616="",0,IF(CONFIG_METADATA!$B$4&lt;&gt;"OR+EX",--(DATOS!$G9616=CONFIG_METADATA!$B$4),IF(DATOS!$G9616="EX",1,IF(DATOS!$G9616="OR",--(COUNTIFS(nNIA,DATOS!$A9616,nCURSO,DATOS!$D9616,nESPEC,DATOS!$E9616,nASIG,DATOS!$I9616,nEVAL,"EX")=0),0))))</f>
      </c>
      <c r="H9616">
        <f>IF(DATOS!$G9616&lt;&gt;"EX",0,--(COUNTIFS(nNIA,DATOS!$A9616,nCURSO,DATOS!$D9616,nESPEC,DATOS!$E9616,nASIG,DATOS!$I9616,nEVAL,"OR")=0))</f>
      </c>
      <c r="I9616">
        <f>IF(DATOS!$I9616="","",IFERROR(VLOOKUP(DATOS!$I9616,CONFIG_ASIGNATURAS!$B$2:$J$91,9,FALSE()),""))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IF(DATOS!$A9617="",0,IF(CONFIG_METADATA!$B$4&lt;&gt;"OR+EX",--(DATOS!$G9617=CONFIG_METADATA!$B$4),IF(DATOS!$G9617="EX",1,IF(DATOS!$G9617="OR",--(COUNTIFS(nNIA,DATOS!$A9617,nCURSO,DATOS!$D9617,nESPEC,DATOS!$E9617,nASIG,DATOS!$I9617,nEVAL,"EX")=0),0))))</f>
      </c>
      <c r="H9617">
        <f>IF(DATOS!$G9617&lt;&gt;"EX",0,--(COUNTIFS(nNIA,DATOS!$A9617,nCURSO,DATOS!$D9617,nESPEC,DATOS!$E9617,nASIG,DATOS!$I9617,nEVAL,"OR")=0))</f>
      </c>
      <c r="I9617">
        <f>IF(DATOS!$I9617="","",IFERROR(VLOOKUP(DATOS!$I9617,CONFIG_ASIGNATURAS!$B$2:$J$91,9,FALSE()),""))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IF(DATOS!$A9618="",0,IF(CONFIG_METADATA!$B$4&lt;&gt;"OR+EX",--(DATOS!$G9618=CONFIG_METADATA!$B$4),IF(DATOS!$G9618="EX",1,IF(DATOS!$G9618="OR",--(COUNTIFS(nNIA,DATOS!$A9618,nCURSO,DATOS!$D9618,nESPEC,DATOS!$E9618,nASIG,DATOS!$I9618,nEVAL,"EX")=0),0))))</f>
      </c>
      <c r="H9618">
        <f>IF(DATOS!$G9618&lt;&gt;"EX",0,--(COUNTIFS(nNIA,DATOS!$A9618,nCURSO,DATOS!$D9618,nESPEC,DATOS!$E9618,nASIG,DATOS!$I9618,nEVAL,"OR")=0))</f>
      </c>
      <c r="I9618">
        <f>IF(DATOS!$I9618="","",IFERROR(VLOOKUP(DATOS!$I9618,CONFIG_ASIGNATURAS!$B$2:$J$91,9,FALSE()),""))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IF(DATOS!$A9619="",0,IF(CONFIG_METADATA!$B$4&lt;&gt;"OR+EX",--(DATOS!$G9619=CONFIG_METADATA!$B$4),IF(DATOS!$G9619="EX",1,IF(DATOS!$G9619="OR",--(COUNTIFS(nNIA,DATOS!$A9619,nCURSO,DATOS!$D9619,nESPEC,DATOS!$E9619,nASIG,DATOS!$I9619,nEVAL,"EX")=0),0))))</f>
      </c>
      <c r="H9619">
        <f>IF(DATOS!$G9619&lt;&gt;"EX",0,--(COUNTIFS(nNIA,DATOS!$A9619,nCURSO,DATOS!$D9619,nESPEC,DATOS!$E9619,nASIG,DATOS!$I9619,nEVAL,"OR")=0))</f>
      </c>
      <c r="I9619">
        <f>IF(DATOS!$I9619="","",IFERROR(VLOOKUP(DATOS!$I9619,CONFIG_ASIGNATURAS!$B$2:$J$91,9,FALSE()),""))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IF(DATOS!$A9620="",0,IF(CONFIG_METADATA!$B$4&lt;&gt;"OR+EX",--(DATOS!$G9620=CONFIG_METADATA!$B$4),IF(DATOS!$G9620="EX",1,IF(DATOS!$G9620="OR",--(COUNTIFS(nNIA,DATOS!$A9620,nCURSO,DATOS!$D9620,nESPEC,DATOS!$E9620,nASIG,DATOS!$I9620,nEVAL,"EX")=0),0))))</f>
      </c>
      <c r="H9620">
        <f>IF(DATOS!$G9620&lt;&gt;"EX",0,--(COUNTIFS(nNIA,DATOS!$A9620,nCURSO,DATOS!$D9620,nESPEC,DATOS!$E9620,nASIG,DATOS!$I9620,nEVAL,"OR")=0))</f>
      </c>
      <c r="I9620">
        <f>IF(DATOS!$I9620="","",IFERROR(VLOOKUP(DATOS!$I9620,CONFIG_ASIGNATURAS!$B$2:$J$91,9,FALSE()),""))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IF(DATOS!$A9621="",0,IF(CONFIG_METADATA!$B$4&lt;&gt;"OR+EX",--(DATOS!$G9621=CONFIG_METADATA!$B$4),IF(DATOS!$G9621="EX",1,IF(DATOS!$G9621="OR",--(COUNTIFS(nNIA,DATOS!$A9621,nCURSO,DATOS!$D9621,nESPEC,DATOS!$E9621,nASIG,DATOS!$I9621,nEVAL,"EX")=0),0))))</f>
      </c>
      <c r="H9621">
        <f>IF(DATOS!$G9621&lt;&gt;"EX",0,--(COUNTIFS(nNIA,DATOS!$A9621,nCURSO,DATOS!$D9621,nESPEC,DATOS!$E9621,nASIG,DATOS!$I9621,nEVAL,"OR")=0))</f>
      </c>
      <c r="I9621">
        <f>IF(DATOS!$I9621="","",IFERROR(VLOOKUP(DATOS!$I9621,CONFIG_ASIGNATURAS!$B$2:$J$91,9,FALSE()),""))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IF(DATOS!$A9622="",0,IF(CONFIG_METADATA!$B$4&lt;&gt;"OR+EX",--(DATOS!$G9622=CONFIG_METADATA!$B$4),IF(DATOS!$G9622="EX",1,IF(DATOS!$G9622="OR",--(COUNTIFS(nNIA,DATOS!$A9622,nCURSO,DATOS!$D9622,nESPEC,DATOS!$E9622,nASIG,DATOS!$I9622,nEVAL,"EX")=0),0))))</f>
      </c>
      <c r="H9622">
        <f>IF(DATOS!$G9622&lt;&gt;"EX",0,--(COUNTIFS(nNIA,DATOS!$A9622,nCURSO,DATOS!$D9622,nESPEC,DATOS!$E9622,nASIG,DATOS!$I9622,nEVAL,"OR")=0))</f>
      </c>
      <c r="I9622">
        <f>IF(DATOS!$I9622="","",IFERROR(VLOOKUP(DATOS!$I9622,CONFIG_ASIGNATURAS!$B$2:$J$91,9,FALSE()),""))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IF(DATOS!$A9623="",0,IF(CONFIG_METADATA!$B$4&lt;&gt;"OR+EX",--(DATOS!$G9623=CONFIG_METADATA!$B$4),IF(DATOS!$G9623="EX",1,IF(DATOS!$G9623="OR",--(COUNTIFS(nNIA,DATOS!$A9623,nCURSO,DATOS!$D9623,nESPEC,DATOS!$E9623,nASIG,DATOS!$I9623,nEVAL,"EX")=0),0))))</f>
      </c>
      <c r="H9623">
        <f>IF(DATOS!$G9623&lt;&gt;"EX",0,--(COUNTIFS(nNIA,DATOS!$A9623,nCURSO,DATOS!$D9623,nESPEC,DATOS!$E9623,nASIG,DATOS!$I9623,nEVAL,"OR")=0))</f>
      </c>
      <c r="I9623">
        <f>IF(DATOS!$I9623="","",IFERROR(VLOOKUP(DATOS!$I9623,CONFIG_ASIGNATURAS!$B$2:$J$91,9,FALSE()),""))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IF(DATOS!$A9624="",0,IF(CONFIG_METADATA!$B$4&lt;&gt;"OR+EX",--(DATOS!$G9624=CONFIG_METADATA!$B$4),IF(DATOS!$G9624="EX",1,IF(DATOS!$G9624="OR",--(COUNTIFS(nNIA,DATOS!$A9624,nCURSO,DATOS!$D9624,nESPEC,DATOS!$E9624,nASIG,DATOS!$I9624,nEVAL,"EX")=0),0))))</f>
      </c>
      <c r="H9624">
        <f>IF(DATOS!$G9624&lt;&gt;"EX",0,--(COUNTIFS(nNIA,DATOS!$A9624,nCURSO,DATOS!$D9624,nESPEC,DATOS!$E9624,nASIG,DATOS!$I9624,nEVAL,"OR")=0))</f>
      </c>
      <c r="I9624">
        <f>IF(DATOS!$I9624="","",IFERROR(VLOOKUP(DATOS!$I9624,CONFIG_ASIGNATURAS!$B$2:$J$91,9,FALSE()),""))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IF(DATOS!$A9625="",0,IF(CONFIG_METADATA!$B$4&lt;&gt;"OR+EX",--(DATOS!$G9625=CONFIG_METADATA!$B$4),IF(DATOS!$G9625="EX",1,IF(DATOS!$G9625="OR",--(COUNTIFS(nNIA,DATOS!$A9625,nCURSO,DATOS!$D9625,nESPEC,DATOS!$E9625,nASIG,DATOS!$I9625,nEVAL,"EX")=0),0))))</f>
      </c>
      <c r="H9625">
        <f>IF(DATOS!$G9625&lt;&gt;"EX",0,--(COUNTIFS(nNIA,DATOS!$A9625,nCURSO,DATOS!$D9625,nESPEC,DATOS!$E9625,nASIG,DATOS!$I9625,nEVAL,"OR")=0))</f>
      </c>
      <c r="I9625">
        <f>IF(DATOS!$I9625="","",IFERROR(VLOOKUP(DATOS!$I9625,CONFIG_ASIGNATURAS!$B$2:$J$91,9,FALSE()),""))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IF(DATOS!$A9626="",0,IF(CONFIG_METADATA!$B$4&lt;&gt;"OR+EX",--(DATOS!$G9626=CONFIG_METADATA!$B$4),IF(DATOS!$G9626="EX",1,IF(DATOS!$G9626="OR",--(COUNTIFS(nNIA,DATOS!$A9626,nCURSO,DATOS!$D9626,nESPEC,DATOS!$E9626,nASIG,DATOS!$I9626,nEVAL,"EX")=0),0))))</f>
      </c>
      <c r="H9626">
        <f>IF(DATOS!$G9626&lt;&gt;"EX",0,--(COUNTIFS(nNIA,DATOS!$A9626,nCURSO,DATOS!$D9626,nESPEC,DATOS!$E9626,nASIG,DATOS!$I9626,nEVAL,"OR")=0))</f>
      </c>
      <c r="I9626">
        <f>IF(DATOS!$I9626="","",IFERROR(VLOOKUP(DATOS!$I9626,CONFIG_ASIGNATURAS!$B$2:$J$91,9,FALSE()),""))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IF(DATOS!$A9627="",0,IF(CONFIG_METADATA!$B$4&lt;&gt;"OR+EX",--(DATOS!$G9627=CONFIG_METADATA!$B$4),IF(DATOS!$G9627="EX",1,IF(DATOS!$G9627="OR",--(COUNTIFS(nNIA,DATOS!$A9627,nCURSO,DATOS!$D9627,nESPEC,DATOS!$E9627,nASIG,DATOS!$I9627,nEVAL,"EX")=0),0))))</f>
      </c>
      <c r="H9627">
        <f>IF(DATOS!$G9627&lt;&gt;"EX",0,--(COUNTIFS(nNIA,DATOS!$A9627,nCURSO,DATOS!$D9627,nESPEC,DATOS!$E9627,nASIG,DATOS!$I9627,nEVAL,"OR")=0))</f>
      </c>
      <c r="I9627">
        <f>IF(DATOS!$I9627="","",IFERROR(VLOOKUP(DATOS!$I9627,CONFIG_ASIGNATURAS!$B$2:$J$91,9,FALSE()),""))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IF(DATOS!$A9628="",0,IF(CONFIG_METADATA!$B$4&lt;&gt;"OR+EX",--(DATOS!$G9628=CONFIG_METADATA!$B$4),IF(DATOS!$G9628="EX",1,IF(DATOS!$G9628="OR",--(COUNTIFS(nNIA,DATOS!$A9628,nCURSO,DATOS!$D9628,nESPEC,DATOS!$E9628,nASIG,DATOS!$I9628,nEVAL,"EX")=0),0))))</f>
      </c>
      <c r="H9628">
        <f>IF(DATOS!$G9628&lt;&gt;"EX",0,--(COUNTIFS(nNIA,DATOS!$A9628,nCURSO,DATOS!$D9628,nESPEC,DATOS!$E9628,nASIG,DATOS!$I9628,nEVAL,"OR")=0))</f>
      </c>
      <c r="I9628">
        <f>IF(DATOS!$I9628="","",IFERROR(VLOOKUP(DATOS!$I9628,CONFIG_ASIGNATURAS!$B$2:$J$91,9,FALSE()),""))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IF(DATOS!$A9629="",0,IF(CONFIG_METADATA!$B$4&lt;&gt;"OR+EX",--(DATOS!$G9629=CONFIG_METADATA!$B$4),IF(DATOS!$G9629="EX",1,IF(DATOS!$G9629="OR",--(COUNTIFS(nNIA,DATOS!$A9629,nCURSO,DATOS!$D9629,nESPEC,DATOS!$E9629,nASIG,DATOS!$I9629,nEVAL,"EX")=0),0))))</f>
      </c>
      <c r="H9629">
        <f>IF(DATOS!$G9629&lt;&gt;"EX",0,--(COUNTIFS(nNIA,DATOS!$A9629,nCURSO,DATOS!$D9629,nESPEC,DATOS!$E9629,nASIG,DATOS!$I9629,nEVAL,"OR")=0))</f>
      </c>
      <c r="I9629">
        <f>IF(DATOS!$I9629="","",IFERROR(VLOOKUP(DATOS!$I9629,CONFIG_ASIGNATURAS!$B$2:$J$91,9,FALSE()),""))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IF(DATOS!$A9630="",0,IF(CONFIG_METADATA!$B$4&lt;&gt;"OR+EX",--(DATOS!$G9630=CONFIG_METADATA!$B$4),IF(DATOS!$G9630="EX",1,IF(DATOS!$G9630="OR",--(COUNTIFS(nNIA,DATOS!$A9630,nCURSO,DATOS!$D9630,nESPEC,DATOS!$E9630,nASIG,DATOS!$I9630,nEVAL,"EX")=0),0))))</f>
      </c>
      <c r="H9630">
        <f>IF(DATOS!$G9630&lt;&gt;"EX",0,--(COUNTIFS(nNIA,DATOS!$A9630,nCURSO,DATOS!$D9630,nESPEC,DATOS!$E9630,nASIG,DATOS!$I9630,nEVAL,"OR")=0))</f>
      </c>
      <c r="I9630">
        <f>IF(DATOS!$I9630="","",IFERROR(VLOOKUP(DATOS!$I9630,CONFIG_ASIGNATURAS!$B$2:$J$91,9,FALSE()),""))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IF(DATOS!$A9631="",0,IF(CONFIG_METADATA!$B$4&lt;&gt;"OR+EX",--(DATOS!$G9631=CONFIG_METADATA!$B$4),IF(DATOS!$G9631="EX",1,IF(DATOS!$G9631="OR",--(COUNTIFS(nNIA,DATOS!$A9631,nCURSO,DATOS!$D9631,nESPEC,DATOS!$E9631,nASIG,DATOS!$I9631,nEVAL,"EX")=0),0))))</f>
      </c>
      <c r="H9631">
        <f>IF(DATOS!$G9631&lt;&gt;"EX",0,--(COUNTIFS(nNIA,DATOS!$A9631,nCURSO,DATOS!$D9631,nESPEC,DATOS!$E9631,nASIG,DATOS!$I9631,nEVAL,"OR")=0))</f>
      </c>
      <c r="I9631">
        <f>IF(DATOS!$I9631="","",IFERROR(VLOOKUP(DATOS!$I9631,CONFIG_ASIGNATURAS!$B$2:$J$91,9,FALSE()),""))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IF(DATOS!$A9632="",0,IF(CONFIG_METADATA!$B$4&lt;&gt;"OR+EX",--(DATOS!$G9632=CONFIG_METADATA!$B$4),IF(DATOS!$G9632="EX",1,IF(DATOS!$G9632="OR",--(COUNTIFS(nNIA,DATOS!$A9632,nCURSO,DATOS!$D9632,nESPEC,DATOS!$E9632,nASIG,DATOS!$I9632,nEVAL,"EX")=0),0))))</f>
      </c>
      <c r="H9632">
        <f>IF(DATOS!$G9632&lt;&gt;"EX",0,--(COUNTIFS(nNIA,DATOS!$A9632,nCURSO,DATOS!$D9632,nESPEC,DATOS!$E9632,nASIG,DATOS!$I9632,nEVAL,"OR")=0))</f>
      </c>
      <c r="I9632">
        <f>IF(DATOS!$I9632="","",IFERROR(VLOOKUP(DATOS!$I9632,CONFIG_ASIGNATURAS!$B$2:$J$91,9,FALSE()),""))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IF(DATOS!$A9633="",0,IF(CONFIG_METADATA!$B$4&lt;&gt;"OR+EX",--(DATOS!$G9633=CONFIG_METADATA!$B$4),IF(DATOS!$G9633="EX",1,IF(DATOS!$G9633="OR",--(COUNTIFS(nNIA,DATOS!$A9633,nCURSO,DATOS!$D9633,nESPEC,DATOS!$E9633,nASIG,DATOS!$I9633,nEVAL,"EX")=0),0))))</f>
      </c>
      <c r="H9633">
        <f>IF(DATOS!$G9633&lt;&gt;"EX",0,--(COUNTIFS(nNIA,DATOS!$A9633,nCURSO,DATOS!$D9633,nESPEC,DATOS!$E9633,nASIG,DATOS!$I9633,nEVAL,"OR")=0))</f>
      </c>
      <c r="I9633">
        <f>IF(DATOS!$I9633="","",IFERROR(VLOOKUP(DATOS!$I9633,CONFIG_ASIGNATURAS!$B$2:$J$91,9,FALSE()),""))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IF(DATOS!$A9634="",0,IF(CONFIG_METADATA!$B$4&lt;&gt;"OR+EX",--(DATOS!$G9634=CONFIG_METADATA!$B$4),IF(DATOS!$G9634="EX",1,IF(DATOS!$G9634="OR",--(COUNTIFS(nNIA,DATOS!$A9634,nCURSO,DATOS!$D9634,nESPEC,DATOS!$E9634,nASIG,DATOS!$I9634,nEVAL,"EX")=0),0))))</f>
      </c>
      <c r="H9634">
        <f>IF(DATOS!$G9634&lt;&gt;"EX",0,--(COUNTIFS(nNIA,DATOS!$A9634,nCURSO,DATOS!$D9634,nESPEC,DATOS!$E9634,nASIG,DATOS!$I9634,nEVAL,"OR")=0))</f>
      </c>
      <c r="I9634">
        <f>IF(DATOS!$I9634="","",IFERROR(VLOOKUP(DATOS!$I9634,CONFIG_ASIGNATURAS!$B$2:$J$91,9,FALSE()),""))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IF(DATOS!$A9635="",0,IF(CONFIG_METADATA!$B$4&lt;&gt;"OR+EX",--(DATOS!$G9635=CONFIG_METADATA!$B$4),IF(DATOS!$G9635="EX",1,IF(DATOS!$G9635="OR",--(COUNTIFS(nNIA,DATOS!$A9635,nCURSO,DATOS!$D9635,nESPEC,DATOS!$E9635,nASIG,DATOS!$I9635,nEVAL,"EX")=0),0))))</f>
      </c>
      <c r="H9635">
        <f>IF(DATOS!$G9635&lt;&gt;"EX",0,--(COUNTIFS(nNIA,DATOS!$A9635,nCURSO,DATOS!$D9635,nESPEC,DATOS!$E9635,nASIG,DATOS!$I9635,nEVAL,"OR")=0))</f>
      </c>
      <c r="I9635">
        <f>IF(DATOS!$I9635="","",IFERROR(VLOOKUP(DATOS!$I9635,CONFIG_ASIGNATURAS!$B$2:$J$91,9,FALSE()),""))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IF(DATOS!$A9636="",0,IF(CONFIG_METADATA!$B$4&lt;&gt;"OR+EX",--(DATOS!$G9636=CONFIG_METADATA!$B$4),IF(DATOS!$G9636="EX",1,IF(DATOS!$G9636="OR",--(COUNTIFS(nNIA,DATOS!$A9636,nCURSO,DATOS!$D9636,nESPEC,DATOS!$E9636,nASIG,DATOS!$I9636,nEVAL,"EX")=0),0))))</f>
      </c>
      <c r="H9636">
        <f>IF(DATOS!$G9636&lt;&gt;"EX",0,--(COUNTIFS(nNIA,DATOS!$A9636,nCURSO,DATOS!$D9636,nESPEC,DATOS!$E9636,nASIG,DATOS!$I9636,nEVAL,"OR")=0))</f>
      </c>
      <c r="I9636">
        <f>IF(DATOS!$I9636="","",IFERROR(VLOOKUP(DATOS!$I9636,CONFIG_ASIGNATURAS!$B$2:$J$91,9,FALSE()),""))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IF(DATOS!$A9637="",0,IF(CONFIG_METADATA!$B$4&lt;&gt;"OR+EX",--(DATOS!$G9637=CONFIG_METADATA!$B$4),IF(DATOS!$G9637="EX",1,IF(DATOS!$G9637="OR",--(COUNTIFS(nNIA,DATOS!$A9637,nCURSO,DATOS!$D9637,nESPEC,DATOS!$E9637,nASIG,DATOS!$I9637,nEVAL,"EX")=0),0))))</f>
      </c>
      <c r="H9637">
        <f>IF(DATOS!$G9637&lt;&gt;"EX",0,--(COUNTIFS(nNIA,DATOS!$A9637,nCURSO,DATOS!$D9637,nESPEC,DATOS!$E9637,nASIG,DATOS!$I9637,nEVAL,"OR")=0))</f>
      </c>
      <c r="I9637">
        <f>IF(DATOS!$I9637="","",IFERROR(VLOOKUP(DATOS!$I9637,CONFIG_ASIGNATURAS!$B$2:$J$91,9,FALSE()),""))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IF(DATOS!$A9638="",0,IF(CONFIG_METADATA!$B$4&lt;&gt;"OR+EX",--(DATOS!$G9638=CONFIG_METADATA!$B$4),IF(DATOS!$G9638="EX",1,IF(DATOS!$G9638="OR",--(COUNTIFS(nNIA,DATOS!$A9638,nCURSO,DATOS!$D9638,nESPEC,DATOS!$E9638,nASIG,DATOS!$I9638,nEVAL,"EX")=0),0))))</f>
      </c>
      <c r="H9638">
        <f>IF(DATOS!$G9638&lt;&gt;"EX",0,--(COUNTIFS(nNIA,DATOS!$A9638,nCURSO,DATOS!$D9638,nESPEC,DATOS!$E9638,nASIG,DATOS!$I9638,nEVAL,"OR")=0))</f>
      </c>
      <c r="I9638">
        <f>IF(DATOS!$I9638="","",IFERROR(VLOOKUP(DATOS!$I9638,CONFIG_ASIGNATURAS!$B$2:$J$91,9,FALSE()),""))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IF(DATOS!$A9639="",0,IF(CONFIG_METADATA!$B$4&lt;&gt;"OR+EX",--(DATOS!$G9639=CONFIG_METADATA!$B$4),IF(DATOS!$G9639="EX",1,IF(DATOS!$G9639="OR",--(COUNTIFS(nNIA,DATOS!$A9639,nCURSO,DATOS!$D9639,nESPEC,DATOS!$E9639,nASIG,DATOS!$I9639,nEVAL,"EX")=0),0))))</f>
      </c>
      <c r="H9639">
        <f>IF(DATOS!$G9639&lt;&gt;"EX",0,--(COUNTIFS(nNIA,DATOS!$A9639,nCURSO,DATOS!$D9639,nESPEC,DATOS!$E9639,nASIG,DATOS!$I9639,nEVAL,"OR")=0))</f>
      </c>
      <c r="I9639">
        <f>IF(DATOS!$I9639="","",IFERROR(VLOOKUP(DATOS!$I9639,CONFIG_ASIGNATURAS!$B$2:$J$91,9,FALSE()),""))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IF(DATOS!$A9640="",0,IF(CONFIG_METADATA!$B$4&lt;&gt;"OR+EX",--(DATOS!$G9640=CONFIG_METADATA!$B$4),IF(DATOS!$G9640="EX",1,IF(DATOS!$G9640="OR",--(COUNTIFS(nNIA,DATOS!$A9640,nCURSO,DATOS!$D9640,nESPEC,DATOS!$E9640,nASIG,DATOS!$I9640,nEVAL,"EX")=0),0))))</f>
      </c>
      <c r="H9640">
        <f>IF(DATOS!$G9640&lt;&gt;"EX",0,--(COUNTIFS(nNIA,DATOS!$A9640,nCURSO,DATOS!$D9640,nESPEC,DATOS!$E9640,nASIG,DATOS!$I9640,nEVAL,"OR")=0))</f>
      </c>
      <c r="I9640">
        <f>IF(DATOS!$I9640="","",IFERROR(VLOOKUP(DATOS!$I9640,CONFIG_ASIGNATURAS!$B$2:$J$91,9,FALSE()),""))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IF(DATOS!$A9641="",0,IF(CONFIG_METADATA!$B$4&lt;&gt;"OR+EX",--(DATOS!$G9641=CONFIG_METADATA!$B$4),IF(DATOS!$G9641="EX",1,IF(DATOS!$G9641="OR",--(COUNTIFS(nNIA,DATOS!$A9641,nCURSO,DATOS!$D9641,nESPEC,DATOS!$E9641,nASIG,DATOS!$I9641,nEVAL,"EX")=0),0))))</f>
      </c>
      <c r="H9641">
        <f>IF(DATOS!$G9641&lt;&gt;"EX",0,--(COUNTIFS(nNIA,DATOS!$A9641,nCURSO,DATOS!$D9641,nESPEC,DATOS!$E9641,nASIG,DATOS!$I9641,nEVAL,"OR")=0))</f>
      </c>
      <c r="I9641">
        <f>IF(DATOS!$I9641="","",IFERROR(VLOOKUP(DATOS!$I9641,CONFIG_ASIGNATURAS!$B$2:$J$91,9,FALSE()),""))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IF(DATOS!$A9642="",0,IF(CONFIG_METADATA!$B$4&lt;&gt;"OR+EX",--(DATOS!$G9642=CONFIG_METADATA!$B$4),IF(DATOS!$G9642="EX",1,IF(DATOS!$G9642="OR",--(COUNTIFS(nNIA,DATOS!$A9642,nCURSO,DATOS!$D9642,nESPEC,DATOS!$E9642,nASIG,DATOS!$I9642,nEVAL,"EX")=0),0))))</f>
      </c>
      <c r="H9642">
        <f>IF(DATOS!$G9642&lt;&gt;"EX",0,--(COUNTIFS(nNIA,DATOS!$A9642,nCURSO,DATOS!$D9642,nESPEC,DATOS!$E9642,nASIG,DATOS!$I9642,nEVAL,"OR")=0))</f>
      </c>
      <c r="I9642">
        <f>IF(DATOS!$I9642="","",IFERROR(VLOOKUP(DATOS!$I9642,CONFIG_ASIGNATURAS!$B$2:$J$91,9,FALSE()),""))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IF(DATOS!$A9643="",0,IF(CONFIG_METADATA!$B$4&lt;&gt;"OR+EX",--(DATOS!$G9643=CONFIG_METADATA!$B$4),IF(DATOS!$G9643="EX",1,IF(DATOS!$G9643="OR",--(COUNTIFS(nNIA,DATOS!$A9643,nCURSO,DATOS!$D9643,nESPEC,DATOS!$E9643,nASIG,DATOS!$I9643,nEVAL,"EX")=0),0))))</f>
      </c>
      <c r="H9643">
        <f>IF(DATOS!$G9643&lt;&gt;"EX",0,--(COUNTIFS(nNIA,DATOS!$A9643,nCURSO,DATOS!$D9643,nESPEC,DATOS!$E9643,nASIG,DATOS!$I9643,nEVAL,"OR")=0))</f>
      </c>
      <c r="I9643">
        <f>IF(DATOS!$I9643="","",IFERROR(VLOOKUP(DATOS!$I9643,CONFIG_ASIGNATURAS!$B$2:$J$91,9,FALSE()),""))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IF(DATOS!$A9644="",0,IF(CONFIG_METADATA!$B$4&lt;&gt;"OR+EX",--(DATOS!$G9644=CONFIG_METADATA!$B$4),IF(DATOS!$G9644="EX",1,IF(DATOS!$G9644="OR",--(COUNTIFS(nNIA,DATOS!$A9644,nCURSO,DATOS!$D9644,nESPEC,DATOS!$E9644,nASIG,DATOS!$I9644,nEVAL,"EX")=0),0))))</f>
      </c>
      <c r="H9644">
        <f>IF(DATOS!$G9644&lt;&gt;"EX",0,--(COUNTIFS(nNIA,DATOS!$A9644,nCURSO,DATOS!$D9644,nESPEC,DATOS!$E9644,nASIG,DATOS!$I9644,nEVAL,"OR")=0))</f>
      </c>
      <c r="I9644">
        <f>IF(DATOS!$I9644="","",IFERROR(VLOOKUP(DATOS!$I9644,CONFIG_ASIGNATURAS!$B$2:$J$91,9,FALSE()),""))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IF(DATOS!$A9645="",0,IF(CONFIG_METADATA!$B$4&lt;&gt;"OR+EX",--(DATOS!$G9645=CONFIG_METADATA!$B$4),IF(DATOS!$G9645="EX",1,IF(DATOS!$G9645="OR",--(COUNTIFS(nNIA,DATOS!$A9645,nCURSO,DATOS!$D9645,nESPEC,DATOS!$E9645,nASIG,DATOS!$I9645,nEVAL,"EX")=0),0))))</f>
      </c>
      <c r="H9645">
        <f>IF(DATOS!$G9645&lt;&gt;"EX",0,--(COUNTIFS(nNIA,DATOS!$A9645,nCURSO,DATOS!$D9645,nESPEC,DATOS!$E9645,nASIG,DATOS!$I9645,nEVAL,"OR")=0))</f>
      </c>
      <c r="I9645">
        <f>IF(DATOS!$I9645="","",IFERROR(VLOOKUP(DATOS!$I9645,CONFIG_ASIGNATURAS!$B$2:$J$91,9,FALSE()),""))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IF(DATOS!$A9646="",0,IF(CONFIG_METADATA!$B$4&lt;&gt;"OR+EX",--(DATOS!$G9646=CONFIG_METADATA!$B$4),IF(DATOS!$G9646="EX",1,IF(DATOS!$G9646="OR",--(COUNTIFS(nNIA,DATOS!$A9646,nCURSO,DATOS!$D9646,nESPEC,DATOS!$E9646,nASIG,DATOS!$I9646,nEVAL,"EX")=0),0))))</f>
      </c>
      <c r="H9646">
        <f>IF(DATOS!$G9646&lt;&gt;"EX",0,--(COUNTIFS(nNIA,DATOS!$A9646,nCURSO,DATOS!$D9646,nESPEC,DATOS!$E9646,nASIG,DATOS!$I9646,nEVAL,"OR")=0))</f>
      </c>
      <c r="I9646">
        <f>IF(DATOS!$I9646="","",IFERROR(VLOOKUP(DATOS!$I9646,CONFIG_ASIGNATURAS!$B$2:$J$91,9,FALSE()),""))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IF(DATOS!$A9647="",0,IF(CONFIG_METADATA!$B$4&lt;&gt;"OR+EX",--(DATOS!$G9647=CONFIG_METADATA!$B$4),IF(DATOS!$G9647="EX",1,IF(DATOS!$G9647="OR",--(COUNTIFS(nNIA,DATOS!$A9647,nCURSO,DATOS!$D9647,nESPEC,DATOS!$E9647,nASIG,DATOS!$I9647,nEVAL,"EX")=0),0))))</f>
      </c>
      <c r="H9647">
        <f>IF(DATOS!$G9647&lt;&gt;"EX",0,--(COUNTIFS(nNIA,DATOS!$A9647,nCURSO,DATOS!$D9647,nESPEC,DATOS!$E9647,nASIG,DATOS!$I9647,nEVAL,"OR")=0))</f>
      </c>
      <c r="I9647">
        <f>IF(DATOS!$I9647="","",IFERROR(VLOOKUP(DATOS!$I9647,CONFIG_ASIGNATURAS!$B$2:$J$91,9,FALSE()),""))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IF(DATOS!$A9648="",0,IF(CONFIG_METADATA!$B$4&lt;&gt;"OR+EX",--(DATOS!$G9648=CONFIG_METADATA!$B$4),IF(DATOS!$G9648="EX",1,IF(DATOS!$G9648="OR",--(COUNTIFS(nNIA,DATOS!$A9648,nCURSO,DATOS!$D9648,nESPEC,DATOS!$E9648,nASIG,DATOS!$I9648,nEVAL,"EX")=0),0))))</f>
      </c>
      <c r="H9648">
        <f>IF(DATOS!$G9648&lt;&gt;"EX",0,--(COUNTIFS(nNIA,DATOS!$A9648,nCURSO,DATOS!$D9648,nESPEC,DATOS!$E9648,nASIG,DATOS!$I9648,nEVAL,"OR")=0))</f>
      </c>
      <c r="I9648">
        <f>IF(DATOS!$I9648="","",IFERROR(VLOOKUP(DATOS!$I9648,CONFIG_ASIGNATURAS!$B$2:$J$91,9,FALSE()),""))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IF(DATOS!$A9649="",0,IF(CONFIG_METADATA!$B$4&lt;&gt;"OR+EX",--(DATOS!$G9649=CONFIG_METADATA!$B$4),IF(DATOS!$G9649="EX",1,IF(DATOS!$G9649="OR",--(COUNTIFS(nNIA,DATOS!$A9649,nCURSO,DATOS!$D9649,nESPEC,DATOS!$E9649,nASIG,DATOS!$I9649,nEVAL,"EX")=0),0))))</f>
      </c>
      <c r="H9649">
        <f>IF(DATOS!$G9649&lt;&gt;"EX",0,--(COUNTIFS(nNIA,DATOS!$A9649,nCURSO,DATOS!$D9649,nESPEC,DATOS!$E9649,nASIG,DATOS!$I9649,nEVAL,"OR")=0))</f>
      </c>
      <c r="I9649">
        <f>IF(DATOS!$I9649="","",IFERROR(VLOOKUP(DATOS!$I9649,CONFIG_ASIGNATURAS!$B$2:$J$91,9,FALSE()),""))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IF(DATOS!$A9650="",0,IF(CONFIG_METADATA!$B$4&lt;&gt;"OR+EX",--(DATOS!$G9650=CONFIG_METADATA!$B$4),IF(DATOS!$G9650="EX",1,IF(DATOS!$G9650="OR",--(COUNTIFS(nNIA,DATOS!$A9650,nCURSO,DATOS!$D9650,nESPEC,DATOS!$E9650,nASIG,DATOS!$I9650,nEVAL,"EX")=0),0))))</f>
      </c>
      <c r="H9650">
        <f>IF(DATOS!$G9650&lt;&gt;"EX",0,--(COUNTIFS(nNIA,DATOS!$A9650,nCURSO,DATOS!$D9650,nESPEC,DATOS!$E9650,nASIG,DATOS!$I9650,nEVAL,"OR")=0))</f>
      </c>
      <c r="I9650">
        <f>IF(DATOS!$I9650="","",IFERROR(VLOOKUP(DATOS!$I9650,CONFIG_ASIGNATURAS!$B$2:$J$91,9,FALSE()),""))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IF(DATOS!$A9651="",0,IF(CONFIG_METADATA!$B$4&lt;&gt;"OR+EX",--(DATOS!$G9651=CONFIG_METADATA!$B$4),IF(DATOS!$G9651="EX",1,IF(DATOS!$G9651="OR",--(COUNTIFS(nNIA,DATOS!$A9651,nCURSO,DATOS!$D9651,nESPEC,DATOS!$E9651,nASIG,DATOS!$I9651,nEVAL,"EX")=0),0))))</f>
      </c>
      <c r="H9651">
        <f>IF(DATOS!$G9651&lt;&gt;"EX",0,--(COUNTIFS(nNIA,DATOS!$A9651,nCURSO,DATOS!$D9651,nESPEC,DATOS!$E9651,nASIG,DATOS!$I9651,nEVAL,"OR")=0))</f>
      </c>
      <c r="I9651">
        <f>IF(DATOS!$I9651="","",IFERROR(VLOOKUP(DATOS!$I9651,CONFIG_ASIGNATURAS!$B$2:$J$91,9,FALSE()),""))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IF(DATOS!$A9652="",0,IF(CONFIG_METADATA!$B$4&lt;&gt;"OR+EX",--(DATOS!$G9652=CONFIG_METADATA!$B$4),IF(DATOS!$G9652="EX",1,IF(DATOS!$G9652="OR",--(COUNTIFS(nNIA,DATOS!$A9652,nCURSO,DATOS!$D9652,nESPEC,DATOS!$E9652,nASIG,DATOS!$I9652,nEVAL,"EX")=0),0))))</f>
      </c>
      <c r="H9652">
        <f>IF(DATOS!$G9652&lt;&gt;"EX",0,--(COUNTIFS(nNIA,DATOS!$A9652,nCURSO,DATOS!$D9652,nESPEC,DATOS!$E9652,nASIG,DATOS!$I9652,nEVAL,"OR")=0))</f>
      </c>
      <c r="I9652">
        <f>IF(DATOS!$I9652="","",IFERROR(VLOOKUP(DATOS!$I9652,CONFIG_ASIGNATURAS!$B$2:$J$91,9,FALSE()),""))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IF(DATOS!$A9653="",0,IF(CONFIG_METADATA!$B$4&lt;&gt;"OR+EX",--(DATOS!$G9653=CONFIG_METADATA!$B$4),IF(DATOS!$G9653="EX",1,IF(DATOS!$G9653="OR",--(COUNTIFS(nNIA,DATOS!$A9653,nCURSO,DATOS!$D9653,nESPEC,DATOS!$E9653,nASIG,DATOS!$I9653,nEVAL,"EX")=0),0))))</f>
      </c>
      <c r="H9653">
        <f>IF(DATOS!$G9653&lt;&gt;"EX",0,--(COUNTIFS(nNIA,DATOS!$A9653,nCURSO,DATOS!$D9653,nESPEC,DATOS!$E9653,nASIG,DATOS!$I9653,nEVAL,"OR")=0))</f>
      </c>
      <c r="I9653">
        <f>IF(DATOS!$I9653="","",IFERROR(VLOOKUP(DATOS!$I9653,CONFIG_ASIGNATURAS!$B$2:$J$91,9,FALSE()),""))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IF(DATOS!$A9654="",0,IF(CONFIG_METADATA!$B$4&lt;&gt;"OR+EX",--(DATOS!$G9654=CONFIG_METADATA!$B$4),IF(DATOS!$G9654="EX",1,IF(DATOS!$G9654="OR",--(COUNTIFS(nNIA,DATOS!$A9654,nCURSO,DATOS!$D9654,nESPEC,DATOS!$E9654,nASIG,DATOS!$I9654,nEVAL,"EX")=0),0))))</f>
      </c>
      <c r="H9654">
        <f>IF(DATOS!$G9654&lt;&gt;"EX",0,--(COUNTIFS(nNIA,DATOS!$A9654,nCURSO,DATOS!$D9654,nESPEC,DATOS!$E9654,nASIG,DATOS!$I9654,nEVAL,"OR")=0))</f>
      </c>
      <c r="I9654">
        <f>IF(DATOS!$I9654="","",IFERROR(VLOOKUP(DATOS!$I9654,CONFIG_ASIGNATURAS!$B$2:$J$91,9,FALSE()),""))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IF(DATOS!$A9655="",0,IF(CONFIG_METADATA!$B$4&lt;&gt;"OR+EX",--(DATOS!$G9655=CONFIG_METADATA!$B$4),IF(DATOS!$G9655="EX",1,IF(DATOS!$G9655="OR",--(COUNTIFS(nNIA,DATOS!$A9655,nCURSO,DATOS!$D9655,nESPEC,DATOS!$E9655,nASIG,DATOS!$I9655,nEVAL,"EX")=0),0))))</f>
      </c>
      <c r="H9655">
        <f>IF(DATOS!$G9655&lt;&gt;"EX",0,--(COUNTIFS(nNIA,DATOS!$A9655,nCURSO,DATOS!$D9655,nESPEC,DATOS!$E9655,nASIG,DATOS!$I9655,nEVAL,"OR")=0))</f>
      </c>
      <c r="I9655">
        <f>IF(DATOS!$I9655="","",IFERROR(VLOOKUP(DATOS!$I9655,CONFIG_ASIGNATURAS!$B$2:$J$91,9,FALSE()),""))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IF(DATOS!$A9656="",0,IF(CONFIG_METADATA!$B$4&lt;&gt;"OR+EX",--(DATOS!$G9656=CONFIG_METADATA!$B$4),IF(DATOS!$G9656="EX",1,IF(DATOS!$G9656="OR",--(COUNTIFS(nNIA,DATOS!$A9656,nCURSO,DATOS!$D9656,nESPEC,DATOS!$E9656,nASIG,DATOS!$I9656,nEVAL,"EX")=0),0))))</f>
      </c>
      <c r="H9656">
        <f>IF(DATOS!$G9656&lt;&gt;"EX",0,--(COUNTIFS(nNIA,DATOS!$A9656,nCURSO,DATOS!$D9656,nESPEC,DATOS!$E9656,nASIG,DATOS!$I9656,nEVAL,"OR")=0))</f>
      </c>
      <c r="I9656">
        <f>IF(DATOS!$I9656="","",IFERROR(VLOOKUP(DATOS!$I9656,CONFIG_ASIGNATURAS!$B$2:$J$91,9,FALSE()),""))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IF(DATOS!$A9657="",0,IF(CONFIG_METADATA!$B$4&lt;&gt;"OR+EX",--(DATOS!$G9657=CONFIG_METADATA!$B$4),IF(DATOS!$G9657="EX",1,IF(DATOS!$G9657="OR",--(COUNTIFS(nNIA,DATOS!$A9657,nCURSO,DATOS!$D9657,nESPEC,DATOS!$E9657,nASIG,DATOS!$I9657,nEVAL,"EX")=0),0))))</f>
      </c>
      <c r="H9657">
        <f>IF(DATOS!$G9657&lt;&gt;"EX",0,--(COUNTIFS(nNIA,DATOS!$A9657,nCURSO,DATOS!$D9657,nESPEC,DATOS!$E9657,nASIG,DATOS!$I9657,nEVAL,"OR")=0))</f>
      </c>
      <c r="I9657">
        <f>IF(DATOS!$I9657="","",IFERROR(VLOOKUP(DATOS!$I9657,CONFIG_ASIGNATURAS!$B$2:$J$91,9,FALSE()),""))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IF(DATOS!$A9658="",0,IF(CONFIG_METADATA!$B$4&lt;&gt;"OR+EX",--(DATOS!$G9658=CONFIG_METADATA!$B$4),IF(DATOS!$G9658="EX",1,IF(DATOS!$G9658="OR",--(COUNTIFS(nNIA,DATOS!$A9658,nCURSO,DATOS!$D9658,nESPEC,DATOS!$E9658,nASIG,DATOS!$I9658,nEVAL,"EX")=0),0))))</f>
      </c>
      <c r="H9658">
        <f>IF(DATOS!$G9658&lt;&gt;"EX",0,--(COUNTIFS(nNIA,DATOS!$A9658,nCURSO,DATOS!$D9658,nESPEC,DATOS!$E9658,nASIG,DATOS!$I9658,nEVAL,"OR")=0))</f>
      </c>
      <c r="I9658">
        <f>IF(DATOS!$I9658="","",IFERROR(VLOOKUP(DATOS!$I9658,CONFIG_ASIGNATURAS!$B$2:$J$91,9,FALSE()),""))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IF(DATOS!$A9659="",0,IF(CONFIG_METADATA!$B$4&lt;&gt;"OR+EX",--(DATOS!$G9659=CONFIG_METADATA!$B$4),IF(DATOS!$G9659="EX",1,IF(DATOS!$G9659="OR",--(COUNTIFS(nNIA,DATOS!$A9659,nCURSO,DATOS!$D9659,nESPEC,DATOS!$E9659,nASIG,DATOS!$I9659,nEVAL,"EX")=0),0))))</f>
      </c>
      <c r="H9659">
        <f>IF(DATOS!$G9659&lt;&gt;"EX",0,--(COUNTIFS(nNIA,DATOS!$A9659,nCURSO,DATOS!$D9659,nESPEC,DATOS!$E9659,nASIG,DATOS!$I9659,nEVAL,"OR")=0))</f>
      </c>
      <c r="I9659">
        <f>IF(DATOS!$I9659="","",IFERROR(VLOOKUP(DATOS!$I9659,CONFIG_ASIGNATURAS!$B$2:$J$91,9,FALSE()),""))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IF(DATOS!$A9660="",0,IF(CONFIG_METADATA!$B$4&lt;&gt;"OR+EX",--(DATOS!$G9660=CONFIG_METADATA!$B$4),IF(DATOS!$G9660="EX",1,IF(DATOS!$G9660="OR",--(COUNTIFS(nNIA,DATOS!$A9660,nCURSO,DATOS!$D9660,nESPEC,DATOS!$E9660,nASIG,DATOS!$I9660,nEVAL,"EX")=0),0))))</f>
      </c>
      <c r="H9660">
        <f>IF(DATOS!$G9660&lt;&gt;"EX",0,--(COUNTIFS(nNIA,DATOS!$A9660,nCURSO,DATOS!$D9660,nESPEC,DATOS!$E9660,nASIG,DATOS!$I9660,nEVAL,"OR")=0))</f>
      </c>
      <c r="I9660">
        <f>IF(DATOS!$I9660="","",IFERROR(VLOOKUP(DATOS!$I9660,CONFIG_ASIGNATURAS!$B$2:$J$91,9,FALSE()),""))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IF(DATOS!$A9661="",0,IF(CONFIG_METADATA!$B$4&lt;&gt;"OR+EX",--(DATOS!$G9661=CONFIG_METADATA!$B$4),IF(DATOS!$G9661="EX",1,IF(DATOS!$G9661="OR",--(COUNTIFS(nNIA,DATOS!$A9661,nCURSO,DATOS!$D9661,nESPEC,DATOS!$E9661,nASIG,DATOS!$I9661,nEVAL,"EX")=0),0))))</f>
      </c>
      <c r="H9661">
        <f>IF(DATOS!$G9661&lt;&gt;"EX",0,--(COUNTIFS(nNIA,DATOS!$A9661,nCURSO,DATOS!$D9661,nESPEC,DATOS!$E9661,nASIG,DATOS!$I9661,nEVAL,"OR")=0))</f>
      </c>
      <c r="I9661">
        <f>IF(DATOS!$I9661="","",IFERROR(VLOOKUP(DATOS!$I9661,CONFIG_ASIGNATURAS!$B$2:$J$91,9,FALSE()),""))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IF(DATOS!$A9662="",0,IF(CONFIG_METADATA!$B$4&lt;&gt;"OR+EX",--(DATOS!$G9662=CONFIG_METADATA!$B$4),IF(DATOS!$G9662="EX",1,IF(DATOS!$G9662="OR",--(COUNTIFS(nNIA,DATOS!$A9662,nCURSO,DATOS!$D9662,nESPEC,DATOS!$E9662,nASIG,DATOS!$I9662,nEVAL,"EX")=0),0))))</f>
      </c>
      <c r="H9662">
        <f>IF(DATOS!$G9662&lt;&gt;"EX",0,--(COUNTIFS(nNIA,DATOS!$A9662,nCURSO,DATOS!$D9662,nESPEC,DATOS!$E9662,nASIG,DATOS!$I9662,nEVAL,"OR")=0))</f>
      </c>
      <c r="I9662">
        <f>IF(DATOS!$I9662="","",IFERROR(VLOOKUP(DATOS!$I9662,CONFIG_ASIGNATURAS!$B$2:$J$91,9,FALSE()),""))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IF(DATOS!$A9663="",0,IF(CONFIG_METADATA!$B$4&lt;&gt;"OR+EX",--(DATOS!$G9663=CONFIG_METADATA!$B$4),IF(DATOS!$G9663="EX",1,IF(DATOS!$G9663="OR",--(COUNTIFS(nNIA,DATOS!$A9663,nCURSO,DATOS!$D9663,nESPEC,DATOS!$E9663,nASIG,DATOS!$I9663,nEVAL,"EX")=0),0))))</f>
      </c>
      <c r="H9663">
        <f>IF(DATOS!$G9663&lt;&gt;"EX",0,--(COUNTIFS(nNIA,DATOS!$A9663,nCURSO,DATOS!$D9663,nESPEC,DATOS!$E9663,nASIG,DATOS!$I9663,nEVAL,"OR")=0))</f>
      </c>
      <c r="I9663">
        <f>IF(DATOS!$I9663="","",IFERROR(VLOOKUP(DATOS!$I9663,CONFIG_ASIGNATURAS!$B$2:$J$91,9,FALSE()),""))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IF(DATOS!$A9664="",0,IF(CONFIG_METADATA!$B$4&lt;&gt;"OR+EX",--(DATOS!$G9664=CONFIG_METADATA!$B$4),IF(DATOS!$G9664="EX",1,IF(DATOS!$G9664="OR",--(COUNTIFS(nNIA,DATOS!$A9664,nCURSO,DATOS!$D9664,nESPEC,DATOS!$E9664,nASIG,DATOS!$I9664,nEVAL,"EX")=0),0))))</f>
      </c>
      <c r="H9664">
        <f>IF(DATOS!$G9664&lt;&gt;"EX",0,--(COUNTIFS(nNIA,DATOS!$A9664,nCURSO,DATOS!$D9664,nESPEC,DATOS!$E9664,nASIG,DATOS!$I9664,nEVAL,"OR")=0))</f>
      </c>
      <c r="I9664">
        <f>IF(DATOS!$I9664="","",IFERROR(VLOOKUP(DATOS!$I9664,CONFIG_ASIGNATURAS!$B$2:$J$91,9,FALSE()),""))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IF(DATOS!$A9665="",0,IF(CONFIG_METADATA!$B$4&lt;&gt;"OR+EX",--(DATOS!$G9665=CONFIG_METADATA!$B$4),IF(DATOS!$G9665="EX",1,IF(DATOS!$G9665="OR",--(COUNTIFS(nNIA,DATOS!$A9665,nCURSO,DATOS!$D9665,nESPEC,DATOS!$E9665,nASIG,DATOS!$I9665,nEVAL,"EX")=0),0))))</f>
      </c>
      <c r="H9665">
        <f>IF(DATOS!$G9665&lt;&gt;"EX",0,--(COUNTIFS(nNIA,DATOS!$A9665,nCURSO,DATOS!$D9665,nESPEC,DATOS!$E9665,nASIG,DATOS!$I9665,nEVAL,"OR")=0))</f>
      </c>
      <c r="I9665">
        <f>IF(DATOS!$I9665="","",IFERROR(VLOOKUP(DATOS!$I9665,CONFIG_ASIGNATURAS!$B$2:$J$91,9,FALSE()),""))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IF(DATOS!$A9666="",0,IF(CONFIG_METADATA!$B$4&lt;&gt;"OR+EX",--(DATOS!$G9666=CONFIG_METADATA!$B$4),IF(DATOS!$G9666="EX",1,IF(DATOS!$G9666="OR",--(COUNTIFS(nNIA,DATOS!$A9666,nCURSO,DATOS!$D9666,nESPEC,DATOS!$E9666,nASIG,DATOS!$I9666,nEVAL,"EX")=0),0))))</f>
      </c>
      <c r="H9666">
        <f>IF(DATOS!$G9666&lt;&gt;"EX",0,--(COUNTIFS(nNIA,DATOS!$A9666,nCURSO,DATOS!$D9666,nESPEC,DATOS!$E9666,nASIG,DATOS!$I9666,nEVAL,"OR")=0))</f>
      </c>
      <c r="I9666">
        <f>IF(DATOS!$I9666="","",IFERROR(VLOOKUP(DATOS!$I9666,CONFIG_ASIGNATURAS!$B$2:$J$91,9,FALSE()),""))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IF(DATOS!$A9667="",0,IF(CONFIG_METADATA!$B$4&lt;&gt;"OR+EX",--(DATOS!$G9667=CONFIG_METADATA!$B$4),IF(DATOS!$G9667="EX",1,IF(DATOS!$G9667="OR",--(COUNTIFS(nNIA,DATOS!$A9667,nCURSO,DATOS!$D9667,nESPEC,DATOS!$E9667,nASIG,DATOS!$I9667,nEVAL,"EX")=0),0))))</f>
      </c>
      <c r="H9667">
        <f>IF(DATOS!$G9667&lt;&gt;"EX",0,--(COUNTIFS(nNIA,DATOS!$A9667,nCURSO,DATOS!$D9667,nESPEC,DATOS!$E9667,nASIG,DATOS!$I9667,nEVAL,"OR")=0))</f>
      </c>
      <c r="I9667">
        <f>IF(DATOS!$I9667="","",IFERROR(VLOOKUP(DATOS!$I9667,CONFIG_ASIGNATURAS!$B$2:$J$91,9,FALSE()),""))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IF(DATOS!$A9668="",0,IF(CONFIG_METADATA!$B$4&lt;&gt;"OR+EX",--(DATOS!$G9668=CONFIG_METADATA!$B$4),IF(DATOS!$G9668="EX",1,IF(DATOS!$G9668="OR",--(COUNTIFS(nNIA,DATOS!$A9668,nCURSO,DATOS!$D9668,nESPEC,DATOS!$E9668,nASIG,DATOS!$I9668,nEVAL,"EX")=0),0))))</f>
      </c>
      <c r="H9668">
        <f>IF(DATOS!$G9668&lt;&gt;"EX",0,--(COUNTIFS(nNIA,DATOS!$A9668,nCURSO,DATOS!$D9668,nESPEC,DATOS!$E9668,nASIG,DATOS!$I9668,nEVAL,"OR")=0))</f>
      </c>
      <c r="I9668">
        <f>IF(DATOS!$I9668="","",IFERROR(VLOOKUP(DATOS!$I9668,CONFIG_ASIGNATURAS!$B$2:$J$91,9,FALSE()),""))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IF(DATOS!$A9669="",0,IF(CONFIG_METADATA!$B$4&lt;&gt;"OR+EX",--(DATOS!$G9669=CONFIG_METADATA!$B$4),IF(DATOS!$G9669="EX",1,IF(DATOS!$G9669="OR",--(COUNTIFS(nNIA,DATOS!$A9669,nCURSO,DATOS!$D9669,nESPEC,DATOS!$E9669,nASIG,DATOS!$I9669,nEVAL,"EX")=0),0))))</f>
      </c>
      <c r="H9669">
        <f>IF(DATOS!$G9669&lt;&gt;"EX",0,--(COUNTIFS(nNIA,DATOS!$A9669,nCURSO,DATOS!$D9669,nESPEC,DATOS!$E9669,nASIG,DATOS!$I9669,nEVAL,"OR")=0))</f>
      </c>
      <c r="I9669">
        <f>IF(DATOS!$I9669="","",IFERROR(VLOOKUP(DATOS!$I9669,CONFIG_ASIGNATURAS!$B$2:$J$91,9,FALSE()),""))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IF(DATOS!$A9670="",0,IF(CONFIG_METADATA!$B$4&lt;&gt;"OR+EX",--(DATOS!$G9670=CONFIG_METADATA!$B$4),IF(DATOS!$G9670="EX",1,IF(DATOS!$G9670="OR",--(COUNTIFS(nNIA,DATOS!$A9670,nCURSO,DATOS!$D9670,nESPEC,DATOS!$E9670,nASIG,DATOS!$I9670,nEVAL,"EX")=0),0))))</f>
      </c>
      <c r="H9670">
        <f>IF(DATOS!$G9670&lt;&gt;"EX",0,--(COUNTIFS(nNIA,DATOS!$A9670,nCURSO,DATOS!$D9670,nESPEC,DATOS!$E9670,nASIG,DATOS!$I9670,nEVAL,"OR")=0))</f>
      </c>
      <c r="I9670">
        <f>IF(DATOS!$I9670="","",IFERROR(VLOOKUP(DATOS!$I9670,CONFIG_ASIGNATURAS!$B$2:$J$91,9,FALSE()),""))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IF(DATOS!$A9671="",0,IF(CONFIG_METADATA!$B$4&lt;&gt;"OR+EX",--(DATOS!$G9671=CONFIG_METADATA!$B$4),IF(DATOS!$G9671="EX",1,IF(DATOS!$G9671="OR",--(COUNTIFS(nNIA,DATOS!$A9671,nCURSO,DATOS!$D9671,nESPEC,DATOS!$E9671,nASIG,DATOS!$I9671,nEVAL,"EX")=0),0))))</f>
      </c>
      <c r="H9671">
        <f>IF(DATOS!$G9671&lt;&gt;"EX",0,--(COUNTIFS(nNIA,DATOS!$A9671,nCURSO,DATOS!$D9671,nESPEC,DATOS!$E9671,nASIG,DATOS!$I9671,nEVAL,"OR")=0))</f>
      </c>
      <c r="I9671">
        <f>IF(DATOS!$I9671="","",IFERROR(VLOOKUP(DATOS!$I9671,CONFIG_ASIGNATURAS!$B$2:$J$91,9,FALSE()),""))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IF(DATOS!$A9672="",0,IF(CONFIG_METADATA!$B$4&lt;&gt;"OR+EX",--(DATOS!$G9672=CONFIG_METADATA!$B$4),IF(DATOS!$G9672="EX",1,IF(DATOS!$G9672="OR",--(COUNTIFS(nNIA,DATOS!$A9672,nCURSO,DATOS!$D9672,nESPEC,DATOS!$E9672,nASIG,DATOS!$I9672,nEVAL,"EX")=0),0))))</f>
      </c>
      <c r="H9672">
        <f>IF(DATOS!$G9672&lt;&gt;"EX",0,--(COUNTIFS(nNIA,DATOS!$A9672,nCURSO,DATOS!$D9672,nESPEC,DATOS!$E9672,nASIG,DATOS!$I9672,nEVAL,"OR")=0))</f>
      </c>
      <c r="I9672">
        <f>IF(DATOS!$I9672="","",IFERROR(VLOOKUP(DATOS!$I9672,CONFIG_ASIGNATURAS!$B$2:$J$91,9,FALSE()),""))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IF(DATOS!$A9673="",0,IF(CONFIG_METADATA!$B$4&lt;&gt;"OR+EX",--(DATOS!$G9673=CONFIG_METADATA!$B$4),IF(DATOS!$G9673="EX",1,IF(DATOS!$G9673="OR",--(COUNTIFS(nNIA,DATOS!$A9673,nCURSO,DATOS!$D9673,nESPEC,DATOS!$E9673,nASIG,DATOS!$I9673,nEVAL,"EX")=0),0))))</f>
      </c>
      <c r="H9673">
        <f>IF(DATOS!$G9673&lt;&gt;"EX",0,--(COUNTIFS(nNIA,DATOS!$A9673,nCURSO,DATOS!$D9673,nESPEC,DATOS!$E9673,nASIG,DATOS!$I9673,nEVAL,"OR")=0))</f>
      </c>
      <c r="I9673">
        <f>IF(DATOS!$I9673="","",IFERROR(VLOOKUP(DATOS!$I9673,CONFIG_ASIGNATURAS!$B$2:$J$91,9,FALSE()),""))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IF(DATOS!$A9674="",0,IF(CONFIG_METADATA!$B$4&lt;&gt;"OR+EX",--(DATOS!$G9674=CONFIG_METADATA!$B$4),IF(DATOS!$G9674="EX",1,IF(DATOS!$G9674="OR",--(COUNTIFS(nNIA,DATOS!$A9674,nCURSO,DATOS!$D9674,nESPEC,DATOS!$E9674,nASIG,DATOS!$I9674,nEVAL,"EX")=0),0))))</f>
      </c>
      <c r="H9674">
        <f>IF(DATOS!$G9674&lt;&gt;"EX",0,--(COUNTIFS(nNIA,DATOS!$A9674,nCURSO,DATOS!$D9674,nESPEC,DATOS!$E9674,nASIG,DATOS!$I9674,nEVAL,"OR")=0))</f>
      </c>
      <c r="I9674">
        <f>IF(DATOS!$I9674="","",IFERROR(VLOOKUP(DATOS!$I9674,CONFIG_ASIGNATURAS!$B$2:$J$91,9,FALSE()),""))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IF(DATOS!$A9675="",0,IF(CONFIG_METADATA!$B$4&lt;&gt;"OR+EX",--(DATOS!$G9675=CONFIG_METADATA!$B$4),IF(DATOS!$G9675="EX",1,IF(DATOS!$G9675="OR",--(COUNTIFS(nNIA,DATOS!$A9675,nCURSO,DATOS!$D9675,nESPEC,DATOS!$E9675,nASIG,DATOS!$I9675,nEVAL,"EX")=0),0))))</f>
      </c>
      <c r="H9675">
        <f>IF(DATOS!$G9675&lt;&gt;"EX",0,--(COUNTIFS(nNIA,DATOS!$A9675,nCURSO,DATOS!$D9675,nESPEC,DATOS!$E9675,nASIG,DATOS!$I9675,nEVAL,"OR")=0))</f>
      </c>
      <c r="I9675">
        <f>IF(DATOS!$I9675="","",IFERROR(VLOOKUP(DATOS!$I9675,CONFIG_ASIGNATURAS!$B$2:$J$91,9,FALSE()),""))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IF(DATOS!$A9676="",0,IF(CONFIG_METADATA!$B$4&lt;&gt;"OR+EX",--(DATOS!$G9676=CONFIG_METADATA!$B$4),IF(DATOS!$G9676="EX",1,IF(DATOS!$G9676="OR",--(COUNTIFS(nNIA,DATOS!$A9676,nCURSO,DATOS!$D9676,nESPEC,DATOS!$E9676,nASIG,DATOS!$I9676,nEVAL,"EX")=0),0))))</f>
      </c>
      <c r="H9676">
        <f>IF(DATOS!$G9676&lt;&gt;"EX",0,--(COUNTIFS(nNIA,DATOS!$A9676,nCURSO,DATOS!$D9676,nESPEC,DATOS!$E9676,nASIG,DATOS!$I9676,nEVAL,"OR")=0))</f>
      </c>
      <c r="I9676">
        <f>IF(DATOS!$I9676="","",IFERROR(VLOOKUP(DATOS!$I9676,CONFIG_ASIGNATURAS!$B$2:$J$91,9,FALSE()),""))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IF(DATOS!$A9677="",0,IF(CONFIG_METADATA!$B$4&lt;&gt;"OR+EX",--(DATOS!$G9677=CONFIG_METADATA!$B$4),IF(DATOS!$G9677="EX",1,IF(DATOS!$G9677="OR",--(COUNTIFS(nNIA,DATOS!$A9677,nCURSO,DATOS!$D9677,nESPEC,DATOS!$E9677,nASIG,DATOS!$I9677,nEVAL,"EX")=0),0))))</f>
      </c>
      <c r="H9677">
        <f>IF(DATOS!$G9677&lt;&gt;"EX",0,--(COUNTIFS(nNIA,DATOS!$A9677,nCURSO,DATOS!$D9677,nESPEC,DATOS!$E9677,nASIG,DATOS!$I9677,nEVAL,"OR")=0))</f>
      </c>
      <c r="I9677">
        <f>IF(DATOS!$I9677="","",IFERROR(VLOOKUP(DATOS!$I9677,CONFIG_ASIGNATURAS!$B$2:$J$91,9,FALSE()),""))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IF(DATOS!$A9678="",0,IF(CONFIG_METADATA!$B$4&lt;&gt;"OR+EX",--(DATOS!$G9678=CONFIG_METADATA!$B$4),IF(DATOS!$G9678="EX",1,IF(DATOS!$G9678="OR",--(COUNTIFS(nNIA,DATOS!$A9678,nCURSO,DATOS!$D9678,nESPEC,DATOS!$E9678,nASIG,DATOS!$I9678,nEVAL,"EX")=0),0))))</f>
      </c>
      <c r="H9678">
        <f>IF(DATOS!$G9678&lt;&gt;"EX",0,--(COUNTIFS(nNIA,DATOS!$A9678,nCURSO,DATOS!$D9678,nESPEC,DATOS!$E9678,nASIG,DATOS!$I9678,nEVAL,"OR")=0))</f>
      </c>
      <c r="I9678">
        <f>IF(DATOS!$I9678="","",IFERROR(VLOOKUP(DATOS!$I9678,CONFIG_ASIGNATURAS!$B$2:$J$91,9,FALSE()),""))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IF(DATOS!$A9679="",0,IF(CONFIG_METADATA!$B$4&lt;&gt;"OR+EX",--(DATOS!$G9679=CONFIG_METADATA!$B$4),IF(DATOS!$G9679="EX",1,IF(DATOS!$G9679="OR",--(COUNTIFS(nNIA,DATOS!$A9679,nCURSO,DATOS!$D9679,nESPEC,DATOS!$E9679,nASIG,DATOS!$I9679,nEVAL,"EX")=0),0))))</f>
      </c>
      <c r="H9679">
        <f>IF(DATOS!$G9679&lt;&gt;"EX",0,--(COUNTIFS(nNIA,DATOS!$A9679,nCURSO,DATOS!$D9679,nESPEC,DATOS!$E9679,nASIG,DATOS!$I9679,nEVAL,"OR")=0))</f>
      </c>
      <c r="I9679">
        <f>IF(DATOS!$I9679="","",IFERROR(VLOOKUP(DATOS!$I9679,CONFIG_ASIGNATURAS!$B$2:$J$91,9,FALSE()),""))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IF(DATOS!$A9680="",0,IF(CONFIG_METADATA!$B$4&lt;&gt;"OR+EX",--(DATOS!$G9680=CONFIG_METADATA!$B$4),IF(DATOS!$G9680="EX",1,IF(DATOS!$G9680="OR",--(COUNTIFS(nNIA,DATOS!$A9680,nCURSO,DATOS!$D9680,nESPEC,DATOS!$E9680,nASIG,DATOS!$I9680,nEVAL,"EX")=0),0))))</f>
      </c>
      <c r="H9680">
        <f>IF(DATOS!$G9680&lt;&gt;"EX",0,--(COUNTIFS(nNIA,DATOS!$A9680,nCURSO,DATOS!$D9680,nESPEC,DATOS!$E9680,nASIG,DATOS!$I9680,nEVAL,"OR")=0))</f>
      </c>
      <c r="I9680">
        <f>IF(DATOS!$I9680="","",IFERROR(VLOOKUP(DATOS!$I9680,CONFIG_ASIGNATURAS!$B$2:$J$91,9,FALSE()),""))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IF(DATOS!$A9681="",0,IF(CONFIG_METADATA!$B$4&lt;&gt;"OR+EX",--(DATOS!$G9681=CONFIG_METADATA!$B$4),IF(DATOS!$G9681="EX",1,IF(DATOS!$G9681="OR",--(COUNTIFS(nNIA,DATOS!$A9681,nCURSO,DATOS!$D9681,nESPEC,DATOS!$E9681,nASIG,DATOS!$I9681,nEVAL,"EX")=0),0))))</f>
      </c>
      <c r="H9681">
        <f>IF(DATOS!$G9681&lt;&gt;"EX",0,--(COUNTIFS(nNIA,DATOS!$A9681,nCURSO,DATOS!$D9681,nESPEC,DATOS!$E9681,nASIG,DATOS!$I9681,nEVAL,"OR")=0))</f>
      </c>
      <c r="I9681">
        <f>IF(DATOS!$I9681="","",IFERROR(VLOOKUP(DATOS!$I9681,CONFIG_ASIGNATURAS!$B$2:$J$91,9,FALSE()),""))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IF(DATOS!$A9682="",0,IF(CONFIG_METADATA!$B$4&lt;&gt;"OR+EX",--(DATOS!$G9682=CONFIG_METADATA!$B$4),IF(DATOS!$G9682="EX",1,IF(DATOS!$G9682="OR",--(COUNTIFS(nNIA,DATOS!$A9682,nCURSO,DATOS!$D9682,nESPEC,DATOS!$E9682,nASIG,DATOS!$I9682,nEVAL,"EX")=0),0))))</f>
      </c>
      <c r="H9682">
        <f>IF(DATOS!$G9682&lt;&gt;"EX",0,--(COUNTIFS(nNIA,DATOS!$A9682,nCURSO,DATOS!$D9682,nESPEC,DATOS!$E9682,nASIG,DATOS!$I9682,nEVAL,"OR")=0))</f>
      </c>
      <c r="I9682">
        <f>IF(DATOS!$I9682="","",IFERROR(VLOOKUP(DATOS!$I9682,CONFIG_ASIGNATURAS!$B$2:$J$91,9,FALSE()),""))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IF(DATOS!$A9683="",0,IF(CONFIG_METADATA!$B$4&lt;&gt;"OR+EX",--(DATOS!$G9683=CONFIG_METADATA!$B$4),IF(DATOS!$G9683="EX",1,IF(DATOS!$G9683="OR",--(COUNTIFS(nNIA,DATOS!$A9683,nCURSO,DATOS!$D9683,nESPEC,DATOS!$E9683,nASIG,DATOS!$I9683,nEVAL,"EX")=0),0))))</f>
      </c>
      <c r="H9683">
        <f>IF(DATOS!$G9683&lt;&gt;"EX",0,--(COUNTIFS(nNIA,DATOS!$A9683,nCURSO,DATOS!$D9683,nESPEC,DATOS!$E9683,nASIG,DATOS!$I9683,nEVAL,"OR")=0))</f>
      </c>
      <c r="I9683">
        <f>IF(DATOS!$I9683="","",IFERROR(VLOOKUP(DATOS!$I9683,CONFIG_ASIGNATURAS!$B$2:$J$91,9,FALSE()),""))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IF(DATOS!$A9684="",0,IF(CONFIG_METADATA!$B$4&lt;&gt;"OR+EX",--(DATOS!$G9684=CONFIG_METADATA!$B$4),IF(DATOS!$G9684="EX",1,IF(DATOS!$G9684="OR",--(COUNTIFS(nNIA,DATOS!$A9684,nCURSO,DATOS!$D9684,nESPEC,DATOS!$E9684,nASIG,DATOS!$I9684,nEVAL,"EX")=0),0))))</f>
      </c>
      <c r="H9684">
        <f>IF(DATOS!$G9684&lt;&gt;"EX",0,--(COUNTIFS(nNIA,DATOS!$A9684,nCURSO,DATOS!$D9684,nESPEC,DATOS!$E9684,nASIG,DATOS!$I9684,nEVAL,"OR")=0))</f>
      </c>
      <c r="I9684">
        <f>IF(DATOS!$I9684="","",IFERROR(VLOOKUP(DATOS!$I9684,CONFIG_ASIGNATURAS!$B$2:$J$91,9,FALSE()),""))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IF(DATOS!$A9685="",0,IF(CONFIG_METADATA!$B$4&lt;&gt;"OR+EX",--(DATOS!$G9685=CONFIG_METADATA!$B$4),IF(DATOS!$G9685="EX",1,IF(DATOS!$G9685="OR",--(COUNTIFS(nNIA,DATOS!$A9685,nCURSO,DATOS!$D9685,nESPEC,DATOS!$E9685,nASIG,DATOS!$I9685,nEVAL,"EX")=0),0))))</f>
      </c>
      <c r="H9685">
        <f>IF(DATOS!$G9685&lt;&gt;"EX",0,--(COUNTIFS(nNIA,DATOS!$A9685,nCURSO,DATOS!$D9685,nESPEC,DATOS!$E9685,nASIG,DATOS!$I9685,nEVAL,"OR")=0))</f>
      </c>
      <c r="I9685">
        <f>IF(DATOS!$I9685="","",IFERROR(VLOOKUP(DATOS!$I9685,CONFIG_ASIGNATURAS!$B$2:$J$91,9,FALSE()),""))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IF(DATOS!$A9686="",0,IF(CONFIG_METADATA!$B$4&lt;&gt;"OR+EX",--(DATOS!$G9686=CONFIG_METADATA!$B$4),IF(DATOS!$G9686="EX",1,IF(DATOS!$G9686="OR",--(COUNTIFS(nNIA,DATOS!$A9686,nCURSO,DATOS!$D9686,nESPEC,DATOS!$E9686,nASIG,DATOS!$I9686,nEVAL,"EX")=0),0))))</f>
      </c>
      <c r="H9686">
        <f>IF(DATOS!$G9686&lt;&gt;"EX",0,--(COUNTIFS(nNIA,DATOS!$A9686,nCURSO,DATOS!$D9686,nESPEC,DATOS!$E9686,nASIG,DATOS!$I9686,nEVAL,"OR")=0))</f>
      </c>
      <c r="I9686">
        <f>IF(DATOS!$I9686="","",IFERROR(VLOOKUP(DATOS!$I9686,CONFIG_ASIGNATURAS!$B$2:$J$91,9,FALSE()),""))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IF(DATOS!$A9687="",0,IF(CONFIG_METADATA!$B$4&lt;&gt;"OR+EX",--(DATOS!$G9687=CONFIG_METADATA!$B$4),IF(DATOS!$G9687="EX",1,IF(DATOS!$G9687="OR",--(COUNTIFS(nNIA,DATOS!$A9687,nCURSO,DATOS!$D9687,nESPEC,DATOS!$E9687,nASIG,DATOS!$I9687,nEVAL,"EX")=0),0))))</f>
      </c>
      <c r="H9687">
        <f>IF(DATOS!$G9687&lt;&gt;"EX",0,--(COUNTIFS(nNIA,DATOS!$A9687,nCURSO,DATOS!$D9687,nESPEC,DATOS!$E9687,nASIG,DATOS!$I9687,nEVAL,"OR")=0))</f>
      </c>
      <c r="I9687">
        <f>IF(DATOS!$I9687="","",IFERROR(VLOOKUP(DATOS!$I9687,CONFIG_ASIGNATURAS!$B$2:$J$91,9,FALSE()),""))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IF(DATOS!$A9688="",0,IF(CONFIG_METADATA!$B$4&lt;&gt;"OR+EX",--(DATOS!$G9688=CONFIG_METADATA!$B$4),IF(DATOS!$G9688="EX",1,IF(DATOS!$G9688="OR",--(COUNTIFS(nNIA,DATOS!$A9688,nCURSO,DATOS!$D9688,nESPEC,DATOS!$E9688,nASIG,DATOS!$I9688,nEVAL,"EX")=0),0))))</f>
      </c>
      <c r="H9688">
        <f>IF(DATOS!$G9688&lt;&gt;"EX",0,--(COUNTIFS(nNIA,DATOS!$A9688,nCURSO,DATOS!$D9688,nESPEC,DATOS!$E9688,nASIG,DATOS!$I9688,nEVAL,"OR")=0))</f>
      </c>
      <c r="I9688">
        <f>IF(DATOS!$I9688="","",IFERROR(VLOOKUP(DATOS!$I9688,CONFIG_ASIGNATURAS!$B$2:$J$91,9,FALSE()),""))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IF(DATOS!$A9689="",0,IF(CONFIG_METADATA!$B$4&lt;&gt;"OR+EX",--(DATOS!$G9689=CONFIG_METADATA!$B$4),IF(DATOS!$G9689="EX",1,IF(DATOS!$G9689="OR",--(COUNTIFS(nNIA,DATOS!$A9689,nCURSO,DATOS!$D9689,nESPEC,DATOS!$E9689,nASIG,DATOS!$I9689,nEVAL,"EX")=0),0))))</f>
      </c>
      <c r="H9689">
        <f>IF(DATOS!$G9689&lt;&gt;"EX",0,--(COUNTIFS(nNIA,DATOS!$A9689,nCURSO,DATOS!$D9689,nESPEC,DATOS!$E9689,nASIG,DATOS!$I9689,nEVAL,"OR")=0))</f>
      </c>
      <c r="I9689">
        <f>IF(DATOS!$I9689="","",IFERROR(VLOOKUP(DATOS!$I9689,CONFIG_ASIGNATURAS!$B$2:$J$91,9,FALSE()),""))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IF(DATOS!$A9690="",0,IF(CONFIG_METADATA!$B$4&lt;&gt;"OR+EX",--(DATOS!$G9690=CONFIG_METADATA!$B$4),IF(DATOS!$G9690="EX",1,IF(DATOS!$G9690="OR",--(COUNTIFS(nNIA,DATOS!$A9690,nCURSO,DATOS!$D9690,nESPEC,DATOS!$E9690,nASIG,DATOS!$I9690,nEVAL,"EX")=0),0))))</f>
      </c>
      <c r="H9690">
        <f>IF(DATOS!$G9690&lt;&gt;"EX",0,--(COUNTIFS(nNIA,DATOS!$A9690,nCURSO,DATOS!$D9690,nESPEC,DATOS!$E9690,nASIG,DATOS!$I9690,nEVAL,"OR")=0))</f>
      </c>
      <c r="I9690">
        <f>IF(DATOS!$I9690="","",IFERROR(VLOOKUP(DATOS!$I9690,CONFIG_ASIGNATURAS!$B$2:$J$91,9,FALSE()),""))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IF(DATOS!$A9691="",0,IF(CONFIG_METADATA!$B$4&lt;&gt;"OR+EX",--(DATOS!$G9691=CONFIG_METADATA!$B$4),IF(DATOS!$G9691="EX",1,IF(DATOS!$G9691="OR",--(COUNTIFS(nNIA,DATOS!$A9691,nCURSO,DATOS!$D9691,nESPEC,DATOS!$E9691,nASIG,DATOS!$I9691,nEVAL,"EX")=0),0))))</f>
      </c>
      <c r="H9691">
        <f>IF(DATOS!$G9691&lt;&gt;"EX",0,--(COUNTIFS(nNIA,DATOS!$A9691,nCURSO,DATOS!$D9691,nESPEC,DATOS!$E9691,nASIG,DATOS!$I9691,nEVAL,"OR")=0))</f>
      </c>
      <c r="I9691">
        <f>IF(DATOS!$I9691="","",IFERROR(VLOOKUP(DATOS!$I9691,CONFIG_ASIGNATURAS!$B$2:$J$91,9,FALSE()),""))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IF(DATOS!$A9692="",0,IF(CONFIG_METADATA!$B$4&lt;&gt;"OR+EX",--(DATOS!$G9692=CONFIG_METADATA!$B$4),IF(DATOS!$G9692="EX",1,IF(DATOS!$G9692="OR",--(COUNTIFS(nNIA,DATOS!$A9692,nCURSO,DATOS!$D9692,nESPEC,DATOS!$E9692,nASIG,DATOS!$I9692,nEVAL,"EX")=0),0))))</f>
      </c>
      <c r="H9692">
        <f>IF(DATOS!$G9692&lt;&gt;"EX",0,--(COUNTIFS(nNIA,DATOS!$A9692,nCURSO,DATOS!$D9692,nESPEC,DATOS!$E9692,nASIG,DATOS!$I9692,nEVAL,"OR")=0))</f>
      </c>
      <c r="I9692">
        <f>IF(DATOS!$I9692="","",IFERROR(VLOOKUP(DATOS!$I9692,CONFIG_ASIGNATURAS!$B$2:$J$91,9,FALSE()),""))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IF(DATOS!$A9693="",0,IF(CONFIG_METADATA!$B$4&lt;&gt;"OR+EX",--(DATOS!$G9693=CONFIG_METADATA!$B$4),IF(DATOS!$G9693="EX",1,IF(DATOS!$G9693="OR",--(COUNTIFS(nNIA,DATOS!$A9693,nCURSO,DATOS!$D9693,nESPEC,DATOS!$E9693,nASIG,DATOS!$I9693,nEVAL,"EX")=0),0))))</f>
      </c>
      <c r="H9693">
        <f>IF(DATOS!$G9693&lt;&gt;"EX",0,--(COUNTIFS(nNIA,DATOS!$A9693,nCURSO,DATOS!$D9693,nESPEC,DATOS!$E9693,nASIG,DATOS!$I9693,nEVAL,"OR")=0))</f>
      </c>
      <c r="I9693">
        <f>IF(DATOS!$I9693="","",IFERROR(VLOOKUP(DATOS!$I9693,CONFIG_ASIGNATURAS!$B$2:$J$91,9,FALSE()),""))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IF(DATOS!$A9694="",0,IF(CONFIG_METADATA!$B$4&lt;&gt;"OR+EX",--(DATOS!$G9694=CONFIG_METADATA!$B$4),IF(DATOS!$G9694="EX",1,IF(DATOS!$G9694="OR",--(COUNTIFS(nNIA,DATOS!$A9694,nCURSO,DATOS!$D9694,nESPEC,DATOS!$E9694,nASIG,DATOS!$I9694,nEVAL,"EX")=0),0))))</f>
      </c>
      <c r="H9694">
        <f>IF(DATOS!$G9694&lt;&gt;"EX",0,--(COUNTIFS(nNIA,DATOS!$A9694,nCURSO,DATOS!$D9694,nESPEC,DATOS!$E9694,nASIG,DATOS!$I9694,nEVAL,"OR")=0))</f>
      </c>
      <c r="I9694">
        <f>IF(DATOS!$I9694="","",IFERROR(VLOOKUP(DATOS!$I9694,CONFIG_ASIGNATURAS!$B$2:$J$91,9,FALSE()),""))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IF(DATOS!$A9695="",0,IF(CONFIG_METADATA!$B$4&lt;&gt;"OR+EX",--(DATOS!$G9695=CONFIG_METADATA!$B$4),IF(DATOS!$G9695="EX",1,IF(DATOS!$G9695="OR",--(COUNTIFS(nNIA,DATOS!$A9695,nCURSO,DATOS!$D9695,nESPEC,DATOS!$E9695,nASIG,DATOS!$I9695,nEVAL,"EX")=0),0))))</f>
      </c>
      <c r="H9695">
        <f>IF(DATOS!$G9695&lt;&gt;"EX",0,--(COUNTIFS(nNIA,DATOS!$A9695,nCURSO,DATOS!$D9695,nESPEC,DATOS!$E9695,nASIG,DATOS!$I9695,nEVAL,"OR")=0))</f>
      </c>
      <c r="I9695">
        <f>IF(DATOS!$I9695="","",IFERROR(VLOOKUP(DATOS!$I9695,CONFIG_ASIGNATURAS!$B$2:$J$91,9,FALSE()),""))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IF(DATOS!$A9696="",0,IF(CONFIG_METADATA!$B$4&lt;&gt;"OR+EX",--(DATOS!$G9696=CONFIG_METADATA!$B$4),IF(DATOS!$G9696="EX",1,IF(DATOS!$G9696="OR",--(COUNTIFS(nNIA,DATOS!$A9696,nCURSO,DATOS!$D9696,nESPEC,DATOS!$E9696,nASIG,DATOS!$I9696,nEVAL,"EX")=0),0))))</f>
      </c>
      <c r="H9696">
        <f>IF(DATOS!$G9696&lt;&gt;"EX",0,--(COUNTIFS(nNIA,DATOS!$A9696,nCURSO,DATOS!$D9696,nESPEC,DATOS!$E9696,nASIG,DATOS!$I9696,nEVAL,"OR")=0))</f>
      </c>
      <c r="I9696">
        <f>IF(DATOS!$I9696="","",IFERROR(VLOOKUP(DATOS!$I9696,CONFIG_ASIGNATURAS!$B$2:$J$91,9,FALSE()),""))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IF(DATOS!$A9697="",0,IF(CONFIG_METADATA!$B$4&lt;&gt;"OR+EX",--(DATOS!$G9697=CONFIG_METADATA!$B$4),IF(DATOS!$G9697="EX",1,IF(DATOS!$G9697="OR",--(COUNTIFS(nNIA,DATOS!$A9697,nCURSO,DATOS!$D9697,nESPEC,DATOS!$E9697,nASIG,DATOS!$I9697,nEVAL,"EX")=0),0))))</f>
      </c>
      <c r="H9697">
        <f>IF(DATOS!$G9697&lt;&gt;"EX",0,--(COUNTIFS(nNIA,DATOS!$A9697,nCURSO,DATOS!$D9697,nESPEC,DATOS!$E9697,nASIG,DATOS!$I9697,nEVAL,"OR")=0))</f>
      </c>
      <c r="I9697">
        <f>IF(DATOS!$I9697="","",IFERROR(VLOOKUP(DATOS!$I9697,CONFIG_ASIGNATURAS!$B$2:$J$91,9,FALSE()),""))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IF(DATOS!$A9698="",0,IF(CONFIG_METADATA!$B$4&lt;&gt;"OR+EX",--(DATOS!$G9698=CONFIG_METADATA!$B$4),IF(DATOS!$G9698="EX",1,IF(DATOS!$G9698="OR",--(COUNTIFS(nNIA,DATOS!$A9698,nCURSO,DATOS!$D9698,nESPEC,DATOS!$E9698,nASIG,DATOS!$I9698,nEVAL,"EX")=0),0))))</f>
      </c>
      <c r="H9698">
        <f>IF(DATOS!$G9698&lt;&gt;"EX",0,--(COUNTIFS(nNIA,DATOS!$A9698,nCURSO,DATOS!$D9698,nESPEC,DATOS!$E9698,nASIG,DATOS!$I9698,nEVAL,"OR")=0))</f>
      </c>
      <c r="I9698">
        <f>IF(DATOS!$I9698="","",IFERROR(VLOOKUP(DATOS!$I9698,CONFIG_ASIGNATURAS!$B$2:$J$91,9,FALSE()),""))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IF(DATOS!$A9699="",0,IF(CONFIG_METADATA!$B$4&lt;&gt;"OR+EX",--(DATOS!$G9699=CONFIG_METADATA!$B$4),IF(DATOS!$G9699="EX",1,IF(DATOS!$G9699="OR",--(COUNTIFS(nNIA,DATOS!$A9699,nCURSO,DATOS!$D9699,nESPEC,DATOS!$E9699,nASIG,DATOS!$I9699,nEVAL,"EX")=0),0))))</f>
      </c>
      <c r="H9699">
        <f>IF(DATOS!$G9699&lt;&gt;"EX",0,--(COUNTIFS(nNIA,DATOS!$A9699,nCURSO,DATOS!$D9699,nESPEC,DATOS!$E9699,nASIG,DATOS!$I9699,nEVAL,"OR")=0))</f>
      </c>
      <c r="I9699">
        <f>IF(DATOS!$I9699="","",IFERROR(VLOOKUP(DATOS!$I9699,CONFIG_ASIGNATURAS!$B$2:$J$91,9,FALSE()),""))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IF(DATOS!$A9700="",0,IF(CONFIG_METADATA!$B$4&lt;&gt;"OR+EX",--(DATOS!$G9700=CONFIG_METADATA!$B$4),IF(DATOS!$G9700="EX",1,IF(DATOS!$G9700="OR",--(COUNTIFS(nNIA,DATOS!$A9700,nCURSO,DATOS!$D9700,nESPEC,DATOS!$E9700,nASIG,DATOS!$I9700,nEVAL,"EX")=0),0))))</f>
      </c>
      <c r="H9700">
        <f>IF(DATOS!$G9700&lt;&gt;"EX",0,--(COUNTIFS(nNIA,DATOS!$A9700,nCURSO,DATOS!$D9700,nESPEC,DATOS!$E9700,nASIG,DATOS!$I9700,nEVAL,"OR")=0))</f>
      </c>
      <c r="I9700">
        <f>IF(DATOS!$I9700="","",IFERROR(VLOOKUP(DATOS!$I9700,CONFIG_ASIGNATURAS!$B$2:$J$91,9,FALSE()),""))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IF(DATOS!$A9701="",0,IF(CONFIG_METADATA!$B$4&lt;&gt;"OR+EX",--(DATOS!$G9701=CONFIG_METADATA!$B$4),IF(DATOS!$G9701="EX",1,IF(DATOS!$G9701="OR",--(COUNTIFS(nNIA,DATOS!$A9701,nCURSO,DATOS!$D9701,nESPEC,DATOS!$E9701,nASIG,DATOS!$I9701,nEVAL,"EX")=0),0))))</f>
      </c>
      <c r="H9701">
        <f>IF(DATOS!$G9701&lt;&gt;"EX",0,--(COUNTIFS(nNIA,DATOS!$A9701,nCURSO,DATOS!$D9701,nESPEC,DATOS!$E9701,nASIG,DATOS!$I9701,nEVAL,"OR")=0))</f>
      </c>
      <c r="I9701">
        <f>IF(DATOS!$I9701="","",IFERROR(VLOOKUP(DATOS!$I9701,CONFIG_ASIGNATURAS!$B$2:$J$91,9,FALSE()),""))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IF(DATOS!$A9702="",0,IF(CONFIG_METADATA!$B$4&lt;&gt;"OR+EX",--(DATOS!$G9702=CONFIG_METADATA!$B$4),IF(DATOS!$G9702="EX",1,IF(DATOS!$G9702="OR",--(COUNTIFS(nNIA,DATOS!$A9702,nCURSO,DATOS!$D9702,nESPEC,DATOS!$E9702,nASIG,DATOS!$I9702,nEVAL,"EX")=0),0))))</f>
      </c>
      <c r="H9702">
        <f>IF(DATOS!$G9702&lt;&gt;"EX",0,--(COUNTIFS(nNIA,DATOS!$A9702,nCURSO,DATOS!$D9702,nESPEC,DATOS!$E9702,nASIG,DATOS!$I9702,nEVAL,"OR")=0))</f>
      </c>
      <c r="I9702">
        <f>IF(DATOS!$I9702="","",IFERROR(VLOOKUP(DATOS!$I9702,CONFIG_ASIGNATURAS!$B$2:$J$91,9,FALSE()),""))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IF(DATOS!$A9703="",0,IF(CONFIG_METADATA!$B$4&lt;&gt;"OR+EX",--(DATOS!$G9703=CONFIG_METADATA!$B$4),IF(DATOS!$G9703="EX",1,IF(DATOS!$G9703="OR",--(COUNTIFS(nNIA,DATOS!$A9703,nCURSO,DATOS!$D9703,nESPEC,DATOS!$E9703,nASIG,DATOS!$I9703,nEVAL,"EX")=0),0))))</f>
      </c>
      <c r="H9703">
        <f>IF(DATOS!$G9703&lt;&gt;"EX",0,--(COUNTIFS(nNIA,DATOS!$A9703,nCURSO,DATOS!$D9703,nESPEC,DATOS!$E9703,nASIG,DATOS!$I9703,nEVAL,"OR")=0))</f>
      </c>
      <c r="I9703">
        <f>IF(DATOS!$I9703="","",IFERROR(VLOOKUP(DATOS!$I9703,CONFIG_ASIGNATURAS!$B$2:$J$91,9,FALSE()),""))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IF(DATOS!$A9704="",0,IF(CONFIG_METADATA!$B$4&lt;&gt;"OR+EX",--(DATOS!$G9704=CONFIG_METADATA!$B$4),IF(DATOS!$G9704="EX",1,IF(DATOS!$G9704="OR",--(COUNTIFS(nNIA,DATOS!$A9704,nCURSO,DATOS!$D9704,nESPEC,DATOS!$E9704,nASIG,DATOS!$I9704,nEVAL,"EX")=0),0))))</f>
      </c>
      <c r="H9704">
        <f>IF(DATOS!$G9704&lt;&gt;"EX",0,--(COUNTIFS(nNIA,DATOS!$A9704,nCURSO,DATOS!$D9704,nESPEC,DATOS!$E9704,nASIG,DATOS!$I9704,nEVAL,"OR")=0))</f>
      </c>
      <c r="I9704">
        <f>IF(DATOS!$I9704="","",IFERROR(VLOOKUP(DATOS!$I9704,CONFIG_ASIGNATURAS!$B$2:$J$91,9,FALSE()),""))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IF(DATOS!$A9705="",0,IF(CONFIG_METADATA!$B$4&lt;&gt;"OR+EX",--(DATOS!$G9705=CONFIG_METADATA!$B$4),IF(DATOS!$G9705="EX",1,IF(DATOS!$G9705="OR",--(COUNTIFS(nNIA,DATOS!$A9705,nCURSO,DATOS!$D9705,nESPEC,DATOS!$E9705,nASIG,DATOS!$I9705,nEVAL,"EX")=0),0))))</f>
      </c>
      <c r="H9705">
        <f>IF(DATOS!$G9705&lt;&gt;"EX",0,--(COUNTIFS(nNIA,DATOS!$A9705,nCURSO,DATOS!$D9705,nESPEC,DATOS!$E9705,nASIG,DATOS!$I9705,nEVAL,"OR")=0))</f>
      </c>
      <c r="I9705">
        <f>IF(DATOS!$I9705="","",IFERROR(VLOOKUP(DATOS!$I9705,CONFIG_ASIGNATURAS!$B$2:$J$91,9,FALSE()),""))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IF(DATOS!$A9706="",0,IF(CONFIG_METADATA!$B$4&lt;&gt;"OR+EX",--(DATOS!$G9706=CONFIG_METADATA!$B$4),IF(DATOS!$G9706="EX",1,IF(DATOS!$G9706="OR",--(COUNTIFS(nNIA,DATOS!$A9706,nCURSO,DATOS!$D9706,nESPEC,DATOS!$E9706,nASIG,DATOS!$I9706,nEVAL,"EX")=0),0))))</f>
      </c>
      <c r="H9706">
        <f>IF(DATOS!$G9706&lt;&gt;"EX",0,--(COUNTIFS(nNIA,DATOS!$A9706,nCURSO,DATOS!$D9706,nESPEC,DATOS!$E9706,nASIG,DATOS!$I9706,nEVAL,"OR")=0))</f>
      </c>
      <c r="I9706">
        <f>IF(DATOS!$I9706="","",IFERROR(VLOOKUP(DATOS!$I9706,CONFIG_ASIGNATURAS!$B$2:$J$91,9,FALSE()),""))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IF(DATOS!$A9707="",0,IF(CONFIG_METADATA!$B$4&lt;&gt;"OR+EX",--(DATOS!$G9707=CONFIG_METADATA!$B$4),IF(DATOS!$G9707="EX",1,IF(DATOS!$G9707="OR",--(COUNTIFS(nNIA,DATOS!$A9707,nCURSO,DATOS!$D9707,nESPEC,DATOS!$E9707,nASIG,DATOS!$I9707,nEVAL,"EX")=0),0))))</f>
      </c>
      <c r="H9707">
        <f>IF(DATOS!$G9707&lt;&gt;"EX",0,--(COUNTIFS(nNIA,DATOS!$A9707,nCURSO,DATOS!$D9707,nESPEC,DATOS!$E9707,nASIG,DATOS!$I9707,nEVAL,"OR")=0))</f>
      </c>
      <c r="I9707">
        <f>IF(DATOS!$I9707="","",IFERROR(VLOOKUP(DATOS!$I9707,CONFIG_ASIGNATURAS!$B$2:$J$91,9,FALSE()),""))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IF(DATOS!$A9708="",0,IF(CONFIG_METADATA!$B$4&lt;&gt;"OR+EX",--(DATOS!$G9708=CONFIG_METADATA!$B$4),IF(DATOS!$G9708="EX",1,IF(DATOS!$G9708="OR",--(COUNTIFS(nNIA,DATOS!$A9708,nCURSO,DATOS!$D9708,nESPEC,DATOS!$E9708,nASIG,DATOS!$I9708,nEVAL,"EX")=0),0))))</f>
      </c>
      <c r="H9708">
        <f>IF(DATOS!$G9708&lt;&gt;"EX",0,--(COUNTIFS(nNIA,DATOS!$A9708,nCURSO,DATOS!$D9708,nESPEC,DATOS!$E9708,nASIG,DATOS!$I9708,nEVAL,"OR")=0))</f>
      </c>
      <c r="I9708">
        <f>IF(DATOS!$I9708="","",IFERROR(VLOOKUP(DATOS!$I9708,CONFIG_ASIGNATURAS!$B$2:$J$91,9,FALSE()),""))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IF(DATOS!$A9709="",0,IF(CONFIG_METADATA!$B$4&lt;&gt;"OR+EX",--(DATOS!$G9709=CONFIG_METADATA!$B$4),IF(DATOS!$G9709="EX",1,IF(DATOS!$G9709="OR",--(COUNTIFS(nNIA,DATOS!$A9709,nCURSO,DATOS!$D9709,nESPEC,DATOS!$E9709,nASIG,DATOS!$I9709,nEVAL,"EX")=0),0))))</f>
      </c>
      <c r="H9709">
        <f>IF(DATOS!$G9709&lt;&gt;"EX",0,--(COUNTIFS(nNIA,DATOS!$A9709,nCURSO,DATOS!$D9709,nESPEC,DATOS!$E9709,nASIG,DATOS!$I9709,nEVAL,"OR")=0))</f>
      </c>
      <c r="I9709">
        <f>IF(DATOS!$I9709="","",IFERROR(VLOOKUP(DATOS!$I9709,CONFIG_ASIGNATURAS!$B$2:$J$91,9,FALSE()),""))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IF(DATOS!$A9710="",0,IF(CONFIG_METADATA!$B$4&lt;&gt;"OR+EX",--(DATOS!$G9710=CONFIG_METADATA!$B$4),IF(DATOS!$G9710="EX",1,IF(DATOS!$G9710="OR",--(COUNTIFS(nNIA,DATOS!$A9710,nCURSO,DATOS!$D9710,nESPEC,DATOS!$E9710,nASIG,DATOS!$I9710,nEVAL,"EX")=0),0))))</f>
      </c>
      <c r="H9710">
        <f>IF(DATOS!$G9710&lt;&gt;"EX",0,--(COUNTIFS(nNIA,DATOS!$A9710,nCURSO,DATOS!$D9710,nESPEC,DATOS!$E9710,nASIG,DATOS!$I9710,nEVAL,"OR")=0))</f>
      </c>
      <c r="I9710">
        <f>IF(DATOS!$I9710="","",IFERROR(VLOOKUP(DATOS!$I9710,CONFIG_ASIGNATURAS!$B$2:$J$91,9,FALSE()),""))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IF(DATOS!$A9711="",0,IF(CONFIG_METADATA!$B$4&lt;&gt;"OR+EX",--(DATOS!$G9711=CONFIG_METADATA!$B$4),IF(DATOS!$G9711="EX",1,IF(DATOS!$G9711="OR",--(COUNTIFS(nNIA,DATOS!$A9711,nCURSO,DATOS!$D9711,nESPEC,DATOS!$E9711,nASIG,DATOS!$I9711,nEVAL,"EX")=0),0))))</f>
      </c>
      <c r="H9711">
        <f>IF(DATOS!$G9711&lt;&gt;"EX",0,--(COUNTIFS(nNIA,DATOS!$A9711,nCURSO,DATOS!$D9711,nESPEC,DATOS!$E9711,nASIG,DATOS!$I9711,nEVAL,"OR")=0))</f>
      </c>
      <c r="I9711">
        <f>IF(DATOS!$I9711="","",IFERROR(VLOOKUP(DATOS!$I9711,CONFIG_ASIGNATURAS!$B$2:$J$91,9,FALSE()),""))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IF(DATOS!$A9712="",0,IF(CONFIG_METADATA!$B$4&lt;&gt;"OR+EX",--(DATOS!$G9712=CONFIG_METADATA!$B$4),IF(DATOS!$G9712="EX",1,IF(DATOS!$G9712="OR",--(COUNTIFS(nNIA,DATOS!$A9712,nCURSO,DATOS!$D9712,nESPEC,DATOS!$E9712,nASIG,DATOS!$I9712,nEVAL,"EX")=0),0))))</f>
      </c>
      <c r="H9712">
        <f>IF(DATOS!$G9712&lt;&gt;"EX",0,--(COUNTIFS(nNIA,DATOS!$A9712,nCURSO,DATOS!$D9712,nESPEC,DATOS!$E9712,nASIG,DATOS!$I9712,nEVAL,"OR")=0))</f>
      </c>
      <c r="I9712">
        <f>IF(DATOS!$I9712="","",IFERROR(VLOOKUP(DATOS!$I9712,CONFIG_ASIGNATURAS!$B$2:$J$91,9,FALSE()),""))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IF(DATOS!$A9713="",0,IF(CONFIG_METADATA!$B$4&lt;&gt;"OR+EX",--(DATOS!$G9713=CONFIG_METADATA!$B$4),IF(DATOS!$G9713="EX",1,IF(DATOS!$G9713="OR",--(COUNTIFS(nNIA,DATOS!$A9713,nCURSO,DATOS!$D9713,nESPEC,DATOS!$E9713,nASIG,DATOS!$I9713,nEVAL,"EX")=0),0))))</f>
      </c>
      <c r="H9713">
        <f>IF(DATOS!$G9713&lt;&gt;"EX",0,--(COUNTIFS(nNIA,DATOS!$A9713,nCURSO,DATOS!$D9713,nESPEC,DATOS!$E9713,nASIG,DATOS!$I9713,nEVAL,"OR")=0))</f>
      </c>
      <c r="I9713">
        <f>IF(DATOS!$I9713="","",IFERROR(VLOOKUP(DATOS!$I9713,CONFIG_ASIGNATURAS!$B$2:$J$91,9,FALSE()),""))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IF(DATOS!$A9714="",0,IF(CONFIG_METADATA!$B$4&lt;&gt;"OR+EX",--(DATOS!$G9714=CONFIG_METADATA!$B$4),IF(DATOS!$G9714="EX",1,IF(DATOS!$G9714="OR",--(COUNTIFS(nNIA,DATOS!$A9714,nCURSO,DATOS!$D9714,nESPEC,DATOS!$E9714,nASIG,DATOS!$I9714,nEVAL,"EX")=0),0))))</f>
      </c>
      <c r="H9714">
        <f>IF(DATOS!$G9714&lt;&gt;"EX",0,--(COUNTIFS(nNIA,DATOS!$A9714,nCURSO,DATOS!$D9714,nESPEC,DATOS!$E9714,nASIG,DATOS!$I9714,nEVAL,"OR")=0))</f>
      </c>
      <c r="I9714">
        <f>IF(DATOS!$I9714="","",IFERROR(VLOOKUP(DATOS!$I9714,CONFIG_ASIGNATURAS!$B$2:$J$91,9,FALSE()),""))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IF(DATOS!$A9715="",0,IF(CONFIG_METADATA!$B$4&lt;&gt;"OR+EX",--(DATOS!$G9715=CONFIG_METADATA!$B$4),IF(DATOS!$G9715="EX",1,IF(DATOS!$G9715="OR",--(COUNTIFS(nNIA,DATOS!$A9715,nCURSO,DATOS!$D9715,nESPEC,DATOS!$E9715,nASIG,DATOS!$I9715,nEVAL,"EX")=0),0))))</f>
      </c>
      <c r="H9715">
        <f>IF(DATOS!$G9715&lt;&gt;"EX",0,--(COUNTIFS(nNIA,DATOS!$A9715,nCURSO,DATOS!$D9715,nESPEC,DATOS!$E9715,nASIG,DATOS!$I9715,nEVAL,"OR")=0))</f>
      </c>
      <c r="I9715">
        <f>IF(DATOS!$I9715="","",IFERROR(VLOOKUP(DATOS!$I9715,CONFIG_ASIGNATURAS!$B$2:$J$91,9,FALSE()),""))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IF(DATOS!$A9716="",0,IF(CONFIG_METADATA!$B$4&lt;&gt;"OR+EX",--(DATOS!$G9716=CONFIG_METADATA!$B$4),IF(DATOS!$G9716="EX",1,IF(DATOS!$G9716="OR",--(COUNTIFS(nNIA,DATOS!$A9716,nCURSO,DATOS!$D9716,nESPEC,DATOS!$E9716,nASIG,DATOS!$I9716,nEVAL,"EX")=0),0))))</f>
      </c>
      <c r="H9716">
        <f>IF(DATOS!$G9716&lt;&gt;"EX",0,--(COUNTIFS(nNIA,DATOS!$A9716,nCURSO,DATOS!$D9716,nESPEC,DATOS!$E9716,nASIG,DATOS!$I9716,nEVAL,"OR")=0))</f>
      </c>
      <c r="I9716">
        <f>IF(DATOS!$I9716="","",IFERROR(VLOOKUP(DATOS!$I9716,CONFIG_ASIGNATURAS!$B$2:$J$91,9,FALSE()),""))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IF(DATOS!$A9717="",0,IF(CONFIG_METADATA!$B$4&lt;&gt;"OR+EX",--(DATOS!$G9717=CONFIG_METADATA!$B$4),IF(DATOS!$G9717="EX",1,IF(DATOS!$G9717="OR",--(COUNTIFS(nNIA,DATOS!$A9717,nCURSO,DATOS!$D9717,nESPEC,DATOS!$E9717,nASIG,DATOS!$I9717,nEVAL,"EX")=0),0))))</f>
      </c>
      <c r="H9717">
        <f>IF(DATOS!$G9717&lt;&gt;"EX",0,--(COUNTIFS(nNIA,DATOS!$A9717,nCURSO,DATOS!$D9717,nESPEC,DATOS!$E9717,nASIG,DATOS!$I9717,nEVAL,"OR")=0))</f>
      </c>
      <c r="I9717">
        <f>IF(DATOS!$I9717="","",IFERROR(VLOOKUP(DATOS!$I9717,CONFIG_ASIGNATURAS!$B$2:$J$91,9,FALSE()),""))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IF(DATOS!$A9718="",0,IF(CONFIG_METADATA!$B$4&lt;&gt;"OR+EX",--(DATOS!$G9718=CONFIG_METADATA!$B$4),IF(DATOS!$G9718="EX",1,IF(DATOS!$G9718="OR",--(COUNTIFS(nNIA,DATOS!$A9718,nCURSO,DATOS!$D9718,nESPEC,DATOS!$E9718,nASIG,DATOS!$I9718,nEVAL,"EX")=0),0))))</f>
      </c>
      <c r="H9718">
        <f>IF(DATOS!$G9718&lt;&gt;"EX",0,--(COUNTIFS(nNIA,DATOS!$A9718,nCURSO,DATOS!$D9718,nESPEC,DATOS!$E9718,nASIG,DATOS!$I9718,nEVAL,"OR")=0))</f>
      </c>
      <c r="I9718">
        <f>IF(DATOS!$I9718="","",IFERROR(VLOOKUP(DATOS!$I9718,CONFIG_ASIGNATURAS!$B$2:$J$91,9,FALSE()),""))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IF(DATOS!$A9719="",0,IF(CONFIG_METADATA!$B$4&lt;&gt;"OR+EX",--(DATOS!$G9719=CONFIG_METADATA!$B$4),IF(DATOS!$G9719="EX",1,IF(DATOS!$G9719="OR",--(COUNTIFS(nNIA,DATOS!$A9719,nCURSO,DATOS!$D9719,nESPEC,DATOS!$E9719,nASIG,DATOS!$I9719,nEVAL,"EX")=0),0))))</f>
      </c>
      <c r="H9719">
        <f>IF(DATOS!$G9719&lt;&gt;"EX",0,--(COUNTIFS(nNIA,DATOS!$A9719,nCURSO,DATOS!$D9719,nESPEC,DATOS!$E9719,nASIG,DATOS!$I9719,nEVAL,"OR")=0))</f>
      </c>
      <c r="I9719">
        <f>IF(DATOS!$I9719="","",IFERROR(VLOOKUP(DATOS!$I9719,CONFIG_ASIGNATURAS!$B$2:$J$91,9,FALSE()),""))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IF(DATOS!$A9720="",0,IF(CONFIG_METADATA!$B$4&lt;&gt;"OR+EX",--(DATOS!$G9720=CONFIG_METADATA!$B$4),IF(DATOS!$G9720="EX",1,IF(DATOS!$G9720="OR",--(COUNTIFS(nNIA,DATOS!$A9720,nCURSO,DATOS!$D9720,nESPEC,DATOS!$E9720,nASIG,DATOS!$I9720,nEVAL,"EX")=0),0))))</f>
      </c>
      <c r="H9720">
        <f>IF(DATOS!$G9720&lt;&gt;"EX",0,--(COUNTIFS(nNIA,DATOS!$A9720,nCURSO,DATOS!$D9720,nESPEC,DATOS!$E9720,nASIG,DATOS!$I9720,nEVAL,"OR")=0))</f>
      </c>
      <c r="I9720">
        <f>IF(DATOS!$I9720="","",IFERROR(VLOOKUP(DATOS!$I9720,CONFIG_ASIGNATURAS!$B$2:$J$91,9,FALSE()),""))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IF(DATOS!$A9721="",0,IF(CONFIG_METADATA!$B$4&lt;&gt;"OR+EX",--(DATOS!$G9721=CONFIG_METADATA!$B$4),IF(DATOS!$G9721="EX",1,IF(DATOS!$G9721="OR",--(COUNTIFS(nNIA,DATOS!$A9721,nCURSO,DATOS!$D9721,nESPEC,DATOS!$E9721,nASIG,DATOS!$I9721,nEVAL,"EX")=0),0))))</f>
      </c>
      <c r="H9721">
        <f>IF(DATOS!$G9721&lt;&gt;"EX",0,--(COUNTIFS(nNIA,DATOS!$A9721,nCURSO,DATOS!$D9721,nESPEC,DATOS!$E9721,nASIG,DATOS!$I9721,nEVAL,"OR")=0))</f>
      </c>
      <c r="I9721">
        <f>IF(DATOS!$I9721="","",IFERROR(VLOOKUP(DATOS!$I9721,CONFIG_ASIGNATURAS!$B$2:$J$91,9,FALSE()),""))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IF(DATOS!$A9722="",0,IF(CONFIG_METADATA!$B$4&lt;&gt;"OR+EX",--(DATOS!$G9722=CONFIG_METADATA!$B$4),IF(DATOS!$G9722="EX",1,IF(DATOS!$G9722="OR",--(COUNTIFS(nNIA,DATOS!$A9722,nCURSO,DATOS!$D9722,nESPEC,DATOS!$E9722,nASIG,DATOS!$I9722,nEVAL,"EX")=0),0))))</f>
      </c>
      <c r="H9722">
        <f>IF(DATOS!$G9722&lt;&gt;"EX",0,--(COUNTIFS(nNIA,DATOS!$A9722,nCURSO,DATOS!$D9722,nESPEC,DATOS!$E9722,nASIG,DATOS!$I9722,nEVAL,"OR")=0))</f>
      </c>
      <c r="I9722">
        <f>IF(DATOS!$I9722="","",IFERROR(VLOOKUP(DATOS!$I9722,CONFIG_ASIGNATURAS!$B$2:$J$91,9,FALSE()),""))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IF(DATOS!$A9723="",0,IF(CONFIG_METADATA!$B$4&lt;&gt;"OR+EX",--(DATOS!$G9723=CONFIG_METADATA!$B$4),IF(DATOS!$G9723="EX",1,IF(DATOS!$G9723="OR",--(COUNTIFS(nNIA,DATOS!$A9723,nCURSO,DATOS!$D9723,nESPEC,DATOS!$E9723,nASIG,DATOS!$I9723,nEVAL,"EX")=0),0))))</f>
      </c>
      <c r="H9723">
        <f>IF(DATOS!$G9723&lt;&gt;"EX",0,--(COUNTIFS(nNIA,DATOS!$A9723,nCURSO,DATOS!$D9723,nESPEC,DATOS!$E9723,nASIG,DATOS!$I9723,nEVAL,"OR")=0))</f>
      </c>
      <c r="I9723">
        <f>IF(DATOS!$I9723="","",IFERROR(VLOOKUP(DATOS!$I9723,CONFIG_ASIGNATURAS!$B$2:$J$91,9,FALSE()),""))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IF(DATOS!$A9724="",0,IF(CONFIG_METADATA!$B$4&lt;&gt;"OR+EX",--(DATOS!$G9724=CONFIG_METADATA!$B$4),IF(DATOS!$G9724="EX",1,IF(DATOS!$G9724="OR",--(COUNTIFS(nNIA,DATOS!$A9724,nCURSO,DATOS!$D9724,nESPEC,DATOS!$E9724,nASIG,DATOS!$I9724,nEVAL,"EX")=0),0))))</f>
      </c>
      <c r="H9724">
        <f>IF(DATOS!$G9724&lt;&gt;"EX",0,--(COUNTIFS(nNIA,DATOS!$A9724,nCURSO,DATOS!$D9724,nESPEC,DATOS!$E9724,nASIG,DATOS!$I9724,nEVAL,"OR")=0))</f>
      </c>
      <c r="I9724">
        <f>IF(DATOS!$I9724="","",IFERROR(VLOOKUP(DATOS!$I9724,CONFIG_ASIGNATURAS!$B$2:$J$91,9,FALSE()),""))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IF(DATOS!$A9725="",0,IF(CONFIG_METADATA!$B$4&lt;&gt;"OR+EX",--(DATOS!$G9725=CONFIG_METADATA!$B$4),IF(DATOS!$G9725="EX",1,IF(DATOS!$G9725="OR",--(COUNTIFS(nNIA,DATOS!$A9725,nCURSO,DATOS!$D9725,nESPEC,DATOS!$E9725,nASIG,DATOS!$I9725,nEVAL,"EX")=0),0))))</f>
      </c>
      <c r="H9725">
        <f>IF(DATOS!$G9725&lt;&gt;"EX",0,--(COUNTIFS(nNIA,DATOS!$A9725,nCURSO,DATOS!$D9725,nESPEC,DATOS!$E9725,nASIG,DATOS!$I9725,nEVAL,"OR")=0))</f>
      </c>
      <c r="I9725">
        <f>IF(DATOS!$I9725="","",IFERROR(VLOOKUP(DATOS!$I9725,CONFIG_ASIGNATURAS!$B$2:$J$91,9,FALSE()),""))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IF(DATOS!$A9726="",0,IF(CONFIG_METADATA!$B$4&lt;&gt;"OR+EX",--(DATOS!$G9726=CONFIG_METADATA!$B$4),IF(DATOS!$G9726="EX",1,IF(DATOS!$G9726="OR",--(COUNTIFS(nNIA,DATOS!$A9726,nCURSO,DATOS!$D9726,nESPEC,DATOS!$E9726,nASIG,DATOS!$I9726,nEVAL,"EX")=0),0))))</f>
      </c>
      <c r="H9726">
        <f>IF(DATOS!$G9726&lt;&gt;"EX",0,--(COUNTIFS(nNIA,DATOS!$A9726,nCURSO,DATOS!$D9726,nESPEC,DATOS!$E9726,nASIG,DATOS!$I9726,nEVAL,"OR")=0))</f>
      </c>
      <c r="I9726">
        <f>IF(DATOS!$I9726="","",IFERROR(VLOOKUP(DATOS!$I9726,CONFIG_ASIGNATURAS!$B$2:$J$91,9,FALSE()),""))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IF(DATOS!$A9727="",0,IF(CONFIG_METADATA!$B$4&lt;&gt;"OR+EX",--(DATOS!$G9727=CONFIG_METADATA!$B$4),IF(DATOS!$G9727="EX",1,IF(DATOS!$G9727="OR",--(COUNTIFS(nNIA,DATOS!$A9727,nCURSO,DATOS!$D9727,nESPEC,DATOS!$E9727,nASIG,DATOS!$I9727,nEVAL,"EX")=0),0))))</f>
      </c>
      <c r="H9727">
        <f>IF(DATOS!$G9727&lt;&gt;"EX",0,--(COUNTIFS(nNIA,DATOS!$A9727,nCURSO,DATOS!$D9727,nESPEC,DATOS!$E9727,nASIG,DATOS!$I9727,nEVAL,"OR")=0))</f>
      </c>
      <c r="I9727">
        <f>IF(DATOS!$I9727="","",IFERROR(VLOOKUP(DATOS!$I9727,CONFIG_ASIGNATURAS!$B$2:$J$91,9,FALSE()),""))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IF(DATOS!$A9728="",0,IF(CONFIG_METADATA!$B$4&lt;&gt;"OR+EX",--(DATOS!$G9728=CONFIG_METADATA!$B$4),IF(DATOS!$G9728="EX",1,IF(DATOS!$G9728="OR",--(COUNTIFS(nNIA,DATOS!$A9728,nCURSO,DATOS!$D9728,nESPEC,DATOS!$E9728,nASIG,DATOS!$I9728,nEVAL,"EX")=0),0))))</f>
      </c>
      <c r="H9728">
        <f>IF(DATOS!$G9728&lt;&gt;"EX",0,--(COUNTIFS(nNIA,DATOS!$A9728,nCURSO,DATOS!$D9728,nESPEC,DATOS!$E9728,nASIG,DATOS!$I9728,nEVAL,"OR")=0))</f>
      </c>
      <c r="I9728">
        <f>IF(DATOS!$I9728="","",IFERROR(VLOOKUP(DATOS!$I9728,CONFIG_ASIGNATURAS!$B$2:$J$91,9,FALSE()),""))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IF(DATOS!$A9729="",0,IF(CONFIG_METADATA!$B$4&lt;&gt;"OR+EX",--(DATOS!$G9729=CONFIG_METADATA!$B$4),IF(DATOS!$G9729="EX",1,IF(DATOS!$G9729="OR",--(COUNTIFS(nNIA,DATOS!$A9729,nCURSO,DATOS!$D9729,nESPEC,DATOS!$E9729,nASIG,DATOS!$I9729,nEVAL,"EX")=0),0))))</f>
      </c>
      <c r="H9729">
        <f>IF(DATOS!$G9729&lt;&gt;"EX",0,--(COUNTIFS(nNIA,DATOS!$A9729,nCURSO,DATOS!$D9729,nESPEC,DATOS!$E9729,nASIG,DATOS!$I9729,nEVAL,"OR")=0))</f>
      </c>
      <c r="I9729">
        <f>IF(DATOS!$I9729="","",IFERROR(VLOOKUP(DATOS!$I9729,CONFIG_ASIGNATURAS!$B$2:$J$91,9,FALSE()),""))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IF(DATOS!$A9730="",0,IF(CONFIG_METADATA!$B$4&lt;&gt;"OR+EX",--(DATOS!$G9730=CONFIG_METADATA!$B$4),IF(DATOS!$G9730="EX",1,IF(DATOS!$G9730="OR",--(COUNTIFS(nNIA,DATOS!$A9730,nCURSO,DATOS!$D9730,nESPEC,DATOS!$E9730,nASIG,DATOS!$I9730,nEVAL,"EX")=0),0))))</f>
      </c>
      <c r="H9730">
        <f>IF(DATOS!$G9730&lt;&gt;"EX",0,--(COUNTIFS(nNIA,DATOS!$A9730,nCURSO,DATOS!$D9730,nESPEC,DATOS!$E9730,nASIG,DATOS!$I9730,nEVAL,"OR")=0))</f>
      </c>
      <c r="I9730">
        <f>IF(DATOS!$I9730="","",IFERROR(VLOOKUP(DATOS!$I9730,CONFIG_ASIGNATURAS!$B$2:$J$91,9,FALSE()),""))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IF(DATOS!$A9731="",0,IF(CONFIG_METADATA!$B$4&lt;&gt;"OR+EX",--(DATOS!$G9731=CONFIG_METADATA!$B$4),IF(DATOS!$G9731="EX",1,IF(DATOS!$G9731="OR",--(COUNTIFS(nNIA,DATOS!$A9731,nCURSO,DATOS!$D9731,nESPEC,DATOS!$E9731,nASIG,DATOS!$I9731,nEVAL,"EX")=0),0))))</f>
      </c>
      <c r="H9731">
        <f>IF(DATOS!$G9731&lt;&gt;"EX",0,--(COUNTIFS(nNIA,DATOS!$A9731,nCURSO,DATOS!$D9731,nESPEC,DATOS!$E9731,nASIG,DATOS!$I9731,nEVAL,"OR")=0))</f>
      </c>
      <c r="I9731">
        <f>IF(DATOS!$I9731="","",IFERROR(VLOOKUP(DATOS!$I9731,CONFIG_ASIGNATURAS!$B$2:$J$91,9,FALSE()),""))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IF(DATOS!$A9732="",0,IF(CONFIG_METADATA!$B$4&lt;&gt;"OR+EX",--(DATOS!$G9732=CONFIG_METADATA!$B$4),IF(DATOS!$G9732="EX",1,IF(DATOS!$G9732="OR",--(COUNTIFS(nNIA,DATOS!$A9732,nCURSO,DATOS!$D9732,nESPEC,DATOS!$E9732,nASIG,DATOS!$I9732,nEVAL,"EX")=0),0))))</f>
      </c>
      <c r="H9732">
        <f>IF(DATOS!$G9732&lt;&gt;"EX",0,--(COUNTIFS(nNIA,DATOS!$A9732,nCURSO,DATOS!$D9732,nESPEC,DATOS!$E9732,nASIG,DATOS!$I9732,nEVAL,"OR")=0))</f>
      </c>
      <c r="I9732">
        <f>IF(DATOS!$I9732="","",IFERROR(VLOOKUP(DATOS!$I9732,CONFIG_ASIGNATURAS!$B$2:$J$91,9,FALSE()),""))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IF(DATOS!$A9733="",0,IF(CONFIG_METADATA!$B$4&lt;&gt;"OR+EX",--(DATOS!$G9733=CONFIG_METADATA!$B$4),IF(DATOS!$G9733="EX",1,IF(DATOS!$G9733="OR",--(COUNTIFS(nNIA,DATOS!$A9733,nCURSO,DATOS!$D9733,nESPEC,DATOS!$E9733,nASIG,DATOS!$I9733,nEVAL,"EX")=0),0))))</f>
      </c>
      <c r="H9733">
        <f>IF(DATOS!$G9733&lt;&gt;"EX",0,--(COUNTIFS(nNIA,DATOS!$A9733,nCURSO,DATOS!$D9733,nESPEC,DATOS!$E9733,nASIG,DATOS!$I9733,nEVAL,"OR")=0))</f>
      </c>
      <c r="I9733">
        <f>IF(DATOS!$I9733="","",IFERROR(VLOOKUP(DATOS!$I9733,CONFIG_ASIGNATURAS!$B$2:$J$91,9,FALSE()),""))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IF(DATOS!$A9734="",0,IF(CONFIG_METADATA!$B$4&lt;&gt;"OR+EX",--(DATOS!$G9734=CONFIG_METADATA!$B$4),IF(DATOS!$G9734="EX",1,IF(DATOS!$G9734="OR",--(COUNTIFS(nNIA,DATOS!$A9734,nCURSO,DATOS!$D9734,nESPEC,DATOS!$E9734,nASIG,DATOS!$I9734,nEVAL,"EX")=0),0))))</f>
      </c>
      <c r="H9734">
        <f>IF(DATOS!$G9734&lt;&gt;"EX",0,--(COUNTIFS(nNIA,DATOS!$A9734,nCURSO,DATOS!$D9734,nESPEC,DATOS!$E9734,nASIG,DATOS!$I9734,nEVAL,"OR")=0))</f>
      </c>
      <c r="I9734">
        <f>IF(DATOS!$I9734="","",IFERROR(VLOOKUP(DATOS!$I9734,CONFIG_ASIGNATURAS!$B$2:$J$91,9,FALSE()),""))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IF(DATOS!$A9735="",0,IF(CONFIG_METADATA!$B$4&lt;&gt;"OR+EX",--(DATOS!$G9735=CONFIG_METADATA!$B$4),IF(DATOS!$G9735="EX",1,IF(DATOS!$G9735="OR",--(COUNTIFS(nNIA,DATOS!$A9735,nCURSO,DATOS!$D9735,nESPEC,DATOS!$E9735,nASIG,DATOS!$I9735,nEVAL,"EX")=0),0))))</f>
      </c>
      <c r="H9735">
        <f>IF(DATOS!$G9735&lt;&gt;"EX",0,--(COUNTIFS(nNIA,DATOS!$A9735,nCURSO,DATOS!$D9735,nESPEC,DATOS!$E9735,nASIG,DATOS!$I9735,nEVAL,"OR")=0))</f>
      </c>
      <c r="I9735">
        <f>IF(DATOS!$I9735="","",IFERROR(VLOOKUP(DATOS!$I9735,CONFIG_ASIGNATURAS!$B$2:$J$91,9,FALSE()),""))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IF(DATOS!$A9736="",0,IF(CONFIG_METADATA!$B$4&lt;&gt;"OR+EX",--(DATOS!$G9736=CONFIG_METADATA!$B$4),IF(DATOS!$G9736="EX",1,IF(DATOS!$G9736="OR",--(COUNTIFS(nNIA,DATOS!$A9736,nCURSO,DATOS!$D9736,nESPEC,DATOS!$E9736,nASIG,DATOS!$I9736,nEVAL,"EX")=0),0))))</f>
      </c>
      <c r="H9736">
        <f>IF(DATOS!$G9736&lt;&gt;"EX",0,--(COUNTIFS(nNIA,DATOS!$A9736,nCURSO,DATOS!$D9736,nESPEC,DATOS!$E9736,nASIG,DATOS!$I9736,nEVAL,"OR")=0))</f>
      </c>
      <c r="I9736">
        <f>IF(DATOS!$I9736="","",IFERROR(VLOOKUP(DATOS!$I9736,CONFIG_ASIGNATURAS!$B$2:$J$91,9,FALSE()),""))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IF(DATOS!$A9737="",0,IF(CONFIG_METADATA!$B$4&lt;&gt;"OR+EX",--(DATOS!$G9737=CONFIG_METADATA!$B$4),IF(DATOS!$G9737="EX",1,IF(DATOS!$G9737="OR",--(COUNTIFS(nNIA,DATOS!$A9737,nCURSO,DATOS!$D9737,nESPEC,DATOS!$E9737,nASIG,DATOS!$I9737,nEVAL,"EX")=0),0))))</f>
      </c>
      <c r="H9737">
        <f>IF(DATOS!$G9737&lt;&gt;"EX",0,--(COUNTIFS(nNIA,DATOS!$A9737,nCURSO,DATOS!$D9737,nESPEC,DATOS!$E9737,nASIG,DATOS!$I9737,nEVAL,"OR")=0))</f>
      </c>
      <c r="I9737">
        <f>IF(DATOS!$I9737="","",IFERROR(VLOOKUP(DATOS!$I9737,CONFIG_ASIGNATURAS!$B$2:$J$91,9,FALSE()),""))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IF(DATOS!$A9738="",0,IF(CONFIG_METADATA!$B$4&lt;&gt;"OR+EX",--(DATOS!$G9738=CONFIG_METADATA!$B$4),IF(DATOS!$G9738="EX",1,IF(DATOS!$G9738="OR",--(COUNTIFS(nNIA,DATOS!$A9738,nCURSO,DATOS!$D9738,nESPEC,DATOS!$E9738,nASIG,DATOS!$I9738,nEVAL,"EX")=0),0))))</f>
      </c>
      <c r="H9738">
        <f>IF(DATOS!$G9738&lt;&gt;"EX",0,--(COUNTIFS(nNIA,DATOS!$A9738,nCURSO,DATOS!$D9738,nESPEC,DATOS!$E9738,nASIG,DATOS!$I9738,nEVAL,"OR")=0))</f>
      </c>
      <c r="I9738">
        <f>IF(DATOS!$I9738="","",IFERROR(VLOOKUP(DATOS!$I9738,CONFIG_ASIGNATURAS!$B$2:$J$91,9,FALSE()),""))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IF(DATOS!$A9739="",0,IF(CONFIG_METADATA!$B$4&lt;&gt;"OR+EX",--(DATOS!$G9739=CONFIG_METADATA!$B$4),IF(DATOS!$G9739="EX",1,IF(DATOS!$G9739="OR",--(COUNTIFS(nNIA,DATOS!$A9739,nCURSO,DATOS!$D9739,nESPEC,DATOS!$E9739,nASIG,DATOS!$I9739,nEVAL,"EX")=0),0))))</f>
      </c>
      <c r="H9739">
        <f>IF(DATOS!$G9739&lt;&gt;"EX",0,--(COUNTIFS(nNIA,DATOS!$A9739,nCURSO,DATOS!$D9739,nESPEC,DATOS!$E9739,nASIG,DATOS!$I9739,nEVAL,"OR")=0))</f>
      </c>
      <c r="I9739">
        <f>IF(DATOS!$I9739="","",IFERROR(VLOOKUP(DATOS!$I9739,CONFIG_ASIGNATURAS!$B$2:$J$91,9,FALSE()),""))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IF(DATOS!$A9740="",0,IF(CONFIG_METADATA!$B$4&lt;&gt;"OR+EX",--(DATOS!$G9740=CONFIG_METADATA!$B$4),IF(DATOS!$G9740="EX",1,IF(DATOS!$G9740="OR",--(COUNTIFS(nNIA,DATOS!$A9740,nCURSO,DATOS!$D9740,nESPEC,DATOS!$E9740,nASIG,DATOS!$I9740,nEVAL,"EX")=0),0))))</f>
      </c>
      <c r="H9740">
        <f>IF(DATOS!$G9740&lt;&gt;"EX",0,--(COUNTIFS(nNIA,DATOS!$A9740,nCURSO,DATOS!$D9740,nESPEC,DATOS!$E9740,nASIG,DATOS!$I9740,nEVAL,"OR")=0))</f>
      </c>
      <c r="I9740">
        <f>IF(DATOS!$I9740="","",IFERROR(VLOOKUP(DATOS!$I9740,CONFIG_ASIGNATURAS!$B$2:$J$91,9,FALSE()),""))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IF(DATOS!$A9741="",0,IF(CONFIG_METADATA!$B$4&lt;&gt;"OR+EX",--(DATOS!$G9741=CONFIG_METADATA!$B$4),IF(DATOS!$G9741="EX",1,IF(DATOS!$G9741="OR",--(COUNTIFS(nNIA,DATOS!$A9741,nCURSO,DATOS!$D9741,nESPEC,DATOS!$E9741,nASIG,DATOS!$I9741,nEVAL,"EX")=0),0))))</f>
      </c>
      <c r="H9741">
        <f>IF(DATOS!$G9741&lt;&gt;"EX",0,--(COUNTIFS(nNIA,DATOS!$A9741,nCURSO,DATOS!$D9741,nESPEC,DATOS!$E9741,nASIG,DATOS!$I9741,nEVAL,"OR")=0))</f>
      </c>
      <c r="I9741">
        <f>IF(DATOS!$I9741="","",IFERROR(VLOOKUP(DATOS!$I9741,CONFIG_ASIGNATURAS!$B$2:$J$91,9,FALSE()),""))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IF(DATOS!$A9742="",0,IF(CONFIG_METADATA!$B$4&lt;&gt;"OR+EX",--(DATOS!$G9742=CONFIG_METADATA!$B$4),IF(DATOS!$G9742="EX",1,IF(DATOS!$G9742="OR",--(COUNTIFS(nNIA,DATOS!$A9742,nCURSO,DATOS!$D9742,nESPEC,DATOS!$E9742,nASIG,DATOS!$I9742,nEVAL,"EX")=0),0))))</f>
      </c>
      <c r="H9742">
        <f>IF(DATOS!$G9742&lt;&gt;"EX",0,--(COUNTIFS(nNIA,DATOS!$A9742,nCURSO,DATOS!$D9742,nESPEC,DATOS!$E9742,nASIG,DATOS!$I9742,nEVAL,"OR")=0))</f>
      </c>
      <c r="I9742">
        <f>IF(DATOS!$I9742="","",IFERROR(VLOOKUP(DATOS!$I9742,CONFIG_ASIGNATURAS!$B$2:$J$91,9,FALSE()),""))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IF(DATOS!$A9743="",0,IF(CONFIG_METADATA!$B$4&lt;&gt;"OR+EX",--(DATOS!$G9743=CONFIG_METADATA!$B$4),IF(DATOS!$G9743="EX",1,IF(DATOS!$G9743="OR",--(COUNTIFS(nNIA,DATOS!$A9743,nCURSO,DATOS!$D9743,nESPEC,DATOS!$E9743,nASIG,DATOS!$I9743,nEVAL,"EX")=0),0))))</f>
      </c>
      <c r="H9743">
        <f>IF(DATOS!$G9743&lt;&gt;"EX",0,--(COUNTIFS(nNIA,DATOS!$A9743,nCURSO,DATOS!$D9743,nESPEC,DATOS!$E9743,nASIG,DATOS!$I9743,nEVAL,"OR")=0))</f>
      </c>
      <c r="I9743">
        <f>IF(DATOS!$I9743="","",IFERROR(VLOOKUP(DATOS!$I9743,CONFIG_ASIGNATURAS!$B$2:$J$91,9,FALSE()),""))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IF(DATOS!$A9744="",0,IF(CONFIG_METADATA!$B$4&lt;&gt;"OR+EX",--(DATOS!$G9744=CONFIG_METADATA!$B$4),IF(DATOS!$G9744="EX",1,IF(DATOS!$G9744="OR",--(COUNTIFS(nNIA,DATOS!$A9744,nCURSO,DATOS!$D9744,nESPEC,DATOS!$E9744,nASIG,DATOS!$I9744,nEVAL,"EX")=0),0))))</f>
      </c>
      <c r="H9744">
        <f>IF(DATOS!$G9744&lt;&gt;"EX",0,--(COUNTIFS(nNIA,DATOS!$A9744,nCURSO,DATOS!$D9744,nESPEC,DATOS!$E9744,nASIG,DATOS!$I9744,nEVAL,"OR")=0))</f>
      </c>
      <c r="I9744">
        <f>IF(DATOS!$I9744="","",IFERROR(VLOOKUP(DATOS!$I9744,CONFIG_ASIGNATURAS!$B$2:$J$91,9,FALSE()),""))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IF(DATOS!$A9745="",0,IF(CONFIG_METADATA!$B$4&lt;&gt;"OR+EX",--(DATOS!$G9745=CONFIG_METADATA!$B$4),IF(DATOS!$G9745="EX",1,IF(DATOS!$G9745="OR",--(COUNTIFS(nNIA,DATOS!$A9745,nCURSO,DATOS!$D9745,nESPEC,DATOS!$E9745,nASIG,DATOS!$I9745,nEVAL,"EX")=0),0))))</f>
      </c>
      <c r="H9745">
        <f>IF(DATOS!$G9745&lt;&gt;"EX",0,--(COUNTIFS(nNIA,DATOS!$A9745,nCURSO,DATOS!$D9745,nESPEC,DATOS!$E9745,nASIG,DATOS!$I9745,nEVAL,"OR")=0))</f>
      </c>
      <c r="I9745">
        <f>IF(DATOS!$I9745="","",IFERROR(VLOOKUP(DATOS!$I9745,CONFIG_ASIGNATURAS!$B$2:$J$91,9,FALSE()),""))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IF(DATOS!$A9746="",0,IF(CONFIG_METADATA!$B$4&lt;&gt;"OR+EX",--(DATOS!$G9746=CONFIG_METADATA!$B$4),IF(DATOS!$G9746="EX",1,IF(DATOS!$G9746="OR",--(COUNTIFS(nNIA,DATOS!$A9746,nCURSO,DATOS!$D9746,nESPEC,DATOS!$E9746,nASIG,DATOS!$I9746,nEVAL,"EX")=0),0))))</f>
      </c>
      <c r="H9746">
        <f>IF(DATOS!$G9746&lt;&gt;"EX",0,--(COUNTIFS(nNIA,DATOS!$A9746,nCURSO,DATOS!$D9746,nESPEC,DATOS!$E9746,nASIG,DATOS!$I9746,nEVAL,"OR")=0))</f>
      </c>
      <c r="I9746">
        <f>IF(DATOS!$I9746="","",IFERROR(VLOOKUP(DATOS!$I9746,CONFIG_ASIGNATURAS!$B$2:$J$91,9,FALSE()),""))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IF(DATOS!$A9747="",0,IF(CONFIG_METADATA!$B$4&lt;&gt;"OR+EX",--(DATOS!$G9747=CONFIG_METADATA!$B$4),IF(DATOS!$G9747="EX",1,IF(DATOS!$G9747="OR",--(COUNTIFS(nNIA,DATOS!$A9747,nCURSO,DATOS!$D9747,nESPEC,DATOS!$E9747,nASIG,DATOS!$I9747,nEVAL,"EX")=0),0))))</f>
      </c>
      <c r="H9747">
        <f>IF(DATOS!$G9747&lt;&gt;"EX",0,--(COUNTIFS(nNIA,DATOS!$A9747,nCURSO,DATOS!$D9747,nESPEC,DATOS!$E9747,nASIG,DATOS!$I9747,nEVAL,"OR")=0))</f>
      </c>
      <c r="I9747">
        <f>IF(DATOS!$I9747="","",IFERROR(VLOOKUP(DATOS!$I9747,CONFIG_ASIGNATURAS!$B$2:$J$91,9,FALSE()),""))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IF(DATOS!$A9748="",0,IF(CONFIG_METADATA!$B$4&lt;&gt;"OR+EX",--(DATOS!$G9748=CONFIG_METADATA!$B$4),IF(DATOS!$G9748="EX",1,IF(DATOS!$G9748="OR",--(COUNTIFS(nNIA,DATOS!$A9748,nCURSO,DATOS!$D9748,nESPEC,DATOS!$E9748,nASIG,DATOS!$I9748,nEVAL,"EX")=0),0))))</f>
      </c>
      <c r="H9748">
        <f>IF(DATOS!$G9748&lt;&gt;"EX",0,--(COUNTIFS(nNIA,DATOS!$A9748,nCURSO,DATOS!$D9748,nESPEC,DATOS!$E9748,nASIG,DATOS!$I9748,nEVAL,"OR")=0))</f>
      </c>
      <c r="I9748">
        <f>IF(DATOS!$I9748="","",IFERROR(VLOOKUP(DATOS!$I9748,CONFIG_ASIGNATURAS!$B$2:$J$91,9,FALSE()),""))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IF(DATOS!$A9749="",0,IF(CONFIG_METADATA!$B$4&lt;&gt;"OR+EX",--(DATOS!$G9749=CONFIG_METADATA!$B$4),IF(DATOS!$G9749="EX",1,IF(DATOS!$G9749="OR",--(COUNTIFS(nNIA,DATOS!$A9749,nCURSO,DATOS!$D9749,nESPEC,DATOS!$E9749,nASIG,DATOS!$I9749,nEVAL,"EX")=0),0))))</f>
      </c>
      <c r="H9749">
        <f>IF(DATOS!$G9749&lt;&gt;"EX",0,--(COUNTIFS(nNIA,DATOS!$A9749,nCURSO,DATOS!$D9749,nESPEC,DATOS!$E9749,nASIG,DATOS!$I9749,nEVAL,"OR")=0))</f>
      </c>
      <c r="I9749">
        <f>IF(DATOS!$I9749="","",IFERROR(VLOOKUP(DATOS!$I9749,CONFIG_ASIGNATURAS!$B$2:$J$91,9,FALSE()),""))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IF(DATOS!$A9750="",0,IF(CONFIG_METADATA!$B$4&lt;&gt;"OR+EX",--(DATOS!$G9750=CONFIG_METADATA!$B$4),IF(DATOS!$G9750="EX",1,IF(DATOS!$G9750="OR",--(COUNTIFS(nNIA,DATOS!$A9750,nCURSO,DATOS!$D9750,nESPEC,DATOS!$E9750,nASIG,DATOS!$I9750,nEVAL,"EX")=0),0))))</f>
      </c>
      <c r="H9750">
        <f>IF(DATOS!$G9750&lt;&gt;"EX",0,--(COUNTIFS(nNIA,DATOS!$A9750,nCURSO,DATOS!$D9750,nESPEC,DATOS!$E9750,nASIG,DATOS!$I9750,nEVAL,"OR")=0))</f>
      </c>
      <c r="I9750">
        <f>IF(DATOS!$I9750="","",IFERROR(VLOOKUP(DATOS!$I9750,CONFIG_ASIGNATURAS!$B$2:$J$91,9,FALSE()),""))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IF(DATOS!$A9751="",0,IF(CONFIG_METADATA!$B$4&lt;&gt;"OR+EX",--(DATOS!$G9751=CONFIG_METADATA!$B$4),IF(DATOS!$G9751="EX",1,IF(DATOS!$G9751="OR",--(COUNTIFS(nNIA,DATOS!$A9751,nCURSO,DATOS!$D9751,nESPEC,DATOS!$E9751,nASIG,DATOS!$I9751,nEVAL,"EX")=0),0))))</f>
      </c>
      <c r="H9751">
        <f>IF(DATOS!$G9751&lt;&gt;"EX",0,--(COUNTIFS(nNIA,DATOS!$A9751,nCURSO,DATOS!$D9751,nESPEC,DATOS!$E9751,nASIG,DATOS!$I9751,nEVAL,"OR")=0))</f>
      </c>
      <c r="I9751">
        <f>IF(DATOS!$I9751="","",IFERROR(VLOOKUP(DATOS!$I9751,CONFIG_ASIGNATURAS!$B$2:$J$91,9,FALSE()),""))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IF(DATOS!$A9752="",0,IF(CONFIG_METADATA!$B$4&lt;&gt;"OR+EX",--(DATOS!$G9752=CONFIG_METADATA!$B$4),IF(DATOS!$G9752="EX",1,IF(DATOS!$G9752="OR",--(COUNTIFS(nNIA,DATOS!$A9752,nCURSO,DATOS!$D9752,nESPEC,DATOS!$E9752,nASIG,DATOS!$I9752,nEVAL,"EX")=0),0))))</f>
      </c>
      <c r="H9752">
        <f>IF(DATOS!$G9752&lt;&gt;"EX",0,--(COUNTIFS(nNIA,DATOS!$A9752,nCURSO,DATOS!$D9752,nESPEC,DATOS!$E9752,nASIG,DATOS!$I9752,nEVAL,"OR")=0))</f>
      </c>
      <c r="I9752">
        <f>IF(DATOS!$I9752="","",IFERROR(VLOOKUP(DATOS!$I9752,CONFIG_ASIGNATURAS!$B$2:$J$91,9,FALSE()),""))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IF(DATOS!$A9753="",0,IF(CONFIG_METADATA!$B$4&lt;&gt;"OR+EX",--(DATOS!$G9753=CONFIG_METADATA!$B$4),IF(DATOS!$G9753="EX",1,IF(DATOS!$G9753="OR",--(COUNTIFS(nNIA,DATOS!$A9753,nCURSO,DATOS!$D9753,nESPEC,DATOS!$E9753,nASIG,DATOS!$I9753,nEVAL,"EX")=0),0))))</f>
      </c>
      <c r="H9753">
        <f>IF(DATOS!$G9753&lt;&gt;"EX",0,--(COUNTIFS(nNIA,DATOS!$A9753,nCURSO,DATOS!$D9753,nESPEC,DATOS!$E9753,nASIG,DATOS!$I9753,nEVAL,"OR")=0))</f>
      </c>
      <c r="I9753">
        <f>IF(DATOS!$I9753="","",IFERROR(VLOOKUP(DATOS!$I9753,CONFIG_ASIGNATURAS!$B$2:$J$91,9,FALSE()),""))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IF(DATOS!$A9754="",0,IF(CONFIG_METADATA!$B$4&lt;&gt;"OR+EX",--(DATOS!$G9754=CONFIG_METADATA!$B$4),IF(DATOS!$G9754="EX",1,IF(DATOS!$G9754="OR",--(COUNTIFS(nNIA,DATOS!$A9754,nCURSO,DATOS!$D9754,nESPEC,DATOS!$E9754,nASIG,DATOS!$I9754,nEVAL,"EX")=0),0))))</f>
      </c>
      <c r="H9754">
        <f>IF(DATOS!$G9754&lt;&gt;"EX",0,--(COUNTIFS(nNIA,DATOS!$A9754,nCURSO,DATOS!$D9754,nESPEC,DATOS!$E9754,nASIG,DATOS!$I9754,nEVAL,"OR")=0))</f>
      </c>
      <c r="I9754">
        <f>IF(DATOS!$I9754="","",IFERROR(VLOOKUP(DATOS!$I9754,CONFIG_ASIGNATURAS!$B$2:$J$91,9,FALSE()),""))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IF(DATOS!$A9755="",0,IF(CONFIG_METADATA!$B$4&lt;&gt;"OR+EX",--(DATOS!$G9755=CONFIG_METADATA!$B$4),IF(DATOS!$G9755="EX",1,IF(DATOS!$G9755="OR",--(COUNTIFS(nNIA,DATOS!$A9755,nCURSO,DATOS!$D9755,nESPEC,DATOS!$E9755,nASIG,DATOS!$I9755,nEVAL,"EX")=0),0))))</f>
      </c>
      <c r="H9755">
        <f>IF(DATOS!$G9755&lt;&gt;"EX",0,--(COUNTIFS(nNIA,DATOS!$A9755,nCURSO,DATOS!$D9755,nESPEC,DATOS!$E9755,nASIG,DATOS!$I9755,nEVAL,"OR")=0))</f>
      </c>
      <c r="I9755">
        <f>IF(DATOS!$I9755="","",IFERROR(VLOOKUP(DATOS!$I9755,CONFIG_ASIGNATURAS!$B$2:$J$91,9,FALSE()),""))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IF(DATOS!$A9756="",0,IF(CONFIG_METADATA!$B$4&lt;&gt;"OR+EX",--(DATOS!$G9756=CONFIG_METADATA!$B$4),IF(DATOS!$G9756="EX",1,IF(DATOS!$G9756="OR",--(COUNTIFS(nNIA,DATOS!$A9756,nCURSO,DATOS!$D9756,nESPEC,DATOS!$E9756,nASIG,DATOS!$I9756,nEVAL,"EX")=0),0))))</f>
      </c>
      <c r="H9756">
        <f>IF(DATOS!$G9756&lt;&gt;"EX",0,--(COUNTIFS(nNIA,DATOS!$A9756,nCURSO,DATOS!$D9756,nESPEC,DATOS!$E9756,nASIG,DATOS!$I9756,nEVAL,"OR")=0))</f>
      </c>
      <c r="I9756">
        <f>IF(DATOS!$I9756="","",IFERROR(VLOOKUP(DATOS!$I9756,CONFIG_ASIGNATURAS!$B$2:$J$91,9,FALSE()),""))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IF(DATOS!$A9757="",0,IF(CONFIG_METADATA!$B$4&lt;&gt;"OR+EX",--(DATOS!$G9757=CONFIG_METADATA!$B$4),IF(DATOS!$G9757="EX",1,IF(DATOS!$G9757="OR",--(COUNTIFS(nNIA,DATOS!$A9757,nCURSO,DATOS!$D9757,nESPEC,DATOS!$E9757,nASIG,DATOS!$I9757,nEVAL,"EX")=0),0))))</f>
      </c>
      <c r="H9757">
        <f>IF(DATOS!$G9757&lt;&gt;"EX",0,--(COUNTIFS(nNIA,DATOS!$A9757,nCURSO,DATOS!$D9757,nESPEC,DATOS!$E9757,nASIG,DATOS!$I9757,nEVAL,"OR")=0))</f>
      </c>
      <c r="I9757">
        <f>IF(DATOS!$I9757="","",IFERROR(VLOOKUP(DATOS!$I9757,CONFIG_ASIGNATURAS!$B$2:$J$91,9,FALSE()),""))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IF(DATOS!$A9758="",0,IF(CONFIG_METADATA!$B$4&lt;&gt;"OR+EX",--(DATOS!$G9758=CONFIG_METADATA!$B$4),IF(DATOS!$G9758="EX",1,IF(DATOS!$G9758="OR",--(COUNTIFS(nNIA,DATOS!$A9758,nCURSO,DATOS!$D9758,nESPEC,DATOS!$E9758,nASIG,DATOS!$I9758,nEVAL,"EX")=0),0))))</f>
      </c>
      <c r="H9758">
        <f>IF(DATOS!$G9758&lt;&gt;"EX",0,--(COUNTIFS(nNIA,DATOS!$A9758,nCURSO,DATOS!$D9758,nESPEC,DATOS!$E9758,nASIG,DATOS!$I9758,nEVAL,"OR")=0))</f>
      </c>
      <c r="I9758">
        <f>IF(DATOS!$I9758="","",IFERROR(VLOOKUP(DATOS!$I9758,CONFIG_ASIGNATURAS!$B$2:$J$91,9,FALSE()),""))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IF(DATOS!$A9759="",0,IF(CONFIG_METADATA!$B$4&lt;&gt;"OR+EX",--(DATOS!$G9759=CONFIG_METADATA!$B$4),IF(DATOS!$G9759="EX",1,IF(DATOS!$G9759="OR",--(COUNTIFS(nNIA,DATOS!$A9759,nCURSO,DATOS!$D9759,nESPEC,DATOS!$E9759,nASIG,DATOS!$I9759,nEVAL,"EX")=0),0))))</f>
      </c>
      <c r="H9759">
        <f>IF(DATOS!$G9759&lt;&gt;"EX",0,--(COUNTIFS(nNIA,DATOS!$A9759,nCURSO,DATOS!$D9759,nESPEC,DATOS!$E9759,nASIG,DATOS!$I9759,nEVAL,"OR")=0))</f>
      </c>
      <c r="I9759">
        <f>IF(DATOS!$I9759="","",IFERROR(VLOOKUP(DATOS!$I9759,CONFIG_ASIGNATURAS!$B$2:$J$91,9,FALSE()),""))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IF(DATOS!$A9760="",0,IF(CONFIG_METADATA!$B$4&lt;&gt;"OR+EX",--(DATOS!$G9760=CONFIG_METADATA!$B$4),IF(DATOS!$G9760="EX",1,IF(DATOS!$G9760="OR",--(COUNTIFS(nNIA,DATOS!$A9760,nCURSO,DATOS!$D9760,nESPEC,DATOS!$E9760,nASIG,DATOS!$I9760,nEVAL,"EX")=0),0))))</f>
      </c>
      <c r="H9760">
        <f>IF(DATOS!$G9760&lt;&gt;"EX",0,--(COUNTIFS(nNIA,DATOS!$A9760,nCURSO,DATOS!$D9760,nESPEC,DATOS!$E9760,nASIG,DATOS!$I9760,nEVAL,"OR")=0))</f>
      </c>
      <c r="I9760">
        <f>IF(DATOS!$I9760="","",IFERROR(VLOOKUP(DATOS!$I9760,CONFIG_ASIGNATURAS!$B$2:$J$91,9,FALSE()),""))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IF(DATOS!$A9761="",0,IF(CONFIG_METADATA!$B$4&lt;&gt;"OR+EX",--(DATOS!$G9761=CONFIG_METADATA!$B$4),IF(DATOS!$G9761="EX",1,IF(DATOS!$G9761="OR",--(COUNTIFS(nNIA,DATOS!$A9761,nCURSO,DATOS!$D9761,nESPEC,DATOS!$E9761,nASIG,DATOS!$I9761,nEVAL,"EX")=0),0))))</f>
      </c>
      <c r="H9761">
        <f>IF(DATOS!$G9761&lt;&gt;"EX",0,--(COUNTIFS(nNIA,DATOS!$A9761,nCURSO,DATOS!$D9761,nESPEC,DATOS!$E9761,nASIG,DATOS!$I9761,nEVAL,"OR")=0))</f>
      </c>
      <c r="I9761">
        <f>IF(DATOS!$I9761="","",IFERROR(VLOOKUP(DATOS!$I9761,CONFIG_ASIGNATURAS!$B$2:$J$91,9,FALSE()),""))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IF(DATOS!$A9762="",0,IF(CONFIG_METADATA!$B$4&lt;&gt;"OR+EX",--(DATOS!$G9762=CONFIG_METADATA!$B$4),IF(DATOS!$G9762="EX",1,IF(DATOS!$G9762="OR",--(COUNTIFS(nNIA,DATOS!$A9762,nCURSO,DATOS!$D9762,nESPEC,DATOS!$E9762,nASIG,DATOS!$I9762,nEVAL,"EX")=0),0))))</f>
      </c>
      <c r="H9762">
        <f>IF(DATOS!$G9762&lt;&gt;"EX",0,--(COUNTIFS(nNIA,DATOS!$A9762,nCURSO,DATOS!$D9762,nESPEC,DATOS!$E9762,nASIG,DATOS!$I9762,nEVAL,"OR")=0))</f>
      </c>
      <c r="I9762">
        <f>IF(DATOS!$I9762="","",IFERROR(VLOOKUP(DATOS!$I9762,CONFIG_ASIGNATURAS!$B$2:$J$91,9,FALSE()),""))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IF(DATOS!$A9763="",0,IF(CONFIG_METADATA!$B$4&lt;&gt;"OR+EX",--(DATOS!$G9763=CONFIG_METADATA!$B$4),IF(DATOS!$G9763="EX",1,IF(DATOS!$G9763="OR",--(COUNTIFS(nNIA,DATOS!$A9763,nCURSO,DATOS!$D9763,nESPEC,DATOS!$E9763,nASIG,DATOS!$I9763,nEVAL,"EX")=0),0))))</f>
      </c>
      <c r="H9763">
        <f>IF(DATOS!$G9763&lt;&gt;"EX",0,--(COUNTIFS(nNIA,DATOS!$A9763,nCURSO,DATOS!$D9763,nESPEC,DATOS!$E9763,nASIG,DATOS!$I9763,nEVAL,"OR")=0))</f>
      </c>
      <c r="I9763">
        <f>IF(DATOS!$I9763="","",IFERROR(VLOOKUP(DATOS!$I9763,CONFIG_ASIGNATURAS!$B$2:$J$91,9,FALSE()),""))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IF(DATOS!$A9764="",0,IF(CONFIG_METADATA!$B$4&lt;&gt;"OR+EX",--(DATOS!$G9764=CONFIG_METADATA!$B$4),IF(DATOS!$G9764="EX",1,IF(DATOS!$G9764="OR",--(COUNTIFS(nNIA,DATOS!$A9764,nCURSO,DATOS!$D9764,nESPEC,DATOS!$E9764,nASIG,DATOS!$I9764,nEVAL,"EX")=0),0))))</f>
      </c>
      <c r="H9764">
        <f>IF(DATOS!$G9764&lt;&gt;"EX",0,--(COUNTIFS(nNIA,DATOS!$A9764,nCURSO,DATOS!$D9764,nESPEC,DATOS!$E9764,nASIG,DATOS!$I9764,nEVAL,"OR")=0))</f>
      </c>
      <c r="I9764">
        <f>IF(DATOS!$I9764="","",IFERROR(VLOOKUP(DATOS!$I9764,CONFIG_ASIGNATURAS!$B$2:$J$91,9,FALSE()),""))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IF(DATOS!$A9765="",0,IF(CONFIG_METADATA!$B$4&lt;&gt;"OR+EX",--(DATOS!$G9765=CONFIG_METADATA!$B$4),IF(DATOS!$G9765="EX",1,IF(DATOS!$G9765="OR",--(COUNTIFS(nNIA,DATOS!$A9765,nCURSO,DATOS!$D9765,nESPEC,DATOS!$E9765,nASIG,DATOS!$I9765,nEVAL,"EX")=0),0))))</f>
      </c>
      <c r="H9765">
        <f>IF(DATOS!$G9765&lt;&gt;"EX",0,--(COUNTIFS(nNIA,DATOS!$A9765,nCURSO,DATOS!$D9765,nESPEC,DATOS!$E9765,nASIG,DATOS!$I9765,nEVAL,"OR")=0))</f>
      </c>
      <c r="I9765">
        <f>IF(DATOS!$I9765="","",IFERROR(VLOOKUP(DATOS!$I9765,CONFIG_ASIGNATURAS!$B$2:$J$91,9,FALSE()),""))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IF(DATOS!$A9766="",0,IF(CONFIG_METADATA!$B$4&lt;&gt;"OR+EX",--(DATOS!$G9766=CONFIG_METADATA!$B$4),IF(DATOS!$G9766="EX",1,IF(DATOS!$G9766="OR",--(COUNTIFS(nNIA,DATOS!$A9766,nCURSO,DATOS!$D9766,nESPEC,DATOS!$E9766,nASIG,DATOS!$I9766,nEVAL,"EX")=0),0))))</f>
      </c>
      <c r="H9766">
        <f>IF(DATOS!$G9766&lt;&gt;"EX",0,--(COUNTIFS(nNIA,DATOS!$A9766,nCURSO,DATOS!$D9766,nESPEC,DATOS!$E9766,nASIG,DATOS!$I9766,nEVAL,"OR")=0))</f>
      </c>
      <c r="I9766">
        <f>IF(DATOS!$I9766="","",IFERROR(VLOOKUP(DATOS!$I9766,CONFIG_ASIGNATURAS!$B$2:$J$91,9,FALSE()),""))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IF(DATOS!$A9767="",0,IF(CONFIG_METADATA!$B$4&lt;&gt;"OR+EX",--(DATOS!$G9767=CONFIG_METADATA!$B$4),IF(DATOS!$G9767="EX",1,IF(DATOS!$G9767="OR",--(COUNTIFS(nNIA,DATOS!$A9767,nCURSO,DATOS!$D9767,nESPEC,DATOS!$E9767,nASIG,DATOS!$I9767,nEVAL,"EX")=0),0))))</f>
      </c>
      <c r="H9767">
        <f>IF(DATOS!$G9767&lt;&gt;"EX",0,--(COUNTIFS(nNIA,DATOS!$A9767,nCURSO,DATOS!$D9767,nESPEC,DATOS!$E9767,nASIG,DATOS!$I9767,nEVAL,"OR")=0))</f>
      </c>
      <c r="I9767">
        <f>IF(DATOS!$I9767="","",IFERROR(VLOOKUP(DATOS!$I9767,CONFIG_ASIGNATURAS!$B$2:$J$91,9,FALSE()),""))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IF(DATOS!$A9768="",0,IF(CONFIG_METADATA!$B$4&lt;&gt;"OR+EX",--(DATOS!$G9768=CONFIG_METADATA!$B$4),IF(DATOS!$G9768="EX",1,IF(DATOS!$G9768="OR",--(COUNTIFS(nNIA,DATOS!$A9768,nCURSO,DATOS!$D9768,nESPEC,DATOS!$E9768,nASIG,DATOS!$I9768,nEVAL,"EX")=0),0))))</f>
      </c>
      <c r="H9768">
        <f>IF(DATOS!$G9768&lt;&gt;"EX",0,--(COUNTIFS(nNIA,DATOS!$A9768,nCURSO,DATOS!$D9768,nESPEC,DATOS!$E9768,nASIG,DATOS!$I9768,nEVAL,"OR")=0))</f>
      </c>
      <c r="I9768">
        <f>IF(DATOS!$I9768="","",IFERROR(VLOOKUP(DATOS!$I9768,CONFIG_ASIGNATURAS!$B$2:$J$91,9,FALSE()),""))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IF(DATOS!$A9769="",0,IF(CONFIG_METADATA!$B$4&lt;&gt;"OR+EX",--(DATOS!$G9769=CONFIG_METADATA!$B$4),IF(DATOS!$G9769="EX",1,IF(DATOS!$G9769="OR",--(COUNTIFS(nNIA,DATOS!$A9769,nCURSO,DATOS!$D9769,nESPEC,DATOS!$E9769,nASIG,DATOS!$I9769,nEVAL,"EX")=0),0))))</f>
      </c>
      <c r="H9769">
        <f>IF(DATOS!$G9769&lt;&gt;"EX",0,--(COUNTIFS(nNIA,DATOS!$A9769,nCURSO,DATOS!$D9769,nESPEC,DATOS!$E9769,nASIG,DATOS!$I9769,nEVAL,"OR")=0))</f>
      </c>
      <c r="I9769">
        <f>IF(DATOS!$I9769="","",IFERROR(VLOOKUP(DATOS!$I9769,CONFIG_ASIGNATURAS!$B$2:$J$91,9,FALSE()),""))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IF(DATOS!$A9770="",0,IF(CONFIG_METADATA!$B$4&lt;&gt;"OR+EX",--(DATOS!$G9770=CONFIG_METADATA!$B$4),IF(DATOS!$G9770="EX",1,IF(DATOS!$G9770="OR",--(COUNTIFS(nNIA,DATOS!$A9770,nCURSO,DATOS!$D9770,nESPEC,DATOS!$E9770,nASIG,DATOS!$I9770,nEVAL,"EX")=0),0))))</f>
      </c>
      <c r="H9770">
        <f>IF(DATOS!$G9770&lt;&gt;"EX",0,--(COUNTIFS(nNIA,DATOS!$A9770,nCURSO,DATOS!$D9770,nESPEC,DATOS!$E9770,nASIG,DATOS!$I9770,nEVAL,"OR")=0))</f>
      </c>
      <c r="I9770">
        <f>IF(DATOS!$I9770="","",IFERROR(VLOOKUP(DATOS!$I9770,CONFIG_ASIGNATURAS!$B$2:$J$91,9,FALSE()),""))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IF(DATOS!$A9771="",0,IF(CONFIG_METADATA!$B$4&lt;&gt;"OR+EX",--(DATOS!$G9771=CONFIG_METADATA!$B$4),IF(DATOS!$G9771="EX",1,IF(DATOS!$G9771="OR",--(COUNTIFS(nNIA,DATOS!$A9771,nCURSO,DATOS!$D9771,nESPEC,DATOS!$E9771,nASIG,DATOS!$I9771,nEVAL,"EX")=0),0))))</f>
      </c>
      <c r="H9771">
        <f>IF(DATOS!$G9771&lt;&gt;"EX",0,--(COUNTIFS(nNIA,DATOS!$A9771,nCURSO,DATOS!$D9771,nESPEC,DATOS!$E9771,nASIG,DATOS!$I9771,nEVAL,"OR")=0))</f>
      </c>
      <c r="I9771">
        <f>IF(DATOS!$I9771="","",IFERROR(VLOOKUP(DATOS!$I9771,CONFIG_ASIGNATURAS!$B$2:$J$91,9,FALSE()),""))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IF(DATOS!$A9772="",0,IF(CONFIG_METADATA!$B$4&lt;&gt;"OR+EX",--(DATOS!$G9772=CONFIG_METADATA!$B$4),IF(DATOS!$G9772="EX",1,IF(DATOS!$G9772="OR",--(COUNTIFS(nNIA,DATOS!$A9772,nCURSO,DATOS!$D9772,nESPEC,DATOS!$E9772,nASIG,DATOS!$I9772,nEVAL,"EX")=0),0))))</f>
      </c>
      <c r="H9772">
        <f>IF(DATOS!$G9772&lt;&gt;"EX",0,--(COUNTIFS(nNIA,DATOS!$A9772,nCURSO,DATOS!$D9772,nESPEC,DATOS!$E9772,nASIG,DATOS!$I9772,nEVAL,"OR")=0))</f>
      </c>
      <c r="I9772">
        <f>IF(DATOS!$I9772="","",IFERROR(VLOOKUP(DATOS!$I9772,CONFIG_ASIGNATURAS!$B$2:$J$91,9,FALSE()),""))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IF(DATOS!$A9773="",0,IF(CONFIG_METADATA!$B$4&lt;&gt;"OR+EX",--(DATOS!$G9773=CONFIG_METADATA!$B$4),IF(DATOS!$G9773="EX",1,IF(DATOS!$G9773="OR",--(COUNTIFS(nNIA,DATOS!$A9773,nCURSO,DATOS!$D9773,nESPEC,DATOS!$E9773,nASIG,DATOS!$I9773,nEVAL,"EX")=0),0))))</f>
      </c>
      <c r="H9773">
        <f>IF(DATOS!$G9773&lt;&gt;"EX",0,--(COUNTIFS(nNIA,DATOS!$A9773,nCURSO,DATOS!$D9773,nESPEC,DATOS!$E9773,nASIG,DATOS!$I9773,nEVAL,"OR")=0))</f>
      </c>
      <c r="I9773">
        <f>IF(DATOS!$I9773="","",IFERROR(VLOOKUP(DATOS!$I9773,CONFIG_ASIGNATURAS!$B$2:$J$91,9,FALSE()),""))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IF(DATOS!$A9774="",0,IF(CONFIG_METADATA!$B$4&lt;&gt;"OR+EX",--(DATOS!$G9774=CONFIG_METADATA!$B$4),IF(DATOS!$G9774="EX",1,IF(DATOS!$G9774="OR",--(COUNTIFS(nNIA,DATOS!$A9774,nCURSO,DATOS!$D9774,nESPEC,DATOS!$E9774,nASIG,DATOS!$I9774,nEVAL,"EX")=0),0))))</f>
      </c>
      <c r="H9774">
        <f>IF(DATOS!$G9774&lt;&gt;"EX",0,--(COUNTIFS(nNIA,DATOS!$A9774,nCURSO,DATOS!$D9774,nESPEC,DATOS!$E9774,nASIG,DATOS!$I9774,nEVAL,"OR")=0))</f>
      </c>
      <c r="I9774">
        <f>IF(DATOS!$I9774="","",IFERROR(VLOOKUP(DATOS!$I9774,CONFIG_ASIGNATURAS!$B$2:$J$91,9,FALSE()),""))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IF(DATOS!$A9775="",0,IF(CONFIG_METADATA!$B$4&lt;&gt;"OR+EX",--(DATOS!$G9775=CONFIG_METADATA!$B$4),IF(DATOS!$G9775="EX",1,IF(DATOS!$G9775="OR",--(COUNTIFS(nNIA,DATOS!$A9775,nCURSO,DATOS!$D9775,nESPEC,DATOS!$E9775,nASIG,DATOS!$I9775,nEVAL,"EX")=0),0))))</f>
      </c>
      <c r="H9775">
        <f>IF(DATOS!$G9775&lt;&gt;"EX",0,--(COUNTIFS(nNIA,DATOS!$A9775,nCURSO,DATOS!$D9775,nESPEC,DATOS!$E9775,nASIG,DATOS!$I9775,nEVAL,"OR")=0))</f>
      </c>
      <c r="I9775">
        <f>IF(DATOS!$I9775="","",IFERROR(VLOOKUP(DATOS!$I9775,CONFIG_ASIGNATURAS!$B$2:$J$91,9,FALSE()),""))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IF(DATOS!$A9776="",0,IF(CONFIG_METADATA!$B$4&lt;&gt;"OR+EX",--(DATOS!$G9776=CONFIG_METADATA!$B$4),IF(DATOS!$G9776="EX",1,IF(DATOS!$G9776="OR",--(COUNTIFS(nNIA,DATOS!$A9776,nCURSO,DATOS!$D9776,nESPEC,DATOS!$E9776,nASIG,DATOS!$I9776,nEVAL,"EX")=0),0))))</f>
      </c>
      <c r="H9776">
        <f>IF(DATOS!$G9776&lt;&gt;"EX",0,--(COUNTIFS(nNIA,DATOS!$A9776,nCURSO,DATOS!$D9776,nESPEC,DATOS!$E9776,nASIG,DATOS!$I9776,nEVAL,"OR")=0))</f>
      </c>
      <c r="I9776">
        <f>IF(DATOS!$I9776="","",IFERROR(VLOOKUP(DATOS!$I9776,CONFIG_ASIGNATURAS!$B$2:$J$91,9,FALSE()),""))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IF(DATOS!$A9777="",0,IF(CONFIG_METADATA!$B$4&lt;&gt;"OR+EX",--(DATOS!$G9777=CONFIG_METADATA!$B$4),IF(DATOS!$G9777="EX",1,IF(DATOS!$G9777="OR",--(COUNTIFS(nNIA,DATOS!$A9777,nCURSO,DATOS!$D9777,nESPEC,DATOS!$E9777,nASIG,DATOS!$I9777,nEVAL,"EX")=0),0))))</f>
      </c>
      <c r="H9777">
        <f>IF(DATOS!$G9777&lt;&gt;"EX",0,--(COUNTIFS(nNIA,DATOS!$A9777,nCURSO,DATOS!$D9777,nESPEC,DATOS!$E9777,nASIG,DATOS!$I9777,nEVAL,"OR")=0))</f>
      </c>
      <c r="I9777">
        <f>IF(DATOS!$I9777="","",IFERROR(VLOOKUP(DATOS!$I9777,CONFIG_ASIGNATURAS!$B$2:$J$91,9,FALSE()),""))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IF(DATOS!$A9778="",0,IF(CONFIG_METADATA!$B$4&lt;&gt;"OR+EX",--(DATOS!$G9778=CONFIG_METADATA!$B$4),IF(DATOS!$G9778="EX",1,IF(DATOS!$G9778="OR",--(COUNTIFS(nNIA,DATOS!$A9778,nCURSO,DATOS!$D9778,nESPEC,DATOS!$E9778,nASIG,DATOS!$I9778,nEVAL,"EX")=0),0))))</f>
      </c>
      <c r="H9778">
        <f>IF(DATOS!$G9778&lt;&gt;"EX",0,--(COUNTIFS(nNIA,DATOS!$A9778,nCURSO,DATOS!$D9778,nESPEC,DATOS!$E9778,nASIG,DATOS!$I9778,nEVAL,"OR")=0))</f>
      </c>
      <c r="I9778">
        <f>IF(DATOS!$I9778="","",IFERROR(VLOOKUP(DATOS!$I9778,CONFIG_ASIGNATURAS!$B$2:$J$91,9,FALSE()),""))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IF(DATOS!$A9779="",0,IF(CONFIG_METADATA!$B$4&lt;&gt;"OR+EX",--(DATOS!$G9779=CONFIG_METADATA!$B$4),IF(DATOS!$G9779="EX",1,IF(DATOS!$G9779="OR",--(COUNTIFS(nNIA,DATOS!$A9779,nCURSO,DATOS!$D9779,nESPEC,DATOS!$E9779,nASIG,DATOS!$I9779,nEVAL,"EX")=0),0))))</f>
      </c>
      <c r="H9779">
        <f>IF(DATOS!$G9779&lt;&gt;"EX",0,--(COUNTIFS(nNIA,DATOS!$A9779,nCURSO,DATOS!$D9779,nESPEC,DATOS!$E9779,nASIG,DATOS!$I9779,nEVAL,"OR")=0))</f>
      </c>
      <c r="I9779">
        <f>IF(DATOS!$I9779="","",IFERROR(VLOOKUP(DATOS!$I9779,CONFIG_ASIGNATURAS!$B$2:$J$91,9,FALSE()),""))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IF(DATOS!$A9780="",0,IF(CONFIG_METADATA!$B$4&lt;&gt;"OR+EX",--(DATOS!$G9780=CONFIG_METADATA!$B$4),IF(DATOS!$G9780="EX",1,IF(DATOS!$G9780="OR",--(COUNTIFS(nNIA,DATOS!$A9780,nCURSO,DATOS!$D9780,nESPEC,DATOS!$E9780,nASIG,DATOS!$I9780,nEVAL,"EX")=0),0))))</f>
      </c>
      <c r="H9780">
        <f>IF(DATOS!$G9780&lt;&gt;"EX",0,--(COUNTIFS(nNIA,DATOS!$A9780,nCURSO,DATOS!$D9780,nESPEC,DATOS!$E9780,nASIG,DATOS!$I9780,nEVAL,"OR")=0))</f>
      </c>
      <c r="I9780">
        <f>IF(DATOS!$I9780="","",IFERROR(VLOOKUP(DATOS!$I9780,CONFIG_ASIGNATURAS!$B$2:$J$91,9,FALSE()),""))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IF(DATOS!$A9781="",0,IF(CONFIG_METADATA!$B$4&lt;&gt;"OR+EX",--(DATOS!$G9781=CONFIG_METADATA!$B$4),IF(DATOS!$G9781="EX",1,IF(DATOS!$G9781="OR",--(COUNTIFS(nNIA,DATOS!$A9781,nCURSO,DATOS!$D9781,nESPEC,DATOS!$E9781,nASIG,DATOS!$I9781,nEVAL,"EX")=0),0))))</f>
      </c>
      <c r="H9781">
        <f>IF(DATOS!$G9781&lt;&gt;"EX",0,--(COUNTIFS(nNIA,DATOS!$A9781,nCURSO,DATOS!$D9781,nESPEC,DATOS!$E9781,nASIG,DATOS!$I9781,nEVAL,"OR")=0))</f>
      </c>
      <c r="I9781">
        <f>IF(DATOS!$I9781="","",IFERROR(VLOOKUP(DATOS!$I9781,CONFIG_ASIGNATURAS!$B$2:$J$91,9,FALSE()),""))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IF(DATOS!$A9782="",0,IF(CONFIG_METADATA!$B$4&lt;&gt;"OR+EX",--(DATOS!$G9782=CONFIG_METADATA!$B$4),IF(DATOS!$G9782="EX",1,IF(DATOS!$G9782="OR",--(COUNTIFS(nNIA,DATOS!$A9782,nCURSO,DATOS!$D9782,nESPEC,DATOS!$E9782,nASIG,DATOS!$I9782,nEVAL,"EX")=0),0))))</f>
      </c>
      <c r="H9782">
        <f>IF(DATOS!$G9782&lt;&gt;"EX",0,--(COUNTIFS(nNIA,DATOS!$A9782,nCURSO,DATOS!$D9782,nESPEC,DATOS!$E9782,nASIG,DATOS!$I9782,nEVAL,"OR")=0))</f>
      </c>
      <c r="I9782">
        <f>IF(DATOS!$I9782="","",IFERROR(VLOOKUP(DATOS!$I9782,CONFIG_ASIGNATURAS!$B$2:$J$91,9,FALSE()),""))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IF(DATOS!$A9783="",0,IF(CONFIG_METADATA!$B$4&lt;&gt;"OR+EX",--(DATOS!$G9783=CONFIG_METADATA!$B$4),IF(DATOS!$G9783="EX",1,IF(DATOS!$G9783="OR",--(COUNTIFS(nNIA,DATOS!$A9783,nCURSO,DATOS!$D9783,nESPEC,DATOS!$E9783,nASIG,DATOS!$I9783,nEVAL,"EX")=0),0))))</f>
      </c>
      <c r="H9783">
        <f>IF(DATOS!$G9783&lt;&gt;"EX",0,--(COUNTIFS(nNIA,DATOS!$A9783,nCURSO,DATOS!$D9783,nESPEC,DATOS!$E9783,nASIG,DATOS!$I9783,nEVAL,"OR")=0))</f>
      </c>
      <c r="I9783">
        <f>IF(DATOS!$I9783="","",IFERROR(VLOOKUP(DATOS!$I9783,CONFIG_ASIGNATURAS!$B$2:$J$91,9,FALSE()),""))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IF(DATOS!$A9784="",0,IF(CONFIG_METADATA!$B$4&lt;&gt;"OR+EX",--(DATOS!$G9784=CONFIG_METADATA!$B$4),IF(DATOS!$G9784="EX",1,IF(DATOS!$G9784="OR",--(COUNTIFS(nNIA,DATOS!$A9784,nCURSO,DATOS!$D9784,nESPEC,DATOS!$E9784,nASIG,DATOS!$I9784,nEVAL,"EX")=0),0))))</f>
      </c>
      <c r="H9784">
        <f>IF(DATOS!$G9784&lt;&gt;"EX",0,--(COUNTIFS(nNIA,DATOS!$A9784,nCURSO,DATOS!$D9784,nESPEC,DATOS!$E9784,nASIG,DATOS!$I9784,nEVAL,"OR")=0))</f>
      </c>
      <c r="I9784">
        <f>IF(DATOS!$I9784="","",IFERROR(VLOOKUP(DATOS!$I9784,CONFIG_ASIGNATURAS!$B$2:$J$91,9,FALSE()),""))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IF(DATOS!$A9785="",0,IF(CONFIG_METADATA!$B$4&lt;&gt;"OR+EX",--(DATOS!$G9785=CONFIG_METADATA!$B$4),IF(DATOS!$G9785="EX",1,IF(DATOS!$G9785="OR",--(COUNTIFS(nNIA,DATOS!$A9785,nCURSO,DATOS!$D9785,nESPEC,DATOS!$E9785,nASIG,DATOS!$I9785,nEVAL,"EX")=0),0))))</f>
      </c>
      <c r="H9785">
        <f>IF(DATOS!$G9785&lt;&gt;"EX",0,--(COUNTIFS(nNIA,DATOS!$A9785,nCURSO,DATOS!$D9785,nESPEC,DATOS!$E9785,nASIG,DATOS!$I9785,nEVAL,"OR")=0))</f>
      </c>
      <c r="I9785">
        <f>IF(DATOS!$I9785="","",IFERROR(VLOOKUP(DATOS!$I9785,CONFIG_ASIGNATURAS!$B$2:$J$91,9,FALSE()),""))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IF(DATOS!$A9786="",0,IF(CONFIG_METADATA!$B$4&lt;&gt;"OR+EX",--(DATOS!$G9786=CONFIG_METADATA!$B$4),IF(DATOS!$G9786="EX",1,IF(DATOS!$G9786="OR",--(COUNTIFS(nNIA,DATOS!$A9786,nCURSO,DATOS!$D9786,nESPEC,DATOS!$E9786,nASIG,DATOS!$I9786,nEVAL,"EX")=0),0))))</f>
      </c>
      <c r="H9786">
        <f>IF(DATOS!$G9786&lt;&gt;"EX",0,--(COUNTIFS(nNIA,DATOS!$A9786,nCURSO,DATOS!$D9786,nESPEC,DATOS!$E9786,nASIG,DATOS!$I9786,nEVAL,"OR")=0))</f>
      </c>
      <c r="I9786">
        <f>IF(DATOS!$I9786="","",IFERROR(VLOOKUP(DATOS!$I9786,CONFIG_ASIGNATURAS!$B$2:$J$91,9,FALSE()),""))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IF(DATOS!$A9787="",0,IF(CONFIG_METADATA!$B$4&lt;&gt;"OR+EX",--(DATOS!$G9787=CONFIG_METADATA!$B$4),IF(DATOS!$G9787="EX",1,IF(DATOS!$G9787="OR",--(COUNTIFS(nNIA,DATOS!$A9787,nCURSO,DATOS!$D9787,nESPEC,DATOS!$E9787,nASIG,DATOS!$I9787,nEVAL,"EX")=0),0))))</f>
      </c>
      <c r="H9787">
        <f>IF(DATOS!$G9787&lt;&gt;"EX",0,--(COUNTIFS(nNIA,DATOS!$A9787,nCURSO,DATOS!$D9787,nESPEC,DATOS!$E9787,nASIG,DATOS!$I9787,nEVAL,"OR")=0))</f>
      </c>
      <c r="I9787">
        <f>IF(DATOS!$I9787="","",IFERROR(VLOOKUP(DATOS!$I9787,CONFIG_ASIGNATURAS!$B$2:$J$91,9,FALSE()),""))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IF(DATOS!$A9788="",0,IF(CONFIG_METADATA!$B$4&lt;&gt;"OR+EX",--(DATOS!$G9788=CONFIG_METADATA!$B$4),IF(DATOS!$G9788="EX",1,IF(DATOS!$G9788="OR",--(COUNTIFS(nNIA,DATOS!$A9788,nCURSO,DATOS!$D9788,nESPEC,DATOS!$E9788,nASIG,DATOS!$I9788,nEVAL,"EX")=0),0))))</f>
      </c>
      <c r="H9788">
        <f>IF(DATOS!$G9788&lt;&gt;"EX",0,--(COUNTIFS(nNIA,DATOS!$A9788,nCURSO,DATOS!$D9788,nESPEC,DATOS!$E9788,nASIG,DATOS!$I9788,nEVAL,"OR")=0))</f>
      </c>
      <c r="I9788">
        <f>IF(DATOS!$I9788="","",IFERROR(VLOOKUP(DATOS!$I9788,CONFIG_ASIGNATURAS!$B$2:$J$91,9,FALSE()),""))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IF(DATOS!$A9789="",0,IF(CONFIG_METADATA!$B$4&lt;&gt;"OR+EX",--(DATOS!$G9789=CONFIG_METADATA!$B$4),IF(DATOS!$G9789="EX",1,IF(DATOS!$G9789="OR",--(COUNTIFS(nNIA,DATOS!$A9789,nCURSO,DATOS!$D9789,nESPEC,DATOS!$E9789,nASIG,DATOS!$I9789,nEVAL,"EX")=0),0))))</f>
      </c>
      <c r="H9789">
        <f>IF(DATOS!$G9789&lt;&gt;"EX",0,--(COUNTIFS(nNIA,DATOS!$A9789,nCURSO,DATOS!$D9789,nESPEC,DATOS!$E9789,nASIG,DATOS!$I9789,nEVAL,"OR")=0))</f>
      </c>
      <c r="I9789">
        <f>IF(DATOS!$I9789="","",IFERROR(VLOOKUP(DATOS!$I9789,CONFIG_ASIGNATURAS!$B$2:$J$91,9,FALSE()),""))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IF(DATOS!$A9790="",0,IF(CONFIG_METADATA!$B$4&lt;&gt;"OR+EX",--(DATOS!$G9790=CONFIG_METADATA!$B$4),IF(DATOS!$G9790="EX",1,IF(DATOS!$G9790="OR",--(COUNTIFS(nNIA,DATOS!$A9790,nCURSO,DATOS!$D9790,nESPEC,DATOS!$E9790,nASIG,DATOS!$I9790,nEVAL,"EX")=0),0))))</f>
      </c>
      <c r="H9790">
        <f>IF(DATOS!$G9790&lt;&gt;"EX",0,--(COUNTIFS(nNIA,DATOS!$A9790,nCURSO,DATOS!$D9790,nESPEC,DATOS!$E9790,nASIG,DATOS!$I9790,nEVAL,"OR")=0))</f>
      </c>
      <c r="I9790">
        <f>IF(DATOS!$I9790="","",IFERROR(VLOOKUP(DATOS!$I9790,CONFIG_ASIGNATURAS!$B$2:$J$91,9,FALSE()),""))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IF(DATOS!$A9791="",0,IF(CONFIG_METADATA!$B$4&lt;&gt;"OR+EX",--(DATOS!$G9791=CONFIG_METADATA!$B$4),IF(DATOS!$G9791="EX",1,IF(DATOS!$G9791="OR",--(COUNTIFS(nNIA,DATOS!$A9791,nCURSO,DATOS!$D9791,nESPEC,DATOS!$E9791,nASIG,DATOS!$I9791,nEVAL,"EX")=0),0))))</f>
      </c>
      <c r="H9791">
        <f>IF(DATOS!$G9791&lt;&gt;"EX",0,--(COUNTIFS(nNIA,DATOS!$A9791,nCURSO,DATOS!$D9791,nESPEC,DATOS!$E9791,nASIG,DATOS!$I9791,nEVAL,"OR")=0))</f>
      </c>
      <c r="I9791">
        <f>IF(DATOS!$I9791="","",IFERROR(VLOOKUP(DATOS!$I9791,CONFIG_ASIGNATURAS!$B$2:$J$91,9,FALSE()),""))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IF(DATOS!$A9792="",0,IF(CONFIG_METADATA!$B$4&lt;&gt;"OR+EX",--(DATOS!$G9792=CONFIG_METADATA!$B$4),IF(DATOS!$G9792="EX",1,IF(DATOS!$G9792="OR",--(COUNTIFS(nNIA,DATOS!$A9792,nCURSO,DATOS!$D9792,nESPEC,DATOS!$E9792,nASIG,DATOS!$I9792,nEVAL,"EX")=0),0))))</f>
      </c>
      <c r="H9792">
        <f>IF(DATOS!$G9792&lt;&gt;"EX",0,--(COUNTIFS(nNIA,DATOS!$A9792,nCURSO,DATOS!$D9792,nESPEC,DATOS!$E9792,nASIG,DATOS!$I9792,nEVAL,"OR")=0))</f>
      </c>
      <c r="I9792">
        <f>IF(DATOS!$I9792="","",IFERROR(VLOOKUP(DATOS!$I9792,CONFIG_ASIGNATURAS!$B$2:$J$91,9,FALSE()),""))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IF(DATOS!$A9793="",0,IF(CONFIG_METADATA!$B$4&lt;&gt;"OR+EX",--(DATOS!$G9793=CONFIG_METADATA!$B$4),IF(DATOS!$G9793="EX",1,IF(DATOS!$G9793="OR",--(COUNTIFS(nNIA,DATOS!$A9793,nCURSO,DATOS!$D9793,nESPEC,DATOS!$E9793,nASIG,DATOS!$I9793,nEVAL,"EX")=0),0))))</f>
      </c>
      <c r="H9793">
        <f>IF(DATOS!$G9793&lt;&gt;"EX",0,--(COUNTIFS(nNIA,DATOS!$A9793,nCURSO,DATOS!$D9793,nESPEC,DATOS!$E9793,nASIG,DATOS!$I9793,nEVAL,"OR")=0))</f>
      </c>
      <c r="I9793">
        <f>IF(DATOS!$I9793="","",IFERROR(VLOOKUP(DATOS!$I9793,CONFIG_ASIGNATURAS!$B$2:$J$91,9,FALSE()),""))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IF(DATOS!$A9794="",0,IF(CONFIG_METADATA!$B$4&lt;&gt;"OR+EX",--(DATOS!$G9794=CONFIG_METADATA!$B$4),IF(DATOS!$G9794="EX",1,IF(DATOS!$G9794="OR",--(COUNTIFS(nNIA,DATOS!$A9794,nCURSO,DATOS!$D9794,nESPEC,DATOS!$E9794,nASIG,DATOS!$I9794,nEVAL,"EX")=0),0))))</f>
      </c>
      <c r="H9794">
        <f>IF(DATOS!$G9794&lt;&gt;"EX",0,--(COUNTIFS(nNIA,DATOS!$A9794,nCURSO,DATOS!$D9794,nESPEC,DATOS!$E9794,nASIG,DATOS!$I9794,nEVAL,"OR")=0))</f>
      </c>
      <c r="I9794">
        <f>IF(DATOS!$I9794="","",IFERROR(VLOOKUP(DATOS!$I9794,CONFIG_ASIGNATURAS!$B$2:$J$91,9,FALSE()),""))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IF(DATOS!$A9795="",0,IF(CONFIG_METADATA!$B$4&lt;&gt;"OR+EX",--(DATOS!$G9795=CONFIG_METADATA!$B$4),IF(DATOS!$G9795="EX",1,IF(DATOS!$G9795="OR",--(COUNTIFS(nNIA,DATOS!$A9795,nCURSO,DATOS!$D9795,nESPEC,DATOS!$E9795,nASIG,DATOS!$I9795,nEVAL,"EX")=0),0))))</f>
      </c>
      <c r="H9795">
        <f>IF(DATOS!$G9795&lt;&gt;"EX",0,--(COUNTIFS(nNIA,DATOS!$A9795,nCURSO,DATOS!$D9795,nESPEC,DATOS!$E9795,nASIG,DATOS!$I9795,nEVAL,"OR")=0))</f>
      </c>
      <c r="I9795">
        <f>IF(DATOS!$I9795="","",IFERROR(VLOOKUP(DATOS!$I9795,CONFIG_ASIGNATURAS!$B$2:$J$91,9,FALSE()),""))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IF(DATOS!$A9796="",0,IF(CONFIG_METADATA!$B$4&lt;&gt;"OR+EX",--(DATOS!$G9796=CONFIG_METADATA!$B$4),IF(DATOS!$G9796="EX",1,IF(DATOS!$G9796="OR",--(COUNTIFS(nNIA,DATOS!$A9796,nCURSO,DATOS!$D9796,nESPEC,DATOS!$E9796,nASIG,DATOS!$I9796,nEVAL,"EX")=0),0))))</f>
      </c>
      <c r="H9796">
        <f>IF(DATOS!$G9796&lt;&gt;"EX",0,--(COUNTIFS(nNIA,DATOS!$A9796,nCURSO,DATOS!$D9796,nESPEC,DATOS!$E9796,nASIG,DATOS!$I9796,nEVAL,"OR")=0))</f>
      </c>
      <c r="I9796">
        <f>IF(DATOS!$I9796="","",IFERROR(VLOOKUP(DATOS!$I9796,CONFIG_ASIGNATURAS!$B$2:$J$91,9,FALSE()),""))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IF(DATOS!$A9797="",0,IF(CONFIG_METADATA!$B$4&lt;&gt;"OR+EX",--(DATOS!$G9797=CONFIG_METADATA!$B$4),IF(DATOS!$G9797="EX",1,IF(DATOS!$G9797="OR",--(COUNTIFS(nNIA,DATOS!$A9797,nCURSO,DATOS!$D9797,nESPEC,DATOS!$E9797,nASIG,DATOS!$I9797,nEVAL,"EX")=0),0))))</f>
      </c>
      <c r="H9797">
        <f>IF(DATOS!$G9797&lt;&gt;"EX",0,--(COUNTIFS(nNIA,DATOS!$A9797,nCURSO,DATOS!$D9797,nESPEC,DATOS!$E9797,nASIG,DATOS!$I9797,nEVAL,"OR")=0))</f>
      </c>
      <c r="I9797">
        <f>IF(DATOS!$I9797="","",IFERROR(VLOOKUP(DATOS!$I9797,CONFIG_ASIGNATURAS!$B$2:$J$91,9,FALSE()),""))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IF(DATOS!$A9798="",0,IF(CONFIG_METADATA!$B$4&lt;&gt;"OR+EX",--(DATOS!$G9798=CONFIG_METADATA!$B$4),IF(DATOS!$G9798="EX",1,IF(DATOS!$G9798="OR",--(COUNTIFS(nNIA,DATOS!$A9798,nCURSO,DATOS!$D9798,nESPEC,DATOS!$E9798,nASIG,DATOS!$I9798,nEVAL,"EX")=0),0))))</f>
      </c>
      <c r="H9798">
        <f>IF(DATOS!$G9798&lt;&gt;"EX",0,--(COUNTIFS(nNIA,DATOS!$A9798,nCURSO,DATOS!$D9798,nESPEC,DATOS!$E9798,nASIG,DATOS!$I9798,nEVAL,"OR")=0))</f>
      </c>
      <c r="I9798">
        <f>IF(DATOS!$I9798="","",IFERROR(VLOOKUP(DATOS!$I9798,CONFIG_ASIGNATURAS!$B$2:$J$91,9,FALSE()),""))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IF(DATOS!$A9799="",0,IF(CONFIG_METADATA!$B$4&lt;&gt;"OR+EX",--(DATOS!$G9799=CONFIG_METADATA!$B$4),IF(DATOS!$G9799="EX",1,IF(DATOS!$G9799="OR",--(COUNTIFS(nNIA,DATOS!$A9799,nCURSO,DATOS!$D9799,nESPEC,DATOS!$E9799,nASIG,DATOS!$I9799,nEVAL,"EX")=0),0))))</f>
      </c>
      <c r="H9799">
        <f>IF(DATOS!$G9799&lt;&gt;"EX",0,--(COUNTIFS(nNIA,DATOS!$A9799,nCURSO,DATOS!$D9799,nESPEC,DATOS!$E9799,nASIG,DATOS!$I9799,nEVAL,"OR")=0))</f>
      </c>
      <c r="I9799">
        <f>IF(DATOS!$I9799="","",IFERROR(VLOOKUP(DATOS!$I9799,CONFIG_ASIGNATURAS!$B$2:$J$91,9,FALSE()),""))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IF(DATOS!$A9800="",0,IF(CONFIG_METADATA!$B$4&lt;&gt;"OR+EX",--(DATOS!$G9800=CONFIG_METADATA!$B$4),IF(DATOS!$G9800="EX",1,IF(DATOS!$G9800="OR",--(COUNTIFS(nNIA,DATOS!$A9800,nCURSO,DATOS!$D9800,nESPEC,DATOS!$E9800,nASIG,DATOS!$I9800,nEVAL,"EX")=0),0))))</f>
      </c>
      <c r="H9800">
        <f>IF(DATOS!$G9800&lt;&gt;"EX",0,--(COUNTIFS(nNIA,DATOS!$A9800,nCURSO,DATOS!$D9800,nESPEC,DATOS!$E9800,nASIG,DATOS!$I9800,nEVAL,"OR")=0))</f>
      </c>
      <c r="I9800">
        <f>IF(DATOS!$I9800="","",IFERROR(VLOOKUP(DATOS!$I9800,CONFIG_ASIGNATURAS!$B$2:$J$91,9,FALSE()),""))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IF(DATOS!$A9801="",0,IF(CONFIG_METADATA!$B$4&lt;&gt;"OR+EX",--(DATOS!$G9801=CONFIG_METADATA!$B$4),IF(DATOS!$G9801="EX",1,IF(DATOS!$G9801="OR",--(COUNTIFS(nNIA,DATOS!$A9801,nCURSO,DATOS!$D9801,nESPEC,DATOS!$E9801,nASIG,DATOS!$I9801,nEVAL,"EX")=0),0))))</f>
      </c>
      <c r="H9801">
        <f>IF(DATOS!$G9801&lt;&gt;"EX",0,--(COUNTIFS(nNIA,DATOS!$A9801,nCURSO,DATOS!$D9801,nESPEC,DATOS!$E9801,nASIG,DATOS!$I9801,nEVAL,"OR")=0))</f>
      </c>
      <c r="I9801">
        <f>IF(DATOS!$I9801="","",IFERROR(VLOOKUP(DATOS!$I9801,CONFIG_ASIGNATURAS!$B$2:$J$91,9,FALSE()),""))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IF(DATOS!$A9802="",0,IF(CONFIG_METADATA!$B$4&lt;&gt;"OR+EX",--(DATOS!$G9802=CONFIG_METADATA!$B$4),IF(DATOS!$G9802="EX",1,IF(DATOS!$G9802="OR",--(COUNTIFS(nNIA,DATOS!$A9802,nCURSO,DATOS!$D9802,nESPEC,DATOS!$E9802,nASIG,DATOS!$I9802,nEVAL,"EX")=0),0))))</f>
      </c>
      <c r="H9802">
        <f>IF(DATOS!$G9802&lt;&gt;"EX",0,--(COUNTIFS(nNIA,DATOS!$A9802,nCURSO,DATOS!$D9802,nESPEC,DATOS!$E9802,nASIG,DATOS!$I9802,nEVAL,"OR")=0))</f>
      </c>
      <c r="I9802">
        <f>IF(DATOS!$I9802="","",IFERROR(VLOOKUP(DATOS!$I9802,CONFIG_ASIGNATURAS!$B$2:$J$91,9,FALSE()),""))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IF(DATOS!$A9803="",0,IF(CONFIG_METADATA!$B$4&lt;&gt;"OR+EX",--(DATOS!$G9803=CONFIG_METADATA!$B$4),IF(DATOS!$G9803="EX",1,IF(DATOS!$G9803="OR",--(COUNTIFS(nNIA,DATOS!$A9803,nCURSO,DATOS!$D9803,nESPEC,DATOS!$E9803,nASIG,DATOS!$I9803,nEVAL,"EX")=0),0))))</f>
      </c>
      <c r="H9803">
        <f>IF(DATOS!$G9803&lt;&gt;"EX",0,--(COUNTIFS(nNIA,DATOS!$A9803,nCURSO,DATOS!$D9803,nESPEC,DATOS!$E9803,nASIG,DATOS!$I9803,nEVAL,"OR")=0))</f>
      </c>
      <c r="I9803">
        <f>IF(DATOS!$I9803="","",IFERROR(VLOOKUP(DATOS!$I9803,CONFIG_ASIGNATURAS!$B$2:$J$91,9,FALSE()),""))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IF(DATOS!$A9804="",0,IF(CONFIG_METADATA!$B$4&lt;&gt;"OR+EX",--(DATOS!$G9804=CONFIG_METADATA!$B$4),IF(DATOS!$G9804="EX",1,IF(DATOS!$G9804="OR",--(COUNTIFS(nNIA,DATOS!$A9804,nCURSO,DATOS!$D9804,nESPEC,DATOS!$E9804,nASIG,DATOS!$I9804,nEVAL,"EX")=0),0))))</f>
      </c>
      <c r="H9804">
        <f>IF(DATOS!$G9804&lt;&gt;"EX",0,--(COUNTIFS(nNIA,DATOS!$A9804,nCURSO,DATOS!$D9804,nESPEC,DATOS!$E9804,nASIG,DATOS!$I9804,nEVAL,"OR")=0))</f>
      </c>
      <c r="I9804">
        <f>IF(DATOS!$I9804="","",IFERROR(VLOOKUP(DATOS!$I9804,CONFIG_ASIGNATURAS!$B$2:$J$91,9,FALSE()),""))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IF(DATOS!$A9805="",0,IF(CONFIG_METADATA!$B$4&lt;&gt;"OR+EX",--(DATOS!$G9805=CONFIG_METADATA!$B$4),IF(DATOS!$G9805="EX",1,IF(DATOS!$G9805="OR",--(COUNTIFS(nNIA,DATOS!$A9805,nCURSO,DATOS!$D9805,nESPEC,DATOS!$E9805,nASIG,DATOS!$I9805,nEVAL,"EX")=0),0))))</f>
      </c>
      <c r="H9805">
        <f>IF(DATOS!$G9805&lt;&gt;"EX",0,--(COUNTIFS(nNIA,DATOS!$A9805,nCURSO,DATOS!$D9805,nESPEC,DATOS!$E9805,nASIG,DATOS!$I9805,nEVAL,"OR")=0))</f>
      </c>
      <c r="I9805">
        <f>IF(DATOS!$I9805="","",IFERROR(VLOOKUP(DATOS!$I9805,CONFIG_ASIGNATURAS!$B$2:$J$91,9,FALSE()),""))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IF(DATOS!$A9806="",0,IF(CONFIG_METADATA!$B$4&lt;&gt;"OR+EX",--(DATOS!$G9806=CONFIG_METADATA!$B$4),IF(DATOS!$G9806="EX",1,IF(DATOS!$G9806="OR",--(COUNTIFS(nNIA,DATOS!$A9806,nCURSO,DATOS!$D9806,nESPEC,DATOS!$E9806,nASIG,DATOS!$I9806,nEVAL,"EX")=0),0))))</f>
      </c>
      <c r="H9806">
        <f>IF(DATOS!$G9806&lt;&gt;"EX",0,--(COUNTIFS(nNIA,DATOS!$A9806,nCURSO,DATOS!$D9806,nESPEC,DATOS!$E9806,nASIG,DATOS!$I9806,nEVAL,"OR")=0))</f>
      </c>
      <c r="I9806">
        <f>IF(DATOS!$I9806="","",IFERROR(VLOOKUP(DATOS!$I9806,CONFIG_ASIGNATURAS!$B$2:$J$91,9,FALSE()),""))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IF(DATOS!$A9807="",0,IF(CONFIG_METADATA!$B$4&lt;&gt;"OR+EX",--(DATOS!$G9807=CONFIG_METADATA!$B$4),IF(DATOS!$G9807="EX",1,IF(DATOS!$G9807="OR",--(COUNTIFS(nNIA,DATOS!$A9807,nCURSO,DATOS!$D9807,nESPEC,DATOS!$E9807,nASIG,DATOS!$I9807,nEVAL,"EX")=0),0))))</f>
      </c>
      <c r="H9807">
        <f>IF(DATOS!$G9807&lt;&gt;"EX",0,--(COUNTIFS(nNIA,DATOS!$A9807,nCURSO,DATOS!$D9807,nESPEC,DATOS!$E9807,nASIG,DATOS!$I9807,nEVAL,"OR")=0))</f>
      </c>
      <c r="I9807">
        <f>IF(DATOS!$I9807="","",IFERROR(VLOOKUP(DATOS!$I9807,CONFIG_ASIGNATURAS!$B$2:$J$91,9,FALSE()),""))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IF(DATOS!$A9808="",0,IF(CONFIG_METADATA!$B$4&lt;&gt;"OR+EX",--(DATOS!$G9808=CONFIG_METADATA!$B$4),IF(DATOS!$G9808="EX",1,IF(DATOS!$G9808="OR",--(COUNTIFS(nNIA,DATOS!$A9808,nCURSO,DATOS!$D9808,nESPEC,DATOS!$E9808,nASIG,DATOS!$I9808,nEVAL,"EX")=0),0))))</f>
      </c>
      <c r="H9808">
        <f>IF(DATOS!$G9808&lt;&gt;"EX",0,--(COUNTIFS(nNIA,DATOS!$A9808,nCURSO,DATOS!$D9808,nESPEC,DATOS!$E9808,nASIG,DATOS!$I9808,nEVAL,"OR")=0))</f>
      </c>
      <c r="I9808">
        <f>IF(DATOS!$I9808="","",IFERROR(VLOOKUP(DATOS!$I9808,CONFIG_ASIGNATURAS!$B$2:$J$91,9,FALSE()),""))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IF(DATOS!$A9809="",0,IF(CONFIG_METADATA!$B$4&lt;&gt;"OR+EX",--(DATOS!$G9809=CONFIG_METADATA!$B$4),IF(DATOS!$G9809="EX",1,IF(DATOS!$G9809="OR",--(COUNTIFS(nNIA,DATOS!$A9809,nCURSO,DATOS!$D9809,nESPEC,DATOS!$E9809,nASIG,DATOS!$I9809,nEVAL,"EX")=0),0))))</f>
      </c>
      <c r="H9809">
        <f>IF(DATOS!$G9809&lt;&gt;"EX",0,--(COUNTIFS(nNIA,DATOS!$A9809,nCURSO,DATOS!$D9809,nESPEC,DATOS!$E9809,nASIG,DATOS!$I9809,nEVAL,"OR")=0))</f>
      </c>
      <c r="I9809">
        <f>IF(DATOS!$I9809="","",IFERROR(VLOOKUP(DATOS!$I9809,CONFIG_ASIGNATURAS!$B$2:$J$91,9,FALSE()),""))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IF(DATOS!$A9810="",0,IF(CONFIG_METADATA!$B$4&lt;&gt;"OR+EX",--(DATOS!$G9810=CONFIG_METADATA!$B$4),IF(DATOS!$G9810="EX",1,IF(DATOS!$G9810="OR",--(COUNTIFS(nNIA,DATOS!$A9810,nCURSO,DATOS!$D9810,nESPEC,DATOS!$E9810,nASIG,DATOS!$I9810,nEVAL,"EX")=0),0))))</f>
      </c>
      <c r="H9810">
        <f>IF(DATOS!$G9810&lt;&gt;"EX",0,--(COUNTIFS(nNIA,DATOS!$A9810,nCURSO,DATOS!$D9810,nESPEC,DATOS!$E9810,nASIG,DATOS!$I9810,nEVAL,"OR")=0))</f>
      </c>
      <c r="I9810">
        <f>IF(DATOS!$I9810="","",IFERROR(VLOOKUP(DATOS!$I9810,CONFIG_ASIGNATURAS!$B$2:$J$91,9,FALSE()),""))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IF(DATOS!$A9811="",0,IF(CONFIG_METADATA!$B$4&lt;&gt;"OR+EX",--(DATOS!$G9811=CONFIG_METADATA!$B$4),IF(DATOS!$G9811="EX",1,IF(DATOS!$G9811="OR",--(COUNTIFS(nNIA,DATOS!$A9811,nCURSO,DATOS!$D9811,nESPEC,DATOS!$E9811,nASIG,DATOS!$I9811,nEVAL,"EX")=0),0))))</f>
      </c>
      <c r="H9811">
        <f>IF(DATOS!$G9811&lt;&gt;"EX",0,--(COUNTIFS(nNIA,DATOS!$A9811,nCURSO,DATOS!$D9811,nESPEC,DATOS!$E9811,nASIG,DATOS!$I9811,nEVAL,"OR")=0))</f>
      </c>
      <c r="I9811">
        <f>IF(DATOS!$I9811="","",IFERROR(VLOOKUP(DATOS!$I9811,CONFIG_ASIGNATURAS!$B$2:$J$91,9,FALSE()),""))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IF(DATOS!$A9812="",0,IF(CONFIG_METADATA!$B$4&lt;&gt;"OR+EX",--(DATOS!$G9812=CONFIG_METADATA!$B$4),IF(DATOS!$G9812="EX",1,IF(DATOS!$G9812="OR",--(COUNTIFS(nNIA,DATOS!$A9812,nCURSO,DATOS!$D9812,nESPEC,DATOS!$E9812,nASIG,DATOS!$I9812,nEVAL,"EX")=0),0))))</f>
      </c>
      <c r="H9812">
        <f>IF(DATOS!$G9812&lt;&gt;"EX",0,--(COUNTIFS(nNIA,DATOS!$A9812,nCURSO,DATOS!$D9812,nESPEC,DATOS!$E9812,nASIG,DATOS!$I9812,nEVAL,"OR")=0))</f>
      </c>
      <c r="I9812">
        <f>IF(DATOS!$I9812="","",IFERROR(VLOOKUP(DATOS!$I9812,CONFIG_ASIGNATURAS!$B$2:$J$91,9,FALSE()),""))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IF(DATOS!$A9813="",0,IF(CONFIG_METADATA!$B$4&lt;&gt;"OR+EX",--(DATOS!$G9813=CONFIG_METADATA!$B$4),IF(DATOS!$G9813="EX",1,IF(DATOS!$G9813="OR",--(COUNTIFS(nNIA,DATOS!$A9813,nCURSO,DATOS!$D9813,nESPEC,DATOS!$E9813,nASIG,DATOS!$I9813,nEVAL,"EX")=0),0))))</f>
      </c>
      <c r="H9813">
        <f>IF(DATOS!$G9813&lt;&gt;"EX",0,--(COUNTIFS(nNIA,DATOS!$A9813,nCURSO,DATOS!$D9813,nESPEC,DATOS!$E9813,nASIG,DATOS!$I9813,nEVAL,"OR")=0))</f>
      </c>
      <c r="I9813">
        <f>IF(DATOS!$I9813="","",IFERROR(VLOOKUP(DATOS!$I9813,CONFIG_ASIGNATURAS!$B$2:$J$91,9,FALSE()),""))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IF(DATOS!$A9814="",0,IF(CONFIG_METADATA!$B$4&lt;&gt;"OR+EX",--(DATOS!$G9814=CONFIG_METADATA!$B$4),IF(DATOS!$G9814="EX",1,IF(DATOS!$G9814="OR",--(COUNTIFS(nNIA,DATOS!$A9814,nCURSO,DATOS!$D9814,nESPEC,DATOS!$E9814,nASIG,DATOS!$I9814,nEVAL,"EX")=0),0))))</f>
      </c>
      <c r="H9814">
        <f>IF(DATOS!$G9814&lt;&gt;"EX",0,--(COUNTIFS(nNIA,DATOS!$A9814,nCURSO,DATOS!$D9814,nESPEC,DATOS!$E9814,nASIG,DATOS!$I9814,nEVAL,"OR")=0))</f>
      </c>
      <c r="I9814">
        <f>IF(DATOS!$I9814="","",IFERROR(VLOOKUP(DATOS!$I9814,CONFIG_ASIGNATURAS!$B$2:$J$91,9,FALSE()),""))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IF(DATOS!$A9815="",0,IF(CONFIG_METADATA!$B$4&lt;&gt;"OR+EX",--(DATOS!$G9815=CONFIG_METADATA!$B$4),IF(DATOS!$G9815="EX",1,IF(DATOS!$G9815="OR",--(COUNTIFS(nNIA,DATOS!$A9815,nCURSO,DATOS!$D9815,nESPEC,DATOS!$E9815,nASIG,DATOS!$I9815,nEVAL,"EX")=0),0))))</f>
      </c>
      <c r="H9815">
        <f>IF(DATOS!$G9815&lt;&gt;"EX",0,--(COUNTIFS(nNIA,DATOS!$A9815,nCURSO,DATOS!$D9815,nESPEC,DATOS!$E9815,nASIG,DATOS!$I9815,nEVAL,"OR")=0))</f>
      </c>
      <c r="I9815">
        <f>IF(DATOS!$I9815="","",IFERROR(VLOOKUP(DATOS!$I9815,CONFIG_ASIGNATURAS!$B$2:$J$91,9,FALSE()),""))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IF(DATOS!$A9816="",0,IF(CONFIG_METADATA!$B$4&lt;&gt;"OR+EX",--(DATOS!$G9816=CONFIG_METADATA!$B$4),IF(DATOS!$G9816="EX",1,IF(DATOS!$G9816="OR",--(COUNTIFS(nNIA,DATOS!$A9816,nCURSO,DATOS!$D9816,nESPEC,DATOS!$E9816,nASIG,DATOS!$I9816,nEVAL,"EX")=0),0))))</f>
      </c>
      <c r="H9816">
        <f>IF(DATOS!$G9816&lt;&gt;"EX",0,--(COUNTIFS(nNIA,DATOS!$A9816,nCURSO,DATOS!$D9816,nESPEC,DATOS!$E9816,nASIG,DATOS!$I9816,nEVAL,"OR")=0))</f>
      </c>
      <c r="I9816">
        <f>IF(DATOS!$I9816="","",IFERROR(VLOOKUP(DATOS!$I9816,CONFIG_ASIGNATURAS!$B$2:$J$91,9,FALSE()),""))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IF(DATOS!$A9817="",0,IF(CONFIG_METADATA!$B$4&lt;&gt;"OR+EX",--(DATOS!$G9817=CONFIG_METADATA!$B$4),IF(DATOS!$G9817="EX",1,IF(DATOS!$G9817="OR",--(COUNTIFS(nNIA,DATOS!$A9817,nCURSO,DATOS!$D9817,nESPEC,DATOS!$E9817,nASIG,DATOS!$I9817,nEVAL,"EX")=0),0))))</f>
      </c>
      <c r="H9817">
        <f>IF(DATOS!$G9817&lt;&gt;"EX",0,--(COUNTIFS(nNIA,DATOS!$A9817,nCURSO,DATOS!$D9817,nESPEC,DATOS!$E9817,nASIG,DATOS!$I9817,nEVAL,"OR")=0))</f>
      </c>
      <c r="I9817">
        <f>IF(DATOS!$I9817="","",IFERROR(VLOOKUP(DATOS!$I9817,CONFIG_ASIGNATURAS!$B$2:$J$91,9,FALSE()),""))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IF(DATOS!$A9818="",0,IF(CONFIG_METADATA!$B$4&lt;&gt;"OR+EX",--(DATOS!$G9818=CONFIG_METADATA!$B$4),IF(DATOS!$G9818="EX",1,IF(DATOS!$G9818="OR",--(COUNTIFS(nNIA,DATOS!$A9818,nCURSO,DATOS!$D9818,nESPEC,DATOS!$E9818,nASIG,DATOS!$I9818,nEVAL,"EX")=0),0))))</f>
      </c>
      <c r="H9818">
        <f>IF(DATOS!$G9818&lt;&gt;"EX",0,--(COUNTIFS(nNIA,DATOS!$A9818,nCURSO,DATOS!$D9818,nESPEC,DATOS!$E9818,nASIG,DATOS!$I9818,nEVAL,"OR")=0))</f>
      </c>
      <c r="I9818">
        <f>IF(DATOS!$I9818="","",IFERROR(VLOOKUP(DATOS!$I9818,CONFIG_ASIGNATURAS!$B$2:$J$91,9,FALSE()),""))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IF(DATOS!$A9819="",0,IF(CONFIG_METADATA!$B$4&lt;&gt;"OR+EX",--(DATOS!$G9819=CONFIG_METADATA!$B$4),IF(DATOS!$G9819="EX",1,IF(DATOS!$G9819="OR",--(COUNTIFS(nNIA,DATOS!$A9819,nCURSO,DATOS!$D9819,nESPEC,DATOS!$E9819,nASIG,DATOS!$I9819,nEVAL,"EX")=0),0))))</f>
      </c>
      <c r="H9819">
        <f>IF(DATOS!$G9819&lt;&gt;"EX",0,--(COUNTIFS(nNIA,DATOS!$A9819,nCURSO,DATOS!$D9819,nESPEC,DATOS!$E9819,nASIG,DATOS!$I9819,nEVAL,"OR")=0))</f>
      </c>
      <c r="I9819">
        <f>IF(DATOS!$I9819="","",IFERROR(VLOOKUP(DATOS!$I9819,CONFIG_ASIGNATURAS!$B$2:$J$91,9,FALSE()),""))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IF(DATOS!$A9820="",0,IF(CONFIG_METADATA!$B$4&lt;&gt;"OR+EX",--(DATOS!$G9820=CONFIG_METADATA!$B$4),IF(DATOS!$G9820="EX",1,IF(DATOS!$G9820="OR",--(COUNTIFS(nNIA,DATOS!$A9820,nCURSO,DATOS!$D9820,nESPEC,DATOS!$E9820,nASIG,DATOS!$I9820,nEVAL,"EX")=0),0))))</f>
      </c>
      <c r="H9820">
        <f>IF(DATOS!$G9820&lt;&gt;"EX",0,--(COUNTIFS(nNIA,DATOS!$A9820,nCURSO,DATOS!$D9820,nESPEC,DATOS!$E9820,nASIG,DATOS!$I9820,nEVAL,"OR")=0))</f>
      </c>
      <c r="I9820">
        <f>IF(DATOS!$I9820="","",IFERROR(VLOOKUP(DATOS!$I9820,CONFIG_ASIGNATURAS!$B$2:$J$91,9,FALSE()),""))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IF(DATOS!$A9821="",0,IF(CONFIG_METADATA!$B$4&lt;&gt;"OR+EX",--(DATOS!$G9821=CONFIG_METADATA!$B$4),IF(DATOS!$G9821="EX",1,IF(DATOS!$G9821="OR",--(COUNTIFS(nNIA,DATOS!$A9821,nCURSO,DATOS!$D9821,nESPEC,DATOS!$E9821,nASIG,DATOS!$I9821,nEVAL,"EX")=0),0))))</f>
      </c>
      <c r="H9821">
        <f>IF(DATOS!$G9821&lt;&gt;"EX",0,--(COUNTIFS(nNIA,DATOS!$A9821,nCURSO,DATOS!$D9821,nESPEC,DATOS!$E9821,nASIG,DATOS!$I9821,nEVAL,"OR")=0))</f>
      </c>
      <c r="I9821">
        <f>IF(DATOS!$I9821="","",IFERROR(VLOOKUP(DATOS!$I9821,CONFIG_ASIGNATURAS!$B$2:$J$91,9,FALSE()),""))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IF(DATOS!$A9822="",0,IF(CONFIG_METADATA!$B$4&lt;&gt;"OR+EX",--(DATOS!$G9822=CONFIG_METADATA!$B$4),IF(DATOS!$G9822="EX",1,IF(DATOS!$G9822="OR",--(COUNTIFS(nNIA,DATOS!$A9822,nCURSO,DATOS!$D9822,nESPEC,DATOS!$E9822,nASIG,DATOS!$I9822,nEVAL,"EX")=0),0))))</f>
      </c>
      <c r="H9822">
        <f>IF(DATOS!$G9822&lt;&gt;"EX",0,--(COUNTIFS(nNIA,DATOS!$A9822,nCURSO,DATOS!$D9822,nESPEC,DATOS!$E9822,nASIG,DATOS!$I9822,nEVAL,"OR")=0))</f>
      </c>
      <c r="I9822">
        <f>IF(DATOS!$I9822="","",IFERROR(VLOOKUP(DATOS!$I9822,CONFIG_ASIGNATURAS!$B$2:$J$91,9,FALSE()),""))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IF(DATOS!$A9823="",0,IF(CONFIG_METADATA!$B$4&lt;&gt;"OR+EX",--(DATOS!$G9823=CONFIG_METADATA!$B$4),IF(DATOS!$G9823="EX",1,IF(DATOS!$G9823="OR",--(COUNTIFS(nNIA,DATOS!$A9823,nCURSO,DATOS!$D9823,nESPEC,DATOS!$E9823,nASIG,DATOS!$I9823,nEVAL,"EX")=0),0))))</f>
      </c>
      <c r="H9823">
        <f>IF(DATOS!$G9823&lt;&gt;"EX",0,--(COUNTIFS(nNIA,DATOS!$A9823,nCURSO,DATOS!$D9823,nESPEC,DATOS!$E9823,nASIG,DATOS!$I9823,nEVAL,"OR")=0))</f>
      </c>
      <c r="I9823">
        <f>IF(DATOS!$I9823="","",IFERROR(VLOOKUP(DATOS!$I9823,CONFIG_ASIGNATURAS!$B$2:$J$91,9,FALSE()),""))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IF(DATOS!$A9824="",0,IF(CONFIG_METADATA!$B$4&lt;&gt;"OR+EX",--(DATOS!$G9824=CONFIG_METADATA!$B$4),IF(DATOS!$G9824="EX",1,IF(DATOS!$G9824="OR",--(COUNTIFS(nNIA,DATOS!$A9824,nCURSO,DATOS!$D9824,nESPEC,DATOS!$E9824,nASIG,DATOS!$I9824,nEVAL,"EX")=0),0))))</f>
      </c>
      <c r="H9824">
        <f>IF(DATOS!$G9824&lt;&gt;"EX",0,--(COUNTIFS(nNIA,DATOS!$A9824,nCURSO,DATOS!$D9824,nESPEC,DATOS!$E9824,nASIG,DATOS!$I9824,nEVAL,"OR")=0))</f>
      </c>
      <c r="I9824">
        <f>IF(DATOS!$I9824="","",IFERROR(VLOOKUP(DATOS!$I9824,CONFIG_ASIGNATURAS!$B$2:$J$91,9,FALSE()),""))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IF(DATOS!$A9825="",0,IF(CONFIG_METADATA!$B$4&lt;&gt;"OR+EX",--(DATOS!$G9825=CONFIG_METADATA!$B$4),IF(DATOS!$G9825="EX",1,IF(DATOS!$G9825="OR",--(COUNTIFS(nNIA,DATOS!$A9825,nCURSO,DATOS!$D9825,nESPEC,DATOS!$E9825,nASIG,DATOS!$I9825,nEVAL,"EX")=0),0))))</f>
      </c>
      <c r="H9825">
        <f>IF(DATOS!$G9825&lt;&gt;"EX",0,--(COUNTIFS(nNIA,DATOS!$A9825,nCURSO,DATOS!$D9825,nESPEC,DATOS!$E9825,nASIG,DATOS!$I9825,nEVAL,"OR")=0))</f>
      </c>
      <c r="I9825">
        <f>IF(DATOS!$I9825="","",IFERROR(VLOOKUP(DATOS!$I9825,CONFIG_ASIGNATURAS!$B$2:$J$91,9,FALSE()),""))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IF(DATOS!$A9826="",0,IF(CONFIG_METADATA!$B$4&lt;&gt;"OR+EX",--(DATOS!$G9826=CONFIG_METADATA!$B$4),IF(DATOS!$G9826="EX",1,IF(DATOS!$G9826="OR",--(COUNTIFS(nNIA,DATOS!$A9826,nCURSO,DATOS!$D9826,nESPEC,DATOS!$E9826,nASIG,DATOS!$I9826,nEVAL,"EX")=0),0))))</f>
      </c>
      <c r="H9826">
        <f>IF(DATOS!$G9826&lt;&gt;"EX",0,--(COUNTIFS(nNIA,DATOS!$A9826,nCURSO,DATOS!$D9826,nESPEC,DATOS!$E9826,nASIG,DATOS!$I9826,nEVAL,"OR")=0))</f>
      </c>
      <c r="I9826">
        <f>IF(DATOS!$I9826="","",IFERROR(VLOOKUP(DATOS!$I9826,CONFIG_ASIGNATURAS!$B$2:$J$91,9,FALSE()),""))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IF(DATOS!$A9827="",0,IF(CONFIG_METADATA!$B$4&lt;&gt;"OR+EX",--(DATOS!$G9827=CONFIG_METADATA!$B$4),IF(DATOS!$G9827="EX",1,IF(DATOS!$G9827="OR",--(COUNTIFS(nNIA,DATOS!$A9827,nCURSO,DATOS!$D9827,nESPEC,DATOS!$E9827,nASIG,DATOS!$I9827,nEVAL,"EX")=0),0))))</f>
      </c>
      <c r="H9827">
        <f>IF(DATOS!$G9827&lt;&gt;"EX",0,--(COUNTIFS(nNIA,DATOS!$A9827,nCURSO,DATOS!$D9827,nESPEC,DATOS!$E9827,nASIG,DATOS!$I9827,nEVAL,"OR")=0))</f>
      </c>
      <c r="I9827">
        <f>IF(DATOS!$I9827="","",IFERROR(VLOOKUP(DATOS!$I9827,CONFIG_ASIGNATURAS!$B$2:$J$91,9,FALSE()),""))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IF(DATOS!$A9828="",0,IF(CONFIG_METADATA!$B$4&lt;&gt;"OR+EX",--(DATOS!$G9828=CONFIG_METADATA!$B$4),IF(DATOS!$G9828="EX",1,IF(DATOS!$G9828="OR",--(COUNTIFS(nNIA,DATOS!$A9828,nCURSO,DATOS!$D9828,nESPEC,DATOS!$E9828,nASIG,DATOS!$I9828,nEVAL,"EX")=0),0))))</f>
      </c>
      <c r="H9828">
        <f>IF(DATOS!$G9828&lt;&gt;"EX",0,--(COUNTIFS(nNIA,DATOS!$A9828,nCURSO,DATOS!$D9828,nESPEC,DATOS!$E9828,nASIG,DATOS!$I9828,nEVAL,"OR")=0))</f>
      </c>
      <c r="I9828">
        <f>IF(DATOS!$I9828="","",IFERROR(VLOOKUP(DATOS!$I9828,CONFIG_ASIGNATURAS!$B$2:$J$91,9,FALSE()),""))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IF(DATOS!$A9829="",0,IF(CONFIG_METADATA!$B$4&lt;&gt;"OR+EX",--(DATOS!$G9829=CONFIG_METADATA!$B$4),IF(DATOS!$G9829="EX",1,IF(DATOS!$G9829="OR",--(COUNTIFS(nNIA,DATOS!$A9829,nCURSO,DATOS!$D9829,nESPEC,DATOS!$E9829,nASIG,DATOS!$I9829,nEVAL,"EX")=0),0))))</f>
      </c>
      <c r="H9829">
        <f>IF(DATOS!$G9829&lt;&gt;"EX",0,--(COUNTIFS(nNIA,DATOS!$A9829,nCURSO,DATOS!$D9829,nESPEC,DATOS!$E9829,nASIG,DATOS!$I9829,nEVAL,"OR")=0))</f>
      </c>
      <c r="I9829">
        <f>IF(DATOS!$I9829="","",IFERROR(VLOOKUP(DATOS!$I9829,CONFIG_ASIGNATURAS!$B$2:$J$91,9,FALSE()),""))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IF(DATOS!$A9830="",0,IF(CONFIG_METADATA!$B$4&lt;&gt;"OR+EX",--(DATOS!$G9830=CONFIG_METADATA!$B$4),IF(DATOS!$G9830="EX",1,IF(DATOS!$G9830="OR",--(COUNTIFS(nNIA,DATOS!$A9830,nCURSO,DATOS!$D9830,nESPEC,DATOS!$E9830,nASIG,DATOS!$I9830,nEVAL,"EX")=0),0))))</f>
      </c>
      <c r="H9830">
        <f>IF(DATOS!$G9830&lt;&gt;"EX",0,--(COUNTIFS(nNIA,DATOS!$A9830,nCURSO,DATOS!$D9830,nESPEC,DATOS!$E9830,nASIG,DATOS!$I9830,nEVAL,"OR")=0))</f>
      </c>
      <c r="I9830">
        <f>IF(DATOS!$I9830="","",IFERROR(VLOOKUP(DATOS!$I9830,CONFIG_ASIGNATURAS!$B$2:$J$91,9,FALSE()),""))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IF(DATOS!$A9831="",0,IF(CONFIG_METADATA!$B$4&lt;&gt;"OR+EX",--(DATOS!$G9831=CONFIG_METADATA!$B$4),IF(DATOS!$G9831="EX",1,IF(DATOS!$G9831="OR",--(COUNTIFS(nNIA,DATOS!$A9831,nCURSO,DATOS!$D9831,nESPEC,DATOS!$E9831,nASIG,DATOS!$I9831,nEVAL,"EX")=0),0))))</f>
      </c>
      <c r="H9831">
        <f>IF(DATOS!$G9831&lt;&gt;"EX",0,--(COUNTIFS(nNIA,DATOS!$A9831,nCURSO,DATOS!$D9831,nESPEC,DATOS!$E9831,nASIG,DATOS!$I9831,nEVAL,"OR")=0))</f>
      </c>
      <c r="I9831">
        <f>IF(DATOS!$I9831="","",IFERROR(VLOOKUP(DATOS!$I9831,CONFIG_ASIGNATURAS!$B$2:$J$91,9,FALSE()),""))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IF(DATOS!$A9832="",0,IF(CONFIG_METADATA!$B$4&lt;&gt;"OR+EX",--(DATOS!$G9832=CONFIG_METADATA!$B$4),IF(DATOS!$G9832="EX",1,IF(DATOS!$G9832="OR",--(COUNTIFS(nNIA,DATOS!$A9832,nCURSO,DATOS!$D9832,nESPEC,DATOS!$E9832,nASIG,DATOS!$I9832,nEVAL,"EX")=0),0))))</f>
      </c>
      <c r="H9832">
        <f>IF(DATOS!$G9832&lt;&gt;"EX",0,--(COUNTIFS(nNIA,DATOS!$A9832,nCURSO,DATOS!$D9832,nESPEC,DATOS!$E9832,nASIG,DATOS!$I9832,nEVAL,"OR")=0))</f>
      </c>
      <c r="I9832">
        <f>IF(DATOS!$I9832="","",IFERROR(VLOOKUP(DATOS!$I9832,CONFIG_ASIGNATURAS!$B$2:$J$91,9,FALSE()),""))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IF(DATOS!$A9833="",0,IF(CONFIG_METADATA!$B$4&lt;&gt;"OR+EX",--(DATOS!$G9833=CONFIG_METADATA!$B$4),IF(DATOS!$G9833="EX",1,IF(DATOS!$G9833="OR",--(COUNTIFS(nNIA,DATOS!$A9833,nCURSO,DATOS!$D9833,nESPEC,DATOS!$E9833,nASIG,DATOS!$I9833,nEVAL,"EX")=0),0))))</f>
      </c>
      <c r="H9833">
        <f>IF(DATOS!$G9833&lt;&gt;"EX",0,--(COUNTIFS(nNIA,DATOS!$A9833,nCURSO,DATOS!$D9833,nESPEC,DATOS!$E9833,nASIG,DATOS!$I9833,nEVAL,"OR")=0))</f>
      </c>
      <c r="I9833">
        <f>IF(DATOS!$I9833="","",IFERROR(VLOOKUP(DATOS!$I9833,CONFIG_ASIGNATURAS!$B$2:$J$91,9,FALSE()),""))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IF(DATOS!$A9834="",0,IF(CONFIG_METADATA!$B$4&lt;&gt;"OR+EX",--(DATOS!$G9834=CONFIG_METADATA!$B$4),IF(DATOS!$G9834="EX",1,IF(DATOS!$G9834="OR",--(COUNTIFS(nNIA,DATOS!$A9834,nCURSO,DATOS!$D9834,nESPEC,DATOS!$E9834,nASIG,DATOS!$I9834,nEVAL,"EX")=0),0))))</f>
      </c>
      <c r="H9834">
        <f>IF(DATOS!$G9834&lt;&gt;"EX",0,--(COUNTIFS(nNIA,DATOS!$A9834,nCURSO,DATOS!$D9834,nESPEC,DATOS!$E9834,nASIG,DATOS!$I9834,nEVAL,"OR")=0))</f>
      </c>
      <c r="I9834">
        <f>IF(DATOS!$I9834="","",IFERROR(VLOOKUP(DATOS!$I9834,CONFIG_ASIGNATURAS!$B$2:$J$91,9,FALSE()),""))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IF(DATOS!$A9835="",0,IF(CONFIG_METADATA!$B$4&lt;&gt;"OR+EX",--(DATOS!$G9835=CONFIG_METADATA!$B$4),IF(DATOS!$G9835="EX",1,IF(DATOS!$G9835="OR",--(COUNTIFS(nNIA,DATOS!$A9835,nCURSO,DATOS!$D9835,nESPEC,DATOS!$E9835,nASIG,DATOS!$I9835,nEVAL,"EX")=0),0))))</f>
      </c>
      <c r="H9835">
        <f>IF(DATOS!$G9835&lt;&gt;"EX",0,--(COUNTIFS(nNIA,DATOS!$A9835,nCURSO,DATOS!$D9835,nESPEC,DATOS!$E9835,nASIG,DATOS!$I9835,nEVAL,"OR")=0))</f>
      </c>
      <c r="I9835">
        <f>IF(DATOS!$I9835="","",IFERROR(VLOOKUP(DATOS!$I9835,CONFIG_ASIGNATURAS!$B$2:$J$91,9,FALSE()),""))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IF(DATOS!$A9836="",0,IF(CONFIG_METADATA!$B$4&lt;&gt;"OR+EX",--(DATOS!$G9836=CONFIG_METADATA!$B$4),IF(DATOS!$G9836="EX",1,IF(DATOS!$G9836="OR",--(COUNTIFS(nNIA,DATOS!$A9836,nCURSO,DATOS!$D9836,nESPEC,DATOS!$E9836,nASIG,DATOS!$I9836,nEVAL,"EX")=0),0))))</f>
      </c>
      <c r="H9836">
        <f>IF(DATOS!$G9836&lt;&gt;"EX",0,--(COUNTIFS(nNIA,DATOS!$A9836,nCURSO,DATOS!$D9836,nESPEC,DATOS!$E9836,nASIG,DATOS!$I9836,nEVAL,"OR")=0))</f>
      </c>
      <c r="I9836">
        <f>IF(DATOS!$I9836="","",IFERROR(VLOOKUP(DATOS!$I9836,CONFIG_ASIGNATURAS!$B$2:$J$91,9,FALSE()),""))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IF(DATOS!$A9837="",0,IF(CONFIG_METADATA!$B$4&lt;&gt;"OR+EX",--(DATOS!$G9837=CONFIG_METADATA!$B$4),IF(DATOS!$G9837="EX",1,IF(DATOS!$G9837="OR",--(COUNTIFS(nNIA,DATOS!$A9837,nCURSO,DATOS!$D9837,nESPEC,DATOS!$E9837,nASIG,DATOS!$I9837,nEVAL,"EX")=0),0))))</f>
      </c>
      <c r="H9837">
        <f>IF(DATOS!$G9837&lt;&gt;"EX",0,--(COUNTIFS(nNIA,DATOS!$A9837,nCURSO,DATOS!$D9837,nESPEC,DATOS!$E9837,nASIG,DATOS!$I9837,nEVAL,"OR")=0))</f>
      </c>
      <c r="I9837">
        <f>IF(DATOS!$I9837="","",IFERROR(VLOOKUP(DATOS!$I9837,CONFIG_ASIGNATURAS!$B$2:$J$91,9,FALSE()),""))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IF(DATOS!$A9838="",0,IF(CONFIG_METADATA!$B$4&lt;&gt;"OR+EX",--(DATOS!$G9838=CONFIG_METADATA!$B$4),IF(DATOS!$G9838="EX",1,IF(DATOS!$G9838="OR",--(COUNTIFS(nNIA,DATOS!$A9838,nCURSO,DATOS!$D9838,nESPEC,DATOS!$E9838,nASIG,DATOS!$I9838,nEVAL,"EX")=0),0))))</f>
      </c>
      <c r="H9838">
        <f>IF(DATOS!$G9838&lt;&gt;"EX",0,--(COUNTIFS(nNIA,DATOS!$A9838,nCURSO,DATOS!$D9838,nESPEC,DATOS!$E9838,nASIG,DATOS!$I9838,nEVAL,"OR")=0))</f>
      </c>
      <c r="I9838">
        <f>IF(DATOS!$I9838="","",IFERROR(VLOOKUP(DATOS!$I9838,CONFIG_ASIGNATURAS!$B$2:$J$91,9,FALSE()),""))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IF(DATOS!$A9839="",0,IF(CONFIG_METADATA!$B$4&lt;&gt;"OR+EX",--(DATOS!$G9839=CONFIG_METADATA!$B$4),IF(DATOS!$G9839="EX",1,IF(DATOS!$G9839="OR",--(COUNTIFS(nNIA,DATOS!$A9839,nCURSO,DATOS!$D9839,nESPEC,DATOS!$E9839,nASIG,DATOS!$I9839,nEVAL,"EX")=0),0))))</f>
      </c>
      <c r="H9839">
        <f>IF(DATOS!$G9839&lt;&gt;"EX",0,--(COUNTIFS(nNIA,DATOS!$A9839,nCURSO,DATOS!$D9839,nESPEC,DATOS!$E9839,nASIG,DATOS!$I9839,nEVAL,"OR")=0))</f>
      </c>
      <c r="I9839">
        <f>IF(DATOS!$I9839="","",IFERROR(VLOOKUP(DATOS!$I9839,CONFIG_ASIGNATURAS!$B$2:$J$91,9,FALSE()),""))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IF(DATOS!$A9840="",0,IF(CONFIG_METADATA!$B$4&lt;&gt;"OR+EX",--(DATOS!$G9840=CONFIG_METADATA!$B$4),IF(DATOS!$G9840="EX",1,IF(DATOS!$G9840="OR",--(COUNTIFS(nNIA,DATOS!$A9840,nCURSO,DATOS!$D9840,nESPEC,DATOS!$E9840,nASIG,DATOS!$I9840,nEVAL,"EX")=0),0))))</f>
      </c>
      <c r="H9840">
        <f>IF(DATOS!$G9840&lt;&gt;"EX",0,--(COUNTIFS(nNIA,DATOS!$A9840,nCURSO,DATOS!$D9840,nESPEC,DATOS!$E9840,nASIG,DATOS!$I9840,nEVAL,"OR")=0))</f>
      </c>
      <c r="I9840">
        <f>IF(DATOS!$I9840="","",IFERROR(VLOOKUP(DATOS!$I9840,CONFIG_ASIGNATURAS!$B$2:$J$91,9,FALSE()),""))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IF(DATOS!$A9841="",0,IF(CONFIG_METADATA!$B$4&lt;&gt;"OR+EX",--(DATOS!$G9841=CONFIG_METADATA!$B$4),IF(DATOS!$G9841="EX",1,IF(DATOS!$G9841="OR",--(COUNTIFS(nNIA,DATOS!$A9841,nCURSO,DATOS!$D9841,nESPEC,DATOS!$E9841,nASIG,DATOS!$I9841,nEVAL,"EX")=0),0))))</f>
      </c>
      <c r="H9841">
        <f>IF(DATOS!$G9841&lt;&gt;"EX",0,--(COUNTIFS(nNIA,DATOS!$A9841,nCURSO,DATOS!$D9841,nESPEC,DATOS!$E9841,nASIG,DATOS!$I9841,nEVAL,"OR")=0))</f>
      </c>
      <c r="I9841">
        <f>IF(DATOS!$I9841="","",IFERROR(VLOOKUP(DATOS!$I9841,CONFIG_ASIGNATURAS!$B$2:$J$91,9,FALSE()),""))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IF(DATOS!$A9842="",0,IF(CONFIG_METADATA!$B$4&lt;&gt;"OR+EX",--(DATOS!$G9842=CONFIG_METADATA!$B$4),IF(DATOS!$G9842="EX",1,IF(DATOS!$G9842="OR",--(COUNTIFS(nNIA,DATOS!$A9842,nCURSO,DATOS!$D9842,nESPEC,DATOS!$E9842,nASIG,DATOS!$I9842,nEVAL,"EX")=0),0))))</f>
      </c>
      <c r="H9842">
        <f>IF(DATOS!$G9842&lt;&gt;"EX",0,--(COUNTIFS(nNIA,DATOS!$A9842,nCURSO,DATOS!$D9842,nESPEC,DATOS!$E9842,nASIG,DATOS!$I9842,nEVAL,"OR")=0))</f>
      </c>
      <c r="I9842">
        <f>IF(DATOS!$I9842="","",IFERROR(VLOOKUP(DATOS!$I9842,CONFIG_ASIGNATURAS!$B$2:$J$91,9,FALSE()),""))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IF(DATOS!$A9843="",0,IF(CONFIG_METADATA!$B$4&lt;&gt;"OR+EX",--(DATOS!$G9843=CONFIG_METADATA!$B$4),IF(DATOS!$G9843="EX",1,IF(DATOS!$G9843="OR",--(COUNTIFS(nNIA,DATOS!$A9843,nCURSO,DATOS!$D9843,nESPEC,DATOS!$E9843,nASIG,DATOS!$I9843,nEVAL,"EX")=0),0))))</f>
      </c>
      <c r="H9843">
        <f>IF(DATOS!$G9843&lt;&gt;"EX",0,--(COUNTIFS(nNIA,DATOS!$A9843,nCURSO,DATOS!$D9843,nESPEC,DATOS!$E9843,nASIG,DATOS!$I9843,nEVAL,"OR")=0))</f>
      </c>
      <c r="I9843">
        <f>IF(DATOS!$I9843="","",IFERROR(VLOOKUP(DATOS!$I9843,CONFIG_ASIGNATURAS!$B$2:$J$91,9,FALSE()),""))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IF(DATOS!$A9844="",0,IF(CONFIG_METADATA!$B$4&lt;&gt;"OR+EX",--(DATOS!$G9844=CONFIG_METADATA!$B$4),IF(DATOS!$G9844="EX",1,IF(DATOS!$G9844="OR",--(COUNTIFS(nNIA,DATOS!$A9844,nCURSO,DATOS!$D9844,nESPEC,DATOS!$E9844,nASIG,DATOS!$I9844,nEVAL,"EX")=0),0))))</f>
      </c>
      <c r="H9844">
        <f>IF(DATOS!$G9844&lt;&gt;"EX",0,--(COUNTIFS(nNIA,DATOS!$A9844,nCURSO,DATOS!$D9844,nESPEC,DATOS!$E9844,nASIG,DATOS!$I9844,nEVAL,"OR")=0))</f>
      </c>
      <c r="I9844">
        <f>IF(DATOS!$I9844="","",IFERROR(VLOOKUP(DATOS!$I9844,CONFIG_ASIGNATURAS!$B$2:$J$91,9,FALSE()),""))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IF(DATOS!$A9845="",0,IF(CONFIG_METADATA!$B$4&lt;&gt;"OR+EX",--(DATOS!$G9845=CONFIG_METADATA!$B$4),IF(DATOS!$G9845="EX",1,IF(DATOS!$G9845="OR",--(COUNTIFS(nNIA,DATOS!$A9845,nCURSO,DATOS!$D9845,nESPEC,DATOS!$E9845,nASIG,DATOS!$I9845,nEVAL,"EX")=0),0))))</f>
      </c>
      <c r="H9845">
        <f>IF(DATOS!$G9845&lt;&gt;"EX",0,--(COUNTIFS(nNIA,DATOS!$A9845,nCURSO,DATOS!$D9845,nESPEC,DATOS!$E9845,nASIG,DATOS!$I9845,nEVAL,"OR")=0))</f>
      </c>
      <c r="I9845">
        <f>IF(DATOS!$I9845="","",IFERROR(VLOOKUP(DATOS!$I9845,CONFIG_ASIGNATURAS!$B$2:$J$91,9,FALSE()),""))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IF(DATOS!$A9846="",0,IF(CONFIG_METADATA!$B$4&lt;&gt;"OR+EX",--(DATOS!$G9846=CONFIG_METADATA!$B$4),IF(DATOS!$G9846="EX",1,IF(DATOS!$G9846="OR",--(COUNTIFS(nNIA,DATOS!$A9846,nCURSO,DATOS!$D9846,nESPEC,DATOS!$E9846,nASIG,DATOS!$I9846,nEVAL,"EX")=0),0))))</f>
      </c>
      <c r="H9846">
        <f>IF(DATOS!$G9846&lt;&gt;"EX",0,--(COUNTIFS(nNIA,DATOS!$A9846,nCURSO,DATOS!$D9846,nESPEC,DATOS!$E9846,nASIG,DATOS!$I9846,nEVAL,"OR")=0))</f>
      </c>
      <c r="I9846">
        <f>IF(DATOS!$I9846="","",IFERROR(VLOOKUP(DATOS!$I9846,CONFIG_ASIGNATURAS!$B$2:$J$91,9,FALSE()),""))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IF(DATOS!$A9847="",0,IF(CONFIG_METADATA!$B$4&lt;&gt;"OR+EX",--(DATOS!$G9847=CONFIG_METADATA!$B$4),IF(DATOS!$G9847="EX",1,IF(DATOS!$G9847="OR",--(COUNTIFS(nNIA,DATOS!$A9847,nCURSO,DATOS!$D9847,nESPEC,DATOS!$E9847,nASIG,DATOS!$I9847,nEVAL,"EX")=0),0))))</f>
      </c>
      <c r="H9847">
        <f>IF(DATOS!$G9847&lt;&gt;"EX",0,--(COUNTIFS(nNIA,DATOS!$A9847,nCURSO,DATOS!$D9847,nESPEC,DATOS!$E9847,nASIG,DATOS!$I9847,nEVAL,"OR")=0))</f>
      </c>
      <c r="I9847">
        <f>IF(DATOS!$I9847="","",IFERROR(VLOOKUP(DATOS!$I9847,CONFIG_ASIGNATURAS!$B$2:$J$91,9,FALSE()),""))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IF(DATOS!$A9848="",0,IF(CONFIG_METADATA!$B$4&lt;&gt;"OR+EX",--(DATOS!$G9848=CONFIG_METADATA!$B$4),IF(DATOS!$G9848="EX",1,IF(DATOS!$G9848="OR",--(COUNTIFS(nNIA,DATOS!$A9848,nCURSO,DATOS!$D9848,nESPEC,DATOS!$E9848,nASIG,DATOS!$I9848,nEVAL,"EX")=0),0))))</f>
      </c>
      <c r="H9848">
        <f>IF(DATOS!$G9848&lt;&gt;"EX",0,--(COUNTIFS(nNIA,DATOS!$A9848,nCURSO,DATOS!$D9848,nESPEC,DATOS!$E9848,nASIG,DATOS!$I9848,nEVAL,"OR")=0))</f>
      </c>
      <c r="I9848">
        <f>IF(DATOS!$I9848="","",IFERROR(VLOOKUP(DATOS!$I9848,CONFIG_ASIGNATURAS!$B$2:$J$91,9,FALSE()),""))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IF(DATOS!$A9849="",0,IF(CONFIG_METADATA!$B$4&lt;&gt;"OR+EX",--(DATOS!$G9849=CONFIG_METADATA!$B$4),IF(DATOS!$G9849="EX",1,IF(DATOS!$G9849="OR",--(COUNTIFS(nNIA,DATOS!$A9849,nCURSO,DATOS!$D9849,nESPEC,DATOS!$E9849,nASIG,DATOS!$I9849,nEVAL,"EX")=0),0))))</f>
      </c>
      <c r="H9849">
        <f>IF(DATOS!$G9849&lt;&gt;"EX",0,--(COUNTIFS(nNIA,DATOS!$A9849,nCURSO,DATOS!$D9849,nESPEC,DATOS!$E9849,nASIG,DATOS!$I9849,nEVAL,"OR")=0))</f>
      </c>
      <c r="I9849">
        <f>IF(DATOS!$I9849="","",IFERROR(VLOOKUP(DATOS!$I9849,CONFIG_ASIGNATURAS!$B$2:$J$91,9,FALSE()),""))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IF(DATOS!$A9850="",0,IF(CONFIG_METADATA!$B$4&lt;&gt;"OR+EX",--(DATOS!$G9850=CONFIG_METADATA!$B$4),IF(DATOS!$G9850="EX",1,IF(DATOS!$G9850="OR",--(COUNTIFS(nNIA,DATOS!$A9850,nCURSO,DATOS!$D9850,nESPEC,DATOS!$E9850,nASIG,DATOS!$I9850,nEVAL,"EX")=0),0))))</f>
      </c>
      <c r="H9850">
        <f>IF(DATOS!$G9850&lt;&gt;"EX",0,--(COUNTIFS(nNIA,DATOS!$A9850,nCURSO,DATOS!$D9850,nESPEC,DATOS!$E9850,nASIG,DATOS!$I9850,nEVAL,"OR")=0))</f>
      </c>
      <c r="I9850">
        <f>IF(DATOS!$I9850="","",IFERROR(VLOOKUP(DATOS!$I9850,CONFIG_ASIGNATURAS!$B$2:$J$91,9,FALSE()),""))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IF(DATOS!$A9851="",0,IF(CONFIG_METADATA!$B$4&lt;&gt;"OR+EX",--(DATOS!$G9851=CONFIG_METADATA!$B$4),IF(DATOS!$G9851="EX",1,IF(DATOS!$G9851="OR",--(COUNTIFS(nNIA,DATOS!$A9851,nCURSO,DATOS!$D9851,nESPEC,DATOS!$E9851,nASIG,DATOS!$I9851,nEVAL,"EX")=0),0))))</f>
      </c>
      <c r="H9851">
        <f>IF(DATOS!$G9851&lt;&gt;"EX",0,--(COUNTIFS(nNIA,DATOS!$A9851,nCURSO,DATOS!$D9851,nESPEC,DATOS!$E9851,nASIG,DATOS!$I9851,nEVAL,"OR")=0))</f>
      </c>
      <c r="I9851">
        <f>IF(DATOS!$I9851="","",IFERROR(VLOOKUP(DATOS!$I9851,CONFIG_ASIGNATURAS!$B$2:$J$91,9,FALSE()),""))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IF(DATOS!$A9852="",0,IF(CONFIG_METADATA!$B$4&lt;&gt;"OR+EX",--(DATOS!$G9852=CONFIG_METADATA!$B$4),IF(DATOS!$G9852="EX",1,IF(DATOS!$G9852="OR",--(COUNTIFS(nNIA,DATOS!$A9852,nCURSO,DATOS!$D9852,nESPEC,DATOS!$E9852,nASIG,DATOS!$I9852,nEVAL,"EX")=0),0))))</f>
      </c>
      <c r="H9852">
        <f>IF(DATOS!$G9852&lt;&gt;"EX",0,--(COUNTIFS(nNIA,DATOS!$A9852,nCURSO,DATOS!$D9852,nESPEC,DATOS!$E9852,nASIG,DATOS!$I9852,nEVAL,"OR")=0))</f>
      </c>
      <c r="I9852">
        <f>IF(DATOS!$I9852="","",IFERROR(VLOOKUP(DATOS!$I9852,CONFIG_ASIGNATURAS!$B$2:$J$91,9,FALSE()),""))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IF(DATOS!$A9853="",0,IF(CONFIG_METADATA!$B$4&lt;&gt;"OR+EX",--(DATOS!$G9853=CONFIG_METADATA!$B$4),IF(DATOS!$G9853="EX",1,IF(DATOS!$G9853="OR",--(COUNTIFS(nNIA,DATOS!$A9853,nCURSO,DATOS!$D9853,nESPEC,DATOS!$E9853,nASIG,DATOS!$I9853,nEVAL,"EX")=0),0))))</f>
      </c>
      <c r="H9853">
        <f>IF(DATOS!$G9853&lt;&gt;"EX",0,--(COUNTIFS(nNIA,DATOS!$A9853,nCURSO,DATOS!$D9853,nESPEC,DATOS!$E9853,nASIG,DATOS!$I9853,nEVAL,"OR")=0))</f>
      </c>
      <c r="I9853">
        <f>IF(DATOS!$I9853="","",IFERROR(VLOOKUP(DATOS!$I9853,CONFIG_ASIGNATURAS!$B$2:$J$91,9,FALSE()),""))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IF(DATOS!$A9854="",0,IF(CONFIG_METADATA!$B$4&lt;&gt;"OR+EX",--(DATOS!$G9854=CONFIG_METADATA!$B$4),IF(DATOS!$G9854="EX",1,IF(DATOS!$G9854="OR",--(COUNTIFS(nNIA,DATOS!$A9854,nCURSO,DATOS!$D9854,nESPEC,DATOS!$E9854,nASIG,DATOS!$I9854,nEVAL,"EX")=0),0))))</f>
      </c>
      <c r="H9854">
        <f>IF(DATOS!$G9854&lt;&gt;"EX",0,--(COUNTIFS(nNIA,DATOS!$A9854,nCURSO,DATOS!$D9854,nESPEC,DATOS!$E9854,nASIG,DATOS!$I9854,nEVAL,"OR")=0))</f>
      </c>
      <c r="I9854">
        <f>IF(DATOS!$I9854="","",IFERROR(VLOOKUP(DATOS!$I9854,CONFIG_ASIGNATURAS!$B$2:$J$91,9,FALSE()),""))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IF(DATOS!$A9855="",0,IF(CONFIG_METADATA!$B$4&lt;&gt;"OR+EX",--(DATOS!$G9855=CONFIG_METADATA!$B$4),IF(DATOS!$G9855="EX",1,IF(DATOS!$G9855="OR",--(COUNTIFS(nNIA,DATOS!$A9855,nCURSO,DATOS!$D9855,nESPEC,DATOS!$E9855,nASIG,DATOS!$I9855,nEVAL,"EX")=0),0))))</f>
      </c>
      <c r="H9855">
        <f>IF(DATOS!$G9855&lt;&gt;"EX",0,--(COUNTIFS(nNIA,DATOS!$A9855,nCURSO,DATOS!$D9855,nESPEC,DATOS!$E9855,nASIG,DATOS!$I9855,nEVAL,"OR")=0))</f>
      </c>
      <c r="I9855">
        <f>IF(DATOS!$I9855="","",IFERROR(VLOOKUP(DATOS!$I9855,CONFIG_ASIGNATURAS!$B$2:$J$91,9,FALSE()),""))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IF(DATOS!$A9856="",0,IF(CONFIG_METADATA!$B$4&lt;&gt;"OR+EX",--(DATOS!$G9856=CONFIG_METADATA!$B$4),IF(DATOS!$G9856="EX",1,IF(DATOS!$G9856="OR",--(COUNTIFS(nNIA,DATOS!$A9856,nCURSO,DATOS!$D9856,nESPEC,DATOS!$E9856,nASIG,DATOS!$I9856,nEVAL,"EX")=0),0))))</f>
      </c>
      <c r="H9856">
        <f>IF(DATOS!$G9856&lt;&gt;"EX",0,--(COUNTIFS(nNIA,DATOS!$A9856,nCURSO,DATOS!$D9856,nESPEC,DATOS!$E9856,nASIG,DATOS!$I9856,nEVAL,"OR")=0))</f>
      </c>
      <c r="I9856">
        <f>IF(DATOS!$I9856="","",IFERROR(VLOOKUP(DATOS!$I9856,CONFIG_ASIGNATURAS!$B$2:$J$91,9,FALSE()),""))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IF(DATOS!$A9857="",0,IF(CONFIG_METADATA!$B$4&lt;&gt;"OR+EX",--(DATOS!$G9857=CONFIG_METADATA!$B$4),IF(DATOS!$G9857="EX",1,IF(DATOS!$G9857="OR",--(COUNTIFS(nNIA,DATOS!$A9857,nCURSO,DATOS!$D9857,nESPEC,DATOS!$E9857,nASIG,DATOS!$I9857,nEVAL,"EX")=0),0))))</f>
      </c>
      <c r="H9857">
        <f>IF(DATOS!$G9857&lt;&gt;"EX",0,--(COUNTIFS(nNIA,DATOS!$A9857,nCURSO,DATOS!$D9857,nESPEC,DATOS!$E9857,nASIG,DATOS!$I9857,nEVAL,"OR")=0))</f>
      </c>
      <c r="I9857">
        <f>IF(DATOS!$I9857="","",IFERROR(VLOOKUP(DATOS!$I9857,CONFIG_ASIGNATURAS!$B$2:$J$91,9,FALSE()),""))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IF(DATOS!$A9858="",0,IF(CONFIG_METADATA!$B$4&lt;&gt;"OR+EX",--(DATOS!$G9858=CONFIG_METADATA!$B$4),IF(DATOS!$G9858="EX",1,IF(DATOS!$G9858="OR",--(COUNTIFS(nNIA,DATOS!$A9858,nCURSO,DATOS!$D9858,nESPEC,DATOS!$E9858,nASIG,DATOS!$I9858,nEVAL,"EX")=0),0))))</f>
      </c>
      <c r="H9858">
        <f>IF(DATOS!$G9858&lt;&gt;"EX",0,--(COUNTIFS(nNIA,DATOS!$A9858,nCURSO,DATOS!$D9858,nESPEC,DATOS!$E9858,nASIG,DATOS!$I9858,nEVAL,"OR")=0))</f>
      </c>
      <c r="I9858">
        <f>IF(DATOS!$I9858="","",IFERROR(VLOOKUP(DATOS!$I9858,CONFIG_ASIGNATURAS!$B$2:$J$91,9,FALSE()),""))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IF(DATOS!$A9859="",0,IF(CONFIG_METADATA!$B$4&lt;&gt;"OR+EX",--(DATOS!$G9859=CONFIG_METADATA!$B$4),IF(DATOS!$G9859="EX",1,IF(DATOS!$G9859="OR",--(COUNTIFS(nNIA,DATOS!$A9859,nCURSO,DATOS!$D9859,nESPEC,DATOS!$E9859,nASIG,DATOS!$I9859,nEVAL,"EX")=0),0))))</f>
      </c>
      <c r="H9859">
        <f>IF(DATOS!$G9859&lt;&gt;"EX",0,--(COUNTIFS(nNIA,DATOS!$A9859,nCURSO,DATOS!$D9859,nESPEC,DATOS!$E9859,nASIG,DATOS!$I9859,nEVAL,"OR")=0))</f>
      </c>
      <c r="I9859">
        <f>IF(DATOS!$I9859="","",IFERROR(VLOOKUP(DATOS!$I9859,CONFIG_ASIGNATURAS!$B$2:$J$91,9,FALSE()),""))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IF(DATOS!$A9860="",0,IF(CONFIG_METADATA!$B$4&lt;&gt;"OR+EX",--(DATOS!$G9860=CONFIG_METADATA!$B$4),IF(DATOS!$G9860="EX",1,IF(DATOS!$G9860="OR",--(COUNTIFS(nNIA,DATOS!$A9860,nCURSO,DATOS!$D9860,nESPEC,DATOS!$E9860,nASIG,DATOS!$I9860,nEVAL,"EX")=0),0))))</f>
      </c>
      <c r="H9860">
        <f>IF(DATOS!$G9860&lt;&gt;"EX",0,--(COUNTIFS(nNIA,DATOS!$A9860,nCURSO,DATOS!$D9860,nESPEC,DATOS!$E9860,nASIG,DATOS!$I9860,nEVAL,"OR")=0))</f>
      </c>
      <c r="I9860">
        <f>IF(DATOS!$I9860="","",IFERROR(VLOOKUP(DATOS!$I9860,CONFIG_ASIGNATURAS!$B$2:$J$91,9,FALSE()),""))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IF(DATOS!$A9861="",0,IF(CONFIG_METADATA!$B$4&lt;&gt;"OR+EX",--(DATOS!$G9861=CONFIG_METADATA!$B$4),IF(DATOS!$G9861="EX",1,IF(DATOS!$G9861="OR",--(COUNTIFS(nNIA,DATOS!$A9861,nCURSO,DATOS!$D9861,nESPEC,DATOS!$E9861,nASIG,DATOS!$I9861,nEVAL,"EX")=0),0))))</f>
      </c>
      <c r="H9861">
        <f>IF(DATOS!$G9861&lt;&gt;"EX",0,--(COUNTIFS(nNIA,DATOS!$A9861,nCURSO,DATOS!$D9861,nESPEC,DATOS!$E9861,nASIG,DATOS!$I9861,nEVAL,"OR")=0))</f>
      </c>
      <c r="I9861">
        <f>IF(DATOS!$I9861="","",IFERROR(VLOOKUP(DATOS!$I9861,CONFIG_ASIGNATURAS!$B$2:$J$91,9,FALSE()),""))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IF(DATOS!$A9862="",0,IF(CONFIG_METADATA!$B$4&lt;&gt;"OR+EX",--(DATOS!$G9862=CONFIG_METADATA!$B$4),IF(DATOS!$G9862="EX",1,IF(DATOS!$G9862="OR",--(COUNTIFS(nNIA,DATOS!$A9862,nCURSO,DATOS!$D9862,nESPEC,DATOS!$E9862,nASIG,DATOS!$I9862,nEVAL,"EX")=0),0))))</f>
      </c>
      <c r="H9862">
        <f>IF(DATOS!$G9862&lt;&gt;"EX",0,--(COUNTIFS(nNIA,DATOS!$A9862,nCURSO,DATOS!$D9862,nESPEC,DATOS!$E9862,nASIG,DATOS!$I9862,nEVAL,"OR")=0))</f>
      </c>
      <c r="I9862">
        <f>IF(DATOS!$I9862="","",IFERROR(VLOOKUP(DATOS!$I9862,CONFIG_ASIGNATURAS!$B$2:$J$91,9,FALSE()),""))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IF(DATOS!$A9863="",0,IF(CONFIG_METADATA!$B$4&lt;&gt;"OR+EX",--(DATOS!$G9863=CONFIG_METADATA!$B$4),IF(DATOS!$G9863="EX",1,IF(DATOS!$G9863="OR",--(COUNTIFS(nNIA,DATOS!$A9863,nCURSO,DATOS!$D9863,nESPEC,DATOS!$E9863,nASIG,DATOS!$I9863,nEVAL,"EX")=0),0))))</f>
      </c>
      <c r="H9863">
        <f>IF(DATOS!$G9863&lt;&gt;"EX",0,--(COUNTIFS(nNIA,DATOS!$A9863,nCURSO,DATOS!$D9863,nESPEC,DATOS!$E9863,nASIG,DATOS!$I9863,nEVAL,"OR")=0))</f>
      </c>
      <c r="I9863">
        <f>IF(DATOS!$I9863="","",IFERROR(VLOOKUP(DATOS!$I9863,CONFIG_ASIGNATURAS!$B$2:$J$91,9,FALSE()),""))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IF(DATOS!$A9864="",0,IF(CONFIG_METADATA!$B$4&lt;&gt;"OR+EX",--(DATOS!$G9864=CONFIG_METADATA!$B$4),IF(DATOS!$G9864="EX",1,IF(DATOS!$G9864="OR",--(COUNTIFS(nNIA,DATOS!$A9864,nCURSO,DATOS!$D9864,nESPEC,DATOS!$E9864,nASIG,DATOS!$I9864,nEVAL,"EX")=0),0))))</f>
      </c>
      <c r="H9864">
        <f>IF(DATOS!$G9864&lt;&gt;"EX",0,--(COUNTIFS(nNIA,DATOS!$A9864,nCURSO,DATOS!$D9864,nESPEC,DATOS!$E9864,nASIG,DATOS!$I9864,nEVAL,"OR")=0))</f>
      </c>
      <c r="I9864">
        <f>IF(DATOS!$I9864="","",IFERROR(VLOOKUP(DATOS!$I9864,CONFIG_ASIGNATURAS!$B$2:$J$91,9,FALSE()),""))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IF(DATOS!$A9865="",0,IF(CONFIG_METADATA!$B$4&lt;&gt;"OR+EX",--(DATOS!$G9865=CONFIG_METADATA!$B$4),IF(DATOS!$G9865="EX",1,IF(DATOS!$G9865="OR",--(COUNTIFS(nNIA,DATOS!$A9865,nCURSO,DATOS!$D9865,nESPEC,DATOS!$E9865,nASIG,DATOS!$I9865,nEVAL,"EX")=0),0))))</f>
      </c>
      <c r="H9865">
        <f>IF(DATOS!$G9865&lt;&gt;"EX",0,--(COUNTIFS(nNIA,DATOS!$A9865,nCURSO,DATOS!$D9865,nESPEC,DATOS!$E9865,nASIG,DATOS!$I9865,nEVAL,"OR")=0))</f>
      </c>
      <c r="I9865">
        <f>IF(DATOS!$I9865="","",IFERROR(VLOOKUP(DATOS!$I9865,CONFIG_ASIGNATURAS!$B$2:$J$91,9,FALSE()),""))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IF(DATOS!$A9866="",0,IF(CONFIG_METADATA!$B$4&lt;&gt;"OR+EX",--(DATOS!$G9866=CONFIG_METADATA!$B$4),IF(DATOS!$G9866="EX",1,IF(DATOS!$G9866="OR",--(COUNTIFS(nNIA,DATOS!$A9866,nCURSO,DATOS!$D9866,nESPEC,DATOS!$E9866,nASIG,DATOS!$I9866,nEVAL,"EX")=0),0))))</f>
      </c>
      <c r="H9866">
        <f>IF(DATOS!$G9866&lt;&gt;"EX",0,--(COUNTIFS(nNIA,DATOS!$A9866,nCURSO,DATOS!$D9866,nESPEC,DATOS!$E9866,nASIG,DATOS!$I9866,nEVAL,"OR")=0))</f>
      </c>
      <c r="I9866">
        <f>IF(DATOS!$I9866="","",IFERROR(VLOOKUP(DATOS!$I9866,CONFIG_ASIGNATURAS!$B$2:$J$91,9,FALSE()),""))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IF(DATOS!$A9867="",0,IF(CONFIG_METADATA!$B$4&lt;&gt;"OR+EX",--(DATOS!$G9867=CONFIG_METADATA!$B$4),IF(DATOS!$G9867="EX",1,IF(DATOS!$G9867="OR",--(COUNTIFS(nNIA,DATOS!$A9867,nCURSO,DATOS!$D9867,nESPEC,DATOS!$E9867,nASIG,DATOS!$I9867,nEVAL,"EX")=0),0))))</f>
      </c>
      <c r="H9867">
        <f>IF(DATOS!$G9867&lt;&gt;"EX",0,--(COUNTIFS(nNIA,DATOS!$A9867,nCURSO,DATOS!$D9867,nESPEC,DATOS!$E9867,nASIG,DATOS!$I9867,nEVAL,"OR")=0))</f>
      </c>
      <c r="I9867">
        <f>IF(DATOS!$I9867="","",IFERROR(VLOOKUP(DATOS!$I9867,CONFIG_ASIGNATURAS!$B$2:$J$91,9,FALSE()),""))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IF(DATOS!$A9868="",0,IF(CONFIG_METADATA!$B$4&lt;&gt;"OR+EX",--(DATOS!$G9868=CONFIG_METADATA!$B$4),IF(DATOS!$G9868="EX",1,IF(DATOS!$G9868="OR",--(COUNTIFS(nNIA,DATOS!$A9868,nCURSO,DATOS!$D9868,nESPEC,DATOS!$E9868,nASIG,DATOS!$I9868,nEVAL,"EX")=0),0))))</f>
      </c>
      <c r="H9868">
        <f>IF(DATOS!$G9868&lt;&gt;"EX",0,--(COUNTIFS(nNIA,DATOS!$A9868,nCURSO,DATOS!$D9868,nESPEC,DATOS!$E9868,nASIG,DATOS!$I9868,nEVAL,"OR")=0))</f>
      </c>
      <c r="I9868">
        <f>IF(DATOS!$I9868="","",IFERROR(VLOOKUP(DATOS!$I9868,CONFIG_ASIGNATURAS!$B$2:$J$91,9,FALSE()),""))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IF(DATOS!$A9869="",0,IF(CONFIG_METADATA!$B$4&lt;&gt;"OR+EX",--(DATOS!$G9869=CONFIG_METADATA!$B$4),IF(DATOS!$G9869="EX",1,IF(DATOS!$G9869="OR",--(COUNTIFS(nNIA,DATOS!$A9869,nCURSO,DATOS!$D9869,nESPEC,DATOS!$E9869,nASIG,DATOS!$I9869,nEVAL,"EX")=0),0))))</f>
      </c>
      <c r="H9869">
        <f>IF(DATOS!$G9869&lt;&gt;"EX",0,--(COUNTIFS(nNIA,DATOS!$A9869,nCURSO,DATOS!$D9869,nESPEC,DATOS!$E9869,nASIG,DATOS!$I9869,nEVAL,"OR")=0))</f>
      </c>
      <c r="I9869">
        <f>IF(DATOS!$I9869="","",IFERROR(VLOOKUP(DATOS!$I9869,CONFIG_ASIGNATURAS!$B$2:$J$91,9,FALSE()),""))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IF(DATOS!$A9870="",0,IF(CONFIG_METADATA!$B$4&lt;&gt;"OR+EX",--(DATOS!$G9870=CONFIG_METADATA!$B$4),IF(DATOS!$G9870="EX",1,IF(DATOS!$G9870="OR",--(COUNTIFS(nNIA,DATOS!$A9870,nCURSO,DATOS!$D9870,nESPEC,DATOS!$E9870,nASIG,DATOS!$I9870,nEVAL,"EX")=0),0))))</f>
      </c>
      <c r="H9870">
        <f>IF(DATOS!$G9870&lt;&gt;"EX",0,--(COUNTIFS(nNIA,DATOS!$A9870,nCURSO,DATOS!$D9870,nESPEC,DATOS!$E9870,nASIG,DATOS!$I9870,nEVAL,"OR")=0))</f>
      </c>
      <c r="I9870">
        <f>IF(DATOS!$I9870="","",IFERROR(VLOOKUP(DATOS!$I9870,CONFIG_ASIGNATURAS!$B$2:$J$91,9,FALSE()),""))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IF(DATOS!$A9871="",0,IF(CONFIG_METADATA!$B$4&lt;&gt;"OR+EX",--(DATOS!$G9871=CONFIG_METADATA!$B$4),IF(DATOS!$G9871="EX",1,IF(DATOS!$G9871="OR",--(COUNTIFS(nNIA,DATOS!$A9871,nCURSO,DATOS!$D9871,nESPEC,DATOS!$E9871,nASIG,DATOS!$I9871,nEVAL,"EX")=0),0))))</f>
      </c>
      <c r="H9871">
        <f>IF(DATOS!$G9871&lt;&gt;"EX",0,--(COUNTIFS(nNIA,DATOS!$A9871,nCURSO,DATOS!$D9871,nESPEC,DATOS!$E9871,nASIG,DATOS!$I9871,nEVAL,"OR")=0))</f>
      </c>
      <c r="I9871">
        <f>IF(DATOS!$I9871="","",IFERROR(VLOOKUP(DATOS!$I9871,CONFIG_ASIGNATURAS!$B$2:$J$91,9,FALSE()),""))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IF(DATOS!$A9872="",0,IF(CONFIG_METADATA!$B$4&lt;&gt;"OR+EX",--(DATOS!$G9872=CONFIG_METADATA!$B$4),IF(DATOS!$G9872="EX",1,IF(DATOS!$G9872="OR",--(COUNTIFS(nNIA,DATOS!$A9872,nCURSO,DATOS!$D9872,nESPEC,DATOS!$E9872,nASIG,DATOS!$I9872,nEVAL,"EX")=0),0))))</f>
      </c>
      <c r="H9872">
        <f>IF(DATOS!$G9872&lt;&gt;"EX",0,--(COUNTIFS(nNIA,DATOS!$A9872,nCURSO,DATOS!$D9872,nESPEC,DATOS!$E9872,nASIG,DATOS!$I9872,nEVAL,"OR")=0))</f>
      </c>
      <c r="I9872">
        <f>IF(DATOS!$I9872="","",IFERROR(VLOOKUP(DATOS!$I9872,CONFIG_ASIGNATURAS!$B$2:$J$91,9,FALSE()),""))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IF(DATOS!$A9873="",0,IF(CONFIG_METADATA!$B$4&lt;&gt;"OR+EX",--(DATOS!$G9873=CONFIG_METADATA!$B$4),IF(DATOS!$G9873="EX",1,IF(DATOS!$G9873="OR",--(COUNTIFS(nNIA,DATOS!$A9873,nCURSO,DATOS!$D9873,nESPEC,DATOS!$E9873,nASIG,DATOS!$I9873,nEVAL,"EX")=0),0))))</f>
      </c>
      <c r="H9873">
        <f>IF(DATOS!$G9873&lt;&gt;"EX",0,--(COUNTIFS(nNIA,DATOS!$A9873,nCURSO,DATOS!$D9873,nESPEC,DATOS!$E9873,nASIG,DATOS!$I9873,nEVAL,"OR")=0))</f>
      </c>
      <c r="I9873">
        <f>IF(DATOS!$I9873="","",IFERROR(VLOOKUP(DATOS!$I9873,CONFIG_ASIGNATURAS!$B$2:$J$91,9,FALSE()),""))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IF(DATOS!$A9874="",0,IF(CONFIG_METADATA!$B$4&lt;&gt;"OR+EX",--(DATOS!$G9874=CONFIG_METADATA!$B$4),IF(DATOS!$G9874="EX",1,IF(DATOS!$G9874="OR",--(COUNTIFS(nNIA,DATOS!$A9874,nCURSO,DATOS!$D9874,nESPEC,DATOS!$E9874,nASIG,DATOS!$I9874,nEVAL,"EX")=0),0))))</f>
      </c>
      <c r="H9874">
        <f>IF(DATOS!$G9874&lt;&gt;"EX",0,--(COUNTIFS(nNIA,DATOS!$A9874,nCURSO,DATOS!$D9874,nESPEC,DATOS!$E9874,nASIG,DATOS!$I9874,nEVAL,"OR")=0))</f>
      </c>
      <c r="I9874">
        <f>IF(DATOS!$I9874="","",IFERROR(VLOOKUP(DATOS!$I9874,CONFIG_ASIGNATURAS!$B$2:$J$91,9,FALSE()),""))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IF(DATOS!$A9875="",0,IF(CONFIG_METADATA!$B$4&lt;&gt;"OR+EX",--(DATOS!$G9875=CONFIG_METADATA!$B$4),IF(DATOS!$G9875="EX",1,IF(DATOS!$G9875="OR",--(COUNTIFS(nNIA,DATOS!$A9875,nCURSO,DATOS!$D9875,nESPEC,DATOS!$E9875,nASIG,DATOS!$I9875,nEVAL,"EX")=0),0))))</f>
      </c>
      <c r="H9875">
        <f>IF(DATOS!$G9875&lt;&gt;"EX",0,--(COUNTIFS(nNIA,DATOS!$A9875,nCURSO,DATOS!$D9875,nESPEC,DATOS!$E9875,nASIG,DATOS!$I9875,nEVAL,"OR")=0))</f>
      </c>
      <c r="I9875">
        <f>IF(DATOS!$I9875="","",IFERROR(VLOOKUP(DATOS!$I9875,CONFIG_ASIGNATURAS!$B$2:$J$91,9,FALSE()),""))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IF(DATOS!$A9876="",0,IF(CONFIG_METADATA!$B$4&lt;&gt;"OR+EX",--(DATOS!$G9876=CONFIG_METADATA!$B$4),IF(DATOS!$G9876="EX",1,IF(DATOS!$G9876="OR",--(COUNTIFS(nNIA,DATOS!$A9876,nCURSO,DATOS!$D9876,nESPEC,DATOS!$E9876,nASIG,DATOS!$I9876,nEVAL,"EX")=0),0))))</f>
      </c>
      <c r="H9876">
        <f>IF(DATOS!$G9876&lt;&gt;"EX",0,--(COUNTIFS(nNIA,DATOS!$A9876,nCURSO,DATOS!$D9876,nESPEC,DATOS!$E9876,nASIG,DATOS!$I9876,nEVAL,"OR")=0))</f>
      </c>
      <c r="I9876">
        <f>IF(DATOS!$I9876="","",IFERROR(VLOOKUP(DATOS!$I9876,CONFIG_ASIGNATURAS!$B$2:$J$91,9,FALSE()),""))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IF(DATOS!$A9877="",0,IF(CONFIG_METADATA!$B$4&lt;&gt;"OR+EX",--(DATOS!$G9877=CONFIG_METADATA!$B$4),IF(DATOS!$G9877="EX",1,IF(DATOS!$G9877="OR",--(COUNTIFS(nNIA,DATOS!$A9877,nCURSO,DATOS!$D9877,nESPEC,DATOS!$E9877,nASIG,DATOS!$I9877,nEVAL,"EX")=0),0))))</f>
      </c>
      <c r="H9877">
        <f>IF(DATOS!$G9877&lt;&gt;"EX",0,--(COUNTIFS(nNIA,DATOS!$A9877,nCURSO,DATOS!$D9877,nESPEC,DATOS!$E9877,nASIG,DATOS!$I9877,nEVAL,"OR")=0))</f>
      </c>
      <c r="I9877">
        <f>IF(DATOS!$I9877="","",IFERROR(VLOOKUP(DATOS!$I9877,CONFIG_ASIGNATURAS!$B$2:$J$91,9,FALSE()),""))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IF(DATOS!$A9878="",0,IF(CONFIG_METADATA!$B$4&lt;&gt;"OR+EX",--(DATOS!$G9878=CONFIG_METADATA!$B$4),IF(DATOS!$G9878="EX",1,IF(DATOS!$G9878="OR",--(COUNTIFS(nNIA,DATOS!$A9878,nCURSO,DATOS!$D9878,nESPEC,DATOS!$E9878,nASIG,DATOS!$I9878,nEVAL,"EX")=0),0))))</f>
      </c>
      <c r="H9878">
        <f>IF(DATOS!$G9878&lt;&gt;"EX",0,--(COUNTIFS(nNIA,DATOS!$A9878,nCURSO,DATOS!$D9878,nESPEC,DATOS!$E9878,nASIG,DATOS!$I9878,nEVAL,"OR")=0))</f>
      </c>
      <c r="I9878">
        <f>IF(DATOS!$I9878="","",IFERROR(VLOOKUP(DATOS!$I9878,CONFIG_ASIGNATURAS!$B$2:$J$91,9,FALSE()),""))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IF(DATOS!$A9879="",0,IF(CONFIG_METADATA!$B$4&lt;&gt;"OR+EX",--(DATOS!$G9879=CONFIG_METADATA!$B$4),IF(DATOS!$G9879="EX",1,IF(DATOS!$G9879="OR",--(COUNTIFS(nNIA,DATOS!$A9879,nCURSO,DATOS!$D9879,nESPEC,DATOS!$E9879,nASIG,DATOS!$I9879,nEVAL,"EX")=0),0))))</f>
      </c>
      <c r="H9879">
        <f>IF(DATOS!$G9879&lt;&gt;"EX",0,--(COUNTIFS(nNIA,DATOS!$A9879,nCURSO,DATOS!$D9879,nESPEC,DATOS!$E9879,nASIG,DATOS!$I9879,nEVAL,"OR")=0))</f>
      </c>
      <c r="I9879">
        <f>IF(DATOS!$I9879="","",IFERROR(VLOOKUP(DATOS!$I9879,CONFIG_ASIGNATURAS!$B$2:$J$91,9,FALSE()),""))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IF(DATOS!$A9880="",0,IF(CONFIG_METADATA!$B$4&lt;&gt;"OR+EX",--(DATOS!$G9880=CONFIG_METADATA!$B$4),IF(DATOS!$G9880="EX",1,IF(DATOS!$G9880="OR",--(COUNTIFS(nNIA,DATOS!$A9880,nCURSO,DATOS!$D9880,nESPEC,DATOS!$E9880,nASIG,DATOS!$I9880,nEVAL,"EX")=0),0))))</f>
      </c>
      <c r="H9880">
        <f>IF(DATOS!$G9880&lt;&gt;"EX",0,--(COUNTIFS(nNIA,DATOS!$A9880,nCURSO,DATOS!$D9880,nESPEC,DATOS!$E9880,nASIG,DATOS!$I9880,nEVAL,"OR")=0))</f>
      </c>
      <c r="I9880">
        <f>IF(DATOS!$I9880="","",IFERROR(VLOOKUP(DATOS!$I9880,CONFIG_ASIGNATURAS!$B$2:$J$91,9,FALSE()),""))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IF(DATOS!$A9881="",0,IF(CONFIG_METADATA!$B$4&lt;&gt;"OR+EX",--(DATOS!$G9881=CONFIG_METADATA!$B$4),IF(DATOS!$G9881="EX",1,IF(DATOS!$G9881="OR",--(COUNTIFS(nNIA,DATOS!$A9881,nCURSO,DATOS!$D9881,nESPEC,DATOS!$E9881,nASIG,DATOS!$I9881,nEVAL,"EX")=0),0))))</f>
      </c>
      <c r="H9881">
        <f>IF(DATOS!$G9881&lt;&gt;"EX",0,--(COUNTIFS(nNIA,DATOS!$A9881,nCURSO,DATOS!$D9881,nESPEC,DATOS!$E9881,nASIG,DATOS!$I9881,nEVAL,"OR")=0))</f>
      </c>
      <c r="I9881">
        <f>IF(DATOS!$I9881="","",IFERROR(VLOOKUP(DATOS!$I9881,CONFIG_ASIGNATURAS!$B$2:$J$91,9,FALSE()),""))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IF(DATOS!$A9882="",0,IF(CONFIG_METADATA!$B$4&lt;&gt;"OR+EX",--(DATOS!$G9882=CONFIG_METADATA!$B$4),IF(DATOS!$G9882="EX",1,IF(DATOS!$G9882="OR",--(COUNTIFS(nNIA,DATOS!$A9882,nCURSO,DATOS!$D9882,nESPEC,DATOS!$E9882,nASIG,DATOS!$I9882,nEVAL,"EX")=0),0))))</f>
      </c>
      <c r="H9882">
        <f>IF(DATOS!$G9882&lt;&gt;"EX",0,--(COUNTIFS(nNIA,DATOS!$A9882,nCURSO,DATOS!$D9882,nESPEC,DATOS!$E9882,nASIG,DATOS!$I9882,nEVAL,"OR")=0))</f>
      </c>
      <c r="I9882">
        <f>IF(DATOS!$I9882="","",IFERROR(VLOOKUP(DATOS!$I9882,CONFIG_ASIGNATURAS!$B$2:$J$91,9,FALSE()),""))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IF(DATOS!$A9883="",0,IF(CONFIG_METADATA!$B$4&lt;&gt;"OR+EX",--(DATOS!$G9883=CONFIG_METADATA!$B$4),IF(DATOS!$G9883="EX",1,IF(DATOS!$G9883="OR",--(COUNTIFS(nNIA,DATOS!$A9883,nCURSO,DATOS!$D9883,nESPEC,DATOS!$E9883,nASIG,DATOS!$I9883,nEVAL,"EX")=0),0))))</f>
      </c>
      <c r="H9883">
        <f>IF(DATOS!$G9883&lt;&gt;"EX",0,--(COUNTIFS(nNIA,DATOS!$A9883,nCURSO,DATOS!$D9883,nESPEC,DATOS!$E9883,nASIG,DATOS!$I9883,nEVAL,"OR")=0))</f>
      </c>
      <c r="I9883">
        <f>IF(DATOS!$I9883="","",IFERROR(VLOOKUP(DATOS!$I9883,CONFIG_ASIGNATURAS!$B$2:$J$91,9,FALSE()),""))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IF(DATOS!$A9884="",0,IF(CONFIG_METADATA!$B$4&lt;&gt;"OR+EX",--(DATOS!$G9884=CONFIG_METADATA!$B$4),IF(DATOS!$G9884="EX",1,IF(DATOS!$G9884="OR",--(COUNTIFS(nNIA,DATOS!$A9884,nCURSO,DATOS!$D9884,nESPEC,DATOS!$E9884,nASIG,DATOS!$I9884,nEVAL,"EX")=0),0))))</f>
      </c>
      <c r="H9884">
        <f>IF(DATOS!$G9884&lt;&gt;"EX",0,--(COUNTIFS(nNIA,DATOS!$A9884,nCURSO,DATOS!$D9884,nESPEC,DATOS!$E9884,nASIG,DATOS!$I9884,nEVAL,"OR")=0))</f>
      </c>
      <c r="I9884">
        <f>IF(DATOS!$I9884="","",IFERROR(VLOOKUP(DATOS!$I9884,CONFIG_ASIGNATURAS!$B$2:$J$91,9,FALSE()),""))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IF(DATOS!$A9885="",0,IF(CONFIG_METADATA!$B$4&lt;&gt;"OR+EX",--(DATOS!$G9885=CONFIG_METADATA!$B$4),IF(DATOS!$G9885="EX",1,IF(DATOS!$G9885="OR",--(COUNTIFS(nNIA,DATOS!$A9885,nCURSO,DATOS!$D9885,nESPEC,DATOS!$E9885,nASIG,DATOS!$I9885,nEVAL,"EX")=0),0))))</f>
      </c>
      <c r="H9885">
        <f>IF(DATOS!$G9885&lt;&gt;"EX",0,--(COUNTIFS(nNIA,DATOS!$A9885,nCURSO,DATOS!$D9885,nESPEC,DATOS!$E9885,nASIG,DATOS!$I9885,nEVAL,"OR")=0))</f>
      </c>
      <c r="I9885">
        <f>IF(DATOS!$I9885="","",IFERROR(VLOOKUP(DATOS!$I9885,CONFIG_ASIGNATURAS!$B$2:$J$91,9,FALSE()),""))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IF(DATOS!$A9886="",0,IF(CONFIG_METADATA!$B$4&lt;&gt;"OR+EX",--(DATOS!$G9886=CONFIG_METADATA!$B$4),IF(DATOS!$G9886="EX",1,IF(DATOS!$G9886="OR",--(COUNTIFS(nNIA,DATOS!$A9886,nCURSO,DATOS!$D9886,nESPEC,DATOS!$E9886,nASIG,DATOS!$I9886,nEVAL,"EX")=0),0))))</f>
      </c>
      <c r="H9886">
        <f>IF(DATOS!$G9886&lt;&gt;"EX",0,--(COUNTIFS(nNIA,DATOS!$A9886,nCURSO,DATOS!$D9886,nESPEC,DATOS!$E9886,nASIG,DATOS!$I9886,nEVAL,"OR")=0))</f>
      </c>
      <c r="I9886">
        <f>IF(DATOS!$I9886="","",IFERROR(VLOOKUP(DATOS!$I9886,CONFIG_ASIGNATURAS!$B$2:$J$91,9,FALSE()),""))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IF(DATOS!$A9887="",0,IF(CONFIG_METADATA!$B$4&lt;&gt;"OR+EX",--(DATOS!$G9887=CONFIG_METADATA!$B$4),IF(DATOS!$G9887="EX",1,IF(DATOS!$G9887="OR",--(COUNTIFS(nNIA,DATOS!$A9887,nCURSO,DATOS!$D9887,nESPEC,DATOS!$E9887,nASIG,DATOS!$I9887,nEVAL,"EX")=0),0))))</f>
      </c>
      <c r="H9887">
        <f>IF(DATOS!$G9887&lt;&gt;"EX",0,--(COUNTIFS(nNIA,DATOS!$A9887,nCURSO,DATOS!$D9887,nESPEC,DATOS!$E9887,nASIG,DATOS!$I9887,nEVAL,"OR")=0))</f>
      </c>
      <c r="I9887">
        <f>IF(DATOS!$I9887="","",IFERROR(VLOOKUP(DATOS!$I9887,CONFIG_ASIGNATURAS!$B$2:$J$91,9,FALSE()),""))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IF(DATOS!$A9888="",0,IF(CONFIG_METADATA!$B$4&lt;&gt;"OR+EX",--(DATOS!$G9888=CONFIG_METADATA!$B$4),IF(DATOS!$G9888="EX",1,IF(DATOS!$G9888="OR",--(COUNTIFS(nNIA,DATOS!$A9888,nCURSO,DATOS!$D9888,nESPEC,DATOS!$E9888,nASIG,DATOS!$I9888,nEVAL,"EX")=0),0))))</f>
      </c>
      <c r="H9888">
        <f>IF(DATOS!$G9888&lt;&gt;"EX",0,--(COUNTIFS(nNIA,DATOS!$A9888,nCURSO,DATOS!$D9888,nESPEC,DATOS!$E9888,nASIG,DATOS!$I9888,nEVAL,"OR")=0))</f>
      </c>
      <c r="I9888">
        <f>IF(DATOS!$I9888="","",IFERROR(VLOOKUP(DATOS!$I9888,CONFIG_ASIGNATURAS!$B$2:$J$91,9,FALSE()),""))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IF(DATOS!$A9889="",0,IF(CONFIG_METADATA!$B$4&lt;&gt;"OR+EX",--(DATOS!$G9889=CONFIG_METADATA!$B$4),IF(DATOS!$G9889="EX",1,IF(DATOS!$G9889="OR",--(COUNTIFS(nNIA,DATOS!$A9889,nCURSO,DATOS!$D9889,nESPEC,DATOS!$E9889,nASIG,DATOS!$I9889,nEVAL,"EX")=0),0))))</f>
      </c>
      <c r="H9889">
        <f>IF(DATOS!$G9889&lt;&gt;"EX",0,--(COUNTIFS(nNIA,DATOS!$A9889,nCURSO,DATOS!$D9889,nESPEC,DATOS!$E9889,nASIG,DATOS!$I9889,nEVAL,"OR")=0))</f>
      </c>
      <c r="I9889">
        <f>IF(DATOS!$I9889="","",IFERROR(VLOOKUP(DATOS!$I9889,CONFIG_ASIGNATURAS!$B$2:$J$91,9,FALSE()),""))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IF(DATOS!$A9890="",0,IF(CONFIG_METADATA!$B$4&lt;&gt;"OR+EX",--(DATOS!$G9890=CONFIG_METADATA!$B$4),IF(DATOS!$G9890="EX",1,IF(DATOS!$G9890="OR",--(COUNTIFS(nNIA,DATOS!$A9890,nCURSO,DATOS!$D9890,nESPEC,DATOS!$E9890,nASIG,DATOS!$I9890,nEVAL,"EX")=0),0))))</f>
      </c>
      <c r="H9890">
        <f>IF(DATOS!$G9890&lt;&gt;"EX",0,--(COUNTIFS(nNIA,DATOS!$A9890,nCURSO,DATOS!$D9890,nESPEC,DATOS!$E9890,nASIG,DATOS!$I9890,nEVAL,"OR")=0))</f>
      </c>
      <c r="I9890">
        <f>IF(DATOS!$I9890="","",IFERROR(VLOOKUP(DATOS!$I9890,CONFIG_ASIGNATURAS!$B$2:$J$91,9,FALSE()),""))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IF(DATOS!$A9891="",0,IF(CONFIG_METADATA!$B$4&lt;&gt;"OR+EX",--(DATOS!$G9891=CONFIG_METADATA!$B$4),IF(DATOS!$G9891="EX",1,IF(DATOS!$G9891="OR",--(COUNTIFS(nNIA,DATOS!$A9891,nCURSO,DATOS!$D9891,nESPEC,DATOS!$E9891,nASIG,DATOS!$I9891,nEVAL,"EX")=0),0))))</f>
      </c>
      <c r="H9891">
        <f>IF(DATOS!$G9891&lt;&gt;"EX",0,--(COUNTIFS(nNIA,DATOS!$A9891,nCURSO,DATOS!$D9891,nESPEC,DATOS!$E9891,nASIG,DATOS!$I9891,nEVAL,"OR")=0))</f>
      </c>
      <c r="I9891">
        <f>IF(DATOS!$I9891="","",IFERROR(VLOOKUP(DATOS!$I9891,CONFIG_ASIGNATURAS!$B$2:$J$91,9,FALSE()),""))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IF(DATOS!$A9892="",0,IF(CONFIG_METADATA!$B$4&lt;&gt;"OR+EX",--(DATOS!$G9892=CONFIG_METADATA!$B$4),IF(DATOS!$G9892="EX",1,IF(DATOS!$G9892="OR",--(COUNTIFS(nNIA,DATOS!$A9892,nCURSO,DATOS!$D9892,nESPEC,DATOS!$E9892,nASIG,DATOS!$I9892,nEVAL,"EX")=0),0))))</f>
      </c>
      <c r="H9892">
        <f>IF(DATOS!$G9892&lt;&gt;"EX",0,--(COUNTIFS(nNIA,DATOS!$A9892,nCURSO,DATOS!$D9892,nESPEC,DATOS!$E9892,nASIG,DATOS!$I9892,nEVAL,"OR")=0))</f>
      </c>
      <c r="I9892">
        <f>IF(DATOS!$I9892="","",IFERROR(VLOOKUP(DATOS!$I9892,CONFIG_ASIGNATURAS!$B$2:$J$91,9,FALSE()),""))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IF(DATOS!$A9893="",0,IF(CONFIG_METADATA!$B$4&lt;&gt;"OR+EX",--(DATOS!$G9893=CONFIG_METADATA!$B$4),IF(DATOS!$G9893="EX",1,IF(DATOS!$G9893="OR",--(COUNTIFS(nNIA,DATOS!$A9893,nCURSO,DATOS!$D9893,nESPEC,DATOS!$E9893,nASIG,DATOS!$I9893,nEVAL,"EX")=0),0))))</f>
      </c>
      <c r="H9893">
        <f>IF(DATOS!$G9893&lt;&gt;"EX",0,--(COUNTIFS(nNIA,DATOS!$A9893,nCURSO,DATOS!$D9893,nESPEC,DATOS!$E9893,nASIG,DATOS!$I9893,nEVAL,"OR")=0))</f>
      </c>
      <c r="I9893">
        <f>IF(DATOS!$I9893="","",IFERROR(VLOOKUP(DATOS!$I9893,CONFIG_ASIGNATURAS!$B$2:$J$91,9,FALSE()),""))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IF(DATOS!$A9894="",0,IF(CONFIG_METADATA!$B$4&lt;&gt;"OR+EX",--(DATOS!$G9894=CONFIG_METADATA!$B$4),IF(DATOS!$G9894="EX",1,IF(DATOS!$G9894="OR",--(COUNTIFS(nNIA,DATOS!$A9894,nCURSO,DATOS!$D9894,nESPEC,DATOS!$E9894,nASIG,DATOS!$I9894,nEVAL,"EX")=0),0))))</f>
      </c>
      <c r="H9894">
        <f>IF(DATOS!$G9894&lt;&gt;"EX",0,--(COUNTIFS(nNIA,DATOS!$A9894,nCURSO,DATOS!$D9894,nESPEC,DATOS!$E9894,nASIG,DATOS!$I9894,nEVAL,"OR")=0))</f>
      </c>
      <c r="I9894">
        <f>IF(DATOS!$I9894="","",IFERROR(VLOOKUP(DATOS!$I9894,CONFIG_ASIGNATURAS!$B$2:$J$91,9,FALSE()),""))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IF(DATOS!$A9895="",0,IF(CONFIG_METADATA!$B$4&lt;&gt;"OR+EX",--(DATOS!$G9895=CONFIG_METADATA!$B$4),IF(DATOS!$G9895="EX",1,IF(DATOS!$G9895="OR",--(COUNTIFS(nNIA,DATOS!$A9895,nCURSO,DATOS!$D9895,nESPEC,DATOS!$E9895,nASIG,DATOS!$I9895,nEVAL,"EX")=0),0))))</f>
      </c>
      <c r="H9895">
        <f>IF(DATOS!$G9895&lt;&gt;"EX",0,--(COUNTIFS(nNIA,DATOS!$A9895,nCURSO,DATOS!$D9895,nESPEC,DATOS!$E9895,nASIG,DATOS!$I9895,nEVAL,"OR")=0))</f>
      </c>
      <c r="I9895">
        <f>IF(DATOS!$I9895="","",IFERROR(VLOOKUP(DATOS!$I9895,CONFIG_ASIGNATURAS!$B$2:$J$91,9,FALSE()),""))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IF(DATOS!$A9896="",0,IF(CONFIG_METADATA!$B$4&lt;&gt;"OR+EX",--(DATOS!$G9896=CONFIG_METADATA!$B$4),IF(DATOS!$G9896="EX",1,IF(DATOS!$G9896="OR",--(COUNTIFS(nNIA,DATOS!$A9896,nCURSO,DATOS!$D9896,nESPEC,DATOS!$E9896,nASIG,DATOS!$I9896,nEVAL,"EX")=0),0))))</f>
      </c>
      <c r="H9896">
        <f>IF(DATOS!$G9896&lt;&gt;"EX",0,--(COUNTIFS(nNIA,DATOS!$A9896,nCURSO,DATOS!$D9896,nESPEC,DATOS!$E9896,nASIG,DATOS!$I9896,nEVAL,"OR")=0))</f>
      </c>
      <c r="I9896">
        <f>IF(DATOS!$I9896="","",IFERROR(VLOOKUP(DATOS!$I9896,CONFIG_ASIGNATURAS!$B$2:$J$91,9,FALSE()),""))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IF(DATOS!$A9897="",0,IF(CONFIG_METADATA!$B$4&lt;&gt;"OR+EX",--(DATOS!$G9897=CONFIG_METADATA!$B$4),IF(DATOS!$G9897="EX",1,IF(DATOS!$G9897="OR",--(COUNTIFS(nNIA,DATOS!$A9897,nCURSO,DATOS!$D9897,nESPEC,DATOS!$E9897,nASIG,DATOS!$I9897,nEVAL,"EX")=0),0))))</f>
      </c>
      <c r="H9897">
        <f>IF(DATOS!$G9897&lt;&gt;"EX",0,--(COUNTIFS(nNIA,DATOS!$A9897,nCURSO,DATOS!$D9897,nESPEC,DATOS!$E9897,nASIG,DATOS!$I9897,nEVAL,"OR")=0))</f>
      </c>
      <c r="I9897">
        <f>IF(DATOS!$I9897="","",IFERROR(VLOOKUP(DATOS!$I9897,CONFIG_ASIGNATURAS!$B$2:$J$91,9,FALSE()),""))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IF(DATOS!$A9898="",0,IF(CONFIG_METADATA!$B$4&lt;&gt;"OR+EX",--(DATOS!$G9898=CONFIG_METADATA!$B$4),IF(DATOS!$G9898="EX",1,IF(DATOS!$G9898="OR",--(COUNTIFS(nNIA,DATOS!$A9898,nCURSO,DATOS!$D9898,nESPEC,DATOS!$E9898,nASIG,DATOS!$I9898,nEVAL,"EX")=0),0))))</f>
      </c>
      <c r="H9898">
        <f>IF(DATOS!$G9898&lt;&gt;"EX",0,--(COUNTIFS(nNIA,DATOS!$A9898,nCURSO,DATOS!$D9898,nESPEC,DATOS!$E9898,nASIG,DATOS!$I9898,nEVAL,"OR")=0))</f>
      </c>
      <c r="I9898">
        <f>IF(DATOS!$I9898="","",IFERROR(VLOOKUP(DATOS!$I9898,CONFIG_ASIGNATURAS!$B$2:$J$91,9,FALSE()),""))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IF(DATOS!$A9899="",0,IF(CONFIG_METADATA!$B$4&lt;&gt;"OR+EX",--(DATOS!$G9899=CONFIG_METADATA!$B$4),IF(DATOS!$G9899="EX",1,IF(DATOS!$G9899="OR",--(COUNTIFS(nNIA,DATOS!$A9899,nCURSO,DATOS!$D9899,nESPEC,DATOS!$E9899,nASIG,DATOS!$I9899,nEVAL,"EX")=0),0))))</f>
      </c>
      <c r="H9899">
        <f>IF(DATOS!$G9899&lt;&gt;"EX",0,--(COUNTIFS(nNIA,DATOS!$A9899,nCURSO,DATOS!$D9899,nESPEC,DATOS!$E9899,nASIG,DATOS!$I9899,nEVAL,"OR")=0))</f>
      </c>
      <c r="I9899">
        <f>IF(DATOS!$I9899="","",IFERROR(VLOOKUP(DATOS!$I9899,CONFIG_ASIGNATURAS!$B$2:$J$91,9,FALSE()),""))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IF(DATOS!$A9900="",0,IF(CONFIG_METADATA!$B$4&lt;&gt;"OR+EX",--(DATOS!$G9900=CONFIG_METADATA!$B$4),IF(DATOS!$G9900="EX",1,IF(DATOS!$G9900="OR",--(COUNTIFS(nNIA,DATOS!$A9900,nCURSO,DATOS!$D9900,nESPEC,DATOS!$E9900,nASIG,DATOS!$I9900,nEVAL,"EX")=0),0))))</f>
      </c>
      <c r="H9900">
        <f>IF(DATOS!$G9900&lt;&gt;"EX",0,--(COUNTIFS(nNIA,DATOS!$A9900,nCURSO,DATOS!$D9900,nESPEC,DATOS!$E9900,nASIG,DATOS!$I9900,nEVAL,"OR")=0))</f>
      </c>
      <c r="I9900">
        <f>IF(DATOS!$I9900="","",IFERROR(VLOOKUP(DATOS!$I9900,CONFIG_ASIGNATURAS!$B$2:$J$91,9,FALSE()),""))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IF(DATOS!$A9901="",0,IF(CONFIG_METADATA!$B$4&lt;&gt;"OR+EX",--(DATOS!$G9901=CONFIG_METADATA!$B$4),IF(DATOS!$G9901="EX",1,IF(DATOS!$G9901="OR",--(COUNTIFS(nNIA,DATOS!$A9901,nCURSO,DATOS!$D9901,nESPEC,DATOS!$E9901,nASIG,DATOS!$I9901,nEVAL,"EX")=0),0))))</f>
      </c>
      <c r="H9901">
        <f>IF(DATOS!$G9901&lt;&gt;"EX",0,--(COUNTIFS(nNIA,DATOS!$A9901,nCURSO,DATOS!$D9901,nESPEC,DATOS!$E9901,nASIG,DATOS!$I9901,nEVAL,"OR")=0))</f>
      </c>
      <c r="I9901">
        <f>IF(DATOS!$I9901="","",IFERROR(VLOOKUP(DATOS!$I9901,CONFIG_ASIGNATURAS!$B$2:$J$91,9,FALSE()),""))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IF(DATOS!$A9902="",0,IF(CONFIG_METADATA!$B$4&lt;&gt;"OR+EX",--(DATOS!$G9902=CONFIG_METADATA!$B$4),IF(DATOS!$G9902="EX",1,IF(DATOS!$G9902="OR",--(COUNTIFS(nNIA,DATOS!$A9902,nCURSO,DATOS!$D9902,nESPEC,DATOS!$E9902,nASIG,DATOS!$I9902,nEVAL,"EX")=0),0))))</f>
      </c>
      <c r="H9902">
        <f>IF(DATOS!$G9902&lt;&gt;"EX",0,--(COUNTIFS(nNIA,DATOS!$A9902,nCURSO,DATOS!$D9902,nESPEC,DATOS!$E9902,nASIG,DATOS!$I9902,nEVAL,"OR")=0))</f>
      </c>
      <c r="I9902">
        <f>IF(DATOS!$I9902="","",IFERROR(VLOOKUP(DATOS!$I9902,CONFIG_ASIGNATURAS!$B$2:$J$91,9,FALSE()),""))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IF(DATOS!$A9903="",0,IF(CONFIG_METADATA!$B$4&lt;&gt;"OR+EX",--(DATOS!$G9903=CONFIG_METADATA!$B$4),IF(DATOS!$G9903="EX",1,IF(DATOS!$G9903="OR",--(COUNTIFS(nNIA,DATOS!$A9903,nCURSO,DATOS!$D9903,nESPEC,DATOS!$E9903,nASIG,DATOS!$I9903,nEVAL,"EX")=0),0))))</f>
      </c>
      <c r="H9903">
        <f>IF(DATOS!$G9903&lt;&gt;"EX",0,--(COUNTIFS(nNIA,DATOS!$A9903,nCURSO,DATOS!$D9903,nESPEC,DATOS!$E9903,nASIG,DATOS!$I9903,nEVAL,"OR")=0))</f>
      </c>
      <c r="I9903">
        <f>IF(DATOS!$I9903="","",IFERROR(VLOOKUP(DATOS!$I9903,CONFIG_ASIGNATURAS!$B$2:$J$91,9,FALSE()),""))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IF(DATOS!$A9904="",0,IF(CONFIG_METADATA!$B$4&lt;&gt;"OR+EX",--(DATOS!$G9904=CONFIG_METADATA!$B$4),IF(DATOS!$G9904="EX",1,IF(DATOS!$G9904="OR",--(COUNTIFS(nNIA,DATOS!$A9904,nCURSO,DATOS!$D9904,nESPEC,DATOS!$E9904,nASIG,DATOS!$I9904,nEVAL,"EX")=0),0))))</f>
      </c>
      <c r="H9904">
        <f>IF(DATOS!$G9904&lt;&gt;"EX",0,--(COUNTIFS(nNIA,DATOS!$A9904,nCURSO,DATOS!$D9904,nESPEC,DATOS!$E9904,nASIG,DATOS!$I9904,nEVAL,"OR")=0))</f>
      </c>
      <c r="I9904">
        <f>IF(DATOS!$I9904="","",IFERROR(VLOOKUP(DATOS!$I9904,CONFIG_ASIGNATURAS!$B$2:$J$91,9,FALSE()),""))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IF(DATOS!$A9905="",0,IF(CONFIG_METADATA!$B$4&lt;&gt;"OR+EX",--(DATOS!$G9905=CONFIG_METADATA!$B$4),IF(DATOS!$G9905="EX",1,IF(DATOS!$G9905="OR",--(COUNTIFS(nNIA,DATOS!$A9905,nCURSO,DATOS!$D9905,nESPEC,DATOS!$E9905,nASIG,DATOS!$I9905,nEVAL,"EX")=0),0))))</f>
      </c>
      <c r="H9905">
        <f>IF(DATOS!$G9905&lt;&gt;"EX",0,--(COUNTIFS(nNIA,DATOS!$A9905,nCURSO,DATOS!$D9905,nESPEC,DATOS!$E9905,nASIG,DATOS!$I9905,nEVAL,"OR")=0))</f>
      </c>
      <c r="I9905">
        <f>IF(DATOS!$I9905="","",IFERROR(VLOOKUP(DATOS!$I9905,CONFIG_ASIGNATURAS!$B$2:$J$91,9,FALSE()),""))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IF(DATOS!$A9906="",0,IF(CONFIG_METADATA!$B$4&lt;&gt;"OR+EX",--(DATOS!$G9906=CONFIG_METADATA!$B$4),IF(DATOS!$G9906="EX",1,IF(DATOS!$G9906="OR",--(COUNTIFS(nNIA,DATOS!$A9906,nCURSO,DATOS!$D9906,nESPEC,DATOS!$E9906,nASIG,DATOS!$I9906,nEVAL,"EX")=0),0))))</f>
      </c>
      <c r="H9906">
        <f>IF(DATOS!$G9906&lt;&gt;"EX",0,--(COUNTIFS(nNIA,DATOS!$A9906,nCURSO,DATOS!$D9906,nESPEC,DATOS!$E9906,nASIG,DATOS!$I9906,nEVAL,"OR")=0))</f>
      </c>
      <c r="I9906">
        <f>IF(DATOS!$I9906="","",IFERROR(VLOOKUP(DATOS!$I9906,CONFIG_ASIGNATURAS!$B$2:$J$91,9,FALSE()),""))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IF(DATOS!$A9907="",0,IF(CONFIG_METADATA!$B$4&lt;&gt;"OR+EX",--(DATOS!$G9907=CONFIG_METADATA!$B$4),IF(DATOS!$G9907="EX",1,IF(DATOS!$G9907="OR",--(COUNTIFS(nNIA,DATOS!$A9907,nCURSO,DATOS!$D9907,nESPEC,DATOS!$E9907,nASIG,DATOS!$I9907,nEVAL,"EX")=0),0))))</f>
      </c>
      <c r="H9907">
        <f>IF(DATOS!$G9907&lt;&gt;"EX",0,--(COUNTIFS(nNIA,DATOS!$A9907,nCURSO,DATOS!$D9907,nESPEC,DATOS!$E9907,nASIG,DATOS!$I9907,nEVAL,"OR")=0))</f>
      </c>
      <c r="I9907">
        <f>IF(DATOS!$I9907="","",IFERROR(VLOOKUP(DATOS!$I9907,CONFIG_ASIGNATURAS!$B$2:$J$91,9,FALSE()),""))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IF(DATOS!$A9908="",0,IF(CONFIG_METADATA!$B$4&lt;&gt;"OR+EX",--(DATOS!$G9908=CONFIG_METADATA!$B$4),IF(DATOS!$G9908="EX",1,IF(DATOS!$G9908="OR",--(COUNTIFS(nNIA,DATOS!$A9908,nCURSO,DATOS!$D9908,nESPEC,DATOS!$E9908,nASIG,DATOS!$I9908,nEVAL,"EX")=0),0))))</f>
      </c>
      <c r="H9908">
        <f>IF(DATOS!$G9908&lt;&gt;"EX",0,--(COUNTIFS(nNIA,DATOS!$A9908,nCURSO,DATOS!$D9908,nESPEC,DATOS!$E9908,nASIG,DATOS!$I9908,nEVAL,"OR")=0))</f>
      </c>
      <c r="I9908">
        <f>IF(DATOS!$I9908="","",IFERROR(VLOOKUP(DATOS!$I9908,CONFIG_ASIGNATURAS!$B$2:$J$91,9,FALSE()),""))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IF(DATOS!$A9909="",0,IF(CONFIG_METADATA!$B$4&lt;&gt;"OR+EX",--(DATOS!$G9909=CONFIG_METADATA!$B$4),IF(DATOS!$G9909="EX",1,IF(DATOS!$G9909="OR",--(COUNTIFS(nNIA,DATOS!$A9909,nCURSO,DATOS!$D9909,nESPEC,DATOS!$E9909,nASIG,DATOS!$I9909,nEVAL,"EX")=0),0))))</f>
      </c>
      <c r="H9909">
        <f>IF(DATOS!$G9909&lt;&gt;"EX",0,--(COUNTIFS(nNIA,DATOS!$A9909,nCURSO,DATOS!$D9909,nESPEC,DATOS!$E9909,nASIG,DATOS!$I9909,nEVAL,"OR")=0))</f>
      </c>
      <c r="I9909">
        <f>IF(DATOS!$I9909="","",IFERROR(VLOOKUP(DATOS!$I9909,CONFIG_ASIGNATURAS!$B$2:$J$91,9,FALSE()),""))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IF(DATOS!$A9910="",0,IF(CONFIG_METADATA!$B$4&lt;&gt;"OR+EX",--(DATOS!$G9910=CONFIG_METADATA!$B$4),IF(DATOS!$G9910="EX",1,IF(DATOS!$G9910="OR",--(COUNTIFS(nNIA,DATOS!$A9910,nCURSO,DATOS!$D9910,nESPEC,DATOS!$E9910,nASIG,DATOS!$I9910,nEVAL,"EX")=0),0))))</f>
      </c>
      <c r="H9910">
        <f>IF(DATOS!$G9910&lt;&gt;"EX",0,--(COUNTIFS(nNIA,DATOS!$A9910,nCURSO,DATOS!$D9910,nESPEC,DATOS!$E9910,nASIG,DATOS!$I9910,nEVAL,"OR")=0))</f>
      </c>
      <c r="I9910">
        <f>IF(DATOS!$I9910="","",IFERROR(VLOOKUP(DATOS!$I9910,CONFIG_ASIGNATURAS!$B$2:$J$91,9,FALSE()),""))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IF(DATOS!$A9911="",0,IF(CONFIG_METADATA!$B$4&lt;&gt;"OR+EX",--(DATOS!$G9911=CONFIG_METADATA!$B$4),IF(DATOS!$G9911="EX",1,IF(DATOS!$G9911="OR",--(COUNTIFS(nNIA,DATOS!$A9911,nCURSO,DATOS!$D9911,nESPEC,DATOS!$E9911,nASIG,DATOS!$I9911,nEVAL,"EX")=0),0))))</f>
      </c>
      <c r="H9911">
        <f>IF(DATOS!$G9911&lt;&gt;"EX",0,--(COUNTIFS(nNIA,DATOS!$A9911,nCURSO,DATOS!$D9911,nESPEC,DATOS!$E9911,nASIG,DATOS!$I9911,nEVAL,"OR")=0))</f>
      </c>
      <c r="I9911">
        <f>IF(DATOS!$I9911="","",IFERROR(VLOOKUP(DATOS!$I9911,CONFIG_ASIGNATURAS!$B$2:$J$91,9,FALSE()),""))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IF(DATOS!$A9912="",0,IF(CONFIG_METADATA!$B$4&lt;&gt;"OR+EX",--(DATOS!$G9912=CONFIG_METADATA!$B$4),IF(DATOS!$G9912="EX",1,IF(DATOS!$G9912="OR",--(COUNTIFS(nNIA,DATOS!$A9912,nCURSO,DATOS!$D9912,nESPEC,DATOS!$E9912,nASIG,DATOS!$I9912,nEVAL,"EX")=0),0))))</f>
      </c>
      <c r="H9912">
        <f>IF(DATOS!$G9912&lt;&gt;"EX",0,--(COUNTIFS(nNIA,DATOS!$A9912,nCURSO,DATOS!$D9912,nESPEC,DATOS!$E9912,nASIG,DATOS!$I9912,nEVAL,"OR")=0))</f>
      </c>
      <c r="I9912">
        <f>IF(DATOS!$I9912="","",IFERROR(VLOOKUP(DATOS!$I9912,CONFIG_ASIGNATURAS!$B$2:$J$91,9,FALSE()),""))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IF(DATOS!$A9913="",0,IF(CONFIG_METADATA!$B$4&lt;&gt;"OR+EX",--(DATOS!$G9913=CONFIG_METADATA!$B$4),IF(DATOS!$G9913="EX",1,IF(DATOS!$G9913="OR",--(COUNTIFS(nNIA,DATOS!$A9913,nCURSO,DATOS!$D9913,nESPEC,DATOS!$E9913,nASIG,DATOS!$I9913,nEVAL,"EX")=0),0))))</f>
      </c>
      <c r="H9913">
        <f>IF(DATOS!$G9913&lt;&gt;"EX",0,--(COUNTIFS(nNIA,DATOS!$A9913,nCURSO,DATOS!$D9913,nESPEC,DATOS!$E9913,nASIG,DATOS!$I9913,nEVAL,"OR")=0))</f>
      </c>
      <c r="I9913">
        <f>IF(DATOS!$I9913="","",IFERROR(VLOOKUP(DATOS!$I9913,CONFIG_ASIGNATURAS!$B$2:$J$91,9,FALSE()),""))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IF(DATOS!$A9914="",0,IF(CONFIG_METADATA!$B$4&lt;&gt;"OR+EX",--(DATOS!$G9914=CONFIG_METADATA!$B$4),IF(DATOS!$G9914="EX",1,IF(DATOS!$G9914="OR",--(COUNTIFS(nNIA,DATOS!$A9914,nCURSO,DATOS!$D9914,nESPEC,DATOS!$E9914,nASIG,DATOS!$I9914,nEVAL,"EX")=0),0))))</f>
      </c>
      <c r="H9914">
        <f>IF(DATOS!$G9914&lt;&gt;"EX",0,--(COUNTIFS(nNIA,DATOS!$A9914,nCURSO,DATOS!$D9914,nESPEC,DATOS!$E9914,nASIG,DATOS!$I9914,nEVAL,"OR")=0))</f>
      </c>
      <c r="I9914">
        <f>IF(DATOS!$I9914="","",IFERROR(VLOOKUP(DATOS!$I9914,CONFIG_ASIGNATURAS!$B$2:$J$91,9,FALSE()),""))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IF(DATOS!$A9915="",0,IF(CONFIG_METADATA!$B$4&lt;&gt;"OR+EX",--(DATOS!$G9915=CONFIG_METADATA!$B$4),IF(DATOS!$G9915="EX",1,IF(DATOS!$G9915="OR",--(COUNTIFS(nNIA,DATOS!$A9915,nCURSO,DATOS!$D9915,nESPEC,DATOS!$E9915,nASIG,DATOS!$I9915,nEVAL,"EX")=0),0))))</f>
      </c>
      <c r="H9915">
        <f>IF(DATOS!$G9915&lt;&gt;"EX",0,--(COUNTIFS(nNIA,DATOS!$A9915,nCURSO,DATOS!$D9915,nESPEC,DATOS!$E9915,nASIG,DATOS!$I9915,nEVAL,"OR")=0))</f>
      </c>
      <c r="I9915">
        <f>IF(DATOS!$I9915="","",IFERROR(VLOOKUP(DATOS!$I9915,CONFIG_ASIGNATURAS!$B$2:$J$91,9,FALSE()),""))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IF(DATOS!$A9916="",0,IF(CONFIG_METADATA!$B$4&lt;&gt;"OR+EX",--(DATOS!$G9916=CONFIG_METADATA!$B$4),IF(DATOS!$G9916="EX",1,IF(DATOS!$G9916="OR",--(COUNTIFS(nNIA,DATOS!$A9916,nCURSO,DATOS!$D9916,nESPEC,DATOS!$E9916,nASIG,DATOS!$I9916,nEVAL,"EX")=0),0))))</f>
      </c>
      <c r="H9916">
        <f>IF(DATOS!$G9916&lt;&gt;"EX",0,--(COUNTIFS(nNIA,DATOS!$A9916,nCURSO,DATOS!$D9916,nESPEC,DATOS!$E9916,nASIG,DATOS!$I9916,nEVAL,"OR")=0))</f>
      </c>
      <c r="I9916">
        <f>IF(DATOS!$I9916="","",IFERROR(VLOOKUP(DATOS!$I9916,CONFIG_ASIGNATURAS!$B$2:$J$91,9,FALSE()),""))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IF(DATOS!$A9917="",0,IF(CONFIG_METADATA!$B$4&lt;&gt;"OR+EX",--(DATOS!$G9917=CONFIG_METADATA!$B$4),IF(DATOS!$G9917="EX",1,IF(DATOS!$G9917="OR",--(COUNTIFS(nNIA,DATOS!$A9917,nCURSO,DATOS!$D9917,nESPEC,DATOS!$E9917,nASIG,DATOS!$I9917,nEVAL,"EX")=0),0))))</f>
      </c>
      <c r="H9917">
        <f>IF(DATOS!$G9917&lt;&gt;"EX",0,--(COUNTIFS(nNIA,DATOS!$A9917,nCURSO,DATOS!$D9917,nESPEC,DATOS!$E9917,nASIG,DATOS!$I9917,nEVAL,"OR")=0))</f>
      </c>
      <c r="I9917">
        <f>IF(DATOS!$I9917="","",IFERROR(VLOOKUP(DATOS!$I9917,CONFIG_ASIGNATURAS!$B$2:$J$91,9,FALSE()),""))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IF(DATOS!$A9918="",0,IF(CONFIG_METADATA!$B$4&lt;&gt;"OR+EX",--(DATOS!$G9918=CONFIG_METADATA!$B$4),IF(DATOS!$G9918="EX",1,IF(DATOS!$G9918="OR",--(COUNTIFS(nNIA,DATOS!$A9918,nCURSO,DATOS!$D9918,nESPEC,DATOS!$E9918,nASIG,DATOS!$I9918,nEVAL,"EX")=0),0))))</f>
      </c>
      <c r="H9918">
        <f>IF(DATOS!$G9918&lt;&gt;"EX",0,--(COUNTIFS(nNIA,DATOS!$A9918,nCURSO,DATOS!$D9918,nESPEC,DATOS!$E9918,nASIG,DATOS!$I9918,nEVAL,"OR")=0))</f>
      </c>
      <c r="I9918">
        <f>IF(DATOS!$I9918="","",IFERROR(VLOOKUP(DATOS!$I9918,CONFIG_ASIGNATURAS!$B$2:$J$91,9,FALSE()),""))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IF(DATOS!$A9919="",0,IF(CONFIG_METADATA!$B$4&lt;&gt;"OR+EX",--(DATOS!$G9919=CONFIG_METADATA!$B$4),IF(DATOS!$G9919="EX",1,IF(DATOS!$G9919="OR",--(COUNTIFS(nNIA,DATOS!$A9919,nCURSO,DATOS!$D9919,nESPEC,DATOS!$E9919,nASIG,DATOS!$I9919,nEVAL,"EX")=0),0))))</f>
      </c>
      <c r="H9919">
        <f>IF(DATOS!$G9919&lt;&gt;"EX",0,--(COUNTIFS(nNIA,DATOS!$A9919,nCURSO,DATOS!$D9919,nESPEC,DATOS!$E9919,nASIG,DATOS!$I9919,nEVAL,"OR")=0))</f>
      </c>
      <c r="I9919">
        <f>IF(DATOS!$I9919="","",IFERROR(VLOOKUP(DATOS!$I9919,CONFIG_ASIGNATURAS!$B$2:$J$91,9,FALSE()),""))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IF(DATOS!$A9920="",0,IF(CONFIG_METADATA!$B$4&lt;&gt;"OR+EX",--(DATOS!$G9920=CONFIG_METADATA!$B$4),IF(DATOS!$G9920="EX",1,IF(DATOS!$G9920="OR",--(COUNTIFS(nNIA,DATOS!$A9920,nCURSO,DATOS!$D9920,nESPEC,DATOS!$E9920,nASIG,DATOS!$I9920,nEVAL,"EX")=0),0))))</f>
      </c>
      <c r="H9920">
        <f>IF(DATOS!$G9920&lt;&gt;"EX",0,--(COUNTIFS(nNIA,DATOS!$A9920,nCURSO,DATOS!$D9920,nESPEC,DATOS!$E9920,nASIG,DATOS!$I9920,nEVAL,"OR")=0))</f>
      </c>
      <c r="I9920">
        <f>IF(DATOS!$I9920="","",IFERROR(VLOOKUP(DATOS!$I9920,CONFIG_ASIGNATURAS!$B$2:$J$91,9,FALSE()),""))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IF(DATOS!$A9921="",0,IF(CONFIG_METADATA!$B$4&lt;&gt;"OR+EX",--(DATOS!$G9921=CONFIG_METADATA!$B$4),IF(DATOS!$G9921="EX",1,IF(DATOS!$G9921="OR",--(COUNTIFS(nNIA,DATOS!$A9921,nCURSO,DATOS!$D9921,nESPEC,DATOS!$E9921,nASIG,DATOS!$I9921,nEVAL,"EX")=0),0))))</f>
      </c>
      <c r="H9921">
        <f>IF(DATOS!$G9921&lt;&gt;"EX",0,--(COUNTIFS(nNIA,DATOS!$A9921,nCURSO,DATOS!$D9921,nESPEC,DATOS!$E9921,nASIG,DATOS!$I9921,nEVAL,"OR")=0))</f>
      </c>
      <c r="I9921">
        <f>IF(DATOS!$I9921="","",IFERROR(VLOOKUP(DATOS!$I9921,CONFIG_ASIGNATURAS!$B$2:$J$91,9,FALSE()),""))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IF(DATOS!$A9922="",0,IF(CONFIG_METADATA!$B$4&lt;&gt;"OR+EX",--(DATOS!$G9922=CONFIG_METADATA!$B$4),IF(DATOS!$G9922="EX",1,IF(DATOS!$G9922="OR",--(COUNTIFS(nNIA,DATOS!$A9922,nCURSO,DATOS!$D9922,nESPEC,DATOS!$E9922,nASIG,DATOS!$I9922,nEVAL,"EX")=0),0))))</f>
      </c>
      <c r="H9922">
        <f>IF(DATOS!$G9922&lt;&gt;"EX",0,--(COUNTIFS(nNIA,DATOS!$A9922,nCURSO,DATOS!$D9922,nESPEC,DATOS!$E9922,nASIG,DATOS!$I9922,nEVAL,"OR")=0))</f>
      </c>
      <c r="I9922">
        <f>IF(DATOS!$I9922="","",IFERROR(VLOOKUP(DATOS!$I9922,CONFIG_ASIGNATURAS!$B$2:$J$91,9,FALSE()),""))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IF(DATOS!$A9923="",0,IF(CONFIG_METADATA!$B$4&lt;&gt;"OR+EX",--(DATOS!$G9923=CONFIG_METADATA!$B$4),IF(DATOS!$G9923="EX",1,IF(DATOS!$G9923="OR",--(COUNTIFS(nNIA,DATOS!$A9923,nCURSO,DATOS!$D9923,nESPEC,DATOS!$E9923,nASIG,DATOS!$I9923,nEVAL,"EX")=0),0))))</f>
      </c>
      <c r="H9923">
        <f>IF(DATOS!$G9923&lt;&gt;"EX",0,--(COUNTIFS(nNIA,DATOS!$A9923,nCURSO,DATOS!$D9923,nESPEC,DATOS!$E9923,nASIG,DATOS!$I9923,nEVAL,"OR")=0))</f>
      </c>
      <c r="I9923">
        <f>IF(DATOS!$I9923="","",IFERROR(VLOOKUP(DATOS!$I9923,CONFIG_ASIGNATURAS!$B$2:$J$91,9,FALSE()),""))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IF(DATOS!$A9924="",0,IF(CONFIG_METADATA!$B$4&lt;&gt;"OR+EX",--(DATOS!$G9924=CONFIG_METADATA!$B$4),IF(DATOS!$G9924="EX",1,IF(DATOS!$G9924="OR",--(COUNTIFS(nNIA,DATOS!$A9924,nCURSO,DATOS!$D9924,nESPEC,DATOS!$E9924,nASIG,DATOS!$I9924,nEVAL,"EX")=0),0))))</f>
      </c>
      <c r="H9924">
        <f>IF(DATOS!$G9924&lt;&gt;"EX",0,--(COUNTIFS(nNIA,DATOS!$A9924,nCURSO,DATOS!$D9924,nESPEC,DATOS!$E9924,nASIG,DATOS!$I9924,nEVAL,"OR")=0))</f>
      </c>
      <c r="I9924">
        <f>IF(DATOS!$I9924="","",IFERROR(VLOOKUP(DATOS!$I9924,CONFIG_ASIGNATURAS!$B$2:$J$91,9,FALSE()),""))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IF(DATOS!$A9925="",0,IF(CONFIG_METADATA!$B$4&lt;&gt;"OR+EX",--(DATOS!$G9925=CONFIG_METADATA!$B$4),IF(DATOS!$G9925="EX",1,IF(DATOS!$G9925="OR",--(COUNTIFS(nNIA,DATOS!$A9925,nCURSO,DATOS!$D9925,nESPEC,DATOS!$E9925,nASIG,DATOS!$I9925,nEVAL,"EX")=0),0))))</f>
      </c>
      <c r="H9925">
        <f>IF(DATOS!$G9925&lt;&gt;"EX",0,--(COUNTIFS(nNIA,DATOS!$A9925,nCURSO,DATOS!$D9925,nESPEC,DATOS!$E9925,nASIG,DATOS!$I9925,nEVAL,"OR")=0))</f>
      </c>
      <c r="I9925">
        <f>IF(DATOS!$I9925="","",IFERROR(VLOOKUP(DATOS!$I9925,CONFIG_ASIGNATURAS!$B$2:$J$91,9,FALSE()),""))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IF(DATOS!$A9926="",0,IF(CONFIG_METADATA!$B$4&lt;&gt;"OR+EX",--(DATOS!$G9926=CONFIG_METADATA!$B$4),IF(DATOS!$G9926="EX",1,IF(DATOS!$G9926="OR",--(COUNTIFS(nNIA,DATOS!$A9926,nCURSO,DATOS!$D9926,nESPEC,DATOS!$E9926,nASIG,DATOS!$I9926,nEVAL,"EX")=0),0))))</f>
      </c>
      <c r="H9926">
        <f>IF(DATOS!$G9926&lt;&gt;"EX",0,--(COUNTIFS(nNIA,DATOS!$A9926,nCURSO,DATOS!$D9926,nESPEC,DATOS!$E9926,nASIG,DATOS!$I9926,nEVAL,"OR")=0))</f>
      </c>
      <c r="I9926">
        <f>IF(DATOS!$I9926="","",IFERROR(VLOOKUP(DATOS!$I9926,CONFIG_ASIGNATURAS!$B$2:$J$91,9,FALSE()),""))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IF(DATOS!$A9927="",0,IF(CONFIG_METADATA!$B$4&lt;&gt;"OR+EX",--(DATOS!$G9927=CONFIG_METADATA!$B$4),IF(DATOS!$G9927="EX",1,IF(DATOS!$G9927="OR",--(COUNTIFS(nNIA,DATOS!$A9927,nCURSO,DATOS!$D9927,nESPEC,DATOS!$E9927,nASIG,DATOS!$I9927,nEVAL,"EX")=0),0))))</f>
      </c>
      <c r="H9927">
        <f>IF(DATOS!$G9927&lt;&gt;"EX",0,--(COUNTIFS(nNIA,DATOS!$A9927,nCURSO,DATOS!$D9927,nESPEC,DATOS!$E9927,nASIG,DATOS!$I9927,nEVAL,"OR")=0))</f>
      </c>
      <c r="I9927">
        <f>IF(DATOS!$I9927="","",IFERROR(VLOOKUP(DATOS!$I9927,CONFIG_ASIGNATURAS!$B$2:$J$91,9,FALSE()),""))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IF(DATOS!$A9928="",0,IF(CONFIG_METADATA!$B$4&lt;&gt;"OR+EX",--(DATOS!$G9928=CONFIG_METADATA!$B$4),IF(DATOS!$G9928="EX",1,IF(DATOS!$G9928="OR",--(COUNTIFS(nNIA,DATOS!$A9928,nCURSO,DATOS!$D9928,nESPEC,DATOS!$E9928,nASIG,DATOS!$I9928,nEVAL,"EX")=0),0))))</f>
      </c>
      <c r="H9928">
        <f>IF(DATOS!$G9928&lt;&gt;"EX",0,--(COUNTIFS(nNIA,DATOS!$A9928,nCURSO,DATOS!$D9928,nESPEC,DATOS!$E9928,nASIG,DATOS!$I9928,nEVAL,"OR")=0))</f>
      </c>
      <c r="I9928">
        <f>IF(DATOS!$I9928="","",IFERROR(VLOOKUP(DATOS!$I9928,CONFIG_ASIGNATURAS!$B$2:$J$91,9,FALSE()),""))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IF(DATOS!$A9929="",0,IF(CONFIG_METADATA!$B$4&lt;&gt;"OR+EX",--(DATOS!$G9929=CONFIG_METADATA!$B$4),IF(DATOS!$G9929="EX",1,IF(DATOS!$G9929="OR",--(COUNTIFS(nNIA,DATOS!$A9929,nCURSO,DATOS!$D9929,nESPEC,DATOS!$E9929,nASIG,DATOS!$I9929,nEVAL,"EX")=0),0))))</f>
      </c>
      <c r="H9929">
        <f>IF(DATOS!$G9929&lt;&gt;"EX",0,--(COUNTIFS(nNIA,DATOS!$A9929,nCURSO,DATOS!$D9929,nESPEC,DATOS!$E9929,nASIG,DATOS!$I9929,nEVAL,"OR")=0))</f>
      </c>
      <c r="I9929">
        <f>IF(DATOS!$I9929="","",IFERROR(VLOOKUP(DATOS!$I9929,CONFIG_ASIGNATURAS!$B$2:$J$91,9,FALSE()),""))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IF(DATOS!$A9930="",0,IF(CONFIG_METADATA!$B$4&lt;&gt;"OR+EX",--(DATOS!$G9930=CONFIG_METADATA!$B$4),IF(DATOS!$G9930="EX",1,IF(DATOS!$G9930="OR",--(COUNTIFS(nNIA,DATOS!$A9930,nCURSO,DATOS!$D9930,nESPEC,DATOS!$E9930,nASIG,DATOS!$I9930,nEVAL,"EX")=0),0))))</f>
      </c>
      <c r="H9930">
        <f>IF(DATOS!$G9930&lt;&gt;"EX",0,--(COUNTIFS(nNIA,DATOS!$A9930,nCURSO,DATOS!$D9930,nESPEC,DATOS!$E9930,nASIG,DATOS!$I9930,nEVAL,"OR")=0))</f>
      </c>
      <c r="I9930">
        <f>IF(DATOS!$I9930="","",IFERROR(VLOOKUP(DATOS!$I9930,CONFIG_ASIGNATURAS!$B$2:$J$91,9,FALSE()),""))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IF(DATOS!$A9931="",0,IF(CONFIG_METADATA!$B$4&lt;&gt;"OR+EX",--(DATOS!$G9931=CONFIG_METADATA!$B$4),IF(DATOS!$G9931="EX",1,IF(DATOS!$G9931="OR",--(COUNTIFS(nNIA,DATOS!$A9931,nCURSO,DATOS!$D9931,nESPEC,DATOS!$E9931,nASIG,DATOS!$I9931,nEVAL,"EX")=0),0))))</f>
      </c>
      <c r="H9931">
        <f>IF(DATOS!$G9931&lt;&gt;"EX",0,--(COUNTIFS(nNIA,DATOS!$A9931,nCURSO,DATOS!$D9931,nESPEC,DATOS!$E9931,nASIG,DATOS!$I9931,nEVAL,"OR")=0))</f>
      </c>
      <c r="I9931">
        <f>IF(DATOS!$I9931="","",IFERROR(VLOOKUP(DATOS!$I9931,CONFIG_ASIGNATURAS!$B$2:$J$91,9,FALSE()),""))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IF(DATOS!$A9932="",0,IF(CONFIG_METADATA!$B$4&lt;&gt;"OR+EX",--(DATOS!$G9932=CONFIG_METADATA!$B$4),IF(DATOS!$G9932="EX",1,IF(DATOS!$G9932="OR",--(COUNTIFS(nNIA,DATOS!$A9932,nCURSO,DATOS!$D9932,nESPEC,DATOS!$E9932,nASIG,DATOS!$I9932,nEVAL,"EX")=0),0))))</f>
      </c>
      <c r="H9932">
        <f>IF(DATOS!$G9932&lt;&gt;"EX",0,--(COUNTIFS(nNIA,DATOS!$A9932,nCURSO,DATOS!$D9932,nESPEC,DATOS!$E9932,nASIG,DATOS!$I9932,nEVAL,"OR")=0))</f>
      </c>
      <c r="I9932">
        <f>IF(DATOS!$I9932="","",IFERROR(VLOOKUP(DATOS!$I9932,CONFIG_ASIGNATURAS!$B$2:$J$91,9,FALSE()),""))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IF(DATOS!$A9933="",0,IF(CONFIG_METADATA!$B$4&lt;&gt;"OR+EX",--(DATOS!$G9933=CONFIG_METADATA!$B$4),IF(DATOS!$G9933="EX",1,IF(DATOS!$G9933="OR",--(COUNTIFS(nNIA,DATOS!$A9933,nCURSO,DATOS!$D9933,nESPEC,DATOS!$E9933,nASIG,DATOS!$I9933,nEVAL,"EX")=0),0))))</f>
      </c>
      <c r="H9933">
        <f>IF(DATOS!$G9933&lt;&gt;"EX",0,--(COUNTIFS(nNIA,DATOS!$A9933,nCURSO,DATOS!$D9933,nESPEC,DATOS!$E9933,nASIG,DATOS!$I9933,nEVAL,"OR")=0))</f>
      </c>
      <c r="I9933">
        <f>IF(DATOS!$I9933="","",IFERROR(VLOOKUP(DATOS!$I9933,CONFIG_ASIGNATURAS!$B$2:$J$91,9,FALSE()),""))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IF(DATOS!$A9934="",0,IF(CONFIG_METADATA!$B$4&lt;&gt;"OR+EX",--(DATOS!$G9934=CONFIG_METADATA!$B$4),IF(DATOS!$G9934="EX",1,IF(DATOS!$G9934="OR",--(COUNTIFS(nNIA,DATOS!$A9934,nCURSO,DATOS!$D9934,nESPEC,DATOS!$E9934,nASIG,DATOS!$I9934,nEVAL,"EX")=0),0))))</f>
      </c>
      <c r="H9934">
        <f>IF(DATOS!$G9934&lt;&gt;"EX",0,--(COUNTIFS(nNIA,DATOS!$A9934,nCURSO,DATOS!$D9934,nESPEC,DATOS!$E9934,nASIG,DATOS!$I9934,nEVAL,"OR")=0))</f>
      </c>
      <c r="I9934">
        <f>IF(DATOS!$I9934="","",IFERROR(VLOOKUP(DATOS!$I9934,CONFIG_ASIGNATURAS!$B$2:$J$91,9,FALSE()),""))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IF(DATOS!$A9935="",0,IF(CONFIG_METADATA!$B$4&lt;&gt;"OR+EX",--(DATOS!$G9935=CONFIG_METADATA!$B$4),IF(DATOS!$G9935="EX",1,IF(DATOS!$G9935="OR",--(COUNTIFS(nNIA,DATOS!$A9935,nCURSO,DATOS!$D9935,nESPEC,DATOS!$E9935,nASIG,DATOS!$I9935,nEVAL,"EX")=0),0))))</f>
      </c>
      <c r="H9935">
        <f>IF(DATOS!$G9935&lt;&gt;"EX",0,--(COUNTIFS(nNIA,DATOS!$A9935,nCURSO,DATOS!$D9935,nESPEC,DATOS!$E9935,nASIG,DATOS!$I9935,nEVAL,"OR")=0))</f>
      </c>
      <c r="I9935">
        <f>IF(DATOS!$I9935="","",IFERROR(VLOOKUP(DATOS!$I9935,CONFIG_ASIGNATURAS!$B$2:$J$91,9,FALSE()),""))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IF(DATOS!$A9936="",0,IF(CONFIG_METADATA!$B$4&lt;&gt;"OR+EX",--(DATOS!$G9936=CONFIG_METADATA!$B$4),IF(DATOS!$G9936="EX",1,IF(DATOS!$G9936="OR",--(COUNTIFS(nNIA,DATOS!$A9936,nCURSO,DATOS!$D9936,nESPEC,DATOS!$E9936,nASIG,DATOS!$I9936,nEVAL,"EX")=0),0))))</f>
      </c>
      <c r="H9936">
        <f>IF(DATOS!$G9936&lt;&gt;"EX",0,--(COUNTIFS(nNIA,DATOS!$A9936,nCURSO,DATOS!$D9936,nESPEC,DATOS!$E9936,nASIG,DATOS!$I9936,nEVAL,"OR")=0))</f>
      </c>
      <c r="I9936">
        <f>IF(DATOS!$I9936="","",IFERROR(VLOOKUP(DATOS!$I9936,CONFIG_ASIGNATURAS!$B$2:$J$91,9,FALSE()),""))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IF(DATOS!$A9937="",0,IF(CONFIG_METADATA!$B$4&lt;&gt;"OR+EX",--(DATOS!$G9937=CONFIG_METADATA!$B$4),IF(DATOS!$G9937="EX",1,IF(DATOS!$G9937="OR",--(COUNTIFS(nNIA,DATOS!$A9937,nCURSO,DATOS!$D9937,nESPEC,DATOS!$E9937,nASIG,DATOS!$I9937,nEVAL,"EX")=0),0))))</f>
      </c>
      <c r="H9937">
        <f>IF(DATOS!$G9937&lt;&gt;"EX",0,--(COUNTIFS(nNIA,DATOS!$A9937,nCURSO,DATOS!$D9937,nESPEC,DATOS!$E9937,nASIG,DATOS!$I9937,nEVAL,"OR")=0))</f>
      </c>
      <c r="I9937">
        <f>IF(DATOS!$I9937="","",IFERROR(VLOOKUP(DATOS!$I9937,CONFIG_ASIGNATURAS!$B$2:$J$91,9,FALSE()),""))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IF(DATOS!$A9938="",0,IF(CONFIG_METADATA!$B$4&lt;&gt;"OR+EX",--(DATOS!$G9938=CONFIG_METADATA!$B$4),IF(DATOS!$G9938="EX",1,IF(DATOS!$G9938="OR",--(COUNTIFS(nNIA,DATOS!$A9938,nCURSO,DATOS!$D9938,nESPEC,DATOS!$E9938,nASIG,DATOS!$I9938,nEVAL,"EX")=0),0))))</f>
      </c>
      <c r="H9938">
        <f>IF(DATOS!$G9938&lt;&gt;"EX",0,--(COUNTIFS(nNIA,DATOS!$A9938,nCURSO,DATOS!$D9938,nESPEC,DATOS!$E9938,nASIG,DATOS!$I9938,nEVAL,"OR")=0))</f>
      </c>
      <c r="I9938">
        <f>IF(DATOS!$I9938="","",IFERROR(VLOOKUP(DATOS!$I9938,CONFIG_ASIGNATURAS!$B$2:$J$91,9,FALSE()),""))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IF(DATOS!$A9939="",0,IF(CONFIG_METADATA!$B$4&lt;&gt;"OR+EX",--(DATOS!$G9939=CONFIG_METADATA!$B$4),IF(DATOS!$G9939="EX",1,IF(DATOS!$G9939="OR",--(COUNTIFS(nNIA,DATOS!$A9939,nCURSO,DATOS!$D9939,nESPEC,DATOS!$E9939,nASIG,DATOS!$I9939,nEVAL,"EX")=0),0))))</f>
      </c>
      <c r="H9939">
        <f>IF(DATOS!$G9939&lt;&gt;"EX",0,--(COUNTIFS(nNIA,DATOS!$A9939,nCURSO,DATOS!$D9939,nESPEC,DATOS!$E9939,nASIG,DATOS!$I9939,nEVAL,"OR")=0))</f>
      </c>
      <c r="I9939">
        <f>IF(DATOS!$I9939="","",IFERROR(VLOOKUP(DATOS!$I9939,CONFIG_ASIGNATURAS!$B$2:$J$91,9,FALSE()),""))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IF(DATOS!$A9940="",0,IF(CONFIG_METADATA!$B$4&lt;&gt;"OR+EX",--(DATOS!$G9940=CONFIG_METADATA!$B$4),IF(DATOS!$G9940="EX",1,IF(DATOS!$G9940="OR",--(COUNTIFS(nNIA,DATOS!$A9940,nCURSO,DATOS!$D9940,nESPEC,DATOS!$E9940,nASIG,DATOS!$I9940,nEVAL,"EX")=0),0))))</f>
      </c>
      <c r="H9940">
        <f>IF(DATOS!$G9940&lt;&gt;"EX",0,--(COUNTIFS(nNIA,DATOS!$A9940,nCURSO,DATOS!$D9940,nESPEC,DATOS!$E9940,nASIG,DATOS!$I9940,nEVAL,"OR")=0))</f>
      </c>
      <c r="I9940">
        <f>IF(DATOS!$I9940="","",IFERROR(VLOOKUP(DATOS!$I9940,CONFIG_ASIGNATURAS!$B$2:$J$91,9,FALSE()),""))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IF(DATOS!$A9941="",0,IF(CONFIG_METADATA!$B$4&lt;&gt;"OR+EX",--(DATOS!$G9941=CONFIG_METADATA!$B$4),IF(DATOS!$G9941="EX",1,IF(DATOS!$G9941="OR",--(COUNTIFS(nNIA,DATOS!$A9941,nCURSO,DATOS!$D9941,nESPEC,DATOS!$E9941,nASIG,DATOS!$I9941,nEVAL,"EX")=0),0))))</f>
      </c>
      <c r="H9941">
        <f>IF(DATOS!$G9941&lt;&gt;"EX",0,--(COUNTIFS(nNIA,DATOS!$A9941,nCURSO,DATOS!$D9941,nESPEC,DATOS!$E9941,nASIG,DATOS!$I9941,nEVAL,"OR")=0))</f>
      </c>
      <c r="I9941">
        <f>IF(DATOS!$I9941="","",IFERROR(VLOOKUP(DATOS!$I9941,CONFIG_ASIGNATURAS!$B$2:$J$91,9,FALSE()),""))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IF(DATOS!$A9942="",0,IF(CONFIG_METADATA!$B$4&lt;&gt;"OR+EX",--(DATOS!$G9942=CONFIG_METADATA!$B$4),IF(DATOS!$G9942="EX",1,IF(DATOS!$G9942="OR",--(COUNTIFS(nNIA,DATOS!$A9942,nCURSO,DATOS!$D9942,nESPEC,DATOS!$E9942,nASIG,DATOS!$I9942,nEVAL,"EX")=0),0))))</f>
      </c>
      <c r="H9942">
        <f>IF(DATOS!$G9942&lt;&gt;"EX",0,--(COUNTIFS(nNIA,DATOS!$A9942,nCURSO,DATOS!$D9942,nESPEC,DATOS!$E9942,nASIG,DATOS!$I9942,nEVAL,"OR")=0))</f>
      </c>
      <c r="I9942">
        <f>IF(DATOS!$I9942="","",IFERROR(VLOOKUP(DATOS!$I9942,CONFIG_ASIGNATURAS!$B$2:$J$91,9,FALSE()),""))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IF(DATOS!$A9943="",0,IF(CONFIG_METADATA!$B$4&lt;&gt;"OR+EX",--(DATOS!$G9943=CONFIG_METADATA!$B$4),IF(DATOS!$G9943="EX",1,IF(DATOS!$G9943="OR",--(COUNTIFS(nNIA,DATOS!$A9943,nCURSO,DATOS!$D9943,nESPEC,DATOS!$E9943,nASIG,DATOS!$I9943,nEVAL,"EX")=0),0))))</f>
      </c>
      <c r="H9943">
        <f>IF(DATOS!$G9943&lt;&gt;"EX",0,--(COUNTIFS(nNIA,DATOS!$A9943,nCURSO,DATOS!$D9943,nESPEC,DATOS!$E9943,nASIG,DATOS!$I9943,nEVAL,"OR")=0))</f>
      </c>
      <c r="I9943">
        <f>IF(DATOS!$I9943="","",IFERROR(VLOOKUP(DATOS!$I9943,CONFIG_ASIGNATURAS!$B$2:$J$91,9,FALSE()),""))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IF(DATOS!$A9944="",0,IF(CONFIG_METADATA!$B$4&lt;&gt;"OR+EX",--(DATOS!$G9944=CONFIG_METADATA!$B$4),IF(DATOS!$G9944="EX",1,IF(DATOS!$G9944="OR",--(COUNTIFS(nNIA,DATOS!$A9944,nCURSO,DATOS!$D9944,nESPEC,DATOS!$E9944,nASIG,DATOS!$I9944,nEVAL,"EX")=0),0))))</f>
      </c>
      <c r="H9944">
        <f>IF(DATOS!$G9944&lt;&gt;"EX",0,--(COUNTIFS(nNIA,DATOS!$A9944,nCURSO,DATOS!$D9944,nESPEC,DATOS!$E9944,nASIG,DATOS!$I9944,nEVAL,"OR")=0))</f>
      </c>
      <c r="I9944">
        <f>IF(DATOS!$I9944="","",IFERROR(VLOOKUP(DATOS!$I9944,CONFIG_ASIGNATURAS!$B$2:$J$91,9,FALSE()),""))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IF(DATOS!$A9945="",0,IF(CONFIG_METADATA!$B$4&lt;&gt;"OR+EX",--(DATOS!$G9945=CONFIG_METADATA!$B$4),IF(DATOS!$G9945="EX",1,IF(DATOS!$G9945="OR",--(COUNTIFS(nNIA,DATOS!$A9945,nCURSO,DATOS!$D9945,nESPEC,DATOS!$E9945,nASIG,DATOS!$I9945,nEVAL,"EX")=0),0))))</f>
      </c>
      <c r="H9945">
        <f>IF(DATOS!$G9945&lt;&gt;"EX",0,--(COUNTIFS(nNIA,DATOS!$A9945,nCURSO,DATOS!$D9945,nESPEC,DATOS!$E9945,nASIG,DATOS!$I9945,nEVAL,"OR")=0))</f>
      </c>
      <c r="I9945">
        <f>IF(DATOS!$I9945="","",IFERROR(VLOOKUP(DATOS!$I9945,CONFIG_ASIGNATURAS!$B$2:$J$91,9,FALSE()),""))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IF(DATOS!$A9946="",0,IF(CONFIG_METADATA!$B$4&lt;&gt;"OR+EX",--(DATOS!$G9946=CONFIG_METADATA!$B$4),IF(DATOS!$G9946="EX",1,IF(DATOS!$G9946="OR",--(COUNTIFS(nNIA,DATOS!$A9946,nCURSO,DATOS!$D9946,nESPEC,DATOS!$E9946,nASIG,DATOS!$I9946,nEVAL,"EX")=0),0))))</f>
      </c>
      <c r="H9946">
        <f>IF(DATOS!$G9946&lt;&gt;"EX",0,--(COUNTIFS(nNIA,DATOS!$A9946,nCURSO,DATOS!$D9946,nESPEC,DATOS!$E9946,nASIG,DATOS!$I9946,nEVAL,"OR")=0))</f>
      </c>
      <c r="I9946">
        <f>IF(DATOS!$I9946="","",IFERROR(VLOOKUP(DATOS!$I9946,CONFIG_ASIGNATURAS!$B$2:$J$91,9,FALSE()),""))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IF(DATOS!$A9947="",0,IF(CONFIG_METADATA!$B$4&lt;&gt;"OR+EX",--(DATOS!$G9947=CONFIG_METADATA!$B$4),IF(DATOS!$G9947="EX",1,IF(DATOS!$G9947="OR",--(COUNTIFS(nNIA,DATOS!$A9947,nCURSO,DATOS!$D9947,nESPEC,DATOS!$E9947,nASIG,DATOS!$I9947,nEVAL,"EX")=0),0))))</f>
      </c>
      <c r="H9947">
        <f>IF(DATOS!$G9947&lt;&gt;"EX",0,--(COUNTIFS(nNIA,DATOS!$A9947,nCURSO,DATOS!$D9947,nESPEC,DATOS!$E9947,nASIG,DATOS!$I9947,nEVAL,"OR")=0))</f>
      </c>
      <c r="I9947">
        <f>IF(DATOS!$I9947="","",IFERROR(VLOOKUP(DATOS!$I9947,CONFIG_ASIGNATURAS!$B$2:$J$91,9,FALSE()),""))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IF(DATOS!$A9948="",0,IF(CONFIG_METADATA!$B$4&lt;&gt;"OR+EX",--(DATOS!$G9948=CONFIG_METADATA!$B$4),IF(DATOS!$G9948="EX",1,IF(DATOS!$G9948="OR",--(COUNTIFS(nNIA,DATOS!$A9948,nCURSO,DATOS!$D9948,nESPEC,DATOS!$E9948,nASIG,DATOS!$I9948,nEVAL,"EX")=0),0))))</f>
      </c>
      <c r="H9948">
        <f>IF(DATOS!$G9948&lt;&gt;"EX",0,--(COUNTIFS(nNIA,DATOS!$A9948,nCURSO,DATOS!$D9948,nESPEC,DATOS!$E9948,nASIG,DATOS!$I9948,nEVAL,"OR")=0))</f>
      </c>
      <c r="I9948">
        <f>IF(DATOS!$I9948="","",IFERROR(VLOOKUP(DATOS!$I9948,CONFIG_ASIGNATURAS!$B$2:$J$91,9,FALSE()),""))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IF(DATOS!$A9949="",0,IF(CONFIG_METADATA!$B$4&lt;&gt;"OR+EX",--(DATOS!$G9949=CONFIG_METADATA!$B$4),IF(DATOS!$G9949="EX",1,IF(DATOS!$G9949="OR",--(COUNTIFS(nNIA,DATOS!$A9949,nCURSO,DATOS!$D9949,nESPEC,DATOS!$E9949,nASIG,DATOS!$I9949,nEVAL,"EX")=0),0))))</f>
      </c>
      <c r="H9949">
        <f>IF(DATOS!$G9949&lt;&gt;"EX",0,--(COUNTIFS(nNIA,DATOS!$A9949,nCURSO,DATOS!$D9949,nESPEC,DATOS!$E9949,nASIG,DATOS!$I9949,nEVAL,"OR")=0))</f>
      </c>
      <c r="I9949">
        <f>IF(DATOS!$I9949="","",IFERROR(VLOOKUP(DATOS!$I9949,CONFIG_ASIGNATURAS!$B$2:$J$91,9,FALSE()),""))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IF(DATOS!$A9950="",0,IF(CONFIG_METADATA!$B$4&lt;&gt;"OR+EX",--(DATOS!$G9950=CONFIG_METADATA!$B$4),IF(DATOS!$G9950="EX",1,IF(DATOS!$G9950="OR",--(COUNTIFS(nNIA,DATOS!$A9950,nCURSO,DATOS!$D9950,nESPEC,DATOS!$E9950,nASIG,DATOS!$I9950,nEVAL,"EX")=0),0))))</f>
      </c>
      <c r="H9950">
        <f>IF(DATOS!$G9950&lt;&gt;"EX",0,--(COUNTIFS(nNIA,DATOS!$A9950,nCURSO,DATOS!$D9950,nESPEC,DATOS!$E9950,nASIG,DATOS!$I9950,nEVAL,"OR")=0))</f>
      </c>
      <c r="I9950">
        <f>IF(DATOS!$I9950="","",IFERROR(VLOOKUP(DATOS!$I9950,CONFIG_ASIGNATURAS!$B$2:$J$91,9,FALSE()),""))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IF(DATOS!$A9951="",0,IF(CONFIG_METADATA!$B$4&lt;&gt;"OR+EX",--(DATOS!$G9951=CONFIG_METADATA!$B$4),IF(DATOS!$G9951="EX",1,IF(DATOS!$G9951="OR",--(COUNTIFS(nNIA,DATOS!$A9951,nCURSO,DATOS!$D9951,nESPEC,DATOS!$E9951,nASIG,DATOS!$I9951,nEVAL,"EX")=0),0))))</f>
      </c>
      <c r="H9951">
        <f>IF(DATOS!$G9951&lt;&gt;"EX",0,--(COUNTIFS(nNIA,DATOS!$A9951,nCURSO,DATOS!$D9951,nESPEC,DATOS!$E9951,nASIG,DATOS!$I9951,nEVAL,"OR")=0))</f>
      </c>
      <c r="I9951">
        <f>IF(DATOS!$I9951="","",IFERROR(VLOOKUP(DATOS!$I9951,CONFIG_ASIGNATURAS!$B$2:$J$91,9,FALSE()),""))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IF(DATOS!$A9952="",0,IF(CONFIG_METADATA!$B$4&lt;&gt;"OR+EX",--(DATOS!$G9952=CONFIG_METADATA!$B$4),IF(DATOS!$G9952="EX",1,IF(DATOS!$G9952="OR",--(COUNTIFS(nNIA,DATOS!$A9952,nCURSO,DATOS!$D9952,nESPEC,DATOS!$E9952,nASIG,DATOS!$I9952,nEVAL,"EX")=0),0))))</f>
      </c>
      <c r="H9952">
        <f>IF(DATOS!$G9952&lt;&gt;"EX",0,--(COUNTIFS(nNIA,DATOS!$A9952,nCURSO,DATOS!$D9952,nESPEC,DATOS!$E9952,nASIG,DATOS!$I9952,nEVAL,"OR")=0))</f>
      </c>
      <c r="I9952">
        <f>IF(DATOS!$I9952="","",IFERROR(VLOOKUP(DATOS!$I9952,CONFIG_ASIGNATURAS!$B$2:$J$91,9,FALSE()),""))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IF(DATOS!$A9953="",0,IF(CONFIG_METADATA!$B$4&lt;&gt;"OR+EX",--(DATOS!$G9953=CONFIG_METADATA!$B$4),IF(DATOS!$G9953="EX",1,IF(DATOS!$G9953="OR",--(COUNTIFS(nNIA,DATOS!$A9953,nCURSO,DATOS!$D9953,nESPEC,DATOS!$E9953,nASIG,DATOS!$I9953,nEVAL,"EX")=0),0))))</f>
      </c>
      <c r="H9953">
        <f>IF(DATOS!$G9953&lt;&gt;"EX",0,--(COUNTIFS(nNIA,DATOS!$A9953,nCURSO,DATOS!$D9953,nESPEC,DATOS!$E9953,nASIG,DATOS!$I9953,nEVAL,"OR")=0))</f>
      </c>
      <c r="I9953">
        <f>IF(DATOS!$I9953="","",IFERROR(VLOOKUP(DATOS!$I9953,CONFIG_ASIGNATURAS!$B$2:$J$91,9,FALSE()),""))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IF(DATOS!$A9954="",0,IF(CONFIG_METADATA!$B$4&lt;&gt;"OR+EX",--(DATOS!$G9954=CONFIG_METADATA!$B$4),IF(DATOS!$G9954="EX",1,IF(DATOS!$G9954="OR",--(COUNTIFS(nNIA,DATOS!$A9954,nCURSO,DATOS!$D9954,nESPEC,DATOS!$E9954,nASIG,DATOS!$I9954,nEVAL,"EX")=0),0))))</f>
      </c>
      <c r="H9954">
        <f>IF(DATOS!$G9954&lt;&gt;"EX",0,--(COUNTIFS(nNIA,DATOS!$A9954,nCURSO,DATOS!$D9954,nESPEC,DATOS!$E9954,nASIG,DATOS!$I9954,nEVAL,"OR")=0))</f>
      </c>
      <c r="I9954">
        <f>IF(DATOS!$I9954="","",IFERROR(VLOOKUP(DATOS!$I9954,CONFIG_ASIGNATURAS!$B$2:$J$91,9,FALSE()),""))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IF(DATOS!$A9955="",0,IF(CONFIG_METADATA!$B$4&lt;&gt;"OR+EX",--(DATOS!$G9955=CONFIG_METADATA!$B$4),IF(DATOS!$G9955="EX",1,IF(DATOS!$G9955="OR",--(COUNTIFS(nNIA,DATOS!$A9955,nCURSO,DATOS!$D9955,nESPEC,DATOS!$E9955,nASIG,DATOS!$I9955,nEVAL,"EX")=0),0))))</f>
      </c>
      <c r="H9955">
        <f>IF(DATOS!$G9955&lt;&gt;"EX",0,--(COUNTIFS(nNIA,DATOS!$A9955,nCURSO,DATOS!$D9955,nESPEC,DATOS!$E9955,nASIG,DATOS!$I9955,nEVAL,"OR")=0))</f>
      </c>
      <c r="I9955">
        <f>IF(DATOS!$I9955="","",IFERROR(VLOOKUP(DATOS!$I9955,CONFIG_ASIGNATURAS!$B$2:$J$91,9,FALSE()),""))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IF(DATOS!$A9956="",0,IF(CONFIG_METADATA!$B$4&lt;&gt;"OR+EX",--(DATOS!$G9956=CONFIG_METADATA!$B$4),IF(DATOS!$G9956="EX",1,IF(DATOS!$G9956="OR",--(COUNTIFS(nNIA,DATOS!$A9956,nCURSO,DATOS!$D9956,nESPEC,DATOS!$E9956,nASIG,DATOS!$I9956,nEVAL,"EX")=0),0))))</f>
      </c>
      <c r="H9956">
        <f>IF(DATOS!$G9956&lt;&gt;"EX",0,--(COUNTIFS(nNIA,DATOS!$A9956,nCURSO,DATOS!$D9956,nESPEC,DATOS!$E9956,nASIG,DATOS!$I9956,nEVAL,"OR")=0))</f>
      </c>
      <c r="I9956">
        <f>IF(DATOS!$I9956="","",IFERROR(VLOOKUP(DATOS!$I9956,CONFIG_ASIGNATURAS!$B$2:$J$91,9,FALSE()),""))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IF(DATOS!$A9957="",0,IF(CONFIG_METADATA!$B$4&lt;&gt;"OR+EX",--(DATOS!$G9957=CONFIG_METADATA!$B$4),IF(DATOS!$G9957="EX",1,IF(DATOS!$G9957="OR",--(COUNTIFS(nNIA,DATOS!$A9957,nCURSO,DATOS!$D9957,nESPEC,DATOS!$E9957,nASIG,DATOS!$I9957,nEVAL,"EX")=0),0))))</f>
      </c>
      <c r="H9957">
        <f>IF(DATOS!$G9957&lt;&gt;"EX",0,--(COUNTIFS(nNIA,DATOS!$A9957,nCURSO,DATOS!$D9957,nESPEC,DATOS!$E9957,nASIG,DATOS!$I9957,nEVAL,"OR")=0))</f>
      </c>
      <c r="I9957">
        <f>IF(DATOS!$I9957="","",IFERROR(VLOOKUP(DATOS!$I9957,CONFIG_ASIGNATURAS!$B$2:$J$91,9,FALSE()),""))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IF(DATOS!$A9958="",0,IF(CONFIG_METADATA!$B$4&lt;&gt;"OR+EX",--(DATOS!$G9958=CONFIG_METADATA!$B$4),IF(DATOS!$G9958="EX",1,IF(DATOS!$G9958="OR",--(COUNTIFS(nNIA,DATOS!$A9958,nCURSO,DATOS!$D9958,nESPEC,DATOS!$E9958,nASIG,DATOS!$I9958,nEVAL,"EX")=0),0))))</f>
      </c>
      <c r="H9958">
        <f>IF(DATOS!$G9958&lt;&gt;"EX",0,--(COUNTIFS(nNIA,DATOS!$A9958,nCURSO,DATOS!$D9958,nESPEC,DATOS!$E9958,nASIG,DATOS!$I9958,nEVAL,"OR")=0))</f>
      </c>
      <c r="I9958">
        <f>IF(DATOS!$I9958="","",IFERROR(VLOOKUP(DATOS!$I9958,CONFIG_ASIGNATURAS!$B$2:$J$91,9,FALSE()),""))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IF(DATOS!$A9959="",0,IF(CONFIG_METADATA!$B$4&lt;&gt;"OR+EX",--(DATOS!$G9959=CONFIG_METADATA!$B$4),IF(DATOS!$G9959="EX",1,IF(DATOS!$G9959="OR",--(COUNTIFS(nNIA,DATOS!$A9959,nCURSO,DATOS!$D9959,nESPEC,DATOS!$E9959,nASIG,DATOS!$I9959,nEVAL,"EX")=0),0))))</f>
      </c>
      <c r="H9959">
        <f>IF(DATOS!$G9959&lt;&gt;"EX",0,--(COUNTIFS(nNIA,DATOS!$A9959,nCURSO,DATOS!$D9959,nESPEC,DATOS!$E9959,nASIG,DATOS!$I9959,nEVAL,"OR")=0))</f>
      </c>
      <c r="I9959">
        <f>IF(DATOS!$I9959="","",IFERROR(VLOOKUP(DATOS!$I9959,CONFIG_ASIGNATURAS!$B$2:$J$91,9,FALSE()),""))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IF(DATOS!$A9960="",0,IF(CONFIG_METADATA!$B$4&lt;&gt;"OR+EX",--(DATOS!$G9960=CONFIG_METADATA!$B$4),IF(DATOS!$G9960="EX",1,IF(DATOS!$G9960="OR",--(COUNTIFS(nNIA,DATOS!$A9960,nCURSO,DATOS!$D9960,nESPEC,DATOS!$E9960,nASIG,DATOS!$I9960,nEVAL,"EX")=0),0))))</f>
      </c>
      <c r="H9960">
        <f>IF(DATOS!$G9960&lt;&gt;"EX",0,--(COUNTIFS(nNIA,DATOS!$A9960,nCURSO,DATOS!$D9960,nESPEC,DATOS!$E9960,nASIG,DATOS!$I9960,nEVAL,"OR")=0))</f>
      </c>
      <c r="I9960">
        <f>IF(DATOS!$I9960="","",IFERROR(VLOOKUP(DATOS!$I9960,CONFIG_ASIGNATURAS!$B$2:$J$91,9,FALSE()),""))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IF(DATOS!$A9961="",0,IF(CONFIG_METADATA!$B$4&lt;&gt;"OR+EX",--(DATOS!$G9961=CONFIG_METADATA!$B$4),IF(DATOS!$G9961="EX",1,IF(DATOS!$G9961="OR",--(COUNTIFS(nNIA,DATOS!$A9961,nCURSO,DATOS!$D9961,nESPEC,DATOS!$E9961,nASIG,DATOS!$I9961,nEVAL,"EX")=0),0))))</f>
      </c>
      <c r="H9961">
        <f>IF(DATOS!$G9961&lt;&gt;"EX",0,--(COUNTIFS(nNIA,DATOS!$A9961,nCURSO,DATOS!$D9961,nESPEC,DATOS!$E9961,nASIG,DATOS!$I9961,nEVAL,"OR")=0))</f>
      </c>
      <c r="I9961">
        <f>IF(DATOS!$I9961="","",IFERROR(VLOOKUP(DATOS!$I9961,CONFIG_ASIGNATURAS!$B$2:$J$91,9,FALSE()),""))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IF(DATOS!$A9962="",0,IF(CONFIG_METADATA!$B$4&lt;&gt;"OR+EX",--(DATOS!$G9962=CONFIG_METADATA!$B$4),IF(DATOS!$G9962="EX",1,IF(DATOS!$G9962="OR",--(COUNTIFS(nNIA,DATOS!$A9962,nCURSO,DATOS!$D9962,nESPEC,DATOS!$E9962,nASIG,DATOS!$I9962,nEVAL,"EX")=0),0))))</f>
      </c>
      <c r="H9962">
        <f>IF(DATOS!$G9962&lt;&gt;"EX",0,--(COUNTIFS(nNIA,DATOS!$A9962,nCURSO,DATOS!$D9962,nESPEC,DATOS!$E9962,nASIG,DATOS!$I9962,nEVAL,"OR")=0))</f>
      </c>
      <c r="I9962">
        <f>IF(DATOS!$I9962="","",IFERROR(VLOOKUP(DATOS!$I9962,CONFIG_ASIGNATURAS!$B$2:$J$91,9,FALSE()),""))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IF(DATOS!$A9963="",0,IF(CONFIG_METADATA!$B$4&lt;&gt;"OR+EX",--(DATOS!$G9963=CONFIG_METADATA!$B$4),IF(DATOS!$G9963="EX",1,IF(DATOS!$G9963="OR",--(COUNTIFS(nNIA,DATOS!$A9963,nCURSO,DATOS!$D9963,nESPEC,DATOS!$E9963,nASIG,DATOS!$I9963,nEVAL,"EX")=0),0))))</f>
      </c>
      <c r="H9963">
        <f>IF(DATOS!$G9963&lt;&gt;"EX",0,--(COUNTIFS(nNIA,DATOS!$A9963,nCURSO,DATOS!$D9963,nESPEC,DATOS!$E9963,nASIG,DATOS!$I9963,nEVAL,"OR")=0))</f>
      </c>
      <c r="I9963">
        <f>IF(DATOS!$I9963="","",IFERROR(VLOOKUP(DATOS!$I9963,CONFIG_ASIGNATURAS!$B$2:$J$91,9,FALSE()),""))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IF(DATOS!$A9964="",0,IF(CONFIG_METADATA!$B$4&lt;&gt;"OR+EX",--(DATOS!$G9964=CONFIG_METADATA!$B$4),IF(DATOS!$G9964="EX",1,IF(DATOS!$G9964="OR",--(COUNTIFS(nNIA,DATOS!$A9964,nCURSO,DATOS!$D9964,nESPEC,DATOS!$E9964,nASIG,DATOS!$I9964,nEVAL,"EX")=0),0))))</f>
      </c>
      <c r="H9964">
        <f>IF(DATOS!$G9964&lt;&gt;"EX",0,--(COUNTIFS(nNIA,DATOS!$A9964,nCURSO,DATOS!$D9964,nESPEC,DATOS!$E9964,nASIG,DATOS!$I9964,nEVAL,"OR")=0))</f>
      </c>
      <c r="I9964">
        <f>IF(DATOS!$I9964="","",IFERROR(VLOOKUP(DATOS!$I9964,CONFIG_ASIGNATURAS!$B$2:$J$91,9,FALSE()),""))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IF(DATOS!$A9965="",0,IF(CONFIG_METADATA!$B$4&lt;&gt;"OR+EX",--(DATOS!$G9965=CONFIG_METADATA!$B$4),IF(DATOS!$G9965="EX",1,IF(DATOS!$G9965="OR",--(COUNTIFS(nNIA,DATOS!$A9965,nCURSO,DATOS!$D9965,nESPEC,DATOS!$E9965,nASIG,DATOS!$I9965,nEVAL,"EX")=0),0))))</f>
      </c>
      <c r="H9965">
        <f>IF(DATOS!$G9965&lt;&gt;"EX",0,--(COUNTIFS(nNIA,DATOS!$A9965,nCURSO,DATOS!$D9965,nESPEC,DATOS!$E9965,nASIG,DATOS!$I9965,nEVAL,"OR")=0))</f>
      </c>
      <c r="I9965">
        <f>IF(DATOS!$I9965="","",IFERROR(VLOOKUP(DATOS!$I9965,CONFIG_ASIGNATURAS!$B$2:$J$91,9,FALSE()),""))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IF(DATOS!$A9966="",0,IF(CONFIG_METADATA!$B$4&lt;&gt;"OR+EX",--(DATOS!$G9966=CONFIG_METADATA!$B$4),IF(DATOS!$G9966="EX",1,IF(DATOS!$G9966="OR",--(COUNTIFS(nNIA,DATOS!$A9966,nCURSO,DATOS!$D9966,nESPEC,DATOS!$E9966,nASIG,DATOS!$I9966,nEVAL,"EX")=0),0))))</f>
      </c>
      <c r="H9966">
        <f>IF(DATOS!$G9966&lt;&gt;"EX",0,--(COUNTIFS(nNIA,DATOS!$A9966,nCURSO,DATOS!$D9966,nESPEC,DATOS!$E9966,nASIG,DATOS!$I9966,nEVAL,"OR")=0))</f>
      </c>
      <c r="I9966">
        <f>IF(DATOS!$I9966="","",IFERROR(VLOOKUP(DATOS!$I9966,CONFIG_ASIGNATURAS!$B$2:$J$91,9,FALSE()),""))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IF(DATOS!$A9967="",0,IF(CONFIG_METADATA!$B$4&lt;&gt;"OR+EX",--(DATOS!$G9967=CONFIG_METADATA!$B$4),IF(DATOS!$G9967="EX",1,IF(DATOS!$G9967="OR",--(COUNTIFS(nNIA,DATOS!$A9967,nCURSO,DATOS!$D9967,nESPEC,DATOS!$E9967,nASIG,DATOS!$I9967,nEVAL,"EX")=0),0))))</f>
      </c>
      <c r="H9967">
        <f>IF(DATOS!$G9967&lt;&gt;"EX",0,--(COUNTIFS(nNIA,DATOS!$A9967,nCURSO,DATOS!$D9967,nESPEC,DATOS!$E9967,nASIG,DATOS!$I9967,nEVAL,"OR")=0))</f>
      </c>
      <c r="I9967">
        <f>IF(DATOS!$I9967="","",IFERROR(VLOOKUP(DATOS!$I9967,CONFIG_ASIGNATURAS!$B$2:$J$91,9,FALSE()),""))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IF(DATOS!$A9968="",0,IF(CONFIG_METADATA!$B$4&lt;&gt;"OR+EX",--(DATOS!$G9968=CONFIG_METADATA!$B$4),IF(DATOS!$G9968="EX",1,IF(DATOS!$G9968="OR",--(COUNTIFS(nNIA,DATOS!$A9968,nCURSO,DATOS!$D9968,nESPEC,DATOS!$E9968,nASIG,DATOS!$I9968,nEVAL,"EX")=0),0))))</f>
      </c>
      <c r="H9968">
        <f>IF(DATOS!$G9968&lt;&gt;"EX",0,--(COUNTIFS(nNIA,DATOS!$A9968,nCURSO,DATOS!$D9968,nESPEC,DATOS!$E9968,nASIG,DATOS!$I9968,nEVAL,"OR")=0))</f>
      </c>
      <c r="I9968">
        <f>IF(DATOS!$I9968="","",IFERROR(VLOOKUP(DATOS!$I9968,CONFIG_ASIGNATURAS!$B$2:$J$91,9,FALSE()),""))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IF(DATOS!$A9969="",0,IF(CONFIG_METADATA!$B$4&lt;&gt;"OR+EX",--(DATOS!$G9969=CONFIG_METADATA!$B$4),IF(DATOS!$G9969="EX",1,IF(DATOS!$G9969="OR",--(COUNTIFS(nNIA,DATOS!$A9969,nCURSO,DATOS!$D9969,nESPEC,DATOS!$E9969,nASIG,DATOS!$I9969,nEVAL,"EX")=0),0))))</f>
      </c>
      <c r="H9969">
        <f>IF(DATOS!$G9969&lt;&gt;"EX",0,--(COUNTIFS(nNIA,DATOS!$A9969,nCURSO,DATOS!$D9969,nESPEC,DATOS!$E9969,nASIG,DATOS!$I9969,nEVAL,"OR")=0))</f>
      </c>
      <c r="I9969">
        <f>IF(DATOS!$I9969="","",IFERROR(VLOOKUP(DATOS!$I9969,CONFIG_ASIGNATURAS!$B$2:$J$91,9,FALSE()),""))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IF(DATOS!$A9970="",0,IF(CONFIG_METADATA!$B$4&lt;&gt;"OR+EX",--(DATOS!$G9970=CONFIG_METADATA!$B$4),IF(DATOS!$G9970="EX",1,IF(DATOS!$G9970="OR",--(COUNTIFS(nNIA,DATOS!$A9970,nCURSO,DATOS!$D9970,nESPEC,DATOS!$E9970,nASIG,DATOS!$I9970,nEVAL,"EX")=0),0))))</f>
      </c>
      <c r="H9970">
        <f>IF(DATOS!$G9970&lt;&gt;"EX",0,--(COUNTIFS(nNIA,DATOS!$A9970,nCURSO,DATOS!$D9970,nESPEC,DATOS!$E9970,nASIG,DATOS!$I9970,nEVAL,"OR")=0))</f>
      </c>
      <c r="I9970">
        <f>IF(DATOS!$I9970="","",IFERROR(VLOOKUP(DATOS!$I9970,CONFIG_ASIGNATURAS!$B$2:$J$91,9,FALSE()),""))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IF(DATOS!$A9971="",0,IF(CONFIG_METADATA!$B$4&lt;&gt;"OR+EX",--(DATOS!$G9971=CONFIG_METADATA!$B$4),IF(DATOS!$G9971="EX",1,IF(DATOS!$G9971="OR",--(COUNTIFS(nNIA,DATOS!$A9971,nCURSO,DATOS!$D9971,nESPEC,DATOS!$E9971,nASIG,DATOS!$I9971,nEVAL,"EX")=0),0))))</f>
      </c>
      <c r="H9971">
        <f>IF(DATOS!$G9971&lt;&gt;"EX",0,--(COUNTIFS(nNIA,DATOS!$A9971,nCURSO,DATOS!$D9971,nESPEC,DATOS!$E9971,nASIG,DATOS!$I9971,nEVAL,"OR")=0))</f>
      </c>
      <c r="I9971">
        <f>IF(DATOS!$I9971="","",IFERROR(VLOOKUP(DATOS!$I9971,CONFIG_ASIGNATURAS!$B$2:$J$91,9,FALSE()),""))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IF(DATOS!$A9972="",0,IF(CONFIG_METADATA!$B$4&lt;&gt;"OR+EX",--(DATOS!$G9972=CONFIG_METADATA!$B$4),IF(DATOS!$G9972="EX",1,IF(DATOS!$G9972="OR",--(COUNTIFS(nNIA,DATOS!$A9972,nCURSO,DATOS!$D9972,nESPEC,DATOS!$E9972,nASIG,DATOS!$I9972,nEVAL,"EX")=0),0))))</f>
      </c>
      <c r="H9972">
        <f>IF(DATOS!$G9972&lt;&gt;"EX",0,--(COUNTIFS(nNIA,DATOS!$A9972,nCURSO,DATOS!$D9972,nESPEC,DATOS!$E9972,nASIG,DATOS!$I9972,nEVAL,"OR")=0))</f>
      </c>
      <c r="I9972">
        <f>IF(DATOS!$I9972="","",IFERROR(VLOOKUP(DATOS!$I9972,CONFIG_ASIGNATURAS!$B$2:$J$91,9,FALSE()),""))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IF(DATOS!$A9973="",0,IF(CONFIG_METADATA!$B$4&lt;&gt;"OR+EX",--(DATOS!$G9973=CONFIG_METADATA!$B$4),IF(DATOS!$G9973="EX",1,IF(DATOS!$G9973="OR",--(COUNTIFS(nNIA,DATOS!$A9973,nCURSO,DATOS!$D9973,nESPEC,DATOS!$E9973,nASIG,DATOS!$I9973,nEVAL,"EX")=0),0))))</f>
      </c>
      <c r="H9973">
        <f>IF(DATOS!$G9973&lt;&gt;"EX",0,--(COUNTIFS(nNIA,DATOS!$A9973,nCURSO,DATOS!$D9973,nESPEC,DATOS!$E9973,nASIG,DATOS!$I9973,nEVAL,"OR")=0))</f>
      </c>
      <c r="I9973">
        <f>IF(DATOS!$I9973="","",IFERROR(VLOOKUP(DATOS!$I9973,CONFIG_ASIGNATURAS!$B$2:$J$91,9,FALSE()),""))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IF(DATOS!$A9974="",0,IF(CONFIG_METADATA!$B$4&lt;&gt;"OR+EX",--(DATOS!$G9974=CONFIG_METADATA!$B$4),IF(DATOS!$G9974="EX",1,IF(DATOS!$G9974="OR",--(COUNTIFS(nNIA,DATOS!$A9974,nCURSO,DATOS!$D9974,nESPEC,DATOS!$E9974,nASIG,DATOS!$I9974,nEVAL,"EX")=0),0))))</f>
      </c>
      <c r="H9974">
        <f>IF(DATOS!$G9974&lt;&gt;"EX",0,--(COUNTIFS(nNIA,DATOS!$A9974,nCURSO,DATOS!$D9974,nESPEC,DATOS!$E9974,nASIG,DATOS!$I9974,nEVAL,"OR")=0))</f>
      </c>
      <c r="I9974">
        <f>IF(DATOS!$I9974="","",IFERROR(VLOOKUP(DATOS!$I9974,CONFIG_ASIGNATURAS!$B$2:$J$91,9,FALSE()),""))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IF(DATOS!$A9975="",0,IF(CONFIG_METADATA!$B$4&lt;&gt;"OR+EX",--(DATOS!$G9975=CONFIG_METADATA!$B$4),IF(DATOS!$G9975="EX",1,IF(DATOS!$G9975="OR",--(COUNTIFS(nNIA,DATOS!$A9975,nCURSO,DATOS!$D9975,nESPEC,DATOS!$E9975,nASIG,DATOS!$I9975,nEVAL,"EX")=0),0))))</f>
      </c>
      <c r="H9975">
        <f>IF(DATOS!$G9975&lt;&gt;"EX",0,--(COUNTIFS(nNIA,DATOS!$A9975,nCURSO,DATOS!$D9975,nESPEC,DATOS!$E9975,nASIG,DATOS!$I9975,nEVAL,"OR")=0))</f>
      </c>
      <c r="I9975">
        <f>IF(DATOS!$I9975="","",IFERROR(VLOOKUP(DATOS!$I9975,CONFIG_ASIGNATURAS!$B$2:$J$91,9,FALSE()),""))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IF(DATOS!$A9976="",0,IF(CONFIG_METADATA!$B$4&lt;&gt;"OR+EX",--(DATOS!$G9976=CONFIG_METADATA!$B$4),IF(DATOS!$G9976="EX",1,IF(DATOS!$G9976="OR",--(COUNTIFS(nNIA,DATOS!$A9976,nCURSO,DATOS!$D9976,nESPEC,DATOS!$E9976,nASIG,DATOS!$I9976,nEVAL,"EX")=0),0))))</f>
      </c>
      <c r="H9976">
        <f>IF(DATOS!$G9976&lt;&gt;"EX",0,--(COUNTIFS(nNIA,DATOS!$A9976,nCURSO,DATOS!$D9976,nESPEC,DATOS!$E9976,nASIG,DATOS!$I9976,nEVAL,"OR")=0))</f>
      </c>
      <c r="I9976">
        <f>IF(DATOS!$I9976="","",IFERROR(VLOOKUP(DATOS!$I9976,CONFIG_ASIGNATURAS!$B$2:$J$91,9,FALSE()),""))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IF(DATOS!$A9977="",0,IF(CONFIG_METADATA!$B$4&lt;&gt;"OR+EX",--(DATOS!$G9977=CONFIG_METADATA!$B$4),IF(DATOS!$G9977="EX",1,IF(DATOS!$G9977="OR",--(COUNTIFS(nNIA,DATOS!$A9977,nCURSO,DATOS!$D9977,nESPEC,DATOS!$E9977,nASIG,DATOS!$I9977,nEVAL,"EX")=0),0))))</f>
      </c>
      <c r="H9977">
        <f>IF(DATOS!$G9977&lt;&gt;"EX",0,--(COUNTIFS(nNIA,DATOS!$A9977,nCURSO,DATOS!$D9977,nESPEC,DATOS!$E9977,nASIG,DATOS!$I9977,nEVAL,"OR")=0))</f>
      </c>
      <c r="I9977">
        <f>IF(DATOS!$I9977="","",IFERROR(VLOOKUP(DATOS!$I9977,CONFIG_ASIGNATURAS!$B$2:$J$91,9,FALSE()),""))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IF(DATOS!$A9978="",0,IF(CONFIG_METADATA!$B$4&lt;&gt;"OR+EX",--(DATOS!$G9978=CONFIG_METADATA!$B$4),IF(DATOS!$G9978="EX",1,IF(DATOS!$G9978="OR",--(COUNTIFS(nNIA,DATOS!$A9978,nCURSO,DATOS!$D9978,nESPEC,DATOS!$E9978,nASIG,DATOS!$I9978,nEVAL,"EX")=0),0))))</f>
      </c>
      <c r="H9978">
        <f>IF(DATOS!$G9978&lt;&gt;"EX",0,--(COUNTIFS(nNIA,DATOS!$A9978,nCURSO,DATOS!$D9978,nESPEC,DATOS!$E9978,nASIG,DATOS!$I9978,nEVAL,"OR")=0))</f>
      </c>
      <c r="I9978">
        <f>IF(DATOS!$I9978="","",IFERROR(VLOOKUP(DATOS!$I9978,CONFIG_ASIGNATURAS!$B$2:$J$91,9,FALSE()),""))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IF(DATOS!$A9979="",0,IF(CONFIG_METADATA!$B$4&lt;&gt;"OR+EX",--(DATOS!$G9979=CONFIG_METADATA!$B$4),IF(DATOS!$G9979="EX",1,IF(DATOS!$G9979="OR",--(COUNTIFS(nNIA,DATOS!$A9979,nCURSO,DATOS!$D9979,nESPEC,DATOS!$E9979,nASIG,DATOS!$I9979,nEVAL,"EX")=0),0))))</f>
      </c>
      <c r="H9979">
        <f>IF(DATOS!$G9979&lt;&gt;"EX",0,--(COUNTIFS(nNIA,DATOS!$A9979,nCURSO,DATOS!$D9979,nESPEC,DATOS!$E9979,nASIG,DATOS!$I9979,nEVAL,"OR")=0))</f>
      </c>
      <c r="I9979">
        <f>IF(DATOS!$I9979="","",IFERROR(VLOOKUP(DATOS!$I9979,CONFIG_ASIGNATURAS!$B$2:$J$91,9,FALSE()),""))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IF(DATOS!$A9980="",0,IF(CONFIG_METADATA!$B$4&lt;&gt;"OR+EX",--(DATOS!$G9980=CONFIG_METADATA!$B$4),IF(DATOS!$G9980="EX",1,IF(DATOS!$G9980="OR",--(COUNTIFS(nNIA,DATOS!$A9980,nCURSO,DATOS!$D9980,nESPEC,DATOS!$E9980,nASIG,DATOS!$I9980,nEVAL,"EX")=0),0))))</f>
      </c>
      <c r="H9980">
        <f>IF(DATOS!$G9980&lt;&gt;"EX",0,--(COUNTIFS(nNIA,DATOS!$A9980,nCURSO,DATOS!$D9980,nESPEC,DATOS!$E9980,nASIG,DATOS!$I9980,nEVAL,"OR")=0))</f>
      </c>
      <c r="I9980">
        <f>IF(DATOS!$I9980="","",IFERROR(VLOOKUP(DATOS!$I9980,CONFIG_ASIGNATURAS!$B$2:$J$91,9,FALSE()),""))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IF(DATOS!$A9981="",0,IF(CONFIG_METADATA!$B$4&lt;&gt;"OR+EX",--(DATOS!$G9981=CONFIG_METADATA!$B$4),IF(DATOS!$G9981="EX",1,IF(DATOS!$G9981="OR",--(COUNTIFS(nNIA,DATOS!$A9981,nCURSO,DATOS!$D9981,nESPEC,DATOS!$E9981,nASIG,DATOS!$I9981,nEVAL,"EX")=0),0))))</f>
      </c>
      <c r="H9981">
        <f>IF(DATOS!$G9981&lt;&gt;"EX",0,--(COUNTIFS(nNIA,DATOS!$A9981,nCURSO,DATOS!$D9981,nESPEC,DATOS!$E9981,nASIG,DATOS!$I9981,nEVAL,"OR")=0))</f>
      </c>
      <c r="I9981">
        <f>IF(DATOS!$I9981="","",IFERROR(VLOOKUP(DATOS!$I9981,CONFIG_ASIGNATURAS!$B$2:$J$91,9,FALSE()),""))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IF(DATOS!$A9982="",0,IF(CONFIG_METADATA!$B$4&lt;&gt;"OR+EX",--(DATOS!$G9982=CONFIG_METADATA!$B$4),IF(DATOS!$G9982="EX",1,IF(DATOS!$G9982="OR",--(COUNTIFS(nNIA,DATOS!$A9982,nCURSO,DATOS!$D9982,nESPEC,DATOS!$E9982,nASIG,DATOS!$I9982,nEVAL,"EX")=0),0))))</f>
      </c>
      <c r="H9982">
        <f>IF(DATOS!$G9982&lt;&gt;"EX",0,--(COUNTIFS(nNIA,DATOS!$A9982,nCURSO,DATOS!$D9982,nESPEC,DATOS!$E9982,nASIG,DATOS!$I9982,nEVAL,"OR")=0))</f>
      </c>
      <c r="I9982">
        <f>IF(DATOS!$I9982="","",IFERROR(VLOOKUP(DATOS!$I9982,CONFIG_ASIGNATURAS!$B$2:$J$91,9,FALSE()),""))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IF(DATOS!$A9983="",0,IF(CONFIG_METADATA!$B$4&lt;&gt;"OR+EX",--(DATOS!$G9983=CONFIG_METADATA!$B$4),IF(DATOS!$G9983="EX",1,IF(DATOS!$G9983="OR",--(COUNTIFS(nNIA,DATOS!$A9983,nCURSO,DATOS!$D9983,nESPEC,DATOS!$E9983,nASIG,DATOS!$I9983,nEVAL,"EX")=0),0))))</f>
      </c>
      <c r="H9983">
        <f>IF(DATOS!$G9983&lt;&gt;"EX",0,--(COUNTIFS(nNIA,DATOS!$A9983,nCURSO,DATOS!$D9983,nESPEC,DATOS!$E9983,nASIG,DATOS!$I9983,nEVAL,"OR")=0))</f>
      </c>
      <c r="I9983">
        <f>IF(DATOS!$I9983="","",IFERROR(VLOOKUP(DATOS!$I9983,CONFIG_ASIGNATURAS!$B$2:$J$91,9,FALSE()),""))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IF(DATOS!$A9984="",0,IF(CONFIG_METADATA!$B$4&lt;&gt;"OR+EX",--(DATOS!$G9984=CONFIG_METADATA!$B$4),IF(DATOS!$G9984="EX",1,IF(DATOS!$G9984="OR",--(COUNTIFS(nNIA,DATOS!$A9984,nCURSO,DATOS!$D9984,nESPEC,DATOS!$E9984,nASIG,DATOS!$I9984,nEVAL,"EX")=0),0))))</f>
      </c>
      <c r="H9984">
        <f>IF(DATOS!$G9984&lt;&gt;"EX",0,--(COUNTIFS(nNIA,DATOS!$A9984,nCURSO,DATOS!$D9984,nESPEC,DATOS!$E9984,nASIG,DATOS!$I9984,nEVAL,"OR")=0))</f>
      </c>
      <c r="I9984">
        <f>IF(DATOS!$I9984="","",IFERROR(VLOOKUP(DATOS!$I9984,CONFIG_ASIGNATURAS!$B$2:$J$91,9,FALSE()),""))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IF(DATOS!$A9985="",0,IF(CONFIG_METADATA!$B$4&lt;&gt;"OR+EX",--(DATOS!$G9985=CONFIG_METADATA!$B$4),IF(DATOS!$G9985="EX",1,IF(DATOS!$G9985="OR",--(COUNTIFS(nNIA,DATOS!$A9985,nCURSO,DATOS!$D9985,nESPEC,DATOS!$E9985,nASIG,DATOS!$I9985,nEVAL,"EX")=0),0))))</f>
      </c>
      <c r="H9985">
        <f>IF(DATOS!$G9985&lt;&gt;"EX",0,--(COUNTIFS(nNIA,DATOS!$A9985,nCURSO,DATOS!$D9985,nESPEC,DATOS!$E9985,nASIG,DATOS!$I9985,nEVAL,"OR")=0))</f>
      </c>
      <c r="I9985">
        <f>IF(DATOS!$I9985="","",IFERROR(VLOOKUP(DATOS!$I9985,CONFIG_ASIGNATURAS!$B$2:$J$91,9,FALSE()),""))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IF(DATOS!$A9986="",0,IF(CONFIG_METADATA!$B$4&lt;&gt;"OR+EX",--(DATOS!$G9986=CONFIG_METADATA!$B$4),IF(DATOS!$G9986="EX",1,IF(DATOS!$G9986="OR",--(COUNTIFS(nNIA,DATOS!$A9986,nCURSO,DATOS!$D9986,nESPEC,DATOS!$E9986,nASIG,DATOS!$I9986,nEVAL,"EX")=0),0))))</f>
      </c>
      <c r="H9986">
        <f>IF(DATOS!$G9986&lt;&gt;"EX",0,--(COUNTIFS(nNIA,DATOS!$A9986,nCURSO,DATOS!$D9986,nESPEC,DATOS!$E9986,nASIG,DATOS!$I9986,nEVAL,"OR")=0))</f>
      </c>
      <c r="I9986">
        <f>IF(DATOS!$I9986="","",IFERROR(VLOOKUP(DATOS!$I9986,CONFIG_ASIGNATURAS!$B$2:$J$91,9,FALSE()),""))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IF(DATOS!$A9987="",0,IF(CONFIG_METADATA!$B$4&lt;&gt;"OR+EX",--(DATOS!$G9987=CONFIG_METADATA!$B$4),IF(DATOS!$G9987="EX",1,IF(DATOS!$G9987="OR",--(COUNTIFS(nNIA,DATOS!$A9987,nCURSO,DATOS!$D9987,nESPEC,DATOS!$E9987,nASIG,DATOS!$I9987,nEVAL,"EX")=0),0))))</f>
      </c>
      <c r="H9987">
        <f>IF(DATOS!$G9987&lt;&gt;"EX",0,--(COUNTIFS(nNIA,DATOS!$A9987,nCURSO,DATOS!$D9987,nESPEC,DATOS!$E9987,nASIG,DATOS!$I9987,nEVAL,"OR")=0))</f>
      </c>
      <c r="I9987">
        <f>IF(DATOS!$I9987="","",IFERROR(VLOOKUP(DATOS!$I9987,CONFIG_ASIGNATURAS!$B$2:$J$91,9,FALSE()),""))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IF(DATOS!$A9988="",0,IF(CONFIG_METADATA!$B$4&lt;&gt;"OR+EX",--(DATOS!$G9988=CONFIG_METADATA!$B$4),IF(DATOS!$G9988="EX",1,IF(DATOS!$G9988="OR",--(COUNTIFS(nNIA,DATOS!$A9988,nCURSO,DATOS!$D9988,nESPEC,DATOS!$E9988,nASIG,DATOS!$I9988,nEVAL,"EX")=0),0))))</f>
      </c>
      <c r="H9988">
        <f>IF(DATOS!$G9988&lt;&gt;"EX",0,--(COUNTIFS(nNIA,DATOS!$A9988,nCURSO,DATOS!$D9988,nESPEC,DATOS!$E9988,nASIG,DATOS!$I9988,nEVAL,"OR")=0))</f>
      </c>
      <c r="I9988">
        <f>IF(DATOS!$I9988="","",IFERROR(VLOOKUP(DATOS!$I9988,CONFIG_ASIGNATURAS!$B$2:$J$91,9,FALSE()),""))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IF(DATOS!$A9989="",0,IF(CONFIG_METADATA!$B$4&lt;&gt;"OR+EX",--(DATOS!$G9989=CONFIG_METADATA!$B$4),IF(DATOS!$G9989="EX",1,IF(DATOS!$G9989="OR",--(COUNTIFS(nNIA,DATOS!$A9989,nCURSO,DATOS!$D9989,nESPEC,DATOS!$E9989,nASIG,DATOS!$I9989,nEVAL,"EX")=0),0))))</f>
      </c>
      <c r="H9989">
        <f>IF(DATOS!$G9989&lt;&gt;"EX",0,--(COUNTIFS(nNIA,DATOS!$A9989,nCURSO,DATOS!$D9989,nESPEC,DATOS!$E9989,nASIG,DATOS!$I9989,nEVAL,"OR")=0))</f>
      </c>
      <c r="I9989">
        <f>IF(DATOS!$I9989="","",IFERROR(VLOOKUP(DATOS!$I9989,CONFIG_ASIGNATURAS!$B$2:$J$91,9,FALSE()),""))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IF(DATOS!$A9990="",0,IF(CONFIG_METADATA!$B$4&lt;&gt;"OR+EX",--(DATOS!$G9990=CONFIG_METADATA!$B$4),IF(DATOS!$G9990="EX",1,IF(DATOS!$G9990="OR",--(COUNTIFS(nNIA,DATOS!$A9990,nCURSO,DATOS!$D9990,nESPEC,DATOS!$E9990,nASIG,DATOS!$I9990,nEVAL,"EX")=0),0))))</f>
      </c>
      <c r="H9990">
        <f>IF(DATOS!$G9990&lt;&gt;"EX",0,--(COUNTIFS(nNIA,DATOS!$A9990,nCURSO,DATOS!$D9990,nESPEC,DATOS!$E9990,nASIG,DATOS!$I9990,nEVAL,"OR")=0))</f>
      </c>
      <c r="I9990">
        <f>IF(DATOS!$I9990="","",IFERROR(VLOOKUP(DATOS!$I9990,CONFIG_ASIGNATURAS!$B$2:$J$91,9,FALSE()),""))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IF(DATOS!$A9991="",0,IF(CONFIG_METADATA!$B$4&lt;&gt;"OR+EX",--(DATOS!$G9991=CONFIG_METADATA!$B$4),IF(DATOS!$G9991="EX",1,IF(DATOS!$G9991="OR",--(COUNTIFS(nNIA,DATOS!$A9991,nCURSO,DATOS!$D9991,nESPEC,DATOS!$E9991,nASIG,DATOS!$I9991,nEVAL,"EX")=0),0))))</f>
      </c>
      <c r="H9991">
        <f>IF(DATOS!$G9991&lt;&gt;"EX",0,--(COUNTIFS(nNIA,DATOS!$A9991,nCURSO,DATOS!$D9991,nESPEC,DATOS!$E9991,nASIG,DATOS!$I9991,nEVAL,"OR")=0))</f>
      </c>
      <c r="I9991">
        <f>IF(DATOS!$I9991="","",IFERROR(VLOOKUP(DATOS!$I9991,CONFIG_ASIGNATURAS!$B$2:$J$91,9,FALSE()),""))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IF(DATOS!$A9992="",0,IF(CONFIG_METADATA!$B$4&lt;&gt;"OR+EX",--(DATOS!$G9992=CONFIG_METADATA!$B$4),IF(DATOS!$G9992="EX",1,IF(DATOS!$G9992="OR",--(COUNTIFS(nNIA,DATOS!$A9992,nCURSO,DATOS!$D9992,nESPEC,DATOS!$E9992,nASIG,DATOS!$I9992,nEVAL,"EX")=0),0))))</f>
      </c>
      <c r="H9992">
        <f>IF(DATOS!$G9992&lt;&gt;"EX",0,--(COUNTIFS(nNIA,DATOS!$A9992,nCURSO,DATOS!$D9992,nESPEC,DATOS!$E9992,nASIG,DATOS!$I9992,nEVAL,"OR")=0))</f>
      </c>
      <c r="I9992">
        <f>IF(DATOS!$I9992="","",IFERROR(VLOOKUP(DATOS!$I9992,CONFIG_ASIGNATURAS!$B$2:$J$91,9,FALSE()),""))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IF(DATOS!$A9993="",0,IF(CONFIG_METADATA!$B$4&lt;&gt;"OR+EX",--(DATOS!$G9993=CONFIG_METADATA!$B$4),IF(DATOS!$G9993="EX",1,IF(DATOS!$G9993="OR",--(COUNTIFS(nNIA,DATOS!$A9993,nCURSO,DATOS!$D9993,nESPEC,DATOS!$E9993,nASIG,DATOS!$I9993,nEVAL,"EX")=0),0))))</f>
      </c>
      <c r="H9993">
        <f>IF(DATOS!$G9993&lt;&gt;"EX",0,--(COUNTIFS(nNIA,DATOS!$A9993,nCURSO,DATOS!$D9993,nESPEC,DATOS!$E9993,nASIG,DATOS!$I9993,nEVAL,"OR")=0))</f>
      </c>
      <c r="I9993">
        <f>IF(DATOS!$I9993="","",IFERROR(VLOOKUP(DATOS!$I9993,CONFIG_ASIGNATURAS!$B$2:$J$91,9,FALSE()),""))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IF(DATOS!$A9994="",0,IF(CONFIG_METADATA!$B$4&lt;&gt;"OR+EX",--(DATOS!$G9994=CONFIG_METADATA!$B$4),IF(DATOS!$G9994="EX",1,IF(DATOS!$G9994="OR",--(COUNTIFS(nNIA,DATOS!$A9994,nCURSO,DATOS!$D9994,nESPEC,DATOS!$E9994,nASIG,DATOS!$I9994,nEVAL,"EX")=0),0))))</f>
      </c>
      <c r="H9994">
        <f>IF(DATOS!$G9994&lt;&gt;"EX",0,--(COUNTIFS(nNIA,DATOS!$A9994,nCURSO,DATOS!$D9994,nESPEC,DATOS!$E9994,nASIG,DATOS!$I9994,nEVAL,"OR")=0))</f>
      </c>
      <c r="I9994">
        <f>IF(DATOS!$I9994="","",IFERROR(VLOOKUP(DATOS!$I9994,CONFIG_ASIGNATURAS!$B$2:$J$91,9,FALSE()),""))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IF(DATOS!$A9995="",0,IF(CONFIG_METADATA!$B$4&lt;&gt;"OR+EX",--(DATOS!$G9995=CONFIG_METADATA!$B$4),IF(DATOS!$G9995="EX",1,IF(DATOS!$G9995="OR",--(COUNTIFS(nNIA,DATOS!$A9995,nCURSO,DATOS!$D9995,nESPEC,DATOS!$E9995,nASIG,DATOS!$I9995,nEVAL,"EX")=0),0))))</f>
      </c>
      <c r="H9995">
        <f>IF(DATOS!$G9995&lt;&gt;"EX",0,--(COUNTIFS(nNIA,DATOS!$A9995,nCURSO,DATOS!$D9995,nESPEC,DATOS!$E9995,nASIG,DATOS!$I9995,nEVAL,"OR")=0))</f>
      </c>
      <c r="I9995">
        <f>IF(DATOS!$I9995="","",IFERROR(VLOOKUP(DATOS!$I9995,CONFIG_ASIGNATURAS!$B$2:$J$91,9,FALSE()),""))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IF(DATOS!$A9996="",0,IF(CONFIG_METADATA!$B$4&lt;&gt;"OR+EX",--(DATOS!$G9996=CONFIG_METADATA!$B$4),IF(DATOS!$G9996="EX",1,IF(DATOS!$G9996="OR",--(COUNTIFS(nNIA,DATOS!$A9996,nCURSO,DATOS!$D9996,nESPEC,DATOS!$E9996,nASIG,DATOS!$I9996,nEVAL,"EX")=0),0))))</f>
      </c>
      <c r="H9996">
        <f>IF(DATOS!$G9996&lt;&gt;"EX",0,--(COUNTIFS(nNIA,DATOS!$A9996,nCURSO,DATOS!$D9996,nESPEC,DATOS!$E9996,nASIG,DATOS!$I9996,nEVAL,"OR")=0))</f>
      </c>
      <c r="I9996">
        <f>IF(DATOS!$I9996="","",IFERROR(VLOOKUP(DATOS!$I9996,CONFIG_ASIGNATURAS!$B$2:$J$91,9,FALSE()),""))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IF(DATOS!$A9997="",0,IF(CONFIG_METADATA!$B$4&lt;&gt;"OR+EX",--(DATOS!$G9997=CONFIG_METADATA!$B$4),IF(DATOS!$G9997="EX",1,IF(DATOS!$G9997="OR",--(COUNTIFS(nNIA,DATOS!$A9997,nCURSO,DATOS!$D9997,nESPEC,DATOS!$E9997,nASIG,DATOS!$I9997,nEVAL,"EX")=0),0))))</f>
      </c>
      <c r="H9997">
        <f>IF(DATOS!$G9997&lt;&gt;"EX",0,--(COUNTIFS(nNIA,DATOS!$A9997,nCURSO,DATOS!$D9997,nESPEC,DATOS!$E9997,nASIG,DATOS!$I9997,nEVAL,"OR")=0))</f>
      </c>
      <c r="I9997">
        <f>IF(DATOS!$I9997="","",IFERROR(VLOOKUP(DATOS!$I9997,CONFIG_ASIGNATURAS!$B$2:$J$91,9,FALSE()),""))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IF(DATOS!$A9998="",0,IF(CONFIG_METADATA!$B$4&lt;&gt;"OR+EX",--(DATOS!$G9998=CONFIG_METADATA!$B$4),IF(DATOS!$G9998="EX",1,IF(DATOS!$G9998="OR",--(COUNTIFS(nNIA,DATOS!$A9998,nCURSO,DATOS!$D9998,nESPEC,DATOS!$E9998,nASIG,DATOS!$I9998,nEVAL,"EX")=0),0))))</f>
      </c>
      <c r="H9998">
        <f>IF(DATOS!$G9998&lt;&gt;"EX",0,--(COUNTIFS(nNIA,DATOS!$A9998,nCURSO,DATOS!$D9998,nESPEC,DATOS!$E9998,nASIG,DATOS!$I9998,nEVAL,"OR")=0))</f>
      </c>
      <c r="I9998">
        <f>IF(DATOS!$I9998="","",IFERROR(VLOOKUP(DATOS!$I9998,CONFIG_ASIGNATURAS!$B$2:$J$91,9,FALSE()),""))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IF(DATOS!$A9999="",0,IF(CONFIG_METADATA!$B$4&lt;&gt;"OR+EX",--(DATOS!$G9999=CONFIG_METADATA!$B$4),IF(DATOS!$G9999="EX",1,IF(DATOS!$G9999="OR",--(COUNTIFS(nNIA,DATOS!$A9999,nCURSO,DATOS!$D9999,nESPEC,DATOS!$E9999,nASIG,DATOS!$I9999,nEVAL,"EX")=0),0))))</f>
      </c>
      <c r="H9999">
        <f>IF(DATOS!$G9999&lt;&gt;"EX",0,--(COUNTIFS(nNIA,DATOS!$A9999,nCURSO,DATOS!$D9999,nESPEC,DATOS!$E9999,nASIG,DATOS!$I9999,nEVAL,"OR")=0))</f>
      </c>
      <c r="I9999">
        <f>IF(DATOS!$I9999="","",IFERROR(VLOOKUP(DATOS!$I9999,CONFIG_ASIGNATURAS!$B$2:$J$91,9,FALSE()),""))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IF(DATOS!$A10000="",0,IF(CONFIG_METADATA!$B$4&lt;&gt;"OR+EX",--(DATOS!$G10000=CONFIG_METADATA!$B$4),IF(DATOS!$G10000="EX",1,IF(DATOS!$G10000="OR",--(COUNTIFS(nNIA,DATOS!$A10000,nCURSO,DATOS!$D10000,nESPEC,DATOS!$E10000,nASIG,DATOS!$I10000,nEVAL,"EX")=0),0))))</f>
      </c>
      <c r="H10000">
        <f>IF(DATOS!$G10000&lt;&gt;"EX",0,--(COUNTIFS(nNIA,DATOS!$A10000,nCURSO,DATOS!$D10000,nESPEC,DATOS!$E10000,nASIG,DATOS!$I10000,nEVAL,"OR")=0))</f>
      </c>
      <c r="I10000">
        <f>IF(DATOS!$I10000="","",IFERROR(VLOOKUP(DATOS!$I10000,CONFIG_ASIGNATURAS!$B$2:$J$91,9,FALSE()),""))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IF(DATOS!$A10001="",0,IF(CONFIG_METADATA!$B$4&lt;&gt;"OR+EX",--(DATOS!$G10001=CONFIG_METADATA!$B$4),IF(DATOS!$G10001="EX",1,IF(DATOS!$G10001="OR",--(COUNTIFS(nNIA,DATOS!$A10001,nCURSO,DATOS!$D10001,nESPEC,DATOS!$E10001,nASIG,DATOS!$I10001,nEVAL,"EX")=0),0))))</f>
      </c>
      <c r="H10001">
        <f>IF(DATOS!$G10001&lt;&gt;"EX",0,--(COUNTIFS(nNIA,DATOS!$A10001,nCURSO,DATOS!$D10001,nESPEC,DATOS!$E10001,nASIG,DATOS!$I10001,nEVAL,"OR")=0))</f>
      </c>
      <c r="I10001">
        <f>IF(DATOS!$I10001="","",IFERROR(VLOOKUP(DATOS!$I10001,CONFIG_ASIGNATURAS!$B$2:$J$91,9,FALSE()),""))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IF(DATOS!$A10002="",0,IF(CONFIG_METADATA!$B$4&lt;&gt;"OR+EX",--(DATOS!$G10002=CONFIG_METADATA!$B$4),IF(DATOS!$G10002="EX",1,IF(DATOS!$G10002="OR",--(COUNTIFS(nNIA,DATOS!$A10002,nCURSO,DATOS!$D10002,nESPEC,DATOS!$E10002,nASIG,DATOS!$I10002,nEVAL,"EX")=0),0))))</f>
      </c>
      <c r="H10002">
        <f>IF(DATOS!$G10002&lt;&gt;"EX",0,--(COUNTIFS(nNIA,DATOS!$A10002,nCURSO,DATOS!$D10002,nESPEC,DATOS!$E10002,nASIG,DATOS!$I10002,nEVAL,"OR")=0))</f>
      </c>
      <c r="I10002">
        <f>IF(DATOS!$I10002="","",IFERROR(VLOOKUP(DATOS!$I10002,CONFIG_ASIGNATURAS!$B$2:$J$91,9,FALSE()),""))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IF(DATOS!$A10003="",0,IF(CONFIG_METADATA!$B$4&lt;&gt;"OR+EX",--(DATOS!$G10003=CONFIG_METADATA!$B$4),IF(DATOS!$G10003="EX",1,IF(DATOS!$G10003="OR",--(COUNTIFS(nNIA,DATOS!$A10003,nCURSO,DATOS!$D10003,nESPEC,DATOS!$E10003,nASIG,DATOS!$I10003,nEVAL,"EX")=0),0))))</f>
      </c>
      <c r="H10003">
        <f>IF(DATOS!$G10003&lt;&gt;"EX",0,--(COUNTIFS(nNIA,DATOS!$A10003,nCURSO,DATOS!$D10003,nESPEC,DATOS!$E10003,nASIG,DATOS!$I10003,nEVAL,"OR")=0))</f>
      </c>
      <c r="I10003">
        <f>IF(DATOS!$I10003="","",IFERROR(VLOOKUP(DATOS!$I10003,CONFIG_ASIGNATURAS!$B$2:$J$91,9,FALSE()),""))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IF(DATOS!$A10004="",0,IF(CONFIG_METADATA!$B$4&lt;&gt;"OR+EX",--(DATOS!$G10004=CONFIG_METADATA!$B$4),IF(DATOS!$G10004="EX",1,IF(DATOS!$G10004="OR",--(COUNTIFS(nNIA,DATOS!$A10004,nCURSO,DATOS!$D10004,nESPEC,DATOS!$E10004,nASIG,DATOS!$I10004,nEVAL,"EX")=0),0))))</f>
      </c>
      <c r="H10004">
        <f>IF(DATOS!$G10004&lt;&gt;"EX",0,--(COUNTIFS(nNIA,DATOS!$A10004,nCURSO,DATOS!$D10004,nESPEC,DATOS!$E10004,nASIG,DATOS!$I10004,nEVAL,"OR")=0))</f>
      </c>
      <c r="I10004">
        <f>IF(DATOS!$I10004="","",IFERROR(VLOOKUP(DATOS!$I10004,CONFIG_ASIGNATURAS!$B$2:$J$91,9,FALSE()),""))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IF(DATOS!$A10005="",0,IF(CONFIG_METADATA!$B$4&lt;&gt;"OR+EX",--(DATOS!$G10005=CONFIG_METADATA!$B$4),IF(DATOS!$G10005="EX",1,IF(DATOS!$G10005="OR",--(COUNTIFS(nNIA,DATOS!$A10005,nCURSO,DATOS!$D10005,nESPEC,DATOS!$E10005,nASIG,DATOS!$I10005,nEVAL,"EX")=0),0))))</f>
      </c>
      <c r="H10005">
        <f>IF(DATOS!$G10005&lt;&gt;"EX",0,--(COUNTIFS(nNIA,DATOS!$A10005,nCURSO,DATOS!$D10005,nESPEC,DATOS!$E10005,nASIG,DATOS!$I10005,nEVAL,"OR")=0))</f>
      </c>
      <c r="I10005">
        <f>IF(DATOS!$I10005="","",IFERROR(VLOOKUP(DATOS!$I10005,CONFIG_ASIGNATURAS!$B$2:$J$91,9,FALSE()),""))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IF(DATOS!$A10006="",0,IF(CONFIG_METADATA!$B$4&lt;&gt;"OR+EX",--(DATOS!$G10006=CONFIG_METADATA!$B$4),IF(DATOS!$G10006="EX",1,IF(DATOS!$G10006="OR",--(COUNTIFS(nNIA,DATOS!$A10006,nCURSO,DATOS!$D10006,nESPEC,DATOS!$E10006,nASIG,DATOS!$I10006,nEVAL,"EX")=0),0))))</f>
      </c>
      <c r="H10006">
        <f>IF(DATOS!$G10006&lt;&gt;"EX",0,--(COUNTIFS(nNIA,DATOS!$A10006,nCURSO,DATOS!$D10006,nESPEC,DATOS!$E10006,nASIG,DATOS!$I10006,nEVAL,"OR")=0))</f>
      </c>
      <c r="I10006">
        <f>IF(DATOS!$I10006="","",IFERROR(VLOOKUP(DATOS!$I10006,CONFIG_ASIGNATURAS!$B$2:$J$91,9,FALSE()),""))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IF(DATOS!$A10007="",0,IF(CONFIG_METADATA!$B$4&lt;&gt;"OR+EX",--(DATOS!$G10007=CONFIG_METADATA!$B$4),IF(DATOS!$G10007="EX",1,IF(DATOS!$G10007="OR",--(COUNTIFS(nNIA,DATOS!$A10007,nCURSO,DATOS!$D10007,nESPEC,DATOS!$E10007,nASIG,DATOS!$I10007,nEVAL,"EX")=0),0))))</f>
      </c>
      <c r="H10007">
        <f>IF(DATOS!$G10007&lt;&gt;"EX",0,--(COUNTIFS(nNIA,DATOS!$A10007,nCURSO,DATOS!$D10007,nESPEC,DATOS!$E10007,nASIG,DATOS!$I10007,nEVAL,"OR")=0))</f>
      </c>
      <c r="I10007">
        <f>IF(DATOS!$I10007="","",IFERROR(VLOOKUP(DATOS!$I10007,CONFIG_ASIGNATURAS!$B$2:$J$91,9,FALSE()),""))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IF(DATOS!$A10008="",0,IF(CONFIG_METADATA!$B$4&lt;&gt;"OR+EX",--(DATOS!$G10008=CONFIG_METADATA!$B$4),IF(DATOS!$G10008="EX",1,IF(DATOS!$G10008="OR",--(COUNTIFS(nNIA,DATOS!$A10008,nCURSO,DATOS!$D10008,nESPEC,DATOS!$E10008,nASIG,DATOS!$I10008,nEVAL,"EX")=0),0))))</f>
      </c>
      <c r="H10008">
        <f>IF(DATOS!$G10008&lt;&gt;"EX",0,--(COUNTIFS(nNIA,DATOS!$A10008,nCURSO,DATOS!$D10008,nESPEC,DATOS!$E10008,nASIG,DATOS!$I10008,nEVAL,"OR")=0))</f>
      </c>
      <c r="I10008">
        <f>IF(DATOS!$I10008="","",IFERROR(VLOOKUP(DATOS!$I10008,CONFIG_ASIGNATURAS!$B$2:$J$91,9,FALSE()),""))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IF(DATOS!$A10009="",0,IF(CONFIG_METADATA!$B$4&lt;&gt;"OR+EX",--(DATOS!$G10009=CONFIG_METADATA!$B$4),IF(DATOS!$G10009="EX",1,IF(DATOS!$G10009="OR",--(COUNTIFS(nNIA,DATOS!$A10009,nCURSO,DATOS!$D10009,nESPEC,DATOS!$E10009,nASIG,DATOS!$I10009,nEVAL,"EX")=0),0))))</f>
      </c>
      <c r="H10009">
        <f>IF(DATOS!$G10009&lt;&gt;"EX",0,--(COUNTIFS(nNIA,DATOS!$A10009,nCURSO,DATOS!$D10009,nESPEC,DATOS!$E10009,nASIG,DATOS!$I10009,nEVAL,"OR")=0))</f>
      </c>
      <c r="I10009">
        <f>IF(DATOS!$I10009="","",IFERROR(VLOOKUP(DATOS!$I10009,CONFIG_ASIGNATURAS!$B$2:$J$91,9,FALSE()),""))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IF(DATOS!$A10010="",0,IF(CONFIG_METADATA!$B$4&lt;&gt;"OR+EX",--(DATOS!$G10010=CONFIG_METADATA!$B$4),IF(DATOS!$G10010="EX",1,IF(DATOS!$G10010="OR",--(COUNTIFS(nNIA,DATOS!$A10010,nCURSO,DATOS!$D10010,nESPEC,DATOS!$E10010,nASIG,DATOS!$I10010,nEVAL,"EX")=0),0))))</f>
      </c>
      <c r="H10010">
        <f>IF(DATOS!$G10010&lt;&gt;"EX",0,--(COUNTIFS(nNIA,DATOS!$A10010,nCURSO,DATOS!$D10010,nESPEC,DATOS!$E10010,nASIG,DATOS!$I10010,nEVAL,"OR")=0))</f>
      </c>
      <c r="I10010">
        <f>IF(DATOS!$I10010="","",IFERROR(VLOOKUP(DATOS!$I10010,CONFIG_ASIGNATURAS!$B$2:$J$91,9,FALSE()),""))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IF(DATOS!$A10011="",0,IF(CONFIG_METADATA!$B$4&lt;&gt;"OR+EX",--(DATOS!$G10011=CONFIG_METADATA!$B$4),IF(DATOS!$G10011="EX",1,IF(DATOS!$G10011="OR",--(COUNTIFS(nNIA,DATOS!$A10011,nCURSO,DATOS!$D10011,nESPEC,DATOS!$E10011,nASIG,DATOS!$I10011,nEVAL,"EX")=0),0))))</f>
      </c>
      <c r="H10011">
        <f>IF(DATOS!$G10011&lt;&gt;"EX",0,--(COUNTIFS(nNIA,DATOS!$A10011,nCURSO,DATOS!$D10011,nESPEC,DATOS!$E10011,nASIG,DATOS!$I10011,nEVAL,"OR")=0))</f>
      </c>
      <c r="I10011">
        <f>IF(DATOS!$I10011="","",IFERROR(VLOOKUP(DATOS!$I10011,CONFIG_ASIGNATURAS!$B$2:$J$91,9,FALSE()),""))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IF(DATOS!$A10012="",0,IF(CONFIG_METADATA!$B$4&lt;&gt;"OR+EX",--(DATOS!$G10012=CONFIG_METADATA!$B$4),IF(DATOS!$G10012="EX",1,IF(DATOS!$G10012="OR",--(COUNTIFS(nNIA,DATOS!$A10012,nCURSO,DATOS!$D10012,nESPEC,DATOS!$E10012,nASIG,DATOS!$I10012,nEVAL,"EX")=0),0))))</f>
      </c>
      <c r="H10012">
        <f>IF(DATOS!$G10012&lt;&gt;"EX",0,--(COUNTIFS(nNIA,DATOS!$A10012,nCURSO,DATOS!$D10012,nESPEC,DATOS!$E10012,nASIG,DATOS!$I10012,nEVAL,"OR")=0))</f>
      </c>
      <c r="I10012">
        <f>IF(DATOS!$I10012="","",IFERROR(VLOOKUP(DATOS!$I10012,CONFIG_ASIGNATURAS!$B$2:$J$91,9,FALSE()),""))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IF(DATOS!$A10013="",0,IF(CONFIG_METADATA!$B$4&lt;&gt;"OR+EX",--(DATOS!$G10013=CONFIG_METADATA!$B$4),IF(DATOS!$G10013="EX",1,IF(DATOS!$G10013="OR",--(COUNTIFS(nNIA,DATOS!$A10013,nCURSO,DATOS!$D10013,nESPEC,DATOS!$E10013,nASIG,DATOS!$I10013,nEVAL,"EX")=0),0))))</f>
      </c>
      <c r="H10013">
        <f>IF(DATOS!$G10013&lt;&gt;"EX",0,--(COUNTIFS(nNIA,DATOS!$A10013,nCURSO,DATOS!$D10013,nESPEC,DATOS!$E10013,nASIG,DATOS!$I10013,nEVAL,"OR")=0))</f>
      </c>
      <c r="I10013">
        <f>IF(DATOS!$I10013="","",IFERROR(VLOOKUP(DATOS!$I10013,CONFIG_ASIGNATURAS!$B$2:$J$91,9,FALSE()),""))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IF(DATOS!$A10014="",0,IF(CONFIG_METADATA!$B$4&lt;&gt;"OR+EX",--(DATOS!$G10014=CONFIG_METADATA!$B$4),IF(DATOS!$G10014="EX",1,IF(DATOS!$G10014="OR",--(COUNTIFS(nNIA,DATOS!$A10014,nCURSO,DATOS!$D10014,nESPEC,DATOS!$E10014,nASIG,DATOS!$I10014,nEVAL,"EX")=0),0))))</f>
      </c>
      <c r="H10014">
        <f>IF(DATOS!$G10014&lt;&gt;"EX",0,--(COUNTIFS(nNIA,DATOS!$A10014,nCURSO,DATOS!$D10014,nESPEC,DATOS!$E10014,nASIG,DATOS!$I10014,nEVAL,"OR")=0))</f>
      </c>
      <c r="I10014">
        <f>IF(DATOS!$I10014="","",IFERROR(VLOOKUP(DATOS!$I10014,CONFIG_ASIGNATURAS!$B$2:$J$91,9,FALSE()),""))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IF(DATOS!$A10015="",0,IF(CONFIG_METADATA!$B$4&lt;&gt;"OR+EX",--(DATOS!$G10015=CONFIG_METADATA!$B$4),IF(DATOS!$G10015="EX",1,IF(DATOS!$G10015="OR",--(COUNTIFS(nNIA,DATOS!$A10015,nCURSO,DATOS!$D10015,nESPEC,DATOS!$E10015,nASIG,DATOS!$I10015,nEVAL,"EX")=0),0))))</f>
      </c>
      <c r="H10015">
        <f>IF(DATOS!$G10015&lt;&gt;"EX",0,--(COUNTIFS(nNIA,DATOS!$A10015,nCURSO,DATOS!$D10015,nESPEC,DATOS!$E10015,nASIG,DATOS!$I10015,nEVAL,"OR")=0))</f>
      </c>
      <c r="I10015">
        <f>IF(DATOS!$I10015="","",IFERROR(VLOOKUP(DATOS!$I10015,CONFIG_ASIGNATURAS!$B$2:$J$91,9,FALSE()),""))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IF(DATOS!$A10016="",0,IF(CONFIG_METADATA!$B$4&lt;&gt;"OR+EX",--(DATOS!$G10016=CONFIG_METADATA!$B$4),IF(DATOS!$G10016="EX",1,IF(DATOS!$G10016="OR",--(COUNTIFS(nNIA,DATOS!$A10016,nCURSO,DATOS!$D10016,nESPEC,DATOS!$E10016,nASIG,DATOS!$I10016,nEVAL,"EX")=0),0))))</f>
      </c>
      <c r="H10016">
        <f>IF(DATOS!$G10016&lt;&gt;"EX",0,--(COUNTIFS(nNIA,DATOS!$A10016,nCURSO,DATOS!$D10016,nESPEC,DATOS!$E10016,nASIG,DATOS!$I10016,nEVAL,"OR")=0))</f>
      </c>
      <c r="I10016">
        <f>IF(DATOS!$I10016="","",IFERROR(VLOOKUP(DATOS!$I10016,CONFIG_ASIGNATURAS!$B$2:$J$91,9,FALSE()),""))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IF(DATOS!$A10017="",0,IF(CONFIG_METADATA!$B$4&lt;&gt;"OR+EX",--(DATOS!$G10017=CONFIG_METADATA!$B$4),IF(DATOS!$G10017="EX",1,IF(DATOS!$G10017="OR",--(COUNTIFS(nNIA,DATOS!$A10017,nCURSO,DATOS!$D10017,nESPEC,DATOS!$E10017,nASIG,DATOS!$I10017,nEVAL,"EX")=0),0))))</f>
      </c>
      <c r="H10017">
        <f>IF(DATOS!$G10017&lt;&gt;"EX",0,--(COUNTIFS(nNIA,DATOS!$A10017,nCURSO,DATOS!$D10017,nESPEC,DATOS!$E10017,nASIG,DATOS!$I10017,nEVAL,"OR")=0))</f>
      </c>
      <c r="I10017">
        <f>IF(DATOS!$I10017="","",IFERROR(VLOOKUP(DATOS!$I10017,CONFIG_ASIGNATURAS!$B$2:$J$91,9,FALSE()),""))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IF(DATOS!$A10018="",0,IF(CONFIG_METADATA!$B$4&lt;&gt;"OR+EX",--(DATOS!$G10018=CONFIG_METADATA!$B$4),IF(DATOS!$G10018="EX",1,IF(DATOS!$G10018="OR",--(COUNTIFS(nNIA,DATOS!$A10018,nCURSO,DATOS!$D10018,nESPEC,DATOS!$E10018,nASIG,DATOS!$I10018,nEVAL,"EX")=0),0))))</f>
      </c>
      <c r="H10018">
        <f>IF(DATOS!$G10018&lt;&gt;"EX",0,--(COUNTIFS(nNIA,DATOS!$A10018,nCURSO,DATOS!$D10018,nESPEC,DATOS!$E10018,nASIG,DATOS!$I10018,nEVAL,"OR")=0))</f>
      </c>
      <c r="I10018">
        <f>IF(DATOS!$I10018="","",IFERROR(VLOOKUP(DATOS!$I10018,CONFIG_ASIGNATURAS!$B$2:$J$91,9,FALSE()),""))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IF(DATOS!$A10019="",0,IF(CONFIG_METADATA!$B$4&lt;&gt;"OR+EX",--(DATOS!$G10019=CONFIG_METADATA!$B$4),IF(DATOS!$G10019="EX",1,IF(DATOS!$G10019="OR",--(COUNTIFS(nNIA,DATOS!$A10019,nCURSO,DATOS!$D10019,nESPEC,DATOS!$E10019,nASIG,DATOS!$I10019,nEVAL,"EX")=0),0))))</f>
      </c>
      <c r="H10019">
        <f>IF(DATOS!$G10019&lt;&gt;"EX",0,--(COUNTIFS(nNIA,DATOS!$A10019,nCURSO,DATOS!$D10019,nESPEC,DATOS!$E10019,nASIG,DATOS!$I10019,nEVAL,"OR")=0))</f>
      </c>
      <c r="I10019">
        <f>IF(DATOS!$I10019="","",IFERROR(VLOOKUP(DATOS!$I10019,CONFIG_ASIGNATURAS!$B$2:$J$91,9,FALSE()),""))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IF(DATOS!$A10020="",0,IF(CONFIG_METADATA!$B$4&lt;&gt;"OR+EX",--(DATOS!$G10020=CONFIG_METADATA!$B$4),IF(DATOS!$G10020="EX",1,IF(DATOS!$G10020="OR",--(COUNTIFS(nNIA,DATOS!$A10020,nCURSO,DATOS!$D10020,nESPEC,DATOS!$E10020,nASIG,DATOS!$I10020,nEVAL,"EX")=0),0))))</f>
      </c>
      <c r="H10020">
        <f>IF(DATOS!$G10020&lt;&gt;"EX",0,--(COUNTIFS(nNIA,DATOS!$A10020,nCURSO,DATOS!$D10020,nESPEC,DATOS!$E10020,nASIG,DATOS!$I10020,nEVAL,"OR")=0))</f>
      </c>
      <c r="I10020">
        <f>IF(DATOS!$I10020="","",IFERROR(VLOOKUP(DATOS!$I10020,CONFIG_ASIGNATURAS!$B$2:$J$91,9,FALSE()),""))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IF(DATOS!$A10021="",0,IF(CONFIG_METADATA!$B$4&lt;&gt;"OR+EX",--(DATOS!$G10021=CONFIG_METADATA!$B$4),IF(DATOS!$G10021="EX",1,IF(DATOS!$G10021="OR",--(COUNTIFS(nNIA,DATOS!$A10021,nCURSO,DATOS!$D10021,nESPEC,DATOS!$E10021,nASIG,DATOS!$I10021,nEVAL,"EX")=0),0))))</f>
      </c>
      <c r="H10021">
        <f>IF(DATOS!$G10021&lt;&gt;"EX",0,--(COUNTIFS(nNIA,DATOS!$A10021,nCURSO,DATOS!$D10021,nESPEC,DATOS!$E10021,nASIG,DATOS!$I10021,nEVAL,"OR")=0))</f>
      </c>
      <c r="I10021">
        <f>IF(DATOS!$I10021="","",IFERROR(VLOOKUP(DATOS!$I10021,CONFIG_ASIGNATURAS!$B$2:$J$91,9,FALSE()),""))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IF(DATOS!$A10022="",0,IF(CONFIG_METADATA!$B$4&lt;&gt;"OR+EX",--(DATOS!$G10022=CONFIG_METADATA!$B$4),IF(DATOS!$G10022="EX",1,IF(DATOS!$G10022="OR",--(COUNTIFS(nNIA,DATOS!$A10022,nCURSO,DATOS!$D10022,nESPEC,DATOS!$E10022,nASIG,DATOS!$I10022,nEVAL,"EX")=0),0))))</f>
      </c>
      <c r="H10022">
        <f>IF(DATOS!$G10022&lt;&gt;"EX",0,--(COUNTIFS(nNIA,DATOS!$A10022,nCURSO,DATOS!$D10022,nESPEC,DATOS!$E10022,nASIG,DATOS!$I10022,nEVAL,"OR")=0))</f>
      </c>
      <c r="I10022">
        <f>IF(DATOS!$I10022="","",IFERROR(VLOOKUP(DATOS!$I10022,CONFIG_ASIGNATURAS!$B$2:$J$91,9,FALSE()),""))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IF(DATOS!$A10023="",0,IF(CONFIG_METADATA!$B$4&lt;&gt;"OR+EX",--(DATOS!$G10023=CONFIG_METADATA!$B$4),IF(DATOS!$G10023="EX",1,IF(DATOS!$G10023="OR",--(COUNTIFS(nNIA,DATOS!$A10023,nCURSO,DATOS!$D10023,nESPEC,DATOS!$E10023,nASIG,DATOS!$I10023,nEVAL,"EX")=0),0))))</f>
      </c>
      <c r="H10023">
        <f>IF(DATOS!$G10023&lt;&gt;"EX",0,--(COUNTIFS(nNIA,DATOS!$A10023,nCURSO,DATOS!$D10023,nESPEC,DATOS!$E10023,nASIG,DATOS!$I10023,nEVAL,"OR")=0))</f>
      </c>
      <c r="I10023">
        <f>IF(DATOS!$I10023="","",IFERROR(VLOOKUP(DATOS!$I10023,CONFIG_ASIGNATURAS!$B$2:$J$91,9,FALSE()),""))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IF(DATOS!$A10024="",0,IF(CONFIG_METADATA!$B$4&lt;&gt;"OR+EX",--(DATOS!$G10024=CONFIG_METADATA!$B$4),IF(DATOS!$G10024="EX",1,IF(DATOS!$G10024="OR",--(COUNTIFS(nNIA,DATOS!$A10024,nCURSO,DATOS!$D10024,nESPEC,DATOS!$E10024,nASIG,DATOS!$I10024,nEVAL,"EX")=0),0))))</f>
      </c>
      <c r="H10024">
        <f>IF(DATOS!$G10024&lt;&gt;"EX",0,--(COUNTIFS(nNIA,DATOS!$A10024,nCURSO,DATOS!$D10024,nESPEC,DATOS!$E10024,nASIG,DATOS!$I10024,nEVAL,"OR")=0))</f>
      </c>
      <c r="I10024">
        <f>IF(DATOS!$I10024="","",IFERROR(VLOOKUP(DATOS!$I10024,CONFIG_ASIGNATURAS!$B$2:$J$91,9,FALSE()),""))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IF(DATOS!$A10025="",0,IF(CONFIG_METADATA!$B$4&lt;&gt;"OR+EX",--(DATOS!$G10025=CONFIG_METADATA!$B$4),IF(DATOS!$G10025="EX",1,IF(DATOS!$G10025="OR",--(COUNTIFS(nNIA,DATOS!$A10025,nCURSO,DATOS!$D10025,nESPEC,DATOS!$E10025,nASIG,DATOS!$I10025,nEVAL,"EX")=0),0))))</f>
      </c>
      <c r="H10025">
        <f>IF(DATOS!$G10025&lt;&gt;"EX",0,--(COUNTIFS(nNIA,DATOS!$A10025,nCURSO,DATOS!$D10025,nESPEC,DATOS!$E10025,nASIG,DATOS!$I10025,nEVAL,"OR")=0))</f>
      </c>
      <c r="I10025">
        <f>IF(DATOS!$I10025="","",IFERROR(VLOOKUP(DATOS!$I10025,CONFIG_ASIGNATURAS!$B$2:$J$91,9,FALSE()),""))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IF(DATOS!$A10026="",0,IF(CONFIG_METADATA!$B$4&lt;&gt;"OR+EX",--(DATOS!$G10026=CONFIG_METADATA!$B$4),IF(DATOS!$G10026="EX",1,IF(DATOS!$G10026="OR",--(COUNTIFS(nNIA,DATOS!$A10026,nCURSO,DATOS!$D10026,nESPEC,DATOS!$E10026,nASIG,DATOS!$I10026,nEVAL,"EX")=0),0))))</f>
      </c>
      <c r="H10026">
        <f>IF(DATOS!$G10026&lt;&gt;"EX",0,--(COUNTIFS(nNIA,DATOS!$A10026,nCURSO,DATOS!$D10026,nESPEC,DATOS!$E10026,nASIG,DATOS!$I10026,nEVAL,"OR")=0))</f>
      </c>
      <c r="I10026">
        <f>IF(DATOS!$I10026="","",IFERROR(VLOOKUP(DATOS!$I10026,CONFIG_ASIGNATURAS!$B$2:$J$91,9,FALSE()),""))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IF(DATOS!$A10027="",0,IF(CONFIG_METADATA!$B$4&lt;&gt;"OR+EX",--(DATOS!$G10027=CONFIG_METADATA!$B$4),IF(DATOS!$G10027="EX",1,IF(DATOS!$G10027="OR",--(COUNTIFS(nNIA,DATOS!$A10027,nCURSO,DATOS!$D10027,nESPEC,DATOS!$E10027,nASIG,DATOS!$I10027,nEVAL,"EX")=0),0))))</f>
      </c>
      <c r="H10027">
        <f>IF(DATOS!$G10027&lt;&gt;"EX",0,--(COUNTIFS(nNIA,DATOS!$A10027,nCURSO,DATOS!$D10027,nESPEC,DATOS!$E10027,nASIG,DATOS!$I10027,nEVAL,"OR")=0))</f>
      </c>
      <c r="I10027">
        <f>IF(DATOS!$I10027="","",IFERROR(VLOOKUP(DATOS!$I10027,CONFIG_ASIGNATURAS!$B$2:$J$91,9,FALSE()),""))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IF(DATOS!$A10028="",0,IF(CONFIG_METADATA!$B$4&lt;&gt;"OR+EX",--(DATOS!$G10028=CONFIG_METADATA!$B$4),IF(DATOS!$G10028="EX",1,IF(DATOS!$G10028="OR",--(COUNTIFS(nNIA,DATOS!$A10028,nCURSO,DATOS!$D10028,nESPEC,DATOS!$E10028,nASIG,DATOS!$I10028,nEVAL,"EX")=0),0))))</f>
      </c>
      <c r="H10028">
        <f>IF(DATOS!$G10028&lt;&gt;"EX",0,--(COUNTIFS(nNIA,DATOS!$A10028,nCURSO,DATOS!$D10028,nESPEC,DATOS!$E10028,nASIG,DATOS!$I10028,nEVAL,"OR")=0))</f>
      </c>
      <c r="I10028">
        <f>IF(DATOS!$I10028="","",IFERROR(VLOOKUP(DATOS!$I10028,CONFIG_ASIGNATURAS!$B$2:$J$91,9,FALSE()),""))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IF(DATOS!$A10029="",0,IF(CONFIG_METADATA!$B$4&lt;&gt;"OR+EX",--(DATOS!$G10029=CONFIG_METADATA!$B$4),IF(DATOS!$G10029="EX",1,IF(DATOS!$G10029="OR",--(COUNTIFS(nNIA,DATOS!$A10029,nCURSO,DATOS!$D10029,nESPEC,DATOS!$E10029,nASIG,DATOS!$I10029,nEVAL,"EX")=0),0))))</f>
      </c>
      <c r="H10029">
        <f>IF(DATOS!$G10029&lt;&gt;"EX",0,--(COUNTIFS(nNIA,DATOS!$A10029,nCURSO,DATOS!$D10029,nESPEC,DATOS!$E10029,nASIG,DATOS!$I10029,nEVAL,"OR")=0))</f>
      </c>
      <c r="I10029">
        <f>IF(DATOS!$I10029="","",IFERROR(VLOOKUP(DATOS!$I10029,CONFIG_ASIGNATURAS!$B$2:$J$91,9,FALSE()),""))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IF(DATOS!$A10030="",0,IF(CONFIG_METADATA!$B$4&lt;&gt;"OR+EX",--(DATOS!$G10030=CONFIG_METADATA!$B$4),IF(DATOS!$G10030="EX",1,IF(DATOS!$G10030="OR",--(COUNTIFS(nNIA,DATOS!$A10030,nCURSO,DATOS!$D10030,nESPEC,DATOS!$E10030,nASIG,DATOS!$I10030,nEVAL,"EX")=0),0))))</f>
      </c>
      <c r="H10030">
        <f>IF(DATOS!$G10030&lt;&gt;"EX",0,--(COUNTIFS(nNIA,DATOS!$A10030,nCURSO,DATOS!$D10030,nESPEC,DATOS!$E10030,nASIG,DATOS!$I10030,nEVAL,"OR")=0))</f>
      </c>
      <c r="I10030">
        <f>IF(DATOS!$I10030="","",IFERROR(VLOOKUP(DATOS!$I10030,CONFIG_ASIGNATURAS!$B$2:$J$91,9,FALSE()),""))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IF(DATOS!$A10031="",0,IF(CONFIG_METADATA!$B$4&lt;&gt;"OR+EX",--(DATOS!$G10031=CONFIG_METADATA!$B$4),IF(DATOS!$G10031="EX",1,IF(DATOS!$G10031="OR",--(COUNTIFS(nNIA,DATOS!$A10031,nCURSO,DATOS!$D10031,nESPEC,DATOS!$E10031,nASIG,DATOS!$I10031,nEVAL,"EX")=0),0))))</f>
      </c>
      <c r="H10031">
        <f>IF(DATOS!$G10031&lt;&gt;"EX",0,--(COUNTIFS(nNIA,DATOS!$A10031,nCURSO,DATOS!$D10031,nESPEC,DATOS!$E10031,nASIG,DATOS!$I10031,nEVAL,"OR")=0))</f>
      </c>
      <c r="I10031">
        <f>IF(DATOS!$I10031="","",IFERROR(VLOOKUP(DATOS!$I10031,CONFIG_ASIGNATURAS!$B$2:$J$91,9,FALSE()),""))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IF(DATOS!$A10032="",0,IF(CONFIG_METADATA!$B$4&lt;&gt;"OR+EX",--(DATOS!$G10032=CONFIG_METADATA!$B$4),IF(DATOS!$G10032="EX",1,IF(DATOS!$G10032="OR",--(COUNTIFS(nNIA,DATOS!$A10032,nCURSO,DATOS!$D10032,nESPEC,DATOS!$E10032,nASIG,DATOS!$I10032,nEVAL,"EX")=0),0))))</f>
      </c>
      <c r="H10032">
        <f>IF(DATOS!$G10032&lt;&gt;"EX",0,--(COUNTIFS(nNIA,DATOS!$A10032,nCURSO,DATOS!$D10032,nESPEC,DATOS!$E10032,nASIG,DATOS!$I10032,nEVAL,"OR")=0))</f>
      </c>
      <c r="I10032">
        <f>IF(DATOS!$I10032="","",IFERROR(VLOOKUP(DATOS!$I10032,CONFIG_ASIGNATURAS!$B$2:$J$91,9,FALSE()),""))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IF(DATOS!$A10033="",0,IF(CONFIG_METADATA!$B$4&lt;&gt;"OR+EX",--(DATOS!$G10033=CONFIG_METADATA!$B$4),IF(DATOS!$G10033="EX",1,IF(DATOS!$G10033="OR",--(COUNTIFS(nNIA,DATOS!$A10033,nCURSO,DATOS!$D10033,nESPEC,DATOS!$E10033,nASIG,DATOS!$I10033,nEVAL,"EX")=0),0))))</f>
      </c>
      <c r="H10033">
        <f>IF(DATOS!$G10033&lt;&gt;"EX",0,--(COUNTIFS(nNIA,DATOS!$A10033,nCURSO,DATOS!$D10033,nESPEC,DATOS!$E10033,nASIG,DATOS!$I10033,nEVAL,"OR")=0))</f>
      </c>
      <c r="I10033">
        <f>IF(DATOS!$I10033="","",IFERROR(VLOOKUP(DATOS!$I10033,CONFIG_ASIGNATURAS!$B$2:$J$91,9,FALSE()),""))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IF(DATOS!$A10034="",0,IF(CONFIG_METADATA!$B$4&lt;&gt;"OR+EX",--(DATOS!$G10034=CONFIG_METADATA!$B$4),IF(DATOS!$G10034="EX",1,IF(DATOS!$G10034="OR",--(COUNTIFS(nNIA,DATOS!$A10034,nCURSO,DATOS!$D10034,nESPEC,DATOS!$E10034,nASIG,DATOS!$I10034,nEVAL,"EX")=0),0))))</f>
      </c>
      <c r="H10034">
        <f>IF(DATOS!$G10034&lt;&gt;"EX",0,--(COUNTIFS(nNIA,DATOS!$A10034,nCURSO,DATOS!$D10034,nESPEC,DATOS!$E10034,nASIG,DATOS!$I10034,nEVAL,"OR")=0))</f>
      </c>
      <c r="I10034">
        <f>IF(DATOS!$I10034="","",IFERROR(VLOOKUP(DATOS!$I10034,CONFIG_ASIGNATURAS!$B$2:$J$91,9,FALSE()),""))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IF(DATOS!$A10035="",0,IF(CONFIG_METADATA!$B$4&lt;&gt;"OR+EX",--(DATOS!$G10035=CONFIG_METADATA!$B$4),IF(DATOS!$G10035="EX",1,IF(DATOS!$G10035="OR",--(COUNTIFS(nNIA,DATOS!$A10035,nCURSO,DATOS!$D10035,nESPEC,DATOS!$E10035,nASIG,DATOS!$I10035,nEVAL,"EX")=0),0))))</f>
      </c>
      <c r="H10035">
        <f>IF(DATOS!$G10035&lt;&gt;"EX",0,--(COUNTIFS(nNIA,DATOS!$A10035,nCURSO,DATOS!$D10035,nESPEC,DATOS!$E10035,nASIG,DATOS!$I10035,nEVAL,"OR")=0))</f>
      </c>
      <c r="I10035">
        <f>IF(DATOS!$I10035="","",IFERROR(VLOOKUP(DATOS!$I10035,CONFIG_ASIGNATURAS!$B$2:$J$91,9,FALSE()),""))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IF(DATOS!$A10036="",0,IF(CONFIG_METADATA!$B$4&lt;&gt;"OR+EX",--(DATOS!$G10036=CONFIG_METADATA!$B$4),IF(DATOS!$G10036="EX",1,IF(DATOS!$G10036="OR",--(COUNTIFS(nNIA,DATOS!$A10036,nCURSO,DATOS!$D10036,nESPEC,DATOS!$E10036,nASIG,DATOS!$I10036,nEVAL,"EX")=0),0))))</f>
      </c>
      <c r="H10036">
        <f>IF(DATOS!$G10036&lt;&gt;"EX",0,--(COUNTIFS(nNIA,DATOS!$A10036,nCURSO,DATOS!$D10036,nESPEC,DATOS!$E10036,nASIG,DATOS!$I10036,nEVAL,"OR")=0))</f>
      </c>
      <c r="I10036">
        <f>IF(DATOS!$I10036="","",IFERROR(VLOOKUP(DATOS!$I10036,CONFIG_ASIGNATURAS!$B$2:$J$91,9,FALSE()),""))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IF(DATOS!$A10037="",0,IF(CONFIG_METADATA!$B$4&lt;&gt;"OR+EX",--(DATOS!$G10037=CONFIG_METADATA!$B$4),IF(DATOS!$G10037="EX",1,IF(DATOS!$G10037="OR",--(COUNTIFS(nNIA,DATOS!$A10037,nCURSO,DATOS!$D10037,nESPEC,DATOS!$E10037,nASIG,DATOS!$I10037,nEVAL,"EX")=0),0))))</f>
      </c>
      <c r="H10037">
        <f>IF(DATOS!$G10037&lt;&gt;"EX",0,--(COUNTIFS(nNIA,DATOS!$A10037,nCURSO,DATOS!$D10037,nESPEC,DATOS!$E10037,nASIG,DATOS!$I10037,nEVAL,"OR")=0))</f>
      </c>
      <c r="I10037">
        <f>IF(DATOS!$I10037="","",IFERROR(VLOOKUP(DATOS!$I10037,CONFIG_ASIGNATURAS!$B$2:$J$91,9,FALSE()),""))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IF(DATOS!$A10038="",0,IF(CONFIG_METADATA!$B$4&lt;&gt;"OR+EX",--(DATOS!$G10038=CONFIG_METADATA!$B$4),IF(DATOS!$G10038="EX",1,IF(DATOS!$G10038="OR",--(COUNTIFS(nNIA,DATOS!$A10038,nCURSO,DATOS!$D10038,nESPEC,DATOS!$E10038,nASIG,DATOS!$I10038,nEVAL,"EX")=0),0))))</f>
      </c>
      <c r="H10038">
        <f>IF(DATOS!$G10038&lt;&gt;"EX",0,--(COUNTIFS(nNIA,DATOS!$A10038,nCURSO,DATOS!$D10038,nESPEC,DATOS!$E10038,nASIG,DATOS!$I10038,nEVAL,"OR")=0))</f>
      </c>
      <c r="I10038">
        <f>IF(DATOS!$I10038="","",IFERROR(VLOOKUP(DATOS!$I10038,CONFIG_ASIGNATURAS!$B$2:$J$91,9,FALSE()),""))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IF(DATOS!$A10039="",0,IF(CONFIG_METADATA!$B$4&lt;&gt;"OR+EX",--(DATOS!$G10039=CONFIG_METADATA!$B$4),IF(DATOS!$G10039="EX",1,IF(DATOS!$G10039="OR",--(COUNTIFS(nNIA,DATOS!$A10039,nCURSO,DATOS!$D10039,nESPEC,DATOS!$E10039,nASIG,DATOS!$I10039,nEVAL,"EX")=0),0))))</f>
      </c>
      <c r="H10039">
        <f>IF(DATOS!$G10039&lt;&gt;"EX",0,--(COUNTIFS(nNIA,DATOS!$A10039,nCURSO,DATOS!$D10039,nESPEC,DATOS!$E10039,nASIG,DATOS!$I10039,nEVAL,"OR")=0))</f>
      </c>
      <c r="I10039">
        <f>IF(DATOS!$I10039="","",IFERROR(VLOOKUP(DATOS!$I10039,CONFIG_ASIGNATURAS!$B$2:$J$91,9,FALSE()),""))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IF(DATOS!$A10040="",0,IF(CONFIG_METADATA!$B$4&lt;&gt;"OR+EX",--(DATOS!$G10040=CONFIG_METADATA!$B$4),IF(DATOS!$G10040="EX",1,IF(DATOS!$G10040="OR",--(COUNTIFS(nNIA,DATOS!$A10040,nCURSO,DATOS!$D10040,nESPEC,DATOS!$E10040,nASIG,DATOS!$I10040,nEVAL,"EX")=0),0))))</f>
      </c>
      <c r="H10040">
        <f>IF(DATOS!$G10040&lt;&gt;"EX",0,--(COUNTIFS(nNIA,DATOS!$A10040,nCURSO,DATOS!$D10040,nESPEC,DATOS!$E10040,nASIG,DATOS!$I10040,nEVAL,"OR")=0))</f>
      </c>
      <c r="I10040">
        <f>IF(DATOS!$I10040="","",IFERROR(VLOOKUP(DATOS!$I10040,CONFIG_ASIGNATURAS!$B$2:$J$91,9,FALSE()),""))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IF(DATOS!$A10041="",0,IF(CONFIG_METADATA!$B$4&lt;&gt;"OR+EX",--(DATOS!$G10041=CONFIG_METADATA!$B$4),IF(DATOS!$G10041="EX",1,IF(DATOS!$G10041="OR",--(COUNTIFS(nNIA,DATOS!$A10041,nCURSO,DATOS!$D10041,nESPEC,DATOS!$E10041,nASIG,DATOS!$I10041,nEVAL,"EX")=0),0))))</f>
      </c>
      <c r="H10041">
        <f>IF(DATOS!$G10041&lt;&gt;"EX",0,--(COUNTIFS(nNIA,DATOS!$A10041,nCURSO,DATOS!$D10041,nESPEC,DATOS!$E10041,nASIG,DATOS!$I10041,nEVAL,"OR")=0))</f>
      </c>
      <c r="I10041">
        <f>IF(DATOS!$I10041="","",IFERROR(VLOOKUP(DATOS!$I10041,CONFIG_ASIGNATURAS!$B$2:$J$91,9,FALSE()),""))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IF(DATOS!$A10042="",0,IF(CONFIG_METADATA!$B$4&lt;&gt;"OR+EX",--(DATOS!$G10042=CONFIG_METADATA!$B$4),IF(DATOS!$G10042="EX",1,IF(DATOS!$G10042="OR",--(COUNTIFS(nNIA,DATOS!$A10042,nCURSO,DATOS!$D10042,nESPEC,DATOS!$E10042,nASIG,DATOS!$I10042,nEVAL,"EX")=0),0))))</f>
      </c>
      <c r="H10042">
        <f>IF(DATOS!$G10042&lt;&gt;"EX",0,--(COUNTIFS(nNIA,DATOS!$A10042,nCURSO,DATOS!$D10042,nESPEC,DATOS!$E10042,nASIG,DATOS!$I10042,nEVAL,"OR")=0))</f>
      </c>
      <c r="I10042">
        <f>IF(DATOS!$I10042="","",IFERROR(VLOOKUP(DATOS!$I10042,CONFIG_ASIGNATURAS!$B$2:$J$91,9,FALSE()),""))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IF(DATOS!$A10043="",0,IF(CONFIG_METADATA!$B$4&lt;&gt;"OR+EX",--(DATOS!$G10043=CONFIG_METADATA!$B$4),IF(DATOS!$G10043="EX",1,IF(DATOS!$G10043="OR",--(COUNTIFS(nNIA,DATOS!$A10043,nCURSO,DATOS!$D10043,nESPEC,DATOS!$E10043,nASIG,DATOS!$I10043,nEVAL,"EX")=0),0))))</f>
      </c>
      <c r="H10043">
        <f>IF(DATOS!$G10043&lt;&gt;"EX",0,--(COUNTIFS(nNIA,DATOS!$A10043,nCURSO,DATOS!$D10043,nESPEC,DATOS!$E10043,nASIG,DATOS!$I10043,nEVAL,"OR")=0))</f>
      </c>
      <c r="I10043">
        <f>IF(DATOS!$I10043="","",IFERROR(VLOOKUP(DATOS!$I10043,CONFIG_ASIGNATURAS!$B$2:$J$91,9,FALSE()),""))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IF(DATOS!$A10044="",0,IF(CONFIG_METADATA!$B$4&lt;&gt;"OR+EX",--(DATOS!$G10044=CONFIG_METADATA!$B$4),IF(DATOS!$G10044="EX",1,IF(DATOS!$G10044="OR",--(COUNTIFS(nNIA,DATOS!$A10044,nCURSO,DATOS!$D10044,nESPEC,DATOS!$E10044,nASIG,DATOS!$I10044,nEVAL,"EX")=0),0))))</f>
      </c>
      <c r="H10044">
        <f>IF(DATOS!$G10044&lt;&gt;"EX",0,--(COUNTIFS(nNIA,DATOS!$A10044,nCURSO,DATOS!$D10044,nESPEC,DATOS!$E10044,nASIG,DATOS!$I10044,nEVAL,"OR")=0))</f>
      </c>
      <c r="I10044">
        <f>IF(DATOS!$I10044="","",IFERROR(VLOOKUP(DATOS!$I10044,CONFIG_ASIGNATURAS!$B$2:$J$91,9,FALSE()),""))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IF(DATOS!$A10045="",0,IF(CONFIG_METADATA!$B$4&lt;&gt;"OR+EX",--(DATOS!$G10045=CONFIG_METADATA!$B$4),IF(DATOS!$G10045="EX",1,IF(DATOS!$G10045="OR",--(COUNTIFS(nNIA,DATOS!$A10045,nCURSO,DATOS!$D10045,nESPEC,DATOS!$E10045,nASIG,DATOS!$I10045,nEVAL,"EX")=0),0))))</f>
      </c>
      <c r="H10045">
        <f>IF(DATOS!$G10045&lt;&gt;"EX",0,--(COUNTIFS(nNIA,DATOS!$A10045,nCURSO,DATOS!$D10045,nESPEC,DATOS!$E10045,nASIG,DATOS!$I10045,nEVAL,"OR")=0))</f>
      </c>
      <c r="I10045">
        <f>IF(DATOS!$I10045="","",IFERROR(VLOOKUP(DATOS!$I10045,CONFIG_ASIGNATURAS!$B$2:$J$91,9,FALSE()),""))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IF(DATOS!$A10046="",0,IF(CONFIG_METADATA!$B$4&lt;&gt;"OR+EX",--(DATOS!$G10046=CONFIG_METADATA!$B$4),IF(DATOS!$G10046="EX",1,IF(DATOS!$G10046="OR",--(COUNTIFS(nNIA,DATOS!$A10046,nCURSO,DATOS!$D10046,nESPEC,DATOS!$E10046,nASIG,DATOS!$I10046,nEVAL,"EX")=0),0))))</f>
      </c>
      <c r="H10046">
        <f>IF(DATOS!$G10046&lt;&gt;"EX",0,--(COUNTIFS(nNIA,DATOS!$A10046,nCURSO,DATOS!$D10046,nESPEC,DATOS!$E10046,nASIG,DATOS!$I10046,nEVAL,"OR")=0))</f>
      </c>
      <c r="I10046">
        <f>IF(DATOS!$I10046="","",IFERROR(VLOOKUP(DATOS!$I10046,CONFIG_ASIGNATURAS!$B$2:$J$91,9,FALSE()),""))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IF(DATOS!$A10047="",0,IF(CONFIG_METADATA!$B$4&lt;&gt;"OR+EX",--(DATOS!$G10047=CONFIG_METADATA!$B$4),IF(DATOS!$G10047="EX",1,IF(DATOS!$G10047="OR",--(COUNTIFS(nNIA,DATOS!$A10047,nCURSO,DATOS!$D10047,nESPEC,DATOS!$E10047,nASIG,DATOS!$I10047,nEVAL,"EX")=0),0))))</f>
      </c>
      <c r="H10047">
        <f>IF(DATOS!$G10047&lt;&gt;"EX",0,--(COUNTIFS(nNIA,DATOS!$A10047,nCURSO,DATOS!$D10047,nESPEC,DATOS!$E10047,nASIG,DATOS!$I10047,nEVAL,"OR")=0))</f>
      </c>
      <c r="I10047">
        <f>IF(DATOS!$I10047="","",IFERROR(VLOOKUP(DATOS!$I10047,CONFIG_ASIGNATURAS!$B$2:$J$91,9,FALSE()),""))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IF(DATOS!$A10048="",0,IF(CONFIG_METADATA!$B$4&lt;&gt;"OR+EX",--(DATOS!$G10048=CONFIG_METADATA!$B$4),IF(DATOS!$G10048="EX",1,IF(DATOS!$G10048="OR",--(COUNTIFS(nNIA,DATOS!$A10048,nCURSO,DATOS!$D10048,nESPEC,DATOS!$E10048,nASIG,DATOS!$I10048,nEVAL,"EX")=0),0))))</f>
      </c>
      <c r="H10048">
        <f>IF(DATOS!$G10048&lt;&gt;"EX",0,--(COUNTIFS(nNIA,DATOS!$A10048,nCURSO,DATOS!$D10048,nESPEC,DATOS!$E10048,nASIG,DATOS!$I10048,nEVAL,"OR")=0))</f>
      </c>
      <c r="I10048">
        <f>IF(DATOS!$I10048="","",IFERROR(VLOOKUP(DATOS!$I10048,CONFIG_ASIGNATURAS!$B$2:$J$91,9,FALSE()),""))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IF(DATOS!$A10049="",0,IF(CONFIG_METADATA!$B$4&lt;&gt;"OR+EX",--(DATOS!$G10049=CONFIG_METADATA!$B$4),IF(DATOS!$G10049="EX",1,IF(DATOS!$G10049="OR",--(COUNTIFS(nNIA,DATOS!$A10049,nCURSO,DATOS!$D10049,nESPEC,DATOS!$E10049,nASIG,DATOS!$I10049,nEVAL,"EX")=0),0))))</f>
      </c>
      <c r="H10049">
        <f>IF(DATOS!$G10049&lt;&gt;"EX",0,--(COUNTIFS(nNIA,DATOS!$A10049,nCURSO,DATOS!$D10049,nESPEC,DATOS!$E10049,nASIG,DATOS!$I10049,nEVAL,"OR")=0))</f>
      </c>
      <c r="I10049">
        <f>IF(DATOS!$I10049="","",IFERROR(VLOOKUP(DATOS!$I10049,CONFIG_ASIGNATURAS!$B$2:$J$91,9,FALSE()),""))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IF(DATOS!$A10050="",0,IF(CONFIG_METADATA!$B$4&lt;&gt;"OR+EX",--(DATOS!$G10050=CONFIG_METADATA!$B$4),IF(DATOS!$G10050="EX",1,IF(DATOS!$G10050="OR",--(COUNTIFS(nNIA,DATOS!$A10050,nCURSO,DATOS!$D10050,nESPEC,DATOS!$E10050,nASIG,DATOS!$I10050,nEVAL,"EX")=0),0))))</f>
      </c>
      <c r="H10050">
        <f>IF(DATOS!$G10050&lt;&gt;"EX",0,--(COUNTIFS(nNIA,DATOS!$A10050,nCURSO,DATOS!$D10050,nESPEC,DATOS!$E10050,nASIG,DATOS!$I10050,nEVAL,"OR")=0))</f>
      </c>
      <c r="I10050">
        <f>IF(DATOS!$I10050="","",IFERROR(VLOOKUP(DATOS!$I10050,CONFIG_ASIGNATURAS!$B$2:$J$91,9,FALSE()),""))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IF(DATOS!$A10051="",0,IF(CONFIG_METADATA!$B$4&lt;&gt;"OR+EX",--(DATOS!$G10051=CONFIG_METADATA!$B$4),IF(DATOS!$G10051="EX",1,IF(DATOS!$G10051="OR",--(COUNTIFS(nNIA,DATOS!$A10051,nCURSO,DATOS!$D10051,nESPEC,DATOS!$E10051,nASIG,DATOS!$I10051,nEVAL,"EX")=0),0))))</f>
      </c>
      <c r="H10051">
        <f>IF(DATOS!$G10051&lt;&gt;"EX",0,--(COUNTIFS(nNIA,DATOS!$A10051,nCURSO,DATOS!$D10051,nESPEC,DATOS!$E10051,nASIG,DATOS!$I10051,nEVAL,"OR")=0))</f>
      </c>
      <c r="I10051">
        <f>IF(DATOS!$I10051="","",IFERROR(VLOOKUP(DATOS!$I10051,CONFIG_ASIGNATURAS!$B$2:$J$91,9,FALSE()),""))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IF(DATOS!$A10052="",0,IF(CONFIG_METADATA!$B$4&lt;&gt;"OR+EX",--(DATOS!$G10052=CONFIG_METADATA!$B$4),IF(DATOS!$G10052="EX",1,IF(DATOS!$G10052="OR",--(COUNTIFS(nNIA,DATOS!$A10052,nCURSO,DATOS!$D10052,nESPEC,DATOS!$E10052,nASIG,DATOS!$I10052,nEVAL,"EX")=0),0))))</f>
      </c>
      <c r="H10052">
        <f>IF(DATOS!$G10052&lt;&gt;"EX",0,--(COUNTIFS(nNIA,DATOS!$A10052,nCURSO,DATOS!$D10052,nESPEC,DATOS!$E10052,nASIG,DATOS!$I10052,nEVAL,"OR")=0))</f>
      </c>
      <c r="I10052">
        <f>IF(DATOS!$I10052="","",IFERROR(VLOOKUP(DATOS!$I10052,CONFIG_ASIGNATURAS!$B$2:$J$91,9,FALSE()),""))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IF(DATOS!$A10053="",0,IF(CONFIG_METADATA!$B$4&lt;&gt;"OR+EX",--(DATOS!$G10053=CONFIG_METADATA!$B$4),IF(DATOS!$G10053="EX",1,IF(DATOS!$G10053="OR",--(COUNTIFS(nNIA,DATOS!$A10053,nCURSO,DATOS!$D10053,nESPEC,DATOS!$E10053,nASIG,DATOS!$I10053,nEVAL,"EX")=0),0))))</f>
      </c>
      <c r="H10053">
        <f>IF(DATOS!$G10053&lt;&gt;"EX",0,--(COUNTIFS(nNIA,DATOS!$A10053,nCURSO,DATOS!$D10053,nESPEC,DATOS!$E10053,nASIG,DATOS!$I10053,nEVAL,"OR")=0))</f>
      </c>
      <c r="I10053">
        <f>IF(DATOS!$I10053="","",IFERROR(VLOOKUP(DATOS!$I10053,CONFIG_ASIGNATURAS!$B$2:$J$91,9,FALSE()),""))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IF(DATOS!$A10054="",0,IF(CONFIG_METADATA!$B$4&lt;&gt;"OR+EX",--(DATOS!$G10054=CONFIG_METADATA!$B$4),IF(DATOS!$G10054="EX",1,IF(DATOS!$G10054="OR",--(COUNTIFS(nNIA,DATOS!$A10054,nCURSO,DATOS!$D10054,nESPEC,DATOS!$E10054,nASIG,DATOS!$I10054,nEVAL,"EX")=0),0))))</f>
      </c>
      <c r="H10054">
        <f>IF(DATOS!$G10054&lt;&gt;"EX",0,--(COUNTIFS(nNIA,DATOS!$A10054,nCURSO,DATOS!$D10054,nESPEC,DATOS!$E10054,nASIG,DATOS!$I10054,nEVAL,"OR")=0))</f>
      </c>
      <c r="I10054">
        <f>IF(DATOS!$I10054="","",IFERROR(VLOOKUP(DATOS!$I10054,CONFIG_ASIGNATURAS!$B$2:$J$91,9,FALSE()),""))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IF(DATOS!$A10055="",0,IF(CONFIG_METADATA!$B$4&lt;&gt;"OR+EX",--(DATOS!$G10055=CONFIG_METADATA!$B$4),IF(DATOS!$G10055="EX",1,IF(DATOS!$G10055="OR",--(COUNTIFS(nNIA,DATOS!$A10055,nCURSO,DATOS!$D10055,nESPEC,DATOS!$E10055,nASIG,DATOS!$I10055,nEVAL,"EX")=0),0))))</f>
      </c>
      <c r="H10055">
        <f>IF(DATOS!$G10055&lt;&gt;"EX",0,--(COUNTIFS(nNIA,DATOS!$A10055,nCURSO,DATOS!$D10055,nESPEC,DATOS!$E10055,nASIG,DATOS!$I10055,nEVAL,"OR")=0))</f>
      </c>
      <c r="I10055">
        <f>IF(DATOS!$I10055="","",IFERROR(VLOOKUP(DATOS!$I10055,CONFIG_ASIGNATURAS!$B$2:$J$91,9,FALSE()),""))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IF(DATOS!$A10056="",0,IF(CONFIG_METADATA!$B$4&lt;&gt;"OR+EX",--(DATOS!$G10056=CONFIG_METADATA!$B$4),IF(DATOS!$G10056="EX",1,IF(DATOS!$G10056="OR",--(COUNTIFS(nNIA,DATOS!$A10056,nCURSO,DATOS!$D10056,nESPEC,DATOS!$E10056,nASIG,DATOS!$I10056,nEVAL,"EX")=0),0))))</f>
      </c>
      <c r="H10056">
        <f>IF(DATOS!$G10056&lt;&gt;"EX",0,--(COUNTIFS(nNIA,DATOS!$A10056,nCURSO,DATOS!$D10056,nESPEC,DATOS!$E10056,nASIG,DATOS!$I10056,nEVAL,"OR")=0))</f>
      </c>
      <c r="I10056">
        <f>IF(DATOS!$I10056="","",IFERROR(VLOOKUP(DATOS!$I10056,CONFIG_ASIGNATURAS!$B$2:$J$91,9,FALSE()),""))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IF(DATOS!$A10057="",0,IF(CONFIG_METADATA!$B$4&lt;&gt;"OR+EX",--(DATOS!$G10057=CONFIG_METADATA!$B$4),IF(DATOS!$G10057="EX",1,IF(DATOS!$G10057="OR",--(COUNTIFS(nNIA,DATOS!$A10057,nCURSO,DATOS!$D10057,nESPEC,DATOS!$E10057,nASIG,DATOS!$I10057,nEVAL,"EX")=0),0))))</f>
      </c>
      <c r="H10057">
        <f>IF(DATOS!$G10057&lt;&gt;"EX",0,--(COUNTIFS(nNIA,DATOS!$A10057,nCURSO,DATOS!$D10057,nESPEC,DATOS!$E10057,nASIG,DATOS!$I10057,nEVAL,"OR")=0))</f>
      </c>
      <c r="I10057">
        <f>IF(DATOS!$I10057="","",IFERROR(VLOOKUP(DATOS!$I10057,CONFIG_ASIGNATURAS!$B$2:$J$91,9,FALSE()),""))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IF(DATOS!$A10058="",0,IF(CONFIG_METADATA!$B$4&lt;&gt;"OR+EX",--(DATOS!$G10058=CONFIG_METADATA!$B$4),IF(DATOS!$G10058="EX",1,IF(DATOS!$G10058="OR",--(COUNTIFS(nNIA,DATOS!$A10058,nCURSO,DATOS!$D10058,nESPEC,DATOS!$E10058,nASIG,DATOS!$I10058,nEVAL,"EX")=0),0))))</f>
      </c>
      <c r="H10058">
        <f>IF(DATOS!$G10058&lt;&gt;"EX",0,--(COUNTIFS(nNIA,DATOS!$A10058,nCURSO,DATOS!$D10058,nESPEC,DATOS!$E10058,nASIG,DATOS!$I10058,nEVAL,"OR")=0))</f>
      </c>
      <c r="I10058">
        <f>IF(DATOS!$I10058="","",IFERROR(VLOOKUP(DATOS!$I10058,CONFIG_ASIGNATURAS!$B$2:$J$91,9,FALSE()),""))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IF(DATOS!$A10059="",0,IF(CONFIG_METADATA!$B$4&lt;&gt;"OR+EX",--(DATOS!$G10059=CONFIG_METADATA!$B$4),IF(DATOS!$G10059="EX",1,IF(DATOS!$G10059="OR",--(COUNTIFS(nNIA,DATOS!$A10059,nCURSO,DATOS!$D10059,nESPEC,DATOS!$E10059,nASIG,DATOS!$I10059,nEVAL,"EX")=0),0))))</f>
      </c>
      <c r="H10059">
        <f>IF(DATOS!$G10059&lt;&gt;"EX",0,--(COUNTIFS(nNIA,DATOS!$A10059,nCURSO,DATOS!$D10059,nESPEC,DATOS!$E10059,nASIG,DATOS!$I10059,nEVAL,"OR")=0))</f>
      </c>
      <c r="I10059">
        <f>IF(DATOS!$I10059="","",IFERROR(VLOOKUP(DATOS!$I10059,CONFIG_ASIGNATURAS!$B$2:$J$91,9,FALSE()),""))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IF(DATOS!$A10060="",0,IF(CONFIG_METADATA!$B$4&lt;&gt;"OR+EX",--(DATOS!$G10060=CONFIG_METADATA!$B$4),IF(DATOS!$G10060="EX",1,IF(DATOS!$G10060="OR",--(COUNTIFS(nNIA,DATOS!$A10060,nCURSO,DATOS!$D10060,nESPEC,DATOS!$E10060,nASIG,DATOS!$I10060,nEVAL,"EX")=0),0))))</f>
      </c>
      <c r="H10060">
        <f>IF(DATOS!$G10060&lt;&gt;"EX",0,--(COUNTIFS(nNIA,DATOS!$A10060,nCURSO,DATOS!$D10060,nESPEC,DATOS!$E10060,nASIG,DATOS!$I10060,nEVAL,"OR")=0))</f>
      </c>
      <c r="I10060">
        <f>IF(DATOS!$I10060="","",IFERROR(VLOOKUP(DATOS!$I10060,CONFIG_ASIGNATURAS!$B$2:$J$91,9,FALSE()),""))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IF(DATOS!$A10061="",0,IF(CONFIG_METADATA!$B$4&lt;&gt;"OR+EX",--(DATOS!$G10061=CONFIG_METADATA!$B$4),IF(DATOS!$G10061="EX",1,IF(DATOS!$G10061="OR",--(COUNTIFS(nNIA,DATOS!$A10061,nCURSO,DATOS!$D10061,nESPEC,DATOS!$E10061,nASIG,DATOS!$I10061,nEVAL,"EX")=0),0))))</f>
      </c>
      <c r="H10061">
        <f>IF(DATOS!$G10061&lt;&gt;"EX",0,--(COUNTIFS(nNIA,DATOS!$A10061,nCURSO,DATOS!$D10061,nESPEC,DATOS!$E10061,nASIG,DATOS!$I10061,nEVAL,"OR")=0))</f>
      </c>
      <c r="I10061">
        <f>IF(DATOS!$I10061="","",IFERROR(VLOOKUP(DATOS!$I10061,CONFIG_ASIGNATURAS!$B$2:$J$91,9,FALSE()),""))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IF(DATOS!$A10062="",0,IF(CONFIG_METADATA!$B$4&lt;&gt;"OR+EX",--(DATOS!$G10062=CONFIG_METADATA!$B$4),IF(DATOS!$G10062="EX",1,IF(DATOS!$G10062="OR",--(COUNTIFS(nNIA,DATOS!$A10062,nCURSO,DATOS!$D10062,nESPEC,DATOS!$E10062,nASIG,DATOS!$I10062,nEVAL,"EX")=0),0))))</f>
      </c>
      <c r="H10062">
        <f>IF(DATOS!$G10062&lt;&gt;"EX",0,--(COUNTIFS(nNIA,DATOS!$A10062,nCURSO,DATOS!$D10062,nESPEC,DATOS!$E10062,nASIG,DATOS!$I10062,nEVAL,"OR")=0))</f>
      </c>
      <c r="I10062">
        <f>IF(DATOS!$I10062="","",IFERROR(VLOOKUP(DATOS!$I10062,CONFIG_ASIGNATURAS!$B$2:$J$91,9,FALSE()),""))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IF(DATOS!$A10063="",0,IF(CONFIG_METADATA!$B$4&lt;&gt;"OR+EX",--(DATOS!$G10063=CONFIG_METADATA!$B$4),IF(DATOS!$G10063="EX",1,IF(DATOS!$G10063="OR",--(COUNTIFS(nNIA,DATOS!$A10063,nCURSO,DATOS!$D10063,nESPEC,DATOS!$E10063,nASIG,DATOS!$I10063,nEVAL,"EX")=0),0))))</f>
      </c>
      <c r="H10063">
        <f>IF(DATOS!$G10063&lt;&gt;"EX",0,--(COUNTIFS(nNIA,DATOS!$A10063,nCURSO,DATOS!$D10063,nESPEC,DATOS!$E10063,nASIG,DATOS!$I10063,nEVAL,"OR")=0))</f>
      </c>
      <c r="I10063">
        <f>IF(DATOS!$I10063="","",IFERROR(VLOOKUP(DATOS!$I10063,CONFIG_ASIGNATURAS!$B$2:$J$91,9,FALSE()),""))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IF(DATOS!$A10064="",0,IF(CONFIG_METADATA!$B$4&lt;&gt;"OR+EX",--(DATOS!$G10064=CONFIG_METADATA!$B$4),IF(DATOS!$G10064="EX",1,IF(DATOS!$G10064="OR",--(COUNTIFS(nNIA,DATOS!$A10064,nCURSO,DATOS!$D10064,nESPEC,DATOS!$E10064,nASIG,DATOS!$I10064,nEVAL,"EX")=0),0))))</f>
      </c>
      <c r="H10064">
        <f>IF(DATOS!$G10064&lt;&gt;"EX",0,--(COUNTIFS(nNIA,DATOS!$A10064,nCURSO,DATOS!$D10064,nESPEC,DATOS!$E10064,nASIG,DATOS!$I10064,nEVAL,"OR")=0))</f>
      </c>
      <c r="I10064">
        <f>IF(DATOS!$I10064="","",IFERROR(VLOOKUP(DATOS!$I10064,CONFIG_ASIGNATURAS!$B$2:$J$91,9,FALSE()),""))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IF(DATOS!$A10065="",0,IF(CONFIG_METADATA!$B$4&lt;&gt;"OR+EX",--(DATOS!$G10065=CONFIG_METADATA!$B$4),IF(DATOS!$G10065="EX",1,IF(DATOS!$G10065="OR",--(COUNTIFS(nNIA,DATOS!$A10065,nCURSO,DATOS!$D10065,nESPEC,DATOS!$E10065,nASIG,DATOS!$I10065,nEVAL,"EX")=0),0))))</f>
      </c>
      <c r="H10065">
        <f>IF(DATOS!$G10065&lt;&gt;"EX",0,--(COUNTIFS(nNIA,DATOS!$A10065,nCURSO,DATOS!$D10065,nESPEC,DATOS!$E10065,nASIG,DATOS!$I10065,nEVAL,"OR")=0))</f>
      </c>
      <c r="I10065">
        <f>IF(DATOS!$I10065="","",IFERROR(VLOOKUP(DATOS!$I10065,CONFIG_ASIGNATURAS!$B$2:$J$91,9,FALSE()),""))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IF(DATOS!$A10066="",0,IF(CONFIG_METADATA!$B$4&lt;&gt;"OR+EX",--(DATOS!$G10066=CONFIG_METADATA!$B$4),IF(DATOS!$G10066="EX",1,IF(DATOS!$G10066="OR",--(COUNTIFS(nNIA,DATOS!$A10066,nCURSO,DATOS!$D10066,nESPEC,DATOS!$E10066,nASIG,DATOS!$I10066,nEVAL,"EX")=0),0))))</f>
      </c>
      <c r="H10066">
        <f>IF(DATOS!$G10066&lt;&gt;"EX",0,--(COUNTIFS(nNIA,DATOS!$A10066,nCURSO,DATOS!$D10066,nESPEC,DATOS!$E10066,nASIG,DATOS!$I10066,nEVAL,"OR")=0))</f>
      </c>
      <c r="I10066">
        <f>IF(DATOS!$I10066="","",IFERROR(VLOOKUP(DATOS!$I10066,CONFIG_ASIGNATURAS!$B$2:$J$91,9,FALSE()),""))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IF(DATOS!$A10067="",0,IF(CONFIG_METADATA!$B$4&lt;&gt;"OR+EX",--(DATOS!$G10067=CONFIG_METADATA!$B$4),IF(DATOS!$G10067="EX",1,IF(DATOS!$G10067="OR",--(COUNTIFS(nNIA,DATOS!$A10067,nCURSO,DATOS!$D10067,nESPEC,DATOS!$E10067,nASIG,DATOS!$I10067,nEVAL,"EX")=0),0))))</f>
      </c>
      <c r="H10067">
        <f>IF(DATOS!$G10067&lt;&gt;"EX",0,--(COUNTIFS(nNIA,DATOS!$A10067,nCURSO,DATOS!$D10067,nESPEC,DATOS!$E10067,nASIG,DATOS!$I10067,nEVAL,"OR")=0))</f>
      </c>
      <c r="I10067">
        <f>IF(DATOS!$I10067="","",IFERROR(VLOOKUP(DATOS!$I10067,CONFIG_ASIGNATURAS!$B$2:$J$91,9,FALSE()),""))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IF(DATOS!$A10068="",0,IF(CONFIG_METADATA!$B$4&lt;&gt;"OR+EX",--(DATOS!$G10068=CONFIG_METADATA!$B$4),IF(DATOS!$G10068="EX",1,IF(DATOS!$G10068="OR",--(COUNTIFS(nNIA,DATOS!$A10068,nCURSO,DATOS!$D10068,nESPEC,DATOS!$E10068,nASIG,DATOS!$I10068,nEVAL,"EX")=0),0))))</f>
      </c>
      <c r="H10068">
        <f>IF(DATOS!$G10068&lt;&gt;"EX",0,--(COUNTIFS(nNIA,DATOS!$A10068,nCURSO,DATOS!$D10068,nESPEC,DATOS!$E10068,nASIG,DATOS!$I10068,nEVAL,"OR")=0))</f>
      </c>
      <c r="I10068">
        <f>IF(DATOS!$I10068="","",IFERROR(VLOOKUP(DATOS!$I10068,CONFIG_ASIGNATURAS!$B$2:$J$91,9,FALSE()),""))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IF(DATOS!$A10069="",0,IF(CONFIG_METADATA!$B$4&lt;&gt;"OR+EX",--(DATOS!$G10069=CONFIG_METADATA!$B$4),IF(DATOS!$G10069="EX",1,IF(DATOS!$G10069="OR",--(COUNTIFS(nNIA,DATOS!$A10069,nCURSO,DATOS!$D10069,nESPEC,DATOS!$E10069,nASIG,DATOS!$I10069,nEVAL,"EX")=0),0))))</f>
      </c>
      <c r="H10069">
        <f>IF(DATOS!$G10069&lt;&gt;"EX",0,--(COUNTIFS(nNIA,DATOS!$A10069,nCURSO,DATOS!$D10069,nESPEC,DATOS!$E10069,nASIG,DATOS!$I10069,nEVAL,"OR")=0))</f>
      </c>
      <c r="I10069">
        <f>IF(DATOS!$I10069="","",IFERROR(VLOOKUP(DATOS!$I10069,CONFIG_ASIGNATURAS!$B$2:$J$91,9,FALSE()),""))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IF(DATOS!$A10070="",0,IF(CONFIG_METADATA!$B$4&lt;&gt;"OR+EX",--(DATOS!$G10070=CONFIG_METADATA!$B$4),IF(DATOS!$G10070="EX",1,IF(DATOS!$G10070="OR",--(COUNTIFS(nNIA,DATOS!$A10070,nCURSO,DATOS!$D10070,nESPEC,DATOS!$E10070,nASIG,DATOS!$I10070,nEVAL,"EX")=0),0))))</f>
      </c>
      <c r="H10070">
        <f>IF(DATOS!$G10070&lt;&gt;"EX",0,--(COUNTIFS(nNIA,DATOS!$A10070,nCURSO,DATOS!$D10070,nESPEC,DATOS!$E10070,nASIG,DATOS!$I10070,nEVAL,"OR")=0))</f>
      </c>
      <c r="I10070">
        <f>IF(DATOS!$I10070="","",IFERROR(VLOOKUP(DATOS!$I10070,CONFIG_ASIGNATURAS!$B$2:$J$91,9,FALSE()),""))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IF(DATOS!$A10071="",0,IF(CONFIG_METADATA!$B$4&lt;&gt;"OR+EX",--(DATOS!$G10071=CONFIG_METADATA!$B$4),IF(DATOS!$G10071="EX",1,IF(DATOS!$G10071="OR",--(COUNTIFS(nNIA,DATOS!$A10071,nCURSO,DATOS!$D10071,nESPEC,DATOS!$E10071,nASIG,DATOS!$I10071,nEVAL,"EX")=0),0))))</f>
      </c>
      <c r="H10071">
        <f>IF(DATOS!$G10071&lt;&gt;"EX",0,--(COUNTIFS(nNIA,DATOS!$A10071,nCURSO,DATOS!$D10071,nESPEC,DATOS!$E10071,nASIG,DATOS!$I10071,nEVAL,"OR")=0))</f>
      </c>
      <c r="I10071">
        <f>IF(DATOS!$I10071="","",IFERROR(VLOOKUP(DATOS!$I10071,CONFIG_ASIGNATURAS!$B$2:$J$91,9,FALSE()),""))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IF(DATOS!$A10072="",0,IF(CONFIG_METADATA!$B$4&lt;&gt;"OR+EX",--(DATOS!$G10072=CONFIG_METADATA!$B$4),IF(DATOS!$G10072="EX",1,IF(DATOS!$G10072="OR",--(COUNTIFS(nNIA,DATOS!$A10072,nCURSO,DATOS!$D10072,nESPEC,DATOS!$E10072,nASIG,DATOS!$I10072,nEVAL,"EX")=0),0))))</f>
      </c>
      <c r="H10072">
        <f>IF(DATOS!$G10072&lt;&gt;"EX",0,--(COUNTIFS(nNIA,DATOS!$A10072,nCURSO,DATOS!$D10072,nESPEC,DATOS!$E10072,nASIG,DATOS!$I10072,nEVAL,"OR")=0))</f>
      </c>
      <c r="I10072">
        <f>IF(DATOS!$I10072="","",IFERROR(VLOOKUP(DATOS!$I10072,CONFIG_ASIGNATURAS!$B$2:$J$91,9,FALSE()),""))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IF(DATOS!$A10073="",0,IF(CONFIG_METADATA!$B$4&lt;&gt;"OR+EX",--(DATOS!$G10073=CONFIG_METADATA!$B$4),IF(DATOS!$G10073="EX",1,IF(DATOS!$G10073="OR",--(COUNTIFS(nNIA,DATOS!$A10073,nCURSO,DATOS!$D10073,nESPEC,DATOS!$E10073,nASIG,DATOS!$I10073,nEVAL,"EX")=0),0))))</f>
      </c>
      <c r="H10073">
        <f>IF(DATOS!$G10073&lt;&gt;"EX",0,--(COUNTIFS(nNIA,DATOS!$A10073,nCURSO,DATOS!$D10073,nESPEC,DATOS!$E10073,nASIG,DATOS!$I10073,nEVAL,"OR")=0))</f>
      </c>
      <c r="I10073">
        <f>IF(DATOS!$I10073="","",IFERROR(VLOOKUP(DATOS!$I10073,CONFIG_ASIGNATURAS!$B$2:$J$91,9,FALSE()),""))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IF(DATOS!$A10074="",0,IF(CONFIG_METADATA!$B$4&lt;&gt;"OR+EX",--(DATOS!$G10074=CONFIG_METADATA!$B$4),IF(DATOS!$G10074="EX",1,IF(DATOS!$G10074="OR",--(COUNTIFS(nNIA,DATOS!$A10074,nCURSO,DATOS!$D10074,nESPEC,DATOS!$E10074,nASIG,DATOS!$I10074,nEVAL,"EX")=0),0))))</f>
      </c>
      <c r="H10074">
        <f>IF(DATOS!$G10074&lt;&gt;"EX",0,--(COUNTIFS(nNIA,DATOS!$A10074,nCURSO,DATOS!$D10074,nESPEC,DATOS!$E10074,nASIG,DATOS!$I10074,nEVAL,"OR")=0))</f>
      </c>
      <c r="I10074">
        <f>IF(DATOS!$I10074="","",IFERROR(VLOOKUP(DATOS!$I10074,CONFIG_ASIGNATURAS!$B$2:$J$91,9,FALSE()),""))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IF(DATOS!$A10075="",0,IF(CONFIG_METADATA!$B$4&lt;&gt;"OR+EX",--(DATOS!$G10075=CONFIG_METADATA!$B$4),IF(DATOS!$G10075="EX",1,IF(DATOS!$G10075="OR",--(COUNTIFS(nNIA,DATOS!$A10075,nCURSO,DATOS!$D10075,nESPEC,DATOS!$E10075,nASIG,DATOS!$I10075,nEVAL,"EX")=0),0))))</f>
      </c>
      <c r="H10075">
        <f>IF(DATOS!$G10075&lt;&gt;"EX",0,--(COUNTIFS(nNIA,DATOS!$A10075,nCURSO,DATOS!$D10075,nESPEC,DATOS!$E10075,nASIG,DATOS!$I10075,nEVAL,"OR")=0))</f>
      </c>
      <c r="I10075">
        <f>IF(DATOS!$I10075="","",IFERROR(VLOOKUP(DATOS!$I10075,CONFIG_ASIGNATURAS!$B$2:$J$91,9,FALSE()),""))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IF(DATOS!$A10076="",0,IF(CONFIG_METADATA!$B$4&lt;&gt;"OR+EX",--(DATOS!$G10076=CONFIG_METADATA!$B$4),IF(DATOS!$G10076="EX",1,IF(DATOS!$G10076="OR",--(COUNTIFS(nNIA,DATOS!$A10076,nCURSO,DATOS!$D10076,nESPEC,DATOS!$E10076,nASIG,DATOS!$I10076,nEVAL,"EX")=0),0))))</f>
      </c>
      <c r="H10076">
        <f>IF(DATOS!$G10076&lt;&gt;"EX",0,--(COUNTIFS(nNIA,DATOS!$A10076,nCURSO,DATOS!$D10076,nESPEC,DATOS!$E10076,nASIG,DATOS!$I10076,nEVAL,"OR")=0))</f>
      </c>
      <c r="I10076">
        <f>IF(DATOS!$I10076="","",IFERROR(VLOOKUP(DATOS!$I10076,CONFIG_ASIGNATURAS!$B$2:$J$91,9,FALSE()),""))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IF(DATOS!$A10077="",0,IF(CONFIG_METADATA!$B$4&lt;&gt;"OR+EX",--(DATOS!$G10077=CONFIG_METADATA!$B$4),IF(DATOS!$G10077="EX",1,IF(DATOS!$G10077="OR",--(COUNTIFS(nNIA,DATOS!$A10077,nCURSO,DATOS!$D10077,nESPEC,DATOS!$E10077,nASIG,DATOS!$I10077,nEVAL,"EX")=0),0))))</f>
      </c>
      <c r="H10077">
        <f>IF(DATOS!$G10077&lt;&gt;"EX",0,--(COUNTIFS(nNIA,DATOS!$A10077,nCURSO,DATOS!$D10077,nESPEC,DATOS!$E10077,nASIG,DATOS!$I10077,nEVAL,"OR")=0))</f>
      </c>
      <c r="I10077">
        <f>IF(DATOS!$I10077="","",IFERROR(VLOOKUP(DATOS!$I10077,CONFIG_ASIGNATURAS!$B$2:$J$91,9,FALSE()),""))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IF(DATOS!$A10078="",0,IF(CONFIG_METADATA!$B$4&lt;&gt;"OR+EX",--(DATOS!$G10078=CONFIG_METADATA!$B$4),IF(DATOS!$G10078="EX",1,IF(DATOS!$G10078="OR",--(COUNTIFS(nNIA,DATOS!$A10078,nCURSO,DATOS!$D10078,nESPEC,DATOS!$E10078,nASIG,DATOS!$I10078,nEVAL,"EX")=0),0))))</f>
      </c>
      <c r="H10078">
        <f>IF(DATOS!$G10078&lt;&gt;"EX",0,--(COUNTIFS(nNIA,DATOS!$A10078,nCURSO,DATOS!$D10078,nESPEC,DATOS!$E10078,nASIG,DATOS!$I10078,nEVAL,"OR")=0))</f>
      </c>
      <c r="I10078">
        <f>IF(DATOS!$I10078="","",IFERROR(VLOOKUP(DATOS!$I10078,CONFIG_ASIGNATURAS!$B$2:$J$91,9,FALSE()),""))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IF(DATOS!$A10079="",0,IF(CONFIG_METADATA!$B$4&lt;&gt;"OR+EX",--(DATOS!$G10079=CONFIG_METADATA!$B$4),IF(DATOS!$G10079="EX",1,IF(DATOS!$G10079="OR",--(COUNTIFS(nNIA,DATOS!$A10079,nCURSO,DATOS!$D10079,nESPEC,DATOS!$E10079,nASIG,DATOS!$I10079,nEVAL,"EX")=0),0))))</f>
      </c>
      <c r="H10079">
        <f>IF(DATOS!$G10079&lt;&gt;"EX",0,--(COUNTIFS(nNIA,DATOS!$A10079,nCURSO,DATOS!$D10079,nESPEC,DATOS!$E10079,nASIG,DATOS!$I10079,nEVAL,"OR")=0))</f>
      </c>
      <c r="I10079">
        <f>IF(DATOS!$I10079="","",IFERROR(VLOOKUP(DATOS!$I10079,CONFIG_ASIGNATURAS!$B$2:$J$91,9,FALSE()),""))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IF(DATOS!$A10080="",0,IF(CONFIG_METADATA!$B$4&lt;&gt;"OR+EX",--(DATOS!$G10080=CONFIG_METADATA!$B$4),IF(DATOS!$G10080="EX",1,IF(DATOS!$G10080="OR",--(COUNTIFS(nNIA,DATOS!$A10080,nCURSO,DATOS!$D10080,nESPEC,DATOS!$E10080,nASIG,DATOS!$I10080,nEVAL,"EX")=0),0))))</f>
      </c>
      <c r="H10080">
        <f>IF(DATOS!$G10080&lt;&gt;"EX",0,--(COUNTIFS(nNIA,DATOS!$A10080,nCURSO,DATOS!$D10080,nESPEC,DATOS!$E10080,nASIG,DATOS!$I10080,nEVAL,"OR")=0))</f>
      </c>
      <c r="I10080">
        <f>IF(DATOS!$I10080="","",IFERROR(VLOOKUP(DATOS!$I10080,CONFIG_ASIGNATURAS!$B$2:$J$91,9,FALSE()),""))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IF(DATOS!$A10081="",0,IF(CONFIG_METADATA!$B$4&lt;&gt;"OR+EX",--(DATOS!$G10081=CONFIG_METADATA!$B$4),IF(DATOS!$G10081="EX",1,IF(DATOS!$G10081="OR",--(COUNTIFS(nNIA,DATOS!$A10081,nCURSO,DATOS!$D10081,nESPEC,DATOS!$E10081,nASIG,DATOS!$I10081,nEVAL,"EX")=0),0))))</f>
      </c>
      <c r="H10081">
        <f>IF(DATOS!$G10081&lt;&gt;"EX",0,--(COUNTIFS(nNIA,DATOS!$A10081,nCURSO,DATOS!$D10081,nESPEC,DATOS!$E10081,nASIG,DATOS!$I10081,nEVAL,"OR")=0))</f>
      </c>
      <c r="I10081">
        <f>IF(DATOS!$I10081="","",IFERROR(VLOOKUP(DATOS!$I10081,CONFIG_ASIGNATURAS!$B$2:$J$91,9,FALSE()),""))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IF(DATOS!$A10082="",0,IF(CONFIG_METADATA!$B$4&lt;&gt;"OR+EX",--(DATOS!$G10082=CONFIG_METADATA!$B$4),IF(DATOS!$G10082="EX",1,IF(DATOS!$G10082="OR",--(COUNTIFS(nNIA,DATOS!$A10082,nCURSO,DATOS!$D10082,nESPEC,DATOS!$E10082,nASIG,DATOS!$I10082,nEVAL,"EX")=0),0))))</f>
      </c>
      <c r="H10082">
        <f>IF(DATOS!$G10082&lt;&gt;"EX",0,--(COUNTIFS(nNIA,DATOS!$A10082,nCURSO,DATOS!$D10082,nESPEC,DATOS!$E10082,nASIG,DATOS!$I10082,nEVAL,"OR")=0))</f>
      </c>
      <c r="I10082">
        <f>IF(DATOS!$I10082="","",IFERROR(VLOOKUP(DATOS!$I10082,CONFIG_ASIGNATURAS!$B$2:$J$91,9,FALSE()),""))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IF(DATOS!$A10083="",0,IF(CONFIG_METADATA!$B$4&lt;&gt;"OR+EX",--(DATOS!$G10083=CONFIG_METADATA!$B$4),IF(DATOS!$G10083="EX",1,IF(DATOS!$G10083="OR",--(COUNTIFS(nNIA,DATOS!$A10083,nCURSO,DATOS!$D10083,nESPEC,DATOS!$E10083,nASIG,DATOS!$I10083,nEVAL,"EX")=0),0))))</f>
      </c>
      <c r="H10083">
        <f>IF(DATOS!$G10083&lt;&gt;"EX",0,--(COUNTIFS(nNIA,DATOS!$A10083,nCURSO,DATOS!$D10083,nESPEC,DATOS!$E10083,nASIG,DATOS!$I10083,nEVAL,"OR")=0))</f>
      </c>
      <c r="I10083">
        <f>IF(DATOS!$I10083="","",IFERROR(VLOOKUP(DATOS!$I10083,CONFIG_ASIGNATURAS!$B$2:$J$91,9,FALSE()),""))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IF(DATOS!$A10084="",0,IF(CONFIG_METADATA!$B$4&lt;&gt;"OR+EX",--(DATOS!$G10084=CONFIG_METADATA!$B$4),IF(DATOS!$G10084="EX",1,IF(DATOS!$G10084="OR",--(COUNTIFS(nNIA,DATOS!$A10084,nCURSO,DATOS!$D10084,nESPEC,DATOS!$E10084,nASIG,DATOS!$I10084,nEVAL,"EX")=0),0))))</f>
      </c>
      <c r="H10084">
        <f>IF(DATOS!$G10084&lt;&gt;"EX",0,--(COUNTIFS(nNIA,DATOS!$A10084,nCURSO,DATOS!$D10084,nESPEC,DATOS!$E10084,nASIG,DATOS!$I10084,nEVAL,"OR")=0))</f>
      </c>
      <c r="I10084">
        <f>IF(DATOS!$I10084="","",IFERROR(VLOOKUP(DATOS!$I10084,CONFIG_ASIGNATURAS!$B$2:$J$91,9,FALSE()),""))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IF(DATOS!$A10085="",0,IF(CONFIG_METADATA!$B$4&lt;&gt;"OR+EX",--(DATOS!$G10085=CONFIG_METADATA!$B$4),IF(DATOS!$G10085="EX",1,IF(DATOS!$G10085="OR",--(COUNTIFS(nNIA,DATOS!$A10085,nCURSO,DATOS!$D10085,nESPEC,DATOS!$E10085,nASIG,DATOS!$I10085,nEVAL,"EX")=0),0))))</f>
      </c>
      <c r="H10085">
        <f>IF(DATOS!$G10085&lt;&gt;"EX",0,--(COUNTIFS(nNIA,DATOS!$A10085,nCURSO,DATOS!$D10085,nESPEC,DATOS!$E10085,nASIG,DATOS!$I10085,nEVAL,"OR")=0))</f>
      </c>
      <c r="I10085">
        <f>IF(DATOS!$I10085="","",IFERROR(VLOOKUP(DATOS!$I10085,CONFIG_ASIGNATURAS!$B$2:$J$91,9,FALSE()),""))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IF(DATOS!$A10086="",0,IF(CONFIG_METADATA!$B$4&lt;&gt;"OR+EX",--(DATOS!$G10086=CONFIG_METADATA!$B$4),IF(DATOS!$G10086="EX",1,IF(DATOS!$G10086="OR",--(COUNTIFS(nNIA,DATOS!$A10086,nCURSO,DATOS!$D10086,nESPEC,DATOS!$E10086,nASIG,DATOS!$I10086,nEVAL,"EX")=0),0))))</f>
      </c>
      <c r="H10086">
        <f>IF(DATOS!$G10086&lt;&gt;"EX",0,--(COUNTIFS(nNIA,DATOS!$A10086,nCURSO,DATOS!$D10086,nESPEC,DATOS!$E10086,nASIG,DATOS!$I10086,nEVAL,"OR")=0))</f>
      </c>
      <c r="I10086">
        <f>IF(DATOS!$I10086="","",IFERROR(VLOOKUP(DATOS!$I10086,CONFIG_ASIGNATURAS!$B$2:$J$91,9,FALSE()),""))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IF(DATOS!$A10087="",0,IF(CONFIG_METADATA!$B$4&lt;&gt;"OR+EX",--(DATOS!$G10087=CONFIG_METADATA!$B$4),IF(DATOS!$G10087="EX",1,IF(DATOS!$G10087="OR",--(COUNTIFS(nNIA,DATOS!$A10087,nCURSO,DATOS!$D10087,nESPEC,DATOS!$E10087,nASIG,DATOS!$I10087,nEVAL,"EX")=0),0))))</f>
      </c>
      <c r="H10087">
        <f>IF(DATOS!$G10087&lt;&gt;"EX",0,--(COUNTIFS(nNIA,DATOS!$A10087,nCURSO,DATOS!$D10087,nESPEC,DATOS!$E10087,nASIG,DATOS!$I10087,nEVAL,"OR")=0))</f>
      </c>
      <c r="I10087">
        <f>IF(DATOS!$I10087="","",IFERROR(VLOOKUP(DATOS!$I10087,CONFIG_ASIGNATURAS!$B$2:$J$91,9,FALSE()),""))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IF(DATOS!$A10088="",0,IF(CONFIG_METADATA!$B$4&lt;&gt;"OR+EX",--(DATOS!$G10088=CONFIG_METADATA!$B$4),IF(DATOS!$G10088="EX",1,IF(DATOS!$G10088="OR",--(COUNTIFS(nNIA,DATOS!$A10088,nCURSO,DATOS!$D10088,nESPEC,DATOS!$E10088,nASIG,DATOS!$I10088,nEVAL,"EX")=0),0))))</f>
      </c>
      <c r="H10088">
        <f>IF(DATOS!$G10088&lt;&gt;"EX",0,--(COUNTIFS(nNIA,DATOS!$A10088,nCURSO,DATOS!$D10088,nESPEC,DATOS!$E10088,nASIG,DATOS!$I10088,nEVAL,"OR")=0))</f>
      </c>
      <c r="I10088">
        <f>IF(DATOS!$I10088="","",IFERROR(VLOOKUP(DATOS!$I10088,CONFIG_ASIGNATURAS!$B$2:$J$91,9,FALSE()),""))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IF(DATOS!$A10089="",0,IF(CONFIG_METADATA!$B$4&lt;&gt;"OR+EX",--(DATOS!$G10089=CONFIG_METADATA!$B$4),IF(DATOS!$G10089="EX",1,IF(DATOS!$G10089="OR",--(COUNTIFS(nNIA,DATOS!$A10089,nCURSO,DATOS!$D10089,nESPEC,DATOS!$E10089,nASIG,DATOS!$I10089,nEVAL,"EX")=0),0))))</f>
      </c>
      <c r="H10089">
        <f>IF(DATOS!$G10089&lt;&gt;"EX",0,--(COUNTIFS(nNIA,DATOS!$A10089,nCURSO,DATOS!$D10089,nESPEC,DATOS!$E10089,nASIG,DATOS!$I10089,nEVAL,"OR")=0))</f>
      </c>
      <c r="I10089">
        <f>IF(DATOS!$I10089="","",IFERROR(VLOOKUP(DATOS!$I10089,CONFIG_ASIGNATURAS!$B$2:$J$91,9,FALSE()),""))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IF(DATOS!$A10090="",0,IF(CONFIG_METADATA!$B$4&lt;&gt;"OR+EX",--(DATOS!$G10090=CONFIG_METADATA!$B$4),IF(DATOS!$G10090="EX",1,IF(DATOS!$G10090="OR",--(COUNTIFS(nNIA,DATOS!$A10090,nCURSO,DATOS!$D10090,nESPEC,DATOS!$E10090,nASIG,DATOS!$I10090,nEVAL,"EX")=0),0))))</f>
      </c>
      <c r="H10090">
        <f>IF(DATOS!$G10090&lt;&gt;"EX",0,--(COUNTIFS(nNIA,DATOS!$A10090,nCURSO,DATOS!$D10090,nESPEC,DATOS!$E10090,nASIG,DATOS!$I10090,nEVAL,"OR")=0))</f>
      </c>
      <c r="I10090">
        <f>IF(DATOS!$I10090="","",IFERROR(VLOOKUP(DATOS!$I10090,CONFIG_ASIGNATURAS!$B$2:$J$91,9,FALSE()),""))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IF(DATOS!$A10091="",0,IF(CONFIG_METADATA!$B$4&lt;&gt;"OR+EX",--(DATOS!$G10091=CONFIG_METADATA!$B$4),IF(DATOS!$G10091="EX",1,IF(DATOS!$G10091="OR",--(COUNTIFS(nNIA,DATOS!$A10091,nCURSO,DATOS!$D10091,nESPEC,DATOS!$E10091,nASIG,DATOS!$I10091,nEVAL,"EX")=0),0))))</f>
      </c>
      <c r="H10091">
        <f>IF(DATOS!$G10091&lt;&gt;"EX",0,--(COUNTIFS(nNIA,DATOS!$A10091,nCURSO,DATOS!$D10091,nESPEC,DATOS!$E10091,nASIG,DATOS!$I10091,nEVAL,"OR")=0))</f>
      </c>
      <c r="I10091">
        <f>IF(DATOS!$I10091="","",IFERROR(VLOOKUP(DATOS!$I10091,CONFIG_ASIGNATURAS!$B$2:$J$91,9,FALSE()),""))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IF(DATOS!$A10092="",0,IF(CONFIG_METADATA!$B$4&lt;&gt;"OR+EX",--(DATOS!$G10092=CONFIG_METADATA!$B$4),IF(DATOS!$G10092="EX",1,IF(DATOS!$G10092="OR",--(COUNTIFS(nNIA,DATOS!$A10092,nCURSO,DATOS!$D10092,nESPEC,DATOS!$E10092,nASIG,DATOS!$I10092,nEVAL,"EX")=0),0))))</f>
      </c>
      <c r="H10092">
        <f>IF(DATOS!$G10092&lt;&gt;"EX",0,--(COUNTIFS(nNIA,DATOS!$A10092,nCURSO,DATOS!$D10092,nESPEC,DATOS!$E10092,nASIG,DATOS!$I10092,nEVAL,"OR")=0))</f>
      </c>
      <c r="I10092">
        <f>IF(DATOS!$I10092="","",IFERROR(VLOOKUP(DATOS!$I10092,CONFIG_ASIGNATURAS!$B$2:$J$91,9,FALSE()),""))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IF(DATOS!$A10093="",0,IF(CONFIG_METADATA!$B$4&lt;&gt;"OR+EX",--(DATOS!$G10093=CONFIG_METADATA!$B$4),IF(DATOS!$G10093="EX",1,IF(DATOS!$G10093="OR",--(COUNTIFS(nNIA,DATOS!$A10093,nCURSO,DATOS!$D10093,nESPEC,DATOS!$E10093,nASIG,DATOS!$I10093,nEVAL,"EX")=0),0))))</f>
      </c>
      <c r="H10093">
        <f>IF(DATOS!$G10093&lt;&gt;"EX",0,--(COUNTIFS(nNIA,DATOS!$A10093,nCURSO,DATOS!$D10093,nESPEC,DATOS!$E10093,nASIG,DATOS!$I10093,nEVAL,"OR")=0))</f>
      </c>
      <c r="I10093">
        <f>IF(DATOS!$I10093="","",IFERROR(VLOOKUP(DATOS!$I10093,CONFIG_ASIGNATURAS!$B$2:$J$91,9,FALSE()),""))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IF(DATOS!$A10094="",0,IF(CONFIG_METADATA!$B$4&lt;&gt;"OR+EX",--(DATOS!$G10094=CONFIG_METADATA!$B$4),IF(DATOS!$G10094="EX",1,IF(DATOS!$G10094="OR",--(COUNTIFS(nNIA,DATOS!$A10094,nCURSO,DATOS!$D10094,nESPEC,DATOS!$E10094,nASIG,DATOS!$I10094,nEVAL,"EX")=0),0))))</f>
      </c>
      <c r="H10094">
        <f>IF(DATOS!$G10094&lt;&gt;"EX",0,--(COUNTIFS(nNIA,DATOS!$A10094,nCURSO,DATOS!$D10094,nESPEC,DATOS!$E10094,nASIG,DATOS!$I10094,nEVAL,"OR")=0))</f>
      </c>
      <c r="I10094">
        <f>IF(DATOS!$I10094="","",IFERROR(VLOOKUP(DATOS!$I10094,CONFIG_ASIGNATURAS!$B$2:$J$91,9,FALSE()),""))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IF(DATOS!$A10095="",0,IF(CONFIG_METADATA!$B$4&lt;&gt;"OR+EX",--(DATOS!$G10095=CONFIG_METADATA!$B$4),IF(DATOS!$G10095="EX",1,IF(DATOS!$G10095="OR",--(COUNTIFS(nNIA,DATOS!$A10095,nCURSO,DATOS!$D10095,nESPEC,DATOS!$E10095,nASIG,DATOS!$I10095,nEVAL,"EX")=0),0))))</f>
      </c>
      <c r="H10095">
        <f>IF(DATOS!$G10095&lt;&gt;"EX",0,--(COUNTIFS(nNIA,DATOS!$A10095,nCURSO,DATOS!$D10095,nESPEC,DATOS!$E10095,nASIG,DATOS!$I10095,nEVAL,"OR")=0))</f>
      </c>
      <c r="I10095">
        <f>IF(DATOS!$I10095="","",IFERROR(VLOOKUP(DATOS!$I10095,CONFIG_ASIGNATURAS!$B$2:$J$91,9,FALSE()),""))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IF(DATOS!$A10096="",0,IF(CONFIG_METADATA!$B$4&lt;&gt;"OR+EX",--(DATOS!$G10096=CONFIG_METADATA!$B$4),IF(DATOS!$G10096="EX",1,IF(DATOS!$G10096="OR",--(COUNTIFS(nNIA,DATOS!$A10096,nCURSO,DATOS!$D10096,nESPEC,DATOS!$E10096,nASIG,DATOS!$I10096,nEVAL,"EX")=0),0))))</f>
      </c>
      <c r="H10096">
        <f>IF(DATOS!$G10096&lt;&gt;"EX",0,--(COUNTIFS(nNIA,DATOS!$A10096,nCURSO,DATOS!$D10096,nESPEC,DATOS!$E10096,nASIG,DATOS!$I10096,nEVAL,"OR")=0))</f>
      </c>
      <c r="I10096">
        <f>IF(DATOS!$I10096="","",IFERROR(VLOOKUP(DATOS!$I10096,CONFIG_ASIGNATURAS!$B$2:$J$91,9,FALSE()),""))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IF(DATOS!$A10097="",0,IF(CONFIG_METADATA!$B$4&lt;&gt;"OR+EX",--(DATOS!$G10097=CONFIG_METADATA!$B$4),IF(DATOS!$G10097="EX",1,IF(DATOS!$G10097="OR",--(COUNTIFS(nNIA,DATOS!$A10097,nCURSO,DATOS!$D10097,nESPEC,DATOS!$E10097,nASIG,DATOS!$I10097,nEVAL,"EX")=0),0))))</f>
      </c>
      <c r="H10097">
        <f>IF(DATOS!$G10097&lt;&gt;"EX",0,--(COUNTIFS(nNIA,DATOS!$A10097,nCURSO,DATOS!$D10097,nESPEC,DATOS!$E10097,nASIG,DATOS!$I10097,nEVAL,"OR")=0))</f>
      </c>
      <c r="I10097">
        <f>IF(DATOS!$I10097="","",IFERROR(VLOOKUP(DATOS!$I10097,CONFIG_ASIGNATURAS!$B$2:$J$91,9,FALSE()),""))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IF(DATOS!$A10098="",0,IF(CONFIG_METADATA!$B$4&lt;&gt;"OR+EX",--(DATOS!$G10098=CONFIG_METADATA!$B$4),IF(DATOS!$G10098="EX",1,IF(DATOS!$G10098="OR",--(COUNTIFS(nNIA,DATOS!$A10098,nCURSO,DATOS!$D10098,nESPEC,DATOS!$E10098,nASIG,DATOS!$I10098,nEVAL,"EX")=0),0))))</f>
      </c>
      <c r="H10098">
        <f>IF(DATOS!$G10098&lt;&gt;"EX",0,--(COUNTIFS(nNIA,DATOS!$A10098,nCURSO,DATOS!$D10098,nESPEC,DATOS!$E10098,nASIG,DATOS!$I10098,nEVAL,"OR")=0))</f>
      </c>
      <c r="I10098">
        <f>IF(DATOS!$I10098="","",IFERROR(VLOOKUP(DATOS!$I10098,CONFIG_ASIGNATURAS!$B$2:$J$91,9,FALSE()),""))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IF(DATOS!$A10099="",0,IF(CONFIG_METADATA!$B$4&lt;&gt;"OR+EX",--(DATOS!$G10099=CONFIG_METADATA!$B$4),IF(DATOS!$G10099="EX",1,IF(DATOS!$G10099="OR",--(COUNTIFS(nNIA,DATOS!$A10099,nCURSO,DATOS!$D10099,nESPEC,DATOS!$E10099,nASIG,DATOS!$I10099,nEVAL,"EX")=0),0))))</f>
      </c>
      <c r="H10099">
        <f>IF(DATOS!$G10099&lt;&gt;"EX",0,--(COUNTIFS(nNIA,DATOS!$A10099,nCURSO,DATOS!$D10099,nESPEC,DATOS!$E10099,nASIG,DATOS!$I10099,nEVAL,"OR")=0))</f>
      </c>
      <c r="I10099">
        <f>IF(DATOS!$I10099="","",IFERROR(VLOOKUP(DATOS!$I10099,CONFIG_ASIGNATURAS!$B$2:$J$91,9,FALSE()),""))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IF(DATOS!$A10100="",0,IF(CONFIG_METADATA!$B$4&lt;&gt;"OR+EX",--(DATOS!$G10100=CONFIG_METADATA!$B$4),IF(DATOS!$G10100="EX",1,IF(DATOS!$G10100="OR",--(COUNTIFS(nNIA,DATOS!$A10100,nCURSO,DATOS!$D10100,nESPEC,DATOS!$E10100,nASIG,DATOS!$I10100,nEVAL,"EX")=0),0))))</f>
      </c>
      <c r="H10100">
        <f>IF(DATOS!$G10100&lt;&gt;"EX",0,--(COUNTIFS(nNIA,DATOS!$A10100,nCURSO,DATOS!$D10100,nESPEC,DATOS!$E10100,nASIG,DATOS!$I10100,nEVAL,"OR")=0))</f>
      </c>
      <c r="I10100">
        <f>IF(DATOS!$I10100="","",IFERROR(VLOOKUP(DATOS!$I10100,CONFIG_ASIGNATURAS!$B$2:$J$91,9,FALSE()),""))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IF(DATOS!$A10101="",0,IF(CONFIG_METADATA!$B$4&lt;&gt;"OR+EX",--(DATOS!$G10101=CONFIG_METADATA!$B$4),IF(DATOS!$G10101="EX",1,IF(DATOS!$G10101="OR",--(COUNTIFS(nNIA,DATOS!$A10101,nCURSO,DATOS!$D10101,nESPEC,DATOS!$E10101,nASIG,DATOS!$I10101,nEVAL,"EX")=0),0))))</f>
      </c>
      <c r="H10101">
        <f>IF(DATOS!$G10101&lt;&gt;"EX",0,--(COUNTIFS(nNIA,DATOS!$A10101,nCURSO,DATOS!$D10101,nESPEC,DATOS!$E10101,nASIG,DATOS!$I10101,nEVAL,"OR")=0))</f>
      </c>
      <c r="I10101">
        <f>IF(DATOS!$I10101="","",IFERROR(VLOOKUP(DATOS!$I10101,CONFIG_ASIGNATURAS!$B$2:$J$91,9,FALSE()),""))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IF(DATOS!$A10102="",0,IF(CONFIG_METADATA!$B$4&lt;&gt;"OR+EX",--(DATOS!$G10102=CONFIG_METADATA!$B$4),IF(DATOS!$G10102="EX",1,IF(DATOS!$G10102="OR",--(COUNTIFS(nNIA,DATOS!$A10102,nCURSO,DATOS!$D10102,nESPEC,DATOS!$E10102,nASIG,DATOS!$I10102,nEVAL,"EX")=0),0))))</f>
      </c>
      <c r="H10102">
        <f>IF(DATOS!$G10102&lt;&gt;"EX",0,--(COUNTIFS(nNIA,DATOS!$A10102,nCURSO,DATOS!$D10102,nESPEC,DATOS!$E10102,nASIG,DATOS!$I10102,nEVAL,"OR")=0))</f>
      </c>
      <c r="I10102">
        <f>IF(DATOS!$I10102="","",IFERROR(VLOOKUP(DATOS!$I10102,CONFIG_ASIGNATURAS!$B$2:$J$91,9,FALSE()),""))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IF(DATOS!$A10103="",0,IF(CONFIG_METADATA!$B$4&lt;&gt;"OR+EX",--(DATOS!$G10103=CONFIG_METADATA!$B$4),IF(DATOS!$G10103="EX",1,IF(DATOS!$G10103="OR",--(COUNTIFS(nNIA,DATOS!$A10103,nCURSO,DATOS!$D10103,nESPEC,DATOS!$E10103,nASIG,DATOS!$I10103,nEVAL,"EX")=0),0))))</f>
      </c>
      <c r="H10103">
        <f>IF(DATOS!$G10103&lt;&gt;"EX",0,--(COUNTIFS(nNIA,DATOS!$A10103,nCURSO,DATOS!$D10103,nESPEC,DATOS!$E10103,nASIG,DATOS!$I10103,nEVAL,"OR")=0))</f>
      </c>
      <c r="I10103">
        <f>IF(DATOS!$I10103="","",IFERROR(VLOOKUP(DATOS!$I10103,CONFIG_ASIGNATURAS!$B$2:$J$91,9,FALSE()),""))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IF(DATOS!$A10104="",0,IF(CONFIG_METADATA!$B$4&lt;&gt;"OR+EX",--(DATOS!$G10104=CONFIG_METADATA!$B$4),IF(DATOS!$G10104="EX",1,IF(DATOS!$G10104="OR",--(COUNTIFS(nNIA,DATOS!$A10104,nCURSO,DATOS!$D10104,nESPEC,DATOS!$E10104,nASIG,DATOS!$I10104,nEVAL,"EX")=0),0))))</f>
      </c>
      <c r="H10104">
        <f>IF(DATOS!$G10104&lt;&gt;"EX",0,--(COUNTIFS(nNIA,DATOS!$A10104,nCURSO,DATOS!$D10104,nESPEC,DATOS!$E10104,nASIG,DATOS!$I10104,nEVAL,"OR")=0))</f>
      </c>
      <c r="I10104">
        <f>IF(DATOS!$I10104="","",IFERROR(VLOOKUP(DATOS!$I10104,CONFIG_ASIGNATURAS!$B$2:$J$91,9,FALSE()),""))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IF(DATOS!$A10105="",0,IF(CONFIG_METADATA!$B$4&lt;&gt;"OR+EX",--(DATOS!$G10105=CONFIG_METADATA!$B$4),IF(DATOS!$G10105="EX",1,IF(DATOS!$G10105="OR",--(COUNTIFS(nNIA,DATOS!$A10105,nCURSO,DATOS!$D10105,nESPEC,DATOS!$E10105,nASIG,DATOS!$I10105,nEVAL,"EX")=0),0))))</f>
      </c>
      <c r="H10105">
        <f>IF(DATOS!$G10105&lt;&gt;"EX",0,--(COUNTIFS(nNIA,DATOS!$A10105,nCURSO,DATOS!$D10105,nESPEC,DATOS!$E10105,nASIG,DATOS!$I10105,nEVAL,"OR")=0))</f>
      </c>
      <c r="I10105">
        <f>IF(DATOS!$I10105="","",IFERROR(VLOOKUP(DATOS!$I10105,CONFIG_ASIGNATURAS!$B$2:$J$91,9,FALSE()),""))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IF(DATOS!$A10106="",0,IF(CONFIG_METADATA!$B$4&lt;&gt;"OR+EX",--(DATOS!$G10106=CONFIG_METADATA!$B$4),IF(DATOS!$G10106="EX",1,IF(DATOS!$G10106="OR",--(COUNTIFS(nNIA,DATOS!$A10106,nCURSO,DATOS!$D10106,nESPEC,DATOS!$E10106,nASIG,DATOS!$I10106,nEVAL,"EX")=0),0))))</f>
      </c>
      <c r="H10106">
        <f>IF(DATOS!$G10106&lt;&gt;"EX",0,--(COUNTIFS(nNIA,DATOS!$A10106,nCURSO,DATOS!$D10106,nESPEC,DATOS!$E10106,nASIG,DATOS!$I10106,nEVAL,"OR")=0))</f>
      </c>
      <c r="I10106">
        <f>IF(DATOS!$I10106="","",IFERROR(VLOOKUP(DATOS!$I10106,CONFIG_ASIGNATURAS!$B$2:$J$91,9,FALSE()),""))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IF(DATOS!$A10107="",0,IF(CONFIG_METADATA!$B$4&lt;&gt;"OR+EX",--(DATOS!$G10107=CONFIG_METADATA!$B$4),IF(DATOS!$G10107="EX",1,IF(DATOS!$G10107="OR",--(COUNTIFS(nNIA,DATOS!$A10107,nCURSO,DATOS!$D10107,nESPEC,DATOS!$E10107,nASIG,DATOS!$I10107,nEVAL,"EX")=0),0))))</f>
      </c>
      <c r="H10107">
        <f>IF(DATOS!$G10107&lt;&gt;"EX",0,--(COUNTIFS(nNIA,DATOS!$A10107,nCURSO,DATOS!$D10107,nESPEC,DATOS!$E10107,nASIG,DATOS!$I10107,nEVAL,"OR")=0))</f>
      </c>
      <c r="I10107">
        <f>IF(DATOS!$I10107="","",IFERROR(VLOOKUP(DATOS!$I10107,CONFIG_ASIGNATURAS!$B$2:$J$91,9,FALSE()),""))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IF(DATOS!$A10108="",0,IF(CONFIG_METADATA!$B$4&lt;&gt;"OR+EX",--(DATOS!$G10108=CONFIG_METADATA!$B$4),IF(DATOS!$G10108="EX",1,IF(DATOS!$G10108="OR",--(COUNTIFS(nNIA,DATOS!$A10108,nCURSO,DATOS!$D10108,nESPEC,DATOS!$E10108,nASIG,DATOS!$I10108,nEVAL,"EX")=0),0))))</f>
      </c>
      <c r="H10108">
        <f>IF(DATOS!$G10108&lt;&gt;"EX",0,--(COUNTIFS(nNIA,DATOS!$A10108,nCURSO,DATOS!$D10108,nESPEC,DATOS!$E10108,nASIG,DATOS!$I10108,nEVAL,"OR")=0))</f>
      </c>
      <c r="I10108">
        <f>IF(DATOS!$I10108="","",IFERROR(VLOOKUP(DATOS!$I10108,CONFIG_ASIGNATURAS!$B$2:$J$91,9,FALSE()),""))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IF(DATOS!$A10109="",0,IF(CONFIG_METADATA!$B$4&lt;&gt;"OR+EX",--(DATOS!$G10109=CONFIG_METADATA!$B$4),IF(DATOS!$G10109="EX",1,IF(DATOS!$G10109="OR",--(COUNTIFS(nNIA,DATOS!$A10109,nCURSO,DATOS!$D10109,nESPEC,DATOS!$E10109,nASIG,DATOS!$I10109,nEVAL,"EX")=0),0))))</f>
      </c>
      <c r="H10109">
        <f>IF(DATOS!$G10109&lt;&gt;"EX",0,--(COUNTIFS(nNIA,DATOS!$A10109,nCURSO,DATOS!$D10109,nESPEC,DATOS!$E10109,nASIG,DATOS!$I10109,nEVAL,"OR")=0))</f>
      </c>
      <c r="I10109">
        <f>IF(DATOS!$I10109="","",IFERROR(VLOOKUP(DATOS!$I10109,CONFIG_ASIGNATURAS!$B$2:$J$91,9,FALSE()),""))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IF(DATOS!$A10110="",0,IF(CONFIG_METADATA!$B$4&lt;&gt;"OR+EX",--(DATOS!$G10110=CONFIG_METADATA!$B$4),IF(DATOS!$G10110="EX",1,IF(DATOS!$G10110="OR",--(COUNTIFS(nNIA,DATOS!$A10110,nCURSO,DATOS!$D10110,nESPEC,DATOS!$E10110,nASIG,DATOS!$I10110,nEVAL,"EX")=0),0))))</f>
      </c>
      <c r="H10110">
        <f>IF(DATOS!$G10110&lt;&gt;"EX",0,--(COUNTIFS(nNIA,DATOS!$A10110,nCURSO,DATOS!$D10110,nESPEC,DATOS!$E10110,nASIG,DATOS!$I10110,nEVAL,"OR")=0))</f>
      </c>
      <c r="I10110">
        <f>IF(DATOS!$I10110="","",IFERROR(VLOOKUP(DATOS!$I10110,CONFIG_ASIGNATURAS!$B$2:$J$91,9,FALSE()),""))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IF(DATOS!$A10111="",0,IF(CONFIG_METADATA!$B$4&lt;&gt;"OR+EX",--(DATOS!$G10111=CONFIG_METADATA!$B$4),IF(DATOS!$G10111="EX",1,IF(DATOS!$G10111="OR",--(COUNTIFS(nNIA,DATOS!$A10111,nCURSO,DATOS!$D10111,nESPEC,DATOS!$E10111,nASIG,DATOS!$I10111,nEVAL,"EX")=0),0))))</f>
      </c>
      <c r="H10111">
        <f>IF(DATOS!$G10111&lt;&gt;"EX",0,--(COUNTIFS(nNIA,DATOS!$A10111,nCURSO,DATOS!$D10111,nESPEC,DATOS!$E10111,nASIG,DATOS!$I10111,nEVAL,"OR")=0))</f>
      </c>
      <c r="I10111">
        <f>IF(DATOS!$I10111="","",IFERROR(VLOOKUP(DATOS!$I10111,CONFIG_ASIGNATURAS!$B$2:$J$91,9,FALSE()),""))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IF(DATOS!$A10112="",0,IF(CONFIG_METADATA!$B$4&lt;&gt;"OR+EX",--(DATOS!$G10112=CONFIG_METADATA!$B$4),IF(DATOS!$G10112="EX",1,IF(DATOS!$G10112="OR",--(COUNTIFS(nNIA,DATOS!$A10112,nCURSO,DATOS!$D10112,nESPEC,DATOS!$E10112,nASIG,DATOS!$I10112,nEVAL,"EX")=0),0))))</f>
      </c>
      <c r="H10112">
        <f>IF(DATOS!$G10112&lt;&gt;"EX",0,--(COUNTIFS(nNIA,DATOS!$A10112,nCURSO,DATOS!$D10112,nESPEC,DATOS!$E10112,nASIG,DATOS!$I10112,nEVAL,"OR")=0))</f>
      </c>
      <c r="I10112">
        <f>IF(DATOS!$I10112="","",IFERROR(VLOOKUP(DATOS!$I10112,CONFIG_ASIGNATURAS!$B$2:$J$91,9,FALSE()),""))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IF(DATOS!$A10113="",0,IF(CONFIG_METADATA!$B$4&lt;&gt;"OR+EX",--(DATOS!$G10113=CONFIG_METADATA!$B$4),IF(DATOS!$G10113="EX",1,IF(DATOS!$G10113="OR",--(COUNTIFS(nNIA,DATOS!$A10113,nCURSO,DATOS!$D10113,nESPEC,DATOS!$E10113,nASIG,DATOS!$I10113,nEVAL,"EX")=0),0))))</f>
      </c>
      <c r="H10113">
        <f>IF(DATOS!$G10113&lt;&gt;"EX",0,--(COUNTIFS(nNIA,DATOS!$A10113,nCURSO,DATOS!$D10113,nESPEC,DATOS!$E10113,nASIG,DATOS!$I10113,nEVAL,"OR")=0))</f>
      </c>
      <c r="I10113">
        <f>IF(DATOS!$I10113="","",IFERROR(VLOOKUP(DATOS!$I10113,CONFIG_ASIGNATURAS!$B$2:$J$91,9,FALSE()),""))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IF(DATOS!$A10114="",0,IF(CONFIG_METADATA!$B$4&lt;&gt;"OR+EX",--(DATOS!$G10114=CONFIG_METADATA!$B$4),IF(DATOS!$G10114="EX",1,IF(DATOS!$G10114="OR",--(COUNTIFS(nNIA,DATOS!$A10114,nCURSO,DATOS!$D10114,nESPEC,DATOS!$E10114,nASIG,DATOS!$I10114,nEVAL,"EX")=0),0))))</f>
      </c>
      <c r="H10114">
        <f>IF(DATOS!$G10114&lt;&gt;"EX",0,--(COUNTIFS(nNIA,DATOS!$A10114,nCURSO,DATOS!$D10114,nESPEC,DATOS!$E10114,nASIG,DATOS!$I10114,nEVAL,"OR")=0))</f>
      </c>
      <c r="I10114">
        <f>IF(DATOS!$I10114="","",IFERROR(VLOOKUP(DATOS!$I10114,CONFIG_ASIGNATURAS!$B$2:$J$91,9,FALSE()),""))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IF(DATOS!$A10115="",0,IF(CONFIG_METADATA!$B$4&lt;&gt;"OR+EX",--(DATOS!$G10115=CONFIG_METADATA!$B$4),IF(DATOS!$G10115="EX",1,IF(DATOS!$G10115="OR",--(COUNTIFS(nNIA,DATOS!$A10115,nCURSO,DATOS!$D10115,nESPEC,DATOS!$E10115,nASIG,DATOS!$I10115,nEVAL,"EX")=0),0))))</f>
      </c>
      <c r="H10115">
        <f>IF(DATOS!$G10115&lt;&gt;"EX",0,--(COUNTIFS(nNIA,DATOS!$A10115,nCURSO,DATOS!$D10115,nESPEC,DATOS!$E10115,nASIG,DATOS!$I10115,nEVAL,"OR")=0))</f>
      </c>
      <c r="I10115">
        <f>IF(DATOS!$I10115="","",IFERROR(VLOOKUP(DATOS!$I10115,CONFIG_ASIGNATURAS!$B$2:$J$91,9,FALSE()),""))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IF(DATOS!$A10116="",0,IF(CONFIG_METADATA!$B$4&lt;&gt;"OR+EX",--(DATOS!$G10116=CONFIG_METADATA!$B$4),IF(DATOS!$G10116="EX",1,IF(DATOS!$G10116="OR",--(COUNTIFS(nNIA,DATOS!$A10116,nCURSO,DATOS!$D10116,nESPEC,DATOS!$E10116,nASIG,DATOS!$I10116,nEVAL,"EX")=0),0))))</f>
      </c>
      <c r="H10116">
        <f>IF(DATOS!$G10116&lt;&gt;"EX",0,--(COUNTIFS(nNIA,DATOS!$A10116,nCURSO,DATOS!$D10116,nESPEC,DATOS!$E10116,nASIG,DATOS!$I10116,nEVAL,"OR")=0))</f>
      </c>
      <c r="I10116">
        <f>IF(DATOS!$I10116="","",IFERROR(VLOOKUP(DATOS!$I10116,CONFIG_ASIGNATURAS!$B$2:$J$91,9,FALSE()),""))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IF(DATOS!$A10117="",0,IF(CONFIG_METADATA!$B$4&lt;&gt;"OR+EX",--(DATOS!$G10117=CONFIG_METADATA!$B$4),IF(DATOS!$G10117="EX",1,IF(DATOS!$G10117="OR",--(COUNTIFS(nNIA,DATOS!$A10117,nCURSO,DATOS!$D10117,nESPEC,DATOS!$E10117,nASIG,DATOS!$I10117,nEVAL,"EX")=0),0))))</f>
      </c>
      <c r="H10117">
        <f>IF(DATOS!$G10117&lt;&gt;"EX",0,--(COUNTIFS(nNIA,DATOS!$A10117,nCURSO,DATOS!$D10117,nESPEC,DATOS!$E10117,nASIG,DATOS!$I10117,nEVAL,"OR")=0))</f>
      </c>
      <c r="I10117">
        <f>IF(DATOS!$I10117="","",IFERROR(VLOOKUP(DATOS!$I10117,CONFIG_ASIGNATURAS!$B$2:$J$91,9,FALSE()),""))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IF(DATOS!$A10118="",0,IF(CONFIG_METADATA!$B$4&lt;&gt;"OR+EX",--(DATOS!$G10118=CONFIG_METADATA!$B$4),IF(DATOS!$G10118="EX",1,IF(DATOS!$G10118="OR",--(COUNTIFS(nNIA,DATOS!$A10118,nCURSO,DATOS!$D10118,nESPEC,DATOS!$E10118,nASIG,DATOS!$I10118,nEVAL,"EX")=0),0))))</f>
      </c>
      <c r="H10118">
        <f>IF(DATOS!$G10118&lt;&gt;"EX",0,--(COUNTIFS(nNIA,DATOS!$A10118,nCURSO,DATOS!$D10118,nESPEC,DATOS!$E10118,nASIG,DATOS!$I10118,nEVAL,"OR")=0))</f>
      </c>
      <c r="I10118">
        <f>IF(DATOS!$I10118="","",IFERROR(VLOOKUP(DATOS!$I10118,CONFIG_ASIGNATURAS!$B$2:$J$91,9,FALSE()),""))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IF(DATOS!$A10119="",0,IF(CONFIG_METADATA!$B$4&lt;&gt;"OR+EX",--(DATOS!$G10119=CONFIG_METADATA!$B$4),IF(DATOS!$G10119="EX",1,IF(DATOS!$G10119="OR",--(COUNTIFS(nNIA,DATOS!$A10119,nCURSO,DATOS!$D10119,nESPEC,DATOS!$E10119,nASIG,DATOS!$I10119,nEVAL,"EX")=0),0))))</f>
      </c>
      <c r="H10119">
        <f>IF(DATOS!$G10119&lt;&gt;"EX",0,--(COUNTIFS(nNIA,DATOS!$A10119,nCURSO,DATOS!$D10119,nESPEC,DATOS!$E10119,nASIG,DATOS!$I10119,nEVAL,"OR")=0))</f>
      </c>
      <c r="I10119">
        <f>IF(DATOS!$I10119="","",IFERROR(VLOOKUP(DATOS!$I10119,CONFIG_ASIGNATURAS!$B$2:$J$91,9,FALSE()),""))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IF(DATOS!$A10120="",0,IF(CONFIG_METADATA!$B$4&lt;&gt;"OR+EX",--(DATOS!$G10120=CONFIG_METADATA!$B$4),IF(DATOS!$G10120="EX",1,IF(DATOS!$G10120="OR",--(COUNTIFS(nNIA,DATOS!$A10120,nCURSO,DATOS!$D10120,nESPEC,DATOS!$E10120,nASIG,DATOS!$I10120,nEVAL,"EX")=0),0))))</f>
      </c>
      <c r="H10120">
        <f>IF(DATOS!$G10120&lt;&gt;"EX",0,--(COUNTIFS(nNIA,DATOS!$A10120,nCURSO,DATOS!$D10120,nESPEC,DATOS!$E10120,nASIG,DATOS!$I10120,nEVAL,"OR")=0))</f>
      </c>
      <c r="I10120">
        <f>IF(DATOS!$I10120="","",IFERROR(VLOOKUP(DATOS!$I10120,CONFIG_ASIGNATURAS!$B$2:$J$91,9,FALSE()),""))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IF(DATOS!$A10121="",0,IF(CONFIG_METADATA!$B$4&lt;&gt;"OR+EX",--(DATOS!$G10121=CONFIG_METADATA!$B$4),IF(DATOS!$G10121="EX",1,IF(DATOS!$G10121="OR",--(COUNTIFS(nNIA,DATOS!$A10121,nCURSO,DATOS!$D10121,nESPEC,DATOS!$E10121,nASIG,DATOS!$I10121,nEVAL,"EX")=0),0))))</f>
      </c>
      <c r="H10121">
        <f>IF(DATOS!$G10121&lt;&gt;"EX",0,--(COUNTIFS(nNIA,DATOS!$A10121,nCURSO,DATOS!$D10121,nESPEC,DATOS!$E10121,nASIG,DATOS!$I10121,nEVAL,"OR")=0))</f>
      </c>
      <c r="I10121">
        <f>IF(DATOS!$I10121="","",IFERROR(VLOOKUP(DATOS!$I10121,CONFIG_ASIGNATURAS!$B$2:$J$91,9,FALSE()),""))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IF(DATOS!$A10122="",0,IF(CONFIG_METADATA!$B$4&lt;&gt;"OR+EX",--(DATOS!$G10122=CONFIG_METADATA!$B$4),IF(DATOS!$G10122="EX",1,IF(DATOS!$G10122="OR",--(COUNTIFS(nNIA,DATOS!$A10122,nCURSO,DATOS!$D10122,nESPEC,DATOS!$E10122,nASIG,DATOS!$I10122,nEVAL,"EX")=0),0))))</f>
      </c>
      <c r="H10122">
        <f>IF(DATOS!$G10122&lt;&gt;"EX",0,--(COUNTIFS(nNIA,DATOS!$A10122,nCURSO,DATOS!$D10122,nESPEC,DATOS!$E10122,nASIG,DATOS!$I10122,nEVAL,"OR")=0))</f>
      </c>
      <c r="I10122">
        <f>IF(DATOS!$I10122="","",IFERROR(VLOOKUP(DATOS!$I10122,CONFIG_ASIGNATURAS!$B$2:$J$91,9,FALSE()),""))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IF(DATOS!$A10123="",0,IF(CONFIG_METADATA!$B$4&lt;&gt;"OR+EX",--(DATOS!$G10123=CONFIG_METADATA!$B$4),IF(DATOS!$G10123="EX",1,IF(DATOS!$G10123="OR",--(COUNTIFS(nNIA,DATOS!$A10123,nCURSO,DATOS!$D10123,nESPEC,DATOS!$E10123,nASIG,DATOS!$I10123,nEVAL,"EX")=0),0))))</f>
      </c>
      <c r="H10123">
        <f>IF(DATOS!$G10123&lt;&gt;"EX",0,--(COUNTIFS(nNIA,DATOS!$A10123,nCURSO,DATOS!$D10123,nESPEC,DATOS!$E10123,nASIG,DATOS!$I10123,nEVAL,"OR")=0))</f>
      </c>
      <c r="I10123">
        <f>IF(DATOS!$I10123="","",IFERROR(VLOOKUP(DATOS!$I10123,CONFIG_ASIGNATURAS!$B$2:$J$91,9,FALSE()),""))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IF(DATOS!$A10124="",0,IF(CONFIG_METADATA!$B$4&lt;&gt;"OR+EX",--(DATOS!$G10124=CONFIG_METADATA!$B$4),IF(DATOS!$G10124="EX",1,IF(DATOS!$G10124="OR",--(COUNTIFS(nNIA,DATOS!$A10124,nCURSO,DATOS!$D10124,nESPEC,DATOS!$E10124,nASIG,DATOS!$I10124,nEVAL,"EX")=0),0))))</f>
      </c>
      <c r="H10124">
        <f>IF(DATOS!$G10124&lt;&gt;"EX",0,--(COUNTIFS(nNIA,DATOS!$A10124,nCURSO,DATOS!$D10124,nESPEC,DATOS!$E10124,nASIG,DATOS!$I10124,nEVAL,"OR")=0))</f>
      </c>
      <c r="I10124">
        <f>IF(DATOS!$I10124="","",IFERROR(VLOOKUP(DATOS!$I10124,CONFIG_ASIGNATURAS!$B$2:$J$91,9,FALSE()),""))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IF(DATOS!$A10125="",0,IF(CONFIG_METADATA!$B$4&lt;&gt;"OR+EX",--(DATOS!$G10125=CONFIG_METADATA!$B$4),IF(DATOS!$G10125="EX",1,IF(DATOS!$G10125="OR",--(COUNTIFS(nNIA,DATOS!$A10125,nCURSO,DATOS!$D10125,nESPEC,DATOS!$E10125,nASIG,DATOS!$I10125,nEVAL,"EX")=0),0))))</f>
      </c>
      <c r="H10125">
        <f>IF(DATOS!$G10125&lt;&gt;"EX",0,--(COUNTIFS(nNIA,DATOS!$A10125,nCURSO,DATOS!$D10125,nESPEC,DATOS!$E10125,nASIG,DATOS!$I10125,nEVAL,"OR")=0))</f>
      </c>
      <c r="I10125">
        <f>IF(DATOS!$I10125="","",IFERROR(VLOOKUP(DATOS!$I10125,CONFIG_ASIGNATURAS!$B$2:$J$91,9,FALSE()),""))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IF(DATOS!$A10126="",0,IF(CONFIG_METADATA!$B$4&lt;&gt;"OR+EX",--(DATOS!$G10126=CONFIG_METADATA!$B$4),IF(DATOS!$G10126="EX",1,IF(DATOS!$G10126="OR",--(COUNTIFS(nNIA,DATOS!$A10126,nCURSO,DATOS!$D10126,nESPEC,DATOS!$E10126,nASIG,DATOS!$I10126,nEVAL,"EX")=0),0))))</f>
      </c>
      <c r="H10126">
        <f>IF(DATOS!$G10126&lt;&gt;"EX",0,--(COUNTIFS(nNIA,DATOS!$A10126,nCURSO,DATOS!$D10126,nESPEC,DATOS!$E10126,nASIG,DATOS!$I10126,nEVAL,"OR")=0))</f>
      </c>
      <c r="I10126">
        <f>IF(DATOS!$I10126="","",IFERROR(VLOOKUP(DATOS!$I10126,CONFIG_ASIGNATURAS!$B$2:$J$91,9,FALSE()),""))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IF(DATOS!$A10127="",0,IF(CONFIG_METADATA!$B$4&lt;&gt;"OR+EX",--(DATOS!$G10127=CONFIG_METADATA!$B$4),IF(DATOS!$G10127="EX",1,IF(DATOS!$G10127="OR",--(COUNTIFS(nNIA,DATOS!$A10127,nCURSO,DATOS!$D10127,nESPEC,DATOS!$E10127,nASIG,DATOS!$I10127,nEVAL,"EX")=0),0))))</f>
      </c>
      <c r="H10127">
        <f>IF(DATOS!$G10127&lt;&gt;"EX",0,--(COUNTIFS(nNIA,DATOS!$A10127,nCURSO,DATOS!$D10127,nESPEC,DATOS!$E10127,nASIG,DATOS!$I10127,nEVAL,"OR")=0))</f>
      </c>
      <c r="I10127">
        <f>IF(DATOS!$I10127="","",IFERROR(VLOOKUP(DATOS!$I10127,CONFIG_ASIGNATURAS!$B$2:$J$91,9,FALSE()),""))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IF(DATOS!$A10128="",0,IF(CONFIG_METADATA!$B$4&lt;&gt;"OR+EX",--(DATOS!$G10128=CONFIG_METADATA!$B$4),IF(DATOS!$G10128="EX",1,IF(DATOS!$G10128="OR",--(COUNTIFS(nNIA,DATOS!$A10128,nCURSO,DATOS!$D10128,nESPEC,DATOS!$E10128,nASIG,DATOS!$I10128,nEVAL,"EX")=0),0))))</f>
      </c>
      <c r="H10128">
        <f>IF(DATOS!$G10128&lt;&gt;"EX",0,--(COUNTIFS(nNIA,DATOS!$A10128,nCURSO,DATOS!$D10128,nESPEC,DATOS!$E10128,nASIG,DATOS!$I10128,nEVAL,"OR")=0))</f>
      </c>
      <c r="I10128">
        <f>IF(DATOS!$I10128="","",IFERROR(VLOOKUP(DATOS!$I10128,CONFIG_ASIGNATURAS!$B$2:$J$91,9,FALSE()),""))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IF(DATOS!$A10129="",0,IF(CONFIG_METADATA!$B$4&lt;&gt;"OR+EX",--(DATOS!$G10129=CONFIG_METADATA!$B$4),IF(DATOS!$G10129="EX",1,IF(DATOS!$G10129="OR",--(COUNTIFS(nNIA,DATOS!$A10129,nCURSO,DATOS!$D10129,nESPEC,DATOS!$E10129,nASIG,DATOS!$I10129,nEVAL,"EX")=0),0))))</f>
      </c>
      <c r="H10129">
        <f>IF(DATOS!$G10129&lt;&gt;"EX",0,--(COUNTIFS(nNIA,DATOS!$A10129,nCURSO,DATOS!$D10129,nESPEC,DATOS!$E10129,nASIG,DATOS!$I10129,nEVAL,"OR")=0))</f>
      </c>
      <c r="I10129">
        <f>IF(DATOS!$I10129="","",IFERROR(VLOOKUP(DATOS!$I10129,CONFIG_ASIGNATURAS!$B$2:$J$91,9,FALSE()),""))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IF(DATOS!$A10130="",0,IF(CONFIG_METADATA!$B$4&lt;&gt;"OR+EX",--(DATOS!$G10130=CONFIG_METADATA!$B$4),IF(DATOS!$G10130="EX",1,IF(DATOS!$G10130="OR",--(COUNTIFS(nNIA,DATOS!$A10130,nCURSO,DATOS!$D10130,nESPEC,DATOS!$E10130,nASIG,DATOS!$I10130,nEVAL,"EX")=0),0))))</f>
      </c>
      <c r="H10130">
        <f>IF(DATOS!$G10130&lt;&gt;"EX",0,--(COUNTIFS(nNIA,DATOS!$A10130,nCURSO,DATOS!$D10130,nESPEC,DATOS!$E10130,nASIG,DATOS!$I10130,nEVAL,"OR")=0))</f>
      </c>
      <c r="I10130">
        <f>IF(DATOS!$I10130="","",IFERROR(VLOOKUP(DATOS!$I10130,CONFIG_ASIGNATURAS!$B$2:$J$91,9,FALSE()),""))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IF(DATOS!$A10131="",0,IF(CONFIG_METADATA!$B$4&lt;&gt;"OR+EX",--(DATOS!$G10131=CONFIG_METADATA!$B$4),IF(DATOS!$G10131="EX",1,IF(DATOS!$G10131="OR",--(COUNTIFS(nNIA,DATOS!$A10131,nCURSO,DATOS!$D10131,nESPEC,DATOS!$E10131,nASIG,DATOS!$I10131,nEVAL,"EX")=0),0))))</f>
      </c>
      <c r="H10131">
        <f>IF(DATOS!$G10131&lt;&gt;"EX",0,--(COUNTIFS(nNIA,DATOS!$A10131,nCURSO,DATOS!$D10131,nESPEC,DATOS!$E10131,nASIG,DATOS!$I10131,nEVAL,"OR")=0))</f>
      </c>
      <c r="I10131">
        <f>IF(DATOS!$I10131="","",IFERROR(VLOOKUP(DATOS!$I10131,CONFIG_ASIGNATURAS!$B$2:$J$91,9,FALSE()),""))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IF(DATOS!$A10132="",0,IF(CONFIG_METADATA!$B$4&lt;&gt;"OR+EX",--(DATOS!$G10132=CONFIG_METADATA!$B$4),IF(DATOS!$G10132="EX",1,IF(DATOS!$G10132="OR",--(COUNTIFS(nNIA,DATOS!$A10132,nCURSO,DATOS!$D10132,nESPEC,DATOS!$E10132,nASIG,DATOS!$I10132,nEVAL,"EX")=0),0))))</f>
      </c>
      <c r="H10132">
        <f>IF(DATOS!$G10132&lt;&gt;"EX",0,--(COUNTIFS(nNIA,DATOS!$A10132,nCURSO,DATOS!$D10132,nESPEC,DATOS!$E10132,nASIG,DATOS!$I10132,nEVAL,"OR")=0))</f>
      </c>
      <c r="I10132">
        <f>IF(DATOS!$I10132="","",IFERROR(VLOOKUP(DATOS!$I10132,CONFIG_ASIGNATURAS!$B$2:$J$91,9,FALSE()),""))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IF(DATOS!$A10133="",0,IF(CONFIG_METADATA!$B$4&lt;&gt;"OR+EX",--(DATOS!$G10133=CONFIG_METADATA!$B$4),IF(DATOS!$G10133="EX",1,IF(DATOS!$G10133="OR",--(COUNTIFS(nNIA,DATOS!$A10133,nCURSO,DATOS!$D10133,nESPEC,DATOS!$E10133,nASIG,DATOS!$I10133,nEVAL,"EX")=0),0))))</f>
      </c>
      <c r="H10133">
        <f>IF(DATOS!$G10133&lt;&gt;"EX",0,--(COUNTIFS(nNIA,DATOS!$A10133,nCURSO,DATOS!$D10133,nESPEC,DATOS!$E10133,nASIG,DATOS!$I10133,nEVAL,"OR")=0))</f>
      </c>
      <c r="I10133">
        <f>IF(DATOS!$I10133="","",IFERROR(VLOOKUP(DATOS!$I10133,CONFIG_ASIGNATURAS!$B$2:$J$91,9,FALSE()),""))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IF(DATOS!$A10134="",0,IF(CONFIG_METADATA!$B$4&lt;&gt;"OR+EX",--(DATOS!$G10134=CONFIG_METADATA!$B$4),IF(DATOS!$G10134="EX",1,IF(DATOS!$G10134="OR",--(COUNTIFS(nNIA,DATOS!$A10134,nCURSO,DATOS!$D10134,nESPEC,DATOS!$E10134,nASIG,DATOS!$I10134,nEVAL,"EX")=0),0))))</f>
      </c>
      <c r="H10134">
        <f>IF(DATOS!$G10134&lt;&gt;"EX",0,--(COUNTIFS(nNIA,DATOS!$A10134,nCURSO,DATOS!$D10134,nESPEC,DATOS!$E10134,nASIG,DATOS!$I10134,nEVAL,"OR")=0))</f>
      </c>
      <c r="I10134">
        <f>IF(DATOS!$I10134="","",IFERROR(VLOOKUP(DATOS!$I10134,CONFIG_ASIGNATURAS!$B$2:$J$91,9,FALSE()),""))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IF(DATOS!$A10135="",0,IF(CONFIG_METADATA!$B$4&lt;&gt;"OR+EX",--(DATOS!$G10135=CONFIG_METADATA!$B$4),IF(DATOS!$G10135="EX",1,IF(DATOS!$G10135="OR",--(COUNTIFS(nNIA,DATOS!$A10135,nCURSO,DATOS!$D10135,nESPEC,DATOS!$E10135,nASIG,DATOS!$I10135,nEVAL,"EX")=0),0))))</f>
      </c>
      <c r="H10135">
        <f>IF(DATOS!$G10135&lt;&gt;"EX",0,--(COUNTIFS(nNIA,DATOS!$A10135,nCURSO,DATOS!$D10135,nESPEC,DATOS!$E10135,nASIG,DATOS!$I10135,nEVAL,"OR")=0))</f>
      </c>
      <c r="I10135">
        <f>IF(DATOS!$I10135="","",IFERROR(VLOOKUP(DATOS!$I10135,CONFIG_ASIGNATURAS!$B$2:$J$91,9,FALSE()),""))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IF(DATOS!$A10136="",0,IF(CONFIG_METADATA!$B$4&lt;&gt;"OR+EX",--(DATOS!$G10136=CONFIG_METADATA!$B$4),IF(DATOS!$G10136="EX",1,IF(DATOS!$G10136="OR",--(COUNTIFS(nNIA,DATOS!$A10136,nCURSO,DATOS!$D10136,nESPEC,DATOS!$E10136,nASIG,DATOS!$I10136,nEVAL,"EX")=0),0))))</f>
      </c>
      <c r="H10136">
        <f>IF(DATOS!$G10136&lt;&gt;"EX",0,--(COUNTIFS(nNIA,DATOS!$A10136,nCURSO,DATOS!$D10136,nESPEC,DATOS!$E10136,nASIG,DATOS!$I10136,nEVAL,"OR")=0))</f>
      </c>
      <c r="I10136">
        <f>IF(DATOS!$I10136="","",IFERROR(VLOOKUP(DATOS!$I10136,CONFIG_ASIGNATURAS!$B$2:$J$91,9,FALSE()),""))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IF(DATOS!$A10137="",0,IF(CONFIG_METADATA!$B$4&lt;&gt;"OR+EX",--(DATOS!$G10137=CONFIG_METADATA!$B$4),IF(DATOS!$G10137="EX",1,IF(DATOS!$G10137="OR",--(COUNTIFS(nNIA,DATOS!$A10137,nCURSO,DATOS!$D10137,nESPEC,DATOS!$E10137,nASIG,DATOS!$I10137,nEVAL,"EX")=0),0))))</f>
      </c>
      <c r="H10137">
        <f>IF(DATOS!$G10137&lt;&gt;"EX",0,--(COUNTIFS(nNIA,DATOS!$A10137,nCURSO,DATOS!$D10137,nESPEC,DATOS!$E10137,nASIG,DATOS!$I10137,nEVAL,"OR")=0))</f>
      </c>
      <c r="I10137">
        <f>IF(DATOS!$I10137="","",IFERROR(VLOOKUP(DATOS!$I10137,CONFIG_ASIGNATURAS!$B$2:$J$91,9,FALSE()),""))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IF(DATOS!$A10138="",0,IF(CONFIG_METADATA!$B$4&lt;&gt;"OR+EX",--(DATOS!$G10138=CONFIG_METADATA!$B$4),IF(DATOS!$G10138="EX",1,IF(DATOS!$G10138="OR",--(COUNTIFS(nNIA,DATOS!$A10138,nCURSO,DATOS!$D10138,nESPEC,DATOS!$E10138,nASIG,DATOS!$I10138,nEVAL,"EX")=0),0))))</f>
      </c>
      <c r="H10138">
        <f>IF(DATOS!$G10138&lt;&gt;"EX",0,--(COUNTIFS(nNIA,DATOS!$A10138,nCURSO,DATOS!$D10138,nESPEC,DATOS!$E10138,nASIG,DATOS!$I10138,nEVAL,"OR")=0))</f>
      </c>
      <c r="I10138">
        <f>IF(DATOS!$I10138="","",IFERROR(VLOOKUP(DATOS!$I10138,CONFIG_ASIGNATURAS!$B$2:$J$91,9,FALSE()),""))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IF(DATOS!$A10139="",0,IF(CONFIG_METADATA!$B$4&lt;&gt;"OR+EX",--(DATOS!$G10139=CONFIG_METADATA!$B$4),IF(DATOS!$G10139="EX",1,IF(DATOS!$G10139="OR",--(COUNTIFS(nNIA,DATOS!$A10139,nCURSO,DATOS!$D10139,nESPEC,DATOS!$E10139,nASIG,DATOS!$I10139,nEVAL,"EX")=0),0))))</f>
      </c>
      <c r="H10139">
        <f>IF(DATOS!$G10139&lt;&gt;"EX",0,--(COUNTIFS(nNIA,DATOS!$A10139,nCURSO,DATOS!$D10139,nESPEC,DATOS!$E10139,nASIG,DATOS!$I10139,nEVAL,"OR")=0))</f>
      </c>
      <c r="I10139">
        <f>IF(DATOS!$I10139="","",IFERROR(VLOOKUP(DATOS!$I10139,CONFIG_ASIGNATURAS!$B$2:$J$91,9,FALSE()),""))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IF(DATOS!$A10140="",0,IF(CONFIG_METADATA!$B$4&lt;&gt;"OR+EX",--(DATOS!$G10140=CONFIG_METADATA!$B$4),IF(DATOS!$G10140="EX",1,IF(DATOS!$G10140="OR",--(COUNTIFS(nNIA,DATOS!$A10140,nCURSO,DATOS!$D10140,nESPEC,DATOS!$E10140,nASIG,DATOS!$I10140,nEVAL,"EX")=0),0))))</f>
      </c>
      <c r="H10140">
        <f>IF(DATOS!$G10140&lt;&gt;"EX",0,--(COUNTIFS(nNIA,DATOS!$A10140,nCURSO,DATOS!$D10140,nESPEC,DATOS!$E10140,nASIG,DATOS!$I10140,nEVAL,"OR")=0))</f>
      </c>
      <c r="I10140">
        <f>IF(DATOS!$I10140="","",IFERROR(VLOOKUP(DATOS!$I10140,CONFIG_ASIGNATURAS!$B$2:$J$91,9,FALSE()),""))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IF(DATOS!$A10141="",0,IF(CONFIG_METADATA!$B$4&lt;&gt;"OR+EX",--(DATOS!$G10141=CONFIG_METADATA!$B$4),IF(DATOS!$G10141="EX",1,IF(DATOS!$G10141="OR",--(COUNTIFS(nNIA,DATOS!$A10141,nCURSO,DATOS!$D10141,nESPEC,DATOS!$E10141,nASIG,DATOS!$I10141,nEVAL,"EX")=0),0))))</f>
      </c>
      <c r="H10141">
        <f>IF(DATOS!$G10141&lt;&gt;"EX",0,--(COUNTIFS(nNIA,DATOS!$A10141,nCURSO,DATOS!$D10141,nESPEC,DATOS!$E10141,nASIG,DATOS!$I10141,nEVAL,"OR")=0))</f>
      </c>
      <c r="I10141">
        <f>IF(DATOS!$I10141="","",IFERROR(VLOOKUP(DATOS!$I10141,CONFIG_ASIGNATURAS!$B$2:$J$91,9,FALSE()),""))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IF(DATOS!$A10142="",0,IF(CONFIG_METADATA!$B$4&lt;&gt;"OR+EX",--(DATOS!$G10142=CONFIG_METADATA!$B$4),IF(DATOS!$G10142="EX",1,IF(DATOS!$G10142="OR",--(COUNTIFS(nNIA,DATOS!$A10142,nCURSO,DATOS!$D10142,nESPEC,DATOS!$E10142,nASIG,DATOS!$I10142,nEVAL,"EX")=0),0))))</f>
      </c>
      <c r="H10142">
        <f>IF(DATOS!$G10142&lt;&gt;"EX",0,--(COUNTIFS(nNIA,DATOS!$A10142,nCURSO,DATOS!$D10142,nESPEC,DATOS!$E10142,nASIG,DATOS!$I10142,nEVAL,"OR")=0))</f>
      </c>
      <c r="I10142">
        <f>IF(DATOS!$I10142="","",IFERROR(VLOOKUP(DATOS!$I10142,CONFIG_ASIGNATURAS!$B$2:$J$91,9,FALSE()),""))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IF(DATOS!$A10143="",0,IF(CONFIG_METADATA!$B$4&lt;&gt;"OR+EX",--(DATOS!$G10143=CONFIG_METADATA!$B$4),IF(DATOS!$G10143="EX",1,IF(DATOS!$G10143="OR",--(COUNTIFS(nNIA,DATOS!$A10143,nCURSO,DATOS!$D10143,nESPEC,DATOS!$E10143,nASIG,DATOS!$I10143,nEVAL,"EX")=0),0))))</f>
      </c>
      <c r="H10143">
        <f>IF(DATOS!$G10143&lt;&gt;"EX",0,--(COUNTIFS(nNIA,DATOS!$A10143,nCURSO,DATOS!$D10143,nESPEC,DATOS!$E10143,nASIG,DATOS!$I10143,nEVAL,"OR")=0))</f>
      </c>
      <c r="I10143">
        <f>IF(DATOS!$I10143="","",IFERROR(VLOOKUP(DATOS!$I10143,CONFIG_ASIGNATURAS!$B$2:$J$91,9,FALSE()),""))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IF(DATOS!$A10144="",0,IF(CONFIG_METADATA!$B$4&lt;&gt;"OR+EX",--(DATOS!$G10144=CONFIG_METADATA!$B$4),IF(DATOS!$G10144="EX",1,IF(DATOS!$G10144="OR",--(COUNTIFS(nNIA,DATOS!$A10144,nCURSO,DATOS!$D10144,nESPEC,DATOS!$E10144,nASIG,DATOS!$I10144,nEVAL,"EX")=0),0))))</f>
      </c>
      <c r="H10144">
        <f>IF(DATOS!$G10144&lt;&gt;"EX",0,--(COUNTIFS(nNIA,DATOS!$A10144,nCURSO,DATOS!$D10144,nESPEC,DATOS!$E10144,nASIG,DATOS!$I10144,nEVAL,"OR")=0))</f>
      </c>
      <c r="I10144">
        <f>IF(DATOS!$I10144="","",IFERROR(VLOOKUP(DATOS!$I10144,CONFIG_ASIGNATURAS!$B$2:$J$91,9,FALSE()),""))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IF(DATOS!$A10145="",0,IF(CONFIG_METADATA!$B$4&lt;&gt;"OR+EX",--(DATOS!$G10145=CONFIG_METADATA!$B$4),IF(DATOS!$G10145="EX",1,IF(DATOS!$G10145="OR",--(COUNTIFS(nNIA,DATOS!$A10145,nCURSO,DATOS!$D10145,nESPEC,DATOS!$E10145,nASIG,DATOS!$I10145,nEVAL,"EX")=0),0))))</f>
      </c>
      <c r="H10145">
        <f>IF(DATOS!$G10145&lt;&gt;"EX",0,--(COUNTIFS(nNIA,DATOS!$A10145,nCURSO,DATOS!$D10145,nESPEC,DATOS!$E10145,nASIG,DATOS!$I10145,nEVAL,"OR")=0))</f>
      </c>
      <c r="I10145">
        <f>IF(DATOS!$I10145="","",IFERROR(VLOOKUP(DATOS!$I10145,CONFIG_ASIGNATURAS!$B$2:$J$91,9,FALSE()),""))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IF(DATOS!$A10146="",0,IF(CONFIG_METADATA!$B$4&lt;&gt;"OR+EX",--(DATOS!$G10146=CONFIG_METADATA!$B$4),IF(DATOS!$G10146="EX",1,IF(DATOS!$G10146="OR",--(COUNTIFS(nNIA,DATOS!$A10146,nCURSO,DATOS!$D10146,nESPEC,DATOS!$E10146,nASIG,DATOS!$I10146,nEVAL,"EX")=0),0))))</f>
      </c>
      <c r="H10146">
        <f>IF(DATOS!$G10146&lt;&gt;"EX",0,--(COUNTIFS(nNIA,DATOS!$A10146,nCURSO,DATOS!$D10146,nESPEC,DATOS!$E10146,nASIG,DATOS!$I10146,nEVAL,"OR")=0))</f>
      </c>
      <c r="I10146">
        <f>IF(DATOS!$I10146="","",IFERROR(VLOOKUP(DATOS!$I10146,CONFIG_ASIGNATURAS!$B$2:$J$91,9,FALSE()),""))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IF(DATOS!$A10147="",0,IF(CONFIG_METADATA!$B$4&lt;&gt;"OR+EX",--(DATOS!$G10147=CONFIG_METADATA!$B$4),IF(DATOS!$G10147="EX",1,IF(DATOS!$G10147="OR",--(COUNTIFS(nNIA,DATOS!$A10147,nCURSO,DATOS!$D10147,nESPEC,DATOS!$E10147,nASIG,DATOS!$I10147,nEVAL,"EX")=0),0))))</f>
      </c>
      <c r="H10147">
        <f>IF(DATOS!$G10147&lt;&gt;"EX",0,--(COUNTIFS(nNIA,DATOS!$A10147,nCURSO,DATOS!$D10147,nESPEC,DATOS!$E10147,nASIG,DATOS!$I10147,nEVAL,"OR")=0))</f>
      </c>
      <c r="I10147">
        <f>IF(DATOS!$I10147="","",IFERROR(VLOOKUP(DATOS!$I10147,CONFIG_ASIGNATURAS!$B$2:$J$91,9,FALSE()),""))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IF(DATOS!$A10148="",0,IF(CONFIG_METADATA!$B$4&lt;&gt;"OR+EX",--(DATOS!$G10148=CONFIG_METADATA!$B$4),IF(DATOS!$G10148="EX",1,IF(DATOS!$G10148="OR",--(COUNTIFS(nNIA,DATOS!$A10148,nCURSO,DATOS!$D10148,nESPEC,DATOS!$E10148,nASIG,DATOS!$I10148,nEVAL,"EX")=0),0))))</f>
      </c>
      <c r="H10148">
        <f>IF(DATOS!$G10148&lt;&gt;"EX",0,--(COUNTIFS(nNIA,DATOS!$A10148,nCURSO,DATOS!$D10148,nESPEC,DATOS!$E10148,nASIG,DATOS!$I10148,nEVAL,"OR")=0))</f>
      </c>
      <c r="I10148">
        <f>IF(DATOS!$I10148="","",IFERROR(VLOOKUP(DATOS!$I10148,CONFIG_ASIGNATURAS!$B$2:$J$91,9,FALSE()),""))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IF(DATOS!$A10149="",0,IF(CONFIG_METADATA!$B$4&lt;&gt;"OR+EX",--(DATOS!$G10149=CONFIG_METADATA!$B$4),IF(DATOS!$G10149="EX",1,IF(DATOS!$G10149="OR",--(COUNTIFS(nNIA,DATOS!$A10149,nCURSO,DATOS!$D10149,nESPEC,DATOS!$E10149,nASIG,DATOS!$I10149,nEVAL,"EX")=0),0))))</f>
      </c>
      <c r="H10149">
        <f>IF(DATOS!$G10149&lt;&gt;"EX",0,--(COUNTIFS(nNIA,DATOS!$A10149,nCURSO,DATOS!$D10149,nESPEC,DATOS!$E10149,nASIG,DATOS!$I10149,nEVAL,"OR")=0))</f>
      </c>
      <c r="I10149">
        <f>IF(DATOS!$I10149="","",IFERROR(VLOOKUP(DATOS!$I10149,CONFIG_ASIGNATURAS!$B$2:$J$91,9,FALSE()),""))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IF(DATOS!$A10150="",0,IF(CONFIG_METADATA!$B$4&lt;&gt;"OR+EX",--(DATOS!$G10150=CONFIG_METADATA!$B$4),IF(DATOS!$G10150="EX",1,IF(DATOS!$G10150="OR",--(COUNTIFS(nNIA,DATOS!$A10150,nCURSO,DATOS!$D10150,nESPEC,DATOS!$E10150,nASIG,DATOS!$I10150,nEVAL,"EX")=0),0))))</f>
      </c>
      <c r="H10150">
        <f>IF(DATOS!$G10150&lt;&gt;"EX",0,--(COUNTIFS(nNIA,DATOS!$A10150,nCURSO,DATOS!$D10150,nESPEC,DATOS!$E10150,nASIG,DATOS!$I10150,nEVAL,"OR")=0))</f>
      </c>
      <c r="I10150">
        <f>IF(DATOS!$I10150="","",IFERROR(VLOOKUP(DATOS!$I10150,CONFIG_ASIGNATURAS!$B$2:$J$91,9,FALSE()),""))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IF(DATOS!$A10151="",0,IF(CONFIG_METADATA!$B$4&lt;&gt;"OR+EX",--(DATOS!$G10151=CONFIG_METADATA!$B$4),IF(DATOS!$G10151="EX",1,IF(DATOS!$G10151="OR",--(COUNTIFS(nNIA,DATOS!$A10151,nCURSO,DATOS!$D10151,nESPEC,DATOS!$E10151,nASIG,DATOS!$I10151,nEVAL,"EX")=0),0))))</f>
      </c>
      <c r="H10151">
        <f>IF(DATOS!$G10151&lt;&gt;"EX",0,--(COUNTIFS(nNIA,DATOS!$A10151,nCURSO,DATOS!$D10151,nESPEC,DATOS!$E10151,nASIG,DATOS!$I10151,nEVAL,"OR")=0))</f>
      </c>
      <c r="I10151">
        <f>IF(DATOS!$I10151="","",IFERROR(VLOOKUP(DATOS!$I10151,CONFIG_ASIGNATURAS!$B$2:$J$91,9,FALSE()),""))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IF(DATOS!$A10152="",0,IF(CONFIG_METADATA!$B$4&lt;&gt;"OR+EX",--(DATOS!$G10152=CONFIG_METADATA!$B$4),IF(DATOS!$G10152="EX",1,IF(DATOS!$G10152="OR",--(COUNTIFS(nNIA,DATOS!$A10152,nCURSO,DATOS!$D10152,nESPEC,DATOS!$E10152,nASIG,DATOS!$I10152,nEVAL,"EX")=0),0))))</f>
      </c>
      <c r="H10152">
        <f>IF(DATOS!$G10152&lt;&gt;"EX",0,--(COUNTIFS(nNIA,DATOS!$A10152,nCURSO,DATOS!$D10152,nESPEC,DATOS!$E10152,nASIG,DATOS!$I10152,nEVAL,"OR")=0))</f>
      </c>
      <c r="I10152">
        <f>IF(DATOS!$I10152="","",IFERROR(VLOOKUP(DATOS!$I10152,CONFIG_ASIGNATURAS!$B$2:$J$91,9,FALSE()),""))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IF(DATOS!$A10153="",0,IF(CONFIG_METADATA!$B$4&lt;&gt;"OR+EX",--(DATOS!$G10153=CONFIG_METADATA!$B$4),IF(DATOS!$G10153="EX",1,IF(DATOS!$G10153="OR",--(COUNTIFS(nNIA,DATOS!$A10153,nCURSO,DATOS!$D10153,nESPEC,DATOS!$E10153,nASIG,DATOS!$I10153,nEVAL,"EX")=0),0))))</f>
      </c>
      <c r="H10153">
        <f>IF(DATOS!$G10153&lt;&gt;"EX",0,--(COUNTIFS(nNIA,DATOS!$A10153,nCURSO,DATOS!$D10153,nESPEC,DATOS!$E10153,nASIG,DATOS!$I10153,nEVAL,"OR")=0))</f>
      </c>
      <c r="I10153">
        <f>IF(DATOS!$I10153="","",IFERROR(VLOOKUP(DATOS!$I10153,CONFIG_ASIGNATURAS!$B$2:$J$91,9,FALSE()),""))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IF(DATOS!$A10154="",0,IF(CONFIG_METADATA!$B$4&lt;&gt;"OR+EX",--(DATOS!$G10154=CONFIG_METADATA!$B$4),IF(DATOS!$G10154="EX",1,IF(DATOS!$G10154="OR",--(COUNTIFS(nNIA,DATOS!$A10154,nCURSO,DATOS!$D10154,nESPEC,DATOS!$E10154,nASIG,DATOS!$I10154,nEVAL,"EX")=0),0))))</f>
      </c>
      <c r="H10154">
        <f>IF(DATOS!$G10154&lt;&gt;"EX",0,--(COUNTIFS(nNIA,DATOS!$A10154,nCURSO,DATOS!$D10154,nESPEC,DATOS!$E10154,nASIG,DATOS!$I10154,nEVAL,"OR")=0))</f>
      </c>
      <c r="I10154">
        <f>IF(DATOS!$I10154="","",IFERROR(VLOOKUP(DATOS!$I10154,CONFIG_ASIGNATURAS!$B$2:$J$91,9,FALSE()),""))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IF(DATOS!$A10155="",0,IF(CONFIG_METADATA!$B$4&lt;&gt;"OR+EX",--(DATOS!$G10155=CONFIG_METADATA!$B$4),IF(DATOS!$G10155="EX",1,IF(DATOS!$G10155="OR",--(COUNTIFS(nNIA,DATOS!$A10155,nCURSO,DATOS!$D10155,nESPEC,DATOS!$E10155,nASIG,DATOS!$I10155,nEVAL,"EX")=0),0))))</f>
      </c>
      <c r="H10155">
        <f>IF(DATOS!$G10155&lt;&gt;"EX",0,--(COUNTIFS(nNIA,DATOS!$A10155,nCURSO,DATOS!$D10155,nESPEC,DATOS!$E10155,nASIG,DATOS!$I10155,nEVAL,"OR")=0))</f>
      </c>
      <c r="I10155">
        <f>IF(DATOS!$I10155="","",IFERROR(VLOOKUP(DATOS!$I10155,CONFIG_ASIGNATURAS!$B$2:$J$91,9,FALSE()),""))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IF(DATOS!$A10156="",0,IF(CONFIG_METADATA!$B$4&lt;&gt;"OR+EX",--(DATOS!$G10156=CONFIG_METADATA!$B$4),IF(DATOS!$G10156="EX",1,IF(DATOS!$G10156="OR",--(COUNTIFS(nNIA,DATOS!$A10156,nCURSO,DATOS!$D10156,nESPEC,DATOS!$E10156,nASIG,DATOS!$I10156,nEVAL,"EX")=0),0))))</f>
      </c>
      <c r="H10156">
        <f>IF(DATOS!$G10156&lt;&gt;"EX",0,--(COUNTIFS(nNIA,DATOS!$A10156,nCURSO,DATOS!$D10156,nESPEC,DATOS!$E10156,nASIG,DATOS!$I10156,nEVAL,"OR")=0))</f>
      </c>
      <c r="I10156">
        <f>IF(DATOS!$I10156="","",IFERROR(VLOOKUP(DATOS!$I10156,CONFIG_ASIGNATURAS!$B$2:$J$91,9,FALSE()),""))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IF(DATOS!$A10157="",0,IF(CONFIG_METADATA!$B$4&lt;&gt;"OR+EX",--(DATOS!$G10157=CONFIG_METADATA!$B$4),IF(DATOS!$G10157="EX",1,IF(DATOS!$G10157="OR",--(COUNTIFS(nNIA,DATOS!$A10157,nCURSO,DATOS!$D10157,nESPEC,DATOS!$E10157,nASIG,DATOS!$I10157,nEVAL,"EX")=0),0))))</f>
      </c>
      <c r="H10157">
        <f>IF(DATOS!$G10157&lt;&gt;"EX",0,--(COUNTIFS(nNIA,DATOS!$A10157,nCURSO,DATOS!$D10157,nESPEC,DATOS!$E10157,nASIG,DATOS!$I10157,nEVAL,"OR")=0))</f>
      </c>
      <c r="I10157">
        <f>IF(DATOS!$I10157="","",IFERROR(VLOOKUP(DATOS!$I10157,CONFIG_ASIGNATURAS!$B$2:$J$91,9,FALSE()),""))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IF(DATOS!$A10158="",0,IF(CONFIG_METADATA!$B$4&lt;&gt;"OR+EX",--(DATOS!$G10158=CONFIG_METADATA!$B$4),IF(DATOS!$G10158="EX",1,IF(DATOS!$G10158="OR",--(COUNTIFS(nNIA,DATOS!$A10158,nCURSO,DATOS!$D10158,nESPEC,DATOS!$E10158,nASIG,DATOS!$I10158,nEVAL,"EX")=0),0))))</f>
      </c>
      <c r="H10158">
        <f>IF(DATOS!$G10158&lt;&gt;"EX",0,--(COUNTIFS(nNIA,DATOS!$A10158,nCURSO,DATOS!$D10158,nESPEC,DATOS!$E10158,nASIG,DATOS!$I10158,nEVAL,"OR")=0))</f>
      </c>
      <c r="I10158">
        <f>IF(DATOS!$I10158="","",IFERROR(VLOOKUP(DATOS!$I10158,CONFIG_ASIGNATURAS!$B$2:$J$91,9,FALSE()),""))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IF(DATOS!$A10159="",0,IF(CONFIG_METADATA!$B$4&lt;&gt;"OR+EX",--(DATOS!$G10159=CONFIG_METADATA!$B$4),IF(DATOS!$G10159="EX",1,IF(DATOS!$G10159="OR",--(COUNTIFS(nNIA,DATOS!$A10159,nCURSO,DATOS!$D10159,nESPEC,DATOS!$E10159,nASIG,DATOS!$I10159,nEVAL,"EX")=0),0))))</f>
      </c>
      <c r="H10159">
        <f>IF(DATOS!$G10159&lt;&gt;"EX",0,--(COUNTIFS(nNIA,DATOS!$A10159,nCURSO,DATOS!$D10159,nESPEC,DATOS!$E10159,nASIG,DATOS!$I10159,nEVAL,"OR")=0))</f>
      </c>
      <c r="I10159">
        <f>IF(DATOS!$I10159="","",IFERROR(VLOOKUP(DATOS!$I10159,CONFIG_ASIGNATURAS!$B$2:$J$91,9,FALSE()),""))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IF(DATOS!$A10160="",0,IF(CONFIG_METADATA!$B$4&lt;&gt;"OR+EX",--(DATOS!$G10160=CONFIG_METADATA!$B$4),IF(DATOS!$G10160="EX",1,IF(DATOS!$G10160="OR",--(COUNTIFS(nNIA,DATOS!$A10160,nCURSO,DATOS!$D10160,nESPEC,DATOS!$E10160,nASIG,DATOS!$I10160,nEVAL,"EX")=0),0))))</f>
      </c>
      <c r="H10160">
        <f>IF(DATOS!$G10160&lt;&gt;"EX",0,--(COUNTIFS(nNIA,DATOS!$A10160,nCURSO,DATOS!$D10160,nESPEC,DATOS!$E10160,nASIG,DATOS!$I10160,nEVAL,"OR")=0))</f>
      </c>
      <c r="I10160">
        <f>IF(DATOS!$I10160="","",IFERROR(VLOOKUP(DATOS!$I10160,CONFIG_ASIGNATURAS!$B$2:$J$91,9,FALSE()),""))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IF(DATOS!$A10161="",0,IF(CONFIG_METADATA!$B$4&lt;&gt;"OR+EX",--(DATOS!$G10161=CONFIG_METADATA!$B$4),IF(DATOS!$G10161="EX",1,IF(DATOS!$G10161="OR",--(COUNTIFS(nNIA,DATOS!$A10161,nCURSO,DATOS!$D10161,nESPEC,DATOS!$E10161,nASIG,DATOS!$I10161,nEVAL,"EX")=0),0))))</f>
      </c>
      <c r="H10161">
        <f>IF(DATOS!$G10161&lt;&gt;"EX",0,--(COUNTIFS(nNIA,DATOS!$A10161,nCURSO,DATOS!$D10161,nESPEC,DATOS!$E10161,nASIG,DATOS!$I10161,nEVAL,"OR")=0))</f>
      </c>
      <c r="I10161">
        <f>IF(DATOS!$I10161="","",IFERROR(VLOOKUP(DATOS!$I10161,CONFIG_ASIGNATURAS!$B$2:$J$91,9,FALSE()),""))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IF(DATOS!$A10162="",0,IF(CONFIG_METADATA!$B$4&lt;&gt;"OR+EX",--(DATOS!$G10162=CONFIG_METADATA!$B$4),IF(DATOS!$G10162="EX",1,IF(DATOS!$G10162="OR",--(COUNTIFS(nNIA,DATOS!$A10162,nCURSO,DATOS!$D10162,nESPEC,DATOS!$E10162,nASIG,DATOS!$I10162,nEVAL,"EX")=0),0))))</f>
      </c>
      <c r="H10162">
        <f>IF(DATOS!$G10162&lt;&gt;"EX",0,--(COUNTIFS(nNIA,DATOS!$A10162,nCURSO,DATOS!$D10162,nESPEC,DATOS!$E10162,nASIG,DATOS!$I10162,nEVAL,"OR")=0))</f>
      </c>
      <c r="I10162">
        <f>IF(DATOS!$I10162="","",IFERROR(VLOOKUP(DATOS!$I10162,CONFIG_ASIGNATURAS!$B$2:$J$91,9,FALSE()),""))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IF(DATOS!$A10163="",0,IF(CONFIG_METADATA!$B$4&lt;&gt;"OR+EX",--(DATOS!$G10163=CONFIG_METADATA!$B$4),IF(DATOS!$G10163="EX",1,IF(DATOS!$G10163="OR",--(COUNTIFS(nNIA,DATOS!$A10163,nCURSO,DATOS!$D10163,nESPEC,DATOS!$E10163,nASIG,DATOS!$I10163,nEVAL,"EX")=0),0))))</f>
      </c>
      <c r="H10163">
        <f>IF(DATOS!$G10163&lt;&gt;"EX",0,--(COUNTIFS(nNIA,DATOS!$A10163,nCURSO,DATOS!$D10163,nESPEC,DATOS!$E10163,nASIG,DATOS!$I10163,nEVAL,"OR")=0))</f>
      </c>
      <c r="I10163">
        <f>IF(DATOS!$I10163="","",IFERROR(VLOOKUP(DATOS!$I10163,CONFIG_ASIGNATURAS!$B$2:$J$91,9,FALSE()),""))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IF(DATOS!$A10164="",0,IF(CONFIG_METADATA!$B$4&lt;&gt;"OR+EX",--(DATOS!$G10164=CONFIG_METADATA!$B$4),IF(DATOS!$G10164="EX",1,IF(DATOS!$G10164="OR",--(COUNTIFS(nNIA,DATOS!$A10164,nCURSO,DATOS!$D10164,nESPEC,DATOS!$E10164,nASIG,DATOS!$I10164,nEVAL,"EX")=0),0))))</f>
      </c>
      <c r="H10164">
        <f>IF(DATOS!$G10164&lt;&gt;"EX",0,--(COUNTIFS(nNIA,DATOS!$A10164,nCURSO,DATOS!$D10164,nESPEC,DATOS!$E10164,nASIG,DATOS!$I10164,nEVAL,"OR")=0))</f>
      </c>
      <c r="I10164">
        <f>IF(DATOS!$I10164="","",IFERROR(VLOOKUP(DATOS!$I10164,CONFIG_ASIGNATURAS!$B$2:$J$91,9,FALSE()),""))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IF(DATOS!$A10165="",0,IF(CONFIG_METADATA!$B$4&lt;&gt;"OR+EX",--(DATOS!$G10165=CONFIG_METADATA!$B$4),IF(DATOS!$G10165="EX",1,IF(DATOS!$G10165="OR",--(COUNTIFS(nNIA,DATOS!$A10165,nCURSO,DATOS!$D10165,nESPEC,DATOS!$E10165,nASIG,DATOS!$I10165,nEVAL,"EX")=0),0))))</f>
      </c>
      <c r="H10165">
        <f>IF(DATOS!$G10165&lt;&gt;"EX",0,--(COUNTIFS(nNIA,DATOS!$A10165,nCURSO,DATOS!$D10165,nESPEC,DATOS!$E10165,nASIG,DATOS!$I10165,nEVAL,"OR")=0))</f>
      </c>
      <c r="I10165">
        <f>IF(DATOS!$I10165="","",IFERROR(VLOOKUP(DATOS!$I10165,CONFIG_ASIGNATURAS!$B$2:$J$91,9,FALSE()),""))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IF(DATOS!$A10166="",0,IF(CONFIG_METADATA!$B$4&lt;&gt;"OR+EX",--(DATOS!$G10166=CONFIG_METADATA!$B$4),IF(DATOS!$G10166="EX",1,IF(DATOS!$G10166="OR",--(COUNTIFS(nNIA,DATOS!$A10166,nCURSO,DATOS!$D10166,nESPEC,DATOS!$E10166,nASIG,DATOS!$I10166,nEVAL,"EX")=0),0))))</f>
      </c>
      <c r="H10166">
        <f>IF(DATOS!$G10166&lt;&gt;"EX",0,--(COUNTIFS(nNIA,DATOS!$A10166,nCURSO,DATOS!$D10166,nESPEC,DATOS!$E10166,nASIG,DATOS!$I10166,nEVAL,"OR")=0))</f>
      </c>
      <c r="I10166">
        <f>IF(DATOS!$I10166="","",IFERROR(VLOOKUP(DATOS!$I10166,CONFIG_ASIGNATURAS!$B$2:$J$91,9,FALSE()),""))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IF(DATOS!$A10167="",0,IF(CONFIG_METADATA!$B$4&lt;&gt;"OR+EX",--(DATOS!$G10167=CONFIG_METADATA!$B$4),IF(DATOS!$G10167="EX",1,IF(DATOS!$G10167="OR",--(COUNTIFS(nNIA,DATOS!$A10167,nCURSO,DATOS!$D10167,nESPEC,DATOS!$E10167,nASIG,DATOS!$I10167,nEVAL,"EX")=0),0))))</f>
      </c>
      <c r="H10167">
        <f>IF(DATOS!$G10167&lt;&gt;"EX",0,--(COUNTIFS(nNIA,DATOS!$A10167,nCURSO,DATOS!$D10167,nESPEC,DATOS!$E10167,nASIG,DATOS!$I10167,nEVAL,"OR")=0))</f>
      </c>
      <c r="I10167">
        <f>IF(DATOS!$I10167="","",IFERROR(VLOOKUP(DATOS!$I10167,CONFIG_ASIGNATURAS!$B$2:$J$91,9,FALSE()),""))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IF(DATOS!$A10168="",0,IF(CONFIG_METADATA!$B$4&lt;&gt;"OR+EX",--(DATOS!$G10168=CONFIG_METADATA!$B$4),IF(DATOS!$G10168="EX",1,IF(DATOS!$G10168="OR",--(COUNTIFS(nNIA,DATOS!$A10168,nCURSO,DATOS!$D10168,nESPEC,DATOS!$E10168,nASIG,DATOS!$I10168,nEVAL,"EX")=0),0))))</f>
      </c>
      <c r="H10168">
        <f>IF(DATOS!$G10168&lt;&gt;"EX",0,--(COUNTIFS(nNIA,DATOS!$A10168,nCURSO,DATOS!$D10168,nESPEC,DATOS!$E10168,nASIG,DATOS!$I10168,nEVAL,"OR")=0))</f>
      </c>
      <c r="I10168">
        <f>IF(DATOS!$I10168="","",IFERROR(VLOOKUP(DATOS!$I10168,CONFIG_ASIGNATURAS!$B$2:$J$91,9,FALSE()),""))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IF(DATOS!$A10169="",0,IF(CONFIG_METADATA!$B$4&lt;&gt;"OR+EX",--(DATOS!$G10169=CONFIG_METADATA!$B$4),IF(DATOS!$G10169="EX",1,IF(DATOS!$G10169="OR",--(COUNTIFS(nNIA,DATOS!$A10169,nCURSO,DATOS!$D10169,nESPEC,DATOS!$E10169,nASIG,DATOS!$I10169,nEVAL,"EX")=0),0))))</f>
      </c>
      <c r="H10169">
        <f>IF(DATOS!$G10169&lt;&gt;"EX",0,--(COUNTIFS(nNIA,DATOS!$A10169,nCURSO,DATOS!$D10169,nESPEC,DATOS!$E10169,nASIG,DATOS!$I10169,nEVAL,"OR")=0))</f>
      </c>
      <c r="I10169">
        <f>IF(DATOS!$I10169="","",IFERROR(VLOOKUP(DATOS!$I10169,CONFIG_ASIGNATURAS!$B$2:$J$91,9,FALSE()),""))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IF(DATOS!$A10170="",0,IF(CONFIG_METADATA!$B$4&lt;&gt;"OR+EX",--(DATOS!$G10170=CONFIG_METADATA!$B$4),IF(DATOS!$G10170="EX",1,IF(DATOS!$G10170="OR",--(COUNTIFS(nNIA,DATOS!$A10170,nCURSO,DATOS!$D10170,nESPEC,DATOS!$E10170,nASIG,DATOS!$I10170,nEVAL,"EX")=0),0))))</f>
      </c>
      <c r="H10170">
        <f>IF(DATOS!$G10170&lt;&gt;"EX",0,--(COUNTIFS(nNIA,DATOS!$A10170,nCURSO,DATOS!$D10170,nESPEC,DATOS!$E10170,nASIG,DATOS!$I10170,nEVAL,"OR")=0))</f>
      </c>
      <c r="I10170">
        <f>IF(DATOS!$I10170="","",IFERROR(VLOOKUP(DATOS!$I10170,CONFIG_ASIGNATURAS!$B$2:$J$91,9,FALSE()),""))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IF(DATOS!$A10171="",0,IF(CONFIG_METADATA!$B$4&lt;&gt;"OR+EX",--(DATOS!$G10171=CONFIG_METADATA!$B$4),IF(DATOS!$G10171="EX",1,IF(DATOS!$G10171="OR",--(COUNTIFS(nNIA,DATOS!$A10171,nCURSO,DATOS!$D10171,nESPEC,DATOS!$E10171,nASIG,DATOS!$I10171,nEVAL,"EX")=0),0))))</f>
      </c>
      <c r="H10171">
        <f>IF(DATOS!$G10171&lt;&gt;"EX",0,--(COUNTIFS(nNIA,DATOS!$A10171,nCURSO,DATOS!$D10171,nESPEC,DATOS!$E10171,nASIG,DATOS!$I10171,nEVAL,"OR")=0))</f>
      </c>
      <c r="I10171">
        <f>IF(DATOS!$I10171="","",IFERROR(VLOOKUP(DATOS!$I10171,CONFIG_ASIGNATURAS!$B$2:$J$91,9,FALSE()),""))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IF(DATOS!$A10172="",0,IF(CONFIG_METADATA!$B$4&lt;&gt;"OR+EX",--(DATOS!$G10172=CONFIG_METADATA!$B$4),IF(DATOS!$G10172="EX",1,IF(DATOS!$G10172="OR",--(COUNTIFS(nNIA,DATOS!$A10172,nCURSO,DATOS!$D10172,nESPEC,DATOS!$E10172,nASIG,DATOS!$I10172,nEVAL,"EX")=0),0))))</f>
      </c>
      <c r="H10172">
        <f>IF(DATOS!$G10172&lt;&gt;"EX",0,--(COUNTIFS(nNIA,DATOS!$A10172,nCURSO,DATOS!$D10172,nESPEC,DATOS!$E10172,nASIG,DATOS!$I10172,nEVAL,"OR")=0))</f>
      </c>
      <c r="I10172">
        <f>IF(DATOS!$I10172="","",IFERROR(VLOOKUP(DATOS!$I10172,CONFIG_ASIGNATURAS!$B$2:$J$91,9,FALSE()),""))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IF(DATOS!$A10173="",0,IF(CONFIG_METADATA!$B$4&lt;&gt;"OR+EX",--(DATOS!$G10173=CONFIG_METADATA!$B$4),IF(DATOS!$G10173="EX",1,IF(DATOS!$G10173="OR",--(COUNTIFS(nNIA,DATOS!$A10173,nCURSO,DATOS!$D10173,nESPEC,DATOS!$E10173,nASIG,DATOS!$I10173,nEVAL,"EX")=0),0))))</f>
      </c>
      <c r="H10173">
        <f>IF(DATOS!$G10173&lt;&gt;"EX",0,--(COUNTIFS(nNIA,DATOS!$A10173,nCURSO,DATOS!$D10173,nESPEC,DATOS!$E10173,nASIG,DATOS!$I10173,nEVAL,"OR")=0))</f>
      </c>
      <c r="I10173">
        <f>IF(DATOS!$I10173="","",IFERROR(VLOOKUP(DATOS!$I10173,CONFIG_ASIGNATURAS!$B$2:$J$91,9,FALSE()),""))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IF(DATOS!$A10174="",0,IF(CONFIG_METADATA!$B$4&lt;&gt;"OR+EX",--(DATOS!$G10174=CONFIG_METADATA!$B$4),IF(DATOS!$G10174="EX",1,IF(DATOS!$G10174="OR",--(COUNTIFS(nNIA,DATOS!$A10174,nCURSO,DATOS!$D10174,nESPEC,DATOS!$E10174,nASIG,DATOS!$I10174,nEVAL,"EX")=0),0))))</f>
      </c>
      <c r="H10174">
        <f>IF(DATOS!$G10174&lt;&gt;"EX",0,--(COUNTIFS(nNIA,DATOS!$A10174,nCURSO,DATOS!$D10174,nESPEC,DATOS!$E10174,nASIG,DATOS!$I10174,nEVAL,"OR")=0))</f>
      </c>
      <c r="I10174">
        <f>IF(DATOS!$I10174="","",IFERROR(VLOOKUP(DATOS!$I10174,CONFIG_ASIGNATURAS!$B$2:$J$91,9,FALSE()),""))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IF(DATOS!$A10175="",0,IF(CONFIG_METADATA!$B$4&lt;&gt;"OR+EX",--(DATOS!$G10175=CONFIG_METADATA!$B$4),IF(DATOS!$G10175="EX",1,IF(DATOS!$G10175="OR",--(COUNTIFS(nNIA,DATOS!$A10175,nCURSO,DATOS!$D10175,nESPEC,DATOS!$E10175,nASIG,DATOS!$I10175,nEVAL,"EX")=0),0))))</f>
      </c>
      <c r="H10175">
        <f>IF(DATOS!$G10175&lt;&gt;"EX",0,--(COUNTIFS(nNIA,DATOS!$A10175,nCURSO,DATOS!$D10175,nESPEC,DATOS!$E10175,nASIG,DATOS!$I10175,nEVAL,"OR")=0))</f>
      </c>
      <c r="I10175">
        <f>IF(DATOS!$I10175="","",IFERROR(VLOOKUP(DATOS!$I10175,CONFIG_ASIGNATURAS!$B$2:$J$91,9,FALSE()),""))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IF(DATOS!$A10176="",0,IF(CONFIG_METADATA!$B$4&lt;&gt;"OR+EX",--(DATOS!$G10176=CONFIG_METADATA!$B$4),IF(DATOS!$G10176="EX",1,IF(DATOS!$G10176="OR",--(COUNTIFS(nNIA,DATOS!$A10176,nCURSO,DATOS!$D10176,nESPEC,DATOS!$E10176,nASIG,DATOS!$I10176,nEVAL,"EX")=0),0))))</f>
      </c>
      <c r="H10176">
        <f>IF(DATOS!$G10176&lt;&gt;"EX",0,--(COUNTIFS(nNIA,DATOS!$A10176,nCURSO,DATOS!$D10176,nESPEC,DATOS!$E10176,nASIG,DATOS!$I10176,nEVAL,"OR")=0))</f>
      </c>
      <c r="I10176">
        <f>IF(DATOS!$I10176="","",IFERROR(VLOOKUP(DATOS!$I10176,CONFIG_ASIGNATURAS!$B$2:$J$91,9,FALSE()),""))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IF(DATOS!$A10177="",0,IF(CONFIG_METADATA!$B$4&lt;&gt;"OR+EX",--(DATOS!$G10177=CONFIG_METADATA!$B$4),IF(DATOS!$G10177="EX",1,IF(DATOS!$G10177="OR",--(COUNTIFS(nNIA,DATOS!$A10177,nCURSO,DATOS!$D10177,nESPEC,DATOS!$E10177,nASIG,DATOS!$I10177,nEVAL,"EX")=0),0))))</f>
      </c>
      <c r="H10177">
        <f>IF(DATOS!$G10177&lt;&gt;"EX",0,--(COUNTIFS(nNIA,DATOS!$A10177,nCURSO,DATOS!$D10177,nESPEC,DATOS!$E10177,nASIG,DATOS!$I10177,nEVAL,"OR")=0))</f>
      </c>
      <c r="I10177">
        <f>IF(DATOS!$I10177="","",IFERROR(VLOOKUP(DATOS!$I10177,CONFIG_ASIGNATURAS!$B$2:$J$91,9,FALSE()),""))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IF(DATOS!$A10178="",0,IF(CONFIG_METADATA!$B$4&lt;&gt;"OR+EX",--(DATOS!$G10178=CONFIG_METADATA!$B$4),IF(DATOS!$G10178="EX",1,IF(DATOS!$G10178="OR",--(COUNTIFS(nNIA,DATOS!$A10178,nCURSO,DATOS!$D10178,nESPEC,DATOS!$E10178,nASIG,DATOS!$I10178,nEVAL,"EX")=0),0))))</f>
      </c>
      <c r="H10178">
        <f>IF(DATOS!$G10178&lt;&gt;"EX",0,--(COUNTIFS(nNIA,DATOS!$A10178,nCURSO,DATOS!$D10178,nESPEC,DATOS!$E10178,nASIG,DATOS!$I10178,nEVAL,"OR")=0))</f>
      </c>
      <c r="I10178">
        <f>IF(DATOS!$I10178="","",IFERROR(VLOOKUP(DATOS!$I10178,CONFIG_ASIGNATURAS!$B$2:$J$91,9,FALSE()),""))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IF(DATOS!$A10179="",0,IF(CONFIG_METADATA!$B$4&lt;&gt;"OR+EX",--(DATOS!$G10179=CONFIG_METADATA!$B$4),IF(DATOS!$G10179="EX",1,IF(DATOS!$G10179="OR",--(COUNTIFS(nNIA,DATOS!$A10179,nCURSO,DATOS!$D10179,nESPEC,DATOS!$E10179,nASIG,DATOS!$I10179,nEVAL,"EX")=0),0))))</f>
      </c>
      <c r="H10179">
        <f>IF(DATOS!$G10179&lt;&gt;"EX",0,--(COUNTIFS(nNIA,DATOS!$A10179,nCURSO,DATOS!$D10179,nESPEC,DATOS!$E10179,nASIG,DATOS!$I10179,nEVAL,"OR")=0))</f>
      </c>
      <c r="I10179">
        <f>IF(DATOS!$I10179="","",IFERROR(VLOOKUP(DATOS!$I10179,CONFIG_ASIGNATURAS!$B$2:$J$91,9,FALSE()),""))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IF(DATOS!$A10180="",0,IF(CONFIG_METADATA!$B$4&lt;&gt;"OR+EX",--(DATOS!$G10180=CONFIG_METADATA!$B$4),IF(DATOS!$G10180="EX",1,IF(DATOS!$G10180="OR",--(COUNTIFS(nNIA,DATOS!$A10180,nCURSO,DATOS!$D10180,nESPEC,DATOS!$E10180,nASIG,DATOS!$I10180,nEVAL,"EX")=0),0))))</f>
      </c>
      <c r="H10180">
        <f>IF(DATOS!$G10180&lt;&gt;"EX",0,--(COUNTIFS(nNIA,DATOS!$A10180,nCURSO,DATOS!$D10180,nESPEC,DATOS!$E10180,nASIG,DATOS!$I10180,nEVAL,"OR")=0))</f>
      </c>
      <c r="I10180">
        <f>IF(DATOS!$I10180="","",IFERROR(VLOOKUP(DATOS!$I10180,CONFIG_ASIGNATURAS!$B$2:$J$91,9,FALSE()),""))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IF(DATOS!$A10181="",0,IF(CONFIG_METADATA!$B$4&lt;&gt;"OR+EX",--(DATOS!$G10181=CONFIG_METADATA!$B$4),IF(DATOS!$G10181="EX",1,IF(DATOS!$G10181="OR",--(COUNTIFS(nNIA,DATOS!$A10181,nCURSO,DATOS!$D10181,nESPEC,DATOS!$E10181,nASIG,DATOS!$I10181,nEVAL,"EX")=0),0))))</f>
      </c>
      <c r="H10181">
        <f>IF(DATOS!$G10181&lt;&gt;"EX",0,--(COUNTIFS(nNIA,DATOS!$A10181,nCURSO,DATOS!$D10181,nESPEC,DATOS!$E10181,nASIG,DATOS!$I10181,nEVAL,"OR")=0))</f>
      </c>
      <c r="I10181">
        <f>IF(DATOS!$I10181="","",IFERROR(VLOOKUP(DATOS!$I10181,CONFIG_ASIGNATURAS!$B$2:$J$91,9,FALSE()),""))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IF(DATOS!$A10182="",0,IF(CONFIG_METADATA!$B$4&lt;&gt;"OR+EX",--(DATOS!$G10182=CONFIG_METADATA!$B$4),IF(DATOS!$G10182="EX",1,IF(DATOS!$G10182="OR",--(COUNTIFS(nNIA,DATOS!$A10182,nCURSO,DATOS!$D10182,nESPEC,DATOS!$E10182,nASIG,DATOS!$I10182,nEVAL,"EX")=0),0))))</f>
      </c>
      <c r="H10182">
        <f>IF(DATOS!$G10182&lt;&gt;"EX",0,--(COUNTIFS(nNIA,DATOS!$A10182,nCURSO,DATOS!$D10182,nESPEC,DATOS!$E10182,nASIG,DATOS!$I10182,nEVAL,"OR")=0))</f>
      </c>
      <c r="I10182">
        <f>IF(DATOS!$I10182="","",IFERROR(VLOOKUP(DATOS!$I10182,CONFIG_ASIGNATURAS!$B$2:$J$91,9,FALSE()),""))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IF(DATOS!$A10183="",0,IF(CONFIG_METADATA!$B$4&lt;&gt;"OR+EX",--(DATOS!$G10183=CONFIG_METADATA!$B$4),IF(DATOS!$G10183="EX",1,IF(DATOS!$G10183="OR",--(COUNTIFS(nNIA,DATOS!$A10183,nCURSO,DATOS!$D10183,nESPEC,DATOS!$E10183,nASIG,DATOS!$I10183,nEVAL,"EX")=0),0))))</f>
      </c>
      <c r="H10183">
        <f>IF(DATOS!$G10183&lt;&gt;"EX",0,--(COUNTIFS(nNIA,DATOS!$A10183,nCURSO,DATOS!$D10183,nESPEC,DATOS!$E10183,nASIG,DATOS!$I10183,nEVAL,"OR")=0))</f>
      </c>
      <c r="I10183">
        <f>IF(DATOS!$I10183="","",IFERROR(VLOOKUP(DATOS!$I10183,CONFIG_ASIGNATURAS!$B$2:$J$91,9,FALSE()),""))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IF(DATOS!$A10184="",0,IF(CONFIG_METADATA!$B$4&lt;&gt;"OR+EX",--(DATOS!$G10184=CONFIG_METADATA!$B$4),IF(DATOS!$G10184="EX",1,IF(DATOS!$G10184="OR",--(COUNTIFS(nNIA,DATOS!$A10184,nCURSO,DATOS!$D10184,nESPEC,DATOS!$E10184,nASIG,DATOS!$I10184,nEVAL,"EX")=0),0))))</f>
      </c>
      <c r="H10184">
        <f>IF(DATOS!$G10184&lt;&gt;"EX",0,--(COUNTIFS(nNIA,DATOS!$A10184,nCURSO,DATOS!$D10184,nESPEC,DATOS!$E10184,nASIG,DATOS!$I10184,nEVAL,"OR")=0))</f>
      </c>
      <c r="I10184">
        <f>IF(DATOS!$I10184="","",IFERROR(VLOOKUP(DATOS!$I10184,CONFIG_ASIGNATURAS!$B$2:$J$91,9,FALSE()),""))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IF(DATOS!$A10185="",0,IF(CONFIG_METADATA!$B$4&lt;&gt;"OR+EX",--(DATOS!$G10185=CONFIG_METADATA!$B$4),IF(DATOS!$G10185="EX",1,IF(DATOS!$G10185="OR",--(COUNTIFS(nNIA,DATOS!$A10185,nCURSO,DATOS!$D10185,nESPEC,DATOS!$E10185,nASIG,DATOS!$I10185,nEVAL,"EX")=0),0))))</f>
      </c>
      <c r="H10185">
        <f>IF(DATOS!$G10185&lt;&gt;"EX",0,--(COUNTIFS(nNIA,DATOS!$A10185,nCURSO,DATOS!$D10185,nESPEC,DATOS!$E10185,nASIG,DATOS!$I10185,nEVAL,"OR")=0))</f>
      </c>
      <c r="I10185">
        <f>IF(DATOS!$I10185="","",IFERROR(VLOOKUP(DATOS!$I10185,CONFIG_ASIGNATURAS!$B$2:$J$91,9,FALSE()),""))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IF(DATOS!$A10186="",0,IF(CONFIG_METADATA!$B$4&lt;&gt;"OR+EX",--(DATOS!$G10186=CONFIG_METADATA!$B$4),IF(DATOS!$G10186="EX",1,IF(DATOS!$G10186="OR",--(COUNTIFS(nNIA,DATOS!$A10186,nCURSO,DATOS!$D10186,nESPEC,DATOS!$E10186,nASIG,DATOS!$I10186,nEVAL,"EX")=0),0))))</f>
      </c>
      <c r="H10186">
        <f>IF(DATOS!$G10186&lt;&gt;"EX",0,--(COUNTIFS(nNIA,DATOS!$A10186,nCURSO,DATOS!$D10186,nESPEC,DATOS!$E10186,nASIG,DATOS!$I10186,nEVAL,"OR")=0))</f>
      </c>
      <c r="I10186">
        <f>IF(DATOS!$I10186="","",IFERROR(VLOOKUP(DATOS!$I10186,CONFIG_ASIGNATURAS!$B$2:$J$91,9,FALSE()),""))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IF(DATOS!$A10187="",0,IF(CONFIG_METADATA!$B$4&lt;&gt;"OR+EX",--(DATOS!$G10187=CONFIG_METADATA!$B$4),IF(DATOS!$G10187="EX",1,IF(DATOS!$G10187="OR",--(COUNTIFS(nNIA,DATOS!$A10187,nCURSO,DATOS!$D10187,nESPEC,DATOS!$E10187,nASIG,DATOS!$I10187,nEVAL,"EX")=0),0))))</f>
      </c>
      <c r="H10187">
        <f>IF(DATOS!$G10187&lt;&gt;"EX",0,--(COUNTIFS(nNIA,DATOS!$A10187,nCURSO,DATOS!$D10187,nESPEC,DATOS!$E10187,nASIG,DATOS!$I10187,nEVAL,"OR")=0))</f>
      </c>
      <c r="I10187">
        <f>IF(DATOS!$I10187="","",IFERROR(VLOOKUP(DATOS!$I10187,CONFIG_ASIGNATURAS!$B$2:$J$91,9,FALSE()),""))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IF(DATOS!$A10188="",0,IF(CONFIG_METADATA!$B$4&lt;&gt;"OR+EX",--(DATOS!$G10188=CONFIG_METADATA!$B$4),IF(DATOS!$G10188="EX",1,IF(DATOS!$G10188="OR",--(COUNTIFS(nNIA,DATOS!$A10188,nCURSO,DATOS!$D10188,nESPEC,DATOS!$E10188,nASIG,DATOS!$I10188,nEVAL,"EX")=0),0))))</f>
      </c>
      <c r="H10188">
        <f>IF(DATOS!$G10188&lt;&gt;"EX",0,--(COUNTIFS(nNIA,DATOS!$A10188,nCURSO,DATOS!$D10188,nESPEC,DATOS!$E10188,nASIG,DATOS!$I10188,nEVAL,"OR")=0))</f>
      </c>
      <c r="I10188">
        <f>IF(DATOS!$I10188="","",IFERROR(VLOOKUP(DATOS!$I10188,CONFIG_ASIGNATURAS!$B$2:$J$91,9,FALSE()),""))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IF(DATOS!$A10189="",0,IF(CONFIG_METADATA!$B$4&lt;&gt;"OR+EX",--(DATOS!$G10189=CONFIG_METADATA!$B$4),IF(DATOS!$G10189="EX",1,IF(DATOS!$G10189="OR",--(COUNTIFS(nNIA,DATOS!$A10189,nCURSO,DATOS!$D10189,nESPEC,DATOS!$E10189,nASIG,DATOS!$I10189,nEVAL,"EX")=0),0))))</f>
      </c>
      <c r="H10189">
        <f>IF(DATOS!$G10189&lt;&gt;"EX",0,--(COUNTIFS(nNIA,DATOS!$A10189,nCURSO,DATOS!$D10189,nESPEC,DATOS!$E10189,nASIG,DATOS!$I10189,nEVAL,"OR")=0))</f>
      </c>
      <c r="I10189">
        <f>IF(DATOS!$I10189="","",IFERROR(VLOOKUP(DATOS!$I10189,CONFIG_ASIGNATURAS!$B$2:$J$91,9,FALSE()),""))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IF(DATOS!$A10190="",0,IF(CONFIG_METADATA!$B$4&lt;&gt;"OR+EX",--(DATOS!$G10190=CONFIG_METADATA!$B$4),IF(DATOS!$G10190="EX",1,IF(DATOS!$G10190="OR",--(COUNTIFS(nNIA,DATOS!$A10190,nCURSO,DATOS!$D10190,nESPEC,DATOS!$E10190,nASIG,DATOS!$I10190,nEVAL,"EX")=0),0))))</f>
      </c>
      <c r="H10190">
        <f>IF(DATOS!$G10190&lt;&gt;"EX",0,--(COUNTIFS(nNIA,DATOS!$A10190,nCURSO,DATOS!$D10190,nESPEC,DATOS!$E10190,nASIG,DATOS!$I10190,nEVAL,"OR")=0))</f>
      </c>
      <c r="I10190">
        <f>IF(DATOS!$I10190="","",IFERROR(VLOOKUP(DATOS!$I10190,CONFIG_ASIGNATURAS!$B$2:$J$91,9,FALSE()),""))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IF(DATOS!$A10191="",0,IF(CONFIG_METADATA!$B$4&lt;&gt;"OR+EX",--(DATOS!$G10191=CONFIG_METADATA!$B$4),IF(DATOS!$G10191="EX",1,IF(DATOS!$G10191="OR",--(COUNTIFS(nNIA,DATOS!$A10191,nCURSO,DATOS!$D10191,nESPEC,DATOS!$E10191,nASIG,DATOS!$I10191,nEVAL,"EX")=0),0))))</f>
      </c>
      <c r="H10191">
        <f>IF(DATOS!$G10191&lt;&gt;"EX",0,--(COUNTIFS(nNIA,DATOS!$A10191,nCURSO,DATOS!$D10191,nESPEC,DATOS!$E10191,nASIG,DATOS!$I10191,nEVAL,"OR")=0))</f>
      </c>
      <c r="I10191">
        <f>IF(DATOS!$I10191="","",IFERROR(VLOOKUP(DATOS!$I10191,CONFIG_ASIGNATURAS!$B$2:$J$91,9,FALSE()),""))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IF(DATOS!$A10192="",0,IF(CONFIG_METADATA!$B$4&lt;&gt;"OR+EX",--(DATOS!$G10192=CONFIG_METADATA!$B$4),IF(DATOS!$G10192="EX",1,IF(DATOS!$G10192="OR",--(COUNTIFS(nNIA,DATOS!$A10192,nCURSO,DATOS!$D10192,nESPEC,DATOS!$E10192,nASIG,DATOS!$I10192,nEVAL,"EX")=0),0))))</f>
      </c>
      <c r="H10192">
        <f>IF(DATOS!$G10192&lt;&gt;"EX",0,--(COUNTIFS(nNIA,DATOS!$A10192,nCURSO,DATOS!$D10192,nESPEC,DATOS!$E10192,nASIG,DATOS!$I10192,nEVAL,"OR")=0))</f>
      </c>
      <c r="I10192">
        <f>IF(DATOS!$I10192="","",IFERROR(VLOOKUP(DATOS!$I10192,CONFIG_ASIGNATURAS!$B$2:$J$91,9,FALSE()),""))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IF(DATOS!$A10193="",0,IF(CONFIG_METADATA!$B$4&lt;&gt;"OR+EX",--(DATOS!$G10193=CONFIG_METADATA!$B$4),IF(DATOS!$G10193="EX",1,IF(DATOS!$G10193="OR",--(COUNTIFS(nNIA,DATOS!$A10193,nCURSO,DATOS!$D10193,nESPEC,DATOS!$E10193,nASIG,DATOS!$I10193,nEVAL,"EX")=0),0))))</f>
      </c>
      <c r="H10193">
        <f>IF(DATOS!$G10193&lt;&gt;"EX",0,--(COUNTIFS(nNIA,DATOS!$A10193,nCURSO,DATOS!$D10193,nESPEC,DATOS!$E10193,nASIG,DATOS!$I10193,nEVAL,"OR")=0))</f>
      </c>
      <c r="I10193">
        <f>IF(DATOS!$I10193="","",IFERROR(VLOOKUP(DATOS!$I10193,CONFIG_ASIGNATURAS!$B$2:$J$91,9,FALSE()),""))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IF(DATOS!$A10194="",0,IF(CONFIG_METADATA!$B$4&lt;&gt;"OR+EX",--(DATOS!$G10194=CONFIG_METADATA!$B$4),IF(DATOS!$G10194="EX",1,IF(DATOS!$G10194="OR",--(COUNTIFS(nNIA,DATOS!$A10194,nCURSO,DATOS!$D10194,nESPEC,DATOS!$E10194,nASIG,DATOS!$I10194,nEVAL,"EX")=0),0))))</f>
      </c>
      <c r="H10194">
        <f>IF(DATOS!$G10194&lt;&gt;"EX",0,--(COUNTIFS(nNIA,DATOS!$A10194,nCURSO,DATOS!$D10194,nESPEC,DATOS!$E10194,nASIG,DATOS!$I10194,nEVAL,"OR")=0))</f>
      </c>
      <c r="I10194">
        <f>IF(DATOS!$I10194="","",IFERROR(VLOOKUP(DATOS!$I10194,CONFIG_ASIGNATURAS!$B$2:$J$91,9,FALSE()),""))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IF(DATOS!$A10195="",0,IF(CONFIG_METADATA!$B$4&lt;&gt;"OR+EX",--(DATOS!$G10195=CONFIG_METADATA!$B$4),IF(DATOS!$G10195="EX",1,IF(DATOS!$G10195="OR",--(COUNTIFS(nNIA,DATOS!$A10195,nCURSO,DATOS!$D10195,nESPEC,DATOS!$E10195,nASIG,DATOS!$I10195,nEVAL,"EX")=0),0))))</f>
      </c>
      <c r="H10195">
        <f>IF(DATOS!$G10195&lt;&gt;"EX",0,--(COUNTIFS(nNIA,DATOS!$A10195,nCURSO,DATOS!$D10195,nESPEC,DATOS!$E10195,nASIG,DATOS!$I10195,nEVAL,"OR")=0))</f>
      </c>
      <c r="I10195">
        <f>IF(DATOS!$I10195="","",IFERROR(VLOOKUP(DATOS!$I10195,CONFIG_ASIGNATURAS!$B$2:$J$91,9,FALSE()),""))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IF(DATOS!$A10196="",0,IF(CONFIG_METADATA!$B$4&lt;&gt;"OR+EX",--(DATOS!$G10196=CONFIG_METADATA!$B$4),IF(DATOS!$G10196="EX",1,IF(DATOS!$G10196="OR",--(COUNTIFS(nNIA,DATOS!$A10196,nCURSO,DATOS!$D10196,nESPEC,DATOS!$E10196,nASIG,DATOS!$I10196,nEVAL,"EX")=0),0))))</f>
      </c>
      <c r="H10196">
        <f>IF(DATOS!$G10196&lt;&gt;"EX",0,--(COUNTIFS(nNIA,DATOS!$A10196,nCURSO,DATOS!$D10196,nESPEC,DATOS!$E10196,nASIG,DATOS!$I10196,nEVAL,"OR")=0))</f>
      </c>
      <c r="I10196">
        <f>IF(DATOS!$I10196="","",IFERROR(VLOOKUP(DATOS!$I10196,CONFIG_ASIGNATURAS!$B$2:$J$91,9,FALSE()),""))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IF(DATOS!$A10197="",0,IF(CONFIG_METADATA!$B$4&lt;&gt;"OR+EX",--(DATOS!$G10197=CONFIG_METADATA!$B$4),IF(DATOS!$G10197="EX",1,IF(DATOS!$G10197="OR",--(COUNTIFS(nNIA,DATOS!$A10197,nCURSO,DATOS!$D10197,nESPEC,DATOS!$E10197,nASIG,DATOS!$I10197,nEVAL,"EX")=0),0))))</f>
      </c>
      <c r="H10197">
        <f>IF(DATOS!$G10197&lt;&gt;"EX",0,--(COUNTIFS(nNIA,DATOS!$A10197,nCURSO,DATOS!$D10197,nESPEC,DATOS!$E10197,nASIG,DATOS!$I10197,nEVAL,"OR")=0))</f>
      </c>
      <c r="I10197">
        <f>IF(DATOS!$I10197="","",IFERROR(VLOOKUP(DATOS!$I10197,CONFIG_ASIGNATURAS!$B$2:$J$91,9,FALSE()),""))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IF(DATOS!$A10198="",0,IF(CONFIG_METADATA!$B$4&lt;&gt;"OR+EX",--(DATOS!$G10198=CONFIG_METADATA!$B$4),IF(DATOS!$G10198="EX",1,IF(DATOS!$G10198="OR",--(COUNTIFS(nNIA,DATOS!$A10198,nCURSO,DATOS!$D10198,nESPEC,DATOS!$E10198,nASIG,DATOS!$I10198,nEVAL,"EX")=0),0))))</f>
      </c>
      <c r="H10198">
        <f>IF(DATOS!$G10198&lt;&gt;"EX",0,--(COUNTIFS(nNIA,DATOS!$A10198,nCURSO,DATOS!$D10198,nESPEC,DATOS!$E10198,nASIG,DATOS!$I10198,nEVAL,"OR")=0))</f>
      </c>
      <c r="I10198">
        <f>IF(DATOS!$I10198="","",IFERROR(VLOOKUP(DATOS!$I10198,CONFIG_ASIGNATURAS!$B$2:$J$91,9,FALSE()),""))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IF(DATOS!$A10199="",0,IF(CONFIG_METADATA!$B$4&lt;&gt;"OR+EX",--(DATOS!$G10199=CONFIG_METADATA!$B$4),IF(DATOS!$G10199="EX",1,IF(DATOS!$G10199="OR",--(COUNTIFS(nNIA,DATOS!$A10199,nCURSO,DATOS!$D10199,nESPEC,DATOS!$E10199,nASIG,DATOS!$I10199,nEVAL,"EX")=0),0))))</f>
      </c>
      <c r="H10199">
        <f>IF(DATOS!$G10199&lt;&gt;"EX",0,--(COUNTIFS(nNIA,DATOS!$A10199,nCURSO,DATOS!$D10199,nESPEC,DATOS!$E10199,nASIG,DATOS!$I10199,nEVAL,"OR")=0))</f>
      </c>
      <c r="I10199">
        <f>IF(DATOS!$I10199="","",IFERROR(VLOOKUP(DATOS!$I10199,CONFIG_ASIGNATURAS!$B$2:$J$91,9,FALSE()),""))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IF(DATOS!$A10200="",0,IF(CONFIG_METADATA!$B$4&lt;&gt;"OR+EX",--(DATOS!$G10200=CONFIG_METADATA!$B$4),IF(DATOS!$G10200="EX",1,IF(DATOS!$G10200="OR",--(COUNTIFS(nNIA,DATOS!$A10200,nCURSO,DATOS!$D10200,nESPEC,DATOS!$E10200,nASIG,DATOS!$I10200,nEVAL,"EX")=0),0))))</f>
      </c>
      <c r="H10200">
        <f>IF(DATOS!$G10200&lt;&gt;"EX",0,--(COUNTIFS(nNIA,DATOS!$A10200,nCURSO,DATOS!$D10200,nESPEC,DATOS!$E10200,nASIG,DATOS!$I10200,nEVAL,"OR")=0))</f>
      </c>
      <c r="I10200">
        <f>IF(DATOS!$I10200="","",IFERROR(VLOOKUP(DATOS!$I10200,CONFIG_ASIGNATURAS!$B$2:$J$91,9,FALSE()),""))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IF(DATOS!$A10201="",0,IF(CONFIG_METADATA!$B$4&lt;&gt;"OR+EX",--(DATOS!$G10201=CONFIG_METADATA!$B$4),IF(DATOS!$G10201="EX",1,IF(DATOS!$G10201="OR",--(COUNTIFS(nNIA,DATOS!$A10201,nCURSO,DATOS!$D10201,nESPEC,DATOS!$E10201,nASIG,DATOS!$I10201,nEVAL,"EX")=0),0))))</f>
      </c>
      <c r="H10201">
        <f>IF(DATOS!$G10201&lt;&gt;"EX",0,--(COUNTIFS(nNIA,DATOS!$A10201,nCURSO,DATOS!$D10201,nESPEC,DATOS!$E10201,nASIG,DATOS!$I10201,nEVAL,"OR")=0))</f>
      </c>
      <c r="I10201">
        <f>IF(DATOS!$I10201="","",IFERROR(VLOOKUP(DATOS!$I10201,CONFIG_ASIGNATURAS!$B$2:$J$91,9,FALSE()),""))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IF(DATOS!$A10202="",0,IF(CONFIG_METADATA!$B$4&lt;&gt;"OR+EX",--(DATOS!$G10202=CONFIG_METADATA!$B$4),IF(DATOS!$G10202="EX",1,IF(DATOS!$G10202="OR",--(COUNTIFS(nNIA,DATOS!$A10202,nCURSO,DATOS!$D10202,nESPEC,DATOS!$E10202,nASIG,DATOS!$I10202,nEVAL,"EX")=0),0))))</f>
      </c>
      <c r="H10202">
        <f>IF(DATOS!$G10202&lt;&gt;"EX",0,--(COUNTIFS(nNIA,DATOS!$A10202,nCURSO,DATOS!$D10202,nESPEC,DATOS!$E10202,nASIG,DATOS!$I10202,nEVAL,"OR")=0))</f>
      </c>
      <c r="I10202">
        <f>IF(DATOS!$I10202="","",IFERROR(VLOOKUP(DATOS!$I10202,CONFIG_ASIGNATURAS!$B$2:$J$91,9,FALSE()),""))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IF(DATOS!$A10203="",0,IF(CONFIG_METADATA!$B$4&lt;&gt;"OR+EX",--(DATOS!$G10203=CONFIG_METADATA!$B$4),IF(DATOS!$G10203="EX",1,IF(DATOS!$G10203="OR",--(COUNTIFS(nNIA,DATOS!$A10203,nCURSO,DATOS!$D10203,nESPEC,DATOS!$E10203,nASIG,DATOS!$I10203,nEVAL,"EX")=0),0))))</f>
      </c>
      <c r="H10203">
        <f>IF(DATOS!$G10203&lt;&gt;"EX",0,--(COUNTIFS(nNIA,DATOS!$A10203,nCURSO,DATOS!$D10203,nESPEC,DATOS!$E10203,nASIG,DATOS!$I10203,nEVAL,"OR")=0))</f>
      </c>
      <c r="I10203">
        <f>IF(DATOS!$I10203="","",IFERROR(VLOOKUP(DATOS!$I10203,CONFIG_ASIGNATURAS!$B$2:$J$91,9,FALSE()),""))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IF(DATOS!$A10204="",0,IF(CONFIG_METADATA!$B$4&lt;&gt;"OR+EX",--(DATOS!$G10204=CONFIG_METADATA!$B$4),IF(DATOS!$G10204="EX",1,IF(DATOS!$G10204="OR",--(COUNTIFS(nNIA,DATOS!$A10204,nCURSO,DATOS!$D10204,nESPEC,DATOS!$E10204,nASIG,DATOS!$I10204,nEVAL,"EX")=0),0))))</f>
      </c>
      <c r="H10204">
        <f>IF(DATOS!$G10204&lt;&gt;"EX",0,--(COUNTIFS(nNIA,DATOS!$A10204,nCURSO,DATOS!$D10204,nESPEC,DATOS!$E10204,nASIG,DATOS!$I10204,nEVAL,"OR")=0))</f>
      </c>
      <c r="I10204">
        <f>IF(DATOS!$I10204="","",IFERROR(VLOOKUP(DATOS!$I10204,CONFIG_ASIGNATURAS!$B$2:$J$91,9,FALSE()),""))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IF(DATOS!$A10205="",0,IF(CONFIG_METADATA!$B$4&lt;&gt;"OR+EX",--(DATOS!$G10205=CONFIG_METADATA!$B$4),IF(DATOS!$G10205="EX",1,IF(DATOS!$G10205="OR",--(COUNTIFS(nNIA,DATOS!$A10205,nCURSO,DATOS!$D10205,nESPEC,DATOS!$E10205,nASIG,DATOS!$I10205,nEVAL,"EX")=0),0))))</f>
      </c>
      <c r="H10205">
        <f>IF(DATOS!$G10205&lt;&gt;"EX",0,--(COUNTIFS(nNIA,DATOS!$A10205,nCURSO,DATOS!$D10205,nESPEC,DATOS!$E10205,nASIG,DATOS!$I10205,nEVAL,"OR")=0))</f>
      </c>
      <c r="I10205">
        <f>IF(DATOS!$I10205="","",IFERROR(VLOOKUP(DATOS!$I10205,CONFIG_ASIGNATURAS!$B$2:$J$91,9,FALSE()),""))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IF(DATOS!$A10206="",0,IF(CONFIG_METADATA!$B$4&lt;&gt;"OR+EX",--(DATOS!$G10206=CONFIG_METADATA!$B$4),IF(DATOS!$G10206="EX",1,IF(DATOS!$G10206="OR",--(COUNTIFS(nNIA,DATOS!$A10206,nCURSO,DATOS!$D10206,nESPEC,DATOS!$E10206,nASIG,DATOS!$I10206,nEVAL,"EX")=0),0))))</f>
      </c>
      <c r="H10206">
        <f>IF(DATOS!$G10206&lt;&gt;"EX",0,--(COUNTIFS(nNIA,DATOS!$A10206,nCURSO,DATOS!$D10206,nESPEC,DATOS!$E10206,nASIG,DATOS!$I10206,nEVAL,"OR")=0))</f>
      </c>
      <c r="I10206">
        <f>IF(DATOS!$I10206="","",IFERROR(VLOOKUP(DATOS!$I10206,CONFIG_ASIGNATURAS!$B$2:$J$91,9,FALSE()),""))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IF(DATOS!$A10207="",0,IF(CONFIG_METADATA!$B$4&lt;&gt;"OR+EX",--(DATOS!$G10207=CONFIG_METADATA!$B$4),IF(DATOS!$G10207="EX",1,IF(DATOS!$G10207="OR",--(COUNTIFS(nNIA,DATOS!$A10207,nCURSO,DATOS!$D10207,nESPEC,DATOS!$E10207,nASIG,DATOS!$I10207,nEVAL,"EX")=0),0))))</f>
      </c>
      <c r="H10207">
        <f>IF(DATOS!$G10207&lt;&gt;"EX",0,--(COUNTIFS(nNIA,DATOS!$A10207,nCURSO,DATOS!$D10207,nESPEC,DATOS!$E10207,nASIG,DATOS!$I10207,nEVAL,"OR")=0))</f>
      </c>
      <c r="I10207">
        <f>IF(DATOS!$I10207="","",IFERROR(VLOOKUP(DATOS!$I10207,CONFIG_ASIGNATURAS!$B$2:$J$91,9,FALSE()),""))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IF(DATOS!$A10208="",0,IF(CONFIG_METADATA!$B$4&lt;&gt;"OR+EX",--(DATOS!$G10208=CONFIG_METADATA!$B$4),IF(DATOS!$G10208="EX",1,IF(DATOS!$G10208="OR",--(COUNTIFS(nNIA,DATOS!$A10208,nCURSO,DATOS!$D10208,nESPEC,DATOS!$E10208,nASIG,DATOS!$I10208,nEVAL,"EX")=0),0))))</f>
      </c>
      <c r="H10208">
        <f>IF(DATOS!$G10208&lt;&gt;"EX",0,--(COUNTIFS(nNIA,DATOS!$A10208,nCURSO,DATOS!$D10208,nESPEC,DATOS!$E10208,nASIG,DATOS!$I10208,nEVAL,"OR")=0))</f>
      </c>
      <c r="I10208">
        <f>IF(DATOS!$I10208="","",IFERROR(VLOOKUP(DATOS!$I10208,CONFIG_ASIGNATURAS!$B$2:$J$91,9,FALSE()),""))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IF(DATOS!$A10209="",0,IF(CONFIG_METADATA!$B$4&lt;&gt;"OR+EX",--(DATOS!$G10209=CONFIG_METADATA!$B$4),IF(DATOS!$G10209="EX",1,IF(DATOS!$G10209="OR",--(COUNTIFS(nNIA,DATOS!$A10209,nCURSO,DATOS!$D10209,nESPEC,DATOS!$E10209,nASIG,DATOS!$I10209,nEVAL,"EX")=0),0))))</f>
      </c>
      <c r="H10209">
        <f>IF(DATOS!$G10209&lt;&gt;"EX",0,--(COUNTIFS(nNIA,DATOS!$A10209,nCURSO,DATOS!$D10209,nESPEC,DATOS!$E10209,nASIG,DATOS!$I10209,nEVAL,"OR")=0))</f>
      </c>
      <c r="I10209">
        <f>IF(DATOS!$I10209="","",IFERROR(VLOOKUP(DATOS!$I10209,CONFIG_ASIGNATURAS!$B$2:$J$91,9,FALSE()),""))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IF(DATOS!$A10210="",0,IF(CONFIG_METADATA!$B$4&lt;&gt;"OR+EX",--(DATOS!$G10210=CONFIG_METADATA!$B$4),IF(DATOS!$G10210="EX",1,IF(DATOS!$G10210="OR",--(COUNTIFS(nNIA,DATOS!$A10210,nCURSO,DATOS!$D10210,nESPEC,DATOS!$E10210,nASIG,DATOS!$I10210,nEVAL,"EX")=0),0))))</f>
      </c>
      <c r="H10210">
        <f>IF(DATOS!$G10210&lt;&gt;"EX",0,--(COUNTIFS(nNIA,DATOS!$A10210,nCURSO,DATOS!$D10210,nESPEC,DATOS!$E10210,nASIG,DATOS!$I10210,nEVAL,"OR")=0))</f>
      </c>
      <c r="I10210">
        <f>IF(DATOS!$I10210="","",IFERROR(VLOOKUP(DATOS!$I10210,CONFIG_ASIGNATURAS!$B$2:$J$91,9,FALSE()),""))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IF(DATOS!$A10211="",0,IF(CONFIG_METADATA!$B$4&lt;&gt;"OR+EX",--(DATOS!$G10211=CONFIG_METADATA!$B$4),IF(DATOS!$G10211="EX",1,IF(DATOS!$G10211="OR",--(COUNTIFS(nNIA,DATOS!$A10211,nCURSO,DATOS!$D10211,nESPEC,DATOS!$E10211,nASIG,DATOS!$I10211,nEVAL,"EX")=0),0))))</f>
      </c>
      <c r="H10211">
        <f>IF(DATOS!$G10211&lt;&gt;"EX",0,--(COUNTIFS(nNIA,DATOS!$A10211,nCURSO,DATOS!$D10211,nESPEC,DATOS!$E10211,nASIG,DATOS!$I10211,nEVAL,"OR")=0))</f>
      </c>
      <c r="I10211">
        <f>IF(DATOS!$I10211="","",IFERROR(VLOOKUP(DATOS!$I10211,CONFIG_ASIGNATURAS!$B$2:$J$91,9,FALSE()),""))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IF(DATOS!$A10212="",0,IF(CONFIG_METADATA!$B$4&lt;&gt;"OR+EX",--(DATOS!$G10212=CONFIG_METADATA!$B$4),IF(DATOS!$G10212="EX",1,IF(DATOS!$G10212="OR",--(COUNTIFS(nNIA,DATOS!$A10212,nCURSO,DATOS!$D10212,nESPEC,DATOS!$E10212,nASIG,DATOS!$I10212,nEVAL,"EX")=0),0))))</f>
      </c>
      <c r="H10212">
        <f>IF(DATOS!$G10212&lt;&gt;"EX",0,--(COUNTIFS(nNIA,DATOS!$A10212,nCURSO,DATOS!$D10212,nESPEC,DATOS!$E10212,nASIG,DATOS!$I10212,nEVAL,"OR")=0))</f>
      </c>
      <c r="I10212">
        <f>IF(DATOS!$I10212="","",IFERROR(VLOOKUP(DATOS!$I10212,CONFIG_ASIGNATURAS!$B$2:$J$91,9,FALSE()),""))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IF(DATOS!$A10213="",0,IF(CONFIG_METADATA!$B$4&lt;&gt;"OR+EX",--(DATOS!$G10213=CONFIG_METADATA!$B$4),IF(DATOS!$G10213="EX",1,IF(DATOS!$G10213="OR",--(COUNTIFS(nNIA,DATOS!$A10213,nCURSO,DATOS!$D10213,nESPEC,DATOS!$E10213,nASIG,DATOS!$I10213,nEVAL,"EX")=0),0))))</f>
      </c>
      <c r="H10213">
        <f>IF(DATOS!$G10213&lt;&gt;"EX",0,--(COUNTIFS(nNIA,DATOS!$A10213,nCURSO,DATOS!$D10213,nESPEC,DATOS!$E10213,nASIG,DATOS!$I10213,nEVAL,"OR")=0))</f>
      </c>
      <c r="I10213">
        <f>IF(DATOS!$I10213="","",IFERROR(VLOOKUP(DATOS!$I10213,CONFIG_ASIGNATURAS!$B$2:$J$91,9,FALSE()),""))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IF(DATOS!$A10214="",0,IF(CONFIG_METADATA!$B$4&lt;&gt;"OR+EX",--(DATOS!$G10214=CONFIG_METADATA!$B$4),IF(DATOS!$G10214="EX",1,IF(DATOS!$G10214="OR",--(COUNTIFS(nNIA,DATOS!$A10214,nCURSO,DATOS!$D10214,nESPEC,DATOS!$E10214,nASIG,DATOS!$I10214,nEVAL,"EX")=0),0))))</f>
      </c>
      <c r="H10214">
        <f>IF(DATOS!$G10214&lt;&gt;"EX",0,--(COUNTIFS(nNIA,DATOS!$A10214,nCURSO,DATOS!$D10214,nESPEC,DATOS!$E10214,nASIG,DATOS!$I10214,nEVAL,"OR")=0))</f>
      </c>
      <c r="I10214">
        <f>IF(DATOS!$I10214="","",IFERROR(VLOOKUP(DATOS!$I10214,CONFIG_ASIGNATURAS!$B$2:$J$91,9,FALSE()),""))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IF(DATOS!$A10215="",0,IF(CONFIG_METADATA!$B$4&lt;&gt;"OR+EX",--(DATOS!$G10215=CONFIG_METADATA!$B$4),IF(DATOS!$G10215="EX",1,IF(DATOS!$G10215="OR",--(COUNTIFS(nNIA,DATOS!$A10215,nCURSO,DATOS!$D10215,nESPEC,DATOS!$E10215,nASIG,DATOS!$I10215,nEVAL,"EX")=0),0))))</f>
      </c>
      <c r="H10215">
        <f>IF(DATOS!$G10215&lt;&gt;"EX",0,--(COUNTIFS(nNIA,DATOS!$A10215,nCURSO,DATOS!$D10215,nESPEC,DATOS!$E10215,nASIG,DATOS!$I10215,nEVAL,"OR")=0))</f>
      </c>
      <c r="I10215">
        <f>IF(DATOS!$I10215="","",IFERROR(VLOOKUP(DATOS!$I10215,CONFIG_ASIGNATURAS!$B$2:$J$91,9,FALSE()),""))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IF(DATOS!$A10216="",0,IF(CONFIG_METADATA!$B$4&lt;&gt;"OR+EX",--(DATOS!$G10216=CONFIG_METADATA!$B$4),IF(DATOS!$G10216="EX",1,IF(DATOS!$G10216="OR",--(COUNTIFS(nNIA,DATOS!$A10216,nCURSO,DATOS!$D10216,nESPEC,DATOS!$E10216,nASIG,DATOS!$I10216,nEVAL,"EX")=0),0))))</f>
      </c>
      <c r="H10216">
        <f>IF(DATOS!$G10216&lt;&gt;"EX",0,--(COUNTIFS(nNIA,DATOS!$A10216,nCURSO,DATOS!$D10216,nESPEC,DATOS!$E10216,nASIG,DATOS!$I10216,nEVAL,"OR")=0))</f>
      </c>
      <c r="I10216">
        <f>IF(DATOS!$I10216="","",IFERROR(VLOOKUP(DATOS!$I10216,CONFIG_ASIGNATURAS!$B$2:$J$91,9,FALSE()),""))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IF(DATOS!$A10217="",0,IF(CONFIG_METADATA!$B$4&lt;&gt;"OR+EX",--(DATOS!$G10217=CONFIG_METADATA!$B$4),IF(DATOS!$G10217="EX",1,IF(DATOS!$G10217="OR",--(COUNTIFS(nNIA,DATOS!$A10217,nCURSO,DATOS!$D10217,nESPEC,DATOS!$E10217,nASIG,DATOS!$I10217,nEVAL,"EX")=0),0))))</f>
      </c>
      <c r="H10217">
        <f>IF(DATOS!$G10217&lt;&gt;"EX",0,--(COUNTIFS(nNIA,DATOS!$A10217,nCURSO,DATOS!$D10217,nESPEC,DATOS!$E10217,nASIG,DATOS!$I10217,nEVAL,"OR")=0))</f>
      </c>
      <c r="I10217">
        <f>IF(DATOS!$I10217="","",IFERROR(VLOOKUP(DATOS!$I10217,CONFIG_ASIGNATURAS!$B$2:$J$91,9,FALSE()),""))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IF(DATOS!$A10218="",0,IF(CONFIG_METADATA!$B$4&lt;&gt;"OR+EX",--(DATOS!$G10218=CONFIG_METADATA!$B$4),IF(DATOS!$G10218="EX",1,IF(DATOS!$G10218="OR",--(COUNTIFS(nNIA,DATOS!$A10218,nCURSO,DATOS!$D10218,nESPEC,DATOS!$E10218,nASIG,DATOS!$I10218,nEVAL,"EX")=0),0))))</f>
      </c>
      <c r="H10218">
        <f>IF(DATOS!$G10218&lt;&gt;"EX",0,--(COUNTIFS(nNIA,DATOS!$A10218,nCURSO,DATOS!$D10218,nESPEC,DATOS!$E10218,nASIG,DATOS!$I10218,nEVAL,"OR")=0))</f>
      </c>
      <c r="I10218">
        <f>IF(DATOS!$I10218="","",IFERROR(VLOOKUP(DATOS!$I10218,CONFIG_ASIGNATURAS!$B$2:$J$91,9,FALSE()),""))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IF(DATOS!$A10219="",0,IF(CONFIG_METADATA!$B$4&lt;&gt;"OR+EX",--(DATOS!$G10219=CONFIG_METADATA!$B$4),IF(DATOS!$G10219="EX",1,IF(DATOS!$G10219="OR",--(COUNTIFS(nNIA,DATOS!$A10219,nCURSO,DATOS!$D10219,nESPEC,DATOS!$E10219,nASIG,DATOS!$I10219,nEVAL,"EX")=0),0))))</f>
      </c>
      <c r="H10219">
        <f>IF(DATOS!$G10219&lt;&gt;"EX",0,--(COUNTIFS(nNIA,DATOS!$A10219,nCURSO,DATOS!$D10219,nESPEC,DATOS!$E10219,nASIG,DATOS!$I10219,nEVAL,"OR")=0))</f>
      </c>
      <c r="I10219">
        <f>IF(DATOS!$I10219="","",IFERROR(VLOOKUP(DATOS!$I10219,CONFIG_ASIGNATURAS!$B$2:$J$91,9,FALSE()),""))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IF(DATOS!$A10220="",0,IF(CONFIG_METADATA!$B$4&lt;&gt;"OR+EX",--(DATOS!$G10220=CONFIG_METADATA!$B$4),IF(DATOS!$G10220="EX",1,IF(DATOS!$G10220="OR",--(COUNTIFS(nNIA,DATOS!$A10220,nCURSO,DATOS!$D10220,nESPEC,DATOS!$E10220,nASIG,DATOS!$I10220,nEVAL,"EX")=0),0))))</f>
      </c>
      <c r="H10220">
        <f>IF(DATOS!$G10220&lt;&gt;"EX",0,--(COUNTIFS(nNIA,DATOS!$A10220,nCURSO,DATOS!$D10220,nESPEC,DATOS!$E10220,nASIG,DATOS!$I10220,nEVAL,"OR")=0))</f>
      </c>
      <c r="I10220">
        <f>IF(DATOS!$I10220="","",IFERROR(VLOOKUP(DATOS!$I10220,CONFIG_ASIGNATURAS!$B$2:$J$91,9,FALSE()),""))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IF(DATOS!$A10221="",0,IF(CONFIG_METADATA!$B$4&lt;&gt;"OR+EX",--(DATOS!$G10221=CONFIG_METADATA!$B$4),IF(DATOS!$G10221="EX",1,IF(DATOS!$G10221="OR",--(COUNTIFS(nNIA,DATOS!$A10221,nCURSO,DATOS!$D10221,nESPEC,DATOS!$E10221,nASIG,DATOS!$I10221,nEVAL,"EX")=0),0))))</f>
      </c>
      <c r="H10221">
        <f>IF(DATOS!$G10221&lt;&gt;"EX",0,--(COUNTIFS(nNIA,DATOS!$A10221,nCURSO,DATOS!$D10221,nESPEC,DATOS!$E10221,nASIG,DATOS!$I10221,nEVAL,"OR")=0))</f>
      </c>
      <c r="I10221">
        <f>IF(DATOS!$I10221="","",IFERROR(VLOOKUP(DATOS!$I10221,CONFIG_ASIGNATURAS!$B$2:$J$91,9,FALSE()),""))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IF(DATOS!$A10222="",0,IF(CONFIG_METADATA!$B$4&lt;&gt;"OR+EX",--(DATOS!$G10222=CONFIG_METADATA!$B$4),IF(DATOS!$G10222="EX",1,IF(DATOS!$G10222="OR",--(COUNTIFS(nNIA,DATOS!$A10222,nCURSO,DATOS!$D10222,nESPEC,DATOS!$E10222,nASIG,DATOS!$I10222,nEVAL,"EX")=0),0))))</f>
      </c>
      <c r="H10222">
        <f>IF(DATOS!$G10222&lt;&gt;"EX",0,--(COUNTIFS(nNIA,DATOS!$A10222,nCURSO,DATOS!$D10222,nESPEC,DATOS!$E10222,nASIG,DATOS!$I10222,nEVAL,"OR")=0))</f>
      </c>
      <c r="I10222">
        <f>IF(DATOS!$I10222="","",IFERROR(VLOOKUP(DATOS!$I10222,CONFIG_ASIGNATURAS!$B$2:$J$91,9,FALSE()),""))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IF(DATOS!$A10223="",0,IF(CONFIG_METADATA!$B$4&lt;&gt;"OR+EX",--(DATOS!$G10223=CONFIG_METADATA!$B$4),IF(DATOS!$G10223="EX",1,IF(DATOS!$G10223="OR",--(COUNTIFS(nNIA,DATOS!$A10223,nCURSO,DATOS!$D10223,nESPEC,DATOS!$E10223,nASIG,DATOS!$I10223,nEVAL,"EX")=0),0))))</f>
      </c>
      <c r="H10223">
        <f>IF(DATOS!$G10223&lt;&gt;"EX",0,--(COUNTIFS(nNIA,DATOS!$A10223,nCURSO,DATOS!$D10223,nESPEC,DATOS!$E10223,nASIG,DATOS!$I10223,nEVAL,"OR")=0))</f>
      </c>
      <c r="I10223">
        <f>IF(DATOS!$I10223="","",IFERROR(VLOOKUP(DATOS!$I10223,CONFIG_ASIGNATURAS!$B$2:$J$91,9,FALSE()),""))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IF(DATOS!$A10224="",0,IF(CONFIG_METADATA!$B$4&lt;&gt;"OR+EX",--(DATOS!$G10224=CONFIG_METADATA!$B$4),IF(DATOS!$G10224="EX",1,IF(DATOS!$G10224="OR",--(COUNTIFS(nNIA,DATOS!$A10224,nCURSO,DATOS!$D10224,nESPEC,DATOS!$E10224,nASIG,DATOS!$I10224,nEVAL,"EX")=0),0))))</f>
      </c>
      <c r="H10224">
        <f>IF(DATOS!$G10224&lt;&gt;"EX",0,--(COUNTIFS(nNIA,DATOS!$A10224,nCURSO,DATOS!$D10224,nESPEC,DATOS!$E10224,nASIG,DATOS!$I10224,nEVAL,"OR")=0))</f>
      </c>
      <c r="I10224">
        <f>IF(DATOS!$I10224="","",IFERROR(VLOOKUP(DATOS!$I10224,CONFIG_ASIGNATURAS!$B$2:$J$91,9,FALSE()),""))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IF(DATOS!$A10225="",0,IF(CONFIG_METADATA!$B$4&lt;&gt;"OR+EX",--(DATOS!$G10225=CONFIG_METADATA!$B$4),IF(DATOS!$G10225="EX",1,IF(DATOS!$G10225="OR",--(COUNTIFS(nNIA,DATOS!$A10225,nCURSO,DATOS!$D10225,nESPEC,DATOS!$E10225,nASIG,DATOS!$I10225,nEVAL,"EX")=0),0))))</f>
      </c>
      <c r="H10225">
        <f>IF(DATOS!$G10225&lt;&gt;"EX",0,--(COUNTIFS(nNIA,DATOS!$A10225,nCURSO,DATOS!$D10225,nESPEC,DATOS!$E10225,nASIG,DATOS!$I10225,nEVAL,"OR")=0))</f>
      </c>
      <c r="I10225">
        <f>IF(DATOS!$I10225="","",IFERROR(VLOOKUP(DATOS!$I10225,CONFIG_ASIGNATURAS!$B$2:$J$91,9,FALSE()),""))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IF(DATOS!$A10226="",0,IF(CONFIG_METADATA!$B$4&lt;&gt;"OR+EX",--(DATOS!$G10226=CONFIG_METADATA!$B$4),IF(DATOS!$G10226="EX",1,IF(DATOS!$G10226="OR",--(COUNTIFS(nNIA,DATOS!$A10226,nCURSO,DATOS!$D10226,nESPEC,DATOS!$E10226,nASIG,DATOS!$I10226,nEVAL,"EX")=0),0))))</f>
      </c>
      <c r="H10226">
        <f>IF(DATOS!$G10226&lt;&gt;"EX",0,--(COUNTIFS(nNIA,DATOS!$A10226,nCURSO,DATOS!$D10226,nESPEC,DATOS!$E10226,nASIG,DATOS!$I10226,nEVAL,"OR")=0))</f>
      </c>
      <c r="I10226">
        <f>IF(DATOS!$I10226="","",IFERROR(VLOOKUP(DATOS!$I10226,CONFIG_ASIGNATURAS!$B$2:$J$91,9,FALSE()),""))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IF(DATOS!$A10227="",0,IF(CONFIG_METADATA!$B$4&lt;&gt;"OR+EX",--(DATOS!$G10227=CONFIG_METADATA!$B$4),IF(DATOS!$G10227="EX",1,IF(DATOS!$G10227="OR",--(COUNTIFS(nNIA,DATOS!$A10227,nCURSO,DATOS!$D10227,nESPEC,DATOS!$E10227,nASIG,DATOS!$I10227,nEVAL,"EX")=0),0))))</f>
      </c>
      <c r="H10227">
        <f>IF(DATOS!$G10227&lt;&gt;"EX",0,--(COUNTIFS(nNIA,DATOS!$A10227,nCURSO,DATOS!$D10227,nESPEC,DATOS!$E10227,nASIG,DATOS!$I10227,nEVAL,"OR")=0))</f>
      </c>
      <c r="I10227">
        <f>IF(DATOS!$I10227="","",IFERROR(VLOOKUP(DATOS!$I10227,CONFIG_ASIGNATURAS!$B$2:$J$91,9,FALSE()),""))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IF(DATOS!$A10228="",0,IF(CONFIG_METADATA!$B$4&lt;&gt;"OR+EX",--(DATOS!$G10228=CONFIG_METADATA!$B$4),IF(DATOS!$G10228="EX",1,IF(DATOS!$G10228="OR",--(COUNTIFS(nNIA,DATOS!$A10228,nCURSO,DATOS!$D10228,nESPEC,DATOS!$E10228,nASIG,DATOS!$I10228,nEVAL,"EX")=0),0))))</f>
      </c>
      <c r="H10228">
        <f>IF(DATOS!$G10228&lt;&gt;"EX",0,--(COUNTIFS(nNIA,DATOS!$A10228,nCURSO,DATOS!$D10228,nESPEC,DATOS!$E10228,nASIG,DATOS!$I10228,nEVAL,"OR")=0))</f>
      </c>
      <c r="I10228">
        <f>IF(DATOS!$I10228="","",IFERROR(VLOOKUP(DATOS!$I10228,CONFIG_ASIGNATURAS!$B$2:$J$91,9,FALSE()),""))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IF(DATOS!$A10229="",0,IF(CONFIG_METADATA!$B$4&lt;&gt;"OR+EX",--(DATOS!$G10229=CONFIG_METADATA!$B$4),IF(DATOS!$G10229="EX",1,IF(DATOS!$G10229="OR",--(COUNTIFS(nNIA,DATOS!$A10229,nCURSO,DATOS!$D10229,nESPEC,DATOS!$E10229,nASIG,DATOS!$I10229,nEVAL,"EX")=0),0))))</f>
      </c>
      <c r="H10229">
        <f>IF(DATOS!$G10229&lt;&gt;"EX",0,--(COUNTIFS(nNIA,DATOS!$A10229,nCURSO,DATOS!$D10229,nESPEC,DATOS!$E10229,nASIG,DATOS!$I10229,nEVAL,"OR")=0))</f>
      </c>
      <c r="I10229">
        <f>IF(DATOS!$I10229="","",IFERROR(VLOOKUP(DATOS!$I10229,CONFIG_ASIGNATURAS!$B$2:$J$91,9,FALSE()),""))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IF(DATOS!$A10230="",0,IF(CONFIG_METADATA!$B$4&lt;&gt;"OR+EX",--(DATOS!$G10230=CONFIG_METADATA!$B$4),IF(DATOS!$G10230="EX",1,IF(DATOS!$G10230="OR",--(COUNTIFS(nNIA,DATOS!$A10230,nCURSO,DATOS!$D10230,nESPEC,DATOS!$E10230,nASIG,DATOS!$I10230,nEVAL,"EX")=0),0))))</f>
      </c>
      <c r="H10230">
        <f>IF(DATOS!$G10230&lt;&gt;"EX",0,--(COUNTIFS(nNIA,DATOS!$A10230,nCURSO,DATOS!$D10230,nESPEC,DATOS!$E10230,nASIG,DATOS!$I10230,nEVAL,"OR")=0))</f>
      </c>
      <c r="I10230">
        <f>IF(DATOS!$I10230="","",IFERROR(VLOOKUP(DATOS!$I10230,CONFIG_ASIGNATURAS!$B$2:$J$91,9,FALSE()),""))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IF(DATOS!$A10231="",0,IF(CONFIG_METADATA!$B$4&lt;&gt;"OR+EX",--(DATOS!$G10231=CONFIG_METADATA!$B$4),IF(DATOS!$G10231="EX",1,IF(DATOS!$G10231="OR",--(COUNTIFS(nNIA,DATOS!$A10231,nCURSO,DATOS!$D10231,nESPEC,DATOS!$E10231,nASIG,DATOS!$I10231,nEVAL,"EX")=0),0))))</f>
      </c>
      <c r="H10231">
        <f>IF(DATOS!$G10231&lt;&gt;"EX",0,--(COUNTIFS(nNIA,DATOS!$A10231,nCURSO,DATOS!$D10231,nESPEC,DATOS!$E10231,nASIG,DATOS!$I10231,nEVAL,"OR")=0))</f>
      </c>
      <c r="I10231">
        <f>IF(DATOS!$I10231="","",IFERROR(VLOOKUP(DATOS!$I10231,CONFIG_ASIGNATURAS!$B$2:$J$91,9,FALSE()),""))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IF(DATOS!$A10232="",0,IF(CONFIG_METADATA!$B$4&lt;&gt;"OR+EX",--(DATOS!$G10232=CONFIG_METADATA!$B$4),IF(DATOS!$G10232="EX",1,IF(DATOS!$G10232="OR",--(COUNTIFS(nNIA,DATOS!$A10232,nCURSO,DATOS!$D10232,nESPEC,DATOS!$E10232,nASIG,DATOS!$I10232,nEVAL,"EX")=0),0))))</f>
      </c>
      <c r="H10232">
        <f>IF(DATOS!$G10232&lt;&gt;"EX",0,--(COUNTIFS(nNIA,DATOS!$A10232,nCURSO,DATOS!$D10232,nESPEC,DATOS!$E10232,nASIG,DATOS!$I10232,nEVAL,"OR")=0))</f>
      </c>
      <c r="I10232">
        <f>IF(DATOS!$I10232="","",IFERROR(VLOOKUP(DATOS!$I10232,CONFIG_ASIGNATURAS!$B$2:$J$91,9,FALSE()),""))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IF(DATOS!$A10233="",0,IF(CONFIG_METADATA!$B$4&lt;&gt;"OR+EX",--(DATOS!$G10233=CONFIG_METADATA!$B$4),IF(DATOS!$G10233="EX",1,IF(DATOS!$G10233="OR",--(COUNTIFS(nNIA,DATOS!$A10233,nCURSO,DATOS!$D10233,nESPEC,DATOS!$E10233,nASIG,DATOS!$I10233,nEVAL,"EX")=0),0))))</f>
      </c>
      <c r="H10233">
        <f>IF(DATOS!$G10233&lt;&gt;"EX",0,--(COUNTIFS(nNIA,DATOS!$A10233,nCURSO,DATOS!$D10233,nESPEC,DATOS!$E10233,nASIG,DATOS!$I10233,nEVAL,"OR")=0))</f>
      </c>
      <c r="I10233">
        <f>IF(DATOS!$I10233="","",IFERROR(VLOOKUP(DATOS!$I10233,CONFIG_ASIGNATURAS!$B$2:$J$91,9,FALSE()),""))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IF(DATOS!$A10234="",0,IF(CONFIG_METADATA!$B$4&lt;&gt;"OR+EX",--(DATOS!$G10234=CONFIG_METADATA!$B$4),IF(DATOS!$G10234="EX",1,IF(DATOS!$G10234="OR",--(COUNTIFS(nNIA,DATOS!$A10234,nCURSO,DATOS!$D10234,nESPEC,DATOS!$E10234,nASIG,DATOS!$I10234,nEVAL,"EX")=0),0))))</f>
      </c>
      <c r="H10234">
        <f>IF(DATOS!$G10234&lt;&gt;"EX",0,--(COUNTIFS(nNIA,DATOS!$A10234,nCURSO,DATOS!$D10234,nESPEC,DATOS!$E10234,nASIG,DATOS!$I10234,nEVAL,"OR")=0))</f>
      </c>
      <c r="I10234">
        <f>IF(DATOS!$I10234="","",IFERROR(VLOOKUP(DATOS!$I10234,CONFIG_ASIGNATURAS!$B$2:$J$91,9,FALSE()),""))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IF(DATOS!$A10235="",0,IF(CONFIG_METADATA!$B$4&lt;&gt;"OR+EX",--(DATOS!$G10235=CONFIG_METADATA!$B$4),IF(DATOS!$G10235="EX",1,IF(DATOS!$G10235="OR",--(COUNTIFS(nNIA,DATOS!$A10235,nCURSO,DATOS!$D10235,nESPEC,DATOS!$E10235,nASIG,DATOS!$I10235,nEVAL,"EX")=0),0))))</f>
      </c>
      <c r="H10235">
        <f>IF(DATOS!$G10235&lt;&gt;"EX",0,--(COUNTIFS(nNIA,DATOS!$A10235,nCURSO,DATOS!$D10235,nESPEC,DATOS!$E10235,nASIG,DATOS!$I10235,nEVAL,"OR")=0))</f>
      </c>
      <c r="I10235">
        <f>IF(DATOS!$I10235="","",IFERROR(VLOOKUP(DATOS!$I10235,CONFIG_ASIGNATURAS!$B$2:$J$91,9,FALSE()),""))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IF(DATOS!$A10236="",0,IF(CONFIG_METADATA!$B$4&lt;&gt;"OR+EX",--(DATOS!$G10236=CONFIG_METADATA!$B$4),IF(DATOS!$G10236="EX",1,IF(DATOS!$G10236="OR",--(COUNTIFS(nNIA,DATOS!$A10236,nCURSO,DATOS!$D10236,nESPEC,DATOS!$E10236,nASIG,DATOS!$I10236,nEVAL,"EX")=0),0))))</f>
      </c>
      <c r="H10236">
        <f>IF(DATOS!$G10236&lt;&gt;"EX",0,--(COUNTIFS(nNIA,DATOS!$A10236,nCURSO,DATOS!$D10236,nESPEC,DATOS!$E10236,nASIG,DATOS!$I10236,nEVAL,"OR")=0))</f>
      </c>
      <c r="I10236">
        <f>IF(DATOS!$I10236="","",IFERROR(VLOOKUP(DATOS!$I10236,CONFIG_ASIGNATURAS!$B$2:$J$91,9,FALSE()),""))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IF(DATOS!$A10237="",0,IF(CONFIG_METADATA!$B$4&lt;&gt;"OR+EX",--(DATOS!$G10237=CONFIG_METADATA!$B$4),IF(DATOS!$G10237="EX",1,IF(DATOS!$G10237="OR",--(COUNTIFS(nNIA,DATOS!$A10237,nCURSO,DATOS!$D10237,nESPEC,DATOS!$E10237,nASIG,DATOS!$I10237,nEVAL,"EX")=0),0))))</f>
      </c>
      <c r="H10237">
        <f>IF(DATOS!$G10237&lt;&gt;"EX",0,--(COUNTIFS(nNIA,DATOS!$A10237,nCURSO,DATOS!$D10237,nESPEC,DATOS!$E10237,nASIG,DATOS!$I10237,nEVAL,"OR")=0))</f>
      </c>
      <c r="I10237">
        <f>IF(DATOS!$I10237="","",IFERROR(VLOOKUP(DATOS!$I10237,CONFIG_ASIGNATURAS!$B$2:$J$91,9,FALSE()),""))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IF(DATOS!$A10238="",0,IF(CONFIG_METADATA!$B$4&lt;&gt;"OR+EX",--(DATOS!$G10238=CONFIG_METADATA!$B$4),IF(DATOS!$G10238="EX",1,IF(DATOS!$G10238="OR",--(COUNTIFS(nNIA,DATOS!$A10238,nCURSO,DATOS!$D10238,nESPEC,DATOS!$E10238,nASIG,DATOS!$I10238,nEVAL,"EX")=0),0))))</f>
      </c>
      <c r="H10238">
        <f>IF(DATOS!$G10238&lt;&gt;"EX",0,--(COUNTIFS(nNIA,DATOS!$A10238,nCURSO,DATOS!$D10238,nESPEC,DATOS!$E10238,nASIG,DATOS!$I10238,nEVAL,"OR")=0))</f>
      </c>
      <c r="I10238">
        <f>IF(DATOS!$I10238="","",IFERROR(VLOOKUP(DATOS!$I10238,CONFIG_ASIGNATURAS!$B$2:$J$91,9,FALSE()),""))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IF(DATOS!$A10239="",0,IF(CONFIG_METADATA!$B$4&lt;&gt;"OR+EX",--(DATOS!$G10239=CONFIG_METADATA!$B$4),IF(DATOS!$G10239="EX",1,IF(DATOS!$G10239="OR",--(COUNTIFS(nNIA,DATOS!$A10239,nCURSO,DATOS!$D10239,nESPEC,DATOS!$E10239,nASIG,DATOS!$I10239,nEVAL,"EX")=0),0))))</f>
      </c>
      <c r="H10239">
        <f>IF(DATOS!$G10239&lt;&gt;"EX",0,--(COUNTIFS(nNIA,DATOS!$A10239,nCURSO,DATOS!$D10239,nESPEC,DATOS!$E10239,nASIG,DATOS!$I10239,nEVAL,"OR")=0))</f>
      </c>
      <c r="I10239">
        <f>IF(DATOS!$I10239="","",IFERROR(VLOOKUP(DATOS!$I10239,CONFIG_ASIGNATURAS!$B$2:$J$91,9,FALSE()),""))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IF(DATOS!$A10240="",0,IF(CONFIG_METADATA!$B$4&lt;&gt;"OR+EX",--(DATOS!$G10240=CONFIG_METADATA!$B$4),IF(DATOS!$G10240="EX",1,IF(DATOS!$G10240="OR",--(COUNTIFS(nNIA,DATOS!$A10240,nCURSO,DATOS!$D10240,nESPEC,DATOS!$E10240,nASIG,DATOS!$I10240,nEVAL,"EX")=0),0))))</f>
      </c>
      <c r="H10240">
        <f>IF(DATOS!$G10240&lt;&gt;"EX",0,--(COUNTIFS(nNIA,DATOS!$A10240,nCURSO,DATOS!$D10240,nESPEC,DATOS!$E10240,nASIG,DATOS!$I10240,nEVAL,"OR")=0))</f>
      </c>
      <c r="I10240">
        <f>IF(DATOS!$I10240="","",IFERROR(VLOOKUP(DATOS!$I10240,CONFIG_ASIGNATURAS!$B$2:$J$91,9,FALSE()),""))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IF(DATOS!$A10241="",0,IF(CONFIG_METADATA!$B$4&lt;&gt;"OR+EX",--(DATOS!$G10241=CONFIG_METADATA!$B$4),IF(DATOS!$G10241="EX",1,IF(DATOS!$G10241="OR",--(COUNTIFS(nNIA,DATOS!$A10241,nCURSO,DATOS!$D10241,nESPEC,DATOS!$E10241,nASIG,DATOS!$I10241,nEVAL,"EX")=0),0))))</f>
      </c>
      <c r="H10241">
        <f>IF(DATOS!$G10241&lt;&gt;"EX",0,--(COUNTIFS(nNIA,DATOS!$A10241,nCURSO,DATOS!$D10241,nESPEC,DATOS!$E10241,nASIG,DATOS!$I10241,nEVAL,"OR")=0))</f>
      </c>
      <c r="I10241">
        <f>IF(DATOS!$I10241="","",IFERROR(VLOOKUP(DATOS!$I10241,CONFIG_ASIGNATURAS!$B$2:$J$91,9,FALSE()),""))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IF(DATOS!$A10242="",0,IF(CONFIG_METADATA!$B$4&lt;&gt;"OR+EX",--(DATOS!$G10242=CONFIG_METADATA!$B$4),IF(DATOS!$G10242="EX",1,IF(DATOS!$G10242="OR",--(COUNTIFS(nNIA,DATOS!$A10242,nCURSO,DATOS!$D10242,nESPEC,DATOS!$E10242,nASIG,DATOS!$I10242,nEVAL,"EX")=0),0))))</f>
      </c>
      <c r="H10242">
        <f>IF(DATOS!$G10242&lt;&gt;"EX",0,--(COUNTIFS(nNIA,DATOS!$A10242,nCURSO,DATOS!$D10242,nESPEC,DATOS!$E10242,nASIG,DATOS!$I10242,nEVAL,"OR")=0))</f>
      </c>
      <c r="I10242">
        <f>IF(DATOS!$I10242="","",IFERROR(VLOOKUP(DATOS!$I10242,CONFIG_ASIGNATURAS!$B$2:$J$91,9,FALSE()),""))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IF(DATOS!$A10243="",0,IF(CONFIG_METADATA!$B$4&lt;&gt;"OR+EX",--(DATOS!$G10243=CONFIG_METADATA!$B$4),IF(DATOS!$G10243="EX",1,IF(DATOS!$G10243="OR",--(COUNTIFS(nNIA,DATOS!$A10243,nCURSO,DATOS!$D10243,nESPEC,DATOS!$E10243,nASIG,DATOS!$I10243,nEVAL,"EX")=0),0))))</f>
      </c>
      <c r="H10243">
        <f>IF(DATOS!$G10243&lt;&gt;"EX",0,--(COUNTIFS(nNIA,DATOS!$A10243,nCURSO,DATOS!$D10243,nESPEC,DATOS!$E10243,nASIG,DATOS!$I10243,nEVAL,"OR")=0))</f>
      </c>
      <c r="I10243">
        <f>IF(DATOS!$I10243="","",IFERROR(VLOOKUP(DATOS!$I10243,CONFIG_ASIGNATURAS!$B$2:$J$91,9,FALSE()),""))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IF(DATOS!$A10244="",0,IF(CONFIG_METADATA!$B$4&lt;&gt;"OR+EX",--(DATOS!$G10244=CONFIG_METADATA!$B$4),IF(DATOS!$G10244="EX",1,IF(DATOS!$G10244="OR",--(COUNTIFS(nNIA,DATOS!$A10244,nCURSO,DATOS!$D10244,nESPEC,DATOS!$E10244,nASIG,DATOS!$I10244,nEVAL,"EX")=0),0))))</f>
      </c>
      <c r="H10244">
        <f>IF(DATOS!$G10244&lt;&gt;"EX",0,--(COUNTIFS(nNIA,DATOS!$A10244,nCURSO,DATOS!$D10244,nESPEC,DATOS!$E10244,nASIG,DATOS!$I10244,nEVAL,"OR")=0))</f>
      </c>
      <c r="I10244">
        <f>IF(DATOS!$I10244="","",IFERROR(VLOOKUP(DATOS!$I10244,CONFIG_ASIGNATURAS!$B$2:$J$91,9,FALSE()),""))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IF(DATOS!$A10245="",0,IF(CONFIG_METADATA!$B$4&lt;&gt;"OR+EX",--(DATOS!$G10245=CONFIG_METADATA!$B$4),IF(DATOS!$G10245="EX",1,IF(DATOS!$G10245="OR",--(COUNTIFS(nNIA,DATOS!$A10245,nCURSO,DATOS!$D10245,nESPEC,DATOS!$E10245,nASIG,DATOS!$I10245,nEVAL,"EX")=0),0))))</f>
      </c>
      <c r="H10245">
        <f>IF(DATOS!$G10245&lt;&gt;"EX",0,--(COUNTIFS(nNIA,DATOS!$A10245,nCURSO,DATOS!$D10245,nESPEC,DATOS!$E10245,nASIG,DATOS!$I10245,nEVAL,"OR")=0))</f>
      </c>
      <c r="I10245">
        <f>IF(DATOS!$I10245="","",IFERROR(VLOOKUP(DATOS!$I10245,CONFIG_ASIGNATURAS!$B$2:$J$91,9,FALSE()),""))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IF(DATOS!$A10246="",0,IF(CONFIG_METADATA!$B$4&lt;&gt;"OR+EX",--(DATOS!$G10246=CONFIG_METADATA!$B$4),IF(DATOS!$G10246="EX",1,IF(DATOS!$G10246="OR",--(COUNTIFS(nNIA,DATOS!$A10246,nCURSO,DATOS!$D10246,nESPEC,DATOS!$E10246,nASIG,DATOS!$I10246,nEVAL,"EX")=0),0))))</f>
      </c>
      <c r="H10246">
        <f>IF(DATOS!$G10246&lt;&gt;"EX",0,--(COUNTIFS(nNIA,DATOS!$A10246,nCURSO,DATOS!$D10246,nESPEC,DATOS!$E10246,nASIG,DATOS!$I10246,nEVAL,"OR")=0))</f>
      </c>
      <c r="I10246">
        <f>IF(DATOS!$I10246="","",IFERROR(VLOOKUP(DATOS!$I10246,CONFIG_ASIGNATURAS!$B$2:$J$91,9,FALSE()),""))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IF(DATOS!$A10247="",0,IF(CONFIG_METADATA!$B$4&lt;&gt;"OR+EX",--(DATOS!$G10247=CONFIG_METADATA!$B$4),IF(DATOS!$G10247="EX",1,IF(DATOS!$G10247="OR",--(COUNTIFS(nNIA,DATOS!$A10247,nCURSO,DATOS!$D10247,nESPEC,DATOS!$E10247,nASIG,DATOS!$I10247,nEVAL,"EX")=0),0))))</f>
      </c>
      <c r="H10247">
        <f>IF(DATOS!$G10247&lt;&gt;"EX",0,--(COUNTIFS(nNIA,DATOS!$A10247,nCURSO,DATOS!$D10247,nESPEC,DATOS!$E10247,nASIG,DATOS!$I10247,nEVAL,"OR")=0))</f>
      </c>
      <c r="I10247">
        <f>IF(DATOS!$I10247="","",IFERROR(VLOOKUP(DATOS!$I10247,CONFIG_ASIGNATURAS!$B$2:$J$91,9,FALSE()),""))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IF(DATOS!$A10248="",0,IF(CONFIG_METADATA!$B$4&lt;&gt;"OR+EX",--(DATOS!$G10248=CONFIG_METADATA!$B$4),IF(DATOS!$G10248="EX",1,IF(DATOS!$G10248="OR",--(COUNTIFS(nNIA,DATOS!$A10248,nCURSO,DATOS!$D10248,nESPEC,DATOS!$E10248,nASIG,DATOS!$I10248,nEVAL,"EX")=0),0))))</f>
      </c>
      <c r="H10248">
        <f>IF(DATOS!$G10248&lt;&gt;"EX",0,--(COUNTIFS(nNIA,DATOS!$A10248,nCURSO,DATOS!$D10248,nESPEC,DATOS!$E10248,nASIG,DATOS!$I10248,nEVAL,"OR")=0))</f>
      </c>
      <c r="I10248">
        <f>IF(DATOS!$I10248="","",IFERROR(VLOOKUP(DATOS!$I10248,CONFIG_ASIGNATURAS!$B$2:$J$91,9,FALSE()),""))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IF(DATOS!$A10249="",0,IF(CONFIG_METADATA!$B$4&lt;&gt;"OR+EX",--(DATOS!$G10249=CONFIG_METADATA!$B$4),IF(DATOS!$G10249="EX",1,IF(DATOS!$G10249="OR",--(COUNTIFS(nNIA,DATOS!$A10249,nCURSO,DATOS!$D10249,nESPEC,DATOS!$E10249,nASIG,DATOS!$I10249,nEVAL,"EX")=0),0))))</f>
      </c>
      <c r="H10249">
        <f>IF(DATOS!$G10249&lt;&gt;"EX",0,--(COUNTIFS(nNIA,DATOS!$A10249,nCURSO,DATOS!$D10249,nESPEC,DATOS!$E10249,nASIG,DATOS!$I10249,nEVAL,"OR")=0))</f>
      </c>
      <c r="I10249">
        <f>IF(DATOS!$I10249="","",IFERROR(VLOOKUP(DATOS!$I10249,CONFIG_ASIGNATURAS!$B$2:$J$91,9,FALSE()),""))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IF(DATOS!$A10250="",0,IF(CONFIG_METADATA!$B$4&lt;&gt;"OR+EX",--(DATOS!$G10250=CONFIG_METADATA!$B$4),IF(DATOS!$G10250="EX",1,IF(DATOS!$G10250="OR",--(COUNTIFS(nNIA,DATOS!$A10250,nCURSO,DATOS!$D10250,nESPEC,DATOS!$E10250,nASIG,DATOS!$I10250,nEVAL,"EX")=0),0))))</f>
      </c>
      <c r="H10250">
        <f>IF(DATOS!$G10250&lt;&gt;"EX",0,--(COUNTIFS(nNIA,DATOS!$A10250,nCURSO,DATOS!$D10250,nESPEC,DATOS!$E10250,nASIG,DATOS!$I10250,nEVAL,"OR")=0))</f>
      </c>
      <c r="I10250">
        <f>IF(DATOS!$I10250="","",IFERROR(VLOOKUP(DATOS!$I10250,CONFIG_ASIGNATURAS!$B$2:$J$91,9,FALSE()),""))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IF(DATOS!$A10251="",0,IF(CONFIG_METADATA!$B$4&lt;&gt;"OR+EX",--(DATOS!$G10251=CONFIG_METADATA!$B$4),IF(DATOS!$G10251="EX",1,IF(DATOS!$G10251="OR",--(COUNTIFS(nNIA,DATOS!$A10251,nCURSO,DATOS!$D10251,nESPEC,DATOS!$E10251,nASIG,DATOS!$I10251,nEVAL,"EX")=0),0))))</f>
      </c>
      <c r="H10251">
        <f>IF(DATOS!$G10251&lt;&gt;"EX",0,--(COUNTIFS(nNIA,DATOS!$A10251,nCURSO,DATOS!$D10251,nESPEC,DATOS!$E10251,nASIG,DATOS!$I10251,nEVAL,"OR")=0))</f>
      </c>
      <c r="I10251">
        <f>IF(DATOS!$I10251="","",IFERROR(VLOOKUP(DATOS!$I10251,CONFIG_ASIGNATURAS!$B$2:$J$91,9,FALSE()),""))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IF(DATOS!$A10252="",0,IF(CONFIG_METADATA!$B$4&lt;&gt;"OR+EX",--(DATOS!$G10252=CONFIG_METADATA!$B$4),IF(DATOS!$G10252="EX",1,IF(DATOS!$G10252="OR",--(COUNTIFS(nNIA,DATOS!$A10252,nCURSO,DATOS!$D10252,nESPEC,DATOS!$E10252,nASIG,DATOS!$I10252,nEVAL,"EX")=0),0))))</f>
      </c>
      <c r="H10252">
        <f>IF(DATOS!$G10252&lt;&gt;"EX",0,--(COUNTIFS(nNIA,DATOS!$A10252,nCURSO,DATOS!$D10252,nESPEC,DATOS!$E10252,nASIG,DATOS!$I10252,nEVAL,"OR")=0))</f>
      </c>
      <c r="I10252">
        <f>IF(DATOS!$I10252="","",IFERROR(VLOOKUP(DATOS!$I10252,CONFIG_ASIGNATURAS!$B$2:$J$91,9,FALSE()),""))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IF(DATOS!$A10253="",0,IF(CONFIG_METADATA!$B$4&lt;&gt;"OR+EX",--(DATOS!$G10253=CONFIG_METADATA!$B$4),IF(DATOS!$G10253="EX",1,IF(DATOS!$G10253="OR",--(COUNTIFS(nNIA,DATOS!$A10253,nCURSO,DATOS!$D10253,nESPEC,DATOS!$E10253,nASIG,DATOS!$I10253,nEVAL,"EX")=0),0))))</f>
      </c>
      <c r="H10253">
        <f>IF(DATOS!$G10253&lt;&gt;"EX",0,--(COUNTIFS(nNIA,DATOS!$A10253,nCURSO,DATOS!$D10253,nESPEC,DATOS!$E10253,nASIG,DATOS!$I10253,nEVAL,"OR")=0))</f>
      </c>
      <c r="I10253">
        <f>IF(DATOS!$I10253="","",IFERROR(VLOOKUP(DATOS!$I10253,CONFIG_ASIGNATURAS!$B$2:$J$91,9,FALSE()),""))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IF(DATOS!$A10254="",0,IF(CONFIG_METADATA!$B$4&lt;&gt;"OR+EX",--(DATOS!$G10254=CONFIG_METADATA!$B$4),IF(DATOS!$G10254="EX",1,IF(DATOS!$G10254="OR",--(COUNTIFS(nNIA,DATOS!$A10254,nCURSO,DATOS!$D10254,nESPEC,DATOS!$E10254,nASIG,DATOS!$I10254,nEVAL,"EX")=0),0))))</f>
      </c>
      <c r="H10254">
        <f>IF(DATOS!$G10254&lt;&gt;"EX",0,--(COUNTIFS(nNIA,DATOS!$A10254,nCURSO,DATOS!$D10254,nESPEC,DATOS!$E10254,nASIG,DATOS!$I10254,nEVAL,"OR")=0))</f>
      </c>
      <c r="I10254">
        <f>IF(DATOS!$I10254="","",IFERROR(VLOOKUP(DATOS!$I10254,CONFIG_ASIGNATURAS!$B$2:$J$91,9,FALSE()),""))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IF(DATOS!$A10255="",0,IF(CONFIG_METADATA!$B$4&lt;&gt;"OR+EX",--(DATOS!$G10255=CONFIG_METADATA!$B$4),IF(DATOS!$G10255="EX",1,IF(DATOS!$G10255="OR",--(COUNTIFS(nNIA,DATOS!$A10255,nCURSO,DATOS!$D10255,nESPEC,DATOS!$E10255,nASIG,DATOS!$I10255,nEVAL,"EX")=0),0))))</f>
      </c>
      <c r="H10255">
        <f>IF(DATOS!$G10255&lt;&gt;"EX",0,--(COUNTIFS(nNIA,DATOS!$A10255,nCURSO,DATOS!$D10255,nESPEC,DATOS!$E10255,nASIG,DATOS!$I10255,nEVAL,"OR")=0))</f>
      </c>
      <c r="I10255">
        <f>IF(DATOS!$I10255="","",IFERROR(VLOOKUP(DATOS!$I10255,CONFIG_ASIGNATURAS!$B$2:$J$91,9,FALSE()),""))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IF(DATOS!$A10256="",0,IF(CONFIG_METADATA!$B$4&lt;&gt;"OR+EX",--(DATOS!$G10256=CONFIG_METADATA!$B$4),IF(DATOS!$G10256="EX",1,IF(DATOS!$G10256="OR",--(COUNTIFS(nNIA,DATOS!$A10256,nCURSO,DATOS!$D10256,nESPEC,DATOS!$E10256,nASIG,DATOS!$I10256,nEVAL,"EX")=0),0))))</f>
      </c>
      <c r="H10256">
        <f>IF(DATOS!$G10256&lt;&gt;"EX",0,--(COUNTIFS(nNIA,DATOS!$A10256,nCURSO,DATOS!$D10256,nESPEC,DATOS!$E10256,nASIG,DATOS!$I10256,nEVAL,"OR")=0))</f>
      </c>
      <c r="I10256">
        <f>IF(DATOS!$I10256="","",IFERROR(VLOOKUP(DATOS!$I10256,CONFIG_ASIGNATURAS!$B$2:$J$91,9,FALSE()),""))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IF(DATOS!$A10257="",0,IF(CONFIG_METADATA!$B$4&lt;&gt;"OR+EX",--(DATOS!$G10257=CONFIG_METADATA!$B$4),IF(DATOS!$G10257="EX",1,IF(DATOS!$G10257="OR",--(COUNTIFS(nNIA,DATOS!$A10257,nCURSO,DATOS!$D10257,nESPEC,DATOS!$E10257,nASIG,DATOS!$I10257,nEVAL,"EX")=0),0))))</f>
      </c>
      <c r="H10257">
        <f>IF(DATOS!$G10257&lt;&gt;"EX",0,--(COUNTIFS(nNIA,DATOS!$A10257,nCURSO,DATOS!$D10257,nESPEC,DATOS!$E10257,nASIG,DATOS!$I10257,nEVAL,"OR")=0))</f>
      </c>
      <c r="I10257">
        <f>IF(DATOS!$I10257="","",IFERROR(VLOOKUP(DATOS!$I10257,CONFIG_ASIGNATURAS!$B$2:$J$91,9,FALSE()),""))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IF(DATOS!$A10258="",0,IF(CONFIG_METADATA!$B$4&lt;&gt;"OR+EX",--(DATOS!$G10258=CONFIG_METADATA!$B$4),IF(DATOS!$G10258="EX",1,IF(DATOS!$G10258="OR",--(COUNTIFS(nNIA,DATOS!$A10258,nCURSO,DATOS!$D10258,nESPEC,DATOS!$E10258,nASIG,DATOS!$I10258,nEVAL,"EX")=0),0))))</f>
      </c>
      <c r="H10258">
        <f>IF(DATOS!$G10258&lt;&gt;"EX",0,--(COUNTIFS(nNIA,DATOS!$A10258,nCURSO,DATOS!$D10258,nESPEC,DATOS!$E10258,nASIG,DATOS!$I10258,nEVAL,"OR")=0))</f>
      </c>
      <c r="I10258">
        <f>IF(DATOS!$I10258="","",IFERROR(VLOOKUP(DATOS!$I10258,CONFIG_ASIGNATURAS!$B$2:$J$91,9,FALSE()),""))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IF(DATOS!$A10259="",0,IF(CONFIG_METADATA!$B$4&lt;&gt;"OR+EX",--(DATOS!$G10259=CONFIG_METADATA!$B$4),IF(DATOS!$G10259="EX",1,IF(DATOS!$G10259="OR",--(COUNTIFS(nNIA,DATOS!$A10259,nCURSO,DATOS!$D10259,nESPEC,DATOS!$E10259,nASIG,DATOS!$I10259,nEVAL,"EX")=0),0))))</f>
      </c>
      <c r="H10259">
        <f>IF(DATOS!$G10259&lt;&gt;"EX",0,--(COUNTIFS(nNIA,DATOS!$A10259,nCURSO,DATOS!$D10259,nESPEC,DATOS!$E10259,nASIG,DATOS!$I10259,nEVAL,"OR")=0))</f>
      </c>
      <c r="I10259">
        <f>IF(DATOS!$I10259="","",IFERROR(VLOOKUP(DATOS!$I10259,CONFIG_ASIGNATURAS!$B$2:$J$91,9,FALSE()),""))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IF(DATOS!$A10260="",0,IF(CONFIG_METADATA!$B$4&lt;&gt;"OR+EX",--(DATOS!$G10260=CONFIG_METADATA!$B$4),IF(DATOS!$G10260="EX",1,IF(DATOS!$G10260="OR",--(COUNTIFS(nNIA,DATOS!$A10260,nCURSO,DATOS!$D10260,nESPEC,DATOS!$E10260,nASIG,DATOS!$I10260,nEVAL,"EX")=0),0))))</f>
      </c>
      <c r="H10260">
        <f>IF(DATOS!$G10260&lt;&gt;"EX",0,--(COUNTIFS(nNIA,DATOS!$A10260,nCURSO,DATOS!$D10260,nESPEC,DATOS!$E10260,nASIG,DATOS!$I10260,nEVAL,"OR")=0))</f>
      </c>
      <c r="I10260">
        <f>IF(DATOS!$I10260="","",IFERROR(VLOOKUP(DATOS!$I10260,CONFIG_ASIGNATURAS!$B$2:$J$91,9,FALSE()),""))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IF(DATOS!$A10261="",0,IF(CONFIG_METADATA!$B$4&lt;&gt;"OR+EX",--(DATOS!$G10261=CONFIG_METADATA!$B$4),IF(DATOS!$G10261="EX",1,IF(DATOS!$G10261="OR",--(COUNTIFS(nNIA,DATOS!$A10261,nCURSO,DATOS!$D10261,nESPEC,DATOS!$E10261,nASIG,DATOS!$I10261,nEVAL,"EX")=0),0))))</f>
      </c>
      <c r="H10261">
        <f>IF(DATOS!$G10261&lt;&gt;"EX",0,--(COUNTIFS(nNIA,DATOS!$A10261,nCURSO,DATOS!$D10261,nESPEC,DATOS!$E10261,nASIG,DATOS!$I10261,nEVAL,"OR")=0))</f>
      </c>
      <c r="I10261">
        <f>IF(DATOS!$I10261="","",IFERROR(VLOOKUP(DATOS!$I10261,CONFIG_ASIGNATURAS!$B$2:$J$91,9,FALSE()),""))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IF(DATOS!$A10262="",0,IF(CONFIG_METADATA!$B$4&lt;&gt;"OR+EX",--(DATOS!$G10262=CONFIG_METADATA!$B$4),IF(DATOS!$G10262="EX",1,IF(DATOS!$G10262="OR",--(COUNTIFS(nNIA,DATOS!$A10262,nCURSO,DATOS!$D10262,nESPEC,DATOS!$E10262,nASIG,DATOS!$I10262,nEVAL,"EX")=0),0))))</f>
      </c>
      <c r="H10262">
        <f>IF(DATOS!$G10262&lt;&gt;"EX",0,--(COUNTIFS(nNIA,DATOS!$A10262,nCURSO,DATOS!$D10262,nESPEC,DATOS!$E10262,nASIG,DATOS!$I10262,nEVAL,"OR")=0))</f>
      </c>
      <c r="I10262">
        <f>IF(DATOS!$I10262="","",IFERROR(VLOOKUP(DATOS!$I10262,CONFIG_ASIGNATURAS!$B$2:$J$91,9,FALSE()),""))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IF(DATOS!$A10263="",0,IF(CONFIG_METADATA!$B$4&lt;&gt;"OR+EX",--(DATOS!$G10263=CONFIG_METADATA!$B$4),IF(DATOS!$G10263="EX",1,IF(DATOS!$G10263="OR",--(COUNTIFS(nNIA,DATOS!$A10263,nCURSO,DATOS!$D10263,nESPEC,DATOS!$E10263,nASIG,DATOS!$I10263,nEVAL,"EX")=0),0))))</f>
      </c>
      <c r="H10263">
        <f>IF(DATOS!$G10263&lt;&gt;"EX",0,--(COUNTIFS(nNIA,DATOS!$A10263,nCURSO,DATOS!$D10263,nESPEC,DATOS!$E10263,nASIG,DATOS!$I10263,nEVAL,"OR")=0))</f>
      </c>
      <c r="I10263">
        <f>IF(DATOS!$I10263="","",IFERROR(VLOOKUP(DATOS!$I10263,CONFIG_ASIGNATURAS!$B$2:$J$91,9,FALSE()),""))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IF(DATOS!$A10264="",0,IF(CONFIG_METADATA!$B$4&lt;&gt;"OR+EX",--(DATOS!$G10264=CONFIG_METADATA!$B$4),IF(DATOS!$G10264="EX",1,IF(DATOS!$G10264="OR",--(COUNTIFS(nNIA,DATOS!$A10264,nCURSO,DATOS!$D10264,nESPEC,DATOS!$E10264,nASIG,DATOS!$I10264,nEVAL,"EX")=0),0))))</f>
      </c>
      <c r="H10264">
        <f>IF(DATOS!$G10264&lt;&gt;"EX",0,--(COUNTIFS(nNIA,DATOS!$A10264,nCURSO,DATOS!$D10264,nESPEC,DATOS!$E10264,nASIG,DATOS!$I10264,nEVAL,"OR")=0))</f>
      </c>
      <c r="I10264">
        <f>IF(DATOS!$I10264="","",IFERROR(VLOOKUP(DATOS!$I10264,CONFIG_ASIGNATURAS!$B$2:$J$91,9,FALSE()),""))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IF(DATOS!$A10265="",0,IF(CONFIG_METADATA!$B$4&lt;&gt;"OR+EX",--(DATOS!$G10265=CONFIG_METADATA!$B$4),IF(DATOS!$G10265="EX",1,IF(DATOS!$G10265="OR",--(COUNTIFS(nNIA,DATOS!$A10265,nCURSO,DATOS!$D10265,nESPEC,DATOS!$E10265,nASIG,DATOS!$I10265,nEVAL,"EX")=0),0))))</f>
      </c>
      <c r="H10265">
        <f>IF(DATOS!$G10265&lt;&gt;"EX",0,--(COUNTIFS(nNIA,DATOS!$A10265,nCURSO,DATOS!$D10265,nESPEC,DATOS!$E10265,nASIG,DATOS!$I10265,nEVAL,"OR")=0))</f>
      </c>
      <c r="I10265">
        <f>IF(DATOS!$I10265="","",IFERROR(VLOOKUP(DATOS!$I10265,CONFIG_ASIGNATURAS!$B$2:$J$91,9,FALSE()),""))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IF(DATOS!$A10266="",0,IF(CONFIG_METADATA!$B$4&lt;&gt;"OR+EX",--(DATOS!$G10266=CONFIG_METADATA!$B$4),IF(DATOS!$G10266="EX",1,IF(DATOS!$G10266="OR",--(COUNTIFS(nNIA,DATOS!$A10266,nCURSO,DATOS!$D10266,nESPEC,DATOS!$E10266,nASIG,DATOS!$I10266,nEVAL,"EX")=0),0))))</f>
      </c>
      <c r="H10266">
        <f>IF(DATOS!$G10266&lt;&gt;"EX",0,--(COUNTIFS(nNIA,DATOS!$A10266,nCURSO,DATOS!$D10266,nESPEC,DATOS!$E10266,nASIG,DATOS!$I10266,nEVAL,"OR")=0))</f>
      </c>
      <c r="I10266">
        <f>IF(DATOS!$I10266="","",IFERROR(VLOOKUP(DATOS!$I10266,CONFIG_ASIGNATURAS!$B$2:$J$91,9,FALSE()),""))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IF(DATOS!$A10267="",0,IF(CONFIG_METADATA!$B$4&lt;&gt;"OR+EX",--(DATOS!$G10267=CONFIG_METADATA!$B$4),IF(DATOS!$G10267="EX",1,IF(DATOS!$G10267="OR",--(COUNTIFS(nNIA,DATOS!$A10267,nCURSO,DATOS!$D10267,nESPEC,DATOS!$E10267,nASIG,DATOS!$I10267,nEVAL,"EX")=0),0))))</f>
      </c>
      <c r="H10267">
        <f>IF(DATOS!$G10267&lt;&gt;"EX",0,--(COUNTIFS(nNIA,DATOS!$A10267,nCURSO,DATOS!$D10267,nESPEC,DATOS!$E10267,nASIG,DATOS!$I10267,nEVAL,"OR")=0))</f>
      </c>
      <c r="I10267">
        <f>IF(DATOS!$I10267="","",IFERROR(VLOOKUP(DATOS!$I10267,CONFIG_ASIGNATURAS!$B$2:$J$91,9,FALSE()),""))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IF(DATOS!$A10268="",0,IF(CONFIG_METADATA!$B$4&lt;&gt;"OR+EX",--(DATOS!$G10268=CONFIG_METADATA!$B$4),IF(DATOS!$G10268="EX",1,IF(DATOS!$G10268="OR",--(COUNTIFS(nNIA,DATOS!$A10268,nCURSO,DATOS!$D10268,nESPEC,DATOS!$E10268,nASIG,DATOS!$I10268,nEVAL,"EX")=0),0))))</f>
      </c>
      <c r="H10268">
        <f>IF(DATOS!$G10268&lt;&gt;"EX",0,--(COUNTIFS(nNIA,DATOS!$A10268,nCURSO,DATOS!$D10268,nESPEC,DATOS!$E10268,nASIG,DATOS!$I10268,nEVAL,"OR")=0))</f>
      </c>
      <c r="I10268">
        <f>IF(DATOS!$I10268="","",IFERROR(VLOOKUP(DATOS!$I10268,CONFIG_ASIGNATURAS!$B$2:$J$91,9,FALSE()),""))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IF(DATOS!$A10269="",0,IF(CONFIG_METADATA!$B$4&lt;&gt;"OR+EX",--(DATOS!$G10269=CONFIG_METADATA!$B$4),IF(DATOS!$G10269="EX",1,IF(DATOS!$G10269="OR",--(COUNTIFS(nNIA,DATOS!$A10269,nCURSO,DATOS!$D10269,nESPEC,DATOS!$E10269,nASIG,DATOS!$I10269,nEVAL,"EX")=0),0))))</f>
      </c>
      <c r="H10269">
        <f>IF(DATOS!$G10269&lt;&gt;"EX",0,--(COUNTIFS(nNIA,DATOS!$A10269,nCURSO,DATOS!$D10269,nESPEC,DATOS!$E10269,nASIG,DATOS!$I10269,nEVAL,"OR")=0))</f>
      </c>
      <c r="I10269">
        <f>IF(DATOS!$I10269="","",IFERROR(VLOOKUP(DATOS!$I10269,CONFIG_ASIGNATURAS!$B$2:$J$91,9,FALSE()),""))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IF(DATOS!$A10270="",0,IF(CONFIG_METADATA!$B$4&lt;&gt;"OR+EX",--(DATOS!$G10270=CONFIG_METADATA!$B$4),IF(DATOS!$G10270="EX",1,IF(DATOS!$G10270="OR",--(COUNTIFS(nNIA,DATOS!$A10270,nCURSO,DATOS!$D10270,nESPEC,DATOS!$E10270,nASIG,DATOS!$I10270,nEVAL,"EX")=0),0))))</f>
      </c>
      <c r="H10270">
        <f>IF(DATOS!$G10270&lt;&gt;"EX",0,--(COUNTIFS(nNIA,DATOS!$A10270,nCURSO,DATOS!$D10270,nESPEC,DATOS!$E10270,nASIG,DATOS!$I10270,nEVAL,"OR")=0))</f>
      </c>
      <c r="I10270">
        <f>IF(DATOS!$I10270="","",IFERROR(VLOOKUP(DATOS!$I10270,CONFIG_ASIGNATURAS!$B$2:$J$91,9,FALSE()),""))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IF(DATOS!$A10271="",0,IF(CONFIG_METADATA!$B$4&lt;&gt;"OR+EX",--(DATOS!$G10271=CONFIG_METADATA!$B$4),IF(DATOS!$G10271="EX",1,IF(DATOS!$G10271="OR",--(COUNTIFS(nNIA,DATOS!$A10271,nCURSO,DATOS!$D10271,nESPEC,DATOS!$E10271,nASIG,DATOS!$I10271,nEVAL,"EX")=0),0))))</f>
      </c>
      <c r="H10271">
        <f>IF(DATOS!$G10271&lt;&gt;"EX",0,--(COUNTIFS(nNIA,DATOS!$A10271,nCURSO,DATOS!$D10271,nESPEC,DATOS!$E10271,nASIG,DATOS!$I10271,nEVAL,"OR")=0))</f>
      </c>
      <c r="I10271">
        <f>IF(DATOS!$I10271="","",IFERROR(VLOOKUP(DATOS!$I10271,CONFIG_ASIGNATURAS!$B$2:$J$91,9,FALSE()),""))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IF(DATOS!$A10272="",0,IF(CONFIG_METADATA!$B$4&lt;&gt;"OR+EX",--(DATOS!$G10272=CONFIG_METADATA!$B$4),IF(DATOS!$G10272="EX",1,IF(DATOS!$G10272="OR",--(COUNTIFS(nNIA,DATOS!$A10272,nCURSO,DATOS!$D10272,nESPEC,DATOS!$E10272,nASIG,DATOS!$I10272,nEVAL,"EX")=0),0))))</f>
      </c>
      <c r="H10272">
        <f>IF(DATOS!$G10272&lt;&gt;"EX",0,--(COUNTIFS(nNIA,DATOS!$A10272,nCURSO,DATOS!$D10272,nESPEC,DATOS!$E10272,nASIG,DATOS!$I10272,nEVAL,"OR")=0))</f>
      </c>
      <c r="I10272">
        <f>IF(DATOS!$I10272="","",IFERROR(VLOOKUP(DATOS!$I10272,CONFIG_ASIGNATURAS!$B$2:$J$91,9,FALSE()),""))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IF(DATOS!$A10273="",0,IF(CONFIG_METADATA!$B$4&lt;&gt;"OR+EX",--(DATOS!$G10273=CONFIG_METADATA!$B$4),IF(DATOS!$G10273="EX",1,IF(DATOS!$G10273="OR",--(COUNTIFS(nNIA,DATOS!$A10273,nCURSO,DATOS!$D10273,nESPEC,DATOS!$E10273,nASIG,DATOS!$I10273,nEVAL,"EX")=0),0))))</f>
      </c>
      <c r="H10273">
        <f>IF(DATOS!$G10273&lt;&gt;"EX",0,--(COUNTIFS(nNIA,DATOS!$A10273,nCURSO,DATOS!$D10273,nESPEC,DATOS!$E10273,nASIG,DATOS!$I10273,nEVAL,"OR")=0))</f>
      </c>
      <c r="I10273">
        <f>IF(DATOS!$I10273="","",IFERROR(VLOOKUP(DATOS!$I10273,CONFIG_ASIGNATURAS!$B$2:$J$91,9,FALSE()),""))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IF(DATOS!$A10274="",0,IF(CONFIG_METADATA!$B$4&lt;&gt;"OR+EX",--(DATOS!$G10274=CONFIG_METADATA!$B$4),IF(DATOS!$G10274="EX",1,IF(DATOS!$G10274="OR",--(COUNTIFS(nNIA,DATOS!$A10274,nCURSO,DATOS!$D10274,nESPEC,DATOS!$E10274,nASIG,DATOS!$I10274,nEVAL,"EX")=0),0))))</f>
      </c>
      <c r="H10274">
        <f>IF(DATOS!$G10274&lt;&gt;"EX",0,--(COUNTIFS(nNIA,DATOS!$A10274,nCURSO,DATOS!$D10274,nESPEC,DATOS!$E10274,nASIG,DATOS!$I10274,nEVAL,"OR")=0))</f>
      </c>
      <c r="I10274">
        <f>IF(DATOS!$I10274="","",IFERROR(VLOOKUP(DATOS!$I10274,CONFIG_ASIGNATURAS!$B$2:$J$91,9,FALSE()),""))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IF(DATOS!$A10275="",0,IF(CONFIG_METADATA!$B$4&lt;&gt;"OR+EX",--(DATOS!$G10275=CONFIG_METADATA!$B$4),IF(DATOS!$G10275="EX",1,IF(DATOS!$G10275="OR",--(COUNTIFS(nNIA,DATOS!$A10275,nCURSO,DATOS!$D10275,nESPEC,DATOS!$E10275,nASIG,DATOS!$I10275,nEVAL,"EX")=0),0))))</f>
      </c>
      <c r="H10275">
        <f>IF(DATOS!$G10275&lt;&gt;"EX",0,--(COUNTIFS(nNIA,DATOS!$A10275,nCURSO,DATOS!$D10275,nESPEC,DATOS!$E10275,nASIG,DATOS!$I10275,nEVAL,"OR")=0))</f>
      </c>
      <c r="I10275">
        <f>IF(DATOS!$I10275="","",IFERROR(VLOOKUP(DATOS!$I10275,CONFIG_ASIGNATURAS!$B$2:$J$91,9,FALSE()),""))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IF(DATOS!$A10276="",0,IF(CONFIG_METADATA!$B$4&lt;&gt;"OR+EX",--(DATOS!$G10276=CONFIG_METADATA!$B$4),IF(DATOS!$G10276="EX",1,IF(DATOS!$G10276="OR",--(COUNTIFS(nNIA,DATOS!$A10276,nCURSO,DATOS!$D10276,nESPEC,DATOS!$E10276,nASIG,DATOS!$I10276,nEVAL,"EX")=0),0))))</f>
      </c>
      <c r="H10276">
        <f>IF(DATOS!$G10276&lt;&gt;"EX",0,--(COUNTIFS(nNIA,DATOS!$A10276,nCURSO,DATOS!$D10276,nESPEC,DATOS!$E10276,nASIG,DATOS!$I10276,nEVAL,"OR")=0))</f>
      </c>
      <c r="I10276">
        <f>IF(DATOS!$I10276="","",IFERROR(VLOOKUP(DATOS!$I10276,CONFIG_ASIGNATURAS!$B$2:$J$91,9,FALSE()),""))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IF(DATOS!$A10277="",0,IF(CONFIG_METADATA!$B$4&lt;&gt;"OR+EX",--(DATOS!$G10277=CONFIG_METADATA!$B$4),IF(DATOS!$G10277="EX",1,IF(DATOS!$G10277="OR",--(COUNTIFS(nNIA,DATOS!$A10277,nCURSO,DATOS!$D10277,nESPEC,DATOS!$E10277,nASIG,DATOS!$I10277,nEVAL,"EX")=0),0))))</f>
      </c>
      <c r="H10277">
        <f>IF(DATOS!$G10277&lt;&gt;"EX",0,--(COUNTIFS(nNIA,DATOS!$A10277,nCURSO,DATOS!$D10277,nESPEC,DATOS!$E10277,nASIG,DATOS!$I10277,nEVAL,"OR")=0))</f>
      </c>
      <c r="I10277">
        <f>IF(DATOS!$I10277="","",IFERROR(VLOOKUP(DATOS!$I10277,CONFIG_ASIGNATURAS!$B$2:$J$91,9,FALSE()),""))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IF(DATOS!$A10278="",0,IF(CONFIG_METADATA!$B$4&lt;&gt;"OR+EX",--(DATOS!$G10278=CONFIG_METADATA!$B$4),IF(DATOS!$G10278="EX",1,IF(DATOS!$G10278="OR",--(COUNTIFS(nNIA,DATOS!$A10278,nCURSO,DATOS!$D10278,nESPEC,DATOS!$E10278,nASIG,DATOS!$I10278,nEVAL,"EX")=0),0))))</f>
      </c>
      <c r="H10278">
        <f>IF(DATOS!$G10278&lt;&gt;"EX",0,--(COUNTIFS(nNIA,DATOS!$A10278,nCURSO,DATOS!$D10278,nESPEC,DATOS!$E10278,nASIG,DATOS!$I10278,nEVAL,"OR")=0))</f>
      </c>
      <c r="I10278">
        <f>IF(DATOS!$I10278="","",IFERROR(VLOOKUP(DATOS!$I10278,CONFIG_ASIGNATURAS!$B$2:$J$91,9,FALSE()),""))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IF(DATOS!$A10279="",0,IF(CONFIG_METADATA!$B$4&lt;&gt;"OR+EX",--(DATOS!$G10279=CONFIG_METADATA!$B$4),IF(DATOS!$G10279="EX",1,IF(DATOS!$G10279="OR",--(COUNTIFS(nNIA,DATOS!$A10279,nCURSO,DATOS!$D10279,nESPEC,DATOS!$E10279,nASIG,DATOS!$I10279,nEVAL,"EX")=0),0))))</f>
      </c>
      <c r="H10279">
        <f>IF(DATOS!$G10279&lt;&gt;"EX",0,--(COUNTIFS(nNIA,DATOS!$A10279,nCURSO,DATOS!$D10279,nESPEC,DATOS!$E10279,nASIG,DATOS!$I10279,nEVAL,"OR")=0))</f>
      </c>
      <c r="I10279">
        <f>IF(DATOS!$I10279="","",IFERROR(VLOOKUP(DATOS!$I10279,CONFIG_ASIGNATURAS!$B$2:$J$91,9,FALSE()),""))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IF(DATOS!$A10280="",0,IF(CONFIG_METADATA!$B$4&lt;&gt;"OR+EX",--(DATOS!$G10280=CONFIG_METADATA!$B$4),IF(DATOS!$G10280="EX",1,IF(DATOS!$G10280="OR",--(COUNTIFS(nNIA,DATOS!$A10280,nCURSO,DATOS!$D10280,nESPEC,DATOS!$E10280,nASIG,DATOS!$I10280,nEVAL,"EX")=0),0))))</f>
      </c>
      <c r="H10280">
        <f>IF(DATOS!$G10280&lt;&gt;"EX",0,--(COUNTIFS(nNIA,DATOS!$A10280,nCURSO,DATOS!$D10280,nESPEC,DATOS!$E10280,nASIG,DATOS!$I10280,nEVAL,"OR")=0))</f>
      </c>
      <c r="I10280">
        <f>IF(DATOS!$I10280="","",IFERROR(VLOOKUP(DATOS!$I10280,CONFIG_ASIGNATURAS!$B$2:$J$91,9,FALSE()),""))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IF(DATOS!$A10281="",0,IF(CONFIG_METADATA!$B$4&lt;&gt;"OR+EX",--(DATOS!$G10281=CONFIG_METADATA!$B$4),IF(DATOS!$G10281="EX",1,IF(DATOS!$G10281="OR",--(COUNTIFS(nNIA,DATOS!$A10281,nCURSO,DATOS!$D10281,nESPEC,DATOS!$E10281,nASIG,DATOS!$I10281,nEVAL,"EX")=0),0))))</f>
      </c>
      <c r="H10281">
        <f>IF(DATOS!$G10281&lt;&gt;"EX",0,--(COUNTIFS(nNIA,DATOS!$A10281,nCURSO,DATOS!$D10281,nESPEC,DATOS!$E10281,nASIG,DATOS!$I10281,nEVAL,"OR")=0))</f>
      </c>
      <c r="I10281">
        <f>IF(DATOS!$I10281="","",IFERROR(VLOOKUP(DATOS!$I10281,CONFIG_ASIGNATURAS!$B$2:$J$91,9,FALSE()),""))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IF(DATOS!$A10282="",0,IF(CONFIG_METADATA!$B$4&lt;&gt;"OR+EX",--(DATOS!$G10282=CONFIG_METADATA!$B$4),IF(DATOS!$G10282="EX",1,IF(DATOS!$G10282="OR",--(COUNTIFS(nNIA,DATOS!$A10282,nCURSO,DATOS!$D10282,nESPEC,DATOS!$E10282,nASIG,DATOS!$I10282,nEVAL,"EX")=0),0))))</f>
      </c>
      <c r="H10282">
        <f>IF(DATOS!$G10282&lt;&gt;"EX",0,--(COUNTIFS(nNIA,DATOS!$A10282,nCURSO,DATOS!$D10282,nESPEC,DATOS!$E10282,nASIG,DATOS!$I10282,nEVAL,"OR")=0))</f>
      </c>
      <c r="I10282">
        <f>IF(DATOS!$I10282="","",IFERROR(VLOOKUP(DATOS!$I10282,CONFIG_ASIGNATURAS!$B$2:$J$91,9,FALSE()),""))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IF(DATOS!$A10283="",0,IF(CONFIG_METADATA!$B$4&lt;&gt;"OR+EX",--(DATOS!$G10283=CONFIG_METADATA!$B$4),IF(DATOS!$G10283="EX",1,IF(DATOS!$G10283="OR",--(COUNTIFS(nNIA,DATOS!$A10283,nCURSO,DATOS!$D10283,nESPEC,DATOS!$E10283,nASIG,DATOS!$I10283,nEVAL,"EX")=0),0))))</f>
      </c>
      <c r="H10283">
        <f>IF(DATOS!$G10283&lt;&gt;"EX",0,--(COUNTIFS(nNIA,DATOS!$A10283,nCURSO,DATOS!$D10283,nESPEC,DATOS!$E10283,nASIG,DATOS!$I10283,nEVAL,"OR")=0))</f>
      </c>
      <c r="I10283">
        <f>IF(DATOS!$I10283="","",IFERROR(VLOOKUP(DATOS!$I10283,CONFIG_ASIGNATURAS!$B$2:$J$91,9,FALSE()),""))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IF(DATOS!$A10284="",0,IF(CONFIG_METADATA!$B$4&lt;&gt;"OR+EX",--(DATOS!$G10284=CONFIG_METADATA!$B$4),IF(DATOS!$G10284="EX",1,IF(DATOS!$G10284="OR",--(COUNTIFS(nNIA,DATOS!$A10284,nCURSO,DATOS!$D10284,nESPEC,DATOS!$E10284,nASIG,DATOS!$I10284,nEVAL,"EX")=0),0))))</f>
      </c>
      <c r="H10284">
        <f>IF(DATOS!$G10284&lt;&gt;"EX",0,--(COUNTIFS(nNIA,DATOS!$A10284,nCURSO,DATOS!$D10284,nESPEC,DATOS!$E10284,nASIG,DATOS!$I10284,nEVAL,"OR")=0))</f>
      </c>
      <c r="I10284">
        <f>IF(DATOS!$I10284="","",IFERROR(VLOOKUP(DATOS!$I10284,CONFIG_ASIGNATURAS!$B$2:$J$91,9,FALSE()),""))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IF(DATOS!$A10285="",0,IF(CONFIG_METADATA!$B$4&lt;&gt;"OR+EX",--(DATOS!$G10285=CONFIG_METADATA!$B$4),IF(DATOS!$G10285="EX",1,IF(DATOS!$G10285="OR",--(COUNTIFS(nNIA,DATOS!$A10285,nCURSO,DATOS!$D10285,nESPEC,DATOS!$E10285,nASIG,DATOS!$I10285,nEVAL,"EX")=0),0))))</f>
      </c>
      <c r="H10285">
        <f>IF(DATOS!$G10285&lt;&gt;"EX",0,--(COUNTIFS(nNIA,DATOS!$A10285,nCURSO,DATOS!$D10285,nESPEC,DATOS!$E10285,nASIG,DATOS!$I10285,nEVAL,"OR")=0))</f>
      </c>
      <c r="I10285">
        <f>IF(DATOS!$I10285="","",IFERROR(VLOOKUP(DATOS!$I10285,CONFIG_ASIGNATURAS!$B$2:$J$91,9,FALSE()),""))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IF(DATOS!$A10286="",0,IF(CONFIG_METADATA!$B$4&lt;&gt;"OR+EX",--(DATOS!$G10286=CONFIG_METADATA!$B$4),IF(DATOS!$G10286="EX",1,IF(DATOS!$G10286="OR",--(COUNTIFS(nNIA,DATOS!$A10286,nCURSO,DATOS!$D10286,nESPEC,DATOS!$E10286,nASIG,DATOS!$I10286,nEVAL,"EX")=0),0))))</f>
      </c>
      <c r="H10286">
        <f>IF(DATOS!$G10286&lt;&gt;"EX",0,--(COUNTIFS(nNIA,DATOS!$A10286,nCURSO,DATOS!$D10286,nESPEC,DATOS!$E10286,nASIG,DATOS!$I10286,nEVAL,"OR")=0))</f>
      </c>
      <c r="I10286">
        <f>IF(DATOS!$I10286="","",IFERROR(VLOOKUP(DATOS!$I10286,CONFIG_ASIGNATURAS!$B$2:$J$91,9,FALSE()),""))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IF(DATOS!$A10287="",0,IF(CONFIG_METADATA!$B$4&lt;&gt;"OR+EX",--(DATOS!$G10287=CONFIG_METADATA!$B$4),IF(DATOS!$G10287="EX",1,IF(DATOS!$G10287="OR",--(COUNTIFS(nNIA,DATOS!$A10287,nCURSO,DATOS!$D10287,nESPEC,DATOS!$E10287,nASIG,DATOS!$I10287,nEVAL,"EX")=0),0))))</f>
      </c>
      <c r="H10287">
        <f>IF(DATOS!$G10287&lt;&gt;"EX",0,--(COUNTIFS(nNIA,DATOS!$A10287,nCURSO,DATOS!$D10287,nESPEC,DATOS!$E10287,nASIG,DATOS!$I10287,nEVAL,"OR")=0))</f>
      </c>
      <c r="I10287">
        <f>IF(DATOS!$I10287="","",IFERROR(VLOOKUP(DATOS!$I10287,CONFIG_ASIGNATURAS!$B$2:$J$91,9,FALSE()),""))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IF(DATOS!$A10288="",0,IF(CONFIG_METADATA!$B$4&lt;&gt;"OR+EX",--(DATOS!$G10288=CONFIG_METADATA!$B$4),IF(DATOS!$G10288="EX",1,IF(DATOS!$G10288="OR",--(COUNTIFS(nNIA,DATOS!$A10288,nCURSO,DATOS!$D10288,nESPEC,DATOS!$E10288,nASIG,DATOS!$I10288,nEVAL,"EX")=0),0))))</f>
      </c>
      <c r="H10288">
        <f>IF(DATOS!$G10288&lt;&gt;"EX",0,--(COUNTIFS(nNIA,DATOS!$A10288,nCURSO,DATOS!$D10288,nESPEC,DATOS!$E10288,nASIG,DATOS!$I10288,nEVAL,"OR")=0))</f>
      </c>
      <c r="I10288">
        <f>IF(DATOS!$I10288="","",IFERROR(VLOOKUP(DATOS!$I10288,CONFIG_ASIGNATURAS!$B$2:$J$91,9,FALSE()),""))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IF(DATOS!$A10289="",0,IF(CONFIG_METADATA!$B$4&lt;&gt;"OR+EX",--(DATOS!$G10289=CONFIG_METADATA!$B$4),IF(DATOS!$G10289="EX",1,IF(DATOS!$G10289="OR",--(COUNTIFS(nNIA,DATOS!$A10289,nCURSO,DATOS!$D10289,nESPEC,DATOS!$E10289,nASIG,DATOS!$I10289,nEVAL,"EX")=0),0))))</f>
      </c>
      <c r="H10289">
        <f>IF(DATOS!$G10289&lt;&gt;"EX",0,--(COUNTIFS(nNIA,DATOS!$A10289,nCURSO,DATOS!$D10289,nESPEC,DATOS!$E10289,nASIG,DATOS!$I10289,nEVAL,"OR")=0))</f>
      </c>
      <c r="I10289">
        <f>IF(DATOS!$I10289="","",IFERROR(VLOOKUP(DATOS!$I10289,CONFIG_ASIGNATURAS!$B$2:$J$91,9,FALSE()),""))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IF(DATOS!$A10290="",0,IF(CONFIG_METADATA!$B$4&lt;&gt;"OR+EX",--(DATOS!$G10290=CONFIG_METADATA!$B$4),IF(DATOS!$G10290="EX",1,IF(DATOS!$G10290="OR",--(COUNTIFS(nNIA,DATOS!$A10290,nCURSO,DATOS!$D10290,nESPEC,DATOS!$E10290,nASIG,DATOS!$I10290,nEVAL,"EX")=0),0))))</f>
      </c>
      <c r="H10290">
        <f>IF(DATOS!$G10290&lt;&gt;"EX",0,--(COUNTIFS(nNIA,DATOS!$A10290,nCURSO,DATOS!$D10290,nESPEC,DATOS!$E10290,nASIG,DATOS!$I10290,nEVAL,"OR")=0))</f>
      </c>
      <c r="I10290">
        <f>IF(DATOS!$I10290="","",IFERROR(VLOOKUP(DATOS!$I10290,CONFIG_ASIGNATURAS!$B$2:$J$91,9,FALSE()),""))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IF(DATOS!$A10291="",0,IF(CONFIG_METADATA!$B$4&lt;&gt;"OR+EX",--(DATOS!$G10291=CONFIG_METADATA!$B$4),IF(DATOS!$G10291="EX",1,IF(DATOS!$G10291="OR",--(COUNTIFS(nNIA,DATOS!$A10291,nCURSO,DATOS!$D10291,nESPEC,DATOS!$E10291,nASIG,DATOS!$I10291,nEVAL,"EX")=0),0))))</f>
      </c>
      <c r="H10291">
        <f>IF(DATOS!$G10291&lt;&gt;"EX",0,--(COUNTIFS(nNIA,DATOS!$A10291,nCURSO,DATOS!$D10291,nESPEC,DATOS!$E10291,nASIG,DATOS!$I10291,nEVAL,"OR")=0))</f>
      </c>
      <c r="I10291">
        <f>IF(DATOS!$I10291="","",IFERROR(VLOOKUP(DATOS!$I10291,CONFIG_ASIGNATURAS!$B$2:$J$91,9,FALSE()),""))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IF(DATOS!$A10292="",0,IF(CONFIG_METADATA!$B$4&lt;&gt;"OR+EX",--(DATOS!$G10292=CONFIG_METADATA!$B$4),IF(DATOS!$G10292="EX",1,IF(DATOS!$G10292="OR",--(COUNTIFS(nNIA,DATOS!$A10292,nCURSO,DATOS!$D10292,nESPEC,DATOS!$E10292,nASIG,DATOS!$I10292,nEVAL,"EX")=0),0))))</f>
      </c>
      <c r="H10292">
        <f>IF(DATOS!$G10292&lt;&gt;"EX",0,--(COUNTIFS(nNIA,DATOS!$A10292,nCURSO,DATOS!$D10292,nESPEC,DATOS!$E10292,nASIG,DATOS!$I10292,nEVAL,"OR")=0))</f>
      </c>
      <c r="I10292">
        <f>IF(DATOS!$I10292="","",IFERROR(VLOOKUP(DATOS!$I10292,CONFIG_ASIGNATURAS!$B$2:$J$91,9,FALSE()),""))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IF(DATOS!$A10293="",0,IF(CONFIG_METADATA!$B$4&lt;&gt;"OR+EX",--(DATOS!$G10293=CONFIG_METADATA!$B$4),IF(DATOS!$G10293="EX",1,IF(DATOS!$G10293="OR",--(COUNTIFS(nNIA,DATOS!$A10293,nCURSO,DATOS!$D10293,nESPEC,DATOS!$E10293,nASIG,DATOS!$I10293,nEVAL,"EX")=0),0))))</f>
      </c>
      <c r="H10293">
        <f>IF(DATOS!$G10293&lt;&gt;"EX",0,--(COUNTIFS(nNIA,DATOS!$A10293,nCURSO,DATOS!$D10293,nESPEC,DATOS!$E10293,nASIG,DATOS!$I10293,nEVAL,"OR")=0))</f>
      </c>
      <c r="I10293">
        <f>IF(DATOS!$I10293="","",IFERROR(VLOOKUP(DATOS!$I10293,CONFIG_ASIGNATURAS!$B$2:$J$91,9,FALSE()),""))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IF(DATOS!$A10294="",0,IF(CONFIG_METADATA!$B$4&lt;&gt;"OR+EX",--(DATOS!$G10294=CONFIG_METADATA!$B$4),IF(DATOS!$G10294="EX",1,IF(DATOS!$G10294="OR",--(COUNTIFS(nNIA,DATOS!$A10294,nCURSO,DATOS!$D10294,nESPEC,DATOS!$E10294,nASIG,DATOS!$I10294,nEVAL,"EX")=0),0))))</f>
      </c>
      <c r="H10294">
        <f>IF(DATOS!$G10294&lt;&gt;"EX",0,--(COUNTIFS(nNIA,DATOS!$A10294,nCURSO,DATOS!$D10294,nESPEC,DATOS!$E10294,nASIG,DATOS!$I10294,nEVAL,"OR")=0))</f>
      </c>
      <c r="I10294">
        <f>IF(DATOS!$I10294="","",IFERROR(VLOOKUP(DATOS!$I10294,CONFIG_ASIGNATURAS!$B$2:$J$91,9,FALSE()),""))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IF(DATOS!$A10295="",0,IF(CONFIG_METADATA!$B$4&lt;&gt;"OR+EX",--(DATOS!$G10295=CONFIG_METADATA!$B$4),IF(DATOS!$G10295="EX",1,IF(DATOS!$G10295="OR",--(COUNTIFS(nNIA,DATOS!$A10295,nCURSO,DATOS!$D10295,nESPEC,DATOS!$E10295,nASIG,DATOS!$I10295,nEVAL,"EX")=0),0))))</f>
      </c>
      <c r="H10295">
        <f>IF(DATOS!$G10295&lt;&gt;"EX",0,--(COUNTIFS(nNIA,DATOS!$A10295,nCURSO,DATOS!$D10295,nESPEC,DATOS!$E10295,nASIG,DATOS!$I10295,nEVAL,"OR")=0))</f>
      </c>
      <c r="I10295">
        <f>IF(DATOS!$I10295="","",IFERROR(VLOOKUP(DATOS!$I10295,CONFIG_ASIGNATURAS!$B$2:$J$91,9,FALSE()),""))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IF(DATOS!$A10296="",0,IF(CONFIG_METADATA!$B$4&lt;&gt;"OR+EX",--(DATOS!$G10296=CONFIG_METADATA!$B$4),IF(DATOS!$G10296="EX",1,IF(DATOS!$G10296="OR",--(COUNTIFS(nNIA,DATOS!$A10296,nCURSO,DATOS!$D10296,nESPEC,DATOS!$E10296,nASIG,DATOS!$I10296,nEVAL,"EX")=0),0))))</f>
      </c>
      <c r="H10296">
        <f>IF(DATOS!$G10296&lt;&gt;"EX",0,--(COUNTIFS(nNIA,DATOS!$A10296,nCURSO,DATOS!$D10296,nESPEC,DATOS!$E10296,nASIG,DATOS!$I10296,nEVAL,"OR")=0))</f>
      </c>
      <c r="I10296">
        <f>IF(DATOS!$I10296="","",IFERROR(VLOOKUP(DATOS!$I10296,CONFIG_ASIGNATURAS!$B$2:$J$91,9,FALSE()),""))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IF(DATOS!$A10297="",0,IF(CONFIG_METADATA!$B$4&lt;&gt;"OR+EX",--(DATOS!$G10297=CONFIG_METADATA!$B$4),IF(DATOS!$G10297="EX",1,IF(DATOS!$G10297="OR",--(COUNTIFS(nNIA,DATOS!$A10297,nCURSO,DATOS!$D10297,nESPEC,DATOS!$E10297,nASIG,DATOS!$I10297,nEVAL,"EX")=0),0))))</f>
      </c>
      <c r="H10297">
        <f>IF(DATOS!$G10297&lt;&gt;"EX",0,--(COUNTIFS(nNIA,DATOS!$A10297,nCURSO,DATOS!$D10297,nESPEC,DATOS!$E10297,nASIG,DATOS!$I10297,nEVAL,"OR")=0))</f>
      </c>
      <c r="I10297">
        <f>IF(DATOS!$I10297="","",IFERROR(VLOOKUP(DATOS!$I10297,CONFIG_ASIGNATURAS!$B$2:$J$91,9,FALSE()),""))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IF(DATOS!$A10298="",0,IF(CONFIG_METADATA!$B$4&lt;&gt;"OR+EX",--(DATOS!$G10298=CONFIG_METADATA!$B$4),IF(DATOS!$G10298="EX",1,IF(DATOS!$G10298="OR",--(COUNTIFS(nNIA,DATOS!$A10298,nCURSO,DATOS!$D10298,nESPEC,DATOS!$E10298,nASIG,DATOS!$I10298,nEVAL,"EX")=0),0))))</f>
      </c>
      <c r="H10298">
        <f>IF(DATOS!$G10298&lt;&gt;"EX",0,--(COUNTIFS(nNIA,DATOS!$A10298,nCURSO,DATOS!$D10298,nESPEC,DATOS!$E10298,nASIG,DATOS!$I10298,nEVAL,"OR")=0))</f>
      </c>
      <c r="I10298">
        <f>IF(DATOS!$I10298="","",IFERROR(VLOOKUP(DATOS!$I10298,CONFIG_ASIGNATURAS!$B$2:$J$91,9,FALSE()),""))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IF(DATOS!$A10299="",0,IF(CONFIG_METADATA!$B$4&lt;&gt;"OR+EX",--(DATOS!$G10299=CONFIG_METADATA!$B$4),IF(DATOS!$G10299="EX",1,IF(DATOS!$G10299="OR",--(COUNTIFS(nNIA,DATOS!$A10299,nCURSO,DATOS!$D10299,nESPEC,DATOS!$E10299,nASIG,DATOS!$I10299,nEVAL,"EX")=0),0))))</f>
      </c>
      <c r="H10299">
        <f>IF(DATOS!$G10299&lt;&gt;"EX",0,--(COUNTIFS(nNIA,DATOS!$A10299,nCURSO,DATOS!$D10299,nESPEC,DATOS!$E10299,nASIG,DATOS!$I10299,nEVAL,"OR")=0))</f>
      </c>
      <c r="I10299">
        <f>IF(DATOS!$I10299="","",IFERROR(VLOOKUP(DATOS!$I10299,CONFIG_ASIGNATURAS!$B$2:$J$91,9,FALSE()),""))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IF(DATOS!$A10300="",0,IF(CONFIG_METADATA!$B$4&lt;&gt;"OR+EX",--(DATOS!$G10300=CONFIG_METADATA!$B$4),IF(DATOS!$G10300="EX",1,IF(DATOS!$G10300="OR",--(COUNTIFS(nNIA,DATOS!$A10300,nCURSO,DATOS!$D10300,nESPEC,DATOS!$E10300,nASIG,DATOS!$I10300,nEVAL,"EX")=0),0))))</f>
      </c>
      <c r="H10300">
        <f>IF(DATOS!$G10300&lt;&gt;"EX",0,--(COUNTIFS(nNIA,DATOS!$A10300,nCURSO,DATOS!$D10300,nESPEC,DATOS!$E10300,nASIG,DATOS!$I10300,nEVAL,"OR")=0))</f>
      </c>
      <c r="I10300">
        <f>IF(DATOS!$I10300="","",IFERROR(VLOOKUP(DATOS!$I10300,CONFIG_ASIGNATURAS!$B$2:$J$91,9,FALSE()),""))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IF(DATOS!$A10301="",0,IF(CONFIG_METADATA!$B$4&lt;&gt;"OR+EX",--(DATOS!$G10301=CONFIG_METADATA!$B$4),IF(DATOS!$G10301="EX",1,IF(DATOS!$G10301="OR",--(COUNTIFS(nNIA,DATOS!$A10301,nCURSO,DATOS!$D10301,nESPEC,DATOS!$E10301,nASIG,DATOS!$I10301,nEVAL,"EX")=0),0))))</f>
      </c>
      <c r="H10301">
        <f>IF(DATOS!$G10301&lt;&gt;"EX",0,--(COUNTIFS(nNIA,DATOS!$A10301,nCURSO,DATOS!$D10301,nESPEC,DATOS!$E10301,nASIG,DATOS!$I10301,nEVAL,"OR")=0))</f>
      </c>
      <c r="I10301">
        <f>IF(DATOS!$I10301="","",IFERROR(VLOOKUP(DATOS!$I10301,CONFIG_ASIGNATURAS!$B$2:$J$91,9,FALSE()),""))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IF(DATOS!$A10302="",0,IF(CONFIG_METADATA!$B$4&lt;&gt;"OR+EX",--(DATOS!$G10302=CONFIG_METADATA!$B$4),IF(DATOS!$G10302="EX",1,IF(DATOS!$G10302="OR",--(COUNTIFS(nNIA,DATOS!$A10302,nCURSO,DATOS!$D10302,nESPEC,DATOS!$E10302,nASIG,DATOS!$I10302,nEVAL,"EX")=0),0))))</f>
      </c>
      <c r="H10302">
        <f>IF(DATOS!$G10302&lt;&gt;"EX",0,--(COUNTIFS(nNIA,DATOS!$A10302,nCURSO,DATOS!$D10302,nESPEC,DATOS!$E10302,nASIG,DATOS!$I10302,nEVAL,"OR")=0))</f>
      </c>
      <c r="I10302">
        <f>IF(DATOS!$I10302="","",IFERROR(VLOOKUP(DATOS!$I10302,CONFIG_ASIGNATURAS!$B$2:$J$91,9,FALSE()),""))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IF(DATOS!$A10303="",0,IF(CONFIG_METADATA!$B$4&lt;&gt;"OR+EX",--(DATOS!$G10303=CONFIG_METADATA!$B$4),IF(DATOS!$G10303="EX",1,IF(DATOS!$G10303="OR",--(COUNTIFS(nNIA,DATOS!$A10303,nCURSO,DATOS!$D10303,nESPEC,DATOS!$E10303,nASIG,DATOS!$I10303,nEVAL,"EX")=0),0))))</f>
      </c>
      <c r="H10303">
        <f>IF(DATOS!$G10303&lt;&gt;"EX",0,--(COUNTIFS(nNIA,DATOS!$A10303,nCURSO,DATOS!$D10303,nESPEC,DATOS!$E10303,nASIG,DATOS!$I10303,nEVAL,"OR")=0))</f>
      </c>
      <c r="I10303">
        <f>IF(DATOS!$I10303="","",IFERROR(VLOOKUP(DATOS!$I10303,CONFIG_ASIGNATURAS!$B$2:$J$91,9,FALSE()),""))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IF(DATOS!$A10304="",0,IF(CONFIG_METADATA!$B$4&lt;&gt;"OR+EX",--(DATOS!$G10304=CONFIG_METADATA!$B$4),IF(DATOS!$G10304="EX",1,IF(DATOS!$G10304="OR",--(COUNTIFS(nNIA,DATOS!$A10304,nCURSO,DATOS!$D10304,nESPEC,DATOS!$E10304,nASIG,DATOS!$I10304,nEVAL,"EX")=0),0))))</f>
      </c>
      <c r="H10304">
        <f>IF(DATOS!$G10304&lt;&gt;"EX",0,--(COUNTIFS(nNIA,DATOS!$A10304,nCURSO,DATOS!$D10304,nESPEC,DATOS!$E10304,nASIG,DATOS!$I10304,nEVAL,"OR")=0))</f>
      </c>
      <c r="I10304">
        <f>IF(DATOS!$I10304="","",IFERROR(VLOOKUP(DATOS!$I10304,CONFIG_ASIGNATURAS!$B$2:$J$91,9,FALSE()),""))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IF(DATOS!$A10305="",0,IF(CONFIG_METADATA!$B$4&lt;&gt;"OR+EX",--(DATOS!$G10305=CONFIG_METADATA!$B$4),IF(DATOS!$G10305="EX",1,IF(DATOS!$G10305="OR",--(COUNTIFS(nNIA,DATOS!$A10305,nCURSO,DATOS!$D10305,nESPEC,DATOS!$E10305,nASIG,DATOS!$I10305,nEVAL,"EX")=0),0))))</f>
      </c>
      <c r="H10305">
        <f>IF(DATOS!$G10305&lt;&gt;"EX",0,--(COUNTIFS(nNIA,DATOS!$A10305,nCURSO,DATOS!$D10305,nESPEC,DATOS!$E10305,nASIG,DATOS!$I10305,nEVAL,"OR")=0))</f>
      </c>
      <c r="I10305">
        <f>IF(DATOS!$I10305="","",IFERROR(VLOOKUP(DATOS!$I10305,CONFIG_ASIGNATURAS!$B$2:$J$91,9,FALSE()),""))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IF(DATOS!$A10306="",0,IF(CONFIG_METADATA!$B$4&lt;&gt;"OR+EX",--(DATOS!$G10306=CONFIG_METADATA!$B$4),IF(DATOS!$G10306="EX",1,IF(DATOS!$G10306="OR",--(COUNTIFS(nNIA,DATOS!$A10306,nCURSO,DATOS!$D10306,nESPEC,DATOS!$E10306,nASIG,DATOS!$I10306,nEVAL,"EX")=0),0))))</f>
      </c>
      <c r="H10306">
        <f>IF(DATOS!$G10306&lt;&gt;"EX",0,--(COUNTIFS(nNIA,DATOS!$A10306,nCURSO,DATOS!$D10306,nESPEC,DATOS!$E10306,nASIG,DATOS!$I10306,nEVAL,"OR")=0))</f>
      </c>
      <c r="I10306">
        <f>IF(DATOS!$I10306="","",IFERROR(VLOOKUP(DATOS!$I10306,CONFIG_ASIGNATURAS!$B$2:$J$91,9,FALSE()),""))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IF(DATOS!$A10307="",0,IF(CONFIG_METADATA!$B$4&lt;&gt;"OR+EX",--(DATOS!$G10307=CONFIG_METADATA!$B$4),IF(DATOS!$G10307="EX",1,IF(DATOS!$G10307="OR",--(COUNTIFS(nNIA,DATOS!$A10307,nCURSO,DATOS!$D10307,nESPEC,DATOS!$E10307,nASIG,DATOS!$I10307,nEVAL,"EX")=0),0))))</f>
      </c>
      <c r="H10307">
        <f>IF(DATOS!$G10307&lt;&gt;"EX",0,--(COUNTIFS(nNIA,DATOS!$A10307,nCURSO,DATOS!$D10307,nESPEC,DATOS!$E10307,nASIG,DATOS!$I10307,nEVAL,"OR")=0))</f>
      </c>
      <c r="I10307">
        <f>IF(DATOS!$I10307="","",IFERROR(VLOOKUP(DATOS!$I10307,CONFIG_ASIGNATURAS!$B$2:$J$91,9,FALSE()),""))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IF(DATOS!$A10308="",0,IF(CONFIG_METADATA!$B$4&lt;&gt;"OR+EX",--(DATOS!$G10308=CONFIG_METADATA!$B$4),IF(DATOS!$G10308="EX",1,IF(DATOS!$G10308="OR",--(COUNTIFS(nNIA,DATOS!$A10308,nCURSO,DATOS!$D10308,nESPEC,DATOS!$E10308,nASIG,DATOS!$I10308,nEVAL,"EX")=0),0))))</f>
      </c>
      <c r="H10308">
        <f>IF(DATOS!$G10308&lt;&gt;"EX",0,--(COUNTIFS(nNIA,DATOS!$A10308,nCURSO,DATOS!$D10308,nESPEC,DATOS!$E10308,nASIG,DATOS!$I10308,nEVAL,"OR")=0))</f>
      </c>
      <c r="I10308">
        <f>IF(DATOS!$I10308="","",IFERROR(VLOOKUP(DATOS!$I10308,CONFIG_ASIGNATURAS!$B$2:$J$91,9,FALSE()),""))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IF(DATOS!$A10309="",0,IF(CONFIG_METADATA!$B$4&lt;&gt;"OR+EX",--(DATOS!$G10309=CONFIG_METADATA!$B$4),IF(DATOS!$G10309="EX",1,IF(DATOS!$G10309="OR",--(COUNTIFS(nNIA,DATOS!$A10309,nCURSO,DATOS!$D10309,nESPEC,DATOS!$E10309,nASIG,DATOS!$I10309,nEVAL,"EX")=0),0))))</f>
      </c>
      <c r="H10309">
        <f>IF(DATOS!$G10309&lt;&gt;"EX",0,--(COUNTIFS(nNIA,DATOS!$A10309,nCURSO,DATOS!$D10309,nESPEC,DATOS!$E10309,nASIG,DATOS!$I10309,nEVAL,"OR")=0))</f>
      </c>
      <c r="I10309">
        <f>IF(DATOS!$I10309="","",IFERROR(VLOOKUP(DATOS!$I10309,CONFIG_ASIGNATURAS!$B$2:$J$91,9,FALSE()),""))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IF(DATOS!$A10310="",0,IF(CONFIG_METADATA!$B$4&lt;&gt;"OR+EX",--(DATOS!$G10310=CONFIG_METADATA!$B$4),IF(DATOS!$G10310="EX",1,IF(DATOS!$G10310="OR",--(COUNTIFS(nNIA,DATOS!$A10310,nCURSO,DATOS!$D10310,nESPEC,DATOS!$E10310,nASIG,DATOS!$I10310,nEVAL,"EX")=0),0))))</f>
      </c>
      <c r="H10310">
        <f>IF(DATOS!$G10310&lt;&gt;"EX",0,--(COUNTIFS(nNIA,DATOS!$A10310,nCURSO,DATOS!$D10310,nESPEC,DATOS!$E10310,nASIG,DATOS!$I10310,nEVAL,"OR")=0))</f>
      </c>
      <c r="I10310">
        <f>IF(DATOS!$I10310="","",IFERROR(VLOOKUP(DATOS!$I10310,CONFIG_ASIGNATURAS!$B$2:$J$91,9,FALSE()),""))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IF(DATOS!$A10311="",0,IF(CONFIG_METADATA!$B$4&lt;&gt;"OR+EX",--(DATOS!$G10311=CONFIG_METADATA!$B$4),IF(DATOS!$G10311="EX",1,IF(DATOS!$G10311="OR",--(COUNTIFS(nNIA,DATOS!$A10311,nCURSO,DATOS!$D10311,nESPEC,DATOS!$E10311,nASIG,DATOS!$I10311,nEVAL,"EX")=0),0))))</f>
      </c>
      <c r="H10311">
        <f>IF(DATOS!$G10311&lt;&gt;"EX",0,--(COUNTIFS(nNIA,DATOS!$A10311,nCURSO,DATOS!$D10311,nESPEC,DATOS!$E10311,nASIG,DATOS!$I10311,nEVAL,"OR")=0))</f>
      </c>
      <c r="I10311">
        <f>IF(DATOS!$I10311="","",IFERROR(VLOOKUP(DATOS!$I10311,CONFIG_ASIGNATURAS!$B$2:$J$91,9,FALSE()),""))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IF(DATOS!$A10312="",0,IF(CONFIG_METADATA!$B$4&lt;&gt;"OR+EX",--(DATOS!$G10312=CONFIG_METADATA!$B$4),IF(DATOS!$G10312="EX",1,IF(DATOS!$G10312="OR",--(COUNTIFS(nNIA,DATOS!$A10312,nCURSO,DATOS!$D10312,nESPEC,DATOS!$E10312,nASIG,DATOS!$I10312,nEVAL,"EX")=0),0))))</f>
      </c>
      <c r="H10312">
        <f>IF(DATOS!$G10312&lt;&gt;"EX",0,--(COUNTIFS(nNIA,DATOS!$A10312,nCURSO,DATOS!$D10312,nESPEC,DATOS!$E10312,nASIG,DATOS!$I10312,nEVAL,"OR")=0))</f>
      </c>
      <c r="I10312">
        <f>IF(DATOS!$I10312="","",IFERROR(VLOOKUP(DATOS!$I10312,CONFIG_ASIGNATURAS!$B$2:$J$91,9,FALSE()),""))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IF(DATOS!$A10313="",0,IF(CONFIG_METADATA!$B$4&lt;&gt;"OR+EX",--(DATOS!$G10313=CONFIG_METADATA!$B$4),IF(DATOS!$G10313="EX",1,IF(DATOS!$G10313="OR",--(COUNTIFS(nNIA,DATOS!$A10313,nCURSO,DATOS!$D10313,nESPEC,DATOS!$E10313,nASIG,DATOS!$I10313,nEVAL,"EX")=0),0))))</f>
      </c>
      <c r="H10313">
        <f>IF(DATOS!$G10313&lt;&gt;"EX",0,--(COUNTIFS(nNIA,DATOS!$A10313,nCURSO,DATOS!$D10313,nESPEC,DATOS!$E10313,nASIG,DATOS!$I10313,nEVAL,"OR")=0))</f>
      </c>
      <c r="I10313">
        <f>IF(DATOS!$I10313="","",IFERROR(VLOOKUP(DATOS!$I10313,CONFIG_ASIGNATURAS!$B$2:$J$91,9,FALSE()),""))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IF(DATOS!$A10314="",0,IF(CONFIG_METADATA!$B$4&lt;&gt;"OR+EX",--(DATOS!$G10314=CONFIG_METADATA!$B$4),IF(DATOS!$G10314="EX",1,IF(DATOS!$G10314="OR",--(COUNTIFS(nNIA,DATOS!$A10314,nCURSO,DATOS!$D10314,nESPEC,DATOS!$E10314,nASIG,DATOS!$I10314,nEVAL,"EX")=0),0))))</f>
      </c>
      <c r="H10314">
        <f>IF(DATOS!$G10314&lt;&gt;"EX",0,--(COUNTIFS(nNIA,DATOS!$A10314,nCURSO,DATOS!$D10314,nESPEC,DATOS!$E10314,nASIG,DATOS!$I10314,nEVAL,"OR")=0))</f>
      </c>
      <c r="I10314">
        <f>IF(DATOS!$I10314="","",IFERROR(VLOOKUP(DATOS!$I10314,CONFIG_ASIGNATURAS!$B$2:$J$91,9,FALSE()),""))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IF(DATOS!$A10315="",0,IF(CONFIG_METADATA!$B$4&lt;&gt;"OR+EX",--(DATOS!$G10315=CONFIG_METADATA!$B$4),IF(DATOS!$G10315="EX",1,IF(DATOS!$G10315="OR",--(COUNTIFS(nNIA,DATOS!$A10315,nCURSO,DATOS!$D10315,nESPEC,DATOS!$E10315,nASIG,DATOS!$I10315,nEVAL,"EX")=0),0))))</f>
      </c>
      <c r="H10315">
        <f>IF(DATOS!$G10315&lt;&gt;"EX",0,--(COUNTIFS(nNIA,DATOS!$A10315,nCURSO,DATOS!$D10315,nESPEC,DATOS!$E10315,nASIG,DATOS!$I10315,nEVAL,"OR")=0))</f>
      </c>
      <c r="I10315">
        <f>IF(DATOS!$I10315="","",IFERROR(VLOOKUP(DATOS!$I10315,CONFIG_ASIGNATURAS!$B$2:$J$91,9,FALSE()),""))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IF(DATOS!$A10316="",0,IF(CONFIG_METADATA!$B$4&lt;&gt;"OR+EX",--(DATOS!$G10316=CONFIG_METADATA!$B$4),IF(DATOS!$G10316="EX",1,IF(DATOS!$G10316="OR",--(COUNTIFS(nNIA,DATOS!$A10316,nCURSO,DATOS!$D10316,nESPEC,DATOS!$E10316,nASIG,DATOS!$I10316,nEVAL,"EX")=0),0))))</f>
      </c>
      <c r="H10316">
        <f>IF(DATOS!$G10316&lt;&gt;"EX",0,--(COUNTIFS(nNIA,DATOS!$A10316,nCURSO,DATOS!$D10316,nESPEC,DATOS!$E10316,nASIG,DATOS!$I10316,nEVAL,"OR")=0))</f>
      </c>
      <c r="I10316">
        <f>IF(DATOS!$I10316="","",IFERROR(VLOOKUP(DATOS!$I10316,CONFIG_ASIGNATURAS!$B$2:$J$91,9,FALSE()),""))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IF(DATOS!$A10317="",0,IF(CONFIG_METADATA!$B$4&lt;&gt;"OR+EX",--(DATOS!$G10317=CONFIG_METADATA!$B$4),IF(DATOS!$G10317="EX",1,IF(DATOS!$G10317="OR",--(COUNTIFS(nNIA,DATOS!$A10317,nCURSO,DATOS!$D10317,nESPEC,DATOS!$E10317,nASIG,DATOS!$I10317,nEVAL,"EX")=0),0))))</f>
      </c>
      <c r="H10317">
        <f>IF(DATOS!$G10317&lt;&gt;"EX",0,--(COUNTIFS(nNIA,DATOS!$A10317,nCURSO,DATOS!$D10317,nESPEC,DATOS!$E10317,nASIG,DATOS!$I10317,nEVAL,"OR")=0))</f>
      </c>
      <c r="I10317">
        <f>IF(DATOS!$I10317="","",IFERROR(VLOOKUP(DATOS!$I10317,CONFIG_ASIGNATURAS!$B$2:$J$91,9,FALSE()),""))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IF(DATOS!$A10318="",0,IF(CONFIG_METADATA!$B$4&lt;&gt;"OR+EX",--(DATOS!$G10318=CONFIG_METADATA!$B$4),IF(DATOS!$G10318="EX",1,IF(DATOS!$G10318="OR",--(COUNTIFS(nNIA,DATOS!$A10318,nCURSO,DATOS!$D10318,nESPEC,DATOS!$E10318,nASIG,DATOS!$I10318,nEVAL,"EX")=0),0))))</f>
      </c>
      <c r="H10318">
        <f>IF(DATOS!$G10318&lt;&gt;"EX",0,--(COUNTIFS(nNIA,DATOS!$A10318,nCURSO,DATOS!$D10318,nESPEC,DATOS!$E10318,nASIG,DATOS!$I10318,nEVAL,"OR")=0))</f>
      </c>
      <c r="I10318">
        <f>IF(DATOS!$I10318="","",IFERROR(VLOOKUP(DATOS!$I10318,CONFIG_ASIGNATURAS!$B$2:$J$91,9,FALSE()),""))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IF(DATOS!$A10319="",0,IF(CONFIG_METADATA!$B$4&lt;&gt;"OR+EX",--(DATOS!$G10319=CONFIG_METADATA!$B$4),IF(DATOS!$G10319="EX",1,IF(DATOS!$G10319="OR",--(COUNTIFS(nNIA,DATOS!$A10319,nCURSO,DATOS!$D10319,nESPEC,DATOS!$E10319,nASIG,DATOS!$I10319,nEVAL,"EX")=0),0))))</f>
      </c>
      <c r="H10319">
        <f>IF(DATOS!$G10319&lt;&gt;"EX",0,--(COUNTIFS(nNIA,DATOS!$A10319,nCURSO,DATOS!$D10319,nESPEC,DATOS!$E10319,nASIG,DATOS!$I10319,nEVAL,"OR")=0))</f>
      </c>
      <c r="I10319">
        <f>IF(DATOS!$I10319="","",IFERROR(VLOOKUP(DATOS!$I10319,CONFIG_ASIGNATURAS!$B$2:$J$91,9,FALSE()),""))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IF(DATOS!$A10320="",0,IF(CONFIG_METADATA!$B$4&lt;&gt;"OR+EX",--(DATOS!$G10320=CONFIG_METADATA!$B$4),IF(DATOS!$G10320="EX",1,IF(DATOS!$G10320="OR",--(COUNTIFS(nNIA,DATOS!$A10320,nCURSO,DATOS!$D10320,nESPEC,DATOS!$E10320,nASIG,DATOS!$I10320,nEVAL,"EX")=0),0))))</f>
      </c>
      <c r="H10320">
        <f>IF(DATOS!$G10320&lt;&gt;"EX",0,--(COUNTIFS(nNIA,DATOS!$A10320,nCURSO,DATOS!$D10320,nESPEC,DATOS!$E10320,nASIG,DATOS!$I10320,nEVAL,"OR")=0))</f>
      </c>
      <c r="I10320">
        <f>IF(DATOS!$I10320="","",IFERROR(VLOOKUP(DATOS!$I10320,CONFIG_ASIGNATURAS!$B$2:$J$91,9,FALSE()),""))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IF(DATOS!$A10321="",0,IF(CONFIG_METADATA!$B$4&lt;&gt;"OR+EX",--(DATOS!$G10321=CONFIG_METADATA!$B$4),IF(DATOS!$G10321="EX",1,IF(DATOS!$G10321="OR",--(COUNTIFS(nNIA,DATOS!$A10321,nCURSO,DATOS!$D10321,nESPEC,DATOS!$E10321,nASIG,DATOS!$I10321,nEVAL,"EX")=0),0))))</f>
      </c>
      <c r="H10321">
        <f>IF(DATOS!$G10321&lt;&gt;"EX",0,--(COUNTIFS(nNIA,DATOS!$A10321,nCURSO,DATOS!$D10321,nESPEC,DATOS!$E10321,nASIG,DATOS!$I10321,nEVAL,"OR")=0))</f>
      </c>
      <c r="I10321">
        <f>IF(DATOS!$I10321="","",IFERROR(VLOOKUP(DATOS!$I10321,CONFIG_ASIGNATURAS!$B$2:$J$91,9,FALSE()),""))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IF(DATOS!$A10322="",0,IF(CONFIG_METADATA!$B$4&lt;&gt;"OR+EX",--(DATOS!$G10322=CONFIG_METADATA!$B$4),IF(DATOS!$G10322="EX",1,IF(DATOS!$G10322="OR",--(COUNTIFS(nNIA,DATOS!$A10322,nCURSO,DATOS!$D10322,nESPEC,DATOS!$E10322,nASIG,DATOS!$I10322,nEVAL,"EX")=0),0))))</f>
      </c>
      <c r="H10322">
        <f>IF(DATOS!$G10322&lt;&gt;"EX",0,--(COUNTIFS(nNIA,DATOS!$A10322,nCURSO,DATOS!$D10322,nESPEC,DATOS!$E10322,nASIG,DATOS!$I10322,nEVAL,"OR")=0))</f>
      </c>
      <c r="I10322">
        <f>IF(DATOS!$I10322="","",IFERROR(VLOOKUP(DATOS!$I10322,CONFIG_ASIGNATURAS!$B$2:$J$91,9,FALSE()),""))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IF(DATOS!$A10323="",0,IF(CONFIG_METADATA!$B$4&lt;&gt;"OR+EX",--(DATOS!$G10323=CONFIG_METADATA!$B$4),IF(DATOS!$G10323="EX",1,IF(DATOS!$G10323="OR",--(COUNTIFS(nNIA,DATOS!$A10323,nCURSO,DATOS!$D10323,nESPEC,DATOS!$E10323,nASIG,DATOS!$I10323,nEVAL,"EX")=0),0))))</f>
      </c>
      <c r="H10323">
        <f>IF(DATOS!$G10323&lt;&gt;"EX",0,--(COUNTIFS(nNIA,DATOS!$A10323,nCURSO,DATOS!$D10323,nESPEC,DATOS!$E10323,nASIG,DATOS!$I10323,nEVAL,"OR")=0))</f>
      </c>
      <c r="I10323">
        <f>IF(DATOS!$I10323="","",IFERROR(VLOOKUP(DATOS!$I10323,CONFIG_ASIGNATURAS!$B$2:$J$91,9,FALSE()),""))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IF(DATOS!$A10324="",0,IF(CONFIG_METADATA!$B$4&lt;&gt;"OR+EX",--(DATOS!$G10324=CONFIG_METADATA!$B$4),IF(DATOS!$G10324="EX",1,IF(DATOS!$G10324="OR",--(COUNTIFS(nNIA,DATOS!$A10324,nCURSO,DATOS!$D10324,nESPEC,DATOS!$E10324,nASIG,DATOS!$I10324,nEVAL,"EX")=0),0))))</f>
      </c>
      <c r="H10324">
        <f>IF(DATOS!$G10324&lt;&gt;"EX",0,--(COUNTIFS(nNIA,DATOS!$A10324,nCURSO,DATOS!$D10324,nESPEC,DATOS!$E10324,nASIG,DATOS!$I10324,nEVAL,"OR")=0))</f>
      </c>
      <c r="I10324">
        <f>IF(DATOS!$I10324="","",IFERROR(VLOOKUP(DATOS!$I10324,CONFIG_ASIGNATURAS!$B$2:$J$91,9,FALSE()),""))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IF(DATOS!$A10325="",0,IF(CONFIG_METADATA!$B$4&lt;&gt;"OR+EX",--(DATOS!$G10325=CONFIG_METADATA!$B$4),IF(DATOS!$G10325="EX",1,IF(DATOS!$G10325="OR",--(COUNTIFS(nNIA,DATOS!$A10325,nCURSO,DATOS!$D10325,nESPEC,DATOS!$E10325,nASIG,DATOS!$I10325,nEVAL,"EX")=0),0))))</f>
      </c>
      <c r="H10325">
        <f>IF(DATOS!$G10325&lt;&gt;"EX",0,--(COUNTIFS(nNIA,DATOS!$A10325,nCURSO,DATOS!$D10325,nESPEC,DATOS!$E10325,nASIG,DATOS!$I10325,nEVAL,"OR")=0))</f>
      </c>
      <c r="I10325">
        <f>IF(DATOS!$I10325="","",IFERROR(VLOOKUP(DATOS!$I10325,CONFIG_ASIGNATURAS!$B$2:$J$91,9,FALSE()),""))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IF(DATOS!$A10326="",0,IF(CONFIG_METADATA!$B$4&lt;&gt;"OR+EX",--(DATOS!$G10326=CONFIG_METADATA!$B$4),IF(DATOS!$G10326="EX",1,IF(DATOS!$G10326="OR",--(COUNTIFS(nNIA,DATOS!$A10326,nCURSO,DATOS!$D10326,nESPEC,DATOS!$E10326,nASIG,DATOS!$I10326,nEVAL,"EX")=0),0))))</f>
      </c>
      <c r="H10326">
        <f>IF(DATOS!$G10326&lt;&gt;"EX",0,--(COUNTIFS(nNIA,DATOS!$A10326,nCURSO,DATOS!$D10326,nESPEC,DATOS!$E10326,nASIG,DATOS!$I10326,nEVAL,"OR")=0))</f>
      </c>
      <c r="I10326">
        <f>IF(DATOS!$I10326="","",IFERROR(VLOOKUP(DATOS!$I10326,CONFIG_ASIGNATURAS!$B$2:$J$91,9,FALSE()),""))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IF(DATOS!$A10327="",0,IF(CONFIG_METADATA!$B$4&lt;&gt;"OR+EX",--(DATOS!$G10327=CONFIG_METADATA!$B$4),IF(DATOS!$G10327="EX",1,IF(DATOS!$G10327="OR",--(COUNTIFS(nNIA,DATOS!$A10327,nCURSO,DATOS!$D10327,nESPEC,DATOS!$E10327,nASIG,DATOS!$I10327,nEVAL,"EX")=0),0))))</f>
      </c>
      <c r="H10327">
        <f>IF(DATOS!$G10327&lt;&gt;"EX",0,--(COUNTIFS(nNIA,DATOS!$A10327,nCURSO,DATOS!$D10327,nESPEC,DATOS!$E10327,nASIG,DATOS!$I10327,nEVAL,"OR")=0))</f>
      </c>
      <c r="I10327">
        <f>IF(DATOS!$I10327="","",IFERROR(VLOOKUP(DATOS!$I10327,CONFIG_ASIGNATURAS!$B$2:$J$91,9,FALSE()),""))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IF(DATOS!$A10328="",0,IF(CONFIG_METADATA!$B$4&lt;&gt;"OR+EX",--(DATOS!$G10328=CONFIG_METADATA!$B$4),IF(DATOS!$G10328="EX",1,IF(DATOS!$G10328="OR",--(COUNTIFS(nNIA,DATOS!$A10328,nCURSO,DATOS!$D10328,nESPEC,DATOS!$E10328,nASIG,DATOS!$I10328,nEVAL,"EX")=0),0))))</f>
      </c>
      <c r="H10328">
        <f>IF(DATOS!$G10328&lt;&gt;"EX",0,--(COUNTIFS(nNIA,DATOS!$A10328,nCURSO,DATOS!$D10328,nESPEC,DATOS!$E10328,nASIG,DATOS!$I10328,nEVAL,"OR")=0))</f>
      </c>
      <c r="I10328">
        <f>IF(DATOS!$I10328="","",IFERROR(VLOOKUP(DATOS!$I10328,CONFIG_ASIGNATURAS!$B$2:$J$91,9,FALSE()),""))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IF(DATOS!$A10329="",0,IF(CONFIG_METADATA!$B$4&lt;&gt;"OR+EX",--(DATOS!$G10329=CONFIG_METADATA!$B$4),IF(DATOS!$G10329="EX",1,IF(DATOS!$G10329="OR",--(COUNTIFS(nNIA,DATOS!$A10329,nCURSO,DATOS!$D10329,nESPEC,DATOS!$E10329,nASIG,DATOS!$I10329,nEVAL,"EX")=0),0))))</f>
      </c>
      <c r="H10329">
        <f>IF(DATOS!$G10329&lt;&gt;"EX",0,--(COUNTIFS(nNIA,DATOS!$A10329,nCURSO,DATOS!$D10329,nESPEC,DATOS!$E10329,nASIG,DATOS!$I10329,nEVAL,"OR")=0))</f>
      </c>
      <c r="I10329">
        <f>IF(DATOS!$I10329="","",IFERROR(VLOOKUP(DATOS!$I10329,CONFIG_ASIGNATURAS!$B$2:$J$91,9,FALSE()),""))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IF(DATOS!$A10330="",0,IF(CONFIG_METADATA!$B$4&lt;&gt;"OR+EX",--(DATOS!$G10330=CONFIG_METADATA!$B$4),IF(DATOS!$G10330="EX",1,IF(DATOS!$G10330="OR",--(COUNTIFS(nNIA,DATOS!$A10330,nCURSO,DATOS!$D10330,nESPEC,DATOS!$E10330,nASIG,DATOS!$I10330,nEVAL,"EX")=0),0))))</f>
      </c>
      <c r="H10330">
        <f>IF(DATOS!$G10330&lt;&gt;"EX",0,--(COUNTIFS(nNIA,DATOS!$A10330,nCURSO,DATOS!$D10330,nESPEC,DATOS!$E10330,nASIG,DATOS!$I10330,nEVAL,"OR")=0))</f>
      </c>
      <c r="I10330">
        <f>IF(DATOS!$I10330="","",IFERROR(VLOOKUP(DATOS!$I10330,CONFIG_ASIGNATURAS!$B$2:$J$91,9,FALSE()),""))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IF(DATOS!$A10331="",0,IF(CONFIG_METADATA!$B$4&lt;&gt;"OR+EX",--(DATOS!$G10331=CONFIG_METADATA!$B$4),IF(DATOS!$G10331="EX",1,IF(DATOS!$G10331="OR",--(COUNTIFS(nNIA,DATOS!$A10331,nCURSO,DATOS!$D10331,nESPEC,DATOS!$E10331,nASIG,DATOS!$I10331,nEVAL,"EX")=0),0))))</f>
      </c>
      <c r="H10331">
        <f>IF(DATOS!$G10331&lt;&gt;"EX",0,--(COUNTIFS(nNIA,DATOS!$A10331,nCURSO,DATOS!$D10331,nESPEC,DATOS!$E10331,nASIG,DATOS!$I10331,nEVAL,"OR")=0))</f>
      </c>
      <c r="I10331">
        <f>IF(DATOS!$I10331="","",IFERROR(VLOOKUP(DATOS!$I10331,CONFIG_ASIGNATURAS!$B$2:$J$91,9,FALSE()),""))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IF(DATOS!$A10332="",0,IF(CONFIG_METADATA!$B$4&lt;&gt;"OR+EX",--(DATOS!$G10332=CONFIG_METADATA!$B$4),IF(DATOS!$G10332="EX",1,IF(DATOS!$G10332="OR",--(COUNTIFS(nNIA,DATOS!$A10332,nCURSO,DATOS!$D10332,nESPEC,DATOS!$E10332,nASIG,DATOS!$I10332,nEVAL,"EX")=0),0))))</f>
      </c>
      <c r="H10332">
        <f>IF(DATOS!$G10332&lt;&gt;"EX",0,--(COUNTIFS(nNIA,DATOS!$A10332,nCURSO,DATOS!$D10332,nESPEC,DATOS!$E10332,nASIG,DATOS!$I10332,nEVAL,"OR")=0))</f>
      </c>
      <c r="I10332">
        <f>IF(DATOS!$I10332="","",IFERROR(VLOOKUP(DATOS!$I10332,CONFIG_ASIGNATURAS!$B$2:$J$91,9,FALSE()),""))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IF(DATOS!$A10333="",0,IF(CONFIG_METADATA!$B$4&lt;&gt;"OR+EX",--(DATOS!$G10333=CONFIG_METADATA!$B$4),IF(DATOS!$G10333="EX",1,IF(DATOS!$G10333="OR",--(COUNTIFS(nNIA,DATOS!$A10333,nCURSO,DATOS!$D10333,nESPEC,DATOS!$E10333,nASIG,DATOS!$I10333,nEVAL,"EX")=0),0))))</f>
      </c>
      <c r="H10333">
        <f>IF(DATOS!$G10333&lt;&gt;"EX",0,--(COUNTIFS(nNIA,DATOS!$A10333,nCURSO,DATOS!$D10333,nESPEC,DATOS!$E10333,nASIG,DATOS!$I10333,nEVAL,"OR")=0))</f>
      </c>
      <c r="I10333">
        <f>IF(DATOS!$I10333="","",IFERROR(VLOOKUP(DATOS!$I10333,CONFIG_ASIGNATURAS!$B$2:$J$91,9,FALSE()),""))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IF(DATOS!$A10334="",0,IF(CONFIG_METADATA!$B$4&lt;&gt;"OR+EX",--(DATOS!$G10334=CONFIG_METADATA!$B$4),IF(DATOS!$G10334="EX",1,IF(DATOS!$G10334="OR",--(COUNTIFS(nNIA,DATOS!$A10334,nCURSO,DATOS!$D10334,nESPEC,DATOS!$E10334,nASIG,DATOS!$I10334,nEVAL,"EX")=0),0))))</f>
      </c>
      <c r="H10334">
        <f>IF(DATOS!$G10334&lt;&gt;"EX",0,--(COUNTIFS(nNIA,DATOS!$A10334,nCURSO,DATOS!$D10334,nESPEC,DATOS!$E10334,nASIG,DATOS!$I10334,nEVAL,"OR")=0))</f>
      </c>
      <c r="I10334">
        <f>IF(DATOS!$I10334="","",IFERROR(VLOOKUP(DATOS!$I10334,CONFIG_ASIGNATURAS!$B$2:$J$91,9,FALSE()),""))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IF(DATOS!$A10335="",0,IF(CONFIG_METADATA!$B$4&lt;&gt;"OR+EX",--(DATOS!$G10335=CONFIG_METADATA!$B$4),IF(DATOS!$G10335="EX",1,IF(DATOS!$G10335="OR",--(COUNTIFS(nNIA,DATOS!$A10335,nCURSO,DATOS!$D10335,nESPEC,DATOS!$E10335,nASIG,DATOS!$I10335,nEVAL,"EX")=0),0))))</f>
      </c>
      <c r="H10335">
        <f>IF(DATOS!$G10335&lt;&gt;"EX",0,--(COUNTIFS(nNIA,DATOS!$A10335,nCURSO,DATOS!$D10335,nESPEC,DATOS!$E10335,nASIG,DATOS!$I10335,nEVAL,"OR")=0))</f>
      </c>
      <c r="I10335">
        <f>IF(DATOS!$I10335="","",IFERROR(VLOOKUP(DATOS!$I10335,CONFIG_ASIGNATURAS!$B$2:$J$91,9,FALSE()),""))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IF(DATOS!$A10336="",0,IF(CONFIG_METADATA!$B$4&lt;&gt;"OR+EX",--(DATOS!$G10336=CONFIG_METADATA!$B$4),IF(DATOS!$G10336="EX",1,IF(DATOS!$G10336="OR",--(COUNTIFS(nNIA,DATOS!$A10336,nCURSO,DATOS!$D10336,nESPEC,DATOS!$E10336,nASIG,DATOS!$I10336,nEVAL,"EX")=0),0))))</f>
      </c>
      <c r="H10336">
        <f>IF(DATOS!$G10336&lt;&gt;"EX",0,--(COUNTIFS(nNIA,DATOS!$A10336,nCURSO,DATOS!$D10336,nESPEC,DATOS!$E10336,nASIG,DATOS!$I10336,nEVAL,"OR")=0))</f>
      </c>
      <c r="I10336">
        <f>IF(DATOS!$I10336="","",IFERROR(VLOOKUP(DATOS!$I10336,CONFIG_ASIGNATURAS!$B$2:$J$91,9,FALSE()),""))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IF(DATOS!$A10337="",0,IF(CONFIG_METADATA!$B$4&lt;&gt;"OR+EX",--(DATOS!$G10337=CONFIG_METADATA!$B$4),IF(DATOS!$G10337="EX",1,IF(DATOS!$G10337="OR",--(COUNTIFS(nNIA,DATOS!$A10337,nCURSO,DATOS!$D10337,nESPEC,DATOS!$E10337,nASIG,DATOS!$I10337,nEVAL,"EX")=0),0))))</f>
      </c>
      <c r="H10337">
        <f>IF(DATOS!$G10337&lt;&gt;"EX",0,--(COUNTIFS(nNIA,DATOS!$A10337,nCURSO,DATOS!$D10337,nESPEC,DATOS!$E10337,nASIG,DATOS!$I10337,nEVAL,"OR")=0))</f>
      </c>
      <c r="I10337">
        <f>IF(DATOS!$I10337="","",IFERROR(VLOOKUP(DATOS!$I10337,CONFIG_ASIGNATURAS!$B$2:$J$91,9,FALSE()),""))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IF(DATOS!$A10338="",0,IF(CONFIG_METADATA!$B$4&lt;&gt;"OR+EX",--(DATOS!$G10338=CONFIG_METADATA!$B$4),IF(DATOS!$G10338="EX",1,IF(DATOS!$G10338="OR",--(COUNTIFS(nNIA,DATOS!$A10338,nCURSO,DATOS!$D10338,nESPEC,DATOS!$E10338,nASIG,DATOS!$I10338,nEVAL,"EX")=0),0))))</f>
      </c>
      <c r="H10338">
        <f>IF(DATOS!$G10338&lt;&gt;"EX",0,--(COUNTIFS(nNIA,DATOS!$A10338,nCURSO,DATOS!$D10338,nESPEC,DATOS!$E10338,nASIG,DATOS!$I10338,nEVAL,"OR")=0))</f>
      </c>
      <c r="I10338">
        <f>IF(DATOS!$I10338="","",IFERROR(VLOOKUP(DATOS!$I10338,CONFIG_ASIGNATURAS!$B$2:$J$91,9,FALSE()),""))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IF(DATOS!$A10339="",0,IF(CONFIG_METADATA!$B$4&lt;&gt;"OR+EX",--(DATOS!$G10339=CONFIG_METADATA!$B$4),IF(DATOS!$G10339="EX",1,IF(DATOS!$G10339="OR",--(COUNTIFS(nNIA,DATOS!$A10339,nCURSO,DATOS!$D10339,nESPEC,DATOS!$E10339,nASIG,DATOS!$I10339,nEVAL,"EX")=0),0))))</f>
      </c>
      <c r="H10339">
        <f>IF(DATOS!$G10339&lt;&gt;"EX",0,--(COUNTIFS(nNIA,DATOS!$A10339,nCURSO,DATOS!$D10339,nESPEC,DATOS!$E10339,nASIG,DATOS!$I10339,nEVAL,"OR")=0))</f>
      </c>
      <c r="I10339">
        <f>IF(DATOS!$I10339="","",IFERROR(VLOOKUP(DATOS!$I10339,CONFIG_ASIGNATURAS!$B$2:$J$91,9,FALSE()),""))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IF(DATOS!$A10340="",0,IF(CONFIG_METADATA!$B$4&lt;&gt;"OR+EX",--(DATOS!$G10340=CONFIG_METADATA!$B$4),IF(DATOS!$G10340="EX",1,IF(DATOS!$G10340="OR",--(COUNTIFS(nNIA,DATOS!$A10340,nCURSO,DATOS!$D10340,nESPEC,DATOS!$E10340,nASIG,DATOS!$I10340,nEVAL,"EX")=0),0))))</f>
      </c>
      <c r="H10340">
        <f>IF(DATOS!$G10340&lt;&gt;"EX",0,--(COUNTIFS(nNIA,DATOS!$A10340,nCURSO,DATOS!$D10340,nESPEC,DATOS!$E10340,nASIG,DATOS!$I10340,nEVAL,"OR")=0))</f>
      </c>
      <c r="I10340">
        <f>IF(DATOS!$I10340="","",IFERROR(VLOOKUP(DATOS!$I10340,CONFIG_ASIGNATURAS!$B$2:$J$91,9,FALSE()),""))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IF(DATOS!$A10341="",0,IF(CONFIG_METADATA!$B$4&lt;&gt;"OR+EX",--(DATOS!$G10341=CONFIG_METADATA!$B$4),IF(DATOS!$G10341="EX",1,IF(DATOS!$G10341="OR",--(COUNTIFS(nNIA,DATOS!$A10341,nCURSO,DATOS!$D10341,nESPEC,DATOS!$E10341,nASIG,DATOS!$I10341,nEVAL,"EX")=0),0))))</f>
      </c>
      <c r="H10341">
        <f>IF(DATOS!$G10341&lt;&gt;"EX",0,--(COUNTIFS(nNIA,DATOS!$A10341,nCURSO,DATOS!$D10341,nESPEC,DATOS!$E10341,nASIG,DATOS!$I10341,nEVAL,"OR")=0))</f>
      </c>
      <c r="I10341">
        <f>IF(DATOS!$I10341="","",IFERROR(VLOOKUP(DATOS!$I10341,CONFIG_ASIGNATURAS!$B$2:$J$91,9,FALSE()),""))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IF(DATOS!$A10342="",0,IF(CONFIG_METADATA!$B$4&lt;&gt;"OR+EX",--(DATOS!$G10342=CONFIG_METADATA!$B$4),IF(DATOS!$G10342="EX",1,IF(DATOS!$G10342="OR",--(COUNTIFS(nNIA,DATOS!$A10342,nCURSO,DATOS!$D10342,nESPEC,DATOS!$E10342,nASIG,DATOS!$I10342,nEVAL,"EX")=0),0))))</f>
      </c>
      <c r="H10342">
        <f>IF(DATOS!$G10342&lt;&gt;"EX",0,--(COUNTIFS(nNIA,DATOS!$A10342,nCURSO,DATOS!$D10342,nESPEC,DATOS!$E10342,nASIG,DATOS!$I10342,nEVAL,"OR")=0))</f>
      </c>
      <c r="I10342">
        <f>IF(DATOS!$I10342="","",IFERROR(VLOOKUP(DATOS!$I10342,CONFIG_ASIGNATURAS!$B$2:$J$91,9,FALSE()),""))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IF(DATOS!$A10343="",0,IF(CONFIG_METADATA!$B$4&lt;&gt;"OR+EX",--(DATOS!$G10343=CONFIG_METADATA!$B$4),IF(DATOS!$G10343="EX",1,IF(DATOS!$G10343="OR",--(COUNTIFS(nNIA,DATOS!$A10343,nCURSO,DATOS!$D10343,nESPEC,DATOS!$E10343,nASIG,DATOS!$I10343,nEVAL,"EX")=0),0))))</f>
      </c>
      <c r="H10343">
        <f>IF(DATOS!$G10343&lt;&gt;"EX",0,--(COUNTIFS(nNIA,DATOS!$A10343,nCURSO,DATOS!$D10343,nESPEC,DATOS!$E10343,nASIG,DATOS!$I10343,nEVAL,"OR")=0))</f>
      </c>
      <c r="I10343">
        <f>IF(DATOS!$I10343="","",IFERROR(VLOOKUP(DATOS!$I10343,CONFIG_ASIGNATURAS!$B$2:$J$91,9,FALSE()),""))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IF(DATOS!$A10344="",0,IF(CONFIG_METADATA!$B$4&lt;&gt;"OR+EX",--(DATOS!$G10344=CONFIG_METADATA!$B$4),IF(DATOS!$G10344="EX",1,IF(DATOS!$G10344="OR",--(COUNTIFS(nNIA,DATOS!$A10344,nCURSO,DATOS!$D10344,nESPEC,DATOS!$E10344,nASIG,DATOS!$I10344,nEVAL,"EX")=0),0))))</f>
      </c>
      <c r="H10344">
        <f>IF(DATOS!$G10344&lt;&gt;"EX",0,--(COUNTIFS(nNIA,DATOS!$A10344,nCURSO,DATOS!$D10344,nESPEC,DATOS!$E10344,nASIG,DATOS!$I10344,nEVAL,"OR")=0))</f>
      </c>
      <c r="I10344">
        <f>IF(DATOS!$I10344="","",IFERROR(VLOOKUP(DATOS!$I10344,CONFIG_ASIGNATURAS!$B$2:$J$91,9,FALSE()),""))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IF(DATOS!$A10345="",0,IF(CONFIG_METADATA!$B$4&lt;&gt;"OR+EX",--(DATOS!$G10345=CONFIG_METADATA!$B$4),IF(DATOS!$G10345="EX",1,IF(DATOS!$G10345="OR",--(COUNTIFS(nNIA,DATOS!$A10345,nCURSO,DATOS!$D10345,nESPEC,DATOS!$E10345,nASIG,DATOS!$I10345,nEVAL,"EX")=0),0))))</f>
      </c>
      <c r="H10345">
        <f>IF(DATOS!$G10345&lt;&gt;"EX",0,--(COUNTIFS(nNIA,DATOS!$A10345,nCURSO,DATOS!$D10345,nESPEC,DATOS!$E10345,nASIG,DATOS!$I10345,nEVAL,"OR")=0))</f>
      </c>
      <c r="I10345">
        <f>IF(DATOS!$I10345="","",IFERROR(VLOOKUP(DATOS!$I10345,CONFIG_ASIGNATURAS!$B$2:$J$91,9,FALSE()),""))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IF(DATOS!$A10346="",0,IF(CONFIG_METADATA!$B$4&lt;&gt;"OR+EX",--(DATOS!$G10346=CONFIG_METADATA!$B$4),IF(DATOS!$G10346="EX",1,IF(DATOS!$G10346="OR",--(COUNTIFS(nNIA,DATOS!$A10346,nCURSO,DATOS!$D10346,nESPEC,DATOS!$E10346,nASIG,DATOS!$I10346,nEVAL,"EX")=0),0))))</f>
      </c>
      <c r="H10346">
        <f>IF(DATOS!$G10346&lt;&gt;"EX",0,--(COUNTIFS(nNIA,DATOS!$A10346,nCURSO,DATOS!$D10346,nESPEC,DATOS!$E10346,nASIG,DATOS!$I10346,nEVAL,"OR")=0))</f>
      </c>
      <c r="I10346">
        <f>IF(DATOS!$I10346="","",IFERROR(VLOOKUP(DATOS!$I10346,CONFIG_ASIGNATURAS!$B$2:$J$91,9,FALSE()),""))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IF(DATOS!$A10347="",0,IF(CONFIG_METADATA!$B$4&lt;&gt;"OR+EX",--(DATOS!$G10347=CONFIG_METADATA!$B$4),IF(DATOS!$G10347="EX",1,IF(DATOS!$G10347="OR",--(COUNTIFS(nNIA,DATOS!$A10347,nCURSO,DATOS!$D10347,nESPEC,DATOS!$E10347,nASIG,DATOS!$I10347,nEVAL,"EX")=0),0))))</f>
      </c>
      <c r="H10347">
        <f>IF(DATOS!$G10347&lt;&gt;"EX",0,--(COUNTIFS(nNIA,DATOS!$A10347,nCURSO,DATOS!$D10347,nESPEC,DATOS!$E10347,nASIG,DATOS!$I10347,nEVAL,"OR")=0))</f>
      </c>
      <c r="I10347">
        <f>IF(DATOS!$I10347="","",IFERROR(VLOOKUP(DATOS!$I10347,CONFIG_ASIGNATURAS!$B$2:$J$91,9,FALSE()),""))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IF(DATOS!$A10348="",0,IF(CONFIG_METADATA!$B$4&lt;&gt;"OR+EX",--(DATOS!$G10348=CONFIG_METADATA!$B$4),IF(DATOS!$G10348="EX",1,IF(DATOS!$G10348="OR",--(COUNTIFS(nNIA,DATOS!$A10348,nCURSO,DATOS!$D10348,nESPEC,DATOS!$E10348,nASIG,DATOS!$I10348,nEVAL,"EX")=0),0))))</f>
      </c>
      <c r="H10348">
        <f>IF(DATOS!$G10348&lt;&gt;"EX",0,--(COUNTIFS(nNIA,DATOS!$A10348,nCURSO,DATOS!$D10348,nESPEC,DATOS!$E10348,nASIG,DATOS!$I10348,nEVAL,"OR")=0))</f>
      </c>
      <c r="I10348">
        <f>IF(DATOS!$I10348="","",IFERROR(VLOOKUP(DATOS!$I10348,CONFIG_ASIGNATURAS!$B$2:$J$91,9,FALSE()),""))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IF(DATOS!$A10349="",0,IF(CONFIG_METADATA!$B$4&lt;&gt;"OR+EX",--(DATOS!$G10349=CONFIG_METADATA!$B$4),IF(DATOS!$G10349="EX",1,IF(DATOS!$G10349="OR",--(COUNTIFS(nNIA,DATOS!$A10349,nCURSO,DATOS!$D10349,nESPEC,DATOS!$E10349,nASIG,DATOS!$I10349,nEVAL,"EX")=0),0))))</f>
      </c>
      <c r="H10349">
        <f>IF(DATOS!$G10349&lt;&gt;"EX",0,--(COUNTIFS(nNIA,DATOS!$A10349,nCURSO,DATOS!$D10349,nESPEC,DATOS!$E10349,nASIG,DATOS!$I10349,nEVAL,"OR")=0))</f>
      </c>
      <c r="I10349">
        <f>IF(DATOS!$I10349="","",IFERROR(VLOOKUP(DATOS!$I10349,CONFIG_ASIGNATURAS!$B$2:$J$91,9,FALSE()),""))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IF(DATOS!$A10350="",0,IF(CONFIG_METADATA!$B$4&lt;&gt;"OR+EX",--(DATOS!$G10350=CONFIG_METADATA!$B$4),IF(DATOS!$G10350="EX",1,IF(DATOS!$G10350="OR",--(COUNTIFS(nNIA,DATOS!$A10350,nCURSO,DATOS!$D10350,nESPEC,DATOS!$E10350,nASIG,DATOS!$I10350,nEVAL,"EX")=0),0))))</f>
      </c>
      <c r="H10350">
        <f>IF(DATOS!$G10350&lt;&gt;"EX",0,--(COUNTIFS(nNIA,DATOS!$A10350,nCURSO,DATOS!$D10350,nESPEC,DATOS!$E10350,nASIG,DATOS!$I10350,nEVAL,"OR")=0))</f>
      </c>
      <c r="I10350">
        <f>IF(DATOS!$I10350="","",IFERROR(VLOOKUP(DATOS!$I10350,CONFIG_ASIGNATURAS!$B$2:$J$91,9,FALSE()),""))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IF(DATOS!$A10351="",0,IF(CONFIG_METADATA!$B$4&lt;&gt;"OR+EX",--(DATOS!$G10351=CONFIG_METADATA!$B$4),IF(DATOS!$G10351="EX",1,IF(DATOS!$G10351="OR",--(COUNTIFS(nNIA,DATOS!$A10351,nCURSO,DATOS!$D10351,nESPEC,DATOS!$E10351,nASIG,DATOS!$I10351,nEVAL,"EX")=0),0))))</f>
      </c>
      <c r="H10351">
        <f>IF(DATOS!$G10351&lt;&gt;"EX",0,--(COUNTIFS(nNIA,DATOS!$A10351,nCURSO,DATOS!$D10351,nESPEC,DATOS!$E10351,nASIG,DATOS!$I10351,nEVAL,"OR")=0))</f>
      </c>
      <c r="I10351">
        <f>IF(DATOS!$I10351="","",IFERROR(VLOOKUP(DATOS!$I10351,CONFIG_ASIGNATURAS!$B$2:$J$91,9,FALSE()),""))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IF(DATOS!$A10352="",0,IF(CONFIG_METADATA!$B$4&lt;&gt;"OR+EX",--(DATOS!$G10352=CONFIG_METADATA!$B$4),IF(DATOS!$G10352="EX",1,IF(DATOS!$G10352="OR",--(COUNTIFS(nNIA,DATOS!$A10352,nCURSO,DATOS!$D10352,nESPEC,DATOS!$E10352,nASIG,DATOS!$I10352,nEVAL,"EX")=0),0))))</f>
      </c>
      <c r="H10352">
        <f>IF(DATOS!$G10352&lt;&gt;"EX",0,--(COUNTIFS(nNIA,DATOS!$A10352,nCURSO,DATOS!$D10352,nESPEC,DATOS!$E10352,nASIG,DATOS!$I10352,nEVAL,"OR")=0))</f>
      </c>
      <c r="I10352">
        <f>IF(DATOS!$I10352="","",IFERROR(VLOOKUP(DATOS!$I10352,CONFIG_ASIGNATURAS!$B$2:$J$91,9,FALSE()),""))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IF(DATOS!$A10353="",0,IF(CONFIG_METADATA!$B$4&lt;&gt;"OR+EX",--(DATOS!$G10353=CONFIG_METADATA!$B$4),IF(DATOS!$G10353="EX",1,IF(DATOS!$G10353="OR",--(COUNTIFS(nNIA,DATOS!$A10353,nCURSO,DATOS!$D10353,nESPEC,DATOS!$E10353,nASIG,DATOS!$I10353,nEVAL,"EX")=0),0))))</f>
      </c>
      <c r="H10353">
        <f>IF(DATOS!$G10353&lt;&gt;"EX",0,--(COUNTIFS(nNIA,DATOS!$A10353,nCURSO,DATOS!$D10353,nESPEC,DATOS!$E10353,nASIG,DATOS!$I10353,nEVAL,"OR")=0))</f>
      </c>
      <c r="I10353">
        <f>IF(DATOS!$I10353="","",IFERROR(VLOOKUP(DATOS!$I10353,CONFIG_ASIGNATURAS!$B$2:$J$91,9,FALSE()),""))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IF(DATOS!$A10354="",0,IF(CONFIG_METADATA!$B$4&lt;&gt;"OR+EX",--(DATOS!$G10354=CONFIG_METADATA!$B$4),IF(DATOS!$G10354="EX",1,IF(DATOS!$G10354="OR",--(COUNTIFS(nNIA,DATOS!$A10354,nCURSO,DATOS!$D10354,nESPEC,DATOS!$E10354,nASIG,DATOS!$I10354,nEVAL,"EX")=0),0))))</f>
      </c>
      <c r="H10354">
        <f>IF(DATOS!$G10354&lt;&gt;"EX",0,--(COUNTIFS(nNIA,DATOS!$A10354,nCURSO,DATOS!$D10354,nESPEC,DATOS!$E10354,nASIG,DATOS!$I10354,nEVAL,"OR")=0))</f>
      </c>
      <c r="I10354">
        <f>IF(DATOS!$I10354="","",IFERROR(VLOOKUP(DATOS!$I10354,CONFIG_ASIGNATURAS!$B$2:$J$91,9,FALSE()),""))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IF(DATOS!$A10355="",0,IF(CONFIG_METADATA!$B$4&lt;&gt;"OR+EX",--(DATOS!$G10355=CONFIG_METADATA!$B$4),IF(DATOS!$G10355="EX",1,IF(DATOS!$G10355="OR",--(COUNTIFS(nNIA,DATOS!$A10355,nCURSO,DATOS!$D10355,nESPEC,DATOS!$E10355,nASIG,DATOS!$I10355,nEVAL,"EX")=0),0))))</f>
      </c>
      <c r="H10355">
        <f>IF(DATOS!$G10355&lt;&gt;"EX",0,--(COUNTIFS(nNIA,DATOS!$A10355,nCURSO,DATOS!$D10355,nESPEC,DATOS!$E10355,nASIG,DATOS!$I10355,nEVAL,"OR")=0))</f>
      </c>
      <c r="I10355">
        <f>IF(DATOS!$I10355="","",IFERROR(VLOOKUP(DATOS!$I10355,CONFIG_ASIGNATURAS!$B$2:$J$91,9,FALSE()),""))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IF(DATOS!$A10356="",0,IF(CONFIG_METADATA!$B$4&lt;&gt;"OR+EX",--(DATOS!$G10356=CONFIG_METADATA!$B$4),IF(DATOS!$G10356="EX",1,IF(DATOS!$G10356="OR",--(COUNTIFS(nNIA,DATOS!$A10356,nCURSO,DATOS!$D10356,nESPEC,DATOS!$E10356,nASIG,DATOS!$I10356,nEVAL,"EX")=0),0))))</f>
      </c>
      <c r="H10356">
        <f>IF(DATOS!$G10356&lt;&gt;"EX",0,--(COUNTIFS(nNIA,DATOS!$A10356,nCURSO,DATOS!$D10356,nESPEC,DATOS!$E10356,nASIG,DATOS!$I10356,nEVAL,"OR")=0))</f>
      </c>
      <c r="I10356">
        <f>IF(DATOS!$I10356="","",IFERROR(VLOOKUP(DATOS!$I10356,CONFIG_ASIGNATURAS!$B$2:$J$91,9,FALSE()),""))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IF(DATOS!$A10357="",0,IF(CONFIG_METADATA!$B$4&lt;&gt;"OR+EX",--(DATOS!$G10357=CONFIG_METADATA!$B$4),IF(DATOS!$G10357="EX",1,IF(DATOS!$G10357="OR",--(COUNTIFS(nNIA,DATOS!$A10357,nCURSO,DATOS!$D10357,nESPEC,DATOS!$E10357,nASIG,DATOS!$I10357,nEVAL,"EX")=0),0))))</f>
      </c>
      <c r="H10357">
        <f>IF(DATOS!$G10357&lt;&gt;"EX",0,--(COUNTIFS(nNIA,DATOS!$A10357,nCURSO,DATOS!$D10357,nESPEC,DATOS!$E10357,nASIG,DATOS!$I10357,nEVAL,"OR")=0))</f>
      </c>
      <c r="I10357">
        <f>IF(DATOS!$I10357="","",IFERROR(VLOOKUP(DATOS!$I10357,CONFIG_ASIGNATURAS!$B$2:$J$91,9,FALSE()),""))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IF(DATOS!$A10358="",0,IF(CONFIG_METADATA!$B$4&lt;&gt;"OR+EX",--(DATOS!$G10358=CONFIG_METADATA!$B$4),IF(DATOS!$G10358="EX",1,IF(DATOS!$G10358="OR",--(COUNTIFS(nNIA,DATOS!$A10358,nCURSO,DATOS!$D10358,nESPEC,DATOS!$E10358,nASIG,DATOS!$I10358,nEVAL,"EX")=0),0))))</f>
      </c>
      <c r="H10358">
        <f>IF(DATOS!$G10358&lt;&gt;"EX",0,--(COUNTIFS(nNIA,DATOS!$A10358,nCURSO,DATOS!$D10358,nESPEC,DATOS!$E10358,nASIG,DATOS!$I10358,nEVAL,"OR")=0))</f>
      </c>
      <c r="I10358">
        <f>IF(DATOS!$I10358="","",IFERROR(VLOOKUP(DATOS!$I10358,CONFIG_ASIGNATURAS!$B$2:$J$91,9,FALSE()),""))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IF(DATOS!$A10359="",0,IF(CONFIG_METADATA!$B$4&lt;&gt;"OR+EX",--(DATOS!$G10359=CONFIG_METADATA!$B$4),IF(DATOS!$G10359="EX",1,IF(DATOS!$G10359="OR",--(COUNTIFS(nNIA,DATOS!$A10359,nCURSO,DATOS!$D10359,nESPEC,DATOS!$E10359,nASIG,DATOS!$I10359,nEVAL,"EX")=0),0))))</f>
      </c>
      <c r="H10359">
        <f>IF(DATOS!$G10359&lt;&gt;"EX",0,--(COUNTIFS(nNIA,DATOS!$A10359,nCURSO,DATOS!$D10359,nESPEC,DATOS!$E10359,nASIG,DATOS!$I10359,nEVAL,"OR")=0))</f>
      </c>
      <c r="I10359">
        <f>IF(DATOS!$I10359="","",IFERROR(VLOOKUP(DATOS!$I10359,CONFIG_ASIGNATURAS!$B$2:$J$91,9,FALSE()),""))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IF(DATOS!$A10360="",0,IF(CONFIG_METADATA!$B$4&lt;&gt;"OR+EX",--(DATOS!$G10360=CONFIG_METADATA!$B$4),IF(DATOS!$G10360="EX",1,IF(DATOS!$G10360="OR",--(COUNTIFS(nNIA,DATOS!$A10360,nCURSO,DATOS!$D10360,nESPEC,DATOS!$E10360,nASIG,DATOS!$I10360,nEVAL,"EX")=0),0))))</f>
      </c>
      <c r="H10360">
        <f>IF(DATOS!$G10360&lt;&gt;"EX",0,--(COUNTIFS(nNIA,DATOS!$A10360,nCURSO,DATOS!$D10360,nESPEC,DATOS!$E10360,nASIG,DATOS!$I10360,nEVAL,"OR")=0))</f>
      </c>
      <c r="I10360">
        <f>IF(DATOS!$I10360="","",IFERROR(VLOOKUP(DATOS!$I10360,CONFIG_ASIGNATURAS!$B$2:$J$91,9,FALSE()),""))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IF(DATOS!$A10361="",0,IF(CONFIG_METADATA!$B$4&lt;&gt;"OR+EX",--(DATOS!$G10361=CONFIG_METADATA!$B$4),IF(DATOS!$G10361="EX",1,IF(DATOS!$G10361="OR",--(COUNTIFS(nNIA,DATOS!$A10361,nCURSO,DATOS!$D10361,nESPEC,DATOS!$E10361,nASIG,DATOS!$I10361,nEVAL,"EX")=0),0))))</f>
      </c>
      <c r="H10361">
        <f>IF(DATOS!$G10361&lt;&gt;"EX",0,--(COUNTIFS(nNIA,DATOS!$A10361,nCURSO,DATOS!$D10361,nESPEC,DATOS!$E10361,nASIG,DATOS!$I10361,nEVAL,"OR")=0))</f>
      </c>
      <c r="I10361">
        <f>IF(DATOS!$I10361="","",IFERROR(VLOOKUP(DATOS!$I10361,CONFIG_ASIGNATURAS!$B$2:$J$91,9,FALSE()),""))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IF(DATOS!$A10362="",0,IF(CONFIG_METADATA!$B$4&lt;&gt;"OR+EX",--(DATOS!$G10362=CONFIG_METADATA!$B$4),IF(DATOS!$G10362="EX",1,IF(DATOS!$G10362="OR",--(COUNTIFS(nNIA,DATOS!$A10362,nCURSO,DATOS!$D10362,nESPEC,DATOS!$E10362,nASIG,DATOS!$I10362,nEVAL,"EX")=0),0))))</f>
      </c>
      <c r="H10362">
        <f>IF(DATOS!$G10362&lt;&gt;"EX",0,--(COUNTIFS(nNIA,DATOS!$A10362,nCURSO,DATOS!$D10362,nESPEC,DATOS!$E10362,nASIG,DATOS!$I10362,nEVAL,"OR")=0))</f>
      </c>
      <c r="I10362">
        <f>IF(DATOS!$I10362="","",IFERROR(VLOOKUP(DATOS!$I10362,CONFIG_ASIGNATURAS!$B$2:$J$91,9,FALSE()),""))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IF(DATOS!$A10363="",0,IF(CONFIG_METADATA!$B$4&lt;&gt;"OR+EX",--(DATOS!$G10363=CONFIG_METADATA!$B$4),IF(DATOS!$G10363="EX",1,IF(DATOS!$G10363="OR",--(COUNTIFS(nNIA,DATOS!$A10363,nCURSO,DATOS!$D10363,nESPEC,DATOS!$E10363,nASIG,DATOS!$I10363,nEVAL,"EX")=0),0))))</f>
      </c>
      <c r="H10363">
        <f>IF(DATOS!$G10363&lt;&gt;"EX",0,--(COUNTIFS(nNIA,DATOS!$A10363,nCURSO,DATOS!$D10363,nESPEC,DATOS!$E10363,nASIG,DATOS!$I10363,nEVAL,"OR")=0))</f>
      </c>
      <c r="I10363">
        <f>IF(DATOS!$I10363="","",IFERROR(VLOOKUP(DATOS!$I10363,CONFIG_ASIGNATURAS!$B$2:$J$91,9,FALSE()),""))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IF(DATOS!$A10364="",0,IF(CONFIG_METADATA!$B$4&lt;&gt;"OR+EX",--(DATOS!$G10364=CONFIG_METADATA!$B$4),IF(DATOS!$G10364="EX",1,IF(DATOS!$G10364="OR",--(COUNTIFS(nNIA,DATOS!$A10364,nCURSO,DATOS!$D10364,nESPEC,DATOS!$E10364,nASIG,DATOS!$I10364,nEVAL,"EX")=0),0))))</f>
      </c>
      <c r="H10364">
        <f>IF(DATOS!$G10364&lt;&gt;"EX",0,--(COUNTIFS(nNIA,DATOS!$A10364,nCURSO,DATOS!$D10364,nESPEC,DATOS!$E10364,nASIG,DATOS!$I10364,nEVAL,"OR")=0))</f>
      </c>
      <c r="I10364">
        <f>IF(DATOS!$I10364="","",IFERROR(VLOOKUP(DATOS!$I10364,CONFIG_ASIGNATURAS!$B$2:$J$91,9,FALSE()),""))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IF(DATOS!$A10365="",0,IF(CONFIG_METADATA!$B$4&lt;&gt;"OR+EX",--(DATOS!$G10365=CONFIG_METADATA!$B$4),IF(DATOS!$G10365="EX",1,IF(DATOS!$G10365="OR",--(COUNTIFS(nNIA,DATOS!$A10365,nCURSO,DATOS!$D10365,nESPEC,DATOS!$E10365,nASIG,DATOS!$I10365,nEVAL,"EX")=0),0))))</f>
      </c>
      <c r="H10365">
        <f>IF(DATOS!$G10365&lt;&gt;"EX",0,--(COUNTIFS(nNIA,DATOS!$A10365,nCURSO,DATOS!$D10365,nESPEC,DATOS!$E10365,nASIG,DATOS!$I10365,nEVAL,"OR")=0))</f>
      </c>
      <c r="I10365">
        <f>IF(DATOS!$I10365="","",IFERROR(VLOOKUP(DATOS!$I10365,CONFIG_ASIGNATURAS!$B$2:$J$91,9,FALSE()),""))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IF(DATOS!$A10366="",0,IF(CONFIG_METADATA!$B$4&lt;&gt;"OR+EX",--(DATOS!$G10366=CONFIG_METADATA!$B$4),IF(DATOS!$G10366="EX",1,IF(DATOS!$G10366="OR",--(COUNTIFS(nNIA,DATOS!$A10366,nCURSO,DATOS!$D10366,nESPEC,DATOS!$E10366,nASIG,DATOS!$I10366,nEVAL,"EX")=0),0))))</f>
      </c>
      <c r="H10366">
        <f>IF(DATOS!$G10366&lt;&gt;"EX",0,--(COUNTIFS(nNIA,DATOS!$A10366,nCURSO,DATOS!$D10366,nESPEC,DATOS!$E10366,nASIG,DATOS!$I10366,nEVAL,"OR")=0))</f>
      </c>
      <c r="I10366">
        <f>IF(DATOS!$I10366="","",IFERROR(VLOOKUP(DATOS!$I10366,CONFIG_ASIGNATURAS!$B$2:$J$91,9,FALSE()),""))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IF(DATOS!$A10367="",0,IF(CONFIG_METADATA!$B$4&lt;&gt;"OR+EX",--(DATOS!$G10367=CONFIG_METADATA!$B$4),IF(DATOS!$G10367="EX",1,IF(DATOS!$G10367="OR",--(COUNTIFS(nNIA,DATOS!$A10367,nCURSO,DATOS!$D10367,nESPEC,DATOS!$E10367,nASIG,DATOS!$I10367,nEVAL,"EX")=0),0))))</f>
      </c>
      <c r="H10367">
        <f>IF(DATOS!$G10367&lt;&gt;"EX",0,--(COUNTIFS(nNIA,DATOS!$A10367,nCURSO,DATOS!$D10367,nESPEC,DATOS!$E10367,nASIG,DATOS!$I10367,nEVAL,"OR")=0))</f>
      </c>
      <c r="I10367">
        <f>IF(DATOS!$I10367="","",IFERROR(VLOOKUP(DATOS!$I10367,CONFIG_ASIGNATURAS!$B$2:$J$91,9,FALSE()),""))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IF(DATOS!$A10368="",0,IF(CONFIG_METADATA!$B$4&lt;&gt;"OR+EX",--(DATOS!$G10368=CONFIG_METADATA!$B$4),IF(DATOS!$G10368="EX",1,IF(DATOS!$G10368="OR",--(COUNTIFS(nNIA,DATOS!$A10368,nCURSO,DATOS!$D10368,nESPEC,DATOS!$E10368,nASIG,DATOS!$I10368,nEVAL,"EX")=0),0))))</f>
      </c>
      <c r="H10368">
        <f>IF(DATOS!$G10368&lt;&gt;"EX",0,--(COUNTIFS(nNIA,DATOS!$A10368,nCURSO,DATOS!$D10368,nESPEC,DATOS!$E10368,nASIG,DATOS!$I10368,nEVAL,"OR")=0))</f>
      </c>
      <c r="I10368">
        <f>IF(DATOS!$I10368="","",IFERROR(VLOOKUP(DATOS!$I10368,CONFIG_ASIGNATURAS!$B$2:$J$91,9,FALSE()),""))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IF(DATOS!$A10369="",0,IF(CONFIG_METADATA!$B$4&lt;&gt;"OR+EX",--(DATOS!$G10369=CONFIG_METADATA!$B$4),IF(DATOS!$G10369="EX",1,IF(DATOS!$G10369="OR",--(COUNTIFS(nNIA,DATOS!$A10369,nCURSO,DATOS!$D10369,nESPEC,DATOS!$E10369,nASIG,DATOS!$I10369,nEVAL,"EX")=0),0))))</f>
      </c>
      <c r="H10369">
        <f>IF(DATOS!$G10369&lt;&gt;"EX",0,--(COUNTIFS(nNIA,DATOS!$A10369,nCURSO,DATOS!$D10369,nESPEC,DATOS!$E10369,nASIG,DATOS!$I10369,nEVAL,"OR")=0))</f>
      </c>
      <c r="I10369">
        <f>IF(DATOS!$I10369="","",IFERROR(VLOOKUP(DATOS!$I10369,CONFIG_ASIGNATURAS!$B$2:$J$91,9,FALSE()),""))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IF(DATOS!$A10370="",0,IF(CONFIG_METADATA!$B$4&lt;&gt;"OR+EX",--(DATOS!$G10370=CONFIG_METADATA!$B$4),IF(DATOS!$G10370="EX",1,IF(DATOS!$G10370="OR",--(COUNTIFS(nNIA,DATOS!$A10370,nCURSO,DATOS!$D10370,nESPEC,DATOS!$E10370,nASIG,DATOS!$I10370,nEVAL,"EX")=0),0))))</f>
      </c>
      <c r="H10370">
        <f>IF(DATOS!$G10370&lt;&gt;"EX",0,--(COUNTIFS(nNIA,DATOS!$A10370,nCURSO,DATOS!$D10370,nESPEC,DATOS!$E10370,nASIG,DATOS!$I10370,nEVAL,"OR")=0))</f>
      </c>
      <c r="I10370">
        <f>IF(DATOS!$I10370="","",IFERROR(VLOOKUP(DATOS!$I10370,CONFIG_ASIGNATURAS!$B$2:$J$91,9,FALSE()),""))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IF(DATOS!$A10371="",0,IF(CONFIG_METADATA!$B$4&lt;&gt;"OR+EX",--(DATOS!$G10371=CONFIG_METADATA!$B$4),IF(DATOS!$G10371="EX",1,IF(DATOS!$G10371="OR",--(COUNTIFS(nNIA,DATOS!$A10371,nCURSO,DATOS!$D10371,nESPEC,DATOS!$E10371,nASIG,DATOS!$I10371,nEVAL,"EX")=0),0))))</f>
      </c>
      <c r="H10371">
        <f>IF(DATOS!$G10371&lt;&gt;"EX",0,--(COUNTIFS(nNIA,DATOS!$A10371,nCURSO,DATOS!$D10371,nESPEC,DATOS!$E10371,nASIG,DATOS!$I10371,nEVAL,"OR")=0))</f>
      </c>
      <c r="I10371">
        <f>IF(DATOS!$I10371="","",IFERROR(VLOOKUP(DATOS!$I10371,CONFIG_ASIGNATURAS!$B$2:$J$91,9,FALSE()),""))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IF(DATOS!$A10372="",0,IF(CONFIG_METADATA!$B$4&lt;&gt;"OR+EX",--(DATOS!$G10372=CONFIG_METADATA!$B$4),IF(DATOS!$G10372="EX",1,IF(DATOS!$G10372="OR",--(COUNTIFS(nNIA,DATOS!$A10372,nCURSO,DATOS!$D10372,nESPEC,DATOS!$E10372,nASIG,DATOS!$I10372,nEVAL,"EX")=0),0))))</f>
      </c>
      <c r="H10372">
        <f>IF(DATOS!$G10372&lt;&gt;"EX",0,--(COUNTIFS(nNIA,DATOS!$A10372,nCURSO,DATOS!$D10372,nESPEC,DATOS!$E10372,nASIG,DATOS!$I10372,nEVAL,"OR")=0))</f>
      </c>
      <c r="I10372">
        <f>IF(DATOS!$I10372="","",IFERROR(VLOOKUP(DATOS!$I10372,CONFIG_ASIGNATURAS!$B$2:$J$91,9,FALSE()),""))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IF(DATOS!$A10373="",0,IF(CONFIG_METADATA!$B$4&lt;&gt;"OR+EX",--(DATOS!$G10373=CONFIG_METADATA!$B$4),IF(DATOS!$G10373="EX",1,IF(DATOS!$G10373="OR",--(COUNTIFS(nNIA,DATOS!$A10373,nCURSO,DATOS!$D10373,nESPEC,DATOS!$E10373,nASIG,DATOS!$I10373,nEVAL,"EX")=0),0))))</f>
      </c>
      <c r="H10373">
        <f>IF(DATOS!$G10373&lt;&gt;"EX",0,--(COUNTIFS(nNIA,DATOS!$A10373,nCURSO,DATOS!$D10373,nESPEC,DATOS!$E10373,nASIG,DATOS!$I10373,nEVAL,"OR")=0))</f>
      </c>
      <c r="I10373">
        <f>IF(DATOS!$I10373="","",IFERROR(VLOOKUP(DATOS!$I10373,CONFIG_ASIGNATURAS!$B$2:$J$91,9,FALSE()),""))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IF(DATOS!$A10374="",0,IF(CONFIG_METADATA!$B$4&lt;&gt;"OR+EX",--(DATOS!$G10374=CONFIG_METADATA!$B$4),IF(DATOS!$G10374="EX",1,IF(DATOS!$G10374="OR",--(COUNTIFS(nNIA,DATOS!$A10374,nCURSO,DATOS!$D10374,nESPEC,DATOS!$E10374,nASIG,DATOS!$I10374,nEVAL,"EX")=0),0))))</f>
      </c>
      <c r="H10374">
        <f>IF(DATOS!$G10374&lt;&gt;"EX",0,--(COUNTIFS(nNIA,DATOS!$A10374,nCURSO,DATOS!$D10374,nESPEC,DATOS!$E10374,nASIG,DATOS!$I10374,nEVAL,"OR")=0))</f>
      </c>
      <c r="I10374">
        <f>IF(DATOS!$I10374="","",IFERROR(VLOOKUP(DATOS!$I10374,CONFIG_ASIGNATURAS!$B$2:$J$91,9,FALSE()),""))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IF(DATOS!$A10375="",0,IF(CONFIG_METADATA!$B$4&lt;&gt;"OR+EX",--(DATOS!$G10375=CONFIG_METADATA!$B$4),IF(DATOS!$G10375="EX",1,IF(DATOS!$G10375="OR",--(COUNTIFS(nNIA,DATOS!$A10375,nCURSO,DATOS!$D10375,nESPEC,DATOS!$E10375,nASIG,DATOS!$I10375,nEVAL,"EX")=0),0))))</f>
      </c>
      <c r="H10375">
        <f>IF(DATOS!$G10375&lt;&gt;"EX",0,--(COUNTIFS(nNIA,DATOS!$A10375,nCURSO,DATOS!$D10375,nESPEC,DATOS!$E10375,nASIG,DATOS!$I10375,nEVAL,"OR")=0))</f>
      </c>
      <c r="I10375">
        <f>IF(DATOS!$I10375="","",IFERROR(VLOOKUP(DATOS!$I10375,CONFIG_ASIGNATURAS!$B$2:$J$91,9,FALSE()),""))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IF(DATOS!$A10376="",0,IF(CONFIG_METADATA!$B$4&lt;&gt;"OR+EX",--(DATOS!$G10376=CONFIG_METADATA!$B$4),IF(DATOS!$G10376="EX",1,IF(DATOS!$G10376="OR",--(COUNTIFS(nNIA,DATOS!$A10376,nCURSO,DATOS!$D10376,nESPEC,DATOS!$E10376,nASIG,DATOS!$I10376,nEVAL,"EX")=0),0))))</f>
      </c>
      <c r="H10376">
        <f>IF(DATOS!$G10376&lt;&gt;"EX",0,--(COUNTIFS(nNIA,DATOS!$A10376,nCURSO,DATOS!$D10376,nESPEC,DATOS!$E10376,nASIG,DATOS!$I10376,nEVAL,"OR")=0))</f>
      </c>
      <c r="I10376">
        <f>IF(DATOS!$I10376="","",IFERROR(VLOOKUP(DATOS!$I10376,CONFIG_ASIGNATURAS!$B$2:$J$91,9,FALSE()),""))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IF(DATOS!$A10377="",0,IF(CONFIG_METADATA!$B$4&lt;&gt;"OR+EX",--(DATOS!$G10377=CONFIG_METADATA!$B$4),IF(DATOS!$G10377="EX",1,IF(DATOS!$G10377="OR",--(COUNTIFS(nNIA,DATOS!$A10377,nCURSO,DATOS!$D10377,nESPEC,DATOS!$E10377,nASIG,DATOS!$I10377,nEVAL,"EX")=0),0))))</f>
      </c>
      <c r="H10377">
        <f>IF(DATOS!$G10377&lt;&gt;"EX",0,--(COUNTIFS(nNIA,DATOS!$A10377,nCURSO,DATOS!$D10377,nESPEC,DATOS!$E10377,nASIG,DATOS!$I10377,nEVAL,"OR")=0))</f>
      </c>
      <c r="I10377">
        <f>IF(DATOS!$I10377="","",IFERROR(VLOOKUP(DATOS!$I10377,CONFIG_ASIGNATURAS!$B$2:$J$91,9,FALSE()),""))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IF(DATOS!$A10378="",0,IF(CONFIG_METADATA!$B$4&lt;&gt;"OR+EX",--(DATOS!$G10378=CONFIG_METADATA!$B$4),IF(DATOS!$G10378="EX",1,IF(DATOS!$G10378="OR",--(COUNTIFS(nNIA,DATOS!$A10378,nCURSO,DATOS!$D10378,nESPEC,DATOS!$E10378,nASIG,DATOS!$I10378,nEVAL,"EX")=0),0))))</f>
      </c>
      <c r="H10378">
        <f>IF(DATOS!$G10378&lt;&gt;"EX",0,--(COUNTIFS(nNIA,DATOS!$A10378,nCURSO,DATOS!$D10378,nESPEC,DATOS!$E10378,nASIG,DATOS!$I10378,nEVAL,"OR")=0))</f>
      </c>
      <c r="I10378">
        <f>IF(DATOS!$I10378="","",IFERROR(VLOOKUP(DATOS!$I10378,CONFIG_ASIGNATURAS!$B$2:$J$91,9,FALSE()),""))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IF(DATOS!$A10379="",0,IF(CONFIG_METADATA!$B$4&lt;&gt;"OR+EX",--(DATOS!$G10379=CONFIG_METADATA!$B$4),IF(DATOS!$G10379="EX",1,IF(DATOS!$G10379="OR",--(COUNTIFS(nNIA,DATOS!$A10379,nCURSO,DATOS!$D10379,nESPEC,DATOS!$E10379,nASIG,DATOS!$I10379,nEVAL,"EX")=0),0))))</f>
      </c>
      <c r="H10379">
        <f>IF(DATOS!$G10379&lt;&gt;"EX",0,--(COUNTIFS(nNIA,DATOS!$A10379,nCURSO,DATOS!$D10379,nESPEC,DATOS!$E10379,nASIG,DATOS!$I10379,nEVAL,"OR")=0))</f>
      </c>
      <c r="I10379">
        <f>IF(DATOS!$I10379="","",IFERROR(VLOOKUP(DATOS!$I10379,CONFIG_ASIGNATURAS!$B$2:$J$91,9,FALSE()),""))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IF(DATOS!$A10380="",0,IF(CONFIG_METADATA!$B$4&lt;&gt;"OR+EX",--(DATOS!$G10380=CONFIG_METADATA!$B$4),IF(DATOS!$G10380="EX",1,IF(DATOS!$G10380="OR",--(COUNTIFS(nNIA,DATOS!$A10380,nCURSO,DATOS!$D10380,nESPEC,DATOS!$E10380,nASIG,DATOS!$I10380,nEVAL,"EX")=0),0))))</f>
      </c>
      <c r="H10380">
        <f>IF(DATOS!$G10380&lt;&gt;"EX",0,--(COUNTIFS(nNIA,DATOS!$A10380,nCURSO,DATOS!$D10380,nESPEC,DATOS!$E10380,nASIG,DATOS!$I10380,nEVAL,"OR")=0))</f>
      </c>
      <c r="I10380">
        <f>IF(DATOS!$I10380="","",IFERROR(VLOOKUP(DATOS!$I10380,CONFIG_ASIGNATURAS!$B$2:$J$91,9,FALSE()),""))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IF(DATOS!$A10381="",0,IF(CONFIG_METADATA!$B$4&lt;&gt;"OR+EX",--(DATOS!$G10381=CONFIG_METADATA!$B$4),IF(DATOS!$G10381="EX",1,IF(DATOS!$G10381="OR",--(COUNTIFS(nNIA,DATOS!$A10381,nCURSO,DATOS!$D10381,nESPEC,DATOS!$E10381,nASIG,DATOS!$I10381,nEVAL,"EX")=0),0))))</f>
      </c>
      <c r="H10381">
        <f>IF(DATOS!$G10381&lt;&gt;"EX",0,--(COUNTIFS(nNIA,DATOS!$A10381,nCURSO,DATOS!$D10381,nESPEC,DATOS!$E10381,nASIG,DATOS!$I10381,nEVAL,"OR")=0))</f>
      </c>
      <c r="I10381">
        <f>IF(DATOS!$I10381="","",IFERROR(VLOOKUP(DATOS!$I10381,CONFIG_ASIGNATURAS!$B$2:$J$91,9,FALSE()),""))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IF(DATOS!$A10382="",0,IF(CONFIG_METADATA!$B$4&lt;&gt;"OR+EX",--(DATOS!$G10382=CONFIG_METADATA!$B$4),IF(DATOS!$G10382="EX",1,IF(DATOS!$G10382="OR",--(COUNTIFS(nNIA,DATOS!$A10382,nCURSO,DATOS!$D10382,nESPEC,DATOS!$E10382,nASIG,DATOS!$I10382,nEVAL,"EX")=0),0))))</f>
      </c>
      <c r="H10382">
        <f>IF(DATOS!$G10382&lt;&gt;"EX",0,--(COUNTIFS(nNIA,DATOS!$A10382,nCURSO,DATOS!$D10382,nESPEC,DATOS!$E10382,nASIG,DATOS!$I10382,nEVAL,"OR")=0))</f>
      </c>
      <c r="I10382">
        <f>IF(DATOS!$I10382="","",IFERROR(VLOOKUP(DATOS!$I10382,CONFIG_ASIGNATURAS!$B$2:$J$91,9,FALSE()),""))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IF(DATOS!$A10383="",0,IF(CONFIG_METADATA!$B$4&lt;&gt;"OR+EX",--(DATOS!$G10383=CONFIG_METADATA!$B$4),IF(DATOS!$G10383="EX",1,IF(DATOS!$G10383="OR",--(COUNTIFS(nNIA,DATOS!$A10383,nCURSO,DATOS!$D10383,nESPEC,DATOS!$E10383,nASIG,DATOS!$I10383,nEVAL,"EX")=0),0))))</f>
      </c>
      <c r="H10383">
        <f>IF(DATOS!$G10383&lt;&gt;"EX",0,--(COUNTIFS(nNIA,DATOS!$A10383,nCURSO,DATOS!$D10383,nESPEC,DATOS!$E10383,nASIG,DATOS!$I10383,nEVAL,"OR")=0))</f>
      </c>
      <c r="I10383">
        <f>IF(DATOS!$I10383="","",IFERROR(VLOOKUP(DATOS!$I10383,CONFIG_ASIGNATURAS!$B$2:$J$91,9,FALSE()),""))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IF(DATOS!$A10384="",0,IF(CONFIG_METADATA!$B$4&lt;&gt;"OR+EX",--(DATOS!$G10384=CONFIG_METADATA!$B$4),IF(DATOS!$G10384="EX",1,IF(DATOS!$G10384="OR",--(COUNTIFS(nNIA,DATOS!$A10384,nCURSO,DATOS!$D10384,nESPEC,DATOS!$E10384,nASIG,DATOS!$I10384,nEVAL,"EX")=0),0))))</f>
      </c>
      <c r="H10384">
        <f>IF(DATOS!$G10384&lt;&gt;"EX",0,--(COUNTIFS(nNIA,DATOS!$A10384,nCURSO,DATOS!$D10384,nESPEC,DATOS!$E10384,nASIG,DATOS!$I10384,nEVAL,"OR")=0))</f>
      </c>
      <c r="I10384">
        <f>IF(DATOS!$I10384="","",IFERROR(VLOOKUP(DATOS!$I10384,CONFIG_ASIGNATURAS!$B$2:$J$91,9,FALSE()),""))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IF(DATOS!$A10385="",0,IF(CONFIG_METADATA!$B$4&lt;&gt;"OR+EX",--(DATOS!$G10385=CONFIG_METADATA!$B$4),IF(DATOS!$G10385="EX",1,IF(DATOS!$G10385="OR",--(COUNTIFS(nNIA,DATOS!$A10385,nCURSO,DATOS!$D10385,nESPEC,DATOS!$E10385,nASIG,DATOS!$I10385,nEVAL,"EX")=0),0))))</f>
      </c>
      <c r="H10385">
        <f>IF(DATOS!$G10385&lt;&gt;"EX",0,--(COUNTIFS(nNIA,DATOS!$A10385,nCURSO,DATOS!$D10385,nESPEC,DATOS!$E10385,nASIG,DATOS!$I10385,nEVAL,"OR")=0))</f>
      </c>
      <c r="I10385">
        <f>IF(DATOS!$I10385="","",IFERROR(VLOOKUP(DATOS!$I10385,CONFIG_ASIGNATURAS!$B$2:$J$91,9,FALSE()),""))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IF(DATOS!$A10386="",0,IF(CONFIG_METADATA!$B$4&lt;&gt;"OR+EX",--(DATOS!$G10386=CONFIG_METADATA!$B$4),IF(DATOS!$G10386="EX",1,IF(DATOS!$G10386="OR",--(COUNTIFS(nNIA,DATOS!$A10386,nCURSO,DATOS!$D10386,nESPEC,DATOS!$E10386,nASIG,DATOS!$I10386,nEVAL,"EX")=0),0))))</f>
      </c>
      <c r="H10386">
        <f>IF(DATOS!$G10386&lt;&gt;"EX",0,--(COUNTIFS(nNIA,DATOS!$A10386,nCURSO,DATOS!$D10386,nESPEC,DATOS!$E10386,nASIG,DATOS!$I10386,nEVAL,"OR")=0))</f>
      </c>
      <c r="I10386">
        <f>IF(DATOS!$I10386="","",IFERROR(VLOOKUP(DATOS!$I10386,CONFIG_ASIGNATURAS!$B$2:$J$91,9,FALSE()),""))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IF(DATOS!$A10387="",0,IF(CONFIG_METADATA!$B$4&lt;&gt;"OR+EX",--(DATOS!$G10387=CONFIG_METADATA!$B$4),IF(DATOS!$G10387="EX",1,IF(DATOS!$G10387="OR",--(COUNTIFS(nNIA,DATOS!$A10387,nCURSO,DATOS!$D10387,nESPEC,DATOS!$E10387,nASIG,DATOS!$I10387,nEVAL,"EX")=0),0))))</f>
      </c>
      <c r="H10387">
        <f>IF(DATOS!$G10387&lt;&gt;"EX",0,--(COUNTIFS(nNIA,DATOS!$A10387,nCURSO,DATOS!$D10387,nESPEC,DATOS!$E10387,nASIG,DATOS!$I10387,nEVAL,"OR")=0))</f>
      </c>
      <c r="I10387">
        <f>IF(DATOS!$I10387="","",IFERROR(VLOOKUP(DATOS!$I10387,CONFIG_ASIGNATURAS!$B$2:$J$91,9,FALSE()),""))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IF(DATOS!$A10388="",0,IF(CONFIG_METADATA!$B$4&lt;&gt;"OR+EX",--(DATOS!$G10388=CONFIG_METADATA!$B$4),IF(DATOS!$G10388="EX",1,IF(DATOS!$G10388="OR",--(COUNTIFS(nNIA,DATOS!$A10388,nCURSO,DATOS!$D10388,nESPEC,DATOS!$E10388,nASIG,DATOS!$I10388,nEVAL,"EX")=0),0))))</f>
      </c>
      <c r="H10388">
        <f>IF(DATOS!$G10388&lt;&gt;"EX",0,--(COUNTIFS(nNIA,DATOS!$A10388,nCURSO,DATOS!$D10388,nESPEC,DATOS!$E10388,nASIG,DATOS!$I10388,nEVAL,"OR")=0))</f>
      </c>
      <c r="I10388">
        <f>IF(DATOS!$I10388="","",IFERROR(VLOOKUP(DATOS!$I10388,CONFIG_ASIGNATURAS!$B$2:$J$91,9,FALSE()),""))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IF(DATOS!$A10389="",0,IF(CONFIG_METADATA!$B$4&lt;&gt;"OR+EX",--(DATOS!$G10389=CONFIG_METADATA!$B$4),IF(DATOS!$G10389="EX",1,IF(DATOS!$G10389="OR",--(COUNTIFS(nNIA,DATOS!$A10389,nCURSO,DATOS!$D10389,nESPEC,DATOS!$E10389,nASIG,DATOS!$I10389,nEVAL,"EX")=0),0))))</f>
      </c>
      <c r="H10389">
        <f>IF(DATOS!$G10389&lt;&gt;"EX",0,--(COUNTIFS(nNIA,DATOS!$A10389,nCURSO,DATOS!$D10389,nESPEC,DATOS!$E10389,nASIG,DATOS!$I10389,nEVAL,"OR")=0))</f>
      </c>
      <c r="I10389">
        <f>IF(DATOS!$I10389="","",IFERROR(VLOOKUP(DATOS!$I10389,CONFIG_ASIGNATURAS!$B$2:$J$91,9,FALSE()),""))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IF(DATOS!$A10390="",0,IF(CONFIG_METADATA!$B$4&lt;&gt;"OR+EX",--(DATOS!$G10390=CONFIG_METADATA!$B$4),IF(DATOS!$G10390="EX",1,IF(DATOS!$G10390="OR",--(COUNTIFS(nNIA,DATOS!$A10390,nCURSO,DATOS!$D10390,nESPEC,DATOS!$E10390,nASIG,DATOS!$I10390,nEVAL,"EX")=0),0))))</f>
      </c>
      <c r="H10390">
        <f>IF(DATOS!$G10390&lt;&gt;"EX",0,--(COUNTIFS(nNIA,DATOS!$A10390,nCURSO,DATOS!$D10390,nESPEC,DATOS!$E10390,nASIG,DATOS!$I10390,nEVAL,"OR")=0))</f>
      </c>
      <c r="I10390">
        <f>IF(DATOS!$I10390="","",IFERROR(VLOOKUP(DATOS!$I10390,CONFIG_ASIGNATURAS!$B$2:$J$91,9,FALSE()),""))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IF(DATOS!$A10391="",0,IF(CONFIG_METADATA!$B$4&lt;&gt;"OR+EX",--(DATOS!$G10391=CONFIG_METADATA!$B$4),IF(DATOS!$G10391="EX",1,IF(DATOS!$G10391="OR",--(COUNTIFS(nNIA,DATOS!$A10391,nCURSO,DATOS!$D10391,nESPEC,DATOS!$E10391,nASIG,DATOS!$I10391,nEVAL,"EX")=0),0))))</f>
      </c>
      <c r="H10391">
        <f>IF(DATOS!$G10391&lt;&gt;"EX",0,--(COUNTIFS(nNIA,DATOS!$A10391,nCURSO,DATOS!$D10391,nESPEC,DATOS!$E10391,nASIG,DATOS!$I10391,nEVAL,"OR")=0))</f>
      </c>
      <c r="I10391">
        <f>IF(DATOS!$I10391="","",IFERROR(VLOOKUP(DATOS!$I10391,CONFIG_ASIGNATURAS!$B$2:$J$91,9,FALSE()),""))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IF(DATOS!$A10392="",0,IF(CONFIG_METADATA!$B$4&lt;&gt;"OR+EX",--(DATOS!$G10392=CONFIG_METADATA!$B$4),IF(DATOS!$G10392="EX",1,IF(DATOS!$G10392="OR",--(COUNTIFS(nNIA,DATOS!$A10392,nCURSO,DATOS!$D10392,nESPEC,DATOS!$E10392,nASIG,DATOS!$I10392,nEVAL,"EX")=0),0))))</f>
      </c>
      <c r="H10392">
        <f>IF(DATOS!$G10392&lt;&gt;"EX",0,--(COUNTIFS(nNIA,DATOS!$A10392,nCURSO,DATOS!$D10392,nESPEC,DATOS!$E10392,nASIG,DATOS!$I10392,nEVAL,"OR")=0))</f>
      </c>
      <c r="I10392">
        <f>IF(DATOS!$I10392="","",IFERROR(VLOOKUP(DATOS!$I10392,CONFIG_ASIGNATURAS!$B$2:$J$91,9,FALSE()),""))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IF(DATOS!$A10393="",0,IF(CONFIG_METADATA!$B$4&lt;&gt;"OR+EX",--(DATOS!$G10393=CONFIG_METADATA!$B$4),IF(DATOS!$G10393="EX",1,IF(DATOS!$G10393="OR",--(COUNTIFS(nNIA,DATOS!$A10393,nCURSO,DATOS!$D10393,nESPEC,DATOS!$E10393,nASIG,DATOS!$I10393,nEVAL,"EX")=0),0))))</f>
      </c>
      <c r="H10393">
        <f>IF(DATOS!$G10393&lt;&gt;"EX",0,--(COUNTIFS(nNIA,DATOS!$A10393,nCURSO,DATOS!$D10393,nESPEC,DATOS!$E10393,nASIG,DATOS!$I10393,nEVAL,"OR")=0))</f>
      </c>
      <c r="I10393">
        <f>IF(DATOS!$I10393="","",IFERROR(VLOOKUP(DATOS!$I10393,CONFIG_ASIGNATURAS!$B$2:$J$91,9,FALSE()),""))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IF(DATOS!$A10394="",0,IF(CONFIG_METADATA!$B$4&lt;&gt;"OR+EX",--(DATOS!$G10394=CONFIG_METADATA!$B$4),IF(DATOS!$G10394="EX",1,IF(DATOS!$G10394="OR",--(COUNTIFS(nNIA,DATOS!$A10394,nCURSO,DATOS!$D10394,nESPEC,DATOS!$E10394,nASIG,DATOS!$I10394,nEVAL,"EX")=0),0))))</f>
      </c>
      <c r="H10394">
        <f>IF(DATOS!$G10394&lt;&gt;"EX",0,--(COUNTIFS(nNIA,DATOS!$A10394,nCURSO,DATOS!$D10394,nESPEC,DATOS!$E10394,nASIG,DATOS!$I10394,nEVAL,"OR")=0))</f>
      </c>
      <c r="I10394">
        <f>IF(DATOS!$I10394="","",IFERROR(VLOOKUP(DATOS!$I10394,CONFIG_ASIGNATURAS!$B$2:$J$91,9,FALSE()),""))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IF(DATOS!$A10395="",0,IF(CONFIG_METADATA!$B$4&lt;&gt;"OR+EX",--(DATOS!$G10395=CONFIG_METADATA!$B$4),IF(DATOS!$G10395="EX",1,IF(DATOS!$G10395="OR",--(COUNTIFS(nNIA,DATOS!$A10395,nCURSO,DATOS!$D10395,nESPEC,DATOS!$E10395,nASIG,DATOS!$I10395,nEVAL,"EX")=0),0))))</f>
      </c>
      <c r="H10395">
        <f>IF(DATOS!$G10395&lt;&gt;"EX",0,--(COUNTIFS(nNIA,DATOS!$A10395,nCURSO,DATOS!$D10395,nESPEC,DATOS!$E10395,nASIG,DATOS!$I10395,nEVAL,"OR")=0))</f>
      </c>
      <c r="I10395">
        <f>IF(DATOS!$I10395="","",IFERROR(VLOOKUP(DATOS!$I10395,CONFIG_ASIGNATURAS!$B$2:$J$91,9,FALSE()),""))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IF(DATOS!$A10396="",0,IF(CONFIG_METADATA!$B$4&lt;&gt;"OR+EX",--(DATOS!$G10396=CONFIG_METADATA!$B$4),IF(DATOS!$G10396="EX",1,IF(DATOS!$G10396="OR",--(COUNTIFS(nNIA,DATOS!$A10396,nCURSO,DATOS!$D10396,nESPEC,DATOS!$E10396,nASIG,DATOS!$I10396,nEVAL,"EX")=0),0))))</f>
      </c>
      <c r="H10396">
        <f>IF(DATOS!$G10396&lt;&gt;"EX",0,--(COUNTIFS(nNIA,DATOS!$A10396,nCURSO,DATOS!$D10396,nESPEC,DATOS!$E10396,nASIG,DATOS!$I10396,nEVAL,"OR")=0))</f>
      </c>
      <c r="I10396">
        <f>IF(DATOS!$I10396="","",IFERROR(VLOOKUP(DATOS!$I10396,CONFIG_ASIGNATURAS!$B$2:$J$91,9,FALSE()),""))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IF(DATOS!$A10397="",0,IF(CONFIG_METADATA!$B$4&lt;&gt;"OR+EX",--(DATOS!$G10397=CONFIG_METADATA!$B$4),IF(DATOS!$G10397="EX",1,IF(DATOS!$G10397="OR",--(COUNTIFS(nNIA,DATOS!$A10397,nCURSO,DATOS!$D10397,nESPEC,DATOS!$E10397,nASIG,DATOS!$I10397,nEVAL,"EX")=0),0))))</f>
      </c>
      <c r="H10397">
        <f>IF(DATOS!$G10397&lt;&gt;"EX",0,--(COUNTIFS(nNIA,DATOS!$A10397,nCURSO,DATOS!$D10397,nESPEC,DATOS!$E10397,nASIG,DATOS!$I10397,nEVAL,"OR")=0))</f>
      </c>
      <c r="I10397">
        <f>IF(DATOS!$I10397="","",IFERROR(VLOOKUP(DATOS!$I10397,CONFIG_ASIGNATURAS!$B$2:$J$91,9,FALSE()),""))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IF(DATOS!$A10398="",0,IF(CONFIG_METADATA!$B$4&lt;&gt;"OR+EX",--(DATOS!$G10398=CONFIG_METADATA!$B$4),IF(DATOS!$G10398="EX",1,IF(DATOS!$G10398="OR",--(COUNTIFS(nNIA,DATOS!$A10398,nCURSO,DATOS!$D10398,nESPEC,DATOS!$E10398,nASIG,DATOS!$I10398,nEVAL,"EX")=0),0))))</f>
      </c>
      <c r="H10398">
        <f>IF(DATOS!$G10398&lt;&gt;"EX",0,--(COUNTIFS(nNIA,DATOS!$A10398,nCURSO,DATOS!$D10398,nESPEC,DATOS!$E10398,nASIG,DATOS!$I10398,nEVAL,"OR")=0))</f>
      </c>
      <c r="I10398">
        <f>IF(DATOS!$I10398="","",IFERROR(VLOOKUP(DATOS!$I10398,CONFIG_ASIGNATURAS!$B$2:$J$91,9,FALSE()),""))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IF(DATOS!$A10399="",0,IF(CONFIG_METADATA!$B$4&lt;&gt;"OR+EX",--(DATOS!$G10399=CONFIG_METADATA!$B$4),IF(DATOS!$G10399="EX",1,IF(DATOS!$G10399="OR",--(COUNTIFS(nNIA,DATOS!$A10399,nCURSO,DATOS!$D10399,nESPEC,DATOS!$E10399,nASIG,DATOS!$I10399,nEVAL,"EX")=0),0))))</f>
      </c>
      <c r="H10399">
        <f>IF(DATOS!$G10399&lt;&gt;"EX",0,--(COUNTIFS(nNIA,DATOS!$A10399,nCURSO,DATOS!$D10399,nESPEC,DATOS!$E10399,nASIG,DATOS!$I10399,nEVAL,"OR")=0))</f>
      </c>
      <c r="I10399">
        <f>IF(DATOS!$I10399="","",IFERROR(VLOOKUP(DATOS!$I10399,CONFIG_ASIGNATURAS!$B$2:$J$91,9,FALSE()),""))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IF(DATOS!$A10400="",0,IF(CONFIG_METADATA!$B$4&lt;&gt;"OR+EX",--(DATOS!$G10400=CONFIG_METADATA!$B$4),IF(DATOS!$G10400="EX",1,IF(DATOS!$G10400="OR",--(COUNTIFS(nNIA,DATOS!$A10400,nCURSO,DATOS!$D10400,nESPEC,DATOS!$E10400,nASIG,DATOS!$I10400,nEVAL,"EX")=0),0))))</f>
      </c>
      <c r="H10400">
        <f>IF(DATOS!$G10400&lt;&gt;"EX",0,--(COUNTIFS(nNIA,DATOS!$A10400,nCURSO,DATOS!$D10400,nESPEC,DATOS!$E10400,nASIG,DATOS!$I10400,nEVAL,"OR")=0))</f>
      </c>
      <c r="I10400">
        <f>IF(DATOS!$I10400="","",IFERROR(VLOOKUP(DATOS!$I10400,CONFIG_ASIGNATURAS!$B$2:$J$91,9,FALSE()),""))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IF(DATOS!$A10401="",0,IF(CONFIG_METADATA!$B$4&lt;&gt;"OR+EX",--(DATOS!$G10401=CONFIG_METADATA!$B$4),IF(DATOS!$G10401="EX",1,IF(DATOS!$G10401="OR",--(COUNTIFS(nNIA,DATOS!$A10401,nCURSO,DATOS!$D10401,nESPEC,DATOS!$E10401,nASIG,DATOS!$I10401,nEVAL,"EX")=0),0))))</f>
      </c>
      <c r="H10401">
        <f>IF(DATOS!$G10401&lt;&gt;"EX",0,--(COUNTIFS(nNIA,DATOS!$A10401,nCURSO,DATOS!$D10401,nESPEC,DATOS!$E10401,nASIG,DATOS!$I10401,nEVAL,"OR")=0))</f>
      </c>
      <c r="I10401">
        <f>IF(DATOS!$I10401="","",IFERROR(VLOOKUP(DATOS!$I10401,CONFIG_ASIGNATURAS!$B$2:$J$91,9,FALSE()),""))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IF(DATOS!$A10402="",0,IF(CONFIG_METADATA!$B$4&lt;&gt;"OR+EX",--(DATOS!$G10402=CONFIG_METADATA!$B$4),IF(DATOS!$G10402="EX",1,IF(DATOS!$G10402="OR",--(COUNTIFS(nNIA,DATOS!$A10402,nCURSO,DATOS!$D10402,nESPEC,DATOS!$E10402,nASIG,DATOS!$I10402,nEVAL,"EX")=0),0))))</f>
      </c>
      <c r="H10402">
        <f>IF(DATOS!$G10402&lt;&gt;"EX",0,--(COUNTIFS(nNIA,DATOS!$A10402,nCURSO,DATOS!$D10402,nESPEC,DATOS!$E10402,nASIG,DATOS!$I10402,nEVAL,"OR")=0))</f>
      </c>
      <c r="I10402">
        <f>IF(DATOS!$I10402="","",IFERROR(VLOOKUP(DATOS!$I10402,CONFIG_ASIGNATURAS!$B$2:$J$91,9,FALSE()),""))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IF(DATOS!$A10403="",0,IF(CONFIG_METADATA!$B$4&lt;&gt;"OR+EX",--(DATOS!$G10403=CONFIG_METADATA!$B$4),IF(DATOS!$G10403="EX",1,IF(DATOS!$G10403="OR",--(COUNTIFS(nNIA,DATOS!$A10403,nCURSO,DATOS!$D10403,nESPEC,DATOS!$E10403,nASIG,DATOS!$I10403,nEVAL,"EX")=0),0))))</f>
      </c>
      <c r="H10403">
        <f>IF(DATOS!$G10403&lt;&gt;"EX",0,--(COUNTIFS(nNIA,DATOS!$A10403,nCURSO,DATOS!$D10403,nESPEC,DATOS!$E10403,nASIG,DATOS!$I10403,nEVAL,"OR")=0))</f>
      </c>
      <c r="I10403">
        <f>IF(DATOS!$I10403="","",IFERROR(VLOOKUP(DATOS!$I10403,CONFIG_ASIGNATURAS!$B$2:$J$91,9,FALSE()),""))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IF(DATOS!$A10404="",0,IF(CONFIG_METADATA!$B$4&lt;&gt;"OR+EX",--(DATOS!$G10404=CONFIG_METADATA!$B$4),IF(DATOS!$G10404="EX",1,IF(DATOS!$G10404="OR",--(COUNTIFS(nNIA,DATOS!$A10404,nCURSO,DATOS!$D10404,nESPEC,DATOS!$E10404,nASIG,DATOS!$I10404,nEVAL,"EX")=0),0))))</f>
      </c>
      <c r="H10404">
        <f>IF(DATOS!$G10404&lt;&gt;"EX",0,--(COUNTIFS(nNIA,DATOS!$A10404,nCURSO,DATOS!$D10404,nESPEC,DATOS!$E10404,nASIG,DATOS!$I10404,nEVAL,"OR")=0))</f>
      </c>
      <c r="I10404">
        <f>IF(DATOS!$I10404="","",IFERROR(VLOOKUP(DATOS!$I10404,CONFIG_ASIGNATURAS!$B$2:$J$91,9,FALSE()),""))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IF(DATOS!$A10405="",0,IF(CONFIG_METADATA!$B$4&lt;&gt;"OR+EX",--(DATOS!$G10405=CONFIG_METADATA!$B$4),IF(DATOS!$G10405="EX",1,IF(DATOS!$G10405="OR",--(COUNTIFS(nNIA,DATOS!$A10405,nCURSO,DATOS!$D10405,nESPEC,DATOS!$E10405,nASIG,DATOS!$I10405,nEVAL,"EX")=0),0))))</f>
      </c>
      <c r="H10405">
        <f>IF(DATOS!$G10405&lt;&gt;"EX",0,--(COUNTIFS(nNIA,DATOS!$A10405,nCURSO,DATOS!$D10405,nESPEC,DATOS!$E10405,nASIG,DATOS!$I10405,nEVAL,"OR")=0))</f>
      </c>
      <c r="I10405">
        <f>IF(DATOS!$I10405="","",IFERROR(VLOOKUP(DATOS!$I10405,CONFIG_ASIGNATURAS!$B$2:$J$91,9,FALSE()),""))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IF(DATOS!$A10406="",0,IF(CONFIG_METADATA!$B$4&lt;&gt;"OR+EX",--(DATOS!$G10406=CONFIG_METADATA!$B$4),IF(DATOS!$G10406="EX",1,IF(DATOS!$G10406="OR",--(COUNTIFS(nNIA,DATOS!$A10406,nCURSO,DATOS!$D10406,nESPEC,DATOS!$E10406,nASIG,DATOS!$I10406,nEVAL,"EX")=0),0))))</f>
      </c>
      <c r="H10406">
        <f>IF(DATOS!$G10406&lt;&gt;"EX",0,--(COUNTIFS(nNIA,DATOS!$A10406,nCURSO,DATOS!$D10406,nESPEC,DATOS!$E10406,nASIG,DATOS!$I10406,nEVAL,"OR")=0))</f>
      </c>
      <c r="I10406">
        <f>IF(DATOS!$I10406="","",IFERROR(VLOOKUP(DATOS!$I10406,CONFIG_ASIGNATURAS!$B$2:$J$91,9,FALSE()),""))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IF(DATOS!$A10407="",0,IF(CONFIG_METADATA!$B$4&lt;&gt;"OR+EX",--(DATOS!$G10407=CONFIG_METADATA!$B$4),IF(DATOS!$G10407="EX",1,IF(DATOS!$G10407="OR",--(COUNTIFS(nNIA,DATOS!$A10407,nCURSO,DATOS!$D10407,nESPEC,DATOS!$E10407,nASIG,DATOS!$I10407,nEVAL,"EX")=0),0))))</f>
      </c>
      <c r="H10407">
        <f>IF(DATOS!$G10407&lt;&gt;"EX",0,--(COUNTIFS(nNIA,DATOS!$A10407,nCURSO,DATOS!$D10407,nESPEC,DATOS!$E10407,nASIG,DATOS!$I10407,nEVAL,"OR")=0))</f>
      </c>
      <c r="I10407">
        <f>IF(DATOS!$I10407="","",IFERROR(VLOOKUP(DATOS!$I10407,CONFIG_ASIGNATURAS!$B$2:$J$91,9,FALSE()),""))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IF(DATOS!$A10408="",0,IF(CONFIG_METADATA!$B$4&lt;&gt;"OR+EX",--(DATOS!$G10408=CONFIG_METADATA!$B$4),IF(DATOS!$G10408="EX",1,IF(DATOS!$G10408="OR",--(COUNTIFS(nNIA,DATOS!$A10408,nCURSO,DATOS!$D10408,nESPEC,DATOS!$E10408,nASIG,DATOS!$I10408,nEVAL,"EX")=0),0))))</f>
      </c>
      <c r="H10408">
        <f>IF(DATOS!$G10408&lt;&gt;"EX",0,--(COUNTIFS(nNIA,DATOS!$A10408,nCURSO,DATOS!$D10408,nESPEC,DATOS!$E10408,nASIG,DATOS!$I10408,nEVAL,"OR")=0))</f>
      </c>
      <c r="I10408">
        <f>IF(DATOS!$I10408="","",IFERROR(VLOOKUP(DATOS!$I10408,CONFIG_ASIGNATURAS!$B$2:$J$91,9,FALSE()),""))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IF(DATOS!$A10409="",0,IF(CONFIG_METADATA!$B$4&lt;&gt;"OR+EX",--(DATOS!$G10409=CONFIG_METADATA!$B$4),IF(DATOS!$G10409="EX",1,IF(DATOS!$G10409="OR",--(COUNTIFS(nNIA,DATOS!$A10409,nCURSO,DATOS!$D10409,nESPEC,DATOS!$E10409,nASIG,DATOS!$I10409,nEVAL,"EX")=0),0))))</f>
      </c>
      <c r="H10409">
        <f>IF(DATOS!$G10409&lt;&gt;"EX",0,--(COUNTIFS(nNIA,DATOS!$A10409,nCURSO,DATOS!$D10409,nESPEC,DATOS!$E10409,nASIG,DATOS!$I10409,nEVAL,"OR")=0))</f>
      </c>
      <c r="I10409">
        <f>IF(DATOS!$I10409="","",IFERROR(VLOOKUP(DATOS!$I10409,CONFIG_ASIGNATURAS!$B$2:$J$91,9,FALSE()),""))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IF(DATOS!$A10410="",0,IF(CONFIG_METADATA!$B$4&lt;&gt;"OR+EX",--(DATOS!$G10410=CONFIG_METADATA!$B$4),IF(DATOS!$G10410="EX",1,IF(DATOS!$G10410="OR",--(COUNTIFS(nNIA,DATOS!$A10410,nCURSO,DATOS!$D10410,nESPEC,DATOS!$E10410,nASIG,DATOS!$I10410,nEVAL,"EX")=0),0))))</f>
      </c>
      <c r="H10410">
        <f>IF(DATOS!$G10410&lt;&gt;"EX",0,--(COUNTIFS(nNIA,DATOS!$A10410,nCURSO,DATOS!$D10410,nESPEC,DATOS!$E10410,nASIG,DATOS!$I10410,nEVAL,"OR")=0))</f>
      </c>
      <c r="I10410">
        <f>IF(DATOS!$I10410="","",IFERROR(VLOOKUP(DATOS!$I10410,CONFIG_ASIGNATURAS!$B$2:$J$91,9,FALSE()),""))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IF(DATOS!$A10411="",0,IF(CONFIG_METADATA!$B$4&lt;&gt;"OR+EX",--(DATOS!$G10411=CONFIG_METADATA!$B$4),IF(DATOS!$G10411="EX",1,IF(DATOS!$G10411="OR",--(COUNTIFS(nNIA,DATOS!$A10411,nCURSO,DATOS!$D10411,nESPEC,DATOS!$E10411,nASIG,DATOS!$I10411,nEVAL,"EX")=0),0))))</f>
      </c>
      <c r="H10411">
        <f>IF(DATOS!$G10411&lt;&gt;"EX",0,--(COUNTIFS(nNIA,DATOS!$A10411,nCURSO,DATOS!$D10411,nESPEC,DATOS!$E10411,nASIG,DATOS!$I10411,nEVAL,"OR")=0))</f>
      </c>
      <c r="I10411">
        <f>IF(DATOS!$I10411="","",IFERROR(VLOOKUP(DATOS!$I10411,CONFIG_ASIGNATURAS!$B$2:$J$91,9,FALSE()),""))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IF(DATOS!$A10412="",0,IF(CONFIG_METADATA!$B$4&lt;&gt;"OR+EX",--(DATOS!$G10412=CONFIG_METADATA!$B$4),IF(DATOS!$G10412="EX",1,IF(DATOS!$G10412="OR",--(COUNTIFS(nNIA,DATOS!$A10412,nCURSO,DATOS!$D10412,nESPEC,DATOS!$E10412,nASIG,DATOS!$I10412,nEVAL,"EX")=0),0))))</f>
      </c>
      <c r="H10412">
        <f>IF(DATOS!$G10412&lt;&gt;"EX",0,--(COUNTIFS(nNIA,DATOS!$A10412,nCURSO,DATOS!$D10412,nESPEC,DATOS!$E10412,nASIG,DATOS!$I10412,nEVAL,"OR")=0))</f>
      </c>
      <c r="I10412">
        <f>IF(DATOS!$I10412="","",IFERROR(VLOOKUP(DATOS!$I10412,CONFIG_ASIGNATURAS!$B$2:$J$91,9,FALSE()),""))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IF(DATOS!$A10413="",0,IF(CONFIG_METADATA!$B$4&lt;&gt;"OR+EX",--(DATOS!$G10413=CONFIG_METADATA!$B$4),IF(DATOS!$G10413="EX",1,IF(DATOS!$G10413="OR",--(COUNTIFS(nNIA,DATOS!$A10413,nCURSO,DATOS!$D10413,nESPEC,DATOS!$E10413,nASIG,DATOS!$I10413,nEVAL,"EX")=0),0))))</f>
      </c>
      <c r="H10413">
        <f>IF(DATOS!$G10413&lt;&gt;"EX",0,--(COUNTIFS(nNIA,DATOS!$A10413,nCURSO,DATOS!$D10413,nESPEC,DATOS!$E10413,nASIG,DATOS!$I10413,nEVAL,"OR")=0))</f>
      </c>
      <c r="I10413">
        <f>IF(DATOS!$I10413="","",IFERROR(VLOOKUP(DATOS!$I10413,CONFIG_ASIGNATURAS!$B$2:$J$91,9,FALSE()),""))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IF(DATOS!$A10414="",0,IF(CONFIG_METADATA!$B$4&lt;&gt;"OR+EX",--(DATOS!$G10414=CONFIG_METADATA!$B$4),IF(DATOS!$G10414="EX",1,IF(DATOS!$G10414="OR",--(COUNTIFS(nNIA,DATOS!$A10414,nCURSO,DATOS!$D10414,nESPEC,DATOS!$E10414,nASIG,DATOS!$I10414,nEVAL,"EX")=0),0))))</f>
      </c>
      <c r="H10414">
        <f>IF(DATOS!$G10414&lt;&gt;"EX",0,--(COUNTIFS(nNIA,DATOS!$A10414,nCURSO,DATOS!$D10414,nESPEC,DATOS!$E10414,nASIG,DATOS!$I10414,nEVAL,"OR")=0))</f>
      </c>
      <c r="I10414">
        <f>IF(DATOS!$I10414="","",IFERROR(VLOOKUP(DATOS!$I10414,CONFIG_ASIGNATURAS!$B$2:$J$91,9,FALSE()),""))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IF(DATOS!$A10415="",0,IF(CONFIG_METADATA!$B$4&lt;&gt;"OR+EX",--(DATOS!$G10415=CONFIG_METADATA!$B$4),IF(DATOS!$G10415="EX",1,IF(DATOS!$G10415="OR",--(COUNTIFS(nNIA,DATOS!$A10415,nCURSO,DATOS!$D10415,nESPEC,DATOS!$E10415,nASIG,DATOS!$I10415,nEVAL,"EX")=0),0))))</f>
      </c>
      <c r="H10415">
        <f>IF(DATOS!$G10415&lt;&gt;"EX",0,--(COUNTIFS(nNIA,DATOS!$A10415,nCURSO,DATOS!$D10415,nESPEC,DATOS!$E10415,nASIG,DATOS!$I10415,nEVAL,"OR")=0))</f>
      </c>
      <c r="I10415">
        <f>IF(DATOS!$I10415="","",IFERROR(VLOOKUP(DATOS!$I10415,CONFIG_ASIGNATURAS!$B$2:$J$91,9,FALSE()),""))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IF(DATOS!$A10416="",0,IF(CONFIG_METADATA!$B$4&lt;&gt;"OR+EX",--(DATOS!$G10416=CONFIG_METADATA!$B$4),IF(DATOS!$G10416="EX",1,IF(DATOS!$G10416="OR",--(COUNTIFS(nNIA,DATOS!$A10416,nCURSO,DATOS!$D10416,nESPEC,DATOS!$E10416,nASIG,DATOS!$I10416,nEVAL,"EX")=0),0))))</f>
      </c>
      <c r="H10416">
        <f>IF(DATOS!$G10416&lt;&gt;"EX",0,--(COUNTIFS(nNIA,DATOS!$A10416,nCURSO,DATOS!$D10416,nESPEC,DATOS!$E10416,nASIG,DATOS!$I10416,nEVAL,"OR")=0))</f>
      </c>
      <c r="I10416">
        <f>IF(DATOS!$I10416="","",IFERROR(VLOOKUP(DATOS!$I10416,CONFIG_ASIGNATURAS!$B$2:$J$91,9,FALSE()),""))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IF(DATOS!$A10417="",0,IF(CONFIG_METADATA!$B$4&lt;&gt;"OR+EX",--(DATOS!$G10417=CONFIG_METADATA!$B$4),IF(DATOS!$G10417="EX",1,IF(DATOS!$G10417="OR",--(COUNTIFS(nNIA,DATOS!$A10417,nCURSO,DATOS!$D10417,nESPEC,DATOS!$E10417,nASIG,DATOS!$I10417,nEVAL,"EX")=0),0))))</f>
      </c>
      <c r="H10417">
        <f>IF(DATOS!$G10417&lt;&gt;"EX",0,--(COUNTIFS(nNIA,DATOS!$A10417,nCURSO,DATOS!$D10417,nESPEC,DATOS!$E10417,nASIG,DATOS!$I10417,nEVAL,"OR")=0))</f>
      </c>
      <c r="I10417">
        <f>IF(DATOS!$I10417="","",IFERROR(VLOOKUP(DATOS!$I10417,CONFIG_ASIGNATURAS!$B$2:$J$91,9,FALSE()),""))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IF(DATOS!$A10418="",0,IF(CONFIG_METADATA!$B$4&lt;&gt;"OR+EX",--(DATOS!$G10418=CONFIG_METADATA!$B$4),IF(DATOS!$G10418="EX",1,IF(DATOS!$G10418="OR",--(COUNTIFS(nNIA,DATOS!$A10418,nCURSO,DATOS!$D10418,nESPEC,DATOS!$E10418,nASIG,DATOS!$I10418,nEVAL,"EX")=0),0))))</f>
      </c>
      <c r="H10418">
        <f>IF(DATOS!$G10418&lt;&gt;"EX",0,--(COUNTIFS(nNIA,DATOS!$A10418,nCURSO,DATOS!$D10418,nESPEC,DATOS!$E10418,nASIG,DATOS!$I10418,nEVAL,"OR")=0))</f>
      </c>
      <c r="I10418">
        <f>IF(DATOS!$I10418="","",IFERROR(VLOOKUP(DATOS!$I10418,CONFIG_ASIGNATURAS!$B$2:$J$91,9,FALSE()),""))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IF(DATOS!$A10419="",0,IF(CONFIG_METADATA!$B$4&lt;&gt;"OR+EX",--(DATOS!$G10419=CONFIG_METADATA!$B$4),IF(DATOS!$G10419="EX",1,IF(DATOS!$G10419="OR",--(COUNTIFS(nNIA,DATOS!$A10419,nCURSO,DATOS!$D10419,nESPEC,DATOS!$E10419,nASIG,DATOS!$I10419,nEVAL,"EX")=0),0))))</f>
      </c>
      <c r="H10419">
        <f>IF(DATOS!$G10419&lt;&gt;"EX",0,--(COUNTIFS(nNIA,DATOS!$A10419,nCURSO,DATOS!$D10419,nESPEC,DATOS!$E10419,nASIG,DATOS!$I10419,nEVAL,"OR")=0))</f>
      </c>
      <c r="I10419">
        <f>IF(DATOS!$I10419="","",IFERROR(VLOOKUP(DATOS!$I10419,CONFIG_ASIGNATURAS!$B$2:$J$91,9,FALSE()),""))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IF(DATOS!$A10420="",0,IF(CONFIG_METADATA!$B$4&lt;&gt;"OR+EX",--(DATOS!$G10420=CONFIG_METADATA!$B$4),IF(DATOS!$G10420="EX",1,IF(DATOS!$G10420="OR",--(COUNTIFS(nNIA,DATOS!$A10420,nCURSO,DATOS!$D10420,nESPEC,DATOS!$E10420,nASIG,DATOS!$I10420,nEVAL,"EX")=0),0))))</f>
      </c>
      <c r="H10420">
        <f>IF(DATOS!$G10420&lt;&gt;"EX",0,--(COUNTIFS(nNIA,DATOS!$A10420,nCURSO,DATOS!$D10420,nESPEC,DATOS!$E10420,nASIG,DATOS!$I10420,nEVAL,"OR")=0))</f>
      </c>
      <c r="I10420">
        <f>IF(DATOS!$I10420="","",IFERROR(VLOOKUP(DATOS!$I10420,CONFIG_ASIGNATURAS!$B$2:$J$91,9,FALSE()),""))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IF(DATOS!$A10421="",0,IF(CONFIG_METADATA!$B$4&lt;&gt;"OR+EX",--(DATOS!$G10421=CONFIG_METADATA!$B$4),IF(DATOS!$G10421="EX",1,IF(DATOS!$G10421="OR",--(COUNTIFS(nNIA,DATOS!$A10421,nCURSO,DATOS!$D10421,nESPEC,DATOS!$E10421,nASIG,DATOS!$I10421,nEVAL,"EX")=0),0))))</f>
      </c>
      <c r="H10421">
        <f>IF(DATOS!$G10421&lt;&gt;"EX",0,--(COUNTIFS(nNIA,DATOS!$A10421,nCURSO,DATOS!$D10421,nESPEC,DATOS!$E10421,nASIG,DATOS!$I10421,nEVAL,"OR")=0))</f>
      </c>
      <c r="I10421">
        <f>IF(DATOS!$I10421="","",IFERROR(VLOOKUP(DATOS!$I10421,CONFIG_ASIGNATURAS!$B$2:$J$91,9,FALSE()),""))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IF(DATOS!$A10422="",0,IF(CONFIG_METADATA!$B$4&lt;&gt;"OR+EX",--(DATOS!$G10422=CONFIG_METADATA!$B$4),IF(DATOS!$G10422="EX",1,IF(DATOS!$G10422="OR",--(COUNTIFS(nNIA,DATOS!$A10422,nCURSO,DATOS!$D10422,nESPEC,DATOS!$E10422,nASIG,DATOS!$I10422,nEVAL,"EX")=0),0))))</f>
      </c>
      <c r="H10422">
        <f>IF(DATOS!$G10422&lt;&gt;"EX",0,--(COUNTIFS(nNIA,DATOS!$A10422,nCURSO,DATOS!$D10422,nESPEC,DATOS!$E10422,nASIG,DATOS!$I10422,nEVAL,"OR")=0))</f>
      </c>
      <c r="I10422">
        <f>IF(DATOS!$I10422="","",IFERROR(VLOOKUP(DATOS!$I10422,CONFIG_ASIGNATURAS!$B$2:$J$91,9,FALSE()),""))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IF(DATOS!$A10423="",0,IF(CONFIG_METADATA!$B$4&lt;&gt;"OR+EX",--(DATOS!$G10423=CONFIG_METADATA!$B$4),IF(DATOS!$G10423="EX",1,IF(DATOS!$G10423="OR",--(COUNTIFS(nNIA,DATOS!$A10423,nCURSO,DATOS!$D10423,nESPEC,DATOS!$E10423,nASIG,DATOS!$I10423,nEVAL,"EX")=0),0))))</f>
      </c>
      <c r="H10423">
        <f>IF(DATOS!$G10423&lt;&gt;"EX",0,--(COUNTIFS(nNIA,DATOS!$A10423,nCURSO,DATOS!$D10423,nESPEC,DATOS!$E10423,nASIG,DATOS!$I10423,nEVAL,"OR")=0))</f>
      </c>
      <c r="I10423">
        <f>IF(DATOS!$I10423="","",IFERROR(VLOOKUP(DATOS!$I10423,CONFIG_ASIGNATURAS!$B$2:$J$91,9,FALSE()),""))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IF(DATOS!$A10424="",0,IF(CONFIG_METADATA!$B$4&lt;&gt;"OR+EX",--(DATOS!$G10424=CONFIG_METADATA!$B$4),IF(DATOS!$G10424="EX",1,IF(DATOS!$G10424="OR",--(COUNTIFS(nNIA,DATOS!$A10424,nCURSO,DATOS!$D10424,nESPEC,DATOS!$E10424,nASIG,DATOS!$I10424,nEVAL,"EX")=0),0))))</f>
      </c>
      <c r="H10424">
        <f>IF(DATOS!$G10424&lt;&gt;"EX",0,--(COUNTIFS(nNIA,DATOS!$A10424,nCURSO,DATOS!$D10424,nESPEC,DATOS!$E10424,nASIG,DATOS!$I10424,nEVAL,"OR")=0))</f>
      </c>
      <c r="I10424">
        <f>IF(DATOS!$I10424="","",IFERROR(VLOOKUP(DATOS!$I10424,CONFIG_ASIGNATURAS!$B$2:$J$91,9,FALSE()),""))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IF(DATOS!$A10425="",0,IF(CONFIG_METADATA!$B$4&lt;&gt;"OR+EX",--(DATOS!$G10425=CONFIG_METADATA!$B$4),IF(DATOS!$G10425="EX",1,IF(DATOS!$G10425="OR",--(COUNTIFS(nNIA,DATOS!$A10425,nCURSO,DATOS!$D10425,nESPEC,DATOS!$E10425,nASIG,DATOS!$I10425,nEVAL,"EX")=0),0))))</f>
      </c>
      <c r="H10425">
        <f>IF(DATOS!$G10425&lt;&gt;"EX",0,--(COUNTIFS(nNIA,DATOS!$A10425,nCURSO,DATOS!$D10425,nESPEC,DATOS!$E10425,nASIG,DATOS!$I10425,nEVAL,"OR")=0))</f>
      </c>
      <c r="I10425">
        <f>IF(DATOS!$I10425="","",IFERROR(VLOOKUP(DATOS!$I10425,CONFIG_ASIGNATURAS!$B$2:$J$91,9,FALSE()),""))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IF(DATOS!$A10426="",0,IF(CONFIG_METADATA!$B$4&lt;&gt;"OR+EX",--(DATOS!$G10426=CONFIG_METADATA!$B$4),IF(DATOS!$G10426="EX",1,IF(DATOS!$G10426="OR",--(COUNTIFS(nNIA,DATOS!$A10426,nCURSO,DATOS!$D10426,nESPEC,DATOS!$E10426,nASIG,DATOS!$I10426,nEVAL,"EX")=0),0))))</f>
      </c>
      <c r="H10426">
        <f>IF(DATOS!$G10426&lt;&gt;"EX",0,--(COUNTIFS(nNIA,DATOS!$A10426,nCURSO,DATOS!$D10426,nESPEC,DATOS!$E10426,nASIG,DATOS!$I10426,nEVAL,"OR")=0))</f>
      </c>
      <c r="I10426">
        <f>IF(DATOS!$I10426="","",IFERROR(VLOOKUP(DATOS!$I10426,CONFIG_ASIGNATURAS!$B$2:$J$91,9,FALSE()),""))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IF(DATOS!$A10427="",0,IF(CONFIG_METADATA!$B$4&lt;&gt;"OR+EX",--(DATOS!$G10427=CONFIG_METADATA!$B$4),IF(DATOS!$G10427="EX",1,IF(DATOS!$G10427="OR",--(COUNTIFS(nNIA,DATOS!$A10427,nCURSO,DATOS!$D10427,nESPEC,DATOS!$E10427,nASIG,DATOS!$I10427,nEVAL,"EX")=0),0))))</f>
      </c>
      <c r="H10427">
        <f>IF(DATOS!$G10427&lt;&gt;"EX",0,--(COUNTIFS(nNIA,DATOS!$A10427,nCURSO,DATOS!$D10427,nESPEC,DATOS!$E10427,nASIG,DATOS!$I10427,nEVAL,"OR")=0))</f>
      </c>
      <c r="I10427">
        <f>IF(DATOS!$I10427="","",IFERROR(VLOOKUP(DATOS!$I10427,CONFIG_ASIGNATURAS!$B$2:$J$91,9,FALSE()),""))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IF(DATOS!$A10428="",0,IF(CONFIG_METADATA!$B$4&lt;&gt;"OR+EX",--(DATOS!$G10428=CONFIG_METADATA!$B$4),IF(DATOS!$G10428="EX",1,IF(DATOS!$G10428="OR",--(COUNTIFS(nNIA,DATOS!$A10428,nCURSO,DATOS!$D10428,nESPEC,DATOS!$E10428,nASIG,DATOS!$I10428,nEVAL,"EX")=0),0))))</f>
      </c>
      <c r="H10428">
        <f>IF(DATOS!$G10428&lt;&gt;"EX",0,--(COUNTIFS(nNIA,DATOS!$A10428,nCURSO,DATOS!$D10428,nESPEC,DATOS!$E10428,nASIG,DATOS!$I10428,nEVAL,"OR")=0))</f>
      </c>
      <c r="I10428">
        <f>IF(DATOS!$I10428="","",IFERROR(VLOOKUP(DATOS!$I10428,CONFIG_ASIGNATURAS!$B$2:$J$91,9,FALSE()),""))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IF(DATOS!$A10429="",0,IF(CONFIG_METADATA!$B$4&lt;&gt;"OR+EX",--(DATOS!$G10429=CONFIG_METADATA!$B$4),IF(DATOS!$G10429="EX",1,IF(DATOS!$G10429="OR",--(COUNTIFS(nNIA,DATOS!$A10429,nCURSO,DATOS!$D10429,nESPEC,DATOS!$E10429,nASIG,DATOS!$I10429,nEVAL,"EX")=0),0))))</f>
      </c>
      <c r="H10429">
        <f>IF(DATOS!$G10429&lt;&gt;"EX",0,--(COUNTIFS(nNIA,DATOS!$A10429,nCURSO,DATOS!$D10429,nESPEC,DATOS!$E10429,nASIG,DATOS!$I10429,nEVAL,"OR")=0))</f>
      </c>
      <c r="I10429">
        <f>IF(DATOS!$I10429="","",IFERROR(VLOOKUP(DATOS!$I10429,CONFIG_ASIGNATURAS!$B$2:$J$91,9,FALSE()),""))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IF(DATOS!$A10430="",0,IF(CONFIG_METADATA!$B$4&lt;&gt;"OR+EX",--(DATOS!$G10430=CONFIG_METADATA!$B$4),IF(DATOS!$G10430="EX",1,IF(DATOS!$G10430="OR",--(COUNTIFS(nNIA,DATOS!$A10430,nCURSO,DATOS!$D10430,nESPEC,DATOS!$E10430,nASIG,DATOS!$I10430,nEVAL,"EX")=0),0))))</f>
      </c>
      <c r="H10430">
        <f>IF(DATOS!$G10430&lt;&gt;"EX",0,--(COUNTIFS(nNIA,DATOS!$A10430,nCURSO,DATOS!$D10430,nESPEC,DATOS!$E10430,nASIG,DATOS!$I10430,nEVAL,"OR")=0))</f>
      </c>
      <c r="I10430">
        <f>IF(DATOS!$I10430="","",IFERROR(VLOOKUP(DATOS!$I10430,CONFIG_ASIGNATURAS!$B$2:$J$91,9,FALSE()),""))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IF(DATOS!$A10431="",0,IF(CONFIG_METADATA!$B$4&lt;&gt;"OR+EX",--(DATOS!$G10431=CONFIG_METADATA!$B$4),IF(DATOS!$G10431="EX",1,IF(DATOS!$G10431="OR",--(COUNTIFS(nNIA,DATOS!$A10431,nCURSO,DATOS!$D10431,nESPEC,DATOS!$E10431,nASIG,DATOS!$I10431,nEVAL,"EX")=0),0))))</f>
      </c>
      <c r="H10431">
        <f>IF(DATOS!$G10431&lt;&gt;"EX",0,--(COUNTIFS(nNIA,DATOS!$A10431,nCURSO,DATOS!$D10431,nESPEC,DATOS!$E10431,nASIG,DATOS!$I10431,nEVAL,"OR")=0))</f>
      </c>
      <c r="I10431">
        <f>IF(DATOS!$I10431="","",IFERROR(VLOOKUP(DATOS!$I10431,CONFIG_ASIGNATURAS!$B$2:$J$91,9,FALSE()),""))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IF(DATOS!$A10432="",0,IF(CONFIG_METADATA!$B$4&lt;&gt;"OR+EX",--(DATOS!$G10432=CONFIG_METADATA!$B$4),IF(DATOS!$G10432="EX",1,IF(DATOS!$G10432="OR",--(COUNTIFS(nNIA,DATOS!$A10432,nCURSO,DATOS!$D10432,nESPEC,DATOS!$E10432,nASIG,DATOS!$I10432,nEVAL,"EX")=0),0))))</f>
      </c>
      <c r="H10432">
        <f>IF(DATOS!$G10432&lt;&gt;"EX",0,--(COUNTIFS(nNIA,DATOS!$A10432,nCURSO,DATOS!$D10432,nESPEC,DATOS!$E10432,nASIG,DATOS!$I10432,nEVAL,"OR")=0))</f>
      </c>
      <c r="I10432">
        <f>IF(DATOS!$I10432="","",IFERROR(VLOOKUP(DATOS!$I10432,CONFIG_ASIGNATURAS!$B$2:$J$91,9,FALSE()),""))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IF(DATOS!$A10433="",0,IF(CONFIG_METADATA!$B$4&lt;&gt;"OR+EX",--(DATOS!$G10433=CONFIG_METADATA!$B$4),IF(DATOS!$G10433="EX",1,IF(DATOS!$G10433="OR",--(COUNTIFS(nNIA,DATOS!$A10433,nCURSO,DATOS!$D10433,nESPEC,DATOS!$E10433,nASIG,DATOS!$I10433,nEVAL,"EX")=0),0))))</f>
      </c>
      <c r="H10433">
        <f>IF(DATOS!$G10433&lt;&gt;"EX",0,--(COUNTIFS(nNIA,DATOS!$A10433,nCURSO,DATOS!$D10433,nESPEC,DATOS!$E10433,nASIG,DATOS!$I10433,nEVAL,"OR")=0))</f>
      </c>
      <c r="I10433">
        <f>IF(DATOS!$I10433="","",IFERROR(VLOOKUP(DATOS!$I10433,CONFIG_ASIGNATURAS!$B$2:$J$91,9,FALSE()),""))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IF(DATOS!$A10434="",0,IF(CONFIG_METADATA!$B$4&lt;&gt;"OR+EX",--(DATOS!$G10434=CONFIG_METADATA!$B$4),IF(DATOS!$G10434="EX",1,IF(DATOS!$G10434="OR",--(COUNTIFS(nNIA,DATOS!$A10434,nCURSO,DATOS!$D10434,nESPEC,DATOS!$E10434,nASIG,DATOS!$I10434,nEVAL,"EX")=0),0))))</f>
      </c>
      <c r="H10434">
        <f>IF(DATOS!$G10434&lt;&gt;"EX",0,--(COUNTIFS(nNIA,DATOS!$A10434,nCURSO,DATOS!$D10434,nESPEC,DATOS!$E10434,nASIG,DATOS!$I10434,nEVAL,"OR")=0))</f>
      </c>
      <c r="I10434">
        <f>IF(DATOS!$I10434="","",IFERROR(VLOOKUP(DATOS!$I10434,CONFIG_ASIGNATURAS!$B$2:$J$91,9,FALSE()),""))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IF(DATOS!$A10435="",0,IF(CONFIG_METADATA!$B$4&lt;&gt;"OR+EX",--(DATOS!$G10435=CONFIG_METADATA!$B$4),IF(DATOS!$G10435="EX",1,IF(DATOS!$G10435="OR",--(COUNTIFS(nNIA,DATOS!$A10435,nCURSO,DATOS!$D10435,nESPEC,DATOS!$E10435,nASIG,DATOS!$I10435,nEVAL,"EX")=0),0))))</f>
      </c>
      <c r="H10435">
        <f>IF(DATOS!$G10435&lt;&gt;"EX",0,--(COUNTIFS(nNIA,DATOS!$A10435,nCURSO,DATOS!$D10435,nESPEC,DATOS!$E10435,nASIG,DATOS!$I10435,nEVAL,"OR")=0))</f>
      </c>
      <c r="I10435">
        <f>IF(DATOS!$I10435="","",IFERROR(VLOOKUP(DATOS!$I10435,CONFIG_ASIGNATURAS!$B$2:$J$91,9,FALSE()),""))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IF(DATOS!$A10436="",0,IF(CONFIG_METADATA!$B$4&lt;&gt;"OR+EX",--(DATOS!$G10436=CONFIG_METADATA!$B$4),IF(DATOS!$G10436="EX",1,IF(DATOS!$G10436="OR",--(COUNTIFS(nNIA,DATOS!$A10436,nCURSO,DATOS!$D10436,nESPEC,DATOS!$E10436,nASIG,DATOS!$I10436,nEVAL,"EX")=0),0))))</f>
      </c>
      <c r="H10436">
        <f>IF(DATOS!$G10436&lt;&gt;"EX",0,--(COUNTIFS(nNIA,DATOS!$A10436,nCURSO,DATOS!$D10436,nESPEC,DATOS!$E10436,nASIG,DATOS!$I10436,nEVAL,"OR")=0))</f>
      </c>
      <c r="I10436">
        <f>IF(DATOS!$I10436="","",IFERROR(VLOOKUP(DATOS!$I10436,CONFIG_ASIGNATURAS!$B$2:$J$91,9,FALSE()),""))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IF(DATOS!$A10437="",0,IF(CONFIG_METADATA!$B$4&lt;&gt;"OR+EX",--(DATOS!$G10437=CONFIG_METADATA!$B$4),IF(DATOS!$G10437="EX",1,IF(DATOS!$G10437="OR",--(COUNTIFS(nNIA,DATOS!$A10437,nCURSO,DATOS!$D10437,nESPEC,DATOS!$E10437,nASIG,DATOS!$I10437,nEVAL,"EX")=0),0))))</f>
      </c>
      <c r="H10437">
        <f>IF(DATOS!$G10437&lt;&gt;"EX",0,--(COUNTIFS(nNIA,DATOS!$A10437,nCURSO,DATOS!$D10437,nESPEC,DATOS!$E10437,nASIG,DATOS!$I10437,nEVAL,"OR")=0))</f>
      </c>
      <c r="I10437">
        <f>IF(DATOS!$I10437="","",IFERROR(VLOOKUP(DATOS!$I10437,CONFIG_ASIGNATURAS!$B$2:$J$91,9,FALSE()),""))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IF(DATOS!$A10438="",0,IF(CONFIG_METADATA!$B$4&lt;&gt;"OR+EX",--(DATOS!$G10438=CONFIG_METADATA!$B$4),IF(DATOS!$G10438="EX",1,IF(DATOS!$G10438="OR",--(COUNTIFS(nNIA,DATOS!$A10438,nCURSO,DATOS!$D10438,nESPEC,DATOS!$E10438,nASIG,DATOS!$I10438,nEVAL,"EX")=0),0))))</f>
      </c>
      <c r="H10438">
        <f>IF(DATOS!$G10438&lt;&gt;"EX",0,--(COUNTIFS(nNIA,DATOS!$A10438,nCURSO,DATOS!$D10438,nESPEC,DATOS!$E10438,nASIG,DATOS!$I10438,nEVAL,"OR")=0))</f>
      </c>
      <c r="I10438">
        <f>IF(DATOS!$I10438="","",IFERROR(VLOOKUP(DATOS!$I10438,CONFIG_ASIGNATURAS!$B$2:$J$91,9,FALSE()),""))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IF(DATOS!$A10439="",0,IF(CONFIG_METADATA!$B$4&lt;&gt;"OR+EX",--(DATOS!$G10439=CONFIG_METADATA!$B$4),IF(DATOS!$G10439="EX",1,IF(DATOS!$G10439="OR",--(COUNTIFS(nNIA,DATOS!$A10439,nCURSO,DATOS!$D10439,nESPEC,DATOS!$E10439,nASIG,DATOS!$I10439,nEVAL,"EX")=0),0))))</f>
      </c>
      <c r="H10439">
        <f>IF(DATOS!$G10439&lt;&gt;"EX",0,--(COUNTIFS(nNIA,DATOS!$A10439,nCURSO,DATOS!$D10439,nESPEC,DATOS!$E10439,nASIG,DATOS!$I10439,nEVAL,"OR")=0))</f>
      </c>
      <c r="I10439">
        <f>IF(DATOS!$I10439="","",IFERROR(VLOOKUP(DATOS!$I10439,CONFIG_ASIGNATURAS!$B$2:$J$91,9,FALSE()),""))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IF(DATOS!$A10440="",0,IF(CONFIG_METADATA!$B$4&lt;&gt;"OR+EX",--(DATOS!$G10440=CONFIG_METADATA!$B$4),IF(DATOS!$G10440="EX",1,IF(DATOS!$G10440="OR",--(COUNTIFS(nNIA,DATOS!$A10440,nCURSO,DATOS!$D10440,nESPEC,DATOS!$E10440,nASIG,DATOS!$I10440,nEVAL,"EX")=0),0))))</f>
      </c>
      <c r="H10440">
        <f>IF(DATOS!$G10440&lt;&gt;"EX",0,--(COUNTIFS(nNIA,DATOS!$A10440,nCURSO,DATOS!$D10440,nESPEC,DATOS!$E10440,nASIG,DATOS!$I10440,nEVAL,"OR")=0))</f>
      </c>
      <c r="I10440">
        <f>IF(DATOS!$I10440="","",IFERROR(VLOOKUP(DATOS!$I10440,CONFIG_ASIGNATURAS!$B$2:$J$91,9,FALSE()),""))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IF(DATOS!$A10441="",0,IF(CONFIG_METADATA!$B$4&lt;&gt;"OR+EX",--(DATOS!$G10441=CONFIG_METADATA!$B$4),IF(DATOS!$G10441="EX",1,IF(DATOS!$G10441="OR",--(COUNTIFS(nNIA,DATOS!$A10441,nCURSO,DATOS!$D10441,nESPEC,DATOS!$E10441,nASIG,DATOS!$I10441,nEVAL,"EX")=0),0))))</f>
      </c>
      <c r="H10441">
        <f>IF(DATOS!$G10441&lt;&gt;"EX",0,--(COUNTIFS(nNIA,DATOS!$A10441,nCURSO,DATOS!$D10441,nESPEC,DATOS!$E10441,nASIG,DATOS!$I10441,nEVAL,"OR")=0))</f>
      </c>
      <c r="I10441">
        <f>IF(DATOS!$I10441="","",IFERROR(VLOOKUP(DATOS!$I10441,CONFIG_ASIGNATURAS!$B$2:$J$91,9,FALSE()),""))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IF(DATOS!$A10442="",0,IF(CONFIG_METADATA!$B$4&lt;&gt;"OR+EX",--(DATOS!$G10442=CONFIG_METADATA!$B$4),IF(DATOS!$G10442="EX",1,IF(DATOS!$G10442="OR",--(COUNTIFS(nNIA,DATOS!$A10442,nCURSO,DATOS!$D10442,nESPEC,DATOS!$E10442,nASIG,DATOS!$I10442,nEVAL,"EX")=0),0))))</f>
      </c>
      <c r="H10442">
        <f>IF(DATOS!$G10442&lt;&gt;"EX",0,--(COUNTIFS(nNIA,DATOS!$A10442,nCURSO,DATOS!$D10442,nESPEC,DATOS!$E10442,nASIG,DATOS!$I10442,nEVAL,"OR")=0))</f>
      </c>
      <c r="I10442">
        <f>IF(DATOS!$I10442="","",IFERROR(VLOOKUP(DATOS!$I10442,CONFIG_ASIGNATURAS!$B$2:$J$91,9,FALSE()),""))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IF(DATOS!$A10443="",0,IF(CONFIG_METADATA!$B$4&lt;&gt;"OR+EX",--(DATOS!$G10443=CONFIG_METADATA!$B$4),IF(DATOS!$G10443="EX",1,IF(DATOS!$G10443="OR",--(COUNTIFS(nNIA,DATOS!$A10443,nCURSO,DATOS!$D10443,nESPEC,DATOS!$E10443,nASIG,DATOS!$I10443,nEVAL,"EX")=0),0))))</f>
      </c>
      <c r="H10443">
        <f>IF(DATOS!$G10443&lt;&gt;"EX",0,--(COUNTIFS(nNIA,DATOS!$A10443,nCURSO,DATOS!$D10443,nESPEC,DATOS!$E10443,nASIG,DATOS!$I10443,nEVAL,"OR")=0))</f>
      </c>
      <c r="I10443">
        <f>IF(DATOS!$I10443="","",IFERROR(VLOOKUP(DATOS!$I10443,CONFIG_ASIGNATURAS!$B$2:$J$91,9,FALSE()),""))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IF(DATOS!$A10444="",0,IF(CONFIG_METADATA!$B$4&lt;&gt;"OR+EX",--(DATOS!$G10444=CONFIG_METADATA!$B$4),IF(DATOS!$G10444="EX",1,IF(DATOS!$G10444="OR",--(COUNTIFS(nNIA,DATOS!$A10444,nCURSO,DATOS!$D10444,nESPEC,DATOS!$E10444,nASIG,DATOS!$I10444,nEVAL,"EX")=0),0))))</f>
      </c>
      <c r="H10444">
        <f>IF(DATOS!$G10444&lt;&gt;"EX",0,--(COUNTIFS(nNIA,DATOS!$A10444,nCURSO,DATOS!$D10444,nESPEC,DATOS!$E10444,nASIG,DATOS!$I10444,nEVAL,"OR")=0))</f>
      </c>
      <c r="I10444">
        <f>IF(DATOS!$I10444="","",IFERROR(VLOOKUP(DATOS!$I10444,CONFIG_ASIGNATURAS!$B$2:$J$91,9,FALSE()),""))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IF(DATOS!$A10445="",0,IF(CONFIG_METADATA!$B$4&lt;&gt;"OR+EX",--(DATOS!$G10445=CONFIG_METADATA!$B$4),IF(DATOS!$G10445="EX",1,IF(DATOS!$G10445="OR",--(COUNTIFS(nNIA,DATOS!$A10445,nCURSO,DATOS!$D10445,nESPEC,DATOS!$E10445,nASIG,DATOS!$I10445,nEVAL,"EX")=0),0))))</f>
      </c>
      <c r="H10445">
        <f>IF(DATOS!$G10445&lt;&gt;"EX",0,--(COUNTIFS(nNIA,DATOS!$A10445,nCURSO,DATOS!$D10445,nESPEC,DATOS!$E10445,nASIG,DATOS!$I10445,nEVAL,"OR")=0))</f>
      </c>
      <c r="I10445">
        <f>IF(DATOS!$I10445="","",IFERROR(VLOOKUP(DATOS!$I10445,CONFIG_ASIGNATURAS!$B$2:$J$91,9,FALSE()),""))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IF(DATOS!$A10446="",0,IF(CONFIG_METADATA!$B$4&lt;&gt;"OR+EX",--(DATOS!$G10446=CONFIG_METADATA!$B$4),IF(DATOS!$G10446="EX",1,IF(DATOS!$G10446="OR",--(COUNTIFS(nNIA,DATOS!$A10446,nCURSO,DATOS!$D10446,nESPEC,DATOS!$E10446,nASIG,DATOS!$I10446,nEVAL,"EX")=0),0))))</f>
      </c>
      <c r="H10446">
        <f>IF(DATOS!$G10446&lt;&gt;"EX",0,--(COUNTIFS(nNIA,DATOS!$A10446,nCURSO,DATOS!$D10446,nESPEC,DATOS!$E10446,nASIG,DATOS!$I10446,nEVAL,"OR")=0))</f>
      </c>
      <c r="I10446">
        <f>IF(DATOS!$I10446="","",IFERROR(VLOOKUP(DATOS!$I10446,CONFIG_ASIGNATURAS!$B$2:$J$91,9,FALSE()),""))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IF(DATOS!$A10447="",0,IF(CONFIG_METADATA!$B$4&lt;&gt;"OR+EX",--(DATOS!$G10447=CONFIG_METADATA!$B$4),IF(DATOS!$G10447="EX",1,IF(DATOS!$G10447="OR",--(COUNTIFS(nNIA,DATOS!$A10447,nCURSO,DATOS!$D10447,nESPEC,DATOS!$E10447,nASIG,DATOS!$I10447,nEVAL,"EX")=0),0))))</f>
      </c>
      <c r="H10447">
        <f>IF(DATOS!$G10447&lt;&gt;"EX",0,--(COUNTIFS(nNIA,DATOS!$A10447,nCURSO,DATOS!$D10447,nESPEC,DATOS!$E10447,nASIG,DATOS!$I10447,nEVAL,"OR")=0))</f>
      </c>
      <c r="I10447">
        <f>IF(DATOS!$I10447="","",IFERROR(VLOOKUP(DATOS!$I10447,CONFIG_ASIGNATURAS!$B$2:$J$91,9,FALSE()),""))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IF(DATOS!$A10448="",0,IF(CONFIG_METADATA!$B$4&lt;&gt;"OR+EX",--(DATOS!$G10448=CONFIG_METADATA!$B$4),IF(DATOS!$G10448="EX",1,IF(DATOS!$G10448="OR",--(COUNTIFS(nNIA,DATOS!$A10448,nCURSO,DATOS!$D10448,nESPEC,DATOS!$E10448,nASIG,DATOS!$I10448,nEVAL,"EX")=0),0))))</f>
      </c>
      <c r="H10448">
        <f>IF(DATOS!$G10448&lt;&gt;"EX",0,--(COUNTIFS(nNIA,DATOS!$A10448,nCURSO,DATOS!$D10448,nESPEC,DATOS!$E10448,nASIG,DATOS!$I10448,nEVAL,"OR")=0))</f>
      </c>
      <c r="I10448">
        <f>IF(DATOS!$I10448="","",IFERROR(VLOOKUP(DATOS!$I10448,CONFIG_ASIGNATURAS!$B$2:$J$91,9,FALSE()),""))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IF(DATOS!$A10449="",0,IF(CONFIG_METADATA!$B$4&lt;&gt;"OR+EX",--(DATOS!$G10449=CONFIG_METADATA!$B$4),IF(DATOS!$G10449="EX",1,IF(DATOS!$G10449="OR",--(COUNTIFS(nNIA,DATOS!$A10449,nCURSO,DATOS!$D10449,nESPEC,DATOS!$E10449,nASIG,DATOS!$I10449,nEVAL,"EX")=0),0))))</f>
      </c>
      <c r="H10449">
        <f>IF(DATOS!$G10449&lt;&gt;"EX",0,--(COUNTIFS(nNIA,DATOS!$A10449,nCURSO,DATOS!$D10449,nESPEC,DATOS!$E10449,nASIG,DATOS!$I10449,nEVAL,"OR")=0))</f>
      </c>
      <c r="I10449">
        <f>IF(DATOS!$I10449="","",IFERROR(VLOOKUP(DATOS!$I10449,CONFIG_ASIGNATURAS!$B$2:$J$91,9,FALSE()),""))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IF(DATOS!$A10450="",0,IF(CONFIG_METADATA!$B$4&lt;&gt;"OR+EX",--(DATOS!$G10450=CONFIG_METADATA!$B$4),IF(DATOS!$G10450="EX",1,IF(DATOS!$G10450="OR",--(COUNTIFS(nNIA,DATOS!$A10450,nCURSO,DATOS!$D10450,nESPEC,DATOS!$E10450,nASIG,DATOS!$I10450,nEVAL,"EX")=0),0))))</f>
      </c>
      <c r="H10450">
        <f>IF(DATOS!$G10450&lt;&gt;"EX",0,--(COUNTIFS(nNIA,DATOS!$A10450,nCURSO,DATOS!$D10450,nESPEC,DATOS!$E10450,nASIG,DATOS!$I10450,nEVAL,"OR")=0))</f>
      </c>
      <c r="I10450">
        <f>IF(DATOS!$I10450="","",IFERROR(VLOOKUP(DATOS!$I10450,CONFIG_ASIGNATURAS!$B$2:$J$91,9,FALSE()),""))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IF(DATOS!$A10451="",0,IF(CONFIG_METADATA!$B$4&lt;&gt;"OR+EX",--(DATOS!$G10451=CONFIG_METADATA!$B$4),IF(DATOS!$G10451="EX",1,IF(DATOS!$G10451="OR",--(COUNTIFS(nNIA,DATOS!$A10451,nCURSO,DATOS!$D10451,nESPEC,DATOS!$E10451,nASIG,DATOS!$I10451,nEVAL,"EX")=0),0))))</f>
      </c>
      <c r="H10451">
        <f>IF(DATOS!$G10451&lt;&gt;"EX",0,--(COUNTIFS(nNIA,DATOS!$A10451,nCURSO,DATOS!$D10451,nESPEC,DATOS!$E10451,nASIG,DATOS!$I10451,nEVAL,"OR")=0))</f>
      </c>
      <c r="I10451">
        <f>IF(DATOS!$I10451="","",IFERROR(VLOOKUP(DATOS!$I10451,CONFIG_ASIGNATURAS!$B$2:$J$91,9,FALSE()),""))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IF(DATOS!$A10452="",0,IF(CONFIG_METADATA!$B$4&lt;&gt;"OR+EX",--(DATOS!$G10452=CONFIG_METADATA!$B$4),IF(DATOS!$G10452="EX",1,IF(DATOS!$G10452="OR",--(COUNTIFS(nNIA,DATOS!$A10452,nCURSO,DATOS!$D10452,nESPEC,DATOS!$E10452,nASIG,DATOS!$I10452,nEVAL,"EX")=0),0))))</f>
      </c>
      <c r="H10452">
        <f>IF(DATOS!$G10452&lt;&gt;"EX",0,--(COUNTIFS(nNIA,DATOS!$A10452,nCURSO,DATOS!$D10452,nESPEC,DATOS!$E10452,nASIG,DATOS!$I10452,nEVAL,"OR")=0))</f>
      </c>
      <c r="I10452">
        <f>IF(DATOS!$I10452="","",IFERROR(VLOOKUP(DATOS!$I10452,CONFIG_ASIGNATURAS!$B$2:$J$91,9,FALSE()),""))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IF(DATOS!$A10453="",0,IF(CONFIG_METADATA!$B$4&lt;&gt;"OR+EX",--(DATOS!$G10453=CONFIG_METADATA!$B$4),IF(DATOS!$G10453="EX",1,IF(DATOS!$G10453="OR",--(COUNTIFS(nNIA,DATOS!$A10453,nCURSO,DATOS!$D10453,nESPEC,DATOS!$E10453,nASIG,DATOS!$I10453,nEVAL,"EX")=0),0))))</f>
      </c>
      <c r="H10453">
        <f>IF(DATOS!$G10453&lt;&gt;"EX",0,--(COUNTIFS(nNIA,DATOS!$A10453,nCURSO,DATOS!$D10453,nESPEC,DATOS!$E10453,nASIG,DATOS!$I10453,nEVAL,"OR")=0))</f>
      </c>
      <c r="I10453">
        <f>IF(DATOS!$I10453="","",IFERROR(VLOOKUP(DATOS!$I10453,CONFIG_ASIGNATURAS!$B$2:$J$91,9,FALSE()),""))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IF(DATOS!$A10454="",0,IF(CONFIG_METADATA!$B$4&lt;&gt;"OR+EX",--(DATOS!$G10454=CONFIG_METADATA!$B$4),IF(DATOS!$G10454="EX",1,IF(DATOS!$G10454="OR",--(COUNTIFS(nNIA,DATOS!$A10454,nCURSO,DATOS!$D10454,nESPEC,DATOS!$E10454,nASIG,DATOS!$I10454,nEVAL,"EX")=0),0))))</f>
      </c>
      <c r="H10454">
        <f>IF(DATOS!$G10454&lt;&gt;"EX",0,--(COUNTIFS(nNIA,DATOS!$A10454,nCURSO,DATOS!$D10454,nESPEC,DATOS!$E10454,nASIG,DATOS!$I10454,nEVAL,"OR")=0))</f>
      </c>
      <c r="I10454">
        <f>IF(DATOS!$I10454="","",IFERROR(VLOOKUP(DATOS!$I10454,CONFIG_ASIGNATURAS!$B$2:$J$91,9,FALSE()),""))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IF(DATOS!$A10455="",0,IF(CONFIG_METADATA!$B$4&lt;&gt;"OR+EX",--(DATOS!$G10455=CONFIG_METADATA!$B$4),IF(DATOS!$G10455="EX",1,IF(DATOS!$G10455="OR",--(COUNTIFS(nNIA,DATOS!$A10455,nCURSO,DATOS!$D10455,nESPEC,DATOS!$E10455,nASIG,DATOS!$I10455,nEVAL,"EX")=0),0))))</f>
      </c>
      <c r="H10455">
        <f>IF(DATOS!$G10455&lt;&gt;"EX",0,--(COUNTIFS(nNIA,DATOS!$A10455,nCURSO,DATOS!$D10455,nESPEC,DATOS!$E10455,nASIG,DATOS!$I10455,nEVAL,"OR")=0))</f>
      </c>
      <c r="I10455">
        <f>IF(DATOS!$I10455="","",IFERROR(VLOOKUP(DATOS!$I10455,CONFIG_ASIGNATURAS!$B$2:$J$91,9,FALSE()),""))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IF(DATOS!$A10456="",0,IF(CONFIG_METADATA!$B$4&lt;&gt;"OR+EX",--(DATOS!$G10456=CONFIG_METADATA!$B$4),IF(DATOS!$G10456="EX",1,IF(DATOS!$G10456="OR",--(COUNTIFS(nNIA,DATOS!$A10456,nCURSO,DATOS!$D10456,nESPEC,DATOS!$E10456,nASIG,DATOS!$I10456,nEVAL,"EX")=0),0))))</f>
      </c>
      <c r="H10456">
        <f>IF(DATOS!$G10456&lt;&gt;"EX",0,--(COUNTIFS(nNIA,DATOS!$A10456,nCURSO,DATOS!$D10456,nESPEC,DATOS!$E10456,nASIG,DATOS!$I10456,nEVAL,"OR")=0))</f>
      </c>
      <c r="I10456">
        <f>IF(DATOS!$I10456="","",IFERROR(VLOOKUP(DATOS!$I10456,CONFIG_ASIGNATURAS!$B$2:$J$91,9,FALSE()),""))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IF(DATOS!$A10457="",0,IF(CONFIG_METADATA!$B$4&lt;&gt;"OR+EX",--(DATOS!$G10457=CONFIG_METADATA!$B$4),IF(DATOS!$G10457="EX",1,IF(DATOS!$G10457="OR",--(COUNTIFS(nNIA,DATOS!$A10457,nCURSO,DATOS!$D10457,nESPEC,DATOS!$E10457,nASIG,DATOS!$I10457,nEVAL,"EX")=0),0))))</f>
      </c>
      <c r="H10457">
        <f>IF(DATOS!$G10457&lt;&gt;"EX",0,--(COUNTIFS(nNIA,DATOS!$A10457,nCURSO,DATOS!$D10457,nESPEC,DATOS!$E10457,nASIG,DATOS!$I10457,nEVAL,"OR")=0))</f>
      </c>
      <c r="I10457">
        <f>IF(DATOS!$I10457="","",IFERROR(VLOOKUP(DATOS!$I10457,CONFIG_ASIGNATURAS!$B$2:$J$91,9,FALSE()),""))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IF(DATOS!$A10458="",0,IF(CONFIG_METADATA!$B$4&lt;&gt;"OR+EX",--(DATOS!$G10458=CONFIG_METADATA!$B$4),IF(DATOS!$G10458="EX",1,IF(DATOS!$G10458="OR",--(COUNTIFS(nNIA,DATOS!$A10458,nCURSO,DATOS!$D10458,nESPEC,DATOS!$E10458,nASIG,DATOS!$I10458,nEVAL,"EX")=0),0))))</f>
      </c>
      <c r="H10458">
        <f>IF(DATOS!$G10458&lt;&gt;"EX",0,--(COUNTIFS(nNIA,DATOS!$A10458,nCURSO,DATOS!$D10458,nESPEC,DATOS!$E10458,nASIG,DATOS!$I10458,nEVAL,"OR")=0))</f>
      </c>
      <c r="I10458">
        <f>IF(DATOS!$I10458="","",IFERROR(VLOOKUP(DATOS!$I10458,CONFIG_ASIGNATURAS!$B$2:$J$91,9,FALSE()),""))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IF(DATOS!$A10459="",0,IF(CONFIG_METADATA!$B$4&lt;&gt;"OR+EX",--(DATOS!$G10459=CONFIG_METADATA!$B$4),IF(DATOS!$G10459="EX",1,IF(DATOS!$G10459="OR",--(COUNTIFS(nNIA,DATOS!$A10459,nCURSO,DATOS!$D10459,nESPEC,DATOS!$E10459,nASIG,DATOS!$I10459,nEVAL,"EX")=0),0))))</f>
      </c>
      <c r="H10459">
        <f>IF(DATOS!$G10459&lt;&gt;"EX",0,--(COUNTIFS(nNIA,DATOS!$A10459,nCURSO,DATOS!$D10459,nESPEC,DATOS!$E10459,nASIG,DATOS!$I10459,nEVAL,"OR")=0))</f>
      </c>
      <c r="I10459">
        <f>IF(DATOS!$I10459="","",IFERROR(VLOOKUP(DATOS!$I10459,CONFIG_ASIGNATURAS!$B$2:$J$91,9,FALSE()),""))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IF(DATOS!$A10460="",0,IF(CONFIG_METADATA!$B$4&lt;&gt;"OR+EX",--(DATOS!$G10460=CONFIG_METADATA!$B$4),IF(DATOS!$G10460="EX",1,IF(DATOS!$G10460="OR",--(COUNTIFS(nNIA,DATOS!$A10460,nCURSO,DATOS!$D10460,nESPEC,DATOS!$E10460,nASIG,DATOS!$I10460,nEVAL,"EX")=0),0))))</f>
      </c>
      <c r="H10460">
        <f>IF(DATOS!$G10460&lt;&gt;"EX",0,--(COUNTIFS(nNIA,DATOS!$A10460,nCURSO,DATOS!$D10460,nESPEC,DATOS!$E10460,nASIG,DATOS!$I10460,nEVAL,"OR")=0))</f>
      </c>
      <c r="I10460">
        <f>IF(DATOS!$I10460="","",IFERROR(VLOOKUP(DATOS!$I10460,CONFIG_ASIGNATURAS!$B$2:$J$91,9,FALSE()),""))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IF(DATOS!$A10461="",0,IF(CONFIG_METADATA!$B$4&lt;&gt;"OR+EX",--(DATOS!$G10461=CONFIG_METADATA!$B$4),IF(DATOS!$G10461="EX",1,IF(DATOS!$G10461="OR",--(COUNTIFS(nNIA,DATOS!$A10461,nCURSO,DATOS!$D10461,nESPEC,DATOS!$E10461,nASIG,DATOS!$I10461,nEVAL,"EX")=0),0))))</f>
      </c>
      <c r="H10461">
        <f>IF(DATOS!$G10461&lt;&gt;"EX",0,--(COUNTIFS(nNIA,DATOS!$A10461,nCURSO,DATOS!$D10461,nESPEC,DATOS!$E10461,nASIG,DATOS!$I10461,nEVAL,"OR")=0))</f>
      </c>
      <c r="I10461">
        <f>IF(DATOS!$I10461="","",IFERROR(VLOOKUP(DATOS!$I10461,CONFIG_ASIGNATURAS!$B$2:$J$91,9,FALSE()),""))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IF(DATOS!$A10462="",0,IF(CONFIG_METADATA!$B$4&lt;&gt;"OR+EX",--(DATOS!$G10462=CONFIG_METADATA!$B$4),IF(DATOS!$G10462="EX",1,IF(DATOS!$G10462="OR",--(COUNTIFS(nNIA,DATOS!$A10462,nCURSO,DATOS!$D10462,nESPEC,DATOS!$E10462,nASIG,DATOS!$I10462,nEVAL,"EX")=0),0))))</f>
      </c>
      <c r="H10462">
        <f>IF(DATOS!$G10462&lt;&gt;"EX",0,--(COUNTIFS(nNIA,DATOS!$A10462,nCURSO,DATOS!$D10462,nESPEC,DATOS!$E10462,nASIG,DATOS!$I10462,nEVAL,"OR")=0))</f>
      </c>
      <c r="I10462">
        <f>IF(DATOS!$I10462="","",IFERROR(VLOOKUP(DATOS!$I10462,CONFIG_ASIGNATURAS!$B$2:$J$91,9,FALSE()),""))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IF(DATOS!$A10463="",0,IF(CONFIG_METADATA!$B$4&lt;&gt;"OR+EX",--(DATOS!$G10463=CONFIG_METADATA!$B$4),IF(DATOS!$G10463="EX",1,IF(DATOS!$G10463="OR",--(COUNTIFS(nNIA,DATOS!$A10463,nCURSO,DATOS!$D10463,nESPEC,DATOS!$E10463,nASIG,DATOS!$I10463,nEVAL,"EX")=0),0))))</f>
      </c>
      <c r="H10463">
        <f>IF(DATOS!$G10463&lt;&gt;"EX",0,--(COUNTIFS(nNIA,DATOS!$A10463,nCURSO,DATOS!$D10463,nESPEC,DATOS!$E10463,nASIG,DATOS!$I10463,nEVAL,"OR")=0))</f>
      </c>
      <c r="I10463">
        <f>IF(DATOS!$I10463="","",IFERROR(VLOOKUP(DATOS!$I10463,CONFIG_ASIGNATURAS!$B$2:$J$91,9,FALSE()),""))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IF(DATOS!$A10464="",0,IF(CONFIG_METADATA!$B$4&lt;&gt;"OR+EX",--(DATOS!$G10464=CONFIG_METADATA!$B$4),IF(DATOS!$G10464="EX",1,IF(DATOS!$G10464="OR",--(COUNTIFS(nNIA,DATOS!$A10464,nCURSO,DATOS!$D10464,nESPEC,DATOS!$E10464,nASIG,DATOS!$I10464,nEVAL,"EX")=0),0))))</f>
      </c>
      <c r="H10464">
        <f>IF(DATOS!$G10464&lt;&gt;"EX",0,--(COUNTIFS(nNIA,DATOS!$A10464,nCURSO,DATOS!$D10464,nESPEC,DATOS!$E10464,nASIG,DATOS!$I10464,nEVAL,"OR")=0))</f>
      </c>
      <c r="I10464">
        <f>IF(DATOS!$I10464="","",IFERROR(VLOOKUP(DATOS!$I10464,CONFIG_ASIGNATURAS!$B$2:$J$91,9,FALSE()),""))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IF(DATOS!$A10465="",0,IF(CONFIG_METADATA!$B$4&lt;&gt;"OR+EX",--(DATOS!$G10465=CONFIG_METADATA!$B$4),IF(DATOS!$G10465="EX",1,IF(DATOS!$G10465="OR",--(COUNTIFS(nNIA,DATOS!$A10465,nCURSO,DATOS!$D10465,nESPEC,DATOS!$E10465,nASIG,DATOS!$I10465,nEVAL,"EX")=0),0))))</f>
      </c>
      <c r="H10465">
        <f>IF(DATOS!$G10465&lt;&gt;"EX",0,--(COUNTIFS(nNIA,DATOS!$A10465,nCURSO,DATOS!$D10465,nESPEC,DATOS!$E10465,nASIG,DATOS!$I10465,nEVAL,"OR")=0))</f>
      </c>
      <c r="I10465">
        <f>IF(DATOS!$I10465="","",IFERROR(VLOOKUP(DATOS!$I10465,CONFIG_ASIGNATURAS!$B$2:$J$91,9,FALSE()),""))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IF(DATOS!$A10466="",0,IF(CONFIG_METADATA!$B$4&lt;&gt;"OR+EX",--(DATOS!$G10466=CONFIG_METADATA!$B$4),IF(DATOS!$G10466="EX",1,IF(DATOS!$G10466="OR",--(COUNTIFS(nNIA,DATOS!$A10466,nCURSO,DATOS!$D10466,nESPEC,DATOS!$E10466,nASIG,DATOS!$I10466,nEVAL,"EX")=0),0))))</f>
      </c>
      <c r="H10466">
        <f>IF(DATOS!$G10466&lt;&gt;"EX",0,--(COUNTIFS(nNIA,DATOS!$A10466,nCURSO,DATOS!$D10466,nESPEC,DATOS!$E10466,nASIG,DATOS!$I10466,nEVAL,"OR")=0))</f>
      </c>
      <c r="I10466">
        <f>IF(DATOS!$I10466="","",IFERROR(VLOOKUP(DATOS!$I10466,CONFIG_ASIGNATURAS!$B$2:$J$91,9,FALSE()),""))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IF(DATOS!$A10467="",0,IF(CONFIG_METADATA!$B$4&lt;&gt;"OR+EX",--(DATOS!$G10467=CONFIG_METADATA!$B$4),IF(DATOS!$G10467="EX",1,IF(DATOS!$G10467="OR",--(COUNTIFS(nNIA,DATOS!$A10467,nCURSO,DATOS!$D10467,nESPEC,DATOS!$E10467,nASIG,DATOS!$I10467,nEVAL,"EX")=0),0))))</f>
      </c>
      <c r="H10467">
        <f>IF(DATOS!$G10467&lt;&gt;"EX",0,--(COUNTIFS(nNIA,DATOS!$A10467,nCURSO,DATOS!$D10467,nESPEC,DATOS!$E10467,nASIG,DATOS!$I10467,nEVAL,"OR")=0))</f>
      </c>
      <c r="I10467">
        <f>IF(DATOS!$I10467="","",IFERROR(VLOOKUP(DATOS!$I10467,CONFIG_ASIGNATURAS!$B$2:$J$91,9,FALSE()),""))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IF(DATOS!$A10468="",0,IF(CONFIG_METADATA!$B$4&lt;&gt;"OR+EX",--(DATOS!$G10468=CONFIG_METADATA!$B$4),IF(DATOS!$G10468="EX",1,IF(DATOS!$G10468="OR",--(COUNTIFS(nNIA,DATOS!$A10468,nCURSO,DATOS!$D10468,nESPEC,DATOS!$E10468,nASIG,DATOS!$I10468,nEVAL,"EX")=0),0))))</f>
      </c>
      <c r="H10468">
        <f>IF(DATOS!$G10468&lt;&gt;"EX",0,--(COUNTIFS(nNIA,DATOS!$A10468,nCURSO,DATOS!$D10468,nESPEC,DATOS!$E10468,nASIG,DATOS!$I10468,nEVAL,"OR")=0))</f>
      </c>
      <c r="I10468">
        <f>IF(DATOS!$I10468="","",IFERROR(VLOOKUP(DATOS!$I10468,CONFIG_ASIGNATURAS!$B$2:$J$91,9,FALSE()),""))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IF(DATOS!$A10469="",0,IF(CONFIG_METADATA!$B$4&lt;&gt;"OR+EX",--(DATOS!$G10469=CONFIG_METADATA!$B$4),IF(DATOS!$G10469="EX",1,IF(DATOS!$G10469="OR",--(COUNTIFS(nNIA,DATOS!$A10469,nCURSO,DATOS!$D10469,nESPEC,DATOS!$E10469,nASIG,DATOS!$I10469,nEVAL,"EX")=0),0))))</f>
      </c>
      <c r="H10469">
        <f>IF(DATOS!$G10469&lt;&gt;"EX",0,--(COUNTIFS(nNIA,DATOS!$A10469,nCURSO,DATOS!$D10469,nESPEC,DATOS!$E10469,nASIG,DATOS!$I10469,nEVAL,"OR")=0))</f>
      </c>
      <c r="I10469">
        <f>IF(DATOS!$I10469="","",IFERROR(VLOOKUP(DATOS!$I10469,CONFIG_ASIGNATURAS!$B$2:$J$91,9,FALSE()),""))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IF(DATOS!$A10470="",0,IF(CONFIG_METADATA!$B$4&lt;&gt;"OR+EX",--(DATOS!$G10470=CONFIG_METADATA!$B$4),IF(DATOS!$G10470="EX",1,IF(DATOS!$G10470="OR",--(COUNTIFS(nNIA,DATOS!$A10470,nCURSO,DATOS!$D10470,nESPEC,DATOS!$E10470,nASIG,DATOS!$I10470,nEVAL,"EX")=0),0))))</f>
      </c>
      <c r="H10470">
        <f>IF(DATOS!$G10470&lt;&gt;"EX",0,--(COUNTIFS(nNIA,DATOS!$A10470,nCURSO,DATOS!$D10470,nESPEC,DATOS!$E10470,nASIG,DATOS!$I10470,nEVAL,"OR")=0))</f>
      </c>
      <c r="I10470">
        <f>IF(DATOS!$I10470="","",IFERROR(VLOOKUP(DATOS!$I10470,CONFIG_ASIGNATURAS!$B$2:$J$91,9,FALSE()),""))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IF(DATOS!$A10471="",0,IF(CONFIG_METADATA!$B$4&lt;&gt;"OR+EX",--(DATOS!$G10471=CONFIG_METADATA!$B$4),IF(DATOS!$G10471="EX",1,IF(DATOS!$G10471="OR",--(COUNTIFS(nNIA,DATOS!$A10471,nCURSO,DATOS!$D10471,nESPEC,DATOS!$E10471,nASIG,DATOS!$I10471,nEVAL,"EX")=0),0))))</f>
      </c>
      <c r="H10471">
        <f>IF(DATOS!$G10471&lt;&gt;"EX",0,--(COUNTIFS(nNIA,DATOS!$A10471,nCURSO,DATOS!$D10471,nESPEC,DATOS!$E10471,nASIG,DATOS!$I10471,nEVAL,"OR")=0))</f>
      </c>
      <c r="I10471">
        <f>IF(DATOS!$I10471="","",IFERROR(VLOOKUP(DATOS!$I10471,CONFIG_ASIGNATURAS!$B$2:$J$91,9,FALSE()),""))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IF(DATOS!$A10472="",0,IF(CONFIG_METADATA!$B$4&lt;&gt;"OR+EX",--(DATOS!$G10472=CONFIG_METADATA!$B$4),IF(DATOS!$G10472="EX",1,IF(DATOS!$G10472="OR",--(COUNTIFS(nNIA,DATOS!$A10472,nCURSO,DATOS!$D10472,nESPEC,DATOS!$E10472,nASIG,DATOS!$I10472,nEVAL,"EX")=0),0))))</f>
      </c>
      <c r="H10472">
        <f>IF(DATOS!$G10472&lt;&gt;"EX",0,--(COUNTIFS(nNIA,DATOS!$A10472,nCURSO,DATOS!$D10472,nESPEC,DATOS!$E10472,nASIG,DATOS!$I10472,nEVAL,"OR")=0))</f>
      </c>
      <c r="I10472">
        <f>IF(DATOS!$I10472="","",IFERROR(VLOOKUP(DATOS!$I10472,CONFIG_ASIGNATURAS!$B$2:$J$91,9,FALSE()),""))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IF(DATOS!$A10473="",0,IF(CONFIG_METADATA!$B$4&lt;&gt;"OR+EX",--(DATOS!$G10473=CONFIG_METADATA!$B$4),IF(DATOS!$G10473="EX",1,IF(DATOS!$G10473="OR",--(COUNTIFS(nNIA,DATOS!$A10473,nCURSO,DATOS!$D10473,nESPEC,DATOS!$E10473,nASIG,DATOS!$I10473,nEVAL,"EX")=0),0))))</f>
      </c>
      <c r="H10473">
        <f>IF(DATOS!$G10473&lt;&gt;"EX",0,--(COUNTIFS(nNIA,DATOS!$A10473,nCURSO,DATOS!$D10473,nESPEC,DATOS!$E10473,nASIG,DATOS!$I10473,nEVAL,"OR")=0))</f>
      </c>
      <c r="I10473">
        <f>IF(DATOS!$I10473="","",IFERROR(VLOOKUP(DATOS!$I10473,CONFIG_ASIGNATURAS!$B$2:$J$91,9,FALSE()),""))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IF(DATOS!$A10474="",0,IF(CONFIG_METADATA!$B$4&lt;&gt;"OR+EX",--(DATOS!$G10474=CONFIG_METADATA!$B$4),IF(DATOS!$G10474="EX",1,IF(DATOS!$G10474="OR",--(COUNTIFS(nNIA,DATOS!$A10474,nCURSO,DATOS!$D10474,nESPEC,DATOS!$E10474,nASIG,DATOS!$I10474,nEVAL,"EX")=0),0))))</f>
      </c>
      <c r="H10474">
        <f>IF(DATOS!$G10474&lt;&gt;"EX",0,--(COUNTIFS(nNIA,DATOS!$A10474,nCURSO,DATOS!$D10474,nESPEC,DATOS!$E10474,nASIG,DATOS!$I10474,nEVAL,"OR")=0))</f>
      </c>
      <c r="I10474">
        <f>IF(DATOS!$I10474="","",IFERROR(VLOOKUP(DATOS!$I10474,CONFIG_ASIGNATURAS!$B$2:$J$91,9,FALSE()),""))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IF(DATOS!$A10475="",0,IF(CONFIG_METADATA!$B$4&lt;&gt;"OR+EX",--(DATOS!$G10475=CONFIG_METADATA!$B$4),IF(DATOS!$G10475="EX",1,IF(DATOS!$G10475="OR",--(COUNTIFS(nNIA,DATOS!$A10475,nCURSO,DATOS!$D10475,nESPEC,DATOS!$E10475,nASIG,DATOS!$I10475,nEVAL,"EX")=0),0))))</f>
      </c>
      <c r="H10475">
        <f>IF(DATOS!$G10475&lt;&gt;"EX",0,--(COUNTIFS(nNIA,DATOS!$A10475,nCURSO,DATOS!$D10475,nESPEC,DATOS!$E10475,nASIG,DATOS!$I10475,nEVAL,"OR")=0))</f>
      </c>
      <c r="I10475">
        <f>IF(DATOS!$I10475="","",IFERROR(VLOOKUP(DATOS!$I10475,CONFIG_ASIGNATURAS!$B$2:$J$91,9,FALSE()),""))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IF(DATOS!$A10476="",0,IF(CONFIG_METADATA!$B$4&lt;&gt;"OR+EX",--(DATOS!$G10476=CONFIG_METADATA!$B$4),IF(DATOS!$G10476="EX",1,IF(DATOS!$G10476="OR",--(COUNTIFS(nNIA,DATOS!$A10476,nCURSO,DATOS!$D10476,nESPEC,DATOS!$E10476,nASIG,DATOS!$I10476,nEVAL,"EX")=0),0))))</f>
      </c>
      <c r="H10476">
        <f>IF(DATOS!$G10476&lt;&gt;"EX",0,--(COUNTIFS(nNIA,DATOS!$A10476,nCURSO,DATOS!$D10476,nESPEC,DATOS!$E10476,nASIG,DATOS!$I10476,nEVAL,"OR")=0))</f>
      </c>
      <c r="I10476">
        <f>IF(DATOS!$I10476="","",IFERROR(VLOOKUP(DATOS!$I10476,CONFIG_ASIGNATURAS!$B$2:$J$91,9,FALSE()),""))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IF(DATOS!$A10477="",0,IF(CONFIG_METADATA!$B$4&lt;&gt;"OR+EX",--(DATOS!$G10477=CONFIG_METADATA!$B$4),IF(DATOS!$G10477="EX",1,IF(DATOS!$G10477="OR",--(COUNTIFS(nNIA,DATOS!$A10477,nCURSO,DATOS!$D10477,nESPEC,DATOS!$E10477,nASIG,DATOS!$I10477,nEVAL,"EX")=0),0))))</f>
      </c>
      <c r="H10477">
        <f>IF(DATOS!$G10477&lt;&gt;"EX",0,--(COUNTIFS(nNIA,DATOS!$A10477,nCURSO,DATOS!$D10477,nESPEC,DATOS!$E10477,nASIG,DATOS!$I10477,nEVAL,"OR")=0))</f>
      </c>
      <c r="I10477">
        <f>IF(DATOS!$I10477="","",IFERROR(VLOOKUP(DATOS!$I10477,CONFIG_ASIGNATURAS!$B$2:$J$91,9,FALSE()),""))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IF(DATOS!$A10478="",0,IF(CONFIG_METADATA!$B$4&lt;&gt;"OR+EX",--(DATOS!$G10478=CONFIG_METADATA!$B$4),IF(DATOS!$G10478="EX",1,IF(DATOS!$G10478="OR",--(COUNTIFS(nNIA,DATOS!$A10478,nCURSO,DATOS!$D10478,nESPEC,DATOS!$E10478,nASIG,DATOS!$I10478,nEVAL,"EX")=0),0))))</f>
      </c>
      <c r="H10478">
        <f>IF(DATOS!$G10478&lt;&gt;"EX",0,--(COUNTIFS(nNIA,DATOS!$A10478,nCURSO,DATOS!$D10478,nESPEC,DATOS!$E10478,nASIG,DATOS!$I10478,nEVAL,"OR")=0))</f>
      </c>
      <c r="I10478">
        <f>IF(DATOS!$I10478="","",IFERROR(VLOOKUP(DATOS!$I10478,CONFIG_ASIGNATURAS!$B$2:$J$91,9,FALSE()),""))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IF(DATOS!$A10479="",0,IF(CONFIG_METADATA!$B$4&lt;&gt;"OR+EX",--(DATOS!$G10479=CONFIG_METADATA!$B$4),IF(DATOS!$G10479="EX",1,IF(DATOS!$G10479="OR",--(COUNTIFS(nNIA,DATOS!$A10479,nCURSO,DATOS!$D10479,nESPEC,DATOS!$E10479,nASIG,DATOS!$I10479,nEVAL,"EX")=0),0))))</f>
      </c>
      <c r="H10479">
        <f>IF(DATOS!$G10479&lt;&gt;"EX",0,--(COUNTIFS(nNIA,DATOS!$A10479,nCURSO,DATOS!$D10479,nESPEC,DATOS!$E10479,nASIG,DATOS!$I10479,nEVAL,"OR")=0))</f>
      </c>
      <c r="I10479">
        <f>IF(DATOS!$I10479="","",IFERROR(VLOOKUP(DATOS!$I10479,CONFIG_ASIGNATURAS!$B$2:$J$91,9,FALSE()),""))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IF(DATOS!$A10480="",0,IF(CONFIG_METADATA!$B$4&lt;&gt;"OR+EX",--(DATOS!$G10480=CONFIG_METADATA!$B$4),IF(DATOS!$G10480="EX",1,IF(DATOS!$G10480="OR",--(COUNTIFS(nNIA,DATOS!$A10480,nCURSO,DATOS!$D10480,nESPEC,DATOS!$E10480,nASIG,DATOS!$I10480,nEVAL,"EX")=0),0))))</f>
      </c>
      <c r="H10480">
        <f>IF(DATOS!$G10480&lt;&gt;"EX",0,--(COUNTIFS(nNIA,DATOS!$A10480,nCURSO,DATOS!$D10480,nESPEC,DATOS!$E10480,nASIG,DATOS!$I10480,nEVAL,"OR")=0))</f>
      </c>
      <c r="I10480">
        <f>IF(DATOS!$I10480="","",IFERROR(VLOOKUP(DATOS!$I10480,CONFIG_ASIGNATURAS!$B$2:$J$91,9,FALSE()),""))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IF(DATOS!$A10481="",0,IF(CONFIG_METADATA!$B$4&lt;&gt;"OR+EX",--(DATOS!$G10481=CONFIG_METADATA!$B$4),IF(DATOS!$G10481="EX",1,IF(DATOS!$G10481="OR",--(COUNTIFS(nNIA,DATOS!$A10481,nCURSO,DATOS!$D10481,nESPEC,DATOS!$E10481,nASIG,DATOS!$I10481,nEVAL,"EX")=0),0))))</f>
      </c>
      <c r="H10481">
        <f>IF(DATOS!$G10481&lt;&gt;"EX",0,--(COUNTIFS(nNIA,DATOS!$A10481,nCURSO,DATOS!$D10481,nESPEC,DATOS!$E10481,nASIG,DATOS!$I10481,nEVAL,"OR")=0))</f>
      </c>
      <c r="I10481">
        <f>IF(DATOS!$I10481="","",IFERROR(VLOOKUP(DATOS!$I10481,CONFIG_ASIGNATURAS!$B$2:$J$91,9,FALSE()),""))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IF(DATOS!$A10482="",0,IF(CONFIG_METADATA!$B$4&lt;&gt;"OR+EX",--(DATOS!$G10482=CONFIG_METADATA!$B$4),IF(DATOS!$G10482="EX",1,IF(DATOS!$G10482="OR",--(COUNTIFS(nNIA,DATOS!$A10482,nCURSO,DATOS!$D10482,nESPEC,DATOS!$E10482,nASIG,DATOS!$I10482,nEVAL,"EX")=0),0))))</f>
      </c>
      <c r="H10482">
        <f>IF(DATOS!$G10482&lt;&gt;"EX",0,--(COUNTIFS(nNIA,DATOS!$A10482,nCURSO,DATOS!$D10482,nESPEC,DATOS!$E10482,nASIG,DATOS!$I10482,nEVAL,"OR")=0))</f>
      </c>
      <c r="I10482">
        <f>IF(DATOS!$I10482="","",IFERROR(VLOOKUP(DATOS!$I10482,CONFIG_ASIGNATURAS!$B$2:$J$91,9,FALSE()),""))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IF(DATOS!$A10483="",0,IF(CONFIG_METADATA!$B$4&lt;&gt;"OR+EX",--(DATOS!$G10483=CONFIG_METADATA!$B$4),IF(DATOS!$G10483="EX",1,IF(DATOS!$G10483="OR",--(COUNTIFS(nNIA,DATOS!$A10483,nCURSO,DATOS!$D10483,nESPEC,DATOS!$E10483,nASIG,DATOS!$I10483,nEVAL,"EX")=0),0))))</f>
      </c>
      <c r="H10483">
        <f>IF(DATOS!$G10483&lt;&gt;"EX",0,--(COUNTIFS(nNIA,DATOS!$A10483,nCURSO,DATOS!$D10483,nESPEC,DATOS!$E10483,nASIG,DATOS!$I10483,nEVAL,"OR")=0))</f>
      </c>
      <c r="I10483">
        <f>IF(DATOS!$I10483="","",IFERROR(VLOOKUP(DATOS!$I10483,CONFIG_ASIGNATURAS!$B$2:$J$91,9,FALSE()),""))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IF(DATOS!$A10484="",0,IF(CONFIG_METADATA!$B$4&lt;&gt;"OR+EX",--(DATOS!$G10484=CONFIG_METADATA!$B$4),IF(DATOS!$G10484="EX",1,IF(DATOS!$G10484="OR",--(COUNTIFS(nNIA,DATOS!$A10484,nCURSO,DATOS!$D10484,nESPEC,DATOS!$E10484,nASIG,DATOS!$I10484,nEVAL,"EX")=0),0))))</f>
      </c>
      <c r="H10484">
        <f>IF(DATOS!$G10484&lt;&gt;"EX",0,--(COUNTIFS(nNIA,DATOS!$A10484,nCURSO,DATOS!$D10484,nESPEC,DATOS!$E10484,nASIG,DATOS!$I10484,nEVAL,"OR")=0))</f>
      </c>
      <c r="I10484">
        <f>IF(DATOS!$I10484="","",IFERROR(VLOOKUP(DATOS!$I10484,CONFIG_ASIGNATURAS!$B$2:$J$91,9,FALSE()),""))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IF(DATOS!$A10485="",0,IF(CONFIG_METADATA!$B$4&lt;&gt;"OR+EX",--(DATOS!$G10485=CONFIG_METADATA!$B$4),IF(DATOS!$G10485="EX",1,IF(DATOS!$G10485="OR",--(COUNTIFS(nNIA,DATOS!$A10485,nCURSO,DATOS!$D10485,nESPEC,DATOS!$E10485,nASIG,DATOS!$I10485,nEVAL,"EX")=0),0))))</f>
      </c>
      <c r="H10485">
        <f>IF(DATOS!$G10485&lt;&gt;"EX",0,--(COUNTIFS(nNIA,DATOS!$A10485,nCURSO,DATOS!$D10485,nESPEC,DATOS!$E10485,nASIG,DATOS!$I10485,nEVAL,"OR")=0))</f>
      </c>
      <c r="I10485">
        <f>IF(DATOS!$I10485="","",IFERROR(VLOOKUP(DATOS!$I10485,CONFIG_ASIGNATURAS!$B$2:$J$91,9,FALSE()),""))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IF(DATOS!$A10486="",0,IF(CONFIG_METADATA!$B$4&lt;&gt;"OR+EX",--(DATOS!$G10486=CONFIG_METADATA!$B$4),IF(DATOS!$G10486="EX",1,IF(DATOS!$G10486="OR",--(COUNTIFS(nNIA,DATOS!$A10486,nCURSO,DATOS!$D10486,nESPEC,DATOS!$E10486,nASIG,DATOS!$I10486,nEVAL,"EX")=0),0))))</f>
      </c>
      <c r="H10486">
        <f>IF(DATOS!$G10486&lt;&gt;"EX",0,--(COUNTIFS(nNIA,DATOS!$A10486,nCURSO,DATOS!$D10486,nESPEC,DATOS!$E10486,nASIG,DATOS!$I10486,nEVAL,"OR")=0))</f>
      </c>
      <c r="I10486">
        <f>IF(DATOS!$I10486="","",IFERROR(VLOOKUP(DATOS!$I10486,CONFIG_ASIGNATURAS!$B$2:$J$91,9,FALSE()),""))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IF(DATOS!$A10487="",0,IF(CONFIG_METADATA!$B$4&lt;&gt;"OR+EX",--(DATOS!$G10487=CONFIG_METADATA!$B$4),IF(DATOS!$G10487="EX",1,IF(DATOS!$G10487="OR",--(COUNTIFS(nNIA,DATOS!$A10487,nCURSO,DATOS!$D10487,nESPEC,DATOS!$E10487,nASIG,DATOS!$I10487,nEVAL,"EX")=0),0))))</f>
      </c>
      <c r="H10487">
        <f>IF(DATOS!$G10487&lt;&gt;"EX",0,--(COUNTIFS(nNIA,DATOS!$A10487,nCURSO,DATOS!$D10487,nESPEC,DATOS!$E10487,nASIG,DATOS!$I10487,nEVAL,"OR")=0))</f>
      </c>
      <c r="I10487">
        <f>IF(DATOS!$I10487="","",IFERROR(VLOOKUP(DATOS!$I10487,CONFIG_ASIGNATURAS!$B$2:$J$91,9,FALSE()),""))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IF(DATOS!$A10488="",0,IF(CONFIG_METADATA!$B$4&lt;&gt;"OR+EX",--(DATOS!$G10488=CONFIG_METADATA!$B$4),IF(DATOS!$G10488="EX",1,IF(DATOS!$G10488="OR",--(COUNTIFS(nNIA,DATOS!$A10488,nCURSO,DATOS!$D10488,nESPEC,DATOS!$E10488,nASIG,DATOS!$I10488,nEVAL,"EX")=0),0))))</f>
      </c>
      <c r="H10488">
        <f>IF(DATOS!$G10488&lt;&gt;"EX",0,--(COUNTIFS(nNIA,DATOS!$A10488,nCURSO,DATOS!$D10488,nESPEC,DATOS!$E10488,nASIG,DATOS!$I10488,nEVAL,"OR")=0))</f>
      </c>
      <c r="I10488">
        <f>IF(DATOS!$I10488="","",IFERROR(VLOOKUP(DATOS!$I10488,CONFIG_ASIGNATURAS!$B$2:$J$91,9,FALSE()),""))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IF(DATOS!$A10489="",0,IF(CONFIG_METADATA!$B$4&lt;&gt;"OR+EX",--(DATOS!$G10489=CONFIG_METADATA!$B$4),IF(DATOS!$G10489="EX",1,IF(DATOS!$G10489="OR",--(COUNTIFS(nNIA,DATOS!$A10489,nCURSO,DATOS!$D10489,nESPEC,DATOS!$E10489,nASIG,DATOS!$I10489,nEVAL,"EX")=0),0))))</f>
      </c>
      <c r="H10489">
        <f>IF(DATOS!$G10489&lt;&gt;"EX",0,--(COUNTIFS(nNIA,DATOS!$A10489,nCURSO,DATOS!$D10489,nESPEC,DATOS!$E10489,nASIG,DATOS!$I10489,nEVAL,"OR")=0))</f>
      </c>
      <c r="I10489">
        <f>IF(DATOS!$I10489="","",IFERROR(VLOOKUP(DATOS!$I10489,CONFIG_ASIGNATURAS!$B$2:$J$91,9,FALSE()),""))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IF(DATOS!$A10490="",0,IF(CONFIG_METADATA!$B$4&lt;&gt;"OR+EX",--(DATOS!$G10490=CONFIG_METADATA!$B$4),IF(DATOS!$G10490="EX",1,IF(DATOS!$G10490="OR",--(COUNTIFS(nNIA,DATOS!$A10490,nCURSO,DATOS!$D10490,nESPEC,DATOS!$E10490,nASIG,DATOS!$I10490,nEVAL,"EX")=0),0))))</f>
      </c>
      <c r="H10490">
        <f>IF(DATOS!$G10490&lt;&gt;"EX",0,--(COUNTIFS(nNIA,DATOS!$A10490,nCURSO,DATOS!$D10490,nESPEC,DATOS!$E10490,nASIG,DATOS!$I10490,nEVAL,"OR")=0))</f>
      </c>
      <c r="I10490">
        <f>IF(DATOS!$I10490="","",IFERROR(VLOOKUP(DATOS!$I10490,CONFIG_ASIGNATURAS!$B$2:$J$91,9,FALSE()),""))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IF(DATOS!$A10491="",0,IF(CONFIG_METADATA!$B$4&lt;&gt;"OR+EX",--(DATOS!$G10491=CONFIG_METADATA!$B$4),IF(DATOS!$G10491="EX",1,IF(DATOS!$G10491="OR",--(COUNTIFS(nNIA,DATOS!$A10491,nCURSO,DATOS!$D10491,nESPEC,DATOS!$E10491,nASIG,DATOS!$I10491,nEVAL,"EX")=0),0))))</f>
      </c>
      <c r="H10491">
        <f>IF(DATOS!$G10491&lt;&gt;"EX",0,--(COUNTIFS(nNIA,DATOS!$A10491,nCURSO,DATOS!$D10491,nESPEC,DATOS!$E10491,nASIG,DATOS!$I10491,nEVAL,"OR")=0))</f>
      </c>
      <c r="I10491">
        <f>IF(DATOS!$I10491="","",IFERROR(VLOOKUP(DATOS!$I10491,CONFIG_ASIGNATURAS!$B$2:$J$91,9,FALSE()),""))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IF(DATOS!$A10492="",0,IF(CONFIG_METADATA!$B$4&lt;&gt;"OR+EX",--(DATOS!$G10492=CONFIG_METADATA!$B$4),IF(DATOS!$G10492="EX",1,IF(DATOS!$G10492="OR",--(COUNTIFS(nNIA,DATOS!$A10492,nCURSO,DATOS!$D10492,nESPEC,DATOS!$E10492,nASIG,DATOS!$I10492,nEVAL,"EX")=0),0))))</f>
      </c>
      <c r="H10492">
        <f>IF(DATOS!$G10492&lt;&gt;"EX",0,--(COUNTIFS(nNIA,DATOS!$A10492,nCURSO,DATOS!$D10492,nESPEC,DATOS!$E10492,nASIG,DATOS!$I10492,nEVAL,"OR")=0))</f>
      </c>
      <c r="I10492">
        <f>IF(DATOS!$I10492="","",IFERROR(VLOOKUP(DATOS!$I10492,CONFIG_ASIGNATURAS!$B$2:$J$91,9,FALSE()),""))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IF(DATOS!$A10493="",0,IF(CONFIG_METADATA!$B$4&lt;&gt;"OR+EX",--(DATOS!$G10493=CONFIG_METADATA!$B$4),IF(DATOS!$G10493="EX",1,IF(DATOS!$G10493="OR",--(COUNTIFS(nNIA,DATOS!$A10493,nCURSO,DATOS!$D10493,nESPEC,DATOS!$E10493,nASIG,DATOS!$I10493,nEVAL,"EX")=0),0))))</f>
      </c>
      <c r="H10493">
        <f>IF(DATOS!$G10493&lt;&gt;"EX",0,--(COUNTIFS(nNIA,DATOS!$A10493,nCURSO,DATOS!$D10493,nESPEC,DATOS!$E10493,nASIG,DATOS!$I10493,nEVAL,"OR")=0))</f>
      </c>
      <c r="I10493">
        <f>IF(DATOS!$I10493="","",IFERROR(VLOOKUP(DATOS!$I10493,CONFIG_ASIGNATURAS!$B$2:$J$91,9,FALSE()),""))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IF(DATOS!$A10494="",0,IF(CONFIG_METADATA!$B$4&lt;&gt;"OR+EX",--(DATOS!$G10494=CONFIG_METADATA!$B$4),IF(DATOS!$G10494="EX",1,IF(DATOS!$G10494="OR",--(COUNTIFS(nNIA,DATOS!$A10494,nCURSO,DATOS!$D10494,nESPEC,DATOS!$E10494,nASIG,DATOS!$I10494,nEVAL,"EX")=0),0))))</f>
      </c>
      <c r="H10494">
        <f>IF(DATOS!$G10494&lt;&gt;"EX",0,--(COUNTIFS(nNIA,DATOS!$A10494,nCURSO,DATOS!$D10494,nESPEC,DATOS!$E10494,nASIG,DATOS!$I10494,nEVAL,"OR")=0))</f>
      </c>
      <c r="I10494">
        <f>IF(DATOS!$I10494="","",IFERROR(VLOOKUP(DATOS!$I10494,CONFIG_ASIGNATURAS!$B$2:$J$91,9,FALSE()),""))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IF(DATOS!$A10495="",0,IF(CONFIG_METADATA!$B$4&lt;&gt;"OR+EX",--(DATOS!$G10495=CONFIG_METADATA!$B$4),IF(DATOS!$G10495="EX",1,IF(DATOS!$G10495="OR",--(COUNTIFS(nNIA,DATOS!$A10495,nCURSO,DATOS!$D10495,nESPEC,DATOS!$E10495,nASIG,DATOS!$I10495,nEVAL,"EX")=0),0))))</f>
      </c>
      <c r="H10495">
        <f>IF(DATOS!$G10495&lt;&gt;"EX",0,--(COUNTIFS(nNIA,DATOS!$A10495,nCURSO,DATOS!$D10495,nESPEC,DATOS!$E10495,nASIG,DATOS!$I10495,nEVAL,"OR")=0))</f>
      </c>
      <c r="I10495">
        <f>IF(DATOS!$I10495="","",IFERROR(VLOOKUP(DATOS!$I10495,CONFIG_ASIGNATURAS!$B$2:$J$91,9,FALSE()),""))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IF(DATOS!$A10496="",0,IF(CONFIG_METADATA!$B$4&lt;&gt;"OR+EX",--(DATOS!$G10496=CONFIG_METADATA!$B$4),IF(DATOS!$G10496="EX",1,IF(DATOS!$G10496="OR",--(COUNTIFS(nNIA,DATOS!$A10496,nCURSO,DATOS!$D10496,nESPEC,DATOS!$E10496,nASIG,DATOS!$I10496,nEVAL,"EX")=0),0))))</f>
      </c>
      <c r="H10496">
        <f>IF(DATOS!$G10496&lt;&gt;"EX",0,--(COUNTIFS(nNIA,DATOS!$A10496,nCURSO,DATOS!$D10496,nESPEC,DATOS!$E10496,nASIG,DATOS!$I10496,nEVAL,"OR")=0))</f>
      </c>
      <c r="I10496">
        <f>IF(DATOS!$I10496="","",IFERROR(VLOOKUP(DATOS!$I10496,CONFIG_ASIGNATURAS!$B$2:$J$91,9,FALSE()),""))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IF(DATOS!$A10497="",0,IF(CONFIG_METADATA!$B$4&lt;&gt;"OR+EX",--(DATOS!$G10497=CONFIG_METADATA!$B$4),IF(DATOS!$G10497="EX",1,IF(DATOS!$G10497="OR",--(COUNTIFS(nNIA,DATOS!$A10497,nCURSO,DATOS!$D10497,nESPEC,DATOS!$E10497,nASIG,DATOS!$I10497,nEVAL,"EX")=0),0))))</f>
      </c>
      <c r="H10497">
        <f>IF(DATOS!$G10497&lt;&gt;"EX",0,--(COUNTIFS(nNIA,DATOS!$A10497,nCURSO,DATOS!$D10497,nESPEC,DATOS!$E10497,nASIG,DATOS!$I10497,nEVAL,"OR")=0))</f>
      </c>
      <c r="I10497">
        <f>IF(DATOS!$I10497="","",IFERROR(VLOOKUP(DATOS!$I10497,CONFIG_ASIGNATURAS!$B$2:$J$91,9,FALSE()),""))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IF(DATOS!$A10498="",0,IF(CONFIG_METADATA!$B$4&lt;&gt;"OR+EX",--(DATOS!$G10498=CONFIG_METADATA!$B$4),IF(DATOS!$G10498="EX",1,IF(DATOS!$G10498="OR",--(COUNTIFS(nNIA,DATOS!$A10498,nCURSO,DATOS!$D10498,nESPEC,DATOS!$E10498,nASIG,DATOS!$I10498,nEVAL,"EX")=0),0))))</f>
      </c>
      <c r="H10498">
        <f>IF(DATOS!$G10498&lt;&gt;"EX",0,--(COUNTIFS(nNIA,DATOS!$A10498,nCURSO,DATOS!$D10498,nESPEC,DATOS!$E10498,nASIG,DATOS!$I10498,nEVAL,"OR")=0))</f>
      </c>
      <c r="I10498">
        <f>IF(DATOS!$I10498="","",IFERROR(VLOOKUP(DATOS!$I10498,CONFIG_ASIGNATURAS!$B$2:$J$91,9,FALSE()),""))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IF(DATOS!$A10499="",0,IF(CONFIG_METADATA!$B$4&lt;&gt;"OR+EX",--(DATOS!$G10499=CONFIG_METADATA!$B$4),IF(DATOS!$G10499="EX",1,IF(DATOS!$G10499="OR",--(COUNTIFS(nNIA,DATOS!$A10499,nCURSO,DATOS!$D10499,nESPEC,DATOS!$E10499,nASIG,DATOS!$I10499,nEVAL,"EX")=0),0))))</f>
      </c>
      <c r="H10499">
        <f>IF(DATOS!$G10499&lt;&gt;"EX",0,--(COUNTIFS(nNIA,DATOS!$A10499,nCURSO,DATOS!$D10499,nESPEC,DATOS!$E10499,nASIG,DATOS!$I10499,nEVAL,"OR")=0))</f>
      </c>
      <c r="I10499">
        <f>IF(DATOS!$I10499="","",IFERROR(VLOOKUP(DATOS!$I10499,CONFIG_ASIGNATURAS!$B$2:$J$91,9,FALSE()),""))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IF(DATOS!$A10500="",0,IF(CONFIG_METADATA!$B$4&lt;&gt;"OR+EX",--(DATOS!$G10500=CONFIG_METADATA!$B$4),IF(DATOS!$G10500="EX",1,IF(DATOS!$G10500="OR",--(COUNTIFS(nNIA,DATOS!$A10500,nCURSO,DATOS!$D10500,nESPEC,DATOS!$E10500,nASIG,DATOS!$I10500,nEVAL,"EX")=0),0))))</f>
      </c>
      <c r="H10500">
        <f>IF(DATOS!$G10500&lt;&gt;"EX",0,--(COUNTIFS(nNIA,DATOS!$A10500,nCURSO,DATOS!$D10500,nESPEC,DATOS!$E10500,nASIG,DATOS!$I10500,nEVAL,"OR")=0))</f>
      </c>
      <c r="I10500">
        <f>IF(DATOS!$I10500="","",IFERROR(VLOOKUP(DATOS!$I10500,CONFIG_ASIGNATURAS!$B$2:$J$91,9,FALSE()),""))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IF(DATOS!$A10501="",0,IF(CONFIG_METADATA!$B$4&lt;&gt;"OR+EX",--(DATOS!$G10501=CONFIG_METADATA!$B$4),IF(DATOS!$G10501="EX",1,IF(DATOS!$G10501="OR",--(COUNTIFS(nNIA,DATOS!$A10501,nCURSO,DATOS!$D10501,nESPEC,DATOS!$E10501,nASIG,DATOS!$I10501,nEVAL,"EX")=0),0))))</f>
      </c>
      <c r="H10501">
        <f>IF(DATOS!$G10501&lt;&gt;"EX",0,--(COUNTIFS(nNIA,DATOS!$A10501,nCURSO,DATOS!$D10501,nESPEC,DATOS!$E10501,nASIG,DATOS!$I10501,nEVAL,"OR")=0))</f>
      </c>
      <c r="I10501">
        <f>IF(DATOS!$I10501="","",IFERROR(VLOOKUP(DATOS!$I10501,CONFIG_ASIGNATURAS!$B$2:$J$91,9,FALSE()),""))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IF(DATOS!$A10502="",0,IF(CONFIG_METADATA!$B$4&lt;&gt;"OR+EX",--(DATOS!$G10502=CONFIG_METADATA!$B$4),IF(DATOS!$G10502="EX",1,IF(DATOS!$G10502="OR",--(COUNTIFS(nNIA,DATOS!$A10502,nCURSO,DATOS!$D10502,nESPEC,DATOS!$E10502,nASIG,DATOS!$I10502,nEVAL,"EX")=0),0))))</f>
      </c>
      <c r="H10502">
        <f>IF(DATOS!$G10502&lt;&gt;"EX",0,--(COUNTIFS(nNIA,DATOS!$A10502,nCURSO,DATOS!$D10502,nESPEC,DATOS!$E10502,nASIG,DATOS!$I10502,nEVAL,"OR")=0))</f>
      </c>
      <c r="I10502">
        <f>IF(DATOS!$I10502="","",IFERROR(VLOOKUP(DATOS!$I10502,CONFIG_ASIGNATURAS!$B$2:$J$91,9,FALSE()),""))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IF(DATOS!$A10503="",0,IF(CONFIG_METADATA!$B$4&lt;&gt;"OR+EX",--(DATOS!$G10503=CONFIG_METADATA!$B$4),IF(DATOS!$G10503="EX",1,IF(DATOS!$G10503="OR",--(COUNTIFS(nNIA,DATOS!$A10503,nCURSO,DATOS!$D10503,nESPEC,DATOS!$E10503,nASIG,DATOS!$I10503,nEVAL,"EX")=0),0))))</f>
      </c>
      <c r="H10503">
        <f>IF(DATOS!$G10503&lt;&gt;"EX",0,--(COUNTIFS(nNIA,DATOS!$A10503,nCURSO,DATOS!$D10503,nESPEC,DATOS!$E10503,nASIG,DATOS!$I10503,nEVAL,"OR")=0))</f>
      </c>
      <c r="I10503">
        <f>IF(DATOS!$I10503="","",IFERROR(VLOOKUP(DATOS!$I10503,CONFIG_ASIGNATURAS!$B$2:$J$91,9,FALSE()),""))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IF(DATOS!$A10504="",0,IF(CONFIG_METADATA!$B$4&lt;&gt;"OR+EX",--(DATOS!$G10504=CONFIG_METADATA!$B$4),IF(DATOS!$G10504="EX",1,IF(DATOS!$G10504="OR",--(COUNTIFS(nNIA,DATOS!$A10504,nCURSO,DATOS!$D10504,nESPEC,DATOS!$E10504,nASIG,DATOS!$I10504,nEVAL,"EX")=0),0))))</f>
      </c>
      <c r="H10504">
        <f>IF(DATOS!$G10504&lt;&gt;"EX",0,--(COUNTIFS(nNIA,DATOS!$A10504,nCURSO,DATOS!$D10504,nESPEC,DATOS!$E10504,nASIG,DATOS!$I10504,nEVAL,"OR")=0))</f>
      </c>
      <c r="I10504">
        <f>IF(DATOS!$I10504="","",IFERROR(VLOOKUP(DATOS!$I10504,CONFIG_ASIGNATURAS!$B$2:$J$91,9,FALSE()),""))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IF(DATOS!$A10505="",0,IF(CONFIG_METADATA!$B$4&lt;&gt;"OR+EX",--(DATOS!$G10505=CONFIG_METADATA!$B$4),IF(DATOS!$G10505="EX",1,IF(DATOS!$G10505="OR",--(COUNTIFS(nNIA,DATOS!$A10505,nCURSO,DATOS!$D10505,nESPEC,DATOS!$E10505,nASIG,DATOS!$I10505,nEVAL,"EX")=0),0))))</f>
      </c>
      <c r="H10505">
        <f>IF(DATOS!$G10505&lt;&gt;"EX",0,--(COUNTIFS(nNIA,DATOS!$A10505,nCURSO,DATOS!$D10505,nESPEC,DATOS!$E10505,nASIG,DATOS!$I10505,nEVAL,"OR")=0))</f>
      </c>
      <c r="I10505">
        <f>IF(DATOS!$I10505="","",IFERROR(VLOOKUP(DATOS!$I10505,CONFIG_ASIGNATURAS!$B$2:$J$91,9,FALSE()),""))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IF(DATOS!$A10506="",0,IF(CONFIG_METADATA!$B$4&lt;&gt;"OR+EX",--(DATOS!$G10506=CONFIG_METADATA!$B$4),IF(DATOS!$G10506="EX",1,IF(DATOS!$G10506="OR",--(COUNTIFS(nNIA,DATOS!$A10506,nCURSO,DATOS!$D10506,nESPEC,DATOS!$E10506,nASIG,DATOS!$I10506,nEVAL,"EX")=0),0))))</f>
      </c>
      <c r="H10506">
        <f>IF(DATOS!$G10506&lt;&gt;"EX",0,--(COUNTIFS(nNIA,DATOS!$A10506,nCURSO,DATOS!$D10506,nESPEC,DATOS!$E10506,nASIG,DATOS!$I10506,nEVAL,"OR")=0))</f>
      </c>
      <c r="I10506">
        <f>IF(DATOS!$I10506="","",IFERROR(VLOOKUP(DATOS!$I10506,CONFIG_ASIGNATURAS!$B$2:$J$91,9,FALSE()),""))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IF(DATOS!$A10507="",0,IF(CONFIG_METADATA!$B$4&lt;&gt;"OR+EX",--(DATOS!$G10507=CONFIG_METADATA!$B$4),IF(DATOS!$G10507="EX",1,IF(DATOS!$G10507="OR",--(COUNTIFS(nNIA,DATOS!$A10507,nCURSO,DATOS!$D10507,nESPEC,DATOS!$E10507,nASIG,DATOS!$I10507,nEVAL,"EX")=0),0))))</f>
      </c>
      <c r="H10507">
        <f>IF(DATOS!$G10507&lt;&gt;"EX",0,--(COUNTIFS(nNIA,DATOS!$A10507,nCURSO,DATOS!$D10507,nESPEC,DATOS!$E10507,nASIG,DATOS!$I10507,nEVAL,"OR")=0))</f>
      </c>
      <c r="I10507">
        <f>IF(DATOS!$I10507="","",IFERROR(VLOOKUP(DATOS!$I10507,CONFIG_ASIGNATURAS!$B$2:$J$91,9,FALSE()),""))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IF(DATOS!$A10508="",0,IF(CONFIG_METADATA!$B$4&lt;&gt;"OR+EX",--(DATOS!$G10508=CONFIG_METADATA!$B$4),IF(DATOS!$G10508="EX",1,IF(DATOS!$G10508="OR",--(COUNTIFS(nNIA,DATOS!$A10508,nCURSO,DATOS!$D10508,nESPEC,DATOS!$E10508,nASIG,DATOS!$I10508,nEVAL,"EX")=0),0))))</f>
      </c>
      <c r="H10508">
        <f>IF(DATOS!$G10508&lt;&gt;"EX",0,--(COUNTIFS(nNIA,DATOS!$A10508,nCURSO,DATOS!$D10508,nESPEC,DATOS!$E10508,nASIG,DATOS!$I10508,nEVAL,"OR")=0))</f>
      </c>
      <c r="I10508">
        <f>IF(DATOS!$I10508="","",IFERROR(VLOOKUP(DATOS!$I10508,CONFIG_ASIGNATURAS!$B$2:$J$91,9,FALSE()),""))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IF(DATOS!$A10509="",0,IF(CONFIG_METADATA!$B$4&lt;&gt;"OR+EX",--(DATOS!$G10509=CONFIG_METADATA!$B$4),IF(DATOS!$G10509="EX",1,IF(DATOS!$G10509="OR",--(COUNTIFS(nNIA,DATOS!$A10509,nCURSO,DATOS!$D10509,nESPEC,DATOS!$E10509,nASIG,DATOS!$I10509,nEVAL,"EX")=0),0))))</f>
      </c>
      <c r="H10509">
        <f>IF(DATOS!$G10509&lt;&gt;"EX",0,--(COUNTIFS(nNIA,DATOS!$A10509,nCURSO,DATOS!$D10509,nESPEC,DATOS!$E10509,nASIG,DATOS!$I10509,nEVAL,"OR")=0))</f>
      </c>
      <c r="I10509">
        <f>IF(DATOS!$I10509="","",IFERROR(VLOOKUP(DATOS!$I10509,CONFIG_ASIGNATURAS!$B$2:$J$91,9,FALSE()),""))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IF(DATOS!$A10510="",0,IF(CONFIG_METADATA!$B$4&lt;&gt;"OR+EX",--(DATOS!$G10510=CONFIG_METADATA!$B$4),IF(DATOS!$G10510="EX",1,IF(DATOS!$G10510="OR",--(COUNTIFS(nNIA,DATOS!$A10510,nCURSO,DATOS!$D10510,nESPEC,DATOS!$E10510,nASIG,DATOS!$I10510,nEVAL,"EX")=0),0))))</f>
      </c>
      <c r="H10510">
        <f>IF(DATOS!$G10510&lt;&gt;"EX",0,--(COUNTIFS(nNIA,DATOS!$A10510,nCURSO,DATOS!$D10510,nESPEC,DATOS!$E10510,nASIG,DATOS!$I10510,nEVAL,"OR")=0))</f>
      </c>
      <c r="I10510">
        <f>IF(DATOS!$I10510="","",IFERROR(VLOOKUP(DATOS!$I10510,CONFIG_ASIGNATURAS!$B$2:$J$91,9,FALSE()),""))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IF(DATOS!$A10511="",0,IF(CONFIG_METADATA!$B$4&lt;&gt;"OR+EX",--(DATOS!$G10511=CONFIG_METADATA!$B$4),IF(DATOS!$G10511="EX",1,IF(DATOS!$G10511="OR",--(COUNTIFS(nNIA,DATOS!$A10511,nCURSO,DATOS!$D10511,nESPEC,DATOS!$E10511,nASIG,DATOS!$I10511,nEVAL,"EX")=0),0))))</f>
      </c>
      <c r="H10511">
        <f>IF(DATOS!$G10511&lt;&gt;"EX",0,--(COUNTIFS(nNIA,DATOS!$A10511,nCURSO,DATOS!$D10511,nESPEC,DATOS!$E10511,nASIG,DATOS!$I10511,nEVAL,"OR")=0))</f>
      </c>
      <c r="I10511">
        <f>IF(DATOS!$I10511="","",IFERROR(VLOOKUP(DATOS!$I10511,CONFIG_ASIGNATURAS!$B$2:$J$91,9,FALSE()),""))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IF(DATOS!$A10512="",0,IF(CONFIG_METADATA!$B$4&lt;&gt;"OR+EX",--(DATOS!$G10512=CONFIG_METADATA!$B$4),IF(DATOS!$G10512="EX",1,IF(DATOS!$G10512="OR",--(COUNTIFS(nNIA,DATOS!$A10512,nCURSO,DATOS!$D10512,nESPEC,DATOS!$E10512,nASIG,DATOS!$I10512,nEVAL,"EX")=0),0))))</f>
      </c>
      <c r="H10512">
        <f>IF(DATOS!$G10512&lt;&gt;"EX",0,--(COUNTIFS(nNIA,DATOS!$A10512,nCURSO,DATOS!$D10512,nESPEC,DATOS!$E10512,nASIG,DATOS!$I10512,nEVAL,"OR")=0))</f>
      </c>
      <c r="I10512">
        <f>IF(DATOS!$I10512="","",IFERROR(VLOOKUP(DATOS!$I10512,CONFIG_ASIGNATURAS!$B$2:$J$91,9,FALSE()),""))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IF(DATOS!$A10513="",0,IF(CONFIG_METADATA!$B$4&lt;&gt;"OR+EX",--(DATOS!$G10513=CONFIG_METADATA!$B$4),IF(DATOS!$G10513="EX",1,IF(DATOS!$G10513="OR",--(COUNTIFS(nNIA,DATOS!$A10513,nCURSO,DATOS!$D10513,nESPEC,DATOS!$E10513,nASIG,DATOS!$I10513,nEVAL,"EX")=0),0))))</f>
      </c>
      <c r="H10513">
        <f>IF(DATOS!$G10513&lt;&gt;"EX",0,--(COUNTIFS(nNIA,DATOS!$A10513,nCURSO,DATOS!$D10513,nESPEC,DATOS!$E10513,nASIG,DATOS!$I10513,nEVAL,"OR")=0))</f>
      </c>
      <c r="I10513">
        <f>IF(DATOS!$I10513="","",IFERROR(VLOOKUP(DATOS!$I10513,CONFIG_ASIGNATURAS!$B$2:$J$91,9,FALSE()),""))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IF(DATOS!$A10514="",0,IF(CONFIG_METADATA!$B$4&lt;&gt;"OR+EX",--(DATOS!$G10514=CONFIG_METADATA!$B$4),IF(DATOS!$G10514="EX",1,IF(DATOS!$G10514="OR",--(COUNTIFS(nNIA,DATOS!$A10514,nCURSO,DATOS!$D10514,nESPEC,DATOS!$E10514,nASIG,DATOS!$I10514,nEVAL,"EX")=0),0))))</f>
      </c>
      <c r="H10514">
        <f>IF(DATOS!$G10514&lt;&gt;"EX",0,--(COUNTIFS(nNIA,DATOS!$A10514,nCURSO,DATOS!$D10514,nESPEC,DATOS!$E10514,nASIG,DATOS!$I10514,nEVAL,"OR")=0))</f>
      </c>
      <c r="I10514">
        <f>IF(DATOS!$I10514="","",IFERROR(VLOOKUP(DATOS!$I10514,CONFIG_ASIGNATURAS!$B$2:$J$91,9,FALSE()),""))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IF(DATOS!$A10515="",0,IF(CONFIG_METADATA!$B$4&lt;&gt;"OR+EX",--(DATOS!$G10515=CONFIG_METADATA!$B$4),IF(DATOS!$G10515="EX",1,IF(DATOS!$G10515="OR",--(COUNTIFS(nNIA,DATOS!$A10515,nCURSO,DATOS!$D10515,nESPEC,DATOS!$E10515,nASIG,DATOS!$I10515,nEVAL,"EX")=0),0))))</f>
      </c>
      <c r="H10515">
        <f>IF(DATOS!$G10515&lt;&gt;"EX",0,--(COUNTIFS(nNIA,DATOS!$A10515,nCURSO,DATOS!$D10515,nESPEC,DATOS!$E10515,nASIG,DATOS!$I10515,nEVAL,"OR")=0))</f>
      </c>
      <c r="I10515">
        <f>IF(DATOS!$I10515="","",IFERROR(VLOOKUP(DATOS!$I10515,CONFIG_ASIGNATURAS!$B$2:$J$91,9,FALSE()),""))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IF(DATOS!$A10516="",0,IF(CONFIG_METADATA!$B$4&lt;&gt;"OR+EX",--(DATOS!$G10516=CONFIG_METADATA!$B$4),IF(DATOS!$G10516="EX",1,IF(DATOS!$G10516="OR",--(COUNTIFS(nNIA,DATOS!$A10516,nCURSO,DATOS!$D10516,nESPEC,DATOS!$E10516,nASIG,DATOS!$I10516,nEVAL,"EX")=0),0))))</f>
      </c>
      <c r="H10516">
        <f>IF(DATOS!$G10516&lt;&gt;"EX",0,--(COUNTIFS(nNIA,DATOS!$A10516,nCURSO,DATOS!$D10516,nESPEC,DATOS!$E10516,nASIG,DATOS!$I10516,nEVAL,"OR")=0))</f>
      </c>
      <c r="I10516">
        <f>IF(DATOS!$I10516="","",IFERROR(VLOOKUP(DATOS!$I10516,CONFIG_ASIGNATURAS!$B$2:$J$91,9,FALSE()),""))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IF(DATOS!$A10517="",0,IF(CONFIG_METADATA!$B$4&lt;&gt;"OR+EX",--(DATOS!$G10517=CONFIG_METADATA!$B$4),IF(DATOS!$G10517="EX",1,IF(DATOS!$G10517="OR",--(COUNTIFS(nNIA,DATOS!$A10517,nCURSO,DATOS!$D10517,nESPEC,DATOS!$E10517,nASIG,DATOS!$I10517,nEVAL,"EX")=0),0))))</f>
      </c>
      <c r="H10517">
        <f>IF(DATOS!$G10517&lt;&gt;"EX",0,--(COUNTIFS(nNIA,DATOS!$A10517,nCURSO,DATOS!$D10517,nESPEC,DATOS!$E10517,nASIG,DATOS!$I10517,nEVAL,"OR")=0))</f>
      </c>
      <c r="I10517">
        <f>IF(DATOS!$I10517="","",IFERROR(VLOOKUP(DATOS!$I10517,CONFIG_ASIGNATURAS!$B$2:$J$91,9,FALSE()),""))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IF(DATOS!$A10518="",0,IF(CONFIG_METADATA!$B$4&lt;&gt;"OR+EX",--(DATOS!$G10518=CONFIG_METADATA!$B$4),IF(DATOS!$G10518="EX",1,IF(DATOS!$G10518="OR",--(COUNTIFS(nNIA,DATOS!$A10518,nCURSO,DATOS!$D10518,nESPEC,DATOS!$E10518,nASIG,DATOS!$I10518,nEVAL,"EX")=0),0))))</f>
      </c>
      <c r="H10518">
        <f>IF(DATOS!$G10518&lt;&gt;"EX",0,--(COUNTIFS(nNIA,DATOS!$A10518,nCURSO,DATOS!$D10518,nESPEC,DATOS!$E10518,nASIG,DATOS!$I10518,nEVAL,"OR")=0))</f>
      </c>
      <c r="I10518">
        <f>IF(DATOS!$I10518="","",IFERROR(VLOOKUP(DATOS!$I10518,CONFIG_ASIGNATURAS!$B$2:$J$91,9,FALSE()),""))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IF(DATOS!$A10519="",0,IF(CONFIG_METADATA!$B$4&lt;&gt;"OR+EX",--(DATOS!$G10519=CONFIG_METADATA!$B$4),IF(DATOS!$G10519="EX",1,IF(DATOS!$G10519="OR",--(COUNTIFS(nNIA,DATOS!$A10519,nCURSO,DATOS!$D10519,nESPEC,DATOS!$E10519,nASIG,DATOS!$I10519,nEVAL,"EX")=0),0))))</f>
      </c>
      <c r="H10519">
        <f>IF(DATOS!$G10519&lt;&gt;"EX",0,--(COUNTIFS(nNIA,DATOS!$A10519,nCURSO,DATOS!$D10519,nESPEC,DATOS!$E10519,nASIG,DATOS!$I10519,nEVAL,"OR")=0))</f>
      </c>
      <c r="I10519">
        <f>IF(DATOS!$I10519="","",IFERROR(VLOOKUP(DATOS!$I10519,CONFIG_ASIGNATURAS!$B$2:$J$91,9,FALSE()),""))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IF(DATOS!$A10520="",0,IF(CONFIG_METADATA!$B$4&lt;&gt;"OR+EX",--(DATOS!$G10520=CONFIG_METADATA!$B$4),IF(DATOS!$G10520="EX",1,IF(DATOS!$G10520="OR",--(COUNTIFS(nNIA,DATOS!$A10520,nCURSO,DATOS!$D10520,nESPEC,DATOS!$E10520,nASIG,DATOS!$I10520,nEVAL,"EX")=0),0))))</f>
      </c>
      <c r="H10520">
        <f>IF(DATOS!$G10520&lt;&gt;"EX",0,--(COUNTIFS(nNIA,DATOS!$A10520,nCURSO,DATOS!$D10520,nESPEC,DATOS!$E10520,nASIG,DATOS!$I10520,nEVAL,"OR")=0))</f>
      </c>
      <c r="I10520">
        <f>IF(DATOS!$I10520="","",IFERROR(VLOOKUP(DATOS!$I10520,CONFIG_ASIGNATURAS!$B$2:$J$91,9,FALSE()),""))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IF(DATOS!$A10521="",0,IF(CONFIG_METADATA!$B$4&lt;&gt;"OR+EX",--(DATOS!$G10521=CONFIG_METADATA!$B$4),IF(DATOS!$G10521="EX",1,IF(DATOS!$G10521="OR",--(COUNTIFS(nNIA,DATOS!$A10521,nCURSO,DATOS!$D10521,nESPEC,DATOS!$E10521,nASIG,DATOS!$I10521,nEVAL,"EX")=0),0))))</f>
      </c>
      <c r="H10521">
        <f>IF(DATOS!$G10521&lt;&gt;"EX",0,--(COUNTIFS(nNIA,DATOS!$A10521,nCURSO,DATOS!$D10521,nESPEC,DATOS!$E10521,nASIG,DATOS!$I10521,nEVAL,"OR")=0))</f>
      </c>
      <c r="I10521">
        <f>IF(DATOS!$I10521="","",IFERROR(VLOOKUP(DATOS!$I10521,CONFIG_ASIGNATURAS!$B$2:$J$91,9,FALSE()),""))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IF(DATOS!$A10522="",0,IF(CONFIG_METADATA!$B$4&lt;&gt;"OR+EX",--(DATOS!$G10522=CONFIG_METADATA!$B$4),IF(DATOS!$G10522="EX",1,IF(DATOS!$G10522="OR",--(COUNTIFS(nNIA,DATOS!$A10522,nCURSO,DATOS!$D10522,nESPEC,DATOS!$E10522,nASIG,DATOS!$I10522,nEVAL,"EX")=0),0))))</f>
      </c>
      <c r="H10522">
        <f>IF(DATOS!$G10522&lt;&gt;"EX",0,--(COUNTIFS(nNIA,DATOS!$A10522,nCURSO,DATOS!$D10522,nESPEC,DATOS!$E10522,nASIG,DATOS!$I10522,nEVAL,"OR")=0))</f>
      </c>
      <c r="I10522">
        <f>IF(DATOS!$I10522="","",IFERROR(VLOOKUP(DATOS!$I10522,CONFIG_ASIGNATURAS!$B$2:$J$91,9,FALSE()),""))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IF(DATOS!$A10523="",0,IF(CONFIG_METADATA!$B$4&lt;&gt;"OR+EX",--(DATOS!$G10523=CONFIG_METADATA!$B$4),IF(DATOS!$G10523="EX",1,IF(DATOS!$G10523="OR",--(COUNTIFS(nNIA,DATOS!$A10523,nCURSO,DATOS!$D10523,nESPEC,DATOS!$E10523,nASIG,DATOS!$I10523,nEVAL,"EX")=0),0))))</f>
      </c>
      <c r="H10523">
        <f>IF(DATOS!$G10523&lt;&gt;"EX",0,--(COUNTIFS(nNIA,DATOS!$A10523,nCURSO,DATOS!$D10523,nESPEC,DATOS!$E10523,nASIG,DATOS!$I10523,nEVAL,"OR")=0))</f>
      </c>
      <c r="I10523">
        <f>IF(DATOS!$I10523="","",IFERROR(VLOOKUP(DATOS!$I10523,CONFIG_ASIGNATURAS!$B$2:$J$91,9,FALSE()),""))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IF(DATOS!$A10524="",0,IF(CONFIG_METADATA!$B$4&lt;&gt;"OR+EX",--(DATOS!$G10524=CONFIG_METADATA!$B$4),IF(DATOS!$G10524="EX",1,IF(DATOS!$G10524="OR",--(COUNTIFS(nNIA,DATOS!$A10524,nCURSO,DATOS!$D10524,nESPEC,DATOS!$E10524,nASIG,DATOS!$I10524,nEVAL,"EX")=0),0))))</f>
      </c>
      <c r="H10524">
        <f>IF(DATOS!$G10524&lt;&gt;"EX",0,--(COUNTIFS(nNIA,DATOS!$A10524,nCURSO,DATOS!$D10524,nESPEC,DATOS!$E10524,nASIG,DATOS!$I10524,nEVAL,"OR")=0))</f>
      </c>
      <c r="I10524">
        <f>IF(DATOS!$I10524="","",IFERROR(VLOOKUP(DATOS!$I10524,CONFIG_ASIGNATURAS!$B$2:$J$91,9,FALSE()),""))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IF(DATOS!$A10525="",0,IF(CONFIG_METADATA!$B$4&lt;&gt;"OR+EX",--(DATOS!$G10525=CONFIG_METADATA!$B$4),IF(DATOS!$G10525="EX",1,IF(DATOS!$G10525="OR",--(COUNTIFS(nNIA,DATOS!$A10525,nCURSO,DATOS!$D10525,nESPEC,DATOS!$E10525,nASIG,DATOS!$I10525,nEVAL,"EX")=0),0))))</f>
      </c>
      <c r="H10525">
        <f>IF(DATOS!$G10525&lt;&gt;"EX",0,--(COUNTIFS(nNIA,DATOS!$A10525,nCURSO,DATOS!$D10525,nESPEC,DATOS!$E10525,nASIG,DATOS!$I10525,nEVAL,"OR")=0))</f>
      </c>
      <c r="I10525">
        <f>IF(DATOS!$I10525="","",IFERROR(VLOOKUP(DATOS!$I10525,CONFIG_ASIGNATURAS!$B$2:$J$91,9,FALSE()),""))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IF(DATOS!$A10526="",0,IF(CONFIG_METADATA!$B$4&lt;&gt;"OR+EX",--(DATOS!$G10526=CONFIG_METADATA!$B$4),IF(DATOS!$G10526="EX",1,IF(DATOS!$G10526="OR",--(COUNTIFS(nNIA,DATOS!$A10526,nCURSO,DATOS!$D10526,nESPEC,DATOS!$E10526,nASIG,DATOS!$I10526,nEVAL,"EX")=0),0))))</f>
      </c>
      <c r="H10526">
        <f>IF(DATOS!$G10526&lt;&gt;"EX",0,--(COUNTIFS(nNIA,DATOS!$A10526,nCURSO,DATOS!$D10526,nESPEC,DATOS!$E10526,nASIG,DATOS!$I10526,nEVAL,"OR")=0))</f>
      </c>
      <c r="I10526">
        <f>IF(DATOS!$I10526="","",IFERROR(VLOOKUP(DATOS!$I10526,CONFIG_ASIGNATURAS!$B$2:$J$91,9,FALSE()),""))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IF(DATOS!$A10527="",0,IF(CONFIG_METADATA!$B$4&lt;&gt;"OR+EX",--(DATOS!$G10527=CONFIG_METADATA!$B$4),IF(DATOS!$G10527="EX",1,IF(DATOS!$G10527="OR",--(COUNTIFS(nNIA,DATOS!$A10527,nCURSO,DATOS!$D10527,nESPEC,DATOS!$E10527,nASIG,DATOS!$I10527,nEVAL,"EX")=0),0))))</f>
      </c>
      <c r="H10527">
        <f>IF(DATOS!$G10527&lt;&gt;"EX",0,--(COUNTIFS(nNIA,DATOS!$A10527,nCURSO,DATOS!$D10527,nESPEC,DATOS!$E10527,nASIG,DATOS!$I10527,nEVAL,"OR")=0))</f>
      </c>
      <c r="I10527">
        <f>IF(DATOS!$I10527="","",IFERROR(VLOOKUP(DATOS!$I10527,CONFIG_ASIGNATURAS!$B$2:$J$91,9,FALSE()),""))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IF(DATOS!$A10528="",0,IF(CONFIG_METADATA!$B$4&lt;&gt;"OR+EX",--(DATOS!$G10528=CONFIG_METADATA!$B$4),IF(DATOS!$G10528="EX",1,IF(DATOS!$G10528="OR",--(COUNTIFS(nNIA,DATOS!$A10528,nCURSO,DATOS!$D10528,nESPEC,DATOS!$E10528,nASIG,DATOS!$I10528,nEVAL,"EX")=0),0))))</f>
      </c>
      <c r="H10528">
        <f>IF(DATOS!$G10528&lt;&gt;"EX",0,--(COUNTIFS(nNIA,DATOS!$A10528,nCURSO,DATOS!$D10528,nESPEC,DATOS!$E10528,nASIG,DATOS!$I10528,nEVAL,"OR")=0))</f>
      </c>
      <c r="I10528">
        <f>IF(DATOS!$I10528="","",IFERROR(VLOOKUP(DATOS!$I10528,CONFIG_ASIGNATURAS!$B$2:$J$91,9,FALSE()),""))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IF(DATOS!$A10529="",0,IF(CONFIG_METADATA!$B$4&lt;&gt;"OR+EX",--(DATOS!$G10529=CONFIG_METADATA!$B$4),IF(DATOS!$G10529="EX",1,IF(DATOS!$G10529="OR",--(COUNTIFS(nNIA,DATOS!$A10529,nCURSO,DATOS!$D10529,nESPEC,DATOS!$E10529,nASIG,DATOS!$I10529,nEVAL,"EX")=0),0))))</f>
      </c>
      <c r="H10529">
        <f>IF(DATOS!$G10529&lt;&gt;"EX",0,--(COUNTIFS(nNIA,DATOS!$A10529,nCURSO,DATOS!$D10529,nESPEC,DATOS!$E10529,nASIG,DATOS!$I10529,nEVAL,"OR")=0))</f>
      </c>
      <c r="I10529">
        <f>IF(DATOS!$I10529="","",IFERROR(VLOOKUP(DATOS!$I10529,CONFIG_ASIGNATURAS!$B$2:$J$91,9,FALSE()),""))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IF(DATOS!$A10530="",0,IF(CONFIG_METADATA!$B$4&lt;&gt;"OR+EX",--(DATOS!$G10530=CONFIG_METADATA!$B$4),IF(DATOS!$G10530="EX",1,IF(DATOS!$G10530="OR",--(COUNTIFS(nNIA,DATOS!$A10530,nCURSO,DATOS!$D10530,nESPEC,DATOS!$E10530,nASIG,DATOS!$I10530,nEVAL,"EX")=0),0))))</f>
      </c>
      <c r="H10530">
        <f>IF(DATOS!$G10530&lt;&gt;"EX",0,--(COUNTIFS(nNIA,DATOS!$A10530,nCURSO,DATOS!$D10530,nESPEC,DATOS!$E10530,nASIG,DATOS!$I10530,nEVAL,"OR")=0))</f>
      </c>
      <c r="I10530">
        <f>IF(DATOS!$I10530="","",IFERROR(VLOOKUP(DATOS!$I10530,CONFIG_ASIGNATURAS!$B$2:$J$91,9,FALSE()),""))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IF(DATOS!$A10531="",0,IF(CONFIG_METADATA!$B$4&lt;&gt;"OR+EX",--(DATOS!$G10531=CONFIG_METADATA!$B$4),IF(DATOS!$G10531="EX",1,IF(DATOS!$G10531="OR",--(COUNTIFS(nNIA,DATOS!$A10531,nCURSO,DATOS!$D10531,nESPEC,DATOS!$E10531,nASIG,DATOS!$I10531,nEVAL,"EX")=0),0))))</f>
      </c>
      <c r="H10531">
        <f>IF(DATOS!$G10531&lt;&gt;"EX",0,--(COUNTIFS(nNIA,DATOS!$A10531,nCURSO,DATOS!$D10531,nESPEC,DATOS!$E10531,nASIG,DATOS!$I10531,nEVAL,"OR")=0))</f>
      </c>
      <c r="I10531">
        <f>IF(DATOS!$I10531="","",IFERROR(VLOOKUP(DATOS!$I10531,CONFIG_ASIGNATURAS!$B$2:$J$91,9,FALSE()),""))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IF(DATOS!$A10532="",0,IF(CONFIG_METADATA!$B$4&lt;&gt;"OR+EX",--(DATOS!$G10532=CONFIG_METADATA!$B$4),IF(DATOS!$G10532="EX",1,IF(DATOS!$G10532="OR",--(COUNTIFS(nNIA,DATOS!$A10532,nCURSO,DATOS!$D10532,nESPEC,DATOS!$E10532,nASIG,DATOS!$I10532,nEVAL,"EX")=0),0))))</f>
      </c>
      <c r="H10532">
        <f>IF(DATOS!$G10532&lt;&gt;"EX",0,--(COUNTIFS(nNIA,DATOS!$A10532,nCURSO,DATOS!$D10532,nESPEC,DATOS!$E10532,nASIG,DATOS!$I10532,nEVAL,"OR")=0))</f>
      </c>
      <c r="I10532">
        <f>IF(DATOS!$I10532="","",IFERROR(VLOOKUP(DATOS!$I10532,CONFIG_ASIGNATURAS!$B$2:$J$91,9,FALSE()),""))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IF(DATOS!$A10533="",0,IF(CONFIG_METADATA!$B$4&lt;&gt;"OR+EX",--(DATOS!$G10533=CONFIG_METADATA!$B$4),IF(DATOS!$G10533="EX",1,IF(DATOS!$G10533="OR",--(COUNTIFS(nNIA,DATOS!$A10533,nCURSO,DATOS!$D10533,nESPEC,DATOS!$E10533,nASIG,DATOS!$I10533,nEVAL,"EX")=0),0))))</f>
      </c>
      <c r="H10533">
        <f>IF(DATOS!$G10533&lt;&gt;"EX",0,--(COUNTIFS(nNIA,DATOS!$A10533,nCURSO,DATOS!$D10533,nESPEC,DATOS!$E10533,nASIG,DATOS!$I10533,nEVAL,"OR")=0))</f>
      </c>
      <c r="I10533">
        <f>IF(DATOS!$I10533="","",IFERROR(VLOOKUP(DATOS!$I10533,CONFIG_ASIGNATURAS!$B$2:$J$91,9,FALSE()),""))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IF(DATOS!$A10534="",0,IF(CONFIG_METADATA!$B$4&lt;&gt;"OR+EX",--(DATOS!$G10534=CONFIG_METADATA!$B$4),IF(DATOS!$G10534="EX",1,IF(DATOS!$G10534="OR",--(COUNTIFS(nNIA,DATOS!$A10534,nCURSO,DATOS!$D10534,nESPEC,DATOS!$E10534,nASIG,DATOS!$I10534,nEVAL,"EX")=0),0))))</f>
      </c>
      <c r="H10534">
        <f>IF(DATOS!$G10534&lt;&gt;"EX",0,--(COUNTIFS(nNIA,DATOS!$A10534,nCURSO,DATOS!$D10534,nESPEC,DATOS!$E10534,nASIG,DATOS!$I10534,nEVAL,"OR")=0))</f>
      </c>
      <c r="I10534">
        <f>IF(DATOS!$I10534="","",IFERROR(VLOOKUP(DATOS!$I10534,CONFIG_ASIGNATURAS!$B$2:$J$91,9,FALSE()),""))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IF(DATOS!$A10535="",0,IF(CONFIG_METADATA!$B$4&lt;&gt;"OR+EX",--(DATOS!$G10535=CONFIG_METADATA!$B$4),IF(DATOS!$G10535="EX",1,IF(DATOS!$G10535="OR",--(COUNTIFS(nNIA,DATOS!$A10535,nCURSO,DATOS!$D10535,nESPEC,DATOS!$E10535,nASIG,DATOS!$I10535,nEVAL,"EX")=0),0))))</f>
      </c>
      <c r="H10535">
        <f>IF(DATOS!$G10535&lt;&gt;"EX",0,--(COUNTIFS(nNIA,DATOS!$A10535,nCURSO,DATOS!$D10535,nESPEC,DATOS!$E10535,nASIG,DATOS!$I10535,nEVAL,"OR")=0))</f>
      </c>
      <c r="I10535">
        <f>IF(DATOS!$I10535="","",IFERROR(VLOOKUP(DATOS!$I10535,CONFIG_ASIGNATURAS!$B$2:$J$91,9,FALSE()),""))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IF(DATOS!$A10536="",0,IF(CONFIG_METADATA!$B$4&lt;&gt;"OR+EX",--(DATOS!$G10536=CONFIG_METADATA!$B$4),IF(DATOS!$G10536="EX",1,IF(DATOS!$G10536="OR",--(COUNTIFS(nNIA,DATOS!$A10536,nCURSO,DATOS!$D10536,nESPEC,DATOS!$E10536,nASIG,DATOS!$I10536,nEVAL,"EX")=0),0))))</f>
      </c>
      <c r="H10536">
        <f>IF(DATOS!$G10536&lt;&gt;"EX",0,--(COUNTIFS(nNIA,DATOS!$A10536,nCURSO,DATOS!$D10536,nESPEC,DATOS!$E10536,nASIG,DATOS!$I10536,nEVAL,"OR")=0))</f>
      </c>
      <c r="I10536">
        <f>IF(DATOS!$I10536="","",IFERROR(VLOOKUP(DATOS!$I10536,CONFIG_ASIGNATURAS!$B$2:$J$91,9,FALSE()),""))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IF(DATOS!$A10537="",0,IF(CONFIG_METADATA!$B$4&lt;&gt;"OR+EX",--(DATOS!$G10537=CONFIG_METADATA!$B$4),IF(DATOS!$G10537="EX",1,IF(DATOS!$G10537="OR",--(COUNTIFS(nNIA,DATOS!$A10537,nCURSO,DATOS!$D10537,nESPEC,DATOS!$E10537,nASIG,DATOS!$I10537,nEVAL,"EX")=0),0))))</f>
      </c>
      <c r="H10537">
        <f>IF(DATOS!$G10537&lt;&gt;"EX",0,--(COUNTIFS(nNIA,DATOS!$A10537,nCURSO,DATOS!$D10537,nESPEC,DATOS!$E10537,nASIG,DATOS!$I10537,nEVAL,"OR")=0))</f>
      </c>
      <c r="I10537">
        <f>IF(DATOS!$I10537="","",IFERROR(VLOOKUP(DATOS!$I10537,CONFIG_ASIGNATURAS!$B$2:$J$91,9,FALSE()),""))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IF(DATOS!$A10538="",0,IF(CONFIG_METADATA!$B$4&lt;&gt;"OR+EX",--(DATOS!$G10538=CONFIG_METADATA!$B$4),IF(DATOS!$G10538="EX",1,IF(DATOS!$G10538="OR",--(COUNTIFS(nNIA,DATOS!$A10538,nCURSO,DATOS!$D10538,nESPEC,DATOS!$E10538,nASIG,DATOS!$I10538,nEVAL,"EX")=0),0))))</f>
      </c>
      <c r="H10538">
        <f>IF(DATOS!$G10538&lt;&gt;"EX",0,--(COUNTIFS(nNIA,DATOS!$A10538,nCURSO,DATOS!$D10538,nESPEC,DATOS!$E10538,nASIG,DATOS!$I10538,nEVAL,"OR")=0))</f>
      </c>
      <c r="I10538">
        <f>IF(DATOS!$I10538="","",IFERROR(VLOOKUP(DATOS!$I10538,CONFIG_ASIGNATURAS!$B$2:$J$91,9,FALSE()),""))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IF(DATOS!$A10539="",0,IF(CONFIG_METADATA!$B$4&lt;&gt;"OR+EX",--(DATOS!$G10539=CONFIG_METADATA!$B$4),IF(DATOS!$G10539="EX",1,IF(DATOS!$G10539="OR",--(COUNTIFS(nNIA,DATOS!$A10539,nCURSO,DATOS!$D10539,nESPEC,DATOS!$E10539,nASIG,DATOS!$I10539,nEVAL,"EX")=0),0))))</f>
      </c>
      <c r="H10539">
        <f>IF(DATOS!$G10539&lt;&gt;"EX",0,--(COUNTIFS(nNIA,DATOS!$A10539,nCURSO,DATOS!$D10539,nESPEC,DATOS!$E10539,nASIG,DATOS!$I10539,nEVAL,"OR")=0))</f>
      </c>
      <c r="I10539">
        <f>IF(DATOS!$I10539="","",IFERROR(VLOOKUP(DATOS!$I10539,CONFIG_ASIGNATURAS!$B$2:$J$91,9,FALSE()),""))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IF(DATOS!$A10540="",0,IF(CONFIG_METADATA!$B$4&lt;&gt;"OR+EX",--(DATOS!$G10540=CONFIG_METADATA!$B$4),IF(DATOS!$G10540="EX",1,IF(DATOS!$G10540="OR",--(COUNTIFS(nNIA,DATOS!$A10540,nCURSO,DATOS!$D10540,nESPEC,DATOS!$E10540,nASIG,DATOS!$I10540,nEVAL,"EX")=0),0))))</f>
      </c>
      <c r="H10540">
        <f>IF(DATOS!$G10540&lt;&gt;"EX",0,--(COUNTIFS(nNIA,DATOS!$A10540,nCURSO,DATOS!$D10540,nESPEC,DATOS!$E10540,nASIG,DATOS!$I10540,nEVAL,"OR")=0))</f>
      </c>
      <c r="I10540">
        <f>IF(DATOS!$I10540="","",IFERROR(VLOOKUP(DATOS!$I10540,CONFIG_ASIGNATURAS!$B$2:$J$91,9,FALSE()),""))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IF(DATOS!$A10541="",0,IF(CONFIG_METADATA!$B$4&lt;&gt;"OR+EX",--(DATOS!$G10541=CONFIG_METADATA!$B$4),IF(DATOS!$G10541="EX",1,IF(DATOS!$G10541="OR",--(COUNTIFS(nNIA,DATOS!$A10541,nCURSO,DATOS!$D10541,nESPEC,DATOS!$E10541,nASIG,DATOS!$I10541,nEVAL,"EX")=0),0))))</f>
      </c>
      <c r="H10541">
        <f>IF(DATOS!$G10541&lt;&gt;"EX",0,--(COUNTIFS(nNIA,DATOS!$A10541,nCURSO,DATOS!$D10541,nESPEC,DATOS!$E10541,nASIG,DATOS!$I10541,nEVAL,"OR")=0))</f>
      </c>
      <c r="I10541">
        <f>IF(DATOS!$I10541="","",IFERROR(VLOOKUP(DATOS!$I10541,CONFIG_ASIGNATURAS!$B$2:$J$91,9,FALSE()),""))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IF(DATOS!$A10542="",0,IF(CONFIG_METADATA!$B$4&lt;&gt;"OR+EX",--(DATOS!$G10542=CONFIG_METADATA!$B$4),IF(DATOS!$G10542="EX",1,IF(DATOS!$G10542="OR",--(COUNTIFS(nNIA,DATOS!$A10542,nCURSO,DATOS!$D10542,nESPEC,DATOS!$E10542,nASIG,DATOS!$I10542,nEVAL,"EX")=0),0))))</f>
      </c>
      <c r="H10542">
        <f>IF(DATOS!$G10542&lt;&gt;"EX",0,--(COUNTIFS(nNIA,DATOS!$A10542,nCURSO,DATOS!$D10542,nESPEC,DATOS!$E10542,nASIG,DATOS!$I10542,nEVAL,"OR")=0))</f>
      </c>
      <c r="I10542">
        <f>IF(DATOS!$I10542="","",IFERROR(VLOOKUP(DATOS!$I10542,CONFIG_ASIGNATURAS!$B$2:$J$91,9,FALSE()),""))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IF(DATOS!$A10543="",0,IF(CONFIG_METADATA!$B$4&lt;&gt;"OR+EX",--(DATOS!$G10543=CONFIG_METADATA!$B$4),IF(DATOS!$G10543="EX",1,IF(DATOS!$G10543="OR",--(COUNTIFS(nNIA,DATOS!$A10543,nCURSO,DATOS!$D10543,nESPEC,DATOS!$E10543,nASIG,DATOS!$I10543,nEVAL,"EX")=0),0))))</f>
      </c>
      <c r="H10543">
        <f>IF(DATOS!$G10543&lt;&gt;"EX",0,--(COUNTIFS(nNIA,DATOS!$A10543,nCURSO,DATOS!$D10543,nESPEC,DATOS!$E10543,nASIG,DATOS!$I10543,nEVAL,"OR")=0))</f>
      </c>
      <c r="I10543">
        <f>IF(DATOS!$I10543="","",IFERROR(VLOOKUP(DATOS!$I10543,CONFIG_ASIGNATURAS!$B$2:$J$91,9,FALSE()),""))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IF(DATOS!$A10544="",0,IF(CONFIG_METADATA!$B$4&lt;&gt;"OR+EX",--(DATOS!$G10544=CONFIG_METADATA!$B$4),IF(DATOS!$G10544="EX",1,IF(DATOS!$G10544="OR",--(COUNTIFS(nNIA,DATOS!$A10544,nCURSO,DATOS!$D10544,nESPEC,DATOS!$E10544,nASIG,DATOS!$I10544,nEVAL,"EX")=0),0))))</f>
      </c>
      <c r="H10544">
        <f>IF(DATOS!$G10544&lt;&gt;"EX",0,--(COUNTIFS(nNIA,DATOS!$A10544,nCURSO,DATOS!$D10544,nESPEC,DATOS!$E10544,nASIG,DATOS!$I10544,nEVAL,"OR")=0))</f>
      </c>
      <c r="I10544">
        <f>IF(DATOS!$I10544="","",IFERROR(VLOOKUP(DATOS!$I10544,CONFIG_ASIGNATURAS!$B$2:$J$91,9,FALSE()),""))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IF(DATOS!$A10545="",0,IF(CONFIG_METADATA!$B$4&lt;&gt;"OR+EX",--(DATOS!$G10545=CONFIG_METADATA!$B$4),IF(DATOS!$G10545="EX",1,IF(DATOS!$G10545="OR",--(COUNTIFS(nNIA,DATOS!$A10545,nCURSO,DATOS!$D10545,nESPEC,DATOS!$E10545,nASIG,DATOS!$I10545,nEVAL,"EX")=0),0))))</f>
      </c>
      <c r="H10545">
        <f>IF(DATOS!$G10545&lt;&gt;"EX",0,--(COUNTIFS(nNIA,DATOS!$A10545,nCURSO,DATOS!$D10545,nESPEC,DATOS!$E10545,nASIG,DATOS!$I10545,nEVAL,"OR")=0))</f>
      </c>
      <c r="I10545">
        <f>IF(DATOS!$I10545="","",IFERROR(VLOOKUP(DATOS!$I10545,CONFIG_ASIGNATURAS!$B$2:$J$91,9,FALSE()),""))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IF(DATOS!$A10546="",0,IF(CONFIG_METADATA!$B$4&lt;&gt;"OR+EX",--(DATOS!$G10546=CONFIG_METADATA!$B$4),IF(DATOS!$G10546="EX",1,IF(DATOS!$G10546="OR",--(COUNTIFS(nNIA,DATOS!$A10546,nCURSO,DATOS!$D10546,nESPEC,DATOS!$E10546,nASIG,DATOS!$I10546,nEVAL,"EX")=0),0))))</f>
      </c>
      <c r="H10546">
        <f>IF(DATOS!$G10546&lt;&gt;"EX",0,--(COUNTIFS(nNIA,DATOS!$A10546,nCURSO,DATOS!$D10546,nESPEC,DATOS!$E10546,nASIG,DATOS!$I10546,nEVAL,"OR")=0))</f>
      </c>
      <c r="I10546">
        <f>IF(DATOS!$I10546="","",IFERROR(VLOOKUP(DATOS!$I10546,CONFIG_ASIGNATURAS!$B$2:$J$91,9,FALSE()),""))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IF(DATOS!$A10547="",0,IF(CONFIG_METADATA!$B$4&lt;&gt;"OR+EX",--(DATOS!$G10547=CONFIG_METADATA!$B$4),IF(DATOS!$G10547="EX",1,IF(DATOS!$G10547="OR",--(COUNTIFS(nNIA,DATOS!$A10547,nCURSO,DATOS!$D10547,nESPEC,DATOS!$E10547,nASIG,DATOS!$I10547,nEVAL,"EX")=0),0))))</f>
      </c>
      <c r="H10547">
        <f>IF(DATOS!$G10547&lt;&gt;"EX",0,--(COUNTIFS(nNIA,DATOS!$A10547,nCURSO,DATOS!$D10547,nESPEC,DATOS!$E10547,nASIG,DATOS!$I10547,nEVAL,"OR")=0))</f>
      </c>
      <c r="I10547">
        <f>IF(DATOS!$I10547="","",IFERROR(VLOOKUP(DATOS!$I10547,CONFIG_ASIGNATURAS!$B$2:$J$91,9,FALSE()),""))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IF(DATOS!$A10548="",0,IF(CONFIG_METADATA!$B$4&lt;&gt;"OR+EX",--(DATOS!$G10548=CONFIG_METADATA!$B$4),IF(DATOS!$G10548="EX",1,IF(DATOS!$G10548="OR",--(COUNTIFS(nNIA,DATOS!$A10548,nCURSO,DATOS!$D10548,nESPEC,DATOS!$E10548,nASIG,DATOS!$I10548,nEVAL,"EX")=0),0))))</f>
      </c>
      <c r="H10548">
        <f>IF(DATOS!$G10548&lt;&gt;"EX",0,--(COUNTIFS(nNIA,DATOS!$A10548,nCURSO,DATOS!$D10548,nESPEC,DATOS!$E10548,nASIG,DATOS!$I10548,nEVAL,"OR")=0))</f>
      </c>
      <c r="I10548">
        <f>IF(DATOS!$I10548="","",IFERROR(VLOOKUP(DATOS!$I10548,CONFIG_ASIGNATURAS!$B$2:$J$91,9,FALSE()),""))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IF(DATOS!$A10549="",0,IF(CONFIG_METADATA!$B$4&lt;&gt;"OR+EX",--(DATOS!$G10549=CONFIG_METADATA!$B$4),IF(DATOS!$G10549="EX",1,IF(DATOS!$G10549="OR",--(COUNTIFS(nNIA,DATOS!$A10549,nCURSO,DATOS!$D10549,nESPEC,DATOS!$E10549,nASIG,DATOS!$I10549,nEVAL,"EX")=0),0))))</f>
      </c>
      <c r="H10549">
        <f>IF(DATOS!$G10549&lt;&gt;"EX",0,--(COUNTIFS(nNIA,DATOS!$A10549,nCURSO,DATOS!$D10549,nESPEC,DATOS!$E10549,nASIG,DATOS!$I10549,nEVAL,"OR")=0))</f>
      </c>
      <c r="I10549">
        <f>IF(DATOS!$I10549="","",IFERROR(VLOOKUP(DATOS!$I10549,CONFIG_ASIGNATURAS!$B$2:$J$91,9,FALSE()),""))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IF(DATOS!$A10550="",0,IF(CONFIG_METADATA!$B$4&lt;&gt;"OR+EX",--(DATOS!$G10550=CONFIG_METADATA!$B$4),IF(DATOS!$G10550="EX",1,IF(DATOS!$G10550="OR",--(COUNTIFS(nNIA,DATOS!$A10550,nCURSO,DATOS!$D10550,nESPEC,DATOS!$E10550,nASIG,DATOS!$I10550,nEVAL,"EX")=0),0))))</f>
      </c>
      <c r="H10550">
        <f>IF(DATOS!$G10550&lt;&gt;"EX",0,--(COUNTIFS(nNIA,DATOS!$A10550,nCURSO,DATOS!$D10550,nESPEC,DATOS!$E10550,nASIG,DATOS!$I10550,nEVAL,"OR")=0))</f>
      </c>
      <c r="I10550">
        <f>IF(DATOS!$I10550="","",IFERROR(VLOOKUP(DATOS!$I10550,CONFIG_ASIGNATURAS!$B$2:$J$91,9,FALSE()),""))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IF(DATOS!$A10551="",0,IF(CONFIG_METADATA!$B$4&lt;&gt;"OR+EX",--(DATOS!$G10551=CONFIG_METADATA!$B$4),IF(DATOS!$G10551="EX",1,IF(DATOS!$G10551="OR",--(COUNTIFS(nNIA,DATOS!$A10551,nCURSO,DATOS!$D10551,nESPEC,DATOS!$E10551,nASIG,DATOS!$I10551,nEVAL,"EX")=0),0))))</f>
      </c>
      <c r="H10551">
        <f>IF(DATOS!$G10551&lt;&gt;"EX",0,--(COUNTIFS(nNIA,DATOS!$A10551,nCURSO,DATOS!$D10551,nESPEC,DATOS!$E10551,nASIG,DATOS!$I10551,nEVAL,"OR")=0))</f>
      </c>
      <c r="I10551">
        <f>IF(DATOS!$I10551="","",IFERROR(VLOOKUP(DATOS!$I10551,CONFIG_ASIGNATURAS!$B$2:$J$91,9,FALSE()),""))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IF(DATOS!$A10552="",0,IF(CONFIG_METADATA!$B$4&lt;&gt;"OR+EX",--(DATOS!$G10552=CONFIG_METADATA!$B$4),IF(DATOS!$G10552="EX",1,IF(DATOS!$G10552="OR",--(COUNTIFS(nNIA,DATOS!$A10552,nCURSO,DATOS!$D10552,nESPEC,DATOS!$E10552,nASIG,DATOS!$I10552,nEVAL,"EX")=0),0))))</f>
      </c>
      <c r="H10552">
        <f>IF(DATOS!$G10552&lt;&gt;"EX",0,--(COUNTIFS(nNIA,DATOS!$A10552,nCURSO,DATOS!$D10552,nESPEC,DATOS!$E10552,nASIG,DATOS!$I10552,nEVAL,"OR")=0))</f>
      </c>
      <c r="I10552">
        <f>IF(DATOS!$I10552="","",IFERROR(VLOOKUP(DATOS!$I10552,CONFIG_ASIGNATURAS!$B$2:$J$91,9,FALSE()),""))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IF(DATOS!$A10553="",0,IF(CONFIG_METADATA!$B$4&lt;&gt;"OR+EX",--(DATOS!$G10553=CONFIG_METADATA!$B$4),IF(DATOS!$G10553="EX",1,IF(DATOS!$G10553="OR",--(COUNTIFS(nNIA,DATOS!$A10553,nCURSO,DATOS!$D10553,nESPEC,DATOS!$E10553,nASIG,DATOS!$I10553,nEVAL,"EX")=0),0))))</f>
      </c>
      <c r="H10553">
        <f>IF(DATOS!$G10553&lt;&gt;"EX",0,--(COUNTIFS(nNIA,DATOS!$A10553,nCURSO,DATOS!$D10553,nESPEC,DATOS!$E10553,nASIG,DATOS!$I10553,nEVAL,"OR")=0))</f>
      </c>
      <c r="I10553">
        <f>IF(DATOS!$I10553="","",IFERROR(VLOOKUP(DATOS!$I10553,CONFIG_ASIGNATURAS!$B$2:$J$91,9,FALSE()),""))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IF(DATOS!$A10554="",0,IF(CONFIG_METADATA!$B$4&lt;&gt;"OR+EX",--(DATOS!$G10554=CONFIG_METADATA!$B$4),IF(DATOS!$G10554="EX",1,IF(DATOS!$G10554="OR",--(COUNTIFS(nNIA,DATOS!$A10554,nCURSO,DATOS!$D10554,nESPEC,DATOS!$E10554,nASIG,DATOS!$I10554,nEVAL,"EX")=0),0))))</f>
      </c>
      <c r="H10554">
        <f>IF(DATOS!$G10554&lt;&gt;"EX",0,--(COUNTIFS(nNIA,DATOS!$A10554,nCURSO,DATOS!$D10554,nESPEC,DATOS!$E10554,nASIG,DATOS!$I10554,nEVAL,"OR")=0))</f>
      </c>
      <c r="I10554">
        <f>IF(DATOS!$I10554="","",IFERROR(VLOOKUP(DATOS!$I10554,CONFIG_ASIGNATURAS!$B$2:$J$91,9,FALSE()),""))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IF(DATOS!$A10555="",0,IF(CONFIG_METADATA!$B$4&lt;&gt;"OR+EX",--(DATOS!$G10555=CONFIG_METADATA!$B$4),IF(DATOS!$G10555="EX",1,IF(DATOS!$G10555="OR",--(COUNTIFS(nNIA,DATOS!$A10555,nCURSO,DATOS!$D10555,nESPEC,DATOS!$E10555,nASIG,DATOS!$I10555,nEVAL,"EX")=0),0))))</f>
      </c>
      <c r="H10555">
        <f>IF(DATOS!$G10555&lt;&gt;"EX",0,--(COUNTIFS(nNIA,DATOS!$A10555,nCURSO,DATOS!$D10555,nESPEC,DATOS!$E10555,nASIG,DATOS!$I10555,nEVAL,"OR")=0))</f>
      </c>
      <c r="I10555">
        <f>IF(DATOS!$I10555="","",IFERROR(VLOOKUP(DATOS!$I10555,CONFIG_ASIGNATURAS!$B$2:$J$91,9,FALSE()),""))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IF(DATOS!$A10556="",0,IF(CONFIG_METADATA!$B$4&lt;&gt;"OR+EX",--(DATOS!$G10556=CONFIG_METADATA!$B$4),IF(DATOS!$G10556="EX",1,IF(DATOS!$G10556="OR",--(COUNTIFS(nNIA,DATOS!$A10556,nCURSO,DATOS!$D10556,nESPEC,DATOS!$E10556,nASIG,DATOS!$I10556,nEVAL,"EX")=0),0))))</f>
      </c>
      <c r="H10556">
        <f>IF(DATOS!$G10556&lt;&gt;"EX",0,--(COUNTIFS(nNIA,DATOS!$A10556,nCURSO,DATOS!$D10556,nESPEC,DATOS!$E10556,nASIG,DATOS!$I10556,nEVAL,"OR")=0))</f>
      </c>
      <c r="I10556">
        <f>IF(DATOS!$I10556="","",IFERROR(VLOOKUP(DATOS!$I10556,CONFIG_ASIGNATURAS!$B$2:$J$91,9,FALSE()),""))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IF(DATOS!$A10557="",0,IF(CONFIG_METADATA!$B$4&lt;&gt;"OR+EX",--(DATOS!$G10557=CONFIG_METADATA!$B$4),IF(DATOS!$G10557="EX",1,IF(DATOS!$G10557="OR",--(COUNTIFS(nNIA,DATOS!$A10557,nCURSO,DATOS!$D10557,nESPEC,DATOS!$E10557,nASIG,DATOS!$I10557,nEVAL,"EX")=0),0))))</f>
      </c>
      <c r="H10557">
        <f>IF(DATOS!$G10557&lt;&gt;"EX",0,--(COUNTIFS(nNIA,DATOS!$A10557,nCURSO,DATOS!$D10557,nESPEC,DATOS!$E10557,nASIG,DATOS!$I10557,nEVAL,"OR")=0))</f>
      </c>
      <c r="I10557">
        <f>IF(DATOS!$I10557="","",IFERROR(VLOOKUP(DATOS!$I10557,CONFIG_ASIGNATURAS!$B$2:$J$91,9,FALSE()),""))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IF(DATOS!$A10558="",0,IF(CONFIG_METADATA!$B$4&lt;&gt;"OR+EX",--(DATOS!$G10558=CONFIG_METADATA!$B$4),IF(DATOS!$G10558="EX",1,IF(DATOS!$G10558="OR",--(COUNTIFS(nNIA,DATOS!$A10558,nCURSO,DATOS!$D10558,nESPEC,DATOS!$E10558,nASIG,DATOS!$I10558,nEVAL,"EX")=0),0))))</f>
      </c>
      <c r="H10558">
        <f>IF(DATOS!$G10558&lt;&gt;"EX",0,--(COUNTIFS(nNIA,DATOS!$A10558,nCURSO,DATOS!$D10558,nESPEC,DATOS!$E10558,nASIG,DATOS!$I10558,nEVAL,"OR")=0))</f>
      </c>
      <c r="I10558">
        <f>IF(DATOS!$I10558="","",IFERROR(VLOOKUP(DATOS!$I10558,CONFIG_ASIGNATURAS!$B$2:$J$91,9,FALSE()),""))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IF(DATOS!$A10559="",0,IF(CONFIG_METADATA!$B$4&lt;&gt;"OR+EX",--(DATOS!$G10559=CONFIG_METADATA!$B$4),IF(DATOS!$G10559="EX",1,IF(DATOS!$G10559="OR",--(COUNTIFS(nNIA,DATOS!$A10559,nCURSO,DATOS!$D10559,nESPEC,DATOS!$E10559,nASIG,DATOS!$I10559,nEVAL,"EX")=0),0))))</f>
      </c>
      <c r="H10559">
        <f>IF(DATOS!$G10559&lt;&gt;"EX",0,--(COUNTIFS(nNIA,DATOS!$A10559,nCURSO,DATOS!$D10559,nESPEC,DATOS!$E10559,nASIG,DATOS!$I10559,nEVAL,"OR")=0))</f>
      </c>
      <c r="I10559">
        <f>IF(DATOS!$I10559="","",IFERROR(VLOOKUP(DATOS!$I10559,CONFIG_ASIGNATURAS!$B$2:$J$91,9,FALSE()),""))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IF(DATOS!$A10560="",0,IF(CONFIG_METADATA!$B$4&lt;&gt;"OR+EX",--(DATOS!$G10560=CONFIG_METADATA!$B$4),IF(DATOS!$G10560="EX",1,IF(DATOS!$G10560="OR",--(COUNTIFS(nNIA,DATOS!$A10560,nCURSO,DATOS!$D10560,nESPEC,DATOS!$E10560,nASIG,DATOS!$I10560,nEVAL,"EX")=0),0))))</f>
      </c>
      <c r="H10560">
        <f>IF(DATOS!$G10560&lt;&gt;"EX",0,--(COUNTIFS(nNIA,DATOS!$A10560,nCURSO,DATOS!$D10560,nESPEC,DATOS!$E10560,nASIG,DATOS!$I10560,nEVAL,"OR")=0))</f>
      </c>
      <c r="I10560">
        <f>IF(DATOS!$I10560="","",IFERROR(VLOOKUP(DATOS!$I10560,CONFIG_ASIGNATURAS!$B$2:$J$91,9,FALSE()),""))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IF(DATOS!$A10561="",0,IF(CONFIG_METADATA!$B$4&lt;&gt;"OR+EX",--(DATOS!$G10561=CONFIG_METADATA!$B$4),IF(DATOS!$G10561="EX",1,IF(DATOS!$G10561="OR",--(COUNTIFS(nNIA,DATOS!$A10561,nCURSO,DATOS!$D10561,nESPEC,DATOS!$E10561,nASIG,DATOS!$I10561,nEVAL,"EX")=0),0))))</f>
      </c>
      <c r="H10561">
        <f>IF(DATOS!$G10561&lt;&gt;"EX",0,--(COUNTIFS(nNIA,DATOS!$A10561,nCURSO,DATOS!$D10561,nESPEC,DATOS!$E10561,nASIG,DATOS!$I10561,nEVAL,"OR")=0))</f>
      </c>
      <c r="I10561">
        <f>IF(DATOS!$I10561="","",IFERROR(VLOOKUP(DATOS!$I10561,CONFIG_ASIGNATURAS!$B$2:$J$91,9,FALSE()),""))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IF(DATOS!$A10562="",0,IF(CONFIG_METADATA!$B$4&lt;&gt;"OR+EX",--(DATOS!$G10562=CONFIG_METADATA!$B$4),IF(DATOS!$G10562="EX",1,IF(DATOS!$G10562="OR",--(COUNTIFS(nNIA,DATOS!$A10562,nCURSO,DATOS!$D10562,nESPEC,DATOS!$E10562,nASIG,DATOS!$I10562,nEVAL,"EX")=0),0))))</f>
      </c>
      <c r="H10562">
        <f>IF(DATOS!$G10562&lt;&gt;"EX",0,--(COUNTIFS(nNIA,DATOS!$A10562,nCURSO,DATOS!$D10562,nESPEC,DATOS!$E10562,nASIG,DATOS!$I10562,nEVAL,"OR")=0))</f>
      </c>
      <c r="I10562">
        <f>IF(DATOS!$I10562="","",IFERROR(VLOOKUP(DATOS!$I10562,CONFIG_ASIGNATURAS!$B$2:$J$91,9,FALSE()),""))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IF(DATOS!$A10563="",0,IF(CONFIG_METADATA!$B$4&lt;&gt;"OR+EX",--(DATOS!$G10563=CONFIG_METADATA!$B$4),IF(DATOS!$G10563="EX",1,IF(DATOS!$G10563="OR",--(COUNTIFS(nNIA,DATOS!$A10563,nCURSO,DATOS!$D10563,nESPEC,DATOS!$E10563,nASIG,DATOS!$I10563,nEVAL,"EX")=0),0))))</f>
      </c>
      <c r="H10563">
        <f>IF(DATOS!$G10563&lt;&gt;"EX",0,--(COUNTIFS(nNIA,DATOS!$A10563,nCURSO,DATOS!$D10563,nESPEC,DATOS!$E10563,nASIG,DATOS!$I10563,nEVAL,"OR")=0))</f>
      </c>
      <c r="I10563">
        <f>IF(DATOS!$I10563="","",IFERROR(VLOOKUP(DATOS!$I10563,CONFIG_ASIGNATURAS!$B$2:$J$91,9,FALSE()),""))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IF(DATOS!$A10564="",0,IF(CONFIG_METADATA!$B$4&lt;&gt;"OR+EX",--(DATOS!$G10564=CONFIG_METADATA!$B$4),IF(DATOS!$G10564="EX",1,IF(DATOS!$G10564="OR",--(COUNTIFS(nNIA,DATOS!$A10564,nCURSO,DATOS!$D10564,nESPEC,DATOS!$E10564,nASIG,DATOS!$I10564,nEVAL,"EX")=0),0))))</f>
      </c>
      <c r="H10564">
        <f>IF(DATOS!$G10564&lt;&gt;"EX",0,--(COUNTIFS(nNIA,DATOS!$A10564,nCURSO,DATOS!$D10564,nESPEC,DATOS!$E10564,nASIG,DATOS!$I10564,nEVAL,"OR")=0))</f>
      </c>
      <c r="I10564">
        <f>IF(DATOS!$I10564="","",IFERROR(VLOOKUP(DATOS!$I10564,CONFIG_ASIGNATURAS!$B$2:$J$91,9,FALSE()),""))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IF(DATOS!$A10565="",0,IF(CONFIG_METADATA!$B$4&lt;&gt;"OR+EX",--(DATOS!$G10565=CONFIG_METADATA!$B$4),IF(DATOS!$G10565="EX",1,IF(DATOS!$G10565="OR",--(COUNTIFS(nNIA,DATOS!$A10565,nCURSO,DATOS!$D10565,nESPEC,DATOS!$E10565,nASIG,DATOS!$I10565,nEVAL,"EX")=0),0))))</f>
      </c>
      <c r="H10565">
        <f>IF(DATOS!$G10565&lt;&gt;"EX",0,--(COUNTIFS(nNIA,DATOS!$A10565,nCURSO,DATOS!$D10565,nESPEC,DATOS!$E10565,nASIG,DATOS!$I10565,nEVAL,"OR")=0))</f>
      </c>
      <c r="I10565">
        <f>IF(DATOS!$I10565="","",IFERROR(VLOOKUP(DATOS!$I10565,CONFIG_ASIGNATURAS!$B$2:$J$91,9,FALSE()),""))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IF(DATOS!$A10566="",0,IF(CONFIG_METADATA!$B$4&lt;&gt;"OR+EX",--(DATOS!$G10566=CONFIG_METADATA!$B$4),IF(DATOS!$G10566="EX",1,IF(DATOS!$G10566="OR",--(COUNTIFS(nNIA,DATOS!$A10566,nCURSO,DATOS!$D10566,nESPEC,DATOS!$E10566,nASIG,DATOS!$I10566,nEVAL,"EX")=0),0))))</f>
      </c>
      <c r="H10566">
        <f>IF(DATOS!$G10566&lt;&gt;"EX",0,--(COUNTIFS(nNIA,DATOS!$A10566,nCURSO,DATOS!$D10566,nESPEC,DATOS!$E10566,nASIG,DATOS!$I10566,nEVAL,"OR")=0))</f>
      </c>
      <c r="I10566">
        <f>IF(DATOS!$I10566="","",IFERROR(VLOOKUP(DATOS!$I10566,CONFIG_ASIGNATURAS!$B$2:$J$91,9,FALSE()),""))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IF(DATOS!$A10567="",0,IF(CONFIG_METADATA!$B$4&lt;&gt;"OR+EX",--(DATOS!$G10567=CONFIG_METADATA!$B$4),IF(DATOS!$G10567="EX",1,IF(DATOS!$G10567="OR",--(COUNTIFS(nNIA,DATOS!$A10567,nCURSO,DATOS!$D10567,nESPEC,DATOS!$E10567,nASIG,DATOS!$I10567,nEVAL,"EX")=0),0))))</f>
      </c>
      <c r="H10567">
        <f>IF(DATOS!$G10567&lt;&gt;"EX",0,--(COUNTIFS(nNIA,DATOS!$A10567,nCURSO,DATOS!$D10567,nESPEC,DATOS!$E10567,nASIG,DATOS!$I10567,nEVAL,"OR")=0))</f>
      </c>
      <c r="I10567">
        <f>IF(DATOS!$I10567="","",IFERROR(VLOOKUP(DATOS!$I10567,CONFIG_ASIGNATURAS!$B$2:$J$91,9,FALSE()),""))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IF(DATOS!$A10568="",0,IF(CONFIG_METADATA!$B$4&lt;&gt;"OR+EX",--(DATOS!$G10568=CONFIG_METADATA!$B$4),IF(DATOS!$G10568="EX",1,IF(DATOS!$G10568="OR",--(COUNTIFS(nNIA,DATOS!$A10568,nCURSO,DATOS!$D10568,nESPEC,DATOS!$E10568,nASIG,DATOS!$I10568,nEVAL,"EX")=0),0))))</f>
      </c>
      <c r="H10568">
        <f>IF(DATOS!$G10568&lt;&gt;"EX",0,--(COUNTIFS(nNIA,DATOS!$A10568,nCURSO,DATOS!$D10568,nESPEC,DATOS!$E10568,nASIG,DATOS!$I10568,nEVAL,"OR")=0))</f>
      </c>
      <c r="I10568">
        <f>IF(DATOS!$I10568="","",IFERROR(VLOOKUP(DATOS!$I10568,CONFIG_ASIGNATURAS!$B$2:$J$91,9,FALSE()),""))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IF(DATOS!$A10569="",0,IF(CONFIG_METADATA!$B$4&lt;&gt;"OR+EX",--(DATOS!$G10569=CONFIG_METADATA!$B$4),IF(DATOS!$G10569="EX",1,IF(DATOS!$G10569="OR",--(COUNTIFS(nNIA,DATOS!$A10569,nCURSO,DATOS!$D10569,nESPEC,DATOS!$E10569,nASIG,DATOS!$I10569,nEVAL,"EX")=0),0))))</f>
      </c>
      <c r="H10569">
        <f>IF(DATOS!$G10569&lt;&gt;"EX",0,--(COUNTIFS(nNIA,DATOS!$A10569,nCURSO,DATOS!$D10569,nESPEC,DATOS!$E10569,nASIG,DATOS!$I10569,nEVAL,"OR")=0))</f>
      </c>
      <c r="I10569">
        <f>IF(DATOS!$I10569="","",IFERROR(VLOOKUP(DATOS!$I10569,CONFIG_ASIGNATURAS!$B$2:$J$91,9,FALSE()),""))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IF(DATOS!$A10570="",0,IF(CONFIG_METADATA!$B$4&lt;&gt;"OR+EX",--(DATOS!$G10570=CONFIG_METADATA!$B$4),IF(DATOS!$G10570="EX",1,IF(DATOS!$G10570="OR",--(COUNTIFS(nNIA,DATOS!$A10570,nCURSO,DATOS!$D10570,nESPEC,DATOS!$E10570,nASIG,DATOS!$I10570,nEVAL,"EX")=0),0))))</f>
      </c>
      <c r="H10570">
        <f>IF(DATOS!$G10570&lt;&gt;"EX",0,--(COUNTIFS(nNIA,DATOS!$A10570,nCURSO,DATOS!$D10570,nESPEC,DATOS!$E10570,nASIG,DATOS!$I10570,nEVAL,"OR")=0))</f>
      </c>
      <c r="I10570">
        <f>IF(DATOS!$I10570="","",IFERROR(VLOOKUP(DATOS!$I10570,CONFIG_ASIGNATURAS!$B$2:$J$91,9,FALSE()),""))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IF(DATOS!$A10571="",0,IF(CONFIG_METADATA!$B$4&lt;&gt;"OR+EX",--(DATOS!$G10571=CONFIG_METADATA!$B$4),IF(DATOS!$G10571="EX",1,IF(DATOS!$G10571="OR",--(COUNTIFS(nNIA,DATOS!$A10571,nCURSO,DATOS!$D10571,nESPEC,DATOS!$E10571,nASIG,DATOS!$I10571,nEVAL,"EX")=0),0))))</f>
      </c>
      <c r="H10571">
        <f>IF(DATOS!$G10571&lt;&gt;"EX",0,--(COUNTIFS(nNIA,DATOS!$A10571,nCURSO,DATOS!$D10571,nESPEC,DATOS!$E10571,nASIG,DATOS!$I10571,nEVAL,"OR")=0))</f>
      </c>
      <c r="I10571">
        <f>IF(DATOS!$I10571="","",IFERROR(VLOOKUP(DATOS!$I10571,CONFIG_ASIGNATURAS!$B$2:$J$91,9,FALSE()),""))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IF(DATOS!$A10572="",0,IF(CONFIG_METADATA!$B$4&lt;&gt;"OR+EX",--(DATOS!$G10572=CONFIG_METADATA!$B$4),IF(DATOS!$G10572="EX",1,IF(DATOS!$G10572="OR",--(COUNTIFS(nNIA,DATOS!$A10572,nCURSO,DATOS!$D10572,nESPEC,DATOS!$E10572,nASIG,DATOS!$I10572,nEVAL,"EX")=0),0))))</f>
      </c>
      <c r="H10572">
        <f>IF(DATOS!$G10572&lt;&gt;"EX",0,--(COUNTIFS(nNIA,DATOS!$A10572,nCURSO,DATOS!$D10572,nESPEC,DATOS!$E10572,nASIG,DATOS!$I10572,nEVAL,"OR")=0))</f>
      </c>
      <c r="I10572">
        <f>IF(DATOS!$I10572="","",IFERROR(VLOOKUP(DATOS!$I10572,CONFIG_ASIGNATURAS!$B$2:$J$91,9,FALSE()),""))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IF(DATOS!$A10573="",0,IF(CONFIG_METADATA!$B$4&lt;&gt;"OR+EX",--(DATOS!$G10573=CONFIG_METADATA!$B$4),IF(DATOS!$G10573="EX",1,IF(DATOS!$G10573="OR",--(COUNTIFS(nNIA,DATOS!$A10573,nCURSO,DATOS!$D10573,nESPEC,DATOS!$E10573,nASIG,DATOS!$I10573,nEVAL,"EX")=0),0))))</f>
      </c>
      <c r="H10573">
        <f>IF(DATOS!$G10573&lt;&gt;"EX",0,--(COUNTIFS(nNIA,DATOS!$A10573,nCURSO,DATOS!$D10573,nESPEC,DATOS!$E10573,nASIG,DATOS!$I10573,nEVAL,"OR")=0))</f>
      </c>
      <c r="I10573">
        <f>IF(DATOS!$I10573="","",IFERROR(VLOOKUP(DATOS!$I10573,CONFIG_ASIGNATURAS!$B$2:$J$91,9,FALSE()),""))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IF(DATOS!$A10574="",0,IF(CONFIG_METADATA!$B$4&lt;&gt;"OR+EX",--(DATOS!$G10574=CONFIG_METADATA!$B$4),IF(DATOS!$G10574="EX",1,IF(DATOS!$G10574="OR",--(COUNTIFS(nNIA,DATOS!$A10574,nCURSO,DATOS!$D10574,nESPEC,DATOS!$E10574,nASIG,DATOS!$I10574,nEVAL,"EX")=0),0))))</f>
      </c>
      <c r="H10574">
        <f>IF(DATOS!$G10574&lt;&gt;"EX",0,--(COUNTIFS(nNIA,DATOS!$A10574,nCURSO,DATOS!$D10574,nESPEC,DATOS!$E10574,nASIG,DATOS!$I10574,nEVAL,"OR")=0))</f>
      </c>
      <c r="I10574">
        <f>IF(DATOS!$I10574="","",IFERROR(VLOOKUP(DATOS!$I10574,CONFIG_ASIGNATURAS!$B$2:$J$91,9,FALSE()),""))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IF(DATOS!$A10575="",0,IF(CONFIG_METADATA!$B$4&lt;&gt;"OR+EX",--(DATOS!$G10575=CONFIG_METADATA!$B$4),IF(DATOS!$G10575="EX",1,IF(DATOS!$G10575="OR",--(COUNTIFS(nNIA,DATOS!$A10575,nCURSO,DATOS!$D10575,nESPEC,DATOS!$E10575,nASIG,DATOS!$I10575,nEVAL,"EX")=0),0))))</f>
      </c>
      <c r="H10575">
        <f>IF(DATOS!$G10575&lt;&gt;"EX",0,--(COUNTIFS(nNIA,DATOS!$A10575,nCURSO,DATOS!$D10575,nESPEC,DATOS!$E10575,nASIG,DATOS!$I10575,nEVAL,"OR")=0))</f>
      </c>
      <c r="I10575">
        <f>IF(DATOS!$I10575="","",IFERROR(VLOOKUP(DATOS!$I10575,CONFIG_ASIGNATURAS!$B$2:$J$91,9,FALSE()),""))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IF(DATOS!$A10576="",0,IF(CONFIG_METADATA!$B$4&lt;&gt;"OR+EX",--(DATOS!$G10576=CONFIG_METADATA!$B$4),IF(DATOS!$G10576="EX",1,IF(DATOS!$G10576="OR",--(COUNTIFS(nNIA,DATOS!$A10576,nCURSO,DATOS!$D10576,nESPEC,DATOS!$E10576,nASIG,DATOS!$I10576,nEVAL,"EX")=0),0))))</f>
      </c>
      <c r="H10576">
        <f>IF(DATOS!$G10576&lt;&gt;"EX",0,--(COUNTIFS(nNIA,DATOS!$A10576,nCURSO,DATOS!$D10576,nESPEC,DATOS!$E10576,nASIG,DATOS!$I10576,nEVAL,"OR")=0))</f>
      </c>
      <c r="I10576">
        <f>IF(DATOS!$I10576="","",IFERROR(VLOOKUP(DATOS!$I10576,CONFIG_ASIGNATURAS!$B$2:$J$91,9,FALSE()),""))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IF(DATOS!$A10577="",0,IF(CONFIG_METADATA!$B$4&lt;&gt;"OR+EX",--(DATOS!$G10577=CONFIG_METADATA!$B$4),IF(DATOS!$G10577="EX",1,IF(DATOS!$G10577="OR",--(COUNTIFS(nNIA,DATOS!$A10577,nCURSO,DATOS!$D10577,nESPEC,DATOS!$E10577,nASIG,DATOS!$I10577,nEVAL,"EX")=0),0))))</f>
      </c>
      <c r="H10577">
        <f>IF(DATOS!$G10577&lt;&gt;"EX",0,--(COUNTIFS(nNIA,DATOS!$A10577,nCURSO,DATOS!$D10577,nESPEC,DATOS!$E10577,nASIG,DATOS!$I10577,nEVAL,"OR")=0))</f>
      </c>
      <c r="I10577">
        <f>IF(DATOS!$I10577="","",IFERROR(VLOOKUP(DATOS!$I10577,CONFIG_ASIGNATURAS!$B$2:$J$91,9,FALSE()),""))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IF(DATOS!$A10578="",0,IF(CONFIG_METADATA!$B$4&lt;&gt;"OR+EX",--(DATOS!$G10578=CONFIG_METADATA!$B$4),IF(DATOS!$G10578="EX",1,IF(DATOS!$G10578="OR",--(COUNTIFS(nNIA,DATOS!$A10578,nCURSO,DATOS!$D10578,nESPEC,DATOS!$E10578,nASIG,DATOS!$I10578,nEVAL,"EX")=0),0))))</f>
      </c>
      <c r="H10578">
        <f>IF(DATOS!$G10578&lt;&gt;"EX",0,--(COUNTIFS(nNIA,DATOS!$A10578,nCURSO,DATOS!$D10578,nESPEC,DATOS!$E10578,nASIG,DATOS!$I10578,nEVAL,"OR")=0))</f>
      </c>
      <c r="I10578">
        <f>IF(DATOS!$I10578="","",IFERROR(VLOOKUP(DATOS!$I10578,CONFIG_ASIGNATURAS!$B$2:$J$91,9,FALSE()),""))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IF(DATOS!$A10579="",0,IF(CONFIG_METADATA!$B$4&lt;&gt;"OR+EX",--(DATOS!$G10579=CONFIG_METADATA!$B$4),IF(DATOS!$G10579="EX",1,IF(DATOS!$G10579="OR",--(COUNTIFS(nNIA,DATOS!$A10579,nCURSO,DATOS!$D10579,nESPEC,DATOS!$E10579,nASIG,DATOS!$I10579,nEVAL,"EX")=0),0))))</f>
      </c>
      <c r="H10579">
        <f>IF(DATOS!$G10579&lt;&gt;"EX",0,--(COUNTIFS(nNIA,DATOS!$A10579,nCURSO,DATOS!$D10579,nESPEC,DATOS!$E10579,nASIG,DATOS!$I10579,nEVAL,"OR")=0))</f>
      </c>
      <c r="I10579">
        <f>IF(DATOS!$I10579="","",IFERROR(VLOOKUP(DATOS!$I10579,CONFIG_ASIGNATURAS!$B$2:$J$91,9,FALSE()),""))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IF(DATOS!$A10580="",0,IF(CONFIG_METADATA!$B$4&lt;&gt;"OR+EX",--(DATOS!$G10580=CONFIG_METADATA!$B$4),IF(DATOS!$G10580="EX",1,IF(DATOS!$G10580="OR",--(COUNTIFS(nNIA,DATOS!$A10580,nCURSO,DATOS!$D10580,nESPEC,DATOS!$E10580,nASIG,DATOS!$I10580,nEVAL,"EX")=0),0))))</f>
      </c>
      <c r="H10580">
        <f>IF(DATOS!$G10580&lt;&gt;"EX",0,--(COUNTIFS(nNIA,DATOS!$A10580,nCURSO,DATOS!$D10580,nESPEC,DATOS!$E10580,nASIG,DATOS!$I10580,nEVAL,"OR")=0))</f>
      </c>
      <c r="I10580">
        <f>IF(DATOS!$I10580="","",IFERROR(VLOOKUP(DATOS!$I10580,CONFIG_ASIGNATURAS!$B$2:$J$91,9,FALSE()),""))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IF(DATOS!$A10581="",0,IF(CONFIG_METADATA!$B$4&lt;&gt;"OR+EX",--(DATOS!$G10581=CONFIG_METADATA!$B$4),IF(DATOS!$G10581="EX",1,IF(DATOS!$G10581="OR",--(COUNTIFS(nNIA,DATOS!$A10581,nCURSO,DATOS!$D10581,nESPEC,DATOS!$E10581,nASIG,DATOS!$I10581,nEVAL,"EX")=0),0))))</f>
      </c>
      <c r="H10581">
        <f>IF(DATOS!$G10581&lt;&gt;"EX",0,--(COUNTIFS(nNIA,DATOS!$A10581,nCURSO,DATOS!$D10581,nESPEC,DATOS!$E10581,nASIG,DATOS!$I10581,nEVAL,"OR")=0))</f>
      </c>
      <c r="I10581">
        <f>IF(DATOS!$I10581="","",IFERROR(VLOOKUP(DATOS!$I10581,CONFIG_ASIGNATURAS!$B$2:$J$91,9,FALSE()),""))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IF(DATOS!$A10582="",0,IF(CONFIG_METADATA!$B$4&lt;&gt;"OR+EX",--(DATOS!$G10582=CONFIG_METADATA!$B$4),IF(DATOS!$G10582="EX",1,IF(DATOS!$G10582="OR",--(COUNTIFS(nNIA,DATOS!$A10582,nCURSO,DATOS!$D10582,nESPEC,DATOS!$E10582,nASIG,DATOS!$I10582,nEVAL,"EX")=0),0))))</f>
      </c>
      <c r="H10582">
        <f>IF(DATOS!$G10582&lt;&gt;"EX",0,--(COUNTIFS(nNIA,DATOS!$A10582,nCURSO,DATOS!$D10582,nESPEC,DATOS!$E10582,nASIG,DATOS!$I10582,nEVAL,"OR")=0))</f>
      </c>
      <c r="I10582">
        <f>IF(DATOS!$I10582="","",IFERROR(VLOOKUP(DATOS!$I10582,CONFIG_ASIGNATURAS!$B$2:$J$91,9,FALSE()),""))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IF(DATOS!$A10583="",0,IF(CONFIG_METADATA!$B$4&lt;&gt;"OR+EX",--(DATOS!$G10583=CONFIG_METADATA!$B$4),IF(DATOS!$G10583="EX",1,IF(DATOS!$G10583="OR",--(COUNTIFS(nNIA,DATOS!$A10583,nCURSO,DATOS!$D10583,nESPEC,DATOS!$E10583,nASIG,DATOS!$I10583,nEVAL,"EX")=0),0))))</f>
      </c>
      <c r="H10583">
        <f>IF(DATOS!$G10583&lt;&gt;"EX",0,--(COUNTIFS(nNIA,DATOS!$A10583,nCURSO,DATOS!$D10583,nESPEC,DATOS!$E10583,nASIG,DATOS!$I10583,nEVAL,"OR")=0))</f>
      </c>
      <c r="I10583">
        <f>IF(DATOS!$I10583="","",IFERROR(VLOOKUP(DATOS!$I10583,CONFIG_ASIGNATURAS!$B$2:$J$91,9,FALSE()),""))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IF(DATOS!$A10584="",0,IF(CONFIG_METADATA!$B$4&lt;&gt;"OR+EX",--(DATOS!$G10584=CONFIG_METADATA!$B$4),IF(DATOS!$G10584="EX",1,IF(DATOS!$G10584="OR",--(COUNTIFS(nNIA,DATOS!$A10584,nCURSO,DATOS!$D10584,nESPEC,DATOS!$E10584,nASIG,DATOS!$I10584,nEVAL,"EX")=0),0))))</f>
      </c>
      <c r="H10584">
        <f>IF(DATOS!$G10584&lt;&gt;"EX",0,--(COUNTIFS(nNIA,DATOS!$A10584,nCURSO,DATOS!$D10584,nESPEC,DATOS!$E10584,nASIG,DATOS!$I10584,nEVAL,"OR")=0))</f>
      </c>
      <c r="I10584">
        <f>IF(DATOS!$I10584="","",IFERROR(VLOOKUP(DATOS!$I10584,CONFIG_ASIGNATURAS!$B$2:$J$91,9,FALSE()),""))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IF(DATOS!$A10585="",0,IF(CONFIG_METADATA!$B$4&lt;&gt;"OR+EX",--(DATOS!$G10585=CONFIG_METADATA!$B$4),IF(DATOS!$G10585="EX",1,IF(DATOS!$G10585="OR",--(COUNTIFS(nNIA,DATOS!$A10585,nCURSO,DATOS!$D10585,nESPEC,DATOS!$E10585,nASIG,DATOS!$I10585,nEVAL,"EX")=0),0))))</f>
      </c>
      <c r="H10585">
        <f>IF(DATOS!$G10585&lt;&gt;"EX",0,--(COUNTIFS(nNIA,DATOS!$A10585,nCURSO,DATOS!$D10585,nESPEC,DATOS!$E10585,nASIG,DATOS!$I10585,nEVAL,"OR")=0))</f>
      </c>
      <c r="I10585">
        <f>IF(DATOS!$I10585="","",IFERROR(VLOOKUP(DATOS!$I10585,CONFIG_ASIGNATURAS!$B$2:$J$91,9,FALSE()),""))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IF(DATOS!$A10586="",0,IF(CONFIG_METADATA!$B$4&lt;&gt;"OR+EX",--(DATOS!$G10586=CONFIG_METADATA!$B$4),IF(DATOS!$G10586="EX",1,IF(DATOS!$G10586="OR",--(COUNTIFS(nNIA,DATOS!$A10586,nCURSO,DATOS!$D10586,nESPEC,DATOS!$E10586,nASIG,DATOS!$I10586,nEVAL,"EX")=0),0))))</f>
      </c>
      <c r="H10586">
        <f>IF(DATOS!$G10586&lt;&gt;"EX",0,--(COUNTIFS(nNIA,DATOS!$A10586,nCURSO,DATOS!$D10586,nESPEC,DATOS!$E10586,nASIG,DATOS!$I10586,nEVAL,"OR")=0))</f>
      </c>
      <c r="I10586">
        <f>IF(DATOS!$I10586="","",IFERROR(VLOOKUP(DATOS!$I10586,CONFIG_ASIGNATURAS!$B$2:$J$91,9,FALSE()),""))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IF(DATOS!$A10587="",0,IF(CONFIG_METADATA!$B$4&lt;&gt;"OR+EX",--(DATOS!$G10587=CONFIG_METADATA!$B$4),IF(DATOS!$G10587="EX",1,IF(DATOS!$G10587="OR",--(COUNTIFS(nNIA,DATOS!$A10587,nCURSO,DATOS!$D10587,nESPEC,DATOS!$E10587,nASIG,DATOS!$I10587,nEVAL,"EX")=0),0))))</f>
      </c>
      <c r="H10587">
        <f>IF(DATOS!$G10587&lt;&gt;"EX",0,--(COUNTIFS(nNIA,DATOS!$A10587,nCURSO,DATOS!$D10587,nESPEC,DATOS!$E10587,nASIG,DATOS!$I10587,nEVAL,"OR")=0))</f>
      </c>
      <c r="I10587">
        <f>IF(DATOS!$I10587="","",IFERROR(VLOOKUP(DATOS!$I10587,CONFIG_ASIGNATURAS!$B$2:$J$91,9,FALSE()),""))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IF(DATOS!$A10588="",0,IF(CONFIG_METADATA!$B$4&lt;&gt;"OR+EX",--(DATOS!$G10588=CONFIG_METADATA!$B$4),IF(DATOS!$G10588="EX",1,IF(DATOS!$G10588="OR",--(COUNTIFS(nNIA,DATOS!$A10588,nCURSO,DATOS!$D10588,nESPEC,DATOS!$E10588,nASIG,DATOS!$I10588,nEVAL,"EX")=0),0))))</f>
      </c>
      <c r="H10588">
        <f>IF(DATOS!$G10588&lt;&gt;"EX",0,--(COUNTIFS(nNIA,DATOS!$A10588,nCURSO,DATOS!$D10588,nESPEC,DATOS!$E10588,nASIG,DATOS!$I10588,nEVAL,"OR")=0))</f>
      </c>
      <c r="I10588">
        <f>IF(DATOS!$I10588="","",IFERROR(VLOOKUP(DATOS!$I10588,CONFIG_ASIGNATURAS!$B$2:$J$91,9,FALSE()),""))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IF(DATOS!$A10589="",0,IF(CONFIG_METADATA!$B$4&lt;&gt;"OR+EX",--(DATOS!$G10589=CONFIG_METADATA!$B$4),IF(DATOS!$G10589="EX",1,IF(DATOS!$G10589="OR",--(COUNTIFS(nNIA,DATOS!$A10589,nCURSO,DATOS!$D10589,nESPEC,DATOS!$E10589,nASIG,DATOS!$I10589,nEVAL,"EX")=0),0))))</f>
      </c>
      <c r="H10589">
        <f>IF(DATOS!$G10589&lt;&gt;"EX",0,--(COUNTIFS(nNIA,DATOS!$A10589,nCURSO,DATOS!$D10589,nESPEC,DATOS!$E10589,nASIG,DATOS!$I10589,nEVAL,"OR")=0))</f>
      </c>
      <c r="I10589">
        <f>IF(DATOS!$I10589="","",IFERROR(VLOOKUP(DATOS!$I10589,CONFIG_ASIGNATURAS!$B$2:$J$91,9,FALSE()),""))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IF(DATOS!$A10590="",0,IF(CONFIG_METADATA!$B$4&lt;&gt;"OR+EX",--(DATOS!$G10590=CONFIG_METADATA!$B$4),IF(DATOS!$G10590="EX",1,IF(DATOS!$G10590="OR",--(COUNTIFS(nNIA,DATOS!$A10590,nCURSO,DATOS!$D10590,nESPEC,DATOS!$E10590,nASIG,DATOS!$I10590,nEVAL,"EX")=0),0))))</f>
      </c>
      <c r="H10590">
        <f>IF(DATOS!$G10590&lt;&gt;"EX",0,--(COUNTIFS(nNIA,DATOS!$A10590,nCURSO,DATOS!$D10590,nESPEC,DATOS!$E10590,nASIG,DATOS!$I10590,nEVAL,"OR")=0))</f>
      </c>
      <c r="I10590">
        <f>IF(DATOS!$I10590="","",IFERROR(VLOOKUP(DATOS!$I10590,CONFIG_ASIGNATURAS!$B$2:$J$91,9,FALSE()),""))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IF(DATOS!$A10591="",0,IF(CONFIG_METADATA!$B$4&lt;&gt;"OR+EX",--(DATOS!$G10591=CONFIG_METADATA!$B$4),IF(DATOS!$G10591="EX",1,IF(DATOS!$G10591="OR",--(COUNTIFS(nNIA,DATOS!$A10591,nCURSO,DATOS!$D10591,nESPEC,DATOS!$E10591,nASIG,DATOS!$I10591,nEVAL,"EX")=0),0))))</f>
      </c>
      <c r="H10591">
        <f>IF(DATOS!$G10591&lt;&gt;"EX",0,--(COUNTIFS(nNIA,DATOS!$A10591,nCURSO,DATOS!$D10591,nESPEC,DATOS!$E10591,nASIG,DATOS!$I10591,nEVAL,"OR")=0))</f>
      </c>
      <c r="I10591">
        <f>IF(DATOS!$I10591="","",IFERROR(VLOOKUP(DATOS!$I10591,CONFIG_ASIGNATURAS!$B$2:$J$91,9,FALSE()),""))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IF(DATOS!$A10592="",0,IF(CONFIG_METADATA!$B$4&lt;&gt;"OR+EX",--(DATOS!$G10592=CONFIG_METADATA!$B$4),IF(DATOS!$G10592="EX",1,IF(DATOS!$G10592="OR",--(COUNTIFS(nNIA,DATOS!$A10592,nCURSO,DATOS!$D10592,nESPEC,DATOS!$E10592,nASIG,DATOS!$I10592,nEVAL,"EX")=0),0))))</f>
      </c>
      <c r="H10592">
        <f>IF(DATOS!$G10592&lt;&gt;"EX",0,--(COUNTIFS(nNIA,DATOS!$A10592,nCURSO,DATOS!$D10592,nESPEC,DATOS!$E10592,nASIG,DATOS!$I10592,nEVAL,"OR")=0))</f>
      </c>
      <c r="I10592">
        <f>IF(DATOS!$I10592="","",IFERROR(VLOOKUP(DATOS!$I10592,CONFIG_ASIGNATURAS!$B$2:$J$91,9,FALSE()),""))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IF(DATOS!$A10593="",0,IF(CONFIG_METADATA!$B$4&lt;&gt;"OR+EX",--(DATOS!$G10593=CONFIG_METADATA!$B$4),IF(DATOS!$G10593="EX",1,IF(DATOS!$G10593="OR",--(COUNTIFS(nNIA,DATOS!$A10593,nCURSO,DATOS!$D10593,nESPEC,DATOS!$E10593,nASIG,DATOS!$I10593,nEVAL,"EX")=0),0))))</f>
      </c>
      <c r="H10593">
        <f>IF(DATOS!$G10593&lt;&gt;"EX",0,--(COUNTIFS(nNIA,DATOS!$A10593,nCURSO,DATOS!$D10593,nESPEC,DATOS!$E10593,nASIG,DATOS!$I10593,nEVAL,"OR")=0))</f>
      </c>
      <c r="I10593">
        <f>IF(DATOS!$I10593="","",IFERROR(VLOOKUP(DATOS!$I10593,CONFIG_ASIGNATURAS!$B$2:$J$91,9,FALSE()),""))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IF(DATOS!$A10594="",0,IF(CONFIG_METADATA!$B$4&lt;&gt;"OR+EX",--(DATOS!$G10594=CONFIG_METADATA!$B$4),IF(DATOS!$G10594="EX",1,IF(DATOS!$G10594="OR",--(COUNTIFS(nNIA,DATOS!$A10594,nCURSO,DATOS!$D10594,nESPEC,DATOS!$E10594,nASIG,DATOS!$I10594,nEVAL,"EX")=0),0))))</f>
      </c>
      <c r="H10594">
        <f>IF(DATOS!$G10594&lt;&gt;"EX",0,--(COUNTIFS(nNIA,DATOS!$A10594,nCURSO,DATOS!$D10594,nESPEC,DATOS!$E10594,nASIG,DATOS!$I10594,nEVAL,"OR")=0))</f>
      </c>
      <c r="I10594">
        <f>IF(DATOS!$I10594="","",IFERROR(VLOOKUP(DATOS!$I10594,CONFIG_ASIGNATURAS!$B$2:$J$91,9,FALSE()),""))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IF(DATOS!$A10595="",0,IF(CONFIG_METADATA!$B$4&lt;&gt;"OR+EX",--(DATOS!$G10595=CONFIG_METADATA!$B$4),IF(DATOS!$G10595="EX",1,IF(DATOS!$G10595="OR",--(COUNTIFS(nNIA,DATOS!$A10595,nCURSO,DATOS!$D10595,nESPEC,DATOS!$E10595,nASIG,DATOS!$I10595,nEVAL,"EX")=0),0))))</f>
      </c>
      <c r="H10595">
        <f>IF(DATOS!$G10595&lt;&gt;"EX",0,--(COUNTIFS(nNIA,DATOS!$A10595,nCURSO,DATOS!$D10595,nESPEC,DATOS!$E10595,nASIG,DATOS!$I10595,nEVAL,"OR")=0))</f>
      </c>
      <c r="I10595">
        <f>IF(DATOS!$I10595="","",IFERROR(VLOOKUP(DATOS!$I10595,CONFIG_ASIGNATURAS!$B$2:$J$91,9,FALSE()),""))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IF(DATOS!$A10596="",0,IF(CONFIG_METADATA!$B$4&lt;&gt;"OR+EX",--(DATOS!$G10596=CONFIG_METADATA!$B$4),IF(DATOS!$G10596="EX",1,IF(DATOS!$G10596="OR",--(COUNTIFS(nNIA,DATOS!$A10596,nCURSO,DATOS!$D10596,nESPEC,DATOS!$E10596,nASIG,DATOS!$I10596,nEVAL,"EX")=0),0))))</f>
      </c>
      <c r="H10596">
        <f>IF(DATOS!$G10596&lt;&gt;"EX",0,--(COUNTIFS(nNIA,DATOS!$A10596,nCURSO,DATOS!$D10596,nESPEC,DATOS!$E10596,nASIG,DATOS!$I10596,nEVAL,"OR")=0))</f>
      </c>
      <c r="I10596">
        <f>IF(DATOS!$I10596="","",IFERROR(VLOOKUP(DATOS!$I10596,CONFIG_ASIGNATURAS!$B$2:$J$91,9,FALSE()),""))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IF(DATOS!$A10597="",0,IF(CONFIG_METADATA!$B$4&lt;&gt;"OR+EX",--(DATOS!$G10597=CONFIG_METADATA!$B$4),IF(DATOS!$G10597="EX",1,IF(DATOS!$G10597="OR",--(COUNTIFS(nNIA,DATOS!$A10597,nCURSO,DATOS!$D10597,nESPEC,DATOS!$E10597,nASIG,DATOS!$I10597,nEVAL,"EX")=0),0))))</f>
      </c>
      <c r="H10597">
        <f>IF(DATOS!$G10597&lt;&gt;"EX",0,--(COUNTIFS(nNIA,DATOS!$A10597,nCURSO,DATOS!$D10597,nESPEC,DATOS!$E10597,nASIG,DATOS!$I10597,nEVAL,"OR")=0))</f>
      </c>
      <c r="I10597">
        <f>IF(DATOS!$I10597="","",IFERROR(VLOOKUP(DATOS!$I10597,CONFIG_ASIGNATURAS!$B$2:$J$91,9,FALSE()),""))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IF(DATOS!$A10598="",0,IF(CONFIG_METADATA!$B$4&lt;&gt;"OR+EX",--(DATOS!$G10598=CONFIG_METADATA!$B$4),IF(DATOS!$G10598="EX",1,IF(DATOS!$G10598="OR",--(COUNTIFS(nNIA,DATOS!$A10598,nCURSO,DATOS!$D10598,nESPEC,DATOS!$E10598,nASIG,DATOS!$I10598,nEVAL,"EX")=0),0))))</f>
      </c>
      <c r="H10598">
        <f>IF(DATOS!$G10598&lt;&gt;"EX",0,--(COUNTIFS(nNIA,DATOS!$A10598,nCURSO,DATOS!$D10598,nESPEC,DATOS!$E10598,nASIG,DATOS!$I10598,nEVAL,"OR")=0))</f>
      </c>
      <c r="I10598">
        <f>IF(DATOS!$I10598="","",IFERROR(VLOOKUP(DATOS!$I10598,CONFIG_ASIGNATURAS!$B$2:$J$91,9,FALSE()),""))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IF(DATOS!$A10599="",0,IF(CONFIG_METADATA!$B$4&lt;&gt;"OR+EX",--(DATOS!$G10599=CONFIG_METADATA!$B$4),IF(DATOS!$G10599="EX",1,IF(DATOS!$G10599="OR",--(COUNTIFS(nNIA,DATOS!$A10599,nCURSO,DATOS!$D10599,nESPEC,DATOS!$E10599,nASIG,DATOS!$I10599,nEVAL,"EX")=0),0))))</f>
      </c>
      <c r="H10599">
        <f>IF(DATOS!$G10599&lt;&gt;"EX",0,--(COUNTIFS(nNIA,DATOS!$A10599,nCURSO,DATOS!$D10599,nESPEC,DATOS!$E10599,nASIG,DATOS!$I10599,nEVAL,"OR")=0))</f>
      </c>
      <c r="I10599">
        <f>IF(DATOS!$I10599="","",IFERROR(VLOOKUP(DATOS!$I10599,CONFIG_ASIGNATURAS!$B$2:$J$91,9,FALSE()),""))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IF(DATOS!$A10600="",0,IF(CONFIG_METADATA!$B$4&lt;&gt;"OR+EX",--(DATOS!$G10600=CONFIG_METADATA!$B$4),IF(DATOS!$G10600="EX",1,IF(DATOS!$G10600="OR",--(COUNTIFS(nNIA,DATOS!$A10600,nCURSO,DATOS!$D10600,nESPEC,DATOS!$E10600,nASIG,DATOS!$I10600,nEVAL,"EX")=0),0))))</f>
      </c>
      <c r="H10600">
        <f>IF(DATOS!$G10600&lt;&gt;"EX",0,--(COUNTIFS(nNIA,DATOS!$A10600,nCURSO,DATOS!$D10600,nESPEC,DATOS!$E10600,nASIG,DATOS!$I10600,nEVAL,"OR")=0))</f>
      </c>
      <c r="I10600">
        <f>IF(DATOS!$I10600="","",IFERROR(VLOOKUP(DATOS!$I10600,CONFIG_ASIGNATURAS!$B$2:$J$91,9,FALSE()),""))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IF(DATOS!$A10601="",0,IF(CONFIG_METADATA!$B$4&lt;&gt;"OR+EX",--(DATOS!$G10601=CONFIG_METADATA!$B$4),IF(DATOS!$G10601="EX",1,IF(DATOS!$G10601="OR",--(COUNTIFS(nNIA,DATOS!$A10601,nCURSO,DATOS!$D10601,nESPEC,DATOS!$E10601,nASIG,DATOS!$I10601,nEVAL,"EX")=0),0))))</f>
      </c>
      <c r="H10601">
        <f>IF(DATOS!$G10601&lt;&gt;"EX",0,--(COUNTIFS(nNIA,DATOS!$A10601,nCURSO,DATOS!$D10601,nESPEC,DATOS!$E10601,nASIG,DATOS!$I10601,nEVAL,"OR")=0))</f>
      </c>
      <c r="I10601">
        <f>IF(DATOS!$I10601="","",IFERROR(VLOOKUP(DATOS!$I10601,CONFIG_ASIGNATURAS!$B$2:$J$91,9,FALSE()),""))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IF(DATOS!$A10602="",0,IF(CONFIG_METADATA!$B$4&lt;&gt;"OR+EX",--(DATOS!$G10602=CONFIG_METADATA!$B$4),IF(DATOS!$G10602="EX",1,IF(DATOS!$G10602="OR",--(COUNTIFS(nNIA,DATOS!$A10602,nCURSO,DATOS!$D10602,nESPEC,DATOS!$E10602,nASIG,DATOS!$I10602,nEVAL,"EX")=0),0))))</f>
      </c>
      <c r="H10602">
        <f>IF(DATOS!$G10602&lt;&gt;"EX",0,--(COUNTIFS(nNIA,DATOS!$A10602,nCURSO,DATOS!$D10602,nESPEC,DATOS!$E10602,nASIG,DATOS!$I10602,nEVAL,"OR")=0))</f>
      </c>
      <c r="I10602">
        <f>IF(DATOS!$I10602="","",IFERROR(VLOOKUP(DATOS!$I10602,CONFIG_ASIGNATURAS!$B$2:$J$91,9,FALSE()),""))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IF(DATOS!$A10603="",0,IF(CONFIG_METADATA!$B$4&lt;&gt;"OR+EX",--(DATOS!$G10603=CONFIG_METADATA!$B$4),IF(DATOS!$G10603="EX",1,IF(DATOS!$G10603="OR",--(COUNTIFS(nNIA,DATOS!$A10603,nCURSO,DATOS!$D10603,nESPEC,DATOS!$E10603,nASIG,DATOS!$I10603,nEVAL,"EX")=0),0))))</f>
      </c>
      <c r="H10603">
        <f>IF(DATOS!$G10603&lt;&gt;"EX",0,--(COUNTIFS(nNIA,DATOS!$A10603,nCURSO,DATOS!$D10603,nESPEC,DATOS!$E10603,nASIG,DATOS!$I10603,nEVAL,"OR")=0))</f>
      </c>
      <c r="I10603">
        <f>IF(DATOS!$I10603="","",IFERROR(VLOOKUP(DATOS!$I10603,CONFIG_ASIGNATURAS!$B$2:$J$91,9,FALSE()),""))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IF(DATOS!$A10604="",0,IF(CONFIG_METADATA!$B$4&lt;&gt;"OR+EX",--(DATOS!$G10604=CONFIG_METADATA!$B$4),IF(DATOS!$G10604="EX",1,IF(DATOS!$G10604="OR",--(COUNTIFS(nNIA,DATOS!$A10604,nCURSO,DATOS!$D10604,nESPEC,DATOS!$E10604,nASIG,DATOS!$I10604,nEVAL,"EX")=0),0))))</f>
      </c>
      <c r="H10604">
        <f>IF(DATOS!$G10604&lt;&gt;"EX",0,--(COUNTIFS(nNIA,DATOS!$A10604,nCURSO,DATOS!$D10604,nESPEC,DATOS!$E10604,nASIG,DATOS!$I10604,nEVAL,"OR")=0))</f>
      </c>
      <c r="I10604">
        <f>IF(DATOS!$I10604="","",IFERROR(VLOOKUP(DATOS!$I10604,CONFIG_ASIGNATURAS!$B$2:$J$91,9,FALSE()),""))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IF(DATOS!$A10605="",0,IF(CONFIG_METADATA!$B$4&lt;&gt;"OR+EX",--(DATOS!$G10605=CONFIG_METADATA!$B$4),IF(DATOS!$G10605="EX",1,IF(DATOS!$G10605="OR",--(COUNTIFS(nNIA,DATOS!$A10605,nCURSO,DATOS!$D10605,nESPEC,DATOS!$E10605,nASIG,DATOS!$I10605,nEVAL,"EX")=0),0))))</f>
      </c>
      <c r="H10605">
        <f>IF(DATOS!$G10605&lt;&gt;"EX",0,--(COUNTIFS(nNIA,DATOS!$A10605,nCURSO,DATOS!$D10605,nESPEC,DATOS!$E10605,nASIG,DATOS!$I10605,nEVAL,"OR")=0))</f>
      </c>
      <c r="I10605">
        <f>IF(DATOS!$I10605="","",IFERROR(VLOOKUP(DATOS!$I10605,CONFIG_ASIGNATURAS!$B$2:$J$91,9,FALSE()),""))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IF(DATOS!$A10606="",0,IF(CONFIG_METADATA!$B$4&lt;&gt;"OR+EX",--(DATOS!$G10606=CONFIG_METADATA!$B$4),IF(DATOS!$G10606="EX",1,IF(DATOS!$G10606="OR",--(COUNTIFS(nNIA,DATOS!$A10606,nCURSO,DATOS!$D10606,nESPEC,DATOS!$E10606,nASIG,DATOS!$I10606,nEVAL,"EX")=0),0))))</f>
      </c>
      <c r="H10606">
        <f>IF(DATOS!$G10606&lt;&gt;"EX",0,--(COUNTIFS(nNIA,DATOS!$A10606,nCURSO,DATOS!$D10606,nESPEC,DATOS!$E10606,nASIG,DATOS!$I10606,nEVAL,"OR")=0))</f>
      </c>
      <c r="I10606">
        <f>IF(DATOS!$I10606="","",IFERROR(VLOOKUP(DATOS!$I10606,CONFIG_ASIGNATURAS!$B$2:$J$91,9,FALSE()),""))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IF(DATOS!$A10607="",0,IF(CONFIG_METADATA!$B$4&lt;&gt;"OR+EX",--(DATOS!$G10607=CONFIG_METADATA!$B$4),IF(DATOS!$G10607="EX",1,IF(DATOS!$G10607="OR",--(COUNTIFS(nNIA,DATOS!$A10607,nCURSO,DATOS!$D10607,nESPEC,DATOS!$E10607,nASIG,DATOS!$I10607,nEVAL,"EX")=0),0))))</f>
      </c>
      <c r="H10607">
        <f>IF(DATOS!$G10607&lt;&gt;"EX",0,--(COUNTIFS(nNIA,DATOS!$A10607,nCURSO,DATOS!$D10607,nESPEC,DATOS!$E10607,nASIG,DATOS!$I10607,nEVAL,"OR")=0))</f>
      </c>
      <c r="I10607">
        <f>IF(DATOS!$I10607="","",IFERROR(VLOOKUP(DATOS!$I10607,CONFIG_ASIGNATURAS!$B$2:$J$91,9,FALSE()),""))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IF(DATOS!$A10608="",0,IF(CONFIG_METADATA!$B$4&lt;&gt;"OR+EX",--(DATOS!$G10608=CONFIG_METADATA!$B$4),IF(DATOS!$G10608="EX",1,IF(DATOS!$G10608="OR",--(COUNTIFS(nNIA,DATOS!$A10608,nCURSO,DATOS!$D10608,nESPEC,DATOS!$E10608,nASIG,DATOS!$I10608,nEVAL,"EX")=0),0))))</f>
      </c>
      <c r="H10608">
        <f>IF(DATOS!$G10608&lt;&gt;"EX",0,--(COUNTIFS(nNIA,DATOS!$A10608,nCURSO,DATOS!$D10608,nESPEC,DATOS!$E10608,nASIG,DATOS!$I10608,nEVAL,"OR")=0))</f>
      </c>
      <c r="I10608">
        <f>IF(DATOS!$I10608="","",IFERROR(VLOOKUP(DATOS!$I10608,CONFIG_ASIGNATURAS!$B$2:$J$91,9,FALSE()),""))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IF(DATOS!$A10609="",0,IF(CONFIG_METADATA!$B$4&lt;&gt;"OR+EX",--(DATOS!$G10609=CONFIG_METADATA!$B$4),IF(DATOS!$G10609="EX",1,IF(DATOS!$G10609="OR",--(COUNTIFS(nNIA,DATOS!$A10609,nCURSO,DATOS!$D10609,nESPEC,DATOS!$E10609,nASIG,DATOS!$I10609,nEVAL,"EX")=0),0))))</f>
      </c>
      <c r="H10609">
        <f>IF(DATOS!$G10609&lt;&gt;"EX",0,--(COUNTIFS(nNIA,DATOS!$A10609,nCURSO,DATOS!$D10609,nESPEC,DATOS!$E10609,nASIG,DATOS!$I10609,nEVAL,"OR")=0))</f>
      </c>
      <c r="I10609">
        <f>IF(DATOS!$I10609="","",IFERROR(VLOOKUP(DATOS!$I10609,CONFIG_ASIGNATURAS!$B$2:$J$91,9,FALSE()),""))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IF(DATOS!$A10610="",0,IF(CONFIG_METADATA!$B$4&lt;&gt;"OR+EX",--(DATOS!$G10610=CONFIG_METADATA!$B$4),IF(DATOS!$G10610="EX",1,IF(DATOS!$G10610="OR",--(COUNTIFS(nNIA,DATOS!$A10610,nCURSO,DATOS!$D10610,nESPEC,DATOS!$E10610,nASIG,DATOS!$I10610,nEVAL,"EX")=0),0))))</f>
      </c>
      <c r="H10610">
        <f>IF(DATOS!$G10610&lt;&gt;"EX",0,--(COUNTIFS(nNIA,DATOS!$A10610,nCURSO,DATOS!$D10610,nESPEC,DATOS!$E10610,nASIG,DATOS!$I10610,nEVAL,"OR")=0))</f>
      </c>
      <c r="I10610">
        <f>IF(DATOS!$I10610="","",IFERROR(VLOOKUP(DATOS!$I10610,CONFIG_ASIGNATURAS!$B$2:$J$91,9,FALSE()),""))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IF(DATOS!$A10611="",0,IF(CONFIG_METADATA!$B$4&lt;&gt;"OR+EX",--(DATOS!$G10611=CONFIG_METADATA!$B$4),IF(DATOS!$G10611="EX",1,IF(DATOS!$G10611="OR",--(COUNTIFS(nNIA,DATOS!$A10611,nCURSO,DATOS!$D10611,nESPEC,DATOS!$E10611,nASIG,DATOS!$I10611,nEVAL,"EX")=0),0))))</f>
      </c>
      <c r="H10611">
        <f>IF(DATOS!$G10611&lt;&gt;"EX",0,--(COUNTIFS(nNIA,DATOS!$A10611,nCURSO,DATOS!$D10611,nESPEC,DATOS!$E10611,nASIG,DATOS!$I10611,nEVAL,"OR")=0))</f>
      </c>
      <c r="I10611">
        <f>IF(DATOS!$I10611="","",IFERROR(VLOOKUP(DATOS!$I10611,CONFIG_ASIGNATURAS!$B$2:$J$91,9,FALSE()),""))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IF(DATOS!$A10612="",0,IF(CONFIG_METADATA!$B$4&lt;&gt;"OR+EX",--(DATOS!$G10612=CONFIG_METADATA!$B$4),IF(DATOS!$G10612="EX",1,IF(DATOS!$G10612="OR",--(COUNTIFS(nNIA,DATOS!$A10612,nCURSO,DATOS!$D10612,nESPEC,DATOS!$E10612,nASIG,DATOS!$I10612,nEVAL,"EX")=0),0))))</f>
      </c>
      <c r="H10612">
        <f>IF(DATOS!$G10612&lt;&gt;"EX",0,--(COUNTIFS(nNIA,DATOS!$A10612,nCURSO,DATOS!$D10612,nESPEC,DATOS!$E10612,nASIG,DATOS!$I10612,nEVAL,"OR")=0))</f>
      </c>
      <c r="I10612">
        <f>IF(DATOS!$I10612="","",IFERROR(VLOOKUP(DATOS!$I10612,CONFIG_ASIGNATURAS!$B$2:$J$91,9,FALSE()),""))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IF(DATOS!$A10613="",0,IF(CONFIG_METADATA!$B$4&lt;&gt;"OR+EX",--(DATOS!$G10613=CONFIG_METADATA!$B$4),IF(DATOS!$G10613="EX",1,IF(DATOS!$G10613="OR",--(COUNTIFS(nNIA,DATOS!$A10613,nCURSO,DATOS!$D10613,nESPEC,DATOS!$E10613,nASIG,DATOS!$I10613,nEVAL,"EX")=0),0))))</f>
      </c>
      <c r="H10613">
        <f>IF(DATOS!$G10613&lt;&gt;"EX",0,--(COUNTIFS(nNIA,DATOS!$A10613,nCURSO,DATOS!$D10613,nESPEC,DATOS!$E10613,nASIG,DATOS!$I10613,nEVAL,"OR")=0))</f>
      </c>
      <c r="I10613">
        <f>IF(DATOS!$I10613="","",IFERROR(VLOOKUP(DATOS!$I10613,CONFIG_ASIGNATURAS!$B$2:$J$91,9,FALSE()),""))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IF(DATOS!$A10614="",0,IF(CONFIG_METADATA!$B$4&lt;&gt;"OR+EX",--(DATOS!$G10614=CONFIG_METADATA!$B$4),IF(DATOS!$G10614="EX",1,IF(DATOS!$G10614="OR",--(COUNTIFS(nNIA,DATOS!$A10614,nCURSO,DATOS!$D10614,nESPEC,DATOS!$E10614,nASIG,DATOS!$I10614,nEVAL,"EX")=0),0))))</f>
      </c>
      <c r="H10614">
        <f>IF(DATOS!$G10614&lt;&gt;"EX",0,--(COUNTIFS(nNIA,DATOS!$A10614,nCURSO,DATOS!$D10614,nESPEC,DATOS!$E10614,nASIG,DATOS!$I10614,nEVAL,"OR")=0))</f>
      </c>
      <c r="I10614">
        <f>IF(DATOS!$I10614="","",IFERROR(VLOOKUP(DATOS!$I10614,CONFIG_ASIGNATURAS!$B$2:$J$91,9,FALSE()),""))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IF(DATOS!$A10615="",0,IF(CONFIG_METADATA!$B$4&lt;&gt;"OR+EX",--(DATOS!$G10615=CONFIG_METADATA!$B$4),IF(DATOS!$G10615="EX",1,IF(DATOS!$G10615="OR",--(COUNTIFS(nNIA,DATOS!$A10615,nCURSO,DATOS!$D10615,nESPEC,DATOS!$E10615,nASIG,DATOS!$I10615,nEVAL,"EX")=0),0))))</f>
      </c>
      <c r="H10615">
        <f>IF(DATOS!$G10615&lt;&gt;"EX",0,--(COUNTIFS(nNIA,DATOS!$A10615,nCURSO,DATOS!$D10615,nESPEC,DATOS!$E10615,nASIG,DATOS!$I10615,nEVAL,"OR")=0))</f>
      </c>
      <c r="I10615">
        <f>IF(DATOS!$I10615="","",IFERROR(VLOOKUP(DATOS!$I10615,CONFIG_ASIGNATURAS!$B$2:$J$91,9,FALSE()),""))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IF(DATOS!$A10616="",0,IF(CONFIG_METADATA!$B$4&lt;&gt;"OR+EX",--(DATOS!$G10616=CONFIG_METADATA!$B$4),IF(DATOS!$G10616="EX",1,IF(DATOS!$G10616="OR",--(COUNTIFS(nNIA,DATOS!$A10616,nCURSO,DATOS!$D10616,nESPEC,DATOS!$E10616,nASIG,DATOS!$I10616,nEVAL,"EX")=0),0))))</f>
      </c>
      <c r="H10616">
        <f>IF(DATOS!$G10616&lt;&gt;"EX",0,--(COUNTIFS(nNIA,DATOS!$A10616,nCURSO,DATOS!$D10616,nESPEC,DATOS!$E10616,nASIG,DATOS!$I10616,nEVAL,"OR")=0))</f>
      </c>
      <c r="I10616">
        <f>IF(DATOS!$I10616="","",IFERROR(VLOOKUP(DATOS!$I10616,CONFIG_ASIGNATURAS!$B$2:$J$91,9,FALSE()),""))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IF(DATOS!$A10617="",0,IF(CONFIG_METADATA!$B$4&lt;&gt;"OR+EX",--(DATOS!$G10617=CONFIG_METADATA!$B$4),IF(DATOS!$G10617="EX",1,IF(DATOS!$G10617="OR",--(COUNTIFS(nNIA,DATOS!$A10617,nCURSO,DATOS!$D10617,nESPEC,DATOS!$E10617,nASIG,DATOS!$I10617,nEVAL,"EX")=0),0))))</f>
      </c>
      <c r="H10617">
        <f>IF(DATOS!$G10617&lt;&gt;"EX",0,--(COUNTIFS(nNIA,DATOS!$A10617,nCURSO,DATOS!$D10617,nESPEC,DATOS!$E10617,nASIG,DATOS!$I10617,nEVAL,"OR")=0))</f>
      </c>
      <c r="I10617">
        <f>IF(DATOS!$I10617="","",IFERROR(VLOOKUP(DATOS!$I10617,CONFIG_ASIGNATURAS!$B$2:$J$91,9,FALSE()),""))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IF(DATOS!$A10618="",0,IF(CONFIG_METADATA!$B$4&lt;&gt;"OR+EX",--(DATOS!$G10618=CONFIG_METADATA!$B$4),IF(DATOS!$G10618="EX",1,IF(DATOS!$G10618="OR",--(COUNTIFS(nNIA,DATOS!$A10618,nCURSO,DATOS!$D10618,nESPEC,DATOS!$E10618,nASIG,DATOS!$I10618,nEVAL,"EX")=0),0))))</f>
      </c>
      <c r="H10618">
        <f>IF(DATOS!$G10618&lt;&gt;"EX",0,--(COUNTIFS(nNIA,DATOS!$A10618,nCURSO,DATOS!$D10618,nESPEC,DATOS!$E10618,nASIG,DATOS!$I10618,nEVAL,"OR")=0))</f>
      </c>
      <c r="I10618">
        <f>IF(DATOS!$I10618="","",IFERROR(VLOOKUP(DATOS!$I10618,CONFIG_ASIGNATURAS!$B$2:$J$91,9,FALSE()),""))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IF(DATOS!$A10619="",0,IF(CONFIG_METADATA!$B$4&lt;&gt;"OR+EX",--(DATOS!$G10619=CONFIG_METADATA!$B$4),IF(DATOS!$G10619="EX",1,IF(DATOS!$G10619="OR",--(COUNTIFS(nNIA,DATOS!$A10619,nCURSO,DATOS!$D10619,nESPEC,DATOS!$E10619,nASIG,DATOS!$I10619,nEVAL,"EX")=0),0))))</f>
      </c>
      <c r="H10619">
        <f>IF(DATOS!$G10619&lt;&gt;"EX",0,--(COUNTIFS(nNIA,DATOS!$A10619,nCURSO,DATOS!$D10619,nESPEC,DATOS!$E10619,nASIG,DATOS!$I10619,nEVAL,"OR")=0))</f>
      </c>
      <c r="I10619">
        <f>IF(DATOS!$I10619="","",IFERROR(VLOOKUP(DATOS!$I10619,CONFIG_ASIGNATURAS!$B$2:$J$91,9,FALSE()),""))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IF(DATOS!$A10620="",0,IF(CONFIG_METADATA!$B$4&lt;&gt;"OR+EX",--(DATOS!$G10620=CONFIG_METADATA!$B$4),IF(DATOS!$G10620="EX",1,IF(DATOS!$G10620="OR",--(COUNTIFS(nNIA,DATOS!$A10620,nCURSO,DATOS!$D10620,nESPEC,DATOS!$E10620,nASIG,DATOS!$I10620,nEVAL,"EX")=0),0))))</f>
      </c>
      <c r="H10620">
        <f>IF(DATOS!$G10620&lt;&gt;"EX",0,--(COUNTIFS(nNIA,DATOS!$A10620,nCURSO,DATOS!$D10620,nESPEC,DATOS!$E10620,nASIG,DATOS!$I10620,nEVAL,"OR")=0))</f>
      </c>
      <c r="I10620">
        <f>IF(DATOS!$I10620="","",IFERROR(VLOOKUP(DATOS!$I10620,CONFIG_ASIGNATURAS!$B$2:$J$91,9,FALSE()),""))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IF(DATOS!$A10621="",0,IF(CONFIG_METADATA!$B$4&lt;&gt;"OR+EX",--(DATOS!$G10621=CONFIG_METADATA!$B$4),IF(DATOS!$G10621="EX",1,IF(DATOS!$G10621="OR",--(COUNTIFS(nNIA,DATOS!$A10621,nCURSO,DATOS!$D10621,nESPEC,DATOS!$E10621,nASIG,DATOS!$I10621,nEVAL,"EX")=0),0))))</f>
      </c>
      <c r="H10621">
        <f>IF(DATOS!$G10621&lt;&gt;"EX",0,--(COUNTIFS(nNIA,DATOS!$A10621,nCURSO,DATOS!$D10621,nESPEC,DATOS!$E10621,nASIG,DATOS!$I10621,nEVAL,"OR")=0))</f>
      </c>
      <c r="I10621">
        <f>IF(DATOS!$I10621="","",IFERROR(VLOOKUP(DATOS!$I10621,CONFIG_ASIGNATURAS!$B$2:$J$91,9,FALSE()),""))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IF(DATOS!$A10622="",0,IF(CONFIG_METADATA!$B$4&lt;&gt;"OR+EX",--(DATOS!$G10622=CONFIG_METADATA!$B$4),IF(DATOS!$G10622="EX",1,IF(DATOS!$G10622="OR",--(COUNTIFS(nNIA,DATOS!$A10622,nCURSO,DATOS!$D10622,nESPEC,DATOS!$E10622,nASIG,DATOS!$I10622,nEVAL,"EX")=0),0))))</f>
      </c>
      <c r="H10622">
        <f>IF(DATOS!$G10622&lt;&gt;"EX",0,--(COUNTIFS(nNIA,DATOS!$A10622,nCURSO,DATOS!$D10622,nESPEC,DATOS!$E10622,nASIG,DATOS!$I10622,nEVAL,"OR")=0))</f>
      </c>
      <c r="I10622">
        <f>IF(DATOS!$I10622="","",IFERROR(VLOOKUP(DATOS!$I10622,CONFIG_ASIGNATURAS!$B$2:$J$91,9,FALSE()),""))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IF(DATOS!$A10623="",0,IF(CONFIG_METADATA!$B$4&lt;&gt;"OR+EX",--(DATOS!$G10623=CONFIG_METADATA!$B$4),IF(DATOS!$G10623="EX",1,IF(DATOS!$G10623="OR",--(COUNTIFS(nNIA,DATOS!$A10623,nCURSO,DATOS!$D10623,nESPEC,DATOS!$E10623,nASIG,DATOS!$I10623,nEVAL,"EX")=0),0))))</f>
      </c>
      <c r="H10623">
        <f>IF(DATOS!$G10623&lt;&gt;"EX",0,--(COUNTIFS(nNIA,DATOS!$A10623,nCURSO,DATOS!$D10623,nESPEC,DATOS!$E10623,nASIG,DATOS!$I10623,nEVAL,"OR")=0))</f>
      </c>
      <c r="I10623">
        <f>IF(DATOS!$I10623="","",IFERROR(VLOOKUP(DATOS!$I10623,CONFIG_ASIGNATURAS!$B$2:$J$91,9,FALSE()),""))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IF(DATOS!$A10624="",0,IF(CONFIG_METADATA!$B$4&lt;&gt;"OR+EX",--(DATOS!$G10624=CONFIG_METADATA!$B$4),IF(DATOS!$G10624="EX",1,IF(DATOS!$G10624="OR",--(COUNTIFS(nNIA,DATOS!$A10624,nCURSO,DATOS!$D10624,nESPEC,DATOS!$E10624,nASIG,DATOS!$I10624,nEVAL,"EX")=0),0))))</f>
      </c>
      <c r="H10624">
        <f>IF(DATOS!$G10624&lt;&gt;"EX",0,--(COUNTIFS(nNIA,DATOS!$A10624,nCURSO,DATOS!$D10624,nESPEC,DATOS!$E10624,nASIG,DATOS!$I10624,nEVAL,"OR")=0))</f>
      </c>
      <c r="I10624">
        <f>IF(DATOS!$I10624="","",IFERROR(VLOOKUP(DATOS!$I10624,CONFIG_ASIGNATURAS!$B$2:$J$91,9,FALSE()),""))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IF(DATOS!$A10625="",0,IF(CONFIG_METADATA!$B$4&lt;&gt;"OR+EX",--(DATOS!$G10625=CONFIG_METADATA!$B$4),IF(DATOS!$G10625="EX",1,IF(DATOS!$G10625="OR",--(COUNTIFS(nNIA,DATOS!$A10625,nCURSO,DATOS!$D10625,nESPEC,DATOS!$E10625,nASIG,DATOS!$I10625,nEVAL,"EX")=0),0))))</f>
      </c>
      <c r="H10625">
        <f>IF(DATOS!$G10625&lt;&gt;"EX",0,--(COUNTIFS(nNIA,DATOS!$A10625,nCURSO,DATOS!$D10625,nESPEC,DATOS!$E10625,nASIG,DATOS!$I10625,nEVAL,"OR")=0))</f>
      </c>
      <c r="I10625">
        <f>IF(DATOS!$I10625="","",IFERROR(VLOOKUP(DATOS!$I10625,CONFIG_ASIGNATURAS!$B$2:$J$91,9,FALSE()),""))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IF(DATOS!$A10626="",0,IF(CONFIG_METADATA!$B$4&lt;&gt;"OR+EX",--(DATOS!$G10626=CONFIG_METADATA!$B$4),IF(DATOS!$G10626="EX",1,IF(DATOS!$G10626="OR",--(COUNTIFS(nNIA,DATOS!$A10626,nCURSO,DATOS!$D10626,nESPEC,DATOS!$E10626,nASIG,DATOS!$I10626,nEVAL,"EX")=0),0))))</f>
      </c>
      <c r="H10626">
        <f>IF(DATOS!$G10626&lt;&gt;"EX",0,--(COUNTIFS(nNIA,DATOS!$A10626,nCURSO,DATOS!$D10626,nESPEC,DATOS!$E10626,nASIG,DATOS!$I10626,nEVAL,"OR")=0))</f>
      </c>
      <c r="I10626">
        <f>IF(DATOS!$I10626="","",IFERROR(VLOOKUP(DATOS!$I10626,CONFIG_ASIGNATURAS!$B$2:$J$91,9,FALSE()),""))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IF(DATOS!$A10627="",0,IF(CONFIG_METADATA!$B$4&lt;&gt;"OR+EX",--(DATOS!$G10627=CONFIG_METADATA!$B$4),IF(DATOS!$G10627="EX",1,IF(DATOS!$G10627="OR",--(COUNTIFS(nNIA,DATOS!$A10627,nCURSO,DATOS!$D10627,nESPEC,DATOS!$E10627,nASIG,DATOS!$I10627,nEVAL,"EX")=0),0))))</f>
      </c>
      <c r="H10627">
        <f>IF(DATOS!$G10627&lt;&gt;"EX",0,--(COUNTIFS(nNIA,DATOS!$A10627,nCURSO,DATOS!$D10627,nESPEC,DATOS!$E10627,nASIG,DATOS!$I10627,nEVAL,"OR")=0))</f>
      </c>
      <c r="I10627">
        <f>IF(DATOS!$I10627="","",IFERROR(VLOOKUP(DATOS!$I10627,CONFIG_ASIGNATURAS!$B$2:$J$91,9,FALSE()),""))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IF(DATOS!$A10628="",0,IF(CONFIG_METADATA!$B$4&lt;&gt;"OR+EX",--(DATOS!$G10628=CONFIG_METADATA!$B$4),IF(DATOS!$G10628="EX",1,IF(DATOS!$G10628="OR",--(COUNTIFS(nNIA,DATOS!$A10628,nCURSO,DATOS!$D10628,nESPEC,DATOS!$E10628,nASIG,DATOS!$I10628,nEVAL,"EX")=0),0))))</f>
      </c>
      <c r="H10628">
        <f>IF(DATOS!$G10628&lt;&gt;"EX",0,--(COUNTIFS(nNIA,DATOS!$A10628,nCURSO,DATOS!$D10628,nESPEC,DATOS!$E10628,nASIG,DATOS!$I10628,nEVAL,"OR")=0))</f>
      </c>
      <c r="I10628">
        <f>IF(DATOS!$I10628="","",IFERROR(VLOOKUP(DATOS!$I10628,CONFIG_ASIGNATURAS!$B$2:$J$91,9,FALSE()),""))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IF(DATOS!$A10629="",0,IF(CONFIG_METADATA!$B$4&lt;&gt;"OR+EX",--(DATOS!$G10629=CONFIG_METADATA!$B$4),IF(DATOS!$G10629="EX",1,IF(DATOS!$G10629="OR",--(COUNTIFS(nNIA,DATOS!$A10629,nCURSO,DATOS!$D10629,nESPEC,DATOS!$E10629,nASIG,DATOS!$I10629,nEVAL,"EX")=0),0))))</f>
      </c>
      <c r="H10629">
        <f>IF(DATOS!$G10629&lt;&gt;"EX",0,--(COUNTIFS(nNIA,DATOS!$A10629,nCURSO,DATOS!$D10629,nESPEC,DATOS!$E10629,nASIG,DATOS!$I10629,nEVAL,"OR")=0))</f>
      </c>
      <c r="I10629">
        <f>IF(DATOS!$I10629="","",IFERROR(VLOOKUP(DATOS!$I10629,CONFIG_ASIGNATURAS!$B$2:$J$91,9,FALSE()),""))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IF(DATOS!$A10630="",0,IF(CONFIG_METADATA!$B$4&lt;&gt;"OR+EX",--(DATOS!$G10630=CONFIG_METADATA!$B$4),IF(DATOS!$G10630="EX",1,IF(DATOS!$G10630="OR",--(COUNTIFS(nNIA,DATOS!$A10630,nCURSO,DATOS!$D10630,nESPEC,DATOS!$E10630,nASIG,DATOS!$I10630,nEVAL,"EX")=0),0))))</f>
      </c>
      <c r="H10630">
        <f>IF(DATOS!$G10630&lt;&gt;"EX",0,--(COUNTIFS(nNIA,DATOS!$A10630,nCURSO,DATOS!$D10630,nESPEC,DATOS!$E10630,nASIG,DATOS!$I10630,nEVAL,"OR")=0))</f>
      </c>
      <c r="I10630">
        <f>IF(DATOS!$I10630="","",IFERROR(VLOOKUP(DATOS!$I10630,CONFIG_ASIGNATURAS!$B$2:$J$91,9,FALSE()),""))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IF(DATOS!$A10631="",0,IF(CONFIG_METADATA!$B$4&lt;&gt;"OR+EX",--(DATOS!$G10631=CONFIG_METADATA!$B$4),IF(DATOS!$G10631="EX",1,IF(DATOS!$G10631="OR",--(COUNTIFS(nNIA,DATOS!$A10631,nCURSO,DATOS!$D10631,nESPEC,DATOS!$E10631,nASIG,DATOS!$I10631,nEVAL,"EX")=0),0))))</f>
      </c>
      <c r="H10631">
        <f>IF(DATOS!$G10631&lt;&gt;"EX",0,--(COUNTIFS(nNIA,DATOS!$A10631,nCURSO,DATOS!$D10631,nESPEC,DATOS!$E10631,nASIG,DATOS!$I10631,nEVAL,"OR")=0))</f>
      </c>
      <c r="I10631">
        <f>IF(DATOS!$I10631="","",IFERROR(VLOOKUP(DATOS!$I10631,CONFIG_ASIGNATURAS!$B$2:$J$91,9,FALSE()),""))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IF(DATOS!$A10632="",0,IF(CONFIG_METADATA!$B$4&lt;&gt;"OR+EX",--(DATOS!$G10632=CONFIG_METADATA!$B$4),IF(DATOS!$G10632="EX",1,IF(DATOS!$G10632="OR",--(COUNTIFS(nNIA,DATOS!$A10632,nCURSO,DATOS!$D10632,nESPEC,DATOS!$E10632,nASIG,DATOS!$I10632,nEVAL,"EX")=0),0))))</f>
      </c>
      <c r="H10632">
        <f>IF(DATOS!$G10632&lt;&gt;"EX",0,--(COUNTIFS(nNIA,DATOS!$A10632,nCURSO,DATOS!$D10632,nESPEC,DATOS!$E10632,nASIG,DATOS!$I10632,nEVAL,"OR")=0))</f>
      </c>
      <c r="I10632">
        <f>IF(DATOS!$I10632="","",IFERROR(VLOOKUP(DATOS!$I10632,CONFIG_ASIGNATURAS!$B$2:$J$91,9,FALSE()),""))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IF(DATOS!$A10633="",0,IF(CONFIG_METADATA!$B$4&lt;&gt;"OR+EX",--(DATOS!$G10633=CONFIG_METADATA!$B$4),IF(DATOS!$G10633="EX",1,IF(DATOS!$G10633="OR",--(COUNTIFS(nNIA,DATOS!$A10633,nCURSO,DATOS!$D10633,nESPEC,DATOS!$E10633,nASIG,DATOS!$I10633,nEVAL,"EX")=0),0))))</f>
      </c>
      <c r="H10633">
        <f>IF(DATOS!$G10633&lt;&gt;"EX",0,--(COUNTIFS(nNIA,DATOS!$A10633,nCURSO,DATOS!$D10633,nESPEC,DATOS!$E10633,nASIG,DATOS!$I10633,nEVAL,"OR")=0))</f>
      </c>
      <c r="I10633">
        <f>IF(DATOS!$I10633="","",IFERROR(VLOOKUP(DATOS!$I10633,CONFIG_ASIGNATURAS!$B$2:$J$91,9,FALSE()),""))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IF(DATOS!$A10634="",0,IF(CONFIG_METADATA!$B$4&lt;&gt;"OR+EX",--(DATOS!$G10634=CONFIG_METADATA!$B$4),IF(DATOS!$G10634="EX",1,IF(DATOS!$G10634="OR",--(COUNTIFS(nNIA,DATOS!$A10634,nCURSO,DATOS!$D10634,nESPEC,DATOS!$E10634,nASIG,DATOS!$I10634,nEVAL,"EX")=0),0))))</f>
      </c>
      <c r="H10634">
        <f>IF(DATOS!$G10634&lt;&gt;"EX",0,--(COUNTIFS(nNIA,DATOS!$A10634,nCURSO,DATOS!$D10634,nESPEC,DATOS!$E10634,nASIG,DATOS!$I10634,nEVAL,"OR")=0))</f>
      </c>
      <c r="I10634">
        <f>IF(DATOS!$I10634="","",IFERROR(VLOOKUP(DATOS!$I10634,CONFIG_ASIGNATURAS!$B$2:$J$91,9,FALSE()),""))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IF(DATOS!$A10635="",0,IF(CONFIG_METADATA!$B$4&lt;&gt;"OR+EX",--(DATOS!$G10635=CONFIG_METADATA!$B$4),IF(DATOS!$G10635="EX",1,IF(DATOS!$G10635="OR",--(COUNTIFS(nNIA,DATOS!$A10635,nCURSO,DATOS!$D10635,nESPEC,DATOS!$E10635,nASIG,DATOS!$I10635,nEVAL,"EX")=0),0))))</f>
      </c>
      <c r="H10635">
        <f>IF(DATOS!$G10635&lt;&gt;"EX",0,--(COUNTIFS(nNIA,DATOS!$A10635,nCURSO,DATOS!$D10635,nESPEC,DATOS!$E10635,nASIG,DATOS!$I10635,nEVAL,"OR")=0))</f>
      </c>
      <c r="I10635">
        <f>IF(DATOS!$I10635="","",IFERROR(VLOOKUP(DATOS!$I10635,CONFIG_ASIGNATURAS!$B$2:$J$91,9,FALSE()),""))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IF(DATOS!$A10636="",0,IF(CONFIG_METADATA!$B$4&lt;&gt;"OR+EX",--(DATOS!$G10636=CONFIG_METADATA!$B$4),IF(DATOS!$G10636="EX",1,IF(DATOS!$G10636="OR",--(COUNTIFS(nNIA,DATOS!$A10636,nCURSO,DATOS!$D10636,nESPEC,DATOS!$E10636,nASIG,DATOS!$I10636,nEVAL,"EX")=0),0))))</f>
      </c>
      <c r="H10636">
        <f>IF(DATOS!$G10636&lt;&gt;"EX",0,--(COUNTIFS(nNIA,DATOS!$A10636,nCURSO,DATOS!$D10636,nESPEC,DATOS!$E10636,nASIG,DATOS!$I10636,nEVAL,"OR")=0))</f>
      </c>
      <c r="I10636">
        <f>IF(DATOS!$I10636="","",IFERROR(VLOOKUP(DATOS!$I10636,CONFIG_ASIGNATURAS!$B$2:$J$91,9,FALSE()),""))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IF(DATOS!$A10637="",0,IF(CONFIG_METADATA!$B$4&lt;&gt;"OR+EX",--(DATOS!$G10637=CONFIG_METADATA!$B$4),IF(DATOS!$G10637="EX",1,IF(DATOS!$G10637="OR",--(COUNTIFS(nNIA,DATOS!$A10637,nCURSO,DATOS!$D10637,nESPEC,DATOS!$E10637,nASIG,DATOS!$I10637,nEVAL,"EX")=0),0))))</f>
      </c>
      <c r="H10637">
        <f>IF(DATOS!$G10637&lt;&gt;"EX",0,--(COUNTIFS(nNIA,DATOS!$A10637,nCURSO,DATOS!$D10637,nESPEC,DATOS!$E10637,nASIG,DATOS!$I10637,nEVAL,"OR")=0))</f>
      </c>
      <c r="I10637">
        <f>IF(DATOS!$I10637="","",IFERROR(VLOOKUP(DATOS!$I10637,CONFIG_ASIGNATURAS!$B$2:$J$91,9,FALSE()),""))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IF(DATOS!$A10638="",0,IF(CONFIG_METADATA!$B$4&lt;&gt;"OR+EX",--(DATOS!$G10638=CONFIG_METADATA!$B$4),IF(DATOS!$G10638="EX",1,IF(DATOS!$G10638="OR",--(COUNTIFS(nNIA,DATOS!$A10638,nCURSO,DATOS!$D10638,nESPEC,DATOS!$E10638,nASIG,DATOS!$I10638,nEVAL,"EX")=0),0))))</f>
      </c>
      <c r="H10638">
        <f>IF(DATOS!$G10638&lt;&gt;"EX",0,--(COUNTIFS(nNIA,DATOS!$A10638,nCURSO,DATOS!$D10638,nESPEC,DATOS!$E10638,nASIG,DATOS!$I10638,nEVAL,"OR")=0))</f>
      </c>
      <c r="I10638">
        <f>IF(DATOS!$I10638="","",IFERROR(VLOOKUP(DATOS!$I10638,CONFIG_ASIGNATURAS!$B$2:$J$91,9,FALSE()),""))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IF(DATOS!$A10639="",0,IF(CONFIG_METADATA!$B$4&lt;&gt;"OR+EX",--(DATOS!$G10639=CONFIG_METADATA!$B$4),IF(DATOS!$G10639="EX",1,IF(DATOS!$G10639="OR",--(COUNTIFS(nNIA,DATOS!$A10639,nCURSO,DATOS!$D10639,nESPEC,DATOS!$E10639,nASIG,DATOS!$I10639,nEVAL,"EX")=0),0))))</f>
      </c>
      <c r="H10639">
        <f>IF(DATOS!$G10639&lt;&gt;"EX",0,--(COUNTIFS(nNIA,DATOS!$A10639,nCURSO,DATOS!$D10639,nESPEC,DATOS!$E10639,nASIG,DATOS!$I10639,nEVAL,"OR")=0))</f>
      </c>
      <c r="I10639">
        <f>IF(DATOS!$I10639="","",IFERROR(VLOOKUP(DATOS!$I10639,CONFIG_ASIGNATURAS!$B$2:$J$91,9,FALSE()),""))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IF(DATOS!$A10640="",0,IF(CONFIG_METADATA!$B$4&lt;&gt;"OR+EX",--(DATOS!$G10640=CONFIG_METADATA!$B$4),IF(DATOS!$G10640="EX",1,IF(DATOS!$G10640="OR",--(COUNTIFS(nNIA,DATOS!$A10640,nCURSO,DATOS!$D10640,nESPEC,DATOS!$E10640,nASIG,DATOS!$I10640,nEVAL,"EX")=0),0))))</f>
      </c>
      <c r="H10640">
        <f>IF(DATOS!$G10640&lt;&gt;"EX",0,--(COUNTIFS(nNIA,DATOS!$A10640,nCURSO,DATOS!$D10640,nESPEC,DATOS!$E10640,nASIG,DATOS!$I10640,nEVAL,"OR")=0))</f>
      </c>
      <c r="I10640">
        <f>IF(DATOS!$I10640="","",IFERROR(VLOOKUP(DATOS!$I10640,CONFIG_ASIGNATURAS!$B$2:$J$91,9,FALSE()),""))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IF(DATOS!$A10641="",0,IF(CONFIG_METADATA!$B$4&lt;&gt;"OR+EX",--(DATOS!$G10641=CONFIG_METADATA!$B$4),IF(DATOS!$G10641="EX",1,IF(DATOS!$G10641="OR",--(COUNTIFS(nNIA,DATOS!$A10641,nCURSO,DATOS!$D10641,nESPEC,DATOS!$E10641,nASIG,DATOS!$I10641,nEVAL,"EX")=0),0))))</f>
      </c>
      <c r="H10641">
        <f>IF(DATOS!$G10641&lt;&gt;"EX",0,--(COUNTIFS(nNIA,DATOS!$A10641,nCURSO,DATOS!$D10641,nESPEC,DATOS!$E10641,nASIG,DATOS!$I10641,nEVAL,"OR")=0))</f>
      </c>
      <c r="I10641">
        <f>IF(DATOS!$I10641="","",IFERROR(VLOOKUP(DATOS!$I10641,CONFIG_ASIGNATURAS!$B$2:$J$91,9,FALSE()),""))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IF(DATOS!$A10642="",0,IF(CONFIG_METADATA!$B$4&lt;&gt;"OR+EX",--(DATOS!$G10642=CONFIG_METADATA!$B$4),IF(DATOS!$G10642="EX",1,IF(DATOS!$G10642="OR",--(COUNTIFS(nNIA,DATOS!$A10642,nCURSO,DATOS!$D10642,nESPEC,DATOS!$E10642,nASIG,DATOS!$I10642,nEVAL,"EX")=0),0))))</f>
      </c>
      <c r="H10642">
        <f>IF(DATOS!$G10642&lt;&gt;"EX",0,--(COUNTIFS(nNIA,DATOS!$A10642,nCURSO,DATOS!$D10642,nESPEC,DATOS!$E10642,nASIG,DATOS!$I10642,nEVAL,"OR")=0))</f>
      </c>
      <c r="I10642">
        <f>IF(DATOS!$I10642="","",IFERROR(VLOOKUP(DATOS!$I10642,CONFIG_ASIGNATURAS!$B$2:$J$91,9,FALSE()),""))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IF(DATOS!$A10643="",0,IF(CONFIG_METADATA!$B$4&lt;&gt;"OR+EX",--(DATOS!$G10643=CONFIG_METADATA!$B$4),IF(DATOS!$G10643="EX",1,IF(DATOS!$G10643="OR",--(COUNTIFS(nNIA,DATOS!$A10643,nCURSO,DATOS!$D10643,nESPEC,DATOS!$E10643,nASIG,DATOS!$I10643,nEVAL,"EX")=0),0))))</f>
      </c>
      <c r="H10643">
        <f>IF(DATOS!$G10643&lt;&gt;"EX",0,--(COUNTIFS(nNIA,DATOS!$A10643,nCURSO,DATOS!$D10643,nESPEC,DATOS!$E10643,nASIG,DATOS!$I10643,nEVAL,"OR")=0))</f>
      </c>
      <c r="I10643">
        <f>IF(DATOS!$I10643="","",IFERROR(VLOOKUP(DATOS!$I10643,CONFIG_ASIGNATURAS!$B$2:$J$91,9,FALSE()),""))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IF(DATOS!$A10644="",0,IF(CONFIG_METADATA!$B$4&lt;&gt;"OR+EX",--(DATOS!$G10644=CONFIG_METADATA!$B$4),IF(DATOS!$G10644="EX",1,IF(DATOS!$G10644="OR",--(COUNTIFS(nNIA,DATOS!$A10644,nCURSO,DATOS!$D10644,nESPEC,DATOS!$E10644,nASIG,DATOS!$I10644,nEVAL,"EX")=0),0))))</f>
      </c>
      <c r="H10644">
        <f>IF(DATOS!$G10644&lt;&gt;"EX",0,--(COUNTIFS(nNIA,DATOS!$A10644,nCURSO,DATOS!$D10644,nESPEC,DATOS!$E10644,nASIG,DATOS!$I10644,nEVAL,"OR")=0))</f>
      </c>
      <c r="I10644">
        <f>IF(DATOS!$I10644="","",IFERROR(VLOOKUP(DATOS!$I10644,CONFIG_ASIGNATURAS!$B$2:$J$91,9,FALSE()),""))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IF(DATOS!$A10645="",0,IF(CONFIG_METADATA!$B$4&lt;&gt;"OR+EX",--(DATOS!$G10645=CONFIG_METADATA!$B$4),IF(DATOS!$G10645="EX",1,IF(DATOS!$G10645="OR",--(COUNTIFS(nNIA,DATOS!$A10645,nCURSO,DATOS!$D10645,nESPEC,DATOS!$E10645,nASIG,DATOS!$I10645,nEVAL,"EX")=0),0))))</f>
      </c>
      <c r="H10645">
        <f>IF(DATOS!$G10645&lt;&gt;"EX",0,--(COUNTIFS(nNIA,DATOS!$A10645,nCURSO,DATOS!$D10645,nESPEC,DATOS!$E10645,nASIG,DATOS!$I10645,nEVAL,"OR")=0))</f>
      </c>
      <c r="I10645">
        <f>IF(DATOS!$I10645="","",IFERROR(VLOOKUP(DATOS!$I10645,CONFIG_ASIGNATURAS!$B$2:$J$91,9,FALSE()),""))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IF(DATOS!$A10646="",0,IF(CONFIG_METADATA!$B$4&lt;&gt;"OR+EX",--(DATOS!$G10646=CONFIG_METADATA!$B$4),IF(DATOS!$G10646="EX",1,IF(DATOS!$G10646="OR",--(COUNTIFS(nNIA,DATOS!$A10646,nCURSO,DATOS!$D10646,nESPEC,DATOS!$E10646,nASIG,DATOS!$I10646,nEVAL,"EX")=0),0))))</f>
      </c>
      <c r="H10646">
        <f>IF(DATOS!$G10646&lt;&gt;"EX",0,--(COUNTIFS(nNIA,DATOS!$A10646,nCURSO,DATOS!$D10646,nESPEC,DATOS!$E10646,nASIG,DATOS!$I10646,nEVAL,"OR")=0))</f>
      </c>
      <c r="I10646">
        <f>IF(DATOS!$I10646="","",IFERROR(VLOOKUP(DATOS!$I10646,CONFIG_ASIGNATURAS!$B$2:$J$91,9,FALSE()),""))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IF(DATOS!$A10647="",0,IF(CONFIG_METADATA!$B$4&lt;&gt;"OR+EX",--(DATOS!$G10647=CONFIG_METADATA!$B$4),IF(DATOS!$G10647="EX",1,IF(DATOS!$G10647="OR",--(COUNTIFS(nNIA,DATOS!$A10647,nCURSO,DATOS!$D10647,nESPEC,DATOS!$E10647,nASIG,DATOS!$I10647,nEVAL,"EX")=0),0))))</f>
      </c>
      <c r="H10647">
        <f>IF(DATOS!$G10647&lt;&gt;"EX",0,--(COUNTIFS(nNIA,DATOS!$A10647,nCURSO,DATOS!$D10647,nESPEC,DATOS!$E10647,nASIG,DATOS!$I10647,nEVAL,"OR")=0))</f>
      </c>
      <c r="I10647">
        <f>IF(DATOS!$I10647="","",IFERROR(VLOOKUP(DATOS!$I10647,CONFIG_ASIGNATURAS!$B$2:$J$91,9,FALSE()),""))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IF(DATOS!$A10648="",0,IF(CONFIG_METADATA!$B$4&lt;&gt;"OR+EX",--(DATOS!$G10648=CONFIG_METADATA!$B$4),IF(DATOS!$G10648="EX",1,IF(DATOS!$G10648="OR",--(COUNTIFS(nNIA,DATOS!$A10648,nCURSO,DATOS!$D10648,nESPEC,DATOS!$E10648,nASIG,DATOS!$I10648,nEVAL,"EX")=0),0))))</f>
      </c>
      <c r="H10648">
        <f>IF(DATOS!$G10648&lt;&gt;"EX",0,--(COUNTIFS(nNIA,DATOS!$A10648,nCURSO,DATOS!$D10648,nESPEC,DATOS!$E10648,nASIG,DATOS!$I10648,nEVAL,"OR")=0))</f>
      </c>
      <c r="I10648">
        <f>IF(DATOS!$I10648="","",IFERROR(VLOOKUP(DATOS!$I10648,CONFIG_ASIGNATURAS!$B$2:$J$91,9,FALSE()),""))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IF(DATOS!$A10649="",0,IF(CONFIG_METADATA!$B$4&lt;&gt;"OR+EX",--(DATOS!$G10649=CONFIG_METADATA!$B$4),IF(DATOS!$G10649="EX",1,IF(DATOS!$G10649="OR",--(COUNTIFS(nNIA,DATOS!$A10649,nCURSO,DATOS!$D10649,nESPEC,DATOS!$E10649,nASIG,DATOS!$I10649,nEVAL,"EX")=0),0))))</f>
      </c>
      <c r="H10649">
        <f>IF(DATOS!$G10649&lt;&gt;"EX",0,--(COUNTIFS(nNIA,DATOS!$A10649,nCURSO,DATOS!$D10649,nESPEC,DATOS!$E10649,nASIG,DATOS!$I10649,nEVAL,"OR")=0))</f>
      </c>
      <c r="I10649">
        <f>IF(DATOS!$I10649="","",IFERROR(VLOOKUP(DATOS!$I10649,CONFIG_ASIGNATURAS!$B$2:$J$91,9,FALSE()),""))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IF(DATOS!$A10650="",0,IF(CONFIG_METADATA!$B$4&lt;&gt;"OR+EX",--(DATOS!$G10650=CONFIG_METADATA!$B$4),IF(DATOS!$G10650="EX",1,IF(DATOS!$G10650="OR",--(COUNTIFS(nNIA,DATOS!$A10650,nCURSO,DATOS!$D10650,nESPEC,DATOS!$E10650,nASIG,DATOS!$I10650,nEVAL,"EX")=0),0))))</f>
      </c>
      <c r="H10650">
        <f>IF(DATOS!$G10650&lt;&gt;"EX",0,--(COUNTIFS(nNIA,DATOS!$A10650,nCURSO,DATOS!$D10650,nESPEC,DATOS!$E10650,nASIG,DATOS!$I10650,nEVAL,"OR")=0))</f>
      </c>
      <c r="I10650">
        <f>IF(DATOS!$I10650="","",IFERROR(VLOOKUP(DATOS!$I10650,CONFIG_ASIGNATURAS!$B$2:$J$91,9,FALSE()),""))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IF(DATOS!$A10651="",0,IF(CONFIG_METADATA!$B$4&lt;&gt;"OR+EX",--(DATOS!$G10651=CONFIG_METADATA!$B$4),IF(DATOS!$G10651="EX",1,IF(DATOS!$G10651="OR",--(COUNTIFS(nNIA,DATOS!$A10651,nCURSO,DATOS!$D10651,nESPEC,DATOS!$E10651,nASIG,DATOS!$I10651,nEVAL,"EX")=0),0))))</f>
      </c>
      <c r="H10651">
        <f>IF(DATOS!$G10651&lt;&gt;"EX",0,--(COUNTIFS(nNIA,DATOS!$A10651,nCURSO,DATOS!$D10651,nESPEC,DATOS!$E10651,nASIG,DATOS!$I10651,nEVAL,"OR")=0))</f>
      </c>
      <c r="I10651">
        <f>IF(DATOS!$I10651="","",IFERROR(VLOOKUP(DATOS!$I10651,CONFIG_ASIGNATURAS!$B$2:$J$91,9,FALSE()),""))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IF(DATOS!$A10652="",0,IF(CONFIG_METADATA!$B$4&lt;&gt;"OR+EX",--(DATOS!$G10652=CONFIG_METADATA!$B$4),IF(DATOS!$G10652="EX",1,IF(DATOS!$G10652="OR",--(COUNTIFS(nNIA,DATOS!$A10652,nCURSO,DATOS!$D10652,nESPEC,DATOS!$E10652,nASIG,DATOS!$I10652,nEVAL,"EX")=0),0))))</f>
      </c>
      <c r="H10652">
        <f>IF(DATOS!$G10652&lt;&gt;"EX",0,--(COUNTIFS(nNIA,DATOS!$A10652,nCURSO,DATOS!$D10652,nESPEC,DATOS!$E10652,nASIG,DATOS!$I10652,nEVAL,"OR")=0))</f>
      </c>
      <c r="I10652">
        <f>IF(DATOS!$I10652="","",IFERROR(VLOOKUP(DATOS!$I10652,CONFIG_ASIGNATURAS!$B$2:$J$91,9,FALSE()),""))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IF(DATOS!$A10653="",0,IF(CONFIG_METADATA!$B$4&lt;&gt;"OR+EX",--(DATOS!$G10653=CONFIG_METADATA!$B$4),IF(DATOS!$G10653="EX",1,IF(DATOS!$G10653="OR",--(COUNTIFS(nNIA,DATOS!$A10653,nCURSO,DATOS!$D10653,nESPEC,DATOS!$E10653,nASIG,DATOS!$I10653,nEVAL,"EX")=0),0))))</f>
      </c>
      <c r="H10653">
        <f>IF(DATOS!$G10653&lt;&gt;"EX",0,--(COUNTIFS(nNIA,DATOS!$A10653,nCURSO,DATOS!$D10653,nESPEC,DATOS!$E10653,nASIG,DATOS!$I10653,nEVAL,"OR")=0))</f>
      </c>
      <c r="I10653">
        <f>IF(DATOS!$I10653="","",IFERROR(VLOOKUP(DATOS!$I10653,CONFIG_ASIGNATURAS!$B$2:$J$91,9,FALSE()),""))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IF(DATOS!$A10654="",0,IF(CONFIG_METADATA!$B$4&lt;&gt;"OR+EX",--(DATOS!$G10654=CONFIG_METADATA!$B$4),IF(DATOS!$G10654="EX",1,IF(DATOS!$G10654="OR",--(COUNTIFS(nNIA,DATOS!$A10654,nCURSO,DATOS!$D10654,nESPEC,DATOS!$E10654,nASIG,DATOS!$I10654,nEVAL,"EX")=0),0))))</f>
      </c>
      <c r="H10654">
        <f>IF(DATOS!$G10654&lt;&gt;"EX",0,--(COUNTIFS(nNIA,DATOS!$A10654,nCURSO,DATOS!$D10654,nESPEC,DATOS!$E10654,nASIG,DATOS!$I10654,nEVAL,"OR")=0))</f>
      </c>
      <c r="I10654">
        <f>IF(DATOS!$I10654="","",IFERROR(VLOOKUP(DATOS!$I10654,CONFIG_ASIGNATURAS!$B$2:$J$91,9,FALSE()),""))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IF(DATOS!$A10655="",0,IF(CONFIG_METADATA!$B$4&lt;&gt;"OR+EX",--(DATOS!$G10655=CONFIG_METADATA!$B$4),IF(DATOS!$G10655="EX",1,IF(DATOS!$G10655="OR",--(COUNTIFS(nNIA,DATOS!$A10655,nCURSO,DATOS!$D10655,nESPEC,DATOS!$E10655,nASIG,DATOS!$I10655,nEVAL,"EX")=0),0))))</f>
      </c>
      <c r="H10655">
        <f>IF(DATOS!$G10655&lt;&gt;"EX",0,--(COUNTIFS(nNIA,DATOS!$A10655,nCURSO,DATOS!$D10655,nESPEC,DATOS!$E10655,nASIG,DATOS!$I10655,nEVAL,"OR")=0))</f>
      </c>
      <c r="I10655">
        <f>IF(DATOS!$I10655="","",IFERROR(VLOOKUP(DATOS!$I10655,CONFIG_ASIGNATURAS!$B$2:$J$91,9,FALSE()),""))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IF(DATOS!$A10656="",0,IF(CONFIG_METADATA!$B$4&lt;&gt;"OR+EX",--(DATOS!$G10656=CONFIG_METADATA!$B$4),IF(DATOS!$G10656="EX",1,IF(DATOS!$G10656="OR",--(COUNTIFS(nNIA,DATOS!$A10656,nCURSO,DATOS!$D10656,nESPEC,DATOS!$E10656,nASIG,DATOS!$I10656,nEVAL,"EX")=0),0))))</f>
      </c>
      <c r="H10656">
        <f>IF(DATOS!$G10656&lt;&gt;"EX",0,--(COUNTIFS(nNIA,DATOS!$A10656,nCURSO,DATOS!$D10656,nESPEC,DATOS!$E10656,nASIG,DATOS!$I10656,nEVAL,"OR")=0))</f>
      </c>
      <c r="I10656">
        <f>IF(DATOS!$I10656="","",IFERROR(VLOOKUP(DATOS!$I10656,CONFIG_ASIGNATURAS!$B$2:$J$91,9,FALSE()),""))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IF(DATOS!$A10657="",0,IF(CONFIG_METADATA!$B$4&lt;&gt;"OR+EX",--(DATOS!$G10657=CONFIG_METADATA!$B$4),IF(DATOS!$G10657="EX",1,IF(DATOS!$G10657="OR",--(COUNTIFS(nNIA,DATOS!$A10657,nCURSO,DATOS!$D10657,nESPEC,DATOS!$E10657,nASIG,DATOS!$I10657,nEVAL,"EX")=0),0))))</f>
      </c>
      <c r="H10657">
        <f>IF(DATOS!$G10657&lt;&gt;"EX",0,--(COUNTIFS(nNIA,DATOS!$A10657,nCURSO,DATOS!$D10657,nESPEC,DATOS!$E10657,nASIG,DATOS!$I10657,nEVAL,"OR")=0))</f>
      </c>
      <c r="I10657">
        <f>IF(DATOS!$I10657="","",IFERROR(VLOOKUP(DATOS!$I10657,CONFIG_ASIGNATURAS!$B$2:$J$91,9,FALSE()),""))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IF(DATOS!$A10658="",0,IF(CONFIG_METADATA!$B$4&lt;&gt;"OR+EX",--(DATOS!$G10658=CONFIG_METADATA!$B$4),IF(DATOS!$G10658="EX",1,IF(DATOS!$G10658="OR",--(COUNTIFS(nNIA,DATOS!$A10658,nCURSO,DATOS!$D10658,nESPEC,DATOS!$E10658,nASIG,DATOS!$I10658,nEVAL,"EX")=0),0))))</f>
      </c>
      <c r="H10658">
        <f>IF(DATOS!$G10658&lt;&gt;"EX",0,--(COUNTIFS(nNIA,DATOS!$A10658,nCURSO,DATOS!$D10658,nESPEC,DATOS!$E10658,nASIG,DATOS!$I10658,nEVAL,"OR")=0))</f>
      </c>
      <c r="I10658">
        <f>IF(DATOS!$I10658="","",IFERROR(VLOOKUP(DATOS!$I10658,CONFIG_ASIGNATURAS!$B$2:$J$91,9,FALSE()),""))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IF(DATOS!$A10659="",0,IF(CONFIG_METADATA!$B$4&lt;&gt;"OR+EX",--(DATOS!$G10659=CONFIG_METADATA!$B$4),IF(DATOS!$G10659="EX",1,IF(DATOS!$G10659="OR",--(COUNTIFS(nNIA,DATOS!$A10659,nCURSO,DATOS!$D10659,nESPEC,DATOS!$E10659,nASIG,DATOS!$I10659,nEVAL,"EX")=0),0))))</f>
      </c>
      <c r="H10659">
        <f>IF(DATOS!$G10659&lt;&gt;"EX",0,--(COUNTIFS(nNIA,DATOS!$A10659,nCURSO,DATOS!$D10659,nESPEC,DATOS!$E10659,nASIG,DATOS!$I10659,nEVAL,"OR")=0))</f>
      </c>
      <c r="I10659">
        <f>IF(DATOS!$I10659="","",IFERROR(VLOOKUP(DATOS!$I10659,CONFIG_ASIGNATURAS!$B$2:$J$91,9,FALSE()),""))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IF(DATOS!$A10660="",0,IF(CONFIG_METADATA!$B$4&lt;&gt;"OR+EX",--(DATOS!$G10660=CONFIG_METADATA!$B$4),IF(DATOS!$G10660="EX",1,IF(DATOS!$G10660="OR",--(COUNTIFS(nNIA,DATOS!$A10660,nCURSO,DATOS!$D10660,nESPEC,DATOS!$E10660,nASIG,DATOS!$I10660,nEVAL,"EX")=0),0))))</f>
      </c>
      <c r="H10660">
        <f>IF(DATOS!$G10660&lt;&gt;"EX",0,--(COUNTIFS(nNIA,DATOS!$A10660,nCURSO,DATOS!$D10660,nESPEC,DATOS!$E10660,nASIG,DATOS!$I10660,nEVAL,"OR")=0))</f>
      </c>
      <c r="I10660">
        <f>IF(DATOS!$I10660="","",IFERROR(VLOOKUP(DATOS!$I10660,CONFIG_ASIGNATURAS!$B$2:$J$91,9,FALSE()),""))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IF(DATOS!$A10661="",0,IF(CONFIG_METADATA!$B$4&lt;&gt;"OR+EX",--(DATOS!$G10661=CONFIG_METADATA!$B$4),IF(DATOS!$G10661="EX",1,IF(DATOS!$G10661="OR",--(COUNTIFS(nNIA,DATOS!$A10661,nCURSO,DATOS!$D10661,nESPEC,DATOS!$E10661,nASIG,DATOS!$I10661,nEVAL,"EX")=0),0))))</f>
      </c>
      <c r="H10661">
        <f>IF(DATOS!$G10661&lt;&gt;"EX",0,--(COUNTIFS(nNIA,DATOS!$A10661,nCURSO,DATOS!$D10661,nESPEC,DATOS!$E10661,nASIG,DATOS!$I10661,nEVAL,"OR")=0))</f>
      </c>
      <c r="I10661">
        <f>IF(DATOS!$I10661="","",IFERROR(VLOOKUP(DATOS!$I10661,CONFIG_ASIGNATURAS!$B$2:$J$91,9,FALSE()),""))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IF(DATOS!$A10662="",0,IF(CONFIG_METADATA!$B$4&lt;&gt;"OR+EX",--(DATOS!$G10662=CONFIG_METADATA!$B$4),IF(DATOS!$G10662="EX",1,IF(DATOS!$G10662="OR",--(COUNTIFS(nNIA,DATOS!$A10662,nCURSO,DATOS!$D10662,nESPEC,DATOS!$E10662,nASIG,DATOS!$I10662,nEVAL,"EX")=0),0))))</f>
      </c>
      <c r="H10662">
        <f>IF(DATOS!$G10662&lt;&gt;"EX",0,--(COUNTIFS(nNIA,DATOS!$A10662,nCURSO,DATOS!$D10662,nESPEC,DATOS!$E10662,nASIG,DATOS!$I10662,nEVAL,"OR")=0))</f>
      </c>
      <c r="I10662">
        <f>IF(DATOS!$I10662="","",IFERROR(VLOOKUP(DATOS!$I10662,CONFIG_ASIGNATURAS!$B$2:$J$91,9,FALSE()),""))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IF(DATOS!$A10663="",0,IF(CONFIG_METADATA!$B$4&lt;&gt;"OR+EX",--(DATOS!$G10663=CONFIG_METADATA!$B$4),IF(DATOS!$G10663="EX",1,IF(DATOS!$G10663="OR",--(COUNTIFS(nNIA,DATOS!$A10663,nCURSO,DATOS!$D10663,nESPEC,DATOS!$E10663,nASIG,DATOS!$I10663,nEVAL,"EX")=0),0))))</f>
      </c>
      <c r="H10663">
        <f>IF(DATOS!$G10663&lt;&gt;"EX",0,--(COUNTIFS(nNIA,DATOS!$A10663,nCURSO,DATOS!$D10663,nESPEC,DATOS!$E10663,nASIG,DATOS!$I10663,nEVAL,"OR")=0))</f>
      </c>
      <c r="I10663">
        <f>IF(DATOS!$I10663="","",IFERROR(VLOOKUP(DATOS!$I10663,CONFIG_ASIGNATURAS!$B$2:$J$91,9,FALSE()),""))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IF(DATOS!$A10664="",0,IF(CONFIG_METADATA!$B$4&lt;&gt;"OR+EX",--(DATOS!$G10664=CONFIG_METADATA!$B$4),IF(DATOS!$G10664="EX",1,IF(DATOS!$G10664="OR",--(COUNTIFS(nNIA,DATOS!$A10664,nCURSO,DATOS!$D10664,nESPEC,DATOS!$E10664,nASIG,DATOS!$I10664,nEVAL,"EX")=0),0))))</f>
      </c>
      <c r="H10664">
        <f>IF(DATOS!$G10664&lt;&gt;"EX",0,--(COUNTIFS(nNIA,DATOS!$A10664,nCURSO,DATOS!$D10664,nESPEC,DATOS!$E10664,nASIG,DATOS!$I10664,nEVAL,"OR")=0))</f>
      </c>
      <c r="I10664">
        <f>IF(DATOS!$I10664="","",IFERROR(VLOOKUP(DATOS!$I10664,CONFIG_ASIGNATURAS!$B$2:$J$91,9,FALSE()),""))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IF(DATOS!$A10665="",0,IF(CONFIG_METADATA!$B$4&lt;&gt;"OR+EX",--(DATOS!$G10665=CONFIG_METADATA!$B$4),IF(DATOS!$G10665="EX",1,IF(DATOS!$G10665="OR",--(COUNTIFS(nNIA,DATOS!$A10665,nCURSO,DATOS!$D10665,nESPEC,DATOS!$E10665,nASIG,DATOS!$I10665,nEVAL,"EX")=0),0))))</f>
      </c>
      <c r="H10665">
        <f>IF(DATOS!$G10665&lt;&gt;"EX",0,--(COUNTIFS(nNIA,DATOS!$A10665,nCURSO,DATOS!$D10665,nESPEC,DATOS!$E10665,nASIG,DATOS!$I10665,nEVAL,"OR")=0))</f>
      </c>
      <c r="I10665">
        <f>IF(DATOS!$I10665="","",IFERROR(VLOOKUP(DATOS!$I10665,CONFIG_ASIGNATURAS!$B$2:$J$91,9,FALSE()),""))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IF(DATOS!$A10666="",0,IF(CONFIG_METADATA!$B$4&lt;&gt;"OR+EX",--(DATOS!$G10666=CONFIG_METADATA!$B$4),IF(DATOS!$G10666="EX",1,IF(DATOS!$G10666="OR",--(COUNTIFS(nNIA,DATOS!$A10666,nCURSO,DATOS!$D10666,nESPEC,DATOS!$E10666,nASIG,DATOS!$I10666,nEVAL,"EX")=0),0))))</f>
      </c>
      <c r="H10666">
        <f>IF(DATOS!$G10666&lt;&gt;"EX",0,--(COUNTIFS(nNIA,DATOS!$A10666,nCURSO,DATOS!$D10666,nESPEC,DATOS!$E10666,nASIG,DATOS!$I10666,nEVAL,"OR")=0))</f>
      </c>
      <c r="I10666">
        <f>IF(DATOS!$I10666="","",IFERROR(VLOOKUP(DATOS!$I10666,CONFIG_ASIGNATURAS!$B$2:$J$91,9,FALSE()),""))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IF(DATOS!$A10667="",0,IF(CONFIG_METADATA!$B$4&lt;&gt;"OR+EX",--(DATOS!$G10667=CONFIG_METADATA!$B$4),IF(DATOS!$G10667="EX",1,IF(DATOS!$G10667="OR",--(COUNTIFS(nNIA,DATOS!$A10667,nCURSO,DATOS!$D10667,nESPEC,DATOS!$E10667,nASIG,DATOS!$I10667,nEVAL,"EX")=0),0))))</f>
      </c>
      <c r="H10667">
        <f>IF(DATOS!$G10667&lt;&gt;"EX",0,--(COUNTIFS(nNIA,DATOS!$A10667,nCURSO,DATOS!$D10667,nESPEC,DATOS!$E10667,nASIG,DATOS!$I10667,nEVAL,"OR")=0))</f>
      </c>
      <c r="I10667">
        <f>IF(DATOS!$I10667="","",IFERROR(VLOOKUP(DATOS!$I10667,CONFIG_ASIGNATURAS!$B$2:$J$91,9,FALSE()),""))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IF(DATOS!$A10668="",0,IF(CONFIG_METADATA!$B$4&lt;&gt;"OR+EX",--(DATOS!$G10668=CONFIG_METADATA!$B$4),IF(DATOS!$G10668="EX",1,IF(DATOS!$G10668="OR",--(COUNTIFS(nNIA,DATOS!$A10668,nCURSO,DATOS!$D10668,nESPEC,DATOS!$E10668,nASIG,DATOS!$I10668,nEVAL,"EX")=0),0))))</f>
      </c>
      <c r="H10668">
        <f>IF(DATOS!$G10668&lt;&gt;"EX",0,--(COUNTIFS(nNIA,DATOS!$A10668,nCURSO,DATOS!$D10668,nESPEC,DATOS!$E10668,nASIG,DATOS!$I10668,nEVAL,"OR")=0))</f>
      </c>
      <c r="I10668">
        <f>IF(DATOS!$I10668="","",IFERROR(VLOOKUP(DATOS!$I10668,CONFIG_ASIGNATURAS!$B$2:$J$91,9,FALSE()),""))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IF(DATOS!$A10669="",0,IF(CONFIG_METADATA!$B$4&lt;&gt;"OR+EX",--(DATOS!$G10669=CONFIG_METADATA!$B$4),IF(DATOS!$G10669="EX",1,IF(DATOS!$G10669="OR",--(COUNTIFS(nNIA,DATOS!$A10669,nCURSO,DATOS!$D10669,nESPEC,DATOS!$E10669,nASIG,DATOS!$I10669,nEVAL,"EX")=0),0))))</f>
      </c>
      <c r="H10669">
        <f>IF(DATOS!$G10669&lt;&gt;"EX",0,--(COUNTIFS(nNIA,DATOS!$A10669,nCURSO,DATOS!$D10669,nESPEC,DATOS!$E10669,nASIG,DATOS!$I10669,nEVAL,"OR")=0))</f>
      </c>
      <c r="I10669">
        <f>IF(DATOS!$I10669="","",IFERROR(VLOOKUP(DATOS!$I10669,CONFIG_ASIGNATURAS!$B$2:$J$91,9,FALSE()),""))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IF(DATOS!$A10670="",0,IF(CONFIG_METADATA!$B$4&lt;&gt;"OR+EX",--(DATOS!$G10670=CONFIG_METADATA!$B$4),IF(DATOS!$G10670="EX",1,IF(DATOS!$G10670="OR",--(COUNTIFS(nNIA,DATOS!$A10670,nCURSO,DATOS!$D10670,nESPEC,DATOS!$E10670,nASIG,DATOS!$I10670,nEVAL,"EX")=0),0))))</f>
      </c>
      <c r="H10670">
        <f>IF(DATOS!$G10670&lt;&gt;"EX",0,--(COUNTIFS(nNIA,DATOS!$A10670,nCURSO,DATOS!$D10670,nESPEC,DATOS!$E10670,nASIG,DATOS!$I10670,nEVAL,"OR")=0))</f>
      </c>
      <c r="I10670">
        <f>IF(DATOS!$I10670="","",IFERROR(VLOOKUP(DATOS!$I10670,CONFIG_ASIGNATURAS!$B$2:$J$91,9,FALSE()),""))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IF(DATOS!$A10671="",0,IF(CONFIG_METADATA!$B$4&lt;&gt;"OR+EX",--(DATOS!$G10671=CONFIG_METADATA!$B$4),IF(DATOS!$G10671="EX",1,IF(DATOS!$G10671="OR",--(COUNTIFS(nNIA,DATOS!$A10671,nCURSO,DATOS!$D10671,nESPEC,DATOS!$E10671,nASIG,DATOS!$I10671,nEVAL,"EX")=0),0))))</f>
      </c>
      <c r="H10671">
        <f>IF(DATOS!$G10671&lt;&gt;"EX",0,--(COUNTIFS(nNIA,DATOS!$A10671,nCURSO,DATOS!$D10671,nESPEC,DATOS!$E10671,nASIG,DATOS!$I10671,nEVAL,"OR")=0))</f>
      </c>
      <c r="I10671">
        <f>IF(DATOS!$I10671="","",IFERROR(VLOOKUP(DATOS!$I10671,CONFIG_ASIGNATURAS!$B$2:$J$91,9,FALSE()),""))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IF(DATOS!$A10672="",0,IF(CONFIG_METADATA!$B$4&lt;&gt;"OR+EX",--(DATOS!$G10672=CONFIG_METADATA!$B$4),IF(DATOS!$G10672="EX",1,IF(DATOS!$G10672="OR",--(COUNTIFS(nNIA,DATOS!$A10672,nCURSO,DATOS!$D10672,nESPEC,DATOS!$E10672,nASIG,DATOS!$I10672,nEVAL,"EX")=0),0))))</f>
      </c>
      <c r="H10672">
        <f>IF(DATOS!$G10672&lt;&gt;"EX",0,--(COUNTIFS(nNIA,DATOS!$A10672,nCURSO,DATOS!$D10672,nESPEC,DATOS!$E10672,nASIG,DATOS!$I10672,nEVAL,"OR")=0))</f>
      </c>
      <c r="I10672">
        <f>IF(DATOS!$I10672="","",IFERROR(VLOOKUP(DATOS!$I10672,CONFIG_ASIGNATURAS!$B$2:$J$91,9,FALSE()),""))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IF(DATOS!$A10673="",0,IF(CONFIG_METADATA!$B$4&lt;&gt;"OR+EX",--(DATOS!$G10673=CONFIG_METADATA!$B$4),IF(DATOS!$G10673="EX",1,IF(DATOS!$G10673="OR",--(COUNTIFS(nNIA,DATOS!$A10673,nCURSO,DATOS!$D10673,nESPEC,DATOS!$E10673,nASIG,DATOS!$I10673,nEVAL,"EX")=0),0))))</f>
      </c>
      <c r="H10673">
        <f>IF(DATOS!$G10673&lt;&gt;"EX",0,--(COUNTIFS(nNIA,DATOS!$A10673,nCURSO,DATOS!$D10673,nESPEC,DATOS!$E10673,nASIG,DATOS!$I10673,nEVAL,"OR")=0))</f>
      </c>
      <c r="I10673">
        <f>IF(DATOS!$I10673="","",IFERROR(VLOOKUP(DATOS!$I10673,CONFIG_ASIGNATURAS!$B$2:$J$91,9,FALSE()),""))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IF(DATOS!$A10674="",0,IF(CONFIG_METADATA!$B$4&lt;&gt;"OR+EX",--(DATOS!$G10674=CONFIG_METADATA!$B$4),IF(DATOS!$G10674="EX",1,IF(DATOS!$G10674="OR",--(COUNTIFS(nNIA,DATOS!$A10674,nCURSO,DATOS!$D10674,nESPEC,DATOS!$E10674,nASIG,DATOS!$I10674,nEVAL,"EX")=0),0))))</f>
      </c>
      <c r="H10674">
        <f>IF(DATOS!$G10674&lt;&gt;"EX",0,--(COUNTIFS(nNIA,DATOS!$A10674,nCURSO,DATOS!$D10674,nESPEC,DATOS!$E10674,nASIG,DATOS!$I10674,nEVAL,"OR")=0))</f>
      </c>
      <c r="I10674">
        <f>IF(DATOS!$I10674="","",IFERROR(VLOOKUP(DATOS!$I10674,CONFIG_ASIGNATURAS!$B$2:$J$91,9,FALSE()),""))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IF(DATOS!$A10675="",0,IF(CONFIG_METADATA!$B$4&lt;&gt;"OR+EX",--(DATOS!$G10675=CONFIG_METADATA!$B$4),IF(DATOS!$G10675="EX",1,IF(DATOS!$G10675="OR",--(COUNTIFS(nNIA,DATOS!$A10675,nCURSO,DATOS!$D10675,nESPEC,DATOS!$E10675,nASIG,DATOS!$I10675,nEVAL,"EX")=0),0))))</f>
      </c>
      <c r="H10675">
        <f>IF(DATOS!$G10675&lt;&gt;"EX",0,--(COUNTIFS(nNIA,DATOS!$A10675,nCURSO,DATOS!$D10675,nESPEC,DATOS!$E10675,nASIG,DATOS!$I10675,nEVAL,"OR")=0))</f>
      </c>
      <c r="I10675">
        <f>IF(DATOS!$I10675="","",IFERROR(VLOOKUP(DATOS!$I10675,CONFIG_ASIGNATURAS!$B$2:$J$91,9,FALSE()),""))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IF(DATOS!$A10676="",0,IF(CONFIG_METADATA!$B$4&lt;&gt;"OR+EX",--(DATOS!$G10676=CONFIG_METADATA!$B$4),IF(DATOS!$G10676="EX",1,IF(DATOS!$G10676="OR",--(COUNTIFS(nNIA,DATOS!$A10676,nCURSO,DATOS!$D10676,nESPEC,DATOS!$E10676,nASIG,DATOS!$I10676,nEVAL,"EX")=0),0))))</f>
      </c>
      <c r="H10676">
        <f>IF(DATOS!$G10676&lt;&gt;"EX",0,--(COUNTIFS(nNIA,DATOS!$A10676,nCURSO,DATOS!$D10676,nESPEC,DATOS!$E10676,nASIG,DATOS!$I10676,nEVAL,"OR")=0))</f>
      </c>
      <c r="I10676">
        <f>IF(DATOS!$I10676="","",IFERROR(VLOOKUP(DATOS!$I10676,CONFIG_ASIGNATURAS!$B$2:$J$91,9,FALSE()),""))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IF(DATOS!$A10677="",0,IF(CONFIG_METADATA!$B$4&lt;&gt;"OR+EX",--(DATOS!$G10677=CONFIG_METADATA!$B$4),IF(DATOS!$G10677="EX",1,IF(DATOS!$G10677="OR",--(COUNTIFS(nNIA,DATOS!$A10677,nCURSO,DATOS!$D10677,nESPEC,DATOS!$E10677,nASIG,DATOS!$I10677,nEVAL,"EX")=0),0))))</f>
      </c>
      <c r="H10677">
        <f>IF(DATOS!$G10677&lt;&gt;"EX",0,--(COUNTIFS(nNIA,DATOS!$A10677,nCURSO,DATOS!$D10677,nESPEC,DATOS!$E10677,nASIG,DATOS!$I10677,nEVAL,"OR")=0))</f>
      </c>
      <c r="I10677">
        <f>IF(DATOS!$I10677="","",IFERROR(VLOOKUP(DATOS!$I10677,CONFIG_ASIGNATURAS!$B$2:$J$91,9,FALSE()),""))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IF(DATOS!$A10678="",0,IF(CONFIG_METADATA!$B$4&lt;&gt;"OR+EX",--(DATOS!$G10678=CONFIG_METADATA!$B$4),IF(DATOS!$G10678="EX",1,IF(DATOS!$G10678="OR",--(COUNTIFS(nNIA,DATOS!$A10678,nCURSO,DATOS!$D10678,nESPEC,DATOS!$E10678,nASIG,DATOS!$I10678,nEVAL,"EX")=0),0))))</f>
      </c>
      <c r="H10678">
        <f>IF(DATOS!$G10678&lt;&gt;"EX",0,--(COUNTIFS(nNIA,DATOS!$A10678,nCURSO,DATOS!$D10678,nESPEC,DATOS!$E10678,nASIG,DATOS!$I10678,nEVAL,"OR")=0))</f>
      </c>
      <c r="I10678">
        <f>IF(DATOS!$I10678="","",IFERROR(VLOOKUP(DATOS!$I10678,CONFIG_ASIGNATURAS!$B$2:$J$91,9,FALSE()),""))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IF(DATOS!$A10679="",0,IF(CONFIG_METADATA!$B$4&lt;&gt;"OR+EX",--(DATOS!$G10679=CONFIG_METADATA!$B$4),IF(DATOS!$G10679="EX",1,IF(DATOS!$G10679="OR",--(COUNTIFS(nNIA,DATOS!$A10679,nCURSO,DATOS!$D10679,nESPEC,DATOS!$E10679,nASIG,DATOS!$I10679,nEVAL,"EX")=0),0))))</f>
      </c>
      <c r="H10679">
        <f>IF(DATOS!$G10679&lt;&gt;"EX",0,--(COUNTIFS(nNIA,DATOS!$A10679,nCURSO,DATOS!$D10679,nESPEC,DATOS!$E10679,nASIG,DATOS!$I10679,nEVAL,"OR")=0))</f>
      </c>
      <c r="I10679">
        <f>IF(DATOS!$I10679="","",IFERROR(VLOOKUP(DATOS!$I10679,CONFIG_ASIGNATURAS!$B$2:$J$91,9,FALSE()),""))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IF(DATOS!$A10680="",0,IF(CONFIG_METADATA!$B$4&lt;&gt;"OR+EX",--(DATOS!$G10680=CONFIG_METADATA!$B$4),IF(DATOS!$G10680="EX",1,IF(DATOS!$G10680="OR",--(COUNTIFS(nNIA,DATOS!$A10680,nCURSO,DATOS!$D10680,nESPEC,DATOS!$E10680,nASIG,DATOS!$I10680,nEVAL,"EX")=0),0))))</f>
      </c>
      <c r="H10680">
        <f>IF(DATOS!$G10680&lt;&gt;"EX",0,--(COUNTIFS(nNIA,DATOS!$A10680,nCURSO,DATOS!$D10680,nESPEC,DATOS!$E10680,nASIG,DATOS!$I10680,nEVAL,"OR")=0))</f>
      </c>
      <c r="I10680">
        <f>IF(DATOS!$I10680="","",IFERROR(VLOOKUP(DATOS!$I10680,CONFIG_ASIGNATURAS!$B$2:$J$91,9,FALSE()),""))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IF(DATOS!$A10681="",0,IF(CONFIG_METADATA!$B$4&lt;&gt;"OR+EX",--(DATOS!$G10681=CONFIG_METADATA!$B$4),IF(DATOS!$G10681="EX",1,IF(DATOS!$G10681="OR",--(COUNTIFS(nNIA,DATOS!$A10681,nCURSO,DATOS!$D10681,nESPEC,DATOS!$E10681,nASIG,DATOS!$I10681,nEVAL,"EX")=0),0))))</f>
      </c>
      <c r="H10681">
        <f>IF(DATOS!$G10681&lt;&gt;"EX",0,--(COUNTIFS(nNIA,DATOS!$A10681,nCURSO,DATOS!$D10681,nESPEC,DATOS!$E10681,nASIG,DATOS!$I10681,nEVAL,"OR")=0))</f>
      </c>
      <c r="I10681">
        <f>IF(DATOS!$I10681="","",IFERROR(VLOOKUP(DATOS!$I10681,CONFIG_ASIGNATURAS!$B$2:$J$91,9,FALSE()),""))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IF(DATOS!$A10682="",0,IF(CONFIG_METADATA!$B$4&lt;&gt;"OR+EX",--(DATOS!$G10682=CONFIG_METADATA!$B$4),IF(DATOS!$G10682="EX",1,IF(DATOS!$G10682="OR",--(COUNTIFS(nNIA,DATOS!$A10682,nCURSO,DATOS!$D10682,nESPEC,DATOS!$E10682,nASIG,DATOS!$I10682,nEVAL,"EX")=0),0))))</f>
      </c>
      <c r="H10682">
        <f>IF(DATOS!$G10682&lt;&gt;"EX",0,--(COUNTIFS(nNIA,DATOS!$A10682,nCURSO,DATOS!$D10682,nESPEC,DATOS!$E10682,nASIG,DATOS!$I10682,nEVAL,"OR")=0))</f>
      </c>
      <c r="I10682">
        <f>IF(DATOS!$I10682="","",IFERROR(VLOOKUP(DATOS!$I10682,CONFIG_ASIGNATURAS!$B$2:$J$91,9,FALSE()),""))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IF(DATOS!$A10683="",0,IF(CONFIG_METADATA!$B$4&lt;&gt;"OR+EX",--(DATOS!$G10683=CONFIG_METADATA!$B$4),IF(DATOS!$G10683="EX",1,IF(DATOS!$G10683="OR",--(COUNTIFS(nNIA,DATOS!$A10683,nCURSO,DATOS!$D10683,nESPEC,DATOS!$E10683,nASIG,DATOS!$I10683,nEVAL,"EX")=0),0))))</f>
      </c>
      <c r="H10683">
        <f>IF(DATOS!$G10683&lt;&gt;"EX",0,--(COUNTIFS(nNIA,DATOS!$A10683,nCURSO,DATOS!$D10683,nESPEC,DATOS!$E10683,nASIG,DATOS!$I10683,nEVAL,"OR")=0))</f>
      </c>
      <c r="I10683">
        <f>IF(DATOS!$I10683="","",IFERROR(VLOOKUP(DATOS!$I10683,CONFIG_ASIGNATURAS!$B$2:$J$91,9,FALSE()),""))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IF(DATOS!$A10684="",0,IF(CONFIG_METADATA!$B$4&lt;&gt;"OR+EX",--(DATOS!$G10684=CONFIG_METADATA!$B$4),IF(DATOS!$G10684="EX",1,IF(DATOS!$G10684="OR",--(COUNTIFS(nNIA,DATOS!$A10684,nCURSO,DATOS!$D10684,nESPEC,DATOS!$E10684,nASIG,DATOS!$I10684,nEVAL,"EX")=0),0))))</f>
      </c>
      <c r="H10684">
        <f>IF(DATOS!$G10684&lt;&gt;"EX",0,--(COUNTIFS(nNIA,DATOS!$A10684,nCURSO,DATOS!$D10684,nESPEC,DATOS!$E10684,nASIG,DATOS!$I10684,nEVAL,"OR")=0))</f>
      </c>
      <c r="I10684">
        <f>IF(DATOS!$I10684="","",IFERROR(VLOOKUP(DATOS!$I10684,CONFIG_ASIGNATURAS!$B$2:$J$91,9,FALSE()),""))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IF(DATOS!$A10685="",0,IF(CONFIG_METADATA!$B$4&lt;&gt;"OR+EX",--(DATOS!$G10685=CONFIG_METADATA!$B$4),IF(DATOS!$G10685="EX",1,IF(DATOS!$G10685="OR",--(COUNTIFS(nNIA,DATOS!$A10685,nCURSO,DATOS!$D10685,nESPEC,DATOS!$E10685,nASIG,DATOS!$I10685,nEVAL,"EX")=0),0))))</f>
      </c>
      <c r="H10685">
        <f>IF(DATOS!$G10685&lt;&gt;"EX",0,--(COUNTIFS(nNIA,DATOS!$A10685,nCURSO,DATOS!$D10685,nESPEC,DATOS!$E10685,nASIG,DATOS!$I10685,nEVAL,"OR")=0))</f>
      </c>
      <c r="I10685">
        <f>IF(DATOS!$I10685="","",IFERROR(VLOOKUP(DATOS!$I10685,CONFIG_ASIGNATURAS!$B$2:$J$91,9,FALSE()),""))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IF(DATOS!$A10686="",0,IF(CONFIG_METADATA!$B$4&lt;&gt;"OR+EX",--(DATOS!$G10686=CONFIG_METADATA!$B$4),IF(DATOS!$G10686="EX",1,IF(DATOS!$G10686="OR",--(COUNTIFS(nNIA,DATOS!$A10686,nCURSO,DATOS!$D10686,nESPEC,DATOS!$E10686,nASIG,DATOS!$I10686,nEVAL,"EX")=0),0))))</f>
      </c>
      <c r="H10686">
        <f>IF(DATOS!$G10686&lt;&gt;"EX",0,--(COUNTIFS(nNIA,DATOS!$A10686,nCURSO,DATOS!$D10686,nESPEC,DATOS!$E10686,nASIG,DATOS!$I10686,nEVAL,"OR")=0))</f>
      </c>
      <c r="I10686">
        <f>IF(DATOS!$I10686="","",IFERROR(VLOOKUP(DATOS!$I10686,CONFIG_ASIGNATURAS!$B$2:$J$91,9,FALSE()),""))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IF(DATOS!$A10687="",0,IF(CONFIG_METADATA!$B$4&lt;&gt;"OR+EX",--(DATOS!$G10687=CONFIG_METADATA!$B$4),IF(DATOS!$G10687="EX",1,IF(DATOS!$G10687="OR",--(COUNTIFS(nNIA,DATOS!$A10687,nCURSO,DATOS!$D10687,nESPEC,DATOS!$E10687,nASIG,DATOS!$I10687,nEVAL,"EX")=0),0))))</f>
      </c>
      <c r="H10687">
        <f>IF(DATOS!$G10687&lt;&gt;"EX",0,--(COUNTIFS(nNIA,DATOS!$A10687,nCURSO,DATOS!$D10687,nESPEC,DATOS!$E10687,nASIG,DATOS!$I10687,nEVAL,"OR")=0))</f>
      </c>
      <c r="I10687">
        <f>IF(DATOS!$I10687="","",IFERROR(VLOOKUP(DATOS!$I10687,CONFIG_ASIGNATURAS!$B$2:$J$91,9,FALSE()),""))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IF(DATOS!$A10688="",0,IF(CONFIG_METADATA!$B$4&lt;&gt;"OR+EX",--(DATOS!$G10688=CONFIG_METADATA!$B$4),IF(DATOS!$G10688="EX",1,IF(DATOS!$G10688="OR",--(COUNTIFS(nNIA,DATOS!$A10688,nCURSO,DATOS!$D10688,nESPEC,DATOS!$E10688,nASIG,DATOS!$I10688,nEVAL,"EX")=0),0))))</f>
      </c>
      <c r="H10688">
        <f>IF(DATOS!$G10688&lt;&gt;"EX",0,--(COUNTIFS(nNIA,DATOS!$A10688,nCURSO,DATOS!$D10688,nESPEC,DATOS!$E10688,nASIG,DATOS!$I10688,nEVAL,"OR")=0))</f>
      </c>
      <c r="I10688">
        <f>IF(DATOS!$I10688="","",IFERROR(VLOOKUP(DATOS!$I10688,CONFIG_ASIGNATURAS!$B$2:$J$91,9,FALSE()),""))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IF(DATOS!$A10689="",0,IF(CONFIG_METADATA!$B$4&lt;&gt;"OR+EX",--(DATOS!$G10689=CONFIG_METADATA!$B$4),IF(DATOS!$G10689="EX",1,IF(DATOS!$G10689="OR",--(COUNTIFS(nNIA,DATOS!$A10689,nCURSO,DATOS!$D10689,nESPEC,DATOS!$E10689,nASIG,DATOS!$I10689,nEVAL,"EX")=0),0))))</f>
      </c>
      <c r="H10689">
        <f>IF(DATOS!$G10689&lt;&gt;"EX",0,--(COUNTIFS(nNIA,DATOS!$A10689,nCURSO,DATOS!$D10689,nESPEC,DATOS!$E10689,nASIG,DATOS!$I10689,nEVAL,"OR")=0))</f>
      </c>
      <c r="I10689">
        <f>IF(DATOS!$I10689="","",IFERROR(VLOOKUP(DATOS!$I10689,CONFIG_ASIGNATURAS!$B$2:$J$91,9,FALSE()),""))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IF(DATOS!$A10690="",0,IF(CONFIG_METADATA!$B$4&lt;&gt;"OR+EX",--(DATOS!$G10690=CONFIG_METADATA!$B$4),IF(DATOS!$G10690="EX",1,IF(DATOS!$G10690="OR",--(COUNTIFS(nNIA,DATOS!$A10690,nCURSO,DATOS!$D10690,nESPEC,DATOS!$E10690,nASIG,DATOS!$I10690,nEVAL,"EX")=0),0))))</f>
      </c>
      <c r="H10690">
        <f>IF(DATOS!$G10690&lt;&gt;"EX",0,--(COUNTIFS(nNIA,DATOS!$A10690,nCURSO,DATOS!$D10690,nESPEC,DATOS!$E10690,nASIG,DATOS!$I10690,nEVAL,"OR")=0))</f>
      </c>
      <c r="I10690">
        <f>IF(DATOS!$I10690="","",IFERROR(VLOOKUP(DATOS!$I10690,CONFIG_ASIGNATURAS!$B$2:$J$91,9,FALSE()),""))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IF(DATOS!$A10691="",0,IF(CONFIG_METADATA!$B$4&lt;&gt;"OR+EX",--(DATOS!$G10691=CONFIG_METADATA!$B$4),IF(DATOS!$G10691="EX",1,IF(DATOS!$G10691="OR",--(COUNTIFS(nNIA,DATOS!$A10691,nCURSO,DATOS!$D10691,nESPEC,DATOS!$E10691,nASIG,DATOS!$I10691,nEVAL,"EX")=0),0))))</f>
      </c>
      <c r="H10691">
        <f>IF(DATOS!$G10691&lt;&gt;"EX",0,--(COUNTIFS(nNIA,DATOS!$A10691,nCURSO,DATOS!$D10691,nESPEC,DATOS!$E10691,nASIG,DATOS!$I10691,nEVAL,"OR")=0))</f>
      </c>
      <c r="I10691">
        <f>IF(DATOS!$I10691="","",IFERROR(VLOOKUP(DATOS!$I10691,CONFIG_ASIGNATURAS!$B$2:$J$91,9,FALSE()),""))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IF(DATOS!$A10692="",0,IF(CONFIG_METADATA!$B$4&lt;&gt;"OR+EX",--(DATOS!$G10692=CONFIG_METADATA!$B$4),IF(DATOS!$G10692="EX",1,IF(DATOS!$G10692="OR",--(COUNTIFS(nNIA,DATOS!$A10692,nCURSO,DATOS!$D10692,nESPEC,DATOS!$E10692,nASIG,DATOS!$I10692,nEVAL,"EX")=0),0))))</f>
      </c>
      <c r="H10692">
        <f>IF(DATOS!$G10692&lt;&gt;"EX",0,--(COUNTIFS(nNIA,DATOS!$A10692,nCURSO,DATOS!$D10692,nESPEC,DATOS!$E10692,nASIG,DATOS!$I10692,nEVAL,"OR")=0))</f>
      </c>
      <c r="I10692">
        <f>IF(DATOS!$I10692="","",IFERROR(VLOOKUP(DATOS!$I10692,CONFIG_ASIGNATURAS!$B$2:$J$91,9,FALSE()),""))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IF(DATOS!$A10693="",0,IF(CONFIG_METADATA!$B$4&lt;&gt;"OR+EX",--(DATOS!$G10693=CONFIG_METADATA!$B$4),IF(DATOS!$G10693="EX",1,IF(DATOS!$G10693="OR",--(COUNTIFS(nNIA,DATOS!$A10693,nCURSO,DATOS!$D10693,nESPEC,DATOS!$E10693,nASIG,DATOS!$I10693,nEVAL,"EX")=0),0))))</f>
      </c>
      <c r="H10693">
        <f>IF(DATOS!$G10693&lt;&gt;"EX",0,--(COUNTIFS(nNIA,DATOS!$A10693,nCURSO,DATOS!$D10693,nESPEC,DATOS!$E10693,nASIG,DATOS!$I10693,nEVAL,"OR")=0))</f>
      </c>
      <c r="I10693">
        <f>IF(DATOS!$I10693="","",IFERROR(VLOOKUP(DATOS!$I10693,CONFIG_ASIGNATURAS!$B$2:$J$91,9,FALSE()),""))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IF(DATOS!$A10694="",0,IF(CONFIG_METADATA!$B$4&lt;&gt;"OR+EX",--(DATOS!$G10694=CONFIG_METADATA!$B$4),IF(DATOS!$G10694="EX",1,IF(DATOS!$G10694="OR",--(COUNTIFS(nNIA,DATOS!$A10694,nCURSO,DATOS!$D10694,nESPEC,DATOS!$E10694,nASIG,DATOS!$I10694,nEVAL,"EX")=0),0))))</f>
      </c>
      <c r="H10694">
        <f>IF(DATOS!$G10694&lt;&gt;"EX",0,--(COUNTIFS(nNIA,DATOS!$A10694,nCURSO,DATOS!$D10694,nESPEC,DATOS!$E10694,nASIG,DATOS!$I10694,nEVAL,"OR")=0))</f>
      </c>
      <c r="I10694">
        <f>IF(DATOS!$I10694="","",IFERROR(VLOOKUP(DATOS!$I10694,CONFIG_ASIGNATURAS!$B$2:$J$91,9,FALSE()),""))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IF(DATOS!$A10695="",0,IF(CONFIG_METADATA!$B$4&lt;&gt;"OR+EX",--(DATOS!$G10695=CONFIG_METADATA!$B$4),IF(DATOS!$G10695="EX",1,IF(DATOS!$G10695="OR",--(COUNTIFS(nNIA,DATOS!$A10695,nCURSO,DATOS!$D10695,nESPEC,DATOS!$E10695,nASIG,DATOS!$I10695,nEVAL,"EX")=0),0))))</f>
      </c>
      <c r="H10695">
        <f>IF(DATOS!$G10695&lt;&gt;"EX",0,--(COUNTIFS(nNIA,DATOS!$A10695,nCURSO,DATOS!$D10695,nESPEC,DATOS!$E10695,nASIG,DATOS!$I10695,nEVAL,"OR")=0))</f>
      </c>
      <c r="I10695">
        <f>IF(DATOS!$I10695="","",IFERROR(VLOOKUP(DATOS!$I10695,CONFIG_ASIGNATURAS!$B$2:$J$91,9,FALSE()),""))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IF(DATOS!$A10696="",0,IF(CONFIG_METADATA!$B$4&lt;&gt;"OR+EX",--(DATOS!$G10696=CONFIG_METADATA!$B$4),IF(DATOS!$G10696="EX",1,IF(DATOS!$G10696="OR",--(COUNTIFS(nNIA,DATOS!$A10696,nCURSO,DATOS!$D10696,nESPEC,DATOS!$E10696,nASIG,DATOS!$I10696,nEVAL,"EX")=0),0))))</f>
      </c>
      <c r="H10696">
        <f>IF(DATOS!$G10696&lt;&gt;"EX",0,--(COUNTIFS(nNIA,DATOS!$A10696,nCURSO,DATOS!$D10696,nESPEC,DATOS!$E10696,nASIG,DATOS!$I10696,nEVAL,"OR")=0))</f>
      </c>
      <c r="I10696">
        <f>IF(DATOS!$I10696="","",IFERROR(VLOOKUP(DATOS!$I10696,CONFIG_ASIGNATURAS!$B$2:$J$91,9,FALSE()),""))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IF(DATOS!$A10697="",0,IF(CONFIG_METADATA!$B$4&lt;&gt;"OR+EX",--(DATOS!$G10697=CONFIG_METADATA!$B$4),IF(DATOS!$G10697="EX",1,IF(DATOS!$G10697="OR",--(COUNTIFS(nNIA,DATOS!$A10697,nCURSO,DATOS!$D10697,nESPEC,DATOS!$E10697,nASIG,DATOS!$I10697,nEVAL,"EX")=0),0))))</f>
      </c>
      <c r="H10697">
        <f>IF(DATOS!$G10697&lt;&gt;"EX",0,--(COUNTIFS(nNIA,DATOS!$A10697,nCURSO,DATOS!$D10697,nESPEC,DATOS!$E10697,nASIG,DATOS!$I10697,nEVAL,"OR")=0))</f>
      </c>
      <c r="I10697">
        <f>IF(DATOS!$I10697="","",IFERROR(VLOOKUP(DATOS!$I10697,CONFIG_ASIGNATURAS!$B$2:$J$91,9,FALSE()),""))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IF(DATOS!$A10698="",0,IF(CONFIG_METADATA!$B$4&lt;&gt;"OR+EX",--(DATOS!$G10698=CONFIG_METADATA!$B$4),IF(DATOS!$G10698="EX",1,IF(DATOS!$G10698="OR",--(COUNTIFS(nNIA,DATOS!$A10698,nCURSO,DATOS!$D10698,nESPEC,DATOS!$E10698,nASIG,DATOS!$I10698,nEVAL,"EX")=0),0))))</f>
      </c>
      <c r="H10698">
        <f>IF(DATOS!$G10698&lt;&gt;"EX",0,--(COUNTIFS(nNIA,DATOS!$A10698,nCURSO,DATOS!$D10698,nESPEC,DATOS!$E10698,nASIG,DATOS!$I10698,nEVAL,"OR")=0))</f>
      </c>
      <c r="I10698">
        <f>IF(DATOS!$I10698="","",IFERROR(VLOOKUP(DATOS!$I10698,CONFIG_ASIGNATURAS!$B$2:$J$91,9,FALSE()),""))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IF(DATOS!$A10699="",0,IF(CONFIG_METADATA!$B$4&lt;&gt;"OR+EX",--(DATOS!$G10699=CONFIG_METADATA!$B$4),IF(DATOS!$G10699="EX",1,IF(DATOS!$G10699="OR",--(COUNTIFS(nNIA,DATOS!$A10699,nCURSO,DATOS!$D10699,nESPEC,DATOS!$E10699,nASIG,DATOS!$I10699,nEVAL,"EX")=0),0))))</f>
      </c>
      <c r="H10699">
        <f>IF(DATOS!$G10699&lt;&gt;"EX",0,--(COUNTIFS(nNIA,DATOS!$A10699,nCURSO,DATOS!$D10699,nESPEC,DATOS!$E10699,nASIG,DATOS!$I10699,nEVAL,"OR")=0))</f>
      </c>
      <c r="I10699">
        <f>IF(DATOS!$I10699="","",IFERROR(VLOOKUP(DATOS!$I10699,CONFIG_ASIGNATURAS!$B$2:$J$91,9,FALSE()),""))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IF(DATOS!$A10700="",0,IF(CONFIG_METADATA!$B$4&lt;&gt;"OR+EX",--(DATOS!$G10700=CONFIG_METADATA!$B$4),IF(DATOS!$G10700="EX",1,IF(DATOS!$G10700="OR",--(COUNTIFS(nNIA,DATOS!$A10700,nCURSO,DATOS!$D10700,nESPEC,DATOS!$E10700,nASIG,DATOS!$I10700,nEVAL,"EX")=0),0))))</f>
      </c>
      <c r="H10700">
        <f>IF(DATOS!$G10700&lt;&gt;"EX",0,--(COUNTIFS(nNIA,DATOS!$A10700,nCURSO,DATOS!$D10700,nESPEC,DATOS!$E10700,nASIG,DATOS!$I10700,nEVAL,"OR")=0))</f>
      </c>
      <c r="I10700">
        <f>IF(DATOS!$I10700="","",IFERROR(VLOOKUP(DATOS!$I10700,CONFIG_ASIGNATURAS!$B$2:$J$91,9,FALSE()),""))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IF(DATOS!$A10701="",0,IF(CONFIG_METADATA!$B$4&lt;&gt;"OR+EX",--(DATOS!$G10701=CONFIG_METADATA!$B$4),IF(DATOS!$G10701="EX",1,IF(DATOS!$G10701="OR",--(COUNTIFS(nNIA,DATOS!$A10701,nCURSO,DATOS!$D10701,nESPEC,DATOS!$E10701,nASIG,DATOS!$I10701,nEVAL,"EX")=0),0))))</f>
      </c>
      <c r="H10701">
        <f>IF(DATOS!$G10701&lt;&gt;"EX",0,--(COUNTIFS(nNIA,DATOS!$A10701,nCURSO,DATOS!$D10701,nESPEC,DATOS!$E10701,nASIG,DATOS!$I10701,nEVAL,"OR")=0))</f>
      </c>
      <c r="I10701">
        <f>IF(DATOS!$I10701="","",IFERROR(VLOOKUP(DATOS!$I10701,CONFIG_ASIGNATURAS!$B$2:$J$91,9,FALSE()),""))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IF(DATOS!$A10702="",0,IF(CONFIG_METADATA!$B$4&lt;&gt;"OR+EX",--(DATOS!$G10702=CONFIG_METADATA!$B$4),IF(DATOS!$G10702="EX",1,IF(DATOS!$G10702="OR",--(COUNTIFS(nNIA,DATOS!$A10702,nCURSO,DATOS!$D10702,nESPEC,DATOS!$E10702,nASIG,DATOS!$I10702,nEVAL,"EX")=0),0))))</f>
      </c>
      <c r="H10702">
        <f>IF(DATOS!$G10702&lt;&gt;"EX",0,--(COUNTIFS(nNIA,DATOS!$A10702,nCURSO,DATOS!$D10702,nESPEC,DATOS!$E10702,nASIG,DATOS!$I10702,nEVAL,"OR")=0))</f>
      </c>
      <c r="I10702">
        <f>IF(DATOS!$I10702="","",IFERROR(VLOOKUP(DATOS!$I10702,CONFIG_ASIGNATURAS!$B$2:$J$91,9,FALSE()),""))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IF(DATOS!$A10703="",0,IF(CONFIG_METADATA!$B$4&lt;&gt;"OR+EX",--(DATOS!$G10703=CONFIG_METADATA!$B$4),IF(DATOS!$G10703="EX",1,IF(DATOS!$G10703="OR",--(COUNTIFS(nNIA,DATOS!$A10703,nCURSO,DATOS!$D10703,nESPEC,DATOS!$E10703,nASIG,DATOS!$I10703,nEVAL,"EX")=0),0))))</f>
      </c>
      <c r="H10703">
        <f>IF(DATOS!$G10703&lt;&gt;"EX",0,--(COUNTIFS(nNIA,DATOS!$A10703,nCURSO,DATOS!$D10703,nESPEC,DATOS!$E10703,nASIG,DATOS!$I10703,nEVAL,"OR")=0))</f>
      </c>
      <c r="I10703">
        <f>IF(DATOS!$I10703="","",IFERROR(VLOOKUP(DATOS!$I10703,CONFIG_ASIGNATURAS!$B$2:$J$91,9,FALSE()),""))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IF(DATOS!$A10704="",0,IF(CONFIG_METADATA!$B$4&lt;&gt;"OR+EX",--(DATOS!$G10704=CONFIG_METADATA!$B$4),IF(DATOS!$G10704="EX",1,IF(DATOS!$G10704="OR",--(COUNTIFS(nNIA,DATOS!$A10704,nCURSO,DATOS!$D10704,nESPEC,DATOS!$E10704,nASIG,DATOS!$I10704,nEVAL,"EX")=0),0))))</f>
      </c>
      <c r="H10704">
        <f>IF(DATOS!$G10704&lt;&gt;"EX",0,--(COUNTIFS(nNIA,DATOS!$A10704,nCURSO,DATOS!$D10704,nESPEC,DATOS!$E10704,nASIG,DATOS!$I10704,nEVAL,"OR")=0))</f>
      </c>
      <c r="I10704">
        <f>IF(DATOS!$I10704="","",IFERROR(VLOOKUP(DATOS!$I10704,CONFIG_ASIGNATURAS!$B$2:$J$91,9,FALSE()),""))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IF(DATOS!$A10705="",0,IF(CONFIG_METADATA!$B$4&lt;&gt;"OR+EX",--(DATOS!$G10705=CONFIG_METADATA!$B$4),IF(DATOS!$G10705="EX",1,IF(DATOS!$G10705="OR",--(COUNTIFS(nNIA,DATOS!$A10705,nCURSO,DATOS!$D10705,nESPEC,DATOS!$E10705,nASIG,DATOS!$I10705,nEVAL,"EX")=0),0))))</f>
      </c>
      <c r="H10705">
        <f>IF(DATOS!$G10705&lt;&gt;"EX",0,--(COUNTIFS(nNIA,DATOS!$A10705,nCURSO,DATOS!$D10705,nESPEC,DATOS!$E10705,nASIG,DATOS!$I10705,nEVAL,"OR")=0))</f>
      </c>
      <c r="I10705">
        <f>IF(DATOS!$I10705="","",IFERROR(VLOOKUP(DATOS!$I10705,CONFIG_ASIGNATURAS!$B$2:$J$91,9,FALSE()),""))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IF(DATOS!$A10706="",0,IF(CONFIG_METADATA!$B$4&lt;&gt;"OR+EX",--(DATOS!$G10706=CONFIG_METADATA!$B$4),IF(DATOS!$G10706="EX",1,IF(DATOS!$G10706="OR",--(COUNTIFS(nNIA,DATOS!$A10706,nCURSO,DATOS!$D10706,nESPEC,DATOS!$E10706,nASIG,DATOS!$I10706,nEVAL,"EX")=0),0))))</f>
      </c>
      <c r="H10706">
        <f>IF(DATOS!$G10706&lt;&gt;"EX",0,--(COUNTIFS(nNIA,DATOS!$A10706,nCURSO,DATOS!$D10706,nESPEC,DATOS!$E10706,nASIG,DATOS!$I10706,nEVAL,"OR")=0))</f>
      </c>
      <c r="I10706">
        <f>IF(DATOS!$I10706="","",IFERROR(VLOOKUP(DATOS!$I10706,CONFIG_ASIGNATURAS!$B$2:$J$91,9,FALSE()),""))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IF(DATOS!$A10707="",0,IF(CONFIG_METADATA!$B$4&lt;&gt;"OR+EX",--(DATOS!$G10707=CONFIG_METADATA!$B$4),IF(DATOS!$G10707="EX",1,IF(DATOS!$G10707="OR",--(COUNTIFS(nNIA,DATOS!$A10707,nCURSO,DATOS!$D10707,nESPEC,DATOS!$E10707,nASIG,DATOS!$I10707,nEVAL,"EX")=0),0))))</f>
      </c>
      <c r="H10707">
        <f>IF(DATOS!$G10707&lt;&gt;"EX",0,--(COUNTIFS(nNIA,DATOS!$A10707,nCURSO,DATOS!$D10707,nESPEC,DATOS!$E10707,nASIG,DATOS!$I10707,nEVAL,"OR")=0))</f>
      </c>
      <c r="I10707">
        <f>IF(DATOS!$I10707="","",IFERROR(VLOOKUP(DATOS!$I10707,CONFIG_ASIGNATURAS!$B$2:$J$91,9,FALSE()),""))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IF(DATOS!$A10708="",0,IF(CONFIG_METADATA!$B$4&lt;&gt;"OR+EX",--(DATOS!$G10708=CONFIG_METADATA!$B$4),IF(DATOS!$G10708="EX",1,IF(DATOS!$G10708="OR",--(COUNTIFS(nNIA,DATOS!$A10708,nCURSO,DATOS!$D10708,nESPEC,DATOS!$E10708,nASIG,DATOS!$I10708,nEVAL,"EX")=0),0))))</f>
      </c>
      <c r="H10708">
        <f>IF(DATOS!$G10708&lt;&gt;"EX",0,--(COUNTIFS(nNIA,DATOS!$A10708,nCURSO,DATOS!$D10708,nESPEC,DATOS!$E10708,nASIG,DATOS!$I10708,nEVAL,"OR")=0))</f>
      </c>
      <c r="I10708">
        <f>IF(DATOS!$I10708="","",IFERROR(VLOOKUP(DATOS!$I10708,CONFIG_ASIGNATURAS!$B$2:$J$91,9,FALSE()),""))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IF(DATOS!$A10709="",0,IF(CONFIG_METADATA!$B$4&lt;&gt;"OR+EX",--(DATOS!$G10709=CONFIG_METADATA!$B$4),IF(DATOS!$G10709="EX",1,IF(DATOS!$G10709="OR",--(COUNTIFS(nNIA,DATOS!$A10709,nCURSO,DATOS!$D10709,nESPEC,DATOS!$E10709,nASIG,DATOS!$I10709,nEVAL,"EX")=0),0))))</f>
      </c>
      <c r="H10709">
        <f>IF(DATOS!$G10709&lt;&gt;"EX",0,--(COUNTIFS(nNIA,DATOS!$A10709,nCURSO,DATOS!$D10709,nESPEC,DATOS!$E10709,nASIG,DATOS!$I10709,nEVAL,"OR")=0))</f>
      </c>
      <c r="I10709">
        <f>IF(DATOS!$I10709="","",IFERROR(VLOOKUP(DATOS!$I10709,CONFIG_ASIGNATURAS!$B$2:$J$91,9,FALSE()),""))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IF(DATOS!$A10710="",0,IF(CONFIG_METADATA!$B$4&lt;&gt;"OR+EX",--(DATOS!$G10710=CONFIG_METADATA!$B$4),IF(DATOS!$G10710="EX",1,IF(DATOS!$G10710="OR",--(COUNTIFS(nNIA,DATOS!$A10710,nCURSO,DATOS!$D10710,nESPEC,DATOS!$E10710,nASIG,DATOS!$I10710,nEVAL,"EX")=0),0))))</f>
      </c>
      <c r="H10710">
        <f>IF(DATOS!$G10710&lt;&gt;"EX",0,--(COUNTIFS(nNIA,DATOS!$A10710,nCURSO,DATOS!$D10710,nESPEC,DATOS!$E10710,nASIG,DATOS!$I10710,nEVAL,"OR")=0))</f>
      </c>
      <c r="I10710">
        <f>IF(DATOS!$I10710="","",IFERROR(VLOOKUP(DATOS!$I10710,CONFIG_ASIGNATURAS!$B$2:$J$91,9,FALSE()),""))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IF(DATOS!$A10711="",0,IF(CONFIG_METADATA!$B$4&lt;&gt;"OR+EX",--(DATOS!$G10711=CONFIG_METADATA!$B$4),IF(DATOS!$G10711="EX",1,IF(DATOS!$G10711="OR",--(COUNTIFS(nNIA,DATOS!$A10711,nCURSO,DATOS!$D10711,nESPEC,DATOS!$E10711,nASIG,DATOS!$I10711,nEVAL,"EX")=0),0))))</f>
      </c>
      <c r="H10711">
        <f>IF(DATOS!$G10711&lt;&gt;"EX",0,--(COUNTIFS(nNIA,DATOS!$A10711,nCURSO,DATOS!$D10711,nESPEC,DATOS!$E10711,nASIG,DATOS!$I10711,nEVAL,"OR")=0))</f>
      </c>
      <c r="I10711">
        <f>IF(DATOS!$I10711="","",IFERROR(VLOOKUP(DATOS!$I10711,CONFIG_ASIGNATURAS!$B$2:$J$91,9,FALSE()),""))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IF(DATOS!$A10712="",0,IF(CONFIG_METADATA!$B$4&lt;&gt;"OR+EX",--(DATOS!$G10712=CONFIG_METADATA!$B$4),IF(DATOS!$G10712="EX",1,IF(DATOS!$G10712="OR",--(COUNTIFS(nNIA,DATOS!$A10712,nCURSO,DATOS!$D10712,nESPEC,DATOS!$E10712,nASIG,DATOS!$I10712,nEVAL,"EX")=0),0))))</f>
      </c>
      <c r="H10712">
        <f>IF(DATOS!$G10712&lt;&gt;"EX",0,--(COUNTIFS(nNIA,DATOS!$A10712,nCURSO,DATOS!$D10712,nESPEC,DATOS!$E10712,nASIG,DATOS!$I10712,nEVAL,"OR")=0))</f>
      </c>
      <c r="I10712">
        <f>IF(DATOS!$I10712="","",IFERROR(VLOOKUP(DATOS!$I10712,CONFIG_ASIGNATURAS!$B$2:$J$91,9,FALSE()),""))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IF(DATOS!$A10713="",0,IF(CONFIG_METADATA!$B$4&lt;&gt;"OR+EX",--(DATOS!$G10713=CONFIG_METADATA!$B$4),IF(DATOS!$G10713="EX",1,IF(DATOS!$G10713="OR",--(COUNTIFS(nNIA,DATOS!$A10713,nCURSO,DATOS!$D10713,nESPEC,DATOS!$E10713,nASIG,DATOS!$I10713,nEVAL,"EX")=0),0))))</f>
      </c>
      <c r="H10713">
        <f>IF(DATOS!$G10713&lt;&gt;"EX",0,--(COUNTIFS(nNIA,DATOS!$A10713,nCURSO,DATOS!$D10713,nESPEC,DATOS!$E10713,nASIG,DATOS!$I10713,nEVAL,"OR")=0))</f>
      </c>
      <c r="I10713">
        <f>IF(DATOS!$I10713="","",IFERROR(VLOOKUP(DATOS!$I10713,CONFIG_ASIGNATURAS!$B$2:$J$91,9,FALSE()),""))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IF(DATOS!$A10714="",0,IF(CONFIG_METADATA!$B$4&lt;&gt;"OR+EX",--(DATOS!$G10714=CONFIG_METADATA!$B$4),IF(DATOS!$G10714="EX",1,IF(DATOS!$G10714="OR",--(COUNTIFS(nNIA,DATOS!$A10714,nCURSO,DATOS!$D10714,nESPEC,DATOS!$E10714,nASIG,DATOS!$I10714,nEVAL,"EX")=0),0))))</f>
      </c>
      <c r="H10714">
        <f>IF(DATOS!$G10714&lt;&gt;"EX",0,--(COUNTIFS(nNIA,DATOS!$A10714,nCURSO,DATOS!$D10714,nESPEC,DATOS!$E10714,nASIG,DATOS!$I10714,nEVAL,"OR")=0))</f>
      </c>
      <c r="I10714">
        <f>IF(DATOS!$I10714="","",IFERROR(VLOOKUP(DATOS!$I10714,CONFIG_ASIGNATURAS!$B$2:$J$91,9,FALSE()),""))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IF(DATOS!$A10715="",0,IF(CONFIG_METADATA!$B$4&lt;&gt;"OR+EX",--(DATOS!$G10715=CONFIG_METADATA!$B$4),IF(DATOS!$G10715="EX",1,IF(DATOS!$G10715="OR",--(COUNTIFS(nNIA,DATOS!$A10715,nCURSO,DATOS!$D10715,nESPEC,DATOS!$E10715,nASIG,DATOS!$I10715,nEVAL,"EX")=0),0))))</f>
      </c>
      <c r="H10715">
        <f>IF(DATOS!$G10715&lt;&gt;"EX",0,--(COUNTIFS(nNIA,DATOS!$A10715,nCURSO,DATOS!$D10715,nESPEC,DATOS!$E10715,nASIG,DATOS!$I10715,nEVAL,"OR")=0))</f>
      </c>
      <c r="I10715">
        <f>IF(DATOS!$I10715="","",IFERROR(VLOOKUP(DATOS!$I10715,CONFIG_ASIGNATURAS!$B$2:$J$91,9,FALSE()),""))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IF(DATOS!$A10716="",0,IF(CONFIG_METADATA!$B$4&lt;&gt;"OR+EX",--(DATOS!$G10716=CONFIG_METADATA!$B$4),IF(DATOS!$G10716="EX",1,IF(DATOS!$G10716="OR",--(COUNTIFS(nNIA,DATOS!$A10716,nCURSO,DATOS!$D10716,nESPEC,DATOS!$E10716,nASIG,DATOS!$I10716,nEVAL,"EX")=0),0))))</f>
      </c>
      <c r="H10716">
        <f>IF(DATOS!$G10716&lt;&gt;"EX",0,--(COUNTIFS(nNIA,DATOS!$A10716,nCURSO,DATOS!$D10716,nESPEC,DATOS!$E10716,nASIG,DATOS!$I10716,nEVAL,"OR")=0))</f>
      </c>
      <c r="I10716">
        <f>IF(DATOS!$I10716="","",IFERROR(VLOOKUP(DATOS!$I10716,CONFIG_ASIGNATURAS!$B$2:$J$91,9,FALSE()),""))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IF(DATOS!$A10717="",0,IF(CONFIG_METADATA!$B$4&lt;&gt;"OR+EX",--(DATOS!$G10717=CONFIG_METADATA!$B$4),IF(DATOS!$G10717="EX",1,IF(DATOS!$G10717="OR",--(COUNTIFS(nNIA,DATOS!$A10717,nCURSO,DATOS!$D10717,nESPEC,DATOS!$E10717,nASIG,DATOS!$I10717,nEVAL,"EX")=0),0))))</f>
      </c>
      <c r="H10717">
        <f>IF(DATOS!$G10717&lt;&gt;"EX",0,--(COUNTIFS(nNIA,DATOS!$A10717,nCURSO,DATOS!$D10717,nESPEC,DATOS!$E10717,nASIG,DATOS!$I10717,nEVAL,"OR")=0))</f>
      </c>
      <c r="I10717">
        <f>IF(DATOS!$I10717="","",IFERROR(VLOOKUP(DATOS!$I10717,CONFIG_ASIGNATURAS!$B$2:$J$91,9,FALSE()),""))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IF(DATOS!$A10718="",0,IF(CONFIG_METADATA!$B$4&lt;&gt;"OR+EX",--(DATOS!$G10718=CONFIG_METADATA!$B$4),IF(DATOS!$G10718="EX",1,IF(DATOS!$G10718="OR",--(COUNTIFS(nNIA,DATOS!$A10718,nCURSO,DATOS!$D10718,nESPEC,DATOS!$E10718,nASIG,DATOS!$I10718,nEVAL,"EX")=0),0))))</f>
      </c>
      <c r="H10718">
        <f>IF(DATOS!$G10718&lt;&gt;"EX",0,--(COUNTIFS(nNIA,DATOS!$A10718,nCURSO,DATOS!$D10718,nESPEC,DATOS!$E10718,nASIG,DATOS!$I10718,nEVAL,"OR")=0))</f>
      </c>
      <c r="I10718">
        <f>IF(DATOS!$I10718="","",IFERROR(VLOOKUP(DATOS!$I10718,CONFIG_ASIGNATURAS!$B$2:$J$91,9,FALSE()),""))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IF(DATOS!$A10719="",0,IF(CONFIG_METADATA!$B$4&lt;&gt;"OR+EX",--(DATOS!$G10719=CONFIG_METADATA!$B$4),IF(DATOS!$G10719="EX",1,IF(DATOS!$G10719="OR",--(COUNTIFS(nNIA,DATOS!$A10719,nCURSO,DATOS!$D10719,nESPEC,DATOS!$E10719,nASIG,DATOS!$I10719,nEVAL,"EX")=0),0))))</f>
      </c>
      <c r="H10719">
        <f>IF(DATOS!$G10719&lt;&gt;"EX",0,--(COUNTIFS(nNIA,DATOS!$A10719,nCURSO,DATOS!$D10719,nESPEC,DATOS!$E10719,nASIG,DATOS!$I10719,nEVAL,"OR")=0))</f>
      </c>
      <c r="I10719">
        <f>IF(DATOS!$I10719="","",IFERROR(VLOOKUP(DATOS!$I10719,CONFIG_ASIGNATURAS!$B$2:$J$91,9,FALSE()),""))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IF(DATOS!$A10720="",0,IF(CONFIG_METADATA!$B$4&lt;&gt;"OR+EX",--(DATOS!$G10720=CONFIG_METADATA!$B$4),IF(DATOS!$G10720="EX",1,IF(DATOS!$G10720="OR",--(COUNTIFS(nNIA,DATOS!$A10720,nCURSO,DATOS!$D10720,nESPEC,DATOS!$E10720,nASIG,DATOS!$I10720,nEVAL,"EX")=0),0))))</f>
      </c>
      <c r="H10720">
        <f>IF(DATOS!$G10720&lt;&gt;"EX",0,--(COUNTIFS(nNIA,DATOS!$A10720,nCURSO,DATOS!$D10720,nESPEC,DATOS!$E10720,nASIG,DATOS!$I10720,nEVAL,"OR")=0))</f>
      </c>
      <c r="I10720">
        <f>IF(DATOS!$I10720="","",IFERROR(VLOOKUP(DATOS!$I10720,CONFIG_ASIGNATURAS!$B$2:$J$91,9,FALSE()),""))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IF(DATOS!$A10721="",0,IF(CONFIG_METADATA!$B$4&lt;&gt;"OR+EX",--(DATOS!$G10721=CONFIG_METADATA!$B$4),IF(DATOS!$G10721="EX",1,IF(DATOS!$G10721="OR",--(COUNTIFS(nNIA,DATOS!$A10721,nCURSO,DATOS!$D10721,nESPEC,DATOS!$E10721,nASIG,DATOS!$I10721,nEVAL,"EX")=0),0))))</f>
      </c>
      <c r="H10721">
        <f>IF(DATOS!$G10721&lt;&gt;"EX",0,--(COUNTIFS(nNIA,DATOS!$A10721,nCURSO,DATOS!$D10721,nESPEC,DATOS!$E10721,nASIG,DATOS!$I10721,nEVAL,"OR")=0))</f>
      </c>
      <c r="I10721">
        <f>IF(DATOS!$I10721="","",IFERROR(VLOOKUP(DATOS!$I10721,CONFIG_ASIGNATURAS!$B$2:$J$91,9,FALSE()),""))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IF(DATOS!$A10722="",0,IF(CONFIG_METADATA!$B$4&lt;&gt;"OR+EX",--(DATOS!$G10722=CONFIG_METADATA!$B$4),IF(DATOS!$G10722="EX",1,IF(DATOS!$G10722="OR",--(COUNTIFS(nNIA,DATOS!$A10722,nCURSO,DATOS!$D10722,nESPEC,DATOS!$E10722,nASIG,DATOS!$I10722,nEVAL,"EX")=0),0))))</f>
      </c>
      <c r="H10722">
        <f>IF(DATOS!$G10722&lt;&gt;"EX",0,--(COUNTIFS(nNIA,DATOS!$A10722,nCURSO,DATOS!$D10722,nESPEC,DATOS!$E10722,nASIG,DATOS!$I10722,nEVAL,"OR")=0))</f>
      </c>
      <c r="I10722">
        <f>IF(DATOS!$I10722="","",IFERROR(VLOOKUP(DATOS!$I10722,CONFIG_ASIGNATURAS!$B$2:$J$91,9,FALSE()),""))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IF(DATOS!$A10723="",0,IF(CONFIG_METADATA!$B$4&lt;&gt;"OR+EX",--(DATOS!$G10723=CONFIG_METADATA!$B$4),IF(DATOS!$G10723="EX",1,IF(DATOS!$G10723="OR",--(COUNTIFS(nNIA,DATOS!$A10723,nCURSO,DATOS!$D10723,nESPEC,DATOS!$E10723,nASIG,DATOS!$I10723,nEVAL,"EX")=0),0))))</f>
      </c>
      <c r="H10723">
        <f>IF(DATOS!$G10723&lt;&gt;"EX",0,--(COUNTIFS(nNIA,DATOS!$A10723,nCURSO,DATOS!$D10723,nESPEC,DATOS!$E10723,nASIG,DATOS!$I10723,nEVAL,"OR")=0))</f>
      </c>
      <c r="I10723">
        <f>IF(DATOS!$I10723="","",IFERROR(VLOOKUP(DATOS!$I10723,CONFIG_ASIGNATURAS!$B$2:$J$91,9,FALSE()),""))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IF(DATOS!$A10724="",0,IF(CONFIG_METADATA!$B$4&lt;&gt;"OR+EX",--(DATOS!$G10724=CONFIG_METADATA!$B$4),IF(DATOS!$G10724="EX",1,IF(DATOS!$G10724="OR",--(COUNTIFS(nNIA,DATOS!$A10724,nCURSO,DATOS!$D10724,nESPEC,DATOS!$E10724,nASIG,DATOS!$I10724,nEVAL,"EX")=0),0))))</f>
      </c>
      <c r="H10724">
        <f>IF(DATOS!$G10724&lt;&gt;"EX",0,--(COUNTIFS(nNIA,DATOS!$A10724,nCURSO,DATOS!$D10724,nESPEC,DATOS!$E10724,nASIG,DATOS!$I10724,nEVAL,"OR")=0))</f>
      </c>
      <c r="I10724">
        <f>IF(DATOS!$I10724="","",IFERROR(VLOOKUP(DATOS!$I10724,CONFIG_ASIGNATURAS!$B$2:$J$91,9,FALSE()),""))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IF(DATOS!$A10725="",0,IF(CONFIG_METADATA!$B$4&lt;&gt;"OR+EX",--(DATOS!$G10725=CONFIG_METADATA!$B$4),IF(DATOS!$G10725="EX",1,IF(DATOS!$G10725="OR",--(COUNTIFS(nNIA,DATOS!$A10725,nCURSO,DATOS!$D10725,nESPEC,DATOS!$E10725,nASIG,DATOS!$I10725,nEVAL,"EX")=0),0))))</f>
      </c>
      <c r="H10725">
        <f>IF(DATOS!$G10725&lt;&gt;"EX",0,--(COUNTIFS(nNIA,DATOS!$A10725,nCURSO,DATOS!$D10725,nESPEC,DATOS!$E10725,nASIG,DATOS!$I10725,nEVAL,"OR")=0))</f>
      </c>
      <c r="I10725">
        <f>IF(DATOS!$I10725="","",IFERROR(VLOOKUP(DATOS!$I10725,CONFIG_ASIGNATURAS!$B$2:$J$91,9,FALSE()),""))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IF(DATOS!$A10726="",0,IF(CONFIG_METADATA!$B$4&lt;&gt;"OR+EX",--(DATOS!$G10726=CONFIG_METADATA!$B$4),IF(DATOS!$G10726="EX",1,IF(DATOS!$G10726="OR",--(COUNTIFS(nNIA,DATOS!$A10726,nCURSO,DATOS!$D10726,nESPEC,DATOS!$E10726,nASIG,DATOS!$I10726,nEVAL,"EX")=0),0))))</f>
      </c>
      <c r="H10726">
        <f>IF(DATOS!$G10726&lt;&gt;"EX",0,--(COUNTIFS(nNIA,DATOS!$A10726,nCURSO,DATOS!$D10726,nESPEC,DATOS!$E10726,nASIG,DATOS!$I10726,nEVAL,"OR")=0))</f>
      </c>
      <c r="I10726">
        <f>IF(DATOS!$I10726="","",IFERROR(VLOOKUP(DATOS!$I10726,CONFIG_ASIGNATURAS!$B$2:$J$91,9,FALSE()),""))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IF(DATOS!$A10727="",0,IF(CONFIG_METADATA!$B$4&lt;&gt;"OR+EX",--(DATOS!$G10727=CONFIG_METADATA!$B$4),IF(DATOS!$G10727="EX",1,IF(DATOS!$G10727="OR",--(COUNTIFS(nNIA,DATOS!$A10727,nCURSO,DATOS!$D10727,nESPEC,DATOS!$E10727,nASIG,DATOS!$I10727,nEVAL,"EX")=0),0))))</f>
      </c>
      <c r="H10727">
        <f>IF(DATOS!$G10727&lt;&gt;"EX",0,--(COUNTIFS(nNIA,DATOS!$A10727,nCURSO,DATOS!$D10727,nESPEC,DATOS!$E10727,nASIG,DATOS!$I10727,nEVAL,"OR")=0))</f>
      </c>
      <c r="I10727">
        <f>IF(DATOS!$I10727="","",IFERROR(VLOOKUP(DATOS!$I10727,CONFIG_ASIGNATURAS!$B$2:$J$91,9,FALSE()),""))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IF(DATOS!$A10728="",0,IF(CONFIG_METADATA!$B$4&lt;&gt;"OR+EX",--(DATOS!$G10728=CONFIG_METADATA!$B$4),IF(DATOS!$G10728="EX",1,IF(DATOS!$G10728="OR",--(COUNTIFS(nNIA,DATOS!$A10728,nCURSO,DATOS!$D10728,nESPEC,DATOS!$E10728,nASIG,DATOS!$I10728,nEVAL,"EX")=0),0))))</f>
      </c>
      <c r="H10728">
        <f>IF(DATOS!$G10728&lt;&gt;"EX",0,--(COUNTIFS(nNIA,DATOS!$A10728,nCURSO,DATOS!$D10728,nESPEC,DATOS!$E10728,nASIG,DATOS!$I10728,nEVAL,"OR")=0))</f>
      </c>
      <c r="I10728">
        <f>IF(DATOS!$I10728="","",IFERROR(VLOOKUP(DATOS!$I10728,CONFIG_ASIGNATURAS!$B$2:$J$91,9,FALSE()),""))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IF(DATOS!$A10729="",0,IF(CONFIG_METADATA!$B$4&lt;&gt;"OR+EX",--(DATOS!$G10729=CONFIG_METADATA!$B$4),IF(DATOS!$G10729="EX",1,IF(DATOS!$G10729="OR",--(COUNTIFS(nNIA,DATOS!$A10729,nCURSO,DATOS!$D10729,nESPEC,DATOS!$E10729,nASIG,DATOS!$I10729,nEVAL,"EX")=0),0))))</f>
      </c>
      <c r="H10729">
        <f>IF(DATOS!$G10729&lt;&gt;"EX",0,--(COUNTIFS(nNIA,DATOS!$A10729,nCURSO,DATOS!$D10729,nESPEC,DATOS!$E10729,nASIG,DATOS!$I10729,nEVAL,"OR")=0))</f>
      </c>
      <c r="I10729">
        <f>IF(DATOS!$I10729="","",IFERROR(VLOOKUP(DATOS!$I10729,CONFIG_ASIGNATURAS!$B$2:$J$91,9,FALSE()),""))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IF(DATOS!$A10730="",0,IF(CONFIG_METADATA!$B$4&lt;&gt;"OR+EX",--(DATOS!$G10730=CONFIG_METADATA!$B$4),IF(DATOS!$G10730="EX",1,IF(DATOS!$G10730="OR",--(COUNTIFS(nNIA,DATOS!$A10730,nCURSO,DATOS!$D10730,nESPEC,DATOS!$E10730,nASIG,DATOS!$I10730,nEVAL,"EX")=0),0))))</f>
      </c>
      <c r="H10730">
        <f>IF(DATOS!$G10730&lt;&gt;"EX",0,--(COUNTIFS(nNIA,DATOS!$A10730,nCURSO,DATOS!$D10730,nESPEC,DATOS!$E10730,nASIG,DATOS!$I10730,nEVAL,"OR")=0))</f>
      </c>
      <c r="I10730">
        <f>IF(DATOS!$I10730="","",IFERROR(VLOOKUP(DATOS!$I10730,CONFIG_ASIGNATURAS!$B$2:$J$91,9,FALSE()),""))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IF(DATOS!$A10731="",0,IF(CONFIG_METADATA!$B$4&lt;&gt;"OR+EX",--(DATOS!$G10731=CONFIG_METADATA!$B$4),IF(DATOS!$G10731="EX",1,IF(DATOS!$G10731="OR",--(COUNTIFS(nNIA,DATOS!$A10731,nCURSO,DATOS!$D10731,nESPEC,DATOS!$E10731,nASIG,DATOS!$I10731,nEVAL,"EX")=0),0))))</f>
      </c>
      <c r="H10731">
        <f>IF(DATOS!$G10731&lt;&gt;"EX",0,--(COUNTIFS(nNIA,DATOS!$A10731,nCURSO,DATOS!$D10731,nESPEC,DATOS!$E10731,nASIG,DATOS!$I10731,nEVAL,"OR")=0))</f>
      </c>
      <c r="I10731">
        <f>IF(DATOS!$I10731="","",IFERROR(VLOOKUP(DATOS!$I10731,CONFIG_ASIGNATURAS!$B$2:$J$91,9,FALSE()),""))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IF(DATOS!$A10732="",0,IF(CONFIG_METADATA!$B$4&lt;&gt;"OR+EX",--(DATOS!$G10732=CONFIG_METADATA!$B$4),IF(DATOS!$G10732="EX",1,IF(DATOS!$G10732="OR",--(COUNTIFS(nNIA,DATOS!$A10732,nCURSO,DATOS!$D10732,nESPEC,DATOS!$E10732,nASIG,DATOS!$I10732,nEVAL,"EX")=0),0))))</f>
      </c>
      <c r="H10732">
        <f>IF(DATOS!$G10732&lt;&gt;"EX",0,--(COUNTIFS(nNIA,DATOS!$A10732,nCURSO,DATOS!$D10732,nESPEC,DATOS!$E10732,nASIG,DATOS!$I10732,nEVAL,"OR")=0))</f>
      </c>
      <c r="I10732">
        <f>IF(DATOS!$I10732="","",IFERROR(VLOOKUP(DATOS!$I10732,CONFIG_ASIGNATURAS!$B$2:$J$91,9,FALSE()),""))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IF(DATOS!$A10733="",0,IF(CONFIG_METADATA!$B$4&lt;&gt;"OR+EX",--(DATOS!$G10733=CONFIG_METADATA!$B$4),IF(DATOS!$G10733="EX",1,IF(DATOS!$G10733="OR",--(COUNTIFS(nNIA,DATOS!$A10733,nCURSO,DATOS!$D10733,nESPEC,DATOS!$E10733,nASIG,DATOS!$I10733,nEVAL,"EX")=0),0))))</f>
      </c>
      <c r="H10733">
        <f>IF(DATOS!$G10733&lt;&gt;"EX",0,--(COUNTIFS(nNIA,DATOS!$A10733,nCURSO,DATOS!$D10733,nESPEC,DATOS!$E10733,nASIG,DATOS!$I10733,nEVAL,"OR")=0))</f>
      </c>
      <c r="I10733">
        <f>IF(DATOS!$I10733="","",IFERROR(VLOOKUP(DATOS!$I10733,CONFIG_ASIGNATURAS!$B$2:$J$91,9,FALSE()),""))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IF(DATOS!$A10734="",0,IF(CONFIG_METADATA!$B$4&lt;&gt;"OR+EX",--(DATOS!$G10734=CONFIG_METADATA!$B$4),IF(DATOS!$G10734="EX",1,IF(DATOS!$G10734="OR",--(COUNTIFS(nNIA,DATOS!$A10734,nCURSO,DATOS!$D10734,nESPEC,DATOS!$E10734,nASIG,DATOS!$I10734,nEVAL,"EX")=0),0))))</f>
      </c>
      <c r="H10734">
        <f>IF(DATOS!$G10734&lt;&gt;"EX",0,--(COUNTIFS(nNIA,DATOS!$A10734,nCURSO,DATOS!$D10734,nESPEC,DATOS!$E10734,nASIG,DATOS!$I10734,nEVAL,"OR")=0))</f>
      </c>
      <c r="I10734">
        <f>IF(DATOS!$I10734="","",IFERROR(VLOOKUP(DATOS!$I10734,CONFIG_ASIGNATURAS!$B$2:$J$91,9,FALSE()),""))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IF(DATOS!$A10735="",0,IF(CONFIG_METADATA!$B$4&lt;&gt;"OR+EX",--(DATOS!$G10735=CONFIG_METADATA!$B$4),IF(DATOS!$G10735="EX",1,IF(DATOS!$G10735="OR",--(COUNTIFS(nNIA,DATOS!$A10735,nCURSO,DATOS!$D10735,nESPEC,DATOS!$E10735,nASIG,DATOS!$I10735,nEVAL,"EX")=0),0))))</f>
      </c>
      <c r="H10735">
        <f>IF(DATOS!$G10735&lt;&gt;"EX",0,--(COUNTIFS(nNIA,DATOS!$A10735,nCURSO,DATOS!$D10735,nESPEC,DATOS!$E10735,nASIG,DATOS!$I10735,nEVAL,"OR")=0))</f>
      </c>
      <c r="I10735">
        <f>IF(DATOS!$I10735="","",IFERROR(VLOOKUP(DATOS!$I10735,CONFIG_ASIGNATURAS!$B$2:$J$91,9,FALSE()),""))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IF(DATOS!$A10736="",0,IF(CONFIG_METADATA!$B$4&lt;&gt;"OR+EX",--(DATOS!$G10736=CONFIG_METADATA!$B$4),IF(DATOS!$G10736="EX",1,IF(DATOS!$G10736="OR",--(COUNTIFS(nNIA,DATOS!$A10736,nCURSO,DATOS!$D10736,nESPEC,DATOS!$E10736,nASIG,DATOS!$I10736,nEVAL,"EX")=0),0))))</f>
      </c>
      <c r="H10736">
        <f>IF(DATOS!$G10736&lt;&gt;"EX",0,--(COUNTIFS(nNIA,DATOS!$A10736,nCURSO,DATOS!$D10736,nESPEC,DATOS!$E10736,nASIG,DATOS!$I10736,nEVAL,"OR")=0))</f>
      </c>
      <c r="I10736">
        <f>IF(DATOS!$I10736="","",IFERROR(VLOOKUP(DATOS!$I10736,CONFIG_ASIGNATURAS!$B$2:$J$91,9,FALSE()),""))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IF(DATOS!$A10737="",0,IF(CONFIG_METADATA!$B$4&lt;&gt;"OR+EX",--(DATOS!$G10737=CONFIG_METADATA!$B$4),IF(DATOS!$G10737="EX",1,IF(DATOS!$G10737="OR",--(COUNTIFS(nNIA,DATOS!$A10737,nCURSO,DATOS!$D10737,nESPEC,DATOS!$E10737,nASIG,DATOS!$I10737,nEVAL,"EX")=0),0))))</f>
      </c>
      <c r="H10737">
        <f>IF(DATOS!$G10737&lt;&gt;"EX",0,--(COUNTIFS(nNIA,DATOS!$A10737,nCURSO,DATOS!$D10737,nESPEC,DATOS!$E10737,nASIG,DATOS!$I10737,nEVAL,"OR")=0))</f>
      </c>
      <c r="I10737">
        <f>IF(DATOS!$I10737="","",IFERROR(VLOOKUP(DATOS!$I10737,CONFIG_ASIGNATURAS!$B$2:$J$91,9,FALSE()),""))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IF(DATOS!$A10738="",0,IF(CONFIG_METADATA!$B$4&lt;&gt;"OR+EX",--(DATOS!$G10738=CONFIG_METADATA!$B$4),IF(DATOS!$G10738="EX",1,IF(DATOS!$G10738="OR",--(COUNTIFS(nNIA,DATOS!$A10738,nCURSO,DATOS!$D10738,nESPEC,DATOS!$E10738,nASIG,DATOS!$I10738,nEVAL,"EX")=0),0))))</f>
      </c>
      <c r="H10738">
        <f>IF(DATOS!$G10738&lt;&gt;"EX",0,--(COUNTIFS(nNIA,DATOS!$A10738,nCURSO,DATOS!$D10738,nESPEC,DATOS!$E10738,nASIG,DATOS!$I10738,nEVAL,"OR")=0))</f>
      </c>
      <c r="I10738">
        <f>IF(DATOS!$I10738="","",IFERROR(VLOOKUP(DATOS!$I10738,CONFIG_ASIGNATURAS!$B$2:$J$91,9,FALSE()),""))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IF(DATOS!$A10739="",0,IF(CONFIG_METADATA!$B$4&lt;&gt;"OR+EX",--(DATOS!$G10739=CONFIG_METADATA!$B$4),IF(DATOS!$G10739="EX",1,IF(DATOS!$G10739="OR",--(COUNTIFS(nNIA,DATOS!$A10739,nCURSO,DATOS!$D10739,nESPEC,DATOS!$E10739,nASIG,DATOS!$I10739,nEVAL,"EX")=0),0))))</f>
      </c>
      <c r="H10739">
        <f>IF(DATOS!$G10739&lt;&gt;"EX",0,--(COUNTIFS(nNIA,DATOS!$A10739,nCURSO,DATOS!$D10739,nESPEC,DATOS!$E10739,nASIG,DATOS!$I10739,nEVAL,"OR")=0))</f>
      </c>
      <c r="I10739">
        <f>IF(DATOS!$I10739="","",IFERROR(VLOOKUP(DATOS!$I10739,CONFIG_ASIGNATURAS!$B$2:$J$91,9,FALSE()),""))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IF(DATOS!$A10740="",0,IF(CONFIG_METADATA!$B$4&lt;&gt;"OR+EX",--(DATOS!$G10740=CONFIG_METADATA!$B$4),IF(DATOS!$G10740="EX",1,IF(DATOS!$G10740="OR",--(COUNTIFS(nNIA,DATOS!$A10740,nCURSO,DATOS!$D10740,nESPEC,DATOS!$E10740,nASIG,DATOS!$I10740,nEVAL,"EX")=0),0))))</f>
      </c>
      <c r="H10740">
        <f>IF(DATOS!$G10740&lt;&gt;"EX",0,--(COUNTIFS(nNIA,DATOS!$A10740,nCURSO,DATOS!$D10740,nESPEC,DATOS!$E10740,nASIG,DATOS!$I10740,nEVAL,"OR")=0))</f>
      </c>
      <c r="I10740">
        <f>IF(DATOS!$I10740="","",IFERROR(VLOOKUP(DATOS!$I10740,CONFIG_ASIGNATURAS!$B$2:$J$91,9,FALSE()),""))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IF(DATOS!$A10741="",0,IF(CONFIG_METADATA!$B$4&lt;&gt;"OR+EX",--(DATOS!$G10741=CONFIG_METADATA!$B$4),IF(DATOS!$G10741="EX",1,IF(DATOS!$G10741="OR",--(COUNTIFS(nNIA,DATOS!$A10741,nCURSO,DATOS!$D10741,nESPEC,DATOS!$E10741,nASIG,DATOS!$I10741,nEVAL,"EX")=0),0))))</f>
      </c>
      <c r="H10741">
        <f>IF(DATOS!$G10741&lt;&gt;"EX",0,--(COUNTIFS(nNIA,DATOS!$A10741,nCURSO,DATOS!$D10741,nESPEC,DATOS!$E10741,nASIG,DATOS!$I10741,nEVAL,"OR")=0))</f>
      </c>
      <c r="I10741">
        <f>IF(DATOS!$I10741="","",IFERROR(VLOOKUP(DATOS!$I10741,CONFIG_ASIGNATURAS!$B$2:$J$91,9,FALSE()),""))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IF(DATOS!$A10742="",0,IF(CONFIG_METADATA!$B$4&lt;&gt;"OR+EX",--(DATOS!$G10742=CONFIG_METADATA!$B$4),IF(DATOS!$G10742="EX",1,IF(DATOS!$G10742="OR",--(COUNTIFS(nNIA,DATOS!$A10742,nCURSO,DATOS!$D10742,nESPEC,DATOS!$E10742,nASIG,DATOS!$I10742,nEVAL,"EX")=0),0))))</f>
      </c>
      <c r="H10742">
        <f>IF(DATOS!$G10742&lt;&gt;"EX",0,--(COUNTIFS(nNIA,DATOS!$A10742,nCURSO,DATOS!$D10742,nESPEC,DATOS!$E10742,nASIG,DATOS!$I10742,nEVAL,"OR")=0))</f>
      </c>
      <c r="I10742">
        <f>IF(DATOS!$I10742="","",IFERROR(VLOOKUP(DATOS!$I10742,CONFIG_ASIGNATURAS!$B$2:$J$91,9,FALSE()),""))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IF(DATOS!$A10743="",0,IF(CONFIG_METADATA!$B$4&lt;&gt;"OR+EX",--(DATOS!$G10743=CONFIG_METADATA!$B$4),IF(DATOS!$G10743="EX",1,IF(DATOS!$G10743="OR",--(COUNTIFS(nNIA,DATOS!$A10743,nCURSO,DATOS!$D10743,nESPEC,DATOS!$E10743,nASIG,DATOS!$I10743,nEVAL,"EX")=0),0))))</f>
      </c>
      <c r="H10743">
        <f>IF(DATOS!$G10743&lt;&gt;"EX",0,--(COUNTIFS(nNIA,DATOS!$A10743,nCURSO,DATOS!$D10743,nESPEC,DATOS!$E10743,nASIG,DATOS!$I10743,nEVAL,"OR")=0))</f>
      </c>
      <c r="I10743">
        <f>IF(DATOS!$I10743="","",IFERROR(VLOOKUP(DATOS!$I10743,CONFIG_ASIGNATURAS!$B$2:$J$91,9,FALSE()),""))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IF(DATOS!$A10744="",0,IF(CONFIG_METADATA!$B$4&lt;&gt;"OR+EX",--(DATOS!$G10744=CONFIG_METADATA!$B$4),IF(DATOS!$G10744="EX",1,IF(DATOS!$G10744="OR",--(COUNTIFS(nNIA,DATOS!$A10744,nCURSO,DATOS!$D10744,nESPEC,DATOS!$E10744,nASIG,DATOS!$I10744,nEVAL,"EX")=0),0))))</f>
      </c>
      <c r="H10744">
        <f>IF(DATOS!$G10744&lt;&gt;"EX",0,--(COUNTIFS(nNIA,DATOS!$A10744,nCURSO,DATOS!$D10744,nESPEC,DATOS!$E10744,nASIG,DATOS!$I10744,nEVAL,"OR")=0))</f>
      </c>
      <c r="I10744">
        <f>IF(DATOS!$I10744="","",IFERROR(VLOOKUP(DATOS!$I10744,CONFIG_ASIGNATURAS!$B$2:$J$91,9,FALSE()),""))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IF(DATOS!$A10745="",0,IF(CONFIG_METADATA!$B$4&lt;&gt;"OR+EX",--(DATOS!$G10745=CONFIG_METADATA!$B$4),IF(DATOS!$G10745="EX",1,IF(DATOS!$G10745="OR",--(COUNTIFS(nNIA,DATOS!$A10745,nCURSO,DATOS!$D10745,nESPEC,DATOS!$E10745,nASIG,DATOS!$I10745,nEVAL,"EX")=0),0))))</f>
      </c>
      <c r="H10745">
        <f>IF(DATOS!$G10745&lt;&gt;"EX",0,--(COUNTIFS(nNIA,DATOS!$A10745,nCURSO,DATOS!$D10745,nESPEC,DATOS!$E10745,nASIG,DATOS!$I10745,nEVAL,"OR")=0))</f>
      </c>
      <c r="I10745">
        <f>IF(DATOS!$I10745="","",IFERROR(VLOOKUP(DATOS!$I10745,CONFIG_ASIGNATURAS!$B$2:$J$91,9,FALSE()),""))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IF(DATOS!$A10746="",0,IF(CONFIG_METADATA!$B$4&lt;&gt;"OR+EX",--(DATOS!$G10746=CONFIG_METADATA!$B$4),IF(DATOS!$G10746="EX",1,IF(DATOS!$G10746="OR",--(COUNTIFS(nNIA,DATOS!$A10746,nCURSO,DATOS!$D10746,nESPEC,DATOS!$E10746,nASIG,DATOS!$I10746,nEVAL,"EX")=0),0))))</f>
      </c>
      <c r="H10746">
        <f>IF(DATOS!$G10746&lt;&gt;"EX",0,--(COUNTIFS(nNIA,DATOS!$A10746,nCURSO,DATOS!$D10746,nESPEC,DATOS!$E10746,nASIG,DATOS!$I10746,nEVAL,"OR")=0))</f>
      </c>
      <c r="I10746">
        <f>IF(DATOS!$I10746="","",IFERROR(VLOOKUP(DATOS!$I10746,CONFIG_ASIGNATURAS!$B$2:$J$91,9,FALSE()),""))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IF(DATOS!$A10747="",0,IF(CONFIG_METADATA!$B$4&lt;&gt;"OR+EX",--(DATOS!$G10747=CONFIG_METADATA!$B$4),IF(DATOS!$G10747="EX",1,IF(DATOS!$G10747="OR",--(COUNTIFS(nNIA,DATOS!$A10747,nCURSO,DATOS!$D10747,nESPEC,DATOS!$E10747,nASIG,DATOS!$I10747,nEVAL,"EX")=0),0))))</f>
      </c>
      <c r="H10747">
        <f>IF(DATOS!$G10747&lt;&gt;"EX",0,--(COUNTIFS(nNIA,DATOS!$A10747,nCURSO,DATOS!$D10747,nESPEC,DATOS!$E10747,nASIG,DATOS!$I10747,nEVAL,"OR")=0))</f>
      </c>
      <c r="I10747">
        <f>IF(DATOS!$I10747="","",IFERROR(VLOOKUP(DATOS!$I10747,CONFIG_ASIGNATURAS!$B$2:$J$91,9,FALSE()),""))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IF(DATOS!$A10748="",0,IF(CONFIG_METADATA!$B$4&lt;&gt;"OR+EX",--(DATOS!$G10748=CONFIG_METADATA!$B$4),IF(DATOS!$G10748="EX",1,IF(DATOS!$G10748="OR",--(COUNTIFS(nNIA,DATOS!$A10748,nCURSO,DATOS!$D10748,nESPEC,DATOS!$E10748,nASIG,DATOS!$I10748,nEVAL,"EX")=0),0))))</f>
      </c>
      <c r="H10748">
        <f>IF(DATOS!$G10748&lt;&gt;"EX",0,--(COUNTIFS(nNIA,DATOS!$A10748,nCURSO,DATOS!$D10748,nESPEC,DATOS!$E10748,nASIG,DATOS!$I10748,nEVAL,"OR")=0))</f>
      </c>
      <c r="I10748">
        <f>IF(DATOS!$I10748="","",IFERROR(VLOOKUP(DATOS!$I10748,CONFIG_ASIGNATURAS!$B$2:$J$91,9,FALSE()),""))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IF(DATOS!$A10749="",0,IF(CONFIG_METADATA!$B$4&lt;&gt;"OR+EX",--(DATOS!$G10749=CONFIG_METADATA!$B$4),IF(DATOS!$G10749="EX",1,IF(DATOS!$G10749="OR",--(COUNTIFS(nNIA,DATOS!$A10749,nCURSO,DATOS!$D10749,nESPEC,DATOS!$E10749,nASIG,DATOS!$I10749,nEVAL,"EX")=0),0))))</f>
      </c>
      <c r="H10749">
        <f>IF(DATOS!$G10749&lt;&gt;"EX",0,--(COUNTIFS(nNIA,DATOS!$A10749,nCURSO,DATOS!$D10749,nESPEC,DATOS!$E10749,nASIG,DATOS!$I10749,nEVAL,"OR")=0))</f>
      </c>
      <c r="I10749">
        <f>IF(DATOS!$I10749="","",IFERROR(VLOOKUP(DATOS!$I10749,CONFIG_ASIGNATURAS!$B$2:$J$91,9,FALSE()),""))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IF(DATOS!$A10750="",0,IF(CONFIG_METADATA!$B$4&lt;&gt;"OR+EX",--(DATOS!$G10750=CONFIG_METADATA!$B$4),IF(DATOS!$G10750="EX",1,IF(DATOS!$G10750="OR",--(COUNTIFS(nNIA,DATOS!$A10750,nCURSO,DATOS!$D10750,nESPEC,DATOS!$E10750,nASIG,DATOS!$I10750,nEVAL,"EX")=0),0))))</f>
      </c>
      <c r="H10750">
        <f>IF(DATOS!$G10750&lt;&gt;"EX",0,--(COUNTIFS(nNIA,DATOS!$A10750,nCURSO,DATOS!$D10750,nESPEC,DATOS!$E10750,nASIG,DATOS!$I10750,nEVAL,"OR")=0))</f>
      </c>
      <c r="I10750">
        <f>IF(DATOS!$I10750="","",IFERROR(VLOOKUP(DATOS!$I10750,CONFIG_ASIGNATURAS!$B$2:$J$91,9,FALSE()),""))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IF(DATOS!$A10751="",0,IF(CONFIG_METADATA!$B$4&lt;&gt;"OR+EX",--(DATOS!$G10751=CONFIG_METADATA!$B$4),IF(DATOS!$G10751="EX",1,IF(DATOS!$G10751="OR",--(COUNTIFS(nNIA,DATOS!$A10751,nCURSO,DATOS!$D10751,nESPEC,DATOS!$E10751,nASIG,DATOS!$I10751,nEVAL,"EX")=0),0))))</f>
      </c>
      <c r="H10751">
        <f>IF(DATOS!$G10751&lt;&gt;"EX",0,--(COUNTIFS(nNIA,DATOS!$A10751,nCURSO,DATOS!$D10751,nESPEC,DATOS!$E10751,nASIG,DATOS!$I10751,nEVAL,"OR")=0))</f>
      </c>
      <c r="I10751">
        <f>IF(DATOS!$I10751="","",IFERROR(VLOOKUP(DATOS!$I10751,CONFIG_ASIGNATURAS!$B$2:$J$91,9,FALSE()),""))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IF(DATOS!$A10752="",0,IF(CONFIG_METADATA!$B$4&lt;&gt;"OR+EX",--(DATOS!$G10752=CONFIG_METADATA!$B$4),IF(DATOS!$G10752="EX",1,IF(DATOS!$G10752="OR",--(COUNTIFS(nNIA,DATOS!$A10752,nCURSO,DATOS!$D10752,nESPEC,DATOS!$E10752,nASIG,DATOS!$I10752,nEVAL,"EX")=0),0))))</f>
      </c>
      <c r="H10752">
        <f>IF(DATOS!$G10752&lt;&gt;"EX",0,--(COUNTIFS(nNIA,DATOS!$A10752,nCURSO,DATOS!$D10752,nESPEC,DATOS!$E10752,nASIG,DATOS!$I10752,nEVAL,"OR")=0))</f>
      </c>
      <c r="I10752">
        <f>IF(DATOS!$I10752="","",IFERROR(VLOOKUP(DATOS!$I10752,CONFIG_ASIGNATURAS!$B$2:$J$91,9,FALSE()),""))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IF(DATOS!$A10753="",0,IF(CONFIG_METADATA!$B$4&lt;&gt;"OR+EX",--(DATOS!$G10753=CONFIG_METADATA!$B$4),IF(DATOS!$G10753="EX",1,IF(DATOS!$G10753="OR",--(COUNTIFS(nNIA,DATOS!$A10753,nCURSO,DATOS!$D10753,nESPEC,DATOS!$E10753,nASIG,DATOS!$I10753,nEVAL,"EX")=0),0))))</f>
      </c>
      <c r="H10753">
        <f>IF(DATOS!$G10753&lt;&gt;"EX",0,--(COUNTIFS(nNIA,DATOS!$A10753,nCURSO,DATOS!$D10753,nESPEC,DATOS!$E10753,nASIG,DATOS!$I10753,nEVAL,"OR")=0))</f>
      </c>
      <c r="I10753">
        <f>IF(DATOS!$I10753="","",IFERROR(VLOOKUP(DATOS!$I10753,CONFIG_ASIGNATURAS!$B$2:$J$91,9,FALSE()),""))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IF(DATOS!$A10754="",0,IF(CONFIG_METADATA!$B$4&lt;&gt;"OR+EX",--(DATOS!$G10754=CONFIG_METADATA!$B$4),IF(DATOS!$G10754="EX",1,IF(DATOS!$G10754="OR",--(COUNTIFS(nNIA,DATOS!$A10754,nCURSO,DATOS!$D10754,nESPEC,DATOS!$E10754,nASIG,DATOS!$I10754,nEVAL,"EX")=0),0))))</f>
      </c>
      <c r="H10754">
        <f>IF(DATOS!$G10754&lt;&gt;"EX",0,--(COUNTIFS(nNIA,DATOS!$A10754,nCURSO,DATOS!$D10754,nESPEC,DATOS!$E10754,nASIG,DATOS!$I10754,nEVAL,"OR")=0))</f>
      </c>
      <c r="I10754">
        <f>IF(DATOS!$I10754="","",IFERROR(VLOOKUP(DATOS!$I10754,CONFIG_ASIGNATURAS!$B$2:$J$91,9,FALSE()),""))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IF(DATOS!$A10755="",0,IF(CONFIG_METADATA!$B$4&lt;&gt;"OR+EX",--(DATOS!$G10755=CONFIG_METADATA!$B$4),IF(DATOS!$G10755="EX",1,IF(DATOS!$G10755="OR",--(COUNTIFS(nNIA,DATOS!$A10755,nCURSO,DATOS!$D10755,nESPEC,DATOS!$E10755,nASIG,DATOS!$I10755,nEVAL,"EX")=0),0))))</f>
      </c>
      <c r="H10755">
        <f>IF(DATOS!$G10755&lt;&gt;"EX",0,--(COUNTIFS(nNIA,DATOS!$A10755,nCURSO,DATOS!$D10755,nESPEC,DATOS!$E10755,nASIG,DATOS!$I10755,nEVAL,"OR")=0))</f>
      </c>
      <c r="I10755">
        <f>IF(DATOS!$I10755="","",IFERROR(VLOOKUP(DATOS!$I10755,CONFIG_ASIGNATURAS!$B$2:$J$91,9,FALSE()),""))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IF(DATOS!$A10756="",0,IF(CONFIG_METADATA!$B$4&lt;&gt;"OR+EX",--(DATOS!$G10756=CONFIG_METADATA!$B$4),IF(DATOS!$G10756="EX",1,IF(DATOS!$G10756="OR",--(COUNTIFS(nNIA,DATOS!$A10756,nCURSO,DATOS!$D10756,nESPEC,DATOS!$E10756,nASIG,DATOS!$I10756,nEVAL,"EX")=0),0))))</f>
      </c>
      <c r="H10756">
        <f>IF(DATOS!$G10756&lt;&gt;"EX",0,--(COUNTIFS(nNIA,DATOS!$A10756,nCURSO,DATOS!$D10756,nESPEC,DATOS!$E10756,nASIG,DATOS!$I10756,nEVAL,"OR")=0))</f>
      </c>
      <c r="I10756">
        <f>IF(DATOS!$I10756="","",IFERROR(VLOOKUP(DATOS!$I10756,CONFIG_ASIGNATURAS!$B$2:$J$91,9,FALSE()),""))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IF(DATOS!$A10757="",0,IF(CONFIG_METADATA!$B$4&lt;&gt;"OR+EX",--(DATOS!$G10757=CONFIG_METADATA!$B$4),IF(DATOS!$G10757="EX",1,IF(DATOS!$G10757="OR",--(COUNTIFS(nNIA,DATOS!$A10757,nCURSO,DATOS!$D10757,nESPEC,DATOS!$E10757,nASIG,DATOS!$I10757,nEVAL,"EX")=0),0))))</f>
      </c>
      <c r="H10757">
        <f>IF(DATOS!$G10757&lt;&gt;"EX",0,--(COUNTIFS(nNIA,DATOS!$A10757,nCURSO,DATOS!$D10757,nESPEC,DATOS!$E10757,nASIG,DATOS!$I10757,nEVAL,"OR")=0))</f>
      </c>
      <c r="I10757">
        <f>IF(DATOS!$I10757="","",IFERROR(VLOOKUP(DATOS!$I10757,CONFIG_ASIGNATURAS!$B$2:$J$91,9,FALSE()),""))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IF(DATOS!$A10758="",0,IF(CONFIG_METADATA!$B$4&lt;&gt;"OR+EX",--(DATOS!$G10758=CONFIG_METADATA!$B$4),IF(DATOS!$G10758="EX",1,IF(DATOS!$G10758="OR",--(COUNTIFS(nNIA,DATOS!$A10758,nCURSO,DATOS!$D10758,nESPEC,DATOS!$E10758,nASIG,DATOS!$I10758,nEVAL,"EX")=0),0))))</f>
      </c>
      <c r="H10758">
        <f>IF(DATOS!$G10758&lt;&gt;"EX",0,--(COUNTIFS(nNIA,DATOS!$A10758,nCURSO,DATOS!$D10758,nESPEC,DATOS!$E10758,nASIG,DATOS!$I10758,nEVAL,"OR")=0))</f>
      </c>
      <c r="I10758">
        <f>IF(DATOS!$I10758="","",IFERROR(VLOOKUP(DATOS!$I10758,CONFIG_ASIGNATURAS!$B$2:$J$91,9,FALSE()),""))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IF(DATOS!$A10759="",0,IF(CONFIG_METADATA!$B$4&lt;&gt;"OR+EX",--(DATOS!$G10759=CONFIG_METADATA!$B$4),IF(DATOS!$G10759="EX",1,IF(DATOS!$G10759="OR",--(COUNTIFS(nNIA,DATOS!$A10759,nCURSO,DATOS!$D10759,nESPEC,DATOS!$E10759,nASIG,DATOS!$I10759,nEVAL,"EX")=0),0))))</f>
      </c>
      <c r="H10759">
        <f>IF(DATOS!$G10759&lt;&gt;"EX",0,--(COUNTIFS(nNIA,DATOS!$A10759,nCURSO,DATOS!$D10759,nESPEC,DATOS!$E10759,nASIG,DATOS!$I10759,nEVAL,"OR")=0))</f>
      </c>
      <c r="I10759">
        <f>IF(DATOS!$I10759="","",IFERROR(VLOOKUP(DATOS!$I10759,CONFIG_ASIGNATURAS!$B$2:$J$91,9,FALSE()),""))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IF(DATOS!$A10760="",0,IF(CONFIG_METADATA!$B$4&lt;&gt;"OR+EX",--(DATOS!$G10760=CONFIG_METADATA!$B$4),IF(DATOS!$G10760="EX",1,IF(DATOS!$G10760="OR",--(COUNTIFS(nNIA,DATOS!$A10760,nCURSO,DATOS!$D10760,nESPEC,DATOS!$E10760,nASIG,DATOS!$I10760,nEVAL,"EX")=0),0))))</f>
      </c>
      <c r="H10760">
        <f>IF(DATOS!$G10760&lt;&gt;"EX",0,--(COUNTIFS(nNIA,DATOS!$A10760,nCURSO,DATOS!$D10760,nESPEC,DATOS!$E10760,nASIG,DATOS!$I10760,nEVAL,"OR")=0))</f>
      </c>
      <c r="I10760">
        <f>IF(DATOS!$I10760="","",IFERROR(VLOOKUP(DATOS!$I10760,CONFIG_ASIGNATURAS!$B$2:$J$91,9,FALSE()),""))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IF(DATOS!$A10761="",0,IF(CONFIG_METADATA!$B$4&lt;&gt;"OR+EX",--(DATOS!$G10761=CONFIG_METADATA!$B$4),IF(DATOS!$G10761="EX",1,IF(DATOS!$G10761="OR",--(COUNTIFS(nNIA,DATOS!$A10761,nCURSO,DATOS!$D10761,nESPEC,DATOS!$E10761,nASIG,DATOS!$I10761,nEVAL,"EX")=0),0))))</f>
      </c>
      <c r="H10761">
        <f>IF(DATOS!$G10761&lt;&gt;"EX",0,--(COUNTIFS(nNIA,DATOS!$A10761,nCURSO,DATOS!$D10761,nESPEC,DATOS!$E10761,nASIG,DATOS!$I10761,nEVAL,"OR")=0))</f>
      </c>
      <c r="I10761">
        <f>IF(DATOS!$I10761="","",IFERROR(VLOOKUP(DATOS!$I10761,CONFIG_ASIGNATURAS!$B$2:$J$91,9,FALSE()),""))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IF(DATOS!$A10762="",0,IF(CONFIG_METADATA!$B$4&lt;&gt;"OR+EX",--(DATOS!$G10762=CONFIG_METADATA!$B$4),IF(DATOS!$G10762="EX",1,IF(DATOS!$G10762="OR",--(COUNTIFS(nNIA,DATOS!$A10762,nCURSO,DATOS!$D10762,nESPEC,DATOS!$E10762,nASIG,DATOS!$I10762,nEVAL,"EX")=0),0))))</f>
      </c>
      <c r="H10762">
        <f>IF(DATOS!$G10762&lt;&gt;"EX",0,--(COUNTIFS(nNIA,DATOS!$A10762,nCURSO,DATOS!$D10762,nESPEC,DATOS!$E10762,nASIG,DATOS!$I10762,nEVAL,"OR")=0))</f>
      </c>
      <c r="I10762">
        <f>IF(DATOS!$I10762="","",IFERROR(VLOOKUP(DATOS!$I10762,CONFIG_ASIGNATURAS!$B$2:$J$91,9,FALSE()),""))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IF(DATOS!$A10763="",0,IF(CONFIG_METADATA!$B$4&lt;&gt;"OR+EX",--(DATOS!$G10763=CONFIG_METADATA!$B$4),IF(DATOS!$G10763="EX",1,IF(DATOS!$G10763="OR",--(COUNTIFS(nNIA,DATOS!$A10763,nCURSO,DATOS!$D10763,nESPEC,DATOS!$E10763,nASIG,DATOS!$I10763,nEVAL,"EX")=0),0))))</f>
      </c>
      <c r="H10763">
        <f>IF(DATOS!$G10763&lt;&gt;"EX",0,--(COUNTIFS(nNIA,DATOS!$A10763,nCURSO,DATOS!$D10763,nESPEC,DATOS!$E10763,nASIG,DATOS!$I10763,nEVAL,"OR")=0))</f>
      </c>
      <c r="I10763">
        <f>IF(DATOS!$I10763="","",IFERROR(VLOOKUP(DATOS!$I10763,CONFIG_ASIGNATURAS!$B$2:$J$91,9,FALSE()),""))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IF(DATOS!$A10764="",0,IF(CONFIG_METADATA!$B$4&lt;&gt;"OR+EX",--(DATOS!$G10764=CONFIG_METADATA!$B$4),IF(DATOS!$G10764="EX",1,IF(DATOS!$G10764="OR",--(COUNTIFS(nNIA,DATOS!$A10764,nCURSO,DATOS!$D10764,nESPEC,DATOS!$E10764,nASIG,DATOS!$I10764,nEVAL,"EX")=0),0))))</f>
      </c>
      <c r="H10764">
        <f>IF(DATOS!$G10764&lt;&gt;"EX",0,--(COUNTIFS(nNIA,DATOS!$A10764,nCURSO,DATOS!$D10764,nESPEC,DATOS!$E10764,nASIG,DATOS!$I10764,nEVAL,"OR")=0))</f>
      </c>
      <c r="I10764">
        <f>IF(DATOS!$I10764="","",IFERROR(VLOOKUP(DATOS!$I10764,CONFIG_ASIGNATURAS!$B$2:$J$91,9,FALSE()),""))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IF(DATOS!$A10765="",0,IF(CONFIG_METADATA!$B$4&lt;&gt;"OR+EX",--(DATOS!$G10765=CONFIG_METADATA!$B$4),IF(DATOS!$G10765="EX",1,IF(DATOS!$G10765="OR",--(COUNTIFS(nNIA,DATOS!$A10765,nCURSO,DATOS!$D10765,nESPEC,DATOS!$E10765,nASIG,DATOS!$I10765,nEVAL,"EX")=0),0))))</f>
      </c>
      <c r="H10765">
        <f>IF(DATOS!$G10765&lt;&gt;"EX",0,--(COUNTIFS(nNIA,DATOS!$A10765,nCURSO,DATOS!$D10765,nESPEC,DATOS!$E10765,nASIG,DATOS!$I10765,nEVAL,"OR")=0))</f>
      </c>
      <c r="I10765">
        <f>IF(DATOS!$I10765="","",IFERROR(VLOOKUP(DATOS!$I10765,CONFIG_ASIGNATURAS!$B$2:$J$91,9,FALSE()),""))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IF(DATOS!$A10766="",0,IF(CONFIG_METADATA!$B$4&lt;&gt;"OR+EX",--(DATOS!$G10766=CONFIG_METADATA!$B$4),IF(DATOS!$G10766="EX",1,IF(DATOS!$G10766="OR",--(COUNTIFS(nNIA,DATOS!$A10766,nCURSO,DATOS!$D10766,nESPEC,DATOS!$E10766,nASIG,DATOS!$I10766,nEVAL,"EX")=0),0))))</f>
      </c>
      <c r="H10766">
        <f>IF(DATOS!$G10766&lt;&gt;"EX",0,--(COUNTIFS(nNIA,DATOS!$A10766,nCURSO,DATOS!$D10766,nESPEC,DATOS!$E10766,nASIG,DATOS!$I10766,nEVAL,"OR")=0))</f>
      </c>
      <c r="I10766">
        <f>IF(DATOS!$I10766="","",IFERROR(VLOOKUP(DATOS!$I10766,CONFIG_ASIGNATURAS!$B$2:$J$91,9,FALSE()),""))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IF(DATOS!$A10767="",0,IF(CONFIG_METADATA!$B$4&lt;&gt;"OR+EX",--(DATOS!$G10767=CONFIG_METADATA!$B$4),IF(DATOS!$G10767="EX",1,IF(DATOS!$G10767="OR",--(COUNTIFS(nNIA,DATOS!$A10767,nCURSO,DATOS!$D10767,nESPEC,DATOS!$E10767,nASIG,DATOS!$I10767,nEVAL,"EX")=0),0))))</f>
      </c>
      <c r="H10767">
        <f>IF(DATOS!$G10767&lt;&gt;"EX",0,--(COUNTIFS(nNIA,DATOS!$A10767,nCURSO,DATOS!$D10767,nESPEC,DATOS!$E10767,nASIG,DATOS!$I10767,nEVAL,"OR")=0))</f>
      </c>
      <c r="I10767">
        <f>IF(DATOS!$I10767="","",IFERROR(VLOOKUP(DATOS!$I10767,CONFIG_ASIGNATURAS!$B$2:$J$91,9,FALSE()),""))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IF(DATOS!$A10768="",0,IF(CONFIG_METADATA!$B$4&lt;&gt;"OR+EX",--(DATOS!$G10768=CONFIG_METADATA!$B$4),IF(DATOS!$G10768="EX",1,IF(DATOS!$G10768="OR",--(COUNTIFS(nNIA,DATOS!$A10768,nCURSO,DATOS!$D10768,nESPEC,DATOS!$E10768,nASIG,DATOS!$I10768,nEVAL,"EX")=0),0))))</f>
      </c>
      <c r="H10768">
        <f>IF(DATOS!$G10768&lt;&gt;"EX",0,--(COUNTIFS(nNIA,DATOS!$A10768,nCURSO,DATOS!$D10768,nESPEC,DATOS!$E10768,nASIG,DATOS!$I10768,nEVAL,"OR")=0))</f>
      </c>
      <c r="I10768">
        <f>IF(DATOS!$I10768="","",IFERROR(VLOOKUP(DATOS!$I10768,CONFIG_ASIGNATURAS!$B$2:$J$91,9,FALSE()),""))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IF(DATOS!$A10769="",0,IF(CONFIG_METADATA!$B$4&lt;&gt;"OR+EX",--(DATOS!$G10769=CONFIG_METADATA!$B$4),IF(DATOS!$G10769="EX",1,IF(DATOS!$G10769="OR",--(COUNTIFS(nNIA,DATOS!$A10769,nCURSO,DATOS!$D10769,nESPEC,DATOS!$E10769,nASIG,DATOS!$I10769,nEVAL,"EX")=0),0))))</f>
      </c>
      <c r="H10769">
        <f>IF(DATOS!$G10769&lt;&gt;"EX",0,--(COUNTIFS(nNIA,DATOS!$A10769,nCURSO,DATOS!$D10769,nESPEC,DATOS!$E10769,nASIG,DATOS!$I10769,nEVAL,"OR")=0))</f>
      </c>
      <c r="I10769">
        <f>IF(DATOS!$I10769="","",IFERROR(VLOOKUP(DATOS!$I10769,CONFIG_ASIGNATURAS!$B$2:$J$91,9,FALSE()),""))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IF(DATOS!$A10770="",0,IF(CONFIG_METADATA!$B$4&lt;&gt;"OR+EX",--(DATOS!$G10770=CONFIG_METADATA!$B$4),IF(DATOS!$G10770="EX",1,IF(DATOS!$G10770="OR",--(COUNTIFS(nNIA,DATOS!$A10770,nCURSO,DATOS!$D10770,nESPEC,DATOS!$E10770,nASIG,DATOS!$I10770,nEVAL,"EX")=0),0))))</f>
      </c>
      <c r="H10770">
        <f>IF(DATOS!$G10770&lt;&gt;"EX",0,--(COUNTIFS(nNIA,DATOS!$A10770,nCURSO,DATOS!$D10770,nESPEC,DATOS!$E10770,nASIG,DATOS!$I10770,nEVAL,"OR")=0))</f>
      </c>
      <c r="I10770">
        <f>IF(DATOS!$I10770="","",IFERROR(VLOOKUP(DATOS!$I10770,CONFIG_ASIGNATURAS!$B$2:$J$91,9,FALSE()),""))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IF(DATOS!$A10771="",0,IF(CONFIG_METADATA!$B$4&lt;&gt;"OR+EX",--(DATOS!$G10771=CONFIG_METADATA!$B$4),IF(DATOS!$G10771="EX",1,IF(DATOS!$G10771="OR",--(COUNTIFS(nNIA,DATOS!$A10771,nCURSO,DATOS!$D10771,nESPEC,DATOS!$E10771,nASIG,DATOS!$I10771,nEVAL,"EX")=0),0))))</f>
      </c>
      <c r="H10771">
        <f>IF(DATOS!$G10771&lt;&gt;"EX",0,--(COUNTIFS(nNIA,DATOS!$A10771,nCURSO,DATOS!$D10771,nESPEC,DATOS!$E10771,nASIG,DATOS!$I10771,nEVAL,"OR")=0))</f>
      </c>
      <c r="I10771">
        <f>IF(DATOS!$I10771="","",IFERROR(VLOOKUP(DATOS!$I10771,CONFIG_ASIGNATURAS!$B$2:$J$91,9,FALSE()),""))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IF(DATOS!$A10772="",0,IF(CONFIG_METADATA!$B$4&lt;&gt;"OR+EX",--(DATOS!$G10772=CONFIG_METADATA!$B$4),IF(DATOS!$G10772="EX",1,IF(DATOS!$G10772="OR",--(COUNTIFS(nNIA,DATOS!$A10772,nCURSO,DATOS!$D10772,nESPEC,DATOS!$E10772,nASIG,DATOS!$I10772,nEVAL,"EX")=0),0))))</f>
      </c>
      <c r="H10772">
        <f>IF(DATOS!$G10772&lt;&gt;"EX",0,--(COUNTIFS(nNIA,DATOS!$A10772,nCURSO,DATOS!$D10772,nESPEC,DATOS!$E10772,nASIG,DATOS!$I10772,nEVAL,"OR")=0))</f>
      </c>
      <c r="I10772">
        <f>IF(DATOS!$I10772="","",IFERROR(VLOOKUP(DATOS!$I10772,CONFIG_ASIGNATURAS!$B$2:$J$91,9,FALSE()),""))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IF(DATOS!$A10773="",0,IF(CONFIG_METADATA!$B$4&lt;&gt;"OR+EX",--(DATOS!$G10773=CONFIG_METADATA!$B$4),IF(DATOS!$G10773="EX",1,IF(DATOS!$G10773="OR",--(COUNTIFS(nNIA,DATOS!$A10773,nCURSO,DATOS!$D10773,nESPEC,DATOS!$E10773,nASIG,DATOS!$I10773,nEVAL,"EX")=0),0))))</f>
      </c>
      <c r="H10773">
        <f>IF(DATOS!$G10773&lt;&gt;"EX",0,--(COUNTIFS(nNIA,DATOS!$A10773,nCURSO,DATOS!$D10773,nESPEC,DATOS!$E10773,nASIG,DATOS!$I10773,nEVAL,"OR")=0))</f>
      </c>
      <c r="I10773">
        <f>IF(DATOS!$I10773="","",IFERROR(VLOOKUP(DATOS!$I10773,CONFIG_ASIGNATURAS!$B$2:$J$91,9,FALSE()),""))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IF(DATOS!$A10774="",0,IF(CONFIG_METADATA!$B$4&lt;&gt;"OR+EX",--(DATOS!$G10774=CONFIG_METADATA!$B$4),IF(DATOS!$G10774="EX",1,IF(DATOS!$G10774="OR",--(COUNTIFS(nNIA,DATOS!$A10774,nCURSO,DATOS!$D10774,nESPEC,DATOS!$E10774,nASIG,DATOS!$I10774,nEVAL,"EX")=0),0))))</f>
      </c>
      <c r="H10774">
        <f>IF(DATOS!$G10774&lt;&gt;"EX",0,--(COUNTIFS(nNIA,DATOS!$A10774,nCURSO,DATOS!$D10774,nESPEC,DATOS!$E10774,nASIG,DATOS!$I10774,nEVAL,"OR")=0))</f>
      </c>
      <c r="I10774">
        <f>IF(DATOS!$I10774="","",IFERROR(VLOOKUP(DATOS!$I10774,CONFIG_ASIGNATURAS!$B$2:$J$91,9,FALSE()),""))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IF(DATOS!$A10775="",0,IF(CONFIG_METADATA!$B$4&lt;&gt;"OR+EX",--(DATOS!$G10775=CONFIG_METADATA!$B$4),IF(DATOS!$G10775="EX",1,IF(DATOS!$G10775="OR",--(COUNTIFS(nNIA,DATOS!$A10775,nCURSO,DATOS!$D10775,nESPEC,DATOS!$E10775,nASIG,DATOS!$I10775,nEVAL,"EX")=0),0))))</f>
      </c>
      <c r="H10775">
        <f>IF(DATOS!$G10775&lt;&gt;"EX",0,--(COUNTIFS(nNIA,DATOS!$A10775,nCURSO,DATOS!$D10775,nESPEC,DATOS!$E10775,nASIG,DATOS!$I10775,nEVAL,"OR")=0))</f>
      </c>
      <c r="I10775">
        <f>IF(DATOS!$I10775="","",IFERROR(VLOOKUP(DATOS!$I10775,CONFIG_ASIGNATURAS!$B$2:$J$91,9,FALSE()),""))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IF(DATOS!$A10776="",0,IF(CONFIG_METADATA!$B$4&lt;&gt;"OR+EX",--(DATOS!$G10776=CONFIG_METADATA!$B$4),IF(DATOS!$G10776="EX",1,IF(DATOS!$G10776="OR",--(COUNTIFS(nNIA,DATOS!$A10776,nCURSO,DATOS!$D10776,nESPEC,DATOS!$E10776,nASIG,DATOS!$I10776,nEVAL,"EX")=0),0))))</f>
      </c>
      <c r="H10776">
        <f>IF(DATOS!$G10776&lt;&gt;"EX",0,--(COUNTIFS(nNIA,DATOS!$A10776,nCURSO,DATOS!$D10776,nESPEC,DATOS!$E10776,nASIG,DATOS!$I10776,nEVAL,"OR")=0))</f>
      </c>
      <c r="I10776">
        <f>IF(DATOS!$I10776="","",IFERROR(VLOOKUP(DATOS!$I10776,CONFIG_ASIGNATURAS!$B$2:$J$91,9,FALSE()),""))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IF(DATOS!$A10777="",0,IF(CONFIG_METADATA!$B$4&lt;&gt;"OR+EX",--(DATOS!$G10777=CONFIG_METADATA!$B$4),IF(DATOS!$G10777="EX",1,IF(DATOS!$G10777="OR",--(COUNTIFS(nNIA,DATOS!$A10777,nCURSO,DATOS!$D10777,nESPEC,DATOS!$E10777,nASIG,DATOS!$I10777,nEVAL,"EX")=0),0))))</f>
      </c>
      <c r="H10777">
        <f>IF(DATOS!$G10777&lt;&gt;"EX",0,--(COUNTIFS(nNIA,DATOS!$A10777,nCURSO,DATOS!$D10777,nESPEC,DATOS!$E10777,nASIG,DATOS!$I10777,nEVAL,"OR")=0))</f>
      </c>
      <c r="I10777">
        <f>IF(DATOS!$I10777="","",IFERROR(VLOOKUP(DATOS!$I10777,CONFIG_ASIGNATURAS!$B$2:$J$91,9,FALSE()),""))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IF(DATOS!$A10778="",0,IF(CONFIG_METADATA!$B$4&lt;&gt;"OR+EX",--(DATOS!$G10778=CONFIG_METADATA!$B$4),IF(DATOS!$G10778="EX",1,IF(DATOS!$G10778="OR",--(COUNTIFS(nNIA,DATOS!$A10778,nCURSO,DATOS!$D10778,nESPEC,DATOS!$E10778,nASIG,DATOS!$I10778,nEVAL,"EX")=0),0))))</f>
      </c>
      <c r="H10778">
        <f>IF(DATOS!$G10778&lt;&gt;"EX",0,--(COUNTIFS(nNIA,DATOS!$A10778,nCURSO,DATOS!$D10778,nESPEC,DATOS!$E10778,nASIG,DATOS!$I10778,nEVAL,"OR")=0))</f>
      </c>
      <c r="I10778">
        <f>IF(DATOS!$I10778="","",IFERROR(VLOOKUP(DATOS!$I10778,CONFIG_ASIGNATURAS!$B$2:$J$91,9,FALSE()),""))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IF(DATOS!$A10779="",0,IF(CONFIG_METADATA!$B$4&lt;&gt;"OR+EX",--(DATOS!$G10779=CONFIG_METADATA!$B$4),IF(DATOS!$G10779="EX",1,IF(DATOS!$G10779="OR",--(COUNTIFS(nNIA,DATOS!$A10779,nCURSO,DATOS!$D10779,nESPEC,DATOS!$E10779,nASIG,DATOS!$I10779,nEVAL,"EX")=0),0))))</f>
      </c>
      <c r="H10779">
        <f>IF(DATOS!$G10779&lt;&gt;"EX",0,--(COUNTIFS(nNIA,DATOS!$A10779,nCURSO,DATOS!$D10779,nESPEC,DATOS!$E10779,nASIG,DATOS!$I10779,nEVAL,"OR")=0))</f>
      </c>
      <c r="I10779">
        <f>IF(DATOS!$I10779="","",IFERROR(VLOOKUP(DATOS!$I10779,CONFIG_ASIGNATURAS!$B$2:$J$91,9,FALSE()),""))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IF(DATOS!$A10780="",0,IF(CONFIG_METADATA!$B$4&lt;&gt;"OR+EX",--(DATOS!$G10780=CONFIG_METADATA!$B$4),IF(DATOS!$G10780="EX",1,IF(DATOS!$G10780="OR",--(COUNTIFS(nNIA,DATOS!$A10780,nCURSO,DATOS!$D10780,nESPEC,DATOS!$E10780,nASIG,DATOS!$I10780,nEVAL,"EX")=0),0))))</f>
      </c>
      <c r="H10780">
        <f>IF(DATOS!$G10780&lt;&gt;"EX",0,--(COUNTIFS(nNIA,DATOS!$A10780,nCURSO,DATOS!$D10780,nESPEC,DATOS!$E10780,nASIG,DATOS!$I10780,nEVAL,"OR")=0))</f>
      </c>
      <c r="I10780">
        <f>IF(DATOS!$I10780="","",IFERROR(VLOOKUP(DATOS!$I10780,CONFIG_ASIGNATURAS!$B$2:$J$91,9,FALSE()),""))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IF(DATOS!$A10781="",0,IF(CONFIG_METADATA!$B$4&lt;&gt;"OR+EX",--(DATOS!$G10781=CONFIG_METADATA!$B$4),IF(DATOS!$G10781="EX",1,IF(DATOS!$G10781="OR",--(COUNTIFS(nNIA,DATOS!$A10781,nCURSO,DATOS!$D10781,nESPEC,DATOS!$E10781,nASIG,DATOS!$I10781,nEVAL,"EX")=0),0))))</f>
      </c>
      <c r="H10781">
        <f>IF(DATOS!$G10781&lt;&gt;"EX",0,--(COUNTIFS(nNIA,DATOS!$A10781,nCURSO,DATOS!$D10781,nESPEC,DATOS!$E10781,nASIG,DATOS!$I10781,nEVAL,"OR")=0))</f>
      </c>
      <c r="I10781">
        <f>IF(DATOS!$I10781="","",IFERROR(VLOOKUP(DATOS!$I10781,CONFIG_ASIGNATURAS!$B$2:$J$91,9,FALSE()),""))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IF(DATOS!$A10782="",0,IF(CONFIG_METADATA!$B$4&lt;&gt;"OR+EX",--(DATOS!$G10782=CONFIG_METADATA!$B$4),IF(DATOS!$G10782="EX",1,IF(DATOS!$G10782="OR",--(COUNTIFS(nNIA,DATOS!$A10782,nCURSO,DATOS!$D10782,nESPEC,DATOS!$E10782,nASIG,DATOS!$I10782,nEVAL,"EX")=0),0))))</f>
      </c>
      <c r="H10782">
        <f>IF(DATOS!$G10782&lt;&gt;"EX",0,--(COUNTIFS(nNIA,DATOS!$A10782,nCURSO,DATOS!$D10782,nESPEC,DATOS!$E10782,nASIG,DATOS!$I10782,nEVAL,"OR")=0))</f>
      </c>
      <c r="I10782">
        <f>IF(DATOS!$I10782="","",IFERROR(VLOOKUP(DATOS!$I10782,CONFIG_ASIGNATURAS!$B$2:$J$91,9,FALSE()),""))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IF(DATOS!$A10783="",0,IF(CONFIG_METADATA!$B$4&lt;&gt;"OR+EX",--(DATOS!$G10783=CONFIG_METADATA!$B$4),IF(DATOS!$G10783="EX",1,IF(DATOS!$G10783="OR",--(COUNTIFS(nNIA,DATOS!$A10783,nCURSO,DATOS!$D10783,nESPEC,DATOS!$E10783,nASIG,DATOS!$I10783,nEVAL,"EX")=0),0))))</f>
      </c>
      <c r="H10783">
        <f>IF(DATOS!$G10783&lt;&gt;"EX",0,--(COUNTIFS(nNIA,DATOS!$A10783,nCURSO,DATOS!$D10783,nESPEC,DATOS!$E10783,nASIG,DATOS!$I10783,nEVAL,"OR")=0))</f>
      </c>
      <c r="I10783">
        <f>IF(DATOS!$I10783="","",IFERROR(VLOOKUP(DATOS!$I10783,CONFIG_ASIGNATURAS!$B$2:$J$91,9,FALSE()),""))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IF(DATOS!$A10784="",0,IF(CONFIG_METADATA!$B$4&lt;&gt;"OR+EX",--(DATOS!$G10784=CONFIG_METADATA!$B$4),IF(DATOS!$G10784="EX",1,IF(DATOS!$G10784="OR",--(COUNTIFS(nNIA,DATOS!$A10784,nCURSO,DATOS!$D10784,nESPEC,DATOS!$E10784,nASIG,DATOS!$I10784,nEVAL,"EX")=0),0))))</f>
      </c>
      <c r="H10784">
        <f>IF(DATOS!$G10784&lt;&gt;"EX",0,--(COUNTIFS(nNIA,DATOS!$A10784,nCURSO,DATOS!$D10784,nESPEC,DATOS!$E10784,nASIG,DATOS!$I10784,nEVAL,"OR")=0))</f>
      </c>
      <c r="I10784">
        <f>IF(DATOS!$I10784="","",IFERROR(VLOOKUP(DATOS!$I10784,CONFIG_ASIGNATURAS!$B$2:$J$91,9,FALSE()),""))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IF(DATOS!$A10785="",0,IF(CONFIG_METADATA!$B$4&lt;&gt;"OR+EX",--(DATOS!$G10785=CONFIG_METADATA!$B$4),IF(DATOS!$G10785="EX",1,IF(DATOS!$G10785="OR",--(COUNTIFS(nNIA,DATOS!$A10785,nCURSO,DATOS!$D10785,nESPEC,DATOS!$E10785,nASIG,DATOS!$I10785,nEVAL,"EX")=0),0))))</f>
      </c>
      <c r="H10785">
        <f>IF(DATOS!$G10785&lt;&gt;"EX",0,--(COUNTIFS(nNIA,DATOS!$A10785,nCURSO,DATOS!$D10785,nESPEC,DATOS!$E10785,nASIG,DATOS!$I10785,nEVAL,"OR")=0))</f>
      </c>
      <c r="I10785">
        <f>IF(DATOS!$I10785="","",IFERROR(VLOOKUP(DATOS!$I10785,CONFIG_ASIGNATURAS!$B$2:$J$91,9,FALSE()),""))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IF(DATOS!$A10786="",0,IF(CONFIG_METADATA!$B$4&lt;&gt;"OR+EX",--(DATOS!$G10786=CONFIG_METADATA!$B$4),IF(DATOS!$G10786="EX",1,IF(DATOS!$G10786="OR",--(COUNTIFS(nNIA,DATOS!$A10786,nCURSO,DATOS!$D10786,nESPEC,DATOS!$E10786,nASIG,DATOS!$I10786,nEVAL,"EX")=0),0))))</f>
      </c>
      <c r="H10786">
        <f>IF(DATOS!$G10786&lt;&gt;"EX",0,--(COUNTIFS(nNIA,DATOS!$A10786,nCURSO,DATOS!$D10786,nESPEC,DATOS!$E10786,nASIG,DATOS!$I10786,nEVAL,"OR")=0))</f>
      </c>
      <c r="I10786">
        <f>IF(DATOS!$I10786="","",IFERROR(VLOOKUP(DATOS!$I10786,CONFIG_ASIGNATURAS!$B$2:$J$91,9,FALSE()),""))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IF(DATOS!$A10787="",0,IF(CONFIG_METADATA!$B$4&lt;&gt;"OR+EX",--(DATOS!$G10787=CONFIG_METADATA!$B$4),IF(DATOS!$G10787="EX",1,IF(DATOS!$G10787="OR",--(COUNTIFS(nNIA,DATOS!$A10787,nCURSO,DATOS!$D10787,nESPEC,DATOS!$E10787,nASIG,DATOS!$I10787,nEVAL,"EX")=0),0))))</f>
      </c>
      <c r="H10787">
        <f>IF(DATOS!$G10787&lt;&gt;"EX",0,--(COUNTIFS(nNIA,DATOS!$A10787,nCURSO,DATOS!$D10787,nESPEC,DATOS!$E10787,nASIG,DATOS!$I10787,nEVAL,"OR")=0))</f>
      </c>
      <c r="I10787">
        <f>IF(DATOS!$I10787="","",IFERROR(VLOOKUP(DATOS!$I10787,CONFIG_ASIGNATURAS!$B$2:$J$91,9,FALSE()),""))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IF(DATOS!$A10788="",0,IF(CONFIG_METADATA!$B$4&lt;&gt;"OR+EX",--(DATOS!$G10788=CONFIG_METADATA!$B$4),IF(DATOS!$G10788="EX",1,IF(DATOS!$G10788="OR",--(COUNTIFS(nNIA,DATOS!$A10788,nCURSO,DATOS!$D10788,nESPEC,DATOS!$E10788,nASIG,DATOS!$I10788,nEVAL,"EX")=0),0))))</f>
      </c>
      <c r="H10788">
        <f>IF(DATOS!$G10788&lt;&gt;"EX",0,--(COUNTIFS(nNIA,DATOS!$A10788,nCURSO,DATOS!$D10788,nESPEC,DATOS!$E10788,nASIG,DATOS!$I10788,nEVAL,"OR")=0))</f>
      </c>
      <c r="I10788">
        <f>IF(DATOS!$I10788="","",IFERROR(VLOOKUP(DATOS!$I10788,CONFIG_ASIGNATURAS!$B$2:$J$91,9,FALSE()),""))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IF(DATOS!$A10789="",0,IF(CONFIG_METADATA!$B$4&lt;&gt;"OR+EX",--(DATOS!$G10789=CONFIG_METADATA!$B$4),IF(DATOS!$G10789="EX",1,IF(DATOS!$G10789="OR",--(COUNTIFS(nNIA,DATOS!$A10789,nCURSO,DATOS!$D10789,nESPEC,DATOS!$E10789,nASIG,DATOS!$I10789,nEVAL,"EX")=0),0))))</f>
      </c>
      <c r="H10789">
        <f>IF(DATOS!$G10789&lt;&gt;"EX",0,--(COUNTIFS(nNIA,DATOS!$A10789,nCURSO,DATOS!$D10789,nESPEC,DATOS!$E10789,nASIG,DATOS!$I10789,nEVAL,"OR")=0))</f>
      </c>
      <c r="I10789">
        <f>IF(DATOS!$I10789="","",IFERROR(VLOOKUP(DATOS!$I10789,CONFIG_ASIGNATURAS!$B$2:$J$91,9,FALSE()),""))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IF(DATOS!$A10790="",0,IF(CONFIG_METADATA!$B$4&lt;&gt;"OR+EX",--(DATOS!$G10790=CONFIG_METADATA!$B$4),IF(DATOS!$G10790="EX",1,IF(DATOS!$G10790="OR",--(COUNTIFS(nNIA,DATOS!$A10790,nCURSO,DATOS!$D10790,nESPEC,DATOS!$E10790,nASIG,DATOS!$I10790,nEVAL,"EX")=0),0))))</f>
      </c>
      <c r="H10790">
        <f>IF(DATOS!$G10790&lt;&gt;"EX",0,--(COUNTIFS(nNIA,DATOS!$A10790,nCURSO,DATOS!$D10790,nESPEC,DATOS!$E10790,nASIG,DATOS!$I10790,nEVAL,"OR")=0))</f>
      </c>
      <c r="I10790">
        <f>IF(DATOS!$I10790="","",IFERROR(VLOOKUP(DATOS!$I10790,CONFIG_ASIGNATURAS!$B$2:$J$91,9,FALSE()),""))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IF(DATOS!$A10791="",0,IF(CONFIG_METADATA!$B$4&lt;&gt;"OR+EX",--(DATOS!$G10791=CONFIG_METADATA!$B$4),IF(DATOS!$G10791="EX",1,IF(DATOS!$G10791="OR",--(COUNTIFS(nNIA,DATOS!$A10791,nCURSO,DATOS!$D10791,nESPEC,DATOS!$E10791,nASIG,DATOS!$I10791,nEVAL,"EX")=0),0))))</f>
      </c>
      <c r="H10791">
        <f>IF(DATOS!$G10791&lt;&gt;"EX",0,--(COUNTIFS(nNIA,DATOS!$A10791,nCURSO,DATOS!$D10791,nESPEC,DATOS!$E10791,nASIG,DATOS!$I10791,nEVAL,"OR")=0))</f>
      </c>
      <c r="I10791">
        <f>IF(DATOS!$I10791="","",IFERROR(VLOOKUP(DATOS!$I10791,CONFIG_ASIGNATURAS!$B$2:$J$91,9,FALSE()),""))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IF(DATOS!$A10792="",0,IF(CONFIG_METADATA!$B$4&lt;&gt;"OR+EX",--(DATOS!$G10792=CONFIG_METADATA!$B$4),IF(DATOS!$G10792="EX",1,IF(DATOS!$G10792="OR",--(COUNTIFS(nNIA,DATOS!$A10792,nCURSO,DATOS!$D10792,nESPEC,DATOS!$E10792,nASIG,DATOS!$I10792,nEVAL,"EX")=0),0))))</f>
      </c>
      <c r="H10792">
        <f>IF(DATOS!$G10792&lt;&gt;"EX",0,--(COUNTIFS(nNIA,DATOS!$A10792,nCURSO,DATOS!$D10792,nESPEC,DATOS!$E10792,nASIG,DATOS!$I10792,nEVAL,"OR")=0))</f>
      </c>
      <c r="I10792">
        <f>IF(DATOS!$I10792="","",IFERROR(VLOOKUP(DATOS!$I10792,CONFIG_ASIGNATURAS!$B$2:$J$91,9,FALSE()),""))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IF(DATOS!$A10793="",0,IF(CONFIG_METADATA!$B$4&lt;&gt;"OR+EX",--(DATOS!$G10793=CONFIG_METADATA!$B$4),IF(DATOS!$G10793="EX",1,IF(DATOS!$G10793="OR",--(COUNTIFS(nNIA,DATOS!$A10793,nCURSO,DATOS!$D10793,nESPEC,DATOS!$E10793,nASIG,DATOS!$I10793,nEVAL,"EX")=0),0))))</f>
      </c>
      <c r="H10793">
        <f>IF(DATOS!$G10793&lt;&gt;"EX",0,--(COUNTIFS(nNIA,DATOS!$A10793,nCURSO,DATOS!$D10793,nESPEC,DATOS!$E10793,nASIG,DATOS!$I10793,nEVAL,"OR")=0))</f>
      </c>
      <c r="I10793">
        <f>IF(DATOS!$I10793="","",IFERROR(VLOOKUP(DATOS!$I10793,CONFIG_ASIGNATURAS!$B$2:$J$91,9,FALSE()),""))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IF(DATOS!$A10794="",0,IF(CONFIG_METADATA!$B$4&lt;&gt;"OR+EX",--(DATOS!$G10794=CONFIG_METADATA!$B$4),IF(DATOS!$G10794="EX",1,IF(DATOS!$G10794="OR",--(COUNTIFS(nNIA,DATOS!$A10794,nCURSO,DATOS!$D10794,nESPEC,DATOS!$E10794,nASIG,DATOS!$I10794,nEVAL,"EX")=0),0))))</f>
      </c>
      <c r="H10794">
        <f>IF(DATOS!$G10794&lt;&gt;"EX",0,--(COUNTIFS(nNIA,DATOS!$A10794,nCURSO,DATOS!$D10794,nESPEC,DATOS!$E10794,nASIG,DATOS!$I10794,nEVAL,"OR")=0))</f>
      </c>
      <c r="I10794">
        <f>IF(DATOS!$I10794="","",IFERROR(VLOOKUP(DATOS!$I10794,CONFIG_ASIGNATURAS!$B$2:$J$91,9,FALSE()),""))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IF(DATOS!$A10795="",0,IF(CONFIG_METADATA!$B$4&lt;&gt;"OR+EX",--(DATOS!$G10795=CONFIG_METADATA!$B$4),IF(DATOS!$G10795="EX",1,IF(DATOS!$G10795="OR",--(COUNTIFS(nNIA,DATOS!$A10795,nCURSO,DATOS!$D10795,nESPEC,DATOS!$E10795,nASIG,DATOS!$I10795,nEVAL,"EX")=0),0))))</f>
      </c>
      <c r="H10795">
        <f>IF(DATOS!$G10795&lt;&gt;"EX",0,--(COUNTIFS(nNIA,DATOS!$A10795,nCURSO,DATOS!$D10795,nESPEC,DATOS!$E10795,nASIG,DATOS!$I10795,nEVAL,"OR")=0))</f>
      </c>
      <c r="I10795">
        <f>IF(DATOS!$I10795="","",IFERROR(VLOOKUP(DATOS!$I10795,CONFIG_ASIGNATURAS!$B$2:$J$91,9,FALSE()),""))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IF(DATOS!$A10796="",0,IF(CONFIG_METADATA!$B$4&lt;&gt;"OR+EX",--(DATOS!$G10796=CONFIG_METADATA!$B$4),IF(DATOS!$G10796="EX",1,IF(DATOS!$G10796="OR",--(COUNTIFS(nNIA,DATOS!$A10796,nCURSO,DATOS!$D10796,nESPEC,DATOS!$E10796,nASIG,DATOS!$I10796,nEVAL,"EX")=0),0))))</f>
      </c>
      <c r="H10796">
        <f>IF(DATOS!$G10796&lt;&gt;"EX",0,--(COUNTIFS(nNIA,DATOS!$A10796,nCURSO,DATOS!$D10796,nESPEC,DATOS!$E10796,nASIG,DATOS!$I10796,nEVAL,"OR")=0))</f>
      </c>
      <c r="I10796">
        <f>IF(DATOS!$I10796="","",IFERROR(VLOOKUP(DATOS!$I10796,CONFIG_ASIGNATURAS!$B$2:$J$91,9,FALSE()),""))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IF(DATOS!$A10797="",0,IF(CONFIG_METADATA!$B$4&lt;&gt;"OR+EX",--(DATOS!$G10797=CONFIG_METADATA!$B$4),IF(DATOS!$G10797="EX",1,IF(DATOS!$G10797="OR",--(COUNTIFS(nNIA,DATOS!$A10797,nCURSO,DATOS!$D10797,nESPEC,DATOS!$E10797,nASIG,DATOS!$I10797,nEVAL,"EX")=0),0))))</f>
      </c>
      <c r="H10797">
        <f>IF(DATOS!$G10797&lt;&gt;"EX",0,--(COUNTIFS(nNIA,DATOS!$A10797,nCURSO,DATOS!$D10797,nESPEC,DATOS!$E10797,nASIG,DATOS!$I10797,nEVAL,"OR")=0))</f>
      </c>
      <c r="I10797">
        <f>IF(DATOS!$I10797="","",IFERROR(VLOOKUP(DATOS!$I10797,CONFIG_ASIGNATURAS!$B$2:$J$91,9,FALSE()),""))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IF(DATOS!$A10798="",0,IF(CONFIG_METADATA!$B$4&lt;&gt;"OR+EX",--(DATOS!$G10798=CONFIG_METADATA!$B$4),IF(DATOS!$G10798="EX",1,IF(DATOS!$G10798="OR",--(COUNTIFS(nNIA,DATOS!$A10798,nCURSO,DATOS!$D10798,nESPEC,DATOS!$E10798,nASIG,DATOS!$I10798,nEVAL,"EX")=0),0))))</f>
      </c>
      <c r="H10798">
        <f>IF(DATOS!$G10798&lt;&gt;"EX",0,--(COUNTIFS(nNIA,DATOS!$A10798,nCURSO,DATOS!$D10798,nESPEC,DATOS!$E10798,nASIG,DATOS!$I10798,nEVAL,"OR")=0))</f>
      </c>
      <c r="I10798">
        <f>IF(DATOS!$I10798="","",IFERROR(VLOOKUP(DATOS!$I10798,CONFIG_ASIGNATURAS!$B$2:$J$91,9,FALSE()),""))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IF(DATOS!$A10799="",0,IF(CONFIG_METADATA!$B$4&lt;&gt;"OR+EX",--(DATOS!$G10799=CONFIG_METADATA!$B$4),IF(DATOS!$G10799="EX",1,IF(DATOS!$G10799="OR",--(COUNTIFS(nNIA,DATOS!$A10799,nCURSO,DATOS!$D10799,nESPEC,DATOS!$E10799,nASIG,DATOS!$I10799,nEVAL,"EX")=0),0))))</f>
      </c>
      <c r="H10799">
        <f>IF(DATOS!$G10799&lt;&gt;"EX",0,--(COUNTIFS(nNIA,DATOS!$A10799,nCURSO,DATOS!$D10799,nESPEC,DATOS!$E10799,nASIG,DATOS!$I10799,nEVAL,"OR")=0))</f>
      </c>
      <c r="I10799">
        <f>IF(DATOS!$I10799="","",IFERROR(VLOOKUP(DATOS!$I10799,CONFIG_ASIGNATURAS!$B$2:$J$91,9,FALSE()),""))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IF(DATOS!$A10800="",0,IF(CONFIG_METADATA!$B$4&lt;&gt;"OR+EX",--(DATOS!$G10800=CONFIG_METADATA!$B$4),IF(DATOS!$G10800="EX",1,IF(DATOS!$G10800="OR",--(COUNTIFS(nNIA,DATOS!$A10800,nCURSO,DATOS!$D10800,nESPEC,DATOS!$E10800,nASIG,DATOS!$I10800,nEVAL,"EX")=0),0))))</f>
      </c>
      <c r="H10800">
        <f>IF(DATOS!$G10800&lt;&gt;"EX",0,--(COUNTIFS(nNIA,DATOS!$A10800,nCURSO,DATOS!$D10800,nESPEC,DATOS!$E10800,nASIG,DATOS!$I10800,nEVAL,"OR")=0))</f>
      </c>
      <c r="I10800">
        <f>IF(DATOS!$I10800="","",IFERROR(VLOOKUP(DATOS!$I10800,CONFIG_ASIGNATURAS!$B$2:$J$91,9,FALSE()),""))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IF(DATOS!$A10801="",0,IF(CONFIG_METADATA!$B$4&lt;&gt;"OR+EX",--(DATOS!$G10801=CONFIG_METADATA!$B$4),IF(DATOS!$G10801="EX",1,IF(DATOS!$G10801="OR",--(COUNTIFS(nNIA,DATOS!$A10801,nCURSO,DATOS!$D10801,nESPEC,DATOS!$E10801,nASIG,DATOS!$I10801,nEVAL,"EX")=0),0))))</f>
      </c>
      <c r="H10801">
        <f>IF(DATOS!$G10801&lt;&gt;"EX",0,--(COUNTIFS(nNIA,DATOS!$A10801,nCURSO,DATOS!$D10801,nESPEC,DATOS!$E10801,nASIG,DATOS!$I10801,nEVAL,"OR")=0))</f>
      </c>
      <c r="I10801">
        <f>IF(DATOS!$I10801="","",IFERROR(VLOOKUP(DATOS!$I10801,CONFIG_ASIGNATURAS!$B$2:$J$91,9,FALSE()),""))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IF(DATOS!$A10802="",0,IF(CONFIG_METADATA!$B$4&lt;&gt;"OR+EX",--(DATOS!$G10802=CONFIG_METADATA!$B$4),IF(DATOS!$G10802="EX",1,IF(DATOS!$G10802="OR",--(COUNTIFS(nNIA,DATOS!$A10802,nCURSO,DATOS!$D10802,nESPEC,DATOS!$E10802,nASIG,DATOS!$I10802,nEVAL,"EX")=0),0))))</f>
      </c>
      <c r="H10802">
        <f>IF(DATOS!$G10802&lt;&gt;"EX",0,--(COUNTIFS(nNIA,DATOS!$A10802,nCURSO,DATOS!$D10802,nESPEC,DATOS!$E10802,nASIG,DATOS!$I10802,nEVAL,"OR")=0))</f>
      </c>
      <c r="I10802">
        <f>IF(DATOS!$I10802="","",IFERROR(VLOOKUP(DATOS!$I10802,CONFIG_ASIGNATURAS!$B$2:$J$91,9,FALSE()),""))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IF(DATOS!$A10803="",0,IF(CONFIG_METADATA!$B$4&lt;&gt;"OR+EX",--(DATOS!$G10803=CONFIG_METADATA!$B$4),IF(DATOS!$G10803="EX",1,IF(DATOS!$G10803="OR",--(COUNTIFS(nNIA,DATOS!$A10803,nCURSO,DATOS!$D10803,nESPEC,DATOS!$E10803,nASIG,DATOS!$I10803,nEVAL,"EX")=0),0))))</f>
      </c>
      <c r="H10803">
        <f>IF(DATOS!$G10803&lt;&gt;"EX",0,--(COUNTIFS(nNIA,DATOS!$A10803,nCURSO,DATOS!$D10803,nESPEC,DATOS!$E10803,nASIG,DATOS!$I10803,nEVAL,"OR")=0))</f>
      </c>
      <c r="I10803">
        <f>IF(DATOS!$I10803="","",IFERROR(VLOOKUP(DATOS!$I10803,CONFIG_ASIGNATURAS!$B$2:$J$91,9,FALSE()),""))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IF(DATOS!$A10804="",0,IF(CONFIG_METADATA!$B$4&lt;&gt;"OR+EX",--(DATOS!$G10804=CONFIG_METADATA!$B$4),IF(DATOS!$G10804="EX",1,IF(DATOS!$G10804="OR",--(COUNTIFS(nNIA,DATOS!$A10804,nCURSO,DATOS!$D10804,nESPEC,DATOS!$E10804,nASIG,DATOS!$I10804,nEVAL,"EX")=0),0))))</f>
      </c>
      <c r="H10804">
        <f>IF(DATOS!$G10804&lt;&gt;"EX",0,--(COUNTIFS(nNIA,DATOS!$A10804,nCURSO,DATOS!$D10804,nESPEC,DATOS!$E10804,nASIG,DATOS!$I10804,nEVAL,"OR")=0))</f>
      </c>
      <c r="I10804">
        <f>IF(DATOS!$I10804="","",IFERROR(VLOOKUP(DATOS!$I10804,CONFIG_ASIGNATURAS!$B$2:$J$91,9,FALSE()),""))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IF(DATOS!$A10805="",0,IF(CONFIG_METADATA!$B$4&lt;&gt;"OR+EX",--(DATOS!$G10805=CONFIG_METADATA!$B$4),IF(DATOS!$G10805="EX",1,IF(DATOS!$G10805="OR",--(COUNTIFS(nNIA,DATOS!$A10805,nCURSO,DATOS!$D10805,nESPEC,DATOS!$E10805,nASIG,DATOS!$I10805,nEVAL,"EX")=0),0))))</f>
      </c>
      <c r="H10805">
        <f>IF(DATOS!$G10805&lt;&gt;"EX",0,--(COUNTIFS(nNIA,DATOS!$A10805,nCURSO,DATOS!$D10805,nESPEC,DATOS!$E10805,nASIG,DATOS!$I10805,nEVAL,"OR")=0))</f>
      </c>
      <c r="I10805">
        <f>IF(DATOS!$I10805="","",IFERROR(VLOOKUP(DATOS!$I10805,CONFIG_ASIGNATURAS!$B$2:$J$91,9,FALSE()),""))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IF(DATOS!$A10806="",0,IF(CONFIG_METADATA!$B$4&lt;&gt;"OR+EX",--(DATOS!$G10806=CONFIG_METADATA!$B$4),IF(DATOS!$G10806="EX",1,IF(DATOS!$G10806="OR",--(COUNTIFS(nNIA,DATOS!$A10806,nCURSO,DATOS!$D10806,nESPEC,DATOS!$E10806,nASIG,DATOS!$I10806,nEVAL,"EX")=0),0))))</f>
      </c>
      <c r="H10806">
        <f>IF(DATOS!$G10806&lt;&gt;"EX",0,--(COUNTIFS(nNIA,DATOS!$A10806,nCURSO,DATOS!$D10806,nESPEC,DATOS!$E10806,nASIG,DATOS!$I10806,nEVAL,"OR")=0))</f>
      </c>
      <c r="I10806">
        <f>IF(DATOS!$I10806="","",IFERROR(VLOOKUP(DATOS!$I10806,CONFIG_ASIGNATURAS!$B$2:$J$91,9,FALSE()),""))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IF(DATOS!$A10807="",0,IF(CONFIG_METADATA!$B$4&lt;&gt;"OR+EX",--(DATOS!$G10807=CONFIG_METADATA!$B$4),IF(DATOS!$G10807="EX",1,IF(DATOS!$G10807="OR",--(COUNTIFS(nNIA,DATOS!$A10807,nCURSO,DATOS!$D10807,nESPEC,DATOS!$E10807,nASIG,DATOS!$I10807,nEVAL,"EX")=0),0))))</f>
      </c>
      <c r="H10807">
        <f>IF(DATOS!$G10807&lt;&gt;"EX",0,--(COUNTIFS(nNIA,DATOS!$A10807,nCURSO,DATOS!$D10807,nESPEC,DATOS!$E10807,nASIG,DATOS!$I10807,nEVAL,"OR")=0))</f>
      </c>
      <c r="I10807">
        <f>IF(DATOS!$I10807="","",IFERROR(VLOOKUP(DATOS!$I10807,CONFIG_ASIGNATURAS!$B$2:$J$91,9,FALSE()),""))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IF(DATOS!$A10808="",0,IF(CONFIG_METADATA!$B$4&lt;&gt;"OR+EX",--(DATOS!$G10808=CONFIG_METADATA!$B$4),IF(DATOS!$G10808="EX",1,IF(DATOS!$G10808="OR",--(COUNTIFS(nNIA,DATOS!$A10808,nCURSO,DATOS!$D10808,nESPEC,DATOS!$E10808,nASIG,DATOS!$I10808,nEVAL,"EX")=0),0))))</f>
      </c>
      <c r="H10808">
        <f>IF(DATOS!$G10808&lt;&gt;"EX",0,--(COUNTIFS(nNIA,DATOS!$A10808,nCURSO,DATOS!$D10808,nESPEC,DATOS!$E10808,nASIG,DATOS!$I10808,nEVAL,"OR")=0))</f>
      </c>
      <c r="I10808">
        <f>IF(DATOS!$I10808="","",IFERROR(VLOOKUP(DATOS!$I10808,CONFIG_ASIGNATURAS!$B$2:$J$91,9,FALSE()),""))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IF(DATOS!$A10809="",0,IF(CONFIG_METADATA!$B$4&lt;&gt;"OR+EX",--(DATOS!$G10809=CONFIG_METADATA!$B$4),IF(DATOS!$G10809="EX",1,IF(DATOS!$G10809="OR",--(COUNTIFS(nNIA,DATOS!$A10809,nCURSO,DATOS!$D10809,nESPEC,DATOS!$E10809,nASIG,DATOS!$I10809,nEVAL,"EX")=0),0))))</f>
      </c>
      <c r="H10809">
        <f>IF(DATOS!$G10809&lt;&gt;"EX",0,--(COUNTIFS(nNIA,DATOS!$A10809,nCURSO,DATOS!$D10809,nESPEC,DATOS!$E10809,nASIG,DATOS!$I10809,nEVAL,"OR")=0))</f>
      </c>
      <c r="I10809">
        <f>IF(DATOS!$I10809="","",IFERROR(VLOOKUP(DATOS!$I10809,CONFIG_ASIGNATURAS!$B$2:$J$91,9,FALSE()),""))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IF(DATOS!$A10810="",0,IF(CONFIG_METADATA!$B$4&lt;&gt;"OR+EX",--(DATOS!$G10810=CONFIG_METADATA!$B$4),IF(DATOS!$G10810="EX",1,IF(DATOS!$G10810="OR",--(COUNTIFS(nNIA,DATOS!$A10810,nCURSO,DATOS!$D10810,nESPEC,DATOS!$E10810,nASIG,DATOS!$I10810,nEVAL,"EX")=0),0))))</f>
      </c>
      <c r="H10810">
        <f>IF(DATOS!$G10810&lt;&gt;"EX",0,--(COUNTIFS(nNIA,DATOS!$A10810,nCURSO,DATOS!$D10810,nESPEC,DATOS!$E10810,nASIG,DATOS!$I10810,nEVAL,"OR")=0))</f>
      </c>
      <c r="I10810">
        <f>IF(DATOS!$I10810="","",IFERROR(VLOOKUP(DATOS!$I10810,CONFIG_ASIGNATURAS!$B$2:$J$91,9,FALSE()),""))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IF(DATOS!$A10811="",0,IF(CONFIG_METADATA!$B$4&lt;&gt;"OR+EX",--(DATOS!$G10811=CONFIG_METADATA!$B$4),IF(DATOS!$G10811="EX",1,IF(DATOS!$G10811="OR",--(COUNTIFS(nNIA,DATOS!$A10811,nCURSO,DATOS!$D10811,nESPEC,DATOS!$E10811,nASIG,DATOS!$I10811,nEVAL,"EX")=0),0))))</f>
      </c>
      <c r="H10811">
        <f>IF(DATOS!$G10811&lt;&gt;"EX",0,--(COUNTIFS(nNIA,DATOS!$A10811,nCURSO,DATOS!$D10811,nESPEC,DATOS!$E10811,nASIG,DATOS!$I10811,nEVAL,"OR")=0))</f>
      </c>
      <c r="I10811">
        <f>IF(DATOS!$I10811="","",IFERROR(VLOOKUP(DATOS!$I10811,CONFIG_ASIGNATURAS!$B$2:$J$91,9,FALSE()),""))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IF(DATOS!$A10812="",0,IF(CONFIG_METADATA!$B$4&lt;&gt;"OR+EX",--(DATOS!$G10812=CONFIG_METADATA!$B$4),IF(DATOS!$G10812="EX",1,IF(DATOS!$G10812="OR",--(COUNTIFS(nNIA,DATOS!$A10812,nCURSO,DATOS!$D10812,nESPEC,DATOS!$E10812,nASIG,DATOS!$I10812,nEVAL,"EX")=0),0))))</f>
      </c>
      <c r="H10812">
        <f>IF(DATOS!$G10812&lt;&gt;"EX",0,--(COUNTIFS(nNIA,DATOS!$A10812,nCURSO,DATOS!$D10812,nESPEC,DATOS!$E10812,nASIG,DATOS!$I10812,nEVAL,"OR")=0))</f>
      </c>
      <c r="I10812">
        <f>IF(DATOS!$I10812="","",IFERROR(VLOOKUP(DATOS!$I10812,CONFIG_ASIGNATURAS!$B$2:$J$91,9,FALSE()),""))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IF(DATOS!$A10813="",0,IF(CONFIG_METADATA!$B$4&lt;&gt;"OR+EX",--(DATOS!$G10813=CONFIG_METADATA!$B$4),IF(DATOS!$G10813="EX",1,IF(DATOS!$G10813="OR",--(COUNTIFS(nNIA,DATOS!$A10813,nCURSO,DATOS!$D10813,nESPEC,DATOS!$E10813,nASIG,DATOS!$I10813,nEVAL,"EX")=0),0))))</f>
      </c>
      <c r="H10813">
        <f>IF(DATOS!$G10813&lt;&gt;"EX",0,--(COUNTIFS(nNIA,DATOS!$A10813,nCURSO,DATOS!$D10813,nESPEC,DATOS!$E10813,nASIG,DATOS!$I10813,nEVAL,"OR")=0))</f>
      </c>
      <c r="I10813">
        <f>IF(DATOS!$I10813="","",IFERROR(VLOOKUP(DATOS!$I10813,CONFIG_ASIGNATURAS!$B$2:$J$91,9,FALSE()),""))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IF(DATOS!$A10814="",0,IF(CONFIG_METADATA!$B$4&lt;&gt;"OR+EX",--(DATOS!$G10814=CONFIG_METADATA!$B$4),IF(DATOS!$G10814="EX",1,IF(DATOS!$G10814="OR",--(COUNTIFS(nNIA,DATOS!$A10814,nCURSO,DATOS!$D10814,nESPEC,DATOS!$E10814,nASIG,DATOS!$I10814,nEVAL,"EX")=0),0))))</f>
      </c>
      <c r="H10814">
        <f>IF(DATOS!$G10814&lt;&gt;"EX",0,--(COUNTIFS(nNIA,DATOS!$A10814,nCURSO,DATOS!$D10814,nESPEC,DATOS!$E10814,nASIG,DATOS!$I10814,nEVAL,"OR")=0))</f>
      </c>
      <c r="I10814">
        <f>IF(DATOS!$I10814="","",IFERROR(VLOOKUP(DATOS!$I10814,CONFIG_ASIGNATURAS!$B$2:$J$91,9,FALSE()),""))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IF(DATOS!$A10815="",0,IF(CONFIG_METADATA!$B$4&lt;&gt;"OR+EX",--(DATOS!$G10815=CONFIG_METADATA!$B$4),IF(DATOS!$G10815="EX",1,IF(DATOS!$G10815="OR",--(COUNTIFS(nNIA,DATOS!$A10815,nCURSO,DATOS!$D10815,nESPEC,DATOS!$E10815,nASIG,DATOS!$I10815,nEVAL,"EX")=0),0))))</f>
      </c>
      <c r="H10815">
        <f>IF(DATOS!$G10815&lt;&gt;"EX",0,--(COUNTIFS(nNIA,DATOS!$A10815,nCURSO,DATOS!$D10815,nESPEC,DATOS!$E10815,nASIG,DATOS!$I10815,nEVAL,"OR")=0))</f>
      </c>
      <c r="I10815">
        <f>IF(DATOS!$I10815="","",IFERROR(VLOOKUP(DATOS!$I10815,CONFIG_ASIGNATURAS!$B$2:$J$91,9,FALSE()),""))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IF(DATOS!$A10816="",0,IF(CONFIG_METADATA!$B$4&lt;&gt;"OR+EX",--(DATOS!$G10816=CONFIG_METADATA!$B$4),IF(DATOS!$G10816="EX",1,IF(DATOS!$G10816="OR",--(COUNTIFS(nNIA,DATOS!$A10816,nCURSO,DATOS!$D10816,nESPEC,DATOS!$E10816,nASIG,DATOS!$I10816,nEVAL,"EX")=0),0))))</f>
      </c>
      <c r="H10816">
        <f>IF(DATOS!$G10816&lt;&gt;"EX",0,--(COUNTIFS(nNIA,DATOS!$A10816,nCURSO,DATOS!$D10816,nESPEC,DATOS!$E10816,nASIG,DATOS!$I10816,nEVAL,"OR")=0))</f>
      </c>
      <c r="I10816">
        <f>IF(DATOS!$I10816="","",IFERROR(VLOOKUP(DATOS!$I10816,CONFIG_ASIGNATURAS!$B$2:$J$91,9,FALSE()),""))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IF(DATOS!$A10817="",0,IF(CONFIG_METADATA!$B$4&lt;&gt;"OR+EX",--(DATOS!$G10817=CONFIG_METADATA!$B$4),IF(DATOS!$G10817="EX",1,IF(DATOS!$G10817="OR",--(COUNTIFS(nNIA,DATOS!$A10817,nCURSO,DATOS!$D10817,nESPEC,DATOS!$E10817,nASIG,DATOS!$I10817,nEVAL,"EX")=0),0))))</f>
      </c>
      <c r="H10817">
        <f>IF(DATOS!$G10817&lt;&gt;"EX",0,--(COUNTIFS(nNIA,DATOS!$A10817,nCURSO,DATOS!$D10817,nESPEC,DATOS!$E10817,nASIG,DATOS!$I10817,nEVAL,"OR")=0))</f>
      </c>
      <c r="I10817">
        <f>IF(DATOS!$I10817="","",IFERROR(VLOOKUP(DATOS!$I10817,CONFIG_ASIGNATURAS!$B$2:$J$91,9,FALSE()),""))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IF(DATOS!$A10818="",0,IF(CONFIG_METADATA!$B$4&lt;&gt;"OR+EX",--(DATOS!$G10818=CONFIG_METADATA!$B$4),IF(DATOS!$G10818="EX",1,IF(DATOS!$G10818="OR",--(COUNTIFS(nNIA,DATOS!$A10818,nCURSO,DATOS!$D10818,nESPEC,DATOS!$E10818,nASIG,DATOS!$I10818,nEVAL,"EX")=0),0))))</f>
      </c>
      <c r="H10818">
        <f>IF(DATOS!$G10818&lt;&gt;"EX",0,--(COUNTIFS(nNIA,DATOS!$A10818,nCURSO,DATOS!$D10818,nESPEC,DATOS!$E10818,nASIG,DATOS!$I10818,nEVAL,"OR")=0))</f>
      </c>
      <c r="I10818">
        <f>IF(DATOS!$I10818="","",IFERROR(VLOOKUP(DATOS!$I10818,CONFIG_ASIGNATURAS!$B$2:$J$91,9,FALSE()),""))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IF(DATOS!$A10819="",0,IF(CONFIG_METADATA!$B$4&lt;&gt;"OR+EX",--(DATOS!$G10819=CONFIG_METADATA!$B$4),IF(DATOS!$G10819="EX",1,IF(DATOS!$G10819="OR",--(COUNTIFS(nNIA,DATOS!$A10819,nCURSO,DATOS!$D10819,nESPEC,DATOS!$E10819,nASIG,DATOS!$I10819,nEVAL,"EX")=0),0))))</f>
      </c>
      <c r="H10819">
        <f>IF(DATOS!$G10819&lt;&gt;"EX",0,--(COUNTIFS(nNIA,DATOS!$A10819,nCURSO,DATOS!$D10819,nESPEC,DATOS!$E10819,nASIG,DATOS!$I10819,nEVAL,"OR")=0))</f>
      </c>
      <c r="I10819">
        <f>IF(DATOS!$I10819="","",IFERROR(VLOOKUP(DATOS!$I10819,CONFIG_ASIGNATURAS!$B$2:$J$91,9,FALSE()),""))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IF(DATOS!$A10820="",0,IF(CONFIG_METADATA!$B$4&lt;&gt;"OR+EX",--(DATOS!$G10820=CONFIG_METADATA!$B$4),IF(DATOS!$G10820="EX",1,IF(DATOS!$G10820="OR",--(COUNTIFS(nNIA,DATOS!$A10820,nCURSO,DATOS!$D10820,nESPEC,DATOS!$E10820,nASIG,DATOS!$I10820,nEVAL,"EX")=0),0))))</f>
      </c>
      <c r="H10820">
        <f>IF(DATOS!$G10820&lt;&gt;"EX",0,--(COUNTIFS(nNIA,DATOS!$A10820,nCURSO,DATOS!$D10820,nESPEC,DATOS!$E10820,nASIG,DATOS!$I10820,nEVAL,"OR")=0))</f>
      </c>
      <c r="I10820">
        <f>IF(DATOS!$I10820="","",IFERROR(VLOOKUP(DATOS!$I10820,CONFIG_ASIGNATURAS!$B$2:$J$91,9,FALSE()),""))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IF(DATOS!$A10821="",0,IF(CONFIG_METADATA!$B$4&lt;&gt;"OR+EX",--(DATOS!$G10821=CONFIG_METADATA!$B$4),IF(DATOS!$G10821="EX",1,IF(DATOS!$G10821="OR",--(COUNTIFS(nNIA,DATOS!$A10821,nCURSO,DATOS!$D10821,nESPEC,DATOS!$E10821,nASIG,DATOS!$I10821,nEVAL,"EX")=0),0))))</f>
      </c>
      <c r="H10821">
        <f>IF(DATOS!$G10821&lt;&gt;"EX",0,--(COUNTIFS(nNIA,DATOS!$A10821,nCURSO,DATOS!$D10821,nESPEC,DATOS!$E10821,nASIG,DATOS!$I10821,nEVAL,"OR")=0))</f>
      </c>
      <c r="I10821">
        <f>IF(DATOS!$I10821="","",IFERROR(VLOOKUP(DATOS!$I10821,CONFIG_ASIGNATURAS!$B$2:$J$91,9,FALSE()),""))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IF(DATOS!$A10822="",0,IF(CONFIG_METADATA!$B$4&lt;&gt;"OR+EX",--(DATOS!$G10822=CONFIG_METADATA!$B$4),IF(DATOS!$G10822="EX",1,IF(DATOS!$G10822="OR",--(COUNTIFS(nNIA,DATOS!$A10822,nCURSO,DATOS!$D10822,nESPEC,DATOS!$E10822,nASIG,DATOS!$I10822,nEVAL,"EX")=0),0))))</f>
      </c>
      <c r="H10822">
        <f>IF(DATOS!$G10822&lt;&gt;"EX",0,--(COUNTIFS(nNIA,DATOS!$A10822,nCURSO,DATOS!$D10822,nESPEC,DATOS!$E10822,nASIG,DATOS!$I10822,nEVAL,"OR")=0))</f>
      </c>
      <c r="I10822">
        <f>IF(DATOS!$I10822="","",IFERROR(VLOOKUP(DATOS!$I10822,CONFIG_ASIGNATURAS!$B$2:$J$91,9,FALSE()),""))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IF(DATOS!$A10823="",0,IF(CONFIG_METADATA!$B$4&lt;&gt;"OR+EX",--(DATOS!$G10823=CONFIG_METADATA!$B$4),IF(DATOS!$G10823="EX",1,IF(DATOS!$G10823="OR",--(COUNTIFS(nNIA,DATOS!$A10823,nCURSO,DATOS!$D10823,nESPEC,DATOS!$E10823,nASIG,DATOS!$I10823,nEVAL,"EX")=0),0))))</f>
      </c>
      <c r="H10823">
        <f>IF(DATOS!$G10823&lt;&gt;"EX",0,--(COUNTIFS(nNIA,DATOS!$A10823,nCURSO,DATOS!$D10823,nESPEC,DATOS!$E10823,nASIG,DATOS!$I10823,nEVAL,"OR")=0))</f>
      </c>
      <c r="I10823">
        <f>IF(DATOS!$I10823="","",IFERROR(VLOOKUP(DATOS!$I10823,CONFIG_ASIGNATURAS!$B$2:$J$91,9,FALSE()),""))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IF(DATOS!$A10824="",0,IF(CONFIG_METADATA!$B$4&lt;&gt;"OR+EX",--(DATOS!$G10824=CONFIG_METADATA!$B$4),IF(DATOS!$G10824="EX",1,IF(DATOS!$G10824="OR",--(COUNTIFS(nNIA,DATOS!$A10824,nCURSO,DATOS!$D10824,nESPEC,DATOS!$E10824,nASIG,DATOS!$I10824,nEVAL,"EX")=0),0))))</f>
      </c>
      <c r="H10824">
        <f>IF(DATOS!$G10824&lt;&gt;"EX",0,--(COUNTIFS(nNIA,DATOS!$A10824,nCURSO,DATOS!$D10824,nESPEC,DATOS!$E10824,nASIG,DATOS!$I10824,nEVAL,"OR")=0))</f>
      </c>
      <c r="I10824">
        <f>IF(DATOS!$I10824="","",IFERROR(VLOOKUP(DATOS!$I10824,CONFIG_ASIGNATURAS!$B$2:$J$91,9,FALSE()),""))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IF(DATOS!$A10825="",0,IF(CONFIG_METADATA!$B$4&lt;&gt;"OR+EX",--(DATOS!$G10825=CONFIG_METADATA!$B$4),IF(DATOS!$G10825="EX",1,IF(DATOS!$G10825="OR",--(COUNTIFS(nNIA,DATOS!$A10825,nCURSO,DATOS!$D10825,nESPEC,DATOS!$E10825,nASIG,DATOS!$I10825,nEVAL,"EX")=0),0))))</f>
      </c>
      <c r="H10825">
        <f>IF(DATOS!$G10825&lt;&gt;"EX",0,--(COUNTIFS(nNIA,DATOS!$A10825,nCURSO,DATOS!$D10825,nESPEC,DATOS!$E10825,nASIG,DATOS!$I10825,nEVAL,"OR")=0))</f>
      </c>
      <c r="I10825">
        <f>IF(DATOS!$I10825="","",IFERROR(VLOOKUP(DATOS!$I10825,CONFIG_ASIGNATURAS!$B$2:$J$91,9,FALSE()),""))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IF(DATOS!$A10826="",0,IF(CONFIG_METADATA!$B$4&lt;&gt;"OR+EX",--(DATOS!$G10826=CONFIG_METADATA!$B$4),IF(DATOS!$G10826="EX",1,IF(DATOS!$G10826="OR",--(COUNTIFS(nNIA,DATOS!$A10826,nCURSO,DATOS!$D10826,nESPEC,DATOS!$E10826,nASIG,DATOS!$I10826,nEVAL,"EX")=0),0))))</f>
      </c>
      <c r="H10826">
        <f>IF(DATOS!$G10826&lt;&gt;"EX",0,--(COUNTIFS(nNIA,DATOS!$A10826,nCURSO,DATOS!$D10826,nESPEC,DATOS!$E10826,nASIG,DATOS!$I10826,nEVAL,"OR")=0))</f>
      </c>
      <c r="I10826">
        <f>IF(DATOS!$I10826="","",IFERROR(VLOOKUP(DATOS!$I10826,CONFIG_ASIGNATURAS!$B$2:$J$91,9,FALSE()),""))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IF(DATOS!$A10827="",0,IF(CONFIG_METADATA!$B$4&lt;&gt;"OR+EX",--(DATOS!$G10827=CONFIG_METADATA!$B$4),IF(DATOS!$G10827="EX",1,IF(DATOS!$G10827="OR",--(COUNTIFS(nNIA,DATOS!$A10827,nCURSO,DATOS!$D10827,nESPEC,DATOS!$E10827,nASIG,DATOS!$I10827,nEVAL,"EX")=0),0))))</f>
      </c>
      <c r="H10827">
        <f>IF(DATOS!$G10827&lt;&gt;"EX",0,--(COUNTIFS(nNIA,DATOS!$A10827,nCURSO,DATOS!$D10827,nESPEC,DATOS!$E10827,nASIG,DATOS!$I10827,nEVAL,"OR")=0))</f>
      </c>
      <c r="I10827">
        <f>IF(DATOS!$I10827="","",IFERROR(VLOOKUP(DATOS!$I10827,CONFIG_ASIGNATURAS!$B$2:$J$91,9,FALSE()),""))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IF(DATOS!$A10828="",0,IF(CONFIG_METADATA!$B$4&lt;&gt;"OR+EX",--(DATOS!$G10828=CONFIG_METADATA!$B$4),IF(DATOS!$G10828="EX",1,IF(DATOS!$G10828="OR",--(COUNTIFS(nNIA,DATOS!$A10828,nCURSO,DATOS!$D10828,nESPEC,DATOS!$E10828,nASIG,DATOS!$I10828,nEVAL,"EX")=0),0))))</f>
      </c>
      <c r="H10828">
        <f>IF(DATOS!$G10828&lt;&gt;"EX",0,--(COUNTIFS(nNIA,DATOS!$A10828,nCURSO,DATOS!$D10828,nESPEC,DATOS!$E10828,nASIG,DATOS!$I10828,nEVAL,"OR")=0))</f>
      </c>
      <c r="I10828">
        <f>IF(DATOS!$I10828="","",IFERROR(VLOOKUP(DATOS!$I10828,CONFIG_ASIGNATURAS!$B$2:$J$91,9,FALSE()),""))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IF(DATOS!$A10829="",0,IF(CONFIG_METADATA!$B$4&lt;&gt;"OR+EX",--(DATOS!$G10829=CONFIG_METADATA!$B$4),IF(DATOS!$G10829="EX",1,IF(DATOS!$G10829="OR",--(COUNTIFS(nNIA,DATOS!$A10829,nCURSO,DATOS!$D10829,nESPEC,DATOS!$E10829,nASIG,DATOS!$I10829,nEVAL,"EX")=0),0))))</f>
      </c>
      <c r="H10829">
        <f>IF(DATOS!$G10829&lt;&gt;"EX",0,--(COUNTIFS(nNIA,DATOS!$A10829,nCURSO,DATOS!$D10829,nESPEC,DATOS!$E10829,nASIG,DATOS!$I10829,nEVAL,"OR")=0))</f>
      </c>
      <c r="I10829">
        <f>IF(DATOS!$I10829="","",IFERROR(VLOOKUP(DATOS!$I10829,CONFIG_ASIGNATURAS!$B$2:$J$91,9,FALSE()),""))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IF(DATOS!$A10830="",0,IF(CONFIG_METADATA!$B$4&lt;&gt;"OR+EX",--(DATOS!$G10830=CONFIG_METADATA!$B$4),IF(DATOS!$G10830="EX",1,IF(DATOS!$G10830="OR",--(COUNTIFS(nNIA,DATOS!$A10830,nCURSO,DATOS!$D10830,nESPEC,DATOS!$E10830,nASIG,DATOS!$I10830,nEVAL,"EX")=0),0))))</f>
      </c>
      <c r="H10830">
        <f>IF(DATOS!$G10830&lt;&gt;"EX",0,--(COUNTIFS(nNIA,DATOS!$A10830,nCURSO,DATOS!$D10830,nESPEC,DATOS!$E10830,nASIG,DATOS!$I10830,nEVAL,"OR")=0))</f>
      </c>
      <c r="I10830">
        <f>IF(DATOS!$I10830="","",IFERROR(VLOOKUP(DATOS!$I10830,CONFIG_ASIGNATURAS!$B$2:$J$91,9,FALSE()),""))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IF(DATOS!$A10831="",0,IF(CONFIG_METADATA!$B$4&lt;&gt;"OR+EX",--(DATOS!$G10831=CONFIG_METADATA!$B$4),IF(DATOS!$G10831="EX",1,IF(DATOS!$G10831="OR",--(COUNTIFS(nNIA,DATOS!$A10831,nCURSO,DATOS!$D10831,nESPEC,DATOS!$E10831,nASIG,DATOS!$I10831,nEVAL,"EX")=0),0))))</f>
      </c>
      <c r="H10831">
        <f>IF(DATOS!$G10831&lt;&gt;"EX",0,--(COUNTIFS(nNIA,DATOS!$A10831,nCURSO,DATOS!$D10831,nESPEC,DATOS!$E10831,nASIG,DATOS!$I10831,nEVAL,"OR")=0))</f>
      </c>
      <c r="I10831">
        <f>IF(DATOS!$I10831="","",IFERROR(VLOOKUP(DATOS!$I10831,CONFIG_ASIGNATURAS!$B$2:$J$91,9,FALSE()),""))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IF(DATOS!$A10832="",0,IF(CONFIG_METADATA!$B$4&lt;&gt;"OR+EX",--(DATOS!$G10832=CONFIG_METADATA!$B$4),IF(DATOS!$G10832="EX",1,IF(DATOS!$G10832="OR",--(COUNTIFS(nNIA,DATOS!$A10832,nCURSO,DATOS!$D10832,nESPEC,DATOS!$E10832,nASIG,DATOS!$I10832,nEVAL,"EX")=0),0))))</f>
      </c>
      <c r="H10832">
        <f>IF(DATOS!$G10832&lt;&gt;"EX",0,--(COUNTIFS(nNIA,DATOS!$A10832,nCURSO,DATOS!$D10832,nESPEC,DATOS!$E10832,nASIG,DATOS!$I10832,nEVAL,"OR")=0))</f>
      </c>
      <c r="I10832">
        <f>IF(DATOS!$I10832="","",IFERROR(VLOOKUP(DATOS!$I10832,CONFIG_ASIGNATURAS!$B$2:$J$91,9,FALSE()),""))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IF(DATOS!$A10833="",0,IF(CONFIG_METADATA!$B$4&lt;&gt;"OR+EX",--(DATOS!$G10833=CONFIG_METADATA!$B$4),IF(DATOS!$G10833="EX",1,IF(DATOS!$G10833="OR",--(COUNTIFS(nNIA,DATOS!$A10833,nCURSO,DATOS!$D10833,nESPEC,DATOS!$E10833,nASIG,DATOS!$I10833,nEVAL,"EX")=0),0))))</f>
      </c>
      <c r="H10833">
        <f>IF(DATOS!$G10833&lt;&gt;"EX",0,--(COUNTIFS(nNIA,DATOS!$A10833,nCURSO,DATOS!$D10833,nESPEC,DATOS!$E10833,nASIG,DATOS!$I10833,nEVAL,"OR")=0))</f>
      </c>
      <c r="I10833">
        <f>IF(DATOS!$I10833="","",IFERROR(VLOOKUP(DATOS!$I10833,CONFIG_ASIGNATURAS!$B$2:$J$91,9,FALSE()),""))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IF(DATOS!$A10834="",0,IF(CONFIG_METADATA!$B$4&lt;&gt;"OR+EX",--(DATOS!$G10834=CONFIG_METADATA!$B$4),IF(DATOS!$G10834="EX",1,IF(DATOS!$G10834="OR",--(COUNTIFS(nNIA,DATOS!$A10834,nCURSO,DATOS!$D10834,nESPEC,DATOS!$E10834,nASIG,DATOS!$I10834,nEVAL,"EX")=0),0))))</f>
      </c>
      <c r="H10834">
        <f>IF(DATOS!$G10834&lt;&gt;"EX",0,--(COUNTIFS(nNIA,DATOS!$A10834,nCURSO,DATOS!$D10834,nESPEC,DATOS!$E10834,nASIG,DATOS!$I10834,nEVAL,"OR")=0))</f>
      </c>
      <c r="I10834">
        <f>IF(DATOS!$I10834="","",IFERROR(VLOOKUP(DATOS!$I10834,CONFIG_ASIGNATURAS!$B$2:$J$91,9,FALSE()),""))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IF(DATOS!$A10835="",0,IF(CONFIG_METADATA!$B$4&lt;&gt;"OR+EX",--(DATOS!$G10835=CONFIG_METADATA!$B$4),IF(DATOS!$G10835="EX",1,IF(DATOS!$G10835="OR",--(COUNTIFS(nNIA,DATOS!$A10835,nCURSO,DATOS!$D10835,nESPEC,DATOS!$E10835,nASIG,DATOS!$I10835,nEVAL,"EX")=0),0))))</f>
      </c>
      <c r="H10835">
        <f>IF(DATOS!$G10835&lt;&gt;"EX",0,--(COUNTIFS(nNIA,DATOS!$A10835,nCURSO,DATOS!$D10835,nESPEC,DATOS!$E10835,nASIG,DATOS!$I10835,nEVAL,"OR")=0))</f>
      </c>
      <c r="I10835">
        <f>IF(DATOS!$I10835="","",IFERROR(VLOOKUP(DATOS!$I10835,CONFIG_ASIGNATURAS!$B$2:$J$91,9,FALSE()),""))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IF(DATOS!$A10836="",0,IF(CONFIG_METADATA!$B$4&lt;&gt;"OR+EX",--(DATOS!$G10836=CONFIG_METADATA!$B$4),IF(DATOS!$G10836="EX",1,IF(DATOS!$G10836="OR",--(COUNTIFS(nNIA,DATOS!$A10836,nCURSO,DATOS!$D10836,nESPEC,DATOS!$E10836,nASIG,DATOS!$I10836,nEVAL,"EX")=0),0))))</f>
      </c>
      <c r="H10836">
        <f>IF(DATOS!$G10836&lt;&gt;"EX",0,--(COUNTIFS(nNIA,DATOS!$A10836,nCURSO,DATOS!$D10836,nESPEC,DATOS!$E10836,nASIG,DATOS!$I10836,nEVAL,"OR")=0))</f>
      </c>
      <c r="I10836">
        <f>IF(DATOS!$I10836="","",IFERROR(VLOOKUP(DATOS!$I10836,CONFIG_ASIGNATURAS!$B$2:$J$91,9,FALSE()),""))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IF(DATOS!$A10837="",0,IF(CONFIG_METADATA!$B$4&lt;&gt;"OR+EX",--(DATOS!$G10837=CONFIG_METADATA!$B$4),IF(DATOS!$G10837="EX",1,IF(DATOS!$G10837="OR",--(COUNTIFS(nNIA,DATOS!$A10837,nCURSO,DATOS!$D10837,nESPEC,DATOS!$E10837,nASIG,DATOS!$I10837,nEVAL,"EX")=0),0))))</f>
      </c>
      <c r="H10837">
        <f>IF(DATOS!$G10837&lt;&gt;"EX",0,--(COUNTIFS(nNIA,DATOS!$A10837,nCURSO,DATOS!$D10837,nESPEC,DATOS!$E10837,nASIG,DATOS!$I10837,nEVAL,"OR")=0))</f>
      </c>
      <c r="I10837">
        <f>IF(DATOS!$I10837="","",IFERROR(VLOOKUP(DATOS!$I10837,CONFIG_ASIGNATURAS!$B$2:$J$91,9,FALSE()),""))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IF(DATOS!$A10838="",0,IF(CONFIG_METADATA!$B$4&lt;&gt;"OR+EX",--(DATOS!$G10838=CONFIG_METADATA!$B$4),IF(DATOS!$G10838="EX",1,IF(DATOS!$G10838="OR",--(COUNTIFS(nNIA,DATOS!$A10838,nCURSO,DATOS!$D10838,nESPEC,DATOS!$E10838,nASIG,DATOS!$I10838,nEVAL,"EX")=0),0))))</f>
      </c>
      <c r="H10838">
        <f>IF(DATOS!$G10838&lt;&gt;"EX",0,--(COUNTIFS(nNIA,DATOS!$A10838,nCURSO,DATOS!$D10838,nESPEC,DATOS!$E10838,nASIG,DATOS!$I10838,nEVAL,"OR")=0))</f>
      </c>
      <c r="I10838">
        <f>IF(DATOS!$I10838="","",IFERROR(VLOOKUP(DATOS!$I10838,CONFIG_ASIGNATURAS!$B$2:$J$91,9,FALSE()),""))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IF(DATOS!$A10839="",0,IF(CONFIG_METADATA!$B$4&lt;&gt;"OR+EX",--(DATOS!$G10839=CONFIG_METADATA!$B$4),IF(DATOS!$G10839="EX",1,IF(DATOS!$G10839="OR",--(COUNTIFS(nNIA,DATOS!$A10839,nCURSO,DATOS!$D10839,nESPEC,DATOS!$E10839,nASIG,DATOS!$I10839,nEVAL,"EX")=0),0))))</f>
      </c>
      <c r="H10839">
        <f>IF(DATOS!$G10839&lt;&gt;"EX",0,--(COUNTIFS(nNIA,DATOS!$A10839,nCURSO,DATOS!$D10839,nESPEC,DATOS!$E10839,nASIG,DATOS!$I10839,nEVAL,"OR")=0))</f>
      </c>
      <c r="I10839">
        <f>IF(DATOS!$I10839="","",IFERROR(VLOOKUP(DATOS!$I10839,CONFIG_ASIGNATURAS!$B$2:$J$91,9,FALSE()),""))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IF(DATOS!$A10840="",0,IF(CONFIG_METADATA!$B$4&lt;&gt;"OR+EX",--(DATOS!$G10840=CONFIG_METADATA!$B$4),IF(DATOS!$G10840="EX",1,IF(DATOS!$G10840="OR",--(COUNTIFS(nNIA,DATOS!$A10840,nCURSO,DATOS!$D10840,nESPEC,DATOS!$E10840,nASIG,DATOS!$I10840,nEVAL,"EX")=0),0))))</f>
      </c>
      <c r="H10840">
        <f>IF(DATOS!$G10840&lt;&gt;"EX",0,--(COUNTIFS(nNIA,DATOS!$A10840,nCURSO,DATOS!$D10840,nESPEC,DATOS!$E10840,nASIG,DATOS!$I10840,nEVAL,"OR")=0))</f>
      </c>
      <c r="I10840">
        <f>IF(DATOS!$I10840="","",IFERROR(VLOOKUP(DATOS!$I10840,CONFIG_ASIGNATURAS!$B$2:$J$91,9,FALSE()),""))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IF(DATOS!$A10841="",0,IF(CONFIG_METADATA!$B$4&lt;&gt;"OR+EX",--(DATOS!$G10841=CONFIG_METADATA!$B$4),IF(DATOS!$G10841="EX",1,IF(DATOS!$G10841="OR",--(COUNTIFS(nNIA,DATOS!$A10841,nCURSO,DATOS!$D10841,nESPEC,DATOS!$E10841,nASIG,DATOS!$I10841,nEVAL,"EX")=0),0))))</f>
      </c>
      <c r="H10841">
        <f>IF(DATOS!$G10841&lt;&gt;"EX",0,--(COUNTIFS(nNIA,DATOS!$A10841,nCURSO,DATOS!$D10841,nESPEC,DATOS!$E10841,nASIG,DATOS!$I10841,nEVAL,"OR")=0))</f>
      </c>
      <c r="I10841">
        <f>IF(DATOS!$I10841="","",IFERROR(VLOOKUP(DATOS!$I10841,CONFIG_ASIGNATURAS!$B$2:$J$91,9,FALSE()),""))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IF(DATOS!$A10842="",0,IF(CONFIG_METADATA!$B$4&lt;&gt;"OR+EX",--(DATOS!$G10842=CONFIG_METADATA!$B$4),IF(DATOS!$G10842="EX",1,IF(DATOS!$G10842="OR",--(COUNTIFS(nNIA,DATOS!$A10842,nCURSO,DATOS!$D10842,nESPEC,DATOS!$E10842,nASIG,DATOS!$I10842,nEVAL,"EX")=0),0))))</f>
      </c>
      <c r="H10842">
        <f>IF(DATOS!$G10842&lt;&gt;"EX",0,--(COUNTIFS(nNIA,DATOS!$A10842,nCURSO,DATOS!$D10842,nESPEC,DATOS!$E10842,nASIG,DATOS!$I10842,nEVAL,"OR")=0))</f>
      </c>
      <c r="I10842">
        <f>IF(DATOS!$I10842="","",IFERROR(VLOOKUP(DATOS!$I10842,CONFIG_ASIGNATURAS!$B$2:$J$91,9,FALSE()),""))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IF(DATOS!$A10843="",0,IF(CONFIG_METADATA!$B$4&lt;&gt;"OR+EX",--(DATOS!$G10843=CONFIG_METADATA!$B$4),IF(DATOS!$G10843="EX",1,IF(DATOS!$G10843="OR",--(COUNTIFS(nNIA,DATOS!$A10843,nCURSO,DATOS!$D10843,nESPEC,DATOS!$E10843,nASIG,DATOS!$I10843,nEVAL,"EX")=0),0))))</f>
      </c>
      <c r="H10843">
        <f>IF(DATOS!$G10843&lt;&gt;"EX",0,--(COUNTIFS(nNIA,DATOS!$A10843,nCURSO,DATOS!$D10843,nESPEC,DATOS!$E10843,nASIG,DATOS!$I10843,nEVAL,"OR")=0))</f>
      </c>
      <c r="I10843">
        <f>IF(DATOS!$I10843="","",IFERROR(VLOOKUP(DATOS!$I10843,CONFIG_ASIGNATURAS!$B$2:$J$91,9,FALSE()),""))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IF(DATOS!$A10844="",0,IF(CONFIG_METADATA!$B$4&lt;&gt;"OR+EX",--(DATOS!$G10844=CONFIG_METADATA!$B$4),IF(DATOS!$G10844="EX",1,IF(DATOS!$G10844="OR",--(COUNTIFS(nNIA,DATOS!$A10844,nCURSO,DATOS!$D10844,nESPEC,DATOS!$E10844,nASIG,DATOS!$I10844,nEVAL,"EX")=0),0))))</f>
      </c>
      <c r="H10844">
        <f>IF(DATOS!$G10844&lt;&gt;"EX",0,--(COUNTIFS(nNIA,DATOS!$A10844,nCURSO,DATOS!$D10844,nESPEC,DATOS!$E10844,nASIG,DATOS!$I10844,nEVAL,"OR")=0))</f>
      </c>
      <c r="I10844">
        <f>IF(DATOS!$I10844="","",IFERROR(VLOOKUP(DATOS!$I10844,CONFIG_ASIGNATURAS!$B$2:$J$91,9,FALSE()),""))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IF(DATOS!$A10845="",0,IF(CONFIG_METADATA!$B$4&lt;&gt;"OR+EX",--(DATOS!$G10845=CONFIG_METADATA!$B$4),IF(DATOS!$G10845="EX",1,IF(DATOS!$G10845="OR",--(COUNTIFS(nNIA,DATOS!$A10845,nCURSO,DATOS!$D10845,nESPEC,DATOS!$E10845,nASIG,DATOS!$I10845,nEVAL,"EX")=0),0))))</f>
      </c>
      <c r="H10845">
        <f>IF(DATOS!$G10845&lt;&gt;"EX",0,--(COUNTIFS(nNIA,DATOS!$A10845,nCURSO,DATOS!$D10845,nESPEC,DATOS!$E10845,nASIG,DATOS!$I10845,nEVAL,"OR")=0))</f>
      </c>
      <c r="I10845">
        <f>IF(DATOS!$I10845="","",IFERROR(VLOOKUP(DATOS!$I10845,CONFIG_ASIGNATURAS!$B$2:$J$91,9,FALSE()),""))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IF(DATOS!$A10846="",0,IF(CONFIG_METADATA!$B$4&lt;&gt;"OR+EX",--(DATOS!$G10846=CONFIG_METADATA!$B$4),IF(DATOS!$G10846="EX",1,IF(DATOS!$G10846="OR",--(COUNTIFS(nNIA,DATOS!$A10846,nCURSO,DATOS!$D10846,nESPEC,DATOS!$E10846,nASIG,DATOS!$I10846,nEVAL,"EX")=0),0))))</f>
      </c>
      <c r="H10846">
        <f>IF(DATOS!$G10846&lt;&gt;"EX",0,--(COUNTIFS(nNIA,DATOS!$A10846,nCURSO,DATOS!$D10846,nESPEC,DATOS!$E10846,nASIG,DATOS!$I10846,nEVAL,"OR")=0))</f>
      </c>
      <c r="I10846">
        <f>IF(DATOS!$I10846="","",IFERROR(VLOOKUP(DATOS!$I10846,CONFIG_ASIGNATURAS!$B$2:$J$91,9,FALSE()),""))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IF(DATOS!$A10847="",0,IF(CONFIG_METADATA!$B$4&lt;&gt;"OR+EX",--(DATOS!$G10847=CONFIG_METADATA!$B$4),IF(DATOS!$G10847="EX",1,IF(DATOS!$G10847="OR",--(COUNTIFS(nNIA,DATOS!$A10847,nCURSO,DATOS!$D10847,nESPEC,DATOS!$E10847,nASIG,DATOS!$I10847,nEVAL,"EX")=0),0))))</f>
      </c>
      <c r="H10847">
        <f>IF(DATOS!$G10847&lt;&gt;"EX",0,--(COUNTIFS(nNIA,DATOS!$A10847,nCURSO,DATOS!$D10847,nESPEC,DATOS!$E10847,nASIG,DATOS!$I10847,nEVAL,"OR")=0))</f>
      </c>
      <c r="I10847">
        <f>IF(DATOS!$I10847="","",IFERROR(VLOOKUP(DATOS!$I10847,CONFIG_ASIGNATURAS!$B$2:$J$91,9,FALSE()),""))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IF(DATOS!$A10848="",0,IF(CONFIG_METADATA!$B$4&lt;&gt;"OR+EX",--(DATOS!$G10848=CONFIG_METADATA!$B$4),IF(DATOS!$G10848="EX",1,IF(DATOS!$G10848="OR",--(COUNTIFS(nNIA,DATOS!$A10848,nCURSO,DATOS!$D10848,nESPEC,DATOS!$E10848,nASIG,DATOS!$I10848,nEVAL,"EX")=0),0))))</f>
      </c>
      <c r="H10848">
        <f>IF(DATOS!$G10848&lt;&gt;"EX",0,--(COUNTIFS(nNIA,DATOS!$A10848,nCURSO,DATOS!$D10848,nESPEC,DATOS!$E10848,nASIG,DATOS!$I10848,nEVAL,"OR")=0))</f>
      </c>
      <c r="I10848">
        <f>IF(DATOS!$I10848="","",IFERROR(VLOOKUP(DATOS!$I10848,CONFIG_ASIGNATURAS!$B$2:$J$91,9,FALSE()),""))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IF(DATOS!$A10849="",0,IF(CONFIG_METADATA!$B$4&lt;&gt;"OR+EX",--(DATOS!$G10849=CONFIG_METADATA!$B$4),IF(DATOS!$G10849="EX",1,IF(DATOS!$G10849="OR",--(COUNTIFS(nNIA,DATOS!$A10849,nCURSO,DATOS!$D10849,nESPEC,DATOS!$E10849,nASIG,DATOS!$I10849,nEVAL,"EX")=0),0))))</f>
      </c>
      <c r="H10849">
        <f>IF(DATOS!$G10849&lt;&gt;"EX",0,--(COUNTIFS(nNIA,DATOS!$A10849,nCURSO,DATOS!$D10849,nESPEC,DATOS!$E10849,nASIG,DATOS!$I10849,nEVAL,"OR")=0))</f>
      </c>
      <c r="I10849">
        <f>IF(DATOS!$I10849="","",IFERROR(VLOOKUP(DATOS!$I10849,CONFIG_ASIGNATURAS!$B$2:$J$91,9,FALSE()),""))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IF(DATOS!$A10850="",0,IF(CONFIG_METADATA!$B$4&lt;&gt;"OR+EX",--(DATOS!$G10850=CONFIG_METADATA!$B$4),IF(DATOS!$G10850="EX",1,IF(DATOS!$G10850="OR",--(COUNTIFS(nNIA,DATOS!$A10850,nCURSO,DATOS!$D10850,nESPEC,DATOS!$E10850,nASIG,DATOS!$I10850,nEVAL,"EX")=0),0))))</f>
      </c>
      <c r="H10850">
        <f>IF(DATOS!$G10850&lt;&gt;"EX",0,--(COUNTIFS(nNIA,DATOS!$A10850,nCURSO,DATOS!$D10850,nESPEC,DATOS!$E10850,nASIG,DATOS!$I10850,nEVAL,"OR")=0))</f>
      </c>
      <c r="I10850">
        <f>IF(DATOS!$I10850="","",IFERROR(VLOOKUP(DATOS!$I10850,CONFIG_ASIGNATURAS!$B$2:$J$91,9,FALSE()),""))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IF(DATOS!$A10851="",0,IF(CONFIG_METADATA!$B$4&lt;&gt;"OR+EX",--(DATOS!$G10851=CONFIG_METADATA!$B$4),IF(DATOS!$G10851="EX",1,IF(DATOS!$G10851="OR",--(COUNTIFS(nNIA,DATOS!$A10851,nCURSO,DATOS!$D10851,nESPEC,DATOS!$E10851,nASIG,DATOS!$I10851,nEVAL,"EX")=0),0))))</f>
      </c>
      <c r="H10851">
        <f>IF(DATOS!$G10851&lt;&gt;"EX",0,--(COUNTIFS(nNIA,DATOS!$A10851,nCURSO,DATOS!$D10851,nESPEC,DATOS!$E10851,nASIG,DATOS!$I10851,nEVAL,"OR")=0))</f>
      </c>
      <c r="I10851">
        <f>IF(DATOS!$I10851="","",IFERROR(VLOOKUP(DATOS!$I10851,CONFIG_ASIGNATURAS!$B$2:$J$91,9,FALSE()),""))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IF(DATOS!$A10852="",0,IF(CONFIG_METADATA!$B$4&lt;&gt;"OR+EX",--(DATOS!$G10852=CONFIG_METADATA!$B$4),IF(DATOS!$G10852="EX",1,IF(DATOS!$G10852="OR",--(COUNTIFS(nNIA,DATOS!$A10852,nCURSO,DATOS!$D10852,nESPEC,DATOS!$E10852,nASIG,DATOS!$I10852,nEVAL,"EX")=0),0))))</f>
      </c>
      <c r="H10852">
        <f>IF(DATOS!$G10852&lt;&gt;"EX",0,--(COUNTIFS(nNIA,DATOS!$A10852,nCURSO,DATOS!$D10852,nESPEC,DATOS!$E10852,nASIG,DATOS!$I10852,nEVAL,"OR")=0))</f>
      </c>
      <c r="I10852">
        <f>IF(DATOS!$I10852="","",IFERROR(VLOOKUP(DATOS!$I10852,CONFIG_ASIGNATURAS!$B$2:$J$91,9,FALSE()),""))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IF(DATOS!$A10853="",0,IF(CONFIG_METADATA!$B$4&lt;&gt;"OR+EX",--(DATOS!$G10853=CONFIG_METADATA!$B$4),IF(DATOS!$G10853="EX",1,IF(DATOS!$G10853="OR",--(COUNTIFS(nNIA,DATOS!$A10853,nCURSO,DATOS!$D10853,nESPEC,DATOS!$E10853,nASIG,DATOS!$I10853,nEVAL,"EX")=0),0))))</f>
      </c>
      <c r="H10853">
        <f>IF(DATOS!$G10853&lt;&gt;"EX",0,--(COUNTIFS(nNIA,DATOS!$A10853,nCURSO,DATOS!$D10853,nESPEC,DATOS!$E10853,nASIG,DATOS!$I10853,nEVAL,"OR")=0))</f>
      </c>
      <c r="I10853">
        <f>IF(DATOS!$I10853="","",IFERROR(VLOOKUP(DATOS!$I10853,CONFIG_ASIGNATURAS!$B$2:$J$91,9,FALSE()),""))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IF(DATOS!$A10854="",0,IF(CONFIG_METADATA!$B$4&lt;&gt;"OR+EX",--(DATOS!$G10854=CONFIG_METADATA!$B$4),IF(DATOS!$G10854="EX",1,IF(DATOS!$G10854="OR",--(COUNTIFS(nNIA,DATOS!$A10854,nCURSO,DATOS!$D10854,nESPEC,DATOS!$E10854,nASIG,DATOS!$I10854,nEVAL,"EX")=0),0))))</f>
      </c>
      <c r="H10854">
        <f>IF(DATOS!$G10854&lt;&gt;"EX",0,--(COUNTIFS(nNIA,DATOS!$A10854,nCURSO,DATOS!$D10854,nESPEC,DATOS!$E10854,nASIG,DATOS!$I10854,nEVAL,"OR")=0))</f>
      </c>
      <c r="I10854">
        <f>IF(DATOS!$I10854="","",IFERROR(VLOOKUP(DATOS!$I10854,CONFIG_ASIGNATURAS!$B$2:$J$91,9,FALSE()),""))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IF(DATOS!$A10855="",0,IF(CONFIG_METADATA!$B$4&lt;&gt;"OR+EX",--(DATOS!$G10855=CONFIG_METADATA!$B$4),IF(DATOS!$G10855="EX",1,IF(DATOS!$G10855="OR",--(COUNTIFS(nNIA,DATOS!$A10855,nCURSO,DATOS!$D10855,nESPEC,DATOS!$E10855,nASIG,DATOS!$I10855,nEVAL,"EX")=0),0))))</f>
      </c>
      <c r="H10855">
        <f>IF(DATOS!$G10855&lt;&gt;"EX",0,--(COUNTIFS(nNIA,DATOS!$A10855,nCURSO,DATOS!$D10855,nESPEC,DATOS!$E10855,nASIG,DATOS!$I10855,nEVAL,"OR")=0))</f>
      </c>
      <c r="I10855">
        <f>IF(DATOS!$I10855="","",IFERROR(VLOOKUP(DATOS!$I10855,CONFIG_ASIGNATURAS!$B$2:$J$91,9,FALSE()),""))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IF(DATOS!$A10856="",0,IF(CONFIG_METADATA!$B$4&lt;&gt;"OR+EX",--(DATOS!$G10856=CONFIG_METADATA!$B$4),IF(DATOS!$G10856="EX",1,IF(DATOS!$G10856="OR",--(COUNTIFS(nNIA,DATOS!$A10856,nCURSO,DATOS!$D10856,nESPEC,DATOS!$E10856,nASIG,DATOS!$I10856,nEVAL,"EX")=0),0))))</f>
      </c>
      <c r="H10856">
        <f>IF(DATOS!$G10856&lt;&gt;"EX",0,--(COUNTIFS(nNIA,DATOS!$A10856,nCURSO,DATOS!$D10856,nESPEC,DATOS!$E10856,nASIG,DATOS!$I10856,nEVAL,"OR")=0))</f>
      </c>
      <c r="I10856">
        <f>IF(DATOS!$I10856="","",IFERROR(VLOOKUP(DATOS!$I10856,CONFIG_ASIGNATURAS!$B$2:$J$91,9,FALSE()),""))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IF(DATOS!$A10857="",0,IF(CONFIG_METADATA!$B$4&lt;&gt;"OR+EX",--(DATOS!$G10857=CONFIG_METADATA!$B$4),IF(DATOS!$G10857="EX",1,IF(DATOS!$G10857="OR",--(COUNTIFS(nNIA,DATOS!$A10857,nCURSO,DATOS!$D10857,nESPEC,DATOS!$E10857,nASIG,DATOS!$I10857,nEVAL,"EX")=0),0))))</f>
      </c>
      <c r="H10857">
        <f>IF(DATOS!$G10857&lt;&gt;"EX",0,--(COUNTIFS(nNIA,DATOS!$A10857,nCURSO,DATOS!$D10857,nESPEC,DATOS!$E10857,nASIG,DATOS!$I10857,nEVAL,"OR")=0))</f>
      </c>
      <c r="I10857">
        <f>IF(DATOS!$I10857="","",IFERROR(VLOOKUP(DATOS!$I10857,CONFIG_ASIGNATURAS!$B$2:$J$91,9,FALSE()),""))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IF(DATOS!$A10858="",0,IF(CONFIG_METADATA!$B$4&lt;&gt;"OR+EX",--(DATOS!$G10858=CONFIG_METADATA!$B$4),IF(DATOS!$G10858="EX",1,IF(DATOS!$G10858="OR",--(COUNTIFS(nNIA,DATOS!$A10858,nCURSO,DATOS!$D10858,nESPEC,DATOS!$E10858,nASIG,DATOS!$I10858,nEVAL,"EX")=0),0))))</f>
      </c>
      <c r="H10858">
        <f>IF(DATOS!$G10858&lt;&gt;"EX",0,--(COUNTIFS(nNIA,DATOS!$A10858,nCURSO,DATOS!$D10858,nESPEC,DATOS!$E10858,nASIG,DATOS!$I10858,nEVAL,"OR")=0))</f>
      </c>
      <c r="I10858">
        <f>IF(DATOS!$I10858="","",IFERROR(VLOOKUP(DATOS!$I10858,CONFIG_ASIGNATURAS!$B$2:$J$91,9,FALSE()),""))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IF(DATOS!$A10859="",0,IF(CONFIG_METADATA!$B$4&lt;&gt;"OR+EX",--(DATOS!$G10859=CONFIG_METADATA!$B$4),IF(DATOS!$G10859="EX",1,IF(DATOS!$G10859="OR",--(COUNTIFS(nNIA,DATOS!$A10859,nCURSO,DATOS!$D10859,nESPEC,DATOS!$E10859,nASIG,DATOS!$I10859,nEVAL,"EX")=0),0))))</f>
      </c>
      <c r="H10859">
        <f>IF(DATOS!$G10859&lt;&gt;"EX",0,--(COUNTIFS(nNIA,DATOS!$A10859,nCURSO,DATOS!$D10859,nESPEC,DATOS!$E10859,nASIG,DATOS!$I10859,nEVAL,"OR")=0))</f>
      </c>
      <c r="I10859">
        <f>IF(DATOS!$I10859="","",IFERROR(VLOOKUP(DATOS!$I10859,CONFIG_ASIGNATURAS!$B$2:$J$91,9,FALSE()),""))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IF(DATOS!$A10860="",0,IF(CONFIG_METADATA!$B$4&lt;&gt;"OR+EX",--(DATOS!$G10860=CONFIG_METADATA!$B$4),IF(DATOS!$G10860="EX",1,IF(DATOS!$G10860="OR",--(COUNTIFS(nNIA,DATOS!$A10860,nCURSO,DATOS!$D10860,nESPEC,DATOS!$E10860,nASIG,DATOS!$I10860,nEVAL,"EX")=0),0))))</f>
      </c>
      <c r="H10860">
        <f>IF(DATOS!$G10860&lt;&gt;"EX",0,--(COUNTIFS(nNIA,DATOS!$A10860,nCURSO,DATOS!$D10860,nESPEC,DATOS!$E10860,nASIG,DATOS!$I10860,nEVAL,"OR")=0))</f>
      </c>
      <c r="I10860">
        <f>IF(DATOS!$I10860="","",IFERROR(VLOOKUP(DATOS!$I10860,CONFIG_ASIGNATURAS!$B$2:$J$91,9,FALSE()),""))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IF(DATOS!$A10861="",0,IF(CONFIG_METADATA!$B$4&lt;&gt;"OR+EX",--(DATOS!$G10861=CONFIG_METADATA!$B$4),IF(DATOS!$G10861="EX",1,IF(DATOS!$G10861="OR",--(COUNTIFS(nNIA,DATOS!$A10861,nCURSO,DATOS!$D10861,nESPEC,DATOS!$E10861,nASIG,DATOS!$I10861,nEVAL,"EX")=0),0))))</f>
      </c>
      <c r="H10861">
        <f>IF(DATOS!$G10861&lt;&gt;"EX",0,--(COUNTIFS(nNIA,DATOS!$A10861,nCURSO,DATOS!$D10861,nESPEC,DATOS!$E10861,nASIG,DATOS!$I10861,nEVAL,"OR")=0))</f>
      </c>
      <c r="I10861">
        <f>IF(DATOS!$I10861="","",IFERROR(VLOOKUP(DATOS!$I10861,CONFIG_ASIGNATURAS!$B$2:$J$91,9,FALSE()),""))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IF(DATOS!$A10862="",0,IF(CONFIG_METADATA!$B$4&lt;&gt;"OR+EX",--(DATOS!$G10862=CONFIG_METADATA!$B$4),IF(DATOS!$G10862="EX",1,IF(DATOS!$G10862="OR",--(COUNTIFS(nNIA,DATOS!$A10862,nCURSO,DATOS!$D10862,nESPEC,DATOS!$E10862,nASIG,DATOS!$I10862,nEVAL,"EX")=0),0))))</f>
      </c>
      <c r="H10862">
        <f>IF(DATOS!$G10862&lt;&gt;"EX",0,--(COUNTIFS(nNIA,DATOS!$A10862,nCURSO,DATOS!$D10862,nESPEC,DATOS!$E10862,nASIG,DATOS!$I10862,nEVAL,"OR")=0))</f>
      </c>
      <c r="I10862">
        <f>IF(DATOS!$I10862="","",IFERROR(VLOOKUP(DATOS!$I10862,CONFIG_ASIGNATURAS!$B$2:$J$91,9,FALSE()),""))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IF(DATOS!$A10863="",0,IF(CONFIG_METADATA!$B$4&lt;&gt;"OR+EX",--(DATOS!$G10863=CONFIG_METADATA!$B$4),IF(DATOS!$G10863="EX",1,IF(DATOS!$G10863="OR",--(COUNTIFS(nNIA,DATOS!$A10863,nCURSO,DATOS!$D10863,nESPEC,DATOS!$E10863,nASIG,DATOS!$I10863,nEVAL,"EX")=0),0))))</f>
      </c>
      <c r="H10863">
        <f>IF(DATOS!$G10863&lt;&gt;"EX",0,--(COUNTIFS(nNIA,DATOS!$A10863,nCURSO,DATOS!$D10863,nESPEC,DATOS!$E10863,nASIG,DATOS!$I10863,nEVAL,"OR")=0))</f>
      </c>
      <c r="I10863">
        <f>IF(DATOS!$I10863="","",IFERROR(VLOOKUP(DATOS!$I10863,CONFIG_ASIGNATURAS!$B$2:$J$91,9,FALSE()),""))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IF(DATOS!$A10864="",0,IF(CONFIG_METADATA!$B$4&lt;&gt;"OR+EX",--(DATOS!$G10864=CONFIG_METADATA!$B$4),IF(DATOS!$G10864="EX",1,IF(DATOS!$G10864="OR",--(COUNTIFS(nNIA,DATOS!$A10864,nCURSO,DATOS!$D10864,nESPEC,DATOS!$E10864,nASIG,DATOS!$I10864,nEVAL,"EX")=0),0))))</f>
      </c>
      <c r="H10864">
        <f>IF(DATOS!$G10864&lt;&gt;"EX",0,--(COUNTIFS(nNIA,DATOS!$A10864,nCURSO,DATOS!$D10864,nESPEC,DATOS!$E10864,nASIG,DATOS!$I10864,nEVAL,"OR")=0))</f>
      </c>
      <c r="I10864">
        <f>IF(DATOS!$I10864="","",IFERROR(VLOOKUP(DATOS!$I10864,CONFIG_ASIGNATURAS!$B$2:$J$91,9,FALSE()),""))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IF(DATOS!$A10865="",0,IF(CONFIG_METADATA!$B$4&lt;&gt;"OR+EX",--(DATOS!$G10865=CONFIG_METADATA!$B$4),IF(DATOS!$G10865="EX",1,IF(DATOS!$G10865="OR",--(COUNTIFS(nNIA,DATOS!$A10865,nCURSO,DATOS!$D10865,nESPEC,DATOS!$E10865,nASIG,DATOS!$I10865,nEVAL,"EX")=0),0))))</f>
      </c>
      <c r="H10865">
        <f>IF(DATOS!$G10865&lt;&gt;"EX",0,--(COUNTIFS(nNIA,DATOS!$A10865,nCURSO,DATOS!$D10865,nESPEC,DATOS!$E10865,nASIG,DATOS!$I10865,nEVAL,"OR")=0))</f>
      </c>
      <c r="I10865">
        <f>IF(DATOS!$I10865="","",IFERROR(VLOOKUP(DATOS!$I10865,CONFIG_ASIGNATURAS!$B$2:$J$91,9,FALSE()),""))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IF(DATOS!$A10866="",0,IF(CONFIG_METADATA!$B$4&lt;&gt;"OR+EX",--(DATOS!$G10866=CONFIG_METADATA!$B$4),IF(DATOS!$G10866="EX",1,IF(DATOS!$G10866="OR",--(COUNTIFS(nNIA,DATOS!$A10866,nCURSO,DATOS!$D10866,nESPEC,DATOS!$E10866,nASIG,DATOS!$I10866,nEVAL,"EX")=0),0))))</f>
      </c>
      <c r="H10866">
        <f>IF(DATOS!$G10866&lt;&gt;"EX",0,--(COUNTIFS(nNIA,DATOS!$A10866,nCURSO,DATOS!$D10866,nESPEC,DATOS!$E10866,nASIG,DATOS!$I10866,nEVAL,"OR")=0))</f>
      </c>
      <c r="I10866">
        <f>IF(DATOS!$I10866="","",IFERROR(VLOOKUP(DATOS!$I10866,CONFIG_ASIGNATURAS!$B$2:$J$91,9,FALSE()),""))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IF(DATOS!$A10867="",0,IF(CONFIG_METADATA!$B$4&lt;&gt;"OR+EX",--(DATOS!$G10867=CONFIG_METADATA!$B$4),IF(DATOS!$G10867="EX",1,IF(DATOS!$G10867="OR",--(COUNTIFS(nNIA,DATOS!$A10867,nCURSO,DATOS!$D10867,nESPEC,DATOS!$E10867,nASIG,DATOS!$I10867,nEVAL,"EX")=0),0))))</f>
      </c>
      <c r="H10867">
        <f>IF(DATOS!$G10867&lt;&gt;"EX",0,--(COUNTIFS(nNIA,DATOS!$A10867,nCURSO,DATOS!$D10867,nESPEC,DATOS!$E10867,nASIG,DATOS!$I10867,nEVAL,"OR")=0))</f>
      </c>
      <c r="I10867">
        <f>IF(DATOS!$I10867="","",IFERROR(VLOOKUP(DATOS!$I10867,CONFIG_ASIGNATURAS!$B$2:$J$91,9,FALSE()),""))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IF(DATOS!$A10868="",0,IF(CONFIG_METADATA!$B$4&lt;&gt;"OR+EX",--(DATOS!$G10868=CONFIG_METADATA!$B$4),IF(DATOS!$G10868="EX",1,IF(DATOS!$G10868="OR",--(COUNTIFS(nNIA,DATOS!$A10868,nCURSO,DATOS!$D10868,nESPEC,DATOS!$E10868,nASIG,DATOS!$I10868,nEVAL,"EX")=0),0))))</f>
      </c>
      <c r="H10868">
        <f>IF(DATOS!$G10868&lt;&gt;"EX",0,--(COUNTIFS(nNIA,DATOS!$A10868,nCURSO,DATOS!$D10868,nESPEC,DATOS!$E10868,nASIG,DATOS!$I10868,nEVAL,"OR")=0))</f>
      </c>
      <c r="I10868">
        <f>IF(DATOS!$I10868="","",IFERROR(VLOOKUP(DATOS!$I10868,CONFIG_ASIGNATURAS!$B$2:$J$91,9,FALSE()),""))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IF(DATOS!$A10869="",0,IF(CONFIG_METADATA!$B$4&lt;&gt;"OR+EX",--(DATOS!$G10869=CONFIG_METADATA!$B$4),IF(DATOS!$G10869="EX",1,IF(DATOS!$G10869="OR",--(COUNTIFS(nNIA,DATOS!$A10869,nCURSO,DATOS!$D10869,nESPEC,DATOS!$E10869,nASIG,DATOS!$I10869,nEVAL,"EX")=0),0))))</f>
      </c>
      <c r="H10869">
        <f>IF(DATOS!$G10869&lt;&gt;"EX",0,--(COUNTIFS(nNIA,DATOS!$A10869,nCURSO,DATOS!$D10869,nESPEC,DATOS!$E10869,nASIG,DATOS!$I10869,nEVAL,"OR")=0))</f>
      </c>
      <c r="I10869">
        <f>IF(DATOS!$I10869="","",IFERROR(VLOOKUP(DATOS!$I10869,CONFIG_ASIGNATURAS!$B$2:$J$91,9,FALSE()),""))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IF(DATOS!$A10870="",0,IF(CONFIG_METADATA!$B$4&lt;&gt;"OR+EX",--(DATOS!$G10870=CONFIG_METADATA!$B$4),IF(DATOS!$G10870="EX",1,IF(DATOS!$G10870="OR",--(COUNTIFS(nNIA,DATOS!$A10870,nCURSO,DATOS!$D10870,nESPEC,DATOS!$E10870,nASIG,DATOS!$I10870,nEVAL,"EX")=0),0))))</f>
      </c>
      <c r="H10870">
        <f>IF(DATOS!$G10870&lt;&gt;"EX",0,--(COUNTIFS(nNIA,DATOS!$A10870,nCURSO,DATOS!$D10870,nESPEC,DATOS!$E10870,nASIG,DATOS!$I10870,nEVAL,"OR")=0))</f>
      </c>
      <c r="I10870">
        <f>IF(DATOS!$I10870="","",IFERROR(VLOOKUP(DATOS!$I10870,CONFIG_ASIGNATURAS!$B$2:$J$91,9,FALSE()),""))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IF(DATOS!$A10871="",0,IF(CONFIG_METADATA!$B$4&lt;&gt;"OR+EX",--(DATOS!$G10871=CONFIG_METADATA!$B$4),IF(DATOS!$G10871="EX",1,IF(DATOS!$G10871="OR",--(COUNTIFS(nNIA,DATOS!$A10871,nCURSO,DATOS!$D10871,nESPEC,DATOS!$E10871,nASIG,DATOS!$I10871,nEVAL,"EX")=0),0))))</f>
      </c>
      <c r="H10871">
        <f>IF(DATOS!$G10871&lt;&gt;"EX",0,--(COUNTIFS(nNIA,DATOS!$A10871,nCURSO,DATOS!$D10871,nESPEC,DATOS!$E10871,nASIG,DATOS!$I10871,nEVAL,"OR")=0))</f>
      </c>
      <c r="I10871">
        <f>IF(DATOS!$I10871="","",IFERROR(VLOOKUP(DATOS!$I10871,CONFIG_ASIGNATURAS!$B$2:$J$91,9,FALSE()),""))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IF(DATOS!$A10872="",0,IF(CONFIG_METADATA!$B$4&lt;&gt;"OR+EX",--(DATOS!$G10872=CONFIG_METADATA!$B$4),IF(DATOS!$G10872="EX",1,IF(DATOS!$G10872="OR",--(COUNTIFS(nNIA,DATOS!$A10872,nCURSO,DATOS!$D10872,nESPEC,DATOS!$E10872,nASIG,DATOS!$I10872,nEVAL,"EX")=0),0))))</f>
      </c>
      <c r="H10872">
        <f>IF(DATOS!$G10872&lt;&gt;"EX",0,--(COUNTIFS(nNIA,DATOS!$A10872,nCURSO,DATOS!$D10872,nESPEC,DATOS!$E10872,nASIG,DATOS!$I10872,nEVAL,"OR")=0))</f>
      </c>
      <c r="I10872">
        <f>IF(DATOS!$I10872="","",IFERROR(VLOOKUP(DATOS!$I10872,CONFIG_ASIGNATURAS!$B$2:$J$91,9,FALSE()),""))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IF(DATOS!$A10873="",0,IF(CONFIG_METADATA!$B$4&lt;&gt;"OR+EX",--(DATOS!$G10873=CONFIG_METADATA!$B$4),IF(DATOS!$G10873="EX",1,IF(DATOS!$G10873="OR",--(COUNTIFS(nNIA,DATOS!$A10873,nCURSO,DATOS!$D10873,nESPEC,DATOS!$E10873,nASIG,DATOS!$I10873,nEVAL,"EX")=0),0))))</f>
      </c>
      <c r="H10873">
        <f>IF(DATOS!$G10873&lt;&gt;"EX",0,--(COUNTIFS(nNIA,DATOS!$A10873,nCURSO,DATOS!$D10873,nESPEC,DATOS!$E10873,nASIG,DATOS!$I10873,nEVAL,"OR")=0))</f>
      </c>
      <c r="I10873">
        <f>IF(DATOS!$I10873="","",IFERROR(VLOOKUP(DATOS!$I10873,CONFIG_ASIGNATURAS!$B$2:$J$91,9,FALSE()),""))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IF(DATOS!$A10874="",0,IF(CONFIG_METADATA!$B$4&lt;&gt;"OR+EX",--(DATOS!$G10874=CONFIG_METADATA!$B$4),IF(DATOS!$G10874="EX",1,IF(DATOS!$G10874="OR",--(COUNTIFS(nNIA,DATOS!$A10874,nCURSO,DATOS!$D10874,nESPEC,DATOS!$E10874,nASIG,DATOS!$I10874,nEVAL,"EX")=0),0))))</f>
      </c>
      <c r="H10874">
        <f>IF(DATOS!$G10874&lt;&gt;"EX",0,--(COUNTIFS(nNIA,DATOS!$A10874,nCURSO,DATOS!$D10874,nESPEC,DATOS!$E10874,nASIG,DATOS!$I10874,nEVAL,"OR")=0))</f>
      </c>
      <c r="I10874">
        <f>IF(DATOS!$I10874="","",IFERROR(VLOOKUP(DATOS!$I10874,CONFIG_ASIGNATURAS!$B$2:$J$91,9,FALSE()),""))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IF(DATOS!$A10875="",0,IF(CONFIG_METADATA!$B$4&lt;&gt;"OR+EX",--(DATOS!$G10875=CONFIG_METADATA!$B$4),IF(DATOS!$G10875="EX",1,IF(DATOS!$G10875="OR",--(COUNTIFS(nNIA,DATOS!$A10875,nCURSO,DATOS!$D10875,nESPEC,DATOS!$E10875,nASIG,DATOS!$I10875,nEVAL,"EX")=0),0))))</f>
      </c>
      <c r="H10875">
        <f>IF(DATOS!$G10875&lt;&gt;"EX",0,--(COUNTIFS(nNIA,DATOS!$A10875,nCURSO,DATOS!$D10875,nESPEC,DATOS!$E10875,nASIG,DATOS!$I10875,nEVAL,"OR")=0))</f>
      </c>
      <c r="I10875">
        <f>IF(DATOS!$I10875="","",IFERROR(VLOOKUP(DATOS!$I10875,CONFIG_ASIGNATURAS!$B$2:$J$91,9,FALSE()),""))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IF(DATOS!$A10876="",0,IF(CONFIG_METADATA!$B$4&lt;&gt;"OR+EX",--(DATOS!$G10876=CONFIG_METADATA!$B$4),IF(DATOS!$G10876="EX",1,IF(DATOS!$G10876="OR",--(COUNTIFS(nNIA,DATOS!$A10876,nCURSO,DATOS!$D10876,nESPEC,DATOS!$E10876,nASIG,DATOS!$I10876,nEVAL,"EX")=0),0))))</f>
      </c>
      <c r="H10876">
        <f>IF(DATOS!$G10876&lt;&gt;"EX",0,--(COUNTIFS(nNIA,DATOS!$A10876,nCURSO,DATOS!$D10876,nESPEC,DATOS!$E10876,nASIG,DATOS!$I10876,nEVAL,"OR")=0))</f>
      </c>
      <c r="I10876">
        <f>IF(DATOS!$I10876="","",IFERROR(VLOOKUP(DATOS!$I10876,CONFIG_ASIGNATURAS!$B$2:$J$91,9,FALSE()),""))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IF(DATOS!$A10877="",0,IF(CONFIG_METADATA!$B$4&lt;&gt;"OR+EX",--(DATOS!$G10877=CONFIG_METADATA!$B$4),IF(DATOS!$G10877="EX",1,IF(DATOS!$G10877="OR",--(COUNTIFS(nNIA,DATOS!$A10877,nCURSO,DATOS!$D10877,nESPEC,DATOS!$E10877,nASIG,DATOS!$I10877,nEVAL,"EX")=0),0))))</f>
      </c>
      <c r="H10877">
        <f>IF(DATOS!$G10877&lt;&gt;"EX",0,--(COUNTIFS(nNIA,DATOS!$A10877,nCURSO,DATOS!$D10877,nESPEC,DATOS!$E10877,nASIG,DATOS!$I10877,nEVAL,"OR")=0))</f>
      </c>
      <c r="I10877">
        <f>IF(DATOS!$I10877="","",IFERROR(VLOOKUP(DATOS!$I10877,CONFIG_ASIGNATURAS!$B$2:$J$91,9,FALSE()),""))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IF(DATOS!$A10878="",0,IF(CONFIG_METADATA!$B$4&lt;&gt;"OR+EX",--(DATOS!$G10878=CONFIG_METADATA!$B$4),IF(DATOS!$G10878="EX",1,IF(DATOS!$G10878="OR",--(COUNTIFS(nNIA,DATOS!$A10878,nCURSO,DATOS!$D10878,nESPEC,DATOS!$E10878,nASIG,DATOS!$I10878,nEVAL,"EX")=0),0))))</f>
      </c>
      <c r="H10878">
        <f>IF(DATOS!$G10878&lt;&gt;"EX",0,--(COUNTIFS(nNIA,DATOS!$A10878,nCURSO,DATOS!$D10878,nESPEC,DATOS!$E10878,nASIG,DATOS!$I10878,nEVAL,"OR")=0))</f>
      </c>
      <c r="I10878">
        <f>IF(DATOS!$I10878="","",IFERROR(VLOOKUP(DATOS!$I10878,CONFIG_ASIGNATURAS!$B$2:$J$91,9,FALSE()),""))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IF(DATOS!$A10879="",0,IF(CONFIG_METADATA!$B$4&lt;&gt;"OR+EX",--(DATOS!$G10879=CONFIG_METADATA!$B$4),IF(DATOS!$G10879="EX",1,IF(DATOS!$G10879="OR",--(COUNTIFS(nNIA,DATOS!$A10879,nCURSO,DATOS!$D10879,nESPEC,DATOS!$E10879,nASIG,DATOS!$I10879,nEVAL,"EX")=0),0))))</f>
      </c>
      <c r="H10879">
        <f>IF(DATOS!$G10879&lt;&gt;"EX",0,--(COUNTIFS(nNIA,DATOS!$A10879,nCURSO,DATOS!$D10879,nESPEC,DATOS!$E10879,nASIG,DATOS!$I10879,nEVAL,"OR")=0))</f>
      </c>
      <c r="I10879">
        <f>IF(DATOS!$I10879="","",IFERROR(VLOOKUP(DATOS!$I10879,CONFIG_ASIGNATURAS!$B$2:$J$91,9,FALSE()),""))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IF(DATOS!$A10880="",0,IF(CONFIG_METADATA!$B$4&lt;&gt;"OR+EX",--(DATOS!$G10880=CONFIG_METADATA!$B$4),IF(DATOS!$G10880="EX",1,IF(DATOS!$G10880="OR",--(COUNTIFS(nNIA,DATOS!$A10880,nCURSO,DATOS!$D10880,nESPEC,DATOS!$E10880,nASIG,DATOS!$I10880,nEVAL,"EX")=0),0))))</f>
      </c>
      <c r="H10880">
        <f>IF(DATOS!$G10880&lt;&gt;"EX",0,--(COUNTIFS(nNIA,DATOS!$A10880,nCURSO,DATOS!$D10880,nESPEC,DATOS!$E10880,nASIG,DATOS!$I10880,nEVAL,"OR")=0))</f>
      </c>
      <c r="I10880">
        <f>IF(DATOS!$I10880="","",IFERROR(VLOOKUP(DATOS!$I10880,CONFIG_ASIGNATURAS!$B$2:$J$91,9,FALSE()),""))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IF(DATOS!$A10881="",0,IF(CONFIG_METADATA!$B$4&lt;&gt;"OR+EX",--(DATOS!$G10881=CONFIG_METADATA!$B$4),IF(DATOS!$G10881="EX",1,IF(DATOS!$G10881="OR",--(COUNTIFS(nNIA,DATOS!$A10881,nCURSO,DATOS!$D10881,nESPEC,DATOS!$E10881,nASIG,DATOS!$I10881,nEVAL,"EX")=0),0))))</f>
      </c>
      <c r="H10881">
        <f>IF(DATOS!$G10881&lt;&gt;"EX",0,--(COUNTIFS(nNIA,DATOS!$A10881,nCURSO,DATOS!$D10881,nESPEC,DATOS!$E10881,nASIG,DATOS!$I10881,nEVAL,"OR")=0))</f>
      </c>
      <c r="I10881">
        <f>IF(DATOS!$I10881="","",IFERROR(VLOOKUP(DATOS!$I10881,CONFIG_ASIGNATURAS!$B$2:$J$91,9,FALSE()),""))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IF(DATOS!$A10882="",0,IF(CONFIG_METADATA!$B$4&lt;&gt;"OR+EX",--(DATOS!$G10882=CONFIG_METADATA!$B$4),IF(DATOS!$G10882="EX",1,IF(DATOS!$G10882="OR",--(COUNTIFS(nNIA,DATOS!$A10882,nCURSO,DATOS!$D10882,nESPEC,DATOS!$E10882,nASIG,DATOS!$I10882,nEVAL,"EX")=0),0))))</f>
      </c>
      <c r="H10882">
        <f>IF(DATOS!$G10882&lt;&gt;"EX",0,--(COUNTIFS(nNIA,DATOS!$A10882,nCURSO,DATOS!$D10882,nESPEC,DATOS!$E10882,nASIG,DATOS!$I10882,nEVAL,"OR")=0))</f>
      </c>
      <c r="I10882">
        <f>IF(DATOS!$I10882="","",IFERROR(VLOOKUP(DATOS!$I10882,CONFIG_ASIGNATURAS!$B$2:$J$91,9,FALSE()),""))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IF(DATOS!$A10883="",0,IF(CONFIG_METADATA!$B$4&lt;&gt;"OR+EX",--(DATOS!$G10883=CONFIG_METADATA!$B$4),IF(DATOS!$G10883="EX",1,IF(DATOS!$G10883="OR",--(COUNTIFS(nNIA,DATOS!$A10883,nCURSO,DATOS!$D10883,nESPEC,DATOS!$E10883,nASIG,DATOS!$I10883,nEVAL,"EX")=0),0))))</f>
      </c>
      <c r="H10883">
        <f>IF(DATOS!$G10883&lt;&gt;"EX",0,--(COUNTIFS(nNIA,DATOS!$A10883,nCURSO,DATOS!$D10883,nESPEC,DATOS!$E10883,nASIG,DATOS!$I10883,nEVAL,"OR")=0))</f>
      </c>
      <c r="I10883">
        <f>IF(DATOS!$I10883="","",IFERROR(VLOOKUP(DATOS!$I10883,CONFIG_ASIGNATURAS!$B$2:$J$91,9,FALSE()),""))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IF(DATOS!$A10884="",0,IF(CONFIG_METADATA!$B$4&lt;&gt;"OR+EX",--(DATOS!$G10884=CONFIG_METADATA!$B$4),IF(DATOS!$G10884="EX",1,IF(DATOS!$G10884="OR",--(COUNTIFS(nNIA,DATOS!$A10884,nCURSO,DATOS!$D10884,nESPEC,DATOS!$E10884,nASIG,DATOS!$I10884,nEVAL,"EX")=0),0))))</f>
      </c>
      <c r="H10884">
        <f>IF(DATOS!$G10884&lt;&gt;"EX",0,--(COUNTIFS(nNIA,DATOS!$A10884,nCURSO,DATOS!$D10884,nESPEC,DATOS!$E10884,nASIG,DATOS!$I10884,nEVAL,"OR")=0))</f>
      </c>
      <c r="I10884">
        <f>IF(DATOS!$I10884="","",IFERROR(VLOOKUP(DATOS!$I10884,CONFIG_ASIGNATURAS!$B$2:$J$91,9,FALSE()),""))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IF(DATOS!$A10885="",0,IF(CONFIG_METADATA!$B$4&lt;&gt;"OR+EX",--(DATOS!$G10885=CONFIG_METADATA!$B$4),IF(DATOS!$G10885="EX",1,IF(DATOS!$G10885="OR",--(COUNTIFS(nNIA,DATOS!$A10885,nCURSO,DATOS!$D10885,nESPEC,DATOS!$E10885,nASIG,DATOS!$I10885,nEVAL,"EX")=0),0))))</f>
      </c>
      <c r="H10885">
        <f>IF(DATOS!$G10885&lt;&gt;"EX",0,--(COUNTIFS(nNIA,DATOS!$A10885,nCURSO,DATOS!$D10885,nESPEC,DATOS!$E10885,nASIG,DATOS!$I10885,nEVAL,"OR")=0))</f>
      </c>
      <c r="I10885">
        <f>IF(DATOS!$I10885="","",IFERROR(VLOOKUP(DATOS!$I10885,CONFIG_ASIGNATURAS!$B$2:$J$91,9,FALSE()),""))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IF(DATOS!$A10886="",0,IF(CONFIG_METADATA!$B$4&lt;&gt;"OR+EX",--(DATOS!$G10886=CONFIG_METADATA!$B$4),IF(DATOS!$G10886="EX",1,IF(DATOS!$G10886="OR",--(COUNTIFS(nNIA,DATOS!$A10886,nCURSO,DATOS!$D10886,nESPEC,DATOS!$E10886,nASIG,DATOS!$I10886,nEVAL,"EX")=0),0))))</f>
      </c>
      <c r="H10886">
        <f>IF(DATOS!$G10886&lt;&gt;"EX",0,--(COUNTIFS(nNIA,DATOS!$A10886,nCURSO,DATOS!$D10886,nESPEC,DATOS!$E10886,nASIG,DATOS!$I10886,nEVAL,"OR")=0))</f>
      </c>
      <c r="I10886">
        <f>IF(DATOS!$I10886="","",IFERROR(VLOOKUP(DATOS!$I10886,CONFIG_ASIGNATURAS!$B$2:$J$91,9,FALSE()),""))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IF(DATOS!$A10887="",0,IF(CONFIG_METADATA!$B$4&lt;&gt;"OR+EX",--(DATOS!$G10887=CONFIG_METADATA!$B$4),IF(DATOS!$G10887="EX",1,IF(DATOS!$G10887="OR",--(COUNTIFS(nNIA,DATOS!$A10887,nCURSO,DATOS!$D10887,nESPEC,DATOS!$E10887,nASIG,DATOS!$I10887,nEVAL,"EX")=0),0))))</f>
      </c>
      <c r="H10887">
        <f>IF(DATOS!$G10887&lt;&gt;"EX",0,--(COUNTIFS(nNIA,DATOS!$A10887,nCURSO,DATOS!$D10887,nESPEC,DATOS!$E10887,nASIG,DATOS!$I10887,nEVAL,"OR")=0))</f>
      </c>
      <c r="I10887">
        <f>IF(DATOS!$I10887="","",IFERROR(VLOOKUP(DATOS!$I10887,CONFIG_ASIGNATURAS!$B$2:$J$91,9,FALSE()),""))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IF(DATOS!$A10888="",0,IF(CONFIG_METADATA!$B$4&lt;&gt;"OR+EX",--(DATOS!$G10888=CONFIG_METADATA!$B$4),IF(DATOS!$G10888="EX",1,IF(DATOS!$G10888="OR",--(COUNTIFS(nNIA,DATOS!$A10888,nCURSO,DATOS!$D10888,nESPEC,DATOS!$E10888,nASIG,DATOS!$I10888,nEVAL,"EX")=0),0))))</f>
      </c>
      <c r="H10888">
        <f>IF(DATOS!$G10888&lt;&gt;"EX",0,--(COUNTIFS(nNIA,DATOS!$A10888,nCURSO,DATOS!$D10888,nESPEC,DATOS!$E10888,nASIG,DATOS!$I10888,nEVAL,"OR")=0))</f>
      </c>
      <c r="I10888">
        <f>IF(DATOS!$I10888="","",IFERROR(VLOOKUP(DATOS!$I10888,CONFIG_ASIGNATURAS!$B$2:$J$91,9,FALSE()),""))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IF(DATOS!$A10889="",0,IF(CONFIG_METADATA!$B$4&lt;&gt;"OR+EX",--(DATOS!$G10889=CONFIG_METADATA!$B$4),IF(DATOS!$G10889="EX",1,IF(DATOS!$G10889="OR",--(COUNTIFS(nNIA,DATOS!$A10889,nCURSO,DATOS!$D10889,nESPEC,DATOS!$E10889,nASIG,DATOS!$I10889,nEVAL,"EX")=0),0))))</f>
      </c>
      <c r="H10889">
        <f>IF(DATOS!$G10889&lt;&gt;"EX",0,--(COUNTIFS(nNIA,DATOS!$A10889,nCURSO,DATOS!$D10889,nESPEC,DATOS!$E10889,nASIG,DATOS!$I10889,nEVAL,"OR")=0))</f>
      </c>
      <c r="I10889">
        <f>IF(DATOS!$I10889="","",IFERROR(VLOOKUP(DATOS!$I10889,CONFIG_ASIGNATURAS!$B$2:$J$91,9,FALSE()),""))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IF(DATOS!$A10890="",0,IF(CONFIG_METADATA!$B$4&lt;&gt;"OR+EX",--(DATOS!$G10890=CONFIG_METADATA!$B$4),IF(DATOS!$G10890="EX",1,IF(DATOS!$G10890="OR",--(COUNTIFS(nNIA,DATOS!$A10890,nCURSO,DATOS!$D10890,nESPEC,DATOS!$E10890,nASIG,DATOS!$I10890,nEVAL,"EX")=0),0))))</f>
      </c>
      <c r="H10890">
        <f>IF(DATOS!$G10890&lt;&gt;"EX",0,--(COUNTIFS(nNIA,DATOS!$A10890,nCURSO,DATOS!$D10890,nESPEC,DATOS!$E10890,nASIG,DATOS!$I10890,nEVAL,"OR")=0))</f>
      </c>
      <c r="I10890">
        <f>IF(DATOS!$I10890="","",IFERROR(VLOOKUP(DATOS!$I10890,CONFIG_ASIGNATURAS!$B$2:$J$91,9,FALSE()),""))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IF(DATOS!$A10891="",0,IF(CONFIG_METADATA!$B$4&lt;&gt;"OR+EX",--(DATOS!$G10891=CONFIG_METADATA!$B$4),IF(DATOS!$G10891="EX",1,IF(DATOS!$G10891="OR",--(COUNTIFS(nNIA,DATOS!$A10891,nCURSO,DATOS!$D10891,nESPEC,DATOS!$E10891,nASIG,DATOS!$I10891,nEVAL,"EX")=0),0))))</f>
      </c>
      <c r="H10891">
        <f>IF(DATOS!$G10891&lt;&gt;"EX",0,--(COUNTIFS(nNIA,DATOS!$A10891,nCURSO,DATOS!$D10891,nESPEC,DATOS!$E10891,nASIG,DATOS!$I10891,nEVAL,"OR")=0))</f>
      </c>
      <c r="I10891">
        <f>IF(DATOS!$I10891="","",IFERROR(VLOOKUP(DATOS!$I10891,CONFIG_ASIGNATURAS!$B$2:$J$91,9,FALSE()),""))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IF(DATOS!$A10892="",0,IF(CONFIG_METADATA!$B$4&lt;&gt;"OR+EX",--(DATOS!$G10892=CONFIG_METADATA!$B$4),IF(DATOS!$G10892="EX",1,IF(DATOS!$G10892="OR",--(COUNTIFS(nNIA,DATOS!$A10892,nCURSO,DATOS!$D10892,nESPEC,DATOS!$E10892,nASIG,DATOS!$I10892,nEVAL,"EX")=0),0))))</f>
      </c>
      <c r="H10892">
        <f>IF(DATOS!$G10892&lt;&gt;"EX",0,--(COUNTIFS(nNIA,DATOS!$A10892,nCURSO,DATOS!$D10892,nESPEC,DATOS!$E10892,nASIG,DATOS!$I10892,nEVAL,"OR")=0))</f>
      </c>
      <c r="I10892">
        <f>IF(DATOS!$I10892="","",IFERROR(VLOOKUP(DATOS!$I10892,CONFIG_ASIGNATURAS!$B$2:$J$91,9,FALSE()),""))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IF(DATOS!$A10893="",0,IF(CONFIG_METADATA!$B$4&lt;&gt;"OR+EX",--(DATOS!$G10893=CONFIG_METADATA!$B$4),IF(DATOS!$G10893="EX",1,IF(DATOS!$G10893="OR",--(COUNTIFS(nNIA,DATOS!$A10893,nCURSO,DATOS!$D10893,nESPEC,DATOS!$E10893,nASIG,DATOS!$I10893,nEVAL,"EX")=0),0))))</f>
      </c>
      <c r="H10893">
        <f>IF(DATOS!$G10893&lt;&gt;"EX",0,--(COUNTIFS(nNIA,DATOS!$A10893,nCURSO,DATOS!$D10893,nESPEC,DATOS!$E10893,nASIG,DATOS!$I10893,nEVAL,"OR")=0))</f>
      </c>
      <c r="I10893">
        <f>IF(DATOS!$I10893="","",IFERROR(VLOOKUP(DATOS!$I10893,CONFIG_ASIGNATURAS!$B$2:$J$91,9,FALSE()),""))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IF(DATOS!$A10894="",0,IF(CONFIG_METADATA!$B$4&lt;&gt;"OR+EX",--(DATOS!$G10894=CONFIG_METADATA!$B$4),IF(DATOS!$G10894="EX",1,IF(DATOS!$G10894="OR",--(COUNTIFS(nNIA,DATOS!$A10894,nCURSO,DATOS!$D10894,nESPEC,DATOS!$E10894,nASIG,DATOS!$I10894,nEVAL,"EX")=0),0))))</f>
      </c>
      <c r="H10894">
        <f>IF(DATOS!$G10894&lt;&gt;"EX",0,--(COUNTIFS(nNIA,DATOS!$A10894,nCURSO,DATOS!$D10894,nESPEC,DATOS!$E10894,nASIG,DATOS!$I10894,nEVAL,"OR")=0))</f>
      </c>
      <c r="I10894">
        <f>IF(DATOS!$I10894="","",IFERROR(VLOOKUP(DATOS!$I10894,CONFIG_ASIGNATURAS!$B$2:$J$91,9,FALSE()),""))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IF(DATOS!$A10895="",0,IF(CONFIG_METADATA!$B$4&lt;&gt;"OR+EX",--(DATOS!$G10895=CONFIG_METADATA!$B$4),IF(DATOS!$G10895="EX",1,IF(DATOS!$G10895="OR",--(COUNTIFS(nNIA,DATOS!$A10895,nCURSO,DATOS!$D10895,nESPEC,DATOS!$E10895,nASIG,DATOS!$I10895,nEVAL,"EX")=0),0))))</f>
      </c>
      <c r="H10895">
        <f>IF(DATOS!$G10895&lt;&gt;"EX",0,--(COUNTIFS(nNIA,DATOS!$A10895,nCURSO,DATOS!$D10895,nESPEC,DATOS!$E10895,nASIG,DATOS!$I10895,nEVAL,"OR")=0))</f>
      </c>
      <c r="I10895">
        <f>IF(DATOS!$I10895="","",IFERROR(VLOOKUP(DATOS!$I10895,CONFIG_ASIGNATURAS!$B$2:$J$91,9,FALSE()),""))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IF(DATOS!$A10896="",0,IF(CONFIG_METADATA!$B$4&lt;&gt;"OR+EX",--(DATOS!$G10896=CONFIG_METADATA!$B$4),IF(DATOS!$G10896="EX",1,IF(DATOS!$G10896="OR",--(COUNTIFS(nNIA,DATOS!$A10896,nCURSO,DATOS!$D10896,nESPEC,DATOS!$E10896,nASIG,DATOS!$I10896,nEVAL,"EX")=0),0))))</f>
      </c>
      <c r="H10896">
        <f>IF(DATOS!$G10896&lt;&gt;"EX",0,--(COUNTIFS(nNIA,DATOS!$A10896,nCURSO,DATOS!$D10896,nESPEC,DATOS!$E10896,nASIG,DATOS!$I10896,nEVAL,"OR")=0))</f>
      </c>
      <c r="I10896">
        <f>IF(DATOS!$I10896="","",IFERROR(VLOOKUP(DATOS!$I10896,CONFIG_ASIGNATURAS!$B$2:$J$91,9,FALSE()),""))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IF(DATOS!$A10897="",0,IF(CONFIG_METADATA!$B$4&lt;&gt;"OR+EX",--(DATOS!$G10897=CONFIG_METADATA!$B$4),IF(DATOS!$G10897="EX",1,IF(DATOS!$G10897="OR",--(COUNTIFS(nNIA,DATOS!$A10897,nCURSO,DATOS!$D10897,nESPEC,DATOS!$E10897,nASIG,DATOS!$I10897,nEVAL,"EX")=0),0))))</f>
      </c>
      <c r="H10897">
        <f>IF(DATOS!$G10897&lt;&gt;"EX",0,--(COUNTIFS(nNIA,DATOS!$A10897,nCURSO,DATOS!$D10897,nESPEC,DATOS!$E10897,nASIG,DATOS!$I10897,nEVAL,"OR")=0))</f>
      </c>
      <c r="I10897">
        <f>IF(DATOS!$I10897="","",IFERROR(VLOOKUP(DATOS!$I10897,CONFIG_ASIGNATURAS!$B$2:$J$91,9,FALSE()),""))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IF(DATOS!$A10898="",0,IF(CONFIG_METADATA!$B$4&lt;&gt;"OR+EX",--(DATOS!$G10898=CONFIG_METADATA!$B$4),IF(DATOS!$G10898="EX",1,IF(DATOS!$G10898="OR",--(COUNTIFS(nNIA,DATOS!$A10898,nCURSO,DATOS!$D10898,nESPEC,DATOS!$E10898,nASIG,DATOS!$I10898,nEVAL,"EX")=0),0))))</f>
      </c>
      <c r="H10898">
        <f>IF(DATOS!$G10898&lt;&gt;"EX",0,--(COUNTIFS(nNIA,DATOS!$A10898,nCURSO,DATOS!$D10898,nESPEC,DATOS!$E10898,nASIG,DATOS!$I10898,nEVAL,"OR")=0))</f>
      </c>
      <c r="I10898">
        <f>IF(DATOS!$I10898="","",IFERROR(VLOOKUP(DATOS!$I10898,CONFIG_ASIGNATURAS!$B$2:$J$91,9,FALSE()),""))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IF(DATOS!$A10899="",0,IF(CONFIG_METADATA!$B$4&lt;&gt;"OR+EX",--(DATOS!$G10899=CONFIG_METADATA!$B$4),IF(DATOS!$G10899="EX",1,IF(DATOS!$G10899="OR",--(COUNTIFS(nNIA,DATOS!$A10899,nCURSO,DATOS!$D10899,nESPEC,DATOS!$E10899,nASIG,DATOS!$I10899,nEVAL,"EX")=0),0))))</f>
      </c>
      <c r="H10899">
        <f>IF(DATOS!$G10899&lt;&gt;"EX",0,--(COUNTIFS(nNIA,DATOS!$A10899,nCURSO,DATOS!$D10899,nESPEC,DATOS!$E10899,nASIG,DATOS!$I10899,nEVAL,"OR")=0))</f>
      </c>
      <c r="I10899">
        <f>IF(DATOS!$I10899="","",IFERROR(VLOOKUP(DATOS!$I10899,CONFIG_ASIGNATURAS!$B$2:$J$91,9,FALSE()),""))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IF(DATOS!$A10900="",0,IF(CONFIG_METADATA!$B$4&lt;&gt;"OR+EX",--(DATOS!$G10900=CONFIG_METADATA!$B$4),IF(DATOS!$G10900="EX",1,IF(DATOS!$G10900="OR",--(COUNTIFS(nNIA,DATOS!$A10900,nCURSO,DATOS!$D10900,nESPEC,DATOS!$E10900,nASIG,DATOS!$I10900,nEVAL,"EX")=0),0))))</f>
      </c>
      <c r="H10900">
        <f>IF(DATOS!$G10900&lt;&gt;"EX",0,--(COUNTIFS(nNIA,DATOS!$A10900,nCURSO,DATOS!$D10900,nESPEC,DATOS!$E10900,nASIG,DATOS!$I10900,nEVAL,"OR")=0))</f>
      </c>
      <c r="I10900">
        <f>IF(DATOS!$I10900="","",IFERROR(VLOOKUP(DATOS!$I10900,CONFIG_ASIGNATURAS!$B$2:$J$91,9,FALSE()),""))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IF(DATOS!$A10901="",0,IF(CONFIG_METADATA!$B$4&lt;&gt;"OR+EX",--(DATOS!$G10901=CONFIG_METADATA!$B$4),IF(DATOS!$G10901="EX",1,IF(DATOS!$G10901="OR",--(COUNTIFS(nNIA,DATOS!$A10901,nCURSO,DATOS!$D10901,nESPEC,DATOS!$E10901,nASIG,DATOS!$I10901,nEVAL,"EX")=0),0))))</f>
      </c>
      <c r="H10901">
        <f>IF(DATOS!$G10901&lt;&gt;"EX",0,--(COUNTIFS(nNIA,DATOS!$A10901,nCURSO,DATOS!$D10901,nESPEC,DATOS!$E10901,nASIG,DATOS!$I10901,nEVAL,"OR")=0))</f>
      </c>
      <c r="I10901">
        <f>IF(DATOS!$I10901="","",IFERROR(VLOOKUP(DATOS!$I10901,CONFIG_ASIGNATURAS!$B$2:$J$91,9,FALSE()),""))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IF(DATOS!$A10902="",0,IF(CONFIG_METADATA!$B$4&lt;&gt;"OR+EX",--(DATOS!$G10902=CONFIG_METADATA!$B$4),IF(DATOS!$G10902="EX",1,IF(DATOS!$G10902="OR",--(COUNTIFS(nNIA,DATOS!$A10902,nCURSO,DATOS!$D10902,nESPEC,DATOS!$E10902,nASIG,DATOS!$I10902,nEVAL,"EX")=0),0))))</f>
      </c>
      <c r="H10902">
        <f>IF(DATOS!$G10902&lt;&gt;"EX",0,--(COUNTIFS(nNIA,DATOS!$A10902,nCURSO,DATOS!$D10902,nESPEC,DATOS!$E10902,nASIG,DATOS!$I10902,nEVAL,"OR")=0))</f>
      </c>
      <c r="I10902">
        <f>IF(DATOS!$I10902="","",IFERROR(VLOOKUP(DATOS!$I10902,CONFIG_ASIGNATURAS!$B$2:$J$91,9,FALSE()),""))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IF(DATOS!$A10903="",0,IF(CONFIG_METADATA!$B$4&lt;&gt;"OR+EX",--(DATOS!$G10903=CONFIG_METADATA!$B$4),IF(DATOS!$G10903="EX",1,IF(DATOS!$G10903="OR",--(COUNTIFS(nNIA,DATOS!$A10903,nCURSO,DATOS!$D10903,nESPEC,DATOS!$E10903,nASIG,DATOS!$I10903,nEVAL,"EX")=0),0))))</f>
      </c>
      <c r="H10903">
        <f>IF(DATOS!$G10903&lt;&gt;"EX",0,--(COUNTIFS(nNIA,DATOS!$A10903,nCURSO,DATOS!$D10903,nESPEC,DATOS!$E10903,nASIG,DATOS!$I10903,nEVAL,"OR")=0))</f>
      </c>
      <c r="I10903">
        <f>IF(DATOS!$I10903="","",IFERROR(VLOOKUP(DATOS!$I10903,CONFIG_ASIGNATURAS!$B$2:$J$91,9,FALSE()),""))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IF(DATOS!$A10904="",0,IF(CONFIG_METADATA!$B$4&lt;&gt;"OR+EX",--(DATOS!$G10904=CONFIG_METADATA!$B$4),IF(DATOS!$G10904="EX",1,IF(DATOS!$G10904="OR",--(COUNTIFS(nNIA,DATOS!$A10904,nCURSO,DATOS!$D10904,nESPEC,DATOS!$E10904,nASIG,DATOS!$I10904,nEVAL,"EX")=0),0))))</f>
      </c>
      <c r="H10904">
        <f>IF(DATOS!$G10904&lt;&gt;"EX",0,--(COUNTIFS(nNIA,DATOS!$A10904,nCURSO,DATOS!$D10904,nESPEC,DATOS!$E10904,nASIG,DATOS!$I10904,nEVAL,"OR")=0))</f>
      </c>
      <c r="I10904">
        <f>IF(DATOS!$I10904="","",IFERROR(VLOOKUP(DATOS!$I10904,CONFIG_ASIGNATURAS!$B$2:$J$91,9,FALSE()),""))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IF(DATOS!$A10905="",0,IF(CONFIG_METADATA!$B$4&lt;&gt;"OR+EX",--(DATOS!$G10905=CONFIG_METADATA!$B$4),IF(DATOS!$G10905="EX",1,IF(DATOS!$G10905="OR",--(COUNTIFS(nNIA,DATOS!$A10905,nCURSO,DATOS!$D10905,nESPEC,DATOS!$E10905,nASIG,DATOS!$I10905,nEVAL,"EX")=0),0))))</f>
      </c>
      <c r="H10905">
        <f>IF(DATOS!$G10905&lt;&gt;"EX",0,--(COUNTIFS(nNIA,DATOS!$A10905,nCURSO,DATOS!$D10905,nESPEC,DATOS!$E10905,nASIG,DATOS!$I10905,nEVAL,"OR")=0))</f>
      </c>
      <c r="I10905">
        <f>IF(DATOS!$I10905="","",IFERROR(VLOOKUP(DATOS!$I10905,CONFIG_ASIGNATURAS!$B$2:$J$91,9,FALSE()),""))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IF(DATOS!$A10906="",0,IF(CONFIG_METADATA!$B$4&lt;&gt;"OR+EX",--(DATOS!$G10906=CONFIG_METADATA!$B$4),IF(DATOS!$G10906="EX",1,IF(DATOS!$G10906="OR",--(COUNTIFS(nNIA,DATOS!$A10906,nCURSO,DATOS!$D10906,nESPEC,DATOS!$E10906,nASIG,DATOS!$I10906,nEVAL,"EX")=0),0))))</f>
      </c>
      <c r="H10906">
        <f>IF(DATOS!$G10906&lt;&gt;"EX",0,--(COUNTIFS(nNIA,DATOS!$A10906,nCURSO,DATOS!$D10906,nESPEC,DATOS!$E10906,nASIG,DATOS!$I10906,nEVAL,"OR")=0))</f>
      </c>
      <c r="I10906">
        <f>IF(DATOS!$I10906="","",IFERROR(VLOOKUP(DATOS!$I10906,CONFIG_ASIGNATURAS!$B$2:$J$91,9,FALSE()),""))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IF(DATOS!$A10907="",0,IF(CONFIG_METADATA!$B$4&lt;&gt;"OR+EX",--(DATOS!$G10907=CONFIG_METADATA!$B$4),IF(DATOS!$G10907="EX",1,IF(DATOS!$G10907="OR",--(COUNTIFS(nNIA,DATOS!$A10907,nCURSO,DATOS!$D10907,nESPEC,DATOS!$E10907,nASIG,DATOS!$I10907,nEVAL,"EX")=0),0))))</f>
      </c>
      <c r="H10907">
        <f>IF(DATOS!$G10907&lt;&gt;"EX",0,--(COUNTIFS(nNIA,DATOS!$A10907,nCURSO,DATOS!$D10907,nESPEC,DATOS!$E10907,nASIG,DATOS!$I10907,nEVAL,"OR")=0))</f>
      </c>
      <c r="I10907">
        <f>IF(DATOS!$I10907="","",IFERROR(VLOOKUP(DATOS!$I10907,CONFIG_ASIGNATURAS!$B$2:$J$91,9,FALSE()),""))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IF(DATOS!$A10908="",0,IF(CONFIG_METADATA!$B$4&lt;&gt;"OR+EX",--(DATOS!$G10908=CONFIG_METADATA!$B$4),IF(DATOS!$G10908="EX",1,IF(DATOS!$G10908="OR",--(COUNTIFS(nNIA,DATOS!$A10908,nCURSO,DATOS!$D10908,nESPEC,DATOS!$E10908,nASIG,DATOS!$I10908,nEVAL,"EX")=0),0))))</f>
      </c>
      <c r="H10908">
        <f>IF(DATOS!$G10908&lt;&gt;"EX",0,--(COUNTIFS(nNIA,DATOS!$A10908,nCURSO,DATOS!$D10908,nESPEC,DATOS!$E10908,nASIG,DATOS!$I10908,nEVAL,"OR")=0))</f>
      </c>
      <c r="I10908">
        <f>IF(DATOS!$I10908="","",IFERROR(VLOOKUP(DATOS!$I10908,CONFIG_ASIGNATURAS!$B$2:$J$91,9,FALSE()),""))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IF(DATOS!$A10909="",0,IF(CONFIG_METADATA!$B$4&lt;&gt;"OR+EX",--(DATOS!$G10909=CONFIG_METADATA!$B$4),IF(DATOS!$G10909="EX",1,IF(DATOS!$G10909="OR",--(COUNTIFS(nNIA,DATOS!$A10909,nCURSO,DATOS!$D10909,nESPEC,DATOS!$E10909,nASIG,DATOS!$I10909,nEVAL,"EX")=0),0))))</f>
      </c>
      <c r="H10909">
        <f>IF(DATOS!$G10909&lt;&gt;"EX",0,--(COUNTIFS(nNIA,DATOS!$A10909,nCURSO,DATOS!$D10909,nESPEC,DATOS!$E10909,nASIG,DATOS!$I10909,nEVAL,"OR")=0))</f>
      </c>
      <c r="I10909">
        <f>IF(DATOS!$I10909="","",IFERROR(VLOOKUP(DATOS!$I10909,CONFIG_ASIGNATURAS!$B$2:$J$91,9,FALSE()),""))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IF(DATOS!$A10910="",0,IF(CONFIG_METADATA!$B$4&lt;&gt;"OR+EX",--(DATOS!$G10910=CONFIG_METADATA!$B$4),IF(DATOS!$G10910="EX",1,IF(DATOS!$G10910="OR",--(COUNTIFS(nNIA,DATOS!$A10910,nCURSO,DATOS!$D10910,nESPEC,DATOS!$E10910,nASIG,DATOS!$I10910,nEVAL,"EX")=0),0))))</f>
      </c>
      <c r="H10910">
        <f>IF(DATOS!$G10910&lt;&gt;"EX",0,--(COUNTIFS(nNIA,DATOS!$A10910,nCURSO,DATOS!$D10910,nESPEC,DATOS!$E10910,nASIG,DATOS!$I10910,nEVAL,"OR")=0))</f>
      </c>
      <c r="I10910">
        <f>IF(DATOS!$I10910="","",IFERROR(VLOOKUP(DATOS!$I10910,CONFIG_ASIGNATURAS!$B$2:$J$91,9,FALSE()),""))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IF(DATOS!$A10911="",0,IF(CONFIG_METADATA!$B$4&lt;&gt;"OR+EX",--(DATOS!$G10911=CONFIG_METADATA!$B$4),IF(DATOS!$G10911="EX",1,IF(DATOS!$G10911="OR",--(COUNTIFS(nNIA,DATOS!$A10911,nCURSO,DATOS!$D10911,nESPEC,DATOS!$E10911,nASIG,DATOS!$I10911,nEVAL,"EX")=0),0))))</f>
      </c>
      <c r="H10911">
        <f>IF(DATOS!$G10911&lt;&gt;"EX",0,--(COUNTIFS(nNIA,DATOS!$A10911,nCURSO,DATOS!$D10911,nESPEC,DATOS!$E10911,nASIG,DATOS!$I10911,nEVAL,"OR")=0))</f>
      </c>
      <c r="I10911">
        <f>IF(DATOS!$I10911="","",IFERROR(VLOOKUP(DATOS!$I10911,CONFIG_ASIGNATURAS!$B$2:$J$91,9,FALSE()),""))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IF(DATOS!$A10912="",0,IF(CONFIG_METADATA!$B$4&lt;&gt;"OR+EX",--(DATOS!$G10912=CONFIG_METADATA!$B$4),IF(DATOS!$G10912="EX",1,IF(DATOS!$G10912="OR",--(COUNTIFS(nNIA,DATOS!$A10912,nCURSO,DATOS!$D10912,nESPEC,DATOS!$E10912,nASIG,DATOS!$I10912,nEVAL,"EX")=0),0))))</f>
      </c>
      <c r="H10912">
        <f>IF(DATOS!$G10912&lt;&gt;"EX",0,--(COUNTIFS(nNIA,DATOS!$A10912,nCURSO,DATOS!$D10912,nESPEC,DATOS!$E10912,nASIG,DATOS!$I10912,nEVAL,"OR")=0))</f>
      </c>
      <c r="I10912">
        <f>IF(DATOS!$I10912="","",IFERROR(VLOOKUP(DATOS!$I10912,CONFIG_ASIGNATURAS!$B$2:$J$91,9,FALSE()),""))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IF(DATOS!$A10913="",0,IF(CONFIG_METADATA!$B$4&lt;&gt;"OR+EX",--(DATOS!$G10913=CONFIG_METADATA!$B$4),IF(DATOS!$G10913="EX",1,IF(DATOS!$G10913="OR",--(COUNTIFS(nNIA,DATOS!$A10913,nCURSO,DATOS!$D10913,nESPEC,DATOS!$E10913,nASIG,DATOS!$I10913,nEVAL,"EX")=0),0))))</f>
      </c>
      <c r="H10913">
        <f>IF(DATOS!$G10913&lt;&gt;"EX",0,--(COUNTIFS(nNIA,DATOS!$A10913,nCURSO,DATOS!$D10913,nESPEC,DATOS!$E10913,nASIG,DATOS!$I10913,nEVAL,"OR")=0))</f>
      </c>
      <c r="I10913">
        <f>IF(DATOS!$I10913="","",IFERROR(VLOOKUP(DATOS!$I10913,CONFIG_ASIGNATURAS!$B$2:$J$91,9,FALSE()),""))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IF(DATOS!$A10914="",0,IF(CONFIG_METADATA!$B$4&lt;&gt;"OR+EX",--(DATOS!$G10914=CONFIG_METADATA!$B$4),IF(DATOS!$G10914="EX",1,IF(DATOS!$G10914="OR",--(COUNTIFS(nNIA,DATOS!$A10914,nCURSO,DATOS!$D10914,nESPEC,DATOS!$E10914,nASIG,DATOS!$I10914,nEVAL,"EX")=0),0))))</f>
      </c>
      <c r="H10914">
        <f>IF(DATOS!$G10914&lt;&gt;"EX",0,--(COUNTIFS(nNIA,DATOS!$A10914,nCURSO,DATOS!$D10914,nESPEC,DATOS!$E10914,nASIG,DATOS!$I10914,nEVAL,"OR")=0))</f>
      </c>
      <c r="I10914">
        <f>IF(DATOS!$I10914="","",IFERROR(VLOOKUP(DATOS!$I10914,CONFIG_ASIGNATURAS!$B$2:$J$91,9,FALSE()),""))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IF(DATOS!$A10915="",0,IF(CONFIG_METADATA!$B$4&lt;&gt;"OR+EX",--(DATOS!$G10915=CONFIG_METADATA!$B$4),IF(DATOS!$G10915="EX",1,IF(DATOS!$G10915="OR",--(COUNTIFS(nNIA,DATOS!$A10915,nCURSO,DATOS!$D10915,nESPEC,DATOS!$E10915,nASIG,DATOS!$I10915,nEVAL,"EX")=0),0))))</f>
      </c>
      <c r="H10915">
        <f>IF(DATOS!$G10915&lt;&gt;"EX",0,--(COUNTIFS(nNIA,DATOS!$A10915,nCURSO,DATOS!$D10915,nESPEC,DATOS!$E10915,nASIG,DATOS!$I10915,nEVAL,"OR")=0))</f>
      </c>
      <c r="I10915">
        <f>IF(DATOS!$I10915="","",IFERROR(VLOOKUP(DATOS!$I10915,CONFIG_ASIGNATURAS!$B$2:$J$91,9,FALSE()),""))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IF(DATOS!$A10916="",0,IF(CONFIG_METADATA!$B$4&lt;&gt;"OR+EX",--(DATOS!$G10916=CONFIG_METADATA!$B$4),IF(DATOS!$G10916="EX",1,IF(DATOS!$G10916="OR",--(COUNTIFS(nNIA,DATOS!$A10916,nCURSO,DATOS!$D10916,nESPEC,DATOS!$E10916,nASIG,DATOS!$I10916,nEVAL,"EX")=0),0))))</f>
      </c>
      <c r="H10916">
        <f>IF(DATOS!$G10916&lt;&gt;"EX",0,--(COUNTIFS(nNIA,DATOS!$A10916,nCURSO,DATOS!$D10916,nESPEC,DATOS!$E10916,nASIG,DATOS!$I10916,nEVAL,"OR")=0))</f>
      </c>
      <c r="I10916">
        <f>IF(DATOS!$I10916="","",IFERROR(VLOOKUP(DATOS!$I10916,CONFIG_ASIGNATURAS!$B$2:$J$91,9,FALSE()),""))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IF(DATOS!$A10917="",0,IF(CONFIG_METADATA!$B$4&lt;&gt;"OR+EX",--(DATOS!$G10917=CONFIG_METADATA!$B$4),IF(DATOS!$G10917="EX",1,IF(DATOS!$G10917="OR",--(COUNTIFS(nNIA,DATOS!$A10917,nCURSO,DATOS!$D10917,nESPEC,DATOS!$E10917,nASIG,DATOS!$I10917,nEVAL,"EX")=0),0))))</f>
      </c>
      <c r="H10917">
        <f>IF(DATOS!$G10917&lt;&gt;"EX",0,--(COUNTIFS(nNIA,DATOS!$A10917,nCURSO,DATOS!$D10917,nESPEC,DATOS!$E10917,nASIG,DATOS!$I10917,nEVAL,"OR")=0))</f>
      </c>
      <c r="I10917">
        <f>IF(DATOS!$I10917="","",IFERROR(VLOOKUP(DATOS!$I10917,CONFIG_ASIGNATURAS!$B$2:$J$91,9,FALSE()),""))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IF(DATOS!$A10918="",0,IF(CONFIG_METADATA!$B$4&lt;&gt;"OR+EX",--(DATOS!$G10918=CONFIG_METADATA!$B$4),IF(DATOS!$G10918="EX",1,IF(DATOS!$G10918="OR",--(COUNTIFS(nNIA,DATOS!$A10918,nCURSO,DATOS!$D10918,nESPEC,DATOS!$E10918,nASIG,DATOS!$I10918,nEVAL,"EX")=0),0))))</f>
      </c>
      <c r="H10918">
        <f>IF(DATOS!$G10918&lt;&gt;"EX",0,--(COUNTIFS(nNIA,DATOS!$A10918,nCURSO,DATOS!$D10918,nESPEC,DATOS!$E10918,nASIG,DATOS!$I10918,nEVAL,"OR")=0))</f>
      </c>
      <c r="I10918">
        <f>IF(DATOS!$I10918="","",IFERROR(VLOOKUP(DATOS!$I10918,CONFIG_ASIGNATURAS!$B$2:$J$91,9,FALSE()),""))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IF(DATOS!$A10919="",0,IF(CONFIG_METADATA!$B$4&lt;&gt;"OR+EX",--(DATOS!$G10919=CONFIG_METADATA!$B$4),IF(DATOS!$G10919="EX",1,IF(DATOS!$G10919="OR",--(COUNTIFS(nNIA,DATOS!$A10919,nCURSO,DATOS!$D10919,nESPEC,DATOS!$E10919,nASIG,DATOS!$I10919,nEVAL,"EX")=0),0))))</f>
      </c>
      <c r="H10919">
        <f>IF(DATOS!$G10919&lt;&gt;"EX",0,--(COUNTIFS(nNIA,DATOS!$A10919,nCURSO,DATOS!$D10919,nESPEC,DATOS!$E10919,nASIG,DATOS!$I10919,nEVAL,"OR")=0))</f>
      </c>
      <c r="I10919">
        <f>IF(DATOS!$I10919="","",IFERROR(VLOOKUP(DATOS!$I10919,CONFIG_ASIGNATURAS!$B$2:$J$91,9,FALSE()),""))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IF(DATOS!$A10920="",0,IF(CONFIG_METADATA!$B$4&lt;&gt;"OR+EX",--(DATOS!$G10920=CONFIG_METADATA!$B$4),IF(DATOS!$G10920="EX",1,IF(DATOS!$G10920="OR",--(COUNTIFS(nNIA,DATOS!$A10920,nCURSO,DATOS!$D10920,nESPEC,DATOS!$E10920,nASIG,DATOS!$I10920,nEVAL,"EX")=0),0))))</f>
      </c>
      <c r="H10920">
        <f>IF(DATOS!$G10920&lt;&gt;"EX",0,--(COUNTIFS(nNIA,DATOS!$A10920,nCURSO,DATOS!$D10920,nESPEC,DATOS!$E10920,nASIG,DATOS!$I10920,nEVAL,"OR")=0))</f>
      </c>
      <c r="I10920">
        <f>IF(DATOS!$I10920="","",IFERROR(VLOOKUP(DATOS!$I10920,CONFIG_ASIGNATURAS!$B$2:$J$91,9,FALSE()),""))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IF(DATOS!$A10921="",0,IF(CONFIG_METADATA!$B$4&lt;&gt;"OR+EX",--(DATOS!$G10921=CONFIG_METADATA!$B$4),IF(DATOS!$G10921="EX",1,IF(DATOS!$G10921="OR",--(COUNTIFS(nNIA,DATOS!$A10921,nCURSO,DATOS!$D10921,nESPEC,DATOS!$E10921,nASIG,DATOS!$I10921,nEVAL,"EX")=0),0))))</f>
      </c>
      <c r="H10921">
        <f>IF(DATOS!$G10921&lt;&gt;"EX",0,--(COUNTIFS(nNIA,DATOS!$A10921,nCURSO,DATOS!$D10921,nESPEC,DATOS!$E10921,nASIG,DATOS!$I10921,nEVAL,"OR")=0))</f>
      </c>
      <c r="I10921">
        <f>IF(DATOS!$I10921="","",IFERROR(VLOOKUP(DATOS!$I10921,CONFIG_ASIGNATURAS!$B$2:$J$91,9,FALSE()),""))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IF(DATOS!$A10922="",0,IF(CONFIG_METADATA!$B$4&lt;&gt;"OR+EX",--(DATOS!$G10922=CONFIG_METADATA!$B$4),IF(DATOS!$G10922="EX",1,IF(DATOS!$G10922="OR",--(COUNTIFS(nNIA,DATOS!$A10922,nCURSO,DATOS!$D10922,nESPEC,DATOS!$E10922,nASIG,DATOS!$I10922,nEVAL,"EX")=0),0))))</f>
      </c>
      <c r="H10922">
        <f>IF(DATOS!$G10922&lt;&gt;"EX",0,--(COUNTIFS(nNIA,DATOS!$A10922,nCURSO,DATOS!$D10922,nESPEC,DATOS!$E10922,nASIG,DATOS!$I10922,nEVAL,"OR")=0))</f>
      </c>
      <c r="I10922">
        <f>IF(DATOS!$I10922="","",IFERROR(VLOOKUP(DATOS!$I10922,CONFIG_ASIGNATURAS!$B$2:$J$91,9,FALSE()),""))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IF(DATOS!$A10923="",0,IF(CONFIG_METADATA!$B$4&lt;&gt;"OR+EX",--(DATOS!$G10923=CONFIG_METADATA!$B$4),IF(DATOS!$G10923="EX",1,IF(DATOS!$G10923="OR",--(COUNTIFS(nNIA,DATOS!$A10923,nCURSO,DATOS!$D10923,nESPEC,DATOS!$E10923,nASIG,DATOS!$I10923,nEVAL,"EX")=0),0))))</f>
      </c>
      <c r="H10923">
        <f>IF(DATOS!$G10923&lt;&gt;"EX",0,--(COUNTIFS(nNIA,DATOS!$A10923,nCURSO,DATOS!$D10923,nESPEC,DATOS!$E10923,nASIG,DATOS!$I10923,nEVAL,"OR")=0))</f>
      </c>
      <c r="I10923">
        <f>IF(DATOS!$I10923="","",IFERROR(VLOOKUP(DATOS!$I10923,CONFIG_ASIGNATURAS!$B$2:$J$91,9,FALSE()),""))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IF(DATOS!$A10924="",0,IF(CONFIG_METADATA!$B$4&lt;&gt;"OR+EX",--(DATOS!$G10924=CONFIG_METADATA!$B$4),IF(DATOS!$G10924="EX",1,IF(DATOS!$G10924="OR",--(COUNTIFS(nNIA,DATOS!$A10924,nCURSO,DATOS!$D10924,nESPEC,DATOS!$E10924,nASIG,DATOS!$I10924,nEVAL,"EX")=0),0))))</f>
      </c>
      <c r="H10924">
        <f>IF(DATOS!$G10924&lt;&gt;"EX",0,--(COUNTIFS(nNIA,DATOS!$A10924,nCURSO,DATOS!$D10924,nESPEC,DATOS!$E10924,nASIG,DATOS!$I10924,nEVAL,"OR")=0))</f>
      </c>
      <c r="I10924">
        <f>IF(DATOS!$I10924="","",IFERROR(VLOOKUP(DATOS!$I10924,CONFIG_ASIGNATURAS!$B$2:$J$91,9,FALSE()),""))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IF(DATOS!$A10925="",0,IF(CONFIG_METADATA!$B$4&lt;&gt;"OR+EX",--(DATOS!$G10925=CONFIG_METADATA!$B$4),IF(DATOS!$G10925="EX",1,IF(DATOS!$G10925="OR",--(COUNTIFS(nNIA,DATOS!$A10925,nCURSO,DATOS!$D10925,nESPEC,DATOS!$E10925,nASIG,DATOS!$I10925,nEVAL,"EX")=0),0))))</f>
      </c>
      <c r="H10925">
        <f>IF(DATOS!$G10925&lt;&gt;"EX",0,--(COUNTIFS(nNIA,DATOS!$A10925,nCURSO,DATOS!$D10925,nESPEC,DATOS!$E10925,nASIG,DATOS!$I10925,nEVAL,"OR")=0))</f>
      </c>
      <c r="I10925">
        <f>IF(DATOS!$I10925="","",IFERROR(VLOOKUP(DATOS!$I10925,CONFIG_ASIGNATURAS!$B$2:$J$91,9,FALSE()),""))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IF(DATOS!$A10926="",0,IF(CONFIG_METADATA!$B$4&lt;&gt;"OR+EX",--(DATOS!$G10926=CONFIG_METADATA!$B$4),IF(DATOS!$G10926="EX",1,IF(DATOS!$G10926="OR",--(COUNTIFS(nNIA,DATOS!$A10926,nCURSO,DATOS!$D10926,nESPEC,DATOS!$E10926,nASIG,DATOS!$I10926,nEVAL,"EX")=0),0))))</f>
      </c>
      <c r="H10926">
        <f>IF(DATOS!$G10926&lt;&gt;"EX",0,--(COUNTIFS(nNIA,DATOS!$A10926,nCURSO,DATOS!$D10926,nESPEC,DATOS!$E10926,nASIG,DATOS!$I10926,nEVAL,"OR")=0))</f>
      </c>
      <c r="I10926">
        <f>IF(DATOS!$I10926="","",IFERROR(VLOOKUP(DATOS!$I10926,CONFIG_ASIGNATURAS!$B$2:$J$91,9,FALSE()),""))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IF(DATOS!$A10927="",0,IF(CONFIG_METADATA!$B$4&lt;&gt;"OR+EX",--(DATOS!$G10927=CONFIG_METADATA!$B$4),IF(DATOS!$G10927="EX",1,IF(DATOS!$G10927="OR",--(COUNTIFS(nNIA,DATOS!$A10927,nCURSO,DATOS!$D10927,nESPEC,DATOS!$E10927,nASIG,DATOS!$I10927,nEVAL,"EX")=0),0))))</f>
      </c>
      <c r="H10927">
        <f>IF(DATOS!$G10927&lt;&gt;"EX",0,--(COUNTIFS(nNIA,DATOS!$A10927,nCURSO,DATOS!$D10927,nESPEC,DATOS!$E10927,nASIG,DATOS!$I10927,nEVAL,"OR")=0))</f>
      </c>
      <c r="I10927">
        <f>IF(DATOS!$I10927="","",IFERROR(VLOOKUP(DATOS!$I10927,CONFIG_ASIGNATURAS!$B$2:$J$91,9,FALSE()),""))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IF(DATOS!$A10928="",0,IF(CONFIG_METADATA!$B$4&lt;&gt;"OR+EX",--(DATOS!$G10928=CONFIG_METADATA!$B$4),IF(DATOS!$G10928="EX",1,IF(DATOS!$G10928="OR",--(COUNTIFS(nNIA,DATOS!$A10928,nCURSO,DATOS!$D10928,nESPEC,DATOS!$E10928,nASIG,DATOS!$I10928,nEVAL,"EX")=0),0))))</f>
      </c>
      <c r="H10928">
        <f>IF(DATOS!$G10928&lt;&gt;"EX",0,--(COUNTIFS(nNIA,DATOS!$A10928,nCURSO,DATOS!$D10928,nESPEC,DATOS!$E10928,nASIG,DATOS!$I10928,nEVAL,"OR")=0))</f>
      </c>
      <c r="I10928">
        <f>IF(DATOS!$I10928="","",IFERROR(VLOOKUP(DATOS!$I10928,CONFIG_ASIGNATURAS!$B$2:$J$91,9,FALSE()),""))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IF(DATOS!$A10929="",0,IF(CONFIG_METADATA!$B$4&lt;&gt;"OR+EX",--(DATOS!$G10929=CONFIG_METADATA!$B$4),IF(DATOS!$G10929="EX",1,IF(DATOS!$G10929="OR",--(COUNTIFS(nNIA,DATOS!$A10929,nCURSO,DATOS!$D10929,nESPEC,DATOS!$E10929,nASIG,DATOS!$I10929,nEVAL,"EX")=0),0))))</f>
      </c>
      <c r="H10929">
        <f>IF(DATOS!$G10929&lt;&gt;"EX",0,--(COUNTIFS(nNIA,DATOS!$A10929,nCURSO,DATOS!$D10929,nESPEC,DATOS!$E10929,nASIG,DATOS!$I10929,nEVAL,"OR")=0))</f>
      </c>
      <c r="I10929">
        <f>IF(DATOS!$I10929="","",IFERROR(VLOOKUP(DATOS!$I10929,CONFIG_ASIGNATURAS!$B$2:$J$91,9,FALSE()),""))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IF(DATOS!$A10930="",0,IF(CONFIG_METADATA!$B$4&lt;&gt;"OR+EX",--(DATOS!$G10930=CONFIG_METADATA!$B$4),IF(DATOS!$G10930="EX",1,IF(DATOS!$G10930="OR",--(COUNTIFS(nNIA,DATOS!$A10930,nCURSO,DATOS!$D10930,nESPEC,DATOS!$E10930,nASIG,DATOS!$I10930,nEVAL,"EX")=0),0))))</f>
      </c>
      <c r="H10930">
        <f>IF(DATOS!$G10930&lt;&gt;"EX",0,--(COUNTIFS(nNIA,DATOS!$A10930,nCURSO,DATOS!$D10930,nESPEC,DATOS!$E10930,nASIG,DATOS!$I10930,nEVAL,"OR")=0))</f>
      </c>
      <c r="I10930">
        <f>IF(DATOS!$I10930="","",IFERROR(VLOOKUP(DATOS!$I10930,CONFIG_ASIGNATURAS!$B$2:$J$91,9,FALSE()),""))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IF(DATOS!$A10931="",0,IF(CONFIG_METADATA!$B$4&lt;&gt;"OR+EX",--(DATOS!$G10931=CONFIG_METADATA!$B$4),IF(DATOS!$G10931="EX",1,IF(DATOS!$G10931="OR",--(COUNTIFS(nNIA,DATOS!$A10931,nCURSO,DATOS!$D10931,nESPEC,DATOS!$E10931,nASIG,DATOS!$I10931,nEVAL,"EX")=0),0))))</f>
      </c>
      <c r="H10931">
        <f>IF(DATOS!$G10931&lt;&gt;"EX",0,--(COUNTIFS(nNIA,DATOS!$A10931,nCURSO,DATOS!$D10931,nESPEC,DATOS!$E10931,nASIG,DATOS!$I10931,nEVAL,"OR")=0))</f>
      </c>
      <c r="I10931">
        <f>IF(DATOS!$I10931="","",IFERROR(VLOOKUP(DATOS!$I10931,CONFIG_ASIGNATURAS!$B$2:$J$91,9,FALSE()),""))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IF(DATOS!$A10932="",0,IF(CONFIG_METADATA!$B$4&lt;&gt;"OR+EX",--(DATOS!$G10932=CONFIG_METADATA!$B$4),IF(DATOS!$G10932="EX",1,IF(DATOS!$G10932="OR",--(COUNTIFS(nNIA,DATOS!$A10932,nCURSO,DATOS!$D10932,nESPEC,DATOS!$E10932,nASIG,DATOS!$I10932,nEVAL,"EX")=0),0))))</f>
      </c>
      <c r="H10932">
        <f>IF(DATOS!$G10932&lt;&gt;"EX",0,--(COUNTIFS(nNIA,DATOS!$A10932,nCURSO,DATOS!$D10932,nESPEC,DATOS!$E10932,nASIG,DATOS!$I10932,nEVAL,"OR")=0))</f>
      </c>
      <c r="I10932">
        <f>IF(DATOS!$I10932="","",IFERROR(VLOOKUP(DATOS!$I10932,CONFIG_ASIGNATURAS!$B$2:$J$91,9,FALSE()),""))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IF(DATOS!$A10933="",0,IF(CONFIG_METADATA!$B$4&lt;&gt;"OR+EX",--(DATOS!$G10933=CONFIG_METADATA!$B$4),IF(DATOS!$G10933="EX",1,IF(DATOS!$G10933="OR",--(COUNTIFS(nNIA,DATOS!$A10933,nCURSO,DATOS!$D10933,nESPEC,DATOS!$E10933,nASIG,DATOS!$I10933,nEVAL,"EX")=0),0))))</f>
      </c>
      <c r="H10933">
        <f>IF(DATOS!$G10933&lt;&gt;"EX",0,--(COUNTIFS(nNIA,DATOS!$A10933,nCURSO,DATOS!$D10933,nESPEC,DATOS!$E10933,nASIG,DATOS!$I10933,nEVAL,"OR")=0))</f>
      </c>
      <c r="I10933">
        <f>IF(DATOS!$I10933="","",IFERROR(VLOOKUP(DATOS!$I10933,CONFIG_ASIGNATURAS!$B$2:$J$91,9,FALSE()),""))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IF(DATOS!$A10934="",0,IF(CONFIG_METADATA!$B$4&lt;&gt;"OR+EX",--(DATOS!$G10934=CONFIG_METADATA!$B$4),IF(DATOS!$G10934="EX",1,IF(DATOS!$G10934="OR",--(COUNTIFS(nNIA,DATOS!$A10934,nCURSO,DATOS!$D10934,nESPEC,DATOS!$E10934,nASIG,DATOS!$I10934,nEVAL,"EX")=0),0))))</f>
      </c>
      <c r="H10934">
        <f>IF(DATOS!$G10934&lt;&gt;"EX",0,--(COUNTIFS(nNIA,DATOS!$A10934,nCURSO,DATOS!$D10934,nESPEC,DATOS!$E10934,nASIG,DATOS!$I10934,nEVAL,"OR")=0))</f>
      </c>
      <c r="I10934">
        <f>IF(DATOS!$I10934="","",IFERROR(VLOOKUP(DATOS!$I10934,CONFIG_ASIGNATURAS!$B$2:$J$91,9,FALSE()),""))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IF(DATOS!$A10935="",0,IF(CONFIG_METADATA!$B$4&lt;&gt;"OR+EX",--(DATOS!$G10935=CONFIG_METADATA!$B$4),IF(DATOS!$G10935="EX",1,IF(DATOS!$G10935="OR",--(COUNTIFS(nNIA,DATOS!$A10935,nCURSO,DATOS!$D10935,nESPEC,DATOS!$E10935,nASIG,DATOS!$I10935,nEVAL,"EX")=0),0))))</f>
      </c>
      <c r="H10935">
        <f>IF(DATOS!$G10935&lt;&gt;"EX",0,--(COUNTIFS(nNIA,DATOS!$A10935,nCURSO,DATOS!$D10935,nESPEC,DATOS!$E10935,nASIG,DATOS!$I10935,nEVAL,"OR")=0))</f>
      </c>
      <c r="I10935">
        <f>IF(DATOS!$I10935="","",IFERROR(VLOOKUP(DATOS!$I10935,CONFIG_ASIGNATURAS!$B$2:$J$91,9,FALSE()),""))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IF(DATOS!$A10936="",0,IF(CONFIG_METADATA!$B$4&lt;&gt;"OR+EX",--(DATOS!$G10936=CONFIG_METADATA!$B$4),IF(DATOS!$G10936="EX",1,IF(DATOS!$G10936="OR",--(COUNTIFS(nNIA,DATOS!$A10936,nCURSO,DATOS!$D10936,nESPEC,DATOS!$E10936,nASIG,DATOS!$I10936,nEVAL,"EX")=0),0))))</f>
      </c>
      <c r="H10936">
        <f>IF(DATOS!$G10936&lt;&gt;"EX",0,--(COUNTIFS(nNIA,DATOS!$A10936,nCURSO,DATOS!$D10936,nESPEC,DATOS!$E10936,nASIG,DATOS!$I10936,nEVAL,"OR")=0))</f>
      </c>
      <c r="I10936">
        <f>IF(DATOS!$I10936="","",IFERROR(VLOOKUP(DATOS!$I10936,CONFIG_ASIGNATURAS!$B$2:$J$91,9,FALSE()),""))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IF(DATOS!$A10937="",0,IF(CONFIG_METADATA!$B$4&lt;&gt;"OR+EX",--(DATOS!$G10937=CONFIG_METADATA!$B$4),IF(DATOS!$G10937="EX",1,IF(DATOS!$G10937="OR",--(COUNTIFS(nNIA,DATOS!$A10937,nCURSO,DATOS!$D10937,nESPEC,DATOS!$E10937,nASIG,DATOS!$I10937,nEVAL,"EX")=0),0))))</f>
      </c>
      <c r="H10937">
        <f>IF(DATOS!$G10937&lt;&gt;"EX",0,--(COUNTIFS(nNIA,DATOS!$A10937,nCURSO,DATOS!$D10937,nESPEC,DATOS!$E10937,nASIG,DATOS!$I10937,nEVAL,"OR")=0))</f>
      </c>
      <c r="I10937">
        <f>IF(DATOS!$I10937="","",IFERROR(VLOOKUP(DATOS!$I10937,CONFIG_ASIGNATURAS!$B$2:$J$91,9,FALSE()),""))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IF(DATOS!$A10938="",0,IF(CONFIG_METADATA!$B$4&lt;&gt;"OR+EX",--(DATOS!$G10938=CONFIG_METADATA!$B$4),IF(DATOS!$G10938="EX",1,IF(DATOS!$G10938="OR",--(COUNTIFS(nNIA,DATOS!$A10938,nCURSO,DATOS!$D10938,nESPEC,DATOS!$E10938,nASIG,DATOS!$I10938,nEVAL,"EX")=0),0))))</f>
      </c>
      <c r="H10938">
        <f>IF(DATOS!$G10938&lt;&gt;"EX",0,--(COUNTIFS(nNIA,DATOS!$A10938,nCURSO,DATOS!$D10938,nESPEC,DATOS!$E10938,nASIG,DATOS!$I10938,nEVAL,"OR")=0))</f>
      </c>
      <c r="I10938">
        <f>IF(DATOS!$I10938="","",IFERROR(VLOOKUP(DATOS!$I10938,CONFIG_ASIGNATURAS!$B$2:$J$91,9,FALSE()),""))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IF(DATOS!$A10939="",0,IF(CONFIG_METADATA!$B$4&lt;&gt;"OR+EX",--(DATOS!$G10939=CONFIG_METADATA!$B$4),IF(DATOS!$G10939="EX",1,IF(DATOS!$G10939="OR",--(COUNTIFS(nNIA,DATOS!$A10939,nCURSO,DATOS!$D10939,nESPEC,DATOS!$E10939,nASIG,DATOS!$I10939,nEVAL,"EX")=0),0))))</f>
      </c>
      <c r="H10939">
        <f>IF(DATOS!$G10939&lt;&gt;"EX",0,--(COUNTIFS(nNIA,DATOS!$A10939,nCURSO,DATOS!$D10939,nESPEC,DATOS!$E10939,nASIG,DATOS!$I10939,nEVAL,"OR")=0))</f>
      </c>
      <c r="I10939">
        <f>IF(DATOS!$I10939="","",IFERROR(VLOOKUP(DATOS!$I10939,CONFIG_ASIGNATURAS!$B$2:$J$91,9,FALSE()),""))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IF(DATOS!$A10940="",0,IF(CONFIG_METADATA!$B$4&lt;&gt;"OR+EX",--(DATOS!$G10940=CONFIG_METADATA!$B$4),IF(DATOS!$G10940="EX",1,IF(DATOS!$G10940="OR",--(COUNTIFS(nNIA,DATOS!$A10940,nCURSO,DATOS!$D10940,nESPEC,DATOS!$E10940,nASIG,DATOS!$I10940,nEVAL,"EX")=0),0))))</f>
      </c>
      <c r="H10940">
        <f>IF(DATOS!$G10940&lt;&gt;"EX",0,--(COUNTIFS(nNIA,DATOS!$A10940,nCURSO,DATOS!$D10940,nESPEC,DATOS!$E10940,nASIG,DATOS!$I10940,nEVAL,"OR")=0))</f>
      </c>
      <c r="I10940">
        <f>IF(DATOS!$I10940="","",IFERROR(VLOOKUP(DATOS!$I10940,CONFIG_ASIGNATURAS!$B$2:$J$91,9,FALSE()),""))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IF(DATOS!$A10941="",0,IF(CONFIG_METADATA!$B$4&lt;&gt;"OR+EX",--(DATOS!$G10941=CONFIG_METADATA!$B$4),IF(DATOS!$G10941="EX",1,IF(DATOS!$G10941="OR",--(COUNTIFS(nNIA,DATOS!$A10941,nCURSO,DATOS!$D10941,nESPEC,DATOS!$E10941,nASIG,DATOS!$I10941,nEVAL,"EX")=0),0))))</f>
      </c>
      <c r="H10941">
        <f>IF(DATOS!$G10941&lt;&gt;"EX",0,--(COUNTIFS(nNIA,DATOS!$A10941,nCURSO,DATOS!$D10941,nESPEC,DATOS!$E10941,nASIG,DATOS!$I10941,nEVAL,"OR")=0))</f>
      </c>
      <c r="I10941">
        <f>IF(DATOS!$I10941="","",IFERROR(VLOOKUP(DATOS!$I10941,CONFIG_ASIGNATURAS!$B$2:$J$91,9,FALSE()),""))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IF(DATOS!$A10942="",0,IF(CONFIG_METADATA!$B$4&lt;&gt;"OR+EX",--(DATOS!$G10942=CONFIG_METADATA!$B$4),IF(DATOS!$G10942="EX",1,IF(DATOS!$G10942="OR",--(COUNTIFS(nNIA,DATOS!$A10942,nCURSO,DATOS!$D10942,nESPEC,DATOS!$E10942,nASIG,DATOS!$I10942,nEVAL,"EX")=0),0))))</f>
      </c>
      <c r="H10942">
        <f>IF(DATOS!$G10942&lt;&gt;"EX",0,--(COUNTIFS(nNIA,DATOS!$A10942,nCURSO,DATOS!$D10942,nESPEC,DATOS!$E10942,nASIG,DATOS!$I10942,nEVAL,"OR")=0))</f>
      </c>
      <c r="I10942">
        <f>IF(DATOS!$I10942="","",IFERROR(VLOOKUP(DATOS!$I10942,CONFIG_ASIGNATURAS!$B$2:$J$91,9,FALSE()),""))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IF(DATOS!$A10943="",0,IF(CONFIG_METADATA!$B$4&lt;&gt;"OR+EX",--(DATOS!$G10943=CONFIG_METADATA!$B$4),IF(DATOS!$G10943="EX",1,IF(DATOS!$G10943="OR",--(COUNTIFS(nNIA,DATOS!$A10943,nCURSO,DATOS!$D10943,nESPEC,DATOS!$E10943,nASIG,DATOS!$I10943,nEVAL,"EX")=0),0))))</f>
      </c>
      <c r="H10943">
        <f>IF(DATOS!$G10943&lt;&gt;"EX",0,--(COUNTIFS(nNIA,DATOS!$A10943,nCURSO,DATOS!$D10943,nESPEC,DATOS!$E10943,nASIG,DATOS!$I10943,nEVAL,"OR")=0))</f>
      </c>
      <c r="I10943">
        <f>IF(DATOS!$I10943="","",IFERROR(VLOOKUP(DATOS!$I10943,CONFIG_ASIGNATURAS!$B$2:$J$91,9,FALSE()),""))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IF(DATOS!$A10944="",0,IF(CONFIG_METADATA!$B$4&lt;&gt;"OR+EX",--(DATOS!$G10944=CONFIG_METADATA!$B$4),IF(DATOS!$G10944="EX",1,IF(DATOS!$G10944="OR",--(COUNTIFS(nNIA,DATOS!$A10944,nCURSO,DATOS!$D10944,nESPEC,DATOS!$E10944,nASIG,DATOS!$I10944,nEVAL,"EX")=0),0))))</f>
      </c>
      <c r="H10944">
        <f>IF(DATOS!$G10944&lt;&gt;"EX",0,--(COUNTIFS(nNIA,DATOS!$A10944,nCURSO,DATOS!$D10944,nESPEC,DATOS!$E10944,nASIG,DATOS!$I10944,nEVAL,"OR")=0))</f>
      </c>
      <c r="I10944">
        <f>IF(DATOS!$I10944="","",IFERROR(VLOOKUP(DATOS!$I10944,CONFIG_ASIGNATURAS!$B$2:$J$91,9,FALSE()),""))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IF(DATOS!$A10945="",0,IF(CONFIG_METADATA!$B$4&lt;&gt;"OR+EX",--(DATOS!$G10945=CONFIG_METADATA!$B$4),IF(DATOS!$G10945="EX",1,IF(DATOS!$G10945="OR",--(COUNTIFS(nNIA,DATOS!$A10945,nCURSO,DATOS!$D10945,nESPEC,DATOS!$E10945,nASIG,DATOS!$I10945,nEVAL,"EX")=0),0))))</f>
      </c>
      <c r="H10945">
        <f>IF(DATOS!$G10945&lt;&gt;"EX",0,--(COUNTIFS(nNIA,DATOS!$A10945,nCURSO,DATOS!$D10945,nESPEC,DATOS!$E10945,nASIG,DATOS!$I10945,nEVAL,"OR")=0))</f>
      </c>
      <c r="I10945">
        <f>IF(DATOS!$I10945="","",IFERROR(VLOOKUP(DATOS!$I10945,CONFIG_ASIGNATURAS!$B$2:$J$91,9,FALSE()),""))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IF(DATOS!$A10946="",0,IF(CONFIG_METADATA!$B$4&lt;&gt;"OR+EX",--(DATOS!$G10946=CONFIG_METADATA!$B$4),IF(DATOS!$G10946="EX",1,IF(DATOS!$G10946="OR",--(COUNTIFS(nNIA,DATOS!$A10946,nCURSO,DATOS!$D10946,nESPEC,DATOS!$E10946,nASIG,DATOS!$I10946,nEVAL,"EX")=0),0))))</f>
      </c>
      <c r="H10946">
        <f>IF(DATOS!$G10946&lt;&gt;"EX",0,--(COUNTIFS(nNIA,DATOS!$A10946,nCURSO,DATOS!$D10946,nESPEC,DATOS!$E10946,nASIG,DATOS!$I10946,nEVAL,"OR")=0))</f>
      </c>
      <c r="I10946">
        <f>IF(DATOS!$I10946="","",IFERROR(VLOOKUP(DATOS!$I10946,CONFIG_ASIGNATURAS!$B$2:$J$91,9,FALSE()),""))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IF(DATOS!$A10947="",0,IF(CONFIG_METADATA!$B$4&lt;&gt;"OR+EX",--(DATOS!$G10947=CONFIG_METADATA!$B$4),IF(DATOS!$G10947="EX",1,IF(DATOS!$G10947="OR",--(COUNTIFS(nNIA,DATOS!$A10947,nCURSO,DATOS!$D10947,nESPEC,DATOS!$E10947,nASIG,DATOS!$I10947,nEVAL,"EX")=0),0))))</f>
      </c>
      <c r="H10947">
        <f>IF(DATOS!$G10947&lt;&gt;"EX",0,--(COUNTIFS(nNIA,DATOS!$A10947,nCURSO,DATOS!$D10947,nESPEC,DATOS!$E10947,nASIG,DATOS!$I10947,nEVAL,"OR")=0))</f>
      </c>
      <c r="I10947">
        <f>IF(DATOS!$I10947="","",IFERROR(VLOOKUP(DATOS!$I10947,CONFIG_ASIGNATURAS!$B$2:$J$91,9,FALSE()),""))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IF(DATOS!$A10948="",0,IF(CONFIG_METADATA!$B$4&lt;&gt;"OR+EX",--(DATOS!$G10948=CONFIG_METADATA!$B$4),IF(DATOS!$G10948="EX",1,IF(DATOS!$G10948="OR",--(COUNTIFS(nNIA,DATOS!$A10948,nCURSO,DATOS!$D10948,nESPEC,DATOS!$E10948,nASIG,DATOS!$I10948,nEVAL,"EX")=0),0))))</f>
      </c>
      <c r="H10948">
        <f>IF(DATOS!$G10948&lt;&gt;"EX",0,--(COUNTIFS(nNIA,DATOS!$A10948,nCURSO,DATOS!$D10948,nESPEC,DATOS!$E10948,nASIG,DATOS!$I10948,nEVAL,"OR")=0))</f>
      </c>
      <c r="I10948">
        <f>IF(DATOS!$I10948="","",IFERROR(VLOOKUP(DATOS!$I10948,CONFIG_ASIGNATURAS!$B$2:$J$91,9,FALSE()),""))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IF(DATOS!$A10949="",0,IF(CONFIG_METADATA!$B$4&lt;&gt;"OR+EX",--(DATOS!$G10949=CONFIG_METADATA!$B$4),IF(DATOS!$G10949="EX",1,IF(DATOS!$G10949="OR",--(COUNTIFS(nNIA,DATOS!$A10949,nCURSO,DATOS!$D10949,nESPEC,DATOS!$E10949,nASIG,DATOS!$I10949,nEVAL,"EX")=0),0))))</f>
      </c>
      <c r="H10949">
        <f>IF(DATOS!$G10949&lt;&gt;"EX",0,--(COUNTIFS(nNIA,DATOS!$A10949,nCURSO,DATOS!$D10949,nESPEC,DATOS!$E10949,nASIG,DATOS!$I10949,nEVAL,"OR")=0))</f>
      </c>
      <c r="I10949">
        <f>IF(DATOS!$I10949="","",IFERROR(VLOOKUP(DATOS!$I10949,CONFIG_ASIGNATURAS!$B$2:$J$91,9,FALSE()),""))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IF(DATOS!$A10950="",0,IF(CONFIG_METADATA!$B$4&lt;&gt;"OR+EX",--(DATOS!$G10950=CONFIG_METADATA!$B$4),IF(DATOS!$G10950="EX",1,IF(DATOS!$G10950="OR",--(COUNTIFS(nNIA,DATOS!$A10950,nCURSO,DATOS!$D10950,nESPEC,DATOS!$E10950,nASIG,DATOS!$I10950,nEVAL,"EX")=0),0))))</f>
      </c>
      <c r="H10950">
        <f>IF(DATOS!$G10950&lt;&gt;"EX",0,--(COUNTIFS(nNIA,DATOS!$A10950,nCURSO,DATOS!$D10950,nESPEC,DATOS!$E10950,nASIG,DATOS!$I10950,nEVAL,"OR")=0))</f>
      </c>
      <c r="I10950">
        <f>IF(DATOS!$I10950="","",IFERROR(VLOOKUP(DATOS!$I10950,CONFIG_ASIGNATURAS!$B$2:$J$91,9,FALSE()),""))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IF(DATOS!$A10951="",0,IF(CONFIG_METADATA!$B$4&lt;&gt;"OR+EX",--(DATOS!$G10951=CONFIG_METADATA!$B$4),IF(DATOS!$G10951="EX",1,IF(DATOS!$G10951="OR",--(COUNTIFS(nNIA,DATOS!$A10951,nCURSO,DATOS!$D10951,nESPEC,DATOS!$E10951,nASIG,DATOS!$I10951,nEVAL,"EX")=0),0))))</f>
      </c>
      <c r="H10951">
        <f>IF(DATOS!$G10951&lt;&gt;"EX",0,--(COUNTIFS(nNIA,DATOS!$A10951,nCURSO,DATOS!$D10951,nESPEC,DATOS!$E10951,nASIG,DATOS!$I10951,nEVAL,"OR")=0))</f>
      </c>
      <c r="I10951">
        <f>IF(DATOS!$I10951="","",IFERROR(VLOOKUP(DATOS!$I10951,CONFIG_ASIGNATURAS!$B$2:$J$91,9,FALSE()),""))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IF(DATOS!$A10952="",0,IF(CONFIG_METADATA!$B$4&lt;&gt;"OR+EX",--(DATOS!$G10952=CONFIG_METADATA!$B$4),IF(DATOS!$G10952="EX",1,IF(DATOS!$G10952="OR",--(COUNTIFS(nNIA,DATOS!$A10952,nCURSO,DATOS!$D10952,nESPEC,DATOS!$E10952,nASIG,DATOS!$I10952,nEVAL,"EX")=0),0))))</f>
      </c>
      <c r="H10952">
        <f>IF(DATOS!$G10952&lt;&gt;"EX",0,--(COUNTIFS(nNIA,DATOS!$A10952,nCURSO,DATOS!$D10952,nESPEC,DATOS!$E10952,nASIG,DATOS!$I10952,nEVAL,"OR")=0))</f>
      </c>
      <c r="I10952">
        <f>IF(DATOS!$I10952="","",IFERROR(VLOOKUP(DATOS!$I10952,CONFIG_ASIGNATURAS!$B$2:$J$91,9,FALSE()),""))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IF(DATOS!$A10953="",0,IF(CONFIG_METADATA!$B$4&lt;&gt;"OR+EX",--(DATOS!$G10953=CONFIG_METADATA!$B$4),IF(DATOS!$G10953="EX",1,IF(DATOS!$G10953="OR",--(COUNTIFS(nNIA,DATOS!$A10953,nCURSO,DATOS!$D10953,nESPEC,DATOS!$E10953,nASIG,DATOS!$I10953,nEVAL,"EX")=0),0))))</f>
      </c>
      <c r="H10953">
        <f>IF(DATOS!$G10953&lt;&gt;"EX",0,--(COUNTIFS(nNIA,DATOS!$A10953,nCURSO,DATOS!$D10953,nESPEC,DATOS!$E10953,nASIG,DATOS!$I10953,nEVAL,"OR")=0))</f>
      </c>
      <c r="I10953">
        <f>IF(DATOS!$I10953="","",IFERROR(VLOOKUP(DATOS!$I10953,CONFIG_ASIGNATURAS!$B$2:$J$91,9,FALSE()),""))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IF(DATOS!$A10954="",0,IF(CONFIG_METADATA!$B$4&lt;&gt;"OR+EX",--(DATOS!$G10954=CONFIG_METADATA!$B$4),IF(DATOS!$G10954="EX",1,IF(DATOS!$G10954="OR",--(COUNTIFS(nNIA,DATOS!$A10954,nCURSO,DATOS!$D10954,nESPEC,DATOS!$E10954,nASIG,DATOS!$I10954,nEVAL,"EX")=0),0))))</f>
      </c>
      <c r="H10954">
        <f>IF(DATOS!$G10954&lt;&gt;"EX",0,--(COUNTIFS(nNIA,DATOS!$A10954,nCURSO,DATOS!$D10954,nESPEC,DATOS!$E10954,nASIG,DATOS!$I10954,nEVAL,"OR")=0))</f>
      </c>
      <c r="I10954">
        <f>IF(DATOS!$I10954="","",IFERROR(VLOOKUP(DATOS!$I10954,CONFIG_ASIGNATURAS!$B$2:$J$91,9,FALSE()),""))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IF(DATOS!$A10955="",0,IF(CONFIG_METADATA!$B$4&lt;&gt;"OR+EX",--(DATOS!$G10955=CONFIG_METADATA!$B$4),IF(DATOS!$G10955="EX",1,IF(DATOS!$G10955="OR",--(COUNTIFS(nNIA,DATOS!$A10955,nCURSO,DATOS!$D10955,nESPEC,DATOS!$E10955,nASIG,DATOS!$I10955,nEVAL,"EX")=0),0))))</f>
      </c>
      <c r="H10955">
        <f>IF(DATOS!$G10955&lt;&gt;"EX",0,--(COUNTIFS(nNIA,DATOS!$A10955,nCURSO,DATOS!$D10955,nESPEC,DATOS!$E10955,nASIG,DATOS!$I10955,nEVAL,"OR")=0))</f>
      </c>
      <c r="I10955">
        <f>IF(DATOS!$I10955="","",IFERROR(VLOOKUP(DATOS!$I10955,CONFIG_ASIGNATURAS!$B$2:$J$91,9,FALSE()),""))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IF(DATOS!$A10956="",0,IF(CONFIG_METADATA!$B$4&lt;&gt;"OR+EX",--(DATOS!$G10956=CONFIG_METADATA!$B$4),IF(DATOS!$G10956="EX",1,IF(DATOS!$G10956="OR",--(COUNTIFS(nNIA,DATOS!$A10956,nCURSO,DATOS!$D10956,nESPEC,DATOS!$E10956,nASIG,DATOS!$I10956,nEVAL,"EX")=0),0))))</f>
      </c>
      <c r="H10956">
        <f>IF(DATOS!$G10956&lt;&gt;"EX",0,--(COUNTIFS(nNIA,DATOS!$A10956,nCURSO,DATOS!$D10956,nESPEC,DATOS!$E10956,nASIG,DATOS!$I10956,nEVAL,"OR")=0))</f>
      </c>
      <c r="I10956">
        <f>IF(DATOS!$I10956="","",IFERROR(VLOOKUP(DATOS!$I10956,CONFIG_ASIGNATURAS!$B$2:$J$91,9,FALSE()),""))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IF(DATOS!$A10957="",0,IF(CONFIG_METADATA!$B$4&lt;&gt;"OR+EX",--(DATOS!$G10957=CONFIG_METADATA!$B$4),IF(DATOS!$G10957="EX",1,IF(DATOS!$G10957="OR",--(COUNTIFS(nNIA,DATOS!$A10957,nCURSO,DATOS!$D10957,nESPEC,DATOS!$E10957,nASIG,DATOS!$I10957,nEVAL,"EX")=0),0))))</f>
      </c>
      <c r="H10957">
        <f>IF(DATOS!$G10957&lt;&gt;"EX",0,--(COUNTIFS(nNIA,DATOS!$A10957,nCURSO,DATOS!$D10957,nESPEC,DATOS!$E10957,nASIG,DATOS!$I10957,nEVAL,"OR")=0))</f>
      </c>
      <c r="I10957">
        <f>IF(DATOS!$I10957="","",IFERROR(VLOOKUP(DATOS!$I10957,CONFIG_ASIGNATURAS!$B$2:$J$91,9,FALSE()),""))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IF(DATOS!$A10958="",0,IF(CONFIG_METADATA!$B$4&lt;&gt;"OR+EX",--(DATOS!$G10958=CONFIG_METADATA!$B$4),IF(DATOS!$G10958="EX",1,IF(DATOS!$G10958="OR",--(COUNTIFS(nNIA,DATOS!$A10958,nCURSO,DATOS!$D10958,nESPEC,DATOS!$E10958,nASIG,DATOS!$I10958,nEVAL,"EX")=0),0))))</f>
      </c>
      <c r="H10958">
        <f>IF(DATOS!$G10958&lt;&gt;"EX",0,--(COUNTIFS(nNIA,DATOS!$A10958,nCURSO,DATOS!$D10958,nESPEC,DATOS!$E10958,nASIG,DATOS!$I10958,nEVAL,"OR")=0))</f>
      </c>
      <c r="I10958">
        <f>IF(DATOS!$I10958="","",IFERROR(VLOOKUP(DATOS!$I10958,CONFIG_ASIGNATURAS!$B$2:$J$91,9,FALSE()),""))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IF(DATOS!$A10959="",0,IF(CONFIG_METADATA!$B$4&lt;&gt;"OR+EX",--(DATOS!$G10959=CONFIG_METADATA!$B$4),IF(DATOS!$G10959="EX",1,IF(DATOS!$G10959="OR",--(COUNTIFS(nNIA,DATOS!$A10959,nCURSO,DATOS!$D10959,nESPEC,DATOS!$E10959,nASIG,DATOS!$I10959,nEVAL,"EX")=0),0))))</f>
      </c>
      <c r="H10959">
        <f>IF(DATOS!$G10959&lt;&gt;"EX",0,--(COUNTIFS(nNIA,DATOS!$A10959,nCURSO,DATOS!$D10959,nESPEC,DATOS!$E10959,nASIG,DATOS!$I10959,nEVAL,"OR")=0))</f>
      </c>
      <c r="I10959">
        <f>IF(DATOS!$I10959="","",IFERROR(VLOOKUP(DATOS!$I10959,CONFIG_ASIGNATURAS!$B$2:$J$91,9,FALSE()),""))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IF(DATOS!$A10960="",0,IF(CONFIG_METADATA!$B$4&lt;&gt;"OR+EX",--(DATOS!$G10960=CONFIG_METADATA!$B$4),IF(DATOS!$G10960="EX",1,IF(DATOS!$G10960="OR",--(COUNTIFS(nNIA,DATOS!$A10960,nCURSO,DATOS!$D10960,nESPEC,DATOS!$E10960,nASIG,DATOS!$I10960,nEVAL,"EX")=0),0))))</f>
      </c>
      <c r="H10960">
        <f>IF(DATOS!$G10960&lt;&gt;"EX",0,--(COUNTIFS(nNIA,DATOS!$A10960,nCURSO,DATOS!$D10960,nESPEC,DATOS!$E10960,nASIG,DATOS!$I10960,nEVAL,"OR")=0))</f>
      </c>
      <c r="I10960">
        <f>IF(DATOS!$I10960="","",IFERROR(VLOOKUP(DATOS!$I10960,CONFIG_ASIGNATURAS!$B$2:$J$91,9,FALSE()),""))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IF(DATOS!$A10961="",0,IF(CONFIG_METADATA!$B$4&lt;&gt;"OR+EX",--(DATOS!$G10961=CONFIG_METADATA!$B$4),IF(DATOS!$G10961="EX",1,IF(DATOS!$G10961="OR",--(COUNTIFS(nNIA,DATOS!$A10961,nCURSO,DATOS!$D10961,nESPEC,DATOS!$E10961,nASIG,DATOS!$I10961,nEVAL,"EX")=0),0))))</f>
      </c>
      <c r="H10961">
        <f>IF(DATOS!$G10961&lt;&gt;"EX",0,--(COUNTIFS(nNIA,DATOS!$A10961,nCURSO,DATOS!$D10961,nESPEC,DATOS!$E10961,nASIG,DATOS!$I10961,nEVAL,"OR")=0))</f>
      </c>
      <c r="I10961">
        <f>IF(DATOS!$I10961="","",IFERROR(VLOOKUP(DATOS!$I10961,CONFIG_ASIGNATURAS!$B$2:$J$91,9,FALSE()),""))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IF(DATOS!$A10962="",0,IF(CONFIG_METADATA!$B$4&lt;&gt;"OR+EX",--(DATOS!$G10962=CONFIG_METADATA!$B$4),IF(DATOS!$G10962="EX",1,IF(DATOS!$G10962="OR",--(COUNTIFS(nNIA,DATOS!$A10962,nCURSO,DATOS!$D10962,nESPEC,DATOS!$E10962,nASIG,DATOS!$I10962,nEVAL,"EX")=0),0))))</f>
      </c>
      <c r="H10962">
        <f>IF(DATOS!$G10962&lt;&gt;"EX",0,--(COUNTIFS(nNIA,DATOS!$A10962,nCURSO,DATOS!$D10962,nESPEC,DATOS!$E10962,nASIG,DATOS!$I10962,nEVAL,"OR")=0))</f>
      </c>
      <c r="I10962">
        <f>IF(DATOS!$I10962="","",IFERROR(VLOOKUP(DATOS!$I10962,CONFIG_ASIGNATURAS!$B$2:$J$91,9,FALSE()),""))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IF(DATOS!$A10963="",0,IF(CONFIG_METADATA!$B$4&lt;&gt;"OR+EX",--(DATOS!$G10963=CONFIG_METADATA!$B$4),IF(DATOS!$G10963="EX",1,IF(DATOS!$G10963="OR",--(COUNTIFS(nNIA,DATOS!$A10963,nCURSO,DATOS!$D10963,nESPEC,DATOS!$E10963,nASIG,DATOS!$I10963,nEVAL,"EX")=0),0))))</f>
      </c>
      <c r="H10963">
        <f>IF(DATOS!$G10963&lt;&gt;"EX",0,--(COUNTIFS(nNIA,DATOS!$A10963,nCURSO,DATOS!$D10963,nESPEC,DATOS!$E10963,nASIG,DATOS!$I10963,nEVAL,"OR")=0))</f>
      </c>
      <c r="I10963">
        <f>IF(DATOS!$I10963="","",IFERROR(VLOOKUP(DATOS!$I10963,CONFIG_ASIGNATURAS!$B$2:$J$91,9,FALSE()),""))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IF(DATOS!$A10964="",0,IF(CONFIG_METADATA!$B$4&lt;&gt;"OR+EX",--(DATOS!$G10964=CONFIG_METADATA!$B$4),IF(DATOS!$G10964="EX",1,IF(DATOS!$G10964="OR",--(COUNTIFS(nNIA,DATOS!$A10964,nCURSO,DATOS!$D10964,nESPEC,DATOS!$E10964,nASIG,DATOS!$I10964,nEVAL,"EX")=0),0))))</f>
      </c>
      <c r="H10964">
        <f>IF(DATOS!$G10964&lt;&gt;"EX",0,--(COUNTIFS(nNIA,DATOS!$A10964,nCURSO,DATOS!$D10964,nESPEC,DATOS!$E10964,nASIG,DATOS!$I10964,nEVAL,"OR")=0))</f>
      </c>
      <c r="I10964">
        <f>IF(DATOS!$I10964="","",IFERROR(VLOOKUP(DATOS!$I10964,CONFIG_ASIGNATURAS!$B$2:$J$91,9,FALSE()),""))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IF(DATOS!$A10965="",0,IF(CONFIG_METADATA!$B$4&lt;&gt;"OR+EX",--(DATOS!$G10965=CONFIG_METADATA!$B$4),IF(DATOS!$G10965="EX",1,IF(DATOS!$G10965="OR",--(COUNTIFS(nNIA,DATOS!$A10965,nCURSO,DATOS!$D10965,nESPEC,DATOS!$E10965,nASIG,DATOS!$I10965,nEVAL,"EX")=0),0))))</f>
      </c>
      <c r="H10965">
        <f>IF(DATOS!$G10965&lt;&gt;"EX",0,--(COUNTIFS(nNIA,DATOS!$A10965,nCURSO,DATOS!$D10965,nESPEC,DATOS!$E10965,nASIG,DATOS!$I10965,nEVAL,"OR")=0))</f>
      </c>
      <c r="I10965">
        <f>IF(DATOS!$I10965="","",IFERROR(VLOOKUP(DATOS!$I10965,CONFIG_ASIGNATURAS!$B$2:$J$91,9,FALSE()),""))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IF(DATOS!$A10966="",0,IF(CONFIG_METADATA!$B$4&lt;&gt;"OR+EX",--(DATOS!$G10966=CONFIG_METADATA!$B$4),IF(DATOS!$G10966="EX",1,IF(DATOS!$G10966="OR",--(COUNTIFS(nNIA,DATOS!$A10966,nCURSO,DATOS!$D10966,nESPEC,DATOS!$E10966,nASIG,DATOS!$I10966,nEVAL,"EX")=0),0))))</f>
      </c>
      <c r="H10966">
        <f>IF(DATOS!$G10966&lt;&gt;"EX",0,--(COUNTIFS(nNIA,DATOS!$A10966,nCURSO,DATOS!$D10966,nESPEC,DATOS!$E10966,nASIG,DATOS!$I10966,nEVAL,"OR")=0))</f>
      </c>
      <c r="I10966">
        <f>IF(DATOS!$I10966="","",IFERROR(VLOOKUP(DATOS!$I10966,CONFIG_ASIGNATURAS!$B$2:$J$91,9,FALSE()),""))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IF(DATOS!$A10967="",0,IF(CONFIG_METADATA!$B$4&lt;&gt;"OR+EX",--(DATOS!$G10967=CONFIG_METADATA!$B$4),IF(DATOS!$G10967="EX",1,IF(DATOS!$G10967="OR",--(COUNTIFS(nNIA,DATOS!$A10967,nCURSO,DATOS!$D10967,nESPEC,DATOS!$E10967,nASIG,DATOS!$I10967,nEVAL,"EX")=0),0))))</f>
      </c>
      <c r="H10967">
        <f>IF(DATOS!$G10967&lt;&gt;"EX",0,--(COUNTIFS(nNIA,DATOS!$A10967,nCURSO,DATOS!$D10967,nESPEC,DATOS!$E10967,nASIG,DATOS!$I10967,nEVAL,"OR")=0))</f>
      </c>
      <c r="I10967">
        <f>IF(DATOS!$I10967="","",IFERROR(VLOOKUP(DATOS!$I10967,CONFIG_ASIGNATURAS!$B$2:$J$91,9,FALSE()),""))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IF(DATOS!$A10968="",0,IF(CONFIG_METADATA!$B$4&lt;&gt;"OR+EX",--(DATOS!$G10968=CONFIG_METADATA!$B$4),IF(DATOS!$G10968="EX",1,IF(DATOS!$G10968="OR",--(COUNTIFS(nNIA,DATOS!$A10968,nCURSO,DATOS!$D10968,nESPEC,DATOS!$E10968,nASIG,DATOS!$I10968,nEVAL,"EX")=0),0))))</f>
      </c>
      <c r="H10968">
        <f>IF(DATOS!$G10968&lt;&gt;"EX",0,--(COUNTIFS(nNIA,DATOS!$A10968,nCURSO,DATOS!$D10968,nESPEC,DATOS!$E10968,nASIG,DATOS!$I10968,nEVAL,"OR")=0))</f>
      </c>
      <c r="I10968">
        <f>IF(DATOS!$I10968="","",IFERROR(VLOOKUP(DATOS!$I10968,CONFIG_ASIGNATURAS!$B$2:$J$91,9,FALSE()),""))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IF(DATOS!$A10969="",0,IF(CONFIG_METADATA!$B$4&lt;&gt;"OR+EX",--(DATOS!$G10969=CONFIG_METADATA!$B$4),IF(DATOS!$G10969="EX",1,IF(DATOS!$G10969="OR",--(COUNTIFS(nNIA,DATOS!$A10969,nCURSO,DATOS!$D10969,nESPEC,DATOS!$E10969,nASIG,DATOS!$I10969,nEVAL,"EX")=0),0))))</f>
      </c>
      <c r="H10969">
        <f>IF(DATOS!$G10969&lt;&gt;"EX",0,--(COUNTIFS(nNIA,DATOS!$A10969,nCURSO,DATOS!$D10969,nESPEC,DATOS!$E10969,nASIG,DATOS!$I10969,nEVAL,"OR")=0))</f>
      </c>
      <c r="I10969">
        <f>IF(DATOS!$I10969="","",IFERROR(VLOOKUP(DATOS!$I10969,CONFIG_ASIGNATURAS!$B$2:$J$91,9,FALSE()),""))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IF(DATOS!$A10970="",0,IF(CONFIG_METADATA!$B$4&lt;&gt;"OR+EX",--(DATOS!$G10970=CONFIG_METADATA!$B$4),IF(DATOS!$G10970="EX",1,IF(DATOS!$G10970="OR",--(COUNTIFS(nNIA,DATOS!$A10970,nCURSO,DATOS!$D10970,nESPEC,DATOS!$E10970,nASIG,DATOS!$I10970,nEVAL,"EX")=0),0))))</f>
      </c>
      <c r="H10970">
        <f>IF(DATOS!$G10970&lt;&gt;"EX",0,--(COUNTIFS(nNIA,DATOS!$A10970,nCURSO,DATOS!$D10970,nESPEC,DATOS!$E10970,nASIG,DATOS!$I10970,nEVAL,"OR")=0))</f>
      </c>
      <c r="I10970">
        <f>IF(DATOS!$I10970="","",IFERROR(VLOOKUP(DATOS!$I10970,CONFIG_ASIGNATURAS!$B$2:$J$91,9,FALSE()),""))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IF(DATOS!$A10971="",0,IF(CONFIG_METADATA!$B$4&lt;&gt;"OR+EX",--(DATOS!$G10971=CONFIG_METADATA!$B$4),IF(DATOS!$G10971="EX",1,IF(DATOS!$G10971="OR",--(COUNTIFS(nNIA,DATOS!$A10971,nCURSO,DATOS!$D10971,nESPEC,DATOS!$E10971,nASIG,DATOS!$I10971,nEVAL,"EX")=0),0))))</f>
      </c>
      <c r="H10971">
        <f>IF(DATOS!$G10971&lt;&gt;"EX",0,--(COUNTIFS(nNIA,DATOS!$A10971,nCURSO,DATOS!$D10971,nESPEC,DATOS!$E10971,nASIG,DATOS!$I10971,nEVAL,"OR")=0))</f>
      </c>
      <c r="I10971">
        <f>IF(DATOS!$I10971="","",IFERROR(VLOOKUP(DATOS!$I10971,CONFIG_ASIGNATURAS!$B$2:$J$91,9,FALSE()),""))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IF(DATOS!$A10972="",0,IF(CONFIG_METADATA!$B$4&lt;&gt;"OR+EX",--(DATOS!$G10972=CONFIG_METADATA!$B$4),IF(DATOS!$G10972="EX",1,IF(DATOS!$G10972="OR",--(COUNTIFS(nNIA,DATOS!$A10972,nCURSO,DATOS!$D10972,nESPEC,DATOS!$E10972,nASIG,DATOS!$I10972,nEVAL,"EX")=0),0))))</f>
      </c>
      <c r="H10972">
        <f>IF(DATOS!$G10972&lt;&gt;"EX",0,--(COUNTIFS(nNIA,DATOS!$A10972,nCURSO,DATOS!$D10972,nESPEC,DATOS!$E10972,nASIG,DATOS!$I10972,nEVAL,"OR")=0))</f>
      </c>
      <c r="I10972">
        <f>IF(DATOS!$I10972="","",IFERROR(VLOOKUP(DATOS!$I10972,CONFIG_ASIGNATURAS!$B$2:$J$91,9,FALSE()),""))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IF(DATOS!$A10973="",0,IF(CONFIG_METADATA!$B$4&lt;&gt;"OR+EX",--(DATOS!$G10973=CONFIG_METADATA!$B$4),IF(DATOS!$G10973="EX",1,IF(DATOS!$G10973="OR",--(COUNTIFS(nNIA,DATOS!$A10973,nCURSO,DATOS!$D10973,nESPEC,DATOS!$E10973,nASIG,DATOS!$I10973,nEVAL,"EX")=0),0))))</f>
      </c>
      <c r="H10973">
        <f>IF(DATOS!$G10973&lt;&gt;"EX",0,--(COUNTIFS(nNIA,DATOS!$A10973,nCURSO,DATOS!$D10973,nESPEC,DATOS!$E10973,nASIG,DATOS!$I10973,nEVAL,"OR")=0))</f>
      </c>
      <c r="I10973">
        <f>IF(DATOS!$I10973="","",IFERROR(VLOOKUP(DATOS!$I10973,CONFIG_ASIGNATURAS!$B$2:$J$91,9,FALSE()),""))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IF(DATOS!$A10974="",0,IF(CONFIG_METADATA!$B$4&lt;&gt;"OR+EX",--(DATOS!$G10974=CONFIG_METADATA!$B$4),IF(DATOS!$G10974="EX",1,IF(DATOS!$G10974="OR",--(COUNTIFS(nNIA,DATOS!$A10974,nCURSO,DATOS!$D10974,nESPEC,DATOS!$E10974,nASIG,DATOS!$I10974,nEVAL,"EX")=0),0))))</f>
      </c>
      <c r="H10974">
        <f>IF(DATOS!$G10974&lt;&gt;"EX",0,--(COUNTIFS(nNIA,DATOS!$A10974,nCURSO,DATOS!$D10974,nESPEC,DATOS!$E10974,nASIG,DATOS!$I10974,nEVAL,"OR")=0))</f>
      </c>
      <c r="I10974">
        <f>IF(DATOS!$I10974="","",IFERROR(VLOOKUP(DATOS!$I10974,CONFIG_ASIGNATURAS!$B$2:$J$91,9,FALSE()),""))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IF(DATOS!$A10975="",0,IF(CONFIG_METADATA!$B$4&lt;&gt;"OR+EX",--(DATOS!$G10975=CONFIG_METADATA!$B$4),IF(DATOS!$G10975="EX",1,IF(DATOS!$G10975="OR",--(COUNTIFS(nNIA,DATOS!$A10975,nCURSO,DATOS!$D10975,nESPEC,DATOS!$E10975,nASIG,DATOS!$I10975,nEVAL,"EX")=0),0))))</f>
      </c>
      <c r="H10975">
        <f>IF(DATOS!$G10975&lt;&gt;"EX",0,--(COUNTIFS(nNIA,DATOS!$A10975,nCURSO,DATOS!$D10975,nESPEC,DATOS!$E10975,nASIG,DATOS!$I10975,nEVAL,"OR")=0))</f>
      </c>
      <c r="I10975">
        <f>IF(DATOS!$I10975="","",IFERROR(VLOOKUP(DATOS!$I10975,CONFIG_ASIGNATURAS!$B$2:$J$91,9,FALSE()),""))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IF(DATOS!$A10976="",0,IF(CONFIG_METADATA!$B$4&lt;&gt;"OR+EX",--(DATOS!$G10976=CONFIG_METADATA!$B$4),IF(DATOS!$G10976="EX",1,IF(DATOS!$G10976="OR",--(COUNTIFS(nNIA,DATOS!$A10976,nCURSO,DATOS!$D10976,nESPEC,DATOS!$E10976,nASIG,DATOS!$I10976,nEVAL,"EX")=0),0))))</f>
      </c>
      <c r="H10976">
        <f>IF(DATOS!$G10976&lt;&gt;"EX",0,--(COUNTIFS(nNIA,DATOS!$A10976,nCURSO,DATOS!$D10976,nESPEC,DATOS!$E10976,nASIG,DATOS!$I10976,nEVAL,"OR")=0))</f>
      </c>
      <c r="I10976">
        <f>IF(DATOS!$I10976="","",IFERROR(VLOOKUP(DATOS!$I10976,CONFIG_ASIGNATURAS!$B$2:$J$91,9,FALSE()),""))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IF(DATOS!$A10977="",0,IF(CONFIG_METADATA!$B$4&lt;&gt;"OR+EX",--(DATOS!$G10977=CONFIG_METADATA!$B$4),IF(DATOS!$G10977="EX",1,IF(DATOS!$G10977="OR",--(COUNTIFS(nNIA,DATOS!$A10977,nCURSO,DATOS!$D10977,nESPEC,DATOS!$E10977,nASIG,DATOS!$I10977,nEVAL,"EX")=0),0))))</f>
      </c>
      <c r="H10977">
        <f>IF(DATOS!$G10977&lt;&gt;"EX",0,--(COUNTIFS(nNIA,DATOS!$A10977,nCURSO,DATOS!$D10977,nESPEC,DATOS!$E10977,nASIG,DATOS!$I10977,nEVAL,"OR")=0))</f>
      </c>
      <c r="I10977">
        <f>IF(DATOS!$I10977="","",IFERROR(VLOOKUP(DATOS!$I10977,CONFIG_ASIGNATURAS!$B$2:$J$91,9,FALSE()),""))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IF(DATOS!$A10978="",0,IF(CONFIG_METADATA!$B$4&lt;&gt;"OR+EX",--(DATOS!$G10978=CONFIG_METADATA!$B$4),IF(DATOS!$G10978="EX",1,IF(DATOS!$G10978="OR",--(COUNTIFS(nNIA,DATOS!$A10978,nCURSO,DATOS!$D10978,nESPEC,DATOS!$E10978,nASIG,DATOS!$I10978,nEVAL,"EX")=0),0))))</f>
      </c>
      <c r="H10978">
        <f>IF(DATOS!$G10978&lt;&gt;"EX",0,--(COUNTIFS(nNIA,DATOS!$A10978,nCURSO,DATOS!$D10978,nESPEC,DATOS!$E10978,nASIG,DATOS!$I10978,nEVAL,"OR")=0))</f>
      </c>
      <c r="I10978">
        <f>IF(DATOS!$I10978="","",IFERROR(VLOOKUP(DATOS!$I10978,CONFIG_ASIGNATURAS!$B$2:$J$91,9,FALSE()),""))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IF(DATOS!$A10979="",0,IF(CONFIG_METADATA!$B$4&lt;&gt;"OR+EX",--(DATOS!$G10979=CONFIG_METADATA!$B$4),IF(DATOS!$G10979="EX",1,IF(DATOS!$G10979="OR",--(COUNTIFS(nNIA,DATOS!$A10979,nCURSO,DATOS!$D10979,nESPEC,DATOS!$E10979,nASIG,DATOS!$I10979,nEVAL,"EX")=0),0))))</f>
      </c>
      <c r="H10979">
        <f>IF(DATOS!$G10979&lt;&gt;"EX",0,--(COUNTIFS(nNIA,DATOS!$A10979,nCURSO,DATOS!$D10979,nESPEC,DATOS!$E10979,nASIG,DATOS!$I10979,nEVAL,"OR")=0))</f>
      </c>
      <c r="I10979">
        <f>IF(DATOS!$I10979="","",IFERROR(VLOOKUP(DATOS!$I10979,CONFIG_ASIGNATURAS!$B$2:$J$91,9,FALSE()),""))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IF(DATOS!$A10980="",0,IF(CONFIG_METADATA!$B$4&lt;&gt;"OR+EX",--(DATOS!$G10980=CONFIG_METADATA!$B$4),IF(DATOS!$G10980="EX",1,IF(DATOS!$G10980="OR",--(COUNTIFS(nNIA,DATOS!$A10980,nCURSO,DATOS!$D10980,nESPEC,DATOS!$E10980,nASIG,DATOS!$I10980,nEVAL,"EX")=0),0))))</f>
      </c>
      <c r="H10980">
        <f>IF(DATOS!$G10980&lt;&gt;"EX",0,--(COUNTIFS(nNIA,DATOS!$A10980,nCURSO,DATOS!$D10980,nESPEC,DATOS!$E10980,nASIG,DATOS!$I10980,nEVAL,"OR")=0))</f>
      </c>
      <c r="I10980">
        <f>IF(DATOS!$I10980="","",IFERROR(VLOOKUP(DATOS!$I10980,CONFIG_ASIGNATURAS!$B$2:$J$91,9,FALSE()),""))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IF(DATOS!$A10981="",0,IF(CONFIG_METADATA!$B$4&lt;&gt;"OR+EX",--(DATOS!$G10981=CONFIG_METADATA!$B$4),IF(DATOS!$G10981="EX",1,IF(DATOS!$G10981="OR",--(COUNTIFS(nNIA,DATOS!$A10981,nCURSO,DATOS!$D10981,nESPEC,DATOS!$E10981,nASIG,DATOS!$I10981,nEVAL,"EX")=0),0))))</f>
      </c>
      <c r="H10981">
        <f>IF(DATOS!$G10981&lt;&gt;"EX",0,--(COUNTIFS(nNIA,DATOS!$A10981,nCURSO,DATOS!$D10981,nESPEC,DATOS!$E10981,nASIG,DATOS!$I10981,nEVAL,"OR")=0))</f>
      </c>
      <c r="I10981">
        <f>IF(DATOS!$I10981="","",IFERROR(VLOOKUP(DATOS!$I10981,CONFIG_ASIGNATURAS!$B$2:$J$91,9,FALSE()),""))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IF(DATOS!$A10982="",0,IF(CONFIG_METADATA!$B$4&lt;&gt;"OR+EX",--(DATOS!$G10982=CONFIG_METADATA!$B$4),IF(DATOS!$G10982="EX",1,IF(DATOS!$G10982="OR",--(COUNTIFS(nNIA,DATOS!$A10982,nCURSO,DATOS!$D10982,nESPEC,DATOS!$E10982,nASIG,DATOS!$I10982,nEVAL,"EX")=0),0))))</f>
      </c>
      <c r="H10982">
        <f>IF(DATOS!$G10982&lt;&gt;"EX",0,--(COUNTIFS(nNIA,DATOS!$A10982,nCURSO,DATOS!$D10982,nESPEC,DATOS!$E10982,nASIG,DATOS!$I10982,nEVAL,"OR")=0))</f>
      </c>
      <c r="I10982">
        <f>IF(DATOS!$I10982="","",IFERROR(VLOOKUP(DATOS!$I10982,CONFIG_ASIGNATURAS!$B$2:$J$91,9,FALSE()),""))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IF(DATOS!$A10983="",0,IF(CONFIG_METADATA!$B$4&lt;&gt;"OR+EX",--(DATOS!$G10983=CONFIG_METADATA!$B$4),IF(DATOS!$G10983="EX",1,IF(DATOS!$G10983="OR",--(COUNTIFS(nNIA,DATOS!$A10983,nCURSO,DATOS!$D10983,nESPEC,DATOS!$E10983,nASIG,DATOS!$I10983,nEVAL,"EX")=0),0))))</f>
      </c>
      <c r="H10983">
        <f>IF(DATOS!$G10983&lt;&gt;"EX",0,--(COUNTIFS(nNIA,DATOS!$A10983,nCURSO,DATOS!$D10983,nESPEC,DATOS!$E10983,nASIG,DATOS!$I10983,nEVAL,"OR")=0))</f>
      </c>
      <c r="I10983">
        <f>IF(DATOS!$I10983="","",IFERROR(VLOOKUP(DATOS!$I10983,CONFIG_ASIGNATURAS!$B$2:$J$91,9,FALSE()),""))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IF(DATOS!$A10984="",0,IF(CONFIG_METADATA!$B$4&lt;&gt;"OR+EX",--(DATOS!$G10984=CONFIG_METADATA!$B$4),IF(DATOS!$G10984="EX",1,IF(DATOS!$G10984="OR",--(COUNTIFS(nNIA,DATOS!$A10984,nCURSO,DATOS!$D10984,nESPEC,DATOS!$E10984,nASIG,DATOS!$I10984,nEVAL,"EX")=0),0))))</f>
      </c>
      <c r="H10984">
        <f>IF(DATOS!$G10984&lt;&gt;"EX",0,--(COUNTIFS(nNIA,DATOS!$A10984,nCURSO,DATOS!$D10984,nESPEC,DATOS!$E10984,nASIG,DATOS!$I10984,nEVAL,"OR")=0))</f>
      </c>
      <c r="I10984">
        <f>IF(DATOS!$I10984="","",IFERROR(VLOOKUP(DATOS!$I10984,CONFIG_ASIGNATURAS!$B$2:$J$91,9,FALSE()),""))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IF(DATOS!$A10985="",0,IF(CONFIG_METADATA!$B$4&lt;&gt;"OR+EX",--(DATOS!$G10985=CONFIG_METADATA!$B$4),IF(DATOS!$G10985="EX",1,IF(DATOS!$G10985="OR",--(COUNTIFS(nNIA,DATOS!$A10985,nCURSO,DATOS!$D10985,nESPEC,DATOS!$E10985,nASIG,DATOS!$I10985,nEVAL,"EX")=0),0))))</f>
      </c>
      <c r="H10985">
        <f>IF(DATOS!$G10985&lt;&gt;"EX",0,--(COUNTIFS(nNIA,DATOS!$A10985,nCURSO,DATOS!$D10985,nESPEC,DATOS!$E10985,nASIG,DATOS!$I10985,nEVAL,"OR")=0))</f>
      </c>
      <c r="I10985">
        <f>IF(DATOS!$I10985="","",IFERROR(VLOOKUP(DATOS!$I10985,CONFIG_ASIGNATURAS!$B$2:$J$91,9,FALSE()),""))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IF(DATOS!$A10986="",0,IF(CONFIG_METADATA!$B$4&lt;&gt;"OR+EX",--(DATOS!$G10986=CONFIG_METADATA!$B$4),IF(DATOS!$G10986="EX",1,IF(DATOS!$G10986="OR",--(COUNTIFS(nNIA,DATOS!$A10986,nCURSO,DATOS!$D10986,nESPEC,DATOS!$E10986,nASIG,DATOS!$I10986,nEVAL,"EX")=0),0))))</f>
      </c>
      <c r="H10986">
        <f>IF(DATOS!$G10986&lt;&gt;"EX",0,--(COUNTIFS(nNIA,DATOS!$A10986,nCURSO,DATOS!$D10986,nESPEC,DATOS!$E10986,nASIG,DATOS!$I10986,nEVAL,"OR")=0))</f>
      </c>
      <c r="I10986">
        <f>IF(DATOS!$I10986="","",IFERROR(VLOOKUP(DATOS!$I10986,CONFIG_ASIGNATURAS!$B$2:$J$91,9,FALSE()),""))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IF(DATOS!$A10987="",0,IF(CONFIG_METADATA!$B$4&lt;&gt;"OR+EX",--(DATOS!$G10987=CONFIG_METADATA!$B$4),IF(DATOS!$G10987="EX",1,IF(DATOS!$G10987="OR",--(COUNTIFS(nNIA,DATOS!$A10987,nCURSO,DATOS!$D10987,nESPEC,DATOS!$E10987,nASIG,DATOS!$I10987,nEVAL,"EX")=0),0))))</f>
      </c>
      <c r="H10987">
        <f>IF(DATOS!$G10987&lt;&gt;"EX",0,--(COUNTIFS(nNIA,DATOS!$A10987,nCURSO,DATOS!$D10987,nESPEC,DATOS!$E10987,nASIG,DATOS!$I10987,nEVAL,"OR")=0))</f>
      </c>
      <c r="I10987">
        <f>IF(DATOS!$I10987="","",IFERROR(VLOOKUP(DATOS!$I10987,CONFIG_ASIGNATURAS!$B$2:$J$91,9,FALSE()),""))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IF(DATOS!$A10988="",0,IF(CONFIG_METADATA!$B$4&lt;&gt;"OR+EX",--(DATOS!$G10988=CONFIG_METADATA!$B$4),IF(DATOS!$G10988="EX",1,IF(DATOS!$G10988="OR",--(COUNTIFS(nNIA,DATOS!$A10988,nCURSO,DATOS!$D10988,nESPEC,DATOS!$E10988,nASIG,DATOS!$I10988,nEVAL,"EX")=0),0))))</f>
      </c>
      <c r="H10988">
        <f>IF(DATOS!$G10988&lt;&gt;"EX",0,--(COUNTIFS(nNIA,DATOS!$A10988,nCURSO,DATOS!$D10988,nESPEC,DATOS!$E10988,nASIG,DATOS!$I10988,nEVAL,"OR")=0))</f>
      </c>
      <c r="I10988">
        <f>IF(DATOS!$I10988="","",IFERROR(VLOOKUP(DATOS!$I10988,CONFIG_ASIGNATURAS!$B$2:$J$91,9,FALSE()),""))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IF(DATOS!$A10989="",0,IF(CONFIG_METADATA!$B$4&lt;&gt;"OR+EX",--(DATOS!$G10989=CONFIG_METADATA!$B$4),IF(DATOS!$G10989="EX",1,IF(DATOS!$G10989="OR",--(COUNTIFS(nNIA,DATOS!$A10989,nCURSO,DATOS!$D10989,nESPEC,DATOS!$E10989,nASIG,DATOS!$I10989,nEVAL,"EX")=0),0))))</f>
      </c>
      <c r="H10989">
        <f>IF(DATOS!$G10989&lt;&gt;"EX",0,--(COUNTIFS(nNIA,DATOS!$A10989,nCURSO,DATOS!$D10989,nESPEC,DATOS!$E10989,nASIG,DATOS!$I10989,nEVAL,"OR")=0))</f>
      </c>
      <c r="I10989">
        <f>IF(DATOS!$I10989="","",IFERROR(VLOOKUP(DATOS!$I10989,CONFIG_ASIGNATURAS!$B$2:$J$91,9,FALSE()),""))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IF(DATOS!$A10990="",0,IF(CONFIG_METADATA!$B$4&lt;&gt;"OR+EX",--(DATOS!$G10990=CONFIG_METADATA!$B$4),IF(DATOS!$G10990="EX",1,IF(DATOS!$G10990="OR",--(COUNTIFS(nNIA,DATOS!$A10990,nCURSO,DATOS!$D10990,nESPEC,DATOS!$E10990,nASIG,DATOS!$I10990,nEVAL,"EX")=0),0))))</f>
      </c>
      <c r="H10990">
        <f>IF(DATOS!$G10990&lt;&gt;"EX",0,--(COUNTIFS(nNIA,DATOS!$A10990,nCURSO,DATOS!$D10990,nESPEC,DATOS!$E10990,nASIG,DATOS!$I10990,nEVAL,"OR")=0))</f>
      </c>
      <c r="I10990">
        <f>IF(DATOS!$I10990="","",IFERROR(VLOOKUP(DATOS!$I10990,CONFIG_ASIGNATURAS!$B$2:$J$91,9,FALSE()),""))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IF(DATOS!$A10991="",0,IF(CONFIG_METADATA!$B$4&lt;&gt;"OR+EX",--(DATOS!$G10991=CONFIG_METADATA!$B$4),IF(DATOS!$G10991="EX",1,IF(DATOS!$G10991="OR",--(COUNTIFS(nNIA,DATOS!$A10991,nCURSO,DATOS!$D10991,nESPEC,DATOS!$E10991,nASIG,DATOS!$I10991,nEVAL,"EX")=0),0))))</f>
      </c>
      <c r="H10991">
        <f>IF(DATOS!$G10991&lt;&gt;"EX",0,--(COUNTIFS(nNIA,DATOS!$A10991,nCURSO,DATOS!$D10991,nESPEC,DATOS!$E10991,nASIG,DATOS!$I10991,nEVAL,"OR")=0))</f>
      </c>
      <c r="I10991">
        <f>IF(DATOS!$I10991="","",IFERROR(VLOOKUP(DATOS!$I10991,CONFIG_ASIGNATURAS!$B$2:$J$91,9,FALSE()),""))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IF(DATOS!$A10992="",0,IF(CONFIG_METADATA!$B$4&lt;&gt;"OR+EX",--(DATOS!$G10992=CONFIG_METADATA!$B$4),IF(DATOS!$G10992="EX",1,IF(DATOS!$G10992="OR",--(COUNTIFS(nNIA,DATOS!$A10992,nCURSO,DATOS!$D10992,nESPEC,DATOS!$E10992,nASIG,DATOS!$I10992,nEVAL,"EX")=0),0))))</f>
      </c>
      <c r="H10992">
        <f>IF(DATOS!$G10992&lt;&gt;"EX",0,--(COUNTIFS(nNIA,DATOS!$A10992,nCURSO,DATOS!$D10992,nESPEC,DATOS!$E10992,nASIG,DATOS!$I10992,nEVAL,"OR")=0))</f>
      </c>
      <c r="I10992">
        <f>IF(DATOS!$I10992="","",IFERROR(VLOOKUP(DATOS!$I10992,CONFIG_ASIGNATURAS!$B$2:$J$91,9,FALSE()),""))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IF(DATOS!$A10993="",0,IF(CONFIG_METADATA!$B$4&lt;&gt;"OR+EX",--(DATOS!$G10993=CONFIG_METADATA!$B$4),IF(DATOS!$G10993="EX",1,IF(DATOS!$G10993="OR",--(COUNTIFS(nNIA,DATOS!$A10993,nCURSO,DATOS!$D10993,nESPEC,DATOS!$E10993,nASIG,DATOS!$I10993,nEVAL,"EX")=0),0))))</f>
      </c>
      <c r="H10993">
        <f>IF(DATOS!$G10993&lt;&gt;"EX",0,--(COUNTIFS(nNIA,DATOS!$A10993,nCURSO,DATOS!$D10993,nESPEC,DATOS!$E10993,nASIG,DATOS!$I10993,nEVAL,"OR")=0))</f>
      </c>
      <c r="I10993">
        <f>IF(DATOS!$I10993="","",IFERROR(VLOOKUP(DATOS!$I10993,CONFIG_ASIGNATURAS!$B$2:$J$91,9,FALSE()),""))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IF(DATOS!$A10994="",0,IF(CONFIG_METADATA!$B$4&lt;&gt;"OR+EX",--(DATOS!$G10994=CONFIG_METADATA!$B$4),IF(DATOS!$G10994="EX",1,IF(DATOS!$G10994="OR",--(COUNTIFS(nNIA,DATOS!$A10994,nCURSO,DATOS!$D10994,nESPEC,DATOS!$E10994,nASIG,DATOS!$I10994,nEVAL,"EX")=0),0))))</f>
      </c>
      <c r="H10994">
        <f>IF(DATOS!$G10994&lt;&gt;"EX",0,--(COUNTIFS(nNIA,DATOS!$A10994,nCURSO,DATOS!$D10994,nESPEC,DATOS!$E10994,nASIG,DATOS!$I10994,nEVAL,"OR")=0))</f>
      </c>
      <c r="I10994">
        <f>IF(DATOS!$I10994="","",IFERROR(VLOOKUP(DATOS!$I10994,CONFIG_ASIGNATURAS!$B$2:$J$91,9,FALSE()),""))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IF(DATOS!$A10995="",0,IF(CONFIG_METADATA!$B$4&lt;&gt;"OR+EX",--(DATOS!$G10995=CONFIG_METADATA!$B$4),IF(DATOS!$G10995="EX",1,IF(DATOS!$G10995="OR",--(COUNTIFS(nNIA,DATOS!$A10995,nCURSO,DATOS!$D10995,nESPEC,DATOS!$E10995,nASIG,DATOS!$I10995,nEVAL,"EX")=0),0))))</f>
      </c>
      <c r="H10995">
        <f>IF(DATOS!$G10995&lt;&gt;"EX",0,--(COUNTIFS(nNIA,DATOS!$A10995,nCURSO,DATOS!$D10995,nESPEC,DATOS!$E10995,nASIG,DATOS!$I10995,nEVAL,"OR")=0))</f>
      </c>
      <c r="I10995">
        <f>IF(DATOS!$I10995="","",IFERROR(VLOOKUP(DATOS!$I10995,CONFIG_ASIGNATURAS!$B$2:$J$91,9,FALSE()),""))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IF(DATOS!$A10996="",0,IF(CONFIG_METADATA!$B$4&lt;&gt;"OR+EX",--(DATOS!$G10996=CONFIG_METADATA!$B$4),IF(DATOS!$G10996="EX",1,IF(DATOS!$G10996="OR",--(COUNTIFS(nNIA,DATOS!$A10996,nCURSO,DATOS!$D10996,nESPEC,DATOS!$E10996,nASIG,DATOS!$I10996,nEVAL,"EX")=0),0))))</f>
      </c>
      <c r="H10996">
        <f>IF(DATOS!$G10996&lt;&gt;"EX",0,--(COUNTIFS(nNIA,DATOS!$A10996,nCURSO,DATOS!$D10996,nESPEC,DATOS!$E10996,nASIG,DATOS!$I10996,nEVAL,"OR")=0))</f>
      </c>
      <c r="I10996">
        <f>IF(DATOS!$I10996="","",IFERROR(VLOOKUP(DATOS!$I10996,CONFIG_ASIGNATURAS!$B$2:$J$91,9,FALSE()),""))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IF(DATOS!$A10997="",0,IF(CONFIG_METADATA!$B$4&lt;&gt;"OR+EX",--(DATOS!$G10997=CONFIG_METADATA!$B$4),IF(DATOS!$G10997="EX",1,IF(DATOS!$G10997="OR",--(COUNTIFS(nNIA,DATOS!$A10997,nCURSO,DATOS!$D10997,nESPEC,DATOS!$E10997,nASIG,DATOS!$I10997,nEVAL,"EX")=0),0))))</f>
      </c>
      <c r="H10997">
        <f>IF(DATOS!$G10997&lt;&gt;"EX",0,--(COUNTIFS(nNIA,DATOS!$A10997,nCURSO,DATOS!$D10997,nESPEC,DATOS!$E10997,nASIG,DATOS!$I10997,nEVAL,"OR")=0))</f>
      </c>
      <c r="I10997">
        <f>IF(DATOS!$I10997="","",IFERROR(VLOOKUP(DATOS!$I10997,CONFIG_ASIGNATURAS!$B$2:$J$91,9,FALSE()),""))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IF(DATOS!$A10998="",0,IF(CONFIG_METADATA!$B$4&lt;&gt;"OR+EX",--(DATOS!$G10998=CONFIG_METADATA!$B$4),IF(DATOS!$G10998="EX",1,IF(DATOS!$G10998="OR",--(COUNTIFS(nNIA,DATOS!$A10998,nCURSO,DATOS!$D10998,nESPEC,DATOS!$E10998,nASIG,DATOS!$I10998,nEVAL,"EX")=0),0))))</f>
      </c>
      <c r="H10998">
        <f>IF(DATOS!$G10998&lt;&gt;"EX",0,--(COUNTIFS(nNIA,DATOS!$A10998,nCURSO,DATOS!$D10998,nESPEC,DATOS!$E10998,nASIG,DATOS!$I10998,nEVAL,"OR")=0))</f>
      </c>
      <c r="I10998">
        <f>IF(DATOS!$I10998="","",IFERROR(VLOOKUP(DATOS!$I10998,CONFIG_ASIGNATURAS!$B$2:$J$91,9,FALSE()),""))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IF(DATOS!$A10999="",0,IF(CONFIG_METADATA!$B$4&lt;&gt;"OR+EX",--(DATOS!$G10999=CONFIG_METADATA!$B$4),IF(DATOS!$G10999="EX",1,IF(DATOS!$G10999="OR",--(COUNTIFS(nNIA,DATOS!$A10999,nCURSO,DATOS!$D10999,nESPEC,DATOS!$E10999,nASIG,DATOS!$I10999,nEVAL,"EX")=0),0))))</f>
      </c>
      <c r="H10999">
        <f>IF(DATOS!$G10999&lt;&gt;"EX",0,--(COUNTIFS(nNIA,DATOS!$A10999,nCURSO,DATOS!$D10999,nESPEC,DATOS!$E10999,nASIG,DATOS!$I10999,nEVAL,"OR")=0))</f>
      </c>
      <c r="I10999">
        <f>IF(DATOS!$I10999="","",IFERROR(VLOOKUP(DATOS!$I10999,CONFIG_ASIGNATURAS!$B$2:$J$91,9,FALSE()),""))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IF(DATOS!$A11000="",0,IF(CONFIG_METADATA!$B$4&lt;&gt;"OR+EX",--(DATOS!$G11000=CONFIG_METADATA!$B$4),IF(DATOS!$G11000="EX",1,IF(DATOS!$G11000="OR",--(COUNTIFS(nNIA,DATOS!$A11000,nCURSO,DATOS!$D11000,nESPEC,DATOS!$E11000,nASIG,DATOS!$I11000,nEVAL,"EX")=0),0))))</f>
      </c>
      <c r="H11000">
        <f>IF(DATOS!$G11000&lt;&gt;"EX",0,--(COUNTIFS(nNIA,DATOS!$A11000,nCURSO,DATOS!$D11000,nESPEC,DATOS!$E11000,nASIG,DATOS!$I11000,nEVAL,"OR")=0))</f>
      </c>
      <c r="I11000">
        <f>IF(DATOS!$I11000="","",IFERROR(VLOOKUP(DATOS!$I11000,CONFIG_ASIGNATURAS!$B$2:$J$91,9,FALSE()),""))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IF(DATOS!$A11001="",0,IF(CONFIG_METADATA!$B$4&lt;&gt;"OR+EX",--(DATOS!$G11001=CONFIG_METADATA!$B$4),IF(DATOS!$G11001="EX",1,IF(DATOS!$G11001="OR",--(COUNTIFS(nNIA,DATOS!$A11001,nCURSO,DATOS!$D11001,nESPEC,DATOS!$E11001,nASIG,DATOS!$I11001,nEVAL,"EX")=0),0))))</f>
      </c>
      <c r="H11001">
        <f>IF(DATOS!$G11001&lt;&gt;"EX",0,--(COUNTIFS(nNIA,DATOS!$A11001,nCURSO,DATOS!$D11001,nESPEC,DATOS!$E11001,nASIG,DATOS!$I11001,nEVAL,"OR")=0))</f>
      </c>
      <c r="I11001">
        <f>IF(DATOS!$I11001="","",IFERROR(VLOOKUP(DATOS!$I11001,CONFIG_ASIGNATURAS!$B$2:$J$91,9,FALSE()),""))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IF(DATOS!$A11002="",0,IF(CONFIG_METADATA!$B$4&lt;&gt;"OR+EX",--(DATOS!$G11002=CONFIG_METADATA!$B$4),IF(DATOS!$G11002="EX",1,IF(DATOS!$G11002="OR",--(COUNTIFS(nNIA,DATOS!$A11002,nCURSO,DATOS!$D11002,nESPEC,DATOS!$E11002,nASIG,DATOS!$I11002,nEVAL,"EX")=0),0))))</f>
      </c>
      <c r="H11002">
        <f>IF(DATOS!$G11002&lt;&gt;"EX",0,--(COUNTIFS(nNIA,DATOS!$A11002,nCURSO,DATOS!$D11002,nESPEC,DATOS!$E11002,nASIG,DATOS!$I11002,nEVAL,"OR")=0))</f>
      </c>
      <c r="I11002">
        <f>IF(DATOS!$I11002="","",IFERROR(VLOOKUP(DATOS!$I11002,CONFIG_ASIGNATURAS!$B$2:$J$91,9,FALSE()),""))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IF(DATOS!$A11003="",0,IF(CONFIG_METADATA!$B$4&lt;&gt;"OR+EX",--(DATOS!$G11003=CONFIG_METADATA!$B$4),IF(DATOS!$G11003="EX",1,IF(DATOS!$G11003="OR",--(COUNTIFS(nNIA,DATOS!$A11003,nCURSO,DATOS!$D11003,nESPEC,DATOS!$E11003,nASIG,DATOS!$I11003,nEVAL,"EX")=0),0))))</f>
      </c>
      <c r="H11003">
        <f>IF(DATOS!$G11003&lt;&gt;"EX",0,--(COUNTIFS(nNIA,DATOS!$A11003,nCURSO,DATOS!$D11003,nESPEC,DATOS!$E11003,nASIG,DATOS!$I11003,nEVAL,"OR")=0))</f>
      </c>
      <c r="I11003">
        <f>IF(DATOS!$I11003="","",IFERROR(VLOOKUP(DATOS!$I11003,CONFIG_ASIGNATURAS!$B$2:$J$91,9,FALSE()),""))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IF(DATOS!$A11004="",0,IF(CONFIG_METADATA!$B$4&lt;&gt;"OR+EX",--(DATOS!$G11004=CONFIG_METADATA!$B$4),IF(DATOS!$G11004="EX",1,IF(DATOS!$G11004="OR",--(COUNTIFS(nNIA,DATOS!$A11004,nCURSO,DATOS!$D11004,nESPEC,DATOS!$E11004,nASIG,DATOS!$I11004,nEVAL,"EX")=0),0))))</f>
      </c>
      <c r="H11004">
        <f>IF(DATOS!$G11004&lt;&gt;"EX",0,--(COUNTIFS(nNIA,DATOS!$A11004,nCURSO,DATOS!$D11004,nESPEC,DATOS!$E11004,nASIG,DATOS!$I11004,nEVAL,"OR")=0))</f>
      </c>
      <c r="I11004">
        <f>IF(DATOS!$I11004="","",IFERROR(VLOOKUP(DATOS!$I11004,CONFIG_ASIGNATURAS!$B$2:$J$91,9,FALSE()),""))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IF(DATOS!$A11005="",0,IF(CONFIG_METADATA!$B$4&lt;&gt;"OR+EX",--(DATOS!$G11005=CONFIG_METADATA!$B$4),IF(DATOS!$G11005="EX",1,IF(DATOS!$G11005="OR",--(COUNTIFS(nNIA,DATOS!$A11005,nCURSO,DATOS!$D11005,nESPEC,DATOS!$E11005,nASIG,DATOS!$I11005,nEVAL,"EX")=0),0))))</f>
      </c>
      <c r="H11005">
        <f>IF(DATOS!$G11005&lt;&gt;"EX",0,--(COUNTIFS(nNIA,DATOS!$A11005,nCURSO,DATOS!$D11005,nESPEC,DATOS!$E11005,nASIG,DATOS!$I11005,nEVAL,"OR")=0))</f>
      </c>
      <c r="I11005">
        <f>IF(DATOS!$I11005="","",IFERROR(VLOOKUP(DATOS!$I11005,CONFIG_ASIGNATURAS!$B$2:$J$91,9,FALSE()),""))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IF(DATOS!$A11006="",0,IF(CONFIG_METADATA!$B$4&lt;&gt;"OR+EX",--(DATOS!$G11006=CONFIG_METADATA!$B$4),IF(DATOS!$G11006="EX",1,IF(DATOS!$G11006="OR",--(COUNTIFS(nNIA,DATOS!$A11006,nCURSO,DATOS!$D11006,nESPEC,DATOS!$E11006,nASIG,DATOS!$I11006,nEVAL,"EX")=0),0))))</f>
      </c>
      <c r="H11006">
        <f>IF(DATOS!$G11006&lt;&gt;"EX",0,--(COUNTIFS(nNIA,DATOS!$A11006,nCURSO,DATOS!$D11006,nESPEC,DATOS!$E11006,nASIG,DATOS!$I11006,nEVAL,"OR")=0))</f>
      </c>
      <c r="I11006">
        <f>IF(DATOS!$I11006="","",IFERROR(VLOOKUP(DATOS!$I11006,CONFIG_ASIGNATURAS!$B$2:$J$91,9,FALSE()),""))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IF(DATOS!$A11007="",0,IF(CONFIG_METADATA!$B$4&lt;&gt;"OR+EX",--(DATOS!$G11007=CONFIG_METADATA!$B$4),IF(DATOS!$G11007="EX",1,IF(DATOS!$G11007="OR",--(COUNTIFS(nNIA,DATOS!$A11007,nCURSO,DATOS!$D11007,nESPEC,DATOS!$E11007,nASIG,DATOS!$I11007,nEVAL,"EX")=0),0))))</f>
      </c>
      <c r="H11007">
        <f>IF(DATOS!$G11007&lt;&gt;"EX",0,--(COUNTIFS(nNIA,DATOS!$A11007,nCURSO,DATOS!$D11007,nESPEC,DATOS!$E11007,nASIG,DATOS!$I11007,nEVAL,"OR")=0))</f>
      </c>
      <c r="I11007">
        <f>IF(DATOS!$I11007="","",IFERROR(VLOOKUP(DATOS!$I11007,CONFIG_ASIGNATURAS!$B$2:$J$91,9,FALSE()),""))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IF(DATOS!$A11008="",0,IF(CONFIG_METADATA!$B$4&lt;&gt;"OR+EX",--(DATOS!$G11008=CONFIG_METADATA!$B$4),IF(DATOS!$G11008="EX",1,IF(DATOS!$G11008="OR",--(COUNTIFS(nNIA,DATOS!$A11008,nCURSO,DATOS!$D11008,nESPEC,DATOS!$E11008,nASIG,DATOS!$I11008,nEVAL,"EX")=0),0))))</f>
      </c>
      <c r="H11008">
        <f>IF(DATOS!$G11008&lt;&gt;"EX",0,--(COUNTIFS(nNIA,DATOS!$A11008,nCURSO,DATOS!$D11008,nESPEC,DATOS!$E11008,nASIG,DATOS!$I11008,nEVAL,"OR")=0))</f>
      </c>
      <c r="I11008">
        <f>IF(DATOS!$I11008="","",IFERROR(VLOOKUP(DATOS!$I11008,CONFIG_ASIGNATURAS!$B$2:$J$91,9,FALSE()),""))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IF(DATOS!$A11009="",0,IF(CONFIG_METADATA!$B$4&lt;&gt;"OR+EX",--(DATOS!$G11009=CONFIG_METADATA!$B$4),IF(DATOS!$G11009="EX",1,IF(DATOS!$G11009="OR",--(COUNTIFS(nNIA,DATOS!$A11009,nCURSO,DATOS!$D11009,nESPEC,DATOS!$E11009,nASIG,DATOS!$I11009,nEVAL,"EX")=0),0))))</f>
      </c>
      <c r="H11009">
        <f>IF(DATOS!$G11009&lt;&gt;"EX",0,--(COUNTIFS(nNIA,DATOS!$A11009,nCURSO,DATOS!$D11009,nESPEC,DATOS!$E11009,nASIG,DATOS!$I11009,nEVAL,"OR")=0))</f>
      </c>
      <c r="I11009">
        <f>IF(DATOS!$I11009="","",IFERROR(VLOOKUP(DATOS!$I11009,CONFIG_ASIGNATURAS!$B$2:$J$91,9,FALSE()),""))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IF(DATOS!$A11010="",0,IF(CONFIG_METADATA!$B$4&lt;&gt;"OR+EX",--(DATOS!$G11010=CONFIG_METADATA!$B$4),IF(DATOS!$G11010="EX",1,IF(DATOS!$G11010="OR",--(COUNTIFS(nNIA,DATOS!$A11010,nCURSO,DATOS!$D11010,nESPEC,DATOS!$E11010,nASIG,DATOS!$I11010,nEVAL,"EX")=0),0))))</f>
      </c>
      <c r="H11010">
        <f>IF(DATOS!$G11010&lt;&gt;"EX",0,--(COUNTIFS(nNIA,DATOS!$A11010,nCURSO,DATOS!$D11010,nESPEC,DATOS!$E11010,nASIG,DATOS!$I11010,nEVAL,"OR")=0))</f>
      </c>
      <c r="I11010">
        <f>IF(DATOS!$I11010="","",IFERROR(VLOOKUP(DATOS!$I11010,CONFIG_ASIGNATURAS!$B$2:$J$91,9,FALSE()),""))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IF(DATOS!$A11011="",0,IF(CONFIG_METADATA!$B$4&lt;&gt;"OR+EX",--(DATOS!$G11011=CONFIG_METADATA!$B$4),IF(DATOS!$G11011="EX",1,IF(DATOS!$G11011="OR",--(COUNTIFS(nNIA,DATOS!$A11011,nCURSO,DATOS!$D11011,nESPEC,DATOS!$E11011,nASIG,DATOS!$I11011,nEVAL,"EX")=0),0))))</f>
      </c>
      <c r="H11011">
        <f>IF(DATOS!$G11011&lt;&gt;"EX",0,--(COUNTIFS(nNIA,DATOS!$A11011,nCURSO,DATOS!$D11011,nESPEC,DATOS!$E11011,nASIG,DATOS!$I11011,nEVAL,"OR")=0))</f>
      </c>
      <c r="I11011">
        <f>IF(DATOS!$I11011="","",IFERROR(VLOOKUP(DATOS!$I11011,CONFIG_ASIGNATURAS!$B$2:$J$91,9,FALSE()),""))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IF(DATOS!$A11012="",0,IF(CONFIG_METADATA!$B$4&lt;&gt;"OR+EX",--(DATOS!$G11012=CONFIG_METADATA!$B$4),IF(DATOS!$G11012="EX",1,IF(DATOS!$G11012="OR",--(COUNTIFS(nNIA,DATOS!$A11012,nCURSO,DATOS!$D11012,nESPEC,DATOS!$E11012,nASIG,DATOS!$I11012,nEVAL,"EX")=0),0))))</f>
      </c>
      <c r="H11012">
        <f>IF(DATOS!$G11012&lt;&gt;"EX",0,--(COUNTIFS(nNIA,DATOS!$A11012,nCURSO,DATOS!$D11012,nESPEC,DATOS!$E11012,nASIG,DATOS!$I11012,nEVAL,"OR")=0))</f>
      </c>
      <c r="I11012">
        <f>IF(DATOS!$I11012="","",IFERROR(VLOOKUP(DATOS!$I11012,CONFIG_ASIGNATURAS!$B$2:$J$91,9,FALSE()),""))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IF(DATOS!$A11013="",0,IF(CONFIG_METADATA!$B$4&lt;&gt;"OR+EX",--(DATOS!$G11013=CONFIG_METADATA!$B$4),IF(DATOS!$G11013="EX",1,IF(DATOS!$G11013="OR",--(COUNTIFS(nNIA,DATOS!$A11013,nCURSO,DATOS!$D11013,nESPEC,DATOS!$E11013,nASIG,DATOS!$I11013,nEVAL,"EX")=0),0))))</f>
      </c>
      <c r="H11013">
        <f>IF(DATOS!$G11013&lt;&gt;"EX",0,--(COUNTIFS(nNIA,DATOS!$A11013,nCURSO,DATOS!$D11013,nESPEC,DATOS!$E11013,nASIG,DATOS!$I11013,nEVAL,"OR")=0))</f>
      </c>
      <c r="I11013">
        <f>IF(DATOS!$I11013="","",IFERROR(VLOOKUP(DATOS!$I11013,CONFIG_ASIGNATURAS!$B$2:$J$91,9,FALSE()),""))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IF(DATOS!$A11014="",0,IF(CONFIG_METADATA!$B$4&lt;&gt;"OR+EX",--(DATOS!$G11014=CONFIG_METADATA!$B$4),IF(DATOS!$G11014="EX",1,IF(DATOS!$G11014="OR",--(COUNTIFS(nNIA,DATOS!$A11014,nCURSO,DATOS!$D11014,nESPEC,DATOS!$E11014,nASIG,DATOS!$I11014,nEVAL,"EX")=0),0))))</f>
      </c>
      <c r="H11014">
        <f>IF(DATOS!$G11014&lt;&gt;"EX",0,--(COUNTIFS(nNIA,DATOS!$A11014,nCURSO,DATOS!$D11014,nESPEC,DATOS!$E11014,nASIG,DATOS!$I11014,nEVAL,"OR")=0))</f>
      </c>
      <c r="I11014">
        <f>IF(DATOS!$I11014="","",IFERROR(VLOOKUP(DATOS!$I11014,CONFIG_ASIGNATURAS!$B$2:$J$91,9,FALSE()),""))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IF(DATOS!$A11015="",0,IF(CONFIG_METADATA!$B$4&lt;&gt;"OR+EX",--(DATOS!$G11015=CONFIG_METADATA!$B$4),IF(DATOS!$G11015="EX",1,IF(DATOS!$G11015="OR",--(COUNTIFS(nNIA,DATOS!$A11015,nCURSO,DATOS!$D11015,nESPEC,DATOS!$E11015,nASIG,DATOS!$I11015,nEVAL,"EX")=0),0))))</f>
      </c>
      <c r="H11015">
        <f>IF(DATOS!$G11015&lt;&gt;"EX",0,--(COUNTIFS(nNIA,DATOS!$A11015,nCURSO,DATOS!$D11015,nESPEC,DATOS!$E11015,nASIG,DATOS!$I11015,nEVAL,"OR")=0))</f>
      </c>
      <c r="I11015">
        <f>IF(DATOS!$I11015="","",IFERROR(VLOOKUP(DATOS!$I11015,CONFIG_ASIGNATURAS!$B$2:$J$91,9,FALSE()),""))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IF(DATOS!$A11016="",0,IF(CONFIG_METADATA!$B$4&lt;&gt;"OR+EX",--(DATOS!$G11016=CONFIG_METADATA!$B$4),IF(DATOS!$G11016="EX",1,IF(DATOS!$G11016="OR",--(COUNTIFS(nNIA,DATOS!$A11016,nCURSO,DATOS!$D11016,nESPEC,DATOS!$E11016,nASIG,DATOS!$I11016,nEVAL,"EX")=0),0))))</f>
      </c>
      <c r="H11016">
        <f>IF(DATOS!$G11016&lt;&gt;"EX",0,--(COUNTIFS(nNIA,DATOS!$A11016,nCURSO,DATOS!$D11016,nESPEC,DATOS!$E11016,nASIG,DATOS!$I11016,nEVAL,"OR")=0))</f>
      </c>
      <c r="I11016">
        <f>IF(DATOS!$I11016="","",IFERROR(VLOOKUP(DATOS!$I11016,CONFIG_ASIGNATURAS!$B$2:$J$91,9,FALSE()),""))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IF(DATOS!$A11017="",0,IF(CONFIG_METADATA!$B$4&lt;&gt;"OR+EX",--(DATOS!$G11017=CONFIG_METADATA!$B$4),IF(DATOS!$G11017="EX",1,IF(DATOS!$G11017="OR",--(COUNTIFS(nNIA,DATOS!$A11017,nCURSO,DATOS!$D11017,nESPEC,DATOS!$E11017,nASIG,DATOS!$I11017,nEVAL,"EX")=0),0))))</f>
      </c>
      <c r="H11017">
        <f>IF(DATOS!$G11017&lt;&gt;"EX",0,--(COUNTIFS(nNIA,DATOS!$A11017,nCURSO,DATOS!$D11017,nESPEC,DATOS!$E11017,nASIG,DATOS!$I11017,nEVAL,"OR")=0))</f>
      </c>
      <c r="I11017">
        <f>IF(DATOS!$I11017="","",IFERROR(VLOOKUP(DATOS!$I11017,CONFIG_ASIGNATURAS!$B$2:$J$91,9,FALSE()),""))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IF(DATOS!$A11018="",0,IF(CONFIG_METADATA!$B$4&lt;&gt;"OR+EX",--(DATOS!$G11018=CONFIG_METADATA!$B$4),IF(DATOS!$G11018="EX",1,IF(DATOS!$G11018="OR",--(COUNTIFS(nNIA,DATOS!$A11018,nCURSO,DATOS!$D11018,nESPEC,DATOS!$E11018,nASIG,DATOS!$I11018,nEVAL,"EX")=0),0))))</f>
      </c>
      <c r="H11018">
        <f>IF(DATOS!$G11018&lt;&gt;"EX",0,--(COUNTIFS(nNIA,DATOS!$A11018,nCURSO,DATOS!$D11018,nESPEC,DATOS!$E11018,nASIG,DATOS!$I11018,nEVAL,"OR")=0))</f>
      </c>
      <c r="I11018">
        <f>IF(DATOS!$I11018="","",IFERROR(VLOOKUP(DATOS!$I11018,CONFIG_ASIGNATURAS!$B$2:$J$91,9,FALSE()),""))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IF(DATOS!$A11019="",0,IF(CONFIG_METADATA!$B$4&lt;&gt;"OR+EX",--(DATOS!$G11019=CONFIG_METADATA!$B$4),IF(DATOS!$G11019="EX",1,IF(DATOS!$G11019="OR",--(COUNTIFS(nNIA,DATOS!$A11019,nCURSO,DATOS!$D11019,nESPEC,DATOS!$E11019,nASIG,DATOS!$I11019,nEVAL,"EX")=0),0))))</f>
      </c>
      <c r="H11019">
        <f>IF(DATOS!$G11019&lt;&gt;"EX",0,--(COUNTIFS(nNIA,DATOS!$A11019,nCURSO,DATOS!$D11019,nESPEC,DATOS!$E11019,nASIG,DATOS!$I11019,nEVAL,"OR")=0))</f>
      </c>
      <c r="I11019">
        <f>IF(DATOS!$I11019="","",IFERROR(VLOOKUP(DATOS!$I11019,CONFIG_ASIGNATURAS!$B$2:$J$91,9,FALSE()),""))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IF(DATOS!$A11020="",0,IF(CONFIG_METADATA!$B$4&lt;&gt;"OR+EX",--(DATOS!$G11020=CONFIG_METADATA!$B$4),IF(DATOS!$G11020="EX",1,IF(DATOS!$G11020="OR",--(COUNTIFS(nNIA,DATOS!$A11020,nCURSO,DATOS!$D11020,nESPEC,DATOS!$E11020,nASIG,DATOS!$I11020,nEVAL,"EX")=0),0))))</f>
      </c>
      <c r="H11020">
        <f>IF(DATOS!$G11020&lt;&gt;"EX",0,--(COUNTIFS(nNIA,DATOS!$A11020,nCURSO,DATOS!$D11020,nESPEC,DATOS!$E11020,nASIG,DATOS!$I11020,nEVAL,"OR")=0))</f>
      </c>
      <c r="I11020">
        <f>IF(DATOS!$I11020="","",IFERROR(VLOOKUP(DATOS!$I11020,CONFIG_ASIGNATURAS!$B$2:$J$91,9,FALSE()),""))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IF(DATOS!$A11021="",0,IF(CONFIG_METADATA!$B$4&lt;&gt;"OR+EX",--(DATOS!$G11021=CONFIG_METADATA!$B$4),IF(DATOS!$G11021="EX",1,IF(DATOS!$G11021="OR",--(COUNTIFS(nNIA,DATOS!$A11021,nCURSO,DATOS!$D11021,nESPEC,DATOS!$E11021,nASIG,DATOS!$I11021,nEVAL,"EX")=0),0))))</f>
      </c>
      <c r="H11021">
        <f>IF(DATOS!$G11021&lt;&gt;"EX",0,--(COUNTIFS(nNIA,DATOS!$A11021,nCURSO,DATOS!$D11021,nESPEC,DATOS!$E11021,nASIG,DATOS!$I11021,nEVAL,"OR")=0))</f>
      </c>
      <c r="I11021">
        <f>IF(DATOS!$I11021="","",IFERROR(VLOOKUP(DATOS!$I11021,CONFIG_ASIGNATURAS!$B$2:$J$91,9,FALSE()),""))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IF(DATOS!$A11022="",0,IF(CONFIG_METADATA!$B$4&lt;&gt;"OR+EX",--(DATOS!$G11022=CONFIG_METADATA!$B$4),IF(DATOS!$G11022="EX",1,IF(DATOS!$G11022="OR",--(COUNTIFS(nNIA,DATOS!$A11022,nCURSO,DATOS!$D11022,nESPEC,DATOS!$E11022,nASIG,DATOS!$I11022,nEVAL,"EX")=0),0))))</f>
      </c>
      <c r="H11022">
        <f>IF(DATOS!$G11022&lt;&gt;"EX",0,--(COUNTIFS(nNIA,DATOS!$A11022,nCURSO,DATOS!$D11022,nESPEC,DATOS!$E11022,nASIG,DATOS!$I11022,nEVAL,"OR")=0))</f>
      </c>
      <c r="I11022">
        <f>IF(DATOS!$I11022="","",IFERROR(VLOOKUP(DATOS!$I11022,CONFIG_ASIGNATURAS!$B$2:$J$91,9,FALSE()),""))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IF(DATOS!$A11023="",0,IF(CONFIG_METADATA!$B$4&lt;&gt;"OR+EX",--(DATOS!$G11023=CONFIG_METADATA!$B$4),IF(DATOS!$G11023="EX",1,IF(DATOS!$G11023="OR",--(COUNTIFS(nNIA,DATOS!$A11023,nCURSO,DATOS!$D11023,nESPEC,DATOS!$E11023,nASIG,DATOS!$I11023,nEVAL,"EX")=0),0))))</f>
      </c>
      <c r="H11023">
        <f>IF(DATOS!$G11023&lt;&gt;"EX",0,--(COUNTIFS(nNIA,DATOS!$A11023,nCURSO,DATOS!$D11023,nESPEC,DATOS!$E11023,nASIG,DATOS!$I11023,nEVAL,"OR")=0))</f>
      </c>
      <c r="I11023">
        <f>IF(DATOS!$I11023="","",IFERROR(VLOOKUP(DATOS!$I11023,CONFIG_ASIGNATURAS!$B$2:$J$91,9,FALSE()),""))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IF(DATOS!$A11024="",0,IF(CONFIG_METADATA!$B$4&lt;&gt;"OR+EX",--(DATOS!$G11024=CONFIG_METADATA!$B$4),IF(DATOS!$G11024="EX",1,IF(DATOS!$G11024="OR",--(COUNTIFS(nNIA,DATOS!$A11024,nCURSO,DATOS!$D11024,nESPEC,DATOS!$E11024,nASIG,DATOS!$I11024,nEVAL,"EX")=0),0))))</f>
      </c>
      <c r="H11024">
        <f>IF(DATOS!$G11024&lt;&gt;"EX",0,--(COUNTIFS(nNIA,DATOS!$A11024,nCURSO,DATOS!$D11024,nESPEC,DATOS!$E11024,nASIG,DATOS!$I11024,nEVAL,"OR")=0))</f>
      </c>
      <c r="I11024">
        <f>IF(DATOS!$I11024="","",IFERROR(VLOOKUP(DATOS!$I11024,CONFIG_ASIGNATURAS!$B$2:$J$91,9,FALSE()),""))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IF(DATOS!$A11025="",0,IF(CONFIG_METADATA!$B$4&lt;&gt;"OR+EX",--(DATOS!$G11025=CONFIG_METADATA!$B$4),IF(DATOS!$G11025="EX",1,IF(DATOS!$G11025="OR",--(COUNTIFS(nNIA,DATOS!$A11025,nCURSO,DATOS!$D11025,nESPEC,DATOS!$E11025,nASIG,DATOS!$I11025,nEVAL,"EX")=0),0))))</f>
      </c>
      <c r="H11025">
        <f>IF(DATOS!$G11025&lt;&gt;"EX",0,--(COUNTIFS(nNIA,DATOS!$A11025,nCURSO,DATOS!$D11025,nESPEC,DATOS!$E11025,nASIG,DATOS!$I11025,nEVAL,"OR")=0))</f>
      </c>
      <c r="I11025">
        <f>IF(DATOS!$I11025="","",IFERROR(VLOOKUP(DATOS!$I11025,CONFIG_ASIGNATURAS!$B$2:$J$91,9,FALSE()),""))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IF(DATOS!$A11026="",0,IF(CONFIG_METADATA!$B$4&lt;&gt;"OR+EX",--(DATOS!$G11026=CONFIG_METADATA!$B$4),IF(DATOS!$G11026="EX",1,IF(DATOS!$G11026="OR",--(COUNTIFS(nNIA,DATOS!$A11026,nCURSO,DATOS!$D11026,nESPEC,DATOS!$E11026,nASIG,DATOS!$I11026,nEVAL,"EX")=0),0))))</f>
      </c>
      <c r="H11026">
        <f>IF(DATOS!$G11026&lt;&gt;"EX",0,--(COUNTIFS(nNIA,DATOS!$A11026,nCURSO,DATOS!$D11026,nESPEC,DATOS!$E11026,nASIG,DATOS!$I11026,nEVAL,"OR")=0))</f>
      </c>
      <c r="I11026">
        <f>IF(DATOS!$I11026="","",IFERROR(VLOOKUP(DATOS!$I11026,CONFIG_ASIGNATURAS!$B$2:$J$91,9,FALSE()),""))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IF(DATOS!$A11027="",0,IF(CONFIG_METADATA!$B$4&lt;&gt;"OR+EX",--(DATOS!$G11027=CONFIG_METADATA!$B$4),IF(DATOS!$G11027="EX",1,IF(DATOS!$G11027="OR",--(COUNTIFS(nNIA,DATOS!$A11027,nCURSO,DATOS!$D11027,nESPEC,DATOS!$E11027,nASIG,DATOS!$I11027,nEVAL,"EX")=0),0))))</f>
      </c>
      <c r="H11027">
        <f>IF(DATOS!$G11027&lt;&gt;"EX",0,--(COUNTIFS(nNIA,DATOS!$A11027,nCURSO,DATOS!$D11027,nESPEC,DATOS!$E11027,nASIG,DATOS!$I11027,nEVAL,"OR")=0))</f>
      </c>
      <c r="I11027">
        <f>IF(DATOS!$I11027="","",IFERROR(VLOOKUP(DATOS!$I11027,CONFIG_ASIGNATURAS!$B$2:$J$91,9,FALSE()),""))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IF(DATOS!$A11028="",0,IF(CONFIG_METADATA!$B$4&lt;&gt;"OR+EX",--(DATOS!$G11028=CONFIG_METADATA!$B$4),IF(DATOS!$G11028="EX",1,IF(DATOS!$G11028="OR",--(COUNTIFS(nNIA,DATOS!$A11028,nCURSO,DATOS!$D11028,nESPEC,DATOS!$E11028,nASIG,DATOS!$I11028,nEVAL,"EX")=0),0))))</f>
      </c>
      <c r="H11028">
        <f>IF(DATOS!$G11028&lt;&gt;"EX",0,--(COUNTIFS(nNIA,DATOS!$A11028,nCURSO,DATOS!$D11028,nESPEC,DATOS!$E11028,nASIG,DATOS!$I11028,nEVAL,"OR")=0))</f>
      </c>
      <c r="I11028">
        <f>IF(DATOS!$I11028="","",IFERROR(VLOOKUP(DATOS!$I11028,CONFIG_ASIGNATURAS!$B$2:$J$91,9,FALSE()),""))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IF(DATOS!$A11029="",0,IF(CONFIG_METADATA!$B$4&lt;&gt;"OR+EX",--(DATOS!$G11029=CONFIG_METADATA!$B$4),IF(DATOS!$G11029="EX",1,IF(DATOS!$G11029="OR",--(COUNTIFS(nNIA,DATOS!$A11029,nCURSO,DATOS!$D11029,nESPEC,DATOS!$E11029,nASIG,DATOS!$I11029,nEVAL,"EX")=0),0))))</f>
      </c>
      <c r="H11029">
        <f>IF(DATOS!$G11029&lt;&gt;"EX",0,--(COUNTIFS(nNIA,DATOS!$A11029,nCURSO,DATOS!$D11029,nESPEC,DATOS!$E11029,nASIG,DATOS!$I11029,nEVAL,"OR")=0))</f>
      </c>
      <c r="I11029">
        <f>IF(DATOS!$I11029="","",IFERROR(VLOOKUP(DATOS!$I11029,CONFIG_ASIGNATURAS!$B$2:$J$91,9,FALSE()),""))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IF(DATOS!$A11030="",0,IF(CONFIG_METADATA!$B$4&lt;&gt;"OR+EX",--(DATOS!$G11030=CONFIG_METADATA!$B$4),IF(DATOS!$G11030="EX",1,IF(DATOS!$G11030="OR",--(COUNTIFS(nNIA,DATOS!$A11030,nCURSO,DATOS!$D11030,nESPEC,DATOS!$E11030,nASIG,DATOS!$I11030,nEVAL,"EX")=0),0))))</f>
      </c>
      <c r="H11030">
        <f>IF(DATOS!$G11030&lt;&gt;"EX",0,--(COUNTIFS(nNIA,DATOS!$A11030,nCURSO,DATOS!$D11030,nESPEC,DATOS!$E11030,nASIG,DATOS!$I11030,nEVAL,"OR")=0))</f>
      </c>
      <c r="I11030">
        <f>IF(DATOS!$I11030="","",IFERROR(VLOOKUP(DATOS!$I11030,CONFIG_ASIGNATURAS!$B$2:$J$91,9,FALSE()),""))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IF(DATOS!$A11031="",0,IF(CONFIG_METADATA!$B$4&lt;&gt;"OR+EX",--(DATOS!$G11031=CONFIG_METADATA!$B$4),IF(DATOS!$G11031="EX",1,IF(DATOS!$G11031="OR",--(COUNTIFS(nNIA,DATOS!$A11031,nCURSO,DATOS!$D11031,nESPEC,DATOS!$E11031,nASIG,DATOS!$I11031,nEVAL,"EX")=0),0))))</f>
      </c>
      <c r="H11031">
        <f>IF(DATOS!$G11031&lt;&gt;"EX",0,--(COUNTIFS(nNIA,DATOS!$A11031,nCURSO,DATOS!$D11031,nESPEC,DATOS!$E11031,nASIG,DATOS!$I11031,nEVAL,"OR")=0))</f>
      </c>
      <c r="I11031">
        <f>IF(DATOS!$I11031="","",IFERROR(VLOOKUP(DATOS!$I11031,CONFIG_ASIGNATURAS!$B$2:$J$91,9,FALSE()),""))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IF(DATOS!$A11032="",0,IF(CONFIG_METADATA!$B$4&lt;&gt;"OR+EX",--(DATOS!$G11032=CONFIG_METADATA!$B$4),IF(DATOS!$G11032="EX",1,IF(DATOS!$G11032="OR",--(COUNTIFS(nNIA,DATOS!$A11032,nCURSO,DATOS!$D11032,nESPEC,DATOS!$E11032,nASIG,DATOS!$I11032,nEVAL,"EX")=0),0))))</f>
      </c>
      <c r="H11032">
        <f>IF(DATOS!$G11032&lt;&gt;"EX",0,--(COUNTIFS(nNIA,DATOS!$A11032,nCURSO,DATOS!$D11032,nESPEC,DATOS!$E11032,nASIG,DATOS!$I11032,nEVAL,"OR")=0))</f>
      </c>
      <c r="I11032">
        <f>IF(DATOS!$I11032="","",IFERROR(VLOOKUP(DATOS!$I11032,CONFIG_ASIGNATURAS!$B$2:$J$91,9,FALSE()),""))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IF(DATOS!$A11033="",0,IF(CONFIG_METADATA!$B$4&lt;&gt;"OR+EX",--(DATOS!$G11033=CONFIG_METADATA!$B$4),IF(DATOS!$G11033="EX",1,IF(DATOS!$G11033="OR",--(COUNTIFS(nNIA,DATOS!$A11033,nCURSO,DATOS!$D11033,nESPEC,DATOS!$E11033,nASIG,DATOS!$I11033,nEVAL,"EX")=0),0))))</f>
      </c>
      <c r="H11033">
        <f>IF(DATOS!$G11033&lt;&gt;"EX",0,--(COUNTIFS(nNIA,DATOS!$A11033,nCURSO,DATOS!$D11033,nESPEC,DATOS!$E11033,nASIG,DATOS!$I11033,nEVAL,"OR")=0))</f>
      </c>
      <c r="I11033">
        <f>IF(DATOS!$I11033="","",IFERROR(VLOOKUP(DATOS!$I11033,CONFIG_ASIGNATURAS!$B$2:$J$91,9,FALSE()),""))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IF(DATOS!$A11034="",0,IF(CONFIG_METADATA!$B$4&lt;&gt;"OR+EX",--(DATOS!$G11034=CONFIG_METADATA!$B$4),IF(DATOS!$G11034="EX",1,IF(DATOS!$G11034="OR",--(COUNTIFS(nNIA,DATOS!$A11034,nCURSO,DATOS!$D11034,nESPEC,DATOS!$E11034,nASIG,DATOS!$I11034,nEVAL,"EX")=0),0))))</f>
      </c>
      <c r="H11034">
        <f>IF(DATOS!$G11034&lt;&gt;"EX",0,--(COUNTIFS(nNIA,DATOS!$A11034,nCURSO,DATOS!$D11034,nESPEC,DATOS!$E11034,nASIG,DATOS!$I11034,nEVAL,"OR")=0))</f>
      </c>
      <c r="I11034">
        <f>IF(DATOS!$I11034="","",IFERROR(VLOOKUP(DATOS!$I11034,CONFIG_ASIGNATURAS!$B$2:$J$91,9,FALSE()),""))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IF(DATOS!$A11035="",0,IF(CONFIG_METADATA!$B$4&lt;&gt;"OR+EX",--(DATOS!$G11035=CONFIG_METADATA!$B$4),IF(DATOS!$G11035="EX",1,IF(DATOS!$G11035="OR",--(COUNTIFS(nNIA,DATOS!$A11035,nCURSO,DATOS!$D11035,nESPEC,DATOS!$E11035,nASIG,DATOS!$I11035,nEVAL,"EX")=0),0))))</f>
      </c>
      <c r="H11035">
        <f>IF(DATOS!$G11035&lt;&gt;"EX",0,--(COUNTIFS(nNIA,DATOS!$A11035,nCURSO,DATOS!$D11035,nESPEC,DATOS!$E11035,nASIG,DATOS!$I11035,nEVAL,"OR")=0))</f>
      </c>
      <c r="I11035">
        <f>IF(DATOS!$I11035="","",IFERROR(VLOOKUP(DATOS!$I11035,CONFIG_ASIGNATURAS!$B$2:$J$91,9,FALSE()),""))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IF(DATOS!$A11036="",0,IF(CONFIG_METADATA!$B$4&lt;&gt;"OR+EX",--(DATOS!$G11036=CONFIG_METADATA!$B$4),IF(DATOS!$G11036="EX",1,IF(DATOS!$G11036="OR",--(COUNTIFS(nNIA,DATOS!$A11036,nCURSO,DATOS!$D11036,nESPEC,DATOS!$E11036,nASIG,DATOS!$I11036,nEVAL,"EX")=0),0))))</f>
      </c>
      <c r="H11036">
        <f>IF(DATOS!$G11036&lt;&gt;"EX",0,--(COUNTIFS(nNIA,DATOS!$A11036,nCURSO,DATOS!$D11036,nESPEC,DATOS!$E11036,nASIG,DATOS!$I11036,nEVAL,"OR")=0))</f>
      </c>
      <c r="I11036">
        <f>IF(DATOS!$I11036="","",IFERROR(VLOOKUP(DATOS!$I11036,CONFIG_ASIGNATURAS!$B$2:$J$91,9,FALSE()),""))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IF(DATOS!$A11037="",0,IF(CONFIG_METADATA!$B$4&lt;&gt;"OR+EX",--(DATOS!$G11037=CONFIG_METADATA!$B$4),IF(DATOS!$G11037="EX",1,IF(DATOS!$G11037="OR",--(COUNTIFS(nNIA,DATOS!$A11037,nCURSO,DATOS!$D11037,nESPEC,DATOS!$E11037,nASIG,DATOS!$I11037,nEVAL,"EX")=0),0))))</f>
      </c>
      <c r="H11037">
        <f>IF(DATOS!$G11037&lt;&gt;"EX",0,--(COUNTIFS(nNIA,DATOS!$A11037,nCURSO,DATOS!$D11037,nESPEC,DATOS!$E11037,nASIG,DATOS!$I11037,nEVAL,"OR")=0))</f>
      </c>
      <c r="I11037">
        <f>IF(DATOS!$I11037="","",IFERROR(VLOOKUP(DATOS!$I11037,CONFIG_ASIGNATURAS!$B$2:$J$91,9,FALSE()),""))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IF(DATOS!$A11038="",0,IF(CONFIG_METADATA!$B$4&lt;&gt;"OR+EX",--(DATOS!$G11038=CONFIG_METADATA!$B$4),IF(DATOS!$G11038="EX",1,IF(DATOS!$G11038="OR",--(COUNTIFS(nNIA,DATOS!$A11038,nCURSO,DATOS!$D11038,nESPEC,DATOS!$E11038,nASIG,DATOS!$I11038,nEVAL,"EX")=0),0))))</f>
      </c>
      <c r="H11038">
        <f>IF(DATOS!$G11038&lt;&gt;"EX",0,--(COUNTIFS(nNIA,DATOS!$A11038,nCURSO,DATOS!$D11038,nESPEC,DATOS!$E11038,nASIG,DATOS!$I11038,nEVAL,"OR")=0))</f>
      </c>
      <c r="I11038">
        <f>IF(DATOS!$I11038="","",IFERROR(VLOOKUP(DATOS!$I11038,CONFIG_ASIGNATURAS!$B$2:$J$91,9,FALSE()),""))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IF(DATOS!$A11039="",0,IF(CONFIG_METADATA!$B$4&lt;&gt;"OR+EX",--(DATOS!$G11039=CONFIG_METADATA!$B$4),IF(DATOS!$G11039="EX",1,IF(DATOS!$G11039="OR",--(COUNTIFS(nNIA,DATOS!$A11039,nCURSO,DATOS!$D11039,nESPEC,DATOS!$E11039,nASIG,DATOS!$I11039,nEVAL,"EX")=0),0))))</f>
      </c>
      <c r="H11039">
        <f>IF(DATOS!$G11039&lt;&gt;"EX",0,--(COUNTIFS(nNIA,DATOS!$A11039,nCURSO,DATOS!$D11039,nESPEC,DATOS!$E11039,nASIG,DATOS!$I11039,nEVAL,"OR")=0))</f>
      </c>
      <c r="I11039">
        <f>IF(DATOS!$I11039="","",IFERROR(VLOOKUP(DATOS!$I11039,CONFIG_ASIGNATURAS!$B$2:$J$91,9,FALSE()),""))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IF(DATOS!$A11040="",0,IF(CONFIG_METADATA!$B$4&lt;&gt;"OR+EX",--(DATOS!$G11040=CONFIG_METADATA!$B$4),IF(DATOS!$G11040="EX",1,IF(DATOS!$G11040="OR",--(COUNTIFS(nNIA,DATOS!$A11040,nCURSO,DATOS!$D11040,nESPEC,DATOS!$E11040,nASIG,DATOS!$I11040,nEVAL,"EX")=0),0))))</f>
      </c>
      <c r="H11040">
        <f>IF(DATOS!$G11040&lt;&gt;"EX",0,--(COUNTIFS(nNIA,DATOS!$A11040,nCURSO,DATOS!$D11040,nESPEC,DATOS!$E11040,nASIG,DATOS!$I11040,nEVAL,"OR")=0))</f>
      </c>
      <c r="I11040">
        <f>IF(DATOS!$I11040="","",IFERROR(VLOOKUP(DATOS!$I11040,CONFIG_ASIGNATURAS!$B$2:$J$91,9,FALSE()),""))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IF(DATOS!$A11041="",0,IF(CONFIG_METADATA!$B$4&lt;&gt;"OR+EX",--(DATOS!$G11041=CONFIG_METADATA!$B$4),IF(DATOS!$G11041="EX",1,IF(DATOS!$G11041="OR",--(COUNTIFS(nNIA,DATOS!$A11041,nCURSO,DATOS!$D11041,nESPEC,DATOS!$E11041,nASIG,DATOS!$I11041,nEVAL,"EX")=0),0))))</f>
      </c>
      <c r="H11041">
        <f>IF(DATOS!$G11041&lt;&gt;"EX",0,--(COUNTIFS(nNIA,DATOS!$A11041,nCURSO,DATOS!$D11041,nESPEC,DATOS!$E11041,nASIG,DATOS!$I11041,nEVAL,"OR")=0))</f>
      </c>
      <c r="I11041">
        <f>IF(DATOS!$I11041="","",IFERROR(VLOOKUP(DATOS!$I11041,CONFIG_ASIGNATURAS!$B$2:$J$91,9,FALSE()),""))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IF(DATOS!$A11042="",0,IF(CONFIG_METADATA!$B$4&lt;&gt;"OR+EX",--(DATOS!$G11042=CONFIG_METADATA!$B$4),IF(DATOS!$G11042="EX",1,IF(DATOS!$G11042="OR",--(COUNTIFS(nNIA,DATOS!$A11042,nCURSO,DATOS!$D11042,nESPEC,DATOS!$E11042,nASIG,DATOS!$I11042,nEVAL,"EX")=0),0))))</f>
      </c>
      <c r="H11042">
        <f>IF(DATOS!$G11042&lt;&gt;"EX",0,--(COUNTIFS(nNIA,DATOS!$A11042,nCURSO,DATOS!$D11042,nESPEC,DATOS!$E11042,nASIG,DATOS!$I11042,nEVAL,"OR")=0))</f>
      </c>
      <c r="I11042">
        <f>IF(DATOS!$I11042="","",IFERROR(VLOOKUP(DATOS!$I11042,CONFIG_ASIGNATURAS!$B$2:$J$91,9,FALSE()),""))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IF(DATOS!$A11043="",0,IF(CONFIG_METADATA!$B$4&lt;&gt;"OR+EX",--(DATOS!$G11043=CONFIG_METADATA!$B$4),IF(DATOS!$G11043="EX",1,IF(DATOS!$G11043="OR",--(COUNTIFS(nNIA,DATOS!$A11043,nCURSO,DATOS!$D11043,nESPEC,DATOS!$E11043,nASIG,DATOS!$I11043,nEVAL,"EX")=0),0))))</f>
      </c>
      <c r="H11043">
        <f>IF(DATOS!$G11043&lt;&gt;"EX",0,--(COUNTIFS(nNIA,DATOS!$A11043,nCURSO,DATOS!$D11043,nESPEC,DATOS!$E11043,nASIG,DATOS!$I11043,nEVAL,"OR")=0))</f>
      </c>
      <c r="I11043">
        <f>IF(DATOS!$I11043="","",IFERROR(VLOOKUP(DATOS!$I11043,CONFIG_ASIGNATURAS!$B$2:$J$91,9,FALSE()),""))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IF(DATOS!$A11044="",0,IF(CONFIG_METADATA!$B$4&lt;&gt;"OR+EX",--(DATOS!$G11044=CONFIG_METADATA!$B$4),IF(DATOS!$G11044="EX",1,IF(DATOS!$G11044="OR",--(COUNTIFS(nNIA,DATOS!$A11044,nCURSO,DATOS!$D11044,nESPEC,DATOS!$E11044,nASIG,DATOS!$I11044,nEVAL,"EX")=0),0))))</f>
      </c>
      <c r="H11044">
        <f>IF(DATOS!$G11044&lt;&gt;"EX",0,--(COUNTIFS(nNIA,DATOS!$A11044,nCURSO,DATOS!$D11044,nESPEC,DATOS!$E11044,nASIG,DATOS!$I11044,nEVAL,"OR")=0))</f>
      </c>
      <c r="I11044">
        <f>IF(DATOS!$I11044="","",IFERROR(VLOOKUP(DATOS!$I11044,CONFIG_ASIGNATURAS!$B$2:$J$91,9,FALSE()),""))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IF(DATOS!$A11045="",0,IF(CONFIG_METADATA!$B$4&lt;&gt;"OR+EX",--(DATOS!$G11045=CONFIG_METADATA!$B$4),IF(DATOS!$G11045="EX",1,IF(DATOS!$G11045="OR",--(COUNTIFS(nNIA,DATOS!$A11045,nCURSO,DATOS!$D11045,nESPEC,DATOS!$E11045,nASIG,DATOS!$I11045,nEVAL,"EX")=0),0))))</f>
      </c>
      <c r="H11045">
        <f>IF(DATOS!$G11045&lt;&gt;"EX",0,--(COUNTIFS(nNIA,DATOS!$A11045,nCURSO,DATOS!$D11045,nESPEC,DATOS!$E11045,nASIG,DATOS!$I11045,nEVAL,"OR")=0))</f>
      </c>
      <c r="I11045">
        <f>IF(DATOS!$I11045="","",IFERROR(VLOOKUP(DATOS!$I11045,CONFIG_ASIGNATURAS!$B$2:$J$91,9,FALSE()),""))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IF(DATOS!$A11046="",0,IF(CONFIG_METADATA!$B$4&lt;&gt;"OR+EX",--(DATOS!$G11046=CONFIG_METADATA!$B$4),IF(DATOS!$G11046="EX",1,IF(DATOS!$G11046="OR",--(COUNTIFS(nNIA,DATOS!$A11046,nCURSO,DATOS!$D11046,nESPEC,DATOS!$E11046,nASIG,DATOS!$I11046,nEVAL,"EX")=0),0))))</f>
      </c>
      <c r="H11046">
        <f>IF(DATOS!$G11046&lt;&gt;"EX",0,--(COUNTIFS(nNIA,DATOS!$A11046,nCURSO,DATOS!$D11046,nESPEC,DATOS!$E11046,nASIG,DATOS!$I11046,nEVAL,"OR")=0))</f>
      </c>
      <c r="I11046">
        <f>IF(DATOS!$I11046="","",IFERROR(VLOOKUP(DATOS!$I11046,CONFIG_ASIGNATURAS!$B$2:$J$91,9,FALSE()),""))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IF(DATOS!$A11047="",0,IF(CONFIG_METADATA!$B$4&lt;&gt;"OR+EX",--(DATOS!$G11047=CONFIG_METADATA!$B$4),IF(DATOS!$G11047="EX",1,IF(DATOS!$G11047="OR",--(COUNTIFS(nNIA,DATOS!$A11047,nCURSO,DATOS!$D11047,nESPEC,DATOS!$E11047,nASIG,DATOS!$I11047,nEVAL,"EX")=0),0))))</f>
      </c>
      <c r="H11047">
        <f>IF(DATOS!$G11047&lt;&gt;"EX",0,--(COUNTIFS(nNIA,DATOS!$A11047,nCURSO,DATOS!$D11047,nESPEC,DATOS!$E11047,nASIG,DATOS!$I11047,nEVAL,"OR")=0))</f>
      </c>
      <c r="I11047">
        <f>IF(DATOS!$I11047="","",IFERROR(VLOOKUP(DATOS!$I11047,CONFIG_ASIGNATURAS!$B$2:$J$91,9,FALSE()),""))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IF(DATOS!$A11048="",0,IF(CONFIG_METADATA!$B$4&lt;&gt;"OR+EX",--(DATOS!$G11048=CONFIG_METADATA!$B$4),IF(DATOS!$G11048="EX",1,IF(DATOS!$G11048="OR",--(COUNTIFS(nNIA,DATOS!$A11048,nCURSO,DATOS!$D11048,nESPEC,DATOS!$E11048,nASIG,DATOS!$I11048,nEVAL,"EX")=0),0))))</f>
      </c>
      <c r="H11048">
        <f>IF(DATOS!$G11048&lt;&gt;"EX",0,--(COUNTIFS(nNIA,DATOS!$A11048,nCURSO,DATOS!$D11048,nESPEC,DATOS!$E11048,nASIG,DATOS!$I11048,nEVAL,"OR")=0))</f>
      </c>
      <c r="I11048">
        <f>IF(DATOS!$I11048="","",IFERROR(VLOOKUP(DATOS!$I11048,CONFIG_ASIGNATURAS!$B$2:$J$91,9,FALSE()),""))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IF(DATOS!$A11049="",0,IF(CONFIG_METADATA!$B$4&lt;&gt;"OR+EX",--(DATOS!$G11049=CONFIG_METADATA!$B$4),IF(DATOS!$G11049="EX",1,IF(DATOS!$G11049="OR",--(COUNTIFS(nNIA,DATOS!$A11049,nCURSO,DATOS!$D11049,nESPEC,DATOS!$E11049,nASIG,DATOS!$I11049,nEVAL,"EX")=0),0))))</f>
      </c>
      <c r="H11049">
        <f>IF(DATOS!$G11049&lt;&gt;"EX",0,--(COUNTIFS(nNIA,DATOS!$A11049,nCURSO,DATOS!$D11049,nESPEC,DATOS!$E11049,nASIG,DATOS!$I11049,nEVAL,"OR")=0))</f>
      </c>
      <c r="I11049">
        <f>IF(DATOS!$I11049="","",IFERROR(VLOOKUP(DATOS!$I11049,CONFIG_ASIGNATURAS!$B$2:$J$91,9,FALSE()),""))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IF(DATOS!$A11050="",0,IF(CONFIG_METADATA!$B$4&lt;&gt;"OR+EX",--(DATOS!$G11050=CONFIG_METADATA!$B$4),IF(DATOS!$G11050="EX",1,IF(DATOS!$G11050="OR",--(COUNTIFS(nNIA,DATOS!$A11050,nCURSO,DATOS!$D11050,nESPEC,DATOS!$E11050,nASIG,DATOS!$I11050,nEVAL,"EX")=0),0))))</f>
      </c>
      <c r="H11050">
        <f>IF(DATOS!$G11050&lt;&gt;"EX",0,--(COUNTIFS(nNIA,DATOS!$A11050,nCURSO,DATOS!$D11050,nESPEC,DATOS!$E11050,nASIG,DATOS!$I11050,nEVAL,"OR")=0))</f>
      </c>
      <c r="I11050">
        <f>IF(DATOS!$I11050="","",IFERROR(VLOOKUP(DATOS!$I11050,CONFIG_ASIGNATURAS!$B$2:$J$91,9,FALSE()),""))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IF(DATOS!$A11051="",0,IF(CONFIG_METADATA!$B$4&lt;&gt;"OR+EX",--(DATOS!$G11051=CONFIG_METADATA!$B$4),IF(DATOS!$G11051="EX",1,IF(DATOS!$G11051="OR",--(COUNTIFS(nNIA,DATOS!$A11051,nCURSO,DATOS!$D11051,nESPEC,DATOS!$E11051,nASIG,DATOS!$I11051,nEVAL,"EX")=0),0))))</f>
      </c>
      <c r="H11051">
        <f>IF(DATOS!$G11051&lt;&gt;"EX",0,--(COUNTIFS(nNIA,DATOS!$A11051,nCURSO,DATOS!$D11051,nESPEC,DATOS!$E11051,nASIG,DATOS!$I11051,nEVAL,"OR")=0))</f>
      </c>
      <c r="I11051">
        <f>IF(DATOS!$I11051="","",IFERROR(VLOOKUP(DATOS!$I11051,CONFIG_ASIGNATURAS!$B$2:$J$91,9,FALSE()),""))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IF(DATOS!$A11052="",0,IF(CONFIG_METADATA!$B$4&lt;&gt;"OR+EX",--(DATOS!$G11052=CONFIG_METADATA!$B$4),IF(DATOS!$G11052="EX",1,IF(DATOS!$G11052="OR",--(COUNTIFS(nNIA,DATOS!$A11052,nCURSO,DATOS!$D11052,nESPEC,DATOS!$E11052,nASIG,DATOS!$I11052,nEVAL,"EX")=0),0))))</f>
      </c>
      <c r="H11052">
        <f>IF(DATOS!$G11052&lt;&gt;"EX",0,--(COUNTIFS(nNIA,DATOS!$A11052,nCURSO,DATOS!$D11052,nESPEC,DATOS!$E11052,nASIG,DATOS!$I11052,nEVAL,"OR")=0))</f>
      </c>
      <c r="I11052">
        <f>IF(DATOS!$I11052="","",IFERROR(VLOOKUP(DATOS!$I11052,CONFIG_ASIGNATURAS!$B$2:$J$91,9,FALSE()),""))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IF(DATOS!$A11053="",0,IF(CONFIG_METADATA!$B$4&lt;&gt;"OR+EX",--(DATOS!$G11053=CONFIG_METADATA!$B$4),IF(DATOS!$G11053="EX",1,IF(DATOS!$G11053="OR",--(COUNTIFS(nNIA,DATOS!$A11053,nCURSO,DATOS!$D11053,nESPEC,DATOS!$E11053,nASIG,DATOS!$I11053,nEVAL,"EX")=0),0))))</f>
      </c>
      <c r="H11053">
        <f>IF(DATOS!$G11053&lt;&gt;"EX",0,--(COUNTIFS(nNIA,DATOS!$A11053,nCURSO,DATOS!$D11053,nESPEC,DATOS!$E11053,nASIG,DATOS!$I11053,nEVAL,"OR")=0))</f>
      </c>
      <c r="I11053">
        <f>IF(DATOS!$I11053="","",IFERROR(VLOOKUP(DATOS!$I11053,CONFIG_ASIGNATURAS!$B$2:$J$91,9,FALSE()),""))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IF(DATOS!$A11054="",0,IF(CONFIG_METADATA!$B$4&lt;&gt;"OR+EX",--(DATOS!$G11054=CONFIG_METADATA!$B$4),IF(DATOS!$G11054="EX",1,IF(DATOS!$G11054="OR",--(COUNTIFS(nNIA,DATOS!$A11054,nCURSO,DATOS!$D11054,nESPEC,DATOS!$E11054,nASIG,DATOS!$I11054,nEVAL,"EX")=0),0))))</f>
      </c>
      <c r="H11054">
        <f>IF(DATOS!$G11054&lt;&gt;"EX",0,--(COUNTIFS(nNIA,DATOS!$A11054,nCURSO,DATOS!$D11054,nESPEC,DATOS!$E11054,nASIG,DATOS!$I11054,nEVAL,"OR")=0))</f>
      </c>
      <c r="I11054">
        <f>IF(DATOS!$I11054="","",IFERROR(VLOOKUP(DATOS!$I11054,CONFIG_ASIGNATURAS!$B$2:$J$91,9,FALSE()),""))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IF(DATOS!$A11055="",0,IF(CONFIG_METADATA!$B$4&lt;&gt;"OR+EX",--(DATOS!$G11055=CONFIG_METADATA!$B$4),IF(DATOS!$G11055="EX",1,IF(DATOS!$G11055="OR",--(COUNTIFS(nNIA,DATOS!$A11055,nCURSO,DATOS!$D11055,nESPEC,DATOS!$E11055,nASIG,DATOS!$I11055,nEVAL,"EX")=0),0))))</f>
      </c>
      <c r="H11055">
        <f>IF(DATOS!$G11055&lt;&gt;"EX",0,--(COUNTIFS(nNIA,DATOS!$A11055,nCURSO,DATOS!$D11055,nESPEC,DATOS!$E11055,nASIG,DATOS!$I11055,nEVAL,"OR")=0))</f>
      </c>
      <c r="I11055">
        <f>IF(DATOS!$I11055="","",IFERROR(VLOOKUP(DATOS!$I11055,CONFIG_ASIGNATURAS!$B$2:$J$91,9,FALSE()),""))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IF(DATOS!$A11056="",0,IF(CONFIG_METADATA!$B$4&lt;&gt;"OR+EX",--(DATOS!$G11056=CONFIG_METADATA!$B$4),IF(DATOS!$G11056="EX",1,IF(DATOS!$G11056="OR",--(COUNTIFS(nNIA,DATOS!$A11056,nCURSO,DATOS!$D11056,nESPEC,DATOS!$E11056,nASIG,DATOS!$I11056,nEVAL,"EX")=0),0))))</f>
      </c>
      <c r="H11056">
        <f>IF(DATOS!$G11056&lt;&gt;"EX",0,--(COUNTIFS(nNIA,DATOS!$A11056,nCURSO,DATOS!$D11056,nESPEC,DATOS!$E11056,nASIG,DATOS!$I11056,nEVAL,"OR")=0))</f>
      </c>
      <c r="I11056">
        <f>IF(DATOS!$I11056="","",IFERROR(VLOOKUP(DATOS!$I11056,CONFIG_ASIGNATURAS!$B$2:$J$91,9,FALSE()),""))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IF(DATOS!$A11057="",0,IF(CONFIG_METADATA!$B$4&lt;&gt;"OR+EX",--(DATOS!$G11057=CONFIG_METADATA!$B$4),IF(DATOS!$G11057="EX",1,IF(DATOS!$G11057="OR",--(COUNTIFS(nNIA,DATOS!$A11057,nCURSO,DATOS!$D11057,nESPEC,DATOS!$E11057,nASIG,DATOS!$I11057,nEVAL,"EX")=0),0))))</f>
      </c>
      <c r="H11057">
        <f>IF(DATOS!$G11057&lt;&gt;"EX",0,--(COUNTIFS(nNIA,DATOS!$A11057,nCURSO,DATOS!$D11057,nESPEC,DATOS!$E11057,nASIG,DATOS!$I11057,nEVAL,"OR")=0))</f>
      </c>
      <c r="I11057">
        <f>IF(DATOS!$I11057="","",IFERROR(VLOOKUP(DATOS!$I11057,CONFIG_ASIGNATURAS!$B$2:$J$91,9,FALSE()),""))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IF(DATOS!$A11058="",0,IF(CONFIG_METADATA!$B$4&lt;&gt;"OR+EX",--(DATOS!$G11058=CONFIG_METADATA!$B$4),IF(DATOS!$G11058="EX",1,IF(DATOS!$G11058="OR",--(COUNTIFS(nNIA,DATOS!$A11058,nCURSO,DATOS!$D11058,nESPEC,DATOS!$E11058,nASIG,DATOS!$I11058,nEVAL,"EX")=0),0))))</f>
      </c>
      <c r="H11058">
        <f>IF(DATOS!$G11058&lt;&gt;"EX",0,--(COUNTIFS(nNIA,DATOS!$A11058,nCURSO,DATOS!$D11058,nESPEC,DATOS!$E11058,nASIG,DATOS!$I11058,nEVAL,"OR")=0))</f>
      </c>
      <c r="I11058">
        <f>IF(DATOS!$I11058="","",IFERROR(VLOOKUP(DATOS!$I11058,CONFIG_ASIGNATURAS!$B$2:$J$91,9,FALSE()),""))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IF(DATOS!$A11059="",0,IF(CONFIG_METADATA!$B$4&lt;&gt;"OR+EX",--(DATOS!$G11059=CONFIG_METADATA!$B$4),IF(DATOS!$G11059="EX",1,IF(DATOS!$G11059="OR",--(COUNTIFS(nNIA,DATOS!$A11059,nCURSO,DATOS!$D11059,nESPEC,DATOS!$E11059,nASIG,DATOS!$I11059,nEVAL,"EX")=0),0))))</f>
      </c>
      <c r="H11059">
        <f>IF(DATOS!$G11059&lt;&gt;"EX",0,--(COUNTIFS(nNIA,DATOS!$A11059,nCURSO,DATOS!$D11059,nESPEC,DATOS!$E11059,nASIG,DATOS!$I11059,nEVAL,"OR")=0))</f>
      </c>
      <c r="I11059">
        <f>IF(DATOS!$I11059="","",IFERROR(VLOOKUP(DATOS!$I11059,CONFIG_ASIGNATURAS!$B$2:$J$91,9,FALSE()),""))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IF(DATOS!$A11060="",0,IF(CONFIG_METADATA!$B$4&lt;&gt;"OR+EX",--(DATOS!$G11060=CONFIG_METADATA!$B$4),IF(DATOS!$G11060="EX",1,IF(DATOS!$G11060="OR",--(COUNTIFS(nNIA,DATOS!$A11060,nCURSO,DATOS!$D11060,nESPEC,DATOS!$E11060,nASIG,DATOS!$I11060,nEVAL,"EX")=0),0))))</f>
      </c>
      <c r="H11060">
        <f>IF(DATOS!$G11060&lt;&gt;"EX",0,--(COUNTIFS(nNIA,DATOS!$A11060,nCURSO,DATOS!$D11060,nESPEC,DATOS!$E11060,nASIG,DATOS!$I11060,nEVAL,"OR")=0))</f>
      </c>
      <c r="I11060">
        <f>IF(DATOS!$I11060="","",IFERROR(VLOOKUP(DATOS!$I11060,CONFIG_ASIGNATURAS!$B$2:$J$91,9,FALSE()),""))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IF(DATOS!$A11061="",0,IF(CONFIG_METADATA!$B$4&lt;&gt;"OR+EX",--(DATOS!$G11061=CONFIG_METADATA!$B$4),IF(DATOS!$G11061="EX",1,IF(DATOS!$G11061="OR",--(COUNTIFS(nNIA,DATOS!$A11061,nCURSO,DATOS!$D11061,nESPEC,DATOS!$E11061,nASIG,DATOS!$I11061,nEVAL,"EX")=0),0))))</f>
      </c>
      <c r="H11061">
        <f>IF(DATOS!$G11061&lt;&gt;"EX",0,--(COUNTIFS(nNIA,DATOS!$A11061,nCURSO,DATOS!$D11061,nESPEC,DATOS!$E11061,nASIG,DATOS!$I11061,nEVAL,"OR")=0))</f>
      </c>
      <c r="I11061">
        <f>IF(DATOS!$I11061="","",IFERROR(VLOOKUP(DATOS!$I11061,CONFIG_ASIGNATURAS!$B$2:$J$91,9,FALSE()),""))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IF(DATOS!$A11062="",0,IF(CONFIG_METADATA!$B$4&lt;&gt;"OR+EX",--(DATOS!$G11062=CONFIG_METADATA!$B$4),IF(DATOS!$G11062="EX",1,IF(DATOS!$G11062="OR",--(COUNTIFS(nNIA,DATOS!$A11062,nCURSO,DATOS!$D11062,nESPEC,DATOS!$E11062,nASIG,DATOS!$I11062,nEVAL,"EX")=0),0))))</f>
      </c>
      <c r="H11062">
        <f>IF(DATOS!$G11062&lt;&gt;"EX",0,--(COUNTIFS(nNIA,DATOS!$A11062,nCURSO,DATOS!$D11062,nESPEC,DATOS!$E11062,nASIG,DATOS!$I11062,nEVAL,"OR")=0))</f>
      </c>
      <c r="I11062">
        <f>IF(DATOS!$I11062="","",IFERROR(VLOOKUP(DATOS!$I11062,CONFIG_ASIGNATURAS!$B$2:$J$91,9,FALSE()),""))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IF(DATOS!$A11063="",0,IF(CONFIG_METADATA!$B$4&lt;&gt;"OR+EX",--(DATOS!$G11063=CONFIG_METADATA!$B$4),IF(DATOS!$G11063="EX",1,IF(DATOS!$G11063="OR",--(COUNTIFS(nNIA,DATOS!$A11063,nCURSO,DATOS!$D11063,nESPEC,DATOS!$E11063,nASIG,DATOS!$I11063,nEVAL,"EX")=0),0))))</f>
      </c>
      <c r="H11063">
        <f>IF(DATOS!$G11063&lt;&gt;"EX",0,--(COUNTIFS(nNIA,DATOS!$A11063,nCURSO,DATOS!$D11063,nESPEC,DATOS!$E11063,nASIG,DATOS!$I11063,nEVAL,"OR")=0))</f>
      </c>
      <c r="I11063">
        <f>IF(DATOS!$I11063="","",IFERROR(VLOOKUP(DATOS!$I11063,CONFIG_ASIGNATURAS!$B$2:$J$91,9,FALSE()),""))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IF(DATOS!$A11064="",0,IF(CONFIG_METADATA!$B$4&lt;&gt;"OR+EX",--(DATOS!$G11064=CONFIG_METADATA!$B$4),IF(DATOS!$G11064="EX",1,IF(DATOS!$G11064="OR",--(COUNTIFS(nNIA,DATOS!$A11064,nCURSO,DATOS!$D11064,nESPEC,DATOS!$E11064,nASIG,DATOS!$I11064,nEVAL,"EX")=0),0))))</f>
      </c>
      <c r="H11064">
        <f>IF(DATOS!$G11064&lt;&gt;"EX",0,--(COUNTIFS(nNIA,DATOS!$A11064,nCURSO,DATOS!$D11064,nESPEC,DATOS!$E11064,nASIG,DATOS!$I11064,nEVAL,"OR")=0))</f>
      </c>
      <c r="I11064">
        <f>IF(DATOS!$I11064="","",IFERROR(VLOOKUP(DATOS!$I11064,CONFIG_ASIGNATURAS!$B$2:$J$91,9,FALSE()),""))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IF(DATOS!$A11065="",0,IF(CONFIG_METADATA!$B$4&lt;&gt;"OR+EX",--(DATOS!$G11065=CONFIG_METADATA!$B$4),IF(DATOS!$G11065="EX",1,IF(DATOS!$G11065="OR",--(COUNTIFS(nNIA,DATOS!$A11065,nCURSO,DATOS!$D11065,nESPEC,DATOS!$E11065,nASIG,DATOS!$I11065,nEVAL,"EX")=0),0))))</f>
      </c>
      <c r="H11065">
        <f>IF(DATOS!$G11065&lt;&gt;"EX",0,--(COUNTIFS(nNIA,DATOS!$A11065,nCURSO,DATOS!$D11065,nESPEC,DATOS!$E11065,nASIG,DATOS!$I11065,nEVAL,"OR")=0))</f>
      </c>
      <c r="I11065">
        <f>IF(DATOS!$I11065="","",IFERROR(VLOOKUP(DATOS!$I11065,CONFIG_ASIGNATURAS!$B$2:$J$91,9,FALSE()),""))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IF(DATOS!$A11066="",0,IF(CONFIG_METADATA!$B$4&lt;&gt;"OR+EX",--(DATOS!$G11066=CONFIG_METADATA!$B$4),IF(DATOS!$G11066="EX",1,IF(DATOS!$G11066="OR",--(COUNTIFS(nNIA,DATOS!$A11066,nCURSO,DATOS!$D11066,nESPEC,DATOS!$E11066,nASIG,DATOS!$I11066,nEVAL,"EX")=0),0))))</f>
      </c>
      <c r="H11066">
        <f>IF(DATOS!$G11066&lt;&gt;"EX",0,--(COUNTIFS(nNIA,DATOS!$A11066,nCURSO,DATOS!$D11066,nESPEC,DATOS!$E11066,nASIG,DATOS!$I11066,nEVAL,"OR")=0))</f>
      </c>
      <c r="I11066">
        <f>IF(DATOS!$I11066="","",IFERROR(VLOOKUP(DATOS!$I11066,CONFIG_ASIGNATURAS!$B$2:$J$91,9,FALSE()),""))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IF(DATOS!$A11067="",0,IF(CONFIG_METADATA!$B$4&lt;&gt;"OR+EX",--(DATOS!$G11067=CONFIG_METADATA!$B$4),IF(DATOS!$G11067="EX",1,IF(DATOS!$G11067="OR",--(COUNTIFS(nNIA,DATOS!$A11067,nCURSO,DATOS!$D11067,nESPEC,DATOS!$E11067,nASIG,DATOS!$I11067,nEVAL,"EX")=0),0))))</f>
      </c>
      <c r="H11067">
        <f>IF(DATOS!$G11067&lt;&gt;"EX",0,--(COUNTIFS(nNIA,DATOS!$A11067,nCURSO,DATOS!$D11067,nESPEC,DATOS!$E11067,nASIG,DATOS!$I11067,nEVAL,"OR")=0))</f>
      </c>
      <c r="I11067">
        <f>IF(DATOS!$I11067="","",IFERROR(VLOOKUP(DATOS!$I11067,CONFIG_ASIGNATURAS!$B$2:$J$91,9,FALSE()),""))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IF(DATOS!$A11068="",0,IF(CONFIG_METADATA!$B$4&lt;&gt;"OR+EX",--(DATOS!$G11068=CONFIG_METADATA!$B$4),IF(DATOS!$G11068="EX",1,IF(DATOS!$G11068="OR",--(COUNTIFS(nNIA,DATOS!$A11068,nCURSO,DATOS!$D11068,nESPEC,DATOS!$E11068,nASIG,DATOS!$I11068,nEVAL,"EX")=0),0))))</f>
      </c>
      <c r="H11068">
        <f>IF(DATOS!$G11068&lt;&gt;"EX",0,--(COUNTIFS(nNIA,DATOS!$A11068,nCURSO,DATOS!$D11068,nESPEC,DATOS!$E11068,nASIG,DATOS!$I11068,nEVAL,"OR")=0))</f>
      </c>
      <c r="I11068">
        <f>IF(DATOS!$I11068="","",IFERROR(VLOOKUP(DATOS!$I11068,CONFIG_ASIGNATURAS!$B$2:$J$91,9,FALSE()),""))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IF(DATOS!$A11069="",0,IF(CONFIG_METADATA!$B$4&lt;&gt;"OR+EX",--(DATOS!$G11069=CONFIG_METADATA!$B$4),IF(DATOS!$G11069="EX",1,IF(DATOS!$G11069="OR",--(COUNTIFS(nNIA,DATOS!$A11069,nCURSO,DATOS!$D11069,nESPEC,DATOS!$E11069,nASIG,DATOS!$I11069,nEVAL,"EX")=0),0))))</f>
      </c>
      <c r="H11069">
        <f>IF(DATOS!$G11069&lt;&gt;"EX",0,--(COUNTIFS(nNIA,DATOS!$A11069,nCURSO,DATOS!$D11069,nESPEC,DATOS!$E11069,nASIG,DATOS!$I11069,nEVAL,"OR")=0))</f>
      </c>
      <c r="I11069">
        <f>IF(DATOS!$I11069="","",IFERROR(VLOOKUP(DATOS!$I11069,CONFIG_ASIGNATURAS!$B$2:$J$91,9,FALSE()),""))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IF(DATOS!$A11070="",0,IF(CONFIG_METADATA!$B$4&lt;&gt;"OR+EX",--(DATOS!$G11070=CONFIG_METADATA!$B$4),IF(DATOS!$G11070="EX",1,IF(DATOS!$G11070="OR",--(COUNTIFS(nNIA,DATOS!$A11070,nCURSO,DATOS!$D11070,nESPEC,DATOS!$E11070,nASIG,DATOS!$I11070,nEVAL,"EX")=0),0))))</f>
      </c>
      <c r="H11070">
        <f>IF(DATOS!$G11070&lt;&gt;"EX",0,--(COUNTIFS(nNIA,DATOS!$A11070,nCURSO,DATOS!$D11070,nESPEC,DATOS!$E11070,nASIG,DATOS!$I11070,nEVAL,"OR")=0))</f>
      </c>
      <c r="I11070">
        <f>IF(DATOS!$I11070="","",IFERROR(VLOOKUP(DATOS!$I11070,CONFIG_ASIGNATURAS!$B$2:$J$91,9,FALSE()),""))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IF(DATOS!$A11071="",0,IF(CONFIG_METADATA!$B$4&lt;&gt;"OR+EX",--(DATOS!$G11071=CONFIG_METADATA!$B$4),IF(DATOS!$G11071="EX",1,IF(DATOS!$G11071="OR",--(COUNTIFS(nNIA,DATOS!$A11071,nCURSO,DATOS!$D11071,nESPEC,DATOS!$E11071,nASIG,DATOS!$I11071,nEVAL,"EX")=0),0))))</f>
      </c>
      <c r="H11071">
        <f>IF(DATOS!$G11071&lt;&gt;"EX",0,--(COUNTIFS(nNIA,DATOS!$A11071,nCURSO,DATOS!$D11071,nESPEC,DATOS!$E11071,nASIG,DATOS!$I11071,nEVAL,"OR")=0))</f>
      </c>
      <c r="I11071">
        <f>IF(DATOS!$I11071="","",IFERROR(VLOOKUP(DATOS!$I11071,CONFIG_ASIGNATURAS!$B$2:$J$91,9,FALSE()),""))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IF(DATOS!$A11072="",0,IF(CONFIG_METADATA!$B$4&lt;&gt;"OR+EX",--(DATOS!$G11072=CONFIG_METADATA!$B$4),IF(DATOS!$G11072="EX",1,IF(DATOS!$G11072="OR",--(COUNTIFS(nNIA,DATOS!$A11072,nCURSO,DATOS!$D11072,nESPEC,DATOS!$E11072,nASIG,DATOS!$I11072,nEVAL,"EX")=0),0))))</f>
      </c>
      <c r="H11072">
        <f>IF(DATOS!$G11072&lt;&gt;"EX",0,--(COUNTIFS(nNIA,DATOS!$A11072,nCURSO,DATOS!$D11072,nESPEC,DATOS!$E11072,nASIG,DATOS!$I11072,nEVAL,"OR")=0))</f>
      </c>
      <c r="I11072">
        <f>IF(DATOS!$I11072="","",IFERROR(VLOOKUP(DATOS!$I11072,CONFIG_ASIGNATURAS!$B$2:$J$91,9,FALSE()),""))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IF(DATOS!$A11073="",0,IF(CONFIG_METADATA!$B$4&lt;&gt;"OR+EX",--(DATOS!$G11073=CONFIG_METADATA!$B$4),IF(DATOS!$G11073="EX",1,IF(DATOS!$G11073="OR",--(COUNTIFS(nNIA,DATOS!$A11073,nCURSO,DATOS!$D11073,nESPEC,DATOS!$E11073,nASIG,DATOS!$I11073,nEVAL,"EX")=0),0))))</f>
      </c>
      <c r="H11073">
        <f>IF(DATOS!$G11073&lt;&gt;"EX",0,--(COUNTIFS(nNIA,DATOS!$A11073,nCURSO,DATOS!$D11073,nESPEC,DATOS!$E11073,nASIG,DATOS!$I11073,nEVAL,"OR")=0))</f>
      </c>
      <c r="I11073">
        <f>IF(DATOS!$I11073="","",IFERROR(VLOOKUP(DATOS!$I11073,CONFIG_ASIGNATURAS!$B$2:$J$91,9,FALSE()),""))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IF(DATOS!$A11074="",0,IF(CONFIG_METADATA!$B$4&lt;&gt;"OR+EX",--(DATOS!$G11074=CONFIG_METADATA!$B$4),IF(DATOS!$G11074="EX",1,IF(DATOS!$G11074="OR",--(COUNTIFS(nNIA,DATOS!$A11074,nCURSO,DATOS!$D11074,nESPEC,DATOS!$E11074,nASIG,DATOS!$I11074,nEVAL,"EX")=0),0))))</f>
      </c>
      <c r="H11074">
        <f>IF(DATOS!$G11074&lt;&gt;"EX",0,--(COUNTIFS(nNIA,DATOS!$A11074,nCURSO,DATOS!$D11074,nESPEC,DATOS!$E11074,nASIG,DATOS!$I11074,nEVAL,"OR")=0))</f>
      </c>
      <c r="I11074">
        <f>IF(DATOS!$I11074="","",IFERROR(VLOOKUP(DATOS!$I11074,CONFIG_ASIGNATURAS!$B$2:$J$91,9,FALSE()),""))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IF(DATOS!$A11075="",0,IF(CONFIG_METADATA!$B$4&lt;&gt;"OR+EX",--(DATOS!$G11075=CONFIG_METADATA!$B$4),IF(DATOS!$G11075="EX",1,IF(DATOS!$G11075="OR",--(COUNTIFS(nNIA,DATOS!$A11075,nCURSO,DATOS!$D11075,nESPEC,DATOS!$E11075,nASIG,DATOS!$I11075,nEVAL,"EX")=0),0))))</f>
      </c>
      <c r="H11075">
        <f>IF(DATOS!$G11075&lt;&gt;"EX",0,--(COUNTIFS(nNIA,DATOS!$A11075,nCURSO,DATOS!$D11075,nESPEC,DATOS!$E11075,nASIG,DATOS!$I11075,nEVAL,"OR")=0))</f>
      </c>
      <c r="I11075">
        <f>IF(DATOS!$I11075="","",IFERROR(VLOOKUP(DATOS!$I11075,CONFIG_ASIGNATURAS!$B$2:$J$91,9,FALSE()),""))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IF(DATOS!$A11076="",0,IF(CONFIG_METADATA!$B$4&lt;&gt;"OR+EX",--(DATOS!$G11076=CONFIG_METADATA!$B$4),IF(DATOS!$G11076="EX",1,IF(DATOS!$G11076="OR",--(COUNTIFS(nNIA,DATOS!$A11076,nCURSO,DATOS!$D11076,nESPEC,DATOS!$E11076,nASIG,DATOS!$I11076,nEVAL,"EX")=0),0))))</f>
      </c>
      <c r="H11076">
        <f>IF(DATOS!$G11076&lt;&gt;"EX",0,--(COUNTIFS(nNIA,DATOS!$A11076,nCURSO,DATOS!$D11076,nESPEC,DATOS!$E11076,nASIG,DATOS!$I11076,nEVAL,"OR")=0))</f>
      </c>
      <c r="I11076">
        <f>IF(DATOS!$I11076="","",IFERROR(VLOOKUP(DATOS!$I11076,CONFIG_ASIGNATURAS!$B$2:$J$91,9,FALSE()),""))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IF(DATOS!$A11077="",0,IF(CONFIG_METADATA!$B$4&lt;&gt;"OR+EX",--(DATOS!$G11077=CONFIG_METADATA!$B$4),IF(DATOS!$G11077="EX",1,IF(DATOS!$G11077="OR",--(COUNTIFS(nNIA,DATOS!$A11077,nCURSO,DATOS!$D11077,nESPEC,DATOS!$E11077,nASIG,DATOS!$I11077,nEVAL,"EX")=0),0))))</f>
      </c>
      <c r="H11077">
        <f>IF(DATOS!$G11077&lt;&gt;"EX",0,--(COUNTIFS(nNIA,DATOS!$A11077,nCURSO,DATOS!$D11077,nESPEC,DATOS!$E11077,nASIG,DATOS!$I11077,nEVAL,"OR")=0))</f>
      </c>
      <c r="I11077">
        <f>IF(DATOS!$I11077="","",IFERROR(VLOOKUP(DATOS!$I11077,CONFIG_ASIGNATURAS!$B$2:$J$91,9,FALSE()),""))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IF(DATOS!$A11078="",0,IF(CONFIG_METADATA!$B$4&lt;&gt;"OR+EX",--(DATOS!$G11078=CONFIG_METADATA!$B$4),IF(DATOS!$G11078="EX",1,IF(DATOS!$G11078="OR",--(COUNTIFS(nNIA,DATOS!$A11078,nCURSO,DATOS!$D11078,nESPEC,DATOS!$E11078,nASIG,DATOS!$I11078,nEVAL,"EX")=0),0))))</f>
      </c>
      <c r="H11078">
        <f>IF(DATOS!$G11078&lt;&gt;"EX",0,--(COUNTIFS(nNIA,DATOS!$A11078,nCURSO,DATOS!$D11078,nESPEC,DATOS!$E11078,nASIG,DATOS!$I11078,nEVAL,"OR")=0))</f>
      </c>
      <c r="I11078">
        <f>IF(DATOS!$I11078="","",IFERROR(VLOOKUP(DATOS!$I11078,CONFIG_ASIGNATURAS!$B$2:$J$91,9,FALSE()),""))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IF(DATOS!$A11079="",0,IF(CONFIG_METADATA!$B$4&lt;&gt;"OR+EX",--(DATOS!$G11079=CONFIG_METADATA!$B$4),IF(DATOS!$G11079="EX",1,IF(DATOS!$G11079="OR",--(COUNTIFS(nNIA,DATOS!$A11079,nCURSO,DATOS!$D11079,nESPEC,DATOS!$E11079,nASIG,DATOS!$I11079,nEVAL,"EX")=0),0))))</f>
      </c>
      <c r="H11079">
        <f>IF(DATOS!$G11079&lt;&gt;"EX",0,--(COUNTIFS(nNIA,DATOS!$A11079,nCURSO,DATOS!$D11079,nESPEC,DATOS!$E11079,nASIG,DATOS!$I11079,nEVAL,"OR")=0))</f>
      </c>
      <c r="I11079">
        <f>IF(DATOS!$I11079="","",IFERROR(VLOOKUP(DATOS!$I11079,CONFIG_ASIGNATURAS!$B$2:$J$91,9,FALSE()),""))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IF(DATOS!$A11080="",0,IF(CONFIG_METADATA!$B$4&lt;&gt;"OR+EX",--(DATOS!$G11080=CONFIG_METADATA!$B$4),IF(DATOS!$G11080="EX",1,IF(DATOS!$G11080="OR",--(COUNTIFS(nNIA,DATOS!$A11080,nCURSO,DATOS!$D11080,nESPEC,DATOS!$E11080,nASIG,DATOS!$I11080,nEVAL,"EX")=0),0))))</f>
      </c>
      <c r="H11080">
        <f>IF(DATOS!$G11080&lt;&gt;"EX",0,--(COUNTIFS(nNIA,DATOS!$A11080,nCURSO,DATOS!$D11080,nESPEC,DATOS!$E11080,nASIG,DATOS!$I11080,nEVAL,"OR")=0))</f>
      </c>
      <c r="I11080">
        <f>IF(DATOS!$I11080="","",IFERROR(VLOOKUP(DATOS!$I11080,CONFIG_ASIGNATURAS!$B$2:$J$91,9,FALSE()),""))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IF(DATOS!$A11081="",0,IF(CONFIG_METADATA!$B$4&lt;&gt;"OR+EX",--(DATOS!$G11081=CONFIG_METADATA!$B$4),IF(DATOS!$G11081="EX",1,IF(DATOS!$G11081="OR",--(COUNTIFS(nNIA,DATOS!$A11081,nCURSO,DATOS!$D11081,nESPEC,DATOS!$E11081,nASIG,DATOS!$I11081,nEVAL,"EX")=0),0))))</f>
      </c>
      <c r="H11081">
        <f>IF(DATOS!$G11081&lt;&gt;"EX",0,--(COUNTIFS(nNIA,DATOS!$A11081,nCURSO,DATOS!$D11081,nESPEC,DATOS!$E11081,nASIG,DATOS!$I11081,nEVAL,"OR")=0))</f>
      </c>
      <c r="I11081">
        <f>IF(DATOS!$I11081="","",IFERROR(VLOOKUP(DATOS!$I11081,CONFIG_ASIGNATURAS!$B$2:$J$91,9,FALSE()),""))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IF(DATOS!$A11082="",0,IF(CONFIG_METADATA!$B$4&lt;&gt;"OR+EX",--(DATOS!$G11082=CONFIG_METADATA!$B$4),IF(DATOS!$G11082="EX",1,IF(DATOS!$G11082="OR",--(COUNTIFS(nNIA,DATOS!$A11082,nCURSO,DATOS!$D11082,nESPEC,DATOS!$E11082,nASIG,DATOS!$I11082,nEVAL,"EX")=0),0))))</f>
      </c>
      <c r="H11082">
        <f>IF(DATOS!$G11082&lt;&gt;"EX",0,--(COUNTIFS(nNIA,DATOS!$A11082,nCURSO,DATOS!$D11082,nESPEC,DATOS!$E11082,nASIG,DATOS!$I11082,nEVAL,"OR")=0))</f>
      </c>
      <c r="I11082">
        <f>IF(DATOS!$I11082="","",IFERROR(VLOOKUP(DATOS!$I11082,CONFIG_ASIGNATURAS!$B$2:$J$91,9,FALSE()),""))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IF(DATOS!$A11083="",0,IF(CONFIG_METADATA!$B$4&lt;&gt;"OR+EX",--(DATOS!$G11083=CONFIG_METADATA!$B$4),IF(DATOS!$G11083="EX",1,IF(DATOS!$G11083="OR",--(COUNTIFS(nNIA,DATOS!$A11083,nCURSO,DATOS!$D11083,nESPEC,DATOS!$E11083,nASIG,DATOS!$I11083,nEVAL,"EX")=0),0))))</f>
      </c>
      <c r="H11083">
        <f>IF(DATOS!$G11083&lt;&gt;"EX",0,--(COUNTIFS(nNIA,DATOS!$A11083,nCURSO,DATOS!$D11083,nESPEC,DATOS!$E11083,nASIG,DATOS!$I11083,nEVAL,"OR")=0))</f>
      </c>
      <c r="I11083">
        <f>IF(DATOS!$I11083="","",IFERROR(VLOOKUP(DATOS!$I11083,CONFIG_ASIGNATURAS!$B$2:$J$91,9,FALSE()),""))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IF(DATOS!$A11084="",0,IF(CONFIG_METADATA!$B$4&lt;&gt;"OR+EX",--(DATOS!$G11084=CONFIG_METADATA!$B$4),IF(DATOS!$G11084="EX",1,IF(DATOS!$G11084="OR",--(COUNTIFS(nNIA,DATOS!$A11084,nCURSO,DATOS!$D11084,nESPEC,DATOS!$E11084,nASIG,DATOS!$I11084,nEVAL,"EX")=0),0))))</f>
      </c>
      <c r="H11084">
        <f>IF(DATOS!$G11084&lt;&gt;"EX",0,--(COUNTIFS(nNIA,DATOS!$A11084,nCURSO,DATOS!$D11084,nESPEC,DATOS!$E11084,nASIG,DATOS!$I11084,nEVAL,"OR")=0))</f>
      </c>
      <c r="I11084">
        <f>IF(DATOS!$I11084="","",IFERROR(VLOOKUP(DATOS!$I11084,CONFIG_ASIGNATURAS!$B$2:$J$91,9,FALSE()),""))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IF(DATOS!$A11085="",0,IF(CONFIG_METADATA!$B$4&lt;&gt;"OR+EX",--(DATOS!$G11085=CONFIG_METADATA!$B$4),IF(DATOS!$G11085="EX",1,IF(DATOS!$G11085="OR",--(COUNTIFS(nNIA,DATOS!$A11085,nCURSO,DATOS!$D11085,nESPEC,DATOS!$E11085,nASIG,DATOS!$I11085,nEVAL,"EX")=0),0))))</f>
      </c>
      <c r="H11085">
        <f>IF(DATOS!$G11085&lt;&gt;"EX",0,--(COUNTIFS(nNIA,DATOS!$A11085,nCURSO,DATOS!$D11085,nESPEC,DATOS!$E11085,nASIG,DATOS!$I11085,nEVAL,"OR")=0))</f>
      </c>
      <c r="I11085">
        <f>IF(DATOS!$I11085="","",IFERROR(VLOOKUP(DATOS!$I11085,CONFIG_ASIGNATURAS!$B$2:$J$91,9,FALSE()),""))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IF(DATOS!$A11086="",0,IF(CONFIG_METADATA!$B$4&lt;&gt;"OR+EX",--(DATOS!$G11086=CONFIG_METADATA!$B$4),IF(DATOS!$G11086="EX",1,IF(DATOS!$G11086="OR",--(COUNTIFS(nNIA,DATOS!$A11086,nCURSO,DATOS!$D11086,nESPEC,DATOS!$E11086,nASIG,DATOS!$I11086,nEVAL,"EX")=0),0))))</f>
      </c>
      <c r="H11086">
        <f>IF(DATOS!$G11086&lt;&gt;"EX",0,--(COUNTIFS(nNIA,DATOS!$A11086,nCURSO,DATOS!$D11086,nESPEC,DATOS!$E11086,nASIG,DATOS!$I11086,nEVAL,"OR")=0))</f>
      </c>
      <c r="I11086">
        <f>IF(DATOS!$I11086="","",IFERROR(VLOOKUP(DATOS!$I11086,CONFIG_ASIGNATURAS!$B$2:$J$91,9,FALSE()),""))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IF(DATOS!$A11087="",0,IF(CONFIG_METADATA!$B$4&lt;&gt;"OR+EX",--(DATOS!$G11087=CONFIG_METADATA!$B$4),IF(DATOS!$G11087="EX",1,IF(DATOS!$G11087="OR",--(COUNTIFS(nNIA,DATOS!$A11087,nCURSO,DATOS!$D11087,nESPEC,DATOS!$E11087,nASIG,DATOS!$I11087,nEVAL,"EX")=0),0))))</f>
      </c>
      <c r="H11087">
        <f>IF(DATOS!$G11087&lt;&gt;"EX",0,--(COUNTIFS(nNIA,DATOS!$A11087,nCURSO,DATOS!$D11087,nESPEC,DATOS!$E11087,nASIG,DATOS!$I11087,nEVAL,"OR")=0))</f>
      </c>
      <c r="I11087">
        <f>IF(DATOS!$I11087="","",IFERROR(VLOOKUP(DATOS!$I11087,CONFIG_ASIGNATURAS!$B$2:$J$91,9,FALSE()),""))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IF(DATOS!$A11088="",0,IF(CONFIG_METADATA!$B$4&lt;&gt;"OR+EX",--(DATOS!$G11088=CONFIG_METADATA!$B$4),IF(DATOS!$G11088="EX",1,IF(DATOS!$G11088="OR",--(COUNTIFS(nNIA,DATOS!$A11088,nCURSO,DATOS!$D11088,nESPEC,DATOS!$E11088,nASIG,DATOS!$I11088,nEVAL,"EX")=0),0))))</f>
      </c>
      <c r="H11088">
        <f>IF(DATOS!$G11088&lt;&gt;"EX",0,--(COUNTIFS(nNIA,DATOS!$A11088,nCURSO,DATOS!$D11088,nESPEC,DATOS!$E11088,nASIG,DATOS!$I11088,nEVAL,"OR")=0))</f>
      </c>
      <c r="I11088">
        <f>IF(DATOS!$I11088="","",IFERROR(VLOOKUP(DATOS!$I11088,CONFIG_ASIGNATURAS!$B$2:$J$91,9,FALSE()),""))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IF(DATOS!$A11089="",0,IF(CONFIG_METADATA!$B$4&lt;&gt;"OR+EX",--(DATOS!$G11089=CONFIG_METADATA!$B$4),IF(DATOS!$G11089="EX",1,IF(DATOS!$G11089="OR",--(COUNTIFS(nNIA,DATOS!$A11089,nCURSO,DATOS!$D11089,nESPEC,DATOS!$E11089,nASIG,DATOS!$I11089,nEVAL,"EX")=0),0))))</f>
      </c>
      <c r="H11089">
        <f>IF(DATOS!$G11089&lt;&gt;"EX",0,--(COUNTIFS(nNIA,DATOS!$A11089,nCURSO,DATOS!$D11089,nESPEC,DATOS!$E11089,nASIG,DATOS!$I11089,nEVAL,"OR")=0))</f>
      </c>
      <c r="I11089">
        <f>IF(DATOS!$I11089="","",IFERROR(VLOOKUP(DATOS!$I11089,CONFIG_ASIGNATURAS!$B$2:$J$91,9,FALSE()),""))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IF(DATOS!$A11090="",0,IF(CONFIG_METADATA!$B$4&lt;&gt;"OR+EX",--(DATOS!$G11090=CONFIG_METADATA!$B$4),IF(DATOS!$G11090="EX",1,IF(DATOS!$G11090="OR",--(COUNTIFS(nNIA,DATOS!$A11090,nCURSO,DATOS!$D11090,nESPEC,DATOS!$E11090,nASIG,DATOS!$I11090,nEVAL,"EX")=0),0))))</f>
      </c>
      <c r="H11090">
        <f>IF(DATOS!$G11090&lt;&gt;"EX",0,--(COUNTIFS(nNIA,DATOS!$A11090,nCURSO,DATOS!$D11090,nESPEC,DATOS!$E11090,nASIG,DATOS!$I11090,nEVAL,"OR")=0))</f>
      </c>
      <c r="I11090">
        <f>IF(DATOS!$I11090="","",IFERROR(VLOOKUP(DATOS!$I11090,CONFIG_ASIGNATURAS!$B$2:$J$91,9,FALSE()),""))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IF(DATOS!$A11091="",0,IF(CONFIG_METADATA!$B$4&lt;&gt;"OR+EX",--(DATOS!$G11091=CONFIG_METADATA!$B$4),IF(DATOS!$G11091="EX",1,IF(DATOS!$G11091="OR",--(COUNTIFS(nNIA,DATOS!$A11091,nCURSO,DATOS!$D11091,nESPEC,DATOS!$E11091,nASIG,DATOS!$I11091,nEVAL,"EX")=0),0))))</f>
      </c>
      <c r="H11091">
        <f>IF(DATOS!$G11091&lt;&gt;"EX",0,--(COUNTIFS(nNIA,DATOS!$A11091,nCURSO,DATOS!$D11091,nESPEC,DATOS!$E11091,nASIG,DATOS!$I11091,nEVAL,"OR")=0))</f>
      </c>
      <c r="I11091">
        <f>IF(DATOS!$I11091="","",IFERROR(VLOOKUP(DATOS!$I11091,CONFIG_ASIGNATURAS!$B$2:$J$91,9,FALSE()),""))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IF(DATOS!$A11092="",0,IF(CONFIG_METADATA!$B$4&lt;&gt;"OR+EX",--(DATOS!$G11092=CONFIG_METADATA!$B$4),IF(DATOS!$G11092="EX",1,IF(DATOS!$G11092="OR",--(COUNTIFS(nNIA,DATOS!$A11092,nCURSO,DATOS!$D11092,nESPEC,DATOS!$E11092,nASIG,DATOS!$I11092,nEVAL,"EX")=0),0))))</f>
      </c>
      <c r="H11092">
        <f>IF(DATOS!$G11092&lt;&gt;"EX",0,--(COUNTIFS(nNIA,DATOS!$A11092,nCURSO,DATOS!$D11092,nESPEC,DATOS!$E11092,nASIG,DATOS!$I11092,nEVAL,"OR")=0))</f>
      </c>
      <c r="I11092">
        <f>IF(DATOS!$I11092="","",IFERROR(VLOOKUP(DATOS!$I11092,CONFIG_ASIGNATURAS!$B$2:$J$91,9,FALSE()),""))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IF(DATOS!$A11093="",0,IF(CONFIG_METADATA!$B$4&lt;&gt;"OR+EX",--(DATOS!$G11093=CONFIG_METADATA!$B$4),IF(DATOS!$G11093="EX",1,IF(DATOS!$G11093="OR",--(COUNTIFS(nNIA,DATOS!$A11093,nCURSO,DATOS!$D11093,nESPEC,DATOS!$E11093,nASIG,DATOS!$I11093,nEVAL,"EX")=0),0))))</f>
      </c>
      <c r="H11093">
        <f>IF(DATOS!$G11093&lt;&gt;"EX",0,--(COUNTIFS(nNIA,DATOS!$A11093,nCURSO,DATOS!$D11093,nESPEC,DATOS!$E11093,nASIG,DATOS!$I11093,nEVAL,"OR")=0))</f>
      </c>
      <c r="I11093">
        <f>IF(DATOS!$I11093="","",IFERROR(VLOOKUP(DATOS!$I11093,CONFIG_ASIGNATURAS!$B$2:$J$91,9,FALSE()),""))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IF(DATOS!$A11094="",0,IF(CONFIG_METADATA!$B$4&lt;&gt;"OR+EX",--(DATOS!$G11094=CONFIG_METADATA!$B$4),IF(DATOS!$G11094="EX",1,IF(DATOS!$G11094="OR",--(COUNTIFS(nNIA,DATOS!$A11094,nCURSO,DATOS!$D11094,nESPEC,DATOS!$E11094,nASIG,DATOS!$I11094,nEVAL,"EX")=0),0))))</f>
      </c>
      <c r="H11094">
        <f>IF(DATOS!$G11094&lt;&gt;"EX",0,--(COUNTIFS(nNIA,DATOS!$A11094,nCURSO,DATOS!$D11094,nESPEC,DATOS!$E11094,nASIG,DATOS!$I11094,nEVAL,"OR")=0))</f>
      </c>
      <c r="I11094">
        <f>IF(DATOS!$I11094="","",IFERROR(VLOOKUP(DATOS!$I11094,CONFIG_ASIGNATURAS!$B$2:$J$91,9,FALSE()),""))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IF(DATOS!$A11095="",0,IF(CONFIG_METADATA!$B$4&lt;&gt;"OR+EX",--(DATOS!$G11095=CONFIG_METADATA!$B$4),IF(DATOS!$G11095="EX",1,IF(DATOS!$G11095="OR",--(COUNTIFS(nNIA,DATOS!$A11095,nCURSO,DATOS!$D11095,nESPEC,DATOS!$E11095,nASIG,DATOS!$I11095,nEVAL,"EX")=0),0))))</f>
      </c>
      <c r="H11095">
        <f>IF(DATOS!$G11095&lt;&gt;"EX",0,--(COUNTIFS(nNIA,DATOS!$A11095,nCURSO,DATOS!$D11095,nESPEC,DATOS!$E11095,nASIG,DATOS!$I11095,nEVAL,"OR")=0))</f>
      </c>
      <c r="I11095">
        <f>IF(DATOS!$I11095="","",IFERROR(VLOOKUP(DATOS!$I11095,CONFIG_ASIGNATURAS!$B$2:$J$91,9,FALSE()),""))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IF(DATOS!$A11096="",0,IF(CONFIG_METADATA!$B$4&lt;&gt;"OR+EX",--(DATOS!$G11096=CONFIG_METADATA!$B$4),IF(DATOS!$G11096="EX",1,IF(DATOS!$G11096="OR",--(COUNTIFS(nNIA,DATOS!$A11096,nCURSO,DATOS!$D11096,nESPEC,DATOS!$E11096,nASIG,DATOS!$I11096,nEVAL,"EX")=0),0))))</f>
      </c>
      <c r="H11096">
        <f>IF(DATOS!$G11096&lt;&gt;"EX",0,--(COUNTIFS(nNIA,DATOS!$A11096,nCURSO,DATOS!$D11096,nESPEC,DATOS!$E11096,nASIG,DATOS!$I11096,nEVAL,"OR")=0))</f>
      </c>
      <c r="I11096">
        <f>IF(DATOS!$I11096="","",IFERROR(VLOOKUP(DATOS!$I11096,CONFIG_ASIGNATURAS!$B$2:$J$91,9,FALSE()),""))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IF(DATOS!$A11097="",0,IF(CONFIG_METADATA!$B$4&lt;&gt;"OR+EX",--(DATOS!$G11097=CONFIG_METADATA!$B$4),IF(DATOS!$G11097="EX",1,IF(DATOS!$G11097="OR",--(COUNTIFS(nNIA,DATOS!$A11097,nCURSO,DATOS!$D11097,nESPEC,DATOS!$E11097,nASIG,DATOS!$I11097,nEVAL,"EX")=0),0))))</f>
      </c>
      <c r="H11097">
        <f>IF(DATOS!$G11097&lt;&gt;"EX",0,--(COUNTIFS(nNIA,DATOS!$A11097,nCURSO,DATOS!$D11097,nESPEC,DATOS!$E11097,nASIG,DATOS!$I11097,nEVAL,"OR")=0))</f>
      </c>
      <c r="I11097">
        <f>IF(DATOS!$I11097="","",IFERROR(VLOOKUP(DATOS!$I11097,CONFIG_ASIGNATURAS!$B$2:$J$91,9,FALSE()),""))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IF(DATOS!$A11098="",0,IF(CONFIG_METADATA!$B$4&lt;&gt;"OR+EX",--(DATOS!$G11098=CONFIG_METADATA!$B$4),IF(DATOS!$G11098="EX",1,IF(DATOS!$G11098="OR",--(COUNTIFS(nNIA,DATOS!$A11098,nCURSO,DATOS!$D11098,nESPEC,DATOS!$E11098,nASIG,DATOS!$I11098,nEVAL,"EX")=0),0))))</f>
      </c>
      <c r="H11098">
        <f>IF(DATOS!$G11098&lt;&gt;"EX",0,--(COUNTIFS(nNIA,DATOS!$A11098,nCURSO,DATOS!$D11098,nESPEC,DATOS!$E11098,nASIG,DATOS!$I11098,nEVAL,"OR")=0))</f>
      </c>
      <c r="I11098">
        <f>IF(DATOS!$I11098="","",IFERROR(VLOOKUP(DATOS!$I11098,CONFIG_ASIGNATURAS!$B$2:$J$91,9,FALSE()),""))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IF(DATOS!$A11099="",0,IF(CONFIG_METADATA!$B$4&lt;&gt;"OR+EX",--(DATOS!$G11099=CONFIG_METADATA!$B$4),IF(DATOS!$G11099="EX",1,IF(DATOS!$G11099="OR",--(COUNTIFS(nNIA,DATOS!$A11099,nCURSO,DATOS!$D11099,nESPEC,DATOS!$E11099,nASIG,DATOS!$I11099,nEVAL,"EX")=0),0))))</f>
      </c>
      <c r="H11099">
        <f>IF(DATOS!$G11099&lt;&gt;"EX",0,--(COUNTIFS(nNIA,DATOS!$A11099,nCURSO,DATOS!$D11099,nESPEC,DATOS!$E11099,nASIG,DATOS!$I11099,nEVAL,"OR")=0))</f>
      </c>
      <c r="I11099">
        <f>IF(DATOS!$I11099="","",IFERROR(VLOOKUP(DATOS!$I11099,CONFIG_ASIGNATURAS!$B$2:$J$91,9,FALSE()),""))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IF(DATOS!$A11100="",0,IF(CONFIG_METADATA!$B$4&lt;&gt;"OR+EX",--(DATOS!$G11100=CONFIG_METADATA!$B$4),IF(DATOS!$G11100="EX",1,IF(DATOS!$G11100="OR",--(COUNTIFS(nNIA,DATOS!$A11100,nCURSO,DATOS!$D11100,nESPEC,DATOS!$E11100,nASIG,DATOS!$I11100,nEVAL,"EX")=0),0))))</f>
      </c>
      <c r="H11100">
        <f>IF(DATOS!$G11100&lt;&gt;"EX",0,--(COUNTIFS(nNIA,DATOS!$A11100,nCURSO,DATOS!$D11100,nESPEC,DATOS!$E11100,nASIG,DATOS!$I11100,nEVAL,"OR")=0))</f>
      </c>
      <c r="I11100">
        <f>IF(DATOS!$I11100="","",IFERROR(VLOOKUP(DATOS!$I11100,CONFIG_ASIGNATURAS!$B$2:$J$91,9,FALSE()),""))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IF(DATOS!$A11101="",0,IF(CONFIG_METADATA!$B$4&lt;&gt;"OR+EX",--(DATOS!$G11101=CONFIG_METADATA!$B$4),IF(DATOS!$G11101="EX",1,IF(DATOS!$G11101="OR",--(COUNTIFS(nNIA,DATOS!$A11101,nCURSO,DATOS!$D11101,nESPEC,DATOS!$E11101,nASIG,DATOS!$I11101,nEVAL,"EX")=0),0))))</f>
      </c>
      <c r="H11101">
        <f>IF(DATOS!$G11101&lt;&gt;"EX",0,--(COUNTIFS(nNIA,DATOS!$A11101,nCURSO,DATOS!$D11101,nESPEC,DATOS!$E11101,nASIG,DATOS!$I11101,nEVAL,"OR")=0))</f>
      </c>
      <c r="I11101">
        <f>IF(DATOS!$I11101="","",IFERROR(VLOOKUP(DATOS!$I11101,CONFIG_ASIGNATURAS!$B$2:$J$91,9,FALSE()),""))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IF(DATOS!$A11102="",0,IF(CONFIG_METADATA!$B$4&lt;&gt;"OR+EX",--(DATOS!$G11102=CONFIG_METADATA!$B$4),IF(DATOS!$G11102="EX",1,IF(DATOS!$G11102="OR",--(COUNTIFS(nNIA,DATOS!$A11102,nCURSO,DATOS!$D11102,nESPEC,DATOS!$E11102,nASIG,DATOS!$I11102,nEVAL,"EX")=0),0))))</f>
      </c>
      <c r="H11102">
        <f>IF(DATOS!$G11102&lt;&gt;"EX",0,--(COUNTIFS(nNIA,DATOS!$A11102,nCURSO,DATOS!$D11102,nESPEC,DATOS!$E11102,nASIG,DATOS!$I11102,nEVAL,"OR")=0))</f>
      </c>
      <c r="I11102">
        <f>IF(DATOS!$I11102="","",IFERROR(VLOOKUP(DATOS!$I11102,CONFIG_ASIGNATURAS!$B$2:$J$91,9,FALSE()),""))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IF(DATOS!$A11103="",0,IF(CONFIG_METADATA!$B$4&lt;&gt;"OR+EX",--(DATOS!$G11103=CONFIG_METADATA!$B$4),IF(DATOS!$G11103="EX",1,IF(DATOS!$G11103="OR",--(COUNTIFS(nNIA,DATOS!$A11103,nCURSO,DATOS!$D11103,nESPEC,DATOS!$E11103,nASIG,DATOS!$I11103,nEVAL,"EX")=0),0))))</f>
      </c>
      <c r="H11103">
        <f>IF(DATOS!$G11103&lt;&gt;"EX",0,--(COUNTIFS(nNIA,DATOS!$A11103,nCURSO,DATOS!$D11103,nESPEC,DATOS!$E11103,nASIG,DATOS!$I11103,nEVAL,"OR")=0))</f>
      </c>
      <c r="I11103">
        <f>IF(DATOS!$I11103="","",IFERROR(VLOOKUP(DATOS!$I11103,CONFIG_ASIGNATURAS!$B$2:$J$91,9,FALSE()),""))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IF(DATOS!$A11104="",0,IF(CONFIG_METADATA!$B$4&lt;&gt;"OR+EX",--(DATOS!$G11104=CONFIG_METADATA!$B$4),IF(DATOS!$G11104="EX",1,IF(DATOS!$G11104="OR",--(COUNTIFS(nNIA,DATOS!$A11104,nCURSO,DATOS!$D11104,nESPEC,DATOS!$E11104,nASIG,DATOS!$I11104,nEVAL,"EX")=0),0))))</f>
      </c>
      <c r="H11104">
        <f>IF(DATOS!$G11104&lt;&gt;"EX",0,--(COUNTIFS(nNIA,DATOS!$A11104,nCURSO,DATOS!$D11104,nESPEC,DATOS!$E11104,nASIG,DATOS!$I11104,nEVAL,"OR")=0))</f>
      </c>
      <c r="I11104">
        <f>IF(DATOS!$I11104="","",IFERROR(VLOOKUP(DATOS!$I11104,CONFIG_ASIGNATURAS!$B$2:$J$91,9,FALSE()),""))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IF(DATOS!$A11105="",0,IF(CONFIG_METADATA!$B$4&lt;&gt;"OR+EX",--(DATOS!$G11105=CONFIG_METADATA!$B$4),IF(DATOS!$G11105="EX",1,IF(DATOS!$G11105="OR",--(COUNTIFS(nNIA,DATOS!$A11105,nCURSO,DATOS!$D11105,nESPEC,DATOS!$E11105,nASIG,DATOS!$I11105,nEVAL,"EX")=0),0))))</f>
      </c>
      <c r="H11105">
        <f>IF(DATOS!$G11105&lt;&gt;"EX",0,--(COUNTIFS(nNIA,DATOS!$A11105,nCURSO,DATOS!$D11105,nESPEC,DATOS!$E11105,nASIG,DATOS!$I11105,nEVAL,"OR")=0))</f>
      </c>
      <c r="I11105">
        <f>IF(DATOS!$I11105="","",IFERROR(VLOOKUP(DATOS!$I11105,CONFIG_ASIGNATURAS!$B$2:$J$91,9,FALSE()),""))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IF(DATOS!$A11106="",0,IF(CONFIG_METADATA!$B$4&lt;&gt;"OR+EX",--(DATOS!$G11106=CONFIG_METADATA!$B$4),IF(DATOS!$G11106="EX",1,IF(DATOS!$G11106="OR",--(COUNTIFS(nNIA,DATOS!$A11106,nCURSO,DATOS!$D11106,nESPEC,DATOS!$E11106,nASIG,DATOS!$I11106,nEVAL,"EX")=0),0))))</f>
      </c>
      <c r="H11106">
        <f>IF(DATOS!$G11106&lt;&gt;"EX",0,--(COUNTIFS(nNIA,DATOS!$A11106,nCURSO,DATOS!$D11106,nESPEC,DATOS!$E11106,nASIG,DATOS!$I11106,nEVAL,"OR")=0))</f>
      </c>
      <c r="I11106">
        <f>IF(DATOS!$I11106="","",IFERROR(VLOOKUP(DATOS!$I11106,CONFIG_ASIGNATURAS!$B$2:$J$91,9,FALSE()),""))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IF(DATOS!$A11107="",0,IF(CONFIG_METADATA!$B$4&lt;&gt;"OR+EX",--(DATOS!$G11107=CONFIG_METADATA!$B$4),IF(DATOS!$G11107="EX",1,IF(DATOS!$G11107="OR",--(COUNTIFS(nNIA,DATOS!$A11107,nCURSO,DATOS!$D11107,nESPEC,DATOS!$E11107,nASIG,DATOS!$I11107,nEVAL,"EX")=0),0))))</f>
      </c>
      <c r="H11107">
        <f>IF(DATOS!$G11107&lt;&gt;"EX",0,--(COUNTIFS(nNIA,DATOS!$A11107,nCURSO,DATOS!$D11107,nESPEC,DATOS!$E11107,nASIG,DATOS!$I11107,nEVAL,"OR")=0))</f>
      </c>
      <c r="I11107">
        <f>IF(DATOS!$I11107="","",IFERROR(VLOOKUP(DATOS!$I11107,CONFIG_ASIGNATURAS!$B$2:$J$91,9,FALSE()),""))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IF(DATOS!$A11108="",0,IF(CONFIG_METADATA!$B$4&lt;&gt;"OR+EX",--(DATOS!$G11108=CONFIG_METADATA!$B$4),IF(DATOS!$G11108="EX",1,IF(DATOS!$G11108="OR",--(COUNTIFS(nNIA,DATOS!$A11108,nCURSO,DATOS!$D11108,nESPEC,DATOS!$E11108,nASIG,DATOS!$I11108,nEVAL,"EX")=0),0))))</f>
      </c>
      <c r="H11108">
        <f>IF(DATOS!$G11108&lt;&gt;"EX",0,--(COUNTIFS(nNIA,DATOS!$A11108,nCURSO,DATOS!$D11108,nESPEC,DATOS!$E11108,nASIG,DATOS!$I11108,nEVAL,"OR")=0))</f>
      </c>
      <c r="I11108">
        <f>IF(DATOS!$I11108="","",IFERROR(VLOOKUP(DATOS!$I11108,CONFIG_ASIGNATURAS!$B$2:$J$91,9,FALSE()),""))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IF(DATOS!$A11109="",0,IF(CONFIG_METADATA!$B$4&lt;&gt;"OR+EX",--(DATOS!$G11109=CONFIG_METADATA!$B$4),IF(DATOS!$G11109="EX",1,IF(DATOS!$G11109="OR",--(COUNTIFS(nNIA,DATOS!$A11109,nCURSO,DATOS!$D11109,nESPEC,DATOS!$E11109,nASIG,DATOS!$I11109,nEVAL,"EX")=0),0))))</f>
      </c>
      <c r="H11109">
        <f>IF(DATOS!$G11109&lt;&gt;"EX",0,--(COUNTIFS(nNIA,DATOS!$A11109,nCURSO,DATOS!$D11109,nESPEC,DATOS!$E11109,nASIG,DATOS!$I11109,nEVAL,"OR")=0))</f>
      </c>
      <c r="I11109">
        <f>IF(DATOS!$I11109="","",IFERROR(VLOOKUP(DATOS!$I11109,CONFIG_ASIGNATURAS!$B$2:$J$91,9,FALSE()),""))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IF(DATOS!$A11110="",0,IF(CONFIG_METADATA!$B$4&lt;&gt;"OR+EX",--(DATOS!$G11110=CONFIG_METADATA!$B$4),IF(DATOS!$G11110="EX",1,IF(DATOS!$G11110="OR",--(COUNTIFS(nNIA,DATOS!$A11110,nCURSO,DATOS!$D11110,nESPEC,DATOS!$E11110,nASIG,DATOS!$I11110,nEVAL,"EX")=0),0))))</f>
      </c>
      <c r="H11110">
        <f>IF(DATOS!$G11110&lt;&gt;"EX",0,--(COUNTIFS(nNIA,DATOS!$A11110,nCURSO,DATOS!$D11110,nESPEC,DATOS!$E11110,nASIG,DATOS!$I11110,nEVAL,"OR")=0))</f>
      </c>
      <c r="I11110">
        <f>IF(DATOS!$I11110="","",IFERROR(VLOOKUP(DATOS!$I11110,CONFIG_ASIGNATURAS!$B$2:$J$91,9,FALSE()),""))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IF(DATOS!$A11111="",0,IF(CONFIG_METADATA!$B$4&lt;&gt;"OR+EX",--(DATOS!$G11111=CONFIG_METADATA!$B$4),IF(DATOS!$G11111="EX",1,IF(DATOS!$G11111="OR",--(COUNTIFS(nNIA,DATOS!$A11111,nCURSO,DATOS!$D11111,nESPEC,DATOS!$E11111,nASIG,DATOS!$I11111,nEVAL,"EX")=0),0))))</f>
      </c>
      <c r="H11111">
        <f>IF(DATOS!$G11111&lt;&gt;"EX",0,--(COUNTIFS(nNIA,DATOS!$A11111,nCURSO,DATOS!$D11111,nESPEC,DATOS!$E11111,nASIG,DATOS!$I11111,nEVAL,"OR")=0))</f>
      </c>
      <c r="I11111">
        <f>IF(DATOS!$I11111="","",IFERROR(VLOOKUP(DATOS!$I11111,CONFIG_ASIGNATURAS!$B$2:$J$91,9,FALSE()),""))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IF(DATOS!$A11112="",0,IF(CONFIG_METADATA!$B$4&lt;&gt;"OR+EX",--(DATOS!$G11112=CONFIG_METADATA!$B$4),IF(DATOS!$G11112="EX",1,IF(DATOS!$G11112="OR",--(COUNTIFS(nNIA,DATOS!$A11112,nCURSO,DATOS!$D11112,nESPEC,DATOS!$E11112,nASIG,DATOS!$I11112,nEVAL,"EX")=0),0))))</f>
      </c>
      <c r="H11112">
        <f>IF(DATOS!$G11112&lt;&gt;"EX",0,--(COUNTIFS(nNIA,DATOS!$A11112,nCURSO,DATOS!$D11112,nESPEC,DATOS!$E11112,nASIG,DATOS!$I11112,nEVAL,"OR")=0))</f>
      </c>
      <c r="I11112">
        <f>IF(DATOS!$I11112="","",IFERROR(VLOOKUP(DATOS!$I11112,CONFIG_ASIGNATURAS!$B$2:$J$91,9,FALSE()),""))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IF(DATOS!$A11113="",0,IF(CONFIG_METADATA!$B$4&lt;&gt;"OR+EX",--(DATOS!$G11113=CONFIG_METADATA!$B$4),IF(DATOS!$G11113="EX",1,IF(DATOS!$G11113="OR",--(COUNTIFS(nNIA,DATOS!$A11113,nCURSO,DATOS!$D11113,nESPEC,DATOS!$E11113,nASIG,DATOS!$I11113,nEVAL,"EX")=0),0))))</f>
      </c>
      <c r="H11113">
        <f>IF(DATOS!$G11113&lt;&gt;"EX",0,--(COUNTIFS(nNIA,DATOS!$A11113,nCURSO,DATOS!$D11113,nESPEC,DATOS!$E11113,nASIG,DATOS!$I11113,nEVAL,"OR")=0))</f>
      </c>
      <c r="I11113">
        <f>IF(DATOS!$I11113="","",IFERROR(VLOOKUP(DATOS!$I11113,CONFIG_ASIGNATURAS!$B$2:$J$91,9,FALSE()),""))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IF(DATOS!$A11114="",0,IF(CONFIG_METADATA!$B$4&lt;&gt;"OR+EX",--(DATOS!$G11114=CONFIG_METADATA!$B$4),IF(DATOS!$G11114="EX",1,IF(DATOS!$G11114="OR",--(COUNTIFS(nNIA,DATOS!$A11114,nCURSO,DATOS!$D11114,nESPEC,DATOS!$E11114,nASIG,DATOS!$I11114,nEVAL,"EX")=0),0))))</f>
      </c>
      <c r="H11114">
        <f>IF(DATOS!$G11114&lt;&gt;"EX",0,--(COUNTIFS(nNIA,DATOS!$A11114,nCURSO,DATOS!$D11114,nESPEC,DATOS!$E11114,nASIG,DATOS!$I11114,nEVAL,"OR")=0))</f>
      </c>
      <c r="I11114">
        <f>IF(DATOS!$I11114="","",IFERROR(VLOOKUP(DATOS!$I11114,CONFIG_ASIGNATURAS!$B$2:$J$91,9,FALSE()),""))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IF(DATOS!$A11115="",0,IF(CONFIG_METADATA!$B$4&lt;&gt;"OR+EX",--(DATOS!$G11115=CONFIG_METADATA!$B$4),IF(DATOS!$G11115="EX",1,IF(DATOS!$G11115="OR",--(COUNTIFS(nNIA,DATOS!$A11115,nCURSO,DATOS!$D11115,nESPEC,DATOS!$E11115,nASIG,DATOS!$I11115,nEVAL,"EX")=0),0))))</f>
      </c>
      <c r="H11115">
        <f>IF(DATOS!$G11115&lt;&gt;"EX",0,--(COUNTIFS(nNIA,DATOS!$A11115,nCURSO,DATOS!$D11115,nESPEC,DATOS!$E11115,nASIG,DATOS!$I11115,nEVAL,"OR")=0))</f>
      </c>
      <c r="I11115">
        <f>IF(DATOS!$I11115="","",IFERROR(VLOOKUP(DATOS!$I11115,CONFIG_ASIGNATURAS!$B$2:$J$91,9,FALSE()),""))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IF(DATOS!$A11116="",0,IF(CONFIG_METADATA!$B$4&lt;&gt;"OR+EX",--(DATOS!$G11116=CONFIG_METADATA!$B$4),IF(DATOS!$G11116="EX",1,IF(DATOS!$G11116="OR",--(COUNTIFS(nNIA,DATOS!$A11116,nCURSO,DATOS!$D11116,nESPEC,DATOS!$E11116,nASIG,DATOS!$I11116,nEVAL,"EX")=0),0))))</f>
      </c>
      <c r="H11116">
        <f>IF(DATOS!$G11116&lt;&gt;"EX",0,--(COUNTIFS(nNIA,DATOS!$A11116,nCURSO,DATOS!$D11116,nESPEC,DATOS!$E11116,nASIG,DATOS!$I11116,nEVAL,"OR")=0))</f>
      </c>
      <c r="I11116">
        <f>IF(DATOS!$I11116="","",IFERROR(VLOOKUP(DATOS!$I11116,CONFIG_ASIGNATURAS!$B$2:$J$91,9,FALSE()),""))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IF(DATOS!$A11117="",0,IF(CONFIG_METADATA!$B$4&lt;&gt;"OR+EX",--(DATOS!$G11117=CONFIG_METADATA!$B$4),IF(DATOS!$G11117="EX",1,IF(DATOS!$G11117="OR",--(COUNTIFS(nNIA,DATOS!$A11117,nCURSO,DATOS!$D11117,nESPEC,DATOS!$E11117,nASIG,DATOS!$I11117,nEVAL,"EX")=0),0))))</f>
      </c>
      <c r="H11117">
        <f>IF(DATOS!$G11117&lt;&gt;"EX",0,--(COUNTIFS(nNIA,DATOS!$A11117,nCURSO,DATOS!$D11117,nESPEC,DATOS!$E11117,nASIG,DATOS!$I11117,nEVAL,"OR")=0))</f>
      </c>
      <c r="I11117">
        <f>IF(DATOS!$I11117="","",IFERROR(VLOOKUP(DATOS!$I11117,CONFIG_ASIGNATURAS!$B$2:$J$91,9,FALSE()),""))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IF(DATOS!$A11118="",0,IF(CONFIG_METADATA!$B$4&lt;&gt;"OR+EX",--(DATOS!$G11118=CONFIG_METADATA!$B$4),IF(DATOS!$G11118="EX",1,IF(DATOS!$G11118="OR",--(COUNTIFS(nNIA,DATOS!$A11118,nCURSO,DATOS!$D11118,nESPEC,DATOS!$E11118,nASIG,DATOS!$I11118,nEVAL,"EX")=0),0))))</f>
      </c>
      <c r="H11118">
        <f>IF(DATOS!$G11118&lt;&gt;"EX",0,--(COUNTIFS(nNIA,DATOS!$A11118,nCURSO,DATOS!$D11118,nESPEC,DATOS!$E11118,nASIG,DATOS!$I11118,nEVAL,"OR")=0))</f>
      </c>
      <c r="I11118">
        <f>IF(DATOS!$I11118="","",IFERROR(VLOOKUP(DATOS!$I11118,CONFIG_ASIGNATURAS!$B$2:$J$91,9,FALSE()),""))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IF(DATOS!$A11119="",0,IF(CONFIG_METADATA!$B$4&lt;&gt;"OR+EX",--(DATOS!$G11119=CONFIG_METADATA!$B$4),IF(DATOS!$G11119="EX",1,IF(DATOS!$G11119="OR",--(COUNTIFS(nNIA,DATOS!$A11119,nCURSO,DATOS!$D11119,nESPEC,DATOS!$E11119,nASIG,DATOS!$I11119,nEVAL,"EX")=0),0))))</f>
      </c>
      <c r="H11119">
        <f>IF(DATOS!$G11119&lt;&gt;"EX",0,--(COUNTIFS(nNIA,DATOS!$A11119,nCURSO,DATOS!$D11119,nESPEC,DATOS!$E11119,nASIG,DATOS!$I11119,nEVAL,"OR")=0))</f>
      </c>
      <c r="I11119">
        <f>IF(DATOS!$I11119="","",IFERROR(VLOOKUP(DATOS!$I11119,CONFIG_ASIGNATURAS!$B$2:$J$91,9,FALSE()),""))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IF(DATOS!$A11120="",0,IF(CONFIG_METADATA!$B$4&lt;&gt;"OR+EX",--(DATOS!$G11120=CONFIG_METADATA!$B$4),IF(DATOS!$G11120="EX",1,IF(DATOS!$G11120="OR",--(COUNTIFS(nNIA,DATOS!$A11120,nCURSO,DATOS!$D11120,nESPEC,DATOS!$E11120,nASIG,DATOS!$I11120,nEVAL,"EX")=0),0))))</f>
      </c>
      <c r="H11120">
        <f>IF(DATOS!$G11120&lt;&gt;"EX",0,--(COUNTIFS(nNIA,DATOS!$A11120,nCURSO,DATOS!$D11120,nESPEC,DATOS!$E11120,nASIG,DATOS!$I11120,nEVAL,"OR")=0))</f>
      </c>
      <c r="I11120">
        <f>IF(DATOS!$I11120="","",IFERROR(VLOOKUP(DATOS!$I11120,CONFIG_ASIGNATURAS!$B$2:$J$91,9,FALSE()),""))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IF(DATOS!$A11121="",0,IF(CONFIG_METADATA!$B$4&lt;&gt;"OR+EX",--(DATOS!$G11121=CONFIG_METADATA!$B$4),IF(DATOS!$G11121="EX",1,IF(DATOS!$G11121="OR",--(COUNTIFS(nNIA,DATOS!$A11121,nCURSO,DATOS!$D11121,nESPEC,DATOS!$E11121,nASIG,DATOS!$I11121,nEVAL,"EX")=0),0))))</f>
      </c>
      <c r="H11121">
        <f>IF(DATOS!$G11121&lt;&gt;"EX",0,--(COUNTIFS(nNIA,DATOS!$A11121,nCURSO,DATOS!$D11121,nESPEC,DATOS!$E11121,nASIG,DATOS!$I11121,nEVAL,"OR")=0))</f>
      </c>
      <c r="I11121">
        <f>IF(DATOS!$I11121="","",IFERROR(VLOOKUP(DATOS!$I11121,CONFIG_ASIGNATURAS!$B$2:$J$91,9,FALSE()),""))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IF(DATOS!$A11122="",0,IF(CONFIG_METADATA!$B$4&lt;&gt;"OR+EX",--(DATOS!$G11122=CONFIG_METADATA!$B$4),IF(DATOS!$G11122="EX",1,IF(DATOS!$G11122="OR",--(COUNTIFS(nNIA,DATOS!$A11122,nCURSO,DATOS!$D11122,nESPEC,DATOS!$E11122,nASIG,DATOS!$I11122,nEVAL,"EX")=0),0))))</f>
      </c>
      <c r="H11122">
        <f>IF(DATOS!$G11122&lt;&gt;"EX",0,--(COUNTIFS(nNIA,DATOS!$A11122,nCURSO,DATOS!$D11122,nESPEC,DATOS!$E11122,nASIG,DATOS!$I11122,nEVAL,"OR")=0))</f>
      </c>
      <c r="I11122">
        <f>IF(DATOS!$I11122="","",IFERROR(VLOOKUP(DATOS!$I11122,CONFIG_ASIGNATURAS!$B$2:$J$91,9,FALSE()),""))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IF(DATOS!$A11123="",0,IF(CONFIG_METADATA!$B$4&lt;&gt;"OR+EX",--(DATOS!$G11123=CONFIG_METADATA!$B$4),IF(DATOS!$G11123="EX",1,IF(DATOS!$G11123="OR",--(COUNTIFS(nNIA,DATOS!$A11123,nCURSO,DATOS!$D11123,nESPEC,DATOS!$E11123,nASIG,DATOS!$I11123,nEVAL,"EX")=0),0))))</f>
      </c>
      <c r="H11123">
        <f>IF(DATOS!$G11123&lt;&gt;"EX",0,--(COUNTIFS(nNIA,DATOS!$A11123,nCURSO,DATOS!$D11123,nESPEC,DATOS!$E11123,nASIG,DATOS!$I11123,nEVAL,"OR")=0))</f>
      </c>
      <c r="I11123">
        <f>IF(DATOS!$I11123="","",IFERROR(VLOOKUP(DATOS!$I11123,CONFIG_ASIGNATURAS!$B$2:$J$91,9,FALSE()),""))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IF(DATOS!$A11124="",0,IF(CONFIG_METADATA!$B$4&lt;&gt;"OR+EX",--(DATOS!$G11124=CONFIG_METADATA!$B$4),IF(DATOS!$G11124="EX",1,IF(DATOS!$G11124="OR",--(COUNTIFS(nNIA,DATOS!$A11124,nCURSO,DATOS!$D11124,nESPEC,DATOS!$E11124,nASIG,DATOS!$I11124,nEVAL,"EX")=0),0))))</f>
      </c>
      <c r="H11124">
        <f>IF(DATOS!$G11124&lt;&gt;"EX",0,--(COUNTIFS(nNIA,DATOS!$A11124,nCURSO,DATOS!$D11124,nESPEC,DATOS!$E11124,nASIG,DATOS!$I11124,nEVAL,"OR")=0))</f>
      </c>
      <c r="I11124">
        <f>IF(DATOS!$I11124="","",IFERROR(VLOOKUP(DATOS!$I11124,CONFIG_ASIGNATURAS!$B$2:$J$91,9,FALSE()),""))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IF(DATOS!$A11125="",0,IF(CONFIG_METADATA!$B$4&lt;&gt;"OR+EX",--(DATOS!$G11125=CONFIG_METADATA!$B$4),IF(DATOS!$G11125="EX",1,IF(DATOS!$G11125="OR",--(COUNTIFS(nNIA,DATOS!$A11125,nCURSO,DATOS!$D11125,nESPEC,DATOS!$E11125,nASIG,DATOS!$I11125,nEVAL,"EX")=0),0))))</f>
      </c>
      <c r="H11125">
        <f>IF(DATOS!$G11125&lt;&gt;"EX",0,--(COUNTIFS(nNIA,DATOS!$A11125,nCURSO,DATOS!$D11125,nESPEC,DATOS!$E11125,nASIG,DATOS!$I11125,nEVAL,"OR")=0))</f>
      </c>
      <c r="I11125">
        <f>IF(DATOS!$I11125="","",IFERROR(VLOOKUP(DATOS!$I11125,CONFIG_ASIGNATURAS!$B$2:$J$91,9,FALSE()),""))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IF(DATOS!$A11126="",0,IF(CONFIG_METADATA!$B$4&lt;&gt;"OR+EX",--(DATOS!$G11126=CONFIG_METADATA!$B$4),IF(DATOS!$G11126="EX",1,IF(DATOS!$G11126="OR",--(COUNTIFS(nNIA,DATOS!$A11126,nCURSO,DATOS!$D11126,nESPEC,DATOS!$E11126,nASIG,DATOS!$I11126,nEVAL,"EX")=0),0))))</f>
      </c>
      <c r="H11126">
        <f>IF(DATOS!$G11126&lt;&gt;"EX",0,--(COUNTIFS(nNIA,DATOS!$A11126,nCURSO,DATOS!$D11126,nESPEC,DATOS!$E11126,nASIG,DATOS!$I11126,nEVAL,"OR")=0))</f>
      </c>
      <c r="I11126">
        <f>IF(DATOS!$I11126="","",IFERROR(VLOOKUP(DATOS!$I11126,CONFIG_ASIGNATURAS!$B$2:$J$91,9,FALSE()),""))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IF(DATOS!$A11127="",0,IF(CONFIG_METADATA!$B$4&lt;&gt;"OR+EX",--(DATOS!$G11127=CONFIG_METADATA!$B$4),IF(DATOS!$G11127="EX",1,IF(DATOS!$G11127="OR",--(COUNTIFS(nNIA,DATOS!$A11127,nCURSO,DATOS!$D11127,nESPEC,DATOS!$E11127,nASIG,DATOS!$I11127,nEVAL,"EX")=0),0))))</f>
      </c>
      <c r="H11127">
        <f>IF(DATOS!$G11127&lt;&gt;"EX",0,--(COUNTIFS(nNIA,DATOS!$A11127,nCURSO,DATOS!$D11127,nESPEC,DATOS!$E11127,nASIG,DATOS!$I11127,nEVAL,"OR")=0))</f>
      </c>
      <c r="I11127">
        <f>IF(DATOS!$I11127="","",IFERROR(VLOOKUP(DATOS!$I11127,CONFIG_ASIGNATURAS!$B$2:$J$91,9,FALSE()),""))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IF(DATOS!$A11128="",0,IF(CONFIG_METADATA!$B$4&lt;&gt;"OR+EX",--(DATOS!$G11128=CONFIG_METADATA!$B$4),IF(DATOS!$G11128="EX",1,IF(DATOS!$G11128="OR",--(COUNTIFS(nNIA,DATOS!$A11128,nCURSO,DATOS!$D11128,nESPEC,DATOS!$E11128,nASIG,DATOS!$I11128,nEVAL,"EX")=0),0))))</f>
      </c>
      <c r="H11128">
        <f>IF(DATOS!$G11128&lt;&gt;"EX",0,--(COUNTIFS(nNIA,DATOS!$A11128,nCURSO,DATOS!$D11128,nESPEC,DATOS!$E11128,nASIG,DATOS!$I11128,nEVAL,"OR")=0))</f>
      </c>
      <c r="I11128">
        <f>IF(DATOS!$I11128="","",IFERROR(VLOOKUP(DATOS!$I11128,CONFIG_ASIGNATURAS!$B$2:$J$91,9,FALSE()),""))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IF(DATOS!$A11129="",0,IF(CONFIG_METADATA!$B$4&lt;&gt;"OR+EX",--(DATOS!$G11129=CONFIG_METADATA!$B$4),IF(DATOS!$G11129="EX",1,IF(DATOS!$G11129="OR",--(COUNTIFS(nNIA,DATOS!$A11129,nCURSO,DATOS!$D11129,nESPEC,DATOS!$E11129,nASIG,DATOS!$I11129,nEVAL,"EX")=0),0))))</f>
      </c>
      <c r="H11129">
        <f>IF(DATOS!$G11129&lt;&gt;"EX",0,--(COUNTIFS(nNIA,DATOS!$A11129,nCURSO,DATOS!$D11129,nESPEC,DATOS!$E11129,nASIG,DATOS!$I11129,nEVAL,"OR")=0))</f>
      </c>
      <c r="I11129">
        <f>IF(DATOS!$I11129="","",IFERROR(VLOOKUP(DATOS!$I11129,CONFIG_ASIGNATURAS!$B$2:$J$91,9,FALSE()),""))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IF(DATOS!$A11130="",0,IF(CONFIG_METADATA!$B$4&lt;&gt;"OR+EX",--(DATOS!$G11130=CONFIG_METADATA!$B$4),IF(DATOS!$G11130="EX",1,IF(DATOS!$G11130="OR",--(COUNTIFS(nNIA,DATOS!$A11130,nCURSO,DATOS!$D11130,nESPEC,DATOS!$E11130,nASIG,DATOS!$I11130,nEVAL,"EX")=0),0))))</f>
      </c>
      <c r="H11130">
        <f>IF(DATOS!$G11130&lt;&gt;"EX",0,--(COUNTIFS(nNIA,DATOS!$A11130,nCURSO,DATOS!$D11130,nESPEC,DATOS!$E11130,nASIG,DATOS!$I11130,nEVAL,"OR")=0))</f>
      </c>
      <c r="I11130">
        <f>IF(DATOS!$I11130="","",IFERROR(VLOOKUP(DATOS!$I11130,CONFIG_ASIGNATURAS!$B$2:$J$91,9,FALSE()),""))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IF(DATOS!$A11131="",0,IF(CONFIG_METADATA!$B$4&lt;&gt;"OR+EX",--(DATOS!$G11131=CONFIG_METADATA!$B$4),IF(DATOS!$G11131="EX",1,IF(DATOS!$G11131="OR",--(COUNTIFS(nNIA,DATOS!$A11131,nCURSO,DATOS!$D11131,nESPEC,DATOS!$E11131,nASIG,DATOS!$I11131,nEVAL,"EX")=0),0))))</f>
      </c>
      <c r="H11131">
        <f>IF(DATOS!$G11131&lt;&gt;"EX",0,--(COUNTIFS(nNIA,DATOS!$A11131,nCURSO,DATOS!$D11131,nESPEC,DATOS!$E11131,nASIG,DATOS!$I11131,nEVAL,"OR")=0))</f>
      </c>
      <c r="I11131">
        <f>IF(DATOS!$I11131="","",IFERROR(VLOOKUP(DATOS!$I11131,CONFIG_ASIGNATURAS!$B$2:$J$91,9,FALSE()),""))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IF(DATOS!$A11132="",0,IF(CONFIG_METADATA!$B$4&lt;&gt;"OR+EX",--(DATOS!$G11132=CONFIG_METADATA!$B$4),IF(DATOS!$G11132="EX",1,IF(DATOS!$G11132="OR",--(COUNTIFS(nNIA,DATOS!$A11132,nCURSO,DATOS!$D11132,nESPEC,DATOS!$E11132,nASIG,DATOS!$I11132,nEVAL,"EX")=0),0))))</f>
      </c>
      <c r="H11132">
        <f>IF(DATOS!$G11132&lt;&gt;"EX",0,--(COUNTIFS(nNIA,DATOS!$A11132,nCURSO,DATOS!$D11132,nESPEC,DATOS!$E11132,nASIG,DATOS!$I11132,nEVAL,"OR")=0))</f>
      </c>
      <c r="I11132">
        <f>IF(DATOS!$I11132="","",IFERROR(VLOOKUP(DATOS!$I11132,CONFIG_ASIGNATURAS!$B$2:$J$91,9,FALSE()),""))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IF(DATOS!$A11133="",0,IF(CONFIG_METADATA!$B$4&lt;&gt;"OR+EX",--(DATOS!$G11133=CONFIG_METADATA!$B$4),IF(DATOS!$G11133="EX",1,IF(DATOS!$G11133="OR",--(COUNTIFS(nNIA,DATOS!$A11133,nCURSO,DATOS!$D11133,nESPEC,DATOS!$E11133,nASIG,DATOS!$I11133,nEVAL,"EX")=0),0))))</f>
      </c>
      <c r="H11133">
        <f>IF(DATOS!$G11133&lt;&gt;"EX",0,--(COUNTIFS(nNIA,DATOS!$A11133,nCURSO,DATOS!$D11133,nESPEC,DATOS!$E11133,nASIG,DATOS!$I11133,nEVAL,"OR")=0))</f>
      </c>
      <c r="I11133">
        <f>IF(DATOS!$I11133="","",IFERROR(VLOOKUP(DATOS!$I11133,CONFIG_ASIGNATURAS!$B$2:$J$91,9,FALSE()),""))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IF(DATOS!$A11134="",0,IF(CONFIG_METADATA!$B$4&lt;&gt;"OR+EX",--(DATOS!$G11134=CONFIG_METADATA!$B$4),IF(DATOS!$G11134="EX",1,IF(DATOS!$G11134="OR",--(COUNTIFS(nNIA,DATOS!$A11134,nCURSO,DATOS!$D11134,nESPEC,DATOS!$E11134,nASIG,DATOS!$I11134,nEVAL,"EX")=0),0))))</f>
      </c>
      <c r="H11134">
        <f>IF(DATOS!$G11134&lt;&gt;"EX",0,--(COUNTIFS(nNIA,DATOS!$A11134,nCURSO,DATOS!$D11134,nESPEC,DATOS!$E11134,nASIG,DATOS!$I11134,nEVAL,"OR")=0))</f>
      </c>
      <c r="I11134">
        <f>IF(DATOS!$I11134="","",IFERROR(VLOOKUP(DATOS!$I11134,CONFIG_ASIGNATURAS!$B$2:$J$91,9,FALSE()),""))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IF(DATOS!$A11135="",0,IF(CONFIG_METADATA!$B$4&lt;&gt;"OR+EX",--(DATOS!$G11135=CONFIG_METADATA!$B$4),IF(DATOS!$G11135="EX",1,IF(DATOS!$G11135="OR",--(COUNTIFS(nNIA,DATOS!$A11135,nCURSO,DATOS!$D11135,nESPEC,DATOS!$E11135,nASIG,DATOS!$I11135,nEVAL,"EX")=0),0))))</f>
      </c>
      <c r="H11135">
        <f>IF(DATOS!$G11135&lt;&gt;"EX",0,--(COUNTIFS(nNIA,DATOS!$A11135,nCURSO,DATOS!$D11135,nESPEC,DATOS!$E11135,nASIG,DATOS!$I11135,nEVAL,"OR")=0))</f>
      </c>
      <c r="I11135">
        <f>IF(DATOS!$I11135="","",IFERROR(VLOOKUP(DATOS!$I11135,CONFIG_ASIGNATURAS!$B$2:$J$91,9,FALSE()),""))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IF(DATOS!$A11136="",0,IF(CONFIG_METADATA!$B$4&lt;&gt;"OR+EX",--(DATOS!$G11136=CONFIG_METADATA!$B$4),IF(DATOS!$G11136="EX",1,IF(DATOS!$G11136="OR",--(COUNTIFS(nNIA,DATOS!$A11136,nCURSO,DATOS!$D11136,nESPEC,DATOS!$E11136,nASIG,DATOS!$I11136,nEVAL,"EX")=0),0))))</f>
      </c>
      <c r="H11136">
        <f>IF(DATOS!$G11136&lt;&gt;"EX",0,--(COUNTIFS(nNIA,DATOS!$A11136,nCURSO,DATOS!$D11136,nESPEC,DATOS!$E11136,nASIG,DATOS!$I11136,nEVAL,"OR")=0))</f>
      </c>
      <c r="I11136">
        <f>IF(DATOS!$I11136="","",IFERROR(VLOOKUP(DATOS!$I11136,CONFIG_ASIGNATURAS!$B$2:$J$91,9,FALSE()),""))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IF(DATOS!$A11137="",0,IF(CONFIG_METADATA!$B$4&lt;&gt;"OR+EX",--(DATOS!$G11137=CONFIG_METADATA!$B$4),IF(DATOS!$G11137="EX",1,IF(DATOS!$G11137="OR",--(COUNTIFS(nNIA,DATOS!$A11137,nCURSO,DATOS!$D11137,nESPEC,DATOS!$E11137,nASIG,DATOS!$I11137,nEVAL,"EX")=0),0))))</f>
      </c>
      <c r="H11137">
        <f>IF(DATOS!$G11137&lt;&gt;"EX",0,--(COUNTIFS(nNIA,DATOS!$A11137,nCURSO,DATOS!$D11137,nESPEC,DATOS!$E11137,nASIG,DATOS!$I11137,nEVAL,"OR")=0))</f>
      </c>
      <c r="I11137">
        <f>IF(DATOS!$I11137="","",IFERROR(VLOOKUP(DATOS!$I11137,CONFIG_ASIGNATURAS!$B$2:$J$91,9,FALSE()),""))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IF(DATOS!$A11138="",0,IF(CONFIG_METADATA!$B$4&lt;&gt;"OR+EX",--(DATOS!$G11138=CONFIG_METADATA!$B$4),IF(DATOS!$G11138="EX",1,IF(DATOS!$G11138="OR",--(COUNTIFS(nNIA,DATOS!$A11138,nCURSO,DATOS!$D11138,nESPEC,DATOS!$E11138,nASIG,DATOS!$I11138,nEVAL,"EX")=0),0))))</f>
      </c>
      <c r="H11138">
        <f>IF(DATOS!$G11138&lt;&gt;"EX",0,--(COUNTIFS(nNIA,DATOS!$A11138,nCURSO,DATOS!$D11138,nESPEC,DATOS!$E11138,nASIG,DATOS!$I11138,nEVAL,"OR")=0))</f>
      </c>
      <c r="I11138">
        <f>IF(DATOS!$I11138="","",IFERROR(VLOOKUP(DATOS!$I11138,CONFIG_ASIGNATURAS!$B$2:$J$91,9,FALSE()),""))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IF(DATOS!$A11139="",0,IF(CONFIG_METADATA!$B$4&lt;&gt;"OR+EX",--(DATOS!$G11139=CONFIG_METADATA!$B$4),IF(DATOS!$G11139="EX",1,IF(DATOS!$G11139="OR",--(COUNTIFS(nNIA,DATOS!$A11139,nCURSO,DATOS!$D11139,nESPEC,DATOS!$E11139,nASIG,DATOS!$I11139,nEVAL,"EX")=0),0))))</f>
      </c>
      <c r="H11139">
        <f>IF(DATOS!$G11139&lt;&gt;"EX",0,--(COUNTIFS(nNIA,DATOS!$A11139,nCURSO,DATOS!$D11139,nESPEC,DATOS!$E11139,nASIG,DATOS!$I11139,nEVAL,"OR")=0))</f>
      </c>
      <c r="I11139">
        <f>IF(DATOS!$I11139="","",IFERROR(VLOOKUP(DATOS!$I11139,CONFIG_ASIGNATURAS!$B$2:$J$91,9,FALSE()),""))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IF(DATOS!$A11140="",0,IF(CONFIG_METADATA!$B$4&lt;&gt;"OR+EX",--(DATOS!$G11140=CONFIG_METADATA!$B$4),IF(DATOS!$G11140="EX",1,IF(DATOS!$G11140="OR",--(COUNTIFS(nNIA,DATOS!$A11140,nCURSO,DATOS!$D11140,nESPEC,DATOS!$E11140,nASIG,DATOS!$I11140,nEVAL,"EX")=0),0))))</f>
      </c>
      <c r="H11140">
        <f>IF(DATOS!$G11140&lt;&gt;"EX",0,--(COUNTIFS(nNIA,DATOS!$A11140,nCURSO,DATOS!$D11140,nESPEC,DATOS!$E11140,nASIG,DATOS!$I11140,nEVAL,"OR")=0))</f>
      </c>
      <c r="I11140">
        <f>IF(DATOS!$I11140="","",IFERROR(VLOOKUP(DATOS!$I11140,CONFIG_ASIGNATURAS!$B$2:$J$91,9,FALSE()),""))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IF(DATOS!$A11141="",0,IF(CONFIG_METADATA!$B$4&lt;&gt;"OR+EX",--(DATOS!$G11141=CONFIG_METADATA!$B$4),IF(DATOS!$G11141="EX",1,IF(DATOS!$G11141="OR",--(COUNTIFS(nNIA,DATOS!$A11141,nCURSO,DATOS!$D11141,nESPEC,DATOS!$E11141,nASIG,DATOS!$I11141,nEVAL,"EX")=0),0))))</f>
      </c>
      <c r="H11141">
        <f>IF(DATOS!$G11141&lt;&gt;"EX",0,--(COUNTIFS(nNIA,DATOS!$A11141,nCURSO,DATOS!$D11141,nESPEC,DATOS!$E11141,nASIG,DATOS!$I11141,nEVAL,"OR")=0))</f>
      </c>
      <c r="I11141">
        <f>IF(DATOS!$I11141="","",IFERROR(VLOOKUP(DATOS!$I11141,CONFIG_ASIGNATURAS!$B$2:$J$91,9,FALSE()),""))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IF(DATOS!$A11142="",0,IF(CONFIG_METADATA!$B$4&lt;&gt;"OR+EX",--(DATOS!$G11142=CONFIG_METADATA!$B$4),IF(DATOS!$G11142="EX",1,IF(DATOS!$G11142="OR",--(COUNTIFS(nNIA,DATOS!$A11142,nCURSO,DATOS!$D11142,nESPEC,DATOS!$E11142,nASIG,DATOS!$I11142,nEVAL,"EX")=0),0))))</f>
      </c>
      <c r="H11142">
        <f>IF(DATOS!$G11142&lt;&gt;"EX",0,--(COUNTIFS(nNIA,DATOS!$A11142,nCURSO,DATOS!$D11142,nESPEC,DATOS!$E11142,nASIG,DATOS!$I11142,nEVAL,"OR")=0))</f>
      </c>
      <c r="I11142">
        <f>IF(DATOS!$I11142="","",IFERROR(VLOOKUP(DATOS!$I11142,CONFIG_ASIGNATURAS!$B$2:$J$91,9,FALSE()),""))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IF(DATOS!$A11143="",0,IF(CONFIG_METADATA!$B$4&lt;&gt;"OR+EX",--(DATOS!$G11143=CONFIG_METADATA!$B$4),IF(DATOS!$G11143="EX",1,IF(DATOS!$G11143="OR",--(COUNTIFS(nNIA,DATOS!$A11143,nCURSO,DATOS!$D11143,nESPEC,DATOS!$E11143,nASIG,DATOS!$I11143,nEVAL,"EX")=0),0))))</f>
      </c>
      <c r="H11143">
        <f>IF(DATOS!$G11143&lt;&gt;"EX",0,--(COUNTIFS(nNIA,DATOS!$A11143,nCURSO,DATOS!$D11143,nESPEC,DATOS!$E11143,nASIG,DATOS!$I11143,nEVAL,"OR")=0))</f>
      </c>
      <c r="I11143">
        <f>IF(DATOS!$I11143="","",IFERROR(VLOOKUP(DATOS!$I11143,CONFIG_ASIGNATURAS!$B$2:$J$91,9,FALSE()),""))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IF(DATOS!$A11144="",0,IF(CONFIG_METADATA!$B$4&lt;&gt;"OR+EX",--(DATOS!$G11144=CONFIG_METADATA!$B$4),IF(DATOS!$G11144="EX",1,IF(DATOS!$G11144="OR",--(COUNTIFS(nNIA,DATOS!$A11144,nCURSO,DATOS!$D11144,nESPEC,DATOS!$E11144,nASIG,DATOS!$I11144,nEVAL,"EX")=0),0))))</f>
      </c>
      <c r="H11144">
        <f>IF(DATOS!$G11144&lt;&gt;"EX",0,--(COUNTIFS(nNIA,DATOS!$A11144,nCURSO,DATOS!$D11144,nESPEC,DATOS!$E11144,nASIG,DATOS!$I11144,nEVAL,"OR")=0))</f>
      </c>
      <c r="I11144">
        <f>IF(DATOS!$I11144="","",IFERROR(VLOOKUP(DATOS!$I11144,CONFIG_ASIGNATURAS!$B$2:$J$91,9,FALSE()),""))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IF(DATOS!$A11145="",0,IF(CONFIG_METADATA!$B$4&lt;&gt;"OR+EX",--(DATOS!$G11145=CONFIG_METADATA!$B$4),IF(DATOS!$G11145="EX",1,IF(DATOS!$G11145="OR",--(COUNTIFS(nNIA,DATOS!$A11145,nCURSO,DATOS!$D11145,nESPEC,DATOS!$E11145,nASIG,DATOS!$I11145,nEVAL,"EX")=0),0))))</f>
      </c>
      <c r="H11145">
        <f>IF(DATOS!$G11145&lt;&gt;"EX",0,--(COUNTIFS(nNIA,DATOS!$A11145,nCURSO,DATOS!$D11145,nESPEC,DATOS!$E11145,nASIG,DATOS!$I11145,nEVAL,"OR")=0))</f>
      </c>
      <c r="I11145">
        <f>IF(DATOS!$I11145="","",IFERROR(VLOOKUP(DATOS!$I11145,CONFIG_ASIGNATURAS!$B$2:$J$91,9,FALSE()),""))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IF(DATOS!$A11146="",0,IF(CONFIG_METADATA!$B$4&lt;&gt;"OR+EX",--(DATOS!$G11146=CONFIG_METADATA!$B$4),IF(DATOS!$G11146="EX",1,IF(DATOS!$G11146="OR",--(COUNTIFS(nNIA,DATOS!$A11146,nCURSO,DATOS!$D11146,nESPEC,DATOS!$E11146,nASIG,DATOS!$I11146,nEVAL,"EX")=0),0))))</f>
      </c>
      <c r="H11146">
        <f>IF(DATOS!$G11146&lt;&gt;"EX",0,--(COUNTIFS(nNIA,DATOS!$A11146,nCURSO,DATOS!$D11146,nESPEC,DATOS!$E11146,nASIG,DATOS!$I11146,nEVAL,"OR")=0))</f>
      </c>
      <c r="I11146">
        <f>IF(DATOS!$I11146="","",IFERROR(VLOOKUP(DATOS!$I11146,CONFIG_ASIGNATURAS!$B$2:$J$91,9,FALSE()),""))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IF(DATOS!$A11147="",0,IF(CONFIG_METADATA!$B$4&lt;&gt;"OR+EX",--(DATOS!$G11147=CONFIG_METADATA!$B$4),IF(DATOS!$G11147="EX",1,IF(DATOS!$G11147="OR",--(COUNTIFS(nNIA,DATOS!$A11147,nCURSO,DATOS!$D11147,nESPEC,DATOS!$E11147,nASIG,DATOS!$I11147,nEVAL,"EX")=0),0))))</f>
      </c>
      <c r="H11147">
        <f>IF(DATOS!$G11147&lt;&gt;"EX",0,--(COUNTIFS(nNIA,DATOS!$A11147,nCURSO,DATOS!$D11147,nESPEC,DATOS!$E11147,nASIG,DATOS!$I11147,nEVAL,"OR")=0))</f>
      </c>
      <c r="I11147">
        <f>IF(DATOS!$I11147="","",IFERROR(VLOOKUP(DATOS!$I11147,CONFIG_ASIGNATURAS!$B$2:$J$91,9,FALSE()),""))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IF(DATOS!$A11148="",0,IF(CONFIG_METADATA!$B$4&lt;&gt;"OR+EX",--(DATOS!$G11148=CONFIG_METADATA!$B$4),IF(DATOS!$G11148="EX",1,IF(DATOS!$G11148="OR",--(COUNTIFS(nNIA,DATOS!$A11148,nCURSO,DATOS!$D11148,nESPEC,DATOS!$E11148,nASIG,DATOS!$I11148,nEVAL,"EX")=0),0))))</f>
      </c>
      <c r="H11148">
        <f>IF(DATOS!$G11148&lt;&gt;"EX",0,--(COUNTIFS(nNIA,DATOS!$A11148,nCURSO,DATOS!$D11148,nESPEC,DATOS!$E11148,nASIG,DATOS!$I11148,nEVAL,"OR")=0))</f>
      </c>
      <c r="I11148">
        <f>IF(DATOS!$I11148="","",IFERROR(VLOOKUP(DATOS!$I11148,CONFIG_ASIGNATURAS!$B$2:$J$91,9,FALSE()),""))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IF(DATOS!$A11149="",0,IF(CONFIG_METADATA!$B$4&lt;&gt;"OR+EX",--(DATOS!$G11149=CONFIG_METADATA!$B$4),IF(DATOS!$G11149="EX",1,IF(DATOS!$G11149="OR",--(COUNTIFS(nNIA,DATOS!$A11149,nCURSO,DATOS!$D11149,nESPEC,DATOS!$E11149,nASIG,DATOS!$I11149,nEVAL,"EX")=0),0))))</f>
      </c>
      <c r="H11149">
        <f>IF(DATOS!$G11149&lt;&gt;"EX",0,--(COUNTIFS(nNIA,DATOS!$A11149,nCURSO,DATOS!$D11149,nESPEC,DATOS!$E11149,nASIG,DATOS!$I11149,nEVAL,"OR")=0))</f>
      </c>
      <c r="I11149">
        <f>IF(DATOS!$I11149="","",IFERROR(VLOOKUP(DATOS!$I11149,CONFIG_ASIGNATURAS!$B$2:$J$91,9,FALSE()),""))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IF(DATOS!$A11150="",0,IF(CONFIG_METADATA!$B$4&lt;&gt;"OR+EX",--(DATOS!$G11150=CONFIG_METADATA!$B$4),IF(DATOS!$G11150="EX",1,IF(DATOS!$G11150="OR",--(COUNTIFS(nNIA,DATOS!$A11150,nCURSO,DATOS!$D11150,nESPEC,DATOS!$E11150,nASIG,DATOS!$I11150,nEVAL,"EX")=0),0))))</f>
      </c>
      <c r="H11150">
        <f>IF(DATOS!$G11150&lt;&gt;"EX",0,--(COUNTIFS(nNIA,DATOS!$A11150,nCURSO,DATOS!$D11150,nESPEC,DATOS!$E11150,nASIG,DATOS!$I11150,nEVAL,"OR")=0))</f>
      </c>
      <c r="I11150">
        <f>IF(DATOS!$I11150="","",IFERROR(VLOOKUP(DATOS!$I11150,CONFIG_ASIGNATURAS!$B$2:$J$91,9,FALSE()),""))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IF(DATOS!$A11151="",0,IF(CONFIG_METADATA!$B$4&lt;&gt;"OR+EX",--(DATOS!$G11151=CONFIG_METADATA!$B$4),IF(DATOS!$G11151="EX",1,IF(DATOS!$G11151="OR",--(COUNTIFS(nNIA,DATOS!$A11151,nCURSO,DATOS!$D11151,nESPEC,DATOS!$E11151,nASIG,DATOS!$I11151,nEVAL,"EX")=0),0))))</f>
      </c>
      <c r="H11151">
        <f>IF(DATOS!$G11151&lt;&gt;"EX",0,--(COUNTIFS(nNIA,DATOS!$A11151,nCURSO,DATOS!$D11151,nESPEC,DATOS!$E11151,nASIG,DATOS!$I11151,nEVAL,"OR")=0))</f>
      </c>
      <c r="I11151">
        <f>IF(DATOS!$I11151="","",IFERROR(VLOOKUP(DATOS!$I11151,CONFIG_ASIGNATURAS!$B$2:$J$91,9,FALSE()),""))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IF(DATOS!$A11152="",0,IF(CONFIG_METADATA!$B$4&lt;&gt;"OR+EX",--(DATOS!$G11152=CONFIG_METADATA!$B$4),IF(DATOS!$G11152="EX",1,IF(DATOS!$G11152="OR",--(COUNTIFS(nNIA,DATOS!$A11152,nCURSO,DATOS!$D11152,nESPEC,DATOS!$E11152,nASIG,DATOS!$I11152,nEVAL,"EX")=0),0))))</f>
      </c>
      <c r="H11152">
        <f>IF(DATOS!$G11152&lt;&gt;"EX",0,--(COUNTIFS(nNIA,DATOS!$A11152,nCURSO,DATOS!$D11152,nESPEC,DATOS!$E11152,nASIG,DATOS!$I11152,nEVAL,"OR")=0))</f>
      </c>
      <c r="I11152">
        <f>IF(DATOS!$I11152="","",IFERROR(VLOOKUP(DATOS!$I11152,CONFIG_ASIGNATURAS!$B$2:$J$91,9,FALSE()),""))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IF(DATOS!$A11153="",0,IF(CONFIG_METADATA!$B$4&lt;&gt;"OR+EX",--(DATOS!$G11153=CONFIG_METADATA!$B$4),IF(DATOS!$G11153="EX",1,IF(DATOS!$G11153="OR",--(COUNTIFS(nNIA,DATOS!$A11153,nCURSO,DATOS!$D11153,nESPEC,DATOS!$E11153,nASIG,DATOS!$I11153,nEVAL,"EX")=0),0))))</f>
      </c>
      <c r="H11153">
        <f>IF(DATOS!$G11153&lt;&gt;"EX",0,--(COUNTIFS(nNIA,DATOS!$A11153,nCURSO,DATOS!$D11153,nESPEC,DATOS!$E11153,nASIG,DATOS!$I11153,nEVAL,"OR")=0))</f>
      </c>
      <c r="I11153">
        <f>IF(DATOS!$I11153="","",IFERROR(VLOOKUP(DATOS!$I11153,CONFIG_ASIGNATURAS!$B$2:$J$91,9,FALSE()),""))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IF(DATOS!$A11154="",0,IF(CONFIG_METADATA!$B$4&lt;&gt;"OR+EX",--(DATOS!$G11154=CONFIG_METADATA!$B$4),IF(DATOS!$G11154="EX",1,IF(DATOS!$G11154="OR",--(COUNTIFS(nNIA,DATOS!$A11154,nCURSO,DATOS!$D11154,nESPEC,DATOS!$E11154,nASIG,DATOS!$I11154,nEVAL,"EX")=0),0))))</f>
      </c>
      <c r="H11154">
        <f>IF(DATOS!$G11154&lt;&gt;"EX",0,--(COUNTIFS(nNIA,DATOS!$A11154,nCURSO,DATOS!$D11154,nESPEC,DATOS!$E11154,nASIG,DATOS!$I11154,nEVAL,"OR")=0))</f>
      </c>
      <c r="I11154">
        <f>IF(DATOS!$I11154="","",IFERROR(VLOOKUP(DATOS!$I11154,CONFIG_ASIGNATURAS!$B$2:$J$91,9,FALSE()),""))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IF(DATOS!$A11155="",0,IF(CONFIG_METADATA!$B$4&lt;&gt;"OR+EX",--(DATOS!$G11155=CONFIG_METADATA!$B$4),IF(DATOS!$G11155="EX",1,IF(DATOS!$G11155="OR",--(COUNTIFS(nNIA,DATOS!$A11155,nCURSO,DATOS!$D11155,nESPEC,DATOS!$E11155,nASIG,DATOS!$I11155,nEVAL,"EX")=0),0))))</f>
      </c>
      <c r="H11155">
        <f>IF(DATOS!$G11155&lt;&gt;"EX",0,--(COUNTIFS(nNIA,DATOS!$A11155,nCURSO,DATOS!$D11155,nESPEC,DATOS!$E11155,nASIG,DATOS!$I11155,nEVAL,"OR")=0))</f>
      </c>
      <c r="I11155">
        <f>IF(DATOS!$I11155="","",IFERROR(VLOOKUP(DATOS!$I11155,CONFIG_ASIGNATURAS!$B$2:$J$91,9,FALSE()),""))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IF(DATOS!$A11156="",0,IF(CONFIG_METADATA!$B$4&lt;&gt;"OR+EX",--(DATOS!$G11156=CONFIG_METADATA!$B$4),IF(DATOS!$G11156="EX",1,IF(DATOS!$G11156="OR",--(COUNTIFS(nNIA,DATOS!$A11156,nCURSO,DATOS!$D11156,nESPEC,DATOS!$E11156,nASIG,DATOS!$I11156,nEVAL,"EX")=0),0))))</f>
      </c>
      <c r="H11156">
        <f>IF(DATOS!$G11156&lt;&gt;"EX",0,--(COUNTIFS(nNIA,DATOS!$A11156,nCURSO,DATOS!$D11156,nESPEC,DATOS!$E11156,nASIG,DATOS!$I11156,nEVAL,"OR")=0))</f>
      </c>
      <c r="I11156">
        <f>IF(DATOS!$I11156="","",IFERROR(VLOOKUP(DATOS!$I11156,CONFIG_ASIGNATURAS!$B$2:$J$91,9,FALSE()),""))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IF(DATOS!$A11157="",0,IF(CONFIG_METADATA!$B$4&lt;&gt;"OR+EX",--(DATOS!$G11157=CONFIG_METADATA!$B$4),IF(DATOS!$G11157="EX",1,IF(DATOS!$G11157="OR",--(COUNTIFS(nNIA,DATOS!$A11157,nCURSO,DATOS!$D11157,nESPEC,DATOS!$E11157,nASIG,DATOS!$I11157,nEVAL,"EX")=0),0))))</f>
      </c>
      <c r="H11157">
        <f>IF(DATOS!$G11157&lt;&gt;"EX",0,--(COUNTIFS(nNIA,DATOS!$A11157,nCURSO,DATOS!$D11157,nESPEC,DATOS!$E11157,nASIG,DATOS!$I11157,nEVAL,"OR")=0))</f>
      </c>
      <c r="I11157">
        <f>IF(DATOS!$I11157="","",IFERROR(VLOOKUP(DATOS!$I11157,CONFIG_ASIGNATURAS!$B$2:$J$91,9,FALSE()),""))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IF(DATOS!$A11158="",0,IF(CONFIG_METADATA!$B$4&lt;&gt;"OR+EX",--(DATOS!$G11158=CONFIG_METADATA!$B$4),IF(DATOS!$G11158="EX",1,IF(DATOS!$G11158="OR",--(COUNTIFS(nNIA,DATOS!$A11158,nCURSO,DATOS!$D11158,nESPEC,DATOS!$E11158,nASIG,DATOS!$I11158,nEVAL,"EX")=0),0))))</f>
      </c>
      <c r="H11158">
        <f>IF(DATOS!$G11158&lt;&gt;"EX",0,--(COUNTIFS(nNIA,DATOS!$A11158,nCURSO,DATOS!$D11158,nESPEC,DATOS!$E11158,nASIG,DATOS!$I11158,nEVAL,"OR")=0))</f>
      </c>
      <c r="I11158">
        <f>IF(DATOS!$I11158="","",IFERROR(VLOOKUP(DATOS!$I11158,CONFIG_ASIGNATURAS!$B$2:$J$91,9,FALSE()),""))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IF(DATOS!$A11159="",0,IF(CONFIG_METADATA!$B$4&lt;&gt;"OR+EX",--(DATOS!$G11159=CONFIG_METADATA!$B$4),IF(DATOS!$G11159="EX",1,IF(DATOS!$G11159="OR",--(COUNTIFS(nNIA,DATOS!$A11159,nCURSO,DATOS!$D11159,nESPEC,DATOS!$E11159,nASIG,DATOS!$I11159,nEVAL,"EX")=0),0))))</f>
      </c>
      <c r="H11159">
        <f>IF(DATOS!$G11159&lt;&gt;"EX",0,--(COUNTIFS(nNIA,DATOS!$A11159,nCURSO,DATOS!$D11159,nESPEC,DATOS!$E11159,nASIG,DATOS!$I11159,nEVAL,"OR")=0))</f>
      </c>
      <c r="I11159">
        <f>IF(DATOS!$I11159="","",IFERROR(VLOOKUP(DATOS!$I11159,CONFIG_ASIGNATURAS!$B$2:$J$91,9,FALSE()),""))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IF(DATOS!$A11160="",0,IF(CONFIG_METADATA!$B$4&lt;&gt;"OR+EX",--(DATOS!$G11160=CONFIG_METADATA!$B$4),IF(DATOS!$G11160="EX",1,IF(DATOS!$G11160="OR",--(COUNTIFS(nNIA,DATOS!$A11160,nCURSO,DATOS!$D11160,nESPEC,DATOS!$E11160,nASIG,DATOS!$I11160,nEVAL,"EX")=0),0))))</f>
      </c>
      <c r="H11160">
        <f>IF(DATOS!$G11160&lt;&gt;"EX",0,--(COUNTIFS(nNIA,DATOS!$A11160,nCURSO,DATOS!$D11160,nESPEC,DATOS!$E11160,nASIG,DATOS!$I11160,nEVAL,"OR")=0))</f>
      </c>
      <c r="I11160">
        <f>IF(DATOS!$I11160="","",IFERROR(VLOOKUP(DATOS!$I11160,CONFIG_ASIGNATURAS!$B$2:$J$91,9,FALSE()),""))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IF(DATOS!$A11161="",0,IF(CONFIG_METADATA!$B$4&lt;&gt;"OR+EX",--(DATOS!$G11161=CONFIG_METADATA!$B$4),IF(DATOS!$G11161="EX",1,IF(DATOS!$G11161="OR",--(COUNTIFS(nNIA,DATOS!$A11161,nCURSO,DATOS!$D11161,nESPEC,DATOS!$E11161,nASIG,DATOS!$I11161,nEVAL,"EX")=0),0))))</f>
      </c>
      <c r="H11161">
        <f>IF(DATOS!$G11161&lt;&gt;"EX",0,--(COUNTIFS(nNIA,DATOS!$A11161,nCURSO,DATOS!$D11161,nESPEC,DATOS!$E11161,nASIG,DATOS!$I11161,nEVAL,"OR")=0))</f>
      </c>
      <c r="I11161">
        <f>IF(DATOS!$I11161="","",IFERROR(VLOOKUP(DATOS!$I11161,CONFIG_ASIGNATURAS!$B$2:$J$91,9,FALSE()),""))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IF(DATOS!$A11162="",0,IF(CONFIG_METADATA!$B$4&lt;&gt;"OR+EX",--(DATOS!$G11162=CONFIG_METADATA!$B$4),IF(DATOS!$G11162="EX",1,IF(DATOS!$G11162="OR",--(COUNTIFS(nNIA,DATOS!$A11162,nCURSO,DATOS!$D11162,nESPEC,DATOS!$E11162,nASIG,DATOS!$I11162,nEVAL,"EX")=0),0))))</f>
      </c>
      <c r="H11162">
        <f>IF(DATOS!$G11162&lt;&gt;"EX",0,--(COUNTIFS(nNIA,DATOS!$A11162,nCURSO,DATOS!$D11162,nESPEC,DATOS!$E11162,nASIG,DATOS!$I11162,nEVAL,"OR")=0))</f>
      </c>
      <c r="I11162">
        <f>IF(DATOS!$I11162="","",IFERROR(VLOOKUP(DATOS!$I11162,CONFIG_ASIGNATURAS!$B$2:$J$91,9,FALSE()),""))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IF(DATOS!$A11163="",0,IF(CONFIG_METADATA!$B$4&lt;&gt;"OR+EX",--(DATOS!$G11163=CONFIG_METADATA!$B$4),IF(DATOS!$G11163="EX",1,IF(DATOS!$G11163="OR",--(COUNTIFS(nNIA,DATOS!$A11163,nCURSO,DATOS!$D11163,nESPEC,DATOS!$E11163,nASIG,DATOS!$I11163,nEVAL,"EX")=0),0))))</f>
      </c>
      <c r="H11163">
        <f>IF(DATOS!$G11163&lt;&gt;"EX",0,--(COUNTIFS(nNIA,DATOS!$A11163,nCURSO,DATOS!$D11163,nESPEC,DATOS!$E11163,nASIG,DATOS!$I11163,nEVAL,"OR")=0))</f>
      </c>
      <c r="I11163">
        <f>IF(DATOS!$I11163="","",IFERROR(VLOOKUP(DATOS!$I11163,CONFIG_ASIGNATURAS!$B$2:$J$91,9,FALSE()),""))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IF(DATOS!$A11164="",0,IF(CONFIG_METADATA!$B$4&lt;&gt;"OR+EX",--(DATOS!$G11164=CONFIG_METADATA!$B$4),IF(DATOS!$G11164="EX",1,IF(DATOS!$G11164="OR",--(COUNTIFS(nNIA,DATOS!$A11164,nCURSO,DATOS!$D11164,nESPEC,DATOS!$E11164,nASIG,DATOS!$I11164,nEVAL,"EX")=0),0))))</f>
      </c>
      <c r="H11164">
        <f>IF(DATOS!$G11164&lt;&gt;"EX",0,--(COUNTIFS(nNIA,DATOS!$A11164,nCURSO,DATOS!$D11164,nESPEC,DATOS!$E11164,nASIG,DATOS!$I11164,nEVAL,"OR")=0))</f>
      </c>
      <c r="I11164">
        <f>IF(DATOS!$I11164="","",IFERROR(VLOOKUP(DATOS!$I11164,CONFIG_ASIGNATURAS!$B$2:$J$91,9,FALSE()),""))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IF(DATOS!$A11165="",0,IF(CONFIG_METADATA!$B$4&lt;&gt;"OR+EX",--(DATOS!$G11165=CONFIG_METADATA!$B$4),IF(DATOS!$G11165="EX",1,IF(DATOS!$G11165="OR",--(COUNTIFS(nNIA,DATOS!$A11165,nCURSO,DATOS!$D11165,nESPEC,DATOS!$E11165,nASIG,DATOS!$I11165,nEVAL,"EX")=0),0))))</f>
      </c>
      <c r="H11165">
        <f>IF(DATOS!$G11165&lt;&gt;"EX",0,--(COUNTIFS(nNIA,DATOS!$A11165,nCURSO,DATOS!$D11165,nESPEC,DATOS!$E11165,nASIG,DATOS!$I11165,nEVAL,"OR")=0))</f>
      </c>
      <c r="I11165">
        <f>IF(DATOS!$I11165="","",IFERROR(VLOOKUP(DATOS!$I11165,CONFIG_ASIGNATURAS!$B$2:$J$91,9,FALSE()),""))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IF(DATOS!$A11166="",0,IF(CONFIG_METADATA!$B$4&lt;&gt;"OR+EX",--(DATOS!$G11166=CONFIG_METADATA!$B$4),IF(DATOS!$G11166="EX",1,IF(DATOS!$G11166="OR",--(COUNTIFS(nNIA,DATOS!$A11166,nCURSO,DATOS!$D11166,nESPEC,DATOS!$E11166,nASIG,DATOS!$I11166,nEVAL,"EX")=0),0))))</f>
      </c>
      <c r="H11166">
        <f>IF(DATOS!$G11166&lt;&gt;"EX",0,--(COUNTIFS(nNIA,DATOS!$A11166,nCURSO,DATOS!$D11166,nESPEC,DATOS!$E11166,nASIG,DATOS!$I11166,nEVAL,"OR")=0))</f>
      </c>
      <c r="I11166">
        <f>IF(DATOS!$I11166="","",IFERROR(VLOOKUP(DATOS!$I11166,CONFIG_ASIGNATURAS!$B$2:$J$91,9,FALSE()),""))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IF(DATOS!$A11167="",0,IF(CONFIG_METADATA!$B$4&lt;&gt;"OR+EX",--(DATOS!$G11167=CONFIG_METADATA!$B$4),IF(DATOS!$G11167="EX",1,IF(DATOS!$G11167="OR",--(COUNTIFS(nNIA,DATOS!$A11167,nCURSO,DATOS!$D11167,nESPEC,DATOS!$E11167,nASIG,DATOS!$I11167,nEVAL,"EX")=0),0))))</f>
      </c>
      <c r="H11167">
        <f>IF(DATOS!$G11167&lt;&gt;"EX",0,--(COUNTIFS(nNIA,DATOS!$A11167,nCURSO,DATOS!$D11167,nESPEC,DATOS!$E11167,nASIG,DATOS!$I11167,nEVAL,"OR")=0))</f>
      </c>
      <c r="I11167">
        <f>IF(DATOS!$I11167="","",IFERROR(VLOOKUP(DATOS!$I11167,CONFIG_ASIGNATURAS!$B$2:$J$91,9,FALSE()),""))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IF(DATOS!$A11168="",0,IF(CONFIG_METADATA!$B$4&lt;&gt;"OR+EX",--(DATOS!$G11168=CONFIG_METADATA!$B$4),IF(DATOS!$G11168="EX",1,IF(DATOS!$G11168="OR",--(COUNTIFS(nNIA,DATOS!$A11168,nCURSO,DATOS!$D11168,nESPEC,DATOS!$E11168,nASIG,DATOS!$I11168,nEVAL,"EX")=0),0))))</f>
      </c>
      <c r="H11168">
        <f>IF(DATOS!$G11168&lt;&gt;"EX",0,--(COUNTIFS(nNIA,DATOS!$A11168,nCURSO,DATOS!$D11168,nESPEC,DATOS!$E11168,nASIG,DATOS!$I11168,nEVAL,"OR")=0))</f>
      </c>
      <c r="I11168">
        <f>IF(DATOS!$I11168="","",IFERROR(VLOOKUP(DATOS!$I11168,CONFIG_ASIGNATURAS!$B$2:$J$91,9,FALSE()),""))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IF(DATOS!$A11169="",0,IF(CONFIG_METADATA!$B$4&lt;&gt;"OR+EX",--(DATOS!$G11169=CONFIG_METADATA!$B$4),IF(DATOS!$G11169="EX",1,IF(DATOS!$G11169="OR",--(COUNTIFS(nNIA,DATOS!$A11169,nCURSO,DATOS!$D11169,nESPEC,DATOS!$E11169,nASIG,DATOS!$I11169,nEVAL,"EX")=0),0))))</f>
      </c>
      <c r="H11169">
        <f>IF(DATOS!$G11169&lt;&gt;"EX",0,--(COUNTIFS(nNIA,DATOS!$A11169,nCURSO,DATOS!$D11169,nESPEC,DATOS!$E11169,nASIG,DATOS!$I11169,nEVAL,"OR")=0))</f>
      </c>
      <c r="I11169">
        <f>IF(DATOS!$I11169="","",IFERROR(VLOOKUP(DATOS!$I11169,CONFIG_ASIGNATURAS!$B$2:$J$91,9,FALSE()),""))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IF(DATOS!$A11170="",0,IF(CONFIG_METADATA!$B$4&lt;&gt;"OR+EX",--(DATOS!$G11170=CONFIG_METADATA!$B$4),IF(DATOS!$G11170="EX",1,IF(DATOS!$G11170="OR",--(COUNTIFS(nNIA,DATOS!$A11170,nCURSO,DATOS!$D11170,nESPEC,DATOS!$E11170,nASIG,DATOS!$I11170,nEVAL,"EX")=0),0))))</f>
      </c>
      <c r="H11170">
        <f>IF(DATOS!$G11170&lt;&gt;"EX",0,--(COUNTIFS(nNIA,DATOS!$A11170,nCURSO,DATOS!$D11170,nESPEC,DATOS!$E11170,nASIG,DATOS!$I11170,nEVAL,"OR")=0))</f>
      </c>
      <c r="I11170">
        <f>IF(DATOS!$I11170="","",IFERROR(VLOOKUP(DATOS!$I11170,CONFIG_ASIGNATURAS!$B$2:$J$91,9,FALSE()),""))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IF(DATOS!$A11171="",0,IF(CONFIG_METADATA!$B$4&lt;&gt;"OR+EX",--(DATOS!$G11171=CONFIG_METADATA!$B$4),IF(DATOS!$G11171="EX",1,IF(DATOS!$G11171="OR",--(COUNTIFS(nNIA,DATOS!$A11171,nCURSO,DATOS!$D11171,nESPEC,DATOS!$E11171,nASIG,DATOS!$I11171,nEVAL,"EX")=0),0))))</f>
      </c>
      <c r="H11171">
        <f>IF(DATOS!$G11171&lt;&gt;"EX",0,--(COUNTIFS(nNIA,DATOS!$A11171,nCURSO,DATOS!$D11171,nESPEC,DATOS!$E11171,nASIG,DATOS!$I11171,nEVAL,"OR")=0))</f>
      </c>
      <c r="I11171">
        <f>IF(DATOS!$I11171="","",IFERROR(VLOOKUP(DATOS!$I11171,CONFIG_ASIGNATURAS!$B$2:$J$91,9,FALSE()),""))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IF(DATOS!$A11172="",0,IF(CONFIG_METADATA!$B$4&lt;&gt;"OR+EX",--(DATOS!$G11172=CONFIG_METADATA!$B$4),IF(DATOS!$G11172="EX",1,IF(DATOS!$G11172="OR",--(COUNTIFS(nNIA,DATOS!$A11172,nCURSO,DATOS!$D11172,nESPEC,DATOS!$E11172,nASIG,DATOS!$I11172,nEVAL,"EX")=0),0))))</f>
      </c>
      <c r="H11172">
        <f>IF(DATOS!$G11172&lt;&gt;"EX",0,--(COUNTIFS(nNIA,DATOS!$A11172,nCURSO,DATOS!$D11172,nESPEC,DATOS!$E11172,nASIG,DATOS!$I11172,nEVAL,"OR")=0))</f>
      </c>
      <c r="I11172">
        <f>IF(DATOS!$I11172="","",IFERROR(VLOOKUP(DATOS!$I11172,CONFIG_ASIGNATURAS!$B$2:$J$91,9,FALSE()),""))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IF(DATOS!$A11173="",0,IF(CONFIG_METADATA!$B$4&lt;&gt;"OR+EX",--(DATOS!$G11173=CONFIG_METADATA!$B$4),IF(DATOS!$G11173="EX",1,IF(DATOS!$G11173="OR",--(COUNTIFS(nNIA,DATOS!$A11173,nCURSO,DATOS!$D11173,nESPEC,DATOS!$E11173,nASIG,DATOS!$I11173,nEVAL,"EX")=0),0))))</f>
      </c>
      <c r="H11173">
        <f>IF(DATOS!$G11173&lt;&gt;"EX",0,--(COUNTIFS(nNIA,DATOS!$A11173,nCURSO,DATOS!$D11173,nESPEC,DATOS!$E11173,nASIG,DATOS!$I11173,nEVAL,"OR")=0))</f>
      </c>
      <c r="I11173">
        <f>IF(DATOS!$I11173="","",IFERROR(VLOOKUP(DATOS!$I11173,CONFIG_ASIGNATURAS!$B$2:$J$91,9,FALSE()),""))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IF(DATOS!$A11174="",0,IF(CONFIG_METADATA!$B$4&lt;&gt;"OR+EX",--(DATOS!$G11174=CONFIG_METADATA!$B$4),IF(DATOS!$G11174="EX",1,IF(DATOS!$G11174="OR",--(COUNTIFS(nNIA,DATOS!$A11174,nCURSO,DATOS!$D11174,nESPEC,DATOS!$E11174,nASIG,DATOS!$I11174,nEVAL,"EX")=0),0))))</f>
      </c>
      <c r="H11174">
        <f>IF(DATOS!$G11174&lt;&gt;"EX",0,--(COUNTIFS(nNIA,DATOS!$A11174,nCURSO,DATOS!$D11174,nESPEC,DATOS!$E11174,nASIG,DATOS!$I11174,nEVAL,"OR")=0))</f>
      </c>
      <c r="I11174">
        <f>IF(DATOS!$I11174="","",IFERROR(VLOOKUP(DATOS!$I11174,CONFIG_ASIGNATURAS!$B$2:$J$91,9,FALSE()),""))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IF(DATOS!$A11175="",0,IF(CONFIG_METADATA!$B$4&lt;&gt;"OR+EX",--(DATOS!$G11175=CONFIG_METADATA!$B$4),IF(DATOS!$G11175="EX",1,IF(DATOS!$G11175="OR",--(COUNTIFS(nNIA,DATOS!$A11175,nCURSO,DATOS!$D11175,nESPEC,DATOS!$E11175,nASIG,DATOS!$I11175,nEVAL,"EX")=0),0))))</f>
      </c>
      <c r="H11175">
        <f>IF(DATOS!$G11175&lt;&gt;"EX",0,--(COUNTIFS(nNIA,DATOS!$A11175,nCURSO,DATOS!$D11175,nESPEC,DATOS!$E11175,nASIG,DATOS!$I11175,nEVAL,"OR")=0))</f>
      </c>
      <c r="I11175">
        <f>IF(DATOS!$I11175="","",IFERROR(VLOOKUP(DATOS!$I11175,CONFIG_ASIGNATURAS!$B$2:$J$91,9,FALSE()),""))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IF(DATOS!$A11176="",0,IF(CONFIG_METADATA!$B$4&lt;&gt;"OR+EX",--(DATOS!$G11176=CONFIG_METADATA!$B$4),IF(DATOS!$G11176="EX",1,IF(DATOS!$G11176="OR",--(COUNTIFS(nNIA,DATOS!$A11176,nCURSO,DATOS!$D11176,nESPEC,DATOS!$E11176,nASIG,DATOS!$I11176,nEVAL,"EX")=0),0))))</f>
      </c>
      <c r="H11176">
        <f>IF(DATOS!$G11176&lt;&gt;"EX",0,--(COUNTIFS(nNIA,DATOS!$A11176,nCURSO,DATOS!$D11176,nESPEC,DATOS!$E11176,nASIG,DATOS!$I11176,nEVAL,"OR")=0))</f>
      </c>
      <c r="I11176">
        <f>IF(DATOS!$I11176="","",IFERROR(VLOOKUP(DATOS!$I11176,CONFIG_ASIGNATURAS!$B$2:$J$91,9,FALSE()),""))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IF(DATOS!$A11177="",0,IF(CONFIG_METADATA!$B$4&lt;&gt;"OR+EX",--(DATOS!$G11177=CONFIG_METADATA!$B$4),IF(DATOS!$G11177="EX",1,IF(DATOS!$G11177="OR",--(COUNTIFS(nNIA,DATOS!$A11177,nCURSO,DATOS!$D11177,nESPEC,DATOS!$E11177,nASIG,DATOS!$I11177,nEVAL,"EX")=0),0))))</f>
      </c>
      <c r="H11177">
        <f>IF(DATOS!$G11177&lt;&gt;"EX",0,--(COUNTIFS(nNIA,DATOS!$A11177,nCURSO,DATOS!$D11177,nESPEC,DATOS!$E11177,nASIG,DATOS!$I11177,nEVAL,"OR")=0))</f>
      </c>
      <c r="I11177">
        <f>IF(DATOS!$I11177="","",IFERROR(VLOOKUP(DATOS!$I11177,CONFIG_ASIGNATURAS!$B$2:$J$91,9,FALSE()),""))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IF(DATOS!$A11178="",0,IF(CONFIG_METADATA!$B$4&lt;&gt;"OR+EX",--(DATOS!$G11178=CONFIG_METADATA!$B$4),IF(DATOS!$G11178="EX",1,IF(DATOS!$G11178="OR",--(COUNTIFS(nNIA,DATOS!$A11178,nCURSO,DATOS!$D11178,nESPEC,DATOS!$E11178,nASIG,DATOS!$I11178,nEVAL,"EX")=0),0))))</f>
      </c>
      <c r="H11178">
        <f>IF(DATOS!$G11178&lt;&gt;"EX",0,--(COUNTIFS(nNIA,DATOS!$A11178,nCURSO,DATOS!$D11178,nESPEC,DATOS!$E11178,nASIG,DATOS!$I11178,nEVAL,"OR")=0))</f>
      </c>
      <c r="I11178">
        <f>IF(DATOS!$I11178="","",IFERROR(VLOOKUP(DATOS!$I11178,CONFIG_ASIGNATURAS!$B$2:$J$91,9,FALSE()),""))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IF(DATOS!$A11179="",0,IF(CONFIG_METADATA!$B$4&lt;&gt;"OR+EX",--(DATOS!$G11179=CONFIG_METADATA!$B$4),IF(DATOS!$G11179="EX",1,IF(DATOS!$G11179="OR",--(COUNTIFS(nNIA,DATOS!$A11179,nCURSO,DATOS!$D11179,nESPEC,DATOS!$E11179,nASIG,DATOS!$I11179,nEVAL,"EX")=0),0))))</f>
      </c>
      <c r="H11179">
        <f>IF(DATOS!$G11179&lt;&gt;"EX",0,--(COUNTIFS(nNIA,DATOS!$A11179,nCURSO,DATOS!$D11179,nESPEC,DATOS!$E11179,nASIG,DATOS!$I11179,nEVAL,"OR")=0))</f>
      </c>
      <c r="I11179">
        <f>IF(DATOS!$I11179="","",IFERROR(VLOOKUP(DATOS!$I11179,CONFIG_ASIGNATURAS!$B$2:$J$91,9,FALSE()),""))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IF(DATOS!$A11180="",0,IF(CONFIG_METADATA!$B$4&lt;&gt;"OR+EX",--(DATOS!$G11180=CONFIG_METADATA!$B$4),IF(DATOS!$G11180="EX",1,IF(DATOS!$G11180="OR",--(COUNTIFS(nNIA,DATOS!$A11180,nCURSO,DATOS!$D11180,nESPEC,DATOS!$E11180,nASIG,DATOS!$I11180,nEVAL,"EX")=0),0))))</f>
      </c>
      <c r="H11180">
        <f>IF(DATOS!$G11180&lt;&gt;"EX",0,--(COUNTIFS(nNIA,DATOS!$A11180,nCURSO,DATOS!$D11180,nESPEC,DATOS!$E11180,nASIG,DATOS!$I11180,nEVAL,"OR")=0))</f>
      </c>
      <c r="I11180">
        <f>IF(DATOS!$I11180="","",IFERROR(VLOOKUP(DATOS!$I11180,CONFIG_ASIGNATURAS!$B$2:$J$91,9,FALSE()),""))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IF(DATOS!$A11181="",0,IF(CONFIG_METADATA!$B$4&lt;&gt;"OR+EX",--(DATOS!$G11181=CONFIG_METADATA!$B$4),IF(DATOS!$G11181="EX",1,IF(DATOS!$G11181="OR",--(COUNTIFS(nNIA,DATOS!$A11181,nCURSO,DATOS!$D11181,nESPEC,DATOS!$E11181,nASIG,DATOS!$I11181,nEVAL,"EX")=0),0))))</f>
      </c>
      <c r="H11181">
        <f>IF(DATOS!$G11181&lt;&gt;"EX",0,--(COUNTIFS(nNIA,DATOS!$A11181,nCURSO,DATOS!$D11181,nESPEC,DATOS!$E11181,nASIG,DATOS!$I11181,nEVAL,"OR")=0))</f>
      </c>
      <c r="I11181">
        <f>IF(DATOS!$I11181="","",IFERROR(VLOOKUP(DATOS!$I11181,CONFIG_ASIGNATURAS!$B$2:$J$91,9,FALSE()),""))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IF(DATOS!$A11182="",0,IF(CONFIG_METADATA!$B$4&lt;&gt;"OR+EX",--(DATOS!$G11182=CONFIG_METADATA!$B$4),IF(DATOS!$G11182="EX",1,IF(DATOS!$G11182="OR",--(COUNTIFS(nNIA,DATOS!$A11182,nCURSO,DATOS!$D11182,nESPEC,DATOS!$E11182,nASIG,DATOS!$I11182,nEVAL,"EX")=0),0))))</f>
      </c>
      <c r="H11182">
        <f>IF(DATOS!$G11182&lt;&gt;"EX",0,--(COUNTIFS(nNIA,DATOS!$A11182,nCURSO,DATOS!$D11182,nESPEC,DATOS!$E11182,nASIG,DATOS!$I11182,nEVAL,"OR")=0))</f>
      </c>
      <c r="I11182">
        <f>IF(DATOS!$I11182="","",IFERROR(VLOOKUP(DATOS!$I11182,CONFIG_ASIGNATURAS!$B$2:$J$91,9,FALSE()),""))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IF(DATOS!$A11183="",0,IF(CONFIG_METADATA!$B$4&lt;&gt;"OR+EX",--(DATOS!$G11183=CONFIG_METADATA!$B$4),IF(DATOS!$G11183="EX",1,IF(DATOS!$G11183="OR",--(COUNTIFS(nNIA,DATOS!$A11183,nCURSO,DATOS!$D11183,nESPEC,DATOS!$E11183,nASIG,DATOS!$I11183,nEVAL,"EX")=0),0))))</f>
      </c>
      <c r="H11183">
        <f>IF(DATOS!$G11183&lt;&gt;"EX",0,--(COUNTIFS(nNIA,DATOS!$A11183,nCURSO,DATOS!$D11183,nESPEC,DATOS!$E11183,nASIG,DATOS!$I11183,nEVAL,"OR")=0))</f>
      </c>
      <c r="I11183">
        <f>IF(DATOS!$I11183="","",IFERROR(VLOOKUP(DATOS!$I11183,CONFIG_ASIGNATURAS!$B$2:$J$91,9,FALSE()),""))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IF(DATOS!$A11184="",0,IF(CONFIG_METADATA!$B$4&lt;&gt;"OR+EX",--(DATOS!$G11184=CONFIG_METADATA!$B$4),IF(DATOS!$G11184="EX",1,IF(DATOS!$G11184="OR",--(COUNTIFS(nNIA,DATOS!$A11184,nCURSO,DATOS!$D11184,nESPEC,DATOS!$E11184,nASIG,DATOS!$I11184,nEVAL,"EX")=0),0))))</f>
      </c>
      <c r="H11184">
        <f>IF(DATOS!$G11184&lt;&gt;"EX",0,--(COUNTIFS(nNIA,DATOS!$A11184,nCURSO,DATOS!$D11184,nESPEC,DATOS!$E11184,nASIG,DATOS!$I11184,nEVAL,"OR")=0))</f>
      </c>
      <c r="I11184">
        <f>IF(DATOS!$I11184="","",IFERROR(VLOOKUP(DATOS!$I11184,CONFIG_ASIGNATURAS!$B$2:$J$91,9,FALSE()),""))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IF(DATOS!$A11185="",0,IF(CONFIG_METADATA!$B$4&lt;&gt;"OR+EX",--(DATOS!$G11185=CONFIG_METADATA!$B$4),IF(DATOS!$G11185="EX",1,IF(DATOS!$G11185="OR",--(COUNTIFS(nNIA,DATOS!$A11185,nCURSO,DATOS!$D11185,nESPEC,DATOS!$E11185,nASIG,DATOS!$I11185,nEVAL,"EX")=0),0))))</f>
      </c>
      <c r="H11185">
        <f>IF(DATOS!$G11185&lt;&gt;"EX",0,--(COUNTIFS(nNIA,DATOS!$A11185,nCURSO,DATOS!$D11185,nESPEC,DATOS!$E11185,nASIG,DATOS!$I11185,nEVAL,"OR")=0))</f>
      </c>
      <c r="I11185">
        <f>IF(DATOS!$I11185="","",IFERROR(VLOOKUP(DATOS!$I11185,CONFIG_ASIGNATURAS!$B$2:$J$91,9,FALSE()),""))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IF(DATOS!$A11186="",0,IF(CONFIG_METADATA!$B$4&lt;&gt;"OR+EX",--(DATOS!$G11186=CONFIG_METADATA!$B$4),IF(DATOS!$G11186="EX",1,IF(DATOS!$G11186="OR",--(COUNTIFS(nNIA,DATOS!$A11186,nCURSO,DATOS!$D11186,nESPEC,DATOS!$E11186,nASIG,DATOS!$I11186,nEVAL,"EX")=0),0))))</f>
      </c>
      <c r="H11186">
        <f>IF(DATOS!$G11186&lt;&gt;"EX",0,--(COUNTIFS(nNIA,DATOS!$A11186,nCURSO,DATOS!$D11186,nESPEC,DATOS!$E11186,nASIG,DATOS!$I11186,nEVAL,"OR")=0))</f>
      </c>
      <c r="I11186">
        <f>IF(DATOS!$I11186="","",IFERROR(VLOOKUP(DATOS!$I11186,CONFIG_ASIGNATURAS!$B$2:$J$91,9,FALSE()),""))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IF(DATOS!$A11187="",0,IF(CONFIG_METADATA!$B$4&lt;&gt;"OR+EX",--(DATOS!$G11187=CONFIG_METADATA!$B$4),IF(DATOS!$G11187="EX",1,IF(DATOS!$G11187="OR",--(COUNTIFS(nNIA,DATOS!$A11187,nCURSO,DATOS!$D11187,nESPEC,DATOS!$E11187,nASIG,DATOS!$I11187,nEVAL,"EX")=0),0))))</f>
      </c>
      <c r="H11187">
        <f>IF(DATOS!$G11187&lt;&gt;"EX",0,--(COUNTIFS(nNIA,DATOS!$A11187,nCURSO,DATOS!$D11187,nESPEC,DATOS!$E11187,nASIG,DATOS!$I11187,nEVAL,"OR")=0))</f>
      </c>
      <c r="I11187">
        <f>IF(DATOS!$I11187="","",IFERROR(VLOOKUP(DATOS!$I11187,CONFIG_ASIGNATURAS!$B$2:$J$91,9,FALSE()),""))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IF(DATOS!$A11188="",0,IF(CONFIG_METADATA!$B$4&lt;&gt;"OR+EX",--(DATOS!$G11188=CONFIG_METADATA!$B$4),IF(DATOS!$G11188="EX",1,IF(DATOS!$G11188="OR",--(COUNTIFS(nNIA,DATOS!$A11188,nCURSO,DATOS!$D11188,nESPEC,DATOS!$E11188,nASIG,DATOS!$I11188,nEVAL,"EX")=0),0))))</f>
      </c>
      <c r="H11188">
        <f>IF(DATOS!$G11188&lt;&gt;"EX",0,--(COUNTIFS(nNIA,DATOS!$A11188,nCURSO,DATOS!$D11188,nESPEC,DATOS!$E11188,nASIG,DATOS!$I11188,nEVAL,"OR")=0))</f>
      </c>
      <c r="I11188">
        <f>IF(DATOS!$I11188="","",IFERROR(VLOOKUP(DATOS!$I11188,CONFIG_ASIGNATURAS!$B$2:$J$91,9,FALSE()),""))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IF(DATOS!$A11189="",0,IF(CONFIG_METADATA!$B$4&lt;&gt;"OR+EX",--(DATOS!$G11189=CONFIG_METADATA!$B$4),IF(DATOS!$G11189="EX",1,IF(DATOS!$G11189="OR",--(COUNTIFS(nNIA,DATOS!$A11189,nCURSO,DATOS!$D11189,nESPEC,DATOS!$E11189,nASIG,DATOS!$I11189,nEVAL,"EX")=0),0))))</f>
      </c>
      <c r="H11189">
        <f>IF(DATOS!$G11189&lt;&gt;"EX",0,--(COUNTIFS(nNIA,DATOS!$A11189,nCURSO,DATOS!$D11189,nESPEC,DATOS!$E11189,nASIG,DATOS!$I11189,nEVAL,"OR")=0))</f>
      </c>
      <c r="I11189">
        <f>IF(DATOS!$I11189="","",IFERROR(VLOOKUP(DATOS!$I11189,CONFIG_ASIGNATURAS!$B$2:$J$91,9,FALSE()),""))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IF(DATOS!$A11190="",0,IF(CONFIG_METADATA!$B$4&lt;&gt;"OR+EX",--(DATOS!$G11190=CONFIG_METADATA!$B$4),IF(DATOS!$G11190="EX",1,IF(DATOS!$G11190="OR",--(COUNTIFS(nNIA,DATOS!$A11190,nCURSO,DATOS!$D11190,nESPEC,DATOS!$E11190,nASIG,DATOS!$I11190,nEVAL,"EX")=0),0))))</f>
      </c>
      <c r="H11190">
        <f>IF(DATOS!$G11190&lt;&gt;"EX",0,--(COUNTIFS(nNIA,DATOS!$A11190,nCURSO,DATOS!$D11190,nESPEC,DATOS!$E11190,nASIG,DATOS!$I11190,nEVAL,"OR")=0))</f>
      </c>
      <c r="I11190">
        <f>IF(DATOS!$I11190="","",IFERROR(VLOOKUP(DATOS!$I11190,CONFIG_ASIGNATURAS!$B$2:$J$91,9,FALSE()),""))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IF(DATOS!$A11191="",0,IF(CONFIG_METADATA!$B$4&lt;&gt;"OR+EX",--(DATOS!$G11191=CONFIG_METADATA!$B$4),IF(DATOS!$G11191="EX",1,IF(DATOS!$G11191="OR",--(COUNTIFS(nNIA,DATOS!$A11191,nCURSO,DATOS!$D11191,nESPEC,DATOS!$E11191,nASIG,DATOS!$I11191,nEVAL,"EX")=0),0))))</f>
      </c>
      <c r="H11191">
        <f>IF(DATOS!$G11191&lt;&gt;"EX",0,--(COUNTIFS(nNIA,DATOS!$A11191,nCURSO,DATOS!$D11191,nESPEC,DATOS!$E11191,nASIG,DATOS!$I11191,nEVAL,"OR")=0))</f>
      </c>
      <c r="I11191">
        <f>IF(DATOS!$I11191="","",IFERROR(VLOOKUP(DATOS!$I11191,CONFIG_ASIGNATURAS!$B$2:$J$91,9,FALSE()),""))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IF(DATOS!$A11192="",0,IF(CONFIG_METADATA!$B$4&lt;&gt;"OR+EX",--(DATOS!$G11192=CONFIG_METADATA!$B$4),IF(DATOS!$G11192="EX",1,IF(DATOS!$G11192="OR",--(COUNTIFS(nNIA,DATOS!$A11192,nCURSO,DATOS!$D11192,nESPEC,DATOS!$E11192,nASIG,DATOS!$I11192,nEVAL,"EX")=0),0))))</f>
      </c>
      <c r="H11192">
        <f>IF(DATOS!$G11192&lt;&gt;"EX",0,--(COUNTIFS(nNIA,DATOS!$A11192,nCURSO,DATOS!$D11192,nESPEC,DATOS!$E11192,nASIG,DATOS!$I11192,nEVAL,"OR")=0))</f>
      </c>
      <c r="I11192">
        <f>IF(DATOS!$I11192="","",IFERROR(VLOOKUP(DATOS!$I11192,CONFIG_ASIGNATURAS!$B$2:$J$91,9,FALSE()),""))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IF(DATOS!$A11193="",0,IF(CONFIG_METADATA!$B$4&lt;&gt;"OR+EX",--(DATOS!$G11193=CONFIG_METADATA!$B$4),IF(DATOS!$G11193="EX",1,IF(DATOS!$G11193="OR",--(COUNTIFS(nNIA,DATOS!$A11193,nCURSO,DATOS!$D11193,nESPEC,DATOS!$E11193,nASIG,DATOS!$I11193,nEVAL,"EX")=0),0))))</f>
      </c>
      <c r="H11193">
        <f>IF(DATOS!$G11193&lt;&gt;"EX",0,--(COUNTIFS(nNIA,DATOS!$A11193,nCURSO,DATOS!$D11193,nESPEC,DATOS!$E11193,nASIG,DATOS!$I11193,nEVAL,"OR")=0))</f>
      </c>
      <c r="I11193">
        <f>IF(DATOS!$I11193="","",IFERROR(VLOOKUP(DATOS!$I11193,CONFIG_ASIGNATURAS!$B$2:$J$91,9,FALSE()),""))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IF(DATOS!$A11194="",0,IF(CONFIG_METADATA!$B$4&lt;&gt;"OR+EX",--(DATOS!$G11194=CONFIG_METADATA!$B$4),IF(DATOS!$G11194="EX",1,IF(DATOS!$G11194="OR",--(COUNTIFS(nNIA,DATOS!$A11194,nCURSO,DATOS!$D11194,nESPEC,DATOS!$E11194,nASIG,DATOS!$I11194,nEVAL,"EX")=0),0))))</f>
      </c>
      <c r="H11194">
        <f>IF(DATOS!$G11194&lt;&gt;"EX",0,--(COUNTIFS(nNIA,DATOS!$A11194,nCURSO,DATOS!$D11194,nESPEC,DATOS!$E11194,nASIG,DATOS!$I11194,nEVAL,"OR")=0))</f>
      </c>
      <c r="I11194">
        <f>IF(DATOS!$I11194="","",IFERROR(VLOOKUP(DATOS!$I11194,CONFIG_ASIGNATURAS!$B$2:$J$91,9,FALSE()),""))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IF(DATOS!$A11195="",0,IF(CONFIG_METADATA!$B$4&lt;&gt;"OR+EX",--(DATOS!$G11195=CONFIG_METADATA!$B$4),IF(DATOS!$G11195="EX",1,IF(DATOS!$G11195="OR",--(COUNTIFS(nNIA,DATOS!$A11195,nCURSO,DATOS!$D11195,nESPEC,DATOS!$E11195,nASIG,DATOS!$I11195,nEVAL,"EX")=0),0))))</f>
      </c>
      <c r="H11195">
        <f>IF(DATOS!$G11195&lt;&gt;"EX",0,--(COUNTIFS(nNIA,DATOS!$A11195,nCURSO,DATOS!$D11195,nESPEC,DATOS!$E11195,nASIG,DATOS!$I11195,nEVAL,"OR")=0))</f>
      </c>
      <c r="I11195">
        <f>IF(DATOS!$I11195="","",IFERROR(VLOOKUP(DATOS!$I11195,CONFIG_ASIGNATURAS!$B$2:$J$91,9,FALSE()),""))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IF(DATOS!$A11196="",0,IF(CONFIG_METADATA!$B$4&lt;&gt;"OR+EX",--(DATOS!$G11196=CONFIG_METADATA!$B$4),IF(DATOS!$G11196="EX",1,IF(DATOS!$G11196="OR",--(COUNTIFS(nNIA,DATOS!$A11196,nCURSO,DATOS!$D11196,nESPEC,DATOS!$E11196,nASIG,DATOS!$I11196,nEVAL,"EX")=0),0))))</f>
      </c>
      <c r="H11196">
        <f>IF(DATOS!$G11196&lt;&gt;"EX",0,--(COUNTIFS(nNIA,DATOS!$A11196,nCURSO,DATOS!$D11196,nESPEC,DATOS!$E11196,nASIG,DATOS!$I11196,nEVAL,"OR")=0))</f>
      </c>
      <c r="I11196">
        <f>IF(DATOS!$I11196="","",IFERROR(VLOOKUP(DATOS!$I11196,CONFIG_ASIGNATURAS!$B$2:$J$91,9,FALSE()),""))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IF(DATOS!$A11197="",0,IF(CONFIG_METADATA!$B$4&lt;&gt;"OR+EX",--(DATOS!$G11197=CONFIG_METADATA!$B$4),IF(DATOS!$G11197="EX",1,IF(DATOS!$G11197="OR",--(COUNTIFS(nNIA,DATOS!$A11197,nCURSO,DATOS!$D11197,nESPEC,DATOS!$E11197,nASIG,DATOS!$I11197,nEVAL,"EX")=0),0))))</f>
      </c>
      <c r="H11197">
        <f>IF(DATOS!$G11197&lt;&gt;"EX",0,--(COUNTIFS(nNIA,DATOS!$A11197,nCURSO,DATOS!$D11197,nESPEC,DATOS!$E11197,nASIG,DATOS!$I11197,nEVAL,"OR")=0))</f>
      </c>
      <c r="I11197">
        <f>IF(DATOS!$I11197="","",IFERROR(VLOOKUP(DATOS!$I11197,CONFIG_ASIGNATURAS!$B$2:$J$91,9,FALSE()),""))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IF(DATOS!$A11198="",0,IF(CONFIG_METADATA!$B$4&lt;&gt;"OR+EX",--(DATOS!$G11198=CONFIG_METADATA!$B$4),IF(DATOS!$G11198="EX",1,IF(DATOS!$G11198="OR",--(COUNTIFS(nNIA,DATOS!$A11198,nCURSO,DATOS!$D11198,nESPEC,DATOS!$E11198,nASIG,DATOS!$I11198,nEVAL,"EX")=0),0))))</f>
      </c>
      <c r="H11198">
        <f>IF(DATOS!$G11198&lt;&gt;"EX",0,--(COUNTIFS(nNIA,DATOS!$A11198,nCURSO,DATOS!$D11198,nESPEC,DATOS!$E11198,nASIG,DATOS!$I11198,nEVAL,"OR")=0))</f>
      </c>
      <c r="I11198">
        <f>IF(DATOS!$I11198="","",IFERROR(VLOOKUP(DATOS!$I11198,CONFIG_ASIGNATURAS!$B$2:$J$91,9,FALSE()),""))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IF(DATOS!$A11199="",0,IF(CONFIG_METADATA!$B$4&lt;&gt;"OR+EX",--(DATOS!$G11199=CONFIG_METADATA!$B$4),IF(DATOS!$G11199="EX",1,IF(DATOS!$G11199="OR",--(COUNTIFS(nNIA,DATOS!$A11199,nCURSO,DATOS!$D11199,nESPEC,DATOS!$E11199,nASIG,DATOS!$I11199,nEVAL,"EX")=0),0))))</f>
      </c>
      <c r="H11199">
        <f>IF(DATOS!$G11199&lt;&gt;"EX",0,--(COUNTIFS(nNIA,DATOS!$A11199,nCURSO,DATOS!$D11199,nESPEC,DATOS!$E11199,nASIG,DATOS!$I11199,nEVAL,"OR")=0))</f>
      </c>
      <c r="I11199">
        <f>IF(DATOS!$I11199="","",IFERROR(VLOOKUP(DATOS!$I11199,CONFIG_ASIGNATURAS!$B$2:$J$91,9,FALSE()),""))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IF(DATOS!$A11200="",0,IF(CONFIG_METADATA!$B$4&lt;&gt;"OR+EX",--(DATOS!$G11200=CONFIG_METADATA!$B$4),IF(DATOS!$G11200="EX",1,IF(DATOS!$G11200="OR",--(COUNTIFS(nNIA,DATOS!$A11200,nCURSO,DATOS!$D11200,nESPEC,DATOS!$E11200,nASIG,DATOS!$I11200,nEVAL,"EX")=0),0))))</f>
      </c>
      <c r="H11200">
        <f>IF(DATOS!$G11200&lt;&gt;"EX",0,--(COUNTIFS(nNIA,DATOS!$A11200,nCURSO,DATOS!$D11200,nESPEC,DATOS!$E11200,nASIG,DATOS!$I11200,nEVAL,"OR")=0))</f>
      </c>
      <c r="I11200">
        <f>IF(DATOS!$I11200="","",IFERROR(VLOOKUP(DATOS!$I11200,CONFIG_ASIGNATURAS!$B$2:$J$91,9,FALSE()),""))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IF(DATOS!$A11201="",0,IF(CONFIG_METADATA!$B$4&lt;&gt;"OR+EX",--(DATOS!$G11201=CONFIG_METADATA!$B$4),IF(DATOS!$G11201="EX",1,IF(DATOS!$G11201="OR",--(COUNTIFS(nNIA,DATOS!$A11201,nCURSO,DATOS!$D11201,nESPEC,DATOS!$E11201,nASIG,DATOS!$I11201,nEVAL,"EX")=0),0))))</f>
      </c>
      <c r="H11201">
        <f>IF(DATOS!$G11201&lt;&gt;"EX",0,--(COUNTIFS(nNIA,DATOS!$A11201,nCURSO,DATOS!$D11201,nESPEC,DATOS!$E11201,nASIG,DATOS!$I11201,nEVAL,"OR")=0))</f>
      </c>
      <c r="I11201">
        <f>IF(DATOS!$I11201="","",IFERROR(VLOOKUP(DATOS!$I11201,CONFIG_ASIGNATURAS!$B$2:$J$91,9,FALSE()),""))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IF(DATOS!$A11202="",0,IF(CONFIG_METADATA!$B$4&lt;&gt;"OR+EX",--(DATOS!$G11202=CONFIG_METADATA!$B$4),IF(DATOS!$G11202="EX",1,IF(DATOS!$G11202="OR",--(COUNTIFS(nNIA,DATOS!$A11202,nCURSO,DATOS!$D11202,nESPEC,DATOS!$E11202,nASIG,DATOS!$I11202,nEVAL,"EX")=0),0))))</f>
      </c>
      <c r="H11202">
        <f>IF(DATOS!$G11202&lt;&gt;"EX",0,--(COUNTIFS(nNIA,DATOS!$A11202,nCURSO,DATOS!$D11202,nESPEC,DATOS!$E11202,nASIG,DATOS!$I11202,nEVAL,"OR")=0))</f>
      </c>
      <c r="I11202">
        <f>IF(DATOS!$I11202="","",IFERROR(VLOOKUP(DATOS!$I11202,CONFIG_ASIGNATURAS!$B$2:$J$91,9,FALSE()),""))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IF(DATOS!$A11203="",0,IF(CONFIG_METADATA!$B$4&lt;&gt;"OR+EX",--(DATOS!$G11203=CONFIG_METADATA!$B$4),IF(DATOS!$G11203="EX",1,IF(DATOS!$G11203="OR",--(COUNTIFS(nNIA,DATOS!$A11203,nCURSO,DATOS!$D11203,nESPEC,DATOS!$E11203,nASIG,DATOS!$I11203,nEVAL,"EX")=0),0))))</f>
      </c>
      <c r="H11203">
        <f>IF(DATOS!$G11203&lt;&gt;"EX",0,--(COUNTIFS(nNIA,DATOS!$A11203,nCURSO,DATOS!$D11203,nESPEC,DATOS!$E11203,nASIG,DATOS!$I11203,nEVAL,"OR")=0))</f>
      </c>
      <c r="I11203">
        <f>IF(DATOS!$I11203="","",IFERROR(VLOOKUP(DATOS!$I11203,CONFIG_ASIGNATURAS!$B$2:$J$91,9,FALSE()),""))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IF(DATOS!$A11204="",0,IF(CONFIG_METADATA!$B$4&lt;&gt;"OR+EX",--(DATOS!$G11204=CONFIG_METADATA!$B$4),IF(DATOS!$G11204="EX",1,IF(DATOS!$G11204="OR",--(COUNTIFS(nNIA,DATOS!$A11204,nCURSO,DATOS!$D11204,nESPEC,DATOS!$E11204,nASIG,DATOS!$I11204,nEVAL,"EX")=0),0))))</f>
      </c>
      <c r="H11204">
        <f>IF(DATOS!$G11204&lt;&gt;"EX",0,--(COUNTIFS(nNIA,DATOS!$A11204,nCURSO,DATOS!$D11204,nESPEC,DATOS!$E11204,nASIG,DATOS!$I11204,nEVAL,"OR")=0))</f>
      </c>
      <c r="I11204">
        <f>IF(DATOS!$I11204="","",IFERROR(VLOOKUP(DATOS!$I11204,CONFIG_ASIGNATURAS!$B$2:$J$91,9,FALSE()),""))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IF(DATOS!$A11205="",0,IF(CONFIG_METADATA!$B$4&lt;&gt;"OR+EX",--(DATOS!$G11205=CONFIG_METADATA!$B$4),IF(DATOS!$G11205="EX",1,IF(DATOS!$G11205="OR",--(COUNTIFS(nNIA,DATOS!$A11205,nCURSO,DATOS!$D11205,nESPEC,DATOS!$E11205,nASIG,DATOS!$I11205,nEVAL,"EX")=0),0))))</f>
      </c>
      <c r="H11205">
        <f>IF(DATOS!$G11205&lt;&gt;"EX",0,--(COUNTIFS(nNIA,DATOS!$A11205,nCURSO,DATOS!$D11205,nESPEC,DATOS!$E11205,nASIG,DATOS!$I11205,nEVAL,"OR")=0))</f>
      </c>
      <c r="I11205">
        <f>IF(DATOS!$I11205="","",IFERROR(VLOOKUP(DATOS!$I11205,CONFIG_ASIGNATURAS!$B$2:$J$91,9,FALSE()),""))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IF(DATOS!$A11206="",0,IF(CONFIG_METADATA!$B$4&lt;&gt;"OR+EX",--(DATOS!$G11206=CONFIG_METADATA!$B$4),IF(DATOS!$G11206="EX",1,IF(DATOS!$G11206="OR",--(COUNTIFS(nNIA,DATOS!$A11206,nCURSO,DATOS!$D11206,nESPEC,DATOS!$E11206,nASIG,DATOS!$I11206,nEVAL,"EX")=0),0))))</f>
      </c>
      <c r="H11206">
        <f>IF(DATOS!$G11206&lt;&gt;"EX",0,--(COUNTIFS(nNIA,DATOS!$A11206,nCURSO,DATOS!$D11206,nESPEC,DATOS!$E11206,nASIG,DATOS!$I11206,nEVAL,"OR")=0))</f>
      </c>
      <c r="I11206">
        <f>IF(DATOS!$I11206="","",IFERROR(VLOOKUP(DATOS!$I11206,CONFIG_ASIGNATURAS!$B$2:$J$91,9,FALSE()),""))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IF(DATOS!$A11207="",0,IF(CONFIG_METADATA!$B$4&lt;&gt;"OR+EX",--(DATOS!$G11207=CONFIG_METADATA!$B$4),IF(DATOS!$G11207="EX",1,IF(DATOS!$G11207="OR",--(COUNTIFS(nNIA,DATOS!$A11207,nCURSO,DATOS!$D11207,nESPEC,DATOS!$E11207,nASIG,DATOS!$I11207,nEVAL,"EX")=0),0))))</f>
      </c>
      <c r="H11207">
        <f>IF(DATOS!$G11207&lt;&gt;"EX",0,--(COUNTIFS(nNIA,DATOS!$A11207,nCURSO,DATOS!$D11207,nESPEC,DATOS!$E11207,nASIG,DATOS!$I11207,nEVAL,"OR")=0))</f>
      </c>
      <c r="I11207">
        <f>IF(DATOS!$I11207="","",IFERROR(VLOOKUP(DATOS!$I11207,CONFIG_ASIGNATURAS!$B$2:$J$91,9,FALSE()),""))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IF(DATOS!$A11208="",0,IF(CONFIG_METADATA!$B$4&lt;&gt;"OR+EX",--(DATOS!$G11208=CONFIG_METADATA!$B$4),IF(DATOS!$G11208="EX",1,IF(DATOS!$G11208="OR",--(COUNTIFS(nNIA,DATOS!$A11208,nCURSO,DATOS!$D11208,nESPEC,DATOS!$E11208,nASIG,DATOS!$I11208,nEVAL,"EX")=0),0))))</f>
      </c>
      <c r="H11208">
        <f>IF(DATOS!$G11208&lt;&gt;"EX",0,--(COUNTIFS(nNIA,DATOS!$A11208,nCURSO,DATOS!$D11208,nESPEC,DATOS!$E11208,nASIG,DATOS!$I11208,nEVAL,"OR")=0))</f>
      </c>
      <c r="I11208">
        <f>IF(DATOS!$I11208="","",IFERROR(VLOOKUP(DATOS!$I11208,CONFIG_ASIGNATURAS!$B$2:$J$91,9,FALSE()),""))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IF(DATOS!$A11209="",0,IF(CONFIG_METADATA!$B$4&lt;&gt;"OR+EX",--(DATOS!$G11209=CONFIG_METADATA!$B$4),IF(DATOS!$G11209="EX",1,IF(DATOS!$G11209="OR",--(COUNTIFS(nNIA,DATOS!$A11209,nCURSO,DATOS!$D11209,nESPEC,DATOS!$E11209,nASIG,DATOS!$I11209,nEVAL,"EX")=0),0))))</f>
      </c>
      <c r="H11209">
        <f>IF(DATOS!$G11209&lt;&gt;"EX",0,--(COUNTIFS(nNIA,DATOS!$A11209,nCURSO,DATOS!$D11209,nESPEC,DATOS!$E11209,nASIG,DATOS!$I11209,nEVAL,"OR")=0))</f>
      </c>
      <c r="I11209">
        <f>IF(DATOS!$I11209="","",IFERROR(VLOOKUP(DATOS!$I11209,CONFIG_ASIGNATURAS!$B$2:$J$91,9,FALSE()),""))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IF(DATOS!$A11210="",0,IF(CONFIG_METADATA!$B$4&lt;&gt;"OR+EX",--(DATOS!$G11210=CONFIG_METADATA!$B$4),IF(DATOS!$G11210="EX",1,IF(DATOS!$G11210="OR",--(COUNTIFS(nNIA,DATOS!$A11210,nCURSO,DATOS!$D11210,nESPEC,DATOS!$E11210,nASIG,DATOS!$I11210,nEVAL,"EX")=0),0))))</f>
      </c>
      <c r="H11210">
        <f>IF(DATOS!$G11210&lt;&gt;"EX",0,--(COUNTIFS(nNIA,DATOS!$A11210,nCURSO,DATOS!$D11210,nESPEC,DATOS!$E11210,nASIG,DATOS!$I11210,nEVAL,"OR")=0))</f>
      </c>
      <c r="I11210">
        <f>IF(DATOS!$I11210="","",IFERROR(VLOOKUP(DATOS!$I11210,CONFIG_ASIGNATURAS!$B$2:$J$91,9,FALSE()),""))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IF(DATOS!$A11211="",0,IF(CONFIG_METADATA!$B$4&lt;&gt;"OR+EX",--(DATOS!$G11211=CONFIG_METADATA!$B$4),IF(DATOS!$G11211="EX",1,IF(DATOS!$G11211="OR",--(COUNTIFS(nNIA,DATOS!$A11211,nCURSO,DATOS!$D11211,nESPEC,DATOS!$E11211,nASIG,DATOS!$I11211,nEVAL,"EX")=0),0))))</f>
      </c>
      <c r="H11211">
        <f>IF(DATOS!$G11211&lt;&gt;"EX",0,--(COUNTIFS(nNIA,DATOS!$A11211,nCURSO,DATOS!$D11211,nESPEC,DATOS!$E11211,nASIG,DATOS!$I11211,nEVAL,"OR")=0))</f>
      </c>
      <c r="I11211">
        <f>IF(DATOS!$I11211="","",IFERROR(VLOOKUP(DATOS!$I11211,CONFIG_ASIGNATURAS!$B$2:$J$91,9,FALSE()),""))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IF(DATOS!$A11212="",0,IF(CONFIG_METADATA!$B$4&lt;&gt;"OR+EX",--(DATOS!$G11212=CONFIG_METADATA!$B$4),IF(DATOS!$G11212="EX",1,IF(DATOS!$G11212="OR",--(COUNTIFS(nNIA,DATOS!$A11212,nCURSO,DATOS!$D11212,nESPEC,DATOS!$E11212,nASIG,DATOS!$I11212,nEVAL,"EX")=0),0))))</f>
      </c>
      <c r="H11212">
        <f>IF(DATOS!$G11212&lt;&gt;"EX",0,--(COUNTIFS(nNIA,DATOS!$A11212,nCURSO,DATOS!$D11212,nESPEC,DATOS!$E11212,nASIG,DATOS!$I11212,nEVAL,"OR")=0))</f>
      </c>
      <c r="I11212">
        <f>IF(DATOS!$I11212="","",IFERROR(VLOOKUP(DATOS!$I11212,CONFIG_ASIGNATURAS!$B$2:$J$91,9,FALSE()),""))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IF(DATOS!$A11213="",0,IF(CONFIG_METADATA!$B$4&lt;&gt;"OR+EX",--(DATOS!$G11213=CONFIG_METADATA!$B$4),IF(DATOS!$G11213="EX",1,IF(DATOS!$G11213="OR",--(COUNTIFS(nNIA,DATOS!$A11213,nCURSO,DATOS!$D11213,nESPEC,DATOS!$E11213,nASIG,DATOS!$I11213,nEVAL,"EX")=0),0))))</f>
      </c>
      <c r="H11213">
        <f>IF(DATOS!$G11213&lt;&gt;"EX",0,--(COUNTIFS(nNIA,DATOS!$A11213,nCURSO,DATOS!$D11213,nESPEC,DATOS!$E11213,nASIG,DATOS!$I11213,nEVAL,"OR")=0))</f>
      </c>
      <c r="I11213">
        <f>IF(DATOS!$I11213="","",IFERROR(VLOOKUP(DATOS!$I11213,CONFIG_ASIGNATURAS!$B$2:$J$91,9,FALSE()),""))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IF(DATOS!$A11214="",0,IF(CONFIG_METADATA!$B$4&lt;&gt;"OR+EX",--(DATOS!$G11214=CONFIG_METADATA!$B$4),IF(DATOS!$G11214="EX",1,IF(DATOS!$G11214="OR",--(COUNTIFS(nNIA,DATOS!$A11214,nCURSO,DATOS!$D11214,nESPEC,DATOS!$E11214,nASIG,DATOS!$I11214,nEVAL,"EX")=0),0))))</f>
      </c>
      <c r="H11214">
        <f>IF(DATOS!$G11214&lt;&gt;"EX",0,--(COUNTIFS(nNIA,DATOS!$A11214,nCURSO,DATOS!$D11214,nESPEC,DATOS!$E11214,nASIG,DATOS!$I11214,nEVAL,"OR")=0))</f>
      </c>
      <c r="I11214">
        <f>IF(DATOS!$I11214="","",IFERROR(VLOOKUP(DATOS!$I11214,CONFIG_ASIGNATURAS!$B$2:$J$91,9,FALSE()),""))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IF(DATOS!$A11215="",0,IF(CONFIG_METADATA!$B$4&lt;&gt;"OR+EX",--(DATOS!$G11215=CONFIG_METADATA!$B$4),IF(DATOS!$G11215="EX",1,IF(DATOS!$G11215="OR",--(COUNTIFS(nNIA,DATOS!$A11215,nCURSO,DATOS!$D11215,nESPEC,DATOS!$E11215,nASIG,DATOS!$I11215,nEVAL,"EX")=0),0))))</f>
      </c>
      <c r="H11215">
        <f>IF(DATOS!$G11215&lt;&gt;"EX",0,--(COUNTIFS(nNIA,DATOS!$A11215,nCURSO,DATOS!$D11215,nESPEC,DATOS!$E11215,nASIG,DATOS!$I11215,nEVAL,"OR")=0))</f>
      </c>
      <c r="I11215">
        <f>IF(DATOS!$I11215="","",IFERROR(VLOOKUP(DATOS!$I11215,CONFIG_ASIGNATURAS!$B$2:$J$91,9,FALSE()),""))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IF(DATOS!$A11216="",0,IF(CONFIG_METADATA!$B$4&lt;&gt;"OR+EX",--(DATOS!$G11216=CONFIG_METADATA!$B$4),IF(DATOS!$G11216="EX",1,IF(DATOS!$G11216="OR",--(COUNTIFS(nNIA,DATOS!$A11216,nCURSO,DATOS!$D11216,nESPEC,DATOS!$E11216,nASIG,DATOS!$I11216,nEVAL,"EX")=0),0))))</f>
      </c>
      <c r="H11216">
        <f>IF(DATOS!$G11216&lt;&gt;"EX",0,--(COUNTIFS(nNIA,DATOS!$A11216,nCURSO,DATOS!$D11216,nESPEC,DATOS!$E11216,nASIG,DATOS!$I11216,nEVAL,"OR")=0))</f>
      </c>
      <c r="I11216">
        <f>IF(DATOS!$I11216="","",IFERROR(VLOOKUP(DATOS!$I11216,CONFIG_ASIGNATURAS!$B$2:$J$91,9,FALSE()),""))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IF(DATOS!$A11217="",0,IF(CONFIG_METADATA!$B$4&lt;&gt;"OR+EX",--(DATOS!$G11217=CONFIG_METADATA!$B$4),IF(DATOS!$G11217="EX",1,IF(DATOS!$G11217="OR",--(COUNTIFS(nNIA,DATOS!$A11217,nCURSO,DATOS!$D11217,nESPEC,DATOS!$E11217,nASIG,DATOS!$I11217,nEVAL,"EX")=0),0))))</f>
      </c>
      <c r="H11217">
        <f>IF(DATOS!$G11217&lt;&gt;"EX",0,--(COUNTIFS(nNIA,DATOS!$A11217,nCURSO,DATOS!$D11217,nESPEC,DATOS!$E11217,nASIG,DATOS!$I11217,nEVAL,"OR")=0))</f>
      </c>
      <c r="I11217">
        <f>IF(DATOS!$I11217="","",IFERROR(VLOOKUP(DATOS!$I11217,CONFIG_ASIGNATURAS!$B$2:$J$91,9,FALSE()),""))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IF(DATOS!$A11218="",0,IF(CONFIG_METADATA!$B$4&lt;&gt;"OR+EX",--(DATOS!$G11218=CONFIG_METADATA!$B$4),IF(DATOS!$G11218="EX",1,IF(DATOS!$G11218="OR",--(COUNTIFS(nNIA,DATOS!$A11218,nCURSO,DATOS!$D11218,nESPEC,DATOS!$E11218,nASIG,DATOS!$I11218,nEVAL,"EX")=0),0))))</f>
      </c>
      <c r="H11218">
        <f>IF(DATOS!$G11218&lt;&gt;"EX",0,--(COUNTIFS(nNIA,DATOS!$A11218,nCURSO,DATOS!$D11218,nESPEC,DATOS!$E11218,nASIG,DATOS!$I11218,nEVAL,"OR")=0))</f>
      </c>
      <c r="I11218">
        <f>IF(DATOS!$I11218="","",IFERROR(VLOOKUP(DATOS!$I11218,CONFIG_ASIGNATURAS!$B$2:$J$91,9,FALSE()),""))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IF(DATOS!$A11219="",0,IF(CONFIG_METADATA!$B$4&lt;&gt;"OR+EX",--(DATOS!$G11219=CONFIG_METADATA!$B$4),IF(DATOS!$G11219="EX",1,IF(DATOS!$G11219="OR",--(COUNTIFS(nNIA,DATOS!$A11219,nCURSO,DATOS!$D11219,nESPEC,DATOS!$E11219,nASIG,DATOS!$I11219,nEVAL,"EX")=0),0))))</f>
      </c>
      <c r="H11219">
        <f>IF(DATOS!$G11219&lt;&gt;"EX",0,--(COUNTIFS(nNIA,DATOS!$A11219,nCURSO,DATOS!$D11219,nESPEC,DATOS!$E11219,nASIG,DATOS!$I11219,nEVAL,"OR")=0))</f>
      </c>
      <c r="I11219">
        <f>IF(DATOS!$I11219="","",IFERROR(VLOOKUP(DATOS!$I11219,CONFIG_ASIGNATURAS!$B$2:$J$91,9,FALSE()),""))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IF(DATOS!$A11220="",0,IF(CONFIG_METADATA!$B$4&lt;&gt;"OR+EX",--(DATOS!$G11220=CONFIG_METADATA!$B$4),IF(DATOS!$G11220="EX",1,IF(DATOS!$G11220="OR",--(COUNTIFS(nNIA,DATOS!$A11220,nCURSO,DATOS!$D11220,nESPEC,DATOS!$E11220,nASIG,DATOS!$I11220,nEVAL,"EX")=0),0))))</f>
      </c>
      <c r="H11220">
        <f>IF(DATOS!$G11220&lt;&gt;"EX",0,--(COUNTIFS(nNIA,DATOS!$A11220,nCURSO,DATOS!$D11220,nESPEC,DATOS!$E11220,nASIG,DATOS!$I11220,nEVAL,"OR")=0))</f>
      </c>
      <c r="I11220">
        <f>IF(DATOS!$I11220="","",IFERROR(VLOOKUP(DATOS!$I11220,CONFIG_ASIGNATURAS!$B$2:$J$91,9,FALSE()),""))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IF(DATOS!$A11221="",0,IF(CONFIG_METADATA!$B$4&lt;&gt;"OR+EX",--(DATOS!$G11221=CONFIG_METADATA!$B$4),IF(DATOS!$G11221="EX",1,IF(DATOS!$G11221="OR",--(COUNTIFS(nNIA,DATOS!$A11221,nCURSO,DATOS!$D11221,nESPEC,DATOS!$E11221,nASIG,DATOS!$I11221,nEVAL,"EX")=0),0))))</f>
      </c>
      <c r="H11221">
        <f>IF(DATOS!$G11221&lt;&gt;"EX",0,--(COUNTIFS(nNIA,DATOS!$A11221,nCURSO,DATOS!$D11221,nESPEC,DATOS!$E11221,nASIG,DATOS!$I11221,nEVAL,"OR")=0))</f>
      </c>
      <c r="I11221">
        <f>IF(DATOS!$I11221="","",IFERROR(VLOOKUP(DATOS!$I11221,CONFIG_ASIGNATURAS!$B$2:$J$91,9,FALSE()),""))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IF(DATOS!$A11222="",0,IF(CONFIG_METADATA!$B$4&lt;&gt;"OR+EX",--(DATOS!$G11222=CONFIG_METADATA!$B$4),IF(DATOS!$G11222="EX",1,IF(DATOS!$G11222="OR",--(COUNTIFS(nNIA,DATOS!$A11222,nCURSO,DATOS!$D11222,nESPEC,DATOS!$E11222,nASIG,DATOS!$I11222,nEVAL,"EX")=0),0))))</f>
      </c>
      <c r="H11222">
        <f>IF(DATOS!$G11222&lt;&gt;"EX",0,--(COUNTIFS(nNIA,DATOS!$A11222,nCURSO,DATOS!$D11222,nESPEC,DATOS!$E11222,nASIG,DATOS!$I11222,nEVAL,"OR")=0))</f>
      </c>
      <c r="I11222">
        <f>IF(DATOS!$I11222="","",IFERROR(VLOOKUP(DATOS!$I11222,CONFIG_ASIGNATURAS!$B$2:$J$91,9,FALSE()),""))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IF(DATOS!$A11223="",0,IF(CONFIG_METADATA!$B$4&lt;&gt;"OR+EX",--(DATOS!$G11223=CONFIG_METADATA!$B$4),IF(DATOS!$G11223="EX",1,IF(DATOS!$G11223="OR",--(COUNTIFS(nNIA,DATOS!$A11223,nCURSO,DATOS!$D11223,nESPEC,DATOS!$E11223,nASIG,DATOS!$I11223,nEVAL,"EX")=0),0))))</f>
      </c>
      <c r="H11223">
        <f>IF(DATOS!$G11223&lt;&gt;"EX",0,--(COUNTIFS(nNIA,DATOS!$A11223,nCURSO,DATOS!$D11223,nESPEC,DATOS!$E11223,nASIG,DATOS!$I11223,nEVAL,"OR")=0))</f>
      </c>
      <c r="I11223">
        <f>IF(DATOS!$I11223="","",IFERROR(VLOOKUP(DATOS!$I11223,CONFIG_ASIGNATURAS!$B$2:$J$91,9,FALSE()),""))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IF(DATOS!$A11224="",0,IF(CONFIG_METADATA!$B$4&lt;&gt;"OR+EX",--(DATOS!$G11224=CONFIG_METADATA!$B$4),IF(DATOS!$G11224="EX",1,IF(DATOS!$G11224="OR",--(COUNTIFS(nNIA,DATOS!$A11224,nCURSO,DATOS!$D11224,nESPEC,DATOS!$E11224,nASIG,DATOS!$I11224,nEVAL,"EX")=0),0))))</f>
      </c>
      <c r="H11224">
        <f>IF(DATOS!$G11224&lt;&gt;"EX",0,--(COUNTIFS(nNIA,DATOS!$A11224,nCURSO,DATOS!$D11224,nESPEC,DATOS!$E11224,nASIG,DATOS!$I11224,nEVAL,"OR")=0))</f>
      </c>
      <c r="I11224">
        <f>IF(DATOS!$I11224="","",IFERROR(VLOOKUP(DATOS!$I11224,CONFIG_ASIGNATURAS!$B$2:$J$91,9,FALSE()),""))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IF(DATOS!$A11225="",0,IF(CONFIG_METADATA!$B$4&lt;&gt;"OR+EX",--(DATOS!$G11225=CONFIG_METADATA!$B$4),IF(DATOS!$G11225="EX",1,IF(DATOS!$G11225="OR",--(COUNTIFS(nNIA,DATOS!$A11225,nCURSO,DATOS!$D11225,nESPEC,DATOS!$E11225,nASIG,DATOS!$I11225,nEVAL,"EX")=0),0))))</f>
      </c>
      <c r="H11225">
        <f>IF(DATOS!$G11225&lt;&gt;"EX",0,--(COUNTIFS(nNIA,DATOS!$A11225,nCURSO,DATOS!$D11225,nESPEC,DATOS!$E11225,nASIG,DATOS!$I11225,nEVAL,"OR")=0))</f>
      </c>
      <c r="I11225">
        <f>IF(DATOS!$I11225="","",IFERROR(VLOOKUP(DATOS!$I11225,CONFIG_ASIGNATURAS!$B$2:$J$91,9,FALSE()),""))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IF(DATOS!$A11226="",0,IF(CONFIG_METADATA!$B$4&lt;&gt;"OR+EX",--(DATOS!$G11226=CONFIG_METADATA!$B$4),IF(DATOS!$G11226="EX",1,IF(DATOS!$G11226="OR",--(COUNTIFS(nNIA,DATOS!$A11226,nCURSO,DATOS!$D11226,nESPEC,DATOS!$E11226,nASIG,DATOS!$I11226,nEVAL,"EX")=0),0))))</f>
      </c>
      <c r="H11226">
        <f>IF(DATOS!$G11226&lt;&gt;"EX",0,--(COUNTIFS(nNIA,DATOS!$A11226,nCURSO,DATOS!$D11226,nESPEC,DATOS!$E11226,nASIG,DATOS!$I11226,nEVAL,"OR")=0))</f>
      </c>
      <c r="I11226">
        <f>IF(DATOS!$I11226="","",IFERROR(VLOOKUP(DATOS!$I11226,CONFIG_ASIGNATURAS!$B$2:$J$91,9,FALSE()),""))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IF(DATOS!$A11227="",0,IF(CONFIG_METADATA!$B$4&lt;&gt;"OR+EX",--(DATOS!$G11227=CONFIG_METADATA!$B$4),IF(DATOS!$G11227="EX",1,IF(DATOS!$G11227="OR",--(COUNTIFS(nNIA,DATOS!$A11227,nCURSO,DATOS!$D11227,nESPEC,DATOS!$E11227,nASIG,DATOS!$I11227,nEVAL,"EX")=0),0))))</f>
      </c>
      <c r="H11227">
        <f>IF(DATOS!$G11227&lt;&gt;"EX",0,--(COUNTIFS(nNIA,DATOS!$A11227,nCURSO,DATOS!$D11227,nESPEC,DATOS!$E11227,nASIG,DATOS!$I11227,nEVAL,"OR")=0))</f>
      </c>
      <c r="I11227">
        <f>IF(DATOS!$I11227="","",IFERROR(VLOOKUP(DATOS!$I11227,CONFIG_ASIGNATURAS!$B$2:$J$91,9,FALSE()),""))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IF(DATOS!$A11228="",0,IF(CONFIG_METADATA!$B$4&lt;&gt;"OR+EX",--(DATOS!$G11228=CONFIG_METADATA!$B$4),IF(DATOS!$G11228="EX",1,IF(DATOS!$G11228="OR",--(COUNTIFS(nNIA,DATOS!$A11228,nCURSO,DATOS!$D11228,nESPEC,DATOS!$E11228,nASIG,DATOS!$I11228,nEVAL,"EX")=0),0))))</f>
      </c>
      <c r="H11228">
        <f>IF(DATOS!$G11228&lt;&gt;"EX",0,--(COUNTIFS(nNIA,DATOS!$A11228,nCURSO,DATOS!$D11228,nESPEC,DATOS!$E11228,nASIG,DATOS!$I11228,nEVAL,"OR")=0))</f>
      </c>
      <c r="I11228">
        <f>IF(DATOS!$I11228="","",IFERROR(VLOOKUP(DATOS!$I11228,CONFIG_ASIGNATURAS!$B$2:$J$91,9,FALSE()),""))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IF(DATOS!$A11229="",0,IF(CONFIG_METADATA!$B$4&lt;&gt;"OR+EX",--(DATOS!$G11229=CONFIG_METADATA!$B$4),IF(DATOS!$G11229="EX",1,IF(DATOS!$G11229="OR",--(COUNTIFS(nNIA,DATOS!$A11229,nCURSO,DATOS!$D11229,nESPEC,DATOS!$E11229,nASIG,DATOS!$I11229,nEVAL,"EX")=0),0))))</f>
      </c>
      <c r="H11229">
        <f>IF(DATOS!$G11229&lt;&gt;"EX",0,--(COUNTIFS(nNIA,DATOS!$A11229,nCURSO,DATOS!$D11229,nESPEC,DATOS!$E11229,nASIG,DATOS!$I11229,nEVAL,"OR")=0))</f>
      </c>
      <c r="I11229">
        <f>IF(DATOS!$I11229="","",IFERROR(VLOOKUP(DATOS!$I11229,CONFIG_ASIGNATURAS!$B$2:$J$91,9,FALSE()),""))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IF(DATOS!$A11230="",0,IF(CONFIG_METADATA!$B$4&lt;&gt;"OR+EX",--(DATOS!$G11230=CONFIG_METADATA!$B$4),IF(DATOS!$G11230="EX",1,IF(DATOS!$G11230="OR",--(COUNTIFS(nNIA,DATOS!$A11230,nCURSO,DATOS!$D11230,nESPEC,DATOS!$E11230,nASIG,DATOS!$I11230,nEVAL,"EX")=0),0))))</f>
      </c>
      <c r="H11230">
        <f>IF(DATOS!$G11230&lt;&gt;"EX",0,--(COUNTIFS(nNIA,DATOS!$A11230,nCURSO,DATOS!$D11230,nESPEC,DATOS!$E11230,nASIG,DATOS!$I11230,nEVAL,"OR")=0))</f>
      </c>
      <c r="I11230">
        <f>IF(DATOS!$I11230="","",IFERROR(VLOOKUP(DATOS!$I11230,CONFIG_ASIGNATURAS!$B$2:$J$91,9,FALSE()),""))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IF(DATOS!$A11231="",0,IF(CONFIG_METADATA!$B$4&lt;&gt;"OR+EX",--(DATOS!$G11231=CONFIG_METADATA!$B$4),IF(DATOS!$G11231="EX",1,IF(DATOS!$G11231="OR",--(COUNTIFS(nNIA,DATOS!$A11231,nCURSO,DATOS!$D11231,nESPEC,DATOS!$E11231,nASIG,DATOS!$I11231,nEVAL,"EX")=0),0))))</f>
      </c>
      <c r="H11231">
        <f>IF(DATOS!$G11231&lt;&gt;"EX",0,--(COUNTIFS(nNIA,DATOS!$A11231,nCURSO,DATOS!$D11231,nESPEC,DATOS!$E11231,nASIG,DATOS!$I11231,nEVAL,"OR")=0))</f>
      </c>
      <c r="I11231">
        <f>IF(DATOS!$I11231="","",IFERROR(VLOOKUP(DATOS!$I11231,CONFIG_ASIGNATURAS!$B$2:$J$91,9,FALSE()),""))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IF(DATOS!$A11232="",0,IF(CONFIG_METADATA!$B$4&lt;&gt;"OR+EX",--(DATOS!$G11232=CONFIG_METADATA!$B$4),IF(DATOS!$G11232="EX",1,IF(DATOS!$G11232="OR",--(COUNTIFS(nNIA,DATOS!$A11232,nCURSO,DATOS!$D11232,nESPEC,DATOS!$E11232,nASIG,DATOS!$I11232,nEVAL,"EX")=0),0))))</f>
      </c>
      <c r="H11232">
        <f>IF(DATOS!$G11232&lt;&gt;"EX",0,--(COUNTIFS(nNIA,DATOS!$A11232,nCURSO,DATOS!$D11232,nESPEC,DATOS!$E11232,nASIG,DATOS!$I11232,nEVAL,"OR")=0))</f>
      </c>
      <c r="I11232">
        <f>IF(DATOS!$I11232="","",IFERROR(VLOOKUP(DATOS!$I11232,CONFIG_ASIGNATURAS!$B$2:$J$91,9,FALSE()),""))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IF(DATOS!$A11233="",0,IF(CONFIG_METADATA!$B$4&lt;&gt;"OR+EX",--(DATOS!$G11233=CONFIG_METADATA!$B$4),IF(DATOS!$G11233="EX",1,IF(DATOS!$G11233="OR",--(COUNTIFS(nNIA,DATOS!$A11233,nCURSO,DATOS!$D11233,nESPEC,DATOS!$E11233,nASIG,DATOS!$I11233,nEVAL,"EX")=0),0))))</f>
      </c>
      <c r="H11233">
        <f>IF(DATOS!$G11233&lt;&gt;"EX",0,--(COUNTIFS(nNIA,DATOS!$A11233,nCURSO,DATOS!$D11233,nESPEC,DATOS!$E11233,nASIG,DATOS!$I11233,nEVAL,"OR")=0))</f>
      </c>
      <c r="I11233">
        <f>IF(DATOS!$I11233="","",IFERROR(VLOOKUP(DATOS!$I11233,CONFIG_ASIGNATURAS!$B$2:$J$91,9,FALSE()),""))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IF(DATOS!$A11234="",0,IF(CONFIG_METADATA!$B$4&lt;&gt;"OR+EX",--(DATOS!$G11234=CONFIG_METADATA!$B$4),IF(DATOS!$G11234="EX",1,IF(DATOS!$G11234="OR",--(COUNTIFS(nNIA,DATOS!$A11234,nCURSO,DATOS!$D11234,nESPEC,DATOS!$E11234,nASIG,DATOS!$I11234,nEVAL,"EX")=0),0))))</f>
      </c>
      <c r="H11234">
        <f>IF(DATOS!$G11234&lt;&gt;"EX",0,--(COUNTIFS(nNIA,DATOS!$A11234,nCURSO,DATOS!$D11234,nESPEC,DATOS!$E11234,nASIG,DATOS!$I11234,nEVAL,"OR")=0))</f>
      </c>
      <c r="I11234">
        <f>IF(DATOS!$I11234="","",IFERROR(VLOOKUP(DATOS!$I11234,CONFIG_ASIGNATURAS!$B$2:$J$91,9,FALSE()),""))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IF(DATOS!$A11235="",0,IF(CONFIG_METADATA!$B$4&lt;&gt;"OR+EX",--(DATOS!$G11235=CONFIG_METADATA!$B$4),IF(DATOS!$G11235="EX",1,IF(DATOS!$G11235="OR",--(COUNTIFS(nNIA,DATOS!$A11235,nCURSO,DATOS!$D11235,nESPEC,DATOS!$E11235,nASIG,DATOS!$I11235,nEVAL,"EX")=0),0))))</f>
      </c>
      <c r="H11235">
        <f>IF(DATOS!$G11235&lt;&gt;"EX",0,--(COUNTIFS(nNIA,DATOS!$A11235,nCURSO,DATOS!$D11235,nESPEC,DATOS!$E11235,nASIG,DATOS!$I11235,nEVAL,"OR")=0))</f>
      </c>
      <c r="I11235">
        <f>IF(DATOS!$I11235="","",IFERROR(VLOOKUP(DATOS!$I11235,CONFIG_ASIGNATURAS!$B$2:$J$91,9,FALSE()),""))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IF(DATOS!$A11236="",0,IF(CONFIG_METADATA!$B$4&lt;&gt;"OR+EX",--(DATOS!$G11236=CONFIG_METADATA!$B$4),IF(DATOS!$G11236="EX",1,IF(DATOS!$G11236="OR",--(COUNTIFS(nNIA,DATOS!$A11236,nCURSO,DATOS!$D11236,nESPEC,DATOS!$E11236,nASIG,DATOS!$I11236,nEVAL,"EX")=0),0))))</f>
      </c>
      <c r="H11236">
        <f>IF(DATOS!$G11236&lt;&gt;"EX",0,--(COUNTIFS(nNIA,DATOS!$A11236,nCURSO,DATOS!$D11236,nESPEC,DATOS!$E11236,nASIG,DATOS!$I11236,nEVAL,"OR")=0))</f>
      </c>
      <c r="I11236">
        <f>IF(DATOS!$I11236="","",IFERROR(VLOOKUP(DATOS!$I11236,CONFIG_ASIGNATURAS!$B$2:$J$91,9,FALSE()),""))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IF(DATOS!$A11237="",0,IF(CONFIG_METADATA!$B$4&lt;&gt;"OR+EX",--(DATOS!$G11237=CONFIG_METADATA!$B$4),IF(DATOS!$G11237="EX",1,IF(DATOS!$G11237="OR",--(COUNTIFS(nNIA,DATOS!$A11237,nCURSO,DATOS!$D11237,nESPEC,DATOS!$E11237,nASIG,DATOS!$I11237,nEVAL,"EX")=0),0))))</f>
      </c>
      <c r="H11237">
        <f>IF(DATOS!$G11237&lt;&gt;"EX",0,--(COUNTIFS(nNIA,DATOS!$A11237,nCURSO,DATOS!$D11237,nESPEC,DATOS!$E11237,nASIG,DATOS!$I11237,nEVAL,"OR")=0))</f>
      </c>
      <c r="I11237">
        <f>IF(DATOS!$I11237="","",IFERROR(VLOOKUP(DATOS!$I11237,CONFIG_ASIGNATURAS!$B$2:$J$91,9,FALSE()),""))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IF(DATOS!$A11238="",0,IF(CONFIG_METADATA!$B$4&lt;&gt;"OR+EX",--(DATOS!$G11238=CONFIG_METADATA!$B$4),IF(DATOS!$G11238="EX",1,IF(DATOS!$G11238="OR",--(COUNTIFS(nNIA,DATOS!$A11238,nCURSO,DATOS!$D11238,nESPEC,DATOS!$E11238,nASIG,DATOS!$I11238,nEVAL,"EX")=0),0))))</f>
      </c>
      <c r="H11238">
        <f>IF(DATOS!$G11238&lt;&gt;"EX",0,--(COUNTIFS(nNIA,DATOS!$A11238,nCURSO,DATOS!$D11238,nESPEC,DATOS!$E11238,nASIG,DATOS!$I11238,nEVAL,"OR")=0))</f>
      </c>
      <c r="I11238">
        <f>IF(DATOS!$I11238="","",IFERROR(VLOOKUP(DATOS!$I11238,CONFIG_ASIGNATURAS!$B$2:$J$91,9,FALSE()),""))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IF(DATOS!$A11239="",0,IF(CONFIG_METADATA!$B$4&lt;&gt;"OR+EX",--(DATOS!$G11239=CONFIG_METADATA!$B$4),IF(DATOS!$G11239="EX",1,IF(DATOS!$G11239="OR",--(COUNTIFS(nNIA,DATOS!$A11239,nCURSO,DATOS!$D11239,nESPEC,DATOS!$E11239,nASIG,DATOS!$I11239,nEVAL,"EX")=0),0))))</f>
      </c>
      <c r="H11239">
        <f>IF(DATOS!$G11239&lt;&gt;"EX",0,--(COUNTIFS(nNIA,DATOS!$A11239,nCURSO,DATOS!$D11239,nESPEC,DATOS!$E11239,nASIG,DATOS!$I11239,nEVAL,"OR")=0))</f>
      </c>
      <c r="I11239">
        <f>IF(DATOS!$I11239="","",IFERROR(VLOOKUP(DATOS!$I11239,CONFIG_ASIGNATURAS!$B$2:$J$91,9,FALSE()),""))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IF(DATOS!$A11240="",0,IF(CONFIG_METADATA!$B$4&lt;&gt;"OR+EX",--(DATOS!$G11240=CONFIG_METADATA!$B$4),IF(DATOS!$G11240="EX",1,IF(DATOS!$G11240="OR",--(COUNTIFS(nNIA,DATOS!$A11240,nCURSO,DATOS!$D11240,nESPEC,DATOS!$E11240,nASIG,DATOS!$I11240,nEVAL,"EX")=0),0))))</f>
      </c>
      <c r="H11240">
        <f>IF(DATOS!$G11240&lt;&gt;"EX",0,--(COUNTIFS(nNIA,DATOS!$A11240,nCURSO,DATOS!$D11240,nESPEC,DATOS!$E11240,nASIG,DATOS!$I11240,nEVAL,"OR")=0))</f>
      </c>
      <c r="I11240">
        <f>IF(DATOS!$I11240="","",IFERROR(VLOOKUP(DATOS!$I11240,CONFIG_ASIGNATURAS!$B$2:$J$91,9,FALSE()),""))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IF(DATOS!$A11241="",0,IF(CONFIG_METADATA!$B$4&lt;&gt;"OR+EX",--(DATOS!$G11241=CONFIG_METADATA!$B$4),IF(DATOS!$G11241="EX",1,IF(DATOS!$G11241="OR",--(COUNTIFS(nNIA,DATOS!$A11241,nCURSO,DATOS!$D11241,nESPEC,DATOS!$E11241,nASIG,DATOS!$I11241,nEVAL,"EX")=0),0))))</f>
      </c>
      <c r="H11241">
        <f>IF(DATOS!$G11241&lt;&gt;"EX",0,--(COUNTIFS(nNIA,DATOS!$A11241,nCURSO,DATOS!$D11241,nESPEC,DATOS!$E11241,nASIG,DATOS!$I11241,nEVAL,"OR")=0))</f>
      </c>
      <c r="I11241">
        <f>IF(DATOS!$I11241="","",IFERROR(VLOOKUP(DATOS!$I11241,CONFIG_ASIGNATURAS!$B$2:$J$91,9,FALSE()),""))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IF(DATOS!$A11242="",0,IF(CONFIG_METADATA!$B$4&lt;&gt;"OR+EX",--(DATOS!$G11242=CONFIG_METADATA!$B$4),IF(DATOS!$G11242="EX",1,IF(DATOS!$G11242="OR",--(COUNTIFS(nNIA,DATOS!$A11242,nCURSO,DATOS!$D11242,nESPEC,DATOS!$E11242,nASIG,DATOS!$I11242,nEVAL,"EX")=0),0))))</f>
      </c>
      <c r="H11242">
        <f>IF(DATOS!$G11242&lt;&gt;"EX",0,--(COUNTIFS(nNIA,DATOS!$A11242,nCURSO,DATOS!$D11242,nESPEC,DATOS!$E11242,nASIG,DATOS!$I11242,nEVAL,"OR")=0))</f>
      </c>
      <c r="I11242">
        <f>IF(DATOS!$I11242="","",IFERROR(VLOOKUP(DATOS!$I11242,CONFIG_ASIGNATURAS!$B$2:$J$91,9,FALSE()),""))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IF(DATOS!$A11243="",0,IF(CONFIG_METADATA!$B$4&lt;&gt;"OR+EX",--(DATOS!$G11243=CONFIG_METADATA!$B$4),IF(DATOS!$G11243="EX",1,IF(DATOS!$G11243="OR",--(COUNTIFS(nNIA,DATOS!$A11243,nCURSO,DATOS!$D11243,nESPEC,DATOS!$E11243,nASIG,DATOS!$I11243,nEVAL,"EX")=0),0))))</f>
      </c>
      <c r="H11243">
        <f>IF(DATOS!$G11243&lt;&gt;"EX",0,--(COUNTIFS(nNIA,DATOS!$A11243,nCURSO,DATOS!$D11243,nESPEC,DATOS!$E11243,nASIG,DATOS!$I11243,nEVAL,"OR")=0))</f>
      </c>
      <c r="I11243">
        <f>IF(DATOS!$I11243="","",IFERROR(VLOOKUP(DATOS!$I11243,CONFIG_ASIGNATURAS!$B$2:$J$91,9,FALSE()),""))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IF(DATOS!$A11244="",0,IF(CONFIG_METADATA!$B$4&lt;&gt;"OR+EX",--(DATOS!$G11244=CONFIG_METADATA!$B$4),IF(DATOS!$G11244="EX",1,IF(DATOS!$G11244="OR",--(COUNTIFS(nNIA,DATOS!$A11244,nCURSO,DATOS!$D11244,nESPEC,DATOS!$E11244,nASIG,DATOS!$I11244,nEVAL,"EX")=0),0))))</f>
      </c>
      <c r="H11244">
        <f>IF(DATOS!$G11244&lt;&gt;"EX",0,--(COUNTIFS(nNIA,DATOS!$A11244,nCURSO,DATOS!$D11244,nESPEC,DATOS!$E11244,nASIG,DATOS!$I11244,nEVAL,"OR")=0))</f>
      </c>
      <c r="I11244">
        <f>IF(DATOS!$I11244="","",IFERROR(VLOOKUP(DATOS!$I11244,CONFIG_ASIGNATURAS!$B$2:$J$91,9,FALSE()),""))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IF(DATOS!$A11245="",0,IF(CONFIG_METADATA!$B$4&lt;&gt;"OR+EX",--(DATOS!$G11245=CONFIG_METADATA!$B$4),IF(DATOS!$G11245="EX",1,IF(DATOS!$G11245="OR",--(COUNTIFS(nNIA,DATOS!$A11245,nCURSO,DATOS!$D11245,nESPEC,DATOS!$E11245,nASIG,DATOS!$I11245,nEVAL,"EX")=0),0))))</f>
      </c>
      <c r="H11245">
        <f>IF(DATOS!$G11245&lt;&gt;"EX",0,--(COUNTIFS(nNIA,DATOS!$A11245,nCURSO,DATOS!$D11245,nESPEC,DATOS!$E11245,nASIG,DATOS!$I11245,nEVAL,"OR")=0))</f>
      </c>
      <c r="I11245">
        <f>IF(DATOS!$I11245="","",IFERROR(VLOOKUP(DATOS!$I11245,CONFIG_ASIGNATURAS!$B$2:$J$91,9,FALSE()),""))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IF(DATOS!$A11246="",0,IF(CONFIG_METADATA!$B$4&lt;&gt;"OR+EX",--(DATOS!$G11246=CONFIG_METADATA!$B$4),IF(DATOS!$G11246="EX",1,IF(DATOS!$G11246="OR",--(COUNTIFS(nNIA,DATOS!$A11246,nCURSO,DATOS!$D11246,nESPEC,DATOS!$E11246,nASIG,DATOS!$I11246,nEVAL,"EX")=0),0))))</f>
      </c>
      <c r="H11246">
        <f>IF(DATOS!$G11246&lt;&gt;"EX",0,--(COUNTIFS(nNIA,DATOS!$A11246,nCURSO,DATOS!$D11246,nESPEC,DATOS!$E11246,nASIG,DATOS!$I11246,nEVAL,"OR")=0))</f>
      </c>
      <c r="I11246">
        <f>IF(DATOS!$I11246="","",IFERROR(VLOOKUP(DATOS!$I11246,CONFIG_ASIGNATURAS!$B$2:$J$91,9,FALSE()),""))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IF(DATOS!$A11247="",0,IF(CONFIG_METADATA!$B$4&lt;&gt;"OR+EX",--(DATOS!$G11247=CONFIG_METADATA!$B$4),IF(DATOS!$G11247="EX",1,IF(DATOS!$G11247="OR",--(COUNTIFS(nNIA,DATOS!$A11247,nCURSO,DATOS!$D11247,nESPEC,DATOS!$E11247,nASIG,DATOS!$I11247,nEVAL,"EX")=0),0))))</f>
      </c>
      <c r="H11247">
        <f>IF(DATOS!$G11247&lt;&gt;"EX",0,--(COUNTIFS(nNIA,DATOS!$A11247,nCURSO,DATOS!$D11247,nESPEC,DATOS!$E11247,nASIG,DATOS!$I11247,nEVAL,"OR")=0))</f>
      </c>
      <c r="I11247">
        <f>IF(DATOS!$I11247="","",IFERROR(VLOOKUP(DATOS!$I11247,CONFIG_ASIGNATURAS!$B$2:$J$91,9,FALSE()),""))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IF(DATOS!$A11248="",0,IF(CONFIG_METADATA!$B$4&lt;&gt;"OR+EX",--(DATOS!$G11248=CONFIG_METADATA!$B$4),IF(DATOS!$G11248="EX",1,IF(DATOS!$G11248="OR",--(COUNTIFS(nNIA,DATOS!$A11248,nCURSO,DATOS!$D11248,nESPEC,DATOS!$E11248,nASIG,DATOS!$I11248,nEVAL,"EX")=0),0))))</f>
      </c>
      <c r="H11248">
        <f>IF(DATOS!$G11248&lt;&gt;"EX",0,--(COUNTIFS(nNIA,DATOS!$A11248,nCURSO,DATOS!$D11248,nESPEC,DATOS!$E11248,nASIG,DATOS!$I11248,nEVAL,"OR")=0))</f>
      </c>
      <c r="I11248">
        <f>IF(DATOS!$I11248="","",IFERROR(VLOOKUP(DATOS!$I11248,CONFIG_ASIGNATURAS!$B$2:$J$91,9,FALSE()),""))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IF(DATOS!$A11249="",0,IF(CONFIG_METADATA!$B$4&lt;&gt;"OR+EX",--(DATOS!$G11249=CONFIG_METADATA!$B$4),IF(DATOS!$G11249="EX",1,IF(DATOS!$G11249="OR",--(COUNTIFS(nNIA,DATOS!$A11249,nCURSO,DATOS!$D11249,nESPEC,DATOS!$E11249,nASIG,DATOS!$I11249,nEVAL,"EX")=0),0))))</f>
      </c>
      <c r="H11249">
        <f>IF(DATOS!$G11249&lt;&gt;"EX",0,--(COUNTIFS(nNIA,DATOS!$A11249,nCURSO,DATOS!$D11249,nESPEC,DATOS!$E11249,nASIG,DATOS!$I11249,nEVAL,"OR")=0))</f>
      </c>
      <c r="I11249">
        <f>IF(DATOS!$I11249="","",IFERROR(VLOOKUP(DATOS!$I11249,CONFIG_ASIGNATURAS!$B$2:$J$91,9,FALSE()),""))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IF(DATOS!$A11250="",0,IF(CONFIG_METADATA!$B$4&lt;&gt;"OR+EX",--(DATOS!$G11250=CONFIG_METADATA!$B$4),IF(DATOS!$G11250="EX",1,IF(DATOS!$G11250="OR",--(COUNTIFS(nNIA,DATOS!$A11250,nCURSO,DATOS!$D11250,nESPEC,DATOS!$E11250,nASIG,DATOS!$I11250,nEVAL,"EX")=0),0))))</f>
      </c>
      <c r="H11250">
        <f>IF(DATOS!$G11250&lt;&gt;"EX",0,--(COUNTIFS(nNIA,DATOS!$A11250,nCURSO,DATOS!$D11250,nESPEC,DATOS!$E11250,nASIG,DATOS!$I11250,nEVAL,"OR")=0))</f>
      </c>
      <c r="I11250">
        <f>IF(DATOS!$I11250="","",IFERROR(VLOOKUP(DATOS!$I11250,CONFIG_ASIGNATURAS!$B$2:$J$91,9,FALSE()),""))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IF(DATOS!$A11251="",0,IF(CONFIG_METADATA!$B$4&lt;&gt;"OR+EX",--(DATOS!$G11251=CONFIG_METADATA!$B$4),IF(DATOS!$G11251="EX",1,IF(DATOS!$G11251="OR",--(COUNTIFS(nNIA,DATOS!$A11251,nCURSO,DATOS!$D11251,nESPEC,DATOS!$E11251,nASIG,DATOS!$I11251,nEVAL,"EX")=0),0))))</f>
      </c>
      <c r="H11251">
        <f>IF(DATOS!$G11251&lt;&gt;"EX",0,--(COUNTIFS(nNIA,DATOS!$A11251,nCURSO,DATOS!$D11251,nESPEC,DATOS!$E11251,nASIG,DATOS!$I11251,nEVAL,"OR")=0))</f>
      </c>
      <c r="I11251">
        <f>IF(DATOS!$I11251="","",IFERROR(VLOOKUP(DATOS!$I11251,CONFIG_ASIGNATURAS!$B$2:$J$91,9,FALSE()),""))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IF(DATOS!$A11252="",0,IF(CONFIG_METADATA!$B$4&lt;&gt;"OR+EX",--(DATOS!$G11252=CONFIG_METADATA!$B$4),IF(DATOS!$G11252="EX",1,IF(DATOS!$G11252="OR",--(COUNTIFS(nNIA,DATOS!$A11252,nCURSO,DATOS!$D11252,nESPEC,DATOS!$E11252,nASIG,DATOS!$I11252,nEVAL,"EX")=0),0))))</f>
      </c>
      <c r="H11252">
        <f>IF(DATOS!$G11252&lt;&gt;"EX",0,--(COUNTIFS(nNIA,DATOS!$A11252,nCURSO,DATOS!$D11252,nESPEC,DATOS!$E11252,nASIG,DATOS!$I11252,nEVAL,"OR")=0))</f>
      </c>
      <c r="I11252">
        <f>IF(DATOS!$I11252="","",IFERROR(VLOOKUP(DATOS!$I11252,CONFIG_ASIGNATURAS!$B$2:$J$91,9,FALSE()),""))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IF(DATOS!$A11253="",0,IF(CONFIG_METADATA!$B$4&lt;&gt;"OR+EX",--(DATOS!$G11253=CONFIG_METADATA!$B$4),IF(DATOS!$G11253="EX",1,IF(DATOS!$G11253="OR",--(COUNTIFS(nNIA,DATOS!$A11253,nCURSO,DATOS!$D11253,nESPEC,DATOS!$E11253,nASIG,DATOS!$I11253,nEVAL,"EX")=0),0))))</f>
      </c>
      <c r="H11253">
        <f>IF(DATOS!$G11253&lt;&gt;"EX",0,--(COUNTIFS(nNIA,DATOS!$A11253,nCURSO,DATOS!$D11253,nESPEC,DATOS!$E11253,nASIG,DATOS!$I11253,nEVAL,"OR")=0))</f>
      </c>
      <c r="I11253">
        <f>IF(DATOS!$I11253="","",IFERROR(VLOOKUP(DATOS!$I11253,CONFIG_ASIGNATURAS!$B$2:$J$91,9,FALSE()),""))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IF(DATOS!$A11254="",0,IF(CONFIG_METADATA!$B$4&lt;&gt;"OR+EX",--(DATOS!$G11254=CONFIG_METADATA!$B$4),IF(DATOS!$G11254="EX",1,IF(DATOS!$G11254="OR",--(COUNTIFS(nNIA,DATOS!$A11254,nCURSO,DATOS!$D11254,nESPEC,DATOS!$E11254,nASIG,DATOS!$I11254,nEVAL,"EX")=0),0))))</f>
      </c>
      <c r="H11254">
        <f>IF(DATOS!$G11254&lt;&gt;"EX",0,--(COUNTIFS(nNIA,DATOS!$A11254,nCURSO,DATOS!$D11254,nESPEC,DATOS!$E11254,nASIG,DATOS!$I11254,nEVAL,"OR")=0))</f>
      </c>
      <c r="I11254">
        <f>IF(DATOS!$I11254="","",IFERROR(VLOOKUP(DATOS!$I11254,CONFIG_ASIGNATURAS!$B$2:$J$91,9,FALSE()),""))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IF(DATOS!$A11255="",0,IF(CONFIG_METADATA!$B$4&lt;&gt;"OR+EX",--(DATOS!$G11255=CONFIG_METADATA!$B$4),IF(DATOS!$G11255="EX",1,IF(DATOS!$G11255="OR",--(COUNTIFS(nNIA,DATOS!$A11255,nCURSO,DATOS!$D11255,nESPEC,DATOS!$E11255,nASIG,DATOS!$I11255,nEVAL,"EX")=0),0))))</f>
      </c>
      <c r="H11255">
        <f>IF(DATOS!$G11255&lt;&gt;"EX",0,--(COUNTIFS(nNIA,DATOS!$A11255,nCURSO,DATOS!$D11255,nESPEC,DATOS!$E11255,nASIG,DATOS!$I11255,nEVAL,"OR")=0))</f>
      </c>
      <c r="I11255">
        <f>IF(DATOS!$I11255="","",IFERROR(VLOOKUP(DATOS!$I11255,CONFIG_ASIGNATURAS!$B$2:$J$91,9,FALSE()),""))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IF(DATOS!$A11256="",0,IF(CONFIG_METADATA!$B$4&lt;&gt;"OR+EX",--(DATOS!$G11256=CONFIG_METADATA!$B$4),IF(DATOS!$G11256="EX",1,IF(DATOS!$G11256="OR",--(COUNTIFS(nNIA,DATOS!$A11256,nCURSO,DATOS!$D11256,nESPEC,DATOS!$E11256,nASIG,DATOS!$I11256,nEVAL,"EX")=0),0))))</f>
      </c>
      <c r="H11256">
        <f>IF(DATOS!$G11256&lt;&gt;"EX",0,--(COUNTIFS(nNIA,DATOS!$A11256,nCURSO,DATOS!$D11256,nESPEC,DATOS!$E11256,nASIG,DATOS!$I11256,nEVAL,"OR")=0))</f>
      </c>
      <c r="I11256">
        <f>IF(DATOS!$I11256="","",IFERROR(VLOOKUP(DATOS!$I11256,CONFIG_ASIGNATURAS!$B$2:$J$91,9,FALSE()),""))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IF(DATOS!$A11257="",0,IF(CONFIG_METADATA!$B$4&lt;&gt;"OR+EX",--(DATOS!$G11257=CONFIG_METADATA!$B$4),IF(DATOS!$G11257="EX",1,IF(DATOS!$G11257="OR",--(COUNTIFS(nNIA,DATOS!$A11257,nCURSO,DATOS!$D11257,nESPEC,DATOS!$E11257,nASIG,DATOS!$I11257,nEVAL,"EX")=0),0))))</f>
      </c>
      <c r="H11257">
        <f>IF(DATOS!$G11257&lt;&gt;"EX",0,--(COUNTIFS(nNIA,DATOS!$A11257,nCURSO,DATOS!$D11257,nESPEC,DATOS!$E11257,nASIG,DATOS!$I11257,nEVAL,"OR")=0))</f>
      </c>
      <c r="I11257">
        <f>IF(DATOS!$I11257="","",IFERROR(VLOOKUP(DATOS!$I11257,CONFIG_ASIGNATURAS!$B$2:$J$91,9,FALSE()),""))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IF(DATOS!$A11258="",0,IF(CONFIG_METADATA!$B$4&lt;&gt;"OR+EX",--(DATOS!$G11258=CONFIG_METADATA!$B$4),IF(DATOS!$G11258="EX",1,IF(DATOS!$G11258="OR",--(COUNTIFS(nNIA,DATOS!$A11258,nCURSO,DATOS!$D11258,nESPEC,DATOS!$E11258,nASIG,DATOS!$I11258,nEVAL,"EX")=0),0))))</f>
      </c>
      <c r="H11258">
        <f>IF(DATOS!$G11258&lt;&gt;"EX",0,--(COUNTIFS(nNIA,DATOS!$A11258,nCURSO,DATOS!$D11258,nESPEC,DATOS!$E11258,nASIG,DATOS!$I11258,nEVAL,"OR")=0))</f>
      </c>
      <c r="I11258">
        <f>IF(DATOS!$I11258="","",IFERROR(VLOOKUP(DATOS!$I11258,CONFIG_ASIGNATURAS!$B$2:$J$91,9,FALSE()),""))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IF(DATOS!$A11259="",0,IF(CONFIG_METADATA!$B$4&lt;&gt;"OR+EX",--(DATOS!$G11259=CONFIG_METADATA!$B$4),IF(DATOS!$G11259="EX",1,IF(DATOS!$G11259="OR",--(COUNTIFS(nNIA,DATOS!$A11259,nCURSO,DATOS!$D11259,nESPEC,DATOS!$E11259,nASIG,DATOS!$I11259,nEVAL,"EX")=0),0))))</f>
      </c>
      <c r="H11259">
        <f>IF(DATOS!$G11259&lt;&gt;"EX",0,--(COUNTIFS(nNIA,DATOS!$A11259,nCURSO,DATOS!$D11259,nESPEC,DATOS!$E11259,nASIG,DATOS!$I11259,nEVAL,"OR")=0))</f>
      </c>
      <c r="I11259">
        <f>IF(DATOS!$I11259="","",IFERROR(VLOOKUP(DATOS!$I11259,CONFIG_ASIGNATURAS!$B$2:$J$91,9,FALSE()),""))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IF(DATOS!$A11260="",0,IF(CONFIG_METADATA!$B$4&lt;&gt;"OR+EX",--(DATOS!$G11260=CONFIG_METADATA!$B$4),IF(DATOS!$G11260="EX",1,IF(DATOS!$G11260="OR",--(COUNTIFS(nNIA,DATOS!$A11260,nCURSO,DATOS!$D11260,nESPEC,DATOS!$E11260,nASIG,DATOS!$I11260,nEVAL,"EX")=0),0))))</f>
      </c>
      <c r="H11260">
        <f>IF(DATOS!$G11260&lt;&gt;"EX",0,--(COUNTIFS(nNIA,DATOS!$A11260,nCURSO,DATOS!$D11260,nESPEC,DATOS!$E11260,nASIG,DATOS!$I11260,nEVAL,"OR")=0))</f>
      </c>
      <c r="I11260">
        <f>IF(DATOS!$I11260="","",IFERROR(VLOOKUP(DATOS!$I11260,CONFIG_ASIGNATURAS!$B$2:$J$91,9,FALSE()),""))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IF(DATOS!$A11261="",0,IF(CONFIG_METADATA!$B$4&lt;&gt;"OR+EX",--(DATOS!$G11261=CONFIG_METADATA!$B$4),IF(DATOS!$G11261="EX",1,IF(DATOS!$G11261="OR",--(COUNTIFS(nNIA,DATOS!$A11261,nCURSO,DATOS!$D11261,nESPEC,DATOS!$E11261,nASIG,DATOS!$I11261,nEVAL,"EX")=0),0))))</f>
      </c>
      <c r="H11261">
        <f>IF(DATOS!$G11261&lt;&gt;"EX",0,--(COUNTIFS(nNIA,DATOS!$A11261,nCURSO,DATOS!$D11261,nESPEC,DATOS!$E11261,nASIG,DATOS!$I11261,nEVAL,"OR")=0))</f>
      </c>
      <c r="I11261">
        <f>IF(DATOS!$I11261="","",IFERROR(VLOOKUP(DATOS!$I11261,CONFIG_ASIGNATURAS!$B$2:$J$91,9,FALSE()),""))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IF(DATOS!$A11262="",0,IF(CONFIG_METADATA!$B$4&lt;&gt;"OR+EX",--(DATOS!$G11262=CONFIG_METADATA!$B$4),IF(DATOS!$G11262="EX",1,IF(DATOS!$G11262="OR",--(COUNTIFS(nNIA,DATOS!$A11262,nCURSO,DATOS!$D11262,nESPEC,DATOS!$E11262,nASIG,DATOS!$I11262,nEVAL,"EX")=0),0))))</f>
      </c>
      <c r="H11262">
        <f>IF(DATOS!$G11262&lt;&gt;"EX",0,--(COUNTIFS(nNIA,DATOS!$A11262,nCURSO,DATOS!$D11262,nESPEC,DATOS!$E11262,nASIG,DATOS!$I11262,nEVAL,"OR")=0))</f>
      </c>
      <c r="I11262">
        <f>IF(DATOS!$I11262="","",IFERROR(VLOOKUP(DATOS!$I11262,CONFIG_ASIGNATURAS!$B$2:$J$91,9,FALSE()),""))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IF(DATOS!$A11263="",0,IF(CONFIG_METADATA!$B$4&lt;&gt;"OR+EX",--(DATOS!$G11263=CONFIG_METADATA!$B$4),IF(DATOS!$G11263="EX",1,IF(DATOS!$G11263="OR",--(COUNTIFS(nNIA,DATOS!$A11263,nCURSO,DATOS!$D11263,nESPEC,DATOS!$E11263,nASIG,DATOS!$I11263,nEVAL,"EX")=0),0))))</f>
      </c>
      <c r="H11263">
        <f>IF(DATOS!$G11263&lt;&gt;"EX",0,--(COUNTIFS(nNIA,DATOS!$A11263,nCURSO,DATOS!$D11263,nESPEC,DATOS!$E11263,nASIG,DATOS!$I11263,nEVAL,"OR")=0))</f>
      </c>
      <c r="I11263">
        <f>IF(DATOS!$I11263="","",IFERROR(VLOOKUP(DATOS!$I11263,CONFIG_ASIGNATURAS!$B$2:$J$91,9,FALSE()),""))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IF(DATOS!$A11264="",0,IF(CONFIG_METADATA!$B$4&lt;&gt;"OR+EX",--(DATOS!$G11264=CONFIG_METADATA!$B$4),IF(DATOS!$G11264="EX",1,IF(DATOS!$G11264="OR",--(COUNTIFS(nNIA,DATOS!$A11264,nCURSO,DATOS!$D11264,nESPEC,DATOS!$E11264,nASIG,DATOS!$I11264,nEVAL,"EX")=0),0))))</f>
      </c>
      <c r="H11264">
        <f>IF(DATOS!$G11264&lt;&gt;"EX",0,--(COUNTIFS(nNIA,DATOS!$A11264,nCURSO,DATOS!$D11264,nESPEC,DATOS!$E11264,nASIG,DATOS!$I11264,nEVAL,"OR")=0))</f>
      </c>
      <c r="I11264">
        <f>IF(DATOS!$I11264="","",IFERROR(VLOOKUP(DATOS!$I11264,CONFIG_ASIGNATURAS!$B$2:$J$91,9,FALSE()),""))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IF(DATOS!$A11265="",0,IF(CONFIG_METADATA!$B$4&lt;&gt;"OR+EX",--(DATOS!$G11265=CONFIG_METADATA!$B$4),IF(DATOS!$G11265="EX",1,IF(DATOS!$G11265="OR",--(COUNTIFS(nNIA,DATOS!$A11265,nCURSO,DATOS!$D11265,nESPEC,DATOS!$E11265,nASIG,DATOS!$I11265,nEVAL,"EX")=0),0))))</f>
      </c>
      <c r="H11265">
        <f>IF(DATOS!$G11265&lt;&gt;"EX",0,--(COUNTIFS(nNIA,DATOS!$A11265,nCURSO,DATOS!$D11265,nESPEC,DATOS!$E11265,nASIG,DATOS!$I11265,nEVAL,"OR")=0))</f>
      </c>
      <c r="I11265">
        <f>IF(DATOS!$I11265="","",IFERROR(VLOOKUP(DATOS!$I11265,CONFIG_ASIGNATURAS!$B$2:$J$91,9,FALSE()),""))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IF(DATOS!$A11266="",0,IF(CONFIG_METADATA!$B$4&lt;&gt;"OR+EX",--(DATOS!$G11266=CONFIG_METADATA!$B$4),IF(DATOS!$G11266="EX",1,IF(DATOS!$G11266="OR",--(COUNTIFS(nNIA,DATOS!$A11266,nCURSO,DATOS!$D11266,nESPEC,DATOS!$E11266,nASIG,DATOS!$I11266,nEVAL,"EX")=0),0))))</f>
      </c>
      <c r="H11266">
        <f>IF(DATOS!$G11266&lt;&gt;"EX",0,--(COUNTIFS(nNIA,DATOS!$A11266,nCURSO,DATOS!$D11266,nESPEC,DATOS!$E11266,nASIG,DATOS!$I11266,nEVAL,"OR")=0))</f>
      </c>
      <c r="I11266">
        <f>IF(DATOS!$I11266="","",IFERROR(VLOOKUP(DATOS!$I11266,CONFIG_ASIGNATURAS!$B$2:$J$91,9,FALSE()),""))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IF(DATOS!$A11267="",0,IF(CONFIG_METADATA!$B$4&lt;&gt;"OR+EX",--(DATOS!$G11267=CONFIG_METADATA!$B$4),IF(DATOS!$G11267="EX",1,IF(DATOS!$G11267="OR",--(COUNTIFS(nNIA,DATOS!$A11267,nCURSO,DATOS!$D11267,nESPEC,DATOS!$E11267,nASIG,DATOS!$I11267,nEVAL,"EX")=0),0))))</f>
      </c>
      <c r="H11267">
        <f>IF(DATOS!$G11267&lt;&gt;"EX",0,--(COUNTIFS(nNIA,DATOS!$A11267,nCURSO,DATOS!$D11267,nESPEC,DATOS!$E11267,nASIG,DATOS!$I11267,nEVAL,"OR")=0))</f>
      </c>
      <c r="I11267">
        <f>IF(DATOS!$I11267="","",IFERROR(VLOOKUP(DATOS!$I11267,CONFIG_ASIGNATURAS!$B$2:$J$91,9,FALSE()),""))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IF(DATOS!$A11268="",0,IF(CONFIG_METADATA!$B$4&lt;&gt;"OR+EX",--(DATOS!$G11268=CONFIG_METADATA!$B$4),IF(DATOS!$G11268="EX",1,IF(DATOS!$G11268="OR",--(COUNTIFS(nNIA,DATOS!$A11268,nCURSO,DATOS!$D11268,nESPEC,DATOS!$E11268,nASIG,DATOS!$I11268,nEVAL,"EX")=0),0))))</f>
      </c>
      <c r="H11268">
        <f>IF(DATOS!$G11268&lt;&gt;"EX",0,--(COUNTIFS(nNIA,DATOS!$A11268,nCURSO,DATOS!$D11268,nESPEC,DATOS!$E11268,nASIG,DATOS!$I11268,nEVAL,"OR")=0))</f>
      </c>
      <c r="I11268">
        <f>IF(DATOS!$I11268="","",IFERROR(VLOOKUP(DATOS!$I11268,CONFIG_ASIGNATURAS!$B$2:$J$91,9,FALSE()),""))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IF(DATOS!$A11269="",0,IF(CONFIG_METADATA!$B$4&lt;&gt;"OR+EX",--(DATOS!$G11269=CONFIG_METADATA!$B$4),IF(DATOS!$G11269="EX",1,IF(DATOS!$G11269="OR",--(COUNTIFS(nNIA,DATOS!$A11269,nCURSO,DATOS!$D11269,nESPEC,DATOS!$E11269,nASIG,DATOS!$I11269,nEVAL,"EX")=0),0))))</f>
      </c>
      <c r="H11269">
        <f>IF(DATOS!$G11269&lt;&gt;"EX",0,--(COUNTIFS(nNIA,DATOS!$A11269,nCURSO,DATOS!$D11269,nESPEC,DATOS!$E11269,nASIG,DATOS!$I11269,nEVAL,"OR")=0))</f>
      </c>
      <c r="I11269">
        <f>IF(DATOS!$I11269="","",IFERROR(VLOOKUP(DATOS!$I11269,CONFIG_ASIGNATURAS!$B$2:$J$91,9,FALSE()),""))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IF(DATOS!$A11270="",0,IF(CONFIG_METADATA!$B$4&lt;&gt;"OR+EX",--(DATOS!$G11270=CONFIG_METADATA!$B$4),IF(DATOS!$G11270="EX",1,IF(DATOS!$G11270="OR",--(COUNTIFS(nNIA,DATOS!$A11270,nCURSO,DATOS!$D11270,nESPEC,DATOS!$E11270,nASIG,DATOS!$I11270,nEVAL,"EX")=0),0))))</f>
      </c>
      <c r="H11270">
        <f>IF(DATOS!$G11270&lt;&gt;"EX",0,--(COUNTIFS(nNIA,DATOS!$A11270,nCURSO,DATOS!$D11270,nESPEC,DATOS!$E11270,nASIG,DATOS!$I11270,nEVAL,"OR")=0))</f>
      </c>
      <c r="I11270">
        <f>IF(DATOS!$I11270="","",IFERROR(VLOOKUP(DATOS!$I11270,CONFIG_ASIGNATURAS!$B$2:$J$91,9,FALSE()),""))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IF(DATOS!$A11271="",0,IF(CONFIG_METADATA!$B$4&lt;&gt;"OR+EX",--(DATOS!$G11271=CONFIG_METADATA!$B$4),IF(DATOS!$G11271="EX",1,IF(DATOS!$G11271="OR",--(COUNTIFS(nNIA,DATOS!$A11271,nCURSO,DATOS!$D11271,nESPEC,DATOS!$E11271,nASIG,DATOS!$I11271,nEVAL,"EX")=0),0))))</f>
      </c>
      <c r="H11271">
        <f>IF(DATOS!$G11271&lt;&gt;"EX",0,--(COUNTIFS(nNIA,DATOS!$A11271,nCURSO,DATOS!$D11271,nESPEC,DATOS!$E11271,nASIG,DATOS!$I11271,nEVAL,"OR")=0))</f>
      </c>
      <c r="I11271">
        <f>IF(DATOS!$I11271="","",IFERROR(VLOOKUP(DATOS!$I11271,CONFIG_ASIGNATURAS!$B$2:$J$91,9,FALSE()),""))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IF(DATOS!$A11272="",0,IF(CONFIG_METADATA!$B$4&lt;&gt;"OR+EX",--(DATOS!$G11272=CONFIG_METADATA!$B$4),IF(DATOS!$G11272="EX",1,IF(DATOS!$G11272="OR",--(COUNTIFS(nNIA,DATOS!$A11272,nCURSO,DATOS!$D11272,nESPEC,DATOS!$E11272,nASIG,DATOS!$I11272,nEVAL,"EX")=0),0))))</f>
      </c>
      <c r="H11272">
        <f>IF(DATOS!$G11272&lt;&gt;"EX",0,--(COUNTIFS(nNIA,DATOS!$A11272,nCURSO,DATOS!$D11272,nESPEC,DATOS!$E11272,nASIG,DATOS!$I11272,nEVAL,"OR")=0))</f>
      </c>
      <c r="I11272">
        <f>IF(DATOS!$I11272="","",IFERROR(VLOOKUP(DATOS!$I11272,CONFIG_ASIGNATURAS!$B$2:$J$91,9,FALSE()),""))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IF(DATOS!$A11273="",0,IF(CONFIG_METADATA!$B$4&lt;&gt;"OR+EX",--(DATOS!$G11273=CONFIG_METADATA!$B$4),IF(DATOS!$G11273="EX",1,IF(DATOS!$G11273="OR",--(COUNTIFS(nNIA,DATOS!$A11273,nCURSO,DATOS!$D11273,nESPEC,DATOS!$E11273,nASIG,DATOS!$I11273,nEVAL,"EX")=0),0))))</f>
      </c>
      <c r="H11273">
        <f>IF(DATOS!$G11273&lt;&gt;"EX",0,--(COUNTIFS(nNIA,DATOS!$A11273,nCURSO,DATOS!$D11273,nESPEC,DATOS!$E11273,nASIG,DATOS!$I11273,nEVAL,"OR")=0))</f>
      </c>
      <c r="I11273">
        <f>IF(DATOS!$I11273="","",IFERROR(VLOOKUP(DATOS!$I11273,CONFIG_ASIGNATURAS!$B$2:$J$91,9,FALSE()),""))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IF(DATOS!$A11274="",0,IF(CONFIG_METADATA!$B$4&lt;&gt;"OR+EX",--(DATOS!$G11274=CONFIG_METADATA!$B$4),IF(DATOS!$G11274="EX",1,IF(DATOS!$G11274="OR",--(COUNTIFS(nNIA,DATOS!$A11274,nCURSO,DATOS!$D11274,nESPEC,DATOS!$E11274,nASIG,DATOS!$I11274,nEVAL,"EX")=0),0))))</f>
      </c>
      <c r="H11274">
        <f>IF(DATOS!$G11274&lt;&gt;"EX",0,--(COUNTIFS(nNIA,DATOS!$A11274,nCURSO,DATOS!$D11274,nESPEC,DATOS!$E11274,nASIG,DATOS!$I11274,nEVAL,"OR")=0))</f>
      </c>
      <c r="I11274">
        <f>IF(DATOS!$I11274="","",IFERROR(VLOOKUP(DATOS!$I11274,CONFIG_ASIGNATURAS!$B$2:$J$91,9,FALSE()),""))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IF(DATOS!$A11275="",0,IF(CONFIG_METADATA!$B$4&lt;&gt;"OR+EX",--(DATOS!$G11275=CONFIG_METADATA!$B$4),IF(DATOS!$G11275="EX",1,IF(DATOS!$G11275="OR",--(COUNTIFS(nNIA,DATOS!$A11275,nCURSO,DATOS!$D11275,nESPEC,DATOS!$E11275,nASIG,DATOS!$I11275,nEVAL,"EX")=0),0))))</f>
      </c>
      <c r="H11275">
        <f>IF(DATOS!$G11275&lt;&gt;"EX",0,--(COUNTIFS(nNIA,DATOS!$A11275,nCURSO,DATOS!$D11275,nESPEC,DATOS!$E11275,nASIG,DATOS!$I11275,nEVAL,"OR")=0))</f>
      </c>
      <c r="I11275">
        <f>IF(DATOS!$I11275="","",IFERROR(VLOOKUP(DATOS!$I11275,CONFIG_ASIGNATURAS!$B$2:$J$91,9,FALSE()),""))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IF(DATOS!$A11276="",0,IF(CONFIG_METADATA!$B$4&lt;&gt;"OR+EX",--(DATOS!$G11276=CONFIG_METADATA!$B$4),IF(DATOS!$G11276="EX",1,IF(DATOS!$G11276="OR",--(COUNTIFS(nNIA,DATOS!$A11276,nCURSO,DATOS!$D11276,nESPEC,DATOS!$E11276,nASIG,DATOS!$I11276,nEVAL,"EX")=0),0))))</f>
      </c>
      <c r="H11276">
        <f>IF(DATOS!$G11276&lt;&gt;"EX",0,--(COUNTIFS(nNIA,DATOS!$A11276,nCURSO,DATOS!$D11276,nESPEC,DATOS!$E11276,nASIG,DATOS!$I11276,nEVAL,"OR")=0))</f>
      </c>
      <c r="I11276">
        <f>IF(DATOS!$I11276="","",IFERROR(VLOOKUP(DATOS!$I11276,CONFIG_ASIGNATURAS!$B$2:$J$91,9,FALSE()),""))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IF(DATOS!$A11277="",0,IF(CONFIG_METADATA!$B$4&lt;&gt;"OR+EX",--(DATOS!$G11277=CONFIG_METADATA!$B$4),IF(DATOS!$G11277="EX",1,IF(DATOS!$G11277="OR",--(COUNTIFS(nNIA,DATOS!$A11277,nCURSO,DATOS!$D11277,nESPEC,DATOS!$E11277,nASIG,DATOS!$I11277,nEVAL,"EX")=0),0))))</f>
      </c>
      <c r="H11277">
        <f>IF(DATOS!$G11277&lt;&gt;"EX",0,--(COUNTIFS(nNIA,DATOS!$A11277,nCURSO,DATOS!$D11277,nESPEC,DATOS!$E11277,nASIG,DATOS!$I11277,nEVAL,"OR")=0))</f>
      </c>
      <c r="I11277">
        <f>IF(DATOS!$I11277="","",IFERROR(VLOOKUP(DATOS!$I11277,CONFIG_ASIGNATURAS!$B$2:$J$91,9,FALSE()),""))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IF(DATOS!$A11278="",0,IF(CONFIG_METADATA!$B$4&lt;&gt;"OR+EX",--(DATOS!$G11278=CONFIG_METADATA!$B$4),IF(DATOS!$G11278="EX",1,IF(DATOS!$G11278="OR",--(COUNTIFS(nNIA,DATOS!$A11278,nCURSO,DATOS!$D11278,nESPEC,DATOS!$E11278,nASIG,DATOS!$I11278,nEVAL,"EX")=0),0))))</f>
      </c>
      <c r="H11278">
        <f>IF(DATOS!$G11278&lt;&gt;"EX",0,--(COUNTIFS(nNIA,DATOS!$A11278,nCURSO,DATOS!$D11278,nESPEC,DATOS!$E11278,nASIG,DATOS!$I11278,nEVAL,"OR")=0))</f>
      </c>
      <c r="I11278">
        <f>IF(DATOS!$I11278="","",IFERROR(VLOOKUP(DATOS!$I11278,CONFIG_ASIGNATURAS!$B$2:$J$91,9,FALSE()),""))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IF(DATOS!$A11279="",0,IF(CONFIG_METADATA!$B$4&lt;&gt;"OR+EX",--(DATOS!$G11279=CONFIG_METADATA!$B$4),IF(DATOS!$G11279="EX",1,IF(DATOS!$G11279="OR",--(COUNTIFS(nNIA,DATOS!$A11279,nCURSO,DATOS!$D11279,nESPEC,DATOS!$E11279,nASIG,DATOS!$I11279,nEVAL,"EX")=0),0))))</f>
      </c>
      <c r="H11279">
        <f>IF(DATOS!$G11279&lt;&gt;"EX",0,--(COUNTIFS(nNIA,DATOS!$A11279,nCURSO,DATOS!$D11279,nESPEC,DATOS!$E11279,nASIG,DATOS!$I11279,nEVAL,"OR")=0))</f>
      </c>
      <c r="I11279">
        <f>IF(DATOS!$I11279="","",IFERROR(VLOOKUP(DATOS!$I11279,CONFIG_ASIGNATURAS!$B$2:$J$91,9,FALSE()),""))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IF(DATOS!$A11280="",0,IF(CONFIG_METADATA!$B$4&lt;&gt;"OR+EX",--(DATOS!$G11280=CONFIG_METADATA!$B$4),IF(DATOS!$G11280="EX",1,IF(DATOS!$G11280="OR",--(COUNTIFS(nNIA,DATOS!$A11280,nCURSO,DATOS!$D11280,nESPEC,DATOS!$E11280,nASIG,DATOS!$I11280,nEVAL,"EX")=0),0))))</f>
      </c>
      <c r="H11280">
        <f>IF(DATOS!$G11280&lt;&gt;"EX",0,--(COUNTIFS(nNIA,DATOS!$A11280,nCURSO,DATOS!$D11280,nESPEC,DATOS!$E11280,nASIG,DATOS!$I11280,nEVAL,"OR")=0))</f>
      </c>
      <c r="I11280">
        <f>IF(DATOS!$I11280="","",IFERROR(VLOOKUP(DATOS!$I11280,CONFIG_ASIGNATURAS!$B$2:$J$91,9,FALSE()),""))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IF(DATOS!$A11281="",0,IF(CONFIG_METADATA!$B$4&lt;&gt;"OR+EX",--(DATOS!$G11281=CONFIG_METADATA!$B$4),IF(DATOS!$G11281="EX",1,IF(DATOS!$G11281="OR",--(COUNTIFS(nNIA,DATOS!$A11281,nCURSO,DATOS!$D11281,nESPEC,DATOS!$E11281,nASIG,DATOS!$I11281,nEVAL,"EX")=0),0))))</f>
      </c>
      <c r="H11281">
        <f>IF(DATOS!$G11281&lt;&gt;"EX",0,--(COUNTIFS(nNIA,DATOS!$A11281,nCURSO,DATOS!$D11281,nESPEC,DATOS!$E11281,nASIG,DATOS!$I11281,nEVAL,"OR")=0))</f>
      </c>
      <c r="I11281">
        <f>IF(DATOS!$I11281="","",IFERROR(VLOOKUP(DATOS!$I11281,CONFIG_ASIGNATURAS!$B$2:$J$91,9,FALSE()),""))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IF(DATOS!$A11282="",0,IF(CONFIG_METADATA!$B$4&lt;&gt;"OR+EX",--(DATOS!$G11282=CONFIG_METADATA!$B$4),IF(DATOS!$G11282="EX",1,IF(DATOS!$G11282="OR",--(COUNTIFS(nNIA,DATOS!$A11282,nCURSO,DATOS!$D11282,nESPEC,DATOS!$E11282,nASIG,DATOS!$I11282,nEVAL,"EX")=0),0))))</f>
      </c>
      <c r="H11282">
        <f>IF(DATOS!$G11282&lt;&gt;"EX",0,--(COUNTIFS(nNIA,DATOS!$A11282,nCURSO,DATOS!$D11282,nESPEC,DATOS!$E11282,nASIG,DATOS!$I11282,nEVAL,"OR")=0))</f>
      </c>
      <c r="I11282">
        <f>IF(DATOS!$I11282="","",IFERROR(VLOOKUP(DATOS!$I11282,CONFIG_ASIGNATURAS!$B$2:$J$91,9,FALSE()),""))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IF(DATOS!$A11283="",0,IF(CONFIG_METADATA!$B$4&lt;&gt;"OR+EX",--(DATOS!$G11283=CONFIG_METADATA!$B$4),IF(DATOS!$G11283="EX",1,IF(DATOS!$G11283="OR",--(COUNTIFS(nNIA,DATOS!$A11283,nCURSO,DATOS!$D11283,nESPEC,DATOS!$E11283,nASIG,DATOS!$I11283,nEVAL,"EX")=0),0))))</f>
      </c>
      <c r="H11283">
        <f>IF(DATOS!$G11283&lt;&gt;"EX",0,--(COUNTIFS(nNIA,DATOS!$A11283,nCURSO,DATOS!$D11283,nESPEC,DATOS!$E11283,nASIG,DATOS!$I11283,nEVAL,"OR")=0))</f>
      </c>
      <c r="I11283">
        <f>IF(DATOS!$I11283="","",IFERROR(VLOOKUP(DATOS!$I11283,CONFIG_ASIGNATURAS!$B$2:$J$91,9,FALSE()),""))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IF(DATOS!$A11284="",0,IF(CONFIG_METADATA!$B$4&lt;&gt;"OR+EX",--(DATOS!$G11284=CONFIG_METADATA!$B$4),IF(DATOS!$G11284="EX",1,IF(DATOS!$G11284="OR",--(COUNTIFS(nNIA,DATOS!$A11284,nCURSO,DATOS!$D11284,nESPEC,DATOS!$E11284,nASIG,DATOS!$I11284,nEVAL,"EX")=0),0))))</f>
      </c>
      <c r="H11284">
        <f>IF(DATOS!$G11284&lt;&gt;"EX",0,--(COUNTIFS(nNIA,DATOS!$A11284,nCURSO,DATOS!$D11284,nESPEC,DATOS!$E11284,nASIG,DATOS!$I11284,nEVAL,"OR")=0))</f>
      </c>
      <c r="I11284">
        <f>IF(DATOS!$I11284="","",IFERROR(VLOOKUP(DATOS!$I11284,CONFIG_ASIGNATURAS!$B$2:$J$91,9,FALSE()),""))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IF(DATOS!$A11285="",0,IF(CONFIG_METADATA!$B$4&lt;&gt;"OR+EX",--(DATOS!$G11285=CONFIG_METADATA!$B$4),IF(DATOS!$G11285="EX",1,IF(DATOS!$G11285="OR",--(COUNTIFS(nNIA,DATOS!$A11285,nCURSO,DATOS!$D11285,nESPEC,DATOS!$E11285,nASIG,DATOS!$I11285,nEVAL,"EX")=0),0))))</f>
      </c>
      <c r="H11285">
        <f>IF(DATOS!$G11285&lt;&gt;"EX",0,--(COUNTIFS(nNIA,DATOS!$A11285,nCURSO,DATOS!$D11285,nESPEC,DATOS!$E11285,nASIG,DATOS!$I11285,nEVAL,"OR")=0))</f>
      </c>
      <c r="I11285">
        <f>IF(DATOS!$I11285="","",IFERROR(VLOOKUP(DATOS!$I11285,CONFIG_ASIGNATURAS!$B$2:$J$91,9,FALSE()),""))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IF(DATOS!$A11286="",0,IF(CONFIG_METADATA!$B$4&lt;&gt;"OR+EX",--(DATOS!$G11286=CONFIG_METADATA!$B$4),IF(DATOS!$G11286="EX",1,IF(DATOS!$G11286="OR",--(COUNTIFS(nNIA,DATOS!$A11286,nCURSO,DATOS!$D11286,nESPEC,DATOS!$E11286,nASIG,DATOS!$I11286,nEVAL,"EX")=0),0))))</f>
      </c>
      <c r="H11286">
        <f>IF(DATOS!$G11286&lt;&gt;"EX",0,--(COUNTIFS(nNIA,DATOS!$A11286,nCURSO,DATOS!$D11286,nESPEC,DATOS!$E11286,nASIG,DATOS!$I11286,nEVAL,"OR")=0))</f>
      </c>
      <c r="I11286">
        <f>IF(DATOS!$I11286="","",IFERROR(VLOOKUP(DATOS!$I11286,CONFIG_ASIGNATURAS!$B$2:$J$91,9,FALSE()),""))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IF(DATOS!$A11287="",0,IF(CONFIG_METADATA!$B$4&lt;&gt;"OR+EX",--(DATOS!$G11287=CONFIG_METADATA!$B$4),IF(DATOS!$G11287="EX",1,IF(DATOS!$G11287="OR",--(COUNTIFS(nNIA,DATOS!$A11287,nCURSO,DATOS!$D11287,nESPEC,DATOS!$E11287,nASIG,DATOS!$I11287,nEVAL,"EX")=0),0))))</f>
      </c>
      <c r="H11287">
        <f>IF(DATOS!$G11287&lt;&gt;"EX",0,--(COUNTIFS(nNIA,DATOS!$A11287,nCURSO,DATOS!$D11287,nESPEC,DATOS!$E11287,nASIG,DATOS!$I11287,nEVAL,"OR")=0))</f>
      </c>
      <c r="I11287">
        <f>IF(DATOS!$I11287="","",IFERROR(VLOOKUP(DATOS!$I11287,CONFIG_ASIGNATURAS!$B$2:$J$91,9,FALSE()),""))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IF(DATOS!$A11288="",0,IF(CONFIG_METADATA!$B$4&lt;&gt;"OR+EX",--(DATOS!$G11288=CONFIG_METADATA!$B$4),IF(DATOS!$G11288="EX",1,IF(DATOS!$G11288="OR",--(COUNTIFS(nNIA,DATOS!$A11288,nCURSO,DATOS!$D11288,nESPEC,DATOS!$E11288,nASIG,DATOS!$I11288,nEVAL,"EX")=0),0))))</f>
      </c>
      <c r="H11288">
        <f>IF(DATOS!$G11288&lt;&gt;"EX",0,--(COUNTIFS(nNIA,DATOS!$A11288,nCURSO,DATOS!$D11288,nESPEC,DATOS!$E11288,nASIG,DATOS!$I11288,nEVAL,"OR")=0))</f>
      </c>
      <c r="I11288">
        <f>IF(DATOS!$I11288="","",IFERROR(VLOOKUP(DATOS!$I11288,CONFIG_ASIGNATURAS!$B$2:$J$91,9,FALSE()),""))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IF(DATOS!$A11289="",0,IF(CONFIG_METADATA!$B$4&lt;&gt;"OR+EX",--(DATOS!$G11289=CONFIG_METADATA!$B$4),IF(DATOS!$G11289="EX",1,IF(DATOS!$G11289="OR",--(COUNTIFS(nNIA,DATOS!$A11289,nCURSO,DATOS!$D11289,nESPEC,DATOS!$E11289,nASIG,DATOS!$I11289,nEVAL,"EX")=0),0))))</f>
      </c>
      <c r="H11289">
        <f>IF(DATOS!$G11289&lt;&gt;"EX",0,--(COUNTIFS(nNIA,DATOS!$A11289,nCURSO,DATOS!$D11289,nESPEC,DATOS!$E11289,nASIG,DATOS!$I11289,nEVAL,"OR")=0))</f>
      </c>
      <c r="I11289">
        <f>IF(DATOS!$I11289="","",IFERROR(VLOOKUP(DATOS!$I11289,CONFIG_ASIGNATURAS!$B$2:$J$91,9,FALSE()),""))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IF(DATOS!$A11290="",0,IF(CONFIG_METADATA!$B$4&lt;&gt;"OR+EX",--(DATOS!$G11290=CONFIG_METADATA!$B$4),IF(DATOS!$G11290="EX",1,IF(DATOS!$G11290="OR",--(COUNTIFS(nNIA,DATOS!$A11290,nCURSO,DATOS!$D11290,nESPEC,DATOS!$E11290,nASIG,DATOS!$I11290,nEVAL,"EX")=0),0))))</f>
      </c>
      <c r="H11290">
        <f>IF(DATOS!$G11290&lt;&gt;"EX",0,--(COUNTIFS(nNIA,DATOS!$A11290,nCURSO,DATOS!$D11290,nESPEC,DATOS!$E11290,nASIG,DATOS!$I11290,nEVAL,"OR")=0))</f>
      </c>
      <c r="I11290">
        <f>IF(DATOS!$I11290="","",IFERROR(VLOOKUP(DATOS!$I11290,CONFIG_ASIGNATURAS!$B$2:$J$91,9,FALSE()),""))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IF(DATOS!$A11291="",0,IF(CONFIG_METADATA!$B$4&lt;&gt;"OR+EX",--(DATOS!$G11291=CONFIG_METADATA!$B$4),IF(DATOS!$G11291="EX",1,IF(DATOS!$G11291="OR",--(COUNTIFS(nNIA,DATOS!$A11291,nCURSO,DATOS!$D11291,nESPEC,DATOS!$E11291,nASIG,DATOS!$I11291,nEVAL,"EX")=0),0))))</f>
      </c>
      <c r="H11291">
        <f>IF(DATOS!$G11291&lt;&gt;"EX",0,--(COUNTIFS(nNIA,DATOS!$A11291,nCURSO,DATOS!$D11291,nESPEC,DATOS!$E11291,nASIG,DATOS!$I11291,nEVAL,"OR")=0))</f>
      </c>
      <c r="I11291">
        <f>IF(DATOS!$I11291="","",IFERROR(VLOOKUP(DATOS!$I11291,CONFIG_ASIGNATURAS!$B$2:$J$91,9,FALSE()),""))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IF(DATOS!$A11292="",0,IF(CONFIG_METADATA!$B$4&lt;&gt;"OR+EX",--(DATOS!$G11292=CONFIG_METADATA!$B$4),IF(DATOS!$G11292="EX",1,IF(DATOS!$G11292="OR",--(COUNTIFS(nNIA,DATOS!$A11292,nCURSO,DATOS!$D11292,nESPEC,DATOS!$E11292,nASIG,DATOS!$I11292,nEVAL,"EX")=0),0))))</f>
      </c>
      <c r="H11292">
        <f>IF(DATOS!$G11292&lt;&gt;"EX",0,--(COUNTIFS(nNIA,DATOS!$A11292,nCURSO,DATOS!$D11292,nESPEC,DATOS!$E11292,nASIG,DATOS!$I11292,nEVAL,"OR")=0))</f>
      </c>
      <c r="I11292">
        <f>IF(DATOS!$I11292="","",IFERROR(VLOOKUP(DATOS!$I11292,CONFIG_ASIGNATURAS!$B$2:$J$91,9,FALSE()),""))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IF(DATOS!$A11293="",0,IF(CONFIG_METADATA!$B$4&lt;&gt;"OR+EX",--(DATOS!$G11293=CONFIG_METADATA!$B$4),IF(DATOS!$G11293="EX",1,IF(DATOS!$G11293="OR",--(COUNTIFS(nNIA,DATOS!$A11293,nCURSO,DATOS!$D11293,nESPEC,DATOS!$E11293,nASIG,DATOS!$I11293,nEVAL,"EX")=0),0))))</f>
      </c>
      <c r="H11293">
        <f>IF(DATOS!$G11293&lt;&gt;"EX",0,--(COUNTIFS(nNIA,DATOS!$A11293,nCURSO,DATOS!$D11293,nESPEC,DATOS!$E11293,nASIG,DATOS!$I11293,nEVAL,"OR")=0))</f>
      </c>
      <c r="I11293">
        <f>IF(DATOS!$I11293="","",IFERROR(VLOOKUP(DATOS!$I11293,CONFIG_ASIGNATURAS!$B$2:$J$91,9,FALSE()),""))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IF(DATOS!$A11294="",0,IF(CONFIG_METADATA!$B$4&lt;&gt;"OR+EX",--(DATOS!$G11294=CONFIG_METADATA!$B$4),IF(DATOS!$G11294="EX",1,IF(DATOS!$G11294="OR",--(COUNTIFS(nNIA,DATOS!$A11294,nCURSO,DATOS!$D11294,nESPEC,DATOS!$E11294,nASIG,DATOS!$I11294,nEVAL,"EX")=0),0))))</f>
      </c>
      <c r="H11294">
        <f>IF(DATOS!$G11294&lt;&gt;"EX",0,--(COUNTIFS(nNIA,DATOS!$A11294,nCURSO,DATOS!$D11294,nESPEC,DATOS!$E11294,nASIG,DATOS!$I11294,nEVAL,"OR")=0))</f>
      </c>
      <c r="I11294">
        <f>IF(DATOS!$I11294="","",IFERROR(VLOOKUP(DATOS!$I11294,CONFIG_ASIGNATURAS!$B$2:$J$91,9,FALSE()),""))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IF(DATOS!$A11295="",0,IF(CONFIG_METADATA!$B$4&lt;&gt;"OR+EX",--(DATOS!$G11295=CONFIG_METADATA!$B$4),IF(DATOS!$G11295="EX",1,IF(DATOS!$G11295="OR",--(COUNTIFS(nNIA,DATOS!$A11295,nCURSO,DATOS!$D11295,nESPEC,DATOS!$E11295,nASIG,DATOS!$I11295,nEVAL,"EX")=0),0))))</f>
      </c>
      <c r="H11295">
        <f>IF(DATOS!$G11295&lt;&gt;"EX",0,--(COUNTIFS(nNIA,DATOS!$A11295,nCURSO,DATOS!$D11295,nESPEC,DATOS!$E11295,nASIG,DATOS!$I11295,nEVAL,"OR")=0))</f>
      </c>
      <c r="I11295">
        <f>IF(DATOS!$I11295="","",IFERROR(VLOOKUP(DATOS!$I11295,CONFIG_ASIGNATURAS!$B$2:$J$91,9,FALSE()),""))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IF(DATOS!$A11296="",0,IF(CONFIG_METADATA!$B$4&lt;&gt;"OR+EX",--(DATOS!$G11296=CONFIG_METADATA!$B$4),IF(DATOS!$G11296="EX",1,IF(DATOS!$G11296="OR",--(COUNTIFS(nNIA,DATOS!$A11296,nCURSO,DATOS!$D11296,nESPEC,DATOS!$E11296,nASIG,DATOS!$I11296,nEVAL,"EX")=0),0))))</f>
      </c>
      <c r="H11296">
        <f>IF(DATOS!$G11296&lt;&gt;"EX",0,--(COUNTIFS(nNIA,DATOS!$A11296,nCURSO,DATOS!$D11296,nESPEC,DATOS!$E11296,nASIG,DATOS!$I11296,nEVAL,"OR")=0))</f>
      </c>
      <c r="I11296">
        <f>IF(DATOS!$I11296="","",IFERROR(VLOOKUP(DATOS!$I11296,CONFIG_ASIGNATURAS!$B$2:$J$91,9,FALSE()),""))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IF(DATOS!$A11297="",0,IF(CONFIG_METADATA!$B$4&lt;&gt;"OR+EX",--(DATOS!$G11297=CONFIG_METADATA!$B$4),IF(DATOS!$G11297="EX",1,IF(DATOS!$G11297="OR",--(COUNTIFS(nNIA,DATOS!$A11297,nCURSO,DATOS!$D11297,nESPEC,DATOS!$E11297,nASIG,DATOS!$I11297,nEVAL,"EX")=0),0))))</f>
      </c>
      <c r="H11297">
        <f>IF(DATOS!$G11297&lt;&gt;"EX",0,--(COUNTIFS(nNIA,DATOS!$A11297,nCURSO,DATOS!$D11297,nESPEC,DATOS!$E11297,nASIG,DATOS!$I11297,nEVAL,"OR")=0))</f>
      </c>
      <c r="I11297">
        <f>IF(DATOS!$I11297="","",IFERROR(VLOOKUP(DATOS!$I11297,CONFIG_ASIGNATURAS!$B$2:$J$91,9,FALSE()),""))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IF(DATOS!$A11298="",0,IF(CONFIG_METADATA!$B$4&lt;&gt;"OR+EX",--(DATOS!$G11298=CONFIG_METADATA!$B$4),IF(DATOS!$G11298="EX",1,IF(DATOS!$G11298="OR",--(COUNTIFS(nNIA,DATOS!$A11298,nCURSO,DATOS!$D11298,nESPEC,DATOS!$E11298,nASIG,DATOS!$I11298,nEVAL,"EX")=0),0))))</f>
      </c>
      <c r="H11298">
        <f>IF(DATOS!$G11298&lt;&gt;"EX",0,--(COUNTIFS(nNIA,DATOS!$A11298,nCURSO,DATOS!$D11298,nESPEC,DATOS!$E11298,nASIG,DATOS!$I11298,nEVAL,"OR")=0))</f>
      </c>
      <c r="I11298">
        <f>IF(DATOS!$I11298="","",IFERROR(VLOOKUP(DATOS!$I11298,CONFIG_ASIGNATURAS!$B$2:$J$91,9,FALSE()),""))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IF(DATOS!$A11299="",0,IF(CONFIG_METADATA!$B$4&lt;&gt;"OR+EX",--(DATOS!$G11299=CONFIG_METADATA!$B$4),IF(DATOS!$G11299="EX",1,IF(DATOS!$G11299="OR",--(COUNTIFS(nNIA,DATOS!$A11299,nCURSO,DATOS!$D11299,nESPEC,DATOS!$E11299,nASIG,DATOS!$I11299,nEVAL,"EX")=0),0))))</f>
      </c>
      <c r="H11299">
        <f>IF(DATOS!$G11299&lt;&gt;"EX",0,--(COUNTIFS(nNIA,DATOS!$A11299,nCURSO,DATOS!$D11299,nESPEC,DATOS!$E11299,nASIG,DATOS!$I11299,nEVAL,"OR")=0))</f>
      </c>
      <c r="I11299">
        <f>IF(DATOS!$I11299="","",IFERROR(VLOOKUP(DATOS!$I11299,CONFIG_ASIGNATURAS!$B$2:$J$91,9,FALSE()),""))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IF(DATOS!$A11300="",0,IF(CONFIG_METADATA!$B$4&lt;&gt;"OR+EX",--(DATOS!$G11300=CONFIG_METADATA!$B$4),IF(DATOS!$G11300="EX",1,IF(DATOS!$G11300="OR",--(COUNTIFS(nNIA,DATOS!$A11300,nCURSO,DATOS!$D11300,nESPEC,DATOS!$E11300,nASIG,DATOS!$I11300,nEVAL,"EX")=0),0))))</f>
      </c>
      <c r="H11300">
        <f>IF(DATOS!$G11300&lt;&gt;"EX",0,--(COUNTIFS(nNIA,DATOS!$A11300,nCURSO,DATOS!$D11300,nESPEC,DATOS!$E11300,nASIG,DATOS!$I11300,nEVAL,"OR")=0))</f>
      </c>
      <c r="I11300">
        <f>IF(DATOS!$I11300="","",IFERROR(VLOOKUP(DATOS!$I11300,CONFIG_ASIGNATURAS!$B$2:$J$91,9,FALSE()),""))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IF(DATOS!$A11301="",0,IF(CONFIG_METADATA!$B$4&lt;&gt;"OR+EX",--(DATOS!$G11301=CONFIG_METADATA!$B$4),IF(DATOS!$G11301="EX",1,IF(DATOS!$G11301="OR",--(COUNTIFS(nNIA,DATOS!$A11301,nCURSO,DATOS!$D11301,nESPEC,DATOS!$E11301,nASIG,DATOS!$I11301,nEVAL,"EX")=0),0))))</f>
      </c>
      <c r="H11301">
        <f>IF(DATOS!$G11301&lt;&gt;"EX",0,--(COUNTIFS(nNIA,DATOS!$A11301,nCURSO,DATOS!$D11301,nESPEC,DATOS!$E11301,nASIG,DATOS!$I11301,nEVAL,"OR")=0))</f>
      </c>
      <c r="I11301">
        <f>IF(DATOS!$I11301="","",IFERROR(VLOOKUP(DATOS!$I11301,CONFIG_ASIGNATURAS!$B$2:$J$91,9,FALSE()),""))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IF(DATOS!$A11302="",0,IF(CONFIG_METADATA!$B$4&lt;&gt;"OR+EX",--(DATOS!$G11302=CONFIG_METADATA!$B$4),IF(DATOS!$G11302="EX",1,IF(DATOS!$G11302="OR",--(COUNTIFS(nNIA,DATOS!$A11302,nCURSO,DATOS!$D11302,nESPEC,DATOS!$E11302,nASIG,DATOS!$I11302,nEVAL,"EX")=0),0))))</f>
      </c>
      <c r="H11302">
        <f>IF(DATOS!$G11302&lt;&gt;"EX",0,--(COUNTIFS(nNIA,DATOS!$A11302,nCURSO,DATOS!$D11302,nESPEC,DATOS!$E11302,nASIG,DATOS!$I11302,nEVAL,"OR")=0))</f>
      </c>
      <c r="I11302">
        <f>IF(DATOS!$I11302="","",IFERROR(VLOOKUP(DATOS!$I11302,CONFIG_ASIGNATURAS!$B$2:$J$91,9,FALSE()),""))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IF(DATOS!$A11303="",0,IF(CONFIG_METADATA!$B$4&lt;&gt;"OR+EX",--(DATOS!$G11303=CONFIG_METADATA!$B$4),IF(DATOS!$G11303="EX",1,IF(DATOS!$G11303="OR",--(COUNTIFS(nNIA,DATOS!$A11303,nCURSO,DATOS!$D11303,nESPEC,DATOS!$E11303,nASIG,DATOS!$I11303,nEVAL,"EX")=0),0))))</f>
      </c>
      <c r="H11303">
        <f>IF(DATOS!$G11303&lt;&gt;"EX",0,--(COUNTIFS(nNIA,DATOS!$A11303,nCURSO,DATOS!$D11303,nESPEC,DATOS!$E11303,nASIG,DATOS!$I11303,nEVAL,"OR")=0))</f>
      </c>
      <c r="I11303">
        <f>IF(DATOS!$I11303="","",IFERROR(VLOOKUP(DATOS!$I11303,CONFIG_ASIGNATURAS!$B$2:$J$91,9,FALSE()),""))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IF(DATOS!$A11304="",0,IF(CONFIG_METADATA!$B$4&lt;&gt;"OR+EX",--(DATOS!$G11304=CONFIG_METADATA!$B$4),IF(DATOS!$G11304="EX",1,IF(DATOS!$G11304="OR",--(COUNTIFS(nNIA,DATOS!$A11304,nCURSO,DATOS!$D11304,nESPEC,DATOS!$E11304,nASIG,DATOS!$I11304,nEVAL,"EX")=0),0))))</f>
      </c>
      <c r="H11304">
        <f>IF(DATOS!$G11304&lt;&gt;"EX",0,--(COUNTIFS(nNIA,DATOS!$A11304,nCURSO,DATOS!$D11304,nESPEC,DATOS!$E11304,nASIG,DATOS!$I11304,nEVAL,"OR")=0))</f>
      </c>
      <c r="I11304">
        <f>IF(DATOS!$I11304="","",IFERROR(VLOOKUP(DATOS!$I11304,CONFIG_ASIGNATURAS!$B$2:$J$91,9,FALSE()),""))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IF(DATOS!$A11305="",0,IF(CONFIG_METADATA!$B$4&lt;&gt;"OR+EX",--(DATOS!$G11305=CONFIG_METADATA!$B$4),IF(DATOS!$G11305="EX",1,IF(DATOS!$G11305="OR",--(COUNTIFS(nNIA,DATOS!$A11305,nCURSO,DATOS!$D11305,nESPEC,DATOS!$E11305,nASIG,DATOS!$I11305,nEVAL,"EX")=0),0))))</f>
      </c>
      <c r="H11305">
        <f>IF(DATOS!$G11305&lt;&gt;"EX",0,--(COUNTIFS(nNIA,DATOS!$A11305,nCURSO,DATOS!$D11305,nESPEC,DATOS!$E11305,nASIG,DATOS!$I11305,nEVAL,"OR")=0))</f>
      </c>
      <c r="I11305">
        <f>IF(DATOS!$I11305="","",IFERROR(VLOOKUP(DATOS!$I11305,CONFIG_ASIGNATURAS!$B$2:$J$91,9,FALSE()),""))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IF(DATOS!$A11306="",0,IF(CONFIG_METADATA!$B$4&lt;&gt;"OR+EX",--(DATOS!$G11306=CONFIG_METADATA!$B$4),IF(DATOS!$G11306="EX",1,IF(DATOS!$G11306="OR",--(COUNTIFS(nNIA,DATOS!$A11306,nCURSO,DATOS!$D11306,nESPEC,DATOS!$E11306,nASIG,DATOS!$I11306,nEVAL,"EX")=0),0))))</f>
      </c>
      <c r="H11306">
        <f>IF(DATOS!$G11306&lt;&gt;"EX",0,--(COUNTIFS(nNIA,DATOS!$A11306,nCURSO,DATOS!$D11306,nESPEC,DATOS!$E11306,nASIG,DATOS!$I11306,nEVAL,"OR")=0))</f>
      </c>
      <c r="I11306">
        <f>IF(DATOS!$I11306="","",IFERROR(VLOOKUP(DATOS!$I11306,CONFIG_ASIGNATURAS!$B$2:$J$91,9,FALSE()),""))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IF(DATOS!$A11307="",0,IF(CONFIG_METADATA!$B$4&lt;&gt;"OR+EX",--(DATOS!$G11307=CONFIG_METADATA!$B$4),IF(DATOS!$G11307="EX",1,IF(DATOS!$G11307="OR",--(COUNTIFS(nNIA,DATOS!$A11307,nCURSO,DATOS!$D11307,nESPEC,DATOS!$E11307,nASIG,DATOS!$I11307,nEVAL,"EX")=0),0))))</f>
      </c>
      <c r="H11307">
        <f>IF(DATOS!$G11307&lt;&gt;"EX",0,--(COUNTIFS(nNIA,DATOS!$A11307,nCURSO,DATOS!$D11307,nESPEC,DATOS!$E11307,nASIG,DATOS!$I11307,nEVAL,"OR")=0))</f>
      </c>
      <c r="I11307">
        <f>IF(DATOS!$I11307="","",IFERROR(VLOOKUP(DATOS!$I11307,CONFIG_ASIGNATURAS!$B$2:$J$91,9,FALSE()),""))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IF(DATOS!$A11308="",0,IF(CONFIG_METADATA!$B$4&lt;&gt;"OR+EX",--(DATOS!$G11308=CONFIG_METADATA!$B$4),IF(DATOS!$G11308="EX",1,IF(DATOS!$G11308="OR",--(COUNTIFS(nNIA,DATOS!$A11308,nCURSO,DATOS!$D11308,nESPEC,DATOS!$E11308,nASIG,DATOS!$I11308,nEVAL,"EX")=0),0))))</f>
      </c>
      <c r="H11308">
        <f>IF(DATOS!$G11308&lt;&gt;"EX",0,--(COUNTIFS(nNIA,DATOS!$A11308,nCURSO,DATOS!$D11308,nESPEC,DATOS!$E11308,nASIG,DATOS!$I11308,nEVAL,"OR")=0))</f>
      </c>
      <c r="I11308">
        <f>IF(DATOS!$I11308="","",IFERROR(VLOOKUP(DATOS!$I11308,CONFIG_ASIGNATURAS!$B$2:$J$91,9,FALSE()),""))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IF(DATOS!$A11309="",0,IF(CONFIG_METADATA!$B$4&lt;&gt;"OR+EX",--(DATOS!$G11309=CONFIG_METADATA!$B$4),IF(DATOS!$G11309="EX",1,IF(DATOS!$G11309="OR",--(COUNTIFS(nNIA,DATOS!$A11309,nCURSO,DATOS!$D11309,nESPEC,DATOS!$E11309,nASIG,DATOS!$I11309,nEVAL,"EX")=0),0))))</f>
      </c>
      <c r="H11309">
        <f>IF(DATOS!$G11309&lt;&gt;"EX",0,--(COUNTIFS(nNIA,DATOS!$A11309,nCURSO,DATOS!$D11309,nESPEC,DATOS!$E11309,nASIG,DATOS!$I11309,nEVAL,"OR")=0))</f>
      </c>
      <c r="I11309">
        <f>IF(DATOS!$I11309="","",IFERROR(VLOOKUP(DATOS!$I11309,CONFIG_ASIGNATURAS!$B$2:$J$91,9,FALSE()),""))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IF(DATOS!$A11310="",0,IF(CONFIG_METADATA!$B$4&lt;&gt;"OR+EX",--(DATOS!$G11310=CONFIG_METADATA!$B$4),IF(DATOS!$G11310="EX",1,IF(DATOS!$G11310="OR",--(COUNTIFS(nNIA,DATOS!$A11310,nCURSO,DATOS!$D11310,nESPEC,DATOS!$E11310,nASIG,DATOS!$I11310,nEVAL,"EX")=0),0))))</f>
      </c>
      <c r="H11310">
        <f>IF(DATOS!$G11310&lt;&gt;"EX",0,--(COUNTIFS(nNIA,DATOS!$A11310,nCURSO,DATOS!$D11310,nESPEC,DATOS!$E11310,nASIG,DATOS!$I11310,nEVAL,"OR")=0))</f>
      </c>
      <c r="I11310">
        <f>IF(DATOS!$I11310="","",IFERROR(VLOOKUP(DATOS!$I11310,CONFIG_ASIGNATURAS!$B$2:$J$91,9,FALSE()),""))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IF(DATOS!$A11311="",0,IF(CONFIG_METADATA!$B$4&lt;&gt;"OR+EX",--(DATOS!$G11311=CONFIG_METADATA!$B$4),IF(DATOS!$G11311="EX",1,IF(DATOS!$G11311="OR",--(COUNTIFS(nNIA,DATOS!$A11311,nCURSO,DATOS!$D11311,nESPEC,DATOS!$E11311,nASIG,DATOS!$I11311,nEVAL,"EX")=0),0))))</f>
      </c>
      <c r="H11311">
        <f>IF(DATOS!$G11311&lt;&gt;"EX",0,--(COUNTIFS(nNIA,DATOS!$A11311,nCURSO,DATOS!$D11311,nESPEC,DATOS!$E11311,nASIG,DATOS!$I11311,nEVAL,"OR")=0))</f>
      </c>
      <c r="I11311">
        <f>IF(DATOS!$I11311="","",IFERROR(VLOOKUP(DATOS!$I11311,CONFIG_ASIGNATURAS!$B$2:$J$91,9,FALSE()),""))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IF(DATOS!$A11312="",0,IF(CONFIG_METADATA!$B$4&lt;&gt;"OR+EX",--(DATOS!$G11312=CONFIG_METADATA!$B$4),IF(DATOS!$G11312="EX",1,IF(DATOS!$G11312="OR",--(COUNTIFS(nNIA,DATOS!$A11312,nCURSO,DATOS!$D11312,nESPEC,DATOS!$E11312,nASIG,DATOS!$I11312,nEVAL,"EX")=0),0))))</f>
      </c>
      <c r="H11312">
        <f>IF(DATOS!$G11312&lt;&gt;"EX",0,--(COUNTIFS(nNIA,DATOS!$A11312,nCURSO,DATOS!$D11312,nESPEC,DATOS!$E11312,nASIG,DATOS!$I11312,nEVAL,"OR")=0))</f>
      </c>
      <c r="I11312">
        <f>IF(DATOS!$I11312="","",IFERROR(VLOOKUP(DATOS!$I11312,CONFIG_ASIGNATURAS!$B$2:$J$91,9,FALSE()),""))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IF(DATOS!$A11313="",0,IF(CONFIG_METADATA!$B$4&lt;&gt;"OR+EX",--(DATOS!$G11313=CONFIG_METADATA!$B$4),IF(DATOS!$G11313="EX",1,IF(DATOS!$G11313="OR",--(COUNTIFS(nNIA,DATOS!$A11313,nCURSO,DATOS!$D11313,nESPEC,DATOS!$E11313,nASIG,DATOS!$I11313,nEVAL,"EX")=0),0))))</f>
      </c>
      <c r="H11313">
        <f>IF(DATOS!$G11313&lt;&gt;"EX",0,--(COUNTIFS(nNIA,DATOS!$A11313,nCURSO,DATOS!$D11313,nESPEC,DATOS!$E11313,nASIG,DATOS!$I11313,nEVAL,"OR")=0))</f>
      </c>
      <c r="I11313">
        <f>IF(DATOS!$I11313="","",IFERROR(VLOOKUP(DATOS!$I11313,CONFIG_ASIGNATURAS!$B$2:$J$91,9,FALSE()),""))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IF(DATOS!$A11314="",0,IF(CONFIG_METADATA!$B$4&lt;&gt;"OR+EX",--(DATOS!$G11314=CONFIG_METADATA!$B$4),IF(DATOS!$G11314="EX",1,IF(DATOS!$G11314="OR",--(COUNTIFS(nNIA,DATOS!$A11314,nCURSO,DATOS!$D11314,nESPEC,DATOS!$E11314,nASIG,DATOS!$I11314,nEVAL,"EX")=0),0))))</f>
      </c>
      <c r="H11314">
        <f>IF(DATOS!$G11314&lt;&gt;"EX",0,--(COUNTIFS(nNIA,DATOS!$A11314,nCURSO,DATOS!$D11314,nESPEC,DATOS!$E11314,nASIG,DATOS!$I11314,nEVAL,"OR")=0))</f>
      </c>
      <c r="I11314">
        <f>IF(DATOS!$I11314="","",IFERROR(VLOOKUP(DATOS!$I11314,CONFIG_ASIGNATURAS!$B$2:$J$91,9,FALSE()),""))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IF(DATOS!$A11315="",0,IF(CONFIG_METADATA!$B$4&lt;&gt;"OR+EX",--(DATOS!$G11315=CONFIG_METADATA!$B$4),IF(DATOS!$G11315="EX",1,IF(DATOS!$G11315="OR",--(COUNTIFS(nNIA,DATOS!$A11315,nCURSO,DATOS!$D11315,nESPEC,DATOS!$E11315,nASIG,DATOS!$I11315,nEVAL,"EX")=0),0))))</f>
      </c>
      <c r="H11315">
        <f>IF(DATOS!$G11315&lt;&gt;"EX",0,--(COUNTIFS(nNIA,DATOS!$A11315,nCURSO,DATOS!$D11315,nESPEC,DATOS!$E11315,nASIG,DATOS!$I11315,nEVAL,"OR")=0))</f>
      </c>
      <c r="I11315">
        <f>IF(DATOS!$I11315="","",IFERROR(VLOOKUP(DATOS!$I11315,CONFIG_ASIGNATURAS!$B$2:$J$91,9,FALSE()),""))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IF(DATOS!$A11316="",0,IF(CONFIG_METADATA!$B$4&lt;&gt;"OR+EX",--(DATOS!$G11316=CONFIG_METADATA!$B$4),IF(DATOS!$G11316="EX",1,IF(DATOS!$G11316="OR",--(COUNTIFS(nNIA,DATOS!$A11316,nCURSO,DATOS!$D11316,nESPEC,DATOS!$E11316,nASIG,DATOS!$I11316,nEVAL,"EX")=0),0))))</f>
      </c>
      <c r="H11316">
        <f>IF(DATOS!$G11316&lt;&gt;"EX",0,--(COUNTIFS(nNIA,DATOS!$A11316,nCURSO,DATOS!$D11316,nESPEC,DATOS!$E11316,nASIG,DATOS!$I11316,nEVAL,"OR")=0))</f>
      </c>
      <c r="I11316">
        <f>IF(DATOS!$I11316="","",IFERROR(VLOOKUP(DATOS!$I11316,CONFIG_ASIGNATURAS!$B$2:$J$91,9,FALSE()),""))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IF(DATOS!$A11317="",0,IF(CONFIG_METADATA!$B$4&lt;&gt;"OR+EX",--(DATOS!$G11317=CONFIG_METADATA!$B$4),IF(DATOS!$G11317="EX",1,IF(DATOS!$G11317="OR",--(COUNTIFS(nNIA,DATOS!$A11317,nCURSO,DATOS!$D11317,nESPEC,DATOS!$E11317,nASIG,DATOS!$I11317,nEVAL,"EX")=0),0))))</f>
      </c>
      <c r="H11317">
        <f>IF(DATOS!$G11317&lt;&gt;"EX",0,--(COUNTIFS(nNIA,DATOS!$A11317,nCURSO,DATOS!$D11317,nESPEC,DATOS!$E11317,nASIG,DATOS!$I11317,nEVAL,"OR")=0))</f>
      </c>
      <c r="I11317">
        <f>IF(DATOS!$I11317="","",IFERROR(VLOOKUP(DATOS!$I11317,CONFIG_ASIGNATURAS!$B$2:$J$91,9,FALSE()),""))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IF(DATOS!$A11318="",0,IF(CONFIG_METADATA!$B$4&lt;&gt;"OR+EX",--(DATOS!$G11318=CONFIG_METADATA!$B$4),IF(DATOS!$G11318="EX",1,IF(DATOS!$G11318="OR",--(COUNTIFS(nNIA,DATOS!$A11318,nCURSO,DATOS!$D11318,nESPEC,DATOS!$E11318,nASIG,DATOS!$I11318,nEVAL,"EX")=0),0))))</f>
      </c>
      <c r="H11318">
        <f>IF(DATOS!$G11318&lt;&gt;"EX",0,--(COUNTIFS(nNIA,DATOS!$A11318,nCURSO,DATOS!$D11318,nESPEC,DATOS!$E11318,nASIG,DATOS!$I11318,nEVAL,"OR")=0))</f>
      </c>
      <c r="I11318">
        <f>IF(DATOS!$I11318="","",IFERROR(VLOOKUP(DATOS!$I11318,CONFIG_ASIGNATURAS!$B$2:$J$91,9,FALSE()),""))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IF(DATOS!$A11319="",0,IF(CONFIG_METADATA!$B$4&lt;&gt;"OR+EX",--(DATOS!$G11319=CONFIG_METADATA!$B$4),IF(DATOS!$G11319="EX",1,IF(DATOS!$G11319="OR",--(COUNTIFS(nNIA,DATOS!$A11319,nCURSO,DATOS!$D11319,nESPEC,DATOS!$E11319,nASIG,DATOS!$I11319,nEVAL,"EX")=0),0))))</f>
      </c>
      <c r="H11319">
        <f>IF(DATOS!$G11319&lt;&gt;"EX",0,--(COUNTIFS(nNIA,DATOS!$A11319,nCURSO,DATOS!$D11319,nESPEC,DATOS!$E11319,nASIG,DATOS!$I11319,nEVAL,"OR")=0))</f>
      </c>
      <c r="I11319">
        <f>IF(DATOS!$I11319="","",IFERROR(VLOOKUP(DATOS!$I11319,CONFIG_ASIGNATURAS!$B$2:$J$91,9,FALSE()),""))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IF(DATOS!$A11320="",0,IF(CONFIG_METADATA!$B$4&lt;&gt;"OR+EX",--(DATOS!$G11320=CONFIG_METADATA!$B$4),IF(DATOS!$G11320="EX",1,IF(DATOS!$G11320="OR",--(COUNTIFS(nNIA,DATOS!$A11320,nCURSO,DATOS!$D11320,nESPEC,DATOS!$E11320,nASIG,DATOS!$I11320,nEVAL,"EX")=0),0))))</f>
      </c>
      <c r="H11320">
        <f>IF(DATOS!$G11320&lt;&gt;"EX",0,--(COUNTIFS(nNIA,DATOS!$A11320,nCURSO,DATOS!$D11320,nESPEC,DATOS!$E11320,nASIG,DATOS!$I11320,nEVAL,"OR")=0))</f>
      </c>
      <c r="I11320">
        <f>IF(DATOS!$I11320="","",IFERROR(VLOOKUP(DATOS!$I11320,CONFIG_ASIGNATURAS!$B$2:$J$91,9,FALSE()),""))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IF(DATOS!$A11321="",0,IF(CONFIG_METADATA!$B$4&lt;&gt;"OR+EX",--(DATOS!$G11321=CONFIG_METADATA!$B$4),IF(DATOS!$G11321="EX",1,IF(DATOS!$G11321="OR",--(COUNTIFS(nNIA,DATOS!$A11321,nCURSO,DATOS!$D11321,nESPEC,DATOS!$E11321,nASIG,DATOS!$I11321,nEVAL,"EX")=0),0))))</f>
      </c>
      <c r="H11321">
        <f>IF(DATOS!$G11321&lt;&gt;"EX",0,--(COUNTIFS(nNIA,DATOS!$A11321,nCURSO,DATOS!$D11321,nESPEC,DATOS!$E11321,nASIG,DATOS!$I11321,nEVAL,"OR")=0))</f>
      </c>
      <c r="I11321">
        <f>IF(DATOS!$I11321="","",IFERROR(VLOOKUP(DATOS!$I11321,CONFIG_ASIGNATURAS!$B$2:$J$91,9,FALSE()),""))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IF(DATOS!$A11322="",0,IF(CONFIG_METADATA!$B$4&lt;&gt;"OR+EX",--(DATOS!$G11322=CONFIG_METADATA!$B$4),IF(DATOS!$G11322="EX",1,IF(DATOS!$G11322="OR",--(COUNTIFS(nNIA,DATOS!$A11322,nCURSO,DATOS!$D11322,nESPEC,DATOS!$E11322,nASIG,DATOS!$I11322,nEVAL,"EX")=0),0))))</f>
      </c>
      <c r="H11322">
        <f>IF(DATOS!$G11322&lt;&gt;"EX",0,--(COUNTIFS(nNIA,DATOS!$A11322,nCURSO,DATOS!$D11322,nESPEC,DATOS!$E11322,nASIG,DATOS!$I11322,nEVAL,"OR")=0))</f>
      </c>
      <c r="I11322">
        <f>IF(DATOS!$I11322="","",IFERROR(VLOOKUP(DATOS!$I11322,CONFIG_ASIGNATURAS!$B$2:$J$91,9,FALSE()),""))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IF(DATOS!$A11323="",0,IF(CONFIG_METADATA!$B$4&lt;&gt;"OR+EX",--(DATOS!$G11323=CONFIG_METADATA!$B$4),IF(DATOS!$G11323="EX",1,IF(DATOS!$G11323="OR",--(COUNTIFS(nNIA,DATOS!$A11323,nCURSO,DATOS!$D11323,nESPEC,DATOS!$E11323,nASIG,DATOS!$I11323,nEVAL,"EX")=0),0))))</f>
      </c>
      <c r="H11323">
        <f>IF(DATOS!$G11323&lt;&gt;"EX",0,--(COUNTIFS(nNIA,DATOS!$A11323,nCURSO,DATOS!$D11323,nESPEC,DATOS!$E11323,nASIG,DATOS!$I11323,nEVAL,"OR")=0))</f>
      </c>
      <c r="I11323">
        <f>IF(DATOS!$I11323="","",IFERROR(VLOOKUP(DATOS!$I11323,CONFIG_ASIGNATURAS!$B$2:$J$91,9,FALSE()),""))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IF(DATOS!$A11324="",0,IF(CONFIG_METADATA!$B$4&lt;&gt;"OR+EX",--(DATOS!$G11324=CONFIG_METADATA!$B$4),IF(DATOS!$G11324="EX",1,IF(DATOS!$G11324="OR",--(COUNTIFS(nNIA,DATOS!$A11324,nCURSO,DATOS!$D11324,nESPEC,DATOS!$E11324,nASIG,DATOS!$I11324,nEVAL,"EX")=0),0))))</f>
      </c>
      <c r="H11324">
        <f>IF(DATOS!$G11324&lt;&gt;"EX",0,--(COUNTIFS(nNIA,DATOS!$A11324,nCURSO,DATOS!$D11324,nESPEC,DATOS!$E11324,nASIG,DATOS!$I11324,nEVAL,"OR")=0))</f>
      </c>
      <c r="I11324">
        <f>IF(DATOS!$I11324="","",IFERROR(VLOOKUP(DATOS!$I11324,CONFIG_ASIGNATURAS!$B$2:$J$91,9,FALSE()),""))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IF(DATOS!$A11325="",0,IF(CONFIG_METADATA!$B$4&lt;&gt;"OR+EX",--(DATOS!$G11325=CONFIG_METADATA!$B$4),IF(DATOS!$G11325="EX",1,IF(DATOS!$G11325="OR",--(COUNTIFS(nNIA,DATOS!$A11325,nCURSO,DATOS!$D11325,nESPEC,DATOS!$E11325,nASIG,DATOS!$I11325,nEVAL,"EX")=0),0))))</f>
      </c>
      <c r="H11325">
        <f>IF(DATOS!$G11325&lt;&gt;"EX",0,--(COUNTIFS(nNIA,DATOS!$A11325,nCURSO,DATOS!$D11325,nESPEC,DATOS!$E11325,nASIG,DATOS!$I11325,nEVAL,"OR")=0))</f>
      </c>
      <c r="I11325">
        <f>IF(DATOS!$I11325="","",IFERROR(VLOOKUP(DATOS!$I11325,CONFIG_ASIGNATURAS!$B$2:$J$91,9,FALSE()),""))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IF(DATOS!$A11326="",0,IF(CONFIG_METADATA!$B$4&lt;&gt;"OR+EX",--(DATOS!$G11326=CONFIG_METADATA!$B$4),IF(DATOS!$G11326="EX",1,IF(DATOS!$G11326="OR",--(COUNTIFS(nNIA,DATOS!$A11326,nCURSO,DATOS!$D11326,nESPEC,DATOS!$E11326,nASIG,DATOS!$I11326,nEVAL,"EX")=0),0))))</f>
      </c>
      <c r="H11326">
        <f>IF(DATOS!$G11326&lt;&gt;"EX",0,--(COUNTIFS(nNIA,DATOS!$A11326,nCURSO,DATOS!$D11326,nESPEC,DATOS!$E11326,nASIG,DATOS!$I11326,nEVAL,"OR")=0))</f>
      </c>
      <c r="I11326">
        <f>IF(DATOS!$I11326="","",IFERROR(VLOOKUP(DATOS!$I11326,CONFIG_ASIGNATURAS!$B$2:$J$91,9,FALSE()),""))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IF(DATOS!$A11327="",0,IF(CONFIG_METADATA!$B$4&lt;&gt;"OR+EX",--(DATOS!$G11327=CONFIG_METADATA!$B$4),IF(DATOS!$G11327="EX",1,IF(DATOS!$G11327="OR",--(COUNTIFS(nNIA,DATOS!$A11327,nCURSO,DATOS!$D11327,nESPEC,DATOS!$E11327,nASIG,DATOS!$I11327,nEVAL,"EX")=0),0))))</f>
      </c>
      <c r="H11327">
        <f>IF(DATOS!$G11327&lt;&gt;"EX",0,--(COUNTIFS(nNIA,DATOS!$A11327,nCURSO,DATOS!$D11327,nESPEC,DATOS!$E11327,nASIG,DATOS!$I11327,nEVAL,"OR")=0))</f>
      </c>
      <c r="I11327">
        <f>IF(DATOS!$I11327="","",IFERROR(VLOOKUP(DATOS!$I11327,CONFIG_ASIGNATURAS!$B$2:$J$91,9,FALSE()),""))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IF(DATOS!$A11328="",0,IF(CONFIG_METADATA!$B$4&lt;&gt;"OR+EX",--(DATOS!$G11328=CONFIG_METADATA!$B$4),IF(DATOS!$G11328="EX",1,IF(DATOS!$G11328="OR",--(COUNTIFS(nNIA,DATOS!$A11328,nCURSO,DATOS!$D11328,nESPEC,DATOS!$E11328,nASIG,DATOS!$I11328,nEVAL,"EX")=0),0))))</f>
      </c>
      <c r="H11328">
        <f>IF(DATOS!$G11328&lt;&gt;"EX",0,--(COUNTIFS(nNIA,DATOS!$A11328,nCURSO,DATOS!$D11328,nESPEC,DATOS!$E11328,nASIG,DATOS!$I11328,nEVAL,"OR")=0))</f>
      </c>
      <c r="I11328">
        <f>IF(DATOS!$I11328="","",IFERROR(VLOOKUP(DATOS!$I11328,CONFIG_ASIGNATURAS!$B$2:$J$91,9,FALSE()),""))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IF(DATOS!$A11329="",0,IF(CONFIG_METADATA!$B$4&lt;&gt;"OR+EX",--(DATOS!$G11329=CONFIG_METADATA!$B$4),IF(DATOS!$G11329="EX",1,IF(DATOS!$G11329="OR",--(COUNTIFS(nNIA,DATOS!$A11329,nCURSO,DATOS!$D11329,nESPEC,DATOS!$E11329,nASIG,DATOS!$I11329,nEVAL,"EX")=0),0))))</f>
      </c>
      <c r="H11329">
        <f>IF(DATOS!$G11329&lt;&gt;"EX",0,--(COUNTIFS(nNIA,DATOS!$A11329,nCURSO,DATOS!$D11329,nESPEC,DATOS!$E11329,nASIG,DATOS!$I11329,nEVAL,"OR")=0))</f>
      </c>
      <c r="I11329">
        <f>IF(DATOS!$I11329="","",IFERROR(VLOOKUP(DATOS!$I11329,CONFIG_ASIGNATURAS!$B$2:$J$91,9,FALSE()),""))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IF(DATOS!$A11330="",0,IF(CONFIG_METADATA!$B$4&lt;&gt;"OR+EX",--(DATOS!$G11330=CONFIG_METADATA!$B$4),IF(DATOS!$G11330="EX",1,IF(DATOS!$G11330="OR",--(COUNTIFS(nNIA,DATOS!$A11330,nCURSO,DATOS!$D11330,nESPEC,DATOS!$E11330,nASIG,DATOS!$I11330,nEVAL,"EX")=0),0))))</f>
      </c>
      <c r="H11330">
        <f>IF(DATOS!$G11330&lt;&gt;"EX",0,--(COUNTIFS(nNIA,DATOS!$A11330,nCURSO,DATOS!$D11330,nESPEC,DATOS!$E11330,nASIG,DATOS!$I11330,nEVAL,"OR")=0))</f>
      </c>
      <c r="I11330">
        <f>IF(DATOS!$I11330="","",IFERROR(VLOOKUP(DATOS!$I11330,CONFIG_ASIGNATURAS!$B$2:$J$91,9,FALSE()),""))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IF(DATOS!$A11331="",0,IF(CONFIG_METADATA!$B$4&lt;&gt;"OR+EX",--(DATOS!$G11331=CONFIG_METADATA!$B$4),IF(DATOS!$G11331="EX",1,IF(DATOS!$G11331="OR",--(COUNTIFS(nNIA,DATOS!$A11331,nCURSO,DATOS!$D11331,nESPEC,DATOS!$E11331,nASIG,DATOS!$I11331,nEVAL,"EX")=0),0))))</f>
      </c>
      <c r="H11331">
        <f>IF(DATOS!$G11331&lt;&gt;"EX",0,--(COUNTIFS(nNIA,DATOS!$A11331,nCURSO,DATOS!$D11331,nESPEC,DATOS!$E11331,nASIG,DATOS!$I11331,nEVAL,"OR")=0))</f>
      </c>
      <c r="I11331">
        <f>IF(DATOS!$I11331="","",IFERROR(VLOOKUP(DATOS!$I11331,CONFIG_ASIGNATURAS!$B$2:$J$91,9,FALSE()),""))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IF(DATOS!$A11332="",0,IF(CONFIG_METADATA!$B$4&lt;&gt;"OR+EX",--(DATOS!$G11332=CONFIG_METADATA!$B$4),IF(DATOS!$G11332="EX",1,IF(DATOS!$G11332="OR",--(COUNTIFS(nNIA,DATOS!$A11332,nCURSO,DATOS!$D11332,nESPEC,DATOS!$E11332,nASIG,DATOS!$I11332,nEVAL,"EX")=0),0))))</f>
      </c>
      <c r="H11332">
        <f>IF(DATOS!$G11332&lt;&gt;"EX",0,--(COUNTIFS(nNIA,DATOS!$A11332,nCURSO,DATOS!$D11332,nESPEC,DATOS!$E11332,nASIG,DATOS!$I11332,nEVAL,"OR")=0))</f>
      </c>
      <c r="I11332">
        <f>IF(DATOS!$I11332="","",IFERROR(VLOOKUP(DATOS!$I11332,CONFIG_ASIGNATURAS!$B$2:$J$91,9,FALSE()),""))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IF(DATOS!$A11333="",0,IF(CONFIG_METADATA!$B$4&lt;&gt;"OR+EX",--(DATOS!$G11333=CONFIG_METADATA!$B$4),IF(DATOS!$G11333="EX",1,IF(DATOS!$G11333="OR",--(COUNTIFS(nNIA,DATOS!$A11333,nCURSO,DATOS!$D11333,nESPEC,DATOS!$E11333,nASIG,DATOS!$I11333,nEVAL,"EX")=0),0))))</f>
      </c>
      <c r="H11333">
        <f>IF(DATOS!$G11333&lt;&gt;"EX",0,--(COUNTIFS(nNIA,DATOS!$A11333,nCURSO,DATOS!$D11333,nESPEC,DATOS!$E11333,nASIG,DATOS!$I11333,nEVAL,"OR")=0))</f>
      </c>
      <c r="I11333">
        <f>IF(DATOS!$I11333="","",IFERROR(VLOOKUP(DATOS!$I11333,CONFIG_ASIGNATURAS!$B$2:$J$91,9,FALSE()),""))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IF(DATOS!$A11334="",0,IF(CONFIG_METADATA!$B$4&lt;&gt;"OR+EX",--(DATOS!$G11334=CONFIG_METADATA!$B$4),IF(DATOS!$G11334="EX",1,IF(DATOS!$G11334="OR",--(COUNTIFS(nNIA,DATOS!$A11334,nCURSO,DATOS!$D11334,nESPEC,DATOS!$E11334,nASIG,DATOS!$I11334,nEVAL,"EX")=0),0))))</f>
      </c>
      <c r="H11334">
        <f>IF(DATOS!$G11334&lt;&gt;"EX",0,--(COUNTIFS(nNIA,DATOS!$A11334,nCURSO,DATOS!$D11334,nESPEC,DATOS!$E11334,nASIG,DATOS!$I11334,nEVAL,"OR")=0))</f>
      </c>
      <c r="I11334">
        <f>IF(DATOS!$I11334="","",IFERROR(VLOOKUP(DATOS!$I11334,CONFIG_ASIGNATURAS!$B$2:$J$91,9,FALSE()),""))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IF(DATOS!$A11335="",0,IF(CONFIG_METADATA!$B$4&lt;&gt;"OR+EX",--(DATOS!$G11335=CONFIG_METADATA!$B$4),IF(DATOS!$G11335="EX",1,IF(DATOS!$G11335="OR",--(COUNTIFS(nNIA,DATOS!$A11335,nCURSO,DATOS!$D11335,nESPEC,DATOS!$E11335,nASIG,DATOS!$I11335,nEVAL,"EX")=0),0))))</f>
      </c>
      <c r="H11335">
        <f>IF(DATOS!$G11335&lt;&gt;"EX",0,--(COUNTIFS(nNIA,DATOS!$A11335,nCURSO,DATOS!$D11335,nESPEC,DATOS!$E11335,nASIG,DATOS!$I11335,nEVAL,"OR")=0))</f>
      </c>
      <c r="I11335">
        <f>IF(DATOS!$I11335="","",IFERROR(VLOOKUP(DATOS!$I11335,CONFIG_ASIGNATURAS!$B$2:$J$91,9,FALSE()),""))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IF(DATOS!$A11336="",0,IF(CONFIG_METADATA!$B$4&lt;&gt;"OR+EX",--(DATOS!$G11336=CONFIG_METADATA!$B$4),IF(DATOS!$G11336="EX",1,IF(DATOS!$G11336="OR",--(COUNTIFS(nNIA,DATOS!$A11336,nCURSO,DATOS!$D11336,nESPEC,DATOS!$E11336,nASIG,DATOS!$I11336,nEVAL,"EX")=0),0))))</f>
      </c>
      <c r="H11336">
        <f>IF(DATOS!$G11336&lt;&gt;"EX",0,--(COUNTIFS(nNIA,DATOS!$A11336,nCURSO,DATOS!$D11336,nESPEC,DATOS!$E11336,nASIG,DATOS!$I11336,nEVAL,"OR")=0))</f>
      </c>
      <c r="I11336">
        <f>IF(DATOS!$I11336="","",IFERROR(VLOOKUP(DATOS!$I11336,CONFIG_ASIGNATURAS!$B$2:$J$91,9,FALSE()),""))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IF(DATOS!$A11337="",0,IF(CONFIG_METADATA!$B$4&lt;&gt;"OR+EX",--(DATOS!$G11337=CONFIG_METADATA!$B$4),IF(DATOS!$G11337="EX",1,IF(DATOS!$G11337="OR",--(COUNTIFS(nNIA,DATOS!$A11337,nCURSO,DATOS!$D11337,nESPEC,DATOS!$E11337,nASIG,DATOS!$I11337,nEVAL,"EX")=0),0))))</f>
      </c>
      <c r="H11337">
        <f>IF(DATOS!$G11337&lt;&gt;"EX",0,--(COUNTIFS(nNIA,DATOS!$A11337,nCURSO,DATOS!$D11337,nESPEC,DATOS!$E11337,nASIG,DATOS!$I11337,nEVAL,"OR")=0))</f>
      </c>
      <c r="I11337">
        <f>IF(DATOS!$I11337="","",IFERROR(VLOOKUP(DATOS!$I11337,CONFIG_ASIGNATURAS!$B$2:$J$91,9,FALSE()),""))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IF(DATOS!$A11338="",0,IF(CONFIG_METADATA!$B$4&lt;&gt;"OR+EX",--(DATOS!$G11338=CONFIG_METADATA!$B$4),IF(DATOS!$G11338="EX",1,IF(DATOS!$G11338="OR",--(COUNTIFS(nNIA,DATOS!$A11338,nCURSO,DATOS!$D11338,nESPEC,DATOS!$E11338,nASIG,DATOS!$I11338,nEVAL,"EX")=0),0))))</f>
      </c>
      <c r="H11338">
        <f>IF(DATOS!$G11338&lt;&gt;"EX",0,--(COUNTIFS(nNIA,DATOS!$A11338,nCURSO,DATOS!$D11338,nESPEC,DATOS!$E11338,nASIG,DATOS!$I11338,nEVAL,"OR")=0))</f>
      </c>
      <c r="I11338">
        <f>IF(DATOS!$I11338="","",IFERROR(VLOOKUP(DATOS!$I11338,CONFIG_ASIGNATURAS!$B$2:$J$91,9,FALSE()),""))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IF(DATOS!$A11339="",0,IF(CONFIG_METADATA!$B$4&lt;&gt;"OR+EX",--(DATOS!$G11339=CONFIG_METADATA!$B$4),IF(DATOS!$G11339="EX",1,IF(DATOS!$G11339="OR",--(COUNTIFS(nNIA,DATOS!$A11339,nCURSO,DATOS!$D11339,nESPEC,DATOS!$E11339,nASIG,DATOS!$I11339,nEVAL,"EX")=0),0))))</f>
      </c>
      <c r="H11339">
        <f>IF(DATOS!$G11339&lt;&gt;"EX",0,--(COUNTIFS(nNIA,DATOS!$A11339,nCURSO,DATOS!$D11339,nESPEC,DATOS!$E11339,nASIG,DATOS!$I11339,nEVAL,"OR")=0))</f>
      </c>
      <c r="I11339">
        <f>IF(DATOS!$I11339="","",IFERROR(VLOOKUP(DATOS!$I11339,CONFIG_ASIGNATURAS!$B$2:$J$91,9,FALSE()),""))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IF(DATOS!$A11340="",0,IF(CONFIG_METADATA!$B$4&lt;&gt;"OR+EX",--(DATOS!$G11340=CONFIG_METADATA!$B$4),IF(DATOS!$G11340="EX",1,IF(DATOS!$G11340="OR",--(COUNTIFS(nNIA,DATOS!$A11340,nCURSO,DATOS!$D11340,nESPEC,DATOS!$E11340,nASIG,DATOS!$I11340,nEVAL,"EX")=0),0))))</f>
      </c>
      <c r="H11340">
        <f>IF(DATOS!$G11340&lt;&gt;"EX",0,--(COUNTIFS(nNIA,DATOS!$A11340,nCURSO,DATOS!$D11340,nESPEC,DATOS!$E11340,nASIG,DATOS!$I11340,nEVAL,"OR")=0))</f>
      </c>
      <c r="I11340">
        <f>IF(DATOS!$I11340="","",IFERROR(VLOOKUP(DATOS!$I11340,CONFIG_ASIGNATURAS!$B$2:$J$91,9,FALSE()),""))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IF(DATOS!$A11341="",0,IF(CONFIG_METADATA!$B$4&lt;&gt;"OR+EX",--(DATOS!$G11341=CONFIG_METADATA!$B$4),IF(DATOS!$G11341="EX",1,IF(DATOS!$G11341="OR",--(COUNTIFS(nNIA,DATOS!$A11341,nCURSO,DATOS!$D11341,nESPEC,DATOS!$E11341,nASIG,DATOS!$I11341,nEVAL,"EX")=0),0))))</f>
      </c>
      <c r="H11341">
        <f>IF(DATOS!$G11341&lt;&gt;"EX",0,--(COUNTIFS(nNIA,DATOS!$A11341,nCURSO,DATOS!$D11341,nESPEC,DATOS!$E11341,nASIG,DATOS!$I11341,nEVAL,"OR")=0))</f>
      </c>
      <c r="I11341">
        <f>IF(DATOS!$I11341="","",IFERROR(VLOOKUP(DATOS!$I11341,CONFIG_ASIGNATURAS!$B$2:$J$91,9,FALSE()),""))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IF(DATOS!$A11342="",0,IF(CONFIG_METADATA!$B$4&lt;&gt;"OR+EX",--(DATOS!$G11342=CONFIG_METADATA!$B$4),IF(DATOS!$G11342="EX",1,IF(DATOS!$G11342="OR",--(COUNTIFS(nNIA,DATOS!$A11342,nCURSO,DATOS!$D11342,nESPEC,DATOS!$E11342,nASIG,DATOS!$I11342,nEVAL,"EX")=0),0))))</f>
      </c>
      <c r="H11342">
        <f>IF(DATOS!$G11342&lt;&gt;"EX",0,--(COUNTIFS(nNIA,DATOS!$A11342,nCURSO,DATOS!$D11342,nESPEC,DATOS!$E11342,nASIG,DATOS!$I11342,nEVAL,"OR")=0))</f>
      </c>
      <c r="I11342">
        <f>IF(DATOS!$I11342="","",IFERROR(VLOOKUP(DATOS!$I11342,CONFIG_ASIGNATURAS!$B$2:$J$91,9,FALSE()),""))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IF(DATOS!$A11343="",0,IF(CONFIG_METADATA!$B$4&lt;&gt;"OR+EX",--(DATOS!$G11343=CONFIG_METADATA!$B$4),IF(DATOS!$G11343="EX",1,IF(DATOS!$G11343="OR",--(COUNTIFS(nNIA,DATOS!$A11343,nCURSO,DATOS!$D11343,nESPEC,DATOS!$E11343,nASIG,DATOS!$I11343,nEVAL,"EX")=0),0))))</f>
      </c>
      <c r="H11343">
        <f>IF(DATOS!$G11343&lt;&gt;"EX",0,--(COUNTIFS(nNIA,DATOS!$A11343,nCURSO,DATOS!$D11343,nESPEC,DATOS!$E11343,nASIG,DATOS!$I11343,nEVAL,"OR")=0))</f>
      </c>
      <c r="I11343">
        <f>IF(DATOS!$I11343="","",IFERROR(VLOOKUP(DATOS!$I11343,CONFIG_ASIGNATURAS!$B$2:$J$91,9,FALSE()),""))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IF(DATOS!$A11344="",0,IF(CONFIG_METADATA!$B$4&lt;&gt;"OR+EX",--(DATOS!$G11344=CONFIG_METADATA!$B$4),IF(DATOS!$G11344="EX",1,IF(DATOS!$G11344="OR",--(COUNTIFS(nNIA,DATOS!$A11344,nCURSO,DATOS!$D11344,nESPEC,DATOS!$E11344,nASIG,DATOS!$I11344,nEVAL,"EX")=0),0))))</f>
      </c>
      <c r="H11344">
        <f>IF(DATOS!$G11344&lt;&gt;"EX",0,--(COUNTIFS(nNIA,DATOS!$A11344,nCURSO,DATOS!$D11344,nESPEC,DATOS!$E11344,nASIG,DATOS!$I11344,nEVAL,"OR")=0))</f>
      </c>
      <c r="I11344">
        <f>IF(DATOS!$I11344="","",IFERROR(VLOOKUP(DATOS!$I11344,CONFIG_ASIGNATURAS!$B$2:$J$91,9,FALSE()),""))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IF(DATOS!$A11345="",0,IF(CONFIG_METADATA!$B$4&lt;&gt;"OR+EX",--(DATOS!$G11345=CONFIG_METADATA!$B$4),IF(DATOS!$G11345="EX",1,IF(DATOS!$G11345="OR",--(COUNTIFS(nNIA,DATOS!$A11345,nCURSO,DATOS!$D11345,nESPEC,DATOS!$E11345,nASIG,DATOS!$I11345,nEVAL,"EX")=0),0))))</f>
      </c>
      <c r="H11345">
        <f>IF(DATOS!$G11345&lt;&gt;"EX",0,--(COUNTIFS(nNIA,DATOS!$A11345,nCURSO,DATOS!$D11345,nESPEC,DATOS!$E11345,nASIG,DATOS!$I11345,nEVAL,"OR")=0))</f>
      </c>
      <c r="I11345">
        <f>IF(DATOS!$I11345="","",IFERROR(VLOOKUP(DATOS!$I11345,CONFIG_ASIGNATURAS!$B$2:$J$91,9,FALSE()),""))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IF(DATOS!$A11346="",0,IF(CONFIG_METADATA!$B$4&lt;&gt;"OR+EX",--(DATOS!$G11346=CONFIG_METADATA!$B$4),IF(DATOS!$G11346="EX",1,IF(DATOS!$G11346="OR",--(COUNTIFS(nNIA,DATOS!$A11346,nCURSO,DATOS!$D11346,nESPEC,DATOS!$E11346,nASIG,DATOS!$I11346,nEVAL,"EX")=0),0))))</f>
      </c>
      <c r="H11346">
        <f>IF(DATOS!$G11346&lt;&gt;"EX",0,--(COUNTIFS(nNIA,DATOS!$A11346,nCURSO,DATOS!$D11346,nESPEC,DATOS!$E11346,nASIG,DATOS!$I11346,nEVAL,"OR")=0))</f>
      </c>
      <c r="I11346">
        <f>IF(DATOS!$I11346="","",IFERROR(VLOOKUP(DATOS!$I11346,CONFIG_ASIGNATURAS!$B$2:$J$91,9,FALSE()),""))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IF(DATOS!$A11347="",0,IF(CONFIG_METADATA!$B$4&lt;&gt;"OR+EX",--(DATOS!$G11347=CONFIG_METADATA!$B$4),IF(DATOS!$G11347="EX",1,IF(DATOS!$G11347="OR",--(COUNTIFS(nNIA,DATOS!$A11347,nCURSO,DATOS!$D11347,nESPEC,DATOS!$E11347,nASIG,DATOS!$I11347,nEVAL,"EX")=0),0))))</f>
      </c>
      <c r="H11347">
        <f>IF(DATOS!$G11347&lt;&gt;"EX",0,--(COUNTIFS(nNIA,DATOS!$A11347,nCURSO,DATOS!$D11347,nESPEC,DATOS!$E11347,nASIG,DATOS!$I11347,nEVAL,"OR")=0))</f>
      </c>
      <c r="I11347">
        <f>IF(DATOS!$I11347="","",IFERROR(VLOOKUP(DATOS!$I11347,CONFIG_ASIGNATURAS!$B$2:$J$91,9,FALSE()),""))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IF(DATOS!$A11348="",0,IF(CONFIG_METADATA!$B$4&lt;&gt;"OR+EX",--(DATOS!$G11348=CONFIG_METADATA!$B$4),IF(DATOS!$G11348="EX",1,IF(DATOS!$G11348="OR",--(COUNTIFS(nNIA,DATOS!$A11348,nCURSO,DATOS!$D11348,nESPEC,DATOS!$E11348,nASIG,DATOS!$I11348,nEVAL,"EX")=0),0))))</f>
      </c>
      <c r="H11348">
        <f>IF(DATOS!$G11348&lt;&gt;"EX",0,--(COUNTIFS(nNIA,DATOS!$A11348,nCURSO,DATOS!$D11348,nESPEC,DATOS!$E11348,nASIG,DATOS!$I11348,nEVAL,"OR")=0))</f>
      </c>
      <c r="I11348">
        <f>IF(DATOS!$I11348="","",IFERROR(VLOOKUP(DATOS!$I11348,CONFIG_ASIGNATURAS!$B$2:$J$91,9,FALSE()),""))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IF(DATOS!$A11349="",0,IF(CONFIG_METADATA!$B$4&lt;&gt;"OR+EX",--(DATOS!$G11349=CONFIG_METADATA!$B$4),IF(DATOS!$G11349="EX",1,IF(DATOS!$G11349="OR",--(COUNTIFS(nNIA,DATOS!$A11349,nCURSO,DATOS!$D11349,nESPEC,DATOS!$E11349,nASIG,DATOS!$I11349,nEVAL,"EX")=0),0))))</f>
      </c>
      <c r="H11349">
        <f>IF(DATOS!$G11349&lt;&gt;"EX",0,--(COUNTIFS(nNIA,DATOS!$A11349,nCURSO,DATOS!$D11349,nESPEC,DATOS!$E11349,nASIG,DATOS!$I11349,nEVAL,"OR")=0))</f>
      </c>
      <c r="I11349">
        <f>IF(DATOS!$I11349="","",IFERROR(VLOOKUP(DATOS!$I11349,CONFIG_ASIGNATURAS!$B$2:$J$91,9,FALSE()),""))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IF(DATOS!$A11350="",0,IF(CONFIG_METADATA!$B$4&lt;&gt;"OR+EX",--(DATOS!$G11350=CONFIG_METADATA!$B$4),IF(DATOS!$G11350="EX",1,IF(DATOS!$G11350="OR",--(COUNTIFS(nNIA,DATOS!$A11350,nCURSO,DATOS!$D11350,nESPEC,DATOS!$E11350,nASIG,DATOS!$I11350,nEVAL,"EX")=0),0))))</f>
      </c>
      <c r="H11350">
        <f>IF(DATOS!$G11350&lt;&gt;"EX",0,--(COUNTIFS(nNIA,DATOS!$A11350,nCURSO,DATOS!$D11350,nESPEC,DATOS!$E11350,nASIG,DATOS!$I11350,nEVAL,"OR")=0))</f>
      </c>
      <c r="I11350">
        <f>IF(DATOS!$I11350="","",IFERROR(VLOOKUP(DATOS!$I11350,CONFIG_ASIGNATURAS!$B$2:$J$91,9,FALSE()),""))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IF(DATOS!$A11351="",0,IF(CONFIG_METADATA!$B$4&lt;&gt;"OR+EX",--(DATOS!$G11351=CONFIG_METADATA!$B$4),IF(DATOS!$G11351="EX",1,IF(DATOS!$G11351="OR",--(COUNTIFS(nNIA,DATOS!$A11351,nCURSO,DATOS!$D11351,nESPEC,DATOS!$E11351,nASIG,DATOS!$I11351,nEVAL,"EX")=0),0))))</f>
      </c>
      <c r="H11351">
        <f>IF(DATOS!$G11351&lt;&gt;"EX",0,--(COUNTIFS(nNIA,DATOS!$A11351,nCURSO,DATOS!$D11351,nESPEC,DATOS!$E11351,nASIG,DATOS!$I11351,nEVAL,"OR")=0))</f>
      </c>
      <c r="I11351">
        <f>IF(DATOS!$I11351="","",IFERROR(VLOOKUP(DATOS!$I11351,CONFIG_ASIGNATURAS!$B$2:$J$91,9,FALSE()),""))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IF(DATOS!$A11352="",0,IF(CONFIG_METADATA!$B$4&lt;&gt;"OR+EX",--(DATOS!$G11352=CONFIG_METADATA!$B$4),IF(DATOS!$G11352="EX",1,IF(DATOS!$G11352="OR",--(COUNTIFS(nNIA,DATOS!$A11352,nCURSO,DATOS!$D11352,nESPEC,DATOS!$E11352,nASIG,DATOS!$I11352,nEVAL,"EX")=0),0))))</f>
      </c>
      <c r="H11352">
        <f>IF(DATOS!$G11352&lt;&gt;"EX",0,--(COUNTIFS(nNIA,DATOS!$A11352,nCURSO,DATOS!$D11352,nESPEC,DATOS!$E11352,nASIG,DATOS!$I11352,nEVAL,"OR")=0))</f>
      </c>
      <c r="I11352">
        <f>IF(DATOS!$I11352="","",IFERROR(VLOOKUP(DATOS!$I11352,CONFIG_ASIGNATURAS!$B$2:$J$91,9,FALSE()),""))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IF(DATOS!$A11353="",0,IF(CONFIG_METADATA!$B$4&lt;&gt;"OR+EX",--(DATOS!$G11353=CONFIG_METADATA!$B$4),IF(DATOS!$G11353="EX",1,IF(DATOS!$G11353="OR",--(COUNTIFS(nNIA,DATOS!$A11353,nCURSO,DATOS!$D11353,nESPEC,DATOS!$E11353,nASIG,DATOS!$I11353,nEVAL,"EX")=0),0))))</f>
      </c>
      <c r="H11353">
        <f>IF(DATOS!$G11353&lt;&gt;"EX",0,--(COUNTIFS(nNIA,DATOS!$A11353,nCURSO,DATOS!$D11353,nESPEC,DATOS!$E11353,nASIG,DATOS!$I11353,nEVAL,"OR")=0))</f>
      </c>
      <c r="I11353">
        <f>IF(DATOS!$I11353="","",IFERROR(VLOOKUP(DATOS!$I11353,CONFIG_ASIGNATURAS!$B$2:$J$91,9,FALSE()),""))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IF(DATOS!$A11354="",0,IF(CONFIG_METADATA!$B$4&lt;&gt;"OR+EX",--(DATOS!$G11354=CONFIG_METADATA!$B$4),IF(DATOS!$G11354="EX",1,IF(DATOS!$G11354="OR",--(COUNTIFS(nNIA,DATOS!$A11354,nCURSO,DATOS!$D11354,nESPEC,DATOS!$E11354,nASIG,DATOS!$I11354,nEVAL,"EX")=0),0))))</f>
      </c>
      <c r="H11354">
        <f>IF(DATOS!$G11354&lt;&gt;"EX",0,--(COUNTIFS(nNIA,DATOS!$A11354,nCURSO,DATOS!$D11354,nESPEC,DATOS!$E11354,nASIG,DATOS!$I11354,nEVAL,"OR")=0))</f>
      </c>
      <c r="I11354">
        <f>IF(DATOS!$I11354="","",IFERROR(VLOOKUP(DATOS!$I11354,CONFIG_ASIGNATURAS!$B$2:$J$91,9,FALSE()),""))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IF(DATOS!$A11355="",0,IF(CONFIG_METADATA!$B$4&lt;&gt;"OR+EX",--(DATOS!$G11355=CONFIG_METADATA!$B$4),IF(DATOS!$G11355="EX",1,IF(DATOS!$G11355="OR",--(COUNTIFS(nNIA,DATOS!$A11355,nCURSO,DATOS!$D11355,nESPEC,DATOS!$E11355,nASIG,DATOS!$I11355,nEVAL,"EX")=0),0))))</f>
      </c>
      <c r="H11355">
        <f>IF(DATOS!$G11355&lt;&gt;"EX",0,--(COUNTIFS(nNIA,DATOS!$A11355,nCURSO,DATOS!$D11355,nESPEC,DATOS!$E11355,nASIG,DATOS!$I11355,nEVAL,"OR")=0))</f>
      </c>
      <c r="I11355">
        <f>IF(DATOS!$I11355="","",IFERROR(VLOOKUP(DATOS!$I11355,CONFIG_ASIGNATURAS!$B$2:$J$91,9,FALSE()),""))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IF(DATOS!$A11356="",0,IF(CONFIG_METADATA!$B$4&lt;&gt;"OR+EX",--(DATOS!$G11356=CONFIG_METADATA!$B$4),IF(DATOS!$G11356="EX",1,IF(DATOS!$G11356="OR",--(COUNTIFS(nNIA,DATOS!$A11356,nCURSO,DATOS!$D11356,nESPEC,DATOS!$E11356,nASIG,DATOS!$I11356,nEVAL,"EX")=0),0))))</f>
      </c>
      <c r="H11356">
        <f>IF(DATOS!$G11356&lt;&gt;"EX",0,--(COUNTIFS(nNIA,DATOS!$A11356,nCURSO,DATOS!$D11356,nESPEC,DATOS!$E11356,nASIG,DATOS!$I11356,nEVAL,"OR")=0))</f>
      </c>
      <c r="I11356">
        <f>IF(DATOS!$I11356="","",IFERROR(VLOOKUP(DATOS!$I11356,CONFIG_ASIGNATURAS!$B$2:$J$91,9,FALSE()),""))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IF(DATOS!$A11357="",0,IF(CONFIG_METADATA!$B$4&lt;&gt;"OR+EX",--(DATOS!$G11357=CONFIG_METADATA!$B$4),IF(DATOS!$G11357="EX",1,IF(DATOS!$G11357="OR",--(COUNTIFS(nNIA,DATOS!$A11357,nCURSO,DATOS!$D11357,nESPEC,DATOS!$E11357,nASIG,DATOS!$I11357,nEVAL,"EX")=0),0))))</f>
      </c>
      <c r="H11357">
        <f>IF(DATOS!$G11357&lt;&gt;"EX",0,--(COUNTIFS(nNIA,DATOS!$A11357,nCURSO,DATOS!$D11357,nESPEC,DATOS!$E11357,nASIG,DATOS!$I11357,nEVAL,"OR")=0))</f>
      </c>
      <c r="I11357">
        <f>IF(DATOS!$I11357="","",IFERROR(VLOOKUP(DATOS!$I11357,CONFIG_ASIGNATURAS!$B$2:$J$91,9,FALSE()),""))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IF(DATOS!$A11358="",0,IF(CONFIG_METADATA!$B$4&lt;&gt;"OR+EX",--(DATOS!$G11358=CONFIG_METADATA!$B$4),IF(DATOS!$G11358="EX",1,IF(DATOS!$G11358="OR",--(COUNTIFS(nNIA,DATOS!$A11358,nCURSO,DATOS!$D11358,nESPEC,DATOS!$E11358,nASIG,DATOS!$I11358,nEVAL,"EX")=0),0))))</f>
      </c>
      <c r="H11358">
        <f>IF(DATOS!$G11358&lt;&gt;"EX",0,--(COUNTIFS(nNIA,DATOS!$A11358,nCURSO,DATOS!$D11358,nESPEC,DATOS!$E11358,nASIG,DATOS!$I11358,nEVAL,"OR")=0))</f>
      </c>
      <c r="I11358">
        <f>IF(DATOS!$I11358="","",IFERROR(VLOOKUP(DATOS!$I11358,CONFIG_ASIGNATURAS!$B$2:$J$91,9,FALSE()),""))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IF(DATOS!$A11359="",0,IF(CONFIG_METADATA!$B$4&lt;&gt;"OR+EX",--(DATOS!$G11359=CONFIG_METADATA!$B$4),IF(DATOS!$G11359="EX",1,IF(DATOS!$G11359="OR",--(COUNTIFS(nNIA,DATOS!$A11359,nCURSO,DATOS!$D11359,nESPEC,DATOS!$E11359,nASIG,DATOS!$I11359,nEVAL,"EX")=0),0))))</f>
      </c>
      <c r="H11359">
        <f>IF(DATOS!$G11359&lt;&gt;"EX",0,--(COUNTIFS(nNIA,DATOS!$A11359,nCURSO,DATOS!$D11359,nESPEC,DATOS!$E11359,nASIG,DATOS!$I11359,nEVAL,"OR")=0))</f>
      </c>
      <c r="I11359">
        <f>IF(DATOS!$I11359="","",IFERROR(VLOOKUP(DATOS!$I11359,CONFIG_ASIGNATURAS!$B$2:$J$91,9,FALSE()),""))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IF(DATOS!$A11360="",0,IF(CONFIG_METADATA!$B$4&lt;&gt;"OR+EX",--(DATOS!$G11360=CONFIG_METADATA!$B$4),IF(DATOS!$G11360="EX",1,IF(DATOS!$G11360="OR",--(COUNTIFS(nNIA,DATOS!$A11360,nCURSO,DATOS!$D11360,nESPEC,DATOS!$E11360,nASIG,DATOS!$I11360,nEVAL,"EX")=0),0))))</f>
      </c>
      <c r="H11360">
        <f>IF(DATOS!$G11360&lt;&gt;"EX",0,--(COUNTIFS(nNIA,DATOS!$A11360,nCURSO,DATOS!$D11360,nESPEC,DATOS!$E11360,nASIG,DATOS!$I11360,nEVAL,"OR")=0))</f>
      </c>
      <c r="I11360">
        <f>IF(DATOS!$I11360="","",IFERROR(VLOOKUP(DATOS!$I11360,CONFIG_ASIGNATURAS!$B$2:$J$91,9,FALSE()),""))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IF(DATOS!$A11361="",0,IF(CONFIG_METADATA!$B$4&lt;&gt;"OR+EX",--(DATOS!$G11361=CONFIG_METADATA!$B$4),IF(DATOS!$G11361="EX",1,IF(DATOS!$G11361="OR",--(COUNTIFS(nNIA,DATOS!$A11361,nCURSO,DATOS!$D11361,nESPEC,DATOS!$E11361,nASIG,DATOS!$I11361,nEVAL,"EX")=0),0))))</f>
      </c>
      <c r="H11361">
        <f>IF(DATOS!$G11361&lt;&gt;"EX",0,--(COUNTIFS(nNIA,DATOS!$A11361,nCURSO,DATOS!$D11361,nESPEC,DATOS!$E11361,nASIG,DATOS!$I11361,nEVAL,"OR")=0))</f>
      </c>
      <c r="I11361">
        <f>IF(DATOS!$I11361="","",IFERROR(VLOOKUP(DATOS!$I11361,CONFIG_ASIGNATURAS!$B$2:$J$91,9,FALSE()),""))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IF(DATOS!$A11362="",0,IF(CONFIG_METADATA!$B$4&lt;&gt;"OR+EX",--(DATOS!$G11362=CONFIG_METADATA!$B$4),IF(DATOS!$G11362="EX",1,IF(DATOS!$G11362="OR",--(COUNTIFS(nNIA,DATOS!$A11362,nCURSO,DATOS!$D11362,nESPEC,DATOS!$E11362,nASIG,DATOS!$I11362,nEVAL,"EX")=0),0))))</f>
      </c>
      <c r="H11362">
        <f>IF(DATOS!$G11362&lt;&gt;"EX",0,--(COUNTIFS(nNIA,DATOS!$A11362,nCURSO,DATOS!$D11362,nESPEC,DATOS!$E11362,nASIG,DATOS!$I11362,nEVAL,"OR")=0))</f>
      </c>
      <c r="I11362">
        <f>IF(DATOS!$I11362="","",IFERROR(VLOOKUP(DATOS!$I11362,CONFIG_ASIGNATURAS!$B$2:$J$91,9,FALSE()),""))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IF(DATOS!$A11363="",0,IF(CONFIG_METADATA!$B$4&lt;&gt;"OR+EX",--(DATOS!$G11363=CONFIG_METADATA!$B$4),IF(DATOS!$G11363="EX",1,IF(DATOS!$G11363="OR",--(COUNTIFS(nNIA,DATOS!$A11363,nCURSO,DATOS!$D11363,nESPEC,DATOS!$E11363,nASIG,DATOS!$I11363,nEVAL,"EX")=0),0))))</f>
      </c>
      <c r="H11363">
        <f>IF(DATOS!$G11363&lt;&gt;"EX",0,--(COUNTIFS(nNIA,DATOS!$A11363,nCURSO,DATOS!$D11363,nESPEC,DATOS!$E11363,nASIG,DATOS!$I11363,nEVAL,"OR")=0))</f>
      </c>
      <c r="I11363">
        <f>IF(DATOS!$I11363="","",IFERROR(VLOOKUP(DATOS!$I11363,CONFIG_ASIGNATURAS!$B$2:$J$91,9,FALSE()),""))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IF(DATOS!$A11364="",0,IF(CONFIG_METADATA!$B$4&lt;&gt;"OR+EX",--(DATOS!$G11364=CONFIG_METADATA!$B$4),IF(DATOS!$G11364="EX",1,IF(DATOS!$G11364="OR",--(COUNTIFS(nNIA,DATOS!$A11364,nCURSO,DATOS!$D11364,nESPEC,DATOS!$E11364,nASIG,DATOS!$I11364,nEVAL,"EX")=0),0))))</f>
      </c>
      <c r="H11364">
        <f>IF(DATOS!$G11364&lt;&gt;"EX",0,--(COUNTIFS(nNIA,DATOS!$A11364,nCURSO,DATOS!$D11364,nESPEC,DATOS!$E11364,nASIG,DATOS!$I11364,nEVAL,"OR")=0))</f>
      </c>
      <c r="I11364">
        <f>IF(DATOS!$I11364="","",IFERROR(VLOOKUP(DATOS!$I11364,CONFIG_ASIGNATURAS!$B$2:$J$91,9,FALSE()),""))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IF(DATOS!$A11365="",0,IF(CONFIG_METADATA!$B$4&lt;&gt;"OR+EX",--(DATOS!$G11365=CONFIG_METADATA!$B$4),IF(DATOS!$G11365="EX",1,IF(DATOS!$G11365="OR",--(COUNTIFS(nNIA,DATOS!$A11365,nCURSO,DATOS!$D11365,nESPEC,DATOS!$E11365,nASIG,DATOS!$I11365,nEVAL,"EX")=0),0))))</f>
      </c>
      <c r="H11365">
        <f>IF(DATOS!$G11365&lt;&gt;"EX",0,--(COUNTIFS(nNIA,DATOS!$A11365,nCURSO,DATOS!$D11365,nESPEC,DATOS!$E11365,nASIG,DATOS!$I11365,nEVAL,"OR")=0))</f>
      </c>
      <c r="I11365">
        <f>IF(DATOS!$I11365="","",IFERROR(VLOOKUP(DATOS!$I11365,CONFIG_ASIGNATURAS!$B$2:$J$91,9,FALSE()),""))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IF(DATOS!$A11366="",0,IF(CONFIG_METADATA!$B$4&lt;&gt;"OR+EX",--(DATOS!$G11366=CONFIG_METADATA!$B$4),IF(DATOS!$G11366="EX",1,IF(DATOS!$G11366="OR",--(COUNTIFS(nNIA,DATOS!$A11366,nCURSO,DATOS!$D11366,nESPEC,DATOS!$E11366,nASIG,DATOS!$I11366,nEVAL,"EX")=0),0))))</f>
      </c>
      <c r="H11366">
        <f>IF(DATOS!$G11366&lt;&gt;"EX",0,--(COUNTIFS(nNIA,DATOS!$A11366,nCURSO,DATOS!$D11366,nESPEC,DATOS!$E11366,nASIG,DATOS!$I11366,nEVAL,"OR")=0))</f>
      </c>
      <c r="I11366">
        <f>IF(DATOS!$I11366="","",IFERROR(VLOOKUP(DATOS!$I11366,CONFIG_ASIGNATURAS!$B$2:$J$91,9,FALSE()),""))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IF(DATOS!$A11367="",0,IF(CONFIG_METADATA!$B$4&lt;&gt;"OR+EX",--(DATOS!$G11367=CONFIG_METADATA!$B$4),IF(DATOS!$G11367="EX",1,IF(DATOS!$G11367="OR",--(COUNTIFS(nNIA,DATOS!$A11367,nCURSO,DATOS!$D11367,nESPEC,DATOS!$E11367,nASIG,DATOS!$I11367,nEVAL,"EX")=0),0))))</f>
      </c>
      <c r="H11367">
        <f>IF(DATOS!$G11367&lt;&gt;"EX",0,--(COUNTIFS(nNIA,DATOS!$A11367,nCURSO,DATOS!$D11367,nESPEC,DATOS!$E11367,nASIG,DATOS!$I11367,nEVAL,"OR")=0))</f>
      </c>
      <c r="I11367">
        <f>IF(DATOS!$I11367="","",IFERROR(VLOOKUP(DATOS!$I11367,CONFIG_ASIGNATURAS!$B$2:$J$91,9,FALSE()),""))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IF(DATOS!$A11368="",0,IF(CONFIG_METADATA!$B$4&lt;&gt;"OR+EX",--(DATOS!$G11368=CONFIG_METADATA!$B$4),IF(DATOS!$G11368="EX",1,IF(DATOS!$G11368="OR",--(COUNTIFS(nNIA,DATOS!$A11368,nCURSO,DATOS!$D11368,nESPEC,DATOS!$E11368,nASIG,DATOS!$I11368,nEVAL,"EX")=0),0))))</f>
      </c>
      <c r="H11368">
        <f>IF(DATOS!$G11368&lt;&gt;"EX",0,--(COUNTIFS(nNIA,DATOS!$A11368,nCURSO,DATOS!$D11368,nESPEC,DATOS!$E11368,nASIG,DATOS!$I11368,nEVAL,"OR")=0))</f>
      </c>
      <c r="I11368">
        <f>IF(DATOS!$I11368="","",IFERROR(VLOOKUP(DATOS!$I11368,CONFIG_ASIGNATURAS!$B$2:$J$91,9,FALSE()),""))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IF(DATOS!$A11369="",0,IF(CONFIG_METADATA!$B$4&lt;&gt;"OR+EX",--(DATOS!$G11369=CONFIG_METADATA!$B$4),IF(DATOS!$G11369="EX",1,IF(DATOS!$G11369="OR",--(COUNTIFS(nNIA,DATOS!$A11369,nCURSO,DATOS!$D11369,nESPEC,DATOS!$E11369,nASIG,DATOS!$I11369,nEVAL,"EX")=0),0))))</f>
      </c>
      <c r="H11369">
        <f>IF(DATOS!$G11369&lt;&gt;"EX",0,--(COUNTIFS(nNIA,DATOS!$A11369,nCURSO,DATOS!$D11369,nESPEC,DATOS!$E11369,nASIG,DATOS!$I11369,nEVAL,"OR")=0))</f>
      </c>
      <c r="I11369">
        <f>IF(DATOS!$I11369="","",IFERROR(VLOOKUP(DATOS!$I11369,CONFIG_ASIGNATURAS!$B$2:$J$91,9,FALSE()),""))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IF(DATOS!$A11370="",0,IF(CONFIG_METADATA!$B$4&lt;&gt;"OR+EX",--(DATOS!$G11370=CONFIG_METADATA!$B$4),IF(DATOS!$G11370="EX",1,IF(DATOS!$G11370="OR",--(COUNTIFS(nNIA,DATOS!$A11370,nCURSO,DATOS!$D11370,nESPEC,DATOS!$E11370,nASIG,DATOS!$I11370,nEVAL,"EX")=0),0))))</f>
      </c>
      <c r="H11370">
        <f>IF(DATOS!$G11370&lt;&gt;"EX",0,--(COUNTIFS(nNIA,DATOS!$A11370,nCURSO,DATOS!$D11370,nESPEC,DATOS!$E11370,nASIG,DATOS!$I11370,nEVAL,"OR")=0))</f>
      </c>
      <c r="I11370">
        <f>IF(DATOS!$I11370="","",IFERROR(VLOOKUP(DATOS!$I11370,CONFIG_ASIGNATURAS!$B$2:$J$91,9,FALSE()),""))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IF(DATOS!$A11371="",0,IF(CONFIG_METADATA!$B$4&lt;&gt;"OR+EX",--(DATOS!$G11371=CONFIG_METADATA!$B$4),IF(DATOS!$G11371="EX",1,IF(DATOS!$G11371="OR",--(COUNTIFS(nNIA,DATOS!$A11371,nCURSO,DATOS!$D11371,nESPEC,DATOS!$E11371,nASIG,DATOS!$I11371,nEVAL,"EX")=0),0))))</f>
      </c>
      <c r="H11371">
        <f>IF(DATOS!$G11371&lt;&gt;"EX",0,--(COUNTIFS(nNIA,DATOS!$A11371,nCURSO,DATOS!$D11371,nESPEC,DATOS!$E11371,nASIG,DATOS!$I11371,nEVAL,"OR")=0))</f>
      </c>
      <c r="I11371">
        <f>IF(DATOS!$I11371="","",IFERROR(VLOOKUP(DATOS!$I11371,CONFIG_ASIGNATURAS!$B$2:$J$91,9,FALSE()),""))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IF(DATOS!$A11372="",0,IF(CONFIG_METADATA!$B$4&lt;&gt;"OR+EX",--(DATOS!$G11372=CONFIG_METADATA!$B$4),IF(DATOS!$G11372="EX",1,IF(DATOS!$G11372="OR",--(COUNTIFS(nNIA,DATOS!$A11372,nCURSO,DATOS!$D11372,nESPEC,DATOS!$E11372,nASIG,DATOS!$I11372,nEVAL,"EX")=0),0))))</f>
      </c>
      <c r="H11372">
        <f>IF(DATOS!$G11372&lt;&gt;"EX",0,--(COUNTIFS(nNIA,DATOS!$A11372,nCURSO,DATOS!$D11372,nESPEC,DATOS!$E11372,nASIG,DATOS!$I11372,nEVAL,"OR")=0))</f>
      </c>
      <c r="I11372">
        <f>IF(DATOS!$I11372="","",IFERROR(VLOOKUP(DATOS!$I11372,CONFIG_ASIGNATURAS!$B$2:$J$91,9,FALSE()),""))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IF(DATOS!$A11373="",0,IF(CONFIG_METADATA!$B$4&lt;&gt;"OR+EX",--(DATOS!$G11373=CONFIG_METADATA!$B$4),IF(DATOS!$G11373="EX",1,IF(DATOS!$G11373="OR",--(COUNTIFS(nNIA,DATOS!$A11373,nCURSO,DATOS!$D11373,nESPEC,DATOS!$E11373,nASIG,DATOS!$I11373,nEVAL,"EX")=0),0))))</f>
      </c>
      <c r="H11373">
        <f>IF(DATOS!$G11373&lt;&gt;"EX",0,--(COUNTIFS(nNIA,DATOS!$A11373,nCURSO,DATOS!$D11373,nESPEC,DATOS!$E11373,nASIG,DATOS!$I11373,nEVAL,"OR")=0))</f>
      </c>
      <c r="I11373">
        <f>IF(DATOS!$I11373="","",IFERROR(VLOOKUP(DATOS!$I11373,CONFIG_ASIGNATURAS!$B$2:$J$91,9,FALSE()),""))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IF(DATOS!$A11374="",0,IF(CONFIG_METADATA!$B$4&lt;&gt;"OR+EX",--(DATOS!$G11374=CONFIG_METADATA!$B$4),IF(DATOS!$G11374="EX",1,IF(DATOS!$G11374="OR",--(COUNTIFS(nNIA,DATOS!$A11374,nCURSO,DATOS!$D11374,nESPEC,DATOS!$E11374,nASIG,DATOS!$I11374,nEVAL,"EX")=0),0))))</f>
      </c>
      <c r="H11374">
        <f>IF(DATOS!$G11374&lt;&gt;"EX",0,--(COUNTIFS(nNIA,DATOS!$A11374,nCURSO,DATOS!$D11374,nESPEC,DATOS!$E11374,nASIG,DATOS!$I11374,nEVAL,"OR")=0))</f>
      </c>
      <c r="I11374">
        <f>IF(DATOS!$I11374="","",IFERROR(VLOOKUP(DATOS!$I11374,CONFIG_ASIGNATURAS!$B$2:$J$91,9,FALSE()),""))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IF(DATOS!$A11375="",0,IF(CONFIG_METADATA!$B$4&lt;&gt;"OR+EX",--(DATOS!$G11375=CONFIG_METADATA!$B$4),IF(DATOS!$G11375="EX",1,IF(DATOS!$G11375="OR",--(COUNTIFS(nNIA,DATOS!$A11375,nCURSO,DATOS!$D11375,nESPEC,DATOS!$E11375,nASIG,DATOS!$I11375,nEVAL,"EX")=0),0))))</f>
      </c>
      <c r="H11375">
        <f>IF(DATOS!$G11375&lt;&gt;"EX",0,--(COUNTIFS(nNIA,DATOS!$A11375,nCURSO,DATOS!$D11375,nESPEC,DATOS!$E11375,nASIG,DATOS!$I11375,nEVAL,"OR")=0))</f>
      </c>
      <c r="I11375">
        <f>IF(DATOS!$I11375="","",IFERROR(VLOOKUP(DATOS!$I11375,CONFIG_ASIGNATURAS!$B$2:$J$91,9,FALSE()),""))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IF(DATOS!$A11376="",0,IF(CONFIG_METADATA!$B$4&lt;&gt;"OR+EX",--(DATOS!$G11376=CONFIG_METADATA!$B$4),IF(DATOS!$G11376="EX",1,IF(DATOS!$G11376="OR",--(COUNTIFS(nNIA,DATOS!$A11376,nCURSO,DATOS!$D11376,nESPEC,DATOS!$E11376,nASIG,DATOS!$I11376,nEVAL,"EX")=0),0))))</f>
      </c>
      <c r="H11376">
        <f>IF(DATOS!$G11376&lt;&gt;"EX",0,--(COUNTIFS(nNIA,DATOS!$A11376,nCURSO,DATOS!$D11376,nESPEC,DATOS!$E11376,nASIG,DATOS!$I11376,nEVAL,"OR")=0))</f>
      </c>
      <c r="I11376">
        <f>IF(DATOS!$I11376="","",IFERROR(VLOOKUP(DATOS!$I11376,CONFIG_ASIGNATURAS!$B$2:$J$91,9,FALSE()),""))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IF(DATOS!$A11377="",0,IF(CONFIG_METADATA!$B$4&lt;&gt;"OR+EX",--(DATOS!$G11377=CONFIG_METADATA!$B$4),IF(DATOS!$G11377="EX",1,IF(DATOS!$G11377="OR",--(COUNTIFS(nNIA,DATOS!$A11377,nCURSO,DATOS!$D11377,nESPEC,DATOS!$E11377,nASIG,DATOS!$I11377,nEVAL,"EX")=0),0))))</f>
      </c>
      <c r="H11377">
        <f>IF(DATOS!$G11377&lt;&gt;"EX",0,--(COUNTIFS(nNIA,DATOS!$A11377,nCURSO,DATOS!$D11377,nESPEC,DATOS!$E11377,nASIG,DATOS!$I11377,nEVAL,"OR")=0))</f>
      </c>
      <c r="I11377">
        <f>IF(DATOS!$I11377="","",IFERROR(VLOOKUP(DATOS!$I11377,CONFIG_ASIGNATURAS!$B$2:$J$91,9,FALSE()),""))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IF(DATOS!$A11378="",0,IF(CONFIG_METADATA!$B$4&lt;&gt;"OR+EX",--(DATOS!$G11378=CONFIG_METADATA!$B$4),IF(DATOS!$G11378="EX",1,IF(DATOS!$G11378="OR",--(COUNTIFS(nNIA,DATOS!$A11378,nCURSO,DATOS!$D11378,nESPEC,DATOS!$E11378,nASIG,DATOS!$I11378,nEVAL,"EX")=0),0))))</f>
      </c>
      <c r="H11378">
        <f>IF(DATOS!$G11378&lt;&gt;"EX",0,--(COUNTIFS(nNIA,DATOS!$A11378,nCURSO,DATOS!$D11378,nESPEC,DATOS!$E11378,nASIG,DATOS!$I11378,nEVAL,"OR")=0))</f>
      </c>
      <c r="I11378">
        <f>IF(DATOS!$I11378="","",IFERROR(VLOOKUP(DATOS!$I11378,CONFIG_ASIGNATURAS!$B$2:$J$91,9,FALSE()),""))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IF(DATOS!$A11379="",0,IF(CONFIG_METADATA!$B$4&lt;&gt;"OR+EX",--(DATOS!$G11379=CONFIG_METADATA!$B$4),IF(DATOS!$G11379="EX",1,IF(DATOS!$G11379="OR",--(COUNTIFS(nNIA,DATOS!$A11379,nCURSO,DATOS!$D11379,nESPEC,DATOS!$E11379,nASIG,DATOS!$I11379,nEVAL,"EX")=0),0))))</f>
      </c>
      <c r="H11379">
        <f>IF(DATOS!$G11379&lt;&gt;"EX",0,--(COUNTIFS(nNIA,DATOS!$A11379,nCURSO,DATOS!$D11379,nESPEC,DATOS!$E11379,nASIG,DATOS!$I11379,nEVAL,"OR")=0))</f>
      </c>
      <c r="I11379">
        <f>IF(DATOS!$I11379="","",IFERROR(VLOOKUP(DATOS!$I11379,CONFIG_ASIGNATURAS!$B$2:$J$91,9,FALSE()),""))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IF(DATOS!$A11380="",0,IF(CONFIG_METADATA!$B$4&lt;&gt;"OR+EX",--(DATOS!$G11380=CONFIG_METADATA!$B$4),IF(DATOS!$G11380="EX",1,IF(DATOS!$G11380="OR",--(COUNTIFS(nNIA,DATOS!$A11380,nCURSO,DATOS!$D11380,nESPEC,DATOS!$E11380,nASIG,DATOS!$I11380,nEVAL,"EX")=0),0))))</f>
      </c>
      <c r="H11380">
        <f>IF(DATOS!$G11380&lt;&gt;"EX",0,--(COUNTIFS(nNIA,DATOS!$A11380,nCURSO,DATOS!$D11380,nESPEC,DATOS!$E11380,nASIG,DATOS!$I11380,nEVAL,"OR")=0))</f>
      </c>
      <c r="I11380">
        <f>IF(DATOS!$I11380="","",IFERROR(VLOOKUP(DATOS!$I11380,CONFIG_ASIGNATURAS!$B$2:$J$91,9,FALSE()),""))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IF(DATOS!$A11381="",0,IF(CONFIG_METADATA!$B$4&lt;&gt;"OR+EX",--(DATOS!$G11381=CONFIG_METADATA!$B$4),IF(DATOS!$G11381="EX",1,IF(DATOS!$G11381="OR",--(COUNTIFS(nNIA,DATOS!$A11381,nCURSO,DATOS!$D11381,nESPEC,DATOS!$E11381,nASIG,DATOS!$I11381,nEVAL,"EX")=0),0))))</f>
      </c>
      <c r="H11381">
        <f>IF(DATOS!$G11381&lt;&gt;"EX",0,--(COUNTIFS(nNIA,DATOS!$A11381,nCURSO,DATOS!$D11381,nESPEC,DATOS!$E11381,nASIG,DATOS!$I11381,nEVAL,"OR")=0))</f>
      </c>
      <c r="I11381">
        <f>IF(DATOS!$I11381="","",IFERROR(VLOOKUP(DATOS!$I11381,CONFIG_ASIGNATURAS!$B$2:$J$91,9,FALSE()),""))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IF(DATOS!$A11382="",0,IF(CONFIG_METADATA!$B$4&lt;&gt;"OR+EX",--(DATOS!$G11382=CONFIG_METADATA!$B$4),IF(DATOS!$G11382="EX",1,IF(DATOS!$G11382="OR",--(COUNTIFS(nNIA,DATOS!$A11382,nCURSO,DATOS!$D11382,nESPEC,DATOS!$E11382,nASIG,DATOS!$I11382,nEVAL,"EX")=0),0))))</f>
      </c>
      <c r="H11382">
        <f>IF(DATOS!$G11382&lt;&gt;"EX",0,--(COUNTIFS(nNIA,DATOS!$A11382,nCURSO,DATOS!$D11382,nESPEC,DATOS!$E11382,nASIG,DATOS!$I11382,nEVAL,"OR")=0))</f>
      </c>
      <c r="I11382">
        <f>IF(DATOS!$I11382="","",IFERROR(VLOOKUP(DATOS!$I11382,CONFIG_ASIGNATURAS!$B$2:$J$91,9,FALSE()),""))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IF(DATOS!$A11383="",0,IF(CONFIG_METADATA!$B$4&lt;&gt;"OR+EX",--(DATOS!$G11383=CONFIG_METADATA!$B$4),IF(DATOS!$G11383="EX",1,IF(DATOS!$G11383="OR",--(COUNTIFS(nNIA,DATOS!$A11383,nCURSO,DATOS!$D11383,nESPEC,DATOS!$E11383,nASIG,DATOS!$I11383,nEVAL,"EX")=0),0))))</f>
      </c>
      <c r="H11383">
        <f>IF(DATOS!$G11383&lt;&gt;"EX",0,--(COUNTIFS(nNIA,DATOS!$A11383,nCURSO,DATOS!$D11383,nESPEC,DATOS!$E11383,nASIG,DATOS!$I11383,nEVAL,"OR")=0))</f>
      </c>
      <c r="I11383">
        <f>IF(DATOS!$I11383="","",IFERROR(VLOOKUP(DATOS!$I11383,CONFIG_ASIGNATURAS!$B$2:$J$91,9,FALSE()),""))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IF(DATOS!$A11384="",0,IF(CONFIG_METADATA!$B$4&lt;&gt;"OR+EX",--(DATOS!$G11384=CONFIG_METADATA!$B$4),IF(DATOS!$G11384="EX",1,IF(DATOS!$G11384="OR",--(COUNTIFS(nNIA,DATOS!$A11384,nCURSO,DATOS!$D11384,nESPEC,DATOS!$E11384,nASIG,DATOS!$I11384,nEVAL,"EX")=0),0))))</f>
      </c>
      <c r="H11384">
        <f>IF(DATOS!$G11384&lt;&gt;"EX",0,--(COUNTIFS(nNIA,DATOS!$A11384,nCURSO,DATOS!$D11384,nESPEC,DATOS!$E11384,nASIG,DATOS!$I11384,nEVAL,"OR")=0))</f>
      </c>
      <c r="I11384">
        <f>IF(DATOS!$I11384="","",IFERROR(VLOOKUP(DATOS!$I11384,CONFIG_ASIGNATURAS!$B$2:$J$91,9,FALSE()),""))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IF(DATOS!$A11385="",0,IF(CONFIG_METADATA!$B$4&lt;&gt;"OR+EX",--(DATOS!$G11385=CONFIG_METADATA!$B$4),IF(DATOS!$G11385="EX",1,IF(DATOS!$G11385="OR",--(COUNTIFS(nNIA,DATOS!$A11385,nCURSO,DATOS!$D11385,nESPEC,DATOS!$E11385,nASIG,DATOS!$I11385,nEVAL,"EX")=0),0))))</f>
      </c>
      <c r="H11385">
        <f>IF(DATOS!$G11385&lt;&gt;"EX",0,--(COUNTIFS(nNIA,DATOS!$A11385,nCURSO,DATOS!$D11385,nESPEC,DATOS!$E11385,nASIG,DATOS!$I11385,nEVAL,"OR")=0))</f>
      </c>
      <c r="I11385">
        <f>IF(DATOS!$I11385="","",IFERROR(VLOOKUP(DATOS!$I11385,CONFIG_ASIGNATURAS!$B$2:$J$91,9,FALSE()),""))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IF(DATOS!$A11386="",0,IF(CONFIG_METADATA!$B$4&lt;&gt;"OR+EX",--(DATOS!$G11386=CONFIG_METADATA!$B$4),IF(DATOS!$G11386="EX",1,IF(DATOS!$G11386="OR",--(COUNTIFS(nNIA,DATOS!$A11386,nCURSO,DATOS!$D11386,nESPEC,DATOS!$E11386,nASIG,DATOS!$I11386,nEVAL,"EX")=0),0))))</f>
      </c>
      <c r="H11386">
        <f>IF(DATOS!$G11386&lt;&gt;"EX",0,--(COUNTIFS(nNIA,DATOS!$A11386,nCURSO,DATOS!$D11386,nESPEC,DATOS!$E11386,nASIG,DATOS!$I11386,nEVAL,"OR")=0))</f>
      </c>
      <c r="I11386">
        <f>IF(DATOS!$I11386="","",IFERROR(VLOOKUP(DATOS!$I11386,CONFIG_ASIGNATURAS!$B$2:$J$91,9,FALSE()),""))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IF(DATOS!$A11387="",0,IF(CONFIG_METADATA!$B$4&lt;&gt;"OR+EX",--(DATOS!$G11387=CONFIG_METADATA!$B$4),IF(DATOS!$G11387="EX",1,IF(DATOS!$G11387="OR",--(COUNTIFS(nNIA,DATOS!$A11387,nCURSO,DATOS!$D11387,nESPEC,DATOS!$E11387,nASIG,DATOS!$I11387,nEVAL,"EX")=0),0))))</f>
      </c>
      <c r="H11387">
        <f>IF(DATOS!$G11387&lt;&gt;"EX",0,--(COUNTIFS(nNIA,DATOS!$A11387,nCURSO,DATOS!$D11387,nESPEC,DATOS!$E11387,nASIG,DATOS!$I11387,nEVAL,"OR")=0))</f>
      </c>
      <c r="I11387">
        <f>IF(DATOS!$I11387="","",IFERROR(VLOOKUP(DATOS!$I11387,CONFIG_ASIGNATURAS!$B$2:$J$91,9,FALSE()),""))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IF(DATOS!$A11388="",0,IF(CONFIG_METADATA!$B$4&lt;&gt;"OR+EX",--(DATOS!$G11388=CONFIG_METADATA!$B$4),IF(DATOS!$G11388="EX",1,IF(DATOS!$G11388="OR",--(COUNTIFS(nNIA,DATOS!$A11388,nCURSO,DATOS!$D11388,nESPEC,DATOS!$E11388,nASIG,DATOS!$I11388,nEVAL,"EX")=0),0))))</f>
      </c>
      <c r="H11388">
        <f>IF(DATOS!$G11388&lt;&gt;"EX",0,--(COUNTIFS(nNIA,DATOS!$A11388,nCURSO,DATOS!$D11388,nESPEC,DATOS!$E11388,nASIG,DATOS!$I11388,nEVAL,"OR")=0))</f>
      </c>
      <c r="I11388">
        <f>IF(DATOS!$I11388="","",IFERROR(VLOOKUP(DATOS!$I11388,CONFIG_ASIGNATURAS!$B$2:$J$91,9,FALSE()),""))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IF(DATOS!$A11389="",0,IF(CONFIG_METADATA!$B$4&lt;&gt;"OR+EX",--(DATOS!$G11389=CONFIG_METADATA!$B$4),IF(DATOS!$G11389="EX",1,IF(DATOS!$G11389="OR",--(COUNTIFS(nNIA,DATOS!$A11389,nCURSO,DATOS!$D11389,nESPEC,DATOS!$E11389,nASIG,DATOS!$I11389,nEVAL,"EX")=0),0))))</f>
      </c>
      <c r="H11389">
        <f>IF(DATOS!$G11389&lt;&gt;"EX",0,--(COUNTIFS(nNIA,DATOS!$A11389,nCURSO,DATOS!$D11389,nESPEC,DATOS!$E11389,nASIG,DATOS!$I11389,nEVAL,"OR")=0))</f>
      </c>
      <c r="I11389">
        <f>IF(DATOS!$I11389="","",IFERROR(VLOOKUP(DATOS!$I11389,CONFIG_ASIGNATURAS!$B$2:$J$91,9,FALSE()),""))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IF(DATOS!$A11390="",0,IF(CONFIG_METADATA!$B$4&lt;&gt;"OR+EX",--(DATOS!$G11390=CONFIG_METADATA!$B$4),IF(DATOS!$G11390="EX",1,IF(DATOS!$G11390="OR",--(COUNTIFS(nNIA,DATOS!$A11390,nCURSO,DATOS!$D11390,nESPEC,DATOS!$E11390,nASIG,DATOS!$I11390,nEVAL,"EX")=0),0))))</f>
      </c>
      <c r="H11390">
        <f>IF(DATOS!$G11390&lt;&gt;"EX",0,--(COUNTIFS(nNIA,DATOS!$A11390,nCURSO,DATOS!$D11390,nESPEC,DATOS!$E11390,nASIG,DATOS!$I11390,nEVAL,"OR")=0))</f>
      </c>
      <c r="I11390">
        <f>IF(DATOS!$I11390="","",IFERROR(VLOOKUP(DATOS!$I11390,CONFIG_ASIGNATURAS!$B$2:$J$91,9,FALSE()),""))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IF(DATOS!$A11391="",0,IF(CONFIG_METADATA!$B$4&lt;&gt;"OR+EX",--(DATOS!$G11391=CONFIG_METADATA!$B$4),IF(DATOS!$G11391="EX",1,IF(DATOS!$G11391="OR",--(COUNTIFS(nNIA,DATOS!$A11391,nCURSO,DATOS!$D11391,nESPEC,DATOS!$E11391,nASIG,DATOS!$I11391,nEVAL,"EX")=0),0))))</f>
      </c>
      <c r="H11391">
        <f>IF(DATOS!$G11391&lt;&gt;"EX",0,--(COUNTIFS(nNIA,DATOS!$A11391,nCURSO,DATOS!$D11391,nESPEC,DATOS!$E11391,nASIG,DATOS!$I11391,nEVAL,"OR")=0))</f>
      </c>
      <c r="I11391">
        <f>IF(DATOS!$I11391="","",IFERROR(VLOOKUP(DATOS!$I11391,CONFIG_ASIGNATURAS!$B$2:$J$91,9,FALSE()),""))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IF(DATOS!$A11392="",0,IF(CONFIG_METADATA!$B$4&lt;&gt;"OR+EX",--(DATOS!$G11392=CONFIG_METADATA!$B$4),IF(DATOS!$G11392="EX",1,IF(DATOS!$G11392="OR",--(COUNTIFS(nNIA,DATOS!$A11392,nCURSO,DATOS!$D11392,nESPEC,DATOS!$E11392,nASIG,DATOS!$I11392,nEVAL,"EX")=0),0))))</f>
      </c>
      <c r="H11392">
        <f>IF(DATOS!$G11392&lt;&gt;"EX",0,--(COUNTIFS(nNIA,DATOS!$A11392,nCURSO,DATOS!$D11392,nESPEC,DATOS!$E11392,nASIG,DATOS!$I11392,nEVAL,"OR")=0))</f>
      </c>
      <c r="I11392">
        <f>IF(DATOS!$I11392="","",IFERROR(VLOOKUP(DATOS!$I11392,CONFIG_ASIGNATURAS!$B$2:$J$91,9,FALSE()),""))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IF(DATOS!$A11393="",0,IF(CONFIG_METADATA!$B$4&lt;&gt;"OR+EX",--(DATOS!$G11393=CONFIG_METADATA!$B$4),IF(DATOS!$G11393="EX",1,IF(DATOS!$G11393="OR",--(COUNTIFS(nNIA,DATOS!$A11393,nCURSO,DATOS!$D11393,nESPEC,DATOS!$E11393,nASIG,DATOS!$I11393,nEVAL,"EX")=0),0))))</f>
      </c>
      <c r="H11393">
        <f>IF(DATOS!$G11393&lt;&gt;"EX",0,--(COUNTIFS(nNIA,DATOS!$A11393,nCURSO,DATOS!$D11393,nESPEC,DATOS!$E11393,nASIG,DATOS!$I11393,nEVAL,"OR")=0))</f>
      </c>
      <c r="I11393">
        <f>IF(DATOS!$I11393="","",IFERROR(VLOOKUP(DATOS!$I11393,CONFIG_ASIGNATURAS!$B$2:$J$91,9,FALSE()),""))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IF(DATOS!$A11394="",0,IF(CONFIG_METADATA!$B$4&lt;&gt;"OR+EX",--(DATOS!$G11394=CONFIG_METADATA!$B$4),IF(DATOS!$G11394="EX",1,IF(DATOS!$G11394="OR",--(COUNTIFS(nNIA,DATOS!$A11394,nCURSO,DATOS!$D11394,nESPEC,DATOS!$E11394,nASIG,DATOS!$I11394,nEVAL,"EX")=0),0))))</f>
      </c>
      <c r="H11394">
        <f>IF(DATOS!$G11394&lt;&gt;"EX",0,--(COUNTIFS(nNIA,DATOS!$A11394,nCURSO,DATOS!$D11394,nESPEC,DATOS!$E11394,nASIG,DATOS!$I11394,nEVAL,"OR")=0))</f>
      </c>
      <c r="I11394">
        <f>IF(DATOS!$I11394="","",IFERROR(VLOOKUP(DATOS!$I11394,CONFIG_ASIGNATURAS!$B$2:$J$91,9,FALSE()),""))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IF(DATOS!$A11395="",0,IF(CONFIG_METADATA!$B$4&lt;&gt;"OR+EX",--(DATOS!$G11395=CONFIG_METADATA!$B$4),IF(DATOS!$G11395="EX",1,IF(DATOS!$G11395="OR",--(COUNTIFS(nNIA,DATOS!$A11395,nCURSO,DATOS!$D11395,nESPEC,DATOS!$E11395,nASIG,DATOS!$I11395,nEVAL,"EX")=0),0))))</f>
      </c>
      <c r="H11395">
        <f>IF(DATOS!$G11395&lt;&gt;"EX",0,--(COUNTIFS(nNIA,DATOS!$A11395,nCURSO,DATOS!$D11395,nESPEC,DATOS!$E11395,nASIG,DATOS!$I11395,nEVAL,"OR")=0))</f>
      </c>
      <c r="I11395">
        <f>IF(DATOS!$I11395="","",IFERROR(VLOOKUP(DATOS!$I11395,CONFIG_ASIGNATURAS!$B$2:$J$91,9,FALSE()),""))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IF(DATOS!$A11396="",0,IF(CONFIG_METADATA!$B$4&lt;&gt;"OR+EX",--(DATOS!$G11396=CONFIG_METADATA!$B$4),IF(DATOS!$G11396="EX",1,IF(DATOS!$G11396="OR",--(COUNTIFS(nNIA,DATOS!$A11396,nCURSO,DATOS!$D11396,nESPEC,DATOS!$E11396,nASIG,DATOS!$I11396,nEVAL,"EX")=0),0))))</f>
      </c>
      <c r="H11396">
        <f>IF(DATOS!$G11396&lt;&gt;"EX",0,--(COUNTIFS(nNIA,DATOS!$A11396,nCURSO,DATOS!$D11396,nESPEC,DATOS!$E11396,nASIG,DATOS!$I11396,nEVAL,"OR")=0))</f>
      </c>
      <c r="I11396">
        <f>IF(DATOS!$I11396="","",IFERROR(VLOOKUP(DATOS!$I11396,CONFIG_ASIGNATURAS!$B$2:$J$91,9,FALSE()),""))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IF(DATOS!$A11397="",0,IF(CONFIG_METADATA!$B$4&lt;&gt;"OR+EX",--(DATOS!$G11397=CONFIG_METADATA!$B$4),IF(DATOS!$G11397="EX",1,IF(DATOS!$G11397="OR",--(COUNTIFS(nNIA,DATOS!$A11397,nCURSO,DATOS!$D11397,nESPEC,DATOS!$E11397,nASIG,DATOS!$I11397,nEVAL,"EX")=0),0))))</f>
      </c>
      <c r="H11397">
        <f>IF(DATOS!$G11397&lt;&gt;"EX",0,--(COUNTIFS(nNIA,DATOS!$A11397,nCURSO,DATOS!$D11397,nESPEC,DATOS!$E11397,nASIG,DATOS!$I11397,nEVAL,"OR")=0))</f>
      </c>
      <c r="I11397">
        <f>IF(DATOS!$I11397="","",IFERROR(VLOOKUP(DATOS!$I11397,CONFIG_ASIGNATURAS!$B$2:$J$91,9,FALSE()),""))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IF(DATOS!$A11398="",0,IF(CONFIG_METADATA!$B$4&lt;&gt;"OR+EX",--(DATOS!$G11398=CONFIG_METADATA!$B$4),IF(DATOS!$G11398="EX",1,IF(DATOS!$G11398="OR",--(COUNTIFS(nNIA,DATOS!$A11398,nCURSO,DATOS!$D11398,nESPEC,DATOS!$E11398,nASIG,DATOS!$I11398,nEVAL,"EX")=0),0))))</f>
      </c>
      <c r="H11398">
        <f>IF(DATOS!$G11398&lt;&gt;"EX",0,--(COUNTIFS(nNIA,DATOS!$A11398,nCURSO,DATOS!$D11398,nESPEC,DATOS!$E11398,nASIG,DATOS!$I11398,nEVAL,"OR")=0))</f>
      </c>
      <c r="I11398">
        <f>IF(DATOS!$I11398="","",IFERROR(VLOOKUP(DATOS!$I11398,CONFIG_ASIGNATURAS!$B$2:$J$91,9,FALSE()),""))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IF(DATOS!$A11399="",0,IF(CONFIG_METADATA!$B$4&lt;&gt;"OR+EX",--(DATOS!$G11399=CONFIG_METADATA!$B$4),IF(DATOS!$G11399="EX",1,IF(DATOS!$G11399="OR",--(COUNTIFS(nNIA,DATOS!$A11399,nCURSO,DATOS!$D11399,nESPEC,DATOS!$E11399,nASIG,DATOS!$I11399,nEVAL,"EX")=0),0))))</f>
      </c>
      <c r="H11399">
        <f>IF(DATOS!$G11399&lt;&gt;"EX",0,--(COUNTIFS(nNIA,DATOS!$A11399,nCURSO,DATOS!$D11399,nESPEC,DATOS!$E11399,nASIG,DATOS!$I11399,nEVAL,"OR")=0))</f>
      </c>
      <c r="I11399">
        <f>IF(DATOS!$I11399="","",IFERROR(VLOOKUP(DATOS!$I11399,CONFIG_ASIGNATURAS!$B$2:$J$91,9,FALSE()),""))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IF(DATOS!$A11400="",0,IF(CONFIG_METADATA!$B$4&lt;&gt;"OR+EX",--(DATOS!$G11400=CONFIG_METADATA!$B$4),IF(DATOS!$G11400="EX",1,IF(DATOS!$G11400="OR",--(COUNTIFS(nNIA,DATOS!$A11400,nCURSO,DATOS!$D11400,nESPEC,DATOS!$E11400,nASIG,DATOS!$I11400,nEVAL,"EX")=0),0))))</f>
      </c>
      <c r="H11400">
        <f>IF(DATOS!$G11400&lt;&gt;"EX",0,--(COUNTIFS(nNIA,DATOS!$A11400,nCURSO,DATOS!$D11400,nESPEC,DATOS!$E11400,nASIG,DATOS!$I11400,nEVAL,"OR")=0))</f>
      </c>
      <c r="I11400">
        <f>IF(DATOS!$I11400="","",IFERROR(VLOOKUP(DATOS!$I11400,CONFIG_ASIGNATURAS!$B$2:$J$91,9,FALSE()),""))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IF(DATOS!$A11401="",0,IF(CONFIG_METADATA!$B$4&lt;&gt;"OR+EX",--(DATOS!$G11401=CONFIG_METADATA!$B$4),IF(DATOS!$G11401="EX",1,IF(DATOS!$G11401="OR",--(COUNTIFS(nNIA,DATOS!$A11401,nCURSO,DATOS!$D11401,nESPEC,DATOS!$E11401,nASIG,DATOS!$I11401,nEVAL,"EX")=0),0))))</f>
      </c>
      <c r="H11401">
        <f>IF(DATOS!$G11401&lt;&gt;"EX",0,--(COUNTIFS(nNIA,DATOS!$A11401,nCURSO,DATOS!$D11401,nESPEC,DATOS!$E11401,nASIG,DATOS!$I11401,nEVAL,"OR")=0))</f>
      </c>
      <c r="I11401">
        <f>IF(DATOS!$I11401="","",IFERROR(VLOOKUP(DATOS!$I11401,CONFIG_ASIGNATURAS!$B$2:$J$91,9,FALSE()),""))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IF(DATOS!$A11402="",0,IF(CONFIG_METADATA!$B$4&lt;&gt;"OR+EX",--(DATOS!$G11402=CONFIG_METADATA!$B$4),IF(DATOS!$G11402="EX",1,IF(DATOS!$G11402="OR",--(COUNTIFS(nNIA,DATOS!$A11402,nCURSO,DATOS!$D11402,nESPEC,DATOS!$E11402,nASIG,DATOS!$I11402,nEVAL,"EX")=0),0))))</f>
      </c>
      <c r="H11402">
        <f>IF(DATOS!$G11402&lt;&gt;"EX",0,--(COUNTIFS(nNIA,DATOS!$A11402,nCURSO,DATOS!$D11402,nESPEC,DATOS!$E11402,nASIG,DATOS!$I11402,nEVAL,"OR")=0))</f>
      </c>
      <c r="I11402">
        <f>IF(DATOS!$I11402="","",IFERROR(VLOOKUP(DATOS!$I11402,CONFIG_ASIGNATURAS!$B$2:$J$91,9,FALSE()),""))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IF(DATOS!$A11403="",0,IF(CONFIG_METADATA!$B$4&lt;&gt;"OR+EX",--(DATOS!$G11403=CONFIG_METADATA!$B$4),IF(DATOS!$G11403="EX",1,IF(DATOS!$G11403="OR",--(COUNTIFS(nNIA,DATOS!$A11403,nCURSO,DATOS!$D11403,nESPEC,DATOS!$E11403,nASIG,DATOS!$I11403,nEVAL,"EX")=0),0))))</f>
      </c>
      <c r="H11403">
        <f>IF(DATOS!$G11403&lt;&gt;"EX",0,--(COUNTIFS(nNIA,DATOS!$A11403,nCURSO,DATOS!$D11403,nESPEC,DATOS!$E11403,nASIG,DATOS!$I11403,nEVAL,"OR")=0))</f>
      </c>
      <c r="I11403">
        <f>IF(DATOS!$I11403="","",IFERROR(VLOOKUP(DATOS!$I11403,CONFIG_ASIGNATURAS!$B$2:$J$91,9,FALSE()),""))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IF(DATOS!$A11404="",0,IF(CONFIG_METADATA!$B$4&lt;&gt;"OR+EX",--(DATOS!$G11404=CONFIG_METADATA!$B$4),IF(DATOS!$G11404="EX",1,IF(DATOS!$G11404="OR",--(COUNTIFS(nNIA,DATOS!$A11404,nCURSO,DATOS!$D11404,nESPEC,DATOS!$E11404,nASIG,DATOS!$I11404,nEVAL,"EX")=0),0))))</f>
      </c>
      <c r="H11404">
        <f>IF(DATOS!$G11404&lt;&gt;"EX",0,--(COUNTIFS(nNIA,DATOS!$A11404,nCURSO,DATOS!$D11404,nESPEC,DATOS!$E11404,nASIG,DATOS!$I11404,nEVAL,"OR")=0))</f>
      </c>
      <c r="I11404">
        <f>IF(DATOS!$I11404="","",IFERROR(VLOOKUP(DATOS!$I11404,CONFIG_ASIGNATURAS!$B$2:$J$91,9,FALSE()),""))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IF(DATOS!$A11405="",0,IF(CONFIG_METADATA!$B$4&lt;&gt;"OR+EX",--(DATOS!$G11405=CONFIG_METADATA!$B$4),IF(DATOS!$G11405="EX",1,IF(DATOS!$G11405="OR",--(COUNTIFS(nNIA,DATOS!$A11405,nCURSO,DATOS!$D11405,nESPEC,DATOS!$E11405,nASIG,DATOS!$I11405,nEVAL,"EX")=0),0))))</f>
      </c>
      <c r="H11405">
        <f>IF(DATOS!$G11405&lt;&gt;"EX",0,--(COUNTIFS(nNIA,DATOS!$A11405,nCURSO,DATOS!$D11405,nESPEC,DATOS!$E11405,nASIG,DATOS!$I11405,nEVAL,"OR")=0))</f>
      </c>
      <c r="I11405">
        <f>IF(DATOS!$I11405="","",IFERROR(VLOOKUP(DATOS!$I11405,CONFIG_ASIGNATURAS!$B$2:$J$91,9,FALSE()),""))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IF(DATOS!$A11406="",0,IF(CONFIG_METADATA!$B$4&lt;&gt;"OR+EX",--(DATOS!$G11406=CONFIG_METADATA!$B$4),IF(DATOS!$G11406="EX",1,IF(DATOS!$G11406="OR",--(COUNTIFS(nNIA,DATOS!$A11406,nCURSO,DATOS!$D11406,nESPEC,DATOS!$E11406,nASIG,DATOS!$I11406,nEVAL,"EX")=0),0))))</f>
      </c>
      <c r="H11406">
        <f>IF(DATOS!$G11406&lt;&gt;"EX",0,--(COUNTIFS(nNIA,DATOS!$A11406,nCURSO,DATOS!$D11406,nESPEC,DATOS!$E11406,nASIG,DATOS!$I11406,nEVAL,"OR")=0))</f>
      </c>
      <c r="I11406">
        <f>IF(DATOS!$I11406="","",IFERROR(VLOOKUP(DATOS!$I11406,CONFIG_ASIGNATURAS!$B$2:$J$91,9,FALSE()),""))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IF(DATOS!$A11407="",0,IF(CONFIG_METADATA!$B$4&lt;&gt;"OR+EX",--(DATOS!$G11407=CONFIG_METADATA!$B$4),IF(DATOS!$G11407="EX",1,IF(DATOS!$G11407="OR",--(COUNTIFS(nNIA,DATOS!$A11407,nCURSO,DATOS!$D11407,nESPEC,DATOS!$E11407,nASIG,DATOS!$I11407,nEVAL,"EX")=0),0))))</f>
      </c>
      <c r="H11407">
        <f>IF(DATOS!$G11407&lt;&gt;"EX",0,--(COUNTIFS(nNIA,DATOS!$A11407,nCURSO,DATOS!$D11407,nESPEC,DATOS!$E11407,nASIG,DATOS!$I11407,nEVAL,"OR")=0))</f>
      </c>
      <c r="I11407">
        <f>IF(DATOS!$I11407="","",IFERROR(VLOOKUP(DATOS!$I11407,CONFIG_ASIGNATURAS!$B$2:$J$91,9,FALSE()),""))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IF(DATOS!$A11408="",0,IF(CONFIG_METADATA!$B$4&lt;&gt;"OR+EX",--(DATOS!$G11408=CONFIG_METADATA!$B$4),IF(DATOS!$G11408="EX",1,IF(DATOS!$G11408="OR",--(COUNTIFS(nNIA,DATOS!$A11408,nCURSO,DATOS!$D11408,nESPEC,DATOS!$E11408,nASIG,DATOS!$I11408,nEVAL,"EX")=0),0))))</f>
      </c>
      <c r="H11408">
        <f>IF(DATOS!$G11408&lt;&gt;"EX",0,--(COUNTIFS(nNIA,DATOS!$A11408,nCURSO,DATOS!$D11408,nESPEC,DATOS!$E11408,nASIG,DATOS!$I11408,nEVAL,"OR")=0))</f>
      </c>
      <c r="I11408">
        <f>IF(DATOS!$I11408="","",IFERROR(VLOOKUP(DATOS!$I11408,CONFIG_ASIGNATURAS!$B$2:$J$91,9,FALSE()),""))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IF(DATOS!$A11409="",0,IF(CONFIG_METADATA!$B$4&lt;&gt;"OR+EX",--(DATOS!$G11409=CONFIG_METADATA!$B$4),IF(DATOS!$G11409="EX",1,IF(DATOS!$G11409="OR",--(COUNTIFS(nNIA,DATOS!$A11409,nCURSO,DATOS!$D11409,nESPEC,DATOS!$E11409,nASIG,DATOS!$I11409,nEVAL,"EX")=0),0))))</f>
      </c>
      <c r="H11409">
        <f>IF(DATOS!$G11409&lt;&gt;"EX",0,--(COUNTIFS(nNIA,DATOS!$A11409,nCURSO,DATOS!$D11409,nESPEC,DATOS!$E11409,nASIG,DATOS!$I11409,nEVAL,"OR")=0))</f>
      </c>
      <c r="I11409">
        <f>IF(DATOS!$I11409="","",IFERROR(VLOOKUP(DATOS!$I11409,CONFIG_ASIGNATURAS!$B$2:$J$91,9,FALSE()),""))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IF(DATOS!$A11410="",0,IF(CONFIG_METADATA!$B$4&lt;&gt;"OR+EX",--(DATOS!$G11410=CONFIG_METADATA!$B$4),IF(DATOS!$G11410="EX",1,IF(DATOS!$G11410="OR",--(COUNTIFS(nNIA,DATOS!$A11410,nCURSO,DATOS!$D11410,nESPEC,DATOS!$E11410,nASIG,DATOS!$I11410,nEVAL,"EX")=0),0))))</f>
      </c>
      <c r="H11410">
        <f>IF(DATOS!$G11410&lt;&gt;"EX",0,--(COUNTIFS(nNIA,DATOS!$A11410,nCURSO,DATOS!$D11410,nESPEC,DATOS!$E11410,nASIG,DATOS!$I11410,nEVAL,"OR")=0))</f>
      </c>
      <c r="I11410">
        <f>IF(DATOS!$I11410="","",IFERROR(VLOOKUP(DATOS!$I11410,CONFIG_ASIGNATURAS!$B$2:$J$91,9,FALSE()),""))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IF(DATOS!$A11411="",0,IF(CONFIG_METADATA!$B$4&lt;&gt;"OR+EX",--(DATOS!$G11411=CONFIG_METADATA!$B$4),IF(DATOS!$G11411="EX",1,IF(DATOS!$G11411="OR",--(COUNTIFS(nNIA,DATOS!$A11411,nCURSO,DATOS!$D11411,nESPEC,DATOS!$E11411,nASIG,DATOS!$I11411,nEVAL,"EX")=0),0))))</f>
      </c>
      <c r="H11411">
        <f>IF(DATOS!$G11411&lt;&gt;"EX",0,--(COUNTIFS(nNIA,DATOS!$A11411,nCURSO,DATOS!$D11411,nESPEC,DATOS!$E11411,nASIG,DATOS!$I11411,nEVAL,"OR")=0))</f>
      </c>
      <c r="I11411">
        <f>IF(DATOS!$I11411="","",IFERROR(VLOOKUP(DATOS!$I11411,CONFIG_ASIGNATURAS!$B$2:$J$91,9,FALSE()),""))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IF(DATOS!$A11412="",0,IF(CONFIG_METADATA!$B$4&lt;&gt;"OR+EX",--(DATOS!$G11412=CONFIG_METADATA!$B$4),IF(DATOS!$G11412="EX",1,IF(DATOS!$G11412="OR",--(COUNTIFS(nNIA,DATOS!$A11412,nCURSO,DATOS!$D11412,nESPEC,DATOS!$E11412,nASIG,DATOS!$I11412,nEVAL,"EX")=0),0))))</f>
      </c>
      <c r="H11412">
        <f>IF(DATOS!$G11412&lt;&gt;"EX",0,--(COUNTIFS(nNIA,DATOS!$A11412,nCURSO,DATOS!$D11412,nESPEC,DATOS!$E11412,nASIG,DATOS!$I11412,nEVAL,"OR")=0))</f>
      </c>
      <c r="I11412">
        <f>IF(DATOS!$I11412="","",IFERROR(VLOOKUP(DATOS!$I11412,CONFIG_ASIGNATURAS!$B$2:$J$91,9,FALSE()),""))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IF(DATOS!$A11413="",0,IF(CONFIG_METADATA!$B$4&lt;&gt;"OR+EX",--(DATOS!$G11413=CONFIG_METADATA!$B$4),IF(DATOS!$G11413="EX",1,IF(DATOS!$G11413="OR",--(COUNTIFS(nNIA,DATOS!$A11413,nCURSO,DATOS!$D11413,nESPEC,DATOS!$E11413,nASIG,DATOS!$I11413,nEVAL,"EX")=0),0))))</f>
      </c>
      <c r="H11413">
        <f>IF(DATOS!$G11413&lt;&gt;"EX",0,--(COUNTIFS(nNIA,DATOS!$A11413,nCURSO,DATOS!$D11413,nESPEC,DATOS!$E11413,nASIG,DATOS!$I11413,nEVAL,"OR")=0))</f>
      </c>
      <c r="I11413">
        <f>IF(DATOS!$I11413="","",IFERROR(VLOOKUP(DATOS!$I11413,CONFIG_ASIGNATURAS!$B$2:$J$91,9,FALSE()),""))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IF(DATOS!$A11414="",0,IF(CONFIG_METADATA!$B$4&lt;&gt;"OR+EX",--(DATOS!$G11414=CONFIG_METADATA!$B$4),IF(DATOS!$G11414="EX",1,IF(DATOS!$G11414="OR",--(COUNTIFS(nNIA,DATOS!$A11414,nCURSO,DATOS!$D11414,nESPEC,DATOS!$E11414,nASIG,DATOS!$I11414,nEVAL,"EX")=0),0))))</f>
      </c>
      <c r="H11414">
        <f>IF(DATOS!$G11414&lt;&gt;"EX",0,--(COUNTIFS(nNIA,DATOS!$A11414,nCURSO,DATOS!$D11414,nESPEC,DATOS!$E11414,nASIG,DATOS!$I11414,nEVAL,"OR")=0))</f>
      </c>
      <c r="I11414">
        <f>IF(DATOS!$I11414="","",IFERROR(VLOOKUP(DATOS!$I11414,CONFIG_ASIGNATURAS!$B$2:$J$91,9,FALSE()),""))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IF(DATOS!$A11415="",0,IF(CONFIG_METADATA!$B$4&lt;&gt;"OR+EX",--(DATOS!$G11415=CONFIG_METADATA!$B$4),IF(DATOS!$G11415="EX",1,IF(DATOS!$G11415="OR",--(COUNTIFS(nNIA,DATOS!$A11415,nCURSO,DATOS!$D11415,nESPEC,DATOS!$E11415,nASIG,DATOS!$I11415,nEVAL,"EX")=0),0))))</f>
      </c>
      <c r="H11415">
        <f>IF(DATOS!$G11415&lt;&gt;"EX",0,--(COUNTIFS(nNIA,DATOS!$A11415,nCURSO,DATOS!$D11415,nESPEC,DATOS!$E11415,nASIG,DATOS!$I11415,nEVAL,"OR")=0))</f>
      </c>
      <c r="I11415">
        <f>IF(DATOS!$I11415="","",IFERROR(VLOOKUP(DATOS!$I11415,CONFIG_ASIGNATURAS!$B$2:$J$91,9,FALSE()),""))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IF(DATOS!$A11416="",0,IF(CONFIG_METADATA!$B$4&lt;&gt;"OR+EX",--(DATOS!$G11416=CONFIG_METADATA!$B$4),IF(DATOS!$G11416="EX",1,IF(DATOS!$G11416="OR",--(COUNTIFS(nNIA,DATOS!$A11416,nCURSO,DATOS!$D11416,nESPEC,DATOS!$E11416,nASIG,DATOS!$I11416,nEVAL,"EX")=0),0))))</f>
      </c>
      <c r="H11416">
        <f>IF(DATOS!$G11416&lt;&gt;"EX",0,--(COUNTIFS(nNIA,DATOS!$A11416,nCURSO,DATOS!$D11416,nESPEC,DATOS!$E11416,nASIG,DATOS!$I11416,nEVAL,"OR")=0))</f>
      </c>
      <c r="I11416">
        <f>IF(DATOS!$I11416="","",IFERROR(VLOOKUP(DATOS!$I11416,CONFIG_ASIGNATURAS!$B$2:$J$91,9,FALSE()),""))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IF(DATOS!$A11417="",0,IF(CONFIG_METADATA!$B$4&lt;&gt;"OR+EX",--(DATOS!$G11417=CONFIG_METADATA!$B$4),IF(DATOS!$G11417="EX",1,IF(DATOS!$G11417="OR",--(COUNTIFS(nNIA,DATOS!$A11417,nCURSO,DATOS!$D11417,nESPEC,DATOS!$E11417,nASIG,DATOS!$I11417,nEVAL,"EX")=0),0))))</f>
      </c>
      <c r="H11417">
        <f>IF(DATOS!$G11417&lt;&gt;"EX",0,--(COUNTIFS(nNIA,DATOS!$A11417,nCURSO,DATOS!$D11417,nESPEC,DATOS!$E11417,nASIG,DATOS!$I11417,nEVAL,"OR")=0))</f>
      </c>
      <c r="I11417">
        <f>IF(DATOS!$I11417="","",IFERROR(VLOOKUP(DATOS!$I11417,CONFIG_ASIGNATURAS!$B$2:$J$91,9,FALSE()),""))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IF(DATOS!$A11418="",0,IF(CONFIG_METADATA!$B$4&lt;&gt;"OR+EX",--(DATOS!$G11418=CONFIG_METADATA!$B$4),IF(DATOS!$G11418="EX",1,IF(DATOS!$G11418="OR",--(COUNTIFS(nNIA,DATOS!$A11418,nCURSO,DATOS!$D11418,nESPEC,DATOS!$E11418,nASIG,DATOS!$I11418,nEVAL,"EX")=0),0))))</f>
      </c>
      <c r="H11418">
        <f>IF(DATOS!$G11418&lt;&gt;"EX",0,--(COUNTIFS(nNIA,DATOS!$A11418,nCURSO,DATOS!$D11418,nESPEC,DATOS!$E11418,nASIG,DATOS!$I11418,nEVAL,"OR")=0))</f>
      </c>
      <c r="I11418">
        <f>IF(DATOS!$I11418="","",IFERROR(VLOOKUP(DATOS!$I11418,CONFIG_ASIGNATURAS!$B$2:$J$91,9,FALSE()),""))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IF(DATOS!$A11419="",0,IF(CONFIG_METADATA!$B$4&lt;&gt;"OR+EX",--(DATOS!$G11419=CONFIG_METADATA!$B$4),IF(DATOS!$G11419="EX",1,IF(DATOS!$G11419="OR",--(COUNTIFS(nNIA,DATOS!$A11419,nCURSO,DATOS!$D11419,nESPEC,DATOS!$E11419,nASIG,DATOS!$I11419,nEVAL,"EX")=0),0))))</f>
      </c>
      <c r="H11419">
        <f>IF(DATOS!$G11419&lt;&gt;"EX",0,--(COUNTIFS(nNIA,DATOS!$A11419,nCURSO,DATOS!$D11419,nESPEC,DATOS!$E11419,nASIG,DATOS!$I11419,nEVAL,"OR")=0))</f>
      </c>
      <c r="I11419">
        <f>IF(DATOS!$I11419="","",IFERROR(VLOOKUP(DATOS!$I11419,CONFIG_ASIGNATURAS!$B$2:$J$91,9,FALSE()),""))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IF(DATOS!$A11420="",0,IF(CONFIG_METADATA!$B$4&lt;&gt;"OR+EX",--(DATOS!$G11420=CONFIG_METADATA!$B$4),IF(DATOS!$G11420="EX",1,IF(DATOS!$G11420="OR",--(COUNTIFS(nNIA,DATOS!$A11420,nCURSO,DATOS!$D11420,nESPEC,DATOS!$E11420,nASIG,DATOS!$I11420,nEVAL,"EX")=0),0))))</f>
      </c>
      <c r="H11420">
        <f>IF(DATOS!$G11420&lt;&gt;"EX",0,--(COUNTIFS(nNIA,DATOS!$A11420,nCURSO,DATOS!$D11420,nESPEC,DATOS!$E11420,nASIG,DATOS!$I11420,nEVAL,"OR")=0))</f>
      </c>
      <c r="I11420">
        <f>IF(DATOS!$I11420="","",IFERROR(VLOOKUP(DATOS!$I11420,CONFIG_ASIGNATURAS!$B$2:$J$91,9,FALSE()),""))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IF(DATOS!$A11421="",0,IF(CONFIG_METADATA!$B$4&lt;&gt;"OR+EX",--(DATOS!$G11421=CONFIG_METADATA!$B$4),IF(DATOS!$G11421="EX",1,IF(DATOS!$G11421="OR",--(COUNTIFS(nNIA,DATOS!$A11421,nCURSO,DATOS!$D11421,nESPEC,DATOS!$E11421,nASIG,DATOS!$I11421,nEVAL,"EX")=0),0))))</f>
      </c>
      <c r="H11421">
        <f>IF(DATOS!$G11421&lt;&gt;"EX",0,--(COUNTIFS(nNIA,DATOS!$A11421,nCURSO,DATOS!$D11421,nESPEC,DATOS!$E11421,nASIG,DATOS!$I11421,nEVAL,"OR")=0))</f>
      </c>
      <c r="I11421">
        <f>IF(DATOS!$I11421="","",IFERROR(VLOOKUP(DATOS!$I11421,CONFIG_ASIGNATURAS!$B$2:$J$91,9,FALSE()),""))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IF(DATOS!$A11422="",0,IF(CONFIG_METADATA!$B$4&lt;&gt;"OR+EX",--(DATOS!$G11422=CONFIG_METADATA!$B$4),IF(DATOS!$G11422="EX",1,IF(DATOS!$G11422="OR",--(COUNTIFS(nNIA,DATOS!$A11422,nCURSO,DATOS!$D11422,nESPEC,DATOS!$E11422,nASIG,DATOS!$I11422,nEVAL,"EX")=0),0))))</f>
      </c>
      <c r="H11422">
        <f>IF(DATOS!$G11422&lt;&gt;"EX",0,--(COUNTIFS(nNIA,DATOS!$A11422,nCURSO,DATOS!$D11422,nESPEC,DATOS!$E11422,nASIG,DATOS!$I11422,nEVAL,"OR")=0))</f>
      </c>
      <c r="I11422">
        <f>IF(DATOS!$I11422="","",IFERROR(VLOOKUP(DATOS!$I11422,CONFIG_ASIGNATURAS!$B$2:$J$91,9,FALSE()),""))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IF(DATOS!$A11423="",0,IF(CONFIG_METADATA!$B$4&lt;&gt;"OR+EX",--(DATOS!$G11423=CONFIG_METADATA!$B$4),IF(DATOS!$G11423="EX",1,IF(DATOS!$G11423="OR",--(COUNTIFS(nNIA,DATOS!$A11423,nCURSO,DATOS!$D11423,nESPEC,DATOS!$E11423,nASIG,DATOS!$I11423,nEVAL,"EX")=0),0))))</f>
      </c>
      <c r="H11423">
        <f>IF(DATOS!$G11423&lt;&gt;"EX",0,--(COUNTIFS(nNIA,DATOS!$A11423,nCURSO,DATOS!$D11423,nESPEC,DATOS!$E11423,nASIG,DATOS!$I11423,nEVAL,"OR")=0))</f>
      </c>
      <c r="I11423">
        <f>IF(DATOS!$I11423="","",IFERROR(VLOOKUP(DATOS!$I11423,CONFIG_ASIGNATURAS!$B$2:$J$91,9,FALSE()),""))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IF(DATOS!$A11424="",0,IF(CONFIG_METADATA!$B$4&lt;&gt;"OR+EX",--(DATOS!$G11424=CONFIG_METADATA!$B$4),IF(DATOS!$G11424="EX",1,IF(DATOS!$G11424="OR",--(COUNTIFS(nNIA,DATOS!$A11424,nCURSO,DATOS!$D11424,nESPEC,DATOS!$E11424,nASIG,DATOS!$I11424,nEVAL,"EX")=0),0))))</f>
      </c>
      <c r="H11424">
        <f>IF(DATOS!$G11424&lt;&gt;"EX",0,--(COUNTIFS(nNIA,DATOS!$A11424,nCURSO,DATOS!$D11424,nESPEC,DATOS!$E11424,nASIG,DATOS!$I11424,nEVAL,"OR")=0))</f>
      </c>
      <c r="I11424">
        <f>IF(DATOS!$I11424="","",IFERROR(VLOOKUP(DATOS!$I11424,CONFIG_ASIGNATURAS!$B$2:$J$91,9,FALSE()),""))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IF(DATOS!$A11425="",0,IF(CONFIG_METADATA!$B$4&lt;&gt;"OR+EX",--(DATOS!$G11425=CONFIG_METADATA!$B$4),IF(DATOS!$G11425="EX",1,IF(DATOS!$G11425="OR",--(COUNTIFS(nNIA,DATOS!$A11425,nCURSO,DATOS!$D11425,nESPEC,DATOS!$E11425,nASIG,DATOS!$I11425,nEVAL,"EX")=0),0))))</f>
      </c>
      <c r="H11425">
        <f>IF(DATOS!$G11425&lt;&gt;"EX",0,--(COUNTIFS(nNIA,DATOS!$A11425,nCURSO,DATOS!$D11425,nESPEC,DATOS!$E11425,nASIG,DATOS!$I11425,nEVAL,"OR")=0))</f>
      </c>
      <c r="I11425">
        <f>IF(DATOS!$I11425="","",IFERROR(VLOOKUP(DATOS!$I11425,CONFIG_ASIGNATURAS!$B$2:$J$91,9,FALSE()),""))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IF(DATOS!$A11426="",0,IF(CONFIG_METADATA!$B$4&lt;&gt;"OR+EX",--(DATOS!$G11426=CONFIG_METADATA!$B$4),IF(DATOS!$G11426="EX",1,IF(DATOS!$G11426="OR",--(COUNTIFS(nNIA,DATOS!$A11426,nCURSO,DATOS!$D11426,nESPEC,DATOS!$E11426,nASIG,DATOS!$I11426,nEVAL,"EX")=0),0))))</f>
      </c>
      <c r="H11426">
        <f>IF(DATOS!$G11426&lt;&gt;"EX",0,--(COUNTIFS(nNIA,DATOS!$A11426,nCURSO,DATOS!$D11426,nESPEC,DATOS!$E11426,nASIG,DATOS!$I11426,nEVAL,"OR")=0))</f>
      </c>
      <c r="I11426">
        <f>IF(DATOS!$I11426="","",IFERROR(VLOOKUP(DATOS!$I11426,CONFIG_ASIGNATURAS!$B$2:$J$91,9,FALSE()),""))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IF(DATOS!$A11427="",0,IF(CONFIG_METADATA!$B$4&lt;&gt;"OR+EX",--(DATOS!$G11427=CONFIG_METADATA!$B$4),IF(DATOS!$G11427="EX",1,IF(DATOS!$G11427="OR",--(COUNTIFS(nNIA,DATOS!$A11427,nCURSO,DATOS!$D11427,nESPEC,DATOS!$E11427,nASIG,DATOS!$I11427,nEVAL,"EX")=0),0))))</f>
      </c>
      <c r="H11427">
        <f>IF(DATOS!$G11427&lt;&gt;"EX",0,--(COUNTIFS(nNIA,DATOS!$A11427,nCURSO,DATOS!$D11427,nESPEC,DATOS!$E11427,nASIG,DATOS!$I11427,nEVAL,"OR")=0))</f>
      </c>
      <c r="I11427">
        <f>IF(DATOS!$I11427="","",IFERROR(VLOOKUP(DATOS!$I11427,CONFIG_ASIGNATURAS!$B$2:$J$91,9,FALSE()),""))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IF(DATOS!$A11428="",0,IF(CONFIG_METADATA!$B$4&lt;&gt;"OR+EX",--(DATOS!$G11428=CONFIG_METADATA!$B$4),IF(DATOS!$G11428="EX",1,IF(DATOS!$G11428="OR",--(COUNTIFS(nNIA,DATOS!$A11428,nCURSO,DATOS!$D11428,nESPEC,DATOS!$E11428,nASIG,DATOS!$I11428,nEVAL,"EX")=0),0))))</f>
      </c>
      <c r="H11428">
        <f>IF(DATOS!$G11428&lt;&gt;"EX",0,--(COUNTIFS(nNIA,DATOS!$A11428,nCURSO,DATOS!$D11428,nESPEC,DATOS!$E11428,nASIG,DATOS!$I11428,nEVAL,"OR")=0))</f>
      </c>
      <c r="I11428">
        <f>IF(DATOS!$I11428="","",IFERROR(VLOOKUP(DATOS!$I11428,CONFIG_ASIGNATURAS!$B$2:$J$91,9,FALSE()),""))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IF(DATOS!$A11429="",0,IF(CONFIG_METADATA!$B$4&lt;&gt;"OR+EX",--(DATOS!$G11429=CONFIG_METADATA!$B$4),IF(DATOS!$G11429="EX",1,IF(DATOS!$G11429="OR",--(COUNTIFS(nNIA,DATOS!$A11429,nCURSO,DATOS!$D11429,nESPEC,DATOS!$E11429,nASIG,DATOS!$I11429,nEVAL,"EX")=0),0))))</f>
      </c>
      <c r="H11429">
        <f>IF(DATOS!$G11429&lt;&gt;"EX",0,--(COUNTIFS(nNIA,DATOS!$A11429,nCURSO,DATOS!$D11429,nESPEC,DATOS!$E11429,nASIG,DATOS!$I11429,nEVAL,"OR")=0))</f>
      </c>
      <c r="I11429">
        <f>IF(DATOS!$I11429="","",IFERROR(VLOOKUP(DATOS!$I11429,CONFIG_ASIGNATURAS!$B$2:$J$91,9,FALSE()),""))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IF(DATOS!$A11430="",0,IF(CONFIG_METADATA!$B$4&lt;&gt;"OR+EX",--(DATOS!$G11430=CONFIG_METADATA!$B$4),IF(DATOS!$G11430="EX",1,IF(DATOS!$G11430="OR",--(COUNTIFS(nNIA,DATOS!$A11430,nCURSO,DATOS!$D11430,nESPEC,DATOS!$E11430,nASIG,DATOS!$I11430,nEVAL,"EX")=0),0))))</f>
      </c>
      <c r="H11430">
        <f>IF(DATOS!$G11430&lt;&gt;"EX",0,--(COUNTIFS(nNIA,DATOS!$A11430,nCURSO,DATOS!$D11430,nESPEC,DATOS!$E11430,nASIG,DATOS!$I11430,nEVAL,"OR")=0))</f>
      </c>
      <c r="I11430">
        <f>IF(DATOS!$I11430="","",IFERROR(VLOOKUP(DATOS!$I11430,CONFIG_ASIGNATURAS!$B$2:$J$91,9,FALSE()),""))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IF(DATOS!$A11431="",0,IF(CONFIG_METADATA!$B$4&lt;&gt;"OR+EX",--(DATOS!$G11431=CONFIG_METADATA!$B$4),IF(DATOS!$G11431="EX",1,IF(DATOS!$G11431="OR",--(COUNTIFS(nNIA,DATOS!$A11431,nCURSO,DATOS!$D11431,nESPEC,DATOS!$E11431,nASIG,DATOS!$I11431,nEVAL,"EX")=0),0))))</f>
      </c>
      <c r="H11431">
        <f>IF(DATOS!$G11431&lt;&gt;"EX",0,--(COUNTIFS(nNIA,DATOS!$A11431,nCURSO,DATOS!$D11431,nESPEC,DATOS!$E11431,nASIG,DATOS!$I11431,nEVAL,"OR")=0))</f>
      </c>
      <c r="I11431">
        <f>IF(DATOS!$I11431="","",IFERROR(VLOOKUP(DATOS!$I11431,CONFIG_ASIGNATURAS!$B$2:$J$91,9,FALSE()),""))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IF(DATOS!$A11432="",0,IF(CONFIG_METADATA!$B$4&lt;&gt;"OR+EX",--(DATOS!$G11432=CONFIG_METADATA!$B$4),IF(DATOS!$G11432="EX",1,IF(DATOS!$G11432="OR",--(COUNTIFS(nNIA,DATOS!$A11432,nCURSO,DATOS!$D11432,nESPEC,DATOS!$E11432,nASIG,DATOS!$I11432,nEVAL,"EX")=0),0))))</f>
      </c>
      <c r="H11432">
        <f>IF(DATOS!$G11432&lt;&gt;"EX",0,--(COUNTIFS(nNIA,DATOS!$A11432,nCURSO,DATOS!$D11432,nESPEC,DATOS!$E11432,nASIG,DATOS!$I11432,nEVAL,"OR")=0))</f>
      </c>
      <c r="I11432">
        <f>IF(DATOS!$I11432="","",IFERROR(VLOOKUP(DATOS!$I11432,CONFIG_ASIGNATURAS!$B$2:$J$91,9,FALSE()),""))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IF(DATOS!$A11433="",0,IF(CONFIG_METADATA!$B$4&lt;&gt;"OR+EX",--(DATOS!$G11433=CONFIG_METADATA!$B$4),IF(DATOS!$G11433="EX",1,IF(DATOS!$G11433="OR",--(COUNTIFS(nNIA,DATOS!$A11433,nCURSO,DATOS!$D11433,nESPEC,DATOS!$E11433,nASIG,DATOS!$I11433,nEVAL,"EX")=0),0))))</f>
      </c>
      <c r="H11433">
        <f>IF(DATOS!$G11433&lt;&gt;"EX",0,--(COUNTIFS(nNIA,DATOS!$A11433,nCURSO,DATOS!$D11433,nESPEC,DATOS!$E11433,nASIG,DATOS!$I11433,nEVAL,"OR")=0))</f>
      </c>
      <c r="I11433">
        <f>IF(DATOS!$I11433="","",IFERROR(VLOOKUP(DATOS!$I11433,CONFIG_ASIGNATURAS!$B$2:$J$91,9,FALSE()),""))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IF(DATOS!$A11434="",0,IF(CONFIG_METADATA!$B$4&lt;&gt;"OR+EX",--(DATOS!$G11434=CONFIG_METADATA!$B$4),IF(DATOS!$G11434="EX",1,IF(DATOS!$G11434="OR",--(COUNTIFS(nNIA,DATOS!$A11434,nCURSO,DATOS!$D11434,nESPEC,DATOS!$E11434,nASIG,DATOS!$I11434,nEVAL,"EX")=0),0))))</f>
      </c>
      <c r="H11434">
        <f>IF(DATOS!$G11434&lt;&gt;"EX",0,--(COUNTIFS(nNIA,DATOS!$A11434,nCURSO,DATOS!$D11434,nESPEC,DATOS!$E11434,nASIG,DATOS!$I11434,nEVAL,"OR")=0))</f>
      </c>
      <c r="I11434">
        <f>IF(DATOS!$I11434="","",IFERROR(VLOOKUP(DATOS!$I11434,CONFIG_ASIGNATURAS!$B$2:$J$91,9,FALSE()),""))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IF(DATOS!$A11435="",0,IF(CONFIG_METADATA!$B$4&lt;&gt;"OR+EX",--(DATOS!$G11435=CONFIG_METADATA!$B$4),IF(DATOS!$G11435="EX",1,IF(DATOS!$G11435="OR",--(COUNTIFS(nNIA,DATOS!$A11435,nCURSO,DATOS!$D11435,nESPEC,DATOS!$E11435,nASIG,DATOS!$I11435,nEVAL,"EX")=0),0))))</f>
      </c>
      <c r="H11435">
        <f>IF(DATOS!$G11435&lt;&gt;"EX",0,--(COUNTIFS(nNIA,DATOS!$A11435,nCURSO,DATOS!$D11435,nESPEC,DATOS!$E11435,nASIG,DATOS!$I11435,nEVAL,"OR")=0))</f>
      </c>
      <c r="I11435">
        <f>IF(DATOS!$I11435="","",IFERROR(VLOOKUP(DATOS!$I11435,CONFIG_ASIGNATURAS!$B$2:$J$91,9,FALSE()),""))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IF(DATOS!$A11436="",0,IF(CONFIG_METADATA!$B$4&lt;&gt;"OR+EX",--(DATOS!$G11436=CONFIG_METADATA!$B$4),IF(DATOS!$G11436="EX",1,IF(DATOS!$G11436="OR",--(COUNTIFS(nNIA,DATOS!$A11436,nCURSO,DATOS!$D11436,nESPEC,DATOS!$E11436,nASIG,DATOS!$I11436,nEVAL,"EX")=0),0))))</f>
      </c>
      <c r="H11436">
        <f>IF(DATOS!$G11436&lt;&gt;"EX",0,--(COUNTIFS(nNIA,DATOS!$A11436,nCURSO,DATOS!$D11436,nESPEC,DATOS!$E11436,nASIG,DATOS!$I11436,nEVAL,"OR")=0))</f>
      </c>
      <c r="I11436">
        <f>IF(DATOS!$I11436="","",IFERROR(VLOOKUP(DATOS!$I11436,CONFIG_ASIGNATURAS!$B$2:$J$91,9,FALSE()),""))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IF(DATOS!$A11437="",0,IF(CONFIG_METADATA!$B$4&lt;&gt;"OR+EX",--(DATOS!$G11437=CONFIG_METADATA!$B$4),IF(DATOS!$G11437="EX",1,IF(DATOS!$G11437="OR",--(COUNTIFS(nNIA,DATOS!$A11437,nCURSO,DATOS!$D11437,nESPEC,DATOS!$E11437,nASIG,DATOS!$I11437,nEVAL,"EX")=0),0))))</f>
      </c>
      <c r="H11437">
        <f>IF(DATOS!$G11437&lt;&gt;"EX",0,--(COUNTIFS(nNIA,DATOS!$A11437,nCURSO,DATOS!$D11437,nESPEC,DATOS!$E11437,nASIG,DATOS!$I11437,nEVAL,"OR")=0))</f>
      </c>
      <c r="I11437">
        <f>IF(DATOS!$I11437="","",IFERROR(VLOOKUP(DATOS!$I11437,CONFIG_ASIGNATURAS!$B$2:$J$91,9,FALSE()),""))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IF(DATOS!$A11438="",0,IF(CONFIG_METADATA!$B$4&lt;&gt;"OR+EX",--(DATOS!$G11438=CONFIG_METADATA!$B$4),IF(DATOS!$G11438="EX",1,IF(DATOS!$G11438="OR",--(COUNTIFS(nNIA,DATOS!$A11438,nCURSO,DATOS!$D11438,nESPEC,DATOS!$E11438,nASIG,DATOS!$I11438,nEVAL,"EX")=0),0))))</f>
      </c>
      <c r="H11438">
        <f>IF(DATOS!$G11438&lt;&gt;"EX",0,--(COUNTIFS(nNIA,DATOS!$A11438,nCURSO,DATOS!$D11438,nESPEC,DATOS!$E11438,nASIG,DATOS!$I11438,nEVAL,"OR")=0))</f>
      </c>
      <c r="I11438">
        <f>IF(DATOS!$I11438="","",IFERROR(VLOOKUP(DATOS!$I11438,CONFIG_ASIGNATURAS!$B$2:$J$91,9,FALSE()),""))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IF(DATOS!$A11439="",0,IF(CONFIG_METADATA!$B$4&lt;&gt;"OR+EX",--(DATOS!$G11439=CONFIG_METADATA!$B$4),IF(DATOS!$G11439="EX",1,IF(DATOS!$G11439="OR",--(COUNTIFS(nNIA,DATOS!$A11439,nCURSO,DATOS!$D11439,nESPEC,DATOS!$E11439,nASIG,DATOS!$I11439,nEVAL,"EX")=0),0))))</f>
      </c>
      <c r="H11439">
        <f>IF(DATOS!$G11439&lt;&gt;"EX",0,--(COUNTIFS(nNIA,DATOS!$A11439,nCURSO,DATOS!$D11439,nESPEC,DATOS!$E11439,nASIG,DATOS!$I11439,nEVAL,"OR")=0))</f>
      </c>
      <c r="I11439">
        <f>IF(DATOS!$I11439="","",IFERROR(VLOOKUP(DATOS!$I11439,CONFIG_ASIGNATURAS!$B$2:$J$91,9,FALSE()),""))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IF(DATOS!$A11440="",0,IF(CONFIG_METADATA!$B$4&lt;&gt;"OR+EX",--(DATOS!$G11440=CONFIG_METADATA!$B$4),IF(DATOS!$G11440="EX",1,IF(DATOS!$G11440="OR",--(COUNTIFS(nNIA,DATOS!$A11440,nCURSO,DATOS!$D11440,nESPEC,DATOS!$E11440,nASIG,DATOS!$I11440,nEVAL,"EX")=0),0))))</f>
      </c>
      <c r="H11440">
        <f>IF(DATOS!$G11440&lt;&gt;"EX",0,--(COUNTIFS(nNIA,DATOS!$A11440,nCURSO,DATOS!$D11440,nESPEC,DATOS!$E11440,nASIG,DATOS!$I11440,nEVAL,"OR")=0))</f>
      </c>
      <c r="I11440">
        <f>IF(DATOS!$I11440="","",IFERROR(VLOOKUP(DATOS!$I11440,CONFIG_ASIGNATURAS!$B$2:$J$91,9,FALSE()),""))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IF(DATOS!$A11441="",0,IF(CONFIG_METADATA!$B$4&lt;&gt;"OR+EX",--(DATOS!$G11441=CONFIG_METADATA!$B$4),IF(DATOS!$G11441="EX",1,IF(DATOS!$G11441="OR",--(COUNTIFS(nNIA,DATOS!$A11441,nCURSO,DATOS!$D11441,nESPEC,DATOS!$E11441,nASIG,DATOS!$I11441,nEVAL,"EX")=0),0))))</f>
      </c>
      <c r="H11441">
        <f>IF(DATOS!$G11441&lt;&gt;"EX",0,--(COUNTIFS(nNIA,DATOS!$A11441,nCURSO,DATOS!$D11441,nESPEC,DATOS!$E11441,nASIG,DATOS!$I11441,nEVAL,"OR")=0))</f>
      </c>
      <c r="I11441">
        <f>IF(DATOS!$I11441="","",IFERROR(VLOOKUP(DATOS!$I11441,CONFIG_ASIGNATURAS!$B$2:$J$91,9,FALSE()),""))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IF(DATOS!$A11442="",0,IF(CONFIG_METADATA!$B$4&lt;&gt;"OR+EX",--(DATOS!$G11442=CONFIG_METADATA!$B$4),IF(DATOS!$G11442="EX",1,IF(DATOS!$G11442="OR",--(COUNTIFS(nNIA,DATOS!$A11442,nCURSO,DATOS!$D11442,nESPEC,DATOS!$E11442,nASIG,DATOS!$I11442,nEVAL,"EX")=0),0))))</f>
      </c>
      <c r="H11442">
        <f>IF(DATOS!$G11442&lt;&gt;"EX",0,--(COUNTIFS(nNIA,DATOS!$A11442,nCURSO,DATOS!$D11442,nESPEC,DATOS!$E11442,nASIG,DATOS!$I11442,nEVAL,"OR")=0))</f>
      </c>
      <c r="I11442">
        <f>IF(DATOS!$I11442="","",IFERROR(VLOOKUP(DATOS!$I11442,CONFIG_ASIGNATURAS!$B$2:$J$91,9,FALSE()),""))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IF(DATOS!$A11443="",0,IF(CONFIG_METADATA!$B$4&lt;&gt;"OR+EX",--(DATOS!$G11443=CONFIG_METADATA!$B$4),IF(DATOS!$G11443="EX",1,IF(DATOS!$G11443="OR",--(COUNTIFS(nNIA,DATOS!$A11443,nCURSO,DATOS!$D11443,nESPEC,DATOS!$E11443,nASIG,DATOS!$I11443,nEVAL,"EX")=0),0))))</f>
      </c>
      <c r="H11443">
        <f>IF(DATOS!$G11443&lt;&gt;"EX",0,--(COUNTIFS(nNIA,DATOS!$A11443,nCURSO,DATOS!$D11443,nESPEC,DATOS!$E11443,nASIG,DATOS!$I11443,nEVAL,"OR")=0))</f>
      </c>
      <c r="I11443">
        <f>IF(DATOS!$I11443="","",IFERROR(VLOOKUP(DATOS!$I11443,CONFIG_ASIGNATURAS!$B$2:$J$91,9,FALSE()),""))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IF(DATOS!$A11444="",0,IF(CONFIG_METADATA!$B$4&lt;&gt;"OR+EX",--(DATOS!$G11444=CONFIG_METADATA!$B$4),IF(DATOS!$G11444="EX",1,IF(DATOS!$G11444="OR",--(COUNTIFS(nNIA,DATOS!$A11444,nCURSO,DATOS!$D11444,nESPEC,DATOS!$E11444,nASIG,DATOS!$I11444,nEVAL,"EX")=0),0))))</f>
      </c>
      <c r="H11444">
        <f>IF(DATOS!$G11444&lt;&gt;"EX",0,--(COUNTIFS(nNIA,DATOS!$A11444,nCURSO,DATOS!$D11444,nESPEC,DATOS!$E11444,nASIG,DATOS!$I11444,nEVAL,"OR")=0))</f>
      </c>
      <c r="I11444">
        <f>IF(DATOS!$I11444="","",IFERROR(VLOOKUP(DATOS!$I11444,CONFIG_ASIGNATURAS!$B$2:$J$91,9,FALSE()),""))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IF(DATOS!$A11445="",0,IF(CONFIG_METADATA!$B$4&lt;&gt;"OR+EX",--(DATOS!$G11445=CONFIG_METADATA!$B$4),IF(DATOS!$G11445="EX",1,IF(DATOS!$G11445="OR",--(COUNTIFS(nNIA,DATOS!$A11445,nCURSO,DATOS!$D11445,nESPEC,DATOS!$E11445,nASIG,DATOS!$I11445,nEVAL,"EX")=0),0))))</f>
      </c>
      <c r="H11445">
        <f>IF(DATOS!$G11445&lt;&gt;"EX",0,--(COUNTIFS(nNIA,DATOS!$A11445,nCURSO,DATOS!$D11445,nESPEC,DATOS!$E11445,nASIG,DATOS!$I11445,nEVAL,"OR")=0))</f>
      </c>
      <c r="I11445">
        <f>IF(DATOS!$I11445="","",IFERROR(VLOOKUP(DATOS!$I11445,CONFIG_ASIGNATURAS!$B$2:$J$91,9,FALSE()),""))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IF(DATOS!$A11446="",0,IF(CONFIG_METADATA!$B$4&lt;&gt;"OR+EX",--(DATOS!$G11446=CONFIG_METADATA!$B$4),IF(DATOS!$G11446="EX",1,IF(DATOS!$G11446="OR",--(COUNTIFS(nNIA,DATOS!$A11446,nCURSO,DATOS!$D11446,nESPEC,DATOS!$E11446,nASIG,DATOS!$I11446,nEVAL,"EX")=0),0))))</f>
      </c>
      <c r="H11446">
        <f>IF(DATOS!$G11446&lt;&gt;"EX",0,--(COUNTIFS(nNIA,DATOS!$A11446,nCURSO,DATOS!$D11446,nESPEC,DATOS!$E11446,nASIG,DATOS!$I11446,nEVAL,"OR")=0))</f>
      </c>
      <c r="I11446">
        <f>IF(DATOS!$I11446="","",IFERROR(VLOOKUP(DATOS!$I11446,CONFIG_ASIGNATURAS!$B$2:$J$91,9,FALSE()),""))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IF(DATOS!$A11447="",0,IF(CONFIG_METADATA!$B$4&lt;&gt;"OR+EX",--(DATOS!$G11447=CONFIG_METADATA!$B$4),IF(DATOS!$G11447="EX",1,IF(DATOS!$G11447="OR",--(COUNTIFS(nNIA,DATOS!$A11447,nCURSO,DATOS!$D11447,nESPEC,DATOS!$E11447,nASIG,DATOS!$I11447,nEVAL,"EX")=0),0))))</f>
      </c>
      <c r="H11447">
        <f>IF(DATOS!$G11447&lt;&gt;"EX",0,--(COUNTIFS(nNIA,DATOS!$A11447,nCURSO,DATOS!$D11447,nESPEC,DATOS!$E11447,nASIG,DATOS!$I11447,nEVAL,"OR")=0))</f>
      </c>
      <c r="I11447">
        <f>IF(DATOS!$I11447="","",IFERROR(VLOOKUP(DATOS!$I11447,CONFIG_ASIGNATURAS!$B$2:$J$91,9,FALSE()),""))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IF(DATOS!$A11448="",0,IF(CONFIG_METADATA!$B$4&lt;&gt;"OR+EX",--(DATOS!$G11448=CONFIG_METADATA!$B$4),IF(DATOS!$G11448="EX",1,IF(DATOS!$G11448="OR",--(COUNTIFS(nNIA,DATOS!$A11448,nCURSO,DATOS!$D11448,nESPEC,DATOS!$E11448,nASIG,DATOS!$I11448,nEVAL,"EX")=0),0))))</f>
      </c>
      <c r="H11448">
        <f>IF(DATOS!$G11448&lt;&gt;"EX",0,--(COUNTIFS(nNIA,DATOS!$A11448,nCURSO,DATOS!$D11448,nESPEC,DATOS!$E11448,nASIG,DATOS!$I11448,nEVAL,"OR")=0))</f>
      </c>
      <c r="I11448">
        <f>IF(DATOS!$I11448="","",IFERROR(VLOOKUP(DATOS!$I11448,CONFIG_ASIGNATURAS!$B$2:$J$91,9,FALSE()),""))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IF(DATOS!$A11449="",0,IF(CONFIG_METADATA!$B$4&lt;&gt;"OR+EX",--(DATOS!$G11449=CONFIG_METADATA!$B$4),IF(DATOS!$G11449="EX",1,IF(DATOS!$G11449="OR",--(COUNTIFS(nNIA,DATOS!$A11449,nCURSO,DATOS!$D11449,nESPEC,DATOS!$E11449,nASIG,DATOS!$I11449,nEVAL,"EX")=0),0))))</f>
      </c>
      <c r="H11449">
        <f>IF(DATOS!$G11449&lt;&gt;"EX",0,--(COUNTIFS(nNIA,DATOS!$A11449,nCURSO,DATOS!$D11449,nESPEC,DATOS!$E11449,nASIG,DATOS!$I11449,nEVAL,"OR")=0))</f>
      </c>
      <c r="I11449">
        <f>IF(DATOS!$I11449="","",IFERROR(VLOOKUP(DATOS!$I11449,CONFIG_ASIGNATURAS!$B$2:$J$91,9,FALSE()),""))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IF(DATOS!$A11450="",0,IF(CONFIG_METADATA!$B$4&lt;&gt;"OR+EX",--(DATOS!$G11450=CONFIG_METADATA!$B$4),IF(DATOS!$G11450="EX",1,IF(DATOS!$G11450="OR",--(COUNTIFS(nNIA,DATOS!$A11450,nCURSO,DATOS!$D11450,nESPEC,DATOS!$E11450,nASIG,DATOS!$I11450,nEVAL,"EX")=0),0))))</f>
      </c>
      <c r="H11450">
        <f>IF(DATOS!$G11450&lt;&gt;"EX",0,--(COUNTIFS(nNIA,DATOS!$A11450,nCURSO,DATOS!$D11450,nESPEC,DATOS!$E11450,nASIG,DATOS!$I11450,nEVAL,"OR")=0))</f>
      </c>
      <c r="I11450">
        <f>IF(DATOS!$I11450="","",IFERROR(VLOOKUP(DATOS!$I11450,CONFIG_ASIGNATURAS!$B$2:$J$91,9,FALSE()),""))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IF(DATOS!$A11451="",0,IF(CONFIG_METADATA!$B$4&lt;&gt;"OR+EX",--(DATOS!$G11451=CONFIG_METADATA!$B$4),IF(DATOS!$G11451="EX",1,IF(DATOS!$G11451="OR",--(COUNTIFS(nNIA,DATOS!$A11451,nCURSO,DATOS!$D11451,nESPEC,DATOS!$E11451,nASIG,DATOS!$I11451,nEVAL,"EX")=0),0))))</f>
      </c>
      <c r="H11451">
        <f>IF(DATOS!$G11451&lt;&gt;"EX",0,--(COUNTIFS(nNIA,DATOS!$A11451,nCURSO,DATOS!$D11451,nESPEC,DATOS!$E11451,nASIG,DATOS!$I11451,nEVAL,"OR")=0))</f>
      </c>
      <c r="I11451">
        <f>IF(DATOS!$I11451="","",IFERROR(VLOOKUP(DATOS!$I11451,CONFIG_ASIGNATURAS!$B$2:$J$91,9,FALSE()),""))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IF(DATOS!$A11452="",0,IF(CONFIG_METADATA!$B$4&lt;&gt;"OR+EX",--(DATOS!$G11452=CONFIG_METADATA!$B$4),IF(DATOS!$G11452="EX",1,IF(DATOS!$G11452="OR",--(COUNTIFS(nNIA,DATOS!$A11452,nCURSO,DATOS!$D11452,nESPEC,DATOS!$E11452,nASIG,DATOS!$I11452,nEVAL,"EX")=0),0))))</f>
      </c>
      <c r="H11452">
        <f>IF(DATOS!$G11452&lt;&gt;"EX",0,--(COUNTIFS(nNIA,DATOS!$A11452,nCURSO,DATOS!$D11452,nESPEC,DATOS!$E11452,nASIG,DATOS!$I11452,nEVAL,"OR")=0))</f>
      </c>
      <c r="I11452">
        <f>IF(DATOS!$I11452="","",IFERROR(VLOOKUP(DATOS!$I11452,CONFIG_ASIGNATURAS!$B$2:$J$91,9,FALSE()),""))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IF(DATOS!$A11453="",0,IF(CONFIG_METADATA!$B$4&lt;&gt;"OR+EX",--(DATOS!$G11453=CONFIG_METADATA!$B$4),IF(DATOS!$G11453="EX",1,IF(DATOS!$G11453="OR",--(COUNTIFS(nNIA,DATOS!$A11453,nCURSO,DATOS!$D11453,nESPEC,DATOS!$E11453,nASIG,DATOS!$I11453,nEVAL,"EX")=0),0))))</f>
      </c>
      <c r="H11453">
        <f>IF(DATOS!$G11453&lt;&gt;"EX",0,--(COUNTIFS(nNIA,DATOS!$A11453,nCURSO,DATOS!$D11453,nESPEC,DATOS!$E11453,nASIG,DATOS!$I11453,nEVAL,"OR")=0))</f>
      </c>
      <c r="I11453">
        <f>IF(DATOS!$I11453="","",IFERROR(VLOOKUP(DATOS!$I11453,CONFIG_ASIGNATURAS!$B$2:$J$91,9,FALSE()),""))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IF(DATOS!$A11454="",0,IF(CONFIG_METADATA!$B$4&lt;&gt;"OR+EX",--(DATOS!$G11454=CONFIG_METADATA!$B$4),IF(DATOS!$G11454="EX",1,IF(DATOS!$G11454="OR",--(COUNTIFS(nNIA,DATOS!$A11454,nCURSO,DATOS!$D11454,nESPEC,DATOS!$E11454,nASIG,DATOS!$I11454,nEVAL,"EX")=0),0))))</f>
      </c>
      <c r="H11454">
        <f>IF(DATOS!$G11454&lt;&gt;"EX",0,--(COUNTIFS(nNIA,DATOS!$A11454,nCURSO,DATOS!$D11454,nESPEC,DATOS!$E11454,nASIG,DATOS!$I11454,nEVAL,"OR")=0))</f>
      </c>
      <c r="I11454">
        <f>IF(DATOS!$I11454="","",IFERROR(VLOOKUP(DATOS!$I11454,CONFIG_ASIGNATURAS!$B$2:$J$91,9,FALSE()),""))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IF(DATOS!$A11455="",0,IF(CONFIG_METADATA!$B$4&lt;&gt;"OR+EX",--(DATOS!$G11455=CONFIG_METADATA!$B$4),IF(DATOS!$G11455="EX",1,IF(DATOS!$G11455="OR",--(COUNTIFS(nNIA,DATOS!$A11455,nCURSO,DATOS!$D11455,nESPEC,DATOS!$E11455,nASIG,DATOS!$I11455,nEVAL,"EX")=0),0))))</f>
      </c>
      <c r="H11455">
        <f>IF(DATOS!$G11455&lt;&gt;"EX",0,--(COUNTIFS(nNIA,DATOS!$A11455,nCURSO,DATOS!$D11455,nESPEC,DATOS!$E11455,nASIG,DATOS!$I11455,nEVAL,"OR")=0))</f>
      </c>
      <c r="I11455">
        <f>IF(DATOS!$I11455="","",IFERROR(VLOOKUP(DATOS!$I11455,CONFIG_ASIGNATURAS!$B$2:$J$91,9,FALSE()),""))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IF(DATOS!$A11456="",0,IF(CONFIG_METADATA!$B$4&lt;&gt;"OR+EX",--(DATOS!$G11456=CONFIG_METADATA!$B$4),IF(DATOS!$G11456="EX",1,IF(DATOS!$G11456="OR",--(COUNTIFS(nNIA,DATOS!$A11456,nCURSO,DATOS!$D11456,nESPEC,DATOS!$E11456,nASIG,DATOS!$I11456,nEVAL,"EX")=0),0))))</f>
      </c>
      <c r="H11456">
        <f>IF(DATOS!$G11456&lt;&gt;"EX",0,--(COUNTIFS(nNIA,DATOS!$A11456,nCURSO,DATOS!$D11456,nESPEC,DATOS!$E11456,nASIG,DATOS!$I11456,nEVAL,"OR")=0))</f>
      </c>
      <c r="I11456">
        <f>IF(DATOS!$I11456="","",IFERROR(VLOOKUP(DATOS!$I11456,CONFIG_ASIGNATURAS!$B$2:$J$91,9,FALSE()),""))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IF(DATOS!$A11457="",0,IF(CONFIG_METADATA!$B$4&lt;&gt;"OR+EX",--(DATOS!$G11457=CONFIG_METADATA!$B$4),IF(DATOS!$G11457="EX",1,IF(DATOS!$G11457="OR",--(COUNTIFS(nNIA,DATOS!$A11457,nCURSO,DATOS!$D11457,nESPEC,DATOS!$E11457,nASIG,DATOS!$I11457,nEVAL,"EX")=0),0))))</f>
      </c>
      <c r="H11457">
        <f>IF(DATOS!$G11457&lt;&gt;"EX",0,--(COUNTIFS(nNIA,DATOS!$A11457,nCURSO,DATOS!$D11457,nESPEC,DATOS!$E11457,nASIG,DATOS!$I11457,nEVAL,"OR")=0))</f>
      </c>
      <c r="I11457">
        <f>IF(DATOS!$I11457="","",IFERROR(VLOOKUP(DATOS!$I11457,CONFIG_ASIGNATURAS!$B$2:$J$91,9,FALSE()),""))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IF(DATOS!$A11458="",0,IF(CONFIG_METADATA!$B$4&lt;&gt;"OR+EX",--(DATOS!$G11458=CONFIG_METADATA!$B$4),IF(DATOS!$G11458="EX",1,IF(DATOS!$G11458="OR",--(COUNTIFS(nNIA,DATOS!$A11458,nCURSO,DATOS!$D11458,nESPEC,DATOS!$E11458,nASIG,DATOS!$I11458,nEVAL,"EX")=0),0))))</f>
      </c>
      <c r="H11458">
        <f>IF(DATOS!$G11458&lt;&gt;"EX",0,--(COUNTIFS(nNIA,DATOS!$A11458,nCURSO,DATOS!$D11458,nESPEC,DATOS!$E11458,nASIG,DATOS!$I11458,nEVAL,"OR")=0))</f>
      </c>
      <c r="I11458">
        <f>IF(DATOS!$I11458="","",IFERROR(VLOOKUP(DATOS!$I11458,CONFIG_ASIGNATURAS!$B$2:$J$91,9,FALSE()),""))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IF(DATOS!$A11459="",0,IF(CONFIG_METADATA!$B$4&lt;&gt;"OR+EX",--(DATOS!$G11459=CONFIG_METADATA!$B$4),IF(DATOS!$G11459="EX",1,IF(DATOS!$G11459="OR",--(COUNTIFS(nNIA,DATOS!$A11459,nCURSO,DATOS!$D11459,nESPEC,DATOS!$E11459,nASIG,DATOS!$I11459,nEVAL,"EX")=0),0))))</f>
      </c>
      <c r="H11459">
        <f>IF(DATOS!$G11459&lt;&gt;"EX",0,--(COUNTIFS(nNIA,DATOS!$A11459,nCURSO,DATOS!$D11459,nESPEC,DATOS!$E11459,nASIG,DATOS!$I11459,nEVAL,"OR")=0))</f>
      </c>
      <c r="I11459">
        <f>IF(DATOS!$I11459="","",IFERROR(VLOOKUP(DATOS!$I11459,CONFIG_ASIGNATURAS!$B$2:$J$91,9,FALSE()),""))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IF(DATOS!$A11460="",0,IF(CONFIG_METADATA!$B$4&lt;&gt;"OR+EX",--(DATOS!$G11460=CONFIG_METADATA!$B$4),IF(DATOS!$G11460="EX",1,IF(DATOS!$G11460="OR",--(COUNTIFS(nNIA,DATOS!$A11460,nCURSO,DATOS!$D11460,nESPEC,DATOS!$E11460,nASIG,DATOS!$I11460,nEVAL,"EX")=0),0))))</f>
      </c>
      <c r="H11460">
        <f>IF(DATOS!$G11460&lt;&gt;"EX",0,--(COUNTIFS(nNIA,DATOS!$A11460,nCURSO,DATOS!$D11460,nESPEC,DATOS!$E11460,nASIG,DATOS!$I11460,nEVAL,"OR")=0))</f>
      </c>
      <c r="I11460">
        <f>IF(DATOS!$I11460="","",IFERROR(VLOOKUP(DATOS!$I11460,CONFIG_ASIGNATURAS!$B$2:$J$91,9,FALSE()),""))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IF(DATOS!$A11461="",0,IF(CONFIG_METADATA!$B$4&lt;&gt;"OR+EX",--(DATOS!$G11461=CONFIG_METADATA!$B$4),IF(DATOS!$G11461="EX",1,IF(DATOS!$G11461="OR",--(COUNTIFS(nNIA,DATOS!$A11461,nCURSO,DATOS!$D11461,nESPEC,DATOS!$E11461,nASIG,DATOS!$I11461,nEVAL,"EX")=0),0))))</f>
      </c>
      <c r="H11461">
        <f>IF(DATOS!$G11461&lt;&gt;"EX",0,--(COUNTIFS(nNIA,DATOS!$A11461,nCURSO,DATOS!$D11461,nESPEC,DATOS!$E11461,nASIG,DATOS!$I11461,nEVAL,"OR")=0))</f>
      </c>
      <c r="I11461">
        <f>IF(DATOS!$I11461="","",IFERROR(VLOOKUP(DATOS!$I11461,CONFIG_ASIGNATURAS!$B$2:$J$91,9,FALSE()),""))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IF(DATOS!$A11462="",0,IF(CONFIG_METADATA!$B$4&lt;&gt;"OR+EX",--(DATOS!$G11462=CONFIG_METADATA!$B$4),IF(DATOS!$G11462="EX",1,IF(DATOS!$G11462="OR",--(COUNTIFS(nNIA,DATOS!$A11462,nCURSO,DATOS!$D11462,nESPEC,DATOS!$E11462,nASIG,DATOS!$I11462,nEVAL,"EX")=0),0))))</f>
      </c>
      <c r="H11462">
        <f>IF(DATOS!$G11462&lt;&gt;"EX",0,--(COUNTIFS(nNIA,DATOS!$A11462,nCURSO,DATOS!$D11462,nESPEC,DATOS!$E11462,nASIG,DATOS!$I11462,nEVAL,"OR")=0))</f>
      </c>
      <c r="I11462">
        <f>IF(DATOS!$I11462="","",IFERROR(VLOOKUP(DATOS!$I11462,CONFIG_ASIGNATURAS!$B$2:$J$91,9,FALSE()),""))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IF(DATOS!$A11463="",0,IF(CONFIG_METADATA!$B$4&lt;&gt;"OR+EX",--(DATOS!$G11463=CONFIG_METADATA!$B$4),IF(DATOS!$G11463="EX",1,IF(DATOS!$G11463="OR",--(COUNTIFS(nNIA,DATOS!$A11463,nCURSO,DATOS!$D11463,nESPEC,DATOS!$E11463,nASIG,DATOS!$I11463,nEVAL,"EX")=0),0))))</f>
      </c>
      <c r="H11463">
        <f>IF(DATOS!$G11463&lt;&gt;"EX",0,--(COUNTIFS(nNIA,DATOS!$A11463,nCURSO,DATOS!$D11463,nESPEC,DATOS!$E11463,nASIG,DATOS!$I11463,nEVAL,"OR")=0))</f>
      </c>
      <c r="I11463">
        <f>IF(DATOS!$I11463="","",IFERROR(VLOOKUP(DATOS!$I11463,CONFIG_ASIGNATURAS!$B$2:$J$91,9,FALSE()),""))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IF(DATOS!$A11464="",0,IF(CONFIG_METADATA!$B$4&lt;&gt;"OR+EX",--(DATOS!$G11464=CONFIG_METADATA!$B$4),IF(DATOS!$G11464="EX",1,IF(DATOS!$G11464="OR",--(COUNTIFS(nNIA,DATOS!$A11464,nCURSO,DATOS!$D11464,nESPEC,DATOS!$E11464,nASIG,DATOS!$I11464,nEVAL,"EX")=0),0))))</f>
      </c>
      <c r="H11464">
        <f>IF(DATOS!$G11464&lt;&gt;"EX",0,--(COUNTIFS(nNIA,DATOS!$A11464,nCURSO,DATOS!$D11464,nESPEC,DATOS!$E11464,nASIG,DATOS!$I11464,nEVAL,"OR")=0))</f>
      </c>
      <c r="I11464">
        <f>IF(DATOS!$I11464="","",IFERROR(VLOOKUP(DATOS!$I11464,CONFIG_ASIGNATURAS!$B$2:$J$91,9,FALSE()),""))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IF(DATOS!$A11465="",0,IF(CONFIG_METADATA!$B$4&lt;&gt;"OR+EX",--(DATOS!$G11465=CONFIG_METADATA!$B$4),IF(DATOS!$G11465="EX",1,IF(DATOS!$G11465="OR",--(COUNTIFS(nNIA,DATOS!$A11465,nCURSO,DATOS!$D11465,nESPEC,DATOS!$E11465,nASIG,DATOS!$I11465,nEVAL,"EX")=0),0))))</f>
      </c>
      <c r="H11465">
        <f>IF(DATOS!$G11465&lt;&gt;"EX",0,--(COUNTIFS(nNIA,DATOS!$A11465,nCURSO,DATOS!$D11465,nESPEC,DATOS!$E11465,nASIG,DATOS!$I11465,nEVAL,"OR")=0))</f>
      </c>
      <c r="I11465">
        <f>IF(DATOS!$I11465="","",IFERROR(VLOOKUP(DATOS!$I11465,CONFIG_ASIGNATURAS!$B$2:$J$91,9,FALSE()),""))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IF(DATOS!$A11466="",0,IF(CONFIG_METADATA!$B$4&lt;&gt;"OR+EX",--(DATOS!$G11466=CONFIG_METADATA!$B$4),IF(DATOS!$G11466="EX",1,IF(DATOS!$G11466="OR",--(COUNTIFS(nNIA,DATOS!$A11466,nCURSO,DATOS!$D11466,nESPEC,DATOS!$E11466,nASIG,DATOS!$I11466,nEVAL,"EX")=0),0))))</f>
      </c>
      <c r="H11466">
        <f>IF(DATOS!$G11466&lt;&gt;"EX",0,--(COUNTIFS(nNIA,DATOS!$A11466,nCURSO,DATOS!$D11466,nESPEC,DATOS!$E11466,nASIG,DATOS!$I11466,nEVAL,"OR")=0))</f>
      </c>
      <c r="I11466">
        <f>IF(DATOS!$I11466="","",IFERROR(VLOOKUP(DATOS!$I11466,CONFIG_ASIGNATURAS!$B$2:$J$91,9,FALSE()),""))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IF(DATOS!$A11467="",0,IF(CONFIG_METADATA!$B$4&lt;&gt;"OR+EX",--(DATOS!$G11467=CONFIG_METADATA!$B$4),IF(DATOS!$G11467="EX",1,IF(DATOS!$G11467="OR",--(COUNTIFS(nNIA,DATOS!$A11467,nCURSO,DATOS!$D11467,nESPEC,DATOS!$E11467,nASIG,DATOS!$I11467,nEVAL,"EX")=0),0))))</f>
      </c>
      <c r="H11467">
        <f>IF(DATOS!$G11467&lt;&gt;"EX",0,--(COUNTIFS(nNIA,DATOS!$A11467,nCURSO,DATOS!$D11467,nESPEC,DATOS!$E11467,nASIG,DATOS!$I11467,nEVAL,"OR")=0))</f>
      </c>
      <c r="I11467">
        <f>IF(DATOS!$I11467="","",IFERROR(VLOOKUP(DATOS!$I11467,CONFIG_ASIGNATURAS!$B$2:$J$91,9,FALSE()),""))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IF(DATOS!$A11468="",0,IF(CONFIG_METADATA!$B$4&lt;&gt;"OR+EX",--(DATOS!$G11468=CONFIG_METADATA!$B$4),IF(DATOS!$G11468="EX",1,IF(DATOS!$G11468="OR",--(COUNTIFS(nNIA,DATOS!$A11468,nCURSO,DATOS!$D11468,nESPEC,DATOS!$E11468,nASIG,DATOS!$I11468,nEVAL,"EX")=0),0))))</f>
      </c>
      <c r="H11468">
        <f>IF(DATOS!$G11468&lt;&gt;"EX",0,--(COUNTIFS(nNIA,DATOS!$A11468,nCURSO,DATOS!$D11468,nESPEC,DATOS!$E11468,nASIG,DATOS!$I11468,nEVAL,"OR")=0))</f>
      </c>
      <c r="I11468">
        <f>IF(DATOS!$I11468="","",IFERROR(VLOOKUP(DATOS!$I11468,CONFIG_ASIGNATURAS!$B$2:$J$91,9,FALSE()),""))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IF(DATOS!$A11469="",0,IF(CONFIG_METADATA!$B$4&lt;&gt;"OR+EX",--(DATOS!$G11469=CONFIG_METADATA!$B$4),IF(DATOS!$G11469="EX",1,IF(DATOS!$G11469="OR",--(COUNTIFS(nNIA,DATOS!$A11469,nCURSO,DATOS!$D11469,nESPEC,DATOS!$E11469,nASIG,DATOS!$I11469,nEVAL,"EX")=0),0))))</f>
      </c>
      <c r="H11469">
        <f>IF(DATOS!$G11469&lt;&gt;"EX",0,--(COUNTIFS(nNIA,DATOS!$A11469,nCURSO,DATOS!$D11469,nESPEC,DATOS!$E11469,nASIG,DATOS!$I11469,nEVAL,"OR")=0))</f>
      </c>
      <c r="I11469">
        <f>IF(DATOS!$I11469="","",IFERROR(VLOOKUP(DATOS!$I11469,CONFIG_ASIGNATURAS!$B$2:$J$91,9,FALSE()),""))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IF(DATOS!$A11470="",0,IF(CONFIG_METADATA!$B$4&lt;&gt;"OR+EX",--(DATOS!$G11470=CONFIG_METADATA!$B$4),IF(DATOS!$G11470="EX",1,IF(DATOS!$G11470="OR",--(COUNTIFS(nNIA,DATOS!$A11470,nCURSO,DATOS!$D11470,nESPEC,DATOS!$E11470,nASIG,DATOS!$I11470,nEVAL,"EX")=0),0))))</f>
      </c>
      <c r="H11470">
        <f>IF(DATOS!$G11470&lt;&gt;"EX",0,--(COUNTIFS(nNIA,DATOS!$A11470,nCURSO,DATOS!$D11470,nESPEC,DATOS!$E11470,nASIG,DATOS!$I11470,nEVAL,"OR")=0))</f>
      </c>
      <c r="I11470">
        <f>IF(DATOS!$I11470="","",IFERROR(VLOOKUP(DATOS!$I11470,CONFIG_ASIGNATURAS!$B$2:$J$91,9,FALSE()),""))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IF(DATOS!$A11471="",0,IF(CONFIG_METADATA!$B$4&lt;&gt;"OR+EX",--(DATOS!$G11471=CONFIG_METADATA!$B$4),IF(DATOS!$G11471="EX",1,IF(DATOS!$G11471="OR",--(COUNTIFS(nNIA,DATOS!$A11471,nCURSO,DATOS!$D11471,nESPEC,DATOS!$E11471,nASIG,DATOS!$I11471,nEVAL,"EX")=0),0))))</f>
      </c>
      <c r="H11471">
        <f>IF(DATOS!$G11471&lt;&gt;"EX",0,--(COUNTIFS(nNIA,DATOS!$A11471,nCURSO,DATOS!$D11471,nESPEC,DATOS!$E11471,nASIG,DATOS!$I11471,nEVAL,"OR")=0))</f>
      </c>
      <c r="I11471">
        <f>IF(DATOS!$I11471="","",IFERROR(VLOOKUP(DATOS!$I11471,CONFIG_ASIGNATURAS!$B$2:$J$91,9,FALSE()),""))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IF(DATOS!$A11472="",0,IF(CONFIG_METADATA!$B$4&lt;&gt;"OR+EX",--(DATOS!$G11472=CONFIG_METADATA!$B$4),IF(DATOS!$G11472="EX",1,IF(DATOS!$G11472="OR",--(COUNTIFS(nNIA,DATOS!$A11472,nCURSO,DATOS!$D11472,nESPEC,DATOS!$E11472,nASIG,DATOS!$I11472,nEVAL,"EX")=0),0))))</f>
      </c>
      <c r="H11472">
        <f>IF(DATOS!$G11472&lt;&gt;"EX",0,--(COUNTIFS(nNIA,DATOS!$A11472,nCURSO,DATOS!$D11472,nESPEC,DATOS!$E11472,nASIG,DATOS!$I11472,nEVAL,"OR")=0))</f>
      </c>
      <c r="I11472">
        <f>IF(DATOS!$I11472="","",IFERROR(VLOOKUP(DATOS!$I11472,CONFIG_ASIGNATURAS!$B$2:$J$91,9,FALSE()),""))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IF(DATOS!$A11473="",0,IF(CONFIG_METADATA!$B$4&lt;&gt;"OR+EX",--(DATOS!$G11473=CONFIG_METADATA!$B$4),IF(DATOS!$G11473="EX",1,IF(DATOS!$G11473="OR",--(COUNTIFS(nNIA,DATOS!$A11473,nCURSO,DATOS!$D11473,nESPEC,DATOS!$E11473,nASIG,DATOS!$I11473,nEVAL,"EX")=0),0))))</f>
      </c>
      <c r="H11473">
        <f>IF(DATOS!$G11473&lt;&gt;"EX",0,--(COUNTIFS(nNIA,DATOS!$A11473,nCURSO,DATOS!$D11473,nESPEC,DATOS!$E11473,nASIG,DATOS!$I11473,nEVAL,"OR")=0))</f>
      </c>
      <c r="I11473">
        <f>IF(DATOS!$I11473="","",IFERROR(VLOOKUP(DATOS!$I11473,CONFIG_ASIGNATURAS!$B$2:$J$91,9,FALSE()),""))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IF(DATOS!$A11474="",0,IF(CONFIG_METADATA!$B$4&lt;&gt;"OR+EX",--(DATOS!$G11474=CONFIG_METADATA!$B$4),IF(DATOS!$G11474="EX",1,IF(DATOS!$G11474="OR",--(COUNTIFS(nNIA,DATOS!$A11474,nCURSO,DATOS!$D11474,nESPEC,DATOS!$E11474,nASIG,DATOS!$I11474,nEVAL,"EX")=0),0))))</f>
      </c>
      <c r="H11474">
        <f>IF(DATOS!$G11474&lt;&gt;"EX",0,--(COUNTIFS(nNIA,DATOS!$A11474,nCURSO,DATOS!$D11474,nESPEC,DATOS!$E11474,nASIG,DATOS!$I11474,nEVAL,"OR")=0))</f>
      </c>
      <c r="I11474">
        <f>IF(DATOS!$I11474="","",IFERROR(VLOOKUP(DATOS!$I11474,CONFIG_ASIGNATURAS!$B$2:$J$91,9,FALSE()),""))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IF(DATOS!$A11475="",0,IF(CONFIG_METADATA!$B$4&lt;&gt;"OR+EX",--(DATOS!$G11475=CONFIG_METADATA!$B$4),IF(DATOS!$G11475="EX",1,IF(DATOS!$G11475="OR",--(COUNTIFS(nNIA,DATOS!$A11475,nCURSO,DATOS!$D11475,nESPEC,DATOS!$E11475,nASIG,DATOS!$I11475,nEVAL,"EX")=0),0))))</f>
      </c>
      <c r="H11475">
        <f>IF(DATOS!$G11475&lt;&gt;"EX",0,--(COUNTIFS(nNIA,DATOS!$A11475,nCURSO,DATOS!$D11475,nESPEC,DATOS!$E11475,nASIG,DATOS!$I11475,nEVAL,"OR")=0))</f>
      </c>
      <c r="I11475">
        <f>IF(DATOS!$I11475="","",IFERROR(VLOOKUP(DATOS!$I11475,CONFIG_ASIGNATURAS!$B$2:$J$91,9,FALSE()),""))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IF(DATOS!$A11476="",0,IF(CONFIG_METADATA!$B$4&lt;&gt;"OR+EX",--(DATOS!$G11476=CONFIG_METADATA!$B$4),IF(DATOS!$G11476="EX",1,IF(DATOS!$G11476="OR",--(COUNTIFS(nNIA,DATOS!$A11476,nCURSO,DATOS!$D11476,nESPEC,DATOS!$E11476,nASIG,DATOS!$I11476,nEVAL,"EX")=0),0))))</f>
      </c>
      <c r="H11476">
        <f>IF(DATOS!$G11476&lt;&gt;"EX",0,--(COUNTIFS(nNIA,DATOS!$A11476,nCURSO,DATOS!$D11476,nESPEC,DATOS!$E11476,nASIG,DATOS!$I11476,nEVAL,"OR")=0))</f>
      </c>
      <c r="I11476">
        <f>IF(DATOS!$I11476="","",IFERROR(VLOOKUP(DATOS!$I11476,CONFIG_ASIGNATURAS!$B$2:$J$91,9,FALSE()),""))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IF(DATOS!$A11477="",0,IF(CONFIG_METADATA!$B$4&lt;&gt;"OR+EX",--(DATOS!$G11477=CONFIG_METADATA!$B$4),IF(DATOS!$G11477="EX",1,IF(DATOS!$G11477="OR",--(COUNTIFS(nNIA,DATOS!$A11477,nCURSO,DATOS!$D11477,nESPEC,DATOS!$E11477,nASIG,DATOS!$I11477,nEVAL,"EX")=0),0))))</f>
      </c>
      <c r="H11477">
        <f>IF(DATOS!$G11477&lt;&gt;"EX",0,--(COUNTIFS(nNIA,DATOS!$A11477,nCURSO,DATOS!$D11477,nESPEC,DATOS!$E11477,nASIG,DATOS!$I11477,nEVAL,"OR")=0))</f>
      </c>
      <c r="I11477">
        <f>IF(DATOS!$I11477="","",IFERROR(VLOOKUP(DATOS!$I11477,CONFIG_ASIGNATURAS!$B$2:$J$91,9,FALSE()),""))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IF(DATOS!$A11478="",0,IF(CONFIG_METADATA!$B$4&lt;&gt;"OR+EX",--(DATOS!$G11478=CONFIG_METADATA!$B$4),IF(DATOS!$G11478="EX",1,IF(DATOS!$G11478="OR",--(COUNTIFS(nNIA,DATOS!$A11478,nCURSO,DATOS!$D11478,nESPEC,DATOS!$E11478,nASIG,DATOS!$I11478,nEVAL,"EX")=0),0))))</f>
      </c>
      <c r="H11478">
        <f>IF(DATOS!$G11478&lt;&gt;"EX",0,--(COUNTIFS(nNIA,DATOS!$A11478,nCURSO,DATOS!$D11478,nESPEC,DATOS!$E11478,nASIG,DATOS!$I11478,nEVAL,"OR")=0))</f>
      </c>
      <c r="I11478">
        <f>IF(DATOS!$I11478="","",IFERROR(VLOOKUP(DATOS!$I11478,CONFIG_ASIGNATURAS!$B$2:$J$91,9,FALSE()),""))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IF(DATOS!$A11479="",0,IF(CONFIG_METADATA!$B$4&lt;&gt;"OR+EX",--(DATOS!$G11479=CONFIG_METADATA!$B$4),IF(DATOS!$G11479="EX",1,IF(DATOS!$G11479="OR",--(COUNTIFS(nNIA,DATOS!$A11479,nCURSO,DATOS!$D11479,nESPEC,DATOS!$E11479,nASIG,DATOS!$I11479,nEVAL,"EX")=0),0))))</f>
      </c>
      <c r="H11479">
        <f>IF(DATOS!$G11479&lt;&gt;"EX",0,--(COUNTIFS(nNIA,DATOS!$A11479,nCURSO,DATOS!$D11479,nESPEC,DATOS!$E11479,nASIG,DATOS!$I11479,nEVAL,"OR")=0))</f>
      </c>
      <c r="I11479">
        <f>IF(DATOS!$I11479="","",IFERROR(VLOOKUP(DATOS!$I11479,CONFIG_ASIGNATURAS!$B$2:$J$91,9,FALSE()),""))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IF(DATOS!$A11480="",0,IF(CONFIG_METADATA!$B$4&lt;&gt;"OR+EX",--(DATOS!$G11480=CONFIG_METADATA!$B$4),IF(DATOS!$G11480="EX",1,IF(DATOS!$G11480="OR",--(COUNTIFS(nNIA,DATOS!$A11480,nCURSO,DATOS!$D11480,nESPEC,DATOS!$E11480,nASIG,DATOS!$I11480,nEVAL,"EX")=0),0))))</f>
      </c>
      <c r="H11480">
        <f>IF(DATOS!$G11480&lt;&gt;"EX",0,--(COUNTIFS(nNIA,DATOS!$A11480,nCURSO,DATOS!$D11480,nESPEC,DATOS!$E11480,nASIG,DATOS!$I11480,nEVAL,"OR")=0))</f>
      </c>
      <c r="I11480">
        <f>IF(DATOS!$I11480="","",IFERROR(VLOOKUP(DATOS!$I11480,CONFIG_ASIGNATURAS!$B$2:$J$91,9,FALSE()),""))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IF(DATOS!$A11481="",0,IF(CONFIG_METADATA!$B$4&lt;&gt;"OR+EX",--(DATOS!$G11481=CONFIG_METADATA!$B$4),IF(DATOS!$G11481="EX",1,IF(DATOS!$G11481="OR",--(COUNTIFS(nNIA,DATOS!$A11481,nCURSO,DATOS!$D11481,nESPEC,DATOS!$E11481,nASIG,DATOS!$I11481,nEVAL,"EX")=0),0))))</f>
      </c>
      <c r="H11481">
        <f>IF(DATOS!$G11481&lt;&gt;"EX",0,--(COUNTIFS(nNIA,DATOS!$A11481,nCURSO,DATOS!$D11481,nESPEC,DATOS!$E11481,nASIG,DATOS!$I11481,nEVAL,"OR")=0))</f>
      </c>
      <c r="I11481">
        <f>IF(DATOS!$I11481="","",IFERROR(VLOOKUP(DATOS!$I11481,CONFIG_ASIGNATURAS!$B$2:$J$91,9,FALSE()),""))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IF(DATOS!$A11482="",0,IF(CONFIG_METADATA!$B$4&lt;&gt;"OR+EX",--(DATOS!$G11482=CONFIG_METADATA!$B$4),IF(DATOS!$G11482="EX",1,IF(DATOS!$G11482="OR",--(COUNTIFS(nNIA,DATOS!$A11482,nCURSO,DATOS!$D11482,nESPEC,DATOS!$E11482,nASIG,DATOS!$I11482,nEVAL,"EX")=0),0))))</f>
      </c>
      <c r="H11482">
        <f>IF(DATOS!$G11482&lt;&gt;"EX",0,--(COUNTIFS(nNIA,DATOS!$A11482,nCURSO,DATOS!$D11482,nESPEC,DATOS!$E11482,nASIG,DATOS!$I11482,nEVAL,"OR")=0))</f>
      </c>
      <c r="I11482">
        <f>IF(DATOS!$I11482="","",IFERROR(VLOOKUP(DATOS!$I11482,CONFIG_ASIGNATURAS!$B$2:$J$91,9,FALSE()),""))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IF(DATOS!$A11483="",0,IF(CONFIG_METADATA!$B$4&lt;&gt;"OR+EX",--(DATOS!$G11483=CONFIG_METADATA!$B$4),IF(DATOS!$G11483="EX",1,IF(DATOS!$G11483="OR",--(COUNTIFS(nNIA,DATOS!$A11483,nCURSO,DATOS!$D11483,nESPEC,DATOS!$E11483,nASIG,DATOS!$I11483,nEVAL,"EX")=0),0))))</f>
      </c>
      <c r="H11483">
        <f>IF(DATOS!$G11483&lt;&gt;"EX",0,--(COUNTIFS(nNIA,DATOS!$A11483,nCURSO,DATOS!$D11483,nESPEC,DATOS!$E11483,nASIG,DATOS!$I11483,nEVAL,"OR")=0))</f>
      </c>
      <c r="I11483">
        <f>IF(DATOS!$I11483="","",IFERROR(VLOOKUP(DATOS!$I11483,CONFIG_ASIGNATURAS!$B$2:$J$91,9,FALSE()),""))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IF(DATOS!$A11484="",0,IF(CONFIG_METADATA!$B$4&lt;&gt;"OR+EX",--(DATOS!$G11484=CONFIG_METADATA!$B$4),IF(DATOS!$G11484="EX",1,IF(DATOS!$G11484="OR",--(COUNTIFS(nNIA,DATOS!$A11484,nCURSO,DATOS!$D11484,nESPEC,DATOS!$E11484,nASIG,DATOS!$I11484,nEVAL,"EX")=0),0))))</f>
      </c>
      <c r="H11484">
        <f>IF(DATOS!$G11484&lt;&gt;"EX",0,--(COUNTIFS(nNIA,DATOS!$A11484,nCURSO,DATOS!$D11484,nESPEC,DATOS!$E11484,nASIG,DATOS!$I11484,nEVAL,"OR")=0))</f>
      </c>
      <c r="I11484">
        <f>IF(DATOS!$I11484="","",IFERROR(VLOOKUP(DATOS!$I11484,CONFIG_ASIGNATURAS!$B$2:$J$91,9,FALSE()),""))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IF(DATOS!$A11485="",0,IF(CONFIG_METADATA!$B$4&lt;&gt;"OR+EX",--(DATOS!$G11485=CONFIG_METADATA!$B$4),IF(DATOS!$G11485="EX",1,IF(DATOS!$G11485="OR",--(COUNTIFS(nNIA,DATOS!$A11485,nCURSO,DATOS!$D11485,nESPEC,DATOS!$E11485,nASIG,DATOS!$I11485,nEVAL,"EX")=0),0))))</f>
      </c>
      <c r="H11485">
        <f>IF(DATOS!$G11485&lt;&gt;"EX",0,--(COUNTIFS(nNIA,DATOS!$A11485,nCURSO,DATOS!$D11485,nESPEC,DATOS!$E11485,nASIG,DATOS!$I11485,nEVAL,"OR")=0))</f>
      </c>
      <c r="I11485">
        <f>IF(DATOS!$I11485="","",IFERROR(VLOOKUP(DATOS!$I11485,CONFIG_ASIGNATURAS!$B$2:$J$91,9,FALSE()),""))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IF(DATOS!$A11486="",0,IF(CONFIG_METADATA!$B$4&lt;&gt;"OR+EX",--(DATOS!$G11486=CONFIG_METADATA!$B$4),IF(DATOS!$G11486="EX",1,IF(DATOS!$G11486="OR",--(COUNTIFS(nNIA,DATOS!$A11486,nCURSO,DATOS!$D11486,nESPEC,DATOS!$E11486,nASIG,DATOS!$I11486,nEVAL,"EX")=0),0))))</f>
      </c>
      <c r="H11486">
        <f>IF(DATOS!$G11486&lt;&gt;"EX",0,--(COUNTIFS(nNIA,DATOS!$A11486,nCURSO,DATOS!$D11486,nESPEC,DATOS!$E11486,nASIG,DATOS!$I11486,nEVAL,"OR")=0))</f>
      </c>
      <c r="I11486">
        <f>IF(DATOS!$I11486="","",IFERROR(VLOOKUP(DATOS!$I11486,CONFIG_ASIGNATURAS!$B$2:$J$91,9,FALSE()),""))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IF(DATOS!$A11487="",0,IF(CONFIG_METADATA!$B$4&lt;&gt;"OR+EX",--(DATOS!$G11487=CONFIG_METADATA!$B$4),IF(DATOS!$G11487="EX",1,IF(DATOS!$G11487="OR",--(COUNTIFS(nNIA,DATOS!$A11487,nCURSO,DATOS!$D11487,nESPEC,DATOS!$E11487,nASIG,DATOS!$I11487,nEVAL,"EX")=0),0))))</f>
      </c>
      <c r="H11487">
        <f>IF(DATOS!$G11487&lt;&gt;"EX",0,--(COUNTIFS(nNIA,DATOS!$A11487,nCURSO,DATOS!$D11487,nESPEC,DATOS!$E11487,nASIG,DATOS!$I11487,nEVAL,"OR")=0))</f>
      </c>
      <c r="I11487">
        <f>IF(DATOS!$I11487="","",IFERROR(VLOOKUP(DATOS!$I11487,CONFIG_ASIGNATURAS!$B$2:$J$91,9,FALSE()),""))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IF(DATOS!$A11488="",0,IF(CONFIG_METADATA!$B$4&lt;&gt;"OR+EX",--(DATOS!$G11488=CONFIG_METADATA!$B$4),IF(DATOS!$G11488="EX",1,IF(DATOS!$G11488="OR",--(COUNTIFS(nNIA,DATOS!$A11488,nCURSO,DATOS!$D11488,nESPEC,DATOS!$E11488,nASIG,DATOS!$I11488,nEVAL,"EX")=0),0))))</f>
      </c>
      <c r="H11488">
        <f>IF(DATOS!$G11488&lt;&gt;"EX",0,--(COUNTIFS(nNIA,DATOS!$A11488,nCURSO,DATOS!$D11488,nESPEC,DATOS!$E11488,nASIG,DATOS!$I11488,nEVAL,"OR")=0))</f>
      </c>
      <c r="I11488">
        <f>IF(DATOS!$I11488="","",IFERROR(VLOOKUP(DATOS!$I11488,CONFIG_ASIGNATURAS!$B$2:$J$91,9,FALSE()),""))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IF(DATOS!$A11489="",0,IF(CONFIG_METADATA!$B$4&lt;&gt;"OR+EX",--(DATOS!$G11489=CONFIG_METADATA!$B$4),IF(DATOS!$G11489="EX",1,IF(DATOS!$G11489="OR",--(COUNTIFS(nNIA,DATOS!$A11489,nCURSO,DATOS!$D11489,nESPEC,DATOS!$E11489,nASIG,DATOS!$I11489,nEVAL,"EX")=0),0))))</f>
      </c>
      <c r="H11489">
        <f>IF(DATOS!$G11489&lt;&gt;"EX",0,--(COUNTIFS(nNIA,DATOS!$A11489,nCURSO,DATOS!$D11489,nESPEC,DATOS!$E11489,nASIG,DATOS!$I11489,nEVAL,"OR")=0))</f>
      </c>
      <c r="I11489">
        <f>IF(DATOS!$I11489="","",IFERROR(VLOOKUP(DATOS!$I11489,CONFIG_ASIGNATURAS!$B$2:$J$91,9,FALSE()),""))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IF(DATOS!$A11490="",0,IF(CONFIG_METADATA!$B$4&lt;&gt;"OR+EX",--(DATOS!$G11490=CONFIG_METADATA!$B$4),IF(DATOS!$G11490="EX",1,IF(DATOS!$G11490="OR",--(COUNTIFS(nNIA,DATOS!$A11490,nCURSO,DATOS!$D11490,nESPEC,DATOS!$E11490,nASIG,DATOS!$I11490,nEVAL,"EX")=0),0))))</f>
      </c>
      <c r="H11490">
        <f>IF(DATOS!$G11490&lt;&gt;"EX",0,--(COUNTIFS(nNIA,DATOS!$A11490,nCURSO,DATOS!$D11490,nESPEC,DATOS!$E11490,nASIG,DATOS!$I11490,nEVAL,"OR")=0))</f>
      </c>
      <c r="I11490">
        <f>IF(DATOS!$I11490="","",IFERROR(VLOOKUP(DATOS!$I11490,CONFIG_ASIGNATURAS!$B$2:$J$91,9,FALSE()),""))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IF(DATOS!$A11491="",0,IF(CONFIG_METADATA!$B$4&lt;&gt;"OR+EX",--(DATOS!$G11491=CONFIG_METADATA!$B$4),IF(DATOS!$G11491="EX",1,IF(DATOS!$G11491="OR",--(COUNTIFS(nNIA,DATOS!$A11491,nCURSO,DATOS!$D11491,nESPEC,DATOS!$E11491,nASIG,DATOS!$I11491,nEVAL,"EX")=0),0))))</f>
      </c>
      <c r="H11491">
        <f>IF(DATOS!$G11491&lt;&gt;"EX",0,--(COUNTIFS(nNIA,DATOS!$A11491,nCURSO,DATOS!$D11491,nESPEC,DATOS!$E11491,nASIG,DATOS!$I11491,nEVAL,"OR")=0))</f>
      </c>
      <c r="I11491">
        <f>IF(DATOS!$I11491="","",IFERROR(VLOOKUP(DATOS!$I11491,CONFIG_ASIGNATURAS!$B$2:$J$91,9,FALSE()),""))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IF(DATOS!$A11492="",0,IF(CONFIG_METADATA!$B$4&lt;&gt;"OR+EX",--(DATOS!$G11492=CONFIG_METADATA!$B$4),IF(DATOS!$G11492="EX",1,IF(DATOS!$G11492="OR",--(COUNTIFS(nNIA,DATOS!$A11492,nCURSO,DATOS!$D11492,nESPEC,DATOS!$E11492,nASIG,DATOS!$I11492,nEVAL,"EX")=0),0))))</f>
      </c>
      <c r="H11492">
        <f>IF(DATOS!$G11492&lt;&gt;"EX",0,--(COUNTIFS(nNIA,DATOS!$A11492,nCURSO,DATOS!$D11492,nESPEC,DATOS!$E11492,nASIG,DATOS!$I11492,nEVAL,"OR")=0))</f>
      </c>
      <c r="I11492">
        <f>IF(DATOS!$I11492="","",IFERROR(VLOOKUP(DATOS!$I11492,CONFIG_ASIGNATURAS!$B$2:$J$91,9,FALSE()),""))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IF(DATOS!$A11493="",0,IF(CONFIG_METADATA!$B$4&lt;&gt;"OR+EX",--(DATOS!$G11493=CONFIG_METADATA!$B$4),IF(DATOS!$G11493="EX",1,IF(DATOS!$G11493="OR",--(COUNTIFS(nNIA,DATOS!$A11493,nCURSO,DATOS!$D11493,nESPEC,DATOS!$E11493,nASIG,DATOS!$I11493,nEVAL,"EX")=0),0))))</f>
      </c>
      <c r="H11493">
        <f>IF(DATOS!$G11493&lt;&gt;"EX",0,--(COUNTIFS(nNIA,DATOS!$A11493,nCURSO,DATOS!$D11493,nESPEC,DATOS!$E11493,nASIG,DATOS!$I11493,nEVAL,"OR")=0))</f>
      </c>
      <c r="I11493">
        <f>IF(DATOS!$I11493="","",IFERROR(VLOOKUP(DATOS!$I11493,CONFIG_ASIGNATURAS!$B$2:$J$91,9,FALSE()),""))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IF(DATOS!$A11494="",0,IF(CONFIG_METADATA!$B$4&lt;&gt;"OR+EX",--(DATOS!$G11494=CONFIG_METADATA!$B$4),IF(DATOS!$G11494="EX",1,IF(DATOS!$G11494="OR",--(COUNTIFS(nNIA,DATOS!$A11494,nCURSO,DATOS!$D11494,nESPEC,DATOS!$E11494,nASIG,DATOS!$I11494,nEVAL,"EX")=0),0))))</f>
      </c>
      <c r="H11494">
        <f>IF(DATOS!$G11494&lt;&gt;"EX",0,--(COUNTIFS(nNIA,DATOS!$A11494,nCURSO,DATOS!$D11494,nESPEC,DATOS!$E11494,nASIG,DATOS!$I11494,nEVAL,"OR")=0))</f>
      </c>
      <c r="I11494">
        <f>IF(DATOS!$I11494="","",IFERROR(VLOOKUP(DATOS!$I11494,CONFIG_ASIGNATURAS!$B$2:$J$91,9,FALSE()),""))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IF(DATOS!$A11495="",0,IF(CONFIG_METADATA!$B$4&lt;&gt;"OR+EX",--(DATOS!$G11495=CONFIG_METADATA!$B$4),IF(DATOS!$G11495="EX",1,IF(DATOS!$G11495="OR",--(COUNTIFS(nNIA,DATOS!$A11495,nCURSO,DATOS!$D11495,nESPEC,DATOS!$E11495,nASIG,DATOS!$I11495,nEVAL,"EX")=0),0))))</f>
      </c>
      <c r="H11495">
        <f>IF(DATOS!$G11495&lt;&gt;"EX",0,--(COUNTIFS(nNIA,DATOS!$A11495,nCURSO,DATOS!$D11495,nESPEC,DATOS!$E11495,nASIG,DATOS!$I11495,nEVAL,"OR")=0))</f>
      </c>
      <c r="I11495">
        <f>IF(DATOS!$I11495="","",IFERROR(VLOOKUP(DATOS!$I11495,CONFIG_ASIGNATURAS!$B$2:$J$91,9,FALSE()),""))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IF(DATOS!$A11496="",0,IF(CONFIG_METADATA!$B$4&lt;&gt;"OR+EX",--(DATOS!$G11496=CONFIG_METADATA!$B$4),IF(DATOS!$G11496="EX",1,IF(DATOS!$G11496="OR",--(COUNTIFS(nNIA,DATOS!$A11496,nCURSO,DATOS!$D11496,nESPEC,DATOS!$E11496,nASIG,DATOS!$I11496,nEVAL,"EX")=0),0))))</f>
      </c>
      <c r="H11496">
        <f>IF(DATOS!$G11496&lt;&gt;"EX",0,--(COUNTIFS(nNIA,DATOS!$A11496,nCURSO,DATOS!$D11496,nESPEC,DATOS!$E11496,nASIG,DATOS!$I11496,nEVAL,"OR")=0))</f>
      </c>
      <c r="I11496">
        <f>IF(DATOS!$I11496="","",IFERROR(VLOOKUP(DATOS!$I11496,CONFIG_ASIGNATURAS!$B$2:$J$91,9,FALSE()),""))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IF(DATOS!$A11497="",0,IF(CONFIG_METADATA!$B$4&lt;&gt;"OR+EX",--(DATOS!$G11497=CONFIG_METADATA!$B$4),IF(DATOS!$G11497="EX",1,IF(DATOS!$G11497="OR",--(COUNTIFS(nNIA,DATOS!$A11497,nCURSO,DATOS!$D11497,nESPEC,DATOS!$E11497,nASIG,DATOS!$I11497,nEVAL,"EX")=0),0))))</f>
      </c>
      <c r="H11497">
        <f>IF(DATOS!$G11497&lt;&gt;"EX",0,--(COUNTIFS(nNIA,DATOS!$A11497,nCURSO,DATOS!$D11497,nESPEC,DATOS!$E11497,nASIG,DATOS!$I11497,nEVAL,"OR")=0))</f>
      </c>
      <c r="I11497">
        <f>IF(DATOS!$I11497="","",IFERROR(VLOOKUP(DATOS!$I11497,CONFIG_ASIGNATURAS!$B$2:$J$91,9,FALSE()),""))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IF(DATOS!$A11498="",0,IF(CONFIG_METADATA!$B$4&lt;&gt;"OR+EX",--(DATOS!$G11498=CONFIG_METADATA!$B$4),IF(DATOS!$G11498="EX",1,IF(DATOS!$G11498="OR",--(COUNTIFS(nNIA,DATOS!$A11498,nCURSO,DATOS!$D11498,nESPEC,DATOS!$E11498,nASIG,DATOS!$I11498,nEVAL,"EX")=0),0))))</f>
      </c>
      <c r="H11498">
        <f>IF(DATOS!$G11498&lt;&gt;"EX",0,--(COUNTIFS(nNIA,DATOS!$A11498,nCURSO,DATOS!$D11498,nESPEC,DATOS!$E11498,nASIG,DATOS!$I11498,nEVAL,"OR")=0))</f>
      </c>
      <c r="I11498">
        <f>IF(DATOS!$I11498="","",IFERROR(VLOOKUP(DATOS!$I11498,CONFIG_ASIGNATURAS!$B$2:$J$91,9,FALSE()),""))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IF(DATOS!$A11499="",0,IF(CONFIG_METADATA!$B$4&lt;&gt;"OR+EX",--(DATOS!$G11499=CONFIG_METADATA!$B$4),IF(DATOS!$G11499="EX",1,IF(DATOS!$G11499="OR",--(COUNTIFS(nNIA,DATOS!$A11499,nCURSO,DATOS!$D11499,nESPEC,DATOS!$E11499,nASIG,DATOS!$I11499,nEVAL,"EX")=0),0))))</f>
      </c>
      <c r="H11499">
        <f>IF(DATOS!$G11499&lt;&gt;"EX",0,--(COUNTIFS(nNIA,DATOS!$A11499,nCURSO,DATOS!$D11499,nESPEC,DATOS!$E11499,nASIG,DATOS!$I11499,nEVAL,"OR")=0))</f>
      </c>
      <c r="I11499">
        <f>IF(DATOS!$I11499="","",IFERROR(VLOOKUP(DATOS!$I11499,CONFIG_ASIGNATURAS!$B$2:$J$91,9,FALSE()),""))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IF(DATOS!$A11500="",0,IF(CONFIG_METADATA!$B$4&lt;&gt;"OR+EX",--(DATOS!$G11500=CONFIG_METADATA!$B$4),IF(DATOS!$G11500="EX",1,IF(DATOS!$G11500="OR",--(COUNTIFS(nNIA,DATOS!$A11500,nCURSO,DATOS!$D11500,nESPEC,DATOS!$E11500,nASIG,DATOS!$I11500,nEVAL,"EX")=0),0))))</f>
      </c>
      <c r="H11500">
        <f>IF(DATOS!$G11500&lt;&gt;"EX",0,--(COUNTIFS(nNIA,DATOS!$A11500,nCURSO,DATOS!$D11500,nESPEC,DATOS!$E11500,nASIG,DATOS!$I11500,nEVAL,"OR")=0))</f>
      </c>
      <c r="I11500">
        <f>IF(DATOS!$I11500="","",IFERROR(VLOOKUP(DATOS!$I11500,CONFIG_ASIGNATURAS!$B$2:$J$91,9,FALSE()),""))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IF(DATOS!$A11501="",0,IF(CONFIG_METADATA!$B$4&lt;&gt;"OR+EX",--(DATOS!$G11501=CONFIG_METADATA!$B$4),IF(DATOS!$G11501="EX",1,IF(DATOS!$G11501="OR",--(COUNTIFS(nNIA,DATOS!$A11501,nCURSO,DATOS!$D11501,nESPEC,DATOS!$E11501,nASIG,DATOS!$I11501,nEVAL,"EX")=0),0))))</f>
      </c>
      <c r="H11501">
        <f>IF(DATOS!$G11501&lt;&gt;"EX",0,--(COUNTIFS(nNIA,DATOS!$A11501,nCURSO,DATOS!$D11501,nESPEC,DATOS!$E11501,nASIG,DATOS!$I11501,nEVAL,"OR")=0))</f>
      </c>
      <c r="I11501">
        <f>IF(DATOS!$I11501="","",IFERROR(VLOOKUP(DATOS!$I11501,CONFIG_ASIGNATURAS!$B$2:$J$91,9,FALSE()),""))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IF(DATOS!$A11502="",0,IF(CONFIG_METADATA!$B$4&lt;&gt;"OR+EX",--(DATOS!$G11502=CONFIG_METADATA!$B$4),IF(DATOS!$G11502="EX",1,IF(DATOS!$G11502="OR",--(COUNTIFS(nNIA,DATOS!$A11502,nCURSO,DATOS!$D11502,nESPEC,DATOS!$E11502,nASIG,DATOS!$I11502,nEVAL,"EX")=0),0))))</f>
      </c>
      <c r="H11502">
        <f>IF(DATOS!$G11502&lt;&gt;"EX",0,--(COUNTIFS(nNIA,DATOS!$A11502,nCURSO,DATOS!$D11502,nESPEC,DATOS!$E11502,nASIG,DATOS!$I11502,nEVAL,"OR")=0))</f>
      </c>
      <c r="I11502">
        <f>IF(DATOS!$I11502="","",IFERROR(VLOOKUP(DATOS!$I11502,CONFIG_ASIGNATURAS!$B$2:$J$91,9,FALSE()),""))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IF(DATOS!$A11503="",0,IF(CONFIG_METADATA!$B$4&lt;&gt;"OR+EX",--(DATOS!$G11503=CONFIG_METADATA!$B$4),IF(DATOS!$G11503="EX",1,IF(DATOS!$G11503="OR",--(COUNTIFS(nNIA,DATOS!$A11503,nCURSO,DATOS!$D11503,nESPEC,DATOS!$E11503,nASIG,DATOS!$I11503,nEVAL,"EX")=0),0))))</f>
      </c>
      <c r="H11503">
        <f>IF(DATOS!$G11503&lt;&gt;"EX",0,--(COUNTIFS(nNIA,DATOS!$A11503,nCURSO,DATOS!$D11503,nESPEC,DATOS!$E11503,nASIG,DATOS!$I11503,nEVAL,"OR")=0))</f>
      </c>
      <c r="I11503">
        <f>IF(DATOS!$I11503="","",IFERROR(VLOOKUP(DATOS!$I11503,CONFIG_ASIGNATURAS!$B$2:$J$91,9,FALSE()),""))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IF(DATOS!$A11504="",0,IF(CONFIG_METADATA!$B$4&lt;&gt;"OR+EX",--(DATOS!$G11504=CONFIG_METADATA!$B$4),IF(DATOS!$G11504="EX",1,IF(DATOS!$G11504="OR",--(COUNTIFS(nNIA,DATOS!$A11504,nCURSO,DATOS!$D11504,nESPEC,DATOS!$E11504,nASIG,DATOS!$I11504,nEVAL,"EX")=0),0))))</f>
      </c>
      <c r="H11504">
        <f>IF(DATOS!$G11504&lt;&gt;"EX",0,--(COUNTIFS(nNIA,DATOS!$A11504,nCURSO,DATOS!$D11504,nESPEC,DATOS!$E11504,nASIG,DATOS!$I11504,nEVAL,"OR")=0))</f>
      </c>
      <c r="I11504">
        <f>IF(DATOS!$I11504="","",IFERROR(VLOOKUP(DATOS!$I11504,CONFIG_ASIGNATURAS!$B$2:$J$91,9,FALSE()),""))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IF(DATOS!$A11505="",0,IF(CONFIG_METADATA!$B$4&lt;&gt;"OR+EX",--(DATOS!$G11505=CONFIG_METADATA!$B$4),IF(DATOS!$G11505="EX",1,IF(DATOS!$G11505="OR",--(COUNTIFS(nNIA,DATOS!$A11505,nCURSO,DATOS!$D11505,nESPEC,DATOS!$E11505,nASIG,DATOS!$I11505,nEVAL,"EX")=0),0))))</f>
      </c>
      <c r="H11505">
        <f>IF(DATOS!$G11505&lt;&gt;"EX",0,--(COUNTIFS(nNIA,DATOS!$A11505,nCURSO,DATOS!$D11505,nESPEC,DATOS!$E11505,nASIG,DATOS!$I11505,nEVAL,"OR")=0))</f>
      </c>
      <c r="I11505">
        <f>IF(DATOS!$I11505="","",IFERROR(VLOOKUP(DATOS!$I11505,CONFIG_ASIGNATURAS!$B$2:$J$91,9,FALSE()),""))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IF(DATOS!$A11506="",0,IF(CONFIG_METADATA!$B$4&lt;&gt;"OR+EX",--(DATOS!$G11506=CONFIG_METADATA!$B$4),IF(DATOS!$G11506="EX",1,IF(DATOS!$G11506="OR",--(COUNTIFS(nNIA,DATOS!$A11506,nCURSO,DATOS!$D11506,nESPEC,DATOS!$E11506,nASIG,DATOS!$I11506,nEVAL,"EX")=0),0))))</f>
      </c>
      <c r="H11506">
        <f>IF(DATOS!$G11506&lt;&gt;"EX",0,--(COUNTIFS(nNIA,DATOS!$A11506,nCURSO,DATOS!$D11506,nESPEC,DATOS!$E11506,nASIG,DATOS!$I11506,nEVAL,"OR")=0))</f>
      </c>
      <c r="I11506">
        <f>IF(DATOS!$I11506="","",IFERROR(VLOOKUP(DATOS!$I11506,CONFIG_ASIGNATURAS!$B$2:$J$91,9,FALSE()),""))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IF(DATOS!$A11507="",0,IF(CONFIG_METADATA!$B$4&lt;&gt;"OR+EX",--(DATOS!$G11507=CONFIG_METADATA!$B$4),IF(DATOS!$G11507="EX",1,IF(DATOS!$G11507="OR",--(COUNTIFS(nNIA,DATOS!$A11507,nCURSO,DATOS!$D11507,nESPEC,DATOS!$E11507,nASIG,DATOS!$I11507,nEVAL,"EX")=0),0))))</f>
      </c>
      <c r="H11507">
        <f>IF(DATOS!$G11507&lt;&gt;"EX",0,--(COUNTIFS(nNIA,DATOS!$A11507,nCURSO,DATOS!$D11507,nESPEC,DATOS!$E11507,nASIG,DATOS!$I11507,nEVAL,"OR")=0))</f>
      </c>
      <c r="I11507">
        <f>IF(DATOS!$I11507="","",IFERROR(VLOOKUP(DATOS!$I11507,CONFIG_ASIGNATURAS!$B$2:$J$91,9,FALSE()),""))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IF(DATOS!$A11508="",0,IF(CONFIG_METADATA!$B$4&lt;&gt;"OR+EX",--(DATOS!$G11508=CONFIG_METADATA!$B$4),IF(DATOS!$G11508="EX",1,IF(DATOS!$G11508="OR",--(COUNTIFS(nNIA,DATOS!$A11508,nCURSO,DATOS!$D11508,nESPEC,DATOS!$E11508,nASIG,DATOS!$I11508,nEVAL,"EX")=0),0))))</f>
      </c>
      <c r="H11508">
        <f>IF(DATOS!$G11508&lt;&gt;"EX",0,--(COUNTIFS(nNIA,DATOS!$A11508,nCURSO,DATOS!$D11508,nESPEC,DATOS!$E11508,nASIG,DATOS!$I11508,nEVAL,"OR")=0))</f>
      </c>
      <c r="I11508">
        <f>IF(DATOS!$I11508="","",IFERROR(VLOOKUP(DATOS!$I11508,CONFIG_ASIGNATURAS!$B$2:$J$91,9,FALSE()),""))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IF(DATOS!$A11509="",0,IF(CONFIG_METADATA!$B$4&lt;&gt;"OR+EX",--(DATOS!$G11509=CONFIG_METADATA!$B$4),IF(DATOS!$G11509="EX",1,IF(DATOS!$G11509="OR",--(COUNTIFS(nNIA,DATOS!$A11509,nCURSO,DATOS!$D11509,nESPEC,DATOS!$E11509,nASIG,DATOS!$I11509,nEVAL,"EX")=0),0))))</f>
      </c>
      <c r="H11509">
        <f>IF(DATOS!$G11509&lt;&gt;"EX",0,--(COUNTIFS(nNIA,DATOS!$A11509,nCURSO,DATOS!$D11509,nESPEC,DATOS!$E11509,nASIG,DATOS!$I11509,nEVAL,"OR")=0))</f>
      </c>
      <c r="I11509">
        <f>IF(DATOS!$I11509="","",IFERROR(VLOOKUP(DATOS!$I11509,CONFIG_ASIGNATURAS!$B$2:$J$91,9,FALSE()),""))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IF(DATOS!$A11510="",0,IF(CONFIG_METADATA!$B$4&lt;&gt;"OR+EX",--(DATOS!$G11510=CONFIG_METADATA!$B$4),IF(DATOS!$G11510="EX",1,IF(DATOS!$G11510="OR",--(COUNTIFS(nNIA,DATOS!$A11510,nCURSO,DATOS!$D11510,nESPEC,DATOS!$E11510,nASIG,DATOS!$I11510,nEVAL,"EX")=0),0))))</f>
      </c>
      <c r="H11510">
        <f>IF(DATOS!$G11510&lt;&gt;"EX",0,--(COUNTIFS(nNIA,DATOS!$A11510,nCURSO,DATOS!$D11510,nESPEC,DATOS!$E11510,nASIG,DATOS!$I11510,nEVAL,"OR")=0))</f>
      </c>
      <c r="I11510">
        <f>IF(DATOS!$I11510="","",IFERROR(VLOOKUP(DATOS!$I11510,CONFIG_ASIGNATURAS!$B$2:$J$91,9,FALSE()),""))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IF(DATOS!$A11511="",0,IF(CONFIG_METADATA!$B$4&lt;&gt;"OR+EX",--(DATOS!$G11511=CONFIG_METADATA!$B$4),IF(DATOS!$G11511="EX",1,IF(DATOS!$G11511="OR",--(COUNTIFS(nNIA,DATOS!$A11511,nCURSO,DATOS!$D11511,nESPEC,DATOS!$E11511,nASIG,DATOS!$I11511,nEVAL,"EX")=0),0))))</f>
      </c>
      <c r="H11511">
        <f>IF(DATOS!$G11511&lt;&gt;"EX",0,--(COUNTIFS(nNIA,DATOS!$A11511,nCURSO,DATOS!$D11511,nESPEC,DATOS!$E11511,nASIG,DATOS!$I11511,nEVAL,"OR")=0))</f>
      </c>
      <c r="I11511">
        <f>IF(DATOS!$I11511="","",IFERROR(VLOOKUP(DATOS!$I11511,CONFIG_ASIGNATURAS!$B$2:$J$91,9,FALSE()),""))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IF(DATOS!$A11512="",0,IF(CONFIG_METADATA!$B$4&lt;&gt;"OR+EX",--(DATOS!$G11512=CONFIG_METADATA!$B$4),IF(DATOS!$G11512="EX",1,IF(DATOS!$G11512="OR",--(COUNTIFS(nNIA,DATOS!$A11512,nCURSO,DATOS!$D11512,nESPEC,DATOS!$E11512,nASIG,DATOS!$I11512,nEVAL,"EX")=0),0))))</f>
      </c>
      <c r="H11512">
        <f>IF(DATOS!$G11512&lt;&gt;"EX",0,--(COUNTIFS(nNIA,DATOS!$A11512,nCURSO,DATOS!$D11512,nESPEC,DATOS!$E11512,nASIG,DATOS!$I11512,nEVAL,"OR")=0))</f>
      </c>
      <c r="I11512">
        <f>IF(DATOS!$I11512="","",IFERROR(VLOOKUP(DATOS!$I11512,CONFIG_ASIGNATURAS!$B$2:$J$91,9,FALSE()),""))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IF(DATOS!$A11513="",0,IF(CONFIG_METADATA!$B$4&lt;&gt;"OR+EX",--(DATOS!$G11513=CONFIG_METADATA!$B$4),IF(DATOS!$G11513="EX",1,IF(DATOS!$G11513="OR",--(COUNTIFS(nNIA,DATOS!$A11513,nCURSO,DATOS!$D11513,nESPEC,DATOS!$E11513,nASIG,DATOS!$I11513,nEVAL,"EX")=0),0))))</f>
      </c>
      <c r="H11513">
        <f>IF(DATOS!$G11513&lt;&gt;"EX",0,--(COUNTIFS(nNIA,DATOS!$A11513,nCURSO,DATOS!$D11513,nESPEC,DATOS!$E11513,nASIG,DATOS!$I11513,nEVAL,"OR")=0))</f>
      </c>
      <c r="I11513">
        <f>IF(DATOS!$I11513="","",IFERROR(VLOOKUP(DATOS!$I11513,CONFIG_ASIGNATURAS!$B$2:$J$91,9,FALSE()),""))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IF(DATOS!$A11514="",0,IF(CONFIG_METADATA!$B$4&lt;&gt;"OR+EX",--(DATOS!$G11514=CONFIG_METADATA!$B$4),IF(DATOS!$G11514="EX",1,IF(DATOS!$G11514="OR",--(COUNTIFS(nNIA,DATOS!$A11514,nCURSO,DATOS!$D11514,nESPEC,DATOS!$E11514,nASIG,DATOS!$I11514,nEVAL,"EX")=0),0))))</f>
      </c>
      <c r="H11514">
        <f>IF(DATOS!$G11514&lt;&gt;"EX",0,--(COUNTIFS(nNIA,DATOS!$A11514,nCURSO,DATOS!$D11514,nESPEC,DATOS!$E11514,nASIG,DATOS!$I11514,nEVAL,"OR")=0))</f>
      </c>
      <c r="I11514">
        <f>IF(DATOS!$I11514="","",IFERROR(VLOOKUP(DATOS!$I11514,CONFIG_ASIGNATURAS!$B$2:$J$91,9,FALSE()),""))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IF(DATOS!$A11515="",0,IF(CONFIG_METADATA!$B$4&lt;&gt;"OR+EX",--(DATOS!$G11515=CONFIG_METADATA!$B$4),IF(DATOS!$G11515="EX",1,IF(DATOS!$G11515="OR",--(COUNTIFS(nNIA,DATOS!$A11515,nCURSO,DATOS!$D11515,nESPEC,DATOS!$E11515,nASIG,DATOS!$I11515,nEVAL,"EX")=0),0))))</f>
      </c>
      <c r="H11515">
        <f>IF(DATOS!$G11515&lt;&gt;"EX",0,--(COUNTIFS(nNIA,DATOS!$A11515,nCURSO,DATOS!$D11515,nESPEC,DATOS!$E11515,nASIG,DATOS!$I11515,nEVAL,"OR")=0))</f>
      </c>
      <c r="I11515">
        <f>IF(DATOS!$I11515="","",IFERROR(VLOOKUP(DATOS!$I11515,CONFIG_ASIGNATURAS!$B$2:$J$91,9,FALSE()),""))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IF(DATOS!$A11516="",0,IF(CONFIG_METADATA!$B$4&lt;&gt;"OR+EX",--(DATOS!$G11516=CONFIG_METADATA!$B$4),IF(DATOS!$G11516="EX",1,IF(DATOS!$G11516="OR",--(COUNTIFS(nNIA,DATOS!$A11516,nCURSO,DATOS!$D11516,nESPEC,DATOS!$E11516,nASIG,DATOS!$I11516,nEVAL,"EX")=0),0))))</f>
      </c>
      <c r="H11516">
        <f>IF(DATOS!$G11516&lt;&gt;"EX",0,--(COUNTIFS(nNIA,DATOS!$A11516,nCURSO,DATOS!$D11516,nESPEC,DATOS!$E11516,nASIG,DATOS!$I11516,nEVAL,"OR")=0))</f>
      </c>
      <c r="I11516">
        <f>IF(DATOS!$I11516="","",IFERROR(VLOOKUP(DATOS!$I11516,CONFIG_ASIGNATURAS!$B$2:$J$91,9,FALSE()),""))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IF(DATOS!$A11517="",0,IF(CONFIG_METADATA!$B$4&lt;&gt;"OR+EX",--(DATOS!$G11517=CONFIG_METADATA!$B$4),IF(DATOS!$G11517="EX",1,IF(DATOS!$G11517="OR",--(COUNTIFS(nNIA,DATOS!$A11517,nCURSO,DATOS!$D11517,nESPEC,DATOS!$E11517,nASIG,DATOS!$I11517,nEVAL,"EX")=0),0))))</f>
      </c>
      <c r="H11517">
        <f>IF(DATOS!$G11517&lt;&gt;"EX",0,--(COUNTIFS(nNIA,DATOS!$A11517,nCURSO,DATOS!$D11517,nESPEC,DATOS!$E11517,nASIG,DATOS!$I11517,nEVAL,"OR")=0))</f>
      </c>
      <c r="I11517">
        <f>IF(DATOS!$I11517="","",IFERROR(VLOOKUP(DATOS!$I11517,CONFIG_ASIGNATURAS!$B$2:$J$91,9,FALSE()),""))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IF(DATOS!$A11518="",0,IF(CONFIG_METADATA!$B$4&lt;&gt;"OR+EX",--(DATOS!$G11518=CONFIG_METADATA!$B$4),IF(DATOS!$G11518="EX",1,IF(DATOS!$G11518="OR",--(COUNTIFS(nNIA,DATOS!$A11518,nCURSO,DATOS!$D11518,nESPEC,DATOS!$E11518,nASIG,DATOS!$I11518,nEVAL,"EX")=0),0))))</f>
      </c>
      <c r="H11518">
        <f>IF(DATOS!$G11518&lt;&gt;"EX",0,--(COUNTIFS(nNIA,DATOS!$A11518,nCURSO,DATOS!$D11518,nESPEC,DATOS!$E11518,nASIG,DATOS!$I11518,nEVAL,"OR")=0))</f>
      </c>
      <c r="I11518">
        <f>IF(DATOS!$I11518="","",IFERROR(VLOOKUP(DATOS!$I11518,CONFIG_ASIGNATURAS!$B$2:$J$91,9,FALSE()),""))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IF(DATOS!$A11519="",0,IF(CONFIG_METADATA!$B$4&lt;&gt;"OR+EX",--(DATOS!$G11519=CONFIG_METADATA!$B$4),IF(DATOS!$G11519="EX",1,IF(DATOS!$G11519="OR",--(COUNTIFS(nNIA,DATOS!$A11519,nCURSO,DATOS!$D11519,nESPEC,DATOS!$E11519,nASIG,DATOS!$I11519,nEVAL,"EX")=0),0))))</f>
      </c>
      <c r="H11519">
        <f>IF(DATOS!$G11519&lt;&gt;"EX",0,--(COUNTIFS(nNIA,DATOS!$A11519,nCURSO,DATOS!$D11519,nESPEC,DATOS!$E11519,nASIG,DATOS!$I11519,nEVAL,"OR")=0))</f>
      </c>
      <c r="I11519">
        <f>IF(DATOS!$I11519="","",IFERROR(VLOOKUP(DATOS!$I11519,CONFIG_ASIGNATURAS!$B$2:$J$91,9,FALSE()),""))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IF(DATOS!$A11520="",0,IF(CONFIG_METADATA!$B$4&lt;&gt;"OR+EX",--(DATOS!$G11520=CONFIG_METADATA!$B$4),IF(DATOS!$G11520="EX",1,IF(DATOS!$G11520="OR",--(COUNTIFS(nNIA,DATOS!$A11520,nCURSO,DATOS!$D11520,nESPEC,DATOS!$E11520,nASIG,DATOS!$I11520,nEVAL,"EX")=0),0))))</f>
      </c>
      <c r="H11520">
        <f>IF(DATOS!$G11520&lt;&gt;"EX",0,--(COUNTIFS(nNIA,DATOS!$A11520,nCURSO,DATOS!$D11520,nESPEC,DATOS!$E11520,nASIG,DATOS!$I11520,nEVAL,"OR")=0))</f>
      </c>
      <c r="I11520">
        <f>IF(DATOS!$I11520="","",IFERROR(VLOOKUP(DATOS!$I11520,CONFIG_ASIGNATURAS!$B$2:$J$91,9,FALSE()),""))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IF(DATOS!$A11521="",0,IF(CONFIG_METADATA!$B$4&lt;&gt;"OR+EX",--(DATOS!$G11521=CONFIG_METADATA!$B$4),IF(DATOS!$G11521="EX",1,IF(DATOS!$G11521="OR",--(COUNTIFS(nNIA,DATOS!$A11521,nCURSO,DATOS!$D11521,nESPEC,DATOS!$E11521,nASIG,DATOS!$I11521,nEVAL,"EX")=0),0))))</f>
      </c>
      <c r="H11521">
        <f>IF(DATOS!$G11521&lt;&gt;"EX",0,--(COUNTIFS(nNIA,DATOS!$A11521,nCURSO,DATOS!$D11521,nESPEC,DATOS!$E11521,nASIG,DATOS!$I11521,nEVAL,"OR")=0))</f>
      </c>
      <c r="I11521">
        <f>IF(DATOS!$I11521="","",IFERROR(VLOOKUP(DATOS!$I11521,CONFIG_ASIGNATURAS!$B$2:$J$91,9,FALSE()),""))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IF(DATOS!$A11522="",0,IF(CONFIG_METADATA!$B$4&lt;&gt;"OR+EX",--(DATOS!$G11522=CONFIG_METADATA!$B$4),IF(DATOS!$G11522="EX",1,IF(DATOS!$G11522="OR",--(COUNTIFS(nNIA,DATOS!$A11522,nCURSO,DATOS!$D11522,nESPEC,DATOS!$E11522,nASIG,DATOS!$I11522,nEVAL,"EX")=0),0))))</f>
      </c>
      <c r="H11522">
        <f>IF(DATOS!$G11522&lt;&gt;"EX",0,--(COUNTIFS(nNIA,DATOS!$A11522,nCURSO,DATOS!$D11522,nESPEC,DATOS!$E11522,nASIG,DATOS!$I11522,nEVAL,"OR")=0))</f>
      </c>
      <c r="I11522">
        <f>IF(DATOS!$I11522="","",IFERROR(VLOOKUP(DATOS!$I11522,CONFIG_ASIGNATURAS!$B$2:$J$91,9,FALSE()),""))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IF(DATOS!$A11523="",0,IF(CONFIG_METADATA!$B$4&lt;&gt;"OR+EX",--(DATOS!$G11523=CONFIG_METADATA!$B$4),IF(DATOS!$G11523="EX",1,IF(DATOS!$G11523="OR",--(COUNTIFS(nNIA,DATOS!$A11523,nCURSO,DATOS!$D11523,nESPEC,DATOS!$E11523,nASIG,DATOS!$I11523,nEVAL,"EX")=0),0))))</f>
      </c>
      <c r="H11523">
        <f>IF(DATOS!$G11523&lt;&gt;"EX",0,--(COUNTIFS(nNIA,DATOS!$A11523,nCURSO,DATOS!$D11523,nESPEC,DATOS!$E11523,nASIG,DATOS!$I11523,nEVAL,"OR")=0))</f>
      </c>
      <c r="I11523">
        <f>IF(DATOS!$I11523="","",IFERROR(VLOOKUP(DATOS!$I11523,CONFIG_ASIGNATURAS!$B$2:$J$91,9,FALSE()),""))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IF(DATOS!$A11524="",0,IF(CONFIG_METADATA!$B$4&lt;&gt;"OR+EX",--(DATOS!$G11524=CONFIG_METADATA!$B$4),IF(DATOS!$G11524="EX",1,IF(DATOS!$G11524="OR",--(COUNTIFS(nNIA,DATOS!$A11524,nCURSO,DATOS!$D11524,nESPEC,DATOS!$E11524,nASIG,DATOS!$I11524,nEVAL,"EX")=0),0))))</f>
      </c>
      <c r="H11524">
        <f>IF(DATOS!$G11524&lt;&gt;"EX",0,--(COUNTIFS(nNIA,DATOS!$A11524,nCURSO,DATOS!$D11524,nESPEC,DATOS!$E11524,nASIG,DATOS!$I11524,nEVAL,"OR")=0))</f>
      </c>
      <c r="I11524">
        <f>IF(DATOS!$I11524="","",IFERROR(VLOOKUP(DATOS!$I11524,CONFIG_ASIGNATURAS!$B$2:$J$91,9,FALSE()),""))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IF(DATOS!$A11525="",0,IF(CONFIG_METADATA!$B$4&lt;&gt;"OR+EX",--(DATOS!$G11525=CONFIG_METADATA!$B$4),IF(DATOS!$G11525="EX",1,IF(DATOS!$G11525="OR",--(COUNTIFS(nNIA,DATOS!$A11525,nCURSO,DATOS!$D11525,nESPEC,DATOS!$E11525,nASIG,DATOS!$I11525,nEVAL,"EX")=0),0))))</f>
      </c>
      <c r="H11525">
        <f>IF(DATOS!$G11525&lt;&gt;"EX",0,--(COUNTIFS(nNIA,DATOS!$A11525,nCURSO,DATOS!$D11525,nESPEC,DATOS!$E11525,nASIG,DATOS!$I11525,nEVAL,"OR")=0))</f>
      </c>
      <c r="I11525">
        <f>IF(DATOS!$I11525="","",IFERROR(VLOOKUP(DATOS!$I11525,CONFIG_ASIGNATURAS!$B$2:$J$91,9,FALSE()),""))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IF(DATOS!$A11526="",0,IF(CONFIG_METADATA!$B$4&lt;&gt;"OR+EX",--(DATOS!$G11526=CONFIG_METADATA!$B$4),IF(DATOS!$G11526="EX",1,IF(DATOS!$G11526="OR",--(COUNTIFS(nNIA,DATOS!$A11526,nCURSO,DATOS!$D11526,nESPEC,DATOS!$E11526,nASIG,DATOS!$I11526,nEVAL,"EX")=0),0))))</f>
      </c>
      <c r="H11526">
        <f>IF(DATOS!$G11526&lt;&gt;"EX",0,--(COUNTIFS(nNIA,DATOS!$A11526,nCURSO,DATOS!$D11526,nESPEC,DATOS!$E11526,nASIG,DATOS!$I11526,nEVAL,"OR")=0))</f>
      </c>
      <c r="I11526">
        <f>IF(DATOS!$I11526="","",IFERROR(VLOOKUP(DATOS!$I11526,CONFIG_ASIGNATURAS!$B$2:$J$91,9,FALSE()),""))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IF(DATOS!$A11527="",0,IF(CONFIG_METADATA!$B$4&lt;&gt;"OR+EX",--(DATOS!$G11527=CONFIG_METADATA!$B$4),IF(DATOS!$G11527="EX",1,IF(DATOS!$G11527="OR",--(COUNTIFS(nNIA,DATOS!$A11527,nCURSO,DATOS!$D11527,nESPEC,DATOS!$E11527,nASIG,DATOS!$I11527,nEVAL,"EX")=0),0))))</f>
      </c>
      <c r="H11527">
        <f>IF(DATOS!$G11527&lt;&gt;"EX",0,--(COUNTIFS(nNIA,DATOS!$A11527,nCURSO,DATOS!$D11527,nESPEC,DATOS!$E11527,nASIG,DATOS!$I11527,nEVAL,"OR")=0))</f>
      </c>
      <c r="I11527">
        <f>IF(DATOS!$I11527="","",IFERROR(VLOOKUP(DATOS!$I11527,CONFIG_ASIGNATURAS!$B$2:$J$91,9,FALSE()),""))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IF(DATOS!$A11528="",0,IF(CONFIG_METADATA!$B$4&lt;&gt;"OR+EX",--(DATOS!$G11528=CONFIG_METADATA!$B$4),IF(DATOS!$G11528="EX",1,IF(DATOS!$G11528="OR",--(COUNTIFS(nNIA,DATOS!$A11528,nCURSO,DATOS!$D11528,nESPEC,DATOS!$E11528,nASIG,DATOS!$I11528,nEVAL,"EX")=0),0))))</f>
      </c>
      <c r="H11528">
        <f>IF(DATOS!$G11528&lt;&gt;"EX",0,--(COUNTIFS(nNIA,DATOS!$A11528,nCURSO,DATOS!$D11528,nESPEC,DATOS!$E11528,nASIG,DATOS!$I11528,nEVAL,"OR")=0))</f>
      </c>
      <c r="I11528">
        <f>IF(DATOS!$I11528="","",IFERROR(VLOOKUP(DATOS!$I11528,CONFIG_ASIGNATURAS!$B$2:$J$91,9,FALSE()),""))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IF(DATOS!$A11529="",0,IF(CONFIG_METADATA!$B$4&lt;&gt;"OR+EX",--(DATOS!$G11529=CONFIG_METADATA!$B$4),IF(DATOS!$G11529="EX",1,IF(DATOS!$G11529="OR",--(COUNTIFS(nNIA,DATOS!$A11529,nCURSO,DATOS!$D11529,nESPEC,DATOS!$E11529,nASIG,DATOS!$I11529,nEVAL,"EX")=0),0))))</f>
      </c>
      <c r="H11529">
        <f>IF(DATOS!$G11529&lt;&gt;"EX",0,--(COUNTIFS(nNIA,DATOS!$A11529,nCURSO,DATOS!$D11529,nESPEC,DATOS!$E11529,nASIG,DATOS!$I11529,nEVAL,"OR")=0))</f>
      </c>
      <c r="I11529">
        <f>IF(DATOS!$I11529="","",IFERROR(VLOOKUP(DATOS!$I11529,CONFIG_ASIGNATURAS!$B$2:$J$91,9,FALSE()),""))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IF(DATOS!$A11530="",0,IF(CONFIG_METADATA!$B$4&lt;&gt;"OR+EX",--(DATOS!$G11530=CONFIG_METADATA!$B$4),IF(DATOS!$G11530="EX",1,IF(DATOS!$G11530="OR",--(COUNTIFS(nNIA,DATOS!$A11530,nCURSO,DATOS!$D11530,nESPEC,DATOS!$E11530,nASIG,DATOS!$I11530,nEVAL,"EX")=0),0))))</f>
      </c>
      <c r="H11530">
        <f>IF(DATOS!$G11530&lt;&gt;"EX",0,--(COUNTIFS(nNIA,DATOS!$A11530,nCURSO,DATOS!$D11530,nESPEC,DATOS!$E11530,nASIG,DATOS!$I11530,nEVAL,"OR")=0))</f>
      </c>
      <c r="I11530">
        <f>IF(DATOS!$I11530="","",IFERROR(VLOOKUP(DATOS!$I11530,CONFIG_ASIGNATURAS!$B$2:$J$91,9,FALSE()),""))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IF(DATOS!$A11531="",0,IF(CONFIG_METADATA!$B$4&lt;&gt;"OR+EX",--(DATOS!$G11531=CONFIG_METADATA!$B$4),IF(DATOS!$G11531="EX",1,IF(DATOS!$G11531="OR",--(COUNTIFS(nNIA,DATOS!$A11531,nCURSO,DATOS!$D11531,nESPEC,DATOS!$E11531,nASIG,DATOS!$I11531,nEVAL,"EX")=0),0))))</f>
      </c>
      <c r="H11531">
        <f>IF(DATOS!$G11531&lt;&gt;"EX",0,--(COUNTIFS(nNIA,DATOS!$A11531,nCURSO,DATOS!$D11531,nESPEC,DATOS!$E11531,nASIG,DATOS!$I11531,nEVAL,"OR")=0))</f>
      </c>
      <c r="I11531">
        <f>IF(DATOS!$I11531="","",IFERROR(VLOOKUP(DATOS!$I11531,CONFIG_ASIGNATURAS!$B$2:$J$91,9,FALSE()),""))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IF(DATOS!$A11532="",0,IF(CONFIG_METADATA!$B$4&lt;&gt;"OR+EX",--(DATOS!$G11532=CONFIG_METADATA!$B$4),IF(DATOS!$G11532="EX",1,IF(DATOS!$G11532="OR",--(COUNTIFS(nNIA,DATOS!$A11532,nCURSO,DATOS!$D11532,nESPEC,DATOS!$E11532,nASIG,DATOS!$I11532,nEVAL,"EX")=0),0))))</f>
      </c>
      <c r="H11532">
        <f>IF(DATOS!$G11532&lt;&gt;"EX",0,--(COUNTIFS(nNIA,DATOS!$A11532,nCURSO,DATOS!$D11532,nESPEC,DATOS!$E11532,nASIG,DATOS!$I11532,nEVAL,"OR")=0))</f>
      </c>
      <c r="I11532">
        <f>IF(DATOS!$I11532="","",IFERROR(VLOOKUP(DATOS!$I11532,CONFIG_ASIGNATURAS!$B$2:$J$91,9,FALSE()),""))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IF(DATOS!$A11533="",0,IF(CONFIG_METADATA!$B$4&lt;&gt;"OR+EX",--(DATOS!$G11533=CONFIG_METADATA!$B$4),IF(DATOS!$G11533="EX",1,IF(DATOS!$G11533="OR",--(COUNTIFS(nNIA,DATOS!$A11533,nCURSO,DATOS!$D11533,nESPEC,DATOS!$E11533,nASIG,DATOS!$I11533,nEVAL,"EX")=0),0))))</f>
      </c>
      <c r="H11533">
        <f>IF(DATOS!$G11533&lt;&gt;"EX",0,--(COUNTIFS(nNIA,DATOS!$A11533,nCURSO,DATOS!$D11533,nESPEC,DATOS!$E11533,nASIG,DATOS!$I11533,nEVAL,"OR")=0))</f>
      </c>
      <c r="I11533">
        <f>IF(DATOS!$I11533="","",IFERROR(VLOOKUP(DATOS!$I11533,CONFIG_ASIGNATURAS!$B$2:$J$91,9,FALSE()),""))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IF(DATOS!$A11534="",0,IF(CONFIG_METADATA!$B$4&lt;&gt;"OR+EX",--(DATOS!$G11534=CONFIG_METADATA!$B$4),IF(DATOS!$G11534="EX",1,IF(DATOS!$G11534="OR",--(COUNTIFS(nNIA,DATOS!$A11534,nCURSO,DATOS!$D11534,nESPEC,DATOS!$E11534,nASIG,DATOS!$I11534,nEVAL,"EX")=0),0))))</f>
      </c>
      <c r="H11534">
        <f>IF(DATOS!$G11534&lt;&gt;"EX",0,--(COUNTIFS(nNIA,DATOS!$A11534,nCURSO,DATOS!$D11534,nESPEC,DATOS!$E11534,nASIG,DATOS!$I11534,nEVAL,"OR")=0))</f>
      </c>
      <c r="I11534">
        <f>IF(DATOS!$I11534="","",IFERROR(VLOOKUP(DATOS!$I11534,CONFIG_ASIGNATURAS!$B$2:$J$91,9,FALSE()),""))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IF(DATOS!$A11535="",0,IF(CONFIG_METADATA!$B$4&lt;&gt;"OR+EX",--(DATOS!$G11535=CONFIG_METADATA!$B$4),IF(DATOS!$G11535="EX",1,IF(DATOS!$G11535="OR",--(COUNTIFS(nNIA,DATOS!$A11535,nCURSO,DATOS!$D11535,nESPEC,DATOS!$E11535,nASIG,DATOS!$I11535,nEVAL,"EX")=0),0))))</f>
      </c>
      <c r="H11535">
        <f>IF(DATOS!$G11535&lt;&gt;"EX",0,--(COUNTIFS(nNIA,DATOS!$A11535,nCURSO,DATOS!$D11535,nESPEC,DATOS!$E11535,nASIG,DATOS!$I11535,nEVAL,"OR")=0))</f>
      </c>
      <c r="I11535">
        <f>IF(DATOS!$I11535="","",IFERROR(VLOOKUP(DATOS!$I11535,CONFIG_ASIGNATURAS!$B$2:$J$91,9,FALSE()),""))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IF(DATOS!$A11536="",0,IF(CONFIG_METADATA!$B$4&lt;&gt;"OR+EX",--(DATOS!$G11536=CONFIG_METADATA!$B$4),IF(DATOS!$G11536="EX",1,IF(DATOS!$G11536="OR",--(COUNTIFS(nNIA,DATOS!$A11536,nCURSO,DATOS!$D11536,nESPEC,DATOS!$E11536,nASIG,DATOS!$I11536,nEVAL,"EX")=0),0))))</f>
      </c>
      <c r="H11536">
        <f>IF(DATOS!$G11536&lt;&gt;"EX",0,--(COUNTIFS(nNIA,DATOS!$A11536,nCURSO,DATOS!$D11536,nESPEC,DATOS!$E11536,nASIG,DATOS!$I11536,nEVAL,"OR")=0))</f>
      </c>
      <c r="I11536">
        <f>IF(DATOS!$I11536="","",IFERROR(VLOOKUP(DATOS!$I11536,CONFIG_ASIGNATURAS!$B$2:$J$91,9,FALSE()),""))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IF(DATOS!$A11537="",0,IF(CONFIG_METADATA!$B$4&lt;&gt;"OR+EX",--(DATOS!$G11537=CONFIG_METADATA!$B$4),IF(DATOS!$G11537="EX",1,IF(DATOS!$G11537="OR",--(COUNTIFS(nNIA,DATOS!$A11537,nCURSO,DATOS!$D11537,nESPEC,DATOS!$E11537,nASIG,DATOS!$I11537,nEVAL,"EX")=0),0))))</f>
      </c>
      <c r="H11537">
        <f>IF(DATOS!$G11537&lt;&gt;"EX",0,--(COUNTIFS(nNIA,DATOS!$A11537,nCURSO,DATOS!$D11537,nESPEC,DATOS!$E11537,nASIG,DATOS!$I11537,nEVAL,"OR")=0))</f>
      </c>
      <c r="I11537">
        <f>IF(DATOS!$I11537="","",IFERROR(VLOOKUP(DATOS!$I11537,CONFIG_ASIGNATURAS!$B$2:$J$91,9,FALSE()),""))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IF(DATOS!$A11538="",0,IF(CONFIG_METADATA!$B$4&lt;&gt;"OR+EX",--(DATOS!$G11538=CONFIG_METADATA!$B$4),IF(DATOS!$G11538="EX",1,IF(DATOS!$G11538="OR",--(COUNTIFS(nNIA,DATOS!$A11538,nCURSO,DATOS!$D11538,nESPEC,DATOS!$E11538,nASIG,DATOS!$I11538,nEVAL,"EX")=0),0))))</f>
      </c>
      <c r="H11538">
        <f>IF(DATOS!$G11538&lt;&gt;"EX",0,--(COUNTIFS(nNIA,DATOS!$A11538,nCURSO,DATOS!$D11538,nESPEC,DATOS!$E11538,nASIG,DATOS!$I11538,nEVAL,"OR")=0))</f>
      </c>
      <c r="I11538">
        <f>IF(DATOS!$I11538="","",IFERROR(VLOOKUP(DATOS!$I11538,CONFIG_ASIGNATURAS!$B$2:$J$91,9,FALSE()),""))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IF(DATOS!$A11539="",0,IF(CONFIG_METADATA!$B$4&lt;&gt;"OR+EX",--(DATOS!$G11539=CONFIG_METADATA!$B$4),IF(DATOS!$G11539="EX",1,IF(DATOS!$G11539="OR",--(COUNTIFS(nNIA,DATOS!$A11539,nCURSO,DATOS!$D11539,nESPEC,DATOS!$E11539,nASIG,DATOS!$I11539,nEVAL,"EX")=0),0))))</f>
      </c>
      <c r="H11539">
        <f>IF(DATOS!$G11539&lt;&gt;"EX",0,--(COUNTIFS(nNIA,DATOS!$A11539,nCURSO,DATOS!$D11539,nESPEC,DATOS!$E11539,nASIG,DATOS!$I11539,nEVAL,"OR")=0))</f>
      </c>
      <c r="I11539">
        <f>IF(DATOS!$I11539="","",IFERROR(VLOOKUP(DATOS!$I11539,CONFIG_ASIGNATURAS!$B$2:$J$91,9,FALSE()),""))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IF(DATOS!$A11540="",0,IF(CONFIG_METADATA!$B$4&lt;&gt;"OR+EX",--(DATOS!$G11540=CONFIG_METADATA!$B$4),IF(DATOS!$G11540="EX",1,IF(DATOS!$G11540="OR",--(COUNTIFS(nNIA,DATOS!$A11540,nCURSO,DATOS!$D11540,nESPEC,DATOS!$E11540,nASIG,DATOS!$I11540,nEVAL,"EX")=0),0))))</f>
      </c>
      <c r="H11540">
        <f>IF(DATOS!$G11540&lt;&gt;"EX",0,--(COUNTIFS(nNIA,DATOS!$A11540,nCURSO,DATOS!$D11540,nESPEC,DATOS!$E11540,nASIG,DATOS!$I11540,nEVAL,"OR")=0))</f>
      </c>
      <c r="I11540">
        <f>IF(DATOS!$I11540="","",IFERROR(VLOOKUP(DATOS!$I11540,CONFIG_ASIGNATURAS!$B$2:$J$91,9,FALSE()),""))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IF(DATOS!$A11541="",0,IF(CONFIG_METADATA!$B$4&lt;&gt;"OR+EX",--(DATOS!$G11541=CONFIG_METADATA!$B$4),IF(DATOS!$G11541="EX",1,IF(DATOS!$G11541="OR",--(COUNTIFS(nNIA,DATOS!$A11541,nCURSO,DATOS!$D11541,nESPEC,DATOS!$E11541,nASIG,DATOS!$I11541,nEVAL,"EX")=0),0))))</f>
      </c>
      <c r="H11541">
        <f>IF(DATOS!$G11541&lt;&gt;"EX",0,--(COUNTIFS(nNIA,DATOS!$A11541,nCURSO,DATOS!$D11541,nESPEC,DATOS!$E11541,nASIG,DATOS!$I11541,nEVAL,"OR")=0))</f>
      </c>
      <c r="I11541">
        <f>IF(DATOS!$I11541="","",IFERROR(VLOOKUP(DATOS!$I11541,CONFIG_ASIGNATURAS!$B$2:$J$91,9,FALSE()),""))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IF(DATOS!$A11542="",0,IF(CONFIG_METADATA!$B$4&lt;&gt;"OR+EX",--(DATOS!$G11542=CONFIG_METADATA!$B$4),IF(DATOS!$G11542="EX",1,IF(DATOS!$G11542="OR",--(COUNTIFS(nNIA,DATOS!$A11542,nCURSO,DATOS!$D11542,nESPEC,DATOS!$E11542,nASIG,DATOS!$I11542,nEVAL,"EX")=0),0))))</f>
      </c>
      <c r="H11542">
        <f>IF(DATOS!$G11542&lt;&gt;"EX",0,--(COUNTIFS(nNIA,DATOS!$A11542,nCURSO,DATOS!$D11542,nESPEC,DATOS!$E11542,nASIG,DATOS!$I11542,nEVAL,"OR")=0))</f>
      </c>
      <c r="I11542">
        <f>IF(DATOS!$I11542="","",IFERROR(VLOOKUP(DATOS!$I11542,CONFIG_ASIGNATURAS!$B$2:$J$91,9,FALSE()),""))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IF(DATOS!$A11543="",0,IF(CONFIG_METADATA!$B$4&lt;&gt;"OR+EX",--(DATOS!$G11543=CONFIG_METADATA!$B$4),IF(DATOS!$G11543="EX",1,IF(DATOS!$G11543="OR",--(COUNTIFS(nNIA,DATOS!$A11543,nCURSO,DATOS!$D11543,nESPEC,DATOS!$E11543,nASIG,DATOS!$I11543,nEVAL,"EX")=0),0))))</f>
      </c>
      <c r="H11543">
        <f>IF(DATOS!$G11543&lt;&gt;"EX",0,--(COUNTIFS(nNIA,DATOS!$A11543,nCURSO,DATOS!$D11543,nESPEC,DATOS!$E11543,nASIG,DATOS!$I11543,nEVAL,"OR")=0))</f>
      </c>
      <c r="I11543">
        <f>IF(DATOS!$I11543="","",IFERROR(VLOOKUP(DATOS!$I11543,CONFIG_ASIGNATURAS!$B$2:$J$91,9,FALSE()),""))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IF(DATOS!$A11544="",0,IF(CONFIG_METADATA!$B$4&lt;&gt;"OR+EX",--(DATOS!$G11544=CONFIG_METADATA!$B$4),IF(DATOS!$G11544="EX",1,IF(DATOS!$G11544="OR",--(COUNTIFS(nNIA,DATOS!$A11544,nCURSO,DATOS!$D11544,nESPEC,DATOS!$E11544,nASIG,DATOS!$I11544,nEVAL,"EX")=0),0))))</f>
      </c>
      <c r="H11544">
        <f>IF(DATOS!$G11544&lt;&gt;"EX",0,--(COUNTIFS(nNIA,DATOS!$A11544,nCURSO,DATOS!$D11544,nESPEC,DATOS!$E11544,nASIG,DATOS!$I11544,nEVAL,"OR")=0))</f>
      </c>
      <c r="I11544">
        <f>IF(DATOS!$I11544="","",IFERROR(VLOOKUP(DATOS!$I11544,CONFIG_ASIGNATURAS!$B$2:$J$91,9,FALSE()),""))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IF(DATOS!$A11545="",0,IF(CONFIG_METADATA!$B$4&lt;&gt;"OR+EX",--(DATOS!$G11545=CONFIG_METADATA!$B$4),IF(DATOS!$G11545="EX",1,IF(DATOS!$G11545="OR",--(COUNTIFS(nNIA,DATOS!$A11545,nCURSO,DATOS!$D11545,nESPEC,DATOS!$E11545,nASIG,DATOS!$I11545,nEVAL,"EX")=0),0))))</f>
      </c>
      <c r="H11545">
        <f>IF(DATOS!$G11545&lt;&gt;"EX",0,--(COUNTIFS(nNIA,DATOS!$A11545,nCURSO,DATOS!$D11545,nESPEC,DATOS!$E11545,nASIG,DATOS!$I11545,nEVAL,"OR")=0))</f>
      </c>
      <c r="I11545">
        <f>IF(DATOS!$I11545="","",IFERROR(VLOOKUP(DATOS!$I11545,CONFIG_ASIGNATURAS!$B$2:$J$91,9,FALSE()),""))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IF(DATOS!$A11546="",0,IF(CONFIG_METADATA!$B$4&lt;&gt;"OR+EX",--(DATOS!$G11546=CONFIG_METADATA!$B$4),IF(DATOS!$G11546="EX",1,IF(DATOS!$G11546="OR",--(COUNTIFS(nNIA,DATOS!$A11546,nCURSO,DATOS!$D11546,nESPEC,DATOS!$E11546,nASIG,DATOS!$I11546,nEVAL,"EX")=0),0))))</f>
      </c>
      <c r="H11546">
        <f>IF(DATOS!$G11546&lt;&gt;"EX",0,--(COUNTIFS(nNIA,DATOS!$A11546,nCURSO,DATOS!$D11546,nESPEC,DATOS!$E11546,nASIG,DATOS!$I11546,nEVAL,"OR")=0))</f>
      </c>
      <c r="I11546">
        <f>IF(DATOS!$I11546="","",IFERROR(VLOOKUP(DATOS!$I11546,CONFIG_ASIGNATURAS!$B$2:$J$91,9,FALSE()),""))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IF(DATOS!$A11547="",0,IF(CONFIG_METADATA!$B$4&lt;&gt;"OR+EX",--(DATOS!$G11547=CONFIG_METADATA!$B$4),IF(DATOS!$G11547="EX",1,IF(DATOS!$G11547="OR",--(COUNTIFS(nNIA,DATOS!$A11547,nCURSO,DATOS!$D11547,nESPEC,DATOS!$E11547,nASIG,DATOS!$I11547,nEVAL,"EX")=0),0))))</f>
      </c>
      <c r="H11547">
        <f>IF(DATOS!$G11547&lt;&gt;"EX",0,--(COUNTIFS(nNIA,DATOS!$A11547,nCURSO,DATOS!$D11547,nESPEC,DATOS!$E11547,nASIG,DATOS!$I11547,nEVAL,"OR")=0))</f>
      </c>
      <c r="I11547">
        <f>IF(DATOS!$I11547="","",IFERROR(VLOOKUP(DATOS!$I11547,CONFIG_ASIGNATURAS!$B$2:$J$91,9,FALSE()),""))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IF(DATOS!$A11548="",0,IF(CONFIG_METADATA!$B$4&lt;&gt;"OR+EX",--(DATOS!$G11548=CONFIG_METADATA!$B$4),IF(DATOS!$G11548="EX",1,IF(DATOS!$G11548="OR",--(COUNTIFS(nNIA,DATOS!$A11548,nCURSO,DATOS!$D11548,nESPEC,DATOS!$E11548,nASIG,DATOS!$I11548,nEVAL,"EX")=0),0))))</f>
      </c>
      <c r="H11548">
        <f>IF(DATOS!$G11548&lt;&gt;"EX",0,--(COUNTIFS(nNIA,DATOS!$A11548,nCURSO,DATOS!$D11548,nESPEC,DATOS!$E11548,nASIG,DATOS!$I11548,nEVAL,"OR")=0))</f>
      </c>
      <c r="I11548">
        <f>IF(DATOS!$I11548="","",IFERROR(VLOOKUP(DATOS!$I11548,CONFIG_ASIGNATURAS!$B$2:$J$91,9,FALSE()),""))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IF(DATOS!$A11549="",0,IF(CONFIG_METADATA!$B$4&lt;&gt;"OR+EX",--(DATOS!$G11549=CONFIG_METADATA!$B$4),IF(DATOS!$G11549="EX",1,IF(DATOS!$G11549="OR",--(COUNTIFS(nNIA,DATOS!$A11549,nCURSO,DATOS!$D11549,nESPEC,DATOS!$E11549,nASIG,DATOS!$I11549,nEVAL,"EX")=0),0))))</f>
      </c>
      <c r="H11549">
        <f>IF(DATOS!$G11549&lt;&gt;"EX",0,--(COUNTIFS(nNIA,DATOS!$A11549,nCURSO,DATOS!$D11549,nESPEC,DATOS!$E11549,nASIG,DATOS!$I11549,nEVAL,"OR")=0))</f>
      </c>
      <c r="I11549">
        <f>IF(DATOS!$I11549="","",IFERROR(VLOOKUP(DATOS!$I11549,CONFIG_ASIGNATURAS!$B$2:$J$91,9,FALSE()),""))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IF(DATOS!$A11550="",0,IF(CONFIG_METADATA!$B$4&lt;&gt;"OR+EX",--(DATOS!$G11550=CONFIG_METADATA!$B$4),IF(DATOS!$G11550="EX",1,IF(DATOS!$G11550="OR",--(COUNTIFS(nNIA,DATOS!$A11550,nCURSO,DATOS!$D11550,nESPEC,DATOS!$E11550,nASIG,DATOS!$I11550,nEVAL,"EX")=0),0))))</f>
      </c>
      <c r="H11550">
        <f>IF(DATOS!$G11550&lt;&gt;"EX",0,--(COUNTIFS(nNIA,DATOS!$A11550,nCURSO,DATOS!$D11550,nESPEC,DATOS!$E11550,nASIG,DATOS!$I11550,nEVAL,"OR")=0))</f>
      </c>
      <c r="I11550">
        <f>IF(DATOS!$I11550="","",IFERROR(VLOOKUP(DATOS!$I11550,CONFIG_ASIGNATURAS!$B$2:$J$91,9,FALSE()),""))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IF(DATOS!$A11551="",0,IF(CONFIG_METADATA!$B$4&lt;&gt;"OR+EX",--(DATOS!$G11551=CONFIG_METADATA!$B$4),IF(DATOS!$G11551="EX",1,IF(DATOS!$G11551="OR",--(COUNTIFS(nNIA,DATOS!$A11551,nCURSO,DATOS!$D11551,nESPEC,DATOS!$E11551,nASIG,DATOS!$I11551,nEVAL,"EX")=0),0))))</f>
      </c>
      <c r="H11551">
        <f>IF(DATOS!$G11551&lt;&gt;"EX",0,--(COUNTIFS(nNIA,DATOS!$A11551,nCURSO,DATOS!$D11551,nESPEC,DATOS!$E11551,nASIG,DATOS!$I11551,nEVAL,"OR")=0))</f>
      </c>
      <c r="I11551">
        <f>IF(DATOS!$I11551="","",IFERROR(VLOOKUP(DATOS!$I11551,CONFIG_ASIGNATURAS!$B$2:$J$91,9,FALSE()),""))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IF(DATOS!$A11552="",0,IF(CONFIG_METADATA!$B$4&lt;&gt;"OR+EX",--(DATOS!$G11552=CONFIG_METADATA!$B$4),IF(DATOS!$G11552="EX",1,IF(DATOS!$G11552="OR",--(COUNTIFS(nNIA,DATOS!$A11552,nCURSO,DATOS!$D11552,nESPEC,DATOS!$E11552,nASIG,DATOS!$I11552,nEVAL,"EX")=0),0))))</f>
      </c>
      <c r="H11552">
        <f>IF(DATOS!$G11552&lt;&gt;"EX",0,--(COUNTIFS(nNIA,DATOS!$A11552,nCURSO,DATOS!$D11552,nESPEC,DATOS!$E11552,nASIG,DATOS!$I11552,nEVAL,"OR")=0))</f>
      </c>
      <c r="I11552">
        <f>IF(DATOS!$I11552="","",IFERROR(VLOOKUP(DATOS!$I11552,CONFIG_ASIGNATURAS!$B$2:$J$91,9,FALSE()),""))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IF(DATOS!$A11553="",0,IF(CONFIG_METADATA!$B$4&lt;&gt;"OR+EX",--(DATOS!$G11553=CONFIG_METADATA!$B$4),IF(DATOS!$G11553="EX",1,IF(DATOS!$G11553="OR",--(COUNTIFS(nNIA,DATOS!$A11553,nCURSO,DATOS!$D11553,nESPEC,DATOS!$E11553,nASIG,DATOS!$I11553,nEVAL,"EX")=0),0))))</f>
      </c>
      <c r="H11553">
        <f>IF(DATOS!$G11553&lt;&gt;"EX",0,--(COUNTIFS(nNIA,DATOS!$A11553,nCURSO,DATOS!$D11553,nESPEC,DATOS!$E11553,nASIG,DATOS!$I11553,nEVAL,"OR")=0))</f>
      </c>
      <c r="I11553">
        <f>IF(DATOS!$I11553="","",IFERROR(VLOOKUP(DATOS!$I11553,CONFIG_ASIGNATURAS!$B$2:$J$91,9,FALSE()),""))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IF(DATOS!$A11554="",0,IF(CONFIG_METADATA!$B$4&lt;&gt;"OR+EX",--(DATOS!$G11554=CONFIG_METADATA!$B$4),IF(DATOS!$G11554="EX",1,IF(DATOS!$G11554="OR",--(COUNTIFS(nNIA,DATOS!$A11554,nCURSO,DATOS!$D11554,nESPEC,DATOS!$E11554,nASIG,DATOS!$I11554,nEVAL,"EX")=0),0))))</f>
      </c>
      <c r="H11554">
        <f>IF(DATOS!$G11554&lt;&gt;"EX",0,--(COUNTIFS(nNIA,DATOS!$A11554,nCURSO,DATOS!$D11554,nESPEC,DATOS!$E11554,nASIG,DATOS!$I11554,nEVAL,"OR")=0))</f>
      </c>
      <c r="I11554">
        <f>IF(DATOS!$I11554="","",IFERROR(VLOOKUP(DATOS!$I11554,CONFIG_ASIGNATURAS!$B$2:$J$91,9,FALSE()),""))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IF(DATOS!$A11555="",0,IF(CONFIG_METADATA!$B$4&lt;&gt;"OR+EX",--(DATOS!$G11555=CONFIG_METADATA!$B$4),IF(DATOS!$G11555="EX",1,IF(DATOS!$G11555="OR",--(COUNTIFS(nNIA,DATOS!$A11555,nCURSO,DATOS!$D11555,nESPEC,DATOS!$E11555,nASIG,DATOS!$I11555,nEVAL,"EX")=0),0))))</f>
      </c>
      <c r="H11555">
        <f>IF(DATOS!$G11555&lt;&gt;"EX",0,--(COUNTIFS(nNIA,DATOS!$A11555,nCURSO,DATOS!$D11555,nESPEC,DATOS!$E11555,nASIG,DATOS!$I11555,nEVAL,"OR")=0))</f>
      </c>
      <c r="I11555">
        <f>IF(DATOS!$I11555="","",IFERROR(VLOOKUP(DATOS!$I11555,CONFIG_ASIGNATURAS!$B$2:$J$91,9,FALSE()),""))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IF(DATOS!$A11556="",0,IF(CONFIG_METADATA!$B$4&lt;&gt;"OR+EX",--(DATOS!$G11556=CONFIG_METADATA!$B$4),IF(DATOS!$G11556="EX",1,IF(DATOS!$G11556="OR",--(COUNTIFS(nNIA,DATOS!$A11556,nCURSO,DATOS!$D11556,nESPEC,DATOS!$E11556,nASIG,DATOS!$I11556,nEVAL,"EX")=0),0))))</f>
      </c>
      <c r="H11556">
        <f>IF(DATOS!$G11556&lt;&gt;"EX",0,--(COUNTIFS(nNIA,DATOS!$A11556,nCURSO,DATOS!$D11556,nESPEC,DATOS!$E11556,nASIG,DATOS!$I11556,nEVAL,"OR")=0))</f>
      </c>
      <c r="I11556">
        <f>IF(DATOS!$I11556="","",IFERROR(VLOOKUP(DATOS!$I11556,CONFIG_ASIGNATURAS!$B$2:$J$91,9,FALSE()),""))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IF(DATOS!$A11557="",0,IF(CONFIG_METADATA!$B$4&lt;&gt;"OR+EX",--(DATOS!$G11557=CONFIG_METADATA!$B$4),IF(DATOS!$G11557="EX",1,IF(DATOS!$G11557="OR",--(COUNTIFS(nNIA,DATOS!$A11557,nCURSO,DATOS!$D11557,nESPEC,DATOS!$E11557,nASIG,DATOS!$I11557,nEVAL,"EX")=0),0))))</f>
      </c>
      <c r="H11557">
        <f>IF(DATOS!$G11557&lt;&gt;"EX",0,--(COUNTIFS(nNIA,DATOS!$A11557,nCURSO,DATOS!$D11557,nESPEC,DATOS!$E11557,nASIG,DATOS!$I11557,nEVAL,"OR")=0))</f>
      </c>
      <c r="I11557">
        <f>IF(DATOS!$I11557="","",IFERROR(VLOOKUP(DATOS!$I11557,CONFIG_ASIGNATURAS!$B$2:$J$91,9,FALSE()),""))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IF(DATOS!$A11558="",0,IF(CONFIG_METADATA!$B$4&lt;&gt;"OR+EX",--(DATOS!$G11558=CONFIG_METADATA!$B$4),IF(DATOS!$G11558="EX",1,IF(DATOS!$G11558="OR",--(COUNTIFS(nNIA,DATOS!$A11558,nCURSO,DATOS!$D11558,nESPEC,DATOS!$E11558,nASIG,DATOS!$I11558,nEVAL,"EX")=0),0))))</f>
      </c>
      <c r="H11558">
        <f>IF(DATOS!$G11558&lt;&gt;"EX",0,--(COUNTIFS(nNIA,DATOS!$A11558,nCURSO,DATOS!$D11558,nESPEC,DATOS!$E11558,nASIG,DATOS!$I11558,nEVAL,"OR")=0))</f>
      </c>
      <c r="I11558">
        <f>IF(DATOS!$I11558="","",IFERROR(VLOOKUP(DATOS!$I11558,CONFIG_ASIGNATURAS!$B$2:$J$91,9,FALSE()),""))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IF(DATOS!$A11559="",0,IF(CONFIG_METADATA!$B$4&lt;&gt;"OR+EX",--(DATOS!$G11559=CONFIG_METADATA!$B$4),IF(DATOS!$G11559="EX",1,IF(DATOS!$G11559="OR",--(COUNTIFS(nNIA,DATOS!$A11559,nCURSO,DATOS!$D11559,nESPEC,DATOS!$E11559,nASIG,DATOS!$I11559,nEVAL,"EX")=0),0))))</f>
      </c>
      <c r="H11559">
        <f>IF(DATOS!$G11559&lt;&gt;"EX",0,--(COUNTIFS(nNIA,DATOS!$A11559,nCURSO,DATOS!$D11559,nESPEC,DATOS!$E11559,nASIG,DATOS!$I11559,nEVAL,"OR")=0))</f>
      </c>
      <c r="I11559">
        <f>IF(DATOS!$I11559="","",IFERROR(VLOOKUP(DATOS!$I11559,CONFIG_ASIGNATURAS!$B$2:$J$91,9,FALSE()),""))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IF(DATOS!$A11560="",0,IF(CONFIG_METADATA!$B$4&lt;&gt;"OR+EX",--(DATOS!$G11560=CONFIG_METADATA!$B$4),IF(DATOS!$G11560="EX",1,IF(DATOS!$G11560="OR",--(COUNTIFS(nNIA,DATOS!$A11560,nCURSO,DATOS!$D11560,nESPEC,DATOS!$E11560,nASIG,DATOS!$I11560,nEVAL,"EX")=0),0))))</f>
      </c>
      <c r="H11560">
        <f>IF(DATOS!$G11560&lt;&gt;"EX",0,--(COUNTIFS(nNIA,DATOS!$A11560,nCURSO,DATOS!$D11560,nESPEC,DATOS!$E11560,nASIG,DATOS!$I11560,nEVAL,"OR")=0))</f>
      </c>
      <c r="I11560">
        <f>IF(DATOS!$I11560="","",IFERROR(VLOOKUP(DATOS!$I11560,CONFIG_ASIGNATURAS!$B$2:$J$91,9,FALSE()),""))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IF(DATOS!$A11561="",0,IF(CONFIG_METADATA!$B$4&lt;&gt;"OR+EX",--(DATOS!$G11561=CONFIG_METADATA!$B$4),IF(DATOS!$G11561="EX",1,IF(DATOS!$G11561="OR",--(COUNTIFS(nNIA,DATOS!$A11561,nCURSO,DATOS!$D11561,nESPEC,DATOS!$E11561,nASIG,DATOS!$I11561,nEVAL,"EX")=0),0))))</f>
      </c>
      <c r="H11561">
        <f>IF(DATOS!$G11561&lt;&gt;"EX",0,--(COUNTIFS(nNIA,DATOS!$A11561,nCURSO,DATOS!$D11561,nESPEC,DATOS!$E11561,nASIG,DATOS!$I11561,nEVAL,"OR")=0))</f>
      </c>
      <c r="I11561">
        <f>IF(DATOS!$I11561="","",IFERROR(VLOOKUP(DATOS!$I11561,CONFIG_ASIGNATURAS!$B$2:$J$91,9,FALSE()),""))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IF(DATOS!$A11562="",0,IF(CONFIG_METADATA!$B$4&lt;&gt;"OR+EX",--(DATOS!$G11562=CONFIG_METADATA!$B$4),IF(DATOS!$G11562="EX",1,IF(DATOS!$G11562="OR",--(COUNTIFS(nNIA,DATOS!$A11562,nCURSO,DATOS!$D11562,nESPEC,DATOS!$E11562,nASIG,DATOS!$I11562,nEVAL,"EX")=0),0))))</f>
      </c>
      <c r="H11562">
        <f>IF(DATOS!$G11562&lt;&gt;"EX",0,--(COUNTIFS(nNIA,DATOS!$A11562,nCURSO,DATOS!$D11562,nESPEC,DATOS!$E11562,nASIG,DATOS!$I11562,nEVAL,"OR")=0))</f>
      </c>
      <c r="I11562">
        <f>IF(DATOS!$I11562="","",IFERROR(VLOOKUP(DATOS!$I11562,CONFIG_ASIGNATURAS!$B$2:$J$91,9,FALSE()),""))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IF(DATOS!$A11563="",0,IF(CONFIG_METADATA!$B$4&lt;&gt;"OR+EX",--(DATOS!$G11563=CONFIG_METADATA!$B$4),IF(DATOS!$G11563="EX",1,IF(DATOS!$G11563="OR",--(COUNTIFS(nNIA,DATOS!$A11563,nCURSO,DATOS!$D11563,nESPEC,DATOS!$E11563,nASIG,DATOS!$I11563,nEVAL,"EX")=0),0))))</f>
      </c>
      <c r="H11563">
        <f>IF(DATOS!$G11563&lt;&gt;"EX",0,--(COUNTIFS(nNIA,DATOS!$A11563,nCURSO,DATOS!$D11563,nESPEC,DATOS!$E11563,nASIG,DATOS!$I11563,nEVAL,"OR")=0))</f>
      </c>
      <c r="I11563">
        <f>IF(DATOS!$I11563="","",IFERROR(VLOOKUP(DATOS!$I11563,CONFIG_ASIGNATURAS!$B$2:$J$91,9,FALSE()),""))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IF(DATOS!$A11564="",0,IF(CONFIG_METADATA!$B$4&lt;&gt;"OR+EX",--(DATOS!$G11564=CONFIG_METADATA!$B$4),IF(DATOS!$G11564="EX",1,IF(DATOS!$G11564="OR",--(COUNTIFS(nNIA,DATOS!$A11564,nCURSO,DATOS!$D11564,nESPEC,DATOS!$E11564,nASIG,DATOS!$I11564,nEVAL,"EX")=0),0))))</f>
      </c>
      <c r="H11564">
        <f>IF(DATOS!$G11564&lt;&gt;"EX",0,--(COUNTIFS(nNIA,DATOS!$A11564,nCURSO,DATOS!$D11564,nESPEC,DATOS!$E11564,nASIG,DATOS!$I11564,nEVAL,"OR")=0))</f>
      </c>
      <c r="I11564">
        <f>IF(DATOS!$I11564="","",IFERROR(VLOOKUP(DATOS!$I11564,CONFIG_ASIGNATURAS!$B$2:$J$91,9,FALSE()),""))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IF(DATOS!$A11565="",0,IF(CONFIG_METADATA!$B$4&lt;&gt;"OR+EX",--(DATOS!$G11565=CONFIG_METADATA!$B$4),IF(DATOS!$G11565="EX",1,IF(DATOS!$G11565="OR",--(COUNTIFS(nNIA,DATOS!$A11565,nCURSO,DATOS!$D11565,nESPEC,DATOS!$E11565,nASIG,DATOS!$I11565,nEVAL,"EX")=0),0))))</f>
      </c>
      <c r="H11565">
        <f>IF(DATOS!$G11565&lt;&gt;"EX",0,--(COUNTIFS(nNIA,DATOS!$A11565,nCURSO,DATOS!$D11565,nESPEC,DATOS!$E11565,nASIG,DATOS!$I11565,nEVAL,"OR")=0))</f>
      </c>
      <c r="I11565">
        <f>IF(DATOS!$I11565="","",IFERROR(VLOOKUP(DATOS!$I11565,CONFIG_ASIGNATURAS!$B$2:$J$91,9,FALSE()),""))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IF(DATOS!$A11566="",0,IF(CONFIG_METADATA!$B$4&lt;&gt;"OR+EX",--(DATOS!$G11566=CONFIG_METADATA!$B$4),IF(DATOS!$G11566="EX",1,IF(DATOS!$G11566="OR",--(COUNTIFS(nNIA,DATOS!$A11566,nCURSO,DATOS!$D11566,nESPEC,DATOS!$E11566,nASIG,DATOS!$I11566,nEVAL,"EX")=0),0))))</f>
      </c>
      <c r="H11566">
        <f>IF(DATOS!$G11566&lt;&gt;"EX",0,--(COUNTIFS(nNIA,DATOS!$A11566,nCURSO,DATOS!$D11566,nESPEC,DATOS!$E11566,nASIG,DATOS!$I11566,nEVAL,"OR")=0))</f>
      </c>
      <c r="I11566">
        <f>IF(DATOS!$I11566="","",IFERROR(VLOOKUP(DATOS!$I11566,CONFIG_ASIGNATURAS!$B$2:$J$91,9,FALSE()),""))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IF(DATOS!$A11567="",0,IF(CONFIG_METADATA!$B$4&lt;&gt;"OR+EX",--(DATOS!$G11567=CONFIG_METADATA!$B$4),IF(DATOS!$G11567="EX",1,IF(DATOS!$G11567="OR",--(COUNTIFS(nNIA,DATOS!$A11567,nCURSO,DATOS!$D11567,nESPEC,DATOS!$E11567,nASIG,DATOS!$I11567,nEVAL,"EX")=0),0))))</f>
      </c>
      <c r="H11567">
        <f>IF(DATOS!$G11567&lt;&gt;"EX",0,--(COUNTIFS(nNIA,DATOS!$A11567,nCURSO,DATOS!$D11567,nESPEC,DATOS!$E11567,nASIG,DATOS!$I11567,nEVAL,"OR")=0))</f>
      </c>
      <c r="I11567">
        <f>IF(DATOS!$I11567="","",IFERROR(VLOOKUP(DATOS!$I11567,CONFIG_ASIGNATURAS!$B$2:$J$91,9,FALSE()),""))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IF(DATOS!$A11568="",0,IF(CONFIG_METADATA!$B$4&lt;&gt;"OR+EX",--(DATOS!$G11568=CONFIG_METADATA!$B$4),IF(DATOS!$G11568="EX",1,IF(DATOS!$G11568="OR",--(COUNTIFS(nNIA,DATOS!$A11568,nCURSO,DATOS!$D11568,nESPEC,DATOS!$E11568,nASIG,DATOS!$I11568,nEVAL,"EX")=0),0))))</f>
      </c>
      <c r="H11568">
        <f>IF(DATOS!$G11568&lt;&gt;"EX",0,--(COUNTIFS(nNIA,DATOS!$A11568,nCURSO,DATOS!$D11568,nESPEC,DATOS!$E11568,nASIG,DATOS!$I11568,nEVAL,"OR")=0))</f>
      </c>
      <c r="I11568">
        <f>IF(DATOS!$I11568="","",IFERROR(VLOOKUP(DATOS!$I11568,CONFIG_ASIGNATURAS!$B$2:$J$91,9,FALSE()),""))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IF(DATOS!$A11569="",0,IF(CONFIG_METADATA!$B$4&lt;&gt;"OR+EX",--(DATOS!$G11569=CONFIG_METADATA!$B$4),IF(DATOS!$G11569="EX",1,IF(DATOS!$G11569="OR",--(COUNTIFS(nNIA,DATOS!$A11569,nCURSO,DATOS!$D11569,nESPEC,DATOS!$E11569,nASIG,DATOS!$I11569,nEVAL,"EX")=0),0))))</f>
      </c>
      <c r="H11569">
        <f>IF(DATOS!$G11569&lt;&gt;"EX",0,--(COUNTIFS(nNIA,DATOS!$A11569,nCURSO,DATOS!$D11569,nESPEC,DATOS!$E11569,nASIG,DATOS!$I11569,nEVAL,"OR")=0))</f>
      </c>
      <c r="I11569">
        <f>IF(DATOS!$I11569="","",IFERROR(VLOOKUP(DATOS!$I11569,CONFIG_ASIGNATURAS!$B$2:$J$91,9,FALSE()),""))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IF(DATOS!$A11570="",0,IF(CONFIG_METADATA!$B$4&lt;&gt;"OR+EX",--(DATOS!$G11570=CONFIG_METADATA!$B$4),IF(DATOS!$G11570="EX",1,IF(DATOS!$G11570="OR",--(COUNTIFS(nNIA,DATOS!$A11570,nCURSO,DATOS!$D11570,nESPEC,DATOS!$E11570,nASIG,DATOS!$I11570,nEVAL,"EX")=0),0))))</f>
      </c>
      <c r="H11570">
        <f>IF(DATOS!$G11570&lt;&gt;"EX",0,--(COUNTIFS(nNIA,DATOS!$A11570,nCURSO,DATOS!$D11570,nESPEC,DATOS!$E11570,nASIG,DATOS!$I11570,nEVAL,"OR")=0))</f>
      </c>
      <c r="I11570">
        <f>IF(DATOS!$I11570="","",IFERROR(VLOOKUP(DATOS!$I11570,CONFIG_ASIGNATURAS!$B$2:$J$91,9,FALSE()),""))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IF(DATOS!$A11571="",0,IF(CONFIG_METADATA!$B$4&lt;&gt;"OR+EX",--(DATOS!$G11571=CONFIG_METADATA!$B$4),IF(DATOS!$G11571="EX",1,IF(DATOS!$G11571="OR",--(COUNTIFS(nNIA,DATOS!$A11571,nCURSO,DATOS!$D11571,nESPEC,DATOS!$E11571,nASIG,DATOS!$I11571,nEVAL,"EX")=0),0))))</f>
      </c>
      <c r="H11571">
        <f>IF(DATOS!$G11571&lt;&gt;"EX",0,--(COUNTIFS(nNIA,DATOS!$A11571,nCURSO,DATOS!$D11571,nESPEC,DATOS!$E11571,nASIG,DATOS!$I11571,nEVAL,"OR")=0))</f>
      </c>
      <c r="I11571">
        <f>IF(DATOS!$I11571="","",IFERROR(VLOOKUP(DATOS!$I11571,CONFIG_ASIGNATURAS!$B$2:$J$91,9,FALSE()),""))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IF(DATOS!$A11572="",0,IF(CONFIG_METADATA!$B$4&lt;&gt;"OR+EX",--(DATOS!$G11572=CONFIG_METADATA!$B$4),IF(DATOS!$G11572="EX",1,IF(DATOS!$G11572="OR",--(COUNTIFS(nNIA,DATOS!$A11572,nCURSO,DATOS!$D11572,nESPEC,DATOS!$E11572,nASIG,DATOS!$I11572,nEVAL,"EX")=0),0))))</f>
      </c>
      <c r="H11572">
        <f>IF(DATOS!$G11572&lt;&gt;"EX",0,--(COUNTIFS(nNIA,DATOS!$A11572,nCURSO,DATOS!$D11572,nESPEC,DATOS!$E11572,nASIG,DATOS!$I11572,nEVAL,"OR")=0))</f>
      </c>
      <c r="I11572">
        <f>IF(DATOS!$I11572="","",IFERROR(VLOOKUP(DATOS!$I11572,CONFIG_ASIGNATURAS!$B$2:$J$91,9,FALSE()),""))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IF(DATOS!$A11573="",0,IF(CONFIG_METADATA!$B$4&lt;&gt;"OR+EX",--(DATOS!$G11573=CONFIG_METADATA!$B$4),IF(DATOS!$G11573="EX",1,IF(DATOS!$G11573="OR",--(COUNTIFS(nNIA,DATOS!$A11573,nCURSO,DATOS!$D11573,nESPEC,DATOS!$E11573,nASIG,DATOS!$I11573,nEVAL,"EX")=0),0))))</f>
      </c>
      <c r="H11573">
        <f>IF(DATOS!$G11573&lt;&gt;"EX",0,--(COUNTIFS(nNIA,DATOS!$A11573,nCURSO,DATOS!$D11573,nESPEC,DATOS!$E11573,nASIG,DATOS!$I11573,nEVAL,"OR")=0))</f>
      </c>
      <c r="I11573">
        <f>IF(DATOS!$I11573="","",IFERROR(VLOOKUP(DATOS!$I11573,CONFIG_ASIGNATURAS!$B$2:$J$91,9,FALSE()),""))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IF(DATOS!$A11574="",0,IF(CONFIG_METADATA!$B$4&lt;&gt;"OR+EX",--(DATOS!$G11574=CONFIG_METADATA!$B$4),IF(DATOS!$G11574="EX",1,IF(DATOS!$G11574="OR",--(COUNTIFS(nNIA,DATOS!$A11574,nCURSO,DATOS!$D11574,nESPEC,DATOS!$E11574,nASIG,DATOS!$I11574,nEVAL,"EX")=0),0))))</f>
      </c>
      <c r="H11574">
        <f>IF(DATOS!$G11574&lt;&gt;"EX",0,--(COUNTIFS(nNIA,DATOS!$A11574,nCURSO,DATOS!$D11574,nESPEC,DATOS!$E11574,nASIG,DATOS!$I11574,nEVAL,"OR")=0))</f>
      </c>
      <c r="I11574">
        <f>IF(DATOS!$I11574="","",IFERROR(VLOOKUP(DATOS!$I11574,CONFIG_ASIGNATURAS!$B$2:$J$91,9,FALSE()),""))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IF(DATOS!$A11575="",0,IF(CONFIG_METADATA!$B$4&lt;&gt;"OR+EX",--(DATOS!$G11575=CONFIG_METADATA!$B$4),IF(DATOS!$G11575="EX",1,IF(DATOS!$G11575="OR",--(COUNTIFS(nNIA,DATOS!$A11575,nCURSO,DATOS!$D11575,nESPEC,DATOS!$E11575,nASIG,DATOS!$I11575,nEVAL,"EX")=0),0))))</f>
      </c>
      <c r="H11575">
        <f>IF(DATOS!$G11575&lt;&gt;"EX",0,--(COUNTIFS(nNIA,DATOS!$A11575,nCURSO,DATOS!$D11575,nESPEC,DATOS!$E11575,nASIG,DATOS!$I11575,nEVAL,"OR")=0))</f>
      </c>
      <c r="I11575">
        <f>IF(DATOS!$I11575="","",IFERROR(VLOOKUP(DATOS!$I11575,CONFIG_ASIGNATURAS!$B$2:$J$91,9,FALSE()),""))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IF(DATOS!$A11576="",0,IF(CONFIG_METADATA!$B$4&lt;&gt;"OR+EX",--(DATOS!$G11576=CONFIG_METADATA!$B$4),IF(DATOS!$G11576="EX",1,IF(DATOS!$G11576="OR",--(COUNTIFS(nNIA,DATOS!$A11576,nCURSO,DATOS!$D11576,nESPEC,DATOS!$E11576,nASIG,DATOS!$I11576,nEVAL,"EX")=0),0))))</f>
      </c>
      <c r="H11576">
        <f>IF(DATOS!$G11576&lt;&gt;"EX",0,--(COUNTIFS(nNIA,DATOS!$A11576,nCURSO,DATOS!$D11576,nESPEC,DATOS!$E11576,nASIG,DATOS!$I11576,nEVAL,"OR")=0))</f>
      </c>
      <c r="I11576">
        <f>IF(DATOS!$I11576="","",IFERROR(VLOOKUP(DATOS!$I11576,CONFIG_ASIGNATURAS!$B$2:$J$91,9,FALSE()),""))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IF(DATOS!$A11577="",0,IF(CONFIG_METADATA!$B$4&lt;&gt;"OR+EX",--(DATOS!$G11577=CONFIG_METADATA!$B$4),IF(DATOS!$G11577="EX",1,IF(DATOS!$G11577="OR",--(COUNTIFS(nNIA,DATOS!$A11577,nCURSO,DATOS!$D11577,nESPEC,DATOS!$E11577,nASIG,DATOS!$I11577,nEVAL,"EX")=0),0))))</f>
      </c>
      <c r="H11577">
        <f>IF(DATOS!$G11577&lt;&gt;"EX",0,--(COUNTIFS(nNIA,DATOS!$A11577,nCURSO,DATOS!$D11577,nESPEC,DATOS!$E11577,nASIG,DATOS!$I11577,nEVAL,"OR")=0))</f>
      </c>
      <c r="I11577">
        <f>IF(DATOS!$I11577="","",IFERROR(VLOOKUP(DATOS!$I11577,CONFIG_ASIGNATURAS!$B$2:$J$91,9,FALSE()),""))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IF(DATOS!$A11578="",0,IF(CONFIG_METADATA!$B$4&lt;&gt;"OR+EX",--(DATOS!$G11578=CONFIG_METADATA!$B$4),IF(DATOS!$G11578="EX",1,IF(DATOS!$G11578="OR",--(COUNTIFS(nNIA,DATOS!$A11578,nCURSO,DATOS!$D11578,nESPEC,DATOS!$E11578,nASIG,DATOS!$I11578,nEVAL,"EX")=0),0))))</f>
      </c>
      <c r="H11578">
        <f>IF(DATOS!$G11578&lt;&gt;"EX",0,--(COUNTIFS(nNIA,DATOS!$A11578,nCURSO,DATOS!$D11578,nESPEC,DATOS!$E11578,nASIG,DATOS!$I11578,nEVAL,"OR")=0))</f>
      </c>
      <c r="I11578">
        <f>IF(DATOS!$I11578="","",IFERROR(VLOOKUP(DATOS!$I11578,CONFIG_ASIGNATURAS!$B$2:$J$91,9,FALSE()),""))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IF(DATOS!$A11579="",0,IF(CONFIG_METADATA!$B$4&lt;&gt;"OR+EX",--(DATOS!$G11579=CONFIG_METADATA!$B$4),IF(DATOS!$G11579="EX",1,IF(DATOS!$G11579="OR",--(COUNTIFS(nNIA,DATOS!$A11579,nCURSO,DATOS!$D11579,nESPEC,DATOS!$E11579,nASIG,DATOS!$I11579,nEVAL,"EX")=0),0))))</f>
      </c>
      <c r="H11579">
        <f>IF(DATOS!$G11579&lt;&gt;"EX",0,--(COUNTIFS(nNIA,DATOS!$A11579,nCURSO,DATOS!$D11579,nESPEC,DATOS!$E11579,nASIG,DATOS!$I11579,nEVAL,"OR")=0))</f>
      </c>
      <c r="I11579">
        <f>IF(DATOS!$I11579="","",IFERROR(VLOOKUP(DATOS!$I11579,CONFIG_ASIGNATURAS!$B$2:$J$91,9,FALSE()),""))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IF(DATOS!$A11580="",0,IF(CONFIG_METADATA!$B$4&lt;&gt;"OR+EX",--(DATOS!$G11580=CONFIG_METADATA!$B$4),IF(DATOS!$G11580="EX",1,IF(DATOS!$G11580="OR",--(COUNTIFS(nNIA,DATOS!$A11580,nCURSO,DATOS!$D11580,nESPEC,DATOS!$E11580,nASIG,DATOS!$I11580,nEVAL,"EX")=0),0))))</f>
      </c>
      <c r="H11580">
        <f>IF(DATOS!$G11580&lt;&gt;"EX",0,--(COUNTIFS(nNIA,DATOS!$A11580,nCURSO,DATOS!$D11580,nESPEC,DATOS!$E11580,nASIG,DATOS!$I11580,nEVAL,"OR")=0))</f>
      </c>
      <c r="I11580">
        <f>IF(DATOS!$I11580="","",IFERROR(VLOOKUP(DATOS!$I11580,CONFIG_ASIGNATURAS!$B$2:$J$91,9,FALSE()),""))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IF(DATOS!$A11581="",0,IF(CONFIG_METADATA!$B$4&lt;&gt;"OR+EX",--(DATOS!$G11581=CONFIG_METADATA!$B$4),IF(DATOS!$G11581="EX",1,IF(DATOS!$G11581="OR",--(COUNTIFS(nNIA,DATOS!$A11581,nCURSO,DATOS!$D11581,nESPEC,DATOS!$E11581,nASIG,DATOS!$I11581,nEVAL,"EX")=0),0))))</f>
      </c>
      <c r="H11581">
        <f>IF(DATOS!$G11581&lt;&gt;"EX",0,--(COUNTIFS(nNIA,DATOS!$A11581,nCURSO,DATOS!$D11581,nESPEC,DATOS!$E11581,nASIG,DATOS!$I11581,nEVAL,"OR")=0))</f>
      </c>
      <c r="I11581">
        <f>IF(DATOS!$I11581="","",IFERROR(VLOOKUP(DATOS!$I11581,CONFIG_ASIGNATURAS!$B$2:$J$91,9,FALSE()),""))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IF(DATOS!$A11582="",0,IF(CONFIG_METADATA!$B$4&lt;&gt;"OR+EX",--(DATOS!$G11582=CONFIG_METADATA!$B$4),IF(DATOS!$G11582="EX",1,IF(DATOS!$G11582="OR",--(COUNTIFS(nNIA,DATOS!$A11582,nCURSO,DATOS!$D11582,nESPEC,DATOS!$E11582,nASIG,DATOS!$I11582,nEVAL,"EX")=0),0))))</f>
      </c>
      <c r="H11582">
        <f>IF(DATOS!$G11582&lt;&gt;"EX",0,--(COUNTIFS(nNIA,DATOS!$A11582,nCURSO,DATOS!$D11582,nESPEC,DATOS!$E11582,nASIG,DATOS!$I11582,nEVAL,"OR")=0))</f>
      </c>
      <c r="I11582">
        <f>IF(DATOS!$I11582="","",IFERROR(VLOOKUP(DATOS!$I11582,CONFIG_ASIGNATURAS!$B$2:$J$91,9,FALSE()),""))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IF(DATOS!$A11583="",0,IF(CONFIG_METADATA!$B$4&lt;&gt;"OR+EX",--(DATOS!$G11583=CONFIG_METADATA!$B$4),IF(DATOS!$G11583="EX",1,IF(DATOS!$G11583="OR",--(COUNTIFS(nNIA,DATOS!$A11583,nCURSO,DATOS!$D11583,nESPEC,DATOS!$E11583,nASIG,DATOS!$I11583,nEVAL,"EX")=0),0))))</f>
      </c>
      <c r="H11583">
        <f>IF(DATOS!$G11583&lt;&gt;"EX",0,--(COUNTIFS(nNIA,DATOS!$A11583,nCURSO,DATOS!$D11583,nESPEC,DATOS!$E11583,nASIG,DATOS!$I11583,nEVAL,"OR")=0))</f>
      </c>
      <c r="I11583">
        <f>IF(DATOS!$I11583="","",IFERROR(VLOOKUP(DATOS!$I11583,CONFIG_ASIGNATURAS!$B$2:$J$91,9,FALSE()),""))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IF(DATOS!$A11584="",0,IF(CONFIG_METADATA!$B$4&lt;&gt;"OR+EX",--(DATOS!$G11584=CONFIG_METADATA!$B$4),IF(DATOS!$G11584="EX",1,IF(DATOS!$G11584="OR",--(COUNTIFS(nNIA,DATOS!$A11584,nCURSO,DATOS!$D11584,nESPEC,DATOS!$E11584,nASIG,DATOS!$I11584,nEVAL,"EX")=0),0))))</f>
      </c>
      <c r="H11584">
        <f>IF(DATOS!$G11584&lt;&gt;"EX",0,--(COUNTIFS(nNIA,DATOS!$A11584,nCURSO,DATOS!$D11584,nESPEC,DATOS!$E11584,nASIG,DATOS!$I11584,nEVAL,"OR")=0))</f>
      </c>
      <c r="I11584">
        <f>IF(DATOS!$I11584="","",IFERROR(VLOOKUP(DATOS!$I11584,CONFIG_ASIGNATURAS!$B$2:$J$91,9,FALSE()),""))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IF(DATOS!$A11585="",0,IF(CONFIG_METADATA!$B$4&lt;&gt;"OR+EX",--(DATOS!$G11585=CONFIG_METADATA!$B$4),IF(DATOS!$G11585="EX",1,IF(DATOS!$G11585="OR",--(COUNTIFS(nNIA,DATOS!$A11585,nCURSO,DATOS!$D11585,nESPEC,DATOS!$E11585,nASIG,DATOS!$I11585,nEVAL,"EX")=0),0))))</f>
      </c>
      <c r="H11585">
        <f>IF(DATOS!$G11585&lt;&gt;"EX",0,--(COUNTIFS(nNIA,DATOS!$A11585,nCURSO,DATOS!$D11585,nESPEC,DATOS!$E11585,nASIG,DATOS!$I11585,nEVAL,"OR")=0))</f>
      </c>
      <c r="I11585">
        <f>IF(DATOS!$I11585="","",IFERROR(VLOOKUP(DATOS!$I11585,CONFIG_ASIGNATURAS!$B$2:$J$91,9,FALSE()),""))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IF(DATOS!$A11586="",0,IF(CONFIG_METADATA!$B$4&lt;&gt;"OR+EX",--(DATOS!$G11586=CONFIG_METADATA!$B$4),IF(DATOS!$G11586="EX",1,IF(DATOS!$G11586="OR",--(COUNTIFS(nNIA,DATOS!$A11586,nCURSO,DATOS!$D11586,nESPEC,DATOS!$E11586,nASIG,DATOS!$I11586,nEVAL,"EX")=0),0))))</f>
      </c>
      <c r="H11586">
        <f>IF(DATOS!$G11586&lt;&gt;"EX",0,--(COUNTIFS(nNIA,DATOS!$A11586,nCURSO,DATOS!$D11586,nESPEC,DATOS!$E11586,nASIG,DATOS!$I11586,nEVAL,"OR")=0))</f>
      </c>
      <c r="I11586">
        <f>IF(DATOS!$I11586="","",IFERROR(VLOOKUP(DATOS!$I11586,CONFIG_ASIGNATURAS!$B$2:$J$91,9,FALSE()),""))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IF(DATOS!$A11587="",0,IF(CONFIG_METADATA!$B$4&lt;&gt;"OR+EX",--(DATOS!$G11587=CONFIG_METADATA!$B$4),IF(DATOS!$G11587="EX",1,IF(DATOS!$G11587="OR",--(COUNTIFS(nNIA,DATOS!$A11587,nCURSO,DATOS!$D11587,nESPEC,DATOS!$E11587,nASIG,DATOS!$I11587,nEVAL,"EX")=0),0))))</f>
      </c>
      <c r="H11587">
        <f>IF(DATOS!$G11587&lt;&gt;"EX",0,--(COUNTIFS(nNIA,DATOS!$A11587,nCURSO,DATOS!$D11587,nESPEC,DATOS!$E11587,nASIG,DATOS!$I11587,nEVAL,"OR")=0))</f>
      </c>
      <c r="I11587">
        <f>IF(DATOS!$I11587="","",IFERROR(VLOOKUP(DATOS!$I11587,CONFIG_ASIGNATURAS!$B$2:$J$91,9,FALSE()),""))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IF(DATOS!$A11588="",0,IF(CONFIG_METADATA!$B$4&lt;&gt;"OR+EX",--(DATOS!$G11588=CONFIG_METADATA!$B$4),IF(DATOS!$G11588="EX",1,IF(DATOS!$G11588="OR",--(COUNTIFS(nNIA,DATOS!$A11588,nCURSO,DATOS!$D11588,nESPEC,DATOS!$E11588,nASIG,DATOS!$I11588,nEVAL,"EX")=0),0))))</f>
      </c>
      <c r="H11588">
        <f>IF(DATOS!$G11588&lt;&gt;"EX",0,--(COUNTIFS(nNIA,DATOS!$A11588,nCURSO,DATOS!$D11588,nESPEC,DATOS!$E11588,nASIG,DATOS!$I11588,nEVAL,"OR")=0))</f>
      </c>
      <c r="I11588">
        <f>IF(DATOS!$I11588="","",IFERROR(VLOOKUP(DATOS!$I11588,CONFIG_ASIGNATURAS!$B$2:$J$91,9,FALSE()),""))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IF(DATOS!$A11589="",0,IF(CONFIG_METADATA!$B$4&lt;&gt;"OR+EX",--(DATOS!$G11589=CONFIG_METADATA!$B$4),IF(DATOS!$G11589="EX",1,IF(DATOS!$G11589="OR",--(COUNTIFS(nNIA,DATOS!$A11589,nCURSO,DATOS!$D11589,nESPEC,DATOS!$E11589,nASIG,DATOS!$I11589,nEVAL,"EX")=0),0))))</f>
      </c>
      <c r="H11589">
        <f>IF(DATOS!$G11589&lt;&gt;"EX",0,--(COUNTIFS(nNIA,DATOS!$A11589,nCURSO,DATOS!$D11589,nESPEC,DATOS!$E11589,nASIG,DATOS!$I11589,nEVAL,"OR")=0))</f>
      </c>
      <c r="I11589">
        <f>IF(DATOS!$I11589="","",IFERROR(VLOOKUP(DATOS!$I11589,CONFIG_ASIGNATURAS!$B$2:$J$91,9,FALSE()),""))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IF(DATOS!$A11590="",0,IF(CONFIG_METADATA!$B$4&lt;&gt;"OR+EX",--(DATOS!$G11590=CONFIG_METADATA!$B$4),IF(DATOS!$G11590="EX",1,IF(DATOS!$G11590="OR",--(COUNTIFS(nNIA,DATOS!$A11590,nCURSO,DATOS!$D11590,nESPEC,DATOS!$E11590,nASIG,DATOS!$I11590,nEVAL,"EX")=0),0))))</f>
      </c>
      <c r="H11590">
        <f>IF(DATOS!$G11590&lt;&gt;"EX",0,--(COUNTIFS(nNIA,DATOS!$A11590,nCURSO,DATOS!$D11590,nESPEC,DATOS!$E11590,nASIG,DATOS!$I11590,nEVAL,"OR")=0))</f>
      </c>
      <c r="I11590">
        <f>IF(DATOS!$I11590="","",IFERROR(VLOOKUP(DATOS!$I11590,CONFIG_ASIGNATURAS!$B$2:$J$91,9,FALSE()),""))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IF(DATOS!$A11591="",0,IF(CONFIG_METADATA!$B$4&lt;&gt;"OR+EX",--(DATOS!$G11591=CONFIG_METADATA!$B$4),IF(DATOS!$G11591="EX",1,IF(DATOS!$G11591="OR",--(COUNTIFS(nNIA,DATOS!$A11591,nCURSO,DATOS!$D11591,nESPEC,DATOS!$E11591,nASIG,DATOS!$I11591,nEVAL,"EX")=0),0))))</f>
      </c>
      <c r="H11591">
        <f>IF(DATOS!$G11591&lt;&gt;"EX",0,--(COUNTIFS(nNIA,DATOS!$A11591,nCURSO,DATOS!$D11591,nESPEC,DATOS!$E11591,nASIG,DATOS!$I11591,nEVAL,"OR")=0))</f>
      </c>
      <c r="I11591">
        <f>IF(DATOS!$I11591="","",IFERROR(VLOOKUP(DATOS!$I11591,CONFIG_ASIGNATURAS!$B$2:$J$91,9,FALSE()),""))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IF(DATOS!$A11592="",0,IF(CONFIG_METADATA!$B$4&lt;&gt;"OR+EX",--(DATOS!$G11592=CONFIG_METADATA!$B$4),IF(DATOS!$G11592="EX",1,IF(DATOS!$G11592="OR",--(COUNTIFS(nNIA,DATOS!$A11592,nCURSO,DATOS!$D11592,nESPEC,DATOS!$E11592,nASIG,DATOS!$I11592,nEVAL,"EX")=0),0))))</f>
      </c>
      <c r="H11592">
        <f>IF(DATOS!$G11592&lt;&gt;"EX",0,--(COUNTIFS(nNIA,DATOS!$A11592,nCURSO,DATOS!$D11592,nESPEC,DATOS!$E11592,nASIG,DATOS!$I11592,nEVAL,"OR")=0))</f>
      </c>
      <c r="I11592">
        <f>IF(DATOS!$I11592="","",IFERROR(VLOOKUP(DATOS!$I11592,CONFIG_ASIGNATURAS!$B$2:$J$91,9,FALSE()),""))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IF(DATOS!$A11593="",0,IF(CONFIG_METADATA!$B$4&lt;&gt;"OR+EX",--(DATOS!$G11593=CONFIG_METADATA!$B$4),IF(DATOS!$G11593="EX",1,IF(DATOS!$G11593="OR",--(COUNTIFS(nNIA,DATOS!$A11593,nCURSO,DATOS!$D11593,nESPEC,DATOS!$E11593,nASIG,DATOS!$I11593,nEVAL,"EX")=0),0))))</f>
      </c>
      <c r="H11593">
        <f>IF(DATOS!$G11593&lt;&gt;"EX",0,--(COUNTIFS(nNIA,DATOS!$A11593,nCURSO,DATOS!$D11593,nESPEC,DATOS!$E11593,nASIG,DATOS!$I11593,nEVAL,"OR")=0))</f>
      </c>
      <c r="I11593">
        <f>IF(DATOS!$I11593="","",IFERROR(VLOOKUP(DATOS!$I11593,CONFIG_ASIGNATURAS!$B$2:$J$91,9,FALSE()),""))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IF(DATOS!$A11594="",0,IF(CONFIG_METADATA!$B$4&lt;&gt;"OR+EX",--(DATOS!$G11594=CONFIG_METADATA!$B$4),IF(DATOS!$G11594="EX",1,IF(DATOS!$G11594="OR",--(COUNTIFS(nNIA,DATOS!$A11594,nCURSO,DATOS!$D11594,nESPEC,DATOS!$E11594,nASIG,DATOS!$I11594,nEVAL,"EX")=0),0))))</f>
      </c>
      <c r="H11594">
        <f>IF(DATOS!$G11594&lt;&gt;"EX",0,--(COUNTIFS(nNIA,DATOS!$A11594,nCURSO,DATOS!$D11594,nESPEC,DATOS!$E11594,nASIG,DATOS!$I11594,nEVAL,"OR")=0))</f>
      </c>
      <c r="I11594">
        <f>IF(DATOS!$I11594="","",IFERROR(VLOOKUP(DATOS!$I11594,CONFIG_ASIGNATURAS!$B$2:$J$91,9,FALSE()),""))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IF(DATOS!$A11595="",0,IF(CONFIG_METADATA!$B$4&lt;&gt;"OR+EX",--(DATOS!$G11595=CONFIG_METADATA!$B$4),IF(DATOS!$G11595="EX",1,IF(DATOS!$G11595="OR",--(COUNTIFS(nNIA,DATOS!$A11595,nCURSO,DATOS!$D11595,nESPEC,DATOS!$E11595,nASIG,DATOS!$I11595,nEVAL,"EX")=0),0))))</f>
      </c>
      <c r="H11595">
        <f>IF(DATOS!$G11595&lt;&gt;"EX",0,--(COUNTIFS(nNIA,DATOS!$A11595,nCURSO,DATOS!$D11595,nESPEC,DATOS!$E11595,nASIG,DATOS!$I11595,nEVAL,"OR")=0))</f>
      </c>
      <c r="I11595">
        <f>IF(DATOS!$I11595="","",IFERROR(VLOOKUP(DATOS!$I11595,CONFIG_ASIGNATURAS!$B$2:$J$91,9,FALSE()),""))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IF(DATOS!$A11596="",0,IF(CONFIG_METADATA!$B$4&lt;&gt;"OR+EX",--(DATOS!$G11596=CONFIG_METADATA!$B$4),IF(DATOS!$G11596="EX",1,IF(DATOS!$G11596="OR",--(COUNTIFS(nNIA,DATOS!$A11596,nCURSO,DATOS!$D11596,nESPEC,DATOS!$E11596,nASIG,DATOS!$I11596,nEVAL,"EX")=0),0))))</f>
      </c>
      <c r="H11596">
        <f>IF(DATOS!$G11596&lt;&gt;"EX",0,--(COUNTIFS(nNIA,DATOS!$A11596,nCURSO,DATOS!$D11596,nESPEC,DATOS!$E11596,nASIG,DATOS!$I11596,nEVAL,"OR")=0))</f>
      </c>
      <c r="I11596">
        <f>IF(DATOS!$I11596="","",IFERROR(VLOOKUP(DATOS!$I11596,CONFIG_ASIGNATURAS!$B$2:$J$91,9,FALSE()),""))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IF(DATOS!$A11597="",0,IF(CONFIG_METADATA!$B$4&lt;&gt;"OR+EX",--(DATOS!$G11597=CONFIG_METADATA!$B$4),IF(DATOS!$G11597="EX",1,IF(DATOS!$G11597="OR",--(COUNTIFS(nNIA,DATOS!$A11597,nCURSO,DATOS!$D11597,nESPEC,DATOS!$E11597,nASIG,DATOS!$I11597,nEVAL,"EX")=0),0))))</f>
      </c>
      <c r="H11597">
        <f>IF(DATOS!$G11597&lt;&gt;"EX",0,--(COUNTIFS(nNIA,DATOS!$A11597,nCURSO,DATOS!$D11597,nESPEC,DATOS!$E11597,nASIG,DATOS!$I11597,nEVAL,"OR")=0))</f>
      </c>
      <c r="I11597">
        <f>IF(DATOS!$I11597="","",IFERROR(VLOOKUP(DATOS!$I11597,CONFIG_ASIGNATURAS!$B$2:$J$91,9,FALSE()),""))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IF(DATOS!$A11598="",0,IF(CONFIG_METADATA!$B$4&lt;&gt;"OR+EX",--(DATOS!$G11598=CONFIG_METADATA!$B$4),IF(DATOS!$G11598="EX",1,IF(DATOS!$G11598="OR",--(COUNTIFS(nNIA,DATOS!$A11598,nCURSO,DATOS!$D11598,nESPEC,DATOS!$E11598,nASIG,DATOS!$I11598,nEVAL,"EX")=0),0))))</f>
      </c>
      <c r="H11598">
        <f>IF(DATOS!$G11598&lt;&gt;"EX",0,--(COUNTIFS(nNIA,DATOS!$A11598,nCURSO,DATOS!$D11598,nESPEC,DATOS!$E11598,nASIG,DATOS!$I11598,nEVAL,"OR")=0))</f>
      </c>
      <c r="I11598">
        <f>IF(DATOS!$I11598="","",IFERROR(VLOOKUP(DATOS!$I11598,CONFIG_ASIGNATURAS!$B$2:$J$91,9,FALSE()),""))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IF(DATOS!$A11599="",0,IF(CONFIG_METADATA!$B$4&lt;&gt;"OR+EX",--(DATOS!$G11599=CONFIG_METADATA!$B$4),IF(DATOS!$G11599="EX",1,IF(DATOS!$G11599="OR",--(COUNTIFS(nNIA,DATOS!$A11599,nCURSO,DATOS!$D11599,nESPEC,DATOS!$E11599,nASIG,DATOS!$I11599,nEVAL,"EX")=0),0))))</f>
      </c>
      <c r="H11599">
        <f>IF(DATOS!$G11599&lt;&gt;"EX",0,--(COUNTIFS(nNIA,DATOS!$A11599,nCURSO,DATOS!$D11599,nESPEC,DATOS!$E11599,nASIG,DATOS!$I11599,nEVAL,"OR")=0))</f>
      </c>
      <c r="I11599">
        <f>IF(DATOS!$I11599="","",IFERROR(VLOOKUP(DATOS!$I11599,CONFIG_ASIGNATURAS!$B$2:$J$91,9,FALSE()),""))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IF(DATOS!$A11600="",0,IF(CONFIG_METADATA!$B$4&lt;&gt;"OR+EX",--(DATOS!$G11600=CONFIG_METADATA!$B$4),IF(DATOS!$G11600="EX",1,IF(DATOS!$G11600="OR",--(COUNTIFS(nNIA,DATOS!$A11600,nCURSO,DATOS!$D11600,nESPEC,DATOS!$E11600,nASIG,DATOS!$I11600,nEVAL,"EX")=0),0))))</f>
      </c>
      <c r="H11600">
        <f>IF(DATOS!$G11600&lt;&gt;"EX",0,--(COUNTIFS(nNIA,DATOS!$A11600,nCURSO,DATOS!$D11600,nESPEC,DATOS!$E11600,nASIG,DATOS!$I11600,nEVAL,"OR")=0))</f>
      </c>
      <c r="I11600">
        <f>IF(DATOS!$I11600="","",IFERROR(VLOOKUP(DATOS!$I11600,CONFIG_ASIGNATURAS!$B$2:$J$91,9,FALSE()),""))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IF(DATOS!$A11601="",0,IF(CONFIG_METADATA!$B$4&lt;&gt;"OR+EX",--(DATOS!$G11601=CONFIG_METADATA!$B$4),IF(DATOS!$G11601="EX",1,IF(DATOS!$G11601="OR",--(COUNTIFS(nNIA,DATOS!$A11601,nCURSO,DATOS!$D11601,nESPEC,DATOS!$E11601,nASIG,DATOS!$I11601,nEVAL,"EX")=0),0))))</f>
      </c>
      <c r="H11601">
        <f>IF(DATOS!$G11601&lt;&gt;"EX",0,--(COUNTIFS(nNIA,DATOS!$A11601,nCURSO,DATOS!$D11601,nESPEC,DATOS!$E11601,nASIG,DATOS!$I11601,nEVAL,"OR")=0))</f>
      </c>
      <c r="I11601">
        <f>IF(DATOS!$I11601="","",IFERROR(VLOOKUP(DATOS!$I11601,CONFIG_ASIGNATURAS!$B$2:$J$91,9,FALSE()),""))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IF(DATOS!$A11602="",0,IF(CONFIG_METADATA!$B$4&lt;&gt;"OR+EX",--(DATOS!$G11602=CONFIG_METADATA!$B$4),IF(DATOS!$G11602="EX",1,IF(DATOS!$G11602="OR",--(COUNTIFS(nNIA,DATOS!$A11602,nCURSO,DATOS!$D11602,nESPEC,DATOS!$E11602,nASIG,DATOS!$I11602,nEVAL,"EX")=0),0))))</f>
      </c>
      <c r="H11602">
        <f>IF(DATOS!$G11602&lt;&gt;"EX",0,--(COUNTIFS(nNIA,DATOS!$A11602,nCURSO,DATOS!$D11602,nESPEC,DATOS!$E11602,nASIG,DATOS!$I11602,nEVAL,"OR")=0))</f>
      </c>
      <c r="I11602">
        <f>IF(DATOS!$I11602="","",IFERROR(VLOOKUP(DATOS!$I11602,CONFIG_ASIGNATURAS!$B$2:$J$91,9,FALSE()),""))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IF(DATOS!$A11603="",0,IF(CONFIG_METADATA!$B$4&lt;&gt;"OR+EX",--(DATOS!$G11603=CONFIG_METADATA!$B$4),IF(DATOS!$G11603="EX",1,IF(DATOS!$G11603="OR",--(COUNTIFS(nNIA,DATOS!$A11603,nCURSO,DATOS!$D11603,nESPEC,DATOS!$E11603,nASIG,DATOS!$I11603,nEVAL,"EX")=0),0))))</f>
      </c>
      <c r="H11603">
        <f>IF(DATOS!$G11603&lt;&gt;"EX",0,--(COUNTIFS(nNIA,DATOS!$A11603,nCURSO,DATOS!$D11603,nESPEC,DATOS!$E11603,nASIG,DATOS!$I11603,nEVAL,"OR")=0))</f>
      </c>
      <c r="I11603">
        <f>IF(DATOS!$I11603="","",IFERROR(VLOOKUP(DATOS!$I11603,CONFIG_ASIGNATURAS!$B$2:$J$91,9,FALSE()),""))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IF(DATOS!$A11604="",0,IF(CONFIG_METADATA!$B$4&lt;&gt;"OR+EX",--(DATOS!$G11604=CONFIG_METADATA!$B$4),IF(DATOS!$G11604="EX",1,IF(DATOS!$G11604="OR",--(COUNTIFS(nNIA,DATOS!$A11604,nCURSO,DATOS!$D11604,nESPEC,DATOS!$E11604,nASIG,DATOS!$I11604,nEVAL,"EX")=0),0))))</f>
      </c>
      <c r="H11604">
        <f>IF(DATOS!$G11604&lt;&gt;"EX",0,--(COUNTIFS(nNIA,DATOS!$A11604,nCURSO,DATOS!$D11604,nESPEC,DATOS!$E11604,nASIG,DATOS!$I11604,nEVAL,"OR")=0))</f>
      </c>
      <c r="I11604">
        <f>IF(DATOS!$I11604="","",IFERROR(VLOOKUP(DATOS!$I11604,CONFIG_ASIGNATURAS!$B$2:$J$91,9,FALSE()),""))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IF(DATOS!$A11605="",0,IF(CONFIG_METADATA!$B$4&lt;&gt;"OR+EX",--(DATOS!$G11605=CONFIG_METADATA!$B$4),IF(DATOS!$G11605="EX",1,IF(DATOS!$G11605="OR",--(COUNTIFS(nNIA,DATOS!$A11605,nCURSO,DATOS!$D11605,nESPEC,DATOS!$E11605,nASIG,DATOS!$I11605,nEVAL,"EX")=0),0))))</f>
      </c>
      <c r="H11605">
        <f>IF(DATOS!$G11605&lt;&gt;"EX",0,--(COUNTIFS(nNIA,DATOS!$A11605,nCURSO,DATOS!$D11605,nESPEC,DATOS!$E11605,nASIG,DATOS!$I11605,nEVAL,"OR")=0))</f>
      </c>
      <c r="I11605">
        <f>IF(DATOS!$I11605="","",IFERROR(VLOOKUP(DATOS!$I11605,CONFIG_ASIGNATURAS!$B$2:$J$91,9,FALSE()),""))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IF(DATOS!$A11606="",0,IF(CONFIG_METADATA!$B$4&lt;&gt;"OR+EX",--(DATOS!$G11606=CONFIG_METADATA!$B$4),IF(DATOS!$G11606="EX",1,IF(DATOS!$G11606="OR",--(COUNTIFS(nNIA,DATOS!$A11606,nCURSO,DATOS!$D11606,nESPEC,DATOS!$E11606,nASIG,DATOS!$I11606,nEVAL,"EX")=0),0))))</f>
      </c>
      <c r="H11606">
        <f>IF(DATOS!$G11606&lt;&gt;"EX",0,--(COUNTIFS(nNIA,DATOS!$A11606,nCURSO,DATOS!$D11606,nESPEC,DATOS!$E11606,nASIG,DATOS!$I11606,nEVAL,"OR")=0))</f>
      </c>
      <c r="I11606">
        <f>IF(DATOS!$I11606="","",IFERROR(VLOOKUP(DATOS!$I11606,CONFIG_ASIGNATURAS!$B$2:$J$91,9,FALSE()),""))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IF(DATOS!$A11607="",0,IF(CONFIG_METADATA!$B$4&lt;&gt;"OR+EX",--(DATOS!$G11607=CONFIG_METADATA!$B$4),IF(DATOS!$G11607="EX",1,IF(DATOS!$G11607="OR",--(COUNTIFS(nNIA,DATOS!$A11607,nCURSO,DATOS!$D11607,nESPEC,DATOS!$E11607,nASIG,DATOS!$I11607,nEVAL,"EX")=0),0))))</f>
      </c>
      <c r="H11607">
        <f>IF(DATOS!$G11607&lt;&gt;"EX",0,--(COUNTIFS(nNIA,DATOS!$A11607,nCURSO,DATOS!$D11607,nESPEC,DATOS!$E11607,nASIG,DATOS!$I11607,nEVAL,"OR")=0))</f>
      </c>
      <c r="I11607">
        <f>IF(DATOS!$I11607="","",IFERROR(VLOOKUP(DATOS!$I11607,CONFIG_ASIGNATURAS!$B$2:$J$91,9,FALSE()),""))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IF(DATOS!$A11608="",0,IF(CONFIG_METADATA!$B$4&lt;&gt;"OR+EX",--(DATOS!$G11608=CONFIG_METADATA!$B$4),IF(DATOS!$G11608="EX",1,IF(DATOS!$G11608="OR",--(COUNTIFS(nNIA,DATOS!$A11608,nCURSO,DATOS!$D11608,nESPEC,DATOS!$E11608,nASIG,DATOS!$I11608,nEVAL,"EX")=0),0))))</f>
      </c>
      <c r="H11608">
        <f>IF(DATOS!$G11608&lt;&gt;"EX",0,--(COUNTIFS(nNIA,DATOS!$A11608,nCURSO,DATOS!$D11608,nESPEC,DATOS!$E11608,nASIG,DATOS!$I11608,nEVAL,"OR")=0))</f>
      </c>
      <c r="I11608">
        <f>IF(DATOS!$I11608="","",IFERROR(VLOOKUP(DATOS!$I11608,CONFIG_ASIGNATURAS!$B$2:$J$91,9,FALSE()),""))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IF(DATOS!$A11609="",0,IF(CONFIG_METADATA!$B$4&lt;&gt;"OR+EX",--(DATOS!$G11609=CONFIG_METADATA!$B$4),IF(DATOS!$G11609="EX",1,IF(DATOS!$G11609="OR",--(COUNTIFS(nNIA,DATOS!$A11609,nCURSO,DATOS!$D11609,nESPEC,DATOS!$E11609,nASIG,DATOS!$I11609,nEVAL,"EX")=0),0))))</f>
      </c>
      <c r="H11609">
        <f>IF(DATOS!$G11609&lt;&gt;"EX",0,--(COUNTIFS(nNIA,DATOS!$A11609,nCURSO,DATOS!$D11609,nESPEC,DATOS!$E11609,nASIG,DATOS!$I11609,nEVAL,"OR")=0))</f>
      </c>
      <c r="I11609">
        <f>IF(DATOS!$I11609="","",IFERROR(VLOOKUP(DATOS!$I11609,CONFIG_ASIGNATURAS!$B$2:$J$91,9,FALSE()),""))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IF(DATOS!$A11610="",0,IF(CONFIG_METADATA!$B$4&lt;&gt;"OR+EX",--(DATOS!$G11610=CONFIG_METADATA!$B$4),IF(DATOS!$G11610="EX",1,IF(DATOS!$G11610="OR",--(COUNTIFS(nNIA,DATOS!$A11610,nCURSO,DATOS!$D11610,nESPEC,DATOS!$E11610,nASIG,DATOS!$I11610,nEVAL,"EX")=0),0))))</f>
      </c>
      <c r="H11610">
        <f>IF(DATOS!$G11610&lt;&gt;"EX",0,--(COUNTIFS(nNIA,DATOS!$A11610,nCURSO,DATOS!$D11610,nESPEC,DATOS!$E11610,nASIG,DATOS!$I11610,nEVAL,"OR")=0))</f>
      </c>
      <c r="I11610">
        <f>IF(DATOS!$I11610="","",IFERROR(VLOOKUP(DATOS!$I11610,CONFIG_ASIGNATURAS!$B$2:$J$91,9,FALSE()),""))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IF(DATOS!$A11611="",0,IF(CONFIG_METADATA!$B$4&lt;&gt;"OR+EX",--(DATOS!$G11611=CONFIG_METADATA!$B$4),IF(DATOS!$G11611="EX",1,IF(DATOS!$G11611="OR",--(COUNTIFS(nNIA,DATOS!$A11611,nCURSO,DATOS!$D11611,nESPEC,DATOS!$E11611,nASIG,DATOS!$I11611,nEVAL,"EX")=0),0))))</f>
      </c>
      <c r="H11611">
        <f>IF(DATOS!$G11611&lt;&gt;"EX",0,--(COUNTIFS(nNIA,DATOS!$A11611,nCURSO,DATOS!$D11611,nESPEC,DATOS!$E11611,nASIG,DATOS!$I11611,nEVAL,"OR")=0))</f>
      </c>
      <c r="I11611">
        <f>IF(DATOS!$I11611="","",IFERROR(VLOOKUP(DATOS!$I11611,CONFIG_ASIGNATURAS!$B$2:$J$91,9,FALSE()),""))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IF(DATOS!$A11612="",0,IF(CONFIG_METADATA!$B$4&lt;&gt;"OR+EX",--(DATOS!$G11612=CONFIG_METADATA!$B$4),IF(DATOS!$G11612="EX",1,IF(DATOS!$G11612="OR",--(COUNTIFS(nNIA,DATOS!$A11612,nCURSO,DATOS!$D11612,nESPEC,DATOS!$E11612,nASIG,DATOS!$I11612,nEVAL,"EX")=0),0))))</f>
      </c>
      <c r="H11612">
        <f>IF(DATOS!$G11612&lt;&gt;"EX",0,--(COUNTIFS(nNIA,DATOS!$A11612,nCURSO,DATOS!$D11612,nESPEC,DATOS!$E11612,nASIG,DATOS!$I11612,nEVAL,"OR")=0))</f>
      </c>
      <c r="I11612">
        <f>IF(DATOS!$I11612="","",IFERROR(VLOOKUP(DATOS!$I11612,CONFIG_ASIGNATURAS!$B$2:$J$91,9,FALSE()),""))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IF(DATOS!$A11613="",0,IF(CONFIG_METADATA!$B$4&lt;&gt;"OR+EX",--(DATOS!$G11613=CONFIG_METADATA!$B$4),IF(DATOS!$G11613="EX",1,IF(DATOS!$G11613="OR",--(COUNTIFS(nNIA,DATOS!$A11613,nCURSO,DATOS!$D11613,nESPEC,DATOS!$E11613,nASIG,DATOS!$I11613,nEVAL,"EX")=0),0))))</f>
      </c>
      <c r="H11613">
        <f>IF(DATOS!$G11613&lt;&gt;"EX",0,--(COUNTIFS(nNIA,DATOS!$A11613,nCURSO,DATOS!$D11613,nESPEC,DATOS!$E11613,nASIG,DATOS!$I11613,nEVAL,"OR")=0))</f>
      </c>
      <c r="I11613">
        <f>IF(DATOS!$I11613="","",IFERROR(VLOOKUP(DATOS!$I11613,CONFIG_ASIGNATURAS!$B$2:$J$91,9,FALSE()),""))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IF(DATOS!$A11614="",0,IF(CONFIG_METADATA!$B$4&lt;&gt;"OR+EX",--(DATOS!$G11614=CONFIG_METADATA!$B$4),IF(DATOS!$G11614="EX",1,IF(DATOS!$G11614="OR",--(COUNTIFS(nNIA,DATOS!$A11614,nCURSO,DATOS!$D11614,nESPEC,DATOS!$E11614,nASIG,DATOS!$I11614,nEVAL,"EX")=0),0))))</f>
      </c>
      <c r="H11614">
        <f>IF(DATOS!$G11614&lt;&gt;"EX",0,--(COUNTIFS(nNIA,DATOS!$A11614,nCURSO,DATOS!$D11614,nESPEC,DATOS!$E11614,nASIG,DATOS!$I11614,nEVAL,"OR")=0))</f>
      </c>
      <c r="I11614">
        <f>IF(DATOS!$I11614="","",IFERROR(VLOOKUP(DATOS!$I11614,CONFIG_ASIGNATURAS!$B$2:$J$91,9,FALSE()),""))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IF(DATOS!$A11615="",0,IF(CONFIG_METADATA!$B$4&lt;&gt;"OR+EX",--(DATOS!$G11615=CONFIG_METADATA!$B$4),IF(DATOS!$G11615="EX",1,IF(DATOS!$G11615="OR",--(COUNTIFS(nNIA,DATOS!$A11615,nCURSO,DATOS!$D11615,nESPEC,DATOS!$E11615,nASIG,DATOS!$I11615,nEVAL,"EX")=0),0))))</f>
      </c>
      <c r="H11615">
        <f>IF(DATOS!$G11615&lt;&gt;"EX",0,--(COUNTIFS(nNIA,DATOS!$A11615,nCURSO,DATOS!$D11615,nESPEC,DATOS!$E11615,nASIG,DATOS!$I11615,nEVAL,"OR")=0))</f>
      </c>
      <c r="I11615">
        <f>IF(DATOS!$I11615="","",IFERROR(VLOOKUP(DATOS!$I11615,CONFIG_ASIGNATURAS!$B$2:$J$91,9,FALSE()),""))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IF(DATOS!$A11616="",0,IF(CONFIG_METADATA!$B$4&lt;&gt;"OR+EX",--(DATOS!$G11616=CONFIG_METADATA!$B$4),IF(DATOS!$G11616="EX",1,IF(DATOS!$G11616="OR",--(COUNTIFS(nNIA,DATOS!$A11616,nCURSO,DATOS!$D11616,nESPEC,DATOS!$E11616,nASIG,DATOS!$I11616,nEVAL,"EX")=0),0))))</f>
      </c>
      <c r="H11616">
        <f>IF(DATOS!$G11616&lt;&gt;"EX",0,--(COUNTIFS(nNIA,DATOS!$A11616,nCURSO,DATOS!$D11616,nESPEC,DATOS!$E11616,nASIG,DATOS!$I11616,nEVAL,"OR")=0))</f>
      </c>
      <c r="I11616">
        <f>IF(DATOS!$I11616="","",IFERROR(VLOOKUP(DATOS!$I11616,CONFIG_ASIGNATURAS!$B$2:$J$91,9,FALSE()),""))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IF(DATOS!$A11617="",0,IF(CONFIG_METADATA!$B$4&lt;&gt;"OR+EX",--(DATOS!$G11617=CONFIG_METADATA!$B$4),IF(DATOS!$G11617="EX",1,IF(DATOS!$G11617="OR",--(COUNTIFS(nNIA,DATOS!$A11617,nCURSO,DATOS!$D11617,nESPEC,DATOS!$E11617,nASIG,DATOS!$I11617,nEVAL,"EX")=0),0))))</f>
      </c>
      <c r="H11617">
        <f>IF(DATOS!$G11617&lt;&gt;"EX",0,--(COUNTIFS(nNIA,DATOS!$A11617,nCURSO,DATOS!$D11617,nESPEC,DATOS!$E11617,nASIG,DATOS!$I11617,nEVAL,"OR")=0))</f>
      </c>
      <c r="I11617">
        <f>IF(DATOS!$I11617="","",IFERROR(VLOOKUP(DATOS!$I11617,CONFIG_ASIGNATURAS!$B$2:$J$91,9,FALSE()),""))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IF(DATOS!$A11618="",0,IF(CONFIG_METADATA!$B$4&lt;&gt;"OR+EX",--(DATOS!$G11618=CONFIG_METADATA!$B$4),IF(DATOS!$G11618="EX",1,IF(DATOS!$G11618="OR",--(COUNTIFS(nNIA,DATOS!$A11618,nCURSO,DATOS!$D11618,nESPEC,DATOS!$E11618,nASIG,DATOS!$I11618,nEVAL,"EX")=0),0))))</f>
      </c>
      <c r="H11618">
        <f>IF(DATOS!$G11618&lt;&gt;"EX",0,--(COUNTIFS(nNIA,DATOS!$A11618,nCURSO,DATOS!$D11618,nESPEC,DATOS!$E11618,nASIG,DATOS!$I11618,nEVAL,"OR")=0))</f>
      </c>
      <c r="I11618">
        <f>IF(DATOS!$I11618="","",IFERROR(VLOOKUP(DATOS!$I11618,CONFIG_ASIGNATURAS!$B$2:$J$91,9,FALSE()),""))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IF(DATOS!$A11619="",0,IF(CONFIG_METADATA!$B$4&lt;&gt;"OR+EX",--(DATOS!$G11619=CONFIG_METADATA!$B$4),IF(DATOS!$G11619="EX",1,IF(DATOS!$G11619="OR",--(COUNTIFS(nNIA,DATOS!$A11619,nCURSO,DATOS!$D11619,nESPEC,DATOS!$E11619,nASIG,DATOS!$I11619,nEVAL,"EX")=0),0))))</f>
      </c>
      <c r="H11619">
        <f>IF(DATOS!$G11619&lt;&gt;"EX",0,--(COUNTIFS(nNIA,DATOS!$A11619,nCURSO,DATOS!$D11619,nESPEC,DATOS!$E11619,nASIG,DATOS!$I11619,nEVAL,"OR")=0))</f>
      </c>
      <c r="I11619">
        <f>IF(DATOS!$I11619="","",IFERROR(VLOOKUP(DATOS!$I11619,CONFIG_ASIGNATURAS!$B$2:$J$91,9,FALSE()),""))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IF(DATOS!$A11620="",0,IF(CONFIG_METADATA!$B$4&lt;&gt;"OR+EX",--(DATOS!$G11620=CONFIG_METADATA!$B$4),IF(DATOS!$G11620="EX",1,IF(DATOS!$G11620="OR",--(COUNTIFS(nNIA,DATOS!$A11620,nCURSO,DATOS!$D11620,nESPEC,DATOS!$E11620,nASIG,DATOS!$I11620,nEVAL,"EX")=0),0))))</f>
      </c>
      <c r="H11620">
        <f>IF(DATOS!$G11620&lt;&gt;"EX",0,--(COUNTIFS(nNIA,DATOS!$A11620,nCURSO,DATOS!$D11620,nESPEC,DATOS!$E11620,nASIG,DATOS!$I11620,nEVAL,"OR")=0))</f>
      </c>
      <c r="I11620">
        <f>IF(DATOS!$I11620="","",IFERROR(VLOOKUP(DATOS!$I11620,CONFIG_ASIGNATURAS!$B$2:$J$91,9,FALSE()),""))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IF(DATOS!$A11621="",0,IF(CONFIG_METADATA!$B$4&lt;&gt;"OR+EX",--(DATOS!$G11621=CONFIG_METADATA!$B$4),IF(DATOS!$G11621="EX",1,IF(DATOS!$G11621="OR",--(COUNTIFS(nNIA,DATOS!$A11621,nCURSO,DATOS!$D11621,nESPEC,DATOS!$E11621,nASIG,DATOS!$I11621,nEVAL,"EX")=0),0))))</f>
      </c>
      <c r="H11621">
        <f>IF(DATOS!$G11621&lt;&gt;"EX",0,--(COUNTIFS(nNIA,DATOS!$A11621,nCURSO,DATOS!$D11621,nESPEC,DATOS!$E11621,nASIG,DATOS!$I11621,nEVAL,"OR")=0))</f>
      </c>
      <c r="I11621">
        <f>IF(DATOS!$I11621="","",IFERROR(VLOOKUP(DATOS!$I11621,CONFIG_ASIGNATURAS!$B$2:$J$91,9,FALSE()),""))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IF(DATOS!$A11622="",0,IF(CONFIG_METADATA!$B$4&lt;&gt;"OR+EX",--(DATOS!$G11622=CONFIG_METADATA!$B$4),IF(DATOS!$G11622="EX",1,IF(DATOS!$G11622="OR",--(COUNTIFS(nNIA,DATOS!$A11622,nCURSO,DATOS!$D11622,nESPEC,DATOS!$E11622,nASIG,DATOS!$I11622,nEVAL,"EX")=0),0))))</f>
      </c>
      <c r="H11622">
        <f>IF(DATOS!$G11622&lt;&gt;"EX",0,--(COUNTIFS(nNIA,DATOS!$A11622,nCURSO,DATOS!$D11622,nESPEC,DATOS!$E11622,nASIG,DATOS!$I11622,nEVAL,"OR")=0))</f>
      </c>
      <c r="I11622">
        <f>IF(DATOS!$I11622="","",IFERROR(VLOOKUP(DATOS!$I11622,CONFIG_ASIGNATURAS!$B$2:$J$91,9,FALSE()),""))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IF(DATOS!$A11623="",0,IF(CONFIG_METADATA!$B$4&lt;&gt;"OR+EX",--(DATOS!$G11623=CONFIG_METADATA!$B$4),IF(DATOS!$G11623="EX",1,IF(DATOS!$G11623="OR",--(COUNTIFS(nNIA,DATOS!$A11623,nCURSO,DATOS!$D11623,nESPEC,DATOS!$E11623,nASIG,DATOS!$I11623,nEVAL,"EX")=0),0))))</f>
      </c>
      <c r="H11623">
        <f>IF(DATOS!$G11623&lt;&gt;"EX",0,--(COUNTIFS(nNIA,DATOS!$A11623,nCURSO,DATOS!$D11623,nESPEC,DATOS!$E11623,nASIG,DATOS!$I11623,nEVAL,"OR")=0))</f>
      </c>
      <c r="I11623">
        <f>IF(DATOS!$I11623="","",IFERROR(VLOOKUP(DATOS!$I11623,CONFIG_ASIGNATURAS!$B$2:$J$91,9,FALSE()),""))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IF(DATOS!$A11624="",0,IF(CONFIG_METADATA!$B$4&lt;&gt;"OR+EX",--(DATOS!$G11624=CONFIG_METADATA!$B$4),IF(DATOS!$G11624="EX",1,IF(DATOS!$G11624="OR",--(COUNTIFS(nNIA,DATOS!$A11624,nCURSO,DATOS!$D11624,nESPEC,DATOS!$E11624,nASIG,DATOS!$I11624,nEVAL,"EX")=0),0))))</f>
      </c>
      <c r="H11624">
        <f>IF(DATOS!$G11624&lt;&gt;"EX",0,--(COUNTIFS(nNIA,DATOS!$A11624,nCURSO,DATOS!$D11624,nESPEC,DATOS!$E11624,nASIG,DATOS!$I11624,nEVAL,"OR")=0))</f>
      </c>
      <c r="I11624">
        <f>IF(DATOS!$I11624="","",IFERROR(VLOOKUP(DATOS!$I11624,CONFIG_ASIGNATURAS!$B$2:$J$91,9,FALSE()),""))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IF(DATOS!$A11625="",0,IF(CONFIG_METADATA!$B$4&lt;&gt;"OR+EX",--(DATOS!$G11625=CONFIG_METADATA!$B$4),IF(DATOS!$G11625="EX",1,IF(DATOS!$G11625="OR",--(COUNTIFS(nNIA,DATOS!$A11625,nCURSO,DATOS!$D11625,nESPEC,DATOS!$E11625,nASIG,DATOS!$I11625,nEVAL,"EX")=0),0))))</f>
      </c>
      <c r="H11625">
        <f>IF(DATOS!$G11625&lt;&gt;"EX",0,--(COUNTIFS(nNIA,DATOS!$A11625,nCURSO,DATOS!$D11625,nESPEC,DATOS!$E11625,nASIG,DATOS!$I11625,nEVAL,"OR")=0))</f>
      </c>
      <c r="I11625">
        <f>IF(DATOS!$I11625="","",IFERROR(VLOOKUP(DATOS!$I11625,CONFIG_ASIGNATURAS!$B$2:$J$91,9,FALSE()),""))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IF(DATOS!$A11626="",0,IF(CONFIG_METADATA!$B$4&lt;&gt;"OR+EX",--(DATOS!$G11626=CONFIG_METADATA!$B$4),IF(DATOS!$G11626="EX",1,IF(DATOS!$G11626="OR",--(COUNTIFS(nNIA,DATOS!$A11626,nCURSO,DATOS!$D11626,nESPEC,DATOS!$E11626,nASIG,DATOS!$I11626,nEVAL,"EX")=0),0))))</f>
      </c>
      <c r="H11626">
        <f>IF(DATOS!$G11626&lt;&gt;"EX",0,--(COUNTIFS(nNIA,DATOS!$A11626,nCURSO,DATOS!$D11626,nESPEC,DATOS!$E11626,nASIG,DATOS!$I11626,nEVAL,"OR")=0))</f>
      </c>
      <c r="I11626">
        <f>IF(DATOS!$I11626="","",IFERROR(VLOOKUP(DATOS!$I11626,CONFIG_ASIGNATURAS!$B$2:$J$91,9,FALSE()),""))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IF(DATOS!$A11627="",0,IF(CONFIG_METADATA!$B$4&lt;&gt;"OR+EX",--(DATOS!$G11627=CONFIG_METADATA!$B$4),IF(DATOS!$G11627="EX",1,IF(DATOS!$G11627="OR",--(COUNTIFS(nNIA,DATOS!$A11627,nCURSO,DATOS!$D11627,nESPEC,DATOS!$E11627,nASIG,DATOS!$I11627,nEVAL,"EX")=0),0))))</f>
      </c>
      <c r="H11627">
        <f>IF(DATOS!$G11627&lt;&gt;"EX",0,--(COUNTIFS(nNIA,DATOS!$A11627,nCURSO,DATOS!$D11627,nESPEC,DATOS!$E11627,nASIG,DATOS!$I11627,nEVAL,"OR")=0))</f>
      </c>
      <c r="I11627">
        <f>IF(DATOS!$I11627="","",IFERROR(VLOOKUP(DATOS!$I11627,CONFIG_ASIGNATURAS!$B$2:$J$91,9,FALSE()),""))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IF(DATOS!$A11628="",0,IF(CONFIG_METADATA!$B$4&lt;&gt;"OR+EX",--(DATOS!$G11628=CONFIG_METADATA!$B$4),IF(DATOS!$G11628="EX",1,IF(DATOS!$G11628="OR",--(COUNTIFS(nNIA,DATOS!$A11628,nCURSO,DATOS!$D11628,nESPEC,DATOS!$E11628,nASIG,DATOS!$I11628,nEVAL,"EX")=0),0))))</f>
      </c>
      <c r="H11628">
        <f>IF(DATOS!$G11628&lt;&gt;"EX",0,--(COUNTIFS(nNIA,DATOS!$A11628,nCURSO,DATOS!$D11628,nESPEC,DATOS!$E11628,nASIG,DATOS!$I11628,nEVAL,"OR")=0))</f>
      </c>
      <c r="I11628">
        <f>IF(DATOS!$I11628="","",IFERROR(VLOOKUP(DATOS!$I11628,CONFIG_ASIGNATURAS!$B$2:$J$91,9,FALSE()),""))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IF(DATOS!$A11629="",0,IF(CONFIG_METADATA!$B$4&lt;&gt;"OR+EX",--(DATOS!$G11629=CONFIG_METADATA!$B$4),IF(DATOS!$G11629="EX",1,IF(DATOS!$G11629="OR",--(COUNTIFS(nNIA,DATOS!$A11629,nCURSO,DATOS!$D11629,nESPEC,DATOS!$E11629,nASIG,DATOS!$I11629,nEVAL,"EX")=0),0))))</f>
      </c>
      <c r="H11629">
        <f>IF(DATOS!$G11629&lt;&gt;"EX",0,--(COUNTIFS(nNIA,DATOS!$A11629,nCURSO,DATOS!$D11629,nESPEC,DATOS!$E11629,nASIG,DATOS!$I11629,nEVAL,"OR")=0))</f>
      </c>
      <c r="I11629">
        <f>IF(DATOS!$I11629="","",IFERROR(VLOOKUP(DATOS!$I11629,CONFIG_ASIGNATURAS!$B$2:$J$91,9,FALSE()),""))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IF(DATOS!$A11630="",0,IF(CONFIG_METADATA!$B$4&lt;&gt;"OR+EX",--(DATOS!$G11630=CONFIG_METADATA!$B$4),IF(DATOS!$G11630="EX",1,IF(DATOS!$G11630="OR",--(COUNTIFS(nNIA,DATOS!$A11630,nCURSO,DATOS!$D11630,nESPEC,DATOS!$E11630,nASIG,DATOS!$I11630,nEVAL,"EX")=0),0))))</f>
      </c>
      <c r="H11630">
        <f>IF(DATOS!$G11630&lt;&gt;"EX",0,--(COUNTIFS(nNIA,DATOS!$A11630,nCURSO,DATOS!$D11630,nESPEC,DATOS!$E11630,nASIG,DATOS!$I11630,nEVAL,"OR")=0))</f>
      </c>
      <c r="I11630">
        <f>IF(DATOS!$I11630="","",IFERROR(VLOOKUP(DATOS!$I11630,CONFIG_ASIGNATURAS!$B$2:$J$91,9,FALSE()),""))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IF(DATOS!$A11631="",0,IF(CONFIG_METADATA!$B$4&lt;&gt;"OR+EX",--(DATOS!$G11631=CONFIG_METADATA!$B$4),IF(DATOS!$G11631="EX",1,IF(DATOS!$G11631="OR",--(COUNTIFS(nNIA,DATOS!$A11631,nCURSO,DATOS!$D11631,nESPEC,DATOS!$E11631,nASIG,DATOS!$I11631,nEVAL,"EX")=0),0))))</f>
      </c>
      <c r="H11631">
        <f>IF(DATOS!$G11631&lt;&gt;"EX",0,--(COUNTIFS(nNIA,DATOS!$A11631,nCURSO,DATOS!$D11631,nESPEC,DATOS!$E11631,nASIG,DATOS!$I11631,nEVAL,"OR")=0))</f>
      </c>
      <c r="I11631">
        <f>IF(DATOS!$I11631="","",IFERROR(VLOOKUP(DATOS!$I11631,CONFIG_ASIGNATURAS!$B$2:$J$91,9,FALSE()),""))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IF(DATOS!$A11632="",0,IF(CONFIG_METADATA!$B$4&lt;&gt;"OR+EX",--(DATOS!$G11632=CONFIG_METADATA!$B$4),IF(DATOS!$G11632="EX",1,IF(DATOS!$G11632="OR",--(COUNTIFS(nNIA,DATOS!$A11632,nCURSO,DATOS!$D11632,nESPEC,DATOS!$E11632,nASIG,DATOS!$I11632,nEVAL,"EX")=0),0))))</f>
      </c>
      <c r="H11632">
        <f>IF(DATOS!$G11632&lt;&gt;"EX",0,--(COUNTIFS(nNIA,DATOS!$A11632,nCURSO,DATOS!$D11632,nESPEC,DATOS!$E11632,nASIG,DATOS!$I11632,nEVAL,"OR")=0))</f>
      </c>
      <c r="I11632">
        <f>IF(DATOS!$I11632="","",IFERROR(VLOOKUP(DATOS!$I11632,CONFIG_ASIGNATURAS!$B$2:$J$91,9,FALSE()),""))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IF(DATOS!$A11633="",0,IF(CONFIG_METADATA!$B$4&lt;&gt;"OR+EX",--(DATOS!$G11633=CONFIG_METADATA!$B$4),IF(DATOS!$G11633="EX",1,IF(DATOS!$G11633="OR",--(COUNTIFS(nNIA,DATOS!$A11633,nCURSO,DATOS!$D11633,nESPEC,DATOS!$E11633,nASIG,DATOS!$I11633,nEVAL,"EX")=0),0))))</f>
      </c>
      <c r="H11633">
        <f>IF(DATOS!$G11633&lt;&gt;"EX",0,--(COUNTIFS(nNIA,DATOS!$A11633,nCURSO,DATOS!$D11633,nESPEC,DATOS!$E11633,nASIG,DATOS!$I11633,nEVAL,"OR")=0))</f>
      </c>
      <c r="I11633">
        <f>IF(DATOS!$I11633="","",IFERROR(VLOOKUP(DATOS!$I11633,CONFIG_ASIGNATURAS!$B$2:$J$91,9,FALSE()),""))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IF(DATOS!$A11634="",0,IF(CONFIG_METADATA!$B$4&lt;&gt;"OR+EX",--(DATOS!$G11634=CONFIG_METADATA!$B$4),IF(DATOS!$G11634="EX",1,IF(DATOS!$G11634="OR",--(COUNTIFS(nNIA,DATOS!$A11634,nCURSO,DATOS!$D11634,nESPEC,DATOS!$E11634,nASIG,DATOS!$I11634,nEVAL,"EX")=0),0))))</f>
      </c>
      <c r="H11634">
        <f>IF(DATOS!$G11634&lt;&gt;"EX",0,--(COUNTIFS(nNIA,DATOS!$A11634,nCURSO,DATOS!$D11634,nESPEC,DATOS!$E11634,nASIG,DATOS!$I11634,nEVAL,"OR")=0))</f>
      </c>
      <c r="I11634">
        <f>IF(DATOS!$I11634="","",IFERROR(VLOOKUP(DATOS!$I11634,CONFIG_ASIGNATURAS!$B$2:$J$91,9,FALSE()),""))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IF(DATOS!$A11635="",0,IF(CONFIG_METADATA!$B$4&lt;&gt;"OR+EX",--(DATOS!$G11635=CONFIG_METADATA!$B$4),IF(DATOS!$G11635="EX",1,IF(DATOS!$G11635="OR",--(COUNTIFS(nNIA,DATOS!$A11635,nCURSO,DATOS!$D11635,nESPEC,DATOS!$E11635,nASIG,DATOS!$I11635,nEVAL,"EX")=0),0))))</f>
      </c>
      <c r="H11635">
        <f>IF(DATOS!$G11635&lt;&gt;"EX",0,--(COUNTIFS(nNIA,DATOS!$A11635,nCURSO,DATOS!$D11635,nESPEC,DATOS!$E11635,nASIG,DATOS!$I11635,nEVAL,"OR")=0))</f>
      </c>
      <c r="I11635">
        <f>IF(DATOS!$I11635="","",IFERROR(VLOOKUP(DATOS!$I11635,CONFIG_ASIGNATURAS!$B$2:$J$91,9,FALSE()),""))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IF(DATOS!$A11636="",0,IF(CONFIG_METADATA!$B$4&lt;&gt;"OR+EX",--(DATOS!$G11636=CONFIG_METADATA!$B$4),IF(DATOS!$G11636="EX",1,IF(DATOS!$G11636="OR",--(COUNTIFS(nNIA,DATOS!$A11636,nCURSO,DATOS!$D11636,nESPEC,DATOS!$E11636,nASIG,DATOS!$I11636,nEVAL,"EX")=0),0))))</f>
      </c>
      <c r="H11636">
        <f>IF(DATOS!$G11636&lt;&gt;"EX",0,--(COUNTIFS(nNIA,DATOS!$A11636,nCURSO,DATOS!$D11636,nESPEC,DATOS!$E11636,nASIG,DATOS!$I11636,nEVAL,"OR")=0))</f>
      </c>
      <c r="I11636">
        <f>IF(DATOS!$I11636="","",IFERROR(VLOOKUP(DATOS!$I11636,CONFIG_ASIGNATURAS!$B$2:$J$91,9,FALSE()),""))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IF(DATOS!$A11637="",0,IF(CONFIG_METADATA!$B$4&lt;&gt;"OR+EX",--(DATOS!$G11637=CONFIG_METADATA!$B$4),IF(DATOS!$G11637="EX",1,IF(DATOS!$G11637="OR",--(COUNTIFS(nNIA,DATOS!$A11637,nCURSO,DATOS!$D11637,nESPEC,DATOS!$E11637,nASIG,DATOS!$I11637,nEVAL,"EX")=0),0))))</f>
      </c>
      <c r="H11637">
        <f>IF(DATOS!$G11637&lt;&gt;"EX",0,--(COUNTIFS(nNIA,DATOS!$A11637,nCURSO,DATOS!$D11637,nESPEC,DATOS!$E11637,nASIG,DATOS!$I11637,nEVAL,"OR")=0))</f>
      </c>
      <c r="I11637">
        <f>IF(DATOS!$I11637="","",IFERROR(VLOOKUP(DATOS!$I11637,CONFIG_ASIGNATURAS!$B$2:$J$91,9,FALSE()),""))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IF(DATOS!$A11638="",0,IF(CONFIG_METADATA!$B$4&lt;&gt;"OR+EX",--(DATOS!$G11638=CONFIG_METADATA!$B$4),IF(DATOS!$G11638="EX",1,IF(DATOS!$G11638="OR",--(COUNTIFS(nNIA,DATOS!$A11638,nCURSO,DATOS!$D11638,nESPEC,DATOS!$E11638,nASIG,DATOS!$I11638,nEVAL,"EX")=0),0))))</f>
      </c>
      <c r="H11638">
        <f>IF(DATOS!$G11638&lt;&gt;"EX",0,--(COUNTIFS(nNIA,DATOS!$A11638,nCURSO,DATOS!$D11638,nESPEC,DATOS!$E11638,nASIG,DATOS!$I11638,nEVAL,"OR")=0))</f>
      </c>
      <c r="I11638">
        <f>IF(DATOS!$I11638="","",IFERROR(VLOOKUP(DATOS!$I11638,CONFIG_ASIGNATURAS!$B$2:$J$91,9,FALSE()),""))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IF(DATOS!$A11639="",0,IF(CONFIG_METADATA!$B$4&lt;&gt;"OR+EX",--(DATOS!$G11639=CONFIG_METADATA!$B$4),IF(DATOS!$G11639="EX",1,IF(DATOS!$G11639="OR",--(COUNTIFS(nNIA,DATOS!$A11639,nCURSO,DATOS!$D11639,nESPEC,DATOS!$E11639,nASIG,DATOS!$I11639,nEVAL,"EX")=0),0))))</f>
      </c>
      <c r="H11639">
        <f>IF(DATOS!$G11639&lt;&gt;"EX",0,--(COUNTIFS(nNIA,DATOS!$A11639,nCURSO,DATOS!$D11639,nESPEC,DATOS!$E11639,nASIG,DATOS!$I11639,nEVAL,"OR")=0))</f>
      </c>
      <c r="I11639">
        <f>IF(DATOS!$I11639="","",IFERROR(VLOOKUP(DATOS!$I11639,CONFIG_ASIGNATURAS!$B$2:$J$91,9,FALSE()),""))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IF(DATOS!$A11640="",0,IF(CONFIG_METADATA!$B$4&lt;&gt;"OR+EX",--(DATOS!$G11640=CONFIG_METADATA!$B$4),IF(DATOS!$G11640="EX",1,IF(DATOS!$G11640="OR",--(COUNTIFS(nNIA,DATOS!$A11640,nCURSO,DATOS!$D11640,nESPEC,DATOS!$E11640,nASIG,DATOS!$I11640,nEVAL,"EX")=0),0))))</f>
      </c>
      <c r="H11640">
        <f>IF(DATOS!$G11640&lt;&gt;"EX",0,--(COUNTIFS(nNIA,DATOS!$A11640,nCURSO,DATOS!$D11640,nESPEC,DATOS!$E11640,nASIG,DATOS!$I11640,nEVAL,"OR")=0))</f>
      </c>
      <c r="I11640">
        <f>IF(DATOS!$I11640="","",IFERROR(VLOOKUP(DATOS!$I11640,CONFIG_ASIGNATURAS!$B$2:$J$91,9,FALSE()),""))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IF(DATOS!$A11641="",0,IF(CONFIG_METADATA!$B$4&lt;&gt;"OR+EX",--(DATOS!$G11641=CONFIG_METADATA!$B$4),IF(DATOS!$G11641="EX",1,IF(DATOS!$G11641="OR",--(COUNTIFS(nNIA,DATOS!$A11641,nCURSO,DATOS!$D11641,nESPEC,DATOS!$E11641,nASIG,DATOS!$I11641,nEVAL,"EX")=0),0))))</f>
      </c>
      <c r="H11641">
        <f>IF(DATOS!$G11641&lt;&gt;"EX",0,--(COUNTIFS(nNIA,DATOS!$A11641,nCURSO,DATOS!$D11641,nESPEC,DATOS!$E11641,nASIG,DATOS!$I11641,nEVAL,"OR")=0))</f>
      </c>
      <c r="I11641">
        <f>IF(DATOS!$I11641="","",IFERROR(VLOOKUP(DATOS!$I11641,CONFIG_ASIGNATURAS!$B$2:$J$91,9,FALSE()),""))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IF(DATOS!$A11642="",0,IF(CONFIG_METADATA!$B$4&lt;&gt;"OR+EX",--(DATOS!$G11642=CONFIG_METADATA!$B$4),IF(DATOS!$G11642="EX",1,IF(DATOS!$G11642="OR",--(COUNTIFS(nNIA,DATOS!$A11642,nCURSO,DATOS!$D11642,nESPEC,DATOS!$E11642,nASIG,DATOS!$I11642,nEVAL,"EX")=0),0))))</f>
      </c>
      <c r="H11642">
        <f>IF(DATOS!$G11642&lt;&gt;"EX",0,--(COUNTIFS(nNIA,DATOS!$A11642,nCURSO,DATOS!$D11642,nESPEC,DATOS!$E11642,nASIG,DATOS!$I11642,nEVAL,"OR")=0))</f>
      </c>
      <c r="I11642">
        <f>IF(DATOS!$I11642="","",IFERROR(VLOOKUP(DATOS!$I11642,CONFIG_ASIGNATURAS!$B$2:$J$91,9,FALSE()),""))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IF(DATOS!$A11643="",0,IF(CONFIG_METADATA!$B$4&lt;&gt;"OR+EX",--(DATOS!$G11643=CONFIG_METADATA!$B$4),IF(DATOS!$G11643="EX",1,IF(DATOS!$G11643="OR",--(COUNTIFS(nNIA,DATOS!$A11643,nCURSO,DATOS!$D11643,nESPEC,DATOS!$E11643,nASIG,DATOS!$I11643,nEVAL,"EX")=0),0))))</f>
      </c>
      <c r="H11643">
        <f>IF(DATOS!$G11643&lt;&gt;"EX",0,--(COUNTIFS(nNIA,DATOS!$A11643,nCURSO,DATOS!$D11643,nESPEC,DATOS!$E11643,nASIG,DATOS!$I11643,nEVAL,"OR")=0))</f>
      </c>
      <c r="I11643">
        <f>IF(DATOS!$I11643="","",IFERROR(VLOOKUP(DATOS!$I11643,CONFIG_ASIGNATURAS!$B$2:$J$91,9,FALSE()),""))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IF(DATOS!$A11644="",0,IF(CONFIG_METADATA!$B$4&lt;&gt;"OR+EX",--(DATOS!$G11644=CONFIG_METADATA!$B$4),IF(DATOS!$G11644="EX",1,IF(DATOS!$G11644="OR",--(COUNTIFS(nNIA,DATOS!$A11644,nCURSO,DATOS!$D11644,nESPEC,DATOS!$E11644,nASIG,DATOS!$I11644,nEVAL,"EX")=0),0))))</f>
      </c>
      <c r="H11644">
        <f>IF(DATOS!$G11644&lt;&gt;"EX",0,--(COUNTIFS(nNIA,DATOS!$A11644,nCURSO,DATOS!$D11644,nESPEC,DATOS!$E11644,nASIG,DATOS!$I11644,nEVAL,"OR")=0))</f>
      </c>
      <c r="I11644">
        <f>IF(DATOS!$I11644="","",IFERROR(VLOOKUP(DATOS!$I11644,CONFIG_ASIGNATURAS!$B$2:$J$91,9,FALSE()),""))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IF(DATOS!$A11645="",0,IF(CONFIG_METADATA!$B$4&lt;&gt;"OR+EX",--(DATOS!$G11645=CONFIG_METADATA!$B$4),IF(DATOS!$G11645="EX",1,IF(DATOS!$G11645="OR",--(COUNTIFS(nNIA,DATOS!$A11645,nCURSO,DATOS!$D11645,nESPEC,DATOS!$E11645,nASIG,DATOS!$I11645,nEVAL,"EX")=0),0))))</f>
      </c>
      <c r="H11645">
        <f>IF(DATOS!$G11645&lt;&gt;"EX",0,--(COUNTIFS(nNIA,DATOS!$A11645,nCURSO,DATOS!$D11645,nESPEC,DATOS!$E11645,nASIG,DATOS!$I11645,nEVAL,"OR")=0))</f>
      </c>
      <c r="I11645">
        <f>IF(DATOS!$I11645="","",IFERROR(VLOOKUP(DATOS!$I11645,CONFIG_ASIGNATURAS!$B$2:$J$91,9,FALSE()),""))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IF(DATOS!$A11646="",0,IF(CONFIG_METADATA!$B$4&lt;&gt;"OR+EX",--(DATOS!$G11646=CONFIG_METADATA!$B$4),IF(DATOS!$G11646="EX",1,IF(DATOS!$G11646="OR",--(COUNTIFS(nNIA,DATOS!$A11646,nCURSO,DATOS!$D11646,nESPEC,DATOS!$E11646,nASIG,DATOS!$I11646,nEVAL,"EX")=0),0))))</f>
      </c>
      <c r="H11646">
        <f>IF(DATOS!$G11646&lt;&gt;"EX",0,--(COUNTIFS(nNIA,DATOS!$A11646,nCURSO,DATOS!$D11646,nESPEC,DATOS!$E11646,nASIG,DATOS!$I11646,nEVAL,"OR")=0))</f>
      </c>
      <c r="I11646">
        <f>IF(DATOS!$I11646="","",IFERROR(VLOOKUP(DATOS!$I11646,CONFIG_ASIGNATURAS!$B$2:$J$91,9,FALSE()),""))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IF(DATOS!$A11647="",0,IF(CONFIG_METADATA!$B$4&lt;&gt;"OR+EX",--(DATOS!$G11647=CONFIG_METADATA!$B$4),IF(DATOS!$G11647="EX",1,IF(DATOS!$G11647="OR",--(COUNTIFS(nNIA,DATOS!$A11647,nCURSO,DATOS!$D11647,nESPEC,DATOS!$E11647,nASIG,DATOS!$I11647,nEVAL,"EX")=0),0))))</f>
      </c>
      <c r="H11647">
        <f>IF(DATOS!$G11647&lt;&gt;"EX",0,--(COUNTIFS(nNIA,DATOS!$A11647,nCURSO,DATOS!$D11647,nESPEC,DATOS!$E11647,nASIG,DATOS!$I11647,nEVAL,"OR")=0))</f>
      </c>
      <c r="I11647">
        <f>IF(DATOS!$I11647="","",IFERROR(VLOOKUP(DATOS!$I11647,CONFIG_ASIGNATURAS!$B$2:$J$91,9,FALSE()),""))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IF(DATOS!$A11648="",0,IF(CONFIG_METADATA!$B$4&lt;&gt;"OR+EX",--(DATOS!$G11648=CONFIG_METADATA!$B$4),IF(DATOS!$G11648="EX",1,IF(DATOS!$G11648="OR",--(COUNTIFS(nNIA,DATOS!$A11648,nCURSO,DATOS!$D11648,nESPEC,DATOS!$E11648,nASIG,DATOS!$I11648,nEVAL,"EX")=0),0))))</f>
      </c>
      <c r="H11648">
        <f>IF(DATOS!$G11648&lt;&gt;"EX",0,--(COUNTIFS(nNIA,DATOS!$A11648,nCURSO,DATOS!$D11648,nESPEC,DATOS!$E11648,nASIG,DATOS!$I11648,nEVAL,"OR")=0))</f>
      </c>
      <c r="I11648">
        <f>IF(DATOS!$I11648="","",IFERROR(VLOOKUP(DATOS!$I11648,CONFIG_ASIGNATURAS!$B$2:$J$91,9,FALSE()),""))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IF(DATOS!$A11649="",0,IF(CONFIG_METADATA!$B$4&lt;&gt;"OR+EX",--(DATOS!$G11649=CONFIG_METADATA!$B$4),IF(DATOS!$G11649="EX",1,IF(DATOS!$G11649="OR",--(COUNTIFS(nNIA,DATOS!$A11649,nCURSO,DATOS!$D11649,nESPEC,DATOS!$E11649,nASIG,DATOS!$I11649,nEVAL,"EX")=0),0))))</f>
      </c>
      <c r="H11649">
        <f>IF(DATOS!$G11649&lt;&gt;"EX",0,--(COUNTIFS(nNIA,DATOS!$A11649,nCURSO,DATOS!$D11649,nESPEC,DATOS!$E11649,nASIG,DATOS!$I11649,nEVAL,"OR")=0))</f>
      </c>
      <c r="I11649">
        <f>IF(DATOS!$I11649="","",IFERROR(VLOOKUP(DATOS!$I11649,CONFIG_ASIGNATURAS!$B$2:$J$91,9,FALSE()),""))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IF(DATOS!$A11650="",0,IF(CONFIG_METADATA!$B$4&lt;&gt;"OR+EX",--(DATOS!$G11650=CONFIG_METADATA!$B$4),IF(DATOS!$G11650="EX",1,IF(DATOS!$G11650="OR",--(COUNTIFS(nNIA,DATOS!$A11650,nCURSO,DATOS!$D11650,nESPEC,DATOS!$E11650,nASIG,DATOS!$I11650,nEVAL,"EX")=0),0))))</f>
      </c>
      <c r="H11650">
        <f>IF(DATOS!$G11650&lt;&gt;"EX",0,--(COUNTIFS(nNIA,DATOS!$A11650,nCURSO,DATOS!$D11650,nESPEC,DATOS!$E11650,nASIG,DATOS!$I11650,nEVAL,"OR")=0))</f>
      </c>
      <c r="I11650">
        <f>IF(DATOS!$I11650="","",IFERROR(VLOOKUP(DATOS!$I11650,CONFIG_ASIGNATURAS!$B$2:$J$91,9,FALSE()),""))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IF(DATOS!$A11651="",0,IF(CONFIG_METADATA!$B$4&lt;&gt;"OR+EX",--(DATOS!$G11651=CONFIG_METADATA!$B$4),IF(DATOS!$G11651="EX",1,IF(DATOS!$G11651="OR",--(COUNTIFS(nNIA,DATOS!$A11651,nCURSO,DATOS!$D11651,nESPEC,DATOS!$E11651,nASIG,DATOS!$I11651,nEVAL,"EX")=0),0))))</f>
      </c>
      <c r="H11651">
        <f>IF(DATOS!$G11651&lt;&gt;"EX",0,--(COUNTIFS(nNIA,DATOS!$A11651,nCURSO,DATOS!$D11651,nESPEC,DATOS!$E11651,nASIG,DATOS!$I11651,nEVAL,"OR")=0))</f>
      </c>
      <c r="I11651">
        <f>IF(DATOS!$I11651="","",IFERROR(VLOOKUP(DATOS!$I11651,CONFIG_ASIGNATURAS!$B$2:$J$91,9,FALSE()),""))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IF(DATOS!$A11652="",0,IF(CONFIG_METADATA!$B$4&lt;&gt;"OR+EX",--(DATOS!$G11652=CONFIG_METADATA!$B$4),IF(DATOS!$G11652="EX",1,IF(DATOS!$G11652="OR",--(COUNTIFS(nNIA,DATOS!$A11652,nCURSO,DATOS!$D11652,nESPEC,DATOS!$E11652,nASIG,DATOS!$I11652,nEVAL,"EX")=0),0))))</f>
      </c>
      <c r="H11652">
        <f>IF(DATOS!$G11652&lt;&gt;"EX",0,--(COUNTIFS(nNIA,DATOS!$A11652,nCURSO,DATOS!$D11652,nESPEC,DATOS!$E11652,nASIG,DATOS!$I11652,nEVAL,"OR")=0))</f>
      </c>
      <c r="I11652">
        <f>IF(DATOS!$I11652="","",IFERROR(VLOOKUP(DATOS!$I11652,CONFIG_ASIGNATURAS!$B$2:$J$91,9,FALSE()),""))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IF(DATOS!$A11653="",0,IF(CONFIG_METADATA!$B$4&lt;&gt;"OR+EX",--(DATOS!$G11653=CONFIG_METADATA!$B$4),IF(DATOS!$G11653="EX",1,IF(DATOS!$G11653="OR",--(COUNTIFS(nNIA,DATOS!$A11653,nCURSO,DATOS!$D11653,nESPEC,DATOS!$E11653,nASIG,DATOS!$I11653,nEVAL,"EX")=0),0))))</f>
      </c>
      <c r="H11653">
        <f>IF(DATOS!$G11653&lt;&gt;"EX",0,--(COUNTIFS(nNIA,DATOS!$A11653,nCURSO,DATOS!$D11653,nESPEC,DATOS!$E11653,nASIG,DATOS!$I11653,nEVAL,"OR")=0))</f>
      </c>
      <c r="I11653">
        <f>IF(DATOS!$I11653="","",IFERROR(VLOOKUP(DATOS!$I11653,CONFIG_ASIGNATURAS!$B$2:$J$91,9,FALSE()),""))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IF(DATOS!$A11654="",0,IF(CONFIG_METADATA!$B$4&lt;&gt;"OR+EX",--(DATOS!$G11654=CONFIG_METADATA!$B$4),IF(DATOS!$G11654="EX",1,IF(DATOS!$G11654="OR",--(COUNTIFS(nNIA,DATOS!$A11654,nCURSO,DATOS!$D11654,nESPEC,DATOS!$E11654,nASIG,DATOS!$I11654,nEVAL,"EX")=0),0))))</f>
      </c>
      <c r="H11654">
        <f>IF(DATOS!$G11654&lt;&gt;"EX",0,--(COUNTIFS(nNIA,DATOS!$A11654,nCURSO,DATOS!$D11654,nESPEC,DATOS!$E11654,nASIG,DATOS!$I11654,nEVAL,"OR")=0))</f>
      </c>
      <c r="I11654">
        <f>IF(DATOS!$I11654="","",IFERROR(VLOOKUP(DATOS!$I11654,CONFIG_ASIGNATURAS!$B$2:$J$91,9,FALSE()),""))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IF(DATOS!$A11655="",0,IF(CONFIG_METADATA!$B$4&lt;&gt;"OR+EX",--(DATOS!$G11655=CONFIG_METADATA!$B$4),IF(DATOS!$G11655="EX",1,IF(DATOS!$G11655="OR",--(COUNTIFS(nNIA,DATOS!$A11655,nCURSO,DATOS!$D11655,nESPEC,DATOS!$E11655,nASIG,DATOS!$I11655,nEVAL,"EX")=0),0))))</f>
      </c>
      <c r="H11655">
        <f>IF(DATOS!$G11655&lt;&gt;"EX",0,--(COUNTIFS(nNIA,DATOS!$A11655,nCURSO,DATOS!$D11655,nESPEC,DATOS!$E11655,nASIG,DATOS!$I11655,nEVAL,"OR")=0))</f>
      </c>
      <c r="I11655">
        <f>IF(DATOS!$I11655="","",IFERROR(VLOOKUP(DATOS!$I11655,CONFIG_ASIGNATURAS!$B$2:$J$91,9,FALSE()),""))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IF(DATOS!$A11656="",0,IF(CONFIG_METADATA!$B$4&lt;&gt;"OR+EX",--(DATOS!$G11656=CONFIG_METADATA!$B$4),IF(DATOS!$G11656="EX",1,IF(DATOS!$G11656="OR",--(COUNTIFS(nNIA,DATOS!$A11656,nCURSO,DATOS!$D11656,nESPEC,DATOS!$E11656,nASIG,DATOS!$I11656,nEVAL,"EX")=0),0))))</f>
      </c>
      <c r="H11656">
        <f>IF(DATOS!$G11656&lt;&gt;"EX",0,--(COUNTIFS(nNIA,DATOS!$A11656,nCURSO,DATOS!$D11656,nESPEC,DATOS!$E11656,nASIG,DATOS!$I11656,nEVAL,"OR")=0))</f>
      </c>
      <c r="I11656">
        <f>IF(DATOS!$I11656="","",IFERROR(VLOOKUP(DATOS!$I11656,CONFIG_ASIGNATURAS!$B$2:$J$91,9,FALSE()),""))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IF(DATOS!$A11657="",0,IF(CONFIG_METADATA!$B$4&lt;&gt;"OR+EX",--(DATOS!$G11657=CONFIG_METADATA!$B$4),IF(DATOS!$G11657="EX",1,IF(DATOS!$G11657="OR",--(COUNTIFS(nNIA,DATOS!$A11657,nCURSO,DATOS!$D11657,nESPEC,DATOS!$E11657,nASIG,DATOS!$I11657,nEVAL,"EX")=0),0))))</f>
      </c>
      <c r="H11657">
        <f>IF(DATOS!$G11657&lt;&gt;"EX",0,--(COUNTIFS(nNIA,DATOS!$A11657,nCURSO,DATOS!$D11657,nESPEC,DATOS!$E11657,nASIG,DATOS!$I11657,nEVAL,"OR")=0))</f>
      </c>
      <c r="I11657">
        <f>IF(DATOS!$I11657="","",IFERROR(VLOOKUP(DATOS!$I11657,CONFIG_ASIGNATURAS!$B$2:$J$91,9,FALSE()),""))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IF(DATOS!$A11658="",0,IF(CONFIG_METADATA!$B$4&lt;&gt;"OR+EX",--(DATOS!$G11658=CONFIG_METADATA!$B$4),IF(DATOS!$G11658="EX",1,IF(DATOS!$G11658="OR",--(COUNTIFS(nNIA,DATOS!$A11658,nCURSO,DATOS!$D11658,nESPEC,DATOS!$E11658,nASIG,DATOS!$I11658,nEVAL,"EX")=0),0))))</f>
      </c>
      <c r="H11658">
        <f>IF(DATOS!$G11658&lt;&gt;"EX",0,--(COUNTIFS(nNIA,DATOS!$A11658,nCURSO,DATOS!$D11658,nESPEC,DATOS!$E11658,nASIG,DATOS!$I11658,nEVAL,"OR")=0))</f>
      </c>
      <c r="I11658">
        <f>IF(DATOS!$I11658="","",IFERROR(VLOOKUP(DATOS!$I11658,CONFIG_ASIGNATURAS!$B$2:$J$91,9,FALSE()),""))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IF(DATOS!$A11659="",0,IF(CONFIG_METADATA!$B$4&lt;&gt;"OR+EX",--(DATOS!$G11659=CONFIG_METADATA!$B$4),IF(DATOS!$G11659="EX",1,IF(DATOS!$G11659="OR",--(COUNTIFS(nNIA,DATOS!$A11659,nCURSO,DATOS!$D11659,nESPEC,DATOS!$E11659,nASIG,DATOS!$I11659,nEVAL,"EX")=0),0))))</f>
      </c>
      <c r="H11659">
        <f>IF(DATOS!$G11659&lt;&gt;"EX",0,--(COUNTIFS(nNIA,DATOS!$A11659,nCURSO,DATOS!$D11659,nESPEC,DATOS!$E11659,nASIG,DATOS!$I11659,nEVAL,"OR")=0))</f>
      </c>
      <c r="I11659">
        <f>IF(DATOS!$I11659="","",IFERROR(VLOOKUP(DATOS!$I11659,CONFIG_ASIGNATURAS!$B$2:$J$91,9,FALSE()),""))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IF(DATOS!$A11660="",0,IF(CONFIG_METADATA!$B$4&lt;&gt;"OR+EX",--(DATOS!$G11660=CONFIG_METADATA!$B$4),IF(DATOS!$G11660="EX",1,IF(DATOS!$G11660="OR",--(COUNTIFS(nNIA,DATOS!$A11660,nCURSO,DATOS!$D11660,nESPEC,DATOS!$E11660,nASIG,DATOS!$I11660,nEVAL,"EX")=0),0))))</f>
      </c>
      <c r="H11660">
        <f>IF(DATOS!$G11660&lt;&gt;"EX",0,--(COUNTIFS(nNIA,DATOS!$A11660,nCURSO,DATOS!$D11660,nESPEC,DATOS!$E11660,nASIG,DATOS!$I11660,nEVAL,"OR")=0))</f>
      </c>
      <c r="I11660">
        <f>IF(DATOS!$I11660="","",IFERROR(VLOOKUP(DATOS!$I11660,CONFIG_ASIGNATURAS!$B$2:$J$91,9,FALSE()),""))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IF(DATOS!$A11661="",0,IF(CONFIG_METADATA!$B$4&lt;&gt;"OR+EX",--(DATOS!$G11661=CONFIG_METADATA!$B$4),IF(DATOS!$G11661="EX",1,IF(DATOS!$G11661="OR",--(COUNTIFS(nNIA,DATOS!$A11661,nCURSO,DATOS!$D11661,nESPEC,DATOS!$E11661,nASIG,DATOS!$I11661,nEVAL,"EX")=0),0))))</f>
      </c>
      <c r="H11661">
        <f>IF(DATOS!$G11661&lt;&gt;"EX",0,--(COUNTIFS(nNIA,DATOS!$A11661,nCURSO,DATOS!$D11661,nESPEC,DATOS!$E11661,nASIG,DATOS!$I11661,nEVAL,"OR")=0))</f>
      </c>
      <c r="I11661">
        <f>IF(DATOS!$I11661="","",IFERROR(VLOOKUP(DATOS!$I11661,CONFIG_ASIGNATURAS!$B$2:$J$91,9,FALSE()),""))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IF(DATOS!$A11662="",0,IF(CONFIG_METADATA!$B$4&lt;&gt;"OR+EX",--(DATOS!$G11662=CONFIG_METADATA!$B$4),IF(DATOS!$G11662="EX",1,IF(DATOS!$G11662="OR",--(COUNTIFS(nNIA,DATOS!$A11662,nCURSO,DATOS!$D11662,nESPEC,DATOS!$E11662,nASIG,DATOS!$I11662,nEVAL,"EX")=0),0))))</f>
      </c>
      <c r="H11662">
        <f>IF(DATOS!$G11662&lt;&gt;"EX",0,--(COUNTIFS(nNIA,DATOS!$A11662,nCURSO,DATOS!$D11662,nESPEC,DATOS!$E11662,nASIG,DATOS!$I11662,nEVAL,"OR")=0))</f>
      </c>
      <c r="I11662">
        <f>IF(DATOS!$I11662="","",IFERROR(VLOOKUP(DATOS!$I11662,CONFIG_ASIGNATURAS!$B$2:$J$91,9,FALSE()),""))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IF(DATOS!$A11663="",0,IF(CONFIG_METADATA!$B$4&lt;&gt;"OR+EX",--(DATOS!$G11663=CONFIG_METADATA!$B$4),IF(DATOS!$G11663="EX",1,IF(DATOS!$G11663="OR",--(COUNTIFS(nNIA,DATOS!$A11663,nCURSO,DATOS!$D11663,nESPEC,DATOS!$E11663,nASIG,DATOS!$I11663,nEVAL,"EX")=0),0))))</f>
      </c>
      <c r="H11663">
        <f>IF(DATOS!$G11663&lt;&gt;"EX",0,--(COUNTIFS(nNIA,DATOS!$A11663,nCURSO,DATOS!$D11663,nESPEC,DATOS!$E11663,nASIG,DATOS!$I11663,nEVAL,"OR")=0))</f>
      </c>
      <c r="I11663">
        <f>IF(DATOS!$I11663="","",IFERROR(VLOOKUP(DATOS!$I11663,CONFIG_ASIGNATURAS!$B$2:$J$91,9,FALSE()),""))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IF(DATOS!$A11664="",0,IF(CONFIG_METADATA!$B$4&lt;&gt;"OR+EX",--(DATOS!$G11664=CONFIG_METADATA!$B$4),IF(DATOS!$G11664="EX",1,IF(DATOS!$G11664="OR",--(COUNTIFS(nNIA,DATOS!$A11664,nCURSO,DATOS!$D11664,nESPEC,DATOS!$E11664,nASIG,DATOS!$I11664,nEVAL,"EX")=0),0))))</f>
      </c>
      <c r="H11664">
        <f>IF(DATOS!$G11664&lt;&gt;"EX",0,--(COUNTIFS(nNIA,DATOS!$A11664,nCURSO,DATOS!$D11664,nESPEC,DATOS!$E11664,nASIG,DATOS!$I11664,nEVAL,"OR")=0))</f>
      </c>
      <c r="I11664">
        <f>IF(DATOS!$I11664="","",IFERROR(VLOOKUP(DATOS!$I11664,CONFIG_ASIGNATURAS!$B$2:$J$91,9,FALSE()),""))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IF(DATOS!$A11665="",0,IF(CONFIG_METADATA!$B$4&lt;&gt;"OR+EX",--(DATOS!$G11665=CONFIG_METADATA!$B$4),IF(DATOS!$G11665="EX",1,IF(DATOS!$G11665="OR",--(COUNTIFS(nNIA,DATOS!$A11665,nCURSO,DATOS!$D11665,nESPEC,DATOS!$E11665,nASIG,DATOS!$I11665,nEVAL,"EX")=0),0))))</f>
      </c>
      <c r="H11665">
        <f>IF(DATOS!$G11665&lt;&gt;"EX",0,--(COUNTIFS(nNIA,DATOS!$A11665,nCURSO,DATOS!$D11665,nESPEC,DATOS!$E11665,nASIG,DATOS!$I11665,nEVAL,"OR")=0))</f>
      </c>
      <c r="I11665">
        <f>IF(DATOS!$I11665="","",IFERROR(VLOOKUP(DATOS!$I11665,CONFIG_ASIGNATURAS!$B$2:$J$91,9,FALSE()),""))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IF(DATOS!$A11666="",0,IF(CONFIG_METADATA!$B$4&lt;&gt;"OR+EX",--(DATOS!$G11666=CONFIG_METADATA!$B$4),IF(DATOS!$G11666="EX",1,IF(DATOS!$G11666="OR",--(COUNTIFS(nNIA,DATOS!$A11666,nCURSO,DATOS!$D11666,nESPEC,DATOS!$E11666,nASIG,DATOS!$I11666,nEVAL,"EX")=0),0))))</f>
      </c>
      <c r="H11666">
        <f>IF(DATOS!$G11666&lt;&gt;"EX",0,--(COUNTIFS(nNIA,DATOS!$A11666,nCURSO,DATOS!$D11666,nESPEC,DATOS!$E11666,nASIG,DATOS!$I11666,nEVAL,"OR")=0))</f>
      </c>
      <c r="I11666">
        <f>IF(DATOS!$I11666="","",IFERROR(VLOOKUP(DATOS!$I11666,CONFIG_ASIGNATURAS!$B$2:$J$91,9,FALSE()),""))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IF(DATOS!$A11667="",0,IF(CONFIG_METADATA!$B$4&lt;&gt;"OR+EX",--(DATOS!$G11667=CONFIG_METADATA!$B$4),IF(DATOS!$G11667="EX",1,IF(DATOS!$G11667="OR",--(COUNTIFS(nNIA,DATOS!$A11667,nCURSO,DATOS!$D11667,nESPEC,DATOS!$E11667,nASIG,DATOS!$I11667,nEVAL,"EX")=0),0))))</f>
      </c>
      <c r="H11667">
        <f>IF(DATOS!$G11667&lt;&gt;"EX",0,--(COUNTIFS(nNIA,DATOS!$A11667,nCURSO,DATOS!$D11667,nESPEC,DATOS!$E11667,nASIG,DATOS!$I11667,nEVAL,"OR")=0))</f>
      </c>
      <c r="I11667">
        <f>IF(DATOS!$I11667="","",IFERROR(VLOOKUP(DATOS!$I11667,CONFIG_ASIGNATURAS!$B$2:$J$91,9,FALSE()),""))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IF(DATOS!$A11668="",0,IF(CONFIG_METADATA!$B$4&lt;&gt;"OR+EX",--(DATOS!$G11668=CONFIG_METADATA!$B$4),IF(DATOS!$G11668="EX",1,IF(DATOS!$G11668="OR",--(COUNTIFS(nNIA,DATOS!$A11668,nCURSO,DATOS!$D11668,nESPEC,DATOS!$E11668,nASIG,DATOS!$I11668,nEVAL,"EX")=0),0))))</f>
      </c>
      <c r="H11668">
        <f>IF(DATOS!$G11668&lt;&gt;"EX",0,--(COUNTIFS(nNIA,DATOS!$A11668,nCURSO,DATOS!$D11668,nESPEC,DATOS!$E11668,nASIG,DATOS!$I11668,nEVAL,"OR")=0))</f>
      </c>
      <c r="I11668">
        <f>IF(DATOS!$I11668="","",IFERROR(VLOOKUP(DATOS!$I11668,CONFIG_ASIGNATURAS!$B$2:$J$91,9,FALSE()),""))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IF(DATOS!$A11669="",0,IF(CONFIG_METADATA!$B$4&lt;&gt;"OR+EX",--(DATOS!$G11669=CONFIG_METADATA!$B$4),IF(DATOS!$G11669="EX",1,IF(DATOS!$G11669="OR",--(COUNTIFS(nNIA,DATOS!$A11669,nCURSO,DATOS!$D11669,nESPEC,DATOS!$E11669,nASIG,DATOS!$I11669,nEVAL,"EX")=0),0))))</f>
      </c>
      <c r="H11669">
        <f>IF(DATOS!$G11669&lt;&gt;"EX",0,--(COUNTIFS(nNIA,DATOS!$A11669,nCURSO,DATOS!$D11669,nESPEC,DATOS!$E11669,nASIG,DATOS!$I11669,nEVAL,"OR")=0))</f>
      </c>
      <c r="I11669">
        <f>IF(DATOS!$I11669="","",IFERROR(VLOOKUP(DATOS!$I11669,CONFIG_ASIGNATURAS!$B$2:$J$91,9,FALSE()),""))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IF(DATOS!$A11670="",0,IF(CONFIG_METADATA!$B$4&lt;&gt;"OR+EX",--(DATOS!$G11670=CONFIG_METADATA!$B$4),IF(DATOS!$G11670="EX",1,IF(DATOS!$G11670="OR",--(COUNTIFS(nNIA,DATOS!$A11670,nCURSO,DATOS!$D11670,nESPEC,DATOS!$E11670,nASIG,DATOS!$I11670,nEVAL,"EX")=0),0))))</f>
      </c>
      <c r="H11670">
        <f>IF(DATOS!$G11670&lt;&gt;"EX",0,--(COUNTIFS(nNIA,DATOS!$A11670,nCURSO,DATOS!$D11670,nESPEC,DATOS!$E11670,nASIG,DATOS!$I11670,nEVAL,"OR")=0))</f>
      </c>
      <c r="I11670">
        <f>IF(DATOS!$I11670="","",IFERROR(VLOOKUP(DATOS!$I11670,CONFIG_ASIGNATURAS!$B$2:$J$91,9,FALSE()),""))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IF(DATOS!$A11671="",0,IF(CONFIG_METADATA!$B$4&lt;&gt;"OR+EX",--(DATOS!$G11671=CONFIG_METADATA!$B$4),IF(DATOS!$G11671="EX",1,IF(DATOS!$G11671="OR",--(COUNTIFS(nNIA,DATOS!$A11671,nCURSO,DATOS!$D11671,nESPEC,DATOS!$E11671,nASIG,DATOS!$I11671,nEVAL,"EX")=0),0))))</f>
      </c>
      <c r="H11671">
        <f>IF(DATOS!$G11671&lt;&gt;"EX",0,--(COUNTIFS(nNIA,DATOS!$A11671,nCURSO,DATOS!$D11671,nESPEC,DATOS!$E11671,nASIG,DATOS!$I11671,nEVAL,"OR")=0))</f>
      </c>
      <c r="I11671">
        <f>IF(DATOS!$I11671="","",IFERROR(VLOOKUP(DATOS!$I11671,CONFIG_ASIGNATURAS!$B$2:$J$91,9,FALSE()),""))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IF(DATOS!$A11672="",0,IF(CONFIG_METADATA!$B$4&lt;&gt;"OR+EX",--(DATOS!$G11672=CONFIG_METADATA!$B$4),IF(DATOS!$G11672="EX",1,IF(DATOS!$G11672="OR",--(COUNTIFS(nNIA,DATOS!$A11672,nCURSO,DATOS!$D11672,nESPEC,DATOS!$E11672,nASIG,DATOS!$I11672,nEVAL,"EX")=0),0))))</f>
      </c>
      <c r="H11672">
        <f>IF(DATOS!$G11672&lt;&gt;"EX",0,--(COUNTIFS(nNIA,DATOS!$A11672,nCURSO,DATOS!$D11672,nESPEC,DATOS!$E11672,nASIG,DATOS!$I11672,nEVAL,"OR")=0))</f>
      </c>
      <c r="I11672">
        <f>IF(DATOS!$I11672="","",IFERROR(VLOOKUP(DATOS!$I11672,CONFIG_ASIGNATURAS!$B$2:$J$91,9,FALSE()),""))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IF(DATOS!$A11673="",0,IF(CONFIG_METADATA!$B$4&lt;&gt;"OR+EX",--(DATOS!$G11673=CONFIG_METADATA!$B$4),IF(DATOS!$G11673="EX",1,IF(DATOS!$G11673="OR",--(COUNTIFS(nNIA,DATOS!$A11673,nCURSO,DATOS!$D11673,nESPEC,DATOS!$E11673,nASIG,DATOS!$I11673,nEVAL,"EX")=0),0))))</f>
      </c>
      <c r="H11673">
        <f>IF(DATOS!$G11673&lt;&gt;"EX",0,--(COUNTIFS(nNIA,DATOS!$A11673,nCURSO,DATOS!$D11673,nESPEC,DATOS!$E11673,nASIG,DATOS!$I11673,nEVAL,"OR")=0))</f>
      </c>
      <c r="I11673">
        <f>IF(DATOS!$I11673="","",IFERROR(VLOOKUP(DATOS!$I11673,CONFIG_ASIGNATURAS!$B$2:$J$91,9,FALSE()),""))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IF(DATOS!$A11674="",0,IF(CONFIG_METADATA!$B$4&lt;&gt;"OR+EX",--(DATOS!$G11674=CONFIG_METADATA!$B$4),IF(DATOS!$G11674="EX",1,IF(DATOS!$G11674="OR",--(COUNTIFS(nNIA,DATOS!$A11674,nCURSO,DATOS!$D11674,nESPEC,DATOS!$E11674,nASIG,DATOS!$I11674,nEVAL,"EX")=0),0))))</f>
      </c>
      <c r="H11674">
        <f>IF(DATOS!$G11674&lt;&gt;"EX",0,--(COUNTIFS(nNIA,DATOS!$A11674,nCURSO,DATOS!$D11674,nESPEC,DATOS!$E11674,nASIG,DATOS!$I11674,nEVAL,"OR")=0))</f>
      </c>
      <c r="I11674">
        <f>IF(DATOS!$I11674="","",IFERROR(VLOOKUP(DATOS!$I11674,CONFIG_ASIGNATURAS!$B$2:$J$91,9,FALSE()),""))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IF(DATOS!$A11675="",0,IF(CONFIG_METADATA!$B$4&lt;&gt;"OR+EX",--(DATOS!$G11675=CONFIG_METADATA!$B$4),IF(DATOS!$G11675="EX",1,IF(DATOS!$G11675="OR",--(COUNTIFS(nNIA,DATOS!$A11675,nCURSO,DATOS!$D11675,nESPEC,DATOS!$E11675,nASIG,DATOS!$I11675,nEVAL,"EX")=0),0))))</f>
      </c>
      <c r="H11675">
        <f>IF(DATOS!$G11675&lt;&gt;"EX",0,--(COUNTIFS(nNIA,DATOS!$A11675,nCURSO,DATOS!$D11675,nESPEC,DATOS!$E11675,nASIG,DATOS!$I11675,nEVAL,"OR")=0))</f>
      </c>
      <c r="I11675">
        <f>IF(DATOS!$I11675="","",IFERROR(VLOOKUP(DATOS!$I11675,CONFIG_ASIGNATURAS!$B$2:$J$91,9,FALSE()),""))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IF(DATOS!$A11676="",0,IF(CONFIG_METADATA!$B$4&lt;&gt;"OR+EX",--(DATOS!$G11676=CONFIG_METADATA!$B$4),IF(DATOS!$G11676="EX",1,IF(DATOS!$G11676="OR",--(COUNTIFS(nNIA,DATOS!$A11676,nCURSO,DATOS!$D11676,nESPEC,DATOS!$E11676,nASIG,DATOS!$I11676,nEVAL,"EX")=0),0))))</f>
      </c>
      <c r="H11676">
        <f>IF(DATOS!$G11676&lt;&gt;"EX",0,--(COUNTIFS(nNIA,DATOS!$A11676,nCURSO,DATOS!$D11676,nESPEC,DATOS!$E11676,nASIG,DATOS!$I11676,nEVAL,"OR")=0))</f>
      </c>
      <c r="I11676">
        <f>IF(DATOS!$I11676="","",IFERROR(VLOOKUP(DATOS!$I11676,CONFIG_ASIGNATURAS!$B$2:$J$91,9,FALSE()),""))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IF(DATOS!$A11677="",0,IF(CONFIG_METADATA!$B$4&lt;&gt;"OR+EX",--(DATOS!$G11677=CONFIG_METADATA!$B$4),IF(DATOS!$G11677="EX",1,IF(DATOS!$G11677="OR",--(COUNTIFS(nNIA,DATOS!$A11677,nCURSO,DATOS!$D11677,nESPEC,DATOS!$E11677,nASIG,DATOS!$I11677,nEVAL,"EX")=0),0))))</f>
      </c>
      <c r="H11677">
        <f>IF(DATOS!$G11677&lt;&gt;"EX",0,--(COUNTIFS(nNIA,DATOS!$A11677,nCURSO,DATOS!$D11677,nESPEC,DATOS!$E11677,nASIG,DATOS!$I11677,nEVAL,"OR")=0))</f>
      </c>
      <c r="I11677">
        <f>IF(DATOS!$I11677="","",IFERROR(VLOOKUP(DATOS!$I11677,CONFIG_ASIGNATURAS!$B$2:$J$91,9,FALSE()),""))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IF(DATOS!$A11678="",0,IF(CONFIG_METADATA!$B$4&lt;&gt;"OR+EX",--(DATOS!$G11678=CONFIG_METADATA!$B$4),IF(DATOS!$G11678="EX",1,IF(DATOS!$G11678="OR",--(COUNTIFS(nNIA,DATOS!$A11678,nCURSO,DATOS!$D11678,nESPEC,DATOS!$E11678,nASIG,DATOS!$I11678,nEVAL,"EX")=0),0))))</f>
      </c>
      <c r="H11678">
        <f>IF(DATOS!$G11678&lt;&gt;"EX",0,--(COUNTIFS(nNIA,DATOS!$A11678,nCURSO,DATOS!$D11678,nESPEC,DATOS!$E11678,nASIG,DATOS!$I11678,nEVAL,"OR")=0))</f>
      </c>
      <c r="I11678">
        <f>IF(DATOS!$I11678="","",IFERROR(VLOOKUP(DATOS!$I11678,CONFIG_ASIGNATURAS!$B$2:$J$91,9,FALSE()),""))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IF(DATOS!$A11679="",0,IF(CONFIG_METADATA!$B$4&lt;&gt;"OR+EX",--(DATOS!$G11679=CONFIG_METADATA!$B$4),IF(DATOS!$G11679="EX",1,IF(DATOS!$G11679="OR",--(COUNTIFS(nNIA,DATOS!$A11679,nCURSO,DATOS!$D11679,nESPEC,DATOS!$E11679,nASIG,DATOS!$I11679,nEVAL,"EX")=0),0))))</f>
      </c>
      <c r="H11679">
        <f>IF(DATOS!$G11679&lt;&gt;"EX",0,--(COUNTIFS(nNIA,DATOS!$A11679,nCURSO,DATOS!$D11679,nESPEC,DATOS!$E11679,nASIG,DATOS!$I11679,nEVAL,"OR")=0))</f>
      </c>
      <c r="I11679">
        <f>IF(DATOS!$I11679="","",IFERROR(VLOOKUP(DATOS!$I11679,CONFIG_ASIGNATURAS!$B$2:$J$91,9,FALSE()),""))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IF(DATOS!$A11680="",0,IF(CONFIG_METADATA!$B$4&lt;&gt;"OR+EX",--(DATOS!$G11680=CONFIG_METADATA!$B$4),IF(DATOS!$G11680="EX",1,IF(DATOS!$G11680="OR",--(COUNTIFS(nNIA,DATOS!$A11680,nCURSO,DATOS!$D11680,nESPEC,DATOS!$E11680,nASIG,DATOS!$I11680,nEVAL,"EX")=0),0))))</f>
      </c>
      <c r="H11680">
        <f>IF(DATOS!$G11680&lt;&gt;"EX",0,--(COUNTIFS(nNIA,DATOS!$A11680,nCURSO,DATOS!$D11680,nESPEC,DATOS!$E11680,nASIG,DATOS!$I11680,nEVAL,"OR")=0))</f>
      </c>
      <c r="I11680">
        <f>IF(DATOS!$I11680="","",IFERROR(VLOOKUP(DATOS!$I11680,CONFIG_ASIGNATURAS!$B$2:$J$91,9,FALSE()),""))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IF(DATOS!$A11681="",0,IF(CONFIG_METADATA!$B$4&lt;&gt;"OR+EX",--(DATOS!$G11681=CONFIG_METADATA!$B$4),IF(DATOS!$G11681="EX",1,IF(DATOS!$G11681="OR",--(COUNTIFS(nNIA,DATOS!$A11681,nCURSO,DATOS!$D11681,nESPEC,DATOS!$E11681,nASIG,DATOS!$I11681,nEVAL,"EX")=0),0))))</f>
      </c>
      <c r="H11681">
        <f>IF(DATOS!$G11681&lt;&gt;"EX",0,--(COUNTIFS(nNIA,DATOS!$A11681,nCURSO,DATOS!$D11681,nESPEC,DATOS!$E11681,nASIG,DATOS!$I11681,nEVAL,"OR")=0))</f>
      </c>
      <c r="I11681">
        <f>IF(DATOS!$I11681="","",IFERROR(VLOOKUP(DATOS!$I11681,CONFIG_ASIGNATURAS!$B$2:$J$91,9,FALSE()),""))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IF(DATOS!$A11682="",0,IF(CONFIG_METADATA!$B$4&lt;&gt;"OR+EX",--(DATOS!$G11682=CONFIG_METADATA!$B$4),IF(DATOS!$G11682="EX",1,IF(DATOS!$G11682="OR",--(COUNTIFS(nNIA,DATOS!$A11682,nCURSO,DATOS!$D11682,nESPEC,DATOS!$E11682,nASIG,DATOS!$I11682,nEVAL,"EX")=0),0))))</f>
      </c>
      <c r="H11682">
        <f>IF(DATOS!$G11682&lt;&gt;"EX",0,--(COUNTIFS(nNIA,DATOS!$A11682,nCURSO,DATOS!$D11682,nESPEC,DATOS!$E11682,nASIG,DATOS!$I11682,nEVAL,"OR")=0))</f>
      </c>
      <c r="I11682">
        <f>IF(DATOS!$I11682="","",IFERROR(VLOOKUP(DATOS!$I11682,CONFIG_ASIGNATURAS!$B$2:$J$91,9,FALSE()),""))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IF(DATOS!$A11683="",0,IF(CONFIG_METADATA!$B$4&lt;&gt;"OR+EX",--(DATOS!$G11683=CONFIG_METADATA!$B$4),IF(DATOS!$G11683="EX",1,IF(DATOS!$G11683="OR",--(COUNTIFS(nNIA,DATOS!$A11683,nCURSO,DATOS!$D11683,nESPEC,DATOS!$E11683,nASIG,DATOS!$I11683,nEVAL,"EX")=0),0))))</f>
      </c>
      <c r="H11683">
        <f>IF(DATOS!$G11683&lt;&gt;"EX",0,--(COUNTIFS(nNIA,DATOS!$A11683,nCURSO,DATOS!$D11683,nESPEC,DATOS!$E11683,nASIG,DATOS!$I11683,nEVAL,"OR")=0))</f>
      </c>
      <c r="I11683">
        <f>IF(DATOS!$I11683="","",IFERROR(VLOOKUP(DATOS!$I11683,CONFIG_ASIGNATURAS!$B$2:$J$91,9,FALSE()),""))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IF(DATOS!$A11684="",0,IF(CONFIG_METADATA!$B$4&lt;&gt;"OR+EX",--(DATOS!$G11684=CONFIG_METADATA!$B$4),IF(DATOS!$G11684="EX",1,IF(DATOS!$G11684="OR",--(COUNTIFS(nNIA,DATOS!$A11684,nCURSO,DATOS!$D11684,nESPEC,DATOS!$E11684,nASIG,DATOS!$I11684,nEVAL,"EX")=0),0))))</f>
      </c>
      <c r="H11684">
        <f>IF(DATOS!$G11684&lt;&gt;"EX",0,--(COUNTIFS(nNIA,DATOS!$A11684,nCURSO,DATOS!$D11684,nESPEC,DATOS!$E11684,nASIG,DATOS!$I11684,nEVAL,"OR")=0))</f>
      </c>
      <c r="I11684">
        <f>IF(DATOS!$I11684="","",IFERROR(VLOOKUP(DATOS!$I11684,CONFIG_ASIGNATURAS!$B$2:$J$91,9,FALSE()),""))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IF(DATOS!$A11685="",0,IF(CONFIG_METADATA!$B$4&lt;&gt;"OR+EX",--(DATOS!$G11685=CONFIG_METADATA!$B$4),IF(DATOS!$G11685="EX",1,IF(DATOS!$G11685="OR",--(COUNTIFS(nNIA,DATOS!$A11685,nCURSO,DATOS!$D11685,nESPEC,DATOS!$E11685,nASIG,DATOS!$I11685,nEVAL,"EX")=0),0))))</f>
      </c>
      <c r="H11685">
        <f>IF(DATOS!$G11685&lt;&gt;"EX",0,--(COUNTIFS(nNIA,DATOS!$A11685,nCURSO,DATOS!$D11685,nESPEC,DATOS!$E11685,nASIG,DATOS!$I11685,nEVAL,"OR")=0))</f>
      </c>
      <c r="I11685">
        <f>IF(DATOS!$I11685="","",IFERROR(VLOOKUP(DATOS!$I11685,CONFIG_ASIGNATURAS!$B$2:$J$91,9,FALSE()),""))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IF(DATOS!$A11686="",0,IF(CONFIG_METADATA!$B$4&lt;&gt;"OR+EX",--(DATOS!$G11686=CONFIG_METADATA!$B$4),IF(DATOS!$G11686="EX",1,IF(DATOS!$G11686="OR",--(COUNTIFS(nNIA,DATOS!$A11686,nCURSO,DATOS!$D11686,nESPEC,DATOS!$E11686,nASIG,DATOS!$I11686,nEVAL,"EX")=0),0))))</f>
      </c>
      <c r="H11686">
        <f>IF(DATOS!$G11686&lt;&gt;"EX",0,--(COUNTIFS(nNIA,DATOS!$A11686,nCURSO,DATOS!$D11686,nESPEC,DATOS!$E11686,nASIG,DATOS!$I11686,nEVAL,"OR")=0))</f>
      </c>
      <c r="I11686">
        <f>IF(DATOS!$I11686="","",IFERROR(VLOOKUP(DATOS!$I11686,CONFIG_ASIGNATURAS!$B$2:$J$91,9,FALSE()),""))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IF(DATOS!$A11687="",0,IF(CONFIG_METADATA!$B$4&lt;&gt;"OR+EX",--(DATOS!$G11687=CONFIG_METADATA!$B$4),IF(DATOS!$G11687="EX",1,IF(DATOS!$G11687="OR",--(COUNTIFS(nNIA,DATOS!$A11687,nCURSO,DATOS!$D11687,nESPEC,DATOS!$E11687,nASIG,DATOS!$I11687,nEVAL,"EX")=0),0))))</f>
      </c>
      <c r="H11687">
        <f>IF(DATOS!$G11687&lt;&gt;"EX",0,--(COUNTIFS(nNIA,DATOS!$A11687,nCURSO,DATOS!$D11687,nESPEC,DATOS!$E11687,nASIG,DATOS!$I11687,nEVAL,"OR")=0))</f>
      </c>
      <c r="I11687">
        <f>IF(DATOS!$I11687="","",IFERROR(VLOOKUP(DATOS!$I11687,CONFIG_ASIGNATURAS!$B$2:$J$91,9,FALSE()),""))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IF(DATOS!$A11688="",0,IF(CONFIG_METADATA!$B$4&lt;&gt;"OR+EX",--(DATOS!$G11688=CONFIG_METADATA!$B$4),IF(DATOS!$G11688="EX",1,IF(DATOS!$G11688="OR",--(COUNTIFS(nNIA,DATOS!$A11688,nCURSO,DATOS!$D11688,nESPEC,DATOS!$E11688,nASIG,DATOS!$I11688,nEVAL,"EX")=0),0))))</f>
      </c>
      <c r="H11688">
        <f>IF(DATOS!$G11688&lt;&gt;"EX",0,--(COUNTIFS(nNIA,DATOS!$A11688,nCURSO,DATOS!$D11688,nESPEC,DATOS!$E11688,nASIG,DATOS!$I11688,nEVAL,"OR")=0))</f>
      </c>
      <c r="I11688">
        <f>IF(DATOS!$I11688="","",IFERROR(VLOOKUP(DATOS!$I11688,CONFIG_ASIGNATURAS!$B$2:$J$91,9,FALSE()),""))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IF(DATOS!$A11689="",0,IF(CONFIG_METADATA!$B$4&lt;&gt;"OR+EX",--(DATOS!$G11689=CONFIG_METADATA!$B$4),IF(DATOS!$G11689="EX",1,IF(DATOS!$G11689="OR",--(COUNTIFS(nNIA,DATOS!$A11689,nCURSO,DATOS!$D11689,nESPEC,DATOS!$E11689,nASIG,DATOS!$I11689,nEVAL,"EX")=0),0))))</f>
      </c>
      <c r="H11689">
        <f>IF(DATOS!$G11689&lt;&gt;"EX",0,--(COUNTIFS(nNIA,DATOS!$A11689,nCURSO,DATOS!$D11689,nESPEC,DATOS!$E11689,nASIG,DATOS!$I11689,nEVAL,"OR")=0))</f>
      </c>
      <c r="I11689">
        <f>IF(DATOS!$I11689="","",IFERROR(VLOOKUP(DATOS!$I11689,CONFIG_ASIGNATURAS!$B$2:$J$91,9,FALSE()),""))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IF(DATOS!$A11690="",0,IF(CONFIG_METADATA!$B$4&lt;&gt;"OR+EX",--(DATOS!$G11690=CONFIG_METADATA!$B$4),IF(DATOS!$G11690="EX",1,IF(DATOS!$G11690="OR",--(COUNTIFS(nNIA,DATOS!$A11690,nCURSO,DATOS!$D11690,nESPEC,DATOS!$E11690,nASIG,DATOS!$I11690,nEVAL,"EX")=0),0))))</f>
      </c>
      <c r="H11690">
        <f>IF(DATOS!$G11690&lt;&gt;"EX",0,--(COUNTIFS(nNIA,DATOS!$A11690,nCURSO,DATOS!$D11690,nESPEC,DATOS!$E11690,nASIG,DATOS!$I11690,nEVAL,"OR")=0))</f>
      </c>
      <c r="I11690">
        <f>IF(DATOS!$I11690="","",IFERROR(VLOOKUP(DATOS!$I11690,CONFIG_ASIGNATURAS!$B$2:$J$91,9,FALSE()),""))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IF(DATOS!$A11691="",0,IF(CONFIG_METADATA!$B$4&lt;&gt;"OR+EX",--(DATOS!$G11691=CONFIG_METADATA!$B$4),IF(DATOS!$G11691="EX",1,IF(DATOS!$G11691="OR",--(COUNTIFS(nNIA,DATOS!$A11691,nCURSO,DATOS!$D11691,nESPEC,DATOS!$E11691,nASIG,DATOS!$I11691,nEVAL,"EX")=0),0))))</f>
      </c>
      <c r="H11691">
        <f>IF(DATOS!$G11691&lt;&gt;"EX",0,--(COUNTIFS(nNIA,DATOS!$A11691,nCURSO,DATOS!$D11691,nESPEC,DATOS!$E11691,nASIG,DATOS!$I11691,nEVAL,"OR")=0))</f>
      </c>
      <c r="I11691">
        <f>IF(DATOS!$I11691="","",IFERROR(VLOOKUP(DATOS!$I11691,CONFIG_ASIGNATURAS!$B$2:$J$91,9,FALSE()),""))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IF(DATOS!$A11692="",0,IF(CONFIG_METADATA!$B$4&lt;&gt;"OR+EX",--(DATOS!$G11692=CONFIG_METADATA!$B$4),IF(DATOS!$G11692="EX",1,IF(DATOS!$G11692="OR",--(COUNTIFS(nNIA,DATOS!$A11692,nCURSO,DATOS!$D11692,nESPEC,DATOS!$E11692,nASIG,DATOS!$I11692,nEVAL,"EX")=0),0))))</f>
      </c>
      <c r="H11692">
        <f>IF(DATOS!$G11692&lt;&gt;"EX",0,--(COUNTIFS(nNIA,DATOS!$A11692,nCURSO,DATOS!$D11692,nESPEC,DATOS!$E11692,nASIG,DATOS!$I11692,nEVAL,"OR")=0))</f>
      </c>
      <c r="I11692">
        <f>IF(DATOS!$I11692="","",IFERROR(VLOOKUP(DATOS!$I11692,CONFIG_ASIGNATURAS!$B$2:$J$91,9,FALSE()),""))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IF(DATOS!$A11693="",0,IF(CONFIG_METADATA!$B$4&lt;&gt;"OR+EX",--(DATOS!$G11693=CONFIG_METADATA!$B$4),IF(DATOS!$G11693="EX",1,IF(DATOS!$G11693="OR",--(COUNTIFS(nNIA,DATOS!$A11693,nCURSO,DATOS!$D11693,nESPEC,DATOS!$E11693,nASIG,DATOS!$I11693,nEVAL,"EX")=0),0))))</f>
      </c>
      <c r="H11693">
        <f>IF(DATOS!$G11693&lt;&gt;"EX",0,--(COUNTIFS(nNIA,DATOS!$A11693,nCURSO,DATOS!$D11693,nESPEC,DATOS!$E11693,nASIG,DATOS!$I11693,nEVAL,"OR")=0))</f>
      </c>
      <c r="I11693">
        <f>IF(DATOS!$I11693="","",IFERROR(VLOOKUP(DATOS!$I11693,CONFIG_ASIGNATURAS!$B$2:$J$91,9,FALSE()),""))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IF(DATOS!$A11694="",0,IF(CONFIG_METADATA!$B$4&lt;&gt;"OR+EX",--(DATOS!$G11694=CONFIG_METADATA!$B$4),IF(DATOS!$G11694="EX",1,IF(DATOS!$G11694="OR",--(COUNTIFS(nNIA,DATOS!$A11694,nCURSO,DATOS!$D11694,nESPEC,DATOS!$E11694,nASIG,DATOS!$I11694,nEVAL,"EX")=0),0))))</f>
      </c>
      <c r="H11694">
        <f>IF(DATOS!$G11694&lt;&gt;"EX",0,--(COUNTIFS(nNIA,DATOS!$A11694,nCURSO,DATOS!$D11694,nESPEC,DATOS!$E11694,nASIG,DATOS!$I11694,nEVAL,"OR")=0))</f>
      </c>
      <c r="I11694">
        <f>IF(DATOS!$I11694="","",IFERROR(VLOOKUP(DATOS!$I11694,CONFIG_ASIGNATURAS!$B$2:$J$91,9,FALSE()),""))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IF(DATOS!$A11695="",0,IF(CONFIG_METADATA!$B$4&lt;&gt;"OR+EX",--(DATOS!$G11695=CONFIG_METADATA!$B$4),IF(DATOS!$G11695="EX",1,IF(DATOS!$G11695="OR",--(COUNTIFS(nNIA,DATOS!$A11695,nCURSO,DATOS!$D11695,nESPEC,DATOS!$E11695,nASIG,DATOS!$I11695,nEVAL,"EX")=0),0))))</f>
      </c>
      <c r="H11695">
        <f>IF(DATOS!$G11695&lt;&gt;"EX",0,--(COUNTIFS(nNIA,DATOS!$A11695,nCURSO,DATOS!$D11695,nESPEC,DATOS!$E11695,nASIG,DATOS!$I11695,nEVAL,"OR")=0))</f>
      </c>
      <c r="I11695">
        <f>IF(DATOS!$I11695="","",IFERROR(VLOOKUP(DATOS!$I11695,CONFIG_ASIGNATURAS!$B$2:$J$91,9,FALSE()),""))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IF(DATOS!$A11696="",0,IF(CONFIG_METADATA!$B$4&lt;&gt;"OR+EX",--(DATOS!$G11696=CONFIG_METADATA!$B$4),IF(DATOS!$G11696="EX",1,IF(DATOS!$G11696="OR",--(COUNTIFS(nNIA,DATOS!$A11696,nCURSO,DATOS!$D11696,nESPEC,DATOS!$E11696,nASIG,DATOS!$I11696,nEVAL,"EX")=0),0))))</f>
      </c>
      <c r="H11696">
        <f>IF(DATOS!$G11696&lt;&gt;"EX",0,--(COUNTIFS(nNIA,DATOS!$A11696,nCURSO,DATOS!$D11696,nESPEC,DATOS!$E11696,nASIG,DATOS!$I11696,nEVAL,"OR")=0))</f>
      </c>
      <c r="I11696">
        <f>IF(DATOS!$I11696="","",IFERROR(VLOOKUP(DATOS!$I11696,CONFIG_ASIGNATURAS!$B$2:$J$91,9,FALSE()),""))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IF(DATOS!$A11697="",0,IF(CONFIG_METADATA!$B$4&lt;&gt;"OR+EX",--(DATOS!$G11697=CONFIG_METADATA!$B$4),IF(DATOS!$G11697="EX",1,IF(DATOS!$G11697="OR",--(COUNTIFS(nNIA,DATOS!$A11697,nCURSO,DATOS!$D11697,nESPEC,DATOS!$E11697,nASIG,DATOS!$I11697,nEVAL,"EX")=0),0))))</f>
      </c>
      <c r="H11697">
        <f>IF(DATOS!$G11697&lt;&gt;"EX",0,--(COUNTIFS(nNIA,DATOS!$A11697,nCURSO,DATOS!$D11697,nESPEC,DATOS!$E11697,nASIG,DATOS!$I11697,nEVAL,"OR")=0))</f>
      </c>
      <c r="I11697">
        <f>IF(DATOS!$I11697="","",IFERROR(VLOOKUP(DATOS!$I11697,CONFIG_ASIGNATURAS!$B$2:$J$91,9,FALSE()),""))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IF(DATOS!$A11698="",0,IF(CONFIG_METADATA!$B$4&lt;&gt;"OR+EX",--(DATOS!$G11698=CONFIG_METADATA!$B$4),IF(DATOS!$G11698="EX",1,IF(DATOS!$G11698="OR",--(COUNTIFS(nNIA,DATOS!$A11698,nCURSO,DATOS!$D11698,nESPEC,DATOS!$E11698,nASIG,DATOS!$I11698,nEVAL,"EX")=0),0))))</f>
      </c>
      <c r="H11698">
        <f>IF(DATOS!$G11698&lt;&gt;"EX",0,--(COUNTIFS(nNIA,DATOS!$A11698,nCURSO,DATOS!$D11698,nESPEC,DATOS!$E11698,nASIG,DATOS!$I11698,nEVAL,"OR")=0))</f>
      </c>
      <c r="I11698">
        <f>IF(DATOS!$I11698="","",IFERROR(VLOOKUP(DATOS!$I11698,CONFIG_ASIGNATURAS!$B$2:$J$91,9,FALSE()),""))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IF(DATOS!$A11699="",0,IF(CONFIG_METADATA!$B$4&lt;&gt;"OR+EX",--(DATOS!$G11699=CONFIG_METADATA!$B$4),IF(DATOS!$G11699="EX",1,IF(DATOS!$G11699="OR",--(COUNTIFS(nNIA,DATOS!$A11699,nCURSO,DATOS!$D11699,nESPEC,DATOS!$E11699,nASIG,DATOS!$I11699,nEVAL,"EX")=0),0))))</f>
      </c>
      <c r="H11699">
        <f>IF(DATOS!$G11699&lt;&gt;"EX",0,--(COUNTIFS(nNIA,DATOS!$A11699,nCURSO,DATOS!$D11699,nESPEC,DATOS!$E11699,nASIG,DATOS!$I11699,nEVAL,"OR")=0))</f>
      </c>
      <c r="I11699">
        <f>IF(DATOS!$I11699="","",IFERROR(VLOOKUP(DATOS!$I11699,CONFIG_ASIGNATURAS!$B$2:$J$91,9,FALSE()),""))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IF(DATOS!$A11700="",0,IF(CONFIG_METADATA!$B$4&lt;&gt;"OR+EX",--(DATOS!$G11700=CONFIG_METADATA!$B$4),IF(DATOS!$G11700="EX",1,IF(DATOS!$G11700="OR",--(COUNTIFS(nNIA,DATOS!$A11700,nCURSO,DATOS!$D11700,nESPEC,DATOS!$E11700,nASIG,DATOS!$I11700,nEVAL,"EX")=0),0))))</f>
      </c>
      <c r="H11700">
        <f>IF(DATOS!$G11700&lt;&gt;"EX",0,--(COUNTIFS(nNIA,DATOS!$A11700,nCURSO,DATOS!$D11700,nESPEC,DATOS!$E11700,nASIG,DATOS!$I11700,nEVAL,"OR")=0))</f>
      </c>
      <c r="I11700">
        <f>IF(DATOS!$I11700="","",IFERROR(VLOOKUP(DATOS!$I11700,CONFIG_ASIGNATURAS!$B$2:$J$91,9,FALSE()),""))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IF(DATOS!$A11701="",0,IF(CONFIG_METADATA!$B$4&lt;&gt;"OR+EX",--(DATOS!$G11701=CONFIG_METADATA!$B$4),IF(DATOS!$G11701="EX",1,IF(DATOS!$G11701="OR",--(COUNTIFS(nNIA,DATOS!$A11701,nCURSO,DATOS!$D11701,nESPEC,DATOS!$E11701,nASIG,DATOS!$I11701,nEVAL,"EX")=0),0))))</f>
      </c>
      <c r="H11701">
        <f>IF(DATOS!$G11701&lt;&gt;"EX",0,--(COUNTIFS(nNIA,DATOS!$A11701,nCURSO,DATOS!$D11701,nESPEC,DATOS!$E11701,nASIG,DATOS!$I11701,nEVAL,"OR")=0))</f>
      </c>
      <c r="I11701">
        <f>IF(DATOS!$I11701="","",IFERROR(VLOOKUP(DATOS!$I11701,CONFIG_ASIGNATURAS!$B$2:$J$91,9,FALSE()),""))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IF(DATOS!$A11702="",0,IF(CONFIG_METADATA!$B$4&lt;&gt;"OR+EX",--(DATOS!$G11702=CONFIG_METADATA!$B$4),IF(DATOS!$G11702="EX",1,IF(DATOS!$G11702="OR",--(COUNTIFS(nNIA,DATOS!$A11702,nCURSO,DATOS!$D11702,nESPEC,DATOS!$E11702,nASIG,DATOS!$I11702,nEVAL,"EX")=0),0))))</f>
      </c>
      <c r="H11702">
        <f>IF(DATOS!$G11702&lt;&gt;"EX",0,--(COUNTIFS(nNIA,DATOS!$A11702,nCURSO,DATOS!$D11702,nESPEC,DATOS!$E11702,nASIG,DATOS!$I11702,nEVAL,"OR")=0))</f>
      </c>
      <c r="I11702">
        <f>IF(DATOS!$I11702="","",IFERROR(VLOOKUP(DATOS!$I11702,CONFIG_ASIGNATURAS!$B$2:$J$91,9,FALSE()),""))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IF(DATOS!$A11703="",0,IF(CONFIG_METADATA!$B$4&lt;&gt;"OR+EX",--(DATOS!$G11703=CONFIG_METADATA!$B$4),IF(DATOS!$G11703="EX",1,IF(DATOS!$G11703="OR",--(COUNTIFS(nNIA,DATOS!$A11703,nCURSO,DATOS!$D11703,nESPEC,DATOS!$E11703,nASIG,DATOS!$I11703,nEVAL,"EX")=0),0))))</f>
      </c>
      <c r="H11703">
        <f>IF(DATOS!$G11703&lt;&gt;"EX",0,--(COUNTIFS(nNIA,DATOS!$A11703,nCURSO,DATOS!$D11703,nESPEC,DATOS!$E11703,nASIG,DATOS!$I11703,nEVAL,"OR")=0))</f>
      </c>
      <c r="I11703">
        <f>IF(DATOS!$I11703="","",IFERROR(VLOOKUP(DATOS!$I11703,CONFIG_ASIGNATURAS!$B$2:$J$91,9,FALSE()),""))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IF(DATOS!$A11704="",0,IF(CONFIG_METADATA!$B$4&lt;&gt;"OR+EX",--(DATOS!$G11704=CONFIG_METADATA!$B$4),IF(DATOS!$G11704="EX",1,IF(DATOS!$G11704="OR",--(COUNTIFS(nNIA,DATOS!$A11704,nCURSO,DATOS!$D11704,nESPEC,DATOS!$E11704,nASIG,DATOS!$I11704,nEVAL,"EX")=0),0))))</f>
      </c>
      <c r="H11704">
        <f>IF(DATOS!$G11704&lt;&gt;"EX",0,--(COUNTIFS(nNIA,DATOS!$A11704,nCURSO,DATOS!$D11704,nESPEC,DATOS!$E11704,nASIG,DATOS!$I11704,nEVAL,"OR")=0))</f>
      </c>
      <c r="I11704">
        <f>IF(DATOS!$I11704="","",IFERROR(VLOOKUP(DATOS!$I11704,CONFIG_ASIGNATURAS!$B$2:$J$91,9,FALSE()),""))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IF(DATOS!$A11705="",0,IF(CONFIG_METADATA!$B$4&lt;&gt;"OR+EX",--(DATOS!$G11705=CONFIG_METADATA!$B$4),IF(DATOS!$G11705="EX",1,IF(DATOS!$G11705="OR",--(COUNTIFS(nNIA,DATOS!$A11705,nCURSO,DATOS!$D11705,nESPEC,DATOS!$E11705,nASIG,DATOS!$I11705,nEVAL,"EX")=0),0))))</f>
      </c>
      <c r="H11705">
        <f>IF(DATOS!$G11705&lt;&gt;"EX",0,--(COUNTIFS(nNIA,DATOS!$A11705,nCURSO,DATOS!$D11705,nESPEC,DATOS!$E11705,nASIG,DATOS!$I11705,nEVAL,"OR")=0))</f>
      </c>
      <c r="I11705">
        <f>IF(DATOS!$I11705="","",IFERROR(VLOOKUP(DATOS!$I11705,CONFIG_ASIGNATURAS!$B$2:$J$91,9,FALSE()),""))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IF(DATOS!$A11706="",0,IF(CONFIG_METADATA!$B$4&lt;&gt;"OR+EX",--(DATOS!$G11706=CONFIG_METADATA!$B$4),IF(DATOS!$G11706="EX",1,IF(DATOS!$G11706="OR",--(COUNTIFS(nNIA,DATOS!$A11706,nCURSO,DATOS!$D11706,nESPEC,DATOS!$E11706,nASIG,DATOS!$I11706,nEVAL,"EX")=0),0))))</f>
      </c>
      <c r="H11706">
        <f>IF(DATOS!$G11706&lt;&gt;"EX",0,--(COUNTIFS(nNIA,DATOS!$A11706,nCURSO,DATOS!$D11706,nESPEC,DATOS!$E11706,nASIG,DATOS!$I11706,nEVAL,"OR")=0))</f>
      </c>
      <c r="I11706">
        <f>IF(DATOS!$I11706="","",IFERROR(VLOOKUP(DATOS!$I11706,CONFIG_ASIGNATURAS!$B$2:$J$91,9,FALSE()),""))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IF(DATOS!$A11707="",0,IF(CONFIG_METADATA!$B$4&lt;&gt;"OR+EX",--(DATOS!$G11707=CONFIG_METADATA!$B$4),IF(DATOS!$G11707="EX",1,IF(DATOS!$G11707="OR",--(COUNTIFS(nNIA,DATOS!$A11707,nCURSO,DATOS!$D11707,nESPEC,DATOS!$E11707,nASIG,DATOS!$I11707,nEVAL,"EX")=0),0))))</f>
      </c>
      <c r="H11707">
        <f>IF(DATOS!$G11707&lt;&gt;"EX",0,--(COUNTIFS(nNIA,DATOS!$A11707,nCURSO,DATOS!$D11707,nESPEC,DATOS!$E11707,nASIG,DATOS!$I11707,nEVAL,"OR")=0))</f>
      </c>
      <c r="I11707">
        <f>IF(DATOS!$I11707="","",IFERROR(VLOOKUP(DATOS!$I11707,CONFIG_ASIGNATURAS!$B$2:$J$91,9,FALSE()),""))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IF(DATOS!$A11708="",0,IF(CONFIG_METADATA!$B$4&lt;&gt;"OR+EX",--(DATOS!$G11708=CONFIG_METADATA!$B$4),IF(DATOS!$G11708="EX",1,IF(DATOS!$G11708="OR",--(COUNTIFS(nNIA,DATOS!$A11708,nCURSO,DATOS!$D11708,nESPEC,DATOS!$E11708,nASIG,DATOS!$I11708,nEVAL,"EX")=0),0))))</f>
      </c>
      <c r="H11708">
        <f>IF(DATOS!$G11708&lt;&gt;"EX",0,--(COUNTIFS(nNIA,DATOS!$A11708,nCURSO,DATOS!$D11708,nESPEC,DATOS!$E11708,nASIG,DATOS!$I11708,nEVAL,"OR")=0))</f>
      </c>
      <c r="I11708">
        <f>IF(DATOS!$I11708="","",IFERROR(VLOOKUP(DATOS!$I11708,CONFIG_ASIGNATURAS!$B$2:$J$91,9,FALSE()),""))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IF(DATOS!$A11709="",0,IF(CONFIG_METADATA!$B$4&lt;&gt;"OR+EX",--(DATOS!$G11709=CONFIG_METADATA!$B$4),IF(DATOS!$G11709="EX",1,IF(DATOS!$G11709="OR",--(COUNTIFS(nNIA,DATOS!$A11709,nCURSO,DATOS!$D11709,nESPEC,DATOS!$E11709,nASIG,DATOS!$I11709,nEVAL,"EX")=0),0))))</f>
      </c>
      <c r="H11709">
        <f>IF(DATOS!$G11709&lt;&gt;"EX",0,--(COUNTIFS(nNIA,DATOS!$A11709,nCURSO,DATOS!$D11709,nESPEC,DATOS!$E11709,nASIG,DATOS!$I11709,nEVAL,"OR")=0))</f>
      </c>
      <c r="I11709">
        <f>IF(DATOS!$I11709="","",IFERROR(VLOOKUP(DATOS!$I11709,CONFIG_ASIGNATURAS!$B$2:$J$91,9,FALSE()),""))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IF(DATOS!$A11710="",0,IF(CONFIG_METADATA!$B$4&lt;&gt;"OR+EX",--(DATOS!$G11710=CONFIG_METADATA!$B$4),IF(DATOS!$G11710="EX",1,IF(DATOS!$G11710="OR",--(COUNTIFS(nNIA,DATOS!$A11710,nCURSO,DATOS!$D11710,nESPEC,DATOS!$E11710,nASIG,DATOS!$I11710,nEVAL,"EX")=0),0))))</f>
      </c>
      <c r="H11710">
        <f>IF(DATOS!$G11710&lt;&gt;"EX",0,--(COUNTIFS(nNIA,DATOS!$A11710,nCURSO,DATOS!$D11710,nESPEC,DATOS!$E11710,nASIG,DATOS!$I11710,nEVAL,"OR")=0))</f>
      </c>
      <c r="I11710">
        <f>IF(DATOS!$I11710="","",IFERROR(VLOOKUP(DATOS!$I11710,CONFIG_ASIGNATURAS!$B$2:$J$91,9,FALSE()),""))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IF(DATOS!$A11711="",0,IF(CONFIG_METADATA!$B$4&lt;&gt;"OR+EX",--(DATOS!$G11711=CONFIG_METADATA!$B$4),IF(DATOS!$G11711="EX",1,IF(DATOS!$G11711="OR",--(COUNTIFS(nNIA,DATOS!$A11711,nCURSO,DATOS!$D11711,nESPEC,DATOS!$E11711,nASIG,DATOS!$I11711,nEVAL,"EX")=0),0))))</f>
      </c>
      <c r="H11711">
        <f>IF(DATOS!$G11711&lt;&gt;"EX",0,--(COUNTIFS(nNIA,DATOS!$A11711,nCURSO,DATOS!$D11711,nESPEC,DATOS!$E11711,nASIG,DATOS!$I11711,nEVAL,"OR")=0))</f>
      </c>
      <c r="I11711">
        <f>IF(DATOS!$I11711="","",IFERROR(VLOOKUP(DATOS!$I11711,CONFIG_ASIGNATURAS!$B$2:$J$91,9,FALSE()),""))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IF(DATOS!$A11712="",0,IF(CONFIG_METADATA!$B$4&lt;&gt;"OR+EX",--(DATOS!$G11712=CONFIG_METADATA!$B$4),IF(DATOS!$G11712="EX",1,IF(DATOS!$G11712="OR",--(COUNTIFS(nNIA,DATOS!$A11712,nCURSO,DATOS!$D11712,nESPEC,DATOS!$E11712,nASIG,DATOS!$I11712,nEVAL,"EX")=0),0))))</f>
      </c>
      <c r="H11712">
        <f>IF(DATOS!$G11712&lt;&gt;"EX",0,--(COUNTIFS(nNIA,DATOS!$A11712,nCURSO,DATOS!$D11712,nESPEC,DATOS!$E11712,nASIG,DATOS!$I11712,nEVAL,"OR")=0))</f>
      </c>
      <c r="I11712">
        <f>IF(DATOS!$I11712="","",IFERROR(VLOOKUP(DATOS!$I11712,CONFIG_ASIGNATURAS!$B$2:$J$91,9,FALSE()),""))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IF(DATOS!$A11713="",0,IF(CONFIG_METADATA!$B$4&lt;&gt;"OR+EX",--(DATOS!$G11713=CONFIG_METADATA!$B$4),IF(DATOS!$G11713="EX",1,IF(DATOS!$G11713="OR",--(COUNTIFS(nNIA,DATOS!$A11713,nCURSO,DATOS!$D11713,nESPEC,DATOS!$E11713,nASIG,DATOS!$I11713,nEVAL,"EX")=0),0))))</f>
      </c>
      <c r="H11713">
        <f>IF(DATOS!$G11713&lt;&gt;"EX",0,--(COUNTIFS(nNIA,DATOS!$A11713,nCURSO,DATOS!$D11713,nESPEC,DATOS!$E11713,nASIG,DATOS!$I11713,nEVAL,"OR")=0))</f>
      </c>
      <c r="I11713">
        <f>IF(DATOS!$I11713="","",IFERROR(VLOOKUP(DATOS!$I11713,CONFIG_ASIGNATURAS!$B$2:$J$91,9,FALSE()),""))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IF(DATOS!$A11714="",0,IF(CONFIG_METADATA!$B$4&lt;&gt;"OR+EX",--(DATOS!$G11714=CONFIG_METADATA!$B$4),IF(DATOS!$G11714="EX",1,IF(DATOS!$G11714="OR",--(COUNTIFS(nNIA,DATOS!$A11714,nCURSO,DATOS!$D11714,nESPEC,DATOS!$E11714,nASIG,DATOS!$I11714,nEVAL,"EX")=0),0))))</f>
      </c>
      <c r="H11714">
        <f>IF(DATOS!$G11714&lt;&gt;"EX",0,--(COUNTIFS(nNIA,DATOS!$A11714,nCURSO,DATOS!$D11714,nESPEC,DATOS!$E11714,nASIG,DATOS!$I11714,nEVAL,"OR")=0))</f>
      </c>
      <c r="I11714">
        <f>IF(DATOS!$I11714="","",IFERROR(VLOOKUP(DATOS!$I11714,CONFIG_ASIGNATURAS!$B$2:$J$91,9,FALSE()),""))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IF(DATOS!$A11715="",0,IF(CONFIG_METADATA!$B$4&lt;&gt;"OR+EX",--(DATOS!$G11715=CONFIG_METADATA!$B$4),IF(DATOS!$G11715="EX",1,IF(DATOS!$G11715="OR",--(COUNTIFS(nNIA,DATOS!$A11715,nCURSO,DATOS!$D11715,nESPEC,DATOS!$E11715,nASIG,DATOS!$I11715,nEVAL,"EX")=0),0))))</f>
      </c>
      <c r="H11715">
        <f>IF(DATOS!$G11715&lt;&gt;"EX",0,--(COUNTIFS(nNIA,DATOS!$A11715,nCURSO,DATOS!$D11715,nESPEC,DATOS!$E11715,nASIG,DATOS!$I11715,nEVAL,"OR")=0))</f>
      </c>
      <c r="I11715">
        <f>IF(DATOS!$I11715="","",IFERROR(VLOOKUP(DATOS!$I11715,CONFIG_ASIGNATURAS!$B$2:$J$91,9,FALSE()),""))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IF(DATOS!$A11716="",0,IF(CONFIG_METADATA!$B$4&lt;&gt;"OR+EX",--(DATOS!$G11716=CONFIG_METADATA!$B$4),IF(DATOS!$G11716="EX",1,IF(DATOS!$G11716="OR",--(COUNTIFS(nNIA,DATOS!$A11716,nCURSO,DATOS!$D11716,nESPEC,DATOS!$E11716,nASIG,DATOS!$I11716,nEVAL,"EX")=0),0))))</f>
      </c>
      <c r="H11716">
        <f>IF(DATOS!$G11716&lt;&gt;"EX",0,--(COUNTIFS(nNIA,DATOS!$A11716,nCURSO,DATOS!$D11716,nESPEC,DATOS!$E11716,nASIG,DATOS!$I11716,nEVAL,"OR")=0))</f>
      </c>
      <c r="I11716">
        <f>IF(DATOS!$I11716="","",IFERROR(VLOOKUP(DATOS!$I11716,CONFIG_ASIGNATURAS!$B$2:$J$91,9,FALSE()),""))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IF(DATOS!$A11717="",0,IF(CONFIG_METADATA!$B$4&lt;&gt;"OR+EX",--(DATOS!$G11717=CONFIG_METADATA!$B$4),IF(DATOS!$G11717="EX",1,IF(DATOS!$G11717="OR",--(COUNTIFS(nNIA,DATOS!$A11717,nCURSO,DATOS!$D11717,nESPEC,DATOS!$E11717,nASIG,DATOS!$I11717,nEVAL,"EX")=0),0))))</f>
      </c>
      <c r="H11717">
        <f>IF(DATOS!$G11717&lt;&gt;"EX",0,--(COUNTIFS(nNIA,DATOS!$A11717,nCURSO,DATOS!$D11717,nESPEC,DATOS!$E11717,nASIG,DATOS!$I11717,nEVAL,"OR")=0))</f>
      </c>
      <c r="I11717">
        <f>IF(DATOS!$I11717="","",IFERROR(VLOOKUP(DATOS!$I11717,CONFIG_ASIGNATURAS!$B$2:$J$91,9,FALSE()),""))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IF(DATOS!$A11718="",0,IF(CONFIG_METADATA!$B$4&lt;&gt;"OR+EX",--(DATOS!$G11718=CONFIG_METADATA!$B$4),IF(DATOS!$G11718="EX",1,IF(DATOS!$G11718="OR",--(COUNTIFS(nNIA,DATOS!$A11718,nCURSO,DATOS!$D11718,nESPEC,DATOS!$E11718,nASIG,DATOS!$I11718,nEVAL,"EX")=0),0))))</f>
      </c>
      <c r="H11718">
        <f>IF(DATOS!$G11718&lt;&gt;"EX",0,--(COUNTIFS(nNIA,DATOS!$A11718,nCURSO,DATOS!$D11718,nESPEC,DATOS!$E11718,nASIG,DATOS!$I11718,nEVAL,"OR")=0))</f>
      </c>
      <c r="I11718">
        <f>IF(DATOS!$I11718="","",IFERROR(VLOOKUP(DATOS!$I11718,CONFIG_ASIGNATURAS!$B$2:$J$91,9,FALSE()),""))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IF(DATOS!$A11719="",0,IF(CONFIG_METADATA!$B$4&lt;&gt;"OR+EX",--(DATOS!$G11719=CONFIG_METADATA!$B$4),IF(DATOS!$G11719="EX",1,IF(DATOS!$G11719="OR",--(COUNTIFS(nNIA,DATOS!$A11719,nCURSO,DATOS!$D11719,nESPEC,DATOS!$E11719,nASIG,DATOS!$I11719,nEVAL,"EX")=0),0))))</f>
      </c>
      <c r="H11719">
        <f>IF(DATOS!$G11719&lt;&gt;"EX",0,--(COUNTIFS(nNIA,DATOS!$A11719,nCURSO,DATOS!$D11719,nESPEC,DATOS!$E11719,nASIG,DATOS!$I11719,nEVAL,"OR")=0))</f>
      </c>
      <c r="I11719">
        <f>IF(DATOS!$I11719="","",IFERROR(VLOOKUP(DATOS!$I11719,CONFIG_ASIGNATURAS!$B$2:$J$91,9,FALSE()),""))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IF(DATOS!$A11720="",0,IF(CONFIG_METADATA!$B$4&lt;&gt;"OR+EX",--(DATOS!$G11720=CONFIG_METADATA!$B$4),IF(DATOS!$G11720="EX",1,IF(DATOS!$G11720="OR",--(COUNTIFS(nNIA,DATOS!$A11720,nCURSO,DATOS!$D11720,nESPEC,DATOS!$E11720,nASIG,DATOS!$I11720,nEVAL,"EX")=0),0))))</f>
      </c>
      <c r="H11720">
        <f>IF(DATOS!$G11720&lt;&gt;"EX",0,--(COUNTIFS(nNIA,DATOS!$A11720,nCURSO,DATOS!$D11720,nESPEC,DATOS!$E11720,nASIG,DATOS!$I11720,nEVAL,"OR")=0))</f>
      </c>
      <c r="I11720">
        <f>IF(DATOS!$I11720="","",IFERROR(VLOOKUP(DATOS!$I11720,CONFIG_ASIGNATURAS!$B$2:$J$91,9,FALSE()),""))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IF(DATOS!$A11721="",0,IF(CONFIG_METADATA!$B$4&lt;&gt;"OR+EX",--(DATOS!$G11721=CONFIG_METADATA!$B$4),IF(DATOS!$G11721="EX",1,IF(DATOS!$G11721="OR",--(COUNTIFS(nNIA,DATOS!$A11721,nCURSO,DATOS!$D11721,nESPEC,DATOS!$E11721,nASIG,DATOS!$I11721,nEVAL,"EX")=0),0))))</f>
      </c>
      <c r="H11721">
        <f>IF(DATOS!$G11721&lt;&gt;"EX",0,--(COUNTIFS(nNIA,DATOS!$A11721,nCURSO,DATOS!$D11721,nESPEC,DATOS!$E11721,nASIG,DATOS!$I11721,nEVAL,"OR")=0))</f>
      </c>
      <c r="I11721">
        <f>IF(DATOS!$I11721="","",IFERROR(VLOOKUP(DATOS!$I11721,CONFIG_ASIGNATURAS!$B$2:$J$91,9,FALSE()),""))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IF(DATOS!$A11722="",0,IF(CONFIG_METADATA!$B$4&lt;&gt;"OR+EX",--(DATOS!$G11722=CONFIG_METADATA!$B$4),IF(DATOS!$G11722="EX",1,IF(DATOS!$G11722="OR",--(COUNTIFS(nNIA,DATOS!$A11722,nCURSO,DATOS!$D11722,nESPEC,DATOS!$E11722,nASIG,DATOS!$I11722,nEVAL,"EX")=0),0))))</f>
      </c>
      <c r="H11722">
        <f>IF(DATOS!$G11722&lt;&gt;"EX",0,--(COUNTIFS(nNIA,DATOS!$A11722,nCURSO,DATOS!$D11722,nESPEC,DATOS!$E11722,nASIG,DATOS!$I11722,nEVAL,"OR")=0))</f>
      </c>
      <c r="I11722">
        <f>IF(DATOS!$I11722="","",IFERROR(VLOOKUP(DATOS!$I11722,CONFIG_ASIGNATURAS!$B$2:$J$91,9,FALSE()),""))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IF(DATOS!$A11723="",0,IF(CONFIG_METADATA!$B$4&lt;&gt;"OR+EX",--(DATOS!$G11723=CONFIG_METADATA!$B$4),IF(DATOS!$G11723="EX",1,IF(DATOS!$G11723="OR",--(COUNTIFS(nNIA,DATOS!$A11723,nCURSO,DATOS!$D11723,nESPEC,DATOS!$E11723,nASIG,DATOS!$I11723,nEVAL,"EX")=0),0))))</f>
      </c>
      <c r="H11723">
        <f>IF(DATOS!$G11723&lt;&gt;"EX",0,--(COUNTIFS(nNIA,DATOS!$A11723,nCURSO,DATOS!$D11723,nESPEC,DATOS!$E11723,nASIG,DATOS!$I11723,nEVAL,"OR")=0))</f>
      </c>
      <c r="I11723">
        <f>IF(DATOS!$I11723="","",IFERROR(VLOOKUP(DATOS!$I11723,CONFIG_ASIGNATURAS!$B$2:$J$91,9,FALSE()),""))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IF(DATOS!$A11724="",0,IF(CONFIG_METADATA!$B$4&lt;&gt;"OR+EX",--(DATOS!$G11724=CONFIG_METADATA!$B$4),IF(DATOS!$G11724="EX",1,IF(DATOS!$G11724="OR",--(COUNTIFS(nNIA,DATOS!$A11724,nCURSO,DATOS!$D11724,nESPEC,DATOS!$E11724,nASIG,DATOS!$I11724,nEVAL,"EX")=0),0))))</f>
      </c>
      <c r="H11724">
        <f>IF(DATOS!$G11724&lt;&gt;"EX",0,--(COUNTIFS(nNIA,DATOS!$A11724,nCURSO,DATOS!$D11724,nESPEC,DATOS!$E11724,nASIG,DATOS!$I11724,nEVAL,"OR")=0))</f>
      </c>
      <c r="I11724">
        <f>IF(DATOS!$I11724="","",IFERROR(VLOOKUP(DATOS!$I11724,CONFIG_ASIGNATURAS!$B$2:$J$91,9,FALSE()),""))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IF(DATOS!$A11725="",0,IF(CONFIG_METADATA!$B$4&lt;&gt;"OR+EX",--(DATOS!$G11725=CONFIG_METADATA!$B$4),IF(DATOS!$G11725="EX",1,IF(DATOS!$G11725="OR",--(COUNTIFS(nNIA,DATOS!$A11725,nCURSO,DATOS!$D11725,nESPEC,DATOS!$E11725,nASIG,DATOS!$I11725,nEVAL,"EX")=0),0))))</f>
      </c>
      <c r="H11725">
        <f>IF(DATOS!$G11725&lt;&gt;"EX",0,--(COUNTIFS(nNIA,DATOS!$A11725,nCURSO,DATOS!$D11725,nESPEC,DATOS!$E11725,nASIG,DATOS!$I11725,nEVAL,"OR")=0))</f>
      </c>
      <c r="I11725">
        <f>IF(DATOS!$I11725="","",IFERROR(VLOOKUP(DATOS!$I11725,CONFIG_ASIGNATURAS!$B$2:$J$91,9,FALSE()),""))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IF(DATOS!$A11726="",0,IF(CONFIG_METADATA!$B$4&lt;&gt;"OR+EX",--(DATOS!$G11726=CONFIG_METADATA!$B$4),IF(DATOS!$G11726="EX",1,IF(DATOS!$G11726="OR",--(COUNTIFS(nNIA,DATOS!$A11726,nCURSO,DATOS!$D11726,nESPEC,DATOS!$E11726,nASIG,DATOS!$I11726,nEVAL,"EX")=0),0))))</f>
      </c>
      <c r="H11726">
        <f>IF(DATOS!$G11726&lt;&gt;"EX",0,--(COUNTIFS(nNIA,DATOS!$A11726,nCURSO,DATOS!$D11726,nESPEC,DATOS!$E11726,nASIG,DATOS!$I11726,nEVAL,"OR")=0))</f>
      </c>
      <c r="I11726">
        <f>IF(DATOS!$I11726="","",IFERROR(VLOOKUP(DATOS!$I11726,CONFIG_ASIGNATURAS!$B$2:$J$91,9,FALSE()),""))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IF(DATOS!$A11727="",0,IF(CONFIG_METADATA!$B$4&lt;&gt;"OR+EX",--(DATOS!$G11727=CONFIG_METADATA!$B$4),IF(DATOS!$G11727="EX",1,IF(DATOS!$G11727="OR",--(COUNTIFS(nNIA,DATOS!$A11727,nCURSO,DATOS!$D11727,nESPEC,DATOS!$E11727,nASIG,DATOS!$I11727,nEVAL,"EX")=0),0))))</f>
      </c>
      <c r="H11727">
        <f>IF(DATOS!$G11727&lt;&gt;"EX",0,--(COUNTIFS(nNIA,DATOS!$A11727,nCURSO,DATOS!$D11727,nESPEC,DATOS!$E11727,nASIG,DATOS!$I11727,nEVAL,"OR")=0))</f>
      </c>
      <c r="I11727">
        <f>IF(DATOS!$I11727="","",IFERROR(VLOOKUP(DATOS!$I11727,CONFIG_ASIGNATURAS!$B$2:$J$91,9,FALSE()),""))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IF(DATOS!$A11728="",0,IF(CONFIG_METADATA!$B$4&lt;&gt;"OR+EX",--(DATOS!$G11728=CONFIG_METADATA!$B$4),IF(DATOS!$G11728="EX",1,IF(DATOS!$G11728="OR",--(COUNTIFS(nNIA,DATOS!$A11728,nCURSO,DATOS!$D11728,nESPEC,DATOS!$E11728,nASIG,DATOS!$I11728,nEVAL,"EX")=0),0))))</f>
      </c>
      <c r="H11728">
        <f>IF(DATOS!$G11728&lt;&gt;"EX",0,--(COUNTIFS(nNIA,DATOS!$A11728,nCURSO,DATOS!$D11728,nESPEC,DATOS!$E11728,nASIG,DATOS!$I11728,nEVAL,"OR")=0))</f>
      </c>
      <c r="I11728">
        <f>IF(DATOS!$I11728="","",IFERROR(VLOOKUP(DATOS!$I11728,CONFIG_ASIGNATURAS!$B$2:$J$91,9,FALSE()),""))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IF(DATOS!$A11729="",0,IF(CONFIG_METADATA!$B$4&lt;&gt;"OR+EX",--(DATOS!$G11729=CONFIG_METADATA!$B$4),IF(DATOS!$G11729="EX",1,IF(DATOS!$G11729="OR",--(COUNTIFS(nNIA,DATOS!$A11729,nCURSO,DATOS!$D11729,nESPEC,DATOS!$E11729,nASIG,DATOS!$I11729,nEVAL,"EX")=0),0))))</f>
      </c>
      <c r="H11729">
        <f>IF(DATOS!$G11729&lt;&gt;"EX",0,--(COUNTIFS(nNIA,DATOS!$A11729,nCURSO,DATOS!$D11729,nESPEC,DATOS!$E11729,nASIG,DATOS!$I11729,nEVAL,"OR")=0))</f>
      </c>
      <c r="I11729">
        <f>IF(DATOS!$I11729="","",IFERROR(VLOOKUP(DATOS!$I11729,CONFIG_ASIGNATURAS!$B$2:$J$91,9,FALSE()),""))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IF(DATOS!$A11730="",0,IF(CONFIG_METADATA!$B$4&lt;&gt;"OR+EX",--(DATOS!$G11730=CONFIG_METADATA!$B$4),IF(DATOS!$G11730="EX",1,IF(DATOS!$G11730="OR",--(COUNTIFS(nNIA,DATOS!$A11730,nCURSO,DATOS!$D11730,nESPEC,DATOS!$E11730,nASIG,DATOS!$I11730,nEVAL,"EX")=0),0))))</f>
      </c>
      <c r="H11730">
        <f>IF(DATOS!$G11730&lt;&gt;"EX",0,--(COUNTIFS(nNIA,DATOS!$A11730,nCURSO,DATOS!$D11730,nESPEC,DATOS!$E11730,nASIG,DATOS!$I11730,nEVAL,"OR")=0))</f>
      </c>
      <c r="I11730">
        <f>IF(DATOS!$I11730="","",IFERROR(VLOOKUP(DATOS!$I11730,CONFIG_ASIGNATURAS!$B$2:$J$91,9,FALSE()),""))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IF(DATOS!$A11731="",0,IF(CONFIG_METADATA!$B$4&lt;&gt;"OR+EX",--(DATOS!$G11731=CONFIG_METADATA!$B$4),IF(DATOS!$G11731="EX",1,IF(DATOS!$G11731="OR",--(COUNTIFS(nNIA,DATOS!$A11731,nCURSO,DATOS!$D11731,nESPEC,DATOS!$E11731,nASIG,DATOS!$I11731,nEVAL,"EX")=0),0))))</f>
      </c>
      <c r="H11731">
        <f>IF(DATOS!$G11731&lt;&gt;"EX",0,--(COUNTIFS(nNIA,DATOS!$A11731,nCURSO,DATOS!$D11731,nESPEC,DATOS!$E11731,nASIG,DATOS!$I11731,nEVAL,"OR")=0))</f>
      </c>
      <c r="I11731">
        <f>IF(DATOS!$I11731="","",IFERROR(VLOOKUP(DATOS!$I11731,CONFIG_ASIGNATURAS!$B$2:$J$91,9,FALSE()),""))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IF(DATOS!$A11732="",0,IF(CONFIG_METADATA!$B$4&lt;&gt;"OR+EX",--(DATOS!$G11732=CONFIG_METADATA!$B$4),IF(DATOS!$G11732="EX",1,IF(DATOS!$G11732="OR",--(COUNTIFS(nNIA,DATOS!$A11732,nCURSO,DATOS!$D11732,nESPEC,DATOS!$E11732,nASIG,DATOS!$I11732,nEVAL,"EX")=0),0))))</f>
      </c>
      <c r="H11732">
        <f>IF(DATOS!$G11732&lt;&gt;"EX",0,--(COUNTIFS(nNIA,DATOS!$A11732,nCURSO,DATOS!$D11732,nESPEC,DATOS!$E11732,nASIG,DATOS!$I11732,nEVAL,"OR")=0))</f>
      </c>
      <c r="I11732">
        <f>IF(DATOS!$I11732="","",IFERROR(VLOOKUP(DATOS!$I11732,CONFIG_ASIGNATURAS!$B$2:$J$91,9,FALSE()),""))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IF(DATOS!$A11733="",0,IF(CONFIG_METADATA!$B$4&lt;&gt;"OR+EX",--(DATOS!$G11733=CONFIG_METADATA!$B$4),IF(DATOS!$G11733="EX",1,IF(DATOS!$G11733="OR",--(COUNTIFS(nNIA,DATOS!$A11733,nCURSO,DATOS!$D11733,nESPEC,DATOS!$E11733,nASIG,DATOS!$I11733,nEVAL,"EX")=0),0))))</f>
      </c>
      <c r="H11733">
        <f>IF(DATOS!$G11733&lt;&gt;"EX",0,--(COUNTIFS(nNIA,DATOS!$A11733,nCURSO,DATOS!$D11733,nESPEC,DATOS!$E11733,nASIG,DATOS!$I11733,nEVAL,"OR")=0))</f>
      </c>
      <c r="I11733">
        <f>IF(DATOS!$I11733="","",IFERROR(VLOOKUP(DATOS!$I11733,CONFIG_ASIGNATURAS!$B$2:$J$91,9,FALSE()),""))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IF(DATOS!$A11734="",0,IF(CONFIG_METADATA!$B$4&lt;&gt;"OR+EX",--(DATOS!$G11734=CONFIG_METADATA!$B$4),IF(DATOS!$G11734="EX",1,IF(DATOS!$G11734="OR",--(COUNTIFS(nNIA,DATOS!$A11734,nCURSO,DATOS!$D11734,nESPEC,DATOS!$E11734,nASIG,DATOS!$I11734,nEVAL,"EX")=0),0))))</f>
      </c>
      <c r="H11734">
        <f>IF(DATOS!$G11734&lt;&gt;"EX",0,--(COUNTIFS(nNIA,DATOS!$A11734,nCURSO,DATOS!$D11734,nESPEC,DATOS!$E11734,nASIG,DATOS!$I11734,nEVAL,"OR")=0))</f>
      </c>
      <c r="I11734">
        <f>IF(DATOS!$I11734="","",IFERROR(VLOOKUP(DATOS!$I11734,CONFIG_ASIGNATURAS!$B$2:$J$91,9,FALSE()),""))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IF(DATOS!$A11735="",0,IF(CONFIG_METADATA!$B$4&lt;&gt;"OR+EX",--(DATOS!$G11735=CONFIG_METADATA!$B$4),IF(DATOS!$G11735="EX",1,IF(DATOS!$G11735="OR",--(COUNTIFS(nNIA,DATOS!$A11735,nCURSO,DATOS!$D11735,nESPEC,DATOS!$E11735,nASIG,DATOS!$I11735,nEVAL,"EX")=0),0))))</f>
      </c>
      <c r="H11735">
        <f>IF(DATOS!$G11735&lt;&gt;"EX",0,--(COUNTIFS(nNIA,DATOS!$A11735,nCURSO,DATOS!$D11735,nESPEC,DATOS!$E11735,nASIG,DATOS!$I11735,nEVAL,"OR")=0))</f>
      </c>
      <c r="I11735">
        <f>IF(DATOS!$I11735="","",IFERROR(VLOOKUP(DATOS!$I11735,CONFIG_ASIGNATURAS!$B$2:$J$91,9,FALSE()),""))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IF(DATOS!$A11736="",0,IF(CONFIG_METADATA!$B$4&lt;&gt;"OR+EX",--(DATOS!$G11736=CONFIG_METADATA!$B$4),IF(DATOS!$G11736="EX",1,IF(DATOS!$G11736="OR",--(COUNTIFS(nNIA,DATOS!$A11736,nCURSO,DATOS!$D11736,nESPEC,DATOS!$E11736,nASIG,DATOS!$I11736,nEVAL,"EX")=0),0))))</f>
      </c>
      <c r="H11736">
        <f>IF(DATOS!$G11736&lt;&gt;"EX",0,--(COUNTIFS(nNIA,DATOS!$A11736,nCURSO,DATOS!$D11736,nESPEC,DATOS!$E11736,nASIG,DATOS!$I11736,nEVAL,"OR")=0))</f>
      </c>
      <c r="I11736">
        <f>IF(DATOS!$I11736="","",IFERROR(VLOOKUP(DATOS!$I11736,CONFIG_ASIGNATURAS!$B$2:$J$91,9,FALSE()),""))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IF(DATOS!$A11737="",0,IF(CONFIG_METADATA!$B$4&lt;&gt;"OR+EX",--(DATOS!$G11737=CONFIG_METADATA!$B$4),IF(DATOS!$G11737="EX",1,IF(DATOS!$G11737="OR",--(COUNTIFS(nNIA,DATOS!$A11737,nCURSO,DATOS!$D11737,nESPEC,DATOS!$E11737,nASIG,DATOS!$I11737,nEVAL,"EX")=0),0))))</f>
      </c>
      <c r="H11737">
        <f>IF(DATOS!$G11737&lt;&gt;"EX",0,--(COUNTIFS(nNIA,DATOS!$A11737,nCURSO,DATOS!$D11737,nESPEC,DATOS!$E11737,nASIG,DATOS!$I11737,nEVAL,"OR")=0))</f>
      </c>
      <c r="I11737">
        <f>IF(DATOS!$I11737="","",IFERROR(VLOOKUP(DATOS!$I11737,CONFIG_ASIGNATURAS!$B$2:$J$91,9,FALSE()),""))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IF(DATOS!$A11738="",0,IF(CONFIG_METADATA!$B$4&lt;&gt;"OR+EX",--(DATOS!$G11738=CONFIG_METADATA!$B$4),IF(DATOS!$G11738="EX",1,IF(DATOS!$G11738="OR",--(COUNTIFS(nNIA,DATOS!$A11738,nCURSO,DATOS!$D11738,nESPEC,DATOS!$E11738,nASIG,DATOS!$I11738,nEVAL,"EX")=0),0))))</f>
      </c>
      <c r="H11738">
        <f>IF(DATOS!$G11738&lt;&gt;"EX",0,--(COUNTIFS(nNIA,DATOS!$A11738,nCURSO,DATOS!$D11738,nESPEC,DATOS!$E11738,nASIG,DATOS!$I11738,nEVAL,"OR")=0))</f>
      </c>
      <c r="I11738">
        <f>IF(DATOS!$I11738="","",IFERROR(VLOOKUP(DATOS!$I11738,CONFIG_ASIGNATURAS!$B$2:$J$91,9,FALSE()),""))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IF(DATOS!$A11739="",0,IF(CONFIG_METADATA!$B$4&lt;&gt;"OR+EX",--(DATOS!$G11739=CONFIG_METADATA!$B$4),IF(DATOS!$G11739="EX",1,IF(DATOS!$G11739="OR",--(COUNTIFS(nNIA,DATOS!$A11739,nCURSO,DATOS!$D11739,nESPEC,DATOS!$E11739,nASIG,DATOS!$I11739,nEVAL,"EX")=0),0))))</f>
      </c>
      <c r="H11739">
        <f>IF(DATOS!$G11739&lt;&gt;"EX",0,--(COUNTIFS(nNIA,DATOS!$A11739,nCURSO,DATOS!$D11739,nESPEC,DATOS!$E11739,nASIG,DATOS!$I11739,nEVAL,"OR")=0))</f>
      </c>
      <c r="I11739">
        <f>IF(DATOS!$I11739="","",IFERROR(VLOOKUP(DATOS!$I11739,CONFIG_ASIGNATURAS!$B$2:$J$91,9,FALSE()),""))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IF(DATOS!$A11740="",0,IF(CONFIG_METADATA!$B$4&lt;&gt;"OR+EX",--(DATOS!$G11740=CONFIG_METADATA!$B$4),IF(DATOS!$G11740="EX",1,IF(DATOS!$G11740="OR",--(COUNTIFS(nNIA,DATOS!$A11740,nCURSO,DATOS!$D11740,nESPEC,DATOS!$E11740,nASIG,DATOS!$I11740,nEVAL,"EX")=0),0))))</f>
      </c>
      <c r="H11740">
        <f>IF(DATOS!$G11740&lt;&gt;"EX",0,--(COUNTIFS(nNIA,DATOS!$A11740,nCURSO,DATOS!$D11740,nESPEC,DATOS!$E11740,nASIG,DATOS!$I11740,nEVAL,"OR")=0))</f>
      </c>
      <c r="I11740">
        <f>IF(DATOS!$I11740="","",IFERROR(VLOOKUP(DATOS!$I11740,CONFIG_ASIGNATURAS!$B$2:$J$91,9,FALSE()),""))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IF(DATOS!$A11741="",0,IF(CONFIG_METADATA!$B$4&lt;&gt;"OR+EX",--(DATOS!$G11741=CONFIG_METADATA!$B$4),IF(DATOS!$G11741="EX",1,IF(DATOS!$G11741="OR",--(COUNTIFS(nNIA,DATOS!$A11741,nCURSO,DATOS!$D11741,nESPEC,DATOS!$E11741,nASIG,DATOS!$I11741,nEVAL,"EX")=0),0))))</f>
      </c>
      <c r="H11741">
        <f>IF(DATOS!$G11741&lt;&gt;"EX",0,--(COUNTIFS(nNIA,DATOS!$A11741,nCURSO,DATOS!$D11741,nESPEC,DATOS!$E11741,nASIG,DATOS!$I11741,nEVAL,"OR")=0))</f>
      </c>
      <c r="I11741">
        <f>IF(DATOS!$I11741="","",IFERROR(VLOOKUP(DATOS!$I11741,CONFIG_ASIGNATURAS!$B$2:$J$91,9,FALSE()),""))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IF(DATOS!$A11742="",0,IF(CONFIG_METADATA!$B$4&lt;&gt;"OR+EX",--(DATOS!$G11742=CONFIG_METADATA!$B$4),IF(DATOS!$G11742="EX",1,IF(DATOS!$G11742="OR",--(COUNTIFS(nNIA,DATOS!$A11742,nCURSO,DATOS!$D11742,nESPEC,DATOS!$E11742,nASIG,DATOS!$I11742,nEVAL,"EX")=0),0))))</f>
      </c>
      <c r="H11742">
        <f>IF(DATOS!$G11742&lt;&gt;"EX",0,--(COUNTIFS(nNIA,DATOS!$A11742,nCURSO,DATOS!$D11742,nESPEC,DATOS!$E11742,nASIG,DATOS!$I11742,nEVAL,"OR")=0))</f>
      </c>
      <c r="I11742">
        <f>IF(DATOS!$I11742="","",IFERROR(VLOOKUP(DATOS!$I11742,CONFIG_ASIGNATURAS!$B$2:$J$91,9,FALSE()),""))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IF(DATOS!$A11743="",0,IF(CONFIG_METADATA!$B$4&lt;&gt;"OR+EX",--(DATOS!$G11743=CONFIG_METADATA!$B$4),IF(DATOS!$G11743="EX",1,IF(DATOS!$G11743="OR",--(COUNTIFS(nNIA,DATOS!$A11743,nCURSO,DATOS!$D11743,nESPEC,DATOS!$E11743,nASIG,DATOS!$I11743,nEVAL,"EX")=0),0))))</f>
      </c>
      <c r="H11743">
        <f>IF(DATOS!$G11743&lt;&gt;"EX",0,--(COUNTIFS(nNIA,DATOS!$A11743,nCURSO,DATOS!$D11743,nESPEC,DATOS!$E11743,nASIG,DATOS!$I11743,nEVAL,"OR")=0))</f>
      </c>
      <c r="I11743">
        <f>IF(DATOS!$I11743="","",IFERROR(VLOOKUP(DATOS!$I11743,CONFIG_ASIGNATURAS!$B$2:$J$91,9,FALSE()),""))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IF(DATOS!$A11744="",0,IF(CONFIG_METADATA!$B$4&lt;&gt;"OR+EX",--(DATOS!$G11744=CONFIG_METADATA!$B$4),IF(DATOS!$G11744="EX",1,IF(DATOS!$G11744="OR",--(COUNTIFS(nNIA,DATOS!$A11744,nCURSO,DATOS!$D11744,nESPEC,DATOS!$E11744,nASIG,DATOS!$I11744,nEVAL,"EX")=0),0))))</f>
      </c>
      <c r="H11744">
        <f>IF(DATOS!$G11744&lt;&gt;"EX",0,--(COUNTIFS(nNIA,DATOS!$A11744,nCURSO,DATOS!$D11744,nESPEC,DATOS!$E11744,nASIG,DATOS!$I11744,nEVAL,"OR")=0))</f>
      </c>
      <c r="I11744">
        <f>IF(DATOS!$I11744="","",IFERROR(VLOOKUP(DATOS!$I11744,CONFIG_ASIGNATURAS!$B$2:$J$91,9,FALSE()),""))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IF(DATOS!$A11745="",0,IF(CONFIG_METADATA!$B$4&lt;&gt;"OR+EX",--(DATOS!$G11745=CONFIG_METADATA!$B$4),IF(DATOS!$G11745="EX",1,IF(DATOS!$G11745="OR",--(COUNTIFS(nNIA,DATOS!$A11745,nCURSO,DATOS!$D11745,nESPEC,DATOS!$E11745,nASIG,DATOS!$I11745,nEVAL,"EX")=0),0))))</f>
      </c>
      <c r="H11745">
        <f>IF(DATOS!$G11745&lt;&gt;"EX",0,--(COUNTIFS(nNIA,DATOS!$A11745,nCURSO,DATOS!$D11745,nESPEC,DATOS!$E11745,nASIG,DATOS!$I11745,nEVAL,"OR")=0))</f>
      </c>
      <c r="I11745">
        <f>IF(DATOS!$I11745="","",IFERROR(VLOOKUP(DATOS!$I11745,CONFIG_ASIGNATURAS!$B$2:$J$91,9,FALSE()),""))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IF(DATOS!$A11746="",0,IF(CONFIG_METADATA!$B$4&lt;&gt;"OR+EX",--(DATOS!$G11746=CONFIG_METADATA!$B$4),IF(DATOS!$G11746="EX",1,IF(DATOS!$G11746="OR",--(COUNTIFS(nNIA,DATOS!$A11746,nCURSO,DATOS!$D11746,nESPEC,DATOS!$E11746,nASIG,DATOS!$I11746,nEVAL,"EX")=0),0))))</f>
      </c>
      <c r="H11746">
        <f>IF(DATOS!$G11746&lt;&gt;"EX",0,--(COUNTIFS(nNIA,DATOS!$A11746,nCURSO,DATOS!$D11746,nESPEC,DATOS!$E11746,nASIG,DATOS!$I11746,nEVAL,"OR")=0))</f>
      </c>
      <c r="I11746">
        <f>IF(DATOS!$I11746="","",IFERROR(VLOOKUP(DATOS!$I11746,CONFIG_ASIGNATURAS!$B$2:$J$91,9,FALSE()),""))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IF(DATOS!$A11747="",0,IF(CONFIG_METADATA!$B$4&lt;&gt;"OR+EX",--(DATOS!$G11747=CONFIG_METADATA!$B$4),IF(DATOS!$G11747="EX",1,IF(DATOS!$G11747="OR",--(COUNTIFS(nNIA,DATOS!$A11747,nCURSO,DATOS!$D11747,nESPEC,DATOS!$E11747,nASIG,DATOS!$I11747,nEVAL,"EX")=0),0))))</f>
      </c>
      <c r="H11747">
        <f>IF(DATOS!$G11747&lt;&gt;"EX",0,--(COUNTIFS(nNIA,DATOS!$A11747,nCURSO,DATOS!$D11747,nESPEC,DATOS!$E11747,nASIG,DATOS!$I11747,nEVAL,"OR")=0))</f>
      </c>
      <c r="I11747">
        <f>IF(DATOS!$I11747="","",IFERROR(VLOOKUP(DATOS!$I11747,CONFIG_ASIGNATURAS!$B$2:$J$91,9,FALSE()),""))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IF(DATOS!$A11748="",0,IF(CONFIG_METADATA!$B$4&lt;&gt;"OR+EX",--(DATOS!$G11748=CONFIG_METADATA!$B$4),IF(DATOS!$G11748="EX",1,IF(DATOS!$G11748="OR",--(COUNTIFS(nNIA,DATOS!$A11748,nCURSO,DATOS!$D11748,nESPEC,DATOS!$E11748,nASIG,DATOS!$I11748,nEVAL,"EX")=0),0))))</f>
      </c>
      <c r="H11748">
        <f>IF(DATOS!$G11748&lt;&gt;"EX",0,--(COUNTIFS(nNIA,DATOS!$A11748,nCURSO,DATOS!$D11748,nESPEC,DATOS!$E11748,nASIG,DATOS!$I11748,nEVAL,"OR")=0))</f>
      </c>
      <c r="I11748">
        <f>IF(DATOS!$I11748="","",IFERROR(VLOOKUP(DATOS!$I11748,CONFIG_ASIGNATURAS!$B$2:$J$91,9,FALSE()),""))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IF(DATOS!$A11749="",0,IF(CONFIG_METADATA!$B$4&lt;&gt;"OR+EX",--(DATOS!$G11749=CONFIG_METADATA!$B$4),IF(DATOS!$G11749="EX",1,IF(DATOS!$G11749="OR",--(COUNTIFS(nNIA,DATOS!$A11749,nCURSO,DATOS!$D11749,nESPEC,DATOS!$E11749,nASIG,DATOS!$I11749,nEVAL,"EX")=0),0))))</f>
      </c>
      <c r="H11749">
        <f>IF(DATOS!$G11749&lt;&gt;"EX",0,--(COUNTIFS(nNIA,DATOS!$A11749,nCURSO,DATOS!$D11749,nESPEC,DATOS!$E11749,nASIG,DATOS!$I11749,nEVAL,"OR")=0))</f>
      </c>
      <c r="I11749">
        <f>IF(DATOS!$I11749="","",IFERROR(VLOOKUP(DATOS!$I11749,CONFIG_ASIGNATURAS!$B$2:$J$91,9,FALSE()),""))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IF(DATOS!$A11750="",0,IF(CONFIG_METADATA!$B$4&lt;&gt;"OR+EX",--(DATOS!$G11750=CONFIG_METADATA!$B$4),IF(DATOS!$G11750="EX",1,IF(DATOS!$G11750="OR",--(COUNTIFS(nNIA,DATOS!$A11750,nCURSO,DATOS!$D11750,nESPEC,DATOS!$E11750,nASIG,DATOS!$I11750,nEVAL,"EX")=0),0))))</f>
      </c>
      <c r="H11750">
        <f>IF(DATOS!$G11750&lt;&gt;"EX",0,--(COUNTIFS(nNIA,DATOS!$A11750,nCURSO,DATOS!$D11750,nESPEC,DATOS!$E11750,nASIG,DATOS!$I11750,nEVAL,"OR")=0))</f>
      </c>
      <c r="I11750">
        <f>IF(DATOS!$I11750="","",IFERROR(VLOOKUP(DATOS!$I11750,CONFIG_ASIGNATURAS!$B$2:$J$91,9,FALSE()),""))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IF(DATOS!$A11751="",0,IF(CONFIG_METADATA!$B$4&lt;&gt;"OR+EX",--(DATOS!$G11751=CONFIG_METADATA!$B$4),IF(DATOS!$G11751="EX",1,IF(DATOS!$G11751="OR",--(COUNTIFS(nNIA,DATOS!$A11751,nCURSO,DATOS!$D11751,nESPEC,DATOS!$E11751,nASIG,DATOS!$I11751,nEVAL,"EX")=0),0))))</f>
      </c>
      <c r="H11751">
        <f>IF(DATOS!$G11751&lt;&gt;"EX",0,--(COUNTIFS(nNIA,DATOS!$A11751,nCURSO,DATOS!$D11751,nESPEC,DATOS!$E11751,nASIG,DATOS!$I11751,nEVAL,"OR")=0))</f>
      </c>
      <c r="I11751">
        <f>IF(DATOS!$I11751="","",IFERROR(VLOOKUP(DATOS!$I11751,CONFIG_ASIGNATURAS!$B$2:$J$91,9,FALSE()),""))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IF(DATOS!$A11752="",0,IF(CONFIG_METADATA!$B$4&lt;&gt;"OR+EX",--(DATOS!$G11752=CONFIG_METADATA!$B$4),IF(DATOS!$G11752="EX",1,IF(DATOS!$G11752="OR",--(COUNTIFS(nNIA,DATOS!$A11752,nCURSO,DATOS!$D11752,nESPEC,DATOS!$E11752,nASIG,DATOS!$I11752,nEVAL,"EX")=0),0))))</f>
      </c>
      <c r="H11752">
        <f>IF(DATOS!$G11752&lt;&gt;"EX",0,--(COUNTIFS(nNIA,DATOS!$A11752,nCURSO,DATOS!$D11752,nESPEC,DATOS!$E11752,nASIG,DATOS!$I11752,nEVAL,"OR")=0))</f>
      </c>
      <c r="I11752">
        <f>IF(DATOS!$I11752="","",IFERROR(VLOOKUP(DATOS!$I11752,CONFIG_ASIGNATURAS!$B$2:$J$91,9,FALSE()),""))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IF(DATOS!$A11753="",0,IF(CONFIG_METADATA!$B$4&lt;&gt;"OR+EX",--(DATOS!$G11753=CONFIG_METADATA!$B$4),IF(DATOS!$G11753="EX",1,IF(DATOS!$G11753="OR",--(COUNTIFS(nNIA,DATOS!$A11753,nCURSO,DATOS!$D11753,nESPEC,DATOS!$E11753,nASIG,DATOS!$I11753,nEVAL,"EX")=0),0))))</f>
      </c>
      <c r="H11753">
        <f>IF(DATOS!$G11753&lt;&gt;"EX",0,--(COUNTIFS(nNIA,DATOS!$A11753,nCURSO,DATOS!$D11753,nESPEC,DATOS!$E11753,nASIG,DATOS!$I11753,nEVAL,"OR")=0))</f>
      </c>
      <c r="I11753">
        <f>IF(DATOS!$I11753="","",IFERROR(VLOOKUP(DATOS!$I11753,CONFIG_ASIGNATURAS!$B$2:$J$91,9,FALSE()),""))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IF(DATOS!$A11754="",0,IF(CONFIG_METADATA!$B$4&lt;&gt;"OR+EX",--(DATOS!$G11754=CONFIG_METADATA!$B$4),IF(DATOS!$G11754="EX",1,IF(DATOS!$G11754="OR",--(COUNTIFS(nNIA,DATOS!$A11754,nCURSO,DATOS!$D11754,nESPEC,DATOS!$E11754,nASIG,DATOS!$I11754,nEVAL,"EX")=0),0))))</f>
      </c>
      <c r="H11754">
        <f>IF(DATOS!$G11754&lt;&gt;"EX",0,--(COUNTIFS(nNIA,DATOS!$A11754,nCURSO,DATOS!$D11754,nESPEC,DATOS!$E11754,nASIG,DATOS!$I11754,nEVAL,"OR")=0))</f>
      </c>
      <c r="I11754">
        <f>IF(DATOS!$I11754="","",IFERROR(VLOOKUP(DATOS!$I11754,CONFIG_ASIGNATURAS!$B$2:$J$91,9,FALSE()),""))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IF(DATOS!$A11755="",0,IF(CONFIG_METADATA!$B$4&lt;&gt;"OR+EX",--(DATOS!$G11755=CONFIG_METADATA!$B$4),IF(DATOS!$G11755="EX",1,IF(DATOS!$G11755="OR",--(COUNTIFS(nNIA,DATOS!$A11755,nCURSO,DATOS!$D11755,nESPEC,DATOS!$E11755,nASIG,DATOS!$I11755,nEVAL,"EX")=0),0))))</f>
      </c>
      <c r="H11755">
        <f>IF(DATOS!$G11755&lt;&gt;"EX",0,--(COUNTIFS(nNIA,DATOS!$A11755,nCURSO,DATOS!$D11755,nESPEC,DATOS!$E11755,nASIG,DATOS!$I11755,nEVAL,"OR")=0))</f>
      </c>
      <c r="I11755">
        <f>IF(DATOS!$I11755="","",IFERROR(VLOOKUP(DATOS!$I11755,CONFIG_ASIGNATURAS!$B$2:$J$91,9,FALSE()),""))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IF(DATOS!$A11756="",0,IF(CONFIG_METADATA!$B$4&lt;&gt;"OR+EX",--(DATOS!$G11756=CONFIG_METADATA!$B$4),IF(DATOS!$G11756="EX",1,IF(DATOS!$G11756="OR",--(COUNTIFS(nNIA,DATOS!$A11756,nCURSO,DATOS!$D11756,nESPEC,DATOS!$E11756,nASIG,DATOS!$I11756,nEVAL,"EX")=0),0))))</f>
      </c>
      <c r="H11756">
        <f>IF(DATOS!$G11756&lt;&gt;"EX",0,--(COUNTIFS(nNIA,DATOS!$A11756,nCURSO,DATOS!$D11756,nESPEC,DATOS!$E11756,nASIG,DATOS!$I11756,nEVAL,"OR")=0))</f>
      </c>
      <c r="I11756">
        <f>IF(DATOS!$I11756="","",IFERROR(VLOOKUP(DATOS!$I11756,CONFIG_ASIGNATURAS!$B$2:$J$91,9,FALSE()),""))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IF(DATOS!$A11757="",0,IF(CONFIG_METADATA!$B$4&lt;&gt;"OR+EX",--(DATOS!$G11757=CONFIG_METADATA!$B$4),IF(DATOS!$G11757="EX",1,IF(DATOS!$G11757="OR",--(COUNTIFS(nNIA,DATOS!$A11757,nCURSO,DATOS!$D11757,nESPEC,DATOS!$E11757,nASIG,DATOS!$I11757,nEVAL,"EX")=0),0))))</f>
      </c>
      <c r="H11757">
        <f>IF(DATOS!$G11757&lt;&gt;"EX",0,--(COUNTIFS(nNIA,DATOS!$A11757,nCURSO,DATOS!$D11757,nESPEC,DATOS!$E11757,nASIG,DATOS!$I11757,nEVAL,"OR")=0))</f>
      </c>
      <c r="I11757">
        <f>IF(DATOS!$I11757="","",IFERROR(VLOOKUP(DATOS!$I11757,CONFIG_ASIGNATURAS!$B$2:$J$91,9,FALSE()),""))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IF(DATOS!$A11758="",0,IF(CONFIG_METADATA!$B$4&lt;&gt;"OR+EX",--(DATOS!$G11758=CONFIG_METADATA!$B$4),IF(DATOS!$G11758="EX",1,IF(DATOS!$G11758="OR",--(COUNTIFS(nNIA,DATOS!$A11758,nCURSO,DATOS!$D11758,nESPEC,DATOS!$E11758,nASIG,DATOS!$I11758,nEVAL,"EX")=0),0))))</f>
      </c>
      <c r="H11758">
        <f>IF(DATOS!$G11758&lt;&gt;"EX",0,--(COUNTIFS(nNIA,DATOS!$A11758,nCURSO,DATOS!$D11758,nESPEC,DATOS!$E11758,nASIG,DATOS!$I11758,nEVAL,"OR")=0))</f>
      </c>
      <c r="I11758">
        <f>IF(DATOS!$I11758="","",IFERROR(VLOOKUP(DATOS!$I11758,CONFIG_ASIGNATURAS!$B$2:$J$91,9,FALSE()),""))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IF(DATOS!$A11759="",0,IF(CONFIG_METADATA!$B$4&lt;&gt;"OR+EX",--(DATOS!$G11759=CONFIG_METADATA!$B$4),IF(DATOS!$G11759="EX",1,IF(DATOS!$G11759="OR",--(COUNTIFS(nNIA,DATOS!$A11759,nCURSO,DATOS!$D11759,nESPEC,DATOS!$E11759,nASIG,DATOS!$I11759,nEVAL,"EX")=0),0))))</f>
      </c>
      <c r="H11759">
        <f>IF(DATOS!$G11759&lt;&gt;"EX",0,--(COUNTIFS(nNIA,DATOS!$A11759,nCURSO,DATOS!$D11759,nESPEC,DATOS!$E11759,nASIG,DATOS!$I11759,nEVAL,"OR")=0))</f>
      </c>
      <c r="I11759">
        <f>IF(DATOS!$I11759="","",IFERROR(VLOOKUP(DATOS!$I11759,CONFIG_ASIGNATURAS!$B$2:$J$91,9,FALSE()),""))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IF(DATOS!$A11760="",0,IF(CONFIG_METADATA!$B$4&lt;&gt;"OR+EX",--(DATOS!$G11760=CONFIG_METADATA!$B$4),IF(DATOS!$G11760="EX",1,IF(DATOS!$G11760="OR",--(COUNTIFS(nNIA,DATOS!$A11760,nCURSO,DATOS!$D11760,nESPEC,DATOS!$E11760,nASIG,DATOS!$I11760,nEVAL,"EX")=0),0))))</f>
      </c>
      <c r="H11760">
        <f>IF(DATOS!$G11760&lt;&gt;"EX",0,--(COUNTIFS(nNIA,DATOS!$A11760,nCURSO,DATOS!$D11760,nESPEC,DATOS!$E11760,nASIG,DATOS!$I11760,nEVAL,"OR")=0))</f>
      </c>
      <c r="I11760">
        <f>IF(DATOS!$I11760="","",IFERROR(VLOOKUP(DATOS!$I11760,CONFIG_ASIGNATURAS!$B$2:$J$91,9,FALSE()),""))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IF(DATOS!$A11761="",0,IF(CONFIG_METADATA!$B$4&lt;&gt;"OR+EX",--(DATOS!$G11761=CONFIG_METADATA!$B$4),IF(DATOS!$G11761="EX",1,IF(DATOS!$G11761="OR",--(COUNTIFS(nNIA,DATOS!$A11761,nCURSO,DATOS!$D11761,nESPEC,DATOS!$E11761,nASIG,DATOS!$I11761,nEVAL,"EX")=0),0))))</f>
      </c>
      <c r="H11761">
        <f>IF(DATOS!$G11761&lt;&gt;"EX",0,--(COUNTIFS(nNIA,DATOS!$A11761,nCURSO,DATOS!$D11761,nESPEC,DATOS!$E11761,nASIG,DATOS!$I11761,nEVAL,"OR")=0))</f>
      </c>
      <c r="I11761">
        <f>IF(DATOS!$I11761="","",IFERROR(VLOOKUP(DATOS!$I11761,CONFIG_ASIGNATURAS!$B$2:$J$91,9,FALSE()),""))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IF(DATOS!$A11762="",0,IF(CONFIG_METADATA!$B$4&lt;&gt;"OR+EX",--(DATOS!$G11762=CONFIG_METADATA!$B$4),IF(DATOS!$G11762="EX",1,IF(DATOS!$G11762="OR",--(COUNTIFS(nNIA,DATOS!$A11762,nCURSO,DATOS!$D11762,nESPEC,DATOS!$E11762,nASIG,DATOS!$I11762,nEVAL,"EX")=0),0))))</f>
      </c>
      <c r="H11762">
        <f>IF(DATOS!$G11762&lt;&gt;"EX",0,--(COUNTIFS(nNIA,DATOS!$A11762,nCURSO,DATOS!$D11762,nESPEC,DATOS!$E11762,nASIG,DATOS!$I11762,nEVAL,"OR")=0))</f>
      </c>
      <c r="I11762">
        <f>IF(DATOS!$I11762="","",IFERROR(VLOOKUP(DATOS!$I11762,CONFIG_ASIGNATURAS!$B$2:$J$91,9,FALSE()),""))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IF(DATOS!$A11763="",0,IF(CONFIG_METADATA!$B$4&lt;&gt;"OR+EX",--(DATOS!$G11763=CONFIG_METADATA!$B$4),IF(DATOS!$G11763="EX",1,IF(DATOS!$G11763="OR",--(COUNTIFS(nNIA,DATOS!$A11763,nCURSO,DATOS!$D11763,nESPEC,DATOS!$E11763,nASIG,DATOS!$I11763,nEVAL,"EX")=0),0))))</f>
      </c>
      <c r="H11763">
        <f>IF(DATOS!$G11763&lt;&gt;"EX",0,--(COUNTIFS(nNIA,DATOS!$A11763,nCURSO,DATOS!$D11763,nESPEC,DATOS!$E11763,nASIG,DATOS!$I11763,nEVAL,"OR")=0))</f>
      </c>
      <c r="I11763">
        <f>IF(DATOS!$I11763="","",IFERROR(VLOOKUP(DATOS!$I11763,CONFIG_ASIGNATURAS!$B$2:$J$91,9,FALSE()),""))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IF(DATOS!$A11764="",0,IF(CONFIG_METADATA!$B$4&lt;&gt;"OR+EX",--(DATOS!$G11764=CONFIG_METADATA!$B$4),IF(DATOS!$G11764="EX",1,IF(DATOS!$G11764="OR",--(COUNTIFS(nNIA,DATOS!$A11764,nCURSO,DATOS!$D11764,nESPEC,DATOS!$E11764,nASIG,DATOS!$I11764,nEVAL,"EX")=0),0))))</f>
      </c>
      <c r="H11764">
        <f>IF(DATOS!$G11764&lt;&gt;"EX",0,--(COUNTIFS(nNIA,DATOS!$A11764,nCURSO,DATOS!$D11764,nESPEC,DATOS!$E11764,nASIG,DATOS!$I11764,nEVAL,"OR")=0))</f>
      </c>
      <c r="I11764">
        <f>IF(DATOS!$I11764="","",IFERROR(VLOOKUP(DATOS!$I11764,CONFIG_ASIGNATURAS!$B$2:$J$91,9,FALSE()),""))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IF(DATOS!$A11765="",0,IF(CONFIG_METADATA!$B$4&lt;&gt;"OR+EX",--(DATOS!$G11765=CONFIG_METADATA!$B$4),IF(DATOS!$G11765="EX",1,IF(DATOS!$G11765="OR",--(COUNTIFS(nNIA,DATOS!$A11765,nCURSO,DATOS!$D11765,nESPEC,DATOS!$E11765,nASIG,DATOS!$I11765,nEVAL,"EX")=0),0))))</f>
      </c>
      <c r="H11765">
        <f>IF(DATOS!$G11765&lt;&gt;"EX",0,--(COUNTIFS(nNIA,DATOS!$A11765,nCURSO,DATOS!$D11765,nESPEC,DATOS!$E11765,nASIG,DATOS!$I11765,nEVAL,"OR")=0))</f>
      </c>
      <c r="I11765">
        <f>IF(DATOS!$I11765="","",IFERROR(VLOOKUP(DATOS!$I11765,CONFIG_ASIGNATURAS!$B$2:$J$91,9,FALSE()),""))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IF(DATOS!$A11766="",0,IF(CONFIG_METADATA!$B$4&lt;&gt;"OR+EX",--(DATOS!$G11766=CONFIG_METADATA!$B$4),IF(DATOS!$G11766="EX",1,IF(DATOS!$G11766="OR",--(COUNTIFS(nNIA,DATOS!$A11766,nCURSO,DATOS!$D11766,nESPEC,DATOS!$E11766,nASIG,DATOS!$I11766,nEVAL,"EX")=0),0))))</f>
      </c>
      <c r="H11766">
        <f>IF(DATOS!$G11766&lt;&gt;"EX",0,--(COUNTIFS(nNIA,DATOS!$A11766,nCURSO,DATOS!$D11766,nESPEC,DATOS!$E11766,nASIG,DATOS!$I11766,nEVAL,"OR")=0))</f>
      </c>
      <c r="I11766">
        <f>IF(DATOS!$I11766="","",IFERROR(VLOOKUP(DATOS!$I11766,CONFIG_ASIGNATURAS!$B$2:$J$91,9,FALSE()),""))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IF(DATOS!$A11767="",0,IF(CONFIG_METADATA!$B$4&lt;&gt;"OR+EX",--(DATOS!$G11767=CONFIG_METADATA!$B$4),IF(DATOS!$G11767="EX",1,IF(DATOS!$G11767="OR",--(COUNTIFS(nNIA,DATOS!$A11767,nCURSO,DATOS!$D11767,nESPEC,DATOS!$E11767,nASIG,DATOS!$I11767,nEVAL,"EX")=0),0))))</f>
      </c>
      <c r="H11767">
        <f>IF(DATOS!$G11767&lt;&gt;"EX",0,--(COUNTIFS(nNIA,DATOS!$A11767,nCURSO,DATOS!$D11767,nESPEC,DATOS!$E11767,nASIG,DATOS!$I11767,nEVAL,"OR")=0))</f>
      </c>
      <c r="I11767">
        <f>IF(DATOS!$I11767="","",IFERROR(VLOOKUP(DATOS!$I11767,CONFIG_ASIGNATURAS!$B$2:$J$91,9,FALSE()),""))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IF(DATOS!$A11768="",0,IF(CONFIG_METADATA!$B$4&lt;&gt;"OR+EX",--(DATOS!$G11768=CONFIG_METADATA!$B$4),IF(DATOS!$G11768="EX",1,IF(DATOS!$G11768="OR",--(COUNTIFS(nNIA,DATOS!$A11768,nCURSO,DATOS!$D11768,nESPEC,DATOS!$E11768,nASIG,DATOS!$I11768,nEVAL,"EX")=0),0))))</f>
      </c>
      <c r="H11768">
        <f>IF(DATOS!$G11768&lt;&gt;"EX",0,--(COUNTIFS(nNIA,DATOS!$A11768,nCURSO,DATOS!$D11768,nESPEC,DATOS!$E11768,nASIG,DATOS!$I11768,nEVAL,"OR")=0))</f>
      </c>
      <c r="I11768">
        <f>IF(DATOS!$I11768="","",IFERROR(VLOOKUP(DATOS!$I11768,CONFIG_ASIGNATURAS!$B$2:$J$91,9,FALSE()),""))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IF(DATOS!$A11769="",0,IF(CONFIG_METADATA!$B$4&lt;&gt;"OR+EX",--(DATOS!$G11769=CONFIG_METADATA!$B$4),IF(DATOS!$G11769="EX",1,IF(DATOS!$G11769="OR",--(COUNTIFS(nNIA,DATOS!$A11769,nCURSO,DATOS!$D11769,nESPEC,DATOS!$E11769,nASIG,DATOS!$I11769,nEVAL,"EX")=0),0))))</f>
      </c>
      <c r="H11769">
        <f>IF(DATOS!$G11769&lt;&gt;"EX",0,--(COUNTIFS(nNIA,DATOS!$A11769,nCURSO,DATOS!$D11769,nESPEC,DATOS!$E11769,nASIG,DATOS!$I11769,nEVAL,"OR")=0))</f>
      </c>
      <c r="I11769">
        <f>IF(DATOS!$I11769="","",IFERROR(VLOOKUP(DATOS!$I11769,CONFIG_ASIGNATURAS!$B$2:$J$91,9,FALSE()),""))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IF(DATOS!$A11770="",0,IF(CONFIG_METADATA!$B$4&lt;&gt;"OR+EX",--(DATOS!$G11770=CONFIG_METADATA!$B$4),IF(DATOS!$G11770="EX",1,IF(DATOS!$G11770="OR",--(COUNTIFS(nNIA,DATOS!$A11770,nCURSO,DATOS!$D11770,nESPEC,DATOS!$E11770,nASIG,DATOS!$I11770,nEVAL,"EX")=0),0))))</f>
      </c>
      <c r="H11770">
        <f>IF(DATOS!$G11770&lt;&gt;"EX",0,--(COUNTIFS(nNIA,DATOS!$A11770,nCURSO,DATOS!$D11770,nESPEC,DATOS!$E11770,nASIG,DATOS!$I11770,nEVAL,"OR")=0))</f>
      </c>
      <c r="I11770">
        <f>IF(DATOS!$I11770="","",IFERROR(VLOOKUP(DATOS!$I11770,CONFIG_ASIGNATURAS!$B$2:$J$91,9,FALSE()),""))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IF(DATOS!$A11771="",0,IF(CONFIG_METADATA!$B$4&lt;&gt;"OR+EX",--(DATOS!$G11771=CONFIG_METADATA!$B$4),IF(DATOS!$G11771="EX",1,IF(DATOS!$G11771="OR",--(COUNTIFS(nNIA,DATOS!$A11771,nCURSO,DATOS!$D11771,nESPEC,DATOS!$E11771,nASIG,DATOS!$I11771,nEVAL,"EX")=0),0))))</f>
      </c>
      <c r="H11771">
        <f>IF(DATOS!$G11771&lt;&gt;"EX",0,--(COUNTIFS(nNIA,DATOS!$A11771,nCURSO,DATOS!$D11771,nESPEC,DATOS!$E11771,nASIG,DATOS!$I11771,nEVAL,"OR")=0))</f>
      </c>
      <c r="I11771">
        <f>IF(DATOS!$I11771="","",IFERROR(VLOOKUP(DATOS!$I11771,CONFIG_ASIGNATURAS!$B$2:$J$91,9,FALSE()),""))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IF(DATOS!$A11772="",0,IF(CONFIG_METADATA!$B$4&lt;&gt;"OR+EX",--(DATOS!$G11772=CONFIG_METADATA!$B$4),IF(DATOS!$G11772="EX",1,IF(DATOS!$G11772="OR",--(COUNTIFS(nNIA,DATOS!$A11772,nCURSO,DATOS!$D11772,nESPEC,DATOS!$E11772,nASIG,DATOS!$I11772,nEVAL,"EX")=0),0))))</f>
      </c>
      <c r="H11772">
        <f>IF(DATOS!$G11772&lt;&gt;"EX",0,--(COUNTIFS(nNIA,DATOS!$A11772,nCURSO,DATOS!$D11772,nESPEC,DATOS!$E11772,nASIG,DATOS!$I11772,nEVAL,"OR")=0))</f>
      </c>
      <c r="I11772">
        <f>IF(DATOS!$I11772="","",IFERROR(VLOOKUP(DATOS!$I11772,CONFIG_ASIGNATURAS!$B$2:$J$91,9,FALSE()),""))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IF(DATOS!$A11773="",0,IF(CONFIG_METADATA!$B$4&lt;&gt;"OR+EX",--(DATOS!$G11773=CONFIG_METADATA!$B$4),IF(DATOS!$G11773="EX",1,IF(DATOS!$G11773="OR",--(COUNTIFS(nNIA,DATOS!$A11773,nCURSO,DATOS!$D11773,nESPEC,DATOS!$E11773,nASIG,DATOS!$I11773,nEVAL,"EX")=0),0))))</f>
      </c>
      <c r="H11773">
        <f>IF(DATOS!$G11773&lt;&gt;"EX",0,--(COUNTIFS(nNIA,DATOS!$A11773,nCURSO,DATOS!$D11773,nESPEC,DATOS!$E11773,nASIG,DATOS!$I11773,nEVAL,"OR")=0))</f>
      </c>
      <c r="I11773">
        <f>IF(DATOS!$I11773="","",IFERROR(VLOOKUP(DATOS!$I11773,CONFIG_ASIGNATURAS!$B$2:$J$91,9,FALSE()),""))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IF(DATOS!$A11774="",0,IF(CONFIG_METADATA!$B$4&lt;&gt;"OR+EX",--(DATOS!$G11774=CONFIG_METADATA!$B$4),IF(DATOS!$G11774="EX",1,IF(DATOS!$G11774="OR",--(COUNTIFS(nNIA,DATOS!$A11774,nCURSO,DATOS!$D11774,nESPEC,DATOS!$E11774,nASIG,DATOS!$I11774,nEVAL,"EX")=0),0))))</f>
      </c>
      <c r="H11774">
        <f>IF(DATOS!$G11774&lt;&gt;"EX",0,--(COUNTIFS(nNIA,DATOS!$A11774,nCURSO,DATOS!$D11774,nESPEC,DATOS!$E11774,nASIG,DATOS!$I11774,nEVAL,"OR")=0))</f>
      </c>
      <c r="I11774">
        <f>IF(DATOS!$I11774="","",IFERROR(VLOOKUP(DATOS!$I11774,CONFIG_ASIGNATURAS!$B$2:$J$91,9,FALSE()),""))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IF(DATOS!$A11775="",0,IF(CONFIG_METADATA!$B$4&lt;&gt;"OR+EX",--(DATOS!$G11775=CONFIG_METADATA!$B$4),IF(DATOS!$G11775="EX",1,IF(DATOS!$G11775="OR",--(COUNTIFS(nNIA,DATOS!$A11775,nCURSO,DATOS!$D11775,nESPEC,DATOS!$E11775,nASIG,DATOS!$I11775,nEVAL,"EX")=0),0))))</f>
      </c>
      <c r="H11775">
        <f>IF(DATOS!$G11775&lt;&gt;"EX",0,--(COUNTIFS(nNIA,DATOS!$A11775,nCURSO,DATOS!$D11775,nESPEC,DATOS!$E11775,nASIG,DATOS!$I11775,nEVAL,"OR")=0))</f>
      </c>
      <c r="I11775">
        <f>IF(DATOS!$I11775="","",IFERROR(VLOOKUP(DATOS!$I11775,CONFIG_ASIGNATURAS!$B$2:$J$91,9,FALSE()),""))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IF(DATOS!$A11776="",0,IF(CONFIG_METADATA!$B$4&lt;&gt;"OR+EX",--(DATOS!$G11776=CONFIG_METADATA!$B$4),IF(DATOS!$G11776="EX",1,IF(DATOS!$G11776="OR",--(COUNTIFS(nNIA,DATOS!$A11776,nCURSO,DATOS!$D11776,nESPEC,DATOS!$E11776,nASIG,DATOS!$I11776,nEVAL,"EX")=0),0))))</f>
      </c>
      <c r="H11776">
        <f>IF(DATOS!$G11776&lt;&gt;"EX",0,--(COUNTIFS(nNIA,DATOS!$A11776,nCURSO,DATOS!$D11776,nESPEC,DATOS!$E11776,nASIG,DATOS!$I11776,nEVAL,"OR")=0))</f>
      </c>
      <c r="I11776">
        <f>IF(DATOS!$I11776="","",IFERROR(VLOOKUP(DATOS!$I11776,CONFIG_ASIGNATURAS!$B$2:$J$91,9,FALSE()),""))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IF(DATOS!$A11777="",0,IF(CONFIG_METADATA!$B$4&lt;&gt;"OR+EX",--(DATOS!$G11777=CONFIG_METADATA!$B$4),IF(DATOS!$G11777="EX",1,IF(DATOS!$G11777="OR",--(COUNTIFS(nNIA,DATOS!$A11777,nCURSO,DATOS!$D11777,nESPEC,DATOS!$E11777,nASIG,DATOS!$I11777,nEVAL,"EX")=0),0))))</f>
      </c>
      <c r="H11777">
        <f>IF(DATOS!$G11777&lt;&gt;"EX",0,--(COUNTIFS(nNIA,DATOS!$A11777,nCURSO,DATOS!$D11777,nESPEC,DATOS!$E11777,nASIG,DATOS!$I11777,nEVAL,"OR")=0))</f>
      </c>
      <c r="I11777">
        <f>IF(DATOS!$I11777="","",IFERROR(VLOOKUP(DATOS!$I11777,CONFIG_ASIGNATURAS!$B$2:$J$91,9,FALSE()),""))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IF(DATOS!$A11778="",0,IF(CONFIG_METADATA!$B$4&lt;&gt;"OR+EX",--(DATOS!$G11778=CONFIG_METADATA!$B$4),IF(DATOS!$G11778="EX",1,IF(DATOS!$G11778="OR",--(COUNTIFS(nNIA,DATOS!$A11778,nCURSO,DATOS!$D11778,nESPEC,DATOS!$E11778,nASIG,DATOS!$I11778,nEVAL,"EX")=0),0))))</f>
      </c>
      <c r="H11778">
        <f>IF(DATOS!$G11778&lt;&gt;"EX",0,--(COUNTIFS(nNIA,DATOS!$A11778,nCURSO,DATOS!$D11778,nESPEC,DATOS!$E11778,nASIG,DATOS!$I11778,nEVAL,"OR")=0))</f>
      </c>
      <c r="I11778">
        <f>IF(DATOS!$I11778="","",IFERROR(VLOOKUP(DATOS!$I11778,CONFIG_ASIGNATURAS!$B$2:$J$91,9,FALSE()),""))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IF(DATOS!$A11779="",0,IF(CONFIG_METADATA!$B$4&lt;&gt;"OR+EX",--(DATOS!$G11779=CONFIG_METADATA!$B$4),IF(DATOS!$G11779="EX",1,IF(DATOS!$G11779="OR",--(COUNTIFS(nNIA,DATOS!$A11779,nCURSO,DATOS!$D11779,nESPEC,DATOS!$E11779,nASIG,DATOS!$I11779,nEVAL,"EX")=0),0))))</f>
      </c>
      <c r="H11779">
        <f>IF(DATOS!$G11779&lt;&gt;"EX",0,--(COUNTIFS(nNIA,DATOS!$A11779,nCURSO,DATOS!$D11779,nESPEC,DATOS!$E11779,nASIG,DATOS!$I11779,nEVAL,"OR")=0))</f>
      </c>
      <c r="I11779">
        <f>IF(DATOS!$I11779="","",IFERROR(VLOOKUP(DATOS!$I11779,CONFIG_ASIGNATURAS!$B$2:$J$91,9,FALSE()),""))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IF(DATOS!$A11780="",0,IF(CONFIG_METADATA!$B$4&lt;&gt;"OR+EX",--(DATOS!$G11780=CONFIG_METADATA!$B$4),IF(DATOS!$G11780="EX",1,IF(DATOS!$G11780="OR",--(COUNTIFS(nNIA,DATOS!$A11780,nCURSO,DATOS!$D11780,nESPEC,DATOS!$E11780,nASIG,DATOS!$I11780,nEVAL,"EX")=0),0))))</f>
      </c>
      <c r="H11780">
        <f>IF(DATOS!$G11780&lt;&gt;"EX",0,--(COUNTIFS(nNIA,DATOS!$A11780,nCURSO,DATOS!$D11780,nESPEC,DATOS!$E11780,nASIG,DATOS!$I11780,nEVAL,"OR")=0))</f>
      </c>
      <c r="I11780">
        <f>IF(DATOS!$I11780="","",IFERROR(VLOOKUP(DATOS!$I11780,CONFIG_ASIGNATURAS!$B$2:$J$91,9,FALSE()),""))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IF(DATOS!$A11781="",0,IF(CONFIG_METADATA!$B$4&lt;&gt;"OR+EX",--(DATOS!$G11781=CONFIG_METADATA!$B$4),IF(DATOS!$G11781="EX",1,IF(DATOS!$G11781="OR",--(COUNTIFS(nNIA,DATOS!$A11781,nCURSO,DATOS!$D11781,nESPEC,DATOS!$E11781,nASIG,DATOS!$I11781,nEVAL,"EX")=0),0))))</f>
      </c>
      <c r="H11781">
        <f>IF(DATOS!$G11781&lt;&gt;"EX",0,--(COUNTIFS(nNIA,DATOS!$A11781,nCURSO,DATOS!$D11781,nESPEC,DATOS!$E11781,nASIG,DATOS!$I11781,nEVAL,"OR")=0))</f>
      </c>
      <c r="I11781">
        <f>IF(DATOS!$I11781="","",IFERROR(VLOOKUP(DATOS!$I11781,CONFIG_ASIGNATURAS!$B$2:$J$91,9,FALSE()),""))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IF(DATOS!$A11782="",0,IF(CONFIG_METADATA!$B$4&lt;&gt;"OR+EX",--(DATOS!$G11782=CONFIG_METADATA!$B$4),IF(DATOS!$G11782="EX",1,IF(DATOS!$G11782="OR",--(COUNTIFS(nNIA,DATOS!$A11782,nCURSO,DATOS!$D11782,nESPEC,DATOS!$E11782,nASIG,DATOS!$I11782,nEVAL,"EX")=0),0))))</f>
      </c>
      <c r="H11782">
        <f>IF(DATOS!$G11782&lt;&gt;"EX",0,--(COUNTIFS(nNIA,DATOS!$A11782,nCURSO,DATOS!$D11782,nESPEC,DATOS!$E11782,nASIG,DATOS!$I11782,nEVAL,"OR")=0))</f>
      </c>
      <c r="I11782">
        <f>IF(DATOS!$I11782="","",IFERROR(VLOOKUP(DATOS!$I11782,CONFIG_ASIGNATURAS!$B$2:$J$91,9,FALSE()),""))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IF(DATOS!$A11783="",0,IF(CONFIG_METADATA!$B$4&lt;&gt;"OR+EX",--(DATOS!$G11783=CONFIG_METADATA!$B$4),IF(DATOS!$G11783="EX",1,IF(DATOS!$G11783="OR",--(COUNTIFS(nNIA,DATOS!$A11783,nCURSO,DATOS!$D11783,nESPEC,DATOS!$E11783,nASIG,DATOS!$I11783,nEVAL,"EX")=0),0))))</f>
      </c>
      <c r="H11783">
        <f>IF(DATOS!$G11783&lt;&gt;"EX",0,--(COUNTIFS(nNIA,DATOS!$A11783,nCURSO,DATOS!$D11783,nESPEC,DATOS!$E11783,nASIG,DATOS!$I11783,nEVAL,"OR")=0))</f>
      </c>
      <c r="I11783">
        <f>IF(DATOS!$I11783="","",IFERROR(VLOOKUP(DATOS!$I11783,CONFIG_ASIGNATURAS!$B$2:$J$91,9,FALSE()),""))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IF(DATOS!$A11784="",0,IF(CONFIG_METADATA!$B$4&lt;&gt;"OR+EX",--(DATOS!$G11784=CONFIG_METADATA!$B$4),IF(DATOS!$G11784="EX",1,IF(DATOS!$G11784="OR",--(COUNTIFS(nNIA,DATOS!$A11784,nCURSO,DATOS!$D11784,nESPEC,DATOS!$E11784,nASIG,DATOS!$I11784,nEVAL,"EX")=0),0))))</f>
      </c>
      <c r="H11784">
        <f>IF(DATOS!$G11784&lt;&gt;"EX",0,--(COUNTIFS(nNIA,DATOS!$A11784,nCURSO,DATOS!$D11784,nESPEC,DATOS!$E11784,nASIG,DATOS!$I11784,nEVAL,"OR")=0))</f>
      </c>
      <c r="I11784">
        <f>IF(DATOS!$I11784="","",IFERROR(VLOOKUP(DATOS!$I11784,CONFIG_ASIGNATURAS!$B$2:$J$91,9,FALSE()),""))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IF(DATOS!$A11785="",0,IF(CONFIG_METADATA!$B$4&lt;&gt;"OR+EX",--(DATOS!$G11785=CONFIG_METADATA!$B$4),IF(DATOS!$G11785="EX",1,IF(DATOS!$G11785="OR",--(COUNTIFS(nNIA,DATOS!$A11785,nCURSO,DATOS!$D11785,nESPEC,DATOS!$E11785,nASIG,DATOS!$I11785,nEVAL,"EX")=0),0))))</f>
      </c>
      <c r="H11785">
        <f>IF(DATOS!$G11785&lt;&gt;"EX",0,--(COUNTIFS(nNIA,DATOS!$A11785,nCURSO,DATOS!$D11785,nESPEC,DATOS!$E11785,nASIG,DATOS!$I11785,nEVAL,"OR")=0))</f>
      </c>
      <c r="I11785">
        <f>IF(DATOS!$I11785="","",IFERROR(VLOOKUP(DATOS!$I11785,CONFIG_ASIGNATURAS!$B$2:$J$91,9,FALSE()),""))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IF(DATOS!$A11786="",0,IF(CONFIG_METADATA!$B$4&lt;&gt;"OR+EX",--(DATOS!$G11786=CONFIG_METADATA!$B$4),IF(DATOS!$G11786="EX",1,IF(DATOS!$G11786="OR",--(COUNTIFS(nNIA,DATOS!$A11786,nCURSO,DATOS!$D11786,nESPEC,DATOS!$E11786,nASIG,DATOS!$I11786,nEVAL,"EX")=0),0))))</f>
      </c>
      <c r="H11786">
        <f>IF(DATOS!$G11786&lt;&gt;"EX",0,--(COUNTIFS(nNIA,DATOS!$A11786,nCURSO,DATOS!$D11786,nESPEC,DATOS!$E11786,nASIG,DATOS!$I11786,nEVAL,"OR")=0))</f>
      </c>
      <c r="I11786">
        <f>IF(DATOS!$I11786="","",IFERROR(VLOOKUP(DATOS!$I11786,CONFIG_ASIGNATURAS!$B$2:$J$91,9,FALSE()),""))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IF(DATOS!$A11787="",0,IF(CONFIG_METADATA!$B$4&lt;&gt;"OR+EX",--(DATOS!$G11787=CONFIG_METADATA!$B$4),IF(DATOS!$G11787="EX",1,IF(DATOS!$G11787="OR",--(COUNTIFS(nNIA,DATOS!$A11787,nCURSO,DATOS!$D11787,nESPEC,DATOS!$E11787,nASIG,DATOS!$I11787,nEVAL,"EX")=0),0))))</f>
      </c>
      <c r="H11787">
        <f>IF(DATOS!$G11787&lt;&gt;"EX",0,--(COUNTIFS(nNIA,DATOS!$A11787,nCURSO,DATOS!$D11787,nESPEC,DATOS!$E11787,nASIG,DATOS!$I11787,nEVAL,"OR")=0))</f>
      </c>
      <c r="I11787">
        <f>IF(DATOS!$I11787="","",IFERROR(VLOOKUP(DATOS!$I11787,CONFIG_ASIGNATURAS!$B$2:$J$91,9,FALSE()),""))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IF(DATOS!$A11788="",0,IF(CONFIG_METADATA!$B$4&lt;&gt;"OR+EX",--(DATOS!$G11788=CONFIG_METADATA!$B$4),IF(DATOS!$G11788="EX",1,IF(DATOS!$G11788="OR",--(COUNTIFS(nNIA,DATOS!$A11788,nCURSO,DATOS!$D11788,nESPEC,DATOS!$E11788,nASIG,DATOS!$I11788,nEVAL,"EX")=0),0))))</f>
      </c>
      <c r="H11788">
        <f>IF(DATOS!$G11788&lt;&gt;"EX",0,--(COUNTIFS(nNIA,DATOS!$A11788,nCURSO,DATOS!$D11788,nESPEC,DATOS!$E11788,nASIG,DATOS!$I11788,nEVAL,"OR")=0))</f>
      </c>
      <c r="I11788">
        <f>IF(DATOS!$I11788="","",IFERROR(VLOOKUP(DATOS!$I11788,CONFIG_ASIGNATURAS!$B$2:$J$91,9,FALSE()),""))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IF(DATOS!$A11789="",0,IF(CONFIG_METADATA!$B$4&lt;&gt;"OR+EX",--(DATOS!$G11789=CONFIG_METADATA!$B$4),IF(DATOS!$G11789="EX",1,IF(DATOS!$G11789="OR",--(COUNTIFS(nNIA,DATOS!$A11789,nCURSO,DATOS!$D11789,nESPEC,DATOS!$E11789,nASIG,DATOS!$I11789,nEVAL,"EX")=0),0))))</f>
      </c>
      <c r="H11789">
        <f>IF(DATOS!$G11789&lt;&gt;"EX",0,--(COUNTIFS(nNIA,DATOS!$A11789,nCURSO,DATOS!$D11789,nESPEC,DATOS!$E11789,nASIG,DATOS!$I11789,nEVAL,"OR")=0))</f>
      </c>
      <c r="I11789">
        <f>IF(DATOS!$I11789="","",IFERROR(VLOOKUP(DATOS!$I11789,CONFIG_ASIGNATURAS!$B$2:$J$91,9,FALSE()),""))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IF(DATOS!$A11790="",0,IF(CONFIG_METADATA!$B$4&lt;&gt;"OR+EX",--(DATOS!$G11790=CONFIG_METADATA!$B$4),IF(DATOS!$G11790="EX",1,IF(DATOS!$G11790="OR",--(COUNTIFS(nNIA,DATOS!$A11790,nCURSO,DATOS!$D11790,nESPEC,DATOS!$E11790,nASIG,DATOS!$I11790,nEVAL,"EX")=0),0))))</f>
      </c>
      <c r="H11790">
        <f>IF(DATOS!$G11790&lt;&gt;"EX",0,--(COUNTIFS(nNIA,DATOS!$A11790,nCURSO,DATOS!$D11790,nESPEC,DATOS!$E11790,nASIG,DATOS!$I11790,nEVAL,"OR")=0))</f>
      </c>
      <c r="I11790">
        <f>IF(DATOS!$I11790="","",IFERROR(VLOOKUP(DATOS!$I11790,CONFIG_ASIGNATURAS!$B$2:$J$91,9,FALSE()),""))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IF(DATOS!$A11791="",0,IF(CONFIG_METADATA!$B$4&lt;&gt;"OR+EX",--(DATOS!$G11791=CONFIG_METADATA!$B$4),IF(DATOS!$G11791="EX",1,IF(DATOS!$G11791="OR",--(COUNTIFS(nNIA,DATOS!$A11791,nCURSO,DATOS!$D11791,nESPEC,DATOS!$E11791,nASIG,DATOS!$I11791,nEVAL,"EX")=0),0))))</f>
      </c>
      <c r="H11791">
        <f>IF(DATOS!$G11791&lt;&gt;"EX",0,--(COUNTIFS(nNIA,DATOS!$A11791,nCURSO,DATOS!$D11791,nESPEC,DATOS!$E11791,nASIG,DATOS!$I11791,nEVAL,"OR")=0))</f>
      </c>
      <c r="I11791">
        <f>IF(DATOS!$I11791="","",IFERROR(VLOOKUP(DATOS!$I11791,CONFIG_ASIGNATURAS!$B$2:$J$91,9,FALSE()),""))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IF(DATOS!$A11792="",0,IF(CONFIG_METADATA!$B$4&lt;&gt;"OR+EX",--(DATOS!$G11792=CONFIG_METADATA!$B$4),IF(DATOS!$G11792="EX",1,IF(DATOS!$G11792="OR",--(COUNTIFS(nNIA,DATOS!$A11792,nCURSO,DATOS!$D11792,nESPEC,DATOS!$E11792,nASIG,DATOS!$I11792,nEVAL,"EX")=0),0))))</f>
      </c>
      <c r="H11792">
        <f>IF(DATOS!$G11792&lt;&gt;"EX",0,--(COUNTIFS(nNIA,DATOS!$A11792,nCURSO,DATOS!$D11792,nESPEC,DATOS!$E11792,nASIG,DATOS!$I11792,nEVAL,"OR")=0))</f>
      </c>
      <c r="I11792">
        <f>IF(DATOS!$I11792="","",IFERROR(VLOOKUP(DATOS!$I11792,CONFIG_ASIGNATURAS!$B$2:$J$91,9,FALSE()),""))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IF(DATOS!$A11793="",0,IF(CONFIG_METADATA!$B$4&lt;&gt;"OR+EX",--(DATOS!$G11793=CONFIG_METADATA!$B$4),IF(DATOS!$G11793="EX",1,IF(DATOS!$G11793="OR",--(COUNTIFS(nNIA,DATOS!$A11793,nCURSO,DATOS!$D11793,nESPEC,DATOS!$E11793,nASIG,DATOS!$I11793,nEVAL,"EX")=0),0))))</f>
      </c>
      <c r="H11793">
        <f>IF(DATOS!$G11793&lt;&gt;"EX",0,--(COUNTIFS(nNIA,DATOS!$A11793,nCURSO,DATOS!$D11793,nESPEC,DATOS!$E11793,nASIG,DATOS!$I11793,nEVAL,"OR")=0))</f>
      </c>
      <c r="I11793">
        <f>IF(DATOS!$I11793="","",IFERROR(VLOOKUP(DATOS!$I11793,CONFIG_ASIGNATURAS!$B$2:$J$91,9,FALSE()),""))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IF(DATOS!$A11794="",0,IF(CONFIG_METADATA!$B$4&lt;&gt;"OR+EX",--(DATOS!$G11794=CONFIG_METADATA!$B$4),IF(DATOS!$G11794="EX",1,IF(DATOS!$G11794="OR",--(COUNTIFS(nNIA,DATOS!$A11794,nCURSO,DATOS!$D11794,nESPEC,DATOS!$E11794,nASIG,DATOS!$I11794,nEVAL,"EX")=0),0))))</f>
      </c>
      <c r="H11794">
        <f>IF(DATOS!$G11794&lt;&gt;"EX",0,--(COUNTIFS(nNIA,DATOS!$A11794,nCURSO,DATOS!$D11794,nESPEC,DATOS!$E11794,nASIG,DATOS!$I11794,nEVAL,"OR")=0))</f>
      </c>
      <c r="I11794">
        <f>IF(DATOS!$I11794="","",IFERROR(VLOOKUP(DATOS!$I11794,CONFIG_ASIGNATURAS!$B$2:$J$91,9,FALSE()),""))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IF(DATOS!$A11795="",0,IF(CONFIG_METADATA!$B$4&lt;&gt;"OR+EX",--(DATOS!$G11795=CONFIG_METADATA!$B$4),IF(DATOS!$G11795="EX",1,IF(DATOS!$G11795="OR",--(COUNTIFS(nNIA,DATOS!$A11795,nCURSO,DATOS!$D11795,nESPEC,DATOS!$E11795,nASIG,DATOS!$I11795,nEVAL,"EX")=0),0))))</f>
      </c>
      <c r="H11795">
        <f>IF(DATOS!$G11795&lt;&gt;"EX",0,--(COUNTIFS(nNIA,DATOS!$A11795,nCURSO,DATOS!$D11795,nESPEC,DATOS!$E11795,nASIG,DATOS!$I11795,nEVAL,"OR")=0))</f>
      </c>
      <c r="I11795">
        <f>IF(DATOS!$I11795="","",IFERROR(VLOOKUP(DATOS!$I11795,CONFIG_ASIGNATURAS!$B$2:$J$91,9,FALSE()),""))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IF(DATOS!$A11796="",0,IF(CONFIG_METADATA!$B$4&lt;&gt;"OR+EX",--(DATOS!$G11796=CONFIG_METADATA!$B$4),IF(DATOS!$G11796="EX",1,IF(DATOS!$G11796="OR",--(COUNTIFS(nNIA,DATOS!$A11796,nCURSO,DATOS!$D11796,nESPEC,DATOS!$E11796,nASIG,DATOS!$I11796,nEVAL,"EX")=0),0))))</f>
      </c>
      <c r="H11796">
        <f>IF(DATOS!$G11796&lt;&gt;"EX",0,--(COUNTIFS(nNIA,DATOS!$A11796,nCURSO,DATOS!$D11796,nESPEC,DATOS!$E11796,nASIG,DATOS!$I11796,nEVAL,"OR")=0))</f>
      </c>
      <c r="I11796">
        <f>IF(DATOS!$I11796="","",IFERROR(VLOOKUP(DATOS!$I11796,CONFIG_ASIGNATURAS!$B$2:$J$91,9,FALSE()),""))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IF(DATOS!$A11797="",0,IF(CONFIG_METADATA!$B$4&lt;&gt;"OR+EX",--(DATOS!$G11797=CONFIG_METADATA!$B$4),IF(DATOS!$G11797="EX",1,IF(DATOS!$G11797="OR",--(COUNTIFS(nNIA,DATOS!$A11797,nCURSO,DATOS!$D11797,nESPEC,DATOS!$E11797,nASIG,DATOS!$I11797,nEVAL,"EX")=0),0))))</f>
      </c>
      <c r="H11797">
        <f>IF(DATOS!$G11797&lt;&gt;"EX",0,--(COUNTIFS(nNIA,DATOS!$A11797,nCURSO,DATOS!$D11797,nESPEC,DATOS!$E11797,nASIG,DATOS!$I11797,nEVAL,"OR")=0))</f>
      </c>
      <c r="I11797">
        <f>IF(DATOS!$I11797="","",IFERROR(VLOOKUP(DATOS!$I11797,CONFIG_ASIGNATURAS!$B$2:$J$91,9,FALSE()),""))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IF(DATOS!$A11798="",0,IF(CONFIG_METADATA!$B$4&lt;&gt;"OR+EX",--(DATOS!$G11798=CONFIG_METADATA!$B$4),IF(DATOS!$G11798="EX",1,IF(DATOS!$G11798="OR",--(COUNTIFS(nNIA,DATOS!$A11798,nCURSO,DATOS!$D11798,nESPEC,DATOS!$E11798,nASIG,DATOS!$I11798,nEVAL,"EX")=0),0))))</f>
      </c>
      <c r="H11798">
        <f>IF(DATOS!$G11798&lt;&gt;"EX",0,--(COUNTIFS(nNIA,DATOS!$A11798,nCURSO,DATOS!$D11798,nESPEC,DATOS!$E11798,nASIG,DATOS!$I11798,nEVAL,"OR")=0))</f>
      </c>
      <c r="I11798">
        <f>IF(DATOS!$I11798="","",IFERROR(VLOOKUP(DATOS!$I11798,CONFIG_ASIGNATURAS!$B$2:$J$91,9,FALSE()),""))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IF(DATOS!$A11799="",0,IF(CONFIG_METADATA!$B$4&lt;&gt;"OR+EX",--(DATOS!$G11799=CONFIG_METADATA!$B$4),IF(DATOS!$G11799="EX",1,IF(DATOS!$G11799="OR",--(COUNTIFS(nNIA,DATOS!$A11799,nCURSO,DATOS!$D11799,nESPEC,DATOS!$E11799,nASIG,DATOS!$I11799,nEVAL,"EX")=0),0))))</f>
      </c>
      <c r="H11799">
        <f>IF(DATOS!$G11799&lt;&gt;"EX",0,--(COUNTIFS(nNIA,DATOS!$A11799,nCURSO,DATOS!$D11799,nESPEC,DATOS!$E11799,nASIG,DATOS!$I11799,nEVAL,"OR")=0))</f>
      </c>
      <c r="I11799">
        <f>IF(DATOS!$I11799="","",IFERROR(VLOOKUP(DATOS!$I11799,CONFIG_ASIGNATURAS!$B$2:$J$91,9,FALSE()),""))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IF(DATOS!$A11800="",0,IF(CONFIG_METADATA!$B$4&lt;&gt;"OR+EX",--(DATOS!$G11800=CONFIG_METADATA!$B$4),IF(DATOS!$G11800="EX",1,IF(DATOS!$G11800="OR",--(COUNTIFS(nNIA,DATOS!$A11800,nCURSO,DATOS!$D11800,nESPEC,DATOS!$E11800,nASIG,DATOS!$I11800,nEVAL,"EX")=0),0))))</f>
      </c>
      <c r="H11800">
        <f>IF(DATOS!$G11800&lt;&gt;"EX",0,--(COUNTIFS(nNIA,DATOS!$A11800,nCURSO,DATOS!$D11800,nESPEC,DATOS!$E11800,nASIG,DATOS!$I11800,nEVAL,"OR")=0))</f>
      </c>
      <c r="I11800">
        <f>IF(DATOS!$I11800="","",IFERROR(VLOOKUP(DATOS!$I11800,CONFIG_ASIGNATURAS!$B$2:$J$91,9,FALSE()),""))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IF(DATOS!$A11801="",0,IF(CONFIG_METADATA!$B$4&lt;&gt;"OR+EX",--(DATOS!$G11801=CONFIG_METADATA!$B$4),IF(DATOS!$G11801="EX",1,IF(DATOS!$G11801="OR",--(COUNTIFS(nNIA,DATOS!$A11801,nCURSO,DATOS!$D11801,nESPEC,DATOS!$E11801,nASIG,DATOS!$I11801,nEVAL,"EX")=0),0))))</f>
      </c>
      <c r="H11801">
        <f>IF(DATOS!$G11801&lt;&gt;"EX",0,--(COUNTIFS(nNIA,DATOS!$A11801,nCURSO,DATOS!$D11801,nESPEC,DATOS!$E11801,nASIG,DATOS!$I11801,nEVAL,"OR")=0))</f>
      </c>
      <c r="I11801">
        <f>IF(DATOS!$I11801="","",IFERROR(VLOOKUP(DATOS!$I11801,CONFIG_ASIGNATURAS!$B$2:$J$91,9,FALSE()),""))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IF(DATOS!$A11802="",0,IF(CONFIG_METADATA!$B$4&lt;&gt;"OR+EX",--(DATOS!$G11802=CONFIG_METADATA!$B$4),IF(DATOS!$G11802="EX",1,IF(DATOS!$G11802="OR",--(COUNTIFS(nNIA,DATOS!$A11802,nCURSO,DATOS!$D11802,nESPEC,DATOS!$E11802,nASIG,DATOS!$I11802,nEVAL,"EX")=0),0))))</f>
      </c>
      <c r="H11802">
        <f>IF(DATOS!$G11802&lt;&gt;"EX",0,--(COUNTIFS(nNIA,DATOS!$A11802,nCURSO,DATOS!$D11802,nESPEC,DATOS!$E11802,nASIG,DATOS!$I11802,nEVAL,"OR")=0))</f>
      </c>
      <c r="I11802">
        <f>IF(DATOS!$I11802="","",IFERROR(VLOOKUP(DATOS!$I11802,CONFIG_ASIGNATURAS!$B$2:$J$91,9,FALSE()),""))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IF(DATOS!$A11803="",0,IF(CONFIG_METADATA!$B$4&lt;&gt;"OR+EX",--(DATOS!$G11803=CONFIG_METADATA!$B$4),IF(DATOS!$G11803="EX",1,IF(DATOS!$G11803="OR",--(COUNTIFS(nNIA,DATOS!$A11803,nCURSO,DATOS!$D11803,nESPEC,DATOS!$E11803,nASIG,DATOS!$I11803,nEVAL,"EX")=0),0))))</f>
      </c>
      <c r="H11803">
        <f>IF(DATOS!$G11803&lt;&gt;"EX",0,--(COUNTIFS(nNIA,DATOS!$A11803,nCURSO,DATOS!$D11803,nESPEC,DATOS!$E11803,nASIG,DATOS!$I11803,nEVAL,"OR")=0))</f>
      </c>
      <c r="I11803">
        <f>IF(DATOS!$I11803="","",IFERROR(VLOOKUP(DATOS!$I11803,CONFIG_ASIGNATURAS!$B$2:$J$91,9,FALSE()),""))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IF(DATOS!$A11804="",0,IF(CONFIG_METADATA!$B$4&lt;&gt;"OR+EX",--(DATOS!$G11804=CONFIG_METADATA!$B$4),IF(DATOS!$G11804="EX",1,IF(DATOS!$G11804="OR",--(COUNTIFS(nNIA,DATOS!$A11804,nCURSO,DATOS!$D11804,nESPEC,DATOS!$E11804,nASIG,DATOS!$I11804,nEVAL,"EX")=0),0))))</f>
      </c>
      <c r="H11804">
        <f>IF(DATOS!$G11804&lt;&gt;"EX",0,--(COUNTIFS(nNIA,DATOS!$A11804,nCURSO,DATOS!$D11804,nESPEC,DATOS!$E11804,nASIG,DATOS!$I11804,nEVAL,"OR")=0))</f>
      </c>
      <c r="I11804">
        <f>IF(DATOS!$I11804="","",IFERROR(VLOOKUP(DATOS!$I11804,CONFIG_ASIGNATURAS!$B$2:$J$91,9,FALSE()),""))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IF(DATOS!$A11805="",0,IF(CONFIG_METADATA!$B$4&lt;&gt;"OR+EX",--(DATOS!$G11805=CONFIG_METADATA!$B$4),IF(DATOS!$G11805="EX",1,IF(DATOS!$G11805="OR",--(COUNTIFS(nNIA,DATOS!$A11805,nCURSO,DATOS!$D11805,nESPEC,DATOS!$E11805,nASIG,DATOS!$I11805,nEVAL,"EX")=0),0))))</f>
      </c>
      <c r="H11805">
        <f>IF(DATOS!$G11805&lt;&gt;"EX",0,--(COUNTIFS(nNIA,DATOS!$A11805,nCURSO,DATOS!$D11805,nESPEC,DATOS!$E11805,nASIG,DATOS!$I11805,nEVAL,"OR")=0))</f>
      </c>
      <c r="I11805">
        <f>IF(DATOS!$I11805="","",IFERROR(VLOOKUP(DATOS!$I11805,CONFIG_ASIGNATURAS!$B$2:$J$91,9,FALSE()),""))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IF(DATOS!$A11806="",0,IF(CONFIG_METADATA!$B$4&lt;&gt;"OR+EX",--(DATOS!$G11806=CONFIG_METADATA!$B$4),IF(DATOS!$G11806="EX",1,IF(DATOS!$G11806="OR",--(COUNTIFS(nNIA,DATOS!$A11806,nCURSO,DATOS!$D11806,nESPEC,DATOS!$E11806,nASIG,DATOS!$I11806,nEVAL,"EX")=0),0))))</f>
      </c>
      <c r="H11806">
        <f>IF(DATOS!$G11806&lt;&gt;"EX",0,--(COUNTIFS(nNIA,DATOS!$A11806,nCURSO,DATOS!$D11806,nESPEC,DATOS!$E11806,nASIG,DATOS!$I11806,nEVAL,"OR")=0))</f>
      </c>
      <c r="I11806">
        <f>IF(DATOS!$I11806="","",IFERROR(VLOOKUP(DATOS!$I11806,CONFIG_ASIGNATURAS!$B$2:$J$91,9,FALSE()),""))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IF(DATOS!$A11807="",0,IF(CONFIG_METADATA!$B$4&lt;&gt;"OR+EX",--(DATOS!$G11807=CONFIG_METADATA!$B$4),IF(DATOS!$G11807="EX",1,IF(DATOS!$G11807="OR",--(COUNTIFS(nNIA,DATOS!$A11807,nCURSO,DATOS!$D11807,nESPEC,DATOS!$E11807,nASIG,DATOS!$I11807,nEVAL,"EX")=0),0))))</f>
      </c>
      <c r="H11807">
        <f>IF(DATOS!$G11807&lt;&gt;"EX",0,--(COUNTIFS(nNIA,DATOS!$A11807,nCURSO,DATOS!$D11807,nESPEC,DATOS!$E11807,nASIG,DATOS!$I11807,nEVAL,"OR")=0))</f>
      </c>
      <c r="I11807">
        <f>IF(DATOS!$I11807="","",IFERROR(VLOOKUP(DATOS!$I11807,CONFIG_ASIGNATURAS!$B$2:$J$91,9,FALSE()),""))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IF(DATOS!$A11808="",0,IF(CONFIG_METADATA!$B$4&lt;&gt;"OR+EX",--(DATOS!$G11808=CONFIG_METADATA!$B$4),IF(DATOS!$G11808="EX",1,IF(DATOS!$G11808="OR",--(COUNTIFS(nNIA,DATOS!$A11808,nCURSO,DATOS!$D11808,nESPEC,DATOS!$E11808,nASIG,DATOS!$I11808,nEVAL,"EX")=0),0))))</f>
      </c>
      <c r="H11808">
        <f>IF(DATOS!$G11808&lt;&gt;"EX",0,--(COUNTIFS(nNIA,DATOS!$A11808,nCURSO,DATOS!$D11808,nESPEC,DATOS!$E11808,nASIG,DATOS!$I11808,nEVAL,"OR")=0))</f>
      </c>
      <c r="I11808">
        <f>IF(DATOS!$I11808="","",IFERROR(VLOOKUP(DATOS!$I11808,CONFIG_ASIGNATURAS!$B$2:$J$91,9,FALSE()),""))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IF(DATOS!$A11809="",0,IF(CONFIG_METADATA!$B$4&lt;&gt;"OR+EX",--(DATOS!$G11809=CONFIG_METADATA!$B$4),IF(DATOS!$G11809="EX",1,IF(DATOS!$G11809="OR",--(COUNTIFS(nNIA,DATOS!$A11809,nCURSO,DATOS!$D11809,nESPEC,DATOS!$E11809,nASIG,DATOS!$I11809,nEVAL,"EX")=0),0))))</f>
      </c>
      <c r="H11809">
        <f>IF(DATOS!$G11809&lt;&gt;"EX",0,--(COUNTIFS(nNIA,DATOS!$A11809,nCURSO,DATOS!$D11809,nESPEC,DATOS!$E11809,nASIG,DATOS!$I11809,nEVAL,"OR")=0))</f>
      </c>
      <c r="I11809">
        <f>IF(DATOS!$I11809="","",IFERROR(VLOOKUP(DATOS!$I11809,CONFIG_ASIGNATURAS!$B$2:$J$91,9,FALSE()),""))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IF(DATOS!$A11810="",0,IF(CONFIG_METADATA!$B$4&lt;&gt;"OR+EX",--(DATOS!$G11810=CONFIG_METADATA!$B$4),IF(DATOS!$G11810="EX",1,IF(DATOS!$G11810="OR",--(COUNTIFS(nNIA,DATOS!$A11810,nCURSO,DATOS!$D11810,nESPEC,DATOS!$E11810,nASIG,DATOS!$I11810,nEVAL,"EX")=0),0))))</f>
      </c>
      <c r="H11810">
        <f>IF(DATOS!$G11810&lt;&gt;"EX",0,--(COUNTIFS(nNIA,DATOS!$A11810,nCURSO,DATOS!$D11810,nESPEC,DATOS!$E11810,nASIG,DATOS!$I11810,nEVAL,"OR")=0))</f>
      </c>
      <c r="I11810">
        <f>IF(DATOS!$I11810="","",IFERROR(VLOOKUP(DATOS!$I11810,CONFIG_ASIGNATURAS!$B$2:$J$91,9,FALSE()),""))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IF(DATOS!$A11811="",0,IF(CONFIG_METADATA!$B$4&lt;&gt;"OR+EX",--(DATOS!$G11811=CONFIG_METADATA!$B$4),IF(DATOS!$G11811="EX",1,IF(DATOS!$G11811="OR",--(COUNTIFS(nNIA,DATOS!$A11811,nCURSO,DATOS!$D11811,nESPEC,DATOS!$E11811,nASIG,DATOS!$I11811,nEVAL,"EX")=0),0))))</f>
      </c>
      <c r="H11811">
        <f>IF(DATOS!$G11811&lt;&gt;"EX",0,--(COUNTIFS(nNIA,DATOS!$A11811,nCURSO,DATOS!$D11811,nESPEC,DATOS!$E11811,nASIG,DATOS!$I11811,nEVAL,"OR")=0))</f>
      </c>
      <c r="I11811">
        <f>IF(DATOS!$I11811="","",IFERROR(VLOOKUP(DATOS!$I11811,CONFIG_ASIGNATURAS!$B$2:$J$91,9,FALSE()),""))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IF(DATOS!$A11812="",0,IF(CONFIG_METADATA!$B$4&lt;&gt;"OR+EX",--(DATOS!$G11812=CONFIG_METADATA!$B$4),IF(DATOS!$G11812="EX",1,IF(DATOS!$G11812="OR",--(COUNTIFS(nNIA,DATOS!$A11812,nCURSO,DATOS!$D11812,nESPEC,DATOS!$E11812,nASIG,DATOS!$I11812,nEVAL,"EX")=0),0))))</f>
      </c>
      <c r="H11812">
        <f>IF(DATOS!$G11812&lt;&gt;"EX",0,--(COUNTIFS(nNIA,DATOS!$A11812,nCURSO,DATOS!$D11812,nESPEC,DATOS!$E11812,nASIG,DATOS!$I11812,nEVAL,"OR")=0))</f>
      </c>
      <c r="I11812">
        <f>IF(DATOS!$I11812="","",IFERROR(VLOOKUP(DATOS!$I11812,CONFIG_ASIGNATURAS!$B$2:$J$91,9,FALSE()),""))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IF(DATOS!$A11813="",0,IF(CONFIG_METADATA!$B$4&lt;&gt;"OR+EX",--(DATOS!$G11813=CONFIG_METADATA!$B$4),IF(DATOS!$G11813="EX",1,IF(DATOS!$G11813="OR",--(COUNTIFS(nNIA,DATOS!$A11813,nCURSO,DATOS!$D11813,nESPEC,DATOS!$E11813,nASIG,DATOS!$I11813,nEVAL,"EX")=0),0))))</f>
      </c>
      <c r="H11813">
        <f>IF(DATOS!$G11813&lt;&gt;"EX",0,--(COUNTIFS(nNIA,DATOS!$A11813,nCURSO,DATOS!$D11813,nESPEC,DATOS!$E11813,nASIG,DATOS!$I11813,nEVAL,"OR")=0))</f>
      </c>
      <c r="I11813">
        <f>IF(DATOS!$I11813="","",IFERROR(VLOOKUP(DATOS!$I11813,CONFIG_ASIGNATURAS!$B$2:$J$91,9,FALSE()),""))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IF(DATOS!$A11814="",0,IF(CONFIG_METADATA!$B$4&lt;&gt;"OR+EX",--(DATOS!$G11814=CONFIG_METADATA!$B$4),IF(DATOS!$G11814="EX",1,IF(DATOS!$G11814="OR",--(COUNTIFS(nNIA,DATOS!$A11814,nCURSO,DATOS!$D11814,nESPEC,DATOS!$E11814,nASIG,DATOS!$I11814,nEVAL,"EX")=0),0))))</f>
      </c>
      <c r="H11814">
        <f>IF(DATOS!$G11814&lt;&gt;"EX",0,--(COUNTIFS(nNIA,DATOS!$A11814,nCURSO,DATOS!$D11814,nESPEC,DATOS!$E11814,nASIG,DATOS!$I11814,nEVAL,"OR")=0))</f>
      </c>
      <c r="I11814">
        <f>IF(DATOS!$I11814="","",IFERROR(VLOOKUP(DATOS!$I11814,CONFIG_ASIGNATURAS!$B$2:$J$91,9,FALSE()),""))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IF(DATOS!$A11815="",0,IF(CONFIG_METADATA!$B$4&lt;&gt;"OR+EX",--(DATOS!$G11815=CONFIG_METADATA!$B$4),IF(DATOS!$G11815="EX",1,IF(DATOS!$G11815="OR",--(COUNTIFS(nNIA,DATOS!$A11815,nCURSO,DATOS!$D11815,nESPEC,DATOS!$E11815,nASIG,DATOS!$I11815,nEVAL,"EX")=0),0))))</f>
      </c>
      <c r="H11815">
        <f>IF(DATOS!$G11815&lt;&gt;"EX",0,--(COUNTIFS(nNIA,DATOS!$A11815,nCURSO,DATOS!$D11815,nESPEC,DATOS!$E11815,nASIG,DATOS!$I11815,nEVAL,"OR")=0))</f>
      </c>
      <c r="I11815">
        <f>IF(DATOS!$I11815="","",IFERROR(VLOOKUP(DATOS!$I11815,CONFIG_ASIGNATURAS!$B$2:$J$91,9,FALSE()),""))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IF(DATOS!$A11816="",0,IF(CONFIG_METADATA!$B$4&lt;&gt;"OR+EX",--(DATOS!$G11816=CONFIG_METADATA!$B$4),IF(DATOS!$G11816="EX",1,IF(DATOS!$G11816="OR",--(COUNTIFS(nNIA,DATOS!$A11816,nCURSO,DATOS!$D11816,nESPEC,DATOS!$E11816,nASIG,DATOS!$I11816,nEVAL,"EX")=0),0))))</f>
      </c>
      <c r="H11816">
        <f>IF(DATOS!$G11816&lt;&gt;"EX",0,--(COUNTIFS(nNIA,DATOS!$A11816,nCURSO,DATOS!$D11816,nESPEC,DATOS!$E11816,nASIG,DATOS!$I11816,nEVAL,"OR")=0))</f>
      </c>
      <c r="I11816">
        <f>IF(DATOS!$I11816="","",IFERROR(VLOOKUP(DATOS!$I11816,CONFIG_ASIGNATURAS!$B$2:$J$91,9,FALSE()),""))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IF(DATOS!$A11817="",0,IF(CONFIG_METADATA!$B$4&lt;&gt;"OR+EX",--(DATOS!$G11817=CONFIG_METADATA!$B$4),IF(DATOS!$G11817="EX",1,IF(DATOS!$G11817="OR",--(COUNTIFS(nNIA,DATOS!$A11817,nCURSO,DATOS!$D11817,nESPEC,DATOS!$E11817,nASIG,DATOS!$I11817,nEVAL,"EX")=0),0))))</f>
      </c>
      <c r="H11817">
        <f>IF(DATOS!$G11817&lt;&gt;"EX",0,--(COUNTIFS(nNIA,DATOS!$A11817,nCURSO,DATOS!$D11817,nESPEC,DATOS!$E11817,nASIG,DATOS!$I11817,nEVAL,"OR")=0))</f>
      </c>
      <c r="I11817">
        <f>IF(DATOS!$I11817="","",IFERROR(VLOOKUP(DATOS!$I11817,CONFIG_ASIGNATURAS!$B$2:$J$91,9,FALSE()),""))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IF(DATOS!$A11818="",0,IF(CONFIG_METADATA!$B$4&lt;&gt;"OR+EX",--(DATOS!$G11818=CONFIG_METADATA!$B$4),IF(DATOS!$G11818="EX",1,IF(DATOS!$G11818="OR",--(COUNTIFS(nNIA,DATOS!$A11818,nCURSO,DATOS!$D11818,nESPEC,DATOS!$E11818,nASIG,DATOS!$I11818,nEVAL,"EX")=0),0))))</f>
      </c>
      <c r="H11818">
        <f>IF(DATOS!$G11818&lt;&gt;"EX",0,--(COUNTIFS(nNIA,DATOS!$A11818,nCURSO,DATOS!$D11818,nESPEC,DATOS!$E11818,nASIG,DATOS!$I11818,nEVAL,"OR")=0))</f>
      </c>
      <c r="I11818">
        <f>IF(DATOS!$I11818="","",IFERROR(VLOOKUP(DATOS!$I11818,CONFIG_ASIGNATURAS!$B$2:$J$91,9,FALSE()),""))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IF(DATOS!$A11819="",0,IF(CONFIG_METADATA!$B$4&lt;&gt;"OR+EX",--(DATOS!$G11819=CONFIG_METADATA!$B$4),IF(DATOS!$G11819="EX",1,IF(DATOS!$G11819="OR",--(COUNTIFS(nNIA,DATOS!$A11819,nCURSO,DATOS!$D11819,nESPEC,DATOS!$E11819,nASIG,DATOS!$I11819,nEVAL,"EX")=0),0))))</f>
      </c>
      <c r="H11819">
        <f>IF(DATOS!$G11819&lt;&gt;"EX",0,--(COUNTIFS(nNIA,DATOS!$A11819,nCURSO,DATOS!$D11819,nESPEC,DATOS!$E11819,nASIG,DATOS!$I11819,nEVAL,"OR")=0))</f>
      </c>
      <c r="I11819">
        <f>IF(DATOS!$I11819="","",IFERROR(VLOOKUP(DATOS!$I11819,CONFIG_ASIGNATURAS!$B$2:$J$91,9,FALSE()),""))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IF(DATOS!$A11820="",0,IF(CONFIG_METADATA!$B$4&lt;&gt;"OR+EX",--(DATOS!$G11820=CONFIG_METADATA!$B$4),IF(DATOS!$G11820="EX",1,IF(DATOS!$G11820="OR",--(COUNTIFS(nNIA,DATOS!$A11820,nCURSO,DATOS!$D11820,nESPEC,DATOS!$E11820,nASIG,DATOS!$I11820,nEVAL,"EX")=0),0))))</f>
      </c>
      <c r="H11820">
        <f>IF(DATOS!$G11820&lt;&gt;"EX",0,--(COUNTIFS(nNIA,DATOS!$A11820,nCURSO,DATOS!$D11820,nESPEC,DATOS!$E11820,nASIG,DATOS!$I11820,nEVAL,"OR")=0))</f>
      </c>
      <c r="I11820">
        <f>IF(DATOS!$I11820="","",IFERROR(VLOOKUP(DATOS!$I11820,CONFIG_ASIGNATURAS!$B$2:$J$91,9,FALSE()),""))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IF(DATOS!$A11821="",0,IF(CONFIG_METADATA!$B$4&lt;&gt;"OR+EX",--(DATOS!$G11821=CONFIG_METADATA!$B$4),IF(DATOS!$G11821="EX",1,IF(DATOS!$G11821="OR",--(COUNTIFS(nNIA,DATOS!$A11821,nCURSO,DATOS!$D11821,nESPEC,DATOS!$E11821,nASIG,DATOS!$I11821,nEVAL,"EX")=0),0))))</f>
      </c>
      <c r="H11821">
        <f>IF(DATOS!$G11821&lt;&gt;"EX",0,--(COUNTIFS(nNIA,DATOS!$A11821,nCURSO,DATOS!$D11821,nESPEC,DATOS!$E11821,nASIG,DATOS!$I11821,nEVAL,"OR")=0))</f>
      </c>
      <c r="I11821">
        <f>IF(DATOS!$I11821="","",IFERROR(VLOOKUP(DATOS!$I11821,CONFIG_ASIGNATURAS!$B$2:$J$91,9,FALSE()),""))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IF(DATOS!$A11822="",0,IF(CONFIG_METADATA!$B$4&lt;&gt;"OR+EX",--(DATOS!$G11822=CONFIG_METADATA!$B$4),IF(DATOS!$G11822="EX",1,IF(DATOS!$G11822="OR",--(COUNTIFS(nNIA,DATOS!$A11822,nCURSO,DATOS!$D11822,nESPEC,DATOS!$E11822,nASIG,DATOS!$I11822,nEVAL,"EX")=0),0))))</f>
      </c>
      <c r="H11822">
        <f>IF(DATOS!$G11822&lt;&gt;"EX",0,--(COUNTIFS(nNIA,DATOS!$A11822,nCURSO,DATOS!$D11822,nESPEC,DATOS!$E11822,nASIG,DATOS!$I11822,nEVAL,"OR")=0))</f>
      </c>
      <c r="I11822">
        <f>IF(DATOS!$I11822="","",IFERROR(VLOOKUP(DATOS!$I11822,CONFIG_ASIGNATURAS!$B$2:$J$91,9,FALSE()),""))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IF(DATOS!$A11823="",0,IF(CONFIG_METADATA!$B$4&lt;&gt;"OR+EX",--(DATOS!$G11823=CONFIG_METADATA!$B$4),IF(DATOS!$G11823="EX",1,IF(DATOS!$G11823="OR",--(COUNTIFS(nNIA,DATOS!$A11823,nCURSO,DATOS!$D11823,nESPEC,DATOS!$E11823,nASIG,DATOS!$I11823,nEVAL,"EX")=0),0))))</f>
      </c>
      <c r="H11823">
        <f>IF(DATOS!$G11823&lt;&gt;"EX",0,--(COUNTIFS(nNIA,DATOS!$A11823,nCURSO,DATOS!$D11823,nESPEC,DATOS!$E11823,nASIG,DATOS!$I11823,nEVAL,"OR")=0))</f>
      </c>
      <c r="I11823">
        <f>IF(DATOS!$I11823="","",IFERROR(VLOOKUP(DATOS!$I11823,CONFIG_ASIGNATURAS!$B$2:$J$91,9,FALSE()),""))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IF(DATOS!$A11824="",0,IF(CONFIG_METADATA!$B$4&lt;&gt;"OR+EX",--(DATOS!$G11824=CONFIG_METADATA!$B$4),IF(DATOS!$G11824="EX",1,IF(DATOS!$G11824="OR",--(COUNTIFS(nNIA,DATOS!$A11824,nCURSO,DATOS!$D11824,nESPEC,DATOS!$E11824,nASIG,DATOS!$I11824,nEVAL,"EX")=0),0))))</f>
      </c>
      <c r="H11824">
        <f>IF(DATOS!$G11824&lt;&gt;"EX",0,--(COUNTIFS(nNIA,DATOS!$A11824,nCURSO,DATOS!$D11824,nESPEC,DATOS!$E11824,nASIG,DATOS!$I11824,nEVAL,"OR")=0))</f>
      </c>
      <c r="I11824">
        <f>IF(DATOS!$I11824="","",IFERROR(VLOOKUP(DATOS!$I11824,CONFIG_ASIGNATURAS!$B$2:$J$91,9,FALSE()),""))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IF(DATOS!$A11825="",0,IF(CONFIG_METADATA!$B$4&lt;&gt;"OR+EX",--(DATOS!$G11825=CONFIG_METADATA!$B$4),IF(DATOS!$G11825="EX",1,IF(DATOS!$G11825="OR",--(COUNTIFS(nNIA,DATOS!$A11825,nCURSO,DATOS!$D11825,nESPEC,DATOS!$E11825,nASIG,DATOS!$I11825,nEVAL,"EX")=0),0))))</f>
      </c>
      <c r="H11825">
        <f>IF(DATOS!$G11825&lt;&gt;"EX",0,--(COUNTIFS(nNIA,DATOS!$A11825,nCURSO,DATOS!$D11825,nESPEC,DATOS!$E11825,nASIG,DATOS!$I11825,nEVAL,"OR")=0))</f>
      </c>
      <c r="I11825">
        <f>IF(DATOS!$I11825="","",IFERROR(VLOOKUP(DATOS!$I11825,CONFIG_ASIGNATURAS!$B$2:$J$91,9,FALSE()),""))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IF(DATOS!$A11826="",0,IF(CONFIG_METADATA!$B$4&lt;&gt;"OR+EX",--(DATOS!$G11826=CONFIG_METADATA!$B$4),IF(DATOS!$G11826="EX",1,IF(DATOS!$G11826="OR",--(COUNTIFS(nNIA,DATOS!$A11826,nCURSO,DATOS!$D11826,nESPEC,DATOS!$E11826,nASIG,DATOS!$I11826,nEVAL,"EX")=0),0))))</f>
      </c>
      <c r="H11826">
        <f>IF(DATOS!$G11826&lt;&gt;"EX",0,--(COUNTIFS(nNIA,DATOS!$A11826,nCURSO,DATOS!$D11826,nESPEC,DATOS!$E11826,nASIG,DATOS!$I11826,nEVAL,"OR")=0))</f>
      </c>
      <c r="I11826">
        <f>IF(DATOS!$I11826="","",IFERROR(VLOOKUP(DATOS!$I11826,CONFIG_ASIGNATURAS!$B$2:$J$91,9,FALSE()),""))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IF(DATOS!$A11827="",0,IF(CONFIG_METADATA!$B$4&lt;&gt;"OR+EX",--(DATOS!$G11827=CONFIG_METADATA!$B$4),IF(DATOS!$G11827="EX",1,IF(DATOS!$G11827="OR",--(COUNTIFS(nNIA,DATOS!$A11827,nCURSO,DATOS!$D11827,nESPEC,DATOS!$E11827,nASIG,DATOS!$I11827,nEVAL,"EX")=0),0))))</f>
      </c>
      <c r="H11827">
        <f>IF(DATOS!$G11827&lt;&gt;"EX",0,--(COUNTIFS(nNIA,DATOS!$A11827,nCURSO,DATOS!$D11827,nESPEC,DATOS!$E11827,nASIG,DATOS!$I11827,nEVAL,"OR")=0))</f>
      </c>
      <c r="I11827">
        <f>IF(DATOS!$I11827="","",IFERROR(VLOOKUP(DATOS!$I11827,CONFIG_ASIGNATURAS!$B$2:$J$91,9,FALSE()),""))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IF(DATOS!$A11828="",0,IF(CONFIG_METADATA!$B$4&lt;&gt;"OR+EX",--(DATOS!$G11828=CONFIG_METADATA!$B$4),IF(DATOS!$G11828="EX",1,IF(DATOS!$G11828="OR",--(COUNTIFS(nNIA,DATOS!$A11828,nCURSO,DATOS!$D11828,nESPEC,DATOS!$E11828,nASIG,DATOS!$I11828,nEVAL,"EX")=0),0))))</f>
      </c>
      <c r="H11828">
        <f>IF(DATOS!$G11828&lt;&gt;"EX",0,--(COUNTIFS(nNIA,DATOS!$A11828,nCURSO,DATOS!$D11828,nESPEC,DATOS!$E11828,nASIG,DATOS!$I11828,nEVAL,"OR")=0))</f>
      </c>
      <c r="I11828">
        <f>IF(DATOS!$I11828="","",IFERROR(VLOOKUP(DATOS!$I11828,CONFIG_ASIGNATURAS!$B$2:$J$91,9,FALSE()),""))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IF(DATOS!$A11829="",0,IF(CONFIG_METADATA!$B$4&lt;&gt;"OR+EX",--(DATOS!$G11829=CONFIG_METADATA!$B$4),IF(DATOS!$G11829="EX",1,IF(DATOS!$G11829="OR",--(COUNTIFS(nNIA,DATOS!$A11829,nCURSO,DATOS!$D11829,nESPEC,DATOS!$E11829,nASIG,DATOS!$I11829,nEVAL,"EX")=0),0))))</f>
      </c>
      <c r="H11829">
        <f>IF(DATOS!$G11829&lt;&gt;"EX",0,--(COUNTIFS(nNIA,DATOS!$A11829,nCURSO,DATOS!$D11829,nESPEC,DATOS!$E11829,nASIG,DATOS!$I11829,nEVAL,"OR")=0))</f>
      </c>
      <c r="I11829">
        <f>IF(DATOS!$I11829="","",IFERROR(VLOOKUP(DATOS!$I11829,CONFIG_ASIGNATURAS!$B$2:$J$91,9,FALSE()),""))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IF(DATOS!$A11830="",0,IF(CONFIG_METADATA!$B$4&lt;&gt;"OR+EX",--(DATOS!$G11830=CONFIG_METADATA!$B$4),IF(DATOS!$G11830="EX",1,IF(DATOS!$G11830="OR",--(COUNTIFS(nNIA,DATOS!$A11830,nCURSO,DATOS!$D11830,nESPEC,DATOS!$E11830,nASIG,DATOS!$I11830,nEVAL,"EX")=0),0))))</f>
      </c>
      <c r="H11830">
        <f>IF(DATOS!$G11830&lt;&gt;"EX",0,--(COUNTIFS(nNIA,DATOS!$A11830,nCURSO,DATOS!$D11830,nESPEC,DATOS!$E11830,nASIG,DATOS!$I11830,nEVAL,"OR")=0))</f>
      </c>
      <c r="I11830">
        <f>IF(DATOS!$I11830="","",IFERROR(VLOOKUP(DATOS!$I11830,CONFIG_ASIGNATURAS!$B$2:$J$91,9,FALSE()),""))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IF(DATOS!$A11831="",0,IF(CONFIG_METADATA!$B$4&lt;&gt;"OR+EX",--(DATOS!$G11831=CONFIG_METADATA!$B$4),IF(DATOS!$G11831="EX",1,IF(DATOS!$G11831="OR",--(COUNTIFS(nNIA,DATOS!$A11831,nCURSO,DATOS!$D11831,nESPEC,DATOS!$E11831,nASIG,DATOS!$I11831,nEVAL,"EX")=0),0))))</f>
      </c>
      <c r="H11831">
        <f>IF(DATOS!$G11831&lt;&gt;"EX",0,--(COUNTIFS(nNIA,DATOS!$A11831,nCURSO,DATOS!$D11831,nESPEC,DATOS!$E11831,nASIG,DATOS!$I11831,nEVAL,"OR")=0))</f>
      </c>
      <c r="I11831">
        <f>IF(DATOS!$I11831="","",IFERROR(VLOOKUP(DATOS!$I11831,CONFIG_ASIGNATURAS!$B$2:$J$91,9,FALSE()),""))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IF(DATOS!$A11832="",0,IF(CONFIG_METADATA!$B$4&lt;&gt;"OR+EX",--(DATOS!$G11832=CONFIG_METADATA!$B$4),IF(DATOS!$G11832="EX",1,IF(DATOS!$G11832="OR",--(COUNTIFS(nNIA,DATOS!$A11832,nCURSO,DATOS!$D11832,nESPEC,DATOS!$E11832,nASIG,DATOS!$I11832,nEVAL,"EX")=0),0))))</f>
      </c>
      <c r="H11832">
        <f>IF(DATOS!$G11832&lt;&gt;"EX",0,--(COUNTIFS(nNIA,DATOS!$A11832,nCURSO,DATOS!$D11832,nESPEC,DATOS!$E11832,nASIG,DATOS!$I11832,nEVAL,"OR")=0))</f>
      </c>
      <c r="I11832">
        <f>IF(DATOS!$I11832="","",IFERROR(VLOOKUP(DATOS!$I11832,CONFIG_ASIGNATURAS!$B$2:$J$91,9,FALSE()),""))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IF(DATOS!$A11833="",0,IF(CONFIG_METADATA!$B$4&lt;&gt;"OR+EX",--(DATOS!$G11833=CONFIG_METADATA!$B$4),IF(DATOS!$G11833="EX",1,IF(DATOS!$G11833="OR",--(COUNTIFS(nNIA,DATOS!$A11833,nCURSO,DATOS!$D11833,nESPEC,DATOS!$E11833,nASIG,DATOS!$I11833,nEVAL,"EX")=0),0))))</f>
      </c>
      <c r="H11833">
        <f>IF(DATOS!$G11833&lt;&gt;"EX",0,--(COUNTIFS(nNIA,DATOS!$A11833,nCURSO,DATOS!$D11833,nESPEC,DATOS!$E11833,nASIG,DATOS!$I11833,nEVAL,"OR")=0))</f>
      </c>
      <c r="I11833">
        <f>IF(DATOS!$I11833="","",IFERROR(VLOOKUP(DATOS!$I11833,CONFIG_ASIGNATURAS!$B$2:$J$91,9,FALSE()),""))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IF(DATOS!$A11834="",0,IF(CONFIG_METADATA!$B$4&lt;&gt;"OR+EX",--(DATOS!$G11834=CONFIG_METADATA!$B$4),IF(DATOS!$G11834="EX",1,IF(DATOS!$G11834="OR",--(COUNTIFS(nNIA,DATOS!$A11834,nCURSO,DATOS!$D11834,nESPEC,DATOS!$E11834,nASIG,DATOS!$I11834,nEVAL,"EX")=0),0))))</f>
      </c>
      <c r="H11834">
        <f>IF(DATOS!$G11834&lt;&gt;"EX",0,--(COUNTIFS(nNIA,DATOS!$A11834,nCURSO,DATOS!$D11834,nESPEC,DATOS!$E11834,nASIG,DATOS!$I11834,nEVAL,"OR")=0))</f>
      </c>
      <c r="I11834">
        <f>IF(DATOS!$I11834="","",IFERROR(VLOOKUP(DATOS!$I11834,CONFIG_ASIGNATURAS!$B$2:$J$91,9,FALSE()),""))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IF(DATOS!$A11835="",0,IF(CONFIG_METADATA!$B$4&lt;&gt;"OR+EX",--(DATOS!$G11835=CONFIG_METADATA!$B$4),IF(DATOS!$G11835="EX",1,IF(DATOS!$G11835="OR",--(COUNTIFS(nNIA,DATOS!$A11835,nCURSO,DATOS!$D11835,nESPEC,DATOS!$E11835,nASIG,DATOS!$I11835,nEVAL,"EX")=0),0))))</f>
      </c>
      <c r="H11835">
        <f>IF(DATOS!$G11835&lt;&gt;"EX",0,--(COUNTIFS(nNIA,DATOS!$A11835,nCURSO,DATOS!$D11835,nESPEC,DATOS!$E11835,nASIG,DATOS!$I11835,nEVAL,"OR")=0))</f>
      </c>
      <c r="I11835">
        <f>IF(DATOS!$I11835="","",IFERROR(VLOOKUP(DATOS!$I11835,CONFIG_ASIGNATURAS!$B$2:$J$91,9,FALSE()),""))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IF(DATOS!$A11836="",0,IF(CONFIG_METADATA!$B$4&lt;&gt;"OR+EX",--(DATOS!$G11836=CONFIG_METADATA!$B$4),IF(DATOS!$G11836="EX",1,IF(DATOS!$G11836="OR",--(COUNTIFS(nNIA,DATOS!$A11836,nCURSO,DATOS!$D11836,nESPEC,DATOS!$E11836,nASIG,DATOS!$I11836,nEVAL,"EX")=0),0))))</f>
      </c>
      <c r="H11836">
        <f>IF(DATOS!$G11836&lt;&gt;"EX",0,--(COUNTIFS(nNIA,DATOS!$A11836,nCURSO,DATOS!$D11836,nESPEC,DATOS!$E11836,nASIG,DATOS!$I11836,nEVAL,"OR")=0))</f>
      </c>
      <c r="I11836">
        <f>IF(DATOS!$I11836="","",IFERROR(VLOOKUP(DATOS!$I11836,CONFIG_ASIGNATURAS!$B$2:$J$91,9,FALSE()),""))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IF(DATOS!$A11837="",0,IF(CONFIG_METADATA!$B$4&lt;&gt;"OR+EX",--(DATOS!$G11837=CONFIG_METADATA!$B$4),IF(DATOS!$G11837="EX",1,IF(DATOS!$G11837="OR",--(COUNTIFS(nNIA,DATOS!$A11837,nCURSO,DATOS!$D11837,nESPEC,DATOS!$E11837,nASIG,DATOS!$I11837,nEVAL,"EX")=0),0))))</f>
      </c>
      <c r="H11837">
        <f>IF(DATOS!$G11837&lt;&gt;"EX",0,--(COUNTIFS(nNIA,DATOS!$A11837,nCURSO,DATOS!$D11837,nESPEC,DATOS!$E11837,nASIG,DATOS!$I11837,nEVAL,"OR")=0))</f>
      </c>
      <c r="I11837">
        <f>IF(DATOS!$I11837="","",IFERROR(VLOOKUP(DATOS!$I11837,CONFIG_ASIGNATURAS!$B$2:$J$91,9,FALSE()),""))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IF(DATOS!$A11838="",0,IF(CONFIG_METADATA!$B$4&lt;&gt;"OR+EX",--(DATOS!$G11838=CONFIG_METADATA!$B$4),IF(DATOS!$G11838="EX",1,IF(DATOS!$G11838="OR",--(COUNTIFS(nNIA,DATOS!$A11838,nCURSO,DATOS!$D11838,nESPEC,DATOS!$E11838,nASIG,DATOS!$I11838,nEVAL,"EX")=0),0))))</f>
      </c>
      <c r="H11838">
        <f>IF(DATOS!$G11838&lt;&gt;"EX",0,--(COUNTIFS(nNIA,DATOS!$A11838,nCURSO,DATOS!$D11838,nESPEC,DATOS!$E11838,nASIG,DATOS!$I11838,nEVAL,"OR")=0))</f>
      </c>
      <c r="I11838">
        <f>IF(DATOS!$I11838="","",IFERROR(VLOOKUP(DATOS!$I11838,CONFIG_ASIGNATURAS!$B$2:$J$91,9,FALSE()),""))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IF(DATOS!$A11839="",0,IF(CONFIG_METADATA!$B$4&lt;&gt;"OR+EX",--(DATOS!$G11839=CONFIG_METADATA!$B$4),IF(DATOS!$G11839="EX",1,IF(DATOS!$G11839="OR",--(COUNTIFS(nNIA,DATOS!$A11839,nCURSO,DATOS!$D11839,nESPEC,DATOS!$E11839,nASIG,DATOS!$I11839,nEVAL,"EX")=0),0))))</f>
      </c>
      <c r="H11839">
        <f>IF(DATOS!$G11839&lt;&gt;"EX",0,--(COUNTIFS(nNIA,DATOS!$A11839,nCURSO,DATOS!$D11839,nESPEC,DATOS!$E11839,nASIG,DATOS!$I11839,nEVAL,"OR")=0))</f>
      </c>
      <c r="I11839">
        <f>IF(DATOS!$I11839="","",IFERROR(VLOOKUP(DATOS!$I11839,CONFIG_ASIGNATURAS!$B$2:$J$91,9,FALSE()),""))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IF(DATOS!$A11840="",0,IF(CONFIG_METADATA!$B$4&lt;&gt;"OR+EX",--(DATOS!$G11840=CONFIG_METADATA!$B$4),IF(DATOS!$G11840="EX",1,IF(DATOS!$G11840="OR",--(COUNTIFS(nNIA,DATOS!$A11840,nCURSO,DATOS!$D11840,nESPEC,DATOS!$E11840,nASIG,DATOS!$I11840,nEVAL,"EX")=0),0))))</f>
      </c>
      <c r="H11840">
        <f>IF(DATOS!$G11840&lt;&gt;"EX",0,--(COUNTIFS(nNIA,DATOS!$A11840,nCURSO,DATOS!$D11840,nESPEC,DATOS!$E11840,nASIG,DATOS!$I11840,nEVAL,"OR")=0))</f>
      </c>
      <c r="I11840">
        <f>IF(DATOS!$I11840="","",IFERROR(VLOOKUP(DATOS!$I11840,CONFIG_ASIGNATURAS!$B$2:$J$91,9,FALSE()),""))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IF(DATOS!$A11841="",0,IF(CONFIG_METADATA!$B$4&lt;&gt;"OR+EX",--(DATOS!$G11841=CONFIG_METADATA!$B$4),IF(DATOS!$G11841="EX",1,IF(DATOS!$G11841="OR",--(COUNTIFS(nNIA,DATOS!$A11841,nCURSO,DATOS!$D11841,nESPEC,DATOS!$E11841,nASIG,DATOS!$I11841,nEVAL,"EX")=0),0))))</f>
      </c>
      <c r="H11841">
        <f>IF(DATOS!$G11841&lt;&gt;"EX",0,--(COUNTIFS(nNIA,DATOS!$A11841,nCURSO,DATOS!$D11841,nESPEC,DATOS!$E11841,nASIG,DATOS!$I11841,nEVAL,"OR")=0))</f>
      </c>
      <c r="I11841">
        <f>IF(DATOS!$I11841="","",IFERROR(VLOOKUP(DATOS!$I11841,CONFIG_ASIGNATURAS!$B$2:$J$91,9,FALSE()),""))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IF(DATOS!$A11842="",0,IF(CONFIG_METADATA!$B$4&lt;&gt;"OR+EX",--(DATOS!$G11842=CONFIG_METADATA!$B$4),IF(DATOS!$G11842="EX",1,IF(DATOS!$G11842="OR",--(COUNTIFS(nNIA,DATOS!$A11842,nCURSO,DATOS!$D11842,nESPEC,DATOS!$E11842,nASIG,DATOS!$I11842,nEVAL,"EX")=0),0))))</f>
      </c>
      <c r="H11842">
        <f>IF(DATOS!$G11842&lt;&gt;"EX",0,--(COUNTIFS(nNIA,DATOS!$A11842,nCURSO,DATOS!$D11842,nESPEC,DATOS!$E11842,nASIG,DATOS!$I11842,nEVAL,"OR")=0))</f>
      </c>
      <c r="I11842">
        <f>IF(DATOS!$I11842="","",IFERROR(VLOOKUP(DATOS!$I11842,CONFIG_ASIGNATURAS!$B$2:$J$91,9,FALSE()),""))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IF(DATOS!$A11843="",0,IF(CONFIG_METADATA!$B$4&lt;&gt;"OR+EX",--(DATOS!$G11843=CONFIG_METADATA!$B$4),IF(DATOS!$G11843="EX",1,IF(DATOS!$G11843="OR",--(COUNTIFS(nNIA,DATOS!$A11843,nCURSO,DATOS!$D11843,nESPEC,DATOS!$E11843,nASIG,DATOS!$I11843,nEVAL,"EX")=0),0))))</f>
      </c>
      <c r="H11843">
        <f>IF(DATOS!$G11843&lt;&gt;"EX",0,--(COUNTIFS(nNIA,DATOS!$A11843,nCURSO,DATOS!$D11843,nESPEC,DATOS!$E11843,nASIG,DATOS!$I11843,nEVAL,"OR")=0))</f>
      </c>
      <c r="I11843">
        <f>IF(DATOS!$I11843="","",IFERROR(VLOOKUP(DATOS!$I11843,CONFIG_ASIGNATURAS!$B$2:$J$91,9,FALSE()),""))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IF(DATOS!$A11844="",0,IF(CONFIG_METADATA!$B$4&lt;&gt;"OR+EX",--(DATOS!$G11844=CONFIG_METADATA!$B$4),IF(DATOS!$G11844="EX",1,IF(DATOS!$G11844="OR",--(COUNTIFS(nNIA,DATOS!$A11844,nCURSO,DATOS!$D11844,nESPEC,DATOS!$E11844,nASIG,DATOS!$I11844,nEVAL,"EX")=0),0))))</f>
      </c>
      <c r="H11844">
        <f>IF(DATOS!$G11844&lt;&gt;"EX",0,--(COUNTIFS(nNIA,DATOS!$A11844,nCURSO,DATOS!$D11844,nESPEC,DATOS!$E11844,nASIG,DATOS!$I11844,nEVAL,"OR")=0))</f>
      </c>
      <c r="I11844">
        <f>IF(DATOS!$I11844="","",IFERROR(VLOOKUP(DATOS!$I11844,CONFIG_ASIGNATURAS!$B$2:$J$91,9,FALSE()),""))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IF(DATOS!$A11845="",0,IF(CONFIG_METADATA!$B$4&lt;&gt;"OR+EX",--(DATOS!$G11845=CONFIG_METADATA!$B$4),IF(DATOS!$G11845="EX",1,IF(DATOS!$G11845="OR",--(COUNTIFS(nNIA,DATOS!$A11845,nCURSO,DATOS!$D11845,nESPEC,DATOS!$E11845,nASIG,DATOS!$I11845,nEVAL,"EX")=0),0))))</f>
      </c>
      <c r="H11845">
        <f>IF(DATOS!$G11845&lt;&gt;"EX",0,--(COUNTIFS(nNIA,DATOS!$A11845,nCURSO,DATOS!$D11845,nESPEC,DATOS!$E11845,nASIG,DATOS!$I11845,nEVAL,"OR")=0))</f>
      </c>
      <c r="I11845">
        <f>IF(DATOS!$I11845="","",IFERROR(VLOOKUP(DATOS!$I11845,CONFIG_ASIGNATURAS!$B$2:$J$91,9,FALSE()),""))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IF(DATOS!$A11846="",0,IF(CONFIG_METADATA!$B$4&lt;&gt;"OR+EX",--(DATOS!$G11846=CONFIG_METADATA!$B$4),IF(DATOS!$G11846="EX",1,IF(DATOS!$G11846="OR",--(COUNTIFS(nNIA,DATOS!$A11846,nCURSO,DATOS!$D11846,nESPEC,DATOS!$E11846,nASIG,DATOS!$I11846,nEVAL,"EX")=0),0))))</f>
      </c>
      <c r="H11846">
        <f>IF(DATOS!$G11846&lt;&gt;"EX",0,--(COUNTIFS(nNIA,DATOS!$A11846,nCURSO,DATOS!$D11846,nESPEC,DATOS!$E11846,nASIG,DATOS!$I11846,nEVAL,"OR")=0))</f>
      </c>
      <c r="I11846">
        <f>IF(DATOS!$I11846="","",IFERROR(VLOOKUP(DATOS!$I11846,CONFIG_ASIGNATURAS!$B$2:$J$91,9,FALSE()),""))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IF(DATOS!$A11847="",0,IF(CONFIG_METADATA!$B$4&lt;&gt;"OR+EX",--(DATOS!$G11847=CONFIG_METADATA!$B$4),IF(DATOS!$G11847="EX",1,IF(DATOS!$G11847="OR",--(COUNTIFS(nNIA,DATOS!$A11847,nCURSO,DATOS!$D11847,nESPEC,DATOS!$E11847,nASIG,DATOS!$I11847,nEVAL,"EX")=0),0))))</f>
      </c>
      <c r="H11847">
        <f>IF(DATOS!$G11847&lt;&gt;"EX",0,--(COUNTIFS(nNIA,DATOS!$A11847,nCURSO,DATOS!$D11847,nESPEC,DATOS!$E11847,nASIG,DATOS!$I11847,nEVAL,"OR")=0))</f>
      </c>
      <c r="I11847">
        <f>IF(DATOS!$I11847="","",IFERROR(VLOOKUP(DATOS!$I11847,CONFIG_ASIGNATURAS!$B$2:$J$91,9,FALSE()),""))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IF(DATOS!$A11848="",0,IF(CONFIG_METADATA!$B$4&lt;&gt;"OR+EX",--(DATOS!$G11848=CONFIG_METADATA!$B$4),IF(DATOS!$G11848="EX",1,IF(DATOS!$G11848="OR",--(COUNTIFS(nNIA,DATOS!$A11848,nCURSO,DATOS!$D11848,nESPEC,DATOS!$E11848,nASIG,DATOS!$I11848,nEVAL,"EX")=0),0))))</f>
      </c>
      <c r="H11848">
        <f>IF(DATOS!$G11848&lt;&gt;"EX",0,--(COUNTIFS(nNIA,DATOS!$A11848,nCURSO,DATOS!$D11848,nESPEC,DATOS!$E11848,nASIG,DATOS!$I11848,nEVAL,"OR")=0))</f>
      </c>
      <c r="I11848">
        <f>IF(DATOS!$I11848="","",IFERROR(VLOOKUP(DATOS!$I11848,CONFIG_ASIGNATURAS!$B$2:$J$91,9,FALSE()),""))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IF(DATOS!$A11849="",0,IF(CONFIG_METADATA!$B$4&lt;&gt;"OR+EX",--(DATOS!$G11849=CONFIG_METADATA!$B$4),IF(DATOS!$G11849="EX",1,IF(DATOS!$G11849="OR",--(COUNTIFS(nNIA,DATOS!$A11849,nCURSO,DATOS!$D11849,nESPEC,DATOS!$E11849,nASIG,DATOS!$I11849,nEVAL,"EX")=0),0))))</f>
      </c>
      <c r="H11849">
        <f>IF(DATOS!$G11849&lt;&gt;"EX",0,--(COUNTIFS(nNIA,DATOS!$A11849,nCURSO,DATOS!$D11849,nESPEC,DATOS!$E11849,nASIG,DATOS!$I11849,nEVAL,"OR")=0))</f>
      </c>
      <c r="I11849">
        <f>IF(DATOS!$I11849="","",IFERROR(VLOOKUP(DATOS!$I11849,CONFIG_ASIGNATURAS!$B$2:$J$91,9,FALSE()),""))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IF(DATOS!$A11850="",0,IF(CONFIG_METADATA!$B$4&lt;&gt;"OR+EX",--(DATOS!$G11850=CONFIG_METADATA!$B$4),IF(DATOS!$G11850="EX",1,IF(DATOS!$G11850="OR",--(COUNTIFS(nNIA,DATOS!$A11850,nCURSO,DATOS!$D11850,nESPEC,DATOS!$E11850,nASIG,DATOS!$I11850,nEVAL,"EX")=0),0))))</f>
      </c>
      <c r="H11850">
        <f>IF(DATOS!$G11850&lt;&gt;"EX",0,--(COUNTIFS(nNIA,DATOS!$A11850,nCURSO,DATOS!$D11850,nESPEC,DATOS!$E11850,nASIG,DATOS!$I11850,nEVAL,"OR")=0))</f>
      </c>
      <c r="I11850">
        <f>IF(DATOS!$I11850="","",IFERROR(VLOOKUP(DATOS!$I11850,CONFIG_ASIGNATURAS!$B$2:$J$91,9,FALSE()),""))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IF(DATOS!$A11851="",0,IF(CONFIG_METADATA!$B$4&lt;&gt;"OR+EX",--(DATOS!$G11851=CONFIG_METADATA!$B$4),IF(DATOS!$G11851="EX",1,IF(DATOS!$G11851="OR",--(COUNTIFS(nNIA,DATOS!$A11851,nCURSO,DATOS!$D11851,nESPEC,DATOS!$E11851,nASIG,DATOS!$I11851,nEVAL,"EX")=0),0))))</f>
      </c>
      <c r="H11851">
        <f>IF(DATOS!$G11851&lt;&gt;"EX",0,--(COUNTIFS(nNIA,DATOS!$A11851,nCURSO,DATOS!$D11851,nESPEC,DATOS!$E11851,nASIG,DATOS!$I11851,nEVAL,"OR")=0))</f>
      </c>
      <c r="I11851">
        <f>IF(DATOS!$I11851="","",IFERROR(VLOOKUP(DATOS!$I11851,CONFIG_ASIGNATURAS!$B$2:$J$91,9,FALSE()),""))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IF(DATOS!$A11852="",0,IF(CONFIG_METADATA!$B$4&lt;&gt;"OR+EX",--(DATOS!$G11852=CONFIG_METADATA!$B$4),IF(DATOS!$G11852="EX",1,IF(DATOS!$G11852="OR",--(COUNTIFS(nNIA,DATOS!$A11852,nCURSO,DATOS!$D11852,nESPEC,DATOS!$E11852,nASIG,DATOS!$I11852,nEVAL,"EX")=0),0))))</f>
      </c>
      <c r="H11852">
        <f>IF(DATOS!$G11852&lt;&gt;"EX",0,--(COUNTIFS(nNIA,DATOS!$A11852,nCURSO,DATOS!$D11852,nESPEC,DATOS!$E11852,nASIG,DATOS!$I11852,nEVAL,"OR")=0))</f>
      </c>
      <c r="I11852">
        <f>IF(DATOS!$I11852="","",IFERROR(VLOOKUP(DATOS!$I11852,CONFIG_ASIGNATURAS!$B$2:$J$91,9,FALSE()),""))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IF(DATOS!$A11853="",0,IF(CONFIG_METADATA!$B$4&lt;&gt;"OR+EX",--(DATOS!$G11853=CONFIG_METADATA!$B$4),IF(DATOS!$G11853="EX",1,IF(DATOS!$G11853="OR",--(COUNTIFS(nNIA,DATOS!$A11853,nCURSO,DATOS!$D11853,nESPEC,DATOS!$E11853,nASIG,DATOS!$I11853,nEVAL,"EX")=0),0))))</f>
      </c>
      <c r="H11853">
        <f>IF(DATOS!$G11853&lt;&gt;"EX",0,--(COUNTIFS(nNIA,DATOS!$A11853,nCURSO,DATOS!$D11853,nESPEC,DATOS!$E11853,nASIG,DATOS!$I11853,nEVAL,"OR")=0))</f>
      </c>
      <c r="I11853">
        <f>IF(DATOS!$I11853="","",IFERROR(VLOOKUP(DATOS!$I11853,CONFIG_ASIGNATURAS!$B$2:$J$91,9,FALSE()),""))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IF(DATOS!$A11854="",0,IF(CONFIG_METADATA!$B$4&lt;&gt;"OR+EX",--(DATOS!$G11854=CONFIG_METADATA!$B$4),IF(DATOS!$G11854="EX",1,IF(DATOS!$G11854="OR",--(COUNTIFS(nNIA,DATOS!$A11854,nCURSO,DATOS!$D11854,nESPEC,DATOS!$E11854,nASIG,DATOS!$I11854,nEVAL,"EX")=0),0))))</f>
      </c>
      <c r="H11854">
        <f>IF(DATOS!$G11854&lt;&gt;"EX",0,--(COUNTIFS(nNIA,DATOS!$A11854,nCURSO,DATOS!$D11854,nESPEC,DATOS!$E11854,nASIG,DATOS!$I11854,nEVAL,"OR")=0))</f>
      </c>
      <c r="I11854">
        <f>IF(DATOS!$I11854="","",IFERROR(VLOOKUP(DATOS!$I11854,CONFIG_ASIGNATURAS!$B$2:$J$91,9,FALSE()),""))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IF(DATOS!$A11855="",0,IF(CONFIG_METADATA!$B$4&lt;&gt;"OR+EX",--(DATOS!$G11855=CONFIG_METADATA!$B$4),IF(DATOS!$G11855="EX",1,IF(DATOS!$G11855="OR",--(COUNTIFS(nNIA,DATOS!$A11855,nCURSO,DATOS!$D11855,nESPEC,DATOS!$E11855,nASIG,DATOS!$I11855,nEVAL,"EX")=0),0))))</f>
      </c>
      <c r="H11855">
        <f>IF(DATOS!$G11855&lt;&gt;"EX",0,--(COUNTIFS(nNIA,DATOS!$A11855,nCURSO,DATOS!$D11855,nESPEC,DATOS!$E11855,nASIG,DATOS!$I11855,nEVAL,"OR")=0))</f>
      </c>
      <c r="I11855">
        <f>IF(DATOS!$I11855="","",IFERROR(VLOOKUP(DATOS!$I11855,CONFIG_ASIGNATURAS!$B$2:$J$91,9,FALSE()),""))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IF(DATOS!$A11856="",0,IF(CONFIG_METADATA!$B$4&lt;&gt;"OR+EX",--(DATOS!$G11856=CONFIG_METADATA!$B$4),IF(DATOS!$G11856="EX",1,IF(DATOS!$G11856="OR",--(COUNTIFS(nNIA,DATOS!$A11856,nCURSO,DATOS!$D11856,nESPEC,DATOS!$E11856,nASIG,DATOS!$I11856,nEVAL,"EX")=0),0))))</f>
      </c>
      <c r="H11856">
        <f>IF(DATOS!$G11856&lt;&gt;"EX",0,--(COUNTIFS(nNIA,DATOS!$A11856,nCURSO,DATOS!$D11856,nESPEC,DATOS!$E11856,nASIG,DATOS!$I11856,nEVAL,"OR")=0))</f>
      </c>
      <c r="I11856">
        <f>IF(DATOS!$I11856="","",IFERROR(VLOOKUP(DATOS!$I11856,CONFIG_ASIGNATURAS!$B$2:$J$91,9,FALSE()),""))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IF(DATOS!$A11857="",0,IF(CONFIG_METADATA!$B$4&lt;&gt;"OR+EX",--(DATOS!$G11857=CONFIG_METADATA!$B$4),IF(DATOS!$G11857="EX",1,IF(DATOS!$G11857="OR",--(COUNTIFS(nNIA,DATOS!$A11857,nCURSO,DATOS!$D11857,nESPEC,DATOS!$E11857,nASIG,DATOS!$I11857,nEVAL,"EX")=0),0))))</f>
      </c>
      <c r="H11857">
        <f>IF(DATOS!$G11857&lt;&gt;"EX",0,--(COUNTIFS(nNIA,DATOS!$A11857,nCURSO,DATOS!$D11857,nESPEC,DATOS!$E11857,nASIG,DATOS!$I11857,nEVAL,"OR")=0))</f>
      </c>
      <c r="I11857">
        <f>IF(DATOS!$I11857="","",IFERROR(VLOOKUP(DATOS!$I11857,CONFIG_ASIGNATURAS!$B$2:$J$91,9,FALSE()),""))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IF(DATOS!$A11858="",0,IF(CONFIG_METADATA!$B$4&lt;&gt;"OR+EX",--(DATOS!$G11858=CONFIG_METADATA!$B$4),IF(DATOS!$G11858="EX",1,IF(DATOS!$G11858="OR",--(COUNTIFS(nNIA,DATOS!$A11858,nCURSO,DATOS!$D11858,nESPEC,DATOS!$E11858,nASIG,DATOS!$I11858,nEVAL,"EX")=0),0))))</f>
      </c>
      <c r="H11858">
        <f>IF(DATOS!$G11858&lt;&gt;"EX",0,--(COUNTIFS(nNIA,DATOS!$A11858,nCURSO,DATOS!$D11858,nESPEC,DATOS!$E11858,nASIG,DATOS!$I11858,nEVAL,"OR")=0))</f>
      </c>
      <c r="I11858">
        <f>IF(DATOS!$I11858="","",IFERROR(VLOOKUP(DATOS!$I11858,CONFIG_ASIGNATURAS!$B$2:$J$91,9,FALSE()),""))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IF(DATOS!$A11859="",0,IF(CONFIG_METADATA!$B$4&lt;&gt;"OR+EX",--(DATOS!$G11859=CONFIG_METADATA!$B$4),IF(DATOS!$G11859="EX",1,IF(DATOS!$G11859="OR",--(COUNTIFS(nNIA,DATOS!$A11859,nCURSO,DATOS!$D11859,nESPEC,DATOS!$E11859,nASIG,DATOS!$I11859,nEVAL,"EX")=0),0))))</f>
      </c>
      <c r="H11859">
        <f>IF(DATOS!$G11859&lt;&gt;"EX",0,--(COUNTIFS(nNIA,DATOS!$A11859,nCURSO,DATOS!$D11859,nESPEC,DATOS!$E11859,nASIG,DATOS!$I11859,nEVAL,"OR")=0))</f>
      </c>
      <c r="I11859">
        <f>IF(DATOS!$I11859="","",IFERROR(VLOOKUP(DATOS!$I11859,CONFIG_ASIGNATURAS!$B$2:$J$91,9,FALSE()),""))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IF(DATOS!$A11860="",0,IF(CONFIG_METADATA!$B$4&lt;&gt;"OR+EX",--(DATOS!$G11860=CONFIG_METADATA!$B$4),IF(DATOS!$G11860="EX",1,IF(DATOS!$G11860="OR",--(COUNTIFS(nNIA,DATOS!$A11860,nCURSO,DATOS!$D11860,nESPEC,DATOS!$E11860,nASIG,DATOS!$I11860,nEVAL,"EX")=0),0))))</f>
      </c>
      <c r="H11860">
        <f>IF(DATOS!$G11860&lt;&gt;"EX",0,--(COUNTIFS(nNIA,DATOS!$A11860,nCURSO,DATOS!$D11860,nESPEC,DATOS!$E11860,nASIG,DATOS!$I11860,nEVAL,"OR")=0))</f>
      </c>
      <c r="I11860">
        <f>IF(DATOS!$I11860="","",IFERROR(VLOOKUP(DATOS!$I11860,CONFIG_ASIGNATURAS!$B$2:$J$91,9,FALSE()),""))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IF(DATOS!$A11861="",0,IF(CONFIG_METADATA!$B$4&lt;&gt;"OR+EX",--(DATOS!$G11861=CONFIG_METADATA!$B$4),IF(DATOS!$G11861="EX",1,IF(DATOS!$G11861="OR",--(COUNTIFS(nNIA,DATOS!$A11861,nCURSO,DATOS!$D11861,nESPEC,DATOS!$E11861,nASIG,DATOS!$I11861,nEVAL,"EX")=0),0))))</f>
      </c>
      <c r="H11861">
        <f>IF(DATOS!$G11861&lt;&gt;"EX",0,--(COUNTIFS(nNIA,DATOS!$A11861,nCURSO,DATOS!$D11861,nESPEC,DATOS!$E11861,nASIG,DATOS!$I11861,nEVAL,"OR")=0))</f>
      </c>
      <c r="I11861">
        <f>IF(DATOS!$I11861="","",IFERROR(VLOOKUP(DATOS!$I11861,CONFIG_ASIGNATURAS!$B$2:$J$91,9,FALSE()),""))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IF(DATOS!$A11862="",0,IF(CONFIG_METADATA!$B$4&lt;&gt;"OR+EX",--(DATOS!$G11862=CONFIG_METADATA!$B$4),IF(DATOS!$G11862="EX",1,IF(DATOS!$G11862="OR",--(COUNTIFS(nNIA,DATOS!$A11862,nCURSO,DATOS!$D11862,nESPEC,DATOS!$E11862,nASIG,DATOS!$I11862,nEVAL,"EX")=0),0))))</f>
      </c>
      <c r="H11862">
        <f>IF(DATOS!$G11862&lt;&gt;"EX",0,--(COUNTIFS(nNIA,DATOS!$A11862,nCURSO,DATOS!$D11862,nESPEC,DATOS!$E11862,nASIG,DATOS!$I11862,nEVAL,"OR")=0))</f>
      </c>
      <c r="I11862">
        <f>IF(DATOS!$I11862="","",IFERROR(VLOOKUP(DATOS!$I11862,CONFIG_ASIGNATURAS!$B$2:$J$91,9,FALSE()),""))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IF(DATOS!$A11863="",0,IF(CONFIG_METADATA!$B$4&lt;&gt;"OR+EX",--(DATOS!$G11863=CONFIG_METADATA!$B$4),IF(DATOS!$G11863="EX",1,IF(DATOS!$G11863="OR",--(COUNTIFS(nNIA,DATOS!$A11863,nCURSO,DATOS!$D11863,nESPEC,DATOS!$E11863,nASIG,DATOS!$I11863,nEVAL,"EX")=0),0))))</f>
      </c>
      <c r="H11863">
        <f>IF(DATOS!$G11863&lt;&gt;"EX",0,--(COUNTIFS(nNIA,DATOS!$A11863,nCURSO,DATOS!$D11863,nESPEC,DATOS!$E11863,nASIG,DATOS!$I11863,nEVAL,"OR")=0))</f>
      </c>
      <c r="I11863">
        <f>IF(DATOS!$I11863="","",IFERROR(VLOOKUP(DATOS!$I11863,CONFIG_ASIGNATURAS!$B$2:$J$91,9,FALSE()),""))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IF(DATOS!$A11864="",0,IF(CONFIG_METADATA!$B$4&lt;&gt;"OR+EX",--(DATOS!$G11864=CONFIG_METADATA!$B$4),IF(DATOS!$G11864="EX",1,IF(DATOS!$G11864="OR",--(COUNTIFS(nNIA,DATOS!$A11864,nCURSO,DATOS!$D11864,nESPEC,DATOS!$E11864,nASIG,DATOS!$I11864,nEVAL,"EX")=0),0))))</f>
      </c>
      <c r="H11864">
        <f>IF(DATOS!$G11864&lt;&gt;"EX",0,--(COUNTIFS(nNIA,DATOS!$A11864,nCURSO,DATOS!$D11864,nESPEC,DATOS!$E11864,nASIG,DATOS!$I11864,nEVAL,"OR")=0))</f>
      </c>
      <c r="I11864">
        <f>IF(DATOS!$I11864="","",IFERROR(VLOOKUP(DATOS!$I11864,CONFIG_ASIGNATURAS!$B$2:$J$91,9,FALSE()),""))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IF(DATOS!$A11865="",0,IF(CONFIG_METADATA!$B$4&lt;&gt;"OR+EX",--(DATOS!$G11865=CONFIG_METADATA!$B$4),IF(DATOS!$G11865="EX",1,IF(DATOS!$G11865="OR",--(COUNTIFS(nNIA,DATOS!$A11865,nCURSO,DATOS!$D11865,nESPEC,DATOS!$E11865,nASIG,DATOS!$I11865,nEVAL,"EX")=0),0))))</f>
      </c>
      <c r="H11865">
        <f>IF(DATOS!$G11865&lt;&gt;"EX",0,--(COUNTIFS(nNIA,DATOS!$A11865,nCURSO,DATOS!$D11865,nESPEC,DATOS!$E11865,nASIG,DATOS!$I11865,nEVAL,"OR")=0))</f>
      </c>
      <c r="I11865">
        <f>IF(DATOS!$I11865="","",IFERROR(VLOOKUP(DATOS!$I11865,CONFIG_ASIGNATURAS!$B$2:$J$91,9,FALSE()),""))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IF(DATOS!$A11866="",0,IF(CONFIG_METADATA!$B$4&lt;&gt;"OR+EX",--(DATOS!$G11866=CONFIG_METADATA!$B$4),IF(DATOS!$G11866="EX",1,IF(DATOS!$G11866="OR",--(COUNTIFS(nNIA,DATOS!$A11866,nCURSO,DATOS!$D11866,nESPEC,DATOS!$E11866,nASIG,DATOS!$I11866,nEVAL,"EX")=0),0))))</f>
      </c>
      <c r="H11866">
        <f>IF(DATOS!$G11866&lt;&gt;"EX",0,--(COUNTIFS(nNIA,DATOS!$A11866,nCURSO,DATOS!$D11866,nESPEC,DATOS!$E11866,nASIG,DATOS!$I11866,nEVAL,"OR")=0))</f>
      </c>
      <c r="I11866">
        <f>IF(DATOS!$I11866="","",IFERROR(VLOOKUP(DATOS!$I11866,CONFIG_ASIGNATURAS!$B$2:$J$91,9,FALSE()),""))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IF(DATOS!$A11867="",0,IF(CONFIG_METADATA!$B$4&lt;&gt;"OR+EX",--(DATOS!$G11867=CONFIG_METADATA!$B$4),IF(DATOS!$G11867="EX",1,IF(DATOS!$G11867="OR",--(COUNTIFS(nNIA,DATOS!$A11867,nCURSO,DATOS!$D11867,nESPEC,DATOS!$E11867,nASIG,DATOS!$I11867,nEVAL,"EX")=0),0))))</f>
      </c>
      <c r="H11867">
        <f>IF(DATOS!$G11867&lt;&gt;"EX",0,--(COUNTIFS(nNIA,DATOS!$A11867,nCURSO,DATOS!$D11867,nESPEC,DATOS!$E11867,nASIG,DATOS!$I11867,nEVAL,"OR")=0))</f>
      </c>
      <c r="I11867">
        <f>IF(DATOS!$I11867="","",IFERROR(VLOOKUP(DATOS!$I11867,CONFIG_ASIGNATURAS!$B$2:$J$91,9,FALSE()),""))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IF(DATOS!$A11868="",0,IF(CONFIG_METADATA!$B$4&lt;&gt;"OR+EX",--(DATOS!$G11868=CONFIG_METADATA!$B$4),IF(DATOS!$G11868="EX",1,IF(DATOS!$G11868="OR",--(COUNTIFS(nNIA,DATOS!$A11868,nCURSO,DATOS!$D11868,nESPEC,DATOS!$E11868,nASIG,DATOS!$I11868,nEVAL,"EX")=0),0))))</f>
      </c>
      <c r="H11868">
        <f>IF(DATOS!$G11868&lt;&gt;"EX",0,--(COUNTIFS(nNIA,DATOS!$A11868,nCURSO,DATOS!$D11868,nESPEC,DATOS!$E11868,nASIG,DATOS!$I11868,nEVAL,"OR")=0))</f>
      </c>
      <c r="I11868">
        <f>IF(DATOS!$I11868="","",IFERROR(VLOOKUP(DATOS!$I11868,CONFIG_ASIGNATURAS!$B$2:$J$91,9,FALSE()),""))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IF(DATOS!$A11869="",0,IF(CONFIG_METADATA!$B$4&lt;&gt;"OR+EX",--(DATOS!$G11869=CONFIG_METADATA!$B$4),IF(DATOS!$G11869="EX",1,IF(DATOS!$G11869="OR",--(COUNTIFS(nNIA,DATOS!$A11869,nCURSO,DATOS!$D11869,nESPEC,DATOS!$E11869,nASIG,DATOS!$I11869,nEVAL,"EX")=0),0))))</f>
      </c>
      <c r="H11869">
        <f>IF(DATOS!$G11869&lt;&gt;"EX",0,--(COUNTIFS(nNIA,DATOS!$A11869,nCURSO,DATOS!$D11869,nESPEC,DATOS!$E11869,nASIG,DATOS!$I11869,nEVAL,"OR")=0))</f>
      </c>
      <c r="I11869">
        <f>IF(DATOS!$I11869="","",IFERROR(VLOOKUP(DATOS!$I11869,CONFIG_ASIGNATURAS!$B$2:$J$91,9,FALSE()),""))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IF(DATOS!$A11870="",0,IF(CONFIG_METADATA!$B$4&lt;&gt;"OR+EX",--(DATOS!$G11870=CONFIG_METADATA!$B$4),IF(DATOS!$G11870="EX",1,IF(DATOS!$G11870="OR",--(COUNTIFS(nNIA,DATOS!$A11870,nCURSO,DATOS!$D11870,nESPEC,DATOS!$E11870,nASIG,DATOS!$I11870,nEVAL,"EX")=0),0))))</f>
      </c>
      <c r="H11870">
        <f>IF(DATOS!$G11870&lt;&gt;"EX",0,--(COUNTIFS(nNIA,DATOS!$A11870,nCURSO,DATOS!$D11870,nESPEC,DATOS!$E11870,nASIG,DATOS!$I11870,nEVAL,"OR")=0))</f>
      </c>
      <c r="I11870">
        <f>IF(DATOS!$I11870="","",IFERROR(VLOOKUP(DATOS!$I11870,CONFIG_ASIGNATURAS!$B$2:$J$91,9,FALSE()),""))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IF(DATOS!$A11871="",0,IF(CONFIG_METADATA!$B$4&lt;&gt;"OR+EX",--(DATOS!$G11871=CONFIG_METADATA!$B$4),IF(DATOS!$G11871="EX",1,IF(DATOS!$G11871="OR",--(COUNTIFS(nNIA,DATOS!$A11871,nCURSO,DATOS!$D11871,nESPEC,DATOS!$E11871,nASIG,DATOS!$I11871,nEVAL,"EX")=0),0))))</f>
      </c>
      <c r="H11871">
        <f>IF(DATOS!$G11871&lt;&gt;"EX",0,--(COUNTIFS(nNIA,DATOS!$A11871,nCURSO,DATOS!$D11871,nESPEC,DATOS!$E11871,nASIG,DATOS!$I11871,nEVAL,"OR")=0))</f>
      </c>
      <c r="I11871">
        <f>IF(DATOS!$I11871="","",IFERROR(VLOOKUP(DATOS!$I11871,CONFIG_ASIGNATURAS!$B$2:$J$91,9,FALSE()),""))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IF(DATOS!$A11872="",0,IF(CONFIG_METADATA!$B$4&lt;&gt;"OR+EX",--(DATOS!$G11872=CONFIG_METADATA!$B$4),IF(DATOS!$G11872="EX",1,IF(DATOS!$G11872="OR",--(COUNTIFS(nNIA,DATOS!$A11872,nCURSO,DATOS!$D11872,nESPEC,DATOS!$E11872,nASIG,DATOS!$I11872,nEVAL,"EX")=0),0))))</f>
      </c>
      <c r="H11872">
        <f>IF(DATOS!$G11872&lt;&gt;"EX",0,--(COUNTIFS(nNIA,DATOS!$A11872,nCURSO,DATOS!$D11872,nESPEC,DATOS!$E11872,nASIG,DATOS!$I11872,nEVAL,"OR")=0))</f>
      </c>
      <c r="I11872">
        <f>IF(DATOS!$I11872="","",IFERROR(VLOOKUP(DATOS!$I11872,CONFIG_ASIGNATURAS!$B$2:$J$91,9,FALSE()),""))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IF(DATOS!$A11873="",0,IF(CONFIG_METADATA!$B$4&lt;&gt;"OR+EX",--(DATOS!$G11873=CONFIG_METADATA!$B$4),IF(DATOS!$G11873="EX",1,IF(DATOS!$G11873="OR",--(COUNTIFS(nNIA,DATOS!$A11873,nCURSO,DATOS!$D11873,nESPEC,DATOS!$E11873,nASIG,DATOS!$I11873,nEVAL,"EX")=0),0))))</f>
      </c>
      <c r="H11873">
        <f>IF(DATOS!$G11873&lt;&gt;"EX",0,--(COUNTIFS(nNIA,DATOS!$A11873,nCURSO,DATOS!$D11873,nESPEC,DATOS!$E11873,nASIG,DATOS!$I11873,nEVAL,"OR")=0))</f>
      </c>
      <c r="I11873">
        <f>IF(DATOS!$I11873="","",IFERROR(VLOOKUP(DATOS!$I11873,CONFIG_ASIGNATURAS!$B$2:$J$91,9,FALSE()),""))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IF(DATOS!$A11874="",0,IF(CONFIG_METADATA!$B$4&lt;&gt;"OR+EX",--(DATOS!$G11874=CONFIG_METADATA!$B$4),IF(DATOS!$G11874="EX",1,IF(DATOS!$G11874="OR",--(COUNTIFS(nNIA,DATOS!$A11874,nCURSO,DATOS!$D11874,nESPEC,DATOS!$E11874,nASIG,DATOS!$I11874,nEVAL,"EX")=0),0))))</f>
      </c>
      <c r="H11874">
        <f>IF(DATOS!$G11874&lt;&gt;"EX",0,--(COUNTIFS(nNIA,DATOS!$A11874,nCURSO,DATOS!$D11874,nESPEC,DATOS!$E11874,nASIG,DATOS!$I11874,nEVAL,"OR")=0))</f>
      </c>
      <c r="I11874">
        <f>IF(DATOS!$I11874="","",IFERROR(VLOOKUP(DATOS!$I11874,CONFIG_ASIGNATURAS!$B$2:$J$91,9,FALSE()),""))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IF(DATOS!$A11875="",0,IF(CONFIG_METADATA!$B$4&lt;&gt;"OR+EX",--(DATOS!$G11875=CONFIG_METADATA!$B$4),IF(DATOS!$G11875="EX",1,IF(DATOS!$G11875="OR",--(COUNTIFS(nNIA,DATOS!$A11875,nCURSO,DATOS!$D11875,nESPEC,DATOS!$E11875,nASIG,DATOS!$I11875,nEVAL,"EX")=0),0))))</f>
      </c>
      <c r="H11875">
        <f>IF(DATOS!$G11875&lt;&gt;"EX",0,--(COUNTIFS(nNIA,DATOS!$A11875,nCURSO,DATOS!$D11875,nESPEC,DATOS!$E11875,nASIG,DATOS!$I11875,nEVAL,"OR")=0))</f>
      </c>
      <c r="I11875">
        <f>IF(DATOS!$I11875="","",IFERROR(VLOOKUP(DATOS!$I11875,CONFIG_ASIGNATURAS!$B$2:$J$91,9,FALSE()),""))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IF(DATOS!$A11876="",0,IF(CONFIG_METADATA!$B$4&lt;&gt;"OR+EX",--(DATOS!$G11876=CONFIG_METADATA!$B$4),IF(DATOS!$G11876="EX",1,IF(DATOS!$G11876="OR",--(COUNTIFS(nNIA,DATOS!$A11876,nCURSO,DATOS!$D11876,nESPEC,DATOS!$E11876,nASIG,DATOS!$I11876,nEVAL,"EX")=0),0))))</f>
      </c>
      <c r="H11876">
        <f>IF(DATOS!$G11876&lt;&gt;"EX",0,--(COUNTIFS(nNIA,DATOS!$A11876,nCURSO,DATOS!$D11876,nESPEC,DATOS!$E11876,nASIG,DATOS!$I11876,nEVAL,"OR")=0))</f>
      </c>
      <c r="I11876">
        <f>IF(DATOS!$I11876="","",IFERROR(VLOOKUP(DATOS!$I11876,CONFIG_ASIGNATURAS!$B$2:$J$91,9,FALSE()),""))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IF(DATOS!$A11877="",0,IF(CONFIG_METADATA!$B$4&lt;&gt;"OR+EX",--(DATOS!$G11877=CONFIG_METADATA!$B$4),IF(DATOS!$G11877="EX",1,IF(DATOS!$G11877="OR",--(COUNTIFS(nNIA,DATOS!$A11877,nCURSO,DATOS!$D11877,nESPEC,DATOS!$E11877,nASIG,DATOS!$I11877,nEVAL,"EX")=0),0))))</f>
      </c>
      <c r="H11877">
        <f>IF(DATOS!$G11877&lt;&gt;"EX",0,--(COUNTIFS(nNIA,DATOS!$A11877,nCURSO,DATOS!$D11877,nESPEC,DATOS!$E11877,nASIG,DATOS!$I11877,nEVAL,"OR")=0))</f>
      </c>
      <c r="I11877">
        <f>IF(DATOS!$I11877="","",IFERROR(VLOOKUP(DATOS!$I11877,CONFIG_ASIGNATURAS!$B$2:$J$91,9,FALSE()),""))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IF(DATOS!$A11878="",0,IF(CONFIG_METADATA!$B$4&lt;&gt;"OR+EX",--(DATOS!$G11878=CONFIG_METADATA!$B$4),IF(DATOS!$G11878="EX",1,IF(DATOS!$G11878="OR",--(COUNTIFS(nNIA,DATOS!$A11878,nCURSO,DATOS!$D11878,nESPEC,DATOS!$E11878,nASIG,DATOS!$I11878,nEVAL,"EX")=0),0))))</f>
      </c>
      <c r="H11878">
        <f>IF(DATOS!$G11878&lt;&gt;"EX",0,--(COUNTIFS(nNIA,DATOS!$A11878,nCURSO,DATOS!$D11878,nESPEC,DATOS!$E11878,nASIG,DATOS!$I11878,nEVAL,"OR")=0))</f>
      </c>
      <c r="I11878">
        <f>IF(DATOS!$I11878="","",IFERROR(VLOOKUP(DATOS!$I11878,CONFIG_ASIGNATURAS!$B$2:$J$91,9,FALSE()),""))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IF(DATOS!$A11879="",0,IF(CONFIG_METADATA!$B$4&lt;&gt;"OR+EX",--(DATOS!$G11879=CONFIG_METADATA!$B$4),IF(DATOS!$G11879="EX",1,IF(DATOS!$G11879="OR",--(COUNTIFS(nNIA,DATOS!$A11879,nCURSO,DATOS!$D11879,nESPEC,DATOS!$E11879,nASIG,DATOS!$I11879,nEVAL,"EX")=0),0))))</f>
      </c>
      <c r="H11879">
        <f>IF(DATOS!$G11879&lt;&gt;"EX",0,--(COUNTIFS(nNIA,DATOS!$A11879,nCURSO,DATOS!$D11879,nESPEC,DATOS!$E11879,nASIG,DATOS!$I11879,nEVAL,"OR")=0))</f>
      </c>
      <c r="I11879">
        <f>IF(DATOS!$I11879="","",IFERROR(VLOOKUP(DATOS!$I11879,CONFIG_ASIGNATURAS!$B$2:$J$91,9,FALSE()),""))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IF(DATOS!$A11880="",0,IF(CONFIG_METADATA!$B$4&lt;&gt;"OR+EX",--(DATOS!$G11880=CONFIG_METADATA!$B$4),IF(DATOS!$G11880="EX",1,IF(DATOS!$G11880="OR",--(COUNTIFS(nNIA,DATOS!$A11880,nCURSO,DATOS!$D11880,nESPEC,DATOS!$E11880,nASIG,DATOS!$I11880,nEVAL,"EX")=0),0))))</f>
      </c>
      <c r="H11880">
        <f>IF(DATOS!$G11880&lt;&gt;"EX",0,--(COUNTIFS(nNIA,DATOS!$A11880,nCURSO,DATOS!$D11880,nESPEC,DATOS!$E11880,nASIG,DATOS!$I11880,nEVAL,"OR")=0))</f>
      </c>
      <c r="I11880">
        <f>IF(DATOS!$I11880="","",IFERROR(VLOOKUP(DATOS!$I11880,CONFIG_ASIGNATURAS!$B$2:$J$91,9,FALSE()),""))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IF(DATOS!$A11881="",0,IF(CONFIG_METADATA!$B$4&lt;&gt;"OR+EX",--(DATOS!$G11881=CONFIG_METADATA!$B$4),IF(DATOS!$G11881="EX",1,IF(DATOS!$G11881="OR",--(COUNTIFS(nNIA,DATOS!$A11881,nCURSO,DATOS!$D11881,nESPEC,DATOS!$E11881,nASIG,DATOS!$I11881,nEVAL,"EX")=0),0))))</f>
      </c>
      <c r="H11881">
        <f>IF(DATOS!$G11881&lt;&gt;"EX",0,--(COUNTIFS(nNIA,DATOS!$A11881,nCURSO,DATOS!$D11881,nESPEC,DATOS!$E11881,nASIG,DATOS!$I11881,nEVAL,"OR")=0))</f>
      </c>
      <c r="I11881">
        <f>IF(DATOS!$I11881="","",IFERROR(VLOOKUP(DATOS!$I11881,CONFIG_ASIGNATURAS!$B$2:$J$91,9,FALSE()),""))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IF(DATOS!$A11882="",0,IF(CONFIG_METADATA!$B$4&lt;&gt;"OR+EX",--(DATOS!$G11882=CONFIG_METADATA!$B$4),IF(DATOS!$G11882="EX",1,IF(DATOS!$G11882="OR",--(COUNTIFS(nNIA,DATOS!$A11882,nCURSO,DATOS!$D11882,nESPEC,DATOS!$E11882,nASIG,DATOS!$I11882,nEVAL,"EX")=0),0))))</f>
      </c>
      <c r="H11882">
        <f>IF(DATOS!$G11882&lt;&gt;"EX",0,--(COUNTIFS(nNIA,DATOS!$A11882,nCURSO,DATOS!$D11882,nESPEC,DATOS!$E11882,nASIG,DATOS!$I11882,nEVAL,"OR")=0))</f>
      </c>
      <c r="I11882">
        <f>IF(DATOS!$I11882="","",IFERROR(VLOOKUP(DATOS!$I11882,CONFIG_ASIGNATURAS!$B$2:$J$91,9,FALSE()),""))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IF(DATOS!$A11883="",0,IF(CONFIG_METADATA!$B$4&lt;&gt;"OR+EX",--(DATOS!$G11883=CONFIG_METADATA!$B$4),IF(DATOS!$G11883="EX",1,IF(DATOS!$G11883="OR",--(COUNTIFS(nNIA,DATOS!$A11883,nCURSO,DATOS!$D11883,nESPEC,DATOS!$E11883,nASIG,DATOS!$I11883,nEVAL,"EX")=0),0))))</f>
      </c>
      <c r="H11883">
        <f>IF(DATOS!$G11883&lt;&gt;"EX",0,--(COUNTIFS(nNIA,DATOS!$A11883,nCURSO,DATOS!$D11883,nESPEC,DATOS!$E11883,nASIG,DATOS!$I11883,nEVAL,"OR")=0))</f>
      </c>
      <c r="I11883">
        <f>IF(DATOS!$I11883="","",IFERROR(VLOOKUP(DATOS!$I11883,CONFIG_ASIGNATURAS!$B$2:$J$91,9,FALSE()),""))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IF(DATOS!$A11884="",0,IF(CONFIG_METADATA!$B$4&lt;&gt;"OR+EX",--(DATOS!$G11884=CONFIG_METADATA!$B$4),IF(DATOS!$G11884="EX",1,IF(DATOS!$G11884="OR",--(COUNTIFS(nNIA,DATOS!$A11884,nCURSO,DATOS!$D11884,nESPEC,DATOS!$E11884,nASIG,DATOS!$I11884,nEVAL,"EX")=0),0))))</f>
      </c>
      <c r="H11884">
        <f>IF(DATOS!$G11884&lt;&gt;"EX",0,--(COUNTIFS(nNIA,DATOS!$A11884,nCURSO,DATOS!$D11884,nESPEC,DATOS!$E11884,nASIG,DATOS!$I11884,nEVAL,"OR")=0))</f>
      </c>
      <c r="I11884">
        <f>IF(DATOS!$I11884="","",IFERROR(VLOOKUP(DATOS!$I11884,CONFIG_ASIGNATURAS!$B$2:$J$91,9,FALSE()),""))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IF(DATOS!$A11885="",0,IF(CONFIG_METADATA!$B$4&lt;&gt;"OR+EX",--(DATOS!$G11885=CONFIG_METADATA!$B$4),IF(DATOS!$G11885="EX",1,IF(DATOS!$G11885="OR",--(COUNTIFS(nNIA,DATOS!$A11885,nCURSO,DATOS!$D11885,nESPEC,DATOS!$E11885,nASIG,DATOS!$I11885,nEVAL,"EX")=0),0))))</f>
      </c>
      <c r="H11885">
        <f>IF(DATOS!$G11885&lt;&gt;"EX",0,--(COUNTIFS(nNIA,DATOS!$A11885,nCURSO,DATOS!$D11885,nESPEC,DATOS!$E11885,nASIG,DATOS!$I11885,nEVAL,"OR")=0))</f>
      </c>
      <c r="I11885">
        <f>IF(DATOS!$I11885="","",IFERROR(VLOOKUP(DATOS!$I11885,CONFIG_ASIGNATURAS!$B$2:$J$91,9,FALSE()),""))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IF(DATOS!$A11886="",0,IF(CONFIG_METADATA!$B$4&lt;&gt;"OR+EX",--(DATOS!$G11886=CONFIG_METADATA!$B$4),IF(DATOS!$G11886="EX",1,IF(DATOS!$G11886="OR",--(COUNTIFS(nNIA,DATOS!$A11886,nCURSO,DATOS!$D11886,nESPEC,DATOS!$E11886,nASIG,DATOS!$I11886,nEVAL,"EX")=0),0))))</f>
      </c>
      <c r="H11886">
        <f>IF(DATOS!$G11886&lt;&gt;"EX",0,--(COUNTIFS(nNIA,DATOS!$A11886,nCURSO,DATOS!$D11886,nESPEC,DATOS!$E11886,nASIG,DATOS!$I11886,nEVAL,"OR")=0))</f>
      </c>
      <c r="I11886">
        <f>IF(DATOS!$I11886="","",IFERROR(VLOOKUP(DATOS!$I11886,CONFIG_ASIGNATURAS!$B$2:$J$91,9,FALSE()),""))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IF(DATOS!$A11887="",0,IF(CONFIG_METADATA!$B$4&lt;&gt;"OR+EX",--(DATOS!$G11887=CONFIG_METADATA!$B$4),IF(DATOS!$G11887="EX",1,IF(DATOS!$G11887="OR",--(COUNTIFS(nNIA,DATOS!$A11887,nCURSO,DATOS!$D11887,nESPEC,DATOS!$E11887,nASIG,DATOS!$I11887,nEVAL,"EX")=0),0))))</f>
      </c>
      <c r="H11887">
        <f>IF(DATOS!$G11887&lt;&gt;"EX",0,--(COUNTIFS(nNIA,DATOS!$A11887,nCURSO,DATOS!$D11887,nESPEC,DATOS!$E11887,nASIG,DATOS!$I11887,nEVAL,"OR")=0))</f>
      </c>
      <c r="I11887">
        <f>IF(DATOS!$I11887="","",IFERROR(VLOOKUP(DATOS!$I11887,CONFIG_ASIGNATURAS!$B$2:$J$91,9,FALSE()),""))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IF(DATOS!$A11888="",0,IF(CONFIG_METADATA!$B$4&lt;&gt;"OR+EX",--(DATOS!$G11888=CONFIG_METADATA!$B$4),IF(DATOS!$G11888="EX",1,IF(DATOS!$G11888="OR",--(COUNTIFS(nNIA,DATOS!$A11888,nCURSO,DATOS!$D11888,nESPEC,DATOS!$E11888,nASIG,DATOS!$I11888,nEVAL,"EX")=0),0))))</f>
      </c>
      <c r="H11888">
        <f>IF(DATOS!$G11888&lt;&gt;"EX",0,--(COUNTIFS(nNIA,DATOS!$A11888,nCURSO,DATOS!$D11888,nESPEC,DATOS!$E11888,nASIG,DATOS!$I11888,nEVAL,"OR")=0))</f>
      </c>
      <c r="I11888">
        <f>IF(DATOS!$I11888="","",IFERROR(VLOOKUP(DATOS!$I11888,CONFIG_ASIGNATURAS!$B$2:$J$91,9,FALSE()),""))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IF(DATOS!$A11889="",0,IF(CONFIG_METADATA!$B$4&lt;&gt;"OR+EX",--(DATOS!$G11889=CONFIG_METADATA!$B$4),IF(DATOS!$G11889="EX",1,IF(DATOS!$G11889="OR",--(COUNTIFS(nNIA,DATOS!$A11889,nCURSO,DATOS!$D11889,nESPEC,DATOS!$E11889,nASIG,DATOS!$I11889,nEVAL,"EX")=0),0))))</f>
      </c>
      <c r="H11889">
        <f>IF(DATOS!$G11889&lt;&gt;"EX",0,--(COUNTIFS(nNIA,DATOS!$A11889,nCURSO,DATOS!$D11889,nESPEC,DATOS!$E11889,nASIG,DATOS!$I11889,nEVAL,"OR")=0))</f>
      </c>
      <c r="I11889">
        <f>IF(DATOS!$I11889="","",IFERROR(VLOOKUP(DATOS!$I11889,CONFIG_ASIGNATURAS!$B$2:$J$91,9,FALSE()),""))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IF(DATOS!$A11890="",0,IF(CONFIG_METADATA!$B$4&lt;&gt;"OR+EX",--(DATOS!$G11890=CONFIG_METADATA!$B$4),IF(DATOS!$G11890="EX",1,IF(DATOS!$G11890="OR",--(COUNTIFS(nNIA,DATOS!$A11890,nCURSO,DATOS!$D11890,nESPEC,DATOS!$E11890,nASIG,DATOS!$I11890,nEVAL,"EX")=0),0))))</f>
      </c>
      <c r="H11890">
        <f>IF(DATOS!$G11890&lt;&gt;"EX",0,--(COUNTIFS(nNIA,DATOS!$A11890,nCURSO,DATOS!$D11890,nESPEC,DATOS!$E11890,nASIG,DATOS!$I11890,nEVAL,"OR")=0))</f>
      </c>
      <c r="I11890">
        <f>IF(DATOS!$I11890="","",IFERROR(VLOOKUP(DATOS!$I11890,CONFIG_ASIGNATURAS!$B$2:$J$91,9,FALSE()),""))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IF(DATOS!$A11891="",0,IF(CONFIG_METADATA!$B$4&lt;&gt;"OR+EX",--(DATOS!$G11891=CONFIG_METADATA!$B$4),IF(DATOS!$G11891="EX",1,IF(DATOS!$G11891="OR",--(COUNTIFS(nNIA,DATOS!$A11891,nCURSO,DATOS!$D11891,nESPEC,DATOS!$E11891,nASIG,DATOS!$I11891,nEVAL,"EX")=0),0))))</f>
      </c>
      <c r="H11891">
        <f>IF(DATOS!$G11891&lt;&gt;"EX",0,--(COUNTIFS(nNIA,DATOS!$A11891,nCURSO,DATOS!$D11891,nESPEC,DATOS!$E11891,nASIG,DATOS!$I11891,nEVAL,"OR")=0))</f>
      </c>
      <c r="I11891">
        <f>IF(DATOS!$I11891="","",IFERROR(VLOOKUP(DATOS!$I11891,CONFIG_ASIGNATURAS!$B$2:$J$91,9,FALSE()),""))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IF(DATOS!$A11892="",0,IF(CONFIG_METADATA!$B$4&lt;&gt;"OR+EX",--(DATOS!$G11892=CONFIG_METADATA!$B$4),IF(DATOS!$G11892="EX",1,IF(DATOS!$G11892="OR",--(COUNTIFS(nNIA,DATOS!$A11892,nCURSO,DATOS!$D11892,nESPEC,DATOS!$E11892,nASIG,DATOS!$I11892,nEVAL,"EX")=0),0))))</f>
      </c>
      <c r="H11892">
        <f>IF(DATOS!$G11892&lt;&gt;"EX",0,--(COUNTIFS(nNIA,DATOS!$A11892,nCURSO,DATOS!$D11892,nESPEC,DATOS!$E11892,nASIG,DATOS!$I11892,nEVAL,"OR")=0))</f>
      </c>
      <c r="I11892">
        <f>IF(DATOS!$I11892="","",IFERROR(VLOOKUP(DATOS!$I11892,CONFIG_ASIGNATURAS!$B$2:$J$91,9,FALSE()),""))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IF(DATOS!$A11893="",0,IF(CONFIG_METADATA!$B$4&lt;&gt;"OR+EX",--(DATOS!$G11893=CONFIG_METADATA!$B$4),IF(DATOS!$G11893="EX",1,IF(DATOS!$G11893="OR",--(COUNTIFS(nNIA,DATOS!$A11893,nCURSO,DATOS!$D11893,nESPEC,DATOS!$E11893,nASIG,DATOS!$I11893,nEVAL,"EX")=0),0))))</f>
      </c>
      <c r="H11893">
        <f>IF(DATOS!$G11893&lt;&gt;"EX",0,--(COUNTIFS(nNIA,DATOS!$A11893,nCURSO,DATOS!$D11893,nESPEC,DATOS!$E11893,nASIG,DATOS!$I11893,nEVAL,"OR")=0))</f>
      </c>
      <c r="I11893">
        <f>IF(DATOS!$I11893="","",IFERROR(VLOOKUP(DATOS!$I11893,CONFIG_ASIGNATURAS!$B$2:$J$91,9,FALSE()),""))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IF(DATOS!$A11894="",0,IF(CONFIG_METADATA!$B$4&lt;&gt;"OR+EX",--(DATOS!$G11894=CONFIG_METADATA!$B$4),IF(DATOS!$G11894="EX",1,IF(DATOS!$G11894="OR",--(COUNTIFS(nNIA,DATOS!$A11894,nCURSO,DATOS!$D11894,nESPEC,DATOS!$E11894,nASIG,DATOS!$I11894,nEVAL,"EX")=0),0))))</f>
      </c>
      <c r="H11894">
        <f>IF(DATOS!$G11894&lt;&gt;"EX",0,--(COUNTIFS(nNIA,DATOS!$A11894,nCURSO,DATOS!$D11894,nESPEC,DATOS!$E11894,nASIG,DATOS!$I11894,nEVAL,"OR")=0))</f>
      </c>
      <c r="I11894">
        <f>IF(DATOS!$I11894="","",IFERROR(VLOOKUP(DATOS!$I11894,CONFIG_ASIGNATURAS!$B$2:$J$91,9,FALSE()),""))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IF(DATOS!$A11895="",0,IF(CONFIG_METADATA!$B$4&lt;&gt;"OR+EX",--(DATOS!$G11895=CONFIG_METADATA!$B$4),IF(DATOS!$G11895="EX",1,IF(DATOS!$G11895="OR",--(COUNTIFS(nNIA,DATOS!$A11895,nCURSO,DATOS!$D11895,nESPEC,DATOS!$E11895,nASIG,DATOS!$I11895,nEVAL,"EX")=0),0))))</f>
      </c>
      <c r="H11895">
        <f>IF(DATOS!$G11895&lt;&gt;"EX",0,--(COUNTIFS(nNIA,DATOS!$A11895,nCURSO,DATOS!$D11895,nESPEC,DATOS!$E11895,nASIG,DATOS!$I11895,nEVAL,"OR")=0))</f>
      </c>
      <c r="I11895">
        <f>IF(DATOS!$I11895="","",IFERROR(VLOOKUP(DATOS!$I11895,CONFIG_ASIGNATURAS!$B$2:$J$91,9,FALSE()),""))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IF(DATOS!$A11896="",0,IF(CONFIG_METADATA!$B$4&lt;&gt;"OR+EX",--(DATOS!$G11896=CONFIG_METADATA!$B$4),IF(DATOS!$G11896="EX",1,IF(DATOS!$G11896="OR",--(COUNTIFS(nNIA,DATOS!$A11896,nCURSO,DATOS!$D11896,nESPEC,DATOS!$E11896,nASIG,DATOS!$I11896,nEVAL,"EX")=0),0))))</f>
      </c>
      <c r="H11896">
        <f>IF(DATOS!$G11896&lt;&gt;"EX",0,--(COUNTIFS(nNIA,DATOS!$A11896,nCURSO,DATOS!$D11896,nESPEC,DATOS!$E11896,nASIG,DATOS!$I11896,nEVAL,"OR")=0))</f>
      </c>
      <c r="I11896">
        <f>IF(DATOS!$I11896="","",IFERROR(VLOOKUP(DATOS!$I11896,CONFIG_ASIGNATURAS!$B$2:$J$91,9,FALSE()),""))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IF(DATOS!$A11897="",0,IF(CONFIG_METADATA!$B$4&lt;&gt;"OR+EX",--(DATOS!$G11897=CONFIG_METADATA!$B$4),IF(DATOS!$G11897="EX",1,IF(DATOS!$G11897="OR",--(COUNTIFS(nNIA,DATOS!$A11897,nCURSO,DATOS!$D11897,nESPEC,DATOS!$E11897,nASIG,DATOS!$I11897,nEVAL,"EX")=0),0))))</f>
      </c>
      <c r="H11897">
        <f>IF(DATOS!$G11897&lt;&gt;"EX",0,--(COUNTIFS(nNIA,DATOS!$A11897,nCURSO,DATOS!$D11897,nESPEC,DATOS!$E11897,nASIG,DATOS!$I11897,nEVAL,"OR")=0))</f>
      </c>
      <c r="I11897">
        <f>IF(DATOS!$I11897="","",IFERROR(VLOOKUP(DATOS!$I11897,CONFIG_ASIGNATURAS!$B$2:$J$91,9,FALSE()),""))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IF(DATOS!$A11898="",0,IF(CONFIG_METADATA!$B$4&lt;&gt;"OR+EX",--(DATOS!$G11898=CONFIG_METADATA!$B$4),IF(DATOS!$G11898="EX",1,IF(DATOS!$G11898="OR",--(COUNTIFS(nNIA,DATOS!$A11898,nCURSO,DATOS!$D11898,nESPEC,DATOS!$E11898,nASIG,DATOS!$I11898,nEVAL,"EX")=0),0))))</f>
      </c>
      <c r="H11898">
        <f>IF(DATOS!$G11898&lt;&gt;"EX",0,--(COUNTIFS(nNIA,DATOS!$A11898,nCURSO,DATOS!$D11898,nESPEC,DATOS!$E11898,nASIG,DATOS!$I11898,nEVAL,"OR")=0))</f>
      </c>
      <c r="I11898">
        <f>IF(DATOS!$I11898="","",IFERROR(VLOOKUP(DATOS!$I11898,CONFIG_ASIGNATURAS!$B$2:$J$91,9,FALSE()),""))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IF(DATOS!$A11899="",0,IF(CONFIG_METADATA!$B$4&lt;&gt;"OR+EX",--(DATOS!$G11899=CONFIG_METADATA!$B$4),IF(DATOS!$G11899="EX",1,IF(DATOS!$G11899="OR",--(COUNTIFS(nNIA,DATOS!$A11899,nCURSO,DATOS!$D11899,nESPEC,DATOS!$E11899,nASIG,DATOS!$I11899,nEVAL,"EX")=0),0))))</f>
      </c>
      <c r="H11899">
        <f>IF(DATOS!$G11899&lt;&gt;"EX",0,--(COUNTIFS(nNIA,DATOS!$A11899,nCURSO,DATOS!$D11899,nESPEC,DATOS!$E11899,nASIG,DATOS!$I11899,nEVAL,"OR")=0))</f>
      </c>
      <c r="I11899">
        <f>IF(DATOS!$I11899="","",IFERROR(VLOOKUP(DATOS!$I11899,CONFIG_ASIGNATURAS!$B$2:$J$91,9,FALSE()),""))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IF(DATOS!$A11900="",0,IF(CONFIG_METADATA!$B$4&lt;&gt;"OR+EX",--(DATOS!$G11900=CONFIG_METADATA!$B$4),IF(DATOS!$G11900="EX",1,IF(DATOS!$G11900="OR",--(COUNTIFS(nNIA,DATOS!$A11900,nCURSO,DATOS!$D11900,nESPEC,DATOS!$E11900,nASIG,DATOS!$I11900,nEVAL,"EX")=0),0))))</f>
      </c>
      <c r="H11900">
        <f>IF(DATOS!$G11900&lt;&gt;"EX",0,--(COUNTIFS(nNIA,DATOS!$A11900,nCURSO,DATOS!$D11900,nESPEC,DATOS!$E11900,nASIG,DATOS!$I11900,nEVAL,"OR")=0))</f>
      </c>
      <c r="I11900">
        <f>IF(DATOS!$I11900="","",IFERROR(VLOOKUP(DATOS!$I11900,CONFIG_ASIGNATURAS!$B$2:$J$91,9,FALSE()),""))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IF(DATOS!$A11901="",0,IF(CONFIG_METADATA!$B$4&lt;&gt;"OR+EX",--(DATOS!$G11901=CONFIG_METADATA!$B$4),IF(DATOS!$G11901="EX",1,IF(DATOS!$G11901="OR",--(COUNTIFS(nNIA,DATOS!$A11901,nCURSO,DATOS!$D11901,nESPEC,DATOS!$E11901,nASIG,DATOS!$I11901,nEVAL,"EX")=0),0))))</f>
      </c>
      <c r="H11901">
        <f>IF(DATOS!$G11901&lt;&gt;"EX",0,--(COUNTIFS(nNIA,DATOS!$A11901,nCURSO,DATOS!$D11901,nESPEC,DATOS!$E11901,nASIG,DATOS!$I11901,nEVAL,"OR")=0))</f>
      </c>
      <c r="I11901">
        <f>IF(DATOS!$I11901="","",IFERROR(VLOOKUP(DATOS!$I11901,CONFIG_ASIGNATURAS!$B$2:$J$91,9,FALSE()),""))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IF(DATOS!$A11902="",0,IF(CONFIG_METADATA!$B$4&lt;&gt;"OR+EX",--(DATOS!$G11902=CONFIG_METADATA!$B$4),IF(DATOS!$G11902="EX",1,IF(DATOS!$G11902="OR",--(COUNTIFS(nNIA,DATOS!$A11902,nCURSO,DATOS!$D11902,nESPEC,DATOS!$E11902,nASIG,DATOS!$I11902,nEVAL,"EX")=0),0))))</f>
      </c>
      <c r="H11902">
        <f>IF(DATOS!$G11902&lt;&gt;"EX",0,--(COUNTIFS(nNIA,DATOS!$A11902,nCURSO,DATOS!$D11902,nESPEC,DATOS!$E11902,nASIG,DATOS!$I11902,nEVAL,"OR")=0))</f>
      </c>
      <c r="I11902">
        <f>IF(DATOS!$I11902="","",IFERROR(VLOOKUP(DATOS!$I11902,CONFIG_ASIGNATURAS!$B$2:$J$91,9,FALSE()),""))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IF(DATOS!$A11903="",0,IF(CONFIG_METADATA!$B$4&lt;&gt;"OR+EX",--(DATOS!$G11903=CONFIG_METADATA!$B$4),IF(DATOS!$G11903="EX",1,IF(DATOS!$G11903="OR",--(COUNTIFS(nNIA,DATOS!$A11903,nCURSO,DATOS!$D11903,nESPEC,DATOS!$E11903,nASIG,DATOS!$I11903,nEVAL,"EX")=0),0))))</f>
      </c>
      <c r="H11903">
        <f>IF(DATOS!$G11903&lt;&gt;"EX",0,--(COUNTIFS(nNIA,DATOS!$A11903,nCURSO,DATOS!$D11903,nESPEC,DATOS!$E11903,nASIG,DATOS!$I11903,nEVAL,"OR")=0))</f>
      </c>
      <c r="I11903">
        <f>IF(DATOS!$I11903="","",IFERROR(VLOOKUP(DATOS!$I11903,CONFIG_ASIGNATURAS!$B$2:$J$91,9,FALSE()),""))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IF(DATOS!$A11904="",0,IF(CONFIG_METADATA!$B$4&lt;&gt;"OR+EX",--(DATOS!$G11904=CONFIG_METADATA!$B$4),IF(DATOS!$G11904="EX",1,IF(DATOS!$G11904="OR",--(COUNTIFS(nNIA,DATOS!$A11904,nCURSO,DATOS!$D11904,nESPEC,DATOS!$E11904,nASIG,DATOS!$I11904,nEVAL,"EX")=0),0))))</f>
      </c>
      <c r="H11904">
        <f>IF(DATOS!$G11904&lt;&gt;"EX",0,--(COUNTIFS(nNIA,DATOS!$A11904,nCURSO,DATOS!$D11904,nESPEC,DATOS!$E11904,nASIG,DATOS!$I11904,nEVAL,"OR")=0))</f>
      </c>
      <c r="I11904">
        <f>IF(DATOS!$I11904="","",IFERROR(VLOOKUP(DATOS!$I11904,CONFIG_ASIGNATURAS!$B$2:$J$91,9,FALSE()),""))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IF(DATOS!$A11905="",0,IF(CONFIG_METADATA!$B$4&lt;&gt;"OR+EX",--(DATOS!$G11905=CONFIG_METADATA!$B$4),IF(DATOS!$G11905="EX",1,IF(DATOS!$G11905="OR",--(COUNTIFS(nNIA,DATOS!$A11905,nCURSO,DATOS!$D11905,nESPEC,DATOS!$E11905,nASIG,DATOS!$I11905,nEVAL,"EX")=0),0))))</f>
      </c>
      <c r="H11905">
        <f>IF(DATOS!$G11905&lt;&gt;"EX",0,--(COUNTIFS(nNIA,DATOS!$A11905,nCURSO,DATOS!$D11905,nESPEC,DATOS!$E11905,nASIG,DATOS!$I11905,nEVAL,"OR")=0))</f>
      </c>
      <c r="I11905">
        <f>IF(DATOS!$I11905="","",IFERROR(VLOOKUP(DATOS!$I11905,CONFIG_ASIGNATURAS!$B$2:$J$91,9,FALSE()),""))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IF(DATOS!$A11906="",0,IF(CONFIG_METADATA!$B$4&lt;&gt;"OR+EX",--(DATOS!$G11906=CONFIG_METADATA!$B$4),IF(DATOS!$G11906="EX",1,IF(DATOS!$G11906="OR",--(COUNTIFS(nNIA,DATOS!$A11906,nCURSO,DATOS!$D11906,nESPEC,DATOS!$E11906,nASIG,DATOS!$I11906,nEVAL,"EX")=0),0))))</f>
      </c>
      <c r="H11906">
        <f>IF(DATOS!$G11906&lt;&gt;"EX",0,--(COUNTIFS(nNIA,DATOS!$A11906,nCURSO,DATOS!$D11906,nESPEC,DATOS!$E11906,nASIG,DATOS!$I11906,nEVAL,"OR")=0))</f>
      </c>
      <c r="I11906">
        <f>IF(DATOS!$I11906="","",IFERROR(VLOOKUP(DATOS!$I11906,CONFIG_ASIGNATURAS!$B$2:$J$91,9,FALSE()),""))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IF(DATOS!$A11907="",0,IF(CONFIG_METADATA!$B$4&lt;&gt;"OR+EX",--(DATOS!$G11907=CONFIG_METADATA!$B$4),IF(DATOS!$G11907="EX",1,IF(DATOS!$G11907="OR",--(COUNTIFS(nNIA,DATOS!$A11907,nCURSO,DATOS!$D11907,nESPEC,DATOS!$E11907,nASIG,DATOS!$I11907,nEVAL,"EX")=0),0))))</f>
      </c>
      <c r="H11907">
        <f>IF(DATOS!$G11907&lt;&gt;"EX",0,--(COUNTIFS(nNIA,DATOS!$A11907,nCURSO,DATOS!$D11907,nESPEC,DATOS!$E11907,nASIG,DATOS!$I11907,nEVAL,"OR")=0))</f>
      </c>
      <c r="I11907">
        <f>IF(DATOS!$I11907="","",IFERROR(VLOOKUP(DATOS!$I11907,CONFIG_ASIGNATURAS!$B$2:$J$91,9,FALSE()),""))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IF(DATOS!$A11908="",0,IF(CONFIG_METADATA!$B$4&lt;&gt;"OR+EX",--(DATOS!$G11908=CONFIG_METADATA!$B$4),IF(DATOS!$G11908="EX",1,IF(DATOS!$G11908="OR",--(COUNTIFS(nNIA,DATOS!$A11908,nCURSO,DATOS!$D11908,nESPEC,DATOS!$E11908,nASIG,DATOS!$I11908,nEVAL,"EX")=0),0))))</f>
      </c>
      <c r="H11908">
        <f>IF(DATOS!$G11908&lt;&gt;"EX",0,--(COUNTIFS(nNIA,DATOS!$A11908,nCURSO,DATOS!$D11908,nESPEC,DATOS!$E11908,nASIG,DATOS!$I11908,nEVAL,"OR")=0))</f>
      </c>
      <c r="I11908">
        <f>IF(DATOS!$I11908="","",IFERROR(VLOOKUP(DATOS!$I11908,CONFIG_ASIGNATURAS!$B$2:$J$91,9,FALSE()),""))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IF(DATOS!$A11909="",0,IF(CONFIG_METADATA!$B$4&lt;&gt;"OR+EX",--(DATOS!$G11909=CONFIG_METADATA!$B$4),IF(DATOS!$G11909="EX",1,IF(DATOS!$G11909="OR",--(COUNTIFS(nNIA,DATOS!$A11909,nCURSO,DATOS!$D11909,nESPEC,DATOS!$E11909,nASIG,DATOS!$I11909,nEVAL,"EX")=0),0))))</f>
      </c>
      <c r="H11909">
        <f>IF(DATOS!$G11909&lt;&gt;"EX",0,--(COUNTIFS(nNIA,DATOS!$A11909,nCURSO,DATOS!$D11909,nESPEC,DATOS!$E11909,nASIG,DATOS!$I11909,nEVAL,"OR")=0))</f>
      </c>
      <c r="I11909">
        <f>IF(DATOS!$I11909="","",IFERROR(VLOOKUP(DATOS!$I11909,CONFIG_ASIGNATURAS!$B$2:$J$91,9,FALSE()),""))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IF(DATOS!$A11910="",0,IF(CONFIG_METADATA!$B$4&lt;&gt;"OR+EX",--(DATOS!$G11910=CONFIG_METADATA!$B$4),IF(DATOS!$G11910="EX",1,IF(DATOS!$G11910="OR",--(COUNTIFS(nNIA,DATOS!$A11910,nCURSO,DATOS!$D11910,nESPEC,DATOS!$E11910,nASIG,DATOS!$I11910,nEVAL,"EX")=0),0))))</f>
      </c>
      <c r="H11910">
        <f>IF(DATOS!$G11910&lt;&gt;"EX",0,--(COUNTIFS(nNIA,DATOS!$A11910,nCURSO,DATOS!$D11910,nESPEC,DATOS!$E11910,nASIG,DATOS!$I11910,nEVAL,"OR")=0))</f>
      </c>
      <c r="I11910">
        <f>IF(DATOS!$I11910="","",IFERROR(VLOOKUP(DATOS!$I11910,CONFIG_ASIGNATURAS!$B$2:$J$91,9,FALSE()),""))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IF(DATOS!$A11911="",0,IF(CONFIG_METADATA!$B$4&lt;&gt;"OR+EX",--(DATOS!$G11911=CONFIG_METADATA!$B$4),IF(DATOS!$G11911="EX",1,IF(DATOS!$G11911="OR",--(COUNTIFS(nNIA,DATOS!$A11911,nCURSO,DATOS!$D11911,nESPEC,DATOS!$E11911,nASIG,DATOS!$I11911,nEVAL,"EX")=0),0))))</f>
      </c>
      <c r="H11911">
        <f>IF(DATOS!$G11911&lt;&gt;"EX",0,--(COUNTIFS(nNIA,DATOS!$A11911,nCURSO,DATOS!$D11911,nESPEC,DATOS!$E11911,nASIG,DATOS!$I11911,nEVAL,"OR")=0))</f>
      </c>
      <c r="I11911">
        <f>IF(DATOS!$I11911="","",IFERROR(VLOOKUP(DATOS!$I11911,CONFIG_ASIGNATURAS!$B$2:$J$91,9,FALSE()),""))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IF(DATOS!$A11912="",0,IF(CONFIG_METADATA!$B$4&lt;&gt;"OR+EX",--(DATOS!$G11912=CONFIG_METADATA!$B$4),IF(DATOS!$G11912="EX",1,IF(DATOS!$G11912="OR",--(COUNTIFS(nNIA,DATOS!$A11912,nCURSO,DATOS!$D11912,nESPEC,DATOS!$E11912,nASIG,DATOS!$I11912,nEVAL,"EX")=0),0))))</f>
      </c>
      <c r="H11912">
        <f>IF(DATOS!$G11912&lt;&gt;"EX",0,--(COUNTIFS(nNIA,DATOS!$A11912,nCURSO,DATOS!$D11912,nESPEC,DATOS!$E11912,nASIG,DATOS!$I11912,nEVAL,"OR")=0))</f>
      </c>
      <c r="I11912">
        <f>IF(DATOS!$I11912="","",IFERROR(VLOOKUP(DATOS!$I11912,CONFIG_ASIGNATURAS!$B$2:$J$91,9,FALSE()),""))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IF(DATOS!$A11913="",0,IF(CONFIG_METADATA!$B$4&lt;&gt;"OR+EX",--(DATOS!$G11913=CONFIG_METADATA!$B$4),IF(DATOS!$G11913="EX",1,IF(DATOS!$G11913="OR",--(COUNTIFS(nNIA,DATOS!$A11913,nCURSO,DATOS!$D11913,nESPEC,DATOS!$E11913,nASIG,DATOS!$I11913,nEVAL,"EX")=0),0))))</f>
      </c>
      <c r="H11913">
        <f>IF(DATOS!$G11913&lt;&gt;"EX",0,--(COUNTIFS(nNIA,DATOS!$A11913,nCURSO,DATOS!$D11913,nESPEC,DATOS!$E11913,nASIG,DATOS!$I11913,nEVAL,"OR")=0))</f>
      </c>
      <c r="I11913">
        <f>IF(DATOS!$I11913="","",IFERROR(VLOOKUP(DATOS!$I11913,CONFIG_ASIGNATURAS!$B$2:$J$91,9,FALSE()),""))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IF(DATOS!$A11914="",0,IF(CONFIG_METADATA!$B$4&lt;&gt;"OR+EX",--(DATOS!$G11914=CONFIG_METADATA!$B$4),IF(DATOS!$G11914="EX",1,IF(DATOS!$G11914="OR",--(COUNTIFS(nNIA,DATOS!$A11914,nCURSO,DATOS!$D11914,nESPEC,DATOS!$E11914,nASIG,DATOS!$I11914,nEVAL,"EX")=0),0))))</f>
      </c>
      <c r="H11914">
        <f>IF(DATOS!$G11914&lt;&gt;"EX",0,--(COUNTIFS(nNIA,DATOS!$A11914,nCURSO,DATOS!$D11914,nESPEC,DATOS!$E11914,nASIG,DATOS!$I11914,nEVAL,"OR")=0))</f>
      </c>
      <c r="I11914">
        <f>IF(DATOS!$I11914="","",IFERROR(VLOOKUP(DATOS!$I11914,CONFIG_ASIGNATURAS!$B$2:$J$91,9,FALSE()),""))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IF(DATOS!$A11915="",0,IF(CONFIG_METADATA!$B$4&lt;&gt;"OR+EX",--(DATOS!$G11915=CONFIG_METADATA!$B$4),IF(DATOS!$G11915="EX",1,IF(DATOS!$G11915="OR",--(COUNTIFS(nNIA,DATOS!$A11915,nCURSO,DATOS!$D11915,nESPEC,DATOS!$E11915,nASIG,DATOS!$I11915,nEVAL,"EX")=0),0))))</f>
      </c>
      <c r="H11915">
        <f>IF(DATOS!$G11915&lt;&gt;"EX",0,--(COUNTIFS(nNIA,DATOS!$A11915,nCURSO,DATOS!$D11915,nESPEC,DATOS!$E11915,nASIG,DATOS!$I11915,nEVAL,"OR")=0))</f>
      </c>
      <c r="I11915">
        <f>IF(DATOS!$I11915="","",IFERROR(VLOOKUP(DATOS!$I11915,CONFIG_ASIGNATURAS!$B$2:$J$91,9,FALSE()),""))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IF(DATOS!$A11916="",0,IF(CONFIG_METADATA!$B$4&lt;&gt;"OR+EX",--(DATOS!$G11916=CONFIG_METADATA!$B$4),IF(DATOS!$G11916="EX",1,IF(DATOS!$G11916="OR",--(COUNTIFS(nNIA,DATOS!$A11916,nCURSO,DATOS!$D11916,nESPEC,DATOS!$E11916,nASIG,DATOS!$I11916,nEVAL,"EX")=0),0))))</f>
      </c>
      <c r="H11916">
        <f>IF(DATOS!$G11916&lt;&gt;"EX",0,--(COUNTIFS(nNIA,DATOS!$A11916,nCURSO,DATOS!$D11916,nESPEC,DATOS!$E11916,nASIG,DATOS!$I11916,nEVAL,"OR")=0))</f>
      </c>
      <c r="I11916">
        <f>IF(DATOS!$I11916="","",IFERROR(VLOOKUP(DATOS!$I11916,CONFIG_ASIGNATURAS!$B$2:$J$91,9,FALSE()),""))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IF(DATOS!$A11917="",0,IF(CONFIG_METADATA!$B$4&lt;&gt;"OR+EX",--(DATOS!$G11917=CONFIG_METADATA!$B$4),IF(DATOS!$G11917="EX",1,IF(DATOS!$G11917="OR",--(COUNTIFS(nNIA,DATOS!$A11917,nCURSO,DATOS!$D11917,nESPEC,DATOS!$E11917,nASIG,DATOS!$I11917,nEVAL,"EX")=0),0))))</f>
      </c>
      <c r="H11917">
        <f>IF(DATOS!$G11917&lt;&gt;"EX",0,--(COUNTIFS(nNIA,DATOS!$A11917,nCURSO,DATOS!$D11917,nESPEC,DATOS!$E11917,nASIG,DATOS!$I11917,nEVAL,"OR")=0))</f>
      </c>
      <c r="I11917">
        <f>IF(DATOS!$I11917="","",IFERROR(VLOOKUP(DATOS!$I11917,CONFIG_ASIGNATURAS!$B$2:$J$91,9,FALSE()),""))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IF(DATOS!$A11918="",0,IF(CONFIG_METADATA!$B$4&lt;&gt;"OR+EX",--(DATOS!$G11918=CONFIG_METADATA!$B$4),IF(DATOS!$G11918="EX",1,IF(DATOS!$G11918="OR",--(COUNTIFS(nNIA,DATOS!$A11918,nCURSO,DATOS!$D11918,nESPEC,DATOS!$E11918,nASIG,DATOS!$I11918,nEVAL,"EX")=0),0))))</f>
      </c>
      <c r="H11918">
        <f>IF(DATOS!$G11918&lt;&gt;"EX",0,--(COUNTIFS(nNIA,DATOS!$A11918,nCURSO,DATOS!$D11918,nESPEC,DATOS!$E11918,nASIG,DATOS!$I11918,nEVAL,"OR")=0))</f>
      </c>
      <c r="I11918">
        <f>IF(DATOS!$I11918="","",IFERROR(VLOOKUP(DATOS!$I11918,CONFIG_ASIGNATURAS!$B$2:$J$91,9,FALSE()),""))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IF(DATOS!$A11919="",0,IF(CONFIG_METADATA!$B$4&lt;&gt;"OR+EX",--(DATOS!$G11919=CONFIG_METADATA!$B$4),IF(DATOS!$G11919="EX",1,IF(DATOS!$G11919="OR",--(COUNTIFS(nNIA,DATOS!$A11919,nCURSO,DATOS!$D11919,nESPEC,DATOS!$E11919,nASIG,DATOS!$I11919,nEVAL,"EX")=0),0))))</f>
      </c>
      <c r="H11919">
        <f>IF(DATOS!$G11919&lt;&gt;"EX",0,--(COUNTIFS(nNIA,DATOS!$A11919,nCURSO,DATOS!$D11919,nESPEC,DATOS!$E11919,nASIG,DATOS!$I11919,nEVAL,"OR")=0))</f>
      </c>
      <c r="I11919">
        <f>IF(DATOS!$I11919="","",IFERROR(VLOOKUP(DATOS!$I11919,CONFIG_ASIGNATURAS!$B$2:$J$91,9,FALSE()),""))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IF(DATOS!$A11920="",0,IF(CONFIG_METADATA!$B$4&lt;&gt;"OR+EX",--(DATOS!$G11920=CONFIG_METADATA!$B$4),IF(DATOS!$G11920="EX",1,IF(DATOS!$G11920="OR",--(COUNTIFS(nNIA,DATOS!$A11920,nCURSO,DATOS!$D11920,nESPEC,DATOS!$E11920,nASIG,DATOS!$I11920,nEVAL,"EX")=0),0))))</f>
      </c>
      <c r="H11920">
        <f>IF(DATOS!$G11920&lt;&gt;"EX",0,--(COUNTIFS(nNIA,DATOS!$A11920,nCURSO,DATOS!$D11920,nESPEC,DATOS!$E11920,nASIG,DATOS!$I11920,nEVAL,"OR")=0))</f>
      </c>
      <c r="I11920">
        <f>IF(DATOS!$I11920="","",IFERROR(VLOOKUP(DATOS!$I11920,CONFIG_ASIGNATURAS!$B$2:$J$91,9,FALSE()),""))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IF(DATOS!$A11921="",0,IF(CONFIG_METADATA!$B$4&lt;&gt;"OR+EX",--(DATOS!$G11921=CONFIG_METADATA!$B$4),IF(DATOS!$G11921="EX",1,IF(DATOS!$G11921="OR",--(COUNTIFS(nNIA,DATOS!$A11921,nCURSO,DATOS!$D11921,nESPEC,DATOS!$E11921,nASIG,DATOS!$I11921,nEVAL,"EX")=0),0))))</f>
      </c>
      <c r="H11921">
        <f>IF(DATOS!$G11921&lt;&gt;"EX",0,--(COUNTIFS(nNIA,DATOS!$A11921,nCURSO,DATOS!$D11921,nESPEC,DATOS!$E11921,nASIG,DATOS!$I11921,nEVAL,"OR")=0))</f>
      </c>
      <c r="I11921">
        <f>IF(DATOS!$I11921="","",IFERROR(VLOOKUP(DATOS!$I11921,CONFIG_ASIGNATURAS!$B$2:$J$91,9,FALSE()),""))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IF(DATOS!$A11922="",0,IF(CONFIG_METADATA!$B$4&lt;&gt;"OR+EX",--(DATOS!$G11922=CONFIG_METADATA!$B$4),IF(DATOS!$G11922="EX",1,IF(DATOS!$G11922="OR",--(COUNTIFS(nNIA,DATOS!$A11922,nCURSO,DATOS!$D11922,nESPEC,DATOS!$E11922,nASIG,DATOS!$I11922,nEVAL,"EX")=0),0))))</f>
      </c>
      <c r="H11922">
        <f>IF(DATOS!$G11922&lt;&gt;"EX",0,--(COUNTIFS(nNIA,DATOS!$A11922,nCURSO,DATOS!$D11922,nESPEC,DATOS!$E11922,nASIG,DATOS!$I11922,nEVAL,"OR")=0))</f>
      </c>
      <c r="I11922">
        <f>IF(DATOS!$I11922="","",IFERROR(VLOOKUP(DATOS!$I11922,CONFIG_ASIGNATURAS!$B$2:$J$91,9,FALSE()),""))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IF(DATOS!$A11923="",0,IF(CONFIG_METADATA!$B$4&lt;&gt;"OR+EX",--(DATOS!$G11923=CONFIG_METADATA!$B$4),IF(DATOS!$G11923="EX",1,IF(DATOS!$G11923="OR",--(COUNTIFS(nNIA,DATOS!$A11923,nCURSO,DATOS!$D11923,nESPEC,DATOS!$E11923,nASIG,DATOS!$I11923,nEVAL,"EX")=0),0))))</f>
      </c>
      <c r="H11923">
        <f>IF(DATOS!$G11923&lt;&gt;"EX",0,--(COUNTIFS(nNIA,DATOS!$A11923,nCURSO,DATOS!$D11923,nESPEC,DATOS!$E11923,nASIG,DATOS!$I11923,nEVAL,"OR")=0))</f>
      </c>
      <c r="I11923">
        <f>IF(DATOS!$I11923="","",IFERROR(VLOOKUP(DATOS!$I11923,CONFIG_ASIGNATURAS!$B$2:$J$91,9,FALSE()),""))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IF(DATOS!$A11924="",0,IF(CONFIG_METADATA!$B$4&lt;&gt;"OR+EX",--(DATOS!$G11924=CONFIG_METADATA!$B$4),IF(DATOS!$G11924="EX",1,IF(DATOS!$G11924="OR",--(COUNTIFS(nNIA,DATOS!$A11924,nCURSO,DATOS!$D11924,nESPEC,DATOS!$E11924,nASIG,DATOS!$I11924,nEVAL,"EX")=0),0))))</f>
      </c>
      <c r="H11924">
        <f>IF(DATOS!$G11924&lt;&gt;"EX",0,--(COUNTIFS(nNIA,DATOS!$A11924,nCURSO,DATOS!$D11924,nESPEC,DATOS!$E11924,nASIG,DATOS!$I11924,nEVAL,"OR")=0))</f>
      </c>
      <c r="I11924">
        <f>IF(DATOS!$I11924="","",IFERROR(VLOOKUP(DATOS!$I11924,CONFIG_ASIGNATURAS!$B$2:$J$91,9,FALSE()),""))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IF(DATOS!$A11925="",0,IF(CONFIG_METADATA!$B$4&lt;&gt;"OR+EX",--(DATOS!$G11925=CONFIG_METADATA!$B$4),IF(DATOS!$G11925="EX",1,IF(DATOS!$G11925="OR",--(COUNTIFS(nNIA,DATOS!$A11925,nCURSO,DATOS!$D11925,nESPEC,DATOS!$E11925,nASIG,DATOS!$I11925,nEVAL,"EX")=0),0))))</f>
      </c>
      <c r="H11925">
        <f>IF(DATOS!$G11925&lt;&gt;"EX",0,--(COUNTIFS(nNIA,DATOS!$A11925,nCURSO,DATOS!$D11925,nESPEC,DATOS!$E11925,nASIG,DATOS!$I11925,nEVAL,"OR")=0))</f>
      </c>
      <c r="I11925">
        <f>IF(DATOS!$I11925="","",IFERROR(VLOOKUP(DATOS!$I11925,CONFIG_ASIGNATURAS!$B$2:$J$91,9,FALSE()),""))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IF(DATOS!$A11926="",0,IF(CONFIG_METADATA!$B$4&lt;&gt;"OR+EX",--(DATOS!$G11926=CONFIG_METADATA!$B$4),IF(DATOS!$G11926="EX",1,IF(DATOS!$G11926="OR",--(COUNTIFS(nNIA,DATOS!$A11926,nCURSO,DATOS!$D11926,nESPEC,DATOS!$E11926,nASIG,DATOS!$I11926,nEVAL,"EX")=0),0))))</f>
      </c>
      <c r="H11926">
        <f>IF(DATOS!$G11926&lt;&gt;"EX",0,--(COUNTIFS(nNIA,DATOS!$A11926,nCURSO,DATOS!$D11926,nESPEC,DATOS!$E11926,nASIG,DATOS!$I11926,nEVAL,"OR")=0))</f>
      </c>
      <c r="I11926">
        <f>IF(DATOS!$I11926="","",IFERROR(VLOOKUP(DATOS!$I11926,CONFIG_ASIGNATURAS!$B$2:$J$91,9,FALSE()),""))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IF(DATOS!$A11927="",0,IF(CONFIG_METADATA!$B$4&lt;&gt;"OR+EX",--(DATOS!$G11927=CONFIG_METADATA!$B$4),IF(DATOS!$G11927="EX",1,IF(DATOS!$G11927="OR",--(COUNTIFS(nNIA,DATOS!$A11927,nCURSO,DATOS!$D11927,nESPEC,DATOS!$E11927,nASIG,DATOS!$I11927,nEVAL,"EX")=0),0))))</f>
      </c>
      <c r="H11927">
        <f>IF(DATOS!$G11927&lt;&gt;"EX",0,--(COUNTIFS(nNIA,DATOS!$A11927,nCURSO,DATOS!$D11927,nESPEC,DATOS!$E11927,nASIG,DATOS!$I11927,nEVAL,"OR")=0))</f>
      </c>
      <c r="I11927">
        <f>IF(DATOS!$I11927="","",IFERROR(VLOOKUP(DATOS!$I11927,CONFIG_ASIGNATURAS!$B$2:$J$91,9,FALSE()),""))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IF(DATOS!$A11928="",0,IF(CONFIG_METADATA!$B$4&lt;&gt;"OR+EX",--(DATOS!$G11928=CONFIG_METADATA!$B$4),IF(DATOS!$G11928="EX",1,IF(DATOS!$G11928="OR",--(COUNTIFS(nNIA,DATOS!$A11928,nCURSO,DATOS!$D11928,nESPEC,DATOS!$E11928,nASIG,DATOS!$I11928,nEVAL,"EX")=0),0))))</f>
      </c>
      <c r="H11928">
        <f>IF(DATOS!$G11928&lt;&gt;"EX",0,--(COUNTIFS(nNIA,DATOS!$A11928,nCURSO,DATOS!$D11928,nESPEC,DATOS!$E11928,nASIG,DATOS!$I11928,nEVAL,"OR")=0))</f>
      </c>
      <c r="I11928">
        <f>IF(DATOS!$I11928="","",IFERROR(VLOOKUP(DATOS!$I11928,CONFIG_ASIGNATURAS!$B$2:$J$91,9,FALSE()),""))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IF(DATOS!$A11929="",0,IF(CONFIG_METADATA!$B$4&lt;&gt;"OR+EX",--(DATOS!$G11929=CONFIG_METADATA!$B$4),IF(DATOS!$G11929="EX",1,IF(DATOS!$G11929="OR",--(COUNTIFS(nNIA,DATOS!$A11929,nCURSO,DATOS!$D11929,nESPEC,DATOS!$E11929,nASIG,DATOS!$I11929,nEVAL,"EX")=0),0))))</f>
      </c>
      <c r="H11929">
        <f>IF(DATOS!$G11929&lt;&gt;"EX",0,--(COUNTIFS(nNIA,DATOS!$A11929,nCURSO,DATOS!$D11929,nESPEC,DATOS!$E11929,nASIG,DATOS!$I11929,nEVAL,"OR")=0))</f>
      </c>
      <c r="I11929">
        <f>IF(DATOS!$I11929="","",IFERROR(VLOOKUP(DATOS!$I11929,CONFIG_ASIGNATURAS!$B$2:$J$91,9,FALSE()),""))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IF(DATOS!$A11930="",0,IF(CONFIG_METADATA!$B$4&lt;&gt;"OR+EX",--(DATOS!$G11930=CONFIG_METADATA!$B$4),IF(DATOS!$G11930="EX",1,IF(DATOS!$G11930="OR",--(COUNTIFS(nNIA,DATOS!$A11930,nCURSO,DATOS!$D11930,nESPEC,DATOS!$E11930,nASIG,DATOS!$I11930,nEVAL,"EX")=0),0))))</f>
      </c>
      <c r="H11930">
        <f>IF(DATOS!$G11930&lt;&gt;"EX",0,--(COUNTIFS(nNIA,DATOS!$A11930,nCURSO,DATOS!$D11930,nESPEC,DATOS!$E11930,nASIG,DATOS!$I11930,nEVAL,"OR")=0))</f>
      </c>
      <c r="I11930">
        <f>IF(DATOS!$I11930="","",IFERROR(VLOOKUP(DATOS!$I11930,CONFIG_ASIGNATURAS!$B$2:$J$91,9,FALSE()),""))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IF(DATOS!$A11931="",0,IF(CONFIG_METADATA!$B$4&lt;&gt;"OR+EX",--(DATOS!$G11931=CONFIG_METADATA!$B$4),IF(DATOS!$G11931="EX",1,IF(DATOS!$G11931="OR",--(COUNTIFS(nNIA,DATOS!$A11931,nCURSO,DATOS!$D11931,nESPEC,DATOS!$E11931,nASIG,DATOS!$I11931,nEVAL,"EX")=0),0))))</f>
      </c>
      <c r="H11931">
        <f>IF(DATOS!$G11931&lt;&gt;"EX",0,--(COUNTIFS(nNIA,DATOS!$A11931,nCURSO,DATOS!$D11931,nESPEC,DATOS!$E11931,nASIG,DATOS!$I11931,nEVAL,"OR")=0))</f>
      </c>
      <c r="I11931">
        <f>IF(DATOS!$I11931="","",IFERROR(VLOOKUP(DATOS!$I11931,CONFIG_ASIGNATURAS!$B$2:$J$91,9,FALSE()),""))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IF(DATOS!$A11932="",0,IF(CONFIG_METADATA!$B$4&lt;&gt;"OR+EX",--(DATOS!$G11932=CONFIG_METADATA!$B$4),IF(DATOS!$G11932="EX",1,IF(DATOS!$G11932="OR",--(COUNTIFS(nNIA,DATOS!$A11932,nCURSO,DATOS!$D11932,nESPEC,DATOS!$E11932,nASIG,DATOS!$I11932,nEVAL,"EX")=0),0))))</f>
      </c>
      <c r="H11932">
        <f>IF(DATOS!$G11932&lt;&gt;"EX",0,--(COUNTIFS(nNIA,DATOS!$A11932,nCURSO,DATOS!$D11932,nESPEC,DATOS!$E11932,nASIG,DATOS!$I11932,nEVAL,"OR")=0))</f>
      </c>
      <c r="I11932">
        <f>IF(DATOS!$I11932="","",IFERROR(VLOOKUP(DATOS!$I11932,CONFIG_ASIGNATURAS!$B$2:$J$91,9,FALSE()),""))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IF(DATOS!$A11933="",0,IF(CONFIG_METADATA!$B$4&lt;&gt;"OR+EX",--(DATOS!$G11933=CONFIG_METADATA!$B$4),IF(DATOS!$G11933="EX",1,IF(DATOS!$G11933="OR",--(COUNTIFS(nNIA,DATOS!$A11933,nCURSO,DATOS!$D11933,nESPEC,DATOS!$E11933,nASIG,DATOS!$I11933,nEVAL,"EX")=0),0))))</f>
      </c>
      <c r="H11933">
        <f>IF(DATOS!$G11933&lt;&gt;"EX",0,--(COUNTIFS(nNIA,DATOS!$A11933,nCURSO,DATOS!$D11933,nESPEC,DATOS!$E11933,nASIG,DATOS!$I11933,nEVAL,"OR")=0))</f>
      </c>
      <c r="I11933">
        <f>IF(DATOS!$I11933="","",IFERROR(VLOOKUP(DATOS!$I11933,CONFIG_ASIGNATURAS!$B$2:$J$91,9,FALSE()),""))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IF(DATOS!$A11934="",0,IF(CONFIG_METADATA!$B$4&lt;&gt;"OR+EX",--(DATOS!$G11934=CONFIG_METADATA!$B$4),IF(DATOS!$G11934="EX",1,IF(DATOS!$G11934="OR",--(COUNTIFS(nNIA,DATOS!$A11934,nCURSO,DATOS!$D11934,nESPEC,DATOS!$E11934,nASIG,DATOS!$I11934,nEVAL,"EX")=0),0))))</f>
      </c>
      <c r="H11934">
        <f>IF(DATOS!$G11934&lt;&gt;"EX",0,--(COUNTIFS(nNIA,DATOS!$A11934,nCURSO,DATOS!$D11934,nESPEC,DATOS!$E11934,nASIG,DATOS!$I11934,nEVAL,"OR")=0))</f>
      </c>
      <c r="I11934">
        <f>IF(DATOS!$I11934="","",IFERROR(VLOOKUP(DATOS!$I11934,CONFIG_ASIGNATURAS!$B$2:$J$91,9,FALSE()),""))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IF(DATOS!$A11935="",0,IF(CONFIG_METADATA!$B$4&lt;&gt;"OR+EX",--(DATOS!$G11935=CONFIG_METADATA!$B$4),IF(DATOS!$G11935="EX",1,IF(DATOS!$G11935="OR",--(COUNTIFS(nNIA,DATOS!$A11935,nCURSO,DATOS!$D11935,nESPEC,DATOS!$E11935,nASIG,DATOS!$I11935,nEVAL,"EX")=0),0))))</f>
      </c>
      <c r="H11935">
        <f>IF(DATOS!$G11935&lt;&gt;"EX",0,--(COUNTIFS(nNIA,DATOS!$A11935,nCURSO,DATOS!$D11935,nESPEC,DATOS!$E11935,nASIG,DATOS!$I11935,nEVAL,"OR")=0))</f>
      </c>
      <c r="I11935">
        <f>IF(DATOS!$I11935="","",IFERROR(VLOOKUP(DATOS!$I11935,CONFIG_ASIGNATURAS!$B$2:$J$91,9,FALSE()),""))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IF(DATOS!$A11936="",0,IF(CONFIG_METADATA!$B$4&lt;&gt;"OR+EX",--(DATOS!$G11936=CONFIG_METADATA!$B$4),IF(DATOS!$G11936="EX",1,IF(DATOS!$G11936="OR",--(COUNTIFS(nNIA,DATOS!$A11936,nCURSO,DATOS!$D11936,nESPEC,DATOS!$E11936,nASIG,DATOS!$I11936,nEVAL,"EX")=0),0))))</f>
      </c>
      <c r="H11936">
        <f>IF(DATOS!$G11936&lt;&gt;"EX",0,--(COUNTIFS(nNIA,DATOS!$A11936,nCURSO,DATOS!$D11936,nESPEC,DATOS!$E11936,nASIG,DATOS!$I11936,nEVAL,"OR")=0))</f>
      </c>
      <c r="I11936">
        <f>IF(DATOS!$I11936="","",IFERROR(VLOOKUP(DATOS!$I11936,CONFIG_ASIGNATURAS!$B$2:$J$91,9,FALSE()),""))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IF(DATOS!$A11937="",0,IF(CONFIG_METADATA!$B$4&lt;&gt;"OR+EX",--(DATOS!$G11937=CONFIG_METADATA!$B$4),IF(DATOS!$G11937="EX",1,IF(DATOS!$G11937="OR",--(COUNTIFS(nNIA,DATOS!$A11937,nCURSO,DATOS!$D11937,nESPEC,DATOS!$E11937,nASIG,DATOS!$I11937,nEVAL,"EX")=0),0))))</f>
      </c>
      <c r="H11937">
        <f>IF(DATOS!$G11937&lt;&gt;"EX",0,--(COUNTIFS(nNIA,DATOS!$A11937,nCURSO,DATOS!$D11937,nESPEC,DATOS!$E11937,nASIG,DATOS!$I11937,nEVAL,"OR")=0))</f>
      </c>
      <c r="I11937">
        <f>IF(DATOS!$I11937="","",IFERROR(VLOOKUP(DATOS!$I11937,CONFIG_ASIGNATURAS!$B$2:$J$91,9,FALSE()),""))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IF(DATOS!$A11938="",0,IF(CONFIG_METADATA!$B$4&lt;&gt;"OR+EX",--(DATOS!$G11938=CONFIG_METADATA!$B$4),IF(DATOS!$G11938="EX",1,IF(DATOS!$G11938="OR",--(COUNTIFS(nNIA,DATOS!$A11938,nCURSO,DATOS!$D11938,nESPEC,DATOS!$E11938,nASIG,DATOS!$I11938,nEVAL,"EX")=0),0))))</f>
      </c>
      <c r="H11938">
        <f>IF(DATOS!$G11938&lt;&gt;"EX",0,--(COUNTIFS(nNIA,DATOS!$A11938,nCURSO,DATOS!$D11938,nESPEC,DATOS!$E11938,nASIG,DATOS!$I11938,nEVAL,"OR")=0))</f>
      </c>
      <c r="I11938">
        <f>IF(DATOS!$I11938="","",IFERROR(VLOOKUP(DATOS!$I11938,CONFIG_ASIGNATURAS!$B$2:$J$91,9,FALSE()),""))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IF(DATOS!$A11939="",0,IF(CONFIG_METADATA!$B$4&lt;&gt;"OR+EX",--(DATOS!$G11939=CONFIG_METADATA!$B$4),IF(DATOS!$G11939="EX",1,IF(DATOS!$G11939="OR",--(COUNTIFS(nNIA,DATOS!$A11939,nCURSO,DATOS!$D11939,nESPEC,DATOS!$E11939,nASIG,DATOS!$I11939,nEVAL,"EX")=0),0))))</f>
      </c>
      <c r="H11939">
        <f>IF(DATOS!$G11939&lt;&gt;"EX",0,--(COUNTIFS(nNIA,DATOS!$A11939,nCURSO,DATOS!$D11939,nESPEC,DATOS!$E11939,nASIG,DATOS!$I11939,nEVAL,"OR")=0))</f>
      </c>
      <c r="I11939">
        <f>IF(DATOS!$I11939="","",IFERROR(VLOOKUP(DATOS!$I11939,CONFIG_ASIGNATURAS!$B$2:$J$91,9,FALSE()),""))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IF(DATOS!$A11940="",0,IF(CONFIG_METADATA!$B$4&lt;&gt;"OR+EX",--(DATOS!$G11940=CONFIG_METADATA!$B$4),IF(DATOS!$G11940="EX",1,IF(DATOS!$G11940="OR",--(COUNTIFS(nNIA,DATOS!$A11940,nCURSO,DATOS!$D11940,nESPEC,DATOS!$E11940,nASIG,DATOS!$I11940,nEVAL,"EX")=0),0))))</f>
      </c>
      <c r="H11940">
        <f>IF(DATOS!$G11940&lt;&gt;"EX",0,--(COUNTIFS(nNIA,DATOS!$A11940,nCURSO,DATOS!$D11940,nESPEC,DATOS!$E11940,nASIG,DATOS!$I11940,nEVAL,"OR")=0))</f>
      </c>
      <c r="I11940">
        <f>IF(DATOS!$I11940="","",IFERROR(VLOOKUP(DATOS!$I11940,CONFIG_ASIGNATURAS!$B$2:$J$91,9,FALSE()),""))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IF(DATOS!$A11941="",0,IF(CONFIG_METADATA!$B$4&lt;&gt;"OR+EX",--(DATOS!$G11941=CONFIG_METADATA!$B$4),IF(DATOS!$G11941="EX",1,IF(DATOS!$G11941="OR",--(COUNTIFS(nNIA,DATOS!$A11941,nCURSO,DATOS!$D11941,nESPEC,DATOS!$E11941,nASIG,DATOS!$I11941,nEVAL,"EX")=0),0))))</f>
      </c>
      <c r="H11941">
        <f>IF(DATOS!$G11941&lt;&gt;"EX",0,--(COUNTIFS(nNIA,DATOS!$A11941,nCURSO,DATOS!$D11941,nESPEC,DATOS!$E11941,nASIG,DATOS!$I11941,nEVAL,"OR")=0))</f>
      </c>
      <c r="I11941">
        <f>IF(DATOS!$I11941="","",IFERROR(VLOOKUP(DATOS!$I11941,CONFIG_ASIGNATURAS!$B$2:$J$91,9,FALSE()),""))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IF(DATOS!$A11942="",0,IF(CONFIG_METADATA!$B$4&lt;&gt;"OR+EX",--(DATOS!$G11942=CONFIG_METADATA!$B$4),IF(DATOS!$G11942="EX",1,IF(DATOS!$G11942="OR",--(COUNTIFS(nNIA,DATOS!$A11942,nCURSO,DATOS!$D11942,nESPEC,DATOS!$E11942,nASIG,DATOS!$I11942,nEVAL,"EX")=0),0))))</f>
      </c>
      <c r="H11942">
        <f>IF(DATOS!$G11942&lt;&gt;"EX",0,--(COUNTIFS(nNIA,DATOS!$A11942,nCURSO,DATOS!$D11942,nESPEC,DATOS!$E11942,nASIG,DATOS!$I11942,nEVAL,"OR")=0))</f>
      </c>
      <c r="I11942">
        <f>IF(DATOS!$I11942="","",IFERROR(VLOOKUP(DATOS!$I11942,CONFIG_ASIGNATURAS!$B$2:$J$91,9,FALSE()),""))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IF(DATOS!$A11943="",0,IF(CONFIG_METADATA!$B$4&lt;&gt;"OR+EX",--(DATOS!$G11943=CONFIG_METADATA!$B$4),IF(DATOS!$G11943="EX",1,IF(DATOS!$G11943="OR",--(COUNTIFS(nNIA,DATOS!$A11943,nCURSO,DATOS!$D11943,nESPEC,DATOS!$E11943,nASIG,DATOS!$I11943,nEVAL,"EX")=0),0))))</f>
      </c>
      <c r="H11943">
        <f>IF(DATOS!$G11943&lt;&gt;"EX",0,--(COUNTIFS(nNIA,DATOS!$A11943,nCURSO,DATOS!$D11943,nESPEC,DATOS!$E11943,nASIG,DATOS!$I11943,nEVAL,"OR")=0))</f>
      </c>
      <c r="I11943">
        <f>IF(DATOS!$I11943="","",IFERROR(VLOOKUP(DATOS!$I11943,CONFIG_ASIGNATURAS!$B$2:$J$91,9,FALSE()),""))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IF(DATOS!$A11944="",0,IF(CONFIG_METADATA!$B$4&lt;&gt;"OR+EX",--(DATOS!$G11944=CONFIG_METADATA!$B$4),IF(DATOS!$G11944="EX",1,IF(DATOS!$G11944="OR",--(COUNTIFS(nNIA,DATOS!$A11944,nCURSO,DATOS!$D11944,nESPEC,DATOS!$E11944,nASIG,DATOS!$I11944,nEVAL,"EX")=0),0))))</f>
      </c>
      <c r="H11944">
        <f>IF(DATOS!$G11944&lt;&gt;"EX",0,--(COUNTIFS(nNIA,DATOS!$A11944,nCURSO,DATOS!$D11944,nESPEC,DATOS!$E11944,nASIG,DATOS!$I11944,nEVAL,"OR")=0))</f>
      </c>
      <c r="I11944">
        <f>IF(DATOS!$I11944="","",IFERROR(VLOOKUP(DATOS!$I11944,CONFIG_ASIGNATURAS!$B$2:$J$91,9,FALSE()),""))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IF(DATOS!$A11945="",0,IF(CONFIG_METADATA!$B$4&lt;&gt;"OR+EX",--(DATOS!$G11945=CONFIG_METADATA!$B$4),IF(DATOS!$G11945="EX",1,IF(DATOS!$G11945="OR",--(COUNTIFS(nNIA,DATOS!$A11945,nCURSO,DATOS!$D11945,nESPEC,DATOS!$E11945,nASIG,DATOS!$I11945,nEVAL,"EX")=0),0))))</f>
      </c>
      <c r="H11945">
        <f>IF(DATOS!$G11945&lt;&gt;"EX",0,--(COUNTIFS(nNIA,DATOS!$A11945,nCURSO,DATOS!$D11945,nESPEC,DATOS!$E11945,nASIG,DATOS!$I11945,nEVAL,"OR")=0))</f>
      </c>
      <c r="I11945">
        <f>IF(DATOS!$I11945="","",IFERROR(VLOOKUP(DATOS!$I11945,CONFIG_ASIGNATURAS!$B$2:$J$91,9,FALSE()),""))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IF(DATOS!$A11946="",0,IF(CONFIG_METADATA!$B$4&lt;&gt;"OR+EX",--(DATOS!$G11946=CONFIG_METADATA!$B$4),IF(DATOS!$G11946="EX",1,IF(DATOS!$G11946="OR",--(COUNTIFS(nNIA,DATOS!$A11946,nCURSO,DATOS!$D11946,nESPEC,DATOS!$E11946,nASIG,DATOS!$I11946,nEVAL,"EX")=0),0))))</f>
      </c>
      <c r="H11946">
        <f>IF(DATOS!$G11946&lt;&gt;"EX",0,--(COUNTIFS(nNIA,DATOS!$A11946,nCURSO,DATOS!$D11946,nESPEC,DATOS!$E11946,nASIG,DATOS!$I11946,nEVAL,"OR")=0))</f>
      </c>
      <c r="I11946">
        <f>IF(DATOS!$I11946="","",IFERROR(VLOOKUP(DATOS!$I11946,CONFIG_ASIGNATURAS!$B$2:$J$91,9,FALSE()),""))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IF(DATOS!$A11947="",0,IF(CONFIG_METADATA!$B$4&lt;&gt;"OR+EX",--(DATOS!$G11947=CONFIG_METADATA!$B$4),IF(DATOS!$G11947="EX",1,IF(DATOS!$G11947="OR",--(COUNTIFS(nNIA,DATOS!$A11947,nCURSO,DATOS!$D11947,nESPEC,DATOS!$E11947,nASIG,DATOS!$I11947,nEVAL,"EX")=0),0))))</f>
      </c>
      <c r="H11947">
        <f>IF(DATOS!$G11947&lt;&gt;"EX",0,--(COUNTIFS(nNIA,DATOS!$A11947,nCURSO,DATOS!$D11947,nESPEC,DATOS!$E11947,nASIG,DATOS!$I11947,nEVAL,"OR")=0))</f>
      </c>
      <c r="I11947">
        <f>IF(DATOS!$I11947="","",IFERROR(VLOOKUP(DATOS!$I11947,CONFIG_ASIGNATURAS!$B$2:$J$91,9,FALSE()),""))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IF(DATOS!$A11948="",0,IF(CONFIG_METADATA!$B$4&lt;&gt;"OR+EX",--(DATOS!$G11948=CONFIG_METADATA!$B$4),IF(DATOS!$G11948="EX",1,IF(DATOS!$G11948="OR",--(COUNTIFS(nNIA,DATOS!$A11948,nCURSO,DATOS!$D11948,nESPEC,DATOS!$E11948,nASIG,DATOS!$I11948,nEVAL,"EX")=0),0))))</f>
      </c>
      <c r="H11948">
        <f>IF(DATOS!$G11948&lt;&gt;"EX",0,--(COUNTIFS(nNIA,DATOS!$A11948,nCURSO,DATOS!$D11948,nESPEC,DATOS!$E11948,nASIG,DATOS!$I11948,nEVAL,"OR")=0))</f>
      </c>
      <c r="I11948">
        <f>IF(DATOS!$I11948="","",IFERROR(VLOOKUP(DATOS!$I11948,CONFIG_ASIGNATURAS!$B$2:$J$91,9,FALSE()),""))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IF(DATOS!$A11949="",0,IF(CONFIG_METADATA!$B$4&lt;&gt;"OR+EX",--(DATOS!$G11949=CONFIG_METADATA!$B$4),IF(DATOS!$G11949="EX",1,IF(DATOS!$G11949="OR",--(COUNTIFS(nNIA,DATOS!$A11949,nCURSO,DATOS!$D11949,nESPEC,DATOS!$E11949,nASIG,DATOS!$I11949,nEVAL,"EX")=0),0))))</f>
      </c>
      <c r="H11949">
        <f>IF(DATOS!$G11949&lt;&gt;"EX",0,--(COUNTIFS(nNIA,DATOS!$A11949,nCURSO,DATOS!$D11949,nESPEC,DATOS!$E11949,nASIG,DATOS!$I11949,nEVAL,"OR")=0))</f>
      </c>
      <c r="I11949">
        <f>IF(DATOS!$I11949="","",IFERROR(VLOOKUP(DATOS!$I11949,CONFIG_ASIGNATURAS!$B$2:$J$91,9,FALSE()),""))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IF(DATOS!$A11950="",0,IF(CONFIG_METADATA!$B$4&lt;&gt;"OR+EX",--(DATOS!$G11950=CONFIG_METADATA!$B$4),IF(DATOS!$G11950="EX",1,IF(DATOS!$G11950="OR",--(COUNTIFS(nNIA,DATOS!$A11950,nCURSO,DATOS!$D11950,nESPEC,DATOS!$E11950,nASIG,DATOS!$I11950,nEVAL,"EX")=0),0))))</f>
      </c>
      <c r="H11950">
        <f>IF(DATOS!$G11950&lt;&gt;"EX",0,--(COUNTIFS(nNIA,DATOS!$A11950,nCURSO,DATOS!$D11950,nESPEC,DATOS!$E11950,nASIG,DATOS!$I11950,nEVAL,"OR")=0))</f>
      </c>
      <c r="I11950">
        <f>IF(DATOS!$I11950="","",IFERROR(VLOOKUP(DATOS!$I11950,CONFIG_ASIGNATURAS!$B$2:$J$91,9,FALSE()),""))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IF(DATOS!$A11951="",0,IF(CONFIG_METADATA!$B$4&lt;&gt;"OR+EX",--(DATOS!$G11951=CONFIG_METADATA!$B$4),IF(DATOS!$G11951="EX",1,IF(DATOS!$G11951="OR",--(COUNTIFS(nNIA,DATOS!$A11951,nCURSO,DATOS!$D11951,nESPEC,DATOS!$E11951,nASIG,DATOS!$I11951,nEVAL,"EX")=0),0))))</f>
      </c>
      <c r="H11951">
        <f>IF(DATOS!$G11951&lt;&gt;"EX",0,--(COUNTIFS(nNIA,DATOS!$A11951,nCURSO,DATOS!$D11951,nESPEC,DATOS!$E11951,nASIG,DATOS!$I11951,nEVAL,"OR")=0))</f>
      </c>
      <c r="I11951">
        <f>IF(DATOS!$I11951="","",IFERROR(VLOOKUP(DATOS!$I11951,CONFIG_ASIGNATURAS!$B$2:$J$91,9,FALSE()),""))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IF(DATOS!$A11952="",0,IF(CONFIG_METADATA!$B$4&lt;&gt;"OR+EX",--(DATOS!$G11952=CONFIG_METADATA!$B$4),IF(DATOS!$G11952="EX",1,IF(DATOS!$G11952="OR",--(COUNTIFS(nNIA,DATOS!$A11952,nCURSO,DATOS!$D11952,nESPEC,DATOS!$E11952,nASIG,DATOS!$I11952,nEVAL,"EX")=0),0))))</f>
      </c>
      <c r="H11952">
        <f>IF(DATOS!$G11952&lt;&gt;"EX",0,--(COUNTIFS(nNIA,DATOS!$A11952,nCURSO,DATOS!$D11952,nESPEC,DATOS!$E11952,nASIG,DATOS!$I11952,nEVAL,"OR")=0))</f>
      </c>
      <c r="I11952">
        <f>IF(DATOS!$I11952="","",IFERROR(VLOOKUP(DATOS!$I11952,CONFIG_ASIGNATURAS!$B$2:$J$91,9,FALSE()),""))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IF(DATOS!$A11953="",0,IF(CONFIG_METADATA!$B$4&lt;&gt;"OR+EX",--(DATOS!$G11953=CONFIG_METADATA!$B$4),IF(DATOS!$G11953="EX",1,IF(DATOS!$G11953="OR",--(COUNTIFS(nNIA,DATOS!$A11953,nCURSO,DATOS!$D11953,nESPEC,DATOS!$E11953,nASIG,DATOS!$I11953,nEVAL,"EX")=0),0))))</f>
      </c>
      <c r="H11953">
        <f>IF(DATOS!$G11953&lt;&gt;"EX",0,--(COUNTIFS(nNIA,DATOS!$A11953,nCURSO,DATOS!$D11953,nESPEC,DATOS!$E11953,nASIG,DATOS!$I11953,nEVAL,"OR")=0))</f>
      </c>
      <c r="I11953">
        <f>IF(DATOS!$I11953="","",IFERROR(VLOOKUP(DATOS!$I11953,CONFIG_ASIGNATURAS!$B$2:$J$91,9,FALSE()),""))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IF(DATOS!$A11954="",0,IF(CONFIG_METADATA!$B$4&lt;&gt;"OR+EX",--(DATOS!$G11954=CONFIG_METADATA!$B$4),IF(DATOS!$G11954="EX",1,IF(DATOS!$G11954="OR",--(COUNTIFS(nNIA,DATOS!$A11954,nCURSO,DATOS!$D11954,nESPEC,DATOS!$E11954,nASIG,DATOS!$I11954,nEVAL,"EX")=0),0))))</f>
      </c>
      <c r="H11954">
        <f>IF(DATOS!$G11954&lt;&gt;"EX",0,--(COUNTIFS(nNIA,DATOS!$A11954,nCURSO,DATOS!$D11954,nESPEC,DATOS!$E11954,nASIG,DATOS!$I11954,nEVAL,"OR")=0))</f>
      </c>
      <c r="I11954">
        <f>IF(DATOS!$I11954="","",IFERROR(VLOOKUP(DATOS!$I11954,CONFIG_ASIGNATURAS!$B$2:$J$91,9,FALSE()),""))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IF(DATOS!$A11955="",0,IF(CONFIG_METADATA!$B$4&lt;&gt;"OR+EX",--(DATOS!$G11955=CONFIG_METADATA!$B$4),IF(DATOS!$G11955="EX",1,IF(DATOS!$G11955="OR",--(COUNTIFS(nNIA,DATOS!$A11955,nCURSO,DATOS!$D11955,nESPEC,DATOS!$E11955,nASIG,DATOS!$I11955,nEVAL,"EX")=0),0))))</f>
      </c>
      <c r="H11955">
        <f>IF(DATOS!$G11955&lt;&gt;"EX",0,--(COUNTIFS(nNIA,DATOS!$A11955,nCURSO,DATOS!$D11955,nESPEC,DATOS!$E11955,nASIG,DATOS!$I11955,nEVAL,"OR")=0))</f>
      </c>
      <c r="I11955">
        <f>IF(DATOS!$I11955="","",IFERROR(VLOOKUP(DATOS!$I11955,CONFIG_ASIGNATURAS!$B$2:$J$91,9,FALSE()),""))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IF(DATOS!$A11956="",0,IF(CONFIG_METADATA!$B$4&lt;&gt;"OR+EX",--(DATOS!$G11956=CONFIG_METADATA!$B$4),IF(DATOS!$G11956="EX",1,IF(DATOS!$G11956="OR",--(COUNTIFS(nNIA,DATOS!$A11956,nCURSO,DATOS!$D11956,nESPEC,DATOS!$E11956,nASIG,DATOS!$I11956,nEVAL,"EX")=0),0))))</f>
      </c>
      <c r="H11956">
        <f>IF(DATOS!$G11956&lt;&gt;"EX",0,--(COUNTIFS(nNIA,DATOS!$A11956,nCURSO,DATOS!$D11956,nESPEC,DATOS!$E11956,nASIG,DATOS!$I11956,nEVAL,"OR")=0))</f>
      </c>
      <c r="I11956">
        <f>IF(DATOS!$I11956="","",IFERROR(VLOOKUP(DATOS!$I11956,CONFIG_ASIGNATURAS!$B$2:$J$91,9,FALSE()),""))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IF(DATOS!$A11957="",0,IF(CONFIG_METADATA!$B$4&lt;&gt;"OR+EX",--(DATOS!$G11957=CONFIG_METADATA!$B$4),IF(DATOS!$G11957="EX",1,IF(DATOS!$G11957="OR",--(COUNTIFS(nNIA,DATOS!$A11957,nCURSO,DATOS!$D11957,nESPEC,DATOS!$E11957,nASIG,DATOS!$I11957,nEVAL,"EX")=0),0))))</f>
      </c>
      <c r="H11957">
        <f>IF(DATOS!$G11957&lt;&gt;"EX",0,--(COUNTIFS(nNIA,DATOS!$A11957,nCURSO,DATOS!$D11957,nESPEC,DATOS!$E11957,nASIG,DATOS!$I11957,nEVAL,"OR")=0))</f>
      </c>
      <c r="I11957">
        <f>IF(DATOS!$I11957="","",IFERROR(VLOOKUP(DATOS!$I11957,CONFIG_ASIGNATURAS!$B$2:$J$91,9,FALSE()),""))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IF(DATOS!$A11958="",0,IF(CONFIG_METADATA!$B$4&lt;&gt;"OR+EX",--(DATOS!$G11958=CONFIG_METADATA!$B$4),IF(DATOS!$G11958="EX",1,IF(DATOS!$G11958="OR",--(COUNTIFS(nNIA,DATOS!$A11958,nCURSO,DATOS!$D11958,nESPEC,DATOS!$E11958,nASIG,DATOS!$I11958,nEVAL,"EX")=0),0))))</f>
      </c>
      <c r="H11958">
        <f>IF(DATOS!$G11958&lt;&gt;"EX",0,--(COUNTIFS(nNIA,DATOS!$A11958,nCURSO,DATOS!$D11958,nESPEC,DATOS!$E11958,nASIG,DATOS!$I11958,nEVAL,"OR")=0))</f>
      </c>
      <c r="I11958">
        <f>IF(DATOS!$I11958="","",IFERROR(VLOOKUP(DATOS!$I11958,CONFIG_ASIGNATURAS!$B$2:$J$91,9,FALSE()),""))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IF(DATOS!$A11959="",0,IF(CONFIG_METADATA!$B$4&lt;&gt;"OR+EX",--(DATOS!$G11959=CONFIG_METADATA!$B$4),IF(DATOS!$G11959="EX",1,IF(DATOS!$G11959="OR",--(COUNTIFS(nNIA,DATOS!$A11959,nCURSO,DATOS!$D11959,nESPEC,DATOS!$E11959,nASIG,DATOS!$I11959,nEVAL,"EX")=0),0))))</f>
      </c>
      <c r="H11959">
        <f>IF(DATOS!$G11959&lt;&gt;"EX",0,--(COUNTIFS(nNIA,DATOS!$A11959,nCURSO,DATOS!$D11959,nESPEC,DATOS!$E11959,nASIG,DATOS!$I11959,nEVAL,"OR")=0))</f>
      </c>
      <c r="I11959">
        <f>IF(DATOS!$I11959="","",IFERROR(VLOOKUP(DATOS!$I11959,CONFIG_ASIGNATURAS!$B$2:$J$91,9,FALSE()),""))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IF(DATOS!$A11960="",0,IF(CONFIG_METADATA!$B$4&lt;&gt;"OR+EX",--(DATOS!$G11960=CONFIG_METADATA!$B$4),IF(DATOS!$G11960="EX",1,IF(DATOS!$G11960="OR",--(COUNTIFS(nNIA,DATOS!$A11960,nCURSO,DATOS!$D11960,nESPEC,DATOS!$E11960,nASIG,DATOS!$I11960,nEVAL,"EX")=0),0))))</f>
      </c>
      <c r="H11960">
        <f>IF(DATOS!$G11960&lt;&gt;"EX",0,--(COUNTIFS(nNIA,DATOS!$A11960,nCURSO,DATOS!$D11960,nESPEC,DATOS!$E11960,nASIG,DATOS!$I11960,nEVAL,"OR")=0))</f>
      </c>
      <c r="I11960">
        <f>IF(DATOS!$I11960="","",IFERROR(VLOOKUP(DATOS!$I11960,CONFIG_ASIGNATURAS!$B$2:$J$91,9,FALSE()),""))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IF(DATOS!$A11961="",0,IF(CONFIG_METADATA!$B$4&lt;&gt;"OR+EX",--(DATOS!$G11961=CONFIG_METADATA!$B$4),IF(DATOS!$G11961="EX",1,IF(DATOS!$G11961="OR",--(COUNTIFS(nNIA,DATOS!$A11961,nCURSO,DATOS!$D11961,nESPEC,DATOS!$E11961,nASIG,DATOS!$I11961,nEVAL,"EX")=0),0))))</f>
      </c>
      <c r="H11961">
        <f>IF(DATOS!$G11961&lt;&gt;"EX",0,--(COUNTIFS(nNIA,DATOS!$A11961,nCURSO,DATOS!$D11961,nESPEC,DATOS!$E11961,nASIG,DATOS!$I11961,nEVAL,"OR")=0))</f>
      </c>
      <c r="I11961">
        <f>IF(DATOS!$I11961="","",IFERROR(VLOOKUP(DATOS!$I11961,CONFIG_ASIGNATURAS!$B$2:$J$91,9,FALSE()),""))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IF(DATOS!$A11962="",0,IF(CONFIG_METADATA!$B$4&lt;&gt;"OR+EX",--(DATOS!$G11962=CONFIG_METADATA!$B$4),IF(DATOS!$G11962="EX",1,IF(DATOS!$G11962="OR",--(COUNTIFS(nNIA,DATOS!$A11962,nCURSO,DATOS!$D11962,nESPEC,DATOS!$E11962,nASIG,DATOS!$I11962,nEVAL,"EX")=0),0))))</f>
      </c>
      <c r="H11962">
        <f>IF(DATOS!$G11962&lt;&gt;"EX",0,--(COUNTIFS(nNIA,DATOS!$A11962,nCURSO,DATOS!$D11962,nESPEC,DATOS!$E11962,nASIG,DATOS!$I11962,nEVAL,"OR")=0))</f>
      </c>
      <c r="I11962">
        <f>IF(DATOS!$I11962="","",IFERROR(VLOOKUP(DATOS!$I11962,CONFIG_ASIGNATURAS!$B$2:$J$91,9,FALSE()),""))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IF(DATOS!$A11963="",0,IF(CONFIG_METADATA!$B$4&lt;&gt;"OR+EX",--(DATOS!$G11963=CONFIG_METADATA!$B$4),IF(DATOS!$G11963="EX",1,IF(DATOS!$G11963="OR",--(COUNTIFS(nNIA,DATOS!$A11963,nCURSO,DATOS!$D11963,nESPEC,DATOS!$E11963,nASIG,DATOS!$I11963,nEVAL,"EX")=0),0))))</f>
      </c>
      <c r="H11963">
        <f>IF(DATOS!$G11963&lt;&gt;"EX",0,--(COUNTIFS(nNIA,DATOS!$A11963,nCURSO,DATOS!$D11963,nESPEC,DATOS!$E11963,nASIG,DATOS!$I11963,nEVAL,"OR")=0))</f>
      </c>
      <c r="I11963">
        <f>IF(DATOS!$I11963="","",IFERROR(VLOOKUP(DATOS!$I11963,CONFIG_ASIGNATURAS!$B$2:$J$91,9,FALSE()),""))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IF(DATOS!$A11964="",0,IF(CONFIG_METADATA!$B$4&lt;&gt;"OR+EX",--(DATOS!$G11964=CONFIG_METADATA!$B$4),IF(DATOS!$G11964="EX",1,IF(DATOS!$G11964="OR",--(COUNTIFS(nNIA,DATOS!$A11964,nCURSO,DATOS!$D11964,nESPEC,DATOS!$E11964,nASIG,DATOS!$I11964,nEVAL,"EX")=0),0))))</f>
      </c>
      <c r="H11964">
        <f>IF(DATOS!$G11964&lt;&gt;"EX",0,--(COUNTIFS(nNIA,DATOS!$A11964,nCURSO,DATOS!$D11964,nESPEC,DATOS!$E11964,nASIG,DATOS!$I11964,nEVAL,"OR")=0))</f>
      </c>
      <c r="I11964">
        <f>IF(DATOS!$I11964="","",IFERROR(VLOOKUP(DATOS!$I11964,CONFIG_ASIGNATURAS!$B$2:$J$91,9,FALSE()),""))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IF(DATOS!$A11965="",0,IF(CONFIG_METADATA!$B$4&lt;&gt;"OR+EX",--(DATOS!$G11965=CONFIG_METADATA!$B$4),IF(DATOS!$G11965="EX",1,IF(DATOS!$G11965="OR",--(COUNTIFS(nNIA,DATOS!$A11965,nCURSO,DATOS!$D11965,nESPEC,DATOS!$E11965,nASIG,DATOS!$I11965,nEVAL,"EX")=0),0))))</f>
      </c>
      <c r="H11965">
        <f>IF(DATOS!$G11965&lt;&gt;"EX",0,--(COUNTIFS(nNIA,DATOS!$A11965,nCURSO,DATOS!$D11965,nESPEC,DATOS!$E11965,nASIG,DATOS!$I11965,nEVAL,"OR")=0))</f>
      </c>
      <c r="I11965">
        <f>IF(DATOS!$I11965="","",IFERROR(VLOOKUP(DATOS!$I11965,CONFIG_ASIGNATURAS!$B$2:$J$91,9,FALSE()),""))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IF(DATOS!$A11966="",0,IF(CONFIG_METADATA!$B$4&lt;&gt;"OR+EX",--(DATOS!$G11966=CONFIG_METADATA!$B$4),IF(DATOS!$G11966="EX",1,IF(DATOS!$G11966="OR",--(COUNTIFS(nNIA,DATOS!$A11966,nCURSO,DATOS!$D11966,nESPEC,DATOS!$E11966,nASIG,DATOS!$I11966,nEVAL,"EX")=0),0))))</f>
      </c>
      <c r="H11966">
        <f>IF(DATOS!$G11966&lt;&gt;"EX",0,--(COUNTIFS(nNIA,DATOS!$A11966,nCURSO,DATOS!$D11966,nESPEC,DATOS!$E11966,nASIG,DATOS!$I11966,nEVAL,"OR")=0))</f>
      </c>
      <c r="I11966">
        <f>IF(DATOS!$I11966="","",IFERROR(VLOOKUP(DATOS!$I11966,CONFIG_ASIGNATURAS!$B$2:$J$91,9,FALSE()),""))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IF(DATOS!$A11967="",0,IF(CONFIG_METADATA!$B$4&lt;&gt;"OR+EX",--(DATOS!$G11967=CONFIG_METADATA!$B$4),IF(DATOS!$G11967="EX",1,IF(DATOS!$G11967="OR",--(COUNTIFS(nNIA,DATOS!$A11967,nCURSO,DATOS!$D11967,nESPEC,DATOS!$E11967,nASIG,DATOS!$I11967,nEVAL,"EX")=0),0))))</f>
      </c>
      <c r="H11967">
        <f>IF(DATOS!$G11967&lt;&gt;"EX",0,--(COUNTIFS(nNIA,DATOS!$A11967,nCURSO,DATOS!$D11967,nESPEC,DATOS!$E11967,nASIG,DATOS!$I11967,nEVAL,"OR")=0))</f>
      </c>
      <c r="I11967">
        <f>IF(DATOS!$I11967="","",IFERROR(VLOOKUP(DATOS!$I11967,CONFIG_ASIGNATURAS!$B$2:$J$91,9,FALSE()),""))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IF(DATOS!$A11968="",0,IF(CONFIG_METADATA!$B$4&lt;&gt;"OR+EX",--(DATOS!$G11968=CONFIG_METADATA!$B$4),IF(DATOS!$G11968="EX",1,IF(DATOS!$G11968="OR",--(COUNTIFS(nNIA,DATOS!$A11968,nCURSO,DATOS!$D11968,nESPEC,DATOS!$E11968,nASIG,DATOS!$I11968,nEVAL,"EX")=0),0))))</f>
      </c>
      <c r="H11968">
        <f>IF(DATOS!$G11968&lt;&gt;"EX",0,--(COUNTIFS(nNIA,DATOS!$A11968,nCURSO,DATOS!$D11968,nESPEC,DATOS!$E11968,nASIG,DATOS!$I11968,nEVAL,"OR")=0))</f>
      </c>
      <c r="I11968">
        <f>IF(DATOS!$I11968="","",IFERROR(VLOOKUP(DATOS!$I11968,CONFIG_ASIGNATURAS!$B$2:$J$91,9,FALSE()),""))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IF(DATOS!$A11969="",0,IF(CONFIG_METADATA!$B$4&lt;&gt;"OR+EX",--(DATOS!$G11969=CONFIG_METADATA!$B$4),IF(DATOS!$G11969="EX",1,IF(DATOS!$G11969="OR",--(COUNTIFS(nNIA,DATOS!$A11969,nCURSO,DATOS!$D11969,nESPEC,DATOS!$E11969,nASIG,DATOS!$I11969,nEVAL,"EX")=0),0))))</f>
      </c>
      <c r="H11969">
        <f>IF(DATOS!$G11969&lt;&gt;"EX",0,--(COUNTIFS(nNIA,DATOS!$A11969,nCURSO,DATOS!$D11969,nESPEC,DATOS!$E11969,nASIG,DATOS!$I11969,nEVAL,"OR")=0))</f>
      </c>
      <c r="I11969">
        <f>IF(DATOS!$I11969="","",IFERROR(VLOOKUP(DATOS!$I11969,CONFIG_ASIGNATURAS!$B$2:$J$91,9,FALSE()),""))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IF(DATOS!$A11970="",0,IF(CONFIG_METADATA!$B$4&lt;&gt;"OR+EX",--(DATOS!$G11970=CONFIG_METADATA!$B$4),IF(DATOS!$G11970="EX",1,IF(DATOS!$G11970="OR",--(COUNTIFS(nNIA,DATOS!$A11970,nCURSO,DATOS!$D11970,nESPEC,DATOS!$E11970,nASIG,DATOS!$I11970,nEVAL,"EX")=0),0))))</f>
      </c>
      <c r="H11970">
        <f>IF(DATOS!$G11970&lt;&gt;"EX",0,--(COUNTIFS(nNIA,DATOS!$A11970,nCURSO,DATOS!$D11970,nESPEC,DATOS!$E11970,nASIG,DATOS!$I11970,nEVAL,"OR")=0))</f>
      </c>
      <c r="I11970">
        <f>IF(DATOS!$I11970="","",IFERROR(VLOOKUP(DATOS!$I11970,CONFIG_ASIGNATURAS!$B$2:$J$91,9,FALSE()),""))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IF(DATOS!$A11971="",0,IF(CONFIG_METADATA!$B$4&lt;&gt;"OR+EX",--(DATOS!$G11971=CONFIG_METADATA!$B$4),IF(DATOS!$G11971="EX",1,IF(DATOS!$G11971="OR",--(COUNTIFS(nNIA,DATOS!$A11971,nCURSO,DATOS!$D11971,nESPEC,DATOS!$E11971,nASIG,DATOS!$I11971,nEVAL,"EX")=0),0))))</f>
      </c>
      <c r="H11971">
        <f>IF(DATOS!$G11971&lt;&gt;"EX",0,--(COUNTIFS(nNIA,DATOS!$A11971,nCURSO,DATOS!$D11971,nESPEC,DATOS!$E11971,nASIG,DATOS!$I11971,nEVAL,"OR")=0))</f>
      </c>
      <c r="I11971">
        <f>IF(DATOS!$I11971="","",IFERROR(VLOOKUP(DATOS!$I11971,CONFIG_ASIGNATURAS!$B$2:$J$91,9,FALSE()),""))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IF(DATOS!$A11972="",0,IF(CONFIG_METADATA!$B$4&lt;&gt;"OR+EX",--(DATOS!$G11972=CONFIG_METADATA!$B$4),IF(DATOS!$G11972="EX",1,IF(DATOS!$G11972="OR",--(COUNTIFS(nNIA,DATOS!$A11972,nCURSO,DATOS!$D11972,nESPEC,DATOS!$E11972,nASIG,DATOS!$I11972,nEVAL,"EX")=0),0))))</f>
      </c>
      <c r="H11972">
        <f>IF(DATOS!$G11972&lt;&gt;"EX",0,--(COUNTIFS(nNIA,DATOS!$A11972,nCURSO,DATOS!$D11972,nESPEC,DATOS!$E11972,nASIG,DATOS!$I11972,nEVAL,"OR")=0))</f>
      </c>
      <c r="I11972">
        <f>IF(DATOS!$I11972="","",IFERROR(VLOOKUP(DATOS!$I11972,CONFIG_ASIGNATURAS!$B$2:$J$91,9,FALSE()),""))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IF(DATOS!$A11973="",0,IF(CONFIG_METADATA!$B$4&lt;&gt;"OR+EX",--(DATOS!$G11973=CONFIG_METADATA!$B$4),IF(DATOS!$G11973="EX",1,IF(DATOS!$G11973="OR",--(COUNTIFS(nNIA,DATOS!$A11973,nCURSO,DATOS!$D11973,nESPEC,DATOS!$E11973,nASIG,DATOS!$I11973,nEVAL,"EX")=0),0))))</f>
      </c>
      <c r="H11973">
        <f>IF(DATOS!$G11973&lt;&gt;"EX",0,--(COUNTIFS(nNIA,DATOS!$A11973,nCURSO,DATOS!$D11973,nESPEC,DATOS!$E11973,nASIG,DATOS!$I11973,nEVAL,"OR")=0))</f>
      </c>
      <c r="I11973">
        <f>IF(DATOS!$I11973="","",IFERROR(VLOOKUP(DATOS!$I11973,CONFIG_ASIGNATURAS!$B$2:$J$91,9,FALSE()),""))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IF(DATOS!$A11974="",0,IF(CONFIG_METADATA!$B$4&lt;&gt;"OR+EX",--(DATOS!$G11974=CONFIG_METADATA!$B$4),IF(DATOS!$G11974="EX",1,IF(DATOS!$G11974="OR",--(COUNTIFS(nNIA,DATOS!$A11974,nCURSO,DATOS!$D11974,nESPEC,DATOS!$E11974,nASIG,DATOS!$I11974,nEVAL,"EX")=0),0))))</f>
      </c>
      <c r="H11974">
        <f>IF(DATOS!$G11974&lt;&gt;"EX",0,--(COUNTIFS(nNIA,DATOS!$A11974,nCURSO,DATOS!$D11974,nESPEC,DATOS!$E11974,nASIG,DATOS!$I11974,nEVAL,"OR")=0))</f>
      </c>
      <c r="I11974">
        <f>IF(DATOS!$I11974="","",IFERROR(VLOOKUP(DATOS!$I11974,CONFIG_ASIGNATURAS!$B$2:$J$91,9,FALSE()),""))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IF(DATOS!$A11975="",0,IF(CONFIG_METADATA!$B$4&lt;&gt;"OR+EX",--(DATOS!$G11975=CONFIG_METADATA!$B$4),IF(DATOS!$G11975="EX",1,IF(DATOS!$G11975="OR",--(COUNTIFS(nNIA,DATOS!$A11975,nCURSO,DATOS!$D11975,nESPEC,DATOS!$E11975,nASIG,DATOS!$I11975,nEVAL,"EX")=0),0))))</f>
      </c>
      <c r="H11975">
        <f>IF(DATOS!$G11975&lt;&gt;"EX",0,--(COUNTIFS(nNIA,DATOS!$A11975,nCURSO,DATOS!$D11975,nESPEC,DATOS!$E11975,nASIG,DATOS!$I11975,nEVAL,"OR")=0))</f>
      </c>
      <c r="I11975">
        <f>IF(DATOS!$I11975="","",IFERROR(VLOOKUP(DATOS!$I11975,CONFIG_ASIGNATURAS!$B$2:$J$91,9,FALSE()),""))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IF(DATOS!$A11976="",0,IF(CONFIG_METADATA!$B$4&lt;&gt;"OR+EX",--(DATOS!$G11976=CONFIG_METADATA!$B$4),IF(DATOS!$G11976="EX",1,IF(DATOS!$G11976="OR",--(COUNTIFS(nNIA,DATOS!$A11976,nCURSO,DATOS!$D11976,nESPEC,DATOS!$E11976,nASIG,DATOS!$I11976,nEVAL,"EX")=0),0))))</f>
      </c>
      <c r="H11976">
        <f>IF(DATOS!$G11976&lt;&gt;"EX",0,--(COUNTIFS(nNIA,DATOS!$A11976,nCURSO,DATOS!$D11976,nESPEC,DATOS!$E11976,nASIG,DATOS!$I11976,nEVAL,"OR")=0))</f>
      </c>
      <c r="I11976">
        <f>IF(DATOS!$I11976="","",IFERROR(VLOOKUP(DATOS!$I11976,CONFIG_ASIGNATURAS!$B$2:$J$91,9,FALSE()),""))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IF(DATOS!$A11977="",0,IF(CONFIG_METADATA!$B$4&lt;&gt;"OR+EX",--(DATOS!$G11977=CONFIG_METADATA!$B$4),IF(DATOS!$G11977="EX",1,IF(DATOS!$G11977="OR",--(COUNTIFS(nNIA,DATOS!$A11977,nCURSO,DATOS!$D11977,nESPEC,DATOS!$E11977,nASIG,DATOS!$I11977,nEVAL,"EX")=0),0))))</f>
      </c>
      <c r="H11977">
        <f>IF(DATOS!$G11977&lt;&gt;"EX",0,--(COUNTIFS(nNIA,DATOS!$A11977,nCURSO,DATOS!$D11977,nESPEC,DATOS!$E11977,nASIG,DATOS!$I11977,nEVAL,"OR")=0))</f>
      </c>
      <c r="I11977">
        <f>IF(DATOS!$I11977="","",IFERROR(VLOOKUP(DATOS!$I11977,CONFIG_ASIGNATURAS!$B$2:$J$91,9,FALSE()),""))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IF(DATOS!$A11978="",0,IF(CONFIG_METADATA!$B$4&lt;&gt;"OR+EX",--(DATOS!$G11978=CONFIG_METADATA!$B$4),IF(DATOS!$G11978="EX",1,IF(DATOS!$G11978="OR",--(COUNTIFS(nNIA,DATOS!$A11978,nCURSO,DATOS!$D11978,nESPEC,DATOS!$E11978,nASIG,DATOS!$I11978,nEVAL,"EX")=0),0))))</f>
      </c>
      <c r="H11978">
        <f>IF(DATOS!$G11978&lt;&gt;"EX",0,--(COUNTIFS(nNIA,DATOS!$A11978,nCURSO,DATOS!$D11978,nESPEC,DATOS!$E11978,nASIG,DATOS!$I11978,nEVAL,"OR")=0))</f>
      </c>
      <c r="I11978">
        <f>IF(DATOS!$I11978="","",IFERROR(VLOOKUP(DATOS!$I11978,CONFIG_ASIGNATURAS!$B$2:$J$91,9,FALSE()),""))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IF(DATOS!$A11979="",0,IF(CONFIG_METADATA!$B$4&lt;&gt;"OR+EX",--(DATOS!$G11979=CONFIG_METADATA!$B$4),IF(DATOS!$G11979="EX",1,IF(DATOS!$G11979="OR",--(COUNTIFS(nNIA,DATOS!$A11979,nCURSO,DATOS!$D11979,nESPEC,DATOS!$E11979,nASIG,DATOS!$I11979,nEVAL,"EX")=0),0))))</f>
      </c>
      <c r="H11979">
        <f>IF(DATOS!$G11979&lt;&gt;"EX",0,--(COUNTIFS(nNIA,DATOS!$A11979,nCURSO,DATOS!$D11979,nESPEC,DATOS!$E11979,nASIG,DATOS!$I11979,nEVAL,"OR")=0))</f>
      </c>
      <c r="I11979">
        <f>IF(DATOS!$I11979="","",IFERROR(VLOOKUP(DATOS!$I11979,CONFIG_ASIGNATURAS!$B$2:$J$91,9,FALSE()),""))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IF(DATOS!$A11980="",0,IF(CONFIG_METADATA!$B$4&lt;&gt;"OR+EX",--(DATOS!$G11980=CONFIG_METADATA!$B$4),IF(DATOS!$G11980="EX",1,IF(DATOS!$G11980="OR",--(COUNTIFS(nNIA,DATOS!$A11980,nCURSO,DATOS!$D11980,nESPEC,DATOS!$E11980,nASIG,DATOS!$I11980,nEVAL,"EX")=0),0))))</f>
      </c>
      <c r="H11980">
        <f>IF(DATOS!$G11980&lt;&gt;"EX",0,--(COUNTIFS(nNIA,DATOS!$A11980,nCURSO,DATOS!$D11980,nESPEC,DATOS!$E11980,nASIG,DATOS!$I11980,nEVAL,"OR")=0))</f>
      </c>
      <c r="I11980">
        <f>IF(DATOS!$I11980="","",IFERROR(VLOOKUP(DATOS!$I11980,CONFIG_ASIGNATURAS!$B$2:$J$91,9,FALSE()),""))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IF(DATOS!$A11981="",0,IF(CONFIG_METADATA!$B$4&lt;&gt;"OR+EX",--(DATOS!$G11981=CONFIG_METADATA!$B$4),IF(DATOS!$G11981="EX",1,IF(DATOS!$G11981="OR",--(COUNTIFS(nNIA,DATOS!$A11981,nCURSO,DATOS!$D11981,nESPEC,DATOS!$E11981,nASIG,DATOS!$I11981,nEVAL,"EX")=0),0))))</f>
      </c>
      <c r="H11981">
        <f>IF(DATOS!$G11981&lt;&gt;"EX",0,--(COUNTIFS(nNIA,DATOS!$A11981,nCURSO,DATOS!$D11981,nESPEC,DATOS!$E11981,nASIG,DATOS!$I11981,nEVAL,"OR")=0))</f>
      </c>
      <c r="I11981">
        <f>IF(DATOS!$I11981="","",IFERROR(VLOOKUP(DATOS!$I11981,CONFIG_ASIGNATURAS!$B$2:$J$91,9,FALSE()),""))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IF(DATOS!$A11982="",0,IF(CONFIG_METADATA!$B$4&lt;&gt;"OR+EX",--(DATOS!$G11982=CONFIG_METADATA!$B$4),IF(DATOS!$G11982="EX",1,IF(DATOS!$G11982="OR",--(COUNTIFS(nNIA,DATOS!$A11982,nCURSO,DATOS!$D11982,nESPEC,DATOS!$E11982,nASIG,DATOS!$I11982,nEVAL,"EX")=0),0))))</f>
      </c>
      <c r="H11982">
        <f>IF(DATOS!$G11982&lt;&gt;"EX",0,--(COUNTIFS(nNIA,DATOS!$A11982,nCURSO,DATOS!$D11982,nESPEC,DATOS!$E11982,nASIG,DATOS!$I11982,nEVAL,"OR")=0))</f>
      </c>
      <c r="I11982">
        <f>IF(DATOS!$I11982="","",IFERROR(VLOOKUP(DATOS!$I11982,CONFIG_ASIGNATURAS!$B$2:$J$91,9,FALSE()),""))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IF(DATOS!$A11983="",0,IF(CONFIG_METADATA!$B$4&lt;&gt;"OR+EX",--(DATOS!$G11983=CONFIG_METADATA!$B$4),IF(DATOS!$G11983="EX",1,IF(DATOS!$G11983="OR",--(COUNTIFS(nNIA,DATOS!$A11983,nCURSO,DATOS!$D11983,nESPEC,DATOS!$E11983,nASIG,DATOS!$I11983,nEVAL,"EX")=0),0))))</f>
      </c>
      <c r="H11983">
        <f>IF(DATOS!$G11983&lt;&gt;"EX",0,--(COUNTIFS(nNIA,DATOS!$A11983,nCURSO,DATOS!$D11983,nESPEC,DATOS!$E11983,nASIG,DATOS!$I11983,nEVAL,"OR")=0))</f>
      </c>
      <c r="I11983">
        <f>IF(DATOS!$I11983="","",IFERROR(VLOOKUP(DATOS!$I11983,CONFIG_ASIGNATURAS!$B$2:$J$91,9,FALSE()),""))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IF(DATOS!$A11984="",0,IF(CONFIG_METADATA!$B$4&lt;&gt;"OR+EX",--(DATOS!$G11984=CONFIG_METADATA!$B$4),IF(DATOS!$G11984="EX",1,IF(DATOS!$G11984="OR",--(COUNTIFS(nNIA,DATOS!$A11984,nCURSO,DATOS!$D11984,nESPEC,DATOS!$E11984,nASIG,DATOS!$I11984,nEVAL,"EX")=0),0))))</f>
      </c>
      <c r="H11984">
        <f>IF(DATOS!$G11984&lt;&gt;"EX",0,--(COUNTIFS(nNIA,DATOS!$A11984,nCURSO,DATOS!$D11984,nESPEC,DATOS!$E11984,nASIG,DATOS!$I11984,nEVAL,"OR")=0))</f>
      </c>
      <c r="I11984">
        <f>IF(DATOS!$I11984="","",IFERROR(VLOOKUP(DATOS!$I11984,CONFIG_ASIGNATURAS!$B$2:$J$91,9,FALSE()),""))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IF(DATOS!$A11985="",0,IF(CONFIG_METADATA!$B$4&lt;&gt;"OR+EX",--(DATOS!$G11985=CONFIG_METADATA!$B$4),IF(DATOS!$G11985="EX",1,IF(DATOS!$G11985="OR",--(COUNTIFS(nNIA,DATOS!$A11985,nCURSO,DATOS!$D11985,nESPEC,DATOS!$E11985,nASIG,DATOS!$I11985,nEVAL,"EX")=0),0))))</f>
      </c>
      <c r="H11985">
        <f>IF(DATOS!$G11985&lt;&gt;"EX",0,--(COUNTIFS(nNIA,DATOS!$A11985,nCURSO,DATOS!$D11985,nESPEC,DATOS!$E11985,nASIG,DATOS!$I11985,nEVAL,"OR")=0))</f>
      </c>
      <c r="I11985">
        <f>IF(DATOS!$I11985="","",IFERROR(VLOOKUP(DATOS!$I11985,CONFIG_ASIGNATURAS!$B$2:$J$91,9,FALSE()),""))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IF(DATOS!$A11986="",0,IF(CONFIG_METADATA!$B$4&lt;&gt;"OR+EX",--(DATOS!$G11986=CONFIG_METADATA!$B$4),IF(DATOS!$G11986="EX",1,IF(DATOS!$G11986="OR",--(COUNTIFS(nNIA,DATOS!$A11986,nCURSO,DATOS!$D11986,nESPEC,DATOS!$E11986,nASIG,DATOS!$I11986,nEVAL,"EX")=0),0))))</f>
      </c>
      <c r="H11986">
        <f>IF(DATOS!$G11986&lt;&gt;"EX",0,--(COUNTIFS(nNIA,DATOS!$A11986,nCURSO,DATOS!$D11986,nESPEC,DATOS!$E11986,nASIG,DATOS!$I11986,nEVAL,"OR")=0))</f>
      </c>
      <c r="I11986">
        <f>IF(DATOS!$I11986="","",IFERROR(VLOOKUP(DATOS!$I11986,CONFIG_ASIGNATURAS!$B$2:$J$91,9,FALSE()),""))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IF(DATOS!$A11987="",0,IF(CONFIG_METADATA!$B$4&lt;&gt;"OR+EX",--(DATOS!$G11987=CONFIG_METADATA!$B$4),IF(DATOS!$G11987="EX",1,IF(DATOS!$G11987="OR",--(COUNTIFS(nNIA,DATOS!$A11987,nCURSO,DATOS!$D11987,nESPEC,DATOS!$E11987,nASIG,DATOS!$I11987,nEVAL,"EX")=0),0))))</f>
      </c>
      <c r="H11987">
        <f>IF(DATOS!$G11987&lt;&gt;"EX",0,--(COUNTIFS(nNIA,DATOS!$A11987,nCURSO,DATOS!$D11987,nESPEC,DATOS!$E11987,nASIG,DATOS!$I11987,nEVAL,"OR")=0))</f>
      </c>
      <c r="I11987">
        <f>IF(DATOS!$I11987="","",IFERROR(VLOOKUP(DATOS!$I11987,CONFIG_ASIGNATURAS!$B$2:$J$91,9,FALSE()),""))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IF(DATOS!$A11988="",0,IF(CONFIG_METADATA!$B$4&lt;&gt;"OR+EX",--(DATOS!$G11988=CONFIG_METADATA!$B$4),IF(DATOS!$G11988="EX",1,IF(DATOS!$G11988="OR",--(COUNTIFS(nNIA,DATOS!$A11988,nCURSO,DATOS!$D11988,nESPEC,DATOS!$E11988,nASIG,DATOS!$I11988,nEVAL,"EX")=0),0))))</f>
      </c>
      <c r="H11988">
        <f>IF(DATOS!$G11988&lt;&gt;"EX",0,--(COUNTIFS(nNIA,DATOS!$A11988,nCURSO,DATOS!$D11988,nESPEC,DATOS!$E11988,nASIG,DATOS!$I11988,nEVAL,"OR")=0))</f>
      </c>
      <c r="I11988">
        <f>IF(DATOS!$I11988="","",IFERROR(VLOOKUP(DATOS!$I11988,CONFIG_ASIGNATURAS!$B$2:$J$91,9,FALSE()),""))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IF(DATOS!$A11989="",0,IF(CONFIG_METADATA!$B$4&lt;&gt;"OR+EX",--(DATOS!$G11989=CONFIG_METADATA!$B$4),IF(DATOS!$G11989="EX",1,IF(DATOS!$G11989="OR",--(COUNTIFS(nNIA,DATOS!$A11989,nCURSO,DATOS!$D11989,nESPEC,DATOS!$E11989,nASIG,DATOS!$I11989,nEVAL,"EX")=0),0))))</f>
      </c>
      <c r="H11989">
        <f>IF(DATOS!$G11989&lt;&gt;"EX",0,--(COUNTIFS(nNIA,DATOS!$A11989,nCURSO,DATOS!$D11989,nESPEC,DATOS!$E11989,nASIG,DATOS!$I11989,nEVAL,"OR")=0))</f>
      </c>
      <c r="I11989">
        <f>IF(DATOS!$I11989="","",IFERROR(VLOOKUP(DATOS!$I11989,CONFIG_ASIGNATURAS!$B$2:$J$91,9,FALSE()),""))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IF(DATOS!$A11990="",0,IF(CONFIG_METADATA!$B$4&lt;&gt;"OR+EX",--(DATOS!$G11990=CONFIG_METADATA!$B$4),IF(DATOS!$G11990="EX",1,IF(DATOS!$G11990="OR",--(COUNTIFS(nNIA,DATOS!$A11990,nCURSO,DATOS!$D11990,nESPEC,DATOS!$E11990,nASIG,DATOS!$I11990,nEVAL,"EX")=0),0))))</f>
      </c>
      <c r="H11990">
        <f>IF(DATOS!$G11990&lt;&gt;"EX",0,--(COUNTIFS(nNIA,DATOS!$A11990,nCURSO,DATOS!$D11990,nESPEC,DATOS!$E11990,nASIG,DATOS!$I11990,nEVAL,"OR")=0))</f>
      </c>
      <c r="I11990">
        <f>IF(DATOS!$I11990="","",IFERROR(VLOOKUP(DATOS!$I11990,CONFIG_ASIGNATURAS!$B$2:$J$91,9,FALSE()),""))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IF(DATOS!$A11991="",0,IF(CONFIG_METADATA!$B$4&lt;&gt;"OR+EX",--(DATOS!$G11991=CONFIG_METADATA!$B$4),IF(DATOS!$G11991="EX",1,IF(DATOS!$G11991="OR",--(COUNTIFS(nNIA,DATOS!$A11991,nCURSO,DATOS!$D11991,nESPEC,DATOS!$E11991,nASIG,DATOS!$I11991,nEVAL,"EX")=0),0))))</f>
      </c>
      <c r="H11991">
        <f>IF(DATOS!$G11991&lt;&gt;"EX",0,--(COUNTIFS(nNIA,DATOS!$A11991,nCURSO,DATOS!$D11991,nESPEC,DATOS!$E11991,nASIG,DATOS!$I11991,nEVAL,"OR")=0))</f>
      </c>
      <c r="I11991">
        <f>IF(DATOS!$I11991="","",IFERROR(VLOOKUP(DATOS!$I11991,CONFIG_ASIGNATURAS!$B$2:$J$91,9,FALSE()),""))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IF(DATOS!$A11992="",0,IF(CONFIG_METADATA!$B$4&lt;&gt;"OR+EX",--(DATOS!$G11992=CONFIG_METADATA!$B$4),IF(DATOS!$G11992="EX",1,IF(DATOS!$G11992="OR",--(COUNTIFS(nNIA,DATOS!$A11992,nCURSO,DATOS!$D11992,nESPEC,DATOS!$E11992,nASIG,DATOS!$I11992,nEVAL,"EX")=0),0))))</f>
      </c>
      <c r="H11992">
        <f>IF(DATOS!$G11992&lt;&gt;"EX",0,--(COUNTIFS(nNIA,DATOS!$A11992,nCURSO,DATOS!$D11992,nESPEC,DATOS!$E11992,nASIG,DATOS!$I11992,nEVAL,"OR")=0))</f>
      </c>
      <c r="I11992">
        <f>IF(DATOS!$I11992="","",IFERROR(VLOOKUP(DATOS!$I11992,CONFIG_ASIGNATURAS!$B$2:$J$91,9,FALSE()),""))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IF(DATOS!$A11993="",0,IF(CONFIG_METADATA!$B$4&lt;&gt;"OR+EX",--(DATOS!$G11993=CONFIG_METADATA!$B$4),IF(DATOS!$G11993="EX",1,IF(DATOS!$G11993="OR",--(COUNTIFS(nNIA,DATOS!$A11993,nCURSO,DATOS!$D11993,nESPEC,DATOS!$E11993,nASIG,DATOS!$I11993,nEVAL,"EX")=0),0))))</f>
      </c>
      <c r="H11993">
        <f>IF(DATOS!$G11993&lt;&gt;"EX",0,--(COUNTIFS(nNIA,DATOS!$A11993,nCURSO,DATOS!$D11993,nESPEC,DATOS!$E11993,nASIG,DATOS!$I11993,nEVAL,"OR")=0))</f>
      </c>
      <c r="I11993">
        <f>IF(DATOS!$I11993="","",IFERROR(VLOOKUP(DATOS!$I11993,CONFIG_ASIGNATURAS!$B$2:$J$91,9,FALSE()),""))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IF(DATOS!$A11994="",0,IF(CONFIG_METADATA!$B$4&lt;&gt;"OR+EX",--(DATOS!$G11994=CONFIG_METADATA!$B$4),IF(DATOS!$G11994="EX",1,IF(DATOS!$G11994="OR",--(COUNTIFS(nNIA,DATOS!$A11994,nCURSO,DATOS!$D11994,nESPEC,DATOS!$E11994,nASIG,DATOS!$I11994,nEVAL,"EX")=0),0))))</f>
      </c>
      <c r="H11994">
        <f>IF(DATOS!$G11994&lt;&gt;"EX",0,--(COUNTIFS(nNIA,DATOS!$A11994,nCURSO,DATOS!$D11994,nESPEC,DATOS!$E11994,nASIG,DATOS!$I11994,nEVAL,"OR")=0))</f>
      </c>
      <c r="I11994">
        <f>IF(DATOS!$I11994="","",IFERROR(VLOOKUP(DATOS!$I11994,CONFIG_ASIGNATURAS!$B$2:$J$91,9,FALSE()),""))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IF(DATOS!$A11995="",0,IF(CONFIG_METADATA!$B$4&lt;&gt;"OR+EX",--(DATOS!$G11995=CONFIG_METADATA!$B$4),IF(DATOS!$G11995="EX",1,IF(DATOS!$G11995="OR",--(COUNTIFS(nNIA,DATOS!$A11995,nCURSO,DATOS!$D11995,nESPEC,DATOS!$E11995,nASIG,DATOS!$I11995,nEVAL,"EX")=0),0))))</f>
      </c>
      <c r="H11995">
        <f>IF(DATOS!$G11995&lt;&gt;"EX",0,--(COUNTIFS(nNIA,DATOS!$A11995,nCURSO,DATOS!$D11995,nESPEC,DATOS!$E11995,nASIG,DATOS!$I11995,nEVAL,"OR")=0))</f>
      </c>
      <c r="I11995">
        <f>IF(DATOS!$I11995="","",IFERROR(VLOOKUP(DATOS!$I11995,CONFIG_ASIGNATURAS!$B$2:$J$91,9,FALSE()),""))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IF(DATOS!$A11996="",0,IF(CONFIG_METADATA!$B$4&lt;&gt;"OR+EX",--(DATOS!$G11996=CONFIG_METADATA!$B$4),IF(DATOS!$G11996="EX",1,IF(DATOS!$G11996="OR",--(COUNTIFS(nNIA,DATOS!$A11996,nCURSO,DATOS!$D11996,nESPEC,DATOS!$E11996,nASIG,DATOS!$I11996,nEVAL,"EX")=0),0))))</f>
      </c>
      <c r="H11996">
        <f>IF(DATOS!$G11996&lt;&gt;"EX",0,--(COUNTIFS(nNIA,DATOS!$A11996,nCURSO,DATOS!$D11996,nESPEC,DATOS!$E11996,nASIG,DATOS!$I11996,nEVAL,"OR")=0))</f>
      </c>
      <c r="I11996">
        <f>IF(DATOS!$I11996="","",IFERROR(VLOOKUP(DATOS!$I11996,CONFIG_ASIGNATURAS!$B$2:$J$91,9,FALSE()),""))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IF(DATOS!$A11997="",0,IF(CONFIG_METADATA!$B$4&lt;&gt;"OR+EX",--(DATOS!$G11997=CONFIG_METADATA!$B$4),IF(DATOS!$G11997="EX",1,IF(DATOS!$G11997="OR",--(COUNTIFS(nNIA,DATOS!$A11997,nCURSO,DATOS!$D11997,nESPEC,DATOS!$E11997,nASIG,DATOS!$I11997,nEVAL,"EX")=0),0))))</f>
      </c>
      <c r="H11997">
        <f>IF(DATOS!$G11997&lt;&gt;"EX",0,--(COUNTIFS(nNIA,DATOS!$A11997,nCURSO,DATOS!$D11997,nESPEC,DATOS!$E11997,nASIG,DATOS!$I11997,nEVAL,"OR")=0))</f>
      </c>
      <c r="I11997">
        <f>IF(DATOS!$I11997="","",IFERROR(VLOOKUP(DATOS!$I11997,CONFIG_ASIGNATURAS!$B$2:$J$91,9,FALSE()),""))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IF(DATOS!$A11998="",0,IF(CONFIG_METADATA!$B$4&lt;&gt;"OR+EX",--(DATOS!$G11998=CONFIG_METADATA!$B$4),IF(DATOS!$G11998="EX",1,IF(DATOS!$G11998="OR",--(COUNTIFS(nNIA,DATOS!$A11998,nCURSO,DATOS!$D11998,nESPEC,DATOS!$E11998,nASIG,DATOS!$I11998,nEVAL,"EX")=0),0))))</f>
      </c>
      <c r="H11998">
        <f>IF(DATOS!$G11998&lt;&gt;"EX",0,--(COUNTIFS(nNIA,DATOS!$A11998,nCURSO,DATOS!$D11998,nESPEC,DATOS!$E11998,nASIG,DATOS!$I11998,nEVAL,"OR")=0))</f>
      </c>
      <c r="I11998">
        <f>IF(DATOS!$I11998="","",IFERROR(VLOOKUP(DATOS!$I11998,CONFIG_ASIGNATURAS!$B$2:$J$91,9,FALSE()),""))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IF(DATOS!$A11999="",0,IF(CONFIG_METADATA!$B$4&lt;&gt;"OR+EX",--(DATOS!$G11999=CONFIG_METADATA!$B$4),IF(DATOS!$G11999="EX",1,IF(DATOS!$G11999="OR",--(COUNTIFS(nNIA,DATOS!$A11999,nCURSO,DATOS!$D11999,nESPEC,DATOS!$E11999,nASIG,DATOS!$I11999,nEVAL,"EX")=0),0))))</f>
      </c>
      <c r="H11999">
        <f>IF(DATOS!$G11999&lt;&gt;"EX",0,--(COUNTIFS(nNIA,DATOS!$A11999,nCURSO,DATOS!$D11999,nESPEC,DATOS!$E11999,nASIG,DATOS!$I11999,nEVAL,"OR")=0))</f>
      </c>
      <c r="I11999">
        <f>IF(DATOS!$I11999="","",IFERROR(VLOOKUP(DATOS!$I11999,CONFIG_ASIGNATURAS!$B$2:$J$91,9,FALSE()),""))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IF(DATOS!$A12000="",0,IF(CONFIG_METADATA!$B$4&lt;&gt;"OR+EX",--(DATOS!$G12000=CONFIG_METADATA!$B$4),IF(DATOS!$G12000="EX",1,IF(DATOS!$G12000="OR",--(COUNTIFS(nNIA,DATOS!$A12000,nCURSO,DATOS!$D12000,nESPEC,DATOS!$E12000,nASIG,DATOS!$I12000,nEVAL,"EX")=0),0))))</f>
      </c>
      <c r="H12000">
        <f>IF(DATOS!$G12000&lt;&gt;"EX",0,--(COUNTIFS(nNIA,DATOS!$A12000,nCURSO,DATOS!$D12000,nESPEC,DATOS!$E12000,nASIG,DATOS!$I12000,nEVAL,"OR")=0))</f>
      </c>
      <c r="I12000">
        <f>IF(DATOS!$I12000="","",IFERROR(VLOOKUP(DATOS!$I12000,CONFIG_ASIGNATURAS!$B$2:$J$91,9,FALSE()),""))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IF(DATOS!$A12001="",0,IF(CONFIG_METADATA!$B$4&lt;&gt;"OR+EX",--(DATOS!$G12001=CONFIG_METADATA!$B$4),IF(DATOS!$G12001="EX",1,IF(DATOS!$G12001="OR",--(COUNTIFS(nNIA,DATOS!$A12001,nCURSO,DATOS!$D12001,nESPEC,DATOS!$E12001,nASIG,DATOS!$I12001,nEVAL,"EX")=0),0))))</f>
      </c>
      <c r="H12001">
        <f>IF(DATOS!$G12001&lt;&gt;"EX",0,--(COUNTIFS(nNIA,DATOS!$A12001,nCURSO,DATOS!$D12001,nESPEC,DATOS!$E12001,nASIG,DATOS!$I12001,nEVAL,"OR")=0))</f>
      </c>
      <c r="I12001">
        <f>IF(DATOS!$I12001="","",IFERROR(VLOOKUP(DATOS!$I12001,CONFIG_ASIGNATURAS!$B$2:$J$91,9,FALSE()),""))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IF(DATOS!$A12002="",0,IF(CONFIG_METADATA!$B$4&lt;&gt;"OR+EX",--(DATOS!$G12002=CONFIG_METADATA!$B$4),IF(DATOS!$G12002="EX",1,IF(DATOS!$G12002="OR",--(COUNTIFS(nNIA,DATOS!$A12002,nCURSO,DATOS!$D12002,nESPEC,DATOS!$E12002,nASIG,DATOS!$I12002,nEVAL,"EX")=0),0))))</f>
      </c>
      <c r="H12002">
        <f>IF(DATOS!$G12002&lt;&gt;"EX",0,--(COUNTIFS(nNIA,DATOS!$A12002,nCURSO,DATOS!$D12002,nESPEC,DATOS!$E12002,nASIG,DATOS!$I12002,nEVAL,"OR")=0))</f>
      </c>
      <c r="I12002">
        <f>IF(DATOS!$I12002="","",IFERROR(VLOOKUP(DATOS!$I12002,CONFIG_ASIGNATURAS!$B$2:$J$91,9,FALSE()),""))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IF(DATOS!$A12003="",0,IF(CONFIG_METADATA!$B$4&lt;&gt;"OR+EX",--(DATOS!$G12003=CONFIG_METADATA!$B$4),IF(DATOS!$G12003="EX",1,IF(DATOS!$G12003="OR",--(COUNTIFS(nNIA,DATOS!$A12003,nCURSO,DATOS!$D12003,nESPEC,DATOS!$E12003,nASIG,DATOS!$I12003,nEVAL,"EX")=0),0))))</f>
      </c>
      <c r="H12003">
        <f>IF(DATOS!$G12003&lt;&gt;"EX",0,--(COUNTIFS(nNIA,DATOS!$A12003,nCURSO,DATOS!$D12003,nESPEC,DATOS!$E12003,nASIG,DATOS!$I12003,nEVAL,"OR")=0))</f>
      </c>
      <c r="I12003">
        <f>IF(DATOS!$I12003="","",IFERROR(VLOOKUP(DATOS!$I12003,CONFIG_ASIGNATURAS!$B$2:$J$91,9,FALSE()),""))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IF(DATOS!$A12004="",0,IF(CONFIG_METADATA!$B$4&lt;&gt;"OR+EX",--(DATOS!$G12004=CONFIG_METADATA!$B$4),IF(DATOS!$G12004="EX",1,IF(DATOS!$G12004="OR",--(COUNTIFS(nNIA,DATOS!$A12004,nCURSO,DATOS!$D12004,nESPEC,DATOS!$E12004,nASIG,DATOS!$I12004,nEVAL,"EX")=0),0))))</f>
      </c>
      <c r="H12004">
        <f>IF(DATOS!$G12004&lt;&gt;"EX",0,--(COUNTIFS(nNIA,DATOS!$A12004,nCURSO,DATOS!$D12004,nESPEC,DATOS!$E12004,nASIG,DATOS!$I12004,nEVAL,"OR")=0))</f>
      </c>
      <c r="I12004">
        <f>IF(DATOS!$I12004="","",IFERROR(VLOOKUP(DATOS!$I12004,CONFIG_ASIGNATURAS!$B$2:$J$91,9,FALSE()),""))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IF(DATOS!$A12005="",0,IF(CONFIG_METADATA!$B$4&lt;&gt;"OR+EX",--(DATOS!$G12005=CONFIG_METADATA!$B$4),IF(DATOS!$G12005="EX",1,IF(DATOS!$G12005="OR",--(COUNTIFS(nNIA,DATOS!$A12005,nCURSO,DATOS!$D12005,nESPEC,DATOS!$E12005,nASIG,DATOS!$I12005,nEVAL,"EX")=0),0))))</f>
      </c>
      <c r="H12005">
        <f>IF(DATOS!$G12005&lt;&gt;"EX",0,--(COUNTIFS(nNIA,DATOS!$A12005,nCURSO,DATOS!$D12005,nESPEC,DATOS!$E12005,nASIG,DATOS!$I12005,nEVAL,"OR")=0))</f>
      </c>
      <c r="I12005">
        <f>IF(DATOS!$I12005="","",IFERROR(VLOOKUP(DATOS!$I12005,CONFIG_ASIGNATURAS!$B$2:$J$91,9,FALSE()),""))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IF(DATOS!$A12006="",0,IF(CONFIG_METADATA!$B$4&lt;&gt;"OR+EX",--(DATOS!$G12006=CONFIG_METADATA!$B$4),IF(DATOS!$G12006="EX",1,IF(DATOS!$G12006="OR",--(COUNTIFS(nNIA,DATOS!$A12006,nCURSO,DATOS!$D12006,nESPEC,DATOS!$E12006,nASIG,DATOS!$I12006,nEVAL,"EX")=0),0))))</f>
      </c>
      <c r="H12006">
        <f>IF(DATOS!$G12006&lt;&gt;"EX",0,--(COUNTIFS(nNIA,DATOS!$A12006,nCURSO,DATOS!$D12006,nESPEC,DATOS!$E12006,nASIG,DATOS!$I12006,nEVAL,"OR")=0))</f>
      </c>
      <c r="I12006">
        <f>IF(DATOS!$I12006="","",IFERROR(VLOOKUP(DATOS!$I12006,CONFIG_ASIGNATURAS!$B$2:$J$91,9,FALSE()),""))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IF(DATOS!$A12007="",0,IF(CONFIG_METADATA!$B$4&lt;&gt;"OR+EX",--(DATOS!$G12007=CONFIG_METADATA!$B$4),IF(DATOS!$G12007="EX",1,IF(DATOS!$G12007="OR",--(COUNTIFS(nNIA,DATOS!$A12007,nCURSO,DATOS!$D12007,nESPEC,DATOS!$E12007,nASIG,DATOS!$I12007,nEVAL,"EX")=0),0))))</f>
      </c>
      <c r="H12007">
        <f>IF(DATOS!$G12007&lt;&gt;"EX",0,--(COUNTIFS(nNIA,DATOS!$A12007,nCURSO,DATOS!$D12007,nESPEC,DATOS!$E12007,nASIG,DATOS!$I12007,nEVAL,"OR")=0))</f>
      </c>
      <c r="I12007">
        <f>IF(DATOS!$I12007="","",IFERROR(VLOOKUP(DATOS!$I12007,CONFIG_ASIGNATURAS!$B$2:$J$91,9,FALSE()),""))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IF(DATOS!$A12008="",0,IF(CONFIG_METADATA!$B$4&lt;&gt;"OR+EX",--(DATOS!$G12008=CONFIG_METADATA!$B$4),IF(DATOS!$G12008="EX",1,IF(DATOS!$G12008="OR",--(COUNTIFS(nNIA,DATOS!$A12008,nCURSO,DATOS!$D12008,nESPEC,DATOS!$E12008,nASIG,DATOS!$I12008,nEVAL,"EX")=0),0))))</f>
      </c>
      <c r="H12008">
        <f>IF(DATOS!$G12008&lt;&gt;"EX",0,--(COUNTIFS(nNIA,DATOS!$A12008,nCURSO,DATOS!$D12008,nESPEC,DATOS!$E12008,nASIG,DATOS!$I12008,nEVAL,"OR")=0))</f>
      </c>
      <c r="I12008">
        <f>IF(DATOS!$I12008="","",IFERROR(VLOOKUP(DATOS!$I12008,CONFIG_ASIGNATURAS!$B$2:$J$91,9,FALSE()),""))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IF(DATOS!$A12009="",0,IF(CONFIG_METADATA!$B$4&lt;&gt;"OR+EX",--(DATOS!$G12009=CONFIG_METADATA!$B$4),IF(DATOS!$G12009="EX",1,IF(DATOS!$G12009="OR",--(COUNTIFS(nNIA,DATOS!$A12009,nCURSO,DATOS!$D12009,nESPEC,DATOS!$E12009,nASIG,DATOS!$I12009,nEVAL,"EX")=0),0))))</f>
      </c>
      <c r="H12009">
        <f>IF(DATOS!$G12009&lt;&gt;"EX",0,--(COUNTIFS(nNIA,DATOS!$A12009,nCURSO,DATOS!$D12009,nESPEC,DATOS!$E12009,nASIG,DATOS!$I12009,nEVAL,"OR")=0))</f>
      </c>
      <c r="I12009">
        <f>IF(DATOS!$I12009="","",IFERROR(VLOOKUP(DATOS!$I12009,CONFIG_ASIGNATURAS!$B$2:$J$91,9,FALSE()),""))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IF(DATOS!$A12010="",0,IF(CONFIG_METADATA!$B$4&lt;&gt;"OR+EX",--(DATOS!$G12010=CONFIG_METADATA!$B$4),IF(DATOS!$G12010="EX",1,IF(DATOS!$G12010="OR",--(COUNTIFS(nNIA,DATOS!$A12010,nCURSO,DATOS!$D12010,nESPEC,DATOS!$E12010,nASIG,DATOS!$I12010,nEVAL,"EX")=0),0))))</f>
      </c>
      <c r="H12010">
        <f>IF(DATOS!$G12010&lt;&gt;"EX",0,--(COUNTIFS(nNIA,DATOS!$A12010,nCURSO,DATOS!$D12010,nESPEC,DATOS!$E12010,nASIG,DATOS!$I12010,nEVAL,"OR")=0))</f>
      </c>
      <c r="I12010">
        <f>IF(DATOS!$I12010="","",IFERROR(VLOOKUP(DATOS!$I12010,CONFIG_ASIGNATURAS!$B$2:$J$91,9,FALSE()),""))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IF(DATOS!$A12011="",0,IF(CONFIG_METADATA!$B$4&lt;&gt;"OR+EX",--(DATOS!$G12011=CONFIG_METADATA!$B$4),IF(DATOS!$G12011="EX",1,IF(DATOS!$G12011="OR",--(COUNTIFS(nNIA,DATOS!$A12011,nCURSO,DATOS!$D12011,nESPEC,DATOS!$E12011,nASIG,DATOS!$I12011,nEVAL,"EX")=0),0))))</f>
      </c>
      <c r="H12011">
        <f>IF(DATOS!$G12011&lt;&gt;"EX",0,--(COUNTIFS(nNIA,DATOS!$A12011,nCURSO,DATOS!$D12011,nESPEC,DATOS!$E12011,nASIG,DATOS!$I12011,nEVAL,"OR")=0))</f>
      </c>
      <c r="I12011">
        <f>IF(DATOS!$I12011="","",IFERROR(VLOOKUP(DATOS!$I12011,CONFIG_ASIGNATURAS!$B$2:$J$91,9,FALSE()),""))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IF(DATOS!$A12012="",0,IF(CONFIG_METADATA!$B$4&lt;&gt;"OR+EX",--(DATOS!$G12012=CONFIG_METADATA!$B$4),IF(DATOS!$G12012="EX",1,IF(DATOS!$G12012="OR",--(COUNTIFS(nNIA,DATOS!$A12012,nCURSO,DATOS!$D12012,nESPEC,DATOS!$E12012,nASIG,DATOS!$I12012,nEVAL,"EX")=0),0))))</f>
      </c>
      <c r="H12012">
        <f>IF(DATOS!$G12012&lt;&gt;"EX",0,--(COUNTIFS(nNIA,DATOS!$A12012,nCURSO,DATOS!$D12012,nESPEC,DATOS!$E12012,nASIG,DATOS!$I12012,nEVAL,"OR")=0))</f>
      </c>
      <c r="I12012">
        <f>IF(DATOS!$I12012="","",IFERROR(VLOOKUP(DATOS!$I12012,CONFIG_ASIGNATURAS!$B$2:$J$91,9,FALSE()),""))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IF(DATOS!$A12013="",0,IF(CONFIG_METADATA!$B$4&lt;&gt;"OR+EX",--(DATOS!$G12013=CONFIG_METADATA!$B$4),IF(DATOS!$G12013="EX",1,IF(DATOS!$G12013="OR",--(COUNTIFS(nNIA,DATOS!$A12013,nCURSO,DATOS!$D12013,nESPEC,DATOS!$E12013,nASIG,DATOS!$I12013,nEVAL,"EX")=0),0))))</f>
      </c>
      <c r="H12013">
        <f>IF(DATOS!$G12013&lt;&gt;"EX",0,--(COUNTIFS(nNIA,DATOS!$A12013,nCURSO,DATOS!$D12013,nESPEC,DATOS!$E12013,nASIG,DATOS!$I12013,nEVAL,"OR")=0))</f>
      </c>
      <c r="I12013">
        <f>IF(DATOS!$I12013="","",IFERROR(VLOOKUP(DATOS!$I12013,CONFIG_ASIGNATURAS!$B$2:$J$91,9,FALSE()),""))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IF(DATOS!$A12014="",0,IF(CONFIG_METADATA!$B$4&lt;&gt;"OR+EX",--(DATOS!$G12014=CONFIG_METADATA!$B$4),IF(DATOS!$G12014="EX",1,IF(DATOS!$G12014="OR",--(COUNTIFS(nNIA,DATOS!$A12014,nCURSO,DATOS!$D12014,nESPEC,DATOS!$E12014,nASIG,DATOS!$I12014,nEVAL,"EX")=0),0))))</f>
      </c>
      <c r="H12014">
        <f>IF(DATOS!$G12014&lt;&gt;"EX",0,--(COUNTIFS(nNIA,DATOS!$A12014,nCURSO,DATOS!$D12014,nESPEC,DATOS!$E12014,nASIG,DATOS!$I12014,nEVAL,"OR")=0))</f>
      </c>
      <c r="I12014">
        <f>IF(DATOS!$I12014="","",IFERROR(VLOOKUP(DATOS!$I12014,CONFIG_ASIGNATURAS!$B$2:$J$91,9,FALSE()),""))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IF(DATOS!$A12015="",0,IF(CONFIG_METADATA!$B$4&lt;&gt;"OR+EX",--(DATOS!$G12015=CONFIG_METADATA!$B$4),IF(DATOS!$G12015="EX",1,IF(DATOS!$G12015="OR",--(COUNTIFS(nNIA,DATOS!$A12015,nCURSO,DATOS!$D12015,nESPEC,DATOS!$E12015,nASIG,DATOS!$I12015,nEVAL,"EX")=0),0))))</f>
      </c>
      <c r="H12015">
        <f>IF(DATOS!$G12015&lt;&gt;"EX",0,--(COUNTIFS(nNIA,DATOS!$A12015,nCURSO,DATOS!$D12015,nESPEC,DATOS!$E12015,nASIG,DATOS!$I12015,nEVAL,"OR")=0))</f>
      </c>
      <c r="I12015">
        <f>IF(DATOS!$I12015="","",IFERROR(VLOOKUP(DATOS!$I12015,CONFIG_ASIGNATURAS!$B$2:$J$91,9,FALSE()),""))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IF(DATOS!$A12016="",0,IF(CONFIG_METADATA!$B$4&lt;&gt;"OR+EX",--(DATOS!$G12016=CONFIG_METADATA!$B$4),IF(DATOS!$G12016="EX",1,IF(DATOS!$G12016="OR",--(COUNTIFS(nNIA,DATOS!$A12016,nCURSO,DATOS!$D12016,nESPEC,DATOS!$E12016,nASIG,DATOS!$I12016,nEVAL,"EX")=0),0))))</f>
      </c>
      <c r="H12016">
        <f>IF(DATOS!$G12016&lt;&gt;"EX",0,--(COUNTIFS(nNIA,DATOS!$A12016,nCURSO,DATOS!$D12016,nESPEC,DATOS!$E12016,nASIG,DATOS!$I12016,nEVAL,"OR")=0))</f>
      </c>
      <c r="I12016">
        <f>IF(DATOS!$I12016="","",IFERROR(VLOOKUP(DATOS!$I12016,CONFIG_ASIGNATURAS!$B$2:$J$91,9,FALSE()),""))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IF(DATOS!$A12017="",0,IF(CONFIG_METADATA!$B$4&lt;&gt;"OR+EX",--(DATOS!$G12017=CONFIG_METADATA!$B$4),IF(DATOS!$G12017="EX",1,IF(DATOS!$G12017="OR",--(COUNTIFS(nNIA,DATOS!$A12017,nCURSO,DATOS!$D12017,nESPEC,DATOS!$E12017,nASIG,DATOS!$I12017,nEVAL,"EX")=0),0))))</f>
      </c>
      <c r="H12017">
        <f>IF(DATOS!$G12017&lt;&gt;"EX",0,--(COUNTIFS(nNIA,DATOS!$A12017,nCURSO,DATOS!$D12017,nESPEC,DATOS!$E12017,nASIG,DATOS!$I12017,nEVAL,"OR")=0))</f>
      </c>
      <c r="I12017">
        <f>IF(DATOS!$I12017="","",IFERROR(VLOOKUP(DATOS!$I12017,CONFIG_ASIGNATURAS!$B$2:$J$91,9,FALSE()),""))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IF(DATOS!$A12018="",0,IF(CONFIG_METADATA!$B$4&lt;&gt;"OR+EX",--(DATOS!$G12018=CONFIG_METADATA!$B$4),IF(DATOS!$G12018="EX",1,IF(DATOS!$G12018="OR",--(COUNTIFS(nNIA,DATOS!$A12018,nCURSO,DATOS!$D12018,nESPEC,DATOS!$E12018,nASIG,DATOS!$I12018,nEVAL,"EX")=0),0))))</f>
      </c>
      <c r="H12018">
        <f>IF(DATOS!$G12018&lt;&gt;"EX",0,--(COUNTIFS(nNIA,DATOS!$A12018,nCURSO,DATOS!$D12018,nESPEC,DATOS!$E12018,nASIG,DATOS!$I12018,nEVAL,"OR")=0))</f>
      </c>
      <c r="I12018">
        <f>IF(DATOS!$I12018="","",IFERROR(VLOOKUP(DATOS!$I12018,CONFIG_ASIGNATURAS!$B$2:$J$91,9,FALSE()),""))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IF(DATOS!$A12019="",0,IF(CONFIG_METADATA!$B$4&lt;&gt;"OR+EX",--(DATOS!$G12019=CONFIG_METADATA!$B$4),IF(DATOS!$G12019="EX",1,IF(DATOS!$G12019="OR",--(COUNTIFS(nNIA,DATOS!$A12019,nCURSO,DATOS!$D12019,nESPEC,DATOS!$E12019,nASIG,DATOS!$I12019,nEVAL,"EX")=0),0))))</f>
      </c>
      <c r="H12019">
        <f>IF(DATOS!$G12019&lt;&gt;"EX",0,--(COUNTIFS(nNIA,DATOS!$A12019,nCURSO,DATOS!$D12019,nESPEC,DATOS!$E12019,nASIG,DATOS!$I12019,nEVAL,"OR")=0))</f>
      </c>
      <c r="I12019">
        <f>IF(DATOS!$I12019="","",IFERROR(VLOOKUP(DATOS!$I12019,CONFIG_ASIGNATURAS!$B$2:$J$91,9,FALSE()),""))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IF(DATOS!$A12020="",0,IF(CONFIG_METADATA!$B$4&lt;&gt;"OR+EX",--(DATOS!$G12020=CONFIG_METADATA!$B$4),IF(DATOS!$G12020="EX",1,IF(DATOS!$G12020="OR",--(COUNTIFS(nNIA,DATOS!$A12020,nCURSO,DATOS!$D12020,nESPEC,DATOS!$E12020,nASIG,DATOS!$I12020,nEVAL,"EX")=0),0))))</f>
      </c>
      <c r="H12020">
        <f>IF(DATOS!$G12020&lt;&gt;"EX",0,--(COUNTIFS(nNIA,DATOS!$A12020,nCURSO,DATOS!$D12020,nESPEC,DATOS!$E12020,nASIG,DATOS!$I12020,nEVAL,"OR")=0))</f>
      </c>
      <c r="I12020">
        <f>IF(DATOS!$I12020="","",IFERROR(VLOOKUP(DATOS!$I12020,CONFIG_ASIGNATURAS!$B$2:$J$91,9,FALSE()),""))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IF(DATOS!$A12021="",0,IF(CONFIG_METADATA!$B$4&lt;&gt;"OR+EX",--(DATOS!$G12021=CONFIG_METADATA!$B$4),IF(DATOS!$G12021="EX",1,IF(DATOS!$G12021="OR",--(COUNTIFS(nNIA,DATOS!$A12021,nCURSO,DATOS!$D12021,nESPEC,DATOS!$E12021,nASIG,DATOS!$I12021,nEVAL,"EX")=0),0))))</f>
      </c>
      <c r="H12021">
        <f>IF(DATOS!$G12021&lt;&gt;"EX",0,--(COUNTIFS(nNIA,DATOS!$A12021,nCURSO,DATOS!$D12021,nESPEC,DATOS!$E12021,nASIG,DATOS!$I12021,nEVAL,"OR")=0))</f>
      </c>
      <c r="I12021">
        <f>IF(DATOS!$I12021="","",IFERROR(VLOOKUP(DATOS!$I12021,CONFIG_ASIGNATURAS!$B$2:$J$91,9,FALSE()),""))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IF(DATOS!$A12022="",0,IF(CONFIG_METADATA!$B$4&lt;&gt;"OR+EX",--(DATOS!$G12022=CONFIG_METADATA!$B$4),IF(DATOS!$G12022="EX",1,IF(DATOS!$G12022="OR",--(COUNTIFS(nNIA,DATOS!$A12022,nCURSO,DATOS!$D12022,nESPEC,DATOS!$E12022,nASIG,DATOS!$I12022,nEVAL,"EX")=0),0))))</f>
      </c>
      <c r="H12022">
        <f>IF(DATOS!$G12022&lt;&gt;"EX",0,--(COUNTIFS(nNIA,DATOS!$A12022,nCURSO,DATOS!$D12022,nESPEC,DATOS!$E12022,nASIG,DATOS!$I12022,nEVAL,"OR")=0))</f>
      </c>
      <c r="I12022">
        <f>IF(DATOS!$I12022="","",IFERROR(VLOOKUP(DATOS!$I12022,CONFIG_ASIGNATURAS!$B$2:$J$91,9,FALSE()),""))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IF(DATOS!$A12023="",0,IF(CONFIG_METADATA!$B$4&lt;&gt;"OR+EX",--(DATOS!$G12023=CONFIG_METADATA!$B$4),IF(DATOS!$G12023="EX",1,IF(DATOS!$G12023="OR",--(COUNTIFS(nNIA,DATOS!$A12023,nCURSO,DATOS!$D12023,nESPEC,DATOS!$E12023,nASIG,DATOS!$I12023,nEVAL,"EX")=0),0))))</f>
      </c>
      <c r="H12023">
        <f>IF(DATOS!$G12023&lt;&gt;"EX",0,--(COUNTIFS(nNIA,DATOS!$A12023,nCURSO,DATOS!$D12023,nESPEC,DATOS!$E12023,nASIG,DATOS!$I12023,nEVAL,"OR")=0))</f>
      </c>
      <c r="I12023">
        <f>IF(DATOS!$I12023="","",IFERROR(VLOOKUP(DATOS!$I12023,CONFIG_ASIGNATURAS!$B$2:$J$91,9,FALSE()),""))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IF(DATOS!$A12024="",0,IF(CONFIG_METADATA!$B$4&lt;&gt;"OR+EX",--(DATOS!$G12024=CONFIG_METADATA!$B$4),IF(DATOS!$G12024="EX",1,IF(DATOS!$G12024="OR",--(COUNTIFS(nNIA,DATOS!$A12024,nCURSO,DATOS!$D12024,nESPEC,DATOS!$E12024,nASIG,DATOS!$I12024,nEVAL,"EX")=0),0))))</f>
      </c>
      <c r="H12024">
        <f>IF(DATOS!$G12024&lt;&gt;"EX",0,--(COUNTIFS(nNIA,DATOS!$A12024,nCURSO,DATOS!$D12024,nESPEC,DATOS!$E12024,nASIG,DATOS!$I12024,nEVAL,"OR")=0))</f>
      </c>
      <c r="I12024">
        <f>IF(DATOS!$I12024="","",IFERROR(VLOOKUP(DATOS!$I12024,CONFIG_ASIGNATURAS!$B$2:$J$91,9,FALSE()),""))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IF(DATOS!$A12025="",0,IF(CONFIG_METADATA!$B$4&lt;&gt;"OR+EX",--(DATOS!$G12025=CONFIG_METADATA!$B$4),IF(DATOS!$G12025="EX",1,IF(DATOS!$G12025="OR",--(COUNTIFS(nNIA,DATOS!$A12025,nCURSO,DATOS!$D12025,nESPEC,DATOS!$E12025,nASIG,DATOS!$I12025,nEVAL,"EX")=0),0))))</f>
      </c>
      <c r="H12025">
        <f>IF(DATOS!$G12025&lt;&gt;"EX",0,--(COUNTIFS(nNIA,DATOS!$A12025,nCURSO,DATOS!$D12025,nESPEC,DATOS!$E12025,nASIG,DATOS!$I12025,nEVAL,"OR")=0))</f>
      </c>
      <c r="I12025">
        <f>IF(DATOS!$I12025="","",IFERROR(VLOOKUP(DATOS!$I12025,CONFIG_ASIGNATURAS!$B$2:$J$91,9,FALSE()),""))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IF(DATOS!$A12026="",0,IF(CONFIG_METADATA!$B$4&lt;&gt;"OR+EX",--(DATOS!$G12026=CONFIG_METADATA!$B$4),IF(DATOS!$G12026="EX",1,IF(DATOS!$G12026="OR",--(COUNTIFS(nNIA,DATOS!$A12026,nCURSO,DATOS!$D12026,nESPEC,DATOS!$E12026,nASIG,DATOS!$I12026,nEVAL,"EX")=0),0))))</f>
      </c>
      <c r="H12026">
        <f>IF(DATOS!$G12026&lt;&gt;"EX",0,--(COUNTIFS(nNIA,DATOS!$A12026,nCURSO,DATOS!$D12026,nESPEC,DATOS!$E12026,nASIG,DATOS!$I12026,nEVAL,"OR")=0))</f>
      </c>
      <c r="I12026">
        <f>IF(DATOS!$I12026="","",IFERROR(VLOOKUP(DATOS!$I12026,CONFIG_ASIGNATURAS!$B$2:$J$91,9,FALSE()),""))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IF(DATOS!$A12027="",0,IF(CONFIG_METADATA!$B$4&lt;&gt;"OR+EX",--(DATOS!$G12027=CONFIG_METADATA!$B$4),IF(DATOS!$G12027="EX",1,IF(DATOS!$G12027="OR",--(COUNTIFS(nNIA,DATOS!$A12027,nCURSO,DATOS!$D12027,nESPEC,DATOS!$E12027,nASIG,DATOS!$I12027,nEVAL,"EX")=0),0))))</f>
      </c>
      <c r="H12027">
        <f>IF(DATOS!$G12027&lt;&gt;"EX",0,--(COUNTIFS(nNIA,DATOS!$A12027,nCURSO,DATOS!$D12027,nESPEC,DATOS!$E12027,nASIG,DATOS!$I12027,nEVAL,"OR")=0))</f>
      </c>
      <c r="I12027">
        <f>IF(DATOS!$I12027="","",IFERROR(VLOOKUP(DATOS!$I12027,CONFIG_ASIGNATURAS!$B$2:$J$91,9,FALSE()),""))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IF(DATOS!$A12028="",0,IF(CONFIG_METADATA!$B$4&lt;&gt;"OR+EX",--(DATOS!$G12028=CONFIG_METADATA!$B$4),IF(DATOS!$G12028="EX",1,IF(DATOS!$G12028="OR",--(COUNTIFS(nNIA,DATOS!$A12028,nCURSO,DATOS!$D12028,nESPEC,DATOS!$E12028,nASIG,DATOS!$I12028,nEVAL,"EX")=0),0))))</f>
      </c>
      <c r="H12028">
        <f>IF(DATOS!$G12028&lt;&gt;"EX",0,--(COUNTIFS(nNIA,DATOS!$A12028,nCURSO,DATOS!$D12028,nESPEC,DATOS!$E12028,nASIG,DATOS!$I12028,nEVAL,"OR")=0))</f>
      </c>
      <c r="I12028">
        <f>IF(DATOS!$I12028="","",IFERROR(VLOOKUP(DATOS!$I12028,CONFIG_ASIGNATURAS!$B$2:$J$91,9,FALSE()),""))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IF(DATOS!$A12029="",0,IF(CONFIG_METADATA!$B$4&lt;&gt;"OR+EX",--(DATOS!$G12029=CONFIG_METADATA!$B$4),IF(DATOS!$G12029="EX",1,IF(DATOS!$G12029="OR",--(COUNTIFS(nNIA,DATOS!$A12029,nCURSO,DATOS!$D12029,nESPEC,DATOS!$E12029,nASIG,DATOS!$I12029,nEVAL,"EX")=0),0))))</f>
      </c>
      <c r="H12029">
        <f>IF(DATOS!$G12029&lt;&gt;"EX",0,--(COUNTIFS(nNIA,DATOS!$A12029,nCURSO,DATOS!$D12029,nESPEC,DATOS!$E12029,nASIG,DATOS!$I12029,nEVAL,"OR")=0))</f>
      </c>
      <c r="I12029">
        <f>IF(DATOS!$I12029="","",IFERROR(VLOOKUP(DATOS!$I12029,CONFIG_ASIGNATURAS!$B$2:$J$91,9,FALSE()),""))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IF(DATOS!$A12030="",0,IF(CONFIG_METADATA!$B$4&lt;&gt;"OR+EX",--(DATOS!$G12030=CONFIG_METADATA!$B$4),IF(DATOS!$G12030="EX",1,IF(DATOS!$G12030="OR",--(COUNTIFS(nNIA,DATOS!$A12030,nCURSO,DATOS!$D12030,nESPEC,DATOS!$E12030,nASIG,DATOS!$I12030,nEVAL,"EX")=0),0))))</f>
      </c>
      <c r="H12030">
        <f>IF(DATOS!$G12030&lt;&gt;"EX",0,--(COUNTIFS(nNIA,DATOS!$A12030,nCURSO,DATOS!$D12030,nESPEC,DATOS!$E12030,nASIG,DATOS!$I12030,nEVAL,"OR")=0))</f>
      </c>
      <c r="I12030">
        <f>IF(DATOS!$I12030="","",IFERROR(VLOOKUP(DATOS!$I12030,CONFIG_ASIGNATURAS!$B$2:$J$91,9,FALSE()),""))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IF(DATOS!$A12031="",0,IF(CONFIG_METADATA!$B$4&lt;&gt;"OR+EX",--(DATOS!$G12031=CONFIG_METADATA!$B$4),IF(DATOS!$G12031="EX",1,IF(DATOS!$G12031="OR",--(COUNTIFS(nNIA,DATOS!$A12031,nCURSO,DATOS!$D12031,nESPEC,DATOS!$E12031,nASIG,DATOS!$I12031,nEVAL,"EX")=0),0))))</f>
      </c>
      <c r="H12031">
        <f>IF(DATOS!$G12031&lt;&gt;"EX",0,--(COUNTIFS(nNIA,DATOS!$A12031,nCURSO,DATOS!$D12031,nESPEC,DATOS!$E12031,nASIG,DATOS!$I12031,nEVAL,"OR")=0))</f>
      </c>
      <c r="I12031">
        <f>IF(DATOS!$I12031="","",IFERROR(VLOOKUP(DATOS!$I12031,CONFIG_ASIGNATURAS!$B$2:$J$91,9,FALSE()),""))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IF(DATOS!$A12032="",0,IF(CONFIG_METADATA!$B$4&lt;&gt;"OR+EX",--(DATOS!$G12032=CONFIG_METADATA!$B$4),IF(DATOS!$G12032="EX",1,IF(DATOS!$G12032="OR",--(COUNTIFS(nNIA,DATOS!$A12032,nCURSO,DATOS!$D12032,nESPEC,DATOS!$E12032,nASIG,DATOS!$I12032,nEVAL,"EX")=0),0))))</f>
      </c>
      <c r="H12032">
        <f>IF(DATOS!$G12032&lt;&gt;"EX",0,--(COUNTIFS(nNIA,DATOS!$A12032,nCURSO,DATOS!$D12032,nESPEC,DATOS!$E12032,nASIG,DATOS!$I12032,nEVAL,"OR")=0))</f>
      </c>
      <c r="I12032">
        <f>IF(DATOS!$I12032="","",IFERROR(VLOOKUP(DATOS!$I12032,CONFIG_ASIGNATURAS!$B$2:$J$91,9,FALSE()),""))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IF(DATOS!$A12033="",0,IF(CONFIG_METADATA!$B$4&lt;&gt;"OR+EX",--(DATOS!$G12033=CONFIG_METADATA!$B$4),IF(DATOS!$G12033="EX",1,IF(DATOS!$G12033="OR",--(COUNTIFS(nNIA,DATOS!$A12033,nCURSO,DATOS!$D12033,nESPEC,DATOS!$E12033,nASIG,DATOS!$I12033,nEVAL,"EX")=0),0))))</f>
      </c>
      <c r="H12033">
        <f>IF(DATOS!$G12033&lt;&gt;"EX",0,--(COUNTIFS(nNIA,DATOS!$A12033,nCURSO,DATOS!$D12033,nESPEC,DATOS!$E12033,nASIG,DATOS!$I12033,nEVAL,"OR")=0))</f>
      </c>
      <c r="I12033">
        <f>IF(DATOS!$I12033="","",IFERROR(VLOOKUP(DATOS!$I12033,CONFIG_ASIGNATURAS!$B$2:$J$91,9,FALSE()),""))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IF(DATOS!$A12034="",0,IF(CONFIG_METADATA!$B$4&lt;&gt;"OR+EX",--(DATOS!$G12034=CONFIG_METADATA!$B$4),IF(DATOS!$G12034="EX",1,IF(DATOS!$G12034="OR",--(COUNTIFS(nNIA,DATOS!$A12034,nCURSO,DATOS!$D12034,nESPEC,DATOS!$E12034,nASIG,DATOS!$I12034,nEVAL,"EX")=0),0))))</f>
      </c>
      <c r="H12034">
        <f>IF(DATOS!$G12034&lt;&gt;"EX",0,--(COUNTIFS(nNIA,DATOS!$A12034,nCURSO,DATOS!$D12034,nESPEC,DATOS!$E12034,nASIG,DATOS!$I12034,nEVAL,"OR")=0))</f>
      </c>
      <c r="I12034">
        <f>IF(DATOS!$I12034="","",IFERROR(VLOOKUP(DATOS!$I12034,CONFIG_ASIGNATURAS!$B$2:$J$91,9,FALSE()),""))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IF(DATOS!$A12035="",0,IF(CONFIG_METADATA!$B$4&lt;&gt;"OR+EX",--(DATOS!$G12035=CONFIG_METADATA!$B$4),IF(DATOS!$G12035="EX",1,IF(DATOS!$G12035="OR",--(COUNTIFS(nNIA,DATOS!$A12035,nCURSO,DATOS!$D12035,nESPEC,DATOS!$E12035,nASIG,DATOS!$I12035,nEVAL,"EX")=0),0))))</f>
      </c>
      <c r="H12035">
        <f>IF(DATOS!$G12035&lt;&gt;"EX",0,--(COUNTIFS(nNIA,DATOS!$A12035,nCURSO,DATOS!$D12035,nESPEC,DATOS!$E12035,nASIG,DATOS!$I12035,nEVAL,"OR")=0))</f>
      </c>
      <c r="I12035">
        <f>IF(DATOS!$I12035="","",IFERROR(VLOOKUP(DATOS!$I12035,CONFIG_ASIGNATURAS!$B$2:$J$91,9,FALSE()),""))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IF(DATOS!$A12036="",0,IF(CONFIG_METADATA!$B$4&lt;&gt;"OR+EX",--(DATOS!$G12036=CONFIG_METADATA!$B$4),IF(DATOS!$G12036="EX",1,IF(DATOS!$G12036="OR",--(COUNTIFS(nNIA,DATOS!$A12036,nCURSO,DATOS!$D12036,nESPEC,DATOS!$E12036,nASIG,DATOS!$I12036,nEVAL,"EX")=0),0))))</f>
      </c>
      <c r="H12036">
        <f>IF(DATOS!$G12036&lt;&gt;"EX",0,--(COUNTIFS(nNIA,DATOS!$A12036,nCURSO,DATOS!$D12036,nESPEC,DATOS!$E12036,nASIG,DATOS!$I12036,nEVAL,"OR")=0))</f>
      </c>
      <c r="I12036">
        <f>IF(DATOS!$I12036="","",IFERROR(VLOOKUP(DATOS!$I12036,CONFIG_ASIGNATURAS!$B$2:$J$91,9,FALSE()),""))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IF(DATOS!$A12037="",0,IF(CONFIG_METADATA!$B$4&lt;&gt;"OR+EX",--(DATOS!$G12037=CONFIG_METADATA!$B$4),IF(DATOS!$G12037="EX",1,IF(DATOS!$G12037="OR",--(COUNTIFS(nNIA,DATOS!$A12037,nCURSO,DATOS!$D12037,nESPEC,DATOS!$E12037,nASIG,DATOS!$I12037,nEVAL,"EX")=0),0))))</f>
      </c>
      <c r="H12037">
        <f>IF(DATOS!$G12037&lt;&gt;"EX",0,--(COUNTIFS(nNIA,DATOS!$A12037,nCURSO,DATOS!$D12037,nESPEC,DATOS!$E12037,nASIG,DATOS!$I12037,nEVAL,"OR")=0))</f>
      </c>
      <c r="I12037">
        <f>IF(DATOS!$I12037="","",IFERROR(VLOOKUP(DATOS!$I12037,CONFIG_ASIGNATURAS!$B$2:$J$91,9,FALSE()),""))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IF(DATOS!$A12038="",0,IF(CONFIG_METADATA!$B$4&lt;&gt;"OR+EX",--(DATOS!$G12038=CONFIG_METADATA!$B$4),IF(DATOS!$G12038="EX",1,IF(DATOS!$G12038="OR",--(COUNTIFS(nNIA,DATOS!$A12038,nCURSO,DATOS!$D12038,nESPEC,DATOS!$E12038,nASIG,DATOS!$I12038,nEVAL,"EX")=0),0))))</f>
      </c>
      <c r="H12038">
        <f>IF(DATOS!$G12038&lt;&gt;"EX",0,--(COUNTIFS(nNIA,DATOS!$A12038,nCURSO,DATOS!$D12038,nESPEC,DATOS!$E12038,nASIG,DATOS!$I12038,nEVAL,"OR")=0))</f>
      </c>
      <c r="I12038">
        <f>IF(DATOS!$I12038="","",IFERROR(VLOOKUP(DATOS!$I12038,CONFIG_ASIGNATURAS!$B$2:$J$91,9,FALSE()),""))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IF(DATOS!$A12039="",0,IF(CONFIG_METADATA!$B$4&lt;&gt;"OR+EX",--(DATOS!$G12039=CONFIG_METADATA!$B$4),IF(DATOS!$G12039="EX",1,IF(DATOS!$G12039="OR",--(COUNTIFS(nNIA,DATOS!$A12039,nCURSO,DATOS!$D12039,nESPEC,DATOS!$E12039,nASIG,DATOS!$I12039,nEVAL,"EX")=0),0))))</f>
      </c>
      <c r="H12039">
        <f>IF(DATOS!$G12039&lt;&gt;"EX",0,--(COUNTIFS(nNIA,DATOS!$A12039,nCURSO,DATOS!$D12039,nESPEC,DATOS!$E12039,nASIG,DATOS!$I12039,nEVAL,"OR")=0))</f>
      </c>
      <c r="I12039">
        <f>IF(DATOS!$I12039="","",IFERROR(VLOOKUP(DATOS!$I12039,CONFIG_ASIGNATURAS!$B$2:$J$91,9,FALSE()),""))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IF(DATOS!$A12040="",0,IF(CONFIG_METADATA!$B$4&lt;&gt;"OR+EX",--(DATOS!$G12040=CONFIG_METADATA!$B$4),IF(DATOS!$G12040="EX",1,IF(DATOS!$G12040="OR",--(COUNTIFS(nNIA,DATOS!$A12040,nCURSO,DATOS!$D12040,nESPEC,DATOS!$E12040,nASIG,DATOS!$I12040,nEVAL,"EX")=0),0))))</f>
      </c>
      <c r="H12040">
        <f>IF(DATOS!$G12040&lt;&gt;"EX",0,--(COUNTIFS(nNIA,DATOS!$A12040,nCURSO,DATOS!$D12040,nESPEC,DATOS!$E12040,nASIG,DATOS!$I12040,nEVAL,"OR")=0))</f>
      </c>
      <c r="I12040">
        <f>IF(DATOS!$I12040="","",IFERROR(VLOOKUP(DATOS!$I12040,CONFIG_ASIGNATURAS!$B$2:$J$91,9,FALSE()),""))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IF(DATOS!$A12041="",0,IF(CONFIG_METADATA!$B$4&lt;&gt;"OR+EX",--(DATOS!$G12041=CONFIG_METADATA!$B$4),IF(DATOS!$G12041="EX",1,IF(DATOS!$G12041="OR",--(COUNTIFS(nNIA,DATOS!$A12041,nCURSO,DATOS!$D12041,nESPEC,DATOS!$E12041,nASIG,DATOS!$I12041,nEVAL,"EX")=0),0))))</f>
      </c>
      <c r="H12041">
        <f>IF(DATOS!$G12041&lt;&gt;"EX",0,--(COUNTIFS(nNIA,DATOS!$A12041,nCURSO,DATOS!$D12041,nESPEC,DATOS!$E12041,nASIG,DATOS!$I12041,nEVAL,"OR")=0))</f>
      </c>
      <c r="I12041">
        <f>IF(DATOS!$I12041="","",IFERROR(VLOOKUP(DATOS!$I12041,CONFIG_ASIGNATURAS!$B$2:$J$91,9,FALSE()),""))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IF(DATOS!$A12042="",0,IF(CONFIG_METADATA!$B$4&lt;&gt;"OR+EX",--(DATOS!$G12042=CONFIG_METADATA!$B$4),IF(DATOS!$G12042="EX",1,IF(DATOS!$G12042="OR",--(COUNTIFS(nNIA,DATOS!$A12042,nCURSO,DATOS!$D12042,nESPEC,DATOS!$E12042,nASIG,DATOS!$I12042,nEVAL,"EX")=0),0))))</f>
      </c>
      <c r="H12042">
        <f>IF(DATOS!$G12042&lt;&gt;"EX",0,--(COUNTIFS(nNIA,DATOS!$A12042,nCURSO,DATOS!$D12042,nESPEC,DATOS!$E12042,nASIG,DATOS!$I12042,nEVAL,"OR")=0))</f>
      </c>
      <c r="I12042">
        <f>IF(DATOS!$I12042="","",IFERROR(VLOOKUP(DATOS!$I12042,CONFIG_ASIGNATURAS!$B$2:$J$91,9,FALSE()),""))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IF(DATOS!$A12043="",0,IF(CONFIG_METADATA!$B$4&lt;&gt;"OR+EX",--(DATOS!$G12043=CONFIG_METADATA!$B$4),IF(DATOS!$G12043="EX",1,IF(DATOS!$G12043="OR",--(COUNTIFS(nNIA,DATOS!$A12043,nCURSO,DATOS!$D12043,nESPEC,DATOS!$E12043,nASIG,DATOS!$I12043,nEVAL,"EX")=0),0))))</f>
      </c>
      <c r="H12043">
        <f>IF(DATOS!$G12043&lt;&gt;"EX",0,--(COUNTIFS(nNIA,DATOS!$A12043,nCURSO,DATOS!$D12043,nESPEC,DATOS!$E12043,nASIG,DATOS!$I12043,nEVAL,"OR")=0))</f>
      </c>
      <c r="I12043">
        <f>IF(DATOS!$I12043="","",IFERROR(VLOOKUP(DATOS!$I12043,CONFIG_ASIGNATURAS!$B$2:$J$91,9,FALSE()),""))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IF(DATOS!$A12044="",0,IF(CONFIG_METADATA!$B$4&lt;&gt;"OR+EX",--(DATOS!$G12044=CONFIG_METADATA!$B$4),IF(DATOS!$G12044="EX",1,IF(DATOS!$G12044="OR",--(COUNTIFS(nNIA,DATOS!$A12044,nCURSO,DATOS!$D12044,nESPEC,DATOS!$E12044,nASIG,DATOS!$I12044,nEVAL,"EX")=0),0))))</f>
      </c>
      <c r="H12044">
        <f>IF(DATOS!$G12044&lt;&gt;"EX",0,--(COUNTIFS(nNIA,DATOS!$A12044,nCURSO,DATOS!$D12044,nESPEC,DATOS!$E12044,nASIG,DATOS!$I12044,nEVAL,"OR")=0))</f>
      </c>
      <c r="I12044">
        <f>IF(DATOS!$I12044="","",IFERROR(VLOOKUP(DATOS!$I12044,CONFIG_ASIGNATURAS!$B$2:$J$91,9,FALSE()),""))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IF(DATOS!$A12045="",0,IF(CONFIG_METADATA!$B$4&lt;&gt;"OR+EX",--(DATOS!$G12045=CONFIG_METADATA!$B$4),IF(DATOS!$G12045="EX",1,IF(DATOS!$G12045="OR",--(COUNTIFS(nNIA,DATOS!$A12045,nCURSO,DATOS!$D12045,nESPEC,DATOS!$E12045,nASIG,DATOS!$I12045,nEVAL,"EX")=0),0))))</f>
      </c>
      <c r="H12045">
        <f>IF(DATOS!$G12045&lt;&gt;"EX",0,--(COUNTIFS(nNIA,DATOS!$A12045,nCURSO,DATOS!$D12045,nESPEC,DATOS!$E12045,nASIG,DATOS!$I12045,nEVAL,"OR")=0))</f>
      </c>
      <c r="I12045">
        <f>IF(DATOS!$I12045="","",IFERROR(VLOOKUP(DATOS!$I12045,CONFIG_ASIGNATURAS!$B$2:$J$91,9,FALSE()),""))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IF(DATOS!$A12046="",0,IF(CONFIG_METADATA!$B$4&lt;&gt;"OR+EX",--(DATOS!$G12046=CONFIG_METADATA!$B$4),IF(DATOS!$G12046="EX",1,IF(DATOS!$G12046="OR",--(COUNTIFS(nNIA,DATOS!$A12046,nCURSO,DATOS!$D12046,nESPEC,DATOS!$E12046,nASIG,DATOS!$I12046,nEVAL,"EX")=0),0))))</f>
      </c>
      <c r="H12046">
        <f>IF(DATOS!$G12046&lt;&gt;"EX",0,--(COUNTIFS(nNIA,DATOS!$A12046,nCURSO,DATOS!$D12046,nESPEC,DATOS!$E12046,nASIG,DATOS!$I12046,nEVAL,"OR")=0))</f>
      </c>
      <c r="I12046">
        <f>IF(DATOS!$I12046="","",IFERROR(VLOOKUP(DATOS!$I12046,CONFIG_ASIGNATURAS!$B$2:$J$91,9,FALSE()),""))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IF(DATOS!$A12047="",0,IF(CONFIG_METADATA!$B$4&lt;&gt;"OR+EX",--(DATOS!$G12047=CONFIG_METADATA!$B$4),IF(DATOS!$G12047="EX",1,IF(DATOS!$G12047="OR",--(COUNTIFS(nNIA,DATOS!$A12047,nCURSO,DATOS!$D12047,nESPEC,DATOS!$E12047,nASIG,DATOS!$I12047,nEVAL,"EX")=0),0))))</f>
      </c>
      <c r="H12047">
        <f>IF(DATOS!$G12047&lt;&gt;"EX",0,--(COUNTIFS(nNIA,DATOS!$A12047,nCURSO,DATOS!$D12047,nESPEC,DATOS!$E12047,nASIG,DATOS!$I12047,nEVAL,"OR")=0))</f>
      </c>
      <c r="I12047">
        <f>IF(DATOS!$I12047="","",IFERROR(VLOOKUP(DATOS!$I12047,CONFIG_ASIGNATURAS!$B$2:$J$91,9,FALSE()),""))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IF(DATOS!$A12048="",0,IF(CONFIG_METADATA!$B$4&lt;&gt;"OR+EX",--(DATOS!$G12048=CONFIG_METADATA!$B$4),IF(DATOS!$G12048="EX",1,IF(DATOS!$G12048="OR",--(COUNTIFS(nNIA,DATOS!$A12048,nCURSO,DATOS!$D12048,nESPEC,DATOS!$E12048,nASIG,DATOS!$I12048,nEVAL,"EX")=0),0))))</f>
      </c>
      <c r="H12048">
        <f>IF(DATOS!$G12048&lt;&gt;"EX",0,--(COUNTIFS(nNIA,DATOS!$A12048,nCURSO,DATOS!$D12048,nESPEC,DATOS!$E12048,nASIG,DATOS!$I12048,nEVAL,"OR")=0))</f>
      </c>
      <c r="I12048">
        <f>IF(DATOS!$I12048="","",IFERROR(VLOOKUP(DATOS!$I12048,CONFIG_ASIGNATURAS!$B$2:$J$91,9,FALSE()),""))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IF(DATOS!$A12049="",0,IF(CONFIG_METADATA!$B$4&lt;&gt;"OR+EX",--(DATOS!$G12049=CONFIG_METADATA!$B$4),IF(DATOS!$G12049="EX",1,IF(DATOS!$G12049="OR",--(COUNTIFS(nNIA,DATOS!$A12049,nCURSO,DATOS!$D12049,nESPEC,DATOS!$E12049,nASIG,DATOS!$I12049,nEVAL,"EX")=0),0))))</f>
      </c>
      <c r="H12049">
        <f>IF(DATOS!$G12049&lt;&gt;"EX",0,--(COUNTIFS(nNIA,DATOS!$A12049,nCURSO,DATOS!$D12049,nESPEC,DATOS!$E12049,nASIG,DATOS!$I12049,nEVAL,"OR")=0))</f>
      </c>
      <c r="I12049">
        <f>IF(DATOS!$I12049="","",IFERROR(VLOOKUP(DATOS!$I12049,CONFIG_ASIGNATURAS!$B$2:$J$91,9,FALSE()),""))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IF(DATOS!$A12050="",0,IF(CONFIG_METADATA!$B$4&lt;&gt;"OR+EX",--(DATOS!$G12050=CONFIG_METADATA!$B$4),IF(DATOS!$G12050="EX",1,IF(DATOS!$G12050="OR",--(COUNTIFS(nNIA,DATOS!$A12050,nCURSO,DATOS!$D12050,nESPEC,DATOS!$E12050,nASIG,DATOS!$I12050,nEVAL,"EX")=0),0))))</f>
      </c>
      <c r="H12050">
        <f>IF(DATOS!$G12050&lt;&gt;"EX",0,--(COUNTIFS(nNIA,DATOS!$A12050,nCURSO,DATOS!$D12050,nESPEC,DATOS!$E12050,nASIG,DATOS!$I12050,nEVAL,"OR")=0))</f>
      </c>
      <c r="I12050">
        <f>IF(DATOS!$I12050="","",IFERROR(VLOOKUP(DATOS!$I12050,CONFIG_ASIGNATURAS!$B$2:$J$91,9,FALSE()),""))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IF(DATOS!$A12051="",0,IF(CONFIG_METADATA!$B$4&lt;&gt;"OR+EX",--(DATOS!$G12051=CONFIG_METADATA!$B$4),IF(DATOS!$G12051="EX",1,IF(DATOS!$G12051="OR",--(COUNTIFS(nNIA,DATOS!$A12051,nCURSO,DATOS!$D12051,nESPEC,DATOS!$E12051,nASIG,DATOS!$I12051,nEVAL,"EX")=0),0))))</f>
      </c>
      <c r="H12051">
        <f>IF(DATOS!$G12051&lt;&gt;"EX",0,--(COUNTIFS(nNIA,DATOS!$A12051,nCURSO,DATOS!$D12051,nESPEC,DATOS!$E12051,nASIG,DATOS!$I12051,nEVAL,"OR")=0))</f>
      </c>
      <c r="I12051">
        <f>IF(DATOS!$I12051="","",IFERROR(VLOOKUP(DATOS!$I12051,CONFIG_ASIGNATURAS!$B$2:$J$91,9,FALSE()),""))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IF(DATOS!$A12052="",0,IF(CONFIG_METADATA!$B$4&lt;&gt;"OR+EX",--(DATOS!$G12052=CONFIG_METADATA!$B$4),IF(DATOS!$G12052="EX",1,IF(DATOS!$G12052="OR",--(COUNTIFS(nNIA,DATOS!$A12052,nCURSO,DATOS!$D12052,nESPEC,DATOS!$E12052,nASIG,DATOS!$I12052,nEVAL,"EX")=0),0))))</f>
      </c>
      <c r="H12052">
        <f>IF(DATOS!$G12052&lt;&gt;"EX",0,--(COUNTIFS(nNIA,DATOS!$A12052,nCURSO,DATOS!$D12052,nESPEC,DATOS!$E12052,nASIG,DATOS!$I12052,nEVAL,"OR")=0))</f>
      </c>
      <c r="I12052">
        <f>IF(DATOS!$I12052="","",IFERROR(VLOOKUP(DATOS!$I12052,CONFIG_ASIGNATURAS!$B$2:$J$91,9,FALSE()),""))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IF(DATOS!$A12053="",0,IF(CONFIG_METADATA!$B$4&lt;&gt;"OR+EX",--(DATOS!$G12053=CONFIG_METADATA!$B$4),IF(DATOS!$G12053="EX",1,IF(DATOS!$G12053="OR",--(COUNTIFS(nNIA,DATOS!$A12053,nCURSO,DATOS!$D12053,nESPEC,DATOS!$E12053,nASIG,DATOS!$I12053,nEVAL,"EX")=0),0))))</f>
      </c>
      <c r="H12053">
        <f>IF(DATOS!$G12053&lt;&gt;"EX",0,--(COUNTIFS(nNIA,DATOS!$A12053,nCURSO,DATOS!$D12053,nESPEC,DATOS!$E12053,nASIG,DATOS!$I12053,nEVAL,"OR")=0))</f>
      </c>
      <c r="I12053">
        <f>IF(DATOS!$I12053="","",IFERROR(VLOOKUP(DATOS!$I12053,CONFIG_ASIGNATURAS!$B$2:$J$91,9,FALSE()),""))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IF(DATOS!$A12054="",0,IF(CONFIG_METADATA!$B$4&lt;&gt;"OR+EX",--(DATOS!$G12054=CONFIG_METADATA!$B$4),IF(DATOS!$G12054="EX",1,IF(DATOS!$G12054="OR",--(COUNTIFS(nNIA,DATOS!$A12054,nCURSO,DATOS!$D12054,nESPEC,DATOS!$E12054,nASIG,DATOS!$I12054,nEVAL,"EX")=0),0))))</f>
      </c>
      <c r="H12054">
        <f>IF(DATOS!$G12054&lt;&gt;"EX",0,--(COUNTIFS(nNIA,DATOS!$A12054,nCURSO,DATOS!$D12054,nESPEC,DATOS!$E12054,nASIG,DATOS!$I12054,nEVAL,"OR")=0))</f>
      </c>
      <c r="I12054">
        <f>IF(DATOS!$I12054="","",IFERROR(VLOOKUP(DATOS!$I12054,CONFIG_ASIGNATURAS!$B$2:$J$91,9,FALSE()),""))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IF(DATOS!$A12055="",0,IF(CONFIG_METADATA!$B$4&lt;&gt;"OR+EX",--(DATOS!$G12055=CONFIG_METADATA!$B$4),IF(DATOS!$G12055="EX",1,IF(DATOS!$G12055="OR",--(COUNTIFS(nNIA,DATOS!$A12055,nCURSO,DATOS!$D12055,nESPEC,DATOS!$E12055,nASIG,DATOS!$I12055,nEVAL,"EX")=0),0))))</f>
      </c>
      <c r="H12055">
        <f>IF(DATOS!$G12055&lt;&gt;"EX",0,--(COUNTIFS(nNIA,DATOS!$A12055,nCURSO,DATOS!$D12055,nESPEC,DATOS!$E12055,nASIG,DATOS!$I12055,nEVAL,"OR")=0))</f>
      </c>
      <c r="I12055">
        <f>IF(DATOS!$I12055="","",IFERROR(VLOOKUP(DATOS!$I12055,CONFIG_ASIGNATURAS!$B$2:$J$91,9,FALSE()),""))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IF(DATOS!$A12056="",0,IF(CONFIG_METADATA!$B$4&lt;&gt;"OR+EX",--(DATOS!$G12056=CONFIG_METADATA!$B$4),IF(DATOS!$G12056="EX",1,IF(DATOS!$G12056="OR",--(COUNTIFS(nNIA,DATOS!$A12056,nCURSO,DATOS!$D12056,nESPEC,DATOS!$E12056,nASIG,DATOS!$I12056,nEVAL,"EX")=0),0))))</f>
      </c>
      <c r="H12056">
        <f>IF(DATOS!$G12056&lt;&gt;"EX",0,--(COUNTIFS(nNIA,DATOS!$A12056,nCURSO,DATOS!$D12056,nESPEC,DATOS!$E12056,nASIG,DATOS!$I12056,nEVAL,"OR")=0))</f>
      </c>
      <c r="I12056">
        <f>IF(DATOS!$I12056="","",IFERROR(VLOOKUP(DATOS!$I12056,CONFIG_ASIGNATURAS!$B$2:$J$91,9,FALSE()),""))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IF(DATOS!$A12057="",0,IF(CONFIG_METADATA!$B$4&lt;&gt;"OR+EX",--(DATOS!$G12057=CONFIG_METADATA!$B$4),IF(DATOS!$G12057="EX",1,IF(DATOS!$G12057="OR",--(COUNTIFS(nNIA,DATOS!$A12057,nCURSO,DATOS!$D12057,nESPEC,DATOS!$E12057,nASIG,DATOS!$I12057,nEVAL,"EX")=0),0))))</f>
      </c>
      <c r="H12057">
        <f>IF(DATOS!$G12057&lt;&gt;"EX",0,--(COUNTIFS(nNIA,DATOS!$A12057,nCURSO,DATOS!$D12057,nESPEC,DATOS!$E12057,nASIG,DATOS!$I12057,nEVAL,"OR")=0))</f>
      </c>
      <c r="I12057">
        <f>IF(DATOS!$I12057="","",IFERROR(VLOOKUP(DATOS!$I12057,CONFIG_ASIGNATURAS!$B$2:$J$91,9,FALSE()),""))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IF(DATOS!$A12058="",0,IF(CONFIG_METADATA!$B$4&lt;&gt;"OR+EX",--(DATOS!$G12058=CONFIG_METADATA!$B$4),IF(DATOS!$G12058="EX",1,IF(DATOS!$G12058="OR",--(COUNTIFS(nNIA,DATOS!$A12058,nCURSO,DATOS!$D12058,nESPEC,DATOS!$E12058,nASIG,DATOS!$I12058,nEVAL,"EX")=0),0))))</f>
      </c>
      <c r="H12058">
        <f>IF(DATOS!$G12058&lt;&gt;"EX",0,--(COUNTIFS(nNIA,DATOS!$A12058,nCURSO,DATOS!$D12058,nESPEC,DATOS!$E12058,nASIG,DATOS!$I12058,nEVAL,"OR")=0))</f>
      </c>
      <c r="I12058">
        <f>IF(DATOS!$I12058="","",IFERROR(VLOOKUP(DATOS!$I12058,CONFIG_ASIGNATURAS!$B$2:$J$91,9,FALSE()),""))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IF(DATOS!$A12059="",0,IF(CONFIG_METADATA!$B$4&lt;&gt;"OR+EX",--(DATOS!$G12059=CONFIG_METADATA!$B$4),IF(DATOS!$G12059="EX",1,IF(DATOS!$G12059="OR",--(COUNTIFS(nNIA,DATOS!$A12059,nCURSO,DATOS!$D12059,nESPEC,DATOS!$E12059,nASIG,DATOS!$I12059,nEVAL,"EX")=0),0))))</f>
      </c>
      <c r="H12059">
        <f>IF(DATOS!$G12059&lt;&gt;"EX",0,--(COUNTIFS(nNIA,DATOS!$A12059,nCURSO,DATOS!$D12059,nESPEC,DATOS!$E12059,nASIG,DATOS!$I12059,nEVAL,"OR")=0))</f>
      </c>
      <c r="I12059">
        <f>IF(DATOS!$I12059="","",IFERROR(VLOOKUP(DATOS!$I12059,CONFIG_ASIGNATURAS!$B$2:$J$91,9,FALSE()),""))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IF(DATOS!$A12060="",0,IF(CONFIG_METADATA!$B$4&lt;&gt;"OR+EX",--(DATOS!$G12060=CONFIG_METADATA!$B$4),IF(DATOS!$G12060="EX",1,IF(DATOS!$G12060="OR",--(COUNTIFS(nNIA,DATOS!$A12060,nCURSO,DATOS!$D12060,nESPEC,DATOS!$E12060,nASIG,DATOS!$I12060,nEVAL,"EX")=0),0))))</f>
      </c>
      <c r="H12060">
        <f>IF(DATOS!$G12060&lt;&gt;"EX",0,--(COUNTIFS(nNIA,DATOS!$A12060,nCURSO,DATOS!$D12060,nESPEC,DATOS!$E12060,nASIG,DATOS!$I12060,nEVAL,"OR")=0))</f>
      </c>
      <c r="I12060">
        <f>IF(DATOS!$I12060="","",IFERROR(VLOOKUP(DATOS!$I12060,CONFIG_ASIGNATURAS!$B$2:$J$91,9,FALSE()),""))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IF(DATOS!$A12061="",0,IF(CONFIG_METADATA!$B$4&lt;&gt;"OR+EX",--(DATOS!$G12061=CONFIG_METADATA!$B$4),IF(DATOS!$G12061="EX",1,IF(DATOS!$G12061="OR",--(COUNTIFS(nNIA,DATOS!$A12061,nCURSO,DATOS!$D12061,nESPEC,DATOS!$E12061,nASIG,DATOS!$I12061,nEVAL,"EX")=0),0))))</f>
      </c>
      <c r="H12061">
        <f>IF(DATOS!$G12061&lt;&gt;"EX",0,--(COUNTIFS(nNIA,DATOS!$A12061,nCURSO,DATOS!$D12061,nESPEC,DATOS!$E12061,nASIG,DATOS!$I12061,nEVAL,"OR")=0))</f>
      </c>
      <c r="I12061">
        <f>IF(DATOS!$I12061="","",IFERROR(VLOOKUP(DATOS!$I12061,CONFIG_ASIGNATURAS!$B$2:$J$91,9,FALSE()),""))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IF(DATOS!$A12062="",0,IF(CONFIG_METADATA!$B$4&lt;&gt;"OR+EX",--(DATOS!$G12062=CONFIG_METADATA!$B$4),IF(DATOS!$G12062="EX",1,IF(DATOS!$G12062="OR",--(COUNTIFS(nNIA,DATOS!$A12062,nCURSO,DATOS!$D12062,nESPEC,DATOS!$E12062,nASIG,DATOS!$I12062,nEVAL,"EX")=0),0))))</f>
      </c>
      <c r="H12062">
        <f>IF(DATOS!$G12062&lt;&gt;"EX",0,--(COUNTIFS(nNIA,DATOS!$A12062,nCURSO,DATOS!$D12062,nESPEC,DATOS!$E12062,nASIG,DATOS!$I12062,nEVAL,"OR")=0))</f>
      </c>
      <c r="I12062">
        <f>IF(DATOS!$I12062="","",IFERROR(VLOOKUP(DATOS!$I12062,CONFIG_ASIGNATURAS!$B$2:$J$91,9,FALSE()),""))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IF(DATOS!$A12063="",0,IF(CONFIG_METADATA!$B$4&lt;&gt;"OR+EX",--(DATOS!$G12063=CONFIG_METADATA!$B$4),IF(DATOS!$G12063="EX",1,IF(DATOS!$G12063="OR",--(COUNTIFS(nNIA,DATOS!$A12063,nCURSO,DATOS!$D12063,nESPEC,DATOS!$E12063,nASIG,DATOS!$I12063,nEVAL,"EX")=0),0))))</f>
      </c>
      <c r="H12063">
        <f>IF(DATOS!$G12063&lt;&gt;"EX",0,--(COUNTIFS(nNIA,DATOS!$A12063,nCURSO,DATOS!$D12063,nESPEC,DATOS!$E12063,nASIG,DATOS!$I12063,nEVAL,"OR")=0))</f>
      </c>
      <c r="I12063">
        <f>IF(DATOS!$I12063="","",IFERROR(VLOOKUP(DATOS!$I12063,CONFIG_ASIGNATURAS!$B$2:$J$91,9,FALSE()),""))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IF(DATOS!$A12064="",0,IF(CONFIG_METADATA!$B$4&lt;&gt;"OR+EX",--(DATOS!$G12064=CONFIG_METADATA!$B$4),IF(DATOS!$G12064="EX",1,IF(DATOS!$G12064="OR",--(COUNTIFS(nNIA,DATOS!$A12064,nCURSO,DATOS!$D12064,nESPEC,DATOS!$E12064,nASIG,DATOS!$I12064,nEVAL,"EX")=0),0))))</f>
      </c>
      <c r="H12064">
        <f>IF(DATOS!$G12064&lt;&gt;"EX",0,--(COUNTIFS(nNIA,DATOS!$A12064,nCURSO,DATOS!$D12064,nESPEC,DATOS!$E12064,nASIG,DATOS!$I12064,nEVAL,"OR")=0))</f>
      </c>
      <c r="I12064">
        <f>IF(DATOS!$I12064="","",IFERROR(VLOOKUP(DATOS!$I12064,CONFIG_ASIGNATURAS!$B$2:$J$91,9,FALSE()),""))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IF(DATOS!$A12065="",0,IF(CONFIG_METADATA!$B$4&lt;&gt;"OR+EX",--(DATOS!$G12065=CONFIG_METADATA!$B$4),IF(DATOS!$G12065="EX",1,IF(DATOS!$G12065="OR",--(COUNTIFS(nNIA,DATOS!$A12065,nCURSO,DATOS!$D12065,nESPEC,DATOS!$E12065,nASIG,DATOS!$I12065,nEVAL,"EX")=0),0))))</f>
      </c>
      <c r="H12065">
        <f>IF(DATOS!$G12065&lt;&gt;"EX",0,--(COUNTIFS(nNIA,DATOS!$A12065,nCURSO,DATOS!$D12065,nESPEC,DATOS!$E12065,nASIG,DATOS!$I12065,nEVAL,"OR")=0))</f>
      </c>
      <c r="I12065">
        <f>IF(DATOS!$I12065="","",IFERROR(VLOOKUP(DATOS!$I12065,CONFIG_ASIGNATURAS!$B$2:$J$91,9,FALSE()),""))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IF(DATOS!$A12066="",0,IF(CONFIG_METADATA!$B$4&lt;&gt;"OR+EX",--(DATOS!$G12066=CONFIG_METADATA!$B$4),IF(DATOS!$G12066="EX",1,IF(DATOS!$G12066="OR",--(COUNTIFS(nNIA,DATOS!$A12066,nCURSO,DATOS!$D12066,nESPEC,DATOS!$E12066,nASIG,DATOS!$I12066,nEVAL,"EX")=0),0))))</f>
      </c>
      <c r="H12066">
        <f>IF(DATOS!$G12066&lt;&gt;"EX",0,--(COUNTIFS(nNIA,DATOS!$A12066,nCURSO,DATOS!$D12066,nESPEC,DATOS!$E12066,nASIG,DATOS!$I12066,nEVAL,"OR")=0))</f>
      </c>
      <c r="I12066">
        <f>IF(DATOS!$I12066="","",IFERROR(VLOOKUP(DATOS!$I12066,CONFIG_ASIGNATURAS!$B$2:$J$91,9,FALSE()),""))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IF(DATOS!$A12067="",0,IF(CONFIG_METADATA!$B$4&lt;&gt;"OR+EX",--(DATOS!$G12067=CONFIG_METADATA!$B$4),IF(DATOS!$G12067="EX",1,IF(DATOS!$G12067="OR",--(COUNTIFS(nNIA,DATOS!$A12067,nCURSO,DATOS!$D12067,nESPEC,DATOS!$E12067,nASIG,DATOS!$I12067,nEVAL,"EX")=0),0))))</f>
      </c>
      <c r="H12067">
        <f>IF(DATOS!$G12067&lt;&gt;"EX",0,--(COUNTIFS(nNIA,DATOS!$A12067,nCURSO,DATOS!$D12067,nESPEC,DATOS!$E12067,nASIG,DATOS!$I12067,nEVAL,"OR")=0))</f>
      </c>
      <c r="I12067">
        <f>IF(DATOS!$I12067="","",IFERROR(VLOOKUP(DATOS!$I12067,CONFIG_ASIGNATURAS!$B$2:$J$91,9,FALSE()),""))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IF(DATOS!$A12068="",0,IF(CONFIG_METADATA!$B$4&lt;&gt;"OR+EX",--(DATOS!$G12068=CONFIG_METADATA!$B$4),IF(DATOS!$G12068="EX",1,IF(DATOS!$G12068="OR",--(COUNTIFS(nNIA,DATOS!$A12068,nCURSO,DATOS!$D12068,nESPEC,DATOS!$E12068,nASIG,DATOS!$I12068,nEVAL,"EX")=0),0))))</f>
      </c>
      <c r="H12068">
        <f>IF(DATOS!$G12068&lt;&gt;"EX",0,--(COUNTIFS(nNIA,DATOS!$A12068,nCURSO,DATOS!$D12068,nESPEC,DATOS!$E12068,nASIG,DATOS!$I12068,nEVAL,"OR")=0))</f>
      </c>
      <c r="I12068">
        <f>IF(DATOS!$I12068="","",IFERROR(VLOOKUP(DATOS!$I12068,CONFIG_ASIGNATURAS!$B$2:$J$91,9,FALSE()),""))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IF(DATOS!$A12069="",0,IF(CONFIG_METADATA!$B$4&lt;&gt;"OR+EX",--(DATOS!$G12069=CONFIG_METADATA!$B$4),IF(DATOS!$G12069="EX",1,IF(DATOS!$G12069="OR",--(COUNTIFS(nNIA,DATOS!$A12069,nCURSO,DATOS!$D12069,nESPEC,DATOS!$E12069,nASIG,DATOS!$I12069,nEVAL,"EX")=0),0))))</f>
      </c>
      <c r="H12069">
        <f>IF(DATOS!$G12069&lt;&gt;"EX",0,--(COUNTIFS(nNIA,DATOS!$A12069,nCURSO,DATOS!$D12069,nESPEC,DATOS!$E12069,nASIG,DATOS!$I12069,nEVAL,"OR")=0))</f>
      </c>
      <c r="I12069">
        <f>IF(DATOS!$I12069="","",IFERROR(VLOOKUP(DATOS!$I12069,CONFIG_ASIGNATURAS!$B$2:$J$91,9,FALSE()),""))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IF(DATOS!$A12070="",0,IF(CONFIG_METADATA!$B$4&lt;&gt;"OR+EX",--(DATOS!$G12070=CONFIG_METADATA!$B$4),IF(DATOS!$G12070="EX",1,IF(DATOS!$G12070="OR",--(COUNTIFS(nNIA,DATOS!$A12070,nCURSO,DATOS!$D12070,nESPEC,DATOS!$E12070,nASIG,DATOS!$I12070,nEVAL,"EX")=0),0))))</f>
      </c>
      <c r="H12070">
        <f>IF(DATOS!$G12070&lt;&gt;"EX",0,--(COUNTIFS(nNIA,DATOS!$A12070,nCURSO,DATOS!$D12070,nESPEC,DATOS!$E12070,nASIG,DATOS!$I12070,nEVAL,"OR")=0))</f>
      </c>
      <c r="I12070">
        <f>IF(DATOS!$I12070="","",IFERROR(VLOOKUP(DATOS!$I12070,CONFIG_ASIGNATURAS!$B$2:$J$91,9,FALSE()),""))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IF(DATOS!$A12071="",0,IF(CONFIG_METADATA!$B$4&lt;&gt;"OR+EX",--(DATOS!$G12071=CONFIG_METADATA!$B$4),IF(DATOS!$G12071="EX",1,IF(DATOS!$G12071="OR",--(COUNTIFS(nNIA,DATOS!$A12071,nCURSO,DATOS!$D12071,nESPEC,DATOS!$E12071,nASIG,DATOS!$I12071,nEVAL,"EX")=0),0))))</f>
      </c>
      <c r="H12071">
        <f>IF(DATOS!$G12071&lt;&gt;"EX",0,--(COUNTIFS(nNIA,DATOS!$A12071,nCURSO,DATOS!$D12071,nESPEC,DATOS!$E12071,nASIG,DATOS!$I12071,nEVAL,"OR")=0))</f>
      </c>
      <c r="I12071">
        <f>IF(DATOS!$I12071="","",IFERROR(VLOOKUP(DATOS!$I12071,CONFIG_ASIGNATURAS!$B$2:$J$91,9,FALSE()),""))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IF(DATOS!$A12072="",0,IF(CONFIG_METADATA!$B$4&lt;&gt;"OR+EX",--(DATOS!$G12072=CONFIG_METADATA!$B$4),IF(DATOS!$G12072="EX",1,IF(DATOS!$G12072="OR",--(COUNTIFS(nNIA,DATOS!$A12072,nCURSO,DATOS!$D12072,nESPEC,DATOS!$E12072,nASIG,DATOS!$I12072,nEVAL,"EX")=0),0))))</f>
      </c>
      <c r="H12072">
        <f>IF(DATOS!$G12072&lt;&gt;"EX",0,--(COUNTIFS(nNIA,DATOS!$A12072,nCURSO,DATOS!$D12072,nESPEC,DATOS!$E12072,nASIG,DATOS!$I12072,nEVAL,"OR")=0))</f>
      </c>
      <c r="I12072">
        <f>IF(DATOS!$I12072="","",IFERROR(VLOOKUP(DATOS!$I12072,CONFIG_ASIGNATURAS!$B$2:$J$91,9,FALSE()),""))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IF(DATOS!$A12073="",0,IF(CONFIG_METADATA!$B$4&lt;&gt;"OR+EX",--(DATOS!$G12073=CONFIG_METADATA!$B$4),IF(DATOS!$G12073="EX",1,IF(DATOS!$G12073="OR",--(COUNTIFS(nNIA,DATOS!$A12073,nCURSO,DATOS!$D12073,nESPEC,DATOS!$E12073,nASIG,DATOS!$I12073,nEVAL,"EX")=0),0))))</f>
      </c>
      <c r="H12073">
        <f>IF(DATOS!$G12073&lt;&gt;"EX",0,--(COUNTIFS(nNIA,DATOS!$A12073,nCURSO,DATOS!$D12073,nESPEC,DATOS!$E12073,nASIG,DATOS!$I12073,nEVAL,"OR")=0))</f>
      </c>
      <c r="I12073">
        <f>IF(DATOS!$I12073="","",IFERROR(VLOOKUP(DATOS!$I12073,CONFIG_ASIGNATURAS!$B$2:$J$91,9,FALSE()),""))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IF(DATOS!$A12074="",0,IF(CONFIG_METADATA!$B$4&lt;&gt;"OR+EX",--(DATOS!$G12074=CONFIG_METADATA!$B$4),IF(DATOS!$G12074="EX",1,IF(DATOS!$G12074="OR",--(COUNTIFS(nNIA,DATOS!$A12074,nCURSO,DATOS!$D12074,nESPEC,DATOS!$E12074,nASIG,DATOS!$I12074,nEVAL,"EX")=0),0))))</f>
      </c>
      <c r="H12074">
        <f>IF(DATOS!$G12074&lt;&gt;"EX",0,--(COUNTIFS(nNIA,DATOS!$A12074,nCURSO,DATOS!$D12074,nESPEC,DATOS!$E12074,nASIG,DATOS!$I12074,nEVAL,"OR")=0))</f>
      </c>
      <c r="I12074">
        <f>IF(DATOS!$I12074="","",IFERROR(VLOOKUP(DATOS!$I12074,CONFIG_ASIGNATURAS!$B$2:$J$91,9,FALSE()),""))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IF(DATOS!$A12075="",0,IF(CONFIG_METADATA!$B$4&lt;&gt;"OR+EX",--(DATOS!$G12075=CONFIG_METADATA!$B$4),IF(DATOS!$G12075="EX",1,IF(DATOS!$G12075="OR",--(COUNTIFS(nNIA,DATOS!$A12075,nCURSO,DATOS!$D12075,nESPEC,DATOS!$E12075,nASIG,DATOS!$I12075,nEVAL,"EX")=0),0))))</f>
      </c>
      <c r="H12075">
        <f>IF(DATOS!$G12075&lt;&gt;"EX",0,--(COUNTIFS(nNIA,DATOS!$A12075,nCURSO,DATOS!$D12075,nESPEC,DATOS!$E12075,nASIG,DATOS!$I12075,nEVAL,"OR")=0))</f>
      </c>
      <c r="I12075">
        <f>IF(DATOS!$I12075="","",IFERROR(VLOOKUP(DATOS!$I12075,CONFIG_ASIGNATURAS!$B$2:$J$91,9,FALSE()),""))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IF(DATOS!$A12076="",0,IF(CONFIG_METADATA!$B$4&lt;&gt;"OR+EX",--(DATOS!$G12076=CONFIG_METADATA!$B$4),IF(DATOS!$G12076="EX",1,IF(DATOS!$G12076="OR",--(COUNTIFS(nNIA,DATOS!$A12076,nCURSO,DATOS!$D12076,nESPEC,DATOS!$E12076,nASIG,DATOS!$I12076,nEVAL,"EX")=0),0))))</f>
      </c>
      <c r="H12076">
        <f>IF(DATOS!$G12076&lt;&gt;"EX",0,--(COUNTIFS(nNIA,DATOS!$A12076,nCURSO,DATOS!$D12076,nESPEC,DATOS!$E12076,nASIG,DATOS!$I12076,nEVAL,"OR")=0))</f>
      </c>
      <c r="I12076">
        <f>IF(DATOS!$I12076="","",IFERROR(VLOOKUP(DATOS!$I12076,CONFIG_ASIGNATURAS!$B$2:$J$91,9,FALSE()),""))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IF(DATOS!$A12077="",0,IF(CONFIG_METADATA!$B$4&lt;&gt;"OR+EX",--(DATOS!$G12077=CONFIG_METADATA!$B$4),IF(DATOS!$G12077="EX",1,IF(DATOS!$G12077="OR",--(COUNTIFS(nNIA,DATOS!$A12077,nCURSO,DATOS!$D12077,nESPEC,DATOS!$E12077,nASIG,DATOS!$I12077,nEVAL,"EX")=0),0))))</f>
      </c>
      <c r="H12077">
        <f>IF(DATOS!$G12077&lt;&gt;"EX",0,--(COUNTIFS(nNIA,DATOS!$A12077,nCURSO,DATOS!$D12077,nESPEC,DATOS!$E12077,nASIG,DATOS!$I12077,nEVAL,"OR")=0))</f>
      </c>
      <c r="I12077">
        <f>IF(DATOS!$I12077="","",IFERROR(VLOOKUP(DATOS!$I12077,CONFIG_ASIGNATURAS!$B$2:$J$91,9,FALSE()),""))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IF(DATOS!$A12078="",0,IF(CONFIG_METADATA!$B$4&lt;&gt;"OR+EX",--(DATOS!$G12078=CONFIG_METADATA!$B$4),IF(DATOS!$G12078="EX",1,IF(DATOS!$G12078="OR",--(COUNTIFS(nNIA,DATOS!$A12078,nCURSO,DATOS!$D12078,nESPEC,DATOS!$E12078,nASIG,DATOS!$I12078,nEVAL,"EX")=0),0))))</f>
      </c>
      <c r="H12078">
        <f>IF(DATOS!$G12078&lt;&gt;"EX",0,--(COUNTIFS(nNIA,DATOS!$A12078,nCURSO,DATOS!$D12078,nESPEC,DATOS!$E12078,nASIG,DATOS!$I12078,nEVAL,"OR")=0))</f>
      </c>
      <c r="I12078">
        <f>IF(DATOS!$I12078="","",IFERROR(VLOOKUP(DATOS!$I12078,CONFIG_ASIGNATURAS!$B$2:$J$91,9,FALSE()),""))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IF(DATOS!$A12079="",0,IF(CONFIG_METADATA!$B$4&lt;&gt;"OR+EX",--(DATOS!$G12079=CONFIG_METADATA!$B$4),IF(DATOS!$G12079="EX",1,IF(DATOS!$G12079="OR",--(COUNTIFS(nNIA,DATOS!$A12079,nCURSO,DATOS!$D12079,nESPEC,DATOS!$E12079,nASIG,DATOS!$I12079,nEVAL,"EX")=0),0))))</f>
      </c>
      <c r="H12079">
        <f>IF(DATOS!$G12079&lt;&gt;"EX",0,--(COUNTIFS(nNIA,DATOS!$A12079,nCURSO,DATOS!$D12079,nESPEC,DATOS!$E12079,nASIG,DATOS!$I12079,nEVAL,"OR")=0))</f>
      </c>
      <c r="I12079">
        <f>IF(DATOS!$I12079="","",IFERROR(VLOOKUP(DATOS!$I12079,CONFIG_ASIGNATURAS!$B$2:$J$91,9,FALSE()),""))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IF(DATOS!$A12080="",0,IF(CONFIG_METADATA!$B$4&lt;&gt;"OR+EX",--(DATOS!$G12080=CONFIG_METADATA!$B$4),IF(DATOS!$G12080="EX",1,IF(DATOS!$G12080="OR",--(COUNTIFS(nNIA,DATOS!$A12080,nCURSO,DATOS!$D12080,nESPEC,DATOS!$E12080,nASIG,DATOS!$I12080,nEVAL,"EX")=0),0))))</f>
      </c>
      <c r="H12080">
        <f>IF(DATOS!$G12080&lt;&gt;"EX",0,--(COUNTIFS(nNIA,DATOS!$A12080,nCURSO,DATOS!$D12080,nESPEC,DATOS!$E12080,nASIG,DATOS!$I12080,nEVAL,"OR")=0))</f>
      </c>
      <c r="I12080">
        <f>IF(DATOS!$I12080="","",IFERROR(VLOOKUP(DATOS!$I12080,CONFIG_ASIGNATURAS!$B$2:$J$91,9,FALSE()),""))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IF(DATOS!$A12081="",0,IF(CONFIG_METADATA!$B$4&lt;&gt;"OR+EX",--(DATOS!$G12081=CONFIG_METADATA!$B$4),IF(DATOS!$G12081="EX",1,IF(DATOS!$G12081="OR",--(COUNTIFS(nNIA,DATOS!$A12081,nCURSO,DATOS!$D12081,nESPEC,DATOS!$E12081,nASIG,DATOS!$I12081,nEVAL,"EX")=0),0))))</f>
      </c>
      <c r="H12081">
        <f>IF(DATOS!$G12081&lt;&gt;"EX",0,--(COUNTIFS(nNIA,DATOS!$A12081,nCURSO,DATOS!$D12081,nESPEC,DATOS!$E12081,nASIG,DATOS!$I12081,nEVAL,"OR")=0))</f>
      </c>
      <c r="I12081">
        <f>IF(DATOS!$I12081="","",IFERROR(VLOOKUP(DATOS!$I12081,CONFIG_ASIGNATURAS!$B$2:$J$91,9,FALSE()),""))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IF(DATOS!$A12082="",0,IF(CONFIG_METADATA!$B$4&lt;&gt;"OR+EX",--(DATOS!$G12082=CONFIG_METADATA!$B$4),IF(DATOS!$G12082="EX",1,IF(DATOS!$G12082="OR",--(COUNTIFS(nNIA,DATOS!$A12082,nCURSO,DATOS!$D12082,nESPEC,DATOS!$E12082,nASIG,DATOS!$I12082,nEVAL,"EX")=0),0))))</f>
      </c>
      <c r="H12082">
        <f>IF(DATOS!$G12082&lt;&gt;"EX",0,--(COUNTIFS(nNIA,DATOS!$A12082,nCURSO,DATOS!$D12082,nESPEC,DATOS!$E12082,nASIG,DATOS!$I12082,nEVAL,"OR")=0))</f>
      </c>
      <c r="I12082">
        <f>IF(DATOS!$I12082="","",IFERROR(VLOOKUP(DATOS!$I12082,CONFIG_ASIGNATURAS!$B$2:$J$91,9,FALSE()),""))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IF(DATOS!$A12083="",0,IF(CONFIG_METADATA!$B$4&lt;&gt;"OR+EX",--(DATOS!$G12083=CONFIG_METADATA!$B$4),IF(DATOS!$G12083="EX",1,IF(DATOS!$G12083="OR",--(COUNTIFS(nNIA,DATOS!$A12083,nCURSO,DATOS!$D12083,nESPEC,DATOS!$E12083,nASIG,DATOS!$I12083,nEVAL,"EX")=0),0))))</f>
      </c>
      <c r="H12083">
        <f>IF(DATOS!$G12083&lt;&gt;"EX",0,--(COUNTIFS(nNIA,DATOS!$A12083,nCURSO,DATOS!$D12083,nESPEC,DATOS!$E12083,nASIG,DATOS!$I12083,nEVAL,"OR")=0))</f>
      </c>
      <c r="I12083">
        <f>IF(DATOS!$I12083="","",IFERROR(VLOOKUP(DATOS!$I12083,CONFIG_ASIGNATURAS!$B$2:$J$91,9,FALSE()),""))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IF(DATOS!$A12084="",0,IF(CONFIG_METADATA!$B$4&lt;&gt;"OR+EX",--(DATOS!$G12084=CONFIG_METADATA!$B$4),IF(DATOS!$G12084="EX",1,IF(DATOS!$G12084="OR",--(COUNTIFS(nNIA,DATOS!$A12084,nCURSO,DATOS!$D12084,nESPEC,DATOS!$E12084,nASIG,DATOS!$I12084,nEVAL,"EX")=0),0))))</f>
      </c>
      <c r="H12084">
        <f>IF(DATOS!$G12084&lt;&gt;"EX",0,--(COUNTIFS(nNIA,DATOS!$A12084,nCURSO,DATOS!$D12084,nESPEC,DATOS!$E12084,nASIG,DATOS!$I12084,nEVAL,"OR")=0))</f>
      </c>
      <c r="I12084">
        <f>IF(DATOS!$I12084="","",IFERROR(VLOOKUP(DATOS!$I12084,CONFIG_ASIGNATURAS!$B$2:$J$91,9,FALSE()),""))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IF(DATOS!$A12085="",0,IF(CONFIG_METADATA!$B$4&lt;&gt;"OR+EX",--(DATOS!$G12085=CONFIG_METADATA!$B$4),IF(DATOS!$G12085="EX",1,IF(DATOS!$G12085="OR",--(COUNTIFS(nNIA,DATOS!$A12085,nCURSO,DATOS!$D12085,nESPEC,DATOS!$E12085,nASIG,DATOS!$I12085,nEVAL,"EX")=0),0))))</f>
      </c>
      <c r="H12085">
        <f>IF(DATOS!$G12085&lt;&gt;"EX",0,--(COUNTIFS(nNIA,DATOS!$A12085,nCURSO,DATOS!$D12085,nESPEC,DATOS!$E12085,nASIG,DATOS!$I12085,nEVAL,"OR")=0))</f>
      </c>
      <c r="I12085">
        <f>IF(DATOS!$I12085="","",IFERROR(VLOOKUP(DATOS!$I12085,CONFIG_ASIGNATURAS!$B$2:$J$91,9,FALSE()),""))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IF(DATOS!$A12086="",0,IF(CONFIG_METADATA!$B$4&lt;&gt;"OR+EX",--(DATOS!$G12086=CONFIG_METADATA!$B$4),IF(DATOS!$G12086="EX",1,IF(DATOS!$G12086="OR",--(COUNTIFS(nNIA,DATOS!$A12086,nCURSO,DATOS!$D12086,nESPEC,DATOS!$E12086,nASIG,DATOS!$I12086,nEVAL,"EX")=0),0))))</f>
      </c>
      <c r="H12086">
        <f>IF(DATOS!$G12086&lt;&gt;"EX",0,--(COUNTIFS(nNIA,DATOS!$A12086,nCURSO,DATOS!$D12086,nESPEC,DATOS!$E12086,nASIG,DATOS!$I12086,nEVAL,"OR")=0))</f>
      </c>
      <c r="I12086">
        <f>IF(DATOS!$I12086="","",IFERROR(VLOOKUP(DATOS!$I12086,CONFIG_ASIGNATURAS!$B$2:$J$91,9,FALSE()),""))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IF(DATOS!$A12087="",0,IF(CONFIG_METADATA!$B$4&lt;&gt;"OR+EX",--(DATOS!$G12087=CONFIG_METADATA!$B$4),IF(DATOS!$G12087="EX",1,IF(DATOS!$G12087="OR",--(COUNTIFS(nNIA,DATOS!$A12087,nCURSO,DATOS!$D12087,nESPEC,DATOS!$E12087,nASIG,DATOS!$I12087,nEVAL,"EX")=0),0))))</f>
      </c>
      <c r="H12087">
        <f>IF(DATOS!$G12087&lt;&gt;"EX",0,--(COUNTIFS(nNIA,DATOS!$A12087,nCURSO,DATOS!$D12087,nESPEC,DATOS!$E12087,nASIG,DATOS!$I12087,nEVAL,"OR")=0))</f>
      </c>
      <c r="I12087">
        <f>IF(DATOS!$I12087="","",IFERROR(VLOOKUP(DATOS!$I12087,CONFIG_ASIGNATURAS!$B$2:$J$91,9,FALSE()),""))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IF(DATOS!$A12088="",0,IF(CONFIG_METADATA!$B$4&lt;&gt;"OR+EX",--(DATOS!$G12088=CONFIG_METADATA!$B$4),IF(DATOS!$G12088="EX",1,IF(DATOS!$G12088="OR",--(COUNTIFS(nNIA,DATOS!$A12088,nCURSO,DATOS!$D12088,nESPEC,DATOS!$E12088,nASIG,DATOS!$I12088,nEVAL,"EX")=0),0))))</f>
      </c>
      <c r="H12088">
        <f>IF(DATOS!$G12088&lt;&gt;"EX",0,--(COUNTIFS(nNIA,DATOS!$A12088,nCURSO,DATOS!$D12088,nESPEC,DATOS!$E12088,nASIG,DATOS!$I12088,nEVAL,"OR")=0))</f>
      </c>
      <c r="I12088">
        <f>IF(DATOS!$I12088="","",IFERROR(VLOOKUP(DATOS!$I12088,CONFIG_ASIGNATURAS!$B$2:$J$91,9,FALSE()),""))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IF(DATOS!$A12089="",0,IF(CONFIG_METADATA!$B$4&lt;&gt;"OR+EX",--(DATOS!$G12089=CONFIG_METADATA!$B$4),IF(DATOS!$G12089="EX",1,IF(DATOS!$G12089="OR",--(COUNTIFS(nNIA,DATOS!$A12089,nCURSO,DATOS!$D12089,nESPEC,DATOS!$E12089,nASIG,DATOS!$I12089,nEVAL,"EX")=0),0))))</f>
      </c>
      <c r="H12089">
        <f>IF(DATOS!$G12089&lt;&gt;"EX",0,--(COUNTIFS(nNIA,DATOS!$A12089,nCURSO,DATOS!$D12089,nESPEC,DATOS!$E12089,nASIG,DATOS!$I12089,nEVAL,"OR")=0))</f>
      </c>
      <c r="I12089">
        <f>IF(DATOS!$I12089="","",IFERROR(VLOOKUP(DATOS!$I12089,CONFIG_ASIGNATURAS!$B$2:$J$91,9,FALSE()),""))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IF(DATOS!$A12090="",0,IF(CONFIG_METADATA!$B$4&lt;&gt;"OR+EX",--(DATOS!$G12090=CONFIG_METADATA!$B$4),IF(DATOS!$G12090="EX",1,IF(DATOS!$G12090="OR",--(COUNTIFS(nNIA,DATOS!$A12090,nCURSO,DATOS!$D12090,nESPEC,DATOS!$E12090,nASIG,DATOS!$I12090,nEVAL,"EX")=0),0))))</f>
      </c>
      <c r="H12090">
        <f>IF(DATOS!$G12090&lt;&gt;"EX",0,--(COUNTIFS(nNIA,DATOS!$A12090,nCURSO,DATOS!$D12090,nESPEC,DATOS!$E12090,nASIG,DATOS!$I12090,nEVAL,"OR")=0))</f>
      </c>
      <c r="I12090">
        <f>IF(DATOS!$I12090="","",IFERROR(VLOOKUP(DATOS!$I12090,CONFIG_ASIGNATURAS!$B$2:$J$91,9,FALSE()),""))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IF(DATOS!$A12091="",0,IF(CONFIG_METADATA!$B$4&lt;&gt;"OR+EX",--(DATOS!$G12091=CONFIG_METADATA!$B$4),IF(DATOS!$G12091="EX",1,IF(DATOS!$G12091="OR",--(COUNTIFS(nNIA,DATOS!$A12091,nCURSO,DATOS!$D12091,nESPEC,DATOS!$E12091,nASIG,DATOS!$I12091,nEVAL,"EX")=0),0))))</f>
      </c>
      <c r="H12091">
        <f>IF(DATOS!$G12091&lt;&gt;"EX",0,--(COUNTIFS(nNIA,DATOS!$A12091,nCURSO,DATOS!$D12091,nESPEC,DATOS!$E12091,nASIG,DATOS!$I12091,nEVAL,"OR")=0))</f>
      </c>
      <c r="I12091">
        <f>IF(DATOS!$I12091="","",IFERROR(VLOOKUP(DATOS!$I12091,CONFIG_ASIGNATURAS!$B$2:$J$91,9,FALSE()),""))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IF(DATOS!$A12092="",0,IF(CONFIG_METADATA!$B$4&lt;&gt;"OR+EX",--(DATOS!$G12092=CONFIG_METADATA!$B$4),IF(DATOS!$G12092="EX",1,IF(DATOS!$G12092="OR",--(COUNTIFS(nNIA,DATOS!$A12092,nCURSO,DATOS!$D12092,nESPEC,DATOS!$E12092,nASIG,DATOS!$I12092,nEVAL,"EX")=0),0))))</f>
      </c>
      <c r="H12092">
        <f>IF(DATOS!$G12092&lt;&gt;"EX",0,--(COUNTIFS(nNIA,DATOS!$A12092,nCURSO,DATOS!$D12092,nESPEC,DATOS!$E12092,nASIG,DATOS!$I12092,nEVAL,"OR")=0))</f>
      </c>
      <c r="I12092">
        <f>IF(DATOS!$I12092="","",IFERROR(VLOOKUP(DATOS!$I12092,CONFIG_ASIGNATURAS!$B$2:$J$91,9,FALSE()),""))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IF(DATOS!$A12093="",0,IF(CONFIG_METADATA!$B$4&lt;&gt;"OR+EX",--(DATOS!$G12093=CONFIG_METADATA!$B$4),IF(DATOS!$G12093="EX",1,IF(DATOS!$G12093="OR",--(COUNTIFS(nNIA,DATOS!$A12093,nCURSO,DATOS!$D12093,nESPEC,DATOS!$E12093,nASIG,DATOS!$I12093,nEVAL,"EX")=0),0))))</f>
      </c>
      <c r="H12093">
        <f>IF(DATOS!$G12093&lt;&gt;"EX",0,--(COUNTIFS(nNIA,DATOS!$A12093,nCURSO,DATOS!$D12093,nESPEC,DATOS!$E12093,nASIG,DATOS!$I12093,nEVAL,"OR")=0))</f>
      </c>
      <c r="I12093">
        <f>IF(DATOS!$I12093="","",IFERROR(VLOOKUP(DATOS!$I12093,CONFIG_ASIGNATURAS!$B$2:$J$91,9,FALSE()),""))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IF(DATOS!$A12094="",0,IF(CONFIG_METADATA!$B$4&lt;&gt;"OR+EX",--(DATOS!$G12094=CONFIG_METADATA!$B$4),IF(DATOS!$G12094="EX",1,IF(DATOS!$G12094="OR",--(COUNTIFS(nNIA,DATOS!$A12094,nCURSO,DATOS!$D12094,nESPEC,DATOS!$E12094,nASIG,DATOS!$I12094,nEVAL,"EX")=0),0))))</f>
      </c>
      <c r="H12094">
        <f>IF(DATOS!$G12094&lt;&gt;"EX",0,--(COUNTIFS(nNIA,DATOS!$A12094,nCURSO,DATOS!$D12094,nESPEC,DATOS!$E12094,nASIG,DATOS!$I12094,nEVAL,"OR")=0))</f>
      </c>
      <c r="I12094">
        <f>IF(DATOS!$I12094="","",IFERROR(VLOOKUP(DATOS!$I12094,CONFIG_ASIGNATURAS!$B$2:$J$91,9,FALSE()),""))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IF(DATOS!$A12095="",0,IF(CONFIG_METADATA!$B$4&lt;&gt;"OR+EX",--(DATOS!$G12095=CONFIG_METADATA!$B$4),IF(DATOS!$G12095="EX",1,IF(DATOS!$G12095="OR",--(COUNTIFS(nNIA,DATOS!$A12095,nCURSO,DATOS!$D12095,nESPEC,DATOS!$E12095,nASIG,DATOS!$I12095,nEVAL,"EX")=0),0))))</f>
      </c>
      <c r="H12095">
        <f>IF(DATOS!$G12095&lt;&gt;"EX",0,--(COUNTIFS(nNIA,DATOS!$A12095,nCURSO,DATOS!$D12095,nESPEC,DATOS!$E12095,nASIG,DATOS!$I12095,nEVAL,"OR")=0))</f>
      </c>
      <c r="I12095">
        <f>IF(DATOS!$I12095="","",IFERROR(VLOOKUP(DATOS!$I12095,CONFIG_ASIGNATURAS!$B$2:$J$91,9,FALSE()),""))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IF(DATOS!$A12096="",0,IF(CONFIG_METADATA!$B$4&lt;&gt;"OR+EX",--(DATOS!$G12096=CONFIG_METADATA!$B$4),IF(DATOS!$G12096="EX",1,IF(DATOS!$G12096="OR",--(COUNTIFS(nNIA,DATOS!$A12096,nCURSO,DATOS!$D12096,nESPEC,DATOS!$E12096,nASIG,DATOS!$I12096,nEVAL,"EX")=0),0))))</f>
      </c>
      <c r="H12096">
        <f>IF(DATOS!$G12096&lt;&gt;"EX",0,--(COUNTIFS(nNIA,DATOS!$A12096,nCURSO,DATOS!$D12096,nESPEC,DATOS!$E12096,nASIG,DATOS!$I12096,nEVAL,"OR")=0))</f>
      </c>
      <c r="I12096">
        <f>IF(DATOS!$I12096="","",IFERROR(VLOOKUP(DATOS!$I12096,CONFIG_ASIGNATURAS!$B$2:$J$91,9,FALSE()),""))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IF(DATOS!$A12097="",0,IF(CONFIG_METADATA!$B$4&lt;&gt;"OR+EX",--(DATOS!$G12097=CONFIG_METADATA!$B$4),IF(DATOS!$G12097="EX",1,IF(DATOS!$G12097="OR",--(COUNTIFS(nNIA,DATOS!$A12097,nCURSO,DATOS!$D12097,nESPEC,DATOS!$E12097,nASIG,DATOS!$I12097,nEVAL,"EX")=0),0))))</f>
      </c>
      <c r="H12097">
        <f>IF(DATOS!$G12097&lt;&gt;"EX",0,--(COUNTIFS(nNIA,DATOS!$A12097,nCURSO,DATOS!$D12097,nESPEC,DATOS!$E12097,nASIG,DATOS!$I12097,nEVAL,"OR")=0))</f>
      </c>
      <c r="I12097">
        <f>IF(DATOS!$I12097="","",IFERROR(VLOOKUP(DATOS!$I12097,CONFIG_ASIGNATURAS!$B$2:$J$91,9,FALSE()),""))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IF(DATOS!$A12098="",0,IF(CONFIG_METADATA!$B$4&lt;&gt;"OR+EX",--(DATOS!$G12098=CONFIG_METADATA!$B$4),IF(DATOS!$G12098="EX",1,IF(DATOS!$G12098="OR",--(COUNTIFS(nNIA,DATOS!$A12098,nCURSO,DATOS!$D12098,nESPEC,DATOS!$E12098,nASIG,DATOS!$I12098,nEVAL,"EX")=0),0))))</f>
      </c>
      <c r="H12098">
        <f>IF(DATOS!$G12098&lt;&gt;"EX",0,--(COUNTIFS(nNIA,DATOS!$A12098,nCURSO,DATOS!$D12098,nESPEC,DATOS!$E12098,nASIG,DATOS!$I12098,nEVAL,"OR")=0))</f>
      </c>
      <c r="I12098">
        <f>IF(DATOS!$I12098="","",IFERROR(VLOOKUP(DATOS!$I12098,CONFIG_ASIGNATURAS!$B$2:$J$91,9,FALSE()),""))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IF(DATOS!$A12099="",0,IF(CONFIG_METADATA!$B$4&lt;&gt;"OR+EX",--(DATOS!$G12099=CONFIG_METADATA!$B$4),IF(DATOS!$G12099="EX",1,IF(DATOS!$G12099="OR",--(COUNTIFS(nNIA,DATOS!$A12099,nCURSO,DATOS!$D12099,nESPEC,DATOS!$E12099,nASIG,DATOS!$I12099,nEVAL,"EX")=0),0))))</f>
      </c>
      <c r="H12099">
        <f>IF(DATOS!$G12099&lt;&gt;"EX",0,--(COUNTIFS(nNIA,DATOS!$A12099,nCURSO,DATOS!$D12099,nESPEC,DATOS!$E12099,nASIG,DATOS!$I12099,nEVAL,"OR")=0))</f>
      </c>
      <c r="I12099">
        <f>IF(DATOS!$I12099="","",IFERROR(VLOOKUP(DATOS!$I12099,CONFIG_ASIGNATURAS!$B$2:$J$91,9,FALSE()),""))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IF(DATOS!$A12100="",0,IF(CONFIG_METADATA!$B$4&lt;&gt;"OR+EX",--(DATOS!$G12100=CONFIG_METADATA!$B$4),IF(DATOS!$G12100="EX",1,IF(DATOS!$G12100="OR",--(COUNTIFS(nNIA,DATOS!$A12100,nCURSO,DATOS!$D12100,nESPEC,DATOS!$E12100,nASIG,DATOS!$I12100,nEVAL,"EX")=0),0))))</f>
      </c>
      <c r="H12100">
        <f>IF(DATOS!$G12100&lt;&gt;"EX",0,--(COUNTIFS(nNIA,DATOS!$A12100,nCURSO,DATOS!$D12100,nESPEC,DATOS!$E12100,nASIG,DATOS!$I12100,nEVAL,"OR")=0))</f>
      </c>
      <c r="I12100">
        <f>IF(DATOS!$I12100="","",IFERROR(VLOOKUP(DATOS!$I12100,CONFIG_ASIGNATURAS!$B$2:$J$91,9,FALSE()),""))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IF(DATOS!$A12101="",0,IF(CONFIG_METADATA!$B$4&lt;&gt;"OR+EX",--(DATOS!$G12101=CONFIG_METADATA!$B$4),IF(DATOS!$G12101="EX",1,IF(DATOS!$G12101="OR",--(COUNTIFS(nNIA,DATOS!$A12101,nCURSO,DATOS!$D12101,nESPEC,DATOS!$E12101,nASIG,DATOS!$I12101,nEVAL,"EX")=0),0))))</f>
      </c>
      <c r="H12101">
        <f>IF(DATOS!$G12101&lt;&gt;"EX",0,--(COUNTIFS(nNIA,DATOS!$A12101,nCURSO,DATOS!$D12101,nESPEC,DATOS!$E12101,nASIG,DATOS!$I12101,nEVAL,"OR")=0))</f>
      </c>
      <c r="I12101">
        <f>IF(DATOS!$I12101="","",IFERROR(VLOOKUP(DATOS!$I12101,CONFIG_ASIGNATURAS!$B$2:$J$91,9,FALSE()),""))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IF(DATOS!$A12102="",0,IF(CONFIG_METADATA!$B$4&lt;&gt;"OR+EX",--(DATOS!$G12102=CONFIG_METADATA!$B$4),IF(DATOS!$G12102="EX",1,IF(DATOS!$G12102="OR",--(COUNTIFS(nNIA,DATOS!$A12102,nCURSO,DATOS!$D12102,nESPEC,DATOS!$E12102,nASIG,DATOS!$I12102,nEVAL,"EX")=0),0))))</f>
      </c>
      <c r="H12102">
        <f>IF(DATOS!$G12102&lt;&gt;"EX",0,--(COUNTIFS(nNIA,DATOS!$A12102,nCURSO,DATOS!$D12102,nESPEC,DATOS!$E12102,nASIG,DATOS!$I12102,nEVAL,"OR")=0))</f>
      </c>
      <c r="I12102">
        <f>IF(DATOS!$I12102="","",IFERROR(VLOOKUP(DATOS!$I12102,CONFIG_ASIGNATURAS!$B$2:$J$91,9,FALSE()),""))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IF(DATOS!$A12103="",0,IF(CONFIG_METADATA!$B$4&lt;&gt;"OR+EX",--(DATOS!$G12103=CONFIG_METADATA!$B$4),IF(DATOS!$G12103="EX",1,IF(DATOS!$G12103="OR",--(COUNTIFS(nNIA,DATOS!$A12103,nCURSO,DATOS!$D12103,nESPEC,DATOS!$E12103,nASIG,DATOS!$I12103,nEVAL,"EX")=0),0))))</f>
      </c>
      <c r="H12103">
        <f>IF(DATOS!$G12103&lt;&gt;"EX",0,--(COUNTIFS(nNIA,DATOS!$A12103,nCURSO,DATOS!$D12103,nESPEC,DATOS!$E12103,nASIG,DATOS!$I12103,nEVAL,"OR")=0))</f>
      </c>
      <c r="I12103">
        <f>IF(DATOS!$I12103="","",IFERROR(VLOOKUP(DATOS!$I12103,CONFIG_ASIGNATURAS!$B$2:$J$91,9,FALSE()),""))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IF(DATOS!$A12104="",0,IF(CONFIG_METADATA!$B$4&lt;&gt;"OR+EX",--(DATOS!$G12104=CONFIG_METADATA!$B$4),IF(DATOS!$G12104="EX",1,IF(DATOS!$G12104="OR",--(COUNTIFS(nNIA,DATOS!$A12104,nCURSO,DATOS!$D12104,nESPEC,DATOS!$E12104,nASIG,DATOS!$I12104,nEVAL,"EX")=0),0))))</f>
      </c>
      <c r="H12104">
        <f>IF(DATOS!$G12104&lt;&gt;"EX",0,--(COUNTIFS(nNIA,DATOS!$A12104,nCURSO,DATOS!$D12104,nESPEC,DATOS!$E12104,nASIG,DATOS!$I12104,nEVAL,"OR")=0))</f>
      </c>
      <c r="I12104">
        <f>IF(DATOS!$I12104="","",IFERROR(VLOOKUP(DATOS!$I12104,CONFIG_ASIGNATURAS!$B$2:$J$91,9,FALSE()),""))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IF(DATOS!$A12105="",0,IF(CONFIG_METADATA!$B$4&lt;&gt;"OR+EX",--(DATOS!$G12105=CONFIG_METADATA!$B$4),IF(DATOS!$G12105="EX",1,IF(DATOS!$G12105="OR",--(COUNTIFS(nNIA,DATOS!$A12105,nCURSO,DATOS!$D12105,nESPEC,DATOS!$E12105,nASIG,DATOS!$I12105,nEVAL,"EX")=0),0))))</f>
      </c>
      <c r="H12105">
        <f>IF(DATOS!$G12105&lt;&gt;"EX",0,--(COUNTIFS(nNIA,DATOS!$A12105,nCURSO,DATOS!$D12105,nESPEC,DATOS!$E12105,nASIG,DATOS!$I12105,nEVAL,"OR")=0))</f>
      </c>
      <c r="I12105">
        <f>IF(DATOS!$I12105="","",IFERROR(VLOOKUP(DATOS!$I12105,CONFIG_ASIGNATURAS!$B$2:$J$91,9,FALSE()),""))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IF(DATOS!$A12106="",0,IF(CONFIG_METADATA!$B$4&lt;&gt;"OR+EX",--(DATOS!$G12106=CONFIG_METADATA!$B$4),IF(DATOS!$G12106="EX",1,IF(DATOS!$G12106="OR",--(COUNTIFS(nNIA,DATOS!$A12106,nCURSO,DATOS!$D12106,nESPEC,DATOS!$E12106,nASIG,DATOS!$I12106,nEVAL,"EX")=0),0))))</f>
      </c>
      <c r="H12106">
        <f>IF(DATOS!$G12106&lt;&gt;"EX",0,--(COUNTIFS(nNIA,DATOS!$A12106,nCURSO,DATOS!$D12106,nESPEC,DATOS!$E12106,nASIG,DATOS!$I12106,nEVAL,"OR")=0))</f>
      </c>
      <c r="I12106">
        <f>IF(DATOS!$I12106="","",IFERROR(VLOOKUP(DATOS!$I12106,CONFIG_ASIGNATURAS!$B$2:$J$91,9,FALSE()),""))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IF(DATOS!$A12107="",0,IF(CONFIG_METADATA!$B$4&lt;&gt;"OR+EX",--(DATOS!$G12107=CONFIG_METADATA!$B$4),IF(DATOS!$G12107="EX",1,IF(DATOS!$G12107="OR",--(COUNTIFS(nNIA,DATOS!$A12107,nCURSO,DATOS!$D12107,nESPEC,DATOS!$E12107,nASIG,DATOS!$I12107,nEVAL,"EX")=0),0))))</f>
      </c>
      <c r="H12107">
        <f>IF(DATOS!$G12107&lt;&gt;"EX",0,--(COUNTIFS(nNIA,DATOS!$A12107,nCURSO,DATOS!$D12107,nESPEC,DATOS!$E12107,nASIG,DATOS!$I12107,nEVAL,"OR")=0))</f>
      </c>
      <c r="I12107">
        <f>IF(DATOS!$I12107="","",IFERROR(VLOOKUP(DATOS!$I12107,CONFIG_ASIGNATURAS!$B$2:$J$91,9,FALSE()),""))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IF(DATOS!$A12108="",0,IF(CONFIG_METADATA!$B$4&lt;&gt;"OR+EX",--(DATOS!$G12108=CONFIG_METADATA!$B$4),IF(DATOS!$G12108="EX",1,IF(DATOS!$G12108="OR",--(COUNTIFS(nNIA,DATOS!$A12108,nCURSO,DATOS!$D12108,nESPEC,DATOS!$E12108,nASIG,DATOS!$I12108,nEVAL,"EX")=0),0))))</f>
      </c>
      <c r="H12108">
        <f>IF(DATOS!$G12108&lt;&gt;"EX",0,--(COUNTIFS(nNIA,DATOS!$A12108,nCURSO,DATOS!$D12108,nESPEC,DATOS!$E12108,nASIG,DATOS!$I12108,nEVAL,"OR")=0))</f>
      </c>
      <c r="I12108">
        <f>IF(DATOS!$I12108="","",IFERROR(VLOOKUP(DATOS!$I12108,CONFIG_ASIGNATURAS!$B$2:$J$91,9,FALSE()),""))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IF(DATOS!$A12109="",0,IF(CONFIG_METADATA!$B$4&lt;&gt;"OR+EX",--(DATOS!$G12109=CONFIG_METADATA!$B$4),IF(DATOS!$G12109="EX",1,IF(DATOS!$G12109="OR",--(COUNTIFS(nNIA,DATOS!$A12109,nCURSO,DATOS!$D12109,nESPEC,DATOS!$E12109,nASIG,DATOS!$I12109,nEVAL,"EX")=0),0))))</f>
      </c>
      <c r="H12109">
        <f>IF(DATOS!$G12109&lt;&gt;"EX",0,--(COUNTIFS(nNIA,DATOS!$A12109,nCURSO,DATOS!$D12109,nESPEC,DATOS!$E12109,nASIG,DATOS!$I12109,nEVAL,"OR")=0))</f>
      </c>
      <c r="I12109">
        <f>IF(DATOS!$I12109="","",IFERROR(VLOOKUP(DATOS!$I12109,CONFIG_ASIGNATURAS!$B$2:$J$91,9,FALSE()),""))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IF(DATOS!$A12110="",0,IF(CONFIG_METADATA!$B$4&lt;&gt;"OR+EX",--(DATOS!$G12110=CONFIG_METADATA!$B$4),IF(DATOS!$G12110="EX",1,IF(DATOS!$G12110="OR",--(COUNTIFS(nNIA,DATOS!$A12110,nCURSO,DATOS!$D12110,nESPEC,DATOS!$E12110,nASIG,DATOS!$I12110,nEVAL,"EX")=0),0))))</f>
      </c>
      <c r="H12110">
        <f>IF(DATOS!$G12110&lt;&gt;"EX",0,--(COUNTIFS(nNIA,DATOS!$A12110,nCURSO,DATOS!$D12110,nESPEC,DATOS!$E12110,nASIG,DATOS!$I12110,nEVAL,"OR")=0))</f>
      </c>
      <c r="I12110">
        <f>IF(DATOS!$I12110="","",IFERROR(VLOOKUP(DATOS!$I12110,CONFIG_ASIGNATURAS!$B$2:$J$91,9,FALSE()),""))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IF(DATOS!$A12111="",0,IF(CONFIG_METADATA!$B$4&lt;&gt;"OR+EX",--(DATOS!$G12111=CONFIG_METADATA!$B$4),IF(DATOS!$G12111="EX",1,IF(DATOS!$G12111="OR",--(COUNTIFS(nNIA,DATOS!$A12111,nCURSO,DATOS!$D12111,nESPEC,DATOS!$E12111,nASIG,DATOS!$I12111,nEVAL,"EX")=0),0))))</f>
      </c>
      <c r="H12111">
        <f>IF(DATOS!$G12111&lt;&gt;"EX",0,--(COUNTIFS(nNIA,DATOS!$A12111,nCURSO,DATOS!$D12111,nESPEC,DATOS!$E12111,nASIG,DATOS!$I12111,nEVAL,"OR")=0))</f>
      </c>
      <c r="I12111">
        <f>IF(DATOS!$I12111="","",IFERROR(VLOOKUP(DATOS!$I12111,CONFIG_ASIGNATURAS!$B$2:$J$91,9,FALSE()),""))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IF(DATOS!$A12112="",0,IF(CONFIG_METADATA!$B$4&lt;&gt;"OR+EX",--(DATOS!$G12112=CONFIG_METADATA!$B$4),IF(DATOS!$G12112="EX",1,IF(DATOS!$G12112="OR",--(COUNTIFS(nNIA,DATOS!$A12112,nCURSO,DATOS!$D12112,nESPEC,DATOS!$E12112,nASIG,DATOS!$I12112,nEVAL,"EX")=0),0))))</f>
      </c>
      <c r="H12112">
        <f>IF(DATOS!$G12112&lt;&gt;"EX",0,--(COUNTIFS(nNIA,DATOS!$A12112,nCURSO,DATOS!$D12112,nESPEC,DATOS!$E12112,nASIG,DATOS!$I12112,nEVAL,"OR")=0))</f>
      </c>
      <c r="I12112">
        <f>IF(DATOS!$I12112="","",IFERROR(VLOOKUP(DATOS!$I12112,CONFIG_ASIGNATURAS!$B$2:$J$91,9,FALSE()),""))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IF(DATOS!$A12113="",0,IF(CONFIG_METADATA!$B$4&lt;&gt;"OR+EX",--(DATOS!$G12113=CONFIG_METADATA!$B$4),IF(DATOS!$G12113="EX",1,IF(DATOS!$G12113="OR",--(COUNTIFS(nNIA,DATOS!$A12113,nCURSO,DATOS!$D12113,nESPEC,DATOS!$E12113,nASIG,DATOS!$I12113,nEVAL,"EX")=0),0))))</f>
      </c>
      <c r="H12113">
        <f>IF(DATOS!$G12113&lt;&gt;"EX",0,--(COUNTIFS(nNIA,DATOS!$A12113,nCURSO,DATOS!$D12113,nESPEC,DATOS!$E12113,nASIG,DATOS!$I12113,nEVAL,"OR")=0))</f>
      </c>
      <c r="I12113">
        <f>IF(DATOS!$I12113="","",IFERROR(VLOOKUP(DATOS!$I12113,CONFIG_ASIGNATURAS!$B$2:$J$91,9,FALSE()),""))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IF(DATOS!$A12114="",0,IF(CONFIG_METADATA!$B$4&lt;&gt;"OR+EX",--(DATOS!$G12114=CONFIG_METADATA!$B$4),IF(DATOS!$G12114="EX",1,IF(DATOS!$G12114="OR",--(COUNTIFS(nNIA,DATOS!$A12114,nCURSO,DATOS!$D12114,nESPEC,DATOS!$E12114,nASIG,DATOS!$I12114,nEVAL,"EX")=0),0))))</f>
      </c>
      <c r="H12114">
        <f>IF(DATOS!$G12114&lt;&gt;"EX",0,--(COUNTIFS(nNIA,DATOS!$A12114,nCURSO,DATOS!$D12114,nESPEC,DATOS!$E12114,nASIG,DATOS!$I12114,nEVAL,"OR")=0))</f>
      </c>
      <c r="I12114">
        <f>IF(DATOS!$I12114="","",IFERROR(VLOOKUP(DATOS!$I12114,CONFIG_ASIGNATURAS!$B$2:$J$91,9,FALSE()),""))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IF(DATOS!$A12115="",0,IF(CONFIG_METADATA!$B$4&lt;&gt;"OR+EX",--(DATOS!$G12115=CONFIG_METADATA!$B$4),IF(DATOS!$G12115="EX",1,IF(DATOS!$G12115="OR",--(COUNTIFS(nNIA,DATOS!$A12115,nCURSO,DATOS!$D12115,nESPEC,DATOS!$E12115,nASIG,DATOS!$I12115,nEVAL,"EX")=0),0))))</f>
      </c>
      <c r="H12115">
        <f>IF(DATOS!$G12115&lt;&gt;"EX",0,--(COUNTIFS(nNIA,DATOS!$A12115,nCURSO,DATOS!$D12115,nESPEC,DATOS!$E12115,nASIG,DATOS!$I12115,nEVAL,"OR")=0))</f>
      </c>
      <c r="I12115">
        <f>IF(DATOS!$I12115="","",IFERROR(VLOOKUP(DATOS!$I12115,CONFIG_ASIGNATURAS!$B$2:$J$91,9,FALSE()),""))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IF(DATOS!$A12116="",0,IF(CONFIG_METADATA!$B$4&lt;&gt;"OR+EX",--(DATOS!$G12116=CONFIG_METADATA!$B$4),IF(DATOS!$G12116="EX",1,IF(DATOS!$G12116="OR",--(COUNTIFS(nNIA,DATOS!$A12116,nCURSO,DATOS!$D12116,nESPEC,DATOS!$E12116,nASIG,DATOS!$I12116,nEVAL,"EX")=0),0))))</f>
      </c>
      <c r="H12116">
        <f>IF(DATOS!$G12116&lt;&gt;"EX",0,--(COUNTIFS(nNIA,DATOS!$A12116,nCURSO,DATOS!$D12116,nESPEC,DATOS!$E12116,nASIG,DATOS!$I12116,nEVAL,"OR")=0))</f>
      </c>
      <c r="I12116">
        <f>IF(DATOS!$I12116="","",IFERROR(VLOOKUP(DATOS!$I12116,CONFIG_ASIGNATURAS!$B$2:$J$91,9,FALSE()),""))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IF(DATOS!$A12117="",0,IF(CONFIG_METADATA!$B$4&lt;&gt;"OR+EX",--(DATOS!$G12117=CONFIG_METADATA!$B$4),IF(DATOS!$G12117="EX",1,IF(DATOS!$G12117="OR",--(COUNTIFS(nNIA,DATOS!$A12117,nCURSO,DATOS!$D12117,nESPEC,DATOS!$E12117,nASIG,DATOS!$I12117,nEVAL,"EX")=0),0))))</f>
      </c>
      <c r="H12117">
        <f>IF(DATOS!$G12117&lt;&gt;"EX",0,--(COUNTIFS(nNIA,DATOS!$A12117,nCURSO,DATOS!$D12117,nESPEC,DATOS!$E12117,nASIG,DATOS!$I12117,nEVAL,"OR")=0))</f>
      </c>
      <c r="I12117">
        <f>IF(DATOS!$I12117="","",IFERROR(VLOOKUP(DATOS!$I12117,CONFIG_ASIGNATURAS!$B$2:$J$91,9,FALSE()),""))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IF(DATOS!$A12118="",0,IF(CONFIG_METADATA!$B$4&lt;&gt;"OR+EX",--(DATOS!$G12118=CONFIG_METADATA!$B$4),IF(DATOS!$G12118="EX",1,IF(DATOS!$G12118="OR",--(COUNTIFS(nNIA,DATOS!$A12118,nCURSO,DATOS!$D12118,nESPEC,DATOS!$E12118,nASIG,DATOS!$I12118,nEVAL,"EX")=0),0))))</f>
      </c>
      <c r="H12118">
        <f>IF(DATOS!$G12118&lt;&gt;"EX",0,--(COUNTIFS(nNIA,DATOS!$A12118,nCURSO,DATOS!$D12118,nESPEC,DATOS!$E12118,nASIG,DATOS!$I12118,nEVAL,"OR")=0))</f>
      </c>
      <c r="I12118">
        <f>IF(DATOS!$I12118="","",IFERROR(VLOOKUP(DATOS!$I12118,CONFIG_ASIGNATURAS!$B$2:$J$91,9,FALSE()),""))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IF(DATOS!$A12119="",0,IF(CONFIG_METADATA!$B$4&lt;&gt;"OR+EX",--(DATOS!$G12119=CONFIG_METADATA!$B$4),IF(DATOS!$G12119="EX",1,IF(DATOS!$G12119="OR",--(COUNTIFS(nNIA,DATOS!$A12119,nCURSO,DATOS!$D12119,nESPEC,DATOS!$E12119,nASIG,DATOS!$I12119,nEVAL,"EX")=0),0))))</f>
      </c>
      <c r="H12119">
        <f>IF(DATOS!$G12119&lt;&gt;"EX",0,--(COUNTIFS(nNIA,DATOS!$A12119,nCURSO,DATOS!$D12119,nESPEC,DATOS!$E12119,nASIG,DATOS!$I12119,nEVAL,"OR")=0))</f>
      </c>
      <c r="I12119">
        <f>IF(DATOS!$I12119="","",IFERROR(VLOOKUP(DATOS!$I12119,CONFIG_ASIGNATURAS!$B$2:$J$91,9,FALSE()),""))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IF(DATOS!$A12120="",0,IF(CONFIG_METADATA!$B$4&lt;&gt;"OR+EX",--(DATOS!$G12120=CONFIG_METADATA!$B$4),IF(DATOS!$G12120="EX",1,IF(DATOS!$G12120="OR",--(COUNTIFS(nNIA,DATOS!$A12120,nCURSO,DATOS!$D12120,nESPEC,DATOS!$E12120,nASIG,DATOS!$I12120,nEVAL,"EX")=0),0))))</f>
      </c>
      <c r="H12120">
        <f>IF(DATOS!$G12120&lt;&gt;"EX",0,--(COUNTIFS(nNIA,DATOS!$A12120,nCURSO,DATOS!$D12120,nESPEC,DATOS!$E12120,nASIG,DATOS!$I12120,nEVAL,"OR")=0))</f>
      </c>
      <c r="I12120">
        <f>IF(DATOS!$I12120="","",IFERROR(VLOOKUP(DATOS!$I12120,CONFIG_ASIGNATURAS!$B$2:$J$91,9,FALSE()),""))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IF(DATOS!$A12121="",0,IF(CONFIG_METADATA!$B$4&lt;&gt;"OR+EX",--(DATOS!$G12121=CONFIG_METADATA!$B$4),IF(DATOS!$G12121="EX",1,IF(DATOS!$G12121="OR",--(COUNTIFS(nNIA,DATOS!$A12121,nCURSO,DATOS!$D12121,nESPEC,DATOS!$E12121,nASIG,DATOS!$I12121,nEVAL,"EX")=0),0))))</f>
      </c>
      <c r="H12121">
        <f>IF(DATOS!$G12121&lt;&gt;"EX",0,--(COUNTIFS(nNIA,DATOS!$A12121,nCURSO,DATOS!$D12121,nESPEC,DATOS!$E12121,nASIG,DATOS!$I12121,nEVAL,"OR")=0))</f>
      </c>
      <c r="I12121">
        <f>IF(DATOS!$I12121="","",IFERROR(VLOOKUP(DATOS!$I12121,CONFIG_ASIGNATURAS!$B$2:$J$91,9,FALSE()),""))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IF(DATOS!$A12122="",0,IF(CONFIG_METADATA!$B$4&lt;&gt;"OR+EX",--(DATOS!$G12122=CONFIG_METADATA!$B$4),IF(DATOS!$G12122="EX",1,IF(DATOS!$G12122="OR",--(COUNTIFS(nNIA,DATOS!$A12122,nCURSO,DATOS!$D12122,nESPEC,DATOS!$E12122,nASIG,DATOS!$I12122,nEVAL,"EX")=0),0))))</f>
      </c>
      <c r="H12122">
        <f>IF(DATOS!$G12122&lt;&gt;"EX",0,--(COUNTIFS(nNIA,DATOS!$A12122,nCURSO,DATOS!$D12122,nESPEC,DATOS!$E12122,nASIG,DATOS!$I12122,nEVAL,"OR")=0))</f>
      </c>
      <c r="I12122">
        <f>IF(DATOS!$I12122="","",IFERROR(VLOOKUP(DATOS!$I12122,CONFIG_ASIGNATURAS!$B$2:$J$91,9,FALSE()),""))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IF(DATOS!$A12123="",0,IF(CONFIG_METADATA!$B$4&lt;&gt;"OR+EX",--(DATOS!$G12123=CONFIG_METADATA!$B$4),IF(DATOS!$G12123="EX",1,IF(DATOS!$G12123="OR",--(COUNTIFS(nNIA,DATOS!$A12123,nCURSO,DATOS!$D12123,nESPEC,DATOS!$E12123,nASIG,DATOS!$I12123,nEVAL,"EX")=0),0))))</f>
      </c>
      <c r="H12123">
        <f>IF(DATOS!$G12123&lt;&gt;"EX",0,--(COUNTIFS(nNIA,DATOS!$A12123,nCURSO,DATOS!$D12123,nESPEC,DATOS!$E12123,nASIG,DATOS!$I12123,nEVAL,"OR")=0))</f>
      </c>
      <c r="I12123">
        <f>IF(DATOS!$I12123="","",IFERROR(VLOOKUP(DATOS!$I12123,CONFIG_ASIGNATURAS!$B$2:$J$91,9,FALSE()),""))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IF(DATOS!$A12124="",0,IF(CONFIG_METADATA!$B$4&lt;&gt;"OR+EX",--(DATOS!$G12124=CONFIG_METADATA!$B$4),IF(DATOS!$G12124="EX",1,IF(DATOS!$G12124="OR",--(COUNTIFS(nNIA,DATOS!$A12124,nCURSO,DATOS!$D12124,nESPEC,DATOS!$E12124,nASIG,DATOS!$I12124,nEVAL,"EX")=0),0))))</f>
      </c>
      <c r="H12124">
        <f>IF(DATOS!$G12124&lt;&gt;"EX",0,--(COUNTIFS(nNIA,DATOS!$A12124,nCURSO,DATOS!$D12124,nESPEC,DATOS!$E12124,nASIG,DATOS!$I12124,nEVAL,"OR")=0))</f>
      </c>
      <c r="I12124">
        <f>IF(DATOS!$I12124="","",IFERROR(VLOOKUP(DATOS!$I12124,CONFIG_ASIGNATURAS!$B$2:$J$91,9,FALSE()),""))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IF(DATOS!$A12125="",0,IF(CONFIG_METADATA!$B$4&lt;&gt;"OR+EX",--(DATOS!$G12125=CONFIG_METADATA!$B$4),IF(DATOS!$G12125="EX",1,IF(DATOS!$G12125="OR",--(COUNTIFS(nNIA,DATOS!$A12125,nCURSO,DATOS!$D12125,nESPEC,DATOS!$E12125,nASIG,DATOS!$I12125,nEVAL,"EX")=0),0))))</f>
      </c>
      <c r="H12125">
        <f>IF(DATOS!$G12125&lt;&gt;"EX",0,--(COUNTIFS(nNIA,DATOS!$A12125,nCURSO,DATOS!$D12125,nESPEC,DATOS!$E12125,nASIG,DATOS!$I12125,nEVAL,"OR")=0))</f>
      </c>
      <c r="I12125">
        <f>IF(DATOS!$I12125="","",IFERROR(VLOOKUP(DATOS!$I12125,CONFIG_ASIGNATURAS!$B$2:$J$91,9,FALSE()),""))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IF(DATOS!$A12126="",0,IF(CONFIG_METADATA!$B$4&lt;&gt;"OR+EX",--(DATOS!$G12126=CONFIG_METADATA!$B$4),IF(DATOS!$G12126="EX",1,IF(DATOS!$G12126="OR",--(COUNTIFS(nNIA,DATOS!$A12126,nCURSO,DATOS!$D12126,nESPEC,DATOS!$E12126,nASIG,DATOS!$I12126,nEVAL,"EX")=0),0))))</f>
      </c>
      <c r="H12126">
        <f>IF(DATOS!$G12126&lt;&gt;"EX",0,--(COUNTIFS(nNIA,DATOS!$A12126,nCURSO,DATOS!$D12126,nESPEC,DATOS!$E12126,nASIG,DATOS!$I12126,nEVAL,"OR")=0))</f>
      </c>
      <c r="I12126">
        <f>IF(DATOS!$I12126="","",IFERROR(VLOOKUP(DATOS!$I12126,CONFIG_ASIGNATURAS!$B$2:$J$91,9,FALSE()),""))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IF(DATOS!$A12127="",0,IF(CONFIG_METADATA!$B$4&lt;&gt;"OR+EX",--(DATOS!$G12127=CONFIG_METADATA!$B$4),IF(DATOS!$G12127="EX",1,IF(DATOS!$G12127="OR",--(COUNTIFS(nNIA,DATOS!$A12127,nCURSO,DATOS!$D12127,nESPEC,DATOS!$E12127,nASIG,DATOS!$I12127,nEVAL,"EX")=0),0))))</f>
      </c>
      <c r="H12127">
        <f>IF(DATOS!$G12127&lt;&gt;"EX",0,--(COUNTIFS(nNIA,DATOS!$A12127,nCURSO,DATOS!$D12127,nESPEC,DATOS!$E12127,nASIG,DATOS!$I12127,nEVAL,"OR")=0))</f>
      </c>
      <c r="I12127">
        <f>IF(DATOS!$I12127="","",IFERROR(VLOOKUP(DATOS!$I12127,CONFIG_ASIGNATURAS!$B$2:$J$91,9,FALSE()),""))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IF(DATOS!$A12128="",0,IF(CONFIG_METADATA!$B$4&lt;&gt;"OR+EX",--(DATOS!$G12128=CONFIG_METADATA!$B$4),IF(DATOS!$G12128="EX",1,IF(DATOS!$G12128="OR",--(COUNTIFS(nNIA,DATOS!$A12128,nCURSO,DATOS!$D12128,nESPEC,DATOS!$E12128,nASIG,DATOS!$I12128,nEVAL,"EX")=0),0))))</f>
      </c>
      <c r="H12128">
        <f>IF(DATOS!$G12128&lt;&gt;"EX",0,--(COUNTIFS(nNIA,DATOS!$A12128,nCURSO,DATOS!$D12128,nESPEC,DATOS!$E12128,nASIG,DATOS!$I12128,nEVAL,"OR")=0))</f>
      </c>
      <c r="I12128">
        <f>IF(DATOS!$I12128="","",IFERROR(VLOOKUP(DATOS!$I12128,CONFIG_ASIGNATURAS!$B$2:$J$91,9,FALSE()),""))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IF(DATOS!$A12129="",0,IF(CONFIG_METADATA!$B$4&lt;&gt;"OR+EX",--(DATOS!$G12129=CONFIG_METADATA!$B$4),IF(DATOS!$G12129="EX",1,IF(DATOS!$G12129="OR",--(COUNTIFS(nNIA,DATOS!$A12129,nCURSO,DATOS!$D12129,nESPEC,DATOS!$E12129,nASIG,DATOS!$I12129,nEVAL,"EX")=0),0))))</f>
      </c>
      <c r="H12129">
        <f>IF(DATOS!$G12129&lt;&gt;"EX",0,--(COUNTIFS(nNIA,DATOS!$A12129,nCURSO,DATOS!$D12129,nESPEC,DATOS!$E12129,nASIG,DATOS!$I12129,nEVAL,"OR")=0))</f>
      </c>
      <c r="I12129">
        <f>IF(DATOS!$I12129="","",IFERROR(VLOOKUP(DATOS!$I12129,CONFIG_ASIGNATURAS!$B$2:$J$91,9,FALSE()),""))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IF(DATOS!$A12130="",0,IF(CONFIG_METADATA!$B$4&lt;&gt;"OR+EX",--(DATOS!$G12130=CONFIG_METADATA!$B$4),IF(DATOS!$G12130="EX",1,IF(DATOS!$G12130="OR",--(COUNTIFS(nNIA,DATOS!$A12130,nCURSO,DATOS!$D12130,nESPEC,DATOS!$E12130,nASIG,DATOS!$I12130,nEVAL,"EX")=0),0))))</f>
      </c>
      <c r="H12130">
        <f>IF(DATOS!$G12130&lt;&gt;"EX",0,--(COUNTIFS(nNIA,DATOS!$A12130,nCURSO,DATOS!$D12130,nESPEC,DATOS!$E12130,nASIG,DATOS!$I12130,nEVAL,"OR")=0))</f>
      </c>
      <c r="I12130">
        <f>IF(DATOS!$I12130="","",IFERROR(VLOOKUP(DATOS!$I12130,CONFIG_ASIGNATURAS!$B$2:$J$91,9,FALSE()),""))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IF(DATOS!$A12131="",0,IF(CONFIG_METADATA!$B$4&lt;&gt;"OR+EX",--(DATOS!$G12131=CONFIG_METADATA!$B$4),IF(DATOS!$G12131="EX",1,IF(DATOS!$G12131="OR",--(COUNTIFS(nNIA,DATOS!$A12131,nCURSO,DATOS!$D12131,nESPEC,DATOS!$E12131,nASIG,DATOS!$I12131,nEVAL,"EX")=0),0))))</f>
      </c>
      <c r="H12131">
        <f>IF(DATOS!$G12131&lt;&gt;"EX",0,--(COUNTIFS(nNIA,DATOS!$A12131,nCURSO,DATOS!$D12131,nESPEC,DATOS!$E12131,nASIG,DATOS!$I12131,nEVAL,"OR")=0))</f>
      </c>
      <c r="I12131">
        <f>IF(DATOS!$I12131="","",IFERROR(VLOOKUP(DATOS!$I12131,CONFIG_ASIGNATURAS!$B$2:$J$91,9,FALSE()),""))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IF(DATOS!$A12132="",0,IF(CONFIG_METADATA!$B$4&lt;&gt;"OR+EX",--(DATOS!$G12132=CONFIG_METADATA!$B$4),IF(DATOS!$G12132="EX",1,IF(DATOS!$G12132="OR",--(COUNTIFS(nNIA,DATOS!$A12132,nCURSO,DATOS!$D12132,nESPEC,DATOS!$E12132,nASIG,DATOS!$I12132,nEVAL,"EX")=0),0))))</f>
      </c>
      <c r="H12132">
        <f>IF(DATOS!$G12132&lt;&gt;"EX",0,--(COUNTIFS(nNIA,DATOS!$A12132,nCURSO,DATOS!$D12132,nESPEC,DATOS!$E12132,nASIG,DATOS!$I12132,nEVAL,"OR")=0))</f>
      </c>
      <c r="I12132">
        <f>IF(DATOS!$I12132="","",IFERROR(VLOOKUP(DATOS!$I12132,CONFIG_ASIGNATURAS!$B$2:$J$91,9,FALSE()),""))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IF(DATOS!$A12133="",0,IF(CONFIG_METADATA!$B$4&lt;&gt;"OR+EX",--(DATOS!$G12133=CONFIG_METADATA!$B$4),IF(DATOS!$G12133="EX",1,IF(DATOS!$G12133="OR",--(COUNTIFS(nNIA,DATOS!$A12133,nCURSO,DATOS!$D12133,nESPEC,DATOS!$E12133,nASIG,DATOS!$I12133,nEVAL,"EX")=0),0))))</f>
      </c>
      <c r="H12133">
        <f>IF(DATOS!$G12133&lt;&gt;"EX",0,--(COUNTIFS(nNIA,DATOS!$A12133,nCURSO,DATOS!$D12133,nESPEC,DATOS!$E12133,nASIG,DATOS!$I12133,nEVAL,"OR")=0))</f>
      </c>
      <c r="I12133">
        <f>IF(DATOS!$I12133="","",IFERROR(VLOOKUP(DATOS!$I12133,CONFIG_ASIGNATURAS!$B$2:$J$91,9,FALSE()),""))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IF(DATOS!$A12134="",0,IF(CONFIG_METADATA!$B$4&lt;&gt;"OR+EX",--(DATOS!$G12134=CONFIG_METADATA!$B$4),IF(DATOS!$G12134="EX",1,IF(DATOS!$G12134="OR",--(COUNTIFS(nNIA,DATOS!$A12134,nCURSO,DATOS!$D12134,nESPEC,DATOS!$E12134,nASIG,DATOS!$I12134,nEVAL,"EX")=0),0))))</f>
      </c>
      <c r="H12134">
        <f>IF(DATOS!$G12134&lt;&gt;"EX",0,--(COUNTIFS(nNIA,DATOS!$A12134,nCURSO,DATOS!$D12134,nESPEC,DATOS!$E12134,nASIG,DATOS!$I12134,nEVAL,"OR")=0))</f>
      </c>
      <c r="I12134">
        <f>IF(DATOS!$I12134="","",IFERROR(VLOOKUP(DATOS!$I12134,CONFIG_ASIGNATURAS!$B$2:$J$91,9,FALSE()),""))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IF(DATOS!$A12135="",0,IF(CONFIG_METADATA!$B$4&lt;&gt;"OR+EX",--(DATOS!$G12135=CONFIG_METADATA!$B$4),IF(DATOS!$G12135="EX",1,IF(DATOS!$G12135="OR",--(COUNTIFS(nNIA,DATOS!$A12135,nCURSO,DATOS!$D12135,nESPEC,DATOS!$E12135,nASIG,DATOS!$I12135,nEVAL,"EX")=0),0))))</f>
      </c>
      <c r="H12135">
        <f>IF(DATOS!$G12135&lt;&gt;"EX",0,--(COUNTIFS(nNIA,DATOS!$A12135,nCURSO,DATOS!$D12135,nESPEC,DATOS!$E12135,nASIG,DATOS!$I12135,nEVAL,"OR")=0))</f>
      </c>
      <c r="I12135">
        <f>IF(DATOS!$I12135="","",IFERROR(VLOOKUP(DATOS!$I12135,CONFIG_ASIGNATURAS!$B$2:$J$91,9,FALSE()),""))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IF(DATOS!$A12136="",0,IF(CONFIG_METADATA!$B$4&lt;&gt;"OR+EX",--(DATOS!$G12136=CONFIG_METADATA!$B$4),IF(DATOS!$G12136="EX",1,IF(DATOS!$G12136="OR",--(COUNTIFS(nNIA,DATOS!$A12136,nCURSO,DATOS!$D12136,nESPEC,DATOS!$E12136,nASIG,DATOS!$I12136,nEVAL,"EX")=0),0))))</f>
      </c>
      <c r="H12136">
        <f>IF(DATOS!$G12136&lt;&gt;"EX",0,--(COUNTIFS(nNIA,DATOS!$A12136,nCURSO,DATOS!$D12136,nESPEC,DATOS!$E12136,nASIG,DATOS!$I12136,nEVAL,"OR")=0))</f>
      </c>
      <c r="I12136">
        <f>IF(DATOS!$I12136="","",IFERROR(VLOOKUP(DATOS!$I12136,CONFIG_ASIGNATURAS!$B$2:$J$91,9,FALSE()),""))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IF(DATOS!$A12137="",0,IF(CONFIG_METADATA!$B$4&lt;&gt;"OR+EX",--(DATOS!$G12137=CONFIG_METADATA!$B$4),IF(DATOS!$G12137="EX",1,IF(DATOS!$G12137="OR",--(COUNTIFS(nNIA,DATOS!$A12137,nCURSO,DATOS!$D12137,nESPEC,DATOS!$E12137,nASIG,DATOS!$I12137,nEVAL,"EX")=0),0))))</f>
      </c>
      <c r="H12137">
        <f>IF(DATOS!$G12137&lt;&gt;"EX",0,--(COUNTIFS(nNIA,DATOS!$A12137,nCURSO,DATOS!$D12137,nESPEC,DATOS!$E12137,nASIG,DATOS!$I12137,nEVAL,"OR")=0))</f>
      </c>
      <c r="I12137">
        <f>IF(DATOS!$I12137="","",IFERROR(VLOOKUP(DATOS!$I12137,CONFIG_ASIGNATURAS!$B$2:$J$91,9,FALSE()),""))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IF(DATOS!$A12138="",0,IF(CONFIG_METADATA!$B$4&lt;&gt;"OR+EX",--(DATOS!$G12138=CONFIG_METADATA!$B$4),IF(DATOS!$G12138="EX",1,IF(DATOS!$G12138="OR",--(COUNTIFS(nNIA,DATOS!$A12138,nCURSO,DATOS!$D12138,nESPEC,DATOS!$E12138,nASIG,DATOS!$I12138,nEVAL,"EX")=0),0))))</f>
      </c>
      <c r="H12138">
        <f>IF(DATOS!$G12138&lt;&gt;"EX",0,--(COUNTIFS(nNIA,DATOS!$A12138,nCURSO,DATOS!$D12138,nESPEC,DATOS!$E12138,nASIG,DATOS!$I12138,nEVAL,"OR")=0))</f>
      </c>
      <c r="I12138">
        <f>IF(DATOS!$I12138="","",IFERROR(VLOOKUP(DATOS!$I12138,CONFIG_ASIGNATURAS!$B$2:$J$91,9,FALSE()),""))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IF(DATOS!$A12139="",0,IF(CONFIG_METADATA!$B$4&lt;&gt;"OR+EX",--(DATOS!$G12139=CONFIG_METADATA!$B$4),IF(DATOS!$G12139="EX",1,IF(DATOS!$G12139="OR",--(COUNTIFS(nNIA,DATOS!$A12139,nCURSO,DATOS!$D12139,nESPEC,DATOS!$E12139,nASIG,DATOS!$I12139,nEVAL,"EX")=0),0))))</f>
      </c>
      <c r="H12139">
        <f>IF(DATOS!$G12139&lt;&gt;"EX",0,--(COUNTIFS(nNIA,DATOS!$A12139,nCURSO,DATOS!$D12139,nESPEC,DATOS!$E12139,nASIG,DATOS!$I12139,nEVAL,"OR")=0))</f>
      </c>
      <c r="I12139">
        <f>IF(DATOS!$I12139="","",IFERROR(VLOOKUP(DATOS!$I12139,CONFIG_ASIGNATURAS!$B$2:$J$91,9,FALSE()),""))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IF(DATOS!$A12140="",0,IF(CONFIG_METADATA!$B$4&lt;&gt;"OR+EX",--(DATOS!$G12140=CONFIG_METADATA!$B$4),IF(DATOS!$G12140="EX",1,IF(DATOS!$G12140="OR",--(COUNTIFS(nNIA,DATOS!$A12140,nCURSO,DATOS!$D12140,nESPEC,DATOS!$E12140,nASIG,DATOS!$I12140,nEVAL,"EX")=0),0))))</f>
      </c>
      <c r="H12140">
        <f>IF(DATOS!$G12140&lt;&gt;"EX",0,--(COUNTIFS(nNIA,DATOS!$A12140,nCURSO,DATOS!$D12140,nESPEC,DATOS!$E12140,nASIG,DATOS!$I12140,nEVAL,"OR")=0))</f>
      </c>
      <c r="I12140">
        <f>IF(DATOS!$I12140="","",IFERROR(VLOOKUP(DATOS!$I12140,CONFIG_ASIGNATURAS!$B$2:$J$91,9,FALSE()),""))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IF(DATOS!$A12141="",0,IF(CONFIG_METADATA!$B$4&lt;&gt;"OR+EX",--(DATOS!$G12141=CONFIG_METADATA!$B$4),IF(DATOS!$G12141="EX",1,IF(DATOS!$G12141="OR",--(COUNTIFS(nNIA,DATOS!$A12141,nCURSO,DATOS!$D12141,nESPEC,DATOS!$E12141,nASIG,DATOS!$I12141,nEVAL,"EX")=0),0))))</f>
      </c>
      <c r="H12141">
        <f>IF(DATOS!$G12141&lt;&gt;"EX",0,--(COUNTIFS(nNIA,DATOS!$A12141,nCURSO,DATOS!$D12141,nESPEC,DATOS!$E12141,nASIG,DATOS!$I12141,nEVAL,"OR")=0))</f>
      </c>
      <c r="I12141">
        <f>IF(DATOS!$I12141="","",IFERROR(VLOOKUP(DATOS!$I12141,CONFIG_ASIGNATURAS!$B$2:$J$91,9,FALSE()),""))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IF(DATOS!$A12142="",0,IF(CONFIG_METADATA!$B$4&lt;&gt;"OR+EX",--(DATOS!$G12142=CONFIG_METADATA!$B$4),IF(DATOS!$G12142="EX",1,IF(DATOS!$G12142="OR",--(COUNTIFS(nNIA,DATOS!$A12142,nCURSO,DATOS!$D12142,nESPEC,DATOS!$E12142,nASIG,DATOS!$I12142,nEVAL,"EX")=0),0))))</f>
      </c>
      <c r="H12142">
        <f>IF(DATOS!$G12142&lt;&gt;"EX",0,--(COUNTIFS(nNIA,DATOS!$A12142,nCURSO,DATOS!$D12142,nESPEC,DATOS!$E12142,nASIG,DATOS!$I12142,nEVAL,"OR")=0))</f>
      </c>
      <c r="I12142">
        <f>IF(DATOS!$I12142="","",IFERROR(VLOOKUP(DATOS!$I12142,CONFIG_ASIGNATURAS!$B$2:$J$91,9,FALSE()),""))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IF(DATOS!$A12143="",0,IF(CONFIG_METADATA!$B$4&lt;&gt;"OR+EX",--(DATOS!$G12143=CONFIG_METADATA!$B$4),IF(DATOS!$G12143="EX",1,IF(DATOS!$G12143="OR",--(COUNTIFS(nNIA,DATOS!$A12143,nCURSO,DATOS!$D12143,nESPEC,DATOS!$E12143,nASIG,DATOS!$I12143,nEVAL,"EX")=0),0))))</f>
      </c>
      <c r="H12143">
        <f>IF(DATOS!$G12143&lt;&gt;"EX",0,--(COUNTIFS(nNIA,DATOS!$A12143,nCURSO,DATOS!$D12143,nESPEC,DATOS!$E12143,nASIG,DATOS!$I12143,nEVAL,"OR")=0))</f>
      </c>
      <c r="I12143">
        <f>IF(DATOS!$I12143="","",IFERROR(VLOOKUP(DATOS!$I12143,CONFIG_ASIGNATURAS!$B$2:$J$91,9,FALSE()),""))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IF(DATOS!$A12144="",0,IF(CONFIG_METADATA!$B$4&lt;&gt;"OR+EX",--(DATOS!$G12144=CONFIG_METADATA!$B$4),IF(DATOS!$G12144="EX",1,IF(DATOS!$G12144="OR",--(COUNTIFS(nNIA,DATOS!$A12144,nCURSO,DATOS!$D12144,nESPEC,DATOS!$E12144,nASIG,DATOS!$I12144,nEVAL,"EX")=0),0))))</f>
      </c>
      <c r="H12144">
        <f>IF(DATOS!$G12144&lt;&gt;"EX",0,--(COUNTIFS(nNIA,DATOS!$A12144,nCURSO,DATOS!$D12144,nESPEC,DATOS!$E12144,nASIG,DATOS!$I12144,nEVAL,"OR")=0))</f>
      </c>
      <c r="I12144">
        <f>IF(DATOS!$I12144="","",IFERROR(VLOOKUP(DATOS!$I12144,CONFIG_ASIGNATURAS!$B$2:$J$91,9,FALSE()),""))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IF(DATOS!$A12145="",0,IF(CONFIG_METADATA!$B$4&lt;&gt;"OR+EX",--(DATOS!$G12145=CONFIG_METADATA!$B$4),IF(DATOS!$G12145="EX",1,IF(DATOS!$G12145="OR",--(COUNTIFS(nNIA,DATOS!$A12145,nCURSO,DATOS!$D12145,nESPEC,DATOS!$E12145,nASIG,DATOS!$I12145,nEVAL,"EX")=0),0))))</f>
      </c>
      <c r="H12145">
        <f>IF(DATOS!$G12145&lt;&gt;"EX",0,--(COUNTIFS(nNIA,DATOS!$A12145,nCURSO,DATOS!$D12145,nESPEC,DATOS!$E12145,nASIG,DATOS!$I12145,nEVAL,"OR")=0))</f>
      </c>
      <c r="I12145">
        <f>IF(DATOS!$I12145="","",IFERROR(VLOOKUP(DATOS!$I12145,CONFIG_ASIGNATURAS!$B$2:$J$91,9,FALSE()),""))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IF(DATOS!$A12146="",0,IF(CONFIG_METADATA!$B$4&lt;&gt;"OR+EX",--(DATOS!$G12146=CONFIG_METADATA!$B$4),IF(DATOS!$G12146="EX",1,IF(DATOS!$G12146="OR",--(COUNTIFS(nNIA,DATOS!$A12146,nCURSO,DATOS!$D12146,nESPEC,DATOS!$E12146,nASIG,DATOS!$I12146,nEVAL,"EX")=0),0))))</f>
      </c>
      <c r="H12146">
        <f>IF(DATOS!$G12146&lt;&gt;"EX",0,--(COUNTIFS(nNIA,DATOS!$A12146,nCURSO,DATOS!$D12146,nESPEC,DATOS!$E12146,nASIG,DATOS!$I12146,nEVAL,"OR")=0))</f>
      </c>
      <c r="I12146">
        <f>IF(DATOS!$I12146="","",IFERROR(VLOOKUP(DATOS!$I12146,CONFIG_ASIGNATURAS!$B$2:$J$91,9,FALSE()),""))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IF(DATOS!$A12147="",0,IF(CONFIG_METADATA!$B$4&lt;&gt;"OR+EX",--(DATOS!$G12147=CONFIG_METADATA!$B$4),IF(DATOS!$G12147="EX",1,IF(DATOS!$G12147="OR",--(COUNTIFS(nNIA,DATOS!$A12147,nCURSO,DATOS!$D12147,nESPEC,DATOS!$E12147,nASIG,DATOS!$I12147,nEVAL,"EX")=0),0))))</f>
      </c>
      <c r="H12147">
        <f>IF(DATOS!$G12147&lt;&gt;"EX",0,--(COUNTIFS(nNIA,DATOS!$A12147,nCURSO,DATOS!$D12147,nESPEC,DATOS!$E12147,nASIG,DATOS!$I12147,nEVAL,"OR")=0))</f>
      </c>
      <c r="I12147">
        <f>IF(DATOS!$I12147="","",IFERROR(VLOOKUP(DATOS!$I12147,CONFIG_ASIGNATURAS!$B$2:$J$91,9,FALSE()),""))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IF(DATOS!$A12148="",0,IF(CONFIG_METADATA!$B$4&lt;&gt;"OR+EX",--(DATOS!$G12148=CONFIG_METADATA!$B$4),IF(DATOS!$G12148="EX",1,IF(DATOS!$G12148="OR",--(COUNTIFS(nNIA,DATOS!$A12148,nCURSO,DATOS!$D12148,nESPEC,DATOS!$E12148,nASIG,DATOS!$I12148,nEVAL,"EX")=0),0))))</f>
      </c>
      <c r="H12148">
        <f>IF(DATOS!$G12148&lt;&gt;"EX",0,--(COUNTIFS(nNIA,DATOS!$A12148,nCURSO,DATOS!$D12148,nESPEC,DATOS!$E12148,nASIG,DATOS!$I12148,nEVAL,"OR")=0))</f>
      </c>
      <c r="I12148">
        <f>IF(DATOS!$I12148="","",IFERROR(VLOOKUP(DATOS!$I12148,CONFIG_ASIGNATURAS!$B$2:$J$91,9,FALSE()),""))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IF(DATOS!$A12149="",0,IF(CONFIG_METADATA!$B$4&lt;&gt;"OR+EX",--(DATOS!$G12149=CONFIG_METADATA!$B$4),IF(DATOS!$G12149="EX",1,IF(DATOS!$G12149="OR",--(COUNTIFS(nNIA,DATOS!$A12149,nCURSO,DATOS!$D12149,nESPEC,DATOS!$E12149,nASIG,DATOS!$I12149,nEVAL,"EX")=0),0))))</f>
      </c>
      <c r="H12149">
        <f>IF(DATOS!$G12149&lt;&gt;"EX",0,--(COUNTIFS(nNIA,DATOS!$A12149,nCURSO,DATOS!$D12149,nESPEC,DATOS!$E12149,nASIG,DATOS!$I12149,nEVAL,"OR")=0))</f>
      </c>
      <c r="I12149">
        <f>IF(DATOS!$I12149="","",IFERROR(VLOOKUP(DATOS!$I12149,CONFIG_ASIGNATURAS!$B$2:$J$91,9,FALSE()),""))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IF(DATOS!$A12150="",0,IF(CONFIG_METADATA!$B$4&lt;&gt;"OR+EX",--(DATOS!$G12150=CONFIG_METADATA!$B$4),IF(DATOS!$G12150="EX",1,IF(DATOS!$G12150="OR",--(COUNTIFS(nNIA,DATOS!$A12150,nCURSO,DATOS!$D12150,nESPEC,DATOS!$E12150,nASIG,DATOS!$I12150,nEVAL,"EX")=0),0))))</f>
      </c>
      <c r="H12150">
        <f>IF(DATOS!$G12150&lt;&gt;"EX",0,--(COUNTIFS(nNIA,DATOS!$A12150,nCURSO,DATOS!$D12150,nESPEC,DATOS!$E12150,nASIG,DATOS!$I12150,nEVAL,"OR")=0))</f>
      </c>
      <c r="I12150">
        <f>IF(DATOS!$I12150="","",IFERROR(VLOOKUP(DATOS!$I12150,CONFIG_ASIGNATURAS!$B$2:$J$91,9,FALSE()),""))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IF(DATOS!$A12151="",0,IF(CONFIG_METADATA!$B$4&lt;&gt;"OR+EX",--(DATOS!$G12151=CONFIG_METADATA!$B$4),IF(DATOS!$G12151="EX",1,IF(DATOS!$G12151="OR",--(COUNTIFS(nNIA,DATOS!$A12151,nCURSO,DATOS!$D12151,nESPEC,DATOS!$E12151,nASIG,DATOS!$I12151,nEVAL,"EX")=0),0))))</f>
      </c>
      <c r="H12151">
        <f>IF(DATOS!$G12151&lt;&gt;"EX",0,--(COUNTIFS(nNIA,DATOS!$A12151,nCURSO,DATOS!$D12151,nESPEC,DATOS!$E12151,nASIG,DATOS!$I12151,nEVAL,"OR")=0))</f>
      </c>
      <c r="I12151">
        <f>IF(DATOS!$I12151="","",IFERROR(VLOOKUP(DATOS!$I12151,CONFIG_ASIGNATURAS!$B$2:$J$91,9,FALSE()),""))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IF(DATOS!$A12152="",0,IF(CONFIG_METADATA!$B$4&lt;&gt;"OR+EX",--(DATOS!$G12152=CONFIG_METADATA!$B$4),IF(DATOS!$G12152="EX",1,IF(DATOS!$G12152="OR",--(COUNTIFS(nNIA,DATOS!$A12152,nCURSO,DATOS!$D12152,nESPEC,DATOS!$E12152,nASIG,DATOS!$I12152,nEVAL,"EX")=0),0))))</f>
      </c>
      <c r="H12152">
        <f>IF(DATOS!$G12152&lt;&gt;"EX",0,--(COUNTIFS(nNIA,DATOS!$A12152,nCURSO,DATOS!$D12152,nESPEC,DATOS!$E12152,nASIG,DATOS!$I12152,nEVAL,"OR")=0))</f>
      </c>
      <c r="I12152">
        <f>IF(DATOS!$I12152="","",IFERROR(VLOOKUP(DATOS!$I12152,CONFIG_ASIGNATURAS!$B$2:$J$91,9,FALSE()),""))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IF(DATOS!$A12153="",0,IF(CONFIG_METADATA!$B$4&lt;&gt;"OR+EX",--(DATOS!$G12153=CONFIG_METADATA!$B$4),IF(DATOS!$G12153="EX",1,IF(DATOS!$G12153="OR",--(COUNTIFS(nNIA,DATOS!$A12153,nCURSO,DATOS!$D12153,nESPEC,DATOS!$E12153,nASIG,DATOS!$I12153,nEVAL,"EX")=0),0))))</f>
      </c>
      <c r="H12153">
        <f>IF(DATOS!$G12153&lt;&gt;"EX",0,--(COUNTIFS(nNIA,DATOS!$A12153,nCURSO,DATOS!$D12153,nESPEC,DATOS!$E12153,nASIG,DATOS!$I12153,nEVAL,"OR")=0))</f>
      </c>
      <c r="I12153">
        <f>IF(DATOS!$I12153="","",IFERROR(VLOOKUP(DATOS!$I12153,CONFIG_ASIGNATURAS!$B$2:$J$91,9,FALSE()),""))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IF(DATOS!$A12154="",0,IF(CONFIG_METADATA!$B$4&lt;&gt;"OR+EX",--(DATOS!$G12154=CONFIG_METADATA!$B$4),IF(DATOS!$G12154="EX",1,IF(DATOS!$G12154="OR",--(COUNTIFS(nNIA,DATOS!$A12154,nCURSO,DATOS!$D12154,nESPEC,DATOS!$E12154,nASIG,DATOS!$I12154,nEVAL,"EX")=0),0))))</f>
      </c>
      <c r="H12154">
        <f>IF(DATOS!$G12154&lt;&gt;"EX",0,--(COUNTIFS(nNIA,DATOS!$A12154,nCURSO,DATOS!$D12154,nESPEC,DATOS!$E12154,nASIG,DATOS!$I12154,nEVAL,"OR")=0))</f>
      </c>
      <c r="I12154">
        <f>IF(DATOS!$I12154="","",IFERROR(VLOOKUP(DATOS!$I12154,CONFIG_ASIGNATURAS!$B$2:$J$91,9,FALSE()),""))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IF(DATOS!$A12155="",0,IF(CONFIG_METADATA!$B$4&lt;&gt;"OR+EX",--(DATOS!$G12155=CONFIG_METADATA!$B$4),IF(DATOS!$G12155="EX",1,IF(DATOS!$G12155="OR",--(COUNTIFS(nNIA,DATOS!$A12155,nCURSO,DATOS!$D12155,nESPEC,DATOS!$E12155,nASIG,DATOS!$I12155,nEVAL,"EX")=0),0))))</f>
      </c>
      <c r="H12155">
        <f>IF(DATOS!$G12155&lt;&gt;"EX",0,--(COUNTIFS(nNIA,DATOS!$A12155,nCURSO,DATOS!$D12155,nESPEC,DATOS!$E12155,nASIG,DATOS!$I12155,nEVAL,"OR")=0))</f>
      </c>
      <c r="I12155">
        <f>IF(DATOS!$I12155="","",IFERROR(VLOOKUP(DATOS!$I12155,CONFIG_ASIGNATURAS!$B$2:$J$91,9,FALSE()),""))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IF(DATOS!$A12156="",0,IF(CONFIG_METADATA!$B$4&lt;&gt;"OR+EX",--(DATOS!$G12156=CONFIG_METADATA!$B$4),IF(DATOS!$G12156="EX",1,IF(DATOS!$G12156="OR",--(COUNTIFS(nNIA,DATOS!$A12156,nCURSO,DATOS!$D12156,nESPEC,DATOS!$E12156,nASIG,DATOS!$I12156,nEVAL,"EX")=0),0))))</f>
      </c>
      <c r="H12156">
        <f>IF(DATOS!$G12156&lt;&gt;"EX",0,--(COUNTIFS(nNIA,DATOS!$A12156,nCURSO,DATOS!$D12156,nESPEC,DATOS!$E12156,nASIG,DATOS!$I12156,nEVAL,"OR")=0))</f>
      </c>
      <c r="I12156">
        <f>IF(DATOS!$I12156="","",IFERROR(VLOOKUP(DATOS!$I12156,CONFIG_ASIGNATURAS!$B$2:$J$91,9,FALSE()),""))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IF(DATOS!$A12157="",0,IF(CONFIG_METADATA!$B$4&lt;&gt;"OR+EX",--(DATOS!$G12157=CONFIG_METADATA!$B$4),IF(DATOS!$G12157="EX",1,IF(DATOS!$G12157="OR",--(COUNTIFS(nNIA,DATOS!$A12157,nCURSO,DATOS!$D12157,nESPEC,DATOS!$E12157,nASIG,DATOS!$I12157,nEVAL,"EX")=0),0))))</f>
      </c>
      <c r="H12157">
        <f>IF(DATOS!$G12157&lt;&gt;"EX",0,--(COUNTIFS(nNIA,DATOS!$A12157,nCURSO,DATOS!$D12157,nESPEC,DATOS!$E12157,nASIG,DATOS!$I12157,nEVAL,"OR")=0))</f>
      </c>
      <c r="I12157">
        <f>IF(DATOS!$I12157="","",IFERROR(VLOOKUP(DATOS!$I12157,CONFIG_ASIGNATURAS!$B$2:$J$91,9,FALSE()),""))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IF(DATOS!$A12158="",0,IF(CONFIG_METADATA!$B$4&lt;&gt;"OR+EX",--(DATOS!$G12158=CONFIG_METADATA!$B$4),IF(DATOS!$G12158="EX",1,IF(DATOS!$G12158="OR",--(COUNTIFS(nNIA,DATOS!$A12158,nCURSO,DATOS!$D12158,nESPEC,DATOS!$E12158,nASIG,DATOS!$I12158,nEVAL,"EX")=0),0))))</f>
      </c>
      <c r="H12158">
        <f>IF(DATOS!$G12158&lt;&gt;"EX",0,--(COUNTIFS(nNIA,DATOS!$A12158,nCURSO,DATOS!$D12158,nESPEC,DATOS!$E12158,nASIG,DATOS!$I12158,nEVAL,"OR")=0))</f>
      </c>
      <c r="I12158">
        <f>IF(DATOS!$I12158="","",IFERROR(VLOOKUP(DATOS!$I12158,CONFIG_ASIGNATURAS!$B$2:$J$91,9,FALSE()),""))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IF(DATOS!$A12159="",0,IF(CONFIG_METADATA!$B$4&lt;&gt;"OR+EX",--(DATOS!$G12159=CONFIG_METADATA!$B$4),IF(DATOS!$G12159="EX",1,IF(DATOS!$G12159="OR",--(COUNTIFS(nNIA,DATOS!$A12159,nCURSO,DATOS!$D12159,nESPEC,DATOS!$E12159,nASIG,DATOS!$I12159,nEVAL,"EX")=0),0))))</f>
      </c>
      <c r="H12159">
        <f>IF(DATOS!$G12159&lt;&gt;"EX",0,--(COUNTIFS(nNIA,DATOS!$A12159,nCURSO,DATOS!$D12159,nESPEC,DATOS!$E12159,nASIG,DATOS!$I12159,nEVAL,"OR")=0))</f>
      </c>
      <c r="I12159">
        <f>IF(DATOS!$I12159="","",IFERROR(VLOOKUP(DATOS!$I12159,CONFIG_ASIGNATURAS!$B$2:$J$91,9,FALSE()),""))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IF(DATOS!$A12160="",0,IF(CONFIG_METADATA!$B$4&lt;&gt;"OR+EX",--(DATOS!$G12160=CONFIG_METADATA!$B$4),IF(DATOS!$G12160="EX",1,IF(DATOS!$G12160="OR",--(COUNTIFS(nNIA,DATOS!$A12160,nCURSO,DATOS!$D12160,nESPEC,DATOS!$E12160,nASIG,DATOS!$I12160,nEVAL,"EX")=0),0))))</f>
      </c>
      <c r="H12160">
        <f>IF(DATOS!$G12160&lt;&gt;"EX",0,--(COUNTIFS(nNIA,DATOS!$A12160,nCURSO,DATOS!$D12160,nESPEC,DATOS!$E12160,nASIG,DATOS!$I12160,nEVAL,"OR")=0))</f>
      </c>
      <c r="I12160">
        <f>IF(DATOS!$I12160="","",IFERROR(VLOOKUP(DATOS!$I12160,CONFIG_ASIGNATURAS!$B$2:$J$91,9,FALSE()),""))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IF(DATOS!$A12161="",0,IF(CONFIG_METADATA!$B$4&lt;&gt;"OR+EX",--(DATOS!$G12161=CONFIG_METADATA!$B$4),IF(DATOS!$G12161="EX",1,IF(DATOS!$G12161="OR",--(COUNTIFS(nNIA,DATOS!$A12161,nCURSO,DATOS!$D12161,nESPEC,DATOS!$E12161,nASIG,DATOS!$I12161,nEVAL,"EX")=0),0))))</f>
      </c>
      <c r="H12161">
        <f>IF(DATOS!$G12161&lt;&gt;"EX",0,--(COUNTIFS(nNIA,DATOS!$A12161,nCURSO,DATOS!$D12161,nESPEC,DATOS!$E12161,nASIG,DATOS!$I12161,nEVAL,"OR")=0))</f>
      </c>
      <c r="I12161">
        <f>IF(DATOS!$I12161="","",IFERROR(VLOOKUP(DATOS!$I12161,CONFIG_ASIGNATURAS!$B$2:$J$91,9,FALSE()),""))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IF(DATOS!$A12162="",0,IF(CONFIG_METADATA!$B$4&lt;&gt;"OR+EX",--(DATOS!$G12162=CONFIG_METADATA!$B$4),IF(DATOS!$G12162="EX",1,IF(DATOS!$G12162="OR",--(COUNTIFS(nNIA,DATOS!$A12162,nCURSO,DATOS!$D12162,nESPEC,DATOS!$E12162,nASIG,DATOS!$I12162,nEVAL,"EX")=0),0))))</f>
      </c>
      <c r="H12162">
        <f>IF(DATOS!$G12162&lt;&gt;"EX",0,--(COUNTIFS(nNIA,DATOS!$A12162,nCURSO,DATOS!$D12162,nESPEC,DATOS!$E12162,nASIG,DATOS!$I12162,nEVAL,"OR")=0))</f>
      </c>
      <c r="I12162">
        <f>IF(DATOS!$I12162="","",IFERROR(VLOOKUP(DATOS!$I12162,CONFIG_ASIGNATURAS!$B$2:$J$91,9,FALSE()),""))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IF(DATOS!$A12163="",0,IF(CONFIG_METADATA!$B$4&lt;&gt;"OR+EX",--(DATOS!$G12163=CONFIG_METADATA!$B$4),IF(DATOS!$G12163="EX",1,IF(DATOS!$G12163="OR",--(COUNTIFS(nNIA,DATOS!$A12163,nCURSO,DATOS!$D12163,nESPEC,DATOS!$E12163,nASIG,DATOS!$I12163,nEVAL,"EX")=0),0))))</f>
      </c>
      <c r="H12163">
        <f>IF(DATOS!$G12163&lt;&gt;"EX",0,--(COUNTIFS(nNIA,DATOS!$A12163,nCURSO,DATOS!$D12163,nESPEC,DATOS!$E12163,nASIG,DATOS!$I12163,nEVAL,"OR")=0))</f>
      </c>
      <c r="I12163">
        <f>IF(DATOS!$I12163="","",IFERROR(VLOOKUP(DATOS!$I12163,CONFIG_ASIGNATURAS!$B$2:$J$91,9,FALSE()),""))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IF(DATOS!$A12164="",0,IF(CONFIG_METADATA!$B$4&lt;&gt;"OR+EX",--(DATOS!$G12164=CONFIG_METADATA!$B$4),IF(DATOS!$G12164="EX",1,IF(DATOS!$G12164="OR",--(COUNTIFS(nNIA,DATOS!$A12164,nCURSO,DATOS!$D12164,nESPEC,DATOS!$E12164,nASIG,DATOS!$I12164,nEVAL,"EX")=0),0))))</f>
      </c>
      <c r="H12164">
        <f>IF(DATOS!$G12164&lt;&gt;"EX",0,--(COUNTIFS(nNIA,DATOS!$A12164,nCURSO,DATOS!$D12164,nESPEC,DATOS!$E12164,nASIG,DATOS!$I12164,nEVAL,"OR")=0))</f>
      </c>
      <c r="I12164">
        <f>IF(DATOS!$I12164="","",IFERROR(VLOOKUP(DATOS!$I12164,CONFIG_ASIGNATURAS!$B$2:$J$91,9,FALSE()),""))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IF(DATOS!$A12165="",0,IF(CONFIG_METADATA!$B$4&lt;&gt;"OR+EX",--(DATOS!$G12165=CONFIG_METADATA!$B$4),IF(DATOS!$G12165="EX",1,IF(DATOS!$G12165="OR",--(COUNTIFS(nNIA,DATOS!$A12165,nCURSO,DATOS!$D12165,nESPEC,DATOS!$E12165,nASIG,DATOS!$I12165,nEVAL,"EX")=0),0))))</f>
      </c>
      <c r="H12165">
        <f>IF(DATOS!$G12165&lt;&gt;"EX",0,--(COUNTIFS(nNIA,DATOS!$A12165,nCURSO,DATOS!$D12165,nESPEC,DATOS!$E12165,nASIG,DATOS!$I12165,nEVAL,"OR")=0))</f>
      </c>
      <c r="I12165">
        <f>IF(DATOS!$I12165="","",IFERROR(VLOOKUP(DATOS!$I12165,CONFIG_ASIGNATURAS!$B$2:$J$91,9,FALSE()),""))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IF(DATOS!$A12166="",0,IF(CONFIG_METADATA!$B$4&lt;&gt;"OR+EX",--(DATOS!$G12166=CONFIG_METADATA!$B$4),IF(DATOS!$G12166="EX",1,IF(DATOS!$G12166="OR",--(COUNTIFS(nNIA,DATOS!$A12166,nCURSO,DATOS!$D12166,nESPEC,DATOS!$E12166,nASIG,DATOS!$I12166,nEVAL,"EX")=0),0))))</f>
      </c>
      <c r="H12166">
        <f>IF(DATOS!$G12166&lt;&gt;"EX",0,--(COUNTIFS(nNIA,DATOS!$A12166,nCURSO,DATOS!$D12166,nESPEC,DATOS!$E12166,nASIG,DATOS!$I12166,nEVAL,"OR")=0))</f>
      </c>
      <c r="I12166">
        <f>IF(DATOS!$I12166="","",IFERROR(VLOOKUP(DATOS!$I12166,CONFIG_ASIGNATURAS!$B$2:$J$91,9,FALSE()),""))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IF(DATOS!$A12167="",0,IF(CONFIG_METADATA!$B$4&lt;&gt;"OR+EX",--(DATOS!$G12167=CONFIG_METADATA!$B$4),IF(DATOS!$G12167="EX",1,IF(DATOS!$G12167="OR",--(COUNTIFS(nNIA,DATOS!$A12167,nCURSO,DATOS!$D12167,nESPEC,DATOS!$E12167,nASIG,DATOS!$I12167,nEVAL,"EX")=0),0))))</f>
      </c>
      <c r="H12167">
        <f>IF(DATOS!$G12167&lt;&gt;"EX",0,--(COUNTIFS(nNIA,DATOS!$A12167,nCURSO,DATOS!$D12167,nESPEC,DATOS!$E12167,nASIG,DATOS!$I12167,nEVAL,"OR")=0))</f>
      </c>
      <c r="I12167">
        <f>IF(DATOS!$I12167="","",IFERROR(VLOOKUP(DATOS!$I12167,CONFIG_ASIGNATURAS!$B$2:$J$91,9,FALSE()),""))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IF(DATOS!$A12168="",0,IF(CONFIG_METADATA!$B$4&lt;&gt;"OR+EX",--(DATOS!$G12168=CONFIG_METADATA!$B$4),IF(DATOS!$G12168="EX",1,IF(DATOS!$G12168="OR",--(COUNTIFS(nNIA,DATOS!$A12168,nCURSO,DATOS!$D12168,nESPEC,DATOS!$E12168,nASIG,DATOS!$I12168,nEVAL,"EX")=0),0))))</f>
      </c>
      <c r="H12168">
        <f>IF(DATOS!$G12168&lt;&gt;"EX",0,--(COUNTIFS(nNIA,DATOS!$A12168,nCURSO,DATOS!$D12168,nESPEC,DATOS!$E12168,nASIG,DATOS!$I12168,nEVAL,"OR")=0))</f>
      </c>
      <c r="I12168">
        <f>IF(DATOS!$I12168="","",IFERROR(VLOOKUP(DATOS!$I12168,CONFIG_ASIGNATURAS!$B$2:$J$91,9,FALSE()),""))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IF(DATOS!$A12169="",0,IF(CONFIG_METADATA!$B$4&lt;&gt;"OR+EX",--(DATOS!$G12169=CONFIG_METADATA!$B$4),IF(DATOS!$G12169="EX",1,IF(DATOS!$G12169="OR",--(COUNTIFS(nNIA,DATOS!$A12169,nCURSO,DATOS!$D12169,nESPEC,DATOS!$E12169,nASIG,DATOS!$I12169,nEVAL,"EX")=0),0))))</f>
      </c>
      <c r="H12169">
        <f>IF(DATOS!$G12169&lt;&gt;"EX",0,--(COUNTIFS(nNIA,DATOS!$A12169,nCURSO,DATOS!$D12169,nESPEC,DATOS!$E12169,nASIG,DATOS!$I12169,nEVAL,"OR")=0))</f>
      </c>
      <c r="I12169">
        <f>IF(DATOS!$I12169="","",IFERROR(VLOOKUP(DATOS!$I12169,CONFIG_ASIGNATURAS!$B$2:$J$91,9,FALSE()),""))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IF(DATOS!$A12170="",0,IF(CONFIG_METADATA!$B$4&lt;&gt;"OR+EX",--(DATOS!$G12170=CONFIG_METADATA!$B$4),IF(DATOS!$G12170="EX",1,IF(DATOS!$G12170="OR",--(COUNTIFS(nNIA,DATOS!$A12170,nCURSO,DATOS!$D12170,nESPEC,DATOS!$E12170,nASIG,DATOS!$I12170,nEVAL,"EX")=0),0))))</f>
      </c>
      <c r="H12170">
        <f>IF(DATOS!$G12170&lt;&gt;"EX",0,--(COUNTIFS(nNIA,DATOS!$A12170,nCURSO,DATOS!$D12170,nESPEC,DATOS!$E12170,nASIG,DATOS!$I12170,nEVAL,"OR")=0))</f>
      </c>
      <c r="I12170">
        <f>IF(DATOS!$I12170="","",IFERROR(VLOOKUP(DATOS!$I12170,CONFIG_ASIGNATURAS!$B$2:$J$91,9,FALSE()),""))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IF(DATOS!$A12171="",0,IF(CONFIG_METADATA!$B$4&lt;&gt;"OR+EX",--(DATOS!$G12171=CONFIG_METADATA!$B$4),IF(DATOS!$G12171="EX",1,IF(DATOS!$G12171="OR",--(COUNTIFS(nNIA,DATOS!$A12171,nCURSO,DATOS!$D12171,nESPEC,DATOS!$E12171,nASIG,DATOS!$I12171,nEVAL,"EX")=0),0))))</f>
      </c>
      <c r="H12171">
        <f>IF(DATOS!$G12171&lt;&gt;"EX",0,--(COUNTIFS(nNIA,DATOS!$A12171,nCURSO,DATOS!$D12171,nESPEC,DATOS!$E12171,nASIG,DATOS!$I12171,nEVAL,"OR")=0))</f>
      </c>
      <c r="I12171">
        <f>IF(DATOS!$I12171="","",IFERROR(VLOOKUP(DATOS!$I12171,CONFIG_ASIGNATURAS!$B$2:$J$91,9,FALSE()),""))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IF(DATOS!$A12172="",0,IF(CONFIG_METADATA!$B$4&lt;&gt;"OR+EX",--(DATOS!$G12172=CONFIG_METADATA!$B$4),IF(DATOS!$G12172="EX",1,IF(DATOS!$G12172="OR",--(COUNTIFS(nNIA,DATOS!$A12172,nCURSO,DATOS!$D12172,nESPEC,DATOS!$E12172,nASIG,DATOS!$I12172,nEVAL,"EX")=0),0))))</f>
      </c>
      <c r="H12172">
        <f>IF(DATOS!$G12172&lt;&gt;"EX",0,--(COUNTIFS(nNIA,DATOS!$A12172,nCURSO,DATOS!$D12172,nESPEC,DATOS!$E12172,nASIG,DATOS!$I12172,nEVAL,"OR")=0))</f>
      </c>
      <c r="I12172">
        <f>IF(DATOS!$I12172="","",IFERROR(VLOOKUP(DATOS!$I12172,CONFIG_ASIGNATURAS!$B$2:$J$91,9,FALSE()),""))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IF(DATOS!$A12173="",0,IF(CONFIG_METADATA!$B$4&lt;&gt;"OR+EX",--(DATOS!$G12173=CONFIG_METADATA!$B$4),IF(DATOS!$G12173="EX",1,IF(DATOS!$G12173="OR",--(COUNTIFS(nNIA,DATOS!$A12173,nCURSO,DATOS!$D12173,nESPEC,DATOS!$E12173,nASIG,DATOS!$I12173,nEVAL,"EX")=0),0))))</f>
      </c>
      <c r="H12173">
        <f>IF(DATOS!$G12173&lt;&gt;"EX",0,--(COUNTIFS(nNIA,DATOS!$A12173,nCURSO,DATOS!$D12173,nESPEC,DATOS!$E12173,nASIG,DATOS!$I12173,nEVAL,"OR")=0))</f>
      </c>
      <c r="I12173">
        <f>IF(DATOS!$I12173="","",IFERROR(VLOOKUP(DATOS!$I12173,CONFIG_ASIGNATURAS!$B$2:$J$91,9,FALSE()),""))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IF(DATOS!$A12174="",0,IF(CONFIG_METADATA!$B$4&lt;&gt;"OR+EX",--(DATOS!$G12174=CONFIG_METADATA!$B$4),IF(DATOS!$G12174="EX",1,IF(DATOS!$G12174="OR",--(COUNTIFS(nNIA,DATOS!$A12174,nCURSO,DATOS!$D12174,nESPEC,DATOS!$E12174,nASIG,DATOS!$I12174,nEVAL,"EX")=0),0))))</f>
      </c>
      <c r="H12174">
        <f>IF(DATOS!$G12174&lt;&gt;"EX",0,--(COUNTIFS(nNIA,DATOS!$A12174,nCURSO,DATOS!$D12174,nESPEC,DATOS!$E12174,nASIG,DATOS!$I12174,nEVAL,"OR")=0))</f>
      </c>
      <c r="I12174">
        <f>IF(DATOS!$I12174="","",IFERROR(VLOOKUP(DATOS!$I12174,CONFIG_ASIGNATURAS!$B$2:$J$91,9,FALSE()),""))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IF(DATOS!$A12175="",0,IF(CONFIG_METADATA!$B$4&lt;&gt;"OR+EX",--(DATOS!$G12175=CONFIG_METADATA!$B$4),IF(DATOS!$G12175="EX",1,IF(DATOS!$G12175="OR",--(COUNTIFS(nNIA,DATOS!$A12175,nCURSO,DATOS!$D12175,nESPEC,DATOS!$E12175,nASIG,DATOS!$I12175,nEVAL,"EX")=0),0))))</f>
      </c>
      <c r="H12175">
        <f>IF(DATOS!$G12175&lt;&gt;"EX",0,--(COUNTIFS(nNIA,DATOS!$A12175,nCURSO,DATOS!$D12175,nESPEC,DATOS!$E12175,nASIG,DATOS!$I12175,nEVAL,"OR")=0))</f>
      </c>
      <c r="I12175">
        <f>IF(DATOS!$I12175="","",IFERROR(VLOOKUP(DATOS!$I12175,CONFIG_ASIGNATURAS!$B$2:$J$91,9,FALSE()),""))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IF(DATOS!$A12176="",0,IF(CONFIG_METADATA!$B$4&lt;&gt;"OR+EX",--(DATOS!$G12176=CONFIG_METADATA!$B$4),IF(DATOS!$G12176="EX",1,IF(DATOS!$G12176="OR",--(COUNTIFS(nNIA,DATOS!$A12176,nCURSO,DATOS!$D12176,nESPEC,DATOS!$E12176,nASIG,DATOS!$I12176,nEVAL,"EX")=0),0))))</f>
      </c>
      <c r="H12176">
        <f>IF(DATOS!$G12176&lt;&gt;"EX",0,--(COUNTIFS(nNIA,DATOS!$A12176,nCURSO,DATOS!$D12176,nESPEC,DATOS!$E12176,nASIG,DATOS!$I12176,nEVAL,"OR")=0))</f>
      </c>
      <c r="I12176">
        <f>IF(DATOS!$I12176="","",IFERROR(VLOOKUP(DATOS!$I12176,CONFIG_ASIGNATURAS!$B$2:$J$91,9,FALSE()),""))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IF(DATOS!$A12177="",0,IF(CONFIG_METADATA!$B$4&lt;&gt;"OR+EX",--(DATOS!$G12177=CONFIG_METADATA!$B$4),IF(DATOS!$G12177="EX",1,IF(DATOS!$G12177="OR",--(COUNTIFS(nNIA,DATOS!$A12177,nCURSO,DATOS!$D12177,nESPEC,DATOS!$E12177,nASIG,DATOS!$I12177,nEVAL,"EX")=0),0))))</f>
      </c>
      <c r="H12177">
        <f>IF(DATOS!$G12177&lt;&gt;"EX",0,--(COUNTIFS(nNIA,DATOS!$A12177,nCURSO,DATOS!$D12177,nESPEC,DATOS!$E12177,nASIG,DATOS!$I12177,nEVAL,"OR")=0))</f>
      </c>
      <c r="I12177">
        <f>IF(DATOS!$I12177="","",IFERROR(VLOOKUP(DATOS!$I12177,CONFIG_ASIGNATURAS!$B$2:$J$91,9,FALSE()),""))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IF(DATOS!$A12178="",0,IF(CONFIG_METADATA!$B$4&lt;&gt;"OR+EX",--(DATOS!$G12178=CONFIG_METADATA!$B$4),IF(DATOS!$G12178="EX",1,IF(DATOS!$G12178="OR",--(COUNTIFS(nNIA,DATOS!$A12178,nCURSO,DATOS!$D12178,nESPEC,DATOS!$E12178,nASIG,DATOS!$I12178,nEVAL,"EX")=0),0))))</f>
      </c>
      <c r="H12178">
        <f>IF(DATOS!$G12178&lt;&gt;"EX",0,--(COUNTIFS(nNIA,DATOS!$A12178,nCURSO,DATOS!$D12178,nESPEC,DATOS!$E12178,nASIG,DATOS!$I12178,nEVAL,"OR")=0))</f>
      </c>
      <c r="I12178">
        <f>IF(DATOS!$I12178="","",IFERROR(VLOOKUP(DATOS!$I12178,CONFIG_ASIGNATURAS!$B$2:$J$91,9,FALSE()),""))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IF(DATOS!$A12179="",0,IF(CONFIG_METADATA!$B$4&lt;&gt;"OR+EX",--(DATOS!$G12179=CONFIG_METADATA!$B$4),IF(DATOS!$G12179="EX",1,IF(DATOS!$G12179="OR",--(COUNTIFS(nNIA,DATOS!$A12179,nCURSO,DATOS!$D12179,nESPEC,DATOS!$E12179,nASIG,DATOS!$I12179,nEVAL,"EX")=0),0))))</f>
      </c>
      <c r="H12179">
        <f>IF(DATOS!$G12179&lt;&gt;"EX",0,--(COUNTIFS(nNIA,DATOS!$A12179,nCURSO,DATOS!$D12179,nESPEC,DATOS!$E12179,nASIG,DATOS!$I12179,nEVAL,"OR")=0))</f>
      </c>
      <c r="I12179">
        <f>IF(DATOS!$I12179="","",IFERROR(VLOOKUP(DATOS!$I12179,CONFIG_ASIGNATURAS!$B$2:$J$91,9,FALSE()),""))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IF(DATOS!$A12180="",0,IF(CONFIG_METADATA!$B$4&lt;&gt;"OR+EX",--(DATOS!$G12180=CONFIG_METADATA!$B$4),IF(DATOS!$G12180="EX",1,IF(DATOS!$G12180="OR",--(COUNTIFS(nNIA,DATOS!$A12180,nCURSO,DATOS!$D12180,nESPEC,DATOS!$E12180,nASIG,DATOS!$I12180,nEVAL,"EX")=0),0))))</f>
      </c>
      <c r="H12180">
        <f>IF(DATOS!$G12180&lt;&gt;"EX",0,--(COUNTIFS(nNIA,DATOS!$A12180,nCURSO,DATOS!$D12180,nESPEC,DATOS!$E12180,nASIG,DATOS!$I12180,nEVAL,"OR")=0))</f>
      </c>
      <c r="I12180">
        <f>IF(DATOS!$I12180="","",IFERROR(VLOOKUP(DATOS!$I12180,CONFIG_ASIGNATURAS!$B$2:$J$91,9,FALSE()),""))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IF(DATOS!$A12181="",0,IF(CONFIG_METADATA!$B$4&lt;&gt;"OR+EX",--(DATOS!$G12181=CONFIG_METADATA!$B$4),IF(DATOS!$G12181="EX",1,IF(DATOS!$G12181="OR",--(COUNTIFS(nNIA,DATOS!$A12181,nCURSO,DATOS!$D12181,nESPEC,DATOS!$E12181,nASIG,DATOS!$I12181,nEVAL,"EX")=0),0))))</f>
      </c>
      <c r="H12181">
        <f>IF(DATOS!$G12181&lt;&gt;"EX",0,--(COUNTIFS(nNIA,DATOS!$A12181,nCURSO,DATOS!$D12181,nESPEC,DATOS!$E12181,nASIG,DATOS!$I12181,nEVAL,"OR")=0))</f>
      </c>
      <c r="I12181">
        <f>IF(DATOS!$I12181="","",IFERROR(VLOOKUP(DATOS!$I12181,CONFIG_ASIGNATURAS!$B$2:$J$91,9,FALSE()),""))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IF(DATOS!$A12182="",0,IF(CONFIG_METADATA!$B$4&lt;&gt;"OR+EX",--(DATOS!$G12182=CONFIG_METADATA!$B$4),IF(DATOS!$G12182="EX",1,IF(DATOS!$G12182="OR",--(COUNTIFS(nNIA,DATOS!$A12182,nCURSO,DATOS!$D12182,nESPEC,DATOS!$E12182,nASIG,DATOS!$I12182,nEVAL,"EX")=0),0))))</f>
      </c>
      <c r="H12182">
        <f>IF(DATOS!$G12182&lt;&gt;"EX",0,--(COUNTIFS(nNIA,DATOS!$A12182,nCURSO,DATOS!$D12182,nESPEC,DATOS!$E12182,nASIG,DATOS!$I12182,nEVAL,"OR")=0))</f>
      </c>
      <c r="I12182">
        <f>IF(DATOS!$I12182="","",IFERROR(VLOOKUP(DATOS!$I12182,CONFIG_ASIGNATURAS!$B$2:$J$91,9,FALSE()),""))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IF(DATOS!$A12183="",0,IF(CONFIG_METADATA!$B$4&lt;&gt;"OR+EX",--(DATOS!$G12183=CONFIG_METADATA!$B$4),IF(DATOS!$G12183="EX",1,IF(DATOS!$G12183="OR",--(COUNTIFS(nNIA,DATOS!$A12183,nCURSO,DATOS!$D12183,nESPEC,DATOS!$E12183,nASIG,DATOS!$I12183,nEVAL,"EX")=0),0))))</f>
      </c>
      <c r="H12183">
        <f>IF(DATOS!$G12183&lt;&gt;"EX",0,--(COUNTIFS(nNIA,DATOS!$A12183,nCURSO,DATOS!$D12183,nESPEC,DATOS!$E12183,nASIG,DATOS!$I12183,nEVAL,"OR")=0))</f>
      </c>
      <c r="I12183">
        <f>IF(DATOS!$I12183="","",IFERROR(VLOOKUP(DATOS!$I12183,CONFIG_ASIGNATURAS!$B$2:$J$91,9,FALSE()),""))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IF(DATOS!$A12184="",0,IF(CONFIG_METADATA!$B$4&lt;&gt;"OR+EX",--(DATOS!$G12184=CONFIG_METADATA!$B$4),IF(DATOS!$G12184="EX",1,IF(DATOS!$G12184="OR",--(COUNTIFS(nNIA,DATOS!$A12184,nCURSO,DATOS!$D12184,nESPEC,DATOS!$E12184,nASIG,DATOS!$I12184,nEVAL,"EX")=0),0))))</f>
      </c>
      <c r="H12184">
        <f>IF(DATOS!$G12184&lt;&gt;"EX",0,--(COUNTIFS(nNIA,DATOS!$A12184,nCURSO,DATOS!$D12184,nESPEC,DATOS!$E12184,nASIG,DATOS!$I12184,nEVAL,"OR")=0))</f>
      </c>
      <c r="I12184">
        <f>IF(DATOS!$I12184="","",IFERROR(VLOOKUP(DATOS!$I12184,CONFIG_ASIGNATURAS!$B$2:$J$91,9,FALSE()),""))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IF(DATOS!$A12185="",0,IF(CONFIG_METADATA!$B$4&lt;&gt;"OR+EX",--(DATOS!$G12185=CONFIG_METADATA!$B$4),IF(DATOS!$G12185="EX",1,IF(DATOS!$G12185="OR",--(COUNTIFS(nNIA,DATOS!$A12185,nCURSO,DATOS!$D12185,nESPEC,DATOS!$E12185,nASIG,DATOS!$I12185,nEVAL,"EX")=0),0))))</f>
      </c>
      <c r="H12185">
        <f>IF(DATOS!$G12185&lt;&gt;"EX",0,--(COUNTIFS(nNIA,DATOS!$A12185,nCURSO,DATOS!$D12185,nESPEC,DATOS!$E12185,nASIG,DATOS!$I12185,nEVAL,"OR")=0))</f>
      </c>
      <c r="I12185">
        <f>IF(DATOS!$I12185="","",IFERROR(VLOOKUP(DATOS!$I12185,CONFIG_ASIGNATURAS!$B$2:$J$91,9,FALSE()),""))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IF(DATOS!$A12186="",0,IF(CONFIG_METADATA!$B$4&lt;&gt;"OR+EX",--(DATOS!$G12186=CONFIG_METADATA!$B$4),IF(DATOS!$G12186="EX",1,IF(DATOS!$G12186="OR",--(COUNTIFS(nNIA,DATOS!$A12186,nCURSO,DATOS!$D12186,nESPEC,DATOS!$E12186,nASIG,DATOS!$I12186,nEVAL,"EX")=0),0))))</f>
      </c>
      <c r="H12186">
        <f>IF(DATOS!$G12186&lt;&gt;"EX",0,--(COUNTIFS(nNIA,DATOS!$A12186,nCURSO,DATOS!$D12186,nESPEC,DATOS!$E12186,nASIG,DATOS!$I12186,nEVAL,"OR")=0))</f>
      </c>
      <c r="I12186">
        <f>IF(DATOS!$I12186="","",IFERROR(VLOOKUP(DATOS!$I12186,CONFIG_ASIGNATURAS!$B$2:$J$91,9,FALSE()),""))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IF(DATOS!$A12187="",0,IF(CONFIG_METADATA!$B$4&lt;&gt;"OR+EX",--(DATOS!$G12187=CONFIG_METADATA!$B$4),IF(DATOS!$G12187="EX",1,IF(DATOS!$G12187="OR",--(COUNTIFS(nNIA,DATOS!$A12187,nCURSO,DATOS!$D12187,nESPEC,DATOS!$E12187,nASIG,DATOS!$I12187,nEVAL,"EX")=0),0))))</f>
      </c>
      <c r="H12187">
        <f>IF(DATOS!$G12187&lt;&gt;"EX",0,--(COUNTIFS(nNIA,DATOS!$A12187,nCURSO,DATOS!$D12187,nESPEC,DATOS!$E12187,nASIG,DATOS!$I12187,nEVAL,"OR")=0))</f>
      </c>
      <c r="I12187">
        <f>IF(DATOS!$I12187="","",IFERROR(VLOOKUP(DATOS!$I12187,CONFIG_ASIGNATURAS!$B$2:$J$91,9,FALSE()),""))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IF(DATOS!$A12188="",0,IF(CONFIG_METADATA!$B$4&lt;&gt;"OR+EX",--(DATOS!$G12188=CONFIG_METADATA!$B$4),IF(DATOS!$G12188="EX",1,IF(DATOS!$G12188="OR",--(COUNTIFS(nNIA,DATOS!$A12188,nCURSO,DATOS!$D12188,nESPEC,DATOS!$E12188,nASIG,DATOS!$I12188,nEVAL,"EX")=0),0))))</f>
      </c>
      <c r="H12188">
        <f>IF(DATOS!$G12188&lt;&gt;"EX",0,--(COUNTIFS(nNIA,DATOS!$A12188,nCURSO,DATOS!$D12188,nESPEC,DATOS!$E12188,nASIG,DATOS!$I12188,nEVAL,"OR")=0))</f>
      </c>
      <c r="I12188">
        <f>IF(DATOS!$I12188="","",IFERROR(VLOOKUP(DATOS!$I12188,CONFIG_ASIGNATURAS!$B$2:$J$91,9,FALSE()),""))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IF(DATOS!$A12189="",0,IF(CONFIG_METADATA!$B$4&lt;&gt;"OR+EX",--(DATOS!$G12189=CONFIG_METADATA!$B$4),IF(DATOS!$G12189="EX",1,IF(DATOS!$G12189="OR",--(COUNTIFS(nNIA,DATOS!$A12189,nCURSO,DATOS!$D12189,nESPEC,DATOS!$E12189,nASIG,DATOS!$I12189,nEVAL,"EX")=0),0))))</f>
      </c>
      <c r="H12189">
        <f>IF(DATOS!$G12189&lt;&gt;"EX",0,--(COUNTIFS(nNIA,DATOS!$A12189,nCURSO,DATOS!$D12189,nESPEC,DATOS!$E12189,nASIG,DATOS!$I12189,nEVAL,"OR")=0))</f>
      </c>
      <c r="I12189">
        <f>IF(DATOS!$I12189="","",IFERROR(VLOOKUP(DATOS!$I12189,CONFIG_ASIGNATURAS!$B$2:$J$91,9,FALSE()),""))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IF(DATOS!$A12190="",0,IF(CONFIG_METADATA!$B$4&lt;&gt;"OR+EX",--(DATOS!$G12190=CONFIG_METADATA!$B$4),IF(DATOS!$G12190="EX",1,IF(DATOS!$G12190="OR",--(COUNTIFS(nNIA,DATOS!$A12190,nCURSO,DATOS!$D12190,nESPEC,DATOS!$E12190,nASIG,DATOS!$I12190,nEVAL,"EX")=0),0))))</f>
      </c>
      <c r="H12190">
        <f>IF(DATOS!$G12190&lt;&gt;"EX",0,--(COUNTIFS(nNIA,DATOS!$A12190,nCURSO,DATOS!$D12190,nESPEC,DATOS!$E12190,nASIG,DATOS!$I12190,nEVAL,"OR")=0))</f>
      </c>
      <c r="I12190">
        <f>IF(DATOS!$I12190="","",IFERROR(VLOOKUP(DATOS!$I12190,CONFIG_ASIGNATURAS!$B$2:$J$91,9,FALSE()),""))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IF(DATOS!$A12191="",0,IF(CONFIG_METADATA!$B$4&lt;&gt;"OR+EX",--(DATOS!$G12191=CONFIG_METADATA!$B$4),IF(DATOS!$G12191="EX",1,IF(DATOS!$G12191="OR",--(COUNTIFS(nNIA,DATOS!$A12191,nCURSO,DATOS!$D12191,nESPEC,DATOS!$E12191,nASIG,DATOS!$I12191,nEVAL,"EX")=0),0))))</f>
      </c>
      <c r="H12191">
        <f>IF(DATOS!$G12191&lt;&gt;"EX",0,--(COUNTIFS(nNIA,DATOS!$A12191,nCURSO,DATOS!$D12191,nESPEC,DATOS!$E12191,nASIG,DATOS!$I12191,nEVAL,"OR")=0))</f>
      </c>
      <c r="I12191">
        <f>IF(DATOS!$I12191="","",IFERROR(VLOOKUP(DATOS!$I12191,CONFIG_ASIGNATURAS!$B$2:$J$91,9,FALSE()),""))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IF(DATOS!$A12192="",0,IF(CONFIG_METADATA!$B$4&lt;&gt;"OR+EX",--(DATOS!$G12192=CONFIG_METADATA!$B$4),IF(DATOS!$G12192="EX",1,IF(DATOS!$G12192="OR",--(COUNTIFS(nNIA,DATOS!$A12192,nCURSO,DATOS!$D12192,nESPEC,DATOS!$E12192,nASIG,DATOS!$I12192,nEVAL,"EX")=0),0))))</f>
      </c>
      <c r="H12192">
        <f>IF(DATOS!$G12192&lt;&gt;"EX",0,--(COUNTIFS(nNIA,DATOS!$A12192,nCURSO,DATOS!$D12192,nESPEC,DATOS!$E12192,nASIG,DATOS!$I12192,nEVAL,"OR")=0))</f>
      </c>
      <c r="I12192">
        <f>IF(DATOS!$I12192="","",IFERROR(VLOOKUP(DATOS!$I12192,CONFIG_ASIGNATURAS!$B$2:$J$91,9,FALSE()),""))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IF(DATOS!$A12193="",0,IF(CONFIG_METADATA!$B$4&lt;&gt;"OR+EX",--(DATOS!$G12193=CONFIG_METADATA!$B$4),IF(DATOS!$G12193="EX",1,IF(DATOS!$G12193="OR",--(COUNTIFS(nNIA,DATOS!$A12193,nCURSO,DATOS!$D12193,nESPEC,DATOS!$E12193,nASIG,DATOS!$I12193,nEVAL,"EX")=0),0))))</f>
      </c>
      <c r="H12193">
        <f>IF(DATOS!$G12193&lt;&gt;"EX",0,--(COUNTIFS(nNIA,DATOS!$A12193,nCURSO,DATOS!$D12193,nESPEC,DATOS!$E12193,nASIG,DATOS!$I12193,nEVAL,"OR")=0))</f>
      </c>
      <c r="I12193">
        <f>IF(DATOS!$I12193="","",IFERROR(VLOOKUP(DATOS!$I12193,CONFIG_ASIGNATURAS!$B$2:$J$91,9,FALSE()),""))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IF(DATOS!$A12194="",0,IF(CONFIG_METADATA!$B$4&lt;&gt;"OR+EX",--(DATOS!$G12194=CONFIG_METADATA!$B$4),IF(DATOS!$G12194="EX",1,IF(DATOS!$G12194="OR",--(COUNTIFS(nNIA,DATOS!$A12194,nCURSO,DATOS!$D12194,nESPEC,DATOS!$E12194,nASIG,DATOS!$I12194,nEVAL,"EX")=0),0))))</f>
      </c>
      <c r="H12194">
        <f>IF(DATOS!$G12194&lt;&gt;"EX",0,--(COUNTIFS(nNIA,DATOS!$A12194,nCURSO,DATOS!$D12194,nESPEC,DATOS!$E12194,nASIG,DATOS!$I12194,nEVAL,"OR")=0))</f>
      </c>
      <c r="I12194">
        <f>IF(DATOS!$I12194="","",IFERROR(VLOOKUP(DATOS!$I12194,CONFIG_ASIGNATURAS!$B$2:$J$91,9,FALSE()),""))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IF(DATOS!$A12195="",0,IF(CONFIG_METADATA!$B$4&lt;&gt;"OR+EX",--(DATOS!$G12195=CONFIG_METADATA!$B$4),IF(DATOS!$G12195="EX",1,IF(DATOS!$G12195="OR",--(COUNTIFS(nNIA,DATOS!$A12195,nCURSO,DATOS!$D12195,nESPEC,DATOS!$E12195,nASIG,DATOS!$I12195,nEVAL,"EX")=0),0))))</f>
      </c>
      <c r="H12195">
        <f>IF(DATOS!$G12195&lt;&gt;"EX",0,--(COUNTIFS(nNIA,DATOS!$A12195,nCURSO,DATOS!$D12195,nESPEC,DATOS!$E12195,nASIG,DATOS!$I12195,nEVAL,"OR")=0))</f>
      </c>
      <c r="I12195">
        <f>IF(DATOS!$I12195="","",IFERROR(VLOOKUP(DATOS!$I12195,CONFIG_ASIGNATURAS!$B$2:$J$91,9,FALSE()),""))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IF(DATOS!$A12196="",0,IF(CONFIG_METADATA!$B$4&lt;&gt;"OR+EX",--(DATOS!$G12196=CONFIG_METADATA!$B$4),IF(DATOS!$G12196="EX",1,IF(DATOS!$G12196="OR",--(COUNTIFS(nNIA,DATOS!$A12196,nCURSO,DATOS!$D12196,nESPEC,DATOS!$E12196,nASIG,DATOS!$I12196,nEVAL,"EX")=0),0))))</f>
      </c>
      <c r="H12196">
        <f>IF(DATOS!$G12196&lt;&gt;"EX",0,--(COUNTIFS(nNIA,DATOS!$A12196,nCURSO,DATOS!$D12196,nESPEC,DATOS!$E12196,nASIG,DATOS!$I12196,nEVAL,"OR")=0))</f>
      </c>
      <c r="I12196">
        <f>IF(DATOS!$I12196="","",IFERROR(VLOOKUP(DATOS!$I12196,CONFIG_ASIGNATURAS!$B$2:$J$91,9,FALSE()),""))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IF(DATOS!$A12197="",0,IF(CONFIG_METADATA!$B$4&lt;&gt;"OR+EX",--(DATOS!$G12197=CONFIG_METADATA!$B$4),IF(DATOS!$G12197="EX",1,IF(DATOS!$G12197="OR",--(COUNTIFS(nNIA,DATOS!$A12197,nCURSO,DATOS!$D12197,nESPEC,DATOS!$E12197,nASIG,DATOS!$I12197,nEVAL,"EX")=0),0))))</f>
      </c>
      <c r="H12197">
        <f>IF(DATOS!$G12197&lt;&gt;"EX",0,--(COUNTIFS(nNIA,DATOS!$A12197,nCURSO,DATOS!$D12197,nESPEC,DATOS!$E12197,nASIG,DATOS!$I12197,nEVAL,"OR")=0))</f>
      </c>
      <c r="I12197">
        <f>IF(DATOS!$I12197="","",IFERROR(VLOOKUP(DATOS!$I12197,CONFIG_ASIGNATURAS!$B$2:$J$91,9,FALSE()),""))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IF(DATOS!$A12198="",0,IF(CONFIG_METADATA!$B$4&lt;&gt;"OR+EX",--(DATOS!$G12198=CONFIG_METADATA!$B$4),IF(DATOS!$G12198="EX",1,IF(DATOS!$G12198="OR",--(COUNTIFS(nNIA,DATOS!$A12198,nCURSO,DATOS!$D12198,nESPEC,DATOS!$E12198,nASIG,DATOS!$I12198,nEVAL,"EX")=0),0))))</f>
      </c>
      <c r="H12198">
        <f>IF(DATOS!$G12198&lt;&gt;"EX",0,--(COUNTIFS(nNIA,DATOS!$A12198,nCURSO,DATOS!$D12198,nESPEC,DATOS!$E12198,nASIG,DATOS!$I12198,nEVAL,"OR")=0))</f>
      </c>
      <c r="I12198">
        <f>IF(DATOS!$I12198="","",IFERROR(VLOOKUP(DATOS!$I12198,CONFIG_ASIGNATURAS!$B$2:$J$91,9,FALSE()),""))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IF(DATOS!$A12199="",0,IF(CONFIG_METADATA!$B$4&lt;&gt;"OR+EX",--(DATOS!$G12199=CONFIG_METADATA!$B$4),IF(DATOS!$G12199="EX",1,IF(DATOS!$G12199="OR",--(COUNTIFS(nNIA,DATOS!$A12199,nCURSO,DATOS!$D12199,nESPEC,DATOS!$E12199,nASIG,DATOS!$I12199,nEVAL,"EX")=0),0))))</f>
      </c>
      <c r="H12199">
        <f>IF(DATOS!$G12199&lt;&gt;"EX",0,--(COUNTIFS(nNIA,DATOS!$A12199,nCURSO,DATOS!$D12199,nESPEC,DATOS!$E12199,nASIG,DATOS!$I12199,nEVAL,"OR")=0))</f>
      </c>
      <c r="I12199">
        <f>IF(DATOS!$I12199="","",IFERROR(VLOOKUP(DATOS!$I12199,CONFIG_ASIGNATURAS!$B$2:$J$91,9,FALSE()),""))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IF(DATOS!$A12200="",0,IF(CONFIG_METADATA!$B$4&lt;&gt;"OR+EX",--(DATOS!$G12200=CONFIG_METADATA!$B$4),IF(DATOS!$G12200="EX",1,IF(DATOS!$G12200="OR",--(COUNTIFS(nNIA,DATOS!$A12200,nCURSO,DATOS!$D12200,nESPEC,DATOS!$E12200,nASIG,DATOS!$I12200,nEVAL,"EX")=0),0))))</f>
      </c>
      <c r="H12200">
        <f>IF(DATOS!$G12200&lt;&gt;"EX",0,--(COUNTIFS(nNIA,DATOS!$A12200,nCURSO,DATOS!$D12200,nESPEC,DATOS!$E12200,nASIG,DATOS!$I12200,nEVAL,"OR")=0))</f>
      </c>
      <c r="I12200">
        <f>IF(DATOS!$I12200="","",IFERROR(VLOOKUP(DATOS!$I12200,CONFIG_ASIGNATURAS!$B$2:$J$91,9,FALSE()),""))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IF(DATOS!$A12201="",0,IF(CONFIG_METADATA!$B$4&lt;&gt;"OR+EX",--(DATOS!$G12201=CONFIG_METADATA!$B$4),IF(DATOS!$G12201="EX",1,IF(DATOS!$G12201="OR",--(COUNTIFS(nNIA,DATOS!$A12201,nCURSO,DATOS!$D12201,nESPEC,DATOS!$E12201,nASIG,DATOS!$I12201,nEVAL,"EX")=0),0))))</f>
      </c>
      <c r="H12201">
        <f>IF(DATOS!$G12201&lt;&gt;"EX",0,--(COUNTIFS(nNIA,DATOS!$A12201,nCURSO,DATOS!$D12201,nESPEC,DATOS!$E12201,nASIG,DATOS!$I12201,nEVAL,"OR")=0))</f>
      </c>
      <c r="I12201">
        <f>IF(DATOS!$I12201="","",IFERROR(VLOOKUP(DATOS!$I12201,CONFIG_ASIGNATURAS!$B$2:$J$91,9,FALSE()),""))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IF(DATOS!$A12202="",0,IF(CONFIG_METADATA!$B$4&lt;&gt;"OR+EX",--(DATOS!$G12202=CONFIG_METADATA!$B$4),IF(DATOS!$G12202="EX",1,IF(DATOS!$G12202="OR",--(COUNTIFS(nNIA,DATOS!$A12202,nCURSO,DATOS!$D12202,nESPEC,DATOS!$E12202,nASIG,DATOS!$I12202,nEVAL,"EX")=0),0))))</f>
      </c>
      <c r="H12202">
        <f>IF(DATOS!$G12202&lt;&gt;"EX",0,--(COUNTIFS(nNIA,DATOS!$A12202,nCURSO,DATOS!$D12202,nESPEC,DATOS!$E12202,nASIG,DATOS!$I12202,nEVAL,"OR")=0))</f>
      </c>
      <c r="I12202">
        <f>IF(DATOS!$I12202="","",IFERROR(VLOOKUP(DATOS!$I12202,CONFIG_ASIGNATURAS!$B$2:$J$91,9,FALSE()),""))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IF(DATOS!$A12203="",0,IF(CONFIG_METADATA!$B$4&lt;&gt;"OR+EX",--(DATOS!$G12203=CONFIG_METADATA!$B$4),IF(DATOS!$G12203="EX",1,IF(DATOS!$G12203="OR",--(COUNTIFS(nNIA,DATOS!$A12203,nCURSO,DATOS!$D12203,nESPEC,DATOS!$E12203,nASIG,DATOS!$I12203,nEVAL,"EX")=0),0))))</f>
      </c>
      <c r="H12203">
        <f>IF(DATOS!$G12203&lt;&gt;"EX",0,--(COUNTIFS(nNIA,DATOS!$A12203,nCURSO,DATOS!$D12203,nESPEC,DATOS!$E12203,nASIG,DATOS!$I12203,nEVAL,"OR")=0))</f>
      </c>
      <c r="I12203">
        <f>IF(DATOS!$I12203="","",IFERROR(VLOOKUP(DATOS!$I12203,CONFIG_ASIGNATURAS!$B$2:$J$91,9,FALSE()),""))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IF(DATOS!$A12204="",0,IF(CONFIG_METADATA!$B$4&lt;&gt;"OR+EX",--(DATOS!$G12204=CONFIG_METADATA!$B$4),IF(DATOS!$G12204="EX",1,IF(DATOS!$G12204="OR",--(COUNTIFS(nNIA,DATOS!$A12204,nCURSO,DATOS!$D12204,nESPEC,DATOS!$E12204,nASIG,DATOS!$I12204,nEVAL,"EX")=0),0))))</f>
      </c>
      <c r="H12204">
        <f>IF(DATOS!$G12204&lt;&gt;"EX",0,--(COUNTIFS(nNIA,DATOS!$A12204,nCURSO,DATOS!$D12204,nESPEC,DATOS!$E12204,nASIG,DATOS!$I12204,nEVAL,"OR")=0))</f>
      </c>
      <c r="I12204">
        <f>IF(DATOS!$I12204="","",IFERROR(VLOOKUP(DATOS!$I12204,CONFIG_ASIGNATURAS!$B$2:$J$91,9,FALSE()),""))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IF(DATOS!$A12205="",0,IF(CONFIG_METADATA!$B$4&lt;&gt;"OR+EX",--(DATOS!$G12205=CONFIG_METADATA!$B$4),IF(DATOS!$G12205="EX",1,IF(DATOS!$G12205="OR",--(COUNTIFS(nNIA,DATOS!$A12205,nCURSO,DATOS!$D12205,nESPEC,DATOS!$E12205,nASIG,DATOS!$I12205,nEVAL,"EX")=0),0))))</f>
      </c>
      <c r="H12205">
        <f>IF(DATOS!$G12205&lt;&gt;"EX",0,--(COUNTIFS(nNIA,DATOS!$A12205,nCURSO,DATOS!$D12205,nESPEC,DATOS!$E12205,nASIG,DATOS!$I12205,nEVAL,"OR")=0))</f>
      </c>
      <c r="I12205">
        <f>IF(DATOS!$I12205="","",IFERROR(VLOOKUP(DATOS!$I12205,CONFIG_ASIGNATURAS!$B$2:$J$91,9,FALSE()),""))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IF(DATOS!$A12206="",0,IF(CONFIG_METADATA!$B$4&lt;&gt;"OR+EX",--(DATOS!$G12206=CONFIG_METADATA!$B$4),IF(DATOS!$G12206="EX",1,IF(DATOS!$G12206="OR",--(COUNTIFS(nNIA,DATOS!$A12206,nCURSO,DATOS!$D12206,nESPEC,DATOS!$E12206,nASIG,DATOS!$I12206,nEVAL,"EX")=0),0))))</f>
      </c>
      <c r="H12206">
        <f>IF(DATOS!$G12206&lt;&gt;"EX",0,--(COUNTIFS(nNIA,DATOS!$A12206,nCURSO,DATOS!$D12206,nESPEC,DATOS!$E12206,nASIG,DATOS!$I12206,nEVAL,"OR")=0))</f>
      </c>
      <c r="I12206">
        <f>IF(DATOS!$I12206="","",IFERROR(VLOOKUP(DATOS!$I12206,CONFIG_ASIGNATURAS!$B$2:$J$91,9,FALSE()),""))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IF(DATOS!$A12207="",0,IF(CONFIG_METADATA!$B$4&lt;&gt;"OR+EX",--(DATOS!$G12207=CONFIG_METADATA!$B$4),IF(DATOS!$G12207="EX",1,IF(DATOS!$G12207="OR",--(COUNTIFS(nNIA,DATOS!$A12207,nCURSO,DATOS!$D12207,nESPEC,DATOS!$E12207,nASIG,DATOS!$I12207,nEVAL,"EX")=0),0))))</f>
      </c>
      <c r="H12207">
        <f>IF(DATOS!$G12207&lt;&gt;"EX",0,--(COUNTIFS(nNIA,DATOS!$A12207,nCURSO,DATOS!$D12207,nESPEC,DATOS!$E12207,nASIG,DATOS!$I12207,nEVAL,"OR")=0))</f>
      </c>
      <c r="I12207">
        <f>IF(DATOS!$I12207="","",IFERROR(VLOOKUP(DATOS!$I12207,CONFIG_ASIGNATURAS!$B$2:$J$91,9,FALSE()),""))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IF(DATOS!$A12208="",0,IF(CONFIG_METADATA!$B$4&lt;&gt;"OR+EX",--(DATOS!$G12208=CONFIG_METADATA!$B$4),IF(DATOS!$G12208="EX",1,IF(DATOS!$G12208="OR",--(COUNTIFS(nNIA,DATOS!$A12208,nCURSO,DATOS!$D12208,nESPEC,DATOS!$E12208,nASIG,DATOS!$I12208,nEVAL,"EX")=0),0))))</f>
      </c>
      <c r="H12208">
        <f>IF(DATOS!$G12208&lt;&gt;"EX",0,--(COUNTIFS(nNIA,DATOS!$A12208,nCURSO,DATOS!$D12208,nESPEC,DATOS!$E12208,nASIG,DATOS!$I12208,nEVAL,"OR")=0))</f>
      </c>
      <c r="I12208">
        <f>IF(DATOS!$I12208="","",IFERROR(VLOOKUP(DATOS!$I12208,CONFIG_ASIGNATURAS!$B$2:$J$91,9,FALSE()),""))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IF(DATOS!$A12209="",0,IF(CONFIG_METADATA!$B$4&lt;&gt;"OR+EX",--(DATOS!$G12209=CONFIG_METADATA!$B$4),IF(DATOS!$G12209="EX",1,IF(DATOS!$G12209="OR",--(COUNTIFS(nNIA,DATOS!$A12209,nCURSO,DATOS!$D12209,nESPEC,DATOS!$E12209,nASIG,DATOS!$I12209,nEVAL,"EX")=0),0))))</f>
      </c>
      <c r="H12209">
        <f>IF(DATOS!$G12209&lt;&gt;"EX",0,--(COUNTIFS(nNIA,DATOS!$A12209,nCURSO,DATOS!$D12209,nESPEC,DATOS!$E12209,nASIG,DATOS!$I12209,nEVAL,"OR")=0))</f>
      </c>
      <c r="I12209">
        <f>IF(DATOS!$I12209="","",IFERROR(VLOOKUP(DATOS!$I12209,CONFIG_ASIGNATURAS!$B$2:$J$91,9,FALSE()),""))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IF(DATOS!$A12210="",0,IF(CONFIG_METADATA!$B$4&lt;&gt;"OR+EX",--(DATOS!$G12210=CONFIG_METADATA!$B$4),IF(DATOS!$G12210="EX",1,IF(DATOS!$G12210="OR",--(COUNTIFS(nNIA,DATOS!$A12210,nCURSO,DATOS!$D12210,nESPEC,DATOS!$E12210,nASIG,DATOS!$I12210,nEVAL,"EX")=0),0))))</f>
      </c>
      <c r="H12210">
        <f>IF(DATOS!$G12210&lt;&gt;"EX",0,--(COUNTIFS(nNIA,DATOS!$A12210,nCURSO,DATOS!$D12210,nESPEC,DATOS!$E12210,nASIG,DATOS!$I12210,nEVAL,"OR")=0))</f>
      </c>
      <c r="I12210">
        <f>IF(DATOS!$I12210="","",IFERROR(VLOOKUP(DATOS!$I12210,CONFIG_ASIGNATURAS!$B$2:$J$91,9,FALSE()),""))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IF(DATOS!$A12211="",0,IF(CONFIG_METADATA!$B$4&lt;&gt;"OR+EX",--(DATOS!$G12211=CONFIG_METADATA!$B$4),IF(DATOS!$G12211="EX",1,IF(DATOS!$G12211="OR",--(COUNTIFS(nNIA,DATOS!$A12211,nCURSO,DATOS!$D12211,nESPEC,DATOS!$E12211,nASIG,DATOS!$I12211,nEVAL,"EX")=0),0))))</f>
      </c>
      <c r="H12211">
        <f>IF(DATOS!$G12211&lt;&gt;"EX",0,--(COUNTIFS(nNIA,DATOS!$A12211,nCURSO,DATOS!$D12211,nESPEC,DATOS!$E12211,nASIG,DATOS!$I12211,nEVAL,"OR")=0))</f>
      </c>
      <c r="I12211">
        <f>IF(DATOS!$I12211="","",IFERROR(VLOOKUP(DATOS!$I12211,CONFIG_ASIGNATURAS!$B$2:$J$91,9,FALSE()),""))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IF(DATOS!$A12212="",0,IF(CONFIG_METADATA!$B$4&lt;&gt;"OR+EX",--(DATOS!$G12212=CONFIG_METADATA!$B$4),IF(DATOS!$G12212="EX",1,IF(DATOS!$G12212="OR",--(COUNTIFS(nNIA,DATOS!$A12212,nCURSO,DATOS!$D12212,nESPEC,DATOS!$E12212,nASIG,DATOS!$I12212,nEVAL,"EX")=0),0))))</f>
      </c>
      <c r="H12212">
        <f>IF(DATOS!$G12212&lt;&gt;"EX",0,--(COUNTIFS(nNIA,DATOS!$A12212,nCURSO,DATOS!$D12212,nESPEC,DATOS!$E12212,nASIG,DATOS!$I12212,nEVAL,"OR")=0))</f>
      </c>
      <c r="I12212">
        <f>IF(DATOS!$I12212="","",IFERROR(VLOOKUP(DATOS!$I12212,CONFIG_ASIGNATURAS!$B$2:$J$91,9,FALSE()),""))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IF(DATOS!$A12213="",0,IF(CONFIG_METADATA!$B$4&lt;&gt;"OR+EX",--(DATOS!$G12213=CONFIG_METADATA!$B$4),IF(DATOS!$G12213="EX",1,IF(DATOS!$G12213="OR",--(COUNTIFS(nNIA,DATOS!$A12213,nCURSO,DATOS!$D12213,nESPEC,DATOS!$E12213,nASIG,DATOS!$I12213,nEVAL,"EX")=0),0))))</f>
      </c>
      <c r="H12213">
        <f>IF(DATOS!$G12213&lt;&gt;"EX",0,--(COUNTIFS(nNIA,DATOS!$A12213,nCURSO,DATOS!$D12213,nESPEC,DATOS!$E12213,nASIG,DATOS!$I12213,nEVAL,"OR")=0))</f>
      </c>
      <c r="I12213">
        <f>IF(DATOS!$I12213="","",IFERROR(VLOOKUP(DATOS!$I12213,CONFIG_ASIGNATURAS!$B$2:$J$91,9,FALSE()),""))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IF(DATOS!$A12214="",0,IF(CONFIG_METADATA!$B$4&lt;&gt;"OR+EX",--(DATOS!$G12214=CONFIG_METADATA!$B$4),IF(DATOS!$G12214="EX",1,IF(DATOS!$G12214="OR",--(COUNTIFS(nNIA,DATOS!$A12214,nCURSO,DATOS!$D12214,nESPEC,DATOS!$E12214,nASIG,DATOS!$I12214,nEVAL,"EX")=0),0))))</f>
      </c>
      <c r="H12214">
        <f>IF(DATOS!$G12214&lt;&gt;"EX",0,--(COUNTIFS(nNIA,DATOS!$A12214,nCURSO,DATOS!$D12214,nESPEC,DATOS!$E12214,nASIG,DATOS!$I12214,nEVAL,"OR")=0))</f>
      </c>
      <c r="I12214">
        <f>IF(DATOS!$I12214="","",IFERROR(VLOOKUP(DATOS!$I12214,CONFIG_ASIGNATURAS!$B$2:$J$91,9,FALSE()),""))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IF(DATOS!$A12215="",0,IF(CONFIG_METADATA!$B$4&lt;&gt;"OR+EX",--(DATOS!$G12215=CONFIG_METADATA!$B$4),IF(DATOS!$G12215="EX",1,IF(DATOS!$G12215="OR",--(COUNTIFS(nNIA,DATOS!$A12215,nCURSO,DATOS!$D12215,nESPEC,DATOS!$E12215,nASIG,DATOS!$I12215,nEVAL,"EX")=0),0))))</f>
      </c>
      <c r="H12215">
        <f>IF(DATOS!$G12215&lt;&gt;"EX",0,--(COUNTIFS(nNIA,DATOS!$A12215,nCURSO,DATOS!$D12215,nESPEC,DATOS!$E12215,nASIG,DATOS!$I12215,nEVAL,"OR")=0))</f>
      </c>
      <c r="I12215">
        <f>IF(DATOS!$I12215="","",IFERROR(VLOOKUP(DATOS!$I12215,CONFIG_ASIGNATURAS!$B$2:$J$91,9,FALSE()),""))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IF(DATOS!$A12216="",0,IF(CONFIG_METADATA!$B$4&lt;&gt;"OR+EX",--(DATOS!$G12216=CONFIG_METADATA!$B$4),IF(DATOS!$G12216="EX",1,IF(DATOS!$G12216="OR",--(COUNTIFS(nNIA,DATOS!$A12216,nCURSO,DATOS!$D12216,nESPEC,DATOS!$E12216,nASIG,DATOS!$I12216,nEVAL,"EX")=0),0))))</f>
      </c>
      <c r="H12216">
        <f>IF(DATOS!$G12216&lt;&gt;"EX",0,--(COUNTIFS(nNIA,DATOS!$A12216,nCURSO,DATOS!$D12216,nESPEC,DATOS!$E12216,nASIG,DATOS!$I12216,nEVAL,"OR")=0))</f>
      </c>
      <c r="I12216">
        <f>IF(DATOS!$I12216="","",IFERROR(VLOOKUP(DATOS!$I12216,CONFIG_ASIGNATURAS!$B$2:$J$91,9,FALSE()),""))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IF(DATOS!$A12217="",0,IF(CONFIG_METADATA!$B$4&lt;&gt;"OR+EX",--(DATOS!$G12217=CONFIG_METADATA!$B$4),IF(DATOS!$G12217="EX",1,IF(DATOS!$G12217="OR",--(COUNTIFS(nNIA,DATOS!$A12217,nCURSO,DATOS!$D12217,nESPEC,DATOS!$E12217,nASIG,DATOS!$I12217,nEVAL,"EX")=0),0))))</f>
      </c>
      <c r="H12217">
        <f>IF(DATOS!$G12217&lt;&gt;"EX",0,--(COUNTIFS(nNIA,DATOS!$A12217,nCURSO,DATOS!$D12217,nESPEC,DATOS!$E12217,nASIG,DATOS!$I12217,nEVAL,"OR")=0))</f>
      </c>
      <c r="I12217">
        <f>IF(DATOS!$I12217="","",IFERROR(VLOOKUP(DATOS!$I12217,CONFIG_ASIGNATURAS!$B$2:$J$91,9,FALSE()),""))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IF(DATOS!$A12218="",0,IF(CONFIG_METADATA!$B$4&lt;&gt;"OR+EX",--(DATOS!$G12218=CONFIG_METADATA!$B$4),IF(DATOS!$G12218="EX",1,IF(DATOS!$G12218="OR",--(COUNTIFS(nNIA,DATOS!$A12218,nCURSO,DATOS!$D12218,nESPEC,DATOS!$E12218,nASIG,DATOS!$I12218,nEVAL,"EX")=0),0))))</f>
      </c>
      <c r="H12218">
        <f>IF(DATOS!$G12218&lt;&gt;"EX",0,--(COUNTIFS(nNIA,DATOS!$A12218,nCURSO,DATOS!$D12218,nESPEC,DATOS!$E12218,nASIG,DATOS!$I12218,nEVAL,"OR")=0))</f>
      </c>
      <c r="I12218">
        <f>IF(DATOS!$I12218="","",IFERROR(VLOOKUP(DATOS!$I12218,CONFIG_ASIGNATURAS!$B$2:$J$91,9,FALSE()),""))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IF(DATOS!$A12219="",0,IF(CONFIG_METADATA!$B$4&lt;&gt;"OR+EX",--(DATOS!$G12219=CONFIG_METADATA!$B$4),IF(DATOS!$G12219="EX",1,IF(DATOS!$G12219="OR",--(COUNTIFS(nNIA,DATOS!$A12219,nCURSO,DATOS!$D12219,nESPEC,DATOS!$E12219,nASIG,DATOS!$I12219,nEVAL,"EX")=0),0))))</f>
      </c>
      <c r="H12219">
        <f>IF(DATOS!$G12219&lt;&gt;"EX",0,--(COUNTIFS(nNIA,DATOS!$A12219,nCURSO,DATOS!$D12219,nESPEC,DATOS!$E12219,nASIG,DATOS!$I12219,nEVAL,"OR")=0))</f>
      </c>
      <c r="I12219">
        <f>IF(DATOS!$I12219="","",IFERROR(VLOOKUP(DATOS!$I12219,CONFIG_ASIGNATURAS!$B$2:$J$91,9,FALSE()),""))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IF(DATOS!$A12220="",0,IF(CONFIG_METADATA!$B$4&lt;&gt;"OR+EX",--(DATOS!$G12220=CONFIG_METADATA!$B$4),IF(DATOS!$G12220="EX",1,IF(DATOS!$G12220="OR",--(COUNTIFS(nNIA,DATOS!$A12220,nCURSO,DATOS!$D12220,nESPEC,DATOS!$E12220,nASIG,DATOS!$I12220,nEVAL,"EX")=0),0))))</f>
      </c>
      <c r="H12220">
        <f>IF(DATOS!$G12220&lt;&gt;"EX",0,--(COUNTIFS(nNIA,DATOS!$A12220,nCURSO,DATOS!$D12220,nESPEC,DATOS!$E12220,nASIG,DATOS!$I12220,nEVAL,"OR")=0))</f>
      </c>
      <c r="I12220">
        <f>IF(DATOS!$I12220="","",IFERROR(VLOOKUP(DATOS!$I12220,CONFIG_ASIGNATURAS!$B$2:$J$91,9,FALSE()),""))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IF(DATOS!$A12221="",0,IF(CONFIG_METADATA!$B$4&lt;&gt;"OR+EX",--(DATOS!$G12221=CONFIG_METADATA!$B$4),IF(DATOS!$G12221="EX",1,IF(DATOS!$G12221="OR",--(COUNTIFS(nNIA,DATOS!$A12221,nCURSO,DATOS!$D12221,nESPEC,DATOS!$E12221,nASIG,DATOS!$I12221,nEVAL,"EX")=0),0))))</f>
      </c>
      <c r="H12221">
        <f>IF(DATOS!$G12221&lt;&gt;"EX",0,--(COUNTIFS(nNIA,DATOS!$A12221,nCURSO,DATOS!$D12221,nESPEC,DATOS!$E12221,nASIG,DATOS!$I12221,nEVAL,"OR")=0))</f>
      </c>
      <c r="I12221">
        <f>IF(DATOS!$I12221="","",IFERROR(VLOOKUP(DATOS!$I12221,CONFIG_ASIGNATURAS!$B$2:$J$91,9,FALSE()),""))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IF(DATOS!$A12222="",0,IF(CONFIG_METADATA!$B$4&lt;&gt;"OR+EX",--(DATOS!$G12222=CONFIG_METADATA!$B$4),IF(DATOS!$G12222="EX",1,IF(DATOS!$G12222="OR",--(COUNTIFS(nNIA,DATOS!$A12222,nCURSO,DATOS!$D12222,nESPEC,DATOS!$E12222,nASIG,DATOS!$I12222,nEVAL,"EX")=0),0))))</f>
      </c>
      <c r="H12222">
        <f>IF(DATOS!$G12222&lt;&gt;"EX",0,--(COUNTIFS(nNIA,DATOS!$A12222,nCURSO,DATOS!$D12222,nESPEC,DATOS!$E12222,nASIG,DATOS!$I12222,nEVAL,"OR")=0))</f>
      </c>
      <c r="I12222">
        <f>IF(DATOS!$I12222="","",IFERROR(VLOOKUP(DATOS!$I12222,CONFIG_ASIGNATURAS!$B$2:$J$91,9,FALSE()),""))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IF(DATOS!$A12223="",0,IF(CONFIG_METADATA!$B$4&lt;&gt;"OR+EX",--(DATOS!$G12223=CONFIG_METADATA!$B$4),IF(DATOS!$G12223="EX",1,IF(DATOS!$G12223="OR",--(COUNTIFS(nNIA,DATOS!$A12223,nCURSO,DATOS!$D12223,nESPEC,DATOS!$E12223,nASIG,DATOS!$I12223,nEVAL,"EX")=0),0))))</f>
      </c>
      <c r="H12223">
        <f>IF(DATOS!$G12223&lt;&gt;"EX",0,--(COUNTIFS(nNIA,DATOS!$A12223,nCURSO,DATOS!$D12223,nESPEC,DATOS!$E12223,nASIG,DATOS!$I12223,nEVAL,"OR")=0))</f>
      </c>
      <c r="I12223">
        <f>IF(DATOS!$I12223="","",IFERROR(VLOOKUP(DATOS!$I12223,CONFIG_ASIGNATURAS!$B$2:$J$91,9,FALSE()),""))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IF(DATOS!$A12224="",0,IF(CONFIG_METADATA!$B$4&lt;&gt;"OR+EX",--(DATOS!$G12224=CONFIG_METADATA!$B$4),IF(DATOS!$G12224="EX",1,IF(DATOS!$G12224="OR",--(COUNTIFS(nNIA,DATOS!$A12224,nCURSO,DATOS!$D12224,nESPEC,DATOS!$E12224,nASIG,DATOS!$I12224,nEVAL,"EX")=0),0))))</f>
      </c>
      <c r="H12224">
        <f>IF(DATOS!$G12224&lt;&gt;"EX",0,--(COUNTIFS(nNIA,DATOS!$A12224,nCURSO,DATOS!$D12224,nESPEC,DATOS!$E12224,nASIG,DATOS!$I12224,nEVAL,"OR")=0))</f>
      </c>
      <c r="I12224">
        <f>IF(DATOS!$I12224="","",IFERROR(VLOOKUP(DATOS!$I12224,CONFIG_ASIGNATURAS!$B$2:$J$91,9,FALSE()),""))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IF(DATOS!$A12225="",0,IF(CONFIG_METADATA!$B$4&lt;&gt;"OR+EX",--(DATOS!$G12225=CONFIG_METADATA!$B$4),IF(DATOS!$G12225="EX",1,IF(DATOS!$G12225="OR",--(COUNTIFS(nNIA,DATOS!$A12225,nCURSO,DATOS!$D12225,nESPEC,DATOS!$E12225,nASIG,DATOS!$I12225,nEVAL,"EX")=0),0))))</f>
      </c>
      <c r="H12225">
        <f>IF(DATOS!$G12225&lt;&gt;"EX",0,--(COUNTIFS(nNIA,DATOS!$A12225,nCURSO,DATOS!$D12225,nESPEC,DATOS!$E12225,nASIG,DATOS!$I12225,nEVAL,"OR")=0))</f>
      </c>
      <c r="I12225">
        <f>IF(DATOS!$I12225="","",IFERROR(VLOOKUP(DATOS!$I12225,CONFIG_ASIGNATURAS!$B$2:$J$91,9,FALSE()),""))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IF(DATOS!$A12226="",0,IF(CONFIG_METADATA!$B$4&lt;&gt;"OR+EX",--(DATOS!$G12226=CONFIG_METADATA!$B$4),IF(DATOS!$G12226="EX",1,IF(DATOS!$G12226="OR",--(COUNTIFS(nNIA,DATOS!$A12226,nCURSO,DATOS!$D12226,nESPEC,DATOS!$E12226,nASIG,DATOS!$I12226,nEVAL,"EX")=0),0))))</f>
      </c>
      <c r="H12226">
        <f>IF(DATOS!$G12226&lt;&gt;"EX",0,--(COUNTIFS(nNIA,DATOS!$A12226,nCURSO,DATOS!$D12226,nESPEC,DATOS!$E12226,nASIG,DATOS!$I12226,nEVAL,"OR")=0))</f>
      </c>
      <c r="I12226">
        <f>IF(DATOS!$I12226="","",IFERROR(VLOOKUP(DATOS!$I12226,CONFIG_ASIGNATURAS!$B$2:$J$91,9,FALSE()),""))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IF(DATOS!$A12227="",0,IF(CONFIG_METADATA!$B$4&lt;&gt;"OR+EX",--(DATOS!$G12227=CONFIG_METADATA!$B$4),IF(DATOS!$G12227="EX",1,IF(DATOS!$G12227="OR",--(COUNTIFS(nNIA,DATOS!$A12227,nCURSO,DATOS!$D12227,nESPEC,DATOS!$E12227,nASIG,DATOS!$I12227,nEVAL,"EX")=0),0))))</f>
      </c>
      <c r="H12227">
        <f>IF(DATOS!$G12227&lt;&gt;"EX",0,--(COUNTIFS(nNIA,DATOS!$A12227,nCURSO,DATOS!$D12227,nESPEC,DATOS!$E12227,nASIG,DATOS!$I12227,nEVAL,"OR")=0))</f>
      </c>
      <c r="I12227">
        <f>IF(DATOS!$I12227="","",IFERROR(VLOOKUP(DATOS!$I12227,CONFIG_ASIGNATURAS!$B$2:$J$91,9,FALSE()),""))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IF(DATOS!$A12228="",0,IF(CONFIG_METADATA!$B$4&lt;&gt;"OR+EX",--(DATOS!$G12228=CONFIG_METADATA!$B$4),IF(DATOS!$G12228="EX",1,IF(DATOS!$G12228="OR",--(COUNTIFS(nNIA,DATOS!$A12228,nCURSO,DATOS!$D12228,nESPEC,DATOS!$E12228,nASIG,DATOS!$I12228,nEVAL,"EX")=0),0))))</f>
      </c>
      <c r="H12228">
        <f>IF(DATOS!$G12228&lt;&gt;"EX",0,--(COUNTIFS(nNIA,DATOS!$A12228,nCURSO,DATOS!$D12228,nESPEC,DATOS!$E12228,nASIG,DATOS!$I12228,nEVAL,"OR")=0))</f>
      </c>
      <c r="I12228">
        <f>IF(DATOS!$I12228="","",IFERROR(VLOOKUP(DATOS!$I12228,CONFIG_ASIGNATURAS!$B$2:$J$91,9,FALSE()),""))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IF(DATOS!$A12229="",0,IF(CONFIG_METADATA!$B$4&lt;&gt;"OR+EX",--(DATOS!$G12229=CONFIG_METADATA!$B$4),IF(DATOS!$G12229="EX",1,IF(DATOS!$G12229="OR",--(COUNTIFS(nNIA,DATOS!$A12229,nCURSO,DATOS!$D12229,nESPEC,DATOS!$E12229,nASIG,DATOS!$I12229,nEVAL,"EX")=0),0))))</f>
      </c>
      <c r="H12229">
        <f>IF(DATOS!$G12229&lt;&gt;"EX",0,--(COUNTIFS(nNIA,DATOS!$A12229,nCURSO,DATOS!$D12229,nESPEC,DATOS!$E12229,nASIG,DATOS!$I12229,nEVAL,"OR")=0))</f>
      </c>
      <c r="I12229">
        <f>IF(DATOS!$I12229="","",IFERROR(VLOOKUP(DATOS!$I12229,CONFIG_ASIGNATURAS!$B$2:$J$91,9,FALSE()),""))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IF(DATOS!$A12230="",0,IF(CONFIG_METADATA!$B$4&lt;&gt;"OR+EX",--(DATOS!$G12230=CONFIG_METADATA!$B$4),IF(DATOS!$G12230="EX",1,IF(DATOS!$G12230="OR",--(COUNTIFS(nNIA,DATOS!$A12230,nCURSO,DATOS!$D12230,nESPEC,DATOS!$E12230,nASIG,DATOS!$I12230,nEVAL,"EX")=0),0))))</f>
      </c>
      <c r="H12230">
        <f>IF(DATOS!$G12230&lt;&gt;"EX",0,--(COUNTIFS(nNIA,DATOS!$A12230,nCURSO,DATOS!$D12230,nESPEC,DATOS!$E12230,nASIG,DATOS!$I12230,nEVAL,"OR")=0))</f>
      </c>
      <c r="I12230">
        <f>IF(DATOS!$I12230="","",IFERROR(VLOOKUP(DATOS!$I12230,CONFIG_ASIGNATURAS!$B$2:$J$91,9,FALSE()),""))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IF(DATOS!$A12231="",0,IF(CONFIG_METADATA!$B$4&lt;&gt;"OR+EX",--(DATOS!$G12231=CONFIG_METADATA!$B$4),IF(DATOS!$G12231="EX",1,IF(DATOS!$G12231="OR",--(COUNTIFS(nNIA,DATOS!$A12231,nCURSO,DATOS!$D12231,nESPEC,DATOS!$E12231,nASIG,DATOS!$I12231,nEVAL,"EX")=0),0))))</f>
      </c>
      <c r="H12231">
        <f>IF(DATOS!$G12231&lt;&gt;"EX",0,--(COUNTIFS(nNIA,DATOS!$A12231,nCURSO,DATOS!$D12231,nESPEC,DATOS!$E12231,nASIG,DATOS!$I12231,nEVAL,"OR")=0))</f>
      </c>
      <c r="I12231">
        <f>IF(DATOS!$I12231="","",IFERROR(VLOOKUP(DATOS!$I12231,CONFIG_ASIGNATURAS!$B$2:$J$91,9,FALSE()),""))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IF(DATOS!$A12232="",0,IF(CONFIG_METADATA!$B$4&lt;&gt;"OR+EX",--(DATOS!$G12232=CONFIG_METADATA!$B$4),IF(DATOS!$G12232="EX",1,IF(DATOS!$G12232="OR",--(COUNTIFS(nNIA,DATOS!$A12232,nCURSO,DATOS!$D12232,nESPEC,DATOS!$E12232,nASIG,DATOS!$I12232,nEVAL,"EX")=0),0))))</f>
      </c>
      <c r="H12232">
        <f>IF(DATOS!$G12232&lt;&gt;"EX",0,--(COUNTIFS(nNIA,DATOS!$A12232,nCURSO,DATOS!$D12232,nESPEC,DATOS!$E12232,nASIG,DATOS!$I12232,nEVAL,"OR")=0))</f>
      </c>
      <c r="I12232">
        <f>IF(DATOS!$I12232="","",IFERROR(VLOOKUP(DATOS!$I12232,CONFIG_ASIGNATURAS!$B$2:$J$91,9,FALSE()),""))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IF(DATOS!$A12233="",0,IF(CONFIG_METADATA!$B$4&lt;&gt;"OR+EX",--(DATOS!$G12233=CONFIG_METADATA!$B$4),IF(DATOS!$G12233="EX",1,IF(DATOS!$G12233="OR",--(COUNTIFS(nNIA,DATOS!$A12233,nCURSO,DATOS!$D12233,nESPEC,DATOS!$E12233,nASIG,DATOS!$I12233,nEVAL,"EX")=0),0))))</f>
      </c>
      <c r="H12233">
        <f>IF(DATOS!$G12233&lt;&gt;"EX",0,--(COUNTIFS(nNIA,DATOS!$A12233,nCURSO,DATOS!$D12233,nESPEC,DATOS!$E12233,nASIG,DATOS!$I12233,nEVAL,"OR")=0))</f>
      </c>
      <c r="I12233">
        <f>IF(DATOS!$I12233="","",IFERROR(VLOOKUP(DATOS!$I12233,CONFIG_ASIGNATURAS!$B$2:$J$91,9,FALSE()),""))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IF(DATOS!$A12234="",0,IF(CONFIG_METADATA!$B$4&lt;&gt;"OR+EX",--(DATOS!$G12234=CONFIG_METADATA!$B$4),IF(DATOS!$G12234="EX",1,IF(DATOS!$G12234="OR",--(COUNTIFS(nNIA,DATOS!$A12234,nCURSO,DATOS!$D12234,nESPEC,DATOS!$E12234,nASIG,DATOS!$I12234,nEVAL,"EX")=0),0))))</f>
      </c>
      <c r="H12234">
        <f>IF(DATOS!$G12234&lt;&gt;"EX",0,--(COUNTIFS(nNIA,DATOS!$A12234,nCURSO,DATOS!$D12234,nESPEC,DATOS!$E12234,nASIG,DATOS!$I12234,nEVAL,"OR")=0))</f>
      </c>
      <c r="I12234">
        <f>IF(DATOS!$I12234="","",IFERROR(VLOOKUP(DATOS!$I12234,CONFIG_ASIGNATURAS!$B$2:$J$91,9,FALSE()),""))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IF(DATOS!$A12235="",0,IF(CONFIG_METADATA!$B$4&lt;&gt;"OR+EX",--(DATOS!$G12235=CONFIG_METADATA!$B$4),IF(DATOS!$G12235="EX",1,IF(DATOS!$G12235="OR",--(COUNTIFS(nNIA,DATOS!$A12235,nCURSO,DATOS!$D12235,nESPEC,DATOS!$E12235,nASIG,DATOS!$I12235,nEVAL,"EX")=0),0))))</f>
      </c>
      <c r="H12235">
        <f>IF(DATOS!$G12235&lt;&gt;"EX",0,--(COUNTIFS(nNIA,DATOS!$A12235,nCURSO,DATOS!$D12235,nESPEC,DATOS!$E12235,nASIG,DATOS!$I12235,nEVAL,"OR")=0))</f>
      </c>
      <c r="I12235">
        <f>IF(DATOS!$I12235="","",IFERROR(VLOOKUP(DATOS!$I12235,CONFIG_ASIGNATURAS!$B$2:$J$91,9,FALSE()),""))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IF(DATOS!$A12236="",0,IF(CONFIG_METADATA!$B$4&lt;&gt;"OR+EX",--(DATOS!$G12236=CONFIG_METADATA!$B$4),IF(DATOS!$G12236="EX",1,IF(DATOS!$G12236="OR",--(COUNTIFS(nNIA,DATOS!$A12236,nCURSO,DATOS!$D12236,nESPEC,DATOS!$E12236,nASIG,DATOS!$I12236,nEVAL,"EX")=0),0))))</f>
      </c>
      <c r="H12236">
        <f>IF(DATOS!$G12236&lt;&gt;"EX",0,--(COUNTIFS(nNIA,DATOS!$A12236,nCURSO,DATOS!$D12236,nESPEC,DATOS!$E12236,nASIG,DATOS!$I12236,nEVAL,"OR")=0))</f>
      </c>
      <c r="I12236">
        <f>IF(DATOS!$I12236="","",IFERROR(VLOOKUP(DATOS!$I12236,CONFIG_ASIGNATURAS!$B$2:$J$91,9,FALSE()),""))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IF(DATOS!$A12237="",0,IF(CONFIG_METADATA!$B$4&lt;&gt;"OR+EX",--(DATOS!$G12237=CONFIG_METADATA!$B$4),IF(DATOS!$G12237="EX",1,IF(DATOS!$G12237="OR",--(COUNTIFS(nNIA,DATOS!$A12237,nCURSO,DATOS!$D12237,nESPEC,DATOS!$E12237,nASIG,DATOS!$I12237,nEVAL,"EX")=0),0))))</f>
      </c>
      <c r="H12237">
        <f>IF(DATOS!$G12237&lt;&gt;"EX",0,--(COUNTIFS(nNIA,DATOS!$A12237,nCURSO,DATOS!$D12237,nESPEC,DATOS!$E12237,nASIG,DATOS!$I12237,nEVAL,"OR")=0))</f>
      </c>
      <c r="I12237">
        <f>IF(DATOS!$I12237="","",IFERROR(VLOOKUP(DATOS!$I12237,CONFIG_ASIGNATURAS!$B$2:$J$91,9,FALSE()),""))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IF(DATOS!$A12238="",0,IF(CONFIG_METADATA!$B$4&lt;&gt;"OR+EX",--(DATOS!$G12238=CONFIG_METADATA!$B$4),IF(DATOS!$G12238="EX",1,IF(DATOS!$G12238="OR",--(COUNTIFS(nNIA,DATOS!$A12238,nCURSO,DATOS!$D12238,nESPEC,DATOS!$E12238,nASIG,DATOS!$I12238,nEVAL,"EX")=0),0))))</f>
      </c>
      <c r="H12238">
        <f>IF(DATOS!$G12238&lt;&gt;"EX",0,--(COUNTIFS(nNIA,DATOS!$A12238,nCURSO,DATOS!$D12238,nESPEC,DATOS!$E12238,nASIG,DATOS!$I12238,nEVAL,"OR")=0))</f>
      </c>
      <c r="I12238">
        <f>IF(DATOS!$I12238="","",IFERROR(VLOOKUP(DATOS!$I12238,CONFIG_ASIGNATURAS!$B$2:$J$91,9,FALSE()),""))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IF(DATOS!$A12239="",0,IF(CONFIG_METADATA!$B$4&lt;&gt;"OR+EX",--(DATOS!$G12239=CONFIG_METADATA!$B$4),IF(DATOS!$G12239="EX",1,IF(DATOS!$G12239="OR",--(COUNTIFS(nNIA,DATOS!$A12239,nCURSO,DATOS!$D12239,nESPEC,DATOS!$E12239,nASIG,DATOS!$I12239,nEVAL,"EX")=0),0))))</f>
      </c>
      <c r="H12239">
        <f>IF(DATOS!$G12239&lt;&gt;"EX",0,--(COUNTIFS(nNIA,DATOS!$A12239,nCURSO,DATOS!$D12239,nESPEC,DATOS!$E12239,nASIG,DATOS!$I12239,nEVAL,"OR")=0))</f>
      </c>
      <c r="I12239">
        <f>IF(DATOS!$I12239="","",IFERROR(VLOOKUP(DATOS!$I12239,CONFIG_ASIGNATURAS!$B$2:$J$91,9,FALSE()),""))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IF(DATOS!$A12240="",0,IF(CONFIG_METADATA!$B$4&lt;&gt;"OR+EX",--(DATOS!$G12240=CONFIG_METADATA!$B$4),IF(DATOS!$G12240="EX",1,IF(DATOS!$G12240="OR",--(COUNTIFS(nNIA,DATOS!$A12240,nCURSO,DATOS!$D12240,nESPEC,DATOS!$E12240,nASIG,DATOS!$I12240,nEVAL,"EX")=0),0))))</f>
      </c>
      <c r="H12240">
        <f>IF(DATOS!$G12240&lt;&gt;"EX",0,--(COUNTIFS(nNIA,DATOS!$A12240,nCURSO,DATOS!$D12240,nESPEC,DATOS!$E12240,nASIG,DATOS!$I12240,nEVAL,"OR")=0))</f>
      </c>
      <c r="I12240">
        <f>IF(DATOS!$I12240="","",IFERROR(VLOOKUP(DATOS!$I12240,CONFIG_ASIGNATURAS!$B$2:$J$91,9,FALSE()),""))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IF(DATOS!$A12241="",0,IF(CONFIG_METADATA!$B$4&lt;&gt;"OR+EX",--(DATOS!$G12241=CONFIG_METADATA!$B$4),IF(DATOS!$G12241="EX",1,IF(DATOS!$G12241="OR",--(COUNTIFS(nNIA,DATOS!$A12241,nCURSO,DATOS!$D12241,nESPEC,DATOS!$E12241,nASIG,DATOS!$I12241,nEVAL,"EX")=0),0))))</f>
      </c>
      <c r="H12241">
        <f>IF(DATOS!$G12241&lt;&gt;"EX",0,--(COUNTIFS(nNIA,DATOS!$A12241,nCURSO,DATOS!$D12241,nESPEC,DATOS!$E12241,nASIG,DATOS!$I12241,nEVAL,"OR")=0))</f>
      </c>
      <c r="I12241">
        <f>IF(DATOS!$I12241="","",IFERROR(VLOOKUP(DATOS!$I12241,CONFIG_ASIGNATURAS!$B$2:$J$91,9,FALSE()),""))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IF(DATOS!$A12242="",0,IF(CONFIG_METADATA!$B$4&lt;&gt;"OR+EX",--(DATOS!$G12242=CONFIG_METADATA!$B$4),IF(DATOS!$G12242="EX",1,IF(DATOS!$G12242="OR",--(COUNTIFS(nNIA,DATOS!$A12242,nCURSO,DATOS!$D12242,nESPEC,DATOS!$E12242,nASIG,DATOS!$I12242,nEVAL,"EX")=0),0))))</f>
      </c>
      <c r="H12242">
        <f>IF(DATOS!$G12242&lt;&gt;"EX",0,--(COUNTIFS(nNIA,DATOS!$A12242,nCURSO,DATOS!$D12242,nESPEC,DATOS!$E12242,nASIG,DATOS!$I12242,nEVAL,"OR")=0))</f>
      </c>
      <c r="I12242">
        <f>IF(DATOS!$I12242="","",IFERROR(VLOOKUP(DATOS!$I12242,CONFIG_ASIGNATURAS!$B$2:$J$91,9,FALSE()),""))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IF(DATOS!$A12243="",0,IF(CONFIG_METADATA!$B$4&lt;&gt;"OR+EX",--(DATOS!$G12243=CONFIG_METADATA!$B$4),IF(DATOS!$G12243="EX",1,IF(DATOS!$G12243="OR",--(COUNTIFS(nNIA,DATOS!$A12243,nCURSO,DATOS!$D12243,nESPEC,DATOS!$E12243,nASIG,DATOS!$I12243,nEVAL,"EX")=0),0))))</f>
      </c>
      <c r="H12243">
        <f>IF(DATOS!$G12243&lt;&gt;"EX",0,--(COUNTIFS(nNIA,DATOS!$A12243,nCURSO,DATOS!$D12243,nESPEC,DATOS!$E12243,nASIG,DATOS!$I12243,nEVAL,"OR")=0))</f>
      </c>
      <c r="I12243">
        <f>IF(DATOS!$I12243="","",IFERROR(VLOOKUP(DATOS!$I12243,CONFIG_ASIGNATURAS!$B$2:$J$91,9,FALSE()),""))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IF(DATOS!$A12244="",0,IF(CONFIG_METADATA!$B$4&lt;&gt;"OR+EX",--(DATOS!$G12244=CONFIG_METADATA!$B$4),IF(DATOS!$G12244="EX",1,IF(DATOS!$G12244="OR",--(COUNTIFS(nNIA,DATOS!$A12244,nCURSO,DATOS!$D12244,nESPEC,DATOS!$E12244,nASIG,DATOS!$I12244,nEVAL,"EX")=0),0))))</f>
      </c>
      <c r="H12244">
        <f>IF(DATOS!$G12244&lt;&gt;"EX",0,--(COUNTIFS(nNIA,DATOS!$A12244,nCURSO,DATOS!$D12244,nESPEC,DATOS!$E12244,nASIG,DATOS!$I12244,nEVAL,"OR")=0))</f>
      </c>
      <c r="I12244">
        <f>IF(DATOS!$I12244="","",IFERROR(VLOOKUP(DATOS!$I12244,CONFIG_ASIGNATURAS!$B$2:$J$91,9,FALSE()),""))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IF(DATOS!$A12245="",0,IF(CONFIG_METADATA!$B$4&lt;&gt;"OR+EX",--(DATOS!$G12245=CONFIG_METADATA!$B$4),IF(DATOS!$G12245="EX",1,IF(DATOS!$G12245="OR",--(COUNTIFS(nNIA,DATOS!$A12245,nCURSO,DATOS!$D12245,nESPEC,DATOS!$E12245,nASIG,DATOS!$I12245,nEVAL,"EX")=0),0))))</f>
      </c>
      <c r="H12245">
        <f>IF(DATOS!$G12245&lt;&gt;"EX",0,--(COUNTIFS(nNIA,DATOS!$A12245,nCURSO,DATOS!$D12245,nESPEC,DATOS!$E12245,nASIG,DATOS!$I12245,nEVAL,"OR")=0))</f>
      </c>
      <c r="I12245">
        <f>IF(DATOS!$I12245="","",IFERROR(VLOOKUP(DATOS!$I12245,CONFIG_ASIGNATURAS!$B$2:$J$91,9,FALSE()),""))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IF(DATOS!$A12246="",0,IF(CONFIG_METADATA!$B$4&lt;&gt;"OR+EX",--(DATOS!$G12246=CONFIG_METADATA!$B$4),IF(DATOS!$G12246="EX",1,IF(DATOS!$G12246="OR",--(COUNTIFS(nNIA,DATOS!$A12246,nCURSO,DATOS!$D12246,nESPEC,DATOS!$E12246,nASIG,DATOS!$I12246,nEVAL,"EX")=0),0))))</f>
      </c>
      <c r="H12246">
        <f>IF(DATOS!$G12246&lt;&gt;"EX",0,--(COUNTIFS(nNIA,DATOS!$A12246,nCURSO,DATOS!$D12246,nESPEC,DATOS!$E12246,nASIG,DATOS!$I12246,nEVAL,"OR")=0))</f>
      </c>
      <c r="I12246">
        <f>IF(DATOS!$I12246="","",IFERROR(VLOOKUP(DATOS!$I12246,CONFIG_ASIGNATURAS!$B$2:$J$91,9,FALSE()),""))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IF(DATOS!$A12247="",0,IF(CONFIG_METADATA!$B$4&lt;&gt;"OR+EX",--(DATOS!$G12247=CONFIG_METADATA!$B$4),IF(DATOS!$G12247="EX",1,IF(DATOS!$G12247="OR",--(COUNTIFS(nNIA,DATOS!$A12247,nCURSO,DATOS!$D12247,nESPEC,DATOS!$E12247,nASIG,DATOS!$I12247,nEVAL,"EX")=0),0))))</f>
      </c>
      <c r="H12247">
        <f>IF(DATOS!$G12247&lt;&gt;"EX",0,--(COUNTIFS(nNIA,DATOS!$A12247,nCURSO,DATOS!$D12247,nESPEC,DATOS!$E12247,nASIG,DATOS!$I12247,nEVAL,"OR")=0))</f>
      </c>
      <c r="I12247">
        <f>IF(DATOS!$I12247="","",IFERROR(VLOOKUP(DATOS!$I12247,CONFIG_ASIGNATURAS!$B$2:$J$91,9,FALSE()),""))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IF(DATOS!$A12248="",0,IF(CONFIG_METADATA!$B$4&lt;&gt;"OR+EX",--(DATOS!$G12248=CONFIG_METADATA!$B$4),IF(DATOS!$G12248="EX",1,IF(DATOS!$G12248="OR",--(COUNTIFS(nNIA,DATOS!$A12248,nCURSO,DATOS!$D12248,nESPEC,DATOS!$E12248,nASIG,DATOS!$I12248,nEVAL,"EX")=0),0))))</f>
      </c>
      <c r="H12248">
        <f>IF(DATOS!$G12248&lt;&gt;"EX",0,--(COUNTIFS(nNIA,DATOS!$A12248,nCURSO,DATOS!$D12248,nESPEC,DATOS!$E12248,nASIG,DATOS!$I12248,nEVAL,"OR")=0))</f>
      </c>
      <c r="I12248">
        <f>IF(DATOS!$I12248="","",IFERROR(VLOOKUP(DATOS!$I12248,CONFIG_ASIGNATURAS!$B$2:$J$91,9,FALSE()),""))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IF(DATOS!$A12249="",0,IF(CONFIG_METADATA!$B$4&lt;&gt;"OR+EX",--(DATOS!$G12249=CONFIG_METADATA!$B$4),IF(DATOS!$G12249="EX",1,IF(DATOS!$G12249="OR",--(COUNTIFS(nNIA,DATOS!$A12249,nCURSO,DATOS!$D12249,nESPEC,DATOS!$E12249,nASIG,DATOS!$I12249,nEVAL,"EX")=0),0))))</f>
      </c>
      <c r="H12249">
        <f>IF(DATOS!$G12249&lt;&gt;"EX",0,--(COUNTIFS(nNIA,DATOS!$A12249,nCURSO,DATOS!$D12249,nESPEC,DATOS!$E12249,nASIG,DATOS!$I12249,nEVAL,"OR")=0))</f>
      </c>
      <c r="I12249">
        <f>IF(DATOS!$I12249="","",IFERROR(VLOOKUP(DATOS!$I12249,CONFIG_ASIGNATURAS!$B$2:$J$91,9,FALSE()),""))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IF(DATOS!$A12250="",0,IF(CONFIG_METADATA!$B$4&lt;&gt;"OR+EX",--(DATOS!$G12250=CONFIG_METADATA!$B$4),IF(DATOS!$G12250="EX",1,IF(DATOS!$G12250="OR",--(COUNTIFS(nNIA,DATOS!$A12250,nCURSO,DATOS!$D12250,nESPEC,DATOS!$E12250,nASIG,DATOS!$I12250,nEVAL,"EX")=0),0))))</f>
      </c>
      <c r="H12250">
        <f>IF(DATOS!$G12250&lt;&gt;"EX",0,--(COUNTIFS(nNIA,DATOS!$A12250,nCURSO,DATOS!$D12250,nESPEC,DATOS!$E12250,nASIG,DATOS!$I12250,nEVAL,"OR")=0))</f>
      </c>
      <c r="I12250">
        <f>IF(DATOS!$I12250="","",IFERROR(VLOOKUP(DATOS!$I12250,CONFIG_ASIGNATURAS!$B$2:$J$91,9,FALSE()),""))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IF(DATOS!$A12251="",0,IF(CONFIG_METADATA!$B$4&lt;&gt;"OR+EX",--(DATOS!$G12251=CONFIG_METADATA!$B$4),IF(DATOS!$G12251="EX",1,IF(DATOS!$G12251="OR",--(COUNTIFS(nNIA,DATOS!$A12251,nCURSO,DATOS!$D12251,nESPEC,DATOS!$E12251,nASIG,DATOS!$I12251,nEVAL,"EX")=0),0))))</f>
      </c>
      <c r="H12251">
        <f>IF(DATOS!$G12251&lt;&gt;"EX",0,--(COUNTIFS(nNIA,DATOS!$A12251,nCURSO,DATOS!$D12251,nESPEC,DATOS!$E12251,nASIG,DATOS!$I12251,nEVAL,"OR")=0))</f>
      </c>
      <c r="I12251">
        <f>IF(DATOS!$I12251="","",IFERROR(VLOOKUP(DATOS!$I12251,CONFIG_ASIGNATURAS!$B$2:$J$91,9,FALSE()),""))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IF(DATOS!$A12252="",0,IF(CONFIG_METADATA!$B$4&lt;&gt;"OR+EX",--(DATOS!$G12252=CONFIG_METADATA!$B$4),IF(DATOS!$G12252="EX",1,IF(DATOS!$G12252="OR",--(COUNTIFS(nNIA,DATOS!$A12252,nCURSO,DATOS!$D12252,nESPEC,DATOS!$E12252,nASIG,DATOS!$I12252,nEVAL,"EX")=0),0))))</f>
      </c>
      <c r="H12252">
        <f>IF(DATOS!$G12252&lt;&gt;"EX",0,--(COUNTIFS(nNIA,DATOS!$A12252,nCURSO,DATOS!$D12252,nESPEC,DATOS!$E12252,nASIG,DATOS!$I12252,nEVAL,"OR")=0))</f>
      </c>
      <c r="I12252">
        <f>IF(DATOS!$I12252="","",IFERROR(VLOOKUP(DATOS!$I12252,CONFIG_ASIGNATURAS!$B$2:$J$91,9,FALSE()),""))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IF(DATOS!$A12253="",0,IF(CONFIG_METADATA!$B$4&lt;&gt;"OR+EX",--(DATOS!$G12253=CONFIG_METADATA!$B$4),IF(DATOS!$G12253="EX",1,IF(DATOS!$G12253="OR",--(COUNTIFS(nNIA,DATOS!$A12253,nCURSO,DATOS!$D12253,nESPEC,DATOS!$E12253,nASIG,DATOS!$I12253,nEVAL,"EX")=0),0))))</f>
      </c>
      <c r="H12253">
        <f>IF(DATOS!$G12253&lt;&gt;"EX",0,--(COUNTIFS(nNIA,DATOS!$A12253,nCURSO,DATOS!$D12253,nESPEC,DATOS!$E12253,nASIG,DATOS!$I12253,nEVAL,"OR")=0))</f>
      </c>
      <c r="I12253">
        <f>IF(DATOS!$I12253="","",IFERROR(VLOOKUP(DATOS!$I12253,CONFIG_ASIGNATURAS!$B$2:$J$91,9,FALSE()),""))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IF(DATOS!$A12254="",0,IF(CONFIG_METADATA!$B$4&lt;&gt;"OR+EX",--(DATOS!$G12254=CONFIG_METADATA!$B$4),IF(DATOS!$G12254="EX",1,IF(DATOS!$G12254="OR",--(COUNTIFS(nNIA,DATOS!$A12254,nCURSO,DATOS!$D12254,nESPEC,DATOS!$E12254,nASIG,DATOS!$I12254,nEVAL,"EX")=0),0))))</f>
      </c>
      <c r="H12254">
        <f>IF(DATOS!$G12254&lt;&gt;"EX",0,--(COUNTIFS(nNIA,DATOS!$A12254,nCURSO,DATOS!$D12254,nESPEC,DATOS!$E12254,nASIG,DATOS!$I12254,nEVAL,"OR")=0))</f>
      </c>
      <c r="I12254">
        <f>IF(DATOS!$I12254="","",IFERROR(VLOOKUP(DATOS!$I12254,CONFIG_ASIGNATURAS!$B$2:$J$91,9,FALSE()),""))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IF(DATOS!$A12255="",0,IF(CONFIG_METADATA!$B$4&lt;&gt;"OR+EX",--(DATOS!$G12255=CONFIG_METADATA!$B$4),IF(DATOS!$G12255="EX",1,IF(DATOS!$G12255="OR",--(COUNTIFS(nNIA,DATOS!$A12255,nCURSO,DATOS!$D12255,nESPEC,DATOS!$E12255,nASIG,DATOS!$I12255,nEVAL,"EX")=0),0))))</f>
      </c>
      <c r="H12255">
        <f>IF(DATOS!$G12255&lt;&gt;"EX",0,--(COUNTIFS(nNIA,DATOS!$A12255,nCURSO,DATOS!$D12255,nESPEC,DATOS!$E12255,nASIG,DATOS!$I12255,nEVAL,"OR")=0))</f>
      </c>
      <c r="I12255">
        <f>IF(DATOS!$I12255="","",IFERROR(VLOOKUP(DATOS!$I12255,CONFIG_ASIGNATURAS!$B$2:$J$91,9,FALSE()),""))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IF(DATOS!$A12256="",0,IF(CONFIG_METADATA!$B$4&lt;&gt;"OR+EX",--(DATOS!$G12256=CONFIG_METADATA!$B$4),IF(DATOS!$G12256="EX",1,IF(DATOS!$G12256="OR",--(COUNTIFS(nNIA,DATOS!$A12256,nCURSO,DATOS!$D12256,nESPEC,DATOS!$E12256,nASIG,DATOS!$I12256,nEVAL,"EX")=0),0))))</f>
      </c>
      <c r="H12256">
        <f>IF(DATOS!$G12256&lt;&gt;"EX",0,--(COUNTIFS(nNIA,DATOS!$A12256,nCURSO,DATOS!$D12256,nESPEC,DATOS!$E12256,nASIG,DATOS!$I12256,nEVAL,"OR")=0))</f>
      </c>
      <c r="I12256">
        <f>IF(DATOS!$I12256="","",IFERROR(VLOOKUP(DATOS!$I12256,CONFIG_ASIGNATURAS!$B$2:$J$91,9,FALSE()),""))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IF(DATOS!$A12257="",0,IF(CONFIG_METADATA!$B$4&lt;&gt;"OR+EX",--(DATOS!$G12257=CONFIG_METADATA!$B$4),IF(DATOS!$G12257="EX",1,IF(DATOS!$G12257="OR",--(COUNTIFS(nNIA,DATOS!$A12257,nCURSO,DATOS!$D12257,nESPEC,DATOS!$E12257,nASIG,DATOS!$I12257,nEVAL,"EX")=0),0))))</f>
      </c>
      <c r="H12257">
        <f>IF(DATOS!$G12257&lt;&gt;"EX",0,--(COUNTIFS(nNIA,DATOS!$A12257,nCURSO,DATOS!$D12257,nESPEC,DATOS!$E12257,nASIG,DATOS!$I12257,nEVAL,"OR")=0))</f>
      </c>
      <c r="I12257">
        <f>IF(DATOS!$I12257="","",IFERROR(VLOOKUP(DATOS!$I12257,CONFIG_ASIGNATURAS!$B$2:$J$91,9,FALSE()),""))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IF(DATOS!$A12258="",0,IF(CONFIG_METADATA!$B$4&lt;&gt;"OR+EX",--(DATOS!$G12258=CONFIG_METADATA!$B$4),IF(DATOS!$G12258="EX",1,IF(DATOS!$G12258="OR",--(COUNTIFS(nNIA,DATOS!$A12258,nCURSO,DATOS!$D12258,nESPEC,DATOS!$E12258,nASIG,DATOS!$I12258,nEVAL,"EX")=0),0))))</f>
      </c>
      <c r="H12258">
        <f>IF(DATOS!$G12258&lt;&gt;"EX",0,--(COUNTIFS(nNIA,DATOS!$A12258,nCURSO,DATOS!$D12258,nESPEC,DATOS!$E12258,nASIG,DATOS!$I12258,nEVAL,"OR")=0))</f>
      </c>
      <c r="I12258">
        <f>IF(DATOS!$I12258="","",IFERROR(VLOOKUP(DATOS!$I12258,CONFIG_ASIGNATURAS!$B$2:$J$91,9,FALSE()),""))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IF(DATOS!$A12259="",0,IF(CONFIG_METADATA!$B$4&lt;&gt;"OR+EX",--(DATOS!$G12259=CONFIG_METADATA!$B$4),IF(DATOS!$G12259="EX",1,IF(DATOS!$G12259="OR",--(COUNTIFS(nNIA,DATOS!$A12259,nCURSO,DATOS!$D12259,nESPEC,DATOS!$E12259,nASIG,DATOS!$I12259,nEVAL,"EX")=0),0))))</f>
      </c>
      <c r="H12259">
        <f>IF(DATOS!$G12259&lt;&gt;"EX",0,--(COUNTIFS(nNIA,DATOS!$A12259,nCURSO,DATOS!$D12259,nESPEC,DATOS!$E12259,nASIG,DATOS!$I12259,nEVAL,"OR")=0))</f>
      </c>
      <c r="I12259">
        <f>IF(DATOS!$I12259="","",IFERROR(VLOOKUP(DATOS!$I12259,CONFIG_ASIGNATURAS!$B$2:$J$91,9,FALSE()),""))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IF(DATOS!$A12260="",0,IF(CONFIG_METADATA!$B$4&lt;&gt;"OR+EX",--(DATOS!$G12260=CONFIG_METADATA!$B$4),IF(DATOS!$G12260="EX",1,IF(DATOS!$G12260="OR",--(COUNTIFS(nNIA,DATOS!$A12260,nCURSO,DATOS!$D12260,nESPEC,DATOS!$E12260,nASIG,DATOS!$I12260,nEVAL,"EX")=0),0))))</f>
      </c>
      <c r="H12260">
        <f>IF(DATOS!$G12260&lt;&gt;"EX",0,--(COUNTIFS(nNIA,DATOS!$A12260,nCURSO,DATOS!$D12260,nESPEC,DATOS!$E12260,nASIG,DATOS!$I12260,nEVAL,"OR")=0))</f>
      </c>
      <c r="I12260">
        <f>IF(DATOS!$I12260="","",IFERROR(VLOOKUP(DATOS!$I12260,CONFIG_ASIGNATURAS!$B$2:$J$91,9,FALSE()),""))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IF(DATOS!$A12261="",0,IF(CONFIG_METADATA!$B$4&lt;&gt;"OR+EX",--(DATOS!$G12261=CONFIG_METADATA!$B$4),IF(DATOS!$G12261="EX",1,IF(DATOS!$G12261="OR",--(COUNTIFS(nNIA,DATOS!$A12261,nCURSO,DATOS!$D12261,nESPEC,DATOS!$E12261,nASIG,DATOS!$I12261,nEVAL,"EX")=0),0))))</f>
      </c>
      <c r="H12261">
        <f>IF(DATOS!$G12261&lt;&gt;"EX",0,--(COUNTIFS(nNIA,DATOS!$A12261,nCURSO,DATOS!$D12261,nESPEC,DATOS!$E12261,nASIG,DATOS!$I12261,nEVAL,"OR")=0))</f>
      </c>
      <c r="I12261">
        <f>IF(DATOS!$I12261="","",IFERROR(VLOOKUP(DATOS!$I12261,CONFIG_ASIGNATURAS!$B$2:$J$91,9,FALSE()),""))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IF(DATOS!$A12262="",0,IF(CONFIG_METADATA!$B$4&lt;&gt;"OR+EX",--(DATOS!$G12262=CONFIG_METADATA!$B$4),IF(DATOS!$G12262="EX",1,IF(DATOS!$G12262="OR",--(COUNTIFS(nNIA,DATOS!$A12262,nCURSO,DATOS!$D12262,nESPEC,DATOS!$E12262,nASIG,DATOS!$I12262,nEVAL,"EX")=0),0))))</f>
      </c>
      <c r="H12262">
        <f>IF(DATOS!$G12262&lt;&gt;"EX",0,--(COUNTIFS(nNIA,DATOS!$A12262,nCURSO,DATOS!$D12262,nESPEC,DATOS!$E12262,nASIG,DATOS!$I12262,nEVAL,"OR")=0))</f>
      </c>
      <c r="I12262">
        <f>IF(DATOS!$I12262="","",IFERROR(VLOOKUP(DATOS!$I12262,CONFIG_ASIGNATURAS!$B$2:$J$91,9,FALSE()),""))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IF(DATOS!$A12263="",0,IF(CONFIG_METADATA!$B$4&lt;&gt;"OR+EX",--(DATOS!$G12263=CONFIG_METADATA!$B$4),IF(DATOS!$G12263="EX",1,IF(DATOS!$G12263="OR",--(COUNTIFS(nNIA,DATOS!$A12263,nCURSO,DATOS!$D12263,nESPEC,DATOS!$E12263,nASIG,DATOS!$I12263,nEVAL,"EX")=0),0))))</f>
      </c>
      <c r="H12263">
        <f>IF(DATOS!$G12263&lt;&gt;"EX",0,--(COUNTIFS(nNIA,DATOS!$A12263,nCURSO,DATOS!$D12263,nESPEC,DATOS!$E12263,nASIG,DATOS!$I12263,nEVAL,"OR")=0))</f>
      </c>
      <c r="I12263">
        <f>IF(DATOS!$I12263="","",IFERROR(VLOOKUP(DATOS!$I12263,CONFIG_ASIGNATURAS!$B$2:$J$91,9,FALSE()),""))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IF(DATOS!$A12264="",0,IF(CONFIG_METADATA!$B$4&lt;&gt;"OR+EX",--(DATOS!$G12264=CONFIG_METADATA!$B$4),IF(DATOS!$G12264="EX",1,IF(DATOS!$G12264="OR",--(COUNTIFS(nNIA,DATOS!$A12264,nCURSO,DATOS!$D12264,nESPEC,DATOS!$E12264,nASIG,DATOS!$I12264,nEVAL,"EX")=0),0))))</f>
      </c>
      <c r="H12264">
        <f>IF(DATOS!$G12264&lt;&gt;"EX",0,--(COUNTIFS(nNIA,DATOS!$A12264,nCURSO,DATOS!$D12264,nESPEC,DATOS!$E12264,nASIG,DATOS!$I12264,nEVAL,"OR")=0))</f>
      </c>
      <c r="I12264">
        <f>IF(DATOS!$I12264="","",IFERROR(VLOOKUP(DATOS!$I12264,CONFIG_ASIGNATURAS!$B$2:$J$91,9,FALSE()),""))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IF(DATOS!$A12265="",0,IF(CONFIG_METADATA!$B$4&lt;&gt;"OR+EX",--(DATOS!$G12265=CONFIG_METADATA!$B$4),IF(DATOS!$G12265="EX",1,IF(DATOS!$G12265="OR",--(COUNTIFS(nNIA,DATOS!$A12265,nCURSO,DATOS!$D12265,nESPEC,DATOS!$E12265,nASIG,DATOS!$I12265,nEVAL,"EX")=0),0))))</f>
      </c>
      <c r="H12265">
        <f>IF(DATOS!$G12265&lt;&gt;"EX",0,--(COUNTIFS(nNIA,DATOS!$A12265,nCURSO,DATOS!$D12265,nESPEC,DATOS!$E12265,nASIG,DATOS!$I12265,nEVAL,"OR")=0))</f>
      </c>
      <c r="I12265">
        <f>IF(DATOS!$I12265="","",IFERROR(VLOOKUP(DATOS!$I12265,CONFIG_ASIGNATURAS!$B$2:$J$91,9,FALSE()),""))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IF(DATOS!$A12266="",0,IF(CONFIG_METADATA!$B$4&lt;&gt;"OR+EX",--(DATOS!$G12266=CONFIG_METADATA!$B$4),IF(DATOS!$G12266="EX",1,IF(DATOS!$G12266="OR",--(COUNTIFS(nNIA,DATOS!$A12266,nCURSO,DATOS!$D12266,nESPEC,DATOS!$E12266,nASIG,DATOS!$I12266,nEVAL,"EX")=0),0))))</f>
      </c>
      <c r="H12266">
        <f>IF(DATOS!$G12266&lt;&gt;"EX",0,--(COUNTIFS(nNIA,DATOS!$A12266,nCURSO,DATOS!$D12266,nESPEC,DATOS!$E12266,nASIG,DATOS!$I12266,nEVAL,"OR")=0))</f>
      </c>
      <c r="I12266">
        <f>IF(DATOS!$I12266="","",IFERROR(VLOOKUP(DATOS!$I12266,CONFIG_ASIGNATURAS!$B$2:$J$91,9,FALSE()),""))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IF(DATOS!$A12267="",0,IF(CONFIG_METADATA!$B$4&lt;&gt;"OR+EX",--(DATOS!$G12267=CONFIG_METADATA!$B$4),IF(DATOS!$G12267="EX",1,IF(DATOS!$G12267="OR",--(COUNTIFS(nNIA,DATOS!$A12267,nCURSO,DATOS!$D12267,nESPEC,DATOS!$E12267,nASIG,DATOS!$I12267,nEVAL,"EX")=0),0))))</f>
      </c>
      <c r="H12267">
        <f>IF(DATOS!$G12267&lt;&gt;"EX",0,--(COUNTIFS(nNIA,DATOS!$A12267,nCURSO,DATOS!$D12267,nESPEC,DATOS!$E12267,nASIG,DATOS!$I12267,nEVAL,"OR")=0))</f>
      </c>
      <c r="I12267">
        <f>IF(DATOS!$I12267="","",IFERROR(VLOOKUP(DATOS!$I12267,CONFIG_ASIGNATURAS!$B$2:$J$91,9,FALSE()),""))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IF(DATOS!$A12268="",0,IF(CONFIG_METADATA!$B$4&lt;&gt;"OR+EX",--(DATOS!$G12268=CONFIG_METADATA!$B$4),IF(DATOS!$G12268="EX",1,IF(DATOS!$G12268="OR",--(COUNTIFS(nNIA,DATOS!$A12268,nCURSO,DATOS!$D12268,nESPEC,DATOS!$E12268,nASIG,DATOS!$I12268,nEVAL,"EX")=0),0))))</f>
      </c>
      <c r="H12268">
        <f>IF(DATOS!$G12268&lt;&gt;"EX",0,--(COUNTIFS(nNIA,DATOS!$A12268,nCURSO,DATOS!$D12268,nESPEC,DATOS!$E12268,nASIG,DATOS!$I12268,nEVAL,"OR")=0))</f>
      </c>
      <c r="I12268">
        <f>IF(DATOS!$I12268="","",IFERROR(VLOOKUP(DATOS!$I12268,CONFIG_ASIGNATURAS!$B$2:$J$91,9,FALSE()),""))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IF(DATOS!$A12269="",0,IF(CONFIG_METADATA!$B$4&lt;&gt;"OR+EX",--(DATOS!$G12269=CONFIG_METADATA!$B$4),IF(DATOS!$G12269="EX",1,IF(DATOS!$G12269="OR",--(COUNTIFS(nNIA,DATOS!$A12269,nCURSO,DATOS!$D12269,nESPEC,DATOS!$E12269,nASIG,DATOS!$I12269,nEVAL,"EX")=0),0))))</f>
      </c>
      <c r="H12269">
        <f>IF(DATOS!$G12269&lt;&gt;"EX",0,--(COUNTIFS(nNIA,DATOS!$A12269,nCURSO,DATOS!$D12269,nESPEC,DATOS!$E12269,nASIG,DATOS!$I12269,nEVAL,"OR")=0))</f>
      </c>
      <c r="I12269">
        <f>IF(DATOS!$I12269="","",IFERROR(VLOOKUP(DATOS!$I12269,CONFIG_ASIGNATURAS!$B$2:$J$91,9,FALSE()),""))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IF(DATOS!$A12270="",0,IF(CONFIG_METADATA!$B$4&lt;&gt;"OR+EX",--(DATOS!$G12270=CONFIG_METADATA!$B$4),IF(DATOS!$G12270="EX",1,IF(DATOS!$G12270="OR",--(COUNTIFS(nNIA,DATOS!$A12270,nCURSO,DATOS!$D12270,nESPEC,DATOS!$E12270,nASIG,DATOS!$I12270,nEVAL,"EX")=0),0))))</f>
      </c>
      <c r="H12270">
        <f>IF(DATOS!$G12270&lt;&gt;"EX",0,--(COUNTIFS(nNIA,DATOS!$A12270,nCURSO,DATOS!$D12270,nESPEC,DATOS!$E12270,nASIG,DATOS!$I12270,nEVAL,"OR")=0))</f>
      </c>
      <c r="I12270">
        <f>IF(DATOS!$I12270="","",IFERROR(VLOOKUP(DATOS!$I12270,CONFIG_ASIGNATURAS!$B$2:$J$91,9,FALSE()),""))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IF(DATOS!$A12271="",0,IF(CONFIG_METADATA!$B$4&lt;&gt;"OR+EX",--(DATOS!$G12271=CONFIG_METADATA!$B$4),IF(DATOS!$G12271="EX",1,IF(DATOS!$G12271="OR",--(COUNTIFS(nNIA,DATOS!$A12271,nCURSO,DATOS!$D12271,nESPEC,DATOS!$E12271,nASIG,DATOS!$I12271,nEVAL,"EX")=0),0))))</f>
      </c>
      <c r="H12271">
        <f>IF(DATOS!$G12271&lt;&gt;"EX",0,--(COUNTIFS(nNIA,DATOS!$A12271,nCURSO,DATOS!$D12271,nESPEC,DATOS!$E12271,nASIG,DATOS!$I12271,nEVAL,"OR")=0))</f>
      </c>
      <c r="I12271">
        <f>IF(DATOS!$I12271="","",IFERROR(VLOOKUP(DATOS!$I12271,CONFIG_ASIGNATURAS!$B$2:$J$91,9,FALSE()),""))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IF(DATOS!$A12272="",0,IF(CONFIG_METADATA!$B$4&lt;&gt;"OR+EX",--(DATOS!$G12272=CONFIG_METADATA!$B$4),IF(DATOS!$G12272="EX",1,IF(DATOS!$G12272="OR",--(COUNTIFS(nNIA,DATOS!$A12272,nCURSO,DATOS!$D12272,nESPEC,DATOS!$E12272,nASIG,DATOS!$I12272,nEVAL,"EX")=0),0))))</f>
      </c>
      <c r="H12272">
        <f>IF(DATOS!$G12272&lt;&gt;"EX",0,--(COUNTIFS(nNIA,DATOS!$A12272,nCURSO,DATOS!$D12272,nESPEC,DATOS!$E12272,nASIG,DATOS!$I12272,nEVAL,"OR")=0))</f>
      </c>
      <c r="I12272">
        <f>IF(DATOS!$I12272="","",IFERROR(VLOOKUP(DATOS!$I12272,CONFIG_ASIGNATURAS!$B$2:$J$91,9,FALSE()),""))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IF(DATOS!$A12273="",0,IF(CONFIG_METADATA!$B$4&lt;&gt;"OR+EX",--(DATOS!$G12273=CONFIG_METADATA!$B$4),IF(DATOS!$G12273="EX",1,IF(DATOS!$G12273="OR",--(COUNTIFS(nNIA,DATOS!$A12273,nCURSO,DATOS!$D12273,nESPEC,DATOS!$E12273,nASIG,DATOS!$I12273,nEVAL,"EX")=0),0))))</f>
      </c>
      <c r="H12273">
        <f>IF(DATOS!$G12273&lt;&gt;"EX",0,--(COUNTIFS(nNIA,DATOS!$A12273,nCURSO,DATOS!$D12273,nESPEC,DATOS!$E12273,nASIG,DATOS!$I12273,nEVAL,"OR")=0))</f>
      </c>
      <c r="I12273">
        <f>IF(DATOS!$I12273="","",IFERROR(VLOOKUP(DATOS!$I12273,CONFIG_ASIGNATURAS!$B$2:$J$91,9,FALSE()),""))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IF(DATOS!$A12274="",0,IF(CONFIG_METADATA!$B$4&lt;&gt;"OR+EX",--(DATOS!$G12274=CONFIG_METADATA!$B$4),IF(DATOS!$G12274="EX",1,IF(DATOS!$G12274="OR",--(COUNTIFS(nNIA,DATOS!$A12274,nCURSO,DATOS!$D12274,nESPEC,DATOS!$E12274,nASIG,DATOS!$I12274,nEVAL,"EX")=0),0))))</f>
      </c>
      <c r="H12274">
        <f>IF(DATOS!$G12274&lt;&gt;"EX",0,--(COUNTIFS(nNIA,DATOS!$A12274,nCURSO,DATOS!$D12274,nESPEC,DATOS!$E12274,nASIG,DATOS!$I12274,nEVAL,"OR")=0))</f>
      </c>
      <c r="I12274">
        <f>IF(DATOS!$I12274="","",IFERROR(VLOOKUP(DATOS!$I12274,CONFIG_ASIGNATURAS!$B$2:$J$91,9,FALSE()),""))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IF(DATOS!$A12275="",0,IF(CONFIG_METADATA!$B$4&lt;&gt;"OR+EX",--(DATOS!$G12275=CONFIG_METADATA!$B$4),IF(DATOS!$G12275="EX",1,IF(DATOS!$G12275="OR",--(COUNTIFS(nNIA,DATOS!$A12275,nCURSO,DATOS!$D12275,nESPEC,DATOS!$E12275,nASIG,DATOS!$I12275,nEVAL,"EX")=0),0))))</f>
      </c>
      <c r="H12275">
        <f>IF(DATOS!$G12275&lt;&gt;"EX",0,--(COUNTIFS(nNIA,DATOS!$A12275,nCURSO,DATOS!$D12275,nESPEC,DATOS!$E12275,nASIG,DATOS!$I12275,nEVAL,"OR")=0))</f>
      </c>
      <c r="I12275">
        <f>IF(DATOS!$I12275="","",IFERROR(VLOOKUP(DATOS!$I12275,CONFIG_ASIGNATURAS!$B$2:$J$91,9,FALSE()),""))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IF(DATOS!$A12276="",0,IF(CONFIG_METADATA!$B$4&lt;&gt;"OR+EX",--(DATOS!$G12276=CONFIG_METADATA!$B$4),IF(DATOS!$G12276="EX",1,IF(DATOS!$G12276="OR",--(COUNTIFS(nNIA,DATOS!$A12276,nCURSO,DATOS!$D12276,nESPEC,DATOS!$E12276,nASIG,DATOS!$I12276,nEVAL,"EX")=0),0))))</f>
      </c>
      <c r="H12276">
        <f>IF(DATOS!$G12276&lt;&gt;"EX",0,--(COUNTIFS(nNIA,DATOS!$A12276,nCURSO,DATOS!$D12276,nESPEC,DATOS!$E12276,nASIG,DATOS!$I12276,nEVAL,"OR")=0))</f>
      </c>
      <c r="I12276">
        <f>IF(DATOS!$I12276="","",IFERROR(VLOOKUP(DATOS!$I12276,CONFIG_ASIGNATURAS!$B$2:$J$91,9,FALSE()),""))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IF(DATOS!$A12277="",0,IF(CONFIG_METADATA!$B$4&lt;&gt;"OR+EX",--(DATOS!$G12277=CONFIG_METADATA!$B$4),IF(DATOS!$G12277="EX",1,IF(DATOS!$G12277="OR",--(COUNTIFS(nNIA,DATOS!$A12277,nCURSO,DATOS!$D12277,nESPEC,DATOS!$E12277,nASIG,DATOS!$I12277,nEVAL,"EX")=0),0))))</f>
      </c>
      <c r="H12277">
        <f>IF(DATOS!$G12277&lt;&gt;"EX",0,--(COUNTIFS(nNIA,DATOS!$A12277,nCURSO,DATOS!$D12277,nESPEC,DATOS!$E12277,nASIG,DATOS!$I12277,nEVAL,"OR")=0))</f>
      </c>
      <c r="I12277">
        <f>IF(DATOS!$I12277="","",IFERROR(VLOOKUP(DATOS!$I12277,CONFIG_ASIGNATURAS!$B$2:$J$91,9,FALSE()),""))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IF(DATOS!$A12278="",0,IF(CONFIG_METADATA!$B$4&lt;&gt;"OR+EX",--(DATOS!$G12278=CONFIG_METADATA!$B$4),IF(DATOS!$G12278="EX",1,IF(DATOS!$G12278="OR",--(COUNTIFS(nNIA,DATOS!$A12278,nCURSO,DATOS!$D12278,nESPEC,DATOS!$E12278,nASIG,DATOS!$I12278,nEVAL,"EX")=0),0))))</f>
      </c>
      <c r="H12278">
        <f>IF(DATOS!$G12278&lt;&gt;"EX",0,--(COUNTIFS(nNIA,DATOS!$A12278,nCURSO,DATOS!$D12278,nESPEC,DATOS!$E12278,nASIG,DATOS!$I12278,nEVAL,"OR")=0))</f>
      </c>
      <c r="I12278">
        <f>IF(DATOS!$I12278="","",IFERROR(VLOOKUP(DATOS!$I12278,CONFIG_ASIGNATURAS!$B$2:$J$91,9,FALSE()),""))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IF(DATOS!$A12279="",0,IF(CONFIG_METADATA!$B$4&lt;&gt;"OR+EX",--(DATOS!$G12279=CONFIG_METADATA!$B$4),IF(DATOS!$G12279="EX",1,IF(DATOS!$G12279="OR",--(COUNTIFS(nNIA,DATOS!$A12279,nCURSO,DATOS!$D12279,nESPEC,DATOS!$E12279,nASIG,DATOS!$I12279,nEVAL,"EX")=0),0))))</f>
      </c>
      <c r="H12279">
        <f>IF(DATOS!$G12279&lt;&gt;"EX",0,--(COUNTIFS(nNIA,DATOS!$A12279,nCURSO,DATOS!$D12279,nESPEC,DATOS!$E12279,nASIG,DATOS!$I12279,nEVAL,"OR")=0))</f>
      </c>
      <c r="I12279">
        <f>IF(DATOS!$I12279="","",IFERROR(VLOOKUP(DATOS!$I12279,CONFIG_ASIGNATURAS!$B$2:$J$91,9,FALSE()),""))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IF(DATOS!$A12280="",0,IF(CONFIG_METADATA!$B$4&lt;&gt;"OR+EX",--(DATOS!$G12280=CONFIG_METADATA!$B$4),IF(DATOS!$G12280="EX",1,IF(DATOS!$G12280="OR",--(COUNTIFS(nNIA,DATOS!$A12280,nCURSO,DATOS!$D12280,nESPEC,DATOS!$E12280,nASIG,DATOS!$I12280,nEVAL,"EX")=0),0))))</f>
      </c>
      <c r="H12280">
        <f>IF(DATOS!$G12280&lt;&gt;"EX",0,--(COUNTIFS(nNIA,DATOS!$A12280,nCURSO,DATOS!$D12280,nESPEC,DATOS!$E12280,nASIG,DATOS!$I12280,nEVAL,"OR")=0))</f>
      </c>
      <c r="I12280">
        <f>IF(DATOS!$I12280="","",IFERROR(VLOOKUP(DATOS!$I12280,CONFIG_ASIGNATURAS!$B$2:$J$91,9,FALSE()),""))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IF(DATOS!$A12281="",0,IF(CONFIG_METADATA!$B$4&lt;&gt;"OR+EX",--(DATOS!$G12281=CONFIG_METADATA!$B$4),IF(DATOS!$G12281="EX",1,IF(DATOS!$G12281="OR",--(COUNTIFS(nNIA,DATOS!$A12281,nCURSO,DATOS!$D12281,nESPEC,DATOS!$E12281,nASIG,DATOS!$I12281,nEVAL,"EX")=0),0))))</f>
      </c>
      <c r="H12281">
        <f>IF(DATOS!$G12281&lt;&gt;"EX",0,--(COUNTIFS(nNIA,DATOS!$A12281,nCURSO,DATOS!$D12281,nESPEC,DATOS!$E12281,nASIG,DATOS!$I12281,nEVAL,"OR")=0))</f>
      </c>
      <c r="I12281">
        <f>IF(DATOS!$I12281="","",IFERROR(VLOOKUP(DATOS!$I12281,CONFIG_ASIGNATURAS!$B$2:$J$91,9,FALSE()),""))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IF(DATOS!$A12282="",0,IF(CONFIG_METADATA!$B$4&lt;&gt;"OR+EX",--(DATOS!$G12282=CONFIG_METADATA!$B$4),IF(DATOS!$G12282="EX",1,IF(DATOS!$G12282="OR",--(COUNTIFS(nNIA,DATOS!$A12282,nCURSO,DATOS!$D12282,nESPEC,DATOS!$E12282,nASIG,DATOS!$I12282,nEVAL,"EX")=0),0))))</f>
      </c>
      <c r="H12282">
        <f>IF(DATOS!$G12282&lt;&gt;"EX",0,--(COUNTIFS(nNIA,DATOS!$A12282,nCURSO,DATOS!$D12282,nESPEC,DATOS!$E12282,nASIG,DATOS!$I12282,nEVAL,"OR")=0))</f>
      </c>
      <c r="I12282">
        <f>IF(DATOS!$I12282="","",IFERROR(VLOOKUP(DATOS!$I12282,CONFIG_ASIGNATURAS!$B$2:$J$91,9,FALSE()),""))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IF(DATOS!$A12283="",0,IF(CONFIG_METADATA!$B$4&lt;&gt;"OR+EX",--(DATOS!$G12283=CONFIG_METADATA!$B$4),IF(DATOS!$G12283="EX",1,IF(DATOS!$G12283="OR",--(COUNTIFS(nNIA,DATOS!$A12283,nCURSO,DATOS!$D12283,nESPEC,DATOS!$E12283,nASIG,DATOS!$I12283,nEVAL,"EX")=0),0))))</f>
      </c>
      <c r="H12283">
        <f>IF(DATOS!$G12283&lt;&gt;"EX",0,--(COUNTIFS(nNIA,DATOS!$A12283,nCURSO,DATOS!$D12283,nESPEC,DATOS!$E12283,nASIG,DATOS!$I12283,nEVAL,"OR")=0))</f>
      </c>
      <c r="I12283">
        <f>IF(DATOS!$I12283="","",IFERROR(VLOOKUP(DATOS!$I12283,CONFIG_ASIGNATURAS!$B$2:$J$91,9,FALSE()),""))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IF(DATOS!$A12284="",0,IF(CONFIG_METADATA!$B$4&lt;&gt;"OR+EX",--(DATOS!$G12284=CONFIG_METADATA!$B$4),IF(DATOS!$G12284="EX",1,IF(DATOS!$G12284="OR",--(COUNTIFS(nNIA,DATOS!$A12284,nCURSO,DATOS!$D12284,nESPEC,DATOS!$E12284,nASIG,DATOS!$I12284,nEVAL,"EX")=0),0))))</f>
      </c>
      <c r="H12284">
        <f>IF(DATOS!$G12284&lt;&gt;"EX",0,--(COUNTIFS(nNIA,DATOS!$A12284,nCURSO,DATOS!$D12284,nESPEC,DATOS!$E12284,nASIG,DATOS!$I12284,nEVAL,"OR")=0))</f>
      </c>
      <c r="I12284">
        <f>IF(DATOS!$I12284="","",IFERROR(VLOOKUP(DATOS!$I12284,CONFIG_ASIGNATURAS!$B$2:$J$91,9,FALSE()),""))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IF(DATOS!$A12285="",0,IF(CONFIG_METADATA!$B$4&lt;&gt;"OR+EX",--(DATOS!$G12285=CONFIG_METADATA!$B$4),IF(DATOS!$G12285="EX",1,IF(DATOS!$G12285="OR",--(COUNTIFS(nNIA,DATOS!$A12285,nCURSO,DATOS!$D12285,nESPEC,DATOS!$E12285,nASIG,DATOS!$I12285,nEVAL,"EX")=0),0))))</f>
      </c>
      <c r="H12285">
        <f>IF(DATOS!$G12285&lt;&gt;"EX",0,--(COUNTIFS(nNIA,DATOS!$A12285,nCURSO,DATOS!$D12285,nESPEC,DATOS!$E12285,nASIG,DATOS!$I12285,nEVAL,"OR")=0))</f>
      </c>
      <c r="I12285">
        <f>IF(DATOS!$I12285="","",IFERROR(VLOOKUP(DATOS!$I12285,CONFIG_ASIGNATURAS!$B$2:$J$91,9,FALSE()),""))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IF(DATOS!$A12286="",0,IF(CONFIG_METADATA!$B$4&lt;&gt;"OR+EX",--(DATOS!$G12286=CONFIG_METADATA!$B$4),IF(DATOS!$G12286="EX",1,IF(DATOS!$G12286="OR",--(COUNTIFS(nNIA,DATOS!$A12286,nCURSO,DATOS!$D12286,nESPEC,DATOS!$E12286,nASIG,DATOS!$I12286,nEVAL,"EX")=0),0))))</f>
      </c>
      <c r="H12286">
        <f>IF(DATOS!$G12286&lt;&gt;"EX",0,--(COUNTIFS(nNIA,DATOS!$A12286,nCURSO,DATOS!$D12286,nESPEC,DATOS!$E12286,nASIG,DATOS!$I12286,nEVAL,"OR")=0))</f>
      </c>
      <c r="I12286">
        <f>IF(DATOS!$I12286="","",IFERROR(VLOOKUP(DATOS!$I12286,CONFIG_ASIGNATURAS!$B$2:$J$91,9,FALSE()),""))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IF(DATOS!$A12287="",0,IF(CONFIG_METADATA!$B$4&lt;&gt;"OR+EX",--(DATOS!$G12287=CONFIG_METADATA!$B$4),IF(DATOS!$G12287="EX",1,IF(DATOS!$G12287="OR",--(COUNTIFS(nNIA,DATOS!$A12287,nCURSO,DATOS!$D12287,nESPEC,DATOS!$E12287,nASIG,DATOS!$I12287,nEVAL,"EX")=0),0))))</f>
      </c>
      <c r="H12287">
        <f>IF(DATOS!$G12287&lt;&gt;"EX",0,--(COUNTIFS(nNIA,DATOS!$A12287,nCURSO,DATOS!$D12287,nESPEC,DATOS!$E12287,nASIG,DATOS!$I12287,nEVAL,"OR")=0))</f>
      </c>
      <c r="I12287">
        <f>IF(DATOS!$I12287="","",IFERROR(VLOOKUP(DATOS!$I12287,CONFIG_ASIGNATURAS!$B$2:$J$91,9,FALSE()),""))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IF(DATOS!$A12288="",0,IF(CONFIG_METADATA!$B$4&lt;&gt;"OR+EX",--(DATOS!$G12288=CONFIG_METADATA!$B$4),IF(DATOS!$G12288="EX",1,IF(DATOS!$G12288="OR",--(COUNTIFS(nNIA,DATOS!$A12288,nCURSO,DATOS!$D12288,nESPEC,DATOS!$E12288,nASIG,DATOS!$I12288,nEVAL,"EX")=0),0))))</f>
      </c>
      <c r="H12288">
        <f>IF(DATOS!$G12288&lt;&gt;"EX",0,--(COUNTIFS(nNIA,DATOS!$A12288,nCURSO,DATOS!$D12288,nESPEC,DATOS!$E12288,nASIG,DATOS!$I12288,nEVAL,"OR")=0))</f>
      </c>
      <c r="I12288">
        <f>IF(DATOS!$I12288="","",IFERROR(VLOOKUP(DATOS!$I12288,CONFIG_ASIGNATURAS!$B$2:$J$91,9,FALSE()),""))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IF(DATOS!$A12289="",0,IF(CONFIG_METADATA!$B$4&lt;&gt;"OR+EX",--(DATOS!$G12289=CONFIG_METADATA!$B$4),IF(DATOS!$G12289="EX",1,IF(DATOS!$G12289="OR",--(COUNTIFS(nNIA,DATOS!$A12289,nCURSO,DATOS!$D12289,nESPEC,DATOS!$E12289,nASIG,DATOS!$I12289,nEVAL,"EX")=0),0))))</f>
      </c>
      <c r="H12289">
        <f>IF(DATOS!$G12289&lt;&gt;"EX",0,--(COUNTIFS(nNIA,DATOS!$A12289,nCURSO,DATOS!$D12289,nESPEC,DATOS!$E12289,nASIG,DATOS!$I12289,nEVAL,"OR")=0))</f>
      </c>
      <c r="I12289">
        <f>IF(DATOS!$I12289="","",IFERROR(VLOOKUP(DATOS!$I12289,CONFIG_ASIGNATURAS!$B$2:$J$91,9,FALSE()),""))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IF(DATOS!$A12290="",0,IF(CONFIG_METADATA!$B$4&lt;&gt;"OR+EX",--(DATOS!$G12290=CONFIG_METADATA!$B$4),IF(DATOS!$G12290="EX",1,IF(DATOS!$G12290="OR",--(COUNTIFS(nNIA,DATOS!$A12290,nCURSO,DATOS!$D12290,nESPEC,DATOS!$E12290,nASIG,DATOS!$I12290,nEVAL,"EX")=0),0))))</f>
      </c>
      <c r="H12290">
        <f>IF(DATOS!$G12290&lt;&gt;"EX",0,--(COUNTIFS(nNIA,DATOS!$A12290,nCURSO,DATOS!$D12290,nESPEC,DATOS!$E12290,nASIG,DATOS!$I12290,nEVAL,"OR")=0))</f>
      </c>
      <c r="I12290">
        <f>IF(DATOS!$I12290="","",IFERROR(VLOOKUP(DATOS!$I12290,CONFIG_ASIGNATURAS!$B$2:$J$91,9,FALSE()),""))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IF(DATOS!$A12291="",0,IF(CONFIG_METADATA!$B$4&lt;&gt;"OR+EX",--(DATOS!$G12291=CONFIG_METADATA!$B$4),IF(DATOS!$G12291="EX",1,IF(DATOS!$G12291="OR",--(COUNTIFS(nNIA,DATOS!$A12291,nCURSO,DATOS!$D12291,nESPEC,DATOS!$E12291,nASIG,DATOS!$I12291,nEVAL,"EX")=0),0))))</f>
      </c>
      <c r="H12291">
        <f>IF(DATOS!$G12291&lt;&gt;"EX",0,--(COUNTIFS(nNIA,DATOS!$A12291,nCURSO,DATOS!$D12291,nESPEC,DATOS!$E12291,nASIG,DATOS!$I12291,nEVAL,"OR")=0))</f>
      </c>
      <c r="I12291">
        <f>IF(DATOS!$I12291="","",IFERROR(VLOOKUP(DATOS!$I12291,CONFIG_ASIGNATURAS!$B$2:$J$91,9,FALSE()),""))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IF(DATOS!$A12292="",0,IF(CONFIG_METADATA!$B$4&lt;&gt;"OR+EX",--(DATOS!$G12292=CONFIG_METADATA!$B$4),IF(DATOS!$G12292="EX",1,IF(DATOS!$G12292="OR",--(COUNTIFS(nNIA,DATOS!$A12292,nCURSO,DATOS!$D12292,nESPEC,DATOS!$E12292,nASIG,DATOS!$I12292,nEVAL,"EX")=0),0))))</f>
      </c>
      <c r="H12292">
        <f>IF(DATOS!$G12292&lt;&gt;"EX",0,--(COUNTIFS(nNIA,DATOS!$A12292,nCURSO,DATOS!$D12292,nESPEC,DATOS!$E12292,nASIG,DATOS!$I12292,nEVAL,"OR")=0))</f>
      </c>
      <c r="I12292">
        <f>IF(DATOS!$I12292="","",IFERROR(VLOOKUP(DATOS!$I12292,CONFIG_ASIGNATURAS!$B$2:$J$91,9,FALSE()),""))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IF(DATOS!$A12293="",0,IF(CONFIG_METADATA!$B$4&lt;&gt;"OR+EX",--(DATOS!$G12293=CONFIG_METADATA!$B$4),IF(DATOS!$G12293="EX",1,IF(DATOS!$G12293="OR",--(COUNTIFS(nNIA,DATOS!$A12293,nCURSO,DATOS!$D12293,nESPEC,DATOS!$E12293,nASIG,DATOS!$I12293,nEVAL,"EX")=0),0))))</f>
      </c>
      <c r="H12293">
        <f>IF(DATOS!$G12293&lt;&gt;"EX",0,--(COUNTIFS(nNIA,DATOS!$A12293,nCURSO,DATOS!$D12293,nESPEC,DATOS!$E12293,nASIG,DATOS!$I12293,nEVAL,"OR")=0))</f>
      </c>
      <c r="I12293">
        <f>IF(DATOS!$I12293="","",IFERROR(VLOOKUP(DATOS!$I12293,CONFIG_ASIGNATURAS!$B$2:$J$91,9,FALSE()),""))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IF(DATOS!$A12294="",0,IF(CONFIG_METADATA!$B$4&lt;&gt;"OR+EX",--(DATOS!$G12294=CONFIG_METADATA!$B$4),IF(DATOS!$G12294="EX",1,IF(DATOS!$G12294="OR",--(COUNTIFS(nNIA,DATOS!$A12294,nCURSO,DATOS!$D12294,nESPEC,DATOS!$E12294,nASIG,DATOS!$I12294,nEVAL,"EX")=0),0))))</f>
      </c>
      <c r="H12294">
        <f>IF(DATOS!$G12294&lt;&gt;"EX",0,--(COUNTIFS(nNIA,DATOS!$A12294,nCURSO,DATOS!$D12294,nESPEC,DATOS!$E12294,nASIG,DATOS!$I12294,nEVAL,"OR")=0))</f>
      </c>
      <c r="I12294">
        <f>IF(DATOS!$I12294="","",IFERROR(VLOOKUP(DATOS!$I12294,CONFIG_ASIGNATURAS!$B$2:$J$91,9,FALSE()),""))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IF(DATOS!$A12295="",0,IF(CONFIG_METADATA!$B$4&lt;&gt;"OR+EX",--(DATOS!$G12295=CONFIG_METADATA!$B$4),IF(DATOS!$G12295="EX",1,IF(DATOS!$G12295="OR",--(COUNTIFS(nNIA,DATOS!$A12295,nCURSO,DATOS!$D12295,nESPEC,DATOS!$E12295,nASIG,DATOS!$I12295,nEVAL,"EX")=0),0))))</f>
      </c>
      <c r="H12295">
        <f>IF(DATOS!$G12295&lt;&gt;"EX",0,--(COUNTIFS(nNIA,DATOS!$A12295,nCURSO,DATOS!$D12295,nESPEC,DATOS!$E12295,nASIG,DATOS!$I12295,nEVAL,"OR")=0))</f>
      </c>
      <c r="I12295">
        <f>IF(DATOS!$I12295="","",IFERROR(VLOOKUP(DATOS!$I12295,CONFIG_ASIGNATURAS!$B$2:$J$91,9,FALSE()),""))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IF(DATOS!$A12296="",0,IF(CONFIG_METADATA!$B$4&lt;&gt;"OR+EX",--(DATOS!$G12296=CONFIG_METADATA!$B$4),IF(DATOS!$G12296="EX",1,IF(DATOS!$G12296="OR",--(COUNTIFS(nNIA,DATOS!$A12296,nCURSO,DATOS!$D12296,nESPEC,DATOS!$E12296,nASIG,DATOS!$I12296,nEVAL,"EX")=0),0))))</f>
      </c>
      <c r="H12296">
        <f>IF(DATOS!$G12296&lt;&gt;"EX",0,--(COUNTIFS(nNIA,DATOS!$A12296,nCURSO,DATOS!$D12296,nESPEC,DATOS!$E12296,nASIG,DATOS!$I12296,nEVAL,"OR")=0))</f>
      </c>
      <c r="I12296">
        <f>IF(DATOS!$I12296="","",IFERROR(VLOOKUP(DATOS!$I12296,CONFIG_ASIGNATURAS!$B$2:$J$91,9,FALSE()),""))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IF(DATOS!$A12297="",0,IF(CONFIG_METADATA!$B$4&lt;&gt;"OR+EX",--(DATOS!$G12297=CONFIG_METADATA!$B$4),IF(DATOS!$G12297="EX",1,IF(DATOS!$G12297="OR",--(COUNTIFS(nNIA,DATOS!$A12297,nCURSO,DATOS!$D12297,nESPEC,DATOS!$E12297,nASIG,DATOS!$I12297,nEVAL,"EX")=0),0))))</f>
      </c>
      <c r="H12297">
        <f>IF(DATOS!$G12297&lt;&gt;"EX",0,--(COUNTIFS(nNIA,DATOS!$A12297,nCURSO,DATOS!$D12297,nESPEC,DATOS!$E12297,nASIG,DATOS!$I12297,nEVAL,"OR")=0))</f>
      </c>
      <c r="I12297">
        <f>IF(DATOS!$I12297="","",IFERROR(VLOOKUP(DATOS!$I12297,CONFIG_ASIGNATURAS!$B$2:$J$91,9,FALSE()),""))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IF(DATOS!$A12298="",0,IF(CONFIG_METADATA!$B$4&lt;&gt;"OR+EX",--(DATOS!$G12298=CONFIG_METADATA!$B$4),IF(DATOS!$G12298="EX",1,IF(DATOS!$G12298="OR",--(COUNTIFS(nNIA,DATOS!$A12298,nCURSO,DATOS!$D12298,nESPEC,DATOS!$E12298,nASIG,DATOS!$I12298,nEVAL,"EX")=0),0))))</f>
      </c>
      <c r="H12298">
        <f>IF(DATOS!$G12298&lt;&gt;"EX",0,--(COUNTIFS(nNIA,DATOS!$A12298,nCURSO,DATOS!$D12298,nESPEC,DATOS!$E12298,nASIG,DATOS!$I12298,nEVAL,"OR")=0))</f>
      </c>
      <c r="I12298">
        <f>IF(DATOS!$I12298="","",IFERROR(VLOOKUP(DATOS!$I12298,CONFIG_ASIGNATURAS!$B$2:$J$91,9,FALSE()),""))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IF(DATOS!$A12299="",0,IF(CONFIG_METADATA!$B$4&lt;&gt;"OR+EX",--(DATOS!$G12299=CONFIG_METADATA!$B$4),IF(DATOS!$G12299="EX",1,IF(DATOS!$G12299="OR",--(COUNTIFS(nNIA,DATOS!$A12299,nCURSO,DATOS!$D12299,nESPEC,DATOS!$E12299,nASIG,DATOS!$I12299,nEVAL,"EX")=0),0))))</f>
      </c>
      <c r="H12299">
        <f>IF(DATOS!$G12299&lt;&gt;"EX",0,--(COUNTIFS(nNIA,DATOS!$A12299,nCURSO,DATOS!$D12299,nESPEC,DATOS!$E12299,nASIG,DATOS!$I12299,nEVAL,"OR")=0))</f>
      </c>
      <c r="I12299">
        <f>IF(DATOS!$I12299="","",IFERROR(VLOOKUP(DATOS!$I12299,CONFIG_ASIGNATURAS!$B$2:$J$91,9,FALSE()),""))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IF(DATOS!$A12300="",0,IF(CONFIG_METADATA!$B$4&lt;&gt;"OR+EX",--(DATOS!$G12300=CONFIG_METADATA!$B$4),IF(DATOS!$G12300="EX",1,IF(DATOS!$G12300="OR",--(COUNTIFS(nNIA,DATOS!$A12300,nCURSO,DATOS!$D12300,nESPEC,DATOS!$E12300,nASIG,DATOS!$I12300,nEVAL,"EX")=0),0))))</f>
      </c>
      <c r="H12300">
        <f>IF(DATOS!$G12300&lt;&gt;"EX",0,--(COUNTIFS(nNIA,DATOS!$A12300,nCURSO,DATOS!$D12300,nESPEC,DATOS!$E12300,nASIG,DATOS!$I12300,nEVAL,"OR")=0))</f>
      </c>
      <c r="I12300">
        <f>IF(DATOS!$I12300="","",IFERROR(VLOOKUP(DATOS!$I12300,CONFIG_ASIGNATURAS!$B$2:$J$91,9,FALSE()),""))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IF(DATOS!$A12301="",0,IF(CONFIG_METADATA!$B$4&lt;&gt;"OR+EX",--(DATOS!$G12301=CONFIG_METADATA!$B$4),IF(DATOS!$G12301="EX",1,IF(DATOS!$G12301="OR",--(COUNTIFS(nNIA,DATOS!$A12301,nCURSO,DATOS!$D12301,nESPEC,DATOS!$E12301,nASIG,DATOS!$I12301,nEVAL,"EX")=0),0))))</f>
      </c>
      <c r="H12301">
        <f>IF(DATOS!$G12301&lt;&gt;"EX",0,--(COUNTIFS(nNIA,DATOS!$A12301,nCURSO,DATOS!$D12301,nESPEC,DATOS!$E12301,nASIG,DATOS!$I12301,nEVAL,"OR")=0))</f>
      </c>
      <c r="I12301">
        <f>IF(DATOS!$I12301="","",IFERROR(VLOOKUP(DATOS!$I12301,CONFIG_ASIGNATURAS!$B$2:$J$91,9,FALSE()),""))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IF(DATOS!$A12302="",0,IF(CONFIG_METADATA!$B$4&lt;&gt;"OR+EX",--(DATOS!$G12302=CONFIG_METADATA!$B$4),IF(DATOS!$G12302="EX",1,IF(DATOS!$G12302="OR",--(COUNTIFS(nNIA,DATOS!$A12302,nCURSO,DATOS!$D12302,nESPEC,DATOS!$E12302,nASIG,DATOS!$I12302,nEVAL,"EX")=0),0))))</f>
      </c>
      <c r="H12302">
        <f>IF(DATOS!$G12302&lt;&gt;"EX",0,--(COUNTIFS(nNIA,DATOS!$A12302,nCURSO,DATOS!$D12302,nESPEC,DATOS!$E12302,nASIG,DATOS!$I12302,nEVAL,"OR")=0))</f>
      </c>
      <c r="I12302">
        <f>IF(DATOS!$I12302="","",IFERROR(VLOOKUP(DATOS!$I12302,CONFIG_ASIGNATURAS!$B$2:$J$91,9,FALSE()),""))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IF(DATOS!$A12303="",0,IF(CONFIG_METADATA!$B$4&lt;&gt;"OR+EX",--(DATOS!$G12303=CONFIG_METADATA!$B$4),IF(DATOS!$G12303="EX",1,IF(DATOS!$G12303="OR",--(COUNTIFS(nNIA,DATOS!$A12303,nCURSO,DATOS!$D12303,nESPEC,DATOS!$E12303,nASIG,DATOS!$I12303,nEVAL,"EX")=0),0))))</f>
      </c>
      <c r="H12303">
        <f>IF(DATOS!$G12303&lt;&gt;"EX",0,--(COUNTIFS(nNIA,DATOS!$A12303,nCURSO,DATOS!$D12303,nESPEC,DATOS!$E12303,nASIG,DATOS!$I12303,nEVAL,"OR")=0))</f>
      </c>
      <c r="I12303">
        <f>IF(DATOS!$I12303="","",IFERROR(VLOOKUP(DATOS!$I12303,CONFIG_ASIGNATURAS!$B$2:$J$91,9,FALSE()),""))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IF(DATOS!$A12304="",0,IF(CONFIG_METADATA!$B$4&lt;&gt;"OR+EX",--(DATOS!$G12304=CONFIG_METADATA!$B$4),IF(DATOS!$G12304="EX",1,IF(DATOS!$G12304="OR",--(COUNTIFS(nNIA,DATOS!$A12304,nCURSO,DATOS!$D12304,nESPEC,DATOS!$E12304,nASIG,DATOS!$I12304,nEVAL,"EX")=0),0))))</f>
      </c>
      <c r="H12304">
        <f>IF(DATOS!$G12304&lt;&gt;"EX",0,--(COUNTIFS(nNIA,DATOS!$A12304,nCURSO,DATOS!$D12304,nESPEC,DATOS!$E12304,nASIG,DATOS!$I12304,nEVAL,"OR")=0))</f>
      </c>
      <c r="I12304">
        <f>IF(DATOS!$I12304="","",IFERROR(VLOOKUP(DATOS!$I12304,CONFIG_ASIGNATURAS!$B$2:$J$91,9,FALSE()),""))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IF(DATOS!$A12305="",0,IF(CONFIG_METADATA!$B$4&lt;&gt;"OR+EX",--(DATOS!$G12305=CONFIG_METADATA!$B$4),IF(DATOS!$G12305="EX",1,IF(DATOS!$G12305="OR",--(COUNTIFS(nNIA,DATOS!$A12305,nCURSO,DATOS!$D12305,nESPEC,DATOS!$E12305,nASIG,DATOS!$I12305,nEVAL,"EX")=0),0))))</f>
      </c>
      <c r="H12305">
        <f>IF(DATOS!$G12305&lt;&gt;"EX",0,--(COUNTIFS(nNIA,DATOS!$A12305,nCURSO,DATOS!$D12305,nESPEC,DATOS!$E12305,nASIG,DATOS!$I12305,nEVAL,"OR")=0))</f>
      </c>
      <c r="I12305">
        <f>IF(DATOS!$I12305="","",IFERROR(VLOOKUP(DATOS!$I12305,CONFIG_ASIGNATURAS!$B$2:$J$91,9,FALSE()),""))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IF(DATOS!$A12306="",0,IF(CONFIG_METADATA!$B$4&lt;&gt;"OR+EX",--(DATOS!$G12306=CONFIG_METADATA!$B$4),IF(DATOS!$G12306="EX",1,IF(DATOS!$G12306="OR",--(COUNTIFS(nNIA,DATOS!$A12306,nCURSO,DATOS!$D12306,nESPEC,DATOS!$E12306,nASIG,DATOS!$I12306,nEVAL,"EX")=0),0))))</f>
      </c>
      <c r="H12306">
        <f>IF(DATOS!$G12306&lt;&gt;"EX",0,--(COUNTIFS(nNIA,DATOS!$A12306,nCURSO,DATOS!$D12306,nESPEC,DATOS!$E12306,nASIG,DATOS!$I12306,nEVAL,"OR")=0))</f>
      </c>
      <c r="I12306">
        <f>IF(DATOS!$I12306="","",IFERROR(VLOOKUP(DATOS!$I12306,CONFIG_ASIGNATURAS!$B$2:$J$91,9,FALSE()),""))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IF(DATOS!$A12307="",0,IF(CONFIG_METADATA!$B$4&lt;&gt;"OR+EX",--(DATOS!$G12307=CONFIG_METADATA!$B$4),IF(DATOS!$G12307="EX",1,IF(DATOS!$G12307="OR",--(COUNTIFS(nNIA,DATOS!$A12307,nCURSO,DATOS!$D12307,nESPEC,DATOS!$E12307,nASIG,DATOS!$I12307,nEVAL,"EX")=0),0))))</f>
      </c>
      <c r="H12307">
        <f>IF(DATOS!$G12307&lt;&gt;"EX",0,--(COUNTIFS(nNIA,DATOS!$A12307,nCURSO,DATOS!$D12307,nESPEC,DATOS!$E12307,nASIG,DATOS!$I12307,nEVAL,"OR")=0))</f>
      </c>
      <c r="I12307">
        <f>IF(DATOS!$I12307="","",IFERROR(VLOOKUP(DATOS!$I12307,CONFIG_ASIGNATURAS!$B$2:$J$91,9,FALSE()),""))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IF(DATOS!$A12308="",0,IF(CONFIG_METADATA!$B$4&lt;&gt;"OR+EX",--(DATOS!$G12308=CONFIG_METADATA!$B$4),IF(DATOS!$G12308="EX",1,IF(DATOS!$G12308="OR",--(COUNTIFS(nNIA,DATOS!$A12308,nCURSO,DATOS!$D12308,nESPEC,DATOS!$E12308,nASIG,DATOS!$I12308,nEVAL,"EX")=0),0))))</f>
      </c>
      <c r="H12308">
        <f>IF(DATOS!$G12308&lt;&gt;"EX",0,--(COUNTIFS(nNIA,DATOS!$A12308,nCURSO,DATOS!$D12308,nESPEC,DATOS!$E12308,nASIG,DATOS!$I12308,nEVAL,"OR")=0))</f>
      </c>
      <c r="I12308">
        <f>IF(DATOS!$I12308="","",IFERROR(VLOOKUP(DATOS!$I12308,CONFIG_ASIGNATURAS!$B$2:$J$91,9,FALSE()),""))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IF(DATOS!$A12309="",0,IF(CONFIG_METADATA!$B$4&lt;&gt;"OR+EX",--(DATOS!$G12309=CONFIG_METADATA!$B$4),IF(DATOS!$G12309="EX",1,IF(DATOS!$G12309="OR",--(COUNTIFS(nNIA,DATOS!$A12309,nCURSO,DATOS!$D12309,nESPEC,DATOS!$E12309,nASIG,DATOS!$I12309,nEVAL,"EX")=0),0))))</f>
      </c>
      <c r="H12309">
        <f>IF(DATOS!$G12309&lt;&gt;"EX",0,--(COUNTIFS(nNIA,DATOS!$A12309,nCURSO,DATOS!$D12309,nESPEC,DATOS!$E12309,nASIG,DATOS!$I12309,nEVAL,"OR")=0))</f>
      </c>
      <c r="I12309">
        <f>IF(DATOS!$I12309="","",IFERROR(VLOOKUP(DATOS!$I12309,CONFIG_ASIGNATURAS!$B$2:$J$91,9,FALSE()),""))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IF(DATOS!$A12310="",0,IF(CONFIG_METADATA!$B$4&lt;&gt;"OR+EX",--(DATOS!$G12310=CONFIG_METADATA!$B$4),IF(DATOS!$G12310="EX",1,IF(DATOS!$G12310="OR",--(COUNTIFS(nNIA,DATOS!$A12310,nCURSO,DATOS!$D12310,nESPEC,DATOS!$E12310,nASIG,DATOS!$I12310,nEVAL,"EX")=0),0))))</f>
      </c>
      <c r="H12310">
        <f>IF(DATOS!$G12310&lt;&gt;"EX",0,--(COUNTIFS(nNIA,DATOS!$A12310,nCURSO,DATOS!$D12310,nESPEC,DATOS!$E12310,nASIG,DATOS!$I12310,nEVAL,"OR")=0))</f>
      </c>
      <c r="I12310">
        <f>IF(DATOS!$I12310="","",IFERROR(VLOOKUP(DATOS!$I12310,CONFIG_ASIGNATURAS!$B$2:$J$91,9,FALSE()),""))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IF(DATOS!$A12311="",0,IF(CONFIG_METADATA!$B$4&lt;&gt;"OR+EX",--(DATOS!$G12311=CONFIG_METADATA!$B$4),IF(DATOS!$G12311="EX",1,IF(DATOS!$G12311="OR",--(COUNTIFS(nNIA,DATOS!$A12311,nCURSO,DATOS!$D12311,nESPEC,DATOS!$E12311,nASIG,DATOS!$I12311,nEVAL,"EX")=0),0))))</f>
      </c>
      <c r="H12311">
        <f>IF(DATOS!$G12311&lt;&gt;"EX",0,--(COUNTIFS(nNIA,DATOS!$A12311,nCURSO,DATOS!$D12311,nESPEC,DATOS!$E12311,nASIG,DATOS!$I12311,nEVAL,"OR")=0))</f>
      </c>
      <c r="I12311">
        <f>IF(DATOS!$I12311="","",IFERROR(VLOOKUP(DATOS!$I12311,CONFIG_ASIGNATURAS!$B$2:$J$91,9,FALSE()),""))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IF(DATOS!$A12312="",0,IF(CONFIG_METADATA!$B$4&lt;&gt;"OR+EX",--(DATOS!$G12312=CONFIG_METADATA!$B$4),IF(DATOS!$G12312="EX",1,IF(DATOS!$G12312="OR",--(COUNTIFS(nNIA,DATOS!$A12312,nCURSO,DATOS!$D12312,nESPEC,DATOS!$E12312,nASIG,DATOS!$I12312,nEVAL,"EX")=0),0))))</f>
      </c>
      <c r="H12312">
        <f>IF(DATOS!$G12312&lt;&gt;"EX",0,--(COUNTIFS(nNIA,DATOS!$A12312,nCURSO,DATOS!$D12312,nESPEC,DATOS!$E12312,nASIG,DATOS!$I12312,nEVAL,"OR")=0))</f>
      </c>
      <c r="I12312">
        <f>IF(DATOS!$I12312="","",IFERROR(VLOOKUP(DATOS!$I12312,CONFIG_ASIGNATURAS!$B$2:$J$91,9,FALSE()),""))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IF(DATOS!$A12313="",0,IF(CONFIG_METADATA!$B$4&lt;&gt;"OR+EX",--(DATOS!$G12313=CONFIG_METADATA!$B$4),IF(DATOS!$G12313="EX",1,IF(DATOS!$G12313="OR",--(COUNTIFS(nNIA,DATOS!$A12313,nCURSO,DATOS!$D12313,nESPEC,DATOS!$E12313,nASIG,DATOS!$I12313,nEVAL,"EX")=0),0))))</f>
      </c>
      <c r="H12313">
        <f>IF(DATOS!$G12313&lt;&gt;"EX",0,--(COUNTIFS(nNIA,DATOS!$A12313,nCURSO,DATOS!$D12313,nESPEC,DATOS!$E12313,nASIG,DATOS!$I12313,nEVAL,"OR")=0))</f>
      </c>
      <c r="I12313">
        <f>IF(DATOS!$I12313="","",IFERROR(VLOOKUP(DATOS!$I12313,CONFIG_ASIGNATURAS!$B$2:$J$91,9,FALSE()),""))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IF(DATOS!$A12314="",0,IF(CONFIG_METADATA!$B$4&lt;&gt;"OR+EX",--(DATOS!$G12314=CONFIG_METADATA!$B$4),IF(DATOS!$G12314="EX",1,IF(DATOS!$G12314="OR",--(COUNTIFS(nNIA,DATOS!$A12314,nCURSO,DATOS!$D12314,nESPEC,DATOS!$E12314,nASIG,DATOS!$I12314,nEVAL,"EX")=0),0))))</f>
      </c>
      <c r="H12314">
        <f>IF(DATOS!$G12314&lt;&gt;"EX",0,--(COUNTIFS(nNIA,DATOS!$A12314,nCURSO,DATOS!$D12314,nESPEC,DATOS!$E12314,nASIG,DATOS!$I12314,nEVAL,"OR")=0))</f>
      </c>
      <c r="I12314">
        <f>IF(DATOS!$I12314="","",IFERROR(VLOOKUP(DATOS!$I12314,CONFIG_ASIGNATURAS!$B$2:$J$91,9,FALSE()),""))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IF(DATOS!$A12315="",0,IF(CONFIG_METADATA!$B$4&lt;&gt;"OR+EX",--(DATOS!$G12315=CONFIG_METADATA!$B$4),IF(DATOS!$G12315="EX",1,IF(DATOS!$G12315="OR",--(COUNTIFS(nNIA,DATOS!$A12315,nCURSO,DATOS!$D12315,nESPEC,DATOS!$E12315,nASIG,DATOS!$I12315,nEVAL,"EX")=0),0))))</f>
      </c>
      <c r="H12315">
        <f>IF(DATOS!$G12315&lt;&gt;"EX",0,--(COUNTIFS(nNIA,DATOS!$A12315,nCURSO,DATOS!$D12315,nESPEC,DATOS!$E12315,nASIG,DATOS!$I12315,nEVAL,"OR")=0))</f>
      </c>
      <c r="I12315">
        <f>IF(DATOS!$I12315="","",IFERROR(VLOOKUP(DATOS!$I12315,CONFIG_ASIGNATURAS!$B$2:$J$91,9,FALSE()),""))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IF(DATOS!$A12316="",0,IF(CONFIG_METADATA!$B$4&lt;&gt;"OR+EX",--(DATOS!$G12316=CONFIG_METADATA!$B$4),IF(DATOS!$G12316="EX",1,IF(DATOS!$G12316="OR",--(COUNTIFS(nNIA,DATOS!$A12316,nCURSO,DATOS!$D12316,nESPEC,DATOS!$E12316,nASIG,DATOS!$I12316,nEVAL,"EX")=0),0))))</f>
      </c>
      <c r="H12316">
        <f>IF(DATOS!$G12316&lt;&gt;"EX",0,--(COUNTIFS(nNIA,DATOS!$A12316,nCURSO,DATOS!$D12316,nESPEC,DATOS!$E12316,nASIG,DATOS!$I12316,nEVAL,"OR")=0))</f>
      </c>
      <c r="I12316">
        <f>IF(DATOS!$I12316="","",IFERROR(VLOOKUP(DATOS!$I12316,CONFIG_ASIGNATURAS!$B$2:$J$91,9,FALSE()),""))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IF(DATOS!$A12317="",0,IF(CONFIG_METADATA!$B$4&lt;&gt;"OR+EX",--(DATOS!$G12317=CONFIG_METADATA!$B$4),IF(DATOS!$G12317="EX",1,IF(DATOS!$G12317="OR",--(COUNTIFS(nNIA,DATOS!$A12317,nCURSO,DATOS!$D12317,nESPEC,DATOS!$E12317,nASIG,DATOS!$I12317,nEVAL,"EX")=0),0))))</f>
      </c>
      <c r="H12317">
        <f>IF(DATOS!$G12317&lt;&gt;"EX",0,--(COUNTIFS(nNIA,DATOS!$A12317,nCURSO,DATOS!$D12317,nESPEC,DATOS!$E12317,nASIG,DATOS!$I12317,nEVAL,"OR")=0))</f>
      </c>
      <c r="I12317">
        <f>IF(DATOS!$I12317="","",IFERROR(VLOOKUP(DATOS!$I12317,CONFIG_ASIGNATURAS!$B$2:$J$91,9,FALSE()),""))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IF(DATOS!$A12318="",0,IF(CONFIG_METADATA!$B$4&lt;&gt;"OR+EX",--(DATOS!$G12318=CONFIG_METADATA!$B$4),IF(DATOS!$G12318="EX",1,IF(DATOS!$G12318="OR",--(COUNTIFS(nNIA,DATOS!$A12318,nCURSO,DATOS!$D12318,nESPEC,DATOS!$E12318,nASIG,DATOS!$I12318,nEVAL,"EX")=0),0))))</f>
      </c>
      <c r="H12318">
        <f>IF(DATOS!$G12318&lt;&gt;"EX",0,--(COUNTIFS(nNIA,DATOS!$A12318,nCURSO,DATOS!$D12318,nESPEC,DATOS!$E12318,nASIG,DATOS!$I12318,nEVAL,"OR")=0))</f>
      </c>
      <c r="I12318">
        <f>IF(DATOS!$I12318="","",IFERROR(VLOOKUP(DATOS!$I12318,CONFIG_ASIGNATURAS!$B$2:$J$91,9,FALSE()),""))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IF(DATOS!$A12319="",0,IF(CONFIG_METADATA!$B$4&lt;&gt;"OR+EX",--(DATOS!$G12319=CONFIG_METADATA!$B$4),IF(DATOS!$G12319="EX",1,IF(DATOS!$G12319="OR",--(COUNTIFS(nNIA,DATOS!$A12319,nCURSO,DATOS!$D12319,nESPEC,DATOS!$E12319,nASIG,DATOS!$I12319,nEVAL,"EX")=0),0))))</f>
      </c>
      <c r="H12319">
        <f>IF(DATOS!$G12319&lt;&gt;"EX",0,--(COUNTIFS(nNIA,DATOS!$A12319,nCURSO,DATOS!$D12319,nESPEC,DATOS!$E12319,nASIG,DATOS!$I12319,nEVAL,"OR")=0))</f>
      </c>
      <c r="I12319">
        <f>IF(DATOS!$I12319="","",IFERROR(VLOOKUP(DATOS!$I12319,CONFIG_ASIGNATURAS!$B$2:$J$91,9,FALSE()),""))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IF(DATOS!$A12320="",0,IF(CONFIG_METADATA!$B$4&lt;&gt;"OR+EX",--(DATOS!$G12320=CONFIG_METADATA!$B$4),IF(DATOS!$G12320="EX",1,IF(DATOS!$G12320="OR",--(COUNTIFS(nNIA,DATOS!$A12320,nCURSO,DATOS!$D12320,nESPEC,DATOS!$E12320,nASIG,DATOS!$I12320,nEVAL,"EX")=0),0))))</f>
      </c>
      <c r="H12320">
        <f>IF(DATOS!$G12320&lt;&gt;"EX",0,--(COUNTIFS(nNIA,DATOS!$A12320,nCURSO,DATOS!$D12320,nESPEC,DATOS!$E12320,nASIG,DATOS!$I12320,nEVAL,"OR")=0))</f>
      </c>
      <c r="I12320">
        <f>IF(DATOS!$I12320="","",IFERROR(VLOOKUP(DATOS!$I12320,CONFIG_ASIGNATURAS!$B$2:$J$91,9,FALSE()),""))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IF(DATOS!$A12321="",0,IF(CONFIG_METADATA!$B$4&lt;&gt;"OR+EX",--(DATOS!$G12321=CONFIG_METADATA!$B$4),IF(DATOS!$G12321="EX",1,IF(DATOS!$G12321="OR",--(COUNTIFS(nNIA,DATOS!$A12321,nCURSO,DATOS!$D12321,nESPEC,DATOS!$E12321,nASIG,DATOS!$I12321,nEVAL,"EX")=0),0))))</f>
      </c>
      <c r="H12321">
        <f>IF(DATOS!$G12321&lt;&gt;"EX",0,--(COUNTIFS(nNIA,DATOS!$A12321,nCURSO,DATOS!$D12321,nESPEC,DATOS!$E12321,nASIG,DATOS!$I12321,nEVAL,"OR")=0))</f>
      </c>
      <c r="I12321">
        <f>IF(DATOS!$I12321="","",IFERROR(VLOOKUP(DATOS!$I12321,CONFIG_ASIGNATURAS!$B$2:$J$91,9,FALSE()),""))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IF(DATOS!$A12322="",0,IF(CONFIG_METADATA!$B$4&lt;&gt;"OR+EX",--(DATOS!$G12322=CONFIG_METADATA!$B$4),IF(DATOS!$G12322="EX",1,IF(DATOS!$G12322="OR",--(COUNTIFS(nNIA,DATOS!$A12322,nCURSO,DATOS!$D12322,nESPEC,DATOS!$E12322,nASIG,DATOS!$I12322,nEVAL,"EX")=0),0))))</f>
      </c>
      <c r="H12322">
        <f>IF(DATOS!$G12322&lt;&gt;"EX",0,--(COUNTIFS(nNIA,DATOS!$A12322,nCURSO,DATOS!$D12322,nESPEC,DATOS!$E12322,nASIG,DATOS!$I12322,nEVAL,"OR")=0))</f>
      </c>
      <c r="I12322">
        <f>IF(DATOS!$I12322="","",IFERROR(VLOOKUP(DATOS!$I12322,CONFIG_ASIGNATURAS!$B$2:$J$91,9,FALSE()),""))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IF(DATOS!$A12323="",0,IF(CONFIG_METADATA!$B$4&lt;&gt;"OR+EX",--(DATOS!$G12323=CONFIG_METADATA!$B$4),IF(DATOS!$G12323="EX",1,IF(DATOS!$G12323="OR",--(COUNTIFS(nNIA,DATOS!$A12323,nCURSO,DATOS!$D12323,nESPEC,DATOS!$E12323,nASIG,DATOS!$I12323,nEVAL,"EX")=0),0))))</f>
      </c>
      <c r="H12323">
        <f>IF(DATOS!$G12323&lt;&gt;"EX",0,--(COUNTIFS(nNIA,DATOS!$A12323,nCURSO,DATOS!$D12323,nESPEC,DATOS!$E12323,nASIG,DATOS!$I12323,nEVAL,"OR")=0))</f>
      </c>
      <c r="I12323">
        <f>IF(DATOS!$I12323="","",IFERROR(VLOOKUP(DATOS!$I12323,CONFIG_ASIGNATURAS!$B$2:$J$91,9,FALSE()),""))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IF(DATOS!$A12324="",0,IF(CONFIG_METADATA!$B$4&lt;&gt;"OR+EX",--(DATOS!$G12324=CONFIG_METADATA!$B$4),IF(DATOS!$G12324="EX",1,IF(DATOS!$G12324="OR",--(COUNTIFS(nNIA,DATOS!$A12324,nCURSO,DATOS!$D12324,nESPEC,DATOS!$E12324,nASIG,DATOS!$I12324,nEVAL,"EX")=0),0))))</f>
      </c>
      <c r="H12324">
        <f>IF(DATOS!$G12324&lt;&gt;"EX",0,--(COUNTIFS(nNIA,DATOS!$A12324,nCURSO,DATOS!$D12324,nESPEC,DATOS!$E12324,nASIG,DATOS!$I12324,nEVAL,"OR")=0))</f>
      </c>
      <c r="I12324">
        <f>IF(DATOS!$I12324="","",IFERROR(VLOOKUP(DATOS!$I12324,CONFIG_ASIGNATURAS!$B$2:$J$91,9,FALSE()),""))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IF(DATOS!$A12325="",0,IF(CONFIG_METADATA!$B$4&lt;&gt;"OR+EX",--(DATOS!$G12325=CONFIG_METADATA!$B$4),IF(DATOS!$G12325="EX",1,IF(DATOS!$G12325="OR",--(COUNTIFS(nNIA,DATOS!$A12325,nCURSO,DATOS!$D12325,nESPEC,DATOS!$E12325,nASIG,DATOS!$I12325,nEVAL,"EX")=0),0))))</f>
      </c>
      <c r="H12325">
        <f>IF(DATOS!$G12325&lt;&gt;"EX",0,--(COUNTIFS(nNIA,DATOS!$A12325,nCURSO,DATOS!$D12325,nESPEC,DATOS!$E12325,nASIG,DATOS!$I12325,nEVAL,"OR")=0))</f>
      </c>
      <c r="I12325">
        <f>IF(DATOS!$I12325="","",IFERROR(VLOOKUP(DATOS!$I12325,CONFIG_ASIGNATURAS!$B$2:$J$91,9,FALSE()),""))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IF(DATOS!$A12326="",0,IF(CONFIG_METADATA!$B$4&lt;&gt;"OR+EX",--(DATOS!$G12326=CONFIG_METADATA!$B$4),IF(DATOS!$G12326="EX",1,IF(DATOS!$G12326="OR",--(COUNTIFS(nNIA,DATOS!$A12326,nCURSO,DATOS!$D12326,nESPEC,DATOS!$E12326,nASIG,DATOS!$I12326,nEVAL,"EX")=0),0))))</f>
      </c>
      <c r="H12326">
        <f>IF(DATOS!$G12326&lt;&gt;"EX",0,--(COUNTIFS(nNIA,DATOS!$A12326,nCURSO,DATOS!$D12326,nESPEC,DATOS!$E12326,nASIG,DATOS!$I12326,nEVAL,"OR")=0))</f>
      </c>
      <c r="I12326">
        <f>IF(DATOS!$I12326="","",IFERROR(VLOOKUP(DATOS!$I12326,CONFIG_ASIGNATURAS!$B$2:$J$91,9,FALSE()),""))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IF(DATOS!$A12327="",0,IF(CONFIG_METADATA!$B$4&lt;&gt;"OR+EX",--(DATOS!$G12327=CONFIG_METADATA!$B$4),IF(DATOS!$G12327="EX",1,IF(DATOS!$G12327="OR",--(COUNTIFS(nNIA,DATOS!$A12327,nCURSO,DATOS!$D12327,nESPEC,DATOS!$E12327,nASIG,DATOS!$I12327,nEVAL,"EX")=0),0))))</f>
      </c>
      <c r="H12327">
        <f>IF(DATOS!$G12327&lt;&gt;"EX",0,--(COUNTIFS(nNIA,DATOS!$A12327,nCURSO,DATOS!$D12327,nESPEC,DATOS!$E12327,nASIG,DATOS!$I12327,nEVAL,"OR")=0))</f>
      </c>
      <c r="I12327">
        <f>IF(DATOS!$I12327="","",IFERROR(VLOOKUP(DATOS!$I12327,CONFIG_ASIGNATURAS!$B$2:$J$91,9,FALSE()),""))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IF(DATOS!$A12328="",0,IF(CONFIG_METADATA!$B$4&lt;&gt;"OR+EX",--(DATOS!$G12328=CONFIG_METADATA!$B$4),IF(DATOS!$G12328="EX",1,IF(DATOS!$G12328="OR",--(COUNTIFS(nNIA,DATOS!$A12328,nCURSO,DATOS!$D12328,nESPEC,DATOS!$E12328,nASIG,DATOS!$I12328,nEVAL,"EX")=0),0))))</f>
      </c>
      <c r="H12328">
        <f>IF(DATOS!$G12328&lt;&gt;"EX",0,--(COUNTIFS(nNIA,DATOS!$A12328,nCURSO,DATOS!$D12328,nESPEC,DATOS!$E12328,nASIG,DATOS!$I12328,nEVAL,"OR")=0))</f>
      </c>
      <c r="I12328">
        <f>IF(DATOS!$I12328="","",IFERROR(VLOOKUP(DATOS!$I12328,CONFIG_ASIGNATURAS!$B$2:$J$91,9,FALSE()),""))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IF(DATOS!$A12329="",0,IF(CONFIG_METADATA!$B$4&lt;&gt;"OR+EX",--(DATOS!$G12329=CONFIG_METADATA!$B$4),IF(DATOS!$G12329="EX",1,IF(DATOS!$G12329="OR",--(COUNTIFS(nNIA,DATOS!$A12329,nCURSO,DATOS!$D12329,nESPEC,DATOS!$E12329,nASIG,DATOS!$I12329,nEVAL,"EX")=0),0))))</f>
      </c>
      <c r="H12329">
        <f>IF(DATOS!$G12329&lt;&gt;"EX",0,--(COUNTIFS(nNIA,DATOS!$A12329,nCURSO,DATOS!$D12329,nESPEC,DATOS!$E12329,nASIG,DATOS!$I12329,nEVAL,"OR")=0))</f>
      </c>
      <c r="I12329">
        <f>IF(DATOS!$I12329="","",IFERROR(VLOOKUP(DATOS!$I12329,CONFIG_ASIGNATURAS!$B$2:$J$91,9,FALSE()),""))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IF(DATOS!$A12330="",0,IF(CONFIG_METADATA!$B$4&lt;&gt;"OR+EX",--(DATOS!$G12330=CONFIG_METADATA!$B$4),IF(DATOS!$G12330="EX",1,IF(DATOS!$G12330="OR",--(COUNTIFS(nNIA,DATOS!$A12330,nCURSO,DATOS!$D12330,nESPEC,DATOS!$E12330,nASIG,DATOS!$I12330,nEVAL,"EX")=0),0))))</f>
      </c>
      <c r="H12330">
        <f>IF(DATOS!$G12330&lt;&gt;"EX",0,--(COUNTIFS(nNIA,DATOS!$A12330,nCURSO,DATOS!$D12330,nESPEC,DATOS!$E12330,nASIG,DATOS!$I12330,nEVAL,"OR")=0))</f>
      </c>
      <c r="I12330">
        <f>IF(DATOS!$I12330="","",IFERROR(VLOOKUP(DATOS!$I12330,CONFIG_ASIGNATURAS!$B$2:$J$91,9,FALSE()),""))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IF(DATOS!$A12331="",0,IF(CONFIG_METADATA!$B$4&lt;&gt;"OR+EX",--(DATOS!$G12331=CONFIG_METADATA!$B$4),IF(DATOS!$G12331="EX",1,IF(DATOS!$G12331="OR",--(COUNTIFS(nNIA,DATOS!$A12331,nCURSO,DATOS!$D12331,nESPEC,DATOS!$E12331,nASIG,DATOS!$I12331,nEVAL,"EX")=0),0))))</f>
      </c>
      <c r="H12331">
        <f>IF(DATOS!$G12331&lt;&gt;"EX",0,--(COUNTIFS(nNIA,DATOS!$A12331,nCURSO,DATOS!$D12331,nESPEC,DATOS!$E12331,nASIG,DATOS!$I12331,nEVAL,"OR")=0))</f>
      </c>
      <c r="I12331">
        <f>IF(DATOS!$I12331="","",IFERROR(VLOOKUP(DATOS!$I12331,CONFIG_ASIGNATURAS!$B$2:$J$91,9,FALSE()),""))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IF(DATOS!$A12332="",0,IF(CONFIG_METADATA!$B$4&lt;&gt;"OR+EX",--(DATOS!$G12332=CONFIG_METADATA!$B$4),IF(DATOS!$G12332="EX",1,IF(DATOS!$G12332="OR",--(COUNTIFS(nNIA,DATOS!$A12332,nCURSO,DATOS!$D12332,nESPEC,DATOS!$E12332,nASIG,DATOS!$I12332,nEVAL,"EX")=0),0))))</f>
      </c>
      <c r="H12332">
        <f>IF(DATOS!$G12332&lt;&gt;"EX",0,--(COUNTIFS(nNIA,DATOS!$A12332,nCURSO,DATOS!$D12332,nESPEC,DATOS!$E12332,nASIG,DATOS!$I12332,nEVAL,"OR")=0))</f>
      </c>
      <c r="I12332">
        <f>IF(DATOS!$I12332="","",IFERROR(VLOOKUP(DATOS!$I12332,CONFIG_ASIGNATURAS!$B$2:$J$91,9,FALSE()),""))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IF(DATOS!$A12333="",0,IF(CONFIG_METADATA!$B$4&lt;&gt;"OR+EX",--(DATOS!$G12333=CONFIG_METADATA!$B$4),IF(DATOS!$G12333="EX",1,IF(DATOS!$G12333="OR",--(COUNTIFS(nNIA,DATOS!$A12333,nCURSO,DATOS!$D12333,nESPEC,DATOS!$E12333,nASIG,DATOS!$I12333,nEVAL,"EX")=0),0))))</f>
      </c>
      <c r="H12333">
        <f>IF(DATOS!$G12333&lt;&gt;"EX",0,--(COUNTIFS(nNIA,DATOS!$A12333,nCURSO,DATOS!$D12333,nESPEC,DATOS!$E12333,nASIG,DATOS!$I12333,nEVAL,"OR")=0))</f>
      </c>
      <c r="I12333">
        <f>IF(DATOS!$I12333="","",IFERROR(VLOOKUP(DATOS!$I12333,CONFIG_ASIGNATURAS!$B$2:$J$91,9,FALSE()),""))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IF(DATOS!$A12334="",0,IF(CONFIG_METADATA!$B$4&lt;&gt;"OR+EX",--(DATOS!$G12334=CONFIG_METADATA!$B$4),IF(DATOS!$G12334="EX",1,IF(DATOS!$G12334="OR",--(COUNTIFS(nNIA,DATOS!$A12334,nCURSO,DATOS!$D12334,nESPEC,DATOS!$E12334,nASIG,DATOS!$I12334,nEVAL,"EX")=0),0))))</f>
      </c>
      <c r="H12334">
        <f>IF(DATOS!$G12334&lt;&gt;"EX",0,--(COUNTIFS(nNIA,DATOS!$A12334,nCURSO,DATOS!$D12334,nESPEC,DATOS!$E12334,nASIG,DATOS!$I12334,nEVAL,"OR")=0))</f>
      </c>
      <c r="I12334">
        <f>IF(DATOS!$I12334="","",IFERROR(VLOOKUP(DATOS!$I12334,CONFIG_ASIGNATURAS!$B$2:$J$91,9,FALSE()),""))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IF(DATOS!$A12335="",0,IF(CONFIG_METADATA!$B$4&lt;&gt;"OR+EX",--(DATOS!$G12335=CONFIG_METADATA!$B$4),IF(DATOS!$G12335="EX",1,IF(DATOS!$G12335="OR",--(COUNTIFS(nNIA,DATOS!$A12335,nCURSO,DATOS!$D12335,nESPEC,DATOS!$E12335,nASIG,DATOS!$I12335,nEVAL,"EX")=0),0))))</f>
      </c>
      <c r="H12335">
        <f>IF(DATOS!$G12335&lt;&gt;"EX",0,--(COUNTIFS(nNIA,DATOS!$A12335,nCURSO,DATOS!$D12335,nESPEC,DATOS!$E12335,nASIG,DATOS!$I12335,nEVAL,"OR")=0))</f>
      </c>
      <c r="I12335">
        <f>IF(DATOS!$I12335="","",IFERROR(VLOOKUP(DATOS!$I12335,CONFIG_ASIGNATURAS!$B$2:$J$91,9,FALSE()),""))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IF(DATOS!$A12336="",0,IF(CONFIG_METADATA!$B$4&lt;&gt;"OR+EX",--(DATOS!$G12336=CONFIG_METADATA!$B$4),IF(DATOS!$G12336="EX",1,IF(DATOS!$G12336="OR",--(COUNTIFS(nNIA,DATOS!$A12336,nCURSO,DATOS!$D12336,nESPEC,DATOS!$E12336,nASIG,DATOS!$I12336,nEVAL,"EX")=0),0))))</f>
      </c>
      <c r="H12336">
        <f>IF(DATOS!$G12336&lt;&gt;"EX",0,--(COUNTIFS(nNIA,DATOS!$A12336,nCURSO,DATOS!$D12336,nESPEC,DATOS!$E12336,nASIG,DATOS!$I12336,nEVAL,"OR")=0))</f>
      </c>
      <c r="I12336">
        <f>IF(DATOS!$I12336="","",IFERROR(VLOOKUP(DATOS!$I12336,CONFIG_ASIGNATURAS!$B$2:$J$91,9,FALSE()),""))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IF(DATOS!$A12337="",0,IF(CONFIG_METADATA!$B$4&lt;&gt;"OR+EX",--(DATOS!$G12337=CONFIG_METADATA!$B$4),IF(DATOS!$G12337="EX",1,IF(DATOS!$G12337="OR",--(COUNTIFS(nNIA,DATOS!$A12337,nCURSO,DATOS!$D12337,nESPEC,DATOS!$E12337,nASIG,DATOS!$I12337,nEVAL,"EX")=0),0))))</f>
      </c>
      <c r="H12337">
        <f>IF(DATOS!$G12337&lt;&gt;"EX",0,--(COUNTIFS(nNIA,DATOS!$A12337,nCURSO,DATOS!$D12337,nESPEC,DATOS!$E12337,nASIG,DATOS!$I12337,nEVAL,"OR")=0))</f>
      </c>
      <c r="I12337">
        <f>IF(DATOS!$I12337="","",IFERROR(VLOOKUP(DATOS!$I12337,CONFIG_ASIGNATURAS!$B$2:$J$91,9,FALSE()),""))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IF(DATOS!$A12338="",0,IF(CONFIG_METADATA!$B$4&lt;&gt;"OR+EX",--(DATOS!$G12338=CONFIG_METADATA!$B$4),IF(DATOS!$G12338="EX",1,IF(DATOS!$G12338="OR",--(COUNTIFS(nNIA,DATOS!$A12338,nCURSO,DATOS!$D12338,nESPEC,DATOS!$E12338,nASIG,DATOS!$I12338,nEVAL,"EX")=0),0))))</f>
      </c>
      <c r="H12338">
        <f>IF(DATOS!$G12338&lt;&gt;"EX",0,--(COUNTIFS(nNIA,DATOS!$A12338,nCURSO,DATOS!$D12338,nESPEC,DATOS!$E12338,nASIG,DATOS!$I12338,nEVAL,"OR")=0))</f>
      </c>
      <c r="I12338">
        <f>IF(DATOS!$I12338="","",IFERROR(VLOOKUP(DATOS!$I12338,CONFIG_ASIGNATURAS!$B$2:$J$91,9,FALSE()),""))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IF(DATOS!$A12339="",0,IF(CONFIG_METADATA!$B$4&lt;&gt;"OR+EX",--(DATOS!$G12339=CONFIG_METADATA!$B$4),IF(DATOS!$G12339="EX",1,IF(DATOS!$G12339="OR",--(COUNTIFS(nNIA,DATOS!$A12339,nCURSO,DATOS!$D12339,nESPEC,DATOS!$E12339,nASIG,DATOS!$I12339,nEVAL,"EX")=0),0))))</f>
      </c>
      <c r="H12339">
        <f>IF(DATOS!$G12339&lt;&gt;"EX",0,--(COUNTIFS(nNIA,DATOS!$A12339,nCURSO,DATOS!$D12339,nESPEC,DATOS!$E12339,nASIG,DATOS!$I12339,nEVAL,"OR")=0))</f>
      </c>
      <c r="I12339">
        <f>IF(DATOS!$I12339="","",IFERROR(VLOOKUP(DATOS!$I12339,CONFIG_ASIGNATURAS!$B$2:$J$91,9,FALSE()),""))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IF(DATOS!$A12340="",0,IF(CONFIG_METADATA!$B$4&lt;&gt;"OR+EX",--(DATOS!$G12340=CONFIG_METADATA!$B$4),IF(DATOS!$G12340="EX",1,IF(DATOS!$G12340="OR",--(COUNTIFS(nNIA,DATOS!$A12340,nCURSO,DATOS!$D12340,nESPEC,DATOS!$E12340,nASIG,DATOS!$I12340,nEVAL,"EX")=0),0))))</f>
      </c>
      <c r="H12340">
        <f>IF(DATOS!$G12340&lt;&gt;"EX",0,--(COUNTIFS(nNIA,DATOS!$A12340,nCURSO,DATOS!$D12340,nESPEC,DATOS!$E12340,nASIG,DATOS!$I12340,nEVAL,"OR")=0))</f>
      </c>
      <c r="I12340">
        <f>IF(DATOS!$I12340="","",IFERROR(VLOOKUP(DATOS!$I12340,CONFIG_ASIGNATURAS!$B$2:$J$91,9,FALSE()),""))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IF(DATOS!$A12341="",0,IF(CONFIG_METADATA!$B$4&lt;&gt;"OR+EX",--(DATOS!$G12341=CONFIG_METADATA!$B$4),IF(DATOS!$G12341="EX",1,IF(DATOS!$G12341="OR",--(COUNTIFS(nNIA,DATOS!$A12341,nCURSO,DATOS!$D12341,nESPEC,DATOS!$E12341,nASIG,DATOS!$I12341,nEVAL,"EX")=0),0))))</f>
      </c>
      <c r="H12341">
        <f>IF(DATOS!$G12341&lt;&gt;"EX",0,--(COUNTIFS(nNIA,DATOS!$A12341,nCURSO,DATOS!$D12341,nESPEC,DATOS!$E12341,nASIG,DATOS!$I12341,nEVAL,"OR")=0))</f>
      </c>
      <c r="I12341">
        <f>IF(DATOS!$I12341="","",IFERROR(VLOOKUP(DATOS!$I12341,CONFIG_ASIGNATURAS!$B$2:$J$91,9,FALSE()),""))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IF(DATOS!$A12342="",0,IF(CONFIG_METADATA!$B$4&lt;&gt;"OR+EX",--(DATOS!$G12342=CONFIG_METADATA!$B$4),IF(DATOS!$G12342="EX",1,IF(DATOS!$G12342="OR",--(COUNTIFS(nNIA,DATOS!$A12342,nCURSO,DATOS!$D12342,nESPEC,DATOS!$E12342,nASIG,DATOS!$I12342,nEVAL,"EX")=0),0))))</f>
      </c>
      <c r="H12342">
        <f>IF(DATOS!$G12342&lt;&gt;"EX",0,--(COUNTIFS(nNIA,DATOS!$A12342,nCURSO,DATOS!$D12342,nESPEC,DATOS!$E12342,nASIG,DATOS!$I12342,nEVAL,"OR")=0))</f>
      </c>
      <c r="I12342">
        <f>IF(DATOS!$I12342="","",IFERROR(VLOOKUP(DATOS!$I12342,CONFIG_ASIGNATURAS!$B$2:$J$91,9,FALSE()),""))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IF(DATOS!$A12343="",0,IF(CONFIG_METADATA!$B$4&lt;&gt;"OR+EX",--(DATOS!$G12343=CONFIG_METADATA!$B$4),IF(DATOS!$G12343="EX",1,IF(DATOS!$G12343="OR",--(COUNTIFS(nNIA,DATOS!$A12343,nCURSO,DATOS!$D12343,nESPEC,DATOS!$E12343,nASIG,DATOS!$I12343,nEVAL,"EX")=0),0))))</f>
      </c>
      <c r="H12343">
        <f>IF(DATOS!$G12343&lt;&gt;"EX",0,--(COUNTIFS(nNIA,DATOS!$A12343,nCURSO,DATOS!$D12343,nESPEC,DATOS!$E12343,nASIG,DATOS!$I12343,nEVAL,"OR")=0))</f>
      </c>
      <c r="I12343">
        <f>IF(DATOS!$I12343="","",IFERROR(VLOOKUP(DATOS!$I12343,CONFIG_ASIGNATURAS!$B$2:$J$91,9,FALSE()),""))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IF(DATOS!$A12344="",0,IF(CONFIG_METADATA!$B$4&lt;&gt;"OR+EX",--(DATOS!$G12344=CONFIG_METADATA!$B$4),IF(DATOS!$G12344="EX",1,IF(DATOS!$G12344="OR",--(COUNTIFS(nNIA,DATOS!$A12344,nCURSO,DATOS!$D12344,nESPEC,DATOS!$E12344,nASIG,DATOS!$I12344,nEVAL,"EX")=0),0))))</f>
      </c>
      <c r="H12344">
        <f>IF(DATOS!$G12344&lt;&gt;"EX",0,--(COUNTIFS(nNIA,DATOS!$A12344,nCURSO,DATOS!$D12344,nESPEC,DATOS!$E12344,nASIG,DATOS!$I12344,nEVAL,"OR")=0))</f>
      </c>
      <c r="I12344">
        <f>IF(DATOS!$I12344="","",IFERROR(VLOOKUP(DATOS!$I12344,CONFIG_ASIGNATURAS!$B$2:$J$91,9,FALSE()),""))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IF(DATOS!$A12345="",0,IF(CONFIG_METADATA!$B$4&lt;&gt;"OR+EX",--(DATOS!$G12345=CONFIG_METADATA!$B$4),IF(DATOS!$G12345="EX",1,IF(DATOS!$G12345="OR",--(COUNTIFS(nNIA,DATOS!$A12345,nCURSO,DATOS!$D12345,nESPEC,DATOS!$E12345,nASIG,DATOS!$I12345,nEVAL,"EX")=0),0))))</f>
      </c>
      <c r="H12345">
        <f>IF(DATOS!$G12345&lt;&gt;"EX",0,--(COUNTIFS(nNIA,DATOS!$A12345,nCURSO,DATOS!$D12345,nESPEC,DATOS!$E12345,nASIG,DATOS!$I12345,nEVAL,"OR")=0))</f>
      </c>
      <c r="I12345">
        <f>IF(DATOS!$I12345="","",IFERROR(VLOOKUP(DATOS!$I12345,CONFIG_ASIGNATURAS!$B$2:$J$91,9,FALSE()),""))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IF(DATOS!$A12346="",0,IF(CONFIG_METADATA!$B$4&lt;&gt;"OR+EX",--(DATOS!$G12346=CONFIG_METADATA!$B$4),IF(DATOS!$G12346="EX",1,IF(DATOS!$G12346="OR",--(COUNTIFS(nNIA,DATOS!$A12346,nCURSO,DATOS!$D12346,nESPEC,DATOS!$E12346,nASIG,DATOS!$I12346,nEVAL,"EX")=0),0))))</f>
      </c>
      <c r="H12346">
        <f>IF(DATOS!$G12346&lt;&gt;"EX",0,--(COUNTIFS(nNIA,DATOS!$A12346,nCURSO,DATOS!$D12346,nESPEC,DATOS!$E12346,nASIG,DATOS!$I12346,nEVAL,"OR")=0))</f>
      </c>
      <c r="I12346">
        <f>IF(DATOS!$I12346="","",IFERROR(VLOOKUP(DATOS!$I12346,CONFIG_ASIGNATURAS!$B$2:$J$91,9,FALSE()),""))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IF(DATOS!$A12347="",0,IF(CONFIG_METADATA!$B$4&lt;&gt;"OR+EX",--(DATOS!$G12347=CONFIG_METADATA!$B$4),IF(DATOS!$G12347="EX",1,IF(DATOS!$G12347="OR",--(COUNTIFS(nNIA,DATOS!$A12347,nCURSO,DATOS!$D12347,nESPEC,DATOS!$E12347,nASIG,DATOS!$I12347,nEVAL,"EX")=0),0))))</f>
      </c>
      <c r="H12347">
        <f>IF(DATOS!$G12347&lt;&gt;"EX",0,--(COUNTIFS(nNIA,DATOS!$A12347,nCURSO,DATOS!$D12347,nESPEC,DATOS!$E12347,nASIG,DATOS!$I12347,nEVAL,"OR")=0))</f>
      </c>
      <c r="I12347">
        <f>IF(DATOS!$I12347="","",IFERROR(VLOOKUP(DATOS!$I12347,CONFIG_ASIGNATURAS!$B$2:$J$91,9,FALSE()),""))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IF(DATOS!$A12348="",0,IF(CONFIG_METADATA!$B$4&lt;&gt;"OR+EX",--(DATOS!$G12348=CONFIG_METADATA!$B$4),IF(DATOS!$G12348="EX",1,IF(DATOS!$G12348="OR",--(COUNTIFS(nNIA,DATOS!$A12348,nCURSO,DATOS!$D12348,nESPEC,DATOS!$E12348,nASIG,DATOS!$I12348,nEVAL,"EX")=0),0))))</f>
      </c>
      <c r="H12348">
        <f>IF(DATOS!$G12348&lt;&gt;"EX",0,--(COUNTIFS(nNIA,DATOS!$A12348,nCURSO,DATOS!$D12348,nESPEC,DATOS!$E12348,nASIG,DATOS!$I12348,nEVAL,"OR")=0))</f>
      </c>
      <c r="I12348">
        <f>IF(DATOS!$I12348="","",IFERROR(VLOOKUP(DATOS!$I12348,CONFIG_ASIGNATURAS!$B$2:$J$91,9,FALSE()),""))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IF(DATOS!$A12349="",0,IF(CONFIG_METADATA!$B$4&lt;&gt;"OR+EX",--(DATOS!$G12349=CONFIG_METADATA!$B$4),IF(DATOS!$G12349="EX",1,IF(DATOS!$G12349="OR",--(COUNTIFS(nNIA,DATOS!$A12349,nCURSO,DATOS!$D12349,nESPEC,DATOS!$E12349,nASIG,DATOS!$I12349,nEVAL,"EX")=0),0))))</f>
      </c>
      <c r="H12349">
        <f>IF(DATOS!$G12349&lt;&gt;"EX",0,--(COUNTIFS(nNIA,DATOS!$A12349,nCURSO,DATOS!$D12349,nESPEC,DATOS!$E12349,nASIG,DATOS!$I12349,nEVAL,"OR")=0))</f>
      </c>
      <c r="I12349">
        <f>IF(DATOS!$I12349="","",IFERROR(VLOOKUP(DATOS!$I12349,CONFIG_ASIGNATURAS!$B$2:$J$91,9,FALSE()),""))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IF(DATOS!$A12350="",0,IF(CONFIG_METADATA!$B$4&lt;&gt;"OR+EX",--(DATOS!$G12350=CONFIG_METADATA!$B$4),IF(DATOS!$G12350="EX",1,IF(DATOS!$G12350="OR",--(COUNTIFS(nNIA,DATOS!$A12350,nCURSO,DATOS!$D12350,nESPEC,DATOS!$E12350,nASIG,DATOS!$I12350,nEVAL,"EX")=0),0))))</f>
      </c>
      <c r="H12350">
        <f>IF(DATOS!$G12350&lt;&gt;"EX",0,--(COUNTIFS(nNIA,DATOS!$A12350,nCURSO,DATOS!$D12350,nESPEC,DATOS!$E12350,nASIG,DATOS!$I12350,nEVAL,"OR")=0))</f>
      </c>
      <c r="I12350">
        <f>IF(DATOS!$I12350="","",IFERROR(VLOOKUP(DATOS!$I12350,CONFIG_ASIGNATURAS!$B$2:$J$91,9,FALSE()),""))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IF(DATOS!$A12351="",0,IF(CONFIG_METADATA!$B$4&lt;&gt;"OR+EX",--(DATOS!$G12351=CONFIG_METADATA!$B$4),IF(DATOS!$G12351="EX",1,IF(DATOS!$G12351="OR",--(COUNTIFS(nNIA,DATOS!$A12351,nCURSO,DATOS!$D12351,nESPEC,DATOS!$E12351,nASIG,DATOS!$I12351,nEVAL,"EX")=0),0))))</f>
      </c>
      <c r="H12351">
        <f>IF(DATOS!$G12351&lt;&gt;"EX",0,--(COUNTIFS(nNIA,DATOS!$A12351,nCURSO,DATOS!$D12351,nESPEC,DATOS!$E12351,nASIG,DATOS!$I12351,nEVAL,"OR")=0))</f>
      </c>
      <c r="I12351">
        <f>IF(DATOS!$I12351="","",IFERROR(VLOOKUP(DATOS!$I12351,CONFIG_ASIGNATURAS!$B$2:$J$91,9,FALSE()),""))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IF(DATOS!$A12352="",0,IF(CONFIG_METADATA!$B$4&lt;&gt;"OR+EX",--(DATOS!$G12352=CONFIG_METADATA!$B$4),IF(DATOS!$G12352="EX",1,IF(DATOS!$G12352="OR",--(COUNTIFS(nNIA,DATOS!$A12352,nCURSO,DATOS!$D12352,nESPEC,DATOS!$E12352,nASIG,DATOS!$I12352,nEVAL,"EX")=0),0))))</f>
      </c>
      <c r="H12352">
        <f>IF(DATOS!$G12352&lt;&gt;"EX",0,--(COUNTIFS(nNIA,DATOS!$A12352,nCURSO,DATOS!$D12352,nESPEC,DATOS!$E12352,nASIG,DATOS!$I12352,nEVAL,"OR")=0))</f>
      </c>
      <c r="I12352">
        <f>IF(DATOS!$I12352="","",IFERROR(VLOOKUP(DATOS!$I12352,CONFIG_ASIGNATURAS!$B$2:$J$91,9,FALSE()),""))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IF(DATOS!$A12353="",0,IF(CONFIG_METADATA!$B$4&lt;&gt;"OR+EX",--(DATOS!$G12353=CONFIG_METADATA!$B$4),IF(DATOS!$G12353="EX",1,IF(DATOS!$G12353="OR",--(COUNTIFS(nNIA,DATOS!$A12353,nCURSO,DATOS!$D12353,nESPEC,DATOS!$E12353,nASIG,DATOS!$I12353,nEVAL,"EX")=0),0))))</f>
      </c>
      <c r="H12353">
        <f>IF(DATOS!$G12353&lt;&gt;"EX",0,--(COUNTIFS(nNIA,DATOS!$A12353,nCURSO,DATOS!$D12353,nESPEC,DATOS!$E12353,nASIG,DATOS!$I12353,nEVAL,"OR")=0))</f>
      </c>
      <c r="I12353">
        <f>IF(DATOS!$I12353="","",IFERROR(VLOOKUP(DATOS!$I12353,CONFIG_ASIGNATURAS!$B$2:$J$91,9,FALSE()),""))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IF(DATOS!$A12354="",0,IF(CONFIG_METADATA!$B$4&lt;&gt;"OR+EX",--(DATOS!$G12354=CONFIG_METADATA!$B$4),IF(DATOS!$G12354="EX",1,IF(DATOS!$G12354="OR",--(COUNTIFS(nNIA,DATOS!$A12354,nCURSO,DATOS!$D12354,nESPEC,DATOS!$E12354,nASIG,DATOS!$I12354,nEVAL,"EX")=0),0))))</f>
      </c>
      <c r="H12354">
        <f>IF(DATOS!$G12354&lt;&gt;"EX",0,--(COUNTIFS(nNIA,DATOS!$A12354,nCURSO,DATOS!$D12354,nESPEC,DATOS!$E12354,nASIG,DATOS!$I12354,nEVAL,"OR")=0))</f>
      </c>
      <c r="I12354">
        <f>IF(DATOS!$I12354="","",IFERROR(VLOOKUP(DATOS!$I12354,CONFIG_ASIGNATURAS!$B$2:$J$91,9,FALSE()),""))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IF(DATOS!$A12355="",0,IF(CONFIG_METADATA!$B$4&lt;&gt;"OR+EX",--(DATOS!$G12355=CONFIG_METADATA!$B$4),IF(DATOS!$G12355="EX",1,IF(DATOS!$G12355="OR",--(COUNTIFS(nNIA,DATOS!$A12355,nCURSO,DATOS!$D12355,nESPEC,DATOS!$E12355,nASIG,DATOS!$I12355,nEVAL,"EX")=0),0))))</f>
      </c>
      <c r="H12355">
        <f>IF(DATOS!$G12355&lt;&gt;"EX",0,--(COUNTIFS(nNIA,DATOS!$A12355,nCURSO,DATOS!$D12355,nESPEC,DATOS!$E12355,nASIG,DATOS!$I12355,nEVAL,"OR")=0))</f>
      </c>
      <c r="I12355">
        <f>IF(DATOS!$I12355="","",IFERROR(VLOOKUP(DATOS!$I12355,CONFIG_ASIGNATURAS!$B$2:$J$91,9,FALSE()),""))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IF(DATOS!$A12356="",0,IF(CONFIG_METADATA!$B$4&lt;&gt;"OR+EX",--(DATOS!$G12356=CONFIG_METADATA!$B$4),IF(DATOS!$G12356="EX",1,IF(DATOS!$G12356="OR",--(COUNTIFS(nNIA,DATOS!$A12356,nCURSO,DATOS!$D12356,nESPEC,DATOS!$E12356,nASIG,DATOS!$I12356,nEVAL,"EX")=0),0))))</f>
      </c>
      <c r="H12356">
        <f>IF(DATOS!$G12356&lt;&gt;"EX",0,--(COUNTIFS(nNIA,DATOS!$A12356,nCURSO,DATOS!$D12356,nESPEC,DATOS!$E12356,nASIG,DATOS!$I12356,nEVAL,"OR")=0))</f>
      </c>
      <c r="I12356">
        <f>IF(DATOS!$I12356="","",IFERROR(VLOOKUP(DATOS!$I12356,CONFIG_ASIGNATURAS!$B$2:$J$91,9,FALSE()),""))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IF(DATOS!$A12357="",0,IF(CONFIG_METADATA!$B$4&lt;&gt;"OR+EX",--(DATOS!$G12357=CONFIG_METADATA!$B$4),IF(DATOS!$G12357="EX",1,IF(DATOS!$G12357="OR",--(COUNTIFS(nNIA,DATOS!$A12357,nCURSO,DATOS!$D12357,nESPEC,DATOS!$E12357,nASIG,DATOS!$I12357,nEVAL,"EX")=0),0))))</f>
      </c>
      <c r="H12357">
        <f>IF(DATOS!$G12357&lt;&gt;"EX",0,--(COUNTIFS(nNIA,DATOS!$A12357,nCURSO,DATOS!$D12357,nESPEC,DATOS!$E12357,nASIG,DATOS!$I12357,nEVAL,"OR")=0))</f>
      </c>
      <c r="I12357">
        <f>IF(DATOS!$I12357="","",IFERROR(VLOOKUP(DATOS!$I12357,CONFIG_ASIGNATURAS!$B$2:$J$91,9,FALSE()),""))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IF(DATOS!$A12358="",0,IF(CONFIG_METADATA!$B$4&lt;&gt;"OR+EX",--(DATOS!$G12358=CONFIG_METADATA!$B$4),IF(DATOS!$G12358="EX",1,IF(DATOS!$G12358="OR",--(COUNTIFS(nNIA,DATOS!$A12358,nCURSO,DATOS!$D12358,nESPEC,DATOS!$E12358,nASIG,DATOS!$I12358,nEVAL,"EX")=0),0))))</f>
      </c>
      <c r="H12358">
        <f>IF(DATOS!$G12358&lt;&gt;"EX",0,--(COUNTIFS(nNIA,DATOS!$A12358,nCURSO,DATOS!$D12358,nESPEC,DATOS!$E12358,nASIG,DATOS!$I12358,nEVAL,"OR")=0))</f>
      </c>
      <c r="I12358">
        <f>IF(DATOS!$I12358="","",IFERROR(VLOOKUP(DATOS!$I12358,CONFIG_ASIGNATURAS!$B$2:$J$91,9,FALSE()),""))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IF(DATOS!$A12359="",0,IF(CONFIG_METADATA!$B$4&lt;&gt;"OR+EX",--(DATOS!$G12359=CONFIG_METADATA!$B$4),IF(DATOS!$G12359="EX",1,IF(DATOS!$G12359="OR",--(COUNTIFS(nNIA,DATOS!$A12359,nCURSO,DATOS!$D12359,nESPEC,DATOS!$E12359,nASIG,DATOS!$I12359,nEVAL,"EX")=0),0))))</f>
      </c>
      <c r="H12359">
        <f>IF(DATOS!$G12359&lt;&gt;"EX",0,--(COUNTIFS(nNIA,DATOS!$A12359,nCURSO,DATOS!$D12359,nESPEC,DATOS!$E12359,nASIG,DATOS!$I12359,nEVAL,"OR")=0))</f>
      </c>
      <c r="I12359">
        <f>IF(DATOS!$I12359="","",IFERROR(VLOOKUP(DATOS!$I12359,CONFIG_ASIGNATURAS!$B$2:$J$91,9,FALSE()),""))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IF(DATOS!$A12360="",0,IF(CONFIG_METADATA!$B$4&lt;&gt;"OR+EX",--(DATOS!$G12360=CONFIG_METADATA!$B$4),IF(DATOS!$G12360="EX",1,IF(DATOS!$G12360="OR",--(COUNTIFS(nNIA,DATOS!$A12360,nCURSO,DATOS!$D12360,nESPEC,DATOS!$E12360,nASIG,DATOS!$I12360,nEVAL,"EX")=0),0))))</f>
      </c>
      <c r="H12360">
        <f>IF(DATOS!$G12360&lt;&gt;"EX",0,--(COUNTIFS(nNIA,DATOS!$A12360,nCURSO,DATOS!$D12360,nESPEC,DATOS!$E12360,nASIG,DATOS!$I12360,nEVAL,"OR")=0))</f>
      </c>
      <c r="I12360">
        <f>IF(DATOS!$I12360="","",IFERROR(VLOOKUP(DATOS!$I12360,CONFIG_ASIGNATURAS!$B$2:$J$91,9,FALSE()),""))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IF(DATOS!$A12361="",0,IF(CONFIG_METADATA!$B$4&lt;&gt;"OR+EX",--(DATOS!$G12361=CONFIG_METADATA!$B$4),IF(DATOS!$G12361="EX",1,IF(DATOS!$G12361="OR",--(COUNTIFS(nNIA,DATOS!$A12361,nCURSO,DATOS!$D12361,nESPEC,DATOS!$E12361,nASIG,DATOS!$I12361,nEVAL,"EX")=0),0))))</f>
      </c>
      <c r="H12361">
        <f>IF(DATOS!$G12361&lt;&gt;"EX",0,--(COUNTIFS(nNIA,DATOS!$A12361,nCURSO,DATOS!$D12361,nESPEC,DATOS!$E12361,nASIG,DATOS!$I12361,nEVAL,"OR")=0))</f>
      </c>
      <c r="I12361">
        <f>IF(DATOS!$I12361="","",IFERROR(VLOOKUP(DATOS!$I12361,CONFIG_ASIGNATURAS!$B$2:$J$91,9,FALSE()),""))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IF(DATOS!$A12362="",0,IF(CONFIG_METADATA!$B$4&lt;&gt;"OR+EX",--(DATOS!$G12362=CONFIG_METADATA!$B$4),IF(DATOS!$G12362="EX",1,IF(DATOS!$G12362="OR",--(COUNTIFS(nNIA,DATOS!$A12362,nCURSO,DATOS!$D12362,nESPEC,DATOS!$E12362,nASIG,DATOS!$I12362,nEVAL,"EX")=0),0))))</f>
      </c>
      <c r="H12362">
        <f>IF(DATOS!$G12362&lt;&gt;"EX",0,--(COUNTIFS(nNIA,DATOS!$A12362,nCURSO,DATOS!$D12362,nESPEC,DATOS!$E12362,nASIG,DATOS!$I12362,nEVAL,"OR")=0))</f>
      </c>
      <c r="I12362">
        <f>IF(DATOS!$I12362="","",IFERROR(VLOOKUP(DATOS!$I12362,CONFIG_ASIGNATURAS!$B$2:$J$91,9,FALSE()),""))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IF(DATOS!$A12363="",0,IF(CONFIG_METADATA!$B$4&lt;&gt;"OR+EX",--(DATOS!$G12363=CONFIG_METADATA!$B$4),IF(DATOS!$G12363="EX",1,IF(DATOS!$G12363="OR",--(COUNTIFS(nNIA,DATOS!$A12363,nCURSO,DATOS!$D12363,nESPEC,DATOS!$E12363,nASIG,DATOS!$I12363,nEVAL,"EX")=0),0))))</f>
      </c>
      <c r="H12363">
        <f>IF(DATOS!$G12363&lt;&gt;"EX",0,--(COUNTIFS(nNIA,DATOS!$A12363,nCURSO,DATOS!$D12363,nESPEC,DATOS!$E12363,nASIG,DATOS!$I12363,nEVAL,"OR")=0))</f>
      </c>
      <c r="I12363">
        <f>IF(DATOS!$I12363="","",IFERROR(VLOOKUP(DATOS!$I12363,CONFIG_ASIGNATURAS!$B$2:$J$91,9,FALSE()),""))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IF(DATOS!$A12364="",0,IF(CONFIG_METADATA!$B$4&lt;&gt;"OR+EX",--(DATOS!$G12364=CONFIG_METADATA!$B$4),IF(DATOS!$G12364="EX",1,IF(DATOS!$G12364="OR",--(COUNTIFS(nNIA,DATOS!$A12364,nCURSO,DATOS!$D12364,nESPEC,DATOS!$E12364,nASIG,DATOS!$I12364,nEVAL,"EX")=0),0))))</f>
      </c>
      <c r="H12364">
        <f>IF(DATOS!$G12364&lt;&gt;"EX",0,--(COUNTIFS(nNIA,DATOS!$A12364,nCURSO,DATOS!$D12364,nESPEC,DATOS!$E12364,nASIG,DATOS!$I12364,nEVAL,"OR")=0))</f>
      </c>
      <c r="I12364">
        <f>IF(DATOS!$I12364="","",IFERROR(VLOOKUP(DATOS!$I12364,CONFIG_ASIGNATURAS!$B$2:$J$91,9,FALSE()),""))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IF(DATOS!$A12365="",0,IF(CONFIG_METADATA!$B$4&lt;&gt;"OR+EX",--(DATOS!$G12365=CONFIG_METADATA!$B$4),IF(DATOS!$G12365="EX",1,IF(DATOS!$G12365="OR",--(COUNTIFS(nNIA,DATOS!$A12365,nCURSO,DATOS!$D12365,nESPEC,DATOS!$E12365,nASIG,DATOS!$I12365,nEVAL,"EX")=0),0))))</f>
      </c>
      <c r="H12365">
        <f>IF(DATOS!$G12365&lt;&gt;"EX",0,--(COUNTIFS(nNIA,DATOS!$A12365,nCURSO,DATOS!$D12365,nESPEC,DATOS!$E12365,nASIG,DATOS!$I12365,nEVAL,"OR")=0))</f>
      </c>
      <c r="I12365">
        <f>IF(DATOS!$I12365="","",IFERROR(VLOOKUP(DATOS!$I12365,CONFIG_ASIGNATURAS!$B$2:$J$91,9,FALSE()),""))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IF(DATOS!$A12366="",0,IF(CONFIG_METADATA!$B$4&lt;&gt;"OR+EX",--(DATOS!$G12366=CONFIG_METADATA!$B$4),IF(DATOS!$G12366="EX",1,IF(DATOS!$G12366="OR",--(COUNTIFS(nNIA,DATOS!$A12366,nCURSO,DATOS!$D12366,nESPEC,DATOS!$E12366,nASIG,DATOS!$I12366,nEVAL,"EX")=0),0))))</f>
      </c>
      <c r="H12366">
        <f>IF(DATOS!$G12366&lt;&gt;"EX",0,--(COUNTIFS(nNIA,DATOS!$A12366,nCURSO,DATOS!$D12366,nESPEC,DATOS!$E12366,nASIG,DATOS!$I12366,nEVAL,"OR")=0))</f>
      </c>
      <c r="I12366">
        <f>IF(DATOS!$I12366="","",IFERROR(VLOOKUP(DATOS!$I12366,CONFIG_ASIGNATURAS!$B$2:$J$91,9,FALSE()),""))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IF(DATOS!$A12367="",0,IF(CONFIG_METADATA!$B$4&lt;&gt;"OR+EX",--(DATOS!$G12367=CONFIG_METADATA!$B$4),IF(DATOS!$G12367="EX",1,IF(DATOS!$G12367="OR",--(COUNTIFS(nNIA,DATOS!$A12367,nCURSO,DATOS!$D12367,nESPEC,DATOS!$E12367,nASIG,DATOS!$I12367,nEVAL,"EX")=0),0))))</f>
      </c>
      <c r="H12367">
        <f>IF(DATOS!$G12367&lt;&gt;"EX",0,--(COUNTIFS(nNIA,DATOS!$A12367,nCURSO,DATOS!$D12367,nESPEC,DATOS!$E12367,nASIG,DATOS!$I12367,nEVAL,"OR")=0))</f>
      </c>
      <c r="I12367">
        <f>IF(DATOS!$I12367="","",IFERROR(VLOOKUP(DATOS!$I12367,CONFIG_ASIGNATURAS!$B$2:$J$91,9,FALSE()),""))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IF(DATOS!$A12368="",0,IF(CONFIG_METADATA!$B$4&lt;&gt;"OR+EX",--(DATOS!$G12368=CONFIG_METADATA!$B$4),IF(DATOS!$G12368="EX",1,IF(DATOS!$G12368="OR",--(COUNTIFS(nNIA,DATOS!$A12368,nCURSO,DATOS!$D12368,nESPEC,DATOS!$E12368,nASIG,DATOS!$I12368,nEVAL,"EX")=0),0))))</f>
      </c>
      <c r="H12368">
        <f>IF(DATOS!$G12368&lt;&gt;"EX",0,--(COUNTIFS(nNIA,DATOS!$A12368,nCURSO,DATOS!$D12368,nESPEC,DATOS!$E12368,nASIG,DATOS!$I12368,nEVAL,"OR")=0))</f>
      </c>
      <c r="I12368">
        <f>IF(DATOS!$I12368="","",IFERROR(VLOOKUP(DATOS!$I12368,CONFIG_ASIGNATURAS!$B$2:$J$91,9,FALSE()),""))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IF(DATOS!$A12369="",0,IF(CONFIG_METADATA!$B$4&lt;&gt;"OR+EX",--(DATOS!$G12369=CONFIG_METADATA!$B$4),IF(DATOS!$G12369="EX",1,IF(DATOS!$G12369="OR",--(COUNTIFS(nNIA,DATOS!$A12369,nCURSO,DATOS!$D12369,nESPEC,DATOS!$E12369,nASIG,DATOS!$I12369,nEVAL,"EX")=0),0))))</f>
      </c>
      <c r="H12369">
        <f>IF(DATOS!$G12369&lt;&gt;"EX",0,--(COUNTIFS(nNIA,DATOS!$A12369,nCURSO,DATOS!$D12369,nESPEC,DATOS!$E12369,nASIG,DATOS!$I12369,nEVAL,"OR")=0))</f>
      </c>
      <c r="I12369">
        <f>IF(DATOS!$I12369="","",IFERROR(VLOOKUP(DATOS!$I12369,CONFIG_ASIGNATURAS!$B$2:$J$91,9,FALSE()),""))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IF(DATOS!$A12370="",0,IF(CONFIG_METADATA!$B$4&lt;&gt;"OR+EX",--(DATOS!$G12370=CONFIG_METADATA!$B$4),IF(DATOS!$G12370="EX",1,IF(DATOS!$G12370="OR",--(COUNTIFS(nNIA,DATOS!$A12370,nCURSO,DATOS!$D12370,nESPEC,DATOS!$E12370,nASIG,DATOS!$I12370,nEVAL,"EX")=0),0))))</f>
      </c>
      <c r="H12370">
        <f>IF(DATOS!$G12370&lt;&gt;"EX",0,--(COUNTIFS(nNIA,DATOS!$A12370,nCURSO,DATOS!$D12370,nESPEC,DATOS!$E12370,nASIG,DATOS!$I12370,nEVAL,"OR")=0))</f>
      </c>
      <c r="I12370">
        <f>IF(DATOS!$I12370="","",IFERROR(VLOOKUP(DATOS!$I12370,CONFIG_ASIGNATURAS!$B$2:$J$91,9,FALSE()),""))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IF(DATOS!$A12371="",0,IF(CONFIG_METADATA!$B$4&lt;&gt;"OR+EX",--(DATOS!$G12371=CONFIG_METADATA!$B$4),IF(DATOS!$G12371="EX",1,IF(DATOS!$G12371="OR",--(COUNTIFS(nNIA,DATOS!$A12371,nCURSO,DATOS!$D12371,nESPEC,DATOS!$E12371,nASIG,DATOS!$I12371,nEVAL,"EX")=0),0))))</f>
      </c>
      <c r="H12371">
        <f>IF(DATOS!$G12371&lt;&gt;"EX",0,--(COUNTIFS(nNIA,DATOS!$A12371,nCURSO,DATOS!$D12371,nESPEC,DATOS!$E12371,nASIG,DATOS!$I12371,nEVAL,"OR")=0))</f>
      </c>
      <c r="I12371">
        <f>IF(DATOS!$I12371="","",IFERROR(VLOOKUP(DATOS!$I12371,CONFIG_ASIGNATURAS!$B$2:$J$91,9,FALSE()),""))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IF(DATOS!$A12372="",0,IF(CONFIG_METADATA!$B$4&lt;&gt;"OR+EX",--(DATOS!$G12372=CONFIG_METADATA!$B$4),IF(DATOS!$G12372="EX",1,IF(DATOS!$G12372="OR",--(COUNTIFS(nNIA,DATOS!$A12372,nCURSO,DATOS!$D12372,nESPEC,DATOS!$E12372,nASIG,DATOS!$I12372,nEVAL,"EX")=0),0))))</f>
      </c>
      <c r="H12372">
        <f>IF(DATOS!$G12372&lt;&gt;"EX",0,--(COUNTIFS(nNIA,DATOS!$A12372,nCURSO,DATOS!$D12372,nESPEC,DATOS!$E12372,nASIG,DATOS!$I12372,nEVAL,"OR")=0))</f>
      </c>
      <c r="I12372">
        <f>IF(DATOS!$I12372="","",IFERROR(VLOOKUP(DATOS!$I12372,CONFIG_ASIGNATURAS!$B$2:$J$91,9,FALSE()),""))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IF(DATOS!$A12373="",0,IF(CONFIG_METADATA!$B$4&lt;&gt;"OR+EX",--(DATOS!$G12373=CONFIG_METADATA!$B$4),IF(DATOS!$G12373="EX",1,IF(DATOS!$G12373="OR",--(COUNTIFS(nNIA,DATOS!$A12373,nCURSO,DATOS!$D12373,nESPEC,DATOS!$E12373,nASIG,DATOS!$I12373,nEVAL,"EX")=0),0))))</f>
      </c>
      <c r="H12373">
        <f>IF(DATOS!$G12373&lt;&gt;"EX",0,--(COUNTIFS(nNIA,DATOS!$A12373,nCURSO,DATOS!$D12373,nESPEC,DATOS!$E12373,nASIG,DATOS!$I12373,nEVAL,"OR")=0))</f>
      </c>
      <c r="I12373">
        <f>IF(DATOS!$I12373="","",IFERROR(VLOOKUP(DATOS!$I12373,CONFIG_ASIGNATURAS!$B$2:$J$91,9,FALSE()),""))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IF(DATOS!$A12374="",0,IF(CONFIG_METADATA!$B$4&lt;&gt;"OR+EX",--(DATOS!$G12374=CONFIG_METADATA!$B$4),IF(DATOS!$G12374="EX",1,IF(DATOS!$G12374="OR",--(COUNTIFS(nNIA,DATOS!$A12374,nCURSO,DATOS!$D12374,nESPEC,DATOS!$E12374,nASIG,DATOS!$I12374,nEVAL,"EX")=0),0))))</f>
      </c>
      <c r="H12374">
        <f>IF(DATOS!$G12374&lt;&gt;"EX",0,--(COUNTIFS(nNIA,DATOS!$A12374,nCURSO,DATOS!$D12374,nESPEC,DATOS!$E12374,nASIG,DATOS!$I12374,nEVAL,"OR")=0))</f>
      </c>
      <c r="I12374">
        <f>IF(DATOS!$I12374="","",IFERROR(VLOOKUP(DATOS!$I12374,CONFIG_ASIGNATURAS!$B$2:$J$91,9,FALSE()),""))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IF(DATOS!$A12375="",0,IF(CONFIG_METADATA!$B$4&lt;&gt;"OR+EX",--(DATOS!$G12375=CONFIG_METADATA!$B$4),IF(DATOS!$G12375="EX",1,IF(DATOS!$G12375="OR",--(COUNTIFS(nNIA,DATOS!$A12375,nCURSO,DATOS!$D12375,nESPEC,DATOS!$E12375,nASIG,DATOS!$I12375,nEVAL,"EX")=0),0))))</f>
      </c>
      <c r="H12375">
        <f>IF(DATOS!$G12375&lt;&gt;"EX",0,--(COUNTIFS(nNIA,DATOS!$A12375,nCURSO,DATOS!$D12375,nESPEC,DATOS!$E12375,nASIG,DATOS!$I12375,nEVAL,"OR")=0))</f>
      </c>
      <c r="I12375">
        <f>IF(DATOS!$I12375="","",IFERROR(VLOOKUP(DATOS!$I12375,CONFIG_ASIGNATURAS!$B$2:$J$91,9,FALSE()),""))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IF(DATOS!$A12376="",0,IF(CONFIG_METADATA!$B$4&lt;&gt;"OR+EX",--(DATOS!$G12376=CONFIG_METADATA!$B$4),IF(DATOS!$G12376="EX",1,IF(DATOS!$G12376="OR",--(COUNTIFS(nNIA,DATOS!$A12376,nCURSO,DATOS!$D12376,nESPEC,DATOS!$E12376,nASIG,DATOS!$I12376,nEVAL,"EX")=0),0))))</f>
      </c>
      <c r="H12376">
        <f>IF(DATOS!$G12376&lt;&gt;"EX",0,--(COUNTIFS(nNIA,DATOS!$A12376,nCURSO,DATOS!$D12376,nESPEC,DATOS!$E12376,nASIG,DATOS!$I12376,nEVAL,"OR")=0))</f>
      </c>
      <c r="I12376">
        <f>IF(DATOS!$I12376="","",IFERROR(VLOOKUP(DATOS!$I12376,CONFIG_ASIGNATURAS!$B$2:$J$91,9,FALSE()),""))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IF(DATOS!$A12377="",0,IF(CONFIG_METADATA!$B$4&lt;&gt;"OR+EX",--(DATOS!$G12377=CONFIG_METADATA!$B$4),IF(DATOS!$G12377="EX",1,IF(DATOS!$G12377="OR",--(COUNTIFS(nNIA,DATOS!$A12377,nCURSO,DATOS!$D12377,nESPEC,DATOS!$E12377,nASIG,DATOS!$I12377,nEVAL,"EX")=0),0))))</f>
      </c>
      <c r="H12377">
        <f>IF(DATOS!$G12377&lt;&gt;"EX",0,--(COUNTIFS(nNIA,DATOS!$A12377,nCURSO,DATOS!$D12377,nESPEC,DATOS!$E12377,nASIG,DATOS!$I12377,nEVAL,"OR")=0))</f>
      </c>
      <c r="I12377">
        <f>IF(DATOS!$I12377="","",IFERROR(VLOOKUP(DATOS!$I12377,CONFIG_ASIGNATURAS!$B$2:$J$91,9,FALSE()),""))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IF(DATOS!$A12378="",0,IF(CONFIG_METADATA!$B$4&lt;&gt;"OR+EX",--(DATOS!$G12378=CONFIG_METADATA!$B$4),IF(DATOS!$G12378="EX",1,IF(DATOS!$G12378="OR",--(COUNTIFS(nNIA,DATOS!$A12378,nCURSO,DATOS!$D12378,nESPEC,DATOS!$E12378,nASIG,DATOS!$I12378,nEVAL,"EX")=0),0))))</f>
      </c>
      <c r="H12378">
        <f>IF(DATOS!$G12378&lt;&gt;"EX",0,--(COUNTIFS(nNIA,DATOS!$A12378,nCURSO,DATOS!$D12378,nESPEC,DATOS!$E12378,nASIG,DATOS!$I12378,nEVAL,"OR")=0))</f>
      </c>
      <c r="I12378">
        <f>IF(DATOS!$I12378="","",IFERROR(VLOOKUP(DATOS!$I12378,CONFIG_ASIGNATURAS!$B$2:$J$91,9,FALSE()),""))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IF(DATOS!$A12379="",0,IF(CONFIG_METADATA!$B$4&lt;&gt;"OR+EX",--(DATOS!$G12379=CONFIG_METADATA!$B$4),IF(DATOS!$G12379="EX",1,IF(DATOS!$G12379="OR",--(COUNTIFS(nNIA,DATOS!$A12379,nCURSO,DATOS!$D12379,nESPEC,DATOS!$E12379,nASIG,DATOS!$I12379,nEVAL,"EX")=0),0))))</f>
      </c>
      <c r="H12379">
        <f>IF(DATOS!$G12379&lt;&gt;"EX",0,--(COUNTIFS(nNIA,DATOS!$A12379,nCURSO,DATOS!$D12379,nESPEC,DATOS!$E12379,nASIG,DATOS!$I12379,nEVAL,"OR")=0))</f>
      </c>
      <c r="I12379">
        <f>IF(DATOS!$I12379="","",IFERROR(VLOOKUP(DATOS!$I12379,CONFIG_ASIGNATURAS!$B$2:$J$91,9,FALSE()),""))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IF(DATOS!$A12380="",0,IF(CONFIG_METADATA!$B$4&lt;&gt;"OR+EX",--(DATOS!$G12380=CONFIG_METADATA!$B$4),IF(DATOS!$G12380="EX",1,IF(DATOS!$G12380="OR",--(COUNTIFS(nNIA,DATOS!$A12380,nCURSO,DATOS!$D12380,nESPEC,DATOS!$E12380,nASIG,DATOS!$I12380,nEVAL,"EX")=0),0))))</f>
      </c>
      <c r="H12380">
        <f>IF(DATOS!$G12380&lt;&gt;"EX",0,--(COUNTIFS(nNIA,DATOS!$A12380,nCURSO,DATOS!$D12380,nESPEC,DATOS!$E12380,nASIG,DATOS!$I12380,nEVAL,"OR")=0))</f>
      </c>
      <c r="I12380">
        <f>IF(DATOS!$I12380="","",IFERROR(VLOOKUP(DATOS!$I12380,CONFIG_ASIGNATURAS!$B$2:$J$91,9,FALSE()),""))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IF(DATOS!$A12381="",0,IF(CONFIG_METADATA!$B$4&lt;&gt;"OR+EX",--(DATOS!$G12381=CONFIG_METADATA!$B$4),IF(DATOS!$G12381="EX",1,IF(DATOS!$G12381="OR",--(COUNTIFS(nNIA,DATOS!$A12381,nCURSO,DATOS!$D12381,nESPEC,DATOS!$E12381,nASIG,DATOS!$I12381,nEVAL,"EX")=0),0))))</f>
      </c>
      <c r="H12381">
        <f>IF(DATOS!$G12381&lt;&gt;"EX",0,--(COUNTIFS(nNIA,DATOS!$A12381,nCURSO,DATOS!$D12381,nESPEC,DATOS!$E12381,nASIG,DATOS!$I12381,nEVAL,"OR")=0))</f>
      </c>
      <c r="I12381">
        <f>IF(DATOS!$I12381="","",IFERROR(VLOOKUP(DATOS!$I12381,CONFIG_ASIGNATURAS!$B$2:$J$91,9,FALSE()),""))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IF(DATOS!$A12382="",0,IF(CONFIG_METADATA!$B$4&lt;&gt;"OR+EX",--(DATOS!$G12382=CONFIG_METADATA!$B$4),IF(DATOS!$G12382="EX",1,IF(DATOS!$G12382="OR",--(COUNTIFS(nNIA,DATOS!$A12382,nCURSO,DATOS!$D12382,nESPEC,DATOS!$E12382,nASIG,DATOS!$I12382,nEVAL,"EX")=0),0))))</f>
      </c>
      <c r="H12382">
        <f>IF(DATOS!$G12382&lt;&gt;"EX",0,--(COUNTIFS(nNIA,DATOS!$A12382,nCURSO,DATOS!$D12382,nESPEC,DATOS!$E12382,nASIG,DATOS!$I12382,nEVAL,"OR")=0))</f>
      </c>
      <c r="I12382">
        <f>IF(DATOS!$I12382="","",IFERROR(VLOOKUP(DATOS!$I12382,CONFIG_ASIGNATURAS!$B$2:$J$91,9,FALSE()),""))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IF(DATOS!$A12383="",0,IF(CONFIG_METADATA!$B$4&lt;&gt;"OR+EX",--(DATOS!$G12383=CONFIG_METADATA!$B$4),IF(DATOS!$G12383="EX",1,IF(DATOS!$G12383="OR",--(COUNTIFS(nNIA,DATOS!$A12383,nCURSO,DATOS!$D12383,nESPEC,DATOS!$E12383,nASIG,DATOS!$I12383,nEVAL,"EX")=0),0))))</f>
      </c>
      <c r="H12383">
        <f>IF(DATOS!$G12383&lt;&gt;"EX",0,--(COUNTIFS(nNIA,DATOS!$A12383,nCURSO,DATOS!$D12383,nESPEC,DATOS!$E12383,nASIG,DATOS!$I12383,nEVAL,"OR")=0))</f>
      </c>
      <c r="I12383">
        <f>IF(DATOS!$I12383="","",IFERROR(VLOOKUP(DATOS!$I12383,CONFIG_ASIGNATURAS!$B$2:$J$91,9,FALSE()),""))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IF(DATOS!$A12384="",0,IF(CONFIG_METADATA!$B$4&lt;&gt;"OR+EX",--(DATOS!$G12384=CONFIG_METADATA!$B$4),IF(DATOS!$G12384="EX",1,IF(DATOS!$G12384="OR",--(COUNTIFS(nNIA,DATOS!$A12384,nCURSO,DATOS!$D12384,nESPEC,DATOS!$E12384,nASIG,DATOS!$I12384,nEVAL,"EX")=0),0))))</f>
      </c>
      <c r="H12384">
        <f>IF(DATOS!$G12384&lt;&gt;"EX",0,--(COUNTIFS(nNIA,DATOS!$A12384,nCURSO,DATOS!$D12384,nESPEC,DATOS!$E12384,nASIG,DATOS!$I12384,nEVAL,"OR")=0))</f>
      </c>
      <c r="I12384">
        <f>IF(DATOS!$I12384="","",IFERROR(VLOOKUP(DATOS!$I12384,CONFIG_ASIGNATURAS!$B$2:$J$91,9,FALSE()),""))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IF(DATOS!$A12385="",0,IF(CONFIG_METADATA!$B$4&lt;&gt;"OR+EX",--(DATOS!$G12385=CONFIG_METADATA!$B$4),IF(DATOS!$G12385="EX",1,IF(DATOS!$G12385="OR",--(COUNTIFS(nNIA,DATOS!$A12385,nCURSO,DATOS!$D12385,nESPEC,DATOS!$E12385,nASIG,DATOS!$I12385,nEVAL,"EX")=0),0))))</f>
      </c>
      <c r="H12385">
        <f>IF(DATOS!$G12385&lt;&gt;"EX",0,--(COUNTIFS(nNIA,DATOS!$A12385,nCURSO,DATOS!$D12385,nESPEC,DATOS!$E12385,nASIG,DATOS!$I12385,nEVAL,"OR")=0))</f>
      </c>
      <c r="I12385">
        <f>IF(DATOS!$I12385="","",IFERROR(VLOOKUP(DATOS!$I12385,CONFIG_ASIGNATURAS!$B$2:$J$91,9,FALSE()),""))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IF(DATOS!$A12386="",0,IF(CONFIG_METADATA!$B$4&lt;&gt;"OR+EX",--(DATOS!$G12386=CONFIG_METADATA!$B$4),IF(DATOS!$G12386="EX",1,IF(DATOS!$G12386="OR",--(COUNTIFS(nNIA,DATOS!$A12386,nCURSO,DATOS!$D12386,nESPEC,DATOS!$E12386,nASIG,DATOS!$I12386,nEVAL,"EX")=0),0))))</f>
      </c>
      <c r="H12386">
        <f>IF(DATOS!$G12386&lt;&gt;"EX",0,--(COUNTIFS(nNIA,DATOS!$A12386,nCURSO,DATOS!$D12386,nESPEC,DATOS!$E12386,nASIG,DATOS!$I12386,nEVAL,"OR")=0))</f>
      </c>
      <c r="I12386">
        <f>IF(DATOS!$I12386="","",IFERROR(VLOOKUP(DATOS!$I12386,CONFIG_ASIGNATURAS!$B$2:$J$91,9,FALSE()),""))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IF(DATOS!$A12387="",0,IF(CONFIG_METADATA!$B$4&lt;&gt;"OR+EX",--(DATOS!$G12387=CONFIG_METADATA!$B$4),IF(DATOS!$G12387="EX",1,IF(DATOS!$G12387="OR",--(COUNTIFS(nNIA,DATOS!$A12387,nCURSO,DATOS!$D12387,nESPEC,DATOS!$E12387,nASIG,DATOS!$I12387,nEVAL,"EX")=0),0))))</f>
      </c>
      <c r="H12387">
        <f>IF(DATOS!$G12387&lt;&gt;"EX",0,--(COUNTIFS(nNIA,DATOS!$A12387,nCURSO,DATOS!$D12387,nESPEC,DATOS!$E12387,nASIG,DATOS!$I12387,nEVAL,"OR")=0))</f>
      </c>
      <c r="I12387">
        <f>IF(DATOS!$I12387="","",IFERROR(VLOOKUP(DATOS!$I12387,CONFIG_ASIGNATURAS!$B$2:$J$91,9,FALSE()),""))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IF(DATOS!$A12388="",0,IF(CONFIG_METADATA!$B$4&lt;&gt;"OR+EX",--(DATOS!$G12388=CONFIG_METADATA!$B$4),IF(DATOS!$G12388="EX",1,IF(DATOS!$G12388="OR",--(COUNTIFS(nNIA,DATOS!$A12388,nCURSO,DATOS!$D12388,nESPEC,DATOS!$E12388,nASIG,DATOS!$I12388,nEVAL,"EX")=0),0))))</f>
      </c>
      <c r="H12388">
        <f>IF(DATOS!$G12388&lt;&gt;"EX",0,--(COUNTIFS(nNIA,DATOS!$A12388,nCURSO,DATOS!$D12388,nESPEC,DATOS!$E12388,nASIG,DATOS!$I12388,nEVAL,"OR")=0))</f>
      </c>
      <c r="I12388">
        <f>IF(DATOS!$I12388="","",IFERROR(VLOOKUP(DATOS!$I12388,CONFIG_ASIGNATURAS!$B$2:$J$91,9,FALSE()),""))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IF(DATOS!$A12389="",0,IF(CONFIG_METADATA!$B$4&lt;&gt;"OR+EX",--(DATOS!$G12389=CONFIG_METADATA!$B$4),IF(DATOS!$G12389="EX",1,IF(DATOS!$G12389="OR",--(COUNTIFS(nNIA,DATOS!$A12389,nCURSO,DATOS!$D12389,nESPEC,DATOS!$E12389,nASIG,DATOS!$I12389,nEVAL,"EX")=0),0))))</f>
      </c>
      <c r="H12389">
        <f>IF(DATOS!$G12389&lt;&gt;"EX",0,--(COUNTIFS(nNIA,DATOS!$A12389,nCURSO,DATOS!$D12389,nESPEC,DATOS!$E12389,nASIG,DATOS!$I12389,nEVAL,"OR")=0))</f>
      </c>
      <c r="I12389">
        <f>IF(DATOS!$I12389="","",IFERROR(VLOOKUP(DATOS!$I12389,CONFIG_ASIGNATURAS!$B$2:$J$91,9,FALSE()),""))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IF(DATOS!$A12390="",0,IF(CONFIG_METADATA!$B$4&lt;&gt;"OR+EX",--(DATOS!$G12390=CONFIG_METADATA!$B$4),IF(DATOS!$G12390="EX",1,IF(DATOS!$G12390="OR",--(COUNTIFS(nNIA,DATOS!$A12390,nCURSO,DATOS!$D12390,nESPEC,DATOS!$E12390,nASIG,DATOS!$I12390,nEVAL,"EX")=0),0))))</f>
      </c>
      <c r="H12390">
        <f>IF(DATOS!$G12390&lt;&gt;"EX",0,--(COUNTIFS(nNIA,DATOS!$A12390,nCURSO,DATOS!$D12390,nESPEC,DATOS!$E12390,nASIG,DATOS!$I12390,nEVAL,"OR")=0))</f>
      </c>
      <c r="I12390">
        <f>IF(DATOS!$I12390="","",IFERROR(VLOOKUP(DATOS!$I12390,CONFIG_ASIGNATURAS!$B$2:$J$91,9,FALSE()),""))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IF(DATOS!$A12391="",0,IF(CONFIG_METADATA!$B$4&lt;&gt;"OR+EX",--(DATOS!$G12391=CONFIG_METADATA!$B$4),IF(DATOS!$G12391="EX",1,IF(DATOS!$G12391="OR",--(COUNTIFS(nNIA,DATOS!$A12391,nCURSO,DATOS!$D12391,nESPEC,DATOS!$E12391,nASIG,DATOS!$I12391,nEVAL,"EX")=0),0))))</f>
      </c>
      <c r="H12391">
        <f>IF(DATOS!$G12391&lt;&gt;"EX",0,--(COUNTIFS(nNIA,DATOS!$A12391,nCURSO,DATOS!$D12391,nESPEC,DATOS!$E12391,nASIG,DATOS!$I12391,nEVAL,"OR")=0))</f>
      </c>
      <c r="I12391">
        <f>IF(DATOS!$I12391="","",IFERROR(VLOOKUP(DATOS!$I12391,CONFIG_ASIGNATURAS!$B$2:$J$91,9,FALSE()),""))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IF(DATOS!$A12392="",0,IF(CONFIG_METADATA!$B$4&lt;&gt;"OR+EX",--(DATOS!$G12392=CONFIG_METADATA!$B$4),IF(DATOS!$G12392="EX",1,IF(DATOS!$G12392="OR",--(COUNTIFS(nNIA,DATOS!$A12392,nCURSO,DATOS!$D12392,nESPEC,DATOS!$E12392,nASIG,DATOS!$I12392,nEVAL,"EX")=0),0))))</f>
      </c>
      <c r="H12392">
        <f>IF(DATOS!$G12392&lt;&gt;"EX",0,--(COUNTIFS(nNIA,DATOS!$A12392,nCURSO,DATOS!$D12392,nESPEC,DATOS!$E12392,nASIG,DATOS!$I12392,nEVAL,"OR")=0))</f>
      </c>
      <c r="I12392">
        <f>IF(DATOS!$I12392="","",IFERROR(VLOOKUP(DATOS!$I12392,CONFIG_ASIGNATURAS!$B$2:$J$91,9,FALSE()),""))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IF(DATOS!$A12393="",0,IF(CONFIG_METADATA!$B$4&lt;&gt;"OR+EX",--(DATOS!$G12393=CONFIG_METADATA!$B$4),IF(DATOS!$G12393="EX",1,IF(DATOS!$G12393="OR",--(COUNTIFS(nNIA,DATOS!$A12393,nCURSO,DATOS!$D12393,nESPEC,DATOS!$E12393,nASIG,DATOS!$I12393,nEVAL,"EX")=0),0))))</f>
      </c>
      <c r="H12393">
        <f>IF(DATOS!$G12393&lt;&gt;"EX",0,--(COUNTIFS(nNIA,DATOS!$A12393,nCURSO,DATOS!$D12393,nESPEC,DATOS!$E12393,nASIG,DATOS!$I12393,nEVAL,"OR")=0))</f>
      </c>
      <c r="I12393">
        <f>IF(DATOS!$I12393="","",IFERROR(VLOOKUP(DATOS!$I12393,CONFIG_ASIGNATURAS!$B$2:$J$91,9,FALSE()),""))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IF(DATOS!$A12394="",0,IF(CONFIG_METADATA!$B$4&lt;&gt;"OR+EX",--(DATOS!$G12394=CONFIG_METADATA!$B$4),IF(DATOS!$G12394="EX",1,IF(DATOS!$G12394="OR",--(COUNTIFS(nNIA,DATOS!$A12394,nCURSO,DATOS!$D12394,nESPEC,DATOS!$E12394,nASIG,DATOS!$I12394,nEVAL,"EX")=0),0))))</f>
      </c>
      <c r="H12394">
        <f>IF(DATOS!$G12394&lt;&gt;"EX",0,--(COUNTIFS(nNIA,DATOS!$A12394,nCURSO,DATOS!$D12394,nESPEC,DATOS!$E12394,nASIG,DATOS!$I12394,nEVAL,"OR")=0))</f>
      </c>
      <c r="I12394">
        <f>IF(DATOS!$I12394="","",IFERROR(VLOOKUP(DATOS!$I12394,CONFIG_ASIGNATURAS!$B$2:$J$91,9,FALSE()),""))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IF(DATOS!$A12395="",0,IF(CONFIG_METADATA!$B$4&lt;&gt;"OR+EX",--(DATOS!$G12395=CONFIG_METADATA!$B$4),IF(DATOS!$G12395="EX",1,IF(DATOS!$G12395="OR",--(COUNTIFS(nNIA,DATOS!$A12395,nCURSO,DATOS!$D12395,nESPEC,DATOS!$E12395,nASIG,DATOS!$I12395,nEVAL,"EX")=0),0))))</f>
      </c>
      <c r="H12395">
        <f>IF(DATOS!$G12395&lt;&gt;"EX",0,--(COUNTIFS(nNIA,DATOS!$A12395,nCURSO,DATOS!$D12395,nESPEC,DATOS!$E12395,nASIG,DATOS!$I12395,nEVAL,"OR")=0))</f>
      </c>
      <c r="I12395">
        <f>IF(DATOS!$I12395="","",IFERROR(VLOOKUP(DATOS!$I12395,CONFIG_ASIGNATURAS!$B$2:$J$91,9,FALSE()),""))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IF(DATOS!$A12396="",0,IF(CONFIG_METADATA!$B$4&lt;&gt;"OR+EX",--(DATOS!$G12396=CONFIG_METADATA!$B$4),IF(DATOS!$G12396="EX",1,IF(DATOS!$G12396="OR",--(COUNTIFS(nNIA,DATOS!$A12396,nCURSO,DATOS!$D12396,nESPEC,DATOS!$E12396,nASIG,DATOS!$I12396,nEVAL,"EX")=0),0))))</f>
      </c>
      <c r="H12396">
        <f>IF(DATOS!$G12396&lt;&gt;"EX",0,--(COUNTIFS(nNIA,DATOS!$A12396,nCURSO,DATOS!$D12396,nESPEC,DATOS!$E12396,nASIG,DATOS!$I12396,nEVAL,"OR")=0))</f>
      </c>
      <c r="I12396">
        <f>IF(DATOS!$I12396="","",IFERROR(VLOOKUP(DATOS!$I12396,CONFIG_ASIGNATURAS!$B$2:$J$91,9,FALSE()),""))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IF(DATOS!$A12397="",0,IF(CONFIG_METADATA!$B$4&lt;&gt;"OR+EX",--(DATOS!$G12397=CONFIG_METADATA!$B$4),IF(DATOS!$G12397="EX",1,IF(DATOS!$G12397="OR",--(COUNTIFS(nNIA,DATOS!$A12397,nCURSO,DATOS!$D12397,nESPEC,DATOS!$E12397,nASIG,DATOS!$I12397,nEVAL,"EX")=0),0))))</f>
      </c>
      <c r="H12397">
        <f>IF(DATOS!$G12397&lt;&gt;"EX",0,--(COUNTIFS(nNIA,DATOS!$A12397,nCURSO,DATOS!$D12397,nESPEC,DATOS!$E12397,nASIG,DATOS!$I12397,nEVAL,"OR")=0))</f>
      </c>
      <c r="I12397">
        <f>IF(DATOS!$I12397="","",IFERROR(VLOOKUP(DATOS!$I12397,CONFIG_ASIGNATURAS!$B$2:$J$91,9,FALSE()),""))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IF(DATOS!$A12398="",0,IF(CONFIG_METADATA!$B$4&lt;&gt;"OR+EX",--(DATOS!$G12398=CONFIG_METADATA!$B$4),IF(DATOS!$G12398="EX",1,IF(DATOS!$G12398="OR",--(COUNTIFS(nNIA,DATOS!$A12398,nCURSO,DATOS!$D12398,nESPEC,DATOS!$E12398,nASIG,DATOS!$I12398,nEVAL,"EX")=0),0))))</f>
      </c>
      <c r="H12398">
        <f>IF(DATOS!$G12398&lt;&gt;"EX",0,--(COUNTIFS(nNIA,DATOS!$A12398,nCURSO,DATOS!$D12398,nESPEC,DATOS!$E12398,nASIG,DATOS!$I12398,nEVAL,"OR")=0))</f>
      </c>
      <c r="I12398">
        <f>IF(DATOS!$I12398="","",IFERROR(VLOOKUP(DATOS!$I12398,CONFIG_ASIGNATURAS!$B$2:$J$91,9,FALSE()),""))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IF(DATOS!$A12399="",0,IF(CONFIG_METADATA!$B$4&lt;&gt;"OR+EX",--(DATOS!$G12399=CONFIG_METADATA!$B$4),IF(DATOS!$G12399="EX",1,IF(DATOS!$G12399="OR",--(COUNTIFS(nNIA,DATOS!$A12399,nCURSO,DATOS!$D12399,nESPEC,DATOS!$E12399,nASIG,DATOS!$I12399,nEVAL,"EX")=0),0))))</f>
      </c>
      <c r="H12399">
        <f>IF(DATOS!$G12399&lt;&gt;"EX",0,--(COUNTIFS(nNIA,DATOS!$A12399,nCURSO,DATOS!$D12399,nESPEC,DATOS!$E12399,nASIG,DATOS!$I12399,nEVAL,"OR")=0))</f>
      </c>
      <c r="I12399">
        <f>IF(DATOS!$I12399="","",IFERROR(VLOOKUP(DATOS!$I12399,CONFIG_ASIGNATURAS!$B$2:$J$91,9,FALSE()),""))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IF(DATOS!$A12400="",0,IF(CONFIG_METADATA!$B$4&lt;&gt;"OR+EX",--(DATOS!$G12400=CONFIG_METADATA!$B$4),IF(DATOS!$G12400="EX",1,IF(DATOS!$G12400="OR",--(COUNTIFS(nNIA,DATOS!$A12400,nCURSO,DATOS!$D12400,nESPEC,DATOS!$E12400,nASIG,DATOS!$I12400,nEVAL,"EX")=0),0))))</f>
      </c>
      <c r="H12400">
        <f>IF(DATOS!$G12400&lt;&gt;"EX",0,--(COUNTIFS(nNIA,DATOS!$A12400,nCURSO,DATOS!$D12400,nESPEC,DATOS!$E12400,nASIG,DATOS!$I12400,nEVAL,"OR")=0))</f>
      </c>
      <c r="I12400">
        <f>IF(DATOS!$I12400="","",IFERROR(VLOOKUP(DATOS!$I12400,CONFIG_ASIGNATURAS!$B$2:$J$91,9,FALSE()),""))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IF(DATOS!$A12401="",0,IF(CONFIG_METADATA!$B$4&lt;&gt;"OR+EX",--(DATOS!$G12401=CONFIG_METADATA!$B$4),IF(DATOS!$G12401="EX",1,IF(DATOS!$G12401="OR",--(COUNTIFS(nNIA,DATOS!$A12401,nCURSO,DATOS!$D12401,nESPEC,DATOS!$E12401,nASIG,DATOS!$I12401,nEVAL,"EX")=0),0))))</f>
      </c>
      <c r="H12401">
        <f>IF(DATOS!$G12401&lt;&gt;"EX",0,--(COUNTIFS(nNIA,DATOS!$A12401,nCURSO,DATOS!$D12401,nESPEC,DATOS!$E12401,nASIG,DATOS!$I12401,nEVAL,"OR")=0))</f>
      </c>
      <c r="I12401">
        <f>IF(DATOS!$I12401="","",IFERROR(VLOOKUP(DATOS!$I12401,CONFIG_ASIGNATURAS!$B$2:$J$91,9,FALSE()),""))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IF(DATOS!$A12402="",0,IF(CONFIG_METADATA!$B$4&lt;&gt;"OR+EX",--(DATOS!$G12402=CONFIG_METADATA!$B$4),IF(DATOS!$G12402="EX",1,IF(DATOS!$G12402="OR",--(COUNTIFS(nNIA,DATOS!$A12402,nCURSO,DATOS!$D12402,nESPEC,DATOS!$E12402,nASIG,DATOS!$I12402,nEVAL,"EX")=0),0))))</f>
      </c>
      <c r="H12402">
        <f>IF(DATOS!$G12402&lt;&gt;"EX",0,--(COUNTIFS(nNIA,DATOS!$A12402,nCURSO,DATOS!$D12402,nESPEC,DATOS!$E12402,nASIG,DATOS!$I12402,nEVAL,"OR")=0))</f>
      </c>
      <c r="I12402">
        <f>IF(DATOS!$I12402="","",IFERROR(VLOOKUP(DATOS!$I12402,CONFIG_ASIGNATURAS!$B$2:$J$91,9,FALSE()),""))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IF(DATOS!$A12403="",0,IF(CONFIG_METADATA!$B$4&lt;&gt;"OR+EX",--(DATOS!$G12403=CONFIG_METADATA!$B$4),IF(DATOS!$G12403="EX",1,IF(DATOS!$G12403="OR",--(COUNTIFS(nNIA,DATOS!$A12403,nCURSO,DATOS!$D12403,nESPEC,DATOS!$E12403,nASIG,DATOS!$I12403,nEVAL,"EX")=0),0))))</f>
      </c>
      <c r="H12403">
        <f>IF(DATOS!$G12403&lt;&gt;"EX",0,--(COUNTIFS(nNIA,DATOS!$A12403,nCURSO,DATOS!$D12403,nESPEC,DATOS!$E12403,nASIG,DATOS!$I12403,nEVAL,"OR")=0))</f>
      </c>
      <c r="I12403">
        <f>IF(DATOS!$I12403="","",IFERROR(VLOOKUP(DATOS!$I12403,CONFIG_ASIGNATURAS!$B$2:$J$91,9,FALSE()),""))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IF(DATOS!$A12404="",0,IF(CONFIG_METADATA!$B$4&lt;&gt;"OR+EX",--(DATOS!$G12404=CONFIG_METADATA!$B$4),IF(DATOS!$G12404="EX",1,IF(DATOS!$G12404="OR",--(COUNTIFS(nNIA,DATOS!$A12404,nCURSO,DATOS!$D12404,nESPEC,DATOS!$E12404,nASIG,DATOS!$I12404,nEVAL,"EX")=0),0))))</f>
      </c>
      <c r="H12404">
        <f>IF(DATOS!$G12404&lt;&gt;"EX",0,--(COUNTIFS(nNIA,DATOS!$A12404,nCURSO,DATOS!$D12404,nESPEC,DATOS!$E12404,nASIG,DATOS!$I12404,nEVAL,"OR")=0))</f>
      </c>
      <c r="I12404">
        <f>IF(DATOS!$I12404="","",IFERROR(VLOOKUP(DATOS!$I12404,CONFIG_ASIGNATURAS!$B$2:$J$91,9,FALSE()),""))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IF(DATOS!$A12405="",0,IF(CONFIG_METADATA!$B$4&lt;&gt;"OR+EX",--(DATOS!$G12405=CONFIG_METADATA!$B$4),IF(DATOS!$G12405="EX",1,IF(DATOS!$G12405="OR",--(COUNTIFS(nNIA,DATOS!$A12405,nCURSO,DATOS!$D12405,nESPEC,DATOS!$E12405,nASIG,DATOS!$I12405,nEVAL,"EX")=0),0))))</f>
      </c>
      <c r="H12405">
        <f>IF(DATOS!$G12405&lt;&gt;"EX",0,--(COUNTIFS(nNIA,DATOS!$A12405,nCURSO,DATOS!$D12405,nESPEC,DATOS!$E12405,nASIG,DATOS!$I12405,nEVAL,"OR")=0))</f>
      </c>
      <c r="I12405">
        <f>IF(DATOS!$I12405="","",IFERROR(VLOOKUP(DATOS!$I12405,CONFIG_ASIGNATURAS!$B$2:$J$91,9,FALSE()),""))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IF(DATOS!$A12406="",0,IF(CONFIG_METADATA!$B$4&lt;&gt;"OR+EX",--(DATOS!$G12406=CONFIG_METADATA!$B$4),IF(DATOS!$G12406="EX",1,IF(DATOS!$G12406="OR",--(COUNTIFS(nNIA,DATOS!$A12406,nCURSO,DATOS!$D12406,nESPEC,DATOS!$E12406,nASIG,DATOS!$I12406,nEVAL,"EX")=0),0))))</f>
      </c>
      <c r="H12406">
        <f>IF(DATOS!$G12406&lt;&gt;"EX",0,--(COUNTIFS(nNIA,DATOS!$A12406,nCURSO,DATOS!$D12406,nESPEC,DATOS!$E12406,nASIG,DATOS!$I12406,nEVAL,"OR")=0))</f>
      </c>
      <c r="I12406">
        <f>IF(DATOS!$I12406="","",IFERROR(VLOOKUP(DATOS!$I12406,CONFIG_ASIGNATURAS!$B$2:$J$91,9,FALSE()),""))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IF(DATOS!$A12407="",0,IF(CONFIG_METADATA!$B$4&lt;&gt;"OR+EX",--(DATOS!$G12407=CONFIG_METADATA!$B$4),IF(DATOS!$G12407="EX",1,IF(DATOS!$G12407="OR",--(COUNTIFS(nNIA,DATOS!$A12407,nCURSO,DATOS!$D12407,nESPEC,DATOS!$E12407,nASIG,DATOS!$I12407,nEVAL,"EX")=0),0))))</f>
      </c>
      <c r="H12407">
        <f>IF(DATOS!$G12407&lt;&gt;"EX",0,--(COUNTIFS(nNIA,DATOS!$A12407,nCURSO,DATOS!$D12407,nESPEC,DATOS!$E12407,nASIG,DATOS!$I12407,nEVAL,"OR")=0))</f>
      </c>
      <c r="I12407">
        <f>IF(DATOS!$I12407="","",IFERROR(VLOOKUP(DATOS!$I12407,CONFIG_ASIGNATURAS!$B$2:$J$91,9,FALSE()),""))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IF(DATOS!$A12408="",0,IF(CONFIG_METADATA!$B$4&lt;&gt;"OR+EX",--(DATOS!$G12408=CONFIG_METADATA!$B$4),IF(DATOS!$G12408="EX",1,IF(DATOS!$G12408="OR",--(COUNTIFS(nNIA,DATOS!$A12408,nCURSO,DATOS!$D12408,nESPEC,DATOS!$E12408,nASIG,DATOS!$I12408,nEVAL,"EX")=0),0))))</f>
      </c>
      <c r="H12408">
        <f>IF(DATOS!$G12408&lt;&gt;"EX",0,--(COUNTIFS(nNIA,DATOS!$A12408,nCURSO,DATOS!$D12408,nESPEC,DATOS!$E12408,nASIG,DATOS!$I12408,nEVAL,"OR")=0))</f>
      </c>
      <c r="I12408">
        <f>IF(DATOS!$I12408="","",IFERROR(VLOOKUP(DATOS!$I12408,CONFIG_ASIGNATURAS!$B$2:$J$91,9,FALSE()),""))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IF(DATOS!$A12409="",0,IF(CONFIG_METADATA!$B$4&lt;&gt;"OR+EX",--(DATOS!$G12409=CONFIG_METADATA!$B$4),IF(DATOS!$G12409="EX",1,IF(DATOS!$G12409="OR",--(COUNTIFS(nNIA,DATOS!$A12409,nCURSO,DATOS!$D12409,nESPEC,DATOS!$E12409,nASIG,DATOS!$I12409,nEVAL,"EX")=0),0))))</f>
      </c>
      <c r="H12409">
        <f>IF(DATOS!$G12409&lt;&gt;"EX",0,--(COUNTIFS(nNIA,DATOS!$A12409,nCURSO,DATOS!$D12409,nESPEC,DATOS!$E12409,nASIG,DATOS!$I12409,nEVAL,"OR")=0))</f>
      </c>
      <c r="I12409">
        <f>IF(DATOS!$I12409="","",IFERROR(VLOOKUP(DATOS!$I12409,CONFIG_ASIGNATURAS!$B$2:$J$91,9,FALSE()),""))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IF(DATOS!$A12410="",0,IF(CONFIG_METADATA!$B$4&lt;&gt;"OR+EX",--(DATOS!$G12410=CONFIG_METADATA!$B$4),IF(DATOS!$G12410="EX",1,IF(DATOS!$G12410="OR",--(COUNTIFS(nNIA,DATOS!$A12410,nCURSO,DATOS!$D12410,nESPEC,DATOS!$E12410,nASIG,DATOS!$I12410,nEVAL,"EX")=0),0))))</f>
      </c>
      <c r="H12410">
        <f>IF(DATOS!$G12410&lt;&gt;"EX",0,--(COUNTIFS(nNIA,DATOS!$A12410,nCURSO,DATOS!$D12410,nESPEC,DATOS!$E12410,nASIG,DATOS!$I12410,nEVAL,"OR")=0))</f>
      </c>
      <c r="I12410">
        <f>IF(DATOS!$I12410="","",IFERROR(VLOOKUP(DATOS!$I12410,CONFIG_ASIGNATURAS!$B$2:$J$91,9,FALSE()),""))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IF(DATOS!$A12411="",0,IF(CONFIG_METADATA!$B$4&lt;&gt;"OR+EX",--(DATOS!$G12411=CONFIG_METADATA!$B$4),IF(DATOS!$G12411="EX",1,IF(DATOS!$G12411="OR",--(COUNTIFS(nNIA,DATOS!$A12411,nCURSO,DATOS!$D12411,nESPEC,DATOS!$E12411,nASIG,DATOS!$I12411,nEVAL,"EX")=0),0))))</f>
      </c>
      <c r="H12411">
        <f>IF(DATOS!$G12411&lt;&gt;"EX",0,--(COUNTIFS(nNIA,DATOS!$A12411,nCURSO,DATOS!$D12411,nESPEC,DATOS!$E12411,nASIG,DATOS!$I12411,nEVAL,"OR")=0))</f>
      </c>
      <c r="I12411">
        <f>IF(DATOS!$I12411="","",IFERROR(VLOOKUP(DATOS!$I12411,CONFIG_ASIGNATURAS!$B$2:$J$91,9,FALSE()),""))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IF(DATOS!$A12412="",0,IF(CONFIG_METADATA!$B$4&lt;&gt;"OR+EX",--(DATOS!$G12412=CONFIG_METADATA!$B$4),IF(DATOS!$G12412="EX",1,IF(DATOS!$G12412="OR",--(COUNTIFS(nNIA,DATOS!$A12412,nCURSO,DATOS!$D12412,nESPEC,DATOS!$E12412,nASIG,DATOS!$I12412,nEVAL,"EX")=0),0))))</f>
      </c>
      <c r="H12412">
        <f>IF(DATOS!$G12412&lt;&gt;"EX",0,--(COUNTIFS(nNIA,DATOS!$A12412,nCURSO,DATOS!$D12412,nESPEC,DATOS!$E12412,nASIG,DATOS!$I12412,nEVAL,"OR")=0))</f>
      </c>
      <c r="I12412">
        <f>IF(DATOS!$I12412="","",IFERROR(VLOOKUP(DATOS!$I12412,CONFIG_ASIGNATURAS!$B$2:$J$91,9,FALSE()),""))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IF(DATOS!$A12413="",0,IF(CONFIG_METADATA!$B$4&lt;&gt;"OR+EX",--(DATOS!$G12413=CONFIG_METADATA!$B$4),IF(DATOS!$G12413="EX",1,IF(DATOS!$G12413="OR",--(COUNTIFS(nNIA,DATOS!$A12413,nCURSO,DATOS!$D12413,nESPEC,DATOS!$E12413,nASIG,DATOS!$I12413,nEVAL,"EX")=0),0))))</f>
      </c>
      <c r="H12413">
        <f>IF(DATOS!$G12413&lt;&gt;"EX",0,--(COUNTIFS(nNIA,DATOS!$A12413,nCURSO,DATOS!$D12413,nESPEC,DATOS!$E12413,nASIG,DATOS!$I12413,nEVAL,"OR")=0))</f>
      </c>
      <c r="I12413">
        <f>IF(DATOS!$I12413="","",IFERROR(VLOOKUP(DATOS!$I12413,CONFIG_ASIGNATURAS!$B$2:$J$91,9,FALSE()),""))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IF(DATOS!$A12414="",0,IF(CONFIG_METADATA!$B$4&lt;&gt;"OR+EX",--(DATOS!$G12414=CONFIG_METADATA!$B$4),IF(DATOS!$G12414="EX",1,IF(DATOS!$G12414="OR",--(COUNTIFS(nNIA,DATOS!$A12414,nCURSO,DATOS!$D12414,nESPEC,DATOS!$E12414,nASIG,DATOS!$I12414,nEVAL,"EX")=0),0))))</f>
      </c>
      <c r="H12414">
        <f>IF(DATOS!$G12414&lt;&gt;"EX",0,--(COUNTIFS(nNIA,DATOS!$A12414,nCURSO,DATOS!$D12414,nESPEC,DATOS!$E12414,nASIG,DATOS!$I12414,nEVAL,"OR")=0))</f>
      </c>
      <c r="I12414">
        <f>IF(DATOS!$I12414="","",IFERROR(VLOOKUP(DATOS!$I12414,CONFIG_ASIGNATURAS!$B$2:$J$91,9,FALSE()),""))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IF(DATOS!$A12415="",0,IF(CONFIG_METADATA!$B$4&lt;&gt;"OR+EX",--(DATOS!$G12415=CONFIG_METADATA!$B$4),IF(DATOS!$G12415="EX",1,IF(DATOS!$G12415="OR",--(COUNTIFS(nNIA,DATOS!$A12415,nCURSO,DATOS!$D12415,nESPEC,DATOS!$E12415,nASIG,DATOS!$I12415,nEVAL,"EX")=0),0))))</f>
      </c>
      <c r="H12415">
        <f>IF(DATOS!$G12415&lt;&gt;"EX",0,--(COUNTIFS(nNIA,DATOS!$A12415,nCURSO,DATOS!$D12415,nESPEC,DATOS!$E12415,nASIG,DATOS!$I12415,nEVAL,"OR")=0))</f>
      </c>
      <c r="I12415">
        <f>IF(DATOS!$I12415="","",IFERROR(VLOOKUP(DATOS!$I12415,CONFIG_ASIGNATURAS!$B$2:$J$91,9,FALSE()),""))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IF(DATOS!$A12416="",0,IF(CONFIG_METADATA!$B$4&lt;&gt;"OR+EX",--(DATOS!$G12416=CONFIG_METADATA!$B$4),IF(DATOS!$G12416="EX",1,IF(DATOS!$G12416="OR",--(COUNTIFS(nNIA,DATOS!$A12416,nCURSO,DATOS!$D12416,nESPEC,DATOS!$E12416,nASIG,DATOS!$I12416,nEVAL,"EX")=0),0))))</f>
      </c>
      <c r="H12416">
        <f>IF(DATOS!$G12416&lt;&gt;"EX",0,--(COUNTIFS(nNIA,DATOS!$A12416,nCURSO,DATOS!$D12416,nESPEC,DATOS!$E12416,nASIG,DATOS!$I12416,nEVAL,"OR")=0))</f>
      </c>
      <c r="I12416">
        <f>IF(DATOS!$I12416="","",IFERROR(VLOOKUP(DATOS!$I12416,CONFIG_ASIGNATURAS!$B$2:$J$91,9,FALSE()),""))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IF(DATOS!$A12417="",0,IF(CONFIG_METADATA!$B$4&lt;&gt;"OR+EX",--(DATOS!$G12417=CONFIG_METADATA!$B$4),IF(DATOS!$G12417="EX",1,IF(DATOS!$G12417="OR",--(COUNTIFS(nNIA,DATOS!$A12417,nCURSO,DATOS!$D12417,nESPEC,DATOS!$E12417,nASIG,DATOS!$I12417,nEVAL,"EX")=0),0))))</f>
      </c>
      <c r="H12417">
        <f>IF(DATOS!$G12417&lt;&gt;"EX",0,--(COUNTIFS(nNIA,DATOS!$A12417,nCURSO,DATOS!$D12417,nESPEC,DATOS!$E12417,nASIG,DATOS!$I12417,nEVAL,"OR")=0))</f>
      </c>
      <c r="I12417">
        <f>IF(DATOS!$I12417="","",IFERROR(VLOOKUP(DATOS!$I12417,CONFIG_ASIGNATURAS!$B$2:$J$91,9,FALSE()),""))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IF(DATOS!$A12418="",0,IF(CONFIG_METADATA!$B$4&lt;&gt;"OR+EX",--(DATOS!$G12418=CONFIG_METADATA!$B$4),IF(DATOS!$G12418="EX",1,IF(DATOS!$G12418="OR",--(COUNTIFS(nNIA,DATOS!$A12418,nCURSO,DATOS!$D12418,nESPEC,DATOS!$E12418,nASIG,DATOS!$I12418,nEVAL,"EX")=0),0))))</f>
      </c>
      <c r="H12418">
        <f>IF(DATOS!$G12418&lt;&gt;"EX",0,--(COUNTIFS(nNIA,DATOS!$A12418,nCURSO,DATOS!$D12418,nESPEC,DATOS!$E12418,nASIG,DATOS!$I12418,nEVAL,"OR")=0))</f>
      </c>
      <c r="I12418">
        <f>IF(DATOS!$I12418="","",IFERROR(VLOOKUP(DATOS!$I12418,CONFIG_ASIGNATURAS!$B$2:$J$91,9,FALSE()),""))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IF(DATOS!$A12419="",0,IF(CONFIG_METADATA!$B$4&lt;&gt;"OR+EX",--(DATOS!$G12419=CONFIG_METADATA!$B$4),IF(DATOS!$G12419="EX",1,IF(DATOS!$G12419="OR",--(COUNTIFS(nNIA,DATOS!$A12419,nCURSO,DATOS!$D12419,nESPEC,DATOS!$E12419,nASIG,DATOS!$I12419,nEVAL,"EX")=0),0))))</f>
      </c>
      <c r="H12419">
        <f>IF(DATOS!$G12419&lt;&gt;"EX",0,--(COUNTIFS(nNIA,DATOS!$A12419,nCURSO,DATOS!$D12419,nESPEC,DATOS!$E12419,nASIG,DATOS!$I12419,nEVAL,"OR")=0))</f>
      </c>
      <c r="I12419">
        <f>IF(DATOS!$I12419="","",IFERROR(VLOOKUP(DATOS!$I12419,CONFIG_ASIGNATURAS!$B$2:$J$91,9,FALSE()),""))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IF(DATOS!$A12420="",0,IF(CONFIG_METADATA!$B$4&lt;&gt;"OR+EX",--(DATOS!$G12420=CONFIG_METADATA!$B$4),IF(DATOS!$G12420="EX",1,IF(DATOS!$G12420="OR",--(COUNTIFS(nNIA,DATOS!$A12420,nCURSO,DATOS!$D12420,nESPEC,DATOS!$E12420,nASIG,DATOS!$I12420,nEVAL,"EX")=0),0))))</f>
      </c>
      <c r="H12420">
        <f>IF(DATOS!$G12420&lt;&gt;"EX",0,--(COUNTIFS(nNIA,DATOS!$A12420,nCURSO,DATOS!$D12420,nESPEC,DATOS!$E12420,nASIG,DATOS!$I12420,nEVAL,"OR")=0))</f>
      </c>
      <c r="I12420">
        <f>IF(DATOS!$I12420="","",IFERROR(VLOOKUP(DATOS!$I12420,CONFIG_ASIGNATURAS!$B$2:$J$91,9,FALSE()),""))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IF(DATOS!$A12421="",0,IF(CONFIG_METADATA!$B$4&lt;&gt;"OR+EX",--(DATOS!$G12421=CONFIG_METADATA!$B$4),IF(DATOS!$G12421="EX",1,IF(DATOS!$G12421="OR",--(COUNTIFS(nNIA,DATOS!$A12421,nCURSO,DATOS!$D12421,nESPEC,DATOS!$E12421,nASIG,DATOS!$I12421,nEVAL,"EX")=0),0))))</f>
      </c>
      <c r="H12421">
        <f>IF(DATOS!$G12421&lt;&gt;"EX",0,--(COUNTIFS(nNIA,DATOS!$A12421,nCURSO,DATOS!$D12421,nESPEC,DATOS!$E12421,nASIG,DATOS!$I12421,nEVAL,"OR")=0))</f>
      </c>
      <c r="I12421">
        <f>IF(DATOS!$I12421="","",IFERROR(VLOOKUP(DATOS!$I12421,CONFIG_ASIGNATURAS!$B$2:$J$91,9,FALSE()),""))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IF(DATOS!$A12422="",0,IF(CONFIG_METADATA!$B$4&lt;&gt;"OR+EX",--(DATOS!$G12422=CONFIG_METADATA!$B$4),IF(DATOS!$G12422="EX",1,IF(DATOS!$G12422="OR",--(COUNTIFS(nNIA,DATOS!$A12422,nCURSO,DATOS!$D12422,nESPEC,DATOS!$E12422,nASIG,DATOS!$I12422,nEVAL,"EX")=0),0))))</f>
      </c>
      <c r="H12422">
        <f>IF(DATOS!$G12422&lt;&gt;"EX",0,--(COUNTIFS(nNIA,DATOS!$A12422,nCURSO,DATOS!$D12422,nESPEC,DATOS!$E12422,nASIG,DATOS!$I12422,nEVAL,"OR")=0))</f>
      </c>
      <c r="I12422">
        <f>IF(DATOS!$I12422="","",IFERROR(VLOOKUP(DATOS!$I12422,CONFIG_ASIGNATURAS!$B$2:$J$91,9,FALSE()),""))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IF(DATOS!$A12423="",0,IF(CONFIG_METADATA!$B$4&lt;&gt;"OR+EX",--(DATOS!$G12423=CONFIG_METADATA!$B$4),IF(DATOS!$G12423="EX",1,IF(DATOS!$G12423="OR",--(COUNTIFS(nNIA,DATOS!$A12423,nCURSO,DATOS!$D12423,nESPEC,DATOS!$E12423,nASIG,DATOS!$I12423,nEVAL,"EX")=0),0))))</f>
      </c>
      <c r="H12423">
        <f>IF(DATOS!$G12423&lt;&gt;"EX",0,--(COUNTIFS(nNIA,DATOS!$A12423,nCURSO,DATOS!$D12423,nESPEC,DATOS!$E12423,nASIG,DATOS!$I12423,nEVAL,"OR")=0))</f>
      </c>
      <c r="I12423">
        <f>IF(DATOS!$I12423="","",IFERROR(VLOOKUP(DATOS!$I12423,CONFIG_ASIGNATURAS!$B$2:$J$91,9,FALSE()),""))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IF(DATOS!$A12424="",0,IF(CONFIG_METADATA!$B$4&lt;&gt;"OR+EX",--(DATOS!$G12424=CONFIG_METADATA!$B$4),IF(DATOS!$G12424="EX",1,IF(DATOS!$G12424="OR",--(COUNTIFS(nNIA,DATOS!$A12424,nCURSO,DATOS!$D12424,nESPEC,DATOS!$E12424,nASIG,DATOS!$I12424,nEVAL,"EX")=0),0))))</f>
      </c>
      <c r="H12424">
        <f>IF(DATOS!$G12424&lt;&gt;"EX",0,--(COUNTIFS(nNIA,DATOS!$A12424,nCURSO,DATOS!$D12424,nESPEC,DATOS!$E12424,nASIG,DATOS!$I12424,nEVAL,"OR")=0))</f>
      </c>
      <c r="I12424">
        <f>IF(DATOS!$I12424="","",IFERROR(VLOOKUP(DATOS!$I12424,CONFIG_ASIGNATURAS!$B$2:$J$91,9,FALSE()),""))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IF(DATOS!$A12425="",0,IF(CONFIG_METADATA!$B$4&lt;&gt;"OR+EX",--(DATOS!$G12425=CONFIG_METADATA!$B$4),IF(DATOS!$G12425="EX",1,IF(DATOS!$G12425="OR",--(COUNTIFS(nNIA,DATOS!$A12425,nCURSO,DATOS!$D12425,nESPEC,DATOS!$E12425,nASIG,DATOS!$I12425,nEVAL,"EX")=0),0))))</f>
      </c>
      <c r="H12425">
        <f>IF(DATOS!$G12425&lt;&gt;"EX",0,--(COUNTIFS(nNIA,DATOS!$A12425,nCURSO,DATOS!$D12425,nESPEC,DATOS!$E12425,nASIG,DATOS!$I12425,nEVAL,"OR")=0))</f>
      </c>
      <c r="I12425">
        <f>IF(DATOS!$I12425="","",IFERROR(VLOOKUP(DATOS!$I12425,CONFIG_ASIGNATURAS!$B$2:$J$91,9,FALSE()),""))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IF(DATOS!$A12426="",0,IF(CONFIG_METADATA!$B$4&lt;&gt;"OR+EX",--(DATOS!$G12426=CONFIG_METADATA!$B$4),IF(DATOS!$G12426="EX",1,IF(DATOS!$G12426="OR",--(COUNTIFS(nNIA,DATOS!$A12426,nCURSO,DATOS!$D12426,nESPEC,DATOS!$E12426,nASIG,DATOS!$I12426,nEVAL,"EX")=0),0))))</f>
      </c>
      <c r="H12426">
        <f>IF(DATOS!$G12426&lt;&gt;"EX",0,--(COUNTIFS(nNIA,DATOS!$A12426,nCURSO,DATOS!$D12426,nESPEC,DATOS!$E12426,nASIG,DATOS!$I12426,nEVAL,"OR")=0))</f>
      </c>
      <c r="I12426">
        <f>IF(DATOS!$I12426="","",IFERROR(VLOOKUP(DATOS!$I12426,CONFIG_ASIGNATURAS!$B$2:$J$91,9,FALSE()),""))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IF(DATOS!$A12427="",0,IF(CONFIG_METADATA!$B$4&lt;&gt;"OR+EX",--(DATOS!$G12427=CONFIG_METADATA!$B$4),IF(DATOS!$G12427="EX",1,IF(DATOS!$G12427="OR",--(COUNTIFS(nNIA,DATOS!$A12427,nCURSO,DATOS!$D12427,nESPEC,DATOS!$E12427,nASIG,DATOS!$I12427,nEVAL,"EX")=0),0))))</f>
      </c>
      <c r="H12427">
        <f>IF(DATOS!$G12427&lt;&gt;"EX",0,--(COUNTIFS(nNIA,DATOS!$A12427,nCURSO,DATOS!$D12427,nESPEC,DATOS!$E12427,nASIG,DATOS!$I12427,nEVAL,"OR")=0))</f>
      </c>
      <c r="I12427">
        <f>IF(DATOS!$I12427="","",IFERROR(VLOOKUP(DATOS!$I12427,CONFIG_ASIGNATURAS!$B$2:$J$91,9,FALSE()),""))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IF(DATOS!$A12428="",0,IF(CONFIG_METADATA!$B$4&lt;&gt;"OR+EX",--(DATOS!$G12428=CONFIG_METADATA!$B$4),IF(DATOS!$G12428="EX",1,IF(DATOS!$G12428="OR",--(COUNTIFS(nNIA,DATOS!$A12428,nCURSO,DATOS!$D12428,nESPEC,DATOS!$E12428,nASIG,DATOS!$I12428,nEVAL,"EX")=0),0))))</f>
      </c>
      <c r="H12428">
        <f>IF(DATOS!$G12428&lt;&gt;"EX",0,--(COUNTIFS(nNIA,DATOS!$A12428,nCURSO,DATOS!$D12428,nESPEC,DATOS!$E12428,nASIG,DATOS!$I12428,nEVAL,"OR")=0))</f>
      </c>
      <c r="I12428">
        <f>IF(DATOS!$I12428="","",IFERROR(VLOOKUP(DATOS!$I12428,CONFIG_ASIGNATURAS!$B$2:$J$91,9,FALSE()),""))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IF(DATOS!$A12429="",0,IF(CONFIG_METADATA!$B$4&lt;&gt;"OR+EX",--(DATOS!$G12429=CONFIG_METADATA!$B$4),IF(DATOS!$G12429="EX",1,IF(DATOS!$G12429="OR",--(COUNTIFS(nNIA,DATOS!$A12429,nCURSO,DATOS!$D12429,nESPEC,DATOS!$E12429,nASIG,DATOS!$I12429,nEVAL,"EX")=0),0))))</f>
      </c>
      <c r="H12429">
        <f>IF(DATOS!$G12429&lt;&gt;"EX",0,--(COUNTIFS(nNIA,DATOS!$A12429,nCURSO,DATOS!$D12429,nESPEC,DATOS!$E12429,nASIG,DATOS!$I12429,nEVAL,"OR")=0))</f>
      </c>
      <c r="I12429">
        <f>IF(DATOS!$I12429="","",IFERROR(VLOOKUP(DATOS!$I12429,CONFIG_ASIGNATURAS!$B$2:$J$91,9,FALSE()),""))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IF(DATOS!$A12430="",0,IF(CONFIG_METADATA!$B$4&lt;&gt;"OR+EX",--(DATOS!$G12430=CONFIG_METADATA!$B$4),IF(DATOS!$G12430="EX",1,IF(DATOS!$G12430="OR",--(COUNTIFS(nNIA,DATOS!$A12430,nCURSO,DATOS!$D12430,nESPEC,DATOS!$E12430,nASIG,DATOS!$I12430,nEVAL,"EX")=0),0))))</f>
      </c>
      <c r="H12430">
        <f>IF(DATOS!$G12430&lt;&gt;"EX",0,--(COUNTIFS(nNIA,DATOS!$A12430,nCURSO,DATOS!$D12430,nESPEC,DATOS!$E12430,nASIG,DATOS!$I12430,nEVAL,"OR")=0))</f>
      </c>
      <c r="I12430">
        <f>IF(DATOS!$I12430="","",IFERROR(VLOOKUP(DATOS!$I12430,CONFIG_ASIGNATURAS!$B$2:$J$91,9,FALSE()),""))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IF(DATOS!$A12431="",0,IF(CONFIG_METADATA!$B$4&lt;&gt;"OR+EX",--(DATOS!$G12431=CONFIG_METADATA!$B$4),IF(DATOS!$G12431="EX",1,IF(DATOS!$G12431="OR",--(COUNTIFS(nNIA,DATOS!$A12431,nCURSO,DATOS!$D12431,nESPEC,DATOS!$E12431,nASIG,DATOS!$I12431,nEVAL,"EX")=0),0))))</f>
      </c>
      <c r="H12431">
        <f>IF(DATOS!$G12431&lt;&gt;"EX",0,--(COUNTIFS(nNIA,DATOS!$A12431,nCURSO,DATOS!$D12431,nESPEC,DATOS!$E12431,nASIG,DATOS!$I12431,nEVAL,"OR")=0))</f>
      </c>
      <c r="I12431">
        <f>IF(DATOS!$I12431="","",IFERROR(VLOOKUP(DATOS!$I12431,CONFIG_ASIGNATURAS!$B$2:$J$91,9,FALSE()),""))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IF(DATOS!$A12432="",0,IF(CONFIG_METADATA!$B$4&lt;&gt;"OR+EX",--(DATOS!$G12432=CONFIG_METADATA!$B$4),IF(DATOS!$G12432="EX",1,IF(DATOS!$G12432="OR",--(COUNTIFS(nNIA,DATOS!$A12432,nCURSO,DATOS!$D12432,nESPEC,DATOS!$E12432,nASIG,DATOS!$I12432,nEVAL,"EX")=0),0))))</f>
      </c>
      <c r="H12432">
        <f>IF(DATOS!$G12432&lt;&gt;"EX",0,--(COUNTIFS(nNIA,DATOS!$A12432,nCURSO,DATOS!$D12432,nESPEC,DATOS!$E12432,nASIG,DATOS!$I12432,nEVAL,"OR")=0))</f>
      </c>
      <c r="I12432">
        <f>IF(DATOS!$I12432="","",IFERROR(VLOOKUP(DATOS!$I12432,CONFIG_ASIGNATURAS!$B$2:$J$91,9,FALSE()),""))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IF(DATOS!$A12433="",0,IF(CONFIG_METADATA!$B$4&lt;&gt;"OR+EX",--(DATOS!$G12433=CONFIG_METADATA!$B$4),IF(DATOS!$G12433="EX",1,IF(DATOS!$G12433="OR",--(COUNTIFS(nNIA,DATOS!$A12433,nCURSO,DATOS!$D12433,nESPEC,DATOS!$E12433,nASIG,DATOS!$I12433,nEVAL,"EX")=0),0))))</f>
      </c>
      <c r="H12433">
        <f>IF(DATOS!$G12433&lt;&gt;"EX",0,--(COUNTIFS(nNIA,DATOS!$A12433,nCURSO,DATOS!$D12433,nESPEC,DATOS!$E12433,nASIG,DATOS!$I12433,nEVAL,"OR")=0))</f>
      </c>
      <c r="I12433">
        <f>IF(DATOS!$I12433="","",IFERROR(VLOOKUP(DATOS!$I12433,CONFIG_ASIGNATURAS!$B$2:$J$91,9,FALSE()),""))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IF(DATOS!$A12434="",0,IF(CONFIG_METADATA!$B$4&lt;&gt;"OR+EX",--(DATOS!$G12434=CONFIG_METADATA!$B$4),IF(DATOS!$G12434="EX",1,IF(DATOS!$G12434="OR",--(COUNTIFS(nNIA,DATOS!$A12434,nCURSO,DATOS!$D12434,nESPEC,DATOS!$E12434,nASIG,DATOS!$I12434,nEVAL,"EX")=0),0))))</f>
      </c>
      <c r="H12434">
        <f>IF(DATOS!$G12434&lt;&gt;"EX",0,--(COUNTIFS(nNIA,DATOS!$A12434,nCURSO,DATOS!$D12434,nESPEC,DATOS!$E12434,nASIG,DATOS!$I12434,nEVAL,"OR")=0))</f>
      </c>
      <c r="I12434">
        <f>IF(DATOS!$I12434="","",IFERROR(VLOOKUP(DATOS!$I12434,CONFIG_ASIGNATURAS!$B$2:$J$91,9,FALSE()),""))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IF(DATOS!$A12435="",0,IF(CONFIG_METADATA!$B$4&lt;&gt;"OR+EX",--(DATOS!$G12435=CONFIG_METADATA!$B$4),IF(DATOS!$G12435="EX",1,IF(DATOS!$G12435="OR",--(COUNTIFS(nNIA,DATOS!$A12435,nCURSO,DATOS!$D12435,nESPEC,DATOS!$E12435,nASIG,DATOS!$I12435,nEVAL,"EX")=0),0))))</f>
      </c>
      <c r="H12435">
        <f>IF(DATOS!$G12435&lt;&gt;"EX",0,--(COUNTIFS(nNIA,DATOS!$A12435,nCURSO,DATOS!$D12435,nESPEC,DATOS!$E12435,nASIG,DATOS!$I12435,nEVAL,"OR")=0))</f>
      </c>
      <c r="I12435">
        <f>IF(DATOS!$I12435="","",IFERROR(VLOOKUP(DATOS!$I12435,CONFIG_ASIGNATURAS!$B$2:$J$91,9,FALSE()),""))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IF(DATOS!$A12436="",0,IF(CONFIG_METADATA!$B$4&lt;&gt;"OR+EX",--(DATOS!$G12436=CONFIG_METADATA!$B$4),IF(DATOS!$G12436="EX",1,IF(DATOS!$G12436="OR",--(COUNTIFS(nNIA,DATOS!$A12436,nCURSO,DATOS!$D12436,nESPEC,DATOS!$E12436,nASIG,DATOS!$I12436,nEVAL,"EX")=0),0))))</f>
      </c>
      <c r="H12436">
        <f>IF(DATOS!$G12436&lt;&gt;"EX",0,--(COUNTIFS(nNIA,DATOS!$A12436,nCURSO,DATOS!$D12436,nESPEC,DATOS!$E12436,nASIG,DATOS!$I12436,nEVAL,"OR")=0))</f>
      </c>
      <c r="I12436">
        <f>IF(DATOS!$I12436="","",IFERROR(VLOOKUP(DATOS!$I12436,CONFIG_ASIGNATURAS!$B$2:$J$91,9,FALSE()),""))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IF(DATOS!$A12437="",0,IF(CONFIG_METADATA!$B$4&lt;&gt;"OR+EX",--(DATOS!$G12437=CONFIG_METADATA!$B$4),IF(DATOS!$G12437="EX",1,IF(DATOS!$G12437="OR",--(COUNTIFS(nNIA,DATOS!$A12437,nCURSO,DATOS!$D12437,nESPEC,DATOS!$E12437,nASIG,DATOS!$I12437,nEVAL,"EX")=0),0))))</f>
      </c>
      <c r="H12437">
        <f>IF(DATOS!$G12437&lt;&gt;"EX",0,--(COUNTIFS(nNIA,DATOS!$A12437,nCURSO,DATOS!$D12437,nESPEC,DATOS!$E12437,nASIG,DATOS!$I12437,nEVAL,"OR")=0))</f>
      </c>
      <c r="I12437">
        <f>IF(DATOS!$I12437="","",IFERROR(VLOOKUP(DATOS!$I12437,CONFIG_ASIGNATURAS!$B$2:$J$91,9,FALSE()),""))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IF(DATOS!$A12438="",0,IF(CONFIG_METADATA!$B$4&lt;&gt;"OR+EX",--(DATOS!$G12438=CONFIG_METADATA!$B$4),IF(DATOS!$G12438="EX",1,IF(DATOS!$G12438="OR",--(COUNTIFS(nNIA,DATOS!$A12438,nCURSO,DATOS!$D12438,nESPEC,DATOS!$E12438,nASIG,DATOS!$I12438,nEVAL,"EX")=0),0))))</f>
      </c>
      <c r="H12438">
        <f>IF(DATOS!$G12438&lt;&gt;"EX",0,--(COUNTIFS(nNIA,DATOS!$A12438,nCURSO,DATOS!$D12438,nESPEC,DATOS!$E12438,nASIG,DATOS!$I12438,nEVAL,"OR")=0))</f>
      </c>
      <c r="I12438">
        <f>IF(DATOS!$I12438="","",IFERROR(VLOOKUP(DATOS!$I12438,CONFIG_ASIGNATURAS!$B$2:$J$91,9,FALSE()),""))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IF(DATOS!$A12439="",0,IF(CONFIG_METADATA!$B$4&lt;&gt;"OR+EX",--(DATOS!$G12439=CONFIG_METADATA!$B$4),IF(DATOS!$G12439="EX",1,IF(DATOS!$G12439="OR",--(COUNTIFS(nNIA,DATOS!$A12439,nCURSO,DATOS!$D12439,nESPEC,DATOS!$E12439,nASIG,DATOS!$I12439,nEVAL,"EX")=0),0))))</f>
      </c>
      <c r="H12439">
        <f>IF(DATOS!$G12439&lt;&gt;"EX",0,--(COUNTIFS(nNIA,DATOS!$A12439,nCURSO,DATOS!$D12439,nESPEC,DATOS!$E12439,nASIG,DATOS!$I12439,nEVAL,"OR")=0))</f>
      </c>
      <c r="I12439">
        <f>IF(DATOS!$I12439="","",IFERROR(VLOOKUP(DATOS!$I12439,CONFIG_ASIGNATURAS!$B$2:$J$91,9,FALSE()),""))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IF(DATOS!$A12440="",0,IF(CONFIG_METADATA!$B$4&lt;&gt;"OR+EX",--(DATOS!$G12440=CONFIG_METADATA!$B$4),IF(DATOS!$G12440="EX",1,IF(DATOS!$G12440="OR",--(COUNTIFS(nNIA,DATOS!$A12440,nCURSO,DATOS!$D12440,nESPEC,DATOS!$E12440,nASIG,DATOS!$I12440,nEVAL,"EX")=0),0))))</f>
      </c>
      <c r="H12440">
        <f>IF(DATOS!$G12440&lt;&gt;"EX",0,--(COUNTIFS(nNIA,DATOS!$A12440,nCURSO,DATOS!$D12440,nESPEC,DATOS!$E12440,nASIG,DATOS!$I12440,nEVAL,"OR")=0))</f>
      </c>
      <c r="I12440">
        <f>IF(DATOS!$I12440="","",IFERROR(VLOOKUP(DATOS!$I12440,CONFIG_ASIGNATURAS!$B$2:$J$91,9,FALSE()),""))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IF(DATOS!$A12441="",0,IF(CONFIG_METADATA!$B$4&lt;&gt;"OR+EX",--(DATOS!$G12441=CONFIG_METADATA!$B$4),IF(DATOS!$G12441="EX",1,IF(DATOS!$G12441="OR",--(COUNTIFS(nNIA,DATOS!$A12441,nCURSO,DATOS!$D12441,nESPEC,DATOS!$E12441,nASIG,DATOS!$I12441,nEVAL,"EX")=0),0))))</f>
      </c>
      <c r="H12441">
        <f>IF(DATOS!$G12441&lt;&gt;"EX",0,--(COUNTIFS(nNIA,DATOS!$A12441,nCURSO,DATOS!$D12441,nESPEC,DATOS!$E12441,nASIG,DATOS!$I12441,nEVAL,"OR")=0))</f>
      </c>
      <c r="I12441">
        <f>IF(DATOS!$I12441="","",IFERROR(VLOOKUP(DATOS!$I12441,CONFIG_ASIGNATURAS!$B$2:$J$91,9,FALSE()),""))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IF(DATOS!$A12442="",0,IF(CONFIG_METADATA!$B$4&lt;&gt;"OR+EX",--(DATOS!$G12442=CONFIG_METADATA!$B$4),IF(DATOS!$G12442="EX",1,IF(DATOS!$G12442="OR",--(COUNTIFS(nNIA,DATOS!$A12442,nCURSO,DATOS!$D12442,nESPEC,DATOS!$E12442,nASIG,DATOS!$I12442,nEVAL,"EX")=0),0))))</f>
      </c>
      <c r="H12442">
        <f>IF(DATOS!$G12442&lt;&gt;"EX",0,--(COUNTIFS(nNIA,DATOS!$A12442,nCURSO,DATOS!$D12442,nESPEC,DATOS!$E12442,nASIG,DATOS!$I12442,nEVAL,"OR")=0))</f>
      </c>
      <c r="I12442">
        <f>IF(DATOS!$I12442="","",IFERROR(VLOOKUP(DATOS!$I12442,CONFIG_ASIGNATURAS!$B$2:$J$91,9,FALSE()),""))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IF(DATOS!$A12443="",0,IF(CONFIG_METADATA!$B$4&lt;&gt;"OR+EX",--(DATOS!$G12443=CONFIG_METADATA!$B$4),IF(DATOS!$G12443="EX",1,IF(DATOS!$G12443="OR",--(COUNTIFS(nNIA,DATOS!$A12443,nCURSO,DATOS!$D12443,nESPEC,DATOS!$E12443,nASIG,DATOS!$I12443,nEVAL,"EX")=0),0))))</f>
      </c>
      <c r="H12443">
        <f>IF(DATOS!$G12443&lt;&gt;"EX",0,--(COUNTIFS(nNIA,DATOS!$A12443,nCURSO,DATOS!$D12443,nESPEC,DATOS!$E12443,nASIG,DATOS!$I12443,nEVAL,"OR")=0))</f>
      </c>
      <c r="I12443">
        <f>IF(DATOS!$I12443="","",IFERROR(VLOOKUP(DATOS!$I12443,CONFIG_ASIGNATURAS!$B$2:$J$91,9,FALSE()),""))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IF(DATOS!$A12444="",0,IF(CONFIG_METADATA!$B$4&lt;&gt;"OR+EX",--(DATOS!$G12444=CONFIG_METADATA!$B$4),IF(DATOS!$G12444="EX",1,IF(DATOS!$G12444="OR",--(COUNTIFS(nNIA,DATOS!$A12444,nCURSO,DATOS!$D12444,nESPEC,DATOS!$E12444,nASIG,DATOS!$I12444,nEVAL,"EX")=0),0))))</f>
      </c>
      <c r="H12444">
        <f>IF(DATOS!$G12444&lt;&gt;"EX",0,--(COUNTIFS(nNIA,DATOS!$A12444,nCURSO,DATOS!$D12444,nESPEC,DATOS!$E12444,nASIG,DATOS!$I12444,nEVAL,"OR")=0))</f>
      </c>
      <c r="I12444">
        <f>IF(DATOS!$I12444="","",IFERROR(VLOOKUP(DATOS!$I12444,CONFIG_ASIGNATURAS!$B$2:$J$91,9,FALSE()),""))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IF(DATOS!$A12445="",0,IF(CONFIG_METADATA!$B$4&lt;&gt;"OR+EX",--(DATOS!$G12445=CONFIG_METADATA!$B$4),IF(DATOS!$G12445="EX",1,IF(DATOS!$G12445="OR",--(COUNTIFS(nNIA,DATOS!$A12445,nCURSO,DATOS!$D12445,nESPEC,DATOS!$E12445,nASIG,DATOS!$I12445,nEVAL,"EX")=0),0))))</f>
      </c>
      <c r="H12445">
        <f>IF(DATOS!$G12445&lt;&gt;"EX",0,--(COUNTIFS(nNIA,DATOS!$A12445,nCURSO,DATOS!$D12445,nESPEC,DATOS!$E12445,nASIG,DATOS!$I12445,nEVAL,"OR")=0))</f>
      </c>
      <c r="I12445">
        <f>IF(DATOS!$I12445="","",IFERROR(VLOOKUP(DATOS!$I12445,CONFIG_ASIGNATURAS!$B$2:$J$91,9,FALSE()),""))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IF(DATOS!$A12446="",0,IF(CONFIG_METADATA!$B$4&lt;&gt;"OR+EX",--(DATOS!$G12446=CONFIG_METADATA!$B$4),IF(DATOS!$G12446="EX",1,IF(DATOS!$G12446="OR",--(COUNTIFS(nNIA,DATOS!$A12446,nCURSO,DATOS!$D12446,nESPEC,DATOS!$E12446,nASIG,DATOS!$I12446,nEVAL,"EX")=0),0))))</f>
      </c>
      <c r="H12446">
        <f>IF(DATOS!$G12446&lt;&gt;"EX",0,--(COUNTIFS(nNIA,DATOS!$A12446,nCURSO,DATOS!$D12446,nESPEC,DATOS!$E12446,nASIG,DATOS!$I12446,nEVAL,"OR")=0))</f>
      </c>
      <c r="I12446">
        <f>IF(DATOS!$I12446="","",IFERROR(VLOOKUP(DATOS!$I12446,CONFIG_ASIGNATURAS!$B$2:$J$91,9,FALSE()),""))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IF(DATOS!$A12447="",0,IF(CONFIG_METADATA!$B$4&lt;&gt;"OR+EX",--(DATOS!$G12447=CONFIG_METADATA!$B$4),IF(DATOS!$G12447="EX",1,IF(DATOS!$G12447="OR",--(COUNTIFS(nNIA,DATOS!$A12447,nCURSO,DATOS!$D12447,nESPEC,DATOS!$E12447,nASIG,DATOS!$I12447,nEVAL,"EX")=0),0))))</f>
      </c>
      <c r="H12447">
        <f>IF(DATOS!$G12447&lt;&gt;"EX",0,--(COUNTIFS(nNIA,DATOS!$A12447,nCURSO,DATOS!$D12447,nESPEC,DATOS!$E12447,nASIG,DATOS!$I12447,nEVAL,"OR")=0))</f>
      </c>
      <c r="I12447">
        <f>IF(DATOS!$I12447="","",IFERROR(VLOOKUP(DATOS!$I12447,CONFIG_ASIGNATURAS!$B$2:$J$91,9,FALSE()),""))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IF(DATOS!$A12448="",0,IF(CONFIG_METADATA!$B$4&lt;&gt;"OR+EX",--(DATOS!$G12448=CONFIG_METADATA!$B$4),IF(DATOS!$G12448="EX",1,IF(DATOS!$G12448="OR",--(COUNTIFS(nNIA,DATOS!$A12448,nCURSO,DATOS!$D12448,nESPEC,DATOS!$E12448,nASIG,DATOS!$I12448,nEVAL,"EX")=0),0))))</f>
      </c>
      <c r="H12448">
        <f>IF(DATOS!$G12448&lt;&gt;"EX",0,--(COUNTIFS(nNIA,DATOS!$A12448,nCURSO,DATOS!$D12448,nESPEC,DATOS!$E12448,nASIG,DATOS!$I12448,nEVAL,"OR")=0))</f>
      </c>
      <c r="I12448">
        <f>IF(DATOS!$I12448="","",IFERROR(VLOOKUP(DATOS!$I12448,CONFIG_ASIGNATURAS!$B$2:$J$91,9,FALSE()),""))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IF(DATOS!$A12449="",0,IF(CONFIG_METADATA!$B$4&lt;&gt;"OR+EX",--(DATOS!$G12449=CONFIG_METADATA!$B$4),IF(DATOS!$G12449="EX",1,IF(DATOS!$G12449="OR",--(COUNTIFS(nNIA,DATOS!$A12449,nCURSO,DATOS!$D12449,nESPEC,DATOS!$E12449,nASIG,DATOS!$I12449,nEVAL,"EX")=0),0))))</f>
      </c>
      <c r="H12449">
        <f>IF(DATOS!$G12449&lt;&gt;"EX",0,--(COUNTIFS(nNIA,DATOS!$A12449,nCURSO,DATOS!$D12449,nESPEC,DATOS!$E12449,nASIG,DATOS!$I12449,nEVAL,"OR")=0))</f>
      </c>
      <c r="I12449">
        <f>IF(DATOS!$I12449="","",IFERROR(VLOOKUP(DATOS!$I12449,CONFIG_ASIGNATURAS!$B$2:$J$91,9,FALSE()),""))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IF(DATOS!$A12450="",0,IF(CONFIG_METADATA!$B$4&lt;&gt;"OR+EX",--(DATOS!$G12450=CONFIG_METADATA!$B$4),IF(DATOS!$G12450="EX",1,IF(DATOS!$G12450="OR",--(COUNTIFS(nNIA,DATOS!$A12450,nCURSO,DATOS!$D12450,nESPEC,DATOS!$E12450,nASIG,DATOS!$I12450,nEVAL,"EX")=0),0))))</f>
      </c>
      <c r="H12450">
        <f>IF(DATOS!$G12450&lt;&gt;"EX",0,--(COUNTIFS(nNIA,DATOS!$A12450,nCURSO,DATOS!$D12450,nESPEC,DATOS!$E12450,nASIG,DATOS!$I12450,nEVAL,"OR")=0))</f>
      </c>
      <c r="I12450">
        <f>IF(DATOS!$I12450="","",IFERROR(VLOOKUP(DATOS!$I12450,CONFIG_ASIGNATURAS!$B$2:$J$91,9,FALSE()),""))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IF(DATOS!$A12451="",0,IF(CONFIG_METADATA!$B$4&lt;&gt;"OR+EX",--(DATOS!$G12451=CONFIG_METADATA!$B$4),IF(DATOS!$G12451="EX",1,IF(DATOS!$G12451="OR",--(COUNTIFS(nNIA,DATOS!$A12451,nCURSO,DATOS!$D12451,nESPEC,DATOS!$E12451,nASIG,DATOS!$I12451,nEVAL,"EX")=0),0))))</f>
      </c>
      <c r="H12451">
        <f>IF(DATOS!$G12451&lt;&gt;"EX",0,--(COUNTIFS(nNIA,DATOS!$A12451,nCURSO,DATOS!$D12451,nESPEC,DATOS!$E12451,nASIG,DATOS!$I12451,nEVAL,"OR")=0))</f>
      </c>
      <c r="I12451">
        <f>IF(DATOS!$I12451="","",IFERROR(VLOOKUP(DATOS!$I12451,CONFIG_ASIGNATURAS!$B$2:$J$91,9,FALSE()),""))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IF(DATOS!$A12452="",0,IF(CONFIG_METADATA!$B$4&lt;&gt;"OR+EX",--(DATOS!$G12452=CONFIG_METADATA!$B$4),IF(DATOS!$G12452="EX",1,IF(DATOS!$G12452="OR",--(COUNTIFS(nNIA,DATOS!$A12452,nCURSO,DATOS!$D12452,nESPEC,DATOS!$E12452,nASIG,DATOS!$I12452,nEVAL,"EX")=0),0))))</f>
      </c>
      <c r="H12452">
        <f>IF(DATOS!$G12452&lt;&gt;"EX",0,--(COUNTIFS(nNIA,DATOS!$A12452,nCURSO,DATOS!$D12452,nESPEC,DATOS!$E12452,nASIG,DATOS!$I12452,nEVAL,"OR")=0))</f>
      </c>
      <c r="I12452">
        <f>IF(DATOS!$I12452="","",IFERROR(VLOOKUP(DATOS!$I12452,CONFIG_ASIGNATURAS!$B$2:$J$91,9,FALSE()),""))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IF(DATOS!$A12453="",0,IF(CONFIG_METADATA!$B$4&lt;&gt;"OR+EX",--(DATOS!$G12453=CONFIG_METADATA!$B$4),IF(DATOS!$G12453="EX",1,IF(DATOS!$G12453="OR",--(COUNTIFS(nNIA,DATOS!$A12453,nCURSO,DATOS!$D12453,nESPEC,DATOS!$E12453,nASIG,DATOS!$I12453,nEVAL,"EX")=0),0))))</f>
      </c>
      <c r="H12453">
        <f>IF(DATOS!$G12453&lt;&gt;"EX",0,--(COUNTIFS(nNIA,DATOS!$A12453,nCURSO,DATOS!$D12453,nESPEC,DATOS!$E12453,nASIG,DATOS!$I12453,nEVAL,"OR")=0))</f>
      </c>
      <c r="I12453">
        <f>IF(DATOS!$I12453="","",IFERROR(VLOOKUP(DATOS!$I12453,CONFIG_ASIGNATURAS!$B$2:$J$91,9,FALSE()),""))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IF(DATOS!$A12454="",0,IF(CONFIG_METADATA!$B$4&lt;&gt;"OR+EX",--(DATOS!$G12454=CONFIG_METADATA!$B$4),IF(DATOS!$G12454="EX",1,IF(DATOS!$G12454="OR",--(COUNTIFS(nNIA,DATOS!$A12454,nCURSO,DATOS!$D12454,nESPEC,DATOS!$E12454,nASIG,DATOS!$I12454,nEVAL,"EX")=0),0))))</f>
      </c>
      <c r="H12454">
        <f>IF(DATOS!$G12454&lt;&gt;"EX",0,--(COUNTIFS(nNIA,DATOS!$A12454,nCURSO,DATOS!$D12454,nESPEC,DATOS!$E12454,nASIG,DATOS!$I12454,nEVAL,"OR")=0))</f>
      </c>
      <c r="I12454">
        <f>IF(DATOS!$I12454="","",IFERROR(VLOOKUP(DATOS!$I12454,CONFIG_ASIGNATURAS!$B$2:$J$91,9,FALSE()),""))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IF(DATOS!$A12455="",0,IF(CONFIG_METADATA!$B$4&lt;&gt;"OR+EX",--(DATOS!$G12455=CONFIG_METADATA!$B$4),IF(DATOS!$G12455="EX",1,IF(DATOS!$G12455="OR",--(COUNTIFS(nNIA,DATOS!$A12455,nCURSO,DATOS!$D12455,nESPEC,DATOS!$E12455,nASIG,DATOS!$I12455,nEVAL,"EX")=0),0))))</f>
      </c>
      <c r="H12455">
        <f>IF(DATOS!$G12455&lt;&gt;"EX",0,--(COUNTIFS(nNIA,DATOS!$A12455,nCURSO,DATOS!$D12455,nESPEC,DATOS!$E12455,nASIG,DATOS!$I12455,nEVAL,"OR")=0))</f>
      </c>
      <c r="I12455">
        <f>IF(DATOS!$I12455="","",IFERROR(VLOOKUP(DATOS!$I12455,CONFIG_ASIGNATURAS!$B$2:$J$91,9,FALSE()),""))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IF(DATOS!$A12456="",0,IF(CONFIG_METADATA!$B$4&lt;&gt;"OR+EX",--(DATOS!$G12456=CONFIG_METADATA!$B$4),IF(DATOS!$G12456="EX",1,IF(DATOS!$G12456="OR",--(COUNTIFS(nNIA,DATOS!$A12456,nCURSO,DATOS!$D12456,nESPEC,DATOS!$E12456,nASIG,DATOS!$I12456,nEVAL,"EX")=0),0))))</f>
      </c>
      <c r="H12456">
        <f>IF(DATOS!$G12456&lt;&gt;"EX",0,--(COUNTIFS(nNIA,DATOS!$A12456,nCURSO,DATOS!$D12456,nESPEC,DATOS!$E12456,nASIG,DATOS!$I12456,nEVAL,"OR")=0))</f>
      </c>
      <c r="I12456">
        <f>IF(DATOS!$I12456="","",IFERROR(VLOOKUP(DATOS!$I12456,CONFIG_ASIGNATURAS!$B$2:$J$91,9,FALSE()),""))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IF(DATOS!$A12457="",0,IF(CONFIG_METADATA!$B$4&lt;&gt;"OR+EX",--(DATOS!$G12457=CONFIG_METADATA!$B$4),IF(DATOS!$G12457="EX",1,IF(DATOS!$G12457="OR",--(COUNTIFS(nNIA,DATOS!$A12457,nCURSO,DATOS!$D12457,nESPEC,DATOS!$E12457,nASIG,DATOS!$I12457,nEVAL,"EX")=0),0))))</f>
      </c>
      <c r="H12457">
        <f>IF(DATOS!$G12457&lt;&gt;"EX",0,--(COUNTIFS(nNIA,DATOS!$A12457,nCURSO,DATOS!$D12457,nESPEC,DATOS!$E12457,nASIG,DATOS!$I12457,nEVAL,"OR")=0))</f>
      </c>
      <c r="I12457">
        <f>IF(DATOS!$I12457="","",IFERROR(VLOOKUP(DATOS!$I12457,CONFIG_ASIGNATURAS!$B$2:$J$91,9,FALSE()),""))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IF(DATOS!$A12458="",0,IF(CONFIG_METADATA!$B$4&lt;&gt;"OR+EX",--(DATOS!$G12458=CONFIG_METADATA!$B$4),IF(DATOS!$G12458="EX",1,IF(DATOS!$G12458="OR",--(COUNTIFS(nNIA,DATOS!$A12458,nCURSO,DATOS!$D12458,nESPEC,DATOS!$E12458,nASIG,DATOS!$I12458,nEVAL,"EX")=0),0))))</f>
      </c>
      <c r="H12458">
        <f>IF(DATOS!$G12458&lt;&gt;"EX",0,--(COUNTIFS(nNIA,DATOS!$A12458,nCURSO,DATOS!$D12458,nESPEC,DATOS!$E12458,nASIG,DATOS!$I12458,nEVAL,"OR")=0))</f>
      </c>
      <c r="I12458">
        <f>IF(DATOS!$I12458="","",IFERROR(VLOOKUP(DATOS!$I12458,CONFIG_ASIGNATURAS!$B$2:$J$91,9,FALSE()),""))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IF(DATOS!$A12459="",0,IF(CONFIG_METADATA!$B$4&lt;&gt;"OR+EX",--(DATOS!$G12459=CONFIG_METADATA!$B$4),IF(DATOS!$G12459="EX",1,IF(DATOS!$G12459="OR",--(COUNTIFS(nNIA,DATOS!$A12459,nCURSO,DATOS!$D12459,nESPEC,DATOS!$E12459,nASIG,DATOS!$I12459,nEVAL,"EX")=0),0))))</f>
      </c>
      <c r="H12459">
        <f>IF(DATOS!$G12459&lt;&gt;"EX",0,--(COUNTIFS(nNIA,DATOS!$A12459,nCURSO,DATOS!$D12459,nESPEC,DATOS!$E12459,nASIG,DATOS!$I12459,nEVAL,"OR")=0))</f>
      </c>
      <c r="I12459">
        <f>IF(DATOS!$I12459="","",IFERROR(VLOOKUP(DATOS!$I12459,CONFIG_ASIGNATURAS!$B$2:$J$91,9,FALSE()),""))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IF(DATOS!$A12460="",0,IF(CONFIG_METADATA!$B$4&lt;&gt;"OR+EX",--(DATOS!$G12460=CONFIG_METADATA!$B$4),IF(DATOS!$G12460="EX",1,IF(DATOS!$G12460="OR",--(COUNTIFS(nNIA,DATOS!$A12460,nCURSO,DATOS!$D12460,nESPEC,DATOS!$E12460,nASIG,DATOS!$I12460,nEVAL,"EX")=0),0))))</f>
      </c>
      <c r="H12460">
        <f>IF(DATOS!$G12460&lt;&gt;"EX",0,--(COUNTIFS(nNIA,DATOS!$A12460,nCURSO,DATOS!$D12460,nESPEC,DATOS!$E12460,nASIG,DATOS!$I12460,nEVAL,"OR")=0))</f>
      </c>
      <c r="I12460">
        <f>IF(DATOS!$I12460="","",IFERROR(VLOOKUP(DATOS!$I12460,CONFIG_ASIGNATURAS!$B$2:$J$91,9,FALSE()),""))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IF(DATOS!$A12461="",0,IF(CONFIG_METADATA!$B$4&lt;&gt;"OR+EX",--(DATOS!$G12461=CONFIG_METADATA!$B$4),IF(DATOS!$G12461="EX",1,IF(DATOS!$G12461="OR",--(COUNTIFS(nNIA,DATOS!$A12461,nCURSO,DATOS!$D12461,nESPEC,DATOS!$E12461,nASIG,DATOS!$I12461,nEVAL,"EX")=0),0))))</f>
      </c>
      <c r="H12461">
        <f>IF(DATOS!$G12461&lt;&gt;"EX",0,--(COUNTIFS(nNIA,DATOS!$A12461,nCURSO,DATOS!$D12461,nESPEC,DATOS!$E12461,nASIG,DATOS!$I12461,nEVAL,"OR")=0))</f>
      </c>
      <c r="I12461">
        <f>IF(DATOS!$I12461="","",IFERROR(VLOOKUP(DATOS!$I12461,CONFIG_ASIGNATURAS!$B$2:$J$91,9,FALSE()),""))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IF(DATOS!$A12462="",0,IF(CONFIG_METADATA!$B$4&lt;&gt;"OR+EX",--(DATOS!$G12462=CONFIG_METADATA!$B$4),IF(DATOS!$G12462="EX",1,IF(DATOS!$G12462="OR",--(COUNTIFS(nNIA,DATOS!$A12462,nCURSO,DATOS!$D12462,nESPEC,DATOS!$E12462,nASIG,DATOS!$I12462,nEVAL,"EX")=0),0))))</f>
      </c>
      <c r="H12462">
        <f>IF(DATOS!$G12462&lt;&gt;"EX",0,--(COUNTIFS(nNIA,DATOS!$A12462,nCURSO,DATOS!$D12462,nESPEC,DATOS!$E12462,nASIG,DATOS!$I12462,nEVAL,"OR")=0))</f>
      </c>
      <c r="I12462">
        <f>IF(DATOS!$I12462="","",IFERROR(VLOOKUP(DATOS!$I12462,CONFIG_ASIGNATURAS!$B$2:$J$91,9,FALSE()),""))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IF(DATOS!$A12463="",0,IF(CONFIG_METADATA!$B$4&lt;&gt;"OR+EX",--(DATOS!$G12463=CONFIG_METADATA!$B$4),IF(DATOS!$G12463="EX",1,IF(DATOS!$G12463="OR",--(COUNTIFS(nNIA,DATOS!$A12463,nCURSO,DATOS!$D12463,nESPEC,DATOS!$E12463,nASIG,DATOS!$I12463,nEVAL,"EX")=0),0))))</f>
      </c>
      <c r="H12463">
        <f>IF(DATOS!$G12463&lt;&gt;"EX",0,--(COUNTIFS(nNIA,DATOS!$A12463,nCURSO,DATOS!$D12463,nESPEC,DATOS!$E12463,nASIG,DATOS!$I12463,nEVAL,"OR")=0))</f>
      </c>
      <c r="I12463">
        <f>IF(DATOS!$I12463="","",IFERROR(VLOOKUP(DATOS!$I12463,CONFIG_ASIGNATURAS!$B$2:$J$91,9,FALSE()),""))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IF(DATOS!$A12464="",0,IF(CONFIG_METADATA!$B$4&lt;&gt;"OR+EX",--(DATOS!$G12464=CONFIG_METADATA!$B$4),IF(DATOS!$G12464="EX",1,IF(DATOS!$G12464="OR",--(COUNTIFS(nNIA,DATOS!$A12464,nCURSO,DATOS!$D12464,nESPEC,DATOS!$E12464,nASIG,DATOS!$I12464,nEVAL,"EX")=0),0))))</f>
      </c>
      <c r="H12464">
        <f>IF(DATOS!$G12464&lt;&gt;"EX",0,--(COUNTIFS(nNIA,DATOS!$A12464,nCURSO,DATOS!$D12464,nESPEC,DATOS!$E12464,nASIG,DATOS!$I12464,nEVAL,"OR")=0))</f>
      </c>
      <c r="I12464">
        <f>IF(DATOS!$I12464="","",IFERROR(VLOOKUP(DATOS!$I12464,CONFIG_ASIGNATURAS!$B$2:$J$91,9,FALSE()),""))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IF(DATOS!$A12465="",0,IF(CONFIG_METADATA!$B$4&lt;&gt;"OR+EX",--(DATOS!$G12465=CONFIG_METADATA!$B$4),IF(DATOS!$G12465="EX",1,IF(DATOS!$G12465="OR",--(COUNTIFS(nNIA,DATOS!$A12465,nCURSO,DATOS!$D12465,nESPEC,DATOS!$E12465,nASIG,DATOS!$I12465,nEVAL,"EX")=0),0))))</f>
      </c>
      <c r="H12465">
        <f>IF(DATOS!$G12465&lt;&gt;"EX",0,--(COUNTIFS(nNIA,DATOS!$A12465,nCURSO,DATOS!$D12465,nESPEC,DATOS!$E12465,nASIG,DATOS!$I12465,nEVAL,"OR")=0))</f>
      </c>
      <c r="I12465">
        <f>IF(DATOS!$I12465="","",IFERROR(VLOOKUP(DATOS!$I12465,CONFIG_ASIGNATURAS!$B$2:$J$91,9,FALSE()),""))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IF(DATOS!$A12466="",0,IF(CONFIG_METADATA!$B$4&lt;&gt;"OR+EX",--(DATOS!$G12466=CONFIG_METADATA!$B$4),IF(DATOS!$G12466="EX",1,IF(DATOS!$G12466="OR",--(COUNTIFS(nNIA,DATOS!$A12466,nCURSO,DATOS!$D12466,nESPEC,DATOS!$E12466,nASIG,DATOS!$I12466,nEVAL,"EX")=0),0))))</f>
      </c>
      <c r="H12466">
        <f>IF(DATOS!$G12466&lt;&gt;"EX",0,--(COUNTIFS(nNIA,DATOS!$A12466,nCURSO,DATOS!$D12466,nESPEC,DATOS!$E12466,nASIG,DATOS!$I12466,nEVAL,"OR")=0))</f>
      </c>
      <c r="I12466">
        <f>IF(DATOS!$I12466="","",IFERROR(VLOOKUP(DATOS!$I12466,CONFIG_ASIGNATURAS!$B$2:$J$91,9,FALSE()),""))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IF(DATOS!$A12467="",0,IF(CONFIG_METADATA!$B$4&lt;&gt;"OR+EX",--(DATOS!$G12467=CONFIG_METADATA!$B$4),IF(DATOS!$G12467="EX",1,IF(DATOS!$G12467="OR",--(COUNTIFS(nNIA,DATOS!$A12467,nCURSO,DATOS!$D12467,nESPEC,DATOS!$E12467,nASIG,DATOS!$I12467,nEVAL,"EX")=0),0))))</f>
      </c>
      <c r="H12467">
        <f>IF(DATOS!$G12467&lt;&gt;"EX",0,--(COUNTIFS(nNIA,DATOS!$A12467,nCURSO,DATOS!$D12467,nESPEC,DATOS!$E12467,nASIG,DATOS!$I12467,nEVAL,"OR")=0))</f>
      </c>
      <c r="I12467">
        <f>IF(DATOS!$I12467="","",IFERROR(VLOOKUP(DATOS!$I12467,CONFIG_ASIGNATURAS!$B$2:$J$91,9,FALSE()),""))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IF(DATOS!$A12468="",0,IF(CONFIG_METADATA!$B$4&lt;&gt;"OR+EX",--(DATOS!$G12468=CONFIG_METADATA!$B$4),IF(DATOS!$G12468="EX",1,IF(DATOS!$G12468="OR",--(COUNTIFS(nNIA,DATOS!$A12468,nCURSO,DATOS!$D12468,nESPEC,DATOS!$E12468,nASIG,DATOS!$I12468,nEVAL,"EX")=0),0))))</f>
      </c>
      <c r="H12468">
        <f>IF(DATOS!$G12468&lt;&gt;"EX",0,--(COUNTIFS(nNIA,DATOS!$A12468,nCURSO,DATOS!$D12468,nESPEC,DATOS!$E12468,nASIG,DATOS!$I12468,nEVAL,"OR")=0))</f>
      </c>
      <c r="I12468">
        <f>IF(DATOS!$I12468="","",IFERROR(VLOOKUP(DATOS!$I12468,CONFIG_ASIGNATURAS!$B$2:$J$91,9,FALSE()),""))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IF(DATOS!$A12469="",0,IF(CONFIG_METADATA!$B$4&lt;&gt;"OR+EX",--(DATOS!$G12469=CONFIG_METADATA!$B$4),IF(DATOS!$G12469="EX",1,IF(DATOS!$G12469="OR",--(COUNTIFS(nNIA,DATOS!$A12469,nCURSO,DATOS!$D12469,nESPEC,DATOS!$E12469,nASIG,DATOS!$I12469,nEVAL,"EX")=0),0))))</f>
      </c>
      <c r="H12469">
        <f>IF(DATOS!$G12469&lt;&gt;"EX",0,--(COUNTIFS(nNIA,DATOS!$A12469,nCURSO,DATOS!$D12469,nESPEC,DATOS!$E12469,nASIG,DATOS!$I12469,nEVAL,"OR")=0))</f>
      </c>
      <c r="I12469">
        <f>IF(DATOS!$I12469="","",IFERROR(VLOOKUP(DATOS!$I12469,CONFIG_ASIGNATURAS!$B$2:$J$91,9,FALSE()),""))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IF(DATOS!$A12470="",0,IF(CONFIG_METADATA!$B$4&lt;&gt;"OR+EX",--(DATOS!$G12470=CONFIG_METADATA!$B$4),IF(DATOS!$G12470="EX",1,IF(DATOS!$G12470="OR",--(COUNTIFS(nNIA,DATOS!$A12470,nCURSO,DATOS!$D12470,nESPEC,DATOS!$E12470,nASIG,DATOS!$I12470,nEVAL,"EX")=0),0))))</f>
      </c>
      <c r="H12470">
        <f>IF(DATOS!$G12470&lt;&gt;"EX",0,--(COUNTIFS(nNIA,DATOS!$A12470,nCURSO,DATOS!$D12470,nESPEC,DATOS!$E12470,nASIG,DATOS!$I12470,nEVAL,"OR")=0))</f>
      </c>
      <c r="I12470">
        <f>IF(DATOS!$I12470="","",IFERROR(VLOOKUP(DATOS!$I12470,CONFIG_ASIGNATURAS!$B$2:$J$91,9,FALSE()),""))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IF(DATOS!$A12471="",0,IF(CONFIG_METADATA!$B$4&lt;&gt;"OR+EX",--(DATOS!$G12471=CONFIG_METADATA!$B$4),IF(DATOS!$G12471="EX",1,IF(DATOS!$G12471="OR",--(COUNTIFS(nNIA,DATOS!$A12471,nCURSO,DATOS!$D12471,nESPEC,DATOS!$E12471,nASIG,DATOS!$I12471,nEVAL,"EX")=0),0))))</f>
      </c>
      <c r="H12471">
        <f>IF(DATOS!$G12471&lt;&gt;"EX",0,--(COUNTIFS(nNIA,DATOS!$A12471,nCURSO,DATOS!$D12471,nESPEC,DATOS!$E12471,nASIG,DATOS!$I12471,nEVAL,"OR")=0))</f>
      </c>
      <c r="I12471">
        <f>IF(DATOS!$I12471="","",IFERROR(VLOOKUP(DATOS!$I12471,CONFIG_ASIGNATURAS!$B$2:$J$91,9,FALSE()),""))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IF(DATOS!$A12472="",0,IF(CONFIG_METADATA!$B$4&lt;&gt;"OR+EX",--(DATOS!$G12472=CONFIG_METADATA!$B$4),IF(DATOS!$G12472="EX",1,IF(DATOS!$G12472="OR",--(COUNTIFS(nNIA,DATOS!$A12472,nCURSO,DATOS!$D12472,nESPEC,DATOS!$E12472,nASIG,DATOS!$I12472,nEVAL,"EX")=0),0))))</f>
      </c>
      <c r="H12472">
        <f>IF(DATOS!$G12472&lt;&gt;"EX",0,--(COUNTIFS(nNIA,DATOS!$A12472,nCURSO,DATOS!$D12472,nESPEC,DATOS!$E12472,nASIG,DATOS!$I12472,nEVAL,"OR")=0))</f>
      </c>
      <c r="I12472">
        <f>IF(DATOS!$I12472="","",IFERROR(VLOOKUP(DATOS!$I12472,CONFIG_ASIGNATURAS!$B$2:$J$91,9,FALSE()),""))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IF(DATOS!$A12473="",0,IF(CONFIG_METADATA!$B$4&lt;&gt;"OR+EX",--(DATOS!$G12473=CONFIG_METADATA!$B$4),IF(DATOS!$G12473="EX",1,IF(DATOS!$G12473="OR",--(COUNTIFS(nNIA,DATOS!$A12473,nCURSO,DATOS!$D12473,nESPEC,DATOS!$E12473,nASIG,DATOS!$I12473,nEVAL,"EX")=0),0))))</f>
      </c>
      <c r="H12473">
        <f>IF(DATOS!$G12473&lt;&gt;"EX",0,--(COUNTIFS(nNIA,DATOS!$A12473,nCURSO,DATOS!$D12473,nESPEC,DATOS!$E12473,nASIG,DATOS!$I12473,nEVAL,"OR")=0))</f>
      </c>
      <c r="I12473">
        <f>IF(DATOS!$I12473="","",IFERROR(VLOOKUP(DATOS!$I12473,CONFIG_ASIGNATURAS!$B$2:$J$91,9,FALSE()),""))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IF(DATOS!$A12474="",0,IF(CONFIG_METADATA!$B$4&lt;&gt;"OR+EX",--(DATOS!$G12474=CONFIG_METADATA!$B$4),IF(DATOS!$G12474="EX",1,IF(DATOS!$G12474="OR",--(COUNTIFS(nNIA,DATOS!$A12474,nCURSO,DATOS!$D12474,nESPEC,DATOS!$E12474,nASIG,DATOS!$I12474,nEVAL,"EX")=0),0))))</f>
      </c>
      <c r="H12474">
        <f>IF(DATOS!$G12474&lt;&gt;"EX",0,--(COUNTIFS(nNIA,DATOS!$A12474,nCURSO,DATOS!$D12474,nESPEC,DATOS!$E12474,nASIG,DATOS!$I12474,nEVAL,"OR")=0))</f>
      </c>
      <c r="I12474">
        <f>IF(DATOS!$I12474="","",IFERROR(VLOOKUP(DATOS!$I12474,CONFIG_ASIGNATURAS!$B$2:$J$91,9,FALSE()),""))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IF(DATOS!$A12475="",0,IF(CONFIG_METADATA!$B$4&lt;&gt;"OR+EX",--(DATOS!$G12475=CONFIG_METADATA!$B$4),IF(DATOS!$G12475="EX",1,IF(DATOS!$G12475="OR",--(COUNTIFS(nNIA,DATOS!$A12475,nCURSO,DATOS!$D12475,nESPEC,DATOS!$E12475,nASIG,DATOS!$I12475,nEVAL,"EX")=0),0))))</f>
      </c>
      <c r="H12475">
        <f>IF(DATOS!$G12475&lt;&gt;"EX",0,--(COUNTIFS(nNIA,DATOS!$A12475,nCURSO,DATOS!$D12475,nESPEC,DATOS!$E12475,nASIG,DATOS!$I12475,nEVAL,"OR")=0))</f>
      </c>
      <c r="I12475">
        <f>IF(DATOS!$I12475="","",IFERROR(VLOOKUP(DATOS!$I12475,CONFIG_ASIGNATURAS!$B$2:$J$91,9,FALSE()),""))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IF(DATOS!$A12476="",0,IF(CONFIG_METADATA!$B$4&lt;&gt;"OR+EX",--(DATOS!$G12476=CONFIG_METADATA!$B$4),IF(DATOS!$G12476="EX",1,IF(DATOS!$G12476="OR",--(COUNTIFS(nNIA,DATOS!$A12476,nCURSO,DATOS!$D12476,nESPEC,DATOS!$E12476,nASIG,DATOS!$I12476,nEVAL,"EX")=0),0))))</f>
      </c>
      <c r="H12476">
        <f>IF(DATOS!$G12476&lt;&gt;"EX",0,--(COUNTIFS(nNIA,DATOS!$A12476,nCURSO,DATOS!$D12476,nESPEC,DATOS!$E12476,nASIG,DATOS!$I12476,nEVAL,"OR")=0))</f>
      </c>
      <c r="I12476">
        <f>IF(DATOS!$I12476="","",IFERROR(VLOOKUP(DATOS!$I12476,CONFIG_ASIGNATURAS!$B$2:$J$91,9,FALSE()),""))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IF(DATOS!$A12477="",0,IF(CONFIG_METADATA!$B$4&lt;&gt;"OR+EX",--(DATOS!$G12477=CONFIG_METADATA!$B$4),IF(DATOS!$G12477="EX",1,IF(DATOS!$G12477="OR",--(COUNTIFS(nNIA,DATOS!$A12477,nCURSO,DATOS!$D12477,nESPEC,DATOS!$E12477,nASIG,DATOS!$I12477,nEVAL,"EX")=0),0))))</f>
      </c>
      <c r="H12477">
        <f>IF(DATOS!$G12477&lt;&gt;"EX",0,--(COUNTIFS(nNIA,DATOS!$A12477,nCURSO,DATOS!$D12477,nESPEC,DATOS!$E12477,nASIG,DATOS!$I12477,nEVAL,"OR")=0))</f>
      </c>
      <c r="I12477">
        <f>IF(DATOS!$I12477="","",IFERROR(VLOOKUP(DATOS!$I12477,CONFIG_ASIGNATURAS!$B$2:$J$91,9,FALSE()),""))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IF(DATOS!$A12478="",0,IF(CONFIG_METADATA!$B$4&lt;&gt;"OR+EX",--(DATOS!$G12478=CONFIG_METADATA!$B$4),IF(DATOS!$G12478="EX",1,IF(DATOS!$G12478="OR",--(COUNTIFS(nNIA,DATOS!$A12478,nCURSO,DATOS!$D12478,nESPEC,DATOS!$E12478,nASIG,DATOS!$I12478,nEVAL,"EX")=0),0))))</f>
      </c>
      <c r="H12478">
        <f>IF(DATOS!$G12478&lt;&gt;"EX",0,--(COUNTIFS(nNIA,DATOS!$A12478,nCURSO,DATOS!$D12478,nESPEC,DATOS!$E12478,nASIG,DATOS!$I12478,nEVAL,"OR")=0))</f>
      </c>
      <c r="I12478">
        <f>IF(DATOS!$I12478="","",IFERROR(VLOOKUP(DATOS!$I12478,CONFIG_ASIGNATURAS!$B$2:$J$91,9,FALSE()),""))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IF(DATOS!$A12479="",0,IF(CONFIG_METADATA!$B$4&lt;&gt;"OR+EX",--(DATOS!$G12479=CONFIG_METADATA!$B$4),IF(DATOS!$G12479="EX",1,IF(DATOS!$G12479="OR",--(COUNTIFS(nNIA,DATOS!$A12479,nCURSO,DATOS!$D12479,nESPEC,DATOS!$E12479,nASIG,DATOS!$I12479,nEVAL,"EX")=0),0))))</f>
      </c>
      <c r="H12479">
        <f>IF(DATOS!$G12479&lt;&gt;"EX",0,--(COUNTIFS(nNIA,DATOS!$A12479,nCURSO,DATOS!$D12479,nESPEC,DATOS!$E12479,nASIG,DATOS!$I12479,nEVAL,"OR")=0))</f>
      </c>
      <c r="I12479">
        <f>IF(DATOS!$I12479="","",IFERROR(VLOOKUP(DATOS!$I12479,CONFIG_ASIGNATURAS!$B$2:$J$91,9,FALSE()),""))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IF(DATOS!$A12480="",0,IF(CONFIG_METADATA!$B$4&lt;&gt;"OR+EX",--(DATOS!$G12480=CONFIG_METADATA!$B$4),IF(DATOS!$G12480="EX",1,IF(DATOS!$G12480="OR",--(COUNTIFS(nNIA,DATOS!$A12480,nCURSO,DATOS!$D12480,nESPEC,DATOS!$E12480,nASIG,DATOS!$I12480,nEVAL,"EX")=0),0))))</f>
      </c>
      <c r="H12480">
        <f>IF(DATOS!$G12480&lt;&gt;"EX",0,--(COUNTIFS(nNIA,DATOS!$A12480,nCURSO,DATOS!$D12480,nESPEC,DATOS!$E12480,nASIG,DATOS!$I12480,nEVAL,"OR")=0))</f>
      </c>
      <c r="I12480">
        <f>IF(DATOS!$I12480="","",IFERROR(VLOOKUP(DATOS!$I12480,CONFIG_ASIGNATURAS!$B$2:$J$91,9,FALSE()),""))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IF(DATOS!$A12481="",0,IF(CONFIG_METADATA!$B$4&lt;&gt;"OR+EX",--(DATOS!$G12481=CONFIG_METADATA!$B$4),IF(DATOS!$G12481="EX",1,IF(DATOS!$G12481="OR",--(COUNTIFS(nNIA,DATOS!$A12481,nCURSO,DATOS!$D12481,nESPEC,DATOS!$E12481,nASIG,DATOS!$I12481,nEVAL,"EX")=0),0))))</f>
      </c>
      <c r="H12481">
        <f>IF(DATOS!$G12481&lt;&gt;"EX",0,--(COUNTIFS(nNIA,DATOS!$A12481,nCURSO,DATOS!$D12481,nESPEC,DATOS!$E12481,nASIG,DATOS!$I12481,nEVAL,"OR")=0))</f>
      </c>
      <c r="I12481">
        <f>IF(DATOS!$I12481="","",IFERROR(VLOOKUP(DATOS!$I12481,CONFIG_ASIGNATURAS!$B$2:$J$91,9,FALSE()),""))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IF(DATOS!$A12482="",0,IF(CONFIG_METADATA!$B$4&lt;&gt;"OR+EX",--(DATOS!$G12482=CONFIG_METADATA!$B$4),IF(DATOS!$G12482="EX",1,IF(DATOS!$G12482="OR",--(COUNTIFS(nNIA,DATOS!$A12482,nCURSO,DATOS!$D12482,nESPEC,DATOS!$E12482,nASIG,DATOS!$I12482,nEVAL,"EX")=0),0))))</f>
      </c>
      <c r="H12482">
        <f>IF(DATOS!$G12482&lt;&gt;"EX",0,--(COUNTIFS(nNIA,DATOS!$A12482,nCURSO,DATOS!$D12482,nESPEC,DATOS!$E12482,nASIG,DATOS!$I12482,nEVAL,"OR")=0))</f>
      </c>
      <c r="I12482">
        <f>IF(DATOS!$I12482="","",IFERROR(VLOOKUP(DATOS!$I12482,CONFIG_ASIGNATURAS!$B$2:$J$91,9,FALSE()),""))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IF(DATOS!$A12483="",0,IF(CONFIG_METADATA!$B$4&lt;&gt;"OR+EX",--(DATOS!$G12483=CONFIG_METADATA!$B$4),IF(DATOS!$G12483="EX",1,IF(DATOS!$G12483="OR",--(COUNTIFS(nNIA,DATOS!$A12483,nCURSO,DATOS!$D12483,nESPEC,DATOS!$E12483,nASIG,DATOS!$I12483,nEVAL,"EX")=0),0))))</f>
      </c>
      <c r="H12483">
        <f>IF(DATOS!$G12483&lt;&gt;"EX",0,--(COUNTIFS(nNIA,DATOS!$A12483,nCURSO,DATOS!$D12483,nESPEC,DATOS!$E12483,nASIG,DATOS!$I12483,nEVAL,"OR")=0))</f>
      </c>
      <c r="I12483">
        <f>IF(DATOS!$I12483="","",IFERROR(VLOOKUP(DATOS!$I12483,CONFIG_ASIGNATURAS!$B$2:$J$91,9,FALSE()),""))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IF(DATOS!$A12484="",0,IF(CONFIG_METADATA!$B$4&lt;&gt;"OR+EX",--(DATOS!$G12484=CONFIG_METADATA!$B$4),IF(DATOS!$G12484="EX",1,IF(DATOS!$G12484="OR",--(COUNTIFS(nNIA,DATOS!$A12484,nCURSO,DATOS!$D12484,nESPEC,DATOS!$E12484,nASIG,DATOS!$I12484,nEVAL,"EX")=0),0))))</f>
      </c>
      <c r="H12484">
        <f>IF(DATOS!$G12484&lt;&gt;"EX",0,--(COUNTIFS(nNIA,DATOS!$A12484,nCURSO,DATOS!$D12484,nESPEC,DATOS!$E12484,nASIG,DATOS!$I12484,nEVAL,"OR")=0))</f>
      </c>
      <c r="I12484">
        <f>IF(DATOS!$I12484="","",IFERROR(VLOOKUP(DATOS!$I12484,CONFIG_ASIGNATURAS!$B$2:$J$91,9,FALSE()),""))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IF(DATOS!$A12485="",0,IF(CONFIG_METADATA!$B$4&lt;&gt;"OR+EX",--(DATOS!$G12485=CONFIG_METADATA!$B$4),IF(DATOS!$G12485="EX",1,IF(DATOS!$G12485="OR",--(COUNTIFS(nNIA,DATOS!$A12485,nCURSO,DATOS!$D12485,nESPEC,DATOS!$E12485,nASIG,DATOS!$I12485,nEVAL,"EX")=0),0))))</f>
      </c>
      <c r="H12485">
        <f>IF(DATOS!$G12485&lt;&gt;"EX",0,--(COUNTIFS(nNIA,DATOS!$A12485,nCURSO,DATOS!$D12485,nESPEC,DATOS!$E12485,nASIG,DATOS!$I12485,nEVAL,"OR")=0))</f>
      </c>
      <c r="I12485">
        <f>IF(DATOS!$I12485="","",IFERROR(VLOOKUP(DATOS!$I12485,CONFIG_ASIGNATURAS!$B$2:$J$91,9,FALSE()),""))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IF(DATOS!$A12486="",0,IF(CONFIG_METADATA!$B$4&lt;&gt;"OR+EX",--(DATOS!$G12486=CONFIG_METADATA!$B$4),IF(DATOS!$G12486="EX",1,IF(DATOS!$G12486="OR",--(COUNTIFS(nNIA,DATOS!$A12486,nCURSO,DATOS!$D12486,nESPEC,DATOS!$E12486,nASIG,DATOS!$I12486,nEVAL,"EX")=0),0))))</f>
      </c>
      <c r="H12486">
        <f>IF(DATOS!$G12486&lt;&gt;"EX",0,--(COUNTIFS(nNIA,DATOS!$A12486,nCURSO,DATOS!$D12486,nESPEC,DATOS!$E12486,nASIG,DATOS!$I12486,nEVAL,"OR")=0))</f>
      </c>
      <c r="I12486">
        <f>IF(DATOS!$I12486="","",IFERROR(VLOOKUP(DATOS!$I12486,CONFIG_ASIGNATURAS!$B$2:$J$91,9,FALSE()),""))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IF(DATOS!$A12487="",0,IF(CONFIG_METADATA!$B$4&lt;&gt;"OR+EX",--(DATOS!$G12487=CONFIG_METADATA!$B$4),IF(DATOS!$G12487="EX",1,IF(DATOS!$G12487="OR",--(COUNTIFS(nNIA,DATOS!$A12487,nCURSO,DATOS!$D12487,nESPEC,DATOS!$E12487,nASIG,DATOS!$I12487,nEVAL,"EX")=0),0))))</f>
      </c>
      <c r="H12487">
        <f>IF(DATOS!$G12487&lt;&gt;"EX",0,--(COUNTIFS(nNIA,DATOS!$A12487,nCURSO,DATOS!$D12487,nESPEC,DATOS!$E12487,nASIG,DATOS!$I12487,nEVAL,"OR")=0))</f>
      </c>
      <c r="I12487">
        <f>IF(DATOS!$I12487="","",IFERROR(VLOOKUP(DATOS!$I12487,CONFIG_ASIGNATURAS!$B$2:$J$91,9,FALSE()),""))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IF(DATOS!$A12488="",0,IF(CONFIG_METADATA!$B$4&lt;&gt;"OR+EX",--(DATOS!$G12488=CONFIG_METADATA!$B$4),IF(DATOS!$G12488="EX",1,IF(DATOS!$G12488="OR",--(COUNTIFS(nNIA,DATOS!$A12488,nCURSO,DATOS!$D12488,nESPEC,DATOS!$E12488,nASIG,DATOS!$I12488,nEVAL,"EX")=0),0))))</f>
      </c>
      <c r="H12488">
        <f>IF(DATOS!$G12488&lt;&gt;"EX",0,--(COUNTIFS(nNIA,DATOS!$A12488,nCURSO,DATOS!$D12488,nESPEC,DATOS!$E12488,nASIG,DATOS!$I12488,nEVAL,"OR")=0))</f>
      </c>
      <c r="I12488">
        <f>IF(DATOS!$I12488="","",IFERROR(VLOOKUP(DATOS!$I12488,CONFIG_ASIGNATURAS!$B$2:$J$91,9,FALSE()),""))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IF(DATOS!$A12489="",0,IF(CONFIG_METADATA!$B$4&lt;&gt;"OR+EX",--(DATOS!$G12489=CONFIG_METADATA!$B$4),IF(DATOS!$G12489="EX",1,IF(DATOS!$G12489="OR",--(COUNTIFS(nNIA,DATOS!$A12489,nCURSO,DATOS!$D12489,nESPEC,DATOS!$E12489,nASIG,DATOS!$I12489,nEVAL,"EX")=0),0))))</f>
      </c>
      <c r="H12489">
        <f>IF(DATOS!$G12489&lt;&gt;"EX",0,--(COUNTIFS(nNIA,DATOS!$A12489,nCURSO,DATOS!$D12489,nESPEC,DATOS!$E12489,nASIG,DATOS!$I12489,nEVAL,"OR")=0))</f>
      </c>
      <c r="I12489">
        <f>IF(DATOS!$I12489="","",IFERROR(VLOOKUP(DATOS!$I12489,CONFIG_ASIGNATURAS!$B$2:$J$91,9,FALSE()),""))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IF(DATOS!$A12490="",0,IF(CONFIG_METADATA!$B$4&lt;&gt;"OR+EX",--(DATOS!$G12490=CONFIG_METADATA!$B$4),IF(DATOS!$G12490="EX",1,IF(DATOS!$G12490="OR",--(COUNTIFS(nNIA,DATOS!$A12490,nCURSO,DATOS!$D12490,nESPEC,DATOS!$E12490,nASIG,DATOS!$I12490,nEVAL,"EX")=0),0))))</f>
      </c>
      <c r="H12490">
        <f>IF(DATOS!$G12490&lt;&gt;"EX",0,--(COUNTIFS(nNIA,DATOS!$A12490,nCURSO,DATOS!$D12490,nESPEC,DATOS!$E12490,nASIG,DATOS!$I12490,nEVAL,"OR")=0))</f>
      </c>
      <c r="I12490">
        <f>IF(DATOS!$I12490="","",IFERROR(VLOOKUP(DATOS!$I12490,CONFIG_ASIGNATURAS!$B$2:$J$91,9,FALSE()),""))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IF(DATOS!$A12491="",0,IF(CONFIG_METADATA!$B$4&lt;&gt;"OR+EX",--(DATOS!$G12491=CONFIG_METADATA!$B$4),IF(DATOS!$G12491="EX",1,IF(DATOS!$G12491="OR",--(COUNTIFS(nNIA,DATOS!$A12491,nCURSO,DATOS!$D12491,nESPEC,DATOS!$E12491,nASIG,DATOS!$I12491,nEVAL,"EX")=0),0))))</f>
      </c>
      <c r="H12491">
        <f>IF(DATOS!$G12491&lt;&gt;"EX",0,--(COUNTIFS(nNIA,DATOS!$A12491,nCURSO,DATOS!$D12491,nESPEC,DATOS!$E12491,nASIG,DATOS!$I12491,nEVAL,"OR")=0))</f>
      </c>
      <c r="I12491">
        <f>IF(DATOS!$I12491="","",IFERROR(VLOOKUP(DATOS!$I12491,CONFIG_ASIGNATURAS!$B$2:$J$91,9,FALSE()),""))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IF(DATOS!$A12492="",0,IF(CONFIG_METADATA!$B$4&lt;&gt;"OR+EX",--(DATOS!$G12492=CONFIG_METADATA!$B$4),IF(DATOS!$G12492="EX",1,IF(DATOS!$G12492="OR",--(COUNTIFS(nNIA,DATOS!$A12492,nCURSO,DATOS!$D12492,nESPEC,DATOS!$E12492,nASIG,DATOS!$I12492,nEVAL,"EX")=0),0))))</f>
      </c>
      <c r="H12492">
        <f>IF(DATOS!$G12492&lt;&gt;"EX",0,--(COUNTIFS(nNIA,DATOS!$A12492,nCURSO,DATOS!$D12492,nESPEC,DATOS!$E12492,nASIG,DATOS!$I12492,nEVAL,"OR")=0))</f>
      </c>
      <c r="I12492">
        <f>IF(DATOS!$I12492="","",IFERROR(VLOOKUP(DATOS!$I12492,CONFIG_ASIGNATURAS!$B$2:$J$91,9,FALSE()),""))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IF(DATOS!$A12493="",0,IF(CONFIG_METADATA!$B$4&lt;&gt;"OR+EX",--(DATOS!$G12493=CONFIG_METADATA!$B$4),IF(DATOS!$G12493="EX",1,IF(DATOS!$G12493="OR",--(COUNTIFS(nNIA,DATOS!$A12493,nCURSO,DATOS!$D12493,nESPEC,DATOS!$E12493,nASIG,DATOS!$I12493,nEVAL,"EX")=0),0))))</f>
      </c>
      <c r="H12493">
        <f>IF(DATOS!$G12493&lt;&gt;"EX",0,--(COUNTIFS(nNIA,DATOS!$A12493,nCURSO,DATOS!$D12493,nESPEC,DATOS!$E12493,nASIG,DATOS!$I12493,nEVAL,"OR")=0))</f>
      </c>
      <c r="I12493">
        <f>IF(DATOS!$I12493="","",IFERROR(VLOOKUP(DATOS!$I12493,CONFIG_ASIGNATURAS!$B$2:$J$91,9,FALSE()),""))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IF(DATOS!$A12494="",0,IF(CONFIG_METADATA!$B$4&lt;&gt;"OR+EX",--(DATOS!$G12494=CONFIG_METADATA!$B$4),IF(DATOS!$G12494="EX",1,IF(DATOS!$G12494="OR",--(COUNTIFS(nNIA,DATOS!$A12494,nCURSO,DATOS!$D12494,nESPEC,DATOS!$E12494,nASIG,DATOS!$I12494,nEVAL,"EX")=0),0))))</f>
      </c>
      <c r="H12494">
        <f>IF(DATOS!$G12494&lt;&gt;"EX",0,--(COUNTIFS(nNIA,DATOS!$A12494,nCURSO,DATOS!$D12494,nESPEC,DATOS!$E12494,nASIG,DATOS!$I12494,nEVAL,"OR")=0))</f>
      </c>
      <c r="I12494">
        <f>IF(DATOS!$I12494="","",IFERROR(VLOOKUP(DATOS!$I12494,CONFIG_ASIGNATURAS!$B$2:$J$91,9,FALSE()),""))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IF(DATOS!$A12495="",0,IF(CONFIG_METADATA!$B$4&lt;&gt;"OR+EX",--(DATOS!$G12495=CONFIG_METADATA!$B$4),IF(DATOS!$G12495="EX",1,IF(DATOS!$G12495="OR",--(COUNTIFS(nNIA,DATOS!$A12495,nCURSO,DATOS!$D12495,nESPEC,DATOS!$E12495,nASIG,DATOS!$I12495,nEVAL,"EX")=0),0))))</f>
      </c>
      <c r="H12495">
        <f>IF(DATOS!$G12495&lt;&gt;"EX",0,--(COUNTIFS(nNIA,DATOS!$A12495,nCURSO,DATOS!$D12495,nESPEC,DATOS!$E12495,nASIG,DATOS!$I12495,nEVAL,"OR")=0))</f>
      </c>
      <c r="I12495">
        <f>IF(DATOS!$I12495="","",IFERROR(VLOOKUP(DATOS!$I12495,CONFIG_ASIGNATURAS!$B$2:$J$91,9,FALSE()),""))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IF(DATOS!$A12496="",0,IF(CONFIG_METADATA!$B$4&lt;&gt;"OR+EX",--(DATOS!$G12496=CONFIG_METADATA!$B$4),IF(DATOS!$G12496="EX",1,IF(DATOS!$G12496="OR",--(COUNTIFS(nNIA,DATOS!$A12496,nCURSO,DATOS!$D12496,nESPEC,DATOS!$E12496,nASIG,DATOS!$I12496,nEVAL,"EX")=0),0))))</f>
      </c>
      <c r="H12496">
        <f>IF(DATOS!$G12496&lt;&gt;"EX",0,--(COUNTIFS(nNIA,DATOS!$A12496,nCURSO,DATOS!$D12496,nESPEC,DATOS!$E12496,nASIG,DATOS!$I12496,nEVAL,"OR")=0))</f>
      </c>
      <c r="I12496">
        <f>IF(DATOS!$I12496="","",IFERROR(VLOOKUP(DATOS!$I12496,CONFIG_ASIGNATURAS!$B$2:$J$91,9,FALSE()),""))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IF(DATOS!$A12497="",0,IF(CONFIG_METADATA!$B$4&lt;&gt;"OR+EX",--(DATOS!$G12497=CONFIG_METADATA!$B$4),IF(DATOS!$G12497="EX",1,IF(DATOS!$G12497="OR",--(COUNTIFS(nNIA,DATOS!$A12497,nCURSO,DATOS!$D12497,nESPEC,DATOS!$E12497,nASIG,DATOS!$I12497,nEVAL,"EX")=0),0))))</f>
      </c>
      <c r="H12497">
        <f>IF(DATOS!$G12497&lt;&gt;"EX",0,--(COUNTIFS(nNIA,DATOS!$A12497,nCURSO,DATOS!$D12497,nESPEC,DATOS!$E12497,nASIG,DATOS!$I12497,nEVAL,"OR")=0))</f>
      </c>
      <c r="I12497">
        <f>IF(DATOS!$I12497="","",IFERROR(VLOOKUP(DATOS!$I12497,CONFIG_ASIGNATURAS!$B$2:$J$91,9,FALSE()),""))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IF(DATOS!$A12498="",0,IF(CONFIG_METADATA!$B$4&lt;&gt;"OR+EX",--(DATOS!$G12498=CONFIG_METADATA!$B$4),IF(DATOS!$G12498="EX",1,IF(DATOS!$G12498="OR",--(COUNTIFS(nNIA,DATOS!$A12498,nCURSO,DATOS!$D12498,nESPEC,DATOS!$E12498,nASIG,DATOS!$I12498,nEVAL,"EX")=0),0))))</f>
      </c>
      <c r="H12498">
        <f>IF(DATOS!$G12498&lt;&gt;"EX",0,--(COUNTIFS(nNIA,DATOS!$A12498,nCURSO,DATOS!$D12498,nESPEC,DATOS!$E12498,nASIG,DATOS!$I12498,nEVAL,"OR")=0))</f>
      </c>
      <c r="I12498">
        <f>IF(DATOS!$I12498="","",IFERROR(VLOOKUP(DATOS!$I12498,CONFIG_ASIGNATURAS!$B$2:$J$91,9,FALSE()),""))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IF(DATOS!$A12499="",0,IF(CONFIG_METADATA!$B$4&lt;&gt;"OR+EX",--(DATOS!$G12499=CONFIG_METADATA!$B$4),IF(DATOS!$G12499="EX",1,IF(DATOS!$G12499="OR",--(COUNTIFS(nNIA,DATOS!$A12499,nCURSO,DATOS!$D12499,nESPEC,DATOS!$E12499,nASIG,DATOS!$I12499,nEVAL,"EX")=0),0))))</f>
      </c>
      <c r="H12499">
        <f>IF(DATOS!$G12499&lt;&gt;"EX",0,--(COUNTIFS(nNIA,DATOS!$A12499,nCURSO,DATOS!$D12499,nESPEC,DATOS!$E12499,nASIG,DATOS!$I12499,nEVAL,"OR")=0))</f>
      </c>
      <c r="I12499">
        <f>IF(DATOS!$I12499="","",IFERROR(VLOOKUP(DATOS!$I12499,CONFIG_ASIGNATURAS!$B$2:$J$91,9,FALSE()),""))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IF(DATOS!$A12500="",0,IF(CONFIG_METADATA!$B$4&lt;&gt;"OR+EX",--(DATOS!$G12500=CONFIG_METADATA!$B$4),IF(DATOS!$G12500="EX",1,IF(DATOS!$G12500="OR",--(COUNTIFS(nNIA,DATOS!$A12500,nCURSO,DATOS!$D12500,nESPEC,DATOS!$E12500,nASIG,DATOS!$I12500,nEVAL,"EX")=0),0))))</f>
      </c>
      <c r="H12500">
        <f>IF(DATOS!$G12500&lt;&gt;"EX",0,--(COUNTIFS(nNIA,DATOS!$A12500,nCURSO,DATOS!$D12500,nESPEC,DATOS!$E12500,nASIG,DATOS!$I12500,nEVAL,"OR")=0))</f>
      </c>
      <c r="I12500">
        <f>IF(DATOS!$I12500="","",IFERROR(VLOOKUP(DATOS!$I12500,CONFIG_ASIGNATURAS!$B$2:$J$91,9,FALSE()),""))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IF(DATOS!$A12501="",0,IF(CONFIG_METADATA!$B$4&lt;&gt;"OR+EX",--(DATOS!$G12501=CONFIG_METADATA!$B$4),IF(DATOS!$G12501="EX",1,IF(DATOS!$G12501="OR",--(COUNTIFS(nNIA,DATOS!$A12501,nCURSO,DATOS!$D12501,nESPEC,DATOS!$E12501,nASIG,DATOS!$I12501,nEVAL,"EX")=0),0))))</f>
      </c>
      <c r="H12501">
        <f>IF(DATOS!$G12501&lt;&gt;"EX",0,--(COUNTIFS(nNIA,DATOS!$A12501,nCURSO,DATOS!$D12501,nESPEC,DATOS!$E12501,nASIG,DATOS!$I12501,nEVAL,"OR")=0))</f>
      </c>
      <c r="I12501">
        <f>IF(DATOS!$I12501="","",IFERROR(VLOOKUP(DATOS!$I12501,CONFIG_ASIGNATURAS!$B$2:$J$91,9,FALSE()),""))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IF(DATOS!$A12502="",0,IF(CONFIG_METADATA!$B$4&lt;&gt;"OR+EX",--(DATOS!$G12502=CONFIG_METADATA!$B$4),IF(DATOS!$G12502="EX",1,IF(DATOS!$G12502="OR",--(COUNTIFS(nNIA,DATOS!$A12502,nCURSO,DATOS!$D12502,nESPEC,DATOS!$E12502,nASIG,DATOS!$I12502,nEVAL,"EX")=0),0))))</f>
      </c>
      <c r="H12502">
        <f>IF(DATOS!$G12502&lt;&gt;"EX",0,--(COUNTIFS(nNIA,DATOS!$A12502,nCURSO,DATOS!$D12502,nESPEC,DATOS!$E12502,nASIG,DATOS!$I12502,nEVAL,"OR")=0))</f>
      </c>
      <c r="I12502">
        <f>IF(DATOS!$I12502="","",IFERROR(VLOOKUP(DATOS!$I12502,CONFIG_ASIGNATURAS!$B$2:$J$91,9,FALSE()),""))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IF(DATOS!$A12503="",0,IF(CONFIG_METADATA!$B$4&lt;&gt;"OR+EX",--(DATOS!$G12503=CONFIG_METADATA!$B$4),IF(DATOS!$G12503="EX",1,IF(DATOS!$G12503="OR",--(COUNTIFS(nNIA,DATOS!$A12503,nCURSO,DATOS!$D12503,nESPEC,DATOS!$E12503,nASIG,DATOS!$I12503,nEVAL,"EX")=0),0))))</f>
      </c>
      <c r="H12503">
        <f>IF(DATOS!$G12503&lt;&gt;"EX",0,--(COUNTIFS(nNIA,DATOS!$A12503,nCURSO,DATOS!$D12503,nESPEC,DATOS!$E12503,nASIG,DATOS!$I12503,nEVAL,"OR")=0))</f>
      </c>
      <c r="I12503">
        <f>IF(DATOS!$I12503="","",IFERROR(VLOOKUP(DATOS!$I12503,CONFIG_ASIGNATURAS!$B$2:$J$91,9,FALSE()),""))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IF(DATOS!$A12504="",0,IF(CONFIG_METADATA!$B$4&lt;&gt;"OR+EX",--(DATOS!$G12504=CONFIG_METADATA!$B$4),IF(DATOS!$G12504="EX",1,IF(DATOS!$G12504="OR",--(COUNTIFS(nNIA,DATOS!$A12504,nCURSO,DATOS!$D12504,nESPEC,DATOS!$E12504,nASIG,DATOS!$I12504,nEVAL,"EX")=0),0))))</f>
      </c>
      <c r="H12504">
        <f>IF(DATOS!$G12504&lt;&gt;"EX",0,--(COUNTIFS(nNIA,DATOS!$A12504,nCURSO,DATOS!$D12504,nESPEC,DATOS!$E12504,nASIG,DATOS!$I12504,nEVAL,"OR")=0))</f>
      </c>
      <c r="I12504">
        <f>IF(DATOS!$I12504="","",IFERROR(VLOOKUP(DATOS!$I12504,CONFIG_ASIGNATURAS!$B$2:$J$91,9,FALSE()),""))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IF(DATOS!$A12505="",0,IF(CONFIG_METADATA!$B$4&lt;&gt;"OR+EX",--(DATOS!$G12505=CONFIG_METADATA!$B$4),IF(DATOS!$G12505="EX",1,IF(DATOS!$G12505="OR",--(COUNTIFS(nNIA,DATOS!$A12505,nCURSO,DATOS!$D12505,nESPEC,DATOS!$E12505,nASIG,DATOS!$I12505,nEVAL,"EX")=0),0))))</f>
      </c>
      <c r="H12505">
        <f>IF(DATOS!$G12505&lt;&gt;"EX",0,--(COUNTIFS(nNIA,DATOS!$A12505,nCURSO,DATOS!$D12505,nESPEC,DATOS!$E12505,nASIG,DATOS!$I12505,nEVAL,"OR")=0))</f>
      </c>
      <c r="I12505">
        <f>IF(DATOS!$I12505="","",IFERROR(VLOOKUP(DATOS!$I12505,CONFIG_ASIGNATURAS!$B$2:$J$91,9,FALSE()),""))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IF(DATOS!$A12506="",0,IF(CONFIG_METADATA!$B$4&lt;&gt;"OR+EX",--(DATOS!$G12506=CONFIG_METADATA!$B$4),IF(DATOS!$G12506="EX",1,IF(DATOS!$G12506="OR",--(COUNTIFS(nNIA,DATOS!$A12506,nCURSO,DATOS!$D12506,nESPEC,DATOS!$E12506,nASIG,DATOS!$I12506,nEVAL,"EX")=0),0))))</f>
      </c>
      <c r="H12506">
        <f>IF(DATOS!$G12506&lt;&gt;"EX",0,--(COUNTIFS(nNIA,DATOS!$A12506,nCURSO,DATOS!$D12506,nESPEC,DATOS!$E12506,nASIG,DATOS!$I12506,nEVAL,"OR")=0))</f>
      </c>
      <c r="I12506">
        <f>IF(DATOS!$I12506="","",IFERROR(VLOOKUP(DATOS!$I12506,CONFIG_ASIGNATURAS!$B$2:$J$91,9,FALSE()),""))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IF(DATOS!$A12507="",0,IF(CONFIG_METADATA!$B$4&lt;&gt;"OR+EX",--(DATOS!$G12507=CONFIG_METADATA!$B$4),IF(DATOS!$G12507="EX",1,IF(DATOS!$G12507="OR",--(COUNTIFS(nNIA,DATOS!$A12507,nCURSO,DATOS!$D12507,nESPEC,DATOS!$E12507,nASIG,DATOS!$I12507,nEVAL,"EX")=0),0))))</f>
      </c>
      <c r="H12507">
        <f>IF(DATOS!$G12507&lt;&gt;"EX",0,--(COUNTIFS(nNIA,DATOS!$A12507,nCURSO,DATOS!$D12507,nESPEC,DATOS!$E12507,nASIG,DATOS!$I12507,nEVAL,"OR")=0))</f>
      </c>
      <c r="I12507">
        <f>IF(DATOS!$I12507="","",IFERROR(VLOOKUP(DATOS!$I12507,CONFIG_ASIGNATURAS!$B$2:$J$91,9,FALSE()),""))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IF(DATOS!$A12508="",0,IF(CONFIG_METADATA!$B$4&lt;&gt;"OR+EX",--(DATOS!$G12508=CONFIG_METADATA!$B$4),IF(DATOS!$G12508="EX",1,IF(DATOS!$G12508="OR",--(COUNTIFS(nNIA,DATOS!$A12508,nCURSO,DATOS!$D12508,nESPEC,DATOS!$E12508,nASIG,DATOS!$I12508,nEVAL,"EX")=0),0))))</f>
      </c>
      <c r="H12508">
        <f>IF(DATOS!$G12508&lt;&gt;"EX",0,--(COUNTIFS(nNIA,DATOS!$A12508,nCURSO,DATOS!$D12508,nESPEC,DATOS!$E12508,nASIG,DATOS!$I12508,nEVAL,"OR")=0))</f>
      </c>
      <c r="I12508">
        <f>IF(DATOS!$I12508="","",IFERROR(VLOOKUP(DATOS!$I12508,CONFIG_ASIGNATURAS!$B$2:$J$91,9,FALSE()),""))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IF(DATOS!$A12509="",0,IF(CONFIG_METADATA!$B$4&lt;&gt;"OR+EX",--(DATOS!$G12509=CONFIG_METADATA!$B$4),IF(DATOS!$G12509="EX",1,IF(DATOS!$G12509="OR",--(COUNTIFS(nNIA,DATOS!$A12509,nCURSO,DATOS!$D12509,nESPEC,DATOS!$E12509,nASIG,DATOS!$I12509,nEVAL,"EX")=0),0))))</f>
      </c>
      <c r="H12509">
        <f>IF(DATOS!$G12509&lt;&gt;"EX",0,--(COUNTIFS(nNIA,DATOS!$A12509,nCURSO,DATOS!$D12509,nESPEC,DATOS!$E12509,nASIG,DATOS!$I12509,nEVAL,"OR")=0))</f>
      </c>
      <c r="I12509">
        <f>IF(DATOS!$I12509="","",IFERROR(VLOOKUP(DATOS!$I12509,CONFIG_ASIGNATURAS!$B$2:$J$91,9,FALSE()),""))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IF(DATOS!$A12510="",0,IF(CONFIG_METADATA!$B$4&lt;&gt;"OR+EX",--(DATOS!$G12510=CONFIG_METADATA!$B$4),IF(DATOS!$G12510="EX",1,IF(DATOS!$G12510="OR",--(COUNTIFS(nNIA,DATOS!$A12510,nCURSO,DATOS!$D12510,nESPEC,DATOS!$E12510,nASIG,DATOS!$I12510,nEVAL,"EX")=0),0))))</f>
      </c>
      <c r="H12510">
        <f>IF(DATOS!$G12510&lt;&gt;"EX",0,--(COUNTIFS(nNIA,DATOS!$A12510,nCURSO,DATOS!$D12510,nESPEC,DATOS!$E12510,nASIG,DATOS!$I12510,nEVAL,"OR")=0))</f>
      </c>
      <c r="I12510">
        <f>IF(DATOS!$I12510="","",IFERROR(VLOOKUP(DATOS!$I12510,CONFIG_ASIGNATURAS!$B$2:$J$91,9,FALSE()),""))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IF(DATOS!$A12511="",0,IF(CONFIG_METADATA!$B$4&lt;&gt;"OR+EX",--(DATOS!$G12511=CONFIG_METADATA!$B$4),IF(DATOS!$G12511="EX",1,IF(DATOS!$G12511="OR",--(COUNTIFS(nNIA,DATOS!$A12511,nCURSO,DATOS!$D12511,nESPEC,DATOS!$E12511,nASIG,DATOS!$I12511,nEVAL,"EX")=0),0))))</f>
      </c>
      <c r="H12511">
        <f>IF(DATOS!$G12511&lt;&gt;"EX",0,--(COUNTIFS(nNIA,DATOS!$A12511,nCURSO,DATOS!$D12511,nESPEC,DATOS!$E12511,nASIG,DATOS!$I12511,nEVAL,"OR")=0))</f>
      </c>
      <c r="I12511">
        <f>IF(DATOS!$I12511="","",IFERROR(VLOOKUP(DATOS!$I12511,CONFIG_ASIGNATURAS!$B$2:$J$91,9,FALSE()),""))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IF(DATOS!$A12512="",0,IF(CONFIG_METADATA!$B$4&lt;&gt;"OR+EX",--(DATOS!$G12512=CONFIG_METADATA!$B$4),IF(DATOS!$G12512="EX",1,IF(DATOS!$G12512="OR",--(COUNTIFS(nNIA,DATOS!$A12512,nCURSO,DATOS!$D12512,nESPEC,DATOS!$E12512,nASIG,DATOS!$I12512,nEVAL,"EX")=0),0))))</f>
      </c>
      <c r="H12512">
        <f>IF(DATOS!$G12512&lt;&gt;"EX",0,--(COUNTIFS(nNIA,DATOS!$A12512,nCURSO,DATOS!$D12512,nESPEC,DATOS!$E12512,nASIG,DATOS!$I12512,nEVAL,"OR")=0))</f>
      </c>
      <c r="I12512">
        <f>IF(DATOS!$I12512="","",IFERROR(VLOOKUP(DATOS!$I12512,CONFIG_ASIGNATURAS!$B$2:$J$91,9,FALSE()),""))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IF(DATOS!$A12513="",0,IF(CONFIG_METADATA!$B$4&lt;&gt;"OR+EX",--(DATOS!$G12513=CONFIG_METADATA!$B$4),IF(DATOS!$G12513="EX",1,IF(DATOS!$G12513="OR",--(COUNTIFS(nNIA,DATOS!$A12513,nCURSO,DATOS!$D12513,nESPEC,DATOS!$E12513,nASIG,DATOS!$I12513,nEVAL,"EX")=0),0))))</f>
      </c>
      <c r="H12513">
        <f>IF(DATOS!$G12513&lt;&gt;"EX",0,--(COUNTIFS(nNIA,DATOS!$A12513,nCURSO,DATOS!$D12513,nESPEC,DATOS!$E12513,nASIG,DATOS!$I12513,nEVAL,"OR")=0))</f>
      </c>
      <c r="I12513">
        <f>IF(DATOS!$I12513="","",IFERROR(VLOOKUP(DATOS!$I12513,CONFIG_ASIGNATURAS!$B$2:$J$91,9,FALSE()),""))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IF(DATOS!$A12514="",0,IF(CONFIG_METADATA!$B$4&lt;&gt;"OR+EX",--(DATOS!$G12514=CONFIG_METADATA!$B$4),IF(DATOS!$G12514="EX",1,IF(DATOS!$G12514="OR",--(COUNTIFS(nNIA,DATOS!$A12514,nCURSO,DATOS!$D12514,nESPEC,DATOS!$E12514,nASIG,DATOS!$I12514,nEVAL,"EX")=0),0))))</f>
      </c>
      <c r="H12514">
        <f>IF(DATOS!$G12514&lt;&gt;"EX",0,--(COUNTIFS(nNIA,DATOS!$A12514,nCURSO,DATOS!$D12514,nESPEC,DATOS!$E12514,nASIG,DATOS!$I12514,nEVAL,"OR")=0))</f>
      </c>
      <c r="I12514">
        <f>IF(DATOS!$I12514="","",IFERROR(VLOOKUP(DATOS!$I12514,CONFIG_ASIGNATURAS!$B$2:$J$91,9,FALSE()),""))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IF(DATOS!$A12515="",0,IF(CONFIG_METADATA!$B$4&lt;&gt;"OR+EX",--(DATOS!$G12515=CONFIG_METADATA!$B$4),IF(DATOS!$G12515="EX",1,IF(DATOS!$G12515="OR",--(COUNTIFS(nNIA,DATOS!$A12515,nCURSO,DATOS!$D12515,nESPEC,DATOS!$E12515,nASIG,DATOS!$I12515,nEVAL,"EX")=0),0))))</f>
      </c>
      <c r="H12515">
        <f>IF(DATOS!$G12515&lt;&gt;"EX",0,--(COUNTIFS(nNIA,DATOS!$A12515,nCURSO,DATOS!$D12515,nESPEC,DATOS!$E12515,nASIG,DATOS!$I12515,nEVAL,"OR")=0))</f>
      </c>
      <c r="I12515">
        <f>IF(DATOS!$I12515="","",IFERROR(VLOOKUP(DATOS!$I12515,CONFIG_ASIGNATURAS!$B$2:$J$91,9,FALSE()),""))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IF(DATOS!$A12516="",0,IF(CONFIG_METADATA!$B$4&lt;&gt;"OR+EX",--(DATOS!$G12516=CONFIG_METADATA!$B$4),IF(DATOS!$G12516="EX",1,IF(DATOS!$G12516="OR",--(COUNTIFS(nNIA,DATOS!$A12516,nCURSO,DATOS!$D12516,nESPEC,DATOS!$E12516,nASIG,DATOS!$I12516,nEVAL,"EX")=0),0))))</f>
      </c>
      <c r="H12516">
        <f>IF(DATOS!$G12516&lt;&gt;"EX",0,--(COUNTIFS(nNIA,DATOS!$A12516,nCURSO,DATOS!$D12516,nESPEC,DATOS!$E12516,nASIG,DATOS!$I12516,nEVAL,"OR")=0))</f>
      </c>
      <c r="I12516">
        <f>IF(DATOS!$I12516="","",IFERROR(VLOOKUP(DATOS!$I12516,CONFIG_ASIGNATURAS!$B$2:$J$91,9,FALSE()),""))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IF(DATOS!$A12517="",0,IF(CONFIG_METADATA!$B$4&lt;&gt;"OR+EX",--(DATOS!$G12517=CONFIG_METADATA!$B$4),IF(DATOS!$G12517="EX",1,IF(DATOS!$G12517="OR",--(COUNTIFS(nNIA,DATOS!$A12517,nCURSO,DATOS!$D12517,nESPEC,DATOS!$E12517,nASIG,DATOS!$I12517,nEVAL,"EX")=0),0))))</f>
      </c>
      <c r="H12517">
        <f>IF(DATOS!$G12517&lt;&gt;"EX",0,--(COUNTIFS(nNIA,DATOS!$A12517,nCURSO,DATOS!$D12517,nESPEC,DATOS!$E12517,nASIG,DATOS!$I12517,nEVAL,"OR")=0))</f>
      </c>
      <c r="I12517">
        <f>IF(DATOS!$I12517="","",IFERROR(VLOOKUP(DATOS!$I12517,CONFIG_ASIGNATURAS!$B$2:$J$91,9,FALSE()),""))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IF(DATOS!$A12518="",0,IF(CONFIG_METADATA!$B$4&lt;&gt;"OR+EX",--(DATOS!$G12518=CONFIG_METADATA!$B$4),IF(DATOS!$G12518="EX",1,IF(DATOS!$G12518="OR",--(COUNTIFS(nNIA,DATOS!$A12518,nCURSO,DATOS!$D12518,nESPEC,DATOS!$E12518,nASIG,DATOS!$I12518,nEVAL,"EX")=0),0))))</f>
      </c>
      <c r="H12518">
        <f>IF(DATOS!$G12518&lt;&gt;"EX",0,--(COUNTIFS(nNIA,DATOS!$A12518,nCURSO,DATOS!$D12518,nESPEC,DATOS!$E12518,nASIG,DATOS!$I12518,nEVAL,"OR")=0))</f>
      </c>
      <c r="I12518">
        <f>IF(DATOS!$I12518="","",IFERROR(VLOOKUP(DATOS!$I12518,CONFIG_ASIGNATURAS!$B$2:$J$91,9,FALSE()),""))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IF(DATOS!$A12519="",0,IF(CONFIG_METADATA!$B$4&lt;&gt;"OR+EX",--(DATOS!$G12519=CONFIG_METADATA!$B$4),IF(DATOS!$G12519="EX",1,IF(DATOS!$G12519="OR",--(COUNTIFS(nNIA,DATOS!$A12519,nCURSO,DATOS!$D12519,nESPEC,DATOS!$E12519,nASIG,DATOS!$I12519,nEVAL,"EX")=0),0))))</f>
      </c>
      <c r="H12519">
        <f>IF(DATOS!$G12519&lt;&gt;"EX",0,--(COUNTIFS(nNIA,DATOS!$A12519,nCURSO,DATOS!$D12519,nESPEC,DATOS!$E12519,nASIG,DATOS!$I12519,nEVAL,"OR")=0))</f>
      </c>
      <c r="I12519">
        <f>IF(DATOS!$I12519="","",IFERROR(VLOOKUP(DATOS!$I12519,CONFIG_ASIGNATURAS!$B$2:$J$91,9,FALSE()),""))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IF(DATOS!$A12520="",0,IF(CONFIG_METADATA!$B$4&lt;&gt;"OR+EX",--(DATOS!$G12520=CONFIG_METADATA!$B$4),IF(DATOS!$G12520="EX",1,IF(DATOS!$G12520="OR",--(COUNTIFS(nNIA,DATOS!$A12520,nCURSO,DATOS!$D12520,nESPEC,DATOS!$E12520,nASIG,DATOS!$I12520,nEVAL,"EX")=0),0))))</f>
      </c>
      <c r="H12520">
        <f>IF(DATOS!$G12520&lt;&gt;"EX",0,--(COUNTIFS(nNIA,DATOS!$A12520,nCURSO,DATOS!$D12520,nESPEC,DATOS!$E12520,nASIG,DATOS!$I12520,nEVAL,"OR")=0))</f>
      </c>
      <c r="I12520">
        <f>IF(DATOS!$I12520="","",IFERROR(VLOOKUP(DATOS!$I12520,CONFIG_ASIGNATURAS!$B$2:$J$91,9,FALSE()),""))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IF(DATOS!$A12521="",0,IF(CONFIG_METADATA!$B$4&lt;&gt;"OR+EX",--(DATOS!$G12521=CONFIG_METADATA!$B$4),IF(DATOS!$G12521="EX",1,IF(DATOS!$G12521="OR",--(COUNTIFS(nNIA,DATOS!$A12521,nCURSO,DATOS!$D12521,nESPEC,DATOS!$E12521,nASIG,DATOS!$I12521,nEVAL,"EX")=0),0))))</f>
      </c>
      <c r="H12521">
        <f>IF(DATOS!$G12521&lt;&gt;"EX",0,--(COUNTIFS(nNIA,DATOS!$A12521,nCURSO,DATOS!$D12521,nESPEC,DATOS!$E12521,nASIG,DATOS!$I12521,nEVAL,"OR")=0))</f>
      </c>
      <c r="I12521">
        <f>IF(DATOS!$I12521="","",IFERROR(VLOOKUP(DATOS!$I12521,CONFIG_ASIGNATURAS!$B$2:$J$91,9,FALSE()),""))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IF(DATOS!$A12522="",0,IF(CONFIG_METADATA!$B$4&lt;&gt;"OR+EX",--(DATOS!$G12522=CONFIG_METADATA!$B$4),IF(DATOS!$G12522="EX",1,IF(DATOS!$G12522="OR",--(COUNTIFS(nNIA,DATOS!$A12522,nCURSO,DATOS!$D12522,nESPEC,DATOS!$E12522,nASIG,DATOS!$I12522,nEVAL,"EX")=0),0))))</f>
      </c>
      <c r="H12522">
        <f>IF(DATOS!$G12522&lt;&gt;"EX",0,--(COUNTIFS(nNIA,DATOS!$A12522,nCURSO,DATOS!$D12522,nESPEC,DATOS!$E12522,nASIG,DATOS!$I12522,nEVAL,"OR")=0))</f>
      </c>
      <c r="I12522">
        <f>IF(DATOS!$I12522="","",IFERROR(VLOOKUP(DATOS!$I12522,CONFIG_ASIGNATURAS!$B$2:$J$91,9,FALSE()),""))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IF(DATOS!$A12523="",0,IF(CONFIG_METADATA!$B$4&lt;&gt;"OR+EX",--(DATOS!$G12523=CONFIG_METADATA!$B$4),IF(DATOS!$G12523="EX",1,IF(DATOS!$G12523="OR",--(COUNTIFS(nNIA,DATOS!$A12523,nCURSO,DATOS!$D12523,nESPEC,DATOS!$E12523,nASIG,DATOS!$I12523,nEVAL,"EX")=0),0))))</f>
      </c>
      <c r="H12523">
        <f>IF(DATOS!$G12523&lt;&gt;"EX",0,--(COUNTIFS(nNIA,DATOS!$A12523,nCURSO,DATOS!$D12523,nESPEC,DATOS!$E12523,nASIG,DATOS!$I12523,nEVAL,"OR")=0))</f>
      </c>
      <c r="I12523">
        <f>IF(DATOS!$I12523="","",IFERROR(VLOOKUP(DATOS!$I12523,CONFIG_ASIGNATURAS!$B$2:$J$91,9,FALSE()),""))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IF(DATOS!$A12524="",0,IF(CONFIG_METADATA!$B$4&lt;&gt;"OR+EX",--(DATOS!$G12524=CONFIG_METADATA!$B$4),IF(DATOS!$G12524="EX",1,IF(DATOS!$G12524="OR",--(COUNTIFS(nNIA,DATOS!$A12524,nCURSO,DATOS!$D12524,nESPEC,DATOS!$E12524,nASIG,DATOS!$I12524,nEVAL,"EX")=0),0))))</f>
      </c>
      <c r="H12524">
        <f>IF(DATOS!$G12524&lt;&gt;"EX",0,--(COUNTIFS(nNIA,DATOS!$A12524,nCURSO,DATOS!$D12524,nESPEC,DATOS!$E12524,nASIG,DATOS!$I12524,nEVAL,"OR")=0))</f>
      </c>
      <c r="I12524">
        <f>IF(DATOS!$I12524="","",IFERROR(VLOOKUP(DATOS!$I12524,CONFIG_ASIGNATURAS!$B$2:$J$91,9,FALSE()),""))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IF(DATOS!$A12525="",0,IF(CONFIG_METADATA!$B$4&lt;&gt;"OR+EX",--(DATOS!$G12525=CONFIG_METADATA!$B$4),IF(DATOS!$G12525="EX",1,IF(DATOS!$G12525="OR",--(COUNTIFS(nNIA,DATOS!$A12525,nCURSO,DATOS!$D12525,nESPEC,DATOS!$E12525,nASIG,DATOS!$I12525,nEVAL,"EX")=0),0))))</f>
      </c>
      <c r="H12525">
        <f>IF(DATOS!$G12525&lt;&gt;"EX",0,--(COUNTIFS(nNIA,DATOS!$A12525,nCURSO,DATOS!$D12525,nESPEC,DATOS!$E12525,nASIG,DATOS!$I12525,nEVAL,"OR")=0))</f>
      </c>
      <c r="I12525">
        <f>IF(DATOS!$I12525="","",IFERROR(VLOOKUP(DATOS!$I12525,CONFIG_ASIGNATURAS!$B$2:$J$91,9,FALSE()),""))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IF(DATOS!$A12526="",0,IF(CONFIG_METADATA!$B$4&lt;&gt;"OR+EX",--(DATOS!$G12526=CONFIG_METADATA!$B$4),IF(DATOS!$G12526="EX",1,IF(DATOS!$G12526="OR",--(COUNTIFS(nNIA,DATOS!$A12526,nCURSO,DATOS!$D12526,nESPEC,DATOS!$E12526,nASIG,DATOS!$I12526,nEVAL,"EX")=0),0))))</f>
      </c>
      <c r="H12526">
        <f>IF(DATOS!$G12526&lt;&gt;"EX",0,--(COUNTIFS(nNIA,DATOS!$A12526,nCURSO,DATOS!$D12526,nESPEC,DATOS!$E12526,nASIG,DATOS!$I12526,nEVAL,"OR")=0))</f>
      </c>
      <c r="I12526">
        <f>IF(DATOS!$I12526="","",IFERROR(VLOOKUP(DATOS!$I12526,CONFIG_ASIGNATURAS!$B$2:$J$91,9,FALSE()),""))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IF(DATOS!$A12527="",0,IF(CONFIG_METADATA!$B$4&lt;&gt;"OR+EX",--(DATOS!$G12527=CONFIG_METADATA!$B$4),IF(DATOS!$G12527="EX",1,IF(DATOS!$G12527="OR",--(COUNTIFS(nNIA,DATOS!$A12527,nCURSO,DATOS!$D12527,nESPEC,DATOS!$E12527,nASIG,DATOS!$I12527,nEVAL,"EX")=0),0))))</f>
      </c>
      <c r="H12527">
        <f>IF(DATOS!$G12527&lt;&gt;"EX",0,--(COUNTIFS(nNIA,DATOS!$A12527,nCURSO,DATOS!$D12527,nESPEC,DATOS!$E12527,nASIG,DATOS!$I12527,nEVAL,"OR")=0))</f>
      </c>
      <c r="I12527">
        <f>IF(DATOS!$I12527="","",IFERROR(VLOOKUP(DATOS!$I12527,CONFIG_ASIGNATURAS!$B$2:$J$91,9,FALSE()),""))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IF(DATOS!$A12528="",0,IF(CONFIG_METADATA!$B$4&lt;&gt;"OR+EX",--(DATOS!$G12528=CONFIG_METADATA!$B$4),IF(DATOS!$G12528="EX",1,IF(DATOS!$G12528="OR",--(COUNTIFS(nNIA,DATOS!$A12528,nCURSO,DATOS!$D12528,nESPEC,DATOS!$E12528,nASIG,DATOS!$I12528,nEVAL,"EX")=0),0))))</f>
      </c>
      <c r="H12528">
        <f>IF(DATOS!$G12528&lt;&gt;"EX",0,--(COUNTIFS(nNIA,DATOS!$A12528,nCURSO,DATOS!$D12528,nESPEC,DATOS!$E12528,nASIG,DATOS!$I12528,nEVAL,"OR")=0))</f>
      </c>
      <c r="I12528">
        <f>IF(DATOS!$I12528="","",IFERROR(VLOOKUP(DATOS!$I12528,CONFIG_ASIGNATURAS!$B$2:$J$91,9,FALSE()),""))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IF(DATOS!$A12529="",0,IF(CONFIG_METADATA!$B$4&lt;&gt;"OR+EX",--(DATOS!$G12529=CONFIG_METADATA!$B$4),IF(DATOS!$G12529="EX",1,IF(DATOS!$G12529="OR",--(COUNTIFS(nNIA,DATOS!$A12529,nCURSO,DATOS!$D12529,nESPEC,DATOS!$E12529,nASIG,DATOS!$I12529,nEVAL,"EX")=0),0))))</f>
      </c>
      <c r="H12529">
        <f>IF(DATOS!$G12529&lt;&gt;"EX",0,--(COUNTIFS(nNIA,DATOS!$A12529,nCURSO,DATOS!$D12529,nESPEC,DATOS!$E12529,nASIG,DATOS!$I12529,nEVAL,"OR")=0))</f>
      </c>
      <c r="I12529">
        <f>IF(DATOS!$I12529="","",IFERROR(VLOOKUP(DATOS!$I12529,CONFIG_ASIGNATURAS!$B$2:$J$91,9,FALSE()),""))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IF(DATOS!$A12530="",0,IF(CONFIG_METADATA!$B$4&lt;&gt;"OR+EX",--(DATOS!$G12530=CONFIG_METADATA!$B$4),IF(DATOS!$G12530="EX",1,IF(DATOS!$G12530="OR",--(COUNTIFS(nNIA,DATOS!$A12530,nCURSO,DATOS!$D12530,nESPEC,DATOS!$E12530,nASIG,DATOS!$I12530,nEVAL,"EX")=0),0))))</f>
      </c>
      <c r="H12530">
        <f>IF(DATOS!$G12530&lt;&gt;"EX",0,--(COUNTIFS(nNIA,DATOS!$A12530,nCURSO,DATOS!$D12530,nESPEC,DATOS!$E12530,nASIG,DATOS!$I12530,nEVAL,"OR")=0))</f>
      </c>
      <c r="I12530">
        <f>IF(DATOS!$I12530="","",IFERROR(VLOOKUP(DATOS!$I12530,CONFIG_ASIGNATURAS!$B$2:$J$91,9,FALSE()),""))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IF(DATOS!$A12531="",0,IF(CONFIG_METADATA!$B$4&lt;&gt;"OR+EX",--(DATOS!$G12531=CONFIG_METADATA!$B$4),IF(DATOS!$G12531="EX",1,IF(DATOS!$G12531="OR",--(COUNTIFS(nNIA,DATOS!$A12531,nCURSO,DATOS!$D12531,nESPEC,DATOS!$E12531,nASIG,DATOS!$I12531,nEVAL,"EX")=0),0))))</f>
      </c>
      <c r="H12531">
        <f>IF(DATOS!$G12531&lt;&gt;"EX",0,--(COUNTIFS(nNIA,DATOS!$A12531,nCURSO,DATOS!$D12531,nESPEC,DATOS!$E12531,nASIG,DATOS!$I12531,nEVAL,"OR")=0))</f>
      </c>
      <c r="I12531">
        <f>IF(DATOS!$I12531="","",IFERROR(VLOOKUP(DATOS!$I12531,CONFIG_ASIGNATURAS!$B$2:$J$91,9,FALSE()),""))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IF(DATOS!$A12532="",0,IF(CONFIG_METADATA!$B$4&lt;&gt;"OR+EX",--(DATOS!$G12532=CONFIG_METADATA!$B$4),IF(DATOS!$G12532="EX",1,IF(DATOS!$G12532="OR",--(COUNTIFS(nNIA,DATOS!$A12532,nCURSO,DATOS!$D12532,nESPEC,DATOS!$E12532,nASIG,DATOS!$I12532,nEVAL,"EX")=0),0))))</f>
      </c>
      <c r="H12532">
        <f>IF(DATOS!$G12532&lt;&gt;"EX",0,--(COUNTIFS(nNIA,DATOS!$A12532,nCURSO,DATOS!$D12532,nESPEC,DATOS!$E12532,nASIG,DATOS!$I12532,nEVAL,"OR")=0))</f>
      </c>
      <c r="I12532">
        <f>IF(DATOS!$I12532="","",IFERROR(VLOOKUP(DATOS!$I12532,CONFIG_ASIGNATURAS!$B$2:$J$91,9,FALSE()),""))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IF(DATOS!$A12533="",0,IF(CONFIG_METADATA!$B$4&lt;&gt;"OR+EX",--(DATOS!$G12533=CONFIG_METADATA!$B$4),IF(DATOS!$G12533="EX",1,IF(DATOS!$G12533="OR",--(COUNTIFS(nNIA,DATOS!$A12533,nCURSO,DATOS!$D12533,nESPEC,DATOS!$E12533,nASIG,DATOS!$I12533,nEVAL,"EX")=0),0))))</f>
      </c>
      <c r="H12533">
        <f>IF(DATOS!$G12533&lt;&gt;"EX",0,--(COUNTIFS(nNIA,DATOS!$A12533,nCURSO,DATOS!$D12533,nESPEC,DATOS!$E12533,nASIG,DATOS!$I12533,nEVAL,"OR")=0))</f>
      </c>
      <c r="I12533">
        <f>IF(DATOS!$I12533="","",IFERROR(VLOOKUP(DATOS!$I12533,CONFIG_ASIGNATURAS!$B$2:$J$91,9,FALSE()),""))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IF(DATOS!$A12534="",0,IF(CONFIG_METADATA!$B$4&lt;&gt;"OR+EX",--(DATOS!$G12534=CONFIG_METADATA!$B$4),IF(DATOS!$G12534="EX",1,IF(DATOS!$G12534="OR",--(COUNTIFS(nNIA,DATOS!$A12534,nCURSO,DATOS!$D12534,nESPEC,DATOS!$E12534,nASIG,DATOS!$I12534,nEVAL,"EX")=0),0))))</f>
      </c>
      <c r="H12534">
        <f>IF(DATOS!$G12534&lt;&gt;"EX",0,--(COUNTIFS(nNIA,DATOS!$A12534,nCURSO,DATOS!$D12534,nESPEC,DATOS!$E12534,nASIG,DATOS!$I12534,nEVAL,"OR")=0))</f>
      </c>
      <c r="I12534">
        <f>IF(DATOS!$I12534="","",IFERROR(VLOOKUP(DATOS!$I12534,CONFIG_ASIGNATURAS!$B$2:$J$91,9,FALSE()),""))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IF(DATOS!$A12535="",0,IF(CONFIG_METADATA!$B$4&lt;&gt;"OR+EX",--(DATOS!$G12535=CONFIG_METADATA!$B$4),IF(DATOS!$G12535="EX",1,IF(DATOS!$G12535="OR",--(COUNTIFS(nNIA,DATOS!$A12535,nCURSO,DATOS!$D12535,nESPEC,DATOS!$E12535,nASIG,DATOS!$I12535,nEVAL,"EX")=0),0))))</f>
      </c>
      <c r="H12535">
        <f>IF(DATOS!$G12535&lt;&gt;"EX",0,--(COUNTIFS(nNIA,DATOS!$A12535,nCURSO,DATOS!$D12535,nESPEC,DATOS!$E12535,nASIG,DATOS!$I12535,nEVAL,"OR")=0))</f>
      </c>
      <c r="I12535">
        <f>IF(DATOS!$I12535="","",IFERROR(VLOOKUP(DATOS!$I12535,CONFIG_ASIGNATURAS!$B$2:$J$91,9,FALSE()),""))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IF(DATOS!$A12536="",0,IF(CONFIG_METADATA!$B$4&lt;&gt;"OR+EX",--(DATOS!$G12536=CONFIG_METADATA!$B$4),IF(DATOS!$G12536="EX",1,IF(DATOS!$G12536="OR",--(COUNTIFS(nNIA,DATOS!$A12536,nCURSO,DATOS!$D12536,nESPEC,DATOS!$E12536,nASIG,DATOS!$I12536,nEVAL,"EX")=0),0))))</f>
      </c>
      <c r="H12536">
        <f>IF(DATOS!$G12536&lt;&gt;"EX",0,--(COUNTIFS(nNIA,DATOS!$A12536,nCURSO,DATOS!$D12536,nESPEC,DATOS!$E12536,nASIG,DATOS!$I12536,nEVAL,"OR")=0))</f>
      </c>
      <c r="I12536">
        <f>IF(DATOS!$I12536="","",IFERROR(VLOOKUP(DATOS!$I12536,CONFIG_ASIGNATURAS!$B$2:$J$91,9,FALSE()),""))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IF(DATOS!$A12537="",0,IF(CONFIG_METADATA!$B$4&lt;&gt;"OR+EX",--(DATOS!$G12537=CONFIG_METADATA!$B$4),IF(DATOS!$G12537="EX",1,IF(DATOS!$G12537="OR",--(COUNTIFS(nNIA,DATOS!$A12537,nCURSO,DATOS!$D12537,nESPEC,DATOS!$E12537,nASIG,DATOS!$I12537,nEVAL,"EX")=0),0))))</f>
      </c>
      <c r="H12537">
        <f>IF(DATOS!$G12537&lt;&gt;"EX",0,--(COUNTIFS(nNIA,DATOS!$A12537,nCURSO,DATOS!$D12537,nESPEC,DATOS!$E12537,nASIG,DATOS!$I12537,nEVAL,"OR")=0))</f>
      </c>
      <c r="I12537">
        <f>IF(DATOS!$I12537="","",IFERROR(VLOOKUP(DATOS!$I12537,CONFIG_ASIGNATURAS!$B$2:$J$91,9,FALSE()),""))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IF(DATOS!$A12538="",0,IF(CONFIG_METADATA!$B$4&lt;&gt;"OR+EX",--(DATOS!$G12538=CONFIG_METADATA!$B$4),IF(DATOS!$G12538="EX",1,IF(DATOS!$G12538="OR",--(COUNTIFS(nNIA,DATOS!$A12538,nCURSO,DATOS!$D12538,nESPEC,DATOS!$E12538,nASIG,DATOS!$I12538,nEVAL,"EX")=0),0))))</f>
      </c>
      <c r="H12538">
        <f>IF(DATOS!$G12538&lt;&gt;"EX",0,--(COUNTIFS(nNIA,DATOS!$A12538,nCURSO,DATOS!$D12538,nESPEC,DATOS!$E12538,nASIG,DATOS!$I12538,nEVAL,"OR")=0))</f>
      </c>
      <c r="I12538">
        <f>IF(DATOS!$I12538="","",IFERROR(VLOOKUP(DATOS!$I12538,CONFIG_ASIGNATURAS!$B$2:$J$91,9,FALSE()),""))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IF(DATOS!$A12539="",0,IF(CONFIG_METADATA!$B$4&lt;&gt;"OR+EX",--(DATOS!$G12539=CONFIG_METADATA!$B$4),IF(DATOS!$G12539="EX",1,IF(DATOS!$G12539="OR",--(COUNTIFS(nNIA,DATOS!$A12539,nCURSO,DATOS!$D12539,nESPEC,DATOS!$E12539,nASIG,DATOS!$I12539,nEVAL,"EX")=0),0))))</f>
      </c>
      <c r="H12539">
        <f>IF(DATOS!$G12539&lt;&gt;"EX",0,--(COUNTIFS(nNIA,DATOS!$A12539,nCURSO,DATOS!$D12539,nESPEC,DATOS!$E12539,nASIG,DATOS!$I12539,nEVAL,"OR")=0))</f>
      </c>
      <c r="I12539">
        <f>IF(DATOS!$I12539="","",IFERROR(VLOOKUP(DATOS!$I12539,CONFIG_ASIGNATURAS!$B$2:$J$91,9,FALSE()),""))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IF(DATOS!$A12540="",0,IF(CONFIG_METADATA!$B$4&lt;&gt;"OR+EX",--(DATOS!$G12540=CONFIG_METADATA!$B$4),IF(DATOS!$G12540="EX",1,IF(DATOS!$G12540="OR",--(COUNTIFS(nNIA,DATOS!$A12540,nCURSO,DATOS!$D12540,nESPEC,DATOS!$E12540,nASIG,DATOS!$I12540,nEVAL,"EX")=0),0))))</f>
      </c>
      <c r="H12540">
        <f>IF(DATOS!$G12540&lt;&gt;"EX",0,--(COUNTIFS(nNIA,DATOS!$A12540,nCURSO,DATOS!$D12540,nESPEC,DATOS!$E12540,nASIG,DATOS!$I12540,nEVAL,"OR")=0))</f>
      </c>
      <c r="I12540">
        <f>IF(DATOS!$I12540="","",IFERROR(VLOOKUP(DATOS!$I12540,CONFIG_ASIGNATURAS!$B$2:$J$91,9,FALSE()),""))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IF(DATOS!$A12541="",0,IF(CONFIG_METADATA!$B$4&lt;&gt;"OR+EX",--(DATOS!$G12541=CONFIG_METADATA!$B$4),IF(DATOS!$G12541="EX",1,IF(DATOS!$G12541="OR",--(COUNTIFS(nNIA,DATOS!$A12541,nCURSO,DATOS!$D12541,nESPEC,DATOS!$E12541,nASIG,DATOS!$I12541,nEVAL,"EX")=0),0))))</f>
      </c>
      <c r="H12541">
        <f>IF(DATOS!$G12541&lt;&gt;"EX",0,--(COUNTIFS(nNIA,DATOS!$A12541,nCURSO,DATOS!$D12541,nESPEC,DATOS!$E12541,nASIG,DATOS!$I12541,nEVAL,"OR")=0))</f>
      </c>
      <c r="I12541">
        <f>IF(DATOS!$I12541="","",IFERROR(VLOOKUP(DATOS!$I12541,CONFIG_ASIGNATURAS!$B$2:$J$91,9,FALSE()),""))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IF(DATOS!$A12542="",0,IF(CONFIG_METADATA!$B$4&lt;&gt;"OR+EX",--(DATOS!$G12542=CONFIG_METADATA!$B$4),IF(DATOS!$G12542="EX",1,IF(DATOS!$G12542="OR",--(COUNTIFS(nNIA,DATOS!$A12542,nCURSO,DATOS!$D12542,nESPEC,DATOS!$E12542,nASIG,DATOS!$I12542,nEVAL,"EX")=0),0))))</f>
      </c>
      <c r="H12542">
        <f>IF(DATOS!$G12542&lt;&gt;"EX",0,--(COUNTIFS(nNIA,DATOS!$A12542,nCURSO,DATOS!$D12542,nESPEC,DATOS!$E12542,nASIG,DATOS!$I12542,nEVAL,"OR")=0))</f>
      </c>
      <c r="I12542">
        <f>IF(DATOS!$I12542="","",IFERROR(VLOOKUP(DATOS!$I12542,CONFIG_ASIGNATURAS!$B$2:$J$91,9,FALSE()),""))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IF(DATOS!$A12543="",0,IF(CONFIG_METADATA!$B$4&lt;&gt;"OR+EX",--(DATOS!$G12543=CONFIG_METADATA!$B$4),IF(DATOS!$G12543="EX",1,IF(DATOS!$G12543="OR",--(COUNTIFS(nNIA,DATOS!$A12543,nCURSO,DATOS!$D12543,nESPEC,DATOS!$E12543,nASIG,DATOS!$I12543,nEVAL,"EX")=0),0))))</f>
      </c>
      <c r="H12543">
        <f>IF(DATOS!$G12543&lt;&gt;"EX",0,--(COUNTIFS(nNIA,DATOS!$A12543,nCURSO,DATOS!$D12543,nESPEC,DATOS!$E12543,nASIG,DATOS!$I12543,nEVAL,"OR")=0))</f>
      </c>
      <c r="I12543">
        <f>IF(DATOS!$I12543="","",IFERROR(VLOOKUP(DATOS!$I12543,CONFIG_ASIGNATURAS!$B$2:$J$91,9,FALSE()),""))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IF(DATOS!$A12544="",0,IF(CONFIG_METADATA!$B$4&lt;&gt;"OR+EX",--(DATOS!$G12544=CONFIG_METADATA!$B$4),IF(DATOS!$G12544="EX",1,IF(DATOS!$G12544="OR",--(COUNTIFS(nNIA,DATOS!$A12544,nCURSO,DATOS!$D12544,nESPEC,DATOS!$E12544,nASIG,DATOS!$I12544,nEVAL,"EX")=0),0))))</f>
      </c>
      <c r="H12544">
        <f>IF(DATOS!$G12544&lt;&gt;"EX",0,--(COUNTIFS(nNIA,DATOS!$A12544,nCURSO,DATOS!$D12544,nESPEC,DATOS!$E12544,nASIG,DATOS!$I12544,nEVAL,"OR")=0))</f>
      </c>
      <c r="I12544">
        <f>IF(DATOS!$I12544="","",IFERROR(VLOOKUP(DATOS!$I12544,CONFIG_ASIGNATURAS!$B$2:$J$91,9,FALSE()),""))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IF(DATOS!$A12545="",0,IF(CONFIG_METADATA!$B$4&lt;&gt;"OR+EX",--(DATOS!$G12545=CONFIG_METADATA!$B$4),IF(DATOS!$G12545="EX",1,IF(DATOS!$G12545="OR",--(COUNTIFS(nNIA,DATOS!$A12545,nCURSO,DATOS!$D12545,nESPEC,DATOS!$E12545,nASIG,DATOS!$I12545,nEVAL,"EX")=0),0))))</f>
      </c>
      <c r="H12545">
        <f>IF(DATOS!$G12545&lt;&gt;"EX",0,--(COUNTIFS(nNIA,DATOS!$A12545,nCURSO,DATOS!$D12545,nESPEC,DATOS!$E12545,nASIG,DATOS!$I12545,nEVAL,"OR")=0))</f>
      </c>
      <c r="I12545">
        <f>IF(DATOS!$I12545="","",IFERROR(VLOOKUP(DATOS!$I12545,CONFIG_ASIGNATURAS!$B$2:$J$91,9,FALSE()),""))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IF(DATOS!$A12546="",0,IF(CONFIG_METADATA!$B$4&lt;&gt;"OR+EX",--(DATOS!$G12546=CONFIG_METADATA!$B$4),IF(DATOS!$G12546="EX",1,IF(DATOS!$G12546="OR",--(COUNTIFS(nNIA,DATOS!$A12546,nCURSO,DATOS!$D12546,nESPEC,DATOS!$E12546,nASIG,DATOS!$I12546,nEVAL,"EX")=0),0))))</f>
      </c>
      <c r="H12546">
        <f>IF(DATOS!$G12546&lt;&gt;"EX",0,--(COUNTIFS(nNIA,DATOS!$A12546,nCURSO,DATOS!$D12546,nESPEC,DATOS!$E12546,nASIG,DATOS!$I12546,nEVAL,"OR")=0))</f>
      </c>
      <c r="I12546">
        <f>IF(DATOS!$I12546="","",IFERROR(VLOOKUP(DATOS!$I12546,CONFIG_ASIGNATURAS!$B$2:$J$91,9,FALSE()),""))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IF(DATOS!$A12547="",0,IF(CONFIG_METADATA!$B$4&lt;&gt;"OR+EX",--(DATOS!$G12547=CONFIG_METADATA!$B$4),IF(DATOS!$G12547="EX",1,IF(DATOS!$G12547="OR",--(COUNTIFS(nNIA,DATOS!$A12547,nCURSO,DATOS!$D12547,nESPEC,DATOS!$E12547,nASIG,DATOS!$I12547,nEVAL,"EX")=0),0))))</f>
      </c>
      <c r="H12547">
        <f>IF(DATOS!$G12547&lt;&gt;"EX",0,--(COUNTIFS(nNIA,DATOS!$A12547,nCURSO,DATOS!$D12547,nESPEC,DATOS!$E12547,nASIG,DATOS!$I12547,nEVAL,"OR")=0))</f>
      </c>
      <c r="I12547">
        <f>IF(DATOS!$I12547="","",IFERROR(VLOOKUP(DATOS!$I12547,CONFIG_ASIGNATURAS!$B$2:$J$91,9,FALSE()),""))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IF(DATOS!$A12548="",0,IF(CONFIG_METADATA!$B$4&lt;&gt;"OR+EX",--(DATOS!$G12548=CONFIG_METADATA!$B$4),IF(DATOS!$G12548="EX",1,IF(DATOS!$G12548="OR",--(COUNTIFS(nNIA,DATOS!$A12548,nCURSO,DATOS!$D12548,nESPEC,DATOS!$E12548,nASIG,DATOS!$I12548,nEVAL,"EX")=0),0))))</f>
      </c>
      <c r="H12548">
        <f>IF(DATOS!$G12548&lt;&gt;"EX",0,--(COUNTIFS(nNIA,DATOS!$A12548,nCURSO,DATOS!$D12548,nESPEC,DATOS!$E12548,nASIG,DATOS!$I12548,nEVAL,"OR")=0))</f>
      </c>
      <c r="I12548">
        <f>IF(DATOS!$I12548="","",IFERROR(VLOOKUP(DATOS!$I12548,CONFIG_ASIGNATURAS!$B$2:$J$91,9,FALSE()),""))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IF(DATOS!$A12549="",0,IF(CONFIG_METADATA!$B$4&lt;&gt;"OR+EX",--(DATOS!$G12549=CONFIG_METADATA!$B$4),IF(DATOS!$G12549="EX",1,IF(DATOS!$G12549="OR",--(COUNTIFS(nNIA,DATOS!$A12549,nCURSO,DATOS!$D12549,nESPEC,DATOS!$E12549,nASIG,DATOS!$I12549,nEVAL,"EX")=0),0))))</f>
      </c>
      <c r="H12549">
        <f>IF(DATOS!$G12549&lt;&gt;"EX",0,--(COUNTIFS(nNIA,DATOS!$A12549,nCURSO,DATOS!$D12549,nESPEC,DATOS!$E12549,nASIG,DATOS!$I12549,nEVAL,"OR")=0))</f>
      </c>
      <c r="I12549">
        <f>IF(DATOS!$I12549="","",IFERROR(VLOOKUP(DATOS!$I12549,CONFIG_ASIGNATURAS!$B$2:$J$91,9,FALSE()),""))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IF(DATOS!$A12550="",0,IF(CONFIG_METADATA!$B$4&lt;&gt;"OR+EX",--(DATOS!$G12550=CONFIG_METADATA!$B$4),IF(DATOS!$G12550="EX",1,IF(DATOS!$G12550="OR",--(COUNTIFS(nNIA,DATOS!$A12550,nCURSO,DATOS!$D12550,nESPEC,DATOS!$E12550,nASIG,DATOS!$I12550,nEVAL,"EX")=0),0))))</f>
      </c>
      <c r="H12550">
        <f>IF(DATOS!$G12550&lt;&gt;"EX",0,--(COUNTIFS(nNIA,DATOS!$A12550,nCURSO,DATOS!$D12550,nESPEC,DATOS!$E12550,nASIG,DATOS!$I12550,nEVAL,"OR")=0))</f>
      </c>
      <c r="I12550">
        <f>IF(DATOS!$I12550="","",IFERROR(VLOOKUP(DATOS!$I12550,CONFIG_ASIGNATURAS!$B$2:$J$91,9,FALSE()),""))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IF(DATOS!$A12551="",0,IF(CONFIG_METADATA!$B$4&lt;&gt;"OR+EX",--(DATOS!$G12551=CONFIG_METADATA!$B$4),IF(DATOS!$G12551="EX",1,IF(DATOS!$G12551="OR",--(COUNTIFS(nNIA,DATOS!$A12551,nCURSO,DATOS!$D12551,nESPEC,DATOS!$E12551,nASIG,DATOS!$I12551,nEVAL,"EX")=0),0))))</f>
      </c>
      <c r="H12551">
        <f>IF(DATOS!$G12551&lt;&gt;"EX",0,--(COUNTIFS(nNIA,DATOS!$A12551,nCURSO,DATOS!$D12551,nESPEC,DATOS!$E12551,nASIG,DATOS!$I12551,nEVAL,"OR")=0))</f>
      </c>
      <c r="I12551">
        <f>IF(DATOS!$I12551="","",IFERROR(VLOOKUP(DATOS!$I12551,CONFIG_ASIGNATURAS!$B$2:$J$91,9,FALSE()),""))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IF(DATOS!$A12552="",0,IF(CONFIG_METADATA!$B$4&lt;&gt;"OR+EX",--(DATOS!$G12552=CONFIG_METADATA!$B$4),IF(DATOS!$G12552="EX",1,IF(DATOS!$G12552="OR",--(COUNTIFS(nNIA,DATOS!$A12552,nCURSO,DATOS!$D12552,nESPEC,DATOS!$E12552,nASIG,DATOS!$I12552,nEVAL,"EX")=0),0))))</f>
      </c>
      <c r="H12552">
        <f>IF(DATOS!$G12552&lt;&gt;"EX",0,--(COUNTIFS(nNIA,DATOS!$A12552,nCURSO,DATOS!$D12552,nESPEC,DATOS!$E12552,nASIG,DATOS!$I12552,nEVAL,"OR")=0))</f>
      </c>
      <c r="I12552">
        <f>IF(DATOS!$I12552="","",IFERROR(VLOOKUP(DATOS!$I12552,CONFIG_ASIGNATURAS!$B$2:$J$91,9,FALSE()),""))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IF(DATOS!$A12553="",0,IF(CONFIG_METADATA!$B$4&lt;&gt;"OR+EX",--(DATOS!$G12553=CONFIG_METADATA!$B$4),IF(DATOS!$G12553="EX",1,IF(DATOS!$G12553="OR",--(COUNTIFS(nNIA,DATOS!$A12553,nCURSO,DATOS!$D12553,nESPEC,DATOS!$E12553,nASIG,DATOS!$I12553,nEVAL,"EX")=0),0))))</f>
      </c>
      <c r="H12553">
        <f>IF(DATOS!$G12553&lt;&gt;"EX",0,--(COUNTIFS(nNIA,DATOS!$A12553,nCURSO,DATOS!$D12553,nESPEC,DATOS!$E12553,nASIG,DATOS!$I12553,nEVAL,"OR")=0))</f>
      </c>
      <c r="I12553">
        <f>IF(DATOS!$I12553="","",IFERROR(VLOOKUP(DATOS!$I12553,CONFIG_ASIGNATURAS!$B$2:$J$91,9,FALSE()),""))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IF(DATOS!$A12554="",0,IF(CONFIG_METADATA!$B$4&lt;&gt;"OR+EX",--(DATOS!$G12554=CONFIG_METADATA!$B$4),IF(DATOS!$G12554="EX",1,IF(DATOS!$G12554="OR",--(COUNTIFS(nNIA,DATOS!$A12554,nCURSO,DATOS!$D12554,nESPEC,DATOS!$E12554,nASIG,DATOS!$I12554,nEVAL,"EX")=0),0))))</f>
      </c>
      <c r="H12554">
        <f>IF(DATOS!$G12554&lt;&gt;"EX",0,--(COUNTIFS(nNIA,DATOS!$A12554,nCURSO,DATOS!$D12554,nESPEC,DATOS!$E12554,nASIG,DATOS!$I12554,nEVAL,"OR")=0))</f>
      </c>
      <c r="I12554">
        <f>IF(DATOS!$I12554="","",IFERROR(VLOOKUP(DATOS!$I12554,CONFIG_ASIGNATURAS!$B$2:$J$91,9,FALSE()),""))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IF(DATOS!$A12555="",0,IF(CONFIG_METADATA!$B$4&lt;&gt;"OR+EX",--(DATOS!$G12555=CONFIG_METADATA!$B$4),IF(DATOS!$G12555="EX",1,IF(DATOS!$G12555="OR",--(COUNTIFS(nNIA,DATOS!$A12555,nCURSO,DATOS!$D12555,nESPEC,DATOS!$E12555,nASIG,DATOS!$I12555,nEVAL,"EX")=0),0))))</f>
      </c>
      <c r="H12555">
        <f>IF(DATOS!$G12555&lt;&gt;"EX",0,--(COUNTIFS(nNIA,DATOS!$A12555,nCURSO,DATOS!$D12555,nESPEC,DATOS!$E12555,nASIG,DATOS!$I12555,nEVAL,"OR")=0))</f>
      </c>
      <c r="I12555">
        <f>IF(DATOS!$I12555="","",IFERROR(VLOOKUP(DATOS!$I12555,CONFIG_ASIGNATURAS!$B$2:$J$91,9,FALSE()),""))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IF(DATOS!$A12556="",0,IF(CONFIG_METADATA!$B$4&lt;&gt;"OR+EX",--(DATOS!$G12556=CONFIG_METADATA!$B$4),IF(DATOS!$G12556="EX",1,IF(DATOS!$G12556="OR",--(COUNTIFS(nNIA,DATOS!$A12556,nCURSO,DATOS!$D12556,nESPEC,DATOS!$E12556,nASIG,DATOS!$I12556,nEVAL,"EX")=0),0))))</f>
      </c>
      <c r="H12556">
        <f>IF(DATOS!$G12556&lt;&gt;"EX",0,--(COUNTIFS(nNIA,DATOS!$A12556,nCURSO,DATOS!$D12556,nESPEC,DATOS!$E12556,nASIG,DATOS!$I12556,nEVAL,"OR")=0))</f>
      </c>
      <c r="I12556">
        <f>IF(DATOS!$I12556="","",IFERROR(VLOOKUP(DATOS!$I12556,CONFIG_ASIGNATURAS!$B$2:$J$91,9,FALSE()),""))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IF(DATOS!$A12557="",0,IF(CONFIG_METADATA!$B$4&lt;&gt;"OR+EX",--(DATOS!$G12557=CONFIG_METADATA!$B$4),IF(DATOS!$G12557="EX",1,IF(DATOS!$G12557="OR",--(COUNTIFS(nNIA,DATOS!$A12557,nCURSO,DATOS!$D12557,nESPEC,DATOS!$E12557,nASIG,DATOS!$I12557,nEVAL,"EX")=0),0))))</f>
      </c>
      <c r="H12557">
        <f>IF(DATOS!$G12557&lt;&gt;"EX",0,--(COUNTIFS(nNIA,DATOS!$A12557,nCURSO,DATOS!$D12557,nESPEC,DATOS!$E12557,nASIG,DATOS!$I12557,nEVAL,"OR")=0))</f>
      </c>
      <c r="I12557">
        <f>IF(DATOS!$I12557="","",IFERROR(VLOOKUP(DATOS!$I12557,CONFIG_ASIGNATURAS!$B$2:$J$91,9,FALSE()),""))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IF(DATOS!$A12558="",0,IF(CONFIG_METADATA!$B$4&lt;&gt;"OR+EX",--(DATOS!$G12558=CONFIG_METADATA!$B$4),IF(DATOS!$G12558="EX",1,IF(DATOS!$G12558="OR",--(COUNTIFS(nNIA,DATOS!$A12558,nCURSO,DATOS!$D12558,nESPEC,DATOS!$E12558,nASIG,DATOS!$I12558,nEVAL,"EX")=0),0))))</f>
      </c>
      <c r="H12558">
        <f>IF(DATOS!$G12558&lt;&gt;"EX",0,--(COUNTIFS(nNIA,DATOS!$A12558,nCURSO,DATOS!$D12558,nESPEC,DATOS!$E12558,nASIG,DATOS!$I12558,nEVAL,"OR")=0))</f>
      </c>
      <c r="I12558">
        <f>IF(DATOS!$I12558="","",IFERROR(VLOOKUP(DATOS!$I12558,CONFIG_ASIGNATURAS!$B$2:$J$91,9,FALSE()),""))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IF(DATOS!$A12559="",0,IF(CONFIG_METADATA!$B$4&lt;&gt;"OR+EX",--(DATOS!$G12559=CONFIG_METADATA!$B$4),IF(DATOS!$G12559="EX",1,IF(DATOS!$G12559="OR",--(COUNTIFS(nNIA,DATOS!$A12559,nCURSO,DATOS!$D12559,nESPEC,DATOS!$E12559,nASIG,DATOS!$I12559,nEVAL,"EX")=0),0))))</f>
      </c>
      <c r="H12559">
        <f>IF(DATOS!$G12559&lt;&gt;"EX",0,--(COUNTIFS(nNIA,DATOS!$A12559,nCURSO,DATOS!$D12559,nESPEC,DATOS!$E12559,nASIG,DATOS!$I12559,nEVAL,"OR")=0))</f>
      </c>
      <c r="I12559">
        <f>IF(DATOS!$I12559="","",IFERROR(VLOOKUP(DATOS!$I12559,CONFIG_ASIGNATURAS!$B$2:$J$91,9,FALSE()),""))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IF(DATOS!$A12560="",0,IF(CONFIG_METADATA!$B$4&lt;&gt;"OR+EX",--(DATOS!$G12560=CONFIG_METADATA!$B$4),IF(DATOS!$G12560="EX",1,IF(DATOS!$G12560="OR",--(COUNTIFS(nNIA,DATOS!$A12560,nCURSO,DATOS!$D12560,nESPEC,DATOS!$E12560,nASIG,DATOS!$I12560,nEVAL,"EX")=0),0))))</f>
      </c>
      <c r="H12560">
        <f>IF(DATOS!$G12560&lt;&gt;"EX",0,--(COUNTIFS(nNIA,DATOS!$A12560,nCURSO,DATOS!$D12560,nESPEC,DATOS!$E12560,nASIG,DATOS!$I12560,nEVAL,"OR")=0))</f>
      </c>
      <c r="I12560">
        <f>IF(DATOS!$I12560="","",IFERROR(VLOOKUP(DATOS!$I12560,CONFIG_ASIGNATURAS!$B$2:$J$91,9,FALSE()),""))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IF(DATOS!$A12561="",0,IF(CONFIG_METADATA!$B$4&lt;&gt;"OR+EX",--(DATOS!$G12561=CONFIG_METADATA!$B$4),IF(DATOS!$G12561="EX",1,IF(DATOS!$G12561="OR",--(COUNTIFS(nNIA,DATOS!$A12561,nCURSO,DATOS!$D12561,nESPEC,DATOS!$E12561,nASIG,DATOS!$I12561,nEVAL,"EX")=0),0))))</f>
      </c>
      <c r="H12561">
        <f>IF(DATOS!$G12561&lt;&gt;"EX",0,--(COUNTIFS(nNIA,DATOS!$A12561,nCURSO,DATOS!$D12561,nESPEC,DATOS!$E12561,nASIG,DATOS!$I12561,nEVAL,"OR")=0))</f>
      </c>
      <c r="I12561">
        <f>IF(DATOS!$I12561="","",IFERROR(VLOOKUP(DATOS!$I12561,CONFIG_ASIGNATURAS!$B$2:$J$91,9,FALSE()),""))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IF(DATOS!$A12562="",0,IF(CONFIG_METADATA!$B$4&lt;&gt;"OR+EX",--(DATOS!$G12562=CONFIG_METADATA!$B$4),IF(DATOS!$G12562="EX",1,IF(DATOS!$G12562="OR",--(COUNTIFS(nNIA,DATOS!$A12562,nCURSO,DATOS!$D12562,nESPEC,DATOS!$E12562,nASIG,DATOS!$I12562,nEVAL,"EX")=0),0))))</f>
      </c>
      <c r="H12562">
        <f>IF(DATOS!$G12562&lt;&gt;"EX",0,--(COUNTIFS(nNIA,DATOS!$A12562,nCURSO,DATOS!$D12562,nESPEC,DATOS!$E12562,nASIG,DATOS!$I12562,nEVAL,"OR")=0))</f>
      </c>
      <c r="I12562">
        <f>IF(DATOS!$I12562="","",IFERROR(VLOOKUP(DATOS!$I12562,CONFIG_ASIGNATURAS!$B$2:$J$91,9,FALSE()),""))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IF(DATOS!$A12563="",0,IF(CONFIG_METADATA!$B$4&lt;&gt;"OR+EX",--(DATOS!$G12563=CONFIG_METADATA!$B$4),IF(DATOS!$G12563="EX",1,IF(DATOS!$G12563="OR",--(COUNTIFS(nNIA,DATOS!$A12563,nCURSO,DATOS!$D12563,nESPEC,DATOS!$E12563,nASIG,DATOS!$I12563,nEVAL,"EX")=0),0))))</f>
      </c>
      <c r="H12563">
        <f>IF(DATOS!$G12563&lt;&gt;"EX",0,--(COUNTIFS(nNIA,DATOS!$A12563,nCURSO,DATOS!$D12563,nESPEC,DATOS!$E12563,nASIG,DATOS!$I12563,nEVAL,"OR")=0))</f>
      </c>
      <c r="I12563">
        <f>IF(DATOS!$I12563="","",IFERROR(VLOOKUP(DATOS!$I12563,CONFIG_ASIGNATURAS!$B$2:$J$91,9,FALSE()),""))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IF(DATOS!$A12564="",0,IF(CONFIG_METADATA!$B$4&lt;&gt;"OR+EX",--(DATOS!$G12564=CONFIG_METADATA!$B$4),IF(DATOS!$G12564="EX",1,IF(DATOS!$G12564="OR",--(COUNTIFS(nNIA,DATOS!$A12564,nCURSO,DATOS!$D12564,nESPEC,DATOS!$E12564,nASIG,DATOS!$I12564,nEVAL,"EX")=0),0))))</f>
      </c>
      <c r="H12564">
        <f>IF(DATOS!$G12564&lt;&gt;"EX",0,--(COUNTIFS(nNIA,DATOS!$A12564,nCURSO,DATOS!$D12564,nESPEC,DATOS!$E12564,nASIG,DATOS!$I12564,nEVAL,"OR")=0))</f>
      </c>
      <c r="I12564">
        <f>IF(DATOS!$I12564="","",IFERROR(VLOOKUP(DATOS!$I12564,CONFIG_ASIGNATURAS!$B$2:$J$91,9,FALSE()),""))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IF(DATOS!$A12565="",0,IF(CONFIG_METADATA!$B$4&lt;&gt;"OR+EX",--(DATOS!$G12565=CONFIG_METADATA!$B$4),IF(DATOS!$G12565="EX",1,IF(DATOS!$G12565="OR",--(COUNTIFS(nNIA,DATOS!$A12565,nCURSO,DATOS!$D12565,nESPEC,DATOS!$E12565,nASIG,DATOS!$I12565,nEVAL,"EX")=0),0))))</f>
      </c>
      <c r="H12565">
        <f>IF(DATOS!$G12565&lt;&gt;"EX",0,--(COUNTIFS(nNIA,DATOS!$A12565,nCURSO,DATOS!$D12565,nESPEC,DATOS!$E12565,nASIG,DATOS!$I12565,nEVAL,"OR")=0))</f>
      </c>
      <c r="I12565">
        <f>IF(DATOS!$I12565="","",IFERROR(VLOOKUP(DATOS!$I12565,CONFIG_ASIGNATURAS!$B$2:$J$91,9,FALSE()),""))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IF(DATOS!$A12566="",0,IF(CONFIG_METADATA!$B$4&lt;&gt;"OR+EX",--(DATOS!$G12566=CONFIG_METADATA!$B$4),IF(DATOS!$G12566="EX",1,IF(DATOS!$G12566="OR",--(COUNTIFS(nNIA,DATOS!$A12566,nCURSO,DATOS!$D12566,nESPEC,DATOS!$E12566,nASIG,DATOS!$I12566,nEVAL,"EX")=0),0))))</f>
      </c>
      <c r="H12566">
        <f>IF(DATOS!$G12566&lt;&gt;"EX",0,--(COUNTIFS(nNIA,DATOS!$A12566,nCURSO,DATOS!$D12566,nESPEC,DATOS!$E12566,nASIG,DATOS!$I12566,nEVAL,"OR")=0))</f>
      </c>
      <c r="I12566">
        <f>IF(DATOS!$I12566="","",IFERROR(VLOOKUP(DATOS!$I12566,CONFIG_ASIGNATURAS!$B$2:$J$91,9,FALSE()),""))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IF(DATOS!$A12567="",0,IF(CONFIG_METADATA!$B$4&lt;&gt;"OR+EX",--(DATOS!$G12567=CONFIG_METADATA!$B$4),IF(DATOS!$G12567="EX",1,IF(DATOS!$G12567="OR",--(COUNTIFS(nNIA,DATOS!$A12567,nCURSO,DATOS!$D12567,nESPEC,DATOS!$E12567,nASIG,DATOS!$I12567,nEVAL,"EX")=0),0))))</f>
      </c>
      <c r="H12567">
        <f>IF(DATOS!$G12567&lt;&gt;"EX",0,--(COUNTIFS(nNIA,DATOS!$A12567,nCURSO,DATOS!$D12567,nESPEC,DATOS!$E12567,nASIG,DATOS!$I12567,nEVAL,"OR")=0))</f>
      </c>
      <c r="I12567">
        <f>IF(DATOS!$I12567="","",IFERROR(VLOOKUP(DATOS!$I12567,CONFIG_ASIGNATURAS!$B$2:$J$91,9,FALSE()),""))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IF(DATOS!$A12568="",0,IF(CONFIG_METADATA!$B$4&lt;&gt;"OR+EX",--(DATOS!$G12568=CONFIG_METADATA!$B$4),IF(DATOS!$G12568="EX",1,IF(DATOS!$G12568="OR",--(COUNTIFS(nNIA,DATOS!$A12568,nCURSO,DATOS!$D12568,nESPEC,DATOS!$E12568,nASIG,DATOS!$I12568,nEVAL,"EX")=0),0))))</f>
      </c>
      <c r="H12568">
        <f>IF(DATOS!$G12568&lt;&gt;"EX",0,--(COUNTIFS(nNIA,DATOS!$A12568,nCURSO,DATOS!$D12568,nESPEC,DATOS!$E12568,nASIG,DATOS!$I12568,nEVAL,"OR")=0))</f>
      </c>
      <c r="I12568">
        <f>IF(DATOS!$I12568="","",IFERROR(VLOOKUP(DATOS!$I12568,CONFIG_ASIGNATURAS!$B$2:$J$91,9,FALSE()),""))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IF(DATOS!$A12569="",0,IF(CONFIG_METADATA!$B$4&lt;&gt;"OR+EX",--(DATOS!$G12569=CONFIG_METADATA!$B$4),IF(DATOS!$G12569="EX",1,IF(DATOS!$G12569="OR",--(COUNTIFS(nNIA,DATOS!$A12569,nCURSO,DATOS!$D12569,nESPEC,DATOS!$E12569,nASIG,DATOS!$I12569,nEVAL,"EX")=0),0))))</f>
      </c>
      <c r="H12569">
        <f>IF(DATOS!$G12569&lt;&gt;"EX",0,--(COUNTIFS(nNIA,DATOS!$A12569,nCURSO,DATOS!$D12569,nESPEC,DATOS!$E12569,nASIG,DATOS!$I12569,nEVAL,"OR")=0))</f>
      </c>
      <c r="I12569">
        <f>IF(DATOS!$I12569="","",IFERROR(VLOOKUP(DATOS!$I12569,CONFIG_ASIGNATURAS!$B$2:$J$91,9,FALSE()),""))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IF(DATOS!$A12570="",0,IF(CONFIG_METADATA!$B$4&lt;&gt;"OR+EX",--(DATOS!$G12570=CONFIG_METADATA!$B$4),IF(DATOS!$G12570="EX",1,IF(DATOS!$G12570="OR",--(COUNTIFS(nNIA,DATOS!$A12570,nCURSO,DATOS!$D12570,nESPEC,DATOS!$E12570,nASIG,DATOS!$I12570,nEVAL,"EX")=0),0))))</f>
      </c>
      <c r="H12570">
        <f>IF(DATOS!$G12570&lt;&gt;"EX",0,--(COUNTIFS(nNIA,DATOS!$A12570,nCURSO,DATOS!$D12570,nESPEC,DATOS!$E12570,nASIG,DATOS!$I12570,nEVAL,"OR")=0))</f>
      </c>
      <c r="I12570">
        <f>IF(DATOS!$I12570="","",IFERROR(VLOOKUP(DATOS!$I12570,CONFIG_ASIGNATURAS!$B$2:$J$91,9,FALSE()),""))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IF(DATOS!$A12571="",0,IF(CONFIG_METADATA!$B$4&lt;&gt;"OR+EX",--(DATOS!$G12571=CONFIG_METADATA!$B$4),IF(DATOS!$G12571="EX",1,IF(DATOS!$G12571="OR",--(COUNTIFS(nNIA,DATOS!$A12571,nCURSO,DATOS!$D12571,nESPEC,DATOS!$E12571,nASIG,DATOS!$I12571,nEVAL,"EX")=0),0))))</f>
      </c>
      <c r="H12571">
        <f>IF(DATOS!$G12571&lt;&gt;"EX",0,--(COUNTIFS(nNIA,DATOS!$A12571,nCURSO,DATOS!$D12571,nESPEC,DATOS!$E12571,nASIG,DATOS!$I12571,nEVAL,"OR")=0))</f>
      </c>
      <c r="I12571">
        <f>IF(DATOS!$I12571="","",IFERROR(VLOOKUP(DATOS!$I12571,CONFIG_ASIGNATURAS!$B$2:$J$91,9,FALSE()),""))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IF(DATOS!$A12572="",0,IF(CONFIG_METADATA!$B$4&lt;&gt;"OR+EX",--(DATOS!$G12572=CONFIG_METADATA!$B$4),IF(DATOS!$G12572="EX",1,IF(DATOS!$G12572="OR",--(COUNTIFS(nNIA,DATOS!$A12572,nCURSO,DATOS!$D12572,nESPEC,DATOS!$E12572,nASIG,DATOS!$I12572,nEVAL,"EX")=0),0))))</f>
      </c>
      <c r="H12572">
        <f>IF(DATOS!$G12572&lt;&gt;"EX",0,--(COUNTIFS(nNIA,DATOS!$A12572,nCURSO,DATOS!$D12572,nESPEC,DATOS!$E12572,nASIG,DATOS!$I12572,nEVAL,"OR")=0))</f>
      </c>
      <c r="I12572">
        <f>IF(DATOS!$I12572="","",IFERROR(VLOOKUP(DATOS!$I12572,CONFIG_ASIGNATURAS!$B$2:$J$91,9,FALSE()),""))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IF(DATOS!$A12573="",0,IF(CONFIG_METADATA!$B$4&lt;&gt;"OR+EX",--(DATOS!$G12573=CONFIG_METADATA!$B$4),IF(DATOS!$G12573="EX",1,IF(DATOS!$G12573="OR",--(COUNTIFS(nNIA,DATOS!$A12573,nCURSO,DATOS!$D12573,nESPEC,DATOS!$E12573,nASIG,DATOS!$I12573,nEVAL,"EX")=0),0))))</f>
      </c>
      <c r="H12573">
        <f>IF(DATOS!$G12573&lt;&gt;"EX",0,--(COUNTIFS(nNIA,DATOS!$A12573,nCURSO,DATOS!$D12573,nESPEC,DATOS!$E12573,nASIG,DATOS!$I12573,nEVAL,"OR")=0))</f>
      </c>
      <c r="I12573">
        <f>IF(DATOS!$I12573="","",IFERROR(VLOOKUP(DATOS!$I12573,CONFIG_ASIGNATURAS!$B$2:$J$91,9,FALSE()),""))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IF(DATOS!$A12574="",0,IF(CONFIG_METADATA!$B$4&lt;&gt;"OR+EX",--(DATOS!$G12574=CONFIG_METADATA!$B$4),IF(DATOS!$G12574="EX",1,IF(DATOS!$G12574="OR",--(COUNTIFS(nNIA,DATOS!$A12574,nCURSO,DATOS!$D12574,nESPEC,DATOS!$E12574,nASIG,DATOS!$I12574,nEVAL,"EX")=0),0))))</f>
      </c>
      <c r="H12574">
        <f>IF(DATOS!$G12574&lt;&gt;"EX",0,--(COUNTIFS(nNIA,DATOS!$A12574,nCURSO,DATOS!$D12574,nESPEC,DATOS!$E12574,nASIG,DATOS!$I12574,nEVAL,"OR")=0))</f>
      </c>
      <c r="I12574">
        <f>IF(DATOS!$I12574="","",IFERROR(VLOOKUP(DATOS!$I12574,CONFIG_ASIGNATURAS!$B$2:$J$91,9,FALSE()),""))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IF(DATOS!$A12575="",0,IF(CONFIG_METADATA!$B$4&lt;&gt;"OR+EX",--(DATOS!$G12575=CONFIG_METADATA!$B$4),IF(DATOS!$G12575="EX",1,IF(DATOS!$G12575="OR",--(COUNTIFS(nNIA,DATOS!$A12575,nCURSO,DATOS!$D12575,nESPEC,DATOS!$E12575,nASIG,DATOS!$I12575,nEVAL,"EX")=0),0))))</f>
      </c>
      <c r="H12575">
        <f>IF(DATOS!$G12575&lt;&gt;"EX",0,--(COUNTIFS(nNIA,DATOS!$A12575,nCURSO,DATOS!$D12575,nESPEC,DATOS!$E12575,nASIG,DATOS!$I12575,nEVAL,"OR")=0))</f>
      </c>
      <c r="I12575">
        <f>IF(DATOS!$I12575="","",IFERROR(VLOOKUP(DATOS!$I12575,CONFIG_ASIGNATURAS!$B$2:$J$91,9,FALSE()),""))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IF(DATOS!$A12576="",0,IF(CONFIG_METADATA!$B$4&lt;&gt;"OR+EX",--(DATOS!$G12576=CONFIG_METADATA!$B$4),IF(DATOS!$G12576="EX",1,IF(DATOS!$G12576="OR",--(COUNTIFS(nNIA,DATOS!$A12576,nCURSO,DATOS!$D12576,nESPEC,DATOS!$E12576,nASIG,DATOS!$I12576,nEVAL,"EX")=0),0))))</f>
      </c>
      <c r="H12576">
        <f>IF(DATOS!$G12576&lt;&gt;"EX",0,--(COUNTIFS(nNIA,DATOS!$A12576,nCURSO,DATOS!$D12576,nESPEC,DATOS!$E12576,nASIG,DATOS!$I12576,nEVAL,"OR")=0))</f>
      </c>
      <c r="I12576">
        <f>IF(DATOS!$I12576="","",IFERROR(VLOOKUP(DATOS!$I12576,CONFIG_ASIGNATURAS!$B$2:$J$91,9,FALSE()),""))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IF(DATOS!$A12577="",0,IF(CONFIG_METADATA!$B$4&lt;&gt;"OR+EX",--(DATOS!$G12577=CONFIG_METADATA!$B$4),IF(DATOS!$G12577="EX",1,IF(DATOS!$G12577="OR",--(COUNTIFS(nNIA,DATOS!$A12577,nCURSO,DATOS!$D12577,nESPEC,DATOS!$E12577,nASIG,DATOS!$I12577,nEVAL,"EX")=0),0))))</f>
      </c>
      <c r="H12577">
        <f>IF(DATOS!$G12577&lt;&gt;"EX",0,--(COUNTIFS(nNIA,DATOS!$A12577,nCURSO,DATOS!$D12577,nESPEC,DATOS!$E12577,nASIG,DATOS!$I12577,nEVAL,"OR")=0))</f>
      </c>
      <c r="I12577">
        <f>IF(DATOS!$I12577="","",IFERROR(VLOOKUP(DATOS!$I12577,CONFIG_ASIGNATURAS!$B$2:$J$91,9,FALSE()),""))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IF(DATOS!$A12578="",0,IF(CONFIG_METADATA!$B$4&lt;&gt;"OR+EX",--(DATOS!$G12578=CONFIG_METADATA!$B$4),IF(DATOS!$G12578="EX",1,IF(DATOS!$G12578="OR",--(COUNTIFS(nNIA,DATOS!$A12578,nCURSO,DATOS!$D12578,nESPEC,DATOS!$E12578,nASIG,DATOS!$I12578,nEVAL,"EX")=0),0))))</f>
      </c>
      <c r="H12578">
        <f>IF(DATOS!$G12578&lt;&gt;"EX",0,--(COUNTIFS(nNIA,DATOS!$A12578,nCURSO,DATOS!$D12578,nESPEC,DATOS!$E12578,nASIG,DATOS!$I12578,nEVAL,"OR")=0))</f>
      </c>
      <c r="I12578">
        <f>IF(DATOS!$I12578="","",IFERROR(VLOOKUP(DATOS!$I12578,CONFIG_ASIGNATURAS!$B$2:$J$91,9,FALSE()),""))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IF(DATOS!$A12579="",0,IF(CONFIG_METADATA!$B$4&lt;&gt;"OR+EX",--(DATOS!$G12579=CONFIG_METADATA!$B$4),IF(DATOS!$G12579="EX",1,IF(DATOS!$G12579="OR",--(COUNTIFS(nNIA,DATOS!$A12579,nCURSO,DATOS!$D12579,nESPEC,DATOS!$E12579,nASIG,DATOS!$I12579,nEVAL,"EX")=0),0))))</f>
      </c>
      <c r="H12579">
        <f>IF(DATOS!$G12579&lt;&gt;"EX",0,--(COUNTIFS(nNIA,DATOS!$A12579,nCURSO,DATOS!$D12579,nESPEC,DATOS!$E12579,nASIG,DATOS!$I12579,nEVAL,"OR")=0))</f>
      </c>
      <c r="I12579">
        <f>IF(DATOS!$I12579="","",IFERROR(VLOOKUP(DATOS!$I12579,CONFIG_ASIGNATURAS!$B$2:$J$91,9,FALSE()),""))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IF(DATOS!$A12580="",0,IF(CONFIG_METADATA!$B$4&lt;&gt;"OR+EX",--(DATOS!$G12580=CONFIG_METADATA!$B$4),IF(DATOS!$G12580="EX",1,IF(DATOS!$G12580="OR",--(COUNTIFS(nNIA,DATOS!$A12580,nCURSO,DATOS!$D12580,nESPEC,DATOS!$E12580,nASIG,DATOS!$I12580,nEVAL,"EX")=0),0))))</f>
      </c>
      <c r="H12580">
        <f>IF(DATOS!$G12580&lt;&gt;"EX",0,--(COUNTIFS(nNIA,DATOS!$A12580,nCURSO,DATOS!$D12580,nESPEC,DATOS!$E12580,nASIG,DATOS!$I12580,nEVAL,"OR")=0))</f>
      </c>
      <c r="I12580">
        <f>IF(DATOS!$I12580="","",IFERROR(VLOOKUP(DATOS!$I12580,CONFIG_ASIGNATURAS!$B$2:$J$91,9,FALSE()),""))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IF(DATOS!$A12581="",0,IF(CONFIG_METADATA!$B$4&lt;&gt;"OR+EX",--(DATOS!$G12581=CONFIG_METADATA!$B$4),IF(DATOS!$G12581="EX",1,IF(DATOS!$G12581="OR",--(COUNTIFS(nNIA,DATOS!$A12581,nCURSO,DATOS!$D12581,nESPEC,DATOS!$E12581,nASIG,DATOS!$I12581,nEVAL,"EX")=0),0))))</f>
      </c>
      <c r="H12581">
        <f>IF(DATOS!$G12581&lt;&gt;"EX",0,--(COUNTIFS(nNIA,DATOS!$A12581,nCURSO,DATOS!$D12581,nESPEC,DATOS!$E12581,nASIG,DATOS!$I12581,nEVAL,"OR")=0))</f>
      </c>
      <c r="I12581">
        <f>IF(DATOS!$I12581="","",IFERROR(VLOOKUP(DATOS!$I12581,CONFIG_ASIGNATURAS!$B$2:$J$91,9,FALSE()),""))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IF(DATOS!$A12582="",0,IF(CONFIG_METADATA!$B$4&lt;&gt;"OR+EX",--(DATOS!$G12582=CONFIG_METADATA!$B$4),IF(DATOS!$G12582="EX",1,IF(DATOS!$G12582="OR",--(COUNTIFS(nNIA,DATOS!$A12582,nCURSO,DATOS!$D12582,nESPEC,DATOS!$E12582,nASIG,DATOS!$I12582,nEVAL,"EX")=0),0))))</f>
      </c>
      <c r="H12582">
        <f>IF(DATOS!$G12582&lt;&gt;"EX",0,--(COUNTIFS(nNIA,DATOS!$A12582,nCURSO,DATOS!$D12582,nESPEC,DATOS!$E12582,nASIG,DATOS!$I12582,nEVAL,"OR")=0))</f>
      </c>
      <c r="I12582">
        <f>IF(DATOS!$I12582="","",IFERROR(VLOOKUP(DATOS!$I12582,CONFIG_ASIGNATURAS!$B$2:$J$91,9,FALSE()),""))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IF(DATOS!$A12583="",0,IF(CONFIG_METADATA!$B$4&lt;&gt;"OR+EX",--(DATOS!$G12583=CONFIG_METADATA!$B$4),IF(DATOS!$G12583="EX",1,IF(DATOS!$G12583="OR",--(COUNTIFS(nNIA,DATOS!$A12583,nCURSO,DATOS!$D12583,nESPEC,DATOS!$E12583,nASIG,DATOS!$I12583,nEVAL,"EX")=0),0))))</f>
      </c>
      <c r="H12583">
        <f>IF(DATOS!$G12583&lt;&gt;"EX",0,--(COUNTIFS(nNIA,DATOS!$A12583,nCURSO,DATOS!$D12583,nESPEC,DATOS!$E12583,nASIG,DATOS!$I12583,nEVAL,"OR")=0))</f>
      </c>
      <c r="I12583">
        <f>IF(DATOS!$I12583="","",IFERROR(VLOOKUP(DATOS!$I12583,CONFIG_ASIGNATURAS!$B$2:$J$91,9,FALSE()),""))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IF(DATOS!$A12584="",0,IF(CONFIG_METADATA!$B$4&lt;&gt;"OR+EX",--(DATOS!$G12584=CONFIG_METADATA!$B$4),IF(DATOS!$G12584="EX",1,IF(DATOS!$G12584="OR",--(COUNTIFS(nNIA,DATOS!$A12584,nCURSO,DATOS!$D12584,nESPEC,DATOS!$E12584,nASIG,DATOS!$I12584,nEVAL,"EX")=0),0))))</f>
      </c>
      <c r="H12584">
        <f>IF(DATOS!$G12584&lt;&gt;"EX",0,--(COUNTIFS(nNIA,DATOS!$A12584,nCURSO,DATOS!$D12584,nESPEC,DATOS!$E12584,nASIG,DATOS!$I12584,nEVAL,"OR")=0))</f>
      </c>
      <c r="I12584">
        <f>IF(DATOS!$I12584="","",IFERROR(VLOOKUP(DATOS!$I12584,CONFIG_ASIGNATURAS!$B$2:$J$91,9,FALSE()),""))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IF(DATOS!$A12585="",0,IF(CONFIG_METADATA!$B$4&lt;&gt;"OR+EX",--(DATOS!$G12585=CONFIG_METADATA!$B$4),IF(DATOS!$G12585="EX",1,IF(DATOS!$G12585="OR",--(COUNTIFS(nNIA,DATOS!$A12585,nCURSO,DATOS!$D12585,nESPEC,DATOS!$E12585,nASIG,DATOS!$I12585,nEVAL,"EX")=0),0))))</f>
      </c>
      <c r="H12585">
        <f>IF(DATOS!$G12585&lt;&gt;"EX",0,--(COUNTIFS(nNIA,DATOS!$A12585,nCURSO,DATOS!$D12585,nESPEC,DATOS!$E12585,nASIG,DATOS!$I12585,nEVAL,"OR")=0))</f>
      </c>
      <c r="I12585">
        <f>IF(DATOS!$I12585="","",IFERROR(VLOOKUP(DATOS!$I12585,CONFIG_ASIGNATURAS!$B$2:$J$91,9,FALSE()),""))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IF(DATOS!$A12586="",0,IF(CONFIG_METADATA!$B$4&lt;&gt;"OR+EX",--(DATOS!$G12586=CONFIG_METADATA!$B$4),IF(DATOS!$G12586="EX",1,IF(DATOS!$G12586="OR",--(COUNTIFS(nNIA,DATOS!$A12586,nCURSO,DATOS!$D12586,nESPEC,DATOS!$E12586,nASIG,DATOS!$I12586,nEVAL,"EX")=0),0))))</f>
      </c>
      <c r="H12586">
        <f>IF(DATOS!$G12586&lt;&gt;"EX",0,--(COUNTIFS(nNIA,DATOS!$A12586,nCURSO,DATOS!$D12586,nESPEC,DATOS!$E12586,nASIG,DATOS!$I12586,nEVAL,"OR")=0))</f>
      </c>
      <c r="I12586">
        <f>IF(DATOS!$I12586="","",IFERROR(VLOOKUP(DATOS!$I12586,CONFIG_ASIGNATURAS!$B$2:$J$91,9,FALSE()),""))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IF(DATOS!$A12587="",0,IF(CONFIG_METADATA!$B$4&lt;&gt;"OR+EX",--(DATOS!$G12587=CONFIG_METADATA!$B$4),IF(DATOS!$G12587="EX",1,IF(DATOS!$G12587="OR",--(COUNTIFS(nNIA,DATOS!$A12587,nCURSO,DATOS!$D12587,nESPEC,DATOS!$E12587,nASIG,DATOS!$I12587,nEVAL,"EX")=0),0))))</f>
      </c>
      <c r="H12587">
        <f>IF(DATOS!$G12587&lt;&gt;"EX",0,--(COUNTIFS(nNIA,DATOS!$A12587,nCURSO,DATOS!$D12587,nESPEC,DATOS!$E12587,nASIG,DATOS!$I12587,nEVAL,"OR")=0))</f>
      </c>
      <c r="I12587">
        <f>IF(DATOS!$I12587="","",IFERROR(VLOOKUP(DATOS!$I12587,CONFIG_ASIGNATURAS!$B$2:$J$91,9,FALSE()),""))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IF(DATOS!$A12588="",0,IF(CONFIG_METADATA!$B$4&lt;&gt;"OR+EX",--(DATOS!$G12588=CONFIG_METADATA!$B$4),IF(DATOS!$G12588="EX",1,IF(DATOS!$G12588="OR",--(COUNTIFS(nNIA,DATOS!$A12588,nCURSO,DATOS!$D12588,nESPEC,DATOS!$E12588,nASIG,DATOS!$I12588,nEVAL,"EX")=0),0))))</f>
      </c>
      <c r="H12588">
        <f>IF(DATOS!$G12588&lt;&gt;"EX",0,--(COUNTIFS(nNIA,DATOS!$A12588,nCURSO,DATOS!$D12588,nESPEC,DATOS!$E12588,nASIG,DATOS!$I12588,nEVAL,"OR")=0))</f>
      </c>
      <c r="I12588">
        <f>IF(DATOS!$I12588="","",IFERROR(VLOOKUP(DATOS!$I12588,CONFIG_ASIGNATURAS!$B$2:$J$91,9,FALSE()),""))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IF(DATOS!$A12589="",0,IF(CONFIG_METADATA!$B$4&lt;&gt;"OR+EX",--(DATOS!$G12589=CONFIG_METADATA!$B$4),IF(DATOS!$G12589="EX",1,IF(DATOS!$G12589="OR",--(COUNTIFS(nNIA,DATOS!$A12589,nCURSO,DATOS!$D12589,nESPEC,DATOS!$E12589,nASIG,DATOS!$I12589,nEVAL,"EX")=0),0))))</f>
      </c>
      <c r="H12589">
        <f>IF(DATOS!$G12589&lt;&gt;"EX",0,--(COUNTIFS(nNIA,DATOS!$A12589,nCURSO,DATOS!$D12589,nESPEC,DATOS!$E12589,nASIG,DATOS!$I12589,nEVAL,"OR")=0))</f>
      </c>
      <c r="I12589">
        <f>IF(DATOS!$I12589="","",IFERROR(VLOOKUP(DATOS!$I12589,CONFIG_ASIGNATURAS!$B$2:$J$91,9,FALSE()),""))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IF(DATOS!$A12590="",0,IF(CONFIG_METADATA!$B$4&lt;&gt;"OR+EX",--(DATOS!$G12590=CONFIG_METADATA!$B$4),IF(DATOS!$G12590="EX",1,IF(DATOS!$G12590="OR",--(COUNTIFS(nNIA,DATOS!$A12590,nCURSO,DATOS!$D12590,nESPEC,DATOS!$E12590,nASIG,DATOS!$I12590,nEVAL,"EX")=0),0))))</f>
      </c>
      <c r="H12590">
        <f>IF(DATOS!$G12590&lt;&gt;"EX",0,--(COUNTIFS(nNIA,DATOS!$A12590,nCURSO,DATOS!$D12590,nESPEC,DATOS!$E12590,nASIG,DATOS!$I12590,nEVAL,"OR")=0))</f>
      </c>
      <c r="I12590">
        <f>IF(DATOS!$I12590="","",IFERROR(VLOOKUP(DATOS!$I12590,CONFIG_ASIGNATURAS!$B$2:$J$91,9,FALSE()),""))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IF(DATOS!$A12591="",0,IF(CONFIG_METADATA!$B$4&lt;&gt;"OR+EX",--(DATOS!$G12591=CONFIG_METADATA!$B$4),IF(DATOS!$G12591="EX",1,IF(DATOS!$G12591="OR",--(COUNTIFS(nNIA,DATOS!$A12591,nCURSO,DATOS!$D12591,nESPEC,DATOS!$E12591,nASIG,DATOS!$I12591,nEVAL,"EX")=0),0))))</f>
      </c>
      <c r="H12591">
        <f>IF(DATOS!$G12591&lt;&gt;"EX",0,--(COUNTIFS(nNIA,DATOS!$A12591,nCURSO,DATOS!$D12591,nESPEC,DATOS!$E12591,nASIG,DATOS!$I12591,nEVAL,"OR")=0))</f>
      </c>
      <c r="I12591">
        <f>IF(DATOS!$I12591="","",IFERROR(VLOOKUP(DATOS!$I12591,CONFIG_ASIGNATURAS!$B$2:$J$91,9,FALSE()),""))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IF(DATOS!$A12592="",0,IF(CONFIG_METADATA!$B$4&lt;&gt;"OR+EX",--(DATOS!$G12592=CONFIG_METADATA!$B$4),IF(DATOS!$G12592="EX",1,IF(DATOS!$G12592="OR",--(COUNTIFS(nNIA,DATOS!$A12592,nCURSO,DATOS!$D12592,nESPEC,DATOS!$E12592,nASIG,DATOS!$I12592,nEVAL,"EX")=0),0))))</f>
      </c>
      <c r="H12592">
        <f>IF(DATOS!$G12592&lt;&gt;"EX",0,--(COUNTIFS(nNIA,DATOS!$A12592,nCURSO,DATOS!$D12592,nESPEC,DATOS!$E12592,nASIG,DATOS!$I12592,nEVAL,"OR")=0))</f>
      </c>
      <c r="I12592">
        <f>IF(DATOS!$I12592="","",IFERROR(VLOOKUP(DATOS!$I12592,CONFIG_ASIGNATURAS!$B$2:$J$91,9,FALSE()),""))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IF(DATOS!$A12593="",0,IF(CONFIG_METADATA!$B$4&lt;&gt;"OR+EX",--(DATOS!$G12593=CONFIG_METADATA!$B$4),IF(DATOS!$G12593="EX",1,IF(DATOS!$G12593="OR",--(COUNTIFS(nNIA,DATOS!$A12593,nCURSO,DATOS!$D12593,nESPEC,DATOS!$E12593,nASIG,DATOS!$I12593,nEVAL,"EX")=0),0))))</f>
      </c>
      <c r="H12593">
        <f>IF(DATOS!$G12593&lt;&gt;"EX",0,--(COUNTIFS(nNIA,DATOS!$A12593,nCURSO,DATOS!$D12593,nESPEC,DATOS!$E12593,nASIG,DATOS!$I12593,nEVAL,"OR")=0))</f>
      </c>
      <c r="I12593">
        <f>IF(DATOS!$I12593="","",IFERROR(VLOOKUP(DATOS!$I12593,CONFIG_ASIGNATURAS!$B$2:$J$91,9,FALSE()),""))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IF(DATOS!$A12594="",0,IF(CONFIG_METADATA!$B$4&lt;&gt;"OR+EX",--(DATOS!$G12594=CONFIG_METADATA!$B$4),IF(DATOS!$G12594="EX",1,IF(DATOS!$G12594="OR",--(COUNTIFS(nNIA,DATOS!$A12594,nCURSO,DATOS!$D12594,nESPEC,DATOS!$E12594,nASIG,DATOS!$I12594,nEVAL,"EX")=0),0))))</f>
      </c>
      <c r="H12594">
        <f>IF(DATOS!$G12594&lt;&gt;"EX",0,--(COUNTIFS(nNIA,DATOS!$A12594,nCURSO,DATOS!$D12594,nESPEC,DATOS!$E12594,nASIG,DATOS!$I12594,nEVAL,"OR")=0))</f>
      </c>
      <c r="I12594">
        <f>IF(DATOS!$I12594="","",IFERROR(VLOOKUP(DATOS!$I12594,CONFIG_ASIGNATURAS!$B$2:$J$91,9,FALSE()),""))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IF(DATOS!$A12595="",0,IF(CONFIG_METADATA!$B$4&lt;&gt;"OR+EX",--(DATOS!$G12595=CONFIG_METADATA!$B$4),IF(DATOS!$G12595="EX",1,IF(DATOS!$G12595="OR",--(COUNTIFS(nNIA,DATOS!$A12595,nCURSO,DATOS!$D12595,nESPEC,DATOS!$E12595,nASIG,DATOS!$I12595,nEVAL,"EX")=0),0))))</f>
      </c>
      <c r="H12595">
        <f>IF(DATOS!$G12595&lt;&gt;"EX",0,--(COUNTIFS(nNIA,DATOS!$A12595,nCURSO,DATOS!$D12595,nESPEC,DATOS!$E12595,nASIG,DATOS!$I12595,nEVAL,"OR")=0))</f>
      </c>
      <c r="I12595">
        <f>IF(DATOS!$I12595="","",IFERROR(VLOOKUP(DATOS!$I12595,CONFIG_ASIGNATURAS!$B$2:$J$91,9,FALSE()),""))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IF(DATOS!$A12596="",0,IF(CONFIG_METADATA!$B$4&lt;&gt;"OR+EX",--(DATOS!$G12596=CONFIG_METADATA!$B$4),IF(DATOS!$G12596="EX",1,IF(DATOS!$G12596="OR",--(COUNTIFS(nNIA,DATOS!$A12596,nCURSO,DATOS!$D12596,nESPEC,DATOS!$E12596,nASIG,DATOS!$I12596,nEVAL,"EX")=0),0))))</f>
      </c>
      <c r="H12596">
        <f>IF(DATOS!$G12596&lt;&gt;"EX",0,--(COUNTIFS(nNIA,DATOS!$A12596,nCURSO,DATOS!$D12596,nESPEC,DATOS!$E12596,nASIG,DATOS!$I12596,nEVAL,"OR")=0))</f>
      </c>
      <c r="I12596">
        <f>IF(DATOS!$I12596="","",IFERROR(VLOOKUP(DATOS!$I12596,CONFIG_ASIGNATURAS!$B$2:$J$91,9,FALSE()),""))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IF(DATOS!$A12597="",0,IF(CONFIG_METADATA!$B$4&lt;&gt;"OR+EX",--(DATOS!$G12597=CONFIG_METADATA!$B$4),IF(DATOS!$G12597="EX",1,IF(DATOS!$G12597="OR",--(COUNTIFS(nNIA,DATOS!$A12597,nCURSO,DATOS!$D12597,nESPEC,DATOS!$E12597,nASIG,DATOS!$I12597,nEVAL,"EX")=0),0))))</f>
      </c>
      <c r="H12597">
        <f>IF(DATOS!$G12597&lt;&gt;"EX",0,--(COUNTIFS(nNIA,DATOS!$A12597,nCURSO,DATOS!$D12597,nESPEC,DATOS!$E12597,nASIG,DATOS!$I12597,nEVAL,"OR")=0))</f>
      </c>
      <c r="I12597">
        <f>IF(DATOS!$I12597="","",IFERROR(VLOOKUP(DATOS!$I12597,CONFIG_ASIGNATURAS!$B$2:$J$91,9,FALSE()),""))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IF(DATOS!$A12598="",0,IF(CONFIG_METADATA!$B$4&lt;&gt;"OR+EX",--(DATOS!$G12598=CONFIG_METADATA!$B$4),IF(DATOS!$G12598="EX",1,IF(DATOS!$G12598="OR",--(COUNTIFS(nNIA,DATOS!$A12598,nCURSO,DATOS!$D12598,nESPEC,DATOS!$E12598,nASIG,DATOS!$I12598,nEVAL,"EX")=0),0))))</f>
      </c>
      <c r="H12598">
        <f>IF(DATOS!$G12598&lt;&gt;"EX",0,--(COUNTIFS(nNIA,DATOS!$A12598,nCURSO,DATOS!$D12598,nESPEC,DATOS!$E12598,nASIG,DATOS!$I12598,nEVAL,"OR")=0))</f>
      </c>
      <c r="I12598">
        <f>IF(DATOS!$I12598="","",IFERROR(VLOOKUP(DATOS!$I12598,CONFIG_ASIGNATURAS!$B$2:$J$91,9,FALSE()),""))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IF(DATOS!$A12599="",0,IF(CONFIG_METADATA!$B$4&lt;&gt;"OR+EX",--(DATOS!$G12599=CONFIG_METADATA!$B$4),IF(DATOS!$G12599="EX",1,IF(DATOS!$G12599="OR",--(COUNTIFS(nNIA,DATOS!$A12599,nCURSO,DATOS!$D12599,nESPEC,DATOS!$E12599,nASIG,DATOS!$I12599,nEVAL,"EX")=0),0))))</f>
      </c>
      <c r="H12599">
        <f>IF(DATOS!$G12599&lt;&gt;"EX",0,--(COUNTIFS(nNIA,DATOS!$A12599,nCURSO,DATOS!$D12599,nESPEC,DATOS!$E12599,nASIG,DATOS!$I12599,nEVAL,"OR")=0))</f>
      </c>
      <c r="I12599">
        <f>IF(DATOS!$I12599="","",IFERROR(VLOOKUP(DATOS!$I12599,CONFIG_ASIGNATURAS!$B$2:$J$91,9,FALSE()),""))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IF(DATOS!$A12600="",0,IF(CONFIG_METADATA!$B$4&lt;&gt;"OR+EX",--(DATOS!$G12600=CONFIG_METADATA!$B$4),IF(DATOS!$G12600="EX",1,IF(DATOS!$G12600="OR",--(COUNTIFS(nNIA,DATOS!$A12600,nCURSO,DATOS!$D12600,nESPEC,DATOS!$E12600,nASIG,DATOS!$I12600,nEVAL,"EX")=0),0))))</f>
      </c>
      <c r="H12600">
        <f>IF(DATOS!$G12600&lt;&gt;"EX",0,--(COUNTIFS(nNIA,DATOS!$A12600,nCURSO,DATOS!$D12600,nESPEC,DATOS!$E12600,nASIG,DATOS!$I12600,nEVAL,"OR")=0))</f>
      </c>
      <c r="I12600">
        <f>IF(DATOS!$I12600="","",IFERROR(VLOOKUP(DATOS!$I12600,CONFIG_ASIGNATURAS!$B$2:$J$91,9,FALSE()),""))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IF(DATOS!$A12601="",0,IF(CONFIG_METADATA!$B$4&lt;&gt;"OR+EX",--(DATOS!$G12601=CONFIG_METADATA!$B$4),IF(DATOS!$G12601="EX",1,IF(DATOS!$G12601="OR",--(COUNTIFS(nNIA,DATOS!$A12601,nCURSO,DATOS!$D12601,nESPEC,DATOS!$E12601,nASIG,DATOS!$I12601,nEVAL,"EX")=0),0))))</f>
      </c>
      <c r="H12601">
        <f>IF(DATOS!$G12601&lt;&gt;"EX",0,--(COUNTIFS(nNIA,DATOS!$A12601,nCURSO,DATOS!$D12601,nESPEC,DATOS!$E12601,nASIG,DATOS!$I12601,nEVAL,"OR")=0))</f>
      </c>
      <c r="I12601">
        <f>IF(DATOS!$I12601="","",IFERROR(VLOOKUP(DATOS!$I12601,CONFIG_ASIGNATURAS!$B$2:$J$91,9,FALSE()),""))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IF(DATOS!$A12602="",0,IF(CONFIG_METADATA!$B$4&lt;&gt;"OR+EX",--(DATOS!$G12602=CONFIG_METADATA!$B$4),IF(DATOS!$G12602="EX",1,IF(DATOS!$G12602="OR",--(COUNTIFS(nNIA,DATOS!$A12602,nCURSO,DATOS!$D12602,nESPEC,DATOS!$E12602,nASIG,DATOS!$I12602,nEVAL,"EX")=0),0))))</f>
      </c>
      <c r="H12602">
        <f>IF(DATOS!$G12602&lt;&gt;"EX",0,--(COUNTIFS(nNIA,DATOS!$A12602,nCURSO,DATOS!$D12602,nESPEC,DATOS!$E12602,nASIG,DATOS!$I12602,nEVAL,"OR")=0))</f>
      </c>
      <c r="I12602">
        <f>IF(DATOS!$I12602="","",IFERROR(VLOOKUP(DATOS!$I12602,CONFIG_ASIGNATURAS!$B$2:$J$91,9,FALSE()),""))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IF(DATOS!$A12603="",0,IF(CONFIG_METADATA!$B$4&lt;&gt;"OR+EX",--(DATOS!$G12603=CONFIG_METADATA!$B$4),IF(DATOS!$G12603="EX",1,IF(DATOS!$G12603="OR",--(COUNTIFS(nNIA,DATOS!$A12603,nCURSO,DATOS!$D12603,nESPEC,DATOS!$E12603,nASIG,DATOS!$I12603,nEVAL,"EX")=0),0))))</f>
      </c>
      <c r="H12603">
        <f>IF(DATOS!$G12603&lt;&gt;"EX",0,--(COUNTIFS(nNIA,DATOS!$A12603,nCURSO,DATOS!$D12603,nESPEC,DATOS!$E12603,nASIG,DATOS!$I12603,nEVAL,"OR")=0))</f>
      </c>
      <c r="I12603">
        <f>IF(DATOS!$I12603="","",IFERROR(VLOOKUP(DATOS!$I12603,CONFIG_ASIGNATURAS!$B$2:$J$91,9,FALSE()),""))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IF(DATOS!$A12604="",0,IF(CONFIG_METADATA!$B$4&lt;&gt;"OR+EX",--(DATOS!$G12604=CONFIG_METADATA!$B$4),IF(DATOS!$G12604="EX",1,IF(DATOS!$G12604="OR",--(COUNTIFS(nNIA,DATOS!$A12604,nCURSO,DATOS!$D12604,nESPEC,DATOS!$E12604,nASIG,DATOS!$I12604,nEVAL,"EX")=0),0))))</f>
      </c>
      <c r="H12604">
        <f>IF(DATOS!$G12604&lt;&gt;"EX",0,--(COUNTIFS(nNIA,DATOS!$A12604,nCURSO,DATOS!$D12604,nESPEC,DATOS!$E12604,nASIG,DATOS!$I12604,nEVAL,"OR")=0))</f>
      </c>
      <c r="I12604">
        <f>IF(DATOS!$I12604="","",IFERROR(VLOOKUP(DATOS!$I12604,CONFIG_ASIGNATURAS!$B$2:$J$91,9,FALSE()),""))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IF(DATOS!$A12605="",0,IF(CONFIG_METADATA!$B$4&lt;&gt;"OR+EX",--(DATOS!$G12605=CONFIG_METADATA!$B$4),IF(DATOS!$G12605="EX",1,IF(DATOS!$G12605="OR",--(COUNTIFS(nNIA,DATOS!$A12605,nCURSO,DATOS!$D12605,nESPEC,DATOS!$E12605,nASIG,DATOS!$I12605,nEVAL,"EX")=0),0))))</f>
      </c>
      <c r="H12605">
        <f>IF(DATOS!$G12605&lt;&gt;"EX",0,--(COUNTIFS(nNIA,DATOS!$A12605,nCURSO,DATOS!$D12605,nESPEC,DATOS!$E12605,nASIG,DATOS!$I12605,nEVAL,"OR")=0))</f>
      </c>
      <c r="I12605">
        <f>IF(DATOS!$I12605="","",IFERROR(VLOOKUP(DATOS!$I12605,CONFIG_ASIGNATURAS!$B$2:$J$91,9,FALSE()),""))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IF(DATOS!$A12606="",0,IF(CONFIG_METADATA!$B$4&lt;&gt;"OR+EX",--(DATOS!$G12606=CONFIG_METADATA!$B$4),IF(DATOS!$G12606="EX",1,IF(DATOS!$G12606="OR",--(COUNTIFS(nNIA,DATOS!$A12606,nCURSO,DATOS!$D12606,nESPEC,DATOS!$E12606,nASIG,DATOS!$I12606,nEVAL,"EX")=0),0))))</f>
      </c>
      <c r="H12606">
        <f>IF(DATOS!$G12606&lt;&gt;"EX",0,--(COUNTIFS(nNIA,DATOS!$A12606,nCURSO,DATOS!$D12606,nESPEC,DATOS!$E12606,nASIG,DATOS!$I12606,nEVAL,"OR")=0))</f>
      </c>
      <c r="I12606">
        <f>IF(DATOS!$I12606="","",IFERROR(VLOOKUP(DATOS!$I12606,CONFIG_ASIGNATURAS!$B$2:$J$91,9,FALSE()),""))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IF(DATOS!$A12607="",0,IF(CONFIG_METADATA!$B$4&lt;&gt;"OR+EX",--(DATOS!$G12607=CONFIG_METADATA!$B$4),IF(DATOS!$G12607="EX",1,IF(DATOS!$G12607="OR",--(COUNTIFS(nNIA,DATOS!$A12607,nCURSO,DATOS!$D12607,nESPEC,DATOS!$E12607,nASIG,DATOS!$I12607,nEVAL,"EX")=0),0))))</f>
      </c>
      <c r="H12607">
        <f>IF(DATOS!$G12607&lt;&gt;"EX",0,--(COUNTIFS(nNIA,DATOS!$A12607,nCURSO,DATOS!$D12607,nESPEC,DATOS!$E12607,nASIG,DATOS!$I12607,nEVAL,"OR")=0))</f>
      </c>
      <c r="I12607">
        <f>IF(DATOS!$I12607="","",IFERROR(VLOOKUP(DATOS!$I12607,CONFIG_ASIGNATURAS!$B$2:$J$91,9,FALSE()),""))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IF(DATOS!$A12608="",0,IF(CONFIG_METADATA!$B$4&lt;&gt;"OR+EX",--(DATOS!$G12608=CONFIG_METADATA!$B$4),IF(DATOS!$G12608="EX",1,IF(DATOS!$G12608="OR",--(COUNTIFS(nNIA,DATOS!$A12608,nCURSO,DATOS!$D12608,nESPEC,DATOS!$E12608,nASIG,DATOS!$I12608,nEVAL,"EX")=0),0))))</f>
      </c>
      <c r="H12608">
        <f>IF(DATOS!$G12608&lt;&gt;"EX",0,--(COUNTIFS(nNIA,DATOS!$A12608,nCURSO,DATOS!$D12608,nESPEC,DATOS!$E12608,nASIG,DATOS!$I12608,nEVAL,"OR")=0))</f>
      </c>
      <c r="I12608">
        <f>IF(DATOS!$I12608="","",IFERROR(VLOOKUP(DATOS!$I12608,CONFIG_ASIGNATURAS!$B$2:$J$91,9,FALSE()),""))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IF(DATOS!$A12609="",0,IF(CONFIG_METADATA!$B$4&lt;&gt;"OR+EX",--(DATOS!$G12609=CONFIG_METADATA!$B$4),IF(DATOS!$G12609="EX",1,IF(DATOS!$G12609="OR",--(COUNTIFS(nNIA,DATOS!$A12609,nCURSO,DATOS!$D12609,nESPEC,DATOS!$E12609,nASIG,DATOS!$I12609,nEVAL,"EX")=0),0))))</f>
      </c>
      <c r="H12609">
        <f>IF(DATOS!$G12609&lt;&gt;"EX",0,--(COUNTIFS(nNIA,DATOS!$A12609,nCURSO,DATOS!$D12609,nESPEC,DATOS!$E12609,nASIG,DATOS!$I12609,nEVAL,"OR")=0))</f>
      </c>
      <c r="I12609">
        <f>IF(DATOS!$I12609="","",IFERROR(VLOOKUP(DATOS!$I12609,CONFIG_ASIGNATURAS!$B$2:$J$91,9,FALSE()),""))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IF(DATOS!$A12610="",0,IF(CONFIG_METADATA!$B$4&lt;&gt;"OR+EX",--(DATOS!$G12610=CONFIG_METADATA!$B$4),IF(DATOS!$G12610="EX",1,IF(DATOS!$G12610="OR",--(COUNTIFS(nNIA,DATOS!$A12610,nCURSO,DATOS!$D12610,nESPEC,DATOS!$E12610,nASIG,DATOS!$I12610,nEVAL,"EX")=0),0))))</f>
      </c>
      <c r="H12610">
        <f>IF(DATOS!$G12610&lt;&gt;"EX",0,--(COUNTIFS(nNIA,DATOS!$A12610,nCURSO,DATOS!$D12610,nESPEC,DATOS!$E12610,nASIG,DATOS!$I12610,nEVAL,"OR")=0))</f>
      </c>
      <c r="I12610">
        <f>IF(DATOS!$I12610="","",IFERROR(VLOOKUP(DATOS!$I12610,CONFIG_ASIGNATURAS!$B$2:$J$91,9,FALSE()),""))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IF(DATOS!$A12611="",0,IF(CONFIG_METADATA!$B$4&lt;&gt;"OR+EX",--(DATOS!$G12611=CONFIG_METADATA!$B$4),IF(DATOS!$G12611="EX",1,IF(DATOS!$G12611="OR",--(COUNTIFS(nNIA,DATOS!$A12611,nCURSO,DATOS!$D12611,nESPEC,DATOS!$E12611,nASIG,DATOS!$I12611,nEVAL,"EX")=0),0))))</f>
      </c>
      <c r="H12611">
        <f>IF(DATOS!$G12611&lt;&gt;"EX",0,--(COUNTIFS(nNIA,DATOS!$A12611,nCURSO,DATOS!$D12611,nESPEC,DATOS!$E12611,nASIG,DATOS!$I12611,nEVAL,"OR")=0))</f>
      </c>
      <c r="I12611">
        <f>IF(DATOS!$I12611="","",IFERROR(VLOOKUP(DATOS!$I12611,CONFIG_ASIGNATURAS!$B$2:$J$91,9,FALSE()),""))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IF(DATOS!$A12612="",0,IF(CONFIG_METADATA!$B$4&lt;&gt;"OR+EX",--(DATOS!$G12612=CONFIG_METADATA!$B$4),IF(DATOS!$G12612="EX",1,IF(DATOS!$G12612="OR",--(COUNTIFS(nNIA,DATOS!$A12612,nCURSO,DATOS!$D12612,nESPEC,DATOS!$E12612,nASIG,DATOS!$I12612,nEVAL,"EX")=0),0))))</f>
      </c>
      <c r="H12612">
        <f>IF(DATOS!$G12612&lt;&gt;"EX",0,--(COUNTIFS(nNIA,DATOS!$A12612,nCURSO,DATOS!$D12612,nESPEC,DATOS!$E12612,nASIG,DATOS!$I12612,nEVAL,"OR")=0))</f>
      </c>
      <c r="I12612">
        <f>IF(DATOS!$I12612="","",IFERROR(VLOOKUP(DATOS!$I12612,CONFIG_ASIGNATURAS!$B$2:$J$91,9,FALSE()),""))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IF(DATOS!$A12613="",0,IF(CONFIG_METADATA!$B$4&lt;&gt;"OR+EX",--(DATOS!$G12613=CONFIG_METADATA!$B$4),IF(DATOS!$G12613="EX",1,IF(DATOS!$G12613="OR",--(COUNTIFS(nNIA,DATOS!$A12613,nCURSO,DATOS!$D12613,nESPEC,DATOS!$E12613,nASIG,DATOS!$I12613,nEVAL,"EX")=0),0))))</f>
      </c>
      <c r="H12613">
        <f>IF(DATOS!$G12613&lt;&gt;"EX",0,--(COUNTIFS(nNIA,DATOS!$A12613,nCURSO,DATOS!$D12613,nESPEC,DATOS!$E12613,nASIG,DATOS!$I12613,nEVAL,"OR")=0))</f>
      </c>
      <c r="I12613">
        <f>IF(DATOS!$I12613="","",IFERROR(VLOOKUP(DATOS!$I12613,CONFIG_ASIGNATURAS!$B$2:$J$91,9,FALSE()),""))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IF(DATOS!$A12614="",0,IF(CONFIG_METADATA!$B$4&lt;&gt;"OR+EX",--(DATOS!$G12614=CONFIG_METADATA!$B$4),IF(DATOS!$G12614="EX",1,IF(DATOS!$G12614="OR",--(COUNTIFS(nNIA,DATOS!$A12614,nCURSO,DATOS!$D12614,nESPEC,DATOS!$E12614,nASIG,DATOS!$I12614,nEVAL,"EX")=0),0))))</f>
      </c>
      <c r="H12614">
        <f>IF(DATOS!$G12614&lt;&gt;"EX",0,--(COUNTIFS(nNIA,DATOS!$A12614,nCURSO,DATOS!$D12614,nESPEC,DATOS!$E12614,nASIG,DATOS!$I12614,nEVAL,"OR")=0))</f>
      </c>
      <c r="I12614">
        <f>IF(DATOS!$I12614="","",IFERROR(VLOOKUP(DATOS!$I12614,CONFIG_ASIGNATURAS!$B$2:$J$91,9,FALSE()),""))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IF(DATOS!$A12615="",0,IF(CONFIG_METADATA!$B$4&lt;&gt;"OR+EX",--(DATOS!$G12615=CONFIG_METADATA!$B$4),IF(DATOS!$G12615="EX",1,IF(DATOS!$G12615="OR",--(COUNTIFS(nNIA,DATOS!$A12615,nCURSO,DATOS!$D12615,nESPEC,DATOS!$E12615,nASIG,DATOS!$I12615,nEVAL,"EX")=0),0))))</f>
      </c>
      <c r="H12615">
        <f>IF(DATOS!$G12615&lt;&gt;"EX",0,--(COUNTIFS(nNIA,DATOS!$A12615,nCURSO,DATOS!$D12615,nESPEC,DATOS!$E12615,nASIG,DATOS!$I12615,nEVAL,"OR")=0))</f>
      </c>
      <c r="I12615">
        <f>IF(DATOS!$I12615="","",IFERROR(VLOOKUP(DATOS!$I12615,CONFIG_ASIGNATURAS!$B$2:$J$91,9,FALSE()),""))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IF(DATOS!$A12616="",0,IF(CONFIG_METADATA!$B$4&lt;&gt;"OR+EX",--(DATOS!$G12616=CONFIG_METADATA!$B$4),IF(DATOS!$G12616="EX",1,IF(DATOS!$G12616="OR",--(COUNTIFS(nNIA,DATOS!$A12616,nCURSO,DATOS!$D12616,nESPEC,DATOS!$E12616,nASIG,DATOS!$I12616,nEVAL,"EX")=0),0))))</f>
      </c>
      <c r="H12616">
        <f>IF(DATOS!$G12616&lt;&gt;"EX",0,--(COUNTIFS(nNIA,DATOS!$A12616,nCURSO,DATOS!$D12616,nESPEC,DATOS!$E12616,nASIG,DATOS!$I12616,nEVAL,"OR")=0))</f>
      </c>
      <c r="I12616">
        <f>IF(DATOS!$I12616="","",IFERROR(VLOOKUP(DATOS!$I12616,CONFIG_ASIGNATURAS!$B$2:$J$91,9,FALSE()),""))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IF(DATOS!$A12617="",0,IF(CONFIG_METADATA!$B$4&lt;&gt;"OR+EX",--(DATOS!$G12617=CONFIG_METADATA!$B$4),IF(DATOS!$G12617="EX",1,IF(DATOS!$G12617="OR",--(COUNTIFS(nNIA,DATOS!$A12617,nCURSO,DATOS!$D12617,nESPEC,DATOS!$E12617,nASIG,DATOS!$I12617,nEVAL,"EX")=0),0))))</f>
      </c>
      <c r="H12617">
        <f>IF(DATOS!$G12617&lt;&gt;"EX",0,--(COUNTIFS(nNIA,DATOS!$A12617,nCURSO,DATOS!$D12617,nESPEC,DATOS!$E12617,nASIG,DATOS!$I12617,nEVAL,"OR")=0))</f>
      </c>
      <c r="I12617">
        <f>IF(DATOS!$I12617="","",IFERROR(VLOOKUP(DATOS!$I12617,CONFIG_ASIGNATURAS!$B$2:$J$91,9,FALSE()),""))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IF(DATOS!$A12618="",0,IF(CONFIG_METADATA!$B$4&lt;&gt;"OR+EX",--(DATOS!$G12618=CONFIG_METADATA!$B$4),IF(DATOS!$G12618="EX",1,IF(DATOS!$G12618="OR",--(COUNTIFS(nNIA,DATOS!$A12618,nCURSO,DATOS!$D12618,nESPEC,DATOS!$E12618,nASIG,DATOS!$I12618,nEVAL,"EX")=0),0))))</f>
      </c>
      <c r="H12618">
        <f>IF(DATOS!$G12618&lt;&gt;"EX",0,--(COUNTIFS(nNIA,DATOS!$A12618,nCURSO,DATOS!$D12618,nESPEC,DATOS!$E12618,nASIG,DATOS!$I12618,nEVAL,"OR")=0))</f>
      </c>
      <c r="I12618">
        <f>IF(DATOS!$I12618="","",IFERROR(VLOOKUP(DATOS!$I12618,CONFIG_ASIGNATURAS!$B$2:$J$91,9,FALSE()),""))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IF(DATOS!$A12619="",0,IF(CONFIG_METADATA!$B$4&lt;&gt;"OR+EX",--(DATOS!$G12619=CONFIG_METADATA!$B$4),IF(DATOS!$G12619="EX",1,IF(DATOS!$G12619="OR",--(COUNTIFS(nNIA,DATOS!$A12619,nCURSO,DATOS!$D12619,nESPEC,DATOS!$E12619,nASIG,DATOS!$I12619,nEVAL,"EX")=0),0))))</f>
      </c>
      <c r="H12619">
        <f>IF(DATOS!$G12619&lt;&gt;"EX",0,--(COUNTIFS(nNIA,DATOS!$A12619,nCURSO,DATOS!$D12619,nESPEC,DATOS!$E12619,nASIG,DATOS!$I12619,nEVAL,"OR")=0))</f>
      </c>
      <c r="I12619">
        <f>IF(DATOS!$I12619="","",IFERROR(VLOOKUP(DATOS!$I12619,CONFIG_ASIGNATURAS!$B$2:$J$91,9,FALSE()),""))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IF(DATOS!$A12620="",0,IF(CONFIG_METADATA!$B$4&lt;&gt;"OR+EX",--(DATOS!$G12620=CONFIG_METADATA!$B$4),IF(DATOS!$G12620="EX",1,IF(DATOS!$G12620="OR",--(COUNTIFS(nNIA,DATOS!$A12620,nCURSO,DATOS!$D12620,nESPEC,DATOS!$E12620,nASIG,DATOS!$I12620,nEVAL,"EX")=0),0))))</f>
      </c>
      <c r="H12620">
        <f>IF(DATOS!$G12620&lt;&gt;"EX",0,--(COUNTIFS(nNIA,DATOS!$A12620,nCURSO,DATOS!$D12620,nESPEC,DATOS!$E12620,nASIG,DATOS!$I12620,nEVAL,"OR")=0))</f>
      </c>
      <c r="I12620">
        <f>IF(DATOS!$I12620="","",IFERROR(VLOOKUP(DATOS!$I12620,CONFIG_ASIGNATURAS!$B$2:$J$91,9,FALSE()),""))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IF(DATOS!$A12621="",0,IF(CONFIG_METADATA!$B$4&lt;&gt;"OR+EX",--(DATOS!$G12621=CONFIG_METADATA!$B$4),IF(DATOS!$G12621="EX",1,IF(DATOS!$G12621="OR",--(COUNTIFS(nNIA,DATOS!$A12621,nCURSO,DATOS!$D12621,nESPEC,DATOS!$E12621,nASIG,DATOS!$I12621,nEVAL,"EX")=0),0))))</f>
      </c>
      <c r="H12621">
        <f>IF(DATOS!$G12621&lt;&gt;"EX",0,--(COUNTIFS(nNIA,DATOS!$A12621,nCURSO,DATOS!$D12621,nESPEC,DATOS!$E12621,nASIG,DATOS!$I12621,nEVAL,"OR")=0))</f>
      </c>
      <c r="I12621">
        <f>IF(DATOS!$I12621="","",IFERROR(VLOOKUP(DATOS!$I12621,CONFIG_ASIGNATURAS!$B$2:$J$91,9,FALSE()),""))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IF(DATOS!$A12622="",0,IF(CONFIG_METADATA!$B$4&lt;&gt;"OR+EX",--(DATOS!$G12622=CONFIG_METADATA!$B$4),IF(DATOS!$G12622="EX",1,IF(DATOS!$G12622="OR",--(COUNTIFS(nNIA,DATOS!$A12622,nCURSO,DATOS!$D12622,nESPEC,DATOS!$E12622,nASIG,DATOS!$I12622,nEVAL,"EX")=0),0))))</f>
      </c>
      <c r="H12622">
        <f>IF(DATOS!$G12622&lt;&gt;"EX",0,--(COUNTIFS(nNIA,DATOS!$A12622,nCURSO,DATOS!$D12622,nESPEC,DATOS!$E12622,nASIG,DATOS!$I12622,nEVAL,"OR")=0))</f>
      </c>
      <c r="I12622">
        <f>IF(DATOS!$I12622="","",IFERROR(VLOOKUP(DATOS!$I12622,CONFIG_ASIGNATURAS!$B$2:$J$91,9,FALSE()),""))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IF(DATOS!$A12623="",0,IF(CONFIG_METADATA!$B$4&lt;&gt;"OR+EX",--(DATOS!$G12623=CONFIG_METADATA!$B$4),IF(DATOS!$G12623="EX",1,IF(DATOS!$G12623="OR",--(COUNTIFS(nNIA,DATOS!$A12623,nCURSO,DATOS!$D12623,nESPEC,DATOS!$E12623,nASIG,DATOS!$I12623,nEVAL,"EX")=0),0))))</f>
      </c>
      <c r="H12623">
        <f>IF(DATOS!$G12623&lt;&gt;"EX",0,--(COUNTIFS(nNIA,DATOS!$A12623,nCURSO,DATOS!$D12623,nESPEC,DATOS!$E12623,nASIG,DATOS!$I12623,nEVAL,"OR")=0))</f>
      </c>
      <c r="I12623">
        <f>IF(DATOS!$I12623="","",IFERROR(VLOOKUP(DATOS!$I12623,CONFIG_ASIGNATURAS!$B$2:$J$91,9,FALSE()),""))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IF(DATOS!$A12624="",0,IF(CONFIG_METADATA!$B$4&lt;&gt;"OR+EX",--(DATOS!$G12624=CONFIG_METADATA!$B$4),IF(DATOS!$G12624="EX",1,IF(DATOS!$G12624="OR",--(COUNTIFS(nNIA,DATOS!$A12624,nCURSO,DATOS!$D12624,nESPEC,DATOS!$E12624,nASIG,DATOS!$I12624,nEVAL,"EX")=0),0))))</f>
      </c>
      <c r="H12624">
        <f>IF(DATOS!$G12624&lt;&gt;"EX",0,--(COUNTIFS(nNIA,DATOS!$A12624,nCURSO,DATOS!$D12624,nESPEC,DATOS!$E12624,nASIG,DATOS!$I12624,nEVAL,"OR")=0))</f>
      </c>
      <c r="I12624">
        <f>IF(DATOS!$I12624="","",IFERROR(VLOOKUP(DATOS!$I12624,CONFIG_ASIGNATURAS!$B$2:$J$91,9,FALSE()),""))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IF(DATOS!$A12625="",0,IF(CONFIG_METADATA!$B$4&lt;&gt;"OR+EX",--(DATOS!$G12625=CONFIG_METADATA!$B$4),IF(DATOS!$G12625="EX",1,IF(DATOS!$G12625="OR",--(COUNTIFS(nNIA,DATOS!$A12625,nCURSO,DATOS!$D12625,nESPEC,DATOS!$E12625,nASIG,DATOS!$I12625,nEVAL,"EX")=0),0))))</f>
      </c>
      <c r="H12625">
        <f>IF(DATOS!$G12625&lt;&gt;"EX",0,--(COUNTIFS(nNIA,DATOS!$A12625,nCURSO,DATOS!$D12625,nESPEC,DATOS!$E12625,nASIG,DATOS!$I12625,nEVAL,"OR")=0))</f>
      </c>
      <c r="I12625">
        <f>IF(DATOS!$I12625="","",IFERROR(VLOOKUP(DATOS!$I12625,CONFIG_ASIGNATURAS!$B$2:$J$91,9,FALSE()),""))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IF(DATOS!$A12626="",0,IF(CONFIG_METADATA!$B$4&lt;&gt;"OR+EX",--(DATOS!$G12626=CONFIG_METADATA!$B$4),IF(DATOS!$G12626="EX",1,IF(DATOS!$G12626="OR",--(COUNTIFS(nNIA,DATOS!$A12626,nCURSO,DATOS!$D12626,nESPEC,DATOS!$E12626,nASIG,DATOS!$I12626,nEVAL,"EX")=0),0))))</f>
      </c>
      <c r="H12626">
        <f>IF(DATOS!$G12626&lt;&gt;"EX",0,--(COUNTIFS(nNIA,DATOS!$A12626,nCURSO,DATOS!$D12626,nESPEC,DATOS!$E12626,nASIG,DATOS!$I12626,nEVAL,"OR")=0))</f>
      </c>
      <c r="I12626">
        <f>IF(DATOS!$I12626="","",IFERROR(VLOOKUP(DATOS!$I12626,CONFIG_ASIGNATURAS!$B$2:$J$91,9,FALSE()),""))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IF(DATOS!$A12627="",0,IF(CONFIG_METADATA!$B$4&lt;&gt;"OR+EX",--(DATOS!$G12627=CONFIG_METADATA!$B$4),IF(DATOS!$G12627="EX",1,IF(DATOS!$G12627="OR",--(COUNTIFS(nNIA,DATOS!$A12627,nCURSO,DATOS!$D12627,nESPEC,DATOS!$E12627,nASIG,DATOS!$I12627,nEVAL,"EX")=0),0))))</f>
      </c>
      <c r="H12627">
        <f>IF(DATOS!$G12627&lt;&gt;"EX",0,--(COUNTIFS(nNIA,DATOS!$A12627,nCURSO,DATOS!$D12627,nESPEC,DATOS!$E12627,nASIG,DATOS!$I12627,nEVAL,"OR")=0))</f>
      </c>
      <c r="I12627">
        <f>IF(DATOS!$I12627="","",IFERROR(VLOOKUP(DATOS!$I12627,CONFIG_ASIGNATURAS!$B$2:$J$91,9,FALSE()),""))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IF(DATOS!$A12628="",0,IF(CONFIG_METADATA!$B$4&lt;&gt;"OR+EX",--(DATOS!$G12628=CONFIG_METADATA!$B$4),IF(DATOS!$G12628="EX",1,IF(DATOS!$G12628="OR",--(COUNTIFS(nNIA,DATOS!$A12628,nCURSO,DATOS!$D12628,nESPEC,DATOS!$E12628,nASIG,DATOS!$I12628,nEVAL,"EX")=0),0))))</f>
      </c>
      <c r="H12628">
        <f>IF(DATOS!$G12628&lt;&gt;"EX",0,--(COUNTIFS(nNIA,DATOS!$A12628,nCURSO,DATOS!$D12628,nESPEC,DATOS!$E12628,nASIG,DATOS!$I12628,nEVAL,"OR")=0))</f>
      </c>
      <c r="I12628">
        <f>IF(DATOS!$I12628="","",IFERROR(VLOOKUP(DATOS!$I12628,CONFIG_ASIGNATURAS!$B$2:$J$91,9,FALSE()),""))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IF(DATOS!$A12629="",0,IF(CONFIG_METADATA!$B$4&lt;&gt;"OR+EX",--(DATOS!$G12629=CONFIG_METADATA!$B$4),IF(DATOS!$G12629="EX",1,IF(DATOS!$G12629="OR",--(COUNTIFS(nNIA,DATOS!$A12629,nCURSO,DATOS!$D12629,nESPEC,DATOS!$E12629,nASIG,DATOS!$I12629,nEVAL,"EX")=0),0))))</f>
      </c>
      <c r="H12629">
        <f>IF(DATOS!$G12629&lt;&gt;"EX",0,--(COUNTIFS(nNIA,DATOS!$A12629,nCURSO,DATOS!$D12629,nESPEC,DATOS!$E12629,nASIG,DATOS!$I12629,nEVAL,"OR")=0))</f>
      </c>
      <c r="I12629">
        <f>IF(DATOS!$I12629="","",IFERROR(VLOOKUP(DATOS!$I12629,CONFIG_ASIGNATURAS!$B$2:$J$91,9,FALSE()),""))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IF(DATOS!$A12630="",0,IF(CONFIG_METADATA!$B$4&lt;&gt;"OR+EX",--(DATOS!$G12630=CONFIG_METADATA!$B$4),IF(DATOS!$G12630="EX",1,IF(DATOS!$G12630="OR",--(COUNTIFS(nNIA,DATOS!$A12630,nCURSO,DATOS!$D12630,nESPEC,DATOS!$E12630,nASIG,DATOS!$I12630,nEVAL,"EX")=0),0))))</f>
      </c>
      <c r="H12630">
        <f>IF(DATOS!$G12630&lt;&gt;"EX",0,--(COUNTIFS(nNIA,DATOS!$A12630,nCURSO,DATOS!$D12630,nESPEC,DATOS!$E12630,nASIG,DATOS!$I12630,nEVAL,"OR")=0))</f>
      </c>
      <c r="I12630">
        <f>IF(DATOS!$I12630="","",IFERROR(VLOOKUP(DATOS!$I12630,CONFIG_ASIGNATURAS!$B$2:$J$91,9,FALSE()),""))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IF(DATOS!$A12631="",0,IF(CONFIG_METADATA!$B$4&lt;&gt;"OR+EX",--(DATOS!$G12631=CONFIG_METADATA!$B$4),IF(DATOS!$G12631="EX",1,IF(DATOS!$G12631="OR",--(COUNTIFS(nNIA,DATOS!$A12631,nCURSO,DATOS!$D12631,nESPEC,DATOS!$E12631,nASIG,DATOS!$I12631,nEVAL,"EX")=0),0))))</f>
      </c>
      <c r="H12631">
        <f>IF(DATOS!$G12631&lt;&gt;"EX",0,--(COUNTIFS(nNIA,DATOS!$A12631,nCURSO,DATOS!$D12631,nESPEC,DATOS!$E12631,nASIG,DATOS!$I12631,nEVAL,"OR")=0))</f>
      </c>
      <c r="I12631">
        <f>IF(DATOS!$I12631="","",IFERROR(VLOOKUP(DATOS!$I12631,CONFIG_ASIGNATURAS!$B$2:$J$91,9,FALSE()),""))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IF(DATOS!$A12632="",0,IF(CONFIG_METADATA!$B$4&lt;&gt;"OR+EX",--(DATOS!$G12632=CONFIG_METADATA!$B$4),IF(DATOS!$G12632="EX",1,IF(DATOS!$G12632="OR",--(COUNTIFS(nNIA,DATOS!$A12632,nCURSO,DATOS!$D12632,nESPEC,DATOS!$E12632,nASIG,DATOS!$I12632,nEVAL,"EX")=0),0))))</f>
      </c>
      <c r="H12632">
        <f>IF(DATOS!$G12632&lt;&gt;"EX",0,--(COUNTIFS(nNIA,DATOS!$A12632,nCURSO,DATOS!$D12632,nESPEC,DATOS!$E12632,nASIG,DATOS!$I12632,nEVAL,"OR")=0))</f>
      </c>
      <c r="I12632">
        <f>IF(DATOS!$I12632="","",IFERROR(VLOOKUP(DATOS!$I12632,CONFIG_ASIGNATURAS!$B$2:$J$91,9,FALSE()),""))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IF(DATOS!$A12633="",0,IF(CONFIG_METADATA!$B$4&lt;&gt;"OR+EX",--(DATOS!$G12633=CONFIG_METADATA!$B$4),IF(DATOS!$G12633="EX",1,IF(DATOS!$G12633="OR",--(COUNTIFS(nNIA,DATOS!$A12633,nCURSO,DATOS!$D12633,nESPEC,DATOS!$E12633,nASIG,DATOS!$I12633,nEVAL,"EX")=0),0))))</f>
      </c>
      <c r="H12633">
        <f>IF(DATOS!$G12633&lt;&gt;"EX",0,--(COUNTIFS(nNIA,DATOS!$A12633,nCURSO,DATOS!$D12633,nESPEC,DATOS!$E12633,nASIG,DATOS!$I12633,nEVAL,"OR")=0))</f>
      </c>
      <c r="I12633">
        <f>IF(DATOS!$I12633="","",IFERROR(VLOOKUP(DATOS!$I12633,CONFIG_ASIGNATURAS!$B$2:$J$91,9,FALSE()),""))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IF(DATOS!$A12634="",0,IF(CONFIG_METADATA!$B$4&lt;&gt;"OR+EX",--(DATOS!$G12634=CONFIG_METADATA!$B$4),IF(DATOS!$G12634="EX",1,IF(DATOS!$G12634="OR",--(COUNTIFS(nNIA,DATOS!$A12634,nCURSO,DATOS!$D12634,nESPEC,DATOS!$E12634,nASIG,DATOS!$I12634,nEVAL,"EX")=0),0))))</f>
      </c>
      <c r="H12634">
        <f>IF(DATOS!$G12634&lt;&gt;"EX",0,--(COUNTIFS(nNIA,DATOS!$A12634,nCURSO,DATOS!$D12634,nESPEC,DATOS!$E12634,nASIG,DATOS!$I12634,nEVAL,"OR")=0))</f>
      </c>
      <c r="I12634">
        <f>IF(DATOS!$I12634="","",IFERROR(VLOOKUP(DATOS!$I12634,CONFIG_ASIGNATURAS!$B$2:$J$91,9,FALSE()),""))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IF(DATOS!$A12635="",0,IF(CONFIG_METADATA!$B$4&lt;&gt;"OR+EX",--(DATOS!$G12635=CONFIG_METADATA!$B$4),IF(DATOS!$G12635="EX",1,IF(DATOS!$G12635="OR",--(COUNTIFS(nNIA,DATOS!$A12635,nCURSO,DATOS!$D12635,nESPEC,DATOS!$E12635,nASIG,DATOS!$I12635,nEVAL,"EX")=0),0))))</f>
      </c>
      <c r="H12635">
        <f>IF(DATOS!$G12635&lt;&gt;"EX",0,--(COUNTIFS(nNIA,DATOS!$A12635,nCURSO,DATOS!$D12635,nESPEC,DATOS!$E12635,nASIG,DATOS!$I12635,nEVAL,"OR")=0))</f>
      </c>
      <c r="I12635">
        <f>IF(DATOS!$I12635="","",IFERROR(VLOOKUP(DATOS!$I12635,CONFIG_ASIGNATURAS!$B$2:$J$91,9,FALSE()),""))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IF(DATOS!$A12636="",0,IF(CONFIG_METADATA!$B$4&lt;&gt;"OR+EX",--(DATOS!$G12636=CONFIG_METADATA!$B$4),IF(DATOS!$G12636="EX",1,IF(DATOS!$G12636="OR",--(COUNTIFS(nNIA,DATOS!$A12636,nCURSO,DATOS!$D12636,nESPEC,DATOS!$E12636,nASIG,DATOS!$I12636,nEVAL,"EX")=0),0))))</f>
      </c>
      <c r="H12636">
        <f>IF(DATOS!$G12636&lt;&gt;"EX",0,--(COUNTIFS(nNIA,DATOS!$A12636,nCURSO,DATOS!$D12636,nESPEC,DATOS!$E12636,nASIG,DATOS!$I12636,nEVAL,"OR")=0))</f>
      </c>
      <c r="I12636">
        <f>IF(DATOS!$I12636="","",IFERROR(VLOOKUP(DATOS!$I12636,CONFIG_ASIGNATURAS!$B$2:$J$91,9,FALSE()),""))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IF(DATOS!$A12637="",0,IF(CONFIG_METADATA!$B$4&lt;&gt;"OR+EX",--(DATOS!$G12637=CONFIG_METADATA!$B$4),IF(DATOS!$G12637="EX",1,IF(DATOS!$G12637="OR",--(COUNTIFS(nNIA,DATOS!$A12637,nCURSO,DATOS!$D12637,nESPEC,DATOS!$E12637,nASIG,DATOS!$I12637,nEVAL,"EX")=0),0))))</f>
      </c>
      <c r="H12637">
        <f>IF(DATOS!$G12637&lt;&gt;"EX",0,--(COUNTIFS(nNIA,DATOS!$A12637,nCURSO,DATOS!$D12637,nESPEC,DATOS!$E12637,nASIG,DATOS!$I12637,nEVAL,"OR")=0))</f>
      </c>
      <c r="I12637">
        <f>IF(DATOS!$I12637="","",IFERROR(VLOOKUP(DATOS!$I12637,CONFIG_ASIGNATURAS!$B$2:$J$91,9,FALSE()),""))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IF(DATOS!$A12638="",0,IF(CONFIG_METADATA!$B$4&lt;&gt;"OR+EX",--(DATOS!$G12638=CONFIG_METADATA!$B$4),IF(DATOS!$G12638="EX",1,IF(DATOS!$G12638="OR",--(COUNTIFS(nNIA,DATOS!$A12638,nCURSO,DATOS!$D12638,nESPEC,DATOS!$E12638,nASIG,DATOS!$I12638,nEVAL,"EX")=0),0))))</f>
      </c>
      <c r="H12638">
        <f>IF(DATOS!$G12638&lt;&gt;"EX",0,--(COUNTIFS(nNIA,DATOS!$A12638,nCURSO,DATOS!$D12638,nESPEC,DATOS!$E12638,nASIG,DATOS!$I12638,nEVAL,"OR")=0))</f>
      </c>
      <c r="I12638">
        <f>IF(DATOS!$I12638="","",IFERROR(VLOOKUP(DATOS!$I12638,CONFIG_ASIGNATURAS!$B$2:$J$91,9,FALSE()),""))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IF(DATOS!$A12639="",0,IF(CONFIG_METADATA!$B$4&lt;&gt;"OR+EX",--(DATOS!$G12639=CONFIG_METADATA!$B$4),IF(DATOS!$G12639="EX",1,IF(DATOS!$G12639="OR",--(COUNTIFS(nNIA,DATOS!$A12639,nCURSO,DATOS!$D12639,nESPEC,DATOS!$E12639,nASIG,DATOS!$I12639,nEVAL,"EX")=0),0))))</f>
      </c>
      <c r="H12639">
        <f>IF(DATOS!$G12639&lt;&gt;"EX",0,--(COUNTIFS(nNIA,DATOS!$A12639,nCURSO,DATOS!$D12639,nESPEC,DATOS!$E12639,nASIG,DATOS!$I12639,nEVAL,"OR")=0))</f>
      </c>
      <c r="I12639">
        <f>IF(DATOS!$I12639="","",IFERROR(VLOOKUP(DATOS!$I12639,CONFIG_ASIGNATURAS!$B$2:$J$91,9,FALSE()),""))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IF(DATOS!$A12640="",0,IF(CONFIG_METADATA!$B$4&lt;&gt;"OR+EX",--(DATOS!$G12640=CONFIG_METADATA!$B$4),IF(DATOS!$G12640="EX",1,IF(DATOS!$G12640="OR",--(COUNTIFS(nNIA,DATOS!$A12640,nCURSO,DATOS!$D12640,nESPEC,DATOS!$E12640,nASIG,DATOS!$I12640,nEVAL,"EX")=0),0))))</f>
      </c>
      <c r="H12640">
        <f>IF(DATOS!$G12640&lt;&gt;"EX",0,--(COUNTIFS(nNIA,DATOS!$A12640,nCURSO,DATOS!$D12640,nESPEC,DATOS!$E12640,nASIG,DATOS!$I12640,nEVAL,"OR")=0))</f>
      </c>
      <c r="I12640">
        <f>IF(DATOS!$I12640="","",IFERROR(VLOOKUP(DATOS!$I12640,CONFIG_ASIGNATURAS!$B$2:$J$91,9,FALSE()),""))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IF(DATOS!$A12641="",0,IF(CONFIG_METADATA!$B$4&lt;&gt;"OR+EX",--(DATOS!$G12641=CONFIG_METADATA!$B$4),IF(DATOS!$G12641="EX",1,IF(DATOS!$G12641="OR",--(COUNTIFS(nNIA,DATOS!$A12641,nCURSO,DATOS!$D12641,nESPEC,DATOS!$E12641,nASIG,DATOS!$I12641,nEVAL,"EX")=0),0))))</f>
      </c>
      <c r="H12641">
        <f>IF(DATOS!$G12641&lt;&gt;"EX",0,--(COUNTIFS(nNIA,DATOS!$A12641,nCURSO,DATOS!$D12641,nESPEC,DATOS!$E12641,nASIG,DATOS!$I12641,nEVAL,"OR")=0))</f>
      </c>
      <c r="I12641">
        <f>IF(DATOS!$I12641="","",IFERROR(VLOOKUP(DATOS!$I12641,CONFIG_ASIGNATURAS!$B$2:$J$91,9,FALSE()),""))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IF(DATOS!$A12642="",0,IF(CONFIG_METADATA!$B$4&lt;&gt;"OR+EX",--(DATOS!$G12642=CONFIG_METADATA!$B$4),IF(DATOS!$G12642="EX",1,IF(DATOS!$G12642="OR",--(COUNTIFS(nNIA,DATOS!$A12642,nCURSO,DATOS!$D12642,nESPEC,DATOS!$E12642,nASIG,DATOS!$I12642,nEVAL,"EX")=0),0))))</f>
      </c>
      <c r="H12642">
        <f>IF(DATOS!$G12642&lt;&gt;"EX",0,--(COUNTIFS(nNIA,DATOS!$A12642,nCURSO,DATOS!$D12642,nESPEC,DATOS!$E12642,nASIG,DATOS!$I12642,nEVAL,"OR")=0))</f>
      </c>
      <c r="I12642">
        <f>IF(DATOS!$I12642="","",IFERROR(VLOOKUP(DATOS!$I12642,CONFIG_ASIGNATURAS!$B$2:$J$91,9,FALSE()),""))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IF(DATOS!$A12643="",0,IF(CONFIG_METADATA!$B$4&lt;&gt;"OR+EX",--(DATOS!$G12643=CONFIG_METADATA!$B$4),IF(DATOS!$G12643="EX",1,IF(DATOS!$G12643="OR",--(COUNTIFS(nNIA,DATOS!$A12643,nCURSO,DATOS!$D12643,nESPEC,DATOS!$E12643,nASIG,DATOS!$I12643,nEVAL,"EX")=0),0))))</f>
      </c>
      <c r="H12643">
        <f>IF(DATOS!$G12643&lt;&gt;"EX",0,--(COUNTIFS(nNIA,DATOS!$A12643,nCURSO,DATOS!$D12643,nESPEC,DATOS!$E12643,nASIG,DATOS!$I12643,nEVAL,"OR")=0))</f>
      </c>
      <c r="I12643">
        <f>IF(DATOS!$I12643="","",IFERROR(VLOOKUP(DATOS!$I12643,CONFIG_ASIGNATURAS!$B$2:$J$91,9,FALSE()),""))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IF(DATOS!$A12644="",0,IF(CONFIG_METADATA!$B$4&lt;&gt;"OR+EX",--(DATOS!$G12644=CONFIG_METADATA!$B$4),IF(DATOS!$G12644="EX",1,IF(DATOS!$G12644="OR",--(COUNTIFS(nNIA,DATOS!$A12644,nCURSO,DATOS!$D12644,nESPEC,DATOS!$E12644,nASIG,DATOS!$I12644,nEVAL,"EX")=0),0))))</f>
      </c>
      <c r="H12644">
        <f>IF(DATOS!$G12644&lt;&gt;"EX",0,--(COUNTIFS(nNIA,DATOS!$A12644,nCURSO,DATOS!$D12644,nESPEC,DATOS!$E12644,nASIG,DATOS!$I12644,nEVAL,"OR")=0))</f>
      </c>
      <c r="I12644">
        <f>IF(DATOS!$I12644="","",IFERROR(VLOOKUP(DATOS!$I12644,CONFIG_ASIGNATURAS!$B$2:$J$91,9,FALSE()),""))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IF(DATOS!$A12645="",0,IF(CONFIG_METADATA!$B$4&lt;&gt;"OR+EX",--(DATOS!$G12645=CONFIG_METADATA!$B$4),IF(DATOS!$G12645="EX",1,IF(DATOS!$G12645="OR",--(COUNTIFS(nNIA,DATOS!$A12645,nCURSO,DATOS!$D12645,nESPEC,DATOS!$E12645,nASIG,DATOS!$I12645,nEVAL,"EX")=0),0))))</f>
      </c>
      <c r="H12645">
        <f>IF(DATOS!$G12645&lt;&gt;"EX",0,--(COUNTIFS(nNIA,DATOS!$A12645,nCURSO,DATOS!$D12645,nESPEC,DATOS!$E12645,nASIG,DATOS!$I12645,nEVAL,"OR")=0))</f>
      </c>
      <c r="I12645">
        <f>IF(DATOS!$I12645="","",IFERROR(VLOOKUP(DATOS!$I12645,CONFIG_ASIGNATURAS!$B$2:$J$91,9,FALSE()),""))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IF(DATOS!$A12646="",0,IF(CONFIG_METADATA!$B$4&lt;&gt;"OR+EX",--(DATOS!$G12646=CONFIG_METADATA!$B$4),IF(DATOS!$G12646="EX",1,IF(DATOS!$G12646="OR",--(COUNTIFS(nNIA,DATOS!$A12646,nCURSO,DATOS!$D12646,nESPEC,DATOS!$E12646,nASIG,DATOS!$I12646,nEVAL,"EX")=0),0))))</f>
      </c>
      <c r="H12646">
        <f>IF(DATOS!$G12646&lt;&gt;"EX",0,--(COUNTIFS(nNIA,DATOS!$A12646,nCURSO,DATOS!$D12646,nESPEC,DATOS!$E12646,nASIG,DATOS!$I12646,nEVAL,"OR")=0))</f>
      </c>
      <c r="I12646">
        <f>IF(DATOS!$I12646="","",IFERROR(VLOOKUP(DATOS!$I12646,CONFIG_ASIGNATURAS!$B$2:$J$91,9,FALSE()),""))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IF(DATOS!$A12647="",0,IF(CONFIG_METADATA!$B$4&lt;&gt;"OR+EX",--(DATOS!$G12647=CONFIG_METADATA!$B$4),IF(DATOS!$G12647="EX",1,IF(DATOS!$G12647="OR",--(COUNTIFS(nNIA,DATOS!$A12647,nCURSO,DATOS!$D12647,nESPEC,DATOS!$E12647,nASIG,DATOS!$I12647,nEVAL,"EX")=0),0))))</f>
      </c>
      <c r="H12647">
        <f>IF(DATOS!$G12647&lt;&gt;"EX",0,--(COUNTIFS(nNIA,DATOS!$A12647,nCURSO,DATOS!$D12647,nESPEC,DATOS!$E12647,nASIG,DATOS!$I12647,nEVAL,"OR")=0))</f>
      </c>
      <c r="I12647">
        <f>IF(DATOS!$I12647="","",IFERROR(VLOOKUP(DATOS!$I12647,CONFIG_ASIGNATURAS!$B$2:$J$91,9,FALSE()),""))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IF(DATOS!$A12648="",0,IF(CONFIG_METADATA!$B$4&lt;&gt;"OR+EX",--(DATOS!$G12648=CONFIG_METADATA!$B$4),IF(DATOS!$G12648="EX",1,IF(DATOS!$G12648="OR",--(COUNTIFS(nNIA,DATOS!$A12648,nCURSO,DATOS!$D12648,nESPEC,DATOS!$E12648,nASIG,DATOS!$I12648,nEVAL,"EX")=0),0))))</f>
      </c>
      <c r="H12648">
        <f>IF(DATOS!$G12648&lt;&gt;"EX",0,--(COUNTIFS(nNIA,DATOS!$A12648,nCURSO,DATOS!$D12648,nESPEC,DATOS!$E12648,nASIG,DATOS!$I12648,nEVAL,"OR")=0))</f>
      </c>
      <c r="I12648">
        <f>IF(DATOS!$I12648="","",IFERROR(VLOOKUP(DATOS!$I12648,CONFIG_ASIGNATURAS!$B$2:$J$91,9,FALSE()),""))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IF(DATOS!$A12649="",0,IF(CONFIG_METADATA!$B$4&lt;&gt;"OR+EX",--(DATOS!$G12649=CONFIG_METADATA!$B$4),IF(DATOS!$G12649="EX",1,IF(DATOS!$G12649="OR",--(COUNTIFS(nNIA,DATOS!$A12649,nCURSO,DATOS!$D12649,nESPEC,DATOS!$E12649,nASIG,DATOS!$I12649,nEVAL,"EX")=0),0))))</f>
      </c>
      <c r="H12649">
        <f>IF(DATOS!$G12649&lt;&gt;"EX",0,--(COUNTIFS(nNIA,DATOS!$A12649,nCURSO,DATOS!$D12649,nESPEC,DATOS!$E12649,nASIG,DATOS!$I12649,nEVAL,"OR")=0))</f>
      </c>
      <c r="I12649">
        <f>IF(DATOS!$I12649="","",IFERROR(VLOOKUP(DATOS!$I12649,CONFIG_ASIGNATURAS!$B$2:$J$91,9,FALSE()),""))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IF(DATOS!$A12650="",0,IF(CONFIG_METADATA!$B$4&lt;&gt;"OR+EX",--(DATOS!$G12650=CONFIG_METADATA!$B$4),IF(DATOS!$G12650="EX",1,IF(DATOS!$G12650="OR",--(COUNTIFS(nNIA,DATOS!$A12650,nCURSO,DATOS!$D12650,nESPEC,DATOS!$E12650,nASIG,DATOS!$I12650,nEVAL,"EX")=0),0))))</f>
      </c>
      <c r="H12650">
        <f>IF(DATOS!$G12650&lt;&gt;"EX",0,--(COUNTIFS(nNIA,DATOS!$A12650,nCURSO,DATOS!$D12650,nESPEC,DATOS!$E12650,nASIG,DATOS!$I12650,nEVAL,"OR")=0))</f>
      </c>
      <c r="I12650">
        <f>IF(DATOS!$I12650="","",IFERROR(VLOOKUP(DATOS!$I12650,CONFIG_ASIGNATURAS!$B$2:$J$91,9,FALSE()),""))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IF(DATOS!$A12651="",0,IF(CONFIG_METADATA!$B$4&lt;&gt;"OR+EX",--(DATOS!$G12651=CONFIG_METADATA!$B$4),IF(DATOS!$G12651="EX",1,IF(DATOS!$G12651="OR",--(COUNTIFS(nNIA,DATOS!$A12651,nCURSO,DATOS!$D12651,nESPEC,DATOS!$E12651,nASIG,DATOS!$I12651,nEVAL,"EX")=0),0))))</f>
      </c>
      <c r="H12651">
        <f>IF(DATOS!$G12651&lt;&gt;"EX",0,--(COUNTIFS(nNIA,DATOS!$A12651,nCURSO,DATOS!$D12651,nESPEC,DATOS!$E12651,nASIG,DATOS!$I12651,nEVAL,"OR")=0))</f>
      </c>
      <c r="I12651">
        <f>IF(DATOS!$I12651="","",IFERROR(VLOOKUP(DATOS!$I12651,CONFIG_ASIGNATURAS!$B$2:$J$91,9,FALSE()),""))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IF(DATOS!$A12652="",0,IF(CONFIG_METADATA!$B$4&lt;&gt;"OR+EX",--(DATOS!$G12652=CONFIG_METADATA!$B$4),IF(DATOS!$G12652="EX",1,IF(DATOS!$G12652="OR",--(COUNTIFS(nNIA,DATOS!$A12652,nCURSO,DATOS!$D12652,nESPEC,DATOS!$E12652,nASIG,DATOS!$I12652,nEVAL,"EX")=0),0))))</f>
      </c>
      <c r="H12652">
        <f>IF(DATOS!$G12652&lt;&gt;"EX",0,--(COUNTIFS(nNIA,DATOS!$A12652,nCURSO,DATOS!$D12652,nESPEC,DATOS!$E12652,nASIG,DATOS!$I12652,nEVAL,"OR")=0))</f>
      </c>
      <c r="I12652">
        <f>IF(DATOS!$I12652="","",IFERROR(VLOOKUP(DATOS!$I12652,CONFIG_ASIGNATURAS!$B$2:$J$91,9,FALSE()),""))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IF(DATOS!$A12653="",0,IF(CONFIG_METADATA!$B$4&lt;&gt;"OR+EX",--(DATOS!$G12653=CONFIG_METADATA!$B$4),IF(DATOS!$G12653="EX",1,IF(DATOS!$G12653="OR",--(COUNTIFS(nNIA,DATOS!$A12653,nCURSO,DATOS!$D12653,nESPEC,DATOS!$E12653,nASIG,DATOS!$I12653,nEVAL,"EX")=0),0))))</f>
      </c>
      <c r="H12653">
        <f>IF(DATOS!$G12653&lt;&gt;"EX",0,--(COUNTIFS(nNIA,DATOS!$A12653,nCURSO,DATOS!$D12653,nESPEC,DATOS!$E12653,nASIG,DATOS!$I12653,nEVAL,"OR")=0))</f>
      </c>
      <c r="I12653">
        <f>IF(DATOS!$I12653="","",IFERROR(VLOOKUP(DATOS!$I12653,CONFIG_ASIGNATURAS!$B$2:$J$91,9,FALSE()),""))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IF(DATOS!$A12654="",0,IF(CONFIG_METADATA!$B$4&lt;&gt;"OR+EX",--(DATOS!$G12654=CONFIG_METADATA!$B$4),IF(DATOS!$G12654="EX",1,IF(DATOS!$G12654="OR",--(COUNTIFS(nNIA,DATOS!$A12654,nCURSO,DATOS!$D12654,nESPEC,DATOS!$E12654,nASIG,DATOS!$I12654,nEVAL,"EX")=0),0))))</f>
      </c>
      <c r="H12654">
        <f>IF(DATOS!$G12654&lt;&gt;"EX",0,--(COUNTIFS(nNIA,DATOS!$A12654,nCURSO,DATOS!$D12654,nESPEC,DATOS!$E12654,nASIG,DATOS!$I12654,nEVAL,"OR")=0))</f>
      </c>
      <c r="I12654">
        <f>IF(DATOS!$I12654="","",IFERROR(VLOOKUP(DATOS!$I12654,CONFIG_ASIGNATURAS!$B$2:$J$91,9,FALSE()),""))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IF(DATOS!$A12655="",0,IF(CONFIG_METADATA!$B$4&lt;&gt;"OR+EX",--(DATOS!$G12655=CONFIG_METADATA!$B$4),IF(DATOS!$G12655="EX",1,IF(DATOS!$G12655="OR",--(COUNTIFS(nNIA,DATOS!$A12655,nCURSO,DATOS!$D12655,nESPEC,DATOS!$E12655,nASIG,DATOS!$I12655,nEVAL,"EX")=0),0))))</f>
      </c>
      <c r="H12655">
        <f>IF(DATOS!$G12655&lt;&gt;"EX",0,--(COUNTIFS(nNIA,DATOS!$A12655,nCURSO,DATOS!$D12655,nESPEC,DATOS!$E12655,nASIG,DATOS!$I12655,nEVAL,"OR")=0))</f>
      </c>
      <c r="I12655">
        <f>IF(DATOS!$I12655="","",IFERROR(VLOOKUP(DATOS!$I12655,CONFIG_ASIGNATURAS!$B$2:$J$91,9,FALSE()),""))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IF(DATOS!$A12656="",0,IF(CONFIG_METADATA!$B$4&lt;&gt;"OR+EX",--(DATOS!$G12656=CONFIG_METADATA!$B$4),IF(DATOS!$G12656="EX",1,IF(DATOS!$G12656="OR",--(COUNTIFS(nNIA,DATOS!$A12656,nCURSO,DATOS!$D12656,nESPEC,DATOS!$E12656,nASIG,DATOS!$I12656,nEVAL,"EX")=0),0))))</f>
      </c>
      <c r="H12656">
        <f>IF(DATOS!$G12656&lt;&gt;"EX",0,--(COUNTIFS(nNIA,DATOS!$A12656,nCURSO,DATOS!$D12656,nESPEC,DATOS!$E12656,nASIG,DATOS!$I12656,nEVAL,"OR")=0))</f>
      </c>
      <c r="I12656">
        <f>IF(DATOS!$I12656="","",IFERROR(VLOOKUP(DATOS!$I12656,CONFIG_ASIGNATURAS!$B$2:$J$91,9,FALSE()),""))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IF(DATOS!$A12657="",0,IF(CONFIG_METADATA!$B$4&lt;&gt;"OR+EX",--(DATOS!$G12657=CONFIG_METADATA!$B$4),IF(DATOS!$G12657="EX",1,IF(DATOS!$G12657="OR",--(COUNTIFS(nNIA,DATOS!$A12657,nCURSO,DATOS!$D12657,nESPEC,DATOS!$E12657,nASIG,DATOS!$I12657,nEVAL,"EX")=0),0))))</f>
      </c>
      <c r="H12657">
        <f>IF(DATOS!$G12657&lt;&gt;"EX",0,--(COUNTIFS(nNIA,DATOS!$A12657,nCURSO,DATOS!$D12657,nESPEC,DATOS!$E12657,nASIG,DATOS!$I12657,nEVAL,"OR")=0))</f>
      </c>
      <c r="I12657">
        <f>IF(DATOS!$I12657="","",IFERROR(VLOOKUP(DATOS!$I12657,CONFIG_ASIGNATURAS!$B$2:$J$91,9,FALSE()),""))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IF(DATOS!$A12658="",0,IF(CONFIG_METADATA!$B$4&lt;&gt;"OR+EX",--(DATOS!$G12658=CONFIG_METADATA!$B$4),IF(DATOS!$G12658="EX",1,IF(DATOS!$G12658="OR",--(COUNTIFS(nNIA,DATOS!$A12658,nCURSO,DATOS!$D12658,nESPEC,DATOS!$E12658,nASIG,DATOS!$I12658,nEVAL,"EX")=0),0))))</f>
      </c>
      <c r="H12658">
        <f>IF(DATOS!$G12658&lt;&gt;"EX",0,--(COUNTIFS(nNIA,DATOS!$A12658,nCURSO,DATOS!$D12658,nESPEC,DATOS!$E12658,nASIG,DATOS!$I12658,nEVAL,"OR")=0))</f>
      </c>
      <c r="I12658">
        <f>IF(DATOS!$I12658="","",IFERROR(VLOOKUP(DATOS!$I12658,CONFIG_ASIGNATURAS!$B$2:$J$91,9,FALSE()),""))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IF(DATOS!$A12659="",0,IF(CONFIG_METADATA!$B$4&lt;&gt;"OR+EX",--(DATOS!$G12659=CONFIG_METADATA!$B$4),IF(DATOS!$G12659="EX",1,IF(DATOS!$G12659="OR",--(COUNTIFS(nNIA,DATOS!$A12659,nCURSO,DATOS!$D12659,nESPEC,DATOS!$E12659,nASIG,DATOS!$I12659,nEVAL,"EX")=0),0))))</f>
      </c>
      <c r="H12659">
        <f>IF(DATOS!$G12659&lt;&gt;"EX",0,--(COUNTIFS(nNIA,DATOS!$A12659,nCURSO,DATOS!$D12659,nESPEC,DATOS!$E12659,nASIG,DATOS!$I12659,nEVAL,"OR")=0))</f>
      </c>
      <c r="I12659">
        <f>IF(DATOS!$I12659="","",IFERROR(VLOOKUP(DATOS!$I12659,CONFIG_ASIGNATURAS!$B$2:$J$91,9,FALSE()),""))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IF(DATOS!$A12660="",0,IF(CONFIG_METADATA!$B$4&lt;&gt;"OR+EX",--(DATOS!$G12660=CONFIG_METADATA!$B$4),IF(DATOS!$G12660="EX",1,IF(DATOS!$G12660="OR",--(COUNTIFS(nNIA,DATOS!$A12660,nCURSO,DATOS!$D12660,nESPEC,DATOS!$E12660,nASIG,DATOS!$I12660,nEVAL,"EX")=0),0))))</f>
      </c>
      <c r="H12660">
        <f>IF(DATOS!$G12660&lt;&gt;"EX",0,--(COUNTIFS(nNIA,DATOS!$A12660,nCURSO,DATOS!$D12660,nESPEC,DATOS!$E12660,nASIG,DATOS!$I12660,nEVAL,"OR")=0))</f>
      </c>
      <c r="I12660">
        <f>IF(DATOS!$I12660="","",IFERROR(VLOOKUP(DATOS!$I12660,CONFIG_ASIGNATURAS!$B$2:$J$91,9,FALSE()),""))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IF(DATOS!$A12661="",0,IF(CONFIG_METADATA!$B$4&lt;&gt;"OR+EX",--(DATOS!$G12661=CONFIG_METADATA!$B$4),IF(DATOS!$G12661="EX",1,IF(DATOS!$G12661="OR",--(COUNTIFS(nNIA,DATOS!$A12661,nCURSO,DATOS!$D12661,nESPEC,DATOS!$E12661,nASIG,DATOS!$I12661,nEVAL,"EX")=0),0))))</f>
      </c>
      <c r="H12661">
        <f>IF(DATOS!$G12661&lt;&gt;"EX",0,--(COUNTIFS(nNIA,DATOS!$A12661,nCURSO,DATOS!$D12661,nESPEC,DATOS!$E12661,nASIG,DATOS!$I12661,nEVAL,"OR")=0))</f>
      </c>
      <c r="I12661">
        <f>IF(DATOS!$I12661="","",IFERROR(VLOOKUP(DATOS!$I12661,CONFIG_ASIGNATURAS!$B$2:$J$91,9,FALSE()),""))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IF(DATOS!$A12662="",0,IF(CONFIG_METADATA!$B$4&lt;&gt;"OR+EX",--(DATOS!$G12662=CONFIG_METADATA!$B$4),IF(DATOS!$G12662="EX",1,IF(DATOS!$G12662="OR",--(COUNTIFS(nNIA,DATOS!$A12662,nCURSO,DATOS!$D12662,nESPEC,DATOS!$E12662,nASIG,DATOS!$I12662,nEVAL,"EX")=0),0))))</f>
      </c>
      <c r="H12662">
        <f>IF(DATOS!$G12662&lt;&gt;"EX",0,--(COUNTIFS(nNIA,DATOS!$A12662,nCURSO,DATOS!$D12662,nESPEC,DATOS!$E12662,nASIG,DATOS!$I12662,nEVAL,"OR")=0))</f>
      </c>
      <c r="I12662">
        <f>IF(DATOS!$I12662="","",IFERROR(VLOOKUP(DATOS!$I12662,CONFIG_ASIGNATURAS!$B$2:$J$91,9,FALSE()),""))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IF(DATOS!$A12663="",0,IF(CONFIG_METADATA!$B$4&lt;&gt;"OR+EX",--(DATOS!$G12663=CONFIG_METADATA!$B$4),IF(DATOS!$G12663="EX",1,IF(DATOS!$G12663="OR",--(COUNTIFS(nNIA,DATOS!$A12663,nCURSO,DATOS!$D12663,nESPEC,DATOS!$E12663,nASIG,DATOS!$I12663,nEVAL,"EX")=0),0))))</f>
      </c>
      <c r="H12663">
        <f>IF(DATOS!$G12663&lt;&gt;"EX",0,--(COUNTIFS(nNIA,DATOS!$A12663,nCURSO,DATOS!$D12663,nESPEC,DATOS!$E12663,nASIG,DATOS!$I12663,nEVAL,"OR")=0))</f>
      </c>
      <c r="I12663">
        <f>IF(DATOS!$I12663="","",IFERROR(VLOOKUP(DATOS!$I12663,CONFIG_ASIGNATURAS!$B$2:$J$91,9,FALSE()),""))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IF(DATOS!$A12664="",0,IF(CONFIG_METADATA!$B$4&lt;&gt;"OR+EX",--(DATOS!$G12664=CONFIG_METADATA!$B$4),IF(DATOS!$G12664="EX",1,IF(DATOS!$G12664="OR",--(COUNTIFS(nNIA,DATOS!$A12664,nCURSO,DATOS!$D12664,nESPEC,DATOS!$E12664,nASIG,DATOS!$I12664,nEVAL,"EX")=0),0))))</f>
      </c>
      <c r="H12664">
        <f>IF(DATOS!$G12664&lt;&gt;"EX",0,--(COUNTIFS(nNIA,DATOS!$A12664,nCURSO,DATOS!$D12664,nESPEC,DATOS!$E12664,nASIG,DATOS!$I12664,nEVAL,"OR")=0))</f>
      </c>
      <c r="I12664">
        <f>IF(DATOS!$I12664="","",IFERROR(VLOOKUP(DATOS!$I12664,CONFIG_ASIGNATURAS!$B$2:$J$91,9,FALSE()),""))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IF(DATOS!$A12665="",0,IF(CONFIG_METADATA!$B$4&lt;&gt;"OR+EX",--(DATOS!$G12665=CONFIG_METADATA!$B$4),IF(DATOS!$G12665="EX",1,IF(DATOS!$G12665="OR",--(COUNTIFS(nNIA,DATOS!$A12665,nCURSO,DATOS!$D12665,nESPEC,DATOS!$E12665,nASIG,DATOS!$I12665,nEVAL,"EX")=0),0))))</f>
      </c>
      <c r="H12665">
        <f>IF(DATOS!$G12665&lt;&gt;"EX",0,--(COUNTIFS(nNIA,DATOS!$A12665,nCURSO,DATOS!$D12665,nESPEC,DATOS!$E12665,nASIG,DATOS!$I12665,nEVAL,"OR")=0))</f>
      </c>
      <c r="I12665">
        <f>IF(DATOS!$I12665="","",IFERROR(VLOOKUP(DATOS!$I12665,CONFIG_ASIGNATURAS!$B$2:$J$91,9,FALSE()),""))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IF(DATOS!$A12666="",0,IF(CONFIG_METADATA!$B$4&lt;&gt;"OR+EX",--(DATOS!$G12666=CONFIG_METADATA!$B$4),IF(DATOS!$G12666="EX",1,IF(DATOS!$G12666="OR",--(COUNTIFS(nNIA,DATOS!$A12666,nCURSO,DATOS!$D12666,nESPEC,DATOS!$E12666,nASIG,DATOS!$I12666,nEVAL,"EX")=0),0))))</f>
      </c>
      <c r="H12666">
        <f>IF(DATOS!$G12666&lt;&gt;"EX",0,--(COUNTIFS(nNIA,DATOS!$A12666,nCURSO,DATOS!$D12666,nESPEC,DATOS!$E12666,nASIG,DATOS!$I12666,nEVAL,"OR")=0))</f>
      </c>
      <c r="I12666">
        <f>IF(DATOS!$I12666="","",IFERROR(VLOOKUP(DATOS!$I12666,CONFIG_ASIGNATURAS!$B$2:$J$91,9,FALSE()),""))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IF(DATOS!$A12667="",0,IF(CONFIG_METADATA!$B$4&lt;&gt;"OR+EX",--(DATOS!$G12667=CONFIG_METADATA!$B$4),IF(DATOS!$G12667="EX",1,IF(DATOS!$G12667="OR",--(COUNTIFS(nNIA,DATOS!$A12667,nCURSO,DATOS!$D12667,nESPEC,DATOS!$E12667,nASIG,DATOS!$I12667,nEVAL,"EX")=0),0))))</f>
      </c>
      <c r="H12667">
        <f>IF(DATOS!$G12667&lt;&gt;"EX",0,--(COUNTIFS(nNIA,DATOS!$A12667,nCURSO,DATOS!$D12667,nESPEC,DATOS!$E12667,nASIG,DATOS!$I12667,nEVAL,"OR")=0))</f>
      </c>
      <c r="I12667">
        <f>IF(DATOS!$I12667="","",IFERROR(VLOOKUP(DATOS!$I12667,CONFIG_ASIGNATURAS!$B$2:$J$91,9,FALSE()),""))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IF(DATOS!$A12668="",0,IF(CONFIG_METADATA!$B$4&lt;&gt;"OR+EX",--(DATOS!$G12668=CONFIG_METADATA!$B$4),IF(DATOS!$G12668="EX",1,IF(DATOS!$G12668="OR",--(COUNTIFS(nNIA,DATOS!$A12668,nCURSO,DATOS!$D12668,nESPEC,DATOS!$E12668,nASIG,DATOS!$I12668,nEVAL,"EX")=0),0))))</f>
      </c>
      <c r="H12668">
        <f>IF(DATOS!$G12668&lt;&gt;"EX",0,--(COUNTIFS(nNIA,DATOS!$A12668,nCURSO,DATOS!$D12668,nESPEC,DATOS!$E12668,nASIG,DATOS!$I12668,nEVAL,"OR")=0))</f>
      </c>
      <c r="I12668">
        <f>IF(DATOS!$I12668="","",IFERROR(VLOOKUP(DATOS!$I12668,CONFIG_ASIGNATURAS!$B$2:$J$91,9,FALSE()),""))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IF(DATOS!$A12669="",0,IF(CONFIG_METADATA!$B$4&lt;&gt;"OR+EX",--(DATOS!$G12669=CONFIG_METADATA!$B$4),IF(DATOS!$G12669="EX",1,IF(DATOS!$G12669="OR",--(COUNTIFS(nNIA,DATOS!$A12669,nCURSO,DATOS!$D12669,nESPEC,DATOS!$E12669,nASIG,DATOS!$I12669,nEVAL,"EX")=0),0))))</f>
      </c>
      <c r="H12669">
        <f>IF(DATOS!$G12669&lt;&gt;"EX",0,--(COUNTIFS(nNIA,DATOS!$A12669,nCURSO,DATOS!$D12669,nESPEC,DATOS!$E12669,nASIG,DATOS!$I12669,nEVAL,"OR")=0))</f>
      </c>
      <c r="I12669">
        <f>IF(DATOS!$I12669="","",IFERROR(VLOOKUP(DATOS!$I12669,CONFIG_ASIGNATURAS!$B$2:$J$91,9,FALSE()),""))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IF(DATOS!$A12670="",0,IF(CONFIG_METADATA!$B$4&lt;&gt;"OR+EX",--(DATOS!$G12670=CONFIG_METADATA!$B$4),IF(DATOS!$G12670="EX",1,IF(DATOS!$G12670="OR",--(COUNTIFS(nNIA,DATOS!$A12670,nCURSO,DATOS!$D12670,nESPEC,DATOS!$E12670,nASIG,DATOS!$I12670,nEVAL,"EX")=0),0))))</f>
      </c>
      <c r="H12670">
        <f>IF(DATOS!$G12670&lt;&gt;"EX",0,--(COUNTIFS(nNIA,DATOS!$A12670,nCURSO,DATOS!$D12670,nESPEC,DATOS!$E12670,nASIG,DATOS!$I12670,nEVAL,"OR")=0))</f>
      </c>
      <c r="I12670">
        <f>IF(DATOS!$I12670="","",IFERROR(VLOOKUP(DATOS!$I12670,CONFIG_ASIGNATURAS!$B$2:$J$91,9,FALSE()),""))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IF(DATOS!$A12671="",0,IF(CONFIG_METADATA!$B$4&lt;&gt;"OR+EX",--(DATOS!$G12671=CONFIG_METADATA!$B$4),IF(DATOS!$G12671="EX",1,IF(DATOS!$G12671="OR",--(COUNTIFS(nNIA,DATOS!$A12671,nCURSO,DATOS!$D12671,nESPEC,DATOS!$E12671,nASIG,DATOS!$I12671,nEVAL,"EX")=0),0))))</f>
      </c>
      <c r="H12671">
        <f>IF(DATOS!$G12671&lt;&gt;"EX",0,--(COUNTIFS(nNIA,DATOS!$A12671,nCURSO,DATOS!$D12671,nESPEC,DATOS!$E12671,nASIG,DATOS!$I12671,nEVAL,"OR")=0))</f>
      </c>
      <c r="I12671">
        <f>IF(DATOS!$I12671="","",IFERROR(VLOOKUP(DATOS!$I12671,CONFIG_ASIGNATURAS!$B$2:$J$91,9,FALSE()),""))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IF(DATOS!$A12672="",0,IF(CONFIG_METADATA!$B$4&lt;&gt;"OR+EX",--(DATOS!$G12672=CONFIG_METADATA!$B$4),IF(DATOS!$G12672="EX",1,IF(DATOS!$G12672="OR",--(COUNTIFS(nNIA,DATOS!$A12672,nCURSO,DATOS!$D12672,nESPEC,DATOS!$E12672,nASIG,DATOS!$I12672,nEVAL,"EX")=0),0))))</f>
      </c>
      <c r="H12672">
        <f>IF(DATOS!$G12672&lt;&gt;"EX",0,--(COUNTIFS(nNIA,DATOS!$A12672,nCURSO,DATOS!$D12672,nESPEC,DATOS!$E12672,nASIG,DATOS!$I12672,nEVAL,"OR")=0))</f>
      </c>
      <c r="I12672">
        <f>IF(DATOS!$I12672="","",IFERROR(VLOOKUP(DATOS!$I12672,CONFIG_ASIGNATURAS!$B$2:$J$91,9,FALSE()),""))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IF(DATOS!$A12673="",0,IF(CONFIG_METADATA!$B$4&lt;&gt;"OR+EX",--(DATOS!$G12673=CONFIG_METADATA!$B$4),IF(DATOS!$G12673="EX",1,IF(DATOS!$G12673="OR",--(COUNTIFS(nNIA,DATOS!$A12673,nCURSO,DATOS!$D12673,nESPEC,DATOS!$E12673,nASIG,DATOS!$I12673,nEVAL,"EX")=0),0))))</f>
      </c>
      <c r="H12673">
        <f>IF(DATOS!$G12673&lt;&gt;"EX",0,--(COUNTIFS(nNIA,DATOS!$A12673,nCURSO,DATOS!$D12673,nESPEC,DATOS!$E12673,nASIG,DATOS!$I12673,nEVAL,"OR")=0))</f>
      </c>
      <c r="I12673">
        <f>IF(DATOS!$I12673="","",IFERROR(VLOOKUP(DATOS!$I12673,CONFIG_ASIGNATURAS!$B$2:$J$91,9,FALSE()),""))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IF(DATOS!$A12674="",0,IF(CONFIG_METADATA!$B$4&lt;&gt;"OR+EX",--(DATOS!$G12674=CONFIG_METADATA!$B$4),IF(DATOS!$G12674="EX",1,IF(DATOS!$G12674="OR",--(COUNTIFS(nNIA,DATOS!$A12674,nCURSO,DATOS!$D12674,nESPEC,DATOS!$E12674,nASIG,DATOS!$I12674,nEVAL,"EX")=0),0))))</f>
      </c>
      <c r="H12674">
        <f>IF(DATOS!$G12674&lt;&gt;"EX",0,--(COUNTIFS(nNIA,DATOS!$A12674,nCURSO,DATOS!$D12674,nESPEC,DATOS!$E12674,nASIG,DATOS!$I12674,nEVAL,"OR")=0))</f>
      </c>
      <c r="I12674">
        <f>IF(DATOS!$I12674="","",IFERROR(VLOOKUP(DATOS!$I12674,CONFIG_ASIGNATURAS!$B$2:$J$91,9,FALSE()),""))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IF(DATOS!$A12675="",0,IF(CONFIG_METADATA!$B$4&lt;&gt;"OR+EX",--(DATOS!$G12675=CONFIG_METADATA!$B$4),IF(DATOS!$G12675="EX",1,IF(DATOS!$G12675="OR",--(COUNTIFS(nNIA,DATOS!$A12675,nCURSO,DATOS!$D12675,nESPEC,DATOS!$E12675,nASIG,DATOS!$I12675,nEVAL,"EX")=0),0))))</f>
      </c>
      <c r="H12675">
        <f>IF(DATOS!$G12675&lt;&gt;"EX",0,--(COUNTIFS(nNIA,DATOS!$A12675,nCURSO,DATOS!$D12675,nESPEC,DATOS!$E12675,nASIG,DATOS!$I12675,nEVAL,"OR")=0))</f>
      </c>
      <c r="I12675">
        <f>IF(DATOS!$I12675="","",IFERROR(VLOOKUP(DATOS!$I12675,CONFIG_ASIGNATURAS!$B$2:$J$91,9,FALSE()),""))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IF(DATOS!$A12676="",0,IF(CONFIG_METADATA!$B$4&lt;&gt;"OR+EX",--(DATOS!$G12676=CONFIG_METADATA!$B$4),IF(DATOS!$G12676="EX",1,IF(DATOS!$G12676="OR",--(COUNTIFS(nNIA,DATOS!$A12676,nCURSO,DATOS!$D12676,nESPEC,DATOS!$E12676,nASIG,DATOS!$I12676,nEVAL,"EX")=0),0))))</f>
      </c>
      <c r="H12676">
        <f>IF(DATOS!$G12676&lt;&gt;"EX",0,--(COUNTIFS(nNIA,DATOS!$A12676,nCURSO,DATOS!$D12676,nESPEC,DATOS!$E12676,nASIG,DATOS!$I12676,nEVAL,"OR")=0))</f>
      </c>
      <c r="I12676">
        <f>IF(DATOS!$I12676="","",IFERROR(VLOOKUP(DATOS!$I12676,CONFIG_ASIGNATURAS!$B$2:$J$91,9,FALSE()),""))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IF(DATOS!$A12677="",0,IF(CONFIG_METADATA!$B$4&lt;&gt;"OR+EX",--(DATOS!$G12677=CONFIG_METADATA!$B$4),IF(DATOS!$G12677="EX",1,IF(DATOS!$G12677="OR",--(COUNTIFS(nNIA,DATOS!$A12677,nCURSO,DATOS!$D12677,nESPEC,DATOS!$E12677,nASIG,DATOS!$I12677,nEVAL,"EX")=0),0))))</f>
      </c>
      <c r="H12677">
        <f>IF(DATOS!$G12677&lt;&gt;"EX",0,--(COUNTIFS(nNIA,DATOS!$A12677,nCURSO,DATOS!$D12677,nESPEC,DATOS!$E12677,nASIG,DATOS!$I12677,nEVAL,"OR")=0))</f>
      </c>
      <c r="I12677">
        <f>IF(DATOS!$I12677="","",IFERROR(VLOOKUP(DATOS!$I12677,CONFIG_ASIGNATURAS!$B$2:$J$91,9,FALSE()),""))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IF(DATOS!$A12678="",0,IF(CONFIG_METADATA!$B$4&lt;&gt;"OR+EX",--(DATOS!$G12678=CONFIG_METADATA!$B$4),IF(DATOS!$G12678="EX",1,IF(DATOS!$G12678="OR",--(COUNTIFS(nNIA,DATOS!$A12678,nCURSO,DATOS!$D12678,nESPEC,DATOS!$E12678,nASIG,DATOS!$I12678,nEVAL,"EX")=0),0))))</f>
      </c>
      <c r="H12678">
        <f>IF(DATOS!$G12678&lt;&gt;"EX",0,--(COUNTIFS(nNIA,DATOS!$A12678,nCURSO,DATOS!$D12678,nESPEC,DATOS!$E12678,nASIG,DATOS!$I12678,nEVAL,"OR")=0))</f>
      </c>
      <c r="I12678">
        <f>IF(DATOS!$I12678="","",IFERROR(VLOOKUP(DATOS!$I12678,CONFIG_ASIGNATURAS!$B$2:$J$91,9,FALSE()),""))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IF(DATOS!$A12679="",0,IF(CONFIG_METADATA!$B$4&lt;&gt;"OR+EX",--(DATOS!$G12679=CONFIG_METADATA!$B$4),IF(DATOS!$G12679="EX",1,IF(DATOS!$G12679="OR",--(COUNTIFS(nNIA,DATOS!$A12679,nCURSO,DATOS!$D12679,nESPEC,DATOS!$E12679,nASIG,DATOS!$I12679,nEVAL,"EX")=0),0))))</f>
      </c>
      <c r="H12679">
        <f>IF(DATOS!$G12679&lt;&gt;"EX",0,--(COUNTIFS(nNIA,DATOS!$A12679,nCURSO,DATOS!$D12679,nESPEC,DATOS!$E12679,nASIG,DATOS!$I12679,nEVAL,"OR")=0))</f>
      </c>
      <c r="I12679">
        <f>IF(DATOS!$I12679="","",IFERROR(VLOOKUP(DATOS!$I12679,CONFIG_ASIGNATURAS!$B$2:$J$91,9,FALSE()),""))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IF(DATOS!$A12680="",0,IF(CONFIG_METADATA!$B$4&lt;&gt;"OR+EX",--(DATOS!$G12680=CONFIG_METADATA!$B$4),IF(DATOS!$G12680="EX",1,IF(DATOS!$G12680="OR",--(COUNTIFS(nNIA,DATOS!$A12680,nCURSO,DATOS!$D12680,nESPEC,DATOS!$E12680,nASIG,DATOS!$I12680,nEVAL,"EX")=0),0))))</f>
      </c>
      <c r="H12680">
        <f>IF(DATOS!$G12680&lt;&gt;"EX",0,--(COUNTIFS(nNIA,DATOS!$A12680,nCURSO,DATOS!$D12680,nESPEC,DATOS!$E12680,nASIG,DATOS!$I12680,nEVAL,"OR")=0))</f>
      </c>
      <c r="I12680">
        <f>IF(DATOS!$I12680="","",IFERROR(VLOOKUP(DATOS!$I12680,CONFIG_ASIGNATURAS!$B$2:$J$91,9,FALSE()),""))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IF(DATOS!$A12681="",0,IF(CONFIG_METADATA!$B$4&lt;&gt;"OR+EX",--(DATOS!$G12681=CONFIG_METADATA!$B$4),IF(DATOS!$G12681="EX",1,IF(DATOS!$G12681="OR",--(COUNTIFS(nNIA,DATOS!$A12681,nCURSO,DATOS!$D12681,nESPEC,DATOS!$E12681,nASIG,DATOS!$I12681,nEVAL,"EX")=0),0))))</f>
      </c>
      <c r="H12681">
        <f>IF(DATOS!$G12681&lt;&gt;"EX",0,--(COUNTIFS(nNIA,DATOS!$A12681,nCURSO,DATOS!$D12681,nESPEC,DATOS!$E12681,nASIG,DATOS!$I12681,nEVAL,"OR")=0))</f>
      </c>
      <c r="I12681">
        <f>IF(DATOS!$I12681="","",IFERROR(VLOOKUP(DATOS!$I12681,CONFIG_ASIGNATURAS!$B$2:$J$91,9,FALSE()),""))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IF(DATOS!$A12682="",0,IF(CONFIG_METADATA!$B$4&lt;&gt;"OR+EX",--(DATOS!$G12682=CONFIG_METADATA!$B$4),IF(DATOS!$G12682="EX",1,IF(DATOS!$G12682="OR",--(COUNTIFS(nNIA,DATOS!$A12682,nCURSO,DATOS!$D12682,nESPEC,DATOS!$E12682,nASIG,DATOS!$I12682,nEVAL,"EX")=0),0))))</f>
      </c>
      <c r="H12682">
        <f>IF(DATOS!$G12682&lt;&gt;"EX",0,--(COUNTIFS(nNIA,DATOS!$A12682,nCURSO,DATOS!$D12682,nESPEC,DATOS!$E12682,nASIG,DATOS!$I12682,nEVAL,"OR")=0))</f>
      </c>
      <c r="I12682">
        <f>IF(DATOS!$I12682="","",IFERROR(VLOOKUP(DATOS!$I12682,CONFIG_ASIGNATURAS!$B$2:$J$91,9,FALSE()),""))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IF(DATOS!$A12683="",0,IF(CONFIG_METADATA!$B$4&lt;&gt;"OR+EX",--(DATOS!$G12683=CONFIG_METADATA!$B$4),IF(DATOS!$G12683="EX",1,IF(DATOS!$G12683="OR",--(COUNTIFS(nNIA,DATOS!$A12683,nCURSO,DATOS!$D12683,nESPEC,DATOS!$E12683,nASIG,DATOS!$I12683,nEVAL,"EX")=0),0))))</f>
      </c>
      <c r="H12683">
        <f>IF(DATOS!$G12683&lt;&gt;"EX",0,--(COUNTIFS(nNIA,DATOS!$A12683,nCURSO,DATOS!$D12683,nESPEC,DATOS!$E12683,nASIG,DATOS!$I12683,nEVAL,"OR")=0))</f>
      </c>
      <c r="I12683">
        <f>IF(DATOS!$I12683="","",IFERROR(VLOOKUP(DATOS!$I12683,CONFIG_ASIGNATURAS!$B$2:$J$91,9,FALSE()),""))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IF(DATOS!$A12684="",0,IF(CONFIG_METADATA!$B$4&lt;&gt;"OR+EX",--(DATOS!$G12684=CONFIG_METADATA!$B$4),IF(DATOS!$G12684="EX",1,IF(DATOS!$G12684="OR",--(COUNTIFS(nNIA,DATOS!$A12684,nCURSO,DATOS!$D12684,nESPEC,DATOS!$E12684,nASIG,DATOS!$I12684,nEVAL,"EX")=0),0))))</f>
      </c>
      <c r="H12684">
        <f>IF(DATOS!$G12684&lt;&gt;"EX",0,--(COUNTIFS(nNIA,DATOS!$A12684,nCURSO,DATOS!$D12684,nESPEC,DATOS!$E12684,nASIG,DATOS!$I12684,nEVAL,"OR")=0))</f>
      </c>
      <c r="I12684">
        <f>IF(DATOS!$I12684="","",IFERROR(VLOOKUP(DATOS!$I12684,CONFIG_ASIGNATURAS!$B$2:$J$91,9,FALSE()),""))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IF(DATOS!$A12685="",0,IF(CONFIG_METADATA!$B$4&lt;&gt;"OR+EX",--(DATOS!$G12685=CONFIG_METADATA!$B$4),IF(DATOS!$G12685="EX",1,IF(DATOS!$G12685="OR",--(COUNTIFS(nNIA,DATOS!$A12685,nCURSO,DATOS!$D12685,nESPEC,DATOS!$E12685,nASIG,DATOS!$I12685,nEVAL,"EX")=0),0))))</f>
      </c>
      <c r="H12685">
        <f>IF(DATOS!$G12685&lt;&gt;"EX",0,--(COUNTIFS(nNIA,DATOS!$A12685,nCURSO,DATOS!$D12685,nESPEC,DATOS!$E12685,nASIG,DATOS!$I12685,nEVAL,"OR")=0))</f>
      </c>
      <c r="I12685">
        <f>IF(DATOS!$I12685="","",IFERROR(VLOOKUP(DATOS!$I12685,CONFIG_ASIGNATURAS!$B$2:$J$91,9,FALSE()),""))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IF(DATOS!$A12686="",0,IF(CONFIG_METADATA!$B$4&lt;&gt;"OR+EX",--(DATOS!$G12686=CONFIG_METADATA!$B$4),IF(DATOS!$G12686="EX",1,IF(DATOS!$G12686="OR",--(COUNTIFS(nNIA,DATOS!$A12686,nCURSO,DATOS!$D12686,nESPEC,DATOS!$E12686,nASIG,DATOS!$I12686,nEVAL,"EX")=0),0))))</f>
      </c>
      <c r="H12686">
        <f>IF(DATOS!$G12686&lt;&gt;"EX",0,--(COUNTIFS(nNIA,DATOS!$A12686,nCURSO,DATOS!$D12686,nESPEC,DATOS!$E12686,nASIG,DATOS!$I12686,nEVAL,"OR")=0))</f>
      </c>
      <c r="I12686">
        <f>IF(DATOS!$I12686="","",IFERROR(VLOOKUP(DATOS!$I12686,CONFIG_ASIGNATURAS!$B$2:$J$91,9,FALSE()),""))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IF(DATOS!$A12687="",0,IF(CONFIG_METADATA!$B$4&lt;&gt;"OR+EX",--(DATOS!$G12687=CONFIG_METADATA!$B$4),IF(DATOS!$G12687="EX",1,IF(DATOS!$G12687="OR",--(COUNTIFS(nNIA,DATOS!$A12687,nCURSO,DATOS!$D12687,nESPEC,DATOS!$E12687,nASIG,DATOS!$I12687,nEVAL,"EX")=0),0))))</f>
      </c>
      <c r="H12687">
        <f>IF(DATOS!$G12687&lt;&gt;"EX",0,--(COUNTIFS(nNIA,DATOS!$A12687,nCURSO,DATOS!$D12687,nESPEC,DATOS!$E12687,nASIG,DATOS!$I12687,nEVAL,"OR")=0))</f>
      </c>
      <c r="I12687">
        <f>IF(DATOS!$I12687="","",IFERROR(VLOOKUP(DATOS!$I12687,CONFIG_ASIGNATURAS!$B$2:$J$91,9,FALSE()),""))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IF(DATOS!$A12688="",0,IF(CONFIG_METADATA!$B$4&lt;&gt;"OR+EX",--(DATOS!$G12688=CONFIG_METADATA!$B$4),IF(DATOS!$G12688="EX",1,IF(DATOS!$G12688="OR",--(COUNTIFS(nNIA,DATOS!$A12688,nCURSO,DATOS!$D12688,nESPEC,DATOS!$E12688,nASIG,DATOS!$I12688,nEVAL,"EX")=0),0))))</f>
      </c>
      <c r="H12688">
        <f>IF(DATOS!$G12688&lt;&gt;"EX",0,--(COUNTIFS(nNIA,DATOS!$A12688,nCURSO,DATOS!$D12688,nESPEC,DATOS!$E12688,nASIG,DATOS!$I12688,nEVAL,"OR")=0))</f>
      </c>
      <c r="I12688">
        <f>IF(DATOS!$I12688="","",IFERROR(VLOOKUP(DATOS!$I12688,CONFIG_ASIGNATURAS!$B$2:$J$91,9,FALSE()),""))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IF(DATOS!$A12689="",0,IF(CONFIG_METADATA!$B$4&lt;&gt;"OR+EX",--(DATOS!$G12689=CONFIG_METADATA!$B$4),IF(DATOS!$G12689="EX",1,IF(DATOS!$G12689="OR",--(COUNTIFS(nNIA,DATOS!$A12689,nCURSO,DATOS!$D12689,nESPEC,DATOS!$E12689,nASIG,DATOS!$I12689,nEVAL,"EX")=0),0))))</f>
      </c>
      <c r="H12689">
        <f>IF(DATOS!$G12689&lt;&gt;"EX",0,--(COUNTIFS(nNIA,DATOS!$A12689,nCURSO,DATOS!$D12689,nESPEC,DATOS!$E12689,nASIG,DATOS!$I12689,nEVAL,"OR")=0))</f>
      </c>
      <c r="I12689">
        <f>IF(DATOS!$I12689="","",IFERROR(VLOOKUP(DATOS!$I12689,CONFIG_ASIGNATURAS!$B$2:$J$91,9,FALSE()),""))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IF(DATOS!$A12690="",0,IF(CONFIG_METADATA!$B$4&lt;&gt;"OR+EX",--(DATOS!$G12690=CONFIG_METADATA!$B$4),IF(DATOS!$G12690="EX",1,IF(DATOS!$G12690="OR",--(COUNTIFS(nNIA,DATOS!$A12690,nCURSO,DATOS!$D12690,nESPEC,DATOS!$E12690,nASIG,DATOS!$I12690,nEVAL,"EX")=0),0))))</f>
      </c>
      <c r="H12690">
        <f>IF(DATOS!$G12690&lt;&gt;"EX",0,--(COUNTIFS(nNIA,DATOS!$A12690,nCURSO,DATOS!$D12690,nESPEC,DATOS!$E12690,nASIG,DATOS!$I12690,nEVAL,"OR")=0))</f>
      </c>
      <c r="I12690">
        <f>IF(DATOS!$I12690="","",IFERROR(VLOOKUP(DATOS!$I12690,CONFIG_ASIGNATURAS!$B$2:$J$91,9,FALSE()),""))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IF(DATOS!$A12691="",0,IF(CONFIG_METADATA!$B$4&lt;&gt;"OR+EX",--(DATOS!$G12691=CONFIG_METADATA!$B$4),IF(DATOS!$G12691="EX",1,IF(DATOS!$G12691="OR",--(COUNTIFS(nNIA,DATOS!$A12691,nCURSO,DATOS!$D12691,nESPEC,DATOS!$E12691,nASIG,DATOS!$I12691,nEVAL,"EX")=0),0))))</f>
      </c>
      <c r="H12691">
        <f>IF(DATOS!$G12691&lt;&gt;"EX",0,--(COUNTIFS(nNIA,DATOS!$A12691,nCURSO,DATOS!$D12691,nESPEC,DATOS!$E12691,nASIG,DATOS!$I12691,nEVAL,"OR")=0))</f>
      </c>
      <c r="I12691">
        <f>IF(DATOS!$I12691="","",IFERROR(VLOOKUP(DATOS!$I12691,CONFIG_ASIGNATURAS!$B$2:$J$91,9,FALSE()),""))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IF(DATOS!$A12692="",0,IF(CONFIG_METADATA!$B$4&lt;&gt;"OR+EX",--(DATOS!$G12692=CONFIG_METADATA!$B$4),IF(DATOS!$G12692="EX",1,IF(DATOS!$G12692="OR",--(COUNTIFS(nNIA,DATOS!$A12692,nCURSO,DATOS!$D12692,nESPEC,DATOS!$E12692,nASIG,DATOS!$I12692,nEVAL,"EX")=0),0))))</f>
      </c>
      <c r="H12692">
        <f>IF(DATOS!$G12692&lt;&gt;"EX",0,--(COUNTIFS(nNIA,DATOS!$A12692,nCURSO,DATOS!$D12692,nESPEC,DATOS!$E12692,nASIG,DATOS!$I12692,nEVAL,"OR")=0))</f>
      </c>
      <c r="I12692">
        <f>IF(DATOS!$I12692="","",IFERROR(VLOOKUP(DATOS!$I12692,CONFIG_ASIGNATURAS!$B$2:$J$91,9,FALSE()),""))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IF(DATOS!$A12693="",0,IF(CONFIG_METADATA!$B$4&lt;&gt;"OR+EX",--(DATOS!$G12693=CONFIG_METADATA!$B$4),IF(DATOS!$G12693="EX",1,IF(DATOS!$G12693="OR",--(COUNTIFS(nNIA,DATOS!$A12693,nCURSO,DATOS!$D12693,nESPEC,DATOS!$E12693,nASIG,DATOS!$I12693,nEVAL,"EX")=0),0))))</f>
      </c>
      <c r="H12693">
        <f>IF(DATOS!$G12693&lt;&gt;"EX",0,--(COUNTIFS(nNIA,DATOS!$A12693,nCURSO,DATOS!$D12693,nESPEC,DATOS!$E12693,nASIG,DATOS!$I12693,nEVAL,"OR")=0))</f>
      </c>
      <c r="I12693">
        <f>IF(DATOS!$I12693="","",IFERROR(VLOOKUP(DATOS!$I12693,CONFIG_ASIGNATURAS!$B$2:$J$91,9,FALSE()),""))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IF(DATOS!$A12694="",0,IF(CONFIG_METADATA!$B$4&lt;&gt;"OR+EX",--(DATOS!$G12694=CONFIG_METADATA!$B$4),IF(DATOS!$G12694="EX",1,IF(DATOS!$G12694="OR",--(COUNTIFS(nNIA,DATOS!$A12694,nCURSO,DATOS!$D12694,nESPEC,DATOS!$E12694,nASIG,DATOS!$I12694,nEVAL,"EX")=0),0))))</f>
      </c>
      <c r="H12694">
        <f>IF(DATOS!$G12694&lt;&gt;"EX",0,--(COUNTIFS(nNIA,DATOS!$A12694,nCURSO,DATOS!$D12694,nESPEC,DATOS!$E12694,nASIG,DATOS!$I12694,nEVAL,"OR")=0))</f>
      </c>
      <c r="I12694">
        <f>IF(DATOS!$I12694="","",IFERROR(VLOOKUP(DATOS!$I12694,CONFIG_ASIGNATURAS!$B$2:$J$91,9,FALSE()),""))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IF(DATOS!$A12695="",0,IF(CONFIG_METADATA!$B$4&lt;&gt;"OR+EX",--(DATOS!$G12695=CONFIG_METADATA!$B$4),IF(DATOS!$G12695="EX",1,IF(DATOS!$G12695="OR",--(COUNTIFS(nNIA,DATOS!$A12695,nCURSO,DATOS!$D12695,nESPEC,DATOS!$E12695,nASIG,DATOS!$I12695,nEVAL,"EX")=0),0))))</f>
      </c>
      <c r="H12695">
        <f>IF(DATOS!$G12695&lt;&gt;"EX",0,--(COUNTIFS(nNIA,DATOS!$A12695,nCURSO,DATOS!$D12695,nESPEC,DATOS!$E12695,nASIG,DATOS!$I12695,nEVAL,"OR")=0))</f>
      </c>
      <c r="I12695">
        <f>IF(DATOS!$I12695="","",IFERROR(VLOOKUP(DATOS!$I12695,CONFIG_ASIGNATURAS!$B$2:$J$91,9,FALSE()),""))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IF(DATOS!$A12696="",0,IF(CONFIG_METADATA!$B$4&lt;&gt;"OR+EX",--(DATOS!$G12696=CONFIG_METADATA!$B$4),IF(DATOS!$G12696="EX",1,IF(DATOS!$G12696="OR",--(COUNTIFS(nNIA,DATOS!$A12696,nCURSO,DATOS!$D12696,nESPEC,DATOS!$E12696,nASIG,DATOS!$I12696,nEVAL,"EX")=0),0))))</f>
      </c>
      <c r="H12696">
        <f>IF(DATOS!$G12696&lt;&gt;"EX",0,--(COUNTIFS(nNIA,DATOS!$A12696,nCURSO,DATOS!$D12696,nESPEC,DATOS!$E12696,nASIG,DATOS!$I12696,nEVAL,"OR")=0))</f>
      </c>
      <c r="I12696">
        <f>IF(DATOS!$I12696="","",IFERROR(VLOOKUP(DATOS!$I12696,CONFIG_ASIGNATURAS!$B$2:$J$91,9,FALSE()),""))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IF(DATOS!$A12697="",0,IF(CONFIG_METADATA!$B$4&lt;&gt;"OR+EX",--(DATOS!$G12697=CONFIG_METADATA!$B$4),IF(DATOS!$G12697="EX",1,IF(DATOS!$G12697="OR",--(COUNTIFS(nNIA,DATOS!$A12697,nCURSO,DATOS!$D12697,nESPEC,DATOS!$E12697,nASIG,DATOS!$I12697,nEVAL,"EX")=0),0))))</f>
      </c>
      <c r="H12697">
        <f>IF(DATOS!$G12697&lt;&gt;"EX",0,--(COUNTIFS(nNIA,DATOS!$A12697,nCURSO,DATOS!$D12697,nESPEC,DATOS!$E12697,nASIG,DATOS!$I12697,nEVAL,"OR")=0))</f>
      </c>
      <c r="I12697">
        <f>IF(DATOS!$I12697="","",IFERROR(VLOOKUP(DATOS!$I12697,CONFIG_ASIGNATURAS!$B$2:$J$91,9,FALSE()),""))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IF(DATOS!$A12698="",0,IF(CONFIG_METADATA!$B$4&lt;&gt;"OR+EX",--(DATOS!$G12698=CONFIG_METADATA!$B$4),IF(DATOS!$G12698="EX",1,IF(DATOS!$G12698="OR",--(COUNTIFS(nNIA,DATOS!$A12698,nCURSO,DATOS!$D12698,nESPEC,DATOS!$E12698,nASIG,DATOS!$I12698,nEVAL,"EX")=0),0))))</f>
      </c>
      <c r="H12698">
        <f>IF(DATOS!$G12698&lt;&gt;"EX",0,--(COUNTIFS(nNIA,DATOS!$A12698,nCURSO,DATOS!$D12698,nESPEC,DATOS!$E12698,nASIG,DATOS!$I12698,nEVAL,"OR")=0))</f>
      </c>
      <c r="I12698">
        <f>IF(DATOS!$I12698="","",IFERROR(VLOOKUP(DATOS!$I12698,CONFIG_ASIGNATURAS!$B$2:$J$91,9,FALSE()),""))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IF(DATOS!$A12699="",0,IF(CONFIG_METADATA!$B$4&lt;&gt;"OR+EX",--(DATOS!$G12699=CONFIG_METADATA!$B$4),IF(DATOS!$G12699="EX",1,IF(DATOS!$G12699="OR",--(COUNTIFS(nNIA,DATOS!$A12699,nCURSO,DATOS!$D12699,nESPEC,DATOS!$E12699,nASIG,DATOS!$I12699,nEVAL,"EX")=0),0))))</f>
      </c>
      <c r="H12699">
        <f>IF(DATOS!$G12699&lt;&gt;"EX",0,--(COUNTIFS(nNIA,DATOS!$A12699,nCURSO,DATOS!$D12699,nESPEC,DATOS!$E12699,nASIG,DATOS!$I12699,nEVAL,"OR")=0))</f>
      </c>
      <c r="I12699">
        <f>IF(DATOS!$I12699="","",IFERROR(VLOOKUP(DATOS!$I12699,CONFIG_ASIGNATURAS!$B$2:$J$91,9,FALSE()),""))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IF(DATOS!$A12700="",0,IF(CONFIG_METADATA!$B$4&lt;&gt;"OR+EX",--(DATOS!$G12700=CONFIG_METADATA!$B$4),IF(DATOS!$G12700="EX",1,IF(DATOS!$G12700="OR",--(COUNTIFS(nNIA,DATOS!$A12700,nCURSO,DATOS!$D12700,nESPEC,DATOS!$E12700,nASIG,DATOS!$I12700,nEVAL,"EX")=0),0))))</f>
      </c>
      <c r="H12700">
        <f>IF(DATOS!$G12700&lt;&gt;"EX",0,--(COUNTIFS(nNIA,DATOS!$A12700,nCURSO,DATOS!$D12700,nESPEC,DATOS!$E12700,nASIG,DATOS!$I12700,nEVAL,"OR")=0))</f>
      </c>
      <c r="I12700">
        <f>IF(DATOS!$I12700="","",IFERROR(VLOOKUP(DATOS!$I12700,CONFIG_ASIGNATURAS!$B$2:$J$91,9,FALSE()),""))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IF(DATOS!$A12701="",0,IF(CONFIG_METADATA!$B$4&lt;&gt;"OR+EX",--(DATOS!$G12701=CONFIG_METADATA!$B$4),IF(DATOS!$G12701="EX",1,IF(DATOS!$G12701="OR",--(COUNTIFS(nNIA,DATOS!$A12701,nCURSO,DATOS!$D12701,nESPEC,DATOS!$E12701,nASIG,DATOS!$I12701,nEVAL,"EX")=0),0))))</f>
      </c>
      <c r="H12701">
        <f>IF(DATOS!$G12701&lt;&gt;"EX",0,--(COUNTIFS(nNIA,DATOS!$A12701,nCURSO,DATOS!$D12701,nESPEC,DATOS!$E12701,nASIG,DATOS!$I12701,nEVAL,"OR")=0))</f>
      </c>
      <c r="I12701">
        <f>IF(DATOS!$I12701="","",IFERROR(VLOOKUP(DATOS!$I12701,CONFIG_ASIGNATURAS!$B$2:$J$91,9,FALSE()),""))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IF(DATOS!$A12702="",0,IF(CONFIG_METADATA!$B$4&lt;&gt;"OR+EX",--(DATOS!$G12702=CONFIG_METADATA!$B$4),IF(DATOS!$G12702="EX",1,IF(DATOS!$G12702="OR",--(COUNTIFS(nNIA,DATOS!$A12702,nCURSO,DATOS!$D12702,nESPEC,DATOS!$E12702,nASIG,DATOS!$I12702,nEVAL,"EX")=0),0))))</f>
      </c>
      <c r="H12702">
        <f>IF(DATOS!$G12702&lt;&gt;"EX",0,--(COUNTIFS(nNIA,DATOS!$A12702,nCURSO,DATOS!$D12702,nESPEC,DATOS!$E12702,nASIG,DATOS!$I12702,nEVAL,"OR")=0))</f>
      </c>
      <c r="I12702">
        <f>IF(DATOS!$I12702="","",IFERROR(VLOOKUP(DATOS!$I12702,CONFIG_ASIGNATURAS!$B$2:$J$91,9,FALSE()),""))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IF(DATOS!$A12703="",0,IF(CONFIG_METADATA!$B$4&lt;&gt;"OR+EX",--(DATOS!$G12703=CONFIG_METADATA!$B$4),IF(DATOS!$G12703="EX",1,IF(DATOS!$G12703="OR",--(COUNTIFS(nNIA,DATOS!$A12703,nCURSO,DATOS!$D12703,nESPEC,DATOS!$E12703,nASIG,DATOS!$I12703,nEVAL,"EX")=0),0))))</f>
      </c>
      <c r="H12703">
        <f>IF(DATOS!$G12703&lt;&gt;"EX",0,--(COUNTIFS(nNIA,DATOS!$A12703,nCURSO,DATOS!$D12703,nESPEC,DATOS!$E12703,nASIG,DATOS!$I12703,nEVAL,"OR")=0))</f>
      </c>
      <c r="I12703">
        <f>IF(DATOS!$I12703="","",IFERROR(VLOOKUP(DATOS!$I12703,CONFIG_ASIGNATURAS!$B$2:$J$91,9,FALSE()),""))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IF(DATOS!$A12704="",0,IF(CONFIG_METADATA!$B$4&lt;&gt;"OR+EX",--(DATOS!$G12704=CONFIG_METADATA!$B$4),IF(DATOS!$G12704="EX",1,IF(DATOS!$G12704="OR",--(COUNTIFS(nNIA,DATOS!$A12704,nCURSO,DATOS!$D12704,nESPEC,DATOS!$E12704,nASIG,DATOS!$I12704,nEVAL,"EX")=0),0))))</f>
      </c>
      <c r="H12704">
        <f>IF(DATOS!$G12704&lt;&gt;"EX",0,--(COUNTIFS(nNIA,DATOS!$A12704,nCURSO,DATOS!$D12704,nESPEC,DATOS!$E12704,nASIG,DATOS!$I12704,nEVAL,"OR")=0))</f>
      </c>
      <c r="I12704">
        <f>IF(DATOS!$I12704="","",IFERROR(VLOOKUP(DATOS!$I12704,CONFIG_ASIGNATURAS!$B$2:$J$91,9,FALSE()),""))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IF(DATOS!$A12705="",0,IF(CONFIG_METADATA!$B$4&lt;&gt;"OR+EX",--(DATOS!$G12705=CONFIG_METADATA!$B$4),IF(DATOS!$G12705="EX",1,IF(DATOS!$G12705="OR",--(COUNTIFS(nNIA,DATOS!$A12705,nCURSO,DATOS!$D12705,nESPEC,DATOS!$E12705,nASIG,DATOS!$I12705,nEVAL,"EX")=0),0))))</f>
      </c>
      <c r="H12705">
        <f>IF(DATOS!$G12705&lt;&gt;"EX",0,--(COUNTIFS(nNIA,DATOS!$A12705,nCURSO,DATOS!$D12705,nESPEC,DATOS!$E12705,nASIG,DATOS!$I12705,nEVAL,"OR")=0))</f>
      </c>
      <c r="I12705">
        <f>IF(DATOS!$I12705="","",IFERROR(VLOOKUP(DATOS!$I12705,CONFIG_ASIGNATURAS!$B$2:$J$91,9,FALSE()),""))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IF(DATOS!$A12706="",0,IF(CONFIG_METADATA!$B$4&lt;&gt;"OR+EX",--(DATOS!$G12706=CONFIG_METADATA!$B$4),IF(DATOS!$G12706="EX",1,IF(DATOS!$G12706="OR",--(COUNTIFS(nNIA,DATOS!$A12706,nCURSO,DATOS!$D12706,nESPEC,DATOS!$E12706,nASIG,DATOS!$I12706,nEVAL,"EX")=0),0))))</f>
      </c>
      <c r="H12706">
        <f>IF(DATOS!$G12706&lt;&gt;"EX",0,--(COUNTIFS(nNIA,DATOS!$A12706,nCURSO,DATOS!$D12706,nESPEC,DATOS!$E12706,nASIG,DATOS!$I12706,nEVAL,"OR")=0))</f>
      </c>
      <c r="I12706">
        <f>IF(DATOS!$I12706="","",IFERROR(VLOOKUP(DATOS!$I12706,CONFIG_ASIGNATURAS!$B$2:$J$91,9,FALSE()),""))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IF(DATOS!$A12707="",0,IF(CONFIG_METADATA!$B$4&lt;&gt;"OR+EX",--(DATOS!$G12707=CONFIG_METADATA!$B$4),IF(DATOS!$G12707="EX",1,IF(DATOS!$G12707="OR",--(COUNTIFS(nNIA,DATOS!$A12707,nCURSO,DATOS!$D12707,nESPEC,DATOS!$E12707,nASIG,DATOS!$I12707,nEVAL,"EX")=0),0))))</f>
      </c>
      <c r="H12707">
        <f>IF(DATOS!$G12707&lt;&gt;"EX",0,--(COUNTIFS(nNIA,DATOS!$A12707,nCURSO,DATOS!$D12707,nESPEC,DATOS!$E12707,nASIG,DATOS!$I12707,nEVAL,"OR")=0))</f>
      </c>
      <c r="I12707">
        <f>IF(DATOS!$I12707="","",IFERROR(VLOOKUP(DATOS!$I12707,CONFIG_ASIGNATURAS!$B$2:$J$91,9,FALSE()),""))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IF(DATOS!$A12708="",0,IF(CONFIG_METADATA!$B$4&lt;&gt;"OR+EX",--(DATOS!$G12708=CONFIG_METADATA!$B$4),IF(DATOS!$G12708="EX",1,IF(DATOS!$G12708="OR",--(COUNTIFS(nNIA,DATOS!$A12708,nCURSO,DATOS!$D12708,nESPEC,DATOS!$E12708,nASIG,DATOS!$I12708,nEVAL,"EX")=0),0))))</f>
      </c>
      <c r="H12708">
        <f>IF(DATOS!$G12708&lt;&gt;"EX",0,--(COUNTIFS(nNIA,DATOS!$A12708,nCURSO,DATOS!$D12708,nESPEC,DATOS!$E12708,nASIG,DATOS!$I12708,nEVAL,"OR")=0))</f>
      </c>
      <c r="I12708">
        <f>IF(DATOS!$I12708="","",IFERROR(VLOOKUP(DATOS!$I12708,CONFIG_ASIGNATURAS!$B$2:$J$91,9,FALSE()),""))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IF(DATOS!$A12709="",0,IF(CONFIG_METADATA!$B$4&lt;&gt;"OR+EX",--(DATOS!$G12709=CONFIG_METADATA!$B$4),IF(DATOS!$G12709="EX",1,IF(DATOS!$G12709="OR",--(COUNTIFS(nNIA,DATOS!$A12709,nCURSO,DATOS!$D12709,nESPEC,DATOS!$E12709,nASIG,DATOS!$I12709,nEVAL,"EX")=0),0))))</f>
      </c>
      <c r="H12709">
        <f>IF(DATOS!$G12709&lt;&gt;"EX",0,--(COUNTIFS(nNIA,DATOS!$A12709,nCURSO,DATOS!$D12709,nESPEC,DATOS!$E12709,nASIG,DATOS!$I12709,nEVAL,"OR")=0))</f>
      </c>
      <c r="I12709">
        <f>IF(DATOS!$I12709="","",IFERROR(VLOOKUP(DATOS!$I12709,CONFIG_ASIGNATURAS!$B$2:$J$91,9,FALSE()),""))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IF(DATOS!$A12710="",0,IF(CONFIG_METADATA!$B$4&lt;&gt;"OR+EX",--(DATOS!$G12710=CONFIG_METADATA!$B$4),IF(DATOS!$G12710="EX",1,IF(DATOS!$G12710="OR",--(COUNTIFS(nNIA,DATOS!$A12710,nCURSO,DATOS!$D12710,nESPEC,DATOS!$E12710,nASIG,DATOS!$I12710,nEVAL,"EX")=0),0))))</f>
      </c>
      <c r="H12710">
        <f>IF(DATOS!$G12710&lt;&gt;"EX",0,--(COUNTIFS(nNIA,DATOS!$A12710,nCURSO,DATOS!$D12710,nESPEC,DATOS!$E12710,nASIG,DATOS!$I12710,nEVAL,"OR")=0))</f>
      </c>
      <c r="I12710">
        <f>IF(DATOS!$I12710="","",IFERROR(VLOOKUP(DATOS!$I12710,CONFIG_ASIGNATURAS!$B$2:$J$91,9,FALSE()),""))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IF(DATOS!$A12711="",0,IF(CONFIG_METADATA!$B$4&lt;&gt;"OR+EX",--(DATOS!$G12711=CONFIG_METADATA!$B$4),IF(DATOS!$G12711="EX",1,IF(DATOS!$G12711="OR",--(COUNTIFS(nNIA,DATOS!$A12711,nCURSO,DATOS!$D12711,nESPEC,DATOS!$E12711,nASIG,DATOS!$I12711,nEVAL,"EX")=0),0))))</f>
      </c>
      <c r="H12711">
        <f>IF(DATOS!$G12711&lt;&gt;"EX",0,--(COUNTIFS(nNIA,DATOS!$A12711,nCURSO,DATOS!$D12711,nESPEC,DATOS!$E12711,nASIG,DATOS!$I12711,nEVAL,"OR")=0))</f>
      </c>
      <c r="I12711">
        <f>IF(DATOS!$I12711="","",IFERROR(VLOOKUP(DATOS!$I12711,CONFIG_ASIGNATURAS!$B$2:$J$91,9,FALSE()),""))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IF(DATOS!$A12712="",0,IF(CONFIG_METADATA!$B$4&lt;&gt;"OR+EX",--(DATOS!$G12712=CONFIG_METADATA!$B$4),IF(DATOS!$G12712="EX",1,IF(DATOS!$G12712="OR",--(COUNTIFS(nNIA,DATOS!$A12712,nCURSO,DATOS!$D12712,nESPEC,DATOS!$E12712,nASIG,DATOS!$I12712,nEVAL,"EX")=0),0))))</f>
      </c>
      <c r="H12712">
        <f>IF(DATOS!$G12712&lt;&gt;"EX",0,--(COUNTIFS(nNIA,DATOS!$A12712,nCURSO,DATOS!$D12712,nESPEC,DATOS!$E12712,nASIG,DATOS!$I12712,nEVAL,"OR")=0))</f>
      </c>
      <c r="I12712">
        <f>IF(DATOS!$I12712="","",IFERROR(VLOOKUP(DATOS!$I12712,CONFIG_ASIGNATURAS!$B$2:$J$91,9,FALSE()),""))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IF(DATOS!$A12713="",0,IF(CONFIG_METADATA!$B$4&lt;&gt;"OR+EX",--(DATOS!$G12713=CONFIG_METADATA!$B$4),IF(DATOS!$G12713="EX",1,IF(DATOS!$G12713="OR",--(COUNTIFS(nNIA,DATOS!$A12713,nCURSO,DATOS!$D12713,nESPEC,DATOS!$E12713,nASIG,DATOS!$I12713,nEVAL,"EX")=0),0))))</f>
      </c>
      <c r="H12713">
        <f>IF(DATOS!$G12713&lt;&gt;"EX",0,--(COUNTIFS(nNIA,DATOS!$A12713,nCURSO,DATOS!$D12713,nESPEC,DATOS!$E12713,nASIG,DATOS!$I12713,nEVAL,"OR")=0))</f>
      </c>
      <c r="I12713">
        <f>IF(DATOS!$I12713="","",IFERROR(VLOOKUP(DATOS!$I12713,CONFIG_ASIGNATURAS!$B$2:$J$91,9,FALSE()),""))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IF(DATOS!$A12714="",0,IF(CONFIG_METADATA!$B$4&lt;&gt;"OR+EX",--(DATOS!$G12714=CONFIG_METADATA!$B$4),IF(DATOS!$G12714="EX",1,IF(DATOS!$G12714="OR",--(COUNTIFS(nNIA,DATOS!$A12714,nCURSO,DATOS!$D12714,nESPEC,DATOS!$E12714,nASIG,DATOS!$I12714,nEVAL,"EX")=0),0))))</f>
      </c>
      <c r="H12714">
        <f>IF(DATOS!$G12714&lt;&gt;"EX",0,--(COUNTIFS(nNIA,DATOS!$A12714,nCURSO,DATOS!$D12714,nESPEC,DATOS!$E12714,nASIG,DATOS!$I12714,nEVAL,"OR")=0))</f>
      </c>
      <c r="I12714">
        <f>IF(DATOS!$I12714="","",IFERROR(VLOOKUP(DATOS!$I12714,CONFIG_ASIGNATURAS!$B$2:$J$91,9,FALSE()),""))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IF(DATOS!$A12715="",0,IF(CONFIG_METADATA!$B$4&lt;&gt;"OR+EX",--(DATOS!$G12715=CONFIG_METADATA!$B$4),IF(DATOS!$G12715="EX",1,IF(DATOS!$G12715="OR",--(COUNTIFS(nNIA,DATOS!$A12715,nCURSO,DATOS!$D12715,nESPEC,DATOS!$E12715,nASIG,DATOS!$I12715,nEVAL,"EX")=0),0))))</f>
      </c>
      <c r="H12715">
        <f>IF(DATOS!$G12715&lt;&gt;"EX",0,--(COUNTIFS(nNIA,DATOS!$A12715,nCURSO,DATOS!$D12715,nESPEC,DATOS!$E12715,nASIG,DATOS!$I12715,nEVAL,"OR")=0))</f>
      </c>
      <c r="I12715">
        <f>IF(DATOS!$I12715="","",IFERROR(VLOOKUP(DATOS!$I12715,CONFIG_ASIGNATURAS!$B$2:$J$91,9,FALSE()),""))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IF(DATOS!$A12716="",0,IF(CONFIG_METADATA!$B$4&lt;&gt;"OR+EX",--(DATOS!$G12716=CONFIG_METADATA!$B$4),IF(DATOS!$G12716="EX",1,IF(DATOS!$G12716="OR",--(COUNTIFS(nNIA,DATOS!$A12716,nCURSO,DATOS!$D12716,nESPEC,DATOS!$E12716,nASIG,DATOS!$I12716,nEVAL,"EX")=0),0))))</f>
      </c>
      <c r="H12716">
        <f>IF(DATOS!$G12716&lt;&gt;"EX",0,--(COUNTIFS(nNIA,DATOS!$A12716,nCURSO,DATOS!$D12716,nESPEC,DATOS!$E12716,nASIG,DATOS!$I12716,nEVAL,"OR")=0))</f>
      </c>
      <c r="I12716">
        <f>IF(DATOS!$I12716="","",IFERROR(VLOOKUP(DATOS!$I12716,CONFIG_ASIGNATURAS!$B$2:$J$91,9,FALSE()),""))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IF(DATOS!$A12717="",0,IF(CONFIG_METADATA!$B$4&lt;&gt;"OR+EX",--(DATOS!$G12717=CONFIG_METADATA!$B$4),IF(DATOS!$G12717="EX",1,IF(DATOS!$G12717="OR",--(COUNTIFS(nNIA,DATOS!$A12717,nCURSO,DATOS!$D12717,nESPEC,DATOS!$E12717,nASIG,DATOS!$I12717,nEVAL,"EX")=0),0))))</f>
      </c>
      <c r="H12717">
        <f>IF(DATOS!$G12717&lt;&gt;"EX",0,--(COUNTIFS(nNIA,DATOS!$A12717,nCURSO,DATOS!$D12717,nESPEC,DATOS!$E12717,nASIG,DATOS!$I12717,nEVAL,"OR")=0))</f>
      </c>
      <c r="I12717">
        <f>IF(DATOS!$I12717="","",IFERROR(VLOOKUP(DATOS!$I12717,CONFIG_ASIGNATURAS!$B$2:$J$91,9,FALSE()),""))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IF(DATOS!$A12718="",0,IF(CONFIG_METADATA!$B$4&lt;&gt;"OR+EX",--(DATOS!$G12718=CONFIG_METADATA!$B$4),IF(DATOS!$G12718="EX",1,IF(DATOS!$G12718="OR",--(COUNTIFS(nNIA,DATOS!$A12718,nCURSO,DATOS!$D12718,nESPEC,DATOS!$E12718,nASIG,DATOS!$I12718,nEVAL,"EX")=0),0))))</f>
      </c>
      <c r="H12718">
        <f>IF(DATOS!$G12718&lt;&gt;"EX",0,--(COUNTIFS(nNIA,DATOS!$A12718,nCURSO,DATOS!$D12718,nESPEC,DATOS!$E12718,nASIG,DATOS!$I12718,nEVAL,"OR")=0))</f>
      </c>
      <c r="I12718">
        <f>IF(DATOS!$I12718="","",IFERROR(VLOOKUP(DATOS!$I12718,CONFIG_ASIGNATURAS!$B$2:$J$91,9,FALSE()),""))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IF(DATOS!$A12719="",0,IF(CONFIG_METADATA!$B$4&lt;&gt;"OR+EX",--(DATOS!$G12719=CONFIG_METADATA!$B$4),IF(DATOS!$G12719="EX",1,IF(DATOS!$G12719="OR",--(COUNTIFS(nNIA,DATOS!$A12719,nCURSO,DATOS!$D12719,nESPEC,DATOS!$E12719,nASIG,DATOS!$I12719,nEVAL,"EX")=0),0))))</f>
      </c>
      <c r="H12719">
        <f>IF(DATOS!$G12719&lt;&gt;"EX",0,--(COUNTIFS(nNIA,DATOS!$A12719,nCURSO,DATOS!$D12719,nESPEC,DATOS!$E12719,nASIG,DATOS!$I12719,nEVAL,"OR")=0))</f>
      </c>
      <c r="I12719">
        <f>IF(DATOS!$I12719="","",IFERROR(VLOOKUP(DATOS!$I12719,CONFIG_ASIGNATURAS!$B$2:$J$91,9,FALSE()),""))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IF(DATOS!$A12720="",0,IF(CONFIG_METADATA!$B$4&lt;&gt;"OR+EX",--(DATOS!$G12720=CONFIG_METADATA!$B$4),IF(DATOS!$G12720="EX",1,IF(DATOS!$G12720="OR",--(COUNTIFS(nNIA,DATOS!$A12720,nCURSO,DATOS!$D12720,nESPEC,DATOS!$E12720,nASIG,DATOS!$I12720,nEVAL,"EX")=0),0))))</f>
      </c>
      <c r="H12720">
        <f>IF(DATOS!$G12720&lt;&gt;"EX",0,--(COUNTIFS(nNIA,DATOS!$A12720,nCURSO,DATOS!$D12720,nESPEC,DATOS!$E12720,nASIG,DATOS!$I12720,nEVAL,"OR")=0))</f>
      </c>
      <c r="I12720">
        <f>IF(DATOS!$I12720="","",IFERROR(VLOOKUP(DATOS!$I12720,CONFIG_ASIGNATURAS!$B$2:$J$91,9,FALSE()),""))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IF(DATOS!$A12721="",0,IF(CONFIG_METADATA!$B$4&lt;&gt;"OR+EX",--(DATOS!$G12721=CONFIG_METADATA!$B$4),IF(DATOS!$G12721="EX",1,IF(DATOS!$G12721="OR",--(COUNTIFS(nNIA,DATOS!$A12721,nCURSO,DATOS!$D12721,nESPEC,DATOS!$E12721,nASIG,DATOS!$I12721,nEVAL,"EX")=0),0))))</f>
      </c>
      <c r="H12721">
        <f>IF(DATOS!$G12721&lt;&gt;"EX",0,--(COUNTIFS(nNIA,DATOS!$A12721,nCURSO,DATOS!$D12721,nESPEC,DATOS!$E12721,nASIG,DATOS!$I12721,nEVAL,"OR")=0))</f>
      </c>
      <c r="I12721">
        <f>IF(DATOS!$I12721="","",IFERROR(VLOOKUP(DATOS!$I12721,CONFIG_ASIGNATURAS!$B$2:$J$91,9,FALSE()),""))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IF(DATOS!$A12722="",0,IF(CONFIG_METADATA!$B$4&lt;&gt;"OR+EX",--(DATOS!$G12722=CONFIG_METADATA!$B$4),IF(DATOS!$G12722="EX",1,IF(DATOS!$G12722="OR",--(COUNTIFS(nNIA,DATOS!$A12722,nCURSO,DATOS!$D12722,nESPEC,DATOS!$E12722,nASIG,DATOS!$I12722,nEVAL,"EX")=0),0))))</f>
      </c>
      <c r="H12722">
        <f>IF(DATOS!$G12722&lt;&gt;"EX",0,--(COUNTIFS(nNIA,DATOS!$A12722,nCURSO,DATOS!$D12722,nESPEC,DATOS!$E12722,nASIG,DATOS!$I12722,nEVAL,"OR")=0))</f>
      </c>
      <c r="I12722">
        <f>IF(DATOS!$I12722="","",IFERROR(VLOOKUP(DATOS!$I12722,CONFIG_ASIGNATURAS!$B$2:$J$91,9,FALSE()),""))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IF(DATOS!$A12723="",0,IF(CONFIG_METADATA!$B$4&lt;&gt;"OR+EX",--(DATOS!$G12723=CONFIG_METADATA!$B$4),IF(DATOS!$G12723="EX",1,IF(DATOS!$G12723="OR",--(COUNTIFS(nNIA,DATOS!$A12723,nCURSO,DATOS!$D12723,nESPEC,DATOS!$E12723,nASIG,DATOS!$I12723,nEVAL,"EX")=0),0))))</f>
      </c>
      <c r="H12723">
        <f>IF(DATOS!$G12723&lt;&gt;"EX",0,--(COUNTIFS(nNIA,DATOS!$A12723,nCURSO,DATOS!$D12723,nESPEC,DATOS!$E12723,nASIG,DATOS!$I12723,nEVAL,"OR")=0))</f>
      </c>
      <c r="I12723">
        <f>IF(DATOS!$I12723="","",IFERROR(VLOOKUP(DATOS!$I12723,CONFIG_ASIGNATURAS!$B$2:$J$91,9,FALSE()),""))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IF(DATOS!$A12724="",0,IF(CONFIG_METADATA!$B$4&lt;&gt;"OR+EX",--(DATOS!$G12724=CONFIG_METADATA!$B$4),IF(DATOS!$G12724="EX",1,IF(DATOS!$G12724="OR",--(COUNTIFS(nNIA,DATOS!$A12724,nCURSO,DATOS!$D12724,nESPEC,DATOS!$E12724,nASIG,DATOS!$I12724,nEVAL,"EX")=0),0))))</f>
      </c>
      <c r="H12724">
        <f>IF(DATOS!$G12724&lt;&gt;"EX",0,--(COUNTIFS(nNIA,DATOS!$A12724,nCURSO,DATOS!$D12724,nESPEC,DATOS!$E12724,nASIG,DATOS!$I12724,nEVAL,"OR")=0))</f>
      </c>
      <c r="I12724">
        <f>IF(DATOS!$I12724="","",IFERROR(VLOOKUP(DATOS!$I12724,CONFIG_ASIGNATURAS!$B$2:$J$91,9,FALSE()),""))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IF(DATOS!$A12725="",0,IF(CONFIG_METADATA!$B$4&lt;&gt;"OR+EX",--(DATOS!$G12725=CONFIG_METADATA!$B$4),IF(DATOS!$G12725="EX",1,IF(DATOS!$G12725="OR",--(COUNTIFS(nNIA,DATOS!$A12725,nCURSO,DATOS!$D12725,nESPEC,DATOS!$E12725,nASIG,DATOS!$I12725,nEVAL,"EX")=0),0))))</f>
      </c>
      <c r="H12725">
        <f>IF(DATOS!$G12725&lt;&gt;"EX",0,--(COUNTIFS(nNIA,DATOS!$A12725,nCURSO,DATOS!$D12725,nESPEC,DATOS!$E12725,nASIG,DATOS!$I12725,nEVAL,"OR")=0))</f>
      </c>
      <c r="I12725">
        <f>IF(DATOS!$I12725="","",IFERROR(VLOOKUP(DATOS!$I12725,CONFIG_ASIGNATURAS!$B$2:$J$91,9,FALSE()),""))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IF(DATOS!$A12726="",0,IF(CONFIG_METADATA!$B$4&lt;&gt;"OR+EX",--(DATOS!$G12726=CONFIG_METADATA!$B$4),IF(DATOS!$G12726="EX",1,IF(DATOS!$G12726="OR",--(COUNTIFS(nNIA,DATOS!$A12726,nCURSO,DATOS!$D12726,nESPEC,DATOS!$E12726,nASIG,DATOS!$I12726,nEVAL,"EX")=0),0))))</f>
      </c>
      <c r="H12726">
        <f>IF(DATOS!$G12726&lt;&gt;"EX",0,--(COUNTIFS(nNIA,DATOS!$A12726,nCURSO,DATOS!$D12726,nESPEC,DATOS!$E12726,nASIG,DATOS!$I12726,nEVAL,"OR")=0))</f>
      </c>
      <c r="I12726">
        <f>IF(DATOS!$I12726="","",IFERROR(VLOOKUP(DATOS!$I12726,CONFIG_ASIGNATURAS!$B$2:$J$91,9,FALSE()),""))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IF(DATOS!$A12727="",0,IF(CONFIG_METADATA!$B$4&lt;&gt;"OR+EX",--(DATOS!$G12727=CONFIG_METADATA!$B$4),IF(DATOS!$G12727="EX",1,IF(DATOS!$G12727="OR",--(COUNTIFS(nNIA,DATOS!$A12727,nCURSO,DATOS!$D12727,nESPEC,DATOS!$E12727,nASIG,DATOS!$I12727,nEVAL,"EX")=0),0))))</f>
      </c>
      <c r="H12727">
        <f>IF(DATOS!$G12727&lt;&gt;"EX",0,--(COUNTIFS(nNIA,DATOS!$A12727,nCURSO,DATOS!$D12727,nESPEC,DATOS!$E12727,nASIG,DATOS!$I12727,nEVAL,"OR")=0))</f>
      </c>
      <c r="I12727">
        <f>IF(DATOS!$I12727="","",IFERROR(VLOOKUP(DATOS!$I12727,CONFIG_ASIGNATURAS!$B$2:$J$91,9,FALSE()),""))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IF(DATOS!$A12728="",0,IF(CONFIG_METADATA!$B$4&lt;&gt;"OR+EX",--(DATOS!$G12728=CONFIG_METADATA!$B$4),IF(DATOS!$G12728="EX",1,IF(DATOS!$G12728="OR",--(COUNTIFS(nNIA,DATOS!$A12728,nCURSO,DATOS!$D12728,nESPEC,DATOS!$E12728,nASIG,DATOS!$I12728,nEVAL,"EX")=0),0))))</f>
      </c>
      <c r="H12728">
        <f>IF(DATOS!$G12728&lt;&gt;"EX",0,--(COUNTIFS(nNIA,DATOS!$A12728,nCURSO,DATOS!$D12728,nESPEC,DATOS!$E12728,nASIG,DATOS!$I12728,nEVAL,"OR")=0))</f>
      </c>
      <c r="I12728">
        <f>IF(DATOS!$I12728="","",IFERROR(VLOOKUP(DATOS!$I12728,CONFIG_ASIGNATURAS!$B$2:$J$91,9,FALSE()),""))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IF(DATOS!$A12729="",0,IF(CONFIG_METADATA!$B$4&lt;&gt;"OR+EX",--(DATOS!$G12729=CONFIG_METADATA!$B$4),IF(DATOS!$G12729="EX",1,IF(DATOS!$G12729="OR",--(COUNTIFS(nNIA,DATOS!$A12729,nCURSO,DATOS!$D12729,nESPEC,DATOS!$E12729,nASIG,DATOS!$I12729,nEVAL,"EX")=0),0))))</f>
      </c>
      <c r="H12729">
        <f>IF(DATOS!$G12729&lt;&gt;"EX",0,--(COUNTIFS(nNIA,DATOS!$A12729,nCURSO,DATOS!$D12729,nESPEC,DATOS!$E12729,nASIG,DATOS!$I12729,nEVAL,"OR")=0))</f>
      </c>
      <c r="I12729">
        <f>IF(DATOS!$I12729="","",IFERROR(VLOOKUP(DATOS!$I12729,CONFIG_ASIGNATURAS!$B$2:$J$91,9,FALSE()),""))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IF(DATOS!$A12730="",0,IF(CONFIG_METADATA!$B$4&lt;&gt;"OR+EX",--(DATOS!$G12730=CONFIG_METADATA!$B$4),IF(DATOS!$G12730="EX",1,IF(DATOS!$G12730="OR",--(COUNTIFS(nNIA,DATOS!$A12730,nCURSO,DATOS!$D12730,nESPEC,DATOS!$E12730,nASIG,DATOS!$I12730,nEVAL,"EX")=0),0))))</f>
      </c>
      <c r="H12730">
        <f>IF(DATOS!$G12730&lt;&gt;"EX",0,--(COUNTIFS(nNIA,DATOS!$A12730,nCURSO,DATOS!$D12730,nESPEC,DATOS!$E12730,nASIG,DATOS!$I12730,nEVAL,"OR")=0))</f>
      </c>
      <c r="I12730">
        <f>IF(DATOS!$I12730="","",IFERROR(VLOOKUP(DATOS!$I12730,CONFIG_ASIGNATURAS!$B$2:$J$91,9,FALSE()),""))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IF(DATOS!$A12731="",0,IF(CONFIG_METADATA!$B$4&lt;&gt;"OR+EX",--(DATOS!$G12731=CONFIG_METADATA!$B$4),IF(DATOS!$G12731="EX",1,IF(DATOS!$G12731="OR",--(COUNTIFS(nNIA,DATOS!$A12731,nCURSO,DATOS!$D12731,nESPEC,DATOS!$E12731,nASIG,DATOS!$I12731,nEVAL,"EX")=0),0))))</f>
      </c>
      <c r="H12731">
        <f>IF(DATOS!$G12731&lt;&gt;"EX",0,--(COUNTIFS(nNIA,DATOS!$A12731,nCURSO,DATOS!$D12731,nESPEC,DATOS!$E12731,nASIG,DATOS!$I12731,nEVAL,"OR")=0))</f>
      </c>
      <c r="I12731">
        <f>IF(DATOS!$I12731="","",IFERROR(VLOOKUP(DATOS!$I12731,CONFIG_ASIGNATURAS!$B$2:$J$91,9,FALSE()),""))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IF(DATOS!$A12732="",0,IF(CONFIG_METADATA!$B$4&lt;&gt;"OR+EX",--(DATOS!$G12732=CONFIG_METADATA!$B$4),IF(DATOS!$G12732="EX",1,IF(DATOS!$G12732="OR",--(COUNTIFS(nNIA,DATOS!$A12732,nCURSO,DATOS!$D12732,nESPEC,DATOS!$E12732,nASIG,DATOS!$I12732,nEVAL,"EX")=0),0))))</f>
      </c>
      <c r="H12732">
        <f>IF(DATOS!$G12732&lt;&gt;"EX",0,--(COUNTIFS(nNIA,DATOS!$A12732,nCURSO,DATOS!$D12732,nESPEC,DATOS!$E12732,nASIG,DATOS!$I12732,nEVAL,"OR")=0))</f>
      </c>
      <c r="I12732">
        <f>IF(DATOS!$I12732="","",IFERROR(VLOOKUP(DATOS!$I12732,CONFIG_ASIGNATURAS!$B$2:$J$91,9,FALSE()),""))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IF(DATOS!$A12733="",0,IF(CONFIG_METADATA!$B$4&lt;&gt;"OR+EX",--(DATOS!$G12733=CONFIG_METADATA!$B$4),IF(DATOS!$G12733="EX",1,IF(DATOS!$G12733="OR",--(COUNTIFS(nNIA,DATOS!$A12733,nCURSO,DATOS!$D12733,nESPEC,DATOS!$E12733,nASIG,DATOS!$I12733,nEVAL,"EX")=0),0))))</f>
      </c>
      <c r="H12733">
        <f>IF(DATOS!$G12733&lt;&gt;"EX",0,--(COUNTIFS(nNIA,DATOS!$A12733,nCURSO,DATOS!$D12733,nESPEC,DATOS!$E12733,nASIG,DATOS!$I12733,nEVAL,"OR")=0))</f>
      </c>
      <c r="I12733">
        <f>IF(DATOS!$I12733="","",IFERROR(VLOOKUP(DATOS!$I12733,CONFIG_ASIGNATURAS!$B$2:$J$91,9,FALSE()),""))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IF(DATOS!$A12734="",0,IF(CONFIG_METADATA!$B$4&lt;&gt;"OR+EX",--(DATOS!$G12734=CONFIG_METADATA!$B$4),IF(DATOS!$G12734="EX",1,IF(DATOS!$G12734="OR",--(COUNTIFS(nNIA,DATOS!$A12734,nCURSO,DATOS!$D12734,nESPEC,DATOS!$E12734,nASIG,DATOS!$I12734,nEVAL,"EX")=0),0))))</f>
      </c>
      <c r="H12734">
        <f>IF(DATOS!$G12734&lt;&gt;"EX",0,--(COUNTIFS(nNIA,DATOS!$A12734,nCURSO,DATOS!$D12734,nESPEC,DATOS!$E12734,nASIG,DATOS!$I12734,nEVAL,"OR")=0))</f>
      </c>
      <c r="I12734">
        <f>IF(DATOS!$I12734="","",IFERROR(VLOOKUP(DATOS!$I12734,CONFIG_ASIGNATURAS!$B$2:$J$91,9,FALSE()),""))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IF(DATOS!$A12735="",0,IF(CONFIG_METADATA!$B$4&lt;&gt;"OR+EX",--(DATOS!$G12735=CONFIG_METADATA!$B$4),IF(DATOS!$G12735="EX",1,IF(DATOS!$G12735="OR",--(COUNTIFS(nNIA,DATOS!$A12735,nCURSO,DATOS!$D12735,nESPEC,DATOS!$E12735,nASIG,DATOS!$I12735,nEVAL,"EX")=0),0))))</f>
      </c>
      <c r="H12735">
        <f>IF(DATOS!$G12735&lt;&gt;"EX",0,--(COUNTIFS(nNIA,DATOS!$A12735,nCURSO,DATOS!$D12735,nESPEC,DATOS!$E12735,nASIG,DATOS!$I12735,nEVAL,"OR")=0))</f>
      </c>
      <c r="I12735">
        <f>IF(DATOS!$I12735="","",IFERROR(VLOOKUP(DATOS!$I12735,CONFIG_ASIGNATURAS!$B$2:$J$91,9,FALSE()),""))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IF(DATOS!$A12736="",0,IF(CONFIG_METADATA!$B$4&lt;&gt;"OR+EX",--(DATOS!$G12736=CONFIG_METADATA!$B$4),IF(DATOS!$G12736="EX",1,IF(DATOS!$G12736="OR",--(COUNTIFS(nNIA,DATOS!$A12736,nCURSO,DATOS!$D12736,nESPEC,DATOS!$E12736,nASIG,DATOS!$I12736,nEVAL,"EX")=0),0))))</f>
      </c>
      <c r="H12736">
        <f>IF(DATOS!$G12736&lt;&gt;"EX",0,--(COUNTIFS(nNIA,DATOS!$A12736,nCURSO,DATOS!$D12736,nESPEC,DATOS!$E12736,nASIG,DATOS!$I12736,nEVAL,"OR")=0))</f>
      </c>
      <c r="I12736">
        <f>IF(DATOS!$I12736="","",IFERROR(VLOOKUP(DATOS!$I12736,CONFIG_ASIGNATURAS!$B$2:$J$91,9,FALSE()),""))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IF(DATOS!$A12737="",0,IF(CONFIG_METADATA!$B$4&lt;&gt;"OR+EX",--(DATOS!$G12737=CONFIG_METADATA!$B$4),IF(DATOS!$G12737="EX",1,IF(DATOS!$G12737="OR",--(COUNTIFS(nNIA,DATOS!$A12737,nCURSO,DATOS!$D12737,nESPEC,DATOS!$E12737,nASIG,DATOS!$I12737,nEVAL,"EX")=0),0))))</f>
      </c>
      <c r="H12737">
        <f>IF(DATOS!$G12737&lt;&gt;"EX",0,--(COUNTIFS(nNIA,DATOS!$A12737,nCURSO,DATOS!$D12737,nESPEC,DATOS!$E12737,nASIG,DATOS!$I12737,nEVAL,"OR")=0))</f>
      </c>
      <c r="I12737">
        <f>IF(DATOS!$I12737="","",IFERROR(VLOOKUP(DATOS!$I12737,CONFIG_ASIGNATURAS!$B$2:$J$91,9,FALSE()),""))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IF(DATOS!$A12738="",0,IF(CONFIG_METADATA!$B$4&lt;&gt;"OR+EX",--(DATOS!$G12738=CONFIG_METADATA!$B$4),IF(DATOS!$G12738="EX",1,IF(DATOS!$G12738="OR",--(COUNTIFS(nNIA,DATOS!$A12738,nCURSO,DATOS!$D12738,nESPEC,DATOS!$E12738,nASIG,DATOS!$I12738,nEVAL,"EX")=0),0))))</f>
      </c>
      <c r="H12738">
        <f>IF(DATOS!$G12738&lt;&gt;"EX",0,--(COUNTIFS(nNIA,DATOS!$A12738,nCURSO,DATOS!$D12738,nESPEC,DATOS!$E12738,nASIG,DATOS!$I12738,nEVAL,"OR")=0))</f>
      </c>
      <c r="I12738">
        <f>IF(DATOS!$I12738="","",IFERROR(VLOOKUP(DATOS!$I12738,CONFIG_ASIGNATURAS!$B$2:$J$91,9,FALSE()),""))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IF(DATOS!$A12739="",0,IF(CONFIG_METADATA!$B$4&lt;&gt;"OR+EX",--(DATOS!$G12739=CONFIG_METADATA!$B$4),IF(DATOS!$G12739="EX",1,IF(DATOS!$G12739="OR",--(COUNTIFS(nNIA,DATOS!$A12739,nCURSO,DATOS!$D12739,nESPEC,DATOS!$E12739,nASIG,DATOS!$I12739,nEVAL,"EX")=0),0))))</f>
      </c>
      <c r="H12739">
        <f>IF(DATOS!$G12739&lt;&gt;"EX",0,--(COUNTIFS(nNIA,DATOS!$A12739,nCURSO,DATOS!$D12739,nESPEC,DATOS!$E12739,nASIG,DATOS!$I12739,nEVAL,"OR")=0))</f>
      </c>
      <c r="I12739">
        <f>IF(DATOS!$I12739="","",IFERROR(VLOOKUP(DATOS!$I12739,CONFIG_ASIGNATURAS!$B$2:$J$91,9,FALSE()),""))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IF(DATOS!$A12740="",0,IF(CONFIG_METADATA!$B$4&lt;&gt;"OR+EX",--(DATOS!$G12740=CONFIG_METADATA!$B$4),IF(DATOS!$G12740="EX",1,IF(DATOS!$G12740="OR",--(COUNTIFS(nNIA,DATOS!$A12740,nCURSO,DATOS!$D12740,nESPEC,DATOS!$E12740,nASIG,DATOS!$I12740,nEVAL,"EX")=0),0))))</f>
      </c>
      <c r="H12740">
        <f>IF(DATOS!$G12740&lt;&gt;"EX",0,--(COUNTIFS(nNIA,DATOS!$A12740,nCURSO,DATOS!$D12740,nESPEC,DATOS!$E12740,nASIG,DATOS!$I12740,nEVAL,"OR")=0))</f>
      </c>
      <c r="I12740">
        <f>IF(DATOS!$I12740="","",IFERROR(VLOOKUP(DATOS!$I12740,CONFIG_ASIGNATURAS!$B$2:$J$91,9,FALSE()),""))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IF(DATOS!$A12741="",0,IF(CONFIG_METADATA!$B$4&lt;&gt;"OR+EX",--(DATOS!$G12741=CONFIG_METADATA!$B$4),IF(DATOS!$G12741="EX",1,IF(DATOS!$G12741="OR",--(COUNTIFS(nNIA,DATOS!$A12741,nCURSO,DATOS!$D12741,nESPEC,DATOS!$E12741,nASIG,DATOS!$I12741,nEVAL,"EX")=0),0))))</f>
      </c>
      <c r="H12741">
        <f>IF(DATOS!$G12741&lt;&gt;"EX",0,--(COUNTIFS(nNIA,DATOS!$A12741,nCURSO,DATOS!$D12741,nESPEC,DATOS!$E12741,nASIG,DATOS!$I12741,nEVAL,"OR")=0))</f>
      </c>
      <c r="I12741">
        <f>IF(DATOS!$I12741="","",IFERROR(VLOOKUP(DATOS!$I12741,CONFIG_ASIGNATURAS!$B$2:$J$91,9,FALSE()),""))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IF(DATOS!$A12742="",0,IF(CONFIG_METADATA!$B$4&lt;&gt;"OR+EX",--(DATOS!$G12742=CONFIG_METADATA!$B$4),IF(DATOS!$G12742="EX",1,IF(DATOS!$G12742="OR",--(COUNTIFS(nNIA,DATOS!$A12742,nCURSO,DATOS!$D12742,nESPEC,DATOS!$E12742,nASIG,DATOS!$I12742,nEVAL,"EX")=0),0))))</f>
      </c>
      <c r="H12742">
        <f>IF(DATOS!$G12742&lt;&gt;"EX",0,--(COUNTIFS(nNIA,DATOS!$A12742,nCURSO,DATOS!$D12742,nESPEC,DATOS!$E12742,nASIG,DATOS!$I12742,nEVAL,"OR")=0))</f>
      </c>
      <c r="I12742">
        <f>IF(DATOS!$I12742="","",IFERROR(VLOOKUP(DATOS!$I12742,CONFIG_ASIGNATURAS!$B$2:$J$91,9,FALSE()),""))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IF(DATOS!$A12743="",0,IF(CONFIG_METADATA!$B$4&lt;&gt;"OR+EX",--(DATOS!$G12743=CONFIG_METADATA!$B$4),IF(DATOS!$G12743="EX",1,IF(DATOS!$G12743="OR",--(COUNTIFS(nNIA,DATOS!$A12743,nCURSO,DATOS!$D12743,nESPEC,DATOS!$E12743,nASIG,DATOS!$I12743,nEVAL,"EX")=0),0))))</f>
      </c>
      <c r="H12743">
        <f>IF(DATOS!$G12743&lt;&gt;"EX",0,--(COUNTIFS(nNIA,DATOS!$A12743,nCURSO,DATOS!$D12743,nESPEC,DATOS!$E12743,nASIG,DATOS!$I12743,nEVAL,"OR")=0))</f>
      </c>
      <c r="I12743">
        <f>IF(DATOS!$I12743="","",IFERROR(VLOOKUP(DATOS!$I12743,CONFIG_ASIGNATURAS!$B$2:$J$91,9,FALSE()),""))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IF(DATOS!$A12744="",0,IF(CONFIG_METADATA!$B$4&lt;&gt;"OR+EX",--(DATOS!$G12744=CONFIG_METADATA!$B$4),IF(DATOS!$G12744="EX",1,IF(DATOS!$G12744="OR",--(COUNTIFS(nNIA,DATOS!$A12744,nCURSO,DATOS!$D12744,nESPEC,DATOS!$E12744,nASIG,DATOS!$I12744,nEVAL,"EX")=0),0))))</f>
      </c>
      <c r="H12744">
        <f>IF(DATOS!$G12744&lt;&gt;"EX",0,--(COUNTIFS(nNIA,DATOS!$A12744,nCURSO,DATOS!$D12744,nESPEC,DATOS!$E12744,nASIG,DATOS!$I12744,nEVAL,"OR")=0))</f>
      </c>
      <c r="I12744">
        <f>IF(DATOS!$I12744="","",IFERROR(VLOOKUP(DATOS!$I12744,CONFIG_ASIGNATURAS!$B$2:$J$91,9,FALSE()),""))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IF(DATOS!$A12745="",0,IF(CONFIG_METADATA!$B$4&lt;&gt;"OR+EX",--(DATOS!$G12745=CONFIG_METADATA!$B$4),IF(DATOS!$G12745="EX",1,IF(DATOS!$G12745="OR",--(COUNTIFS(nNIA,DATOS!$A12745,nCURSO,DATOS!$D12745,nESPEC,DATOS!$E12745,nASIG,DATOS!$I12745,nEVAL,"EX")=0),0))))</f>
      </c>
      <c r="H12745">
        <f>IF(DATOS!$G12745&lt;&gt;"EX",0,--(COUNTIFS(nNIA,DATOS!$A12745,nCURSO,DATOS!$D12745,nESPEC,DATOS!$E12745,nASIG,DATOS!$I12745,nEVAL,"OR")=0))</f>
      </c>
      <c r="I12745">
        <f>IF(DATOS!$I12745="","",IFERROR(VLOOKUP(DATOS!$I12745,CONFIG_ASIGNATURAS!$B$2:$J$91,9,FALSE()),""))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IF(DATOS!$A12746="",0,IF(CONFIG_METADATA!$B$4&lt;&gt;"OR+EX",--(DATOS!$G12746=CONFIG_METADATA!$B$4),IF(DATOS!$G12746="EX",1,IF(DATOS!$G12746="OR",--(COUNTIFS(nNIA,DATOS!$A12746,nCURSO,DATOS!$D12746,nESPEC,DATOS!$E12746,nASIG,DATOS!$I12746,nEVAL,"EX")=0),0))))</f>
      </c>
      <c r="H12746">
        <f>IF(DATOS!$G12746&lt;&gt;"EX",0,--(COUNTIFS(nNIA,DATOS!$A12746,nCURSO,DATOS!$D12746,nESPEC,DATOS!$E12746,nASIG,DATOS!$I12746,nEVAL,"OR")=0))</f>
      </c>
      <c r="I12746">
        <f>IF(DATOS!$I12746="","",IFERROR(VLOOKUP(DATOS!$I12746,CONFIG_ASIGNATURAS!$B$2:$J$91,9,FALSE()),""))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IF(DATOS!$A12747="",0,IF(CONFIG_METADATA!$B$4&lt;&gt;"OR+EX",--(DATOS!$G12747=CONFIG_METADATA!$B$4),IF(DATOS!$G12747="EX",1,IF(DATOS!$G12747="OR",--(COUNTIFS(nNIA,DATOS!$A12747,nCURSO,DATOS!$D12747,nESPEC,DATOS!$E12747,nASIG,DATOS!$I12747,nEVAL,"EX")=0),0))))</f>
      </c>
      <c r="H12747">
        <f>IF(DATOS!$G12747&lt;&gt;"EX",0,--(COUNTIFS(nNIA,DATOS!$A12747,nCURSO,DATOS!$D12747,nESPEC,DATOS!$E12747,nASIG,DATOS!$I12747,nEVAL,"OR")=0))</f>
      </c>
      <c r="I12747">
        <f>IF(DATOS!$I12747="","",IFERROR(VLOOKUP(DATOS!$I12747,CONFIG_ASIGNATURAS!$B$2:$J$91,9,FALSE()),""))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IF(DATOS!$A12748="",0,IF(CONFIG_METADATA!$B$4&lt;&gt;"OR+EX",--(DATOS!$G12748=CONFIG_METADATA!$B$4),IF(DATOS!$G12748="EX",1,IF(DATOS!$G12748="OR",--(COUNTIFS(nNIA,DATOS!$A12748,nCURSO,DATOS!$D12748,nESPEC,DATOS!$E12748,nASIG,DATOS!$I12748,nEVAL,"EX")=0),0))))</f>
      </c>
      <c r="H12748">
        <f>IF(DATOS!$G12748&lt;&gt;"EX",0,--(COUNTIFS(nNIA,DATOS!$A12748,nCURSO,DATOS!$D12748,nESPEC,DATOS!$E12748,nASIG,DATOS!$I12748,nEVAL,"OR")=0))</f>
      </c>
      <c r="I12748">
        <f>IF(DATOS!$I12748="","",IFERROR(VLOOKUP(DATOS!$I12748,CONFIG_ASIGNATURAS!$B$2:$J$91,9,FALSE()),""))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IF(DATOS!$A12749="",0,IF(CONFIG_METADATA!$B$4&lt;&gt;"OR+EX",--(DATOS!$G12749=CONFIG_METADATA!$B$4),IF(DATOS!$G12749="EX",1,IF(DATOS!$G12749="OR",--(COUNTIFS(nNIA,DATOS!$A12749,nCURSO,DATOS!$D12749,nESPEC,DATOS!$E12749,nASIG,DATOS!$I12749,nEVAL,"EX")=0),0))))</f>
      </c>
      <c r="H12749">
        <f>IF(DATOS!$G12749&lt;&gt;"EX",0,--(COUNTIFS(nNIA,DATOS!$A12749,nCURSO,DATOS!$D12749,nESPEC,DATOS!$E12749,nASIG,DATOS!$I12749,nEVAL,"OR")=0))</f>
      </c>
      <c r="I12749">
        <f>IF(DATOS!$I12749="","",IFERROR(VLOOKUP(DATOS!$I12749,CONFIG_ASIGNATURAS!$B$2:$J$91,9,FALSE()),""))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IF(DATOS!$A12750="",0,IF(CONFIG_METADATA!$B$4&lt;&gt;"OR+EX",--(DATOS!$G12750=CONFIG_METADATA!$B$4),IF(DATOS!$G12750="EX",1,IF(DATOS!$G12750="OR",--(COUNTIFS(nNIA,DATOS!$A12750,nCURSO,DATOS!$D12750,nESPEC,DATOS!$E12750,nASIG,DATOS!$I12750,nEVAL,"EX")=0),0))))</f>
      </c>
      <c r="H12750">
        <f>IF(DATOS!$G12750&lt;&gt;"EX",0,--(COUNTIFS(nNIA,DATOS!$A12750,nCURSO,DATOS!$D12750,nESPEC,DATOS!$E12750,nASIG,DATOS!$I12750,nEVAL,"OR")=0))</f>
      </c>
      <c r="I12750">
        <f>IF(DATOS!$I12750="","",IFERROR(VLOOKUP(DATOS!$I12750,CONFIG_ASIGNATURAS!$B$2:$J$91,9,FALSE()),""))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IF(DATOS!$A12751="",0,IF(CONFIG_METADATA!$B$4&lt;&gt;"OR+EX",--(DATOS!$G12751=CONFIG_METADATA!$B$4),IF(DATOS!$G12751="EX",1,IF(DATOS!$G12751="OR",--(COUNTIFS(nNIA,DATOS!$A12751,nCURSO,DATOS!$D12751,nESPEC,DATOS!$E12751,nASIG,DATOS!$I12751,nEVAL,"EX")=0),0))))</f>
      </c>
      <c r="H12751">
        <f>IF(DATOS!$G12751&lt;&gt;"EX",0,--(COUNTIFS(nNIA,DATOS!$A12751,nCURSO,DATOS!$D12751,nESPEC,DATOS!$E12751,nASIG,DATOS!$I12751,nEVAL,"OR")=0))</f>
      </c>
      <c r="I12751">
        <f>IF(DATOS!$I12751="","",IFERROR(VLOOKUP(DATOS!$I12751,CONFIG_ASIGNATURAS!$B$2:$J$91,9,FALSE()),""))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IF(DATOS!$A12752="",0,IF(CONFIG_METADATA!$B$4&lt;&gt;"OR+EX",--(DATOS!$G12752=CONFIG_METADATA!$B$4),IF(DATOS!$G12752="EX",1,IF(DATOS!$G12752="OR",--(COUNTIFS(nNIA,DATOS!$A12752,nCURSO,DATOS!$D12752,nESPEC,DATOS!$E12752,nASIG,DATOS!$I12752,nEVAL,"EX")=0),0))))</f>
      </c>
      <c r="H12752">
        <f>IF(DATOS!$G12752&lt;&gt;"EX",0,--(COUNTIFS(nNIA,DATOS!$A12752,nCURSO,DATOS!$D12752,nESPEC,DATOS!$E12752,nASIG,DATOS!$I12752,nEVAL,"OR")=0))</f>
      </c>
      <c r="I12752">
        <f>IF(DATOS!$I12752="","",IFERROR(VLOOKUP(DATOS!$I12752,CONFIG_ASIGNATURAS!$B$2:$J$91,9,FALSE()),""))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IF(DATOS!$A12753="",0,IF(CONFIG_METADATA!$B$4&lt;&gt;"OR+EX",--(DATOS!$G12753=CONFIG_METADATA!$B$4),IF(DATOS!$G12753="EX",1,IF(DATOS!$G12753="OR",--(COUNTIFS(nNIA,DATOS!$A12753,nCURSO,DATOS!$D12753,nESPEC,DATOS!$E12753,nASIG,DATOS!$I12753,nEVAL,"EX")=0),0))))</f>
      </c>
      <c r="H12753">
        <f>IF(DATOS!$G12753&lt;&gt;"EX",0,--(COUNTIFS(nNIA,DATOS!$A12753,nCURSO,DATOS!$D12753,nESPEC,DATOS!$E12753,nASIG,DATOS!$I12753,nEVAL,"OR")=0))</f>
      </c>
      <c r="I12753">
        <f>IF(DATOS!$I12753="","",IFERROR(VLOOKUP(DATOS!$I12753,CONFIG_ASIGNATURAS!$B$2:$J$91,9,FALSE()),""))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IF(DATOS!$A12754="",0,IF(CONFIG_METADATA!$B$4&lt;&gt;"OR+EX",--(DATOS!$G12754=CONFIG_METADATA!$B$4),IF(DATOS!$G12754="EX",1,IF(DATOS!$G12754="OR",--(COUNTIFS(nNIA,DATOS!$A12754,nCURSO,DATOS!$D12754,nESPEC,DATOS!$E12754,nASIG,DATOS!$I12754,nEVAL,"EX")=0),0))))</f>
      </c>
      <c r="H12754">
        <f>IF(DATOS!$G12754&lt;&gt;"EX",0,--(COUNTIFS(nNIA,DATOS!$A12754,nCURSO,DATOS!$D12754,nESPEC,DATOS!$E12754,nASIG,DATOS!$I12754,nEVAL,"OR")=0))</f>
      </c>
      <c r="I12754">
        <f>IF(DATOS!$I12754="","",IFERROR(VLOOKUP(DATOS!$I12754,CONFIG_ASIGNATURAS!$B$2:$J$91,9,FALSE()),""))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IF(DATOS!$A12755="",0,IF(CONFIG_METADATA!$B$4&lt;&gt;"OR+EX",--(DATOS!$G12755=CONFIG_METADATA!$B$4),IF(DATOS!$G12755="EX",1,IF(DATOS!$G12755="OR",--(COUNTIFS(nNIA,DATOS!$A12755,nCURSO,DATOS!$D12755,nESPEC,DATOS!$E12755,nASIG,DATOS!$I12755,nEVAL,"EX")=0),0))))</f>
      </c>
      <c r="H12755">
        <f>IF(DATOS!$G12755&lt;&gt;"EX",0,--(COUNTIFS(nNIA,DATOS!$A12755,nCURSO,DATOS!$D12755,nESPEC,DATOS!$E12755,nASIG,DATOS!$I12755,nEVAL,"OR")=0))</f>
      </c>
      <c r="I12755">
        <f>IF(DATOS!$I12755="","",IFERROR(VLOOKUP(DATOS!$I12755,CONFIG_ASIGNATURAS!$B$2:$J$91,9,FALSE()),""))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IF(DATOS!$A12756="",0,IF(CONFIG_METADATA!$B$4&lt;&gt;"OR+EX",--(DATOS!$G12756=CONFIG_METADATA!$B$4),IF(DATOS!$G12756="EX",1,IF(DATOS!$G12756="OR",--(COUNTIFS(nNIA,DATOS!$A12756,nCURSO,DATOS!$D12756,nESPEC,DATOS!$E12756,nASIG,DATOS!$I12756,nEVAL,"EX")=0),0))))</f>
      </c>
      <c r="H12756">
        <f>IF(DATOS!$G12756&lt;&gt;"EX",0,--(COUNTIFS(nNIA,DATOS!$A12756,nCURSO,DATOS!$D12756,nESPEC,DATOS!$E12756,nASIG,DATOS!$I12756,nEVAL,"OR")=0))</f>
      </c>
      <c r="I12756">
        <f>IF(DATOS!$I12756="","",IFERROR(VLOOKUP(DATOS!$I12756,CONFIG_ASIGNATURAS!$B$2:$J$91,9,FALSE()),""))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IF(DATOS!$A12757="",0,IF(CONFIG_METADATA!$B$4&lt;&gt;"OR+EX",--(DATOS!$G12757=CONFIG_METADATA!$B$4),IF(DATOS!$G12757="EX",1,IF(DATOS!$G12757="OR",--(COUNTIFS(nNIA,DATOS!$A12757,nCURSO,DATOS!$D12757,nESPEC,DATOS!$E12757,nASIG,DATOS!$I12757,nEVAL,"EX")=0),0))))</f>
      </c>
      <c r="H12757">
        <f>IF(DATOS!$G12757&lt;&gt;"EX",0,--(COUNTIFS(nNIA,DATOS!$A12757,nCURSO,DATOS!$D12757,nESPEC,DATOS!$E12757,nASIG,DATOS!$I12757,nEVAL,"OR")=0))</f>
      </c>
      <c r="I12757">
        <f>IF(DATOS!$I12757="","",IFERROR(VLOOKUP(DATOS!$I12757,CONFIG_ASIGNATURAS!$B$2:$J$91,9,FALSE()),""))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IF(DATOS!$A12758="",0,IF(CONFIG_METADATA!$B$4&lt;&gt;"OR+EX",--(DATOS!$G12758=CONFIG_METADATA!$B$4),IF(DATOS!$G12758="EX",1,IF(DATOS!$G12758="OR",--(COUNTIFS(nNIA,DATOS!$A12758,nCURSO,DATOS!$D12758,nESPEC,DATOS!$E12758,nASIG,DATOS!$I12758,nEVAL,"EX")=0),0))))</f>
      </c>
      <c r="H12758">
        <f>IF(DATOS!$G12758&lt;&gt;"EX",0,--(COUNTIFS(nNIA,DATOS!$A12758,nCURSO,DATOS!$D12758,nESPEC,DATOS!$E12758,nASIG,DATOS!$I12758,nEVAL,"OR")=0))</f>
      </c>
      <c r="I12758">
        <f>IF(DATOS!$I12758="","",IFERROR(VLOOKUP(DATOS!$I12758,CONFIG_ASIGNATURAS!$B$2:$J$91,9,FALSE()),""))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IF(DATOS!$A12759="",0,IF(CONFIG_METADATA!$B$4&lt;&gt;"OR+EX",--(DATOS!$G12759=CONFIG_METADATA!$B$4),IF(DATOS!$G12759="EX",1,IF(DATOS!$G12759="OR",--(COUNTIFS(nNIA,DATOS!$A12759,nCURSO,DATOS!$D12759,nESPEC,DATOS!$E12759,nASIG,DATOS!$I12759,nEVAL,"EX")=0),0))))</f>
      </c>
      <c r="H12759">
        <f>IF(DATOS!$G12759&lt;&gt;"EX",0,--(COUNTIFS(nNIA,DATOS!$A12759,nCURSO,DATOS!$D12759,nESPEC,DATOS!$E12759,nASIG,DATOS!$I12759,nEVAL,"OR")=0))</f>
      </c>
      <c r="I12759">
        <f>IF(DATOS!$I12759="","",IFERROR(VLOOKUP(DATOS!$I12759,CONFIG_ASIGNATURAS!$B$2:$J$91,9,FALSE()),""))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IF(DATOS!$A12760="",0,IF(CONFIG_METADATA!$B$4&lt;&gt;"OR+EX",--(DATOS!$G12760=CONFIG_METADATA!$B$4),IF(DATOS!$G12760="EX",1,IF(DATOS!$G12760="OR",--(COUNTIFS(nNIA,DATOS!$A12760,nCURSO,DATOS!$D12760,nESPEC,DATOS!$E12760,nASIG,DATOS!$I12760,nEVAL,"EX")=0),0))))</f>
      </c>
      <c r="H12760">
        <f>IF(DATOS!$G12760&lt;&gt;"EX",0,--(COUNTIFS(nNIA,DATOS!$A12760,nCURSO,DATOS!$D12760,nESPEC,DATOS!$E12760,nASIG,DATOS!$I12760,nEVAL,"OR")=0))</f>
      </c>
      <c r="I12760">
        <f>IF(DATOS!$I12760="","",IFERROR(VLOOKUP(DATOS!$I12760,CONFIG_ASIGNATURAS!$B$2:$J$91,9,FALSE()),""))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IF(DATOS!$A12761="",0,IF(CONFIG_METADATA!$B$4&lt;&gt;"OR+EX",--(DATOS!$G12761=CONFIG_METADATA!$B$4),IF(DATOS!$G12761="EX",1,IF(DATOS!$G12761="OR",--(COUNTIFS(nNIA,DATOS!$A12761,nCURSO,DATOS!$D12761,nESPEC,DATOS!$E12761,nASIG,DATOS!$I12761,nEVAL,"EX")=0),0))))</f>
      </c>
      <c r="H12761">
        <f>IF(DATOS!$G12761&lt;&gt;"EX",0,--(COUNTIFS(nNIA,DATOS!$A12761,nCURSO,DATOS!$D12761,nESPEC,DATOS!$E12761,nASIG,DATOS!$I12761,nEVAL,"OR")=0))</f>
      </c>
      <c r="I12761">
        <f>IF(DATOS!$I12761="","",IFERROR(VLOOKUP(DATOS!$I12761,CONFIG_ASIGNATURAS!$B$2:$J$91,9,FALSE()),""))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IF(DATOS!$A12762="",0,IF(CONFIG_METADATA!$B$4&lt;&gt;"OR+EX",--(DATOS!$G12762=CONFIG_METADATA!$B$4),IF(DATOS!$G12762="EX",1,IF(DATOS!$G12762="OR",--(COUNTIFS(nNIA,DATOS!$A12762,nCURSO,DATOS!$D12762,nESPEC,DATOS!$E12762,nASIG,DATOS!$I12762,nEVAL,"EX")=0),0))))</f>
      </c>
      <c r="H12762">
        <f>IF(DATOS!$G12762&lt;&gt;"EX",0,--(COUNTIFS(nNIA,DATOS!$A12762,nCURSO,DATOS!$D12762,nESPEC,DATOS!$E12762,nASIG,DATOS!$I12762,nEVAL,"OR")=0))</f>
      </c>
      <c r="I12762">
        <f>IF(DATOS!$I12762="","",IFERROR(VLOOKUP(DATOS!$I12762,CONFIG_ASIGNATURAS!$B$2:$J$91,9,FALSE()),""))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IF(DATOS!$A12763="",0,IF(CONFIG_METADATA!$B$4&lt;&gt;"OR+EX",--(DATOS!$G12763=CONFIG_METADATA!$B$4),IF(DATOS!$G12763="EX",1,IF(DATOS!$G12763="OR",--(COUNTIFS(nNIA,DATOS!$A12763,nCURSO,DATOS!$D12763,nESPEC,DATOS!$E12763,nASIG,DATOS!$I12763,nEVAL,"EX")=0),0))))</f>
      </c>
      <c r="H12763">
        <f>IF(DATOS!$G12763&lt;&gt;"EX",0,--(COUNTIFS(nNIA,DATOS!$A12763,nCURSO,DATOS!$D12763,nESPEC,DATOS!$E12763,nASIG,DATOS!$I12763,nEVAL,"OR")=0))</f>
      </c>
      <c r="I12763">
        <f>IF(DATOS!$I12763="","",IFERROR(VLOOKUP(DATOS!$I12763,CONFIG_ASIGNATURAS!$B$2:$J$91,9,FALSE()),""))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IF(DATOS!$A12764="",0,IF(CONFIG_METADATA!$B$4&lt;&gt;"OR+EX",--(DATOS!$G12764=CONFIG_METADATA!$B$4),IF(DATOS!$G12764="EX",1,IF(DATOS!$G12764="OR",--(COUNTIFS(nNIA,DATOS!$A12764,nCURSO,DATOS!$D12764,nESPEC,DATOS!$E12764,nASIG,DATOS!$I12764,nEVAL,"EX")=0),0))))</f>
      </c>
      <c r="H12764">
        <f>IF(DATOS!$G12764&lt;&gt;"EX",0,--(COUNTIFS(nNIA,DATOS!$A12764,nCURSO,DATOS!$D12764,nESPEC,DATOS!$E12764,nASIG,DATOS!$I12764,nEVAL,"OR")=0))</f>
      </c>
      <c r="I12764">
        <f>IF(DATOS!$I12764="","",IFERROR(VLOOKUP(DATOS!$I12764,CONFIG_ASIGNATURAS!$B$2:$J$91,9,FALSE()),""))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IF(DATOS!$A12765="",0,IF(CONFIG_METADATA!$B$4&lt;&gt;"OR+EX",--(DATOS!$G12765=CONFIG_METADATA!$B$4),IF(DATOS!$G12765="EX",1,IF(DATOS!$G12765="OR",--(COUNTIFS(nNIA,DATOS!$A12765,nCURSO,DATOS!$D12765,nESPEC,DATOS!$E12765,nASIG,DATOS!$I12765,nEVAL,"EX")=0),0))))</f>
      </c>
      <c r="H12765">
        <f>IF(DATOS!$G12765&lt;&gt;"EX",0,--(COUNTIFS(nNIA,DATOS!$A12765,nCURSO,DATOS!$D12765,nESPEC,DATOS!$E12765,nASIG,DATOS!$I12765,nEVAL,"OR")=0))</f>
      </c>
      <c r="I12765">
        <f>IF(DATOS!$I12765="","",IFERROR(VLOOKUP(DATOS!$I12765,CONFIG_ASIGNATURAS!$B$2:$J$91,9,FALSE()),""))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IF(DATOS!$A12766="",0,IF(CONFIG_METADATA!$B$4&lt;&gt;"OR+EX",--(DATOS!$G12766=CONFIG_METADATA!$B$4),IF(DATOS!$G12766="EX",1,IF(DATOS!$G12766="OR",--(COUNTIFS(nNIA,DATOS!$A12766,nCURSO,DATOS!$D12766,nESPEC,DATOS!$E12766,nASIG,DATOS!$I12766,nEVAL,"EX")=0),0))))</f>
      </c>
      <c r="H12766">
        <f>IF(DATOS!$G12766&lt;&gt;"EX",0,--(COUNTIFS(nNIA,DATOS!$A12766,nCURSO,DATOS!$D12766,nESPEC,DATOS!$E12766,nASIG,DATOS!$I12766,nEVAL,"OR")=0))</f>
      </c>
      <c r="I12766">
        <f>IF(DATOS!$I12766="","",IFERROR(VLOOKUP(DATOS!$I12766,CONFIG_ASIGNATURAS!$B$2:$J$91,9,FALSE()),""))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IF(DATOS!$A12767="",0,IF(CONFIG_METADATA!$B$4&lt;&gt;"OR+EX",--(DATOS!$G12767=CONFIG_METADATA!$B$4),IF(DATOS!$G12767="EX",1,IF(DATOS!$G12767="OR",--(COUNTIFS(nNIA,DATOS!$A12767,nCURSO,DATOS!$D12767,nESPEC,DATOS!$E12767,nASIG,DATOS!$I12767,nEVAL,"EX")=0),0))))</f>
      </c>
      <c r="H12767">
        <f>IF(DATOS!$G12767&lt;&gt;"EX",0,--(COUNTIFS(nNIA,DATOS!$A12767,nCURSO,DATOS!$D12767,nESPEC,DATOS!$E12767,nASIG,DATOS!$I12767,nEVAL,"OR")=0))</f>
      </c>
      <c r="I12767">
        <f>IF(DATOS!$I12767="","",IFERROR(VLOOKUP(DATOS!$I12767,CONFIG_ASIGNATURAS!$B$2:$J$91,9,FALSE()),""))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IF(DATOS!$A12768="",0,IF(CONFIG_METADATA!$B$4&lt;&gt;"OR+EX",--(DATOS!$G12768=CONFIG_METADATA!$B$4),IF(DATOS!$G12768="EX",1,IF(DATOS!$G12768="OR",--(COUNTIFS(nNIA,DATOS!$A12768,nCURSO,DATOS!$D12768,nESPEC,DATOS!$E12768,nASIG,DATOS!$I12768,nEVAL,"EX")=0),0))))</f>
      </c>
      <c r="H12768">
        <f>IF(DATOS!$G12768&lt;&gt;"EX",0,--(COUNTIFS(nNIA,DATOS!$A12768,nCURSO,DATOS!$D12768,nESPEC,DATOS!$E12768,nASIG,DATOS!$I12768,nEVAL,"OR")=0))</f>
      </c>
      <c r="I12768">
        <f>IF(DATOS!$I12768="","",IFERROR(VLOOKUP(DATOS!$I12768,CONFIG_ASIGNATURAS!$B$2:$J$91,9,FALSE()),""))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IF(DATOS!$A12769="",0,IF(CONFIG_METADATA!$B$4&lt;&gt;"OR+EX",--(DATOS!$G12769=CONFIG_METADATA!$B$4),IF(DATOS!$G12769="EX",1,IF(DATOS!$G12769="OR",--(COUNTIFS(nNIA,DATOS!$A12769,nCURSO,DATOS!$D12769,nESPEC,DATOS!$E12769,nASIG,DATOS!$I12769,nEVAL,"EX")=0),0))))</f>
      </c>
      <c r="H12769">
        <f>IF(DATOS!$G12769&lt;&gt;"EX",0,--(COUNTIFS(nNIA,DATOS!$A12769,nCURSO,DATOS!$D12769,nESPEC,DATOS!$E12769,nASIG,DATOS!$I12769,nEVAL,"OR")=0))</f>
      </c>
      <c r="I12769">
        <f>IF(DATOS!$I12769="","",IFERROR(VLOOKUP(DATOS!$I12769,CONFIG_ASIGNATURAS!$B$2:$J$91,9,FALSE()),""))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IF(DATOS!$A12770="",0,IF(CONFIG_METADATA!$B$4&lt;&gt;"OR+EX",--(DATOS!$G12770=CONFIG_METADATA!$B$4),IF(DATOS!$G12770="EX",1,IF(DATOS!$G12770="OR",--(COUNTIFS(nNIA,DATOS!$A12770,nCURSO,DATOS!$D12770,nESPEC,DATOS!$E12770,nASIG,DATOS!$I12770,nEVAL,"EX")=0),0))))</f>
      </c>
      <c r="H12770">
        <f>IF(DATOS!$G12770&lt;&gt;"EX",0,--(COUNTIFS(nNIA,DATOS!$A12770,nCURSO,DATOS!$D12770,nESPEC,DATOS!$E12770,nASIG,DATOS!$I12770,nEVAL,"OR")=0))</f>
      </c>
      <c r="I12770">
        <f>IF(DATOS!$I12770="","",IFERROR(VLOOKUP(DATOS!$I12770,CONFIG_ASIGNATURAS!$B$2:$J$91,9,FALSE()),""))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IF(DATOS!$A12771="",0,IF(CONFIG_METADATA!$B$4&lt;&gt;"OR+EX",--(DATOS!$G12771=CONFIG_METADATA!$B$4),IF(DATOS!$G12771="EX",1,IF(DATOS!$G12771="OR",--(COUNTIFS(nNIA,DATOS!$A12771,nCURSO,DATOS!$D12771,nESPEC,DATOS!$E12771,nASIG,DATOS!$I12771,nEVAL,"EX")=0),0))))</f>
      </c>
      <c r="H12771">
        <f>IF(DATOS!$G12771&lt;&gt;"EX",0,--(COUNTIFS(nNIA,DATOS!$A12771,nCURSO,DATOS!$D12771,nESPEC,DATOS!$E12771,nASIG,DATOS!$I12771,nEVAL,"OR")=0))</f>
      </c>
      <c r="I12771">
        <f>IF(DATOS!$I12771="","",IFERROR(VLOOKUP(DATOS!$I12771,CONFIG_ASIGNATURAS!$B$2:$J$91,9,FALSE()),""))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IF(DATOS!$A12772="",0,IF(CONFIG_METADATA!$B$4&lt;&gt;"OR+EX",--(DATOS!$G12772=CONFIG_METADATA!$B$4),IF(DATOS!$G12772="EX",1,IF(DATOS!$G12772="OR",--(COUNTIFS(nNIA,DATOS!$A12772,nCURSO,DATOS!$D12772,nESPEC,DATOS!$E12772,nASIG,DATOS!$I12772,nEVAL,"EX")=0),0))))</f>
      </c>
      <c r="H12772">
        <f>IF(DATOS!$G12772&lt;&gt;"EX",0,--(COUNTIFS(nNIA,DATOS!$A12772,nCURSO,DATOS!$D12772,nESPEC,DATOS!$E12772,nASIG,DATOS!$I12772,nEVAL,"OR")=0))</f>
      </c>
      <c r="I12772">
        <f>IF(DATOS!$I12772="","",IFERROR(VLOOKUP(DATOS!$I12772,CONFIG_ASIGNATURAS!$B$2:$J$91,9,FALSE()),""))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IF(DATOS!$A12773="",0,IF(CONFIG_METADATA!$B$4&lt;&gt;"OR+EX",--(DATOS!$G12773=CONFIG_METADATA!$B$4),IF(DATOS!$G12773="EX",1,IF(DATOS!$G12773="OR",--(COUNTIFS(nNIA,DATOS!$A12773,nCURSO,DATOS!$D12773,nESPEC,DATOS!$E12773,nASIG,DATOS!$I12773,nEVAL,"EX")=0),0))))</f>
      </c>
      <c r="H12773">
        <f>IF(DATOS!$G12773&lt;&gt;"EX",0,--(COUNTIFS(nNIA,DATOS!$A12773,nCURSO,DATOS!$D12773,nESPEC,DATOS!$E12773,nASIG,DATOS!$I12773,nEVAL,"OR")=0))</f>
      </c>
      <c r="I12773">
        <f>IF(DATOS!$I12773="","",IFERROR(VLOOKUP(DATOS!$I12773,CONFIG_ASIGNATURAS!$B$2:$J$91,9,FALSE()),""))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IF(DATOS!$A12774="",0,IF(CONFIG_METADATA!$B$4&lt;&gt;"OR+EX",--(DATOS!$G12774=CONFIG_METADATA!$B$4),IF(DATOS!$G12774="EX",1,IF(DATOS!$G12774="OR",--(COUNTIFS(nNIA,DATOS!$A12774,nCURSO,DATOS!$D12774,nESPEC,DATOS!$E12774,nASIG,DATOS!$I12774,nEVAL,"EX")=0),0))))</f>
      </c>
      <c r="H12774">
        <f>IF(DATOS!$G12774&lt;&gt;"EX",0,--(COUNTIFS(nNIA,DATOS!$A12774,nCURSO,DATOS!$D12774,nESPEC,DATOS!$E12774,nASIG,DATOS!$I12774,nEVAL,"OR")=0))</f>
      </c>
      <c r="I12774">
        <f>IF(DATOS!$I12774="","",IFERROR(VLOOKUP(DATOS!$I12774,CONFIG_ASIGNATURAS!$B$2:$J$91,9,FALSE()),""))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IF(DATOS!$A12775="",0,IF(CONFIG_METADATA!$B$4&lt;&gt;"OR+EX",--(DATOS!$G12775=CONFIG_METADATA!$B$4),IF(DATOS!$G12775="EX",1,IF(DATOS!$G12775="OR",--(COUNTIFS(nNIA,DATOS!$A12775,nCURSO,DATOS!$D12775,nESPEC,DATOS!$E12775,nASIG,DATOS!$I12775,nEVAL,"EX")=0),0))))</f>
      </c>
      <c r="H12775">
        <f>IF(DATOS!$G12775&lt;&gt;"EX",0,--(COUNTIFS(nNIA,DATOS!$A12775,nCURSO,DATOS!$D12775,nESPEC,DATOS!$E12775,nASIG,DATOS!$I12775,nEVAL,"OR")=0))</f>
      </c>
      <c r="I12775">
        <f>IF(DATOS!$I12775="","",IFERROR(VLOOKUP(DATOS!$I12775,CONFIG_ASIGNATURAS!$B$2:$J$91,9,FALSE()),""))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IF(DATOS!$A12776="",0,IF(CONFIG_METADATA!$B$4&lt;&gt;"OR+EX",--(DATOS!$G12776=CONFIG_METADATA!$B$4),IF(DATOS!$G12776="EX",1,IF(DATOS!$G12776="OR",--(COUNTIFS(nNIA,DATOS!$A12776,nCURSO,DATOS!$D12776,nESPEC,DATOS!$E12776,nASIG,DATOS!$I12776,nEVAL,"EX")=0),0))))</f>
      </c>
      <c r="H12776">
        <f>IF(DATOS!$G12776&lt;&gt;"EX",0,--(COUNTIFS(nNIA,DATOS!$A12776,nCURSO,DATOS!$D12776,nESPEC,DATOS!$E12776,nASIG,DATOS!$I12776,nEVAL,"OR")=0))</f>
      </c>
      <c r="I12776">
        <f>IF(DATOS!$I12776="","",IFERROR(VLOOKUP(DATOS!$I12776,CONFIG_ASIGNATURAS!$B$2:$J$91,9,FALSE()),""))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IF(DATOS!$A12777="",0,IF(CONFIG_METADATA!$B$4&lt;&gt;"OR+EX",--(DATOS!$G12777=CONFIG_METADATA!$B$4),IF(DATOS!$G12777="EX",1,IF(DATOS!$G12777="OR",--(COUNTIFS(nNIA,DATOS!$A12777,nCURSO,DATOS!$D12777,nESPEC,DATOS!$E12777,nASIG,DATOS!$I12777,nEVAL,"EX")=0),0))))</f>
      </c>
      <c r="H12777">
        <f>IF(DATOS!$G12777&lt;&gt;"EX",0,--(COUNTIFS(nNIA,DATOS!$A12777,nCURSO,DATOS!$D12777,nESPEC,DATOS!$E12777,nASIG,DATOS!$I12777,nEVAL,"OR")=0))</f>
      </c>
      <c r="I12777">
        <f>IF(DATOS!$I12777="","",IFERROR(VLOOKUP(DATOS!$I12777,CONFIG_ASIGNATURAS!$B$2:$J$91,9,FALSE()),""))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IF(DATOS!$A12778="",0,IF(CONFIG_METADATA!$B$4&lt;&gt;"OR+EX",--(DATOS!$G12778=CONFIG_METADATA!$B$4),IF(DATOS!$G12778="EX",1,IF(DATOS!$G12778="OR",--(COUNTIFS(nNIA,DATOS!$A12778,nCURSO,DATOS!$D12778,nESPEC,DATOS!$E12778,nASIG,DATOS!$I12778,nEVAL,"EX")=0),0))))</f>
      </c>
      <c r="H12778">
        <f>IF(DATOS!$G12778&lt;&gt;"EX",0,--(COUNTIFS(nNIA,DATOS!$A12778,nCURSO,DATOS!$D12778,nESPEC,DATOS!$E12778,nASIG,DATOS!$I12778,nEVAL,"OR")=0))</f>
      </c>
      <c r="I12778">
        <f>IF(DATOS!$I12778="","",IFERROR(VLOOKUP(DATOS!$I12778,CONFIG_ASIGNATURAS!$B$2:$J$91,9,FALSE()),""))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IF(DATOS!$A12779="",0,IF(CONFIG_METADATA!$B$4&lt;&gt;"OR+EX",--(DATOS!$G12779=CONFIG_METADATA!$B$4),IF(DATOS!$G12779="EX",1,IF(DATOS!$G12779="OR",--(COUNTIFS(nNIA,DATOS!$A12779,nCURSO,DATOS!$D12779,nESPEC,DATOS!$E12779,nASIG,DATOS!$I12779,nEVAL,"EX")=0),0))))</f>
      </c>
      <c r="H12779">
        <f>IF(DATOS!$G12779&lt;&gt;"EX",0,--(COUNTIFS(nNIA,DATOS!$A12779,nCURSO,DATOS!$D12779,nESPEC,DATOS!$E12779,nASIG,DATOS!$I12779,nEVAL,"OR")=0))</f>
      </c>
      <c r="I12779">
        <f>IF(DATOS!$I12779="","",IFERROR(VLOOKUP(DATOS!$I12779,CONFIG_ASIGNATURAS!$B$2:$J$91,9,FALSE()),""))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IF(DATOS!$A12780="",0,IF(CONFIG_METADATA!$B$4&lt;&gt;"OR+EX",--(DATOS!$G12780=CONFIG_METADATA!$B$4),IF(DATOS!$G12780="EX",1,IF(DATOS!$G12780="OR",--(COUNTIFS(nNIA,DATOS!$A12780,nCURSO,DATOS!$D12780,nESPEC,DATOS!$E12780,nASIG,DATOS!$I12780,nEVAL,"EX")=0),0))))</f>
      </c>
      <c r="H12780">
        <f>IF(DATOS!$G12780&lt;&gt;"EX",0,--(COUNTIFS(nNIA,DATOS!$A12780,nCURSO,DATOS!$D12780,nESPEC,DATOS!$E12780,nASIG,DATOS!$I12780,nEVAL,"OR")=0))</f>
      </c>
      <c r="I12780">
        <f>IF(DATOS!$I12780="","",IFERROR(VLOOKUP(DATOS!$I12780,CONFIG_ASIGNATURAS!$B$2:$J$91,9,FALSE()),""))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IF(DATOS!$A12781="",0,IF(CONFIG_METADATA!$B$4&lt;&gt;"OR+EX",--(DATOS!$G12781=CONFIG_METADATA!$B$4),IF(DATOS!$G12781="EX",1,IF(DATOS!$G12781="OR",--(COUNTIFS(nNIA,DATOS!$A12781,nCURSO,DATOS!$D12781,nESPEC,DATOS!$E12781,nASIG,DATOS!$I12781,nEVAL,"EX")=0),0))))</f>
      </c>
      <c r="H12781">
        <f>IF(DATOS!$G12781&lt;&gt;"EX",0,--(COUNTIFS(nNIA,DATOS!$A12781,nCURSO,DATOS!$D12781,nESPEC,DATOS!$E12781,nASIG,DATOS!$I12781,nEVAL,"OR")=0))</f>
      </c>
      <c r="I12781">
        <f>IF(DATOS!$I12781="","",IFERROR(VLOOKUP(DATOS!$I12781,CONFIG_ASIGNATURAS!$B$2:$J$91,9,FALSE()),""))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IF(DATOS!$A12782="",0,IF(CONFIG_METADATA!$B$4&lt;&gt;"OR+EX",--(DATOS!$G12782=CONFIG_METADATA!$B$4),IF(DATOS!$G12782="EX",1,IF(DATOS!$G12782="OR",--(COUNTIFS(nNIA,DATOS!$A12782,nCURSO,DATOS!$D12782,nESPEC,DATOS!$E12782,nASIG,DATOS!$I12782,nEVAL,"EX")=0),0))))</f>
      </c>
      <c r="H12782">
        <f>IF(DATOS!$G12782&lt;&gt;"EX",0,--(COUNTIFS(nNIA,DATOS!$A12782,nCURSO,DATOS!$D12782,nESPEC,DATOS!$E12782,nASIG,DATOS!$I12782,nEVAL,"OR")=0))</f>
      </c>
      <c r="I12782">
        <f>IF(DATOS!$I12782="","",IFERROR(VLOOKUP(DATOS!$I12782,CONFIG_ASIGNATURAS!$B$2:$J$91,9,FALSE()),""))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IF(DATOS!$A12783="",0,IF(CONFIG_METADATA!$B$4&lt;&gt;"OR+EX",--(DATOS!$G12783=CONFIG_METADATA!$B$4),IF(DATOS!$G12783="EX",1,IF(DATOS!$G12783="OR",--(COUNTIFS(nNIA,DATOS!$A12783,nCURSO,DATOS!$D12783,nESPEC,DATOS!$E12783,nASIG,DATOS!$I12783,nEVAL,"EX")=0),0))))</f>
      </c>
      <c r="H12783">
        <f>IF(DATOS!$G12783&lt;&gt;"EX",0,--(COUNTIFS(nNIA,DATOS!$A12783,nCURSO,DATOS!$D12783,nESPEC,DATOS!$E12783,nASIG,DATOS!$I12783,nEVAL,"OR")=0))</f>
      </c>
      <c r="I12783">
        <f>IF(DATOS!$I12783="","",IFERROR(VLOOKUP(DATOS!$I12783,CONFIG_ASIGNATURAS!$B$2:$J$91,9,FALSE()),""))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IF(DATOS!$A12784="",0,IF(CONFIG_METADATA!$B$4&lt;&gt;"OR+EX",--(DATOS!$G12784=CONFIG_METADATA!$B$4),IF(DATOS!$G12784="EX",1,IF(DATOS!$G12784="OR",--(COUNTIFS(nNIA,DATOS!$A12784,nCURSO,DATOS!$D12784,nESPEC,DATOS!$E12784,nASIG,DATOS!$I12784,nEVAL,"EX")=0),0))))</f>
      </c>
      <c r="H12784">
        <f>IF(DATOS!$G12784&lt;&gt;"EX",0,--(COUNTIFS(nNIA,DATOS!$A12784,nCURSO,DATOS!$D12784,nESPEC,DATOS!$E12784,nASIG,DATOS!$I12784,nEVAL,"OR")=0))</f>
      </c>
      <c r="I12784">
        <f>IF(DATOS!$I12784="","",IFERROR(VLOOKUP(DATOS!$I12784,CONFIG_ASIGNATURAS!$B$2:$J$91,9,FALSE()),""))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IF(DATOS!$A12785="",0,IF(CONFIG_METADATA!$B$4&lt;&gt;"OR+EX",--(DATOS!$G12785=CONFIG_METADATA!$B$4),IF(DATOS!$G12785="EX",1,IF(DATOS!$G12785="OR",--(COUNTIFS(nNIA,DATOS!$A12785,nCURSO,DATOS!$D12785,nESPEC,DATOS!$E12785,nASIG,DATOS!$I12785,nEVAL,"EX")=0),0))))</f>
      </c>
      <c r="H12785">
        <f>IF(DATOS!$G12785&lt;&gt;"EX",0,--(COUNTIFS(nNIA,DATOS!$A12785,nCURSO,DATOS!$D12785,nESPEC,DATOS!$E12785,nASIG,DATOS!$I12785,nEVAL,"OR")=0))</f>
      </c>
      <c r="I12785">
        <f>IF(DATOS!$I12785="","",IFERROR(VLOOKUP(DATOS!$I12785,CONFIG_ASIGNATURAS!$B$2:$J$91,9,FALSE()),""))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IF(DATOS!$A12786="",0,IF(CONFIG_METADATA!$B$4&lt;&gt;"OR+EX",--(DATOS!$G12786=CONFIG_METADATA!$B$4),IF(DATOS!$G12786="EX",1,IF(DATOS!$G12786="OR",--(COUNTIFS(nNIA,DATOS!$A12786,nCURSO,DATOS!$D12786,nESPEC,DATOS!$E12786,nASIG,DATOS!$I12786,nEVAL,"EX")=0),0))))</f>
      </c>
      <c r="H12786">
        <f>IF(DATOS!$G12786&lt;&gt;"EX",0,--(COUNTIFS(nNIA,DATOS!$A12786,nCURSO,DATOS!$D12786,nESPEC,DATOS!$E12786,nASIG,DATOS!$I12786,nEVAL,"OR")=0))</f>
      </c>
      <c r="I12786">
        <f>IF(DATOS!$I12786="","",IFERROR(VLOOKUP(DATOS!$I12786,CONFIG_ASIGNATURAS!$B$2:$J$91,9,FALSE()),""))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IF(DATOS!$A12787="",0,IF(CONFIG_METADATA!$B$4&lt;&gt;"OR+EX",--(DATOS!$G12787=CONFIG_METADATA!$B$4),IF(DATOS!$G12787="EX",1,IF(DATOS!$G12787="OR",--(COUNTIFS(nNIA,DATOS!$A12787,nCURSO,DATOS!$D12787,nESPEC,DATOS!$E12787,nASIG,DATOS!$I12787,nEVAL,"EX")=0),0))))</f>
      </c>
      <c r="H12787">
        <f>IF(DATOS!$G12787&lt;&gt;"EX",0,--(COUNTIFS(nNIA,DATOS!$A12787,nCURSO,DATOS!$D12787,nESPEC,DATOS!$E12787,nASIG,DATOS!$I12787,nEVAL,"OR")=0))</f>
      </c>
      <c r="I12787">
        <f>IF(DATOS!$I12787="","",IFERROR(VLOOKUP(DATOS!$I12787,CONFIG_ASIGNATURAS!$B$2:$J$91,9,FALSE()),""))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IF(DATOS!$A12788="",0,IF(CONFIG_METADATA!$B$4&lt;&gt;"OR+EX",--(DATOS!$G12788=CONFIG_METADATA!$B$4),IF(DATOS!$G12788="EX",1,IF(DATOS!$G12788="OR",--(COUNTIFS(nNIA,DATOS!$A12788,nCURSO,DATOS!$D12788,nESPEC,DATOS!$E12788,nASIG,DATOS!$I12788,nEVAL,"EX")=0),0))))</f>
      </c>
      <c r="H12788">
        <f>IF(DATOS!$G12788&lt;&gt;"EX",0,--(COUNTIFS(nNIA,DATOS!$A12788,nCURSO,DATOS!$D12788,nESPEC,DATOS!$E12788,nASIG,DATOS!$I12788,nEVAL,"OR")=0))</f>
      </c>
      <c r="I12788">
        <f>IF(DATOS!$I12788="","",IFERROR(VLOOKUP(DATOS!$I12788,CONFIG_ASIGNATURAS!$B$2:$J$91,9,FALSE()),""))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IF(DATOS!$A12789="",0,IF(CONFIG_METADATA!$B$4&lt;&gt;"OR+EX",--(DATOS!$G12789=CONFIG_METADATA!$B$4),IF(DATOS!$G12789="EX",1,IF(DATOS!$G12789="OR",--(COUNTIFS(nNIA,DATOS!$A12789,nCURSO,DATOS!$D12789,nESPEC,DATOS!$E12789,nASIG,DATOS!$I12789,nEVAL,"EX")=0),0))))</f>
      </c>
      <c r="H12789">
        <f>IF(DATOS!$G12789&lt;&gt;"EX",0,--(COUNTIFS(nNIA,DATOS!$A12789,nCURSO,DATOS!$D12789,nESPEC,DATOS!$E12789,nASIG,DATOS!$I12789,nEVAL,"OR")=0))</f>
      </c>
      <c r="I12789">
        <f>IF(DATOS!$I12789="","",IFERROR(VLOOKUP(DATOS!$I12789,CONFIG_ASIGNATURAS!$B$2:$J$91,9,FALSE()),""))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IF(DATOS!$A12790="",0,IF(CONFIG_METADATA!$B$4&lt;&gt;"OR+EX",--(DATOS!$G12790=CONFIG_METADATA!$B$4),IF(DATOS!$G12790="EX",1,IF(DATOS!$G12790="OR",--(COUNTIFS(nNIA,DATOS!$A12790,nCURSO,DATOS!$D12790,nESPEC,DATOS!$E12790,nASIG,DATOS!$I12790,nEVAL,"EX")=0),0))))</f>
      </c>
      <c r="H12790">
        <f>IF(DATOS!$G12790&lt;&gt;"EX",0,--(COUNTIFS(nNIA,DATOS!$A12790,nCURSO,DATOS!$D12790,nESPEC,DATOS!$E12790,nASIG,DATOS!$I12790,nEVAL,"OR")=0))</f>
      </c>
      <c r="I12790">
        <f>IF(DATOS!$I12790="","",IFERROR(VLOOKUP(DATOS!$I12790,CONFIG_ASIGNATURAS!$B$2:$J$91,9,FALSE()),""))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IF(DATOS!$A12791="",0,IF(CONFIG_METADATA!$B$4&lt;&gt;"OR+EX",--(DATOS!$G12791=CONFIG_METADATA!$B$4),IF(DATOS!$G12791="EX",1,IF(DATOS!$G12791="OR",--(COUNTIFS(nNIA,DATOS!$A12791,nCURSO,DATOS!$D12791,nESPEC,DATOS!$E12791,nASIG,DATOS!$I12791,nEVAL,"EX")=0),0))))</f>
      </c>
      <c r="H12791">
        <f>IF(DATOS!$G12791&lt;&gt;"EX",0,--(COUNTIFS(nNIA,DATOS!$A12791,nCURSO,DATOS!$D12791,nESPEC,DATOS!$E12791,nASIG,DATOS!$I12791,nEVAL,"OR")=0))</f>
      </c>
      <c r="I12791">
        <f>IF(DATOS!$I12791="","",IFERROR(VLOOKUP(DATOS!$I12791,CONFIG_ASIGNATURAS!$B$2:$J$91,9,FALSE()),""))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IF(DATOS!$A12792="",0,IF(CONFIG_METADATA!$B$4&lt;&gt;"OR+EX",--(DATOS!$G12792=CONFIG_METADATA!$B$4),IF(DATOS!$G12792="EX",1,IF(DATOS!$G12792="OR",--(COUNTIFS(nNIA,DATOS!$A12792,nCURSO,DATOS!$D12792,nESPEC,DATOS!$E12792,nASIG,DATOS!$I12792,nEVAL,"EX")=0),0))))</f>
      </c>
      <c r="H12792">
        <f>IF(DATOS!$G12792&lt;&gt;"EX",0,--(COUNTIFS(nNIA,DATOS!$A12792,nCURSO,DATOS!$D12792,nESPEC,DATOS!$E12792,nASIG,DATOS!$I12792,nEVAL,"OR")=0))</f>
      </c>
      <c r="I12792">
        <f>IF(DATOS!$I12792="","",IFERROR(VLOOKUP(DATOS!$I12792,CONFIG_ASIGNATURAS!$B$2:$J$91,9,FALSE()),""))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IF(DATOS!$A12793="",0,IF(CONFIG_METADATA!$B$4&lt;&gt;"OR+EX",--(DATOS!$G12793=CONFIG_METADATA!$B$4),IF(DATOS!$G12793="EX",1,IF(DATOS!$G12793="OR",--(COUNTIFS(nNIA,DATOS!$A12793,nCURSO,DATOS!$D12793,nESPEC,DATOS!$E12793,nASIG,DATOS!$I12793,nEVAL,"EX")=0),0))))</f>
      </c>
      <c r="H12793">
        <f>IF(DATOS!$G12793&lt;&gt;"EX",0,--(COUNTIFS(nNIA,DATOS!$A12793,nCURSO,DATOS!$D12793,nESPEC,DATOS!$E12793,nASIG,DATOS!$I12793,nEVAL,"OR")=0))</f>
      </c>
      <c r="I12793">
        <f>IF(DATOS!$I12793="","",IFERROR(VLOOKUP(DATOS!$I12793,CONFIG_ASIGNATURAS!$B$2:$J$91,9,FALSE()),""))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IF(DATOS!$A12794="",0,IF(CONFIG_METADATA!$B$4&lt;&gt;"OR+EX",--(DATOS!$G12794=CONFIG_METADATA!$B$4),IF(DATOS!$G12794="EX",1,IF(DATOS!$G12794="OR",--(COUNTIFS(nNIA,DATOS!$A12794,nCURSO,DATOS!$D12794,nESPEC,DATOS!$E12794,nASIG,DATOS!$I12794,nEVAL,"EX")=0),0))))</f>
      </c>
      <c r="H12794">
        <f>IF(DATOS!$G12794&lt;&gt;"EX",0,--(COUNTIFS(nNIA,DATOS!$A12794,nCURSO,DATOS!$D12794,nESPEC,DATOS!$E12794,nASIG,DATOS!$I12794,nEVAL,"OR")=0))</f>
      </c>
      <c r="I12794">
        <f>IF(DATOS!$I12794="","",IFERROR(VLOOKUP(DATOS!$I12794,CONFIG_ASIGNATURAS!$B$2:$J$91,9,FALSE()),""))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IF(DATOS!$A12795="",0,IF(CONFIG_METADATA!$B$4&lt;&gt;"OR+EX",--(DATOS!$G12795=CONFIG_METADATA!$B$4),IF(DATOS!$G12795="EX",1,IF(DATOS!$G12795="OR",--(COUNTIFS(nNIA,DATOS!$A12795,nCURSO,DATOS!$D12795,nESPEC,DATOS!$E12795,nASIG,DATOS!$I12795,nEVAL,"EX")=0),0))))</f>
      </c>
      <c r="H12795">
        <f>IF(DATOS!$G12795&lt;&gt;"EX",0,--(COUNTIFS(nNIA,DATOS!$A12795,nCURSO,DATOS!$D12795,nESPEC,DATOS!$E12795,nASIG,DATOS!$I12795,nEVAL,"OR")=0))</f>
      </c>
      <c r="I12795">
        <f>IF(DATOS!$I12795="","",IFERROR(VLOOKUP(DATOS!$I12795,CONFIG_ASIGNATURAS!$B$2:$J$91,9,FALSE()),""))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IF(DATOS!$A12796="",0,IF(CONFIG_METADATA!$B$4&lt;&gt;"OR+EX",--(DATOS!$G12796=CONFIG_METADATA!$B$4),IF(DATOS!$G12796="EX",1,IF(DATOS!$G12796="OR",--(COUNTIFS(nNIA,DATOS!$A12796,nCURSO,DATOS!$D12796,nESPEC,DATOS!$E12796,nASIG,DATOS!$I12796,nEVAL,"EX")=0),0))))</f>
      </c>
      <c r="H12796">
        <f>IF(DATOS!$G12796&lt;&gt;"EX",0,--(COUNTIFS(nNIA,DATOS!$A12796,nCURSO,DATOS!$D12796,nESPEC,DATOS!$E12796,nASIG,DATOS!$I12796,nEVAL,"OR")=0))</f>
      </c>
      <c r="I12796">
        <f>IF(DATOS!$I12796="","",IFERROR(VLOOKUP(DATOS!$I12796,CONFIG_ASIGNATURAS!$B$2:$J$91,9,FALSE()),""))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IF(DATOS!$A12797="",0,IF(CONFIG_METADATA!$B$4&lt;&gt;"OR+EX",--(DATOS!$G12797=CONFIG_METADATA!$B$4),IF(DATOS!$G12797="EX",1,IF(DATOS!$G12797="OR",--(COUNTIFS(nNIA,DATOS!$A12797,nCURSO,DATOS!$D12797,nESPEC,DATOS!$E12797,nASIG,DATOS!$I12797,nEVAL,"EX")=0),0))))</f>
      </c>
      <c r="H12797">
        <f>IF(DATOS!$G12797&lt;&gt;"EX",0,--(COUNTIFS(nNIA,DATOS!$A12797,nCURSO,DATOS!$D12797,nESPEC,DATOS!$E12797,nASIG,DATOS!$I12797,nEVAL,"OR")=0))</f>
      </c>
      <c r="I12797">
        <f>IF(DATOS!$I12797="","",IFERROR(VLOOKUP(DATOS!$I12797,CONFIG_ASIGNATURAS!$B$2:$J$91,9,FALSE()),""))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IF(DATOS!$A12798="",0,IF(CONFIG_METADATA!$B$4&lt;&gt;"OR+EX",--(DATOS!$G12798=CONFIG_METADATA!$B$4),IF(DATOS!$G12798="EX",1,IF(DATOS!$G12798="OR",--(COUNTIFS(nNIA,DATOS!$A12798,nCURSO,DATOS!$D12798,nESPEC,DATOS!$E12798,nASIG,DATOS!$I12798,nEVAL,"EX")=0),0))))</f>
      </c>
      <c r="H12798">
        <f>IF(DATOS!$G12798&lt;&gt;"EX",0,--(COUNTIFS(nNIA,DATOS!$A12798,nCURSO,DATOS!$D12798,nESPEC,DATOS!$E12798,nASIG,DATOS!$I12798,nEVAL,"OR")=0))</f>
      </c>
      <c r="I12798">
        <f>IF(DATOS!$I12798="","",IFERROR(VLOOKUP(DATOS!$I12798,CONFIG_ASIGNATURAS!$B$2:$J$91,9,FALSE()),""))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IF(DATOS!$A12799="",0,IF(CONFIG_METADATA!$B$4&lt;&gt;"OR+EX",--(DATOS!$G12799=CONFIG_METADATA!$B$4),IF(DATOS!$G12799="EX",1,IF(DATOS!$G12799="OR",--(COUNTIFS(nNIA,DATOS!$A12799,nCURSO,DATOS!$D12799,nESPEC,DATOS!$E12799,nASIG,DATOS!$I12799,nEVAL,"EX")=0),0))))</f>
      </c>
      <c r="H12799">
        <f>IF(DATOS!$G12799&lt;&gt;"EX",0,--(COUNTIFS(nNIA,DATOS!$A12799,nCURSO,DATOS!$D12799,nESPEC,DATOS!$E12799,nASIG,DATOS!$I12799,nEVAL,"OR")=0))</f>
      </c>
      <c r="I12799">
        <f>IF(DATOS!$I12799="","",IFERROR(VLOOKUP(DATOS!$I12799,CONFIG_ASIGNATURAS!$B$2:$J$91,9,FALSE()),""))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IF(DATOS!$A12800="",0,IF(CONFIG_METADATA!$B$4&lt;&gt;"OR+EX",--(DATOS!$G12800=CONFIG_METADATA!$B$4),IF(DATOS!$G12800="EX",1,IF(DATOS!$G12800="OR",--(COUNTIFS(nNIA,DATOS!$A12800,nCURSO,DATOS!$D12800,nESPEC,DATOS!$E12800,nASIG,DATOS!$I12800,nEVAL,"EX")=0),0))))</f>
      </c>
      <c r="H12800">
        <f>IF(DATOS!$G12800&lt;&gt;"EX",0,--(COUNTIFS(nNIA,DATOS!$A12800,nCURSO,DATOS!$D12800,nESPEC,DATOS!$E12800,nASIG,DATOS!$I12800,nEVAL,"OR")=0))</f>
      </c>
      <c r="I12800">
        <f>IF(DATOS!$I12800="","",IFERROR(VLOOKUP(DATOS!$I12800,CONFIG_ASIGNATURAS!$B$2:$J$91,9,FALSE()),""))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IF(DATOS!$A12801="",0,IF(CONFIG_METADATA!$B$4&lt;&gt;"OR+EX",--(DATOS!$G12801=CONFIG_METADATA!$B$4),IF(DATOS!$G12801="EX",1,IF(DATOS!$G12801="OR",--(COUNTIFS(nNIA,DATOS!$A12801,nCURSO,DATOS!$D12801,nESPEC,DATOS!$E12801,nASIG,DATOS!$I12801,nEVAL,"EX")=0),0))))</f>
      </c>
      <c r="H12801">
        <f>IF(DATOS!$G12801&lt;&gt;"EX",0,--(COUNTIFS(nNIA,DATOS!$A12801,nCURSO,DATOS!$D12801,nESPEC,DATOS!$E12801,nASIG,DATOS!$I12801,nEVAL,"OR")=0))</f>
      </c>
      <c r="I12801">
        <f>IF(DATOS!$I12801="","",IFERROR(VLOOKUP(DATOS!$I12801,CONFIG_ASIGNATURAS!$B$2:$J$91,9,FALSE()),""))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IF(DATOS!$A12802="",0,IF(CONFIG_METADATA!$B$4&lt;&gt;"OR+EX",--(DATOS!$G12802=CONFIG_METADATA!$B$4),IF(DATOS!$G12802="EX",1,IF(DATOS!$G12802="OR",--(COUNTIFS(nNIA,DATOS!$A12802,nCURSO,DATOS!$D12802,nESPEC,DATOS!$E12802,nASIG,DATOS!$I12802,nEVAL,"EX")=0),0))))</f>
      </c>
      <c r="H12802">
        <f>IF(DATOS!$G12802&lt;&gt;"EX",0,--(COUNTIFS(nNIA,DATOS!$A12802,nCURSO,DATOS!$D12802,nESPEC,DATOS!$E12802,nASIG,DATOS!$I12802,nEVAL,"OR")=0))</f>
      </c>
      <c r="I12802">
        <f>IF(DATOS!$I12802="","",IFERROR(VLOOKUP(DATOS!$I12802,CONFIG_ASIGNATURAS!$B$2:$J$91,9,FALSE()),""))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IF(DATOS!$A12803="",0,IF(CONFIG_METADATA!$B$4&lt;&gt;"OR+EX",--(DATOS!$G12803=CONFIG_METADATA!$B$4),IF(DATOS!$G12803="EX",1,IF(DATOS!$G12803="OR",--(COUNTIFS(nNIA,DATOS!$A12803,nCURSO,DATOS!$D12803,nESPEC,DATOS!$E12803,nASIG,DATOS!$I12803,nEVAL,"EX")=0),0))))</f>
      </c>
      <c r="H12803">
        <f>IF(DATOS!$G12803&lt;&gt;"EX",0,--(COUNTIFS(nNIA,DATOS!$A12803,nCURSO,DATOS!$D12803,nESPEC,DATOS!$E12803,nASIG,DATOS!$I12803,nEVAL,"OR")=0))</f>
      </c>
      <c r="I12803">
        <f>IF(DATOS!$I12803="","",IFERROR(VLOOKUP(DATOS!$I12803,CONFIG_ASIGNATURAS!$B$2:$J$91,9,FALSE()),""))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IF(DATOS!$A12804="",0,IF(CONFIG_METADATA!$B$4&lt;&gt;"OR+EX",--(DATOS!$G12804=CONFIG_METADATA!$B$4),IF(DATOS!$G12804="EX",1,IF(DATOS!$G12804="OR",--(COUNTIFS(nNIA,DATOS!$A12804,nCURSO,DATOS!$D12804,nESPEC,DATOS!$E12804,nASIG,DATOS!$I12804,nEVAL,"EX")=0),0))))</f>
      </c>
      <c r="H12804">
        <f>IF(DATOS!$G12804&lt;&gt;"EX",0,--(COUNTIFS(nNIA,DATOS!$A12804,nCURSO,DATOS!$D12804,nESPEC,DATOS!$E12804,nASIG,DATOS!$I12804,nEVAL,"OR")=0))</f>
      </c>
      <c r="I12804">
        <f>IF(DATOS!$I12804="","",IFERROR(VLOOKUP(DATOS!$I12804,CONFIG_ASIGNATURAS!$B$2:$J$91,9,FALSE()),""))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IF(DATOS!$A12805="",0,IF(CONFIG_METADATA!$B$4&lt;&gt;"OR+EX",--(DATOS!$G12805=CONFIG_METADATA!$B$4),IF(DATOS!$G12805="EX",1,IF(DATOS!$G12805="OR",--(COUNTIFS(nNIA,DATOS!$A12805,nCURSO,DATOS!$D12805,nESPEC,DATOS!$E12805,nASIG,DATOS!$I12805,nEVAL,"EX")=0),0))))</f>
      </c>
      <c r="H12805">
        <f>IF(DATOS!$G12805&lt;&gt;"EX",0,--(COUNTIFS(nNIA,DATOS!$A12805,nCURSO,DATOS!$D12805,nESPEC,DATOS!$E12805,nASIG,DATOS!$I12805,nEVAL,"OR")=0))</f>
      </c>
      <c r="I12805">
        <f>IF(DATOS!$I12805="","",IFERROR(VLOOKUP(DATOS!$I12805,CONFIG_ASIGNATURAS!$B$2:$J$91,9,FALSE()),""))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IF(DATOS!$A12806="",0,IF(CONFIG_METADATA!$B$4&lt;&gt;"OR+EX",--(DATOS!$G12806=CONFIG_METADATA!$B$4),IF(DATOS!$G12806="EX",1,IF(DATOS!$G12806="OR",--(COUNTIFS(nNIA,DATOS!$A12806,nCURSO,DATOS!$D12806,nESPEC,DATOS!$E12806,nASIG,DATOS!$I12806,nEVAL,"EX")=0),0))))</f>
      </c>
      <c r="H12806">
        <f>IF(DATOS!$G12806&lt;&gt;"EX",0,--(COUNTIFS(nNIA,DATOS!$A12806,nCURSO,DATOS!$D12806,nESPEC,DATOS!$E12806,nASIG,DATOS!$I12806,nEVAL,"OR")=0))</f>
      </c>
      <c r="I12806">
        <f>IF(DATOS!$I12806="","",IFERROR(VLOOKUP(DATOS!$I12806,CONFIG_ASIGNATURAS!$B$2:$J$91,9,FALSE()),""))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IF(DATOS!$A12807="",0,IF(CONFIG_METADATA!$B$4&lt;&gt;"OR+EX",--(DATOS!$G12807=CONFIG_METADATA!$B$4),IF(DATOS!$G12807="EX",1,IF(DATOS!$G12807="OR",--(COUNTIFS(nNIA,DATOS!$A12807,nCURSO,DATOS!$D12807,nESPEC,DATOS!$E12807,nASIG,DATOS!$I12807,nEVAL,"EX")=0),0))))</f>
      </c>
      <c r="H12807">
        <f>IF(DATOS!$G12807&lt;&gt;"EX",0,--(COUNTIFS(nNIA,DATOS!$A12807,nCURSO,DATOS!$D12807,nESPEC,DATOS!$E12807,nASIG,DATOS!$I12807,nEVAL,"OR")=0))</f>
      </c>
      <c r="I12807">
        <f>IF(DATOS!$I12807="","",IFERROR(VLOOKUP(DATOS!$I12807,CONFIG_ASIGNATURAS!$B$2:$J$91,9,FALSE()),""))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IF(DATOS!$A12808="",0,IF(CONFIG_METADATA!$B$4&lt;&gt;"OR+EX",--(DATOS!$G12808=CONFIG_METADATA!$B$4),IF(DATOS!$G12808="EX",1,IF(DATOS!$G12808="OR",--(COUNTIFS(nNIA,DATOS!$A12808,nCURSO,DATOS!$D12808,nESPEC,DATOS!$E12808,nASIG,DATOS!$I12808,nEVAL,"EX")=0),0))))</f>
      </c>
      <c r="H12808">
        <f>IF(DATOS!$G12808&lt;&gt;"EX",0,--(COUNTIFS(nNIA,DATOS!$A12808,nCURSO,DATOS!$D12808,nESPEC,DATOS!$E12808,nASIG,DATOS!$I12808,nEVAL,"OR")=0))</f>
      </c>
      <c r="I12808">
        <f>IF(DATOS!$I12808="","",IFERROR(VLOOKUP(DATOS!$I12808,CONFIG_ASIGNATURAS!$B$2:$J$91,9,FALSE()),""))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IF(DATOS!$A12809="",0,IF(CONFIG_METADATA!$B$4&lt;&gt;"OR+EX",--(DATOS!$G12809=CONFIG_METADATA!$B$4),IF(DATOS!$G12809="EX",1,IF(DATOS!$G12809="OR",--(COUNTIFS(nNIA,DATOS!$A12809,nCURSO,DATOS!$D12809,nESPEC,DATOS!$E12809,nASIG,DATOS!$I12809,nEVAL,"EX")=0),0))))</f>
      </c>
      <c r="H12809">
        <f>IF(DATOS!$G12809&lt;&gt;"EX",0,--(COUNTIFS(nNIA,DATOS!$A12809,nCURSO,DATOS!$D12809,nESPEC,DATOS!$E12809,nASIG,DATOS!$I12809,nEVAL,"OR")=0))</f>
      </c>
      <c r="I12809">
        <f>IF(DATOS!$I12809="","",IFERROR(VLOOKUP(DATOS!$I12809,CONFIG_ASIGNATURAS!$B$2:$J$91,9,FALSE()),""))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IF(DATOS!$A12810="",0,IF(CONFIG_METADATA!$B$4&lt;&gt;"OR+EX",--(DATOS!$G12810=CONFIG_METADATA!$B$4),IF(DATOS!$G12810="EX",1,IF(DATOS!$G12810="OR",--(COUNTIFS(nNIA,DATOS!$A12810,nCURSO,DATOS!$D12810,nESPEC,DATOS!$E12810,nASIG,DATOS!$I12810,nEVAL,"EX")=0),0))))</f>
      </c>
      <c r="H12810">
        <f>IF(DATOS!$G12810&lt;&gt;"EX",0,--(COUNTIFS(nNIA,DATOS!$A12810,nCURSO,DATOS!$D12810,nESPEC,DATOS!$E12810,nASIG,DATOS!$I12810,nEVAL,"OR")=0))</f>
      </c>
      <c r="I12810">
        <f>IF(DATOS!$I12810="","",IFERROR(VLOOKUP(DATOS!$I12810,CONFIG_ASIGNATURAS!$B$2:$J$91,9,FALSE()),""))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IF(DATOS!$A12811="",0,IF(CONFIG_METADATA!$B$4&lt;&gt;"OR+EX",--(DATOS!$G12811=CONFIG_METADATA!$B$4),IF(DATOS!$G12811="EX",1,IF(DATOS!$G12811="OR",--(COUNTIFS(nNIA,DATOS!$A12811,nCURSO,DATOS!$D12811,nESPEC,DATOS!$E12811,nASIG,DATOS!$I12811,nEVAL,"EX")=0),0))))</f>
      </c>
      <c r="H12811">
        <f>IF(DATOS!$G12811&lt;&gt;"EX",0,--(COUNTIFS(nNIA,DATOS!$A12811,nCURSO,DATOS!$D12811,nESPEC,DATOS!$E12811,nASIG,DATOS!$I12811,nEVAL,"OR")=0))</f>
      </c>
      <c r="I12811">
        <f>IF(DATOS!$I12811="","",IFERROR(VLOOKUP(DATOS!$I12811,CONFIG_ASIGNATURAS!$B$2:$J$91,9,FALSE()),""))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IF(DATOS!$A12812="",0,IF(CONFIG_METADATA!$B$4&lt;&gt;"OR+EX",--(DATOS!$G12812=CONFIG_METADATA!$B$4),IF(DATOS!$G12812="EX",1,IF(DATOS!$G12812="OR",--(COUNTIFS(nNIA,DATOS!$A12812,nCURSO,DATOS!$D12812,nESPEC,DATOS!$E12812,nASIG,DATOS!$I12812,nEVAL,"EX")=0),0))))</f>
      </c>
      <c r="H12812">
        <f>IF(DATOS!$G12812&lt;&gt;"EX",0,--(COUNTIFS(nNIA,DATOS!$A12812,nCURSO,DATOS!$D12812,nESPEC,DATOS!$E12812,nASIG,DATOS!$I12812,nEVAL,"OR")=0))</f>
      </c>
      <c r="I12812">
        <f>IF(DATOS!$I12812="","",IFERROR(VLOOKUP(DATOS!$I12812,CONFIG_ASIGNATURAS!$B$2:$J$91,9,FALSE()),""))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IF(DATOS!$A12813="",0,IF(CONFIG_METADATA!$B$4&lt;&gt;"OR+EX",--(DATOS!$G12813=CONFIG_METADATA!$B$4),IF(DATOS!$G12813="EX",1,IF(DATOS!$G12813="OR",--(COUNTIFS(nNIA,DATOS!$A12813,nCURSO,DATOS!$D12813,nESPEC,DATOS!$E12813,nASIG,DATOS!$I12813,nEVAL,"EX")=0),0))))</f>
      </c>
      <c r="H12813">
        <f>IF(DATOS!$G12813&lt;&gt;"EX",0,--(COUNTIFS(nNIA,DATOS!$A12813,nCURSO,DATOS!$D12813,nESPEC,DATOS!$E12813,nASIG,DATOS!$I12813,nEVAL,"OR")=0))</f>
      </c>
      <c r="I12813">
        <f>IF(DATOS!$I12813="","",IFERROR(VLOOKUP(DATOS!$I12813,CONFIG_ASIGNATURAS!$B$2:$J$91,9,FALSE()),""))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IF(DATOS!$A12814="",0,IF(CONFIG_METADATA!$B$4&lt;&gt;"OR+EX",--(DATOS!$G12814=CONFIG_METADATA!$B$4),IF(DATOS!$G12814="EX",1,IF(DATOS!$G12814="OR",--(COUNTIFS(nNIA,DATOS!$A12814,nCURSO,DATOS!$D12814,nESPEC,DATOS!$E12814,nASIG,DATOS!$I12814,nEVAL,"EX")=0),0))))</f>
      </c>
      <c r="H12814">
        <f>IF(DATOS!$G12814&lt;&gt;"EX",0,--(COUNTIFS(nNIA,DATOS!$A12814,nCURSO,DATOS!$D12814,nESPEC,DATOS!$E12814,nASIG,DATOS!$I12814,nEVAL,"OR")=0))</f>
      </c>
      <c r="I12814">
        <f>IF(DATOS!$I12814="","",IFERROR(VLOOKUP(DATOS!$I12814,CONFIG_ASIGNATURAS!$B$2:$J$91,9,FALSE()),""))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IF(DATOS!$A12815="",0,IF(CONFIG_METADATA!$B$4&lt;&gt;"OR+EX",--(DATOS!$G12815=CONFIG_METADATA!$B$4),IF(DATOS!$G12815="EX",1,IF(DATOS!$G12815="OR",--(COUNTIFS(nNIA,DATOS!$A12815,nCURSO,DATOS!$D12815,nESPEC,DATOS!$E12815,nASIG,DATOS!$I12815,nEVAL,"EX")=0),0))))</f>
      </c>
      <c r="H12815">
        <f>IF(DATOS!$G12815&lt;&gt;"EX",0,--(COUNTIFS(nNIA,DATOS!$A12815,nCURSO,DATOS!$D12815,nESPEC,DATOS!$E12815,nASIG,DATOS!$I12815,nEVAL,"OR")=0))</f>
      </c>
      <c r="I12815">
        <f>IF(DATOS!$I12815="","",IFERROR(VLOOKUP(DATOS!$I12815,CONFIG_ASIGNATURAS!$B$2:$J$91,9,FALSE()),""))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IF(DATOS!$A12816="",0,IF(CONFIG_METADATA!$B$4&lt;&gt;"OR+EX",--(DATOS!$G12816=CONFIG_METADATA!$B$4),IF(DATOS!$G12816="EX",1,IF(DATOS!$G12816="OR",--(COUNTIFS(nNIA,DATOS!$A12816,nCURSO,DATOS!$D12816,nESPEC,DATOS!$E12816,nASIG,DATOS!$I12816,nEVAL,"EX")=0),0))))</f>
      </c>
      <c r="H12816">
        <f>IF(DATOS!$G12816&lt;&gt;"EX",0,--(COUNTIFS(nNIA,DATOS!$A12816,nCURSO,DATOS!$D12816,nESPEC,DATOS!$E12816,nASIG,DATOS!$I12816,nEVAL,"OR")=0))</f>
      </c>
      <c r="I12816">
        <f>IF(DATOS!$I12816="","",IFERROR(VLOOKUP(DATOS!$I12816,CONFIG_ASIGNATURAS!$B$2:$J$91,9,FALSE()),""))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IF(DATOS!$A12817="",0,IF(CONFIG_METADATA!$B$4&lt;&gt;"OR+EX",--(DATOS!$G12817=CONFIG_METADATA!$B$4),IF(DATOS!$G12817="EX",1,IF(DATOS!$G12817="OR",--(COUNTIFS(nNIA,DATOS!$A12817,nCURSO,DATOS!$D12817,nESPEC,DATOS!$E12817,nASIG,DATOS!$I12817,nEVAL,"EX")=0),0))))</f>
      </c>
      <c r="H12817">
        <f>IF(DATOS!$G12817&lt;&gt;"EX",0,--(COUNTIFS(nNIA,DATOS!$A12817,nCURSO,DATOS!$D12817,nESPEC,DATOS!$E12817,nASIG,DATOS!$I12817,nEVAL,"OR")=0))</f>
      </c>
      <c r="I12817">
        <f>IF(DATOS!$I12817="","",IFERROR(VLOOKUP(DATOS!$I12817,CONFIG_ASIGNATURAS!$B$2:$J$91,9,FALSE()),""))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IF(DATOS!$A12818="",0,IF(CONFIG_METADATA!$B$4&lt;&gt;"OR+EX",--(DATOS!$G12818=CONFIG_METADATA!$B$4),IF(DATOS!$G12818="EX",1,IF(DATOS!$G12818="OR",--(COUNTIFS(nNIA,DATOS!$A12818,nCURSO,DATOS!$D12818,nESPEC,DATOS!$E12818,nASIG,DATOS!$I12818,nEVAL,"EX")=0),0))))</f>
      </c>
      <c r="H12818">
        <f>IF(DATOS!$G12818&lt;&gt;"EX",0,--(COUNTIFS(nNIA,DATOS!$A12818,nCURSO,DATOS!$D12818,nESPEC,DATOS!$E12818,nASIG,DATOS!$I12818,nEVAL,"OR")=0))</f>
      </c>
      <c r="I12818">
        <f>IF(DATOS!$I12818="","",IFERROR(VLOOKUP(DATOS!$I12818,CONFIG_ASIGNATURAS!$B$2:$J$91,9,FALSE()),""))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IF(DATOS!$A12819="",0,IF(CONFIG_METADATA!$B$4&lt;&gt;"OR+EX",--(DATOS!$G12819=CONFIG_METADATA!$B$4),IF(DATOS!$G12819="EX",1,IF(DATOS!$G12819="OR",--(COUNTIFS(nNIA,DATOS!$A12819,nCURSO,DATOS!$D12819,nESPEC,DATOS!$E12819,nASIG,DATOS!$I12819,nEVAL,"EX")=0),0))))</f>
      </c>
      <c r="H12819">
        <f>IF(DATOS!$G12819&lt;&gt;"EX",0,--(COUNTIFS(nNIA,DATOS!$A12819,nCURSO,DATOS!$D12819,nESPEC,DATOS!$E12819,nASIG,DATOS!$I12819,nEVAL,"OR")=0))</f>
      </c>
      <c r="I12819">
        <f>IF(DATOS!$I12819="","",IFERROR(VLOOKUP(DATOS!$I12819,CONFIG_ASIGNATURAS!$B$2:$J$91,9,FALSE()),""))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IF(DATOS!$A12820="",0,IF(CONFIG_METADATA!$B$4&lt;&gt;"OR+EX",--(DATOS!$G12820=CONFIG_METADATA!$B$4),IF(DATOS!$G12820="EX",1,IF(DATOS!$G12820="OR",--(COUNTIFS(nNIA,DATOS!$A12820,nCURSO,DATOS!$D12820,nESPEC,DATOS!$E12820,nASIG,DATOS!$I12820,nEVAL,"EX")=0),0))))</f>
      </c>
      <c r="H12820">
        <f>IF(DATOS!$G12820&lt;&gt;"EX",0,--(COUNTIFS(nNIA,DATOS!$A12820,nCURSO,DATOS!$D12820,nESPEC,DATOS!$E12820,nASIG,DATOS!$I12820,nEVAL,"OR")=0))</f>
      </c>
      <c r="I12820">
        <f>IF(DATOS!$I12820="","",IFERROR(VLOOKUP(DATOS!$I12820,CONFIG_ASIGNATURAS!$B$2:$J$91,9,FALSE()),""))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IF(DATOS!$A12821="",0,IF(CONFIG_METADATA!$B$4&lt;&gt;"OR+EX",--(DATOS!$G12821=CONFIG_METADATA!$B$4),IF(DATOS!$G12821="EX",1,IF(DATOS!$G12821="OR",--(COUNTIFS(nNIA,DATOS!$A12821,nCURSO,DATOS!$D12821,nESPEC,DATOS!$E12821,nASIG,DATOS!$I12821,nEVAL,"EX")=0),0))))</f>
      </c>
      <c r="H12821">
        <f>IF(DATOS!$G12821&lt;&gt;"EX",0,--(COUNTIFS(nNIA,DATOS!$A12821,nCURSO,DATOS!$D12821,nESPEC,DATOS!$E12821,nASIG,DATOS!$I12821,nEVAL,"OR")=0))</f>
      </c>
      <c r="I12821">
        <f>IF(DATOS!$I12821="","",IFERROR(VLOOKUP(DATOS!$I12821,CONFIG_ASIGNATURAS!$B$2:$J$91,9,FALSE()),""))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IF(DATOS!$A12822="",0,IF(CONFIG_METADATA!$B$4&lt;&gt;"OR+EX",--(DATOS!$G12822=CONFIG_METADATA!$B$4),IF(DATOS!$G12822="EX",1,IF(DATOS!$G12822="OR",--(COUNTIFS(nNIA,DATOS!$A12822,nCURSO,DATOS!$D12822,nESPEC,DATOS!$E12822,nASIG,DATOS!$I12822,nEVAL,"EX")=0),0))))</f>
      </c>
      <c r="H12822">
        <f>IF(DATOS!$G12822&lt;&gt;"EX",0,--(COUNTIFS(nNIA,DATOS!$A12822,nCURSO,DATOS!$D12822,nESPEC,DATOS!$E12822,nASIG,DATOS!$I12822,nEVAL,"OR")=0))</f>
      </c>
      <c r="I12822">
        <f>IF(DATOS!$I12822="","",IFERROR(VLOOKUP(DATOS!$I12822,CONFIG_ASIGNATURAS!$B$2:$J$91,9,FALSE()),""))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IF(DATOS!$A12823="",0,IF(CONFIG_METADATA!$B$4&lt;&gt;"OR+EX",--(DATOS!$G12823=CONFIG_METADATA!$B$4),IF(DATOS!$G12823="EX",1,IF(DATOS!$G12823="OR",--(COUNTIFS(nNIA,DATOS!$A12823,nCURSO,DATOS!$D12823,nESPEC,DATOS!$E12823,nASIG,DATOS!$I12823,nEVAL,"EX")=0),0))))</f>
      </c>
      <c r="H12823">
        <f>IF(DATOS!$G12823&lt;&gt;"EX",0,--(COUNTIFS(nNIA,DATOS!$A12823,nCURSO,DATOS!$D12823,nESPEC,DATOS!$E12823,nASIG,DATOS!$I12823,nEVAL,"OR")=0))</f>
      </c>
      <c r="I12823">
        <f>IF(DATOS!$I12823="","",IFERROR(VLOOKUP(DATOS!$I12823,CONFIG_ASIGNATURAS!$B$2:$J$91,9,FALSE()),""))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IF(DATOS!$A12824="",0,IF(CONFIG_METADATA!$B$4&lt;&gt;"OR+EX",--(DATOS!$G12824=CONFIG_METADATA!$B$4),IF(DATOS!$G12824="EX",1,IF(DATOS!$G12824="OR",--(COUNTIFS(nNIA,DATOS!$A12824,nCURSO,DATOS!$D12824,nESPEC,DATOS!$E12824,nASIG,DATOS!$I12824,nEVAL,"EX")=0),0))))</f>
      </c>
      <c r="H12824">
        <f>IF(DATOS!$G12824&lt;&gt;"EX",0,--(COUNTIFS(nNIA,DATOS!$A12824,nCURSO,DATOS!$D12824,nESPEC,DATOS!$E12824,nASIG,DATOS!$I12824,nEVAL,"OR")=0))</f>
      </c>
      <c r="I12824">
        <f>IF(DATOS!$I12824="","",IFERROR(VLOOKUP(DATOS!$I12824,CONFIG_ASIGNATURAS!$B$2:$J$91,9,FALSE()),""))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IF(DATOS!$A12825="",0,IF(CONFIG_METADATA!$B$4&lt;&gt;"OR+EX",--(DATOS!$G12825=CONFIG_METADATA!$B$4),IF(DATOS!$G12825="EX",1,IF(DATOS!$G12825="OR",--(COUNTIFS(nNIA,DATOS!$A12825,nCURSO,DATOS!$D12825,nESPEC,DATOS!$E12825,nASIG,DATOS!$I12825,nEVAL,"EX")=0),0))))</f>
      </c>
      <c r="H12825">
        <f>IF(DATOS!$G12825&lt;&gt;"EX",0,--(COUNTIFS(nNIA,DATOS!$A12825,nCURSO,DATOS!$D12825,nESPEC,DATOS!$E12825,nASIG,DATOS!$I12825,nEVAL,"OR")=0))</f>
      </c>
      <c r="I12825">
        <f>IF(DATOS!$I12825="","",IFERROR(VLOOKUP(DATOS!$I12825,CONFIG_ASIGNATURAS!$B$2:$J$91,9,FALSE()),""))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IF(DATOS!$A12826="",0,IF(CONFIG_METADATA!$B$4&lt;&gt;"OR+EX",--(DATOS!$G12826=CONFIG_METADATA!$B$4),IF(DATOS!$G12826="EX",1,IF(DATOS!$G12826="OR",--(COUNTIFS(nNIA,DATOS!$A12826,nCURSO,DATOS!$D12826,nESPEC,DATOS!$E12826,nASIG,DATOS!$I12826,nEVAL,"EX")=0),0))))</f>
      </c>
      <c r="H12826">
        <f>IF(DATOS!$G12826&lt;&gt;"EX",0,--(COUNTIFS(nNIA,DATOS!$A12826,nCURSO,DATOS!$D12826,nESPEC,DATOS!$E12826,nASIG,DATOS!$I12826,nEVAL,"OR")=0))</f>
      </c>
      <c r="I12826">
        <f>IF(DATOS!$I12826="","",IFERROR(VLOOKUP(DATOS!$I12826,CONFIG_ASIGNATURAS!$B$2:$J$91,9,FALSE()),""))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IF(DATOS!$A12827="",0,IF(CONFIG_METADATA!$B$4&lt;&gt;"OR+EX",--(DATOS!$G12827=CONFIG_METADATA!$B$4),IF(DATOS!$G12827="EX",1,IF(DATOS!$G12827="OR",--(COUNTIFS(nNIA,DATOS!$A12827,nCURSO,DATOS!$D12827,nESPEC,DATOS!$E12827,nASIG,DATOS!$I12827,nEVAL,"EX")=0),0))))</f>
      </c>
      <c r="H12827">
        <f>IF(DATOS!$G12827&lt;&gt;"EX",0,--(COUNTIFS(nNIA,DATOS!$A12827,nCURSO,DATOS!$D12827,nESPEC,DATOS!$E12827,nASIG,DATOS!$I12827,nEVAL,"OR")=0))</f>
      </c>
      <c r="I12827">
        <f>IF(DATOS!$I12827="","",IFERROR(VLOOKUP(DATOS!$I12827,CONFIG_ASIGNATURAS!$B$2:$J$91,9,FALSE()),""))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IF(DATOS!$A12828="",0,IF(CONFIG_METADATA!$B$4&lt;&gt;"OR+EX",--(DATOS!$G12828=CONFIG_METADATA!$B$4),IF(DATOS!$G12828="EX",1,IF(DATOS!$G12828="OR",--(COUNTIFS(nNIA,DATOS!$A12828,nCURSO,DATOS!$D12828,nESPEC,DATOS!$E12828,nASIG,DATOS!$I12828,nEVAL,"EX")=0),0))))</f>
      </c>
      <c r="H12828">
        <f>IF(DATOS!$G12828&lt;&gt;"EX",0,--(COUNTIFS(nNIA,DATOS!$A12828,nCURSO,DATOS!$D12828,nESPEC,DATOS!$E12828,nASIG,DATOS!$I12828,nEVAL,"OR")=0))</f>
      </c>
      <c r="I12828">
        <f>IF(DATOS!$I12828="","",IFERROR(VLOOKUP(DATOS!$I12828,CONFIG_ASIGNATURAS!$B$2:$J$91,9,FALSE()),""))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IF(DATOS!$A12829="",0,IF(CONFIG_METADATA!$B$4&lt;&gt;"OR+EX",--(DATOS!$G12829=CONFIG_METADATA!$B$4),IF(DATOS!$G12829="EX",1,IF(DATOS!$G12829="OR",--(COUNTIFS(nNIA,DATOS!$A12829,nCURSO,DATOS!$D12829,nESPEC,DATOS!$E12829,nASIG,DATOS!$I12829,nEVAL,"EX")=0),0))))</f>
      </c>
      <c r="H12829">
        <f>IF(DATOS!$G12829&lt;&gt;"EX",0,--(COUNTIFS(nNIA,DATOS!$A12829,nCURSO,DATOS!$D12829,nESPEC,DATOS!$E12829,nASIG,DATOS!$I12829,nEVAL,"OR")=0))</f>
      </c>
      <c r="I12829">
        <f>IF(DATOS!$I12829="","",IFERROR(VLOOKUP(DATOS!$I12829,CONFIG_ASIGNATURAS!$B$2:$J$91,9,FALSE()),""))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IF(DATOS!$A12830="",0,IF(CONFIG_METADATA!$B$4&lt;&gt;"OR+EX",--(DATOS!$G12830=CONFIG_METADATA!$B$4),IF(DATOS!$G12830="EX",1,IF(DATOS!$G12830="OR",--(COUNTIFS(nNIA,DATOS!$A12830,nCURSO,DATOS!$D12830,nESPEC,DATOS!$E12830,nASIG,DATOS!$I12830,nEVAL,"EX")=0),0))))</f>
      </c>
      <c r="H12830">
        <f>IF(DATOS!$G12830&lt;&gt;"EX",0,--(COUNTIFS(nNIA,DATOS!$A12830,nCURSO,DATOS!$D12830,nESPEC,DATOS!$E12830,nASIG,DATOS!$I12830,nEVAL,"OR")=0))</f>
      </c>
      <c r="I12830">
        <f>IF(DATOS!$I12830="","",IFERROR(VLOOKUP(DATOS!$I12830,CONFIG_ASIGNATURAS!$B$2:$J$91,9,FALSE()),""))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IF(DATOS!$A12831="",0,IF(CONFIG_METADATA!$B$4&lt;&gt;"OR+EX",--(DATOS!$G12831=CONFIG_METADATA!$B$4),IF(DATOS!$G12831="EX",1,IF(DATOS!$G12831="OR",--(COUNTIFS(nNIA,DATOS!$A12831,nCURSO,DATOS!$D12831,nESPEC,DATOS!$E12831,nASIG,DATOS!$I12831,nEVAL,"EX")=0),0))))</f>
      </c>
      <c r="H12831">
        <f>IF(DATOS!$G12831&lt;&gt;"EX",0,--(COUNTIFS(nNIA,DATOS!$A12831,nCURSO,DATOS!$D12831,nESPEC,DATOS!$E12831,nASIG,DATOS!$I12831,nEVAL,"OR")=0))</f>
      </c>
      <c r="I12831">
        <f>IF(DATOS!$I12831="","",IFERROR(VLOOKUP(DATOS!$I12831,CONFIG_ASIGNATURAS!$B$2:$J$91,9,FALSE()),""))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IF(DATOS!$A12832="",0,IF(CONFIG_METADATA!$B$4&lt;&gt;"OR+EX",--(DATOS!$G12832=CONFIG_METADATA!$B$4),IF(DATOS!$G12832="EX",1,IF(DATOS!$G12832="OR",--(COUNTIFS(nNIA,DATOS!$A12832,nCURSO,DATOS!$D12832,nESPEC,DATOS!$E12832,nASIG,DATOS!$I12832,nEVAL,"EX")=0),0))))</f>
      </c>
      <c r="H12832">
        <f>IF(DATOS!$G12832&lt;&gt;"EX",0,--(COUNTIFS(nNIA,DATOS!$A12832,nCURSO,DATOS!$D12832,nESPEC,DATOS!$E12832,nASIG,DATOS!$I12832,nEVAL,"OR")=0))</f>
      </c>
      <c r="I12832">
        <f>IF(DATOS!$I12832="","",IFERROR(VLOOKUP(DATOS!$I12832,CONFIG_ASIGNATURAS!$B$2:$J$91,9,FALSE()),""))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IF(DATOS!$A12833="",0,IF(CONFIG_METADATA!$B$4&lt;&gt;"OR+EX",--(DATOS!$G12833=CONFIG_METADATA!$B$4),IF(DATOS!$G12833="EX",1,IF(DATOS!$G12833="OR",--(COUNTIFS(nNIA,DATOS!$A12833,nCURSO,DATOS!$D12833,nESPEC,DATOS!$E12833,nASIG,DATOS!$I12833,nEVAL,"EX")=0),0))))</f>
      </c>
      <c r="H12833">
        <f>IF(DATOS!$G12833&lt;&gt;"EX",0,--(COUNTIFS(nNIA,DATOS!$A12833,nCURSO,DATOS!$D12833,nESPEC,DATOS!$E12833,nASIG,DATOS!$I12833,nEVAL,"OR")=0))</f>
      </c>
      <c r="I12833">
        <f>IF(DATOS!$I12833="","",IFERROR(VLOOKUP(DATOS!$I12833,CONFIG_ASIGNATURAS!$B$2:$J$91,9,FALSE()),""))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IF(DATOS!$A12834="",0,IF(CONFIG_METADATA!$B$4&lt;&gt;"OR+EX",--(DATOS!$G12834=CONFIG_METADATA!$B$4),IF(DATOS!$G12834="EX",1,IF(DATOS!$G12834="OR",--(COUNTIFS(nNIA,DATOS!$A12834,nCURSO,DATOS!$D12834,nESPEC,DATOS!$E12834,nASIG,DATOS!$I12834,nEVAL,"EX")=0),0))))</f>
      </c>
      <c r="H12834">
        <f>IF(DATOS!$G12834&lt;&gt;"EX",0,--(COUNTIFS(nNIA,DATOS!$A12834,nCURSO,DATOS!$D12834,nESPEC,DATOS!$E12834,nASIG,DATOS!$I12834,nEVAL,"OR")=0))</f>
      </c>
      <c r="I12834">
        <f>IF(DATOS!$I12834="","",IFERROR(VLOOKUP(DATOS!$I12834,CONFIG_ASIGNATURAS!$B$2:$J$91,9,FALSE()),""))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IF(DATOS!$A12835="",0,IF(CONFIG_METADATA!$B$4&lt;&gt;"OR+EX",--(DATOS!$G12835=CONFIG_METADATA!$B$4),IF(DATOS!$G12835="EX",1,IF(DATOS!$G12835="OR",--(COUNTIFS(nNIA,DATOS!$A12835,nCURSO,DATOS!$D12835,nESPEC,DATOS!$E12835,nASIG,DATOS!$I12835,nEVAL,"EX")=0),0))))</f>
      </c>
      <c r="H12835">
        <f>IF(DATOS!$G12835&lt;&gt;"EX",0,--(COUNTIFS(nNIA,DATOS!$A12835,nCURSO,DATOS!$D12835,nESPEC,DATOS!$E12835,nASIG,DATOS!$I12835,nEVAL,"OR")=0))</f>
      </c>
      <c r="I12835">
        <f>IF(DATOS!$I12835="","",IFERROR(VLOOKUP(DATOS!$I12835,CONFIG_ASIGNATURAS!$B$2:$J$91,9,FALSE()),""))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IF(DATOS!$A12836="",0,IF(CONFIG_METADATA!$B$4&lt;&gt;"OR+EX",--(DATOS!$G12836=CONFIG_METADATA!$B$4),IF(DATOS!$G12836="EX",1,IF(DATOS!$G12836="OR",--(COUNTIFS(nNIA,DATOS!$A12836,nCURSO,DATOS!$D12836,nESPEC,DATOS!$E12836,nASIG,DATOS!$I12836,nEVAL,"EX")=0),0))))</f>
      </c>
      <c r="H12836">
        <f>IF(DATOS!$G12836&lt;&gt;"EX",0,--(COUNTIFS(nNIA,DATOS!$A12836,nCURSO,DATOS!$D12836,nESPEC,DATOS!$E12836,nASIG,DATOS!$I12836,nEVAL,"OR")=0))</f>
      </c>
      <c r="I12836">
        <f>IF(DATOS!$I12836="","",IFERROR(VLOOKUP(DATOS!$I12836,CONFIG_ASIGNATURAS!$B$2:$J$91,9,FALSE()),""))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IF(DATOS!$A12837="",0,IF(CONFIG_METADATA!$B$4&lt;&gt;"OR+EX",--(DATOS!$G12837=CONFIG_METADATA!$B$4),IF(DATOS!$G12837="EX",1,IF(DATOS!$G12837="OR",--(COUNTIFS(nNIA,DATOS!$A12837,nCURSO,DATOS!$D12837,nESPEC,DATOS!$E12837,nASIG,DATOS!$I12837,nEVAL,"EX")=0),0))))</f>
      </c>
      <c r="H12837">
        <f>IF(DATOS!$G12837&lt;&gt;"EX",0,--(COUNTIFS(nNIA,DATOS!$A12837,nCURSO,DATOS!$D12837,nESPEC,DATOS!$E12837,nASIG,DATOS!$I12837,nEVAL,"OR")=0))</f>
      </c>
      <c r="I12837">
        <f>IF(DATOS!$I12837="","",IFERROR(VLOOKUP(DATOS!$I12837,CONFIG_ASIGNATURAS!$B$2:$J$91,9,FALSE()),""))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IF(DATOS!$A12838="",0,IF(CONFIG_METADATA!$B$4&lt;&gt;"OR+EX",--(DATOS!$G12838=CONFIG_METADATA!$B$4),IF(DATOS!$G12838="EX",1,IF(DATOS!$G12838="OR",--(COUNTIFS(nNIA,DATOS!$A12838,nCURSO,DATOS!$D12838,nESPEC,DATOS!$E12838,nASIG,DATOS!$I12838,nEVAL,"EX")=0),0))))</f>
      </c>
      <c r="H12838">
        <f>IF(DATOS!$G12838&lt;&gt;"EX",0,--(COUNTIFS(nNIA,DATOS!$A12838,nCURSO,DATOS!$D12838,nESPEC,DATOS!$E12838,nASIG,DATOS!$I12838,nEVAL,"OR")=0))</f>
      </c>
      <c r="I12838">
        <f>IF(DATOS!$I12838="","",IFERROR(VLOOKUP(DATOS!$I12838,CONFIG_ASIGNATURAS!$B$2:$J$91,9,FALSE()),""))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IF(DATOS!$A12839="",0,IF(CONFIG_METADATA!$B$4&lt;&gt;"OR+EX",--(DATOS!$G12839=CONFIG_METADATA!$B$4),IF(DATOS!$G12839="EX",1,IF(DATOS!$G12839="OR",--(COUNTIFS(nNIA,DATOS!$A12839,nCURSO,DATOS!$D12839,nESPEC,DATOS!$E12839,nASIG,DATOS!$I12839,nEVAL,"EX")=0),0))))</f>
      </c>
      <c r="H12839">
        <f>IF(DATOS!$G12839&lt;&gt;"EX",0,--(COUNTIFS(nNIA,DATOS!$A12839,nCURSO,DATOS!$D12839,nESPEC,DATOS!$E12839,nASIG,DATOS!$I12839,nEVAL,"OR")=0))</f>
      </c>
      <c r="I12839">
        <f>IF(DATOS!$I12839="","",IFERROR(VLOOKUP(DATOS!$I12839,CONFIG_ASIGNATURAS!$B$2:$J$91,9,FALSE()),""))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IF(DATOS!$A12840="",0,IF(CONFIG_METADATA!$B$4&lt;&gt;"OR+EX",--(DATOS!$G12840=CONFIG_METADATA!$B$4),IF(DATOS!$G12840="EX",1,IF(DATOS!$G12840="OR",--(COUNTIFS(nNIA,DATOS!$A12840,nCURSO,DATOS!$D12840,nESPEC,DATOS!$E12840,nASIG,DATOS!$I12840,nEVAL,"EX")=0),0))))</f>
      </c>
      <c r="H12840">
        <f>IF(DATOS!$G12840&lt;&gt;"EX",0,--(COUNTIFS(nNIA,DATOS!$A12840,nCURSO,DATOS!$D12840,nESPEC,DATOS!$E12840,nASIG,DATOS!$I12840,nEVAL,"OR")=0))</f>
      </c>
      <c r="I12840">
        <f>IF(DATOS!$I12840="","",IFERROR(VLOOKUP(DATOS!$I12840,CONFIG_ASIGNATURAS!$B$2:$J$91,9,FALSE()),""))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IF(DATOS!$A12841="",0,IF(CONFIG_METADATA!$B$4&lt;&gt;"OR+EX",--(DATOS!$G12841=CONFIG_METADATA!$B$4),IF(DATOS!$G12841="EX",1,IF(DATOS!$G12841="OR",--(COUNTIFS(nNIA,DATOS!$A12841,nCURSO,DATOS!$D12841,nESPEC,DATOS!$E12841,nASIG,DATOS!$I12841,nEVAL,"EX")=0),0))))</f>
      </c>
      <c r="H12841">
        <f>IF(DATOS!$G12841&lt;&gt;"EX",0,--(COUNTIFS(nNIA,DATOS!$A12841,nCURSO,DATOS!$D12841,nESPEC,DATOS!$E12841,nASIG,DATOS!$I12841,nEVAL,"OR")=0))</f>
      </c>
      <c r="I12841">
        <f>IF(DATOS!$I12841="","",IFERROR(VLOOKUP(DATOS!$I12841,CONFIG_ASIGNATURAS!$B$2:$J$91,9,FALSE()),""))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IF(DATOS!$A12842="",0,IF(CONFIG_METADATA!$B$4&lt;&gt;"OR+EX",--(DATOS!$G12842=CONFIG_METADATA!$B$4),IF(DATOS!$G12842="EX",1,IF(DATOS!$G12842="OR",--(COUNTIFS(nNIA,DATOS!$A12842,nCURSO,DATOS!$D12842,nESPEC,DATOS!$E12842,nASIG,DATOS!$I12842,nEVAL,"EX")=0),0))))</f>
      </c>
      <c r="H12842">
        <f>IF(DATOS!$G12842&lt;&gt;"EX",0,--(COUNTIFS(nNIA,DATOS!$A12842,nCURSO,DATOS!$D12842,nESPEC,DATOS!$E12842,nASIG,DATOS!$I12842,nEVAL,"OR")=0))</f>
      </c>
      <c r="I12842">
        <f>IF(DATOS!$I12842="","",IFERROR(VLOOKUP(DATOS!$I12842,CONFIG_ASIGNATURAS!$B$2:$J$91,9,FALSE()),""))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IF(DATOS!$A12843="",0,IF(CONFIG_METADATA!$B$4&lt;&gt;"OR+EX",--(DATOS!$G12843=CONFIG_METADATA!$B$4),IF(DATOS!$G12843="EX",1,IF(DATOS!$G12843="OR",--(COUNTIFS(nNIA,DATOS!$A12843,nCURSO,DATOS!$D12843,nESPEC,DATOS!$E12843,nASIG,DATOS!$I12843,nEVAL,"EX")=0),0))))</f>
      </c>
      <c r="H12843">
        <f>IF(DATOS!$G12843&lt;&gt;"EX",0,--(COUNTIFS(nNIA,DATOS!$A12843,nCURSO,DATOS!$D12843,nESPEC,DATOS!$E12843,nASIG,DATOS!$I12843,nEVAL,"OR")=0))</f>
      </c>
      <c r="I12843">
        <f>IF(DATOS!$I12843="","",IFERROR(VLOOKUP(DATOS!$I12843,CONFIG_ASIGNATURAS!$B$2:$J$91,9,FALSE()),""))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IF(DATOS!$A12844="",0,IF(CONFIG_METADATA!$B$4&lt;&gt;"OR+EX",--(DATOS!$G12844=CONFIG_METADATA!$B$4),IF(DATOS!$G12844="EX",1,IF(DATOS!$G12844="OR",--(COUNTIFS(nNIA,DATOS!$A12844,nCURSO,DATOS!$D12844,nESPEC,DATOS!$E12844,nASIG,DATOS!$I12844,nEVAL,"EX")=0),0))))</f>
      </c>
      <c r="H12844">
        <f>IF(DATOS!$G12844&lt;&gt;"EX",0,--(COUNTIFS(nNIA,DATOS!$A12844,nCURSO,DATOS!$D12844,nESPEC,DATOS!$E12844,nASIG,DATOS!$I12844,nEVAL,"OR")=0))</f>
      </c>
      <c r="I12844">
        <f>IF(DATOS!$I12844="","",IFERROR(VLOOKUP(DATOS!$I12844,CONFIG_ASIGNATURAS!$B$2:$J$91,9,FALSE()),""))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IF(DATOS!$A12845="",0,IF(CONFIG_METADATA!$B$4&lt;&gt;"OR+EX",--(DATOS!$G12845=CONFIG_METADATA!$B$4),IF(DATOS!$G12845="EX",1,IF(DATOS!$G12845="OR",--(COUNTIFS(nNIA,DATOS!$A12845,nCURSO,DATOS!$D12845,nESPEC,DATOS!$E12845,nASIG,DATOS!$I12845,nEVAL,"EX")=0),0))))</f>
      </c>
      <c r="H12845">
        <f>IF(DATOS!$G12845&lt;&gt;"EX",0,--(COUNTIFS(nNIA,DATOS!$A12845,nCURSO,DATOS!$D12845,nESPEC,DATOS!$E12845,nASIG,DATOS!$I12845,nEVAL,"OR")=0))</f>
      </c>
      <c r="I12845">
        <f>IF(DATOS!$I12845="","",IFERROR(VLOOKUP(DATOS!$I12845,CONFIG_ASIGNATURAS!$B$2:$J$91,9,FALSE()),""))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IF(DATOS!$A12846="",0,IF(CONFIG_METADATA!$B$4&lt;&gt;"OR+EX",--(DATOS!$G12846=CONFIG_METADATA!$B$4),IF(DATOS!$G12846="EX",1,IF(DATOS!$G12846="OR",--(COUNTIFS(nNIA,DATOS!$A12846,nCURSO,DATOS!$D12846,nESPEC,DATOS!$E12846,nASIG,DATOS!$I12846,nEVAL,"EX")=0),0))))</f>
      </c>
      <c r="H12846">
        <f>IF(DATOS!$G12846&lt;&gt;"EX",0,--(COUNTIFS(nNIA,DATOS!$A12846,nCURSO,DATOS!$D12846,nESPEC,DATOS!$E12846,nASIG,DATOS!$I12846,nEVAL,"OR")=0))</f>
      </c>
      <c r="I12846">
        <f>IF(DATOS!$I12846="","",IFERROR(VLOOKUP(DATOS!$I12846,CONFIG_ASIGNATURAS!$B$2:$J$91,9,FALSE()),""))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IF(DATOS!$A12847="",0,IF(CONFIG_METADATA!$B$4&lt;&gt;"OR+EX",--(DATOS!$G12847=CONFIG_METADATA!$B$4),IF(DATOS!$G12847="EX",1,IF(DATOS!$G12847="OR",--(COUNTIFS(nNIA,DATOS!$A12847,nCURSO,DATOS!$D12847,nESPEC,DATOS!$E12847,nASIG,DATOS!$I12847,nEVAL,"EX")=0),0))))</f>
      </c>
      <c r="H12847">
        <f>IF(DATOS!$G12847&lt;&gt;"EX",0,--(COUNTIFS(nNIA,DATOS!$A12847,nCURSO,DATOS!$D12847,nESPEC,DATOS!$E12847,nASIG,DATOS!$I12847,nEVAL,"OR")=0))</f>
      </c>
      <c r="I12847">
        <f>IF(DATOS!$I12847="","",IFERROR(VLOOKUP(DATOS!$I12847,CONFIG_ASIGNATURAS!$B$2:$J$91,9,FALSE()),""))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IF(DATOS!$A12848="",0,IF(CONFIG_METADATA!$B$4&lt;&gt;"OR+EX",--(DATOS!$G12848=CONFIG_METADATA!$B$4),IF(DATOS!$G12848="EX",1,IF(DATOS!$G12848="OR",--(COUNTIFS(nNIA,DATOS!$A12848,nCURSO,DATOS!$D12848,nESPEC,DATOS!$E12848,nASIG,DATOS!$I12848,nEVAL,"EX")=0),0))))</f>
      </c>
      <c r="H12848">
        <f>IF(DATOS!$G12848&lt;&gt;"EX",0,--(COUNTIFS(nNIA,DATOS!$A12848,nCURSO,DATOS!$D12848,nESPEC,DATOS!$E12848,nASIG,DATOS!$I12848,nEVAL,"OR")=0))</f>
      </c>
      <c r="I12848">
        <f>IF(DATOS!$I12848="","",IFERROR(VLOOKUP(DATOS!$I12848,CONFIG_ASIGNATURAS!$B$2:$J$91,9,FALSE()),""))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IF(DATOS!$A12849="",0,IF(CONFIG_METADATA!$B$4&lt;&gt;"OR+EX",--(DATOS!$G12849=CONFIG_METADATA!$B$4),IF(DATOS!$G12849="EX",1,IF(DATOS!$G12849="OR",--(COUNTIFS(nNIA,DATOS!$A12849,nCURSO,DATOS!$D12849,nESPEC,DATOS!$E12849,nASIG,DATOS!$I12849,nEVAL,"EX")=0),0))))</f>
      </c>
      <c r="H12849">
        <f>IF(DATOS!$G12849&lt;&gt;"EX",0,--(COUNTIFS(nNIA,DATOS!$A12849,nCURSO,DATOS!$D12849,nESPEC,DATOS!$E12849,nASIG,DATOS!$I12849,nEVAL,"OR")=0))</f>
      </c>
      <c r="I12849">
        <f>IF(DATOS!$I12849="","",IFERROR(VLOOKUP(DATOS!$I12849,CONFIG_ASIGNATURAS!$B$2:$J$91,9,FALSE()),""))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IF(DATOS!$A12850="",0,IF(CONFIG_METADATA!$B$4&lt;&gt;"OR+EX",--(DATOS!$G12850=CONFIG_METADATA!$B$4),IF(DATOS!$G12850="EX",1,IF(DATOS!$G12850="OR",--(COUNTIFS(nNIA,DATOS!$A12850,nCURSO,DATOS!$D12850,nESPEC,DATOS!$E12850,nASIG,DATOS!$I12850,nEVAL,"EX")=0),0))))</f>
      </c>
      <c r="H12850">
        <f>IF(DATOS!$G12850&lt;&gt;"EX",0,--(COUNTIFS(nNIA,DATOS!$A12850,nCURSO,DATOS!$D12850,nESPEC,DATOS!$E12850,nASIG,DATOS!$I12850,nEVAL,"OR")=0))</f>
      </c>
      <c r="I12850">
        <f>IF(DATOS!$I12850="","",IFERROR(VLOOKUP(DATOS!$I12850,CONFIG_ASIGNATURAS!$B$2:$J$91,9,FALSE()),""))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IF(DATOS!$A12851="",0,IF(CONFIG_METADATA!$B$4&lt;&gt;"OR+EX",--(DATOS!$G12851=CONFIG_METADATA!$B$4),IF(DATOS!$G12851="EX",1,IF(DATOS!$G12851="OR",--(COUNTIFS(nNIA,DATOS!$A12851,nCURSO,DATOS!$D12851,nESPEC,DATOS!$E12851,nASIG,DATOS!$I12851,nEVAL,"EX")=0),0))))</f>
      </c>
      <c r="H12851">
        <f>IF(DATOS!$G12851&lt;&gt;"EX",0,--(COUNTIFS(nNIA,DATOS!$A12851,nCURSO,DATOS!$D12851,nESPEC,DATOS!$E12851,nASIG,DATOS!$I12851,nEVAL,"OR")=0))</f>
      </c>
      <c r="I12851">
        <f>IF(DATOS!$I12851="","",IFERROR(VLOOKUP(DATOS!$I12851,CONFIG_ASIGNATURAS!$B$2:$J$91,9,FALSE()),""))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IF(DATOS!$A12852="",0,IF(CONFIG_METADATA!$B$4&lt;&gt;"OR+EX",--(DATOS!$G12852=CONFIG_METADATA!$B$4),IF(DATOS!$G12852="EX",1,IF(DATOS!$G12852="OR",--(COUNTIFS(nNIA,DATOS!$A12852,nCURSO,DATOS!$D12852,nESPEC,DATOS!$E12852,nASIG,DATOS!$I12852,nEVAL,"EX")=0),0))))</f>
      </c>
      <c r="H12852">
        <f>IF(DATOS!$G12852&lt;&gt;"EX",0,--(COUNTIFS(nNIA,DATOS!$A12852,nCURSO,DATOS!$D12852,nESPEC,DATOS!$E12852,nASIG,DATOS!$I12852,nEVAL,"OR")=0))</f>
      </c>
      <c r="I12852">
        <f>IF(DATOS!$I12852="","",IFERROR(VLOOKUP(DATOS!$I12852,CONFIG_ASIGNATURAS!$B$2:$J$91,9,FALSE()),""))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IF(DATOS!$A12853="",0,IF(CONFIG_METADATA!$B$4&lt;&gt;"OR+EX",--(DATOS!$G12853=CONFIG_METADATA!$B$4),IF(DATOS!$G12853="EX",1,IF(DATOS!$G12853="OR",--(COUNTIFS(nNIA,DATOS!$A12853,nCURSO,DATOS!$D12853,nESPEC,DATOS!$E12853,nASIG,DATOS!$I12853,nEVAL,"EX")=0),0))))</f>
      </c>
      <c r="H12853">
        <f>IF(DATOS!$G12853&lt;&gt;"EX",0,--(COUNTIFS(nNIA,DATOS!$A12853,nCURSO,DATOS!$D12853,nESPEC,DATOS!$E12853,nASIG,DATOS!$I12853,nEVAL,"OR")=0))</f>
      </c>
      <c r="I12853">
        <f>IF(DATOS!$I12853="","",IFERROR(VLOOKUP(DATOS!$I12853,CONFIG_ASIGNATURAS!$B$2:$J$91,9,FALSE()),""))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IF(DATOS!$A12854="",0,IF(CONFIG_METADATA!$B$4&lt;&gt;"OR+EX",--(DATOS!$G12854=CONFIG_METADATA!$B$4),IF(DATOS!$G12854="EX",1,IF(DATOS!$G12854="OR",--(COUNTIFS(nNIA,DATOS!$A12854,nCURSO,DATOS!$D12854,nESPEC,DATOS!$E12854,nASIG,DATOS!$I12854,nEVAL,"EX")=0),0))))</f>
      </c>
      <c r="H12854">
        <f>IF(DATOS!$G12854&lt;&gt;"EX",0,--(COUNTIFS(nNIA,DATOS!$A12854,nCURSO,DATOS!$D12854,nESPEC,DATOS!$E12854,nASIG,DATOS!$I12854,nEVAL,"OR")=0))</f>
      </c>
      <c r="I12854">
        <f>IF(DATOS!$I12854="","",IFERROR(VLOOKUP(DATOS!$I12854,CONFIG_ASIGNATURAS!$B$2:$J$91,9,FALSE()),""))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IF(DATOS!$A12855="",0,IF(CONFIG_METADATA!$B$4&lt;&gt;"OR+EX",--(DATOS!$G12855=CONFIG_METADATA!$B$4),IF(DATOS!$G12855="EX",1,IF(DATOS!$G12855="OR",--(COUNTIFS(nNIA,DATOS!$A12855,nCURSO,DATOS!$D12855,nESPEC,DATOS!$E12855,nASIG,DATOS!$I12855,nEVAL,"EX")=0),0))))</f>
      </c>
      <c r="H12855">
        <f>IF(DATOS!$G12855&lt;&gt;"EX",0,--(COUNTIFS(nNIA,DATOS!$A12855,nCURSO,DATOS!$D12855,nESPEC,DATOS!$E12855,nASIG,DATOS!$I12855,nEVAL,"OR")=0))</f>
      </c>
      <c r="I12855">
        <f>IF(DATOS!$I12855="","",IFERROR(VLOOKUP(DATOS!$I12855,CONFIG_ASIGNATURAS!$B$2:$J$91,9,FALSE()),""))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IF(DATOS!$A12856="",0,IF(CONFIG_METADATA!$B$4&lt;&gt;"OR+EX",--(DATOS!$G12856=CONFIG_METADATA!$B$4),IF(DATOS!$G12856="EX",1,IF(DATOS!$G12856="OR",--(COUNTIFS(nNIA,DATOS!$A12856,nCURSO,DATOS!$D12856,nESPEC,DATOS!$E12856,nASIG,DATOS!$I12856,nEVAL,"EX")=0),0))))</f>
      </c>
      <c r="H12856">
        <f>IF(DATOS!$G12856&lt;&gt;"EX",0,--(COUNTIFS(nNIA,DATOS!$A12856,nCURSO,DATOS!$D12856,nESPEC,DATOS!$E12856,nASIG,DATOS!$I12856,nEVAL,"OR")=0))</f>
      </c>
      <c r="I12856">
        <f>IF(DATOS!$I12856="","",IFERROR(VLOOKUP(DATOS!$I12856,CONFIG_ASIGNATURAS!$B$2:$J$91,9,FALSE()),""))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IF(DATOS!$A12857="",0,IF(CONFIG_METADATA!$B$4&lt;&gt;"OR+EX",--(DATOS!$G12857=CONFIG_METADATA!$B$4),IF(DATOS!$G12857="EX",1,IF(DATOS!$G12857="OR",--(COUNTIFS(nNIA,DATOS!$A12857,nCURSO,DATOS!$D12857,nESPEC,DATOS!$E12857,nASIG,DATOS!$I12857,nEVAL,"EX")=0),0))))</f>
      </c>
      <c r="H12857">
        <f>IF(DATOS!$G12857&lt;&gt;"EX",0,--(COUNTIFS(nNIA,DATOS!$A12857,nCURSO,DATOS!$D12857,nESPEC,DATOS!$E12857,nASIG,DATOS!$I12857,nEVAL,"OR")=0))</f>
      </c>
      <c r="I12857">
        <f>IF(DATOS!$I12857="","",IFERROR(VLOOKUP(DATOS!$I12857,CONFIG_ASIGNATURAS!$B$2:$J$91,9,FALSE()),""))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IF(DATOS!$A12858="",0,IF(CONFIG_METADATA!$B$4&lt;&gt;"OR+EX",--(DATOS!$G12858=CONFIG_METADATA!$B$4),IF(DATOS!$G12858="EX",1,IF(DATOS!$G12858="OR",--(COUNTIFS(nNIA,DATOS!$A12858,nCURSO,DATOS!$D12858,nESPEC,DATOS!$E12858,nASIG,DATOS!$I12858,nEVAL,"EX")=0),0))))</f>
      </c>
      <c r="H12858">
        <f>IF(DATOS!$G12858&lt;&gt;"EX",0,--(COUNTIFS(nNIA,DATOS!$A12858,nCURSO,DATOS!$D12858,nESPEC,DATOS!$E12858,nASIG,DATOS!$I12858,nEVAL,"OR")=0))</f>
      </c>
      <c r="I12858">
        <f>IF(DATOS!$I12858="","",IFERROR(VLOOKUP(DATOS!$I12858,CONFIG_ASIGNATURAS!$B$2:$J$91,9,FALSE()),""))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IF(DATOS!$A12859="",0,IF(CONFIG_METADATA!$B$4&lt;&gt;"OR+EX",--(DATOS!$G12859=CONFIG_METADATA!$B$4),IF(DATOS!$G12859="EX",1,IF(DATOS!$G12859="OR",--(COUNTIFS(nNIA,DATOS!$A12859,nCURSO,DATOS!$D12859,nESPEC,DATOS!$E12859,nASIG,DATOS!$I12859,nEVAL,"EX")=0),0))))</f>
      </c>
      <c r="H12859">
        <f>IF(DATOS!$G12859&lt;&gt;"EX",0,--(COUNTIFS(nNIA,DATOS!$A12859,nCURSO,DATOS!$D12859,nESPEC,DATOS!$E12859,nASIG,DATOS!$I12859,nEVAL,"OR")=0))</f>
      </c>
      <c r="I12859">
        <f>IF(DATOS!$I12859="","",IFERROR(VLOOKUP(DATOS!$I12859,CONFIG_ASIGNATURAS!$B$2:$J$91,9,FALSE()),""))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IF(DATOS!$A12860="",0,IF(CONFIG_METADATA!$B$4&lt;&gt;"OR+EX",--(DATOS!$G12860=CONFIG_METADATA!$B$4),IF(DATOS!$G12860="EX",1,IF(DATOS!$G12860="OR",--(COUNTIFS(nNIA,DATOS!$A12860,nCURSO,DATOS!$D12860,nESPEC,DATOS!$E12860,nASIG,DATOS!$I12860,nEVAL,"EX")=0),0))))</f>
      </c>
      <c r="H12860">
        <f>IF(DATOS!$G12860&lt;&gt;"EX",0,--(COUNTIFS(nNIA,DATOS!$A12860,nCURSO,DATOS!$D12860,nESPEC,DATOS!$E12860,nASIG,DATOS!$I12860,nEVAL,"OR")=0))</f>
      </c>
      <c r="I12860">
        <f>IF(DATOS!$I12860="","",IFERROR(VLOOKUP(DATOS!$I12860,CONFIG_ASIGNATURAS!$B$2:$J$91,9,FALSE()),""))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IF(DATOS!$A12861="",0,IF(CONFIG_METADATA!$B$4&lt;&gt;"OR+EX",--(DATOS!$G12861=CONFIG_METADATA!$B$4),IF(DATOS!$G12861="EX",1,IF(DATOS!$G12861="OR",--(COUNTIFS(nNIA,DATOS!$A12861,nCURSO,DATOS!$D12861,nESPEC,DATOS!$E12861,nASIG,DATOS!$I12861,nEVAL,"EX")=0),0))))</f>
      </c>
      <c r="H12861">
        <f>IF(DATOS!$G12861&lt;&gt;"EX",0,--(COUNTIFS(nNIA,DATOS!$A12861,nCURSO,DATOS!$D12861,nESPEC,DATOS!$E12861,nASIG,DATOS!$I12861,nEVAL,"OR")=0))</f>
      </c>
      <c r="I12861">
        <f>IF(DATOS!$I12861="","",IFERROR(VLOOKUP(DATOS!$I12861,CONFIG_ASIGNATURAS!$B$2:$J$91,9,FALSE()),""))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IF(DATOS!$A12862="",0,IF(CONFIG_METADATA!$B$4&lt;&gt;"OR+EX",--(DATOS!$G12862=CONFIG_METADATA!$B$4),IF(DATOS!$G12862="EX",1,IF(DATOS!$G12862="OR",--(COUNTIFS(nNIA,DATOS!$A12862,nCURSO,DATOS!$D12862,nESPEC,DATOS!$E12862,nASIG,DATOS!$I12862,nEVAL,"EX")=0),0))))</f>
      </c>
      <c r="H12862">
        <f>IF(DATOS!$G12862&lt;&gt;"EX",0,--(COUNTIFS(nNIA,DATOS!$A12862,nCURSO,DATOS!$D12862,nESPEC,DATOS!$E12862,nASIG,DATOS!$I12862,nEVAL,"OR")=0))</f>
      </c>
      <c r="I12862">
        <f>IF(DATOS!$I12862="","",IFERROR(VLOOKUP(DATOS!$I12862,CONFIG_ASIGNATURAS!$B$2:$J$91,9,FALSE()),""))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IF(DATOS!$A12863="",0,IF(CONFIG_METADATA!$B$4&lt;&gt;"OR+EX",--(DATOS!$G12863=CONFIG_METADATA!$B$4),IF(DATOS!$G12863="EX",1,IF(DATOS!$G12863="OR",--(COUNTIFS(nNIA,DATOS!$A12863,nCURSO,DATOS!$D12863,nESPEC,DATOS!$E12863,nASIG,DATOS!$I12863,nEVAL,"EX")=0),0))))</f>
      </c>
      <c r="H12863">
        <f>IF(DATOS!$G12863&lt;&gt;"EX",0,--(COUNTIFS(nNIA,DATOS!$A12863,nCURSO,DATOS!$D12863,nESPEC,DATOS!$E12863,nASIG,DATOS!$I12863,nEVAL,"OR")=0))</f>
      </c>
      <c r="I12863">
        <f>IF(DATOS!$I12863="","",IFERROR(VLOOKUP(DATOS!$I12863,CONFIG_ASIGNATURAS!$B$2:$J$91,9,FALSE()),""))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IF(DATOS!$A12864="",0,IF(CONFIG_METADATA!$B$4&lt;&gt;"OR+EX",--(DATOS!$G12864=CONFIG_METADATA!$B$4),IF(DATOS!$G12864="EX",1,IF(DATOS!$G12864="OR",--(COUNTIFS(nNIA,DATOS!$A12864,nCURSO,DATOS!$D12864,nESPEC,DATOS!$E12864,nASIG,DATOS!$I12864,nEVAL,"EX")=0),0))))</f>
      </c>
      <c r="H12864">
        <f>IF(DATOS!$G12864&lt;&gt;"EX",0,--(COUNTIFS(nNIA,DATOS!$A12864,nCURSO,DATOS!$D12864,nESPEC,DATOS!$E12864,nASIG,DATOS!$I12864,nEVAL,"OR")=0))</f>
      </c>
      <c r="I12864">
        <f>IF(DATOS!$I12864="","",IFERROR(VLOOKUP(DATOS!$I12864,CONFIG_ASIGNATURAS!$B$2:$J$91,9,FALSE()),""))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IF(DATOS!$A12865="",0,IF(CONFIG_METADATA!$B$4&lt;&gt;"OR+EX",--(DATOS!$G12865=CONFIG_METADATA!$B$4),IF(DATOS!$G12865="EX",1,IF(DATOS!$G12865="OR",--(COUNTIFS(nNIA,DATOS!$A12865,nCURSO,DATOS!$D12865,nESPEC,DATOS!$E12865,nASIG,DATOS!$I12865,nEVAL,"EX")=0),0))))</f>
      </c>
      <c r="H12865">
        <f>IF(DATOS!$G12865&lt;&gt;"EX",0,--(COUNTIFS(nNIA,DATOS!$A12865,nCURSO,DATOS!$D12865,nESPEC,DATOS!$E12865,nASIG,DATOS!$I12865,nEVAL,"OR")=0))</f>
      </c>
      <c r="I12865">
        <f>IF(DATOS!$I12865="","",IFERROR(VLOOKUP(DATOS!$I12865,CONFIG_ASIGNATURAS!$B$2:$J$91,9,FALSE()),""))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IF(DATOS!$A12866="",0,IF(CONFIG_METADATA!$B$4&lt;&gt;"OR+EX",--(DATOS!$G12866=CONFIG_METADATA!$B$4),IF(DATOS!$G12866="EX",1,IF(DATOS!$G12866="OR",--(COUNTIFS(nNIA,DATOS!$A12866,nCURSO,DATOS!$D12866,nESPEC,DATOS!$E12866,nASIG,DATOS!$I12866,nEVAL,"EX")=0),0))))</f>
      </c>
      <c r="H12866">
        <f>IF(DATOS!$G12866&lt;&gt;"EX",0,--(COUNTIFS(nNIA,DATOS!$A12866,nCURSO,DATOS!$D12866,nESPEC,DATOS!$E12866,nASIG,DATOS!$I12866,nEVAL,"OR")=0))</f>
      </c>
      <c r="I12866">
        <f>IF(DATOS!$I12866="","",IFERROR(VLOOKUP(DATOS!$I12866,CONFIG_ASIGNATURAS!$B$2:$J$91,9,FALSE()),""))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IF(DATOS!$A12867="",0,IF(CONFIG_METADATA!$B$4&lt;&gt;"OR+EX",--(DATOS!$G12867=CONFIG_METADATA!$B$4),IF(DATOS!$G12867="EX",1,IF(DATOS!$G12867="OR",--(COUNTIFS(nNIA,DATOS!$A12867,nCURSO,DATOS!$D12867,nESPEC,DATOS!$E12867,nASIG,DATOS!$I12867,nEVAL,"EX")=0),0))))</f>
      </c>
      <c r="H12867">
        <f>IF(DATOS!$G12867&lt;&gt;"EX",0,--(COUNTIFS(nNIA,DATOS!$A12867,nCURSO,DATOS!$D12867,nESPEC,DATOS!$E12867,nASIG,DATOS!$I12867,nEVAL,"OR")=0))</f>
      </c>
      <c r="I12867">
        <f>IF(DATOS!$I12867="","",IFERROR(VLOOKUP(DATOS!$I12867,CONFIG_ASIGNATURAS!$B$2:$J$91,9,FALSE()),""))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IF(DATOS!$A12868="",0,IF(CONFIG_METADATA!$B$4&lt;&gt;"OR+EX",--(DATOS!$G12868=CONFIG_METADATA!$B$4),IF(DATOS!$G12868="EX",1,IF(DATOS!$G12868="OR",--(COUNTIFS(nNIA,DATOS!$A12868,nCURSO,DATOS!$D12868,nESPEC,DATOS!$E12868,nASIG,DATOS!$I12868,nEVAL,"EX")=0),0))))</f>
      </c>
      <c r="H12868">
        <f>IF(DATOS!$G12868&lt;&gt;"EX",0,--(COUNTIFS(nNIA,DATOS!$A12868,nCURSO,DATOS!$D12868,nESPEC,DATOS!$E12868,nASIG,DATOS!$I12868,nEVAL,"OR")=0))</f>
      </c>
      <c r="I12868">
        <f>IF(DATOS!$I12868="","",IFERROR(VLOOKUP(DATOS!$I12868,CONFIG_ASIGNATURAS!$B$2:$J$91,9,FALSE()),""))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IF(DATOS!$A12869="",0,IF(CONFIG_METADATA!$B$4&lt;&gt;"OR+EX",--(DATOS!$G12869=CONFIG_METADATA!$B$4),IF(DATOS!$G12869="EX",1,IF(DATOS!$G12869="OR",--(COUNTIFS(nNIA,DATOS!$A12869,nCURSO,DATOS!$D12869,nESPEC,DATOS!$E12869,nASIG,DATOS!$I12869,nEVAL,"EX")=0),0))))</f>
      </c>
      <c r="H12869">
        <f>IF(DATOS!$G12869&lt;&gt;"EX",0,--(COUNTIFS(nNIA,DATOS!$A12869,nCURSO,DATOS!$D12869,nESPEC,DATOS!$E12869,nASIG,DATOS!$I12869,nEVAL,"OR")=0))</f>
      </c>
      <c r="I12869">
        <f>IF(DATOS!$I12869="","",IFERROR(VLOOKUP(DATOS!$I12869,CONFIG_ASIGNATURAS!$B$2:$J$91,9,FALSE()),""))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IF(DATOS!$A12870="",0,IF(CONFIG_METADATA!$B$4&lt;&gt;"OR+EX",--(DATOS!$G12870=CONFIG_METADATA!$B$4),IF(DATOS!$G12870="EX",1,IF(DATOS!$G12870="OR",--(COUNTIFS(nNIA,DATOS!$A12870,nCURSO,DATOS!$D12870,nESPEC,DATOS!$E12870,nASIG,DATOS!$I12870,nEVAL,"EX")=0),0))))</f>
      </c>
      <c r="H12870">
        <f>IF(DATOS!$G12870&lt;&gt;"EX",0,--(COUNTIFS(nNIA,DATOS!$A12870,nCURSO,DATOS!$D12870,nESPEC,DATOS!$E12870,nASIG,DATOS!$I12870,nEVAL,"OR")=0))</f>
      </c>
      <c r="I12870">
        <f>IF(DATOS!$I12870="","",IFERROR(VLOOKUP(DATOS!$I12870,CONFIG_ASIGNATURAS!$B$2:$J$91,9,FALSE()),""))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IF(DATOS!$A12871="",0,IF(CONFIG_METADATA!$B$4&lt;&gt;"OR+EX",--(DATOS!$G12871=CONFIG_METADATA!$B$4),IF(DATOS!$G12871="EX",1,IF(DATOS!$G12871="OR",--(COUNTIFS(nNIA,DATOS!$A12871,nCURSO,DATOS!$D12871,nESPEC,DATOS!$E12871,nASIG,DATOS!$I12871,nEVAL,"EX")=0),0))))</f>
      </c>
      <c r="H12871">
        <f>IF(DATOS!$G12871&lt;&gt;"EX",0,--(COUNTIFS(nNIA,DATOS!$A12871,nCURSO,DATOS!$D12871,nESPEC,DATOS!$E12871,nASIG,DATOS!$I12871,nEVAL,"OR")=0))</f>
      </c>
      <c r="I12871">
        <f>IF(DATOS!$I12871="","",IFERROR(VLOOKUP(DATOS!$I12871,CONFIG_ASIGNATURAS!$B$2:$J$91,9,FALSE()),""))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IF(DATOS!$A12872="",0,IF(CONFIG_METADATA!$B$4&lt;&gt;"OR+EX",--(DATOS!$G12872=CONFIG_METADATA!$B$4),IF(DATOS!$G12872="EX",1,IF(DATOS!$G12872="OR",--(COUNTIFS(nNIA,DATOS!$A12872,nCURSO,DATOS!$D12872,nESPEC,DATOS!$E12872,nASIG,DATOS!$I12872,nEVAL,"EX")=0),0))))</f>
      </c>
      <c r="H12872">
        <f>IF(DATOS!$G12872&lt;&gt;"EX",0,--(COUNTIFS(nNIA,DATOS!$A12872,nCURSO,DATOS!$D12872,nESPEC,DATOS!$E12872,nASIG,DATOS!$I12872,nEVAL,"OR")=0))</f>
      </c>
      <c r="I12872">
        <f>IF(DATOS!$I12872="","",IFERROR(VLOOKUP(DATOS!$I12872,CONFIG_ASIGNATURAS!$B$2:$J$91,9,FALSE()),""))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IF(DATOS!$A12873="",0,IF(CONFIG_METADATA!$B$4&lt;&gt;"OR+EX",--(DATOS!$G12873=CONFIG_METADATA!$B$4),IF(DATOS!$G12873="EX",1,IF(DATOS!$G12873="OR",--(COUNTIFS(nNIA,DATOS!$A12873,nCURSO,DATOS!$D12873,nESPEC,DATOS!$E12873,nASIG,DATOS!$I12873,nEVAL,"EX")=0),0))))</f>
      </c>
      <c r="H12873">
        <f>IF(DATOS!$G12873&lt;&gt;"EX",0,--(COUNTIFS(nNIA,DATOS!$A12873,nCURSO,DATOS!$D12873,nESPEC,DATOS!$E12873,nASIG,DATOS!$I12873,nEVAL,"OR")=0))</f>
      </c>
      <c r="I12873">
        <f>IF(DATOS!$I12873="","",IFERROR(VLOOKUP(DATOS!$I12873,CONFIG_ASIGNATURAS!$B$2:$J$91,9,FALSE()),""))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IF(DATOS!$A12874="",0,IF(CONFIG_METADATA!$B$4&lt;&gt;"OR+EX",--(DATOS!$G12874=CONFIG_METADATA!$B$4),IF(DATOS!$G12874="EX",1,IF(DATOS!$G12874="OR",--(COUNTIFS(nNIA,DATOS!$A12874,nCURSO,DATOS!$D12874,nESPEC,DATOS!$E12874,nASIG,DATOS!$I12874,nEVAL,"EX")=0),0))))</f>
      </c>
      <c r="H12874">
        <f>IF(DATOS!$G12874&lt;&gt;"EX",0,--(COUNTIFS(nNIA,DATOS!$A12874,nCURSO,DATOS!$D12874,nESPEC,DATOS!$E12874,nASIG,DATOS!$I12874,nEVAL,"OR")=0))</f>
      </c>
      <c r="I12874">
        <f>IF(DATOS!$I12874="","",IFERROR(VLOOKUP(DATOS!$I12874,CONFIG_ASIGNATURAS!$B$2:$J$91,9,FALSE()),""))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IF(DATOS!$A12875="",0,IF(CONFIG_METADATA!$B$4&lt;&gt;"OR+EX",--(DATOS!$G12875=CONFIG_METADATA!$B$4),IF(DATOS!$G12875="EX",1,IF(DATOS!$G12875="OR",--(COUNTIFS(nNIA,DATOS!$A12875,nCURSO,DATOS!$D12875,nESPEC,DATOS!$E12875,nASIG,DATOS!$I12875,nEVAL,"EX")=0),0))))</f>
      </c>
      <c r="H12875">
        <f>IF(DATOS!$G12875&lt;&gt;"EX",0,--(COUNTIFS(nNIA,DATOS!$A12875,nCURSO,DATOS!$D12875,nESPEC,DATOS!$E12875,nASIG,DATOS!$I12875,nEVAL,"OR")=0))</f>
      </c>
      <c r="I12875">
        <f>IF(DATOS!$I12875="","",IFERROR(VLOOKUP(DATOS!$I12875,CONFIG_ASIGNATURAS!$B$2:$J$91,9,FALSE()),""))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IF(DATOS!$A12876="",0,IF(CONFIG_METADATA!$B$4&lt;&gt;"OR+EX",--(DATOS!$G12876=CONFIG_METADATA!$B$4),IF(DATOS!$G12876="EX",1,IF(DATOS!$G12876="OR",--(COUNTIFS(nNIA,DATOS!$A12876,nCURSO,DATOS!$D12876,nESPEC,DATOS!$E12876,nASIG,DATOS!$I12876,nEVAL,"EX")=0),0))))</f>
      </c>
      <c r="H12876">
        <f>IF(DATOS!$G12876&lt;&gt;"EX",0,--(COUNTIFS(nNIA,DATOS!$A12876,nCURSO,DATOS!$D12876,nESPEC,DATOS!$E12876,nASIG,DATOS!$I12876,nEVAL,"OR")=0))</f>
      </c>
      <c r="I12876">
        <f>IF(DATOS!$I12876="","",IFERROR(VLOOKUP(DATOS!$I12876,CONFIG_ASIGNATURAS!$B$2:$J$91,9,FALSE()),""))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IF(DATOS!$A12877="",0,IF(CONFIG_METADATA!$B$4&lt;&gt;"OR+EX",--(DATOS!$G12877=CONFIG_METADATA!$B$4),IF(DATOS!$G12877="EX",1,IF(DATOS!$G12877="OR",--(COUNTIFS(nNIA,DATOS!$A12877,nCURSO,DATOS!$D12877,nESPEC,DATOS!$E12877,nASIG,DATOS!$I12877,nEVAL,"EX")=0),0))))</f>
      </c>
      <c r="H12877">
        <f>IF(DATOS!$G12877&lt;&gt;"EX",0,--(COUNTIFS(nNIA,DATOS!$A12877,nCURSO,DATOS!$D12877,nESPEC,DATOS!$E12877,nASIG,DATOS!$I12877,nEVAL,"OR")=0))</f>
      </c>
      <c r="I12877">
        <f>IF(DATOS!$I12877="","",IFERROR(VLOOKUP(DATOS!$I12877,CONFIG_ASIGNATURAS!$B$2:$J$91,9,FALSE()),""))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IF(DATOS!$A12878="",0,IF(CONFIG_METADATA!$B$4&lt;&gt;"OR+EX",--(DATOS!$G12878=CONFIG_METADATA!$B$4),IF(DATOS!$G12878="EX",1,IF(DATOS!$G12878="OR",--(COUNTIFS(nNIA,DATOS!$A12878,nCURSO,DATOS!$D12878,nESPEC,DATOS!$E12878,nASIG,DATOS!$I12878,nEVAL,"EX")=0),0))))</f>
      </c>
      <c r="H12878">
        <f>IF(DATOS!$G12878&lt;&gt;"EX",0,--(COUNTIFS(nNIA,DATOS!$A12878,nCURSO,DATOS!$D12878,nESPEC,DATOS!$E12878,nASIG,DATOS!$I12878,nEVAL,"OR")=0))</f>
      </c>
      <c r="I12878">
        <f>IF(DATOS!$I12878="","",IFERROR(VLOOKUP(DATOS!$I12878,CONFIG_ASIGNATURAS!$B$2:$J$91,9,FALSE()),""))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IF(DATOS!$A12879="",0,IF(CONFIG_METADATA!$B$4&lt;&gt;"OR+EX",--(DATOS!$G12879=CONFIG_METADATA!$B$4),IF(DATOS!$G12879="EX",1,IF(DATOS!$G12879="OR",--(COUNTIFS(nNIA,DATOS!$A12879,nCURSO,DATOS!$D12879,nESPEC,DATOS!$E12879,nASIG,DATOS!$I12879,nEVAL,"EX")=0),0))))</f>
      </c>
      <c r="H12879">
        <f>IF(DATOS!$G12879&lt;&gt;"EX",0,--(COUNTIFS(nNIA,DATOS!$A12879,nCURSO,DATOS!$D12879,nESPEC,DATOS!$E12879,nASIG,DATOS!$I12879,nEVAL,"OR")=0))</f>
      </c>
      <c r="I12879">
        <f>IF(DATOS!$I12879="","",IFERROR(VLOOKUP(DATOS!$I12879,CONFIG_ASIGNATURAS!$B$2:$J$91,9,FALSE()),""))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IF(DATOS!$A12880="",0,IF(CONFIG_METADATA!$B$4&lt;&gt;"OR+EX",--(DATOS!$G12880=CONFIG_METADATA!$B$4),IF(DATOS!$G12880="EX",1,IF(DATOS!$G12880="OR",--(COUNTIFS(nNIA,DATOS!$A12880,nCURSO,DATOS!$D12880,nESPEC,DATOS!$E12880,nASIG,DATOS!$I12880,nEVAL,"EX")=0),0))))</f>
      </c>
      <c r="H12880">
        <f>IF(DATOS!$G12880&lt;&gt;"EX",0,--(COUNTIFS(nNIA,DATOS!$A12880,nCURSO,DATOS!$D12880,nESPEC,DATOS!$E12880,nASIG,DATOS!$I12880,nEVAL,"OR")=0))</f>
      </c>
      <c r="I12880">
        <f>IF(DATOS!$I12880="","",IFERROR(VLOOKUP(DATOS!$I12880,CONFIG_ASIGNATURAS!$B$2:$J$91,9,FALSE()),""))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IF(DATOS!$A12881="",0,IF(CONFIG_METADATA!$B$4&lt;&gt;"OR+EX",--(DATOS!$G12881=CONFIG_METADATA!$B$4),IF(DATOS!$G12881="EX",1,IF(DATOS!$G12881="OR",--(COUNTIFS(nNIA,DATOS!$A12881,nCURSO,DATOS!$D12881,nESPEC,DATOS!$E12881,nASIG,DATOS!$I12881,nEVAL,"EX")=0),0))))</f>
      </c>
      <c r="H12881">
        <f>IF(DATOS!$G12881&lt;&gt;"EX",0,--(COUNTIFS(nNIA,DATOS!$A12881,nCURSO,DATOS!$D12881,nESPEC,DATOS!$E12881,nASIG,DATOS!$I12881,nEVAL,"OR")=0))</f>
      </c>
      <c r="I12881">
        <f>IF(DATOS!$I12881="","",IFERROR(VLOOKUP(DATOS!$I12881,CONFIG_ASIGNATURAS!$B$2:$J$91,9,FALSE()),""))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IF(DATOS!$A12882="",0,IF(CONFIG_METADATA!$B$4&lt;&gt;"OR+EX",--(DATOS!$G12882=CONFIG_METADATA!$B$4),IF(DATOS!$G12882="EX",1,IF(DATOS!$G12882="OR",--(COUNTIFS(nNIA,DATOS!$A12882,nCURSO,DATOS!$D12882,nESPEC,DATOS!$E12882,nASIG,DATOS!$I12882,nEVAL,"EX")=0),0))))</f>
      </c>
      <c r="H12882">
        <f>IF(DATOS!$G12882&lt;&gt;"EX",0,--(COUNTIFS(nNIA,DATOS!$A12882,nCURSO,DATOS!$D12882,nESPEC,DATOS!$E12882,nASIG,DATOS!$I12882,nEVAL,"OR")=0))</f>
      </c>
      <c r="I12882">
        <f>IF(DATOS!$I12882="","",IFERROR(VLOOKUP(DATOS!$I12882,CONFIG_ASIGNATURAS!$B$2:$J$91,9,FALSE()),""))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IF(DATOS!$A12883="",0,IF(CONFIG_METADATA!$B$4&lt;&gt;"OR+EX",--(DATOS!$G12883=CONFIG_METADATA!$B$4),IF(DATOS!$G12883="EX",1,IF(DATOS!$G12883="OR",--(COUNTIFS(nNIA,DATOS!$A12883,nCURSO,DATOS!$D12883,nESPEC,DATOS!$E12883,nASIG,DATOS!$I12883,nEVAL,"EX")=0),0))))</f>
      </c>
      <c r="H12883">
        <f>IF(DATOS!$G12883&lt;&gt;"EX",0,--(COUNTIFS(nNIA,DATOS!$A12883,nCURSO,DATOS!$D12883,nESPEC,DATOS!$E12883,nASIG,DATOS!$I12883,nEVAL,"OR")=0))</f>
      </c>
      <c r="I12883">
        <f>IF(DATOS!$I12883="","",IFERROR(VLOOKUP(DATOS!$I12883,CONFIG_ASIGNATURAS!$B$2:$J$91,9,FALSE()),""))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IF(DATOS!$A12884="",0,IF(CONFIG_METADATA!$B$4&lt;&gt;"OR+EX",--(DATOS!$G12884=CONFIG_METADATA!$B$4),IF(DATOS!$G12884="EX",1,IF(DATOS!$G12884="OR",--(COUNTIFS(nNIA,DATOS!$A12884,nCURSO,DATOS!$D12884,nESPEC,DATOS!$E12884,nASIG,DATOS!$I12884,nEVAL,"EX")=0),0))))</f>
      </c>
      <c r="H12884">
        <f>IF(DATOS!$G12884&lt;&gt;"EX",0,--(COUNTIFS(nNIA,DATOS!$A12884,nCURSO,DATOS!$D12884,nESPEC,DATOS!$E12884,nASIG,DATOS!$I12884,nEVAL,"OR")=0))</f>
      </c>
      <c r="I12884">
        <f>IF(DATOS!$I12884="","",IFERROR(VLOOKUP(DATOS!$I12884,CONFIG_ASIGNATURAS!$B$2:$J$91,9,FALSE()),""))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IF(DATOS!$A12885="",0,IF(CONFIG_METADATA!$B$4&lt;&gt;"OR+EX",--(DATOS!$G12885=CONFIG_METADATA!$B$4),IF(DATOS!$G12885="EX",1,IF(DATOS!$G12885="OR",--(COUNTIFS(nNIA,DATOS!$A12885,nCURSO,DATOS!$D12885,nESPEC,DATOS!$E12885,nASIG,DATOS!$I12885,nEVAL,"EX")=0),0))))</f>
      </c>
      <c r="H12885">
        <f>IF(DATOS!$G12885&lt;&gt;"EX",0,--(COUNTIFS(nNIA,DATOS!$A12885,nCURSO,DATOS!$D12885,nESPEC,DATOS!$E12885,nASIG,DATOS!$I12885,nEVAL,"OR")=0))</f>
      </c>
      <c r="I12885">
        <f>IF(DATOS!$I12885="","",IFERROR(VLOOKUP(DATOS!$I12885,CONFIG_ASIGNATURAS!$B$2:$J$91,9,FALSE()),""))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IF(DATOS!$A12886="",0,IF(CONFIG_METADATA!$B$4&lt;&gt;"OR+EX",--(DATOS!$G12886=CONFIG_METADATA!$B$4),IF(DATOS!$G12886="EX",1,IF(DATOS!$G12886="OR",--(COUNTIFS(nNIA,DATOS!$A12886,nCURSO,DATOS!$D12886,nESPEC,DATOS!$E12886,nASIG,DATOS!$I12886,nEVAL,"EX")=0),0))))</f>
      </c>
      <c r="H12886">
        <f>IF(DATOS!$G12886&lt;&gt;"EX",0,--(COUNTIFS(nNIA,DATOS!$A12886,nCURSO,DATOS!$D12886,nESPEC,DATOS!$E12886,nASIG,DATOS!$I12886,nEVAL,"OR")=0))</f>
      </c>
      <c r="I12886">
        <f>IF(DATOS!$I12886="","",IFERROR(VLOOKUP(DATOS!$I12886,CONFIG_ASIGNATURAS!$B$2:$J$91,9,FALSE()),""))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IF(DATOS!$A12887="",0,IF(CONFIG_METADATA!$B$4&lt;&gt;"OR+EX",--(DATOS!$G12887=CONFIG_METADATA!$B$4),IF(DATOS!$G12887="EX",1,IF(DATOS!$G12887="OR",--(COUNTIFS(nNIA,DATOS!$A12887,nCURSO,DATOS!$D12887,nESPEC,DATOS!$E12887,nASIG,DATOS!$I12887,nEVAL,"EX")=0),0))))</f>
      </c>
      <c r="H12887">
        <f>IF(DATOS!$G12887&lt;&gt;"EX",0,--(COUNTIFS(nNIA,DATOS!$A12887,nCURSO,DATOS!$D12887,nESPEC,DATOS!$E12887,nASIG,DATOS!$I12887,nEVAL,"OR")=0))</f>
      </c>
      <c r="I12887">
        <f>IF(DATOS!$I12887="","",IFERROR(VLOOKUP(DATOS!$I12887,CONFIG_ASIGNATURAS!$B$2:$J$91,9,FALSE()),""))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IF(DATOS!$A12888="",0,IF(CONFIG_METADATA!$B$4&lt;&gt;"OR+EX",--(DATOS!$G12888=CONFIG_METADATA!$B$4),IF(DATOS!$G12888="EX",1,IF(DATOS!$G12888="OR",--(COUNTIFS(nNIA,DATOS!$A12888,nCURSO,DATOS!$D12888,nESPEC,DATOS!$E12888,nASIG,DATOS!$I12888,nEVAL,"EX")=0),0))))</f>
      </c>
      <c r="H12888">
        <f>IF(DATOS!$G12888&lt;&gt;"EX",0,--(COUNTIFS(nNIA,DATOS!$A12888,nCURSO,DATOS!$D12888,nESPEC,DATOS!$E12888,nASIG,DATOS!$I12888,nEVAL,"OR")=0))</f>
      </c>
      <c r="I12888">
        <f>IF(DATOS!$I12888="","",IFERROR(VLOOKUP(DATOS!$I12888,CONFIG_ASIGNATURAS!$B$2:$J$91,9,FALSE()),""))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IF(DATOS!$A12889="",0,IF(CONFIG_METADATA!$B$4&lt;&gt;"OR+EX",--(DATOS!$G12889=CONFIG_METADATA!$B$4),IF(DATOS!$G12889="EX",1,IF(DATOS!$G12889="OR",--(COUNTIFS(nNIA,DATOS!$A12889,nCURSO,DATOS!$D12889,nESPEC,DATOS!$E12889,nASIG,DATOS!$I12889,nEVAL,"EX")=0),0))))</f>
      </c>
      <c r="H12889">
        <f>IF(DATOS!$G12889&lt;&gt;"EX",0,--(COUNTIFS(nNIA,DATOS!$A12889,nCURSO,DATOS!$D12889,nESPEC,DATOS!$E12889,nASIG,DATOS!$I12889,nEVAL,"OR")=0))</f>
      </c>
      <c r="I12889">
        <f>IF(DATOS!$I12889="","",IFERROR(VLOOKUP(DATOS!$I12889,CONFIG_ASIGNATURAS!$B$2:$J$91,9,FALSE()),""))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IF(DATOS!$A12890="",0,IF(CONFIG_METADATA!$B$4&lt;&gt;"OR+EX",--(DATOS!$G12890=CONFIG_METADATA!$B$4),IF(DATOS!$G12890="EX",1,IF(DATOS!$G12890="OR",--(COUNTIFS(nNIA,DATOS!$A12890,nCURSO,DATOS!$D12890,nESPEC,DATOS!$E12890,nASIG,DATOS!$I12890,nEVAL,"EX")=0),0))))</f>
      </c>
      <c r="H12890">
        <f>IF(DATOS!$G12890&lt;&gt;"EX",0,--(COUNTIFS(nNIA,DATOS!$A12890,nCURSO,DATOS!$D12890,nESPEC,DATOS!$E12890,nASIG,DATOS!$I12890,nEVAL,"OR")=0))</f>
      </c>
      <c r="I12890">
        <f>IF(DATOS!$I12890="","",IFERROR(VLOOKUP(DATOS!$I12890,CONFIG_ASIGNATURAS!$B$2:$J$91,9,FALSE()),""))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IF(DATOS!$A12891="",0,IF(CONFIG_METADATA!$B$4&lt;&gt;"OR+EX",--(DATOS!$G12891=CONFIG_METADATA!$B$4),IF(DATOS!$G12891="EX",1,IF(DATOS!$G12891="OR",--(COUNTIFS(nNIA,DATOS!$A12891,nCURSO,DATOS!$D12891,nESPEC,DATOS!$E12891,nASIG,DATOS!$I12891,nEVAL,"EX")=0),0))))</f>
      </c>
      <c r="H12891">
        <f>IF(DATOS!$G12891&lt;&gt;"EX",0,--(COUNTIFS(nNIA,DATOS!$A12891,nCURSO,DATOS!$D12891,nESPEC,DATOS!$E12891,nASIG,DATOS!$I12891,nEVAL,"OR")=0))</f>
      </c>
      <c r="I12891">
        <f>IF(DATOS!$I12891="","",IFERROR(VLOOKUP(DATOS!$I12891,CONFIG_ASIGNATURAS!$B$2:$J$91,9,FALSE()),""))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IF(DATOS!$A12892="",0,IF(CONFIG_METADATA!$B$4&lt;&gt;"OR+EX",--(DATOS!$G12892=CONFIG_METADATA!$B$4),IF(DATOS!$G12892="EX",1,IF(DATOS!$G12892="OR",--(COUNTIFS(nNIA,DATOS!$A12892,nCURSO,DATOS!$D12892,nESPEC,DATOS!$E12892,nASIG,DATOS!$I12892,nEVAL,"EX")=0),0))))</f>
      </c>
      <c r="H12892">
        <f>IF(DATOS!$G12892&lt;&gt;"EX",0,--(COUNTIFS(nNIA,DATOS!$A12892,nCURSO,DATOS!$D12892,nESPEC,DATOS!$E12892,nASIG,DATOS!$I12892,nEVAL,"OR")=0))</f>
      </c>
      <c r="I12892">
        <f>IF(DATOS!$I12892="","",IFERROR(VLOOKUP(DATOS!$I12892,CONFIG_ASIGNATURAS!$B$2:$J$91,9,FALSE()),""))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IF(DATOS!$A12893="",0,IF(CONFIG_METADATA!$B$4&lt;&gt;"OR+EX",--(DATOS!$G12893=CONFIG_METADATA!$B$4),IF(DATOS!$G12893="EX",1,IF(DATOS!$G12893="OR",--(COUNTIFS(nNIA,DATOS!$A12893,nCURSO,DATOS!$D12893,nESPEC,DATOS!$E12893,nASIG,DATOS!$I12893,nEVAL,"EX")=0),0))))</f>
      </c>
      <c r="H12893">
        <f>IF(DATOS!$G12893&lt;&gt;"EX",0,--(COUNTIFS(nNIA,DATOS!$A12893,nCURSO,DATOS!$D12893,nESPEC,DATOS!$E12893,nASIG,DATOS!$I12893,nEVAL,"OR")=0))</f>
      </c>
      <c r="I12893">
        <f>IF(DATOS!$I12893="","",IFERROR(VLOOKUP(DATOS!$I12893,CONFIG_ASIGNATURAS!$B$2:$J$91,9,FALSE()),""))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IF(DATOS!$A12894="",0,IF(CONFIG_METADATA!$B$4&lt;&gt;"OR+EX",--(DATOS!$G12894=CONFIG_METADATA!$B$4),IF(DATOS!$G12894="EX",1,IF(DATOS!$G12894="OR",--(COUNTIFS(nNIA,DATOS!$A12894,nCURSO,DATOS!$D12894,nESPEC,DATOS!$E12894,nASIG,DATOS!$I12894,nEVAL,"EX")=0),0))))</f>
      </c>
      <c r="H12894">
        <f>IF(DATOS!$G12894&lt;&gt;"EX",0,--(COUNTIFS(nNIA,DATOS!$A12894,nCURSO,DATOS!$D12894,nESPEC,DATOS!$E12894,nASIG,DATOS!$I12894,nEVAL,"OR")=0))</f>
      </c>
      <c r="I12894">
        <f>IF(DATOS!$I12894="","",IFERROR(VLOOKUP(DATOS!$I12894,CONFIG_ASIGNATURAS!$B$2:$J$91,9,FALSE()),""))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IF(DATOS!$A12895="",0,IF(CONFIG_METADATA!$B$4&lt;&gt;"OR+EX",--(DATOS!$G12895=CONFIG_METADATA!$B$4),IF(DATOS!$G12895="EX",1,IF(DATOS!$G12895="OR",--(COUNTIFS(nNIA,DATOS!$A12895,nCURSO,DATOS!$D12895,nESPEC,DATOS!$E12895,nASIG,DATOS!$I12895,nEVAL,"EX")=0),0))))</f>
      </c>
      <c r="H12895">
        <f>IF(DATOS!$G12895&lt;&gt;"EX",0,--(COUNTIFS(nNIA,DATOS!$A12895,nCURSO,DATOS!$D12895,nESPEC,DATOS!$E12895,nASIG,DATOS!$I12895,nEVAL,"OR")=0))</f>
      </c>
      <c r="I12895">
        <f>IF(DATOS!$I12895="","",IFERROR(VLOOKUP(DATOS!$I12895,CONFIG_ASIGNATURAS!$B$2:$J$91,9,FALSE()),""))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IF(DATOS!$A12896="",0,IF(CONFIG_METADATA!$B$4&lt;&gt;"OR+EX",--(DATOS!$G12896=CONFIG_METADATA!$B$4),IF(DATOS!$G12896="EX",1,IF(DATOS!$G12896="OR",--(COUNTIFS(nNIA,DATOS!$A12896,nCURSO,DATOS!$D12896,nESPEC,DATOS!$E12896,nASIG,DATOS!$I12896,nEVAL,"EX")=0),0))))</f>
      </c>
      <c r="H12896">
        <f>IF(DATOS!$G12896&lt;&gt;"EX",0,--(COUNTIFS(nNIA,DATOS!$A12896,nCURSO,DATOS!$D12896,nESPEC,DATOS!$E12896,nASIG,DATOS!$I12896,nEVAL,"OR")=0))</f>
      </c>
      <c r="I12896">
        <f>IF(DATOS!$I12896="","",IFERROR(VLOOKUP(DATOS!$I12896,CONFIG_ASIGNATURAS!$B$2:$J$91,9,FALSE()),""))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IF(DATOS!$A12897="",0,IF(CONFIG_METADATA!$B$4&lt;&gt;"OR+EX",--(DATOS!$G12897=CONFIG_METADATA!$B$4),IF(DATOS!$G12897="EX",1,IF(DATOS!$G12897="OR",--(COUNTIFS(nNIA,DATOS!$A12897,nCURSO,DATOS!$D12897,nESPEC,DATOS!$E12897,nASIG,DATOS!$I12897,nEVAL,"EX")=0),0))))</f>
      </c>
      <c r="H12897">
        <f>IF(DATOS!$G12897&lt;&gt;"EX",0,--(COUNTIFS(nNIA,DATOS!$A12897,nCURSO,DATOS!$D12897,nESPEC,DATOS!$E12897,nASIG,DATOS!$I12897,nEVAL,"OR")=0))</f>
      </c>
      <c r="I12897">
        <f>IF(DATOS!$I12897="","",IFERROR(VLOOKUP(DATOS!$I12897,CONFIG_ASIGNATURAS!$B$2:$J$91,9,FALSE()),""))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IF(DATOS!$A12898="",0,IF(CONFIG_METADATA!$B$4&lt;&gt;"OR+EX",--(DATOS!$G12898=CONFIG_METADATA!$B$4),IF(DATOS!$G12898="EX",1,IF(DATOS!$G12898="OR",--(COUNTIFS(nNIA,DATOS!$A12898,nCURSO,DATOS!$D12898,nESPEC,DATOS!$E12898,nASIG,DATOS!$I12898,nEVAL,"EX")=0),0))))</f>
      </c>
      <c r="H12898">
        <f>IF(DATOS!$G12898&lt;&gt;"EX",0,--(COUNTIFS(nNIA,DATOS!$A12898,nCURSO,DATOS!$D12898,nESPEC,DATOS!$E12898,nASIG,DATOS!$I12898,nEVAL,"OR")=0))</f>
      </c>
      <c r="I12898">
        <f>IF(DATOS!$I12898="","",IFERROR(VLOOKUP(DATOS!$I12898,CONFIG_ASIGNATURAS!$B$2:$J$91,9,FALSE()),""))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IF(DATOS!$A12899="",0,IF(CONFIG_METADATA!$B$4&lt;&gt;"OR+EX",--(DATOS!$G12899=CONFIG_METADATA!$B$4),IF(DATOS!$G12899="EX",1,IF(DATOS!$G12899="OR",--(COUNTIFS(nNIA,DATOS!$A12899,nCURSO,DATOS!$D12899,nESPEC,DATOS!$E12899,nASIG,DATOS!$I12899,nEVAL,"EX")=0),0))))</f>
      </c>
      <c r="H12899">
        <f>IF(DATOS!$G12899&lt;&gt;"EX",0,--(COUNTIFS(nNIA,DATOS!$A12899,nCURSO,DATOS!$D12899,nESPEC,DATOS!$E12899,nASIG,DATOS!$I12899,nEVAL,"OR")=0))</f>
      </c>
      <c r="I12899">
        <f>IF(DATOS!$I12899="","",IFERROR(VLOOKUP(DATOS!$I12899,CONFIG_ASIGNATURAS!$B$2:$J$91,9,FALSE()),""))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IF(DATOS!$A12900="",0,IF(CONFIG_METADATA!$B$4&lt;&gt;"OR+EX",--(DATOS!$G12900=CONFIG_METADATA!$B$4),IF(DATOS!$G12900="EX",1,IF(DATOS!$G12900="OR",--(COUNTIFS(nNIA,DATOS!$A12900,nCURSO,DATOS!$D12900,nESPEC,DATOS!$E12900,nASIG,DATOS!$I12900,nEVAL,"EX")=0),0))))</f>
      </c>
      <c r="H12900">
        <f>IF(DATOS!$G12900&lt;&gt;"EX",0,--(COUNTIFS(nNIA,DATOS!$A12900,nCURSO,DATOS!$D12900,nESPEC,DATOS!$E12900,nASIG,DATOS!$I12900,nEVAL,"OR")=0))</f>
      </c>
      <c r="I12900">
        <f>IF(DATOS!$I12900="","",IFERROR(VLOOKUP(DATOS!$I12900,CONFIG_ASIGNATURAS!$B$2:$J$91,9,FALSE()),""))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IF(DATOS!$A12901="",0,IF(CONFIG_METADATA!$B$4&lt;&gt;"OR+EX",--(DATOS!$G12901=CONFIG_METADATA!$B$4),IF(DATOS!$G12901="EX",1,IF(DATOS!$G12901="OR",--(COUNTIFS(nNIA,DATOS!$A12901,nCURSO,DATOS!$D12901,nESPEC,DATOS!$E12901,nASIG,DATOS!$I12901,nEVAL,"EX")=0),0))))</f>
      </c>
      <c r="H12901">
        <f>IF(DATOS!$G12901&lt;&gt;"EX",0,--(COUNTIFS(nNIA,DATOS!$A12901,nCURSO,DATOS!$D12901,nESPEC,DATOS!$E12901,nASIG,DATOS!$I12901,nEVAL,"OR")=0))</f>
      </c>
      <c r="I12901">
        <f>IF(DATOS!$I12901="","",IFERROR(VLOOKUP(DATOS!$I12901,CONFIG_ASIGNATURAS!$B$2:$J$91,9,FALSE()),""))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IF(DATOS!$A12902="",0,IF(CONFIG_METADATA!$B$4&lt;&gt;"OR+EX",--(DATOS!$G12902=CONFIG_METADATA!$B$4),IF(DATOS!$G12902="EX",1,IF(DATOS!$G12902="OR",--(COUNTIFS(nNIA,DATOS!$A12902,nCURSO,DATOS!$D12902,nESPEC,DATOS!$E12902,nASIG,DATOS!$I12902,nEVAL,"EX")=0),0))))</f>
      </c>
      <c r="H12902">
        <f>IF(DATOS!$G12902&lt;&gt;"EX",0,--(COUNTIFS(nNIA,DATOS!$A12902,nCURSO,DATOS!$D12902,nESPEC,DATOS!$E12902,nASIG,DATOS!$I12902,nEVAL,"OR")=0))</f>
      </c>
      <c r="I12902">
        <f>IF(DATOS!$I12902="","",IFERROR(VLOOKUP(DATOS!$I12902,CONFIG_ASIGNATURAS!$B$2:$J$91,9,FALSE()),""))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IF(DATOS!$A12903="",0,IF(CONFIG_METADATA!$B$4&lt;&gt;"OR+EX",--(DATOS!$G12903=CONFIG_METADATA!$B$4),IF(DATOS!$G12903="EX",1,IF(DATOS!$G12903="OR",--(COUNTIFS(nNIA,DATOS!$A12903,nCURSO,DATOS!$D12903,nESPEC,DATOS!$E12903,nASIG,DATOS!$I12903,nEVAL,"EX")=0),0))))</f>
      </c>
      <c r="H12903">
        <f>IF(DATOS!$G12903&lt;&gt;"EX",0,--(COUNTIFS(nNIA,DATOS!$A12903,nCURSO,DATOS!$D12903,nESPEC,DATOS!$E12903,nASIG,DATOS!$I12903,nEVAL,"OR")=0))</f>
      </c>
      <c r="I12903">
        <f>IF(DATOS!$I12903="","",IFERROR(VLOOKUP(DATOS!$I12903,CONFIG_ASIGNATURAS!$B$2:$J$91,9,FALSE()),""))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IF(DATOS!$A12904="",0,IF(CONFIG_METADATA!$B$4&lt;&gt;"OR+EX",--(DATOS!$G12904=CONFIG_METADATA!$B$4),IF(DATOS!$G12904="EX",1,IF(DATOS!$G12904="OR",--(COUNTIFS(nNIA,DATOS!$A12904,nCURSO,DATOS!$D12904,nESPEC,DATOS!$E12904,nASIG,DATOS!$I12904,nEVAL,"EX")=0),0))))</f>
      </c>
      <c r="H12904">
        <f>IF(DATOS!$G12904&lt;&gt;"EX",0,--(COUNTIFS(nNIA,DATOS!$A12904,nCURSO,DATOS!$D12904,nESPEC,DATOS!$E12904,nASIG,DATOS!$I12904,nEVAL,"OR")=0))</f>
      </c>
      <c r="I12904">
        <f>IF(DATOS!$I12904="","",IFERROR(VLOOKUP(DATOS!$I12904,CONFIG_ASIGNATURAS!$B$2:$J$91,9,FALSE()),""))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IF(DATOS!$A12905="",0,IF(CONFIG_METADATA!$B$4&lt;&gt;"OR+EX",--(DATOS!$G12905=CONFIG_METADATA!$B$4),IF(DATOS!$G12905="EX",1,IF(DATOS!$G12905="OR",--(COUNTIFS(nNIA,DATOS!$A12905,nCURSO,DATOS!$D12905,nESPEC,DATOS!$E12905,nASIG,DATOS!$I12905,nEVAL,"EX")=0),0))))</f>
      </c>
      <c r="H12905">
        <f>IF(DATOS!$G12905&lt;&gt;"EX",0,--(COUNTIFS(nNIA,DATOS!$A12905,nCURSO,DATOS!$D12905,nESPEC,DATOS!$E12905,nASIG,DATOS!$I12905,nEVAL,"OR")=0))</f>
      </c>
      <c r="I12905">
        <f>IF(DATOS!$I12905="","",IFERROR(VLOOKUP(DATOS!$I12905,CONFIG_ASIGNATURAS!$B$2:$J$91,9,FALSE()),""))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IF(DATOS!$A12906="",0,IF(CONFIG_METADATA!$B$4&lt;&gt;"OR+EX",--(DATOS!$G12906=CONFIG_METADATA!$B$4),IF(DATOS!$G12906="EX",1,IF(DATOS!$G12906="OR",--(COUNTIFS(nNIA,DATOS!$A12906,nCURSO,DATOS!$D12906,nESPEC,DATOS!$E12906,nASIG,DATOS!$I12906,nEVAL,"EX")=0),0))))</f>
      </c>
      <c r="H12906">
        <f>IF(DATOS!$G12906&lt;&gt;"EX",0,--(COUNTIFS(nNIA,DATOS!$A12906,nCURSO,DATOS!$D12906,nESPEC,DATOS!$E12906,nASIG,DATOS!$I12906,nEVAL,"OR")=0))</f>
      </c>
      <c r="I12906">
        <f>IF(DATOS!$I12906="","",IFERROR(VLOOKUP(DATOS!$I12906,CONFIG_ASIGNATURAS!$B$2:$J$91,9,FALSE()),""))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IF(DATOS!$A12907="",0,IF(CONFIG_METADATA!$B$4&lt;&gt;"OR+EX",--(DATOS!$G12907=CONFIG_METADATA!$B$4),IF(DATOS!$G12907="EX",1,IF(DATOS!$G12907="OR",--(COUNTIFS(nNIA,DATOS!$A12907,nCURSO,DATOS!$D12907,nESPEC,DATOS!$E12907,nASIG,DATOS!$I12907,nEVAL,"EX")=0),0))))</f>
      </c>
      <c r="H12907">
        <f>IF(DATOS!$G12907&lt;&gt;"EX",0,--(COUNTIFS(nNIA,DATOS!$A12907,nCURSO,DATOS!$D12907,nESPEC,DATOS!$E12907,nASIG,DATOS!$I12907,nEVAL,"OR")=0))</f>
      </c>
      <c r="I12907">
        <f>IF(DATOS!$I12907="","",IFERROR(VLOOKUP(DATOS!$I12907,CONFIG_ASIGNATURAS!$B$2:$J$91,9,FALSE()),""))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IF(DATOS!$A12908="",0,IF(CONFIG_METADATA!$B$4&lt;&gt;"OR+EX",--(DATOS!$G12908=CONFIG_METADATA!$B$4),IF(DATOS!$G12908="EX",1,IF(DATOS!$G12908="OR",--(COUNTIFS(nNIA,DATOS!$A12908,nCURSO,DATOS!$D12908,nESPEC,DATOS!$E12908,nASIG,DATOS!$I12908,nEVAL,"EX")=0),0))))</f>
      </c>
      <c r="H12908">
        <f>IF(DATOS!$G12908&lt;&gt;"EX",0,--(COUNTIFS(nNIA,DATOS!$A12908,nCURSO,DATOS!$D12908,nESPEC,DATOS!$E12908,nASIG,DATOS!$I12908,nEVAL,"OR")=0))</f>
      </c>
      <c r="I12908">
        <f>IF(DATOS!$I12908="","",IFERROR(VLOOKUP(DATOS!$I12908,CONFIG_ASIGNATURAS!$B$2:$J$91,9,FALSE()),""))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IF(DATOS!$A12909="",0,IF(CONFIG_METADATA!$B$4&lt;&gt;"OR+EX",--(DATOS!$G12909=CONFIG_METADATA!$B$4),IF(DATOS!$G12909="EX",1,IF(DATOS!$G12909="OR",--(COUNTIFS(nNIA,DATOS!$A12909,nCURSO,DATOS!$D12909,nESPEC,DATOS!$E12909,nASIG,DATOS!$I12909,nEVAL,"EX")=0),0))))</f>
      </c>
      <c r="H12909">
        <f>IF(DATOS!$G12909&lt;&gt;"EX",0,--(COUNTIFS(nNIA,DATOS!$A12909,nCURSO,DATOS!$D12909,nESPEC,DATOS!$E12909,nASIG,DATOS!$I12909,nEVAL,"OR")=0))</f>
      </c>
      <c r="I12909">
        <f>IF(DATOS!$I12909="","",IFERROR(VLOOKUP(DATOS!$I12909,CONFIG_ASIGNATURAS!$B$2:$J$91,9,FALSE()),""))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IF(DATOS!$A12910="",0,IF(CONFIG_METADATA!$B$4&lt;&gt;"OR+EX",--(DATOS!$G12910=CONFIG_METADATA!$B$4),IF(DATOS!$G12910="EX",1,IF(DATOS!$G12910="OR",--(COUNTIFS(nNIA,DATOS!$A12910,nCURSO,DATOS!$D12910,nESPEC,DATOS!$E12910,nASIG,DATOS!$I12910,nEVAL,"EX")=0),0))))</f>
      </c>
      <c r="H12910">
        <f>IF(DATOS!$G12910&lt;&gt;"EX",0,--(COUNTIFS(nNIA,DATOS!$A12910,nCURSO,DATOS!$D12910,nESPEC,DATOS!$E12910,nASIG,DATOS!$I12910,nEVAL,"OR")=0))</f>
      </c>
      <c r="I12910">
        <f>IF(DATOS!$I12910="","",IFERROR(VLOOKUP(DATOS!$I12910,CONFIG_ASIGNATURAS!$B$2:$J$91,9,FALSE()),""))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IF(DATOS!$A12911="",0,IF(CONFIG_METADATA!$B$4&lt;&gt;"OR+EX",--(DATOS!$G12911=CONFIG_METADATA!$B$4),IF(DATOS!$G12911="EX",1,IF(DATOS!$G12911="OR",--(COUNTIFS(nNIA,DATOS!$A12911,nCURSO,DATOS!$D12911,nESPEC,DATOS!$E12911,nASIG,DATOS!$I12911,nEVAL,"EX")=0),0))))</f>
      </c>
      <c r="H12911">
        <f>IF(DATOS!$G12911&lt;&gt;"EX",0,--(COUNTIFS(nNIA,DATOS!$A12911,nCURSO,DATOS!$D12911,nESPEC,DATOS!$E12911,nASIG,DATOS!$I12911,nEVAL,"OR")=0))</f>
      </c>
      <c r="I12911">
        <f>IF(DATOS!$I12911="","",IFERROR(VLOOKUP(DATOS!$I12911,CONFIG_ASIGNATURAS!$B$2:$J$91,9,FALSE()),""))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IF(DATOS!$A12912="",0,IF(CONFIG_METADATA!$B$4&lt;&gt;"OR+EX",--(DATOS!$G12912=CONFIG_METADATA!$B$4),IF(DATOS!$G12912="EX",1,IF(DATOS!$G12912="OR",--(COUNTIFS(nNIA,DATOS!$A12912,nCURSO,DATOS!$D12912,nESPEC,DATOS!$E12912,nASIG,DATOS!$I12912,nEVAL,"EX")=0),0))))</f>
      </c>
      <c r="H12912">
        <f>IF(DATOS!$G12912&lt;&gt;"EX",0,--(COUNTIFS(nNIA,DATOS!$A12912,nCURSO,DATOS!$D12912,nESPEC,DATOS!$E12912,nASIG,DATOS!$I12912,nEVAL,"OR")=0))</f>
      </c>
      <c r="I12912">
        <f>IF(DATOS!$I12912="","",IFERROR(VLOOKUP(DATOS!$I12912,CONFIG_ASIGNATURAS!$B$2:$J$91,9,FALSE()),""))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IF(DATOS!$A12913="",0,IF(CONFIG_METADATA!$B$4&lt;&gt;"OR+EX",--(DATOS!$G12913=CONFIG_METADATA!$B$4),IF(DATOS!$G12913="EX",1,IF(DATOS!$G12913="OR",--(COUNTIFS(nNIA,DATOS!$A12913,nCURSO,DATOS!$D12913,nESPEC,DATOS!$E12913,nASIG,DATOS!$I12913,nEVAL,"EX")=0),0))))</f>
      </c>
      <c r="H12913">
        <f>IF(DATOS!$G12913&lt;&gt;"EX",0,--(COUNTIFS(nNIA,DATOS!$A12913,nCURSO,DATOS!$D12913,nESPEC,DATOS!$E12913,nASIG,DATOS!$I12913,nEVAL,"OR")=0))</f>
      </c>
      <c r="I12913">
        <f>IF(DATOS!$I12913="","",IFERROR(VLOOKUP(DATOS!$I12913,CONFIG_ASIGNATURAS!$B$2:$J$91,9,FALSE()),""))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IF(DATOS!$A12914="",0,IF(CONFIG_METADATA!$B$4&lt;&gt;"OR+EX",--(DATOS!$G12914=CONFIG_METADATA!$B$4),IF(DATOS!$G12914="EX",1,IF(DATOS!$G12914="OR",--(COUNTIFS(nNIA,DATOS!$A12914,nCURSO,DATOS!$D12914,nESPEC,DATOS!$E12914,nASIG,DATOS!$I12914,nEVAL,"EX")=0),0))))</f>
      </c>
      <c r="H12914">
        <f>IF(DATOS!$G12914&lt;&gt;"EX",0,--(COUNTIFS(nNIA,DATOS!$A12914,nCURSO,DATOS!$D12914,nESPEC,DATOS!$E12914,nASIG,DATOS!$I12914,nEVAL,"OR")=0))</f>
      </c>
      <c r="I12914">
        <f>IF(DATOS!$I12914="","",IFERROR(VLOOKUP(DATOS!$I12914,CONFIG_ASIGNATURAS!$B$2:$J$91,9,FALSE()),""))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IF(DATOS!$A12915="",0,IF(CONFIG_METADATA!$B$4&lt;&gt;"OR+EX",--(DATOS!$G12915=CONFIG_METADATA!$B$4),IF(DATOS!$G12915="EX",1,IF(DATOS!$G12915="OR",--(COUNTIFS(nNIA,DATOS!$A12915,nCURSO,DATOS!$D12915,nESPEC,DATOS!$E12915,nASIG,DATOS!$I12915,nEVAL,"EX")=0),0))))</f>
      </c>
      <c r="H12915">
        <f>IF(DATOS!$G12915&lt;&gt;"EX",0,--(COUNTIFS(nNIA,DATOS!$A12915,nCURSO,DATOS!$D12915,nESPEC,DATOS!$E12915,nASIG,DATOS!$I12915,nEVAL,"OR")=0))</f>
      </c>
      <c r="I12915">
        <f>IF(DATOS!$I12915="","",IFERROR(VLOOKUP(DATOS!$I12915,CONFIG_ASIGNATURAS!$B$2:$J$91,9,FALSE()),""))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IF(DATOS!$A12916="",0,IF(CONFIG_METADATA!$B$4&lt;&gt;"OR+EX",--(DATOS!$G12916=CONFIG_METADATA!$B$4),IF(DATOS!$G12916="EX",1,IF(DATOS!$G12916="OR",--(COUNTIFS(nNIA,DATOS!$A12916,nCURSO,DATOS!$D12916,nESPEC,DATOS!$E12916,nASIG,DATOS!$I12916,nEVAL,"EX")=0),0))))</f>
      </c>
      <c r="H12916">
        <f>IF(DATOS!$G12916&lt;&gt;"EX",0,--(COUNTIFS(nNIA,DATOS!$A12916,nCURSO,DATOS!$D12916,nESPEC,DATOS!$E12916,nASIG,DATOS!$I12916,nEVAL,"OR")=0))</f>
      </c>
      <c r="I12916">
        <f>IF(DATOS!$I12916="","",IFERROR(VLOOKUP(DATOS!$I12916,CONFIG_ASIGNATURAS!$B$2:$J$91,9,FALSE()),""))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IF(DATOS!$A12917="",0,IF(CONFIG_METADATA!$B$4&lt;&gt;"OR+EX",--(DATOS!$G12917=CONFIG_METADATA!$B$4),IF(DATOS!$G12917="EX",1,IF(DATOS!$G12917="OR",--(COUNTIFS(nNIA,DATOS!$A12917,nCURSO,DATOS!$D12917,nESPEC,DATOS!$E12917,nASIG,DATOS!$I12917,nEVAL,"EX")=0),0))))</f>
      </c>
      <c r="H12917">
        <f>IF(DATOS!$G12917&lt;&gt;"EX",0,--(COUNTIFS(nNIA,DATOS!$A12917,nCURSO,DATOS!$D12917,nESPEC,DATOS!$E12917,nASIG,DATOS!$I12917,nEVAL,"OR")=0))</f>
      </c>
      <c r="I12917">
        <f>IF(DATOS!$I12917="","",IFERROR(VLOOKUP(DATOS!$I12917,CONFIG_ASIGNATURAS!$B$2:$J$91,9,FALSE()),""))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IF(DATOS!$A12918="",0,IF(CONFIG_METADATA!$B$4&lt;&gt;"OR+EX",--(DATOS!$G12918=CONFIG_METADATA!$B$4),IF(DATOS!$G12918="EX",1,IF(DATOS!$G12918="OR",--(COUNTIFS(nNIA,DATOS!$A12918,nCURSO,DATOS!$D12918,nESPEC,DATOS!$E12918,nASIG,DATOS!$I12918,nEVAL,"EX")=0),0))))</f>
      </c>
      <c r="H12918">
        <f>IF(DATOS!$G12918&lt;&gt;"EX",0,--(COUNTIFS(nNIA,DATOS!$A12918,nCURSO,DATOS!$D12918,nESPEC,DATOS!$E12918,nASIG,DATOS!$I12918,nEVAL,"OR")=0))</f>
      </c>
      <c r="I12918">
        <f>IF(DATOS!$I12918="","",IFERROR(VLOOKUP(DATOS!$I12918,CONFIG_ASIGNATURAS!$B$2:$J$91,9,FALSE()),""))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IF(DATOS!$A12919="",0,IF(CONFIG_METADATA!$B$4&lt;&gt;"OR+EX",--(DATOS!$G12919=CONFIG_METADATA!$B$4),IF(DATOS!$G12919="EX",1,IF(DATOS!$G12919="OR",--(COUNTIFS(nNIA,DATOS!$A12919,nCURSO,DATOS!$D12919,nESPEC,DATOS!$E12919,nASIG,DATOS!$I12919,nEVAL,"EX")=0),0))))</f>
      </c>
      <c r="H12919">
        <f>IF(DATOS!$G12919&lt;&gt;"EX",0,--(COUNTIFS(nNIA,DATOS!$A12919,nCURSO,DATOS!$D12919,nESPEC,DATOS!$E12919,nASIG,DATOS!$I12919,nEVAL,"OR")=0))</f>
      </c>
      <c r="I12919">
        <f>IF(DATOS!$I12919="","",IFERROR(VLOOKUP(DATOS!$I12919,CONFIG_ASIGNATURAS!$B$2:$J$91,9,FALSE()),""))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IF(DATOS!$A12920="",0,IF(CONFIG_METADATA!$B$4&lt;&gt;"OR+EX",--(DATOS!$G12920=CONFIG_METADATA!$B$4),IF(DATOS!$G12920="EX",1,IF(DATOS!$G12920="OR",--(COUNTIFS(nNIA,DATOS!$A12920,nCURSO,DATOS!$D12920,nESPEC,DATOS!$E12920,nASIG,DATOS!$I12920,nEVAL,"EX")=0),0))))</f>
      </c>
      <c r="H12920">
        <f>IF(DATOS!$G12920&lt;&gt;"EX",0,--(COUNTIFS(nNIA,DATOS!$A12920,nCURSO,DATOS!$D12920,nESPEC,DATOS!$E12920,nASIG,DATOS!$I12920,nEVAL,"OR")=0))</f>
      </c>
      <c r="I12920">
        <f>IF(DATOS!$I12920="","",IFERROR(VLOOKUP(DATOS!$I12920,CONFIG_ASIGNATURAS!$B$2:$J$91,9,FALSE()),""))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IF(DATOS!$A12921="",0,IF(CONFIG_METADATA!$B$4&lt;&gt;"OR+EX",--(DATOS!$G12921=CONFIG_METADATA!$B$4),IF(DATOS!$G12921="EX",1,IF(DATOS!$G12921="OR",--(COUNTIFS(nNIA,DATOS!$A12921,nCURSO,DATOS!$D12921,nESPEC,DATOS!$E12921,nASIG,DATOS!$I12921,nEVAL,"EX")=0),0))))</f>
      </c>
      <c r="H12921">
        <f>IF(DATOS!$G12921&lt;&gt;"EX",0,--(COUNTIFS(nNIA,DATOS!$A12921,nCURSO,DATOS!$D12921,nESPEC,DATOS!$E12921,nASIG,DATOS!$I12921,nEVAL,"OR")=0))</f>
      </c>
      <c r="I12921">
        <f>IF(DATOS!$I12921="","",IFERROR(VLOOKUP(DATOS!$I12921,CONFIG_ASIGNATURAS!$B$2:$J$91,9,FALSE()),""))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IF(DATOS!$A12922="",0,IF(CONFIG_METADATA!$B$4&lt;&gt;"OR+EX",--(DATOS!$G12922=CONFIG_METADATA!$B$4),IF(DATOS!$G12922="EX",1,IF(DATOS!$G12922="OR",--(COUNTIFS(nNIA,DATOS!$A12922,nCURSO,DATOS!$D12922,nESPEC,DATOS!$E12922,nASIG,DATOS!$I12922,nEVAL,"EX")=0),0))))</f>
      </c>
      <c r="H12922">
        <f>IF(DATOS!$G12922&lt;&gt;"EX",0,--(COUNTIFS(nNIA,DATOS!$A12922,nCURSO,DATOS!$D12922,nESPEC,DATOS!$E12922,nASIG,DATOS!$I12922,nEVAL,"OR")=0))</f>
      </c>
      <c r="I12922">
        <f>IF(DATOS!$I12922="","",IFERROR(VLOOKUP(DATOS!$I12922,CONFIG_ASIGNATURAS!$B$2:$J$91,9,FALSE()),""))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IF(DATOS!$A12923="",0,IF(CONFIG_METADATA!$B$4&lt;&gt;"OR+EX",--(DATOS!$G12923=CONFIG_METADATA!$B$4),IF(DATOS!$G12923="EX",1,IF(DATOS!$G12923="OR",--(COUNTIFS(nNIA,DATOS!$A12923,nCURSO,DATOS!$D12923,nESPEC,DATOS!$E12923,nASIG,DATOS!$I12923,nEVAL,"EX")=0),0))))</f>
      </c>
      <c r="H12923">
        <f>IF(DATOS!$G12923&lt;&gt;"EX",0,--(COUNTIFS(nNIA,DATOS!$A12923,nCURSO,DATOS!$D12923,nESPEC,DATOS!$E12923,nASIG,DATOS!$I12923,nEVAL,"OR")=0))</f>
      </c>
      <c r="I12923">
        <f>IF(DATOS!$I12923="","",IFERROR(VLOOKUP(DATOS!$I12923,CONFIG_ASIGNATURAS!$B$2:$J$91,9,FALSE()),""))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IF(DATOS!$A12924="",0,IF(CONFIG_METADATA!$B$4&lt;&gt;"OR+EX",--(DATOS!$G12924=CONFIG_METADATA!$B$4),IF(DATOS!$G12924="EX",1,IF(DATOS!$G12924="OR",--(COUNTIFS(nNIA,DATOS!$A12924,nCURSO,DATOS!$D12924,nESPEC,DATOS!$E12924,nASIG,DATOS!$I12924,nEVAL,"EX")=0),0))))</f>
      </c>
      <c r="H12924">
        <f>IF(DATOS!$G12924&lt;&gt;"EX",0,--(COUNTIFS(nNIA,DATOS!$A12924,nCURSO,DATOS!$D12924,nESPEC,DATOS!$E12924,nASIG,DATOS!$I12924,nEVAL,"OR")=0))</f>
      </c>
      <c r="I12924">
        <f>IF(DATOS!$I12924="","",IFERROR(VLOOKUP(DATOS!$I12924,CONFIG_ASIGNATURAS!$B$2:$J$91,9,FALSE()),""))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IF(DATOS!$A12925="",0,IF(CONFIG_METADATA!$B$4&lt;&gt;"OR+EX",--(DATOS!$G12925=CONFIG_METADATA!$B$4),IF(DATOS!$G12925="EX",1,IF(DATOS!$G12925="OR",--(COUNTIFS(nNIA,DATOS!$A12925,nCURSO,DATOS!$D12925,nESPEC,DATOS!$E12925,nASIG,DATOS!$I12925,nEVAL,"EX")=0),0))))</f>
      </c>
      <c r="H12925">
        <f>IF(DATOS!$G12925&lt;&gt;"EX",0,--(COUNTIFS(nNIA,DATOS!$A12925,nCURSO,DATOS!$D12925,nESPEC,DATOS!$E12925,nASIG,DATOS!$I12925,nEVAL,"OR")=0))</f>
      </c>
      <c r="I12925">
        <f>IF(DATOS!$I12925="","",IFERROR(VLOOKUP(DATOS!$I12925,CONFIG_ASIGNATURAS!$B$2:$J$91,9,FALSE()),""))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IF(DATOS!$A12926="",0,IF(CONFIG_METADATA!$B$4&lt;&gt;"OR+EX",--(DATOS!$G12926=CONFIG_METADATA!$B$4),IF(DATOS!$G12926="EX",1,IF(DATOS!$G12926="OR",--(COUNTIFS(nNIA,DATOS!$A12926,nCURSO,DATOS!$D12926,nESPEC,DATOS!$E12926,nASIG,DATOS!$I12926,nEVAL,"EX")=0),0))))</f>
      </c>
      <c r="H12926">
        <f>IF(DATOS!$G12926&lt;&gt;"EX",0,--(COUNTIFS(nNIA,DATOS!$A12926,nCURSO,DATOS!$D12926,nESPEC,DATOS!$E12926,nASIG,DATOS!$I12926,nEVAL,"OR")=0))</f>
      </c>
      <c r="I12926">
        <f>IF(DATOS!$I12926="","",IFERROR(VLOOKUP(DATOS!$I12926,CONFIG_ASIGNATURAS!$B$2:$J$91,9,FALSE()),""))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IF(DATOS!$A12927="",0,IF(CONFIG_METADATA!$B$4&lt;&gt;"OR+EX",--(DATOS!$G12927=CONFIG_METADATA!$B$4),IF(DATOS!$G12927="EX",1,IF(DATOS!$G12927="OR",--(COUNTIFS(nNIA,DATOS!$A12927,nCURSO,DATOS!$D12927,nESPEC,DATOS!$E12927,nASIG,DATOS!$I12927,nEVAL,"EX")=0),0))))</f>
      </c>
      <c r="H12927">
        <f>IF(DATOS!$G12927&lt;&gt;"EX",0,--(COUNTIFS(nNIA,DATOS!$A12927,nCURSO,DATOS!$D12927,nESPEC,DATOS!$E12927,nASIG,DATOS!$I12927,nEVAL,"OR")=0))</f>
      </c>
      <c r="I12927">
        <f>IF(DATOS!$I12927="","",IFERROR(VLOOKUP(DATOS!$I12927,CONFIG_ASIGNATURAS!$B$2:$J$91,9,FALSE()),""))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IF(DATOS!$A12928="",0,IF(CONFIG_METADATA!$B$4&lt;&gt;"OR+EX",--(DATOS!$G12928=CONFIG_METADATA!$B$4),IF(DATOS!$G12928="EX",1,IF(DATOS!$G12928="OR",--(COUNTIFS(nNIA,DATOS!$A12928,nCURSO,DATOS!$D12928,nESPEC,DATOS!$E12928,nASIG,DATOS!$I12928,nEVAL,"EX")=0),0))))</f>
      </c>
      <c r="H12928">
        <f>IF(DATOS!$G12928&lt;&gt;"EX",0,--(COUNTIFS(nNIA,DATOS!$A12928,nCURSO,DATOS!$D12928,nESPEC,DATOS!$E12928,nASIG,DATOS!$I12928,nEVAL,"OR")=0))</f>
      </c>
      <c r="I12928">
        <f>IF(DATOS!$I12928="","",IFERROR(VLOOKUP(DATOS!$I12928,CONFIG_ASIGNATURAS!$B$2:$J$91,9,FALSE()),""))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IF(DATOS!$A12929="",0,IF(CONFIG_METADATA!$B$4&lt;&gt;"OR+EX",--(DATOS!$G12929=CONFIG_METADATA!$B$4),IF(DATOS!$G12929="EX",1,IF(DATOS!$G12929="OR",--(COUNTIFS(nNIA,DATOS!$A12929,nCURSO,DATOS!$D12929,nESPEC,DATOS!$E12929,nASIG,DATOS!$I12929,nEVAL,"EX")=0),0))))</f>
      </c>
      <c r="H12929">
        <f>IF(DATOS!$G12929&lt;&gt;"EX",0,--(COUNTIFS(nNIA,DATOS!$A12929,nCURSO,DATOS!$D12929,nESPEC,DATOS!$E12929,nASIG,DATOS!$I12929,nEVAL,"OR")=0))</f>
      </c>
      <c r="I12929">
        <f>IF(DATOS!$I12929="","",IFERROR(VLOOKUP(DATOS!$I12929,CONFIG_ASIGNATURAS!$B$2:$J$91,9,FALSE()),""))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IF(DATOS!$A12930="",0,IF(CONFIG_METADATA!$B$4&lt;&gt;"OR+EX",--(DATOS!$G12930=CONFIG_METADATA!$B$4),IF(DATOS!$G12930="EX",1,IF(DATOS!$G12930="OR",--(COUNTIFS(nNIA,DATOS!$A12930,nCURSO,DATOS!$D12930,nESPEC,DATOS!$E12930,nASIG,DATOS!$I12930,nEVAL,"EX")=0),0))))</f>
      </c>
      <c r="H12930">
        <f>IF(DATOS!$G12930&lt;&gt;"EX",0,--(COUNTIFS(nNIA,DATOS!$A12930,nCURSO,DATOS!$D12930,nESPEC,DATOS!$E12930,nASIG,DATOS!$I12930,nEVAL,"OR")=0))</f>
      </c>
      <c r="I12930">
        <f>IF(DATOS!$I12930="","",IFERROR(VLOOKUP(DATOS!$I12930,CONFIG_ASIGNATURAS!$B$2:$J$91,9,FALSE()),""))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IF(DATOS!$A12931="",0,IF(CONFIG_METADATA!$B$4&lt;&gt;"OR+EX",--(DATOS!$G12931=CONFIG_METADATA!$B$4),IF(DATOS!$G12931="EX",1,IF(DATOS!$G12931="OR",--(COUNTIFS(nNIA,DATOS!$A12931,nCURSO,DATOS!$D12931,nESPEC,DATOS!$E12931,nASIG,DATOS!$I12931,nEVAL,"EX")=0),0))))</f>
      </c>
      <c r="H12931">
        <f>IF(DATOS!$G12931&lt;&gt;"EX",0,--(COUNTIFS(nNIA,DATOS!$A12931,nCURSO,DATOS!$D12931,nESPEC,DATOS!$E12931,nASIG,DATOS!$I12931,nEVAL,"OR")=0))</f>
      </c>
      <c r="I12931">
        <f>IF(DATOS!$I12931="","",IFERROR(VLOOKUP(DATOS!$I12931,CONFIG_ASIGNATURAS!$B$2:$J$91,9,FALSE()),""))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IF(DATOS!$A12932="",0,IF(CONFIG_METADATA!$B$4&lt;&gt;"OR+EX",--(DATOS!$G12932=CONFIG_METADATA!$B$4),IF(DATOS!$G12932="EX",1,IF(DATOS!$G12932="OR",--(COUNTIFS(nNIA,DATOS!$A12932,nCURSO,DATOS!$D12932,nESPEC,DATOS!$E12932,nASIG,DATOS!$I12932,nEVAL,"EX")=0),0))))</f>
      </c>
      <c r="H12932">
        <f>IF(DATOS!$G12932&lt;&gt;"EX",0,--(COUNTIFS(nNIA,DATOS!$A12932,nCURSO,DATOS!$D12932,nESPEC,DATOS!$E12932,nASIG,DATOS!$I12932,nEVAL,"OR")=0))</f>
      </c>
      <c r="I12932">
        <f>IF(DATOS!$I12932="","",IFERROR(VLOOKUP(DATOS!$I12932,CONFIG_ASIGNATURAS!$B$2:$J$91,9,FALSE()),""))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IF(DATOS!$A12933="",0,IF(CONFIG_METADATA!$B$4&lt;&gt;"OR+EX",--(DATOS!$G12933=CONFIG_METADATA!$B$4),IF(DATOS!$G12933="EX",1,IF(DATOS!$G12933="OR",--(COUNTIFS(nNIA,DATOS!$A12933,nCURSO,DATOS!$D12933,nESPEC,DATOS!$E12933,nASIG,DATOS!$I12933,nEVAL,"EX")=0),0))))</f>
      </c>
      <c r="H12933">
        <f>IF(DATOS!$G12933&lt;&gt;"EX",0,--(COUNTIFS(nNIA,DATOS!$A12933,nCURSO,DATOS!$D12933,nESPEC,DATOS!$E12933,nASIG,DATOS!$I12933,nEVAL,"OR")=0))</f>
      </c>
      <c r="I12933">
        <f>IF(DATOS!$I12933="","",IFERROR(VLOOKUP(DATOS!$I12933,CONFIG_ASIGNATURAS!$B$2:$J$91,9,FALSE()),""))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IF(DATOS!$A12934="",0,IF(CONFIG_METADATA!$B$4&lt;&gt;"OR+EX",--(DATOS!$G12934=CONFIG_METADATA!$B$4),IF(DATOS!$G12934="EX",1,IF(DATOS!$G12934="OR",--(COUNTIFS(nNIA,DATOS!$A12934,nCURSO,DATOS!$D12934,nESPEC,DATOS!$E12934,nASIG,DATOS!$I12934,nEVAL,"EX")=0),0))))</f>
      </c>
      <c r="H12934">
        <f>IF(DATOS!$G12934&lt;&gt;"EX",0,--(COUNTIFS(nNIA,DATOS!$A12934,nCURSO,DATOS!$D12934,nESPEC,DATOS!$E12934,nASIG,DATOS!$I12934,nEVAL,"OR")=0))</f>
      </c>
      <c r="I12934">
        <f>IF(DATOS!$I12934="","",IFERROR(VLOOKUP(DATOS!$I12934,CONFIG_ASIGNATURAS!$B$2:$J$91,9,FALSE()),""))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IF(DATOS!$A12935="",0,IF(CONFIG_METADATA!$B$4&lt;&gt;"OR+EX",--(DATOS!$G12935=CONFIG_METADATA!$B$4),IF(DATOS!$G12935="EX",1,IF(DATOS!$G12935="OR",--(COUNTIFS(nNIA,DATOS!$A12935,nCURSO,DATOS!$D12935,nESPEC,DATOS!$E12935,nASIG,DATOS!$I12935,nEVAL,"EX")=0),0))))</f>
      </c>
      <c r="H12935">
        <f>IF(DATOS!$G12935&lt;&gt;"EX",0,--(COUNTIFS(nNIA,DATOS!$A12935,nCURSO,DATOS!$D12935,nESPEC,DATOS!$E12935,nASIG,DATOS!$I12935,nEVAL,"OR")=0))</f>
      </c>
      <c r="I12935">
        <f>IF(DATOS!$I12935="","",IFERROR(VLOOKUP(DATOS!$I12935,CONFIG_ASIGNATURAS!$B$2:$J$91,9,FALSE()),""))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IF(DATOS!$A12936="",0,IF(CONFIG_METADATA!$B$4&lt;&gt;"OR+EX",--(DATOS!$G12936=CONFIG_METADATA!$B$4),IF(DATOS!$G12936="EX",1,IF(DATOS!$G12936="OR",--(COUNTIFS(nNIA,DATOS!$A12936,nCURSO,DATOS!$D12936,nESPEC,DATOS!$E12936,nASIG,DATOS!$I12936,nEVAL,"EX")=0),0))))</f>
      </c>
      <c r="H12936">
        <f>IF(DATOS!$G12936&lt;&gt;"EX",0,--(COUNTIFS(nNIA,DATOS!$A12936,nCURSO,DATOS!$D12936,nESPEC,DATOS!$E12936,nASIG,DATOS!$I12936,nEVAL,"OR")=0))</f>
      </c>
      <c r="I12936">
        <f>IF(DATOS!$I12936="","",IFERROR(VLOOKUP(DATOS!$I12936,CONFIG_ASIGNATURAS!$B$2:$J$91,9,FALSE()),""))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IF(DATOS!$A12937="",0,IF(CONFIG_METADATA!$B$4&lt;&gt;"OR+EX",--(DATOS!$G12937=CONFIG_METADATA!$B$4),IF(DATOS!$G12937="EX",1,IF(DATOS!$G12937="OR",--(COUNTIFS(nNIA,DATOS!$A12937,nCURSO,DATOS!$D12937,nESPEC,DATOS!$E12937,nASIG,DATOS!$I12937,nEVAL,"EX")=0),0))))</f>
      </c>
      <c r="H12937">
        <f>IF(DATOS!$G12937&lt;&gt;"EX",0,--(COUNTIFS(nNIA,DATOS!$A12937,nCURSO,DATOS!$D12937,nESPEC,DATOS!$E12937,nASIG,DATOS!$I12937,nEVAL,"OR")=0))</f>
      </c>
      <c r="I12937">
        <f>IF(DATOS!$I12937="","",IFERROR(VLOOKUP(DATOS!$I12937,CONFIG_ASIGNATURAS!$B$2:$J$91,9,FALSE()),""))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IF(DATOS!$A12938="",0,IF(CONFIG_METADATA!$B$4&lt;&gt;"OR+EX",--(DATOS!$G12938=CONFIG_METADATA!$B$4),IF(DATOS!$G12938="EX",1,IF(DATOS!$G12938="OR",--(COUNTIFS(nNIA,DATOS!$A12938,nCURSO,DATOS!$D12938,nESPEC,DATOS!$E12938,nASIG,DATOS!$I12938,nEVAL,"EX")=0),0))))</f>
      </c>
      <c r="H12938">
        <f>IF(DATOS!$G12938&lt;&gt;"EX",0,--(COUNTIFS(nNIA,DATOS!$A12938,nCURSO,DATOS!$D12938,nESPEC,DATOS!$E12938,nASIG,DATOS!$I12938,nEVAL,"OR")=0))</f>
      </c>
      <c r="I12938">
        <f>IF(DATOS!$I12938="","",IFERROR(VLOOKUP(DATOS!$I12938,CONFIG_ASIGNATURAS!$B$2:$J$91,9,FALSE()),""))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IF(DATOS!$A12939="",0,IF(CONFIG_METADATA!$B$4&lt;&gt;"OR+EX",--(DATOS!$G12939=CONFIG_METADATA!$B$4),IF(DATOS!$G12939="EX",1,IF(DATOS!$G12939="OR",--(COUNTIFS(nNIA,DATOS!$A12939,nCURSO,DATOS!$D12939,nESPEC,DATOS!$E12939,nASIG,DATOS!$I12939,nEVAL,"EX")=0),0))))</f>
      </c>
      <c r="H12939">
        <f>IF(DATOS!$G12939&lt;&gt;"EX",0,--(COUNTIFS(nNIA,DATOS!$A12939,nCURSO,DATOS!$D12939,nESPEC,DATOS!$E12939,nASIG,DATOS!$I12939,nEVAL,"OR")=0))</f>
      </c>
      <c r="I12939">
        <f>IF(DATOS!$I12939="","",IFERROR(VLOOKUP(DATOS!$I12939,CONFIG_ASIGNATURAS!$B$2:$J$91,9,FALSE()),""))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IF(DATOS!$A12940="",0,IF(CONFIG_METADATA!$B$4&lt;&gt;"OR+EX",--(DATOS!$G12940=CONFIG_METADATA!$B$4),IF(DATOS!$G12940="EX",1,IF(DATOS!$G12940="OR",--(COUNTIFS(nNIA,DATOS!$A12940,nCURSO,DATOS!$D12940,nESPEC,DATOS!$E12940,nASIG,DATOS!$I12940,nEVAL,"EX")=0),0))))</f>
      </c>
      <c r="H12940">
        <f>IF(DATOS!$G12940&lt;&gt;"EX",0,--(COUNTIFS(nNIA,DATOS!$A12940,nCURSO,DATOS!$D12940,nESPEC,DATOS!$E12940,nASIG,DATOS!$I12940,nEVAL,"OR")=0))</f>
      </c>
      <c r="I12940">
        <f>IF(DATOS!$I12940="","",IFERROR(VLOOKUP(DATOS!$I12940,CONFIG_ASIGNATURAS!$B$2:$J$91,9,FALSE()),""))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IF(DATOS!$A12941="",0,IF(CONFIG_METADATA!$B$4&lt;&gt;"OR+EX",--(DATOS!$G12941=CONFIG_METADATA!$B$4),IF(DATOS!$G12941="EX",1,IF(DATOS!$G12941="OR",--(COUNTIFS(nNIA,DATOS!$A12941,nCURSO,DATOS!$D12941,nESPEC,DATOS!$E12941,nASIG,DATOS!$I12941,nEVAL,"EX")=0),0))))</f>
      </c>
      <c r="H12941">
        <f>IF(DATOS!$G12941&lt;&gt;"EX",0,--(COUNTIFS(nNIA,DATOS!$A12941,nCURSO,DATOS!$D12941,nESPEC,DATOS!$E12941,nASIG,DATOS!$I12941,nEVAL,"OR")=0))</f>
      </c>
      <c r="I12941">
        <f>IF(DATOS!$I12941="","",IFERROR(VLOOKUP(DATOS!$I12941,CONFIG_ASIGNATURAS!$B$2:$J$91,9,FALSE()),""))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IF(DATOS!$A12942="",0,IF(CONFIG_METADATA!$B$4&lt;&gt;"OR+EX",--(DATOS!$G12942=CONFIG_METADATA!$B$4),IF(DATOS!$G12942="EX",1,IF(DATOS!$G12942="OR",--(COUNTIFS(nNIA,DATOS!$A12942,nCURSO,DATOS!$D12942,nESPEC,DATOS!$E12942,nASIG,DATOS!$I12942,nEVAL,"EX")=0),0))))</f>
      </c>
      <c r="H12942">
        <f>IF(DATOS!$G12942&lt;&gt;"EX",0,--(COUNTIFS(nNIA,DATOS!$A12942,nCURSO,DATOS!$D12942,nESPEC,DATOS!$E12942,nASIG,DATOS!$I12942,nEVAL,"OR")=0))</f>
      </c>
      <c r="I12942">
        <f>IF(DATOS!$I12942="","",IFERROR(VLOOKUP(DATOS!$I12942,CONFIG_ASIGNATURAS!$B$2:$J$91,9,FALSE()),""))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IF(DATOS!$A12943="",0,IF(CONFIG_METADATA!$B$4&lt;&gt;"OR+EX",--(DATOS!$G12943=CONFIG_METADATA!$B$4),IF(DATOS!$G12943="EX",1,IF(DATOS!$G12943="OR",--(COUNTIFS(nNIA,DATOS!$A12943,nCURSO,DATOS!$D12943,nESPEC,DATOS!$E12943,nASIG,DATOS!$I12943,nEVAL,"EX")=0),0))))</f>
      </c>
      <c r="H12943">
        <f>IF(DATOS!$G12943&lt;&gt;"EX",0,--(COUNTIFS(nNIA,DATOS!$A12943,nCURSO,DATOS!$D12943,nESPEC,DATOS!$E12943,nASIG,DATOS!$I12943,nEVAL,"OR")=0))</f>
      </c>
      <c r="I12943">
        <f>IF(DATOS!$I12943="","",IFERROR(VLOOKUP(DATOS!$I12943,CONFIG_ASIGNATURAS!$B$2:$J$91,9,FALSE()),""))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IF(DATOS!$A12944="",0,IF(CONFIG_METADATA!$B$4&lt;&gt;"OR+EX",--(DATOS!$G12944=CONFIG_METADATA!$B$4),IF(DATOS!$G12944="EX",1,IF(DATOS!$G12944="OR",--(COUNTIFS(nNIA,DATOS!$A12944,nCURSO,DATOS!$D12944,nESPEC,DATOS!$E12944,nASIG,DATOS!$I12944,nEVAL,"EX")=0),0))))</f>
      </c>
      <c r="H12944">
        <f>IF(DATOS!$G12944&lt;&gt;"EX",0,--(COUNTIFS(nNIA,DATOS!$A12944,nCURSO,DATOS!$D12944,nESPEC,DATOS!$E12944,nASIG,DATOS!$I12944,nEVAL,"OR")=0))</f>
      </c>
      <c r="I12944">
        <f>IF(DATOS!$I12944="","",IFERROR(VLOOKUP(DATOS!$I12944,CONFIG_ASIGNATURAS!$B$2:$J$91,9,FALSE()),""))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IF(DATOS!$A12945="",0,IF(CONFIG_METADATA!$B$4&lt;&gt;"OR+EX",--(DATOS!$G12945=CONFIG_METADATA!$B$4),IF(DATOS!$G12945="EX",1,IF(DATOS!$G12945="OR",--(COUNTIFS(nNIA,DATOS!$A12945,nCURSO,DATOS!$D12945,nESPEC,DATOS!$E12945,nASIG,DATOS!$I12945,nEVAL,"EX")=0),0))))</f>
      </c>
      <c r="H12945">
        <f>IF(DATOS!$G12945&lt;&gt;"EX",0,--(COUNTIFS(nNIA,DATOS!$A12945,nCURSO,DATOS!$D12945,nESPEC,DATOS!$E12945,nASIG,DATOS!$I12945,nEVAL,"OR")=0))</f>
      </c>
      <c r="I12945">
        <f>IF(DATOS!$I12945="","",IFERROR(VLOOKUP(DATOS!$I12945,CONFIG_ASIGNATURAS!$B$2:$J$91,9,FALSE()),""))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IF(DATOS!$A12946="",0,IF(CONFIG_METADATA!$B$4&lt;&gt;"OR+EX",--(DATOS!$G12946=CONFIG_METADATA!$B$4),IF(DATOS!$G12946="EX",1,IF(DATOS!$G12946="OR",--(COUNTIFS(nNIA,DATOS!$A12946,nCURSO,DATOS!$D12946,nESPEC,DATOS!$E12946,nASIG,DATOS!$I12946,nEVAL,"EX")=0),0))))</f>
      </c>
      <c r="H12946">
        <f>IF(DATOS!$G12946&lt;&gt;"EX",0,--(COUNTIFS(nNIA,DATOS!$A12946,nCURSO,DATOS!$D12946,nESPEC,DATOS!$E12946,nASIG,DATOS!$I12946,nEVAL,"OR")=0))</f>
      </c>
      <c r="I12946">
        <f>IF(DATOS!$I12946="","",IFERROR(VLOOKUP(DATOS!$I12946,CONFIG_ASIGNATURAS!$B$2:$J$91,9,FALSE()),""))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IF(DATOS!$A12947="",0,IF(CONFIG_METADATA!$B$4&lt;&gt;"OR+EX",--(DATOS!$G12947=CONFIG_METADATA!$B$4),IF(DATOS!$G12947="EX",1,IF(DATOS!$G12947="OR",--(COUNTIFS(nNIA,DATOS!$A12947,nCURSO,DATOS!$D12947,nESPEC,DATOS!$E12947,nASIG,DATOS!$I12947,nEVAL,"EX")=0),0))))</f>
      </c>
      <c r="H12947">
        <f>IF(DATOS!$G12947&lt;&gt;"EX",0,--(COUNTIFS(nNIA,DATOS!$A12947,nCURSO,DATOS!$D12947,nESPEC,DATOS!$E12947,nASIG,DATOS!$I12947,nEVAL,"OR")=0))</f>
      </c>
      <c r="I12947">
        <f>IF(DATOS!$I12947="","",IFERROR(VLOOKUP(DATOS!$I12947,CONFIG_ASIGNATURAS!$B$2:$J$91,9,FALSE()),""))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IF(DATOS!$A12948="",0,IF(CONFIG_METADATA!$B$4&lt;&gt;"OR+EX",--(DATOS!$G12948=CONFIG_METADATA!$B$4),IF(DATOS!$G12948="EX",1,IF(DATOS!$G12948="OR",--(COUNTIFS(nNIA,DATOS!$A12948,nCURSO,DATOS!$D12948,nESPEC,DATOS!$E12948,nASIG,DATOS!$I12948,nEVAL,"EX")=0),0))))</f>
      </c>
      <c r="H12948">
        <f>IF(DATOS!$G12948&lt;&gt;"EX",0,--(COUNTIFS(nNIA,DATOS!$A12948,nCURSO,DATOS!$D12948,nESPEC,DATOS!$E12948,nASIG,DATOS!$I12948,nEVAL,"OR")=0))</f>
      </c>
      <c r="I12948">
        <f>IF(DATOS!$I12948="","",IFERROR(VLOOKUP(DATOS!$I12948,CONFIG_ASIGNATURAS!$B$2:$J$91,9,FALSE()),""))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IF(DATOS!$A12949="",0,IF(CONFIG_METADATA!$B$4&lt;&gt;"OR+EX",--(DATOS!$G12949=CONFIG_METADATA!$B$4),IF(DATOS!$G12949="EX",1,IF(DATOS!$G12949="OR",--(COUNTIFS(nNIA,DATOS!$A12949,nCURSO,DATOS!$D12949,nESPEC,DATOS!$E12949,nASIG,DATOS!$I12949,nEVAL,"EX")=0),0))))</f>
      </c>
      <c r="H12949">
        <f>IF(DATOS!$G12949&lt;&gt;"EX",0,--(COUNTIFS(nNIA,DATOS!$A12949,nCURSO,DATOS!$D12949,nESPEC,DATOS!$E12949,nASIG,DATOS!$I12949,nEVAL,"OR")=0))</f>
      </c>
      <c r="I12949">
        <f>IF(DATOS!$I12949="","",IFERROR(VLOOKUP(DATOS!$I12949,CONFIG_ASIGNATURAS!$B$2:$J$91,9,FALSE()),""))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IF(DATOS!$A12950="",0,IF(CONFIG_METADATA!$B$4&lt;&gt;"OR+EX",--(DATOS!$G12950=CONFIG_METADATA!$B$4),IF(DATOS!$G12950="EX",1,IF(DATOS!$G12950="OR",--(COUNTIFS(nNIA,DATOS!$A12950,nCURSO,DATOS!$D12950,nESPEC,DATOS!$E12950,nASIG,DATOS!$I12950,nEVAL,"EX")=0),0))))</f>
      </c>
      <c r="H12950">
        <f>IF(DATOS!$G12950&lt;&gt;"EX",0,--(COUNTIFS(nNIA,DATOS!$A12950,nCURSO,DATOS!$D12950,nESPEC,DATOS!$E12950,nASIG,DATOS!$I12950,nEVAL,"OR")=0))</f>
      </c>
      <c r="I12950">
        <f>IF(DATOS!$I12950="","",IFERROR(VLOOKUP(DATOS!$I12950,CONFIG_ASIGNATURAS!$B$2:$J$91,9,FALSE()),""))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IF(DATOS!$A12951="",0,IF(CONFIG_METADATA!$B$4&lt;&gt;"OR+EX",--(DATOS!$G12951=CONFIG_METADATA!$B$4),IF(DATOS!$G12951="EX",1,IF(DATOS!$G12951="OR",--(COUNTIFS(nNIA,DATOS!$A12951,nCURSO,DATOS!$D12951,nESPEC,DATOS!$E12951,nASIG,DATOS!$I12951,nEVAL,"EX")=0),0))))</f>
      </c>
      <c r="H12951">
        <f>IF(DATOS!$G12951&lt;&gt;"EX",0,--(COUNTIFS(nNIA,DATOS!$A12951,nCURSO,DATOS!$D12951,nESPEC,DATOS!$E12951,nASIG,DATOS!$I12951,nEVAL,"OR")=0))</f>
      </c>
      <c r="I12951">
        <f>IF(DATOS!$I12951="","",IFERROR(VLOOKUP(DATOS!$I12951,CONFIG_ASIGNATURAS!$B$2:$J$91,9,FALSE()),""))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IF(DATOS!$A12952="",0,IF(CONFIG_METADATA!$B$4&lt;&gt;"OR+EX",--(DATOS!$G12952=CONFIG_METADATA!$B$4),IF(DATOS!$G12952="EX",1,IF(DATOS!$G12952="OR",--(COUNTIFS(nNIA,DATOS!$A12952,nCURSO,DATOS!$D12952,nESPEC,DATOS!$E12952,nASIG,DATOS!$I12952,nEVAL,"EX")=0),0))))</f>
      </c>
      <c r="H12952">
        <f>IF(DATOS!$G12952&lt;&gt;"EX",0,--(COUNTIFS(nNIA,DATOS!$A12952,nCURSO,DATOS!$D12952,nESPEC,DATOS!$E12952,nASIG,DATOS!$I12952,nEVAL,"OR")=0))</f>
      </c>
      <c r="I12952">
        <f>IF(DATOS!$I12952="","",IFERROR(VLOOKUP(DATOS!$I12952,CONFIG_ASIGNATURAS!$B$2:$J$91,9,FALSE()),""))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IF(DATOS!$A12953="",0,IF(CONFIG_METADATA!$B$4&lt;&gt;"OR+EX",--(DATOS!$G12953=CONFIG_METADATA!$B$4),IF(DATOS!$G12953="EX",1,IF(DATOS!$G12953="OR",--(COUNTIFS(nNIA,DATOS!$A12953,nCURSO,DATOS!$D12953,nESPEC,DATOS!$E12953,nASIG,DATOS!$I12953,nEVAL,"EX")=0),0))))</f>
      </c>
      <c r="H12953">
        <f>IF(DATOS!$G12953&lt;&gt;"EX",0,--(COUNTIFS(nNIA,DATOS!$A12953,nCURSO,DATOS!$D12953,nESPEC,DATOS!$E12953,nASIG,DATOS!$I12953,nEVAL,"OR")=0))</f>
      </c>
      <c r="I12953">
        <f>IF(DATOS!$I12953="","",IFERROR(VLOOKUP(DATOS!$I12953,CONFIG_ASIGNATURAS!$B$2:$J$91,9,FALSE()),""))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IF(DATOS!$A12954="",0,IF(CONFIG_METADATA!$B$4&lt;&gt;"OR+EX",--(DATOS!$G12954=CONFIG_METADATA!$B$4),IF(DATOS!$G12954="EX",1,IF(DATOS!$G12954="OR",--(COUNTIFS(nNIA,DATOS!$A12954,nCURSO,DATOS!$D12954,nESPEC,DATOS!$E12954,nASIG,DATOS!$I12954,nEVAL,"EX")=0),0))))</f>
      </c>
      <c r="H12954">
        <f>IF(DATOS!$G12954&lt;&gt;"EX",0,--(COUNTIFS(nNIA,DATOS!$A12954,nCURSO,DATOS!$D12954,nESPEC,DATOS!$E12954,nASIG,DATOS!$I12954,nEVAL,"OR")=0))</f>
      </c>
      <c r="I12954">
        <f>IF(DATOS!$I12954="","",IFERROR(VLOOKUP(DATOS!$I12954,CONFIG_ASIGNATURAS!$B$2:$J$91,9,FALSE()),""))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IF(DATOS!$A12955="",0,IF(CONFIG_METADATA!$B$4&lt;&gt;"OR+EX",--(DATOS!$G12955=CONFIG_METADATA!$B$4),IF(DATOS!$G12955="EX",1,IF(DATOS!$G12955="OR",--(COUNTIFS(nNIA,DATOS!$A12955,nCURSO,DATOS!$D12955,nESPEC,DATOS!$E12955,nASIG,DATOS!$I12955,nEVAL,"EX")=0),0))))</f>
      </c>
      <c r="H12955">
        <f>IF(DATOS!$G12955&lt;&gt;"EX",0,--(COUNTIFS(nNIA,DATOS!$A12955,nCURSO,DATOS!$D12955,nESPEC,DATOS!$E12955,nASIG,DATOS!$I12955,nEVAL,"OR")=0))</f>
      </c>
      <c r="I12955">
        <f>IF(DATOS!$I12955="","",IFERROR(VLOOKUP(DATOS!$I12955,CONFIG_ASIGNATURAS!$B$2:$J$91,9,FALSE()),""))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IF(DATOS!$A12956="",0,IF(CONFIG_METADATA!$B$4&lt;&gt;"OR+EX",--(DATOS!$G12956=CONFIG_METADATA!$B$4),IF(DATOS!$G12956="EX",1,IF(DATOS!$G12956="OR",--(COUNTIFS(nNIA,DATOS!$A12956,nCURSO,DATOS!$D12956,nESPEC,DATOS!$E12956,nASIG,DATOS!$I12956,nEVAL,"EX")=0),0))))</f>
      </c>
      <c r="H12956">
        <f>IF(DATOS!$G12956&lt;&gt;"EX",0,--(COUNTIFS(nNIA,DATOS!$A12956,nCURSO,DATOS!$D12956,nESPEC,DATOS!$E12956,nASIG,DATOS!$I12956,nEVAL,"OR")=0))</f>
      </c>
      <c r="I12956">
        <f>IF(DATOS!$I12956="","",IFERROR(VLOOKUP(DATOS!$I12956,CONFIG_ASIGNATURAS!$B$2:$J$91,9,FALSE()),""))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IF(DATOS!$A12957="",0,IF(CONFIG_METADATA!$B$4&lt;&gt;"OR+EX",--(DATOS!$G12957=CONFIG_METADATA!$B$4),IF(DATOS!$G12957="EX",1,IF(DATOS!$G12957="OR",--(COUNTIFS(nNIA,DATOS!$A12957,nCURSO,DATOS!$D12957,nESPEC,DATOS!$E12957,nASIG,DATOS!$I12957,nEVAL,"EX")=0),0))))</f>
      </c>
      <c r="H12957">
        <f>IF(DATOS!$G12957&lt;&gt;"EX",0,--(COUNTIFS(nNIA,DATOS!$A12957,nCURSO,DATOS!$D12957,nESPEC,DATOS!$E12957,nASIG,DATOS!$I12957,nEVAL,"OR")=0))</f>
      </c>
      <c r="I12957">
        <f>IF(DATOS!$I12957="","",IFERROR(VLOOKUP(DATOS!$I12957,CONFIG_ASIGNATURAS!$B$2:$J$91,9,FALSE()),""))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IF(DATOS!$A12958="",0,IF(CONFIG_METADATA!$B$4&lt;&gt;"OR+EX",--(DATOS!$G12958=CONFIG_METADATA!$B$4),IF(DATOS!$G12958="EX",1,IF(DATOS!$G12958="OR",--(COUNTIFS(nNIA,DATOS!$A12958,nCURSO,DATOS!$D12958,nESPEC,DATOS!$E12958,nASIG,DATOS!$I12958,nEVAL,"EX")=0),0))))</f>
      </c>
      <c r="H12958">
        <f>IF(DATOS!$G12958&lt;&gt;"EX",0,--(COUNTIFS(nNIA,DATOS!$A12958,nCURSO,DATOS!$D12958,nESPEC,DATOS!$E12958,nASIG,DATOS!$I12958,nEVAL,"OR")=0))</f>
      </c>
      <c r="I12958">
        <f>IF(DATOS!$I12958="","",IFERROR(VLOOKUP(DATOS!$I12958,CONFIG_ASIGNATURAS!$B$2:$J$91,9,FALSE()),""))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IF(DATOS!$A12959="",0,IF(CONFIG_METADATA!$B$4&lt;&gt;"OR+EX",--(DATOS!$G12959=CONFIG_METADATA!$B$4),IF(DATOS!$G12959="EX",1,IF(DATOS!$G12959="OR",--(COUNTIFS(nNIA,DATOS!$A12959,nCURSO,DATOS!$D12959,nESPEC,DATOS!$E12959,nASIG,DATOS!$I12959,nEVAL,"EX")=0),0))))</f>
      </c>
      <c r="H12959">
        <f>IF(DATOS!$G12959&lt;&gt;"EX",0,--(COUNTIFS(nNIA,DATOS!$A12959,nCURSO,DATOS!$D12959,nESPEC,DATOS!$E12959,nASIG,DATOS!$I12959,nEVAL,"OR")=0))</f>
      </c>
      <c r="I12959">
        <f>IF(DATOS!$I12959="","",IFERROR(VLOOKUP(DATOS!$I12959,CONFIG_ASIGNATURAS!$B$2:$J$91,9,FALSE()),""))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IF(DATOS!$A12960="",0,IF(CONFIG_METADATA!$B$4&lt;&gt;"OR+EX",--(DATOS!$G12960=CONFIG_METADATA!$B$4),IF(DATOS!$G12960="EX",1,IF(DATOS!$G12960="OR",--(COUNTIFS(nNIA,DATOS!$A12960,nCURSO,DATOS!$D12960,nESPEC,DATOS!$E12960,nASIG,DATOS!$I12960,nEVAL,"EX")=0),0))))</f>
      </c>
      <c r="H12960">
        <f>IF(DATOS!$G12960&lt;&gt;"EX",0,--(COUNTIFS(nNIA,DATOS!$A12960,nCURSO,DATOS!$D12960,nESPEC,DATOS!$E12960,nASIG,DATOS!$I12960,nEVAL,"OR")=0))</f>
      </c>
      <c r="I12960">
        <f>IF(DATOS!$I12960="","",IFERROR(VLOOKUP(DATOS!$I12960,CONFIG_ASIGNATURAS!$B$2:$J$91,9,FALSE()),""))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IF(DATOS!$A12961="",0,IF(CONFIG_METADATA!$B$4&lt;&gt;"OR+EX",--(DATOS!$G12961=CONFIG_METADATA!$B$4),IF(DATOS!$G12961="EX",1,IF(DATOS!$G12961="OR",--(COUNTIFS(nNIA,DATOS!$A12961,nCURSO,DATOS!$D12961,nESPEC,DATOS!$E12961,nASIG,DATOS!$I12961,nEVAL,"EX")=0),0))))</f>
      </c>
      <c r="H12961">
        <f>IF(DATOS!$G12961&lt;&gt;"EX",0,--(COUNTIFS(nNIA,DATOS!$A12961,nCURSO,DATOS!$D12961,nESPEC,DATOS!$E12961,nASIG,DATOS!$I12961,nEVAL,"OR")=0))</f>
      </c>
      <c r="I12961">
        <f>IF(DATOS!$I12961="","",IFERROR(VLOOKUP(DATOS!$I12961,CONFIG_ASIGNATURAS!$B$2:$J$91,9,FALSE()),""))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IF(DATOS!$A12962="",0,IF(CONFIG_METADATA!$B$4&lt;&gt;"OR+EX",--(DATOS!$G12962=CONFIG_METADATA!$B$4),IF(DATOS!$G12962="EX",1,IF(DATOS!$G12962="OR",--(COUNTIFS(nNIA,DATOS!$A12962,nCURSO,DATOS!$D12962,nESPEC,DATOS!$E12962,nASIG,DATOS!$I12962,nEVAL,"EX")=0),0))))</f>
      </c>
      <c r="H12962">
        <f>IF(DATOS!$G12962&lt;&gt;"EX",0,--(COUNTIFS(nNIA,DATOS!$A12962,nCURSO,DATOS!$D12962,nESPEC,DATOS!$E12962,nASIG,DATOS!$I12962,nEVAL,"OR")=0))</f>
      </c>
      <c r="I12962">
        <f>IF(DATOS!$I12962="","",IFERROR(VLOOKUP(DATOS!$I12962,CONFIG_ASIGNATURAS!$B$2:$J$91,9,FALSE()),""))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IF(DATOS!$A12963="",0,IF(CONFIG_METADATA!$B$4&lt;&gt;"OR+EX",--(DATOS!$G12963=CONFIG_METADATA!$B$4),IF(DATOS!$G12963="EX",1,IF(DATOS!$G12963="OR",--(COUNTIFS(nNIA,DATOS!$A12963,nCURSO,DATOS!$D12963,nESPEC,DATOS!$E12963,nASIG,DATOS!$I12963,nEVAL,"EX")=0),0))))</f>
      </c>
      <c r="H12963">
        <f>IF(DATOS!$G12963&lt;&gt;"EX",0,--(COUNTIFS(nNIA,DATOS!$A12963,nCURSO,DATOS!$D12963,nESPEC,DATOS!$E12963,nASIG,DATOS!$I12963,nEVAL,"OR")=0))</f>
      </c>
      <c r="I12963">
        <f>IF(DATOS!$I12963="","",IFERROR(VLOOKUP(DATOS!$I12963,CONFIG_ASIGNATURAS!$B$2:$J$91,9,FALSE()),""))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IF(DATOS!$A12964="",0,IF(CONFIG_METADATA!$B$4&lt;&gt;"OR+EX",--(DATOS!$G12964=CONFIG_METADATA!$B$4),IF(DATOS!$G12964="EX",1,IF(DATOS!$G12964="OR",--(COUNTIFS(nNIA,DATOS!$A12964,nCURSO,DATOS!$D12964,nESPEC,DATOS!$E12964,nASIG,DATOS!$I12964,nEVAL,"EX")=0),0))))</f>
      </c>
      <c r="H12964">
        <f>IF(DATOS!$G12964&lt;&gt;"EX",0,--(COUNTIFS(nNIA,DATOS!$A12964,nCURSO,DATOS!$D12964,nESPEC,DATOS!$E12964,nASIG,DATOS!$I12964,nEVAL,"OR")=0))</f>
      </c>
      <c r="I12964">
        <f>IF(DATOS!$I12964="","",IFERROR(VLOOKUP(DATOS!$I12964,CONFIG_ASIGNATURAS!$B$2:$J$91,9,FALSE()),""))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IF(DATOS!$A12965="",0,IF(CONFIG_METADATA!$B$4&lt;&gt;"OR+EX",--(DATOS!$G12965=CONFIG_METADATA!$B$4),IF(DATOS!$G12965="EX",1,IF(DATOS!$G12965="OR",--(COUNTIFS(nNIA,DATOS!$A12965,nCURSO,DATOS!$D12965,nESPEC,DATOS!$E12965,nASIG,DATOS!$I12965,nEVAL,"EX")=0),0))))</f>
      </c>
      <c r="H12965">
        <f>IF(DATOS!$G12965&lt;&gt;"EX",0,--(COUNTIFS(nNIA,DATOS!$A12965,nCURSO,DATOS!$D12965,nESPEC,DATOS!$E12965,nASIG,DATOS!$I12965,nEVAL,"OR")=0))</f>
      </c>
      <c r="I12965">
        <f>IF(DATOS!$I12965="","",IFERROR(VLOOKUP(DATOS!$I12965,CONFIG_ASIGNATURAS!$B$2:$J$91,9,FALSE()),""))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IF(DATOS!$A12966="",0,IF(CONFIG_METADATA!$B$4&lt;&gt;"OR+EX",--(DATOS!$G12966=CONFIG_METADATA!$B$4),IF(DATOS!$G12966="EX",1,IF(DATOS!$G12966="OR",--(COUNTIFS(nNIA,DATOS!$A12966,nCURSO,DATOS!$D12966,nESPEC,DATOS!$E12966,nASIG,DATOS!$I12966,nEVAL,"EX")=0),0))))</f>
      </c>
      <c r="H12966">
        <f>IF(DATOS!$G12966&lt;&gt;"EX",0,--(COUNTIFS(nNIA,DATOS!$A12966,nCURSO,DATOS!$D12966,nESPEC,DATOS!$E12966,nASIG,DATOS!$I12966,nEVAL,"OR")=0))</f>
      </c>
      <c r="I12966">
        <f>IF(DATOS!$I12966="","",IFERROR(VLOOKUP(DATOS!$I12966,CONFIG_ASIGNATURAS!$B$2:$J$91,9,FALSE()),""))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IF(DATOS!$A12967="",0,IF(CONFIG_METADATA!$B$4&lt;&gt;"OR+EX",--(DATOS!$G12967=CONFIG_METADATA!$B$4),IF(DATOS!$G12967="EX",1,IF(DATOS!$G12967="OR",--(COUNTIFS(nNIA,DATOS!$A12967,nCURSO,DATOS!$D12967,nESPEC,DATOS!$E12967,nASIG,DATOS!$I12967,nEVAL,"EX")=0),0))))</f>
      </c>
      <c r="H12967">
        <f>IF(DATOS!$G12967&lt;&gt;"EX",0,--(COUNTIFS(nNIA,DATOS!$A12967,nCURSO,DATOS!$D12967,nESPEC,DATOS!$E12967,nASIG,DATOS!$I12967,nEVAL,"OR")=0))</f>
      </c>
      <c r="I12967">
        <f>IF(DATOS!$I12967="","",IFERROR(VLOOKUP(DATOS!$I12967,CONFIG_ASIGNATURAS!$B$2:$J$91,9,FALSE()),""))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IF(DATOS!$A12968="",0,IF(CONFIG_METADATA!$B$4&lt;&gt;"OR+EX",--(DATOS!$G12968=CONFIG_METADATA!$B$4),IF(DATOS!$G12968="EX",1,IF(DATOS!$G12968="OR",--(COUNTIFS(nNIA,DATOS!$A12968,nCURSO,DATOS!$D12968,nESPEC,DATOS!$E12968,nASIG,DATOS!$I12968,nEVAL,"EX")=0),0))))</f>
      </c>
      <c r="H12968">
        <f>IF(DATOS!$G12968&lt;&gt;"EX",0,--(COUNTIFS(nNIA,DATOS!$A12968,nCURSO,DATOS!$D12968,nESPEC,DATOS!$E12968,nASIG,DATOS!$I12968,nEVAL,"OR")=0))</f>
      </c>
      <c r="I12968">
        <f>IF(DATOS!$I12968="","",IFERROR(VLOOKUP(DATOS!$I12968,CONFIG_ASIGNATURAS!$B$2:$J$91,9,FALSE()),""))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IF(DATOS!$A12969="",0,IF(CONFIG_METADATA!$B$4&lt;&gt;"OR+EX",--(DATOS!$G12969=CONFIG_METADATA!$B$4),IF(DATOS!$G12969="EX",1,IF(DATOS!$G12969="OR",--(COUNTIFS(nNIA,DATOS!$A12969,nCURSO,DATOS!$D12969,nESPEC,DATOS!$E12969,nASIG,DATOS!$I12969,nEVAL,"EX")=0),0))))</f>
      </c>
      <c r="H12969">
        <f>IF(DATOS!$G12969&lt;&gt;"EX",0,--(COUNTIFS(nNIA,DATOS!$A12969,nCURSO,DATOS!$D12969,nESPEC,DATOS!$E12969,nASIG,DATOS!$I12969,nEVAL,"OR")=0))</f>
      </c>
      <c r="I12969">
        <f>IF(DATOS!$I12969="","",IFERROR(VLOOKUP(DATOS!$I12969,CONFIG_ASIGNATURAS!$B$2:$J$91,9,FALSE()),""))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IF(DATOS!$A12970="",0,IF(CONFIG_METADATA!$B$4&lt;&gt;"OR+EX",--(DATOS!$G12970=CONFIG_METADATA!$B$4),IF(DATOS!$G12970="EX",1,IF(DATOS!$G12970="OR",--(COUNTIFS(nNIA,DATOS!$A12970,nCURSO,DATOS!$D12970,nESPEC,DATOS!$E12970,nASIG,DATOS!$I12970,nEVAL,"EX")=0),0))))</f>
      </c>
      <c r="H12970">
        <f>IF(DATOS!$G12970&lt;&gt;"EX",0,--(COUNTIFS(nNIA,DATOS!$A12970,nCURSO,DATOS!$D12970,nESPEC,DATOS!$E12970,nASIG,DATOS!$I12970,nEVAL,"OR")=0))</f>
      </c>
      <c r="I12970">
        <f>IF(DATOS!$I12970="","",IFERROR(VLOOKUP(DATOS!$I12970,CONFIG_ASIGNATURAS!$B$2:$J$91,9,FALSE()),""))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IF(DATOS!$A12971="",0,IF(CONFIG_METADATA!$B$4&lt;&gt;"OR+EX",--(DATOS!$G12971=CONFIG_METADATA!$B$4),IF(DATOS!$G12971="EX",1,IF(DATOS!$G12971="OR",--(COUNTIFS(nNIA,DATOS!$A12971,nCURSO,DATOS!$D12971,nESPEC,DATOS!$E12971,nASIG,DATOS!$I12971,nEVAL,"EX")=0),0))))</f>
      </c>
      <c r="H12971">
        <f>IF(DATOS!$G12971&lt;&gt;"EX",0,--(COUNTIFS(nNIA,DATOS!$A12971,nCURSO,DATOS!$D12971,nESPEC,DATOS!$E12971,nASIG,DATOS!$I12971,nEVAL,"OR")=0))</f>
      </c>
      <c r="I12971">
        <f>IF(DATOS!$I12971="","",IFERROR(VLOOKUP(DATOS!$I12971,CONFIG_ASIGNATURAS!$B$2:$J$91,9,FALSE()),""))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IF(DATOS!$A12972="",0,IF(CONFIG_METADATA!$B$4&lt;&gt;"OR+EX",--(DATOS!$G12972=CONFIG_METADATA!$B$4),IF(DATOS!$G12972="EX",1,IF(DATOS!$G12972="OR",--(COUNTIFS(nNIA,DATOS!$A12972,nCURSO,DATOS!$D12972,nESPEC,DATOS!$E12972,nASIG,DATOS!$I12972,nEVAL,"EX")=0),0))))</f>
      </c>
      <c r="H12972">
        <f>IF(DATOS!$G12972&lt;&gt;"EX",0,--(COUNTIFS(nNIA,DATOS!$A12972,nCURSO,DATOS!$D12972,nESPEC,DATOS!$E12972,nASIG,DATOS!$I12972,nEVAL,"OR")=0))</f>
      </c>
      <c r="I12972">
        <f>IF(DATOS!$I12972="","",IFERROR(VLOOKUP(DATOS!$I12972,CONFIG_ASIGNATURAS!$B$2:$J$91,9,FALSE()),""))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IF(DATOS!$A12973="",0,IF(CONFIG_METADATA!$B$4&lt;&gt;"OR+EX",--(DATOS!$G12973=CONFIG_METADATA!$B$4),IF(DATOS!$G12973="EX",1,IF(DATOS!$G12973="OR",--(COUNTIFS(nNIA,DATOS!$A12973,nCURSO,DATOS!$D12973,nESPEC,DATOS!$E12973,nASIG,DATOS!$I12973,nEVAL,"EX")=0),0))))</f>
      </c>
      <c r="H12973">
        <f>IF(DATOS!$G12973&lt;&gt;"EX",0,--(COUNTIFS(nNIA,DATOS!$A12973,nCURSO,DATOS!$D12973,nESPEC,DATOS!$E12973,nASIG,DATOS!$I12973,nEVAL,"OR")=0))</f>
      </c>
      <c r="I12973">
        <f>IF(DATOS!$I12973="","",IFERROR(VLOOKUP(DATOS!$I12973,CONFIG_ASIGNATURAS!$B$2:$J$91,9,FALSE()),""))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IF(DATOS!$A12974="",0,IF(CONFIG_METADATA!$B$4&lt;&gt;"OR+EX",--(DATOS!$G12974=CONFIG_METADATA!$B$4),IF(DATOS!$G12974="EX",1,IF(DATOS!$G12974="OR",--(COUNTIFS(nNIA,DATOS!$A12974,nCURSO,DATOS!$D12974,nESPEC,DATOS!$E12974,nASIG,DATOS!$I12974,nEVAL,"EX")=0),0))))</f>
      </c>
      <c r="H12974">
        <f>IF(DATOS!$G12974&lt;&gt;"EX",0,--(COUNTIFS(nNIA,DATOS!$A12974,nCURSO,DATOS!$D12974,nESPEC,DATOS!$E12974,nASIG,DATOS!$I12974,nEVAL,"OR")=0))</f>
      </c>
      <c r="I12974">
        <f>IF(DATOS!$I12974="","",IFERROR(VLOOKUP(DATOS!$I12974,CONFIG_ASIGNATURAS!$B$2:$J$91,9,FALSE()),""))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IF(DATOS!$A12975="",0,IF(CONFIG_METADATA!$B$4&lt;&gt;"OR+EX",--(DATOS!$G12975=CONFIG_METADATA!$B$4),IF(DATOS!$G12975="EX",1,IF(DATOS!$G12975="OR",--(COUNTIFS(nNIA,DATOS!$A12975,nCURSO,DATOS!$D12975,nESPEC,DATOS!$E12975,nASIG,DATOS!$I12975,nEVAL,"EX")=0),0))))</f>
      </c>
      <c r="H12975">
        <f>IF(DATOS!$G12975&lt;&gt;"EX",0,--(COUNTIFS(nNIA,DATOS!$A12975,nCURSO,DATOS!$D12975,nESPEC,DATOS!$E12975,nASIG,DATOS!$I12975,nEVAL,"OR")=0))</f>
      </c>
      <c r="I12975">
        <f>IF(DATOS!$I12975="","",IFERROR(VLOOKUP(DATOS!$I12975,CONFIG_ASIGNATURAS!$B$2:$J$91,9,FALSE()),""))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IF(DATOS!$A12976="",0,IF(CONFIG_METADATA!$B$4&lt;&gt;"OR+EX",--(DATOS!$G12976=CONFIG_METADATA!$B$4),IF(DATOS!$G12976="EX",1,IF(DATOS!$G12976="OR",--(COUNTIFS(nNIA,DATOS!$A12976,nCURSO,DATOS!$D12976,nESPEC,DATOS!$E12976,nASIG,DATOS!$I12976,nEVAL,"EX")=0),0))))</f>
      </c>
      <c r="H12976">
        <f>IF(DATOS!$G12976&lt;&gt;"EX",0,--(COUNTIFS(nNIA,DATOS!$A12976,nCURSO,DATOS!$D12976,nESPEC,DATOS!$E12976,nASIG,DATOS!$I12976,nEVAL,"OR")=0))</f>
      </c>
      <c r="I12976">
        <f>IF(DATOS!$I12976="","",IFERROR(VLOOKUP(DATOS!$I12976,CONFIG_ASIGNATURAS!$B$2:$J$91,9,FALSE()),""))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IF(DATOS!$A12977="",0,IF(CONFIG_METADATA!$B$4&lt;&gt;"OR+EX",--(DATOS!$G12977=CONFIG_METADATA!$B$4),IF(DATOS!$G12977="EX",1,IF(DATOS!$G12977="OR",--(COUNTIFS(nNIA,DATOS!$A12977,nCURSO,DATOS!$D12977,nESPEC,DATOS!$E12977,nASIG,DATOS!$I12977,nEVAL,"EX")=0),0))))</f>
      </c>
      <c r="H12977">
        <f>IF(DATOS!$G12977&lt;&gt;"EX",0,--(COUNTIFS(nNIA,DATOS!$A12977,nCURSO,DATOS!$D12977,nESPEC,DATOS!$E12977,nASIG,DATOS!$I12977,nEVAL,"OR")=0))</f>
      </c>
      <c r="I12977">
        <f>IF(DATOS!$I12977="","",IFERROR(VLOOKUP(DATOS!$I12977,CONFIG_ASIGNATURAS!$B$2:$J$91,9,FALSE()),""))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IF(DATOS!$A12978="",0,IF(CONFIG_METADATA!$B$4&lt;&gt;"OR+EX",--(DATOS!$G12978=CONFIG_METADATA!$B$4),IF(DATOS!$G12978="EX",1,IF(DATOS!$G12978="OR",--(COUNTIFS(nNIA,DATOS!$A12978,nCURSO,DATOS!$D12978,nESPEC,DATOS!$E12978,nASIG,DATOS!$I12978,nEVAL,"EX")=0),0))))</f>
      </c>
      <c r="H12978">
        <f>IF(DATOS!$G12978&lt;&gt;"EX",0,--(COUNTIFS(nNIA,DATOS!$A12978,nCURSO,DATOS!$D12978,nESPEC,DATOS!$E12978,nASIG,DATOS!$I12978,nEVAL,"OR")=0))</f>
      </c>
      <c r="I12978">
        <f>IF(DATOS!$I12978="","",IFERROR(VLOOKUP(DATOS!$I12978,CONFIG_ASIGNATURAS!$B$2:$J$91,9,FALSE()),""))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IF(DATOS!$A12979="",0,IF(CONFIG_METADATA!$B$4&lt;&gt;"OR+EX",--(DATOS!$G12979=CONFIG_METADATA!$B$4),IF(DATOS!$G12979="EX",1,IF(DATOS!$G12979="OR",--(COUNTIFS(nNIA,DATOS!$A12979,nCURSO,DATOS!$D12979,nESPEC,DATOS!$E12979,nASIG,DATOS!$I12979,nEVAL,"EX")=0),0))))</f>
      </c>
      <c r="H12979">
        <f>IF(DATOS!$G12979&lt;&gt;"EX",0,--(COUNTIFS(nNIA,DATOS!$A12979,nCURSO,DATOS!$D12979,nESPEC,DATOS!$E12979,nASIG,DATOS!$I12979,nEVAL,"OR")=0))</f>
      </c>
      <c r="I12979">
        <f>IF(DATOS!$I12979="","",IFERROR(VLOOKUP(DATOS!$I12979,CONFIG_ASIGNATURAS!$B$2:$J$91,9,FALSE()),""))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IF(DATOS!$A12980="",0,IF(CONFIG_METADATA!$B$4&lt;&gt;"OR+EX",--(DATOS!$G12980=CONFIG_METADATA!$B$4),IF(DATOS!$G12980="EX",1,IF(DATOS!$G12980="OR",--(COUNTIFS(nNIA,DATOS!$A12980,nCURSO,DATOS!$D12980,nESPEC,DATOS!$E12980,nASIG,DATOS!$I12980,nEVAL,"EX")=0),0))))</f>
      </c>
      <c r="H12980">
        <f>IF(DATOS!$G12980&lt;&gt;"EX",0,--(COUNTIFS(nNIA,DATOS!$A12980,nCURSO,DATOS!$D12980,nESPEC,DATOS!$E12980,nASIG,DATOS!$I12980,nEVAL,"OR")=0))</f>
      </c>
      <c r="I12980">
        <f>IF(DATOS!$I12980="","",IFERROR(VLOOKUP(DATOS!$I12980,CONFIG_ASIGNATURAS!$B$2:$J$91,9,FALSE()),""))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IF(DATOS!$A12981="",0,IF(CONFIG_METADATA!$B$4&lt;&gt;"OR+EX",--(DATOS!$G12981=CONFIG_METADATA!$B$4),IF(DATOS!$G12981="EX",1,IF(DATOS!$G12981="OR",--(COUNTIFS(nNIA,DATOS!$A12981,nCURSO,DATOS!$D12981,nESPEC,DATOS!$E12981,nASIG,DATOS!$I12981,nEVAL,"EX")=0),0))))</f>
      </c>
      <c r="H12981">
        <f>IF(DATOS!$G12981&lt;&gt;"EX",0,--(COUNTIFS(nNIA,DATOS!$A12981,nCURSO,DATOS!$D12981,nESPEC,DATOS!$E12981,nASIG,DATOS!$I12981,nEVAL,"OR")=0))</f>
      </c>
      <c r="I12981">
        <f>IF(DATOS!$I12981="","",IFERROR(VLOOKUP(DATOS!$I12981,CONFIG_ASIGNATURAS!$B$2:$J$91,9,FALSE()),""))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IF(DATOS!$A12982="",0,IF(CONFIG_METADATA!$B$4&lt;&gt;"OR+EX",--(DATOS!$G12982=CONFIG_METADATA!$B$4),IF(DATOS!$G12982="EX",1,IF(DATOS!$G12982="OR",--(COUNTIFS(nNIA,DATOS!$A12982,nCURSO,DATOS!$D12982,nESPEC,DATOS!$E12982,nASIG,DATOS!$I12982,nEVAL,"EX")=0),0))))</f>
      </c>
      <c r="H12982">
        <f>IF(DATOS!$G12982&lt;&gt;"EX",0,--(COUNTIFS(nNIA,DATOS!$A12982,nCURSO,DATOS!$D12982,nESPEC,DATOS!$E12982,nASIG,DATOS!$I12982,nEVAL,"OR")=0))</f>
      </c>
      <c r="I12982">
        <f>IF(DATOS!$I12982="","",IFERROR(VLOOKUP(DATOS!$I12982,CONFIG_ASIGNATURAS!$B$2:$J$91,9,FALSE()),""))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IF(DATOS!$A12983="",0,IF(CONFIG_METADATA!$B$4&lt;&gt;"OR+EX",--(DATOS!$G12983=CONFIG_METADATA!$B$4),IF(DATOS!$G12983="EX",1,IF(DATOS!$G12983="OR",--(COUNTIFS(nNIA,DATOS!$A12983,nCURSO,DATOS!$D12983,nESPEC,DATOS!$E12983,nASIG,DATOS!$I12983,nEVAL,"EX")=0),0))))</f>
      </c>
      <c r="H12983">
        <f>IF(DATOS!$G12983&lt;&gt;"EX",0,--(COUNTIFS(nNIA,DATOS!$A12983,nCURSO,DATOS!$D12983,nESPEC,DATOS!$E12983,nASIG,DATOS!$I12983,nEVAL,"OR")=0))</f>
      </c>
      <c r="I12983">
        <f>IF(DATOS!$I12983="","",IFERROR(VLOOKUP(DATOS!$I12983,CONFIG_ASIGNATURAS!$B$2:$J$91,9,FALSE()),""))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IF(DATOS!$A12984="",0,IF(CONFIG_METADATA!$B$4&lt;&gt;"OR+EX",--(DATOS!$G12984=CONFIG_METADATA!$B$4),IF(DATOS!$G12984="EX",1,IF(DATOS!$G12984="OR",--(COUNTIFS(nNIA,DATOS!$A12984,nCURSO,DATOS!$D12984,nESPEC,DATOS!$E12984,nASIG,DATOS!$I12984,nEVAL,"EX")=0),0))))</f>
      </c>
      <c r="H12984">
        <f>IF(DATOS!$G12984&lt;&gt;"EX",0,--(COUNTIFS(nNIA,DATOS!$A12984,nCURSO,DATOS!$D12984,nESPEC,DATOS!$E12984,nASIG,DATOS!$I12984,nEVAL,"OR")=0))</f>
      </c>
      <c r="I12984">
        <f>IF(DATOS!$I12984="","",IFERROR(VLOOKUP(DATOS!$I12984,CONFIG_ASIGNATURAS!$B$2:$J$91,9,FALSE()),""))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IF(DATOS!$A12985="",0,IF(CONFIG_METADATA!$B$4&lt;&gt;"OR+EX",--(DATOS!$G12985=CONFIG_METADATA!$B$4),IF(DATOS!$G12985="EX",1,IF(DATOS!$G12985="OR",--(COUNTIFS(nNIA,DATOS!$A12985,nCURSO,DATOS!$D12985,nESPEC,DATOS!$E12985,nASIG,DATOS!$I12985,nEVAL,"EX")=0),0))))</f>
      </c>
      <c r="H12985">
        <f>IF(DATOS!$G12985&lt;&gt;"EX",0,--(COUNTIFS(nNIA,DATOS!$A12985,nCURSO,DATOS!$D12985,nESPEC,DATOS!$E12985,nASIG,DATOS!$I12985,nEVAL,"OR")=0))</f>
      </c>
      <c r="I12985">
        <f>IF(DATOS!$I12985="","",IFERROR(VLOOKUP(DATOS!$I12985,CONFIG_ASIGNATURAS!$B$2:$J$91,9,FALSE()),""))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IF(DATOS!$A12986="",0,IF(CONFIG_METADATA!$B$4&lt;&gt;"OR+EX",--(DATOS!$G12986=CONFIG_METADATA!$B$4),IF(DATOS!$G12986="EX",1,IF(DATOS!$G12986="OR",--(COUNTIFS(nNIA,DATOS!$A12986,nCURSO,DATOS!$D12986,nESPEC,DATOS!$E12986,nASIG,DATOS!$I12986,nEVAL,"EX")=0),0))))</f>
      </c>
      <c r="H12986">
        <f>IF(DATOS!$G12986&lt;&gt;"EX",0,--(COUNTIFS(nNIA,DATOS!$A12986,nCURSO,DATOS!$D12986,nESPEC,DATOS!$E12986,nASIG,DATOS!$I12986,nEVAL,"OR")=0))</f>
      </c>
      <c r="I12986">
        <f>IF(DATOS!$I12986="","",IFERROR(VLOOKUP(DATOS!$I12986,CONFIG_ASIGNATURAS!$B$2:$J$91,9,FALSE()),""))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IF(DATOS!$A12987="",0,IF(CONFIG_METADATA!$B$4&lt;&gt;"OR+EX",--(DATOS!$G12987=CONFIG_METADATA!$B$4),IF(DATOS!$G12987="EX",1,IF(DATOS!$G12987="OR",--(COUNTIFS(nNIA,DATOS!$A12987,nCURSO,DATOS!$D12987,nESPEC,DATOS!$E12987,nASIG,DATOS!$I12987,nEVAL,"EX")=0),0))))</f>
      </c>
      <c r="H12987">
        <f>IF(DATOS!$G12987&lt;&gt;"EX",0,--(COUNTIFS(nNIA,DATOS!$A12987,nCURSO,DATOS!$D12987,nESPEC,DATOS!$E12987,nASIG,DATOS!$I12987,nEVAL,"OR")=0))</f>
      </c>
      <c r="I12987">
        <f>IF(DATOS!$I12987="","",IFERROR(VLOOKUP(DATOS!$I12987,CONFIG_ASIGNATURAS!$B$2:$J$91,9,FALSE()),""))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IF(DATOS!$A12988="",0,IF(CONFIG_METADATA!$B$4&lt;&gt;"OR+EX",--(DATOS!$G12988=CONFIG_METADATA!$B$4),IF(DATOS!$G12988="EX",1,IF(DATOS!$G12988="OR",--(COUNTIFS(nNIA,DATOS!$A12988,nCURSO,DATOS!$D12988,nESPEC,DATOS!$E12988,nASIG,DATOS!$I12988,nEVAL,"EX")=0),0))))</f>
      </c>
      <c r="H12988">
        <f>IF(DATOS!$G12988&lt;&gt;"EX",0,--(COUNTIFS(nNIA,DATOS!$A12988,nCURSO,DATOS!$D12988,nESPEC,DATOS!$E12988,nASIG,DATOS!$I12988,nEVAL,"OR")=0))</f>
      </c>
      <c r="I12988">
        <f>IF(DATOS!$I12988="","",IFERROR(VLOOKUP(DATOS!$I12988,CONFIG_ASIGNATURAS!$B$2:$J$91,9,FALSE()),""))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IF(DATOS!$A12989="",0,IF(CONFIG_METADATA!$B$4&lt;&gt;"OR+EX",--(DATOS!$G12989=CONFIG_METADATA!$B$4),IF(DATOS!$G12989="EX",1,IF(DATOS!$G12989="OR",--(COUNTIFS(nNIA,DATOS!$A12989,nCURSO,DATOS!$D12989,nESPEC,DATOS!$E12989,nASIG,DATOS!$I12989,nEVAL,"EX")=0),0))))</f>
      </c>
      <c r="H12989">
        <f>IF(DATOS!$G12989&lt;&gt;"EX",0,--(COUNTIFS(nNIA,DATOS!$A12989,nCURSO,DATOS!$D12989,nESPEC,DATOS!$E12989,nASIG,DATOS!$I12989,nEVAL,"OR")=0))</f>
      </c>
      <c r="I12989">
        <f>IF(DATOS!$I12989="","",IFERROR(VLOOKUP(DATOS!$I12989,CONFIG_ASIGNATURAS!$B$2:$J$91,9,FALSE()),""))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IF(DATOS!$A12990="",0,IF(CONFIG_METADATA!$B$4&lt;&gt;"OR+EX",--(DATOS!$G12990=CONFIG_METADATA!$B$4),IF(DATOS!$G12990="EX",1,IF(DATOS!$G12990="OR",--(COUNTIFS(nNIA,DATOS!$A12990,nCURSO,DATOS!$D12990,nESPEC,DATOS!$E12990,nASIG,DATOS!$I12990,nEVAL,"EX")=0),0))))</f>
      </c>
      <c r="H12990">
        <f>IF(DATOS!$G12990&lt;&gt;"EX",0,--(COUNTIFS(nNIA,DATOS!$A12990,nCURSO,DATOS!$D12990,nESPEC,DATOS!$E12990,nASIG,DATOS!$I12990,nEVAL,"OR")=0))</f>
      </c>
      <c r="I12990">
        <f>IF(DATOS!$I12990="","",IFERROR(VLOOKUP(DATOS!$I12990,CONFIG_ASIGNATURAS!$B$2:$J$91,9,FALSE()),""))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IF(DATOS!$A12991="",0,IF(CONFIG_METADATA!$B$4&lt;&gt;"OR+EX",--(DATOS!$G12991=CONFIG_METADATA!$B$4),IF(DATOS!$G12991="EX",1,IF(DATOS!$G12991="OR",--(COUNTIFS(nNIA,DATOS!$A12991,nCURSO,DATOS!$D12991,nESPEC,DATOS!$E12991,nASIG,DATOS!$I12991,nEVAL,"EX")=0),0))))</f>
      </c>
      <c r="H12991">
        <f>IF(DATOS!$G12991&lt;&gt;"EX",0,--(COUNTIFS(nNIA,DATOS!$A12991,nCURSO,DATOS!$D12991,nESPEC,DATOS!$E12991,nASIG,DATOS!$I12991,nEVAL,"OR")=0))</f>
      </c>
      <c r="I12991">
        <f>IF(DATOS!$I12991="","",IFERROR(VLOOKUP(DATOS!$I12991,CONFIG_ASIGNATURAS!$B$2:$J$91,9,FALSE()),""))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IF(DATOS!$A12992="",0,IF(CONFIG_METADATA!$B$4&lt;&gt;"OR+EX",--(DATOS!$G12992=CONFIG_METADATA!$B$4),IF(DATOS!$G12992="EX",1,IF(DATOS!$G12992="OR",--(COUNTIFS(nNIA,DATOS!$A12992,nCURSO,DATOS!$D12992,nESPEC,DATOS!$E12992,nASIG,DATOS!$I12992,nEVAL,"EX")=0),0))))</f>
      </c>
      <c r="H12992">
        <f>IF(DATOS!$G12992&lt;&gt;"EX",0,--(COUNTIFS(nNIA,DATOS!$A12992,nCURSO,DATOS!$D12992,nESPEC,DATOS!$E12992,nASIG,DATOS!$I12992,nEVAL,"OR")=0))</f>
      </c>
      <c r="I12992">
        <f>IF(DATOS!$I12992="","",IFERROR(VLOOKUP(DATOS!$I12992,CONFIG_ASIGNATURAS!$B$2:$J$91,9,FALSE()),""))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IF(DATOS!$A12993="",0,IF(CONFIG_METADATA!$B$4&lt;&gt;"OR+EX",--(DATOS!$G12993=CONFIG_METADATA!$B$4),IF(DATOS!$G12993="EX",1,IF(DATOS!$G12993="OR",--(COUNTIFS(nNIA,DATOS!$A12993,nCURSO,DATOS!$D12993,nESPEC,DATOS!$E12993,nASIG,DATOS!$I12993,nEVAL,"EX")=0),0))))</f>
      </c>
      <c r="H12993">
        <f>IF(DATOS!$G12993&lt;&gt;"EX",0,--(COUNTIFS(nNIA,DATOS!$A12993,nCURSO,DATOS!$D12993,nESPEC,DATOS!$E12993,nASIG,DATOS!$I12993,nEVAL,"OR")=0))</f>
      </c>
      <c r="I12993">
        <f>IF(DATOS!$I12993="","",IFERROR(VLOOKUP(DATOS!$I12993,CONFIG_ASIGNATURAS!$B$2:$J$91,9,FALSE()),""))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IF(DATOS!$A12994="",0,IF(CONFIG_METADATA!$B$4&lt;&gt;"OR+EX",--(DATOS!$G12994=CONFIG_METADATA!$B$4),IF(DATOS!$G12994="EX",1,IF(DATOS!$G12994="OR",--(COUNTIFS(nNIA,DATOS!$A12994,nCURSO,DATOS!$D12994,nESPEC,DATOS!$E12994,nASIG,DATOS!$I12994,nEVAL,"EX")=0),0))))</f>
      </c>
      <c r="H12994">
        <f>IF(DATOS!$G12994&lt;&gt;"EX",0,--(COUNTIFS(nNIA,DATOS!$A12994,nCURSO,DATOS!$D12994,nESPEC,DATOS!$E12994,nASIG,DATOS!$I12994,nEVAL,"OR")=0))</f>
      </c>
      <c r="I12994">
        <f>IF(DATOS!$I12994="","",IFERROR(VLOOKUP(DATOS!$I12994,CONFIG_ASIGNATURAS!$B$2:$J$91,9,FALSE()),""))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IF(DATOS!$A12995="",0,IF(CONFIG_METADATA!$B$4&lt;&gt;"OR+EX",--(DATOS!$G12995=CONFIG_METADATA!$B$4),IF(DATOS!$G12995="EX",1,IF(DATOS!$G12995="OR",--(COUNTIFS(nNIA,DATOS!$A12995,nCURSO,DATOS!$D12995,nESPEC,DATOS!$E12995,nASIG,DATOS!$I12995,nEVAL,"EX")=0),0))))</f>
      </c>
      <c r="H12995">
        <f>IF(DATOS!$G12995&lt;&gt;"EX",0,--(COUNTIFS(nNIA,DATOS!$A12995,nCURSO,DATOS!$D12995,nESPEC,DATOS!$E12995,nASIG,DATOS!$I12995,nEVAL,"OR")=0))</f>
      </c>
      <c r="I12995">
        <f>IF(DATOS!$I12995="","",IFERROR(VLOOKUP(DATOS!$I12995,CONFIG_ASIGNATURAS!$B$2:$J$91,9,FALSE()),""))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IF(DATOS!$A12996="",0,IF(CONFIG_METADATA!$B$4&lt;&gt;"OR+EX",--(DATOS!$G12996=CONFIG_METADATA!$B$4),IF(DATOS!$G12996="EX",1,IF(DATOS!$G12996="OR",--(COUNTIFS(nNIA,DATOS!$A12996,nCURSO,DATOS!$D12996,nESPEC,DATOS!$E12996,nASIG,DATOS!$I12996,nEVAL,"EX")=0),0))))</f>
      </c>
      <c r="H12996">
        <f>IF(DATOS!$G12996&lt;&gt;"EX",0,--(COUNTIFS(nNIA,DATOS!$A12996,nCURSO,DATOS!$D12996,nESPEC,DATOS!$E12996,nASIG,DATOS!$I12996,nEVAL,"OR")=0))</f>
      </c>
      <c r="I12996">
        <f>IF(DATOS!$I12996="","",IFERROR(VLOOKUP(DATOS!$I12996,CONFIG_ASIGNATURAS!$B$2:$J$91,9,FALSE()),""))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IF(DATOS!$A12997="",0,IF(CONFIG_METADATA!$B$4&lt;&gt;"OR+EX",--(DATOS!$G12997=CONFIG_METADATA!$B$4),IF(DATOS!$G12997="EX",1,IF(DATOS!$G12997="OR",--(COUNTIFS(nNIA,DATOS!$A12997,nCURSO,DATOS!$D12997,nESPEC,DATOS!$E12997,nASIG,DATOS!$I12997,nEVAL,"EX")=0),0))))</f>
      </c>
      <c r="H12997">
        <f>IF(DATOS!$G12997&lt;&gt;"EX",0,--(COUNTIFS(nNIA,DATOS!$A12997,nCURSO,DATOS!$D12997,nESPEC,DATOS!$E12997,nASIG,DATOS!$I12997,nEVAL,"OR")=0))</f>
      </c>
      <c r="I12997">
        <f>IF(DATOS!$I12997="","",IFERROR(VLOOKUP(DATOS!$I12997,CONFIG_ASIGNATURAS!$B$2:$J$91,9,FALSE()),""))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IF(DATOS!$A12998="",0,IF(CONFIG_METADATA!$B$4&lt;&gt;"OR+EX",--(DATOS!$G12998=CONFIG_METADATA!$B$4),IF(DATOS!$G12998="EX",1,IF(DATOS!$G12998="OR",--(COUNTIFS(nNIA,DATOS!$A12998,nCURSO,DATOS!$D12998,nESPEC,DATOS!$E12998,nASIG,DATOS!$I12998,nEVAL,"EX")=0),0))))</f>
      </c>
      <c r="H12998">
        <f>IF(DATOS!$G12998&lt;&gt;"EX",0,--(COUNTIFS(nNIA,DATOS!$A12998,nCURSO,DATOS!$D12998,nESPEC,DATOS!$E12998,nASIG,DATOS!$I12998,nEVAL,"OR")=0))</f>
      </c>
      <c r="I12998">
        <f>IF(DATOS!$I12998="","",IFERROR(VLOOKUP(DATOS!$I12998,CONFIG_ASIGNATURAS!$B$2:$J$91,9,FALSE()),""))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IF(DATOS!$A12999="",0,IF(CONFIG_METADATA!$B$4&lt;&gt;"OR+EX",--(DATOS!$G12999=CONFIG_METADATA!$B$4),IF(DATOS!$G12999="EX",1,IF(DATOS!$G12999="OR",--(COUNTIFS(nNIA,DATOS!$A12999,nCURSO,DATOS!$D12999,nESPEC,DATOS!$E12999,nASIG,DATOS!$I12999,nEVAL,"EX")=0),0))))</f>
      </c>
      <c r="H12999">
        <f>IF(DATOS!$G12999&lt;&gt;"EX",0,--(COUNTIFS(nNIA,DATOS!$A12999,nCURSO,DATOS!$D12999,nESPEC,DATOS!$E12999,nASIG,DATOS!$I12999,nEVAL,"OR")=0))</f>
      </c>
      <c r="I12999">
        <f>IF(DATOS!$I12999="","",IFERROR(VLOOKUP(DATOS!$I12999,CONFIG_ASIGNATURAS!$B$2:$J$91,9,FALSE()),""))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IF(DATOS!$A13000="",0,IF(CONFIG_METADATA!$B$4&lt;&gt;"OR+EX",--(DATOS!$G13000=CONFIG_METADATA!$B$4),IF(DATOS!$G13000="EX",1,IF(DATOS!$G13000="OR",--(COUNTIFS(nNIA,DATOS!$A13000,nCURSO,DATOS!$D13000,nESPEC,DATOS!$E13000,nASIG,DATOS!$I13000,nEVAL,"EX")=0),0))))</f>
      </c>
      <c r="H13000">
        <f>IF(DATOS!$G13000&lt;&gt;"EX",0,--(COUNTIFS(nNIA,DATOS!$A13000,nCURSO,DATOS!$D13000,nESPEC,DATOS!$E13000,nASIG,DATOS!$I13000,nEVAL,"OR")=0))</f>
      </c>
      <c r="I13000">
        <f>IF(DATOS!$I13000="","",IFERROR(VLOOKUP(DATOS!$I13000,CONFIG_ASIGNATURAS!$B$2:$J$91,9,FALSE()),""))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IF(DATOS!$A13001="",0,IF(CONFIG_METADATA!$B$4&lt;&gt;"OR+EX",--(DATOS!$G13001=CONFIG_METADATA!$B$4),IF(DATOS!$G13001="EX",1,IF(DATOS!$G13001="OR",--(COUNTIFS(nNIA,DATOS!$A13001,nCURSO,DATOS!$D13001,nESPEC,DATOS!$E13001,nASIG,DATOS!$I13001,nEVAL,"EX")=0),0))))</f>
      </c>
      <c r="H13001">
        <f>IF(DATOS!$G13001&lt;&gt;"EX",0,--(COUNTIFS(nNIA,DATOS!$A13001,nCURSO,DATOS!$D13001,nESPEC,DATOS!$E13001,nASIG,DATOS!$I13001,nEVAL,"OR")=0))</f>
      </c>
      <c r="I13001">
        <f>IF(DATOS!$I13001="","",IFERROR(VLOOKUP(DATOS!$I13001,CONFIG_ASIGNATURAS!$B$2:$J$91,9,FALSE()),""))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IF(DATOS!$A13002="",0,IF(CONFIG_METADATA!$B$4&lt;&gt;"OR+EX",--(DATOS!$G13002=CONFIG_METADATA!$B$4),IF(DATOS!$G13002="EX",1,IF(DATOS!$G13002="OR",--(COUNTIFS(nNIA,DATOS!$A13002,nCURSO,DATOS!$D13002,nESPEC,DATOS!$E13002,nASIG,DATOS!$I13002,nEVAL,"EX")=0),0))))</f>
      </c>
      <c r="H13002">
        <f>IF(DATOS!$G13002&lt;&gt;"EX",0,--(COUNTIFS(nNIA,DATOS!$A13002,nCURSO,DATOS!$D13002,nESPEC,DATOS!$E13002,nASIG,DATOS!$I13002,nEVAL,"OR")=0))</f>
      </c>
      <c r="I13002">
        <f>IF(DATOS!$I13002="","",IFERROR(VLOOKUP(DATOS!$I13002,CONFIG_ASIGNATURAS!$B$2:$J$91,9,FALSE()),""))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IF(DATOS!$A13003="",0,IF(CONFIG_METADATA!$B$4&lt;&gt;"OR+EX",--(DATOS!$G13003=CONFIG_METADATA!$B$4),IF(DATOS!$G13003="EX",1,IF(DATOS!$G13003="OR",--(COUNTIFS(nNIA,DATOS!$A13003,nCURSO,DATOS!$D13003,nESPEC,DATOS!$E13003,nASIG,DATOS!$I13003,nEVAL,"EX")=0),0))))</f>
      </c>
      <c r="H13003">
        <f>IF(DATOS!$G13003&lt;&gt;"EX",0,--(COUNTIFS(nNIA,DATOS!$A13003,nCURSO,DATOS!$D13003,nESPEC,DATOS!$E13003,nASIG,DATOS!$I13003,nEVAL,"OR")=0))</f>
      </c>
      <c r="I13003">
        <f>IF(DATOS!$I13003="","",IFERROR(VLOOKUP(DATOS!$I13003,CONFIG_ASIGNATURAS!$B$2:$J$91,9,FALSE()),""))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IF(DATOS!$A13004="",0,IF(CONFIG_METADATA!$B$4&lt;&gt;"OR+EX",--(DATOS!$G13004=CONFIG_METADATA!$B$4),IF(DATOS!$G13004="EX",1,IF(DATOS!$G13004="OR",--(COUNTIFS(nNIA,DATOS!$A13004,nCURSO,DATOS!$D13004,nESPEC,DATOS!$E13004,nASIG,DATOS!$I13004,nEVAL,"EX")=0),0))))</f>
      </c>
      <c r="H13004">
        <f>IF(DATOS!$G13004&lt;&gt;"EX",0,--(COUNTIFS(nNIA,DATOS!$A13004,nCURSO,DATOS!$D13004,nESPEC,DATOS!$E13004,nASIG,DATOS!$I13004,nEVAL,"OR")=0))</f>
      </c>
      <c r="I13004">
        <f>IF(DATOS!$I13004="","",IFERROR(VLOOKUP(DATOS!$I13004,CONFIG_ASIGNATURAS!$B$2:$J$91,9,FALSE()),""))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IF(DATOS!$A13005="",0,IF(CONFIG_METADATA!$B$4&lt;&gt;"OR+EX",--(DATOS!$G13005=CONFIG_METADATA!$B$4),IF(DATOS!$G13005="EX",1,IF(DATOS!$G13005="OR",--(COUNTIFS(nNIA,DATOS!$A13005,nCURSO,DATOS!$D13005,nESPEC,DATOS!$E13005,nASIG,DATOS!$I13005,nEVAL,"EX")=0),0))))</f>
      </c>
      <c r="H13005">
        <f>IF(DATOS!$G13005&lt;&gt;"EX",0,--(COUNTIFS(nNIA,DATOS!$A13005,nCURSO,DATOS!$D13005,nESPEC,DATOS!$E13005,nASIG,DATOS!$I13005,nEVAL,"OR")=0))</f>
      </c>
      <c r="I13005">
        <f>IF(DATOS!$I13005="","",IFERROR(VLOOKUP(DATOS!$I13005,CONFIG_ASIGNATURAS!$B$2:$J$91,9,FALSE()),""))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IF(DATOS!$A13006="",0,IF(CONFIG_METADATA!$B$4&lt;&gt;"OR+EX",--(DATOS!$G13006=CONFIG_METADATA!$B$4),IF(DATOS!$G13006="EX",1,IF(DATOS!$G13006="OR",--(COUNTIFS(nNIA,DATOS!$A13006,nCURSO,DATOS!$D13006,nESPEC,DATOS!$E13006,nASIG,DATOS!$I13006,nEVAL,"EX")=0),0))))</f>
      </c>
      <c r="H13006">
        <f>IF(DATOS!$G13006&lt;&gt;"EX",0,--(COUNTIFS(nNIA,DATOS!$A13006,nCURSO,DATOS!$D13006,nESPEC,DATOS!$E13006,nASIG,DATOS!$I13006,nEVAL,"OR")=0))</f>
      </c>
      <c r="I13006">
        <f>IF(DATOS!$I13006="","",IFERROR(VLOOKUP(DATOS!$I13006,CONFIG_ASIGNATURAS!$B$2:$J$91,9,FALSE()),""))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IF(DATOS!$A13007="",0,IF(CONFIG_METADATA!$B$4&lt;&gt;"OR+EX",--(DATOS!$G13007=CONFIG_METADATA!$B$4),IF(DATOS!$G13007="EX",1,IF(DATOS!$G13007="OR",--(COUNTIFS(nNIA,DATOS!$A13007,nCURSO,DATOS!$D13007,nESPEC,DATOS!$E13007,nASIG,DATOS!$I13007,nEVAL,"EX")=0),0))))</f>
      </c>
      <c r="H13007">
        <f>IF(DATOS!$G13007&lt;&gt;"EX",0,--(COUNTIFS(nNIA,DATOS!$A13007,nCURSO,DATOS!$D13007,nESPEC,DATOS!$E13007,nASIG,DATOS!$I13007,nEVAL,"OR")=0))</f>
      </c>
      <c r="I13007">
        <f>IF(DATOS!$I13007="","",IFERROR(VLOOKUP(DATOS!$I13007,CONFIG_ASIGNATURAS!$B$2:$J$91,9,FALSE()),""))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IF(DATOS!$A13008="",0,IF(CONFIG_METADATA!$B$4&lt;&gt;"OR+EX",--(DATOS!$G13008=CONFIG_METADATA!$B$4),IF(DATOS!$G13008="EX",1,IF(DATOS!$G13008="OR",--(COUNTIFS(nNIA,DATOS!$A13008,nCURSO,DATOS!$D13008,nESPEC,DATOS!$E13008,nASIG,DATOS!$I13008,nEVAL,"EX")=0),0))))</f>
      </c>
      <c r="H13008">
        <f>IF(DATOS!$G13008&lt;&gt;"EX",0,--(COUNTIFS(nNIA,DATOS!$A13008,nCURSO,DATOS!$D13008,nESPEC,DATOS!$E13008,nASIG,DATOS!$I13008,nEVAL,"OR")=0))</f>
      </c>
      <c r="I13008">
        <f>IF(DATOS!$I13008="","",IFERROR(VLOOKUP(DATOS!$I13008,CONFIG_ASIGNATURAS!$B$2:$J$91,9,FALSE()),""))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IF(DATOS!$A13009="",0,IF(CONFIG_METADATA!$B$4&lt;&gt;"OR+EX",--(DATOS!$G13009=CONFIG_METADATA!$B$4),IF(DATOS!$G13009="EX",1,IF(DATOS!$G13009="OR",--(COUNTIFS(nNIA,DATOS!$A13009,nCURSO,DATOS!$D13009,nESPEC,DATOS!$E13009,nASIG,DATOS!$I13009,nEVAL,"EX")=0),0))))</f>
      </c>
      <c r="H13009">
        <f>IF(DATOS!$G13009&lt;&gt;"EX",0,--(COUNTIFS(nNIA,DATOS!$A13009,nCURSO,DATOS!$D13009,nESPEC,DATOS!$E13009,nASIG,DATOS!$I13009,nEVAL,"OR")=0))</f>
      </c>
      <c r="I13009">
        <f>IF(DATOS!$I13009="","",IFERROR(VLOOKUP(DATOS!$I13009,CONFIG_ASIGNATURAS!$B$2:$J$91,9,FALSE()),""))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IF(DATOS!$A13010="",0,IF(CONFIG_METADATA!$B$4&lt;&gt;"OR+EX",--(DATOS!$G13010=CONFIG_METADATA!$B$4),IF(DATOS!$G13010="EX",1,IF(DATOS!$G13010="OR",--(COUNTIFS(nNIA,DATOS!$A13010,nCURSO,DATOS!$D13010,nESPEC,DATOS!$E13010,nASIG,DATOS!$I13010,nEVAL,"EX")=0),0))))</f>
      </c>
      <c r="H13010">
        <f>IF(DATOS!$G13010&lt;&gt;"EX",0,--(COUNTIFS(nNIA,DATOS!$A13010,nCURSO,DATOS!$D13010,nESPEC,DATOS!$E13010,nASIG,DATOS!$I13010,nEVAL,"OR")=0))</f>
      </c>
      <c r="I13010">
        <f>IF(DATOS!$I13010="","",IFERROR(VLOOKUP(DATOS!$I13010,CONFIG_ASIGNATURAS!$B$2:$J$91,9,FALSE()),""))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IF(DATOS!$A13011="",0,IF(CONFIG_METADATA!$B$4&lt;&gt;"OR+EX",--(DATOS!$G13011=CONFIG_METADATA!$B$4),IF(DATOS!$G13011="EX",1,IF(DATOS!$G13011="OR",--(COUNTIFS(nNIA,DATOS!$A13011,nCURSO,DATOS!$D13011,nESPEC,DATOS!$E13011,nASIG,DATOS!$I13011,nEVAL,"EX")=0),0))))</f>
      </c>
      <c r="H13011">
        <f>IF(DATOS!$G13011&lt;&gt;"EX",0,--(COUNTIFS(nNIA,DATOS!$A13011,nCURSO,DATOS!$D13011,nESPEC,DATOS!$E13011,nASIG,DATOS!$I13011,nEVAL,"OR")=0))</f>
      </c>
      <c r="I13011">
        <f>IF(DATOS!$I13011="","",IFERROR(VLOOKUP(DATOS!$I13011,CONFIG_ASIGNATURAS!$B$2:$J$91,9,FALSE()),""))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IF(DATOS!$A13012="",0,IF(CONFIG_METADATA!$B$4&lt;&gt;"OR+EX",--(DATOS!$G13012=CONFIG_METADATA!$B$4),IF(DATOS!$G13012="EX",1,IF(DATOS!$G13012="OR",--(COUNTIFS(nNIA,DATOS!$A13012,nCURSO,DATOS!$D13012,nESPEC,DATOS!$E13012,nASIG,DATOS!$I13012,nEVAL,"EX")=0),0))))</f>
      </c>
      <c r="H13012">
        <f>IF(DATOS!$G13012&lt;&gt;"EX",0,--(COUNTIFS(nNIA,DATOS!$A13012,nCURSO,DATOS!$D13012,nESPEC,DATOS!$E13012,nASIG,DATOS!$I13012,nEVAL,"OR")=0))</f>
      </c>
      <c r="I13012">
        <f>IF(DATOS!$I13012="","",IFERROR(VLOOKUP(DATOS!$I13012,CONFIG_ASIGNATURAS!$B$2:$J$91,9,FALSE()),""))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IF(DATOS!$A13013="",0,IF(CONFIG_METADATA!$B$4&lt;&gt;"OR+EX",--(DATOS!$G13013=CONFIG_METADATA!$B$4),IF(DATOS!$G13013="EX",1,IF(DATOS!$G13013="OR",--(COUNTIFS(nNIA,DATOS!$A13013,nCURSO,DATOS!$D13013,nESPEC,DATOS!$E13013,nASIG,DATOS!$I13013,nEVAL,"EX")=0),0))))</f>
      </c>
      <c r="H13013">
        <f>IF(DATOS!$G13013&lt;&gt;"EX",0,--(COUNTIFS(nNIA,DATOS!$A13013,nCURSO,DATOS!$D13013,nESPEC,DATOS!$E13013,nASIG,DATOS!$I13013,nEVAL,"OR")=0))</f>
      </c>
      <c r="I13013">
        <f>IF(DATOS!$I13013="","",IFERROR(VLOOKUP(DATOS!$I13013,CONFIG_ASIGNATURAS!$B$2:$J$91,9,FALSE()),""))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IF(DATOS!$A13014="",0,IF(CONFIG_METADATA!$B$4&lt;&gt;"OR+EX",--(DATOS!$G13014=CONFIG_METADATA!$B$4),IF(DATOS!$G13014="EX",1,IF(DATOS!$G13014="OR",--(COUNTIFS(nNIA,DATOS!$A13014,nCURSO,DATOS!$D13014,nESPEC,DATOS!$E13014,nASIG,DATOS!$I13014,nEVAL,"EX")=0),0))))</f>
      </c>
      <c r="H13014">
        <f>IF(DATOS!$G13014&lt;&gt;"EX",0,--(COUNTIFS(nNIA,DATOS!$A13014,nCURSO,DATOS!$D13014,nESPEC,DATOS!$E13014,nASIG,DATOS!$I13014,nEVAL,"OR")=0))</f>
      </c>
      <c r="I13014">
        <f>IF(DATOS!$I13014="","",IFERROR(VLOOKUP(DATOS!$I13014,CONFIG_ASIGNATURAS!$B$2:$J$91,9,FALSE()),""))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IF(DATOS!$A13015="",0,IF(CONFIG_METADATA!$B$4&lt;&gt;"OR+EX",--(DATOS!$G13015=CONFIG_METADATA!$B$4),IF(DATOS!$G13015="EX",1,IF(DATOS!$G13015="OR",--(COUNTIFS(nNIA,DATOS!$A13015,nCURSO,DATOS!$D13015,nESPEC,DATOS!$E13015,nASIG,DATOS!$I13015,nEVAL,"EX")=0),0))))</f>
      </c>
      <c r="H13015">
        <f>IF(DATOS!$G13015&lt;&gt;"EX",0,--(COUNTIFS(nNIA,DATOS!$A13015,nCURSO,DATOS!$D13015,nESPEC,DATOS!$E13015,nASIG,DATOS!$I13015,nEVAL,"OR")=0))</f>
      </c>
      <c r="I13015">
        <f>IF(DATOS!$I13015="","",IFERROR(VLOOKUP(DATOS!$I13015,CONFIG_ASIGNATURAS!$B$2:$J$91,9,FALSE()),""))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IF(DATOS!$A13016="",0,IF(CONFIG_METADATA!$B$4&lt;&gt;"OR+EX",--(DATOS!$G13016=CONFIG_METADATA!$B$4),IF(DATOS!$G13016="EX",1,IF(DATOS!$G13016="OR",--(COUNTIFS(nNIA,DATOS!$A13016,nCURSO,DATOS!$D13016,nESPEC,DATOS!$E13016,nASIG,DATOS!$I13016,nEVAL,"EX")=0),0))))</f>
      </c>
      <c r="H13016">
        <f>IF(DATOS!$G13016&lt;&gt;"EX",0,--(COUNTIFS(nNIA,DATOS!$A13016,nCURSO,DATOS!$D13016,nESPEC,DATOS!$E13016,nASIG,DATOS!$I13016,nEVAL,"OR")=0))</f>
      </c>
      <c r="I13016">
        <f>IF(DATOS!$I13016="","",IFERROR(VLOOKUP(DATOS!$I13016,CONFIG_ASIGNATURAS!$B$2:$J$91,9,FALSE()),""))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IF(DATOS!$A13017="",0,IF(CONFIG_METADATA!$B$4&lt;&gt;"OR+EX",--(DATOS!$G13017=CONFIG_METADATA!$B$4),IF(DATOS!$G13017="EX",1,IF(DATOS!$G13017="OR",--(COUNTIFS(nNIA,DATOS!$A13017,nCURSO,DATOS!$D13017,nESPEC,DATOS!$E13017,nASIG,DATOS!$I13017,nEVAL,"EX")=0),0))))</f>
      </c>
      <c r="H13017">
        <f>IF(DATOS!$G13017&lt;&gt;"EX",0,--(COUNTIFS(nNIA,DATOS!$A13017,nCURSO,DATOS!$D13017,nESPEC,DATOS!$E13017,nASIG,DATOS!$I13017,nEVAL,"OR")=0))</f>
      </c>
      <c r="I13017">
        <f>IF(DATOS!$I13017="","",IFERROR(VLOOKUP(DATOS!$I13017,CONFIG_ASIGNATURAS!$B$2:$J$91,9,FALSE()),""))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IF(DATOS!$A13018="",0,IF(CONFIG_METADATA!$B$4&lt;&gt;"OR+EX",--(DATOS!$G13018=CONFIG_METADATA!$B$4),IF(DATOS!$G13018="EX",1,IF(DATOS!$G13018="OR",--(COUNTIFS(nNIA,DATOS!$A13018,nCURSO,DATOS!$D13018,nESPEC,DATOS!$E13018,nASIG,DATOS!$I13018,nEVAL,"EX")=0),0))))</f>
      </c>
      <c r="H13018">
        <f>IF(DATOS!$G13018&lt;&gt;"EX",0,--(COUNTIFS(nNIA,DATOS!$A13018,nCURSO,DATOS!$D13018,nESPEC,DATOS!$E13018,nASIG,DATOS!$I13018,nEVAL,"OR")=0))</f>
      </c>
      <c r="I13018">
        <f>IF(DATOS!$I13018="","",IFERROR(VLOOKUP(DATOS!$I13018,CONFIG_ASIGNATURAS!$B$2:$J$91,9,FALSE()),""))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IF(DATOS!$A13019="",0,IF(CONFIG_METADATA!$B$4&lt;&gt;"OR+EX",--(DATOS!$G13019=CONFIG_METADATA!$B$4),IF(DATOS!$G13019="EX",1,IF(DATOS!$G13019="OR",--(COUNTIFS(nNIA,DATOS!$A13019,nCURSO,DATOS!$D13019,nESPEC,DATOS!$E13019,nASIG,DATOS!$I13019,nEVAL,"EX")=0),0))))</f>
      </c>
      <c r="H13019">
        <f>IF(DATOS!$G13019&lt;&gt;"EX",0,--(COUNTIFS(nNIA,DATOS!$A13019,nCURSO,DATOS!$D13019,nESPEC,DATOS!$E13019,nASIG,DATOS!$I13019,nEVAL,"OR")=0))</f>
      </c>
      <c r="I13019">
        <f>IF(DATOS!$I13019="","",IFERROR(VLOOKUP(DATOS!$I13019,CONFIG_ASIGNATURAS!$B$2:$J$91,9,FALSE()),""))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IF(DATOS!$A13020="",0,IF(CONFIG_METADATA!$B$4&lt;&gt;"OR+EX",--(DATOS!$G13020=CONFIG_METADATA!$B$4),IF(DATOS!$G13020="EX",1,IF(DATOS!$G13020="OR",--(COUNTIFS(nNIA,DATOS!$A13020,nCURSO,DATOS!$D13020,nESPEC,DATOS!$E13020,nASIG,DATOS!$I13020,nEVAL,"EX")=0),0))))</f>
      </c>
      <c r="H13020">
        <f>IF(DATOS!$G13020&lt;&gt;"EX",0,--(COUNTIFS(nNIA,DATOS!$A13020,nCURSO,DATOS!$D13020,nESPEC,DATOS!$E13020,nASIG,DATOS!$I13020,nEVAL,"OR")=0))</f>
      </c>
      <c r="I13020">
        <f>IF(DATOS!$I13020="","",IFERROR(VLOOKUP(DATOS!$I13020,CONFIG_ASIGNATURAS!$B$2:$J$91,9,FALSE()),""))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IF(DATOS!$A13021="",0,IF(CONFIG_METADATA!$B$4&lt;&gt;"OR+EX",--(DATOS!$G13021=CONFIG_METADATA!$B$4),IF(DATOS!$G13021="EX",1,IF(DATOS!$G13021="OR",--(COUNTIFS(nNIA,DATOS!$A13021,nCURSO,DATOS!$D13021,nESPEC,DATOS!$E13021,nASIG,DATOS!$I13021,nEVAL,"EX")=0),0))))</f>
      </c>
      <c r="H13021">
        <f>IF(DATOS!$G13021&lt;&gt;"EX",0,--(COUNTIFS(nNIA,DATOS!$A13021,nCURSO,DATOS!$D13021,nESPEC,DATOS!$E13021,nASIG,DATOS!$I13021,nEVAL,"OR")=0))</f>
      </c>
      <c r="I13021">
        <f>IF(DATOS!$I13021="","",IFERROR(VLOOKUP(DATOS!$I13021,CONFIG_ASIGNATURAS!$B$2:$J$91,9,FALSE()),""))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IF(DATOS!$A13022="",0,IF(CONFIG_METADATA!$B$4&lt;&gt;"OR+EX",--(DATOS!$G13022=CONFIG_METADATA!$B$4),IF(DATOS!$G13022="EX",1,IF(DATOS!$G13022="OR",--(COUNTIFS(nNIA,DATOS!$A13022,nCURSO,DATOS!$D13022,nESPEC,DATOS!$E13022,nASIG,DATOS!$I13022,nEVAL,"EX")=0),0))))</f>
      </c>
      <c r="H13022">
        <f>IF(DATOS!$G13022&lt;&gt;"EX",0,--(COUNTIFS(nNIA,DATOS!$A13022,nCURSO,DATOS!$D13022,nESPEC,DATOS!$E13022,nASIG,DATOS!$I13022,nEVAL,"OR")=0))</f>
      </c>
      <c r="I13022">
        <f>IF(DATOS!$I13022="","",IFERROR(VLOOKUP(DATOS!$I13022,CONFIG_ASIGNATURAS!$B$2:$J$91,9,FALSE()),""))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IF(DATOS!$A13023="",0,IF(CONFIG_METADATA!$B$4&lt;&gt;"OR+EX",--(DATOS!$G13023=CONFIG_METADATA!$B$4),IF(DATOS!$G13023="EX",1,IF(DATOS!$G13023="OR",--(COUNTIFS(nNIA,DATOS!$A13023,nCURSO,DATOS!$D13023,nESPEC,DATOS!$E13023,nASIG,DATOS!$I13023,nEVAL,"EX")=0),0))))</f>
      </c>
      <c r="H13023">
        <f>IF(DATOS!$G13023&lt;&gt;"EX",0,--(COUNTIFS(nNIA,DATOS!$A13023,nCURSO,DATOS!$D13023,nESPEC,DATOS!$E13023,nASIG,DATOS!$I13023,nEVAL,"OR")=0))</f>
      </c>
      <c r="I13023">
        <f>IF(DATOS!$I13023="","",IFERROR(VLOOKUP(DATOS!$I13023,CONFIG_ASIGNATURAS!$B$2:$J$91,9,FALSE()),""))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IF(DATOS!$A13024="",0,IF(CONFIG_METADATA!$B$4&lt;&gt;"OR+EX",--(DATOS!$G13024=CONFIG_METADATA!$B$4),IF(DATOS!$G13024="EX",1,IF(DATOS!$G13024="OR",--(COUNTIFS(nNIA,DATOS!$A13024,nCURSO,DATOS!$D13024,nESPEC,DATOS!$E13024,nASIG,DATOS!$I13024,nEVAL,"EX")=0),0))))</f>
      </c>
      <c r="H13024">
        <f>IF(DATOS!$G13024&lt;&gt;"EX",0,--(COUNTIFS(nNIA,DATOS!$A13024,nCURSO,DATOS!$D13024,nESPEC,DATOS!$E13024,nASIG,DATOS!$I13024,nEVAL,"OR")=0))</f>
      </c>
      <c r="I13024">
        <f>IF(DATOS!$I13024="","",IFERROR(VLOOKUP(DATOS!$I13024,CONFIG_ASIGNATURAS!$B$2:$J$91,9,FALSE()),""))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IF(DATOS!$A13025="",0,IF(CONFIG_METADATA!$B$4&lt;&gt;"OR+EX",--(DATOS!$G13025=CONFIG_METADATA!$B$4),IF(DATOS!$G13025="EX",1,IF(DATOS!$G13025="OR",--(COUNTIFS(nNIA,DATOS!$A13025,nCURSO,DATOS!$D13025,nESPEC,DATOS!$E13025,nASIG,DATOS!$I13025,nEVAL,"EX")=0),0))))</f>
      </c>
      <c r="H13025">
        <f>IF(DATOS!$G13025&lt;&gt;"EX",0,--(COUNTIFS(nNIA,DATOS!$A13025,nCURSO,DATOS!$D13025,nESPEC,DATOS!$E13025,nASIG,DATOS!$I13025,nEVAL,"OR")=0))</f>
      </c>
      <c r="I13025">
        <f>IF(DATOS!$I13025="","",IFERROR(VLOOKUP(DATOS!$I13025,CONFIG_ASIGNATURAS!$B$2:$J$91,9,FALSE()),""))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IF(DATOS!$A13026="",0,IF(CONFIG_METADATA!$B$4&lt;&gt;"OR+EX",--(DATOS!$G13026=CONFIG_METADATA!$B$4),IF(DATOS!$G13026="EX",1,IF(DATOS!$G13026="OR",--(COUNTIFS(nNIA,DATOS!$A13026,nCURSO,DATOS!$D13026,nESPEC,DATOS!$E13026,nASIG,DATOS!$I13026,nEVAL,"EX")=0),0))))</f>
      </c>
      <c r="H13026">
        <f>IF(DATOS!$G13026&lt;&gt;"EX",0,--(COUNTIFS(nNIA,DATOS!$A13026,nCURSO,DATOS!$D13026,nESPEC,DATOS!$E13026,nASIG,DATOS!$I13026,nEVAL,"OR")=0))</f>
      </c>
      <c r="I13026">
        <f>IF(DATOS!$I13026="","",IFERROR(VLOOKUP(DATOS!$I13026,CONFIG_ASIGNATURAS!$B$2:$J$91,9,FALSE()),""))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IF(DATOS!$A13027="",0,IF(CONFIG_METADATA!$B$4&lt;&gt;"OR+EX",--(DATOS!$G13027=CONFIG_METADATA!$B$4),IF(DATOS!$G13027="EX",1,IF(DATOS!$G13027="OR",--(COUNTIFS(nNIA,DATOS!$A13027,nCURSO,DATOS!$D13027,nESPEC,DATOS!$E13027,nASIG,DATOS!$I13027,nEVAL,"EX")=0),0))))</f>
      </c>
      <c r="H13027">
        <f>IF(DATOS!$G13027&lt;&gt;"EX",0,--(COUNTIFS(nNIA,DATOS!$A13027,nCURSO,DATOS!$D13027,nESPEC,DATOS!$E13027,nASIG,DATOS!$I13027,nEVAL,"OR")=0))</f>
      </c>
      <c r="I13027">
        <f>IF(DATOS!$I13027="","",IFERROR(VLOOKUP(DATOS!$I13027,CONFIG_ASIGNATURAS!$B$2:$J$91,9,FALSE()),""))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IF(DATOS!$A13028="",0,IF(CONFIG_METADATA!$B$4&lt;&gt;"OR+EX",--(DATOS!$G13028=CONFIG_METADATA!$B$4),IF(DATOS!$G13028="EX",1,IF(DATOS!$G13028="OR",--(COUNTIFS(nNIA,DATOS!$A13028,nCURSO,DATOS!$D13028,nESPEC,DATOS!$E13028,nASIG,DATOS!$I13028,nEVAL,"EX")=0),0))))</f>
      </c>
      <c r="H13028">
        <f>IF(DATOS!$G13028&lt;&gt;"EX",0,--(COUNTIFS(nNIA,DATOS!$A13028,nCURSO,DATOS!$D13028,nESPEC,DATOS!$E13028,nASIG,DATOS!$I13028,nEVAL,"OR")=0))</f>
      </c>
      <c r="I13028">
        <f>IF(DATOS!$I13028="","",IFERROR(VLOOKUP(DATOS!$I13028,CONFIG_ASIGNATURAS!$B$2:$J$91,9,FALSE()),""))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IF(DATOS!$A13029="",0,IF(CONFIG_METADATA!$B$4&lt;&gt;"OR+EX",--(DATOS!$G13029=CONFIG_METADATA!$B$4),IF(DATOS!$G13029="EX",1,IF(DATOS!$G13029="OR",--(COUNTIFS(nNIA,DATOS!$A13029,nCURSO,DATOS!$D13029,nESPEC,DATOS!$E13029,nASIG,DATOS!$I13029,nEVAL,"EX")=0),0))))</f>
      </c>
      <c r="H13029">
        <f>IF(DATOS!$G13029&lt;&gt;"EX",0,--(COUNTIFS(nNIA,DATOS!$A13029,nCURSO,DATOS!$D13029,nESPEC,DATOS!$E13029,nASIG,DATOS!$I13029,nEVAL,"OR")=0))</f>
      </c>
      <c r="I13029">
        <f>IF(DATOS!$I13029="","",IFERROR(VLOOKUP(DATOS!$I13029,CONFIG_ASIGNATURAS!$B$2:$J$91,9,FALSE()),""))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IF(DATOS!$A13030="",0,IF(CONFIG_METADATA!$B$4&lt;&gt;"OR+EX",--(DATOS!$G13030=CONFIG_METADATA!$B$4),IF(DATOS!$G13030="EX",1,IF(DATOS!$G13030="OR",--(COUNTIFS(nNIA,DATOS!$A13030,nCURSO,DATOS!$D13030,nESPEC,DATOS!$E13030,nASIG,DATOS!$I13030,nEVAL,"EX")=0),0))))</f>
      </c>
      <c r="H13030">
        <f>IF(DATOS!$G13030&lt;&gt;"EX",0,--(COUNTIFS(nNIA,DATOS!$A13030,nCURSO,DATOS!$D13030,nESPEC,DATOS!$E13030,nASIG,DATOS!$I13030,nEVAL,"OR")=0))</f>
      </c>
      <c r="I13030">
        <f>IF(DATOS!$I13030="","",IFERROR(VLOOKUP(DATOS!$I13030,CONFIG_ASIGNATURAS!$B$2:$J$91,9,FALSE()),""))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IF(DATOS!$A13031="",0,IF(CONFIG_METADATA!$B$4&lt;&gt;"OR+EX",--(DATOS!$G13031=CONFIG_METADATA!$B$4),IF(DATOS!$G13031="EX",1,IF(DATOS!$G13031="OR",--(COUNTIFS(nNIA,DATOS!$A13031,nCURSO,DATOS!$D13031,nESPEC,DATOS!$E13031,nASIG,DATOS!$I13031,nEVAL,"EX")=0),0))))</f>
      </c>
      <c r="H13031">
        <f>IF(DATOS!$G13031&lt;&gt;"EX",0,--(COUNTIFS(nNIA,DATOS!$A13031,nCURSO,DATOS!$D13031,nESPEC,DATOS!$E13031,nASIG,DATOS!$I13031,nEVAL,"OR")=0))</f>
      </c>
      <c r="I13031">
        <f>IF(DATOS!$I13031="","",IFERROR(VLOOKUP(DATOS!$I13031,CONFIG_ASIGNATURAS!$B$2:$J$91,9,FALSE()),""))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IF(DATOS!$A13032="",0,IF(CONFIG_METADATA!$B$4&lt;&gt;"OR+EX",--(DATOS!$G13032=CONFIG_METADATA!$B$4),IF(DATOS!$G13032="EX",1,IF(DATOS!$G13032="OR",--(COUNTIFS(nNIA,DATOS!$A13032,nCURSO,DATOS!$D13032,nESPEC,DATOS!$E13032,nASIG,DATOS!$I13032,nEVAL,"EX")=0),0))))</f>
      </c>
      <c r="H13032">
        <f>IF(DATOS!$G13032&lt;&gt;"EX",0,--(COUNTIFS(nNIA,DATOS!$A13032,nCURSO,DATOS!$D13032,nESPEC,DATOS!$E13032,nASIG,DATOS!$I13032,nEVAL,"OR")=0))</f>
      </c>
      <c r="I13032">
        <f>IF(DATOS!$I13032="","",IFERROR(VLOOKUP(DATOS!$I13032,CONFIG_ASIGNATURAS!$B$2:$J$91,9,FALSE()),""))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IF(DATOS!$A13033="",0,IF(CONFIG_METADATA!$B$4&lt;&gt;"OR+EX",--(DATOS!$G13033=CONFIG_METADATA!$B$4),IF(DATOS!$G13033="EX",1,IF(DATOS!$G13033="OR",--(COUNTIFS(nNIA,DATOS!$A13033,nCURSO,DATOS!$D13033,nESPEC,DATOS!$E13033,nASIG,DATOS!$I13033,nEVAL,"EX")=0),0))))</f>
      </c>
      <c r="H13033">
        <f>IF(DATOS!$G13033&lt;&gt;"EX",0,--(COUNTIFS(nNIA,DATOS!$A13033,nCURSO,DATOS!$D13033,nESPEC,DATOS!$E13033,nASIG,DATOS!$I13033,nEVAL,"OR")=0))</f>
      </c>
      <c r="I13033">
        <f>IF(DATOS!$I13033="","",IFERROR(VLOOKUP(DATOS!$I13033,CONFIG_ASIGNATURAS!$B$2:$J$91,9,FALSE()),""))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IF(DATOS!$A13034="",0,IF(CONFIG_METADATA!$B$4&lt;&gt;"OR+EX",--(DATOS!$G13034=CONFIG_METADATA!$B$4),IF(DATOS!$G13034="EX",1,IF(DATOS!$G13034="OR",--(COUNTIFS(nNIA,DATOS!$A13034,nCURSO,DATOS!$D13034,nESPEC,DATOS!$E13034,nASIG,DATOS!$I13034,nEVAL,"EX")=0),0))))</f>
      </c>
      <c r="H13034">
        <f>IF(DATOS!$G13034&lt;&gt;"EX",0,--(COUNTIFS(nNIA,DATOS!$A13034,nCURSO,DATOS!$D13034,nESPEC,DATOS!$E13034,nASIG,DATOS!$I13034,nEVAL,"OR")=0))</f>
      </c>
      <c r="I13034">
        <f>IF(DATOS!$I13034="","",IFERROR(VLOOKUP(DATOS!$I13034,CONFIG_ASIGNATURAS!$B$2:$J$91,9,FALSE()),""))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IF(DATOS!$A13035="",0,IF(CONFIG_METADATA!$B$4&lt;&gt;"OR+EX",--(DATOS!$G13035=CONFIG_METADATA!$B$4),IF(DATOS!$G13035="EX",1,IF(DATOS!$G13035="OR",--(COUNTIFS(nNIA,DATOS!$A13035,nCURSO,DATOS!$D13035,nESPEC,DATOS!$E13035,nASIG,DATOS!$I13035,nEVAL,"EX")=0),0))))</f>
      </c>
      <c r="H13035">
        <f>IF(DATOS!$G13035&lt;&gt;"EX",0,--(COUNTIFS(nNIA,DATOS!$A13035,nCURSO,DATOS!$D13035,nESPEC,DATOS!$E13035,nASIG,DATOS!$I13035,nEVAL,"OR")=0))</f>
      </c>
      <c r="I13035">
        <f>IF(DATOS!$I13035="","",IFERROR(VLOOKUP(DATOS!$I13035,CONFIG_ASIGNATURAS!$B$2:$J$91,9,FALSE()),""))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IF(DATOS!$A13036="",0,IF(CONFIG_METADATA!$B$4&lt;&gt;"OR+EX",--(DATOS!$G13036=CONFIG_METADATA!$B$4),IF(DATOS!$G13036="EX",1,IF(DATOS!$G13036="OR",--(COUNTIFS(nNIA,DATOS!$A13036,nCURSO,DATOS!$D13036,nESPEC,DATOS!$E13036,nASIG,DATOS!$I13036,nEVAL,"EX")=0),0))))</f>
      </c>
      <c r="H13036">
        <f>IF(DATOS!$G13036&lt;&gt;"EX",0,--(COUNTIFS(nNIA,DATOS!$A13036,nCURSO,DATOS!$D13036,nESPEC,DATOS!$E13036,nASIG,DATOS!$I13036,nEVAL,"OR")=0))</f>
      </c>
      <c r="I13036">
        <f>IF(DATOS!$I13036="","",IFERROR(VLOOKUP(DATOS!$I13036,CONFIG_ASIGNATURAS!$B$2:$J$91,9,FALSE()),""))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IF(DATOS!$A13037="",0,IF(CONFIG_METADATA!$B$4&lt;&gt;"OR+EX",--(DATOS!$G13037=CONFIG_METADATA!$B$4),IF(DATOS!$G13037="EX",1,IF(DATOS!$G13037="OR",--(COUNTIFS(nNIA,DATOS!$A13037,nCURSO,DATOS!$D13037,nESPEC,DATOS!$E13037,nASIG,DATOS!$I13037,nEVAL,"EX")=0),0))))</f>
      </c>
      <c r="H13037">
        <f>IF(DATOS!$G13037&lt;&gt;"EX",0,--(COUNTIFS(nNIA,DATOS!$A13037,nCURSO,DATOS!$D13037,nESPEC,DATOS!$E13037,nASIG,DATOS!$I13037,nEVAL,"OR")=0))</f>
      </c>
      <c r="I13037">
        <f>IF(DATOS!$I13037="","",IFERROR(VLOOKUP(DATOS!$I13037,CONFIG_ASIGNATURAS!$B$2:$J$91,9,FALSE()),""))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IF(DATOS!$A13038="",0,IF(CONFIG_METADATA!$B$4&lt;&gt;"OR+EX",--(DATOS!$G13038=CONFIG_METADATA!$B$4),IF(DATOS!$G13038="EX",1,IF(DATOS!$G13038="OR",--(COUNTIFS(nNIA,DATOS!$A13038,nCURSO,DATOS!$D13038,nESPEC,DATOS!$E13038,nASIG,DATOS!$I13038,nEVAL,"EX")=0),0))))</f>
      </c>
      <c r="H13038">
        <f>IF(DATOS!$G13038&lt;&gt;"EX",0,--(COUNTIFS(nNIA,DATOS!$A13038,nCURSO,DATOS!$D13038,nESPEC,DATOS!$E13038,nASIG,DATOS!$I13038,nEVAL,"OR")=0))</f>
      </c>
      <c r="I13038">
        <f>IF(DATOS!$I13038="","",IFERROR(VLOOKUP(DATOS!$I13038,CONFIG_ASIGNATURAS!$B$2:$J$91,9,FALSE()),""))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IF(DATOS!$A13039="",0,IF(CONFIG_METADATA!$B$4&lt;&gt;"OR+EX",--(DATOS!$G13039=CONFIG_METADATA!$B$4),IF(DATOS!$G13039="EX",1,IF(DATOS!$G13039="OR",--(COUNTIFS(nNIA,DATOS!$A13039,nCURSO,DATOS!$D13039,nESPEC,DATOS!$E13039,nASIG,DATOS!$I13039,nEVAL,"EX")=0),0))))</f>
      </c>
      <c r="H13039">
        <f>IF(DATOS!$G13039&lt;&gt;"EX",0,--(COUNTIFS(nNIA,DATOS!$A13039,nCURSO,DATOS!$D13039,nESPEC,DATOS!$E13039,nASIG,DATOS!$I13039,nEVAL,"OR")=0))</f>
      </c>
      <c r="I13039">
        <f>IF(DATOS!$I13039="","",IFERROR(VLOOKUP(DATOS!$I13039,CONFIG_ASIGNATURAS!$B$2:$J$91,9,FALSE()),""))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IF(DATOS!$A13040="",0,IF(CONFIG_METADATA!$B$4&lt;&gt;"OR+EX",--(DATOS!$G13040=CONFIG_METADATA!$B$4),IF(DATOS!$G13040="EX",1,IF(DATOS!$G13040="OR",--(COUNTIFS(nNIA,DATOS!$A13040,nCURSO,DATOS!$D13040,nESPEC,DATOS!$E13040,nASIG,DATOS!$I13040,nEVAL,"EX")=0),0))))</f>
      </c>
      <c r="H13040">
        <f>IF(DATOS!$G13040&lt;&gt;"EX",0,--(COUNTIFS(nNIA,DATOS!$A13040,nCURSO,DATOS!$D13040,nESPEC,DATOS!$E13040,nASIG,DATOS!$I13040,nEVAL,"OR")=0))</f>
      </c>
      <c r="I13040">
        <f>IF(DATOS!$I13040="","",IFERROR(VLOOKUP(DATOS!$I13040,CONFIG_ASIGNATURAS!$B$2:$J$91,9,FALSE()),""))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IF(DATOS!$A13041="",0,IF(CONFIG_METADATA!$B$4&lt;&gt;"OR+EX",--(DATOS!$G13041=CONFIG_METADATA!$B$4),IF(DATOS!$G13041="EX",1,IF(DATOS!$G13041="OR",--(COUNTIFS(nNIA,DATOS!$A13041,nCURSO,DATOS!$D13041,nESPEC,DATOS!$E13041,nASIG,DATOS!$I13041,nEVAL,"EX")=0),0))))</f>
      </c>
      <c r="H13041">
        <f>IF(DATOS!$G13041&lt;&gt;"EX",0,--(COUNTIFS(nNIA,DATOS!$A13041,nCURSO,DATOS!$D13041,nESPEC,DATOS!$E13041,nASIG,DATOS!$I13041,nEVAL,"OR")=0))</f>
      </c>
      <c r="I13041">
        <f>IF(DATOS!$I13041="","",IFERROR(VLOOKUP(DATOS!$I13041,CONFIG_ASIGNATURAS!$B$2:$J$91,9,FALSE()),""))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IF(DATOS!$A13042="",0,IF(CONFIG_METADATA!$B$4&lt;&gt;"OR+EX",--(DATOS!$G13042=CONFIG_METADATA!$B$4),IF(DATOS!$G13042="EX",1,IF(DATOS!$G13042="OR",--(COUNTIFS(nNIA,DATOS!$A13042,nCURSO,DATOS!$D13042,nESPEC,DATOS!$E13042,nASIG,DATOS!$I13042,nEVAL,"EX")=0),0))))</f>
      </c>
      <c r="H13042">
        <f>IF(DATOS!$G13042&lt;&gt;"EX",0,--(COUNTIFS(nNIA,DATOS!$A13042,nCURSO,DATOS!$D13042,nESPEC,DATOS!$E13042,nASIG,DATOS!$I13042,nEVAL,"OR")=0))</f>
      </c>
      <c r="I13042">
        <f>IF(DATOS!$I13042="","",IFERROR(VLOOKUP(DATOS!$I13042,CONFIG_ASIGNATURAS!$B$2:$J$91,9,FALSE()),""))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IF(DATOS!$A13043="",0,IF(CONFIG_METADATA!$B$4&lt;&gt;"OR+EX",--(DATOS!$G13043=CONFIG_METADATA!$B$4),IF(DATOS!$G13043="EX",1,IF(DATOS!$G13043="OR",--(COUNTIFS(nNIA,DATOS!$A13043,nCURSO,DATOS!$D13043,nESPEC,DATOS!$E13043,nASIG,DATOS!$I13043,nEVAL,"EX")=0),0))))</f>
      </c>
      <c r="H13043">
        <f>IF(DATOS!$G13043&lt;&gt;"EX",0,--(COUNTIFS(nNIA,DATOS!$A13043,nCURSO,DATOS!$D13043,nESPEC,DATOS!$E13043,nASIG,DATOS!$I13043,nEVAL,"OR")=0))</f>
      </c>
      <c r="I13043">
        <f>IF(DATOS!$I13043="","",IFERROR(VLOOKUP(DATOS!$I13043,CONFIG_ASIGNATURAS!$B$2:$J$91,9,FALSE()),""))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IF(DATOS!$A13044="",0,IF(CONFIG_METADATA!$B$4&lt;&gt;"OR+EX",--(DATOS!$G13044=CONFIG_METADATA!$B$4),IF(DATOS!$G13044="EX",1,IF(DATOS!$G13044="OR",--(COUNTIFS(nNIA,DATOS!$A13044,nCURSO,DATOS!$D13044,nESPEC,DATOS!$E13044,nASIG,DATOS!$I13044,nEVAL,"EX")=0),0))))</f>
      </c>
      <c r="H13044">
        <f>IF(DATOS!$G13044&lt;&gt;"EX",0,--(COUNTIFS(nNIA,DATOS!$A13044,nCURSO,DATOS!$D13044,nESPEC,DATOS!$E13044,nASIG,DATOS!$I13044,nEVAL,"OR")=0))</f>
      </c>
      <c r="I13044">
        <f>IF(DATOS!$I13044="","",IFERROR(VLOOKUP(DATOS!$I13044,CONFIG_ASIGNATURAS!$B$2:$J$91,9,FALSE()),""))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IF(DATOS!$A13045="",0,IF(CONFIG_METADATA!$B$4&lt;&gt;"OR+EX",--(DATOS!$G13045=CONFIG_METADATA!$B$4),IF(DATOS!$G13045="EX",1,IF(DATOS!$G13045="OR",--(COUNTIFS(nNIA,DATOS!$A13045,nCURSO,DATOS!$D13045,nESPEC,DATOS!$E13045,nASIG,DATOS!$I13045,nEVAL,"EX")=0),0))))</f>
      </c>
      <c r="H13045">
        <f>IF(DATOS!$G13045&lt;&gt;"EX",0,--(COUNTIFS(nNIA,DATOS!$A13045,nCURSO,DATOS!$D13045,nESPEC,DATOS!$E13045,nASIG,DATOS!$I13045,nEVAL,"OR")=0))</f>
      </c>
      <c r="I13045">
        <f>IF(DATOS!$I13045="","",IFERROR(VLOOKUP(DATOS!$I13045,CONFIG_ASIGNATURAS!$B$2:$J$91,9,FALSE()),""))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IF(DATOS!$A13046="",0,IF(CONFIG_METADATA!$B$4&lt;&gt;"OR+EX",--(DATOS!$G13046=CONFIG_METADATA!$B$4),IF(DATOS!$G13046="EX",1,IF(DATOS!$G13046="OR",--(COUNTIFS(nNIA,DATOS!$A13046,nCURSO,DATOS!$D13046,nESPEC,DATOS!$E13046,nASIG,DATOS!$I13046,nEVAL,"EX")=0),0))))</f>
      </c>
      <c r="H13046">
        <f>IF(DATOS!$G13046&lt;&gt;"EX",0,--(COUNTIFS(nNIA,DATOS!$A13046,nCURSO,DATOS!$D13046,nESPEC,DATOS!$E13046,nASIG,DATOS!$I13046,nEVAL,"OR")=0))</f>
      </c>
      <c r="I13046">
        <f>IF(DATOS!$I13046="","",IFERROR(VLOOKUP(DATOS!$I13046,CONFIG_ASIGNATURAS!$B$2:$J$91,9,FALSE()),""))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IF(DATOS!$A13047="",0,IF(CONFIG_METADATA!$B$4&lt;&gt;"OR+EX",--(DATOS!$G13047=CONFIG_METADATA!$B$4),IF(DATOS!$G13047="EX",1,IF(DATOS!$G13047="OR",--(COUNTIFS(nNIA,DATOS!$A13047,nCURSO,DATOS!$D13047,nESPEC,DATOS!$E13047,nASIG,DATOS!$I13047,nEVAL,"EX")=0),0))))</f>
      </c>
      <c r="H13047">
        <f>IF(DATOS!$G13047&lt;&gt;"EX",0,--(COUNTIFS(nNIA,DATOS!$A13047,nCURSO,DATOS!$D13047,nESPEC,DATOS!$E13047,nASIG,DATOS!$I13047,nEVAL,"OR")=0))</f>
      </c>
      <c r="I13047">
        <f>IF(DATOS!$I13047="","",IFERROR(VLOOKUP(DATOS!$I13047,CONFIG_ASIGNATURAS!$B$2:$J$91,9,FALSE()),""))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IF(DATOS!$A13048="",0,IF(CONFIG_METADATA!$B$4&lt;&gt;"OR+EX",--(DATOS!$G13048=CONFIG_METADATA!$B$4),IF(DATOS!$G13048="EX",1,IF(DATOS!$G13048="OR",--(COUNTIFS(nNIA,DATOS!$A13048,nCURSO,DATOS!$D13048,nESPEC,DATOS!$E13048,nASIG,DATOS!$I13048,nEVAL,"EX")=0),0))))</f>
      </c>
      <c r="H13048">
        <f>IF(DATOS!$G13048&lt;&gt;"EX",0,--(COUNTIFS(nNIA,DATOS!$A13048,nCURSO,DATOS!$D13048,nESPEC,DATOS!$E13048,nASIG,DATOS!$I13048,nEVAL,"OR")=0))</f>
      </c>
      <c r="I13048">
        <f>IF(DATOS!$I13048="","",IFERROR(VLOOKUP(DATOS!$I13048,CONFIG_ASIGNATURAS!$B$2:$J$91,9,FALSE()),""))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IF(DATOS!$A13049="",0,IF(CONFIG_METADATA!$B$4&lt;&gt;"OR+EX",--(DATOS!$G13049=CONFIG_METADATA!$B$4),IF(DATOS!$G13049="EX",1,IF(DATOS!$G13049="OR",--(COUNTIFS(nNIA,DATOS!$A13049,nCURSO,DATOS!$D13049,nESPEC,DATOS!$E13049,nASIG,DATOS!$I13049,nEVAL,"EX")=0),0))))</f>
      </c>
      <c r="H13049">
        <f>IF(DATOS!$G13049&lt;&gt;"EX",0,--(COUNTIFS(nNIA,DATOS!$A13049,nCURSO,DATOS!$D13049,nESPEC,DATOS!$E13049,nASIG,DATOS!$I13049,nEVAL,"OR")=0))</f>
      </c>
      <c r="I13049">
        <f>IF(DATOS!$I13049="","",IFERROR(VLOOKUP(DATOS!$I13049,CONFIG_ASIGNATURAS!$B$2:$J$91,9,FALSE()),""))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IF(DATOS!$A13050="",0,IF(CONFIG_METADATA!$B$4&lt;&gt;"OR+EX",--(DATOS!$G13050=CONFIG_METADATA!$B$4),IF(DATOS!$G13050="EX",1,IF(DATOS!$G13050="OR",--(COUNTIFS(nNIA,DATOS!$A13050,nCURSO,DATOS!$D13050,nESPEC,DATOS!$E13050,nASIG,DATOS!$I13050,nEVAL,"EX")=0),0))))</f>
      </c>
      <c r="H13050">
        <f>IF(DATOS!$G13050&lt;&gt;"EX",0,--(COUNTIFS(nNIA,DATOS!$A13050,nCURSO,DATOS!$D13050,nESPEC,DATOS!$E13050,nASIG,DATOS!$I13050,nEVAL,"OR")=0))</f>
      </c>
      <c r="I13050">
        <f>IF(DATOS!$I13050="","",IFERROR(VLOOKUP(DATOS!$I13050,CONFIG_ASIGNATURAS!$B$2:$J$91,9,FALSE()),""))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IF(DATOS!$A13051="",0,IF(CONFIG_METADATA!$B$4&lt;&gt;"OR+EX",--(DATOS!$G13051=CONFIG_METADATA!$B$4),IF(DATOS!$G13051="EX",1,IF(DATOS!$G13051="OR",--(COUNTIFS(nNIA,DATOS!$A13051,nCURSO,DATOS!$D13051,nESPEC,DATOS!$E13051,nASIG,DATOS!$I13051,nEVAL,"EX")=0),0))))</f>
      </c>
      <c r="H13051">
        <f>IF(DATOS!$G13051&lt;&gt;"EX",0,--(COUNTIFS(nNIA,DATOS!$A13051,nCURSO,DATOS!$D13051,nESPEC,DATOS!$E13051,nASIG,DATOS!$I13051,nEVAL,"OR")=0))</f>
      </c>
      <c r="I13051">
        <f>IF(DATOS!$I13051="","",IFERROR(VLOOKUP(DATOS!$I13051,CONFIG_ASIGNATURAS!$B$2:$J$91,9,FALSE()),""))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IF(DATOS!$A13052="",0,IF(CONFIG_METADATA!$B$4&lt;&gt;"OR+EX",--(DATOS!$G13052=CONFIG_METADATA!$B$4),IF(DATOS!$G13052="EX",1,IF(DATOS!$G13052="OR",--(COUNTIFS(nNIA,DATOS!$A13052,nCURSO,DATOS!$D13052,nESPEC,DATOS!$E13052,nASIG,DATOS!$I13052,nEVAL,"EX")=0),0))))</f>
      </c>
      <c r="H13052">
        <f>IF(DATOS!$G13052&lt;&gt;"EX",0,--(COUNTIFS(nNIA,DATOS!$A13052,nCURSO,DATOS!$D13052,nESPEC,DATOS!$E13052,nASIG,DATOS!$I13052,nEVAL,"OR")=0))</f>
      </c>
      <c r="I13052">
        <f>IF(DATOS!$I13052="","",IFERROR(VLOOKUP(DATOS!$I13052,CONFIG_ASIGNATURAS!$B$2:$J$91,9,FALSE()),""))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IF(DATOS!$A13053="",0,IF(CONFIG_METADATA!$B$4&lt;&gt;"OR+EX",--(DATOS!$G13053=CONFIG_METADATA!$B$4),IF(DATOS!$G13053="EX",1,IF(DATOS!$G13053="OR",--(COUNTIFS(nNIA,DATOS!$A13053,nCURSO,DATOS!$D13053,nESPEC,DATOS!$E13053,nASIG,DATOS!$I13053,nEVAL,"EX")=0),0))))</f>
      </c>
      <c r="H13053">
        <f>IF(DATOS!$G13053&lt;&gt;"EX",0,--(COUNTIFS(nNIA,DATOS!$A13053,nCURSO,DATOS!$D13053,nESPEC,DATOS!$E13053,nASIG,DATOS!$I13053,nEVAL,"OR")=0))</f>
      </c>
      <c r="I13053">
        <f>IF(DATOS!$I13053="","",IFERROR(VLOOKUP(DATOS!$I13053,CONFIG_ASIGNATURAS!$B$2:$J$91,9,FALSE()),""))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IF(DATOS!$A13054="",0,IF(CONFIG_METADATA!$B$4&lt;&gt;"OR+EX",--(DATOS!$G13054=CONFIG_METADATA!$B$4),IF(DATOS!$G13054="EX",1,IF(DATOS!$G13054="OR",--(COUNTIFS(nNIA,DATOS!$A13054,nCURSO,DATOS!$D13054,nESPEC,DATOS!$E13054,nASIG,DATOS!$I13054,nEVAL,"EX")=0),0))))</f>
      </c>
      <c r="H13054">
        <f>IF(DATOS!$G13054&lt;&gt;"EX",0,--(COUNTIFS(nNIA,DATOS!$A13054,nCURSO,DATOS!$D13054,nESPEC,DATOS!$E13054,nASIG,DATOS!$I13054,nEVAL,"OR")=0))</f>
      </c>
      <c r="I13054">
        <f>IF(DATOS!$I13054="","",IFERROR(VLOOKUP(DATOS!$I13054,CONFIG_ASIGNATURAS!$B$2:$J$91,9,FALSE()),""))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IF(DATOS!$A13055="",0,IF(CONFIG_METADATA!$B$4&lt;&gt;"OR+EX",--(DATOS!$G13055=CONFIG_METADATA!$B$4),IF(DATOS!$G13055="EX",1,IF(DATOS!$G13055="OR",--(COUNTIFS(nNIA,DATOS!$A13055,nCURSO,DATOS!$D13055,nESPEC,DATOS!$E13055,nASIG,DATOS!$I13055,nEVAL,"EX")=0),0))))</f>
      </c>
      <c r="H13055">
        <f>IF(DATOS!$G13055&lt;&gt;"EX",0,--(COUNTIFS(nNIA,DATOS!$A13055,nCURSO,DATOS!$D13055,nESPEC,DATOS!$E13055,nASIG,DATOS!$I13055,nEVAL,"OR")=0))</f>
      </c>
      <c r="I13055">
        <f>IF(DATOS!$I13055="","",IFERROR(VLOOKUP(DATOS!$I13055,CONFIG_ASIGNATURAS!$B$2:$J$91,9,FALSE()),""))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IF(DATOS!$A13056="",0,IF(CONFIG_METADATA!$B$4&lt;&gt;"OR+EX",--(DATOS!$G13056=CONFIG_METADATA!$B$4),IF(DATOS!$G13056="EX",1,IF(DATOS!$G13056="OR",--(COUNTIFS(nNIA,DATOS!$A13056,nCURSO,DATOS!$D13056,nESPEC,DATOS!$E13056,nASIG,DATOS!$I13056,nEVAL,"EX")=0),0))))</f>
      </c>
      <c r="H13056">
        <f>IF(DATOS!$G13056&lt;&gt;"EX",0,--(COUNTIFS(nNIA,DATOS!$A13056,nCURSO,DATOS!$D13056,nESPEC,DATOS!$E13056,nASIG,DATOS!$I13056,nEVAL,"OR")=0))</f>
      </c>
      <c r="I13056">
        <f>IF(DATOS!$I13056="","",IFERROR(VLOOKUP(DATOS!$I13056,CONFIG_ASIGNATURAS!$B$2:$J$91,9,FALSE()),""))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IF(DATOS!$A13057="",0,IF(CONFIG_METADATA!$B$4&lt;&gt;"OR+EX",--(DATOS!$G13057=CONFIG_METADATA!$B$4),IF(DATOS!$G13057="EX",1,IF(DATOS!$G13057="OR",--(COUNTIFS(nNIA,DATOS!$A13057,nCURSO,DATOS!$D13057,nESPEC,DATOS!$E13057,nASIG,DATOS!$I13057,nEVAL,"EX")=0),0))))</f>
      </c>
      <c r="H13057">
        <f>IF(DATOS!$G13057&lt;&gt;"EX",0,--(COUNTIFS(nNIA,DATOS!$A13057,nCURSO,DATOS!$D13057,nESPEC,DATOS!$E13057,nASIG,DATOS!$I13057,nEVAL,"OR")=0))</f>
      </c>
      <c r="I13057">
        <f>IF(DATOS!$I13057="","",IFERROR(VLOOKUP(DATOS!$I13057,CONFIG_ASIGNATURAS!$B$2:$J$91,9,FALSE()),""))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IF(DATOS!$A13058="",0,IF(CONFIG_METADATA!$B$4&lt;&gt;"OR+EX",--(DATOS!$G13058=CONFIG_METADATA!$B$4),IF(DATOS!$G13058="EX",1,IF(DATOS!$G13058="OR",--(COUNTIFS(nNIA,DATOS!$A13058,nCURSO,DATOS!$D13058,nESPEC,DATOS!$E13058,nASIG,DATOS!$I13058,nEVAL,"EX")=0),0))))</f>
      </c>
      <c r="H13058">
        <f>IF(DATOS!$G13058&lt;&gt;"EX",0,--(COUNTIFS(nNIA,DATOS!$A13058,nCURSO,DATOS!$D13058,nESPEC,DATOS!$E13058,nASIG,DATOS!$I13058,nEVAL,"OR")=0))</f>
      </c>
      <c r="I13058">
        <f>IF(DATOS!$I13058="","",IFERROR(VLOOKUP(DATOS!$I13058,CONFIG_ASIGNATURAS!$B$2:$J$91,9,FALSE()),""))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IF(DATOS!$A13059="",0,IF(CONFIG_METADATA!$B$4&lt;&gt;"OR+EX",--(DATOS!$G13059=CONFIG_METADATA!$B$4),IF(DATOS!$G13059="EX",1,IF(DATOS!$G13059="OR",--(COUNTIFS(nNIA,DATOS!$A13059,nCURSO,DATOS!$D13059,nESPEC,DATOS!$E13059,nASIG,DATOS!$I13059,nEVAL,"EX")=0),0))))</f>
      </c>
      <c r="H13059">
        <f>IF(DATOS!$G13059&lt;&gt;"EX",0,--(COUNTIFS(nNIA,DATOS!$A13059,nCURSO,DATOS!$D13059,nESPEC,DATOS!$E13059,nASIG,DATOS!$I13059,nEVAL,"OR")=0))</f>
      </c>
      <c r="I13059">
        <f>IF(DATOS!$I13059="","",IFERROR(VLOOKUP(DATOS!$I13059,CONFIG_ASIGNATURAS!$B$2:$J$91,9,FALSE()),""))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IF(DATOS!$A13060="",0,IF(CONFIG_METADATA!$B$4&lt;&gt;"OR+EX",--(DATOS!$G13060=CONFIG_METADATA!$B$4),IF(DATOS!$G13060="EX",1,IF(DATOS!$G13060="OR",--(COUNTIFS(nNIA,DATOS!$A13060,nCURSO,DATOS!$D13060,nESPEC,DATOS!$E13060,nASIG,DATOS!$I13060,nEVAL,"EX")=0),0))))</f>
      </c>
      <c r="H13060">
        <f>IF(DATOS!$G13060&lt;&gt;"EX",0,--(COUNTIFS(nNIA,DATOS!$A13060,nCURSO,DATOS!$D13060,nESPEC,DATOS!$E13060,nASIG,DATOS!$I13060,nEVAL,"OR")=0))</f>
      </c>
      <c r="I13060">
        <f>IF(DATOS!$I13060="","",IFERROR(VLOOKUP(DATOS!$I13060,CONFIG_ASIGNATURAS!$B$2:$J$91,9,FALSE()),""))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IF(DATOS!$A13061="",0,IF(CONFIG_METADATA!$B$4&lt;&gt;"OR+EX",--(DATOS!$G13061=CONFIG_METADATA!$B$4),IF(DATOS!$G13061="EX",1,IF(DATOS!$G13061="OR",--(COUNTIFS(nNIA,DATOS!$A13061,nCURSO,DATOS!$D13061,nESPEC,DATOS!$E13061,nASIG,DATOS!$I13061,nEVAL,"EX")=0),0))))</f>
      </c>
      <c r="H13061">
        <f>IF(DATOS!$G13061&lt;&gt;"EX",0,--(COUNTIFS(nNIA,DATOS!$A13061,nCURSO,DATOS!$D13061,nESPEC,DATOS!$E13061,nASIG,DATOS!$I13061,nEVAL,"OR")=0))</f>
      </c>
      <c r="I13061">
        <f>IF(DATOS!$I13061="","",IFERROR(VLOOKUP(DATOS!$I13061,CONFIG_ASIGNATURAS!$B$2:$J$91,9,FALSE()),""))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IF(DATOS!$A13062="",0,IF(CONFIG_METADATA!$B$4&lt;&gt;"OR+EX",--(DATOS!$G13062=CONFIG_METADATA!$B$4),IF(DATOS!$G13062="EX",1,IF(DATOS!$G13062="OR",--(COUNTIFS(nNIA,DATOS!$A13062,nCURSO,DATOS!$D13062,nESPEC,DATOS!$E13062,nASIG,DATOS!$I13062,nEVAL,"EX")=0),0))))</f>
      </c>
      <c r="H13062">
        <f>IF(DATOS!$G13062&lt;&gt;"EX",0,--(COUNTIFS(nNIA,DATOS!$A13062,nCURSO,DATOS!$D13062,nESPEC,DATOS!$E13062,nASIG,DATOS!$I13062,nEVAL,"OR")=0))</f>
      </c>
      <c r="I13062">
        <f>IF(DATOS!$I13062="","",IFERROR(VLOOKUP(DATOS!$I13062,CONFIG_ASIGNATURAS!$B$2:$J$91,9,FALSE()),""))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IF(DATOS!$A13063="",0,IF(CONFIG_METADATA!$B$4&lt;&gt;"OR+EX",--(DATOS!$G13063=CONFIG_METADATA!$B$4),IF(DATOS!$G13063="EX",1,IF(DATOS!$G13063="OR",--(COUNTIFS(nNIA,DATOS!$A13063,nCURSO,DATOS!$D13063,nESPEC,DATOS!$E13063,nASIG,DATOS!$I13063,nEVAL,"EX")=0),0))))</f>
      </c>
      <c r="H13063">
        <f>IF(DATOS!$G13063&lt;&gt;"EX",0,--(COUNTIFS(nNIA,DATOS!$A13063,nCURSO,DATOS!$D13063,nESPEC,DATOS!$E13063,nASIG,DATOS!$I13063,nEVAL,"OR")=0))</f>
      </c>
      <c r="I13063">
        <f>IF(DATOS!$I13063="","",IFERROR(VLOOKUP(DATOS!$I13063,CONFIG_ASIGNATURAS!$B$2:$J$91,9,FALSE()),""))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IF(DATOS!$A13064="",0,IF(CONFIG_METADATA!$B$4&lt;&gt;"OR+EX",--(DATOS!$G13064=CONFIG_METADATA!$B$4),IF(DATOS!$G13064="EX",1,IF(DATOS!$G13064="OR",--(COUNTIFS(nNIA,DATOS!$A13064,nCURSO,DATOS!$D13064,nESPEC,DATOS!$E13064,nASIG,DATOS!$I13064,nEVAL,"EX")=0),0))))</f>
      </c>
      <c r="H13064">
        <f>IF(DATOS!$G13064&lt;&gt;"EX",0,--(COUNTIFS(nNIA,DATOS!$A13064,nCURSO,DATOS!$D13064,nESPEC,DATOS!$E13064,nASIG,DATOS!$I13064,nEVAL,"OR")=0))</f>
      </c>
      <c r="I13064">
        <f>IF(DATOS!$I13064="","",IFERROR(VLOOKUP(DATOS!$I13064,CONFIG_ASIGNATURAS!$B$2:$J$91,9,FALSE()),""))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IF(DATOS!$A13065="",0,IF(CONFIG_METADATA!$B$4&lt;&gt;"OR+EX",--(DATOS!$G13065=CONFIG_METADATA!$B$4),IF(DATOS!$G13065="EX",1,IF(DATOS!$G13065="OR",--(COUNTIFS(nNIA,DATOS!$A13065,nCURSO,DATOS!$D13065,nESPEC,DATOS!$E13065,nASIG,DATOS!$I13065,nEVAL,"EX")=0),0))))</f>
      </c>
      <c r="H13065">
        <f>IF(DATOS!$G13065&lt;&gt;"EX",0,--(COUNTIFS(nNIA,DATOS!$A13065,nCURSO,DATOS!$D13065,nESPEC,DATOS!$E13065,nASIG,DATOS!$I13065,nEVAL,"OR")=0))</f>
      </c>
      <c r="I13065">
        <f>IF(DATOS!$I13065="","",IFERROR(VLOOKUP(DATOS!$I13065,CONFIG_ASIGNATURAS!$B$2:$J$91,9,FALSE()),""))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IF(DATOS!$A13066="",0,IF(CONFIG_METADATA!$B$4&lt;&gt;"OR+EX",--(DATOS!$G13066=CONFIG_METADATA!$B$4),IF(DATOS!$G13066="EX",1,IF(DATOS!$G13066="OR",--(COUNTIFS(nNIA,DATOS!$A13066,nCURSO,DATOS!$D13066,nESPEC,DATOS!$E13066,nASIG,DATOS!$I13066,nEVAL,"EX")=0),0))))</f>
      </c>
      <c r="H13066">
        <f>IF(DATOS!$G13066&lt;&gt;"EX",0,--(COUNTIFS(nNIA,DATOS!$A13066,nCURSO,DATOS!$D13066,nESPEC,DATOS!$E13066,nASIG,DATOS!$I13066,nEVAL,"OR")=0))</f>
      </c>
      <c r="I13066">
        <f>IF(DATOS!$I13066="","",IFERROR(VLOOKUP(DATOS!$I13066,CONFIG_ASIGNATURAS!$B$2:$J$91,9,FALSE()),""))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IF(DATOS!$A13067="",0,IF(CONFIG_METADATA!$B$4&lt;&gt;"OR+EX",--(DATOS!$G13067=CONFIG_METADATA!$B$4),IF(DATOS!$G13067="EX",1,IF(DATOS!$G13067="OR",--(COUNTIFS(nNIA,DATOS!$A13067,nCURSO,DATOS!$D13067,nESPEC,DATOS!$E13067,nASIG,DATOS!$I13067,nEVAL,"EX")=0),0))))</f>
      </c>
      <c r="H13067">
        <f>IF(DATOS!$G13067&lt;&gt;"EX",0,--(COUNTIFS(nNIA,DATOS!$A13067,nCURSO,DATOS!$D13067,nESPEC,DATOS!$E13067,nASIG,DATOS!$I13067,nEVAL,"OR")=0))</f>
      </c>
      <c r="I13067">
        <f>IF(DATOS!$I13067="","",IFERROR(VLOOKUP(DATOS!$I13067,CONFIG_ASIGNATURAS!$B$2:$J$91,9,FALSE()),""))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IF(DATOS!$A13068="",0,IF(CONFIG_METADATA!$B$4&lt;&gt;"OR+EX",--(DATOS!$G13068=CONFIG_METADATA!$B$4),IF(DATOS!$G13068="EX",1,IF(DATOS!$G13068="OR",--(COUNTIFS(nNIA,DATOS!$A13068,nCURSO,DATOS!$D13068,nESPEC,DATOS!$E13068,nASIG,DATOS!$I13068,nEVAL,"EX")=0),0))))</f>
      </c>
      <c r="H13068">
        <f>IF(DATOS!$G13068&lt;&gt;"EX",0,--(COUNTIFS(nNIA,DATOS!$A13068,nCURSO,DATOS!$D13068,nESPEC,DATOS!$E13068,nASIG,DATOS!$I13068,nEVAL,"OR")=0))</f>
      </c>
      <c r="I13068">
        <f>IF(DATOS!$I13068="","",IFERROR(VLOOKUP(DATOS!$I13068,CONFIG_ASIGNATURAS!$B$2:$J$91,9,FALSE()),""))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IF(DATOS!$A13069="",0,IF(CONFIG_METADATA!$B$4&lt;&gt;"OR+EX",--(DATOS!$G13069=CONFIG_METADATA!$B$4),IF(DATOS!$G13069="EX",1,IF(DATOS!$G13069="OR",--(COUNTIFS(nNIA,DATOS!$A13069,nCURSO,DATOS!$D13069,nESPEC,DATOS!$E13069,nASIG,DATOS!$I13069,nEVAL,"EX")=0),0))))</f>
      </c>
      <c r="H13069">
        <f>IF(DATOS!$G13069&lt;&gt;"EX",0,--(COUNTIFS(nNIA,DATOS!$A13069,nCURSO,DATOS!$D13069,nESPEC,DATOS!$E13069,nASIG,DATOS!$I13069,nEVAL,"OR")=0))</f>
      </c>
      <c r="I13069">
        <f>IF(DATOS!$I13069="","",IFERROR(VLOOKUP(DATOS!$I13069,CONFIG_ASIGNATURAS!$B$2:$J$91,9,FALSE()),""))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IF(DATOS!$A13070="",0,IF(CONFIG_METADATA!$B$4&lt;&gt;"OR+EX",--(DATOS!$G13070=CONFIG_METADATA!$B$4),IF(DATOS!$G13070="EX",1,IF(DATOS!$G13070="OR",--(COUNTIFS(nNIA,DATOS!$A13070,nCURSO,DATOS!$D13070,nESPEC,DATOS!$E13070,nASIG,DATOS!$I13070,nEVAL,"EX")=0),0))))</f>
      </c>
      <c r="H13070">
        <f>IF(DATOS!$G13070&lt;&gt;"EX",0,--(COUNTIFS(nNIA,DATOS!$A13070,nCURSO,DATOS!$D13070,nESPEC,DATOS!$E13070,nASIG,DATOS!$I13070,nEVAL,"OR")=0))</f>
      </c>
      <c r="I13070">
        <f>IF(DATOS!$I13070="","",IFERROR(VLOOKUP(DATOS!$I13070,CONFIG_ASIGNATURAS!$B$2:$J$91,9,FALSE()),""))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IF(DATOS!$A13071="",0,IF(CONFIG_METADATA!$B$4&lt;&gt;"OR+EX",--(DATOS!$G13071=CONFIG_METADATA!$B$4),IF(DATOS!$G13071="EX",1,IF(DATOS!$G13071="OR",--(COUNTIFS(nNIA,DATOS!$A13071,nCURSO,DATOS!$D13071,nESPEC,DATOS!$E13071,nASIG,DATOS!$I13071,nEVAL,"EX")=0),0))))</f>
      </c>
      <c r="H13071">
        <f>IF(DATOS!$G13071&lt;&gt;"EX",0,--(COUNTIFS(nNIA,DATOS!$A13071,nCURSO,DATOS!$D13071,nESPEC,DATOS!$E13071,nASIG,DATOS!$I13071,nEVAL,"OR")=0))</f>
      </c>
      <c r="I13071">
        <f>IF(DATOS!$I13071="","",IFERROR(VLOOKUP(DATOS!$I13071,CONFIG_ASIGNATURAS!$B$2:$J$91,9,FALSE()),""))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IF(DATOS!$A13072="",0,IF(CONFIG_METADATA!$B$4&lt;&gt;"OR+EX",--(DATOS!$G13072=CONFIG_METADATA!$B$4),IF(DATOS!$G13072="EX",1,IF(DATOS!$G13072="OR",--(COUNTIFS(nNIA,DATOS!$A13072,nCURSO,DATOS!$D13072,nESPEC,DATOS!$E13072,nASIG,DATOS!$I13072,nEVAL,"EX")=0),0))))</f>
      </c>
      <c r="H13072">
        <f>IF(DATOS!$G13072&lt;&gt;"EX",0,--(COUNTIFS(nNIA,DATOS!$A13072,nCURSO,DATOS!$D13072,nESPEC,DATOS!$E13072,nASIG,DATOS!$I13072,nEVAL,"OR")=0))</f>
      </c>
      <c r="I13072">
        <f>IF(DATOS!$I13072="","",IFERROR(VLOOKUP(DATOS!$I13072,CONFIG_ASIGNATURAS!$B$2:$J$91,9,FALSE()),""))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IF(DATOS!$A13073="",0,IF(CONFIG_METADATA!$B$4&lt;&gt;"OR+EX",--(DATOS!$G13073=CONFIG_METADATA!$B$4),IF(DATOS!$G13073="EX",1,IF(DATOS!$G13073="OR",--(COUNTIFS(nNIA,DATOS!$A13073,nCURSO,DATOS!$D13073,nESPEC,DATOS!$E13073,nASIG,DATOS!$I13073,nEVAL,"EX")=0),0))))</f>
      </c>
      <c r="H13073">
        <f>IF(DATOS!$G13073&lt;&gt;"EX",0,--(COUNTIFS(nNIA,DATOS!$A13073,nCURSO,DATOS!$D13073,nESPEC,DATOS!$E13073,nASIG,DATOS!$I13073,nEVAL,"OR")=0))</f>
      </c>
      <c r="I13073">
        <f>IF(DATOS!$I13073="","",IFERROR(VLOOKUP(DATOS!$I13073,CONFIG_ASIGNATURAS!$B$2:$J$91,9,FALSE()),""))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IF(DATOS!$A13074="",0,IF(CONFIG_METADATA!$B$4&lt;&gt;"OR+EX",--(DATOS!$G13074=CONFIG_METADATA!$B$4),IF(DATOS!$G13074="EX",1,IF(DATOS!$G13074="OR",--(COUNTIFS(nNIA,DATOS!$A13074,nCURSO,DATOS!$D13074,nESPEC,DATOS!$E13074,nASIG,DATOS!$I13074,nEVAL,"EX")=0),0))))</f>
      </c>
      <c r="H13074">
        <f>IF(DATOS!$G13074&lt;&gt;"EX",0,--(COUNTIFS(nNIA,DATOS!$A13074,nCURSO,DATOS!$D13074,nESPEC,DATOS!$E13074,nASIG,DATOS!$I13074,nEVAL,"OR")=0))</f>
      </c>
      <c r="I13074">
        <f>IF(DATOS!$I13074="","",IFERROR(VLOOKUP(DATOS!$I13074,CONFIG_ASIGNATURAS!$B$2:$J$91,9,FALSE()),""))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IF(DATOS!$A13075="",0,IF(CONFIG_METADATA!$B$4&lt;&gt;"OR+EX",--(DATOS!$G13075=CONFIG_METADATA!$B$4),IF(DATOS!$G13075="EX",1,IF(DATOS!$G13075="OR",--(COUNTIFS(nNIA,DATOS!$A13075,nCURSO,DATOS!$D13075,nESPEC,DATOS!$E13075,nASIG,DATOS!$I13075,nEVAL,"EX")=0),0))))</f>
      </c>
      <c r="H13075">
        <f>IF(DATOS!$G13075&lt;&gt;"EX",0,--(COUNTIFS(nNIA,DATOS!$A13075,nCURSO,DATOS!$D13075,nESPEC,DATOS!$E13075,nASIG,DATOS!$I13075,nEVAL,"OR")=0))</f>
      </c>
      <c r="I13075">
        <f>IF(DATOS!$I13075="","",IFERROR(VLOOKUP(DATOS!$I13075,CONFIG_ASIGNATURAS!$B$2:$J$91,9,FALSE()),""))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IF(DATOS!$A13076="",0,IF(CONFIG_METADATA!$B$4&lt;&gt;"OR+EX",--(DATOS!$G13076=CONFIG_METADATA!$B$4),IF(DATOS!$G13076="EX",1,IF(DATOS!$G13076="OR",--(COUNTIFS(nNIA,DATOS!$A13076,nCURSO,DATOS!$D13076,nESPEC,DATOS!$E13076,nASIG,DATOS!$I13076,nEVAL,"EX")=0),0))))</f>
      </c>
      <c r="H13076">
        <f>IF(DATOS!$G13076&lt;&gt;"EX",0,--(COUNTIFS(nNIA,DATOS!$A13076,nCURSO,DATOS!$D13076,nESPEC,DATOS!$E13076,nASIG,DATOS!$I13076,nEVAL,"OR")=0))</f>
      </c>
      <c r="I13076">
        <f>IF(DATOS!$I13076="","",IFERROR(VLOOKUP(DATOS!$I13076,CONFIG_ASIGNATURAS!$B$2:$J$91,9,FALSE()),""))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IF(DATOS!$A13077="",0,IF(CONFIG_METADATA!$B$4&lt;&gt;"OR+EX",--(DATOS!$G13077=CONFIG_METADATA!$B$4),IF(DATOS!$G13077="EX",1,IF(DATOS!$G13077="OR",--(COUNTIFS(nNIA,DATOS!$A13077,nCURSO,DATOS!$D13077,nESPEC,DATOS!$E13077,nASIG,DATOS!$I13077,nEVAL,"EX")=0),0))))</f>
      </c>
      <c r="H13077">
        <f>IF(DATOS!$G13077&lt;&gt;"EX",0,--(COUNTIFS(nNIA,DATOS!$A13077,nCURSO,DATOS!$D13077,nESPEC,DATOS!$E13077,nASIG,DATOS!$I13077,nEVAL,"OR")=0))</f>
      </c>
      <c r="I13077">
        <f>IF(DATOS!$I13077="","",IFERROR(VLOOKUP(DATOS!$I13077,CONFIG_ASIGNATURAS!$B$2:$J$91,9,FALSE()),""))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IF(DATOS!$A13078="",0,IF(CONFIG_METADATA!$B$4&lt;&gt;"OR+EX",--(DATOS!$G13078=CONFIG_METADATA!$B$4),IF(DATOS!$G13078="EX",1,IF(DATOS!$G13078="OR",--(COUNTIFS(nNIA,DATOS!$A13078,nCURSO,DATOS!$D13078,nESPEC,DATOS!$E13078,nASIG,DATOS!$I13078,nEVAL,"EX")=0),0))))</f>
      </c>
      <c r="H13078">
        <f>IF(DATOS!$G13078&lt;&gt;"EX",0,--(COUNTIFS(nNIA,DATOS!$A13078,nCURSO,DATOS!$D13078,nESPEC,DATOS!$E13078,nASIG,DATOS!$I13078,nEVAL,"OR")=0))</f>
      </c>
      <c r="I13078">
        <f>IF(DATOS!$I13078="","",IFERROR(VLOOKUP(DATOS!$I13078,CONFIG_ASIGNATURAS!$B$2:$J$91,9,FALSE()),""))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IF(DATOS!$A13079="",0,IF(CONFIG_METADATA!$B$4&lt;&gt;"OR+EX",--(DATOS!$G13079=CONFIG_METADATA!$B$4),IF(DATOS!$G13079="EX",1,IF(DATOS!$G13079="OR",--(COUNTIFS(nNIA,DATOS!$A13079,nCURSO,DATOS!$D13079,nESPEC,DATOS!$E13079,nASIG,DATOS!$I13079,nEVAL,"EX")=0),0))))</f>
      </c>
      <c r="H13079">
        <f>IF(DATOS!$G13079&lt;&gt;"EX",0,--(COUNTIFS(nNIA,DATOS!$A13079,nCURSO,DATOS!$D13079,nESPEC,DATOS!$E13079,nASIG,DATOS!$I13079,nEVAL,"OR")=0))</f>
      </c>
      <c r="I13079">
        <f>IF(DATOS!$I13079="","",IFERROR(VLOOKUP(DATOS!$I13079,CONFIG_ASIGNATURAS!$B$2:$J$91,9,FALSE()),""))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IF(DATOS!$A13080="",0,IF(CONFIG_METADATA!$B$4&lt;&gt;"OR+EX",--(DATOS!$G13080=CONFIG_METADATA!$B$4),IF(DATOS!$G13080="EX",1,IF(DATOS!$G13080="OR",--(COUNTIFS(nNIA,DATOS!$A13080,nCURSO,DATOS!$D13080,nESPEC,DATOS!$E13080,nASIG,DATOS!$I13080,nEVAL,"EX")=0),0))))</f>
      </c>
      <c r="H13080">
        <f>IF(DATOS!$G13080&lt;&gt;"EX",0,--(COUNTIFS(nNIA,DATOS!$A13080,nCURSO,DATOS!$D13080,nESPEC,DATOS!$E13080,nASIG,DATOS!$I13080,nEVAL,"OR")=0))</f>
      </c>
      <c r="I13080">
        <f>IF(DATOS!$I13080="","",IFERROR(VLOOKUP(DATOS!$I13080,CONFIG_ASIGNATURAS!$B$2:$J$91,9,FALSE()),""))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IF(DATOS!$A13081="",0,IF(CONFIG_METADATA!$B$4&lt;&gt;"OR+EX",--(DATOS!$G13081=CONFIG_METADATA!$B$4),IF(DATOS!$G13081="EX",1,IF(DATOS!$G13081="OR",--(COUNTIFS(nNIA,DATOS!$A13081,nCURSO,DATOS!$D13081,nESPEC,DATOS!$E13081,nASIG,DATOS!$I13081,nEVAL,"EX")=0),0))))</f>
      </c>
      <c r="H13081">
        <f>IF(DATOS!$G13081&lt;&gt;"EX",0,--(COUNTIFS(nNIA,DATOS!$A13081,nCURSO,DATOS!$D13081,nESPEC,DATOS!$E13081,nASIG,DATOS!$I13081,nEVAL,"OR")=0))</f>
      </c>
      <c r="I13081">
        <f>IF(DATOS!$I13081="","",IFERROR(VLOOKUP(DATOS!$I13081,CONFIG_ASIGNATURAS!$B$2:$J$91,9,FALSE()),""))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IF(DATOS!$A13082="",0,IF(CONFIG_METADATA!$B$4&lt;&gt;"OR+EX",--(DATOS!$G13082=CONFIG_METADATA!$B$4),IF(DATOS!$G13082="EX",1,IF(DATOS!$G13082="OR",--(COUNTIFS(nNIA,DATOS!$A13082,nCURSO,DATOS!$D13082,nESPEC,DATOS!$E13082,nASIG,DATOS!$I13082,nEVAL,"EX")=0),0))))</f>
      </c>
      <c r="H13082">
        <f>IF(DATOS!$G13082&lt;&gt;"EX",0,--(COUNTIFS(nNIA,DATOS!$A13082,nCURSO,DATOS!$D13082,nESPEC,DATOS!$E13082,nASIG,DATOS!$I13082,nEVAL,"OR")=0))</f>
      </c>
      <c r="I13082">
        <f>IF(DATOS!$I13082="","",IFERROR(VLOOKUP(DATOS!$I13082,CONFIG_ASIGNATURAS!$B$2:$J$91,9,FALSE()),""))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IF(DATOS!$A13083="",0,IF(CONFIG_METADATA!$B$4&lt;&gt;"OR+EX",--(DATOS!$G13083=CONFIG_METADATA!$B$4),IF(DATOS!$G13083="EX",1,IF(DATOS!$G13083="OR",--(COUNTIFS(nNIA,DATOS!$A13083,nCURSO,DATOS!$D13083,nESPEC,DATOS!$E13083,nASIG,DATOS!$I13083,nEVAL,"EX")=0),0))))</f>
      </c>
      <c r="H13083">
        <f>IF(DATOS!$G13083&lt;&gt;"EX",0,--(COUNTIFS(nNIA,DATOS!$A13083,nCURSO,DATOS!$D13083,nESPEC,DATOS!$E13083,nASIG,DATOS!$I13083,nEVAL,"OR")=0))</f>
      </c>
      <c r="I13083">
        <f>IF(DATOS!$I13083="","",IFERROR(VLOOKUP(DATOS!$I13083,CONFIG_ASIGNATURAS!$B$2:$J$91,9,FALSE()),""))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IF(DATOS!$A13084="",0,IF(CONFIG_METADATA!$B$4&lt;&gt;"OR+EX",--(DATOS!$G13084=CONFIG_METADATA!$B$4),IF(DATOS!$G13084="EX",1,IF(DATOS!$G13084="OR",--(COUNTIFS(nNIA,DATOS!$A13084,nCURSO,DATOS!$D13084,nESPEC,DATOS!$E13084,nASIG,DATOS!$I13084,nEVAL,"EX")=0),0))))</f>
      </c>
      <c r="H13084">
        <f>IF(DATOS!$G13084&lt;&gt;"EX",0,--(COUNTIFS(nNIA,DATOS!$A13084,nCURSO,DATOS!$D13084,nESPEC,DATOS!$E13084,nASIG,DATOS!$I13084,nEVAL,"OR")=0))</f>
      </c>
      <c r="I13084">
        <f>IF(DATOS!$I13084="","",IFERROR(VLOOKUP(DATOS!$I13084,CONFIG_ASIGNATURAS!$B$2:$J$91,9,FALSE()),""))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IF(DATOS!$A13085="",0,IF(CONFIG_METADATA!$B$4&lt;&gt;"OR+EX",--(DATOS!$G13085=CONFIG_METADATA!$B$4),IF(DATOS!$G13085="EX",1,IF(DATOS!$G13085="OR",--(COUNTIFS(nNIA,DATOS!$A13085,nCURSO,DATOS!$D13085,nESPEC,DATOS!$E13085,nASIG,DATOS!$I13085,nEVAL,"EX")=0),0))))</f>
      </c>
      <c r="H13085">
        <f>IF(DATOS!$G13085&lt;&gt;"EX",0,--(COUNTIFS(nNIA,DATOS!$A13085,nCURSO,DATOS!$D13085,nESPEC,DATOS!$E13085,nASIG,DATOS!$I13085,nEVAL,"OR")=0))</f>
      </c>
      <c r="I13085">
        <f>IF(DATOS!$I13085="","",IFERROR(VLOOKUP(DATOS!$I13085,CONFIG_ASIGNATURAS!$B$2:$J$91,9,FALSE()),""))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IF(DATOS!$A13086="",0,IF(CONFIG_METADATA!$B$4&lt;&gt;"OR+EX",--(DATOS!$G13086=CONFIG_METADATA!$B$4),IF(DATOS!$G13086="EX",1,IF(DATOS!$G13086="OR",--(COUNTIFS(nNIA,DATOS!$A13086,nCURSO,DATOS!$D13086,nESPEC,DATOS!$E13086,nASIG,DATOS!$I13086,nEVAL,"EX")=0),0))))</f>
      </c>
      <c r="H13086">
        <f>IF(DATOS!$G13086&lt;&gt;"EX",0,--(COUNTIFS(nNIA,DATOS!$A13086,nCURSO,DATOS!$D13086,nESPEC,DATOS!$E13086,nASIG,DATOS!$I13086,nEVAL,"OR")=0))</f>
      </c>
      <c r="I13086">
        <f>IF(DATOS!$I13086="","",IFERROR(VLOOKUP(DATOS!$I13086,CONFIG_ASIGNATURAS!$B$2:$J$91,9,FALSE()),""))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IF(DATOS!$A13087="",0,IF(CONFIG_METADATA!$B$4&lt;&gt;"OR+EX",--(DATOS!$G13087=CONFIG_METADATA!$B$4),IF(DATOS!$G13087="EX",1,IF(DATOS!$G13087="OR",--(COUNTIFS(nNIA,DATOS!$A13087,nCURSO,DATOS!$D13087,nESPEC,DATOS!$E13087,nASIG,DATOS!$I13087,nEVAL,"EX")=0),0))))</f>
      </c>
      <c r="H13087">
        <f>IF(DATOS!$G13087&lt;&gt;"EX",0,--(COUNTIFS(nNIA,DATOS!$A13087,nCURSO,DATOS!$D13087,nESPEC,DATOS!$E13087,nASIG,DATOS!$I13087,nEVAL,"OR")=0))</f>
      </c>
      <c r="I13087">
        <f>IF(DATOS!$I13087="","",IFERROR(VLOOKUP(DATOS!$I13087,CONFIG_ASIGNATURAS!$B$2:$J$91,9,FALSE()),""))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IF(DATOS!$A13088="",0,IF(CONFIG_METADATA!$B$4&lt;&gt;"OR+EX",--(DATOS!$G13088=CONFIG_METADATA!$B$4),IF(DATOS!$G13088="EX",1,IF(DATOS!$G13088="OR",--(COUNTIFS(nNIA,DATOS!$A13088,nCURSO,DATOS!$D13088,nESPEC,DATOS!$E13088,nASIG,DATOS!$I13088,nEVAL,"EX")=0),0))))</f>
      </c>
      <c r="H13088">
        <f>IF(DATOS!$G13088&lt;&gt;"EX",0,--(COUNTIFS(nNIA,DATOS!$A13088,nCURSO,DATOS!$D13088,nESPEC,DATOS!$E13088,nASIG,DATOS!$I13088,nEVAL,"OR")=0))</f>
      </c>
      <c r="I13088">
        <f>IF(DATOS!$I13088="","",IFERROR(VLOOKUP(DATOS!$I13088,CONFIG_ASIGNATURAS!$B$2:$J$91,9,FALSE()),""))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IF(DATOS!$A13089="",0,IF(CONFIG_METADATA!$B$4&lt;&gt;"OR+EX",--(DATOS!$G13089=CONFIG_METADATA!$B$4),IF(DATOS!$G13089="EX",1,IF(DATOS!$G13089="OR",--(COUNTIFS(nNIA,DATOS!$A13089,nCURSO,DATOS!$D13089,nESPEC,DATOS!$E13089,nASIG,DATOS!$I13089,nEVAL,"EX")=0),0))))</f>
      </c>
      <c r="H13089">
        <f>IF(DATOS!$G13089&lt;&gt;"EX",0,--(COUNTIFS(nNIA,DATOS!$A13089,nCURSO,DATOS!$D13089,nESPEC,DATOS!$E13089,nASIG,DATOS!$I13089,nEVAL,"OR")=0))</f>
      </c>
      <c r="I13089">
        <f>IF(DATOS!$I13089="","",IFERROR(VLOOKUP(DATOS!$I13089,CONFIG_ASIGNATURAS!$B$2:$J$91,9,FALSE()),""))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IF(DATOS!$A13090="",0,IF(CONFIG_METADATA!$B$4&lt;&gt;"OR+EX",--(DATOS!$G13090=CONFIG_METADATA!$B$4),IF(DATOS!$G13090="EX",1,IF(DATOS!$G13090="OR",--(COUNTIFS(nNIA,DATOS!$A13090,nCURSO,DATOS!$D13090,nESPEC,DATOS!$E13090,nASIG,DATOS!$I13090,nEVAL,"EX")=0),0))))</f>
      </c>
      <c r="H13090">
        <f>IF(DATOS!$G13090&lt;&gt;"EX",0,--(COUNTIFS(nNIA,DATOS!$A13090,nCURSO,DATOS!$D13090,nESPEC,DATOS!$E13090,nASIG,DATOS!$I13090,nEVAL,"OR")=0))</f>
      </c>
      <c r="I13090">
        <f>IF(DATOS!$I13090="","",IFERROR(VLOOKUP(DATOS!$I13090,CONFIG_ASIGNATURAS!$B$2:$J$91,9,FALSE()),""))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IF(DATOS!$A13091="",0,IF(CONFIG_METADATA!$B$4&lt;&gt;"OR+EX",--(DATOS!$G13091=CONFIG_METADATA!$B$4),IF(DATOS!$G13091="EX",1,IF(DATOS!$G13091="OR",--(COUNTIFS(nNIA,DATOS!$A13091,nCURSO,DATOS!$D13091,nESPEC,DATOS!$E13091,nASIG,DATOS!$I13091,nEVAL,"EX")=0),0))))</f>
      </c>
      <c r="H13091">
        <f>IF(DATOS!$G13091&lt;&gt;"EX",0,--(COUNTIFS(nNIA,DATOS!$A13091,nCURSO,DATOS!$D13091,nESPEC,DATOS!$E13091,nASIG,DATOS!$I13091,nEVAL,"OR")=0))</f>
      </c>
      <c r="I13091">
        <f>IF(DATOS!$I13091="","",IFERROR(VLOOKUP(DATOS!$I13091,CONFIG_ASIGNATURAS!$B$2:$J$91,9,FALSE()),""))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IF(DATOS!$A13092="",0,IF(CONFIG_METADATA!$B$4&lt;&gt;"OR+EX",--(DATOS!$G13092=CONFIG_METADATA!$B$4),IF(DATOS!$G13092="EX",1,IF(DATOS!$G13092="OR",--(COUNTIFS(nNIA,DATOS!$A13092,nCURSO,DATOS!$D13092,nESPEC,DATOS!$E13092,nASIG,DATOS!$I13092,nEVAL,"EX")=0),0))))</f>
      </c>
      <c r="H13092">
        <f>IF(DATOS!$G13092&lt;&gt;"EX",0,--(COUNTIFS(nNIA,DATOS!$A13092,nCURSO,DATOS!$D13092,nESPEC,DATOS!$E13092,nASIG,DATOS!$I13092,nEVAL,"OR")=0))</f>
      </c>
      <c r="I13092">
        <f>IF(DATOS!$I13092="","",IFERROR(VLOOKUP(DATOS!$I13092,CONFIG_ASIGNATURAS!$B$2:$J$91,9,FALSE()),""))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IF(DATOS!$A13093="",0,IF(CONFIG_METADATA!$B$4&lt;&gt;"OR+EX",--(DATOS!$G13093=CONFIG_METADATA!$B$4),IF(DATOS!$G13093="EX",1,IF(DATOS!$G13093="OR",--(COUNTIFS(nNIA,DATOS!$A13093,nCURSO,DATOS!$D13093,nESPEC,DATOS!$E13093,nASIG,DATOS!$I13093,nEVAL,"EX")=0),0))))</f>
      </c>
      <c r="H13093">
        <f>IF(DATOS!$G13093&lt;&gt;"EX",0,--(COUNTIFS(nNIA,DATOS!$A13093,nCURSO,DATOS!$D13093,nESPEC,DATOS!$E13093,nASIG,DATOS!$I13093,nEVAL,"OR")=0))</f>
      </c>
      <c r="I13093">
        <f>IF(DATOS!$I13093="","",IFERROR(VLOOKUP(DATOS!$I13093,CONFIG_ASIGNATURAS!$B$2:$J$91,9,FALSE()),""))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IF(DATOS!$A13094="",0,IF(CONFIG_METADATA!$B$4&lt;&gt;"OR+EX",--(DATOS!$G13094=CONFIG_METADATA!$B$4),IF(DATOS!$G13094="EX",1,IF(DATOS!$G13094="OR",--(COUNTIFS(nNIA,DATOS!$A13094,nCURSO,DATOS!$D13094,nESPEC,DATOS!$E13094,nASIG,DATOS!$I13094,nEVAL,"EX")=0),0))))</f>
      </c>
      <c r="H13094">
        <f>IF(DATOS!$G13094&lt;&gt;"EX",0,--(COUNTIFS(nNIA,DATOS!$A13094,nCURSO,DATOS!$D13094,nESPEC,DATOS!$E13094,nASIG,DATOS!$I13094,nEVAL,"OR")=0))</f>
      </c>
      <c r="I13094">
        <f>IF(DATOS!$I13094="","",IFERROR(VLOOKUP(DATOS!$I13094,CONFIG_ASIGNATURAS!$B$2:$J$91,9,FALSE()),""))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IF(DATOS!$A13095="",0,IF(CONFIG_METADATA!$B$4&lt;&gt;"OR+EX",--(DATOS!$G13095=CONFIG_METADATA!$B$4),IF(DATOS!$G13095="EX",1,IF(DATOS!$G13095="OR",--(COUNTIFS(nNIA,DATOS!$A13095,nCURSO,DATOS!$D13095,nESPEC,DATOS!$E13095,nASIG,DATOS!$I13095,nEVAL,"EX")=0),0))))</f>
      </c>
      <c r="H13095">
        <f>IF(DATOS!$G13095&lt;&gt;"EX",0,--(COUNTIFS(nNIA,DATOS!$A13095,nCURSO,DATOS!$D13095,nESPEC,DATOS!$E13095,nASIG,DATOS!$I13095,nEVAL,"OR")=0))</f>
      </c>
      <c r="I13095">
        <f>IF(DATOS!$I13095="","",IFERROR(VLOOKUP(DATOS!$I13095,CONFIG_ASIGNATURAS!$B$2:$J$91,9,FALSE()),""))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IF(DATOS!$A13096="",0,IF(CONFIG_METADATA!$B$4&lt;&gt;"OR+EX",--(DATOS!$G13096=CONFIG_METADATA!$B$4),IF(DATOS!$G13096="EX",1,IF(DATOS!$G13096="OR",--(COUNTIFS(nNIA,DATOS!$A13096,nCURSO,DATOS!$D13096,nESPEC,DATOS!$E13096,nASIG,DATOS!$I13096,nEVAL,"EX")=0),0))))</f>
      </c>
      <c r="H13096">
        <f>IF(DATOS!$G13096&lt;&gt;"EX",0,--(COUNTIFS(nNIA,DATOS!$A13096,nCURSO,DATOS!$D13096,nESPEC,DATOS!$E13096,nASIG,DATOS!$I13096,nEVAL,"OR")=0))</f>
      </c>
      <c r="I13096">
        <f>IF(DATOS!$I13096="","",IFERROR(VLOOKUP(DATOS!$I13096,CONFIG_ASIGNATURAS!$B$2:$J$91,9,FALSE()),""))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IF(DATOS!$A13097="",0,IF(CONFIG_METADATA!$B$4&lt;&gt;"OR+EX",--(DATOS!$G13097=CONFIG_METADATA!$B$4),IF(DATOS!$G13097="EX",1,IF(DATOS!$G13097="OR",--(COUNTIFS(nNIA,DATOS!$A13097,nCURSO,DATOS!$D13097,nESPEC,DATOS!$E13097,nASIG,DATOS!$I13097,nEVAL,"EX")=0),0))))</f>
      </c>
      <c r="H13097">
        <f>IF(DATOS!$G13097&lt;&gt;"EX",0,--(COUNTIFS(nNIA,DATOS!$A13097,nCURSO,DATOS!$D13097,nESPEC,DATOS!$E13097,nASIG,DATOS!$I13097,nEVAL,"OR")=0))</f>
      </c>
      <c r="I13097">
        <f>IF(DATOS!$I13097="","",IFERROR(VLOOKUP(DATOS!$I13097,CONFIG_ASIGNATURAS!$B$2:$J$91,9,FALSE()),""))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IF(DATOS!$A13098="",0,IF(CONFIG_METADATA!$B$4&lt;&gt;"OR+EX",--(DATOS!$G13098=CONFIG_METADATA!$B$4),IF(DATOS!$G13098="EX",1,IF(DATOS!$G13098="OR",--(COUNTIFS(nNIA,DATOS!$A13098,nCURSO,DATOS!$D13098,nESPEC,DATOS!$E13098,nASIG,DATOS!$I13098,nEVAL,"EX")=0),0))))</f>
      </c>
      <c r="H13098">
        <f>IF(DATOS!$G13098&lt;&gt;"EX",0,--(COUNTIFS(nNIA,DATOS!$A13098,nCURSO,DATOS!$D13098,nESPEC,DATOS!$E13098,nASIG,DATOS!$I13098,nEVAL,"OR")=0))</f>
      </c>
      <c r="I13098">
        <f>IF(DATOS!$I13098="","",IFERROR(VLOOKUP(DATOS!$I13098,CONFIG_ASIGNATURAS!$B$2:$J$91,9,FALSE()),""))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IF(DATOS!$A13099="",0,IF(CONFIG_METADATA!$B$4&lt;&gt;"OR+EX",--(DATOS!$G13099=CONFIG_METADATA!$B$4),IF(DATOS!$G13099="EX",1,IF(DATOS!$G13099="OR",--(COUNTIFS(nNIA,DATOS!$A13099,nCURSO,DATOS!$D13099,nESPEC,DATOS!$E13099,nASIG,DATOS!$I13099,nEVAL,"EX")=0),0))))</f>
      </c>
      <c r="H13099">
        <f>IF(DATOS!$G13099&lt;&gt;"EX",0,--(COUNTIFS(nNIA,DATOS!$A13099,nCURSO,DATOS!$D13099,nESPEC,DATOS!$E13099,nASIG,DATOS!$I13099,nEVAL,"OR")=0))</f>
      </c>
      <c r="I13099">
        <f>IF(DATOS!$I13099="","",IFERROR(VLOOKUP(DATOS!$I13099,CONFIG_ASIGNATURAS!$B$2:$J$91,9,FALSE()),""))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IF(DATOS!$A13100="",0,IF(CONFIG_METADATA!$B$4&lt;&gt;"OR+EX",--(DATOS!$G13100=CONFIG_METADATA!$B$4),IF(DATOS!$G13100="EX",1,IF(DATOS!$G13100="OR",--(COUNTIFS(nNIA,DATOS!$A13100,nCURSO,DATOS!$D13100,nESPEC,DATOS!$E13100,nASIG,DATOS!$I13100,nEVAL,"EX")=0),0))))</f>
      </c>
      <c r="H13100">
        <f>IF(DATOS!$G13100&lt;&gt;"EX",0,--(COUNTIFS(nNIA,DATOS!$A13100,nCURSO,DATOS!$D13100,nESPEC,DATOS!$E13100,nASIG,DATOS!$I13100,nEVAL,"OR")=0))</f>
      </c>
      <c r="I13100">
        <f>IF(DATOS!$I13100="","",IFERROR(VLOOKUP(DATOS!$I13100,CONFIG_ASIGNATURAS!$B$2:$J$91,9,FALSE()),""))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IF(DATOS!$A13101="",0,IF(CONFIG_METADATA!$B$4&lt;&gt;"OR+EX",--(DATOS!$G13101=CONFIG_METADATA!$B$4),IF(DATOS!$G13101="EX",1,IF(DATOS!$G13101="OR",--(COUNTIFS(nNIA,DATOS!$A13101,nCURSO,DATOS!$D13101,nESPEC,DATOS!$E13101,nASIG,DATOS!$I13101,nEVAL,"EX")=0),0))))</f>
      </c>
      <c r="H13101">
        <f>IF(DATOS!$G13101&lt;&gt;"EX",0,--(COUNTIFS(nNIA,DATOS!$A13101,nCURSO,DATOS!$D13101,nESPEC,DATOS!$E13101,nASIG,DATOS!$I13101,nEVAL,"OR")=0))</f>
      </c>
      <c r="I13101">
        <f>IF(DATOS!$I13101="","",IFERROR(VLOOKUP(DATOS!$I13101,CONFIG_ASIGNATURAS!$B$2:$J$91,9,FALSE()),""))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IF(DATOS!$A13102="",0,IF(CONFIG_METADATA!$B$4&lt;&gt;"OR+EX",--(DATOS!$G13102=CONFIG_METADATA!$B$4),IF(DATOS!$G13102="EX",1,IF(DATOS!$G13102="OR",--(COUNTIFS(nNIA,DATOS!$A13102,nCURSO,DATOS!$D13102,nESPEC,DATOS!$E13102,nASIG,DATOS!$I13102,nEVAL,"EX")=0),0))))</f>
      </c>
      <c r="H13102">
        <f>IF(DATOS!$G13102&lt;&gt;"EX",0,--(COUNTIFS(nNIA,DATOS!$A13102,nCURSO,DATOS!$D13102,nESPEC,DATOS!$E13102,nASIG,DATOS!$I13102,nEVAL,"OR")=0))</f>
      </c>
      <c r="I13102">
        <f>IF(DATOS!$I13102="","",IFERROR(VLOOKUP(DATOS!$I13102,CONFIG_ASIGNATURAS!$B$2:$J$91,9,FALSE()),""))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IF(DATOS!$A13103="",0,IF(CONFIG_METADATA!$B$4&lt;&gt;"OR+EX",--(DATOS!$G13103=CONFIG_METADATA!$B$4),IF(DATOS!$G13103="EX",1,IF(DATOS!$G13103="OR",--(COUNTIFS(nNIA,DATOS!$A13103,nCURSO,DATOS!$D13103,nESPEC,DATOS!$E13103,nASIG,DATOS!$I13103,nEVAL,"EX")=0),0))))</f>
      </c>
      <c r="H13103">
        <f>IF(DATOS!$G13103&lt;&gt;"EX",0,--(COUNTIFS(nNIA,DATOS!$A13103,nCURSO,DATOS!$D13103,nESPEC,DATOS!$E13103,nASIG,DATOS!$I13103,nEVAL,"OR")=0))</f>
      </c>
      <c r="I13103">
        <f>IF(DATOS!$I13103="","",IFERROR(VLOOKUP(DATOS!$I13103,CONFIG_ASIGNATURAS!$B$2:$J$91,9,FALSE()),""))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IF(DATOS!$A13104="",0,IF(CONFIG_METADATA!$B$4&lt;&gt;"OR+EX",--(DATOS!$G13104=CONFIG_METADATA!$B$4),IF(DATOS!$G13104="EX",1,IF(DATOS!$G13104="OR",--(COUNTIFS(nNIA,DATOS!$A13104,nCURSO,DATOS!$D13104,nESPEC,DATOS!$E13104,nASIG,DATOS!$I13104,nEVAL,"EX")=0),0))))</f>
      </c>
      <c r="H13104">
        <f>IF(DATOS!$G13104&lt;&gt;"EX",0,--(COUNTIFS(nNIA,DATOS!$A13104,nCURSO,DATOS!$D13104,nESPEC,DATOS!$E13104,nASIG,DATOS!$I13104,nEVAL,"OR")=0))</f>
      </c>
      <c r="I13104">
        <f>IF(DATOS!$I13104="","",IFERROR(VLOOKUP(DATOS!$I13104,CONFIG_ASIGNATURAS!$B$2:$J$91,9,FALSE()),""))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IF(DATOS!$A13105="",0,IF(CONFIG_METADATA!$B$4&lt;&gt;"OR+EX",--(DATOS!$G13105=CONFIG_METADATA!$B$4),IF(DATOS!$G13105="EX",1,IF(DATOS!$G13105="OR",--(COUNTIFS(nNIA,DATOS!$A13105,nCURSO,DATOS!$D13105,nESPEC,DATOS!$E13105,nASIG,DATOS!$I13105,nEVAL,"EX")=0),0))))</f>
      </c>
      <c r="H13105">
        <f>IF(DATOS!$G13105&lt;&gt;"EX",0,--(COUNTIFS(nNIA,DATOS!$A13105,nCURSO,DATOS!$D13105,nESPEC,DATOS!$E13105,nASIG,DATOS!$I13105,nEVAL,"OR")=0))</f>
      </c>
      <c r="I13105">
        <f>IF(DATOS!$I13105="","",IFERROR(VLOOKUP(DATOS!$I13105,CONFIG_ASIGNATURAS!$B$2:$J$91,9,FALSE()),""))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IF(DATOS!$A13106="",0,IF(CONFIG_METADATA!$B$4&lt;&gt;"OR+EX",--(DATOS!$G13106=CONFIG_METADATA!$B$4),IF(DATOS!$G13106="EX",1,IF(DATOS!$G13106="OR",--(COUNTIFS(nNIA,DATOS!$A13106,nCURSO,DATOS!$D13106,nESPEC,DATOS!$E13106,nASIG,DATOS!$I13106,nEVAL,"EX")=0),0))))</f>
      </c>
      <c r="H13106">
        <f>IF(DATOS!$G13106&lt;&gt;"EX",0,--(COUNTIFS(nNIA,DATOS!$A13106,nCURSO,DATOS!$D13106,nESPEC,DATOS!$E13106,nASIG,DATOS!$I13106,nEVAL,"OR")=0))</f>
      </c>
      <c r="I13106">
        <f>IF(DATOS!$I13106="","",IFERROR(VLOOKUP(DATOS!$I13106,CONFIG_ASIGNATURAS!$B$2:$J$91,9,FALSE()),""))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IF(DATOS!$A13107="",0,IF(CONFIG_METADATA!$B$4&lt;&gt;"OR+EX",--(DATOS!$G13107=CONFIG_METADATA!$B$4),IF(DATOS!$G13107="EX",1,IF(DATOS!$G13107="OR",--(COUNTIFS(nNIA,DATOS!$A13107,nCURSO,DATOS!$D13107,nESPEC,DATOS!$E13107,nASIG,DATOS!$I13107,nEVAL,"EX")=0),0))))</f>
      </c>
      <c r="H13107">
        <f>IF(DATOS!$G13107&lt;&gt;"EX",0,--(COUNTIFS(nNIA,DATOS!$A13107,nCURSO,DATOS!$D13107,nESPEC,DATOS!$E13107,nASIG,DATOS!$I13107,nEVAL,"OR")=0))</f>
      </c>
      <c r="I13107">
        <f>IF(DATOS!$I13107="","",IFERROR(VLOOKUP(DATOS!$I13107,CONFIG_ASIGNATURAS!$B$2:$J$91,9,FALSE()),""))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IF(DATOS!$A13108="",0,IF(CONFIG_METADATA!$B$4&lt;&gt;"OR+EX",--(DATOS!$G13108=CONFIG_METADATA!$B$4),IF(DATOS!$G13108="EX",1,IF(DATOS!$G13108="OR",--(COUNTIFS(nNIA,DATOS!$A13108,nCURSO,DATOS!$D13108,nESPEC,DATOS!$E13108,nASIG,DATOS!$I13108,nEVAL,"EX")=0),0))))</f>
      </c>
      <c r="H13108">
        <f>IF(DATOS!$G13108&lt;&gt;"EX",0,--(COUNTIFS(nNIA,DATOS!$A13108,nCURSO,DATOS!$D13108,nESPEC,DATOS!$E13108,nASIG,DATOS!$I13108,nEVAL,"OR")=0))</f>
      </c>
      <c r="I13108">
        <f>IF(DATOS!$I13108="","",IFERROR(VLOOKUP(DATOS!$I13108,CONFIG_ASIGNATURAS!$B$2:$J$91,9,FALSE()),""))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IF(DATOS!$A13109="",0,IF(CONFIG_METADATA!$B$4&lt;&gt;"OR+EX",--(DATOS!$G13109=CONFIG_METADATA!$B$4),IF(DATOS!$G13109="EX",1,IF(DATOS!$G13109="OR",--(COUNTIFS(nNIA,DATOS!$A13109,nCURSO,DATOS!$D13109,nESPEC,DATOS!$E13109,nASIG,DATOS!$I13109,nEVAL,"EX")=0),0))))</f>
      </c>
      <c r="H13109">
        <f>IF(DATOS!$G13109&lt;&gt;"EX",0,--(COUNTIFS(nNIA,DATOS!$A13109,nCURSO,DATOS!$D13109,nESPEC,DATOS!$E13109,nASIG,DATOS!$I13109,nEVAL,"OR")=0))</f>
      </c>
      <c r="I13109">
        <f>IF(DATOS!$I13109="","",IFERROR(VLOOKUP(DATOS!$I13109,CONFIG_ASIGNATURAS!$B$2:$J$91,9,FALSE()),""))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IF(DATOS!$A13110="",0,IF(CONFIG_METADATA!$B$4&lt;&gt;"OR+EX",--(DATOS!$G13110=CONFIG_METADATA!$B$4),IF(DATOS!$G13110="EX",1,IF(DATOS!$G13110="OR",--(COUNTIFS(nNIA,DATOS!$A13110,nCURSO,DATOS!$D13110,nESPEC,DATOS!$E13110,nASIG,DATOS!$I13110,nEVAL,"EX")=0),0))))</f>
      </c>
      <c r="H13110">
        <f>IF(DATOS!$G13110&lt;&gt;"EX",0,--(COUNTIFS(nNIA,DATOS!$A13110,nCURSO,DATOS!$D13110,nESPEC,DATOS!$E13110,nASIG,DATOS!$I13110,nEVAL,"OR")=0))</f>
      </c>
      <c r="I13110">
        <f>IF(DATOS!$I13110="","",IFERROR(VLOOKUP(DATOS!$I13110,CONFIG_ASIGNATURAS!$B$2:$J$91,9,FALSE()),""))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IF(DATOS!$A13111="",0,IF(CONFIG_METADATA!$B$4&lt;&gt;"OR+EX",--(DATOS!$G13111=CONFIG_METADATA!$B$4),IF(DATOS!$G13111="EX",1,IF(DATOS!$G13111="OR",--(COUNTIFS(nNIA,DATOS!$A13111,nCURSO,DATOS!$D13111,nESPEC,DATOS!$E13111,nASIG,DATOS!$I13111,nEVAL,"EX")=0),0))))</f>
      </c>
      <c r="H13111">
        <f>IF(DATOS!$G13111&lt;&gt;"EX",0,--(COUNTIFS(nNIA,DATOS!$A13111,nCURSO,DATOS!$D13111,nESPEC,DATOS!$E13111,nASIG,DATOS!$I13111,nEVAL,"OR")=0))</f>
      </c>
      <c r="I13111">
        <f>IF(DATOS!$I13111="","",IFERROR(VLOOKUP(DATOS!$I13111,CONFIG_ASIGNATURAS!$B$2:$J$91,9,FALSE()),""))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IF(DATOS!$A13112="",0,IF(CONFIG_METADATA!$B$4&lt;&gt;"OR+EX",--(DATOS!$G13112=CONFIG_METADATA!$B$4),IF(DATOS!$G13112="EX",1,IF(DATOS!$G13112="OR",--(COUNTIFS(nNIA,DATOS!$A13112,nCURSO,DATOS!$D13112,nESPEC,DATOS!$E13112,nASIG,DATOS!$I13112,nEVAL,"EX")=0),0))))</f>
      </c>
      <c r="H13112">
        <f>IF(DATOS!$G13112&lt;&gt;"EX",0,--(COUNTIFS(nNIA,DATOS!$A13112,nCURSO,DATOS!$D13112,nESPEC,DATOS!$E13112,nASIG,DATOS!$I13112,nEVAL,"OR")=0))</f>
      </c>
      <c r="I13112">
        <f>IF(DATOS!$I13112="","",IFERROR(VLOOKUP(DATOS!$I13112,CONFIG_ASIGNATURAS!$B$2:$J$91,9,FALSE()),""))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IF(DATOS!$A13113="",0,IF(CONFIG_METADATA!$B$4&lt;&gt;"OR+EX",--(DATOS!$G13113=CONFIG_METADATA!$B$4),IF(DATOS!$G13113="EX",1,IF(DATOS!$G13113="OR",--(COUNTIFS(nNIA,DATOS!$A13113,nCURSO,DATOS!$D13113,nESPEC,DATOS!$E13113,nASIG,DATOS!$I13113,nEVAL,"EX")=0),0))))</f>
      </c>
      <c r="H13113">
        <f>IF(DATOS!$G13113&lt;&gt;"EX",0,--(COUNTIFS(nNIA,DATOS!$A13113,nCURSO,DATOS!$D13113,nESPEC,DATOS!$E13113,nASIG,DATOS!$I13113,nEVAL,"OR")=0))</f>
      </c>
      <c r="I13113">
        <f>IF(DATOS!$I13113="","",IFERROR(VLOOKUP(DATOS!$I13113,CONFIG_ASIGNATURAS!$B$2:$J$91,9,FALSE()),""))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IF(DATOS!$A13114="",0,IF(CONFIG_METADATA!$B$4&lt;&gt;"OR+EX",--(DATOS!$G13114=CONFIG_METADATA!$B$4),IF(DATOS!$G13114="EX",1,IF(DATOS!$G13114="OR",--(COUNTIFS(nNIA,DATOS!$A13114,nCURSO,DATOS!$D13114,nESPEC,DATOS!$E13114,nASIG,DATOS!$I13114,nEVAL,"EX")=0),0))))</f>
      </c>
      <c r="H13114">
        <f>IF(DATOS!$G13114&lt;&gt;"EX",0,--(COUNTIFS(nNIA,DATOS!$A13114,nCURSO,DATOS!$D13114,nESPEC,DATOS!$E13114,nASIG,DATOS!$I13114,nEVAL,"OR")=0))</f>
      </c>
      <c r="I13114">
        <f>IF(DATOS!$I13114="","",IFERROR(VLOOKUP(DATOS!$I13114,CONFIG_ASIGNATURAS!$B$2:$J$91,9,FALSE()),""))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IF(DATOS!$A13115="",0,IF(CONFIG_METADATA!$B$4&lt;&gt;"OR+EX",--(DATOS!$G13115=CONFIG_METADATA!$B$4),IF(DATOS!$G13115="EX",1,IF(DATOS!$G13115="OR",--(COUNTIFS(nNIA,DATOS!$A13115,nCURSO,DATOS!$D13115,nESPEC,DATOS!$E13115,nASIG,DATOS!$I13115,nEVAL,"EX")=0),0))))</f>
      </c>
      <c r="H13115">
        <f>IF(DATOS!$G13115&lt;&gt;"EX",0,--(COUNTIFS(nNIA,DATOS!$A13115,nCURSO,DATOS!$D13115,nESPEC,DATOS!$E13115,nASIG,DATOS!$I13115,nEVAL,"OR")=0))</f>
      </c>
      <c r="I13115">
        <f>IF(DATOS!$I13115="","",IFERROR(VLOOKUP(DATOS!$I13115,CONFIG_ASIGNATURAS!$B$2:$J$91,9,FALSE()),""))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IF(DATOS!$A13116="",0,IF(CONFIG_METADATA!$B$4&lt;&gt;"OR+EX",--(DATOS!$G13116=CONFIG_METADATA!$B$4),IF(DATOS!$G13116="EX",1,IF(DATOS!$G13116="OR",--(COUNTIFS(nNIA,DATOS!$A13116,nCURSO,DATOS!$D13116,nESPEC,DATOS!$E13116,nASIG,DATOS!$I13116,nEVAL,"EX")=0),0))))</f>
      </c>
      <c r="H13116">
        <f>IF(DATOS!$G13116&lt;&gt;"EX",0,--(COUNTIFS(nNIA,DATOS!$A13116,nCURSO,DATOS!$D13116,nESPEC,DATOS!$E13116,nASIG,DATOS!$I13116,nEVAL,"OR")=0))</f>
      </c>
      <c r="I13116">
        <f>IF(DATOS!$I13116="","",IFERROR(VLOOKUP(DATOS!$I13116,CONFIG_ASIGNATURAS!$B$2:$J$91,9,FALSE()),""))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IF(DATOS!$A13117="",0,IF(CONFIG_METADATA!$B$4&lt;&gt;"OR+EX",--(DATOS!$G13117=CONFIG_METADATA!$B$4),IF(DATOS!$G13117="EX",1,IF(DATOS!$G13117="OR",--(COUNTIFS(nNIA,DATOS!$A13117,nCURSO,DATOS!$D13117,nESPEC,DATOS!$E13117,nASIG,DATOS!$I13117,nEVAL,"EX")=0),0))))</f>
      </c>
      <c r="H13117">
        <f>IF(DATOS!$G13117&lt;&gt;"EX",0,--(COUNTIFS(nNIA,DATOS!$A13117,nCURSO,DATOS!$D13117,nESPEC,DATOS!$E13117,nASIG,DATOS!$I13117,nEVAL,"OR")=0))</f>
      </c>
      <c r="I13117">
        <f>IF(DATOS!$I13117="","",IFERROR(VLOOKUP(DATOS!$I13117,CONFIG_ASIGNATURAS!$B$2:$J$91,9,FALSE()),""))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IF(DATOS!$A13118="",0,IF(CONFIG_METADATA!$B$4&lt;&gt;"OR+EX",--(DATOS!$G13118=CONFIG_METADATA!$B$4),IF(DATOS!$G13118="EX",1,IF(DATOS!$G13118="OR",--(COUNTIFS(nNIA,DATOS!$A13118,nCURSO,DATOS!$D13118,nESPEC,DATOS!$E13118,nASIG,DATOS!$I13118,nEVAL,"EX")=0),0))))</f>
      </c>
      <c r="H13118">
        <f>IF(DATOS!$G13118&lt;&gt;"EX",0,--(COUNTIFS(nNIA,DATOS!$A13118,nCURSO,DATOS!$D13118,nESPEC,DATOS!$E13118,nASIG,DATOS!$I13118,nEVAL,"OR")=0))</f>
      </c>
      <c r="I13118">
        <f>IF(DATOS!$I13118="","",IFERROR(VLOOKUP(DATOS!$I13118,CONFIG_ASIGNATURAS!$B$2:$J$91,9,FALSE()),""))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IF(DATOS!$A13119="",0,IF(CONFIG_METADATA!$B$4&lt;&gt;"OR+EX",--(DATOS!$G13119=CONFIG_METADATA!$B$4),IF(DATOS!$G13119="EX",1,IF(DATOS!$G13119="OR",--(COUNTIFS(nNIA,DATOS!$A13119,nCURSO,DATOS!$D13119,nESPEC,DATOS!$E13119,nASIG,DATOS!$I13119,nEVAL,"EX")=0),0))))</f>
      </c>
      <c r="H13119">
        <f>IF(DATOS!$G13119&lt;&gt;"EX",0,--(COUNTIFS(nNIA,DATOS!$A13119,nCURSO,DATOS!$D13119,nESPEC,DATOS!$E13119,nASIG,DATOS!$I13119,nEVAL,"OR")=0))</f>
      </c>
      <c r="I13119">
        <f>IF(DATOS!$I13119="","",IFERROR(VLOOKUP(DATOS!$I13119,CONFIG_ASIGNATURAS!$B$2:$J$91,9,FALSE()),""))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IF(DATOS!$A13120="",0,IF(CONFIG_METADATA!$B$4&lt;&gt;"OR+EX",--(DATOS!$G13120=CONFIG_METADATA!$B$4),IF(DATOS!$G13120="EX",1,IF(DATOS!$G13120="OR",--(COUNTIFS(nNIA,DATOS!$A13120,nCURSO,DATOS!$D13120,nESPEC,DATOS!$E13120,nASIG,DATOS!$I13120,nEVAL,"EX")=0),0))))</f>
      </c>
      <c r="H13120">
        <f>IF(DATOS!$G13120&lt;&gt;"EX",0,--(COUNTIFS(nNIA,DATOS!$A13120,nCURSO,DATOS!$D13120,nESPEC,DATOS!$E13120,nASIG,DATOS!$I13120,nEVAL,"OR")=0))</f>
      </c>
      <c r="I13120">
        <f>IF(DATOS!$I13120="","",IFERROR(VLOOKUP(DATOS!$I13120,CONFIG_ASIGNATURAS!$B$2:$J$91,9,FALSE()),""))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IF(DATOS!$A13121="",0,IF(CONFIG_METADATA!$B$4&lt;&gt;"OR+EX",--(DATOS!$G13121=CONFIG_METADATA!$B$4),IF(DATOS!$G13121="EX",1,IF(DATOS!$G13121="OR",--(COUNTIFS(nNIA,DATOS!$A13121,nCURSO,DATOS!$D13121,nESPEC,DATOS!$E13121,nASIG,DATOS!$I13121,nEVAL,"EX")=0),0))))</f>
      </c>
      <c r="H13121">
        <f>IF(DATOS!$G13121&lt;&gt;"EX",0,--(COUNTIFS(nNIA,DATOS!$A13121,nCURSO,DATOS!$D13121,nESPEC,DATOS!$E13121,nASIG,DATOS!$I13121,nEVAL,"OR")=0))</f>
      </c>
      <c r="I13121">
        <f>IF(DATOS!$I13121="","",IFERROR(VLOOKUP(DATOS!$I13121,CONFIG_ASIGNATURAS!$B$2:$J$91,9,FALSE()),""))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IF(DATOS!$A13122="",0,IF(CONFIG_METADATA!$B$4&lt;&gt;"OR+EX",--(DATOS!$G13122=CONFIG_METADATA!$B$4),IF(DATOS!$G13122="EX",1,IF(DATOS!$G13122="OR",--(COUNTIFS(nNIA,DATOS!$A13122,nCURSO,DATOS!$D13122,nESPEC,DATOS!$E13122,nASIG,DATOS!$I13122,nEVAL,"EX")=0),0))))</f>
      </c>
      <c r="H13122">
        <f>IF(DATOS!$G13122&lt;&gt;"EX",0,--(COUNTIFS(nNIA,DATOS!$A13122,nCURSO,DATOS!$D13122,nESPEC,DATOS!$E13122,nASIG,DATOS!$I13122,nEVAL,"OR")=0))</f>
      </c>
      <c r="I13122">
        <f>IF(DATOS!$I13122="","",IFERROR(VLOOKUP(DATOS!$I13122,CONFIG_ASIGNATURAS!$B$2:$J$91,9,FALSE()),""))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IF(DATOS!$A13123="",0,IF(CONFIG_METADATA!$B$4&lt;&gt;"OR+EX",--(DATOS!$G13123=CONFIG_METADATA!$B$4),IF(DATOS!$G13123="EX",1,IF(DATOS!$G13123="OR",--(COUNTIFS(nNIA,DATOS!$A13123,nCURSO,DATOS!$D13123,nESPEC,DATOS!$E13123,nASIG,DATOS!$I13123,nEVAL,"EX")=0),0))))</f>
      </c>
      <c r="H13123">
        <f>IF(DATOS!$G13123&lt;&gt;"EX",0,--(COUNTIFS(nNIA,DATOS!$A13123,nCURSO,DATOS!$D13123,nESPEC,DATOS!$E13123,nASIG,DATOS!$I13123,nEVAL,"OR")=0))</f>
      </c>
      <c r="I13123">
        <f>IF(DATOS!$I13123="","",IFERROR(VLOOKUP(DATOS!$I13123,CONFIG_ASIGNATURAS!$B$2:$J$91,9,FALSE()),""))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IF(DATOS!$A13124="",0,IF(CONFIG_METADATA!$B$4&lt;&gt;"OR+EX",--(DATOS!$G13124=CONFIG_METADATA!$B$4),IF(DATOS!$G13124="EX",1,IF(DATOS!$G13124="OR",--(COUNTIFS(nNIA,DATOS!$A13124,nCURSO,DATOS!$D13124,nESPEC,DATOS!$E13124,nASIG,DATOS!$I13124,nEVAL,"EX")=0),0))))</f>
      </c>
      <c r="H13124">
        <f>IF(DATOS!$G13124&lt;&gt;"EX",0,--(COUNTIFS(nNIA,DATOS!$A13124,nCURSO,DATOS!$D13124,nESPEC,DATOS!$E13124,nASIG,DATOS!$I13124,nEVAL,"OR")=0))</f>
      </c>
      <c r="I13124">
        <f>IF(DATOS!$I13124="","",IFERROR(VLOOKUP(DATOS!$I13124,CONFIG_ASIGNATURAS!$B$2:$J$91,9,FALSE()),""))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IF(DATOS!$A13125="",0,IF(CONFIG_METADATA!$B$4&lt;&gt;"OR+EX",--(DATOS!$G13125=CONFIG_METADATA!$B$4),IF(DATOS!$G13125="EX",1,IF(DATOS!$G13125="OR",--(COUNTIFS(nNIA,DATOS!$A13125,nCURSO,DATOS!$D13125,nESPEC,DATOS!$E13125,nASIG,DATOS!$I13125,nEVAL,"EX")=0),0))))</f>
      </c>
      <c r="H13125">
        <f>IF(DATOS!$G13125&lt;&gt;"EX",0,--(COUNTIFS(nNIA,DATOS!$A13125,nCURSO,DATOS!$D13125,nESPEC,DATOS!$E13125,nASIG,DATOS!$I13125,nEVAL,"OR")=0))</f>
      </c>
      <c r="I13125">
        <f>IF(DATOS!$I13125="","",IFERROR(VLOOKUP(DATOS!$I13125,CONFIG_ASIGNATURAS!$B$2:$J$91,9,FALSE()),""))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IF(DATOS!$A13126="",0,IF(CONFIG_METADATA!$B$4&lt;&gt;"OR+EX",--(DATOS!$G13126=CONFIG_METADATA!$B$4),IF(DATOS!$G13126="EX",1,IF(DATOS!$G13126="OR",--(COUNTIFS(nNIA,DATOS!$A13126,nCURSO,DATOS!$D13126,nESPEC,DATOS!$E13126,nASIG,DATOS!$I13126,nEVAL,"EX")=0),0))))</f>
      </c>
      <c r="H13126">
        <f>IF(DATOS!$G13126&lt;&gt;"EX",0,--(COUNTIFS(nNIA,DATOS!$A13126,nCURSO,DATOS!$D13126,nESPEC,DATOS!$E13126,nASIG,DATOS!$I13126,nEVAL,"OR")=0))</f>
      </c>
      <c r="I13126">
        <f>IF(DATOS!$I13126="","",IFERROR(VLOOKUP(DATOS!$I13126,CONFIG_ASIGNATURAS!$B$2:$J$91,9,FALSE()),""))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IF(DATOS!$A13127="",0,IF(CONFIG_METADATA!$B$4&lt;&gt;"OR+EX",--(DATOS!$G13127=CONFIG_METADATA!$B$4),IF(DATOS!$G13127="EX",1,IF(DATOS!$G13127="OR",--(COUNTIFS(nNIA,DATOS!$A13127,nCURSO,DATOS!$D13127,nESPEC,DATOS!$E13127,nASIG,DATOS!$I13127,nEVAL,"EX")=0),0))))</f>
      </c>
      <c r="H13127">
        <f>IF(DATOS!$G13127&lt;&gt;"EX",0,--(COUNTIFS(nNIA,DATOS!$A13127,nCURSO,DATOS!$D13127,nESPEC,DATOS!$E13127,nASIG,DATOS!$I13127,nEVAL,"OR")=0))</f>
      </c>
      <c r="I13127">
        <f>IF(DATOS!$I13127="","",IFERROR(VLOOKUP(DATOS!$I13127,CONFIG_ASIGNATURAS!$B$2:$J$91,9,FALSE()),""))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IF(DATOS!$A13128="",0,IF(CONFIG_METADATA!$B$4&lt;&gt;"OR+EX",--(DATOS!$G13128=CONFIG_METADATA!$B$4),IF(DATOS!$G13128="EX",1,IF(DATOS!$G13128="OR",--(COUNTIFS(nNIA,DATOS!$A13128,nCURSO,DATOS!$D13128,nESPEC,DATOS!$E13128,nASIG,DATOS!$I13128,nEVAL,"EX")=0),0))))</f>
      </c>
      <c r="H13128">
        <f>IF(DATOS!$G13128&lt;&gt;"EX",0,--(COUNTIFS(nNIA,DATOS!$A13128,nCURSO,DATOS!$D13128,nESPEC,DATOS!$E13128,nASIG,DATOS!$I13128,nEVAL,"OR")=0))</f>
      </c>
      <c r="I13128">
        <f>IF(DATOS!$I13128="","",IFERROR(VLOOKUP(DATOS!$I13128,CONFIG_ASIGNATURAS!$B$2:$J$91,9,FALSE()),""))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IF(DATOS!$A13129="",0,IF(CONFIG_METADATA!$B$4&lt;&gt;"OR+EX",--(DATOS!$G13129=CONFIG_METADATA!$B$4),IF(DATOS!$G13129="EX",1,IF(DATOS!$G13129="OR",--(COUNTIFS(nNIA,DATOS!$A13129,nCURSO,DATOS!$D13129,nESPEC,DATOS!$E13129,nASIG,DATOS!$I13129,nEVAL,"EX")=0),0))))</f>
      </c>
      <c r="H13129">
        <f>IF(DATOS!$G13129&lt;&gt;"EX",0,--(COUNTIFS(nNIA,DATOS!$A13129,nCURSO,DATOS!$D13129,nESPEC,DATOS!$E13129,nASIG,DATOS!$I13129,nEVAL,"OR")=0))</f>
      </c>
      <c r="I13129">
        <f>IF(DATOS!$I13129="","",IFERROR(VLOOKUP(DATOS!$I13129,CONFIG_ASIGNATURAS!$B$2:$J$91,9,FALSE()),""))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IF(DATOS!$A13130="",0,IF(CONFIG_METADATA!$B$4&lt;&gt;"OR+EX",--(DATOS!$G13130=CONFIG_METADATA!$B$4),IF(DATOS!$G13130="EX",1,IF(DATOS!$G13130="OR",--(COUNTIFS(nNIA,DATOS!$A13130,nCURSO,DATOS!$D13130,nESPEC,DATOS!$E13130,nASIG,DATOS!$I13130,nEVAL,"EX")=0),0))))</f>
      </c>
      <c r="H13130">
        <f>IF(DATOS!$G13130&lt;&gt;"EX",0,--(COUNTIFS(nNIA,DATOS!$A13130,nCURSO,DATOS!$D13130,nESPEC,DATOS!$E13130,nASIG,DATOS!$I13130,nEVAL,"OR")=0))</f>
      </c>
      <c r="I13130">
        <f>IF(DATOS!$I13130="","",IFERROR(VLOOKUP(DATOS!$I13130,CONFIG_ASIGNATURAS!$B$2:$J$91,9,FALSE()),""))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IF(DATOS!$A13131="",0,IF(CONFIG_METADATA!$B$4&lt;&gt;"OR+EX",--(DATOS!$G13131=CONFIG_METADATA!$B$4),IF(DATOS!$G13131="EX",1,IF(DATOS!$G13131="OR",--(COUNTIFS(nNIA,DATOS!$A13131,nCURSO,DATOS!$D13131,nESPEC,DATOS!$E13131,nASIG,DATOS!$I13131,nEVAL,"EX")=0),0))))</f>
      </c>
      <c r="H13131">
        <f>IF(DATOS!$G13131&lt;&gt;"EX",0,--(COUNTIFS(nNIA,DATOS!$A13131,nCURSO,DATOS!$D13131,nESPEC,DATOS!$E13131,nASIG,DATOS!$I13131,nEVAL,"OR")=0))</f>
      </c>
      <c r="I13131">
        <f>IF(DATOS!$I13131="","",IFERROR(VLOOKUP(DATOS!$I13131,CONFIG_ASIGNATURAS!$B$2:$J$91,9,FALSE()),""))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IF(DATOS!$A13132="",0,IF(CONFIG_METADATA!$B$4&lt;&gt;"OR+EX",--(DATOS!$G13132=CONFIG_METADATA!$B$4),IF(DATOS!$G13132="EX",1,IF(DATOS!$G13132="OR",--(COUNTIFS(nNIA,DATOS!$A13132,nCURSO,DATOS!$D13132,nESPEC,DATOS!$E13132,nASIG,DATOS!$I13132,nEVAL,"EX")=0),0))))</f>
      </c>
      <c r="H13132">
        <f>IF(DATOS!$G13132&lt;&gt;"EX",0,--(COUNTIFS(nNIA,DATOS!$A13132,nCURSO,DATOS!$D13132,nESPEC,DATOS!$E13132,nASIG,DATOS!$I13132,nEVAL,"OR")=0))</f>
      </c>
      <c r="I13132">
        <f>IF(DATOS!$I13132="","",IFERROR(VLOOKUP(DATOS!$I13132,CONFIG_ASIGNATURAS!$B$2:$J$91,9,FALSE()),""))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IF(DATOS!$A13133="",0,IF(CONFIG_METADATA!$B$4&lt;&gt;"OR+EX",--(DATOS!$G13133=CONFIG_METADATA!$B$4),IF(DATOS!$G13133="EX",1,IF(DATOS!$G13133="OR",--(COUNTIFS(nNIA,DATOS!$A13133,nCURSO,DATOS!$D13133,nESPEC,DATOS!$E13133,nASIG,DATOS!$I13133,nEVAL,"EX")=0),0))))</f>
      </c>
      <c r="H13133">
        <f>IF(DATOS!$G13133&lt;&gt;"EX",0,--(COUNTIFS(nNIA,DATOS!$A13133,nCURSO,DATOS!$D13133,nESPEC,DATOS!$E13133,nASIG,DATOS!$I13133,nEVAL,"OR")=0))</f>
      </c>
      <c r="I13133">
        <f>IF(DATOS!$I13133="","",IFERROR(VLOOKUP(DATOS!$I13133,CONFIG_ASIGNATURAS!$B$2:$J$91,9,FALSE()),""))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IF(DATOS!$A13134="",0,IF(CONFIG_METADATA!$B$4&lt;&gt;"OR+EX",--(DATOS!$G13134=CONFIG_METADATA!$B$4),IF(DATOS!$G13134="EX",1,IF(DATOS!$G13134="OR",--(COUNTIFS(nNIA,DATOS!$A13134,nCURSO,DATOS!$D13134,nESPEC,DATOS!$E13134,nASIG,DATOS!$I13134,nEVAL,"EX")=0),0))))</f>
      </c>
      <c r="H13134">
        <f>IF(DATOS!$G13134&lt;&gt;"EX",0,--(COUNTIFS(nNIA,DATOS!$A13134,nCURSO,DATOS!$D13134,nESPEC,DATOS!$E13134,nASIG,DATOS!$I13134,nEVAL,"OR")=0))</f>
      </c>
      <c r="I13134">
        <f>IF(DATOS!$I13134="","",IFERROR(VLOOKUP(DATOS!$I13134,CONFIG_ASIGNATURAS!$B$2:$J$91,9,FALSE()),""))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IF(DATOS!$A13135="",0,IF(CONFIG_METADATA!$B$4&lt;&gt;"OR+EX",--(DATOS!$G13135=CONFIG_METADATA!$B$4),IF(DATOS!$G13135="EX",1,IF(DATOS!$G13135="OR",--(COUNTIFS(nNIA,DATOS!$A13135,nCURSO,DATOS!$D13135,nESPEC,DATOS!$E13135,nASIG,DATOS!$I13135,nEVAL,"EX")=0),0))))</f>
      </c>
      <c r="H13135">
        <f>IF(DATOS!$G13135&lt;&gt;"EX",0,--(COUNTIFS(nNIA,DATOS!$A13135,nCURSO,DATOS!$D13135,nESPEC,DATOS!$E13135,nASIG,DATOS!$I13135,nEVAL,"OR")=0))</f>
      </c>
      <c r="I13135">
        <f>IF(DATOS!$I13135="","",IFERROR(VLOOKUP(DATOS!$I13135,CONFIG_ASIGNATURAS!$B$2:$J$91,9,FALSE()),""))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IF(DATOS!$A13136="",0,IF(CONFIG_METADATA!$B$4&lt;&gt;"OR+EX",--(DATOS!$G13136=CONFIG_METADATA!$B$4),IF(DATOS!$G13136="EX",1,IF(DATOS!$G13136="OR",--(COUNTIFS(nNIA,DATOS!$A13136,nCURSO,DATOS!$D13136,nESPEC,DATOS!$E13136,nASIG,DATOS!$I13136,nEVAL,"EX")=0),0))))</f>
      </c>
      <c r="H13136">
        <f>IF(DATOS!$G13136&lt;&gt;"EX",0,--(COUNTIFS(nNIA,DATOS!$A13136,nCURSO,DATOS!$D13136,nESPEC,DATOS!$E13136,nASIG,DATOS!$I13136,nEVAL,"OR")=0))</f>
      </c>
      <c r="I13136">
        <f>IF(DATOS!$I13136="","",IFERROR(VLOOKUP(DATOS!$I13136,CONFIG_ASIGNATURAS!$B$2:$J$91,9,FALSE()),""))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IF(DATOS!$A13137="",0,IF(CONFIG_METADATA!$B$4&lt;&gt;"OR+EX",--(DATOS!$G13137=CONFIG_METADATA!$B$4),IF(DATOS!$G13137="EX",1,IF(DATOS!$G13137="OR",--(COUNTIFS(nNIA,DATOS!$A13137,nCURSO,DATOS!$D13137,nESPEC,DATOS!$E13137,nASIG,DATOS!$I13137,nEVAL,"EX")=0),0))))</f>
      </c>
      <c r="H13137">
        <f>IF(DATOS!$G13137&lt;&gt;"EX",0,--(COUNTIFS(nNIA,DATOS!$A13137,nCURSO,DATOS!$D13137,nESPEC,DATOS!$E13137,nASIG,DATOS!$I13137,nEVAL,"OR")=0))</f>
      </c>
      <c r="I13137">
        <f>IF(DATOS!$I13137="","",IFERROR(VLOOKUP(DATOS!$I13137,CONFIG_ASIGNATURAS!$B$2:$J$91,9,FALSE()),""))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IF(DATOS!$A13138="",0,IF(CONFIG_METADATA!$B$4&lt;&gt;"OR+EX",--(DATOS!$G13138=CONFIG_METADATA!$B$4),IF(DATOS!$G13138="EX",1,IF(DATOS!$G13138="OR",--(COUNTIFS(nNIA,DATOS!$A13138,nCURSO,DATOS!$D13138,nESPEC,DATOS!$E13138,nASIG,DATOS!$I13138,nEVAL,"EX")=0),0))))</f>
      </c>
      <c r="H13138">
        <f>IF(DATOS!$G13138&lt;&gt;"EX",0,--(COUNTIFS(nNIA,DATOS!$A13138,nCURSO,DATOS!$D13138,nESPEC,DATOS!$E13138,nASIG,DATOS!$I13138,nEVAL,"OR")=0))</f>
      </c>
      <c r="I13138">
        <f>IF(DATOS!$I13138="","",IFERROR(VLOOKUP(DATOS!$I13138,CONFIG_ASIGNATURAS!$B$2:$J$91,9,FALSE()),""))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IF(DATOS!$A13139="",0,IF(CONFIG_METADATA!$B$4&lt;&gt;"OR+EX",--(DATOS!$G13139=CONFIG_METADATA!$B$4),IF(DATOS!$G13139="EX",1,IF(DATOS!$G13139="OR",--(COUNTIFS(nNIA,DATOS!$A13139,nCURSO,DATOS!$D13139,nESPEC,DATOS!$E13139,nASIG,DATOS!$I13139,nEVAL,"EX")=0),0))))</f>
      </c>
      <c r="H13139">
        <f>IF(DATOS!$G13139&lt;&gt;"EX",0,--(COUNTIFS(nNIA,DATOS!$A13139,nCURSO,DATOS!$D13139,nESPEC,DATOS!$E13139,nASIG,DATOS!$I13139,nEVAL,"OR")=0))</f>
      </c>
      <c r="I13139">
        <f>IF(DATOS!$I13139="","",IFERROR(VLOOKUP(DATOS!$I13139,CONFIG_ASIGNATURAS!$B$2:$J$91,9,FALSE()),""))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IF(DATOS!$A13140="",0,IF(CONFIG_METADATA!$B$4&lt;&gt;"OR+EX",--(DATOS!$G13140=CONFIG_METADATA!$B$4),IF(DATOS!$G13140="EX",1,IF(DATOS!$G13140="OR",--(COUNTIFS(nNIA,DATOS!$A13140,nCURSO,DATOS!$D13140,nESPEC,DATOS!$E13140,nASIG,DATOS!$I13140,nEVAL,"EX")=0),0))))</f>
      </c>
      <c r="H13140">
        <f>IF(DATOS!$G13140&lt;&gt;"EX",0,--(COUNTIFS(nNIA,DATOS!$A13140,nCURSO,DATOS!$D13140,nESPEC,DATOS!$E13140,nASIG,DATOS!$I13140,nEVAL,"OR")=0))</f>
      </c>
      <c r="I13140">
        <f>IF(DATOS!$I13140="","",IFERROR(VLOOKUP(DATOS!$I13140,CONFIG_ASIGNATURAS!$B$2:$J$91,9,FALSE()),""))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IF(DATOS!$A13141="",0,IF(CONFIG_METADATA!$B$4&lt;&gt;"OR+EX",--(DATOS!$G13141=CONFIG_METADATA!$B$4),IF(DATOS!$G13141="EX",1,IF(DATOS!$G13141="OR",--(COUNTIFS(nNIA,DATOS!$A13141,nCURSO,DATOS!$D13141,nESPEC,DATOS!$E13141,nASIG,DATOS!$I13141,nEVAL,"EX")=0),0))))</f>
      </c>
      <c r="H13141">
        <f>IF(DATOS!$G13141&lt;&gt;"EX",0,--(COUNTIFS(nNIA,DATOS!$A13141,nCURSO,DATOS!$D13141,nESPEC,DATOS!$E13141,nASIG,DATOS!$I13141,nEVAL,"OR")=0))</f>
      </c>
      <c r="I13141">
        <f>IF(DATOS!$I13141="","",IFERROR(VLOOKUP(DATOS!$I13141,CONFIG_ASIGNATURAS!$B$2:$J$91,9,FALSE()),""))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IF(DATOS!$A13142="",0,IF(CONFIG_METADATA!$B$4&lt;&gt;"OR+EX",--(DATOS!$G13142=CONFIG_METADATA!$B$4),IF(DATOS!$G13142="EX",1,IF(DATOS!$G13142="OR",--(COUNTIFS(nNIA,DATOS!$A13142,nCURSO,DATOS!$D13142,nESPEC,DATOS!$E13142,nASIG,DATOS!$I13142,nEVAL,"EX")=0),0))))</f>
      </c>
      <c r="H13142">
        <f>IF(DATOS!$G13142&lt;&gt;"EX",0,--(COUNTIFS(nNIA,DATOS!$A13142,nCURSO,DATOS!$D13142,nESPEC,DATOS!$E13142,nASIG,DATOS!$I13142,nEVAL,"OR")=0))</f>
      </c>
      <c r="I13142">
        <f>IF(DATOS!$I13142="","",IFERROR(VLOOKUP(DATOS!$I13142,CONFIG_ASIGNATURAS!$B$2:$J$91,9,FALSE()),""))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IF(DATOS!$A13143="",0,IF(CONFIG_METADATA!$B$4&lt;&gt;"OR+EX",--(DATOS!$G13143=CONFIG_METADATA!$B$4),IF(DATOS!$G13143="EX",1,IF(DATOS!$G13143="OR",--(COUNTIFS(nNIA,DATOS!$A13143,nCURSO,DATOS!$D13143,nESPEC,DATOS!$E13143,nASIG,DATOS!$I13143,nEVAL,"EX")=0),0))))</f>
      </c>
      <c r="H13143">
        <f>IF(DATOS!$G13143&lt;&gt;"EX",0,--(COUNTIFS(nNIA,DATOS!$A13143,nCURSO,DATOS!$D13143,nESPEC,DATOS!$E13143,nASIG,DATOS!$I13143,nEVAL,"OR")=0))</f>
      </c>
      <c r="I13143">
        <f>IF(DATOS!$I13143="","",IFERROR(VLOOKUP(DATOS!$I13143,CONFIG_ASIGNATURAS!$B$2:$J$91,9,FALSE()),""))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IF(DATOS!$A13144="",0,IF(CONFIG_METADATA!$B$4&lt;&gt;"OR+EX",--(DATOS!$G13144=CONFIG_METADATA!$B$4),IF(DATOS!$G13144="EX",1,IF(DATOS!$G13144="OR",--(COUNTIFS(nNIA,DATOS!$A13144,nCURSO,DATOS!$D13144,nESPEC,DATOS!$E13144,nASIG,DATOS!$I13144,nEVAL,"EX")=0),0))))</f>
      </c>
      <c r="H13144">
        <f>IF(DATOS!$G13144&lt;&gt;"EX",0,--(COUNTIFS(nNIA,DATOS!$A13144,nCURSO,DATOS!$D13144,nESPEC,DATOS!$E13144,nASIG,DATOS!$I13144,nEVAL,"OR")=0))</f>
      </c>
      <c r="I13144">
        <f>IF(DATOS!$I13144="","",IFERROR(VLOOKUP(DATOS!$I13144,CONFIG_ASIGNATURAS!$B$2:$J$91,9,FALSE()),""))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IF(DATOS!$A13145="",0,IF(CONFIG_METADATA!$B$4&lt;&gt;"OR+EX",--(DATOS!$G13145=CONFIG_METADATA!$B$4),IF(DATOS!$G13145="EX",1,IF(DATOS!$G13145="OR",--(COUNTIFS(nNIA,DATOS!$A13145,nCURSO,DATOS!$D13145,nESPEC,DATOS!$E13145,nASIG,DATOS!$I13145,nEVAL,"EX")=0),0))))</f>
      </c>
      <c r="H13145">
        <f>IF(DATOS!$G13145&lt;&gt;"EX",0,--(COUNTIFS(nNIA,DATOS!$A13145,nCURSO,DATOS!$D13145,nESPEC,DATOS!$E13145,nASIG,DATOS!$I13145,nEVAL,"OR")=0))</f>
      </c>
      <c r="I13145">
        <f>IF(DATOS!$I13145="","",IFERROR(VLOOKUP(DATOS!$I13145,CONFIG_ASIGNATURAS!$B$2:$J$91,9,FALSE()),""))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IF(DATOS!$A13146="",0,IF(CONFIG_METADATA!$B$4&lt;&gt;"OR+EX",--(DATOS!$G13146=CONFIG_METADATA!$B$4),IF(DATOS!$G13146="EX",1,IF(DATOS!$G13146="OR",--(COUNTIFS(nNIA,DATOS!$A13146,nCURSO,DATOS!$D13146,nESPEC,DATOS!$E13146,nASIG,DATOS!$I13146,nEVAL,"EX")=0),0))))</f>
      </c>
      <c r="H13146">
        <f>IF(DATOS!$G13146&lt;&gt;"EX",0,--(COUNTIFS(nNIA,DATOS!$A13146,nCURSO,DATOS!$D13146,nESPEC,DATOS!$E13146,nASIG,DATOS!$I13146,nEVAL,"OR")=0))</f>
      </c>
      <c r="I13146">
        <f>IF(DATOS!$I13146="","",IFERROR(VLOOKUP(DATOS!$I13146,CONFIG_ASIGNATURAS!$B$2:$J$91,9,FALSE()),""))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IF(DATOS!$A13147="",0,IF(CONFIG_METADATA!$B$4&lt;&gt;"OR+EX",--(DATOS!$G13147=CONFIG_METADATA!$B$4),IF(DATOS!$G13147="EX",1,IF(DATOS!$G13147="OR",--(COUNTIFS(nNIA,DATOS!$A13147,nCURSO,DATOS!$D13147,nESPEC,DATOS!$E13147,nASIG,DATOS!$I13147,nEVAL,"EX")=0),0))))</f>
      </c>
      <c r="H13147">
        <f>IF(DATOS!$G13147&lt;&gt;"EX",0,--(COUNTIFS(nNIA,DATOS!$A13147,nCURSO,DATOS!$D13147,nESPEC,DATOS!$E13147,nASIG,DATOS!$I13147,nEVAL,"OR")=0))</f>
      </c>
      <c r="I13147">
        <f>IF(DATOS!$I13147="","",IFERROR(VLOOKUP(DATOS!$I13147,CONFIG_ASIGNATURAS!$B$2:$J$91,9,FALSE()),""))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IF(DATOS!$A13148="",0,IF(CONFIG_METADATA!$B$4&lt;&gt;"OR+EX",--(DATOS!$G13148=CONFIG_METADATA!$B$4),IF(DATOS!$G13148="EX",1,IF(DATOS!$G13148="OR",--(COUNTIFS(nNIA,DATOS!$A13148,nCURSO,DATOS!$D13148,nESPEC,DATOS!$E13148,nASIG,DATOS!$I13148,nEVAL,"EX")=0),0))))</f>
      </c>
      <c r="H13148">
        <f>IF(DATOS!$G13148&lt;&gt;"EX",0,--(COUNTIFS(nNIA,DATOS!$A13148,nCURSO,DATOS!$D13148,nESPEC,DATOS!$E13148,nASIG,DATOS!$I13148,nEVAL,"OR")=0))</f>
      </c>
      <c r="I13148">
        <f>IF(DATOS!$I13148="","",IFERROR(VLOOKUP(DATOS!$I13148,CONFIG_ASIGNATURAS!$B$2:$J$91,9,FALSE()),""))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IF(DATOS!$A13149="",0,IF(CONFIG_METADATA!$B$4&lt;&gt;"OR+EX",--(DATOS!$G13149=CONFIG_METADATA!$B$4),IF(DATOS!$G13149="EX",1,IF(DATOS!$G13149="OR",--(COUNTIFS(nNIA,DATOS!$A13149,nCURSO,DATOS!$D13149,nESPEC,DATOS!$E13149,nASIG,DATOS!$I13149,nEVAL,"EX")=0),0))))</f>
      </c>
      <c r="H13149">
        <f>IF(DATOS!$G13149&lt;&gt;"EX",0,--(COUNTIFS(nNIA,DATOS!$A13149,nCURSO,DATOS!$D13149,nESPEC,DATOS!$E13149,nASIG,DATOS!$I13149,nEVAL,"OR")=0))</f>
      </c>
      <c r="I13149">
        <f>IF(DATOS!$I13149="","",IFERROR(VLOOKUP(DATOS!$I13149,CONFIG_ASIGNATURAS!$B$2:$J$91,9,FALSE()),""))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IF(DATOS!$A13150="",0,IF(CONFIG_METADATA!$B$4&lt;&gt;"OR+EX",--(DATOS!$G13150=CONFIG_METADATA!$B$4),IF(DATOS!$G13150="EX",1,IF(DATOS!$G13150="OR",--(COUNTIFS(nNIA,DATOS!$A13150,nCURSO,DATOS!$D13150,nESPEC,DATOS!$E13150,nASIG,DATOS!$I13150,nEVAL,"EX")=0),0))))</f>
      </c>
      <c r="H13150">
        <f>IF(DATOS!$G13150&lt;&gt;"EX",0,--(COUNTIFS(nNIA,DATOS!$A13150,nCURSO,DATOS!$D13150,nESPEC,DATOS!$E13150,nASIG,DATOS!$I13150,nEVAL,"OR")=0))</f>
      </c>
      <c r="I13150">
        <f>IF(DATOS!$I13150="","",IFERROR(VLOOKUP(DATOS!$I13150,CONFIG_ASIGNATURAS!$B$2:$J$91,9,FALSE()),""))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IF(DATOS!$A13151="",0,IF(CONFIG_METADATA!$B$4&lt;&gt;"OR+EX",--(DATOS!$G13151=CONFIG_METADATA!$B$4),IF(DATOS!$G13151="EX",1,IF(DATOS!$G13151="OR",--(COUNTIFS(nNIA,DATOS!$A13151,nCURSO,DATOS!$D13151,nESPEC,DATOS!$E13151,nASIG,DATOS!$I13151,nEVAL,"EX")=0),0))))</f>
      </c>
      <c r="H13151">
        <f>IF(DATOS!$G13151&lt;&gt;"EX",0,--(COUNTIFS(nNIA,DATOS!$A13151,nCURSO,DATOS!$D13151,nESPEC,DATOS!$E13151,nASIG,DATOS!$I13151,nEVAL,"OR")=0))</f>
      </c>
      <c r="I13151">
        <f>IF(DATOS!$I13151="","",IFERROR(VLOOKUP(DATOS!$I13151,CONFIG_ASIGNATURAS!$B$2:$J$91,9,FALSE()),""))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IF(DATOS!$A13152="",0,IF(CONFIG_METADATA!$B$4&lt;&gt;"OR+EX",--(DATOS!$G13152=CONFIG_METADATA!$B$4),IF(DATOS!$G13152="EX",1,IF(DATOS!$G13152="OR",--(COUNTIFS(nNIA,DATOS!$A13152,nCURSO,DATOS!$D13152,nESPEC,DATOS!$E13152,nASIG,DATOS!$I13152,nEVAL,"EX")=0),0))))</f>
      </c>
      <c r="H13152">
        <f>IF(DATOS!$G13152&lt;&gt;"EX",0,--(COUNTIFS(nNIA,DATOS!$A13152,nCURSO,DATOS!$D13152,nESPEC,DATOS!$E13152,nASIG,DATOS!$I13152,nEVAL,"OR")=0))</f>
      </c>
      <c r="I13152">
        <f>IF(DATOS!$I13152="","",IFERROR(VLOOKUP(DATOS!$I13152,CONFIG_ASIGNATURAS!$B$2:$J$91,9,FALSE()),""))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IF(DATOS!$A13153="",0,IF(CONFIG_METADATA!$B$4&lt;&gt;"OR+EX",--(DATOS!$G13153=CONFIG_METADATA!$B$4),IF(DATOS!$G13153="EX",1,IF(DATOS!$G13153="OR",--(COUNTIFS(nNIA,DATOS!$A13153,nCURSO,DATOS!$D13153,nESPEC,DATOS!$E13153,nASIG,DATOS!$I13153,nEVAL,"EX")=0),0))))</f>
      </c>
      <c r="H13153">
        <f>IF(DATOS!$G13153&lt;&gt;"EX",0,--(COUNTIFS(nNIA,DATOS!$A13153,nCURSO,DATOS!$D13153,nESPEC,DATOS!$E13153,nASIG,DATOS!$I13153,nEVAL,"OR")=0))</f>
      </c>
      <c r="I13153">
        <f>IF(DATOS!$I13153="","",IFERROR(VLOOKUP(DATOS!$I13153,CONFIG_ASIGNATURAS!$B$2:$J$91,9,FALSE()),""))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IF(DATOS!$A13154="",0,IF(CONFIG_METADATA!$B$4&lt;&gt;"OR+EX",--(DATOS!$G13154=CONFIG_METADATA!$B$4),IF(DATOS!$G13154="EX",1,IF(DATOS!$G13154="OR",--(COUNTIFS(nNIA,DATOS!$A13154,nCURSO,DATOS!$D13154,nESPEC,DATOS!$E13154,nASIG,DATOS!$I13154,nEVAL,"EX")=0),0))))</f>
      </c>
      <c r="H13154">
        <f>IF(DATOS!$G13154&lt;&gt;"EX",0,--(COUNTIFS(nNIA,DATOS!$A13154,nCURSO,DATOS!$D13154,nESPEC,DATOS!$E13154,nASIG,DATOS!$I13154,nEVAL,"OR")=0))</f>
      </c>
      <c r="I13154">
        <f>IF(DATOS!$I13154="","",IFERROR(VLOOKUP(DATOS!$I13154,CONFIG_ASIGNATURAS!$B$2:$J$91,9,FALSE()),""))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IF(DATOS!$A13155="",0,IF(CONFIG_METADATA!$B$4&lt;&gt;"OR+EX",--(DATOS!$G13155=CONFIG_METADATA!$B$4),IF(DATOS!$G13155="EX",1,IF(DATOS!$G13155="OR",--(COUNTIFS(nNIA,DATOS!$A13155,nCURSO,DATOS!$D13155,nESPEC,DATOS!$E13155,nASIG,DATOS!$I13155,nEVAL,"EX")=0),0))))</f>
      </c>
      <c r="H13155">
        <f>IF(DATOS!$G13155&lt;&gt;"EX",0,--(COUNTIFS(nNIA,DATOS!$A13155,nCURSO,DATOS!$D13155,nESPEC,DATOS!$E13155,nASIG,DATOS!$I13155,nEVAL,"OR")=0))</f>
      </c>
      <c r="I13155">
        <f>IF(DATOS!$I13155="","",IFERROR(VLOOKUP(DATOS!$I13155,CONFIG_ASIGNATURAS!$B$2:$J$91,9,FALSE()),""))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IF(DATOS!$A13156="",0,IF(CONFIG_METADATA!$B$4&lt;&gt;"OR+EX",--(DATOS!$G13156=CONFIG_METADATA!$B$4),IF(DATOS!$G13156="EX",1,IF(DATOS!$G13156="OR",--(COUNTIFS(nNIA,DATOS!$A13156,nCURSO,DATOS!$D13156,nESPEC,DATOS!$E13156,nASIG,DATOS!$I13156,nEVAL,"EX")=0),0))))</f>
      </c>
      <c r="H13156">
        <f>IF(DATOS!$G13156&lt;&gt;"EX",0,--(COUNTIFS(nNIA,DATOS!$A13156,nCURSO,DATOS!$D13156,nESPEC,DATOS!$E13156,nASIG,DATOS!$I13156,nEVAL,"OR")=0))</f>
      </c>
      <c r="I13156">
        <f>IF(DATOS!$I13156="","",IFERROR(VLOOKUP(DATOS!$I13156,CONFIG_ASIGNATURAS!$B$2:$J$91,9,FALSE()),""))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IF(DATOS!$A13157="",0,IF(CONFIG_METADATA!$B$4&lt;&gt;"OR+EX",--(DATOS!$G13157=CONFIG_METADATA!$B$4),IF(DATOS!$G13157="EX",1,IF(DATOS!$G13157="OR",--(COUNTIFS(nNIA,DATOS!$A13157,nCURSO,DATOS!$D13157,nESPEC,DATOS!$E13157,nASIG,DATOS!$I13157,nEVAL,"EX")=0),0))))</f>
      </c>
      <c r="H13157">
        <f>IF(DATOS!$G13157&lt;&gt;"EX",0,--(COUNTIFS(nNIA,DATOS!$A13157,nCURSO,DATOS!$D13157,nESPEC,DATOS!$E13157,nASIG,DATOS!$I13157,nEVAL,"OR")=0))</f>
      </c>
      <c r="I13157">
        <f>IF(DATOS!$I13157="","",IFERROR(VLOOKUP(DATOS!$I13157,CONFIG_ASIGNATURAS!$B$2:$J$91,9,FALSE()),""))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IF(DATOS!$A13158="",0,IF(CONFIG_METADATA!$B$4&lt;&gt;"OR+EX",--(DATOS!$G13158=CONFIG_METADATA!$B$4),IF(DATOS!$G13158="EX",1,IF(DATOS!$G13158="OR",--(COUNTIFS(nNIA,DATOS!$A13158,nCURSO,DATOS!$D13158,nESPEC,DATOS!$E13158,nASIG,DATOS!$I13158,nEVAL,"EX")=0),0))))</f>
      </c>
      <c r="H13158">
        <f>IF(DATOS!$G13158&lt;&gt;"EX",0,--(COUNTIFS(nNIA,DATOS!$A13158,nCURSO,DATOS!$D13158,nESPEC,DATOS!$E13158,nASIG,DATOS!$I13158,nEVAL,"OR")=0))</f>
      </c>
      <c r="I13158">
        <f>IF(DATOS!$I13158="","",IFERROR(VLOOKUP(DATOS!$I13158,CONFIG_ASIGNATURAS!$B$2:$J$91,9,FALSE()),""))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IF(DATOS!$A13159="",0,IF(CONFIG_METADATA!$B$4&lt;&gt;"OR+EX",--(DATOS!$G13159=CONFIG_METADATA!$B$4),IF(DATOS!$G13159="EX",1,IF(DATOS!$G13159="OR",--(COUNTIFS(nNIA,DATOS!$A13159,nCURSO,DATOS!$D13159,nESPEC,DATOS!$E13159,nASIG,DATOS!$I13159,nEVAL,"EX")=0),0))))</f>
      </c>
      <c r="H13159">
        <f>IF(DATOS!$G13159&lt;&gt;"EX",0,--(COUNTIFS(nNIA,DATOS!$A13159,nCURSO,DATOS!$D13159,nESPEC,DATOS!$E13159,nASIG,DATOS!$I13159,nEVAL,"OR")=0))</f>
      </c>
      <c r="I13159">
        <f>IF(DATOS!$I13159="","",IFERROR(VLOOKUP(DATOS!$I13159,CONFIG_ASIGNATURAS!$B$2:$J$91,9,FALSE()),""))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IF(DATOS!$A13160="",0,IF(CONFIG_METADATA!$B$4&lt;&gt;"OR+EX",--(DATOS!$G13160=CONFIG_METADATA!$B$4),IF(DATOS!$G13160="EX",1,IF(DATOS!$G13160="OR",--(COUNTIFS(nNIA,DATOS!$A13160,nCURSO,DATOS!$D13160,nESPEC,DATOS!$E13160,nASIG,DATOS!$I13160,nEVAL,"EX")=0),0))))</f>
      </c>
      <c r="H13160">
        <f>IF(DATOS!$G13160&lt;&gt;"EX",0,--(COUNTIFS(nNIA,DATOS!$A13160,nCURSO,DATOS!$D13160,nESPEC,DATOS!$E13160,nASIG,DATOS!$I13160,nEVAL,"OR")=0))</f>
      </c>
      <c r="I13160">
        <f>IF(DATOS!$I13160="","",IFERROR(VLOOKUP(DATOS!$I13160,CONFIG_ASIGNATURAS!$B$2:$J$91,9,FALSE()),""))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IF(DATOS!$A13161="",0,IF(CONFIG_METADATA!$B$4&lt;&gt;"OR+EX",--(DATOS!$G13161=CONFIG_METADATA!$B$4),IF(DATOS!$G13161="EX",1,IF(DATOS!$G13161="OR",--(COUNTIFS(nNIA,DATOS!$A13161,nCURSO,DATOS!$D13161,nESPEC,DATOS!$E13161,nASIG,DATOS!$I13161,nEVAL,"EX")=0),0))))</f>
      </c>
      <c r="H13161">
        <f>IF(DATOS!$G13161&lt;&gt;"EX",0,--(COUNTIFS(nNIA,DATOS!$A13161,nCURSO,DATOS!$D13161,nESPEC,DATOS!$E13161,nASIG,DATOS!$I13161,nEVAL,"OR")=0))</f>
      </c>
      <c r="I13161">
        <f>IF(DATOS!$I13161="","",IFERROR(VLOOKUP(DATOS!$I13161,CONFIG_ASIGNATURAS!$B$2:$J$91,9,FALSE()),""))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IF(DATOS!$A13162="",0,IF(CONFIG_METADATA!$B$4&lt;&gt;"OR+EX",--(DATOS!$G13162=CONFIG_METADATA!$B$4),IF(DATOS!$G13162="EX",1,IF(DATOS!$G13162="OR",--(COUNTIFS(nNIA,DATOS!$A13162,nCURSO,DATOS!$D13162,nESPEC,DATOS!$E13162,nASIG,DATOS!$I13162,nEVAL,"EX")=0),0))))</f>
      </c>
      <c r="H13162">
        <f>IF(DATOS!$G13162&lt;&gt;"EX",0,--(COUNTIFS(nNIA,DATOS!$A13162,nCURSO,DATOS!$D13162,nESPEC,DATOS!$E13162,nASIG,DATOS!$I13162,nEVAL,"OR")=0))</f>
      </c>
      <c r="I13162">
        <f>IF(DATOS!$I13162="","",IFERROR(VLOOKUP(DATOS!$I13162,CONFIG_ASIGNATURAS!$B$2:$J$91,9,FALSE()),""))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IF(DATOS!$A13163="",0,IF(CONFIG_METADATA!$B$4&lt;&gt;"OR+EX",--(DATOS!$G13163=CONFIG_METADATA!$B$4),IF(DATOS!$G13163="EX",1,IF(DATOS!$G13163="OR",--(COUNTIFS(nNIA,DATOS!$A13163,nCURSO,DATOS!$D13163,nESPEC,DATOS!$E13163,nASIG,DATOS!$I13163,nEVAL,"EX")=0),0))))</f>
      </c>
      <c r="H13163">
        <f>IF(DATOS!$G13163&lt;&gt;"EX",0,--(COUNTIFS(nNIA,DATOS!$A13163,nCURSO,DATOS!$D13163,nESPEC,DATOS!$E13163,nASIG,DATOS!$I13163,nEVAL,"OR")=0))</f>
      </c>
      <c r="I13163">
        <f>IF(DATOS!$I13163="","",IFERROR(VLOOKUP(DATOS!$I13163,CONFIG_ASIGNATURAS!$B$2:$J$91,9,FALSE()),""))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IF(DATOS!$A13164="",0,IF(CONFIG_METADATA!$B$4&lt;&gt;"OR+EX",--(DATOS!$G13164=CONFIG_METADATA!$B$4),IF(DATOS!$G13164="EX",1,IF(DATOS!$G13164="OR",--(COUNTIFS(nNIA,DATOS!$A13164,nCURSO,DATOS!$D13164,nESPEC,DATOS!$E13164,nASIG,DATOS!$I13164,nEVAL,"EX")=0),0))))</f>
      </c>
      <c r="H13164">
        <f>IF(DATOS!$G13164&lt;&gt;"EX",0,--(COUNTIFS(nNIA,DATOS!$A13164,nCURSO,DATOS!$D13164,nESPEC,DATOS!$E13164,nASIG,DATOS!$I13164,nEVAL,"OR")=0))</f>
      </c>
      <c r="I13164">
        <f>IF(DATOS!$I13164="","",IFERROR(VLOOKUP(DATOS!$I13164,CONFIG_ASIGNATURAS!$B$2:$J$91,9,FALSE()),""))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IF(DATOS!$A13165="",0,IF(CONFIG_METADATA!$B$4&lt;&gt;"OR+EX",--(DATOS!$G13165=CONFIG_METADATA!$B$4),IF(DATOS!$G13165="EX",1,IF(DATOS!$G13165="OR",--(COUNTIFS(nNIA,DATOS!$A13165,nCURSO,DATOS!$D13165,nESPEC,DATOS!$E13165,nASIG,DATOS!$I13165,nEVAL,"EX")=0),0))))</f>
      </c>
      <c r="H13165">
        <f>IF(DATOS!$G13165&lt;&gt;"EX",0,--(COUNTIFS(nNIA,DATOS!$A13165,nCURSO,DATOS!$D13165,nESPEC,DATOS!$E13165,nASIG,DATOS!$I13165,nEVAL,"OR")=0))</f>
      </c>
      <c r="I13165">
        <f>IF(DATOS!$I13165="","",IFERROR(VLOOKUP(DATOS!$I13165,CONFIG_ASIGNATURAS!$B$2:$J$91,9,FALSE()),""))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IF(DATOS!$A13166="",0,IF(CONFIG_METADATA!$B$4&lt;&gt;"OR+EX",--(DATOS!$G13166=CONFIG_METADATA!$B$4),IF(DATOS!$G13166="EX",1,IF(DATOS!$G13166="OR",--(COUNTIFS(nNIA,DATOS!$A13166,nCURSO,DATOS!$D13166,nESPEC,DATOS!$E13166,nASIG,DATOS!$I13166,nEVAL,"EX")=0),0))))</f>
      </c>
      <c r="H13166">
        <f>IF(DATOS!$G13166&lt;&gt;"EX",0,--(COUNTIFS(nNIA,DATOS!$A13166,nCURSO,DATOS!$D13166,nESPEC,DATOS!$E13166,nASIG,DATOS!$I13166,nEVAL,"OR")=0))</f>
      </c>
      <c r="I13166">
        <f>IF(DATOS!$I13166="","",IFERROR(VLOOKUP(DATOS!$I13166,CONFIG_ASIGNATURAS!$B$2:$J$91,9,FALSE()),""))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IF(DATOS!$A13167="",0,IF(CONFIG_METADATA!$B$4&lt;&gt;"OR+EX",--(DATOS!$G13167=CONFIG_METADATA!$B$4),IF(DATOS!$G13167="EX",1,IF(DATOS!$G13167="OR",--(COUNTIFS(nNIA,DATOS!$A13167,nCURSO,DATOS!$D13167,nESPEC,DATOS!$E13167,nASIG,DATOS!$I13167,nEVAL,"EX")=0),0))))</f>
      </c>
      <c r="H13167">
        <f>IF(DATOS!$G13167&lt;&gt;"EX",0,--(COUNTIFS(nNIA,DATOS!$A13167,nCURSO,DATOS!$D13167,nESPEC,DATOS!$E13167,nASIG,DATOS!$I13167,nEVAL,"OR")=0))</f>
      </c>
      <c r="I13167">
        <f>IF(DATOS!$I13167="","",IFERROR(VLOOKUP(DATOS!$I13167,CONFIG_ASIGNATURAS!$B$2:$J$91,9,FALSE()),""))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IF(DATOS!$A13168="",0,IF(CONFIG_METADATA!$B$4&lt;&gt;"OR+EX",--(DATOS!$G13168=CONFIG_METADATA!$B$4),IF(DATOS!$G13168="EX",1,IF(DATOS!$G13168="OR",--(COUNTIFS(nNIA,DATOS!$A13168,nCURSO,DATOS!$D13168,nESPEC,DATOS!$E13168,nASIG,DATOS!$I13168,nEVAL,"EX")=0),0))))</f>
      </c>
      <c r="H13168">
        <f>IF(DATOS!$G13168&lt;&gt;"EX",0,--(COUNTIFS(nNIA,DATOS!$A13168,nCURSO,DATOS!$D13168,nESPEC,DATOS!$E13168,nASIG,DATOS!$I13168,nEVAL,"OR")=0))</f>
      </c>
      <c r="I13168">
        <f>IF(DATOS!$I13168="","",IFERROR(VLOOKUP(DATOS!$I13168,CONFIG_ASIGNATURAS!$B$2:$J$91,9,FALSE()),""))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IF(DATOS!$A13169="",0,IF(CONFIG_METADATA!$B$4&lt;&gt;"OR+EX",--(DATOS!$G13169=CONFIG_METADATA!$B$4),IF(DATOS!$G13169="EX",1,IF(DATOS!$G13169="OR",--(COUNTIFS(nNIA,DATOS!$A13169,nCURSO,DATOS!$D13169,nESPEC,DATOS!$E13169,nASIG,DATOS!$I13169,nEVAL,"EX")=0),0))))</f>
      </c>
      <c r="H13169">
        <f>IF(DATOS!$G13169&lt;&gt;"EX",0,--(COUNTIFS(nNIA,DATOS!$A13169,nCURSO,DATOS!$D13169,nESPEC,DATOS!$E13169,nASIG,DATOS!$I13169,nEVAL,"OR")=0))</f>
      </c>
      <c r="I13169">
        <f>IF(DATOS!$I13169="","",IFERROR(VLOOKUP(DATOS!$I13169,CONFIG_ASIGNATURAS!$B$2:$J$91,9,FALSE()),""))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IF(DATOS!$A13170="",0,IF(CONFIG_METADATA!$B$4&lt;&gt;"OR+EX",--(DATOS!$G13170=CONFIG_METADATA!$B$4),IF(DATOS!$G13170="EX",1,IF(DATOS!$G13170="OR",--(COUNTIFS(nNIA,DATOS!$A13170,nCURSO,DATOS!$D13170,nESPEC,DATOS!$E13170,nASIG,DATOS!$I13170,nEVAL,"EX")=0),0))))</f>
      </c>
      <c r="H13170">
        <f>IF(DATOS!$G13170&lt;&gt;"EX",0,--(COUNTIFS(nNIA,DATOS!$A13170,nCURSO,DATOS!$D13170,nESPEC,DATOS!$E13170,nASIG,DATOS!$I13170,nEVAL,"OR")=0))</f>
      </c>
      <c r="I13170">
        <f>IF(DATOS!$I13170="","",IFERROR(VLOOKUP(DATOS!$I13170,CONFIG_ASIGNATURAS!$B$2:$J$91,9,FALSE()),""))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IF(DATOS!$A13171="",0,IF(CONFIG_METADATA!$B$4&lt;&gt;"OR+EX",--(DATOS!$G13171=CONFIG_METADATA!$B$4),IF(DATOS!$G13171="EX",1,IF(DATOS!$G13171="OR",--(COUNTIFS(nNIA,DATOS!$A13171,nCURSO,DATOS!$D13171,nESPEC,DATOS!$E13171,nASIG,DATOS!$I13171,nEVAL,"EX")=0),0))))</f>
      </c>
      <c r="H13171">
        <f>IF(DATOS!$G13171&lt;&gt;"EX",0,--(COUNTIFS(nNIA,DATOS!$A13171,nCURSO,DATOS!$D13171,nESPEC,DATOS!$E13171,nASIG,DATOS!$I13171,nEVAL,"OR")=0))</f>
      </c>
      <c r="I13171">
        <f>IF(DATOS!$I13171="","",IFERROR(VLOOKUP(DATOS!$I13171,CONFIG_ASIGNATURAS!$B$2:$J$91,9,FALSE()),""))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IF(DATOS!$A13172="",0,IF(CONFIG_METADATA!$B$4&lt;&gt;"OR+EX",--(DATOS!$G13172=CONFIG_METADATA!$B$4),IF(DATOS!$G13172="EX",1,IF(DATOS!$G13172="OR",--(COUNTIFS(nNIA,DATOS!$A13172,nCURSO,DATOS!$D13172,nESPEC,DATOS!$E13172,nASIG,DATOS!$I13172,nEVAL,"EX")=0),0))))</f>
      </c>
      <c r="H13172">
        <f>IF(DATOS!$G13172&lt;&gt;"EX",0,--(COUNTIFS(nNIA,DATOS!$A13172,nCURSO,DATOS!$D13172,nESPEC,DATOS!$E13172,nASIG,DATOS!$I13172,nEVAL,"OR")=0))</f>
      </c>
      <c r="I13172">
        <f>IF(DATOS!$I13172="","",IFERROR(VLOOKUP(DATOS!$I13172,CONFIG_ASIGNATURAS!$B$2:$J$91,9,FALSE()),""))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IF(DATOS!$A13173="",0,IF(CONFIG_METADATA!$B$4&lt;&gt;"OR+EX",--(DATOS!$G13173=CONFIG_METADATA!$B$4),IF(DATOS!$G13173="EX",1,IF(DATOS!$G13173="OR",--(COUNTIFS(nNIA,DATOS!$A13173,nCURSO,DATOS!$D13173,nESPEC,DATOS!$E13173,nASIG,DATOS!$I13173,nEVAL,"EX")=0),0))))</f>
      </c>
      <c r="H13173">
        <f>IF(DATOS!$G13173&lt;&gt;"EX",0,--(COUNTIFS(nNIA,DATOS!$A13173,nCURSO,DATOS!$D13173,nESPEC,DATOS!$E13173,nASIG,DATOS!$I13173,nEVAL,"OR")=0))</f>
      </c>
      <c r="I13173">
        <f>IF(DATOS!$I13173="","",IFERROR(VLOOKUP(DATOS!$I13173,CONFIG_ASIGNATURAS!$B$2:$J$91,9,FALSE()),""))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IF(DATOS!$A13174="",0,IF(CONFIG_METADATA!$B$4&lt;&gt;"OR+EX",--(DATOS!$G13174=CONFIG_METADATA!$B$4),IF(DATOS!$G13174="EX",1,IF(DATOS!$G13174="OR",--(COUNTIFS(nNIA,DATOS!$A13174,nCURSO,DATOS!$D13174,nESPEC,DATOS!$E13174,nASIG,DATOS!$I13174,nEVAL,"EX")=0),0))))</f>
      </c>
      <c r="H13174">
        <f>IF(DATOS!$G13174&lt;&gt;"EX",0,--(COUNTIFS(nNIA,DATOS!$A13174,nCURSO,DATOS!$D13174,nESPEC,DATOS!$E13174,nASIG,DATOS!$I13174,nEVAL,"OR")=0))</f>
      </c>
      <c r="I13174">
        <f>IF(DATOS!$I13174="","",IFERROR(VLOOKUP(DATOS!$I13174,CONFIG_ASIGNATURAS!$B$2:$J$91,9,FALSE()),""))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IF(DATOS!$A13175="",0,IF(CONFIG_METADATA!$B$4&lt;&gt;"OR+EX",--(DATOS!$G13175=CONFIG_METADATA!$B$4),IF(DATOS!$G13175="EX",1,IF(DATOS!$G13175="OR",--(COUNTIFS(nNIA,DATOS!$A13175,nCURSO,DATOS!$D13175,nESPEC,DATOS!$E13175,nASIG,DATOS!$I13175,nEVAL,"EX")=0),0))))</f>
      </c>
      <c r="H13175">
        <f>IF(DATOS!$G13175&lt;&gt;"EX",0,--(COUNTIFS(nNIA,DATOS!$A13175,nCURSO,DATOS!$D13175,nESPEC,DATOS!$E13175,nASIG,DATOS!$I13175,nEVAL,"OR")=0))</f>
      </c>
      <c r="I13175">
        <f>IF(DATOS!$I13175="","",IFERROR(VLOOKUP(DATOS!$I13175,CONFIG_ASIGNATURAS!$B$2:$J$91,9,FALSE()),""))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IF(DATOS!$A13176="",0,IF(CONFIG_METADATA!$B$4&lt;&gt;"OR+EX",--(DATOS!$G13176=CONFIG_METADATA!$B$4),IF(DATOS!$G13176="EX",1,IF(DATOS!$G13176="OR",--(COUNTIFS(nNIA,DATOS!$A13176,nCURSO,DATOS!$D13176,nESPEC,DATOS!$E13176,nASIG,DATOS!$I13176,nEVAL,"EX")=0),0))))</f>
      </c>
      <c r="H13176">
        <f>IF(DATOS!$G13176&lt;&gt;"EX",0,--(COUNTIFS(nNIA,DATOS!$A13176,nCURSO,DATOS!$D13176,nESPEC,DATOS!$E13176,nASIG,DATOS!$I13176,nEVAL,"OR")=0))</f>
      </c>
      <c r="I13176">
        <f>IF(DATOS!$I13176="","",IFERROR(VLOOKUP(DATOS!$I13176,CONFIG_ASIGNATURAS!$B$2:$J$91,9,FALSE()),""))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IF(DATOS!$A13177="",0,IF(CONFIG_METADATA!$B$4&lt;&gt;"OR+EX",--(DATOS!$G13177=CONFIG_METADATA!$B$4),IF(DATOS!$G13177="EX",1,IF(DATOS!$G13177="OR",--(COUNTIFS(nNIA,DATOS!$A13177,nCURSO,DATOS!$D13177,nESPEC,DATOS!$E13177,nASIG,DATOS!$I13177,nEVAL,"EX")=0),0))))</f>
      </c>
      <c r="H13177">
        <f>IF(DATOS!$G13177&lt;&gt;"EX",0,--(COUNTIFS(nNIA,DATOS!$A13177,nCURSO,DATOS!$D13177,nESPEC,DATOS!$E13177,nASIG,DATOS!$I13177,nEVAL,"OR")=0))</f>
      </c>
      <c r="I13177">
        <f>IF(DATOS!$I13177="","",IFERROR(VLOOKUP(DATOS!$I13177,CONFIG_ASIGNATURAS!$B$2:$J$91,9,FALSE()),""))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IF(DATOS!$A13178="",0,IF(CONFIG_METADATA!$B$4&lt;&gt;"OR+EX",--(DATOS!$G13178=CONFIG_METADATA!$B$4),IF(DATOS!$G13178="EX",1,IF(DATOS!$G13178="OR",--(COUNTIFS(nNIA,DATOS!$A13178,nCURSO,DATOS!$D13178,nESPEC,DATOS!$E13178,nASIG,DATOS!$I13178,nEVAL,"EX")=0),0))))</f>
      </c>
      <c r="H13178">
        <f>IF(DATOS!$G13178&lt;&gt;"EX",0,--(COUNTIFS(nNIA,DATOS!$A13178,nCURSO,DATOS!$D13178,nESPEC,DATOS!$E13178,nASIG,DATOS!$I13178,nEVAL,"OR")=0))</f>
      </c>
      <c r="I13178">
        <f>IF(DATOS!$I13178="","",IFERROR(VLOOKUP(DATOS!$I13178,CONFIG_ASIGNATURAS!$B$2:$J$91,9,FALSE()),""))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IF(DATOS!$A13179="",0,IF(CONFIG_METADATA!$B$4&lt;&gt;"OR+EX",--(DATOS!$G13179=CONFIG_METADATA!$B$4),IF(DATOS!$G13179="EX",1,IF(DATOS!$G13179="OR",--(COUNTIFS(nNIA,DATOS!$A13179,nCURSO,DATOS!$D13179,nESPEC,DATOS!$E13179,nASIG,DATOS!$I13179,nEVAL,"EX")=0),0))))</f>
      </c>
      <c r="H13179">
        <f>IF(DATOS!$G13179&lt;&gt;"EX",0,--(COUNTIFS(nNIA,DATOS!$A13179,nCURSO,DATOS!$D13179,nESPEC,DATOS!$E13179,nASIG,DATOS!$I13179,nEVAL,"OR")=0))</f>
      </c>
      <c r="I13179">
        <f>IF(DATOS!$I13179="","",IFERROR(VLOOKUP(DATOS!$I13179,CONFIG_ASIGNATURAS!$B$2:$J$91,9,FALSE()),""))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IF(DATOS!$A13180="",0,IF(CONFIG_METADATA!$B$4&lt;&gt;"OR+EX",--(DATOS!$G13180=CONFIG_METADATA!$B$4),IF(DATOS!$G13180="EX",1,IF(DATOS!$G13180="OR",--(COUNTIFS(nNIA,DATOS!$A13180,nCURSO,DATOS!$D13180,nESPEC,DATOS!$E13180,nASIG,DATOS!$I13180,nEVAL,"EX")=0),0))))</f>
      </c>
      <c r="H13180">
        <f>IF(DATOS!$G13180&lt;&gt;"EX",0,--(COUNTIFS(nNIA,DATOS!$A13180,nCURSO,DATOS!$D13180,nESPEC,DATOS!$E13180,nASIG,DATOS!$I13180,nEVAL,"OR")=0))</f>
      </c>
      <c r="I13180">
        <f>IF(DATOS!$I13180="","",IFERROR(VLOOKUP(DATOS!$I13180,CONFIG_ASIGNATURAS!$B$2:$J$91,9,FALSE()),""))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IF(DATOS!$A13181="",0,IF(CONFIG_METADATA!$B$4&lt;&gt;"OR+EX",--(DATOS!$G13181=CONFIG_METADATA!$B$4),IF(DATOS!$G13181="EX",1,IF(DATOS!$G13181="OR",--(COUNTIFS(nNIA,DATOS!$A13181,nCURSO,DATOS!$D13181,nESPEC,DATOS!$E13181,nASIG,DATOS!$I13181,nEVAL,"EX")=0),0))))</f>
      </c>
      <c r="H13181">
        <f>IF(DATOS!$G13181&lt;&gt;"EX",0,--(COUNTIFS(nNIA,DATOS!$A13181,nCURSO,DATOS!$D13181,nESPEC,DATOS!$E13181,nASIG,DATOS!$I13181,nEVAL,"OR")=0))</f>
      </c>
      <c r="I13181">
        <f>IF(DATOS!$I13181="","",IFERROR(VLOOKUP(DATOS!$I13181,CONFIG_ASIGNATURAS!$B$2:$J$91,9,FALSE()),""))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IF(DATOS!$A13182="",0,IF(CONFIG_METADATA!$B$4&lt;&gt;"OR+EX",--(DATOS!$G13182=CONFIG_METADATA!$B$4),IF(DATOS!$G13182="EX",1,IF(DATOS!$G13182="OR",--(COUNTIFS(nNIA,DATOS!$A13182,nCURSO,DATOS!$D13182,nESPEC,DATOS!$E13182,nASIG,DATOS!$I13182,nEVAL,"EX")=0),0))))</f>
      </c>
      <c r="H13182">
        <f>IF(DATOS!$G13182&lt;&gt;"EX",0,--(COUNTIFS(nNIA,DATOS!$A13182,nCURSO,DATOS!$D13182,nESPEC,DATOS!$E13182,nASIG,DATOS!$I13182,nEVAL,"OR")=0))</f>
      </c>
      <c r="I13182">
        <f>IF(DATOS!$I13182="","",IFERROR(VLOOKUP(DATOS!$I13182,CONFIG_ASIGNATURAS!$B$2:$J$91,9,FALSE()),""))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IF(DATOS!$A13183="",0,IF(CONFIG_METADATA!$B$4&lt;&gt;"OR+EX",--(DATOS!$G13183=CONFIG_METADATA!$B$4),IF(DATOS!$G13183="EX",1,IF(DATOS!$G13183="OR",--(COUNTIFS(nNIA,DATOS!$A13183,nCURSO,DATOS!$D13183,nESPEC,DATOS!$E13183,nASIG,DATOS!$I13183,nEVAL,"EX")=0),0))))</f>
      </c>
      <c r="H13183">
        <f>IF(DATOS!$G13183&lt;&gt;"EX",0,--(COUNTIFS(nNIA,DATOS!$A13183,nCURSO,DATOS!$D13183,nESPEC,DATOS!$E13183,nASIG,DATOS!$I13183,nEVAL,"OR")=0))</f>
      </c>
      <c r="I13183">
        <f>IF(DATOS!$I13183="","",IFERROR(VLOOKUP(DATOS!$I13183,CONFIG_ASIGNATURAS!$B$2:$J$91,9,FALSE()),""))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IF(DATOS!$A13184="",0,IF(CONFIG_METADATA!$B$4&lt;&gt;"OR+EX",--(DATOS!$G13184=CONFIG_METADATA!$B$4),IF(DATOS!$G13184="EX",1,IF(DATOS!$G13184="OR",--(COUNTIFS(nNIA,DATOS!$A13184,nCURSO,DATOS!$D13184,nESPEC,DATOS!$E13184,nASIG,DATOS!$I13184,nEVAL,"EX")=0),0))))</f>
      </c>
      <c r="H13184">
        <f>IF(DATOS!$G13184&lt;&gt;"EX",0,--(COUNTIFS(nNIA,DATOS!$A13184,nCURSO,DATOS!$D13184,nESPEC,DATOS!$E13184,nASIG,DATOS!$I13184,nEVAL,"OR")=0))</f>
      </c>
      <c r="I13184">
        <f>IF(DATOS!$I13184="","",IFERROR(VLOOKUP(DATOS!$I13184,CONFIG_ASIGNATURAS!$B$2:$J$91,9,FALSE()),""))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IF(DATOS!$A13185="",0,IF(CONFIG_METADATA!$B$4&lt;&gt;"OR+EX",--(DATOS!$G13185=CONFIG_METADATA!$B$4),IF(DATOS!$G13185="EX",1,IF(DATOS!$G13185="OR",--(COUNTIFS(nNIA,DATOS!$A13185,nCURSO,DATOS!$D13185,nESPEC,DATOS!$E13185,nASIG,DATOS!$I13185,nEVAL,"EX")=0),0))))</f>
      </c>
      <c r="H13185">
        <f>IF(DATOS!$G13185&lt;&gt;"EX",0,--(COUNTIFS(nNIA,DATOS!$A13185,nCURSO,DATOS!$D13185,nESPEC,DATOS!$E13185,nASIG,DATOS!$I13185,nEVAL,"OR")=0))</f>
      </c>
      <c r="I13185">
        <f>IF(DATOS!$I13185="","",IFERROR(VLOOKUP(DATOS!$I13185,CONFIG_ASIGNATURAS!$B$2:$J$91,9,FALSE()),""))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IF(DATOS!$A13186="",0,IF(CONFIG_METADATA!$B$4&lt;&gt;"OR+EX",--(DATOS!$G13186=CONFIG_METADATA!$B$4),IF(DATOS!$G13186="EX",1,IF(DATOS!$G13186="OR",--(COUNTIFS(nNIA,DATOS!$A13186,nCURSO,DATOS!$D13186,nESPEC,DATOS!$E13186,nASIG,DATOS!$I13186,nEVAL,"EX")=0),0))))</f>
      </c>
      <c r="H13186">
        <f>IF(DATOS!$G13186&lt;&gt;"EX",0,--(COUNTIFS(nNIA,DATOS!$A13186,nCURSO,DATOS!$D13186,nESPEC,DATOS!$E13186,nASIG,DATOS!$I13186,nEVAL,"OR")=0))</f>
      </c>
      <c r="I13186">
        <f>IF(DATOS!$I13186="","",IFERROR(VLOOKUP(DATOS!$I13186,CONFIG_ASIGNATURAS!$B$2:$J$91,9,FALSE()),""))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IF(DATOS!$A13187="",0,IF(CONFIG_METADATA!$B$4&lt;&gt;"OR+EX",--(DATOS!$G13187=CONFIG_METADATA!$B$4),IF(DATOS!$G13187="EX",1,IF(DATOS!$G13187="OR",--(COUNTIFS(nNIA,DATOS!$A13187,nCURSO,DATOS!$D13187,nESPEC,DATOS!$E13187,nASIG,DATOS!$I13187,nEVAL,"EX")=0),0))))</f>
      </c>
      <c r="H13187">
        <f>IF(DATOS!$G13187&lt;&gt;"EX",0,--(COUNTIFS(nNIA,DATOS!$A13187,nCURSO,DATOS!$D13187,nESPEC,DATOS!$E13187,nASIG,DATOS!$I13187,nEVAL,"OR")=0))</f>
      </c>
      <c r="I13187">
        <f>IF(DATOS!$I13187="","",IFERROR(VLOOKUP(DATOS!$I13187,CONFIG_ASIGNATURAS!$B$2:$J$91,9,FALSE()),""))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IF(DATOS!$A13188="",0,IF(CONFIG_METADATA!$B$4&lt;&gt;"OR+EX",--(DATOS!$G13188=CONFIG_METADATA!$B$4),IF(DATOS!$G13188="EX",1,IF(DATOS!$G13188="OR",--(COUNTIFS(nNIA,DATOS!$A13188,nCURSO,DATOS!$D13188,nESPEC,DATOS!$E13188,nASIG,DATOS!$I13188,nEVAL,"EX")=0),0))))</f>
      </c>
      <c r="H13188">
        <f>IF(DATOS!$G13188&lt;&gt;"EX",0,--(COUNTIFS(nNIA,DATOS!$A13188,nCURSO,DATOS!$D13188,nESPEC,DATOS!$E13188,nASIG,DATOS!$I13188,nEVAL,"OR")=0))</f>
      </c>
      <c r="I13188">
        <f>IF(DATOS!$I13188="","",IFERROR(VLOOKUP(DATOS!$I13188,CONFIG_ASIGNATURAS!$B$2:$J$91,9,FALSE()),""))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IF(DATOS!$A13189="",0,IF(CONFIG_METADATA!$B$4&lt;&gt;"OR+EX",--(DATOS!$G13189=CONFIG_METADATA!$B$4),IF(DATOS!$G13189="EX",1,IF(DATOS!$G13189="OR",--(COUNTIFS(nNIA,DATOS!$A13189,nCURSO,DATOS!$D13189,nESPEC,DATOS!$E13189,nASIG,DATOS!$I13189,nEVAL,"EX")=0),0))))</f>
      </c>
      <c r="H13189">
        <f>IF(DATOS!$G13189&lt;&gt;"EX",0,--(COUNTIFS(nNIA,DATOS!$A13189,nCURSO,DATOS!$D13189,nESPEC,DATOS!$E13189,nASIG,DATOS!$I13189,nEVAL,"OR")=0))</f>
      </c>
      <c r="I13189">
        <f>IF(DATOS!$I13189="","",IFERROR(VLOOKUP(DATOS!$I13189,CONFIG_ASIGNATURAS!$B$2:$J$91,9,FALSE()),""))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IF(DATOS!$A13190="",0,IF(CONFIG_METADATA!$B$4&lt;&gt;"OR+EX",--(DATOS!$G13190=CONFIG_METADATA!$B$4),IF(DATOS!$G13190="EX",1,IF(DATOS!$G13190="OR",--(COUNTIFS(nNIA,DATOS!$A13190,nCURSO,DATOS!$D13190,nESPEC,DATOS!$E13190,nASIG,DATOS!$I13190,nEVAL,"EX")=0),0))))</f>
      </c>
      <c r="H13190">
        <f>IF(DATOS!$G13190&lt;&gt;"EX",0,--(COUNTIFS(nNIA,DATOS!$A13190,nCURSO,DATOS!$D13190,nESPEC,DATOS!$E13190,nASIG,DATOS!$I13190,nEVAL,"OR")=0))</f>
      </c>
      <c r="I13190">
        <f>IF(DATOS!$I13190="","",IFERROR(VLOOKUP(DATOS!$I13190,CONFIG_ASIGNATURAS!$B$2:$J$91,9,FALSE()),""))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IF(DATOS!$A13191="",0,IF(CONFIG_METADATA!$B$4&lt;&gt;"OR+EX",--(DATOS!$G13191=CONFIG_METADATA!$B$4),IF(DATOS!$G13191="EX",1,IF(DATOS!$G13191="OR",--(COUNTIFS(nNIA,DATOS!$A13191,nCURSO,DATOS!$D13191,nESPEC,DATOS!$E13191,nASIG,DATOS!$I13191,nEVAL,"EX")=0),0))))</f>
      </c>
      <c r="H13191">
        <f>IF(DATOS!$G13191&lt;&gt;"EX",0,--(COUNTIFS(nNIA,DATOS!$A13191,nCURSO,DATOS!$D13191,nESPEC,DATOS!$E13191,nASIG,DATOS!$I13191,nEVAL,"OR")=0))</f>
      </c>
      <c r="I13191">
        <f>IF(DATOS!$I13191="","",IFERROR(VLOOKUP(DATOS!$I13191,CONFIG_ASIGNATURAS!$B$2:$J$91,9,FALSE()),""))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IF(DATOS!$A13192="",0,IF(CONFIG_METADATA!$B$4&lt;&gt;"OR+EX",--(DATOS!$G13192=CONFIG_METADATA!$B$4),IF(DATOS!$G13192="EX",1,IF(DATOS!$G13192="OR",--(COUNTIFS(nNIA,DATOS!$A13192,nCURSO,DATOS!$D13192,nESPEC,DATOS!$E13192,nASIG,DATOS!$I13192,nEVAL,"EX")=0),0))))</f>
      </c>
      <c r="H13192">
        <f>IF(DATOS!$G13192&lt;&gt;"EX",0,--(COUNTIFS(nNIA,DATOS!$A13192,nCURSO,DATOS!$D13192,nESPEC,DATOS!$E13192,nASIG,DATOS!$I13192,nEVAL,"OR")=0))</f>
      </c>
      <c r="I13192">
        <f>IF(DATOS!$I13192="","",IFERROR(VLOOKUP(DATOS!$I13192,CONFIG_ASIGNATURAS!$B$2:$J$91,9,FALSE()),""))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IF(DATOS!$A13193="",0,IF(CONFIG_METADATA!$B$4&lt;&gt;"OR+EX",--(DATOS!$G13193=CONFIG_METADATA!$B$4),IF(DATOS!$G13193="EX",1,IF(DATOS!$G13193="OR",--(COUNTIFS(nNIA,DATOS!$A13193,nCURSO,DATOS!$D13193,nESPEC,DATOS!$E13193,nASIG,DATOS!$I13193,nEVAL,"EX")=0),0))))</f>
      </c>
      <c r="H13193">
        <f>IF(DATOS!$G13193&lt;&gt;"EX",0,--(COUNTIFS(nNIA,DATOS!$A13193,nCURSO,DATOS!$D13193,nESPEC,DATOS!$E13193,nASIG,DATOS!$I13193,nEVAL,"OR")=0))</f>
      </c>
      <c r="I13193">
        <f>IF(DATOS!$I13193="","",IFERROR(VLOOKUP(DATOS!$I13193,CONFIG_ASIGNATURAS!$B$2:$J$91,9,FALSE()),""))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IF(DATOS!$A13194="",0,IF(CONFIG_METADATA!$B$4&lt;&gt;"OR+EX",--(DATOS!$G13194=CONFIG_METADATA!$B$4),IF(DATOS!$G13194="EX",1,IF(DATOS!$G13194="OR",--(COUNTIFS(nNIA,DATOS!$A13194,nCURSO,DATOS!$D13194,nESPEC,DATOS!$E13194,nASIG,DATOS!$I13194,nEVAL,"EX")=0),0))))</f>
      </c>
      <c r="H13194">
        <f>IF(DATOS!$G13194&lt;&gt;"EX",0,--(COUNTIFS(nNIA,DATOS!$A13194,nCURSO,DATOS!$D13194,nESPEC,DATOS!$E13194,nASIG,DATOS!$I13194,nEVAL,"OR")=0))</f>
      </c>
      <c r="I13194">
        <f>IF(DATOS!$I13194="","",IFERROR(VLOOKUP(DATOS!$I13194,CONFIG_ASIGNATURAS!$B$2:$J$91,9,FALSE()),""))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IF(DATOS!$A13195="",0,IF(CONFIG_METADATA!$B$4&lt;&gt;"OR+EX",--(DATOS!$G13195=CONFIG_METADATA!$B$4),IF(DATOS!$G13195="EX",1,IF(DATOS!$G13195="OR",--(COUNTIFS(nNIA,DATOS!$A13195,nCURSO,DATOS!$D13195,nESPEC,DATOS!$E13195,nASIG,DATOS!$I13195,nEVAL,"EX")=0),0))))</f>
      </c>
      <c r="H13195">
        <f>IF(DATOS!$G13195&lt;&gt;"EX",0,--(COUNTIFS(nNIA,DATOS!$A13195,nCURSO,DATOS!$D13195,nESPEC,DATOS!$E13195,nASIG,DATOS!$I13195,nEVAL,"OR")=0))</f>
      </c>
      <c r="I13195">
        <f>IF(DATOS!$I13195="","",IFERROR(VLOOKUP(DATOS!$I13195,CONFIG_ASIGNATURAS!$B$2:$J$91,9,FALSE()),""))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IF(DATOS!$A13196="",0,IF(CONFIG_METADATA!$B$4&lt;&gt;"OR+EX",--(DATOS!$G13196=CONFIG_METADATA!$B$4),IF(DATOS!$G13196="EX",1,IF(DATOS!$G13196="OR",--(COUNTIFS(nNIA,DATOS!$A13196,nCURSO,DATOS!$D13196,nESPEC,DATOS!$E13196,nASIG,DATOS!$I13196,nEVAL,"EX")=0),0))))</f>
      </c>
      <c r="H13196">
        <f>IF(DATOS!$G13196&lt;&gt;"EX",0,--(COUNTIFS(nNIA,DATOS!$A13196,nCURSO,DATOS!$D13196,nESPEC,DATOS!$E13196,nASIG,DATOS!$I13196,nEVAL,"OR")=0))</f>
      </c>
      <c r="I13196">
        <f>IF(DATOS!$I13196="","",IFERROR(VLOOKUP(DATOS!$I13196,CONFIG_ASIGNATURAS!$B$2:$J$91,9,FALSE()),""))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IF(DATOS!$A13197="",0,IF(CONFIG_METADATA!$B$4&lt;&gt;"OR+EX",--(DATOS!$G13197=CONFIG_METADATA!$B$4),IF(DATOS!$G13197="EX",1,IF(DATOS!$G13197="OR",--(COUNTIFS(nNIA,DATOS!$A13197,nCURSO,DATOS!$D13197,nESPEC,DATOS!$E13197,nASIG,DATOS!$I13197,nEVAL,"EX")=0),0))))</f>
      </c>
      <c r="H13197">
        <f>IF(DATOS!$G13197&lt;&gt;"EX",0,--(COUNTIFS(nNIA,DATOS!$A13197,nCURSO,DATOS!$D13197,nESPEC,DATOS!$E13197,nASIG,DATOS!$I13197,nEVAL,"OR")=0))</f>
      </c>
      <c r="I13197">
        <f>IF(DATOS!$I13197="","",IFERROR(VLOOKUP(DATOS!$I13197,CONFIG_ASIGNATURAS!$B$2:$J$91,9,FALSE()),""))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IF(DATOS!$A13198="",0,IF(CONFIG_METADATA!$B$4&lt;&gt;"OR+EX",--(DATOS!$G13198=CONFIG_METADATA!$B$4),IF(DATOS!$G13198="EX",1,IF(DATOS!$G13198="OR",--(COUNTIFS(nNIA,DATOS!$A13198,nCURSO,DATOS!$D13198,nESPEC,DATOS!$E13198,nASIG,DATOS!$I13198,nEVAL,"EX")=0),0))))</f>
      </c>
      <c r="H13198">
        <f>IF(DATOS!$G13198&lt;&gt;"EX",0,--(COUNTIFS(nNIA,DATOS!$A13198,nCURSO,DATOS!$D13198,nESPEC,DATOS!$E13198,nASIG,DATOS!$I13198,nEVAL,"OR")=0))</f>
      </c>
      <c r="I13198">
        <f>IF(DATOS!$I13198="","",IFERROR(VLOOKUP(DATOS!$I13198,CONFIG_ASIGNATURAS!$B$2:$J$91,9,FALSE()),""))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IF(DATOS!$A13199="",0,IF(CONFIG_METADATA!$B$4&lt;&gt;"OR+EX",--(DATOS!$G13199=CONFIG_METADATA!$B$4),IF(DATOS!$G13199="EX",1,IF(DATOS!$G13199="OR",--(COUNTIFS(nNIA,DATOS!$A13199,nCURSO,DATOS!$D13199,nESPEC,DATOS!$E13199,nASIG,DATOS!$I13199,nEVAL,"EX")=0),0))))</f>
      </c>
      <c r="H13199">
        <f>IF(DATOS!$G13199&lt;&gt;"EX",0,--(COUNTIFS(nNIA,DATOS!$A13199,nCURSO,DATOS!$D13199,nESPEC,DATOS!$E13199,nASIG,DATOS!$I13199,nEVAL,"OR")=0))</f>
      </c>
      <c r="I13199">
        <f>IF(DATOS!$I13199="","",IFERROR(VLOOKUP(DATOS!$I13199,CONFIG_ASIGNATURAS!$B$2:$J$91,9,FALSE()),""))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IF(DATOS!$A13200="",0,IF(CONFIG_METADATA!$B$4&lt;&gt;"OR+EX",--(DATOS!$G13200=CONFIG_METADATA!$B$4),IF(DATOS!$G13200="EX",1,IF(DATOS!$G13200="OR",--(COUNTIFS(nNIA,DATOS!$A13200,nCURSO,DATOS!$D13200,nESPEC,DATOS!$E13200,nASIG,DATOS!$I13200,nEVAL,"EX")=0),0))))</f>
      </c>
      <c r="H13200">
        <f>IF(DATOS!$G13200&lt;&gt;"EX",0,--(COUNTIFS(nNIA,DATOS!$A13200,nCURSO,DATOS!$D13200,nESPEC,DATOS!$E13200,nASIG,DATOS!$I13200,nEVAL,"OR")=0))</f>
      </c>
      <c r="I13200">
        <f>IF(DATOS!$I13200="","",IFERROR(VLOOKUP(DATOS!$I13200,CONFIG_ASIGNATURAS!$B$2:$J$91,9,FALSE()),""))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IF(DATOS!$A13201="",0,IF(CONFIG_METADATA!$B$4&lt;&gt;"OR+EX",--(DATOS!$G13201=CONFIG_METADATA!$B$4),IF(DATOS!$G13201="EX",1,IF(DATOS!$G13201="OR",--(COUNTIFS(nNIA,DATOS!$A13201,nCURSO,DATOS!$D13201,nESPEC,DATOS!$E13201,nASIG,DATOS!$I13201,nEVAL,"EX")=0),0))))</f>
      </c>
      <c r="H13201">
        <f>IF(DATOS!$G13201&lt;&gt;"EX",0,--(COUNTIFS(nNIA,DATOS!$A13201,nCURSO,DATOS!$D13201,nESPEC,DATOS!$E13201,nASIG,DATOS!$I13201,nEVAL,"OR")=0))</f>
      </c>
      <c r="I13201">
        <f>IF(DATOS!$I13201="","",IFERROR(VLOOKUP(DATOS!$I13201,CONFIG_ASIGNATURAS!$B$2:$J$91,9,FALSE()),""))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IF(DATOS!$A13202="",0,IF(CONFIG_METADATA!$B$4&lt;&gt;"OR+EX",--(DATOS!$G13202=CONFIG_METADATA!$B$4),IF(DATOS!$G13202="EX",1,IF(DATOS!$G13202="OR",--(COUNTIFS(nNIA,DATOS!$A13202,nCURSO,DATOS!$D13202,nESPEC,DATOS!$E13202,nASIG,DATOS!$I13202,nEVAL,"EX")=0),0))))</f>
      </c>
      <c r="H13202">
        <f>IF(DATOS!$G13202&lt;&gt;"EX",0,--(COUNTIFS(nNIA,DATOS!$A13202,nCURSO,DATOS!$D13202,nESPEC,DATOS!$E13202,nASIG,DATOS!$I13202,nEVAL,"OR")=0))</f>
      </c>
      <c r="I13202">
        <f>IF(DATOS!$I13202="","",IFERROR(VLOOKUP(DATOS!$I13202,CONFIG_ASIGNATURAS!$B$2:$J$91,9,FALSE()),""))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IF(DATOS!$A13203="",0,IF(CONFIG_METADATA!$B$4&lt;&gt;"OR+EX",--(DATOS!$G13203=CONFIG_METADATA!$B$4),IF(DATOS!$G13203="EX",1,IF(DATOS!$G13203="OR",--(COUNTIFS(nNIA,DATOS!$A13203,nCURSO,DATOS!$D13203,nESPEC,DATOS!$E13203,nASIG,DATOS!$I13203,nEVAL,"EX")=0),0))))</f>
      </c>
      <c r="H13203">
        <f>IF(DATOS!$G13203&lt;&gt;"EX",0,--(COUNTIFS(nNIA,DATOS!$A13203,nCURSO,DATOS!$D13203,nESPEC,DATOS!$E13203,nASIG,DATOS!$I13203,nEVAL,"OR")=0))</f>
      </c>
      <c r="I13203">
        <f>IF(DATOS!$I13203="","",IFERROR(VLOOKUP(DATOS!$I13203,CONFIG_ASIGNATURAS!$B$2:$J$91,9,FALSE()),""))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IF(DATOS!$A13204="",0,IF(CONFIG_METADATA!$B$4&lt;&gt;"OR+EX",--(DATOS!$G13204=CONFIG_METADATA!$B$4),IF(DATOS!$G13204="EX",1,IF(DATOS!$G13204="OR",--(COUNTIFS(nNIA,DATOS!$A13204,nCURSO,DATOS!$D13204,nESPEC,DATOS!$E13204,nASIG,DATOS!$I13204,nEVAL,"EX")=0),0))))</f>
      </c>
      <c r="H13204">
        <f>IF(DATOS!$G13204&lt;&gt;"EX",0,--(COUNTIFS(nNIA,DATOS!$A13204,nCURSO,DATOS!$D13204,nESPEC,DATOS!$E13204,nASIG,DATOS!$I13204,nEVAL,"OR")=0))</f>
      </c>
      <c r="I13204">
        <f>IF(DATOS!$I13204="","",IFERROR(VLOOKUP(DATOS!$I13204,CONFIG_ASIGNATURAS!$B$2:$J$91,9,FALSE()),""))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IF(DATOS!$A13205="",0,IF(CONFIG_METADATA!$B$4&lt;&gt;"OR+EX",--(DATOS!$G13205=CONFIG_METADATA!$B$4),IF(DATOS!$G13205="EX",1,IF(DATOS!$G13205="OR",--(COUNTIFS(nNIA,DATOS!$A13205,nCURSO,DATOS!$D13205,nESPEC,DATOS!$E13205,nASIG,DATOS!$I13205,nEVAL,"EX")=0),0))))</f>
      </c>
      <c r="H13205">
        <f>IF(DATOS!$G13205&lt;&gt;"EX",0,--(COUNTIFS(nNIA,DATOS!$A13205,nCURSO,DATOS!$D13205,nESPEC,DATOS!$E13205,nASIG,DATOS!$I13205,nEVAL,"OR")=0))</f>
      </c>
      <c r="I13205">
        <f>IF(DATOS!$I13205="","",IFERROR(VLOOKUP(DATOS!$I13205,CONFIG_ASIGNATURAS!$B$2:$J$91,9,FALSE()),""))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IF(DATOS!$A13206="",0,IF(CONFIG_METADATA!$B$4&lt;&gt;"OR+EX",--(DATOS!$G13206=CONFIG_METADATA!$B$4),IF(DATOS!$G13206="EX",1,IF(DATOS!$G13206="OR",--(COUNTIFS(nNIA,DATOS!$A13206,nCURSO,DATOS!$D13206,nESPEC,DATOS!$E13206,nASIG,DATOS!$I13206,nEVAL,"EX")=0),0))))</f>
      </c>
      <c r="H13206">
        <f>IF(DATOS!$G13206&lt;&gt;"EX",0,--(COUNTIFS(nNIA,DATOS!$A13206,nCURSO,DATOS!$D13206,nESPEC,DATOS!$E13206,nASIG,DATOS!$I13206,nEVAL,"OR")=0))</f>
      </c>
      <c r="I13206">
        <f>IF(DATOS!$I13206="","",IFERROR(VLOOKUP(DATOS!$I13206,CONFIG_ASIGNATURAS!$B$2:$J$91,9,FALSE()),""))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IF(DATOS!$A13207="",0,IF(CONFIG_METADATA!$B$4&lt;&gt;"OR+EX",--(DATOS!$G13207=CONFIG_METADATA!$B$4),IF(DATOS!$G13207="EX",1,IF(DATOS!$G13207="OR",--(COUNTIFS(nNIA,DATOS!$A13207,nCURSO,DATOS!$D13207,nESPEC,DATOS!$E13207,nASIG,DATOS!$I13207,nEVAL,"EX")=0),0))))</f>
      </c>
      <c r="H13207">
        <f>IF(DATOS!$G13207&lt;&gt;"EX",0,--(COUNTIFS(nNIA,DATOS!$A13207,nCURSO,DATOS!$D13207,nESPEC,DATOS!$E13207,nASIG,DATOS!$I13207,nEVAL,"OR")=0))</f>
      </c>
      <c r="I13207">
        <f>IF(DATOS!$I13207="","",IFERROR(VLOOKUP(DATOS!$I13207,CONFIG_ASIGNATURAS!$B$2:$J$91,9,FALSE()),""))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IF(DATOS!$A13208="",0,IF(CONFIG_METADATA!$B$4&lt;&gt;"OR+EX",--(DATOS!$G13208=CONFIG_METADATA!$B$4),IF(DATOS!$G13208="EX",1,IF(DATOS!$G13208="OR",--(COUNTIFS(nNIA,DATOS!$A13208,nCURSO,DATOS!$D13208,nESPEC,DATOS!$E13208,nASIG,DATOS!$I13208,nEVAL,"EX")=0),0))))</f>
      </c>
      <c r="H13208">
        <f>IF(DATOS!$G13208&lt;&gt;"EX",0,--(COUNTIFS(nNIA,DATOS!$A13208,nCURSO,DATOS!$D13208,nESPEC,DATOS!$E13208,nASIG,DATOS!$I13208,nEVAL,"OR")=0))</f>
      </c>
      <c r="I13208">
        <f>IF(DATOS!$I13208="","",IFERROR(VLOOKUP(DATOS!$I13208,CONFIG_ASIGNATURAS!$B$2:$J$91,9,FALSE()),""))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IF(DATOS!$A13209="",0,IF(CONFIG_METADATA!$B$4&lt;&gt;"OR+EX",--(DATOS!$G13209=CONFIG_METADATA!$B$4),IF(DATOS!$G13209="EX",1,IF(DATOS!$G13209="OR",--(COUNTIFS(nNIA,DATOS!$A13209,nCURSO,DATOS!$D13209,nESPEC,DATOS!$E13209,nASIG,DATOS!$I13209,nEVAL,"EX")=0),0))))</f>
      </c>
      <c r="H13209">
        <f>IF(DATOS!$G13209&lt;&gt;"EX",0,--(COUNTIFS(nNIA,DATOS!$A13209,nCURSO,DATOS!$D13209,nESPEC,DATOS!$E13209,nASIG,DATOS!$I13209,nEVAL,"OR")=0))</f>
      </c>
      <c r="I13209">
        <f>IF(DATOS!$I13209="","",IFERROR(VLOOKUP(DATOS!$I13209,CONFIG_ASIGNATURAS!$B$2:$J$91,9,FALSE()),""))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IF(DATOS!$A13210="",0,IF(CONFIG_METADATA!$B$4&lt;&gt;"OR+EX",--(DATOS!$G13210=CONFIG_METADATA!$B$4),IF(DATOS!$G13210="EX",1,IF(DATOS!$G13210="OR",--(COUNTIFS(nNIA,DATOS!$A13210,nCURSO,DATOS!$D13210,nESPEC,DATOS!$E13210,nASIG,DATOS!$I13210,nEVAL,"EX")=0),0))))</f>
      </c>
      <c r="H13210">
        <f>IF(DATOS!$G13210&lt;&gt;"EX",0,--(COUNTIFS(nNIA,DATOS!$A13210,nCURSO,DATOS!$D13210,nESPEC,DATOS!$E13210,nASIG,DATOS!$I13210,nEVAL,"OR")=0))</f>
      </c>
      <c r="I13210">
        <f>IF(DATOS!$I13210="","",IFERROR(VLOOKUP(DATOS!$I13210,CONFIG_ASIGNATURAS!$B$2:$J$91,9,FALSE()),""))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IF(DATOS!$A13211="",0,IF(CONFIG_METADATA!$B$4&lt;&gt;"OR+EX",--(DATOS!$G13211=CONFIG_METADATA!$B$4),IF(DATOS!$G13211="EX",1,IF(DATOS!$G13211="OR",--(COUNTIFS(nNIA,DATOS!$A13211,nCURSO,DATOS!$D13211,nESPEC,DATOS!$E13211,nASIG,DATOS!$I13211,nEVAL,"EX")=0),0))))</f>
      </c>
      <c r="H13211">
        <f>IF(DATOS!$G13211&lt;&gt;"EX",0,--(COUNTIFS(nNIA,DATOS!$A13211,nCURSO,DATOS!$D13211,nESPEC,DATOS!$E13211,nASIG,DATOS!$I13211,nEVAL,"OR")=0))</f>
      </c>
      <c r="I13211">
        <f>IF(DATOS!$I13211="","",IFERROR(VLOOKUP(DATOS!$I13211,CONFIG_ASIGNATURAS!$B$2:$J$91,9,FALSE()),""))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IF(DATOS!$A13212="",0,IF(CONFIG_METADATA!$B$4&lt;&gt;"OR+EX",--(DATOS!$G13212=CONFIG_METADATA!$B$4),IF(DATOS!$G13212="EX",1,IF(DATOS!$G13212="OR",--(COUNTIFS(nNIA,DATOS!$A13212,nCURSO,DATOS!$D13212,nESPEC,DATOS!$E13212,nASIG,DATOS!$I13212,nEVAL,"EX")=0),0))))</f>
      </c>
      <c r="H13212">
        <f>IF(DATOS!$G13212&lt;&gt;"EX",0,--(COUNTIFS(nNIA,DATOS!$A13212,nCURSO,DATOS!$D13212,nESPEC,DATOS!$E13212,nASIG,DATOS!$I13212,nEVAL,"OR")=0))</f>
      </c>
      <c r="I13212">
        <f>IF(DATOS!$I13212="","",IFERROR(VLOOKUP(DATOS!$I13212,CONFIG_ASIGNATURAS!$B$2:$J$91,9,FALSE()),""))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IF(DATOS!$A13213="",0,IF(CONFIG_METADATA!$B$4&lt;&gt;"OR+EX",--(DATOS!$G13213=CONFIG_METADATA!$B$4),IF(DATOS!$G13213="EX",1,IF(DATOS!$G13213="OR",--(COUNTIFS(nNIA,DATOS!$A13213,nCURSO,DATOS!$D13213,nESPEC,DATOS!$E13213,nASIG,DATOS!$I13213,nEVAL,"EX")=0),0))))</f>
      </c>
      <c r="H13213">
        <f>IF(DATOS!$G13213&lt;&gt;"EX",0,--(COUNTIFS(nNIA,DATOS!$A13213,nCURSO,DATOS!$D13213,nESPEC,DATOS!$E13213,nASIG,DATOS!$I13213,nEVAL,"OR")=0))</f>
      </c>
      <c r="I13213">
        <f>IF(DATOS!$I13213="","",IFERROR(VLOOKUP(DATOS!$I13213,CONFIG_ASIGNATURAS!$B$2:$J$91,9,FALSE()),""))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IF(DATOS!$A13214="",0,IF(CONFIG_METADATA!$B$4&lt;&gt;"OR+EX",--(DATOS!$G13214=CONFIG_METADATA!$B$4),IF(DATOS!$G13214="EX",1,IF(DATOS!$G13214="OR",--(COUNTIFS(nNIA,DATOS!$A13214,nCURSO,DATOS!$D13214,nESPEC,DATOS!$E13214,nASIG,DATOS!$I13214,nEVAL,"EX")=0),0))))</f>
      </c>
      <c r="H13214">
        <f>IF(DATOS!$G13214&lt;&gt;"EX",0,--(COUNTIFS(nNIA,DATOS!$A13214,nCURSO,DATOS!$D13214,nESPEC,DATOS!$E13214,nASIG,DATOS!$I13214,nEVAL,"OR")=0))</f>
      </c>
      <c r="I13214">
        <f>IF(DATOS!$I13214="","",IFERROR(VLOOKUP(DATOS!$I13214,CONFIG_ASIGNATURAS!$B$2:$J$91,9,FALSE()),""))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IF(DATOS!$A13215="",0,IF(CONFIG_METADATA!$B$4&lt;&gt;"OR+EX",--(DATOS!$G13215=CONFIG_METADATA!$B$4),IF(DATOS!$G13215="EX",1,IF(DATOS!$G13215="OR",--(COUNTIFS(nNIA,DATOS!$A13215,nCURSO,DATOS!$D13215,nESPEC,DATOS!$E13215,nASIG,DATOS!$I13215,nEVAL,"EX")=0),0))))</f>
      </c>
      <c r="H13215">
        <f>IF(DATOS!$G13215&lt;&gt;"EX",0,--(COUNTIFS(nNIA,DATOS!$A13215,nCURSO,DATOS!$D13215,nESPEC,DATOS!$E13215,nASIG,DATOS!$I13215,nEVAL,"OR")=0))</f>
      </c>
      <c r="I13215">
        <f>IF(DATOS!$I13215="","",IFERROR(VLOOKUP(DATOS!$I13215,CONFIG_ASIGNATURAS!$B$2:$J$91,9,FALSE()),""))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IF(DATOS!$A13216="",0,IF(CONFIG_METADATA!$B$4&lt;&gt;"OR+EX",--(DATOS!$G13216=CONFIG_METADATA!$B$4),IF(DATOS!$G13216="EX",1,IF(DATOS!$G13216="OR",--(COUNTIFS(nNIA,DATOS!$A13216,nCURSO,DATOS!$D13216,nESPEC,DATOS!$E13216,nASIG,DATOS!$I13216,nEVAL,"EX")=0),0))))</f>
      </c>
      <c r="H13216">
        <f>IF(DATOS!$G13216&lt;&gt;"EX",0,--(COUNTIFS(nNIA,DATOS!$A13216,nCURSO,DATOS!$D13216,nESPEC,DATOS!$E13216,nASIG,DATOS!$I13216,nEVAL,"OR")=0))</f>
      </c>
      <c r="I13216">
        <f>IF(DATOS!$I13216="","",IFERROR(VLOOKUP(DATOS!$I13216,CONFIG_ASIGNATURAS!$B$2:$J$91,9,FALSE()),""))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IF(DATOS!$A13217="",0,IF(CONFIG_METADATA!$B$4&lt;&gt;"OR+EX",--(DATOS!$G13217=CONFIG_METADATA!$B$4),IF(DATOS!$G13217="EX",1,IF(DATOS!$G13217="OR",--(COUNTIFS(nNIA,DATOS!$A13217,nCURSO,DATOS!$D13217,nESPEC,DATOS!$E13217,nASIG,DATOS!$I13217,nEVAL,"EX")=0),0))))</f>
      </c>
      <c r="H13217">
        <f>IF(DATOS!$G13217&lt;&gt;"EX",0,--(COUNTIFS(nNIA,DATOS!$A13217,nCURSO,DATOS!$D13217,nESPEC,DATOS!$E13217,nASIG,DATOS!$I13217,nEVAL,"OR")=0))</f>
      </c>
      <c r="I13217">
        <f>IF(DATOS!$I13217="","",IFERROR(VLOOKUP(DATOS!$I13217,CONFIG_ASIGNATURAS!$B$2:$J$91,9,FALSE()),""))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IF(DATOS!$A13218="",0,IF(CONFIG_METADATA!$B$4&lt;&gt;"OR+EX",--(DATOS!$G13218=CONFIG_METADATA!$B$4),IF(DATOS!$G13218="EX",1,IF(DATOS!$G13218="OR",--(COUNTIFS(nNIA,DATOS!$A13218,nCURSO,DATOS!$D13218,nESPEC,DATOS!$E13218,nASIG,DATOS!$I13218,nEVAL,"EX")=0),0))))</f>
      </c>
      <c r="H13218">
        <f>IF(DATOS!$G13218&lt;&gt;"EX",0,--(COUNTIFS(nNIA,DATOS!$A13218,nCURSO,DATOS!$D13218,nESPEC,DATOS!$E13218,nASIG,DATOS!$I13218,nEVAL,"OR")=0))</f>
      </c>
      <c r="I13218">
        <f>IF(DATOS!$I13218="","",IFERROR(VLOOKUP(DATOS!$I13218,CONFIG_ASIGNATURAS!$B$2:$J$91,9,FALSE()),""))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IF(DATOS!$A13219="",0,IF(CONFIG_METADATA!$B$4&lt;&gt;"OR+EX",--(DATOS!$G13219=CONFIG_METADATA!$B$4),IF(DATOS!$G13219="EX",1,IF(DATOS!$G13219="OR",--(COUNTIFS(nNIA,DATOS!$A13219,nCURSO,DATOS!$D13219,nESPEC,DATOS!$E13219,nASIG,DATOS!$I13219,nEVAL,"EX")=0),0))))</f>
      </c>
      <c r="H13219">
        <f>IF(DATOS!$G13219&lt;&gt;"EX",0,--(COUNTIFS(nNIA,DATOS!$A13219,nCURSO,DATOS!$D13219,nESPEC,DATOS!$E13219,nASIG,DATOS!$I13219,nEVAL,"OR")=0))</f>
      </c>
      <c r="I13219">
        <f>IF(DATOS!$I13219="","",IFERROR(VLOOKUP(DATOS!$I13219,CONFIG_ASIGNATURAS!$B$2:$J$91,9,FALSE()),""))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IF(DATOS!$A13220="",0,IF(CONFIG_METADATA!$B$4&lt;&gt;"OR+EX",--(DATOS!$G13220=CONFIG_METADATA!$B$4),IF(DATOS!$G13220="EX",1,IF(DATOS!$G13220="OR",--(COUNTIFS(nNIA,DATOS!$A13220,nCURSO,DATOS!$D13220,nESPEC,DATOS!$E13220,nASIG,DATOS!$I13220,nEVAL,"EX")=0),0))))</f>
      </c>
      <c r="H13220">
        <f>IF(DATOS!$G13220&lt;&gt;"EX",0,--(COUNTIFS(nNIA,DATOS!$A13220,nCURSO,DATOS!$D13220,nESPEC,DATOS!$E13220,nASIG,DATOS!$I13220,nEVAL,"OR")=0))</f>
      </c>
      <c r="I13220">
        <f>IF(DATOS!$I13220="","",IFERROR(VLOOKUP(DATOS!$I13220,CONFIG_ASIGNATURAS!$B$2:$J$91,9,FALSE()),""))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IF(DATOS!$A13221="",0,IF(CONFIG_METADATA!$B$4&lt;&gt;"OR+EX",--(DATOS!$G13221=CONFIG_METADATA!$B$4),IF(DATOS!$G13221="EX",1,IF(DATOS!$G13221="OR",--(COUNTIFS(nNIA,DATOS!$A13221,nCURSO,DATOS!$D13221,nESPEC,DATOS!$E13221,nASIG,DATOS!$I13221,nEVAL,"EX")=0),0))))</f>
      </c>
      <c r="H13221">
        <f>IF(DATOS!$G13221&lt;&gt;"EX",0,--(COUNTIFS(nNIA,DATOS!$A13221,nCURSO,DATOS!$D13221,nESPEC,DATOS!$E13221,nASIG,DATOS!$I13221,nEVAL,"OR")=0))</f>
      </c>
      <c r="I13221">
        <f>IF(DATOS!$I13221="","",IFERROR(VLOOKUP(DATOS!$I13221,CONFIG_ASIGNATURAS!$B$2:$J$91,9,FALSE()),""))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IF(DATOS!$A13222="",0,IF(CONFIG_METADATA!$B$4&lt;&gt;"OR+EX",--(DATOS!$G13222=CONFIG_METADATA!$B$4),IF(DATOS!$G13222="EX",1,IF(DATOS!$G13222="OR",--(COUNTIFS(nNIA,DATOS!$A13222,nCURSO,DATOS!$D13222,nESPEC,DATOS!$E13222,nASIG,DATOS!$I13222,nEVAL,"EX")=0),0))))</f>
      </c>
      <c r="H13222">
        <f>IF(DATOS!$G13222&lt;&gt;"EX",0,--(COUNTIFS(nNIA,DATOS!$A13222,nCURSO,DATOS!$D13222,nESPEC,DATOS!$E13222,nASIG,DATOS!$I13222,nEVAL,"OR")=0))</f>
      </c>
      <c r="I13222">
        <f>IF(DATOS!$I13222="","",IFERROR(VLOOKUP(DATOS!$I13222,CONFIG_ASIGNATURAS!$B$2:$J$91,9,FALSE()),""))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IF(DATOS!$A13223="",0,IF(CONFIG_METADATA!$B$4&lt;&gt;"OR+EX",--(DATOS!$G13223=CONFIG_METADATA!$B$4),IF(DATOS!$G13223="EX",1,IF(DATOS!$G13223="OR",--(COUNTIFS(nNIA,DATOS!$A13223,nCURSO,DATOS!$D13223,nESPEC,DATOS!$E13223,nASIG,DATOS!$I13223,nEVAL,"EX")=0),0))))</f>
      </c>
      <c r="H13223">
        <f>IF(DATOS!$G13223&lt;&gt;"EX",0,--(COUNTIFS(nNIA,DATOS!$A13223,nCURSO,DATOS!$D13223,nESPEC,DATOS!$E13223,nASIG,DATOS!$I13223,nEVAL,"OR")=0))</f>
      </c>
      <c r="I13223">
        <f>IF(DATOS!$I13223="","",IFERROR(VLOOKUP(DATOS!$I13223,CONFIG_ASIGNATURAS!$B$2:$J$91,9,FALSE()),""))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IF(DATOS!$A13224="",0,IF(CONFIG_METADATA!$B$4&lt;&gt;"OR+EX",--(DATOS!$G13224=CONFIG_METADATA!$B$4),IF(DATOS!$G13224="EX",1,IF(DATOS!$G13224="OR",--(COUNTIFS(nNIA,DATOS!$A13224,nCURSO,DATOS!$D13224,nESPEC,DATOS!$E13224,nASIG,DATOS!$I13224,nEVAL,"EX")=0),0))))</f>
      </c>
      <c r="H13224">
        <f>IF(DATOS!$G13224&lt;&gt;"EX",0,--(COUNTIFS(nNIA,DATOS!$A13224,nCURSO,DATOS!$D13224,nESPEC,DATOS!$E13224,nASIG,DATOS!$I13224,nEVAL,"OR")=0))</f>
      </c>
      <c r="I13224">
        <f>IF(DATOS!$I13224="","",IFERROR(VLOOKUP(DATOS!$I13224,CONFIG_ASIGNATURAS!$B$2:$J$91,9,FALSE()),""))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IF(DATOS!$A13225="",0,IF(CONFIG_METADATA!$B$4&lt;&gt;"OR+EX",--(DATOS!$G13225=CONFIG_METADATA!$B$4),IF(DATOS!$G13225="EX",1,IF(DATOS!$G13225="OR",--(COUNTIFS(nNIA,DATOS!$A13225,nCURSO,DATOS!$D13225,nESPEC,DATOS!$E13225,nASIG,DATOS!$I13225,nEVAL,"EX")=0),0))))</f>
      </c>
      <c r="H13225">
        <f>IF(DATOS!$G13225&lt;&gt;"EX",0,--(COUNTIFS(nNIA,DATOS!$A13225,nCURSO,DATOS!$D13225,nESPEC,DATOS!$E13225,nASIG,DATOS!$I13225,nEVAL,"OR")=0))</f>
      </c>
      <c r="I13225">
        <f>IF(DATOS!$I13225="","",IFERROR(VLOOKUP(DATOS!$I13225,CONFIG_ASIGNATURAS!$B$2:$J$91,9,FALSE()),""))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IF(DATOS!$A13226="",0,IF(CONFIG_METADATA!$B$4&lt;&gt;"OR+EX",--(DATOS!$G13226=CONFIG_METADATA!$B$4),IF(DATOS!$G13226="EX",1,IF(DATOS!$G13226="OR",--(COUNTIFS(nNIA,DATOS!$A13226,nCURSO,DATOS!$D13226,nESPEC,DATOS!$E13226,nASIG,DATOS!$I13226,nEVAL,"EX")=0),0))))</f>
      </c>
      <c r="H13226">
        <f>IF(DATOS!$G13226&lt;&gt;"EX",0,--(COUNTIFS(nNIA,DATOS!$A13226,nCURSO,DATOS!$D13226,nESPEC,DATOS!$E13226,nASIG,DATOS!$I13226,nEVAL,"OR")=0))</f>
      </c>
      <c r="I13226">
        <f>IF(DATOS!$I13226="","",IFERROR(VLOOKUP(DATOS!$I13226,CONFIG_ASIGNATURAS!$B$2:$J$91,9,FALSE()),""))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IF(DATOS!$A13227="",0,IF(CONFIG_METADATA!$B$4&lt;&gt;"OR+EX",--(DATOS!$G13227=CONFIG_METADATA!$B$4),IF(DATOS!$G13227="EX",1,IF(DATOS!$G13227="OR",--(COUNTIFS(nNIA,DATOS!$A13227,nCURSO,DATOS!$D13227,nESPEC,DATOS!$E13227,nASIG,DATOS!$I13227,nEVAL,"EX")=0),0))))</f>
      </c>
      <c r="H13227">
        <f>IF(DATOS!$G13227&lt;&gt;"EX",0,--(COUNTIFS(nNIA,DATOS!$A13227,nCURSO,DATOS!$D13227,nESPEC,DATOS!$E13227,nASIG,DATOS!$I13227,nEVAL,"OR")=0))</f>
      </c>
      <c r="I13227">
        <f>IF(DATOS!$I13227="","",IFERROR(VLOOKUP(DATOS!$I13227,CONFIG_ASIGNATURAS!$B$2:$J$91,9,FALSE()),""))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IF(DATOS!$A13228="",0,IF(CONFIG_METADATA!$B$4&lt;&gt;"OR+EX",--(DATOS!$G13228=CONFIG_METADATA!$B$4),IF(DATOS!$G13228="EX",1,IF(DATOS!$G13228="OR",--(COUNTIFS(nNIA,DATOS!$A13228,nCURSO,DATOS!$D13228,nESPEC,DATOS!$E13228,nASIG,DATOS!$I13228,nEVAL,"EX")=0),0))))</f>
      </c>
      <c r="H13228">
        <f>IF(DATOS!$G13228&lt;&gt;"EX",0,--(COUNTIFS(nNIA,DATOS!$A13228,nCURSO,DATOS!$D13228,nESPEC,DATOS!$E13228,nASIG,DATOS!$I13228,nEVAL,"OR")=0))</f>
      </c>
      <c r="I13228">
        <f>IF(DATOS!$I13228="","",IFERROR(VLOOKUP(DATOS!$I13228,CONFIG_ASIGNATURAS!$B$2:$J$91,9,FALSE()),""))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IF(DATOS!$A13229="",0,IF(CONFIG_METADATA!$B$4&lt;&gt;"OR+EX",--(DATOS!$G13229=CONFIG_METADATA!$B$4),IF(DATOS!$G13229="EX",1,IF(DATOS!$G13229="OR",--(COUNTIFS(nNIA,DATOS!$A13229,nCURSO,DATOS!$D13229,nESPEC,DATOS!$E13229,nASIG,DATOS!$I13229,nEVAL,"EX")=0),0))))</f>
      </c>
      <c r="H13229">
        <f>IF(DATOS!$G13229&lt;&gt;"EX",0,--(COUNTIFS(nNIA,DATOS!$A13229,nCURSO,DATOS!$D13229,nESPEC,DATOS!$E13229,nASIG,DATOS!$I13229,nEVAL,"OR")=0))</f>
      </c>
      <c r="I13229">
        <f>IF(DATOS!$I13229="","",IFERROR(VLOOKUP(DATOS!$I13229,CONFIG_ASIGNATURAS!$B$2:$J$91,9,FALSE()),""))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IF(DATOS!$A13230="",0,IF(CONFIG_METADATA!$B$4&lt;&gt;"OR+EX",--(DATOS!$G13230=CONFIG_METADATA!$B$4),IF(DATOS!$G13230="EX",1,IF(DATOS!$G13230="OR",--(COUNTIFS(nNIA,DATOS!$A13230,nCURSO,DATOS!$D13230,nESPEC,DATOS!$E13230,nASIG,DATOS!$I13230,nEVAL,"EX")=0),0))))</f>
      </c>
      <c r="H13230">
        <f>IF(DATOS!$G13230&lt;&gt;"EX",0,--(COUNTIFS(nNIA,DATOS!$A13230,nCURSO,DATOS!$D13230,nESPEC,DATOS!$E13230,nASIG,DATOS!$I13230,nEVAL,"OR")=0))</f>
      </c>
      <c r="I13230">
        <f>IF(DATOS!$I13230="","",IFERROR(VLOOKUP(DATOS!$I13230,CONFIG_ASIGNATURAS!$B$2:$J$91,9,FALSE()),""))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IF(DATOS!$A13231="",0,IF(CONFIG_METADATA!$B$4&lt;&gt;"OR+EX",--(DATOS!$G13231=CONFIG_METADATA!$B$4),IF(DATOS!$G13231="EX",1,IF(DATOS!$G13231="OR",--(COUNTIFS(nNIA,DATOS!$A13231,nCURSO,DATOS!$D13231,nESPEC,DATOS!$E13231,nASIG,DATOS!$I13231,nEVAL,"EX")=0),0))))</f>
      </c>
      <c r="H13231">
        <f>IF(DATOS!$G13231&lt;&gt;"EX",0,--(COUNTIFS(nNIA,DATOS!$A13231,nCURSO,DATOS!$D13231,nESPEC,DATOS!$E13231,nASIG,DATOS!$I13231,nEVAL,"OR")=0))</f>
      </c>
      <c r="I13231">
        <f>IF(DATOS!$I13231="","",IFERROR(VLOOKUP(DATOS!$I13231,CONFIG_ASIGNATURAS!$B$2:$J$91,9,FALSE()),""))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IF(DATOS!$A13232="",0,IF(CONFIG_METADATA!$B$4&lt;&gt;"OR+EX",--(DATOS!$G13232=CONFIG_METADATA!$B$4),IF(DATOS!$G13232="EX",1,IF(DATOS!$G13232="OR",--(COUNTIFS(nNIA,DATOS!$A13232,nCURSO,DATOS!$D13232,nESPEC,DATOS!$E13232,nASIG,DATOS!$I13232,nEVAL,"EX")=0),0))))</f>
      </c>
      <c r="H13232">
        <f>IF(DATOS!$G13232&lt;&gt;"EX",0,--(COUNTIFS(nNIA,DATOS!$A13232,nCURSO,DATOS!$D13232,nESPEC,DATOS!$E13232,nASIG,DATOS!$I13232,nEVAL,"OR")=0))</f>
      </c>
      <c r="I13232">
        <f>IF(DATOS!$I13232="","",IFERROR(VLOOKUP(DATOS!$I13232,CONFIG_ASIGNATURAS!$B$2:$J$91,9,FALSE()),""))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IF(DATOS!$A13233="",0,IF(CONFIG_METADATA!$B$4&lt;&gt;"OR+EX",--(DATOS!$G13233=CONFIG_METADATA!$B$4),IF(DATOS!$G13233="EX",1,IF(DATOS!$G13233="OR",--(COUNTIFS(nNIA,DATOS!$A13233,nCURSO,DATOS!$D13233,nESPEC,DATOS!$E13233,nASIG,DATOS!$I13233,nEVAL,"EX")=0),0))))</f>
      </c>
      <c r="H13233">
        <f>IF(DATOS!$G13233&lt;&gt;"EX",0,--(COUNTIFS(nNIA,DATOS!$A13233,nCURSO,DATOS!$D13233,nESPEC,DATOS!$E13233,nASIG,DATOS!$I13233,nEVAL,"OR")=0))</f>
      </c>
      <c r="I13233">
        <f>IF(DATOS!$I13233="","",IFERROR(VLOOKUP(DATOS!$I13233,CONFIG_ASIGNATURAS!$B$2:$J$91,9,FALSE()),""))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IF(DATOS!$A13234="",0,IF(CONFIG_METADATA!$B$4&lt;&gt;"OR+EX",--(DATOS!$G13234=CONFIG_METADATA!$B$4),IF(DATOS!$G13234="EX",1,IF(DATOS!$G13234="OR",--(COUNTIFS(nNIA,DATOS!$A13234,nCURSO,DATOS!$D13234,nESPEC,DATOS!$E13234,nASIG,DATOS!$I13234,nEVAL,"EX")=0),0))))</f>
      </c>
      <c r="H13234">
        <f>IF(DATOS!$G13234&lt;&gt;"EX",0,--(COUNTIFS(nNIA,DATOS!$A13234,nCURSO,DATOS!$D13234,nESPEC,DATOS!$E13234,nASIG,DATOS!$I13234,nEVAL,"OR")=0))</f>
      </c>
      <c r="I13234">
        <f>IF(DATOS!$I13234="","",IFERROR(VLOOKUP(DATOS!$I13234,CONFIG_ASIGNATURAS!$B$2:$J$91,9,FALSE()),""))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IF(DATOS!$A13235="",0,IF(CONFIG_METADATA!$B$4&lt;&gt;"OR+EX",--(DATOS!$G13235=CONFIG_METADATA!$B$4),IF(DATOS!$G13235="EX",1,IF(DATOS!$G13235="OR",--(COUNTIFS(nNIA,DATOS!$A13235,nCURSO,DATOS!$D13235,nESPEC,DATOS!$E13235,nASIG,DATOS!$I13235,nEVAL,"EX")=0),0))))</f>
      </c>
      <c r="H13235">
        <f>IF(DATOS!$G13235&lt;&gt;"EX",0,--(COUNTIFS(nNIA,DATOS!$A13235,nCURSO,DATOS!$D13235,nESPEC,DATOS!$E13235,nASIG,DATOS!$I13235,nEVAL,"OR")=0))</f>
      </c>
      <c r="I13235">
        <f>IF(DATOS!$I13235="","",IFERROR(VLOOKUP(DATOS!$I13235,CONFIG_ASIGNATURAS!$B$2:$J$91,9,FALSE()),""))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IF(DATOS!$A13236="",0,IF(CONFIG_METADATA!$B$4&lt;&gt;"OR+EX",--(DATOS!$G13236=CONFIG_METADATA!$B$4),IF(DATOS!$G13236="EX",1,IF(DATOS!$G13236="OR",--(COUNTIFS(nNIA,DATOS!$A13236,nCURSO,DATOS!$D13236,nESPEC,DATOS!$E13236,nASIG,DATOS!$I13236,nEVAL,"EX")=0),0))))</f>
      </c>
      <c r="H13236">
        <f>IF(DATOS!$G13236&lt;&gt;"EX",0,--(COUNTIFS(nNIA,DATOS!$A13236,nCURSO,DATOS!$D13236,nESPEC,DATOS!$E13236,nASIG,DATOS!$I13236,nEVAL,"OR")=0))</f>
      </c>
      <c r="I13236">
        <f>IF(DATOS!$I13236="","",IFERROR(VLOOKUP(DATOS!$I13236,CONFIG_ASIGNATURAS!$B$2:$J$91,9,FALSE()),""))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IF(DATOS!$A13237="",0,IF(CONFIG_METADATA!$B$4&lt;&gt;"OR+EX",--(DATOS!$G13237=CONFIG_METADATA!$B$4),IF(DATOS!$G13237="EX",1,IF(DATOS!$G13237="OR",--(COUNTIFS(nNIA,DATOS!$A13237,nCURSO,DATOS!$D13237,nESPEC,DATOS!$E13237,nASIG,DATOS!$I13237,nEVAL,"EX")=0),0))))</f>
      </c>
      <c r="H13237">
        <f>IF(DATOS!$G13237&lt;&gt;"EX",0,--(COUNTIFS(nNIA,DATOS!$A13237,nCURSO,DATOS!$D13237,nESPEC,DATOS!$E13237,nASIG,DATOS!$I13237,nEVAL,"OR")=0))</f>
      </c>
      <c r="I13237">
        <f>IF(DATOS!$I13237="","",IFERROR(VLOOKUP(DATOS!$I13237,CONFIG_ASIGNATURAS!$B$2:$J$91,9,FALSE()),""))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IF(DATOS!$A13238="",0,IF(CONFIG_METADATA!$B$4&lt;&gt;"OR+EX",--(DATOS!$G13238=CONFIG_METADATA!$B$4),IF(DATOS!$G13238="EX",1,IF(DATOS!$G13238="OR",--(COUNTIFS(nNIA,DATOS!$A13238,nCURSO,DATOS!$D13238,nESPEC,DATOS!$E13238,nASIG,DATOS!$I13238,nEVAL,"EX")=0),0))))</f>
      </c>
      <c r="H13238">
        <f>IF(DATOS!$G13238&lt;&gt;"EX",0,--(COUNTIFS(nNIA,DATOS!$A13238,nCURSO,DATOS!$D13238,nESPEC,DATOS!$E13238,nASIG,DATOS!$I13238,nEVAL,"OR")=0))</f>
      </c>
      <c r="I13238">
        <f>IF(DATOS!$I13238="","",IFERROR(VLOOKUP(DATOS!$I13238,CONFIG_ASIGNATURAS!$B$2:$J$91,9,FALSE()),""))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IF(DATOS!$A13239="",0,IF(CONFIG_METADATA!$B$4&lt;&gt;"OR+EX",--(DATOS!$G13239=CONFIG_METADATA!$B$4),IF(DATOS!$G13239="EX",1,IF(DATOS!$G13239="OR",--(COUNTIFS(nNIA,DATOS!$A13239,nCURSO,DATOS!$D13239,nESPEC,DATOS!$E13239,nASIG,DATOS!$I13239,nEVAL,"EX")=0),0))))</f>
      </c>
      <c r="H13239">
        <f>IF(DATOS!$G13239&lt;&gt;"EX",0,--(COUNTIFS(nNIA,DATOS!$A13239,nCURSO,DATOS!$D13239,nESPEC,DATOS!$E13239,nASIG,DATOS!$I13239,nEVAL,"OR")=0))</f>
      </c>
      <c r="I13239">
        <f>IF(DATOS!$I13239="","",IFERROR(VLOOKUP(DATOS!$I13239,CONFIG_ASIGNATURAS!$B$2:$J$91,9,FALSE()),""))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IF(DATOS!$A13240="",0,IF(CONFIG_METADATA!$B$4&lt;&gt;"OR+EX",--(DATOS!$G13240=CONFIG_METADATA!$B$4),IF(DATOS!$G13240="EX",1,IF(DATOS!$G13240="OR",--(COUNTIFS(nNIA,DATOS!$A13240,nCURSO,DATOS!$D13240,nESPEC,DATOS!$E13240,nASIG,DATOS!$I13240,nEVAL,"EX")=0),0))))</f>
      </c>
      <c r="H13240">
        <f>IF(DATOS!$G13240&lt;&gt;"EX",0,--(COUNTIFS(nNIA,DATOS!$A13240,nCURSO,DATOS!$D13240,nESPEC,DATOS!$E13240,nASIG,DATOS!$I13240,nEVAL,"OR")=0))</f>
      </c>
      <c r="I13240">
        <f>IF(DATOS!$I13240="","",IFERROR(VLOOKUP(DATOS!$I13240,CONFIG_ASIGNATURAS!$B$2:$J$91,9,FALSE()),""))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IF(DATOS!$A13241="",0,IF(CONFIG_METADATA!$B$4&lt;&gt;"OR+EX",--(DATOS!$G13241=CONFIG_METADATA!$B$4),IF(DATOS!$G13241="EX",1,IF(DATOS!$G13241="OR",--(COUNTIFS(nNIA,DATOS!$A13241,nCURSO,DATOS!$D13241,nESPEC,DATOS!$E13241,nASIG,DATOS!$I13241,nEVAL,"EX")=0),0))))</f>
      </c>
      <c r="H13241">
        <f>IF(DATOS!$G13241&lt;&gt;"EX",0,--(COUNTIFS(nNIA,DATOS!$A13241,nCURSO,DATOS!$D13241,nESPEC,DATOS!$E13241,nASIG,DATOS!$I13241,nEVAL,"OR")=0))</f>
      </c>
      <c r="I13241">
        <f>IF(DATOS!$I13241="","",IFERROR(VLOOKUP(DATOS!$I13241,CONFIG_ASIGNATURAS!$B$2:$J$91,9,FALSE()),""))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IF(DATOS!$A13242="",0,IF(CONFIG_METADATA!$B$4&lt;&gt;"OR+EX",--(DATOS!$G13242=CONFIG_METADATA!$B$4),IF(DATOS!$G13242="EX",1,IF(DATOS!$G13242="OR",--(COUNTIFS(nNIA,DATOS!$A13242,nCURSO,DATOS!$D13242,nESPEC,DATOS!$E13242,nASIG,DATOS!$I13242,nEVAL,"EX")=0),0))))</f>
      </c>
      <c r="H13242">
        <f>IF(DATOS!$G13242&lt;&gt;"EX",0,--(COUNTIFS(nNIA,DATOS!$A13242,nCURSO,DATOS!$D13242,nESPEC,DATOS!$E13242,nASIG,DATOS!$I13242,nEVAL,"OR")=0))</f>
      </c>
      <c r="I13242">
        <f>IF(DATOS!$I13242="","",IFERROR(VLOOKUP(DATOS!$I13242,CONFIG_ASIGNATURAS!$B$2:$J$91,9,FALSE()),""))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IF(DATOS!$A13243="",0,IF(CONFIG_METADATA!$B$4&lt;&gt;"OR+EX",--(DATOS!$G13243=CONFIG_METADATA!$B$4),IF(DATOS!$G13243="EX",1,IF(DATOS!$G13243="OR",--(COUNTIFS(nNIA,DATOS!$A13243,nCURSO,DATOS!$D13243,nESPEC,DATOS!$E13243,nASIG,DATOS!$I13243,nEVAL,"EX")=0),0))))</f>
      </c>
      <c r="H13243">
        <f>IF(DATOS!$G13243&lt;&gt;"EX",0,--(COUNTIFS(nNIA,DATOS!$A13243,nCURSO,DATOS!$D13243,nESPEC,DATOS!$E13243,nASIG,DATOS!$I13243,nEVAL,"OR")=0))</f>
      </c>
      <c r="I13243">
        <f>IF(DATOS!$I13243="","",IFERROR(VLOOKUP(DATOS!$I13243,CONFIG_ASIGNATURAS!$B$2:$J$91,9,FALSE()),""))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IF(DATOS!$A13244="",0,IF(CONFIG_METADATA!$B$4&lt;&gt;"OR+EX",--(DATOS!$G13244=CONFIG_METADATA!$B$4),IF(DATOS!$G13244="EX",1,IF(DATOS!$G13244="OR",--(COUNTIFS(nNIA,DATOS!$A13244,nCURSO,DATOS!$D13244,nESPEC,DATOS!$E13244,nASIG,DATOS!$I13244,nEVAL,"EX")=0),0))))</f>
      </c>
      <c r="H13244">
        <f>IF(DATOS!$G13244&lt;&gt;"EX",0,--(COUNTIFS(nNIA,DATOS!$A13244,nCURSO,DATOS!$D13244,nESPEC,DATOS!$E13244,nASIG,DATOS!$I13244,nEVAL,"OR")=0))</f>
      </c>
      <c r="I13244">
        <f>IF(DATOS!$I13244="","",IFERROR(VLOOKUP(DATOS!$I13244,CONFIG_ASIGNATURAS!$B$2:$J$91,9,FALSE()),""))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IF(DATOS!$A13245="",0,IF(CONFIG_METADATA!$B$4&lt;&gt;"OR+EX",--(DATOS!$G13245=CONFIG_METADATA!$B$4),IF(DATOS!$G13245="EX",1,IF(DATOS!$G13245="OR",--(COUNTIFS(nNIA,DATOS!$A13245,nCURSO,DATOS!$D13245,nESPEC,DATOS!$E13245,nASIG,DATOS!$I13245,nEVAL,"EX")=0),0))))</f>
      </c>
      <c r="H13245">
        <f>IF(DATOS!$G13245&lt;&gt;"EX",0,--(COUNTIFS(nNIA,DATOS!$A13245,nCURSO,DATOS!$D13245,nESPEC,DATOS!$E13245,nASIG,DATOS!$I13245,nEVAL,"OR")=0))</f>
      </c>
      <c r="I13245">
        <f>IF(DATOS!$I13245="","",IFERROR(VLOOKUP(DATOS!$I13245,CONFIG_ASIGNATURAS!$B$2:$J$91,9,FALSE()),""))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IF(DATOS!$A13246="",0,IF(CONFIG_METADATA!$B$4&lt;&gt;"OR+EX",--(DATOS!$G13246=CONFIG_METADATA!$B$4),IF(DATOS!$G13246="EX",1,IF(DATOS!$G13246="OR",--(COUNTIFS(nNIA,DATOS!$A13246,nCURSO,DATOS!$D13246,nESPEC,DATOS!$E13246,nASIG,DATOS!$I13246,nEVAL,"EX")=0),0))))</f>
      </c>
      <c r="H13246">
        <f>IF(DATOS!$G13246&lt;&gt;"EX",0,--(COUNTIFS(nNIA,DATOS!$A13246,nCURSO,DATOS!$D13246,nESPEC,DATOS!$E13246,nASIG,DATOS!$I13246,nEVAL,"OR")=0))</f>
      </c>
      <c r="I13246">
        <f>IF(DATOS!$I13246="","",IFERROR(VLOOKUP(DATOS!$I13246,CONFIG_ASIGNATURAS!$B$2:$J$91,9,FALSE()),""))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IF(DATOS!$A13247="",0,IF(CONFIG_METADATA!$B$4&lt;&gt;"OR+EX",--(DATOS!$G13247=CONFIG_METADATA!$B$4),IF(DATOS!$G13247="EX",1,IF(DATOS!$G13247="OR",--(COUNTIFS(nNIA,DATOS!$A13247,nCURSO,DATOS!$D13247,nESPEC,DATOS!$E13247,nASIG,DATOS!$I13247,nEVAL,"EX")=0),0))))</f>
      </c>
      <c r="H13247">
        <f>IF(DATOS!$G13247&lt;&gt;"EX",0,--(COUNTIFS(nNIA,DATOS!$A13247,nCURSO,DATOS!$D13247,nESPEC,DATOS!$E13247,nASIG,DATOS!$I13247,nEVAL,"OR")=0))</f>
      </c>
      <c r="I13247">
        <f>IF(DATOS!$I13247="","",IFERROR(VLOOKUP(DATOS!$I13247,CONFIG_ASIGNATURAS!$B$2:$J$91,9,FALSE()),""))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IF(DATOS!$A13248="",0,IF(CONFIG_METADATA!$B$4&lt;&gt;"OR+EX",--(DATOS!$G13248=CONFIG_METADATA!$B$4),IF(DATOS!$G13248="EX",1,IF(DATOS!$G13248="OR",--(COUNTIFS(nNIA,DATOS!$A13248,nCURSO,DATOS!$D13248,nESPEC,DATOS!$E13248,nASIG,DATOS!$I13248,nEVAL,"EX")=0),0))))</f>
      </c>
      <c r="H13248">
        <f>IF(DATOS!$G13248&lt;&gt;"EX",0,--(COUNTIFS(nNIA,DATOS!$A13248,nCURSO,DATOS!$D13248,nESPEC,DATOS!$E13248,nASIG,DATOS!$I13248,nEVAL,"OR")=0))</f>
      </c>
      <c r="I13248">
        <f>IF(DATOS!$I13248="","",IFERROR(VLOOKUP(DATOS!$I13248,CONFIG_ASIGNATURAS!$B$2:$J$91,9,FALSE()),""))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IF(DATOS!$A13249="",0,IF(CONFIG_METADATA!$B$4&lt;&gt;"OR+EX",--(DATOS!$G13249=CONFIG_METADATA!$B$4),IF(DATOS!$G13249="EX",1,IF(DATOS!$G13249="OR",--(COUNTIFS(nNIA,DATOS!$A13249,nCURSO,DATOS!$D13249,nESPEC,DATOS!$E13249,nASIG,DATOS!$I13249,nEVAL,"EX")=0),0))))</f>
      </c>
      <c r="H13249">
        <f>IF(DATOS!$G13249&lt;&gt;"EX",0,--(COUNTIFS(nNIA,DATOS!$A13249,nCURSO,DATOS!$D13249,nESPEC,DATOS!$E13249,nASIG,DATOS!$I13249,nEVAL,"OR")=0))</f>
      </c>
      <c r="I13249">
        <f>IF(DATOS!$I13249="","",IFERROR(VLOOKUP(DATOS!$I13249,CONFIG_ASIGNATURAS!$B$2:$J$91,9,FALSE()),""))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IF(DATOS!$A13250="",0,IF(CONFIG_METADATA!$B$4&lt;&gt;"OR+EX",--(DATOS!$G13250=CONFIG_METADATA!$B$4),IF(DATOS!$G13250="EX",1,IF(DATOS!$G13250="OR",--(COUNTIFS(nNIA,DATOS!$A13250,nCURSO,DATOS!$D13250,nESPEC,DATOS!$E13250,nASIG,DATOS!$I13250,nEVAL,"EX")=0),0))))</f>
      </c>
      <c r="H13250">
        <f>IF(DATOS!$G13250&lt;&gt;"EX",0,--(COUNTIFS(nNIA,DATOS!$A13250,nCURSO,DATOS!$D13250,nESPEC,DATOS!$E13250,nASIG,DATOS!$I13250,nEVAL,"OR")=0))</f>
      </c>
      <c r="I13250">
        <f>IF(DATOS!$I13250="","",IFERROR(VLOOKUP(DATOS!$I13250,CONFIG_ASIGNATURAS!$B$2:$J$91,9,FALSE()),""))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IF(DATOS!$A13251="",0,IF(CONFIG_METADATA!$B$4&lt;&gt;"OR+EX",--(DATOS!$G13251=CONFIG_METADATA!$B$4),IF(DATOS!$G13251="EX",1,IF(DATOS!$G13251="OR",--(COUNTIFS(nNIA,DATOS!$A13251,nCURSO,DATOS!$D13251,nESPEC,DATOS!$E13251,nASIG,DATOS!$I13251,nEVAL,"EX")=0),0))))</f>
      </c>
      <c r="H13251">
        <f>IF(DATOS!$G13251&lt;&gt;"EX",0,--(COUNTIFS(nNIA,DATOS!$A13251,nCURSO,DATOS!$D13251,nESPEC,DATOS!$E13251,nASIG,DATOS!$I13251,nEVAL,"OR")=0))</f>
      </c>
      <c r="I13251">
        <f>IF(DATOS!$I13251="","",IFERROR(VLOOKUP(DATOS!$I13251,CONFIG_ASIGNATURAS!$B$2:$J$91,9,FALSE()),""))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IF(DATOS!$A13252="",0,IF(CONFIG_METADATA!$B$4&lt;&gt;"OR+EX",--(DATOS!$G13252=CONFIG_METADATA!$B$4),IF(DATOS!$G13252="EX",1,IF(DATOS!$G13252="OR",--(COUNTIFS(nNIA,DATOS!$A13252,nCURSO,DATOS!$D13252,nESPEC,DATOS!$E13252,nASIG,DATOS!$I13252,nEVAL,"EX")=0),0))))</f>
      </c>
      <c r="H13252">
        <f>IF(DATOS!$G13252&lt;&gt;"EX",0,--(COUNTIFS(nNIA,DATOS!$A13252,nCURSO,DATOS!$D13252,nESPEC,DATOS!$E13252,nASIG,DATOS!$I13252,nEVAL,"OR")=0))</f>
      </c>
      <c r="I13252">
        <f>IF(DATOS!$I13252="","",IFERROR(VLOOKUP(DATOS!$I13252,CONFIG_ASIGNATURAS!$B$2:$J$91,9,FALSE()),""))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IF(DATOS!$A13253="",0,IF(CONFIG_METADATA!$B$4&lt;&gt;"OR+EX",--(DATOS!$G13253=CONFIG_METADATA!$B$4),IF(DATOS!$G13253="EX",1,IF(DATOS!$G13253="OR",--(COUNTIFS(nNIA,DATOS!$A13253,nCURSO,DATOS!$D13253,nESPEC,DATOS!$E13253,nASIG,DATOS!$I13253,nEVAL,"EX")=0),0))))</f>
      </c>
      <c r="H13253">
        <f>IF(DATOS!$G13253&lt;&gt;"EX",0,--(COUNTIFS(nNIA,DATOS!$A13253,nCURSO,DATOS!$D13253,nESPEC,DATOS!$E13253,nASIG,DATOS!$I13253,nEVAL,"OR")=0))</f>
      </c>
      <c r="I13253">
        <f>IF(DATOS!$I13253="","",IFERROR(VLOOKUP(DATOS!$I13253,CONFIG_ASIGNATURAS!$B$2:$J$91,9,FALSE()),""))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IF(DATOS!$A13254="",0,IF(CONFIG_METADATA!$B$4&lt;&gt;"OR+EX",--(DATOS!$G13254=CONFIG_METADATA!$B$4),IF(DATOS!$G13254="EX",1,IF(DATOS!$G13254="OR",--(COUNTIFS(nNIA,DATOS!$A13254,nCURSO,DATOS!$D13254,nESPEC,DATOS!$E13254,nASIG,DATOS!$I13254,nEVAL,"EX")=0),0))))</f>
      </c>
      <c r="H13254">
        <f>IF(DATOS!$G13254&lt;&gt;"EX",0,--(COUNTIFS(nNIA,DATOS!$A13254,nCURSO,DATOS!$D13254,nESPEC,DATOS!$E13254,nASIG,DATOS!$I13254,nEVAL,"OR")=0))</f>
      </c>
      <c r="I13254">
        <f>IF(DATOS!$I13254="","",IFERROR(VLOOKUP(DATOS!$I13254,CONFIG_ASIGNATURAS!$B$2:$J$91,9,FALSE()),""))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IF(DATOS!$A13255="",0,IF(CONFIG_METADATA!$B$4&lt;&gt;"OR+EX",--(DATOS!$G13255=CONFIG_METADATA!$B$4),IF(DATOS!$G13255="EX",1,IF(DATOS!$G13255="OR",--(COUNTIFS(nNIA,DATOS!$A13255,nCURSO,DATOS!$D13255,nESPEC,DATOS!$E13255,nASIG,DATOS!$I13255,nEVAL,"EX")=0),0))))</f>
      </c>
      <c r="H13255">
        <f>IF(DATOS!$G13255&lt;&gt;"EX",0,--(COUNTIFS(nNIA,DATOS!$A13255,nCURSO,DATOS!$D13255,nESPEC,DATOS!$E13255,nASIG,DATOS!$I13255,nEVAL,"OR")=0))</f>
      </c>
      <c r="I13255">
        <f>IF(DATOS!$I13255="","",IFERROR(VLOOKUP(DATOS!$I13255,CONFIG_ASIGNATURAS!$B$2:$J$91,9,FALSE()),""))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IF(DATOS!$A13256="",0,IF(CONFIG_METADATA!$B$4&lt;&gt;"OR+EX",--(DATOS!$G13256=CONFIG_METADATA!$B$4),IF(DATOS!$G13256="EX",1,IF(DATOS!$G13256="OR",--(COUNTIFS(nNIA,DATOS!$A13256,nCURSO,DATOS!$D13256,nESPEC,DATOS!$E13256,nASIG,DATOS!$I13256,nEVAL,"EX")=0),0))))</f>
      </c>
      <c r="H13256">
        <f>IF(DATOS!$G13256&lt;&gt;"EX",0,--(COUNTIFS(nNIA,DATOS!$A13256,nCURSO,DATOS!$D13256,nESPEC,DATOS!$E13256,nASIG,DATOS!$I13256,nEVAL,"OR")=0))</f>
      </c>
      <c r="I13256">
        <f>IF(DATOS!$I13256="","",IFERROR(VLOOKUP(DATOS!$I13256,CONFIG_ASIGNATURAS!$B$2:$J$91,9,FALSE()),""))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IF(DATOS!$A13257="",0,IF(CONFIG_METADATA!$B$4&lt;&gt;"OR+EX",--(DATOS!$G13257=CONFIG_METADATA!$B$4),IF(DATOS!$G13257="EX",1,IF(DATOS!$G13257="OR",--(COUNTIFS(nNIA,DATOS!$A13257,nCURSO,DATOS!$D13257,nESPEC,DATOS!$E13257,nASIG,DATOS!$I13257,nEVAL,"EX")=0),0))))</f>
      </c>
      <c r="H13257">
        <f>IF(DATOS!$G13257&lt;&gt;"EX",0,--(COUNTIFS(nNIA,DATOS!$A13257,nCURSO,DATOS!$D13257,nESPEC,DATOS!$E13257,nASIG,DATOS!$I13257,nEVAL,"OR")=0))</f>
      </c>
      <c r="I13257">
        <f>IF(DATOS!$I13257="","",IFERROR(VLOOKUP(DATOS!$I13257,CONFIG_ASIGNATURAS!$B$2:$J$91,9,FALSE()),""))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IF(DATOS!$A13258="",0,IF(CONFIG_METADATA!$B$4&lt;&gt;"OR+EX",--(DATOS!$G13258=CONFIG_METADATA!$B$4),IF(DATOS!$G13258="EX",1,IF(DATOS!$G13258="OR",--(COUNTIFS(nNIA,DATOS!$A13258,nCURSO,DATOS!$D13258,nESPEC,DATOS!$E13258,nASIG,DATOS!$I13258,nEVAL,"EX")=0),0))))</f>
      </c>
      <c r="H13258">
        <f>IF(DATOS!$G13258&lt;&gt;"EX",0,--(COUNTIFS(nNIA,DATOS!$A13258,nCURSO,DATOS!$D13258,nESPEC,DATOS!$E13258,nASIG,DATOS!$I13258,nEVAL,"OR")=0))</f>
      </c>
      <c r="I13258">
        <f>IF(DATOS!$I13258="","",IFERROR(VLOOKUP(DATOS!$I13258,CONFIG_ASIGNATURAS!$B$2:$J$91,9,FALSE()),""))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IF(DATOS!$A13259="",0,IF(CONFIG_METADATA!$B$4&lt;&gt;"OR+EX",--(DATOS!$G13259=CONFIG_METADATA!$B$4),IF(DATOS!$G13259="EX",1,IF(DATOS!$G13259="OR",--(COUNTIFS(nNIA,DATOS!$A13259,nCURSO,DATOS!$D13259,nESPEC,DATOS!$E13259,nASIG,DATOS!$I13259,nEVAL,"EX")=0),0))))</f>
      </c>
      <c r="H13259">
        <f>IF(DATOS!$G13259&lt;&gt;"EX",0,--(COUNTIFS(nNIA,DATOS!$A13259,nCURSO,DATOS!$D13259,nESPEC,DATOS!$E13259,nASIG,DATOS!$I13259,nEVAL,"OR")=0))</f>
      </c>
      <c r="I13259">
        <f>IF(DATOS!$I13259="","",IFERROR(VLOOKUP(DATOS!$I13259,CONFIG_ASIGNATURAS!$B$2:$J$91,9,FALSE()),""))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IF(DATOS!$A13260="",0,IF(CONFIG_METADATA!$B$4&lt;&gt;"OR+EX",--(DATOS!$G13260=CONFIG_METADATA!$B$4),IF(DATOS!$G13260="EX",1,IF(DATOS!$G13260="OR",--(COUNTIFS(nNIA,DATOS!$A13260,nCURSO,DATOS!$D13260,nESPEC,DATOS!$E13260,nASIG,DATOS!$I13260,nEVAL,"EX")=0),0))))</f>
      </c>
      <c r="H13260">
        <f>IF(DATOS!$G13260&lt;&gt;"EX",0,--(COUNTIFS(nNIA,DATOS!$A13260,nCURSO,DATOS!$D13260,nESPEC,DATOS!$E13260,nASIG,DATOS!$I13260,nEVAL,"OR")=0))</f>
      </c>
      <c r="I13260">
        <f>IF(DATOS!$I13260="","",IFERROR(VLOOKUP(DATOS!$I13260,CONFIG_ASIGNATURAS!$B$2:$J$91,9,FALSE()),""))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IF(DATOS!$A13261="",0,IF(CONFIG_METADATA!$B$4&lt;&gt;"OR+EX",--(DATOS!$G13261=CONFIG_METADATA!$B$4),IF(DATOS!$G13261="EX",1,IF(DATOS!$G13261="OR",--(COUNTIFS(nNIA,DATOS!$A13261,nCURSO,DATOS!$D13261,nESPEC,DATOS!$E13261,nASIG,DATOS!$I13261,nEVAL,"EX")=0),0))))</f>
      </c>
      <c r="H13261">
        <f>IF(DATOS!$G13261&lt;&gt;"EX",0,--(COUNTIFS(nNIA,DATOS!$A13261,nCURSO,DATOS!$D13261,nESPEC,DATOS!$E13261,nASIG,DATOS!$I13261,nEVAL,"OR")=0))</f>
      </c>
      <c r="I13261">
        <f>IF(DATOS!$I13261="","",IFERROR(VLOOKUP(DATOS!$I13261,CONFIG_ASIGNATURAS!$B$2:$J$91,9,FALSE()),""))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IF(DATOS!$A13262="",0,IF(CONFIG_METADATA!$B$4&lt;&gt;"OR+EX",--(DATOS!$G13262=CONFIG_METADATA!$B$4),IF(DATOS!$G13262="EX",1,IF(DATOS!$G13262="OR",--(COUNTIFS(nNIA,DATOS!$A13262,nCURSO,DATOS!$D13262,nESPEC,DATOS!$E13262,nASIG,DATOS!$I13262,nEVAL,"EX")=0),0))))</f>
      </c>
      <c r="H13262">
        <f>IF(DATOS!$G13262&lt;&gt;"EX",0,--(COUNTIFS(nNIA,DATOS!$A13262,nCURSO,DATOS!$D13262,nESPEC,DATOS!$E13262,nASIG,DATOS!$I13262,nEVAL,"OR")=0))</f>
      </c>
      <c r="I13262">
        <f>IF(DATOS!$I13262="","",IFERROR(VLOOKUP(DATOS!$I13262,CONFIG_ASIGNATURAS!$B$2:$J$91,9,FALSE()),""))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IF(DATOS!$A13263="",0,IF(CONFIG_METADATA!$B$4&lt;&gt;"OR+EX",--(DATOS!$G13263=CONFIG_METADATA!$B$4),IF(DATOS!$G13263="EX",1,IF(DATOS!$G13263="OR",--(COUNTIFS(nNIA,DATOS!$A13263,nCURSO,DATOS!$D13263,nESPEC,DATOS!$E13263,nASIG,DATOS!$I13263,nEVAL,"EX")=0),0))))</f>
      </c>
      <c r="H13263">
        <f>IF(DATOS!$G13263&lt;&gt;"EX",0,--(COUNTIFS(nNIA,DATOS!$A13263,nCURSO,DATOS!$D13263,nESPEC,DATOS!$E13263,nASIG,DATOS!$I13263,nEVAL,"OR")=0))</f>
      </c>
      <c r="I13263">
        <f>IF(DATOS!$I13263="","",IFERROR(VLOOKUP(DATOS!$I13263,CONFIG_ASIGNATURAS!$B$2:$J$91,9,FALSE()),""))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IF(DATOS!$A13264="",0,IF(CONFIG_METADATA!$B$4&lt;&gt;"OR+EX",--(DATOS!$G13264=CONFIG_METADATA!$B$4),IF(DATOS!$G13264="EX",1,IF(DATOS!$G13264="OR",--(COUNTIFS(nNIA,DATOS!$A13264,nCURSO,DATOS!$D13264,nESPEC,DATOS!$E13264,nASIG,DATOS!$I13264,nEVAL,"EX")=0),0))))</f>
      </c>
      <c r="H13264">
        <f>IF(DATOS!$G13264&lt;&gt;"EX",0,--(COUNTIFS(nNIA,DATOS!$A13264,nCURSO,DATOS!$D13264,nESPEC,DATOS!$E13264,nASIG,DATOS!$I13264,nEVAL,"OR")=0))</f>
      </c>
      <c r="I13264">
        <f>IF(DATOS!$I13264="","",IFERROR(VLOOKUP(DATOS!$I13264,CONFIG_ASIGNATURAS!$B$2:$J$91,9,FALSE()),""))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IF(DATOS!$A13265="",0,IF(CONFIG_METADATA!$B$4&lt;&gt;"OR+EX",--(DATOS!$G13265=CONFIG_METADATA!$B$4),IF(DATOS!$G13265="EX",1,IF(DATOS!$G13265="OR",--(COUNTIFS(nNIA,DATOS!$A13265,nCURSO,DATOS!$D13265,nESPEC,DATOS!$E13265,nASIG,DATOS!$I13265,nEVAL,"EX")=0),0))))</f>
      </c>
      <c r="H13265">
        <f>IF(DATOS!$G13265&lt;&gt;"EX",0,--(COUNTIFS(nNIA,DATOS!$A13265,nCURSO,DATOS!$D13265,nESPEC,DATOS!$E13265,nASIG,DATOS!$I13265,nEVAL,"OR")=0))</f>
      </c>
      <c r="I13265">
        <f>IF(DATOS!$I13265="","",IFERROR(VLOOKUP(DATOS!$I13265,CONFIG_ASIGNATURAS!$B$2:$J$91,9,FALSE()),""))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IF(DATOS!$A13266="",0,IF(CONFIG_METADATA!$B$4&lt;&gt;"OR+EX",--(DATOS!$G13266=CONFIG_METADATA!$B$4),IF(DATOS!$G13266="EX",1,IF(DATOS!$G13266="OR",--(COUNTIFS(nNIA,DATOS!$A13266,nCURSO,DATOS!$D13266,nESPEC,DATOS!$E13266,nASIG,DATOS!$I13266,nEVAL,"EX")=0),0))))</f>
      </c>
      <c r="H13266">
        <f>IF(DATOS!$G13266&lt;&gt;"EX",0,--(COUNTIFS(nNIA,DATOS!$A13266,nCURSO,DATOS!$D13266,nESPEC,DATOS!$E13266,nASIG,DATOS!$I13266,nEVAL,"OR")=0))</f>
      </c>
      <c r="I13266">
        <f>IF(DATOS!$I13266="","",IFERROR(VLOOKUP(DATOS!$I13266,CONFIG_ASIGNATURAS!$B$2:$J$91,9,FALSE()),""))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IF(DATOS!$A13267="",0,IF(CONFIG_METADATA!$B$4&lt;&gt;"OR+EX",--(DATOS!$G13267=CONFIG_METADATA!$B$4),IF(DATOS!$G13267="EX",1,IF(DATOS!$G13267="OR",--(COUNTIFS(nNIA,DATOS!$A13267,nCURSO,DATOS!$D13267,nESPEC,DATOS!$E13267,nASIG,DATOS!$I13267,nEVAL,"EX")=0),0))))</f>
      </c>
      <c r="H13267">
        <f>IF(DATOS!$G13267&lt;&gt;"EX",0,--(COUNTIFS(nNIA,DATOS!$A13267,nCURSO,DATOS!$D13267,nESPEC,DATOS!$E13267,nASIG,DATOS!$I13267,nEVAL,"OR")=0))</f>
      </c>
      <c r="I13267">
        <f>IF(DATOS!$I13267="","",IFERROR(VLOOKUP(DATOS!$I13267,CONFIG_ASIGNATURAS!$B$2:$J$91,9,FALSE()),""))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IF(DATOS!$A13268="",0,IF(CONFIG_METADATA!$B$4&lt;&gt;"OR+EX",--(DATOS!$G13268=CONFIG_METADATA!$B$4),IF(DATOS!$G13268="EX",1,IF(DATOS!$G13268="OR",--(COUNTIFS(nNIA,DATOS!$A13268,nCURSO,DATOS!$D13268,nESPEC,DATOS!$E13268,nASIG,DATOS!$I13268,nEVAL,"EX")=0),0))))</f>
      </c>
      <c r="H13268">
        <f>IF(DATOS!$G13268&lt;&gt;"EX",0,--(COUNTIFS(nNIA,DATOS!$A13268,nCURSO,DATOS!$D13268,nESPEC,DATOS!$E13268,nASIG,DATOS!$I13268,nEVAL,"OR")=0))</f>
      </c>
      <c r="I13268">
        <f>IF(DATOS!$I13268="","",IFERROR(VLOOKUP(DATOS!$I13268,CONFIG_ASIGNATURAS!$B$2:$J$91,9,FALSE()),""))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IF(DATOS!$A13269="",0,IF(CONFIG_METADATA!$B$4&lt;&gt;"OR+EX",--(DATOS!$G13269=CONFIG_METADATA!$B$4),IF(DATOS!$G13269="EX",1,IF(DATOS!$G13269="OR",--(COUNTIFS(nNIA,DATOS!$A13269,nCURSO,DATOS!$D13269,nESPEC,DATOS!$E13269,nASIG,DATOS!$I13269,nEVAL,"EX")=0),0))))</f>
      </c>
      <c r="H13269">
        <f>IF(DATOS!$G13269&lt;&gt;"EX",0,--(COUNTIFS(nNIA,DATOS!$A13269,nCURSO,DATOS!$D13269,nESPEC,DATOS!$E13269,nASIG,DATOS!$I13269,nEVAL,"OR")=0))</f>
      </c>
      <c r="I13269">
        <f>IF(DATOS!$I13269="","",IFERROR(VLOOKUP(DATOS!$I13269,CONFIG_ASIGNATURAS!$B$2:$J$91,9,FALSE()),""))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IF(DATOS!$A13270="",0,IF(CONFIG_METADATA!$B$4&lt;&gt;"OR+EX",--(DATOS!$G13270=CONFIG_METADATA!$B$4),IF(DATOS!$G13270="EX",1,IF(DATOS!$G13270="OR",--(COUNTIFS(nNIA,DATOS!$A13270,nCURSO,DATOS!$D13270,nESPEC,DATOS!$E13270,nASIG,DATOS!$I13270,nEVAL,"EX")=0),0))))</f>
      </c>
      <c r="H13270">
        <f>IF(DATOS!$G13270&lt;&gt;"EX",0,--(COUNTIFS(nNIA,DATOS!$A13270,nCURSO,DATOS!$D13270,nESPEC,DATOS!$E13270,nASIG,DATOS!$I13270,nEVAL,"OR")=0))</f>
      </c>
      <c r="I13270">
        <f>IF(DATOS!$I13270="","",IFERROR(VLOOKUP(DATOS!$I13270,CONFIG_ASIGNATURAS!$B$2:$J$91,9,FALSE()),""))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IF(DATOS!$A13271="",0,IF(CONFIG_METADATA!$B$4&lt;&gt;"OR+EX",--(DATOS!$G13271=CONFIG_METADATA!$B$4),IF(DATOS!$G13271="EX",1,IF(DATOS!$G13271="OR",--(COUNTIFS(nNIA,DATOS!$A13271,nCURSO,DATOS!$D13271,nESPEC,DATOS!$E13271,nASIG,DATOS!$I13271,nEVAL,"EX")=0),0))))</f>
      </c>
      <c r="H13271">
        <f>IF(DATOS!$G13271&lt;&gt;"EX",0,--(COUNTIFS(nNIA,DATOS!$A13271,nCURSO,DATOS!$D13271,nESPEC,DATOS!$E13271,nASIG,DATOS!$I13271,nEVAL,"OR")=0))</f>
      </c>
      <c r="I13271">
        <f>IF(DATOS!$I13271="","",IFERROR(VLOOKUP(DATOS!$I13271,CONFIG_ASIGNATURAS!$B$2:$J$91,9,FALSE()),""))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IF(DATOS!$A13272="",0,IF(CONFIG_METADATA!$B$4&lt;&gt;"OR+EX",--(DATOS!$G13272=CONFIG_METADATA!$B$4),IF(DATOS!$G13272="EX",1,IF(DATOS!$G13272="OR",--(COUNTIFS(nNIA,DATOS!$A13272,nCURSO,DATOS!$D13272,nESPEC,DATOS!$E13272,nASIG,DATOS!$I13272,nEVAL,"EX")=0),0))))</f>
      </c>
      <c r="H13272">
        <f>IF(DATOS!$G13272&lt;&gt;"EX",0,--(COUNTIFS(nNIA,DATOS!$A13272,nCURSO,DATOS!$D13272,nESPEC,DATOS!$E13272,nASIG,DATOS!$I13272,nEVAL,"OR")=0))</f>
      </c>
      <c r="I13272">
        <f>IF(DATOS!$I13272="","",IFERROR(VLOOKUP(DATOS!$I13272,CONFIG_ASIGNATURAS!$B$2:$J$91,9,FALSE()),""))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IF(DATOS!$A13273="",0,IF(CONFIG_METADATA!$B$4&lt;&gt;"OR+EX",--(DATOS!$G13273=CONFIG_METADATA!$B$4),IF(DATOS!$G13273="EX",1,IF(DATOS!$G13273="OR",--(COUNTIFS(nNIA,DATOS!$A13273,nCURSO,DATOS!$D13273,nESPEC,DATOS!$E13273,nASIG,DATOS!$I13273,nEVAL,"EX")=0),0))))</f>
      </c>
      <c r="H13273">
        <f>IF(DATOS!$G13273&lt;&gt;"EX",0,--(COUNTIFS(nNIA,DATOS!$A13273,nCURSO,DATOS!$D13273,nESPEC,DATOS!$E13273,nASIG,DATOS!$I13273,nEVAL,"OR")=0))</f>
      </c>
      <c r="I13273">
        <f>IF(DATOS!$I13273="","",IFERROR(VLOOKUP(DATOS!$I13273,CONFIG_ASIGNATURAS!$B$2:$J$91,9,FALSE()),""))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IF(DATOS!$A13274="",0,IF(CONFIG_METADATA!$B$4&lt;&gt;"OR+EX",--(DATOS!$G13274=CONFIG_METADATA!$B$4),IF(DATOS!$G13274="EX",1,IF(DATOS!$G13274="OR",--(COUNTIFS(nNIA,DATOS!$A13274,nCURSO,DATOS!$D13274,nESPEC,DATOS!$E13274,nASIG,DATOS!$I13274,nEVAL,"EX")=0),0))))</f>
      </c>
      <c r="H13274">
        <f>IF(DATOS!$G13274&lt;&gt;"EX",0,--(COUNTIFS(nNIA,DATOS!$A13274,nCURSO,DATOS!$D13274,nESPEC,DATOS!$E13274,nASIG,DATOS!$I13274,nEVAL,"OR")=0))</f>
      </c>
      <c r="I13274">
        <f>IF(DATOS!$I13274="","",IFERROR(VLOOKUP(DATOS!$I13274,CONFIG_ASIGNATURAS!$B$2:$J$91,9,FALSE()),""))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IF(DATOS!$A13275="",0,IF(CONFIG_METADATA!$B$4&lt;&gt;"OR+EX",--(DATOS!$G13275=CONFIG_METADATA!$B$4),IF(DATOS!$G13275="EX",1,IF(DATOS!$G13275="OR",--(COUNTIFS(nNIA,DATOS!$A13275,nCURSO,DATOS!$D13275,nESPEC,DATOS!$E13275,nASIG,DATOS!$I13275,nEVAL,"EX")=0),0))))</f>
      </c>
      <c r="H13275">
        <f>IF(DATOS!$G13275&lt;&gt;"EX",0,--(COUNTIFS(nNIA,DATOS!$A13275,nCURSO,DATOS!$D13275,nESPEC,DATOS!$E13275,nASIG,DATOS!$I13275,nEVAL,"OR")=0))</f>
      </c>
      <c r="I13275">
        <f>IF(DATOS!$I13275="","",IFERROR(VLOOKUP(DATOS!$I13275,CONFIG_ASIGNATURAS!$B$2:$J$91,9,FALSE()),""))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IF(DATOS!$A13276="",0,IF(CONFIG_METADATA!$B$4&lt;&gt;"OR+EX",--(DATOS!$G13276=CONFIG_METADATA!$B$4),IF(DATOS!$G13276="EX",1,IF(DATOS!$G13276="OR",--(COUNTIFS(nNIA,DATOS!$A13276,nCURSO,DATOS!$D13276,nESPEC,DATOS!$E13276,nASIG,DATOS!$I13276,nEVAL,"EX")=0),0))))</f>
      </c>
      <c r="H13276">
        <f>IF(DATOS!$G13276&lt;&gt;"EX",0,--(COUNTIFS(nNIA,DATOS!$A13276,nCURSO,DATOS!$D13276,nESPEC,DATOS!$E13276,nASIG,DATOS!$I13276,nEVAL,"OR")=0))</f>
      </c>
      <c r="I13276">
        <f>IF(DATOS!$I13276="","",IFERROR(VLOOKUP(DATOS!$I13276,CONFIG_ASIGNATURAS!$B$2:$J$91,9,FALSE()),""))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IF(DATOS!$A13277="",0,IF(CONFIG_METADATA!$B$4&lt;&gt;"OR+EX",--(DATOS!$G13277=CONFIG_METADATA!$B$4),IF(DATOS!$G13277="EX",1,IF(DATOS!$G13277="OR",--(COUNTIFS(nNIA,DATOS!$A13277,nCURSO,DATOS!$D13277,nESPEC,DATOS!$E13277,nASIG,DATOS!$I13277,nEVAL,"EX")=0),0))))</f>
      </c>
      <c r="H13277">
        <f>IF(DATOS!$G13277&lt;&gt;"EX",0,--(COUNTIFS(nNIA,DATOS!$A13277,nCURSO,DATOS!$D13277,nESPEC,DATOS!$E13277,nASIG,DATOS!$I13277,nEVAL,"OR")=0))</f>
      </c>
      <c r="I13277">
        <f>IF(DATOS!$I13277="","",IFERROR(VLOOKUP(DATOS!$I13277,CONFIG_ASIGNATURAS!$B$2:$J$91,9,FALSE()),""))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IF(DATOS!$A13278="",0,IF(CONFIG_METADATA!$B$4&lt;&gt;"OR+EX",--(DATOS!$G13278=CONFIG_METADATA!$B$4),IF(DATOS!$G13278="EX",1,IF(DATOS!$G13278="OR",--(COUNTIFS(nNIA,DATOS!$A13278,nCURSO,DATOS!$D13278,nESPEC,DATOS!$E13278,nASIG,DATOS!$I13278,nEVAL,"EX")=0),0))))</f>
      </c>
      <c r="H13278">
        <f>IF(DATOS!$G13278&lt;&gt;"EX",0,--(COUNTIFS(nNIA,DATOS!$A13278,nCURSO,DATOS!$D13278,nESPEC,DATOS!$E13278,nASIG,DATOS!$I13278,nEVAL,"OR")=0))</f>
      </c>
      <c r="I13278">
        <f>IF(DATOS!$I13278="","",IFERROR(VLOOKUP(DATOS!$I13278,CONFIG_ASIGNATURAS!$B$2:$J$91,9,FALSE()),""))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IF(DATOS!$A13279="",0,IF(CONFIG_METADATA!$B$4&lt;&gt;"OR+EX",--(DATOS!$G13279=CONFIG_METADATA!$B$4),IF(DATOS!$G13279="EX",1,IF(DATOS!$G13279="OR",--(COUNTIFS(nNIA,DATOS!$A13279,nCURSO,DATOS!$D13279,nESPEC,DATOS!$E13279,nASIG,DATOS!$I13279,nEVAL,"EX")=0),0))))</f>
      </c>
      <c r="H13279">
        <f>IF(DATOS!$G13279&lt;&gt;"EX",0,--(COUNTIFS(nNIA,DATOS!$A13279,nCURSO,DATOS!$D13279,nESPEC,DATOS!$E13279,nASIG,DATOS!$I13279,nEVAL,"OR")=0))</f>
      </c>
      <c r="I13279">
        <f>IF(DATOS!$I13279="","",IFERROR(VLOOKUP(DATOS!$I13279,CONFIG_ASIGNATURAS!$B$2:$J$91,9,FALSE()),""))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IF(DATOS!$A13280="",0,IF(CONFIG_METADATA!$B$4&lt;&gt;"OR+EX",--(DATOS!$G13280=CONFIG_METADATA!$B$4),IF(DATOS!$G13280="EX",1,IF(DATOS!$G13280="OR",--(COUNTIFS(nNIA,DATOS!$A13280,nCURSO,DATOS!$D13280,nESPEC,DATOS!$E13280,nASIG,DATOS!$I13280,nEVAL,"EX")=0),0))))</f>
      </c>
      <c r="H13280">
        <f>IF(DATOS!$G13280&lt;&gt;"EX",0,--(COUNTIFS(nNIA,DATOS!$A13280,nCURSO,DATOS!$D13280,nESPEC,DATOS!$E13280,nASIG,DATOS!$I13280,nEVAL,"OR")=0))</f>
      </c>
      <c r="I13280">
        <f>IF(DATOS!$I13280="","",IFERROR(VLOOKUP(DATOS!$I13280,CONFIG_ASIGNATURAS!$B$2:$J$91,9,FALSE()),""))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IF(DATOS!$A13281="",0,IF(CONFIG_METADATA!$B$4&lt;&gt;"OR+EX",--(DATOS!$G13281=CONFIG_METADATA!$B$4),IF(DATOS!$G13281="EX",1,IF(DATOS!$G13281="OR",--(COUNTIFS(nNIA,DATOS!$A13281,nCURSO,DATOS!$D13281,nESPEC,DATOS!$E13281,nASIG,DATOS!$I13281,nEVAL,"EX")=0),0))))</f>
      </c>
      <c r="H13281">
        <f>IF(DATOS!$G13281&lt;&gt;"EX",0,--(COUNTIFS(nNIA,DATOS!$A13281,nCURSO,DATOS!$D13281,nESPEC,DATOS!$E13281,nASIG,DATOS!$I13281,nEVAL,"OR")=0))</f>
      </c>
      <c r="I13281">
        <f>IF(DATOS!$I13281="","",IFERROR(VLOOKUP(DATOS!$I13281,CONFIG_ASIGNATURAS!$B$2:$J$91,9,FALSE()),""))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IF(DATOS!$A13282="",0,IF(CONFIG_METADATA!$B$4&lt;&gt;"OR+EX",--(DATOS!$G13282=CONFIG_METADATA!$B$4),IF(DATOS!$G13282="EX",1,IF(DATOS!$G13282="OR",--(COUNTIFS(nNIA,DATOS!$A13282,nCURSO,DATOS!$D13282,nESPEC,DATOS!$E13282,nASIG,DATOS!$I13282,nEVAL,"EX")=0),0))))</f>
      </c>
      <c r="H13282">
        <f>IF(DATOS!$G13282&lt;&gt;"EX",0,--(COUNTIFS(nNIA,DATOS!$A13282,nCURSO,DATOS!$D13282,nESPEC,DATOS!$E13282,nASIG,DATOS!$I13282,nEVAL,"OR")=0))</f>
      </c>
      <c r="I13282">
        <f>IF(DATOS!$I13282="","",IFERROR(VLOOKUP(DATOS!$I13282,CONFIG_ASIGNATURAS!$B$2:$J$91,9,FALSE()),""))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IF(DATOS!$A13283="",0,IF(CONFIG_METADATA!$B$4&lt;&gt;"OR+EX",--(DATOS!$G13283=CONFIG_METADATA!$B$4),IF(DATOS!$G13283="EX",1,IF(DATOS!$G13283="OR",--(COUNTIFS(nNIA,DATOS!$A13283,nCURSO,DATOS!$D13283,nESPEC,DATOS!$E13283,nASIG,DATOS!$I13283,nEVAL,"EX")=0),0))))</f>
      </c>
      <c r="H13283">
        <f>IF(DATOS!$G13283&lt;&gt;"EX",0,--(COUNTIFS(nNIA,DATOS!$A13283,nCURSO,DATOS!$D13283,nESPEC,DATOS!$E13283,nASIG,DATOS!$I13283,nEVAL,"OR")=0))</f>
      </c>
      <c r="I13283">
        <f>IF(DATOS!$I13283="","",IFERROR(VLOOKUP(DATOS!$I13283,CONFIG_ASIGNATURAS!$B$2:$J$91,9,FALSE()),""))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IF(DATOS!$A13284="",0,IF(CONFIG_METADATA!$B$4&lt;&gt;"OR+EX",--(DATOS!$G13284=CONFIG_METADATA!$B$4),IF(DATOS!$G13284="EX",1,IF(DATOS!$G13284="OR",--(COUNTIFS(nNIA,DATOS!$A13284,nCURSO,DATOS!$D13284,nESPEC,DATOS!$E13284,nASIG,DATOS!$I13284,nEVAL,"EX")=0),0))))</f>
      </c>
      <c r="H13284">
        <f>IF(DATOS!$G13284&lt;&gt;"EX",0,--(COUNTIFS(nNIA,DATOS!$A13284,nCURSO,DATOS!$D13284,nESPEC,DATOS!$E13284,nASIG,DATOS!$I13284,nEVAL,"OR")=0))</f>
      </c>
      <c r="I13284">
        <f>IF(DATOS!$I13284="","",IFERROR(VLOOKUP(DATOS!$I13284,CONFIG_ASIGNATURAS!$B$2:$J$91,9,FALSE()),""))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IF(DATOS!$A13285="",0,IF(CONFIG_METADATA!$B$4&lt;&gt;"OR+EX",--(DATOS!$G13285=CONFIG_METADATA!$B$4),IF(DATOS!$G13285="EX",1,IF(DATOS!$G13285="OR",--(COUNTIFS(nNIA,DATOS!$A13285,nCURSO,DATOS!$D13285,nESPEC,DATOS!$E13285,nASIG,DATOS!$I13285,nEVAL,"EX")=0),0))))</f>
      </c>
      <c r="H13285">
        <f>IF(DATOS!$G13285&lt;&gt;"EX",0,--(COUNTIFS(nNIA,DATOS!$A13285,nCURSO,DATOS!$D13285,nESPEC,DATOS!$E13285,nASIG,DATOS!$I13285,nEVAL,"OR")=0))</f>
      </c>
      <c r="I13285">
        <f>IF(DATOS!$I13285="","",IFERROR(VLOOKUP(DATOS!$I13285,CONFIG_ASIGNATURAS!$B$2:$J$91,9,FALSE()),""))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IF(DATOS!$A13286="",0,IF(CONFIG_METADATA!$B$4&lt;&gt;"OR+EX",--(DATOS!$G13286=CONFIG_METADATA!$B$4),IF(DATOS!$G13286="EX",1,IF(DATOS!$G13286="OR",--(COUNTIFS(nNIA,DATOS!$A13286,nCURSO,DATOS!$D13286,nESPEC,DATOS!$E13286,nASIG,DATOS!$I13286,nEVAL,"EX")=0),0))))</f>
      </c>
      <c r="H13286">
        <f>IF(DATOS!$G13286&lt;&gt;"EX",0,--(COUNTIFS(nNIA,DATOS!$A13286,nCURSO,DATOS!$D13286,nESPEC,DATOS!$E13286,nASIG,DATOS!$I13286,nEVAL,"OR")=0))</f>
      </c>
      <c r="I13286">
        <f>IF(DATOS!$I13286="","",IFERROR(VLOOKUP(DATOS!$I13286,CONFIG_ASIGNATURAS!$B$2:$J$91,9,FALSE()),""))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IF(DATOS!$A13287="",0,IF(CONFIG_METADATA!$B$4&lt;&gt;"OR+EX",--(DATOS!$G13287=CONFIG_METADATA!$B$4),IF(DATOS!$G13287="EX",1,IF(DATOS!$G13287="OR",--(COUNTIFS(nNIA,DATOS!$A13287,nCURSO,DATOS!$D13287,nESPEC,DATOS!$E13287,nASIG,DATOS!$I13287,nEVAL,"EX")=0),0))))</f>
      </c>
      <c r="H13287">
        <f>IF(DATOS!$G13287&lt;&gt;"EX",0,--(COUNTIFS(nNIA,DATOS!$A13287,nCURSO,DATOS!$D13287,nESPEC,DATOS!$E13287,nASIG,DATOS!$I13287,nEVAL,"OR")=0))</f>
      </c>
      <c r="I13287">
        <f>IF(DATOS!$I13287="","",IFERROR(VLOOKUP(DATOS!$I13287,CONFIG_ASIGNATURAS!$B$2:$J$91,9,FALSE()),""))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IF(DATOS!$A13288="",0,IF(CONFIG_METADATA!$B$4&lt;&gt;"OR+EX",--(DATOS!$G13288=CONFIG_METADATA!$B$4),IF(DATOS!$G13288="EX",1,IF(DATOS!$G13288="OR",--(COUNTIFS(nNIA,DATOS!$A13288,nCURSO,DATOS!$D13288,nESPEC,DATOS!$E13288,nASIG,DATOS!$I13288,nEVAL,"EX")=0),0))))</f>
      </c>
      <c r="H13288">
        <f>IF(DATOS!$G13288&lt;&gt;"EX",0,--(COUNTIFS(nNIA,DATOS!$A13288,nCURSO,DATOS!$D13288,nESPEC,DATOS!$E13288,nASIG,DATOS!$I13288,nEVAL,"OR")=0))</f>
      </c>
      <c r="I13288">
        <f>IF(DATOS!$I13288="","",IFERROR(VLOOKUP(DATOS!$I13288,CONFIG_ASIGNATURAS!$B$2:$J$91,9,FALSE()),""))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IF(DATOS!$A13289="",0,IF(CONFIG_METADATA!$B$4&lt;&gt;"OR+EX",--(DATOS!$G13289=CONFIG_METADATA!$B$4),IF(DATOS!$G13289="EX",1,IF(DATOS!$G13289="OR",--(COUNTIFS(nNIA,DATOS!$A13289,nCURSO,DATOS!$D13289,nESPEC,DATOS!$E13289,nASIG,DATOS!$I13289,nEVAL,"EX")=0),0))))</f>
      </c>
      <c r="H13289">
        <f>IF(DATOS!$G13289&lt;&gt;"EX",0,--(COUNTIFS(nNIA,DATOS!$A13289,nCURSO,DATOS!$D13289,nESPEC,DATOS!$E13289,nASIG,DATOS!$I13289,nEVAL,"OR")=0))</f>
      </c>
      <c r="I13289">
        <f>IF(DATOS!$I13289="","",IFERROR(VLOOKUP(DATOS!$I13289,CONFIG_ASIGNATURAS!$B$2:$J$91,9,FALSE()),""))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IF(DATOS!$A13290="",0,IF(CONFIG_METADATA!$B$4&lt;&gt;"OR+EX",--(DATOS!$G13290=CONFIG_METADATA!$B$4),IF(DATOS!$G13290="EX",1,IF(DATOS!$G13290="OR",--(COUNTIFS(nNIA,DATOS!$A13290,nCURSO,DATOS!$D13290,nESPEC,DATOS!$E13290,nASIG,DATOS!$I13290,nEVAL,"EX")=0),0))))</f>
      </c>
      <c r="H13290">
        <f>IF(DATOS!$G13290&lt;&gt;"EX",0,--(COUNTIFS(nNIA,DATOS!$A13290,nCURSO,DATOS!$D13290,nESPEC,DATOS!$E13290,nASIG,DATOS!$I13290,nEVAL,"OR")=0))</f>
      </c>
      <c r="I13290">
        <f>IF(DATOS!$I13290="","",IFERROR(VLOOKUP(DATOS!$I13290,CONFIG_ASIGNATURAS!$B$2:$J$91,9,FALSE()),""))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IF(DATOS!$A13291="",0,IF(CONFIG_METADATA!$B$4&lt;&gt;"OR+EX",--(DATOS!$G13291=CONFIG_METADATA!$B$4),IF(DATOS!$G13291="EX",1,IF(DATOS!$G13291="OR",--(COUNTIFS(nNIA,DATOS!$A13291,nCURSO,DATOS!$D13291,nESPEC,DATOS!$E13291,nASIG,DATOS!$I13291,nEVAL,"EX")=0),0))))</f>
      </c>
      <c r="H13291">
        <f>IF(DATOS!$G13291&lt;&gt;"EX",0,--(COUNTIFS(nNIA,DATOS!$A13291,nCURSO,DATOS!$D13291,nESPEC,DATOS!$E13291,nASIG,DATOS!$I13291,nEVAL,"OR")=0))</f>
      </c>
      <c r="I13291">
        <f>IF(DATOS!$I13291="","",IFERROR(VLOOKUP(DATOS!$I13291,CONFIG_ASIGNATURAS!$B$2:$J$91,9,FALSE()),""))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IF(DATOS!$A13292="",0,IF(CONFIG_METADATA!$B$4&lt;&gt;"OR+EX",--(DATOS!$G13292=CONFIG_METADATA!$B$4),IF(DATOS!$G13292="EX",1,IF(DATOS!$G13292="OR",--(COUNTIFS(nNIA,DATOS!$A13292,nCURSO,DATOS!$D13292,nESPEC,DATOS!$E13292,nASIG,DATOS!$I13292,nEVAL,"EX")=0),0))))</f>
      </c>
      <c r="H13292">
        <f>IF(DATOS!$G13292&lt;&gt;"EX",0,--(COUNTIFS(nNIA,DATOS!$A13292,nCURSO,DATOS!$D13292,nESPEC,DATOS!$E13292,nASIG,DATOS!$I13292,nEVAL,"OR")=0))</f>
      </c>
      <c r="I13292">
        <f>IF(DATOS!$I13292="","",IFERROR(VLOOKUP(DATOS!$I13292,CONFIG_ASIGNATURAS!$B$2:$J$91,9,FALSE()),""))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IF(DATOS!$A13293="",0,IF(CONFIG_METADATA!$B$4&lt;&gt;"OR+EX",--(DATOS!$G13293=CONFIG_METADATA!$B$4),IF(DATOS!$G13293="EX",1,IF(DATOS!$G13293="OR",--(COUNTIFS(nNIA,DATOS!$A13293,nCURSO,DATOS!$D13293,nESPEC,DATOS!$E13293,nASIG,DATOS!$I13293,nEVAL,"EX")=0),0))))</f>
      </c>
      <c r="H13293">
        <f>IF(DATOS!$G13293&lt;&gt;"EX",0,--(COUNTIFS(nNIA,DATOS!$A13293,nCURSO,DATOS!$D13293,nESPEC,DATOS!$E13293,nASIG,DATOS!$I13293,nEVAL,"OR")=0))</f>
      </c>
      <c r="I13293">
        <f>IF(DATOS!$I13293="","",IFERROR(VLOOKUP(DATOS!$I13293,CONFIG_ASIGNATURAS!$B$2:$J$91,9,FALSE()),""))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IF(DATOS!$A13294="",0,IF(CONFIG_METADATA!$B$4&lt;&gt;"OR+EX",--(DATOS!$G13294=CONFIG_METADATA!$B$4),IF(DATOS!$G13294="EX",1,IF(DATOS!$G13294="OR",--(COUNTIFS(nNIA,DATOS!$A13294,nCURSO,DATOS!$D13294,nESPEC,DATOS!$E13294,nASIG,DATOS!$I13294,nEVAL,"EX")=0),0))))</f>
      </c>
      <c r="H13294">
        <f>IF(DATOS!$G13294&lt;&gt;"EX",0,--(COUNTIFS(nNIA,DATOS!$A13294,nCURSO,DATOS!$D13294,nESPEC,DATOS!$E13294,nASIG,DATOS!$I13294,nEVAL,"OR")=0))</f>
      </c>
      <c r="I13294">
        <f>IF(DATOS!$I13294="","",IFERROR(VLOOKUP(DATOS!$I13294,CONFIG_ASIGNATURAS!$B$2:$J$91,9,FALSE()),""))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IF(DATOS!$A13295="",0,IF(CONFIG_METADATA!$B$4&lt;&gt;"OR+EX",--(DATOS!$G13295=CONFIG_METADATA!$B$4),IF(DATOS!$G13295="EX",1,IF(DATOS!$G13295="OR",--(COUNTIFS(nNIA,DATOS!$A13295,nCURSO,DATOS!$D13295,nESPEC,DATOS!$E13295,nASIG,DATOS!$I13295,nEVAL,"EX")=0),0))))</f>
      </c>
      <c r="H13295">
        <f>IF(DATOS!$G13295&lt;&gt;"EX",0,--(COUNTIFS(nNIA,DATOS!$A13295,nCURSO,DATOS!$D13295,nESPEC,DATOS!$E13295,nASIG,DATOS!$I13295,nEVAL,"OR")=0))</f>
      </c>
      <c r="I13295">
        <f>IF(DATOS!$I13295="","",IFERROR(VLOOKUP(DATOS!$I13295,CONFIG_ASIGNATURAS!$B$2:$J$91,9,FALSE()),""))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IF(DATOS!$A13296="",0,IF(CONFIG_METADATA!$B$4&lt;&gt;"OR+EX",--(DATOS!$G13296=CONFIG_METADATA!$B$4),IF(DATOS!$G13296="EX",1,IF(DATOS!$G13296="OR",--(COUNTIFS(nNIA,DATOS!$A13296,nCURSO,DATOS!$D13296,nESPEC,DATOS!$E13296,nASIG,DATOS!$I13296,nEVAL,"EX")=0),0))))</f>
      </c>
      <c r="H13296">
        <f>IF(DATOS!$G13296&lt;&gt;"EX",0,--(COUNTIFS(nNIA,DATOS!$A13296,nCURSO,DATOS!$D13296,nESPEC,DATOS!$E13296,nASIG,DATOS!$I13296,nEVAL,"OR")=0))</f>
      </c>
      <c r="I13296">
        <f>IF(DATOS!$I13296="","",IFERROR(VLOOKUP(DATOS!$I13296,CONFIG_ASIGNATURAS!$B$2:$J$91,9,FALSE()),""))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IF(DATOS!$A13297="",0,IF(CONFIG_METADATA!$B$4&lt;&gt;"OR+EX",--(DATOS!$G13297=CONFIG_METADATA!$B$4),IF(DATOS!$G13297="EX",1,IF(DATOS!$G13297="OR",--(COUNTIFS(nNIA,DATOS!$A13297,nCURSO,DATOS!$D13297,nESPEC,DATOS!$E13297,nASIG,DATOS!$I13297,nEVAL,"EX")=0),0))))</f>
      </c>
      <c r="H13297">
        <f>IF(DATOS!$G13297&lt;&gt;"EX",0,--(COUNTIFS(nNIA,DATOS!$A13297,nCURSO,DATOS!$D13297,nESPEC,DATOS!$E13297,nASIG,DATOS!$I13297,nEVAL,"OR")=0))</f>
      </c>
      <c r="I13297">
        <f>IF(DATOS!$I13297="","",IFERROR(VLOOKUP(DATOS!$I13297,CONFIG_ASIGNATURAS!$B$2:$J$91,9,FALSE()),""))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IF(DATOS!$A13298="",0,IF(CONFIG_METADATA!$B$4&lt;&gt;"OR+EX",--(DATOS!$G13298=CONFIG_METADATA!$B$4),IF(DATOS!$G13298="EX",1,IF(DATOS!$G13298="OR",--(COUNTIFS(nNIA,DATOS!$A13298,nCURSO,DATOS!$D13298,nESPEC,DATOS!$E13298,nASIG,DATOS!$I13298,nEVAL,"EX")=0),0))))</f>
      </c>
      <c r="H13298">
        <f>IF(DATOS!$G13298&lt;&gt;"EX",0,--(COUNTIFS(nNIA,DATOS!$A13298,nCURSO,DATOS!$D13298,nESPEC,DATOS!$E13298,nASIG,DATOS!$I13298,nEVAL,"OR")=0))</f>
      </c>
      <c r="I13298">
        <f>IF(DATOS!$I13298="","",IFERROR(VLOOKUP(DATOS!$I13298,CONFIG_ASIGNATURAS!$B$2:$J$91,9,FALSE()),""))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IF(DATOS!$A13299="",0,IF(CONFIG_METADATA!$B$4&lt;&gt;"OR+EX",--(DATOS!$G13299=CONFIG_METADATA!$B$4),IF(DATOS!$G13299="EX",1,IF(DATOS!$G13299="OR",--(COUNTIFS(nNIA,DATOS!$A13299,nCURSO,DATOS!$D13299,nESPEC,DATOS!$E13299,nASIG,DATOS!$I13299,nEVAL,"EX")=0),0))))</f>
      </c>
      <c r="H13299">
        <f>IF(DATOS!$G13299&lt;&gt;"EX",0,--(COUNTIFS(nNIA,DATOS!$A13299,nCURSO,DATOS!$D13299,nESPEC,DATOS!$E13299,nASIG,DATOS!$I13299,nEVAL,"OR")=0))</f>
      </c>
      <c r="I13299">
        <f>IF(DATOS!$I13299="","",IFERROR(VLOOKUP(DATOS!$I13299,CONFIG_ASIGNATURAS!$B$2:$J$91,9,FALSE()),""))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IF(DATOS!$A13300="",0,IF(CONFIG_METADATA!$B$4&lt;&gt;"OR+EX",--(DATOS!$G13300=CONFIG_METADATA!$B$4),IF(DATOS!$G13300="EX",1,IF(DATOS!$G13300="OR",--(COUNTIFS(nNIA,DATOS!$A13300,nCURSO,DATOS!$D13300,nESPEC,DATOS!$E13300,nASIG,DATOS!$I13300,nEVAL,"EX")=0),0))))</f>
      </c>
      <c r="H13300">
        <f>IF(DATOS!$G13300&lt;&gt;"EX",0,--(COUNTIFS(nNIA,DATOS!$A13300,nCURSO,DATOS!$D13300,nESPEC,DATOS!$E13300,nASIG,DATOS!$I13300,nEVAL,"OR")=0))</f>
      </c>
      <c r="I13300">
        <f>IF(DATOS!$I13300="","",IFERROR(VLOOKUP(DATOS!$I13300,CONFIG_ASIGNATURAS!$B$2:$J$91,9,FALSE()),""))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IF(DATOS!$A13301="",0,IF(CONFIG_METADATA!$B$4&lt;&gt;"OR+EX",--(DATOS!$G13301=CONFIG_METADATA!$B$4),IF(DATOS!$G13301="EX",1,IF(DATOS!$G13301="OR",--(COUNTIFS(nNIA,DATOS!$A13301,nCURSO,DATOS!$D13301,nESPEC,DATOS!$E13301,nASIG,DATOS!$I13301,nEVAL,"EX")=0),0))))</f>
      </c>
      <c r="H13301">
        <f>IF(DATOS!$G13301&lt;&gt;"EX",0,--(COUNTIFS(nNIA,DATOS!$A13301,nCURSO,DATOS!$D13301,nESPEC,DATOS!$E13301,nASIG,DATOS!$I13301,nEVAL,"OR")=0))</f>
      </c>
      <c r="I13301">
        <f>IF(DATOS!$I13301="","",IFERROR(VLOOKUP(DATOS!$I13301,CONFIG_ASIGNATURAS!$B$2:$J$91,9,FALSE()),""))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IF(DATOS!$A13302="",0,IF(CONFIG_METADATA!$B$4&lt;&gt;"OR+EX",--(DATOS!$G13302=CONFIG_METADATA!$B$4),IF(DATOS!$G13302="EX",1,IF(DATOS!$G13302="OR",--(COUNTIFS(nNIA,DATOS!$A13302,nCURSO,DATOS!$D13302,nESPEC,DATOS!$E13302,nASIG,DATOS!$I13302,nEVAL,"EX")=0),0))))</f>
      </c>
      <c r="H13302">
        <f>IF(DATOS!$G13302&lt;&gt;"EX",0,--(COUNTIFS(nNIA,DATOS!$A13302,nCURSO,DATOS!$D13302,nESPEC,DATOS!$E13302,nASIG,DATOS!$I13302,nEVAL,"OR")=0))</f>
      </c>
      <c r="I13302">
        <f>IF(DATOS!$I13302="","",IFERROR(VLOOKUP(DATOS!$I13302,CONFIG_ASIGNATURAS!$B$2:$J$91,9,FALSE()),""))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IF(DATOS!$A13303="",0,IF(CONFIG_METADATA!$B$4&lt;&gt;"OR+EX",--(DATOS!$G13303=CONFIG_METADATA!$B$4),IF(DATOS!$G13303="EX",1,IF(DATOS!$G13303="OR",--(COUNTIFS(nNIA,DATOS!$A13303,nCURSO,DATOS!$D13303,nESPEC,DATOS!$E13303,nASIG,DATOS!$I13303,nEVAL,"EX")=0),0))))</f>
      </c>
      <c r="H13303">
        <f>IF(DATOS!$G13303&lt;&gt;"EX",0,--(COUNTIFS(nNIA,DATOS!$A13303,nCURSO,DATOS!$D13303,nESPEC,DATOS!$E13303,nASIG,DATOS!$I13303,nEVAL,"OR")=0))</f>
      </c>
      <c r="I13303">
        <f>IF(DATOS!$I13303="","",IFERROR(VLOOKUP(DATOS!$I13303,CONFIG_ASIGNATURAS!$B$2:$J$91,9,FALSE()),""))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IF(DATOS!$A13304="",0,IF(CONFIG_METADATA!$B$4&lt;&gt;"OR+EX",--(DATOS!$G13304=CONFIG_METADATA!$B$4),IF(DATOS!$G13304="EX",1,IF(DATOS!$G13304="OR",--(COUNTIFS(nNIA,DATOS!$A13304,nCURSO,DATOS!$D13304,nESPEC,DATOS!$E13304,nASIG,DATOS!$I13304,nEVAL,"EX")=0),0))))</f>
      </c>
      <c r="H13304">
        <f>IF(DATOS!$G13304&lt;&gt;"EX",0,--(COUNTIFS(nNIA,DATOS!$A13304,nCURSO,DATOS!$D13304,nESPEC,DATOS!$E13304,nASIG,DATOS!$I13304,nEVAL,"OR")=0))</f>
      </c>
      <c r="I13304">
        <f>IF(DATOS!$I13304="","",IFERROR(VLOOKUP(DATOS!$I13304,CONFIG_ASIGNATURAS!$B$2:$J$91,9,FALSE()),""))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IF(DATOS!$A13305="",0,IF(CONFIG_METADATA!$B$4&lt;&gt;"OR+EX",--(DATOS!$G13305=CONFIG_METADATA!$B$4),IF(DATOS!$G13305="EX",1,IF(DATOS!$G13305="OR",--(COUNTIFS(nNIA,DATOS!$A13305,nCURSO,DATOS!$D13305,nESPEC,DATOS!$E13305,nASIG,DATOS!$I13305,nEVAL,"EX")=0),0))))</f>
      </c>
      <c r="H13305">
        <f>IF(DATOS!$G13305&lt;&gt;"EX",0,--(COUNTIFS(nNIA,DATOS!$A13305,nCURSO,DATOS!$D13305,nESPEC,DATOS!$E13305,nASIG,DATOS!$I13305,nEVAL,"OR")=0))</f>
      </c>
      <c r="I13305">
        <f>IF(DATOS!$I13305="","",IFERROR(VLOOKUP(DATOS!$I13305,CONFIG_ASIGNATURAS!$B$2:$J$91,9,FALSE()),""))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IF(DATOS!$A13306="",0,IF(CONFIG_METADATA!$B$4&lt;&gt;"OR+EX",--(DATOS!$G13306=CONFIG_METADATA!$B$4),IF(DATOS!$G13306="EX",1,IF(DATOS!$G13306="OR",--(COUNTIFS(nNIA,DATOS!$A13306,nCURSO,DATOS!$D13306,nESPEC,DATOS!$E13306,nASIG,DATOS!$I13306,nEVAL,"EX")=0),0))))</f>
      </c>
      <c r="H13306">
        <f>IF(DATOS!$G13306&lt;&gt;"EX",0,--(COUNTIFS(nNIA,DATOS!$A13306,nCURSO,DATOS!$D13306,nESPEC,DATOS!$E13306,nASIG,DATOS!$I13306,nEVAL,"OR")=0))</f>
      </c>
      <c r="I13306">
        <f>IF(DATOS!$I13306="","",IFERROR(VLOOKUP(DATOS!$I13306,CONFIG_ASIGNATURAS!$B$2:$J$91,9,FALSE()),""))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IF(DATOS!$A13307="",0,IF(CONFIG_METADATA!$B$4&lt;&gt;"OR+EX",--(DATOS!$G13307=CONFIG_METADATA!$B$4),IF(DATOS!$G13307="EX",1,IF(DATOS!$G13307="OR",--(COUNTIFS(nNIA,DATOS!$A13307,nCURSO,DATOS!$D13307,nESPEC,DATOS!$E13307,nASIG,DATOS!$I13307,nEVAL,"EX")=0),0))))</f>
      </c>
      <c r="H13307">
        <f>IF(DATOS!$G13307&lt;&gt;"EX",0,--(COUNTIFS(nNIA,DATOS!$A13307,nCURSO,DATOS!$D13307,nESPEC,DATOS!$E13307,nASIG,DATOS!$I13307,nEVAL,"OR")=0))</f>
      </c>
      <c r="I13307">
        <f>IF(DATOS!$I13307="","",IFERROR(VLOOKUP(DATOS!$I13307,CONFIG_ASIGNATURAS!$B$2:$J$91,9,FALSE()),""))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IF(DATOS!$A13308="",0,IF(CONFIG_METADATA!$B$4&lt;&gt;"OR+EX",--(DATOS!$G13308=CONFIG_METADATA!$B$4),IF(DATOS!$G13308="EX",1,IF(DATOS!$G13308="OR",--(COUNTIFS(nNIA,DATOS!$A13308,nCURSO,DATOS!$D13308,nESPEC,DATOS!$E13308,nASIG,DATOS!$I13308,nEVAL,"EX")=0),0))))</f>
      </c>
      <c r="H13308">
        <f>IF(DATOS!$G13308&lt;&gt;"EX",0,--(COUNTIFS(nNIA,DATOS!$A13308,nCURSO,DATOS!$D13308,nESPEC,DATOS!$E13308,nASIG,DATOS!$I13308,nEVAL,"OR")=0))</f>
      </c>
      <c r="I13308">
        <f>IF(DATOS!$I13308="","",IFERROR(VLOOKUP(DATOS!$I13308,CONFIG_ASIGNATURAS!$B$2:$J$91,9,FALSE()),""))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IF(DATOS!$A13309="",0,IF(CONFIG_METADATA!$B$4&lt;&gt;"OR+EX",--(DATOS!$G13309=CONFIG_METADATA!$B$4),IF(DATOS!$G13309="EX",1,IF(DATOS!$G13309="OR",--(COUNTIFS(nNIA,DATOS!$A13309,nCURSO,DATOS!$D13309,nESPEC,DATOS!$E13309,nASIG,DATOS!$I13309,nEVAL,"EX")=0),0))))</f>
      </c>
      <c r="H13309">
        <f>IF(DATOS!$G13309&lt;&gt;"EX",0,--(COUNTIFS(nNIA,DATOS!$A13309,nCURSO,DATOS!$D13309,nESPEC,DATOS!$E13309,nASIG,DATOS!$I13309,nEVAL,"OR")=0))</f>
      </c>
      <c r="I13309">
        <f>IF(DATOS!$I13309="","",IFERROR(VLOOKUP(DATOS!$I13309,CONFIG_ASIGNATURAS!$B$2:$J$91,9,FALSE()),""))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IF(DATOS!$A13310="",0,IF(CONFIG_METADATA!$B$4&lt;&gt;"OR+EX",--(DATOS!$G13310=CONFIG_METADATA!$B$4),IF(DATOS!$G13310="EX",1,IF(DATOS!$G13310="OR",--(COUNTIFS(nNIA,DATOS!$A13310,nCURSO,DATOS!$D13310,nESPEC,DATOS!$E13310,nASIG,DATOS!$I13310,nEVAL,"EX")=0),0))))</f>
      </c>
      <c r="H13310">
        <f>IF(DATOS!$G13310&lt;&gt;"EX",0,--(COUNTIFS(nNIA,DATOS!$A13310,nCURSO,DATOS!$D13310,nESPEC,DATOS!$E13310,nASIG,DATOS!$I13310,nEVAL,"OR")=0))</f>
      </c>
      <c r="I13310">
        <f>IF(DATOS!$I13310="","",IFERROR(VLOOKUP(DATOS!$I13310,CONFIG_ASIGNATURAS!$B$2:$J$91,9,FALSE()),""))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IF(DATOS!$A13311="",0,IF(CONFIG_METADATA!$B$4&lt;&gt;"OR+EX",--(DATOS!$G13311=CONFIG_METADATA!$B$4),IF(DATOS!$G13311="EX",1,IF(DATOS!$G13311="OR",--(COUNTIFS(nNIA,DATOS!$A13311,nCURSO,DATOS!$D13311,nESPEC,DATOS!$E13311,nASIG,DATOS!$I13311,nEVAL,"EX")=0),0))))</f>
      </c>
      <c r="H13311">
        <f>IF(DATOS!$G13311&lt;&gt;"EX",0,--(COUNTIFS(nNIA,DATOS!$A13311,nCURSO,DATOS!$D13311,nESPEC,DATOS!$E13311,nASIG,DATOS!$I13311,nEVAL,"OR")=0))</f>
      </c>
      <c r="I13311">
        <f>IF(DATOS!$I13311="","",IFERROR(VLOOKUP(DATOS!$I13311,CONFIG_ASIGNATURAS!$B$2:$J$91,9,FALSE()),""))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IF(DATOS!$A13312="",0,IF(CONFIG_METADATA!$B$4&lt;&gt;"OR+EX",--(DATOS!$G13312=CONFIG_METADATA!$B$4),IF(DATOS!$G13312="EX",1,IF(DATOS!$G13312="OR",--(COUNTIFS(nNIA,DATOS!$A13312,nCURSO,DATOS!$D13312,nESPEC,DATOS!$E13312,nASIG,DATOS!$I13312,nEVAL,"EX")=0),0))))</f>
      </c>
      <c r="H13312">
        <f>IF(DATOS!$G13312&lt;&gt;"EX",0,--(COUNTIFS(nNIA,DATOS!$A13312,nCURSO,DATOS!$D13312,nESPEC,DATOS!$E13312,nASIG,DATOS!$I13312,nEVAL,"OR")=0))</f>
      </c>
      <c r="I13312">
        <f>IF(DATOS!$I13312="","",IFERROR(VLOOKUP(DATOS!$I13312,CONFIG_ASIGNATURAS!$B$2:$J$91,9,FALSE()),""))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IF(DATOS!$A13313="",0,IF(CONFIG_METADATA!$B$4&lt;&gt;"OR+EX",--(DATOS!$G13313=CONFIG_METADATA!$B$4),IF(DATOS!$G13313="EX",1,IF(DATOS!$G13313="OR",--(COUNTIFS(nNIA,DATOS!$A13313,nCURSO,DATOS!$D13313,nESPEC,DATOS!$E13313,nASIG,DATOS!$I13313,nEVAL,"EX")=0),0))))</f>
      </c>
      <c r="H13313">
        <f>IF(DATOS!$G13313&lt;&gt;"EX",0,--(COUNTIFS(nNIA,DATOS!$A13313,nCURSO,DATOS!$D13313,nESPEC,DATOS!$E13313,nASIG,DATOS!$I13313,nEVAL,"OR")=0))</f>
      </c>
      <c r="I13313">
        <f>IF(DATOS!$I13313="","",IFERROR(VLOOKUP(DATOS!$I13313,CONFIG_ASIGNATURAS!$B$2:$J$91,9,FALSE()),""))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IF(DATOS!$A13314="",0,IF(CONFIG_METADATA!$B$4&lt;&gt;"OR+EX",--(DATOS!$G13314=CONFIG_METADATA!$B$4),IF(DATOS!$G13314="EX",1,IF(DATOS!$G13314="OR",--(COUNTIFS(nNIA,DATOS!$A13314,nCURSO,DATOS!$D13314,nESPEC,DATOS!$E13314,nASIG,DATOS!$I13314,nEVAL,"EX")=0),0))))</f>
      </c>
      <c r="H13314">
        <f>IF(DATOS!$G13314&lt;&gt;"EX",0,--(COUNTIFS(nNIA,DATOS!$A13314,nCURSO,DATOS!$D13314,nESPEC,DATOS!$E13314,nASIG,DATOS!$I13314,nEVAL,"OR")=0))</f>
      </c>
      <c r="I13314">
        <f>IF(DATOS!$I13314="","",IFERROR(VLOOKUP(DATOS!$I13314,CONFIG_ASIGNATURAS!$B$2:$J$91,9,FALSE()),""))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IF(DATOS!$A13315="",0,IF(CONFIG_METADATA!$B$4&lt;&gt;"OR+EX",--(DATOS!$G13315=CONFIG_METADATA!$B$4),IF(DATOS!$G13315="EX",1,IF(DATOS!$G13315="OR",--(COUNTIFS(nNIA,DATOS!$A13315,nCURSO,DATOS!$D13315,nESPEC,DATOS!$E13315,nASIG,DATOS!$I13315,nEVAL,"EX")=0),0))))</f>
      </c>
      <c r="H13315">
        <f>IF(DATOS!$G13315&lt;&gt;"EX",0,--(COUNTIFS(nNIA,DATOS!$A13315,nCURSO,DATOS!$D13315,nESPEC,DATOS!$E13315,nASIG,DATOS!$I13315,nEVAL,"OR")=0))</f>
      </c>
      <c r="I13315">
        <f>IF(DATOS!$I13315="","",IFERROR(VLOOKUP(DATOS!$I13315,CONFIG_ASIGNATURAS!$B$2:$J$91,9,FALSE()),""))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IF(DATOS!$A13316="",0,IF(CONFIG_METADATA!$B$4&lt;&gt;"OR+EX",--(DATOS!$G13316=CONFIG_METADATA!$B$4),IF(DATOS!$G13316="EX",1,IF(DATOS!$G13316="OR",--(COUNTIFS(nNIA,DATOS!$A13316,nCURSO,DATOS!$D13316,nESPEC,DATOS!$E13316,nASIG,DATOS!$I13316,nEVAL,"EX")=0),0))))</f>
      </c>
      <c r="H13316">
        <f>IF(DATOS!$G13316&lt;&gt;"EX",0,--(COUNTIFS(nNIA,DATOS!$A13316,nCURSO,DATOS!$D13316,nESPEC,DATOS!$E13316,nASIG,DATOS!$I13316,nEVAL,"OR")=0))</f>
      </c>
      <c r="I13316">
        <f>IF(DATOS!$I13316="","",IFERROR(VLOOKUP(DATOS!$I13316,CONFIG_ASIGNATURAS!$B$2:$J$91,9,FALSE()),""))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IF(DATOS!$A13317="",0,IF(CONFIG_METADATA!$B$4&lt;&gt;"OR+EX",--(DATOS!$G13317=CONFIG_METADATA!$B$4),IF(DATOS!$G13317="EX",1,IF(DATOS!$G13317="OR",--(COUNTIFS(nNIA,DATOS!$A13317,nCURSO,DATOS!$D13317,nESPEC,DATOS!$E13317,nASIG,DATOS!$I13317,nEVAL,"EX")=0),0))))</f>
      </c>
      <c r="H13317">
        <f>IF(DATOS!$G13317&lt;&gt;"EX",0,--(COUNTIFS(nNIA,DATOS!$A13317,nCURSO,DATOS!$D13317,nESPEC,DATOS!$E13317,nASIG,DATOS!$I13317,nEVAL,"OR")=0))</f>
      </c>
      <c r="I13317">
        <f>IF(DATOS!$I13317="","",IFERROR(VLOOKUP(DATOS!$I13317,CONFIG_ASIGNATURAS!$B$2:$J$91,9,FALSE()),""))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IF(DATOS!$A13318="",0,IF(CONFIG_METADATA!$B$4&lt;&gt;"OR+EX",--(DATOS!$G13318=CONFIG_METADATA!$B$4),IF(DATOS!$G13318="EX",1,IF(DATOS!$G13318="OR",--(COUNTIFS(nNIA,DATOS!$A13318,nCURSO,DATOS!$D13318,nESPEC,DATOS!$E13318,nASIG,DATOS!$I13318,nEVAL,"EX")=0),0))))</f>
      </c>
      <c r="H13318">
        <f>IF(DATOS!$G13318&lt;&gt;"EX",0,--(COUNTIFS(nNIA,DATOS!$A13318,nCURSO,DATOS!$D13318,nESPEC,DATOS!$E13318,nASIG,DATOS!$I13318,nEVAL,"OR")=0))</f>
      </c>
      <c r="I13318">
        <f>IF(DATOS!$I13318="","",IFERROR(VLOOKUP(DATOS!$I13318,CONFIG_ASIGNATURAS!$B$2:$J$91,9,FALSE()),""))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IF(DATOS!$A13319="",0,IF(CONFIG_METADATA!$B$4&lt;&gt;"OR+EX",--(DATOS!$G13319=CONFIG_METADATA!$B$4),IF(DATOS!$G13319="EX",1,IF(DATOS!$G13319="OR",--(COUNTIFS(nNIA,DATOS!$A13319,nCURSO,DATOS!$D13319,nESPEC,DATOS!$E13319,nASIG,DATOS!$I13319,nEVAL,"EX")=0),0))))</f>
      </c>
      <c r="H13319">
        <f>IF(DATOS!$G13319&lt;&gt;"EX",0,--(COUNTIFS(nNIA,DATOS!$A13319,nCURSO,DATOS!$D13319,nESPEC,DATOS!$E13319,nASIG,DATOS!$I13319,nEVAL,"OR")=0))</f>
      </c>
      <c r="I13319">
        <f>IF(DATOS!$I13319="","",IFERROR(VLOOKUP(DATOS!$I13319,CONFIG_ASIGNATURAS!$B$2:$J$91,9,FALSE()),""))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IF(DATOS!$A13320="",0,IF(CONFIG_METADATA!$B$4&lt;&gt;"OR+EX",--(DATOS!$G13320=CONFIG_METADATA!$B$4),IF(DATOS!$G13320="EX",1,IF(DATOS!$G13320="OR",--(COUNTIFS(nNIA,DATOS!$A13320,nCURSO,DATOS!$D13320,nESPEC,DATOS!$E13320,nASIG,DATOS!$I13320,nEVAL,"EX")=0),0))))</f>
      </c>
      <c r="H13320">
        <f>IF(DATOS!$G13320&lt;&gt;"EX",0,--(COUNTIFS(nNIA,DATOS!$A13320,nCURSO,DATOS!$D13320,nESPEC,DATOS!$E13320,nASIG,DATOS!$I13320,nEVAL,"OR")=0))</f>
      </c>
      <c r="I13320">
        <f>IF(DATOS!$I13320="","",IFERROR(VLOOKUP(DATOS!$I13320,CONFIG_ASIGNATURAS!$B$2:$J$91,9,FALSE()),""))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IF(DATOS!$A13321="",0,IF(CONFIG_METADATA!$B$4&lt;&gt;"OR+EX",--(DATOS!$G13321=CONFIG_METADATA!$B$4),IF(DATOS!$G13321="EX",1,IF(DATOS!$G13321="OR",--(COUNTIFS(nNIA,DATOS!$A13321,nCURSO,DATOS!$D13321,nESPEC,DATOS!$E13321,nASIG,DATOS!$I13321,nEVAL,"EX")=0),0))))</f>
      </c>
      <c r="H13321">
        <f>IF(DATOS!$G13321&lt;&gt;"EX",0,--(COUNTIFS(nNIA,DATOS!$A13321,nCURSO,DATOS!$D13321,nESPEC,DATOS!$E13321,nASIG,DATOS!$I13321,nEVAL,"OR")=0))</f>
      </c>
      <c r="I13321">
        <f>IF(DATOS!$I13321="","",IFERROR(VLOOKUP(DATOS!$I13321,CONFIG_ASIGNATURAS!$B$2:$J$91,9,FALSE()),""))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IF(DATOS!$A13322="",0,IF(CONFIG_METADATA!$B$4&lt;&gt;"OR+EX",--(DATOS!$G13322=CONFIG_METADATA!$B$4),IF(DATOS!$G13322="EX",1,IF(DATOS!$G13322="OR",--(COUNTIFS(nNIA,DATOS!$A13322,nCURSO,DATOS!$D13322,nESPEC,DATOS!$E13322,nASIG,DATOS!$I13322,nEVAL,"EX")=0),0))))</f>
      </c>
      <c r="H13322">
        <f>IF(DATOS!$G13322&lt;&gt;"EX",0,--(COUNTIFS(nNIA,DATOS!$A13322,nCURSO,DATOS!$D13322,nESPEC,DATOS!$E13322,nASIG,DATOS!$I13322,nEVAL,"OR")=0))</f>
      </c>
      <c r="I13322">
        <f>IF(DATOS!$I13322="","",IFERROR(VLOOKUP(DATOS!$I13322,CONFIG_ASIGNATURAS!$B$2:$J$91,9,FALSE()),""))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IF(DATOS!$A13323="",0,IF(CONFIG_METADATA!$B$4&lt;&gt;"OR+EX",--(DATOS!$G13323=CONFIG_METADATA!$B$4),IF(DATOS!$G13323="EX",1,IF(DATOS!$G13323="OR",--(COUNTIFS(nNIA,DATOS!$A13323,nCURSO,DATOS!$D13323,nESPEC,DATOS!$E13323,nASIG,DATOS!$I13323,nEVAL,"EX")=0),0))))</f>
      </c>
      <c r="H13323">
        <f>IF(DATOS!$G13323&lt;&gt;"EX",0,--(COUNTIFS(nNIA,DATOS!$A13323,nCURSO,DATOS!$D13323,nESPEC,DATOS!$E13323,nASIG,DATOS!$I13323,nEVAL,"OR")=0))</f>
      </c>
      <c r="I13323">
        <f>IF(DATOS!$I13323="","",IFERROR(VLOOKUP(DATOS!$I13323,CONFIG_ASIGNATURAS!$B$2:$J$91,9,FALSE()),""))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IF(DATOS!$A13324="",0,IF(CONFIG_METADATA!$B$4&lt;&gt;"OR+EX",--(DATOS!$G13324=CONFIG_METADATA!$B$4),IF(DATOS!$G13324="EX",1,IF(DATOS!$G13324="OR",--(COUNTIFS(nNIA,DATOS!$A13324,nCURSO,DATOS!$D13324,nESPEC,DATOS!$E13324,nASIG,DATOS!$I13324,nEVAL,"EX")=0),0))))</f>
      </c>
      <c r="H13324">
        <f>IF(DATOS!$G13324&lt;&gt;"EX",0,--(COUNTIFS(nNIA,DATOS!$A13324,nCURSO,DATOS!$D13324,nESPEC,DATOS!$E13324,nASIG,DATOS!$I13324,nEVAL,"OR")=0))</f>
      </c>
      <c r="I13324">
        <f>IF(DATOS!$I13324="","",IFERROR(VLOOKUP(DATOS!$I13324,CONFIG_ASIGNATURAS!$B$2:$J$91,9,FALSE()),""))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IF(DATOS!$A13325="",0,IF(CONFIG_METADATA!$B$4&lt;&gt;"OR+EX",--(DATOS!$G13325=CONFIG_METADATA!$B$4),IF(DATOS!$G13325="EX",1,IF(DATOS!$G13325="OR",--(COUNTIFS(nNIA,DATOS!$A13325,nCURSO,DATOS!$D13325,nESPEC,DATOS!$E13325,nASIG,DATOS!$I13325,nEVAL,"EX")=0),0))))</f>
      </c>
      <c r="H13325">
        <f>IF(DATOS!$G13325&lt;&gt;"EX",0,--(COUNTIFS(nNIA,DATOS!$A13325,nCURSO,DATOS!$D13325,nESPEC,DATOS!$E13325,nASIG,DATOS!$I13325,nEVAL,"OR")=0))</f>
      </c>
      <c r="I13325">
        <f>IF(DATOS!$I13325="","",IFERROR(VLOOKUP(DATOS!$I13325,CONFIG_ASIGNATURAS!$B$2:$J$91,9,FALSE()),""))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IF(DATOS!$A13326="",0,IF(CONFIG_METADATA!$B$4&lt;&gt;"OR+EX",--(DATOS!$G13326=CONFIG_METADATA!$B$4),IF(DATOS!$G13326="EX",1,IF(DATOS!$G13326="OR",--(COUNTIFS(nNIA,DATOS!$A13326,nCURSO,DATOS!$D13326,nESPEC,DATOS!$E13326,nASIG,DATOS!$I13326,nEVAL,"EX")=0),0))))</f>
      </c>
      <c r="H13326">
        <f>IF(DATOS!$G13326&lt;&gt;"EX",0,--(COUNTIFS(nNIA,DATOS!$A13326,nCURSO,DATOS!$D13326,nESPEC,DATOS!$E13326,nASIG,DATOS!$I13326,nEVAL,"OR")=0))</f>
      </c>
      <c r="I13326">
        <f>IF(DATOS!$I13326="","",IFERROR(VLOOKUP(DATOS!$I13326,CONFIG_ASIGNATURAS!$B$2:$J$91,9,FALSE()),""))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IF(DATOS!$A13327="",0,IF(CONFIG_METADATA!$B$4&lt;&gt;"OR+EX",--(DATOS!$G13327=CONFIG_METADATA!$B$4),IF(DATOS!$G13327="EX",1,IF(DATOS!$G13327="OR",--(COUNTIFS(nNIA,DATOS!$A13327,nCURSO,DATOS!$D13327,nESPEC,DATOS!$E13327,nASIG,DATOS!$I13327,nEVAL,"EX")=0),0))))</f>
      </c>
      <c r="H13327">
        <f>IF(DATOS!$G13327&lt;&gt;"EX",0,--(COUNTIFS(nNIA,DATOS!$A13327,nCURSO,DATOS!$D13327,nESPEC,DATOS!$E13327,nASIG,DATOS!$I13327,nEVAL,"OR")=0))</f>
      </c>
      <c r="I13327">
        <f>IF(DATOS!$I13327="","",IFERROR(VLOOKUP(DATOS!$I13327,CONFIG_ASIGNATURAS!$B$2:$J$91,9,FALSE()),""))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IF(DATOS!$A13328="",0,IF(CONFIG_METADATA!$B$4&lt;&gt;"OR+EX",--(DATOS!$G13328=CONFIG_METADATA!$B$4),IF(DATOS!$G13328="EX",1,IF(DATOS!$G13328="OR",--(COUNTIFS(nNIA,DATOS!$A13328,nCURSO,DATOS!$D13328,nESPEC,DATOS!$E13328,nASIG,DATOS!$I13328,nEVAL,"EX")=0),0))))</f>
      </c>
      <c r="H13328">
        <f>IF(DATOS!$G13328&lt;&gt;"EX",0,--(COUNTIFS(nNIA,DATOS!$A13328,nCURSO,DATOS!$D13328,nESPEC,DATOS!$E13328,nASIG,DATOS!$I13328,nEVAL,"OR")=0))</f>
      </c>
      <c r="I13328">
        <f>IF(DATOS!$I13328="","",IFERROR(VLOOKUP(DATOS!$I13328,CONFIG_ASIGNATURAS!$B$2:$J$91,9,FALSE()),""))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IF(DATOS!$A13329="",0,IF(CONFIG_METADATA!$B$4&lt;&gt;"OR+EX",--(DATOS!$G13329=CONFIG_METADATA!$B$4),IF(DATOS!$G13329="EX",1,IF(DATOS!$G13329="OR",--(COUNTIFS(nNIA,DATOS!$A13329,nCURSO,DATOS!$D13329,nESPEC,DATOS!$E13329,nASIG,DATOS!$I13329,nEVAL,"EX")=0),0))))</f>
      </c>
      <c r="H13329">
        <f>IF(DATOS!$G13329&lt;&gt;"EX",0,--(COUNTIFS(nNIA,DATOS!$A13329,nCURSO,DATOS!$D13329,nESPEC,DATOS!$E13329,nASIG,DATOS!$I13329,nEVAL,"OR")=0))</f>
      </c>
      <c r="I13329">
        <f>IF(DATOS!$I13329="","",IFERROR(VLOOKUP(DATOS!$I13329,CONFIG_ASIGNATURAS!$B$2:$J$91,9,FALSE()),""))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IF(DATOS!$A13330="",0,IF(CONFIG_METADATA!$B$4&lt;&gt;"OR+EX",--(DATOS!$G13330=CONFIG_METADATA!$B$4),IF(DATOS!$G13330="EX",1,IF(DATOS!$G13330="OR",--(COUNTIFS(nNIA,DATOS!$A13330,nCURSO,DATOS!$D13330,nESPEC,DATOS!$E13330,nASIG,DATOS!$I13330,nEVAL,"EX")=0),0))))</f>
      </c>
      <c r="H13330">
        <f>IF(DATOS!$G13330&lt;&gt;"EX",0,--(COUNTIFS(nNIA,DATOS!$A13330,nCURSO,DATOS!$D13330,nESPEC,DATOS!$E13330,nASIG,DATOS!$I13330,nEVAL,"OR")=0))</f>
      </c>
      <c r="I13330">
        <f>IF(DATOS!$I13330="","",IFERROR(VLOOKUP(DATOS!$I13330,CONFIG_ASIGNATURAS!$B$2:$J$91,9,FALSE()),""))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IF(DATOS!$A13331="",0,IF(CONFIG_METADATA!$B$4&lt;&gt;"OR+EX",--(DATOS!$G13331=CONFIG_METADATA!$B$4),IF(DATOS!$G13331="EX",1,IF(DATOS!$G13331="OR",--(COUNTIFS(nNIA,DATOS!$A13331,nCURSO,DATOS!$D13331,nESPEC,DATOS!$E13331,nASIG,DATOS!$I13331,nEVAL,"EX")=0),0))))</f>
      </c>
      <c r="H13331">
        <f>IF(DATOS!$G13331&lt;&gt;"EX",0,--(COUNTIFS(nNIA,DATOS!$A13331,nCURSO,DATOS!$D13331,nESPEC,DATOS!$E13331,nASIG,DATOS!$I13331,nEVAL,"OR")=0))</f>
      </c>
      <c r="I13331">
        <f>IF(DATOS!$I13331="","",IFERROR(VLOOKUP(DATOS!$I13331,CONFIG_ASIGNATURAS!$B$2:$J$91,9,FALSE()),""))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IF(DATOS!$A13332="",0,IF(CONFIG_METADATA!$B$4&lt;&gt;"OR+EX",--(DATOS!$G13332=CONFIG_METADATA!$B$4),IF(DATOS!$G13332="EX",1,IF(DATOS!$G13332="OR",--(COUNTIFS(nNIA,DATOS!$A13332,nCURSO,DATOS!$D13332,nESPEC,DATOS!$E13332,nASIG,DATOS!$I13332,nEVAL,"EX")=0),0))))</f>
      </c>
      <c r="H13332">
        <f>IF(DATOS!$G13332&lt;&gt;"EX",0,--(COUNTIFS(nNIA,DATOS!$A13332,nCURSO,DATOS!$D13332,nESPEC,DATOS!$E13332,nASIG,DATOS!$I13332,nEVAL,"OR")=0))</f>
      </c>
      <c r="I13332">
        <f>IF(DATOS!$I13332="","",IFERROR(VLOOKUP(DATOS!$I13332,CONFIG_ASIGNATURAS!$B$2:$J$91,9,FALSE()),""))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IF(DATOS!$A13333="",0,IF(CONFIG_METADATA!$B$4&lt;&gt;"OR+EX",--(DATOS!$G13333=CONFIG_METADATA!$B$4),IF(DATOS!$G13333="EX",1,IF(DATOS!$G13333="OR",--(COUNTIFS(nNIA,DATOS!$A13333,nCURSO,DATOS!$D13333,nESPEC,DATOS!$E13333,nASIG,DATOS!$I13333,nEVAL,"EX")=0),0))))</f>
      </c>
      <c r="H13333">
        <f>IF(DATOS!$G13333&lt;&gt;"EX",0,--(COUNTIFS(nNIA,DATOS!$A13333,nCURSO,DATOS!$D13333,nESPEC,DATOS!$E13333,nASIG,DATOS!$I13333,nEVAL,"OR")=0))</f>
      </c>
      <c r="I13333">
        <f>IF(DATOS!$I13333="","",IFERROR(VLOOKUP(DATOS!$I13333,CONFIG_ASIGNATURAS!$B$2:$J$91,9,FALSE()),""))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IF(DATOS!$A13334="",0,IF(CONFIG_METADATA!$B$4&lt;&gt;"OR+EX",--(DATOS!$G13334=CONFIG_METADATA!$B$4),IF(DATOS!$G13334="EX",1,IF(DATOS!$G13334="OR",--(COUNTIFS(nNIA,DATOS!$A13334,nCURSO,DATOS!$D13334,nESPEC,DATOS!$E13334,nASIG,DATOS!$I13334,nEVAL,"EX")=0),0))))</f>
      </c>
      <c r="H13334">
        <f>IF(DATOS!$G13334&lt;&gt;"EX",0,--(COUNTIFS(nNIA,DATOS!$A13334,nCURSO,DATOS!$D13334,nESPEC,DATOS!$E13334,nASIG,DATOS!$I13334,nEVAL,"OR")=0))</f>
      </c>
      <c r="I13334">
        <f>IF(DATOS!$I13334="","",IFERROR(VLOOKUP(DATOS!$I13334,CONFIG_ASIGNATURAS!$B$2:$J$91,9,FALSE()),""))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IF(DATOS!$A13335="",0,IF(CONFIG_METADATA!$B$4&lt;&gt;"OR+EX",--(DATOS!$G13335=CONFIG_METADATA!$B$4),IF(DATOS!$G13335="EX",1,IF(DATOS!$G13335="OR",--(COUNTIFS(nNIA,DATOS!$A13335,nCURSO,DATOS!$D13335,nESPEC,DATOS!$E13335,nASIG,DATOS!$I13335,nEVAL,"EX")=0),0))))</f>
      </c>
      <c r="H13335">
        <f>IF(DATOS!$G13335&lt;&gt;"EX",0,--(COUNTIFS(nNIA,DATOS!$A13335,nCURSO,DATOS!$D13335,nESPEC,DATOS!$E13335,nASIG,DATOS!$I13335,nEVAL,"OR")=0))</f>
      </c>
      <c r="I13335">
        <f>IF(DATOS!$I13335="","",IFERROR(VLOOKUP(DATOS!$I13335,CONFIG_ASIGNATURAS!$B$2:$J$91,9,FALSE()),""))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IF(DATOS!$A13336="",0,IF(CONFIG_METADATA!$B$4&lt;&gt;"OR+EX",--(DATOS!$G13336=CONFIG_METADATA!$B$4),IF(DATOS!$G13336="EX",1,IF(DATOS!$G13336="OR",--(COUNTIFS(nNIA,DATOS!$A13336,nCURSO,DATOS!$D13336,nESPEC,DATOS!$E13336,nASIG,DATOS!$I13336,nEVAL,"EX")=0),0))))</f>
      </c>
      <c r="H13336">
        <f>IF(DATOS!$G13336&lt;&gt;"EX",0,--(COUNTIFS(nNIA,DATOS!$A13336,nCURSO,DATOS!$D13336,nESPEC,DATOS!$E13336,nASIG,DATOS!$I13336,nEVAL,"OR")=0))</f>
      </c>
      <c r="I13336">
        <f>IF(DATOS!$I13336="","",IFERROR(VLOOKUP(DATOS!$I13336,CONFIG_ASIGNATURAS!$B$2:$J$91,9,FALSE()),""))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IF(DATOS!$A13337="",0,IF(CONFIG_METADATA!$B$4&lt;&gt;"OR+EX",--(DATOS!$G13337=CONFIG_METADATA!$B$4),IF(DATOS!$G13337="EX",1,IF(DATOS!$G13337="OR",--(COUNTIFS(nNIA,DATOS!$A13337,nCURSO,DATOS!$D13337,nESPEC,DATOS!$E13337,nASIG,DATOS!$I13337,nEVAL,"EX")=0),0))))</f>
      </c>
      <c r="H13337">
        <f>IF(DATOS!$G13337&lt;&gt;"EX",0,--(COUNTIFS(nNIA,DATOS!$A13337,nCURSO,DATOS!$D13337,nESPEC,DATOS!$E13337,nASIG,DATOS!$I13337,nEVAL,"OR")=0))</f>
      </c>
      <c r="I13337">
        <f>IF(DATOS!$I13337="","",IFERROR(VLOOKUP(DATOS!$I13337,CONFIG_ASIGNATURAS!$B$2:$J$91,9,FALSE()),""))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IF(DATOS!$A13338="",0,IF(CONFIG_METADATA!$B$4&lt;&gt;"OR+EX",--(DATOS!$G13338=CONFIG_METADATA!$B$4),IF(DATOS!$G13338="EX",1,IF(DATOS!$G13338="OR",--(COUNTIFS(nNIA,DATOS!$A13338,nCURSO,DATOS!$D13338,nESPEC,DATOS!$E13338,nASIG,DATOS!$I13338,nEVAL,"EX")=0),0))))</f>
      </c>
      <c r="H13338">
        <f>IF(DATOS!$G13338&lt;&gt;"EX",0,--(COUNTIFS(nNIA,DATOS!$A13338,nCURSO,DATOS!$D13338,nESPEC,DATOS!$E13338,nASIG,DATOS!$I13338,nEVAL,"OR")=0))</f>
      </c>
      <c r="I13338">
        <f>IF(DATOS!$I13338="","",IFERROR(VLOOKUP(DATOS!$I13338,CONFIG_ASIGNATURAS!$B$2:$J$91,9,FALSE()),""))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IF(DATOS!$A13339="",0,IF(CONFIG_METADATA!$B$4&lt;&gt;"OR+EX",--(DATOS!$G13339=CONFIG_METADATA!$B$4),IF(DATOS!$G13339="EX",1,IF(DATOS!$G13339="OR",--(COUNTIFS(nNIA,DATOS!$A13339,nCURSO,DATOS!$D13339,nESPEC,DATOS!$E13339,nASIG,DATOS!$I13339,nEVAL,"EX")=0),0))))</f>
      </c>
      <c r="H13339">
        <f>IF(DATOS!$G13339&lt;&gt;"EX",0,--(COUNTIFS(nNIA,DATOS!$A13339,nCURSO,DATOS!$D13339,nESPEC,DATOS!$E13339,nASIG,DATOS!$I13339,nEVAL,"OR")=0))</f>
      </c>
      <c r="I13339">
        <f>IF(DATOS!$I13339="","",IFERROR(VLOOKUP(DATOS!$I13339,CONFIG_ASIGNATURAS!$B$2:$J$91,9,FALSE()),""))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IF(DATOS!$A13340="",0,IF(CONFIG_METADATA!$B$4&lt;&gt;"OR+EX",--(DATOS!$G13340=CONFIG_METADATA!$B$4),IF(DATOS!$G13340="EX",1,IF(DATOS!$G13340="OR",--(COUNTIFS(nNIA,DATOS!$A13340,nCURSO,DATOS!$D13340,nESPEC,DATOS!$E13340,nASIG,DATOS!$I13340,nEVAL,"EX")=0),0))))</f>
      </c>
      <c r="H13340">
        <f>IF(DATOS!$G13340&lt;&gt;"EX",0,--(COUNTIFS(nNIA,DATOS!$A13340,nCURSO,DATOS!$D13340,nESPEC,DATOS!$E13340,nASIG,DATOS!$I13340,nEVAL,"OR")=0))</f>
      </c>
      <c r="I13340">
        <f>IF(DATOS!$I13340="","",IFERROR(VLOOKUP(DATOS!$I13340,CONFIG_ASIGNATURAS!$B$2:$J$91,9,FALSE()),""))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IF(DATOS!$A13341="",0,IF(CONFIG_METADATA!$B$4&lt;&gt;"OR+EX",--(DATOS!$G13341=CONFIG_METADATA!$B$4),IF(DATOS!$G13341="EX",1,IF(DATOS!$G13341="OR",--(COUNTIFS(nNIA,DATOS!$A13341,nCURSO,DATOS!$D13341,nESPEC,DATOS!$E13341,nASIG,DATOS!$I13341,nEVAL,"EX")=0),0))))</f>
      </c>
      <c r="H13341">
        <f>IF(DATOS!$G13341&lt;&gt;"EX",0,--(COUNTIFS(nNIA,DATOS!$A13341,nCURSO,DATOS!$D13341,nESPEC,DATOS!$E13341,nASIG,DATOS!$I13341,nEVAL,"OR")=0))</f>
      </c>
      <c r="I13341">
        <f>IF(DATOS!$I13341="","",IFERROR(VLOOKUP(DATOS!$I13341,CONFIG_ASIGNATURAS!$B$2:$J$91,9,FALSE()),""))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IF(DATOS!$A13342="",0,IF(CONFIG_METADATA!$B$4&lt;&gt;"OR+EX",--(DATOS!$G13342=CONFIG_METADATA!$B$4),IF(DATOS!$G13342="EX",1,IF(DATOS!$G13342="OR",--(COUNTIFS(nNIA,DATOS!$A13342,nCURSO,DATOS!$D13342,nESPEC,DATOS!$E13342,nASIG,DATOS!$I13342,nEVAL,"EX")=0),0))))</f>
      </c>
      <c r="H13342">
        <f>IF(DATOS!$G13342&lt;&gt;"EX",0,--(COUNTIFS(nNIA,DATOS!$A13342,nCURSO,DATOS!$D13342,nESPEC,DATOS!$E13342,nASIG,DATOS!$I13342,nEVAL,"OR")=0))</f>
      </c>
      <c r="I13342">
        <f>IF(DATOS!$I13342="","",IFERROR(VLOOKUP(DATOS!$I13342,CONFIG_ASIGNATURAS!$B$2:$J$91,9,FALSE()),""))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IF(DATOS!$A13343="",0,IF(CONFIG_METADATA!$B$4&lt;&gt;"OR+EX",--(DATOS!$G13343=CONFIG_METADATA!$B$4),IF(DATOS!$G13343="EX",1,IF(DATOS!$G13343="OR",--(COUNTIFS(nNIA,DATOS!$A13343,nCURSO,DATOS!$D13343,nESPEC,DATOS!$E13343,nASIG,DATOS!$I13343,nEVAL,"EX")=0),0))))</f>
      </c>
      <c r="H13343">
        <f>IF(DATOS!$G13343&lt;&gt;"EX",0,--(COUNTIFS(nNIA,DATOS!$A13343,nCURSO,DATOS!$D13343,nESPEC,DATOS!$E13343,nASIG,DATOS!$I13343,nEVAL,"OR")=0))</f>
      </c>
      <c r="I13343">
        <f>IF(DATOS!$I13343="","",IFERROR(VLOOKUP(DATOS!$I13343,CONFIG_ASIGNATURAS!$B$2:$J$91,9,FALSE()),""))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IF(DATOS!$A13344="",0,IF(CONFIG_METADATA!$B$4&lt;&gt;"OR+EX",--(DATOS!$G13344=CONFIG_METADATA!$B$4),IF(DATOS!$G13344="EX",1,IF(DATOS!$G13344="OR",--(COUNTIFS(nNIA,DATOS!$A13344,nCURSO,DATOS!$D13344,nESPEC,DATOS!$E13344,nASIG,DATOS!$I13344,nEVAL,"EX")=0),0))))</f>
      </c>
      <c r="H13344">
        <f>IF(DATOS!$G13344&lt;&gt;"EX",0,--(COUNTIFS(nNIA,DATOS!$A13344,nCURSO,DATOS!$D13344,nESPEC,DATOS!$E13344,nASIG,DATOS!$I13344,nEVAL,"OR")=0))</f>
      </c>
      <c r="I13344">
        <f>IF(DATOS!$I13344="","",IFERROR(VLOOKUP(DATOS!$I13344,CONFIG_ASIGNATURAS!$B$2:$J$91,9,FALSE()),""))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IF(DATOS!$A13345="",0,IF(CONFIG_METADATA!$B$4&lt;&gt;"OR+EX",--(DATOS!$G13345=CONFIG_METADATA!$B$4),IF(DATOS!$G13345="EX",1,IF(DATOS!$G13345="OR",--(COUNTIFS(nNIA,DATOS!$A13345,nCURSO,DATOS!$D13345,nESPEC,DATOS!$E13345,nASIG,DATOS!$I13345,nEVAL,"EX")=0),0))))</f>
      </c>
      <c r="H13345">
        <f>IF(DATOS!$G13345&lt;&gt;"EX",0,--(COUNTIFS(nNIA,DATOS!$A13345,nCURSO,DATOS!$D13345,nESPEC,DATOS!$E13345,nASIG,DATOS!$I13345,nEVAL,"OR")=0))</f>
      </c>
      <c r="I13345">
        <f>IF(DATOS!$I13345="","",IFERROR(VLOOKUP(DATOS!$I13345,CONFIG_ASIGNATURAS!$B$2:$J$91,9,FALSE()),""))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IF(DATOS!$A13346="",0,IF(CONFIG_METADATA!$B$4&lt;&gt;"OR+EX",--(DATOS!$G13346=CONFIG_METADATA!$B$4),IF(DATOS!$G13346="EX",1,IF(DATOS!$G13346="OR",--(COUNTIFS(nNIA,DATOS!$A13346,nCURSO,DATOS!$D13346,nESPEC,DATOS!$E13346,nASIG,DATOS!$I13346,nEVAL,"EX")=0),0))))</f>
      </c>
      <c r="H13346">
        <f>IF(DATOS!$G13346&lt;&gt;"EX",0,--(COUNTIFS(nNIA,DATOS!$A13346,nCURSO,DATOS!$D13346,nESPEC,DATOS!$E13346,nASIG,DATOS!$I13346,nEVAL,"OR")=0))</f>
      </c>
      <c r="I13346">
        <f>IF(DATOS!$I13346="","",IFERROR(VLOOKUP(DATOS!$I13346,CONFIG_ASIGNATURAS!$B$2:$J$91,9,FALSE()),""))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IF(DATOS!$A13347="",0,IF(CONFIG_METADATA!$B$4&lt;&gt;"OR+EX",--(DATOS!$G13347=CONFIG_METADATA!$B$4),IF(DATOS!$G13347="EX",1,IF(DATOS!$G13347="OR",--(COUNTIFS(nNIA,DATOS!$A13347,nCURSO,DATOS!$D13347,nESPEC,DATOS!$E13347,nASIG,DATOS!$I13347,nEVAL,"EX")=0),0))))</f>
      </c>
      <c r="H13347">
        <f>IF(DATOS!$G13347&lt;&gt;"EX",0,--(COUNTIFS(nNIA,DATOS!$A13347,nCURSO,DATOS!$D13347,nESPEC,DATOS!$E13347,nASIG,DATOS!$I13347,nEVAL,"OR")=0))</f>
      </c>
      <c r="I13347">
        <f>IF(DATOS!$I13347="","",IFERROR(VLOOKUP(DATOS!$I13347,CONFIG_ASIGNATURAS!$B$2:$J$91,9,FALSE()),""))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IF(DATOS!$A13348="",0,IF(CONFIG_METADATA!$B$4&lt;&gt;"OR+EX",--(DATOS!$G13348=CONFIG_METADATA!$B$4),IF(DATOS!$G13348="EX",1,IF(DATOS!$G13348="OR",--(COUNTIFS(nNIA,DATOS!$A13348,nCURSO,DATOS!$D13348,nESPEC,DATOS!$E13348,nASIG,DATOS!$I13348,nEVAL,"EX")=0),0))))</f>
      </c>
      <c r="H13348">
        <f>IF(DATOS!$G13348&lt;&gt;"EX",0,--(COUNTIFS(nNIA,DATOS!$A13348,nCURSO,DATOS!$D13348,nESPEC,DATOS!$E13348,nASIG,DATOS!$I13348,nEVAL,"OR")=0))</f>
      </c>
      <c r="I13348">
        <f>IF(DATOS!$I13348="","",IFERROR(VLOOKUP(DATOS!$I13348,CONFIG_ASIGNATURAS!$B$2:$J$91,9,FALSE()),""))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IF(DATOS!$A13349="",0,IF(CONFIG_METADATA!$B$4&lt;&gt;"OR+EX",--(DATOS!$G13349=CONFIG_METADATA!$B$4),IF(DATOS!$G13349="EX",1,IF(DATOS!$G13349="OR",--(COUNTIFS(nNIA,DATOS!$A13349,nCURSO,DATOS!$D13349,nESPEC,DATOS!$E13349,nASIG,DATOS!$I13349,nEVAL,"EX")=0),0))))</f>
      </c>
      <c r="H13349">
        <f>IF(DATOS!$G13349&lt;&gt;"EX",0,--(COUNTIFS(nNIA,DATOS!$A13349,nCURSO,DATOS!$D13349,nESPEC,DATOS!$E13349,nASIG,DATOS!$I13349,nEVAL,"OR")=0))</f>
      </c>
      <c r="I13349">
        <f>IF(DATOS!$I13349="","",IFERROR(VLOOKUP(DATOS!$I13349,CONFIG_ASIGNATURAS!$B$2:$J$91,9,FALSE()),""))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IF(DATOS!$A13350="",0,IF(CONFIG_METADATA!$B$4&lt;&gt;"OR+EX",--(DATOS!$G13350=CONFIG_METADATA!$B$4),IF(DATOS!$G13350="EX",1,IF(DATOS!$G13350="OR",--(COUNTIFS(nNIA,DATOS!$A13350,nCURSO,DATOS!$D13350,nESPEC,DATOS!$E13350,nASIG,DATOS!$I13350,nEVAL,"EX")=0),0))))</f>
      </c>
      <c r="H13350">
        <f>IF(DATOS!$G13350&lt;&gt;"EX",0,--(COUNTIFS(nNIA,DATOS!$A13350,nCURSO,DATOS!$D13350,nESPEC,DATOS!$E13350,nASIG,DATOS!$I13350,nEVAL,"OR")=0))</f>
      </c>
      <c r="I13350">
        <f>IF(DATOS!$I13350="","",IFERROR(VLOOKUP(DATOS!$I13350,CONFIG_ASIGNATURAS!$B$2:$J$91,9,FALSE()),""))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IF(DATOS!$A13351="",0,IF(CONFIG_METADATA!$B$4&lt;&gt;"OR+EX",--(DATOS!$G13351=CONFIG_METADATA!$B$4),IF(DATOS!$G13351="EX",1,IF(DATOS!$G13351="OR",--(COUNTIFS(nNIA,DATOS!$A13351,nCURSO,DATOS!$D13351,nESPEC,DATOS!$E13351,nASIG,DATOS!$I13351,nEVAL,"EX")=0),0))))</f>
      </c>
      <c r="H13351">
        <f>IF(DATOS!$G13351&lt;&gt;"EX",0,--(COUNTIFS(nNIA,DATOS!$A13351,nCURSO,DATOS!$D13351,nESPEC,DATOS!$E13351,nASIG,DATOS!$I13351,nEVAL,"OR")=0))</f>
      </c>
      <c r="I13351">
        <f>IF(DATOS!$I13351="","",IFERROR(VLOOKUP(DATOS!$I13351,CONFIG_ASIGNATURAS!$B$2:$J$91,9,FALSE()),""))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IF(DATOS!$A13352="",0,IF(CONFIG_METADATA!$B$4&lt;&gt;"OR+EX",--(DATOS!$G13352=CONFIG_METADATA!$B$4),IF(DATOS!$G13352="EX",1,IF(DATOS!$G13352="OR",--(COUNTIFS(nNIA,DATOS!$A13352,nCURSO,DATOS!$D13352,nESPEC,DATOS!$E13352,nASIG,DATOS!$I13352,nEVAL,"EX")=0),0))))</f>
      </c>
      <c r="H13352">
        <f>IF(DATOS!$G13352&lt;&gt;"EX",0,--(COUNTIFS(nNIA,DATOS!$A13352,nCURSO,DATOS!$D13352,nESPEC,DATOS!$E13352,nASIG,DATOS!$I13352,nEVAL,"OR")=0))</f>
      </c>
      <c r="I13352">
        <f>IF(DATOS!$I13352="","",IFERROR(VLOOKUP(DATOS!$I13352,CONFIG_ASIGNATURAS!$B$2:$J$91,9,FALSE()),""))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IF(DATOS!$A13353="",0,IF(CONFIG_METADATA!$B$4&lt;&gt;"OR+EX",--(DATOS!$G13353=CONFIG_METADATA!$B$4),IF(DATOS!$G13353="EX",1,IF(DATOS!$G13353="OR",--(COUNTIFS(nNIA,DATOS!$A13353,nCURSO,DATOS!$D13353,nESPEC,DATOS!$E13353,nASIG,DATOS!$I13353,nEVAL,"EX")=0),0))))</f>
      </c>
      <c r="H13353">
        <f>IF(DATOS!$G13353&lt;&gt;"EX",0,--(COUNTIFS(nNIA,DATOS!$A13353,nCURSO,DATOS!$D13353,nESPEC,DATOS!$E13353,nASIG,DATOS!$I13353,nEVAL,"OR")=0))</f>
      </c>
      <c r="I13353">
        <f>IF(DATOS!$I13353="","",IFERROR(VLOOKUP(DATOS!$I13353,CONFIG_ASIGNATURAS!$B$2:$J$91,9,FALSE()),""))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IF(DATOS!$A13354="",0,IF(CONFIG_METADATA!$B$4&lt;&gt;"OR+EX",--(DATOS!$G13354=CONFIG_METADATA!$B$4),IF(DATOS!$G13354="EX",1,IF(DATOS!$G13354="OR",--(COUNTIFS(nNIA,DATOS!$A13354,nCURSO,DATOS!$D13354,nESPEC,DATOS!$E13354,nASIG,DATOS!$I13354,nEVAL,"EX")=0),0))))</f>
      </c>
      <c r="H13354">
        <f>IF(DATOS!$G13354&lt;&gt;"EX",0,--(COUNTIFS(nNIA,DATOS!$A13354,nCURSO,DATOS!$D13354,nESPEC,DATOS!$E13354,nASIG,DATOS!$I13354,nEVAL,"OR")=0))</f>
      </c>
      <c r="I13354">
        <f>IF(DATOS!$I13354="","",IFERROR(VLOOKUP(DATOS!$I13354,CONFIG_ASIGNATURAS!$B$2:$J$91,9,FALSE()),""))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IF(DATOS!$A13355="",0,IF(CONFIG_METADATA!$B$4&lt;&gt;"OR+EX",--(DATOS!$G13355=CONFIG_METADATA!$B$4),IF(DATOS!$G13355="EX",1,IF(DATOS!$G13355="OR",--(COUNTIFS(nNIA,DATOS!$A13355,nCURSO,DATOS!$D13355,nESPEC,DATOS!$E13355,nASIG,DATOS!$I13355,nEVAL,"EX")=0),0))))</f>
      </c>
      <c r="H13355">
        <f>IF(DATOS!$G13355&lt;&gt;"EX",0,--(COUNTIFS(nNIA,DATOS!$A13355,nCURSO,DATOS!$D13355,nESPEC,DATOS!$E13355,nASIG,DATOS!$I13355,nEVAL,"OR")=0))</f>
      </c>
      <c r="I13355">
        <f>IF(DATOS!$I13355="","",IFERROR(VLOOKUP(DATOS!$I13355,CONFIG_ASIGNATURAS!$B$2:$J$91,9,FALSE()),""))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IF(DATOS!$A13356="",0,IF(CONFIG_METADATA!$B$4&lt;&gt;"OR+EX",--(DATOS!$G13356=CONFIG_METADATA!$B$4),IF(DATOS!$G13356="EX",1,IF(DATOS!$G13356="OR",--(COUNTIFS(nNIA,DATOS!$A13356,nCURSO,DATOS!$D13356,nESPEC,DATOS!$E13356,nASIG,DATOS!$I13356,nEVAL,"EX")=0),0))))</f>
      </c>
      <c r="H13356">
        <f>IF(DATOS!$G13356&lt;&gt;"EX",0,--(COUNTIFS(nNIA,DATOS!$A13356,nCURSO,DATOS!$D13356,nESPEC,DATOS!$E13356,nASIG,DATOS!$I13356,nEVAL,"OR")=0))</f>
      </c>
      <c r="I13356">
        <f>IF(DATOS!$I13356="","",IFERROR(VLOOKUP(DATOS!$I13356,CONFIG_ASIGNATURAS!$B$2:$J$91,9,FALSE()),""))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IF(DATOS!$A13357="",0,IF(CONFIG_METADATA!$B$4&lt;&gt;"OR+EX",--(DATOS!$G13357=CONFIG_METADATA!$B$4),IF(DATOS!$G13357="EX",1,IF(DATOS!$G13357="OR",--(COUNTIFS(nNIA,DATOS!$A13357,nCURSO,DATOS!$D13357,nESPEC,DATOS!$E13357,nASIG,DATOS!$I13357,nEVAL,"EX")=0),0))))</f>
      </c>
      <c r="H13357">
        <f>IF(DATOS!$G13357&lt;&gt;"EX",0,--(COUNTIFS(nNIA,DATOS!$A13357,nCURSO,DATOS!$D13357,nESPEC,DATOS!$E13357,nASIG,DATOS!$I13357,nEVAL,"OR")=0))</f>
      </c>
      <c r="I13357">
        <f>IF(DATOS!$I13357="","",IFERROR(VLOOKUP(DATOS!$I13357,CONFIG_ASIGNATURAS!$B$2:$J$91,9,FALSE()),""))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IF(DATOS!$A13358="",0,IF(CONFIG_METADATA!$B$4&lt;&gt;"OR+EX",--(DATOS!$G13358=CONFIG_METADATA!$B$4),IF(DATOS!$G13358="EX",1,IF(DATOS!$G13358="OR",--(COUNTIFS(nNIA,DATOS!$A13358,nCURSO,DATOS!$D13358,nESPEC,DATOS!$E13358,nASIG,DATOS!$I13358,nEVAL,"EX")=0),0))))</f>
      </c>
      <c r="H13358">
        <f>IF(DATOS!$G13358&lt;&gt;"EX",0,--(COUNTIFS(nNIA,DATOS!$A13358,nCURSO,DATOS!$D13358,nESPEC,DATOS!$E13358,nASIG,DATOS!$I13358,nEVAL,"OR")=0))</f>
      </c>
      <c r="I13358">
        <f>IF(DATOS!$I13358="","",IFERROR(VLOOKUP(DATOS!$I13358,CONFIG_ASIGNATURAS!$B$2:$J$91,9,FALSE()),""))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IF(DATOS!$A13359="",0,IF(CONFIG_METADATA!$B$4&lt;&gt;"OR+EX",--(DATOS!$G13359=CONFIG_METADATA!$B$4),IF(DATOS!$G13359="EX",1,IF(DATOS!$G13359="OR",--(COUNTIFS(nNIA,DATOS!$A13359,nCURSO,DATOS!$D13359,nESPEC,DATOS!$E13359,nASIG,DATOS!$I13359,nEVAL,"EX")=0),0))))</f>
      </c>
      <c r="H13359">
        <f>IF(DATOS!$G13359&lt;&gt;"EX",0,--(COUNTIFS(nNIA,DATOS!$A13359,nCURSO,DATOS!$D13359,nESPEC,DATOS!$E13359,nASIG,DATOS!$I13359,nEVAL,"OR")=0))</f>
      </c>
      <c r="I13359">
        <f>IF(DATOS!$I13359="","",IFERROR(VLOOKUP(DATOS!$I13359,CONFIG_ASIGNATURAS!$B$2:$J$91,9,FALSE()),""))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IF(DATOS!$A13360="",0,IF(CONFIG_METADATA!$B$4&lt;&gt;"OR+EX",--(DATOS!$G13360=CONFIG_METADATA!$B$4),IF(DATOS!$G13360="EX",1,IF(DATOS!$G13360="OR",--(COUNTIFS(nNIA,DATOS!$A13360,nCURSO,DATOS!$D13360,nESPEC,DATOS!$E13360,nASIG,DATOS!$I13360,nEVAL,"EX")=0),0))))</f>
      </c>
      <c r="H13360">
        <f>IF(DATOS!$G13360&lt;&gt;"EX",0,--(COUNTIFS(nNIA,DATOS!$A13360,nCURSO,DATOS!$D13360,nESPEC,DATOS!$E13360,nASIG,DATOS!$I13360,nEVAL,"OR")=0))</f>
      </c>
      <c r="I13360">
        <f>IF(DATOS!$I13360="","",IFERROR(VLOOKUP(DATOS!$I13360,CONFIG_ASIGNATURAS!$B$2:$J$91,9,FALSE()),""))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IF(DATOS!$A13361="",0,IF(CONFIG_METADATA!$B$4&lt;&gt;"OR+EX",--(DATOS!$G13361=CONFIG_METADATA!$B$4),IF(DATOS!$G13361="EX",1,IF(DATOS!$G13361="OR",--(COUNTIFS(nNIA,DATOS!$A13361,nCURSO,DATOS!$D13361,nESPEC,DATOS!$E13361,nASIG,DATOS!$I13361,nEVAL,"EX")=0),0))))</f>
      </c>
      <c r="H13361">
        <f>IF(DATOS!$G13361&lt;&gt;"EX",0,--(COUNTIFS(nNIA,DATOS!$A13361,nCURSO,DATOS!$D13361,nESPEC,DATOS!$E13361,nASIG,DATOS!$I13361,nEVAL,"OR")=0))</f>
      </c>
      <c r="I13361">
        <f>IF(DATOS!$I13361="","",IFERROR(VLOOKUP(DATOS!$I13361,CONFIG_ASIGNATURAS!$B$2:$J$91,9,FALSE()),""))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IF(DATOS!$A13362="",0,IF(CONFIG_METADATA!$B$4&lt;&gt;"OR+EX",--(DATOS!$G13362=CONFIG_METADATA!$B$4),IF(DATOS!$G13362="EX",1,IF(DATOS!$G13362="OR",--(COUNTIFS(nNIA,DATOS!$A13362,nCURSO,DATOS!$D13362,nESPEC,DATOS!$E13362,nASIG,DATOS!$I13362,nEVAL,"EX")=0),0))))</f>
      </c>
      <c r="H13362">
        <f>IF(DATOS!$G13362&lt;&gt;"EX",0,--(COUNTIFS(nNIA,DATOS!$A13362,nCURSO,DATOS!$D13362,nESPEC,DATOS!$E13362,nASIG,DATOS!$I13362,nEVAL,"OR")=0))</f>
      </c>
      <c r="I13362">
        <f>IF(DATOS!$I13362="","",IFERROR(VLOOKUP(DATOS!$I13362,CONFIG_ASIGNATURAS!$B$2:$J$91,9,FALSE()),""))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IF(DATOS!$A13363="",0,IF(CONFIG_METADATA!$B$4&lt;&gt;"OR+EX",--(DATOS!$G13363=CONFIG_METADATA!$B$4),IF(DATOS!$G13363="EX",1,IF(DATOS!$G13363="OR",--(COUNTIFS(nNIA,DATOS!$A13363,nCURSO,DATOS!$D13363,nESPEC,DATOS!$E13363,nASIG,DATOS!$I13363,nEVAL,"EX")=0),0))))</f>
      </c>
      <c r="H13363">
        <f>IF(DATOS!$G13363&lt;&gt;"EX",0,--(COUNTIFS(nNIA,DATOS!$A13363,nCURSO,DATOS!$D13363,nESPEC,DATOS!$E13363,nASIG,DATOS!$I13363,nEVAL,"OR")=0))</f>
      </c>
      <c r="I13363">
        <f>IF(DATOS!$I13363="","",IFERROR(VLOOKUP(DATOS!$I13363,CONFIG_ASIGNATURAS!$B$2:$J$91,9,FALSE()),""))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IF(DATOS!$A13364="",0,IF(CONFIG_METADATA!$B$4&lt;&gt;"OR+EX",--(DATOS!$G13364=CONFIG_METADATA!$B$4),IF(DATOS!$G13364="EX",1,IF(DATOS!$G13364="OR",--(COUNTIFS(nNIA,DATOS!$A13364,nCURSO,DATOS!$D13364,nESPEC,DATOS!$E13364,nASIG,DATOS!$I13364,nEVAL,"EX")=0),0))))</f>
      </c>
      <c r="H13364">
        <f>IF(DATOS!$G13364&lt;&gt;"EX",0,--(COUNTIFS(nNIA,DATOS!$A13364,nCURSO,DATOS!$D13364,nESPEC,DATOS!$E13364,nASIG,DATOS!$I13364,nEVAL,"OR")=0))</f>
      </c>
      <c r="I13364">
        <f>IF(DATOS!$I13364="","",IFERROR(VLOOKUP(DATOS!$I13364,CONFIG_ASIGNATURAS!$B$2:$J$91,9,FALSE()),""))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IF(DATOS!$A13365="",0,IF(CONFIG_METADATA!$B$4&lt;&gt;"OR+EX",--(DATOS!$G13365=CONFIG_METADATA!$B$4),IF(DATOS!$G13365="EX",1,IF(DATOS!$G13365="OR",--(COUNTIFS(nNIA,DATOS!$A13365,nCURSO,DATOS!$D13365,nESPEC,DATOS!$E13365,nASIG,DATOS!$I13365,nEVAL,"EX")=0),0))))</f>
      </c>
      <c r="H13365">
        <f>IF(DATOS!$G13365&lt;&gt;"EX",0,--(COUNTIFS(nNIA,DATOS!$A13365,nCURSO,DATOS!$D13365,nESPEC,DATOS!$E13365,nASIG,DATOS!$I13365,nEVAL,"OR")=0))</f>
      </c>
      <c r="I13365">
        <f>IF(DATOS!$I13365="","",IFERROR(VLOOKUP(DATOS!$I13365,CONFIG_ASIGNATURAS!$B$2:$J$91,9,FALSE()),""))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IF(DATOS!$A13366="",0,IF(CONFIG_METADATA!$B$4&lt;&gt;"OR+EX",--(DATOS!$G13366=CONFIG_METADATA!$B$4),IF(DATOS!$G13366="EX",1,IF(DATOS!$G13366="OR",--(COUNTIFS(nNIA,DATOS!$A13366,nCURSO,DATOS!$D13366,nESPEC,DATOS!$E13366,nASIG,DATOS!$I13366,nEVAL,"EX")=0),0))))</f>
      </c>
      <c r="H13366">
        <f>IF(DATOS!$G13366&lt;&gt;"EX",0,--(COUNTIFS(nNIA,DATOS!$A13366,nCURSO,DATOS!$D13366,nESPEC,DATOS!$E13366,nASIG,DATOS!$I13366,nEVAL,"OR")=0))</f>
      </c>
      <c r="I13366">
        <f>IF(DATOS!$I13366="","",IFERROR(VLOOKUP(DATOS!$I13366,CONFIG_ASIGNATURAS!$B$2:$J$91,9,FALSE()),""))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IF(DATOS!$A13367="",0,IF(CONFIG_METADATA!$B$4&lt;&gt;"OR+EX",--(DATOS!$G13367=CONFIG_METADATA!$B$4),IF(DATOS!$G13367="EX",1,IF(DATOS!$G13367="OR",--(COUNTIFS(nNIA,DATOS!$A13367,nCURSO,DATOS!$D13367,nESPEC,DATOS!$E13367,nASIG,DATOS!$I13367,nEVAL,"EX")=0),0))))</f>
      </c>
      <c r="H13367">
        <f>IF(DATOS!$G13367&lt;&gt;"EX",0,--(COUNTIFS(nNIA,DATOS!$A13367,nCURSO,DATOS!$D13367,nESPEC,DATOS!$E13367,nASIG,DATOS!$I13367,nEVAL,"OR")=0))</f>
      </c>
      <c r="I13367">
        <f>IF(DATOS!$I13367="","",IFERROR(VLOOKUP(DATOS!$I13367,CONFIG_ASIGNATURAS!$B$2:$J$91,9,FALSE()),""))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IF(DATOS!$A13368="",0,IF(CONFIG_METADATA!$B$4&lt;&gt;"OR+EX",--(DATOS!$G13368=CONFIG_METADATA!$B$4),IF(DATOS!$G13368="EX",1,IF(DATOS!$G13368="OR",--(COUNTIFS(nNIA,DATOS!$A13368,nCURSO,DATOS!$D13368,nESPEC,DATOS!$E13368,nASIG,DATOS!$I13368,nEVAL,"EX")=0),0))))</f>
      </c>
      <c r="H13368">
        <f>IF(DATOS!$G13368&lt;&gt;"EX",0,--(COUNTIFS(nNIA,DATOS!$A13368,nCURSO,DATOS!$D13368,nESPEC,DATOS!$E13368,nASIG,DATOS!$I13368,nEVAL,"OR")=0))</f>
      </c>
      <c r="I13368">
        <f>IF(DATOS!$I13368="","",IFERROR(VLOOKUP(DATOS!$I13368,CONFIG_ASIGNATURAS!$B$2:$J$91,9,FALSE()),""))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IF(DATOS!$A13369="",0,IF(CONFIG_METADATA!$B$4&lt;&gt;"OR+EX",--(DATOS!$G13369=CONFIG_METADATA!$B$4),IF(DATOS!$G13369="EX",1,IF(DATOS!$G13369="OR",--(COUNTIFS(nNIA,DATOS!$A13369,nCURSO,DATOS!$D13369,nESPEC,DATOS!$E13369,nASIG,DATOS!$I13369,nEVAL,"EX")=0),0))))</f>
      </c>
      <c r="H13369">
        <f>IF(DATOS!$G13369&lt;&gt;"EX",0,--(COUNTIFS(nNIA,DATOS!$A13369,nCURSO,DATOS!$D13369,nESPEC,DATOS!$E13369,nASIG,DATOS!$I13369,nEVAL,"OR")=0))</f>
      </c>
      <c r="I13369">
        <f>IF(DATOS!$I13369="","",IFERROR(VLOOKUP(DATOS!$I13369,CONFIG_ASIGNATURAS!$B$2:$J$91,9,FALSE()),""))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IF(DATOS!$A13370="",0,IF(CONFIG_METADATA!$B$4&lt;&gt;"OR+EX",--(DATOS!$G13370=CONFIG_METADATA!$B$4),IF(DATOS!$G13370="EX",1,IF(DATOS!$G13370="OR",--(COUNTIFS(nNIA,DATOS!$A13370,nCURSO,DATOS!$D13370,nESPEC,DATOS!$E13370,nASIG,DATOS!$I13370,nEVAL,"EX")=0),0))))</f>
      </c>
      <c r="H13370">
        <f>IF(DATOS!$G13370&lt;&gt;"EX",0,--(COUNTIFS(nNIA,DATOS!$A13370,nCURSO,DATOS!$D13370,nESPEC,DATOS!$E13370,nASIG,DATOS!$I13370,nEVAL,"OR")=0))</f>
      </c>
      <c r="I13370">
        <f>IF(DATOS!$I13370="","",IFERROR(VLOOKUP(DATOS!$I13370,CONFIG_ASIGNATURAS!$B$2:$J$91,9,FALSE()),""))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IF(DATOS!$A13371="",0,IF(CONFIG_METADATA!$B$4&lt;&gt;"OR+EX",--(DATOS!$G13371=CONFIG_METADATA!$B$4),IF(DATOS!$G13371="EX",1,IF(DATOS!$G13371="OR",--(COUNTIFS(nNIA,DATOS!$A13371,nCURSO,DATOS!$D13371,nESPEC,DATOS!$E13371,nASIG,DATOS!$I13371,nEVAL,"EX")=0),0))))</f>
      </c>
      <c r="H13371">
        <f>IF(DATOS!$G13371&lt;&gt;"EX",0,--(COUNTIFS(nNIA,DATOS!$A13371,nCURSO,DATOS!$D13371,nESPEC,DATOS!$E13371,nASIG,DATOS!$I13371,nEVAL,"OR")=0))</f>
      </c>
      <c r="I13371">
        <f>IF(DATOS!$I13371="","",IFERROR(VLOOKUP(DATOS!$I13371,CONFIG_ASIGNATURAS!$B$2:$J$91,9,FALSE()),""))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IF(DATOS!$A13372="",0,IF(CONFIG_METADATA!$B$4&lt;&gt;"OR+EX",--(DATOS!$G13372=CONFIG_METADATA!$B$4),IF(DATOS!$G13372="EX",1,IF(DATOS!$G13372="OR",--(COUNTIFS(nNIA,DATOS!$A13372,nCURSO,DATOS!$D13372,nESPEC,DATOS!$E13372,nASIG,DATOS!$I13372,nEVAL,"EX")=0),0))))</f>
      </c>
      <c r="H13372">
        <f>IF(DATOS!$G13372&lt;&gt;"EX",0,--(COUNTIFS(nNIA,DATOS!$A13372,nCURSO,DATOS!$D13372,nESPEC,DATOS!$E13372,nASIG,DATOS!$I13372,nEVAL,"OR")=0))</f>
      </c>
      <c r="I13372">
        <f>IF(DATOS!$I13372="","",IFERROR(VLOOKUP(DATOS!$I13372,CONFIG_ASIGNATURAS!$B$2:$J$91,9,FALSE()),""))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IF(DATOS!$A13373="",0,IF(CONFIG_METADATA!$B$4&lt;&gt;"OR+EX",--(DATOS!$G13373=CONFIG_METADATA!$B$4),IF(DATOS!$G13373="EX",1,IF(DATOS!$G13373="OR",--(COUNTIFS(nNIA,DATOS!$A13373,nCURSO,DATOS!$D13373,nESPEC,DATOS!$E13373,nASIG,DATOS!$I13373,nEVAL,"EX")=0),0))))</f>
      </c>
      <c r="H13373">
        <f>IF(DATOS!$G13373&lt;&gt;"EX",0,--(COUNTIFS(nNIA,DATOS!$A13373,nCURSO,DATOS!$D13373,nESPEC,DATOS!$E13373,nASIG,DATOS!$I13373,nEVAL,"OR")=0))</f>
      </c>
      <c r="I13373">
        <f>IF(DATOS!$I13373="","",IFERROR(VLOOKUP(DATOS!$I13373,CONFIG_ASIGNATURAS!$B$2:$J$91,9,FALSE()),""))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IF(DATOS!$A13374="",0,IF(CONFIG_METADATA!$B$4&lt;&gt;"OR+EX",--(DATOS!$G13374=CONFIG_METADATA!$B$4),IF(DATOS!$G13374="EX",1,IF(DATOS!$G13374="OR",--(COUNTIFS(nNIA,DATOS!$A13374,nCURSO,DATOS!$D13374,nESPEC,DATOS!$E13374,nASIG,DATOS!$I13374,nEVAL,"EX")=0),0))))</f>
      </c>
      <c r="H13374">
        <f>IF(DATOS!$G13374&lt;&gt;"EX",0,--(COUNTIFS(nNIA,DATOS!$A13374,nCURSO,DATOS!$D13374,nESPEC,DATOS!$E13374,nASIG,DATOS!$I13374,nEVAL,"OR")=0))</f>
      </c>
      <c r="I13374">
        <f>IF(DATOS!$I13374="","",IFERROR(VLOOKUP(DATOS!$I13374,CONFIG_ASIGNATURAS!$B$2:$J$91,9,FALSE()),""))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IF(DATOS!$A13375="",0,IF(CONFIG_METADATA!$B$4&lt;&gt;"OR+EX",--(DATOS!$G13375=CONFIG_METADATA!$B$4),IF(DATOS!$G13375="EX",1,IF(DATOS!$G13375="OR",--(COUNTIFS(nNIA,DATOS!$A13375,nCURSO,DATOS!$D13375,nESPEC,DATOS!$E13375,nASIG,DATOS!$I13375,nEVAL,"EX")=0),0))))</f>
      </c>
      <c r="H13375">
        <f>IF(DATOS!$G13375&lt;&gt;"EX",0,--(COUNTIFS(nNIA,DATOS!$A13375,nCURSO,DATOS!$D13375,nESPEC,DATOS!$E13375,nASIG,DATOS!$I13375,nEVAL,"OR")=0))</f>
      </c>
      <c r="I13375">
        <f>IF(DATOS!$I13375="","",IFERROR(VLOOKUP(DATOS!$I13375,CONFIG_ASIGNATURAS!$B$2:$J$91,9,FALSE()),""))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IF(DATOS!$A13376="",0,IF(CONFIG_METADATA!$B$4&lt;&gt;"OR+EX",--(DATOS!$G13376=CONFIG_METADATA!$B$4),IF(DATOS!$G13376="EX",1,IF(DATOS!$G13376="OR",--(COUNTIFS(nNIA,DATOS!$A13376,nCURSO,DATOS!$D13376,nESPEC,DATOS!$E13376,nASIG,DATOS!$I13376,nEVAL,"EX")=0),0))))</f>
      </c>
      <c r="H13376">
        <f>IF(DATOS!$G13376&lt;&gt;"EX",0,--(COUNTIFS(nNIA,DATOS!$A13376,nCURSO,DATOS!$D13376,nESPEC,DATOS!$E13376,nASIG,DATOS!$I13376,nEVAL,"OR")=0))</f>
      </c>
      <c r="I13376">
        <f>IF(DATOS!$I13376="","",IFERROR(VLOOKUP(DATOS!$I13376,CONFIG_ASIGNATURAS!$B$2:$J$91,9,FALSE()),""))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IF(DATOS!$A13377="",0,IF(CONFIG_METADATA!$B$4&lt;&gt;"OR+EX",--(DATOS!$G13377=CONFIG_METADATA!$B$4),IF(DATOS!$G13377="EX",1,IF(DATOS!$G13377="OR",--(COUNTIFS(nNIA,DATOS!$A13377,nCURSO,DATOS!$D13377,nESPEC,DATOS!$E13377,nASIG,DATOS!$I13377,nEVAL,"EX")=0),0))))</f>
      </c>
      <c r="H13377">
        <f>IF(DATOS!$G13377&lt;&gt;"EX",0,--(COUNTIFS(nNIA,DATOS!$A13377,nCURSO,DATOS!$D13377,nESPEC,DATOS!$E13377,nASIG,DATOS!$I13377,nEVAL,"OR")=0))</f>
      </c>
      <c r="I13377">
        <f>IF(DATOS!$I13377="","",IFERROR(VLOOKUP(DATOS!$I13377,CONFIG_ASIGNATURAS!$B$2:$J$91,9,FALSE()),""))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IF(DATOS!$A13378="",0,IF(CONFIG_METADATA!$B$4&lt;&gt;"OR+EX",--(DATOS!$G13378=CONFIG_METADATA!$B$4),IF(DATOS!$G13378="EX",1,IF(DATOS!$G13378="OR",--(COUNTIFS(nNIA,DATOS!$A13378,nCURSO,DATOS!$D13378,nESPEC,DATOS!$E13378,nASIG,DATOS!$I13378,nEVAL,"EX")=0),0))))</f>
      </c>
      <c r="H13378">
        <f>IF(DATOS!$G13378&lt;&gt;"EX",0,--(COUNTIFS(nNIA,DATOS!$A13378,nCURSO,DATOS!$D13378,nESPEC,DATOS!$E13378,nASIG,DATOS!$I13378,nEVAL,"OR")=0))</f>
      </c>
      <c r="I13378">
        <f>IF(DATOS!$I13378="","",IFERROR(VLOOKUP(DATOS!$I13378,CONFIG_ASIGNATURAS!$B$2:$J$91,9,FALSE()),""))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IF(DATOS!$A13379="",0,IF(CONFIG_METADATA!$B$4&lt;&gt;"OR+EX",--(DATOS!$G13379=CONFIG_METADATA!$B$4),IF(DATOS!$G13379="EX",1,IF(DATOS!$G13379="OR",--(COUNTIFS(nNIA,DATOS!$A13379,nCURSO,DATOS!$D13379,nESPEC,DATOS!$E13379,nASIG,DATOS!$I13379,nEVAL,"EX")=0),0))))</f>
      </c>
      <c r="H13379">
        <f>IF(DATOS!$G13379&lt;&gt;"EX",0,--(COUNTIFS(nNIA,DATOS!$A13379,nCURSO,DATOS!$D13379,nESPEC,DATOS!$E13379,nASIG,DATOS!$I13379,nEVAL,"OR")=0))</f>
      </c>
      <c r="I13379">
        <f>IF(DATOS!$I13379="","",IFERROR(VLOOKUP(DATOS!$I13379,CONFIG_ASIGNATURAS!$B$2:$J$91,9,FALSE()),""))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IF(DATOS!$A13380="",0,IF(CONFIG_METADATA!$B$4&lt;&gt;"OR+EX",--(DATOS!$G13380=CONFIG_METADATA!$B$4),IF(DATOS!$G13380="EX",1,IF(DATOS!$G13380="OR",--(COUNTIFS(nNIA,DATOS!$A13380,nCURSO,DATOS!$D13380,nESPEC,DATOS!$E13380,nASIG,DATOS!$I13380,nEVAL,"EX")=0),0))))</f>
      </c>
      <c r="H13380">
        <f>IF(DATOS!$G13380&lt;&gt;"EX",0,--(COUNTIFS(nNIA,DATOS!$A13380,nCURSO,DATOS!$D13380,nESPEC,DATOS!$E13380,nASIG,DATOS!$I13380,nEVAL,"OR")=0))</f>
      </c>
      <c r="I13380">
        <f>IF(DATOS!$I13380="","",IFERROR(VLOOKUP(DATOS!$I13380,CONFIG_ASIGNATURAS!$B$2:$J$91,9,FALSE()),""))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IF(DATOS!$A13381="",0,IF(CONFIG_METADATA!$B$4&lt;&gt;"OR+EX",--(DATOS!$G13381=CONFIG_METADATA!$B$4),IF(DATOS!$G13381="EX",1,IF(DATOS!$G13381="OR",--(COUNTIFS(nNIA,DATOS!$A13381,nCURSO,DATOS!$D13381,nESPEC,DATOS!$E13381,nASIG,DATOS!$I13381,nEVAL,"EX")=0),0))))</f>
      </c>
      <c r="H13381">
        <f>IF(DATOS!$G13381&lt;&gt;"EX",0,--(COUNTIFS(nNIA,DATOS!$A13381,nCURSO,DATOS!$D13381,nESPEC,DATOS!$E13381,nASIG,DATOS!$I13381,nEVAL,"OR")=0))</f>
      </c>
      <c r="I13381">
        <f>IF(DATOS!$I13381="","",IFERROR(VLOOKUP(DATOS!$I13381,CONFIG_ASIGNATURAS!$B$2:$J$91,9,FALSE()),""))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IF(DATOS!$A13382="",0,IF(CONFIG_METADATA!$B$4&lt;&gt;"OR+EX",--(DATOS!$G13382=CONFIG_METADATA!$B$4),IF(DATOS!$G13382="EX",1,IF(DATOS!$G13382="OR",--(COUNTIFS(nNIA,DATOS!$A13382,nCURSO,DATOS!$D13382,nESPEC,DATOS!$E13382,nASIG,DATOS!$I13382,nEVAL,"EX")=0),0))))</f>
      </c>
      <c r="H13382">
        <f>IF(DATOS!$G13382&lt;&gt;"EX",0,--(COUNTIFS(nNIA,DATOS!$A13382,nCURSO,DATOS!$D13382,nESPEC,DATOS!$E13382,nASIG,DATOS!$I13382,nEVAL,"OR")=0))</f>
      </c>
      <c r="I13382">
        <f>IF(DATOS!$I13382="","",IFERROR(VLOOKUP(DATOS!$I13382,CONFIG_ASIGNATURAS!$B$2:$J$91,9,FALSE()),""))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IF(DATOS!$A13383="",0,IF(CONFIG_METADATA!$B$4&lt;&gt;"OR+EX",--(DATOS!$G13383=CONFIG_METADATA!$B$4),IF(DATOS!$G13383="EX",1,IF(DATOS!$G13383="OR",--(COUNTIFS(nNIA,DATOS!$A13383,nCURSO,DATOS!$D13383,nESPEC,DATOS!$E13383,nASIG,DATOS!$I13383,nEVAL,"EX")=0),0))))</f>
      </c>
      <c r="H13383">
        <f>IF(DATOS!$G13383&lt;&gt;"EX",0,--(COUNTIFS(nNIA,DATOS!$A13383,nCURSO,DATOS!$D13383,nESPEC,DATOS!$E13383,nASIG,DATOS!$I13383,nEVAL,"OR")=0))</f>
      </c>
      <c r="I13383">
        <f>IF(DATOS!$I13383="","",IFERROR(VLOOKUP(DATOS!$I13383,CONFIG_ASIGNATURAS!$B$2:$J$91,9,FALSE()),""))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IF(DATOS!$A13384="",0,IF(CONFIG_METADATA!$B$4&lt;&gt;"OR+EX",--(DATOS!$G13384=CONFIG_METADATA!$B$4),IF(DATOS!$G13384="EX",1,IF(DATOS!$G13384="OR",--(COUNTIFS(nNIA,DATOS!$A13384,nCURSO,DATOS!$D13384,nESPEC,DATOS!$E13384,nASIG,DATOS!$I13384,nEVAL,"EX")=0),0))))</f>
      </c>
      <c r="H13384">
        <f>IF(DATOS!$G13384&lt;&gt;"EX",0,--(COUNTIFS(nNIA,DATOS!$A13384,nCURSO,DATOS!$D13384,nESPEC,DATOS!$E13384,nASIG,DATOS!$I13384,nEVAL,"OR")=0))</f>
      </c>
      <c r="I13384">
        <f>IF(DATOS!$I13384="","",IFERROR(VLOOKUP(DATOS!$I13384,CONFIG_ASIGNATURAS!$B$2:$J$91,9,FALSE()),""))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IF(DATOS!$A13385="",0,IF(CONFIG_METADATA!$B$4&lt;&gt;"OR+EX",--(DATOS!$G13385=CONFIG_METADATA!$B$4),IF(DATOS!$G13385="EX",1,IF(DATOS!$G13385="OR",--(COUNTIFS(nNIA,DATOS!$A13385,nCURSO,DATOS!$D13385,nESPEC,DATOS!$E13385,nASIG,DATOS!$I13385,nEVAL,"EX")=0),0))))</f>
      </c>
      <c r="H13385">
        <f>IF(DATOS!$G13385&lt;&gt;"EX",0,--(COUNTIFS(nNIA,DATOS!$A13385,nCURSO,DATOS!$D13385,nESPEC,DATOS!$E13385,nASIG,DATOS!$I13385,nEVAL,"OR")=0))</f>
      </c>
      <c r="I13385">
        <f>IF(DATOS!$I13385="","",IFERROR(VLOOKUP(DATOS!$I13385,CONFIG_ASIGNATURAS!$B$2:$J$91,9,FALSE()),""))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IF(DATOS!$A13386="",0,IF(CONFIG_METADATA!$B$4&lt;&gt;"OR+EX",--(DATOS!$G13386=CONFIG_METADATA!$B$4),IF(DATOS!$G13386="EX",1,IF(DATOS!$G13386="OR",--(COUNTIFS(nNIA,DATOS!$A13386,nCURSO,DATOS!$D13386,nESPEC,DATOS!$E13386,nASIG,DATOS!$I13386,nEVAL,"EX")=0),0))))</f>
      </c>
      <c r="H13386">
        <f>IF(DATOS!$G13386&lt;&gt;"EX",0,--(COUNTIFS(nNIA,DATOS!$A13386,nCURSO,DATOS!$D13386,nESPEC,DATOS!$E13386,nASIG,DATOS!$I13386,nEVAL,"OR")=0))</f>
      </c>
      <c r="I13386">
        <f>IF(DATOS!$I13386="","",IFERROR(VLOOKUP(DATOS!$I13386,CONFIG_ASIGNATURAS!$B$2:$J$91,9,FALSE()),""))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IF(DATOS!$A13387="",0,IF(CONFIG_METADATA!$B$4&lt;&gt;"OR+EX",--(DATOS!$G13387=CONFIG_METADATA!$B$4),IF(DATOS!$G13387="EX",1,IF(DATOS!$G13387="OR",--(COUNTIFS(nNIA,DATOS!$A13387,nCURSO,DATOS!$D13387,nESPEC,DATOS!$E13387,nASIG,DATOS!$I13387,nEVAL,"EX")=0),0))))</f>
      </c>
      <c r="H13387">
        <f>IF(DATOS!$G13387&lt;&gt;"EX",0,--(COUNTIFS(nNIA,DATOS!$A13387,nCURSO,DATOS!$D13387,nESPEC,DATOS!$E13387,nASIG,DATOS!$I13387,nEVAL,"OR")=0))</f>
      </c>
      <c r="I13387">
        <f>IF(DATOS!$I13387="","",IFERROR(VLOOKUP(DATOS!$I13387,CONFIG_ASIGNATURAS!$B$2:$J$91,9,FALSE()),""))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IF(DATOS!$A13388="",0,IF(CONFIG_METADATA!$B$4&lt;&gt;"OR+EX",--(DATOS!$G13388=CONFIG_METADATA!$B$4),IF(DATOS!$G13388="EX",1,IF(DATOS!$G13388="OR",--(COUNTIFS(nNIA,DATOS!$A13388,nCURSO,DATOS!$D13388,nESPEC,DATOS!$E13388,nASIG,DATOS!$I13388,nEVAL,"EX")=0),0))))</f>
      </c>
      <c r="H13388">
        <f>IF(DATOS!$G13388&lt;&gt;"EX",0,--(COUNTIFS(nNIA,DATOS!$A13388,nCURSO,DATOS!$D13388,nESPEC,DATOS!$E13388,nASIG,DATOS!$I13388,nEVAL,"OR")=0))</f>
      </c>
      <c r="I13388">
        <f>IF(DATOS!$I13388="","",IFERROR(VLOOKUP(DATOS!$I13388,CONFIG_ASIGNATURAS!$B$2:$J$91,9,FALSE()),""))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IF(DATOS!$A13389="",0,IF(CONFIG_METADATA!$B$4&lt;&gt;"OR+EX",--(DATOS!$G13389=CONFIG_METADATA!$B$4),IF(DATOS!$G13389="EX",1,IF(DATOS!$G13389="OR",--(COUNTIFS(nNIA,DATOS!$A13389,nCURSO,DATOS!$D13389,nESPEC,DATOS!$E13389,nASIG,DATOS!$I13389,nEVAL,"EX")=0),0))))</f>
      </c>
      <c r="H13389">
        <f>IF(DATOS!$G13389&lt;&gt;"EX",0,--(COUNTIFS(nNIA,DATOS!$A13389,nCURSO,DATOS!$D13389,nESPEC,DATOS!$E13389,nASIG,DATOS!$I13389,nEVAL,"OR")=0))</f>
      </c>
      <c r="I13389">
        <f>IF(DATOS!$I13389="","",IFERROR(VLOOKUP(DATOS!$I13389,CONFIG_ASIGNATURAS!$B$2:$J$91,9,FALSE()),""))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IF(DATOS!$A13390="",0,IF(CONFIG_METADATA!$B$4&lt;&gt;"OR+EX",--(DATOS!$G13390=CONFIG_METADATA!$B$4),IF(DATOS!$G13390="EX",1,IF(DATOS!$G13390="OR",--(COUNTIFS(nNIA,DATOS!$A13390,nCURSO,DATOS!$D13390,nESPEC,DATOS!$E13390,nASIG,DATOS!$I13390,nEVAL,"EX")=0),0))))</f>
      </c>
      <c r="H13390">
        <f>IF(DATOS!$G13390&lt;&gt;"EX",0,--(COUNTIFS(nNIA,DATOS!$A13390,nCURSO,DATOS!$D13390,nESPEC,DATOS!$E13390,nASIG,DATOS!$I13390,nEVAL,"OR")=0))</f>
      </c>
      <c r="I13390">
        <f>IF(DATOS!$I13390="","",IFERROR(VLOOKUP(DATOS!$I13390,CONFIG_ASIGNATURAS!$B$2:$J$91,9,FALSE()),""))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IF(DATOS!$A13391="",0,IF(CONFIG_METADATA!$B$4&lt;&gt;"OR+EX",--(DATOS!$G13391=CONFIG_METADATA!$B$4),IF(DATOS!$G13391="EX",1,IF(DATOS!$G13391="OR",--(COUNTIFS(nNIA,DATOS!$A13391,nCURSO,DATOS!$D13391,nESPEC,DATOS!$E13391,nASIG,DATOS!$I13391,nEVAL,"EX")=0),0))))</f>
      </c>
      <c r="H13391">
        <f>IF(DATOS!$G13391&lt;&gt;"EX",0,--(COUNTIFS(nNIA,DATOS!$A13391,nCURSO,DATOS!$D13391,nESPEC,DATOS!$E13391,nASIG,DATOS!$I13391,nEVAL,"OR")=0))</f>
      </c>
      <c r="I13391">
        <f>IF(DATOS!$I13391="","",IFERROR(VLOOKUP(DATOS!$I13391,CONFIG_ASIGNATURAS!$B$2:$J$91,9,FALSE()),""))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IF(DATOS!$A13392="",0,IF(CONFIG_METADATA!$B$4&lt;&gt;"OR+EX",--(DATOS!$G13392=CONFIG_METADATA!$B$4),IF(DATOS!$G13392="EX",1,IF(DATOS!$G13392="OR",--(COUNTIFS(nNIA,DATOS!$A13392,nCURSO,DATOS!$D13392,nESPEC,DATOS!$E13392,nASIG,DATOS!$I13392,nEVAL,"EX")=0),0))))</f>
      </c>
      <c r="H13392">
        <f>IF(DATOS!$G13392&lt;&gt;"EX",0,--(COUNTIFS(nNIA,DATOS!$A13392,nCURSO,DATOS!$D13392,nESPEC,DATOS!$E13392,nASIG,DATOS!$I13392,nEVAL,"OR")=0))</f>
      </c>
      <c r="I13392">
        <f>IF(DATOS!$I13392="","",IFERROR(VLOOKUP(DATOS!$I13392,CONFIG_ASIGNATURAS!$B$2:$J$91,9,FALSE()),""))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IF(DATOS!$A13393="",0,IF(CONFIG_METADATA!$B$4&lt;&gt;"OR+EX",--(DATOS!$G13393=CONFIG_METADATA!$B$4),IF(DATOS!$G13393="EX",1,IF(DATOS!$G13393="OR",--(COUNTIFS(nNIA,DATOS!$A13393,nCURSO,DATOS!$D13393,nESPEC,DATOS!$E13393,nASIG,DATOS!$I13393,nEVAL,"EX")=0),0))))</f>
      </c>
      <c r="H13393">
        <f>IF(DATOS!$G13393&lt;&gt;"EX",0,--(COUNTIFS(nNIA,DATOS!$A13393,nCURSO,DATOS!$D13393,nESPEC,DATOS!$E13393,nASIG,DATOS!$I13393,nEVAL,"OR")=0))</f>
      </c>
      <c r="I13393">
        <f>IF(DATOS!$I13393="","",IFERROR(VLOOKUP(DATOS!$I13393,CONFIG_ASIGNATURAS!$B$2:$J$91,9,FALSE()),""))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IF(DATOS!$A13394="",0,IF(CONFIG_METADATA!$B$4&lt;&gt;"OR+EX",--(DATOS!$G13394=CONFIG_METADATA!$B$4),IF(DATOS!$G13394="EX",1,IF(DATOS!$G13394="OR",--(COUNTIFS(nNIA,DATOS!$A13394,nCURSO,DATOS!$D13394,nESPEC,DATOS!$E13394,nASIG,DATOS!$I13394,nEVAL,"EX")=0),0))))</f>
      </c>
      <c r="H13394">
        <f>IF(DATOS!$G13394&lt;&gt;"EX",0,--(COUNTIFS(nNIA,DATOS!$A13394,nCURSO,DATOS!$D13394,nESPEC,DATOS!$E13394,nASIG,DATOS!$I13394,nEVAL,"OR")=0))</f>
      </c>
      <c r="I13394">
        <f>IF(DATOS!$I13394="","",IFERROR(VLOOKUP(DATOS!$I13394,CONFIG_ASIGNATURAS!$B$2:$J$91,9,FALSE()),""))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IF(DATOS!$A13395="",0,IF(CONFIG_METADATA!$B$4&lt;&gt;"OR+EX",--(DATOS!$G13395=CONFIG_METADATA!$B$4),IF(DATOS!$G13395="EX",1,IF(DATOS!$G13395="OR",--(COUNTIFS(nNIA,DATOS!$A13395,nCURSO,DATOS!$D13395,nESPEC,DATOS!$E13395,nASIG,DATOS!$I13395,nEVAL,"EX")=0),0))))</f>
      </c>
      <c r="H13395">
        <f>IF(DATOS!$G13395&lt;&gt;"EX",0,--(COUNTIFS(nNIA,DATOS!$A13395,nCURSO,DATOS!$D13395,nESPEC,DATOS!$E13395,nASIG,DATOS!$I13395,nEVAL,"OR")=0))</f>
      </c>
      <c r="I13395">
        <f>IF(DATOS!$I13395="","",IFERROR(VLOOKUP(DATOS!$I13395,CONFIG_ASIGNATURAS!$B$2:$J$91,9,FALSE()),""))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IF(DATOS!$A13396="",0,IF(CONFIG_METADATA!$B$4&lt;&gt;"OR+EX",--(DATOS!$G13396=CONFIG_METADATA!$B$4),IF(DATOS!$G13396="EX",1,IF(DATOS!$G13396="OR",--(COUNTIFS(nNIA,DATOS!$A13396,nCURSO,DATOS!$D13396,nESPEC,DATOS!$E13396,nASIG,DATOS!$I13396,nEVAL,"EX")=0),0))))</f>
      </c>
      <c r="H13396">
        <f>IF(DATOS!$G13396&lt;&gt;"EX",0,--(COUNTIFS(nNIA,DATOS!$A13396,nCURSO,DATOS!$D13396,nESPEC,DATOS!$E13396,nASIG,DATOS!$I13396,nEVAL,"OR")=0))</f>
      </c>
      <c r="I13396">
        <f>IF(DATOS!$I13396="","",IFERROR(VLOOKUP(DATOS!$I13396,CONFIG_ASIGNATURAS!$B$2:$J$91,9,FALSE()),""))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IF(DATOS!$A13397="",0,IF(CONFIG_METADATA!$B$4&lt;&gt;"OR+EX",--(DATOS!$G13397=CONFIG_METADATA!$B$4),IF(DATOS!$G13397="EX",1,IF(DATOS!$G13397="OR",--(COUNTIFS(nNIA,DATOS!$A13397,nCURSO,DATOS!$D13397,nESPEC,DATOS!$E13397,nASIG,DATOS!$I13397,nEVAL,"EX")=0),0))))</f>
      </c>
      <c r="H13397">
        <f>IF(DATOS!$G13397&lt;&gt;"EX",0,--(COUNTIFS(nNIA,DATOS!$A13397,nCURSO,DATOS!$D13397,nESPEC,DATOS!$E13397,nASIG,DATOS!$I13397,nEVAL,"OR")=0))</f>
      </c>
      <c r="I13397">
        <f>IF(DATOS!$I13397="","",IFERROR(VLOOKUP(DATOS!$I13397,CONFIG_ASIGNATURAS!$B$2:$J$91,9,FALSE()),""))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IF(DATOS!$A13398="",0,IF(CONFIG_METADATA!$B$4&lt;&gt;"OR+EX",--(DATOS!$G13398=CONFIG_METADATA!$B$4),IF(DATOS!$G13398="EX",1,IF(DATOS!$G13398="OR",--(COUNTIFS(nNIA,DATOS!$A13398,nCURSO,DATOS!$D13398,nESPEC,DATOS!$E13398,nASIG,DATOS!$I13398,nEVAL,"EX")=0),0))))</f>
      </c>
      <c r="H13398">
        <f>IF(DATOS!$G13398&lt;&gt;"EX",0,--(COUNTIFS(nNIA,DATOS!$A13398,nCURSO,DATOS!$D13398,nESPEC,DATOS!$E13398,nASIG,DATOS!$I13398,nEVAL,"OR")=0))</f>
      </c>
      <c r="I13398">
        <f>IF(DATOS!$I13398="","",IFERROR(VLOOKUP(DATOS!$I13398,CONFIG_ASIGNATURAS!$B$2:$J$91,9,FALSE()),""))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IF(DATOS!$A13399="",0,IF(CONFIG_METADATA!$B$4&lt;&gt;"OR+EX",--(DATOS!$G13399=CONFIG_METADATA!$B$4),IF(DATOS!$G13399="EX",1,IF(DATOS!$G13399="OR",--(COUNTIFS(nNIA,DATOS!$A13399,nCURSO,DATOS!$D13399,nESPEC,DATOS!$E13399,nASIG,DATOS!$I13399,nEVAL,"EX")=0),0))))</f>
      </c>
      <c r="H13399">
        <f>IF(DATOS!$G13399&lt;&gt;"EX",0,--(COUNTIFS(nNIA,DATOS!$A13399,nCURSO,DATOS!$D13399,nESPEC,DATOS!$E13399,nASIG,DATOS!$I13399,nEVAL,"OR")=0))</f>
      </c>
      <c r="I13399">
        <f>IF(DATOS!$I13399="","",IFERROR(VLOOKUP(DATOS!$I13399,CONFIG_ASIGNATURAS!$B$2:$J$91,9,FALSE()),""))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IF(DATOS!$A13400="",0,IF(CONFIG_METADATA!$B$4&lt;&gt;"OR+EX",--(DATOS!$G13400=CONFIG_METADATA!$B$4),IF(DATOS!$G13400="EX",1,IF(DATOS!$G13400="OR",--(COUNTIFS(nNIA,DATOS!$A13400,nCURSO,DATOS!$D13400,nESPEC,DATOS!$E13400,nASIG,DATOS!$I13400,nEVAL,"EX")=0),0))))</f>
      </c>
      <c r="H13400">
        <f>IF(DATOS!$G13400&lt;&gt;"EX",0,--(COUNTIFS(nNIA,DATOS!$A13400,nCURSO,DATOS!$D13400,nESPEC,DATOS!$E13400,nASIG,DATOS!$I13400,nEVAL,"OR")=0))</f>
      </c>
      <c r="I13400">
        <f>IF(DATOS!$I13400="","",IFERROR(VLOOKUP(DATOS!$I13400,CONFIG_ASIGNATURAS!$B$2:$J$91,9,FALSE()),""))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IF(DATOS!$A13401="",0,IF(CONFIG_METADATA!$B$4&lt;&gt;"OR+EX",--(DATOS!$G13401=CONFIG_METADATA!$B$4),IF(DATOS!$G13401="EX",1,IF(DATOS!$G13401="OR",--(COUNTIFS(nNIA,DATOS!$A13401,nCURSO,DATOS!$D13401,nESPEC,DATOS!$E13401,nASIG,DATOS!$I13401,nEVAL,"EX")=0),0))))</f>
      </c>
      <c r="H13401">
        <f>IF(DATOS!$G13401&lt;&gt;"EX",0,--(COUNTIFS(nNIA,DATOS!$A13401,nCURSO,DATOS!$D13401,nESPEC,DATOS!$E13401,nASIG,DATOS!$I13401,nEVAL,"OR")=0))</f>
      </c>
      <c r="I13401">
        <f>IF(DATOS!$I13401="","",IFERROR(VLOOKUP(DATOS!$I13401,CONFIG_ASIGNATURAS!$B$2:$J$91,9,FALSE()),""))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IF(DATOS!$A13402="",0,IF(CONFIG_METADATA!$B$4&lt;&gt;"OR+EX",--(DATOS!$G13402=CONFIG_METADATA!$B$4),IF(DATOS!$G13402="EX",1,IF(DATOS!$G13402="OR",--(COUNTIFS(nNIA,DATOS!$A13402,nCURSO,DATOS!$D13402,nESPEC,DATOS!$E13402,nASIG,DATOS!$I13402,nEVAL,"EX")=0),0))))</f>
      </c>
      <c r="H13402">
        <f>IF(DATOS!$G13402&lt;&gt;"EX",0,--(COUNTIFS(nNIA,DATOS!$A13402,nCURSO,DATOS!$D13402,nESPEC,DATOS!$E13402,nASIG,DATOS!$I13402,nEVAL,"OR")=0))</f>
      </c>
      <c r="I13402">
        <f>IF(DATOS!$I13402="","",IFERROR(VLOOKUP(DATOS!$I13402,CONFIG_ASIGNATURAS!$B$2:$J$91,9,FALSE()),""))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IF(DATOS!$A13403="",0,IF(CONFIG_METADATA!$B$4&lt;&gt;"OR+EX",--(DATOS!$G13403=CONFIG_METADATA!$B$4),IF(DATOS!$G13403="EX",1,IF(DATOS!$G13403="OR",--(COUNTIFS(nNIA,DATOS!$A13403,nCURSO,DATOS!$D13403,nESPEC,DATOS!$E13403,nASIG,DATOS!$I13403,nEVAL,"EX")=0),0))))</f>
      </c>
      <c r="H13403">
        <f>IF(DATOS!$G13403&lt;&gt;"EX",0,--(COUNTIFS(nNIA,DATOS!$A13403,nCURSO,DATOS!$D13403,nESPEC,DATOS!$E13403,nASIG,DATOS!$I13403,nEVAL,"OR")=0))</f>
      </c>
      <c r="I13403">
        <f>IF(DATOS!$I13403="","",IFERROR(VLOOKUP(DATOS!$I13403,CONFIG_ASIGNATURAS!$B$2:$J$91,9,FALSE()),""))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IF(DATOS!$A13404="",0,IF(CONFIG_METADATA!$B$4&lt;&gt;"OR+EX",--(DATOS!$G13404=CONFIG_METADATA!$B$4),IF(DATOS!$G13404="EX",1,IF(DATOS!$G13404="OR",--(COUNTIFS(nNIA,DATOS!$A13404,nCURSO,DATOS!$D13404,nESPEC,DATOS!$E13404,nASIG,DATOS!$I13404,nEVAL,"EX")=0),0))))</f>
      </c>
      <c r="H13404">
        <f>IF(DATOS!$G13404&lt;&gt;"EX",0,--(COUNTIFS(nNIA,DATOS!$A13404,nCURSO,DATOS!$D13404,nESPEC,DATOS!$E13404,nASIG,DATOS!$I13404,nEVAL,"OR")=0))</f>
      </c>
      <c r="I13404">
        <f>IF(DATOS!$I13404="","",IFERROR(VLOOKUP(DATOS!$I13404,CONFIG_ASIGNATURAS!$B$2:$J$91,9,FALSE()),""))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IF(DATOS!$A13405="",0,IF(CONFIG_METADATA!$B$4&lt;&gt;"OR+EX",--(DATOS!$G13405=CONFIG_METADATA!$B$4),IF(DATOS!$G13405="EX",1,IF(DATOS!$G13405="OR",--(COUNTIFS(nNIA,DATOS!$A13405,nCURSO,DATOS!$D13405,nESPEC,DATOS!$E13405,nASIG,DATOS!$I13405,nEVAL,"EX")=0),0))))</f>
      </c>
      <c r="H13405">
        <f>IF(DATOS!$G13405&lt;&gt;"EX",0,--(COUNTIFS(nNIA,DATOS!$A13405,nCURSO,DATOS!$D13405,nESPEC,DATOS!$E13405,nASIG,DATOS!$I13405,nEVAL,"OR")=0))</f>
      </c>
      <c r="I13405">
        <f>IF(DATOS!$I13405="","",IFERROR(VLOOKUP(DATOS!$I13405,CONFIG_ASIGNATURAS!$B$2:$J$91,9,FALSE()),""))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IF(DATOS!$A13406="",0,IF(CONFIG_METADATA!$B$4&lt;&gt;"OR+EX",--(DATOS!$G13406=CONFIG_METADATA!$B$4),IF(DATOS!$G13406="EX",1,IF(DATOS!$G13406="OR",--(COUNTIFS(nNIA,DATOS!$A13406,nCURSO,DATOS!$D13406,nESPEC,DATOS!$E13406,nASIG,DATOS!$I13406,nEVAL,"EX")=0),0))))</f>
      </c>
      <c r="H13406">
        <f>IF(DATOS!$G13406&lt;&gt;"EX",0,--(COUNTIFS(nNIA,DATOS!$A13406,nCURSO,DATOS!$D13406,nESPEC,DATOS!$E13406,nASIG,DATOS!$I13406,nEVAL,"OR")=0))</f>
      </c>
      <c r="I13406">
        <f>IF(DATOS!$I13406="","",IFERROR(VLOOKUP(DATOS!$I13406,CONFIG_ASIGNATURAS!$B$2:$J$91,9,FALSE()),""))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IF(DATOS!$A13407="",0,IF(CONFIG_METADATA!$B$4&lt;&gt;"OR+EX",--(DATOS!$G13407=CONFIG_METADATA!$B$4),IF(DATOS!$G13407="EX",1,IF(DATOS!$G13407="OR",--(COUNTIFS(nNIA,DATOS!$A13407,nCURSO,DATOS!$D13407,nESPEC,DATOS!$E13407,nASIG,DATOS!$I13407,nEVAL,"EX")=0),0))))</f>
      </c>
      <c r="H13407">
        <f>IF(DATOS!$G13407&lt;&gt;"EX",0,--(COUNTIFS(nNIA,DATOS!$A13407,nCURSO,DATOS!$D13407,nESPEC,DATOS!$E13407,nASIG,DATOS!$I13407,nEVAL,"OR")=0))</f>
      </c>
      <c r="I13407">
        <f>IF(DATOS!$I13407="","",IFERROR(VLOOKUP(DATOS!$I13407,CONFIG_ASIGNATURAS!$B$2:$J$91,9,FALSE()),""))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IF(DATOS!$A13408="",0,IF(CONFIG_METADATA!$B$4&lt;&gt;"OR+EX",--(DATOS!$G13408=CONFIG_METADATA!$B$4),IF(DATOS!$G13408="EX",1,IF(DATOS!$G13408="OR",--(COUNTIFS(nNIA,DATOS!$A13408,nCURSO,DATOS!$D13408,nESPEC,DATOS!$E13408,nASIG,DATOS!$I13408,nEVAL,"EX")=0),0))))</f>
      </c>
      <c r="H13408">
        <f>IF(DATOS!$G13408&lt;&gt;"EX",0,--(COUNTIFS(nNIA,DATOS!$A13408,nCURSO,DATOS!$D13408,nESPEC,DATOS!$E13408,nASIG,DATOS!$I13408,nEVAL,"OR")=0))</f>
      </c>
      <c r="I13408">
        <f>IF(DATOS!$I13408="","",IFERROR(VLOOKUP(DATOS!$I13408,CONFIG_ASIGNATURAS!$B$2:$J$91,9,FALSE()),""))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IF(DATOS!$A13409="",0,IF(CONFIG_METADATA!$B$4&lt;&gt;"OR+EX",--(DATOS!$G13409=CONFIG_METADATA!$B$4),IF(DATOS!$G13409="EX",1,IF(DATOS!$G13409="OR",--(COUNTIFS(nNIA,DATOS!$A13409,nCURSO,DATOS!$D13409,nESPEC,DATOS!$E13409,nASIG,DATOS!$I13409,nEVAL,"EX")=0),0))))</f>
      </c>
      <c r="H13409">
        <f>IF(DATOS!$G13409&lt;&gt;"EX",0,--(COUNTIFS(nNIA,DATOS!$A13409,nCURSO,DATOS!$D13409,nESPEC,DATOS!$E13409,nASIG,DATOS!$I13409,nEVAL,"OR")=0))</f>
      </c>
      <c r="I13409">
        <f>IF(DATOS!$I13409="","",IFERROR(VLOOKUP(DATOS!$I13409,CONFIG_ASIGNATURAS!$B$2:$J$91,9,FALSE()),""))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IF(DATOS!$A13410="",0,IF(CONFIG_METADATA!$B$4&lt;&gt;"OR+EX",--(DATOS!$G13410=CONFIG_METADATA!$B$4),IF(DATOS!$G13410="EX",1,IF(DATOS!$G13410="OR",--(COUNTIFS(nNIA,DATOS!$A13410,nCURSO,DATOS!$D13410,nESPEC,DATOS!$E13410,nASIG,DATOS!$I13410,nEVAL,"EX")=0),0))))</f>
      </c>
      <c r="H13410">
        <f>IF(DATOS!$G13410&lt;&gt;"EX",0,--(COUNTIFS(nNIA,DATOS!$A13410,nCURSO,DATOS!$D13410,nESPEC,DATOS!$E13410,nASIG,DATOS!$I13410,nEVAL,"OR")=0))</f>
      </c>
      <c r="I13410">
        <f>IF(DATOS!$I13410="","",IFERROR(VLOOKUP(DATOS!$I13410,CONFIG_ASIGNATURAS!$B$2:$J$91,9,FALSE()),""))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IF(DATOS!$A13411="",0,IF(CONFIG_METADATA!$B$4&lt;&gt;"OR+EX",--(DATOS!$G13411=CONFIG_METADATA!$B$4),IF(DATOS!$G13411="EX",1,IF(DATOS!$G13411="OR",--(COUNTIFS(nNIA,DATOS!$A13411,nCURSO,DATOS!$D13411,nESPEC,DATOS!$E13411,nASIG,DATOS!$I13411,nEVAL,"EX")=0),0))))</f>
      </c>
      <c r="H13411">
        <f>IF(DATOS!$G13411&lt;&gt;"EX",0,--(COUNTIFS(nNIA,DATOS!$A13411,nCURSO,DATOS!$D13411,nESPEC,DATOS!$E13411,nASIG,DATOS!$I13411,nEVAL,"OR")=0))</f>
      </c>
      <c r="I13411">
        <f>IF(DATOS!$I13411="","",IFERROR(VLOOKUP(DATOS!$I13411,CONFIG_ASIGNATURAS!$B$2:$J$91,9,FALSE()),""))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IF(DATOS!$A13412="",0,IF(CONFIG_METADATA!$B$4&lt;&gt;"OR+EX",--(DATOS!$G13412=CONFIG_METADATA!$B$4),IF(DATOS!$G13412="EX",1,IF(DATOS!$G13412="OR",--(COUNTIFS(nNIA,DATOS!$A13412,nCURSO,DATOS!$D13412,nESPEC,DATOS!$E13412,nASIG,DATOS!$I13412,nEVAL,"EX")=0),0))))</f>
      </c>
      <c r="H13412">
        <f>IF(DATOS!$G13412&lt;&gt;"EX",0,--(COUNTIFS(nNIA,DATOS!$A13412,nCURSO,DATOS!$D13412,nESPEC,DATOS!$E13412,nASIG,DATOS!$I13412,nEVAL,"OR")=0))</f>
      </c>
      <c r="I13412">
        <f>IF(DATOS!$I13412="","",IFERROR(VLOOKUP(DATOS!$I13412,CONFIG_ASIGNATURAS!$B$2:$J$91,9,FALSE()),""))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IF(DATOS!$A13413="",0,IF(CONFIG_METADATA!$B$4&lt;&gt;"OR+EX",--(DATOS!$G13413=CONFIG_METADATA!$B$4),IF(DATOS!$G13413="EX",1,IF(DATOS!$G13413="OR",--(COUNTIFS(nNIA,DATOS!$A13413,nCURSO,DATOS!$D13413,nESPEC,DATOS!$E13413,nASIG,DATOS!$I13413,nEVAL,"EX")=0),0))))</f>
      </c>
      <c r="H13413">
        <f>IF(DATOS!$G13413&lt;&gt;"EX",0,--(COUNTIFS(nNIA,DATOS!$A13413,nCURSO,DATOS!$D13413,nESPEC,DATOS!$E13413,nASIG,DATOS!$I13413,nEVAL,"OR")=0))</f>
      </c>
      <c r="I13413">
        <f>IF(DATOS!$I13413="","",IFERROR(VLOOKUP(DATOS!$I13413,CONFIG_ASIGNATURAS!$B$2:$J$91,9,FALSE()),""))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IF(DATOS!$A13414="",0,IF(CONFIG_METADATA!$B$4&lt;&gt;"OR+EX",--(DATOS!$G13414=CONFIG_METADATA!$B$4),IF(DATOS!$G13414="EX",1,IF(DATOS!$G13414="OR",--(COUNTIFS(nNIA,DATOS!$A13414,nCURSO,DATOS!$D13414,nESPEC,DATOS!$E13414,nASIG,DATOS!$I13414,nEVAL,"EX")=0),0))))</f>
      </c>
      <c r="H13414">
        <f>IF(DATOS!$G13414&lt;&gt;"EX",0,--(COUNTIFS(nNIA,DATOS!$A13414,nCURSO,DATOS!$D13414,nESPEC,DATOS!$E13414,nASIG,DATOS!$I13414,nEVAL,"OR")=0))</f>
      </c>
      <c r="I13414">
        <f>IF(DATOS!$I13414="","",IFERROR(VLOOKUP(DATOS!$I13414,CONFIG_ASIGNATURAS!$B$2:$J$91,9,FALSE()),""))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IF(DATOS!$A13415="",0,IF(CONFIG_METADATA!$B$4&lt;&gt;"OR+EX",--(DATOS!$G13415=CONFIG_METADATA!$B$4),IF(DATOS!$G13415="EX",1,IF(DATOS!$G13415="OR",--(COUNTIFS(nNIA,DATOS!$A13415,nCURSO,DATOS!$D13415,nESPEC,DATOS!$E13415,nASIG,DATOS!$I13415,nEVAL,"EX")=0),0))))</f>
      </c>
      <c r="H13415">
        <f>IF(DATOS!$G13415&lt;&gt;"EX",0,--(COUNTIFS(nNIA,DATOS!$A13415,nCURSO,DATOS!$D13415,nESPEC,DATOS!$E13415,nASIG,DATOS!$I13415,nEVAL,"OR")=0))</f>
      </c>
      <c r="I13415">
        <f>IF(DATOS!$I13415="","",IFERROR(VLOOKUP(DATOS!$I13415,CONFIG_ASIGNATURAS!$B$2:$J$91,9,FALSE()),""))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IF(DATOS!$A13416="",0,IF(CONFIG_METADATA!$B$4&lt;&gt;"OR+EX",--(DATOS!$G13416=CONFIG_METADATA!$B$4),IF(DATOS!$G13416="EX",1,IF(DATOS!$G13416="OR",--(COUNTIFS(nNIA,DATOS!$A13416,nCURSO,DATOS!$D13416,nESPEC,DATOS!$E13416,nASIG,DATOS!$I13416,nEVAL,"EX")=0),0))))</f>
      </c>
      <c r="H13416">
        <f>IF(DATOS!$G13416&lt;&gt;"EX",0,--(COUNTIFS(nNIA,DATOS!$A13416,nCURSO,DATOS!$D13416,nESPEC,DATOS!$E13416,nASIG,DATOS!$I13416,nEVAL,"OR")=0))</f>
      </c>
      <c r="I13416">
        <f>IF(DATOS!$I13416="","",IFERROR(VLOOKUP(DATOS!$I13416,CONFIG_ASIGNATURAS!$B$2:$J$91,9,FALSE()),""))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IF(DATOS!$A13417="",0,IF(CONFIG_METADATA!$B$4&lt;&gt;"OR+EX",--(DATOS!$G13417=CONFIG_METADATA!$B$4),IF(DATOS!$G13417="EX",1,IF(DATOS!$G13417="OR",--(COUNTIFS(nNIA,DATOS!$A13417,nCURSO,DATOS!$D13417,nESPEC,DATOS!$E13417,nASIG,DATOS!$I13417,nEVAL,"EX")=0),0))))</f>
      </c>
      <c r="H13417">
        <f>IF(DATOS!$G13417&lt;&gt;"EX",0,--(COUNTIFS(nNIA,DATOS!$A13417,nCURSO,DATOS!$D13417,nESPEC,DATOS!$E13417,nASIG,DATOS!$I13417,nEVAL,"OR")=0))</f>
      </c>
      <c r="I13417">
        <f>IF(DATOS!$I13417="","",IFERROR(VLOOKUP(DATOS!$I13417,CONFIG_ASIGNATURAS!$B$2:$J$91,9,FALSE()),""))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IF(DATOS!$A13418="",0,IF(CONFIG_METADATA!$B$4&lt;&gt;"OR+EX",--(DATOS!$G13418=CONFIG_METADATA!$B$4),IF(DATOS!$G13418="EX",1,IF(DATOS!$G13418="OR",--(COUNTIFS(nNIA,DATOS!$A13418,nCURSO,DATOS!$D13418,nESPEC,DATOS!$E13418,nASIG,DATOS!$I13418,nEVAL,"EX")=0),0))))</f>
      </c>
      <c r="H13418">
        <f>IF(DATOS!$G13418&lt;&gt;"EX",0,--(COUNTIFS(nNIA,DATOS!$A13418,nCURSO,DATOS!$D13418,nESPEC,DATOS!$E13418,nASIG,DATOS!$I13418,nEVAL,"OR")=0))</f>
      </c>
      <c r="I13418">
        <f>IF(DATOS!$I13418="","",IFERROR(VLOOKUP(DATOS!$I13418,CONFIG_ASIGNATURAS!$B$2:$J$91,9,FALSE()),""))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IF(DATOS!$A13419="",0,IF(CONFIG_METADATA!$B$4&lt;&gt;"OR+EX",--(DATOS!$G13419=CONFIG_METADATA!$B$4),IF(DATOS!$G13419="EX",1,IF(DATOS!$G13419="OR",--(COUNTIFS(nNIA,DATOS!$A13419,nCURSO,DATOS!$D13419,nESPEC,DATOS!$E13419,nASIG,DATOS!$I13419,nEVAL,"EX")=0),0))))</f>
      </c>
      <c r="H13419">
        <f>IF(DATOS!$G13419&lt;&gt;"EX",0,--(COUNTIFS(nNIA,DATOS!$A13419,nCURSO,DATOS!$D13419,nESPEC,DATOS!$E13419,nASIG,DATOS!$I13419,nEVAL,"OR")=0))</f>
      </c>
      <c r="I13419">
        <f>IF(DATOS!$I13419="","",IFERROR(VLOOKUP(DATOS!$I13419,CONFIG_ASIGNATURAS!$B$2:$J$91,9,FALSE()),""))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IF(DATOS!$A13420="",0,IF(CONFIG_METADATA!$B$4&lt;&gt;"OR+EX",--(DATOS!$G13420=CONFIG_METADATA!$B$4),IF(DATOS!$G13420="EX",1,IF(DATOS!$G13420="OR",--(COUNTIFS(nNIA,DATOS!$A13420,nCURSO,DATOS!$D13420,nESPEC,DATOS!$E13420,nASIG,DATOS!$I13420,nEVAL,"EX")=0),0))))</f>
      </c>
      <c r="H13420">
        <f>IF(DATOS!$G13420&lt;&gt;"EX",0,--(COUNTIFS(nNIA,DATOS!$A13420,nCURSO,DATOS!$D13420,nESPEC,DATOS!$E13420,nASIG,DATOS!$I13420,nEVAL,"OR")=0))</f>
      </c>
      <c r="I13420">
        <f>IF(DATOS!$I13420="","",IFERROR(VLOOKUP(DATOS!$I13420,CONFIG_ASIGNATURAS!$B$2:$J$91,9,FALSE()),""))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IF(DATOS!$A13421="",0,IF(CONFIG_METADATA!$B$4&lt;&gt;"OR+EX",--(DATOS!$G13421=CONFIG_METADATA!$B$4),IF(DATOS!$G13421="EX",1,IF(DATOS!$G13421="OR",--(COUNTIFS(nNIA,DATOS!$A13421,nCURSO,DATOS!$D13421,nESPEC,DATOS!$E13421,nASIG,DATOS!$I13421,nEVAL,"EX")=0),0))))</f>
      </c>
      <c r="H13421">
        <f>IF(DATOS!$G13421&lt;&gt;"EX",0,--(COUNTIFS(nNIA,DATOS!$A13421,nCURSO,DATOS!$D13421,nESPEC,DATOS!$E13421,nASIG,DATOS!$I13421,nEVAL,"OR")=0))</f>
      </c>
      <c r="I13421">
        <f>IF(DATOS!$I13421="","",IFERROR(VLOOKUP(DATOS!$I13421,CONFIG_ASIGNATURAS!$B$2:$J$91,9,FALSE()),""))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IF(DATOS!$A13422="",0,IF(CONFIG_METADATA!$B$4&lt;&gt;"OR+EX",--(DATOS!$G13422=CONFIG_METADATA!$B$4),IF(DATOS!$G13422="EX",1,IF(DATOS!$G13422="OR",--(COUNTIFS(nNIA,DATOS!$A13422,nCURSO,DATOS!$D13422,nESPEC,DATOS!$E13422,nASIG,DATOS!$I13422,nEVAL,"EX")=0),0))))</f>
      </c>
      <c r="H13422">
        <f>IF(DATOS!$G13422&lt;&gt;"EX",0,--(COUNTIFS(nNIA,DATOS!$A13422,nCURSO,DATOS!$D13422,nESPEC,DATOS!$E13422,nASIG,DATOS!$I13422,nEVAL,"OR")=0))</f>
      </c>
      <c r="I13422">
        <f>IF(DATOS!$I13422="","",IFERROR(VLOOKUP(DATOS!$I13422,CONFIG_ASIGNATURAS!$B$2:$J$91,9,FALSE()),""))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IF(DATOS!$A13423="",0,IF(CONFIG_METADATA!$B$4&lt;&gt;"OR+EX",--(DATOS!$G13423=CONFIG_METADATA!$B$4),IF(DATOS!$G13423="EX",1,IF(DATOS!$G13423="OR",--(COUNTIFS(nNIA,DATOS!$A13423,nCURSO,DATOS!$D13423,nESPEC,DATOS!$E13423,nASIG,DATOS!$I13423,nEVAL,"EX")=0),0))))</f>
      </c>
      <c r="H13423">
        <f>IF(DATOS!$G13423&lt;&gt;"EX",0,--(COUNTIFS(nNIA,DATOS!$A13423,nCURSO,DATOS!$D13423,nESPEC,DATOS!$E13423,nASIG,DATOS!$I13423,nEVAL,"OR")=0))</f>
      </c>
      <c r="I13423">
        <f>IF(DATOS!$I13423="","",IFERROR(VLOOKUP(DATOS!$I13423,CONFIG_ASIGNATURAS!$B$2:$J$91,9,FALSE()),""))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IF(DATOS!$A13424="",0,IF(CONFIG_METADATA!$B$4&lt;&gt;"OR+EX",--(DATOS!$G13424=CONFIG_METADATA!$B$4),IF(DATOS!$G13424="EX",1,IF(DATOS!$G13424="OR",--(COUNTIFS(nNIA,DATOS!$A13424,nCURSO,DATOS!$D13424,nESPEC,DATOS!$E13424,nASIG,DATOS!$I13424,nEVAL,"EX")=0),0))))</f>
      </c>
      <c r="H13424">
        <f>IF(DATOS!$G13424&lt;&gt;"EX",0,--(COUNTIFS(nNIA,DATOS!$A13424,nCURSO,DATOS!$D13424,nESPEC,DATOS!$E13424,nASIG,DATOS!$I13424,nEVAL,"OR")=0))</f>
      </c>
      <c r="I13424">
        <f>IF(DATOS!$I13424="","",IFERROR(VLOOKUP(DATOS!$I13424,CONFIG_ASIGNATURAS!$B$2:$J$91,9,FALSE()),""))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IF(DATOS!$A13425="",0,IF(CONFIG_METADATA!$B$4&lt;&gt;"OR+EX",--(DATOS!$G13425=CONFIG_METADATA!$B$4),IF(DATOS!$G13425="EX",1,IF(DATOS!$G13425="OR",--(COUNTIFS(nNIA,DATOS!$A13425,nCURSO,DATOS!$D13425,nESPEC,DATOS!$E13425,nASIG,DATOS!$I13425,nEVAL,"EX")=0),0))))</f>
      </c>
      <c r="H13425">
        <f>IF(DATOS!$G13425&lt;&gt;"EX",0,--(COUNTIFS(nNIA,DATOS!$A13425,nCURSO,DATOS!$D13425,nESPEC,DATOS!$E13425,nASIG,DATOS!$I13425,nEVAL,"OR")=0))</f>
      </c>
      <c r="I13425">
        <f>IF(DATOS!$I13425="","",IFERROR(VLOOKUP(DATOS!$I13425,CONFIG_ASIGNATURAS!$B$2:$J$91,9,FALSE()),""))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IF(DATOS!$A13426="",0,IF(CONFIG_METADATA!$B$4&lt;&gt;"OR+EX",--(DATOS!$G13426=CONFIG_METADATA!$B$4),IF(DATOS!$G13426="EX",1,IF(DATOS!$G13426="OR",--(COUNTIFS(nNIA,DATOS!$A13426,nCURSO,DATOS!$D13426,nESPEC,DATOS!$E13426,nASIG,DATOS!$I13426,nEVAL,"EX")=0),0))))</f>
      </c>
      <c r="H13426">
        <f>IF(DATOS!$G13426&lt;&gt;"EX",0,--(COUNTIFS(nNIA,DATOS!$A13426,nCURSO,DATOS!$D13426,nESPEC,DATOS!$E13426,nASIG,DATOS!$I13426,nEVAL,"OR")=0))</f>
      </c>
      <c r="I13426">
        <f>IF(DATOS!$I13426="","",IFERROR(VLOOKUP(DATOS!$I13426,CONFIG_ASIGNATURAS!$B$2:$J$91,9,FALSE()),""))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IF(DATOS!$A13427="",0,IF(CONFIG_METADATA!$B$4&lt;&gt;"OR+EX",--(DATOS!$G13427=CONFIG_METADATA!$B$4),IF(DATOS!$G13427="EX",1,IF(DATOS!$G13427="OR",--(COUNTIFS(nNIA,DATOS!$A13427,nCURSO,DATOS!$D13427,nESPEC,DATOS!$E13427,nASIG,DATOS!$I13427,nEVAL,"EX")=0),0))))</f>
      </c>
      <c r="H13427">
        <f>IF(DATOS!$G13427&lt;&gt;"EX",0,--(COUNTIFS(nNIA,DATOS!$A13427,nCURSO,DATOS!$D13427,nESPEC,DATOS!$E13427,nASIG,DATOS!$I13427,nEVAL,"OR")=0))</f>
      </c>
      <c r="I13427">
        <f>IF(DATOS!$I13427="","",IFERROR(VLOOKUP(DATOS!$I13427,CONFIG_ASIGNATURAS!$B$2:$J$91,9,FALSE()),""))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IF(DATOS!$A13428="",0,IF(CONFIG_METADATA!$B$4&lt;&gt;"OR+EX",--(DATOS!$G13428=CONFIG_METADATA!$B$4),IF(DATOS!$G13428="EX",1,IF(DATOS!$G13428="OR",--(COUNTIFS(nNIA,DATOS!$A13428,nCURSO,DATOS!$D13428,nESPEC,DATOS!$E13428,nASIG,DATOS!$I13428,nEVAL,"EX")=0),0))))</f>
      </c>
      <c r="H13428">
        <f>IF(DATOS!$G13428&lt;&gt;"EX",0,--(COUNTIFS(nNIA,DATOS!$A13428,nCURSO,DATOS!$D13428,nESPEC,DATOS!$E13428,nASIG,DATOS!$I13428,nEVAL,"OR")=0))</f>
      </c>
      <c r="I13428">
        <f>IF(DATOS!$I13428="","",IFERROR(VLOOKUP(DATOS!$I13428,CONFIG_ASIGNATURAS!$B$2:$J$91,9,FALSE()),""))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IF(DATOS!$A13429="",0,IF(CONFIG_METADATA!$B$4&lt;&gt;"OR+EX",--(DATOS!$G13429=CONFIG_METADATA!$B$4),IF(DATOS!$G13429="EX",1,IF(DATOS!$G13429="OR",--(COUNTIFS(nNIA,DATOS!$A13429,nCURSO,DATOS!$D13429,nESPEC,DATOS!$E13429,nASIG,DATOS!$I13429,nEVAL,"EX")=0),0))))</f>
      </c>
      <c r="H13429">
        <f>IF(DATOS!$G13429&lt;&gt;"EX",0,--(COUNTIFS(nNIA,DATOS!$A13429,nCURSO,DATOS!$D13429,nESPEC,DATOS!$E13429,nASIG,DATOS!$I13429,nEVAL,"OR")=0))</f>
      </c>
      <c r="I13429">
        <f>IF(DATOS!$I13429="","",IFERROR(VLOOKUP(DATOS!$I13429,CONFIG_ASIGNATURAS!$B$2:$J$91,9,FALSE()),""))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IF(DATOS!$A13430="",0,IF(CONFIG_METADATA!$B$4&lt;&gt;"OR+EX",--(DATOS!$G13430=CONFIG_METADATA!$B$4),IF(DATOS!$G13430="EX",1,IF(DATOS!$G13430="OR",--(COUNTIFS(nNIA,DATOS!$A13430,nCURSO,DATOS!$D13430,nESPEC,DATOS!$E13430,nASIG,DATOS!$I13430,nEVAL,"EX")=0),0))))</f>
      </c>
      <c r="H13430">
        <f>IF(DATOS!$G13430&lt;&gt;"EX",0,--(COUNTIFS(nNIA,DATOS!$A13430,nCURSO,DATOS!$D13430,nESPEC,DATOS!$E13430,nASIG,DATOS!$I13430,nEVAL,"OR")=0))</f>
      </c>
      <c r="I13430">
        <f>IF(DATOS!$I13430="","",IFERROR(VLOOKUP(DATOS!$I13430,CONFIG_ASIGNATURAS!$B$2:$J$91,9,FALSE()),""))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IF(DATOS!$A13431="",0,IF(CONFIG_METADATA!$B$4&lt;&gt;"OR+EX",--(DATOS!$G13431=CONFIG_METADATA!$B$4),IF(DATOS!$G13431="EX",1,IF(DATOS!$G13431="OR",--(COUNTIFS(nNIA,DATOS!$A13431,nCURSO,DATOS!$D13431,nESPEC,DATOS!$E13431,nASIG,DATOS!$I13431,nEVAL,"EX")=0),0))))</f>
      </c>
      <c r="H13431">
        <f>IF(DATOS!$G13431&lt;&gt;"EX",0,--(COUNTIFS(nNIA,DATOS!$A13431,nCURSO,DATOS!$D13431,nESPEC,DATOS!$E13431,nASIG,DATOS!$I13431,nEVAL,"OR")=0))</f>
      </c>
      <c r="I13431">
        <f>IF(DATOS!$I13431="","",IFERROR(VLOOKUP(DATOS!$I13431,CONFIG_ASIGNATURAS!$B$2:$J$91,9,FALSE()),""))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IF(DATOS!$A13432="",0,IF(CONFIG_METADATA!$B$4&lt;&gt;"OR+EX",--(DATOS!$G13432=CONFIG_METADATA!$B$4),IF(DATOS!$G13432="EX",1,IF(DATOS!$G13432="OR",--(COUNTIFS(nNIA,DATOS!$A13432,nCURSO,DATOS!$D13432,nESPEC,DATOS!$E13432,nASIG,DATOS!$I13432,nEVAL,"EX")=0),0))))</f>
      </c>
      <c r="H13432">
        <f>IF(DATOS!$G13432&lt;&gt;"EX",0,--(COUNTIFS(nNIA,DATOS!$A13432,nCURSO,DATOS!$D13432,nESPEC,DATOS!$E13432,nASIG,DATOS!$I13432,nEVAL,"OR")=0))</f>
      </c>
      <c r="I13432">
        <f>IF(DATOS!$I13432="","",IFERROR(VLOOKUP(DATOS!$I13432,CONFIG_ASIGNATURAS!$B$2:$J$91,9,FALSE()),""))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IF(DATOS!$A13433="",0,IF(CONFIG_METADATA!$B$4&lt;&gt;"OR+EX",--(DATOS!$G13433=CONFIG_METADATA!$B$4),IF(DATOS!$G13433="EX",1,IF(DATOS!$G13433="OR",--(COUNTIFS(nNIA,DATOS!$A13433,nCURSO,DATOS!$D13433,nESPEC,DATOS!$E13433,nASIG,DATOS!$I13433,nEVAL,"EX")=0),0))))</f>
      </c>
      <c r="H13433">
        <f>IF(DATOS!$G13433&lt;&gt;"EX",0,--(COUNTIFS(nNIA,DATOS!$A13433,nCURSO,DATOS!$D13433,nESPEC,DATOS!$E13433,nASIG,DATOS!$I13433,nEVAL,"OR")=0))</f>
      </c>
      <c r="I13433">
        <f>IF(DATOS!$I13433="","",IFERROR(VLOOKUP(DATOS!$I13433,CONFIG_ASIGNATURAS!$B$2:$J$91,9,FALSE()),""))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IF(DATOS!$A13434="",0,IF(CONFIG_METADATA!$B$4&lt;&gt;"OR+EX",--(DATOS!$G13434=CONFIG_METADATA!$B$4),IF(DATOS!$G13434="EX",1,IF(DATOS!$G13434="OR",--(COUNTIFS(nNIA,DATOS!$A13434,nCURSO,DATOS!$D13434,nESPEC,DATOS!$E13434,nASIG,DATOS!$I13434,nEVAL,"EX")=0),0))))</f>
      </c>
      <c r="H13434">
        <f>IF(DATOS!$G13434&lt;&gt;"EX",0,--(COUNTIFS(nNIA,DATOS!$A13434,nCURSO,DATOS!$D13434,nESPEC,DATOS!$E13434,nASIG,DATOS!$I13434,nEVAL,"OR")=0))</f>
      </c>
      <c r="I13434">
        <f>IF(DATOS!$I13434="","",IFERROR(VLOOKUP(DATOS!$I13434,CONFIG_ASIGNATURAS!$B$2:$J$91,9,FALSE()),""))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IF(DATOS!$A13435="",0,IF(CONFIG_METADATA!$B$4&lt;&gt;"OR+EX",--(DATOS!$G13435=CONFIG_METADATA!$B$4),IF(DATOS!$G13435="EX",1,IF(DATOS!$G13435="OR",--(COUNTIFS(nNIA,DATOS!$A13435,nCURSO,DATOS!$D13435,nESPEC,DATOS!$E13435,nASIG,DATOS!$I13435,nEVAL,"EX")=0),0))))</f>
      </c>
      <c r="H13435">
        <f>IF(DATOS!$G13435&lt;&gt;"EX",0,--(COUNTIFS(nNIA,DATOS!$A13435,nCURSO,DATOS!$D13435,nESPEC,DATOS!$E13435,nASIG,DATOS!$I13435,nEVAL,"OR")=0))</f>
      </c>
      <c r="I13435">
        <f>IF(DATOS!$I13435="","",IFERROR(VLOOKUP(DATOS!$I13435,CONFIG_ASIGNATURAS!$B$2:$J$91,9,FALSE()),""))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IF(DATOS!$A13436="",0,IF(CONFIG_METADATA!$B$4&lt;&gt;"OR+EX",--(DATOS!$G13436=CONFIG_METADATA!$B$4),IF(DATOS!$G13436="EX",1,IF(DATOS!$G13436="OR",--(COUNTIFS(nNIA,DATOS!$A13436,nCURSO,DATOS!$D13436,nESPEC,DATOS!$E13436,nASIG,DATOS!$I13436,nEVAL,"EX")=0),0))))</f>
      </c>
      <c r="H13436">
        <f>IF(DATOS!$G13436&lt;&gt;"EX",0,--(COUNTIFS(nNIA,DATOS!$A13436,nCURSO,DATOS!$D13436,nESPEC,DATOS!$E13436,nASIG,DATOS!$I13436,nEVAL,"OR")=0))</f>
      </c>
      <c r="I13436">
        <f>IF(DATOS!$I13436="","",IFERROR(VLOOKUP(DATOS!$I13436,CONFIG_ASIGNATURAS!$B$2:$J$91,9,FALSE()),""))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IF(DATOS!$A13437="",0,IF(CONFIG_METADATA!$B$4&lt;&gt;"OR+EX",--(DATOS!$G13437=CONFIG_METADATA!$B$4),IF(DATOS!$G13437="EX",1,IF(DATOS!$G13437="OR",--(COUNTIFS(nNIA,DATOS!$A13437,nCURSO,DATOS!$D13437,nESPEC,DATOS!$E13437,nASIG,DATOS!$I13437,nEVAL,"EX")=0),0))))</f>
      </c>
      <c r="H13437">
        <f>IF(DATOS!$G13437&lt;&gt;"EX",0,--(COUNTIFS(nNIA,DATOS!$A13437,nCURSO,DATOS!$D13437,nESPEC,DATOS!$E13437,nASIG,DATOS!$I13437,nEVAL,"OR")=0))</f>
      </c>
      <c r="I13437">
        <f>IF(DATOS!$I13437="","",IFERROR(VLOOKUP(DATOS!$I13437,CONFIG_ASIGNATURAS!$B$2:$J$91,9,FALSE()),""))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IF(DATOS!$A13438="",0,IF(CONFIG_METADATA!$B$4&lt;&gt;"OR+EX",--(DATOS!$G13438=CONFIG_METADATA!$B$4),IF(DATOS!$G13438="EX",1,IF(DATOS!$G13438="OR",--(COUNTIFS(nNIA,DATOS!$A13438,nCURSO,DATOS!$D13438,nESPEC,DATOS!$E13438,nASIG,DATOS!$I13438,nEVAL,"EX")=0),0))))</f>
      </c>
      <c r="H13438">
        <f>IF(DATOS!$G13438&lt;&gt;"EX",0,--(COUNTIFS(nNIA,DATOS!$A13438,nCURSO,DATOS!$D13438,nESPEC,DATOS!$E13438,nASIG,DATOS!$I13438,nEVAL,"OR")=0))</f>
      </c>
      <c r="I13438">
        <f>IF(DATOS!$I13438="","",IFERROR(VLOOKUP(DATOS!$I13438,CONFIG_ASIGNATURAS!$B$2:$J$91,9,FALSE()),""))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IF(DATOS!$A13439="",0,IF(CONFIG_METADATA!$B$4&lt;&gt;"OR+EX",--(DATOS!$G13439=CONFIG_METADATA!$B$4),IF(DATOS!$G13439="EX",1,IF(DATOS!$G13439="OR",--(COUNTIFS(nNIA,DATOS!$A13439,nCURSO,DATOS!$D13439,nESPEC,DATOS!$E13439,nASIG,DATOS!$I13439,nEVAL,"EX")=0),0))))</f>
      </c>
      <c r="H13439">
        <f>IF(DATOS!$G13439&lt;&gt;"EX",0,--(COUNTIFS(nNIA,DATOS!$A13439,nCURSO,DATOS!$D13439,nESPEC,DATOS!$E13439,nASIG,DATOS!$I13439,nEVAL,"OR")=0))</f>
      </c>
      <c r="I13439">
        <f>IF(DATOS!$I13439="","",IFERROR(VLOOKUP(DATOS!$I13439,CONFIG_ASIGNATURAS!$B$2:$J$91,9,FALSE()),""))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IF(DATOS!$A13440="",0,IF(CONFIG_METADATA!$B$4&lt;&gt;"OR+EX",--(DATOS!$G13440=CONFIG_METADATA!$B$4),IF(DATOS!$G13440="EX",1,IF(DATOS!$G13440="OR",--(COUNTIFS(nNIA,DATOS!$A13440,nCURSO,DATOS!$D13440,nESPEC,DATOS!$E13440,nASIG,DATOS!$I13440,nEVAL,"EX")=0),0))))</f>
      </c>
      <c r="H13440">
        <f>IF(DATOS!$G13440&lt;&gt;"EX",0,--(COUNTIFS(nNIA,DATOS!$A13440,nCURSO,DATOS!$D13440,nESPEC,DATOS!$E13440,nASIG,DATOS!$I13440,nEVAL,"OR")=0))</f>
      </c>
      <c r="I13440">
        <f>IF(DATOS!$I13440="","",IFERROR(VLOOKUP(DATOS!$I13440,CONFIG_ASIGNATURAS!$B$2:$J$91,9,FALSE()),""))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IF(DATOS!$A13441="",0,IF(CONFIG_METADATA!$B$4&lt;&gt;"OR+EX",--(DATOS!$G13441=CONFIG_METADATA!$B$4),IF(DATOS!$G13441="EX",1,IF(DATOS!$G13441="OR",--(COUNTIFS(nNIA,DATOS!$A13441,nCURSO,DATOS!$D13441,nESPEC,DATOS!$E13441,nASIG,DATOS!$I13441,nEVAL,"EX")=0),0))))</f>
      </c>
      <c r="H13441">
        <f>IF(DATOS!$G13441&lt;&gt;"EX",0,--(COUNTIFS(nNIA,DATOS!$A13441,nCURSO,DATOS!$D13441,nESPEC,DATOS!$E13441,nASIG,DATOS!$I13441,nEVAL,"OR")=0))</f>
      </c>
      <c r="I13441">
        <f>IF(DATOS!$I13441="","",IFERROR(VLOOKUP(DATOS!$I13441,CONFIG_ASIGNATURAS!$B$2:$J$91,9,FALSE()),""))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IF(DATOS!$A13442="",0,IF(CONFIG_METADATA!$B$4&lt;&gt;"OR+EX",--(DATOS!$G13442=CONFIG_METADATA!$B$4),IF(DATOS!$G13442="EX",1,IF(DATOS!$G13442="OR",--(COUNTIFS(nNIA,DATOS!$A13442,nCURSO,DATOS!$D13442,nESPEC,DATOS!$E13442,nASIG,DATOS!$I13442,nEVAL,"EX")=0),0))))</f>
      </c>
      <c r="H13442">
        <f>IF(DATOS!$G13442&lt;&gt;"EX",0,--(COUNTIFS(nNIA,DATOS!$A13442,nCURSO,DATOS!$D13442,nESPEC,DATOS!$E13442,nASIG,DATOS!$I13442,nEVAL,"OR")=0))</f>
      </c>
      <c r="I13442">
        <f>IF(DATOS!$I13442="","",IFERROR(VLOOKUP(DATOS!$I13442,CONFIG_ASIGNATURAS!$B$2:$J$91,9,FALSE()),""))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IF(DATOS!$A13443="",0,IF(CONFIG_METADATA!$B$4&lt;&gt;"OR+EX",--(DATOS!$G13443=CONFIG_METADATA!$B$4),IF(DATOS!$G13443="EX",1,IF(DATOS!$G13443="OR",--(COUNTIFS(nNIA,DATOS!$A13443,nCURSO,DATOS!$D13443,nESPEC,DATOS!$E13443,nASIG,DATOS!$I13443,nEVAL,"EX")=0),0))))</f>
      </c>
      <c r="H13443">
        <f>IF(DATOS!$G13443&lt;&gt;"EX",0,--(COUNTIFS(nNIA,DATOS!$A13443,nCURSO,DATOS!$D13443,nESPEC,DATOS!$E13443,nASIG,DATOS!$I13443,nEVAL,"OR")=0))</f>
      </c>
      <c r="I13443">
        <f>IF(DATOS!$I13443="","",IFERROR(VLOOKUP(DATOS!$I13443,CONFIG_ASIGNATURAS!$B$2:$J$91,9,FALSE()),""))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IF(DATOS!$A13444="",0,IF(CONFIG_METADATA!$B$4&lt;&gt;"OR+EX",--(DATOS!$G13444=CONFIG_METADATA!$B$4),IF(DATOS!$G13444="EX",1,IF(DATOS!$G13444="OR",--(COUNTIFS(nNIA,DATOS!$A13444,nCURSO,DATOS!$D13444,nESPEC,DATOS!$E13444,nASIG,DATOS!$I13444,nEVAL,"EX")=0),0))))</f>
      </c>
      <c r="H13444">
        <f>IF(DATOS!$G13444&lt;&gt;"EX",0,--(COUNTIFS(nNIA,DATOS!$A13444,nCURSO,DATOS!$D13444,nESPEC,DATOS!$E13444,nASIG,DATOS!$I13444,nEVAL,"OR")=0))</f>
      </c>
      <c r="I13444">
        <f>IF(DATOS!$I13444="","",IFERROR(VLOOKUP(DATOS!$I13444,CONFIG_ASIGNATURAS!$B$2:$J$91,9,FALSE()),""))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IF(DATOS!$A13445="",0,IF(CONFIG_METADATA!$B$4&lt;&gt;"OR+EX",--(DATOS!$G13445=CONFIG_METADATA!$B$4),IF(DATOS!$G13445="EX",1,IF(DATOS!$G13445="OR",--(COUNTIFS(nNIA,DATOS!$A13445,nCURSO,DATOS!$D13445,nESPEC,DATOS!$E13445,nASIG,DATOS!$I13445,nEVAL,"EX")=0),0))))</f>
      </c>
      <c r="H13445">
        <f>IF(DATOS!$G13445&lt;&gt;"EX",0,--(COUNTIFS(nNIA,DATOS!$A13445,nCURSO,DATOS!$D13445,nESPEC,DATOS!$E13445,nASIG,DATOS!$I13445,nEVAL,"OR")=0))</f>
      </c>
      <c r="I13445">
        <f>IF(DATOS!$I13445="","",IFERROR(VLOOKUP(DATOS!$I13445,CONFIG_ASIGNATURAS!$B$2:$J$91,9,FALSE()),""))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IF(DATOS!$A13446="",0,IF(CONFIG_METADATA!$B$4&lt;&gt;"OR+EX",--(DATOS!$G13446=CONFIG_METADATA!$B$4),IF(DATOS!$G13446="EX",1,IF(DATOS!$G13446="OR",--(COUNTIFS(nNIA,DATOS!$A13446,nCURSO,DATOS!$D13446,nESPEC,DATOS!$E13446,nASIG,DATOS!$I13446,nEVAL,"EX")=0),0))))</f>
      </c>
      <c r="H13446">
        <f>IF(DATOS!$G13446&lt;&gt;"EX",0,--(COUNTIFS(nNIA,DATOS!$A13446,nCURSO,DATOS!$D13446,nESPEC,DATOS!$E13446,nASIG,DATOS!$I13446,nEVAL,"OR")=0))</f>
      </c>
      <c r="I13446">
        <f>IF(DATOS!$I13446="","",IFERROR(VLOOKUP(DATOS!$I13446,CONFIG_ASIGNATURAS!$B$2:$J$91,9,FALSE()),""))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IF(DATOS!$A13447="",0,IF(CONFIG_METADATA!$B$4&lt;&gt;"OR+EX",--(DATOS!$G13447=CONFIG_METADATA!$B$4),IF(DATOS!$G13447="EX",1,IF(DATOS!$G13447="OR",--(COUNTIFS(nNIA,DATOS!$A13447,nCURSO,DATOS!$D13447,nESPEC,DATOS!$E13447,nASIG,DATOS!$I13447,nEVAL,"EX")=0),0))))</f>
      </c>
      <c r="H13447">
        <f>IF(DATOS!$G13447&lt;&gt;"EX",0,--(COUNTIFS(nNIA,DATOS!$A13447,nCURSO,DATOS!$D13447,nESPEC,DATOS!$E13447,nASIG,DATOS!$I13447,nEVAL,"OR")=0))</f>
      </c>
      <c r="I13447">
        <f>IF(DATOS!$I13447="","",IFERROR(VLOOKUP(DATOS!$I13447,CONFIG_ASIGNATURAS!$B$2:$J$91,9,FALSE()),""))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IF(DATOS!$A13448="",0,IF(CONFIG_METADATA!$B$4&lt;&gt;"OR+EX",--(DATOS!$G13448=CONFIG_METADATA!$B$4),IF(DATOS!$G13448="EX",1,IF(DATOS!$G13448="OR",--(COUNTIFS(nNIA,DATOS!$A13448,nCURSO,DATOS!$D13448,nESPEC,DATOS!$E13448,nASIG,DATOS!$I13448,nEVAL,"EX")=0),0))))</f>
      </c>
      <c r="H13448">
        <f>IF(DATOS!$G13448&lt;&gt;"EX",0,--(COUNTIFS(nNIA,DATOS!$A13448,nCURSO,DATOS!$D13448,nESPEC,DATOS!$E13448,nASIG,DATOS!$I13448,nEVAL,"OR")=0))</f>
      </c>
      <c r="I13448">
        <f>IF(DATOS!$I13448="","",IFERROR(VLOOKUP(DATOS!$I13448,CONFIG_ASIGNATURAS!$B$2:$J$91,9,FALSE()),""))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IF(DATOS!$A13449="",0,IF(CONFIG_METADATA!$B$4&lt;&gt;"OR+EX",--(DATOS!$G13449=CONFIG_METADATA!$B$4),IF(DATOS!$G13449="EX",1,IF(DATOS!$G13449="OR",--(COUNTIFS(nNIA,DATOS!$A13449,nCURSO,DATOS!$D13449,nESPEC,DATOS!$E13449,nASIG,DATOS!$I13449,nEVAL,"EX")=0),0))))</f>
      </c>
      <c r="H13449">
        <f>IF(DATOS!$G13449&lt;&gt;"EX",0,--(COUNTIFS(nNIA,DATOS!$A13449,nCURSO,DATOS!$D13449,nESPEC,DATOS!$E13449,nASIG,DATOS!$I13449,nEVAL,"OR")=0))</f>
      </c>
      <c r="I13449">
        <f>IF(DATOS!$I13449="","",IFERROR(VLOOKUP(DATOS!$I13449,CONFIG_ASIGNATURAS!$B$2:$J$91,9,FALSE()),""))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IF(DATOS!$A13450="",0,IF(CONFIG_METADATA!$B$4&lt;&gt;"OR+EX",--(DATOS!$G13450=CONFIG_METADATA!$B$4),IF(DATOS!$G13450="EX",1,IF(DATOS!$G13450="OR",--(COUNTIFS(nNIA,DATOS!$A13450,nCURSO,DATOS!$D13450,nESPEC,DATOS!$E13450,nASIG,DATOS!$I13450,nEVAL,"EX")=0),0))))</f>
      </c>
      <c r="H13450">
        <f>IF(DATOS!$G13450&lt;&gt;"EX",0,--(COUNTIFS(nNIA,DATOS!$A13450,nCURSO,DATOS!$D13450,nESPEC,DATOS!$E13450,nASIG,DATOS!$I13450,nEVAL,"OR")=0))</f>
      </c>
      <c r="I13450">
        <f>IF(DATOS!$I13450="","",IFERROR(VLOOKUP(DATOS!$I13450,CONFIG_ASIGNATURAS!$B$2:$J$91,9,FALSE()),""))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IF(DATOS!$A13451="",0,IF(CONFIG_METADATA!$B$4&lt;&gt;"OR+EX",--(DATOS!$G13451=CONFIG_METADATA!$B$4),IF(DATOS!$G13451="EX",1,IF(DATOS!$G13451="OR",--(COUNTIFS(nNIA,DATOS!$A13451,nCURSO,DATOS!$D13451,nESPEC,DATOS!$E13451,nASIG,DATOS!$I13451,nEVAL,"EX")=0),0))))</f>
      </c>
      <c r="H13451">
        <f>IF(DATOS!$G13451&lt;&gt;"EX",0,--(COUNTIFS(nNIA,DATOS!$A13451,nCURSO,DATOS!$D13451,nESPEC,DATOS!$E13451,nASIG,DATOS!$I13451,nEVAL,"OR")=0))</f>
      </c>
      <c r="I13451">
        <f>IF(DATOS!$I13451="","",IFERROR(VLOOKUP(DATOS!$I13451,CONFIG_ASIGNATURAS!$B$2:$J$91,9,FALSE()),""))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IF(DATOS!$A13452="",0,IF(CONFIG_METADATA!$B$4&lt;&gt;"OR+EX",--(DATOS!$G13452=CONFIG_METADATA!$B$4),IF(DATOS!$G13452="EX",1,IF(DATOS!$G13452="OR",--(COUNTIFS(nNIA,DATOS!$A13452,nCURSO,DATOS!$D13452,nESPEC,DATOS!$E13452,nASIG,DATOS!$I13452,nEVAL,"EX")=0),0))))</f>
      </c>
      <c r="H13452">
        <f>IF(DATOS!$G13452&lt;&gt;"EX",0,--(COUNTIFS(nNIA,DATOS!$A13452,nCURSO,DATOS!$D13452,nESPEC,DATOS!$E13452,nASIG,DATOS!$I13452,nEVAL,"OR")=0))</f>
      </c>
      <c r="I13452">
        <f>IF(DATOS!$I13452="","",IFERROR(VLOOKUP(DATOS!$I13452,CONFIG_ASIGNATURAS!$B$2:$J$91,9,FALSE()),""))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IF(DATOS!$A13453="",0,IF(CONFIG_METADATA!$B$4&lt;&gt;"OR+EX",--(DATOS!$G13453=CONFIG_METADATA!$B$4),IF(DATOS!$G13453="EX",1,IF(DATOS!$G13453="OR",--(COUNTIFS(nNIA,DATOS!$A13453,nCURSO,DATOS!$D13453,nESPEC,DATOS!$E13453,nASIG,DATOS!$I13453,nEVAL,"EX")=0),0))))</f>
      </c>
      <c r="H13453">
        <f>IF(DATOS!$G13453&lt;&gt;"EX",0,--(COUNTIFS(nNIA,DATOS!$A13453,nCURSO,DATOS!$D13453,nESPEC,DATOS!$E13453,nASIG,DATOS!$I13453,nEVAL,"OR")=0))</f>
      </c>
      <c r="I13453">
        <f>IF(DATOS!$I13453="","",IFERROR(VLOOKUP(DATOS!$I13453,CONFIG_ASIGNATURAS!$B$2:$J$91,9,FALSE()),""))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IF(DATOS!$A13454="",0,IF(CONFIG_METADATA!$B$4&lt;&gt;"OR+EX",--(DATOS!$G13454=CONFIG_METADATA!$B$4),IF(DATOS!$G13454="EX",1,IF(DATOS!$G13454="OR",--(COUNTIFS(nNIA,DATOS!$A13454,nCURSO,DATOS!$D13454,nESPEC,DATOS!$E13454,nASIG,DATOS!$I13454,nEVAL,"EX")=0),0))))</f>
      </c>
      <c r="H13454">
        <f>IF(DATOS!$G13454&lt;&gt;"EX",0,--(COUNTIFS(nNIA,DATOS!$A13454,nCURSO,DATOS!$D13454,nESPEC,DATOS!$E13454,nASIG,DATOS!$I13454,nEVAL,"OR")=0))</f>
      </c>
      <c r="I13454">
        <f>IF(DATOS!$I13454="","",IFERROR(VLOOKUP(DATOS!$I13454,CONFIG_ASIGNATURAS!$B$2:$J$91,9,FALSE()),""))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IF(DATOS!$A13455="",0,IF(CONFIG_METADATA!$B$4&lt;&gt;"OR+EX",--(DATOS!$G13455=CONFIG_METADATA!$B$4),IF(DATOS!$G13455="EX",1,IF(DATOS!$G13455="OR",--(COUNTIFS(nNIA,DATOS!$A13455,nCURSO,DATOS!$D13455,nESPEC,DATOS!$E13455,nASIG,DATOS!$I13455,nEVAL,"EX")=0),0))))</f>
      </c>
      <c r="H13455">
        <f>IF(DATOS!$G13455&lt;&gt;"EX",0,--(COUNTIFS(nNIA,DATOS!$A13455,nCURSO,DATOS!$D13455,nESPEC,DATOS!$E13455,nASIG,DATOS!$I13455,nEVAL,"OR")=0))</f>
      </c>
      <c r="I13455">
        <f>IF(DATOS!$I13455="","",IFERROR(VLOOKUP(DATOS!$I13455,CONFIG_ASIGNATURAS!$B$2:$J$91,9,FALSE()),""))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IF(DATOS!$A13456="",0,IF(CONFIG_METADATA!$B$4&lt;&gt;"OR+EX",--(DATOS!$G13456=CONFIG_METADATA!$B$4),IF(DATOS!$G13456="EX",1,IF(DATOS!$G13456="OR",--(COUNTIFS(nNIA,DATOS!$A13456,nCURSO,DATOS!$D13456,nESPEC,DATOS!$E13456,nASIG,DATOS!$I13456,nEVAL,"EX")=0),0))))</f>
      </c>
      <c r="H13456">
        <f>IF(DATOS!$G13456&lt;&gt;"EX",0,--(COUNTIFS(nNIA,DATOS!$A13456,nCURSO,DATOS!$D13456,nESPEC,DATOS!$E13456,nASIG,DATOS!$I13456,nEVAL,"OR")=0))</f>
      </c>
      <c r="I13456">
        <f>IF(DATOS!$I13456="","",IFERROR(VLOOKUP(DATOS!$I13456,CONFIG_ASIGNATURAS!$B$2:$J$91,9,FALSE()),""))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IF(DATOS!$A13457="",0,IF(CONFIG_METADATA!$B$4&lt;&gt;"OR+EX",--(DATOS!$G13457=CONFIG_METADATA!$B$4),IF(DATOS!$G13457="EX",1,IF(DATOS!$G13457="OR",--(COUNTIFS(nNIA,DATOS!$A13457,nCURSO,DATOS!$D13457,nESPEC,DATOS!$E13457,nASIG,DATOS!$I13457,nEVAL,"EX")=0),0))))</f>
      </c>
      <c r="H13457">
        <f>IF(DATOS!$G13457&lt;&gt;"EX",0,--(COUNTIFS(nNIA,DATOS!$A13457,nCURSO,DATOS!$D13457,nESPEC,DATOS!$E13457,nASIG,DATOS!$I13457,nEVAL,"OR")=0))</f>
      </c>
      <c r="I13457">
        <f>IF(DATOS!$I13457="","",IFERROR(VLOOKUP(DATOS!$I13457,CONFIG_ASIGNATURAS!$B$2:$J$91,9,FALSE()),""))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IF(DATOS!$A13458="",0,IF(CONFIG_METADATA!$B$4&lt;&gt;"OR+EX",--(DATOS!$G13458=CONFIG_METADATA!$B$4),IF(DATOS!$G13458="EX",1,IF(DATOS!$G13458="OR",--(COUNTIFS(nNIA,DATOS!$A13458,nCURSO,DATOS!$D13458,nESPEC,DATOS!$E13458,nASIG,DATOS!$I13458,nEVAL,"EX")=0),0))))</f>
      </c>
      <c r="H13458">
        <f>IF(DATOS!$G13458&lt;&gt;"EX",0,--(COUNTIFS(nNIA,DATOS!$A13458,nCURSO,DATOS!$D13458,nESPEC,DATOS!$E13458,nASIG,DATOS!$I13458,nEVAL,"OR")=0))</f>
      </c>
      <c r="I13458">
        <f>IF(DATOS!$I13458="","",IFERROR(VLOOKUP(DATOS!$I13458,CONFIG_ASIGNATURAS!$B$2:$J$91,9,FALSE()),""))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IF(DATOS!$A13459="",0,IF(CONFIG_METADATA!$B$4&lt;&gt;"OR+EX",--(DATOS!$G13459=CONFIG_METADATA!$B$4),IF(DATOS!$G13459="EX",1,IF(DATOS!$G13459="OR",--(COUNTIFS(nNIA,DATOS!$A13459,nCURSO,DATOS!$D13459,nESPEC,DATOS!$E13459,nASIG,DATOS!$I13459,nEVAL,"EX")=0),0))))</f>
      </c>
      <c r="H13459">
        <f>IF(DATOS!$G13459&lt;&gt;"EX",0,--(COUNTIFS(nNIA,DATOS!$A13459,nCURSO,DATOS!$D13459,nESPEC,DATOS!$E13459,nASIG,DATOS!$I13459,nEVAL,"OR")=0))</f>
      </c>
      <c r="I13459">
        <f>IF(DATOS!$I13459="","",IFERROR(VLOOKUP(DATOS!$I13459,CONFIG_ASIGNATURAS!$B$2:$J$91,9,FALSE()),""))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IF(DATOS!$A13460="",0,IF(CONFIG_METADATA!$B$4&lt;&gt;"OR+EX",--(DATOS!$G13460=CONFIG_METADATA!$B$4),IF(DATOS!$G13460="EX",1,IF(DATOS!$G13460="OR",--(COUNTIFS(nNIA,DATOS!$A13460,nCURSO,DATOS!$D13460,nESPEC,DATOS!$E13460,nASIG,DATOS!$I13460,nEVAL,"EX")=0),0))))</f>
      </c>
      <c r="H13460">
        <f>IF(DATOS!$G13460&lt;&gt;"EX",0,--(COUNTIFS(nNIA,DATOS!$A13460,nCURSO,DATOS!$D13460,nESPEC,DATOS!$E13460,nASIG,DATOS!$I13460,nEVAL,"OR")=0))</f>
      </c>
      <c r="I13460">
        <f>IF(DATOS!$I13460="","",IFERROR(VLOOKUP(DATOS!$I13460,CONFIG_ASIGNATURAS!$B$2:$J$91,9,FALSE()),""))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IF(DATOS!$A13461="",0,IF(CONFIG_METADATA!$B$4&lt;&gt;"OR+EX",--(DATOS!$G13461=CONFIG_METADATA!$B$4),IF(DATOS!$G13461="EX",1,IF(DATOS!$G13461="OR",--(COUNTIFS(nNIA,DATOS!$A13461,nCURSO,DATOS!$D13461,nESPEC,DATOS!$E13461,nASIG,DATOS!$I13461,nEVAL,"EX")=0),0))))</f>
      </c>
      <c r="H13461">
        <f>IF(DATOS!$G13461&lt;&gt;"EX",0,--(COUNTIFS(nNIA,DATOS!$A13461,nCURSO,DATOS!$D13461,nESPEC,DATOS!$E13461,nASIG,DATOS!$I13461,nEVAL,"OR")=0))</f>
      </c>
      <c r="I13461">
        <f>IF(DATOS!$I13461="","",IFERROR(VLOOKUP(DATOS!$I13461,CONFIG_ASIGNATURAS!$B$2:$J$91,9,FALSE()),""))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IF(DATOS!$A13462="",0,IF(CONFIG_METADATA!$B$4&lt;&gt;"OR+EX",--(DATOS!$G13462=CONFIG_METADATA!$B$4),IF(DATOS!$G13462="EX",1,IF(DATOS!$G13462="OR",--(COUNTIFS(nNIA,DATOS!$A13462,nCURSO,DATOS!$D13462,nESPEC,DATOS!$E13462,nASIG,DATOS!$I13462,nEVAL,"EX")=0),0))))</f>
      </c>
      <c r="H13462">
        <f>IF(DATOS!$G13462&lt;&gt;"EX",0,--(COUNTIFS(nNIA,DATOS!$A13462,nCURSO,DATOS!$D13462,nESPEC,DATOS!$E13462,nASIG,DATOS!$I13462,nEVAL,"OR")=0))</f>
      </c>
      <c r="I13462">
        <f>IF(DATOS!$I13462="","",IFERROR(VLOOKUP(DATOS!$I13462,CONFIG_ASIGNATURAS!$B$2:$J$91,9,FALSE()),""))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IF(DATOS!$A13463="",0,IF(CONFIG_METADATA!$B$4&lt;&gt;"OR+EX",--(DATOS!$G13463=CONFIG_METADATA!$B$4),IF(DATOS!$G13463="EX",1,IF(DATOS!$G13463="OR",--(COUNTIFS(nNIA,DATOS!$A13463,nCURSO,DATOS!$D13463,nESPEC,DATOS!$E13463,nASIG,DATOS!$I13463,nEVAL,"EX")=0),0))))</f>
      </c>
      <c r="H13463">
        <f>IF(DATOS!$G13463&lt;&gt;"EX",0,--(COUNTIFS(nNIA,DATOS!$A13463,nCURSO,DATOS!$D13463,nESPEC,DATOS!$E13463,nASIG,DATOS!$I13463,nEVAL,"OR")=0))</f>
      </c>
      <c r="I13463">
        <f>IF(DATOS!$I13463="","",IFERROR(VLOOKUP(DATOS!$I13463,CONFIG_ASIGNATURAS!$B$2:$J$91,9,FALSE()),""))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IF(DATOS!$A13464="",0,IF(CONFIG_METADATA!$B$4&lt;&gt;"OR+EX",--(DATOS!$G13464=CONFIG_METADATA!$B$4),IF(DATOS!$G13464="EX",1,IF(DATOS!$G13464="OR",--(COUNTIFS(nNIA,DATOS!$A13464,nCURSO,DATOS!$D13464,nESPEC,DATOS!$E13464,nASIG,DATOS!$I13464,nEVAL,"EX")=0),0))))</f>
      </c>
      <c r="H13464">
        <f>IF(DATOS!$G13464&lt;&gt;"EX",0,--(COUNTIFS(nNIA,DATOS!$A13464,nCURSO,DATOS!$D13464,nESPEC,DATOS!$E13464,nASIG,DATOS!$I13464,nEVAL,"OR")=0))</f>
      </c>
      <c r="I13464">
        <f>IF(DATOS!$I13464="","",IFERROR(VLOOKUP(DATOS!$I13464,CONFIG_ASIGNATURAS!$B$2:$J$91,9,FALSE()),""))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IF(DATOS!$A13465="",0,IF(CONFIG_METADATA!$B$4&lt;&gt;"OR+EX",--(DATOS!$G13465=CONFIG_METADATA!$B$4),IF(DATOS!$G13465="EX",1,IF(DATOS!$G13465="OR",--(COUNTIFS(nNIA,DATOS!$A13465,nCURSO,DATOS!$D13465,nESPEC,DATOS!$E13465,nASIG,DATOS!$I13465,nEVAL,"EX")=0),0))))</f>
      </c>
      <c r="H13465">
        <f>IF(DATOS!$G13465&lt;&gt;"EX",0,--(COUNTIFS(nNIA,DATOS!$A13465,nCURSO,DATOS!$D13465,nESPEC,DATOS!$E13465,nASIG,DATOS!$I13465,nEVAL,"OR")=0))</f>
      </c>
      <c r="I13465">
        <f>IF(DATOS!$I13465="","",IFERROR(VLOOKUP(DATOS!$I13465,CONFIG_ASIGNATURAS!$B$2:$J$91,9,FALSE()),""))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IF(DATOS!$A13466="",0,IF(CONFIG_METADATA!$B$4&lt;&gt;"OR+EX",--(DATOS!$G13466=CONFIG_METADATA!$B$4),IF(DATOS!$G13466="EX",1,IF(DATOS!$G13466="OR",--(COUNTIFS(nNIA,DATOS!$A13466,nCURSO,DATOS!$D13466,nESPEC,DATOS!$E13466,nASIG,DATOS!$I13466,nEVAL,"EX")=0),0))))</f>
      </c>
      <c r="H13466">
        <f>IF(DATOS!$G13466&lt;&gt;"EX",0,--(COUNTIFS(nNIA,DATOS!$A13466,nCURSO,DATOS!$D13466,nESPEC,DATOS!$E13466,nASIG,DATOS!$I13466,nEVAL,"OR")=0))</f>
      </c>
      <c r="I13466">
        <f>IF(DATOS!$I13466="","",IFERROR(VLOOKUP(DATOS!$I13466,CONFIG_ASIGNATURAS!$B$2:$J$91,9,FALSE()),""))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IF(DATOS!$A13467="",0,IF(CONFIG_METADATA!$B$4&lt;&gt;"OR+EX",--(DATOS!$G13467=CONFIG_METADATA!$B$4),IF(DATOS!$G13467="EX",1,IF(DATOS!$G13467="OR",--(COUNTIFS(nNIA,DATOS!$A13467,nCURSO,DATOS!$D13467,nESPEC,DATOS!$E13467,nASIG,DATOS!$I13467,nEVAL,"EX")=0),0))))</f>
      </c>
      <c r="H13467">
        <f>IF(DATOS!$G13467&lt;&gt;"EX",0,--(COUNTIFS(nNIA,DATOS!$A13467,nCURSO,DATOS!$D13467,nESPEC,DATOS!$E13467,nASIG,DATOS!$I13467,nEVAL,"OR")=0))</f>
      </c>
      <c r="I13467">
        <f>IF(DATOS!$I13467="","",IFERROR(VLOOKUP(DATOS!$I13467,CONFIG_ASIGNATURAS!$B$2:$J$91,9,FALSE()),""))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IF(DATOS!$A13468="",0,IF(CONFIG_METADATA!$B$4&lt;&gt;"OR+EX",--(DATOS!$G13468=CONFIG_METADATA!$B$4),IF(DATOS!$G13468="EX",1,IF(DATOS!$G13468="OR",--(COUNTIFS(nNIA,DATOS!$A13468,nCURSO,DATOS!$D13468,nESPEC,DATOS!$E13468,nASIG,DATOS!$I13468,nEVAL,"EX")=0),0))))</f>
      </c>
      <c r="H13468">
        <f>IF(DATOS!$G13468&lt;&gt;"EX",0,--(COUNTIFS(nNIA,DATOS!$A13468,nCURSO,DATOS!$D13468,nESPEC,DATOS!$E13468,nASIG,DATOS!$I13468,nEVAL,"OR")=0))</f>
      </c>
      <c r="I13468">
        <f>IF(DATOS!$I13468="","",IFERROR(VLOOKUP(DATOS!$I13468,CONFIG_ASIGNATURAS!$B$2:$J$91,9,FALSE()),""))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IF(DATOS!$A13469="",0,IF(CONFIG_METADATA!$B$4&lt;&gt;"OR+EX",--(DATOS!$G13469=CONFIG_METADATA!$B$4),IF(DATOS!$G13469="EX",1,IF(DATOS!$G13469="OR",--(COUNTIFS(nNIA,DATOS!$A13469,nCURSO,DATOS!$D13469,nESPEC,DATOS!$E13469,nASIG,DATOS!$I13469,nEVAL,"EX")=0),0))))</f>
      </c>
      <c r="H13469">
        <f>IF(DATOS!$G13469&lt;&gt;"EX",0,--(COUNTIFS(nNIA,DATOS!$A13469,nCURSO,DATOS!$D13469,nESPEC,DATOS!$E13469,nASIG,DATOS!$I13469,nEVAL,"OR")=0))</f>
      </c>
      <c r="I13469">
        <f>IF(DATOS!$I13469="","",IFERROR(VLOOKUP(DATOS!$I13469,CONFIG_ASIGNATURAS!$B$2:$J$91,9,FALSE()),""))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IF(DATOS!$A13470="",0,IF(CONFIG_METADATA!$B$4&lt;&gt;"OR+EX",--(DATOS!$G13470=CONFIG_METADATA!$B$4),IF(DATOS!$G13470="EX",1,IF(DATOS!$G13470="OR",--(COUNTIFS(nNIA,DATOS!$A13470,nCURSO,DATOS!$D13470,nESPEC,DATOS!$E13470,nASIG,DATOS!$I13470,nEVAL,"EX")=0),0))))</f>
      </c>
      <c r="H13470">
        <f>IF(DATOS!$G13470&lt;&gt;"EX",0,--(COUNTIFS(nNIA,DATOS!$A13470,nCURSO,DATOS!$D13470,nESPEC,DATOS!$E13470,nASIG,DATOS!$I13470,nEVAL,"OR")=0))</f>
      </c>
      <c r="I13470">
        <f>IF(DATOS!$I13470="","",IFERROR(VLOOKUP(DATOS!$I13470,CONFIG_ASIGNATURAS!$B$2:$J$91,9,FALSE()),""))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IF(DATOS!$A13471="",0,IF(CONFIG_METADATA!$B$4&lt;&gt;"OR+EX",--(DATOS!$G13471=CONFIG_METADATA!$B$4),IF(DATOS!$G13471="EX",1,IF(DATOS!$G13471="OR",--(COUNTIFS(nNIA,DATOS!$A13471,nCURSO,DATOS!$D13471,nESPEC,DATOS!$E13471,nASIG,DATOS!$I13471,nEVAL,"EX")=0),0))))</f>
      </c>
      <c r="H13471">
        <f>IF(DATOS!$G13471&lt;&gt;"EX",0,--(COUNTIFS(nNIA,DATOS!$A13471,nCURSO,DATOS!$D13471,nESPEC,DATOS!$E13471,nASIG,DATOS!$I13471,nEVAL,"OR")=0))</f>
      </c>
      <c r="I13471">
        <f>IF(DATOS!$I13471="","",IFERROR(VLOOKUP(DATOS!$I13471,CONFIG_ASIGNATURAS!$B$2:$J$91,9,FALSE()),""))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IF(DATOS!$A13472="",0,IF(CONFIG_METADATA!$B$4&lt;&gt;"OR+EX",--(DATOS!$G13472=CONFIG_METADATA!$B$4),IF(DATOS!$G13472="EX",1,IF(DATOS!$G13472="OR",--(COUNTIFS(nNIA,DATOS!$A13472,nCURSO,DATOS!$D13472,nESPEC,DATOS!$E13472,nASIG,DATOS!$I13472,nEVAL,"EX")=0),0))))</f>
      </c>
      <c r="H13472">
        <f>IF(DATOS!$G13472&lt;&gt;"EX",0,--(COUNTIFS(nNIA,DATOS!$A13472,nCURSO,DATOS!$D13472,nESPEC,DATOS!$E13472,nASIG,DATOS!$I13472,nEVAL,"OR")=0))</f>
      </c>
      <c r="I13472">
        <f>IF(DATOS!$I13472="","",IFERROR(VLOOKUP(DATOS!$I13472,CONFIG_ASIGNATURAS!$B$2:$J$91,9,FALSE()),""))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IF(DATOS!$A13473="",0,IF(CONFIG_METADATA!$B$4&lt;&gt;"OR+EX",--(DATOS!$G13473=CONFIG_METADATA!$B$4),IF(DATOS!$G13473="EX",1,IF(DATOS!$G13473="OR",--(COUNTIFS(nNIA,DATOS!$A13473,nCURSO,DATOS!$D13473,nESPEC,DATOS!$E13473,nASIG,DATOS!$I13473,nEVAL,"EX")=0),0))))</f>
      </c>
      <c r="H13473">
        <f>IF(DATOS!$G13473&lt;&gt;"EX",0,--(COUNTIFS(nNIA,DATOS!$A13473,nCURSO,DATOS!$D13473,nESPEC,DATOS!$E13473,nASIG,DATOS!$I13473,nEVAL,"OR")=0))</f>
      </c>
      <c r="I13473">
        <f>IF(DATOS!$I13473="","",IFERROR(VLOOKUP(DATOS!$I13473,CONFIG_ASIGNATURAS!$B$2:$J$91,9,FALSE()),""))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IF(DATOS!$A13474="",0,IF(CONFIG_METADATA!$B$4&lt;&gt;"OR+EX",--(DATOS!$G13474=CONFIG_METADATA!$B$4),IF(DATOS!$G13474="EX",1,IF(DATOS!$G13474="OR",--(COUNTIFS(nNIA,DATOS!$A13474,nCURSO,DATOS!$D13474,nESPEC,DATOS!$E13474,nASIG,DATOS!$I13474,nEVAL,"EX")=0),0))))</f>
      </c>
      <c r="H13474">
        <f>IF(DATOS!$G13474&lt;&gt;"EX",0,--(COUNTIFS(nNIA,DATOS!$A13474,nCURSO,DATOS!$D13474,nESPEC,DATOS!$E13474,nASIG,DATOS!$I13474,nEVAL,"OR")=0))</f>
      </c>
      <c r="I13474">
        <f>IF(DATOS!$I13474="","",IFERROR(VLOOKUP(DATOS!$I13474,CONFIG_ASIGNATURAS!$B$2:$J$91,9,FALSE()),""))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IF(DATOS!$A13475="",0,IF(CONFIG_METADATA!$B$4&lt;&gt;"OR+EX",--(DATOS!$G13475=CONFIG_METADATA!$B$4),IF(DATOS!$G13475="EX",1,IF(DATOS!$G13475="OR",--(COUNTIFS(nNIA,DATOS!$A13475,nCURSO,DATOS!$D13475,nESPEC,DATOS!$E13475,nASIG,DATOS!$I13475,nEVAL,"EX")=0),0))))</f>
      </c>
      <c r="H13475">
        <f>IF(DATOS!$G13475&lt;&gt;"EX",0,--(COUNTIFS(nNIA,DATOS!$A13475,nCURSO,DATOS!$D13475,nESPEC,DATOS!$E13475,nASIG,DATOS!$I13475,nEVAL,"OR")=0))</f>
      </c>
      <c r="I13475">
        <f>IF(DATOS!$I13475="","",IFERROR(VLOOKUP(DATOS!$I13475,CONFIG_ASIGNATURAS!$B$2:$J$91,9,FALSE()),""))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IF(DATOS!$A13476="",0,IF(CONFIG_METADATA!$B$4&lt;&gt;"OR+EX",--(DATOS!$G13476=CONFIG_METADATA!$B$4),IF(DATOS!$G13476="EX",1,IF(DATOS!$G13476="OR",--(COUNTIFS(nNIA,DATOS!$A13476,nCURSO,DATOS!$D13476,nESPEC,DATOS!$E13476,nASIG,DATOS!$I13476,nEVAL,"EX")=0),0))))</f>
      </c>
      <c r="H13476">
        <f>IF(DATOS!$G13476&lt;&gt;"EX",0,--(COUNTIFS(nNIA,DATOS!$A13476,nCURSO,DATOS!$D13476,nESPEC,DATOS!$E13476,nASIG,DATOS!$I13476,nEVAL,"OR")=0))</f>
      </c>
      <c r="I13476">
        <f>IF(DATOS!$I13476="","",IFERROR(VLOOKUP(DATOS!$I13476,CONFIG_ASIGNATURAS!$B$2:$J$91,9,FALSE()),""))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IF(DATOS!$A13477="",0,IF(CONFIG_METADATA!$B$4&lt;&gt;"OR+EX",--(DATOS!$G13477=CONFIG_METADATA!$B$4),IF(DATOS!$G13477="EX",1,IF(DATOS!$G13477="OR",--(COUNTIFS(nNIA,DATOS!$A13477,nCURSO,DATOS!$D13477,nESPEC,DATOS!$E13477,nASIG,DATOS!$I13477,nEVAL,"EX")=0),0))))</f>
      </c>
      <c r="H13477">
        <f>IF(DATOS!$G13477&lt;&gt;"EX",0,--(COUNTIFS(nNIA,DATOS!$A13477,nCURSO,DATOS!$D13477,nESPEC,DATOS!$E13477,nASIG,DATOS!$I13477,nEVAL,"OR")=0))</f>
      </c>
      <c r="I13477">
        <f>IF(DATOS!$I13477="","",IFERROR(VLOOKUP(DATOS!$I13477,CONFIG_ASIGNATURAS!$B$2:$J$91,9,FALSE()),""))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IF(DATOS!$A13478="",0,IF(CONFIG_METADATA!$B$4&lt;&gt;"OR+EX",--(DATOS!$G13478=CONFIG_METADATA!$B$4),IF(DATOS!$G13478="EX",1,IF(DATOS!$G13478="OR",--(COUNTIFS(nNIA,DATOS!$A13478,nCURSO,DATOS!$D13478,nESPEC,DATOS!$E13478,nASIG,DATOS!$I13478,nEVAL,"EX")=0),0))))</f>
      </c>
      <c r="H13478">
        <f>IF(DATOS!$G13478&lt;&gt;"EX",0,--(COUNTIFS(nNIA,DATOS!$A13478,nCURSO,DATOS!$D13478,nESPEC,DATOS!$E13478,nASIG,DATOS!$I13478,nEVAL,"OR")=0))</f>
      </c>
      <c r="I13478">
        <f>IF(DATOS!$I13478="","",IFERROR(VLOOKUP(DATOS!$I13478,CONFIG_ASIGNATURAS!$B$2:$J$91,9,FALSE()),""))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IF(DATOS!$A13479="",0,IF(CONFIG_METADATA!$B$4&lt;&gt;"OR+EX",--(DATOS!$G13479=CONFIG_METADATA!$B$4),IF(DATOS!$G13479="EX",1,IF(DATOS!$G13479="OR",--(COUNTIFS(nNIA,DATOS!$A13479,nCURSO,DATOS!$D13479,nESPEC,DATOS!$E13479,nASIG,DATOS!$I13479,nEVAL,"EX")=0),0))))</f>
      </c>
      <c r="H13479">
        <f>IF(DATOS!$G13479&lt;&gt;"EX",0,--(COUNTIFS(nNIA,DATOS!$A13479,nCURSO,DATOS!$D13479,nESPEC,DATOS!$E13479,nASIG,DATOS!$I13479,nEVAL,"OR")=0))</f>
      </c>
      <c r="I13479">
        <f>IF(DATOS!$I13479="","",IFERROR(VLOOKUP(DATOS!$I13479,CONFIG_ASIGNATURAS!$B$2:$J$91,9,FALSE()),""))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IF(DATOS!$A13480="",0,IF(CONFIG_METADATA!$B$4&lt;&gt;"OR+EX",--(DATOS!$G13480=CONFIG_METADATA!$B$4),IF(DATOS!$G13480="EX",1,IF(DATOS!$G13480="OR",--(COUNTIFS(nNIA,DATOS!$A13480,nCURSO,DATOS!$D13480,nESPEC,DATOS!$E13480,nASIG,DATOS!$I13480,nEVAL,"EX")=0),0))))</f>
      </c>
      <c r="H13480">
        <f>IF(DATOS!$G13480&lt;&gt;"EX",0,--(COUNTIFS(nNIA,DATOS!$A13480,nCURSO,DATOS!$D13480,nESPEC,DATOS!$E13480,nASIG,DATOS!$I13480,nEVAL,"OR")=0))</f>
      </c>
      <c r="I13480">
        <f>IF(DATOS!$I13480="","",IFERROR(VLOOKUP(DATOS!$I13480,CONFIG_ASIGNATURAS!$B$2:$J$91,9,FALSE()),""))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IF(DATOS!$A13481="",0,IF(CONFIG_METADATA!$B$4&lt;&gt;"OR+EX",--(DATOS!$G13481=CONFIG_METADATA!$B$4),IF(DATOS!$G13481="EX",1,IF(DATOS!$G13481="OR",--(COUNTIFS(nNIA,DATOS!$A13481,nCURSO,DATOS!$D13481,nESPEC,DATOS!$E13481,nASIG,DATOS!$I13481,nEVAL,"EX")=0),0))))</f>
      </c>
      <c r="H13481">
        <f>IF(DATOS!$G13481&lt;&gt;"EX",0,--(COUNTIFS(nNIA,DATOS!$A13481,nCURSO,DATOS!$D13481,nESPEC,DATOS!$E13481,nASIG,DATOS!$I13481,nEVAL,"OR")=0))</f>
      </c>
      <c r="I13481">
        <f>IF(DATOS!$I13481="","",IFERROR(VLOOKUP(DATOS!$I13481,CONFIG_ASIGNATURAS!$B$2:$J$91,9,FALSE()),""))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IF(DATOS!$A13482="",0,IF(CONFIG_METADATA!$B$4&lt;&gt;"OR+EX",--(DATOS!$G13482=CONFIG_METADATA!$B$4),IF(DATOS!$G13482="EX",1,IF(DATOS!$G13482="OR",--(COUNTIFS(nNIA,DATOS!$A13482,nCURSO,DATOS!$D13482,nESPEC,DATOS!$E13482,nASIG,DATOS!$I13482,nEVAL,"EX")=0),0))))</f>
      </c>
      <c r="H13482">
        <f>IF(DATOS!$G13482&lt;&gt;"EX",0,--(COUNTIFS(nNIA,DATOS!$A13482,nCURSO,DATOS!$D13482,nESPEC,DATOS!$E13482,nASIG,DATOS!$I13482,nEVAL,"OR")=0))</f>
      </c>
      <c r="I13482">
        <f>IF(DATOS!$I13482="","",IFERROR(VLOOKUP(DATOS!$I13482,CONFIG_ASIGNATURAS!$B$2:$J$91,9,FALSE()),""))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IF(DATOS!$A13483="",0,IF(CONFIG_METADATA!$B$4&lt;&gt;"OR+EX",--(DATOS!$G13483=CONFIG_METADATA!$B$4),IF(DATOS!$G13483="EX",1,IF(DATOS!$G13483="OR",--(COUNTIFS(nNIA,DATOS!$A13483,nCURSO,DATOS!$D13483,nESPEC,DATOS!$E13483,nASIG,DATOS!$I13483,nEVAL,"EX")=0),0))))</f>
      </c>
      <c r="H13483">
        <f>IF(DATOS!$G13483&lt;&gt;"EX",0,--(COUNTIFS(nNIA,DATOS!$A13483,nCURSO,DATOS!$D13483,nESPEC,DATOS!$E13483,nASIG,DATOS!$I13483,nEVAL,"OR")=0))</f>
      </c>
      <c r="I13483">
        <f>IF(DATOS!$I13483="","",IFERROR(VLOOKUP(DATOS!$I13483,CONFIG_ASIGNATURAS!$B$2:$J$91,9,FALSE()),""))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IF(DATOS!$A13484="",0,IF(CONFIG_METADATA!$B$4&lt;&gt;"OR+EX",--(DATOS!$G13484=CONFIG_METADATA!$B$4),IF(DATOS!$G13484="EX",1,IF(DATOS!$G13484="OR",--(COUNTIFS(nNIA,DATOS!$A13484,nCURSO,DATOS!$D13484,nESPEC,DATOS!$E13484,nASIG,DATOS!$I13484,nEVAL,"EX")=0),0))))</f>
      </c>
      <c r="H13484">
        <f>IF(DATOS!$G13484&lt;&gt;"EX",0,--(COUNTIFS(nNIA,DATOS!$A13484,nCURSO,DATOS!$D13484,nESPEC,DATOS!$E13484,nASIG,DATOS!$I13484,nEVAL,"OR")=0))</f>
      </c>
      <c r="I13484">
        <f>IF(DATOS!$I13484="","",IFERROR(VLOOKUP(DATOS!$I13484,CONFIG_ASIGNATURAS!$B$2:$J$91,9,FALSE()),""))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IF(DATOS!$A13485="",0,IF(CONFIG_METADATA!$B$4&lt;&gt;"OR+EX",--(DATOS!$G13485=CONFIG_METADATA!$B$4),IF(DATOS!$G13485="EX",1,IF(DATOS!$G13485="OR",--(COUNTIFS(nNIA,DATOS!$A13485,nCURSO,DATOS!$D13485,nESPEC,DATOS!$E13485,nASIG,DATOS!$I13485,nEVAL,"EX")=0),0))))</f>
      </c>
      <c r="H13485">
        <f>IF(DATOS!$G13485&lt;&gt;"EX",0,--(COUNTIFS(nNIA,DATOS!$A13485,nCURSO,DATOS!$D13485,nESPEC,DATOS!$E13485,nASIG,DATOS!$I13485,nEVAL,"OR")=0))</f>
      </c>
      <c r="I13485">
        <f>IF(DATOS!$I13485="","",IFERROR(VLOOKUP(DATOS!$I13485,CONFIG_ASIGNATURAS!$B$2:$J$91,9,FALSE()),""))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IF(DATOS!$A13486="",0,IF(CONFIG_METADATA!$B$4&lt;&gt;"OR+EX",--(DATOS!$G13486=CONFIG_METADATA!$B$4),IF(DATOS!$G13486="EX",1,IF(DATOS!$G13486="OR",--(COUNTIFS(nNIA,DATOS!$A13486,nCURSO,DATOS!$D13486,nESPEC,DATOS!$E13486,nASIG,DATOS!$I13486,nEVAL,"EX")=0),0))))</f>
      </c>
      <c r="H13486">
        <f>IF(DATOS!$G13486&lt;&gt;"EX",0,--(COUNTIFS(nNIA,DATOS!$A13486,nCURSO,DATOS!$D13486,nESPEC,DATOS!$E13486,nASIG,DATOS!$I13486,nEVAL,"OR")=0))</f>
      </c>
      <c r="I13486">
        <f>IF(DATOS!$I13486="","",IFERROR(VLOOKUP(DATOS!$I13486,CONFIG_ASIGNATURAS!$B$2:$J$91,9,FALSE()),""))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IF(DATOS!$A13487="",0,IF(CONFIG_METADATA!$B$4&lt;&gt;"OR+EX",--(DATOS!$G13487=CONFIG_METADATA!$B$4),IF(DATOS!$G13487="EX",1,IF(DATOS!$G13487="OR",--(COUNTIFS(nNIA,DATOS!$A13487,nCURSO,DATOS!$D13487,nESPEC,DATOS!$E13487,nASIG,DATOS!$I13487,nEVAL,"EX")=0),0))))</f>
      </c>
      <c r="H13487">
        <f>IF(DATOS!$G13487&lt;&gt;"EX",0,--(COUNTIFS(nNIA,DATOS!$A13487,nCURSO,DATOS!$D13487,nESPEC,DATOS!$E13487,nASIG,DATOS!$I13487,nEVAL,"OR")=0))</f>
      </c>
      <c r="I13487">
        <f>IF(DATOS!$I13487="","",IFERROR(VLOOKUP(DATOS!$I13487,CONFIG_ASIGNATURAS!$B$2:$J$91,9,FALSE()),""))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IF(DATOS!$A13488="",0,IF(CONFIG_METADATA!$B$4&lt;&gt;"OR+EX",--(DATOS!$G13488=CONFIG_METADATA!$B$4),IF(DATOS!$G13488="EX",1,IF(DATOS!$G13488="OR",--(COUNTIFS(nNIA,DATOS!$A13488,nCURSO,DATOS!$D13488,nESPEC,DATOS!$E13488,nASIG,DATOS!$I13488,nEVAL,"EX")=0),0))))</f>
      </c>
      <c r="H13488">
        <f>IF(DATOS!$G13488&lt;&gt;"EX",0,--(COUNTIFS(nNIA,DATOS!$A13488,nCURSO,DATOS!$D13488,nESPEC,DATOS!$E13488,nASIG,DATOS!$I13488,nEVAL,"OR")=0))</f>
      </c>
      <c r="I13488">
        <f>IF(DATOS!$I13488="","",IFERROR(VLOOKUP(DATOS!$I13488,CONFIG_ASIGNATURAS!$B$2:$J$91,9,FALSE()),""))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IF(DATOS!$A13489="",0,IF(CONFIG_METADATA!$B$4&lt;&gt;"OR+EX",--(DATOS!$G13489=CONFIG_METADATA!$B$4),IF(DATOS!$G13489="EX",1,IF(DATOS!$G13489="OR",--(COUNTIFS(nNIA,DATOS!$A13489,nCURSO,DATOS!$D13489,nESPEC,DATOS!$E13489,nASIG,DATOS!$I13489,nEVAL,"EX")=0),0))))</f>
      </c>
      <c r="H13489">
        <f>IF(DATOS!$G13489&lt;&gt;"EX",0,--(COUNTIFS(nNIA,DATOS!$A13489,nCURSO,DATOS!$D13489,nESPEC,DATOS!$E13489,nASIG,DATOS!$I13489,nEVAL,"OR")=0))</f>
      </c>
      <c r="I13489">
        <f>IF(DATOS!$I13489="","",IFERROR(VLOOKUP(DATOS!$I13489,CONFIG_ASIGNATURAS!$B$2:$J$91,9,FALSE()),""))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IF(DATOS!$A13490="",0,IF(CONFIG_METADATA!$B$4&lt;&gt;"OR+EX",--(DATOS!$G13490=CONFIG_METADATA!$B$4),IF(DATOS!$G13490="EX",1,IF(DATOS!$G13490="OR",--(COUNTIFS(nNIA,DATOS!$A13490,nCURSO,DATOS!$D13490,nESPEC,DATOS!$E13490,nASIG,DATOS!$I13490,nEVAL,"EX")=0),0))))</f>
      </c>
      <c r="H13490">
        <f>IF(DATOS!$G13490&lt;&gt;"EX",0,--(COUNTIFS(nNIA,DATOS!$A13490,nCURSO,DATOS!$D13490,nESPEC,DATOS!$E13490,nASIG,DATOS!$I13490,nEVAL,"OR")=0))</f>
      </c>
      <c r="I13490">
        <f>IF(DATOS!$I13490="","",IFERROR(VLOOKUP(DATOS!$I13490,CONFIG_ASIGNATURAS!$B$2:$J$91,9,FALSE()),""))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IF(DATOS!$A13491="",0,IF(CONFIG_METADATA!$B$4&lt;&gt;"OR+EX",--(DATOS!$G13491=CONFIG_METADATA!$B$4),IF(DATOS!$G13491="EX",1,IF(DATOS!$G13491="OR",--(COUNTIFS(nNIA,DATOS!$A13491,nCURSO,DATOS!$D13491,nESPEC,DATOS!$E13491,nASIG,DATOS!$I13491,nEVAL,"EX")=0),0))))</f>
      </c>
      <c r="H13491">
        <f>IF(DATOS!$G13491&lt;&gt;"EX",0,--(COUNTIFS(nNIA,DATOS!$A13491,nCURSO,DATOS!$D13491,nESPEC,DATOS!$E13491,nASIG,DATOS!$I13491,nEVAL,"OR")=0))</f>
      </c>
      <c r="I13491">
        <f>IF(DATOS!$I13491="","",IFERROR(VLOOKUP(DATOS!$I13491,CONFIG_ASIGNATURAS!$B$2:$J$91,9,FALSE()),""))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IF(DATOS!$A13492="",0,IF(CONFIG_METADATA!$B$4&lt;&gt;"OR+EX",--(DATOS!$G13492=CONFIG_METADATA!$B$4),IF(DATOS!$G13492="EX",1,IF(DATOS!$G13492="OR",--(COUNTIFS(nNIA,DATOS!$A13492,nCURSO,DATOS!$D13492,nESPEC,DATOS!$E13492,nASIG,DATOS!$I13492,nEVAL,"EX")=0),0))))</f>
      </c>
      <c r="H13492">
        <f>IF(DATOS!$G13492&lt;&gt;"EX",0,--(COUNTIFS(nNIA,DATOS!$A13492,nCURSO,DATOS!$D13492,nESPEC,DATOS!$E13492,nASIG,DATOS!$I13492,nEVAL,"OR")=0))</f>
      </c>
      <c r="I13492">
        <f>IF(DATOS!$I13492="","",IFERROR(VLOOKUP(DATOS!$I13492,CONFIG_ASIGNATURAS!$B$2:$J$91,9,FALSE()),""))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IF(DATOS!$A13493="",0,IF(CONFIG_METADATA!$B$4&lt;&gt;"OR+EX",--(DATOS!$G13493=CONFIG_METADATA!$B$4),IF(DATOS!$G13493="EX",1,IF(DATOS!$G13493="OR",--(COUNTIFS(nNIA,DATOS!$A13493,nCURSO,DATOS!$D13493,nESPEC,DATOS!$E13493,nASIG,DATOS!$I13493,nEVAL,"EX")=0),0))))</f>
      </c>
      <c r="H13493">
        <f>IF(DATOS!$G13493&lt;&gt;"EX",0,--(COUNTIFS(nNIA,DATOS!$A13493,nCURSO,DATOS!$D13493,nESPEC,DATOS!$E13493,nASIG,DATOS!$I13493,nEVAL,"OR")=0))</f>
      </c>
      <c r="I13493">
        <f>IF(DATOS!$I13493="","",IFERROR(VLOOKUP(DATOS!$I13493,CONFIG_ASIGNATURAS!$B$2:$J$91,9,FALSE()),""))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IF(DATOS!$A13494="",0,IF(CONFIG_METADATA!$B$4&lt;&gt;"OR+EX",--(DATOS!$G13494=CONFIG_METADATA!$B$4),IF(DATOS!$G13494="EX",1,IF(DATOS!$G13494="OR",--(COUNTIFS(nNIA,DATOS!$A13494,nCURSO,DATOS!$D13494,nESPEC,DATOS!$E13494,nASIG,DATOS!$I13494,nEVAL,"EX")=0),0))))</f>
      </c>
      <c r="H13494">
        <f>IF(DATOS!$G13494&lt;&gt;"EX",0,--(COUNTIFS(nNIA,DATOS!$A13494,nCURSO,DATOS!$D13494,nESPEC,DATOS!$E13494,nASIG,DATOS!$I13494,nEVAL,"OR")=0))</f>
      </c>
      <c r="I13494">
        <f>IF(DATOS!$I13494="","",IFERROR(VLOOKUP(DATOS!$I13494,CONFIG_ASIGNATURAS!$B$2:$J$91,9,FALSE()),""))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IF(DATOS!$A13495="",0,IF(CONFIG_METADATA!$B$4&lt;&gt;"OR+EX",--(DATOS!$G13495=CONFIG_METADATA!$B$4),IF(DATOS!$G13495="EX",1,IF(DATOS!$G13495="OR",--(COUNTIFS(nNIA,DATOS!$A13495,nCURSO,DATOS!$D13495,nESPEC,DATOS!$E13495,nASIG,DATOS!$I13495,nEVAL,"EX")=0),0))))</f>
      </c>
      <c r="H13495">
        <f>IF(DATOS!$G13495&lt;&gt;"EX",0,--(COUNTIFS(nNIA,DATOS!$A13495,nCURSO,DATOS!$D13495,nESPEC,DATOS!$E13495,nASIG,DATOS!$I13495,nEVAL,"OR")=0))</f>
      </c>
      <c r="I13495">
        <f>IF(DATOS!$I13495="","",IFERROR(VLOOKUP(DATOS!$I13495,CONFIG_ASIGNATURAS!$B$2:$J$91,9,FALSE()),""))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IF(DATOS!$A13496="",0,IF(CONFIG_METADATA!$B$4&lt;&gt;"OR+EX",--(DATOS!$G13496=CONFIG_METADATA!$B$4),IF(DATOS!$G13496="EX",1,IF(DATOS!$G13496="OR",--(COUNTIFS(nNIA,DATOS!$A13496,nCURSO,DATOS!$D13496,nESPEC,DATOS!$E13496,nASIG,DATOS!$I13496,nEVAL,"EX")=0),0))))</f>
      </c>
      <c r="H13496">
        <f>IF(DATOS!$G13496&lt;&gt;"EX",0,--(COUNTIFS(nNIA,DATOS!$A13496,nCURSO,DATOS!$D13496,nESPEC,DATOS!$E13496,nASIG,DATOS!$I13496,nEVAL,"OR")=0))</f>
      </c>
      <c r="I13496">
        <f>IF(DATOS!$I13496="","",IFERROR(VLOOKUP(DATOS!$I13496,CONFIG_ASIGNATURAS!$B$2:$J$91,9,FALSE()),""))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IF(DATOS!$A13497="",0,IF(CONFIG_METADATA!$B$4&lt;&gt;"OR+EX",--(DATOS!$G13497=CONFIG_METADATA!$B$4),IF(DATOS!$G13497="EX",1,IF(DATOS!$G13497="OR",--(COUNTIFS(nNIA,DATOS!$A13497,nCURSO,DATOS!$D13497,nESPEC,DATOS!$E13497,nASIG,DATOS!$I13497,nEVAL,"EX")=0),0))))</f>
      </c>
      <c r="H13497">
        <f>IF(DATOS!$G13497&lt;&gt;"EX",0,--(COUNTIFS(nNIA,DATOS!$A13497,nCURSO,DATOS!$D13497,nESPEC,DATOS!$E13497,nASIG,DATOS!$I13497,nEVAL,"OR")=0))</f>
      </c>
      <c r="I13497">
        <f>IF(DATOS!$I13497="","",IFERROR(VLOOKUP(DATOS!$I13497,CONFIG_ASIGNATURAS!$B$2:$J$91,9,FALSE()),""))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IF(DATOS!$A13498="",0,IF(CONFIG_METADATA!$B$4&lt;&gt;"OR+EX",--(DATOS!$G13498=CONFIG_METADATA!$B$4),IF(DATOS!$G13498="EX",1,IF(DATOS!$G13498="OR",--(COUNTIFS(nNIA,DATOS!$A13498,nCURSO,DATOS!$D13498,nESPEC,DATOS!$E13498,nASIG,DATOS!$I13498,nEVAL,"EX")=0),0))))</f>
      </c>
      <c r="H13498">
        <f>IF(DATOS!$G13498&lt;&gt;"EX",0,--(COUNTIFS(nNIA,DATOS!$A13498,nCURSO,DATOS!$D13498,nESPEC,DATOS!$E13498,nASIG,DATOS!$I13498,nEVAL,"OR")=0))</f>
      </c>
      <c r="I13498">
        <f>IF(DATOS!$I13498="","",IFERROR(VLOOKUP(DATOS!$I13498,CONFIG_ASIGNATURAS!$B$2:$J$91,9,FALSE()),""))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IF(DATOS!$A13499="",0,IF(CONFIG_METADATA!$B$4&lt;&gt;"OR+EX",--(DATOS!$G13499=CONFIG_METADATA!$B$4),IF(DATOS!$G13499="EX",1,IF(DATOS!$G13499="OR",--(COUNTIFS(nNIA,DATOS!$A13499,nCURSO,DATOS!$D13499,nESPEC,DATOS!$E13499,nASIG,DATOS!$I13499,nEVAL,"EX")=0),0))))</f>
      </c>
      <c r="H13499">
        <f>IF(DATOS!$G13499&lt;&gt;"EX",0,--(COUNTIFS(nNIA,DATOS!$A13499,nCURSO,DATOS!$D13499,nESPEC,DATOS!$E13499,nASIG,DATOS!$I13499,nEVAL,"OR")=0))</f>
      </c>
      <c r="I13499">
        <f>IF(DATOS!$I13499="","",IFERROR(VLOOKUP(DATOS!$I13499,CONFIG_ASIGNATURAS!$B$2:$J$91,9,FALSE()),""))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IF(DATOS!$A13500="",0,IF(CONFIG_METADATA!$B$4&lt;&gt;"OR+EX",--(DATOS!$G13500=CONFIG_METADATA!$B$4),IF(DATOS!$G13500="EX",1,IF(DATOS!$G13500="OR",--(COUNTIFS(nNIA,DATOS!$A13500,nCURSO,DATOS!$D13500,nESPEC,DATOS!$E13500,nASIG,DATOS!$I13500,nEVAL,"EX")=0),0))))</f>
      </c>
      <c r="H13500">
        <f>IF(DATOS!$G13500&lt;&gt;"EX",0,--(COUNTIFS(nNIA,DATOS!$A13500,nCURSO,DATOS!$D13500,nESPEC,DATOS!$E13500,nASIG,DATOS!$I13500,nEVAL,"OR")=0))</f>
      </c>
      <c r="I13500">
        <f>IF(DATOS!$I13500="","",IFERROR(VLOOKUP(DATOS!$I13500,CONFIG_ASIGNATURAS!$B$2:$J$91,9,FALSE()),""))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IF(DATOS!$A13501="",0,IF(CONFIG_METADATA!$B$4&lt;&gt;"OR+EX",--(DATOS!$G13501=CONFIG_METADATA!$B$4),IF(DATOS!$G13501="EX",1,IF(DATOS!$G13501="OR",--(COUNTIFS(nNIA,DATOS!$A13501,nCURSO,DATOS!$D13501,nESPEC,DATOS!$E13501,nASIG,DATOS!$I13501,nEVAL,"EX")=0),0))))</f>
      </c>
      <c r="H13501">
        <f>IF(DATOS!$G13501&lt;&gt;"EX",0,--(COUNTIFS(nNIA,DATOS!$A13501,nCURSO,DATOS!$D13501,nESPEC,DATOS!$E13501,nASIG,DATOS!$I13501,nEVAL,"OR")=0))</f>
      </c>
      <c r="I13501">
        <f>IF(DATOS!$I13501="","",IFERROR(VLOOKUP(DATOS!$I13501,CONFIG_ASIGNATURAS!$B$2:$J$91,9,FALSE()),""))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IF(DATOS!$A13502="",0,IF(CONFIG_METADATA!$B$4&lt;&gt;"OR+EX",--(DATOS!$G13502=CONFIG_METADATA!$B$4),IF(DATOS!$G13502="EX",1,IF(DATOS!$G13502="OR",--(COUNTIFS(nNIA,DATOS!$A13502,nCURSO,DATOS!$D13502,nESPEC,DATOS!$E13502,nASIG,DATOS!$I13502,nEVAL,"EX")=0),0))))</f>
      </c>
      <c r="H13502">
        <f>IF(DATOS!$G13502&lt;&gt;"EX",0,--(COUNTIFS(nNIA,DATOS!$A13502,nCURSO,DATOS!$D13502,nESPEC,DATOS!$E13502,nASIG,DATOS!$I13502,nEVAL,"OR")=0))</f>
      </c>
      <c r="I13502">
        <f>IF(DATOS!$I13502="","",IFERROR(VLOOKUP(DATOS!$I13502,CONFIG_ASIGNATURAS!$B$2:$J$91,9,FALSE()),""))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IF(DATOS!$A13503="",0,IF(CONFIG_METADATA!$B$4&lt;&gt;"OR+EX",--(DATOS!$G13503=CONFIG_METADATA!$B$4),IF(DATOS!$G13503="EX",1,IF(DATOS!$G13503="OR",--(COUNTIFS(nNIA,DATOS!$A13503,nCURSO,DATOS!$D13503,nESPEC,DATOS!$E13503,nASIG,DATOS!$I13503,nEVAL,"EX")=0),0))))</f>
      </c>
      <c r="H13503">
        <f>IF(DATOS!$G13503&lt;&gt;"EX",0,--(COUNTIFS(nNIA,DATOS!$A13503,nCURSO,DATOS!$D13503,nESPEC,DATOS!$E13503,nASIG,DATOS!$I13503,nEVAL,"OR")=0))</f>
      </c>
      <c r="I13503">
        <f>IF(DATOS!$I13503="","",IFERROR(VLOOKUP(DATOS!$I13503,CONFIG_ASIGNATURAS!$B$2:$J$91,9,FALSE()),""))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IF(DATOS!$A13504="",0,IF(CONFIG_METADATA!$B$4&lt;&gt;"OR+EX",--(DATOS!$G13504=CONFIG_METADATA!$B$4),IF(DATOS!$G13504="EX",1,IF(DATOS!$G13504="OR",--(COUNTIFS(nNIA,DATOS!$A13504,nCURSO,DATOS!$D13504,nESPEC,DATOS!$E13504,nASIG,DATOS!$I13504,nEVAL,"EX")=0),0))))</f>
      </c>
      <c r="H13504">
        <f>IF(DATOS!$G13504&lt;&gt;"EX",0,--(COUNTIFS(nNIA,DATOS!$A13504,nCURSO,DATOS!$D13504,nESPEC,DATOS!$E13504,nASIG,DATOS!$I13504,nEVAL,"OR")=0))</f>
      </c>
      <c r="I13504">
        <f>IF(DATOS!$I13504="","",IFERROR(VLOOKUP(DATOS!$I13504,CONFIG_ASIGNATURAS!$B$2:$J$91,9,FALSE()),""))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IF(DATOS!$A13505="",0,IF(CONFIG_METADATA!$B$4&lt;&gt;"OR+EX",--(DATOS!$G13505=CONFIG_METADATA!$B$4),IF(DATOS!$G13505="EX",1,IF(DATOS!$G13505="OR",--(COUNTIFS(nNIA,DATOS!$A13505,nCURSO,DATOS!$D13505,nESPEC,DATOS!$E13505,nASIG,DATOS!$I13505,nEVAL,"EX")=0),0))))</f>
      </c>
      <c r="H13505">
        <f>IF(DATOS!$G13505&lt;&gt;"EX",0,--(COUNTIFS(nNIA,DATOS!$A13505,nCURSO,DATOS!$D13505,nESPEC,DATOS!$E13505,nASIG,DATOS!$I13505,nEVAL,"OR")=0))</f>
      </c>
      <c r="I13505">
        <f>IF(DATOS!$I13505="","",IFERROR(VLOOKUP(DATOS!$I13505,CONFIG_ASIGNATURAS!$B$2:$J$91,9,FALSE()),""))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IF(DATOS!$A13506="",0,IF(CONFIG_METADATA!$B$4&lt;&gt;"OR+EX",--(DATOS!$G13506=CONFIG_METADATA!$B$4),IF(DATOS!$G13506="EX",1,IF(DATOS!$G13506="OR",--(COUNTIFS(nNIA,DATOS!$A13506,nCURSO,DATOS!$D13506,nESPEC,DATOS!$E13506,nASIG,DATOS!$I13506,nEVAL,"EX")=0),0))))</f>
      </c>
      <c r="H13506">
        <f>IF(DATOS!$G13506&lt;&gt;"EX",0,--(COUNTIFS(nNIA,DATOS!$A13506,nCURSO,DATOS!$D13506,nESPEC,DATOS!$E13506,nASIG,DATOS!$I13506,nEVAL,"OR")=0))</f>
      </c>
      <c r="I13506">
        <f>IF(DATOS!$I13506="","",IFERROR(VLOOKUP(DATOS!$I13506,CONFIG_ASIGNATURAS!$B$2:$J$91,9,FALSE()),""))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IF(DATOS!$A13507="",0,IF(CONFIG_METADATA!$B$4&lt;&gt;"OR+EX",--(DATOS!$G13507=CONFIG_METADATA!$B$4),IF(DATOS!$G13507="EX",1,IF(DATOS!$G13507="OR",--(COUNTIFS(nNIA,DATOS!$A13507,nCURSO,DATOS!$D13507,nESPEC,DATOS!$E13507,nASIG,DATOS!$I13507,nEVAL,"EX")=0),0))))</f>
      </c>
      <c r="H13507">
        <f>IF(DATOS!$G13507&lt;&gt;"EX",0,--(COUNTIFS(nNIA,DATOS!$A13507,nCURSO,DATOS!$D13507,nESPEC,DATOS!$E13507,nASIG,DATOS!$I13507,nEVAL,"OR")=0))</f>
      </c>
      <c r="I13507">
        <f>IF(DATOS!$I13507="","",IFERROR(VLOOKUP(DATOS!$I13507,CONFIG_ASIGNATURAS!$B$2:$J$91,9,FALSE()),""))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IF(DATOS!$A13508="",0,IF(CONFIG_METADATA!$B$4&lt;&gt;"OR+EX",--(DATOS!$G13508=CONFIG_METADATA!$B$4),IF(DATOS!$G13508="EX",1,IF(DATOS!$G13508="OR",--(COUNTIFS(nNIA,DATOS!$A13508,nCURSO,DATOS!$D13508,nESPEC,DATOS!$E13508,nASIG,DATOS!$I13508,nEVAL,"EX")=0),0))))</f>
      </c>
      <c r="H13508">
        <f>IF(DATOS!$G13508&lt;&gt;"EX",0,--(COUNTIFS(nNIA,DATOS!$A13508,nCURSO,DATOS!$D13508,nESPEC,DATOS!$E13508,nASIG,DATOS!$I13508,nEVAL,"OR")=0))</f>
      </c>
      <c r="I13508">
        <f>IF(DATOS!$I13508="","",IFERROR(VLOOKUP(DATOS!$I13508,CONFIG_ASIGNATURAS!$B$2:$J$91,9,FALSE()),""))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IF(DATOS!$A13509="",0,IF(CONFIG_METADATA!$B$4&lt;&gt;"OR+EX",--(DATOS!$G13509=CONFIG_METADATA!$B$4),IF(DATOS!$G13509="EX",1,IF(DATOS!$G13509="OR",--(COUNTIFS(nNIA,DATOS!$A13509,nCURSO,DATOS!$D13509,nESPEC,DATOS!$E13509,nASIG,DATOS!$I13509,nEVAL,"EX")=0),0))))</f>
      </c>
      <c r="H13509">
        <f>IF(DATOS!$G13509&lt;&gt;"EX",0,--(COUNTIFS(nNIA,DATOS!$A13509,nCURSO,DATOS!$D13509,nESPEC,DATOS!$E13509,nASIG,DATOS!$I13509,nEVAL,"OR")=0))</f>
      </c>
      <c r="I13509">
        <f>IF(DATOS!$I13509="","",IFERROR(VLOOKUP(DATOS!$I13509,CONFIG_ASIGNATURAS!$B$2:$J$91,9,FALSE()),""))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IF(DATOS!$A13510="",0,IF(CONFIG_METADATA!$B$4&lt;&gt;"OR+EX",--(DATOS!$G13510=CONFIG_METADATA!$B$4),IF(DATOS!$G13510="EX",1,IF(DATOS!$G13510="OR",--(COUNTIFS(nNIA,DATOS!$A13510,nCURSO,DATOS!$D13510,nESPEC,DATOS!$E13510,nASIG,DATOS!$I13510,nEVAL,"EX")=0),0))))</f>
      </c>
      <c r="H13510">
        <f>IF(DATOS!$G13510&lt;&gt;"EX",0,--(COUNTIFS(nNIA,DATOS!$A13510,nCURSO,DATOS!$D13510,nESPEC,DATOS!$E13510,nASIG,DATOS!$I13510,nEVAL,"OR")=0))</f>
      </c>
      <c r="I13510">
        <f>IF(DATOS!$I13510="","",IFERROR(VLOOKUP(DATOS!$I13510,CONFIG_ASIGNATURAS!$B$2:$J$91,9,FALSE()),""))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IF(DATOS!$A13511="",0,IF(CONFIG_METADATA!$B$4&lt;&gt;"OR+EX",--(DATOS!$G13511=CONFIG_METADATA!$B$4),IF(DATOS!$G13511="EX",1,IF(DATOS!$G13511="OR",--(COUNTIFS(nNIA,DATOS!$A13511,nCURSO,DATOS!$D13511,nESPEC,DATOS!$E13511,nASIG,DATOS!$I13511,nEVAL,"EX")=0),0))))</f>
      </c>
      <c r="H13511">
        <f>IF(DATOS!$G13511&lt;&gt;"EX",0,--(COUNTIFS(nNIA,DATOS!$A13511,nCURSO,DATOS!$D13511,nESPEC,DATOS!$E13511,nASIG,DATOS!$I13511,nEVAL,"OR")=0))</f>
      </c>
      <c r="I13511">
        <f>IF(DATOS!$I13511="","",IFERROR(VLOOKUP(DATOS!$I13511,CONFIG_ASIGNATURAS!$B$2:$J$91,9,FALSE()),""))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IF(DATOS!$A13512="",0,IF(CONFIG_METADATA!$B$4&lt;&gt;"OR+EX",--(DATOS!$G13512=CONFIG_METADATA!$B$4),IF(DATOS!$G13512="EX",1,IF(DATOS!$G13512="OR",--(COUNTIFS(nNIA,DATOS!$A13512,nCURSO,DATOS!$D13512,nESPEC,DATOS!$E13512,nASIG,DATOS!$I13512,nEVAL,"EX")=0),0))))</f>
      </c>
      <c r="H13512">
        <f>IF(DATOS!$G13512&lt;&gt;"EX",0,--(COUNTIFS(nNIA,DATOS!$A13512,nCURSO,DATOS!$D13512,nESPEC,DATOS!$E13512,nASIG,DATOS!$I13512,nEVAL,"OR")=0))</f>
      </c>
      <c r="I13512">
        <f>IF(DATOS!$I13512="","",IFERROR(VLOOKUP(DATOS!$I13512,CONFIG_ASIGNATURAS!$B$2:$J$91,9,FALSE()),""))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IF(DATOS!$A13513="",0,IF(CONFIG_METADATA!$B$4&lt;&gt;"OR+EX",--(DATOS!$G13513=CONFIG_METADATA!$B$4),IF(DATOS!$G13513="EX",1,IF(DATOS!$G13513="OR",--(COUNTIFS(nNIA,DATOS!$A13513,nCURSO,DATOS!$D13513,nESPEC,DATOS!$E13513,nASIG,DATOS!$I13513,nEVAL,"EX")=0),0))))</f>
      </c>
      <c r="H13513">
        <f>IF(DATOS!$G13513&lt;&gt;"EX",0,--(COUNTIFS(nNIA,DATOS!$A13513,nCURSO,DATOS!$D13513,nESPEC,DATOS!$E13513,nASIG,DATOS!$I13513,nEVAL,"OR")=0))</f>
      </c>
      <c r="I13513">
        <f>IF(DATOS!$I13513="","",IFERROR(VLOOKUP(DATOS!$I13513,CONFIG_ASIGNATURAS!$B$2:$J$91,9,FALSE()),""))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IF(DATOS!$A13514="",0,IF(CONFIG_METADATA!$B$4&lt;&gt;"OR+EX",--(DATOS!$G13514=CONFIG_METADATA!$B$4),IF(DATOS!$G13514="EX",1,IF(DATOS!$G13514="OR",--(COUNTIFS(nNIA,DATOS!$A13514,nCURSO,DATOS!$D13514,nESPEC,DATOS!$E13514,nASIG,DATOS!$I13514,nEVAL,"EX")=0),0))))</f>
      </c>
      <c r="H13514">
        <f>IF(DATOS!$G13514&lt;&gt;"EX",0,--(COUNTIFS(nNIA,DATOS!$A13514,nCURSO,DATOS!$D13514,nESPEC,DATOS!$E13514,nASIG,DATOS!$I13514,nEVAL,"OR")=0))</f>
      </c>
      <c r="I13514">
        <f>IF(DATOS!$I13514="","",IFERROR(VLOOKUP(DATOS!$I13514,CONFIG_ASIGNATURAS!$B$2:$J$91,9,FALSE()),""))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IF(DATOS!$A13515="",0,IF(CONFIG_METADATA!$B$4&lt;&gt;"OR+EX",--(DATOS!$G13515=CONFIG_METADATA!$B$4),IF(DATOS!$G13515="EX",1,IF(DATOS!$G13515="OR",--(COUNTIFS(nNIA,DATOS!$A13515,nCURSO,DATOS!$D13515,nESPEC,DATOS!$E13515,nASIG,DATOS!$I13515,nEVAL,"EX")=0),0))))</f>
      </c>
      <c r="H13515">
        <f>IF(DATOS!$G13515&lt;&gt;"EX",0,--(COUNTIFS(nNIA,DATOS!$A13515,nCURSO,DATOS!$D13515,nESPEC,DATOS!$E13515,nASIG,DATOS!$I13515,nEVAL,"OR")=0))</f>
      </c>
      <c r="I13515">
        <f>IF(DATOS!$I13515="","",IFERROR(VLOOKUP(DATOS!$I13515,CONFIG_ASIGNATURAS!$B$2:$J$91,9,FALSE()),""))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IF(DATOS!$A13516="",0,IF(CONFIG_METADATA!$B$4&lt;&gt;"OR+EX",--(DATOS!$G13516=CONFIG_METADATA!$B$4),IF(DATOS!$G13516="EX",1,IF(DATOS!$G13516="OR",--(COUNTIFS(nNIA,DATOS!$A13516,nCURSO,DATOS!$D13516,nESPEC,DATOS!$E13516,nASIG,DATOS!$I13516,nEVAL,"EX")=0),0))))</f>
      </c>
      <c r="H13516">
        <f>IF(DATOS!$G13516&lt;&gt;"EX",0,--(COUNTIFS(nNIA,DATOS!$A13516,nCURSO,DATOS!$D13516,nESPEC,DATOS!$E13516,nASIG,DATOS!$I13516,nEVAL,"OR")=0))</f>
      </c>
      <c r="I13516">
        <f>IF(DATOS!$I13516="","",IFERROR(VLOOKUP(DATOS!$I13516,CONFIG_ASIGNATURAS!$B$2:$J$91,9,FALSE()),""))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IF(DATOS!$A13517="",0,IF(CONFIG_METADATA!$B$4&lt;&gt;"OR+EX",--(DATOS!$G13517=CONFIG_METADATA!$B$4),IF(DATOS!$G13517="EX",1,IF(DATOS!$G13517="OR",--(COUNTIFS(nNIA,DATOS!$A13517,nCURSO,DATOS!$D13517,nESPEC,DATOS!$E13517,nASIG,DATOS!$I13517,nEVAL,"EX")=0),0))))</f>
      </c>
      <c r="H13517">
        <f>IF(DATOS!$G13517&lt;&gt;"EX",0,--(COUNTIFS(nNIA,DATOS!$A13517,nCURSO,DATOS!$D13517,nESPEC,DATOS!$E13517,nASIG,DATOS!$I13517,nEVAL,"OR")=0))</f>
      </c>
      <c r="I13517">
        <f>IF(DATOS!$I13517="","",IFERROR(VLOOKUP(DATOS!$I13517,CONFIG_ASIGNATURAS!$B$2:$J$91,9,FALSE()),""))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IF(DATOS!$A13518="",0,IF(CONFIG_METADATA!$B$4&lt;&gt;"OR+EX",--(DATOS!$G13518=CONFIG_METADATA!$B$4),IF(DATOS!$G13518="EX",1,IF(DATOS!$G13518="OR",--(COUNTIFS(nNIA,DATOS!$A13518,nCURSO,DATOS!$D13518,nESPEC,DATOS!$E13518,nASIG,DATOS!$I13518,nEVAL,"EX")=0),0))))</f>
      </c>
      <c r="H13518">
        <f>IF(DATOS!$G13518&lt;&gt;"EX",0,--(COUNTIFS(nNIA,DATOS!$A13518,nCURSO,DATOS!$D13518,nESPEC,DATOS!$E13518,nASIG,DATOS!$I13518,nEVAL,"OR")=0))</f>
      </c>
      <c r="I13518">
        <f>IF(DATOS!$I13518="","",IFERROR(VLOOKUP(DATOS!$I13518,CONFIG_ASIGNATURAS!$B$2:$J$91,9,FALSE()),""))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IF(DATOS!$A13519="",0,IF(CONFIG_METADATA!$B$4&lt;&gt;"OR+EX",--(DATOS!$G13519=CONFIG_METADATA!$B$4),IF(DATOS!$G13519="EX",1,IF(DATOS!$G13519="OR",--(COUNTIFS(nNIA,DATOS!$A13519,nCURSO,DATOS!$D13519,nESPEC,DATOS!$E13519,nASIG,DATOS!$I13519,nEVAL,"EX")=0),0))))</f>
      </c>
      <c r="H13519">
        <f>IF(DATOS!$G13519&lt;&gt;"EX",0,--(COUNTIFS(nNIA,DATOS!$A13519,nCURSO,DATOS!$D13519,nESPEC,DATOS!$E13519,nASIG,DATOS!$I13519,nEVAL,"OR")=0))</f>
      </c>
      <c r="I13519">
        <f>IF(DATOS!$I13519="","",IFERROR(VLOOKUP(DATOS!$I13519,CONFIG_ASIGNATURAS!$B$2:$J$91,9,FALSE()),""))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IF(DATOS!$A13520="",0,IF(CONFIG_METADATA!$B$4&lt;&gt;"OR+EX",--(DATOS!$G13520=CONFIG_METADATA!$B$4),IF(DATOS!$G13520="EX",1,IF(DATOS!$G13520="OR",--(COUNTIFS(nNIA,DATOS!$A13520,nCURSO,DATOS!$D13520,nESPEC,DATOS!$E13520,nASIG,DATOS!$I13520,nEVAL,"EX")=0),0))))</f>
      </c>
      <c r="H13520">
        <f>IF(DATOS!$G13520&lt;&gt;"EX",0,--(COUNTIFS(nNIA,DATOS!$A13520,nCURSO,DATOS!$D13520,nESPEC,DATOS!$E13520,nASIG,DATOS!$I13520,nEVAL,"OR")=0))</f>
      </c>
      <c r="I13520">
        <f>IF(DATOS!$I13520="","",IFERROR(VLOOKUP(DATOS!$I13520,CONFIG_ASIGNATURAS!$B$2:$J$91,9,FALSE()),""))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IF(DATOS!$A13521="",0,IF(CONFIG_METADATA!$B$4&lt;&gt;"OR+EX",--(DATOS!$G13521=CONFIG_METADATA!$B$4),IF(DATOS!$G13521="EX",1,IF(DATOS!$G13521="OR",--(COUNTIFS(nNIA,DATOS!$A13521,nCURSO,DATOS!$D13521,nESPEC,DATOS!$E13521,nASIG,DATOS!$I13521,nEVAL,"EX")=0),0))))</f>
      </c>
      <c r="H13521">
        <f>IF(DATOS!$G13521&lt;&gt;"EX",0,--(COUNTIFS(nNIA,DATOS!$A13521,nCURSO,DATOS!$D13521,nESPEC,DATOS!$E13521,nASIG,DATOS!$I13521,nEVAL,"OR")=0))</f>
      </c>
      <c r="I13521">
        <f>IF(DATOS!$I13521="","",IFERROR(VLOOKUP(DATOS!$I13521,CONFIG_ASIGNATURAS!$B$2:$J$91,9,FALSE()),""))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IF(DATOS!$A13522="",0,IF(CONFIG_METADATA!$B$4&lt;&gt;"OR+EX",--(DATOS!$G13522=CONFIG_METADATA!$B$4),IF(DATOS!$G13522="EX",1,IF(DATOS!$G13522="OR",--(COUNTIFS(nNIA,DATOS!$A13522,nCURSO,DATOS!$D13522,nESPEC,DATOS!$E13522,nASIG,DATOS!$I13522,nEVAL,"EX")=0),0))))</f>
      </c>
      <c r="H13522">
        <f>IF(DATOS!$G13522&lt;&gt;"EX",0,--(COUNTIFS(nNIA,DATOS!$A13522,nCURSO,DATOS!$D13522,nESPEC,DATOS!$E13522,nASIG,DATOS!$I13522,nEVAL,"OR")=0))</f>
      </c>
      <c r="I13522">
        <f>IF(DATOS!$I13522="","",IFERROR(VLOOKUP(DATOS!$I13522,CONFIG_ASIGNATURAS!$B$2:$J$91,9,FALSE()),""))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IF(DATOS!$A13523="",0,IF(CONFIG_METADATA!$B$4&lt;&gt;"OR+EX",--(DATOS!$G13523=CONFIG_METADATA!$B$4),IF(DATOS!$G13523="EX",1,IF(DATOS!$G13523="OR",--(COUNTIFS(nNIA,DATOS!$A13523,nCURSO,DATOS!$D13523,nESPEC,DATOS!$E13523,nASIG,DATOS!$I13523,nEVAL,"EX")=0),0))))</f>
      </c>
      <c r="H13523">
        <f>IF(DATOS!$G13523&lt;&gt;"EX",0,--(COUNTIFS(nNIA,DATOS!$A13523,nCURSO,DATOS!$D13523,nESPEC,DATOS!$E13523,nASIG,DATOS!$I13523,nEVAL,"OR")=0))</f>
      </c>
      <c r="I13523">
        <f>IF(DATOS!$I13523="","",IFERROR(VLOOKUP(DATOS!$I13523,CONFIG_ASIGNATURAS!$B$2:$J$91,9,FALSE()),""))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IF(DATOS!$A13524="",0,IF(CONFIG_METADATA!$B$4&lt;&gt;"OR+EX",--(DATOS!$G13524=CONFIG_METADATA!$B$4),IF(DATOS!$G13524="EX",1,IF(DATOS!$G13524="OR",--(COUNTIFS(nNIA,DATOS!$A13524,nCURSO,DATOS!$D13524,nESPEC,DATOS!$E13524,nASIG,DATOS!$I13524,nEVAL,"EX")=0),0))))</f>
      </c>
      <c r="H13524">
        <f>IF(DATOS!$G13524&lt;&gt;"EX",0,--(COUNTIFS(nNIA,DATOS!$A13524,nCURSO,DATOS!$D13524,nESPEC,DATOS!$E13524,nASIG,DATOS!$I13524,nEVAL,"OR")=0))</f>
      </c>
      <c r="I13524">
        <f>IF(DATOS!$I13524="","",IFERROR(VLOOKUP(DATOS!$I13524,CONFIG_ASIGNATURAS!$B$2:$J$91,9,FALSE()),""))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IF(DATOS!$A13525="",0,IF(CONFIG_METADATA!$B$4&lt;&gt;"OR+EX",--(DATOS!$G13525=CONFIG_METADATA!$B$4),IF(DATOS!$G13525="EX",1,IF(DATOS!$G13525="OR",--(COUNTIFS(nNIA,DATOS!$A13525,nCURSO,DATOS!$D13525,nESPEC,DATOS!$E13525,nASIG,DATOS!$I13525,nEVAL,"EX")=0),0))))</f>
      </c>
      <c r="H13525">
        <f>IF(DATOS!$G13525&lt;&gt;"EX",0,--(COUNTIFS(nNIA,DATOS!$A13525,nCURSO,DATOS!$D13525,nESPEC,DATOS!$E13525,nASIG,DATOS!$I13525,nEVAL,"OR")=0))</f>
      </c>
      <c r="I13525">
        <f>IF(DATOS!$I13525="","",IFERROR(VLOOKUP(DATOS!$I13525,CONFIG_ASIGNATURAS!$B$2:$J$91,9,FALSE()),""))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IF(DATOS!$A13526="",0,IF(CONFIG_METADATA!$B$4&lt;&gt;"OR+EX",--(DATOS!$G13526=CONFIG_METADATA!$B$4),IF(DATOS!$G13526="EX",1,IF(DATOS!$G13526="OR",--(COUNTIFS(nNIA,DATOS!$A13526,nCURSO,DATOS!$D13526,nESPEC,DATOS!$E13526,nASIG,DATOS!$I13526,nEVAL,"EX")=0),0))))</f>
      </c>
      <c r="H13526">
        <f>IF(DATOS!$G13526&lt;&gt;"EX",0,--(COUNTIFS(nNIA,DATOS!$A13526,nCURSO,DATOS!$D13526,nESPEC,DATOS!$E13526,nASIG,DATOS!$I13526,nEVAL,"OR")=0))</f>
      </c>
      <c r="I13526">
        <f>IF(DATOS!$I13526="","",IFERROR(VLOOKUP(DATOS!$I13526,CONFIG_ASIGNATURAS!$B$2:$J$91,9,FALSE()),""))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IF(DATOS!$A13527="",0,IF(CONFIG_METADATA!$B$4&lt;&gt;"OR+EX",--(DATOS!$G13527=CONFIG_METADATA!$B$4),IF(DATOS!$G13527="EX",1,IF(DATOS!$G13527="OR",--(COUNTIFS(nNIA,DATOS!$A13527,nCURSO,DATOS!$D13527,nESPEC,DATOS!$E13527,nASIG,DATOS!$I13527,nEVAL,"EX")=0),0))))</f>
      </c>
      <c r="H13527">
        <f>IF(DATOS!$G13527&lt;&gt;"EX",0,--(COUNTIFS(nNIA,DATOS!$A13527,nCURSO,DATOS!$D13527,nESPEC,DATOS!$E13527,nASIG,DATOS!$I13527,nEVAL,"OR")=0))</f>
      </c>
      <c r="I13527">
        <f>IF(DATOS!$I13527="","",IFERROR(VLOOKUP(DATOS!$I13527,CONFIG_ASIGNATURAS!$B$2:$J$91,9,FALSE()),""))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IF(DATOS!$A13528="",0,IF(CONFIG_METADATA!$B$4&lt;&gt;"OR+EX",--(DATOS!$G13528=CONFIG_METADATA!$B$4),IF(DATOS!$G13528="EX",1,IF(DATOS!$G13528="OR",--(COUNTIFS(nNIA,DATOS!$A13528,nCURSO,DATOS!$D13528,nESPEC,DATOS!$E13528,nASIG,DATOS!$I13528,nEVAL,"EX")=0),0))))</f>
      </c>
      <c r="H13528">
        <f>IF(DATOS!$G13528&lt;&gt;"EX",0,--(COUNTIFS(nNIA,DATOS!$A13528,nCURSO,DATOS!$D13528,nESPEC,DATOS!$E13528,nASIG,DATOS!$I13528,nEVAL,"OR")=0))</f>
      </c>
      <c r="I13528">
        <f>IF(DATOS!$I13528="","",IFERROR(VLOOKUP(DATOS!$I13528,CONFIG_ASIGNATURAS!$B$2:$J$91,9,FALSE()),""))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IF(DATOS!$A13529="",0,IF(CONFIG_METADATA!$B$4&lt;&gt;"OR+EX",--(DATOS!$G13529=CONFIG_METADATA!$B$4),IF(DATOS!$G13529="EX",1,IF(DATOS!$G13529="OR",--(COUNTIFS(nNIA,DATOS!$A13529,nCURSO,DATOS!$D13529,nESPEC,DATOS!$E13529,nASIG,DATOS!$I13529,nEVAL,"EX")=0),0))))</f>
      </c>
      <c r="H13529">
        <f>IF(DATOS!$G13529&lt;&gt;"EX",0,--(COUNTIFS(nNIA,DATOS!$A13529,nCURSO,DATOS!$D13529,nESPEC,DATOS!$E13529,nASIG,DATOS!$I13529,nEVAL,"OR")=0))</f>
      </c>
      <c r="I13529">
        <f>IF(DATOS!$I13529="","",IFERROR(VLOOKUP(DATOS!$I13529,CONFIG_ASIGNATURAS!$B$2:$J$91,9,FALSE()),""))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IF(DATOS!$A13530="",0,IF(CONFIG_METADATA!$B$4&lt;&gt;"OR+EX",--(DATOS!$G13530=CONFIG_METADATA!$B$4),IF(DATOS!$G13530="EX",1,IF(DATOS!$G13530="OR",--(COUNTIFS(nNIA,DATOS!$A13530,nCURSO,DATOS!$D13530,nESPEC,DATOS!$E13530,nASIG,DATOS!$I13530,nEVAL,"EX")=0),0))))</f>
      </c>
      <c r="H13530">
        <f>IF(DATOS!$G13530&lt;&gt;"EX",0,--(COUNTIFS(nNIA,DATOS!$A13530,nCURSO,DATOS!$D13530,nESPEC,DATOS!$E13530,nASIG,DATOS!$I13530,nEVAL,"OR")=0))</f>
      </c>
      <c r="I13530">
        <f>IF(DATOS!$I13530="","",IFERROR(VLOOKUP(DATOS!$I13530,CONFIG_ASIGNATURAS!$B$2:$J$91,9,FALSE()),""))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IF(DATOS!$A13531="",0,IF(CONFIG_METADATA!$B$4&lt;&gt;"OR+EX",--(DATOS!$G13531=CONFIG_METADATA!$B$4),IF(DATOS!$G13531="EX",1,IF(DATOS!$G13531="OR",--(COUNTIFS(nNIA,DATOS!$A13531,nCURSO,DATOS!$D13531,nESPEC,DATOS!$E13531,nASIG,DATOS!$I13531,nEVAL,"EX")=0),0))))</f>
      </c>
      <c r="H13531">
        <f>IF(DATOS!$G13531&lt;&gt;"EX",0,--(COUNTIFS(nNIA,DATOS!$A13531,nCURSO,DATOS!$D13531,nESPEC,DATOS!$E13531,nASIG,DATOS!$I13531,nEVAL,"OR")=0))</f>
      </c>
      <c r="I13531">
        <f>IF(DATOS!$I13531="","",IFERROR(VLOOKUP(DATOS!$I13531,CONFIG_ASIGNATURAS!$B$2:$J$91,9,FALSE()),""))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IF(DATOS!$A13532="",0,IF(CONFIG_METADATA!$B$4&lt;&gt;"OR+EX",--(DATOS!$G13532=CONFIG_METADATA!$B$4),IF(DATOS!$G13532="EX",1,IF(DATOS!$G13532="OR",--(COUNTIFS(nNIA,DATOS!$A13532,nCURSO,DATOS!$D13532,nESPEC,DATOS!$E13532,nASIG,DATOS!$I13532,nEVAL,"EX")=0),0))))</f>
      </c>
      <c r="H13532">
        <f>IF(DATOS!$G13532&lt;&gt;"EX",0,--(COUNTIFS(nNIA,DATOS!$A13532,nCURSO,DATOS!$D13532,nESPEC,DATOS!$E13532,nASIG,DATOS!$I13532,nEVAL,"OR")=0))</f>
      </c>
      <c r="I13532">
        <f>IF(DATOS!$I13532="","",IFERROR(VLOOKUP(DATOS!$I13532,CONFIG_ASIGNATURAS!$B$2:$J$91,9,FALSE()),""))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IF(DATOS!$A13533="",0,IF(CONFIG_METADATA!$B$4&lt;&gt;"OR+EX",--(DATOS!$G13533=CONFIG_METADATA!$B$4),IF(DATOS!$G13533="EX",1,IF(DATOS!$G13533="OR",--(COUNTIFS(nNIA,DATOS!$A13533,nCURSO,DATOS!$D13533,nESPEC,DATOS!$E13533,nASIG,DATOS!$I13533,nEVAL,"EX")=0),0))))</f>
      </c>
      <c r="H13533">
        <f>IF(DATOS!$G13533&lt;&gt;"EX",0,--(COUNTIFS(nNIA,DATOS!$A13533,nCURSO,DATOS!$D13533,nESPEC,DATOS!$E13533,nASIG,DATOS!$I13533,nEVAL,"OR")=0))</f>
      </c>
      <c r="I13533">
        <f>IF(DATOS!$I13533="","",IFERROR(VLOOKUP(DATOS!$I13533,CONFIG_ASIGNATURAS!$B$2:$J$91,9,FALSE()),""))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IF(DATOS!$A13534="",0,IF(CONFIG_METADATA!$B$4&lt;&gt;"OR+EX",--(DATOS!$G13534=CONFIG_METADATA!$B$4),IF(DATOS!$G13534="EX",1,IF(DATOS!$G13534="OR",--(COUNTIFS(nNIA,DATOS!$A13534,nCURSO,DATOS!$D13534,nESPEC,DATOS!$E13534,nASIG,DATOS!$I13534,nEVAL,"EX")=0),0))))</f>
      </c>
      <c r="H13534">
        <f>IF(DATOS!$G13534&lt;&gt;"EX",0,--(COUNTIFS(nNIA,DATOS!$A13534,nCURSO,DATOS!$D13534,nESPEC,DATOS!$E13534,nASIG,DATOS!$I13534,nEVAL,"OR")=0))</f>
      </c>
      <c r="I13534">
        <f>IF(DATOS!$I13534="","",IFERROR(VLOOKUP(DATOS!$I13534,CONFIG_ASIGNATURAS!$B$2:$J$91,9,FALSE()),""))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IF(DATOS!$A13535="",0,IF(CONFIG_METADATA!$B$4&lt;&gt;"OR+EX",--(DATOS!$G13535=CONFIG_METADATA!$B$4),IF(DATOS!$G13535="EX",1,IF(DATOS!$G13535="OR",--(COUNTIFS(nNIA,DATOS!$A13535,nCURSO,DATOS!$D13535,nESPEC,DATOS!$E13535,nASIG,DATOS!$I13535,nEVAL,"EX")=0),0))))</f>
      </c>
      <c r="H13535">
        <f>IF(DATOS!$G13535&lt;&gt;"EX",0,--(COUNTIFS(nNIA,DATOS!$A13535,nCURSO,DATOS!$D13535,nESPEC,DATOS!$E13535,nASIG,DATOS!$I13535,nEVAL,"OR")=0))</f>
      </c>
      <c r="I13535">
        <f>IF(DATOS!$I13535="","",IFERROR(VLOOKUP(DATOS!$I13535,CONFIG_ASIGNATURAS!$B$2:$J$91,9,FALSE()),""))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IF(DATOS!$A13536="",0,IF(CONFIG_METADATA!$B$4&lt;&gt;"OR+EX",--(DATOS!$G13536=CONFIG_METADATA!$B$4),IF(DATOS!$G13536="EX",1,IF(DATOS!$G13536="OR",--(COUNTIFS(nNIA,DATOS!$A13536,nCURSO,DATOS!$D13536,nESPEC,DATOS!$E13536,nASIG,DATOS!$I13536,nEVAL,"EX")=0),0))))</f>
      </c>
      <c r="H13536">
        <f>IF(DATOS!$G13536&lt;&gt;"EX",0,--(COUNTIFS(nNIA,DATOS!$A13536,nCURSO,DATOS!$D13536,nESPEC,DATOS!$E13536,nASIG,DATOS!$I13536,nEVAL,"OR")=0))</f>
      </c>
      <c r="I13536">
        <f>IF(DATOS!$I13536="","",IFERROR(VLOOKUP(DATOS!$I13536,CONFIG_ASIGNATURAS!$B$2:$J$91,9,FALSE()),""))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IF(DATOS!$A13537="",0,IF(CONFIG_METADATA!$B$4&lt;&gt;"OR+EX",--(DATOS!$G13537=CONFIG_METADATA!$B$4),IF(DATOS!$G13537="EX",1,IF(DATOS!$G13537="OR",--(COUNTIFS(nNIA,DATOS!$A13537,nCURSO,DATOS!$D13537,nESPEC,DATOS!$E13537,nASIG,DATOS!$I13537,nEVAL,"EX")=0),0))))</f>
      </c>
      <c r="H13537">
        <f>IF(DATOS!$G13537&lt;&gt;"EX",0,--(COUNTIFS(nNIA,DATOS!$A13537,nCURSO,DATOS!$D13537,nESPEC,DATOS!$E13537,nASIG,DATOS!$I13537,nEVAL,"OR")=0))</f>
      </c>
      <c r="I13537">
        <f>IF(DATOS!$I13537="","",IFERROR(VLOOKUP(DATOS!$I13537,CONFIG_ASIGNATURAS!$B$2:$J$91,9,FALSE()),""))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IF(DATOS!$A13538="",0,IF(CONFIG_METADATA!$B$4&lt;&gt;"OR+EX",--(DATOS!$G13538=CONFIG_METADATA!$B$4),IF(DATOS!$G13538="EX",1,IF(DATOS!$G13538="OR",--(COUNTIFS(nNIA,DATOS!$A13538,nCURSO,DATOS!$D13538,nESPEC,DATOS!$E13538,nASIG,DATOS!$I13538,nEVAL,"EX")=0),0))))</f>
      </c>
      <c r="H13538">
        <f>IF(DATOS!$G13538&lt;&gt;"EX",0,--(COUNTIFS(nNIA,DATOS!$A13538,nCURSO,DATOS!$D13538,nESPEC,DATOS!$E13538,nASIG,DATOS!$I13538,nEVAL,"OR")=0))</f>
      </c>
      <c r="I13538">
        <f>IF(DATOS!$I13538="","",IFERROR(VLOOKUP(DATOS!$I13538,CONFIG_ASIGNATURAS!$B$2:$J$91,9,FALSE()),""))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IF(DATOS!$A13539="",0,IF(CONFIG_METADATA!$B$4&lt;&gt;"OR+EX",--(DATOS!$G13539=CONFIG_METADATA!$B$4),IF(DATOS!$G13539="EX",1,IF(DATOS!$G13539="OR",--(COUNTIFS(nNIA,DATOS!$A13539,nCURSO,DATOS!$D13539,nESPEC,DATOS!$E13539,nASIG,DATOS!$I13539,nEVAL,"EX")=0),0))))</f>
      </c>
      <c r="H13539">
        <f>IF(DATOS!$G13539&lt;&gt;"EX",0,--(COUNTIFS(nNIA,DATOS!$A13539,nCURSO,DATOS!$D13539,nESPEC,DATOS!$E13539,nASIG,DATOS!$I13539,nEVAL,"OR")=0))</f>
      </c>
      <c r="I13539">
        <f>IF(DATOS!$I13539="","",IFERROR(VLOOKUP(DATOS!$I13539,CONFIG_ASIGNATURAS!$B$2:$J$91,9,FALSE()),""))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IF(DATOS!$A13540="",0,IF(CONFIG_METADATA!$B$4&lt;&gt;"OR+EX",--(DATOS!$G13540=CONFIG_METADATA!$B$4),IF(DATOS!$G13540="EX",1,IF(DATOS!$G13540="OR",--(COUNTIFS(nNIA,DATOS!$A13540,nCURSO,DATOS!$D13540,nESPEC,DATOS!$E13540,nASIG,DATOS!$I13540,nEVAL,"EX")=0),0))))</f>
      </c>
      <c r="H13540">
        <f>IF(DATOS!$G13540&lt;&gt;"EX",0,--(COUNTIFS(nNIA,DATOS!$A13540,nCURSO,DATOS!$D13540,nESPEC,DATOS!$E13540,nASIG,DATOS!$I13540,nEVAL,"OR")=0))</f>
      </c>
      <c r="I13540">
        <f>IF(DATOS!$I13540="","",IFERROR(VLOOKUP(DATOS!$I13540,CONFIG_ASIGNATURAS!$B$2:$J$91,9,FALSE()),""))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IF(DATOS!$A13541="",0,IF(CONFIG_METADATA!$B$4&lt;&gt;"OR+EX",--(DATOS!$G13541=CONFIG_METADATA!$B$4),IF(DATOS!$G13541="EX",1,IF(DATOS!$G13541="OR",--(COUNTIFS(nNIA,DATOS!$A13541,nCURSO,DATOS!$D13541,nESPEC,DATOS!$E13541,nASIG,DATOS!$I13541,nEVAL,"EX")=0),0))))</f>
      </c>
      <c r="H13541">
        <f>IF(DATOS!$G13541&lt;&gt;"EX",0,--(COUNTIFS(nNIA,DATOS!$A13541,nCURSO,DATOS!$D13541,nESPEC,DATOS!$E13541,nASIG,DATOS!$I13541,nEVAL,"OR")=0))</f>
      </c>
      <c r="I13541">
        <f>IF(DATOS!$I13541="","",IFERROR(VLOOKUP(DATOS!$I13541,CONFIG_ASIGNATURAS!$B$2:$J$91,9,FALSE()),""))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IF(DATOS!$A13542="",0,IF(CONFIG_METADATA!$B$4&lt;&gt;"OR+EX",--(DATOS!$G13542=CONFIG_METADATA!$B$4),IF(DATOS!$G13542="EX",1,IF(DATOS!$G13542="OR",--(COUNTIFS(nNIA,DATOS!$A13542,nCURSO,DATOS!$D13542,nESPEC,DATOS!$E13542,nASIG,DATOS!$I13542,nEVAL,"EX")=0),0))))</f>
      </c>
      <c r="H13542">
        <f>IF(DATOS!$G13542&lt;&gt;"EX",0,--(COUNTIFS(nNIA,DATOS!$A13542,nCURSO,DATOS!$D13542,nESPEC,DATOS!$E13542,nASIG,DATOS!$I13542,nEVAL,"OR")=0))</f>
      </c>
      <c r="I13542">
        <f>IF(DATOS!$I13542="","",IFERROR(VLOOKUP(DATOS!$I13542,CONFIG_ASIGNATURAS!$B$2:$J$91,9,FALSE()),""))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IF(DATOS!$A13543="",0,IF(CONFIG_METADATA!$B$4&lt;&gt;"OR+EX",--(DATOS!$G13543=CONFIG_METADATA!$B$4),IF(DATOS!$G13543="EX",1,IF(DATOS!$G13543="OR",--(COUNTIFS(nNIA,DATOS!$A13543,nCURSO,DATOS!$D13543,nESPEC,DATOS!$E13543,nASIG,DATOS!$I13543,nEVAL,"EX")=0),0))))</f>
      </c>
      <c r="H13543">
        <f>IF(DATOS!$G13543&lt;&gt;"EX",0,--(COUNTIFS(nNIA,DATOS!$A13543,nCURSO,DATOS!$D13543,nESPEC,DATOS!$E13543,nASIG,DATOS!$I13543,nEVAL,"OR")=0))</f>
      </c>
      <c r="I13543">
        <f>IF(DATOS!$I13543="","",IFERROR(VLOOKUP(DATOS!$I13543,CONFIG_ASIGNATURAS!$B$2:$J$91,9,FALSE()),""))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IF(DATOS!$A13544="",0,IF(CONFIG_METADATA!$B$4&lt;&gt;"OR+EX",--(DATOS!$G13544=CONFIG_METADATA!$B$4),IF(DATOS!$G13544="EX",1,IF(DATOS!$G13544="OR",--(COUNTIFS(nNIA,DATOS!$A13544,nCURSO,DATOS!$D13544,nESPEC,DATOS!$E13544,nASIG,DATOS!$I13544,nEVAL,"EX")=0),0))))</f>
      </c>
      <c r="H13544">
        <f>IF(DATOS!$G13544&lt;&gt;"EX",0,--(COUNTIFS(nNIA,DATOS!$A13544,nCURSO,DATOS!$D13544,nESPEC,DATOS!$E13544,nASIG,DATOS!$I13544,nEVAL,"OR")=0))</f>
      </c>
      <c r="I13544">
        <f>IF(DATOS!$I13544="","",IFERROR(VLOOKUP(DATOS!$I13544,CONFIG_ASIGNATURAS!$B$2:$J$91,9,FALSE()),""))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IF(DATOS!$A13545="",0,IF(CONFIG_METADATA!$B$4&lt;&gt;"OR+EX",--(DATOS!$G13545=CONFIG_METADATA!$B$4),IF(DATOS!$G13545="EX",1,IF(DATOS!$G13545="OR",--(COUNTIFS(nNIA,DATOS!$A13545,nCURSO,DATOS!$D13545,nESPEC,DATOS!$E13545,nASIG,DATOS!$I13545,nEVAL,"EX")=0),0))))</f>
      </c>
      <c r="H13545">
        <f>IF(DATOS!$G13545&lt;&gt;"EX",0,--(COUNTIFS(nNIA,DATOS!$A13545,nCURSO,DATOS!$D13545,nESPEC,DATOS!$E13545,nASIG,DATOS!$I13545,nEVAL,"OR")=0))</f>
      </c>
      <c r="I13545">
        <f>IF(DATOS!$I13545="","",IFERROR(VLOOKUP(DATOS!$I13545,CONFIG_ASIGNATURAS!$B$2:$J$91,9,FALSE()),""))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IF(DATOS!$A13546="",0,IF(CONFIG_METADATA!$B$4&lt;&gt;"OR+EX",--(DATOS!$G13546=CONFIG_METADATA!$B$4),IF(DATOS!$G13546="EX",1,IF(DATOS!$G13546="OR",--(COUNTIFS(nNIA,DATOS!$A13546,nCURSO,DATOS!$D13546,nESPEC,DATOS!$E13546,nASIG,DATOS!$I13546,nEVAL,"EX")=0),0))))</f>
      </c>
      <c r="H13546">
        <f>IF(DATOS!$G13546&lt;&gt;"EX",0,--(COUNTIFS(nNIA,DATOS!$A13546,nCURSO,DATOS!$D13546,nESPEC,DATOS!$E13546,nASIG,DATOS!$I13546,nEVAL,"OR")=0))</f>
      </c>
      <c r="I13546">
        <f>IF(DATOS!$I13546="","",IFERROR(VLOOKUP(DATOS!$I13546,CONFIG_ASIGNATURAS!$B$2:$J$91,9,FALSE()),""))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IF(DATOS!$A13547="",0,IF(CONFIG_METADATA!$B$4&lt;&gt;"OR+EX",--(DATOS!$G13547=CONFIG_METADATA!$B$4),IF(DATOS!$G13547="EX",1,IF(DATOS!$G13547="OR",--(COUNTIFS(nNIA,DATOS!$A13547,nCURSO,DATOS!$D13547,nESPEC,DATOS!$E13547,nASIG,DATOS!$I13547,nEVAL,"EX")=0),0))))</f>
      </c>
      <c r="H13547">
        <f>IF(DATOS!$G13547&lt;&gt;"EX",0,--(COUNTIFS(nNIA,DATOS!$A13547,nCURSO,DATOS!$D13547,nESPEC,DATOS!$E13547,nASIG,DATOS!$I13547,nEVAL,"OR")=0))</f>
      </c>
      <c r="I13547">
        <f>IF(DATOS!$I13547="","",IFERROR(VLOOKUP(DATOS!$I13547,CONFIG_ASIGNATURAS!$B$2:$J$91,9,FALSE()),""))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IF(DATOS!$A13548="",0,IF(CONFIG_METADATA!$B$4&lt;&gt;"OR+EX",--(DATOS!$G13548=CONFIG_METADATA!$B$4),IF(DATOS!$G13548="EX",1,IF(DATOS!$G13548="OR",--(COUNTIFS(nNIA,DATOS!$A13548,nCURSO,DATOS!$D13548,nESPEC,DATOS!$E13548,nASIG,DATOS!$I13548,nEVAL,"EX")=0),0))))</f>
      </c>
      <c r="H13548">
        <f>IF(DATOS!$G13548&lt;&gt;"EX",0,--(COUNTIFS(nNIA,DATOS!$A13548,nCURSO,DATOS!$D13548,nESPEC,DATOS!$E13548,nASIG,DATOS!$I13548,nEVAL,"OR")=0))</f>
      </c>
      <c r="I13548">
        <f>IF(DATOS!$I13548="","",IFERROR(VLOOKUP(DATOS!$I13548,CONFIG_ASIGNATURAS!$B$2:$J$91,9,FALSE()),""))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IF(DATOS!$A13549="",0,IF(CONFIG_METADATA!$B$4&lt;&gt;"OR+EX",--(DATOS!$G13549=CONFIG_METADATA!$B$4),IF(DATOS!$G13549="EX",1,IF(DATOS!$G13549="OR",--(COUNTIFS(nNIA,DATOS!$A13549,nCURSO,DATOS!$D13549,nESPEC,DATOS!$E13549,nASIG,DATOS!$I13549,nEVAL,"EX")=0),0))))</f>
      </c>
      <c r="H13549">
        <f>IF(DATOS!$G13549&lt;&gt;"EX",0,--(COUNTIFS(nNIA,DATOS!$A13549,nCURSO,DATOS!$D13549,nESPEC,DATOS!$E13549,nASIG,DATOS!$I13549,nEVAL,"OR")=0))</f>
      </c>
      <c r="I13549">
        <f>IF(DATOS!$I13549="","",IFERROR(VLOOKUP(DATOS!$I13549,CONFIG_ASIGNATURAS!$B$2:$J$91,9,FALSE()),""))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IF(DATOS!$A13550="",0,IF(CONFIG_METADATA!$B$4&lt;&gt;"OR+EX",--(DATOS!$G13550=CONFIG_METADATA!$B$4),IF(DATOS!$G13550="EX",1,IF(DATOS!$G13550="OR",--(COUNTIFS(nNIA,DATOS!$A13550,nCURSO,DATOS!$D13550,nESPEC,DATOS!$E13550,nASIG,DATOS!$I13550,nEVAL,"EX")=0),0))))</f>
      </c>
      <c r="H13550">
        <f>IF(DATOS!$G13550&lt;&gt;"EX",0,--(COUNTIFS(nNIA,DATOS!$A13550,nCURSO,DATOS!$D13550,nESPEC,DATOS!$E13550,nASIG,DATOS!$I13550,nEVAL,"OR")=0))</f>
      </c>
      <c r="I13550">
        <f>IF(DATOS!$I13550="","",IFERROR(VLOOKUP(DATOS!$I13550,CONFIG_ASIGNATURAS!$B$2:$J$91,9,FALSE()),""))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IF(DATOS!$A13551="",0,IF(CONFIG_METADATA!$B$4&lt;&gt;"OR+EX",--(DATOS!$G13551=CONFIG_METADATA!$B$4),IF(DATOS!$G13551="EX",1,IF(DATOS!$G13551="OR",--(COUNTIFS(nNIA,DATOS!$A13551,nCURSO,DATOS!$D13551,nESPEC,DATOS!$E13551,nASIG,DATOS!$I13551,nEVAL,"EX")=0),0))))</f>
      </c>
      <c r="H13551">
        <f>IF(DATOS!$G13551&lt;&gt;"EX",0,--(COUNTIFS(nNIA,DATOS!$A13551,nCURSO,DATOS!$D13551,nESPEC,DATOS!$E13551,nASIG,DATOS!$I13551,nEVAL,"OR")=0))</f>
      </c>
      <c r="I13551">
        <f>IF(DATOS!$I13551="","",IFERROR(VLOOKUP(DATOS!$I13551,CONFIG_ASIGNATURAS!$B$2:$J$91,9,FALSE()),""))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IF(DATOS!$A13552="",0,IF(CONFIG_METADATA!$B$4&lt;&gt;"OR+EX",--(DATOS!$G13552=CONFIG_METADATA!$B$4),IF(DATOS!$G13552="EX",1,IF(DATOS!$G13552="OR",--(COUNTIFS(nNIA,DATOS!$A13552,nCURSO,DATOS!$D13552,nESPEC,DATOS!$E13552,nASIG,DATOS!$I13552,nEVAL,"EX")=0),0))))</f>
      </c>
      <c r="H13552">
        <f>IF(DATOS!$G13552&lt;&gt;"EX",0,--(COUNTIFS(nNIA,DATOS!$A13552,nCURSO,DATOS!$D13552,nESPEC,DATOS!$E13552,nASIG,DATOS!$I13552,nEVAL,"OR")=0))</f>
      </c>
      <c r="I13552">
        <f>IF(DATOS!$I13552="","",IFERROR(VLOOKUP(DATOS!$I13552,CONFIG_ASIGNATURAS!$B$2:$J$91,9,FALSE()),""))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IF(DATOS!$A13553="",0,IF(CONFIG_METADATA!$B$4&lt;&gt;"OR+EX",--(DATOS!$G13553=CONFIG_METADATA!$B$4),IF(DATOS!$G13553="EX",1,IF(DATOS!$G13553="OR",--(COUNTIFS(nNIA,DATOS!$A13553,nCURSO,DATOS!$D13553,nESPEC,DATOS!$E13553,nASIG,DATOS!$I13553,nEVAL,"EX")=0),0))))</f>
      </c>
      <c r="H13553">
        <f>IF(DATOS!$G13553&lt;&gt;"EX",0,--(COUNTIFS(nNIA,DATOS!$A13553,nCURSO,DATOS!$D13553,nESPEC,DATOS!$E13553,nASIG,DATOS!$I13553,nEVAL,"OR")=0))</f>
      </c>
      <c r="I13553">
        <f>IF(DATOS!$I13553="","",IFERROR(VLOOKUP(DATOS!$I13553,CONFIG_ASIGNATURAS!$B$2:$J$91,9,FALSE()),""))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IF(DATOS!$A13554="",0,IF(CONFIG_METADATA!$B$4&lt;&gt;"OR+EX",--(DATOS!$G13554=CONFIG_METADATA!$B$4),IF(DATOS!$G13554="EX",1,IF(DATOS!$G13554="OR",--(COUNTIFS(nNIA,DATOS!$A13554,nCURSO,DATOS!$D13554,nESPEC,DATOS!$E13554,nASIG,DATOS!$I13554,nEVAL,"EX")=0),0))))</f>
      </c>
      <c r="H13554">
        <f>IF(DATOS!$G13554&lt;&gt;"EX",0,--(COUNTIFS(nNIA,DATOS!$A13554,nCURSO,DATOS!$D13554,nESPEC,DATOS!$E13554,nASIG,DATOS!$I13554,nEVAL,"OR")=0))</f>
      </c>
      <c r="I13554">
        <f>IF(DATOS!$I13554="","",IFERROR(VLOOKUP(DATOS!$I13554,CONFIG_ASIGNATURAS!$B$2:$J$91,9,FALSE()),""))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IF(DATOS!$A13555="",0,IF(CONFIG_METADATA!$B$4&lt;&gt;"OR+EX",--(DATOS!$G13555=CONFIG_METADATA!$B$4),IF(DATOS!$G13555="EX",1,IF(DATOS!$G13555="OR",--(COUNTIFS(nNIA,DATOS!$A13555,nCURSO,DATOS!$D13555,nESPEC,DATOS!$E13555,nASIG,DATOS!$I13555,nEVAL,"EX")=0),0))))</f>
      </c>
      <c r="H13555">
        <f>IF(DATOS!$G13555&lt;&gt;"EX",0,--(COUNTIFS(nNIA,DATOS!$A13555,nCURSO,DATOS!$D13555,nESPEC,DATOS!$E13555,nASIG,DATOS!$I13555,nEVAL,"OR")=0))</f>
      </c>
      <c r="I13555">
        <f>IF(DATOS!$I13555="","",IFERROR(VLOOKUP(DATOS!$I13555,CONFIG_ASIGNATURAS!$B$2:$J$91,9,FALSE()),""))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IF(DATOS!$A13556="",0,IF(CONFIG_METADATA!$B$4&lt;&gt;"OR+EX",--(DATOS!$G13556=CONFIG_METADATA!$B$4),IF(DATOS!$G13556="EX",1,IF(DATOS!$G13556="OR",--(COUNTIFS(nNIA,DATOS!$A13556,nCURSO,DATOS!$D13556,nESPEC,DATOS!$E13556,nASIG,DATOS!$I13556,nEVAL,"EX")=0),0))))</f>
      </c>
      <c r="H13556">
        <f>IF(DATOS!$G13556&lt;&gt;"EX",0,--(COUNTIFS(nNIA,DATOS!$A13556,nCURSO,DATOS!$D13556,nESPEC,DATOS!$E13556,nASIG,DATOS!$I13556,nEVAL,"OR")=0))</f>
      </c>
      <c r="I13556">
        <f>IF(DATOS!$I13556="","",IFERROR(VLOOKUP(DATOS!$I13556,CONFIG_ASIGNATURAS!$B$2:$J$91,9,FALSE()),""))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IF(DATOS!$A13557="",0,IF(CONFIG_METADATA!$B$4&lt;&gt;"OR+EX",--(DATOS!$G13557=CONFIG_METADATA!$B$4),IF(DATOS!$G13557="EX",1,IF(DATOS!$G13557="OR",--(COUNTIFS(nNIA,DATOS!$A13557,nCURSO,DATOS!$D13557,nESPEC,DATOS!$E13557,nASIG,DATOS!$I13557,nEVAL,"EX")=0),0))))</f>
      </c>
      <c r="H13557">
        <f>IF(DATOS!$G13557&lt;&gt;"EX",0,--(COUNTIFS(nNIA,DATOS!$A13557,nCURSO,DATOS!$D13557,nESPEC,DATOS!$E13557,nASIG,DATOS!$I13557,nEVAL,"OR")=0))</f>
      </c>
      <c r="I13557">
        <f>IF(DATOS!$I13557="","",IFERROR(VLOOKUP(DATOS!$I13557,CONFIG_ASIGNATURAS!$B$2:$J$91,9,FALSE()),""))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IF(DATOS!$A13558="",0,IF(CONFIG_METADATA!$B$4&lt;&gt;"OR+EX",--(DATOS!$G13558=CONFIG_METADATA!$B$4),IF(DATOS!$G13558="EX",1,IF(DATOS!$G13558="OR",--(COUNTIFS(nNIA,DATOS!$A13558,nCURSO,DATOS!$D13558,nESPEC,DATOS!$E13558,nASIG,DATOS!$I13558,nEVAL,"EX")=0),0))))</f>
      </c>
      <c r="H13558">
        <f>IF(DATOS!$G13558&lt;&gt;"EX",0,--(COUNTIFS(nNIA,DATOS!$A13558,nCURSO,DATOS!$D13558,nESPEC,DATOS!$E13558,nASIG,DATOS!$I13558,nEVAL,"OR")=0))</f>
      </c>
      <c r="I13558">
        <f>IF(DATOS!$I13558="","",IFERROR(VLOOKUP(DATOS!$I13558,CONFIG_ASIGNATURAS!$B$2:$J$91,9,FALSE()),""))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IF(DATOS!$A13559="",0,IF(CONFIG_METADATA!$B$4&lt;&gt;"OR+EX",--(DATOS!$G13559=CONFIG_METADATA!$B$4),IF(DATOS!$G13559="EX",1,IF(DATOS!$G13559="OR",--(COUNTIFS(nNIA,DATOS!$A13559,nCURSO,DATOS!$D13559,nESPEC,DATOS!$E13559,nASIG,DATOS!$I13559,nEVAL,"EX")=0),0))))</f>
      </c>
      <c r="H13559">
        <f>IF(DATOS!$G13559&lt;&gt;"EX",0,--(COUNTIFS(nNIA,DATOS!$A13559,nCURSO,DATOS!$D13559,nESPEC,DATOS!$E13559,nASIG,DATOS!$I13559,nEVAL,"OR")=0))</f>
      </c>
      <c r="I13559">
        <f>IF(DATOS!$I13559="","",IFERROR(VLOOKUP(DATOS!$I13559,CONFIG_ASIGNATURAS!$B$2:$J$91,9,FALSE()),""))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IF(DATOS!$A13560="",0,IF(CONFIG_METADATA!$B$4&lt;&gt;"OR+EX",--(DATOS!$G13560=CONFIG_METADATA!$B$4),IF(DATOS!$G13560="EX",1,IF(DATOS!$G13560="OR",--(COUNTIFS(nNIA,DATOS!$A13560,nCURSO,DATOS!$D13560,nESPEC,DATOS!$E13560,nASIG,DATOS!$I13560,nEVAL,"EX")=0),0))))</f>
      </c>
      <c r="H13560">
        <f>IF(DATOS!$G13560&lt;&gt;"EX",0,--(COUNTIFS(nNIA,DATOS!$A13560,nCURSO,DATOS!$D13560,nESPEC,DATOS!$E13560,nASIG,DATOS!$I13560,nEVAL,"OR")=0))</f>
      </c>
      <c r="I13560">
        <f>IF(DATOS!$I13560="","",IFERROR(VLOOKUP(DATOS!$I13560,CONFIG_ASIGNATURAS!$B$2:$J$91,9,FALSE()),""))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IF(DATOS!$A13561="",0,IF(CONFIG_METADATA!$B$4&lt;&gt;"OR+EX",--(DATOS!$G13561=CONFIG_METADATA!$B$4),IF(DATOS!$G13561="EX",1,IF(DATOS!$G13561="OR",--(COUNTIFS(nNIA,DATOS!$A13561,nCURSO,DATOS!$D13561,nESPEC,DATOS!$E13561,nASIG,DATOS!$I13561,nEVAL,"EX")=0),0))))</f>
      </c>
      <c r="H13561">
        <f>IF(DATOS!$G13561&lt;&gt;"EX",0,--(COUNTIFS(nNIA,DATOS!$A13561,nCURSO,DATOS!$D13561,nESPEC,DATOS!$E13561,nASIG,DATOS!$I13561,nEVAL,"OR")=0))</f>
      </c>
      <c r="I13561">
        <f>IF(DATOS!$I13561="","",IFERROR(VLOOKUP(DATOS!$I13561,CONFIG_ASIGNATURAS!$B$2:$J$91,9,FALSE()),""))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IF(DATOS!$A13562="",0,IF(CONFIG_METADATA!$B$4&lt;&gt;"OR+EX",--(DATOS!$G13562=CONFIG_METADATA!$B$4),IF(DATOS!$G13562="EX",1,IF(DATOS!$G13562="OR",--(COUNTIFS(nNIA,DATOS!$A13562,nCURSO,DATOS!$D13562,nESPEC,DATOS!$E13562,nASIG,DATOS!$I13562,nEVAL,"EX")=0),0))))</f>
      </c>
      <c r="H13562">
        <f>IF(DATOS!$G13562&lt;&gt;"EX",0,--(COUNTIFS(nNIA,DATOS!$A13562,nCURSO,DATOS!$D13562,nESPEC,DATOS!$E13562,nASIG,DATOS!$I13562,nEVAL,"OR")=0))</f>
      </c>
      <c r="I13562">
        <f>IF(DATOS!$I13562="","",IFERROR(VLOOKUP(DATOS!$I13562,CONFIG_ASIGNATURAS!$B$2:$J$91,9,FALSE()),""))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IF(DATOS!$A13563="",0,IF(CONFIG_METADATA!$B$4&lt;&gt;"OR+EX",--(DATOS!$G13563=CONFIG_METADATA!$B$4),IF(DATOS!$G13563="EX",1,IF(DATOS!$G13563="OR",--(COUNTIFS(nNIA,DATOS!$A13563,nCURSO,DATOS!$D13563,nESPEC,DATOS!$E13563,nASIG,DATOS!$I13563,nEVAL,"EX")=0),0))))</f>
      </c>
      <c r="H13563">
        <f>IF(DATOS!$G13563&lt;&gt;"EX",0,--(COUNTIFS(nNIA,DATOS!$A13563,nCURSO,DATOS!$D13563,nESPEC,DATOS!$E13563,nASIG,DATOS!$I13563,nEVAL,"OR")=0))</f>
      </c>
      <c r="I13563">
        <f>IF(DATOS!$I13563="","",IFERROR(VLOOKUP(DATOS!$I13563,CONFIG_ASIGNATURAS!$B$2:$J$91,9,FALSE()),""))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IF(DATOS!$A13564="",0,IF(CONFIG_METADATA!$B$4&lt;&gt;"OR+EX",--(DATOS!$G13564=CONFIG_METADATA!$B$4),IF(DATOS!$G13564="EX",1,IF(DATOS!$G13564="OR",--(COUNTIFS(nNIA,DATOS!$A13564,nCURSO,DATOS!$D13564,nESPEC,DATOS!$E13564,nASIG,DATOS!$I13564,nEVAL,"EX")=0),0))))</f>
      </c>
      <c r="H13564">
        <f>IF(DATOS!$G13564&lt;&gt;"EX",0,--(COUNTIFS(nNIA,DATOS!$A13564,nCURSO,DATOS!$D13564,nESPEC,DATOS!$E13564,nASIG,DATOS!$I13564,nEVAL,"OR")=0))</f>
      </c>
      <c r="I13564">
        <f>IF(DATOS!$I13564="","",IFERROR(VLOOKUP(DATOS!$I13564,CONFIG_ASIGNATURAS!$B$2:$J$91,9,FALSE()),""))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IF(DATOS!$A13565="",0,IF(CONFIG_METADATA!$B$4&lt;&gt;"OR+EX",--(DATOS!$G13565=CONFIG_METADATA!$B$4),IF(DATOS!$G13565="EX",1,IF(DATOS!$G13565="OR",--(COUNTIFS(nNIA,DATOS!$A13565,nCURSO,DATOS!$D13565,nESPEC,DATOS!$E13565,nASIG,DATOS!$I13565,nEVAL,"EX")=0),0))))</f>
      </c>
      <c r="H13565">
        <f>IF(DATOS!$G13565&lt;&gt;"EX",0,--(COUNTIFS(nNIA,DATOS!$A13565,nCURSO,DATOS!$D13565,nESPEC,DATOS!$E13565,nASIG,DATOS!$I13565,nEVAL,"OR")=0))</f>
      </c>
      <c r="I13565">
        <f>IF(DATOS!$I13565="","",IFERROR(VLOOKUP(DATOS!$I13565,CONFIG_ASIGNATURAS!$B$2:$J$91,9,FALSE()),""))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IF(DATOS!$A13566="",0,IF(CONFIG_METADATA!$B$4&lt;&gt;"OR+EX",--(DATOS!$G13566=CONFIG_METADATA!$B$4),IF(DATOS!$G13566="EX",1,IF(DATOS!$G13566="OR",--(COUNTIFS(nNIA,DATOS!$A13566,nCURSO,DATOS!$D13566,nESPEC,DATOS!$E13566,nASIG,DATOS!$I13566,nEVAL,"EX")=0),0))))</f>
      </c>
      <c r="H13566">
        <f>IF(DATOS!$G13566&lt;&gt;"EX",0,--(COUNTIFS(nNIA,DATOS!$A13566,nCURSO,DATOS!$D13566,nESPEC,DATOS!$E13566,nASIG,DATOS!$I13566,nEVAL,"OR")=0))</f>
      </c>
      <c r="I13566">
        <f>IF(DATOS!$I13566="","",IFERROR(VLOOKUP(DATOS!$I13566,CONFIG_ASIGNATURAS!$B$2:$J$91,9,FALSE()),""))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IF(DATOS!$A13567="",0,IF(CONFIG_METADATA!$B$4&lt;&gt;"OR+EX",--(DATOS!$G13567=CONFIG_METADATA!$B$4),IF(DATOS!$G13567="EX",1,IF(DATOS!$G13567="OR",--(COUNTIFS(nNIA,DATOS!$A13567,nCURSO,DATOS!$D13567,nESPEC,DATOS!$E13567,nASIG,DATOS!$I13567,nEVAL,"EX")=0),0))))</f>
      </c>
      <c r="H13567">
        <f>IF(DATOS!$G13567&lt;&gt;"EX",0,--(COUNTIFS(nNIA,DATOS!$A13567,nCURSO,DATOS!$D13567,nESPEC,DATOS!$E13567,nASIG,DATOS!$I13567,nEVAL,"OR")=0))</f>
      </c>
      <c r="I13567">
        <f>IF(DATOS!$I13567="","",IFERROR(VLOOKUP(DATOS!$I13567,CONFIG_ASIGNATURAS!$B$2:$J$91,9,FALSE()),""))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IF(DATOS!$A13568="",0,IF(CONFIG_METADATA!$B$4&lt;&gt;"OR+EX",--(DATOS!$G13568=CONFIG_METADATA!$B$4),IF(DATOS!$G13568="EX",1,IF(DATOS!$G13568="OR",--(COUNTIFS(nNIA,DATOS!$A13568,nCURSO,DATOS!$D13568,nESPEC,DATOS!$E13568,nASIG,DATOS!$I13568,nEVAL,"EX")=0),0))))</f>
      </c>
      <c r="H13568">
        <f>IF(DATOS!$G13568&lt;&gt;"EX",0,--(COUNTIFS(nNIA,DATOS!$A13568,nCURSO,DATOS!$D13568,nESPEC,DATOS!$E13568,nASIG,DATOS!$I13568,nEVAL,"OR")=0))</f>
      </c>
      <c r="I13568">
        <f>IF(DATOS!$I13568="","",IFERROR(VLOOKUP(DATOS!$I13568,CONFIG_ASIGNATURAS!$B$2:$J$91,9,FALSE()),""))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IF(DATOS!$A13569="",0,IF(CONFIG_METADATA!$B$4&lt;&gt;"OR+EX",--(DATOS!$G13569=CONFIG_METADATA!$B$4),IF(DATOS!$G13569="EX",1,IF(DATOS!$G13569="OR",--(COUNTIFS(nNIA,DATOS!$A13569,nCURSO,DATOS!$D13569,nESPEC,DATOS!$E13569,nASIG,DATOS!$I13569,nEVAL,"EX")=0),0))))</f>
      </c>
      <c r="H13569">
        <f>IF(DATOS!$G13569&lt;&gt;"EX",0,--(COUNTIFS(nNIA,DATOS!$A13569,nCURSO,DATOS!$D13569,nESPEC,DATOS!$E13569,nASIG,DATOS!$I13569,nEVAL,"OR")=0))</f>
      </c>
      <c r="I13569">
        <f>IF(DATOS!$I13569="","",IFERROR(VLOOKUP(DATOS!$I13569,CONFIG_ASIGNATURAS!$B$2:$J$91,9,FALSE()),""))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IF(DATOS!$A13570="",0,IF(CONFIG_METADATA!$B$4&lt;&gt;"OR+EX",--(DATOS!$G13570=CONFIG_METADATA!$B$4),IF(DATOS!$G13570="EX",1,IF(DATOS!$G13570="OR",--(COUNTIFS(nNIA,DATOS!$A13570,nCURSO,DATOS!$D13570,nESPEC,DATOS!$E13570,nASIG,DATOS!$I13570,nEVAL,"EX")=0),0))))</f>
      </c>
      <c r="H13570">
        <f>IF(DATOS!$G13570&lt;&gt;"EX",0,--(COUNTIFS(nNIA,DATOS!$A13570,nCURSO,DATOS!$D13570,nESPEC,DATOS!$E13570,nASIG,DATOS!$I13570,nEVAL,"OR")=0))</f>
      </c>
      <c r="I13570">
        <f>IF(DATOS!$I13570="","",IFERROR(VLOOKUP(DATOS!$I13570,CONFIG_ASIGNATURAS!$B$2:$J$91,9,FALSE()),""))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IF(DATOS!$A13571="",0,IF(CONFIG_METADATA!$B$4&lt;&gt;"OR+EX",--(DATOS!$G13571=CONFIG_METADATA!$B$4),IF(DATOS!$G13571="EX",1,IF(DATOS!$G13571="OR",--(COUNTIFS(nNIA,DATOS!$A13571,nCURSO,DATOS!$D13571,nESPEC,DATOS!$E13571,nASIG,DATOS!$I13571,nEVAL,"EX")=0),0))))</f>
      </c>
      <c r="H13571">
        <f>IF(DATOS!$G13571&lt;&gt;"EX",0,--(COUNTIFS(nNIA,DATOS!$A13571,nCURSO,DATOS!$D13571,nESPEC,DATOS!$E13571,nASIG,DATOS!$I13571,nEVAL,"OR")=0))</f>
      </c>
      <c r="I13571">
        <f>IF(DATOS!$I13571="","",IFERROR(VLOOKUP(DATOS!$I13571,CONFIG_ASIGNATURAS!$B$2:$J$91,9,FALSE()),""))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IF(DATOS!$A13572="",0,IF(CONFIG_METADATA!$B$4&lt;&gt;"OR+EX",--(DATOS!$G13572=CONFIG_METADATA!$B$4),IF(DATOS!$G13572="EX",1,IF(DATOS!$G13572="OR",--(COUNTIFS(nNIA,DATOS!$A13572,nCURSO,DATOS!$D13572,nESPEC,DATOS!$E13572,nASIG,DATOS!$I13572,nEVAL,"EX")=0),0))))</f>
      </c>
      <c r="H13572">
        <f>IF(DATOS!$G13572&lt;&gt;"EX",0,--(COUNTIFS(nNIA,DATOS!$A13572,nCURSO,DATOS!$D13572,nESPEC,DATOS!$E13572,nASIG,DATOS!$I13572,nEVAL,"OR")=0))</f>
      </c>
      <c r="I13572">
        <f>IF(DATOS!$I13572="","",IFERROR(VLOOKUP(DATOS!$I13572,CONFIG_ASIGNATURAS!$B$2:$J$91,9,FALSE()),""))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IF(DATOS!$A13573="",0,IF(CONFIG_METADATA!$B$4&lt;&gt;"OR+EX",--(DATOS!$G13573=CONFIG_METADATA!$B$4),IF(DATOS!$G13573="EX",1,IF(DATOS!$G13573="OR",--(COUNTIFS(nNIA,DATOS!$A13573,nCURSO,DATOS!$D13573,nESPEC,DATOS!$E13573,nASIG,DATOS!$I13573,nEVAL,"EX")=0),0))))</f>
      </c>
      <c r="H13573">
        <f>IF(DATOS!$G13573&lt;&gt;"EX",0,--(COUNTIFS(nNIA,DATOS!$A13573,nCURSO,DATOS!$D13573,nESPEC,DATOS!$E13573,nASIG,DATOS!$I13573,nEVAL,"OR")=0))</f>
      </c>
      <c r="I13573">
        <f>IF(DATOS!$I13573="","",IFERROR(VLOOKUP(DATOS!$I13573,CONFIG_ASIGNATURAS!$B$2:$J$91,9,FALSE()),""))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IF(DATOS!$A13574="",0,IF(CONFIG_METADATA!$B$4&lt;&gt;"OR+EX",--(DATOS!$G13574=CONFIG_METADATA!$B$4),IF(DATOS!$G13574="EX",1,IF(DATOS!$G13574="OR",--(COUNTIFS(nNIA,DATOS!$A13574,nCURSO,DATOS!$D13574,nESPEC,DATOS!$E13574,nASIG,DATOS!$I13574,nEVAL,"EX")=0),0))))</f>
      </c>
      <c r="H13574">
        <f>IF(DATOS!$G13574&lt;&gt;"EX",0,--(COUNTIFS(nNIA,DATOS!$A13574,nCURSO,DATOS!$D13574,nESPEC,DATOS!$E13574,nASIG,DATOS!$I13574,nEVAL,"OR")=0))</f>
      </c>
      <c r="I13574">
        <f>IF(DATOS!$I13574="","",IFERROR(VLOOKUP(DATOS!$I13574,CONFIG_ASIGNATURAS!$B$2:$J$91,9,FALSE()),""))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IF(DATOS!$A13575="",0,IF(CONFIG_METADATA!$B$4&lt;&gt;"OR+EX",--(DATOS!$G13575=CONFIG_METADATA!$B$4),IF(DATOS!$G13575="EX",1,IF(DATOS!$G13575="OR",--(COUNTIFS(nNIA,DATOS!$A13575,nCURSO,DATOS!$D13575,nESPEC,DATOS!$E13575,nASIG,DATOS!$I13575,nEVAL,"EX")=0),0))))</f>
      </c>
      <c r="H13575">
        <f>IF(DATOS!$G13575&lt;&gt;"EX",0,--(COUNTIFS(nNIA,DATOS!$A13575,nCURSO,DATOS!$D13575,nESPEC,DATOS!$E13575,nASIG,DATOS!$I13575,nEVAL,"OR")=0))</f>
      </c>
      <c r="I13575">
        <f>IF(DATOS!$I13575="","",IFERROR(VLOOKUP(DATOS!$I13575,CONFIG_ASIGNATURAS!$B$2:$J$91,9,FALSE()),""))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IF(DATOS!$A13576="",0,IF(CONFIG_METADATA!$B$4&lt;&gt;"OR+EX",--(DATOS!$G13576=CONFIG_METADATA!$B$4),IF(DATOS!$G13576="EX",1,IF(DATOS!$G13576="OR",--(COUNTIFS(nNIA,DATOS!$A13576,nCURSO,DATOS!$D13576,nESPEC,DATOS!$E13576,nASIG,DATOS!$I13576,nEVAL,"EX")=0),0))))</f>
      </c>
      <c r="H13576">
        <f>IF(DATOS!$G13576&lt;&gt;"EX",0,--(COUNTIFS(nNIA,DATOS!$A13576,nCURSO,DATOS!$D13576,nESPEC,DATOS!$E13576,nASIG,DATOS!$I13576,nEVAL,"OR")=0))</f>
      </c>
      <c r="I13576">
        <f>IF(DATOS!$I13576="","",IFERROR(VLOOKUP(DATOS!$I13576,CONFIG_ASIGNATURAS!$B$2:$J$91,9,FALSE()),""))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IF(DATOS!$A13577="",0,IF(CONFIG_METADATA!$B$4&lt;&gt;"OR+EX",--(DATOS!$G13577=CONFIG_METADATA!$B$4),IF(DATOS!$G13577="EX",1,IF(DATOS!$G13577="OR",--(COUNTIFS(nNIA,DATOS!$A13577,nCURSO,DATOS!$D13577,nESPEC,DATOS!$E13577,nASIG,DATOS!$I13577,nEVAL,"EX")=0),0))))</f>
      </c>
      <c r="H13577">
        <f>IF(DATOS!$G13577&lt;&gt;"EX",0,--(COUNTIFS(nNIA,DATOS!$A13577,nCURSO,DATOS!$D13577,nESPEC,DATOS!$E13577,nASIG,DATOS!$I13577,nEVAL,"OR")=0))</f>
      </c>
      <c r="I13577">
        <f>IF(DATOS!$I13577="","",IFERROR(VLOOKUP(DATOS!$I13577,CONFIG_ASIGNATURAS!$B$2:$J$91,9,FALSE()),""))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IF(DATOS!$A13578="",0,IF(CONFIG_METADATA!$B$4&lt;&gt;"OR+EX",--(DATOS!$G13578=CONFIG_METADATA!$B$4),IF(DATOS!$G13578="EX",1,IF(DATOS!$G13578="OR",--(COUNTIFS(nNIA,DATOS!$A13578,nCURSO,DATOS!$D13578,nESPEC,DATOS!$E13578,nASIG,DATOS!$I13578,nEVAL,"EX")=0),0))))</f>
      </c>
      <c r="H13578">
        <f>IF(DATOS!$G13578&lt;&gt;"EX",0,--(COUNTIFS(nNIA,DATOS!$A13578,nCURSO,DATOS!$D13578,nESPEC,DATOS!$E13578,nASIG,DATOS!$I13578,nEVAL,"OR")=0))</f>
      </c>
      <c r="I13578">
        <f>IF(DATOS!$I13578="","",IFERROR(VLOOKUP(DATOS!$I13578,CONFIG_ASIGNATURAS!$B$2:$J$91,9,FALSE()),""))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IF(DATOS!$A13579="",0,IF(CONFIG_METADATA!$B$4&lt;&gt;"OR+EX",--(DATOS!$G13579=CONFIG_METADATA!$B$4),IF(DATOS!$G13579="EX",1,IF(DATOS!$G13579="OR",--(COUNTIFS(nNIA,DATOS!$A13579,nCURSO,DATOS!$D13579,nESPEC,DATOS!$E13579,nASIG,DATOS!$I13579,nEVAL,"EX")=0),0))))</f>
      </c>
      <c r="H13579">
        <f>IF(DATOS!$G13579&lt;&gt;"EX",0,--(COUNTIFS(nNIA,DATOS!$A13579,nCURSO,DATOS!$D13579,nESPEC,DATOS!$E13579,nASIG,DATOS!$I13579,nEVAL,"OR")=0))</f>
      </c>
      <c r="I13579">
        <f>IF(DATOS!$I13579="","",IFERROR(VLOOKUP(DATOS!$I13579,CONFIG_ASIGNATURAS!$B$2:$J$91,9,FALSE()),""))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IF(DATOS!$A13580="",0,IF(CONFIG_METADATA!$B$4&lt;&gt;"OR+EX",--(DATOS!$G13580=CONFIG_METADATA!$B$4),IF(DATOS!$G13580="EX",1,IF(DATOS!$G13580="OR",--(COUNTIFS(nNIA,DATOS!$A13580,nCURSO,DATOS!$D13580,nESPEC,DATOS!$E13580,nASIG,DATOS!$I13580,nEVAL,"EX")=0),0))))</f>
      </c>
      <c r="H13580">
        <f>IF(DATOS!$G13580&lt;&gt;"EX",0,--(COUNTIFS(nNIA,DATOS!$A13580,nCURSO,DATOS!$D13580,nESPEC,DATOS!$E13580,nASIG,DATOS!$I13580,nEVAL,"OR")=0))</f>
      </c>
      <c r="I13580">
        <f>IF(DATOS!$I13580="","",IFERROR(VLOOKUP(DATOS!$I13580,CONFIG_ASIGNATURAS!$B$2:$J$91,9,FALSE()),""))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IF(DATOS!$A13581="",0,IF(CONFIG_METADATA!$B$4&lt;&gt;"OR+EX",--(DATOS!$G13581=CONFIG_METADATA!$B$4),IF(DATOS!$G13581="EX",1,IF(DATOS!$G13581="OR",--(COUNTIFS(nNIA,DATOS!$A13581,nCURSO,DATOS!$D13581,nESPEC,DATOS!$E13581,nASIG,DATOS!$I13581,nEVAL,"EX")=0),0))))</f>
      </c>
      <c r="H13581">
        <f>IF(DATOS!$G13581&lt;&gt;"EX",0,--(COUNTIFS(nNIA,DATOS!$A13581,nCURSO,DATOS!$D13581,nESPEC,DATOS!$E13581,nASIG,DATOS!$I13581,nEVAL,"OR")=0))</f>
      </c>
      <c r="I13581">
        <f>IF(DATOS!$I13581="","",IFERROR(VLOOKUP(DATOS!$I13581,CONFIG_ASIGNATURAS!$B$2:$J$91,9,FALSE()),""))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IF(DATOS!$A13582="",0,IF(CONFIG_METADATA!$B$4&lt;&gt;"OR+EX",--(DATOS!$G13582=CONFIG_METADATA!$B$4),IF(DATOS!$G13582="EX",1,IF(DATOS!$G13582="OR",--(COUNTIFS(nNIA,DATOS!$A13582,nCURSO,DATOS!$D13582,nESPEC,DATOS!$E13582,nASIG,DATOS!$I13582,nEVAL,"EX")=0),0))))</f>
      </c>
      <c r="H13582">
        <f>IF(DATOS!$G13582&lt;&gt;"EX",0,--(COUNTIFS(nNIA,DATOS!$A13582,nCURSO,DATOS!$D13582,nESPEC,DATOS!$E13582,nASIG,DATOS!$I13582,nEVAL,"OR")=0))</f>
      </c>
      <c r="I13582">
        <f>IF(DATOS!$I13582="","",IFERROR(VLOOKUP(DATOS!$I13582,CONFIG_ASIGNATURAS!$B$2:$J$91,9,FALSE()),""))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IF(DATOS!$A13583="",0,IF(CONFIG_METADATA!$B$4&lt;&gt;"OR+EX",--(DATOS!$G13583=CONFIG_METADATA!$B$4),IF(DATOS!$G13583="EX",1,IF(DATOS!$G13583="OR",--(COUNTIFS(nNIA,DATOS!$A13583,nCURSO,DATOS!$D13583,nESPEC,DATOS!$E13583,nASIG,DATOS!$I13583,nEVAL,"EX")=0),0))))</f>
      </c>
      <c r="H13583">
        <f>IF(DATOS!$G13583&lt;&gt;"EX",0,--(COUNTIFS(nNIA,DATOS!$A13583,nCURSO,DATOS!$D13583,nESPEC,DATOS!$E13583,nASIG,DATOS!$I13583,nEVAL,"OR")=0))</f>
      </c>
      <c r="I13583">
        <f>IF(DATOS!$I13583="","",IFERROR(VLOOKUP(DATOS!$I13583,CONFIG_ASIGNATURAS!$B$2:$J$91,9,FALSE()),""))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IF(DATOS!$A13584="",0,IF(CONFIG_METADATA!$B$4&lt;&gt;"OR+EX",--(DATOS!$G13584=CONFIG_METADATA!$B$4),IF(DATOS!$G13584="EX",1,IF(DATOS!$G13584="OR",--(COUNTIFS(nNIA,DATOS!$A13584,nCURSO,DATOS!$D13584,nESPEC,DATOS!$E13584,nASIG,DATOS!$I13584,nEVAL,"EX")=0),0))))</f>
      </c>
      <c r="H13584">
        <f>IF(DATOS!$G13584&lt;&gt;"EX",0,--(COUNTIFS(nNIA,DATOS!$A13584,nCURSO,DATOS!$D13584,nESPEC,DATOS!$E13584,nASIG,DATOS!$I13584,nEVAL,"OR")=0))</f>
      </c>
      <c r="I13584">
        <f>IF(DATOS!$I13584="","",IFERROR(VLOOKUP(DATOS!$I13584,CONFIG_ASIGNATURAS!$B$2:$J$91,9,FALSE()),""))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IF(DATOS!$A13585="",0,IF(CONFIG_METADATA!$B$4&lt;&gt;"OR+EX",--(DATOS!$G13585=CONFIG_METADATA!$B$4),IF(DATOS!$G13585="EX",1,IF(DATOS!$G13585="OR",--(COUNTIFS(nNIA,DATOS!$A13585,nCURSO,DATOS!$D13585,nESPEC,DATOS!$E13585,nASIG,DATOS!$I13585,nEVAL,"EX")=0),0))))</f>
      </c>
      <c r="H13585">
        <f>IF(DATOS!$G13585&lt;&gt;"EX",0,--(COUNTIFS(nNIA,DATOS!$A13585,nCURSO,DATOS!$D13585,nESPEC,DATOS!$E13585,nASIG,DATOS!$I13585,nEVAL,"OR")=0))</f>
      </c>
      <c r="I13585">
        <f>IF(DATOS!$I13585="","",IFERROR(VLOOKUP(DATOS!$I13585,CONFIG_ASIGNATURAS!$B$2:$J$91,9,FALSE()),""))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IF(DATOS!$A13586="",0,IF(CONFIG_METADATA!$B$4&lt;&gt;"OR+EX",--(DATOS!$G13586=CONFIG_METADATA!$B$4),IF(DATOS!$G13586="EX",1,IF(DATOS!$G13586="OR",--(COUNTIFS(nNIA,DATOS!$A13586,nCURSO,DATOS!$D13586,nESPEC,DATOS!$E13586,nASIG,DATOS!$I13586,nEVAL,"EX")=0),0))))</f>
      </c>
      <c r="H13586">
        <f>IF(DATOS!$G13586&lt;&gt;"EX",0,--(COUNTIFS(nNIA,DATOS!$A13586,nCURSO,DATOS!$D13586,nESPEC,DATOS!$E13586,nASIG,DATOS!$I13586,nEVAL,"OR")=0))</f>
      </c>
      <c r="I13586">
        <f>IF(DATOS!$I13586="","",IFERROR(VLOOKUP(DATOS!$I13586,CONFIG_ASIGNATURAS!$B$2:$J$91,9,FALSE()),""))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IF(DATOS!$A13587="",0,IF(CONFIG_METADATA!$B$4&lt;&gt;"OR+EX",--(DATOS!$G13587=CONFIG_METADATA!$B$4),IF(DATOS!$G13587="EX",1,IF(DATOS!$G13587="OR",--(COUNTIFS(nNIA,DATOS!$A13587,nCURSO,DATOS!$D13587,nESPEC,DATOS!$E13587,nASIG,DATOS!$I13587,nEVAL,"EX")=0),0))))</f>
      </c>
      <c r="H13587">
        <f>IF(DATOS!$G13587&lt;&gt;"EX",0,--(COUNTIFS(nNIA,DATOS!$A13587,nCURSO,DATOS!$D13587,nESPEC,DATOS!$E13587,nASIG,DATOS!$I13587,nEVAL,"OR")=0))</f>
      </c>
      <c r="I13587">
        <f>IF(DATOS!$I13587="","",IFERROR(VLOOKUP(DATOS!$I13587,CONFIG_ASIGNATURAS!$B$2:$J$91,9,FALSE()),""))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IF(DATOS!$A13588="",0,IF(CONFIG_METADATA!$B$4&lt;&gt;"OR+EX",--(DATOS!$G13588=CONFIG_METADATA!$B$4),IF(DATOS!$G13588="EX",1,IF(DATOS!$G13588="OR",--(COUNTIFS(nNIA,DATOS!$A13588,nCURSO,DATOS!$D13588,nESPEC,DATOS!$E13588,nASIG,DATOS!$I13588,nEVAL,"EX")=0),0))))</f>
      </c>
      <c r="H13588">
        <f>IF(DATOS!$G13588&lt;&gt;"EX",0,--(COUNTIFS(nNIA,DATOS!$A13588,nCURSO,DATOS!$D13588,nESPEC,DATOS!$E13588,nASIG,DATOS!$I13588,nEVAL,"OR")=0))</f>
      </c>
      <c r="I13588">
        <f>IF(DATOS!$I13588="","",IFERROR(VLOOKUP(DATOS!$I13588,CONFIG_ASIGNATURAS!$B$2:$J$91,9,FALSE()),""))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IF(DATOS!$A13589="",0,IF(CONFIG_METADATA!$B$4&lt;&gt;"OR+EX",--(DATOS!$G13589=CONFIG_METADATA!$B$4),IF(DATOS!$G13589="EX",1,IF(DATOS!$G13589="OR",--(COUNTIFS(nNIA,DATOS!$A13589,nCURSO,DATOS!$D13589,nESPEC,DATOS!$E13589,nASIG,DATOS!$I13589,nEVAL,"EX")=0),0))))</f>
      </c>
      <c r="H13589">
        <f>IF(DATOS!$G13589&lt;&gt;"EX",0,--(COUNTIFS(nNIA,DATOS!$A13589,nCURSO,DATOS!$D13589,nESPEC,DATOS!$E13589,nASIG,DATOS!$I13589,nEVAL,"OR")=0))</f>
      </c>
      <c r="I13589">
        <f>IF(DATOS!$I13589="","",IFERROR(VLOOKUP(DATOS!$I13589,CONFIG_ASIGNATURAS!$B$2:$J$91,9,FALSE()),""))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IF(DATOS!$A13590="",0,IF(CONFIG_METADATA!$B$4&lt;&gt;"OR+EX",--(DATOS!$G13590=CONFIG_METADATA!$B$4),IF(DATOS!$G13590="EX",1,IF(DATOS!$G13590="OR",--(COUNTIFS(nNIA,DATOS!$A13590,nCURSO,DATOS!$D13590,nESPEC,DATOS!$E13590,nASIG,DATOS!$I13590,nEVAL,"EX")=0),0))))</f>
      </c>
      <c r="H13590">
        <f>IF(DATOS!$G13590&lt;&gt;"EX",0,--(COUNTIFS(nNIA,DATOS!$A13590,nCURSO,DATOS!$D13590,nESPEC,DATOS!$E13590,nASIG,DATOS!$I13590,nEVAL,"OR")=0))</f>
      </c>
      <c r="I13590">
        <f>IF(DATOS!$I13590="","",IFERROR(VLOOKUP(DATOS!$I13590,CONFIG_ASIGNATURAS!$B$2:$J$91,9,FALSE()),""))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IF(DATOS!$A13591="",0,IF(CONFIG_METADATA!$B$4&lt;&gt;"OR+EX",--(DATOS!$G13591=CONFIG_METADATA!$B$4),IF(DATOS!$G13591="EX",1,IF(DATOS!$G13591="OR",--(COUNTIFS(nNIA,DATOS!$A13591,nCURSO,DATOS!$D13591,nESPEC,DATOS!$E13591,nASIG,DATOS!$I13591,nEVAL,"EX")=0),0))))</f>
      </c>
      <c r="H13591">
        <f>IF(DATOS!$G13591&lt;&gt;"EX",0,--(COUNTIFS(nNIA,DATOS!$A13591,nCURSO,DATOS!$D13591,nESPEC,DATOS!$E13591,nASIG,DATOS!$I13591,nEVAL,"OR")=0))</f>
      </c>
      <c r="I13591">
        <f>IF(DATOS!$I13591="","",IFERROR(VLOOKUP(DATOS!$I13591,CONFIG_ASIGNATURAS!$B$2:$J$91,9,FALSE()),""))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IF(DATOS!$A13592="",0,IF(CONFIG_METADATA!$B$4&lt;&gt;"OR+EX",--(DATOS!$G13592=CONFIG_METADATA!$B$4),IF(DATOS!$G13592="EX",1,IF(DATOS!$G13592="OR",--(COUNTIFS(nNIA,DATOS!$A13592,nCURSO,DATOS!$D13592,nESPEC,DATOS!$E13592,nASIG,DATOS!$I13592,nEVAL,"EX")=0),0))))</f>
      </c>
      <c r="H13592">
        <f>IF(DATOS!$G13592&lt;&gt;"EX",0,--(COUNTIFS(nNIA,DATOS!$A13592,nCURSO,DATOS!$D13592,nESPEC,DATOS!$E13592,nASIG,DATOS!$I13592,nEVAL,"OR")=0))</f>
      </c>
      <c r="I13592">
        <f>IF(DATOS!$I13592="","",IFERROR(VLOOKUP(DATOS!$I13592,CONFIG_ASIGNATURAS!$B$2:$J$91,9,FALSE()),""))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IF(DATOS!$A13593="",0,IF(CONFIG_METADATA!$B$4&lt;&gt;"OR+EX",--(DATOS!$G13593=CONFIG_METADATA!$B$4),IF(DATOS!$G13593="EX",1,IF(DATOS!$G13593="OR",--(COUNTIFS(nNIA,DATOS!$A13593,nCURSO,DATOS!$D13593,nESPEC,DATOS!$E13593,nASIG,DATOS!$I13593,nEVAL,"EX")=0),0))))</f>
      </c>
      <c r="H13593">
        <f>IF(DATOS!$G13593&lt;&gt;"EX",0,--(COUNTIFS(nNIA,DATOS!$A13593,nCURSO,DATOS!$D13593,nESPEC,DATOS!$E13593,nASIG,DATOS!$I13593,nEVAL,"OR")=0))</f>
      </c>
      <c r="I13593">
        <f>IF(DATOS!$I13593="","",IFERROR(VLOOKUP(DATOS!$I13593,CONFIG_ASIGNATURAS!$B$2:$J$91,9,FALSE()),""))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IF(DATOS!$A13594="",0,IF(CONFIG_METADATA!$B$4&lt;&gt;"OR+EX",--(DATOS!$G13594=CONFIG_METADATA!$B$4),IF(DATOS!$G13594="EX",1,IF(DATOS!$G13594="OR",--(COUNTIFS(nNIA,DATOS!$A13594,nCURSO,DATOS!$D13594,nESPEC,DATOS!$E13594,nASIG,DATOS!$I13594,nEVAL,"EX")=0),0))))</f>
      </c>
      <c r="H13594">
        <f>IF(DATOS!$G13594&lt;&gt;"EX",0,--(COUNTIFS(nNIA,DATOS!$A13594,nCURSO,DATOS!$D13594,nESPEC,DATOS!$E13594,nASIG,DATOS!$I13594,nEVAL,"OR")=0))</f>
      </c>
      <c r="I13594">
        <f>IF(DATOS!$I13594="","",IFERROR(VLOOKUP(DATOS!$I13594,CONFIG_ASIGNATURAS!$B$2:$J$91,9,FALSE()),""))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IF(DATOS!$A13595="",0,IF(CONFIG_METADATA!$B$4&lt;&gt;"OR+EX",--(DATOS!$G13595=CONFIG_METADATA!$B$4),IF(DATOS!$G13595="EX",1,IF(DATOS!$G13595="OR",--(COUNTIFS(nNIA,DATOS!$A13595,nCURSO,DATOS!$D13595,nESPEC,DATOS!$E13595,nASIG,DATOS!$I13595,nEVAL,"EX")=0),0))))</f>
      </c>
      <c r="H13595">
        <f>IF(DATOS!$G13595&lt;&gt;"EX",0,--(COUNTIFS(nNIA,DATOS!$A13595,nCURSO,DATOS!$D13595,nESPEC,DATOS!$E13595,nASIG,DATOS!$I13595,nEVAL,"OR")=0))</f>
      </c>
      <c r="I13595">
        <f>IF(DATOS!$I13595="","",IFERROR(VLOOKUP(DATOS!$I13595,CONFIG_ASIGNATURAS!$B$2:$J$91,9,FALSE()),""))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IF(DATOS!$A13596="",0,IF(CONFIG_METADATA!$B$4&lt;&gt;"OR+EX",--(DATOS!$G13596=CONFIG_METADATA!$B$4),IF(DATOS!$G13596="EX",1,IF(DATOS!$G13596="OR",--(COUNTIFS(nNIA,DATOS!$A13596,nCURSO,DATOS!$D13596,nESPEC,DATOS!$E13596,nASIG,DATOS!$I13596,nEVAL,"EX")=0),0))))</f>
      </c>
      <c r="H13596">
        <f>IF(DATOS!$G13596&lt;&gt;"EX",0,--(COUNTIFS(nNIA,DATOS!$A13596,nCURSO,DATOS!$D13596,nESPEC,DATOS!$E13596,nASIG,DATOS!$I13596,nEVAL,"OR")=0))</f>
      </c>
      <c r="I13596">
        <f>IF(DATOS!$I13596="","",IFERROR(VLOOKUP(DATOS!$I13596,CONFIG_ASIGNATURAS!$B$2:$J$91,9,FALSE()),""))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IF(DATOS!$A13597="",0,IF(CONFIG_METADATA!$B$4&lt;&gt;"OR+EX",--(DATOS!$G13597=CONFIG_METADATA!$B$4),IF(DATOS!$G13597="EX",1,IF(DATOS!$G13597="OR",--(COUNTIFS(nNIA,DATOS!$A13597,nCURSO,DATOS!$D13597,nESPEC,DATOS!$E13597,nASIG,DATOS!$I13597,nEVAL,"EX")=0),0))))</f>
      </c>
      <c r="H13597">
        <f>IF(DATOS!$G13597&lt;&gt;"EX",0,--(COUNTIFS(nNIA,DATOS!$A13597,nCURSO,DATOS!$D13597,nESPEC,DATOS!$E13597,nASIG,DATOS!$I13597,nEVAL,"OR")=0))</f>
      </c>
      <c r="I13597">
        <f>IF(DATOS!$I13597="","",IFERROR(VLOOKUP(DATOS!$I13597,CONFIG_ASIGNATURAS!$B$2:$J$91,9,FALSE()),""))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IF(DATOS!$A13598="",0,IF(CONFIG_METADATA!$B$4&lt;&gt;"OR+EX",--(DATOS!$G13598=CONFIG_METADATA!$B$4),IF(DATOS!$G13598="EX",1,IF(DATOS!$G13598="OR",--(COUNTIFS(nNIA,DATOS!$A13598,nCURSO,DATOS!$D13598,nESPEC,DATOS!$E13598,nASIG,DATOS!$I13598,nEVAL,"EX")=0),0))))</f>
      </c>
      <c r="H13598">
        <f>IF(DATOS!$G13598&lt;&gt;"EX",0,--(COUNTIFS(nNIA,DATOS!$A13598,nCURSO,DATOS!$D13598,nESPEC,DATOS!$E13598,nASIG,DATOS!$I13598,nEVAL,"OR")=0))</f>
      </c>
      <c r="I13598">
        <f>IF(DATOS!$I13598="","",IFERROR(VLOOKUP(DATOS!$I13598,CONFIG_ASIGNATURAS!$B$2:$J$91,9,FALSE()),""))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IF(DATOS!$A13599="",0,IF(CONFIG_METADATA!$B$4&lt;&gt;"OR+EX",--(DATOS!$G13599=CONFIG_METADATA!$B$4),IF(DATOS!$G13599="EX",1,IF(DATOS!$G13599="OR",--(COUNTIFS(nNIA,DATOS!$A13599,nCURSO,DATOS!$D13599,nESPEC,DATOS!$E13599,nASIG,DATOS!$I13599,nEVAL,"EX")=0),0))))</f>
      </c>
      <c r="H13599">
        <f>IF(DATOS!$G13599&lt;&gt;"EX",0,--(COUNTIFS(nNIA,DATOS!$A13599,nCURSO,DATOS!$D13599,nESPEC,DATOS!$E13599,nASIG,DATOS!$I13599,nEVAL,"OR")=0))</f>
      </c>
      <c r="I13599">
        <f>IF(DATOS!$I13599="","",IFERROR(VLOOKUP(DATOS!$I13599,CONFIG_ASIGNATURAS!$B$2:$J$91,9,FALSE()),""))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IF(DATOS!$A13600="",0,IF(CONFIG_METADATA!$B$4&lt;&gt;"OR+EX",--(DATOS!$G13600=CONFIG_METADATA!$B$4),IF(DATOS!$G13600="EX",1,IF(DATOS!$G13600="OR",--(COUNTIFS(nNIA,DATOS!$A13600,nCURSO,DATOS!$D13600,nESPEC,DATOS!$E13600,nASIG,DATOS!$I13600,nEVAL,"EX")=0),0))))</f>
      </c>
      <c r="H13600">
        <f>IF(DATOS!$G13600&lt;&gt;"EX",0,--(COUNTIFS(nNIA,DATOS!$A13600,nCURSO,DATOS!$D13600,nESPEC,DATOS!$E13600,nASIG,DATOS!$I13600,nEVAL,"OR")=0))</f>
      </c>
      <c r="I13600">
        <f>IF(DATOS!$I13600="","",IFERROR(VLOOKUP(DATOS!$I13600,CONFIG_ASIGNATURAS!$B$2:$J$91,9,FALSE()),""))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IF(DATOS!$A13601="",0,IF(CONFIG_METADATA!$B$4&lt;&gt;"OR+EX",--(DATOS!$G13601=CONFIG_METADATA!$B$4),IF(DATOS!$G13601="EX",1,IF(DATOS!$G13601="OR",--(COUNTIFS(nNIA,DATOS!$A13601,nCURSO,DATOS!$D13601,nESPEC,DATOS!$E13601,nASIG,DATOS!$I13601,nEVAL,"EX")=0),0))))</f>
      </c>
      <c r="H13601">
        <f>IF(DATOS!$G13601&lt;&gt;"EX",0,--(COUNTIFS(nNIA,DATOS!$A13601,nCURSO,DATOS!$D13601,nESPEC,DATOS!$E13601,nASIG,DATOS!$I13601,nEVAL,"OR")=0))</f>
      </c>
      <c r="I13601">
        <f>IF(DATOS!$I13601="","",IFERROR(VLOOKUP(DATOS!$I13601,CONFIG_ASIGNATURAS!$B$2:$J$91,9,FALSE()),""))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IF(DATOS!$A13602="",0,IF(CONFIG_METADATA!$B$4&lt;&gt;"OR+EX",--(DATOS!$G13602=CONFIG_METADATA!$B$4),IF(DATOS!$G13602="EX",1,IF(DATOS!$G13602="OR",--(COUNTIFS(nNIA,DATOS!$A13602,nCURSO,DATOS!$D13602,nESPEC,DATOS!$E13602,nASIG,DATOS!$I13602,nEVAL,"EX")=0),0))))</f>
      </c>
      <c r="H13602">
        <f>IF(DATOS!$G13602&lt;&gt;"EX",0,--(COUNTIFS(nNIA,DATOS!$A13602,nCURSO,DATOS!$D13602,nESPEC,DATOS!$E13602,nASIG,DATOS!$I13602,nEVAL,"OR")=0))</f>
      </c>
      <c r="I13602">
        <f>IF(DATOS!$I13602="","",IFERROR(VLOOKUP(DATOS!$I13602,CONFIG_ASIGNATURAS!$B$2:$J$91,9,FALSE()),""))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IF(DATOS!$A13603="",0,IF(CONFIG_METADATA!$B$4&lt;&gt;"OR+EX",--(DATOS!$G13603=CONFIG_METADATA!$B$4),IF(DATOS!$G13603="EX",1,IF(DATOS!$G13603="OR",--(COUNTIFS(nNIA,DATOS!$A13603,nCURSO,DATOS!$D13603,nESPEC,DATOS!$E13603,nASIG,DATOS!$I13603,nEVAL,"EX")=0),0))))</f>
      </c>
      <c r="H13603">
        <f>IF(DATOS!$G13603&lt;&gt;"EX",0,--(COUNTIFS(nNIA,DATOS!$A13603,nCURSO,DATOS!$D13603,nESPEC,DATOS!$E13603,nASIG,DATOS!$I13603,nEVAL,"OR")=0))</f>
      </c>
      <c r="I13603">
        <f>IF(DATOS!$I13603="","",IFERROR(VLOOKUP(DATOS!$I13603,CONFIG_ASIGNATURAS!$B$2:$J$91,9,FALSE()),""))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IF(DATOS!$A13604="",0,IF(CONFIG_METADATA!$B$4&lt;&gt;"OR+EX",--(DATOS!$G13604=CONFIG_METADATA!$B$4),IF(DATOS!$G13604="EX",1,IF(DATOS!$G13604="OR",--(COUNTIFS(nNIA,DATOS!$A13604,nCURSO,DATOS!$D13604,nESPEC,DATOS!$E13604,nASIG,DATOS!$I13604,nEVAL,"EX")=0),0))))</f>
      </c>
      <c r="H13604">
        <f>IF(DATOS!$G13604&lt;&gt;"EX",0,--(COUNTIFS(nNIA,DATOS!$A13604,nCURSO,DATOS!$D13604,nESPEC,DATOS!$E13604,nASIG,DATOS!$I13604,nEVAL,"OR")=0))</f>
      </c>
      <c r="I13604">
        <f>IF(DATOS!$I13604="","",IFERROR(VLOOKUP(DATOS!$I13604,CONFIG_ASIGNATURAS!$B$2:$J$91,9,FALSE()),""))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IF(DATOS!$A13605="",0,IF(CONFIG_METADATA!$B$4&lt;&gt;"OR+EX",--(DATOS!$G13605=CONFIG_METADATA!$B$4),IF(DATOS!$G13605="EX",1,IF(DATOS!$G13605="OR",--(COUNTIFS(nNIA,DATOS!$A13605,nCURSO,DATOS!$D13605,nESPEC,DATOS!$E13605,nASIG,DATOS!$I13605,nEVAL,"EX")=0),0))))</f>
      </c>
      <c r="H13605">
        <f>IF(DATOS!$G13605&lt;&gt;"EX",0,--(COUNTIFS(nNIA,DATOS!$A13605,nCURSO,DATOS!$D13605,nESPEC,DATOS!$E13605,nASIG,DATOS!$I13605,nEVAL,"OR")=0))</f>
      </c>
      <c r="I13605">
        <f>IF(DATOS!$I13605="","",IFERROR(VLOOKUP(DATOS!$I13605,CONFIG_ASIGNATURAS!$B$2:$J$91,9,FALSE()),""))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IF(DATOS!$A13606="",0,IF(CONFIG_METADATA!$B$4&lt;&gt;"OR+EX",--(DATOS!$G13606=CONFIG_METADATA!$B$4),IF(DATOS!$G13606="EX",1,IF(DATOS!$G13606="OR",--(COUNTIFS(nNIA,DATOS!$A13606,nCURSO,DATOS!$D13606,nESPEC,DATOS!$E13606,nASIG,DATOS!$I13606,nEVAL,"EX")=0),0))))</f>
      </c>
      <c r="H13606">
        <f>IF(DATOS!$G13606&lt;&gt;"EX",0,--(COUNTIFS(nNIA,DATOS!$A13606,nCURSO,DATOS!$D13606,nESPEC,DATOS!$E13606,nASIG,DATOS!$I13606,nEVAL,"OR")=0))</f>
      </c>
      <c r="I13606">
        <f>IF(DATOS!$I13606="","",IFERROR(VLOOKUP(DATOS!$I13606,CONFIG_ASIGNATURAS!$B$2:$J$91,9,FALSE()),""))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IF(DATOS!$A13607="",0,IF(CONFIG_METADATA!$B$4&lt;&gt;"OR+EX",--(DATOS!$G13607=CONFIG_METADATA!$B$4),IF(DATOS!$G13607="EX",1,IF(DATOS!$G13607="OR",--(COUNTIFS(nNIA,DATOS!$A13607,nCURSO,DATOS!$D13607,nESPEC,DATOS!$E13607,nASIG,DATOS!$I13607,nEVAL,"EX")=0),0))))</f>
      </c>
      <c r="H13607">
        <f>IF(DATOS!$G13607&lt;&gt;"EX",0,--(COUNTIFS(nNIA,DATOS!$A13607,nCURSO,DATOS!$D13607,nESPEC,DATOS!$E13607,nASIG,DATOS!$I13607,nEVAL,"OR")=0))</f>
      </c>
      <c r="I13607">
        <f>IF(DATOS!$I13607="","",IFERROR(VLOOKUP(DATOS!$I13607,CONFIG_ASIGNATURAS!$B$2:$J$91,9,FALSE()),""))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IF(DATOS!$A13608="",0,IF(CONFIG_METADATA!$B$4&lt;&gt;"OR+EX",--(DATOS!$G13608=CONFIG_METADATA!$B$4),IF(DATOS!$G13608="EX",1,IF(DATOS!$G13608="OR",--(COUNTIFS(nNIA,DATOS!$A13608,nCURSO,DATOS!$D13608,nESPEC,DATOS!$E13608,nASIG,DATOS!$I13608,nEVAL,"EX")=0),0))))</f>
      </c>
      <c r="H13608">
        <f>IF(DATOS!$G13608&lt;&gt;"EX",0,--(COUNTIFS(nNIA,DATOS!$A13608,nCURSO,DATOS!$D13608,nESPEC,DATOS!$E13608,nASIG,DATOS!$I13608,nEVAL,"OR")=0))</f>
      </c>
      <c r="I13608">
        <f>IF(DATOS!$I13608="","",IFERROR(VLOOKUP(DATOS!$I13608,CONFIG_ASIGNATURAS!$B$2:$J$91,9,FALSE()),""))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IF(DATOS!$A13609="",0,IF(CONFIG_METADATA!$B$4&lt;&gt;"OR+EX",--(DATOS!$G13609=CONFIG_METADATA!$B$4),IF(DATOS!$G13609="EX",1,IF(DATOS!$G13609="OR",--(COUNTIFS(nNIA,DATOS!$A13609,nCURSO,DATOS!$D13609,nESPEC,DATOS!$E13609,nASIG,DATOS!$I13609,nEVAL,"EX")=0),0))))</f>
      </c>
      <c r="H13609">
        <f>IF(DATOS!$G13609&lt;&gt;"EX",0,--(COUNTIFS(nNIA,DATOS!$A13609,nCURSO,DATOS!$D13609,nESPEC,DATOS!$E13609,nASIG,DATOS!$I13609,nEVAL,"OR")=0))</f>
      </c>
      <c r="I13609">
        <f>IF(DATOS!$I13609="","",IFERROR(VLOOKUP(DATOS!$I13609,CONFIG_ASIGNATURAS!$B$2:$J$91,9,FALSE()),""))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IF(DATOS!$A13610="",0,IF(CONFIG_METADATA!$B$4&lt;&gt;"OR+EX",--(DATOS!$G13610=CONFIG_METADATA!$B$4),IF(DATOS!$G13610="EX",1,IF(DATOS!$G13610="OR",--(COUNTIFS(nNIA,DATOS!$A13610,nCURSO,DATOS!$D13610,nESPEC,DATOS!$E13610,nASIG,DATOS!$I13610,nEVAL,"EX")=0),0))))</f>
      </c>
      <c r="H13610">
        <f>IF(DATOS!$G13610&lt;&gt;"EX",0,--(COUNTIFS(nNIA,DATOS!$A13610,nCURSO,DATOS!$D13610,nESPEC,DATOS!$E13610,nASIG,DATOS!$I13610,nEVAL,"OR")=0))</f>
      </c>
      <c r="I13610">
        <f>IF(DATOS!$I13610="","",IFERROR(VLOOKUP(DATOS!$I13610,CONFIG_ASIGNATURAS!$B$2:$J$91,9,FALSE()),""))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IF(DATOS!$A13611="",0,IF(CONFIG_METADATA!$B$4&lt;&gt;"OR+EX",--(DATOS!$G13611=CONFIG_METADATA!$B$4),IF(DATOS!$G13611="EX",1,IF(DATOS!$G13611="OR",--(COUNTIFS(nNIA,DATOS!$A13611,nCURSO,DATOS!$D13611,nESPEC,DATOS!$E13611,nASIG,DATOS!$I13611,nEVAL,"EX")=0),0))))</f>
      </c>
      <c r="H13611">
        <f>IF(DATOS!$G13611&lt;&gt;"EX",0,--(COUNTIFS(nNIA,DATOS!$A13611,nCURSO,DATOS!$D13611,nESPEC,DATOS!$E13611,nASIG,DATOS!$I13611,nEVAL,"OR")=0))</f>
      </c>
      <c r="I13611">
        <f>IF(DATOS!$I13611="","",IFERROR(VLOOKUP(DATOS!$I13611,CONFIG_ASIGNATURAS!$B$2:$J$91,9,FALSE()),""))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IF(DATOS!$A13612="",0,IF(CONFIG_METADATA!$B$4&lt;&gt;"OR+EX",--(DATOS!$G13612=CONFIG_METADATA!$B$4),IF(DATOS!$G13612="EX",1,IF(DATOS!$G13612="OR",--(COUNTIFS(nNIA,DATOS!$A13612,nCURSO,DATOS!$D13612,nESPEC,DATOS!$E13612,nASIG,DATOS!$I13612,nEVAL,"EX")=0),0))))</f>
      </c>
      <c r="H13612">
        <f>IF(DATOS!$G13612&lt;&gt;"EX",0,--(COUNTIFS(nNIA,DATOS!$A13612,nCURSO,DATOS!$D13612,nESPEC,DATOS!$E13612,nASIG,DATOS!$I13612,nEVAL,"OR")=0))</f>
      </c>
      <c r="I13612">
        <f>IF(DATOS!$I13612="","",IFERROR(VLOOKUP(DATOS!$I13612,CONFIG_ASIGNATURAS!$B$2:$J$91,9,FALSE()),""))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IF(DATOS!$A13613="",0,IF(CONFIG_METADATA!$B$4&lt;&gt;"OR+EX",--(DATOS!$G13613=CONFIG_METADATA!$B$4),IF(DATOS!$G13613="EX",1,IF(DATOS!$G13613="OR",--(COUNTIFS(nNIA,DATOS!$A13613,nCURSO,DATOS!$D13613,nESPEC,DATOS!$E13613,nASIG,DATOS!$I13613,nEVAL,"EX")=0),0))))</f>
      </c>
      <c r="H13613">
        <f>IF(DATOS!$G13613&lt;&gt;"EX",0,--(COUNTIFS(nNIA,DATOS!$A13613,nCURSO,DATOS!$D13613,nESPEC,DATOS!$E13613,nASIG,DATOS!$I13613,nEVAL,"OR")=0))</f>
      </c>
      <c r="I13613">
        <f>IF(DATOS!$I13613="","",IFERROR(VLOOKUP(DATOS!$I13613,CONFIG_ASIGNATURAS!$B$2:$J$91,9,FALSE()),""))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IF(DATOS!$A13614="",0,IF(CONFIG_METADATA!$B$4&lt;&gt;"OR+EX",--(DATOS!$G13614=CONFIG_METADATA!$B$4),IF(DATOS!$G13614="EX",1,IF(DATOS!$G13614="OR",--(COUNTIFS(nNIA,DATOS!$A13614,nCURSO,DATOS!$D13614,nESPEC,DATOS!$E13614,nASIG,DATOS!$I13614,nEVAL,"EX")=0),0))))</f>
      </c>
      <c r="H13614">
        <f>IF(DATOS!$G13614&lt;&gt;"EX",0,--(COUNTIFS(nNIA,DATOS!$A13614,nCURSO,DATOS!$D13614,nESPEC,DATOS!$E13614,nASIG,DATOS!$I13614,nEVAL,"OR")=0))</f>
      </c>
      <c r="I13614">
        <f>IF(DATOS!$I13614="","",IFERROR(VLOOKUP(DATOS!$I13614,CONFIG_ASIGNATURAS!$B$2:$J$91,9,FALSE()),""))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IF(DATOS!$A13615="",0,IF(CONFIG_METADATA!$B$4&lt;&gt;"OR+EX",--(DATOS!$G13615=CONFIG_METADATA!$B$4),IF(DATOS!$G13615="EX",1,IF(DATOS!$G13615="OR",--(COUNTIFS(nNIA,DATOS!$A13615,nCURSO,DATOS!$D13615,nESPEC,DATOS!$E13615,nASIG,DATOS!$I13615,nEVAL,"EX")=0),0))))</f>
      </c>
      <c r="H13615">
        <f>IF(DATOS!$G13615&lt;&gt;"EX",0,--(COUNTIFS(nNIA,DATOS!$A13615,nCURSO,DATOS!$D13615,nESPEC,DATOS!$E13615,nASIG,DATOS!$I13615,nEVAL,"OR")=0))</f>
      </c>
      <c r="I13615">
        <f>IF(DATOS!$I13615="","",IFERROR(VLOOKUP(DATOS!$I13615,CONFIG_ASIGNATURAS!$B$2:$J$91,9,FALSE()),""))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IF(DATOS!$A13616="",0,IF(CONFIG_METADATA!$B$4&lt;&gt;"OR+EX",--(DATOS!$G13616=CONFIG_METADATA!$B$4),IF(DATOS!$G13616="EX",1,IF(DATOS!$G13616="OR",--(COUNTIFS(nNIA,DATOS!$A13616,nCURSO,DATOS!$D13616,nESPEC,DATOS!$E13616,nASIG,DATOS!$I13616,nEVAL,"EX")=0),0))))</f>
      </c>
      <c r="H13616">
        <f>IF(DATOS!$G13616&lt;&gt;"EX",0,--(COUNTIFS(nNIA,DATOS!$A13616,nCURSO,DATOS!$D13616,nESPEC,DATOS!$E13616,nASIG,DATOS!$I13616,nEVAL,"OR")=0))</f>
      </c>
      <c r="I13616">
        <f>IF(DATOS!$I13616="","",IFERROR(VLOOKUP(DATOS!$I13616,CONFIG_ASIGNATURAS!$B$2:$J$91,9,FALSE()),""))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IF(DATOS!$A13617="",0,IF(CONFIG_METADATA!$B$4&lt;&gt;"OR+EX",--(DATOS!$G13617=CONFIG_METADATA!$B$4),IF(DATOS!$G13617="EX",1,IF(DATOS!$G13617="OR",--(COUNTIFS(nNIA,DATOS!$A13617,nCURSO,DATOS!$D13617,nESPEC,DATOS!$E13617,nASIG,DATOS!$I13617,nEVAL,"EX")=0),0))))</f>
      </c>
      <c r="H13617">
        <f>IF(DATOS!$G13617&lt;&gt;"EX",0,--(COUNTIFS(nNIA,DATOS!$A13617,nCURSO,DATOS!$D13617,nESPEC,DATOS!$E13617,nASIG,DATOS!$I13617,nEVAL,"OR")=0))</f>
      </c>
      <c r="I13617">
        <f>IF(DATOS!$I13617="","",IFERROR(VLOOKUP(DATOS!$I13617,CONFIG_ASIGNATURAS!$B$2:$J$91,9,FALSE()),""))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IF(DATOS!$A13618="",0,IF(CONFIG_METADATA!$B$4&lt;&gt;"OR+EX",--(DATOS!$G13618=CONFIG_METADATA!$B$4),IF(DATOS!$G13618="EX",1,IF(DATOS!$G13618="OR",--(COUNTIFS(nNIA,DATOS!$A13618,nCURSO,DATOS!$D13618,nESPEC,DATOS!$E13618,nASIG,DATOS!$I13618,nEVAL,"EX")=0),0))))</f>
      </c>
      <c r="H13618">
        <f>IF(DATOS!$G13618&lt;&gt;"EX",0,--(COUNTIFS(nNIA,DATOS!$A13618,nCURSO,DATOS!$D13618,nESPEC,DATOS!$E13618,nASIG,DATOS!$I13618,nEVAL,"OR")=0))</f>
      </c>
      <c r="I13618">
        <f>IF(DATOS!$I13618="","",IFERROR(VLOOKUP(DATOS!$I13618,CONFIG_ASIGNATURAS!$B$2:$J$91,9,FALSE()),""))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IF(DATOS!$A13619="",0,IF(CONFIG_METADATA!$B$4&lt;&gt;"OR+EX",--(DATOS!$G13619=CONFIG_METADATA!$B$4),IF(DATOS!$G13619="EX",1,IF(DATOS!$G13619="OR",--(COUNTIFS(nNIA,DATOS!$A13619,nCURSO,DATOS!$D13619,nESPEC,DATOS!$E13619,nASIG,DATOS!$I13619,nEVAL,"EX")=0),0))))</f>
      </c>
      <c r="H13619">
        <f>IF(DATOS!$G13619&lt;&gt;"EX",0,--(COUNTIFS(nNIA,DATOS!$A13619,nCURSO,DATOS!$D13619,nESPEC,DATOS!$E13619,nASIG,DATOS!$I13619,nEVAL,"OR")=0))</f>
      </c>
      <c r="I13619">
        <f>IF(DATOS!$I13619="","",IFERROR(VLOOKUP(DATOS!$I13619,CONFIG_ASIGNATURAS!$B$2:$J$91,9,FALSE()),""))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IF(DATOS!$A13620="",0,IF(CONFIG_METADATA!$B$4&lt;&gt;"OR+EX",--(DATOS!$G13620=CONFIG_METADATA!$B$4),IF(DATOS!$G13620="EX",1,IF(DATOS!$G13620="OR",--(COUNTIFS(nNIA,DATOS!$A13620,nCURSO,DATOS!$D13620,nESPEC,DATOS!$E13620,nASIG,DATOS!$I13620,nEVAL,"EX")=0),0))))</f>
      </c>
      <c r="H13620">
        <f>IF(DATOS!$G13620&lt;&gt;"EX",0,--(COUNTIFS(nNIA,DATOS!$A13620,nCURSO,DATOS!$D13620,nESPEC,DATOS!$E13620,nASIG,DATOS!$I13620,nEVAL,"OR")=0))</f>
      </c>
      <c r="I13620">
        <f>IF(DATOS!$I13620="","",IFERROR(VLOOKUP(DATOS!$I13620,CONFIG_ASIGNATURAS!$B$2:$J$91,9,FALSE()),""))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IF(DATOS!$A13621="",0,IF(CONFIG_METADATA!$B$4&lt;&gt;"OR+EX",--(DATOS!$G13621=CONFIG_METADATA!$B$4),IF(DATOS!$G13621="EX",1,IF(DATOS!$G13621="OR",--(COUNTIFS(nNIA,DATOS!$A13621,nCURSO,DATOS!$D13621,nESPEC,DATOS!$E13621,nASIG,DATOS!$I13621,nEVAL,"EX")=0),0))))</f>
      </c>
      <c r="H13621">
        <f>IF(DATOS!$G13621&lt;&gt;"EX",0,--(COUNTIFS(nNIA,DATOS!$A13621,nCURSO,DATOS!$D13621,nESPEC,DATOS!$E13621,nASIG,DATOS!$I13621,nEVAL,"OR")=0))</f>
      </c>
      <c r="I13621">
        <f>IF(DATOS!$I13621="","",IFERROR(VLOOKUP(DATOS!$I13621,CONFIG_ASIGNATURAS!$B$2:$J$91,9,FALSE()),""))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IF(DATOS!$A13622="",0,IF(CONFIG_METADATA!$B$4&lt;&gt;"OR+EX",--(DATOS!$G13622=CONFIG_METADATA!$B$4),IF(DATOS!$G13622="EX",1,IF(DATOS!$G13622="OR",--(COUNTIFS(nNIA,DATOS!$A13622,nCURSO,DATOS!$D13622,nESPEC,DATOS!$E13622,nASIG,DATOS!$I13622,nEVAL,"EX")=0),0))))</f>
      </c>
      <c r="H13622">
        <f>IF(DATOS!$G13622&lt;&gt;"EX",0,--(COUNTIFS(nNIA,DATOS!$A13622,nCURSO,DATOS!$D13622,nESPEC,DATOS!$E13622,nASIG,DATOS!$I13622,nEVAL,"OR")=0))</f>
      </c>
      <c r="I13622">
        <f>IF(DATOS!$I13622="","",IFERROR(VLOOKUP(DATOS!$I13622,CONFIG_ASIGNATURAS!$B$2:$J$91,9,FALSE()),""))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IF(DATOS!$A13623="",0,IF(CONFIG_METADATA!$B$4&lt;&gt;"OR+EX",--(DATOS!$G13623=CONFIG_METADATA!$B$4),IF(DATOS!$G13623="EX",1,IF(DATOS!$G13623="OR",--(COUNTIFS(nNIA,DATOS!$A13623,nCURSO,DATOS!$D13623,nESPEC,DATOS!$E13623,nASIG,DATOS!$I13623,nEVAL,"EX")=0),0))))</f>
      </c>
      <c r="H13623">
        <f>IF(DATOS!$G13623&lt;&gt;"EX",0,--(COUNTIFS(nNIA,DATOS!$A13623,nCURSO,DATOS!$D13623,nESPEC,DATOS!$E13623,nASIG,DATOS!$I13623,nEVAL,"OR")=0))</f>
      </c>
      <c r="I13623">
        <f>IF(DATOS!$I13623="","",IFERROR(VLOOKUP(DATOS!$I13623,CONFIG_ASIGNATURAS!$B$2:$J$91,9,FALSE()),""))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IF(DATOS!$A13624="",0,IF(CONFIG_METADATA!$B$4&lt;&gt;"OR+EX",--(DATOS!$G13624=CONFIG_METADATA!$B$4),IF(DATOS!$G13624="EX",1,IF(DATOS!$G13624="OR",--(COUNTIFS(nNIA,DATOS!$A13624,nCURSO,DATOS!$D13624,nESPEC,DATOS!$E13624,nASIG,DATOS!$I13624,nEVAL,"EX")=0),0))))</f>
      </c>
      <c r="H13624">
        <f>IF(DATOS!$G13624&lt;&gt;"EX",0,--(COUNTIFS(nNIA,DATOS!$A13624,nCURSO,DATOS!$D13624,nESPEC,DATOS!$E13624,nASIG,DATOS!$I13624,nEVAL,"OR")=0))</f>
      </c>
      <c r="I13624">
        <f>IF(DATOS!$I13624="","",IFERROR(VLOOKUP(DATOS!$I13624,CONFIG_ASIGNATURAS!$B$2:$J$91,9,FALSE()),""))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IF(DATOS!$A13625="",0,IF(CONFIG_METADATA!$B$4&lt;&gt;"OR+EX",--(DATOS!$G13625=CONFIG_METADATA!$B$4),IF(DATOS!$G13625="EX",1,IF(DATOS!$G13625="OR",--(COUNTIFS(nNIA,DATOS!$A13625,nCURSO,DATOS!$D13625,nESPEC,DATOS!$E13625,nASIG,DATOS!$I13625,nEVAL,"EX")=0),0))))</f>
      </c>
      <c r="H13625">
        <f>IF(DATOS!$G13625&lt;&gt;"EX",0,--(COUNTIFS(nNIA,DATOS!$A13625,nCURSO,DATOS!$D13625,nESPEC,DATOS!$E13625,nASIG,DATOS!$I13625,nEVAL,"OR")=0))</f>
      </c>
      <c r="I13625">
        <f>IF(DATOS!$I13625="","",IFERROR(VLOOKUP(DATOS!$I13625,CONFIG_ASIGNATURAS!$B$2:$J$91,9,FALSE()),""))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IF(DATOS!$A13626="",0,IF(CONFIG_METADATA!$B$4&lt;&gt;"OR+EX",--(DATOS!$G13626=CONFIG_METADATA!$B$4),IF(DATOS!$G13626="EX",1,IF(DATOS!$G13626="OR",--(COUNTIFS(nNIA,DATOS!$A13626,nCURSO,DATOS!$D13626,nESPEC,DATOS!$E13626,nASIG,DATOS!$I13626,nEVAL,"EX")=0),0))))</f>
      </c>
      <c r="H13626">
        <f>IF(DATOS!$G13626&lt;&gt;"EX",0,--(COUNTIFS(nNIA,DATOS!$A13626,nCURSO,DATOS!$D13626,nESPEC,DATOS!$E13626,nASIG,DATOS!$I13626,nEVAL,"OR")=0))</f>
      </c>
      <c r="I13626">
        <f>IF(DATOS!$I13626="","",IFERROR(VLOOKUP(DATOS!$I13626,CONFIG_ASIGNATURAS!$B$2:$J$91,9,FALSE()),""))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IF(DATOS!$A13627="",0,IF(CONFIG_METADATA!$B$4&lt;&gt;"OR+EX",--(DATOS!$G13627=CONFIG_METADATA!$B$4),IF(DATOS!$G13627="EX",1,IF(DATOS!$G13627="OR",--(COUNTIFS(nNIA,DATOS!$A13627,nCURSO,DATOS!$D13627,nESPEC,DATOS!$E13627,nASIG,DATOS!$I13627,nEVAL,"EX")=0),0))))</f>
      </c>
      <c r="H13627">
        <f>IF(DATOS!$G13627&lt;&gt;"EX",0,--(COUNTIFS(nNIA,DATOS!$A13627,nCURSO,DATOS!$D13627,nESPEC,DATOS!$E13627,nASIG,DATOS!$I13627,nEVAL,"OR")=0))</f>
      </c>
      <c r="I13627">
        <f>IF(DATOS!$I13627="","",IFERROR(VLOOKUP(DATOS!$I13627,CONFIG_ASIGNATURAS!$B$2:$J$91,9,FALSE()),""))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IF(DATOS!$A13628="",0,IF(CONFIG_METADATA!$B$4&lt;&gt;"OR+EX",--(DATOS!$G13628=CONFIG_METADATA!$B$4),IF(DATOS!$G13628="EX",1,IF(DATOS!$G13628="OR",--(COUNTIFS(nNIA,DATOS!$A13628,nCURSO,DATOS!$D13628,nESPEC,DATOS!$E13628,nASIG,DATOS!$I13628,nEVAL,"EX")=0),0))))</f>
      </c>
      <c r="H13628">
        <f>IF(DATOS!$G13628&lt;&gt;"EX",0,--(COUNTIFS(nNIA,DATOS!$A13628,nCURSO,DATOS!$D13628,nESPEC,DATOS!$E13628,nASIG,DATOS!$I13628,nEVAL,"OR")=0))</f>
      </c>
      <c r="I13628">
        <f>IF(DATOS!$I13628="","",IFERROR(VLOOKUP(DATOS!$I13628,CONFIG_ASIGNATURAS!$B$2:$J$91,9,FALSE()),""))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IF(DATOS!$A13629="",0,IF(CONFIG_METADATA!$B$4&lt;&gt;"OR+EX",--(DATOS!$G13629=CONFIG_METADATA!$B$4),IF(DATOS!$G13629="EX",1,IF(DATOS!$G13629="OR",--(COUNTIFS(nNIA,DATOS!$A13629,nCURSO,DATOS!$D13629,nESPEC,DATOS!$E13629,nASIG,DATOS!$I13629,nEVAL,"EX")=0),0))))</f>
      </c>
      <c r="H13629">
        <f>IF(DATOS!$G13629&lt;&gt;"EX",0,--(COUNTIFS(nNIA,DATOS!$A13629,nCURSO,DATOS!$D13629,nESPEC,DATOS!$E13629,nASIG,DATOS!$I13629,nEVAL,"OR")=0))</f>
      </c>
      <c r="I13629">
        <f>IF(DATOS!$I13629="","",IFERROR(VLOOKUP(DATOS!$I13629,CONFIG_ASIGNATURAS!$B$2:$J$91,9,FALSE()),""))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IF(DATOS!$A13630="",0,IF(CONFIG_METADATA!$B$4&lt;&gt;"OR+EX",--(DATOS!$G13630=CONFIG_METADATA!$B$4),IF(DATOS!$G13630="EX",1,IF(DATOS!$G13630="OR",--(COUNTIFS(nNIA,DATOS!$A13630,nCURSO,DATOS!$D13630,nESPEC,DATOS!$E13630,nASIG,DATOS!$I13630,nEVAL,"EX")=0),0))))</f>
      </c>
      <c r="H13630">
        <f>IF(DATOS!$G13630&lt;&gt;"EX",0,--(COUNTIFS(nNIA,DATOS!$A13630,nCURSO,DATOS!$D13630,nESPEC,DATOS!$E13630,nASIG,DATOS!$I13630,nEVAL,"OR")=0))</f>
      </c>
      <c r="I13630">
        <f>IF(DATOS!$I13630="","",IFERROR(VLOOKUP(DATOS!$I13630,CONFIG_ASIGNATURAS!$B$2:$J$91,9,FALSE()),""))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IF(DATOS!$A13631="",0,IF(CONFIG_METADATA!$B$4&lt;&gt;"OR+EX",--(DATOS!$G13631=CONFIG_METADATA!$B$4),IF(DATOS!$G13631="EX",1,IF(DATOS!$G13631="OR",--(COUNTIFS(nNIA,DATOS!$A13631,nCURSO,DATOS!$D13631,nESPEC,DATOS!$E13631,nASIG,DATOS!$I13631,nEVAL,"EX")=0),0))))</f>
      </c>
      <c r="H13631">
        <f>IF(DATOS!$G13631&lt;&gt;"EX",0,--(COUNTIFS(nNIA,DATOS!$A13631,nCURSO,DATOS!$D13631,nESPEC,DATOS!$E13631,nASIG,DATOS!$I13631,nEVAL,"OR")=0))</f>
      </c>
      <c r="I13631">
        <f>IF(DATOS!$I13631="","",IFERROR(VLOOKUP(DATOS!$I13631,CONFIG_ASIGNATURAS!$B$2:$J$91,9,FALSE()),""))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IF(DATOS!$A13632="",0,IF(CONFIG_METADATA!$B$4&lt;&gt;"OR+EX",--(DATOS!$G13632=CONFIG_METADATA!$B$4),IF(DATOS!$G13632="EX",1,IF(DATOS!$G13632="OR",--(COUNTIFS(nNIA,DATOS!$A13632,nCURSO,DATOS!$D13632,nESPEC,DATOS!$E13632,nASIG,DATOS!$I13632,nEVAL,"EX")=0),0))))</f>
      </c>
      <c r="H13632">
        <f>IF(DATOS!$G13632&lt;&gt;"EX",0,--(COUNTIFS(nNIA,DATOS!$A13632,nCURSO,DATOS!$D13632,nESPEC,DATOS!$E13632,nASIG,DATOS!$I13632,nEVAL,"OR")=0))</f>
      </c>
      <c r="I13632">
        <f>IF(DATOS!$I13632="","",IFERROR(VLOOKUP(DATOS!$I13632,CONFIG_ASIGNATURAS!$B$2:$J$91,9,FALSE()),""))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IF(DATOS!$A13633="",0,IF(CONFIG_METADATA!$B$4&lt;&gt;"OR+EX",--(DATOS!$G13633=CONFIG_METADATA!$B$4),IF(DATOS!$G13633="EX",1,IF(DATOS!$G13633="OR",--(COUNTIFS(nNIA,DATOS!$A13633,nCURSO,DATOS!$D13633,nESPEC,DATOS!$E13633,nASIG,DATOS!$I13633,nEVAL,"EX")=0),0))))</f>
      </c>
      <c r="H13633">
        <f>IF(DATOS!$G13633&lt;&gt;"EX",0,--(COUNTIFS(nNIA,DATOS!$A13633,nCURSO,DATOS!$D13633,nESPEC,DATOS!$E13633,nASIG,DATOS!$I13633,nEVAL,"OR")=0))</f>
      </c>
      <c r="I13633">
        <f>IF(DATOS!$I13633="","",IFERROR(VLOOKUP(DATOS!$I13633,CONFIG_ASIGNATURAS!$B$2:$J$91,9,FALSE()),""))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IF(DATOS!$A13634="",0,IF(CONFIG_METADATA!$B$4&lt;&gt;"OR+EX",--(DATOS!$G13634=CONFIG_METADATA!$B$4),IF(DATOS!$G13634="EX",1,IF(DATOS!$G13634="OR",--(COUNTIFS(nNIA,DATOS!$A13634,nCURSO,DATOS!$D13634,nESPEC,DATOS!$E13634,nASIG,DATOS!$I13634,nEVAL,"EX")=0),0))))</f>
      </c>
      <c r="H13634">
        <f>IF(DATOS!$G13634&lt;&gt;"EX",0,--(COUNTIFS(nNIA,DATOS!$A13634,nCURSO,DATOS!$D13634,nESPEC,DATOS!$E13634,nASIG,DATOS!$I13634,nEVAL,"OR")=0))</f>
      </c>
      <c r="I13634">
        <f>IF(DATOS!$I13634="","",IFERROR(VLOOKUP(DATOS!$I13634,CONFIG_ASIGNATURAS!$B$2:$J$91,9,FALSE()),""))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IF(DATOS!$A13635="",0,IF(CONFIG_METADATA!$B$4&lt;&gt;"OR+EX",--(DATOS!$G13635=CONFIG_METADATA!$B$4),IF(DATOS!$G13635="EX",1,IF(DATOS!$G13635="OR",--(COUNTIFS(nNIA,DATOS!$A13635,nCURSO,DATOS!$D13635,nESPEC,DATOS!$E13635,nASIG,DATOS!$I13635,nEVAL,"EX")=0),0))))</f>
      </c>
      <c r="H13635">
        <f>IF(DATOS!$G13635&lt;&gt;"EX",0,--(COUNTIFS(nNIA,DATOS!$A13635,nCURSO,DATOS!$D13635,nESPEC,DATOS!$E13635,nASIG,DATOS!$I13635,nEVAL,"OR")=0))</f>
      </c>
      <c r="I13635">
        <f>IF(DATOS!$I13635="","",IFERROR(VLOOKUP(DATOS!$I13635,CONFIG_ASIGNATURAS!$B$2:$J$91,9,FALSE()),""))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IF(DATOS!$A13636="",0,IF(CONFIG_METADATA!$B$4&lt;&gt;"OR+EX",--(DATOS!$G13636=CONFIG_METADATA!$B$4),IF(DATOS!$G13636="EX",1,IF(DATOS!$G13636="OR",--(COUNTIFS(nNIA,DATOS!$A13636,nCURSO,DATOS!$D13636,nESPEC,DATOS!$E13636,nASIG,DATOS!$I13636,nEVAL,"EX")=0),0))))</f>
      </c>
      <c r="H13636">
        <f>IF(DATOS!$G13636&lt;&gt;"EX",0,--(COUNTIFS(nNIA,DATOS!$A13636,nCURSO,DATOS!$D13636,nESPEC,DATOS!$E13636,nASIG,DATOS!$I13636,nEVAL,"OR")=0))</f>
      </c>
      <c r="I13636">
        <f>IF(DATOS!$I13636="","",IFERROR(VLOOKUP(DATOS!$I13636,CONFIG_ASIGNATURAS!$B$2:$J$91,9,FALSE()),""))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IF(DATOS!$A13637="",0,IF(CONFIG_METADATA!$B$4&lt;&gt;"OR+EX",--(DATOS!$G13637=CONFIG_METADATA!$B$4),IF(DATOS!$G13637="EX",1,IF(DATOS!$G13637="OR",--(COUNTIFS(nNIA,DATOS!$A13637,nCURSO,DATOS!$D13637,nESPEC,DATOS!$E13637,nASIG,DATOS!$I13637,nEVAL,"EX")=0),0))))</f>
      </c>
      <c r="H13637">
        <f>IF(DATOS!$G13637&lt;&gt;"EX",0,--(COUNTIFS(nNIA,DATOS!$A13637,nCURSO,DATOS!$D13637,nESPEC,DATOS!$E13637,nASIG,DATOS!$I13637,nEVAL,"OR")=0))</f>
      </c>
      <c r="I13637">
        <f>IF(DATOS!$I13637="","",IFERROR(VLOOKUP(DATOS!$I13637,CONFIG_ASIGNATURAS!$B$2:$J$91,9,FALSE()),""))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IF(DATOS!$A13638="",0,IF(CONFIG_METADATA!$B$4&lt;&gt;"OR+EX",--(DATOS!$G13638=CONFIG_METADATA!$B$4),IF(DATOS!$G13638="EX",1,IF(DATOS!$G13638="OR",--(COUNTIFS(nNIA,DATOS!$A13638,nCURSO,DATOS!$D13638,nESPEC,DATOS!$E13638,nASIG,DATOS!$I13638,nEVAL,"EX")=0),0))))</f>
      </c>
      <c r="H13638">
        <f>IF(DATOS!$G13638&lt;&gt;"EX",0,--(COUNTIFS(nNIA,DATOS!$A13638,nCURSO,DATOS!$D13638,nESPEC,DATOS!$E13638,nASIG,DATOS!$I13638,nEVAL,"OR")=0))</f>
      </c>
      <c r="I13638">
        <f>IF(DATOS!$I13638="","",IFERROR(VLOOKUP(DATOS!$I13638,CONFIG_ASIGNATURAS!$B$2:$J$91,9,FALSE()),""))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IF(DATOS!$A13639="",0,IF(CONFIG_METADATA!$B$4&lt;&gt;"OR+EX",--(DATOS!$G13639=CONFIG_METADATA!$B$4),IF(DATOS!$G13639="EX",1,IF(DATOS!$G13639="OR",--(COUNTIFS(nNIA,DATOS!$A13639,nCURSO,DATOS!$D13639,nESPEC,DATOS!$E13639,nASIG,DATOS!$I13639,nEVAL,"EX")=0),0))))</f>
      </c>
      <c r="H13639">
        <f>IF(DATOS!$G13639&lt;&gt;"EX",0,--(COUNTIFS(nNIA,DATOS!$A13639,nCURSO,DATOS!$D13639,nESPEC,DATOS!$E13639,nASIG,DATOS!$I13639,nEVAL,"OR")=0))</f>
      </c>
      <c r="I13639">
        <f>IF(DATOS!$I13639="","",IFERROR(VLOOKUP(DATOS!$I13639,CONFIG_ASIGNATURAS!$B$2:$J$91,9,FALSE()),""))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IF(DATOS!$A13640="",0,IF(CONFIG_METADATA!$B$4&lt;&gt;"OR+EX",--(DATOS!$G13640=CONFIG_METADATA!$B$4),IF(DATOS!$G13640="EX",1,IF(DATOS!$G13640="OR",--(COUNTIFS(nNIA,DATOS!$A13640,nCURSO,DATOS!$D13640,nESPEC,DATOS!$E13640,nASIG,DATOS!$I13640,nEVAL,"EX")=0),0))))</f>
      </c>
      <c r="H13640">
        <f>IF(DATOS!$G13640&lt;&gt;"EX",0,--(COUNTIFS(nNIA,DATOS!$A13640,nCURSO,DATOS!$D13640,nESPEC,DATOS!$E13640,nASIG,DATOS!$I13640,nEVAL,"OR")=0))</f>
      </c>
      <c r="I13640">
        <f>IF(DATOS!$I13640="","",IFERROR(VLOOKUP(DATOS!$I13640,CONFIG_ASIGNATURAS!$B$2:$J$91,9,FALSE()),""))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IF(DATOS!$A13641="",0,IF(CONFIG_METADATA!$B$4&lt;&gt;"OR+EX",--(DATOS!$G13641=CONFIG_METADATA!$B$4),IF(DATOS!$G13641="EX",1,IF(DATOS!$G13641="OR",--(COUNTIFS(nNIA,DATOS!$A13641,nCURSO,DATOS!$D13641,nESPEC,DATOS!$E13641,nASIG,DATOS!$I13641,nEVAL,"EX")=0),0))))</f>
      </c>
      <c r="H13641">
        <f>IF(DATOS!$G13641&lt;&gt;"EX",0,--(COUNTIFS(nNIA,DATOS!$A13641,nCURSO,DATOS!$D13641,nESPEC,DATOS!$E13641,nASIG,DATOS!$I13641,nEVAL,"OR")=0))</f>
      </c>
      <c r="I13641">
        <f>IF(DATOS!$I13641="","",IFERROR(VLOOKUP(DATOS!$I13641,CONFIG_ASIGNATURAS!$B$2:$J$91,9,FALSE()),""))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IF(DATOS!$A13642="",0,IF(CONFIG_METADATA!$B$4&lt;&gt;"OR+EX",--(DATOS!$G13642=CONFIG_METADATA!$B$4),IF(DATOS!$G13642="EX",1,IF(DATOS!$G13642="OR",--(COUNTIFS(nNIA,DATOS!$A13642,nCURSO,DATOS!$D13642,nESPEC,DATOS!$E13642,nASIG,DATOS!$I13642,nEVAL,"EX")=0),0))))</f>
      </c>
      <c r="H13642">
        <f>IF(DATOS!$G13642&lt;&gt;"EX",0,--(COUNTIFS(nNIA,DATOS!$A13642,nCURSO,DATOS!$D13642,nESPEC,DATOS!$E13642,nASIG,DATOS!$I13642,nEVAL,"OR")=0))</f>
      </c>
      <c r="I13642">
        <f>IF(DATOS!$I13642="","",IFERROR(VLOOKUP(DATOS!$I13642,CONFIG_ASIGNATURAS!$B$2:$J$91,9,FALSE()),""))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IF(DATOS!$A13643="",0,IF(CONFIG_METADATA!$B$4&lt;&gt;"OR+EX",--(DATOS!$G13643=CONFIG_METADATA!$B$4),IF(DATOS!$G13643="EX",1,IF(DATOS!$G13643="OR",--(COUNTIFS(nNIA,DATOS!$A13643,nCURSO,DATOS!$D13643,nESPEC,DATOS!$E13643,nASIG,DATOS!$I13643,nEVAL,"EX")=0),0))))</f>
      </c>
      <c r="H13643">
        <f>IF(DATOS!$G13643&lt;&gt;"EX",0,--(COUNTIFS(nNIA,DATOS!$A13643,nCURSO,DATOS!$D13643,nESPEC,DATOS!$E13643,nASIG,DATOS!$I13643,nEVAL,"OR")=0))</f>
      </c>
      <c r="I13643">
        <f>IF(DATOS!$I13643="","",IFERROR(VLOOKUP(DATOS!$I13643,CONFIG_ASIGNATURAS!$B$2:$J$91,9,FALSE()),""))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IF(DATOS!$A13644="",0,IF(CONFIG_METADATA!$B$4&lt;&gt;"OR+EX",--(DATOS!$G13644=CONFIG_METADATA!$B$4),IF(DATOS!$G13644="EX",1,IF(DATOS!$G13644="OR",--(COUNTIFS(nNIA,DATOS!$A13644,nCURSO,DATOS!$D13644,nESPEC,DATOS!$E13644,nASIG,DATOS!$I13644,nEVAL,"EX")=0),0))))</f>
      </c>
      <c r="H13644">
        <f>IF(DATOS!$G13644&lt;&gt;"EX",0,--(COUNTIFS(nNIA,DATOS!$A13644,nCURSO,DATOS!$D13644,nESPEC,DATOS!$E13644,nASIG,DATOS!$I13644,nEVAL,"OR")=0))</f>
      </c>
      <c r="I13644">
        <f>IF(DATOS!$I13644="","",IFERROR(VLOOKUP(DATOS!$I13644,CONFIG_ASIGNATURAS!$B$2:$J$91,9,FALSE()),""))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IF(DATOS!$A13645="",0,IF(CONFIG_METADATA!$B$4&lt;&gt;"OR+EX",--(DATOS!$G13645=CONFIG_METADATA!$B$4),IF(DATOS!$G13645="EX",1,IF(DATOS!$G13645="OR",--(COUNTIFS(nNIA,DATOS!$A13645,nCURSO,DATOS!$D13645,nESPEC,DATOS!$E13645,nASIG,DATOS!$I13645,nEVAL,"EX")=0),0))))</f>
      </c>
      <c r="H13645">
        <f>IF(DATOS!$G13645&lt;&gt;"EX",0,--(COUNTIFS(nNIA,DATOS!$A13645,nCURSO,DATOS!$D13645,nESPEC,DATOS!$E13645,nASIG,DATOS!$I13645,nEVAL,"OR")=0))</f>
      </c>
      <c r="I13645">
        <f>IF(DATOS!$I13645="","",IFERROR(VLOOKUP(DATOS!$I13645,CONFIG_ASIGNATURAS!$B$2:$J$91,9,FALSE()),""))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IF(DATOS!$A13646="",0,IF(CONFIG_METADATA!$B$4&lt;&gt;"OR+EX",--(DATOS!$G13646=CONFIG_METADATA!$B$4),IF(DATOS!$G13646="EX",1,IF(DATOS!$G13646="OR",--(COUNTIFS(nNIA,DATOS!$A13646,nCURSO,DATOS!$D13646,nESPEC,DATOS!$E13646,nASIG,DATOS!$I13646,nEVAL,"EX")=0),0))))</f>
      </c>
      <c r="H13646">
        <f>IF(DATOS!$G13646&lt;&gt;"EX",0,--(COUNTIFS(nNIA,DATOS!$A13646,nCURSO,DATOS!$D13646,nESPEC,DATOS!$E13646,nASIG,DATOS!$I13646,nEVAL,"OR")=0))</f>
      </c>
      <c r="I13646">
        <f>IF(DATOS!$I13646="","",IFERROR(VLOOKUP(DATOS!$I13646,CONFIG_ASIGNATURAS!$B$2:$J$91,9,FALSE()),""))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IF(DATOS!$A13647="",0,IF(CONFIG_METADATA!$B$4&lt;&gt;"OR+EX",--(DATOS!$G13647=CONFIG_METADATA!$B$4),IF(DATOS!$G13647="EX",1,IF(DATOS!$G13647="OR",--(COUNTIFS(nNIA,DATOS!$A13647,nCURSO,DATOS!$D13647,nESPEC,DATOS!$E13647,nASIG,DATOS!$I13647,nEVAL,"EX")=0),0))))</f>
      </c>
      <c r="H13647">
        <f>IF(DATOS!$G13647&lt;&gt;"EX",0,--(COUNTIFS(nNIA,DATOS!$A13647,nCURSO,DATOS!$D13647,nESPEC,DATOS!$E13647,nASIG,DATOS!$I13647,nEVAL,"OR")=0))</f>
      </c>
      <c r="I13647">
        <f>IF(DATOS!$I13647="","",IFERROR(VLOOKUP(DATOS!$I13647,CONFIG_ASIGNATURAS!$B$2:$J$91,9,FALSE()),""))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IF(DATOS!$A13648="",0,IF(CONFIG_METADATA!$B$4&lt;&gt;"OR+EX",--(DATOS!$G13648=CONFIG_METADATA!$B$4),IF(DATOS!$G13648="EX",1,IF(DATOS!$G13648="OR",--(COUNTIFS(nNIA,DATOS!$A13648,nCURSO,DATOS!$D13648,nESPEC,DATOS!$E13648,nASIG,DATOS!$I13648,nEVAL,"EX")=0),0))))</f>
      </c>
      <c r="H13648">
        <f>IF(DATOS!$G13648&lt;&gt;"EX",0,--(COUNTIFS(nNIA,DATOS!$A13648,nCURSO,DATOS!$D13648,nESPEC,DATOS!$E13648,nASIG,DATOS!$I13648,nEVAL,"OR")=0))</f>
      </c>
      <c r="I13648">
        <f>IF(DATOS!$I13648="","",IFERROR(VLOOKUP(DATOS!$I13648,CONFIG_ASIGNATURAS!$B$2:$J$91,9,FALSE()),""))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IF(DATOS!$A13649="",0,IF(CONFIG_METADATA!$B$4&lt;&gt;"OR+EX",--(DATOS!$G13649=CONFIG_METADATA!$B$4),IF(DATOS!$G13649="EX",1,IF(DATOS!$G13649="OR",--(COUNTIFS(nNIA,DATOS!$A13649,nCURSO,DATOS!$D13649,nESPEC,DATOS!$E13649,nASIG,DATOS!$I13649,nEVAL,"EX")=0),0))))</f>
      </c>
      <c r="H13649">
        <f>IF(DATOS!$G13649&lt;&gt;"EX",0,--(COUNTIFS(nNIA,DATOS!$A13649,nCURSO,DATOS!$D13649,nESPEC,DATOS!$E13649,nASIG,DATOS!$I13649,nEVAL,"OR")=0))</f>
      </c>
      <c r="I13649">
        <f>IF(DATOS!$I13649="","",IFERROR(VLOOKUP(DATOS!$I13649,CONFIG_ASIGNATURAS!$B$2:$J$91,9,FALSE()),""))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IF(DATOS!$A13650="",0,IF(CONFIG_METADATA!$B$4&lt;&gt;"OR+EX",--(DATOS!$G13650=CONFIG_METADATA!$B$4),IF(DATOS!$G13650="EX",1,IF(DATOS!$G13650="OR",--(COUNTIFS(nNIA,DATOS!$A13650,nCURSO,DATOS!$D13650,nESPEC,DATOS!$E13650,nASIG,DATOS!$I13650,nEVAL,"EX")=0),0))))</f>
      </c>
      <c r="H13650">
        <f>IF(DATOS!$G13650&lt;&gt;"EX",0,--(COUNTIFS(nNIA,DATOS!$A13650,nCURSO,DATOS!$D13650,nESPEC,DATOS!$E13650,nASIG,DATOS!$I13650,nEVAL,"OR")=0))</f>
      </c>
      <c r="I13650">
        <f>IF(DATOS!$I13650="","",IFERROR(VLOOKUP(DATOS!$I13650,CONFIG_ASIGNATURAS!$B$2:$J$91,9,FALSE()),""))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IF(DATOS!$A13651="",0,IF(CONFIG_METADATA!$B$4&lt;&gt;"OR+EX",--(DATOS!$G13651=CONFIG_METADATA!$B$4),IF(DATOS!$G13651="EX",1,IF(DATOS!$G13651="OR",--(COUNTIFS(nNIA,DATOS!$A13651,nCURSO,DATOS!$D13651,nESPEC,DATOS!$E13651,nASIG,DATOS!$I13651,nEVAL,"EX")=0),0))))</f>
      </c>
      <c r="H13651">
        <f>IF(DATOS!$G13651&lt;&gt;"EX",0,--(COUNTIFS(nNIA,DATOS!$A13651,nCURSO,DATOS!$D13651,nESPEC,DATOS!$E13651,nASIG,DATOS!$I13651,nEVAL,"OR")=0))</f>
      </c>
      <c r="I13651">
        <f>IF(DATOS!$I13651="","",IFERROR(VLOOKUP(DATOS!$I13651,CONFIG_ASIGNATURAS!$B$2:$J$91,9,FALSE()),""))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IF(DATOS!$A13652="",0,IF(CONFIG_METADATA!$B$4&lt;&gt;"OR+EX",--(DATOS!$G13652=CONFIG_METADATA!$B$4),IF(DATOS!$G13652="EX",1,IF(DATOS!$G13652="OR",--(COUNTIFS(nNIA,DATOS!$A13652,nCURSO,DATOS!$D13652,nESPEC,DATOS!$E13652,nASIG,DATOS!$I13652,nEVAL,"EX")=0),0))))</f>
      </c>
      <c r="H13652">
        <f>IF(DATOS!$G13652&lt;&gt;"EX",0,--(COUNTIFS(nNIA,DATOS!$A13652,nCURSO,DATOS!$D13652,nESPEC,DATOS!$E13652,nASIG,DATOS!$I13652,nEVAL,"OR")=0))</f>
      </c>
      <c r="I13652">
        <f>IF(DATOS!$I13652="","",IFERROR(VLOOKUP(DATOS!$I13652,CONFIG_ASIGNATURAS!$B$2:$J$91,9,FALSE()),""))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IF(DATOS!$A13653="",0,IF(CONFIG_METADATA!$B$4&lt;&gt;"OR+EX",--(DATOS!$G13653=CONFIG_METADATA!$B$4),IF(DATOS!$G13653="EX",1,IF(DATOS!$G13653="OR",--(COUNTIFS(nNIA,DATOS!$A13653,nCURSO,DATOS!$D13653,nESPEC,DATOS!$E13653,nASIG,DATOS!$I13653,nEVAL,"EX")=0),0))))</f>
      </c>
      <c r="H13653">
        <f>IF(DATOS!$G13653&lt;&gt;"EX",0,--(COUNTIFS(nNIA,DATOS!$A13653,nCURSO,DATOS!$D13653,nESPEC,DATOS!$E13653,nASIG,DATOS!$I13653,nEVAL,"OR")=0))</f>
      </c>
      <c r="I13653">
        <f>IF(DATOS!$I13653="","",IFERROR(VLOOKUP(DATOS!$I13653,CONFIG_ASIGNATURAS!$B$2:$J$91,9,FALSE()),""))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IF(DATOS!$A13654="",0,IF(CONFIG_METADATA!$B$4&lt;&gt;"OR+EX",--(DATOS!$G13654=CONFIG_METADATA!$B$4),IF(DATOS!$G13654="EX",1,IF(DATOS!$G13654="OR",--(COUNTIFS(nNIA,DATOS!$A13654,nCURSO,DATOS!$D13654,nESPEC,DATOS!$E13654,nASIG,DATOS!$I13654,nEVAL,"EX")=0),0))))</f>
      </c>
      <c r="H13654">
        <f>IF(DATOS!$G13654&lt;&gt;"EX",0,--(COUNTIFS(nNIA,DATOS!$A13654,nCURSO,DATOS!$D13654,nESPEC,DATOS!$E13654,nASIG,DATOS!$I13654,nEVAL,"OR")=0))</f>
      </c>
      <c r="I13654">
        <f>IF(DATOS!$I13654="","",IFERROR(VLOOKUP(DATOS!$I13654,CONFIG_ASIGNATURAS!$B$2:$J$91,9,FALSE()),""))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IF(DATOS!$A13655="",0,IF(CONFIG_METADATA!$B$4&lt;&gt;"OR+EX",--(DATOS!$G13655=CONFIG_METADATA!$B$4),IF(DATOS!$G13655="EX",1,IF(DATOS!$G13655="OR",--(COUNTIFS(nNIA,DATOS!$A13655,nCURSO,DATOS!$D13655,nESPEC,DATOS!$E13655,nASIG,DATOS!$I13655,nEVAL,"EX")=0),0))))</f>
      </c>
      <c r="H13655">
        <f>IF(DATOS!$G13655&lt;&gt;"EX",0,--(COUNTIFS(nNIA,DATOS!$A13655,nCURSO,DATOS!$D13655,nESPEC,DATOS!$E13655,nASIG,DATOS!$I13655,nEVAL,"OR")=0))</f>
      </c>
      <c r="I13655">
        <f>IF(DATOS!$I13655="","",IFERROR(VLOOKUP(DATOS!$I13655,CONFIG_ASIGNATURAS!$B$2:$J$91,9,FALSE()),""))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IF(DATOS!$A13656="",0,IF(CONFIG_METADATA!$B$4&lt;&gt;"OR+EX",--(DATOS!$G13656=CONFIG_METADATA!$B$4),IF(DATOS!$G13656="EX",1,IF(DATOS!$G13656="OR",--(COUNTIFS(nNIA,DATOS!$A13656,nCURSO,DATOS!$D13656,nESPEC,DATOS!$E13656,nASIG,DATOS!$I13656,nEVAL,"EX")=0),0))))</f>
      </c>
      <c r="H13656">
        <f>IF(DATOS!$G13656&lt;&gt;"EX",0,--(COUNTIFS(nNIA,DATOS!$A13656,nCURSO,DATOS!$D13656,nESPEC,DATOS!$E13656,nASIG,DATOS!$I13656,nEVAL,"OR")=0))</f>
      </c>
      <c r="I13656">
        <f>IF(DATOS!$I13656="","",IFERROR(VLOOKUP(DATOS!$I13656,CONFIG_ASIGNATURAS!$B$2:$J$91,9,FALSE()),""))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IF(DATOS!$A13657="",0,IF(CONFIG_METADATA!$B$4&lt;&gt;"OR+EX",--(DATOS!$G13657=CONFIG_METADATA!$B$4),IF(DATOS!$G13657="EX",1,IF(DATOS!$G13657="OR",--(COUNTIFS(nNIA,DATOS!$A13657,nCURSO,DATOS!$D13657,nESPEC,DATOS!$E13657,nASIG,DATOS!$I13657,nEVAL,"EX")=0),0))))</f>
      </c>
      <c r="H13657">
        <f>IF(DATOS!$G13657&lt;&gt;"EX",0,--(COUNTIFS(nNIA,DATOS!$A13657,nCURSO,DATOS!$D13657,nESPEC,DATOS!$E13657,nASIG,DATOS!$I13657,nEVAL,"OR")=0))</f>
      </c>
      <c r="I13657">
        <f>IF(DATOS!$I13657="","",IFERROR(VLOOKUP(DATOS!$I13657,CONFIG_ASIGNATURAS!$B$2:$J$91,9,FALSE()),""))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IF(DATOS!$A13658="",0,IF(CONFIG_METADATA!$B$4&lt;&gt;"OR+EX",--(DATOS!$G13658=CONFIG_METADATA!$B$4),IF(DATOS!$G13658="EX",1,IF(DATOS!$G13658="OR",--(COUNTIFS(nNIA,DATOS!$A13658,nCURSO,DATOS!$D13658,nESPEC,DATOS!$E13658,nASIG,DATOS!$I13658,nEVAL,"EX")=0),0))))</f>
      </c>
      <c r="H13658">
        <f>IF(DATOS!$G13658&lt;&gt;"EX",0,--(COUNTIFS(nNIA,DATOS!$A13658,nCURSO,DATOS!$D13658,nESPEC,DATOS!$E13658,nASIG,DATOS!$I13658,nEVAL,"OR")=0))</f>
      </c>
      <c r="I13658">
        <f>IF(DATOS!$I13658="","",IFERROR(VLOOKUP(DATOS!$I13658,CONFIG_ASIGNATURAS!$B$2:$J$91,9,FALSE()),""))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IF(DATOS!$A13659="",0,IF(CONFIG_METADATA!$B$4&lt;&gt;"OR+EX",--(DATOS!$G13659=CONFIG_METADATA!$B$4),IF(DATOS!$G13659="EX",1,IF(DATOS!$G13659="OR",--(COUNTIFS(nNIA,DATOS!$A13659,nCURSO,DATOS!$D13659,nESPEC,DATOS!$E13659,nASIG,DATOS!$I13659,nEVAL,"EX")=0),0))))</f>
      </c>
      <c r="H13659">
        <f>IF(DATOS!$G13659&lt;&gt;"EX",0,--(COUNTIFS(nNIA,DATOS!$A13659,nCURSO,DATOS!$D13659,nESPEC,DATOS!$E13659,nASIG,DATOS!$I13659,nEVAL,"OR")=0))</f>
      </c>
      <c r="I13659">
        <f>IF(DATOS!$I13659="","",IFERROR(VLOOKUP(DATOS!$I13659,CONFIG_ASIGNATURAS!$B$2:$J$91,9,FALSE()),""))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IF(DATOS!$A13660="",0,IF(CONFIG_METADATA!$B$4&lt;&gt;"OR+EX",--(DATOS!$G13660=CONFIG_METADATA!$B$4),IF(DATOS!$G13660="EX",1,IF(DATOS!$G13660="OR",--(COUNTIFS(nNIA,DATOS!$A13660,nCURSO,DATOS!$D13660,nESPEC,DATOS!$E13660,nASIG,DATOS!$I13660,nEVAL,"EX")=0),0))))</f>
      </c>
      <c r="H13660">
        <f>IF(DATOS!$G13660&lt;&gt;"EX",0,--(COUNTIFS(nNIA,DATOS!$A13660,nCURSO,DATOS!$D13660,nESPEC,DATOS!$E13660,nASIG,DATOS!$I13660,nEVAL,"OR")=0))</f>
      </c>
      <c r="I13660">
        <f>IF(DATOS!$I13660="","",IFERROR(VLOOKUP(DATOS!$I13660,CONFIG_ASIGNATURAS!$B$2:$J$91,9,FALSE()),""))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IF(DATOS!$A13661="",0,IF(CONFIG_METADATA!$B$4&lt;&gt;"OR+EX",--(DATOS!$G13661=CONFIG_METADATA!$B$4),IF(DATOS!$G13661="EX",1,IF(DATOS!$G13661="OR",--(COUNTIFS(nNIA,DATOS!$A13661,nCURSO,DATOS!$D13661,nESPEC,DATOS!$E13661,nASIG,DATOS!$I13661,nEVAL,"EX")=0),0))))</f>
      </c>
      <c r="H13661">
        <f>IF(DATOS!$G13661&lt;&gt;"EX",0,--(COUNTIFS(nNIA,DATOS!$A13661,nCURSO,DATOS!$D13661,nESPEC,DATOS!$E13661,nASIG,DATOS!$I13661,nEVAL,"OR")=0))</f>
      </c>
      <c r="I13661">
        <f>IF(DATOS!$I13661="","",IFERROR(VLOOKUP(DATOS!$I13661,CONFIG_ASIGNATURAS!$B$2:$J$91,9,FALSE()),""))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IF(DATOS!$A13662="",0,IF(CONFIG_METADATA!$B$4&lt;&gt;"OR+EX",--(DATOS!$G13662=CONFIG_METADATA!$B$4),IF(DATOS!$G13662="EX",1,IF(DATOS!$G13662="OR",--(COUNTIFS(nNIA,DATOS!$A13662,nCURSO,DATOS!$D13662,nESPEC,DATOS!$E13662,nASIG,DATOS!$I13662,nEVAL,"EX")=0),0))))</f>
      </c>
      <c r="H13662">
        <f>IF(DATOS!$G13662&lt;&gt;"EX",0,--(COUNTIFS(nNIA,DATOS!$A13662,nCURSO,DATOS!$D13662,nESPEC,DATOS!$E13662,nASIG,DATOS!$I13662,nEVAL,"OR")=0))</f>
      </c>
      <c r="I13662">
        <f>IF(DATOS!$I13662="","",IFERROR(VLOOKUP(DATOS!$I13662,CONFIG_ASIGNATURAS!$B$2:$J$91,9,FALSE()),""))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IF(DATOS!$A13663="",0,IF(CONFIG_METADATA!$B$4&lt;&gt;"OR+EX",--(DATOS!$G13663=CONFIG_METADATA!$B$4),IF(DATOS!$G13663="EX",1,IF(DATOS!$G13663="OR",--(COUNTIFS(nNIA,DATOS!$A13663,nCURSO,DATOS!$D13663,nESPEC,DATOS!$E13663,nASIG,DATOS!$I13663,nEVAL,"EX")=0),0))))</f>
      </c>
      <c r="H13663">
        <f>IF(DATOS!$G13663&lt;&gt;"EX",0,--(COUNTIFS(nNIA,DATOS!$A13663,nCURSO,DATOS!$D13663,nESPEC,DATOS!$E13663,nASIG,DATOS!$I13663,nEVAL,"OR")=0))</f>
      </c>
      <c r="I13663">
        <f>IF(DATOS!$I13663="","",IFERROR(VLOOKUP(DATOS!$I13663,CONFIG_ASIGNATURAS!$B$2:$J$91,9,FALSE()),""))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IF(DATOS!$A13664="",0,IF(CONFIG_METADATA!$B$4&lt;&gt;"OR+EX",--(DATOS!$G13664=CONFIG_METADATA!$B$4),IF(DATOS!$G13664="EX",1,IF(DATOS!$G13664="OR",--(COUNTIFS(nNIA,DATOS!$A13664,nCURSO,DATOS!$D13664,nESPEC,DATOS!$E13664,nASIG,DATOS!$I13664,nEVAL,"EX")=0),0))))</f>
      </c>
      <c r="H13664">
        <f>IF(DATOS!$G13664&lt;&gt;"EX",0,--(COUNTIFS(nNIA,DATOS!$A13664,nCURSO,DATOS!$D13664,nESPEC,DATOS!$E13664,nASIG,DATOS!$I13664,nEVAL,"OR")=0))</f>
      </c>
      <c r="I13664">
        <f>IF(DATOS!$I13664="","",IFERROR(VLOOKUP(DATOS!$I13664,CONFIG_ASIGNATURAS!$B$2:$J$91,9,FALSE()),""))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IF(DATOS!$A13665="",0,IF(CONFIG_METADATA!$B$4&lt;&gt;"OR+EX",--(DATOS!$G13665=CONFIG_METADATA!$B$4),IF(DATOS!$G13665="EX",1,IF(DATOS!$G13665="OR",--(COUNTIFS(nNIA,DATOS!$A13665,nCURSO,DATOS!$D13665,nESPEC,DATOS!$E13665,nASIG,DATOS!$I13665,nEVAL,"EX")=0),0))))</f>
      </c>
      <c r="H13665">
        <f>IF(DATOS!$G13665&lt;&gt;"EX",0,--(COUNTIFS(nNIA,DATOS!$A13665,nCURSO,DATOS!$D13665,nESPEC,DATOS!$E13665,nASIG,DATOS!$I13665,nEVAL,"OR")=0))</f>
      </c>
      <c r="I13665">
        <f>IF(DATOS!$I13665="","",IFERROR(VLOOKUP(DATOS!$I13665,CONFIG_ASIGNATURAS!$B$2:$J$91,9,FALSE()),""))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IF(DATOS!$A13666="",0,IF(CONFIG_METADATA!$B$4&lt;&gt;"OR+EX",--(DATOS!$G13666=CONFIG_METADATA!$B$4),IF(DATOS!$G13666="EX",1,IF(DATOS!$G13666="OR",--(COUNTIFS(nNIA,DATOS!$A13666,nCURSO,DATOS!$D13666,nESPEC,DATOS!$E13666,nASIG,DATOS!$I13666,nEVAL,"EX")=0),0))))</f>
      </c>
      <c r="H13666">
        <f>IF(DATOS!$G13666&lt;&gt;"EX",0,--(COUNTIFS(nNIA,DATOS!$A13666,nCURSO,DATOS!$D13666,nESPEC,DATOS!$E13666,nASIG,DATOS!$I13666,nEVAL,"OR")=0))</f>
      </c>
      <c r="I13666">
        <f>IF(DATOS!$I13666="","",IFERROR(VLOOKUP(DATOS!$I13666,CONFIG_ASIGNATURAS!$B$2:$J$91,9,FALSE()),""))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IF(DATOS!$A13667="",0,IF(CONFIG_METADATA!$B$4&lt;&gt;"OR+EX",--(DATOS!$G13667=CONFIG_METADATA!$B$4),IF(DATOS!$G13667="EX",1,IF(DATOS!$G13667="OR",--(COUNTIFS(nNIA,DATOS!$A13667,nCURSO,DATOS!$D13667,nESPEC,DATOS!$E13667,nASIG,DATOS!$I13667,nEVAL,"EX")=0),0))))</f>
      </c>
      <c r="H13667">
        <f>IF(DATOS!$G13667&lt;&gt;"EX",0,--(COUNTIFS(nNIA,DATOS!$A13667,nCURSO,DATOS!$D13667,nESPEC,DATOS!$E13667,nASIG,DATOS!$I13667,nEVAL,"OR")=0))</f>
      </c>
      <c r="I13667">
        <f>IF(DATOS!$I13667="","",IFERROR(VLOOKUP(DATOS!$I13667,CONFIG_ASIGNATURAS!$B$2:$J$91,9,FALSE()),""))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IF(DATOS!$A13668="",0,IF(CONFIG_METADATA!$B$4&lt;&gt;"OR+EX",--(DATOS!$G13668=CONFIG_METADATA!$B$4),IF(DATOS!$G13668="EX",1,IF(DATOS!$G13668="OR",--(COUNTIFS(nNIA,DATOS!$A13668,nCURSO,DATOS!$D13668,nESPEC,DATOS!$E13668,nASIG,DATOS!$I13668,nEVAL,"EX")=0),0))))</f>
      </c>
      <c r="H13668">
        <f>IF(DATOS!$G13668&lt;&gt;"EX",0,--(COUNTIFS(nNIA,DATOS!$A13668,nCURSO,DATOS!$D13668,nESPEC,DATOS!$E13668,nASIG,DATOS!$I13668,nEVAL,"OR")=0))</f>
      </c>
      <c r="I13668">
        <f>IF(DATOS!$I13668="","",IFERROR(VLOOKUP(DATOS!$I13668,CONFIG_ASIGNATURAS!$B$2:$J$91,9,FALSE()),""))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IF(DATOS!$A13669="",0,IF(CONFIG_METADATA!$B$4&lt;&gt;"OR+EX",--(DATOS!$G13669=CONFIG_METADATA!$B$4),IF(DATOS!$G13669="EX",1,IF(DATOS!$G13669="OR",--(COUNTIFS(nNIA,DATOS!$A13669,nCURSO,DATOS!$D13669,nESPEC,DATOS!$E13669,nASIG,DATOS!$I13669,nEVAL,"EX")=0),0))))</f>
      </c>
      <c r="H13669">
        <f>IF(DATOS!$G13669&lt;&gt;"EX",0,--(COUNTIFS(nNIA,DATOS!$A13669,nCURSO,DATOS!$D13669,nESPEC,DATOS!$E13669,nASIG,DATOS!$I13669,nEVAL,"OR")=0))</f>
      </c>
      <c r="I13669">
        <f>IF(DATOS!$I13669="","",IFERROR(VLOOKUP(DATOS!$I13669,CONFIG_ASIGNATURAS!$B$2:$J$91,9,FALSE()),""))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IF(DATOS!$A13670="",0,IF(CONFIG_METADATA!$B$4&lt;&gt;"OR+EX",--(DATOS!$G13670=CONFIG_METADATA!$B$4),IF(DATOS!$G13670="EX",1,IF(DATOS!$G13670="OR",--(COUNTIFS(nNIA,DATOS!$A13670,nCURSO,DATOS!$D13670,nESPEC,DATOS!$E13670,nASIG,DATOS!$I13670,nEVAL,"EX")=0),0))))</f>
      </c>
      <c r="H13670">
        <f>IF(DATOS!$G13670&lt;&gt;"EX",0,--(COUNTIFS(nNIA,DATOS!$A13670,nCURSO,DATOS!$D13670,nESPEC,DATOS!$E13670,nASIG,DATOS!$I13670,nEVAL,"OR")=0))</f>
      </c>
      <c r="I13670">
        <f>IF(DATOS!$I13670="","",IFERROR(VLOOKUP(DATOS!$I13670,CONFIG_ASIGNATURAS!$B$2:$J$91,9,FALSE()),""))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IF(DATOS!$A13671="",0,IF(CONFIG_METADATA!$B$4&lt;&gt;"OR+EX",--(DATOS!$G13671=CONFIG_METADATA!$B$4),IF(DATOS!$G13671="EX",1,IF(DATOS!$G13671="OR",--(COUNTIFS(nNIA,DATOS!$A13671,nCURSO,DATOS!$D13671,nESPEC,DATOS!$E13671,nASIG,DATOS!$I13671,nEVAL,"EX")=0),0))))</f>
      </c>
      <c r="H13671">
        <f>IF(DATOS!$G13671&lt;&gt;"EX",0,--(COUNTIFS(nNIA,DATOS!$A13671,nCURSO,DATOS!$D13671,nESPEC,DATOS!$E13671,nASIG,DATOS!$I13671,nEVAL,"OR")=0))</f>
      </c>
      <c r="I13671">
        <f>IF(DATOS!$I13671="","",IFERROR(VLOOKUP(DATOS!$I13671,CONFIG_ASIGNATURAS!$B$2:$J$91,9,FALSE()),""))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IF(DATOS!$A13672="",0,IF(CONFIG_METADATA!$B$4&lt;&gt;"OR+EX",--(DATOS!$G13672=CONFIG_METADATA!$B$4),IF(DATOS!$G13672="EX",1,IF(DATOS!$G13672="OR",--(COUNTIFS(nNIA,DATOS!$A13672,nCURSO,DATOS!$D13672,nESPEC,DATOS!$E13672,nASIG,DATOS!$I13672,nEVAL,"EX")=0),0))))</f>
      </c>
      <c r="H13672">
        <f>IF(DATOS!$G13672&lt;&gt;"EX",0,--(COUNTIFS(nNIA,DATOS!$A13672,nCURSO,DATOS!$D13672,nESPEC,DATOS!$E13672,nASIG,DATOS!$I13672,nEVAL,"OR")=0))</f>
      </c>
      <c r="I13672">
        <f>IF(DATOS!$I13672="","",IFERROR(VLOOKUP(DATOS!$I13672,CONFIG_ASIGNATURAS!$B$2:$J$91,9,FALSE()),""))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IF(DATOS!$A13673="",0,IF(CONFIG_METADATA!$B$4&lt;&gt;"OR+EX",--(DATOS!$G13673=CONFIG_METADATA!$B$4),IF(DATOS!$G13673="EX",1,IF(DATOS!$G13673="OR",--(COUNTIFS(nNIA,DATOS!$A13673,nCURSO,DATOS!$D13673,nESPEC,DATOS!$E13673,nASIG,DATOS!$I13673,nEVAL,"EX")=0),0))))</f>
      </c>
      <c r="H13673">
        <f>IF(DATOS!$G13673&lt;&gt;"EX",0,--(COUNTIFS(nNIA,DATOS!$A13673,nCURSO,DATOS!$D13673,nESPEC,DATOS!$E13673,nASIG,DATOS!$I13673,nEVAL,"OR")=0))</f>
      </c>
      <c r="I13673">
        <f>IF(DATOS!$I13673="","",IFERROR(VLOOKUP(DATOS!$I13673,CONFIG_ASIGNATURAS!$B$2:$J$91,9,FALSE()),""))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IF(DATOS!$A13674="",0,IF(CONFIG_METADATA!$B$4&lt;&gt;"OR+EX",--(DATOS!$G13674=CONFIG_METADATA!$B$4),IF(DATOS!$G13674="EX",1,IF(DATOS!$G13674="OR",--(COUNTIFS(nNIA,DATOS!$A13674,nCURSO,DATOS!$D13674,nESPEC,DATOS!$E13674,nASIG,DATOS!$I13674,nEVAL,"EX")=0),0))))</f>
      </c>
      <c r="H13674">
        <f>IF(DATOS!$G13674&lt;&gt;"EX",0,--(COUNTIFS(nNIA,DATOS!$A13674,nCURSO,DATOS!$D13674,nESPEC,DATOS!$E13674,nASIG,DATOS!$I13674,nEVAL,"OR")=0))</f>
      </c>
      <c r="I13674">
        <f>IF(DATOS!$I13674="","",IFERROR(VLOOKUP(DATOS!$I13674,CONFIG_ASIGNATURAS!$B$2:$J$91,9,FALSE()),""))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IF(DATOS!$A13675="",0,IF(CONFIG_METADATA!$B$4&lt;&gt;"OR+EX",--(DATOS!$G13675=CONFIG_METADATA!$B$4),IF(DATOS!$G13675="EX",1,IF(DATOS!$G13675="OR",--(COUNTIFS(nNIA,DATOS!$A13675,nCURSO,DATOS!$D13675,nESPEC,DATOS!$E13675,nASIG,DATOS!$I13675,nEVAL,"EX")=0),0))))</f>
      </c>
      <c r="H13675">
        <f>IF(DATOS!$G13675&lt;&gt;"EX",0,--(COUNTIFS(nNIA,DATOS!$A13675,nCURSO,DATOS!$D13675,nESPEC,DATOS!$E13675,nASIG,DATOS!$I13675,nEVAL,"OR")=0))</f>
      </c>
      <c r="I13675">
        <f>IF(DATOS!$I13675="","",IFERROR(VLOOKUP(DATOS!$I13675,CONFIG_ASIGNATURAS!$B$2:$J$91,9,FALSE()),""))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IF(DATOS!$A13676="",0,IF(CONFIG_METADATA!$B$4&lt;&gt;"OR+EX",--(DATOS!$G13676=CONFIG_METADATA!$B$4),IF(DATOS!$G13676="EX",1,IF(DATOS!$G13676="OR",--(COUNTIFS(nNIA,DATOS!$A13676,nCURSO,DATOS!$D13676,nESPEC,DATOS!$E13676,nASIG,DATOS!$I13676,nEVAL,"EX")=0),0))))</f>
      </c>
      <c r="H13676">
        <f>IF(DATOS!$G13676&lt;&gt;"EX",0,--(COUNTIFS(nNIA,DATOS!$A13676,nCURSO,DATOS!$D13676,nESPEC,DATOS!$E13676,nASIG,DATOS!$I13676,nEVAL,"OR")=0))</f>
      </c>
      <c r="I13676">
        <f>IF(DATOS!$I13676="","",IFERROR(VLOOKUP(DATOS!$I13676,CONFIG_ASIGNATURAS!$B$2:$J$91,9,FALSE()),""))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IF(DATOS!$A13677="",0,IF(CONFIG_METADATA!$B$4&lt;&gt;"OR+EX",--(DATOS!$G13677=CONFIG_METADATA!$B$4),IF(DATOS!$G13677="EX",1,IF(DATOS!$G13677="OR",--(COUNTIFS(nNIA,DATOS!$A13677,nCURSO,DATOS!$D13677,nESPEC,DATOS!$E13677,nASIG,DATOS!$I13677,nEVAL,"EX")=0),0))))</f>
      </c>
      <c r="H13677">
        <f>IF(DATOS!$G13677&lt;&gt;"EX",0,--(COUNTIFS(nNIA,DATOS!$A13677,nCURSO,DATOS!$D13677,nESPEC,DATOS!$E13677,nASIG,DATOS!$I13677,nEVAL,"OR")=0))</f>
      </c>
      <c r="I13677">
        <f>IF(DATOS!$I13677="","",IFERROR(VLOOKUP(DATOS!$I13677,CONFIG_ASIGNATURAS!$B$2:$J$91,9,FALSE()),""))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IF(DATOS!$A13678="",0,IF(CONFIG_METADATA!$B$4&lt;&gt;"OR+EX",--(DATOS!$G13678=CONFIG_METADATA!$B$4),IF(DATOS!$G13678="EX",1,IF(DATOS!$G13678="OR",--(COUNTIFS(nNIA,DATOS!$A13678,nCURSO,DATOS!$D13678,nESPEC,DATOS!$E13678,nASIG,DATOS!$I13678,nEVAL,"EX")=0),0))))</f>
      </c>
      <c r="H13678">
        <f>IF(DATOS!$G13678&lt;&gt;"EX",0,--(COUNTIFS(nNIA,DATOS!$A13678,nCURSO,DATOS!$D13678,nESPEC,DATOS!$E13678,nASIG,DATOS!$I13678,nEVAL,"OR")=0))</f>
      </c>
      <c r="I13678">
        <f>IF(DATOS!$I13678="","",IFERROR(VLOOKUP(DATOS!$I13678,CONFIG_ASIGNATURAS!$B$2:$J$91,9,FALSE()),""))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IF(DATOS!$A13679="",0,IF(CONFIG_METADATA!$B$4&lt;&gt;"OR+EX",--(DATOS!$G13679=CONFIG_METADATA!$B$4),IF(DATOS!$G13679="EX",1,IF(DATOS!$G13679="OR",--(COUNTIFS(nNIA,DATOS!$A13679,nCURSO,DATOS!$D13679,nESPEC,DATOS!$E13679,nASIG,DATOS!$I13679,nEVAL,"EX")=0),0))))</f>
      </c>
      <c r="H13679">
        <f>IF(DATOS!$G13679&lt;&gt;"EX",0,--(COUNTIFS(nNIA,DATOS!$A13679,nCURSO,DATOS!$D13679,nESPEC,DATOS!$E13679,nASIG,DATOS!$I13679,nEVAL,"OR")=0))</f>
      </c>
      <c r="I13679">
        <f>IF(DATOS!$I13679="","",IFERROR(VLOOKUP(DATOS!$I13679,CONFIG_ASIGNATURAS!$B$2:$J$91,9,FALSE()),""))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IF(DATOS!$A13680="",0,IF(CONFIG_METADATA!$B$4&lt;&gt;"OR+EX",--(DATOS!$G13680=CONFIG_METADATA!$B$4),IF(DATOS!$G13680="EX",1,IF(DATOS!$G13680="OR",--(COUNTIFS(nNIA,DATOS!$A13680,nCURSO,DATOS!$D13680,nESPEC,DATOS!$E13680,nASIG,DATOS!$I13680,nEVAL,"EX")=0),0))))</f>
      </c>
      <c r="H13680">
        <f>IF(DATOS!$G13680&lt;&gt;"EX",0,--(COUNTIFS(nNIA,DATOS!$A13680,nCURSO,DATOS!$D13680,nESPEC,DATOS!$E13680,nASIG,DATOS!$I13680,nEVAL,"OR")=0))</f>
      </c>
      <c r="I13680">
        <f>IF(DATOS!$I13680="","",IFERROR(VLOOKUP(DATOS!$I13680,CONFIG_ASIGNATURAS!$B$2:$J$91,9,FALSE()),""))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IF(DATOS!$A13681="",0,IF(CONFIG_METADATA!$B$4&lt;&gt;"OR+EX",--(DATOS!$G13681=CONFIG_METADATA!$B$4),IF(DATOS!$G13681="EX",1,IF(DATOS!$G13681="OR",--(COUNTIFS(nNIA,DATOS!$A13681,nCURSO,DATOS!$D13681,nESPEC,DATOS!$E13681,nASIG,DATOS!$I13681,nEVAL,"EX")=0),0))))</f>
      </c>
      <c r="H13681">
        <f>IF(DATOS!$G13681&lt;&gt;"EX",0,--(COUNTIFS(nNIA,DATOS!$A13681,nCURSO,DATOS!$D13681,nESPEC,DATOS!$E13681,nASIG,DATOS!$I13681,nEVAL,"OR")=0))</f>
      </c>
      <c r="I13681">
        <f>IF(DATOS!$I13681="","",IFERROR(VLOOKUP(DATOS!$I13681,CONFIG_ASIGNATURAS!$B$2:$J$91,9,FALSE()),""))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IF(DATOS!$A13682="",0,IF(CONFIG_METADATA!$B$4&lt;&gt;"OR+EX",--(DATOS!$G13682=CONFIG_METADATA!$B$4),IF(DATOS!$G13682="EX",1,IF(DATOS!$G13682="OR",--(COUNTIFS(nNIA,DATOS!$A13682,nCURSO,DATOS!$D13682,nESPEC,DATOS!$E13682,nASIG,DATOS!$I13682,nEVAL,"EX")=0),0))))</f>
      </c>
      <c r="H13682">
        <f>IF(DATOS!$G13682&lt;&gt;"EX",0,--(COUNTIFS(nNIA,DATOS!$A13682,nCURSO,DATOS!$D13682,nESPEC,DATOS!$E13682,nASIG,DATOS!$I13682,nEVAL,"OR")=0))</f>
      </c>
      <c r="I13682">
        <f>IF(DATOS!$I13682="","",IFERROR(VLOOKUP(DATOS!$I13682,CONFIG_ASIGNATURAS!$B$2:$J$91,9,FALSE()),""))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IF(DATOS!$A13683="",0,IF(CONFIG_METADATA!$B$4&lt;&gt;"OR+EX",--(DATOS!$G13683=CONFIG_METADATA!$B$4),IF(DATOS!$G13683="EX",1,IF(DATOS!$G13683="OR",--(COUNTIFS(nNIA,DATOS!$A13683,nCURSO,DATOS!$D13683,nESPEC,DATOS!$E13683,nASIG,DATOS!$I13683,nEVAL,"EX")=0),0))))</f>
      </c>
      <c r="H13683">
        <f>IF(DATOS!$G13683&lt;&gt;"EX",0,--(COUNTIFS(nNIA,DATOS!$A13683,nCURSO,DATOS!$D13683,nESPEC,DATOS!$E13683,nASIG,DATOS!$I13683,nEVAL,"OR")=0))</f>
      </c>
      <c r="I13683">
        <f>IF(DATOS!$I13683="","",IFERROR(VLOOKUP(DATOS!$I13683,CONFIG_ASIGNATURAS!$B$2:$J$91,9,FALSE()),""))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IF(DATOS!$A13684="",0,IF(CONFIG_METADATA!$B$4&lt;&gt;"OR+EX",--(DATOS!$G13684=CONFIG_METADATA!$B$4),IF(DATOS!$G13684="EX",1,IF(DATOS!$G13684="OR",--(COUNTIFS(nNIA,DATOS!$A13684,nCURSO,DATOS!$D13684,nESPEC,DATOS!$E13684,nASIG,DATOS!$I13684,nEVAL,"EX")=0),0))))</f>
      </c>
      <c r="H13684">
        <f>IF(DATOS!$G13684&lt;&gt;"EX",0,--(COUNTIFS(nNIA,DATOS!$A13684,nCURSO,DATOS!$D13684,nESPEC,DATOS!$E13684,nASIG,DATOS!$I13684,nEVAL,"OR")=0))</f>
      </c>
      <c r="I13684">
        <f>IF(DATOS!$I13684="","",IFERROR(VLOOKUP(DATOS!$I13684,CONFIG_ASIGNATURAS!$B$2:$J$91,9,FALSE()),""))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IF(DATOS!$A13685="",0,IF(CONFIG_METADATA!$B$4&lt;&gt;"OR+EX",--(DATOS!$G13685=CONFIG_METADATA!$B$4),IF(DATOS!$G13685="EX",1,IF(DATOS!$G13685="OR",--(COUNTIFS(nNIA,DATOS!$A13685,nCURSO,DATOS!$D13685,nESPEC,DATOS!$E13685,nASIG,DATOS!$I13685,nEVAL,"EX")=0),0))))</f>
      </c>
      <c r="H13685">
        <f>IF(DATOS!$G13685&lt;&gt;"EX",0,--(COUNTIFS(nNIA,DATOS!$A13685,nCURSO,DATOS!$D13685,nESPEC,DATOS!$E13685,nASIG,DATOS!$I13685,nEVAL,"OR")=0))</f>
      </c>
      <c r="I13685">
        <f>IF(DATOS!$I13685="","",IFERROR(VLOOKUP(DATOS!$I13685,CONFIG_ASIGNATURAS!$B$2:$J$91,9,FALSE()),""))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IF(DATOS!$A13686="",0,IF(CONFIG_METADATA!$B$4&lt;&gt;"OR+EX",--(DATOS!$G13686=CONFIG_METADATA!$B$4),IF(DATOS!$G13686="EX",1,IF(DATOS!$G13686="OR",--(COUNTIFS(nNIA,DATOS!$A13686,nCURSO,DATOS!$D13686,nESPEC,DATOS!$E13686,nASIG,DATOS!$I13686,nEVAL,"EX")=0),0))))</f>
      </c>
      <c r="H13686">
        <f>IF(DATOS!$G13686&lt;&gt;"EX",0,--(COUNTIFS(nNIA,DATOS!$A13686,nCURSO,DATOS!$D13686,nESPEC,DATOS!$E13686,nASIG,DATOS!$I13686,nEVAL,"OR")=0))</f>
      </c>
      <c r="I13686">
        <f>IF(DATOS!$I13686="","",IFERROR(VLOOKUP(DATOS!$I13686,CONFIG_ASIGNATURAS!$B$2:$J$91,9,FALSE()),""))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IF(DATOS!$A13687="",0,IF(CONFIG_METADATA!$B$4&lt;&gt;"OR+EX",--(DATOS!$G13687=CONFIG_METADATA!$B$4),IF(DATOS!$G13687="EX",1,IF(DATOS!$G13687="OR",--(COUNTIFS(nNIA,DATOS!$A13687,nCURSO,DATOS!$D13687,nESPEC,DATOS!$E13687,nASIG,DATOS!$I13687,nEVAL,"EX")=0),0))))</f>
      </c>
      <c r="H13687">
        <f>IF(DATOS!$G13687&lt;&gt;"EX",0,--(COUNTIFS(nNIA,DATOS!$A13687,nCURSO,DATOS!$D13687,nESPEC,DATOS!$E13687,nASIG,DATOS!$I13687,nEVAL,"OR")=0))</f>
      </c>
      <c r="I13687">
        <f>IF(DATOS!$I13687="","",IFERROR(VLOOKUP(DATOS!$I13687,CONFIG_ASIGNATURAS!$B$2:$J$91,9,FALSE()),""))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IF(DATOS!$A13688="",0,IF(CONFIG_METADATA!$B$4&lt;&gt;"OR+EX",--(DATOS!$G13688=CONFIG_METADATA!$B$4),IF(DATOS!$G13688="EX",1,IF(DATOS!$G13688="OR",--(COUNTIFS(nNIA,DATOS!$A13688,nCURSO,DATOS!$D13688,nESPEC,DATOS!$E13688,nASIG,DATOS!$I13688,nEVAL,"EX")=0),0))))</f>
      </c>
      <c r="H13688">
        <f>IF(DATOS!$G13688&lt;&gt;"EX",0,--(COUNTIFS(nNIA,DATOS!$A13688,nCURSO,DATOS!$D13688,nESPEC,DATOS!$E13688,nASIG,DATOS!$I13688,nEVAL,"OR")=0))</f>
      </c>
      <c r="I13688">
        <f>IF(DATOS!$I13688="","",IFERROR(VLOOKUP(DATOS!$I13688,CONFIG_ASIGNATURAS!$B$2:$J$91,9,FALSE()),""))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IF(DATOS!$A13689="",0,IF(CONFIG_METADATA!$B$4&lt;&gt;"OR+EX",--(DATOS!$G13689=CONFIG_METADATA!$B$4),IF(DATOS!$G13689="EX",1,IF(DATOS!$G13689="OR",--(COUNTIFS(nNIA,DATOS!$A13689,nCURSO,DATOS!$D13689,nESPEC,DATOS!$E13689,nASIG,DATOS!$I13689,nEVAL,"EX")=0),0))))</f>
      </c>
      <c r="H13689">
        <f>IF(DATOS!$G13689&lt;&gt;"EX",0,--(COUNTIFS(nNIA,DATOS!$A13689,nCURSO,DATOS!$D13689,nESPEC,DATOS!$E13689,nASIG,DATOS!$I13689,nEVAL,"OR")=0))</f>
      </c>
      <c r="I13689">
        <f>IF(DATOS!$I13689="","",IFERROR(VLOOKUP(DATOS!$I13689,CONFIG_ASIGNATURAS!$B$2:$J$91,9,FALSE()),""))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IF(DATOS!$A13690="",0,IF(CONFIG_METADATA!$B$4&lt;&gt;"OR+EX",--(DATOS!$G13690=CONFIG_METADATA!$B$4),IF(DATOS!$G13690="EX",1,IF(DATOS!$G13690="OR",--(COUNTIFS(nNIA,DATOS!$A13690,nCURSO,DATOS!$D13690,nESPEC,DATOS!$E13690,nASIG,DATOS!$I13690,nEVAL,"EX")=0),0))))</f>
      </c>
      <c r="H13690">
        <f>IF(DATOS!$G13690&lt;&gt;"EX",0,--(COUNTIFS(nNIA,DATOS!$A13690,nCURSO,DATOS!$D13690,nESPEC,DATOS!$E13690,nASIG,DATOS!$I13690,nEVAL,"OR")=0))</f>
      </c>
      <c r="I13690">
        <f>IF(DATOS!$I13690="","",IFERROR(VLOOKUP(DATOS!$I13690,CONFIG_ASIGNATURAS!$B$2:$J$91,9,FALSE()),""))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IF(DATOS!$A13691="",0,IF(CONFIG_METADATA!$B$4&lt;&gt;"OR+EX",--(DATOS!$G13691=CONFIG_METADATA!$B$4),IF(DATOS!$G13691="EX",1,IF(DATOS!$G13691="OR",--(COUNTIFS(nNIA,DATOS!$A13691,nCURSO,DATOS!$D13691,nESPEC,DATOS!$E13691,nASIG,DATOS!$I13691,nEVAL,"EX")=0),0))))</f>
      </c>
      <c r="H13691">
        <f>IF(DATOS!$G13691&lt;&gt;"EX",0,--(COUNTIFS(nNIA,DATOS!$A13691,nCURSO,DATOS!$D13691,nESPEC,DATOS!$E13691,nASIG,DATOS!$I13691,nEVAL,"OR")=0))</f>
      </c>
      <c r="I13691">
        <f>IF(DATOS!$I13691="","",IFERROR(VLOOKUP(DATOS!$I13691,CONFIG_ASIGNATURAS!$B$2:$J$91,9,FALSE()),""))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IF(DATOS!$A13692="",0,IF(CONFIG_METADATA!$B$4&lt;&gt;"OR+EX",--(DATOS!$G13692=CONFIG_METADATA!$B$4),IF(DATOS!$G13692="EX",1,IF(DATOS!$G13692="OR",--(COUNTIFS(nNIA,DATOS!$A13692,nCURSO,DATOS!$D13692,nESPEC,DATOS!$E13692,nASIG,DATOS!$I13692,nEVAL,"EX")=0),0))))</f>
      </c>
      <c r="H13692">
        <f>IF(DATOS!$G13692&lt;&gt;"EX",0,--(COUNTIFS(nNIA,DATOS!$A13692,nCURSO,DATOS!$D13692,nESPEC,DATOS!$E13692,nASIG,DATOS!$I13692,nEVAL,"OR")=0))</f>
      </c>
      <c r="I13692">
        <f>IF(DATOS!$I13692="","",IFERROR(VLOOKUP(DATOS!$I13692,CONFIG_ASIGNATURAS!$B$2:$J$91,9,FALSE()),""))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IF(DATOS!$A13693="",0,IF(CONFIG_METADATA!$B$4&lt;&gt;"OR+EX",--(DATOS!$G13693=CONFIG_METADATA!$B$4),IF(DATOS!$G13693="EX",1,IF(DATOS!$G13693="OR",--(COUNTIFS(nNIA,DATOS!$A13693,nCURSO,DATOS!$D13693,nESPEC,DATOS!$E13693,nASIG,DATOS!$I13693,nEVAL,"EX")=0),0))))</f>
      </c>
      <c r="H13693">
        <f>IF(DATOS!$G13693&lt;&gt;"EX",0,--(COUNTIFS(nNIA,DATOS!$A13693,nCURSO,DATOS!$D13693,nESPEC,DATOS!$E13693,nASIG,DATOS!$I13693,nEVAL,"OR")=0))</f>
      </c>
      <c r="I13693">
        <f>IF(DATOS!$I13693="","",IFERROR(VLOOKUP(DATOS!$I13693,CONFIG_ASIGNATURAS!$B$2:$J$91,9,FALSE()),""))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IF(DATOS!$A13694="",0,IF(CONFIG_METADATA!$B$4&lt;&gt;"OR+EX",--(DATOS!$G13694=CONFIG_METADATA!$B$4),IF(DATOS!$G13694="EX",1,IF(DATOS!$G13694="OR",--(COUNTIFS(nNIA,DATOS!$A13694,nCURSO,DATOS!$D13694,nESPEC,DATOS!$E13694,nASIG,DATOS!$I13694,nEVAL,"EX")=0),0))))</f>
      </c>
      <c r="H13694">
        <f>IF(DATOS!$G13694&lt;&gt;"EX",0,--(COUNTIFS(nNIA,DATOS!$A13694,nCURSO,DATOS!$D13694,nESPEC,DATOS!$E13694,nASIG,DATOS!$I13694,nEVAL,"OR")=0))</f>
      </c>
      <c r="I13694">
        <f>IF(DATOS!$I13694="","",IFERROR(VLOOKUP(DATOS!$I13694,CONFIG_ASIGNATURAS!$B$2:$J$91,9,FALSE()),""))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IF(DATOS!$A13695="",0,IF(CONFIG_METADATA!$B$4&lt;&gt;"OR+EX",--(DATOS!$G13695=CONFIG_METADATA!$B$4),IF(DATOS!$G13695="EX",1,IF(DATOS!$G13695="OR",--(COUNTIFS(nNIA,DATOS!$A13695,nCURSO,DATOS!$D13695,nESPEC,DATOS!$E13695,nASIG,DATOS!$I13695,nEVAL,"EX")=0),0))))</f>
      </c>
      <c r="H13695">
        <f>IF(DATOS!$G13695&lt;&gt;"EX",0,--(COUNTIFS(nNIA,DATOS!$A13695,nCURSO,DATOS!$D13695,nESPEC,DATOS!$E13695,nASIG,DATOS!$I13695,nEVAL,"OR")=0))</f>
      </c>
      <c r="I13695">
        <f>IF(DATOS!$I13695="","",IFERROR(VLOOKUP(DATOS!$I13695,CONFIG_ASIGNATURAS!$B$2:$J$91,9,FALSE()),""))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IF(DATOS!$A13696="",0,IF(CONFIG_METADATA!$B$4&lt;&gt;"OR+EX",--(DATOS!$G13696=CONFIG_METADATA!$B$4),IF(DATOS!$G13696="EX",1,IF(DATOS!$G13696="OR",--(COUNTIFS(nNIA,DATOS!$A13696,nCURSO,DATOS!$D13696,nESPEC,DATOS!$E13696,nASIG,DATOS!$I13696,nEVAL,"EX")=0),0))))</f>
      </c>
      <c r="H13696">
        <f>IF(DATOS!$G13696&lt;&gt;"EX",0,--(COUNTIFS(nNIA,DATOS!$A13696,nCURSO,DATOS!$D13696,nESPEC,DATOS!$E13696,nASIG,DATOS!$I13696,nEVAL,"OR")=0))</f>
      </c>
      <c r="I13696">
        <f>IF(DATOS!$I13696="","",IFERROR(VLOOKUP(DATOS!$I13696,CONFIG_ASIGNATURAS!$B$2:$J$91,9,FALSE()),""))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IF(DATOS!$A13697="",0,IF(CONFIG_METADATA!$B$4&lt;&gt;"OR+EX",--(DATOS!$G13697=CONFIG_METADATA!$B$4),IF(DATOS!$G13697="EX",1,IF(DATOS!$G13697="OR",--(COUNTIFS(nNIA,DATOS!$A13697,nCURSO,DATOS!$D13697,nESPEC,DATOS!$E13697,nASIG,DATOS!$I13697,nEVAL,"EX")=0),0))))</f>
      </c>
      <c r="H13697">
        <f>IF(DATOS!$G13697&lt;&gt;"EX",0,--(COUNTIFS(nNIA,DATOS!$A13697,nCURSO,DATOS!$D13697,nESPEC,DATOS!$E13697,nASIG,DATOS!$I13697,nEVAL,"OR")=0))</f>
      </c>
      <c r="I13697">
        <f>IF(DATOS!$I13697="","",IFERROR(VLOOKUP(DATOS!$I13697,CONFIG_ASIGNATURAS!$B$2:$J$91,9,FALSE()),""))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IF(DATOS!$A13698="",0,IF(CONFIG_METADATA!$B$4&lt;&gt;"OR+EX",--(DATOS!$G13698=CONFIG_METADATA!$B$4),IF(DATOS!$G13698="EX",1,IF(DATOS!$G13698="OR",--(COUNTIFS(nNIA,DATOS!$A13698,nCURSO,DATOS!$D13698,nESPEC,DATOS!$E13698,nASIG,DATOS!$I13698,nEVAL,"EX")=0),0))))</f>
      </c>
      <c r="H13698">
        <f>IF(DATOS!$G13698&lt;&gt;"EX",0,--(COUNTIFS(nNIA,DATOS!$A13698,nCURSO,DATOS!$D13698,nESPEC,DATOS!$E13698,nASIG,DATOS!$I13698,nEVAL,"OR")=0))</f>
      </c>
      <c r="I13698">
        <f>IF(DATOS!$I13698="","",IFERROR(VLOOKUP(DATOS!$I13698,CONFIG_ASIGNATURAS!$B$2:$J$91,9,FALSE()),""))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IF(DATOS!$A13699="",0,IF(CONFIG_METADATA!$B$4&lt;&gt;"OR+EX",--(DATOS!$G13699=CONFIG_METADATA!$B$4),IF(DATOS!$G13699="EX",1,IF(DATOS!$G13699="OR",--(COUNTIFS(nNIA,DATOS!$A13699,nCURSO,DATOS!$D13699,nESPEC,DATOS!$E13699,nASIG,DATOS!$I13699,nEVAL,"EX")=0),0))))</f>
      </c>
      <c r="H13699">
        <f>IF(DATOS!$G13699&lt;&gt;"EX",0,--(COUNTIFS(nNIA,DATOS!$A13699,nCURSO,DATOS!$D13699,nESPEC,DATOS!$E13699,nASIG,DATOS!$I13699,nEVAL,"OR")=0))</f>
      </c>
      <c r="I13699">
        <f>IF(DATOS!$I13699="","",IFERROR(VLOOKUP(DATOS!$I13699,CONFIG_ASIGNATURAS!$B$2:$J$91,9,FALSE()),""))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IF(DATOS!$A13700="",0,IF(CONFIG_METADATA!$B$4&lt;&gt;"OR+EX",--(DATOS!$G13700=CONFIG_METADATA!$B$4),IF(DATOS!$G13700="EX",1,IF(DATOS!$G13700="OR",--(COUNTIFS(nNIA,DATOS!$A13700,nCURSO,DATOS!$D13700,nESPEC,DATOS!$E13700,nASIG,DATOS!$I13700,nEVAL,"EX")=0),0))))</f>
      </c>
      <c r="H13700">
        <f>IF(DATOS!$G13700&lt;&gt;"EX",0,--(COUNTIFS(nNIA,DATOS!$A13700,nCURSO,DATOS!$D13700,nESPEC,DATOS!$E13700,nASIG,DATOS!$I13700,nEVAL,"OR")=0))</f>
      </c>
      <c r="I13700">
        <f>IF(DATOS!$I13700="","",IFERROR(VLOOKUP(DATOS!$I13700,CONFIG_ASIGNATURAS!$B$2:$J$91,9,FALSE()),""))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IF(DATOS!$A13701="",0,IF(CONFIG_METADATA!$B$4&lt;&gt;"OR+EX",--(DATOS!$G13701=CONFIG_METADATA!$B$4),IF(DATOS!$G13701="EX",1,IF(DATOS!$G13701="OR",--(COUNTIFS(nNIA,DATOS!$A13701,nCURSO,DATOS!$D13701,nESPEC,DATOS!$E13701,nASIG,DATOS!$I13701,nEVAL,"EX")=0),0))))</f>
      </c>
      <c r="H13701">
        <f>IF(DATOS!$G13701&lt;&gt;"EX",0,--(COUNTIFS(nNIA,DATOS!$A13701,nCURSO,DATOS!$D13701,nESPEC,DATOS!$E13701,nASIG,DATOS!$I13701,nEVAL,"OR")=0))</f>
      </c>
      <c r="I13701">
        <f>IF(DATOS!$I13701="","",IFERROR(VLOOKUP(DATOS!$I13701,CONFIG_ASIGNATURAS!$B$2:$J$91,9,FALSE()),""))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IF(DATOS!$A13702="",0,IF(CONFIG_METADATA!$B$4&lt;&gt;"OR+EX",--(DATOS!$G13702=CONFIG_METADATA!$B$4),IF(DATOS!$G13702="EX",1,IF(DATOS!$G13702="OR",--(COUNTIFS(nNIA,DATOS!$A13702,nCURSO,DATOS!$D13702,nESPEC,DATOS!$E13702,nASIG,DATOS!$I13702,nEVAL,"EX")=0),0))))</f>
      </c>
      <c r="H13702">
        <f>IF(DATOS!$G13702&lt;&gt;"EX",0,--(COUNTIFS(nNIA,DATOS!$A13702,nCURSO,DATOS!$D13702,nESPEC,DATOS!$E13702,nASIG,DATOS!$I13702,nEVAL,"OR")=0))</f>
      </c>
      <c r="I13702">
        <f>IF(DATOS!$I13702="","",IFERROR(VLOOKUP(DATOS!$I13702,CONFIG_ASIGNATURAS!$B$2:$J$91,9,FALSE()),""))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IF(DATOS!$A13703="",0,IF(CONFIG_METADATA!$B$4&lt;&gt;"OR+EX",--(DATOS!$G13703=CONFIG_METADATA!$B$4),IF(DATOS!$G13703="EX",1,IF(DATOS!$G13703="OR",--(COUNTIFS(nNIA,DATOS!$A13703,nCURSO,DATOS!$D13703,nESPEC,DATOS!$E13703,nASIG,DATOS!$I13703,nEVAL,"EX")=0),0))))</f>
      </c>
      <c r="H13703">
        <f>IF(DATOS!$G13703&lt;&gt;"EX",0,--(COUNTIFS(nNIA,DATOS!$A13703,nCURSO,DATOS!$D13703,nESPEC,DATOS!$E13703,nASIG,DATOS!$I13703,nEVAL,"OR")=0))</f>
      </c>
      <c r="I13703">
        <f>IF(DATOS!$I13703="","",IFERROR(VLOOKUP(DATOS!$I13703,CONFIG_ASIGNATURAS!$B$2:$J$91,9,FALSE()),""))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IF(DATOS!$A13704="",0,IF(CONFIG_METADATA!$B$4&lt;&gt;"OR+EX",--(DATOS!$G13704=CONFIG_METADATA!$B$4),IF(DATOS!$G13704="EX",1,IF(DATOS!$G13704="OR",--(COUNTIFS(nNIA,DATOS!$A13704,nCURSO,DATOS!$D13704,nESPEC,DATOS!$E13704,nASIG,DATOS!$I13704,nEVAL,"EX")=0),0))))</f>
      </c>
      <c r="H13704">
        <f>IF(DATOS!$G13704&lt;&gt;"EX",0,--(COUNTIFS(nNIA,DATOS!$A13704,nCURSO,DATOS!$D13704,nESPEC,DATOS!$E13704,nASIG,DATOS!$I13704,nEVAL,"OR")=0))</f>
      </c>
      <c r="I13704">
        <f>IF(DATOS!$I13704="","",IFERROR(VLOOKUP(DATOS!$I13704,CONFIG_ASIGNATURAS!$B$2:$J$91,9,FALSE()),""))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IF(DATOS!$A13705="",0,IF(CONFIG_METADATA!$B$4&lt;&gt;"OR+EX",--(DATOS!$G13705=CONFIG_METADATA!$B$4),IF(DATOS!$G13705="EX",1,IF(DATOS!$G13705="OR",--(COUNTIFS(nNIA,DATOS!$A13705,nCURSO,DATOS!$D13705,nESPEC,DATOS!$E13705,nASIG,DATOS!$I13705,nEVAL,"EX")=0),0))))</f>
      </c>
      <c r="H13705">
        <f>IF(DATOS!$G13705&lt;&gt;"EX",0,--(COUNTIFS(nNIA,DATOS!$A13705,nCURSO,DATOS!$D13705,nESPEC,DATOS!$E13705,nASIG,DATOS!$I13705,nEVAL,"OR")=0))</f>
      </c>
      <c r="I13705">
        <f>IF(DATOS!$I13705="","",IFERROR(VLOOKUP(DATOS!$I13705,CONFIG_ASIGNATURAS!$B$2:$J$91,9,FALSE()),""))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IF(DATOS!$A13706="",0,IF(CONFIG_METADATA!$B$4&lt;&gt;"OR+EX",--(DATOS!$G13706=CONFIG_METADATA!$B$4),IF(DATOS!$G13706="EX",1,IF(DATOS!$G13706="OR",--(COUNTIFS(nNIA,DATOS!$A13706,nCURSO,DATOS!$D13706,nESPEC,DATOS!$E13706,nASIG,DATOS!$I13706,nEVAL,"EX")=0),0))))</f>
      </c>
      <c r="H13706">
        <f>IF(DATOS!$G13706&lt;&gt;"EX",0,--(COUNTIFS(nNIA,DATOS!$A13706,nCURSO,DATOS!$D13706,nESPEC,DATOS!$E13706,nASIG,DATOS!$I13706,nEVAL,"OR")=0))</f>
      </c>
      <c r="I13706">
        <f>IF(DATOS!$I13706="","",IFERROR(VLOOKUP(DATOS!$I13706,CONFIG_ASIGNATURAS!$B$2:$J$91,9,FALSE()),""))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IF(DATOS!$A13707="",0,IF(CONFIG_METADATA!$B$4&lt;&gt;"OR+EX",--(DATOS!$G13707=CONFIG_METADATA!$B$4),IF(DATOS!$G13707="EX",1,IF(DATOS!$G13707="OR",--(COUNTIFS(nNIA,DATOS!$A13707,nCURSO,DATOS!$D13707,nESPEC,DATOS!$E13707,nASIG,DATOS!$I13707,nEVAL,"EX")=0),0))))</f>
      </c>
      <c r="H13707">
        <f>IF(DATOS!$G13707&lt;&gt;"EX",0,--(COUNTIFS(nNIA,DATOS!$A13707,nCURSO,DATOS!$D13707,nESPEC,DATOS!$E13707,nASIG,DATOS!$I13707,nEVAL,"OR")=0))</f>
      </c>
      <c r="I13707">
        <f>IF(DATOS!$I13707="","",IFERROR(VLOOKUP(DATOS!$I13707,CONFIG_ASIGNATURAS!$B$2:$J$91,9,FALSE()),""))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IF(DATOS!$A13708="",0,IF(CONFIG_METADATA!$B$4&lt;&gt;"OR+EX",--(DATOS!$G13708=CONFIG_METADATA!$B$4),IF(DATOS!$G13708="EX",1,IF(DATOS!$G13708="OR",--(COUNTIFS(nNIA,DATOS!$A13708,nCURSO,DATOS!$D13708,nESPEC,DATOS!$E13708,nASIG,DATOS!$I13708,nEVAL,"EX")=0),0))))</f>
      </c>
      <c r="H13708">
        <f>IF(DATOS!$G13708&lt;&gt;"EX",0,--(COUNTIFS(nNIA,DATOS!$A13708,nCURSO,DATOS!$D13708,nESPEC,DATOS!$E13708,nASIG,DATOS!$I13708,nEVAL,"OR")=0))</f>
      </c>
      <c r="I13708">
        <f>IF(DATOS!$I13708="","",IFERROR(VLOOKUP(DATOS!$I13708,CONFIG_ASIGNATURAS!$B$2:$J$91,9,FALSE()),""))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IF(DATOS!$A13709="",0,IF(CONFIG_METADATA!$B$4&lt;&gt;"OR+EX",--(DATOS!$G13709=CONFIG_METADATA!$B$4),IF(DATOS!$G13709="EX",1,IF(DATOS!$G13709="OR",--(COUNTIFS(nNIA,DATOS!$A13709,nCURSO,DATOS!$D13709,nESPEC,DATOS!$E13709,nASIG,DATOS!$I13709,nEVAL,"EX")=0),0))))</f>
      </c>
      <c r="H13709">
        <f>IF(DATOS!$G13709&lt;&gt;"EX",0,--(COUNTIFS(nNIA,DATOS!$A13709,nCURSO,DATOS!$D13709,nESPEC,DATOS!$E13709,nASIG,DATOS!$I13709,nEVAL,"OR")=0))</f>
      </c>
      <c r="I13709">
        <f>IF(DATOS!$I13709="","",IFERROR(VLOOKUP(DATOS!$I13709,CONFIG_ASIGNATURAS!$B$2:$J$91,9,FALSE()),""))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IF(DATOS!$A13710="",0,IF(CONFIG_METADATA!$B$4&lt;&gt;"OR+EX",--(DATOS!$G13710=CONFIG_METADATA!$B$4),IF(DATOS!$G13710="EX",1,IF(DATOS!$G13710="OR",--(COUNTIFS(nNIA,DATOS!$A13710,nCURSO,DATOS!$D13710,nESPEC,DATOS!$E13710,nASIG,DATOS!$I13710,nEVAL,"EX")=0),0))))</f>
      </c>
      <c r="H13710">
        <f>IF(DATOS!$G13710&lt;&gt;"EX",0,--(COUNTIFS(nNIA,DATOS!$A13710,nCURSO,DATOS!$D13710,nESPEC,DATOS!$E13710,nASIG,DATOS!$I13710,nEVAL,"OR")=0))</f>
      </c>
      <c r="I13710">
        <f>IF(DATOS!$I13710="","",IFERROR(VLOOKUP(DATOS!$I13710,CONFIG_ASIGNATURAS!$B$2:$J$91,9,FALSE()),""))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IF(DATOS!$A13711="",0,IF(CONFIG_METADATA!$B$4&lt;&gt;"OR+EX",--(DATOS!$G13711=CONFIG_METADATA!$B$4),IF(DATOS!$G13711="EX",1,IF(DATOS!$G13711="OR",--(COUNTIFS(nNIA,DATOS!$A13711,nCURSO,DATOS!$D13711,nESPEC,DATOS!$E13711,nASIG,DATOS!$I13711,nEVAL,"EX")=0),0))))</f>
      </c>
      <c r="H13711">
        <f>IF(DATOS!$G13711&lt;&gt;"EX",0,--(COUNTIFS(nNIA,DATOS!$A13711,nCURSO,DATOS!$D13711,nESPEC,DATOS!$E13711,nASIG,DATOS!$I13711,nEVAL,"OR")=0))</f>
      </c>
      <c r="I13711">
        <f>IF(DATOS!$I13711="","",IFERROR(VLOOKUP(DATOS!$I13711,CONFIG_ASIGNATURAS!$B$2:$J$91,9,FALSE()),""))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IF(DATOS!$A13712="",0,IF(CONFIG_METADATA!$B$4&lt;&gt;"OR+EX",--(DATOS!$G13712=CONFIG_METADATA!$B$4),IF(DATOS!$G13712="EX",1,IF(DATOS!$G13712="OR",--(COUNTIFS(nNIA,DATOS!$A13712,nCURSO,DATOS!$D13712,nESPEC,DATOS!$E13712,nASIG,DATOS!$I13712,nEVAL,"EX")=0),0))))</f>
      </c>
      <c r="H13712">
        <f>IF(DATOS!$G13712&lt;&gt;"EX",0,--(COUNTIFS(nNIA,DATOS!$A13712,nCURSO,DATOS!$D13712,nESPEC,DATOS!$E13712,nASIG,DATOS!$I13712,nEVAL,"OR")=0))</f>
      </c>
      <c r="I13712">
        <f>IF(DATOS!$I13712="","",IFERROR(VLOOKUP(DATOS!$I13712,CONFIG_ASIGNATURAS!$B$2:$J$91,9,FALSE()),""))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IF(DATOS!$A13713="",0,IF(CONFIG_METADATA!$B$4&lt;&gt;"OR+EX",--(DATOS!$G13713=CONFIG_METADATA!$B$4),IF(DATOS!$G13713="EX",1,IF(DATOS!$G13713="OR",--(COUNTIFS(nNIA,DATOS!$A13713,nCURSO,DATOS!$D13713,nESPEC,DATOS!$E13713,nASIG,DATOS!$I13713,nEVAL,"EX")=0),0))))</f>
      </c>
      <c r="H13713">
        <f>IF(DATOS!$G13713&lt;&gt;"EX",0,--(COUNTIFS(nNIA,DATOS!$A13713,nCURSO,DATOS!$D13713,nESPEC,DATOS!$E13713,nASIG,DATOS!$I13713,nEVAL,"OR")=0))</f>
      </c>
      <c r="I13713">
        <f>IF(DATOS!$I13713="","",IFERROR(VLOOKUP(DATOS!$I13713,CONFIG_ASIGNATURAS!$B$2:$J$91,9,FALSE()),""))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IF(DATOS!$A13714="",0,IF(CONFIG_METADATA!$B$4&lt;&gt;"OR+EX",--(DATOS!$G13714=CONFIG_METADATA!$B$4),IF(DATOS!$G13714="EX",1,IF(DATOS!$G13714="OR",--(COUNTIFS(nNIA,DATOS!$A13714,nCURSO,DATOS!$D13714,nESPEC,DATOS!$E13714,nASIG,DATOS!$I13714,nEVAL,"EX")=0),0))))</f>
      </c>
      <c r="H13714">
        <f>IF(DATOS!$G13714&lt;&gt;"EX",0,--(COUNTIFS(nNIA,DATOS!$A13714,nCURSO,DATOS!$D13714,nESPEC,DATOS!$E13714,nASIG,DATOS!$I13714,nEVAL,"OR")=0))</f>
      </c>
      <c r="I13714">
        <f>IF(DATOS!$I13714="","",IFERROR(VLOOKUP(DATOS!$I13714,CONFIG_ASIGNATURAS!$B$2:$J$91,9,FALSE()),""))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IF(DATOS!$A13715="",0,IF(CONFIG_METADATA!$B$4&lt;&gt;"OR+EX",--(DATOS!$G13715=CONFIG_METADATA!$B$4),IF(DATOS!$G13715="EX",1,IF(DATOS!$G13715="OR",--(COUNTIFS(nNIA,DATOS!$A13715,nCURSO,DATOS!$D13715,nESPEC,DATOS!$E13715,nASIG,DATOS!$I13715,nEVAL,"EX")=0),0))))</f>
      </c>
      <c r="H13715">
        <f>IF(DATOS!$G13715&lt;&gt;"EX",0,--(COUNTIFS(nNIA,DATOS!$A13715,nCURSO,DATOS!$D13715,nESPEC,DATOS!$E13715,nASIG,DATOS!$I13715,nEVAL,"OR")=0))</f>
      </c>
      <c r="I13715">
        <f>IF(DATOS!$I13715="","",IFERROR(VLOOKUP(DATOS!$I13715,CONFIG_ASIGNATURAS!$B$2:$J$91,9,FALSE()),""))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IF(DATOS!$A13716="",0,IF(CONFIG_METADATA!$B$4&lt;&gt;"OR+EX",--(DATOS!$G13716=CONFIG_METADATA!$B$4),IF(DATOS!$G13716="EX",1,IF(DATOS!$G13716="OR",--(COUNTIFS(nNIA,DATOS!$A13716,nCURSO,DATOS!$D13716,nESPEC,DATOS!$E13716,nASIG,DATOS!$I13716,nEVAL,"EX")=0),0))))</f>
      </c>
      <c r="H13716">
        <f>IF(DATOS!$G13716&lt;&gt;"EX",0,--(COUNTIFS(nNIA,DATOS!$A13716,nCURSO,DATOS!$D13716,nESPEC,DATOS!$E13716,nASIG,DATOS!$I13716,nEVAL,"OR")=0))</f>
      </c>
      <c r="I13716">
        <f>IF(DATOS!$I13716="","",IFERROR(VLOOKUP(DATOS!$I13716,CONFIG_ASIGNATURAS!$B$2:$J$91,9,FALSE()),""))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IF(DATOS!$A13717="",0,IF(CONFIG_METADATA!$B$4&lt;&gt;"OR+EX",--(DATOS!$G13717=CONFIG_METADATA!$B$4),IF(DATOS!$G13717="EX",1,IF(DATOS!$G13717="OR",--(COUNTIFS(nNIA,DATOS!$A13717,nCURSO,DATOS!$D13717,nESPEC,DATOS!$E13717,nASIG,DATOS!$I13717,nEVAL,"EX")=0),0))))</f>
      </c>
      <c r="H13717">
        <f>IF(DATOS!$G13717&lt;&gt;"EX",0,--(COUNTIFS(nNIA,DATOS!$A13717,nCURSO,DATOS!$D13717,nESPEC,DATOS!$E13717,nASIG,DATOS!$I13717,nEVAL,"OR")=0))</f>
      </c>
      <c r="I13717">
        <f>IF(DATOS!$I13717="","",IFERROR(VLOOKUP(DATOS!$I13717,CONFIG_ASIGNATURAS!$B$2:$J$91,9,FALSE()),""))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IF(DATOS!$A13718="",0,IF(CONFIG_METADATA!$B$4&lt;&gt;"OR+EX",--(DATOS!$G13718=CONFIG_METADATA!$B$4),IF(DATOS!$G13718="EX",1,IF(DATOS!$G13718="OR",--(COUNTIFS(nNIA,DATOS!$A13718,nCURSO,DATOS!$D13718,nESPEC,DATOS!$E13718,nASIG,DATOS!$I13718,nEVAL,"EX")=0),0))))</f>
      </c>
      <c r="H13718">
        <f>IF(DATOS!$G13718&lt;&gt;"EX",0,--(COUNTIFS(nNIA,DATOS!$A13718,nCURSO,DATOS!$D13718,nESPEC,DATOS!$E13718,nASIG,DATOS!$I13718,nEVAL,"OR")=0))</f>
      </c>
      <c r="I13718">
        <f>IF(DATOS!$I13718="","",IFERROR(VLOOKUP(DATOS!$I13718,CONFIG_ASIGNATURAS!$B$2:$J$91,9,FALSE()),""))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IF(DATOS!$A13719="",0,IF(CONFIG_METADATA!$B$4&lt;&gt;"OR+EX",--(DATOS!$G13719=CONFIG_METADATA!$B$4),IF(DATOS!$G13719="EX",1,IF(DATOS!$G13719="OR",--(COUNTIFS(nNIA,DATOS!$A13719,nCURSO,DATOS!$D13719,nESPEC,DATOS!$E13719,nASIG,DATOS!$I13719,nEVAL,"EX")=0),0))))</f>
      </c>
      <c r="H13719">
        <f>IF(DATOS!$G13719&lt;&gt;"EX",0,--(COUNTIFS(nNIA,DATOS!$A13719,nCURSO,DATOS!$D13719,nESPEC,DATOS!$E13719,nASIG,DATOS!$I13719,nEVAL,"OR")=0))</f>
      </c>
      <c r="I13719">
        <f>IF(DATOS!$I13719="","",IFERROR(VLOOKUP(DATOS!$I13719,CONFIG_ASIGNATURAS!$B$2:$J$91,9,FALSE()),""))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IF(DATOS!$A13720="",0,IF(CONFIG_METADATA!$B$4&lt;&gt;"OR+EX",--(DATOS!$G13720=CONFIG_METADATA!$B$4),IF(DATOS!$G13720="EX",1,IF(DATOS!$G13720="OR",--(COUNTIFS(nNIA,DATOS!$A13720,nCURSO,DATOS!$D13720,nESPEC,DATOS!$E13720,nASIG,DATOS!$I13720,nEVAL,"EX")=0),0))))</f>
      </c>
      <c r="H13720">
        <f>IF(DATOS!$G13720&lt;&gt;"EX",0,--(COUNTIFS(nNIA,DATOS!$A13720,nCURSO,DATOS!$D13720,nESPEC,DATOS!$E13720,nASIG,DATOS!$I13720,nEVAL,"OR")=0))</f>
      </c>
      <c r="I13720">
        <f>IF(DATOS!$I13720="","",IFERROR(VLOOKUP(DATOS!$I13720,CONFIG_ASIGNATURAS!$B$2:$J$91,9,FALSE()),""))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IF(DATOS!$A13721="",0,IF(CONFIG_METADATA!$B$4&lt;&gt;"OR+EX",--(DATOS!$G13721=CONFIG_METADATA!$B$4),IF(DATOS!$G13721="EX",1,IF(DATOS!$G13721="OR",--(COUNTIFS(nNIA,DATOS!$A13721,nCURSO,DATOS!$D13721,nESPEC,DATOS!$E13721,nASIG,DATOS!$I13721,nEVAL,"EX")=0),0))))</f>
      </c>
      <c r="H13721">
        <f>IF(DATOS!$G13721&lt;&gt;"EX",0,--(COUNTIFS(nNIA,DATOS!$A13721,nCURSO,DATOS!$D13721,nESPEC,DATOS!$E13721,nASIG,DATOS!$I13721,nEVAL,"OR")=0))</f>
      </c>
      <c r="I13721">
        <f>IF(DATOS!$I13721="","",IFERROR(VLOOKUP(DATOS!$I13721,CONFIG_ASIGNATURAS!$B$2:$J$91,9,FALSE()),""))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IF(DATOS!$A13722="",0,IF(CONFIG_METADATA!$B$4&lt;&gt;"OR+EX",--(DATOS!$G13722=CONFIG_METADATA!$B$4),IF(DATOS!$G13722="EX",1,IF(DATOS!$G13722="OR",--(COUNTIFS(nNIA,DATOS!$A13722,nCURSO,DATOS!$D13722,nESPEC,DATOS!$E13722,nASIG,DATOS!$I13722,nEVAL,"EX")=0),0))))</f>
      </c>
      <c r="H13722">
        <f>IF(DATOS!$G13722&lt;&gt;"EX",0,--(COUNTIFS(nNIA,DATOS!$A13722,nCURSO,DATOS!$D13722,nESPEC,DATOS!$E13722,nASIG,DATOS!$I13722,nEVAL,"OR")=0))</f>
      </c>
      <c r="I13722">
        <f>IF(DATOS!$I13722="","",IFERROR(VLOOKUP(DATOS!$I13722,CONFIG_ASIGNATURAS!$B$2:$J$91,9,FALSE()),""))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IF(DATOS!$A13723="",0,IF(CONFIG_METADATA!$B$4&lt;&gt;"OR+EX",--(DATOS!$G13723=CONFIG_METADATA!$B$4),IF(DATOS!$G13723="EX",1,IF(DATOS!$G13723="OR",--(COUNTIFS(nNIA,DATOS!$A13723,nCURSO,DATOS!$D13723,nESPEC,DATOS!$E13723,nASIG,DATOS!$I13723,nEVAL,"EX")=0),0))))</f>
      </c>
      <c r="H13723">
        <f>IF(DATOS!$G13723&lt;&gt;"EX",0,--(COUNTIFS(nNIA,DATOS!$A13723,nCURSO,DATOS!$D13723,nESPEC,DATOS!$E13723,nASIG,DATOS!$I13723,nEVAL,"OR")=0))</f>
      </c>
      <c r="I13723">
        <f>IF(DATOS!$I13723="","",IFERROR(VLOOKUP(DATOS!$I13723,CONFIG_ASIGNATURAS!$B$2:$J$91,9,FALSE()),""))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IF(DATOS!$A13724="",0,IF(CONFIG_METADATA!$B$4&lt;&gt;"OR+EX",--(DATOS!$G13724=CONFIG_METADATA!$B$4),IF(DATOS!$G13724="EX",1,IF(DATOS!$G13724="OR",--(COUNTIFS(nNIA,DATOS!$A13724,nCURSO,DATOS!$D13724,nESPEC,DATOS!$E13724,nASIG,DATOS!$I13724,nEVAL,"EX")=0),0))))</f>
      </c>
      <c r="H13724">
        <f>IF(DATOS!$G13724&lt;&gt;"EX",0,--(COUNTIFS(nNIA,DATOS!$A13724,nCURSO,DATOS!$D13724,nESPEC,DATOS!$E13724,nASIG,DATOS!$I13724,nEVAL,"OR")=0))</f>
      </c>
      <c r="I13724">
        <f>IF(DATOS!$I13724="","",IFERROR(VLOOKUP(DATOS!$I13724,CONFIG_ASIGNATURAS!$B$2:$J$91,9,FALSE()),""))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IF(DATOS!$A13725="",0,IF(CONFIG_METADATA!$B$4&lt;&gt;"OR+EX",--(DATOS!$G13725=CONFIG_METADATA!$B$4),IF(DATOS!$G13725="EX",1,IF(DATOS!$G13725="OR",--(COUNTIFS(nNIA,DATOS!$A13725,nCURSO,DATOS!$D13725,nESPEC,DATOS!$E13725,nASIG,DATOS!$I13725,nEVAL,"EX")=0),0))))</f>
      </c>
      <c r="H13725">
        <f>IF(DATOS!$G13725&lt;&gt;"EX",0,--(COUNTIFS(nNIA,DATOS!$A13725,nCURSO,DATOS!$D13725,nESPEC,DATOS!$E13725,nASIG,DATOS!$I13725,nEVAL,"OR")=0))</f>
      </c>
      <c r="I13725">
        <f>IF(DATOS!$I13725="","",IFERROR(VLOOKUP(DATOS!$I13725,CONFIG_ASIGNATURAS!$B$2:$J$91,9,FALSE()),""))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IF(DATOS!$A13726="",0,IF(CONFIG_METADATA!$B$4&lt;&gt;"OR+EX",--(DATOS!$G13726=CONFIG_METADATA!$B$4),IF(DATOS!$G13726="EX",1,IF(DATOS!$G13726="OR",--(COUNTIFS(nNIA,DATOS!$A13726,nCURSO,DATOS!$D13726,nESPEC,DATOS!$E13726,nASIG,DATOS!$I13726,nEVAL,"EX")=0),0))))</f>
      </c>
      <c r="H13726">
        <f>IF(DATOS!$G13726&lt;&gt;"EX",0,--(COUNTIFS(nNIA,DATOS!$A13726,nCURSO,DATOS!$D13726,nESPEC,DATOS!$E13726,nASIG,DATOS!$I13726,nEVAL,"OR")=0))</f>
      </c>
      <c r="I13726">
        <f>IF(DATOS!$I13726="","",IFERROR(VLOOKUP(DATOS!$I13726,CONFIG_ASIGNATURAS!$B$2:$J$91,9,FALSE()),""))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IF(DATOS!$A13727="",0,IF(CONFIG_METADATA!$B$4&lt;&gt;"OR+EX",--(DATOS!$G13727=CONFIG_METADATA!$B$4),IF(DATOS!$G13727="EX",1,IF(DATOS!$G13727="OR",--(COUNTIFS(nNIA,DATOS!$A13727,nCURSO,DATOS!$D13727,nESPEC,DATOS!$E13727,nASIG,DATOS!$I13727,nEVAL,"EX")=0),0))))</f>
      </c>
      <c r="H13727">
        <f>IF(DATOS!$G13727&lt;&gt;"EX",0,--(COUNTIFS(nNIA,DATOS!$A13727,nCURSO,DATOS!$D13727,nESPEC,DATOS!$E13727,nASIG,DATOS!$I13727,nEVAL,"OR")=0))</f>
      </c>
      <c r="I13727">
        <f>IF(DATOS!$I13727="","",IFERROR(VLOOKUP(DATOS!$I13727,CONFIG_ASIGNATURAS!$B$2:$J$91,9,FALSE()),""))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IF(DATOS!$A13728="",0,IF(CONFIG_METADATA!$B$4&lt;&gt;"OR+EX",--(DATOS!$G13728=CONFIG_METADATA!$B$4),IF(DATOS!$G13728="EX",1,IF(DATOS!$G13728="OR",--(COUNTIFS(nNIA,DATOS!$A13728,nCURSO,DATOS!$D13728,nESPEC,DATOS!$E13728,nASIG,DATOS!$I13728,nEVAL,"EX")=0),0))))</f>
      </c>
      <c r="H13728">
        <f>IF(DATOS!$G13728&lt;&gt;"EX",0,--(COUNTIFS(nNIA,DATOS!$A13728,nCURSO,DATOS!$D13728,nESPEC,DATOS!$E13728,nASIG,DATOS!$I13728,nEVAL,"OR")=0))</f>
      </c>
      <c r="I13728">
        <f>IF(DATOS!$I13728="","",IFERROR(VLOOKUP(DATOS!$I13728,CONFIG_ASIGNATURAS!$B$2:$J$91,9,FALSE()),""))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IF(DATOS!$A13729="",0,IF(CONFIG_METADATA!$B$4&lt;&gt;"OR+EX",--(DATOS!$G13729=CONFIG_METADATA!$B$4),IF(DATOS!$G13729="EX",1,IF(DATOS!$G13729="OR",--(COUNTIFS(nNIA,DATOS!$A13729,nCURSO,DATOS!$D13729,nESPEC,DATOS!$E13729,nASIG,DATOS!$I13729,nEVAL,"EX")=0),0))))</f>
      </c>
      <c r="H13729">
        <f>IF(DATOS!$G13729&lt;&gt;"EX",0,--(COUNTIFS(nNIA,DATOS!$A13729,nCURSO,DATOS!$D13729,nESPEC,DATOS!$E13729,nASIG,DATOS!$I13729,nEVAL,"OR")=0))</f>
      </c>
      <c r="I13729">
        <f>IF(DATOS!$I13729="","",IFERROR(VLOOKUP(DATOS!$I13729,CONFIG_ASIGNATURAS!$B$2:$J$91,9,FALSE()),""))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IF(DATOS!$A13730="",0,IF(CONFIG_METADATA!$B$4&lt;&gt;"OR+EX",--(DATOS!$G13730=CONFIG_METADATA!$B$4),IF(DATOS!$G13730="EX",1,IF(DATOS!$G13730="OR",--(COUNTIFS(nNIA,DATOS!$A13730,nCURSO,DATOS!$D13730,nESPEC,DATOS!$E13730,nASIG,DATOS!$I13730,nEVAL,"EX")=0),0))))</f>
      </c>
      <c r="H13730">
        <f>IF(DATOS!$G13730&lt;&gt;"EX",0,--(COUNTIFS(nNIA,DATOS!$A13730,nCURSO,DATOS!$D13730,nESPEC,DATOS!$E13730,nASIG,DATOS!$I13730,nEVAL,"OR")=0))</f>
      </c>
      <c r="I13730">
        <f>IF(DATOS!$I13730="","",IFERROR(VLOOKUP(DATOS!$I13730,CONFIG_ASIGNATURAS!$B$2:$J$91,9,FALSE()),""))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IF(DATOS!$A13731="",0,IF(CONFIG_METADATA!$B$4&lt;&gt;"OR+EX",--(DATOS!$G13731=CONFIG_METADATA!$B$4),IF(DATOS!$G13731="EX",1,IF(DATOS!$G13731="OR",--(COUNTIFS(nNIA,DATOS!$A13731,nCURSO,DATOS!$D13731,nESPEC,DATOS!$E13731,nASIG,DATOS!$I13731,nEVAL,"EX")=0),0))))</f>
      </c>
      <c r="H13731">
        <f>IF(DATOS!$G13731&lt;&gt;"EX",0,--(COUNTIFS(nNIA,DATOS!$A13731,nCURSO,DATOS!$D13731,nESPEC,DATOS!$E13731,nASIG,DATOS!$I13731,nEVAL,"OR")=0))</f>
      </c>
      <c r="I13731">
        <f>IF(DATOS!$I13731="","",IFERROR(VLOOKUP(DATOS!$I13731,CONFIG_ASIGNATURAS!$B$2:$J$91,9,FALSE()),""))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IF(DATOS!$A13732="",0,IF(CONFIG_METADATA!$B$4&lt;&gt;"OR+EX",--(DATOS!$G13732=CONFIG_METADATA!$B$4),IF(DATOS!$G13732="EX",1,IF(DATOS!$G13732="OR",--(COUNTIFS(nNIA,DATOS!$A13732,nCURSO,DATOS!$D13732,nESPEC,DATOS!$E13732,nASIG,DATOS!$I13732,nEVAL,"EX")=0),0))))</f>
      </c>
      <c r="H13732">
        <f>IF(DATOS!$G13732&lt;&gt;"EX",0,--(COUNTIFS(nNIA,DATOS!$A13732,nCURSO,DATOS!$D13732,nESPEC,DATOS!$E13732,nASIG,DATOS!$I13732,nEVAL,"OR")=0))</f>
      </c>
      <c r="I13732">
        <f>IF(DATOS!$I13732="","",IFERROR(VLOOKUP(DATOS!$I13732,CONFIG_ASIGNATURAS!$B$2:$J$91,9,FALSE()),""))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IF(DATOS!$A13733="",0,IF(CONFIG_METADATA!$B$4&lt;&gt;"OR+EX",--(DATOS!$G13733=CONFIG_METADATA!$B$4),IF(DATOS!$G13733="EX",1,IF(DATOS!$G13733="OR",--(COUNTIFS(nNIA,DATOS!$A13733,nCURSO,DATOS!$D13733,nESPEC,DATOS!$E13733,nASIG,DATOS!$I13733,nEVAL,"EX")=0),0))))</f>
      </c>
      <c r="H13733">
        <f>IF(DATOS!$G13733&lt;&gt;"EX",0,--(COUNTIFS(nNIA,DATOS!$A13733,nCURSO,DATOS!$D13733,nESPEC,DATOS!$E13733,nASIG,DATOS!$I13733,nEVAL,"OR")=0))</f>
      </c>
      <c r="I13733">
        <f>IF(DATOS!$I13733="","",IFERROR(VLOOKUP(DATOS!$I13733,CONFIG_ASIGNATURAS!$B$2:$J$91,9,FALSE()),""))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IF(DATOS!$A13734="",0,IF(CONFIG_METADATA!$B$4&lt;&gt;"OR+EX",--(DATOS!$G13734=CONFIG_METADATA!$B$4),IF(DATOS!$G13734="EX",1,IF(DATOS!$G13734="OR",--(COUNTIFS(nNIA,DATOS!$A13734,nCURSO,DATOS!$D13734,nESPEC,DATOS!$E13734,nASIG,DATOS!$I13734,nEVAL,"EX")=0),0))))</f>
      </c>
      <c r="H13734">
        <f>IF(DATOS!$G13734&lt;&gt;"EX",0,--(COUNTIFS(nNIA,DATOS!$A13734,nCURSO,DATOS!$D13734,nESPEC,DATOS!$E13734,nASIG,DATOS!$I13734,nEVAL,"OR")=0))</f>
      </c>
      <c r="I13734">
        <f>IF(DATOS!$I13734="","",IFERROR(VLOOKUP(DATOS!$I13734,CONFIG_ASIGNATURAS!$B$2:$J$91,9,FALSE()),""))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IF(DATOS!$A13735="",0,IF(CONFIG_METADATA!$B$4&lt;&gt;"OR+EX",--(DATOS!$G13735=CONFIG_METADATA!$B$4),IF(DATOS!$G13735="EX",1,IF(DATOS!$G13735="OR",--(COUNTIFS(nNIA,DATOS!$A13735,nCURSO,DATOS!$D13735,nESPEC,DATOS!$E13735,nASIG,DATOS!$I13735,nEVAL,"EX")=0),0))))</f>
      </c>
      <c r="H13735">
        <f>IF(DATOS!$G13735&lt;&gt;"EX",0,--(COUNTIFS(nNIA,DATOS!$A13735,nCURSO,DATOS!$D13735,nESPEC,DATOS!$E13735,nASIG,DATOS!$I13735,nEVAL,"OR")=0))</f>
      </c>
      <c r="I13735">
        <f>IF(DATOS!$I13735="","",IFERROR(VLOOKUP(DATOS!$I13735,CONFIG_ASIGNATURAS!$B$2:$J$91,9,FALSE()),""))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IF(DATOS!$A13736="",0,IF(CONFIG_METADATA!$B$4&lt;&gt;"OR+EX",--(DATOS!$G13736=CONFIG_METADATA!$B$4),IF(DATOS!$G13736="EX",1,IF(DATOS!$G13736="OR",--(COUNTIFS(nNIA,DATOS!$A13736,nCURSO,DATOS!$D13736,nESPEC,DATOS!$E13736,nASIG,DATOS!$I13736,nEVAL,"EX")=0),0))))</f>
      </c>
      <c r="H13736">
        <f>IF(DATOS!$G13736&lt;&gt;"EX",0,--(COUNTIFS(nNIA,DATOS!$A13736,nCURSO,DATOS!$D13736,nESPEC,DATOS!$E13736,nASIG,DATOS!$I13736,nEVAL,"OR")=0))</f>
      </c>
      <c r="I13736">
        <f>IF(DATOS!$I13736="","",IFERROR(VLOOKUP(DATOS!$I13736,CONFIG_ASIGNATURAS!$B$2:$J$91,9,FALSE()),""))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IF(DATOS!$A13737="",0,IF(CONFIG_METADATA!$B$4&lt;&gt;"OR+EX",--(DATOS!$G13737=CONFIG_METADATA!$B$4),IF(DATOS!$G13737="EX",1,IF(DATOS!$G13737="OR",--(COUNTIFS(nNIA,DATOS!$A13737,nCURSO,DATOS!$D13737,nESPEC,DATOS!$E13737,nASIG,DATOS!$I13737,nEVAL,"EX")=0),0))))</f>
      </c>
      <c r="H13737">
        <f>IF(DATOS!$G13737&lt;&gt;"EX",0,--(COUNTIFS(nNIA,DATOS!$A13737,nCURSO,DATOS!$D13737,nESPEC,DATOS!$E13737,nASIG,DATOS!$I13737,nEVAL,"OR")=0))</f>
      </c>
      <c r="I13737">
        <f>IF(DATOS!$I13737="","",IFERROR(VLOOKUP(DATOS!$I13737,CONFIG_ASIGNATURAS!$B$2:$J$91,9,FALSE()),""))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IF(DATOS!$A13738="",0,IF(CONFIG_METADATA!$B$4&lt;&gt;"OR+EX",--(DATOS!$G13738=CONFIG_METADATA!$B$4),IF(DATOS!$G13738="EX",1,IF(DATOS!$G13738="OR",--(COUNTIFS(nNIA,DATOS!$A13738,nCURSO,DATOS!$D13738,nESPEC,DATOS!$E13738,nASIG,DATOS!$I13738,nEVAL,"EX")=0),0))))</f>
      </c>
      <c r="H13738">
        <f>IF(DATOS!$G13738&lt;&gt;"EX",0,--(COUNTIFS(nNIA,DATOS!$A13738,nCURSO,DATOS!$D13738,nESPEC,DATOS!$E13738,nASIG,DATOS!$I13738,nEVAL,"OR")=0))</f>
      </c>
      <c r="I13738">
        <f>IF(DATOS!$I13738="","",IFERROR(VLOOKUP(DATOS!$I13738,CONFIG_ASIGNATURAS!$B$2:$J$91,9,FALSE()),""))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IF(DATOS!$A13739="",0,IF(CONFIG_METADATA!$B$4&lt;&gt;"OR+EX",--(DATOS!$G13739=CONFIG_METADATA!$B$4),IF(DATOS!$G13739="EX",1,IF(DATOS!$G13739="OR",--(COUNTIFS(nNIA,DATOS!$A13739,nCURSO,DATOS!$D13739,nESPEC,DATOS!$E13739,nASIG,DATOS!$I13739,nEVAL,"EX")=0),0))))</f>
      </c>
      <c r="H13739">
        <f>IF(DATOS!$G13739&lt;&gt;"EX",0,--(COUNTIFS(nNIA,DATOS!$A13739,nCURSO,DATOS!$D13739,nESPEC,DATOS!$E13739,nASIG,DATOS!$I13739,nEVAL,"OR")=0))</f>
      </c>
      <c r="I13739">
        <f>IF(DATOS!$I13739="","",IFERROR(VLOOKUP(DATOS!$I13739,CONFIG_ASIGNATURAS!$B$2:$J$91,9,FALSE()),""))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IF(DATOS!$A13740="",0,IF(CONFIG_METADATA!$B$4&lt;&gt;"OR+EX",--(DATOS!$G13740=CONFIG_METADATA!$B$4),IF(DATOS!$G13740="EX",1,IF(DATOS!$G13740="OR",--(COUNTIFS(nNIA,DATOS!$A13740,nCURSO,DATOS!$D13740,nESPEC,DATOS!$E13740,nASIG,DATOS!$I13740,nEVAL,"EX")=0),0))))</f>
      </c>
      <c r="H13740">
        <f>IF(DATOS!$G13740&lt;&gt;"EX",0,--(COUNTIFS(nNIA,DATOS!$A13740,nCURSO,DATOS!$D13740,nESPEC,DATOS!$E13740,nASIG,DATOS!$I13740,nEVAL,"OR")=0))</f>
      </c>
      <c r="I13740">
        <f>IF(DATOS!$I13740="","",IFERROR(VLOOKUP(DATOS!$I13740,CONFIG_ASIGNATURAS!$B$2:$J$91,9,FALSE()),""))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IF(DATOS!$A13741="",0,IF(CONFIG_METADATA!$B$4&lt;&gt;"OR+EX",--(DATOS!$G13741=CONFIG_METADATA!$B$4),IF(DATOS!$G13741="EX",1,IF(DATOS!$G13741="OR",--(COUNTIFS(nNIA,DATOS!$A13741,nCURSO,DATOS!$D13741,nESPEC,DATOS!$E13741,nASIG,DATOS!$I13741,nEVAL,"EX")=0),0))))</f>
      </c>
      <c r="H13741">
        <f>IF(DATOS!$G13741&lt;&gt;"EX",0,--(COUNTIFS(nNIA,DATOS!$A13741,nCURSO,DATOS!$D13741,nESPEC,DATOS!$E13741,nASIG,DATOS!$I13741,nEVAL,"OR")=0))</f>
      </c>
      <c r="I13741">
        <f>IF(DATOS!$I13741="","",IFERROR(VLOOKUP(DATOS!$I13741,CONFIG_ASIGNATURAS!$B$2:$J$91,9,FALSE()),""))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IF(DATOS!$A13742="",0,IF(CONFIG_METADATA!$B$4&lt;&gt;"OR+EX",--(DATOS!$G13742=CONFIG_METADATA!$B$4),IF(DATOS!$G13742="EX",1,IF(DATOS!$G13742="OR",--(COUNTIFS(nNIA,DATOS!$A13742,nCURSO,DATOS!$D13742,nESPEC,DATOS!$E13742,nASIG,DATOS!$I13742,nEVAL,"EX")=0),0))))</f>
      </c>
      <c r="H13742">
        <f>IF(DATOS!$G13742&lt;&gt;"EX",0,--(COUNTIFS(nNIA,DATOS!$A13742,nCURSO,DATOS!$D13742,nESPEC,DATOS!$E13742,nASIG,DATOS!$I13742,nEVAL,"OR")=0))</f>
      </c>
      <c r="I13742">
        <f>IF(DATOS!$I13742="","",IFERROR(VLOOKUP(DATOS!$I13742,CONFIG_ASIGNATURAS!$B$2:$J$91,9,FALSE()),""))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IF(DATOS!$A13743="",0,IF(CONFIG_METADATA!$B$4&lt;&gt;"OR+EX",--(DATOS!$G13743=CONFIG_METADATA!$B$4),IF(DATOS!$G13743="EX",1,IF(DATOS!$G13743="OR",--(COUNTIFS(nNIA,DATOS!$A13743,nCURSO,DATOS!$D13743,nESPEC,DATOS!$E13743,nASIG,DATOS!$I13743,nEVAL,"EX")=0),0))))</f>
      </c>
      <c r="H13743">
        <f>IF(DATOS!$G13743&lt;&gt;"EX",0,--(COUNTIFS(nNIA,DATOS!$A13743,nCURSO,DATOS!$D13743,nESPEC,DATOS!$E13743,nASIG,DATOS!$I13743,nEVAL,"OR")=0))</f>
      </c>
      <c r="I13743">
        <f>IF(DATOS!$I13743="","",IFERROR(VLOOKUP(DATOS!$I13743,CONFIG_ASIGNATURAS!$B$2:$J$91,9,FALSE()),""))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IF(DATOS!$A13744="",0,IF(CONFIG_METADATA!$B$4&lt;&gt;"OR+EX",--(DATOS!$G13744=CONFIG_METADATA!$B$4),IF(DATOS!$G13744="EX",1,IF(DATOS!$G13744="OR",--(COUNTIFS(nNIA,DATOS!$A13744,nCURSO,DATOS!$D13744,nESPEC,DATOS!$E13744,nASIG,DATOS!$I13744,nEVAL,"EX")=0),0))))</f>
      </c>
      <c r="H13744">
        <f>IF(DATOS!$G13744&lt;&gt;"EX",0,--(COUNTIFS(nNIA,DATOS!$A13744,nCURSO,DATOS!$D13744,nESPEC,DATOS!$E13744,nASIG,DATOS!$I13744,nEVAL,"OR")=0))</f>
      </c>
      <c r="I13744">
        <f>IF(DATOS!$I13744="","",IFERROR(VLOOKUP(DATOS!$I13744,CONFIG_ASIGNATURAS!$B$2:$J$91,9,FALSE()),""))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IF(DATOS!$A13745="",0,IF(CONFIG_METADATA!$B$4&lt;&gt;"OR+EX",--(DATOS!$G13745=CONFIG_METADATA!$B$4),IF(DATOS!$G13745="EX",1,IF(DATOS!$G13745="OR",--(COUNTIFS(nNIA,DATOS!$A13745,nCURSO,DATOS!$D13745,nESPEC,DATOS!$E13745,nASIG,DATOS!$I13745,nEVAL,"EX")=0),0))))</f>
      </c>
      <c r="H13745">
        <f>IF(DATOS!$G13745&lt;&gt;"EX",0,--(COUNTIFS(nNIA,DATOS!$A13745,nCURSO,DATOS!$D13745,nESPEC,DATOS!$E13745,nASIG,DATOS!$I13745,nEVAL,"OR")=0))</f>
      </c>
      <c r="I13745">
        <f>IF(DATOS!$I13745="","",IFERROR(VLOOKUP(DATOS!$I13745,CONFIG_ASIGNATURAS!$B$2:$J$91,9,FALSE()),""))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IF(DATOS!$A13746="",0,IF(CONFIG_METADATA!$B$4&lt;&gt;"OR+EX",--(DATOS!$G13746=CONFIG_METADATA!$B$4),IF(DATOS!$G13746="EX",1,IF(DATOS!$G13746="OR",--(COUNTIFS(nNIA,DATOS!$A13746,nCURSO,DATOS!$D13746,nESPEC,DATOS!$E13746,nASIG,DATOS!$I13746,nEVAL,"EX")=0),0))))</f>
      </c>
      <c r="H13746">
        <f>IF(DATOS!$G13746&lt;&gt;"EX",0,--(COUNTIFS(nNIA,DATOS!$A13746,nCURSO,DATOS!$D13746,nESPEC,DATOS!$E13746,nASIG,DATOS!$I13746,nEVAL,"OR")=0))</f>
      </c>
      <c r="I13746">
        <f>IF(DATOS!$I13746="","",IFERROR(VLOOKUP(DATOS!$I13746,CONFIG_ASIGNATURAS!$B$2:$J$91,9,FALSE()),""))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IF(DATOS!$A13747="",0,IF(CONFIG_METADATA!$B$4&lt;&gt;"OR+EX",--(DATOS!$G13747=CONFIG_METADATA!$B$4),IF(DATOS!$G13747="EX",1,IF(DATOS!$G13747="OR",--(COUNTIFS(nNIA,DATOS!$A13747,nCURSO,DATOS!$D13747,nESPEC,DATOS!$E13747,nASIG,DATOS!$I13747,nEVAL,"EX")=0),0))))</f>
      </c>
      <c r="H13747">
        <f>IF(DATOS!$G13747&lt;&gt;"EX",0,--(COUNTIFS(nNIA,DATOS!$A13747,nCURSO,DATOS!$D13747,nESPEC,DATOS!$E13747,nASIG,DATOS!$I13747,nEVAL,"OR")=0))</f>
      </c>
      <c r="I13747">
        <f>IF(DATOS!$I13747="","",IFERROR(VLOOKUP(DATOS!$I13747,CONFIG_ASIGNATURAS!$B$2:$J$91,9,FALSE()),""))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IF(DATOS!$A13748="",0,IF(CONFIG_METADATA!$B$4&lt;&gt;"OR+EX",--(DATOS!$G13748=CONFIG_METADATA!$B$4),IF(DATOS!$G13748="EX",1,IF(DATOS!$G13748="OR",--(COUNTIFS(nNIA,DATOS!$A13748,nCURSO,DATOS!$D13748,nESPEC,DATOS!$E13748,nASIG,DATOS!$I13748,nEVAL,"EX")=0),0))))</f>
      </c>
      <c r="H13748">
        <f>IF(DATOS!$G13748&lt;&gt;"EX",0,--(COUNTIFS(nNIA,DATOS!$A13748,nCURSO,DATOS!$D13748,nESPEC,DATOS!$E13748,nASIG,DATOS!$I13748,nEVAL,"OR")=0))</f>
      </c>
      <c r="I13748">
        <f>IF(DATOS!$I13748="","",IFERROR(VLOOKUP(DATOS!$I13748,CONFIG_ASIGNATURAS!$B$2:$J$91,9,FALSE()),""))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IF(DATOS!$A13749="",0,IF(CONFIG_METADATA!$B$4&lt;&gt;"OR+EX",--(DATOS!$G13749=CONFIG_METADATA!$B$4),IF(DATOS!$G13749="EX",1,IF(DATOS!$G13749="OR",--(COUNTIFS(nNIA,DATOS!$A13749,nCURSO,DATOS!$D13749,nESPEC,DATOS!$E13749,nASIG,DATOS!$I13749,nEVAL,"EX")=0),0))))</f>
      </c>
      <c r="H13749">
        <f>IF(DATOS!$G13749&lt;&gt;"EX",0,--(COUNTIFS(nNIA,DATOS!$A13749,nCURSO,DATOS!$D13749,nESPEC,DATOS!$E13749,nASIG,DATOS!$I13749,nEVAL,"OR")=0))</f>
      </c>
      <c r="I13749">
        <f>IF(DATOS!$I13749="","",IFERROR(VLOOKUP(DATOS!$I13749,CONFIG_ASIGNATURAS!$B$2:$J$91,9,FALSE()),""))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IF(DATOS!$A13750="",0,IF(CONFIG_METADATA!$B$4&lt;&gt;"OR+EX",--(DATOS!$G13750=CONFIG_METADATA!$B$4),IF(DATOS!$G13750="EX",1,IF(DATOS!$G13750="OR",--(COUNTIFS(nNIA,DATOS!$A13750,nCURSO,DATOS!$D13750,nESPEC,DATOS!$E13750,nASIG,DATOS!$I13750,nEVAL,"EX")=0),0))))</f>
      </c>
      <c r="H13750">
        <f>IF(DATOS!$G13750&lt;&gt;"EX",0,--(COUNTIFS(nNIA,DATOS!$A13750,nCURSO,DATOS!$D13750,nESPEC,DATOS!$E13750,nASIG,DATOS!$I13750,nEVAL,"OR")=0))</f>
      </c>
      <c r="I13750">
        <f>IF(DATOS!$I13750="","",IFERROR(VLOOKUP(DATOS!$I13750,CONFIG_ASIGNATURAS!$B$2:$J$91,9,FALSE()),""))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IF(DATOS!$A13751="",0,IF(CONFIG_METADATA!$B$4&lt;&gt;"OR+EX",--(DATOS!$G13751=CONFIG_METADATA!$B$4),IF(DATOS!$G13751="EX",1,IF(DATOS!$G13751="OR",--(COUNTIFS(nNIA,DATOS!$A13751,nCURSO,DATOS!$D13751,nESPEC,DATOS!$E13751,nASIG,DATOS!$I13751,nEVAL,"EX")=0),0))))</f>
      </c>
      <c r="H13751">
        <f>IF(DATOS!$G13751&lt;&gt;"EX",0,--(COUNTIFS(nNIA,DATOS!$A13751,nCURSO,DATOS!$D13751,nESPEC,DATOS!$E13751,nASIG,DATOS!$I13751,nEVAL,"OR")=0))</f>
      </c>
      <c r="I13751">
        <f>IF(DATOS!$I13751="","",IFERROR(VLOOKUP(DATOS!$I13751,CONFIG_ASIGNATURAS!$B$2:$J$91,9,FALSE()),""))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IF(DATOS!$A13752="",0,IF(CONFIG_METADATA!$B$4&lt;&gt;"OR+EX",--(DATOS!$G13752=CONFIG_METADATA!$B$4),IF(DATOS!$G13752="EX",1,IF(DATOS!$G13752="OR",--(COUNTIFS(nNIA,DATOS!$A13752,nCURSO,DATOS!$D13752,nESPEC,DATOS!$E13752,nASIG,DATOS!$I13752,nEVAL,"EX")=0),0))))</f>
      </c>
      <c r="H13752">
        <f>IF(DATOS!$G13752&lt;&gt;"EX",0,--(COUNTIFS(nNIA,DATOS!$A13752,nCURSO,DATOS!$D13752,nESPEC,DATOS!$E13752,nASIG,DATOS!$I13752,nEVAL,"OR")=0))</f>
      </c>
      <c r="I13752">
        <f>IF(DATOS!$I13752="","",IFERROR(VLOOKUP(DATOS!$I13752,CONFIG_ASIGNATURAS!$B$2:$J$91,9,FALSE()),""))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IF(DATOS!$A13753="",0,IF(CONFIG_METADATA!$B$4&lt;&gt;"OR+EX",--(DATOS!$G13753=CONFIG_METADATA!$B$4),IF(DATOS!$G13753="EX",1,IF(DATOS!$G13753="OR",--(COUNTIFS(nNIA,DATOS!$A13753,nCURSO,DATOS!$D13753,nESPEC,DATOS!$E13753,nASIG,DATOS!$I13753,nEVAL,"EX")=0),0))))</f>
      </c>
      <c r="H13753">
        <f>IF(DATOS!$G13753&lt;&gt;"EX",0,--(COUNTIFS(nNIA,DATOS!$A13753,nCURSO,DATOS!$D13753,nESPEC,DATOS!$E13753,nASIG,DATOS!$I13753,nEVAL,"OR")=0))</f>
      </c>
      <c r="I13753">
        <f>IF(DATOS!$I13753="","",IFERROR(VLOOKUP(DATOS!$I13753,CONFIG_ASIGNATURAS!$B$2:$J$91,9,FALSE()),""))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IF(DATOS!$A13754="",0,IF(CONFIG_METADATA!$B$4&lt;&gt;"OR+EX",--(DATOS!$G13754=CONFIG_METADATA!$B$4),IF(DATOS!$G13754="EX",1,IF(DATOS!$G13754="OR",--(COUNTIFS(nNIA,DATOS!$A13754,nCURSO,DATOS!$D13754,nESPEC,DATOS!$E13754,nASIG,DATOS!$I13754,nEVAL,"EX")=0),0))))</f>
      </c>
      <c r="H13754">
        <f>IF(DATOS!$G13754&lt;&gt;"EX",0,--(COUNTIFS(nNIA,DATOS!$A13754,nCURSO,DATOS!$D13754,nESPEC,DATOS!$E13754,nASIG,DATOS!$I13754,nEVAL,"OR")=0))</f>
      </c>
      <c r="I13754">
        <f>IF(DATOS!$I13754="","",IFERROR(VLOOKUP(DATOS!$I13754,CONFIG_ASIGNATURAS!$B$2:$J$91,9,FALSE()),""))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IF(DATOS!$A13755="",0,IF(CONFIG_METADATA!$B$4&lt;&gt;"OR+EX",--(DATOS!$G13755=CONFIG_METADATA!$B$4),IF(DATOS!$G13755="EX",1,IF(DATOS!$G13755="OR",--(COUNTIFS(nNIA,DATOS!$A13755,nCURSO,DATOS!$D13755,nESPEC,DATOS!$E13755,nASIG,DATOS!$I13755,nEVAL,"EX")=0),0))))</f>
      </c>
      <c r="H13755">
        <f>IF(DATOS!$G13755&lt;&gt;"EX",0,--(COUNTIFS(nNIA,DATOS!$A13755,nCURSO,DATOS!$D13755,nESPEC,DATOS!$E13755,nASIG,DATOS!$I13755,nEVAL,"OR")=0))</f>
      </c>
      <c r="I13755">
        <f>IF(DATOS!$I13755="","",IFERROR(VLOOKUP(DATOS!$I13755,CONFIG_ASIGNATURAS!$B$2:$J$91,9,FALSE()),""))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IF(DATOS!$A13756="",0,IF(CONFIG_METADATA!$B$4&lt;&gt;"OR+EX",--(DATOS!$G13756=CONFIG_METADATA!$B$4),IF(DATOS!$G13756="EX",1,IF(DATOS!$G13756="OR",--(COUNTIFS(nNIA,DATOS!$A13756,nCURSO,DATOS!$D13756,nESPEC,DATOS!$E13756,nASIG,DATOS!$I13756,nEVAL,"EX")=0),0))))</f>
      </c>
      <c r="H13756">
        <f>IF(DATOS!$G13756&lt;&gt;"EX",0,--(COUNTIFS(nNIA,DATOS!$A13756,nCURSO,DATOS!$D13756,nESPEC,DATOS!$E13756,nASIG,DATOS!$I13756,nEVAL,"OR")=0))</f>
      </c>
      <c r="I13756">
        <f>IF(DATOS!$I13756="","",IFERROR(VLOOKUP(DATOS!$I13756,CONFIG_ASIGNATURAS!$B$2:$J$91,9,FALSE()),""))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IF(DATOS!$A13757="",0,IF(CONFIG_METADATA!$B$4&lt;&gt;"OR+EX",--(DATOS!$G13757=CONFIG_METADATA!$B$4),IF(DATOS!$G13757="EX",1,IF(DATOS!$G13757="OR",--(COUNTIFS(nNIA,DATOS!$A13757,nCURSO,DATOS!$D13757,nESPEC,DATOS!$E13757,nASIG,DATOS!$I13757,nEVAL,"EX")=0),0))))</f>
      </c>
      <c r="H13757">
        <f>IF(DATOS!$G13757&lt;&gt;"EX",0,--(COUNTIFS(nNIA,DATOS!$A13757,nCURSO,DATOS!$D13757,nESPEC,DATOS!$E13757,nASIG,DATOS!$I13757,nEVAL,"OR")=0))</f>
      </c>
      <c r="I13757">
        <f>IF(DATOS!$I13757="","",IFERROR(VLOOKUP(DATOS!$I13757,CONFIG_ASIGNATURAS!$B$2:$J$91,9,FALSE()),""))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IF(DATOS!$A13758="",0,IF(CONFIG_METADATA!$B$4&lt;&gt;"OR+EX",--(DATOS!$G13758=CONFIG_METADATA!$B$4),IF(DATOS!$G13758="EX",1,IF(DATOS!$G13758="OR",--(COUNTIFS(nNIA,DATOS!$A13758,nCURSO,DATOS!$D13758,nESPEC,DATOS!$E13758,nASIG,DATOS!$I13758,nEVAL,"EX")=0),0))))</f>
      </c>
      <c r="H13758">
        <f>IF(DATOS!$G13758&lt;&gt;"EX",0,--(COUNTIFS(nNIA,DATOS!$A13758,nCURSO,DATOS!$D13758,nESPEC,DATOS!$E13758,nASIG,DATOS!$I13758,nEVAL,"OR")=0))</f>
      </c>
      <c r="I13758">
        <f>IF(DATOS!$I13758="","",IFERROR(VLOOKUP(DATOS!$I13758,CONFIG_ASIGNATURAS!$B$2:$J$91,9,FALSE()),""))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IF(DATOS!$A13759="",0,IF(CONFIG_METADATA!$B$4&lt;&gt;"OR+EX",--(DATOS!$G13759=CONFIG_METADATA!$B$4),IF(DATOS!$G13759="EX",1,IF(DATOS!$G13759="OR",--(COUNTIFS(nNIA,DATOS!$A13759,nCURSO,DATOS!$D13759,nESPEC,DATOS!$E13759,nASIG,DATOS!$I13759,nEVAL,"EX")=0),0))))</f>
      </c>
      <c r="H13759">
        <f>IF(DATOS!$G13759&lt;&gt;"EX",0,--(COUNTIFS(nNIA,DATOS!$A13759,nCURSO,DATOS!$D13759,nESPEC,DATOS!$E13759,nASIG,DATOS!$I13759,nEVAL,"OR")=0))</f>
      </c>
      <c r="I13759">
        <f>IF(DATOS!$I13759="","",IFERROR(VLOOKUP(DATOS!$I13759,CONFIG_ASIGNATURAS!$B$2:$J$91,9,FALSE()),""))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IF(DATOS!$A13760="",0,IF(CONFIG_METADATA!$B$4&lt;&gt;"OR+EX",--(DATOS!$G13760=CONFIG_METADATA!$B$4),IF(DATOS!$G13760="EX",1,IF(DATOS!$G13760="OR",--(COUNTIFS(nNIA,DATOS!$A13760,nCURSO,DATOS!$D13760,nESPEC,DATOS!$E13760,nASIG,DATOS!$I13760,nEVAL,"EX")=0),0))))</f>
      </c>
      <c r="H13760">
        <f>IF(DATOS!$G13760&lt;&gt;"EX",0,--(COUNTIFS(nNIA,DATOS!$A13760,nCURSO,DATOS!$D13760,nESPEC,DATOS!$E13760,nASIG,DATOS!$I13760,nEVAL,"OR")=0))</f>
      </c>
      <c r="I13760">
        <f>IF(DATOS!$I13760="","",IFERROR(VLOOKUP(DATOS!$I13760,CONFIG_ASIGNATURAS!$B$2:$J$91,9,FALSE()),""))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IF(DATOS!$A13761="",0,IF(CONFIG_METADATA!$B$4&lt;&gt;"OR+EX",--(DATOS!$G13761=CONFIG_METADATA!$B$4),IF(DATOS!$G13761="EX",1,IF(DATOS!$G13761="OR",--(COUNTIFS(nNIA,DATOS!$A13761,nCURSO,DATOS!$D13761,nESPEC,DATOS!$E13761,nASIG,DATOS!$I13761,nEVAL,"EX")=0),0))))</f>
      </c>
      <c r="H13761">
        <f>IF(DATOS!$G13761&lt;&gt;"EX",0,--(COUNTIFS(nNIA,DATOS!$A13761,nCURSO,DATOS!$D13761,nESPEC,DATOS!$E13761,nASIG,DATOS!$I13761,nEVAL,"OR")=0))</f>
      </c>
      <c r="I13761">
        <f>IF(DATOS!$I13761="","",IFERROR(VLOOKUP(DATOS!$I13761,CONFIG_ASIGNATURAS!$B$2:$J$91,9,FALSE()),""))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IF(DATOS!$A13762="",0,IF(CONFIG_METADATA!$B$4&lt;&gt;"OR+EX",--(DATOS!$G13762=CONFIG_METADATA!$B$4),IF(DATOS!$G13762="EX",1,IF(DATOS!$G13762="OR",--(COUNTIFS(nNIA,DATOS!$A13762,nCURSO,DATOS!$D13762,nESPEC,DATOS!$E13762,nASIG,DATOS!$I13762,nEVAL,"EX")=0),0))))</f>
      </c>
      <c r="H13762">
        <f>IF(DATOS!$G13762&lt;&gt;"EX",0,--(COUNTIFS(nNIA,DATOS!$A13762,nCURSO,DATOS!$D13762,nESPEC,DATOS!$E13762,nASIG,DATOS!$I13762,nEVAL,"OR")=0))</f>
      </c>
      <c r="I13762">
        <f>IF(DATOS!$I13762="","",IFERROR(VLOOKUP(DATOS!$I13762,CONFIG_ASIGNATURAS!$B$2:$J$91,9,FALSE()),""))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IF(DATOS!$A13763="",0,IF(CONFIG_METADATA!$B$4&lt;&gt;"OR+EX",--(DATOS!$G13763=CONFIG_METADATA!$B$4),IF(DATOS!$G13763="EX",1,IF(DATOS!$G13763="OR",--(COUNTIFS(nNIA,DATOS!$A13763,nCURSO,DATOS!$D13763,nESPEC,DATOS!$E13763,nASIG,DATOS!$I13763,nEVAL,"EX")=0),0))))</f>
      </c>
      <c r="H13763">
        <f>IF(DATOS!$G13763&lt;&gt;"EX",0,--(COUNTIFS(nNIA,DATOS!$A13763,nCURSO,DATOS!$D13763,nESPEC,DATOS!$E13763,nASIG,DATOS!$I13763,nEVAL,"OR")=0))</f>
      </c>
      <c r="I13763">
        <f>IF(DATOS!$I13763="","",IFERROR(VLOOKUP(DATOS!$I13763,CONFIG_ASIGNATURAS!$B$2:$J$91,9,FALSE()),""))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IF(DATOS!$A13764="",0,IF(CONFIG_METADATA!$B$4&lt;&gt;"OR+EX",--(DATOS!$G13764=CONFIG_METADATA!$B$4),IF(DATOS!$G13764="EX",1,IF(DATOS!$G13764="OR",--(COUNTIFS(nNIA,DATOS!$A13764,nCURSO,DATOS!$D13764,nESPEC,DATOS!$E13764,nASIG,DATOS!$I13764,nEVAL,"EX")=0),0))))</f>
      </c>
      <c r="H13764">
        <f>IF(DATOS!$G13764&lt;&gt;"EX",0,--(COUNTIFS(nNIA,DATOS!$A13764,nCURSO,DATOS!$D13764,nESPEC,DATOS!$E13764,nASIG,DATOS!$I13764,nEVAL,"OR")=0))</f>
      </c>
      <c r="I13764">
        <f>IF(DATOS!$I13764="","",IFERROR(VLOOKUP(DATOS!$I13764,CONFIG_ASIGNATURAS!$B$2:$J$91,9,FALSE()),""))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IF(DATOS!$A13765="",0,IF(CONFIG_METADATA!$B$4&lt;&gt;"OR+EX",--(DATOS!$G13765=CONFIG_METADATA!$B$4),IF(DATOS!$G13765="EX",1,IF(DATOS!$G13765="OR",--(COUNTIFS(nNIA,DATOS!$A13765,nCURSO,DATOS!$D13765,nESPEC,DATOS!$E13765,nASIG,DATOS!$I13765,nEVAL,"EX")=0),0))))</f>
      </c>
      <c r="H13765">
        <f>IF(DATOS!$G13765&lt;&gt;"EX",0,--(COUNTIFS(nNIA,DATOS!$A13765,nCURSO,DATOS!$D13765,nESPEC,DATOS!$E13765,nASIG,DATOS!$I13765,nEVAL,"OR")=0))</f>
      </c>
      <c r="I13765">
        <f>IF(DATOS!$I13765="","",IFERROR(VLOOKUP(DATOS!$I13765,CONFIG_ASIGNATURAS!$B$2:$J$91,9,FALSE()),""))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IF(DATOS!$A13766="",0,IF(CONFIG_METADATA!$B$4&lt;&gt;"OR+EX",--(DATOS!$G13766=CONFIG_METADATA!$B$4),IF(DATOS!$G13766="EX",1,IF(DATOS!$G13766="OR",--(COUNTIFS(nNIA,DATOS!$A13766,nCURSO,DATOS!$D13766,nESPEC,DATOS!$E13766,nASIG,DATOS!$I13766,nEVAL,"EX")=0),0))))</f>
      </c>
      <c r="H13766">
        <f>IF(DATOS!$G13766&lt;&gt;"EX",0,--(COUNTIFS(nNIA,DATOS!$A13766,nCURSO,DATOS!$D13766,nESPEC,DATOS!$E13766,nASIG,DATOS!$I13766,nEVAL,"OR")=0))</f>
      </c>
      <c r="I13766">
        <f>IF(DATOS!$I13766="","",IFERROR(VLOOKUP(DATOS!$I13766,CONFIG_ASIGNATURAS!$B$2:$J$91,9,FALSE()),""))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IF(DATOS!$A13767="",0,IF(CONFIG_METADATA!$B$4&lt;&gt;"OR+EX",--(DATOS!$G13767=CONFIG_METADATA!$B$4),IF(DATOS!$G13767="EX",1,IF(DATOS!$G13767="OR",--(COUNTIFS(nNIA,DATOS!$A13767,nCURSO,DATOS!$D13767,nESPEC,DATOS!$E13767,nASIG,DATOS!$I13767,nEVAL,"EX")=0),0))))</f>
      </c>
      <c r="H13767">
        <f>IF(DATOS!$G13767&lt;&gt;"EX",0,--(COUNTIFS(nNIA,DATOS!$A13767,nCURSO,DATOS!$D13767,nESPEC,DATOS!$E13767,nASIG,DATOS!$I13767,nEVAL,"OR")=0))</f>
      </c>
      <c r="I13767">
        <f>IF(DATOS!$I13767="","",IFERROR(VLOOKUP(DATOS!$I13767,CONFIG_ASIGNATURAS!$B$2:$J$91,9,FALSE()),""))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IF(DATOS!$A13768="",0,IF(CONFIG_METADATA!$B$4&lt;&gt;"OR+EX",--(DATOS!$G13768=CONFIG_METADATA!$B$4),IF(DATOS!$G13768="EX",1,IF(DATOS!$G13768="OR",--(COUNTIFS(nNIA,DATOS!$A13768,nCURSO,DATOS!$D13768,nESPEC,DATOS!$E13768,nASIG,DATOS!$I13768,nEVAL,"EX")=0),0))))</f>
      </c>
      <c r="H13768">
        <f>IF(DATOS!$G13768&lt;&gt;"EX",0,--(COUNTIFS(nNIA,DATOS!$A13768,nCURSO,DATOS!$D13768,nESPEC,DATOS!$E13768,nASIG,DATOS!$I13768,nEVAL,"OR")=0))</f>
      </c>
      <c r="I13768">
        <f>IF(DATOS!$I13768="","",IFERROR(VLOOKUP(DATOS!$I13768,CONFIG_ASIGNATURAS!$B$2:$J$91,9,FALSE()),""))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IF(DATOS!$A13769="",0,IF(CONFIG_METADATA!$B$4&lt;&gt;"OR+EX",--(DATOS!$G13769=CONFIG_METADATA!$B$4),IF(DATOS!$G13769="EX",1,IF(DATOS!$G13769="OR",--(COUNTIFS(nNIA,DATOS!$A13769,nCURSO,DATOS!$D13769,nESPEC,DATOS!$E13769,nASIG,DATOS!$I13769,nEVAL,"EX")=0),0))))</f>
      </c>
      <c r="H13769">
        <f>IF(DATOS!$G13769&lt;&gt;"EX",0,--(COUNTIFS(nNIA,DATOS!$A13769,nCURSO,DATOS!$D13769,nESPEC,DATOS!$E13769,nASIG,DATOS!$I13769,nEVAL,"OR")=0))</f>
      </c>
      <c r="I13769">
        <f>IF(DATOS!$I13769="","",IFERROR(VLOOKUP(DATOS!$I13769,CONFIG_ASIGNATURAS!$B$2:$J$91,9,FALSE()),""))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IF(DATOS!$A13770="",0,IF(CONFIG_METADATA!$B$4&lt;&gt;"OR+EX",--(DATOS!$G13770=CONFIG_METADATA!$B$4),IF(DATOS!$G13770="EX",1,IF(DATOS!$G13770="OR",--(COUNTIFS(nNIA,DATOS!$A13770,nCURSO,DATOS!$D13770,nESPEC,DATOS!$E13770,nASIG,DATOS!$I13770,nEVAL,"EX")=0),0))))</f>
      </c>
      <c r="H13770">
        <f>IF(DATOS!$G13770&lt;&gt;"EX",0,--(COUNTIFS(nNIA,DATOS!$A13770,nCURSO,DATOS!$D13770,nESPEC,DATOS!$E13770,nASIG,DATOS!$I13770,nEVAL,"OR")=0))</f>
      </c>
      <c r="I13770">
        <f>IF(DATOS!$I13770="","",IFERROR(VLOOKUP(DATOS!$I13770,CONFIG_ASIGNATURAS!$B$2:$J$91,9,FALSE()),""))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IF(DATOS!$A13771="",0,IF(CONFIG_METADATA!$B$4&lt;&gt;"OR+EX",--(DATOS!$G13771=CONFIG_METADATA!$B$4),IF(DATOS!$G13771="EX",1,IF(DATOS!$G13771="OR",--(COUNTIFS(nNIA,DATOS!$A13771,nCURSO,DATOS!$D13771,nESPEC,DATOS!$E13771,nASIG,DATOS!$I13771,nEVAL,"EX")=0),0))))</f>
      </c>
      <c r="H13771">
        <f>IF(DATOS!$G13771&lt;&gt;"EX",0,--(COUNTIFS(nNIA,DATOS!$A13771,nCURSO,DATOS!$D13771,nESPEC,DATOS!$E13771,nASIG,DATOS!$I13771,nEVAL,"OR")=0))</f>
      </c>
      <c r="I13771">
        <f>IF(DATOS!$I13771="","",IFERROR(VLOOKUP(DATOS!$I13771,CONFIG_ASIGNATURAS!$B$2:$J$91,9,FALSE()),""))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IF(DATOS!$A13772="",0,IF(CONFIG_METADATA!$B$4&lt;&gt;"OR+EX",--(DATOS!$G13772=CONFIG_METADATA!$B$4),IF(DATOS!$G13772="EX",1,IF(DATOS!$G13772="OR",--(COUNTIFS(nNIA,DATOS!$A13772,nCURSO,DATOS!$D13772,nESPEC,DATOS!$E13772,nASIG,DATOS!$I13772,nEVAL,"EX")=0),0))))</f>
      </c>
      <c r="H13772">
        <f>IF(DATOS!$G13772&lt;&gt;"EX",0,--(COUNTIFS(nNIA,DATOS!$A13772,nCURSO,DATOS!$D13772,nESPEC,DATOS!$E13772,nASIG,DATOS!$I13772,nEVAL,"OR")=0))</f>
      </c>
      <c r="I13772">
        <f>IF(DATOS!$I13772="","",IFERROR(VLOOKUP(DATOS!$I13772,CONFIG_ASIGNATURAS!$B$2:$J$91,9,FALSE()),""))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IF(DATOS!$A13773="",0,IF(CONFIG_METADATA!$B$4&lt;&gt;"OR+EX",--(DATOS!$G13773=CONFIG_METADATA!$B$4),IF(DATOS!$G13773="EX",1,IF(DATOS!$G13773="OR",--(COUNTIFS(nNIA,DATOS!$A13773,nCURSO,DATOS!$D13773,nESPEC,DATOS!$E13773,nASIG,DATOS!$I13773,nEVAL,"EX")=0),0))))</f>
      </c>
      <c r="H13773">
        <f>IF(DATOS!$G13773&lt;&gt;"EX",0,--(COUNTIFS(nNIA,DATOS!$A13773,nCURSO,DATOS!$D13773,nESPEC,DATOS!$E13773,nASIG,DATOS!$I13773,nEVAL,"OR")=0))</f>
      </c>
      <c r="I13773">
        <f>IF(DATOS!$I13773="","",IFERROR(VLOOKUP(DATOS!$I13773,CONFIG_ASIGNATURAS!$B$2:$J$91,9,FALSE()),""))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IF(DATOS!$A13774="",0,IF(CONFIG_METADATA!$B$4&lt;&gt;"OR+EX",--(DATOS!$G13774=CONFIG_METADATA!$B$4),IF(DATOS!$G13774="EX",1,IF(DATOS!$G13774="OR",--(COUNTIFS(nNIA,DATOS!$A13774,nCURSO,DATOS!$D13774,nESPEC,DATOS!$E13774,nASIG,DATOS!$I13774,nEVAL,"EX")=0),0))))</f>
      </c>
      <c r="H13774">
        <f>IF(DATOS!$G13774&lt;&gt;"EX",0,--(COUNTIFS(nNIA,DATOS!$A13774,nCURSO,DATOS!$D13774,nESPEC,DATOS!$E13774,nASIG,DATOS!$I13774,nEVAL,"OR")=0))</f>
      </c>
      <c r="I13774">
        <f>IF(DATOS!$I13774="","",IFERROR(VLOOKUP(DATOS!$I13774,CONFIG_ASIGNATURAS!$B$2:$J$91,9,FALSE()),""))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IF(DATOS!$A13775="",0,IF(CONFIG_METADATA!$B$4&lt;&gt;"OR+EX",--(DATOS!$G13775=CONFIG_METADATA!$B$4),IF(DATOS!$G13775="EX",1,IF(DATOS!$G13775="OR",--(COUNTIFS(nNIA,DATOS!$A13775,nCURSO,DATOS!$D13775,nESPEC,DATOS!$E13775,nASIG,DATOS!$I13775,nEVAL,"EX")=0),0))))</f>
      </c>
      <c r="H13775">
        <f>IF(DATOS!$G13775&lt;&gt;"EX",0,--(COUNTIFS(nNIA,DATOS!$A13775,nCURSO,DATOS!$D13775,nESPEC,DATOS!$E13775,nASIG,DATOS!$I13775,nEVAL,"OR")=0))</f>
      </c>
      <c r="I13775">
        <f>IF(DATOS!$I13775="","",IFERROR(VLOOKUP(DATOS!$I13775,CONFIG_ASIGNATURAS!$B$2:$J$91,9,FALSE()),""))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IF(DATOS!$A13776="",0,IF(CONFIG_METADATA!$B$4&lt;&gt;"OR+EX",--(DATOS!$G13776=CONFIG_METADATA!$B$4),IF(DATOS!$G13776="EX",1,IF(DATOS!$G13776="OR",--(COUNTIFS(nNIA,DATOS!$A13776,nCURSO,DATOS!$D13776,nESPEC,DATOS!$E13776,nASIG,DATOS!$I13776,nEVAL,"EX")=0),0))))</f>
      </c>
      <c r="H13776">
        <f>IF(DATOS!$G13776&lt;&gt;"EX",0,--(COUNTIFS(nNIA,DATOS!$A13776,nCURSO,DATOS!$D13776,nESPEC,DATOS!$E13776,nASIG,DATOS!$I13776,nEVAL,"OR")=0))</f>
      </c>
      <c r="I13776">
        <f>IF(DATOS!$I13776="","",IFERROR(VLOOKUP(DATOS!$I13776,CONFIG_ASIGNATURAS!$B$2:$J$91,9,FALSE()),""))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IF(DATOS!$A13777="",0,IF(CONFIG_METADATA!$B$4&lt;&gt;"OR+EX",--(DATOS!$G13777=CONFIG_METADATA!$B$4),IF(DATOS!$G13777="EX",1,IF(DATOS!$G13777="OR",--(COUNTIFS(nNIA,DATOS!$A13777,nCURSO,DATOS!$D13777,nESPEC,DATOS!$E13777,nASIG,DATOS!$I13777,nEVAL,"EX")=0),0))))</f>
      </c>
      <c r="H13777">
        <f>IF(DATOS!$G13777&lt;&gt;"EX",0,--(COUNTIFS(nNIA,DATOS!$A13777,nCURSO,DATOS!$D13777,nESPEC,DATOS!$E13777,nASIG,DATOS!$I13777,nEVAL,"OR")=0))</f>
      </c>
      <c r="I13777">
        <f>IF(DATOS!$I13777="","",IFERROR(VLOOKUP(DATOS!$I13777,CONFIG_ASIGNATURAS!$B$2:$J$91,9,FALSE()),""))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IF(DATOS!$A13778="",0,IF(CONFIG_METADATA!$B$4&lt;&gt;"OR+EX",--(DATOS!$G13778=CONFIG_METADATA!$B$4),IF(DATOS!$G13778="EX",1,IF(DATOS!$G13778="OR",--(COUNTIFS(nNIA,DATOS!$A13778,nCURSO,DATOS!$D13778,nESPEC,DATOS!$E13778,nASIG,DATOS!$I13778,nEVAL,"EX")=0),0))))</f>
      </c>
      <c r="H13778">
        <f>IF(DATOS!$G13778&lt;&gt;"EX",0,--(COUNTIFS(nNIA,DATOS!$A13778,nCURSO,DATOS!$D13778,nESPEC,DATOS!$E13778,nASIG,DATOS!$I13778,nEVAL,"OR")=0))</f>
      </c>
      <c r="I13778">
        <f>IF(DATOS!$I13778="","",IFERROR(VLOOKUP(DATOS!$I13778,CONFIG_ASIGNATURAS!$B$2:$J$91,9,FALSE()),""))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IF(DATOS!$A13779="",0,IF(CONFIG_METADATA!$B$4&lt;&gt;"OR+EX",--(DATOS!$G13779=CONFIG_METADATA!$B$4),IF(DATOS!$G13779="EX",1,IF(DATOS!$G13779="OR",--(COUNTIFS(nNIA,DATOS!$A13779,nCURSO,DATOS!$D13779,nESPEC,DATOS!$E13779,nASIG,DATOS!$I13779,nEVAL,"EX")=0),0))))</f>
      </c>
      <c r="H13779">
        <f>IF(DATOS!$G13779&lt;&gt;"EX",0,--(COUNTIFS(nNIA,DATOS!$A13779,nCURSO,DATOS!$D13779,nESPEC,DATOS!$E13779,nASIG,DATOS!$I13779,nEVAL,"OR")=0))</f>
      </c>
      <c r="I13779">
        <f>IF(DATOS!$I13779="","",IFERROR(VLOOKUP(DATOS!$I13779,CONFIG_ASIGNATURAS!$B$2:$J$91,9,FALSE()),""))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IF(DATOS!$A13780="",0,IF(CONFIG_METADATA!$B$4&lt;&gt;"OR+EX",--(DATOS!$G13780=CONFIG_METADATA!$B$4),IF(DATOS!$G13780="EX",1,IF(DATOS!$G13780="OR",--(COUNTIFS(nNIA,DATOS!$A13780,nCURSO,DATOS!$D13780,nESPEC,DATOS!$E13780,nASIG,DATOS!$I13780,nEVAL,"EX")=0),0))))</f>
      </c>
      <c r="H13780">
        <f>IF(DATOS!$G13780&lt;&gt;"EX",0,--(COUNTIFS(nNIA,DATOS!$A13780,nCURSO,DATOS!$D13780,nESPEC,DATOS!$E13780,nASIG,DATOS!$I13780,nEVAL,"OR")=0))</f>
      </c>
      <c r="I13780">
        <f>IF(DATOS!$I13780="","",IFERROR(VLOOKUP(DATOS!$I13780,CONFIG_ASIGNATURAS!$B$2:$J$91,9,FALSE()),""))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IF(DATOS!$A13781="",0,IF(CONFIG_METADATA!$B$4&lt;&gt;"OR+EX",--(DATOS!$G13781=CONFIG_METADATA!$B$4),IF(DATOS!$G13781="EX",1,IF(DATOS!$G13781="OR",--(COUNTIFS(nNIA,DATOS!$A13781,nCURSO,DATOS!$D13781,nESPEC,DATOS!$E13781,nASIG,DATOS!$I13781,nEVAL,"EX")=0),0))))</f>
      </c>
      <c r="H13781">
        <f>IF(DATOS!$G13781&lt;&gt;"EX",0,--(COUNTIFS(nNIA,DATOS!$A13781,nCURSO,DATOS!$D13781,nESPEC,DATOS!$E13781,nASIG,DATOS!$I13781,nEVAL,"OR")=0))</f>
      </c>
      <c r="I13781">
        <f>IF(DATOS!$I13781="","",IFERROR(VLOOKUP(DATOS!$I13781,CONFIG_ASIGNATURAS!$B$2:$J$91,9,FALSE()),""))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IF(DATOS!$A13782="",0,IF(CONFIG_METADATA!$B$4&lt;&gt;"OR+EX",--(DATOS!$G13782=CONFIG_METADATA!$B$4),IF(DATOS!$G13782="EX",1,IF(DATOS!$G13782="OR",--(COUNTIFS(nNIA,DATOS!$A13782,nCURSO,DATOS!$D13782,nESPEC,DATOS!$E13782,nASIG,DATOS!$I13782,nEVAL,"EX")=0),0))))</f>
      </c>
      <c r="H13782">
        <f>IF(DATOS!$G13782&lt;&gt;"EX",0,--(COUNTIFS(nNIA,DATOS!$A13782,nCURSO,DATOS!$D13782,nESPEC,DATOS!$E13782,nASIG,DATOS!$I13782,nEVAL,"OR")=0))</f>
      </c>
      <c r="I13782">
        <f>IF(DATOS!$I13782="","",IFERROR(VLOOKUP(DATOS!$I13782,CONFIG_ASIGNATURAS!$B$2:$J$91,9,FALSE()),""))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IF(DATOS!$A13783="",0,IF(CONFIG_METADATA!$B$4&lt;&gt;"OR+EX",--(DATOS!$G13783=CONFIG_METADATA!$B$4),IF(DATOS!$G13783="EX",1,IF(DATOS!$G13783="OR",--(COUNTIFS(nNIA,DATOS!$A13783,nCURSO,DATOS!$D13783,nESPEC,DATOS!$E13783,nASIG,DATOS!$I13783,nEVAL,"EX")=0),0))))</f>
      </c>
      <c r="H13783">
        <f>IF(DATOS!$G13783&lt;&gt;"EX",0,--(COUNTIFS(nNIA,DATOS!$A13783,nCURSO,DATOS!$D13783,nESPEC,DATOS!$E13783,nASIG,DATOS!$I13783,nEVAL,"OR")=0))</f>
      </c>
      <c r="I13783">
        <f>IF(DATOS!$I13783="","",IFERROR(VLOOKUP(DATOS!$I13783,CONFIG_ASIGNATURAS!$B$2:$J$91,9,FALSE()),""))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IF(DATOS!$A13784="",0,IF(CONFIG_METADATA!$B$4&lt;&gt;"OR+EX",--(DATOS!$G13784=CONFIG_METADATA!$B$4),IF(DATOS!$G13784="EX",1,IF(DATOS!$G13784="OR",--(COUNTIFS(nNIA,DATOS!$A13784,nCURSO,DATOS!$D13784,nESPEC,DATOS!$E13784,nASIG,DATOS!$I13784,nEVAL,"EX")=0),0))))</f>
      </c>
      <c r="H13784">
        <f>IF(DATOS!$G13784&lt;&gt;"EX",0,--(COUNTIFS(nNIA,DATOS!$A13784,nCURSO,DATOS!$D13784,nESPEC,DATOS!$E13784,nASIG,DATOS!$I13784,nEVAL,"OR")=0))</f>
      </c>
      <c r="I13784">
        <f>IF(DATOS!$I13784="","",IFERROR(VLOOKUP(DATOS!$I13784,CONFIG_ASIGNATURAS!$B$2:$J$91,9,FALSE()),""))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IF(DATOS!$A13785="",0,IF(CONFIG_METADATA!$B$4&lt;&gt;"OR+EX",--(DATOS!$G13785=CONFIG_METADATA!$B$4),IF(DATOS!$G13785="EX",1,IF(DATOS!$G13785="OR",--(COUNTIFS(nNIA,DATOS!$A13785,nCURSO,DATOS!$D13785,nESPEC,DATOS!$E13785,nASIG,DATOS!$I13785,nEVAL,"EX")=0),0))))</f>
      </c>
      <c r="H13785">
        <f>IF(DATOS!$G13785&lt;&gt;"EX",0,--(COUNTIFS(nNIA,DATOS!$A13785,nCURSO,DATOS!$D13785,nESPEC,DATOS!$E13785,nASIG,DATOS!$I13785,nEVAL,"OR")=0))</f>
      </c>
      <c r="I13785">
        <f>IF(DATOS!$I13785="","",IFERROR(VLOOKUP(DATOS!$I13785,CONFIG_ASIGNATURAS!$B$2:$J$91,9,FALSE()),""))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IF(DATOS!$A13786="",0,IF(CONFIG_METADATA!$B$4&lt;&gt;"OR+EX",--(DATOS!$G13786=CONFIG_METADATA!$B$4),IF(DATOS!$G13786="EX",1,IF(DATOS!$G13786="OR",--(COUNTIFS(nNIA,DATOS!$A13786,nCURSO,DATOS!$D13786,nESPEC,DATOS!$E13786,nASIG,DATOS!$I13786,nEVAL,"EX")=0),0))))</f>
      </c>
      <c r="H13786">
        <f>IF(DATOS!$G13786&lt;&gt;"EX",0,--(COUNTIFS(nNIA,DATOS!$A13786,nCURSO,DATOS!$D13786,nESPEC,DATOS!$E13786,nASIG,DATOS!$I13786,nEVAL,"OR")=0))</f>
      </c>
      <c r="I13786">
        <f>IF(DATOS!$I13786="","",IFERROR(VLOOKUP(DATOS!$I13786,CONFIG_ASIGNATURAS!$B$2:$J$91,9,FALSE()),""))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IF(DATOS!$A13787="",0,IF(CONFIG_METADATA!$B$4&lt;&gt;"OR+EX",--(DATOS!$G13787=CONFIG_METADATA!$B$4),IF(DATOS!$G13787="EX",1,IF(DATOS!$G13787="OR",--(COUNTIFS(nNIA,DATOS!$A13787,nCURSO,DATOS!$D13787,nESPEC,DATOS!$E13787,nASIG,DATOS!$I13787,nEVAL,"EX")=0),0))))</f>
      </c>
      <c r="H13787">
        <f>IF(DATOS!$G13787&lt;&gt;"EX",0,--(COUNTIFS(nNIA,DATOS!$A13787,nCURSO,DATOS!$D13787,nESPEC,DATOS!$E13787,nASIG,DATOS!$I13787,nEVAL,"OR")=0))</f>
      </c>
      <c r="I13787">
        <f>IF(DATOS!$I13787="","",IFERROR(VLOOKUP(DATOS!$I13787,CONFIG_ASIGNATURAS!$B$2:$J$91,9,FALSE()),""))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IF(DATOS!$A13788="",0,IF(CONFIG_METADATA!$B$4&lt;&gt;"OR+EX",--(DATOS!$G13788=CONFIG_METADATA!$B$4),IF(DATOS!$G13788="EX",1,IF(DATOS!$G13788="OR",--(COUNTIFS(nNIA,DATOS!$A13788,nCURSO,DATOS!$D13788,nESPEC,DATOS!$E13788,nASIG,DATOS!$I13788,nEVAL,"EX")=0),0))))</f>
      </c>
      <c r="H13788">
        <f>IF(DATOS!$G13788&lt;&gt;"EX",0,--(COUNTIFS(nNIA,DATOS!$A13788,nCURSO,DATOS!$D13788,nESPEC,DATOS!$E13788,nASIG,DATOS!$I13788,nEVAL,"OR")=0))</f>
      </c>
      <c r="I13788">
        <f>IF(DATOS!$I13788="","",IFERROR(VLOOKUP(DATOS!$I13788,CONFIG_ASIGNATURAS!$B$2:$J$91,9,FALSE()),""))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IF(DATOS!$A13789="",0,IF(CONFIG_METADATA!$B$4&lt;&gt;"OR+EX",--(DATOS!$G13789=CONFIG_METADATA!$B$4),IF(DATOS!$G13789="EX",1,IF(DATOS!$G13789="OR",--(COUNTIFS(nNIA,DATOS!$A13789,nCURSO,DATOS!$D13789,nESPEC,DATOS!$E13789,nASIG,DATOS!$I13789,nEVAL,"EX")=0),0))))</f>
      </c>
      <c r="H13789">
        <f>IF(DATOS!$G13789&lt;&gt;"EX",0,--(COUNTIFS(nNIA,DATOS!$A13789,nCURSO,DATOS!$D13789,nESPEC,DATOS!$E13789,nASIG,DATOS!$I13789,nEVAL,"OR")=0))</f>
      </c>
      <c r="I13789">
        <f>IF(DATOS!$I13789="","",IFERROR(VLOOKUP(DATOS!$I13789,CONFIG_ASIGNATURAS!$B$2:$J$91,9,FALSE()),""))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IF(DATOS!$A13790="",0,IF(CONFIG_METADATA!$B$4&lt;&gt;"OR+EX",--(DATOS!$G13790=CONFIG_METADATA!$B$4),IF(DATOS!$G13790="EX",1,IF(DATOS!$G13790="OR",--(COUNTIFS(nNIA,DATOS!$A13790,nCURSO,DATOS!$D13790,nESPEC,DATOS!$E13790,nASIG,DATOS!$I13790,nEVAL,"EX")=0),0))))</f>
      </c>
      <c r="H13790">
        <f>IF(DATOS!$G13790&lt;&gt;"EX",0,--(COUNTIFS(nNIA,DATOS!$A13790,nCURSO,DATOS!$D13790,nESPEC,DATOS!$E13790,nASIG,DATOS!$I13790,nEVAL,"OR")=0))</f>
      </c>
      <c r="I13790">
        <f>IF(DATOS!$I13790="","",IFERROR(VLOOKUP(DATOS!$I13790,CONFIG_ASIGNATURAS!$B$2:$J$91,9,FALSE()),""))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IF(DATOS!$A13791="",0,IF(CONFIG_METADATA!$B$4&lt;&gt;"OR+EX",--(DATOS!$G13791=CONFIG_METADATA!$B$4),IF(DATOS!$G13791="EX",1,IF(DATOS!$G13791="OR",--(COUNTIFS(nNIA,DATOS!$A13791,nCURSO,DATOS!$D13791,nESPEC,DATOS!$E13791,nASIG,DATOS!$I13791,nEVAL,"EX")=0),0))))</f>
      </c>
      <c r="H13791">
        <f>IF(DATOS!$G13791&lt;&gt;"EX",0,--(COUNTIFS(nNIA,DATOS!$A13791,nCURSO,DATOS!$D13791,nESPEC,DATOS!$E13791,nASIG,DATOS!$I13791,nEVAL,"OR")=0))</f>
      </c>
      <c r="I13791">
        <f>IF(DATOS!$I13791="","",IFERROR(VLOOKUP(DATOS!$I13791,CONFIG_ASIGNATURAS!$B$2:$J$91,9,FALSE()),""))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IF(DATOS!$A13792="",0,IF(CONFIG_METADATA!$B$4&lt;&gt;"OR+EX",--(DATOS!$G13792=CONFIG_METADATA!$B$4),IF(DATOS!$G13792="EX",1,IF(DATOS!$G13792="OR",--(COUNTIFS(nNIA,DATOS!$A13792,nCURSO,DATOS!$D13792,nESPEC,DATOS!$E13792,nASIG,DATOS!$I13792,nEVAL,"EX")=0),0))))</f>
      </c>
      <c r="H13792">
        <f>IF(DATOS!$G13792&lt;&gt;"EX",0,--(COUNTIFS(nNIA,DATOS!$A13792,nCURSO,DATOS!$D13792,nESPEC,DATOS!$E13792,nASIG,DATOS!$I13792,nEVAL,"OR")=0))</f>
      </c>
      <c r="I13792">
        <f>IF(DATOS!$I13792="","",IFERROR(VLOOKUP(DATOS!$I13792,CONFIG_ASIGNATURAS!$B$2:$J$91,9,FALSE()),""))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IF(DATOS!$A13793="",0,IF(CONFIG_METADATA!$B$4&lt;&gt;"OR+EX",--(DATOS!$G13793=CONFIG_METADATA!$B$4),IF(DATOS!$G13793="EX",1,IF(DATOS!$G13793="OR",--(COUNTIFS(nNIA,DATOS!$A13793,nCURSO,DATOS!$D13793,nESPEC,DATOS!$E13793,nASIG,DATOS!$I13793,nEVAL,"EX")=0),0))))</f>
      </c>
      <c r="H13793">
        <f>IF(DATOS!$G13793&lt;&gt;"EX",0,--(COUNTIFS(nNIA,DATOS!$A13793,nCURSO,DATOS!$D13793,nESPEC,DATOS!$E13793,nASIG,DATOS!$I13793,nEVAL,"OR")=0))</f>
      </c>
      <c r="I13793">
        <f>IF(DATOS!$I13793="","",IFERROR(VLOOKUP(DATOS!$I13793,CONFIG_ASIGNATURAS!$B$2:$J$91,9,FALSE()),""))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IF(DATOS!$A13794="",0,IF(CONFIG_METADATA!$B$4&lt;&gt;"OR+EX",--(DATOS!$G13794=CONFIG_METADATA!$B$4),IF(DATOS!$G13794="EX",1,IF(DATOS!$G13794="OR",--(COUNTIFS(nNIA,DATOS!$A13794,nCURSO,DATOS!$D13794,nESPEC,DATOS!$E13794,nASIG,DATOS!$I13794,nEVAL,"EX")=0),0))))</f>
      </c>
      <c r="H13794">
        <f>IF(DATOS!$G13794&lt;&gt;"EX",0,--(COUNTIFS(nNIA,DATOS!$A13794,nCURSO,DATOS!$D13794,nESPEC,DATOS!$E13794,nASIG,DATOS!$I13794,nEVAL,"OR")=0))</f>
      </c>
      <c r="I13794">
        <f>IF(DATOS!$I13794="","",IFERROR(VLOOKUP(DATOS!$I13794,CONFIG_ASIGNATURAS!$B$2:$J$91,9,FALSE()),""))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IF(DATOS!$A13795="",0,IF(CONFIG_METADATA!$B$4&lt;&gt;"OR+EX",--(DATOS!$G13795=CONFIG_METADATA!$B$4),IF(DATOS!$G13795="EX",1,IF(DATOS!$G13795="OR",--(COUNTIFS(nNIA,DATOS!$A13795,nCURSO,DATOS!$D13795,nESPEC,DATOS!$E13795,nASIG,DATOS!$I13795,nEVAL,"EX")=0),0))))</f>
      </c>
      <c r="H13795">
        <f>IF(DATOS!$G13795&lt;&gt;"EX",0,--(COUNTIFS(nNIA,DATOS!$A13795,nCURSO,DATOS!$D13795,nESPEC,DATOS!$E13795,nASIG,DATOS!$I13795,nEVAL,"OR")=0))</f>
      </c>
      <c r="I13795">
        <f>IF(DATOS!$I13795="","",IFERROR(VLOOKUP(DATOS!$I13795,CONFIG_ASIGNATURAS!$B$2:$J$91,9,FALSE()),""))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IF(DATOS!$A13796="",0,IF(CONFIG_METADATA!$B$4&lt;&gt;"OR+EX",--(DATOS!$G13796=CONFIG_METADATA!$B$4),IF(DATOS!$G13796="EX",1,IF(DATOS!$G13796="OR",--(COUNTIFS(nNIA,DATOS!$A13796,nCURSO,DATOS!$D13796,nESPEC,DATOS!$E13796,nASIG,DATOS!$I13796,nEVAL,"EX")=0),0))))</f>
      </c>
      <c r="H13796">
        <f>IF(DATOS!$G13796&lt;&gt;"EX",0,--(COUNTIFS(nNIA,DATOS!$A13796,nCURSO,DATOS!$D13796,nESPEC,DATOS!$E13796,nASIG,DATOS!$I13796,nEVAL,"OR")=0))</f>
      </c>
      <c r="I13796">
        <f>IF(DATOS!$I13796="","",IFERROR(VLOOKUP(DATOS!$I13796,CONFIG_ASIGNATURAS!$B$2:$J$91,9,FALSE()),""))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IF(DATOS!$A13797="",0,IF(CONFIG_METADATA!$B$4&lt;&gt;"OR+EX",--(DATOS!$G13797=CONFIG_METADATA!$B$4),IF(DATOS!$G13797="EX",1,IF(DATOS!$G13797="OR",--(COUNTIFS(nNIA,DATOS!$A13797,nCURSO,DATOS!$D13797,nESPEC,DATOS!$E13797,nASIG,DATOS!$I13797,nEVAL,"EX")=0),0))))</f>
      </c>
      <c r="H13797">
        <f>IF(DATOS!$G13797&lt;&gt;"EX",0,--(COUNTIFS(nNIA,DATOS!$A13797,nCURSO,DATOS!$D13797,nESPEC,DATOS!$E13797,nASIG,DATOS!$I13797,nEVAL,"OR")=0))</f>
      </c>
      <c r="I13797">
        <f>IF(DATOS!$I13797="","",IFERROR(VLOOKUP(DATOS!$I13797,CONFIG_ASIGNATURAS!$B$2:$J$91,9,FALSE()),""))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IF(DATOS!$A13798="",0,IF(CONFIG_METADATA!$B$4&lt;&gt;"OR+EX",--(DATOS!$G13798=CONFIG_METADATA!$B$4),IF(DATOS!$G13798="EX",1,IF(DATOS!$G13798="OR",--(COUNTIFS(nNIA,DATOS!$A13798,nCURSO,DATOS!$D13798,nESPEC,DATOS!$E13798,nASIG,DATOS!$I13798,nEVAL,"EX")=0),0))))</f>
      </c>
      <c r="H13798">
        <f>IF(DATOS!$G13798&lt;&gt;"EX",0,--(COUNTIFS(nNIA,DATOS!$A13798,nCURSO,DATOS!$D13798,nESPEC,DATOS!$E13798,nASIG,DATOS!$I13798,nEVAL,"OR")=0))</f>
      </c>
      <c r="I13798">
        <f>IF(DATOS!$I13798="","",IFERROR(VLOOKUP(DATOS!$I13798,CONFIG_ASIGNATURAS!$B$2:$J$91,9,FALSE()),""))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IF(DATOS!$A13799="",0,IF(CONFIG_METADATA!$B$4&lt;&gt;"OR+EX",--(DATOS!$G13799=CONFIG_METADATA!$B$4),IF(DATOS!$G13799="EX",1,IF(DATOS!$G13799="OR",--(COUNTIFS(nNIA,DATOS!$A13799,nCURSO,DATOS!$D13799,nESPEC,DATOS!$E13799,nASIG,DATOS!$I13799,nEVAL,"EX")=0),0))))</f>
      </c>
      <c r="H13799">
        <f>IF(DATOS!$G13799&lt;&gt;"EX",0,--(COUNTIFS(nNIA,DATOS!$A13799,nCURSO,DATOS!$D13799,nESPEC,DATOS!$E13799,nASIG,DATOS!$I13799,nEVAL,"OR")=0))</f>
      </c>
      <c r="I13799">
        <f>IF(DATOS!$I13799="","",IFERROR(VLOOKUP(DATOS!$I13799,CONFIG_ASIGNATURAS!$B$2:$J$91,9,FALSE()),""))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IF(DATOS!$A13800="",0,IF(CONFIG_METADATA!$B$4&lt;&gt;"OR+EX",--(DATOS!$G13800=CONFIG_METADATA!$B$4),IF(DATOS!$G13800="EX",1,IF(DATOS!$G13800="OR",--(COUNTIFS(nNIA,DATOS!$A13800,nCURSO,DATOS!$D13800,nESPEC,DATOS!$E13800,nASIG,DATOS!$I13800,nEVAL,"EX")=0),0))))</f>
      </c>
      <c r="H13800">
        <f>IF(DATOS!$G13800&lt;&gt;"EX",0,--(COUNTIFS(nNIA,DATOS!$A13800,nCURSO,DATOS!$D13800,nESPEC,DATOS!$E13800,nASIG,DATOS!$I13800,nEVAL,"OR")=0))</f>
      </c>
      <c r="I13800">
        <f>IF(DATOS!$I13800="","",IFERROR(VLOOKUP(DATOS!$I13800,CONFIG_ASIGNATURAS!$B$2:$J$91,9,FALSE()),""))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IF(DATOS!$A13801="",0,IF(CONFIG_METADATA!$B$4&lt;&gt;"OR+EX",--(DATOS!$G13801=CONFIG_METADATA!$B$4),IF(DATOS!$G13801="EX",1,IF(DATOS!$G13801="OR",--(COUNTIFS(nNIA,DATOS!$A13801,nCURSO,DATOS!$D13801,nESPEC,DATOS!$E13801,nASIG,DATOS!$I13801,nEVAL,"EX")=0),0))))</f>
      </c>
      <c r="H13801">
        <f>IF(DATOS!$G13801&lt;&gt;"EX",0,--(COUNTIFS(nNIA,DATOS!$A13801,nCURSO,DATOS!$D13801,nESPEC,DATOS!$E13801,nASIG,DATOS!$I13801,nEVAL,"OR")=0))</f>
      </c>
      <c r="I13801">
        <f>IF(DATOS!$I13801="","",IFERROR(VLOOKUP(DATOS!$I13801,CONFIG_ASIGNATURAS!$B$2:$J$91,9,FALSE()),""))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IF(DATOS!$A13802="",0,IF(CONFIG_METADATA!$B$4&lt;&gt;"OR+EX",--(DATOS!$G13802=CONFIG_METADATA!$B$4),IF(DATOS!$G13802="EX",1,IF(DATOS!$G13802="OR",--(COUNTIFS(nNIA,DATOS!$A13802,nCURSO,DATOS!$D13802,nESPEC,DATOS!$E13802,nASIG,DATOS!$I13802,nEVAL,"EX")=0),0))))</f>
      </c>
      <c r="H13802">
        <f>IF(DATOS!$G13802&lt;&gt;"EX",0,--(COUNTIFS(nNIA,DATOS!$A13802,nCURSO,DATOS!$D13802,nESPEC,DATOS!$E13802,nASIG,DATOS!$I13802,nEVAL,"OR")=0))</f>
      </c>
      <c r="I13802">
        <f>IF(DATOS!$I13802="","",IFERROR(VLOOKUP(DATOS!$I13802,CONFIG_ASIGNATURAS!$B$2:$J$91,9,FALSE()),""))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IF(DATOS!$A13803="",0,IF(CONFIG_METADATA!$B$4&lt;&gt;"OR+EX",--(DATOS!$G13803=CONFIG_METADATA!$B$4),IF(DATOS!$G13803="EX",1,IF(DATOS!$G13803="OR",--(COUNTIFS(nNIA,DATOS!$A13803,nCURSO,DATOS!$D13803,nESPEC,DATOS!$E13803,nASIG,DATOS!$I13803,nEVAL,"EX")=0),0))))</f>
      </c>
      <c r="H13803">
        <f>IF(DATOS!$G13803&lt;&gt;"EX",0,--(COUNTIFS(nNIA,DATOS!$A13803,nCURSO,DATOS!$D13803,nESPEC,DATOS!$E13803,nASIG,DATOS!$I13803,nEVAL,"OR")=0))</f>
      </c>
      <c r="I13803">
        <f>IF(DATOS!$I13803="","",IFERROR(VLOOKUP(DATOS!$I13803,CONFIG_ASIGNATURAS!$B$2:$J$91,9,FALSE()),""))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IF(DATOS!$A13804="",0,IF(CONFIG_METADATA!$B$4&lt;&gt;"OR+EX",--(DATOS!$G13804=CONFIG_METADATA!$B$4),IF(DATOS!$G13804="EX",1,IF(DATOS!$G13804="OR",--(COUNTIFS(nNIA,DATOS!$A13804,nCURSO,DATOS!$D13804,nESPEC,DATOS!$E13804,nASIG,DATOS!$I13804,nEVAL,"EX")=0),0))))</f>
      </c>
      <c r="H13804">
        <f>IF(DATOS!$G13804&lt;&gt;"EX",0,--(COUNTIFS(nNIA,DATOS!$A13804,nCURSO,DATOS!$D13804,nESPEC,DATOS!$E13804,nASIG,DATOS!$I13804,nEVAL,"OR")=0))</f>
      </c>
      <c r="I13804">
        <f>IF(DATOS!$I13804="","",IFERROR(VLOOKUP(DATOS!$I13804,CONFIG_ASIGNATURAS!$B$2:$J$91,9,FALSE()),""))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IF(DATOS!$A13805="",0,IF(CONFIG_METADATA!$B$4&lt;&gt;"OR+EX",--(DATOS!$G13805=CONFIG_METADATA!$B$4),IF(DATOS!$G13805="EX",1,IF(DATOS!$G13805="OR",--(COUNTIFS(nNIA,DATOS!$A13805,nCURSO,DATOS!$D13805,nESPEC,DATOS!$E13805,nASIG,DATOS!$I13805,nEVAL,"EX")=0),0))))</f>
      </c>
      <c r="H13805">
        <f>IF(DATOS!$G13805&lt;&gt;"EX",0,--(COUNTIFS(nNIA,DATOS!$A13805,nCURSO,DATOS!$D13805,nESPEC,DATOS!$E13805,nASIG,DATOS!$I13805,nEVAL,"OR")=0))</f>
      </c>
      <c r="I13805">
        <f>IF(DATOS!$I13805="","",IFERROR(VLOOKUP(DATOS!$I13805,CONFIG_ASIGNATURAS!$B$2:$J$91,9,FALSE()),""))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IF(DATOS!$A13806="",0,IF(CONFIG_METADATA!$B$4&lt;&gt;"OR+EX",--(DATOS!$G13806=CONFIG_METADATA!$B$4),IF(DATOS!$G13806="EX",1,IF(DATOS!$G13806="OR",--(COUNTIFS(nNIA,DATOS!$A13806,nCURSO,DATOS!$D13806,nESPEC,DATOS!$E13806,nASIG,DATOS!$I13806,nEVAL,"EX")=0),0))))</f>
      </c>
      <c r="H13806">
        <f>IF(DATOS!$G13806&lt;&gt;"EX",0,--(COUNTIFS(nNIA,DATOS!$A13806,nCURSO,DATOS!$D13806,nESPEC,DATOS!$E13806,nASIG,DATOS!$I13806,nEVAL,"OR")=0))</f>
      </c>
      <c r="I13806">
        <f>IF(DATOS!$I13806="","",IFERROR(VLOOKUP(DATOS!$I13806,CONFIG_ASIGNATURAS!$B$2:$J$91,9,FALSE()),""))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IF(DATOS!$A13807="",0,IF(CONFIG_METADATA!$B$4&lt;&gt;"OR+EX",--(DATOS!$G13807=CONFIG_METADATA!$B$4),IF(DATOS!$G13807="EX",1,IF(DATOS!$G13807="OR",--(COUNTIFS(nNIA,DATOS!$A13807,nCURSO,DATOS!$D13807,nESPEC,DATOS!$E13807,nASIG,DATOS!$I13807,nEVAL,"EX")=0),0))))</f>
      </c>
      <c r="H13807">
        <f>IF(DATOS!$G13807&lt;&gt;"EX",0,--(COUNTIFS(nNIA,DATOS!$A13807,nCURSO,DATOS!$D13807,nESPEC,DATOS!$E13807,nASIG,DATOS!$I13807,nEVAL,"OR")=0))</f>
      </c>
      <c r="I13807">
        <f>IF(DATOS!$I13807="","",IFERROR(VLOOKUP(DATOS!$I13807,CONFIG_ASIGNATURAS!$B$2:$J$91,9,FALSE()),""))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IF(DATOS!$A13808="",0,IF(CONFIG_METADATA!$B$4&lt;&gt;"OR+EX",--(DATOS!$G13808=CONFIG_METADATA!$B$4),IF(DATOS!$G13808="EX",1,IF(DATOS!$G13808="OR",--(COUNTIFS(nNIA,DATOS!$A13808,nCURSO,DATOS!$D13808,nESPEC,DATOS!$E13808,nASIG,DATOS!$I13808,nEVAL,"EX")=0),0))))</f>
      </c>
      <c r="H13808">
        <f>IF(DATOS!$G13808&lt;&gt;"EX",0,--(COUNTIFS(nNIA,DATOS!$A13808,nCURSO,DATOS!$D13808,nESPEC,DATOS!$E13808,nASIG,DATOS!$I13808,nEVAL,"OR")=0))</f>
      </c>
      <c r="I13808">
        <f>IF(DATOS!$I13808="","",IFERROR(VLOOKUP(DATOS!$I13808,CONFIG_ASIGNATURAS!$B$2:$J$91,9,FALSE()),""))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IF(DATOS!$A13809="",0,IF(CONFIG_METADATA!$B$4&lt;&gt;"OR+EX",--(DATOS!$G13809=CONFIG_METADATA!$B$4),IF(DATOS!$G13809="EX",1,IF(DATOS!$G13809="OR",--(COUNTIFS(nNIA,DATOS!$A13809,nCURSO,DATOS!$D13809,nESPEC,DATOS!$E13809,nASIG,DATOS!$I13809,nEVAL,"EX")=0),0))))</f>
      </c>
      <c r="H13809">
        <f>IF(DATOS!$G13809&lt;&gt;"EX",0,--(COUNTIFS(nNIA,DATOS!$A13809,nCURSO,DATOS!$D13809,nESPEC,DATOS!$E13809,nASIG,DATOS!$I13809,nEVAL,"OR")=0))</f>
      </c>
      <c r="I13809">
        <f>IF(DATOS!$I13809="","",IFERROR(VLOOKUP(DATOS!$I13809,CONFIG_ASIGNATURAS!$B$2:$J$91,9,FALSE()),""))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IF(DATOS!$A13810="",0,IF(CONFIG_METADATA!$B$4&lt;&gt;"OR+EX",--(DATOS!$G13810=CONFIG_METADATA!$B$4),IF(DATOS!$G13810="EX",1,IF(DATOS!$G13810="OR",--(COUNTIFS(nNIA,DATOS!$A13810,nCURSO,DATOS!$D13810,nESPEC,DATOS!$E13810,nASIG,DATOS!$I13810,nEVAL,"EX")=0),0))))</f>
      </c>
      <c r="H13810">
        <f>IF(DATOS!$G13810&lt;&gt;"EX",0,--(COUNTIFS(nNIA,DATOS!$A13810,nCURSO,DATOS!$D13810,nESPEC,DATOS!$E13810,nASIG,DATOS!$I13810,nEVAL,"OR")=0))</f>
      </c>
      <c r="I13810">
        <f>IF(DATOS!$I13810="","",IFERROR(VLOOKUP(DATOS!$I13810,CONFIG_ASIGNATURAS!$B$2:$J$91,9,FALSE()),""))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IF(DATOS!$A13811="",0,IF(CONFIG_METADATA!$B$4&lt;&gt;"OR+EX",--(DATOS!$G13811=CONFIG_METADATA!$B$4),IF(DATOS!$G13811="EX",1,IF(DATOS!$G13811="OR",--(COUNTIFS(nNIA,DATOS!$A13811,nCURSO,DATOS!$D13811,nESPEC,DATOS!$E13811,nASIG,DATOS!$I13811,nEVAL,"EX")=0),0))))</f>
      </c>
      <c r="H13811">
        <f>IF(DATOS!$G13811&lt;&gt;"EX",0,--(COUNTIFS(nNIA,DATOS!$A13811,nCURSO,DATOS!$D13811,nESPEC,DATOS!$E13811,nASIG,DATOS!$I13811,nEVAL,"OR")=0))</f>
      </c>
      <c r="I13811">
        <f>IF(DATOS!$I13811="","",IFERROR(VLOOKUP(DATOS!$I13811,CONFIG_ASIGNATURAS!$B$2:$J$91,9,FALSE()),""))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IF(DATOS!$A13812="",0,IF(CONFIG_METADATA!$B$4&lt;&gt;"OR+EX",--(DATOS!$G13812=CONFIG_METADATA!$B$4),IF(DATOS!$G13812="EX",1,IF(DATOS!$G13812="OR",--(COUNTIFS(nNIA,DATOS!$A13812,nCURSO,DATOS!$D13812,nESPEC,DATOS!$E13812,nASIG,DATOS!$I13812,nEVAL,"EX")=0),0))))</f>
      </c>
      <c r="H13812">
        <f>IF(DATOS!$G13812&lt;&gt;"EX",0,--(COUNTIFS(nNIA,DATOS!$A13812,nCURSO,DATOS!$D13812,nESPEC,DATOS!$E13812,nASIG,DATOS!$I13812,nEVAL,"OR")=0))</f>
      </c>
      <c r="I13812">
        <f>IF(DATOS!$I13812="","",IFERROR(VLOOKUP(DATOS!$I13812,CONFIG_ASIGNATURAS!$B$2:$J$91,9,FALSE()),""))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IF(DATOS!$A13813="",0,IF(CONFIG_METADATA!$B$4&lt;&gt;"OR+EX",--(DATOS!$G13813=CONFIG_METADATA!$B$4),IF(DATOS!$G13813="EX",1,IF(DATOS!$G13813="OR",--(COUNTIFS(nNIA,DATOS!$A13813,nCURSO,DATOS!$D13813,nESPEC,DATOS!$E13813,nASIG,DATOS!$I13813,nEVAL,"EX")=0),0))))</f>
      </c>
      <c r="H13813">
        <f>IF(DATOS!$G13813&lt;&gt;"EX",0,--(COUNTIFS(nNIA,DATOS!$A13813,nCURSO,DATOS!$D13813,nESPEC,DATOS!$E13813,nASIG,DATOS!$I13813,nEVAL,"OR")=0))</f>
      </c>
      <c r="I13813">
        <f>IF(DATOS!$I13813="","",IFERROR(VLOOKUP(DATOS!$I13813,CONFIG_ASIGNATURAS!$B$2:$J$91,9,FALSE()),""))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IF(DATOS!$A13814="",0,IF(CONFIG_METADATA!$B$4&lt;&gt;"OR+EX",--(DATOS!$G13814=CONFIG_METADATA!$B$4),IF(DATOS!$G13814="EX",1,IF(DATOS!$G13814="OR",--(COUNTIFS(nNIA,DATOS!$A13814,nCURSO,DATOS!$D13814,nESPEC,DATOS!$E13814,nASIG,DATOS!$I13814,nEVAL,"EX")=0),0))))</f>
      </c>
      <c r="H13814">
        <f>IF(DATOS!$G13814&lt;&gt;"EX",0,--(COUNTIFS(nNIA,DATOS!$A13814,nCURSO,DATOS!$D13814,nESPEC,DATOS!$E13814,nASIG,DATOS!$I13814,nEVAL,"OR")=0))</f>
      </c>
      <c r="I13814">
        <f>IF(DATOS!$I13814="","",IFERROR(VLOOKUP(DATOS!$I13814,CONFIG_ASIGNATURAS!$B$2:$J$91,9,FALSE()),""))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IF(DATOS!$A13815="",0,IF(CONFIG_METADATA!$B$4&lt;&gt;"OR+EX",--(DATOS!$G13815=CONFIG_METADATA!$B$4),IF(DATOS!$G13815="EX",1,IF(DATOS!$G13815="OR",--(COUNTIFS(nNIA,DATOS!$A13815,nCURSO,DATOS!$D13815,nESPEC,DATOS!$E13815,nASIG,DATOS!$I13815,nEVAL,"EX")=0),0))))</f>
      </c>
      <c r="H13815">
        <f>IF(DATOS!$G13815&lt;&gt;"EX",0,--(COUNTIFS(nNIA,DATOS!$A13815,nCURSO,DATOS!$D13815,nESPEC,DATOS!$E13815,nASIG,DATOS!$I13815,nEVAL,"OR")=0))</f>
      </c>
      <c r="I13815">
        <f>IF(DATOS!$I13815="","",IFERROR(VLOOKUP(DATOS!$I13815,CONFIG_ASIGNATURAS!$B$2:$J$91,9,FALSE()),""))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IF(DATOS!$A13816="",0,IF(CONFIG_METADATA!$B$4&lt;&gt;"OR+EX",--(DATOS!$G13816=CONFIG_METADATA!$B$4),IF(DATOS!$G13816="EX",1,IF(DATOS!$G13816="OR",--(COUNTIFS(nNIA,DATOS!$A13816,nCURSO,DATOS!$D13816,nESPEC,DATOS!$E13816,nASIG,DATOS!$I13816,nEVAL,"EX")=0),0))))</f>
      </c>
      <c r="H13816">
        <f>IF(DATOS!$G13816&lt;&gt;"EX",0,--(COUNTIFS(nNIA,DATOS!$A13816,nCURSO,DATOS!$D13816,nESPEC,DATOS!$E13816,nASIG,DATOS!$I13816,nEVAL,"OR")=0))</f>
      </c>
      <c r="I13816">
        <f>IF(DATOS!$I13816="","",IFERROR(VLOOKUP(DATOS!$I13816,CONFIG_ASIGNATURAS!$B$2:$J$91,9,FALSE()),""))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IF(DATOS!$A13817="",0,IF(CONFIG_METADATA!$B$4&lt;&gt;"OR+EX",--(DATOS!$G13817=CONFIG_METADATA!$B$4),IF(DATOS!$G13817="EX",1,IF(DATOS!$G13817="OR",--(COUNTIFS(nNIA,DATOS!$A13817,nCURSO,DATOS!$D13817,nESPEC,DATOS!$E13817,nASIG,DATOS!$I13817,nEVAL,"EX")=0),0))))</f>
      </c>
      <c r="H13817">
        <f>IF(DATOS!$G13817&lt;&gt;"EX",0,--(COUNTIFS(nNIA,DATOS!$A13817,nCURSO,DATOS!$D13817,nESPEC,DATOS!$E13817,nASIG,DATOS!$I13817,nEVAL,"OR")=0))</f>
      </c>
      <c r="I13817">
        <f>IF(DATOS!$I13817="","",IFERROR(VLOOKUP(DATOS!$I13817,CONFIG_ASIGNATURAS!$B$2:$J$91,9,FALSE()),""))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IF(DATOS!$A13818="",0,IF(CONFIG_METADATA!$B$4&lt;&gt;"OR+EX",--(DATOS!$G13818=CONFIG_METADATA!$B$4),IF(DATOS!$G13818="EX",1,IF(DATOS!$G13818="OR",--(COUNTIFS(nNIA,DATOS!$A13818,nCURSO,DATOS!$D13818,nESPEC,DATOS!$E13818,nASIG,DATOS!$I13818,nEVAL,"EX")=0),0))))</f>
      </c>
      <c r="H13818">
        <f>IF(DATOS!$G13818&lt;&gt;"EX",0,--(COUNTIFS(nNIA,DATOS!$A13818,nCURSO,DATOS!$D13818,nESPEC,DATOS!$E13818,nASIG,DATOS!$I13818,nEVAL,"OR")=0))</f>
      </c>
      <c r="I13818">
        <f>IF(DATOS!$I13818="","",IFERROR(VLOOKUP(DATOS!$I13818,CONFIG_ASIGNATURAS!$B$2:$J$91,9,FALSE()),""))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IF(DATOS!$A13819="",0,IF(CONFIG_METADATA!$B$4&lt;&gt;"OR+EX",--(DATOS!$G13819=CONFIG_METADATA!$B$4),IF(DATOS!$G13819="EX",1,IF(DATOS!$G13819="OR",--(COUNTIFS(nNIA,DATOS!$A13819,nCURSO,DATOS!$D13819,nESPEC,DATOS!$E13819,nASIG,DATOS!$I13819,nEVAL,"EX")=0),0))))</f>
      </c>
      <c r="H13819">
        <f>IF(DATOS!$G13819&lt;&gt;"EX",0,--(COUNTIFS(nNIA,DATOS!$A13819,nCURSO,DATOS!$D13819,nESPEC,DATOS!$E13819,nASIG,DATOS!$I13819,nEVAL,"OR")=0))</f>
      </c>
      <c r="I13819">
        <f>IF(DATOS!$I13819="","",IFERROR(VLOOKUP(DATOS!$I13819,CONFIG_ASIGNATURAS!$B$2:$J$91,9,FALSE()),""))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IF(DATOS!$A13820="",0,IF(CONFIG_METADATA!$B$4&lt;&gt;"OR+EX",--(DATOS!$G13820=CONFIG_METADATA!$B$4),IF(DATOS!$G13820="EX",1,IF(DATOS!$G13820="OR",--(COUNTIFS(nNIA,DATOS!$A13820,nCURSO,DATOS!$D13820,nESPEC,DATOS!$E13820,nASIG,DATOS!$I13820,nEVAL,"EX")=0),0))))</f>
      </c>
      <c r="H13820">
        <f>IF(DATOS!$G13820&lt;&gt;"EX",0,--(COUNTIFS(nNIA,DATOS!$A13820,nCURSO,DATOS!$D13820,nESPEC,DATOS!$E13820,nASIG,DATOS!$I13820,nEVAL,"OR")=0))</f>
      </c>
      <c r="I13820">
        <f>IF(DATOS!$I13820="","",IFERROR(VLOOKUP(DATOS!$I13820,CONFIG_ASIGNATURAS!$B$2:$J$91,9,FALSE()),""))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IF(DATOS!$A13821="",0,IF(CONFIG_METADATA!$B$4&lt;&gt;"OR+EX",--(DATOS!$G13821=CONFIG_METADATA!$B$4),IF(DATOS!$G13821="EX",1,IF(DATOS!$G13821="OR",--(COUNTIFS(nNIA,DATOS!$A13821,nCURSO,DATOS!$D13821,nESPEC,DATOS!$E13821,nASIG,DATOS!$I13821,nEVAL,"EX")=0),0))))</f>
      </c>
      <c r="H13821">
        <f>IF(DATOS!$G13821&lt;&gt;"EX",0,--(COUNTIFS(nNIA,DATOS!$A13821,nCURSO,DATOS!$D13821,nESPEC,DATOS!$E13821,nASIG,DATOS!$I13821,nEVAL,"OR")=0))</f>
      </c>
      <c r="I13821">
        <f>IF(DATOS!$I13821="","",IFERROR(VLOOKUP(DATOS!$I13821,CONFIG_ASIGNATURAS!$B$2:$J$91,9,FALSE()),""))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IF(DATOS!$A13822="",0,IF(CONFIG_METADATA!$B$4&lt;&gt;"OR+EX",--(DATOS!$G13822=CONFIG_METADATA!$B$4),IF(DATOS!$G13822="EX",1,IF(DATOS!$G13822="OR",--(COUNTIFS(nNIA,DATOS!$A13822,nCURSO,DATOS!$D13822,nESPEC,DATOS!$E13822,nASIG,DATOS!$I13822,nEVAL,"EX")=0),0))))</f>
      </c>
      <c r="H13822">
        <f>IF(DATOS!$G13822&lt;&gt;"EX",0,--(COUNTIFS(nNIA,DATOS!$A13822,nCURSO,DATOS!$D13822,nESPEC,DATOS!$E13822,nASIG,DATOS!$I13822,nEVAL,"OR")=0))</f>
      </c>
      <c r="I13822">
        <f>IF(DATOS!$I13822="","",IFERROR(VLOOKUP(DATOS!$I13822,CONFIG_ASIGNATURAS!$B$2:$J$91,9,FALSE()),""))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IF(DATOS!$A13823="",0,IF(CONFIG_METADATA!$B$4&lt;&gt;"OR+EX",--(DATOS!$G13823=CONFIG_METADATA!$B$4),IF(DATOS!$G13823="EX",1,IF(DATOS!$G13823="OR",--(COUNTIFS(nNIA,DATOS!$A13823,nCURSO,DATOS!$D13823,nESPEC,DATOS!$E13823,nASIG,DATOS!$I13823,nEVAL,"EX")=0),0))))</f>
      </c>
      <c r="H13823">
        <f>IF(DATOS!$G13823&lt;&gt;"EX",0,--(COUNTIFS(nNIA,DATOS!$A13823,nCURSO,DATOS!$D13823,nESPEC,DATOS!$E13823,nASIG,DATOS!$I13823,nEVAL,"OR")=0))</f>
      </c>
      <c r="I13823">
        <f>IF(DATOS!$I13823="","",IFERROR(VLOOKUP(DATOS!$I13823,CONFIG_ASIGNATURAS!$B$2:$J$91,9,FALSE()),""))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IF(DATOS!$A13824="",0,IF(CONFIG_METADATA!$B$4&lt;&gt;"OR+EX",--(DATOS!$G13824=CONFIG_METADATA!$B$4),IF(DATOS!$G13824="EX",1,IF(DATOS!$G13824="OR",--(COUNTIFS(nNIA,DATOS!$A13824,nCURSO,DATOS!$D13824,nESPEC,DATOS!$E13824,nASIG,DATOS!$I13824,nEVAL,"EX")=0),0))))</f>
      </c>
      <c r="H13824">
        <f>IF(DATOS!$G13824&lt;&gt;"EX",0,--(COUNTIFS(nNIA,DATOS!$A13824,nCURSO,DATOS!$D13824,nESPEC,DATOS!$E13824,nASIG,DATOS!$I13824,nEVAL,"OR")=0))</f>
      </c>
      <c r="I13824">
        <f>IF(DATOS!$I13824="","",IFERROR(VLOOKUP(DATOS!$I13824,CONFIG_ASIGNATURAS!$B$2:$J$91,9,FALSE()),""))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IF(DATOS!$A13825="",0,IF(CONFIG_METADATA!$B$4&lt;&gt;"OR+EX",--(DATOS!$G13825=CONFIG_METADATA!$B$4),IF(DATOS!$G13825="EX",1,IF(DATOS!$G13825="OR",--(COUNTIFS(nNIA,DATOS!$A13825,nCURSO,DATOS!$D13825,nESPEC,DATOS!$E13825,nASIG,DATOS!$I13825,nEVAL,"EX")=0),0))))</f>
      </c>
      <c r="H13825">
        <f>IF(DATOS!$G13825&lt;&gt;"EX",0,--(COUNTIFS(nNIA,DATOS!$A13825,nCURSO,DATOS!$D13825,nESPEC,DATOS!$E13825,nASIG,DATOS!$I13825,nEVAL,"OR")=0))</f>
      </c>
      <c r="I13825">
        <f>IF(DATOS!$I13825="","",IFERROR(VLOOKUP(DATOS!$I13825,CONFIG_ASIGNATURAS!$B$2:$J$91,9,FALSE()),""))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IF(DATOS!$A13826="",0,IF(CONFIG_METADATA!$B$4&lt;&gt;"OR+EX",--(DATOS!$G13826=CONFIG_METADATA!$B$4),IF(DATOS!$G13826="EX",1,IF(DATOS!$G13826="OR",--(COUNTIFS(nNIA,DATOS!$A13826,nCURSO,DATOS!$D13826,nESPEC,DATOS!$E13826,nASIG,DATOS!$I13826,nEVAL,"EX")=0),0))))</f>
      </c>
      <c r="H13826">
        <f>IF(DATOS!$G13826&lt;&gt;"EX",0,--(COUNTIFS(nNIA,DATOS!$A13826,nCURSO,DATOS!$D13826,nESPEC,DATOS!$E13826,nASIG,DATOS!$I13826,nEVAL,"OR")=0))</f>
      </c>
      <c r="I13826">
        <f>IF(DATOS!$I13826="","",IFERROR(VLOOKUP(DATOS!$I13826,CONFIG_ASIGNATURAS!$B$2:$J$91,9,FALSE()),""))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IF(DATOS!$A13827="",0,IF(CONFIG_METADATA!$B$4&lt;&gt;"OR+EX",--(DATOS!$G13827=CONFIG_METADATA!$B$4),IF(DATOS!$G13827="EX",1,IF(DATOS!$G13827="OR",--(COUNTIFS(nNIA,DATOS!$A13827,nCURSO,DATOS!$D13827,nESPEC,DATOS!$E13827,nASIG,DATOS!$I13827,nEVAL,"EX")=0),0))))</f>
      </c>
      <c r="H13827">
        <f>IF(DATOS!$G13827&lt;&gt;"EX",0,--(COUNTIFS(nNIA,DATOS!$A13827,nCURSO,DATOS!$D13827,nESPEC,DATOS!$E13827,nASIG,DATOS!$I13827,nEVAL,"OR")=0))</f>
      </c>
      <c r="I13827">
        <f>IF(DATOS!$I13827="","",IFERROR(VLOOKUP(DATOS!$I13827,CONFIG_ASIGNATURAS!$B$2:$J$91,9,FALSE()),""))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IF(DATOS!$A13828="",0,IF(CONFIG_METADATA!$B$4&lt;&gt;"OR+EX",--(DATOS!$G13828=CONFIG_METADATA!$B$4),IF(DATOS!$G13828="EX",1,IF(DATOS!$G13828="OR",--(COUNTIFS(nNIA,DATOS!$A13828,nCURSO,DATOS!$D13828,nESPEC,DATOS!$E13828,nASIG,DATOS!$I13828,nEVAL,"EX")=0),0))))</f>
      </c>
      <c r="H13828">
        <f>IF(DATOS!$G13828&lt;&gt;"EX",0,--(COUNTIFS(nNIA,DATOS!$A13828,nCURSO,DATOS!$D13828,nESPEC,DATOS!$E13828,nASIG,DATOS!$I13828,nEVAL,"OR")=0))</f>
      </c>
      <c r="I13828">
        <f>IF(DATOS!$I13828="","",IFERROR(VLOOKUP(DATOS!$I13828,CONFIG_ASIGNATURAS!$B$2:$J$91,9,FALSE()),""))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IF(DATOS!$A13829="",0,IF(CONFIG_METADATA!$B$4&lt;&gt;"OR+EX",--(DATOS!$G13829=CONFIG_METADATA!$B$4),IF(DATOS!$G13829="EX",1,IF(DATOS!$G13829="OR",--(COUNTIFS(nNIA,DATOS!$A13829,nCURSO,DATOS!$D13829,nESPEC,DATOS!$E13829,nASIG,DATOS!$I13829,nEVAL,"EX")=0),0))))</f>
      </c>
      <c r="H13829">
        <f>IF(DATOS!$G13829&lt;&gt;"EX",0,--(COUNTIFS(nNIA,DATOS!$A13829,nCURSO,DATOS!$D13829,nESPEC,DATOS!$E13829,nASIG,DATOS!$I13829,nEVAL,"OR")=0))</f>
      </c>
      <c r="I13829">
        <f>IF(DATOS!$I13829="","",IFERROR(VLOOKUP(DATOS!$I13829,CONFIG_ASIGNATURAS!$B$2:$J$91,9,FALSE()),""))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IF(DATOS!$A13830="",0,IF(CONFIG_METADATA!$B$4&lt;&gt;"OR+EX",--(DATOS!$G13830=CONFIG_METADATA!$B$4),IF(DATOS!$G13830="EX",1,IF(DATOS!$G13830="OR",--(COUNTIFS(nNIA,DATOS!$A13830,nCURSO,DATOS!$D13830,nESPEC,DATOS!$E13830,nASIG,DATOS!$I13830,nEVAL,"EX")=0),0))))</f>
      </c>
      <c r="H13830">
        <f>IF(DATOS!$G13830&lt;&gt;"EX",0,--(COUNTIFS(nNIA,DATOS!$A13830,nCURSO,DATOS!$D13830,nESPEC,DATOS!$E13830,nASIG,DATOS!$I13830,nEVAL,"OR")=0))</f>
      </c>
      <c r="I13830">
        <f>IF(DATOS!$I13830="","",IFERROR(VLOOKUP(DATOS!$I13830,CONFIG_ASIGNATURAS!$B$2:$J$91,9,FALSE()),""))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IF(DATOS!$A13831="",0,IF(CONFIG_METADATA!$B$4&lt;&gt;"OR+EX",--(DATOS!$G13831=CONFIG_METADATA!$B$4),IF(DATOS!$G13831="EX",1,IF(DATOS!$G13831="OR",--(COUNTIFS(nNIA,DATOS!$A13831,nCURSO,DATOS!$D13831,nESPEC,DATOS!$E13831,nASIG,DATOS!$I13831,nEVAL,"EX")=0),0))))</f>
      </c>
      <c r="H13831">
        <f>IF(DATOS!$G13831&lt;&gt;"EX",0,--(COUNTIFS(nNIA,DATOS!$A13831,nCURSO,DATOS!$D13831,nESPEC,DATOS!$E13831,nASIG,DATOS!$I13831,nEVAL,"OR")=0))</f>
      </c>
      <c r="I13831">
        <f>IF(DATOS!$I13831="","",IFERROR(VLOOKUP(DATOS!$I13831,CONFIG_ASIGNATURAS!$B$2:$J$91,9,FALSE()),""))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IF(DATOS!$A13832="",0,IF(CONFIG_METADATA!$B$4&lt;&gt;"OR+EX",--(DATOS!$G13832=CONFIG_METADATA!$B$4),IF(DATOS!$G13832="EX",1,IF(DATOS!$G13832="OR",--(COUNTIFS(nNIA,DATOS!$A13832,nCURSO,DATOS!$D13832,nESPEC,DATOS!$E13832,nASIG,DATOS!$I13832,nEVAL,"EX")=0),0))))</f>
      </c>
      <c r="H13832">
        <f>IF(DATOS!$G13832&lt;&gt;"EX",0,--(COUNTIFS(nNIA,DATOS!$A13832,nCURSO,DATOS!$D13832,nESPEC,DATOS!$E13832,nASIG,DATOS!$I13832,nEVAL,"OR")=0))</f>
      </c>
      <c r="I13832">
        <f>IF(DATOS!$I13832="","",IFERROR(VLOOKUP(DATOS!$I13832,CONFIG_ASIGNATURAS!$B$2:$J$91,9,FALSE()),""))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IF(DATOS!$A13833="",0,IF(CONFIG_METADATA!$B$4&lt;&gt;"OR+EX",--(DATOS!$G13833=CONFIG_METADATA!$B$4),IF(DATOS!$G13833="EX",1,IF(DATOS!$G13833="OR",--(COUNTIFS(nNIA,DATOS!$A13833,nCURSO,DATOS!$D13833,nESPEC,DATOS!$E13833,nASIG,DATOS!$I13833,nEVAL,"EX")=0),0))))</f>
      </c>
      <c r="H13833">
        <f>IF(DATOS!$G13833&lt;&gt;"EX",0,--(COUNTIFS(nNIA,DATOS!$A13833,nCURSO,DATOS!$D13833,nESPEC,DATOS!$E13833,nASIG,DATOS!$I13833,nEVAL,"OR")=0))</f>
      </c>
      <c r="I13833">
        <f>IF(DATOS!$I13833="","",IFERROR(VLOOKUP(DATOS!$I13833,CONFIG_ASIGNATURAS!$B$2:$J$91,9,FALSE()),""))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IF(DATOS!$A13834="",0,IF(CONFIG_METADATA!$B$4&lt;&gt;"OR+EX",--(DATOS!$G13834=CONFIG_METADATA!$B$4),IF(DATOS!$G13834="EX",1,IF(DATOS!$G13834="OR",--(COUNTIFS(nNIA,DATOS!$A13834,nCURSO,DATOS!$D13834,nESPEC,DATOS!$E13834,nASIG,DATOS!$I13834,nEVAL,"EX")=0),0))))</f>
      </c>
      <c r="H13834">
        <f>IF(DATOS!$G13834&lt;&gt;"EX",0,--(COUNTIFS(nNIA,DATOS!$A13834,nCURSO,DATOS!$D13834,nESPEC,DATOS!$E13834,nASIG,DATOS!$I13834,nEVAL,"OR")=0))</f>
      </c>
      <c r="I13834">
        <f>IF(DATOS!$I13834="","",IFERROR(VLOOKUP(DATOS!$I13834,CONFIG_ASIGNATURAS!$B$2:$J$91,9,FALSE()),""))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IF(DATOS!$A13835="",0,IF(CONFIG_METADATA!$B$4&lt;&gt;"OR+EX",--(DATOS!$G13835=CONFIG_METADATA!$B$4),IF(DATOS!$G13835="EX",1,IF(DATOS!$G13835="OR",--(COUNTIFS(nNIA,DATOS!$A13835,nCURSO,DATOS!$D13835,nESPEC,DATOS!$E13835,nASIG,DATOS!$I13835,nEVAL,"EX")=0),0))))</f>
      </c>
      <c r="H13835">
        <f>IF(DATOS!$G13835&lt;&gt;"EX",0,--(COUNTIFS(nNIA,DATOS!$A13835,nCURSO,DATOS!$D13835,nESPEC,DATOS!$E13835,nASIG,DATOS!$I13835,nEVAL,"OR")=0))</f>
      </c>
      <c r="I13835">
        <f>IF(DATOS!$I13835="","",IFERROR(VLOOKUP(DATOS!$I13835,CONFIG_ASIGNATURAS!$B$2:$J$91,9,FALSE()),""))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IF(DATOS!$A13836="",0,IF(CONFIG_METADATA!$B$4&lt;&gt;"OR+EX",--(DATOS!$G13836=CONFIG_METADATA!$B$4),IF(DATOS!$G13836="EX",1,IF(DATOS!$G13836="OR",--(COUNTIFS(nNIA,DATOS!$A13836,nCURSO,DATOS!$D13836,nESPEC,DATOS!$E13836,nASIG,DATOS!$I13836,nEVAL,"EX")=0),0))))</f>
      </c>
      <c r="H13836">
        <f>IF(DATOS!$G13836&lt;&gt;"EX",0,--(COUNTIFS(nNIA,DATOS!$A13836,nCURSO,DATOS!$D13836,nESPEC,DATOS!$E13836,nASIG,DATOS!$I13836,nEVAL,"OR")=0))</f>
      </c>
      <c r="I13836">
        <f>IF(DATOS!$I13836="","",IFERROR(VLOOKUP(DATOS!$I13836,CONFIG_ASIGNATURAS!$B$2:$J$91,9,FALSE()),""))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IF(DATOS!$A13837="",0,IF(CONFIG_METADATA!$B$4&lt;&gt;"OR+EX",--(DATOS!$G13837=CONFIG_METADATA!$B$4),IF(DATOS!$G13837="EX",1,IF(DATOS!$G13837="OR",--(COUNTIFS(nNIA,DATOS!$A13837,nCURSO,DATOS!$D13837,nESPEC,DATOS!$E13837,nASIG,DATOS!$I13837,nEVAL,"EX")=0),0))))</f>
      </c>
      <c r="H13837">
        <f>IF(DATOS!$G13837&lt;&gt;"EX",0,--(COUNTIFS(nNIA,DATOS!$A13837,nCURSO,DATOS!$D13837,nESPEC,DATOS!$E13837,nASIG,DATOS!$I13837,nEVAL,"OR")=0))</f>
      </c>
      <c r="I13837">
        <f>IF(DATOS!$I13837="","",IFERROR(VLOOKUP(DATOS!$I13837,CONFIG_ASIGNATURAS!$B$2:$J$91,9,FALSE()),""))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IF(DATOS!$A13838="",0,IF(CONFIG_METADATA!$B$4&lt;&gt;"OR+EX",--(DATOS!$G13838=CONFIG_METADATA!$B$4),IF(DATOS!$G13838="EX",1,IF(DATOS!$G13838="OR",--(COUNTIFS(nNIA,DATOS!$A13838,nCURSO,DATOS!$D13838,nESPEC,DATOS!$E13838,nASIG,DATOS!$I13838,nEVAL,"EX")=0),0))))</f>
      </c>
      <c r="H13838">
        <f>IF(DATOS!$G13838&lt;&gt;"EX",0,--(COUNTIFS(nNIA,DATOS!$A13838,nCURSO,DATOS!$D13838,nESPEC,DATOS!$E13838,nASIG,DATOS!$I13838,nEVAL,"OR")=0))</f>
      </c>
      <c r="I13838">
        <f>IF(DATOS!$I13838="","",IFERROR(VLOOKUP(DATOS!$I13838,CONFIG_ASIGNATURAS!$B$2:$J$91,9,FALSE()),""))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IF(DATOS!$A13839="",0,IF(CONFIG_METADATA!$B$4&lt;&gt;"OR+EX",--(DATOS!$G13839=CONFIG_METADATA!$B$4),IF(DATOS!$G13839="EX",1,IF(DATOS!$G13839="OR",--(COUNTIFS(nNIA,DATOS!$A13839,nCURSO,DATOS!$D13839,nESPEC,DATOS!$E13839,nASIG,DATOS!$I13839,nEVAL,"EX")=0),0))))</f>
      </c>
      <c r="H13839">
        <f>IF(DATOS!$G13839&lt;&gt;"EX",0,--(COUNTIFS(nNIA,DATOS!$A13839,nCURSO,DATOS!$D13839,nESPEC,DATOS!$E13839,nASIG,DATOS!$I13839,nEVAL,"OR")=0))</f>
      </c>
      <c r="I13839">
        <f>IF(DATOS!$I13839="","",IFERROR(VLOOKUP(DATOS!$I13839,CONFIG_ASIGNATURAS!$B$2:$J$91,9,FALSE()),""))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IF(DATOS!$A13840="",0,IF(CONFIG_METADATA!$B$4&lt;&gt;"OR+EX",--(DATOS!$G13840=CONFIG_METADATA!$B$4),IF(DATOS!$G13840="EX",1,IF(DATOS!$G13840="OR",--(COUNTIFS(nNIA,DATOS!$A13840,nCURSO,DATOS!$D13840,nESPEC,DATOS!$E13840,nASIG,DATOS!$I13840,nEVAL,"EX")=0),0))))</f>
      </c>
      <c r="H13840">
        <f>IF(DATOS!$G13840&lt;&gt;"EX",0,--(COUNTIFS(nNIA,DATOS!$A13840,nCURSO,DATOS!$D13840,nESPEC,DATOS!$E13840,nASIG,DATOS!$I13840,nEVAL,"OR")=0))</f>
      </c>
      <c r="I13840">
        <f>IF(DATOS!$I13840="","",IFERROR(VLOOKUP(DATOS!$I13840,CONFIG_ASIGNATURAS!$B$2:$J$91,9,FALSE()),""))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IF(DATOS!$A13841="",0,IF(CONFIG_METADATA!$B$4&lt;&gt;"OR+EX",--(DATOS!$G13841=CONFIG_METADATA!$B$4),IF(DATOS!$G13841="EX",1,IF(DATOS!$G13841="OR",--(COUNTIFS(nNIA,DATOS!$A13841,nCURSO,DATOS!$D13841,nESPEC,DATOS!$E13841,nASIG,DATOS!$I13841,nEVAL,"EX")=0),0))))</f>
      </c>
      <c r="H13841">
        <f>IF(DATOS!$G13841&lt;&gt;"EX",0,--(COUNTIFS(nNIA,DATOS!$A13841,nCURSO,DATOS!$D13841,nESPEC,DATOS!$E13841,nASIG,DATOS!$I13841,nEVAL,"OR")=0))</f>
      </c>
      <c r="I13841">
        <f>IF(DATOS!$I13841="","",IFERROR(VLOOKUP(DATOS!$I13841,CONFIG_ASIGNATURAS!$B$2:$J$91,9,FALSE()),""))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IF(DATOS!$A13842="",0,IF(CONFIG_METADATA!$B$4&lt;&gt;"OR+EX",--(DATOS!$G13842=CONFIG_METADATA!$B$4),IF(DATOS!$G13842="EX",1,IF(DATOS!$G13842="OR",--(COUNTIFS(nNIA,DATOS!$A13842,nCURSO,DATOS!$D13842,nESPEC,DATOS!$E13842,nASIG,DATOS!$I13842,nEVAL,"EX")=0),0))))</f>
      </c>
      <c r="H13842">
        <f>IF(DATOS!$G13842&lt;&gt;"EX",0,--(COUNTIFS(nNIA,DATOS!$A13842,nCURSO,DATOS!$D13842,nESPEC,DATOS!$E13842,nASIG,DATOS!$I13842,nEVAL,"OR")=0))</f>
      </c>
      <c r="I13842">
        <f>IF(DATOS!$I13842="","",IFERROR(VLOOKUP(DATOS!$I13842,CONFIG_ASIGNATURAS!$B$2:$J$91,9,FALSE()),""))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IF(DATOS!$A13843="",0,IF(CONFIG_METADATA!$B$4&lt;&gt;"OR+EX",--(DATOS!$G13843=CONFIG_METADATA!$B$4),IF(DATOS!$G13843="EX",1,IF(DATOS!$G13843="OR",--(COUNTIFS(nNIA,DATOS!$A13843,nCURSO,DATOS!$D13843,nESPEC,DATOS!$E13843,nASIG,DATOS!$I13843,nEVAL,"EX")=0),0))))</f>
      </c>
      <c r="H13843">
        <f>IF(DATOS!$G13843&lt;&gt;"EX",0,--(COUNTIFS(nNIA,DATOS!$A13843,nCURSO,DATOS!$D13843,nESPEC,DATOS!$E13843,nASIG,DATOS!$I13843,nEVAL,"OR")=0))</f>
      </c>
      <c r="I13843">
        <f>IF(DATOS!$I13843="","",IFERROR(VLOOKUP(DATOS!$I13843,CONFIG_ASIGNATURAS!$B$2:$J$91,9,FALSE()),""))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IF(DATOS!$A13844="",0,IF(CONFIG_METADATA!$B$4&lt;&gt;"OR+EX",--(DATOS!$G13844=CONFIG_METADATA!$B$4),IF(DATOS!$G13844="EX",1,IF(DATOS!$G13844="OR",--(COUNTIFS(nNIA,DATOS!$A13844,nCURSO,DATOS!$D13844,nESPEC,DATOS!$E13844,nASIG,DATOS!$I13844,nEVAL,"EX")=0),0))))</f>
      </c>
      <c r="H13844">
        <f>IF(DATOS!$G13844&lt;&gt;"EX",0,--(COUNTIFS(nNIA,DATOS!$A13844,nCURSO,DATOS!$D13844,nESPEC,DATOS!$E13844,nASIG,DATOS!$I13844,nEVAL,"OR")=0))</f>
      </c>
      <c r="I13844">
        <f>IF(DATOS!$I13844="","",IFERROR(VLOOKUP(DATOS!$I13844,CONFIG_ASIGNATURAS!$B$2:$J$91,9,FALSE()),""))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IF(DATOS!$A13845="",0,IF(CONFIG_METADATA!$B$4&lt;&gt;"OR+EX",--(DATOS!$G13845=CONFIG_METADATA!$B$4),IF(DATOS!$G13845="EX",1,IF(DATOS!$G13845="OR",--(COUNTIFS(nNIA,DATOS!$A13845,nCURSO,DATOS!$D13845,nESPEC,DATOS!$E13845,nASIG,DATOS!$I13845,nEVAL,"EX")=0),0))))</f>
      </c>
      <c r="H13845">
        <f>IF(DATOS!$G13845&lt;&gt;"EX",0,--(COUNTIFS(nNIA,DATOS!$A13845,nCURSO,DATOS!$D13845,nESPEC,DATOS!$E13845,nASIG,DATOS!$I13845,nEVAL,"OR")=0))</f>
      </c>
      <c r="I13845">
        <f>IF(DATOS!$I13845="","",IFERROR(VLOOKUP(DATOS!$I13845,CONFIG_ASIGNATURAS!$B$2:$J$91,9,FALSE()),""))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IF(DATOS!$A13846="",0,IF(CONFIG_METADATA!$B$4&lt;&gt;"OR+EX",--(DATOS!$G13846=CONFIG_METADATA!$B$4),IF(DATOS!$G13846="EX",1,IF(DATOS!$G13846="OR",--(COUNTIFS(nNIA,DATOS!$A13846,nCURSO,DATOS!$D13846,nESPEC,DATOS!$E13846,nASIG,DATOS!$I13846,nEVAL,"EX")=0),0))))</f>
      </c>
      <c r="H13846">
        <f>IF(DATOS!$G13846&lt;&gt;"EX",0,--(COUNTIFS(nNIA,DATOS!$A13846,nCURSO,DATOS!$D13846,nESPEC,DATOS!$E13846,nASIG,DATOS!$I13846,nEVAL,"OR")=0))</f>
      </c>
      <c r="I13846">
        <f>IF(DATOS!$I13846="","",IFERROR(VLOOKUP(DATOS!$I13846,CONFIG_ASIGNATURAS!$B$2:$J$91,9,FALSE()),""))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IF(DATOS!$A13847="",0,IF(CONFIG_METADATA!$B$4&lt;&gt;"OR+EX",--(DATOS!$G13847=CONFIG_METADATA!$B$4),IF(DATOS!$G13847="EX",1,IF(DATOS!$G13847="OR",--(COUNTIFS(nNIA,DATOS!$A13847,nCURSO,DATOS!$D13847,nESPEC,DATOS!$E13847,nASIG,DATOS!$I13847,nEVAL,"EX")=0),0))))</f>
      </c>
      <c r="H13847">
        <f>IF(DATOS!$G13847&lt;&gt;"EX",0,--(COUNTIFS(nNIA,DATOS!$A13847,nCURSO,DATOS!$D13847,nESPEC,DATOS!$E13847,nASIG,DATOS!$I13847,nEVAL,"OR")=0))</f>
      </c>
      <c r="I13847">
        <f>IF(DATOS!$I13847="","",IFERROR(VLOOKUP(DATOS!$I13847,CONFIG_ASIGNATURAS!$B$2:$J$91,9,FALSE()),""))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IF(DATOS!$A13848="",0,IF(CONFIG_METADATA!$B$4&lt;&gt;"OR+EX",--(DATOS!$G13848=CONFIG_METADATA!$B$4),IF(DATOS!$G13848="EX",1,IF(DATOS!$G13848="OR",--(COUNTIFS(nNIA,DATOS!$A13848,nCURSO,DATOS!$D13848,nESPEC,DATOS!$E13848,nASIG,DATOS!$I13848,nEVAL,"EX")=0),0))))</f>
      </c>
      <c r="H13848">
        <f>IF(DATOS!$G13848&lt;&gt;"EX",0,--(COUNTIFS(nNIA,DATOS!$A13848,nCURSO,DATOS!$D13848,nESPEC,DATOS!$E13848,nASIG,DATOS!$I13848,nEVAL,"OR")=0))</f>
      </c>
      <c r="I13848">
        <f>IF(DATOS!$I13848="","",IFERROR(VLOOKUP(DATOS!$I13848,CONFIG_ASIGNATURAS!$B$2:$J$91,9,FALSE()),""))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IF(DATOS!$A13849="",0,IF(CONFIG_METADATA!$B$4&lt;&gt;"OR+EX",--(DATOS!$G13849=CONFIG_METADATA!$B$4),IF(DATOS!$G13849="EX",1,IF(DATOS!$G13849="OR",--(COUNTIFS(nNIA,DATOS!$A13849,nCURSO,DATOS!$D13849,nESPEC,DATOS!$E13849,nASIG,DATOS!$I13849,nEVAL,"EX")=0),0))))</f>
      </c>
      <c r="H13849">
        <f>IF(DATOS!$G13849&lt;&gt;"EX",0,--(COUNTIFS(nNIA,DATOS!$A13849,nCURSO,DATOS!$D13849,nESPEC,DATOS!$E13849,nASIG,DATOS!$I13849,nEVAL,"OR")=0))</f>
      </c>
      <c r="I13849">
        <f>IF(DATOS!$I13849="","",IFERROR(VLOOKUP(DATOS!$I13849,CONFIG_ASIGNATURAS!$B$2:$J$91,9,FALSE()),""))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IF(DATOS!$A13850="",0,IF(CONFIG_METADATA!$B$4&lt;&gt;"OR+EX",--(DATOS!$G13850=CONFIG_METADATA!$B$4),IF(DATOS!$G13850="EX",1,IF(DATOS!$G13850="OR",--(COUNTIFS(nNIA,DATOS!$A13850,nCURSO,DATOS!$D13850,nESPEC,DATOS!$E13850,nASIG,DATOS!$I13850,nEVAL,"EX")=0),0))))</f>
      </c>
      <c r="H13850">
        <f>IF(DATOS!$G13850&lt;&gt;"EX",0,--(COUNTIFS(nNIA,DATOS!$A13850,nCURSO,DATOS!$D13850,nESPEC,DATOS!$E13850,nASIG,DATOS!$I13850,nEVAL,"OR")=0))</f>
      </c>
      <c r="I13850">
        <f>IF(DATOS!$I13850="","",IFERROR(VLOOKUP(DATOS!$I13850,CONFIG_ASIGNATURAS!$B$2:$J$91,9,FALSE()),""))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IF(DATOS!$A13851="",0,IF(CONFIG_METADATA!$B$4&lt;&gt;"OR+EX",--(DATOS!$G13851=CONFIG_METADATA!$B$4),IF(DATOS!$G13851="EX",1,IF(DATOS!$G13851="OR",--(COUNTIFS(nNIA,DATOS!$A13851,nCURSO,DATOS!$D13851,nESPEC,DATOS!$E13851,nASIG,DATOS!$I13851,nEVAL,"EX")=0),0))))</f>
      </c>
      <c r="H13851">
        <f>IF(DATOS!$G13851&lt;&gt;"EX",0,--(COUNTIFS(nNIA,DATOS!$A13851,nCURSO,DATOS!$D13851,nESPEC,DATOS!$E13851,nASIG,DATOS!$I13851,nEVAL,"OR")=0))</f>
      </c>
      <c r="I13851">
        <f>IF(DATOS!$I13851="","",IFERROR(VLOOKUP(DATOS!$I13851,CONFIG_ASIGNATURAS!$B$2:$J$91,9,FALSE()),""))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IF(DATOS!$A13852="",0,IF(CONFIG_METADATA!$B$4&lt;&gt;"OR+EX",--(DATOS!$G13852=CONFIG_METADATA!$B$4),IF(DATOS!$G13852="EX",1,IF(DATOS!$G13852="OR",--(COUNTIFS(nNIA,DATOS!$A13852,nCURSO,DATOS!$D13852,nESPEC,DATOS!$E13852,nASIG,DATOS!$I13852,nEVAL,"EX")=0),0))))</f>
      </c>
      <c r="H13852">
        <f>IF(DATOS!$G13852&lt;&gt;"EX",0,--(COUNTIFS(nNIA,DATOS!$A13852,nCURSO,DATOS!$D13852,nESPEC,DATOS!$E13852,nASIG,DATOS!$I13852,nEVAL,"OR")=0))</f>
      </c>
      <c r="I13852">
        <f>IF(DATOS!$I13852="","",IFERROR(VLOOKUP(DATOS!$I13852,CONFIG_ASIGNATURAS!$B$2:$J$91,9,FALSE()),""))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IF(DATOS!$A13853="",0,IF(CONFIG_METADATA!$B$4&lt;&gt;"OR+EX",--(DATOS!$G13853=CONFIG_METADATA!$B$4),IF(DATOS!$G13853="EX",1,IF(DATOS!$G13853="OR",--(COUNTIFS(nNIA,DATOS!$A13853,nCURSO,DATOS!$D13853,nESPEC,DATOS!$E13853,nASIG,DATOS!$I13853,nEVAL,"EX")=0),0))))</f>
      </c>
      <c r="H13853">
        <f>IF(DATOS!$G13853&lt;&gt;"EX",0,--(COUNTIFS(nNIA,DATOS!$A13853,nCURSO,DATOS!$D13853,nESPEC,DATOS!$E13853,nASIG,DATOS!$I13853,nEVAL,"OR")=0))</f>
      </c>
      <c r="I13853">
        <f>IF(DATOS!$I13853="","",IFERROR(VLOOKUP(DATOS!$I13853,CONFIG_ASIGNATURAS!$B$2:$J$91,9,FALSE()),""))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IF(DATOS!$A13854="",0,IF(CONFIG_METADATA!$B$4&lt;&gt;"OR+EX",--(DATOS!$G13854=CONFIG_METADATA!$B$4),IF(DATOS!$G13854="EX",1,IF(DATOS!$G13854="OR",--(COUNTIFS(nNIA,DATOS!$A13854,nCURSO,DATOS!$D13854,nESPEC,DATOS!$E13854,nASIG,DATOS!$I13854,nEVAL,"EX")=0),0))))</f>
      </c>
      <c r="H13854">
        <f>IF(DATOS!$G13854&lt;&gt;"EX",0,--(COUNTIFS(nNIA,DATOS!$A13854,nCURSO,DATOS!$D13854,nESPEC,DATOS!$E13854,nASIG,DATOS!$I13854,nEVAL,"OR")=0))</f>
      </c>
      <c r="I13854">
        <f>IF(DATOS!$I13854="","",IFERROR(VLOOKUP(DATOS!$I13854,CONFIG_ASIGNATURAS!$B$2:$J$91,9,FALSE()),""))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IF(DATOS!$A13855="",0,IF(CONFIG_METADATA!$B$4&lt;&gt;"OR+EX",--(DATOS!$G13855=CONFIG_METADATA!$B$4),IF(DATOS!$G13855="EX",1,IF(DATOS!$G13855="OR",--(COUNTIFS(nNIA,DATOS!$A13855,nCURSO,DATOS!$D13855,nESPEC,DATOS!$E13855,nASIG,DATOS!$I13855,nEVAL,"EX")=0),0))))</f>
      </c>
      <c r="H13855">
        <f>IF(DATOS!$G13855&lt;&gt;"EX",0,--(COUNTIFS(nNIA,DATOS!$A13855,nCURSO,DATOS!$D13855,nESPEC,DATOS!$E13855,nASIG,DATOS!$I13855,nEVAL,"OR")=0))</f>
      </c>
      <c r="I13855">
        <f>IF(DATOS!$I13855="","",IFERROR(VLOOKUP(DATOS!$I13855,CONFIG_ASIGNATURAS!$B$2:$J$91,9,FALSE()),""))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IF(DATOS!$A13856="",0,IF(CONFIG_METADATA!$B$4&lt;&gt;"OR+EX",--(DATOS!$G13856=CONFIG_METADATA!$B$4),IF(DATOS!$G13856="EX",1,IF(DATOS!$G13856="OR",--(COUNTIFS(nNIA,DATOS!$A13856,nCURSO,DATOS!$D13856,nESPEC,DATOS!$E13856,nASIG,DATOS!$I13856,nEVAL,"EX")=0),0))))</f>
      </c>
      <c r="H13856">
        <f>IF(DATOS!$G13856&lt;&gt;"EX",0,--(COUNTIFS(nNIA,DATOS!$A13856,nCURSO,DATOS!$D13856,nESPEC,DATOS!$E13856,nASIG,DATOS!$I13856,nEVAL,"OR")=0))</f>
      </c>
      <c r="I13856">
        <f>IF(DATOS!$I13856="","",IFERROR(VLOOKUP(DATOS!$I13856,CONFIG_ASIGNATURAS!$B$2:$J$91,9,FALSE()),""))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IF(DATOS!$A13857="",0,IF(CONFIG_METADATA!$B$4&lt;&gt;"OR+EX",--(DATOS!$G13857=CONFIG_METADATA!$B$4),IF(DATOS!$G13857="EX",1,IF(DATOS!$G13857="OR",--(COUNTIFS(nNIA,DATOS!$A13857,nCURSO,DATOS!$D13857,nESPEC,DATOS!$E13857,nASIG,DATOS!$I13857,nEVAL,"EX")=0),0))))</f>
      </c>
      <c r="H13857">
        <f>IF(DATOS!$G13857&lt;&gt;"EX",0,--(COUNTIFS(nNIA,DATOS!$A13857,nCURSO,DATOS!$D13857,nESPEC,DATOS!$E13857,nASIG,DATOS!$I13857,nEVAL,"OR")=0))</f>
      </c>
      <c r="I13857">
        <f>IF(DATOS!$I13857="","",IFERROR(VLOOKUP(DATOS!$I13857,CONFIG_ASIGNATURAS!$B$2:$J$91,9,FALSE()),""))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IF(DATOS!$A13858="",0,IF(CONFIG_METADATA!$B$4&lt;&gt;"OR+EX",--(DATOS!$G13858=CONFIG_METADATA!$B$4),IF(DATOS!$G13858="EX",1,IF(DATOS!$G13858="OR",--(COUNTIFS(nNIA,DATOS!$A13858,nCURSO,DATOS!$D13858,nESPEC,DATOS!$E13858,nASIG,DATOS!$I13858,nEVAL,"EX")=0),0))))</f>
      </c>
      <c r="H13858">
        <f>IF(DATOS!$G13858&lt;&gt;"EX",0,--(COUNTIFS(nNIA,DATOS!$A13858,nCURSO,DATOS!$D13858,nESPEC,DATOS!$E13858,nASIG,DATOS!$I13858,nEVAL,"OR")=0))</f>
      </c>
      <c r="I13858">
        <f>IF(DATOS!$I13858="","",IFERROR(VLOOKUP(DATOS!$I13858,CONFIG_ASIGNATURAS!$B$2:$J$91,9,FALSE()),""))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IF(DATOS!$A13859="",0,IF(CONFIG_METADATA!$B$4&lt;&gt;"OR+EX",--(DATOS!$G13859=CONFIG_METADATA!$B$4),IF(DATOS!$G13859="EX",1,IF(DATOS!$G13859="OR",--(COUNTIFS(nNIA,DATOS!$A13859,nCURSO,DATOS!$D13859,nESPEC,DATOS!$E13859,nASIG,DATOS!$I13859,nEVAL,"EX")=0),0))))</f>
      </c>
      <c r="H13859">
        <f>IF(DATOS!$G13859&lt;&gt;"EX",0,--(COUNTIFS(nNIA,DATOS!$A13859,nCURSO,DATOS!$D13859,nESPEC,DATOS!$E13859,nASIG,DATOS!$I13859,nEVAL,"OR")=0))</f>
      </c>
      <c r="I13859">
        <f>IF(DATOS!$I13859="","",IFERROR(VLOOKUP(DATOS!$I13859,CONFIG_ASIGNATURAS!$B$2:$J$91,9,FALSE()),""))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IF(DATOS!$A13860="",0,IF(CONFIG_METADATA!$B$4&lt;&gt;"OR+EX",--(DATOS!$G13860=CONFIG_METADATA!$B$4),IF(DATOS!$G13860="EX",1,IF(DATOS!$G13860="OR",--(COUNTIFS(nNIA,DATOS!$A13860,nCURSO,DATOS!$D13860,nESPEC,DATOS!$E13860,nASIG,DATOS!$I13860,nEVAL,"EX")=0),0))))</f>
      </c>
      <c r="H13860">
        <f>IF(DATOS!$G13860&lt;&gt;"EX",0,--(COUNTIFS(nNIA,DATOS!$A13860,nCURSO,DATOS!$D13860,nESPEC,DATOS!$E13860,nASIG,DATOS!$I13860,nEVAL,"OR")=0))</f>
      </c>
      <c r="I13860">
        <f>IF(DATOS!$I13860="","",IFERROR(VLOOKUP(DATOS!$I13860,CONFIG_ASIGNATURAS!$B$2:$J$91,9,FALSE()),""))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IF(DATOS!$A13861="",0,IF(CONFIG_METADATA!$B$4&lt;&gt;"OR+EX",--(DATOS!$G13861=CONFIG_METADATA!$B$4),IF(DATOS!$G13861="EX",1,IF(DATOS!$G13861="OR",--(COUNTIFS(nNIA,DATOS!$A13861,nCURSO,DATOS!$D13861,nESPEC,DATOS!$E13861,nASIG,DATOS!$I13861,nEVAL,"EX")=0),0))))</f>
      </c>
      <c r="H13861">
        <f>IF(DATOS!$G13861&lt;&gt;"EX",0,--(COUNTIFS(nNIA,DATOS!$A13861,nCURSO,DATOS!$D13861,nESPEC,DATOS!$E13861,nASIG,DATOS!$I13861,nEVAL,"OR")=0))</f>
      </c>
      <c r="I13861">
        <f>IF(DATOS!$I13861="","",IFERROR(VLOOKUP(DATOS!$I13861,CONFIG_ASIGNATURAS!$B$2:$J$91,9,FALSE()),""))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IF(DATOS!$A13862="",0,IF(CONFIG_METADATA!$B$4&lt;&gt;"OR+EX",--(DATOS!$G13862=CONFIG_METADATA!$B$4),IF(DATOS!$G13862="EX",1,IF(DATOS!$G13862="OR",--(COUNTIFS(nNIA,DATOS!$A13862,nCURSO,DATOS!$D13862,nESPEC,DATOS!$E13862,nASIG,DATOS!$I13862,nEVAL,"EX")=0),0))))</f>
      </c>
      <c r="H13862">
        <f>IF(DATOS!$G13862&lt;&gt;"EX",0,--(COUNTIFS(nNIA,DATOS!$A13862,nCURSO,DATOS!$D13862,nESPEC,DATOS!$E13862,nASIG,DATOS!$I13862,nEVAL,"OR")=0))</f>
      </c>
      <c r="I13862">
        <f>IF(DATOS!$I13862="","",IFERROR(VLOOKUP(DATOS!$I13862,CONFIG_ASIGNATURAS!$B$2:$J$91,9,FALSE()),""))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IF(DATOS!$A13863="",0,IF(CONFIG_METADATA!$B$4&lt;&gt;"OR+EX",--(DATOS!$G13863=CONFIG_METADATA!$B$4),IF(DATOS!$G13863="EX",1,IF(DATOS!$G13863="OR",--(COUNTIFS(nNIA,DATOS!$A13863,nCURSO,DATOS!$D13863,nESPEC,DATOS!$E13863,nASIG,DATOS!$I13863,nEVAL,"EX")=0),0))))</f>
      </c>
      <c r="H13863">
        <f>IF(DATOS!$G13863&lt;&gt;"EX",0,--(COUNTIFS(nNIA,DATOS!$A13863,nCURSO,DATOS!$D13863,nESPEC,DATOS!$E13863,nASIG,DATOS!$I13863,nEVAL,"OR")=0))</f>
      </c>
      <c r="I13863">
        <f>IF(DATOS!$I13863="","",IFERROR(VLOOKUP(DATOS!$I13863,CONFIG_ASIGNATURAS!$B$2:$J$91,9,FALSE()),""))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IF(DATOS!$A13864="",0,IF(CONFIG_METADATA!$B$4&lt;&gt;"OR+EX",--(DATOS!$G13864=CONFIG_METADATA!$B$4),IF(DATOS!$G13864="EX",1,IF(DATOS!$G13864="OR",--(COUNTIFS(nNIA,DATOS!$A13864,nCURSO,DATOS!$D13864,nESPEC,DATOS!$E13864,nASIG,DATOS!$I13864,nEVAL,"EX")=0),0))))</f>
      </c>
      <c r="H13864">
        <f>IF(DATOS!$G13864&lt;&gt;"EX",0,--(COUNTIFS(nNIA,DATOS!$A13864,nCURSO,DATOS!$D13864,nESPEC,DATOS!$E13864,nASIG,DATOS!$I13864,nEVAL,"OR")=0))</f>
      </c>
      <c r="I13864">
        <f>IF(DATOS!$I13864="","",IFERROR(VLOOKUP(DATOS!$I13864,CONFIG_ASIGNATURAS!$B$2:$J$91,9,FALSE()),""))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IF(DATOS!$A13865="",0,IF(CONFIG_METADATA!$B$4&lt;&gt;"OR+EX",--(DATOS!$G13865=CONFIG_METADATA!$B$4),IF(DATOS!$G13865="EX",1,IF(DATOS!$G13865="OR",--(COUNTIFS(nNIA,DATOS!$A13865,nCURSO,DATOS!$D13865,nESPEC,DATOS!$E13865,nASIG,DATOS!$I13865,nEVAL,"EX")=0),0))))</f>
      </c>
      <c r="H13865">
        <f>IF(DATOS!$G13865&lt;&gt;"EX",0,--(COUNTIFS(nNIA,DATOS!$A13865,nCURSO,DATOS!$D13865,nESPEC,DATOS!$E13865,nASIG,DATOS!$I13865,nEVAL,"OR")=0))</f>
      </c>
      <c r="I13865">
        <f>IF(DATOS!$I13865="","",IFERROR(VLOOKUP(DATOS!$I13865,CONFIG_ASIGNATURAS!$B$2:$J$91,9,FALSE()),""))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IF(DATOS!$A13866="",0,IF(CONFIG_METADATA!$B$4&lt;&gt;"OR+EX",--(DATOS!$G13866=CONFIG_METADATA!$B$4),IF(DATOS!$G13866="EX",1,IF(DATOS!$G13866="OR",--(COUNTIFS(nNIA,DATOS!$A13866,nCURSO,DATOS!$D13866,nESPEC,DATOS!$E13866,nASIG,DATOS!$I13866,nEVAL,"EX")=0),0))))</f>
      </c>
      <c r="H13866">
        <f>IF(DATOS!$G13866&lt;&gt;"EX",0,--(COUNTIFS(nNIA,DATOS!$A13866,nCURSO,DATOS!$D13866,nESPEC,DATOS!$E13866,nASIG,DATOS!$I13866,nEVAL,"OR")=0))</f>
      </c>
      <c r="I13866">
        <f>IF(DATOS!$I13866="","",IFERROR(VLOOKUP(DATOS!$I13866,CONFIG_ASIGNATURAS!$B$2:$J$91,9,FALSE()),""))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IF(DATOS!$A13867="",0,IF(CONFIG_METADATA!$B$4&lt;&gt;"OR+EX",--(DATOS!$G13867=CONFIG_METADATA!$B$4),IF(DATOS!$G13867="EX",1,IF(DATOS!$G13867="OR",--(COUNTIFS(nNIA,DATOS!$A13867,nCURSO,DATOS!$D13867,nESPEC,DATOS!$E13867,nASIG,DATOS!$I13867,nEVAL,"EX")=0),0))))</f>
      </c>
      <c r="H13867">
        <f>IF(DATOS!$G13867&lt;&gt;"EX",0,--(COUNTIFS(nNIA,DATOS!$A13867,nCURSO,DATOS!$D13867,nESPEC,DATOS!$E13867,nASIG,DATOS!$I13867,nEVAL,"OR")=0))</f>
      </c>
      <c r="I13867">
        <f>IF(DATOS!$I13867="","",IFERROR(VLOOKUP(DATOS!$I13867,CONFIG_ASIGNATURAS!$B$2:$J$91,9,FALSE()),""))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IF(DATOS!$A13868="",0,IF(CONFIG_METADATA!$B$4&lt;&gt;"OR+EX",--(DATOS!$G13868=CONFIG_METADATA!$B$4),IF(DATOS!$G13868="EX",1,IF(DATOS!$G13868="OR",--(COUNTIFS(nNIA,DATOS!$A13868,nCURSO,DATOS!$D13868,nESPEC,DATOS!$E13868,nASIG,DATOS!$I13868,nEVAL,"EX")=0),0))))</f>
      </c>
      <c r="H13868">
        <f>IF(DATOS!$G13868&lt;&gt;"EX",0,--(COUNTIFS(nNIA,DATOS!$A13868,nCURSO,DATOS!$D13868,nESPEC,DATOS!$E13868,nASIG,DATOS!$I13868,nEVAL,"OR")=0))</f>
      </c>
      <c r="I13868">
        <f>IF(DATOS!$I13868="","",IFERROR(VLOOKUP(DATOS!$I13868,CONFIG_ASIGNATURAS!$B$2:$J$91,9,FALSE()),""))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IF(DATOS!$A13869="",0,IF(CONFIG_METADATA!$B$4&lt;&gt;"OR+EX",--(DATOS!$G13869=CONFIG_METADATA!$B$4),IF(DATOS!$G13869="EX",1,IF(DATOS!$G13869="OR",--(COUNTIFS(nNIA,DATOS!$A13869,nCURSO,DATOS!$D13869,nESPEC,DATOS!$E13869,nASIG,DATOS!$I13869,nEVAL,"EX")=0),0))))</f>
      </c>
      <c r="H13869">
        <f>IF(DATOS!$G13869&lt;&gt;"EX",0,--(COUNTIFS(nNIA,DATOS!$A13869,nCURSO,DATOS!$D13869,nESPEC,DATOS!$E13869,nASIG,DATOS!$I13869,nEVAL,"OR")=0))</f>
      </c>
      <c r="I13869">
        <f>IF(DATOS!$I13869="","",IFERROR(VLOOKUP(DATOS!$I13869,CONFIG_ASIGNATURAS!$B$2:$J$91,9,FALSE()),""))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IF(DATOS!$A13870="",0,IF(CONFIG_METADATA!$B$4&lt;&gt;"OR+EX",--(DATOS!$G13870=CONFIG_METADATA!$B$4),IF(DATOS!$G13870="EX",1,IF(DATOS!$G13870="OR",--(COUNTIFS(nNIA,DATOS!$A13870,nCURSO,DATOS!$D13870,nESPEC,DATOS!$E13870,nASIG,DATOS!$I13870,nEVAL,"EX")=0),0))))</f>
      </c>
      <c r="H13870">
        <f>IF(DATOS!$G13870&lt;&gt;"EX",0,--(COUNTIFS(nNIA,DATOS!$A13870,nCURSO,DATOS!$D13870,nESPEC,DATOS!$E13870,nASIG,DATOS!$I13870,nEVAL,"OR")=0))</f>
      </c>
      <c r="I13870">
        <f>IF(DATOS!$I13870="","",IFERROR(VLOOKUP(DATOS!$I13870,CONFIG_ASIGNATURAS!$B$2:$J$91,9,FALSE()),""))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IF(DATOS!$A13871="",0,IF(CONFIG_METADATA!$B$4&lt;&gt;"OR+EX",--(DATOS!$G13871=CONFIG_METADATA!$B$4),IF(DATOS!$G13871="EX",1,IF(DATOS!$G13871="OR",--(COUNTIFS(nNIA,DATOS!$A13871,nCURSO,DATOS!$D13871,nESPEC,DATOS!$E13871,nASIG,DATOS!$I13871,nEVAL,"EX")=0),0))))</f>
      </c>
      <c r="H13871">
        <f>IF(DATOS!$G13871&lt;&gt;"EX",0,--(COUNTIFS(nNIA,DATOS!$A13871,nCURSO,DATOS!$D13871,nESPEC,DATOS!$E13871,nASIG,DATOS!$I13871,nEVAL,"OR")=0))</f>
      </c>
      <c r="I13871">
        <f>IF(DATOS!$I13871="","",IFERROR(VLOOKUP(DATOS!$I13871,CONFIG_ASIGNATURAS!$B$2:$J$91,9,FALSE()),""))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IF(DATOS!$A13872="",0,IF(CONFIG_METADATA!$B$4&lt;&gt;"OR+EX",--(DATOS!$G13872=CONFIG_METADATA!$B$4),IF(DATOS!$G13872="EX",1,IF(DATOS!$G13872="OR",--(COUNTIFS(nNIA,DATOS!$A13872,nCURSO,DATOS!$D13872,nESPEC,DATOS!$E13872,nASIG,DATOS!$I13872,nEVAL,"EX")=0),0))))</f>
      </c>
      <c r="H13872">
        <f>IF(DATOS!$G13872&lt;&gt;"EX",0,--(COUNTIFS(nNIA,DATOS!$A13872,nCURSO,DATOS!$D13872,nESPEC,DATOS!$E13872,nASIG,DATOS!$I13872,nEVAL,"OR")=0))</f>
      </c>
      <c r="I13872">
        <f>IF(DATOS!$I13872="","",IFERROR(VLOOKUP(DATOS!$I13872,CONFIG_ASIGNATURAS!$B$2:$J$91,9,FALSE()),""))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IF(DATOS!$A13873="",0,IF(CONFIG_METADATA!$B$4&lt;&gt;"OR+EX",--(DATOS!$G13873=CONFIG_METADATA!$B$4),IF(DATOS!$G13873="EX",1,IF(DATOS!$G13873="OR",--(COUNTIFS(nNIA,DATOS!$A13873,nCURSO,DATOS!$D13873,nESPEC,DATOS!$E13873,nASIG,DATOS!$I13873,nEVAL,"EX")=0),0))))</f>
      </c>
      <c r="H13873">
        <f>IF(DATOS!$G13873&lt;&gt;"EX",0,--(COUNTIFS(nNIA,DATOS!$A13873,nCURSO,DATOS!$D13873,nESPEC,DATOS!$E13873,nASIG,DATOS!$I13873,nEVAL,"OR")=0))</f>
      </c>
      <c r="I13873">
        <f>IF(DATOS!$I13873="","",IFERROR(VLOOKUP(DATOS!$I13873,CONFIG_ASIGNATURAS!$B$2:$J$91,9,FALSE()),""))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IF(DATOS!$A13874="",0,IF(CONFIG_METADATA!$B$4&lt;&gt;"OR+EX",--(DATOS!$G13874=CONFIG_METADATA!$B$4),IF(DATOS!$G13874="EX",1,IF(DATOS!$G13874="OR",--(COUNTIFS(nNIA,DATOS!$A13874,nCURSO,DATOS!$D13874,nESPEC,DATOS!$E13874,nASIG,DATOS!$I13874,nEVAL,"EX")=0),0))))</f>
      </c>
      <c r="H13874">
        <f>IF(DATOS!$G13874&lt;&gt;"EX",0,--(COUNTIFS(nNIA,DATOS!$A13874,nCURSO,DATOS!$D13874,nESPEC,DATOS!$E13874,nASIG,DATOS!$I13874,nEVAL,"OR")=0))</f>
      </c>
      <c r="I13874">
        <f>IF(DATOS!$I13874="","",IFERROR(VLOOKUP(DATOS!$I13874,CONFIG_ASIGNATURAS!$B$2:$J$91,9,FALSE()),""))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IF(DATOS!$A13875="",0,IF(CONFIG_METADATA!$B$4&lt;&gt;"OR+EX",--(DATOS!$G13875=CONFIG_METADATA!$B$4),IF(DATOS!$G13875="EX",1,IF(DATOS!$G13875="OR",--(COUNTIFS(nNIA,DATOS!$A13875,nCURSO,DATOS!$D13875,nESPEC,DATOS!$E13875,nASIG,DATOS!$I13875,nEVAL,"EX")=0),0))))</f>
      </c>
      <c r="H13875">
        <f>IF(DATOS!$G13875&lt;&gt;"EX",0,--(COUNTIFS(nNIA,DATOS!$A13875,nCURSO,DATOS!$D13875,nESPEC,DATOS!$E13875,nASIG,DATOS!$I13875,nEVAL,"OR")=0))</f>
      </c>
      <c r="I13875">
        <f>IF(DATOS!$I13875="","",IFERROR(VLOOKUP(DATOS!$I13875,CONFIG_ASIGNATURAS!$B$2:$J$91,9,FALSE()),""))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IF(DATOS!$A13876="",0,IF(CONFIG_METADATA!$B$4&lt;&gt;"OR+EX",--(DATOS!$G13876=CONFIG_METADATA!$B$4),IF(DATOS!$G13876="EX",1,IF(DATOS!$G13876="OR",--(COUNTIFS(nNIA,DATOS!$A13876,nCURSO,DATOS!$D13876,nESPEC,DATOS!$E13876,nASIG,DATOS!$I13876,nEVAL,"EX")=0),0))))</f>
      </c>
      <c r="H13876">
        <f>IF(DATOS!$G13876&lt;&gt;"EX",0,--(COUNTIFS(nNIA,DATOS!$A13876,nCURSO,DATOS!$D13876,nESPEC,DATOS!$E13876,nASIG,DATOS!$I13876,nEVAL,"OR")=0))</f>
      </c>
      <c r="I13876">
        <f>IF(DATOS!$I13876="","",IFERROR(VLOOKUP(DATOS!$I13876,CONFIG_ASIGNATURAS!$B$2:$J$91,9,FALSE()),""))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IF(DATOS!$A13877="",0,IF(CONFIG_METADATA!$B$4&lt;&gt;"OR+EX",--(DATOS!$G13877=CONFIG_METADATA!$B$4),IF(DATOS!$G13877="EX",1,IF(DATOS!$G13877="OR",--(COUNTIFS(nNIA,DATOS!$A13877,nCURSO,DATOS!$D13877,nESPEC,DATOS!$E13877,nASIG,DATOS!$I13877,nEVAL,"EX")=0),0))))</f>
      </c>
      <c r="H13877">
        <f>IF(DATOS!$G13877&lt;&gt;"EX",0,--(COUNTIFS(nNIA,DATOS!$A13877,nCURSO,DATOS!$D13877,nESPEC,DATOS!$E13877,nASIG,DATOS!$I13877,nEVAL,"OR")=0))</f>
      </c>
      <c r="I13877">
        <f>IF(DATOS!$I13877="","",IFERROR(VLOOKUP(DATOS!$I13877,CONFIG_ASIGNATURAS!$B$2:$J$91,9,FALSE()),""))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IF(DATOS!$A13878="",0,IF(CONFIG_METADATA!$B$4&lt;&gt;"OR+EX",--(DATOS!$G13878=CONFIG_METADATA!$B$4),IF(DATOS!$G13878="EX",1,IF(DATOS!$G13878="OR",--(COUNTIFS(nNIA,DATOS!$A13878,nCURSO,DATOS!$D13878,nESPEC,DATOS!$E13878,nASIG,DATOS!$I13878,nEVAL,"EX")=0),0))))</f>
      </c>
      <c r="H13878">
        <f>IF(DATOS!$G13878&lt;&gt;"EX",0,--(COUNTIFS(nNIA,DATOS!$A13878,nCURSO,DATOS!$D13878,nESPEC,DATOS!$E13878,nASIG,DATOS!$I13878,nEVAL,"OR")=0))</f>
      </c>
      <c r="I13878">
        <f>IF(DATOS!$I13878="","",IFERROR(VLOOKUP(DATOS!$I13878,CONFIG_ASIGNATURAS!$B$2:$J$91,9,FALSE()),""))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IF(DATOS!$A13879="",0,IF(CONFIG_METADATA!$B$4&lt;&gt;"OR+EX",--(DATOS!$G13879=CONFIG_METADATA!$B$4),IF(DATOS!$G13879="EX",1,IF(DATOS!$G13879="OR",--(COUNTIFS(nNIA,DATOS!$A13879,nCURSO,DATOS!$D13879,nESPEC,DATOS!$E13879,nASIG,DATOS!$I13879,nEVAL,"EX")=0),0))))</f>
      </c>
      <c r="H13879">
        <f>IF(DATOS!$G13879&lt;&gt;"EX",0,--(COUNTIFS(nNIA,DATOS!$A13879,nCURSO,DATOS!$D13879,nESPEC,DATOS!$E13879,nASIG,DATOS!$I13879,nEVAL,"OR")=0))</f>
      </c>
      <c r="I13879">
        <f>IF(DATOS!$I13879="","",IFERROR(VLOOKUP(DATOS!$I13879,CONFIG_ASIGNATURAS!$B$2:$J$91,9,FALSE()),""))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IF(DATOS!$A13880="",0,IF(CONFIG_METADATA!$B$4&lt;&gt;"OR+EX",--(DATOS!$G13880=CONFIG_METADATA!$B$4),IF(DATOS!$G13880="EX",1,IF(DATOS!$G13880="OR",--(COUNTIFS(nNIA,DATOS!$A13880,nCURSO,DATOS!$D13880,nESPEC,DATOS!$E13880,nASIG,DATOS!$I13880,nEVAL,"EX")=0),0))))</f>
      </c>
      <c r="H13880">
        <f>IF(DATOS!$G13880&lt;&gt;"EX",0,--(COUNTIFS(nNIA,DATOS!$A13880,nCURSO,DATOS!$D13880,nESPEC,DATOS!$E13880,nASIG,DATOS!$I13880,nEVAL,"OR")=0))</f>
      </c>
      <c r="I13880">
        <f>IF(DATOS!$I13880="","",IFERROR(VLOOKUP(DATOS!$I13880,CONFIG_ASIGNATURAS!$B$2:$J$91,9,FALSE()),""))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IF(DATOS!$A13881="",0,IF(CONFIG_METADATA!$B$4&lt;&gt;"OR+EX",--(DATOS!$G13881=CONFIG_METADATA!$B$4),IF(DATOS!$G13881="EX",1,IF(DATOS!$G13881="OR",--(COUNTIFS(nNIA,DATOS!$A13881,nCURSO,DATOS!$D13881,nESPEC,DATOS!$E13881,nASIG,DATOS!$I13881,nEVAL,"EX")=0),0))))</f>
      </c>
      <c r="H13881">
        <f>IF(DATOS!$G13881&lt;&gt;"EX",0,--(COUNTIFS(nNIA,DATOS!$A13881,nCURSO,DATOS!$D13881,nESPEC,DATOS!$E13881,nASIG,DATOS!$I13881,nEVAL,"OR")=0))</f>
      </c>
      <c r="I13881">
        <f>IF(DATOS!$I13881="","",IFERROR(VLOOKUP(DATOS!$I13881,CONFIG_ASIGNATURAS!$B$2:$J$91,9,FALSE()),""))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IF(DATOS!$A13882="",0,IF(CONFIG_METADATA!$B$4&lt;&gt;"OR+EX",--(DATOS!$G13882=CONFIG_METADATA!$B$4),IF(DATOS!$G13882="EX",1,IF(DATOS!$G13882="OR",--(COUNTIFS(nNIA,DATOS!$A13882,nCURSO,DATOS!$D13882,nESPEC,DATOS!$E13882,nASIG,DATOS!$I13882,nEVAL,"EX")=0),0))))</f>
      </c>
      <c r="H13882">
        <f>IF(DATOS!$G13882&lt;&gt;"EX",0,--(COUNTIFS(nNIA,DATOS!$A13882,nCURSO,DATOS!$D13882,nESPEC,DATOS!$E13882,nASIG,DATOS!$I13882,nEVAL,"OR")=0))</f>
      </c>
      <c r="I13882">
        <f>IF(DATOS!$I13882="","",IFERROR(VLOOKUP(DATOS!$I13882,CONFIG_ASIGNATURAS!$B$2:$J$91,9,FALSE()),""))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IF(DATOS!$A13883="",0,IF(CONFIG_METADATA!$B$4&lt;&gt;"OR+EX",--(DATOS!$G13883=CONFIG_METADATA!$B$4),IF(DATOS!$G13883="EX",1,IF(DATOS!$G13883="OR",--(COUNTIFS(nNIA,DATOS!$A13883,nCURSO,DATOS!$D13883,nESPEC,DATOS!$E13883,nASIG,DATOS!$I13883,nEVAL,"EX")=0),0))))</f>
      </c>
      <c r="H13883">
        <f>IF(DATOS!$G13883&lt;&gt;"EX",0,--(COUNTIFS(nNIA,DATOS!$A13883,nCURSO,DATOS!$D13883,nESPEC,DATOS!$E13883,nASIG,DATOS!$I13883,nEVAL,"OR")=0))</f>
      </c>
      <c r="I13883">
        <f>IF(DATOS!$I13883="","",IFERROR(VLOOKUP(DATOS!$I13883,CONFIG_ASIGNATURAS!$B$2:$J$91,9,FALSE()),""))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IF(DATOS!$A13884="",0,IF(CONFIG_METADATA!$B$4&lt;&gt;"OR+EX",--(DATOS!$G13884=CONFIG_METADATA!$B$4),IF(DATOS!$G13884="EX",1,IF(DATOS!$G13884="OR",--(COUNTIFS(nNIA,DATOS!$A13884,nCURSO,DATOS!$D13884,nESPEC,DATOS!$E13884,nASIG,DATOS!$I13884,nEVAL,"EX")=0),0))))</f>
      </c>
      <c r="H13884">
        <f>IF(DATOS!$G13884&lt;&gt;"EX",0,--(COUNTIFS(nNIA,DATOS!$A13884,nCURSO,DATOS!$D13884,nESPEC,DATOS!$E13884,nASIG,DATOS!$I13884,nEVAL,"OR")=0))</f>
      </c>
      <c r="I13884">
        <f>IF(DATOS!$I13884="","",IFERROR(VLOOKUP(DATOS!$I13884,CONFIG_ASIGNATURAS!$B$2:$J$91,9,FALSE()),""))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IF(DATOS!$A13885="",0,IF(CONFIG_METADATA!$B$4&lt;&gt;"OR+EX",--(DATOS!$G13885=CONFIG_METADATA!$B$4),IF(DATOS!$G13885="EX",1,IF(DATOS!$G13885="OR",--(COUNTIFS(nNIA,DATOS!$A13885,nCURSO,DATOS!$D13885,nESPEC,DATOS!$E13885,nASIG,DATOS!$I13885,nEVAL,"EX")=0),0))))</f>
      </c>
      <c r="H13885">
        <f>IF(DATOS!$G13885&lt;&gt;"EX",0,--(COUNTIFS(nNIA,DATOS!$A13885,nCURSO,DATOS!$D13885,nESPEC,DATOS!$E13885,nASIG,DATOS!$I13885,nEVAL,"OR")=0))</f>
      </c>
      <c r="I13885">
        <f>IF(DATOS!$I13885="","",IFERROR(VLOOKUP(DATOS!$I13885,CONFIG_ASIGNATURAS!$B$2:$J$91,9,FALSE()),""))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IF(DATOS!$A13886="",0,IF(CONFIG_METADATA!$B$4&lt;&gt;"OR+EX",--(DATOS!$G13886=CONFIG_METADATA!$B$4),IF(DATOS!$G13886="EX",1,IF(DATOS!$G13886="OR",--(COUNTIFS(nNIA,DATOS!$A13886,nCURSO,DATOS!$D13886,nESPEC,DATOS!$E13886,nASIG,DATOS!$I13886,nEVAL,"EX")=0),0))))</f>
      </c>
      <c r="H13886">
        <f>IF(DATOS!$G13886&lt;&gt;"EX",0,--(COUNTIFS(nNIA,DATOS!$A13886,nCURSO,DATOS!$D13886,nESPEC,DATOS!$E13886,nASIG,DATOS!$I13886,nEVAL,"OR")=0))</f>
      </c>
      <c r="I13886">
        <f>IF(DATOS!$I13886="","",IFERROR(VLOOKUP(DATOS!$I13886,CONFIG_ASIGNATURAS!$B$2:$J$91,9,FALSE()),""))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IF(DATOS!$A13887="",0,IF(CONFIG_METADATA!$B$4&lt;&gt;"OR+EX",--(DATOS!$G13887=CONFIG_METADATA!$B$4),IF(DATOS!$G13887="EX",1,IF(DATOS!$G13887="OR",--(COUNTIFS(nNIA,DATOS!$A13887,nCURSO,DATOS!$D13887,nESPEC,DATOS!$E13887,nASIG,DATOS!$I13887,nEVAL,"EX")=0),0))))</f>
      </c>
      <c r="H13887">
        <f>IF(DATOS!$G13887&lt;&gt;"EX",0,--(COUNTIFS(nNIA,DATOS!$A13887,nCURSO,DATOS!$D13887,nESPEC,DATOS!$E13887,nASIG,DATOS!$I13887,nEVAL,"OR")=0))</f>
      </c>
      <c r="I13887">
        <f>IF(DATOS!$I13887="","",IFERROR(VLOOKUP(DATOS!$I13887,CONFIG_ASIGNATURAS!$B$2:$J$91,9,FALSE()),""))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IF(DATOS!$A13888="",0,IF(CONFIG_METADATA!$B$4&lt;&gt;"OR+EX",--(DATOS!$G13888=CONFIG_METADATA!$B$4),IF(DATOS!$G13888="EX",1,IF(DATOS!$G13888="OR",--(COUNTIFS(nNIA,DATOS!$A13888,nCURSO,DATOS!$D13888,nESPEC,DATOS!$E13888,nASIG,DATOS!$I13888,nEVAL,"EX")=0),0))))</f>
      </c>
      <c r="H13888">
        <f>IF(DATOS!$G13888&lt;&gt;"EX",0,--(COUNTIFS(nNIA,DATOS!$A13888,nCURSO,DATOS!$D13888,nESPEC,DATOS!$E13888,nASIG,DATOS!$I13888,nEVAL,"OR")=0))</f>
      </c>
      <c r="I13888">
        <f>IF(DATOS!$I13888="","",IFERROR(VLOOKUP(DATOS!$I13888,CONFIG_ASIGNATURAS!$B$2:$J$91,9,FALSE()),""))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IF(DATOS!$A13889="",0,IF(CONFIG_METADATA!$B$4&lt;&gt;"OR+EX",--(DATOS!$G13889=CONFIG_METADATA!$B$4),IF(DATOS!$G13889="EX",1,IF(DATOS!$G13889="OR",--(COUNTIFS(nNIA,DATOS!$A13889,nCURSO,DATOS!$D13889,nESPEC,DATOS!$E13889,nASIG,DATOS!$I13889,nEVAL,"EX")=0),0))))</f>
      </c>
      <c r="H13889">
        <f>IF(DATOS!$G13889&lt;&gt;"EX",0,--(COUNTIFS(nNIA,DATOS!$A13889,nCURSO,DATOS!$D13889,nESPEC,DATOS!$E13889,nASIG,DATOS!$I13889,nEVAL,"OR")=0))</f>
      </c>
      <c r="I13889">
        <f>IF(DATOS!$I13889="","",IFERROR(VLOOKUP(DATOS!$I13889,CONFIG_ASIGNATURAS!$B$2:$J$91,9,FALSE()),""))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IF(DATOS!$A13890="",0,IF(CONFIG_METADATA!$B$4&lt;&gt;"OR+EX",--(DATOS!$G13890=CONFIG_METADATA!$B$4),IF(DATOS!$G13890="EX",1,IF(DATOS!$G13890="OR",--(COUNTIFS(nNIA,DATOS!$A13890,nCURSO,DATOS!$D13890,nESPEC,DATOS!$E13890,nASIG,DATOS!$I13890,nEVAL,"EX")=0),0))))</f>
      </c>
      <c r="H13890">
        <f>IF(DATOS!$G13890&lt;&gt;"EX",0,--(COUNTIFS(nNIA,DATOS!$A13890,nCURSO,DATOS!$D13890,nESPEC,DATOS!$E13890,nASIG,DATOS!$I13890,nEVAL,"OR")=0))</f>
      </c>
      <c r="I13890">
        <f>IF(DATOS!$I13890="","",IFERROR(VLOOKUP(DATOS!$I13890,CONFIG_ASIGNATURAS!$B$2:$J$91,9,FALSE()),""))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IF(DATOS!$A13891="",0,IF(CONFIG_METADATA!$B$4&lt;&gt;"OR+EX",--(DATOS!$G13891=CONFIG_METADATA!$B$4),IF(DATOS!$G13891="EX",1,IF(DATOS!$G13891="OR",--(COUNTIFS(nNIA,DATOS!$A13891,nCURSO,DATOS!$D13891,nESPEC,DATOS!$E13891,nASIG,DATOS!$I13891,nEVAL,"EX")=0),0))))</f>
      </c>
      <c r="H13891">
        <f>IF(DATOS!$G13891&lt;&gt;"EX",0,--(COUNTIFS(nNIA,DATOS!$A13891,nCURSO,DATOS!$D13891,nESPEC,DATOS!$E13891,nASIG,DATOS!$I13891,nEVAL,"OR")=0))</f>
      </c>
      <c r="I13891">
        <f>IF(DATOS!$I13891="","",IFERROR(VLOOKUP(DATOS!$I13891,CONFIG_ASIGNATURAS!$B$2:$J$91,9,FALSE()),""))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IF(DATOS!$A13892="",0,IF(CONFIG_METADATA!$B$4&lt;&gt;"OR+EX",--(DATOS!$G13892=CONFIG_METADATA!$B$4),IF(DATOS!$G13892="EX",1,IF(DATOS!$G13892="OR",--(COUNTIFS(nNIA,DATOS!$A13892,nCURSO,DATOS!$D13892,nESPEC,DATOS!$E13892,nASIG,DATOS!$I13892,nEVAL,"EX")=0),0))))</f>
      </c>
      <c r="H13892">
        <f>IF(DATOS!$G13892&lt;&gt;"EX",0,--(COUNTIFS(nNIA,DATOS!$A13892,nCURSO,DATOS!$D13892,nESPEC,DATOS!$E13892,nASIG,DATOS!$I13892,nEVAL,"OR")=0))</f>
      </c>
      <c r="I13892">
        <f>IF(DATOS!$I13892="","",IFERROR(VLOOKUP(DATOS!$I13892,CONFIG_ASIGNATURAS!$B$2:$J$91,9,FALSE()),""))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IF(DATOS!$A13893="",0,IF(CONFIG_METADATA!$B$4&lt;&gt;"OR+EX",--(DATOS!$G13893=CONFIG_METADATA!$B$4),IF(DATOS!$G13893="EX",1,IF(DATOS!$G13893="OR",--(COUNTIFS(nNIA,DATOS!$A13893,nCURSO,DATOS!$D13893,nESPEC,DATOS!$E13893,nASIG,DATOS!$I13893,nEVAL,"EX")=0),0))))</f>
      </c>
      <c r="H13893">
        <f>IF(DATOS!$G13893&lt;&gt;"EX",0,--(COUNTIFS(nNIA,DATOS!$A13893,nCURSO,DATOS!$D13893,nESPEC,DATOS!$E13893,nASIG,DATOS!$I13893,nEVAL,"OR")=0))</f>
      </c>
      <c r="I13893">
        <f>IF(DATOS!$I13893="","",IFERROR(VLOOKUP(DATOS!$I13893,CONFIG_ASIGNATURAS!$B$2:$J$91,9,FALSE()),""))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IF(DATOS!$A13894="",0,IF(CONFIG_METADATA!$B$4&lt;&gt;"OR+EX",--(DATOS!$G13894=CONFIG_METADATA!$B$4),IF(DATOS!$G13894="EX",1,IF(DATOS!$G13894="OR",--(COUNTIFS(nNIA,DATOS!$A13894,nCURSO,DATOS!$D13894,nESPEC,DATOS!$E13894,nASIG,DATOS!$I13894,nEVAL,"EX")=0),0))))</f>
      </c>
      <c r="H13894">
        <f>IF(DATOS!$G13894&lt;&gt;"EX",0,--(COUNTIFS(nNIA,DATOS!$A13894,nCURSO,DATOS!$D13894,nESPEC,DATOS!$E13894,nASIG,DATOS!$I13894,nEVAL,"OR")=0))</f>
      </c>
      <c r="I13894">
        <f>IF(DATOS!$I13894="","",IFERROR(VLOOKUP(DATOS!$I13894,CONFIG_ASIGNATURAS!$B$2:$J$91,9,FALSE()),""))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IF(DATOS!$A13895="",0,IF(CONFIG_METADATA!$B$4&lt;&gt;"OR+EX",--(DATOS!$G13895=CONFIG_METADATA!$B$4),IF(DATOS!$G13895="EX",1,IF(DATOS!$G13895="OR",--(COUNTIFS(nNIA,DATOS!$A13895,nCURSO,DATOS!$D13895,nESPEC,DATOS!$E13895,nASIG,DATOS!$I13895,nEVAL,"EX")=0),0))))</f>
      </c>
      <c r="H13895">
        <f>IF(DATOS!$G13895&lt;&gt;"EX",0,--(COUNTIFS(nNIA,DATOS!$A13895,nCURSO,DATOS!$D13895,nESPEC,DATOS!$E13895,nASIG,DATOS!$I13895,nEVAL,"OR")=0))</f>
      </c>
      <c r="I13895">
        <f>IF(DATOS!$I13895="","",IFERROR(VLOOKUP(DATOS!$I13895,CONFIG_ASIGNATURAS!$B$2:$J$91,9,FALSE()),""))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IF(DATOS!$A13896="",0,IF(CONFIG_METADATA!$B$4&lt;&gt;"OR+EX",--(DATOS!$G13896=CONFIG_METADATA!$B$4),IF(DATOS!$G13896="EX",1,IF(DATOS!$G13896="OR",--(COUNTIFS(nNIA,DATOS!$A13896,nCURSO,DATOS!$D13896,nESPEC,DATOS!$E13896,nASIG,DATOS!$I13896,nEVAL,"EX")=0),0))))</f>
      </c>
      <c r="H13896">
        <f>IF(DATOS!$G13896&lt;&gt;"EX",0,--(COUNTIFS(nNIA,DATOS!$A13896,nCURSO,DATOS!$D13896,nESPEC,DATOS!$E13896,nASIG,DATOS!$I13896,nEVAL,"OR")=0))</f>
      </c>
      <c r="I13896">
        <f>IF(DATOS!$I13896="","",IFERROR(VLOOKUP(DATOS!$I13896,CONFIG_ASIGNATURAS!$B$2:$J$91,9,FALSE()),""))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IF(DATOS!$A13897="",0,IF(CONFIG_METADATA!$B$4&lt;&gt;"OR+EX",--(DATOS!$G13897=CONFIG_METADATA!$B$4),IF(DATOS!$G13897="EX",1,IF(DATOS!$G13897="OR",--(COUNTIFS(nNIA,DATOS!$A13897,nCURSO,DATOS!$D13897,nESPEC,DATOS!$E13897,nASIG,DATOS!$I13897,nEVAL,"EX")=0),0))))</f>
      </c>
      <c r="H13897">
        <f>IF(DATOS!$G13897&lt;&gt;"EX",0,--(COUNTIFS(nNIA,DATOS!$A13897,nCURSO,DATOS!$D13897,nESPEC,DATOS!$E13897,nASIG,DATOS!$I13897,nEVAL,"OR")=0))</f>
      </c>
      <c r="I13897">
        <f>IF(DATOS!$I13897="","",IFERROR(VLOOKUP(DATOS!$I13897,CONFIG_ASIGNATURAS!$B$2:$J$91,9,FALSE()),""))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IF(DATOS!$A13898="",0,IF(CONFIG_METADATA!$B$4&lt;&gt;"OR+EX",--(DATOS!$G13898=CONFIG_METADATA!$B$4),IF(DATOS!$G13898="EX",1,IF(DATOS!$G13898="OR",--(COUNTIFS(nNIA,DATOS!$A13898,nCURSO,DATOS!$D13898,nESPEC,DATOS!$E13898,nASIG,DATOS!$I13898,nEVAL,"EX")=0),0))))</f>
      </c>
      <c r="H13898">
        <f>IF(DATOS!$G13898&lt;&gt;"EX",0,--(COUNTIFS(nNIA,DATOS!$A13898,nCURSO,DATOS!$D13898,nESPEC,DATOS!$E13898,nASIG,DATOS!$I13898,nEVAL,"OR")=0))</f>
      </c>
      <c r="I13898">
        <f>IF(DATOS!$I13898="","",IFERROR(VLOOKUP(DATOS!$I13898,CONFIG_ASIGNATURAS!$B$2:$J$91,9,FALSE()),""))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IF(DATOS!$A13899="",0,IF(CONFIG_METADATA!$B$4&lt;&gt;"OR+EX",--(DATOS!$G13899=CONFIG_METADATA!$B$4),IF(DATOS!$G13899="EX",1,IF(DATOS!$G13899="OR",--(COUNTIFS(nNIA,DATOS!$A13899,nCURSO,DATOS!$D13899,nESPEC,DATOS!$E13899,nASIG,DATOS!$I13899,nEVAL,"EX")=0),0))))</f>
      </c>
      <c r="H13899">
        <f>IF(DATOS!$G13899&lt;&gt;"EX",0,--(COUNTIFS(nNIA,DATOS!$A13899,nCURSO,DATOS!$D13899,nESPEC,DATOS!$E13899,nASIG,DATOS!$I13899,nEVAL,"OR")=0))</f>
      </c>
      <c r="I13899">
        <f>IF(DATOS!$I13899="","",IFERROR(VLOOKUP(DATOS!$I13899,CONFIG_ASIGNATURAS!$B$2:$J$91,9,FALSE()),""))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IF(DATOS!$A13900="",0,IF(CONFIG_METADATA!$B$4&lt;&gt;"OR+EX",--(DATOS!$G13900=CONFIG_METADATA!$B$4),IF(DATOS!$G13900="EX",1,IF(DATOS!$G13900="OR",--(COUNTIFS(nNIA,DATOS!$A13900,nCURSO,DATOS!$D13900,nESPEC,DATOS!$E13900,nASIG,DATOS!$I13900,nEVAL,"EX")=0),0))))</f>
      </c>
      <c r="H13900">
        <f>IF(DATOS!$G13900&lt;&gt;"EX",0,--(COUNTIFS(nNIA,DATOS!$A13900,nCURSO,DATOS!$D13900,nESPEC,DATOS!$E13900,nASIG,DATOS!$I13900,nEVAL,"OR")=0))</f>
      </c>
      <c r="I13900">
        <f>IF(DATOS!$I13900="","",IFERROR(VLOOKUP(DATOS!$I13900,CONFIG_ASIGNATURAS!$B$2:$J$91,9,FALSE()),""))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IF(DATOS!$A13901="",0,IF(CONFIG_METADATA!$B$4&lt;&gt;"OR+EX",--(DATOS!$G13901=CONFIG_METADATA!$B$4),IF(DATOS!$G13901="EX",1,IF(DATOS!$G13901="OR",--(COUNTIFS(nNIA,DATOS!$A13901,nCURSO,DATOS!$D13901,nESPEC,DATOS!$E13901,nASIG,DATOS!$I13901,nEVAL,"EX")=0),0))))</f>
      </c>
      <c r="H13901">
        <f>IF(DATOS!$G13901&lt;&gt;"EX",0,--(COUNTIFS(nNIA,DATOS!$A13901,nCURSO,DATOS!$D13901,nESPEC,DATOS!$E13901,nASIG,DATOS!$I13901,nEVAL,"OR")=0))</f>
      </c>
      <c r="I13901">
        <f>IF(DATOS!$I13901="","",IFERROR(VLOOKUP(DATOS!$I13901,CONFIG_ASIGNATURAS!$B$2:$J$91,9,FALSE()),""))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IF(DATOS!$A13902="",0,IF(CONFIG_METADATA!$B$4&lt;&gt;"OR+EX",--(DATOS!$G13902=CONFIG_METADATA!$B$4),IF(DATOS!$G13902="EX",1,IF(DATOS!$G13902="OR",--(COUNTIFS(nNIA,DATOS!$A13902,nCURSO,DATOS!$D13902,nESPEC,DATOS!$E13902,nASIG,DATOS!$I13902,nEVAL,"EX")=0),0))))</f>
      </c>
      <c r="H13902">
        <f>IF(DATOS!$G13902&lt;&gt;"EX",0,--(COUNTIFS(nNIA,DATOS!$A13902,nCURSO,DATOS!$D13902,nESPEC,DATOS!$E13902,nASIG,DATOS!$I13902,nEVAL,"OR")=0))</f>
      </c>
      <c r="I13902">
        <f>IF(DATOS!$I13902="","",IFERROR(VLOOKUP(DATOS!$I13902,CONFIG_ASIGNATURAS!$B$2:$J$91,9,FALSE()),""))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IF(DATOS!$A13903="",0,IF(CONFIG_METADATA!$B$4&lt;&gt;"OR+EX",--(DATOS!$G13903=CONFIG_METADATA!$B$4),IF(DATOS!$G13903="EX",1,IF(DATOS!$G13903="OR",--(COUNTIFS(nNIA,DATOS!$A13903,nCURSO,DATOS!$D13903,nESPEC,DATOS!$E13903,nASIG,DATOS!$I13903,nEVAL,"EX")=0),0))))</f>
      </c>
      <c r="H13903">
        <f>IF(DATOS!$G13903&lt;&gt;"EX",0,--(COUNTIFS(nNIA,DATOS!$A13903,nCURSO,DATOS!$D13903,nESPEC,DATOS!$E13903,nASIG,DATOS!$I13903,nEVAL,"OR")=0))</f>
      </c>
      <c r="I13903">
        <f>IF(DATOS!$I13903="","",IFERROR(VLOOKUP(DATOS!$I13903,CONFIG_ASIGNATURAS!$B$2:$J$91,9,FALSE()),""))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IF(DATOS!$A13904="",0,IF(CONFIG_METADATA!$B$4&lt;&gt;"OR+EX",--(DATOS!$G13904=CONFIG_METADATA!$B$4),IF(DATOS!$G13904="EX",1,IF(DATOS!$G13904="OR",--(COUNTIFS(nNIA,DATOS!$A13904,nCURSO,DATOS!$D13904,nESPEC,DATOS!$E13904,nASIG,DATOS!$I13904,nEVAL,"EX")=0),0))))</f>
      </c>
      <c r="H13904">
        <f>IF(DATOS!$G13904&lt;&gt;"EX",0,--(COUNTIFS(nNIA,DATOS!$A13904,nCURSO,DATOS!$D13904,nESPEC,DATOS!$E13904,nASIG,DATOS!$I13904,nEVAL,"OR")=0))</f>
      </c>
      <c r="I13904">
        <f>IF(DATOS!$I13904="","",IFERROR(VLOOKUP(DATOS!$I13904,CONFIG_ASIGNATURAS!$B$2:$J$91,9,FALSE()),""))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IF(DATOS!$A13905="",0,IF(CONFIG_METADATA!$B$4&lt;&gt;"OR+EX",--(DATOS!$G13905=CONFIG_METADATA!$B$4),IF(DATOS!$G13905="EX",1,IF(DATOS!$G13905="OR",--(COUNTIFS(nNIA,DATOS!$A13905,nCURSO,DATOS!$D13905,nESPEC,DATOS!$E13905,nASIG,DATOS!$I13905,nEVAL,"EX")=0),0))))</f>
      </c>
      <c r="H13905">
        <f>IF(DATOS!$G13905&lt;&gt;"EX",0,--(COUNTIFS(nNIA,DATOS!$A13905,nCURSO,DATOS!$D13905,nESPEC,DATOS!$E13905,nASIG,DATOS!$I13905,nEVAL,"OR")=0))</f>
      </c>
      <c r="I13905">
        <f>IF(DATOS!$I13905="","",IFERROR(VLOOKUP(DATOS!$I13905,CONFIG_ASIGNATURAS!$B$2:$J$91,9,FALSE()),""))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IF(DATOS!$A13906="",0,IF(CONFIG_METADATA!$B$4&lt;&gt;"OR+EX",--(DATOS!$G13906=CONFIG_METADATA!$B$4),IF(DATOS!$G13906="EX",1,IF(DATOS!$G13906="OR",--(COUNTIFS(nNIA,DATOS!$A13906,nCURSO,DATOS!$D13906,nESPEC,DATOS!$E13906,nASIG,DATOS!$I13906,nEVAL,"EX")=0),0))))</f>
      </c>
      <c r="H13906">
        <f>IF(DATOS!$G13906&lt;&gt;"EX",0,--(COUNTIFS(nNIA,DATOS!$A13906,nCURSO,DATOS!$D13906,nESPEC,DATOS!$E13906,nASIG,DATOS!$I13906,nEVAL,"OR")=0))</f>
      </c>
      <c r="I13906">
        <f>IF(DATOS!$I13906="","",IFERROR(VLOOKUP(DATOS!$I13906,CONFIG_ASIGNATURAS!$B$2:$J$91,9,FALSE()),""))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IF(DATOS!$A13907="",0,IF(CONFIG_METADATA!$B$4&lt;&gt;"OR+EX",--(DATOS!$G13907=CONFIG_METADATA!$B$4),IF(DATOS!$G13907="EX",1,IF(DATOS!$G13907="OR",--(COUNTIFS(nNIA,DATOS!$A13907,nCURSO,DATOS!$D13907,nESPEC,DATOS!$E13907,nASIG,DATOS!$I13907,nEVAL,"EX")=0),0))))</f>
      </c>
      <c r="H13907">
        <f>IF(DATOS!$G13907&lt;&gt;"EX",0,--(COUNTIFS(nNIA,DATOS!$A13907,nCURSO,DATOS!$D13907,nESPEC,DATOS!$E13907,nASIG,DATOS!$I13907,nEVAL,"OR")=0))</f>
      </c>
      <c r="I13907">
        <f>IF(DATOS!$I13907="","",IFERROR(VLOOKUP(DATOS!$I13907,CONFIG_ASIGNATURAS!$B$2:$J$91,9,FALSE()),""))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IF(DATOS!$A13908="",0,IF(CONFIG_METADATA!$B$4&lt;&gt;"OR+EX",--(DATOS!$G13908=CONFIG_METADATA!$B$4),IF(DATOS!$G13908="EX",1,IF(DATOS!$G13908="OR",--(COUNTIFS(nNIA,DATOS!$A13908,nCURSO,DATOS!$D13908,nESPEC,DATOS!$E13908,nASIG,DATOS!$I13908,nEVAL,"EX")=0),0))))</f>
      </c>
      <c r="H13908">
        <f>IF(DATOS!$G13908&lt;&gt;"EX",0,--(COUNTIFS(nNIA,DATOS!$A13908,nCURSO,DATOS!$D13908,nESPEC,DATOS!$E13908,nASIG,DATOS!$I13908,nEVAL,"OR")=0))</f>
      </c>
      <c r="I13908">
        <f>IF(DATOS!$I13908="","",IFERROR(VLOOKUP(DATOS!$I13908,CONFIG_ASIGNATURAS!$B$2:$J$91,9,FALSE()),""))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IF(DATOS!$A13909="",0,IF(CONFIG_METADATA!$B$4&lt;&gt;"OR+EX",--(DATOS!$G13909=CONFIG_METADATA!$B$4),IF(DATOS!$G13909="EX",1,IF(DATOS!$G13909="OR",--(COUNTIFS(nNIA,DATOS!$A13909,nCURSO,DATOS!$D13909,nESPEC,DATOS!$E13909,nASIG,DATOS!$I13909,nEVAL,"EX")=0),0))))</f>
      </c>
      <c r="H13909">
        <f>IF(DATOS!$G13909&lt;&gt;"EX",0,--(COUNTIFS(nNIA,DATOS!$A13909,nCURSO,DATOS!$D13909,nESPEC,DATOS!$E13909,nASIG,DATOS!$I13909,nEVAL,"OR")=0))</f>
      </c>
      <c r="I13909">
        <f>IF(DATOS!$I13909="","",IFERROR(VLOOKUP(DATOS!$I13909,CONFIG_ASIGNATURAS!$B$2:$J$91,9,FALSE()),""))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IF(DATOS!$A13910="",0,IF(CONFIG_METADATA!$B$4&lt;&gt;"OR+EX",--(DATOS!$G13910=CONFIG_METADATA!$B$4),IF(DATOS!$G13910="EX",1,IF(DATOS!$G13910="OR",--(COUNTIFS(nNIA,DATOS!$A13910,nCURSO,DATOS!$D13910,nESPEC,DATOS!$E13910,nASIG,DATOS!$I13910,nEVAL,"EX")=0),0))))</f>
      </c>
      <c r="H13910">
        <f>IF(DATOS!$G13910&lt;&gt;"EX",0,--(COUNTIFS(nNIA,DATOS!$A13910,nCURSO,DATOS!$D13910,nESPEC,DATOS!$E13910,nASIG,DATOS!$I13910,nEVAL,"OR")=0))</f>
      </c>
      <c r="I13910">
        <f>IF(DATOS!$I13910="","",IFERROR(VLOOKUP(DATOS!$I13910,CONFIG_ASIGNATURAS!$B$2:$J$91,9,FALSE()),""))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IF(DATOS!$A13911="",0,IF(CONFIG_METADATA!$B$4&lt;&gt;"OR+EX",--(DATOS!$G13911=CONFIG_METADATA!$B$4),IF(DATOS!$G13911="EX",1,IF(DATOS!$G13911="OR",--(COUNTIFS(nNIA,DATOS!$A13911,nCURSO,DATOS!$D13911,nESPEC,DATOS!$E13911,nASIG,DATOS!$I13911,nEVAL,"EX")=0),0))))</f>
      </c>
      <c r="H13911">
        <f>IF(DATOS!$G13911&lt;&gt;"EX",0,--(COUNTIFS(nNIA,DATOS!$A13911,nCURSO,DATOS!$D13911,nESPEC,DATOS!$E13911,nASIG,DATOS!$I13911,nEVAL,"OR")=0))</f>
      </c>
      <c r="I13911">
        <f>IF(DATOS!$I13911="","",IFERROR(VLOOKUP(DATOS!$I13911,CONFIG_ASIGNATURAS!$B$2:$J$91,9,FALSE()),""))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IF(DATOS!$A13912="",0,IF(CONFIG_METADATA!$B$4&lt;&gt;"OR+EX",--(DATOS!$G13912=CONFIG_METADATA!$B$4),IF(DATOS!$G13912="EX",1,IF(DATOS!$G13912="OR",--(COUNTIFS(nNIA,DATOS!$A13912,nCURSO,DATOS!$D13912,nESPEC,DATOS!$E13912,nASIG,DATOS!$I13912,nEVAL,"EX")=0),0))))</f>
      </c>
      <c r="H13912">
        <f>IF(DATOS!$G13912&lt;&gt;"EX",0,--(COUNTIFS(nNIA,DATOS!$A13912,nCURSO,DATOS!$D13912,nESPEC,DATOS!$E13912,nASIG,DATOS!$I13912,nEVAL,"OR")=0))</f>
      </c>
      <c r="I13912">
        <f>IF(DATOS!$I13912="","",IFERROR(VLOOKUP(DATOS!$I13912,CONFIG_ASIGNATURAS!$B$2:$J$91,9,FALSE()),""))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IF(DATOS!$A13913="",0,IF(CONFIG_METADATA!$B$4&lt;&gt;"OR+EX",--(DATOS!$G13913=CONFIG_METADATA!$B$4),IF(DATOS!$G13913="EX",1,IF(DATOS!$G13913="OR",--(COUNTIFS(nNIA,DATOS!$A13913,nCURSO,DATOS!$D13913,nESPEC,DATOS!$E13913,nASIG,DATOS!$I13913,nEVAL,"EX")=0),0))))</f>
      </c>
      <c r="H13913">
        <f>IF(DATOS!$G13913&lt;&gt;"EX",0,--(COUNTIFS(nNIA,DATOS!$A13913,nCURSO,DATOS!$D13913,nESPEC,DATOS!$E13913,nASIG,DATOS!$I13913,nEVAL,"OR")=0))</f>
      </c>
      <c r="I13913">
        <f>IF(DATOS!$I13913="","",IFERROR(VLOOKUP(DATOS!$I13913,CONFIG_ASIGNATURAS!$B$2:$J$91,9,FALSE()),""))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IF(DATOS!$A13914="",0,IF(CONFIG_METADATA!$B$4&lt;&gt;"OR+EX",--(DATOS!$G13914=CONFIG_METADATA!$B$4),IF(DATOS!$G13914="EX",1,IF(DATOS!$G13914="OR",--(COUNTIFS(nNIA,DATOS!$A13914,nCURSO,DATOS!$D13914,nESPEC,DATOS!$E13914,nASIG,DATOS!$I13914,nEVAL,"EX")=0),0))))</f>
      </c>
      <c r="H13914">
        <f>IF(DATOS!$G13914&lt;&gt;"EX",0,--(COUNTIFS(nNIA,DATOS!$A13914,nCURSO,DATOS!$D13914,nESPEC,DATOS!$E13914,nASIG,DATOS!$I13914,nEVAL,"OR")=0))</f>
      </c>
      <c r="I13914">
        <f>IF(DATOS!$I13914="","",IFERROR(VLOOKUP(DATOS!$I13914,CONFIG_ASIGNATURAS!$B$2:$J$91,9,FALSE()),""))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IF(DATOS!$A13915="",0,IF(CONFIG_METADATA!$B$4&lt;&gt;"OR+EX",--(DATOS!$G13915=CONFIG_METADATA!$B$4),IF(DATOS!$G13915="EX",1,IF(DATOS!$G13915="OR",--(COUNTIFS(nNIA,DATOS!$A13915,nCURSO,DATOS!$D13915,nESPEC,DATOS!$E13915,nASIG,DATOS!$I13915,nEVAL,"EX")=0),0))))</f>
      </c>
      <c r="H13915">
        <f>IF(DATOS!$G13915&lt;&gt;"EX",0,--(COUNTIFS(nNIA,DATOS!$A13915,nCURSO,DATOS!$D13915,nESPEC,DATOS!$E13915,nASIG,DATOS!$I13915,nEVAL,"OR")=0))</f>
      </c>
      <c r="I13915">
        <f>IF(DATOS!$I13915="","",IFERROR(VLOOKUP(DATOS!$I13915,CONFIG_ASIGNATURAS!$B$2:$J$91,9,FALSE()),""))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IF(DATOS!$A13916="",0,IF(CONFIG_METADATA!$B$4&lt;&gt;"OR+EX",--(DATOS!$G13916=CONFIG_METADATA!$B$4),IF(DATOS!$G13916="EX",1,IF(DATOS!$G13916="OR",--(COUNTIFS(nNIA,DATOS!$A13916,nCURSO,DATOS!$D13916,nESPEC,DATOS!$E13916,nASIG,DATOS!$I13916,nEVAL,"EX")=0),0))))</f>
      </c>
      <c r="H13916">
        <f>IF(DATOS!$G13916&lt;&gt;"EX",0,--(COUNTIFS(nNIA,DATOS!$A13916,nCURSO,DATOS!$D13916,nESPEC,DATOS!$E13916,nASIG,DATOS!$I13916,nEVAL,"OR")=0))</f>
      </c>
      <c r="I13916">
        <f>IF(DATOS!$I13916="","",IFERROR(VLOOKUP(DATOS!$I13916,CONFIG_ASIGNATURAS!$B$2:$J$91,9,FALSE()),""))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IF(DATOS!$A13917="",0,IF(CONFIG_METADATA!$B$4&lt;&gt;"OR+EX",--(DATOS!$G13917=CONFIG_METADATA!$B$4),IF(DATOS!$G13917="EX",1,IF(DATOS!$G13917="OR",--(COUNTIFS(nNIA,DATOS!$A13917,nCURSO,DATOS!$D13917,nESPEC,DATOS!$E13917,nASIG,DATOS!$I13917,nEVAL,"EX")=0),0))))</f>
      </c>
      <c r="H13917">
        <f>IF(DATOS!$G13917&lt;&gt;"EX",0,--(COUNTIFS(nNIA,DATOS!$A13917,nCURSO,DATOS!$D13917,nESPEC,DATOS!$E13917,nASIG,DATOS!$I13917,nEVAL,"OR")=0))</f>
      </c>
      <c r="I13917">
        <f>IF(DATOS!$I13917="","",IFERROR(VLOOKUP(DATOS!$I13917,CONFIG_ASIGNATURAS!$B$2:$J$91,9,FALSE()),""))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IF(DATOS!$A13918="",0,IF(CONFIG_METADATA!$B$4&lt;&gt;"OR+EX",--(DATOS!$G13918=CONFIG_METADATA!$B$4),IF(DATOS!$G13918="EX",1,IF(DATOS!$G13918="OR",--(COUNTIFS(nNIA,DATOS!$A13918,nCURSO,DATOS!$D13918,nESPEC,DATOS!$E13918,nASIG,DATOS!$I13918,nEVAL,"EX")=0),0))))</f>
      </c>
      <c r="H13918">
        <f>IF(DATOS!$G13918&lt;&gt;"EX",0,--(COUNTIFS(nNIA,DATOS!$A13918,nCURSO,DATOS!$D13918,nESPEC,DATOS!$E13918,nASIG,DATOS!$I13918,nEVAL,"OR")=0))</f>
      </c>
      <c r="I13918">
        <f>IF(DATOS!$I13918="","",IFERROR(VLOOKUP(DATOS!$I13918,CONFIG_ASIGNATURAS!$B$2:$J$91,9,FALSE()),""))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IF(DATOS!$A13919="",0,IF(CONFIG_METADATA!$B$4&lt;&gt;"OR+EX",--(DATOS!$G13919=CONFIG_METADATA!$B$4),IF(DATOS!$G13919="EX",1,IF(DATOS!$G13919="OR",--(COUNTIFS(nNIA,DATOS!$A13919,nCURSO,DATOS!$D13919,nESPEC,DATOS!$E13919,nASIG,DATOS!$I13919,nEVAL,"EX")=0),0))))</f>
      </c>
      <c r="H13919">
        <f>IF(DATOS!$G13919&lt;&gt;"EX",0,--(COUNTIFS(nNIA,DATOS!$A13919,nCURSO,DATOS!$D13919,nESPEC,DATOS!$E13919,nASIG,DATOS!$I13919,nEVAL,"OR")=0))</f>
      </c>
      <c r="I13919">
        <f>IF(DATOS!$I13919="","",IFERROR(VLOOKUP(DATOS!$I13919,CONFIG_ASIGNATURAS!$B$2:$J$91,9,FALSE()),""))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IF(DATOS!$A13920="",0,IF(CONFIG_METADATA!$B$4&lt;&gt;"OR+EX",--(DATOS!$G13920=CONFIG_METADATA!$B$4),IF(DATOS!$G13920="EX",1,IF(DATOS!$G13920="OR",--(COUNTIFS(nNIA,DATOS!$A13920,nCURSO,DATOS!$D13920,nESPEC,DATOS!$E13920,nASIG,DATOS!$I13920,nEVAL,"EX")=0),0))))</f>
      </c>
      <c r="H13920">
        <f>IF(DATOS!$G13920&lt;&gt;"EX",0,--(COUNTIFS(nNIA,DATOS!$A13920,nCURSO,DATOS!$D13920,nESPEC,DATOS!$E13920,nASIG,DATOS!$I13920,nEVAL,"OR")=0))</f>
      </c>
      <c r="I13920">
        <f>IF(DATOS!$I13920="","",IFERROR(VLOOKUP(DATOS!$I13920,CONFIG_ASIGNATURAS!$B$2:$J$91,9,FALSE()),""))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IF(DATOS!$A13921="",0,IF(CONFIG_METADATA!$B$4&lt;&gt;"OR+EX",--(DATOS!$G13921=CONFIG_METADATA!$B$4),IF(DATOS!$G13921="EX",1,IF(DATOS!$G13921="OR",--(COUNTIFS(nNIA,DATOS!$A13921,nCURSO,DATOS!$D13921,nESPEC,DATOS!$E13921,nASIG,DATOS!$I13921,nEVAL,"EX")=0),0))))</f>
      </c>
      <c r="H13921">
        <f>IF(DATOS!$G13921&lt;&gt;"EX",0,--(COUNTIFS(nNIA,DATOS!$A13921,nCURSO,DATOS!$D13921,nESPEC,DATOS!$E13921,nASIG,DATOS!$I13921,nEVAL,"OR")=0))</f>
      </c>
      <c r="I13921">
        <f>IF(DATOS!$I13921="","",IFERROR(VLOOKUP(DATOS!$I13921,CONFIG_ASIGNATURAS!$B$2:$J$91,9,FALSE()),""))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IF(DATOS!$A13922="",0,IF(CONFIG_METADATA!$B$4&lt;&gt;"OR+EX",--(DATOS!$G13922=CONFIG_METADATA!$B$4),IF(DATOS!$G13922="EX",1,IF(DATOS!$G13922="OR",--(COUNTIFS(nNIA,DATOS!$A13922,nCURSO,DATOS!$D13922,nESPEC,DATOS!$E13922,nASIG,DATOS!$I13922,nEVAL,"EX")=0),0))))</f>
      </c>
      <c r="H13922">
        <f>IF(DATOS!$G13922&lt;&gt;"EX",0,--(COUNTIFS(nNIA,DATOS!$A13922,nCURSO,DATOS!$D13922,nESPEC,DATOS!$E13922,nASIG,DATOS!$I13922,nEVAL,"OR")=0))</f>
      </c>
      <c r="I13922">
        <f>IF(DATOS!$I13922="","",IFERROR(VLOOKUP(DATOS!$I13922,CONFIG_ASIGNATURAS!$B$2:$J$91,9,FALSE()),""))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IF(DATOS!$A13923="",0,IF(CONFIG_METADATA!$B$4&lt;&gt;"OR+EX",--(DATOS!$G13923=CONFIG_METADATA!$B$4),IF(DATOS!$G13923="EX",1,IF(DATOS!$G13923="OR",--(COUNTIFS(nNIA,DATOS!$A13923,nCURSO,DATOS!$D13923,nESPEC,DATOS!$E13923,nASIG,DATOS!$I13923,nEVAL,"EX")=0),0))))</f>
      </c>
      <c r="H13923">
        <f>IF(DATOS!$G13923&lt;&gt;"EX",0,--(COUNTIFS(nNIA,DATOS!$A13923,nCURSO,DATOS!$D13923,nESPEC,DATOS!$E13923,nASIG,DATOS!$I13923,nEVAL,"OR")=0))</f>
      </c>
      <c r="I13923">
        <f>IF(DATOS!$I13923="","",IFERROR(VLOOKUP(DATOS!$I13923,CONFIG_ASIGNATURAS!$B$2:$J$91,9,FALSE()),""))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IF(DATOS!$A13924="",0,IF(CONFIG_METADATA!$B$4&lt;&gt;"OR+EX",--(DATOS!$G13924=CONFIG_METADATA!$B$4),IF(DATOS!$G13924="EX",1,IF(DATOS!$G13924="OR",--(COUNTIFS(nNIA,DATOS!$A13924,nCURSO,DATOS!$D13924,nESPEC,DATOS!$E13924,nASIG,DATOS!$I13924,nEVAL,"EX")=0),0))))</f>
      </c>
      <c r="H13924">
        <f>IF(DATOS!$G13924&lt;&gt;"EX",0,--(COUNTIFS(nNIA,DATOS!$A13924,nCURSO,DATOS!$D13924,nESPEC,DATOS!$E13924,nASIG,DATOS!$I13924,nEVAL,"OR")=0))</f>
      </c>
      <c r="I13924">
        <f>IF(DATOS!$I13924="","",IFERROR(VLOOKUP(DATOS!$I13924,CONFIG_ASIGNATURAS!$B$2:$J$91,9,FALSE()),""))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IF(DATOS!$A13925="",0,IF(CONFIG_METADATA!$B$4&lt;&gt;"OR+EX",--(DATOS!$G13925=CONFIG_METADATA!$B$4),IF(DATOS!$G13925="EX",1,IF(DATOS!$G13925="OR",--(COUNTIFS(nNIA,DATOS!$A13925,nCURSO,DATOS!$D13925,nESPEC,DATOS!$E13925,nASIG,DATOS!$I13925,nEVAL,"EX")=0),0))))</f>
      </c>
      <c r="H13925">
        <f>IF(DATOS!$G13925&lt;&gt;"EX",0,--(COUNTIFS(nNIA,DATOS!$A13925,nCURSO,DATOS!$D13925,nESPEC,DATOS!$E13925,nASIG,DATOS!$I13925,nEVAL,"OR")=0))</f>
      </c>
      <c r="I13925">
        <f>IF(DATOS!$I13925="","",IFERROR(VLOOKUP(DATOS!$I13925,CONFIG_ASIGNATURAS!$B$2:$J$91,9,FALSE()),""))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IF(DATOS!$A13926="",0,IF(CONFIG_METADATA!$B$4&lt;&gt;"OR+EX",--(DATOS!$G13926=CONFIG_METADATA!$B$4),IF(DATOS!$G13926="EX",1,IF(DATOS!$G13926="OR",--(COUNTIFS(nNIA,DATOS!$A13926,nCURSO,DATOS!$D13926,nESPEC,DATOS!$E13926,nASIG,DATOS!$I13926,nEVAL,"EX")=0),0))))</f>
      </c>
      <c r="H13926">
        <f>IF(DATOS!$G13926&lt;&gt;"EX",0,--(COUNTIFS(nNIA,DATOS!$A13926,nCURSO,DATOS!$D13926,nESPEC,DATOS!$E13926,nASIG,DATOS!$I13926,nEVAL,"OR")=0))</f>
      </c>
      <c r="I13926">
        <f>IF(DATOS!$I13926="","",IFERROR(VLOOKUP(DATOS!$I13926,CONFIG_ASIGNATURAS!$B$2:$J$91,9,FALSE()),""))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IF(DATOS!$A13927="",0,IF(CONFIG_METADATA!$B$4&lt;&gt;"OR+EX",--(DATOS!$G13927=CONFIG_METADATA!$B$4),IF(DATOS!$G13927="EX",1,IF(DATOS!$G13927="OR",--(COUNTIFS(nNIA,DATOS!$A13927,nCURSO,DATOS!$D13927,nESPEC,DATOS!$E13927,nASIG,DATOS!$I13927,nEVAL,"EX")=0),0))))</f>
      </c>
      <c r="H13927">
        <f>IF(DATOS!$G13927&lt;&gt;"EX",0,--(COUNTIFS(nNIA,DATOS!$A13927,nCURSO,DATOS!$D13927,nESPEC,DATOS!$E13927,nASIG,DATOS!$I13927,nEVAL,"OR")=0))</f>
      </c>
      <c r="I13927">
        <f>IF(DATOS!$I13927="","",IFERROR(VLOOKUP(DATOS!$I13927,CONFIG_ASIGNATURAS!$B$2:$J$91,9,FALSE()),""))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IF(DATOS!$A13928="",0,IF(CONFIG_METADATA!$B$4&lt;&gt;"OR+EX",--(DATOS!$G13928=CONFIG_METADATA!$B$4),IF(DATOS!$G13928="EX",1,IF(DATOS!$G13928="OR",--(COUNTIFS(nNIA,DATOS!$A13928,nCURSO,DATOS!$D13928,nESPEC,DATOS!$E13928,nASIG,DATOS!$I13928,nEVAL,"EX")=0),0))))</f>
      </c>
      <c r="H13928">
        <f>IF(DATOS!$G13928&lt;&gt;"EX",0,--(COUNTIFS(nNIA,DATOS!$A13928,nCURSO,DATOS!$D13928,nESPEC,DATOS!$E13928,nASIG,DATOS!$I13928,nEVAL,"OR")=0))</f>
      </c>
      <c r="I13928">
        <f>IF(DATOS!$I13928="","",IFERROR(VLOOKUP(DATOS!$I13928,CONFIG_ASIGNATURAS!$B$2:$J$91,9,FALSE()),""))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IF(DATOS!$A13929="",0,IF(CONFIG_METADATA!$B$4&lt;&gt;"OR+EX",--(DATOS!$G13929=CONFIG_METADATA!$B$4),IF(DATOS!$G13929="EX",1,IF(DATOS!$G13929="OR",--(COUNTIFS(nNIA,DATOS!$A13929,nCURSO,DATOS!$D13929,nESPEC,DATOS!$E13929,nASIG,DATOS!$I13929,nEVAL,"EX")=0),0))))</f>
      </c>
      <c r="H13929">
        <f>IF(DATOS!$G13929&lt;&gt;"EX",0,--(COUNTIFS(nNIA,DATOS!$A13929,nCURSO,DATOS!$D13929,nESPEC,DATOS!$E13929,nASIG,DATOS!$I13929,nEVAL,"OR")=0))</f>
      </c>
      <c r="I13929">
        <f>IF(DATOS!$I13929="","",IFERROR(VLOOKUP(DATOS!$I13929,CONFIG_ASIGNATURAS!$B$2:$J$91,9,FALSE()),""))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IF(DATOS!$A13930="",0,IF(CONFIG_METADATA!$B$4&lt;&gt;"OR+EX",--(DATOS!$G13930=CONFIG_METADATA!$B$4),IF(DATOS!$G13930="EX",1,IF(DATOS!$G13930="OR",--(COUNTIFS(nNIA,DATOS!$A13930,nCURSO,DATOS!$D13930,nESPEC,DATOS!$E13930,nASIG,DATOS!$I13930,nEVAL,"EX")=0),0))))</f>
      </c>
      <c r="H13930">
        <f>IF(DATOS!$G13930&lt;&gt;"EX",0,--(COUNTIFS(nNIA,DATOS!$A13930,nCURSO,DATOS!$D13930,nESPEC,DATOS!$E13930,nASIG,DATOS!$I13930,nEVAL,"OR")=0))</f>
      </c>
      <c r="I13930">
        <f>IF(DATOS!$I13930="","",IFERROR(VLOOKUP(DATOS!$I13930,CONFIG_ASIGNATURAS!$B$2:$J$91,9,FALSE()),""))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IF(DATOS!$A13931="",0,IF(CONFIG_METADATA!$B$4&lt;&gt;"OR+EX",--(DATOS!$G13931=CONFIG_METADATA!$B$4),IF(DATOS!$G13931="EX",1,IF(DATOS!$G13931="OR",--(COUNTIFS(nNIA,DATOS!$A13931,nCURSO,DATOS!$D13931,nESPEC,DATOS!$E13931,nASIG,DATOS!$I13931,nEVAL,"EX")=0),0))))</f>
      </c>
      <c r="H13931">
        <f>IF(DATOS!$G13931&lt;&gt;"EX",0,--(COUNTIFS(nNIA,DATOS!$A13931,nCURSO,DATOS!$D13931,nESPEC,DATOS!$E13931,nASIG,DATOS!$I13931,nEVAL,"OR")=0))</f>
      </c>
      <c r="I13931">
        <f>IF(DATOS!$I13931="","",IFERROR(VLOOKUP(DATOS!$I13931,CONFIG_ASIGNATURAS!$B$2:$J$91,9,FALSE()),""))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IF(DATOS!$A13932="",0,IF(CONFIG_METADATA!$B$4&lt;&gt;"OR+EX",--(DATOS!$G13932=CONFIG_METADATA!$B$4),IF(DATOS!$G13932="EX",1,IF(DATOS!$G13932="OR",--(COUNTIFS(nNIA,DATOS!$A13932,nCURSO,DATOS!$D13932,nESPEC,DATOS!$E13932,nASIG,DATOS!$I13932,nEVAL,"EX")=0),0))))</f>
      </c>
      <c r="H13932">
        <f>IF(DATOS!$G13932&lt;&gt;"EX",0,--(COUNTIFS(nNIA,DATOS!$A13932,nCURSO,DATOS!$D13932,nESPEC,DATOS!$E13932,nASIG,DATOS!$I13932,nEVAL,"OR")=0))</f>
      </c>
      <c r="I13932">
        <f>IF(DATOS!$I13932="","",IFERROR(VLOOKUP(DATOS!$I13932,CONFIG_ASIGNATURAS!$B$2:$J$91,9,FALSE()),""))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IF(DATOS!$A13933="",0,IF(CONFIG_METADATA!$B$4&lt;&gt;"OR+EX",--(DATOS!$G13933=CONFIG_METADATA!$B$4),IF(DATOS!$G13933="EX",1,IF(DATOS!$G13933="OR",--(COUNTIFS(nNIA,DATOS!$A13933,nCURSO,DATOS!$D13933,nESPEC,DATOS!$E13933,nASIG,DATOS!$I13933,nEVAL,"EX")=0),0))))</f>
      </c>
      <c r="H13933">
        <f>IF(DATOS!$G13933&lt;&gt;"EX",0,--(COUNTIFS(nNIA,DATOS!$A13933,nCURSO,DATOS!$D13933,nESPEC,DATOS!$E13933,nASIG,DATOS!$I13933,nEVAL,"OR")=0))</f>
      </c>
      <c r="I13933">
        <f>IF(DATOS!$I13933="","",IFERROR(VLOOKUP(DATOS!$I13933,CONFIG_ASIGNATURAS!$B$2:$J$91,9,FALSE()),""))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IF(DATOS!$A13934="",0,IF(CONFIG_METADATA!$B$4&lt;&gt;"OR+EX",--(DATOS!$G13934=CONFIG_METADATA!$B$4),IF(DATOS!$G13934="EX",1,IF(DATOS!$G13934="OR",--(COUNTIFS(nNIA,DATOS!$A13934,nCURSO,DATOS!$D13934,nESPEC,DATOS!$E13934,nASIG,DATOS!$I13934,nEVAL,"EX")=0),0))))</f>
      </c>
      <c r="H13934">
        <f>IF(DATOS!$G13934&lt;&gt;"EX",0,--(COUNTIFS(nNIA,DATOS!$A13934,nCURSO,DATOS!$D13934,nESPEC,DATOS!$E13934,nASIG,DATOS!$I13934,nEVAL,"OR")=0))</f>
      </c>
      <c r="I13934">
        <f>IF(DATOS!$I13934="","",IFERROR(VLOOKUP(DATOS!$I13934,CONFIG_ASIGNATURAS!$B$2:$J$91,9,FALSE()),""))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IF(DATOS!$A13935="",0,IF(CONFIG_METADATA!$B$4&lt;&gt;"OR+EX",--(DATOS!$G13935=CONFIG_METADATA!$B$4),IF(DATOS!$G13935="EX",1,IF(DATOS!$G13935="OR",--(COUNTIFS(nNIA,DATOS!$A13935,nCURSO,DATOS!$D13935,nESPEC,DATOS!$E13935,nASIG,DATOS!$I13935,nEVAL,"EX")=0),0))))</f>
      </c>
      <c r="H13935">
        <f>IF(DATOS!$G13935&lt;&gt;"EX",0,--(COUNTIFS(nNIA,DATOS!$A13935,nCURSO,DATOS!$D13935,nESPEC,DATOS!$E13935,nASIG,DATOS!$I13935,nEVAL,"OR")=0))</f>
      </c>
      <c r="I13935">
        <f>IF(DATOS!$I13935="","",IFERROR(VLOOKUP(DATOS!$I13935,CONFIG_ASIGNATURAS!$B$2:$J$91,9,FALSE()),""))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IF(DATOS!$A13936="",0,IF(CONFIG_METADATA!$B$4&lt;&gt;"OR+EX",--(DATOS!$G13936=CONFIG_METADATA!$B$4),IF(DATOS!$G13936="EX",1,IF(DATOS!$G13936="OR",--(COUNTIFS(nNIA,DATOS!$A13936,nCURSO,DATOS!$D13936,nESPEC,DATOS!$E13936,nASIG,DATOS!$I13936,nEVAL,"EX")=0),0))))</f>
      </c>
      <c r="H13936">
        <f>IF(DATOS!$G13936&lt;&gt;"EX",0,--(COUNTIFS(nNIA,DATOS!$A13936,nCURSO,DATOS!$D13936,nESPEC,DATOS!$E13936,nASIG,DATOS!$I13936,nEVAL,"OR")=0))</f>
      </c>
      <c r="I13936">
        <f>IF(DATOS!$I13936="","",IFERROR(VLOOKUP(DATOS!$I13936,CONFIG_ASIGNATURAS!$B$2:$J$91,9,FALSE()),""))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IF(DATOS!$A13937="",0,IF(CONFIG_METADATA!$B$4&lt;&gt;"OR+EX",--(DATOS!$G13937=CONFIG_METADATA!$B$4),IF(DATOS!$G13937="EX",1,IF(DATOS!$G13937="OR",--(COUNTIFS(nNIA,DATOS!$A13937,nCURSO,DATOS!$D13937,nESPEC,DATOS!$E13937,nASIG,DATOS!$I13937,nEVAL,"EX")=0),0))))</f>
      </c>
      <c r="H13937">
        <f>IF(DATOS!$G13937&lt;&gt;"EX",0,--(COUNTIFS(nNIA,DATOS!$A13937,nCURSO,DATOS!$D13937,nESPEC,DATOS!$E13937,nASIG,DATOS!$I13937,nEVAL,"OR")=0))</f>
      </c>
      <c r="I13937">
        <f>IF(DATOS!$I13937="","",IFERROR(VLOOKUP(DATOS!$I13937,CONFIG_ASIGNATURAS!$B$2:$J$91,9,FALSE()),""))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IF(DATOS!$A13938="",0,IF(CONFIG_METADATA!$B$4&lt;&gt;"OR+EX",--(DATOS!$G13938=CONFIG_METADATA!$B$4),IF(DATOS!$G13938="EX",1,IF(DATOS!$G13938="OR",--(COUNTIFS(nNIA,DATOS!$A13938,nCURSO,DATOS!$D13938,nESPEC,DATOS!$E13938,nASIG,DATOS!$I13938,nEVAL,"EX")=0),0))))</f>
      </c>
      <c r="H13938">
        <f>IF(DATOS!$G13938&lt;&gt;"EX",0,--(COUNTIFS(nNIA,DATOS!$A13938,nCURSO,DATOS!$D13938,nESPEC,DATOS!$E13938,nASIG,DATOS!$I13938,nEVAL,"OR")=0))</f>
      </c>
      <c r="I13938">
        <f>IF(DATOS!$I13938="","",IFERROR(VLOOKUP(DATOS!$I13938,CONFIG_ASIGNATURAS!$B$2:$J$91,9,FALSE()),""))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IF(DATOS!$A13939="",0,IF(CONFIG_METADATA!$B$4&lt;&gt;"OR+EX",--(DATOS!$G13939=CONFIG_METADATA!$B$4),IF(DATOS!$G13939="EX",1,IF(DATOS!$G13939="OR",--(COUNTIFS(nNIA,DATOS!$A13939,nCURSO,DATOS!$D13939,nESPEC,DATOS!$E13939,nASIG,DATOS!$I13939,nEVAL,"EX")=0),0))))</f>
      </c>
      <c r="H13939">
        <f>IF(DATOS!$G13939&lt;&gt;"EX",0,--(COUNTIFS(nNIA,DATOS!$A13939,nCURSO,DATOS!$D13939,nESPEC,DATOS!$E13939,nASIG,DATOS!$I13939,nEVAL,"OR")=0))</f>
      </c>
      <c r="I13939">
        <f>IF(DATOS!$I13939="","",IFERROR(VLOOKUP(DATOS!$I13939,CONFIG_ASIGNATURAS!$B$2:$J$91,9,FALSE()),""))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IF(DATOS!$A13940="",0,IF(CONFIG_METADATA!$B$4&lt;&gt;"OR+EX",--(DATOS!$G13940=CONFIG_METADATA!$B$4),IF(DATOS!$G13940="EX",1,IF(DATOS!$G13940="OR",--(COUNTIFS(nNIA,DATOS!$A13940,nCURSO,DATOS!$D13940,nESPEC,DATOS!$E13940,nASIG,DATOS!$I13940,nEVAL,"EX")=0),0))))</f>
      </c>
      <c r="H13940">
        <f>IF(DATOS!$G13940&lt;&gt;"EX",0,--(COUNTIFS(nNIA,DATOS!$A13940,nCURSO,DATOS!$D13940,nESPEC,DATOS!$E13940,nASIG,DATOS!$I13940,nEVAL,"OR")=0))</f>
      </c>
      <c r="I13940">
        <f>IF(DATOS!$I13940="","",IFERROR(VLOOKUP(DATOS!$I13940,CONFIG_ASIGNATURAS!$B$2:$J$91,9,FALSE()),""))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IF(DATOS!$A13941="",0,IF(CONFIG_METADATA!$B$4&lt;&gt;"OR+EX",--(DATOS!$G13941=CONFIG_METADATA!$B$4),IF(DATOS!$G13941="EX",1,IF(DATOS!$G13941="OR",--(COUNTIFS(nNIA,DATOS!$A13941,nCURSO,DATOS!$D13941,nESPEC,DATOS!$E13941,nASIG,DATOS!$I13941,nEVAL,"EX")=0),0))))</f>
      </c>
      <c r="H13941">
        <f>IF(DATOS!$G13941&lt;&gt;"EX",0,--(COUNTIFS(nNIA,DATOS!$A13941,nCURSO,DATOS!$D13941,nESPEC,DATOS!$E13941,nASIG,DATOS!$I13941,nEVAL,"OR")=0))</f>
      </c>
      <c r="I13941">
        <f>IF(DATOS!$I13941="","",IFERROR(VLOOKUP(DATOS!$I13941,CONFIG_ASIGNATURAS!$B$2:$J$91,9,FALSE()),""))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IF(DATOS!$A13942="",0,IF(CONFIG_METADATA!$B$4&lt;&gt;"OR+EX",--(DATOS!$G13942=CONFIG_METADATA!$B$4),IF(DATOS!$G13942="EX",1,IF(DATOS!$G13942="OR",--(COUNTIFS(nNIA,DATOS!$A13942,nCURSO,DATOS!$D13942,nESPEC,DATOS!$E13942,nASIG,DATOS!$I13942,nEVAL,"EX")=0),0))))</f>
      </c>
      <c r="H13942">
        <f>IF(DATOS!$G13942&lt;&gt;"EX",0,--(COUNTIFS(nNIA,DATOS!$A13942,nCURSO,DATOS!$D13942,nESPEC,DATOS!$E13942,nASIG,DATOS!$I13942,nEVAL,"OR")=0))</f>
      </c>
      <c r="I13942">
        <f>IF(DATOS!$I13942="","",IFERROR(VLOOKUP(DATOS!$I13942,CONFIG_ASIGNATURAS!$B$2:$J$91,9,FALSE()),""))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IF(DATOS!$A13943="",0,IF(CONFIG_METADATA!$B$4&lt;&gt;"OR+EX",--(DATOS!$G13943=CONFIG_METADATA!$B$4),IF(DATOS!$G13943="EX",1,IF(DATOS!$G13943="OR",--(COUNTIFS(nNIA,DATOS!$A13943,nCURSO,DATOS!$D13943,nESPEC,DATOS!$E13943,nASIG,DATOS!$I13943,nEVAL,"EX")=0),0))))</f>
      </c>
      <c r="H13943">
        <f>IF(DATOS!$G13943&lt;&gt;"EX",0,--(COUNTIFS(nNIA,DATOS!$A13943,nCURSO,DATOS!$D13943,nESPEC,DATOS!$E13943,nASIG,DATOS!$I13943,nEVAL,"OR")=0))</f>
      </c>
      <c r="I13943">
        <f>IF(DATOS!$I13943="","",IFERROR(VLOOKUP(DATOS!$I13943,CONFIG_ASIGNATURAS!$B$2:$J$91,9,FALSE()),""))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IF(DATOS!$A13944="",0,IF(CONFIG_METADATA!$B$4&lt;&gt;"OR+EX",--(DATOS!$G13944=CONFIG_METADATA!$B$4),IF(DATOS!$G13944="EX",1,IF(DATOS!$G13944="OR",--(COUNTIFS(nNIA,DATOS!$A13944,nCURSO,DATOS!$D13944,nESPEC,DATOS!$E13944,nASIG,DATOS!$I13944,nEVAL,"EX")=0),0))))</f>
      </c>
      <c r="H13944">
        <f>IF(DATOS!$G13944&lt;&gt;"EX",0,--(COUNTIFS(nNIA,DATOS!$A13944,nCURSO,DATOS!$D13944,nESPEC,DATOS!$E13944,nASIG,DATOS!$I13944,nEVAL,"OR")=0))</f>
      </c>
      <c r="I13944">
        <f>IF(DATOS!$I13944="","",IFERROR(VLOOKUP(DATOS!$I13944,CONFIG_ASIGNATURAS!$B$2:$J$91,9,FALSE()),""))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IF(DATOS!$A13945="",0,IF(CONFIG_METADATA!$B$4&lt;&gt;"OR+EX",--(DATOS!$G13945=CONFIG_METADATA!$B$4),IF(DATOS!$G13945="EX",1,IF(DATOS!$G13945="OR",--(COUNTIFS(nNIA,DATOS!$A13945,nCURSO,DATOS!$D13945,nESPEC,DATOS!$E13945,nASIG,DATOS!$I13945,nEVAL,"EX")=0),0))))</f>
      </c>
      <c r="H13945">
        <f>IF(DATOS!$G13945&lt;&gt;"EX",0,--(COUNTIFS(nNIA,DATOS!$A13945,nCURSO,DATOS!$D13945,nESPEC,DATOS!$E13945,nASIG,DATOS!$I13945,nEVAL,"OR")=0))</f>
      </c>
      <c r="I13945">
        <f>IF(DATOS!$I13945="","",IFERROR(VLOOKUP(DATOS!$I13945,CONFIG_ASIGNATURAS!$B$2:$J$91,9,FALSE()),""))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IF(DATOS!$A13946="",0,IF(CONFIG_METADATA!$B$4&lt;&gt;"OR+EX",--(DATOS!$G13946=CONFIG_METADATA!$B$4),IF(DATOS!$G13946="EX",1,IF(DATOS!$G13946="OR",--(COUNTIFS(nNIA,DATOS!$A13946,nCURSO,DATOS!$D13946,nESPEC,DATOS!$E13946,nASIG,DATOS!$I13946,nEVAL,"EX")=0),0))))</f>
      </c>
      <c r="H13946">
        <f>IF(DATOS!$G13946&lt;&gt;"EX",0,--(COUNTIFS(nNIA,DATOS!$A13946,nCURSO,DATOS!$D13946,nESPEC,DATOS!$E13946,nASIG,DATOS!$I13946,nEVAL,"OR")=0))</f>
      </c>
      <c r="I13946">
        <f>IF(DATOS!$I13946="","",IFERROR(VLOOKUP(DATOS!$I13946,CONFIG_ASIGNATURAS!$B$2:$J$91,9,FALSE()),""))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IF(DATOS!$A13947="",0,IF(CONFIG_METADATA!$B$4&lt;&gt;"OR+EX",--(DATOS!$G13947=CONFIG_METADATA!$B$4),IF(DATOS!$G13947="EX",1,IF(DATOS!$G13947="OR",--(COUNTIFS(nNIA,DATOS!$A13947,nCURSO,DATOS!$D13947,nESPEC,DATOS!$E13947,nASIG,DATOS!$I13947,nEVAL,"EX")=0),0))))</f>
      </c>
      <c r="H13947">
        <f>IF(DATOS!$G13947&lt;&gt;"EX",0,--(COUNTIFS(nNIA,DATOS!$A13947,nCURSO,DATOS!$D13947,nESPEC,DATOS!$E13947,nASIG,DATOS!$I13947,nEVAL,"OR")=0))</f>
      </c>
      <c r="I13947">
        <f>IF(DATOS!$I13947="","",IFERROR(VLOOKUP(DATOS!$I13947,CONFIG_ASIGNATURAS!$B$2:$J$91,9,FALSE()),""))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IF(DATOS!$A13948="",0,IF(CONFIG_METADATA!$B$4&lt;&gt;"OR+EX",--(DATOS!$G13948=CONFIG_METADATA!$B$4),IF(DATOS!$G13948="EX",1,IF(DATOS!$G13948="OR",--(COUNTIFS(nNIA,DATOS!$A13948,nCURSO,DATOS!$D13948,nESPEC,DATOS!$E13948,nASIG,DATOS!$I13948,nEVAL,"EX")=0),0))))</f>
      </c>
      <c r="H13948">
        <f>IF(DATOS!$G13948&lt;&gt;"EX",0,--(COUNTIFS(nNIA,DATOS!$A13948,nCURSO,DATOS!$D13948,nESPEC,DATOS!$E13948,nASIG,DATOS!$I13948,nEVAL,"OR")=0))</f>
      </c>
      <c r="I13948">
        <f>IF(DATOS!$I13948="","",IFERROR(VLOOKUP(DATOS!$I13948,CONFIG_ASIGNATURAS!$B$2:$J$91,9,FALSE()),""))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IF(DATOS!$A13949="",0,IF(CONFIG_METADATA!$B$4&lt;&gt;"OR+EX",--(DATOS!$G13949=CONFIG_METADATA!$B$4),IF(DATOS!$G13949="EX",1,IF(DATOS!$G13949="OR",--(COUNTIFS(nNIA,DATOS!$A13949,nCURSO,DATOS!$D13949,nESPEC,DATOS!$E13949,nASIG,DATOS!$I13949,nEVAL,"EX")=0),0))))</f>
      </c>
      <c r="H13949">
        <f>IF(DATOS!$G13949&lt;&gt;"EX",0,--(COUNTIFS(nNIA,DATOS!$A13949,nCURSO,DATOS!$D13949,nESPEC,DATOS!$E13949,nASIG,DATOS!$I13949,nEVAL,"OR")=0))</f>
      </c>
      <c r="I13949">
        <f>IF(DATOS!$I13949="","",IFERROR(VLOOKUP(DATOS!$I13949,CONFIG_ASIGNATURAS!$B$2:$J$91,9,FALSE()),""))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IF(DATOS!$A13950="",0,IF(CONFIG_METADATA!$B$4&lt;&gt;"OR+EX",--(DATOS!$G13950=CONFIG_METADATA!$B$4),IF(DATOS!$G13950="EX",1,IF(DATOS!$G13950="OR",--(COUNTIFS(nNIA,DATOS!$A13950,nCURSO,DATOS!$D13950,nESPEC,DATOS!$E13950,nASIG,DATOS!$I13950,nEVAL,"EX")=0),0))))</f>
      </c>
      <c r="H13950">
        <f>IF(DATOS!$G13950&lt;&gt;"EX",0,--(COUNTIFS(nNIA,DATOS!$A13950,nCURSO,DATOS!$D13950,nESPEC,DATOS!$E13950,nASIG,DATOS!$I13950,nEVAL,"OR")=0))</f>
      </c>
      <c r="I13950">
        <f>IF(DATOS!$I13950="","",IFERROR(VLOOKUP(DATOS!$I13950,CONFIG_ASIGNATURAS!$B$2:$J$91,9,FALSE()),""))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IF(DATOS!$A13951="",0,IF(CONFIG_METADATA!$B$4&lt;&gt;"OR+EX",--(DATOS!$G13951=CONFIG_METADATA!$B$4),IF(DATOS!$G13951="EX",1,IF(DATOS!$G13951="OR",--(COUNTIFS(nNIA,DATOS!$A13951,nCURSO,DATOS!$D13951,nESPEC,DATOS!$E13951,nASIG,DATOS!$I13951,nEVAL,"EX")=0),0))))</f>
      </c>
      <c r="H13951">
        <f>IF(DATOS!$G13951&lt;&gt;"EX",0,--(COUNTIFS(nNIA,DATOS!$A13951,nCURSO,DATOS!$D13951,nESPEC,DATOS!$E13951,nASIG,DATOS!$I13951,nEVAL,"OR")=0))</f>
      </c>
      <c r="I13951">
        <f>IF(DATOS!$I13951="","",IFERROR(VLOOKUP(DATOS!$I13951,CONFIG_ASIGNATURAS!$B$2:$J$91,9,FALSE()),""))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IF(DATOS!$A13952="",0,IF(CONFIG_METADATA!$B$4&lt;&gt;"OR+EX",--(DATOS!$G13952=CONFIG_METADATA!$B$4),IF(DATOS!$G13952="EX",1,IF(DATOS!$G13952="OR",--(COUNTIFS(nNIA,DATOS!$A13952,nCURSO,DATOS!$D13952,nESPEC,DATOS!$E13952,nASIG,DATOS!$I13952,nEVAL,"EX")=0),0))))</f>
      </c>
      <c r="H13952">
        <f>IF(DATOS!$G13952&lt;&gt;"EX",0,--(COUNTIFS(nNIA,DATOS!$A13952,nCURSO,DATOS!$D13952,nESPEC,DATOS!$E13952,nASIG,DATOS!$I13952,nEVAL,"OR")=0))</f>
      </c>
      <c r="I13952">
        <f>IF(DATOS!$I13952="","",IFERROR(VLOOKUP(DATOS!$I13952,CONFIG_ASIGNATURAS!$B$2:$J$91,9,FALSE()),""))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IF(DATOS!$A13953="",0,IF(CONFIG_METADATA!$B$4&lt;&gt;"OR+EX",--(DATOS!$G13953=CONFIG_METADATA!$B$4),IF(DATOS!$G13953="EX",1,IF(DATOS!$G13953="OR",--(COUNTIFS(nNIA,DATOS!$A13953,nCURSO,DATOS!$D13953,nESPEC,DATOS!$E13953,nASIG,DATOS!$I13953,nEVAL,"EX")=0),0))))</f>
      </c>
      <c r="H13953">
        <f>IF(DATOS!$G13953&lt;&gt;"EX",0,--(COUNTIFS(nNIA,DATOS!$A13953,nCURSO,DATOS!$D13953,nESPEC,DATOS!$E13953,nASIG,DATOS!$I13953,nEVAL,"OR")=0))</f>
      </c>
      <c r="I13953">
        <f>IF(DATOS!$I13953="","",IFERROR(VLOOKUP(DATOS!$I13953,CONFIG_ASIGNATURAS!$B$2:$J$91,9,FALSE()),""))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IF(DATOS!$A13954="",0,IF(CONFIG_METADATA!$B$4&lt;&gt;"OR+EX",--(DATOS!$G13954=CONFIG_METADATA!$B$4),IF(DATOS!$G13954="EX",1,IF(DATOS!$G13954="OR",--(COUNTIFS(nNIA,DATOS!$A13954,nCURSO,DATOS!$D13954,nESPEC,DATOS!$E13954,nASIG,DATOS!$I13954,nEVAL,"EX")=0),0))))</f>
      </c>
      <c r="H13954">
        <f>IF(DATOS!$G13954&lt;&gt;"EX",0,--(COUNTIFS(nNIA,DATOS!$A13954,nCURSO,DATOS!$D13954,nESPEC,DATOS!$E13954,nASIG,DATOS!$I13954,nEVAL,"OR")=0))</f>
      </c>
      <c r="I13954">
        <f>IF(DATOS!$I13954="","",IFERROR(VLOOKUP(DATOS!$I13954,CONFIG_ASIGNATURAS!$B$2:$J$91,9,FALSE()),""))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IF(DATOS!$A13955="",0,IF(CONFIG_METADATA!$B$4&lt;&gt;"OR+EX",--(DATOS!$G13955=CONFIG_METADATA!$B$4),IF(DATOS!$G13955="EX",1,IF(DATOS!$G13955="OR",--(COUNTIFS(nNIA,DATOS!$A13955,nCURSO,DATOS!$D13955,nESPEC,DATOS!$E13955,nASIG,DATOS!$I13955,nEVAL,"EX")=0),0))))</f>
      </c>
      <c r="H13955">
        <f>IF(DATOS!$G13955&lt;&gt;"EX",0,--(COUNTIFS(nNIA,DATOS!$A13955,nCURSO,DATOS!$D13955,nESPEC,DATOS!$E13955,nASIG,DATOS!$I13955,nEVAL,"OR")=0))</f>
      </c>
      <c r="I13955">
        <f>IF(DATOS!$I13955="","",IFERROR(VLOOKUP(DATOS!$I13955,CONFIG_ASIGNATURAS!$B$2:$J$91,9,FALSE()),""))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IF(DATOS!$A13956="",0,IF(CONFIG_METADATA!$B$4&lt;&gt;"OR+EX",--(DATOS!$G13956=CONFIG_METADATA!$B$4),IF(DATOS!$G13956="EX",1,IF(DATOS!$G13956="OR",--(COUNTIFS(nNIA,DATOS!$A13956,nCURSO,DATOS!$D13956,nESPEC,DATOS!$E13956,nASIG,DATOS!$I13956,nEVAL,"EX")=0),0))))</f>
      </c>
      <c r="H13956">
        <f>IF(DATOS!$G13956&lt;&gt;"EX",0,--(COUNTIFS(nNIA,DATOS!$A13956,nCURSO,DATOS!$D13956,nESPEC,DATOS!$E13956,nASIG,DATOS!$I13956,nEVAL,"OR")=0))</f>
      </c>
      <c r="I13956">
        <f>IF(DATOS!$I13956="","",IFERROR(VLOOKUP(DATOS!$I13956,CONFIG_ASIGNATURAS!$B$2:$J$91,9,FALSE()),""))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IF(DATOS!$A13957="",0,IF(CONFIG_METADATA!$B$4&lt;&gt;"OR+EX",--(DATOS!$G13957=CONFIG_METADATA!$B$4),IF(DATOS!$G13957="EX",1,IF(DATOS!$G13957="OR",--(COUNTIFS(nNIA,DATOS!$A13957,nCURSO,DATOS!$D13957,nESPEC,DATOS!$E13957,nASIG,DATOS!$I13957,nEVAL,"EX")=0),0))))</f>
      </c>
      <c r="H13957">
        <f>IF(DATOS!$G13957&lt;&gt;"EX",0,--(COUNTIFS(nNIA,DATOS!$A13957,nCURSO,DATOS!$D13957,nESPEC,DATOS!$E13957,nASIG,DATOS!$I13957,nEVAL,"OR")=0))</f>
      </c>
      <c r="I13957">
        <f>IF(DATOS!$I13957="","",IFERROR(VLOOKUP(DATOS!$I13957,CONFIG_ASIGNATURAS!$B$2:$J$91,9,FALSE()),""))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IF(DATOS!$A13958="",0,IF(CONFIG_METADATA!$B$4&lt;&gt;"OR+EX",--(DATOS!$G13958=CONFIG_METADATA!$B$4),IF(DATOS!$G13958="EX",1,IF(DATOS!$G13958="OR",--(COUNTIFS(nNIA,DATOS!$A13958,nCURSO,DATOS!$D13958,nESPEC,DATOS!$E13958,nASIG,DATOS!$I13958,nEVAL,"EX")=0),0))))</f>
      </c>
      <c r="H13958">
        <f>IF(DATOS!$G13958&lt;&gt;"EX",0,--(COUNTIFS(nNIA,DATOS!$A13958,nCURSO,DATOS!$D13958,nESPEC,DATOS!$E13958,nASIG,DATOS!$I13958,nEVAL,"OR")=0))</f>
      </c>
      <c r="I13958">
        <f>IF(DATOS!$I13958="","",IFERROR(VLOOKUP(DATOS!$I13958,CONFIG_ASIGNATURAS!$B$2:$J$91,9,FALSE()),""))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IF(DATOS!$A13959="",0,IF(CONFIG_METADATA!$B$4&lt;&gt;"OR+EX",--(DATOS!$G13959=CONFIG_METADATA!$B$4),IF(DATOS!$G13959="EX",1,IF(DATOS!$G13959="OR",--(COUNTIFS(nNIA,DATOS!$A13959,nCURSO,DATOS!$D13959,nESPEC,DATOS!$E13959,nASIG,DATOS!$I13959,nEVAL,"EX")=0),0))))</f>
      </c>
      <c r="H13959">
        <f>IF(DATOS!$G13959&lt;&gt;"EX",0,--(COUNTIFS(nNIA,DATOS!$A13959,nCURSO,DATOS!$D13959,nESPEC,DATOS!$E13959,nASIG,DATOS!$I13959,nEVAL,"OR")=0))</f>
      </c>
      <c r="I13959">
        <f>IF(DATOS!$I13959="","",IFERROR(VLOOKUP(DATOS!$I13959,CONFIG_ASIGNATURAS!$B$2:$J$91,9,FALSE()),""))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IF(DATOS!$A13960="",0,IF(CONFIG_METADATA!$B$4&lt;&gt;"OR+EX",--(DATOS!$G13960=CONFIG_METADATA!$B$4),IF(DATOS!$G13960="EX",1,IF(DATOS!$G13960="OR",--(COUNTIFS(nNIA,DATOS!$A13960,nCURSO,DATOS!$D13960,nESPEC,DATOS!$E13960,nASIG,DATOS!$I13960,nEVAL,"EX")=0),0))))</f>
      </c>
      <c r="H13960">
        <f>IF(DATOS!$G13960&lt;&gt;"EX",0,--(COUNTIFS(nNIA,DATOS!$A13960,nCURSO,DATOS!$D13960,nESPEC,DATOS!$E13960,nASIG,DATOS!$I13960,nEVAL,"OR")=0))</f>
      </c>
      <c r="I13960">
        <f>IF(DATOS!$I13960="","",IFERROR(VLOOKUP(DATOS!$I13960,CONFIG_ASIGNATURAS!$B$2:$J$91,9,FALSE()),""))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IF(DATOS!$A13961="",0,IF(CONFIG_METADATA!$B$4&lt;&gt;"OR+EX",--(DATOS!$G13961=CONFIG_METADATA!$B$4),IF(DATOS!$G13961="EX",1,IF(DATOS!$G13961="OR",--(COUNTIFS(nNIA,DATOS!$A13961,nCURSO,DATOS!$D13961,nESPEC,DATOS!$E13961,nASIG,DATOS!$I13961,nEVAL,"EX")=0),0))))</f>
      </c>
      <c r="H13961">
        <f>IF(DATOS!$G13961&lt;&gt;"EX",0,--(COUNTIFS(nNIA,DATOS!$A13961,nCURSO,DATOS!$D13961,nESPEC,DATOS!$E13961,nASIG,DATOS!$I13961,nEVAL,"OR")=0))</f>
      </c>
      <c r="I13961">
        <f>IF(DATOS!$I13961="","",IFERROR(VLOOKUP(DATOS!$I13961,CONFIG_ASIGNATURAS!$B$2:$J$91,9,FALSE()),""))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IF(DATOS!$A13962="",0,IF(CONFIG_METADATA!$B$4&lt;&gt;"OR+EX",--(DATOS!$G13962=CONFIG_METADATA!$B$4),IF(DATOS!$G13962="EX",1,IF(DATOS!$G13962="OR",--(COUNTIFS(nNIA,DATOS!$A13962,nCURSO,DATOS!$D13962,nESPEC,DATOS!$E13962,nASIG,DATOS!$I13962,nEVAL,"EX")=0),0))))</f>
      </c>
      <c r="H13962">
        <f>IF(DATOS!$G13962&lt;&gt;"EX",0,--(COUNTIFS(nNIA,DATOS!$A13962,nCURSO,DATOS!$D13962,nESPEC,DATOS!$E13962,nASIG,DATOS!$I13962,nEVAL,"OR")=0))</f>
      </c>
      <c r="I13962">
        <f>IF(DATOS!$I13962="","",IFERROR(VLOOKUP(DATOS!$I13962,CONFIG_ASIGNATURAS!$B$2:$J$91,9,FALSE()),""))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IF(DATOS!$A13963="",0,IF(CONFIG_METADATA!$B$4&lt;&gt;"OR+EX",--(DATOS!$G13963=CONFIG_METADATA!$B$4),IF(DATOS!$G13963="EX",1,IF(DATOS!$G13963="OR",--(COUNTIFS(nNIA,DATOS!$A13963,nCURSO,DATOS!$D13963,nESPEC,DATOS!$E13963,nASIG,DATOS!$I13963,nEVAL,"EX")=0),0))))</f>
      </c>
      <c r="H13963">
        <f>IF(DATOS!$G13963&lt;&gt;"EX",0,--(COUNTIFS(nNIA,DATOS!$A13963,nCURSO,DATOS!$D13963,nESPEC,DATOS!$E13963,nASIG,DATOS!$I13963,nEVAL,"OR")=0))</f>
      </c>
      <c r="I13963">
        <f>IF(DATOS!$I13963="","",IFERROR(VLOOKUP(DATOS!$I13963,CONFIG_ASIGNATURAS!$B$2:$J$91,9,FALSE()),""))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IF(DATOS!$A13964="",0,IF(CONFIG_METADATA!$B$4&lt;&gt;"OR+EX",--(DATOS!$G13964=CONFIG_METADATA!$B$4),IF(DATOS!$G13964="EX",1,IF(DATOS!$G13964="OR",--(COUNTIFS(nNIA,DATOS!$A13964,nCURSO,DATOS!$D13964,nESPEC,DATOS!$E13964,nASIG,DATOS!$I13964,nEVAL,"EX")=0),0))))</f>
      </c>
      <c r="H13964">
        <f>IF(DATOS!$G13964&lt;&gt;"EX",0,--(COUNTIFS(nNIA,DATOS!$A13964,nCURSO,DATOS!$D13964,nESPEC,DATOS!$E13964,nASIG,DATOS!$I13964,nEVAL,"OR")=0))</f>
      </c>
      <c r="I13964">
        <f>IF(DATOS!$I13964="","",IFERROR(VLOOKUP(DATOS!$I13964,CONFIG_ASIGNATURAS!$B$2:$J$91,9,FALSE()),""))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IF(DATOS!$A13965="",0,IF(CONFIG_METADATA!$B$4&lt;&gt;"OR+EX",--(DATOS!$G13965=CONFIG_METADATA!$B$4),IF(DATOS!$G13965="EX",1,IF(DATOS!$G13965="OR",--(COUNTIFS(nNIA,DATOS!$A13965,nCURSO,DATOS!$D13965,nESPEC,DATOS!$E13965,nASIG,DATOS!$I13965,nEVAL,"EX")=0),0))))</f>
      </c>
      <c r="H13965">
        <f>IF(DATOS!$G13965&lt;&gt;"EX",0,--(COUNTIFS(nNIA,DATOS!$A13965,nCURSO,DATOS!$D13965,nESPEC,DATOS!$E13965,nASIG,DATOS!$I13965,nEVAL,"OR")=0))</f>
      </c>
      <c r="I13965">
        <f>IF(DATOS!$I13965="","",IFERROR(VLOOKUP(DATOS!$I13965,CONFIG_ASIGNATURAS!$B$2:$J$91,9,FALSE()),""))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IF(DATOS!$A13966="",0,IF(CONFIG_METADATA!$B$4&lt;&gt;"OR+EX",--(DATOS!$G13966=CONFIG_METADATA!$B$4),IF(DATOS!$G13966="EX",1,IF(DATOS!$G13966="OR",--(COUNTIFS(nNIA,DATOS!$A13966,nCURSO,DATOS!$D13966,nESPEC,DATOS!$E13966,nASIG,DATOS!$I13966,nEVAL,"EX")=0),0))))</f>
      </c>
      <c r="H13966">
        <f>IF(DATOS!$G13966&lt;&gt;"EX",0,--(COUNTIFS(nNIA,DATOS!$A13966,nCURSO,DATOS!$D13966,nESPEC,DATOS!$E13966,nASIG,DATOS!$I13966,nEVAL,"OR")=0))</f>
      </c>
      <c r="I13966">
        <f>IF(DATOS!$I13966="","",IFERROR(VLOOKUP(DATOS!$I13966,CONFIG_ASIGNATURAS!$B$2:$J$91,9,FALSE()),""))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IF(DATOS!$A13967="",0,IF(CONFIG_METADATA!$B$4&lt;&gt;"OR+EX",--(DATOS!$G13967=CONFIG_METADATA!$B$4),IF(DATOS!$G13967="EX",1,IF(DATOS!$G13967="OR",--(COUNTIFS(nNIA,DATOS!$A13967,nCURSO,DATOS!$D13967,nESPEC,DATOS!$E13967,nASIG,DATOS!$I13967,nEVAL,"EX")=0),0))))</f>
      </c>
      <c r="H13967">
        <f>IF(DATOS!$G13967&lt;&gt;"EX",0,--(COUNTIFS(nNIA,DATOS!$A13967,nCURSO,DATOS!$D13967,nESPEC,DATOS!$E13967,nASIG,DATOS!$I13967,nEVAL,"OR")=0))</f>
      </c>
      <c r="I13967">
        <f>IF(DATOS!$I13967="","",IFERROR(VLOOKUP(DATOS!$I13967,CONFIG_ASIGNATURAS!$B$2:$J$91,9,FALSE()),""))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IF(DATOS!$A13968="",0,IF(CONFIG_METADATA!$B$4&lt;&gt;"OR+EX",--(DATOS!$G13968=CONFIG_METADATA!$B$4),IF(DATOS!$G13968="EX",1,IF(DATOS!$G13968="OR",--(COUNTIFS(nNIA,DATOS!$A13968,nCURSO,DATOS!$D13968,nESPEC,DATOS!$E13968,nASIG,DATOS!$I13968,nEVAL,"EX")=0),0))))</f>
      </c>
      <c r="H13968">
        <f>IF(DATOS!$G13968&lt;&gt;"EX",0,--(COUNTIFS(nNIA,DATOS!$A13968,nCURSO,DATOS!$D13968,nESPEC,DATOS!$E13968,nASIG,DATOS!$I13968,nEVAL,"OR")=0))</f>
      </c>
      <c r="I13968">
        <f>IF(DATOS!$I13968="","",IFERROR(VLOOKUP(DATOS!$I13968,CONFIG_ASIGNATURAS!$B$2:$J$91,9,FALSE()),""))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IF(DATOS!$A13969="",0,IF(CONFIG_METADATA!$B$4&lt;&gt;"OR+EX",--(DATOS!$G13969=CONFIG_METADATA!$B$4),IF(DATOS!$G13969="EX",1,IF(DATOS!$G13969="OR",--(COUNTIFS(nNIA,DATOS!$A13969,nCURSO,DATOS!$D13969,nESPEC,DATOS!$E13969,nASIG,DATOS!$I13969,nEVAL,"EX")=0),0))))</f>
      </c>
      <c r="H13969">
        <f>IF(DATOS!$G13969&lt;&gt;"EX",0,--(COUNTIFS(nNIA,DATOS!$A13969,nCURSO,DATOS!$D13969,nESPEC,DATOS!$E13969,nASIG,DATOS!$I13969,nEVAL,"OR")=0))</f>
      </c>
      <c r="I13969">
        <f>IF(DATOS!$I13969="","",IFERROR(VLOOKUP(DATOS!$I13969,CONFIG_ASIGNATURAS!$B$2:$J$91,9,FALSE()),""))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IF(DATOS!$A13970="",0,IF(CONFIG_METADATA!$B$4&lt;&gt;"OR+EX",--(DATOS!$G13970=CONFIG_METADATA!$B$4),IF(DATOS!$G13970="EX",1,IF(DATOS!$G13970="OR",--(COUNTIFS(nNIA,DATOS!$A13970,nCURSO,DATOS!$D13970,nESPEC,DATOS!$E13970,nASIG,DATOS!$I13970,nEVAL,"EX")=0),0))))</f>
      </c>
      <c r="H13970">
        <f>IF(DATOS!$G13970&lt;&gt;"EX",0,--(COUNTIFS(nNIA,DATOS!$A13970,nCURSO,DATOS!$D13970,nESPEC,DATOS!$E13970,nASIG,DATOS!$I13970,nEVAL,"OR")=0))</f>
      </c>
      <c r="I13970">
        <f>IF(DATOS!$I13970="","",IFERROR(VLOOKUP(DATOS!$I13970,CONFIG_ASIGNATURAS!$B$2:$J$91,9,FALSE()),""))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IF(DATOS!$A13971="",0,IF(CONFIG_METADATA!$B$4&lt;&gt;"OR+EX",--(DATOS!$G13971=CONFIG_METADATA!$B$4),IF(DATOS!$G13971="EX",1,IF(DATOS!$G13971="OR",--(COUNTIFS(nNIA,DATOS!$A13971,nCURSO,DATOS!$D13971,nESPEC,DATOS!$E13971,nASIG,DATOS!$I13971,nEVAL,"EX")=0),0))))</f>
      </c>
      <c r="H13971">
        <f>IF(DATOS!$G13971&lt;&gt;"EX",0,--(COUNTIFS(nNIA,DATOS!$A13971,nCURSO,DATOS!$D13971,nESPEC,DATOS!$E13971,nASIG,DATOS!$I13971,nEVAL,"OR")=0))</f>
      </c>
      <c r="I13971">
        <f>IF(DATOS!$I13971="","",IFERROR(VLOOKUP(DATOS!$I13971,CONFIG_ASIGNATURAS!$B$2:$J$91,9,FALSE()),""))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IF(DATOS!$A13972="",0,IF(CONFIG_METADATA!$B$4&lt;&gt;"OR+EX",--(DATOS!$G13972=CONFIG_METADATA!$B$4),IF(DATOS!$G13972="EX",1,IF(DATOS!$G13972="OR",--(COUNTIFS(nNIA,DATOS!$A13972,nCURSO,DATOS!$D13972,nESPEC,DATOS!$E13972,nASIG,DATOS!$I13972,nEVAL,"EX")=0),0))))</f>
      </c>
      <c r="H13972">
        <f>IF(DATOS!$G13972&lt;&gt;"EX",0,--(COUNTIFS(nNIA,DATOS!$A13972,nCURSO,DATOS!$D13972,nESPEC,DATOS!$E13972,nASIG,DATOS!$I13972,nEVAL,"OR")=0))</f>
      </c>
      <c r="I13972">
        <f>IF(DATOS!$I13972="","",IFERROR(VLOOKUP(DATOS!$I13972,CONFIG_ASIGNATURAS!$B$2:$J$91,9,FALSE()),""))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IF(DATOS!$A13973="",0,IF(CONFIG_METADATA!$B$4&lt;&gt;"OR+EX",--(DATOS!$G13973=CONFIG_METADATA!$B$4),IF(DATOS!$G13973="EX",1,IF(DATOS!$G13973="OR",--(COUNTIFS(nNIA,DATOS!$A13973,nCURSO,DATOS!$D13973,nESPEC,DATOS!$E13973,nASIG,DATOS!$I13973,nEVAL,"EX")=0),0))))</f>
      </c>
      <c r="H13973">
        <f>IF(DATOS!$G13973&lt;&gt;"EX",0,--(COUNTIFS(nNIA,DATOS!$A13973,nCURSO,DATOS!$D13973,nESPEC,DATOS!$E13973,nASIG,DATOS!$I13973,nEVAL,"OR")=0))</f>
      </c>
      <c r="I13973">
        <f>IF(DATOS!$I13973="","",IFERROR(VLOOKUP(DATOS!$I13973,CONFIG_ASIGNATURAS!$B$2:$J$91,9,FALSE()),""))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IF(DATOS!$A13974="",0,IF(CONFIG_METADATA!$B$4&lt;&gt;"OR+EX",--(DATOS!$G13974=CONFIG_METADATA!$B$4),IF(DATOS!$G13974="EX",1,IF(DATOS!$G13974="OR",--(COUNTIFS(nNIA,DATOS!$A13974,nCURSO,DATOS!$D13974,nESPEC,DATOS!$E13974,nASIG,DATOS!$I13974,nEVAL,"EX")=0),0))))</f>
      </c>
      <c r="H13974">
        <f>IF(DATOS!$G13974&lt;&gt;"EX",0,--(COUNTIFS(nNIA,DATOS!$A13974,nCURSO,DATOS!$D13974,nESPEC,DATOS!$E13974,nASIG,DATOS!$I13974,nEVAL,"OR")=0))</f>
      </c>
      <c r="I13974">
        <f>IF(DATOS!$I13974="","",IFERROR(VLOOKUP(DATOS!$I13974,CONFIG_ASIGNATURAS!$B$2:$J$91,9,FALSE()),""))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IF(DATOS!$A13975="",0,IF(CONFIG_METADATA!$B$4&lt;&gt;"OR+EX",--(DATOS!$G13975=CONFIG_METADATA!$B$4),IF(DATOS!$G13975="EX",1,IF(DATOS!$G13975="OR",--(COUNTIFS(nNIA,DATOS!$A13975,nCURSO,DATOS!$D13975,nESPEC,DATOS!$E13975,nASIG,DATOS!$I13975,nEVAL,"EX")=0),0))))</f>
      </c>
      <c r="H13975">
        <f>IF(DATOS!$G13975&lt;&gt;"EX",0,--(COUNTIFS(nNIA,DATOS!$A13975,nCURSO,DATOS!$D13975,nESPEC,DATOS!$E13975,nASIG,DATOS!$I13975,nEVAL,"OR")=0))</f>
      </c>
      <c r="I13975">
        <f>IF(DATOS!$I13975="","",IFERROR(VLOOKUP(DATOS!$I13975,CONFIG_ASIGNATURAS!$B$2:$J$91,9,FALSE()),""))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IF(DATOS!$A13976="",0,IF(CONFIG_METADATA!$B$4&lt;&gt;"OR+EX",--(DATOS!$G13976=CONFIG_METADATA!$B$4),IF(DATOS!$G13976="EX",1,IF(DATOS!$G13976="OR",--(COUNTIFS(nNIA,DATOS!$A13976,nCURSO,DATOS!$D13976,nESPEC,DATOS!$E13976,nASIG,DATOS!$I13976,nEVAL,"EX")=0),0))))</f>
      </c>
      <c r="H13976">
        <f>IF(DATOS!$G13976&lt;&gt;"EX",0,--(COUNTIFS(nNIA,DATOS!$A13976,nCURSO,DATOS!$D13976,nESPEC,DATOS!$E13976,nASIG,DATOS!$I13976,nEVAL,"OR")=0))</f>
      </c>
      <c r="I13976">
        <f>IF(DATOS!$I13976="","",IFERROR(VLOOKUP(DATOS!$I13976,CONFIG_ASIGNATURAS!$B$2:$J$91,9,FALSE()),""))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IF(DATOS!$A13977="",0,IF(CONFIG_METADATA!$B$4&lt;&gt;"OR+EX",--(DATOS!$G13977=CONFIG_METADATA!$B$4),IF(DATOS!$G13977="EX",1,IF(DATOS!$G13977="OR",--(COUNTIFS(nNIA,DATOS!$A13977,nCURSO,DATOS!$D13977,nESPEC,DATOS!$E13977,nASIG,DATOS!$I13977,nEVAL,"EX")=0),0))))</f>
      </c>
      <c r="H13977">
        <f>IF(DATOS!$G13977&lt;&gt;"EX",0,--(COUNTIFS(nNIA,DATOS!$A13977,nCURSO,DATOS!$D13977,nESPEC,DATOS!$E13977,nASIG,DATOS!$I13977,nEVAL,"OR")=0))</f>
      </c>
      <c r="I13977">
        <f>IF(DATOS!$I13977="","",IFERROR(VLOOKUP(DATOS!$I13977,CONFIG_ASIGNATURAS!$B$2:$J$91,9,FALSE()),""))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IF(DATOS!$A13978="",0,IF(CONFIG_METADATA!$B$4&lt;&gt;"OR+EX",--(DATOS!$G13978=CONFIG_METADATA!$B$4),IF(DATOS!$G13978="EX",1,IF(DATOS!$G13978="OR",--(COUNTIFS(nNIA,DATOS!$A13978,nCURSO,DATOS!$D13978,nESPEC,DATOS!$E13978,nASIG,DATOS!$I13978,nEVAL,"EX")=0),0))))</f>
      </c>
      <c r="H13978">
        <f>IF(DATOS!$G13978&lt;&gt;"EX",0,--(COUNTIFS(nNIA,DATOS!$A13978,nCURSO,DATOS!$D13978,nESPEC,DATOS!$E13978,nASIG,DATOS!$I13978,nEVAL,"OR")=0))</f>
      </c>
      <c r="I13978">
        <f>IF(DATOS!$I13978="","",IFERROR(VLOOKUP(DATOS!$I13978,CONFIG_ASIGNATURAS!$B$2:$J$91,9,FALSE()),""))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IF(DATOS!$A13979="",0,IF(CONFIG_METADATA!$B$4&lt;&gt;"OR+EX",--(DATOS!$G13979=CONFIG_METADATA!$B$4),IF(DATOS!$G13979="EX",1,IF(DATOS!$G13979="OR",--(COUNTIFS(nNIA,DATOS!$A13979,nCURSO,DATOS!$D13979,nESPEC,DATOS!$E13979,nASIG,DATOS!$I13979,nEVAL,"EX")=0),0))))</f>
      </c>
      <c r="H13979">
        <f>IF(DATOS!$G13979&lt;&gt;"EX",0,--(COUNTIFS(nNIA,DATOS!$A13979,nCURSO,DATOS!$D13979,nESPEC,DATOS!$E13979,nASIG,DATOS!$I13979,nEVAL,"OR")=0))</f>
      </c>
      <c r="I13979">
        <f>IF(DATOS!$I13979="","",IFERROR(VLOOKUP(DATOS!$I13979,CONFIG_ASIGNATURAS!$B$2:$J$91,9,FALSE()),""))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IF(DATOS!$A13980="",0,IF(CONFIG_METADATA!$B$4&lt;&gt;"OR+EX",--(DATOS!$G13980=CONFIG_METADATA!$B$4),IF(DATOS!$G13980="EX",1,IF(DATOS!$G13980="OR",--(COUNTIFS(nNIA,DATOS!$A13980,nCURSO,DATOS!$D13980,nESPEC,DATOS!$E13980,nASIG,DATOS!$I13980,nEVAL,"EX")=0),0))))</f>
      </c>
      <c r="H13980">
        <f>IF(DATOS!$G13980&lt;&gt;"EX",0,--(COUNTIFS(nNIA,DATOS!$A13980,nCURSO,DATOS!$D13980,nESPEC,DATOS!$E13980,nASIG,DATOS!$I13980,nEVAL,"OR")=0))</f>
      </c>
      <c r="I13980">
        <f>IF(DATOS!$I13980="","",IFERROR(VLOOKUP(DATOS!$I13980,CONFIG_ASIGNATURAS!$B$2:$J$91,9,FALSE()),""))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IF(DATOS!$A13981="",0,IF(CONFIG_METADATA!$B$4&lt;&gt;"OR+EX",--(DATOS!$G13981=CONFIG_METADATA!$B$4),IF(DATOS!$G13981="EX",1,IF(DATOS!$G13981="OR",--(COUNTIFS(nNIA,DATOS!$A13981,nCURSO,DATOS!$D13981,nESPEC,DATOS!$E13981,nASIG,DATOS!$I13981,nEVAL,"EX")=0),0))))</f>
      </c>
      <c r="H13981">
        <f>IF(DATOS!$G13981&lt;&gt;"EX",0,--(COUNTIFS(nNIA,DATOS!$A13981,nCURSO,DATOS!$D13981,nESPEC,DATOS!$E13981,nASIG,DATOS!$I13981,nEVAL,"OR")=0))</f>
      </c>
      <c r="I13981">
        <f>IF(DATOS!$I13981="","",IFERROR(VLOOKUP(DATOS!$I13981,CONFIG_ASIGNATURAS!$B$2:$J$91,9,FALSE()),""))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IF(DATOS!$A13982="",0,IF(CONFIG_METADATA!$B$4&lt;&gt;"OR+EX",--(DATOS!$G13982=CONFIG_METADATA!$B$4),IF(DATOS!$G13982="EX",1,IF(DATOS!$G13982="OR",--(COUNTIFS(nNIA,DATOS!$A13982,nCURSO,DATOS!$D13982,nESPEC,DATOS!$E13982,nASIG,DATOS!$I13982,nEVAL,"EX")=0),0))))</f>
      </c>
      <c r="H13982">
        <f>IF(DATOS!$G13982&lt;&gt;"EX",0,--(COUNTIFS(nNIA,DATOS!$A13982,nCURSO,DATOS!$D13982,nESPEC,DATOS!$E13982,nASIG,DATOS!$I13982,nEVAL,"OR")=0))</f>
      </c>
      <c r="I13982">
        <f>IF(DATOS!$I13982="","",IFERROR(VLOOKUP(DATOS!$I13982,CONFIG_ASIGNATURAS!$B$2:$J$91,9,FALSE()),""))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IF(DATOS!$A13983="",0,IF(CONFIG_METADATA!$B$4&lt;&gt;"OR+EX",--(DATOS!$G13983=CONFIG_METADATA!$B$4),IF(DATOS!$G13983="EX",1,IF(DATOS!$G13983="OR",--(COUNTIFS(nNIA,DATOS!$A13983,nCURSO,DATOS!$D13983,nESPEC,DATOS!$E13983,nASIG,DATOS!$I13983,nEVAL,"EX")=0),0))))</f>
      </c>
      <c r="H13983">
        <f>IF(DATOS!$G13983&lt;&gt;"EX",0,--(COUNTIFS(nNIA,DATOS!$A13983,nCURSO,DATOS!$D13983,nESPEC,DATOS!$E13983,nASIG,DATOS!$I13983,nEVAL,"OR")=0))</f>
      </c>
      <c r="I13983">
        <f>IF(DATOS!$I13983="","",IFERROR(VLOOKUP(DATOS!$I13983,CONFIG_ASIGNATURAS!$B$2:$J$91,9,FALSE()),""))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IF(DATOS!$A13984="",0,IF(CONFIG_METADATA!$B$4&lt;&gt;"OR+EX",--(DATOS!$G13984=CONFIG_METADATA!$B$4),IF(DATOS!$G13984="EX",1,IF(DATOS!$G13984="OR",--(COUNTIFS(nNIA,DATOS!$A13984,nCURSO,DATOS!$D13984,nESPEC,DATOS!$E13984,nASIG,DATOS!$I13984,nEVAL,"EX")=0),0))))</f>
      </c>
      <c r="H13984">
        <f>IF(DATOS!$G13984&lt;&gt;"EX",0,--(COUNTIFS(nNIA,DATOS!$A13984,nCURSO,DATOS!$D13984,nESPEC,DATOS!$E13984,nASIG,DATOS!$I13984,nEVAL,"OR")=0))</f>
      </c>
      <c r="I13984">
        <f>IF(DATOS!$I13984="","",IFERROR(VLOOKUP(DATOS!$I13984,CONFIG_ASIGNATURAS!$B$2:$J$91,9,FALSE()),""))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IF(DATOS!$A13985="",0,IF(CONFIG_METADATA!$B$4&lt;&gt;"OR+EX",--(DATOS!$G13985=CONFIG_METADATA!$B$4),IF(DATOS!$G13985="EX",1,IF(DATOS!$G13985="OR",--(COUNTIFS(nNIA,DATOS!$A13985,nCURSO,DATOS!$D13985,nESPEC,DATOS!$E13985,nASIG,DATOS!$I13985,nEVAL,"EX")=0),0))))</f>
      </c>
      <c r="H13985">
        <f>IF(DATOS!$G13985&lt;&gt;"EX",0,--(COUNTIFS(nNIA,DATOS!$A13985,nCURSO,DATOS!$D13985,nESPEC,DATOS!$E13985,nASIG,DATOS!$I13985,nEVAL,"OR")=0))</f>
      </c>
      <c r="I13985">
        <f>IF(DATOS!$I13985="","",IFERROR(VLOOKUP(DATOS!$I13985,CONFIG_ASIGNATURAS!$B$2:$J$91,9,FALSE()),""))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IF(DATOS!$A13986="",0,IF(CONFIG_METADATA!$B$4&lt;&gt;"OR+EX",--(DATOS!$G13986=CONFIG_METADATA!$B$4),IF(DATOS!$G13986="EX",1,IF(DATOS!$G13986="OR",--(COUNTIFS(nNIA,DATOS!$A13986,nCURSO,DATOS!$D13986,nESPEC,DATOS!$E13986,nASIG,DATOS!$I13986,nEVAL,"EX")=0),0))))</f>
      </c>
      <c r="H13986">
        <f>IF(DATOS!$G13986&lt;&gt;"EX",0,--(COUNTIFS(nNIA,DATOS!$A13986,nCURSO,DATOS!$D13986,nESPEC,DATOS!$E13986,nASIG,DATOS!$I13986,nEVAL,"OR")=0))</f>
      </c>
      <c r="I13986">
        <f>IF(DATOS!$I13986="","",IFERROR(VLOOKUP(DATOS!$I13986,CONFIG_ASIGNATURAS!$B$2:$J$91,9,FALSE()),""))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IF(DATOS!$A13987="",0,IF(CONFIG_METADATA!$B$4&lt;&gt;"OR+EX",--(DATOS!$G13987=CONFIG_METADATA!$B$4),IF(DATOS!$G13987="EX",1,IF(DATOS!$G13987="OR",--(COUNTIFS(nNIA,DATOS!$A13987,nCURSO,DATOS!$D13987,nESPEC,DATOS!$E13987,nASIG,DATOS!$I13987,nEVAL,"EX")=0),0))))</f>
      </c>
      <c r="H13987">
        <f>IF(DATOS!$G13987&lt;&gt;"EX",0,--(COUNTIFS(nNIA,DATOS!$A13987,nCURSO,DATOS!$D13987,nESPEC,DATOS!$E13987,nASIG,DATOS!$I13987,nEVAL,"OR")=0))</f>
      </c>
      <c r="I13987">
        <f>IF(DATOS!$I13987="","",IFERROR(VLOOKUP(DATOS!$I13987,CONFIG_ASIGNATURAS!$B$2:$J$91,9,FALSE()),""))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IF(DATOS!$A13988="",0,IF(CONFIG_METADATA!$B$4&lt;&gt;"OR+EX",--(DATOS!$G13988=CONFIG_METADATA!$B$4),IF(DATOS!$G13988="EX",1,IF(DATOS!$G13988="OR",--(COUNTIFS(nNIA,DATOS!$A13988,nCURSO,DATOS!$D13988,nESPEC,DATOS!$E13988,nASIG,DATOS!$I13988,nEVAL,"EX")=0),0))))</f>
      </c>
      <c r="H13988">
        <f>IF(DATOS!$G13988&lt;&gt;"EX",0,--(COUNTIFS(nNIA,DATOS!$A13988,nCURSO,DATOS!$D13988,nESPEC,DATOS!$E13988,nASIG,DATOS!$I13988,nEVAL,"OR")=0))</f>
      </c>
      <c r="I13988">
        <f>IF(DATOS!$I13988="","",IFERROR(VLOOKUP(DATOS!$I13988,CONFIG_ASIGNATURAS!$B$2:$J$91,9,FALSE()),""))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IF(DATOS!$A13989="",0,IF(CONFIG_METADATA!$B$4&lt;&gt;"OR+EX",--(DATOS!$G13989=CONFIG_METADATA!$B$4),IF(DATOS!$G13989="EX",1,IF(DATOS!$G13989="OR",--(COUNTIFS(nNIA,DATOS!$A13989,nCURSO,DATOS!$D13989,nESPEC,DATOS!$E13989,nASIG,DATOS!$I13989,nEVAL,"EX")=0),0))))</f>
      </c>
      <c r="H13989">
        <f>IF(DATOS!$G13989&lt;&gt;"EX",0,--(COUNTIFS(nNIA,DATOS!$A13989,nCURSO,DATOS!$D13989,nESPEC,DATOS!$E13989,nASIG,DATOS!$I13989,nEVAL,"OR")=0))</f>
      </c>
      <c r="I13989">
        <f>IF(DATOS!$I13989="","",IFERROR(VLOOKUP(DATOS!$I13989,CONFIG_ASIGNATURAS!$B$2:$J$91,9,FALSE()),""))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IF(DATOS!$A13990="",0,IF(CONFIG_METADATA!$B$4&lt;&gt;"OR+EX",--(DATOS!$G13990=CONFIG_METADATA!$B$4),IF(DATOS!$G13990="EX",1,IF(DATOS!$G13990="OR",--(COUNTIFS(nNIA,DATOS!$A13990,nCURSO,DATOS!$D13990,nESPEC,DATOS!$E13990,nASIG,DATOS!$I13990,nEVAL,"EX")=0),0))))</f>
      </c>
      <c r="H13990">
        <f>IF(DATOS!$G13990&lt;&gt;"EX",0,--(COUNTIFS(nNIA,DATOS!$A13990,nCURSO,DATOS!$D13990,nESPEC,DATOS!$E13990,nASIG,DATOS!$I13990,nEVAL,"OR")=0))</f>
      </c>
      <c r="I13990">
        <f>IF(DATOS!$I13990="","",IFERROR(VLOOKUP(DATOS!$I13990,CONFIG_ASIGNATURAS!$B$2:$J$91,9,FALSE()),""))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IF(DATOS!$A13991="",0,IF(CONFIG_METADATA!$B$4&lt;&gt;"OR+EX",--(DATOS!$G13991=CONFIG_METADATA!$B$4),IF(DATOS!$G13991="EX",1,IF(DATOS!$G13991="OR",--(COUNTIFS(nNIA,DATOS!$A13991,nCURSO,DATOS!$D13991,nESPEC,DATOS!$E13991,nASIG,DATOS!$I13991,nEVAL,"EX")=0),0))))</f>
      </c>
      <c r="H13991">
        <f>IF(DATOS!$G13991&lt;&gt;"EX",0,--(COUNTIFS(nNIA,DATOS!$A13991,nCURSO,DATOS!$D13991,nESPEC,DATOS!$E13991,nASIG,DATOS!$I13991,nEVAL,"OR")=0))</f>
      </c>
      <c r="I13991">
        <f>IF(DATOS!$I13991="","",IFERROR(VLOOKUP(DATOS!$I13991,CONFIG_ASIGNATURAS!$B$2:$J$91,9,FALSE()),""))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IF(DATOS!$A13992="",0,IF(CONFIG_METADATA!$B$4&lt;&gt;"OR+EX",--(DATOS!$G13992=CONFIG_METADATA!$B$4),IF(DATOS!$G13992="EX",1,IF(DATOS!$G13992="OR",--(COUNTIFS(nNIA,DATOS!$A13992,nCURSO,DATOS!$D13992,nESPEC,DATOS!$E13992,nASIG,DATOS!$I13992,nEVAL,"EX")=0),0))))</f>
      </c>
      <c r="H13992">
        <f>IF(DATOS!$G13992&lt;&gt;"EX",0,--(COUNTIFS(nNIA,DATOS!$A13992,nCURSO,DATOS!$D13992,nESPEC,DATOS!$E13992,nASIG,DATOS!$I13992,nEVAL,"OR")=0))</f>
      </c>
      <c r="I13992">
        <f>IF(DATOS!$I13992="","",IFERROR(VLOOKUP(DATOS!$I13992,CONFIG_ASIGNATURAS!$B$2:$J$91,9,FALSE()),""))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IF(DATOS!$A13993="",0,IF(CONFIG_METADATA!$B$4&lt;&gt;"OR+EX",--(DATOS!$G13993=CONFIG_METADATA!$B$4),IF(DATOS!$G13993="EX",1,IF(DATOS!$G13993="OR",--(COUNTIFS(nNIA,DATOS!$A13993,nCURSO,DATOS!$D13993,nESPEC,DATOS!$E13993,nASIG,DATOS!$I13993,nEVAL,"EX")=0),0))))</f>
      </c>
      <c r="H13993">
        <f>IF(DATOS!$G13993&lt;&gt;"EX",0,--(COUNTIFS(nNIA,DATOS!$A13993,nCURSO,DATOS!$D13993,nESPEC,DATOS!$E13993,nASIG,DATOS!$I13993,nEVAL,"OR")=0))</f>
      </c>
      <c r="I13993">
        <f>IF(DATOS!$I13993="","",IFERROR(VLOOKUP(DATOS!$I13993,CONFIG_ASIGNATURAS!$B$2:$J$91,9,FALSE()),""))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IF(DATOS!$A13994="",0,IF(CONFIG_METADATA!$B$4&lt;&gt;"OR+EX",--(DATOS!$G13994=CONFIG_METADATA!$B$4),IF(DATOS!$G13994="EX",1,IF(DATOS!$G13994="OR",--(COUNTIFS(nNIA,DATOS!$A13994,nCURSO,DATOS!$D13994,nESPEC,DATOS!$E13994,nASIG,DATOS!$I13994,nEVAL,"EX")=0),0))))</f>
      </c>
      <c r="H13994">
        <f>IF(DATOS!$G13994&lt;&gt;"EX",0,--(COUNTIFS(nNIA,DATOS!$A13994,nCURSO,DATOS!$D13994,nESPEC,DATOS!$E13994,nASIG,DATOS!$I13994,nEVAL,"OR")=0))</f>
      </c>
      <c r="I13994">
        <f>IF(DATOS!$I13994="","",IFERROR(VLOOKUP(DATOS!$I13994,CONFIG_ASIGNATURAS!$B$2:$J$91,9,FALSE()),""))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IF(DATOS!$A13995="",0,IF(CONFIG_METADATA!$B$4&lt;&gt;"OR+EX",--(DATOS!$G13995=CONFIG_METADATA!$B$4),IF(DATOS!$G13995="EX",1,IF(DATOS!$G13995="OR",--(COUNTIFS(nNIA,DATOS!$A13995,nCURSO,DATOS!$D13995,nESPEC,DATOS!$E13995,nASIG,DATOS!$I13995,nEVAL,"EX")=0),0))))</f>
      </c>
      <c r="H13995">
        <f>IF(DATOS!$G13995&lt;&gt;"EX",0,--(COUNTIFS(nNIA,DATOS!$A13995,nCURSO,DATOS!$D13995,nESPEC,DATOS!$E13995,nASIG,DATOS!$I13995,nEVAL,"OR")=0))</f>
      </c>
      <c r="I13995">
        <f>IF(DATOS!$I13995="","",IFERROR(VLOOKUP(DATOS!$I13995,CONFIG_ASIGNATURAS!$B$2:$J$91,9,FALSE()),""))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IF(DATOS!$A13996="",0,IF(CONFIG_METADATA!$B$4&lt;&gt;"OR+EX",--(DATOS!$G13996=CONFIG_METADATA!$B$4),IF(DATOS!$G13996="EX",1,IF(DATOS!$G13996="OR",--(COUNTIFS(nNIA,DATOS!$A13996,nCURSO,DATOS!$D13996,nESPEC,DATOS!$E13996,nASIG,DATOS!$I13996,nEVAL,"EX")=0),0))))</f>
      </c>
      <c r="H13996">
        <f>IF(DATOS!$G13996&lt;&gt;"EX",0,--(COUNTIFS(nNIA,DATOS!$A13996,nCURSO,DATOS!$D13996,nESPEC,DATOS!$E13996,nASIG,DATOS!$I13996,nEVAL,"OR")=0))</f>
      </c>
      <c r="I13996">
        <f>IF(DATOS!$I13996="","",IFERROR(VLOOKUP(DATOS!$I13996,CONFIG_ASIGNATURAS!$B$2:$J$91,9,FALSE()),""))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IF(DATOS!$A13997="",0,IF(CONFIG_METADATA!$B$4&lt;&gt;"OR+EX",--(DATOS!$G13997=CONFIG_METADATA!$B$4),IF(DATOS!$G13997="EX",1,IF(DATOS!$G13997="OR",--(COUNTIFS(nNIA,DATOS!$A13997,nCURSO,DATOS!$D13997,nESPEC,DATOS!$E13997,nASIG,DATOS!$I13997,nEVAL,"EX")=0),0))))</f>
      </c>
      <c r="H13997">
        <f>IF(DATOS!$G13997&lt;&gt;"EX",0,--(COUNTIFS(nNIA,DATOS!$A13997,nCURSO,DATOS!$D13997,nESPEC,DATOS!$E13997,nASIG,DATOS!$I13997,nEVAL,"OR")=0))</f>
      </c>
      <c r="I13997">
        <f>IF(DATOS!$I13997="","",IFERROR(VLOOKUP(DATOS!$I13997,CONFIG_ASIGNATURAS!$B$2:$J$91,9,FALSE()),""))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IF(DATOS!$A13998="",0,IF(CONFIG_METADATA!$B$4&lt;&gt;"OR+EX",--(DATOS!$G13998=CONFIG_METADATA!$B$4),IF(DATOS!$G13998="EX",1,IF(DATOS!$G13998="OR",--(COUNTIFS(nNIA,DATOS!$A13998,nCURSO,DATOS!$D13998,nESPEC,DATOS!$E13998,nASIG,DATOS!$I13998,nEVAL,"EX")=0),0))))</f>
      </c>
      <c r="H13998">
        <f>IF(DATOS!$G13998&lt;&gt;"EX",0,--(COUNTIFS(nNIA,DATOS!$A13998,nCURSO,DATOS!$D13998,nESPEC,DATOS!$E13998,nASIG,DATOS!$I13998,nEVAL,"OR")=0))</f>
      </c>
      <c r="I13998">
        <f>IF(DATOS!$I13998="","",IFERROR(VLOOKUP(DATOS!$I13998,CONFIG_ASIGNATURAS!$B$2:$J$91,9,FALSE()),""))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IF(DATOS!$A13999="",0,IF(CONFIG_METADATA!$B$4&lt;&gt;"OR+EX",--(DATOS!$G13999=CONFIG_METADATA!$B$4),IF(DATOS!$G13999="EX",1,IF(DATOS!$G13999="OR",--(COUNTIFS(nNIA,DATOS!$A13999,nCURSO,DATOS!$D13999,nESPEC,DATOS!$E13999,nASIG,DATOS!$I13999,nEVAL,"EX")=0),0))))</f>
      </c>
      <c r="H13999">
        <f>IF(DATOS!$G13999&lt;&gt;"EX",0,--(COUNTIFS(nNIA,DATOS!$A13999,nCURSO,DATOS!$D13999,nESPEC,DATOS!$E13999,nASIG,DATOS!$I13999,nEVAL,"OR")=0))</f>
      </c>
      <c r="I13999">
        <f>IF(DATOS!$I13999="","",IFERROR(VLOOKUP(DATOS!$I13999,CONFIG_ASIGNATURAS!$B$2:$J$91,9,FALSE()),""))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IF(DATOS!$A14000="",0,IF(CONFIG_METADATA!$B$4&lt;&gt;"OR+EX",--(DATOS!$G14000=CONFIG_METADATA!$B$4),IF(DATOS!$G14000="EX",1,IF(DATOS!$G14000="OR",--(COUNTIFS(nNIA,DATOS!$A14000,nCURSO,DATOS!$D14000,nESPEC,DATOS!$E14000,nASIG,DATOS!$I14000,nEVAL,"EX")=0),0))))</f>
      </c>
      <c r="H14000">
        <f>IF(DATOS!$G14000&lt;&gt;"EX",0,--(COUNTIFS(nNIA,DATOS!$A14000,nCURSO,DATOS!$D14000,nESPEC,DATOS!$E14000,nASIG,DATOS!$I14000,nEVAL,"OR")=0))</f>
      </c>
      <c r="I14000">
        <f>IF(DATOS!$I14000="","",IFERROR(VLOOKUP(DATOS!$I14000,CONFIG_ASIGNATURAS!$B$2:$J$91,9,FALSE()),""))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IF(DATOS!$A14001="",0,IF(CONFIG_METADATA!$B$4&lt;&gt;"OR+EX",--(DATOS!$G14001=CONFIG_METADATA!$B$4),IF(DATOS!$G14001="EX",1,IF(DATOS!$G14001="OR",--(COUNTIFS(nNIA,DATOS!$A14001,nCURSO,DATOS!$D14001,nESPEC,DATOS!$E14001,nASIG,DATOS!$I14001,nEVAL,"EX")=0),0))))</f>
      </c>
      <c r="H14001">
        <f>IF(DATOS!$G14001&lt;&gt;"EX",0,--(COUNTIFS(nNIA,DATOS!$A14001,nCURSO,DATOS!$D14001,nESPEC,DATOS!$E14001,nASIG,DATOS!$I14001,nEVAL,"OR")=0))</f>
      </c>
      <c r="I14001">
        <f>IF(DATOS!$I14001="","",IFERROR(VLOOKUP(DATOS!$I14001,CONFIG_ASIGNATURAS!$B$2:$J$91,9,FALSE()),""))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IF(DATOS!$A14002="",0,IF(CONFIG_METADATA!$B$4&lt;&gt;"OR+EX",--(DATOS!$G14002=CONFIG_METADATA!$B$4),IF(DATOS!$G14002="EX",1,IF(DATOS!$G14002="OR",--(COUNTIFS(nNIA,DATOS!$A14002,nCURSO,DATOS!$D14002,nESPEC,DATOS!$E14002,nASIG,DATOS!$I14002,nEVAL,"EX")=0),0))))</f>
      </c>
      <c r="H14002">
        <f>IF(DATOS!$G14002&lt;&gt;"EX",0,--(COUNTIFS(nNIA,DATOS!$A14002,nCURSO,DATOS!$D14002,nESPEC,DATOS!$E14002,nASIG,DATOS!$I14002,nEVAL,"OR")=0))</f>
      </c>
      <c r="I14002">
        <f>IF(DATOS!$I14002="","",IFERROR(VLOOKUP(DATOS!$I14002,CONFIG_ASIGNATURAS!$B$2:$J$91,9,FALSE()),""))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IF(DATOS!$A14003="",0,IF(CONFIG_METADATA!$B$4&lt;&gt;"OR+EX",--(DATOS!$G14003=CONFIG_METADATA!$B$4),IF(DATOS!$G14003="EX",1,IF(DATOS!$G14003="OR",--(COUNTIFS(nNIA,DATOS!$A14003,nCURSO,DATOS!$D14003,nESPEC,DATOS!$E14003,nASIG,DATOS!$I14003,nEVAL,"EX")=0),0))))</f>
      </c>
      <c r="H14003">
        <f>IF(DATOS!$G14003&lt;&gt;"EX",0,--(COUNTIFS(nNIA,DATOS!$A14003,nCURSO,DATOS!$D14003,nESPEC,DATOS!$E14003,nASIG,DATOS!$I14003,nEVAL,"OR")=0))</f>
      </c>
      <c r="I14003">
        <f>IF(DATOS!$I14003="","",IFERROR(VLOOKUP(DATOS!$I14003,CONFIG_ASIGNATURAS!$B$2:$J$91,9,FALSE()),""))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IF(DATOS!$A14004="",0,IF(CONFIG_METADATA!$B$4&lt;&gt;"OR+EX",--(DATOS!$G14004=CONFIG_METADATA!$B$4),IF(DATOS!$G14004="EX",1,IF(DATOS!$G14004="OR",--(COUNTIFS(nNIA,DATOS!$A14004,nCURSO,DATOS!$D14004,nESPEC,DATOS!$E14004,nASIG,DATOS!$I14004,nEVAL,"EX")=0),0))))</f>
      </c>
      <c r="H14004">
        <f>IF(DATOS!$G14004&lt;&gt;"EX",0,--(COUNTIFS(nNIA,DATOS!$A14004,nCURSO,DATOS!$D14004,nESPEC,DATOS!$E14004,nASIG,DATOS!$I14004,nEVAL,"OR")=0))</f>
      </c>
      <c r="I14004">
        <f>IF(DATOS!$I14004="","",IFERROR(VLOOKUP(DATOS!$I14004,CONFIG_ASIGNATURAS!$B$2:$J$91,9,FALSE()),""))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IF(DATOS!$A14005="",0,IF(CONFIG_METADATA!$B$4&lt;&gt;"OR+EX",--(DATOS!$G14005=CONFIG_METADATA!$B$4),IF(DATOS!$G14005="EX",1,IF(DATOS!$G14005="OR",--(COUNTIFS(nNIA,DATOS!$A14005,nCURSO,DATOS!$D14005,nESPEC,DATOS!$E14005,nASIG,DATOS!$I14005,nEVAL,"EX")=0),0))))</f>
      </c>
      <c r="H14005">
        <f>IF(DATOS!$G14005&lt;&gt;"EX",0,--(COUNTIFS(nNIA,DATOS!$A14005,nCURSO,DATOS!$D14005,nESPEC,DATOS!$E14005,nASIG,DATOS!$I14005,nEVAL,"OR")=0))</f>
      </c>
      <c r="I14005">
        <f>IF(DATOS!$I14005="","",IFERROR(VLOOKUP(DATOS!$I14005,CONFIG_ASIGNATURAS!$B$2:$J$91,9,FALSE()),""))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IF(DATOS!$A14006="",0,IF(CONFIG_METADATA!$B$4&lt;&gt;"OR+EX",--(DATOS!$G14006=CONFIG_METADATA!$B$4),IF(DATOS!$G14006="EX",1,IF(DATOS!$G14006="OR",--(COUNTIFS(nNIA,DATOS!$A14006,nCURSO,DATOS!$D14006,nESPEC,DATOS!$E14006,nASIG,DATOS!$I14006,nEVAL,"EX")=0),0))))</f>
      </c>
      <c r="H14006">
        <f>IF(DATOS!$G14006&lt;&gt;"EX",0,--(COUNTIFS(nNIA,DATOS!$A14006,nCURSO,DATOS!$D14006,nESPEC,DATOS!$E14006,nASIG,DATOS!$I14006,nEVAL,"OR")=0))</f>
      </c>
      <c r="I14006">
        <f>IF(DATOS!$I14006="","",IFERROR(VLOOKUP(DATOS!$I14006,CONFIG_ASIGNATURAS!$B$2:$J$91,9,FALSE()),""))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IF(DATOS!$A14007="",0,IF(CONFIG_METADATA!$B$4&lt;&gt;"OR+EX",--(DATOS!$G14007=CONFIG_METADATA!$B$4),IF(DATOS!$G14007="EX",1,IF(DATOS!$G14007="OR",--(COUNTIFS(nNIA,DATOS!$A14007,nCURSO,DATOS!$D14007,nESPEC,DATOS!$E14007,nASIG,DATOS!$I14007,nEVAL,"EX")=0),0))))</f>
      </c>
      <c r="H14007">
        <f>IF(DATOS!$G14007&lt;&gt;"EX",0,--(COUNTIFS(nNIA,DATOS!$A14007,nCURSO,DATOS!$D14007,nESPEC,DATOS!$E14007,nASIG,DATOS!$I14007,nEVAL,"OR")=0))</f>
      </c>
      <c r="I14007">
        <f>IF(DATOS!$I14007="","",IFERROR(VLOOKUP(DATOS!$I14007,CONFIG_ASIGNATURAS!$B$2:$J$91,9,FALSE()),""))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IF(DATOS!$A14008="",0,IF(CONFIG_METADATA!$B$4&lt;&gt;"OR+EX",--(DATOS!$G14008=CONFIG_METADATA!$B$4),IF(DATOS!$G14008="EX",1,IF(DATOS!$G14008="OR",--(COUNTIFS(nNIA,DATOS!$A14008,nCURSO,DATOS!$D14008,nESPEC,DATOS!$E14008,nASIG,DATOS!$I14008,nEVAL,"EX")=0),0))))</f>
      </c>
      <c r="H14008">
        <f>IF(DATOS!$G14008&lt;&gt;"EX",0,--(COUNTIFS(nNIA,DATOS!$A14008,nCURSO,DATOS!$D14008,nESPEC,DATOS!$E14008,nASIG,DATOS!$I14008,nEVAL,"OR")=0))</f>
      </c>
      <c r="I14008">
        <f>IF(DATOS!$I14008="","",IFERROR(VLOOKUP(DATOS!$I14008,CONFIG_ASIGNATURAS!$B$2:$J$91,9,FALSE()),""))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IF(DATOS!$A14009="",0,IF(CONFIG_METADATA!$B$4&lt;&gt;"OR+EX",--(DATOS!$G14009=CONFIG_METADATA!$B$4),IF(DATOS!$G14009="EX",1,IF(DATOS!$G14009="OR",--(COUNTIFS(nNIA,DATOS!$A14009,nCURSO,DATOS!$D14009,nESPEC,DATOS!$E14009,nASIG,DATOS!$I14009,nEVAL,"EX")=0),0))))</f>
      </c>
      <c r="H14009">
        <f>IF(DATOS!$G14009&lt;&gt;"EX",0,--(COUNTIFS(nNIA,DATOS!$A14009,nCURSO,DATOS!$D14009,nESPEC,DATOS!$E14009,nASIG,DATOS!$I14009,nEVAL,"OR")=0))</f>
      </c>
      <c r="I14009">
        <f>IF(DATOS!$I14009="","",IFERROR(VLOOKUP(DATOS!$I14009,CONFIG_ASIGNATURAS!$B$2:$J$91,9,FALSE()),""))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IF(DATOS!$A14010="",0,IF(CONFIG_METADATA!$B$4&lt;&gt;"OR+EX",--(DATOS!$G14010=CONFIG_METADATA!$B$4),IF(DATOS!$G14010="EX",1,IF(DATOS!$G14010="OR",--(COUNTIFS(nNIA,DATOS!$A14010,nCURSO,DATOS!$D14010,nESPEC,DATOS!$E14010,nASIG,DATOS!$I14010,nEVAL,"EX")=0),0))))</f>
      </c>
      <c r="H14010">
        <f>IF(DATOS!$G14010&lt;&gt;"EX",0,--(COUNTIFS(nNIA,DATOS!$A14010,nCURSO,DATOS!$D14010,nESPEC,DATOS!$E14010,nASIG,DATOS!$I14010,nEVAL,"OR")=0))</f>
      </c>
      <c r="I14010">
        <f>IF(DATOS!$I14010="","",IFERROR(VLOOKUP(DATOS!$I14010,CONFIG_ASIGNATURAS!$B$2:$J$91,9,FALSE()),""))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IF(DATOS!$A14011="",0,IF(CONFIG_METADATA!$B$4&lt;&gt;"OR+EX",--(DATOS!$G14011=CONFIG_METADATA!$B$4),IF(DATOS!$G14011="EX",1,IF(DATOS!$G14011="OR",--(COUNTIFS(nNIA,DATOS!$A14011,nCURSO,DATOS!$D14011,nESPEC,DATOS!$E14011,nASIG,DATOS!$I14011,nEVAL,"EX")=0),0))))</f>
      </c>
      <c r="H14011">
        <f>IF(DATOS!$G14011&lt;&gt;"EX",0,--(COUNTIFS(nNIA,DATOS!$A14011,nCURSO,DATOS!$D14011,nESPEC,DATOS!$E14011,nASIG,DATOS!$I14011,nEVAL,"OR")=0))</f>
      </c>
      <c r="I14011">
        <f>IF(DATOS!$I14011="","",IFERROR(VLOOKUP(DATOS!$I14011,CONFIG_ASIGNATURAS!$B$2:$J$91,9,FALSE()),""))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IF(DATOS!$A14012="",0,IF(CONFIG_METADATA!$B$4&lt;&gt;"OR+EX",--(DATOS!$G14012=CONFIG_METADATA!$B$4),IF(DATOS!$G14012="EX",1,IF(DATOS!$G14012="OR",--(COUNTIFS(nNIA,DATOS!$A14012,nCURSO,DATOS!$D14012,nESPEC,DATOS!$E14012,nASIG,DATOS!$I14012,nEVAL,"EX")=0),0))))</f>
      </c>
      <c r="H14012">
        <f>IF(DATOS!$G14012&lt;&gt;"EX",0,--(COUNTIFS(nNIA,DATOS!$A14012,nCURSO,DATOS!$D14012,nESPEC,DATOS!$E14012,nASIG,DATOS!$I14012,nEVAL,"OR")=0))</f>
      </c>
      <c r="I14012">
        <f>IF(DATOS!$I14012="","",IFERROR(VLOOKUP(DATOS!$I14012,CONFIG_ASIGNATURAS!$B$2:$J$91,9,FALSE()),""))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IF(DATOS!$A14013="",0,IF(CONFIG_METADATA!$B$4&lt;&gt;"OR+EX",--(DATOS!$G14013=CONFIG_METADATA!$B$4),IF(DATOS!$G14013="EX",1,IF(DATOS!$G14013="OR",--(COUNTIFS(nNIA,DATOS!$A14013,nCURSO,DATOS!$D14013,nESPEC,DATOS!$E14013,nASIG,DATOS!$I14013,nEVAL,"EX")=0),0))))</f>
      </c>
      <c r="H14013">
        <f>IF(DATOS!$G14013&lt;&gt;"EX",0,--(COUNTIFS(nNIA,DATOS!$A14013,nCURSO,DATOS!$D14013,nESPEC,DATOS!$E14013,nASIG,DATOS!$I14013,nEVAL,"OR")=0))</f>
      </c>
      <c r="I14013">
        <f>IF(DATOS!$I14013="","",IFERROR(VLOOKUP(DATOS!$I14013,CONFIG_ASIGNATURAS!$B$2:$J$91,9,FALSE()),""))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IF(DATOS!$A14014="",0,IF(CONFIG_METADATA!$B$4&lt;&gt;"OR+EX",--(DATOS!$G14014=CONFIG_METADATA!$B$4),IF(DATOS!$G14014="EX",1,IF(DATOS!$G14014="OR",--(COUNTIFS(nNIA,DATOS!$A14014,nCURSO,DATOS!$D14014,nESPEC,DATOS!$E14014,nASIG,DATOS!$I14014,nEVAL,"EX")=0),0))))</f>
      </c>
      <c r="H14014">
        <f>IF(DATOS!$G14014&lt;&gt;"EX",0,--(COUNTIFS(nNIA,DATOS!$A14014,nCURSO,DATOS!$D14014,nESPEC,DATOS!$E14014,nASIG,DATOS!$I14014,nEVAL,"OR")=0))</f>
      </c>
      <c r="I14014">
        <f>IF(DATOS!$I14014="","",IFERROR(VLOOKUP(DATOS!$I14014,CONFIG_ASIGNATURAS!$B$2:$J$91,9,FALSE()),""))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IF(DATOS!$A14015="",0,IF(CONFIG_METADATA!$B$4&lt;&gt;"OR+EX",--(DATOS!$G14015=CONFIG_METADATA!$B$4),IF(DATOS!$G14015="EX",1,IF(DATOS!$G14015="OR",--(COUNTIFS(nNIA,DATOS!$A14015,nCURSO,DATOS!$D14015,nESPEC,DATOS!$E14015,nASIG,DATOS!$I14015,nEVAL,"EX")=0),0))))</f>
      </c>
      <c r="H14015">
        <f>IF(DATOS!$G14015&lt;&gt;"EX",0,--(COUNTIFS(nNIA,DATOS!$A14015,nCURSO,DATOS!$D14015,nESPEC,DATOS!$E14015,nASIG,DATOS!$I14015,nEVAL,"OR")=0))</f>
      </c>
      <c r="I14015">
        <f>IF(DATOS!$I14015="","",IFERROR(VLOOKUP(DATOS!$I14015,CONFIG_ASIGNATURAS!$B$2:$J$91,9,FALSE()),""))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IF(DATOS!$A14016="",0,IF(CONFIG_METADATA!$B$4&lt;&gt;"OR+EX",--(DATOS!$G14016=CONFIG_METADATA!$B$4),IF(DATOS!$G14016="EX",1,IF(DATOS!$G14016="OR",--(COUNTIFS(nNIA,DATOS!$A14016,nCURSO,DATOS!$D14016,nESPEC,DATOS!$E14016,nASIG,DATOS!$I14016,nEVAL,"EX")=0),0))))</f>
      </c>
      <c r="H14016">
        <f>IF(DATOS!$G14016&lt;&gt;"EX",0,--(COUNTIFS(nNIA,DATOS!$A14016,nCURSO,DATOS!$D14016,nESPEC,DATOS!$E14016,nASIG,DATOS!$I14016,nEVAL,"OR")=0))</f>
      </c>
      <c r="I14016">
        <f>IF(DATOS!$I14016="","",IFERROR(VLOOKUP(DATOS!$I14016,CONFIG_ASIGNATURAS!$B$2:$J$91,9,FALSE()),""))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IF(DATOS!$A14017="",0,IF(CONFIG_METADATA!$B$4&lt;&gt;"OR+EX",--(DATOS!$G14017=CONFIG_METADATA!$B$4),IF(DATOS!$G14017="EX",1,IF(DATOS!$G14017="OR",--(COUNTIFS(nNIA,DATOS!$A14017,nCURSO,DATOS!$D14017,nESPEC,DATOS!$E14017,nASIG,DATOS!$I14017,nEVAL,"EX")=0),0))))</f>
      </c>
      <c r="H14017">
        <f>IF(DATOS!$G14017&lt;&gt;"EX",0,--(COUNTIFS(nNIA,DATOS!$A14017,nCURSO,DATOS!$D14017,nESPEC,DATOS!$E14017,nASIG,DATOS!$I14017,nEVAL,"OR")=0))</f>
      </c>
      <c r="I14017">
        <f>IF(DATOS!$I14017="","",IFERROR(VLOOKUP(DATOS!$I14017,CONFIG_ASIGNATURAS!$B$2:$J$91,9,FALSE()),""))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IF(DATOS!$A14018="",0,IF(CONFIG_METADATA!$B$4&lt;&gt;"OR+EX",--(DATOS!$G14018=CONFIG_METADATA!$B$4),IF(DATOS!$G14018="EX",1,IF(DATOS!$G14018="OR",--(COUNTIFS(nNIA,DATOS!$A14018,nCURSO,DATOS!$D14018,nESPEC,DATOS!$E14018,nASIG,DATOS!$I14018,nEVAL,"EX")=0),0))))</f>
      </c>
      <c r="H14018">
        <f>IF(DATOS!$G14018&lt;&gt;"EX",0,--(COUNTIFS(nNIA,DATOS!$A14018,nCURSO,DATOS!$D14018,nESPEC,DATOS!$E14018,nASIG,DATOS!$I14018,nEVAL,"OR")=0))</f>
      </c>
      <c r="I14018">
        <f>IF(DATOS!$I14018="","",IFERROR(VLOOKUP(DATOS!$I14018,CONFIG_ASIGNATURAS!$B$2:$J$91,9,FALSE()),""))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IF(DATOS!$A14019="",0,IF(CONFIG_METADATA!$B$4&lt;&gt;"OR+EX",--(DATOS!$G14019=CONFIG_METADATA!$B$4),IF(DATOS!$G14019="EX",1,IF(DATOS!$G14019="OR",--(COUNTIFS(nNIA,DATOS!$A14019,nCURSO,DATOS!$D14019,nESPEC,DATOS!$E14019,nASIG,DATOS!$I14019,nEVAL,"EX")=0),0))))</f>
      </c>
      <c r="H14019">
        <f>IF(DATOS!$G14019&lt;&gt;"EX",0,--(COUNTIFS(nNIA,DATOS!$A14019,nCURSO,DATOS!$D14019,nESPEC,DATOS!$E14019,nASIG,DATOS!$I14019,nEVAL,"OR")=0))</f>
      </c>
      <c r="I14019">
        <f>IF(DATOS!$I14019="","",IFERROR(VLOOKUP(DATOS!$I14019,CONFIG_ASIGNATURAS!$B$2:$J$91,9,FALSE()),""))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IF(DATOS!$A14020="",0,IF(CONFIG_METADATA!$B$4&lt;&gt;"OR+EX",--(DATOS!$G14020=CONFIG_METADATA!$B$4),IF(DATOS!$G14020="EX",1,IF(DATOS!$G14020="OR",--(COUNTIFS(nNIA,DATOS!$A14020,nCURSO,DATOS!$D14020,nESPEC,DATOS!$E14020,nASIG,DATOS!$I14020,nEVAL,"EX")=0),0))))</f>
      </c>
      <c r="H14020">
        <f>IF(DATOS!$G14020&lt;&gt;"EX",0,--(COUNTIFS(nNIA,DATOS!$A14020,nCURSO,DATOS!$D14020,nESPEC,DATOS!$E14020,nASIG,DATOS!$I14020,nEVAL,"OR")=0))</f>
      </c>
      <c r="I14020">
        <f>IF(DATOS!$I14020="","",IFERROR(VLOOKUP(DATOS!$I14020,CONFIG_ASIGNATURAS!$B$2:$J$91,9,FALSE()),""))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IF(DATOS!$A14021="",0,IF(CONFIG_METADATA!$B$4&lt;&gt;"OR+EX",--(DATOS!$G14021=CONFIG_METADATA!$B$4),IF(DATOS!$G14021="EX",1,IF(DATOS!$G14021="OR",--(COUNTIFS(nNIA,DATOS!$A14021,nCURSO,DATOS!$D14021,nESPEC,DATOS!$E14021,nASIG,DATOS!$I14021,nEVAL,"EX")=0),0))))</f>
      </c>
      <c r="H14021">
        <f>IF(DATOS!$G14021&lt;&gt;"EX",0,--(COUNTIFS(nNIA,DATOS!$A14021,nCURSO,DATOS!$D14021,nESPEC,DATOS!$E14021,nASIG,DATOS!$I14021,nEVAL,"OR")=0))</f>
      </c>
      <c r="I14021">
        <f>IF(DATOS!$I14021="","",IFERROR(VLOOKUP(DATOS!$I14021,CONFIG_ASIGNATURAS!$B$2:$J$91,9,FALSE()),""))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IF(DATOS!$A14022="",0,IF(CONFIG_METADATA!$B$4&lt;&gt;"OR+EX",--(DATOS!$G14022=CONFIG_METADATA!$B$4),IF(DATOS!$G14022="EX",1,IF(DATOS!$G14022="OR",--(COUNTIFS(nNIA,DATOS!$A14022,nCURSO,DATOS!$D14022,nESPEC,DATOS!$E14022,nASIG,DATOS!$I14022,nEVAL,"EX")=0),0))))</f>
      </c>
      <c r="H14022">
        <f>IF(DATOS!$G14022&lt;&gt;"EX",0,--(COUNTIFS(nNIA,DATOS!$A14022,nCURSO,DATOS!$D14022,nESPEC,DATOS!$E14022,nASIG,DATOS!$I14022,nEVAL,"OR")=0))</f>
      </c>
      <c r="I14022">
        <f>IF(DATOS!$I14022="","",IFERROR(VLOOKUP(DATOS!$I14022,CONFIG_ASIGNATURAS!$B$2:$J$91,9,FALSE()),""))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IF(DATOS!$A14023="",0,IF(CONFIG_METADATA!$B$4&lt;&gt;"OR+EX",--(DATOS!$G14023=CONFIG_METADATA!$B$4),IF(DATOS!$G14023="EX",1,IF(DATOS!$G14023="OR",--(COUNTIFS(nNIA,DATOS!$A14023,nCURSO,DATOS!$D14023,nESPEC,DATOS!$E14023,nASIG,DATOS!$I14023,nEVAL,"EX")=0),0))))</f>
      </c>
      <c r="H14023">
        <f>IF(DATOS!$G14023&lt;&gt;"EX",0,--(COUNTIFS(nNIA,DATOS!$A14023,nCURSO,DATOS!$D14023,nESPEC,DATOS!$E14023,nASIG,DATOS!$I14023,nEVAL,"OR")=0))</f>
      </c>
      <c r="I14023">
        <f>IF(DATOS!$I14023="","",IFERROR(VLOOKUP(DATOS!$I14023,CONFIG_ASIGNATURAS!$B$2:$J$91,9,FALSE()),""))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IF(DATOS!$A14024="",0,IF(CONFIG_METADATA!$B$4&lt;&gt;"OR+EX",--(DATOS!$G14024=CONFIG_METADATA!$B$4),IF(DATOS!$G14024="EX",1,IF(DATOS!$G14024="OR",--(COUNTIFS(nNIA,DATOS!$A14024,nCURSO,DATOS!$D14024,nESPEC,DATOS!$E14024,nASIG,DATOS!$I14024,nEVAL,"EX")=0),0))))</f>
      </c>
      <c r="H14024">
        <f>IF(DATOS!$G14024&lt;&gt;"EX",0,--(COUNTIFS(nNIA,DATOS!$A14024,nCURSO,DATOS!$D14024,nESPEC,DATOS!$E14024,nASIG,DATOS!$I14024,nEVAL,"OR")=0))</f>
      </c>
      <c r="I14024">
        <f>IF(DATOS!$I14024="","",IFERROR(VLOOKUP(DATOS!$I14024,CONFIG_ASIGNATURAS!$B$2:$J$91,9,FALSE()),""))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IF(DATOS!$A14025="",0,IF(CONFIG_METADATA!$B$4&lt;&gt;"OR+EX",--(DATOS!$G14025=CONFIG_METADATA!$B$4),IF(DATOS!$G14025="EX",1,IF(DATOS!$G14025="OR",--(COUNTIFS(nNIA,DATOS!$A14025,nCURSO,DATOS!$D14025,nESPEC,DATOS!$E14025,nASIG,DATOS!$I14025,nEVAL,"EX")=0),0))))</f>
      </c>
      <c r="H14025">
        <f>IF(DATOS!$G14025&lt;&gt;"EX",0,--(COUNTIFS(nNIA,DATOS!$A14025,nCURSO,DATOS!$D14025,nESPEC,DATOS!$E14025,nASIG,DATOS!$I14025,nEVAL,"OR")=0))</f>
      </c>
      <c r="I14025">
        <f>IF(DATOS!$I14025="","",IFERROR(VLOOKUP(DATOS!$I14025,CONFIG_ASIGNATURAS!$B$2:$J$91,9,FALSE()),""))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IF(DATOS!$A14026="",0,IF(CONFIG_METADATA!$B$4&lt;&gt;"OR+EX",--(DATOS!$G14026=CONFIG_METADATA!$B$4),IF(DATOS!$G14026="EX",1,IF(DATOS!$G14026="OR",--(COUNTIFS(nNIA,DATOS!$A14026,nCURSO,DATOS!$D14026,nESPEC,DATOS!$E14026,nASIG,DATOS!$I14026,nEVAL,"EX")=0),0))))</f>
      </c>
      <c r="H14026">
        <f>IF(DATOS!$G14026&lt;&gt;"EX",0,--(COUNTIFS(nNIA,DATOS!$A14026,nCURSO,DATOS!$D14026,nESPEC,DATOS!$E14026,nASIG,DATOS!$I14026,nEVAL,"OR")=0))</f>
      </c>
      <c r="I14026">
        <f>IF(DATOS!$I14026="","",IFERROR(VLOOKUP(DATOS!$I14026,CONFIG_ASIGNATURAS!$B$2:$J$91,9,FALSE()),""))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IF(DATOS!$A14027="",0,IF(CONFIG_METADATA!$B$4&lt;&gt;"OR+EX",--(DATOS!$G14027=CONFIG_METADATA!$B$4),IF(DATOS!$G14027="EX",1,IF(DATOS!$G14027="OR",--(COUNTIFS(nNIA,DATOS!$A14027,nCURSO,DATOS!$D14027,nESPEC,DATOS!$E14027,nASIG,DATOS!$I14027,nEVAL,"EX")=0),0))))</f>
      </c>
      <c r="H14027">
        <f>IF(DATOS!$G14027&lt;&gt;"EX",0,--(COUNTIFS(nNIA,DATOS!$A14027,nCURSO,DATOS!$D14027,nESPEC,DATOS!$E14027,nASIG,DATOS!$I14027,nEVAL,"OR")=0))</f>
      </c>
      <c r="I14027">
        <f>IF(DATOS!$I14027="","",IFERROR(VLOOKUP(DATOS!$I14027,CONFIG_ASIGNATURAS!$B$2:$J$91,9,FALSE()),""))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IF(DATOS!$A14028="",0,IF(CONFIG_METADATA!$B$4&lt;&gt;"OR+EX",--(DATOS!$G14028=CONFIG_METADATA!$B$4),IF(DATOS!$G14028="EX",1,IF(DATOS!$G14028="OR",--(COUNTIFS(nNIA,DATOS!$A14028,nCURSO,DATOS!$D14028,nESPEC,DATOS!$E14028,nASIG,DATOS!$I14028,nEVAL,"EX")=0),0))))</f>
      </c>
      <c r="H14028">
        <f>IF(DATOS!$G14028&lt;&gt;"EX",0,--(COUNTIFS(nNIA,DATOS!$A14028,nCURSO,DATOS!$D14028,nESPEC,DATOS!$E14028,nASIG,DATOS!$I14028,nEVAL,"OR")=0))</f>
      </c>
      <c r="I14028">
        <f>IF(DATOS!$I14028="","",IFERROR(VLOOKUP(DATOS!$I14028,CONFIG_ASIGNATURAS!$B$2:$J$91,9,FALSE()),""))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IF(DATOS!$A14029="",0,IF(CONFIG_METADATA!$B$4&lt;&gt;"OR+EX",--(DATOS!$G14029=CONFIG_METADATA!$B$4),IF(DATOS!$G14029="EX",1,IF(DATOS!$G14029="OR",--(COUNTIFS(nNIA,DATOS!$A14029,nCURSO,DATOS!$D14029,nESPEC,DATOS!$E14029,nASIG,DATOS!$I14029,nEVAL,"EX")=0),0))))</f>
      </c>
      <c r="H14029">
        <f>IF(DATOS!$G14029&lt;&gt;"EX",0,--(COUNTIFS(nNIA,DATOS!$A14029,nCURSO,DATOS!$D14029,nESPEC,DATOS!$E14029,nASIG,DATOS!$I14029,nEVAL,"OR")=0))</f>
      </c>
      <c r="I14029">
        <f>IF(DATOS!$I14029="","",IFERROR(VLOOKUP(DATOS!$I14029,CONFIG_ASIGNATURAS!$B$2:$J$91,9,FALSE()),""))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IF(DATOS!$A14030="",0,IF(CONFIG_METADATA!$B$4&lt;&gt;"OR+EX",--(DATOS!$G14030=CONFIG_METADATA!$B$4),IF(DATOS!$G14030="EX",1,IF(DATOS!$G14030="OR",--(COUNTIFS(nNIA,DATOS!$A14030,nCURSO,DATOS!$D14030,nESPEC,DATOS!$E14030,nASIG,DATOS!$I14030,nEVAL,"EX")=0),0))))</f>
      </c>
      <c r="H14030">
        <f>IF(DATOS!$G14030&lt;&gt;"EX",0,--(COUNTIFS(nNIA,DATOS!$A14030,nCURSO,DATOS!$D14030,nESPEC,DATOS!$E14030,nASIG,DATOS!$I14030,nEVAL,"OR")=0))</f>
      </c>
      <c r="I14030">
        <f>IF(DATOS!$I14030="","",IFERROR(VLOOKUP(DATOS!$I14030,CONFIG_ASIGNATURAS!$B$2:$J$91,9,FALSE()),""))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IF(DATOS!$A14031="",0,IF(CONFIG_METADATA!$B$4&lt;&gt;"OR+EX",--(DATOS!$G14031=CONFIG_METADATA!$B$4),IF(DATOS!$G14031="EX",1,IF(DATOS!$G14031="OR",--(COUNTIFS(nNIA,DATOS!$A14031,nCURSO,DATOS!$D14031,nESPEC,DATOS!$E14031,nASIG,DATOS!$I14031,nEVAL,"EX")=0),0))))</f>
      </c>
      <c r="H14031">
        <f>IF(DATOS!$G14031&lt;&gt;"EX",0,--(COUNTIFS(nNIA,DATOS!$A14031,nCURSO,DATOS!$D14031,nESPEC,DATOS!$E14031,nASIG,DATOS!$I14031,nEVAL,"OR")=0))</f>
      </c>
      <c r="I14031">
        <f>IF(DATOS!$I14031="","",IFERROR(VLOOKUP(DATOS!$I14031,CONFIG_ASIGNATURAS!$B$2:$J$91,9,FALSE()),""))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IF(DATOS!$A14032="",0,IF(CONFIG_METADATA!$B$4&lt;&gt;"OR+EX",--(DATOS!$G14032=CONFIG_METADATA!$B$4),IF(DATOS!$G14032="EX",1,IF(DATOS!$G14032="OR",--(COUNTIFS(nNIA,DATOS!$A14032,nCURSO,DATOS!$D14032,nESPEC,DATOS!$E14032,nASIG,DATOS!$I14032,nEVAL,"EX")=0),0))))</f>
      </c>
      <c r="H14032">
        <f>IF(DATOS!$G14032&lt;&gt;"EX",0,--(COUNTIFS(nNIA,DATOS!$A14032,nCURSO,DATOS!$D14032,nESPEC,DATOS!$E14032,nASIG,DATOS!$I14032,nEVAL,"OR")=0))</f>
      </c>
      <c r="I14032">
        <f>IF(DATOS!$I14032="","",IFERROR(VLOOKUP(DATOS!$I14032,CONFIG_ASIGNATURAS!$B$2:$J$91,9,FALSE()),""))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IF(DATOS!$A14033="",0,IF(CONFIG_METADATA!$B$4&lt;&gt;"OR+EX",--(DATOS!$G14033=CONFIG_METADATA!$B$4),IF(DATOS!$G14033="EX",1,IF(DATOS!$G14033="OR",--(COUNTIFS(nNIA,DATOS!$A14033,nCURSO,DATOS!$D14033,nESPEC,DATOS!$E14033,nASIG,DATOS!$I14033,nEVAL,"EX")=0),0))))</f>
      </c>
      <c r="H14033">
        <f>IF(DATOS!$G14033&lt;&gt;"EX",0,--(COUNTIFS(nNIA,DATOS!$A14033,nCURSO,DATOS!$D14033,nESPEC,DATOS!$E14033,nASIG,DATOS!$I14033,nEVAL,"OR")=0))</f>
      </c>
      <c r="I14033">
        <f>IF(DATOS!$I14033="","",IFERROR(VLOOKUP(DATOS!$I14033,CONFIG_ASIGNATURAS!$B$2:$J$91,9,FALSE()),""))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IF(DATOS!$A14034="",0,IF(CONFIG_METADATA!$B$4&lt;&gt;"OR+EX",--(DATOS!$G14034=CONFIG_METADATA!$B$4),IF(DATOS!$G14034="EX",1,IF(DATOS!$G14034="OR",--(COUNTIFS(nNIA,DATOS!$A14034,nCURSO,DATOS!$D14034,nESPEC,DATOS!$E14034,nASIG,DATOS!$I14034,nEVAL,"EX")=0),0))))</f>
      </c>
      <c r="H14034">
        <f>IF(DATOS!$G14034&lt;&gt;"EX",0,--(COUNTIFS(nNIA,DATOS!$A14034,nCURSO,DATOS!$D14034,nESPEC,DATOS!$E14034,nASIG,DATOS!$I14034,nEVAL,"OR")=0))</f>
      </c>
      <c r="I14034">
        <f>IF(DATOS!$I14034="","",IFERROR(VLOOKUP(DATOS!$I14034,CONFIG_ASIGNATURAS!$B$2:$J$91,9,FALSE()),""))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IF(DATOS!$A14035="",0,IF(CONFIG_METADATA!$B$4&lt;&gt;"OR+EX",--(DATOS!$G14035=CONFIG_METADATA!$B$4),IF(DATOS!$G14035="EX",1,IF(DATOS!$G14035="OR",--(COUNTIFS(nNIA,DATOS!$A14035,nCURSO,DATOS!$D14035,nESPEC,DATOS!$E14035,nASIG,DATOS!$I14035,nEVAL,"EX")=0),0))))</f>
      </c>
      <c r="H14035">
        <f>IF(DATOS!$G14035&lt;&gt;"EX",0,--(COUNTIFS(nNIA,DATOS!$A14035,nCURSO,DATOS!$D14035,nESPEC,DATOS!$E14035,nASIG,DATOS!$I14035,nEVAL,"OR")=0))</f>
      </c>
      <c r="I14035">
        <f>IF(DATOS!$I14035="","",IFERROR(VLOOKUP(DATOS!$I14035,CONFIG_ASIGNATURAS!$B$2:$J$91,9,FALSE()),""))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IF(DATOS!$A14036="",0,IF(CONFIG_METADATA!$B$4&lt;&gt;"OR+EX",--(DATOS!$G14036=CONFIG_METADATA!$B$4),IF(DATOS!$G14036="EX",1,IF(DATOS!$G14036="OR",--(COUNTIFS(nNIA,DATOS!$A14036,nCURSO,DATOS!$D14036,nESPEC,DATOS!$E14036,nASIG,DATOS!$I14036,nEVAL,"EX")=0),0))))</f>
      </c>
      <c r="H14036">
        <f>IF(DATOS!$G14036&lt;&gt;"EX",0,--(COUNTIFS(nNIA,DATOS!$A14036,nCURSO,DATOS!$D14036,nESPEC,DATOS!$E14036,nASIG,DATOS!$I14036,nEVAL,"OR")=0))</f>
      </c>
      <c r="I14036">
        <f>IF(DATOS!$I14036="","",IFERROR(VLOOKUP(DATOS!$I14036,CONFIG_ASIGNATURAS!$B$2:$J$91,9,FALSE()),""))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IF(DATOS!$A14037="",0,IF(CONFIG_METADATA!$B$4&lt;&gt;"OR+EX",--(DATOS!$G14037=CONFIG_METADATA!$B$4),IF(DATOS!$G14037="EX",1,IF(DATOS!$G14037="OR",--(COUNTIFS(nNIA,DATOS!$A14037,nCURSO,DATOS!$D14037,nESPEC,DATOS!$E14037,nASIG,DATOS!$I14037,nEVAL,"EX")=0),0))))</f>
      </c>
      <c r="H14037">
        <f>IF(DATOS!$G14037&lt;&gt;"EX",0,--(COUNTIFS(nNIA,DATOS!$A14037,nCURSO,DATOS!$D14037,nESPEC,DATOS!$E14037,nASIG,DATOS!$I14037,nEVAL,"OR")=0))</f>
      </c>
      <c r="I14037">
        <f>IF(DATOS!$I14037="","",IFERROR(VLOOKUP(DATOS!$I14037,CONFIG_ASIGNATURAS!$B$2:$J$91,9,FALSE()),""))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IF(DATOS!$A14038="",0,IF(CONFIG_METADATA!$B$4&lt;&gt;"OR+EX",--(DATOS!$G14038=CONFIG_METADATA!$B$4),IF(DATOS!$G14038="EX",1,IF(DATOS!$G14038="OR",--(COUNTIFS(nNIA,DATOS!$A14038,nCURSO,DATOS!$D14038,nESPEC,DATOS!$E14038,nASIG,DATOS!$I14038,nEVAL,"EX")=0),0))))</f>
      </c>
      <c r="H14038">
        <f>IF(DATOS!$G14038&lt;&gt;"EX",0,--(COUNTIFS(nNIA,DATOS!$A14038,nCURSO,DATOS!$D14038,nESPEC,DATOS!$E14038,nASIG,DATOS!$I14038,nEVAL,"OR")=0))</f>
      </c>
      <c r="I14038">
        <f>IF(DATOS!$I14038="","",IFERROR(VLOOKUP(DATOS!$I14038,CONFIG_ASIGNATURAS!$B$2:$J$91,9,FALSE()),""))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IF(DATOS!$A14039="",0,IF(CONFIG_METADATA!$B$4&lt;&gt;"OR+EX",--(DATOS!$G14039=CONFIG_METADATA!$B$4),IF(DATOS!$G14039="EX",1,IF(DATOS!$G14039="OR",--(COUNTIFS(nNIA,DATOS!$A14039,nCURSO,DATOS!$D14039,nESPEC,DATOS!$E14039,nASIG,DATOS!$I14039,nEVAL,"EX")=0),0))))</f>
      </c>
      <c r="H14039">
        <f>IF(DATOS!$G14039&lt;&gt;"EX",0,--(COUNTIFS(nNIA,DATOS!$A14039,nCURSO,DATOS!$D14039,nESPEC,DATOS!$E14039,nASIG,DATOS!$I14039,nEVAL,"OR")=0))</f>
      </c>
      <c r="I14039">
        <f>IF(DATOS!$I14039="","",IFERROR(VLOOKUP(DATOS!$I14039,CONFIG_ASIGNATURAS!$B$2:$J$91,9,FALSE()),""))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IF(DATOS!$A14040="",0,IF(CONFIG_METADATA!$B$4&lt;&gt;"OR+EX",--(DATOS!$G14040=CONFIG_METADATA!$B$4),IF(DATOS!$G14040="EX",1,IF(DATOS!$G14040="OR",--(COUNTIFS(nNIA,DATOS!$A14040,nCURSO,DATOS!$D14040,nESPEC,DATOS!$E14040,nASIG,DATOS!$I14040,nEVAL,"EX")=0),0))))</f>
      </c>
      <c r="H14040">
        <f>IF(DATOS!$G14040&lt;&gt;"EX",0,--(COUNTIFS(nNIA,DATOS!$A14040,nCURSO,DATOS!$D14040,nESPEC,DATOS!$E14040,nASIG,DATOS!$I14040,nEVAL,"OR")=0))</f>
      </c>
      <c r="I14040">
        <f>IF(DATOS!$I14040="","",IFERROR(VLOOKUP(DATOS!$I14040,CONFIG_ASIGNATURAS!$B$2:$J$91,9,FALSE()),""))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IF(DATOS!$A14041="",0,IF(CONFIG_METADATA!$B$4&lt;&gt;"OR+EX",--(DATOS!$G14041=CONFIG_METADATA!$B$4),IF(DATOS!$G14041="EX",1,IF(DATOS!$G14041="OR",--(COUNTIFS(nNIA,DATOS!$A14041,nCURSO,DATOS!$D14041,nESPEC,DATOS!$E14041,nASIG,DATOS!$I14041,nEVAL,"EX")=0),0))))</f>
      </c>
      <c r="H14041">
        <f>IF(DATOS!$G14041&lt;&gt;"EX",0,--(COUNTIFS(nNIA,DATOS!$A14041,nCURSO,DATOS!$D14041,nESPEC,DATOS!$E14041,nASIG,DATOS!$I14041,nEVAL,"OR")=0))</f>
      </c>
      <c r="I14041">
        <f>IF(DATOS!$I14041="","",IFERROR(VLOOKUP(DATOS!$I14041,CONFIG_ASIGNATURAS!$B$2:$J$91,9,FALSE()),""))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IF(DATOS!$A14042="",0,IF(CONFIG_METADATA!$B$4&lt;&gt;"OR+EX",--(DATOS!$G14042=CONFIG_METADATA!$B$4),IF(DATOS!$G14042="EX",1,IF(DATOS!$G14042="OR",--(COUNTIFS(nNIA,DATOS!$A14042,nCURSO,DATOS!$D14042,nESPEC,DATOS!$E14042,nASIG,DATOS!$I14042,nEVAL,"EX")=0),0))))</f>
      </c>
      <c r="H14042">
        <f>IF(DATOS!$G14042&lt;&gt;"EX",0,--(COUNTIFS(nNIA,DATOS!$A14042,nCURSO,DATOS!$D14042,nESPEC,DATOS!$E14042,nASIG,DATOS!$I14042,nEVAL,"OR")=0))</f>
      </c>
      <c r="I14042">
        <f>IF(DATOS!$I14042="","",IFERROR(VLOOKUP(DATOS!$I14042,CONFIG_ASIGNATURAS!$B$2:$J$91,9,FALSE()),""))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IF(DATOS!$A14043="",0,IF(CONFIG_METADATA!$B$4&lt;&gt;"OR+EX",--(DATOS!$G14043=CONFIG_METADATA!$B$4),IF(DATOS!$G14043="EX",1,IF(DATOS!$G14043="OR",--(COUNTIFS(nNIA,DATOS!$A14043,nCURSO,DATOS!$D14043,nESPEC,DATOS!$E14043,nASIG,DATOS!$I14043,nEVAL,"EX")=0),0))))</f>
      </c>
      <c r="H14043">
        <f>IF(DATOS!$G14043&lt;&gt;"EX",0,--(COUNTIFS(nNIA,DATOS!$A14043,nCURSO,DATOS!$D14043,nESPEC,DATOS!$E14043,nASIG,DATOS!$I14043,nEVAL,"OR")=0))</f>
      </c>
      <c r="I14043">
        <f>IF(DATOS!$I14043="","",IFERROR(VLOOKUP(DATOS!$I14043,CONFIG_ASIGNATURAS!$B$2:$J$91,9,FALSE()),""))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IF(DATOS!$A14044="",0,IF(CONFIG_METADATA!$B$4&lt;&gt;"OR+EX",--(DATOS!$G14044=CONFIG_METADATA!$B$4),IF(DATOS!$G14044="EX",1,IF(DATOS!$G14044="OR",--(COUNTIFS(nNIA,DATOS!$A14044,nCURSO,DATOS!$D14044,nESPEC,DATOS!$E14044,nASIG,DATOS!$I14044,nEVAL,"EX")=0),0))))</f>
      </c>
      <c r="H14044">
        <f>IF(DATOS!$G14044&lt;&gt;"EX",0,--(COUNTIFS(nNIA,DATOS!$A14044,nCURSO,DATOS!$D14044,nESPEC,DATOS!$E14044,nASIG,DATOS!$I14044,nEVAL,"OR")=0))</f>
      </c>
      <c r="I14044">
        <f>IF(DATOS!$I14044="","",IFERROR(VLOOKUP(DATOS!$I14044,CONFIG_ASIGNATURAS!$B$2:$J$91,9,FALSE()),""))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IF(DATOS!$A14045="",0,IF(CONFIG_METADATA!$B$4&lt;&gt;"OR+EX",--(DATOS!$G14045=CONFIG_METADATA!$B$4),IF(DATOS!$G14045="EX",1,IF(DATOS!$G14045="OR",--(COUNTIFS(nNIA,DATOS!$A14045,nCURSO,DATOS!$D14045,nESPEC,DATOS!$E14045,nASIG,DATOS!$I14045,nEVAL,"EX")=0),0))))</f>
      </c>
      <c r="H14045">
        <f>IF(DATOS!$G14045&lt;&gt;"EX",0,--(COUNTIFS(nNIA,DATOS!$A14045,nCURSO,DATOS!$D14045,nESPEC,DATOS!$E14045,nASIG,DATOS!$I14045,nEVAL,"OR")=0))</f>
      </c>
      <c r="I14045">
        <f>IF(DATOS!$I14045="","",IFERROR(VLOOKUP(DATOS!$I14045,CONFIG_ASIGNATURAS!$B$2:$J$91,9,FALSE()),""))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IF(DATOS!$A14046="",0,IF(CONFIG_METADATA!$B$4&lt;&gt;"OR+EX",--(DATOS!$G14046=CONFIG_METADATA!$B$4),IF(DATOS!$G14046="EX",1,IF(DATOS!$G14046="OR",--(COUNTIFS(nNIA,DATOS!$A14046,nCURSO,DATOS!$D14046,nESPEC,DATOS!$E14046,nASIG,DATOS!$I14046,nEVAL,"EX")=0),0))))</f>
      </c>
      <c r="H14046">
        <f>IF(DATOS!$G14046&lt;&gt;"EX",0,--(COUNTIFS(nNIA,DATOS!$A14046,nCURSO,DATOS!$D14046,nESPEC,DATOS!$E14046,nASIG,DATOS!$I14046,nEVAL,"OR")=0))</f>
      </c>
      <c r="I14046">
        <f>IF(DATOS!$I14046="","",IFERROR(VLOOKUP(DATOS!$I14046,CONFIG_ASIGNATURAS!$B$2:$J$91,9,FALSE()),""))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IF(DATOS!$A14047="",0,IF(CONFIG_METADATA!$B$4&lt;&gt;"OR+EX",--(DATOS!$G14047=CONFIG_METADATA!$B$4),IF(DATOS!$G14047="EX",1,IF(DATOS!$G14047="OR",--(COUNTIFS(nNIA,DATOS!$A14047,nCURSO,DATOS!$D14047,nESPEC,DATOS!$E14047,nASIG,DATOS!$I14047,nEVAL,"EX")=0),0))))</f>
      </c>
      <c r="H14047">
        <f>IF(DATOS!$G14047&lt;&gt;"EX",0,--(COUNTIFS(nNIA,DATOS!$A14047,nCURSO,DATOS!$D14047,nESPEC,DATOS!$E14047,nASIG,DATOS!$I14047,nEVAL,"OR")=0))</f>
      </c>
      <c r="I14047">
        <f>IF(DATOS!$I14047="","",IFERROR(VLOOKUP(DATOS!$I14047,CONFIG_ASIGNATURAS!$B$2:$J$91,9,FALSE()),""))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IF(DATOS!$A14048="",0,IF(CONFIG_METADATA!$B$4&lt;&gt;"OR+EX",--(DATOS!$G14048=CONFIG_METADATA!$B$4),IF(DATOS!$G14048="EX",1,IF(DATOS!$G14048="OR",--(COUNTIFS(nNIA,DATOS!$A14048,nCURSO,DATOS!$D14048,nESPEC,DATOS!$E14048,nASIG,DATOS!$I14048,nEVAL,"EX")=0),0))))</f>
      </c>
      <c r="H14048">
        <f>IF(DATOS!$G14048&lt;&gt;"EX",0,--(COUNTIFS(nNIA,DATOS!$A14048,nCURSO,DATOS!$D14048,nESPEC,DATOS!$E14048,nASIG,DATOS!$I14048,nEVAL,"OR")=0))</f>
      </c>
      <c r="I14048">
        <f>IF(DATOS!$I14048="","",IFERROR(VLOOKUP(DATOS!$I14048,CONFIG_ASIGNATURAS!$B$2:$J$91,9,FALSE()),""))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IF(DATOS!$A14049="",0,IF(CONFIG_METADATA!$B$4&lt;&gt;"OR+EX",--(DATOS!$G14049=CONFIG_METADATA!$B$4),IF(DATOS!$G14049="EX",1,IF(DATOS!$G14049="OR",--(COUNTIFS(nNIA,DATOS!$A14049,nCURSO,DATOS!$D14049,nESPEC,DATOS!$E14049,nASIG,DATOS!$I14049,nEVAL,"EX")=0),0))))</f>
      </c>
      <c r="H14049">
        <f>IF(DATOS!$G14049&lt;&gt;"EX",0,--(COUNTIFS(nNIA,DATOS!$A14049,nCURSO,DATOS!$D14049,nESPEC,DATOS!$E14049,nASIG,DATOS!$I14049,nEVAL,"OR")=0))</f>
      </c>
      <c r="I14049">
        <f>IF(DATOS!$I14049="","",IFERROR(VLOOKUP(DATOS!$I14049,CONFIG_ASIGNATURAS!$B$2:$J$91,9,FALSE()),""))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IF(DATOS!$A14050="",0,IF(CONFIG_METADATA!$B$4&lt;&gt;"OR+EX",--(DATOS!$G14050=CONFIG_METADATA!$B$4),IF(DATOS!$G14050="EX",1,IF(DATOS!$G14050="OR",--(COUNTIFS(nNIA,DATOS!$A14050,nCURSO,DATOS!$D14050,nESPEC,DATOS!$E14050,nASIG,DATOS!$I14050,nEVAL,"EX")=0),0))))</f>
      </c>
      <c r="H14050">
        <f>IF(DATOS!$G14050&lt;&gt;"EX",0,--(COUNTIFS(nNIA,DATOS!$A14050,nCURSO,DATOS!$D14050,nESPEC,DATOS!$E14050,nASIG,DATOS!$I14050,nEVAL,"OR")=0))</f>
      </c>
      <c r="I14050">
        <f>IF(DATOS!$I14050="","",IFERROR(VLOOKUP(DATOS!$I14050,CONFIG_ASIGNATURAS!$B$2:$J$91,9,FALSE()),""))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IF(DATOS!$A14051="",0,IF(CONFIG_METADATA!$B$4&lt;&gt;"OR+EX",--(DATOS!$G14051=CONFIG_METADATA!$B$4),IF(DATOS!$G14051="EX",1,IF(DATOS!$G14051="OR",--(COUNTIFS(nNIA,DATOS!$A14051,nCURSO,DATOS!$D14051,nESPEC,DATOS!$E14051,nASIG,DATOS!$I14051,nEVAL,"EX")=0),0))))</f>
      </c>
      <c r="H14051">
        <f>IF(DATOS!$G14051&lt;&gt;"EX",0,--(COUNTIFS(nNIA,DATOS!$A14051,nCURSO,DATOS!$D14051,nESPEC,DATOS!$E14051,nASIG,DATOS!$I14051,nEVAL,"OR")=0))</f>
      </c>
      <c r="I14051">
        <f>IF(DATOS!$I14051="","",IFERROR(VLOOKUP(DATOS!$I14051,CONFIG_ASIGNATURAS!$B$2:$J$91,9,FALSE()),""))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IF(DATOS!$A14052="",0,IF(CONFIG_METADATA!$B$4&lt;&gt;"OR+EX",--(DATOS!$G14052=CONFIG_METADATA!$B$4),IF(DATOS!$G14052="EX",1,IF(DATOS!$G14052="OR",--(COUNTIFS(nNIA,DATOS!$A14052,nCURSO,DATOS!$D14052,nESPEC,DATOS!$E14052,nASIG,DATOS!$I14052,nEVAL,"EX")=0),0))))</f>
      </c>
      <c r="H14052">
        <f>IF(DATOS!$G14052&lt;&gt;"EX",0,--(COUNTIFS(nNIA,DATOS!$A14052,nCURSO,DATOS!$D14052,nESPEC,DATOS!$E14052,nASIG,DATOS!$I14052,nEVAL,"OR")=0))</f>
      </c>
      <c r="I14052">
        <f>IF(DATOS!$I14052="","",IFERROR(VLOOKUP(DATOS!$I14052,CONFIG_ASIGNATURAS!$B$2:$J$91,9,FALSE()),""))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IF(DATOS!$A14053="",0,IF(CONFIG_METADATA!$B$4&lt;&gt;"OR+EX",--(DATOS!$G14053=CONFIG_METADATA!$B$4),IF(DATOS!$G14053="EX",1,IF(DATOS!$G14053="OR",--(COUNTIFS(nNIA,DATOS!$A14053,nCURSO,DATOS!$D14053,nESPEC,DATOS!$E14053,nASIG,DATOS!$I14053,nEVAL,"EX")=0),0))))</f>
      </c>
      <c r="H14053">
        <f>IF(DATOS!$G14053&lt;&gt;"EX",0,--(COUNTIFS(nNIA,DATOS!$A14053,nCURSO,DATOS!$D14053,nESPEC,DATOS!$E14053,nASIG,DATOS!$I14053,nEVAL,"OR")=0))</f>
      </c>
      <c r="I14053">
        <f>IF(DATOS!$I14053="","",IFERROR(VLOOKUP(DATOS!$I14053,CONFIG_ASIGNATURAS!$B$2:$J$91,9,FALSE()),""))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IF(DATOS!$A14054="",0,IF(CONFIG_METADATA!$B$4&lt;&gt;"OR+EX",--(DATOS!$G14054=CONFIG_METADATA!$B$4),IF(DATOS!$G14054="EX",1,IF(DATOS!$G14054="OR",--(COUNTIFS(nNIA,DATOS!$A14054,nCURSO,DATOS!$D14054,nESPEC,DATOS!$E14054,nASIG,DATOS!$I14054,nEVAL,"EX")=0),0))))</f>
      </c>
      <c r="H14054">
        <f>IF(DATOS!$G14054&lt;&gt;"EX",0,--(COUNTIFS(nNIA,DATOS!$A14054,nCURSO,DATOS!$D14054,nESPEC,DATOS!$E14054,nASIG,DATOS!$I14054,nEVAL,"OR")=0))</f>
      </c>
      <c r="I14054">
        <f>IF(DATOS!$I14054="","",IFERROR(VLOOKUP(DATOS!$I14054,CONFIG_ASIGNATURAS!$B$2:$J$91,9,FALSE()),""))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IF(DATOS!$A14055="",0,IF(CONFIG_METADATA!$B$4&lt;&gt;"OR+EX",--(DATOS!$G14055=CONFIG_METADATA!$B$4),IF(DATOS!$G14055="EX",1,IF(DATOS!$G14055="OR",--(COUNTIFS(nNIA,DATOS!$A14055,nCURSO,DATOS!$D14055,nESPEC,DATOS!$E14055,nASIG,DATOS!$I14055,nEVAL,"EX")=0),0))))</f>
      </c>
      <c r="H14055">
        <f>IF(DATOS!$G14055&lt;&gt;"EX",0,--(COUNTIFS(nNIA,DATOS!$A14055,nCURSO,DATOS!$D14055,nESPEC,DATOS!$E14055,nASIG,DATOS!$I14055,nEVAL,"OR")=0))</f>
      </c>
      <c r="I14055">
        <f>IF(DATOS!$I14055="","",IFERROR(VLOOKUP(DATOS!$I14055,CONFIG_ASIGNATURAS!$B$2:$J$91,9,FALSE()),""))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IF(DATOS!$A14056="",0,IF(CONFIG_METADATA!$B$4&lt;&gt;"OR+EX",--(DATOS!$G14056=CONFIG_METADATA!$B$4),IF(DATOS!$G14056="EX",1,IF(DATOS!$G14056="OR",--(COUNTIFS(nNIA,DATOS!$A14056,nCURSO,DATOS!$D14056,nESPEC,DATOS!$E14056,nASIG,DATOS!$I14056,nEVAL,"EX")=0),0))))</f>
      </c>
      <c r="H14056">
        <f>IF(DATOS!$G14056&lt;&gt;"EX",0,--(COUNTIFS(nNIA,DATOS!$A14056,nCURSO,DATOS!$D14056,nESPEC,DATOS!$E14056,nASIG,DATOS!$I14056,nEVAL,"OR")=0))</f>
      </c>
      <c r="I14056">
        <f>IF(DATOS!$I14056="","",IFERROR(VLOOKUP(DATOS!$I14056,CONFIG_ASIGNATURAS!$B$2:$J$91,9,FALSE()),""))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IF(DATOS!$A14057="",0,IF(CONFIG_METADATA!$B$4&lt;&gt;"OR+EX",--(DATOS!$G14057=CONFIG_METADATA!$B$4),IF(DATOS!$G14057="EX",1,IF(DATOS!$G14057="OR",--(COUNTIFS(nNIA,DATOS!$A14057,nCURSO,DATOS!$D14057,nESPEC,DATOS!$E14057,nASIG,DATOS!$I14057,nEVAL,"EX")=0),0))))</f>
      </c>
      <c r="H14057">
        <f>IF(DATOS!$G14057&lt;&gt;"EX",0,--(COUNTIFS(nNIA,DATOS!$A14057,nCURSO,DATOS!$D14057,nESPEC,DATOS!$E14057,nASIG,DATOS!$I14057,nEVAL,"OR")=0))</f>
      </c>
      <c r="I14057">
        <f>IF(DATOS!$I14057="","",IFERROR(VLOOKUP(DATOS!$I14057,CONFIG_ASIGNATURAS!$B$2:$J$91,9,FALSE()),""))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IF(DATOS!$A14058="",0,IF(CONFIG_METADATA!$B$4&lt;&gt;"OR+EX",--(DATOS!$G14058=CONFIG_METADATA!$B$4),IF(DATOS!$G14058="EX",1,IF(DATOS!$G14058="OR",--(COUNTIFS(nNIA,DATOS!$A14058,nCURSO,DATOS!$D14058,nESPEC,DATOS!$E14058,nASIG,DATOS!$I14058,nEVAL,"EX")=0),0))))</f>
      </c>
      <c r="H14058">
        <f>IF(DATOS!$G14058&lt;&gt;"EX",0,--(COUNTIFS(nNIA,DATOS!$A14058,nCURSO,DATOS!$D14058,nESPEC,DATOS!$E14058,nASIG,DATOS!$I14058,nEVAL,"OR")=0))</f>
      </c>
      <c r="I14058">
        <f>IF(DATOS!$I14058="","",IFERROR(VLOOKUP(DATOS!$I14058,CONFIG_ASIGNATURAS!$B$2:$J$91,9,FALSE()),""))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IF(DATOS!$A14059="",0,IF(CONFIG_METADATA!$B$4&lt;&gt;"OR+EX",--(DATOS!$G14059=CONFIG_METADATA!$B$4),IF(DATOS!$G14059="EX",1,IF(DATOS!$G14059="OR",--(COUNTIFS(nNIA,DATOS!$A14059,nCURSO,DATOS!$D14059,nESPEC,DATOS!$E14059,nASIG,DATOS!$I14059,nEVAL,"EX")=0),0))))</f>
      </c>
      <c r="H14059">
        <f>IF(DATOS!$G14059&lt;&gt;"EX",0,--(COUNTIFS(nNIA,DATOS!$A14059,nCURSO,DATOS!$D14059,nESPEC,DATOS!$E14059,nASIG,DATOS!$I14059,nEVAL,"OR")=0))</f>
      </c>
      <c r="I14059">
        <f>IF(DATOS!$I14059="","",IFERROR(VLOOKUP(DATOS!$I14059,CONFIG_ASIGNATURAS!$B$2:$J$91,9,FALSE()),""))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IF(DATOS!$A14060="",0,IF(CONFIG_METADATA!$B$4&lt;&gt;"OR+EX",--(DATOS!$G14060=CONFIG_METADATA!$B$4),IF(DATOS!$G14060="EX",1,IF(DATOS!$G14060="OR",--(COUNTIFS(nNIA,DATOS!$A14060,nCURSO,DATOS!$D14060,nESPEC,DATOS!$E14060,nASIG,DATOS!$I14060,nEVAL,"EX")=0),0))))</f>
      </c>
      <c r="H14060">
        <f>IF(DATOS!$G14060&lt;&gt;"EX",0,--(COUNTIFS(nNIA,DATOS!$A14060,nCURSO,DATOS!$D14060,nESPEC,DATOS!$E14060,nASIG,DATOS!$I14060,nEVAL,"OR")=0))</f>
      </c>
      <c r="I14060">
        <f>IF(DATOS!$I14060="","",IFERROR(VLOOKUP(DATOS!$I14060,CONFIG_ASIGNATURAS!$B$2:$J$91,9,FALSE()),""))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IF(DATOS!$A14061="",0,IF(CONFIG_METADATA!$B$4&lt;&gt;"OR+EX",--(DATOS!$G14061=CONFIG_METADATA!$B$4),IF(DATOS!$G14061="EX",1,IF(DATOS!$G14061="OR",--(COUNTIFS(nNIA,DATOS!$A14061,nCURSO,DATOS!$D14061,nESPEC,DATOS!$E14061,nASIG,DATOS!$I14061,nEVAL,"EX")=0),0))))</f>
      </c>
      <c r="H14061">
        <f>IF(DATOS!$G14061&lt;&gt;"EX",0,--(COUNTIFS(nNIA,DATOS!$A14061,nCURSO,DATOS!$D14061,nESPEC,DATOS!$E14061,nASIG,DATOS!$I14061,nEVAL,"OR")=0))</f>
      </c>
      <c r="I14061">
        <f>IF(DATOS!$I14061="","",IFERROR(VLOOKUP(DATOS!$I14061,CONFIG_ASIGNATURAS!$B$2:$J$91,9,FALSE()),""))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IF(DATOS!$A14062="",0,IF(CONFIG_METADATA!$B$4&lt;&gt;"OR+EX",--(DATOS!$G14062=CONFIG_METADATA!$B$4),IF(DATOS!$G14062="EX",1,IF(DATOS!$G14062="OR",--(COUNTIFS(nNIA,DATOS!$A14062,nCURSO,DATOS!$D14062,nESPEC,DATOS!$E14062,nASIG,DATOS!$I14062,nEVAL,"EX")=0),0))))</f>
      </c>
      <c r="H14062">
        <f>IF(DATOS!$G14062&lt;&gt;"EX",0,--(COUNTIFS(nNIA,DATOS!$A14062,nCURSO,DATOS!$D14062,nESPEC,DATOS!$E14062,nASIG,DATOS!$I14062,nEVAL,"OR")=0))</f>
      </c>
      <c r="I14062">
        <f>IF(DATOS!$I14062="","",IFERROR(VLOOKUP(DATOS!$I14062,CONFIG_ASIGNATURAS!$B$2:$J$91,9,FALSE()),""))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IF(DATOS!$A14063="",0,IF(CONFIG_METADATA!$B$4&lt;&gt;"OR+EX",--(DATOS!$G14063=CONFIG_METADATA!$B$4),IF(DATOS!$G14063="EX",1,IF(DATOS!$G14063="OR",--(COUNTIFS(nNIA,DATOS!$A14063,nCURSO,DATOS!$D14063,nESPEC,DATOS!$E14063,nASIG,DATOS!$I14063,nEVAL,"EX")=0),0))))</f>
      </c>
      <c r="H14063">
        <f>IF(DATOS!$G14063&lt;&gt;"EX",0,--(COUNTIFS(nNIA,DATOS!$A14063,nCURSO,DATOS!$D14063,nESPEC,DATOS!$E14063,nASIG,DATOS!$I14063,nEVAL,"OR")=0))</f>
      </c>
      <c r="I14063">
        <f>IF(DATOS!$I14063="","",IFERROR(VLOOKUP(DATOS!$I14063,CONFIG_ASIGNATURAS!$B$2:$J$91,9,FALSE()),""))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IF(DATOS!$A14064="",0,IF(CONFIG_METADATA!$B$4&lt;&gt;"OR+EX",--(DATOS!$G14064=CONFIG_METADATA!$B$4),IF(DATOS!$G14064="EX",1,IF(DATOS!$G14064="OR",--(COUNTIFS(nNIA,DATOS!$A14064,nCURSO,DATOS!$D14064,nESPEC,DATOS!$E14064,nASIG,DATOS!$I14064,nEVAL,"EX")=0),0))))</f>
      </c>
      <c r="H14064">
        <f>IF(DATOS!$G14064&lt;&gt;"EX",0,--(COUNTIFS(nNIA,DATOS!$A14064,nCURSO,DATOS!$D14064,nESPEC,DATOS!$E14064,nASIG,DATOS!$I14064,nEVAL,"OR")=0))</f>
      </c>
      <c r="I14064">
        <f>IF(DATOS!$I14064="","",IFERROR(VLOOKUP(DATOS!$I14064,CONFIG_ASIGNATURAS!$B$2:$J$91,9,FALSE()),""))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IF(DATOS!$A14065="",0,IF(CONFIG_METADATA!$B$4&lt;&gt;"OR+EX",--(DATOS!$G14065=CONFIG_METADATA!$B$4),IF(DATOS!$G14065="EX",1,IF(DATOS!$G14065="OR",--(COUNTIFS(nNIA,DATOS!$A14065,nCURSO,DATOS!$D14065,nESPEC,DATOS!$E14065,nASIG,DATOS!$I14065,nEVAL,"EX")=0),0))))</f>
      </c>
      <c r="H14065">
        <f>IF(DATOS!$G14065&lt;&gt;"EX",0,--(COUNTIFS(nNIA,DATOS!$A14065,nCURSO,DATOS!$D14065,nESPEC,DATOS!$E14065,nASIG,DATOS!$I14065,nEVAL,"OR")=0))</f>
      </c>
      <c r="I14065">
        <f>IF(DATOS!$I14065="","",IFERROR(VLOOKUP(DATOS!$I14065,CONFIG_ASIGNATURAS!$B$2:$J$91,9,FALSE()),""))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IF(DATOS!$A14066="",0,IF(CONFIG_METADATA!$B$4&lt;&gt;"OR+EX",--(DATOS!$G14066=CONFIG_METADATA!$B$4),IF(DATOS!$G14066="EX",1,IF(DATOS!$G14066="OR",--(COUNTIFS(nNIA,DATOS!$A14066,nCURSO,DATOS!$D14066,nESPEC,DATOS!$E14066,nASIG,DATOS!$I14066,nEVAL,"EX")=0),0))))</f>
      </c>
      <c r="H14066">
        <f>IF(DATOS!$G14066&lt;&gt;"EX",0,--(COUNTIFS(nNIA,DATOS!$A14066,nCURSO,DATOS!$D14066,nESPEC,DATOS!$E14066,nASIG,DATOS!$I14066,nEVAL,"OR")=0))</f>
      </c>
      <c r="I14066">
        <f>IF(DATOS!$I14066="","",IFERROR(VLOOKUP(DATOS!$I14066,CONFIG_ASIGNATURAS!$B$2:$J$91,9,FALSE()),""))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IF(DATOS!$A14067="",0,IF(CONFIG_METADATA!$B$4&lt;&gt;"OR+EX",--(DATOS!$G14067=CONFIG_METADATA!$B$4),IF(DATOS!$G14067="EX",1,IF(DATOS!$G14067="OR",--(COUNTIFS(nNIA,DATOS!$A14067,nCURSO,DATOS!$D14067,nESPEC,DATOS!$E14067,nASIG,DATOS!$I14067,nEVAL,"EX")=0),0))))</f>
      </c>
      <c r="H14067">
        <f>IF(DATOS!$G14067&lt;&gt;"EX",0,--(COUNTIFS(nNIA,DATOS!$A14067,nCURSO,DATOS!$D14067,nESPEC,DATOS!$E14067,nASIG,DATOS!$I14067,nEVAL,"OR")=0))</f>
      </c>
      <c r="I14067">
        <f>IF(DATOS!$I14067="","",IFERROR(VLOOKUP(DATOS!$I14067,CONFIG_ASIGNATURAS!$B$2:$J$91,9,FALSE()),""))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IF(DATOS!$A14068="",0,IF(CONFIG_METADATA!$B$4&lt;&gt;"OR+EX",--(DATOS!$G14068=CONFIG_METADATA!$B$4),IF(DATOS!$G14068="EX",1,IF(DATOS!$G14068="OR",--(COUNTIFS(nNIA,DATOS!$A14068,nCURSO,DATOS!$D14068,nESPEC,DATOS!$E14068,nASIG,DATOS!$I14068,nEVAL,"EX")=0),0))))</f>
      </c>
      <c r="H14068">
        <f>IF(DATOS!$G14068&lt;&gt;"EX",0,--(COUNTIFS(nNIA,DATOS!$A14068,nCURSO,DATOS!$D14068,nESPEC,DATOS!$E14068,nASIG,DATOS!$I14068,nEVAL,"OR")=0))</f>
      </c>
      <c r="I14068">
        <f>IF(DATOS!$I14068="","",IFERROR(VLOOKUP(DATOS!$I14068,CONFIG_ASIGNATURAS!$B$2:$J$91,9,FALSE()),""))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IF(DATOS!$A14069="",0,IF(CONFIG_METADATA!$B$4&lt;&gt;"OR+EX",--(DATOS!$G14069=CONFIG_METADATA!$B$4),IF(DATOS!$G14069="EX",1,IF(DATOS!$G14069="OR",--(COUNTIFS(nNIA,DATOS!$A14069,nCURSO,DATOS!$D14069,nESPEC,DATOS!$E14069,nASIG,DATOS!$I14069,nEVAL,"EX")=0),0))))</f>
      </c>
      <c r="H14069">
        <f>IF(DATOS!$G14069&lt;&gt;"EX",0,--(COUNTIFS(nNIA,DATOS!$A14069,nCURSO,DATOS!$D14069,nESPEC,DATOS!$E14069,nASIG,DATOS!$I14069,nEVAL,"OR")=0))</f>
      </c>
      <c r="I14069">
        <f>IF(DATOS!$I14069="","",IFERROR(VLOOKUP(DATOS!$I14069,CONFIG_ASIGNATURAS!$B$2:$J$91,9,FALSE()),""))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IF(DATOS!$A14070="",0,IF(CONFIG_METADATA!$B$4&lt;&gt;"OR+EX",--(DATOS!$G14070=CONFIG_METADATA!$B$4),IF(DATOS!$G14070="EX",1,IF(DATOS!$G14070="OR",--(COUNTIFS(nNIA,DATOS!$A14070,nCURSO,DATOS!$D14070,nESPEC,DATOS!$E14070,nASIG,DATOS!$I14070,nEVAL,"EX")=0),0))))</f>
      </c>
      <c r="H14070">
        <f>IF(DATOS!$G14070&lt;&gt;"EX",0,--(COUNTIFS(nNIA,DATOS!$A14070,nCURSO,DATOS!$D14070,nESPEC,DATOS!$E14070,nASIG,DATOS!$I14070,nEVAL,"OR")=0))</f>
      </c>
      <c r="I14070">
        <f>IF(DATOS!$I14070="","",IFERROR(VLOOKUP(DATOS!$I14070,CONFIG_ASIGNATURAS!$B$2:$J$91,9,FALSE()),""))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IF(DATOS!$A14071="",0,IF(CONFIG_METADATA!$B$4&lt;&gt;"OR+EX",--(DATOS!$G14071=CONFIG_METADATA!$B$4),IF(DATOS!$G14071="EX",1,IF(DATOS!$G14071="OR",--(COUNTIFS(nNIA,DATOS!$A14071,nCURSO,DATOS!$D14071,nESPEC,DATOS!$E14071,nASIG,DATOS!$I14071,nEVAL,"EX")=0),0))))</f>
      </c>
      <c r="H14071">
        <f>IF(DATOS!$G14071&lt;&gt;"EX",0,--(COUNTIFS(nNIA,DATOS!$A14071,nCURSO,DATOS!$D14071,nESPEC,DATOS!$E14071,nASIG,DATOS!$I14071,nEVAL,"OR")=0))</f>
      </c>
      <c r="I14071">
        <f>IF(DATOS!$I14071="","",IFERROR(VLOOKUP(DATOS!$I14071,CONFIG_ASIGNATURAS!$B$2:$J$91,9,FALSE()),""))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IF(DATOS!$A14072="",0,IF(CONFIG_METADATA!$B$4&lt;&gt;"OR+EX",--(DATOS!$G14072=CONFIG_METADATA!$B$4),IF(DATOS!$G14072="EX",1,IF(DATOS!$G14072="OR",--(COUNTIFS(nNIA,DATOS!$A14072,nCURSO,DATOS!$D14072,nESPEC,DATOS!$E14072,nASIG,DATOS!$I14072,nEVAL,"EX")=0),0))))</f>
      </c>
      <c r="H14072">
        <f>IF(DATOS!$G14072&lt;&gt;"EX",0,--(COUNTIFS(nNIA,DATOS!$A14072,nCURSO,DATOS!$D14072,nESPEC,DATOS!$E14072,nASIG,DATOS!$I14072,nEVAL,"OR")=0))</f>
      </c>
      <c r="I14072">
        <f>IF(DATOS!$I14072="","",IFERROR(VLOOKUP(DATOS!$I14072,CONFIG_ASIGNATURAS!$B$2:$J$91,9,FALSE()),""))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IF(DATOS!$A14073="",0,IF(CONFIG_METADATA!$B$4&lt;&gt;"OR+EX",--(DATOS!$G14073=CONFIG_METADATA!$B$4),IF(DATOS!$G14073="EX",1,IF(DATOS!$G14073="OR",--(COUNTIFS(nNIA,DATOS!$A14073,nCURSO,DATOS!$D14073,nESPEC,DATOS!$E14073,nASIG,DATOS!$I14073,nEVAL,"EX")=0),0))))</f>
      </c>
      <c r="H14073">
        <f>IF(DATOS!$G14073&lt;&gt;"EX",0,--(COUNTIFS(nNIA,DATOS!$A14073,nCURSO,DATOS!$D14073,nESPEC,DATOS!$E14073,nASIG,DATOS!$I14073,nEVAL,"OR")=0))</f>
      </c>
      <c r="I14073">
        <f>IF(DATOS!$I14073="","",IFERROR(VLOOKUP(DATOS!$I14073,CONFIG_ASIGNATURAS!$B$2:$J$91,9,FALSE()),""))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IF(DATOS!$A14074="",0,IF(CONFIG_METADATA!$B$4&lt;&gt;"OR+EX",--(DATOS!$G14074=CONFIG_METADATA!$B$4),IF(DATOS!$G14074="EX",1,IF(DATOS!$G14074="OR",--(COUNTIFS(nNIA,DATOS!$A14074,nCURSO,DATOS!$D14074,nESPEC,DATOS!$E14074,nASIG,DATOS!$I14074,nEVAL,"EX")=0),0))))</f>
      </c>
      <c r="H14074">
        <f>IF(DATOS!$G14074&lt;&gt;"EX",0,--(COUNTIFS(nNIA,DATOS!$A14074,nCURSO,DATOS!$D14074,nESPEC,DATOS!$E14074,nASIG,DATOS!$I14074,nEVAL,"OR")=0))</f>
      </c>
      <c r="I14074">
        <f>IF(DATOS!$I14074="","",IFERROR(VLOOKUP(DATOS!$I14074,CONFIG_ASIGNATURAS!$B$2:$J$91,9,FALSE()),""))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IF(DATOS!$A14075="",0,IF(CONFIG_METADATA!$B$4&lt;&gt;"OR+EX",--(DATOS!$G14075=CONFIG_METADATA!$B$4),IF(DATOS!$G14075="EX",1,IF(DATOS!$G14075="OR",--(COUNTIFS(nNIA,DATOS!$A14075,nCURSO,DATOS!$D14075,nESPEC,DATOS!$E14075,nASIG,DATOS!$I14075,nEVAL,"EX")=0),0))))</f>
      </c>
      <c r="H14075">
        <f>IF(DATOS!$G14075&lt;&gt;"EX",0,--(COUNTIFS(nNIA,DATOS!$A14075,nCURSO,DATOS!$D14075,nESPEC,DATOS!$E14075,nASIG,DATOS!$I14075,nEVAL,"OR")=0))</f>
      </c>
      <c r="I14075">
        <f>IF(DATOS!$I14075="","",IFERROR(VLOOKUP(DATOS!$I14075,CONFIG_ASIGNATURAS!$B$2:$J$91,9,FALSE()),""))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IF(DATOS!$A14076="",0,IF(CONFIG_METADATA!$B$4&lt;&gt;"OR+EX",--(DATOS!$G14076=CONFIG_METADATA!$B$4),IF(DATOS!$G14076="EX",1,IF(DATOS!$G14076="OR",--(COUNTIFS(nNIA,DATOS!$A14076,nCURSO,DATOS!$D14076,nESPEC,DATOS!$E14076,nASIG,DATOS!$I14076,nEVAL,"EX")=0),0))))</f>
      </c>
      <c r="H14076">
        <f>IF(DATOS!$G14076&lt;&gt;"EX",0,--(COUNTIFS(nNIA,DATOS!$A14076,nCURSO,DATOS!$D14076,nESPEC,DATOS!$E14076,nASIG,DATOS!$I14076,nEVAL,"OR")=0))</f>
      </c>
      <c r="I14076">
        <f>IF(DATOS!$I14076="","",IFERROR(VLOOKUP(DATOS!$I14076,CONFIG_ASIGNATURAS!$B$2:$J$91,9,FALSE()),""))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IF(DATOS!$A14077="",0,IF(CONFIG_METADATA!$B$4&lt;&gt;"OR+EX",--(DATOS!$G14077=CONFIG_METADATA!$B$4),IF(DATOS!$G14077="EX",1,IF(DATOS!$G14077="OR",--(COUNTIFS(nNIA,DATOS!$A14077,nCURSO,DATOS!$D14077,nESPEC,DATOS!$E14077,nASIG,DATOS!$I14077,nEVAL,"EX")=0),0))))</f>
      </c>
      <c r="H14077">
        <f>IF(DATOS!$G14077&lt;&gt;"EX",0,--(COUNTIFS(nNIA,DATOS!$A14077,nCURSO,DATOS!$D14077,nESPEC,DATOS!$E14077,nASIG,DATOS!$I14077,nEVAL,"OR")=0))</f>
      </c>
      <c r="I14077">
        <f>IF(DATOS!$I14077="","",IFERROR(VLOOKUP(DATOS!$I14077,CONFIG_ASIGNATURAS!$B$2:$J$91,9,FALSE()),""))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IF(DATOS!$A14078="",0,IF(CONFIG_METADATA!$B$4&lt;&gt;"OR+EX",--(DATOS!$G14078=CONFIG_METADATA!$B$4),IF(DATOS!$G14078="EX",1,IF(DATOS!$G14078="OR",--(COUNTIFS(nNIA,DATOS!$A14078,nCURSO,DATOS!$D14078,nESPEC,DATOS!$E14078,nASIG,DATOS!$I14078,nEVAL,"EX")=0),0))))</f>
      </c>
      <c r="H14078">
        <f>IF(DATOS!$G14078&lt;&gt;"EX",0,--(COUNTIFS(nNIA,DATOS!$A14078,nCURSO,DATOS!$D14078,nESPEC,DATOS!$E14078,nASIG,DATOS!$I14078,nEVAL,"OR")=0))</f>
      </c>
      <c r="I14078">
        <f>IF(DATOS!$I14078="","",IFERROR(VLOOKUP(DATOS!$I14078,CONFIG_ASIGNATURAS!$B$2:$J$91,9,FALSE()),""))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IF(DATOS!$A14079="",0,IF(CONFIG_METADATA!$B$4&lt;&gt;"OR+EX",--(DATOS!$G14079=CONFIG_METADATA!$B$4),IF(DATOS!$G14079="EX",1,IF(DATOS!$G14079="OR",--(COUNTIFS(nNIA,DATOS!$A14079,nCURSO,DATOS!$D14079,nESPEC,DATOS!$E14079,nASIG,DATOS!$I14079,nEVAL,"EX")=0),0))))</f>
      </c>
      <c r="H14079">
        <f>IF(DATOS!$G14079&lt;&gt;"EX",0,--(COUNTIFS(nNIA,DATOS!$A14079,nCURSO,DATOS!$D14079,nESPEC,DATOS!$E14079,nASIG,DATOS!$I14079,nEVAL,"OR")=0))</f>
      </c>
      <c r="I14079">
        <f>IF(DATOS!$I14079="","",IFERROR(VLOOKUP(DATOS!$I14079,CONFIG_ASIGNATURAS!$B$2:$J$91,9,FALSE()),""))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IF(DATOS!$A14080="",0,IF(CONFIG_METADATA!$B$4&lt;&gt;"OR+EX",--(DATOS!$G14080=CONFIG_METADATA!$B$4),IF(DATOS!$G14080="EX",1,IF(DATOS!$G14080="OR",--(COUNTIFS(nNIA,DATOS!$A14080,nCURSO,DATOS!$D14080,nESPEC,DATOS!$E14080,nASIG,DATOS!$I14080,nEVAL,"EX")=0),0))))</f>
      </c>
      <c r="H14080">
        <f>IF(DATOS!$G14080&lt;&gt;"EX",0,--(COUNTIFS(nNIA,DATOS!$A14080,nCURSO,DATOS!$D14080,nESPEC,DATOS!$E14080,nASIG,DATOS!$I14080,nEVAL,"OR")=0))</f>
      </c>
      <c r="I14080">
        <f>IF(DATOS!$I14080="","",IFERROR(VLOOKUP(DATOS!$I14080,CONFIG_ASIGNATURAS!$B$2:$J$91,9,FALSE()),""))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IF(DATOS!$A14081="",0,IF(CONFIG_METADATA!$B$4&lt;&gt;"OR+EX",--(DATOS!$G14081=CONFIG_METADATA!$B$4),IF(DATOS!$G14081="EX",1,IF(DATOS!$G14081="OR",--(COUNTIFS(nNIA,DATOS!$A14081,nCURSO,DATOS!$D14081,nESPEC,DATOS!$E14081,nASIG,DATOS!$I14081,nEVAL,"EX")=0),0))))</f>
      </c>
      <c r="H14081">
        <f>IF(DATOS!$G14081&lt;&gt;"EX",0,--(COUNTIFS(nNIA,DATOS!$A14081,nCURSO,DATOS!$D14081,nESPEC,DATOS!$E14081,nASIG,DATOS!$I14081,nEVAL,"OR")=0))</f>
      </c>
      <c r="I14081">
        <f>IF(DATOS!$I14081="","",IFERROR(VLOOKUP(DATOS!$I14081,CONFIG_ASIGNATURAS!$B$2:$J$91,9,FALSE()),""))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IF(DATOS!$A14082="",0,IF(CONFIG_METADATA!$B$4&lt;&gt;"OR+EX",--(DATOS!$G14082=CONFIG_METADATA!$B$4),IF(DATOS!$G14082="EX",1,IF(DATOS!$G14082="OR",--(COUNTIFS(nNIA,DATOS!$A14082,nCURSO,DATOS!$D14082,nESPEC,DATOS!$E14082,nASIG,DATOS!$I14082,nEVAL,"EX")=0),0))))</f>
      </c>
      <c r="H14082">
        <f>IF(DATOS!$G14082&lt;&gt;"EX",0,--(COUNTIFS(nNIA,DATOS!$A14082,nCURSO,DATOS!$D14082,nESPEC,DATOS!$E14082,nASIG,DATOS!$I14082,nEVAL,"OR")=0))</f>
      </c>
      <c r="I14082">
        <f>IF(DATOS!$I14082="","",IFERROR(VLOOKUP(DATOS!$I14082,CONFIG_ASIGNATURAS!$B$2:$J$91,9,FALSE()),""))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IF(DATOS!$A14083="",0,IF(CONFIG_METADATA!$B$4&lt;&gt;"OR+EX",--(DATOS!$G14083=CONFIG_METADATA!$B$4),IF(DATOS!$G14083="EX",1,IF(DATOS!$G14083="OR",--(COUNTIFS(nNIA,DATOS!$A14083,nCURSO,DATOS!$D14083,nESPEC,DATOS!$E14083,nASIG,DATOS!$I14083,nEVAL,"EX")=0),0))))</f>
      </c>
      <c r="H14083">
        <f>IF(DATOS!$G14083&lt;&gt;"EX",0,--(COUNTIFS(nNIA,DATOS!$A14083,nCURSO,DATOS!$D14083,nESPEC,DATOS!$E14083,nASIG,DATOS!$I14083,nEVAL,"OR")=0))</f>
      </c>
      <c r="I14083">
        <f>IF(DATOS!$I14083="","",IFERROR(VLOOKUP(DATOS!$I14083,CONFIG_ASIGNATURAS!$B$2:$J$91,9,FALSE()),""))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IF(DATOS!$A14084="",0,IF(CONFIG_METADATA!$B$4&lt;&gt;"OR+EX",--(DATOS!$G14084=CONFIG_METADATA!$B$4),IF(DATOS!$G14084="EX",1,IF(DATOS!$G14084="OR",--(COUNTIFS(nNIA,DATOS!$A14084,nCURSO,DATOS!$D14084,nESPEC,DATOS!$E14084,nASIG,DATOS!$I14084,nEVAL,"EX")=0),0))))</f>
      </c>
      <c r="H14084">
        <f>IF(DATOS!$G14084&lt;&gt;"EX",0,--(COUNTIFS(nNIA,DATOS!$A14084,nCURSO,DATOS!$D14084,nESPEC,DATOS!$E14084,nASIG,DATOS!$I14084,nEVAL,"OR")=0))</f>
      </c>
      <c r="I14084">
        <f>IF(DATOS!$I14084="","",IFERROR(VLOOKUP(DATOS!$I14084,CONFIG_ASIGNATURAS!$B$2:$J$91,9,FALSE()),""))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IF(DATOS!$A14085="",0,IF(CONFIG_METADATA!$B$4&lt;&gt;"OR+EX",--(DATOS!$G14085=CONFIG_METADATA!$B$4),IF(DATOS!$G14085="EX",1,IF(DATOS!$G14085="OR",--(COUNTIFS(nNIA,DATOS!$A14085,nCURSO,DATOS!$D14085,nESPEC,DATOS!$E14085,nASIG,DATOS!$I14085,nEVAL,"EX")=0),0))))</f>
      </c>
      <c r="H14085">
        <f>IF(DATOS!$G14085&lt;&gt;"EX",0,--(COUNTIFS(nNIA,DATOS!$A14085,nCURSO,DATOS!$D14085,nESPEC,DATOS!$E14085,nASIG,DATOS!$I14085,nEVAL,"OR")=0))</f>
      </c>
      <c r="I14085">
        <f>IF(DATOS!$I14085="","",IFERROR(VLOOKUP(DATOS!$I14085,CONFIG_ASIGNATURAS!$B$2:$J$91,9,FALSE()),""))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IF(DATOS!$A14086="",0,IF(CONFIG_METADATA!$B$4&lt;&gt;"OR+EX",--(DATOS!$G14086=CONFIG_METADATA!$B$4),IF(DATOS!$G14086="EX",1,IF(DATOS!$G14086="OR",--(COUNTIFS(nNIA,DATOS!$A14086,nCURSO,DATOS!$D14086,nESPEC,DATOS!$E14086,nASIG,DATOS!$I14086,nEVAL,"EX")=0),0))))</f>
      </c>
      <c r="H14086">
        <f>IF(DATOS!$G14086&lt;&gt;"EX",0,--(COUNTIFS(nNIA,DATOS!$A14086,nCURSO,DATOS!$D14086,nESPEC,DATOS!$E14086,nASIG,DATOS!$I14086,nEVAL,"OR")=0))</f>
      </c>
      <c r="I14086">
        <f>IF(DATOS!$I14086="","",IFERROR(VLOOKUP(DATOS!$I14086,CONFIG_ASIGNATURAS!$B$2:$J$91,9,FALSE()),""))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IF(DATOS!$A14087="",0,IF(CONFIG_METADATA!$B$4&lt;&gt;"OR+EX",--(DATOS!$G14087=CONFIG_METADATA!$B$4),IF(DATOS!$G14087="EX",1,IF(DATOS!$G14087="OR",--(COUNTIFS(nNIA,DATOS!$A14087,nCURSO,DATOS!$D14087,nESPEC,DATOS!$E14087,nASIG,DATOS!$I14087,nEVAL,"EX")=0),0))))</f>
      </c>
      <c r="H14087">
        <f>IF(DATOS!$G14087&lt;&gt;"EX",0,--(COUNTIFS(nNIA,DATOS!$A14087,nCURSO,DATOS!$D14087,nESPEC,DATOS!$E14087,nASIG,DATOS!$I14087,nEVAL,"OR")=0))</f>
      </c>
      <c r="I14087">
        <f>IF(DATOS!$I14087="","",IFERROR(VLOOKUP(DATOS!$I14087,CONFIG_ASIGNATURAS!$B$2:$J$91,9,FALSE()),""))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IF(DATOS!$A14088="",0,IF(CONFIG_METADATA!$B$4&lt;&gt;"OR+EX",--(DATOS!$G14088=CONFIG_METADATA!$B$4),IF(DATOS!$G14088="EX",1,IF(DATOS!$G14088="OR",--(COUNTIFS(nNIA,DATOS!$A14088,nCURSO,DATOS!$D14088,nESPEC,DATOS!$E14088,nASIG,DATOS!$I14088,nEVAL,"EX")=0),0))))</f>
      </c>
      <c r="H14088">
        <f>IF(DATOS!$G14088&lt;&gt;"EX",0,--(COUNTIFS(nNIA,DATOS!$A14088,nCURSO,DATOS!$D14088,nESPEC,DATOS!$E14088,nASIG,DATOS!$I14088,nEVAL,"OR")=0))</f>
      </c>
      <c r="I14088">
        <f>IF(DATOS!$I14088="","",IFERROR(VLOOKUP(DATOS!$I14088,CONFIG_ASIGNATURAS!$B$2:$J$91,9,FALSE()),""))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IF(DATOS!$A14089="",0,IF(CONFIG_METADATA!$B$4&lt;&gt;"OR+EX",--(DATOS!$G14089=CONFIG_METADATA!$B$4),IF(DATOS!$G14089="EX",1,IF(DATOS!$G14089="OR",--(COUNTIFS(nNIA,DATOS!$A14089,nCURSO,DATOS!$D14089,nESPEC,DATOS!$E14089,nASIG,DATOS!$I14089,nEVAL,"EX")=0),0))))</f>
      </c>
      <c r="H14089">
        <f>IF(DATOS!$G14089&lt;&gt;"EX",0,--(COUNTIFS(nNIA,DATOS!$A14089,nCURSO,DATOS!$D14089,nESPEC,DATOS!$E14089,nASIG,DATOS!$I14089,nEVAL,"OR")=0))</f>
      </c>
      <c r="I14089">
        <f>IF(DATOS!$I14089="","",IFERROR(VLOOKUP(DATOS!$I14089,CONFIG_ASIGNATURAS!$B$2:$J$91,9,FALSE()),""))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IF(DATOS!$A14090="",0,IF(CONFIG_METADATA!$B$4&lt;&gt;"OR+EX",--(DATOS!$G14090=CONFIG_METADATA!$B$4),IF(DATOS!$G14090="EX",1,IF(DATOS!$G14090="OR",--(COUNTIFS(nNIA,DATOS!$A14090,nCURSO,DATOS!$D14090,nESPEC,DATOS!$E14090,nASIG,DATOS!$I14090,nEVAL,"EX")=0),0))))</f>
      </c>
      <c r="H14090">
        <f>IF(DATOS!$G14090&lt;&gt;"EX",0,--(COUNTIFS(nNIA,DATOS!$A14090,nCURSO,DATOS!$D14090,nESPEC,DATOS!$E14090,nASIG,DATOS!$I14090,nEVAL,"OR")=0))</f>
      </c>
      <c r="I14090">
        <f>IF(DATOS!$I14090="","",IFERROR(VLOOKUP(DATOS!$I14090,CONFIG_ASIGNATURAS!$B$2:$J$91,9,FALSE()),""))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IF(DATOS!$A14091="",0,IF(CONFIG_METADATA!$B$4&lt;&gt;"OR+EX",--(DATOS!$G14091=CONFIG_METADATA!$B$4),IF(DATOS!$G14091="EX",1,IF(DATOS!$G14091="OR",--(COUNTIFS(nNIA,DATOS!$A14091,nCURSO,DATOS!$D14091,nESPEC,DATOS!$E14091,nASIG,DATOS!$I14091,nEVAL,"EX")=0),0))))</f>
      </c>
      <c r="H14091">
        <f>IF(DATOS!$G14091&lt;&gt;"EX",0,--(COUNTIFS(nNIA,DATOS!$A14091,nCURSO,DATOS!$D14091,nESPEC,DATOS!$E14091,nASIG,DATOS!$I14091,nEVAL,"OR")=0))</f>
      </c>
      <c r="I14091">
        <f>IF(DATOS!$I14091="","",IFERROR(VLOOKUP(DATOS!$I14091,CONFIG_ASIGNATURAS!$B$2:$J$91,9,FALSE()),""))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IF(DATOS!$A14092="",0,IF(CONFIG_METADATA!$B$4&lt;&gt;"OR+EX",--(DATOS!$G14092=CONFIG_METADATA!$B$4),IF(DATOS!$G14092="EX",1,IF(DATOS!$G14092="OR",--(COUNTIFS(nNIA,DATOS!$A14092,nCURSO,DATOS!$D14092,nESPEC,DATOS!$E14092,nASIG,DATOS!$I14092,nEVAL,"EX")=0),0))))</f>
      </c>
      <c r="H14092">
        <f>IF(DATOS!$G14092&lt;&gt;"EX",0,--(COUNTIFS(nNIA,DATOS!$A14092,nCURSO,DATOS!$D14092,nESPEC,DATOS!$E14092,nASIG,DATOS!$I14092,nEVAL,"OR")=0))</f>
      </c>
      <c r="I14092">
        <f>IF(DATOS!$I14092="","",IFERROR(VLOOKUP(DATOS!$I14092,CONFIG_ASIGNATURAS!$B$2:$J$91,9,FALSE()),""))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IF(DATOS!$A14093="",0,IF(CONFIG_METADATA!$B$4&lt;&gt;"OR+EX",--(DATOS!$G14093=CONFIG_METADATA!$B$4),IF(DATOS!$G14093="EX",1,IF(DATOS!$G14093="OR",--(COUNTIFS(nNIA,DATOS!$A14093,nCURSO,DATOS!$D14093,nESPEC,DATOS!$E14093,nASIG,DATOS!$I14093,nEVAL,"EX")=0),0))))</f>
      </c>
      <c r="H14093">
        <f>IF(DATOS!$G14093&lt;&gt;"EX",0,--(COUNTIFS(nNIA,DATOS!$A14093,nCURSO,DATOS!$D14093,nESPEC,DATOS!$E14093,nASIG,DATOS!$I14093,nEVAL,"OR")=0))</f>
      </c>
      <c r="I14093">
        <f>IF(DATOS!$I14093="","",IFERROR(VLOOKUP(DATOS!$I14093,CONFIG_ASIGNATURAS!$B$2:$J$91,9,FALSE()),""))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IF(DATOS!$A14094="",0,IF(CONFIG_METADATA!$B$4&lt;&gt;"OR+EX",--(DATOS!$G14094=CONFIG_METADATA!$B$4),IF(DATOS!$G14094="EX",1,IF(DATOS!$G14094="OR",--(COUNTIFS(nNIA,DATOS!$A14094,nCURSO,DATOS!$D14094,nESPEC,DATOS!$E14094,nASIG,DATOS!$I14094,nEVAL,"EX")=0),0))))</f>
      </c>
      <c r="H14094">
        <f>IF(DATOS!$G14094&lt;&gt;"EX",0,--(COUNTIFS(nNIA,DATOS!$A14094,nCURSO,DATOS!$D14094,nESPEC,DATOS!$E14094,nASIG,DATOS!$I14094,nEVAL,"OR")=0))</f>
      </c>
      <c r="I14094">
        <f>IF(DATOS!$I14094="","",IFERROR(VLOOKUP(DATOS!$I14094,CONFIG_ASIGNATURAS!$B$2:$J$91,9,FALSE()),""))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IF(DATOS!$A14095="",0,IF(CONFIG_METADATA!$B$4&lt;&gt;"OR+EX",--(DATOS!$G14095=CONFIG_METADATA!$B$4),IF(DATOS!$G14095="EX",1,IF(DATOS!$G14095="OR",--(COUNTIFS(nNIA,DATOS!$A14095,nCURSO,DATOS!$D14095,nESPEC,DATOS!$E14095,nASIG,DATOS!$I14095,nEVAL,"EX")=0),0))))</f>
      </c>
      <c r="H14095">
        <f>IF(DATOS!$G14095&lt;&gt;"EX",0,--(COUNTIFS(nNIA,DATOS!$A14095,nCURSO,DATOS!$D14095,nESPEC,DATOS!$E14095,nASIG,DATOS!$I14095,nEVAL,"OR")=0))</f>
      </c>
      <c r="I14095">
        <f>IF(DATOS!$I14095="","",IFERROR(VLOOKUP(DATOS!$I14095,CONFIG_ASIGNATURAS!$B$2:$J$91,9,FALSE()),""))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IF(DATOS!$A14096="",0,IF(CONFIG_METADATA!$B$4&lt;&gt;"OR+EX",--(DATOS!$G14096=CONFIG_METADATA!$B$4),IF(DATOS!$G14096="EX",1,IF(DATOS!$G14096="OR",--(COUNTIFS(nNIA,DATOS!$A14096,nCURSO,DATOS!$D14096,nESPEC,DATOS!$E14096,nASIG,DATOS!$I14096,nEVAL,"EX")=0),0))))</f>
      </c>
      <c r="H14096">
        <f>IF(DATOS!$G14096&lt;&gt;"EX",0,--(COUNTIFS(nNIA,DATOS!$A14096,nCURSO,DATOS!$D14096,nESPEC,DATOS!$E14096,nASIG,DATOS!$I14096,nEVAL,"OR")=0))</f>
      </c>
      <c r="I14096">
        <f>IF(DATOS!$I14096="","",IFERROR(VLOOKUP(DATOS!$I14096,CONFIG_ASIGNATURAS!$B$2:$J$91,9,FALSE()),""))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IF(DATOS!$A14097="",0,IF(CONFIG_METADATA!$B$4&lt;&gt;"OR+EX",--(DATOS!$G14097=CONFIG_METADATA!$B$4),IF(DATOS!$G14097="EX",1,IF(DATOS!$G14097="OR",--(COUNTIFS(nNIA,DATOS!$A14097,nCURSO,DATOS!$D14097,nESPEC,DATOS!$E14097,nASIG,DATOS!$I14097,nEVAL,"EX")=0),0))))</f>
      </c>
      <c r="H14097">
        <f>IF(DATOS!$G14097&lt;&gt;"EX",0,--(COUNTIFS(nNIA,DATOS!$A14097,nCURSO,DATOS!$D14097,nESPEC,DATOS!$E14097,nASIG,DATOS!$I14097,nEVAL,"OR")=0))</f>
      </c>
      <c r="I14097">
        <f>IF(DATOS!$I14097="","",IFERROR(VLOOKUP(DATOS!$I14097,CONFIG_ASIGNATURAS!$B$2:$J$91,9,FALSE()),""))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IF(DATOS!$A14098="",0,IF(CONFIG_METADATA!$B$4&lt;&gt;"OR+EX",--(DATOS!$G14098=CONFIG_METADATA!$B$4),IF(DATOS!$G14098="EX",1,IF(DATOS!$G14098="OR",--(COUNTIFS(nNIA,DATOS!$A14098,nCURSO,DATOS!$D14098,nESPEC,DATOS!$E14098,nASIG,DATOS!$I14098,nEVAL,"EX")=0),0))))</f>
      </c>
      <c r="H14098">
        <f>IF(DATOS!$G14098&lt;&gt;"EX",0,--(COUNTIFS(nNIA,DATOS!$A14098,nCURSO,DATOS!$D14098,nESPEC,DATOS!$E14098,nASIG,DATOS!$I14098,nEVAL,"OR")=0))</f>
      </c>
      <c r="I14098">
        <f>IF(DATOS!$I14098="","",IFERROR(VLOOKUP(DATOS!$I14098,CONFIG_ASIGNATURAS!$B$2:$J$91,9,FALSE()),""))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IF(DATOS!$A14099="",0,IF(CONFIG_METADATA!$B$4&lt;&gt;"OR+EX",--(DATOS!$G14099=CONFIG_METADATA!$B$4),IF(DATOS!$G14099="EX",1,IF(DATOS!$G14099="OR",--(COUNTIFS(nNIA,DATOS!$A14099,nCURSO,DATOS!$D14099,nESPEC,DATOS!$E14099,nASIG,DATOS!$I14099,nEVAL,"EX")=0),0))))</f>
      </c>
      <c r="H14099">
        <f>IF(DATOS!$G14099&lt;&gt;"EX",0,--(COUNTIFS(nNIA,DATOS!$A14099,nCURSO,DATOS!$D14099,nESPEC,DATOS!$E14099,nASIG,DATOS!$I14099,nEVAL,"OR")=0))</f>
      </c>
      <c r="I14099">
        <f>IF(DATOS!$I14099="","",IFERROR(VLOOKUP(DATOS!$I14099,CONFIG_ASIGNATURAS!$B$2:$J$91,9,FALSE()),""))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IF(DATOS!$A14100="",0,IF(CONFIG_METADATA!$B$4&lt;&gt;"OR+EX",--(DATOS!$G14100=CONFIG_METADATA!$B$4),IF(DATOS!$G14100="EX",1,IF(DATOS!$G14100="OR",--(COUNTIFS(nNIA,DATOS!$A14100,nCURSO,DATOS!$D14100,nESPEC,DATOS!$E14100,nASIG,DATOS!$I14100,nEVAL,"EX")=0),0))))</f>
      </c>
      <c r="H14100">
        <f>IF(DATOS!$G14100&lt;&gt;"EX",0,--(COUNTIFS(nNIA,DATOS!$A14100,nCURSO,DATOS!$D14100,nESPEC,DATOS!$E14100,nASIG,DATOS!$I14100,nEVAL,"OR")=0))</f>
      </c>
      <c r="I14100">
        <f>IF(DATOS!$I14100="","",IFERROR(VLOOKUP(DATOS!$I14100,CONFIG_ASIGNATURAS!$B$2:$J$91,9,FALSE()),""))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IF(DATOS!$A14101="",0,IF(CONFIG_METADATA!$B$4&lt;&gt;"OR+EX",--(DATOS!$G14101=CONFIG_METADATA!$B$4),IF(DATOS!$G14101="EX",1,IF(DATOS!$G14101="OR",--(COUNTIFS(nNIA,DATOS!$A14101,nCURSO,DATOS!$D14101,nESPEC,DATOS!$E14101,nASIG,DATOS!$I14101,nEVAL,"EX")=0),0))))</f>
      </c>
      <c r="H14101">
        <f>IF(DATOS!$G14101&lt;&gt;"EX",0,--(COUNTIFS(nNIA,DATOS!$A14101,nCURSO,DATOS!$D14101,nESPEC,DATOS!$E14101,nASIG,DATOS!$I14101,nEVAL,"OR")=0))</f>
      </c>
      <c r="I14101">
        <f>IF(DATOS!$I14101="","",IFERROR(VLOOKUP(DATOS!$I14101,CONFIG_ASIGNATURAS!$B$2:$J$91,9,FALSE()),""))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IF(DATOS!$A14102="",0,IF(CONFIG_METADATA!$B$4&lt;&gt;"OR+EX",--(DATOS!$G14102=CONFIG_METADATA!$B$4),IF(DATOS!$G14102="EX",1,IF(DATOS!$G14102="OR",--(COUNTIFS(nNIA,DATOS!$A14102,nCURSO,DATOS!$D14102,nESPEC,DATOS!$E14102,nASIG,DATOS!$I14102,nEVAL,"EX")=0),0))))</f>
      </c>
      <c r="H14102">
        <f>IF(DATOS!$G14102&lt;&gt;"EX",0,--(COUNTIFS(nNIA,DATOS!$A14102,nCURSO,DATOS!$D14102,nESPEC,DATOS!$E14102,nASIG,DATOS!$I14102,nEVAL,"OR")=0))</f>
      </c>
      <c r="I14102">
        <f>IF(DATOS!$I14102="","",IFERROR(VLOOKUP(DATOS!$I14102,CONFIG_ASIGNATURAS!$B$2:$J$91,9,FALSE()),""))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IF(DATOS!$A14103="",0,IF(CONFIG_METADATA!$B$4&lt;&gt;"OR+EX",--(DATOS!$G14103=CONFIG_METADATA!$B$4),IF(DATOS!$G14103="EX",1,IF(DATOS!$G14103="OR",--(COUNTIFS(nNIA,DATOS!$A14103,nCURSO,DATOS!$D14103,nESPEC,DATOS!$E14103,nASIG,DATOS!$I14103,nEVAL,"EX")=0),0))))</f>
      </c>
      <c r="H14103">
        <f>IF(DATOS!$G14103&lt;&gt;"EX",0,--(COUNTIFS(nNIA,DATOS!$A14103,nCURSO,DATOS!$D14103,nESPEC,DATOS!$E14103,nASIG,DATOS!$I14103,nEVAL,"OR")=0))</f>
      </c>
      <c r="I14103">
        <f>IF(DATOS!$I14103="","",IFERROR(VLOOKUP(DATOS!$I14103,CONFIG_ASIGNATURAS!$B$2:$J$91,9,FALSE()),""))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IF(DATOS!$A14104="",0,IF(CONFIG_METADATA!$B$4&lt;&gt;"OR+EX",--(DATOS!$G14104=CONFIG_METADATA!$B$4),IF(DATOS!$G14104="EX",1,IF(DATOS!$G14104="OR",--(COUNTIFS(nNIA,DATOS!$A14104,nCURSO,DATOS!$D14104,nESPEC,DATOS!$E14104,nASIG,DATOS!$I14104,nEVAL,"EX")=0),0))))</f>
      </c>
      <c r="H14104">
        <f>IF(DATOS!$G14104&lt;&gt;"EX",0,--(COUNTIFS(nNIA,DATOS!$A14104,nCURSO,DATOS!$D14104,nESPEC,DATOS!$E14104,nASIG,DATOS!$I14104,nEVAL,"OR")=0))</f>
      </c>
      <c r="I14104">
        <f>IF(DATOS!$I14104="","",IFERROR(VLOOKUP(DATOS!$I14104,CONFIG_ASIGNATURAS!$B$2:$J$91,9,FALSE()),""))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IF(DATOS!$A14105="",0,IF(CONFIG_METADATA!$B$4&lt;&gt;"OR+EX",--(DATOS!$G14105=CONFIG_METADATA!$B$4),IF(DATOS!$G14105="EX",1,IF(DATOS!$G14105="OR",--(COUNTIFS(nNIA,DATOS!$A14105,nCURSO,DATOS!$D14105,nESPEC,DATOS!$E14105,nASIG,DATOS!$I14105,nEVAL,"EX")=0),0))))</f>
      </c>
      <c r="H14105">
        <f>IF(DATOS!$G14105&lt;&gt;"EX",0,--(COUNTIFS(nNIA,DATOS!$A14105,nCURSO,DATOS!$D14105,nESPEC,DATOS!$E14105,nASIG,DATOS!$I14105,nEVAL,"OR")=0))</f>
      </c>
      <c r="I14105">
        <f>IF(DATOS!$I14105="","",IFERROR(VLOOKUP(DATOS!$I14105,CONFIG_ASIGNATURAS!$B$2:$J$91,9,FALSE()),""))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IF(DATOS!$A14106="",0,IF(CONFIG_METADATA!$B$4&lt;&gt;"OR+EX",--(DATOS!$G14106=CONFIG_METADATA!$B$4),IF(DATOS!$G14106="EX",1,IF(DATOS!$G14106="OR",--(COUNTIFS(nNIA,DATOS!$A14106,nCURSO,DATOS!$D14106,nESPEC,DATOS!$E14106,nASIG,DATOS!$I14106,nEVAL,"EX")=0),0))))</f>
      </c>
      <c r="H14106">
        <f>IF(DATOS!$G14106&lt;&gt;"EX",0,--(COUNTIFS(nNIA,DATOS!$A14106,nCURSO,DATOS!$D14106,nESPEC,DATOS!$E14106,nASIG,DATOS!$I14106,nEVAL,"OR")=0))</f>
      </c>
      <c r="I14106">
        <f>IF(DATOS!$I14106="","",IFERROR(VLOOKUP(DATOS!$I14106,CONFIG_ASIGNATURAS!$B$2:$J$91,9,FALSE()),""))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IF(DATOS!$A14107="",0,IF(CONFIG_METADATA!$B$4&lt;&gt;"OR+EX",--(DATOS!$G14107=CONFIG_METADATA!$B$4),IF(DATOS!$G14107="EX",1,IF(DATOS!$G14107="OR",--(COUNTIFS(nNIA,DATOS!$A14107,nCURSO,DATOS!$D14107,nESPEC,DATOS!$E14107,nASIG,DATOS!$I14107,nEVAL,"EX")=0),0))))</f>
      </c>
      <c r="H14107">
        <f>IF(DATOS!$G14107&lt;&gt;"EX",0,--(COUNTIFS(nNIA,DATOS!$A14107,nCURSO,DATOS!$D14107,nESPEC,DATOS!$E14107,nASIG,DATOS!$I14107,nEVAL,"OR")=0))</f>
      </c>
      <c r="I14107">
        <f>IF(DATOS!$I14107="","",IFERROR(VLOOKUP(DATOS!$I14107,CONFIG_ASIGNATURAS!$B$2:$J$91,9,FALSE()),""))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IF(DATOS!$A14108="",0,IF(CONFIG_METADATA!$B$4&lt;&gt;"OR+EX",--(DATOS!$G14108=CONFIG_METADATA!$B$4),IF(DATOS!$G14108="EX",1,IF(DATOS!$G14108="OR",--(COUNTIFS(nNIA,DATOS!$A14108,nCURSO,DATOS!$D14108,nESPEC,DATOS!$E14108,nASIG,DATOS!$I14108,nEVAL,"EX")=0),0))))</f>
      </c>
      <c r="H14108">
        <f>IF(DATOS!$G14108&lt;&gt;"EX",0,--(COUNTIFS(nNIA,DATOS!$A14108,nCURSO,DATOS!$D14108,nESPEC,DATOS!$E14108,nASIG,DATOS!$I14108,nEVAL,"OR")=0))</f>
      </c>
      <c r="I14108">
        <f>IF(DATOS!$I14108="","",IFERROR(VLOOKUP(DATOS!$I14108,CONFIG_ASIGNATURAS!$B$2:$J$91,9,FALSE()),""))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IF(DATOS!$A14109="",0,IF(CONFIG_METADATA!$B$4&lt;&gt;"OR+EX",--(DATOS!$G14109=CONFIG_METADATA!$B$4),IF(DATOS!$G14109="EX",1,IF(DATOS!$G14109="OR",--(COUNTIFS(nNIA,DATOS!$A14109,nCURSO,DATOS!$D14109,nESPEC,DATOS!$E14109,nASIG,DATOS!$I14109,nEVAL,"EX")=0),0))))</f>
      </c>
      <c r="H14109">
        <f>IF(DATOS!$G14109&lt;&gt;"EX",0,--(COUNTIFS(nNIA,DATOS!$A14109,nCURSO,DATOS!$D14109,nESPEC,DATOS!$E14109,nASIG,DATOS!$I14109,nEVAL,"OR")=0))</f>
      </c>
      <c r="I14109">
        <f>IF(DATOS!$I14109="","",IFERROR(VLOOKUP(DATOS!$I14109,CONFIG_ASIGNATURAS!$B$2:$J$91,9,FALSE()),""))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IF(DATOS!$A14110="",0,IF(CONFIG_METADATA!$B$4&lt;&gt;"OR+EX",--(DATOS!$G14110=CONFIG_METADATA!$B$4),IF(DATOS!$G14110="EX",1,IF(DATOS!$G14110="OR",--(COUNTIFS(nNIA,DATOS!$A14110,nCURSO,DATOS!$D14110,nESPEC,DATOS!$E14110,nASIG,DATOS!$I14110,nEVAL,"EX")=0),0))))</f>
      </c>
      <c r="H14110">
        <f>IF(DATOS!$G14110&lt;&gt;"EX",0,--(COUNTIFS(nNIA,DATOS!$A14110,nCURSO,DATOS!$D14110,nESPEC,DATOS!$E14110,nASIG,DATOS!$I14110,nEVAL,"OR")=0))</f>
      </c>
      <c r="I14110">
        <f>IF(DATOS!$I14110="","",IFERROR(VLOOKUP(DATOS!$I14110,CONFIG_ASIGNATURAS!$B$2:$J$91,9,FALSE()),""))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IF(DATOS!$A14111="",0,IF(CONFIG_METADATA!$B$4&lt;&gt;"OR+EX",--(DATOS!$G14111=CONFIG_METADATA!$B$4),IF(DATOS!$G14111="EX",1,IF(DATOS!$G14111="OR",--(COUNTIFS(nNIA,DATOS!$A14111,nCURSO,DATOS!$D14111,nESPEC,DATOS!$E14111,nASIG,DATOS!$I14111,nEVAL,"EX")=0),0))))</f>
      </c>
      <c r="H14111">
        <f>IF(DATOS!$G14111&lt;&gt;"EX",0,--(COUNTIFS(nNIA,DATOS!$A14111,nCURSO,DATOS!$D14111,nESPEC,DATOS!$E14111,nASIG,DATOS!$I14111,nEVAL,"OR")=0))</f>
      </c>
      <c r="I14111">
        <f>IF(DATOS!$I14111="","",IFERROR(VLOOKUP(DATOS!$I14111,CONFIG_ASIGNATURAS!$B$2:$J$91,9,FALSE()),""))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IF(DATOS!$A14112="",0,IF(CONFIG_METADATA!$B$4&lt;&gt;"OR+EX",--(DATOS!$G14112=CONFIG_METADATA!$B$4),IF(DATOS!$G14112="EX",1,IF(DATOS!$G14112="OR",--(COUNTIFS(nNIA,DATOS!$A14112,nCURSO,DATOS!$D14112,nESPEC,DATOS!$E14112,nASIG,DATOS!$I14112,nEVAL,"EX")=0),0))))</f>
      </c>
      <c r="H14112">
        <f>IF(DATOS!$G14112&lt;&gt;"EX",0,--(COUNTIFS(nNIA,DATOS!$A14112,nCURSO,DATOS!$D14112,nESPEC,DATOS!$E14112,nASIG,DATOS!$I14112,nEVAL,"OR")=0))</f>
      </c>
      <c r="I14112">
        <f>IF(DATOS!$I14112="","",IFERROR(VLOOKUP(DATOS!$I14112,CONFIG_ASIGNATURAS!$B$2:$J$91,9,FALSE()),""))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IF(DATOS!$A14113="",0,IF(CONFIG_METADATA!$B$4&lt;&gt;"OR+EX",--(DATOS!$G14113=CONFIG_METADATA!$B$4),IF(DATOS!$G14113="EX",1,IF(DATOS!$G14113="OR",--(COUNTIFS(nNIA,DATOS!$A14113,nCURSO,DATOS!$D14113,nESPEC,DATOS!$E14113,nASIG,DATOS!$I14113,nEVAL,"EX")=0),0))))</f>
      </c>
      <c r="H14113">
        <f>IF(DATOS!$G14113&lt;&gt;"EX",0,--(COUNTIFS(nNIA,DATOS!$A14113,nCURSO,DATOS!$D14113,nESPEC,DATOS!$E14113,nASIG,DATOS!$I14113,nEVAL,"OR")=0))</f>
      </c>
      <c r="I14113">
        <f>IF(DATOS!$I14113="","",IFERROR(VLOOKUP(DATOS!$I14113,CONFIG_ASIGNATURAS!$B$2:$J$91,9,FALSE()),""))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IF(DATOS!$A14114="",0,IF(CONFIG_METADATA!$B$4&lt;&gt;"OR+EX",--(DATOS!$G14114=CONFIG_METADATA!$B$4),IF(DATOS!$G14114="EX",1,IF(DATOS!$G14114="OR",--(COUNTIFS(nNIA,DATOS!$A14114,nCURSO,DATOS!$D14114,nESPEC,DATOS!$E14114,nASIG,DATOS!$I14114,nEVAL,"EX")=0),0))))</f>
      </c>
      <c r="H14114">
        <f>IF(DATOS!$G14114&lt;&gt;"EX",0,--(COUNTIFS(nNIA,DATOS!$A14114,nCURSO,DATOS!$D14114,nESPEC,DATOS!$E14114,nASIG,DATOS!$I14114,nEVAL,"OR")=0))</f>
      </c>
      <c r="I14114">
        <f>IF(DATOS!$I14114="","",IFERROR(VLOOKUP(DATOS!$I14114,CONFIG_ASIGNATURAS!$B$2:$J$91,9,FALSE()),""))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IF(DATOS!$A14115="",0,IF(CONFIG_METADATA!$B$4&lt;&gt;"OR+EX",--(DATOS!$G14115=CONFIG_METADATA!$B$4),IF(DATOS!$G14115="EX",1,IF(DATOS!$G14115="OR",--(COUNTIFS(nNIA,DATOS!$A14115,nCURSO,DATOS!$D14115,nESPEC,DATOS!$E14115,nASIG,DATOS!$I14115,nEVAL,"EX")=0),0))))</f>
      </c>
      <c r="H14115">
        <f>IF(DATOS!$G14115&lt;&gt;"EX",0,--(COUNTIFS(nNIA,DATOS!$A14115,nCURSO,DATOS!$D14115,nESPEC,DATOS!$E14115,nASIG,DATOS!$I14115,nEVAL,"OR")=0))</f>
      </c>
      <c r="I14115">
        <f>IF(DATOS!$I14115="","",IFERROR(VLOOKUP(DATOS!$I14115,CONFIG_ASIGNATURAS!$B$2:$J$91,9,FALSE()),""))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IF(DATOS!$A14116="",0,IF(CONFIG_METADATA!$B$4&lt;&gt;"OR+EX",--(DATOS!$G14116=CONFIG_METADATA!$B$4),IF(DATOS!$G14116="EX",1,IF(DATOS!$G14116="OR",--(COUNTIFS(nNIA,DATOS!$A14116,nCURSO,DATOS!$D14116,nESPEC,DATOS!$E14116,nASIG,DATOS!$I14116,nEVAL,"EX")=0),0))))</f>
      </c>
      <c r="H14116">
        <f>IF(DATOS!$G14116&lt;&gt;"EX",0,--(COUNTIFS(nNIA,DATOS!$A14116,nCURSO,DATOS!$D14116,nESPEC,DATOS!$E14116,nASIG,DATOS!$I14116,nEVAL,"OR")=0))</f>
      </c>
      <c r="I14116">
        <f>IF(DATOS!$I14116="","",IFERROR(VLOOKUP(DATOS!$I14116,CONFIG_ASIGNATURAS!$B$2:$J$91,9,FALSE()),""))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IF(DATOS!$A14117="",0,IF(CONFIG_METADATA!$B$4&lt;&gt;"OR+EX",--(DATOS!$G14117=CONFIG_METADATA!$B$4),IF(DATOS!$G14117="EX",1,IF(DATOS!$G14117="OR",--(COUNTIFS(nNIA,DATOS!$A14117,nCURSO,DATOS!$D14117,nESPEC,DATOS!$E14117,nASIG,DATOS!$I14117,nEVAL,"EX")=0),0))))</f>
      </c>
      <c r="H14117">
        <f>IF(DATOS!$G14117&lt;&gt;"EX",0,--(COUNTIFS(nNIA,DATOS!$A14117,nCURSO,DATOS!$D14117,nESPEC,DATOS!$E14117,nASIG,DATOS!$I14117,nEVAL,"OR")=0))</f>
      </c>
      <c r="I14117">
        <f>IF(DATOS!$I14117="","",IFERROR(VLOOKUP(DATOS!$I14117,CONFIG_ASIGNATURAS!$B$2:$J$91,9,FALSE()),""))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IF(DATOS!$A14118="",0,IF(CONFIG_METADATA!$B$4&lt;&gt;"OR+EX",--(DATOS!$G14118=CONFIG_METADATA!$B$4),IF(DATOS!$G14118="EX",1,IF(DATOS!$G14118="OR",--(COUNTIFS(nNIA,DATOS!$A14118,nCURSO,DATOS!$D14118,nESPEC,DATOS!$E14118,nASIG,DATOS!$I14118,nEVAL,"EX")=0),0))))</f>
      </c>
      <c r="H14118">
        <f>IF(DATOS!$G14118&lt;&gt;"EX",0,--(COUNTIFS(nNIA,DATOS!$A14118,nCURSO,DATOS!$D14118,nESPEC,DATOS!$E14118,nASIG,DATOS!$I14118,nEVAL,"OR")=0))</f>
      </c>
      <c r="I14118">
        <f>IF(DATOS!$I14118="","",IFERROR(VLOOKUP(DATOS!$I14118,CONFIG_ASIGNATURAS!$B$2:$J$91,9,FALSE()),""))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IF(DATOS!$A14119="",0,IF(CONFIG_METADATA!$B$4&lt;&gt;"OR+EX",--(DATOS!$G14119=CONFIG_METADATA!$B$4),IF(DATOS!$G14119="EX",1,IF(DATOS!$G14119="OR",--(COUNTIFS(nNIA,DATOS!$A14119,nCURSO,DATOS!$D14119,nESPEC,DATOS!$E14119,nASIG,DATOS!$I14119,nEVAL,"EX")=0),0))))</f>
      </c>
      <c r="H14119">
        <f>IF(DATOS!$G14119&lt;&gt;"EX",0,--(COUNTIFS(nNIA,DATOS!$A14119,nCURSO,DATOS!$D14119,nESPEC,DATOS!$E14119,nASIG,DATOS!$I14119,nEVAL,"OR")=0))</f>
      </c>
      <c r="I14119">
        <f>IF(DATOS!$I14119="","",IFERROR(VLOOKUP(DATOS!$I14119,CONFIG_ASIGNATURAS!$B$2:$J$91,9,FALSE()),""))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IF(DATOS!$A14120="",0,IF(CONFIG_METADATA!$B$4&lt;&gt;"OR+EX",--(DATOS!$G14120=CONFIG_METADATA!$B$4),IF(DATOS!$G14120="EX",1,IF(DATOS!$G14120="OR",--(COUNTIFS(nNIA,DATOS!$A14120,nCURSO,DATOS!$D14120,nESPEC,DATOS!$E14120,nASIG,DATOS!$I14120,nEVAL,"EX")=0),0))))</f>
      </c>
      <c r="H14120">
        <f>IF(DATOS!$G14120&lt;&gt;"EX",0,--(COUNTIFS(nNIA,DATOS!$A14120,nCURSO,DATOS!$D14120,nESPEC,DATOS!$E14120,nASIG,DATOS!$I14120,nEVAL,"OR")=0))</f>
      </c>
      <c r="I14120">
        <f>IF(DATOS!$I14120="","",IFERROR(VLOOKUP(DATOS!$I14120,CONFIG_ASIGNATURAS!$B$2:$J$91,9,FALSE()),""))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IF(DATOS!$A14121="",0,IF(CONFIG_METADATA!$B$4&lt;&gt;"OR+EX",--(DATOS!$G14121=CONFIG_METADATA!$B$4),IF(DATOS!$G14121="EX",1,IF(DATOS!$G14121="OR",--(COUNTIFS(nNIA,DATOS!$A14121,nCURSO,DATOS!$D14121,nESPEC,DATOS!$E14121,nASIG,DATOS!$I14121,nEVAL,"EX")=0),0))))</f>
      </c>
      <c r="H14121">
        <f>IF(DATOS!$G14121&lt;&gt;"EX",0,--(COUNTIFS(nNIA,DATOS!$A14121,nCURSO,DATOS!$D14121,nESPEC,DATOS!$E14121,nASIG,DATOS!$I14121,nEVAL,"OR")=0))</f>
      </c>
      <c r="I14121">
        <f>IF(DATOS!$I14121="","",IFERROR(VLOOKUP(DATOS!$I14121,CONFIG_ASIGNATURAS!$B$2:$J$91,9,FALSE()),""))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IF(DATOS!$A14122="",0,IF(CONFIG_METADATA!$B$4&lt;&gt;"OR+EX",--(DATOS!$G14122=CONFIG_METADATA!$B$4),IF(DATOS!$G14122="EX",1,IF(DATOS!$G14122="OR",--(COUNTIFS(nNIA,DATOS!$A14122,nCURSO,DATOS!$D14122,nESPEC,DATOS!$E14122,nASIG,DATOS!$I14122,nEVAL,"EX")=0),0))))</f>
      </c>
      <c r="H14122">
        <f>IF(DATOS!$G14122&lt;&gt;"EX",0,--(COUNTIFS(nNIA,DATOS!$A14122,nCURSO,DATOS!$D14122,nESPEC,DATOS!$E14122,nASIG,DATOS!$I14122,nEVAL,"OR")=0))</f>
      </c>
      <c r="I14122">
        <f>IF(DATOS!$I14122="","",IFERROR(VLOOKUP(DATOS!$I14122,CONFIG_ASIGNATURAS!$B$2:$J$91,9,FALSE()),""))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IF(DATOS!$A14123="",0,IF(CONFIG_METADATA!$B$4&lt;&gt;"OR+EX",--(DATOS!$G14123=CONFIG_METADATA!$B$4),IF(DATOS!$G14123="EX",1,IF(DATOS!$G14123="OR",--(COUNTIFS(nNIA,DATOS!$A14123,nCURSO,DATOS!$D14123,nESPEC,DATOS!$E14123,nASIG,DATOS!$I14123,nEVAL,"EX")=0),0))))</f>
      </c>
      <c r="H14123">
        <f>IF(DATOS!$G14123&lt;&gt;"EX",0,--(COUNTIFS(nNIA,DATOS!$A14123,nCURSO,DATOS!$D14123,nESPEC,DATOS!$E14123,nASIG,DATOS!$I14123,nEVAL,"OR")=0))</f>
      </c>
      <c r="I14123">
        <f>IF(DATOS!$I14123="","",IFERROR(VLOOKUP(DATOS!$I14123,CONFIG_ASIGNATURAS!$B$2:$J$91,9,FALSE()),""))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IF(DATOS!$A14124="",0,IF(CONFIG_METADATA!$B$4&lt;&gt;"OR+EX",--(DATOS!$G14124=CONFIG_METADATA!$B$4),IF(DATOS!$G14124="EX",1,IF(DATOS!$G14124="OR",--(COUNTIFS(nNIA,DATOS!$A14124,nCURSO,DATOS!$D14124,nESPEC,DATOS!$E14124,nASIG,DATOS!$I14124,nEVAL,"EX")=0),0))))</f>
      </c>
      <c r="H14124">
        <f>IF(DATOS!$G14124&lt;&gt;"EX",0,--(COUNTIFS(nNIA,DATOS!$A14124,nCURSO,DATOS!$D14124,nESPEC,DATOS!$E14124,nASIG,DATOS!$I14124,nEVAL,"OR")=0))</f>
      </c>
      <c r="I14124">
        <f>IF(DATOS!$I14124="","",IFERROR(VLOOKUP(DATOS!$I14124,CONFIG_ASIGNATURAS!$B$2:$J$91,9,FALSE()),""))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IF(DATOS!$A14125="",0,IF(CONFIG_METADATA!$B$4&lt;&gt;"OR+EX",--(DATOS!$G14125=CONFIG_METADATA!$B$4),IF(DATOS!$G14125="EX",1,IF(DATOS!$G14125="OR",--(COUNTIFS(nNIA,DATOS!$A14125,nCURSO,DATOS!$D14125,nESPEC,DATOS!$E14125,nASIG,DATOS!$I14125,nEVAL,"EX")=0),0))))</f>
      </c>
      <c r="H14125">
        <f>IF(DATOS!$G14125&lt;&gt;"EX",0,--(COUNTIFS(nNIA,DATOS!$A14125,nCURSO,DATOS!$D14125,nESPEC,DATOS!$E14125,nASIG,DATOS!$I14125,nEVAL,"OR")=0))</f>
      </c>
      <c r="I14125">
        <f>IF(DATOS!$I14125="","",IFERROR(VLOOKUP(DATOS!$I14125,CONFIG_ASIGNATURAS!$B$2:$J$91,9,FALSE()),""))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IF(DATOS!$A14126="",0,IF(CONFIG_METADATA!$B$4&lt;&gt;"OR+EX",--(DATOS!$G14126=CONFIG_METADATA!$B$4),IF(DATOS!$G14126="EX",1,IF(DATOS!$G14126="OR",--(COUNTIFS(nNIA,DATOS!$A14126,nCURSO,DATOS!$D14126,nESPEC,DATOS!$E14126,nASIG,DATOS!$I14126,nEVAL,"EX")=0),0))))</f>
      </c>
      <c r="H14126">
        <f>IF(DATOS!$G14126&lt;&gt;"EX",0,--(COUNTIFS(nNIA,DATOS!$A14126,nCURSO,DATOS!$D14126,nESPEC,DATOS!$E14126,nASIG,DATOS!$I14126,nEVAL,"OR")=0))</f>
      </c>
      <c r="I14126">
        <f>IF(DATOS!$I14126="","",IFERROR(VLOOKUP(DATOS!$I14126,CONFIG_ASIGNATURAS!$B$2:$J$91,9,FALSE()),""))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IF(DATOS!$A14127="",0,IF(CONFIG_METADATA!$B$4&lt;&gt;"OR+EX",--(DATOS!$G14127=CONFIG_METADATA!$B$4),IF(DATOS!$G14127="EX",1,IF(DATOS!$G14127="OR",--(COUNTIFS(nNIA,DATOS!$A14127,nCURSO,DATOS!$D14127,nESPEC,DATOS!$E14127,nASIG,DATOS!$I14127,nEVAL,"EX")=0),0))))</f>
      </c>
      <c r="H14127">
        <f>IF(DATOS!$G14127&lt;&gt;"EX",0,--(COUNTIFS(nNIA,DATOS!$A14127,nCURSO,DATOS!$D14127,nESPEC,DATOS!$E14127,nASIG,DATOS!$I14127,nEVAL,"OR")=0))</f>
      </c>
      <c r="I14127">
        <f>IF(DATOS!$I14127="","",IFERROR(VLOOKUP(DATOS!$I14127,CONFIG_ASIGNATURAS!$B$2:$J$91,9,FALSE()),""))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IF(DATOS!$A14128="",0,IF(CONFIG_METADATA!$B$4&lt;&gt;"OR+EX",--(DATOS!$G14128=CONFIG_METADATA!$B$4),IF(DATOS!$G14128="EX",1,IF(DATOS!$G14128="OR",--(COUNTIFS(nNIA,DATOS!$A14128,nCURSO,DATOS!$D14128,nESPEC,DATOS!$E14128,nASIG,DATOS!$I14128,nEVAL,"EX")=0),0))))</f>
      </c>
      <c r="H14128">
        <f>IF(DATOS!$G14128&lt;&gt;"EX",0,--(COUNTIFS(nNIA,DATOS!$A14128,nCURSO,DATOS!$D14128,nESPEC,DATOS!$E14128,nASIG,DATOS!$I14128,nEVAL,"OR")=0))</f>
      </c>
      <c r="I14128">
        <f>IF(DATOS!$I14128="","",IFERROR(VLOOKUP(DATOS!$I14128,CONFIG_ASIGNATURAS!$B$2:$J$91,9,FALSE()),""))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IF(DATOS!$A14129="",0,IF(CONFIG_METADATA!$B$4&lt;&gt;"OR+EX",--(DATOS!$G14129=CONFIG_METADATA!$B$4),IF(DATOS!$G14129="EX",1,IF(DATOS!$G14129="OR",--(COUNTIFS(nNIA,DATOS!$A14129,nCURSO,DATOS!$D14129,nESPEC,DATOS!$E14129,nASIG,DATOS!$I14129,nEVAL,"EX")=0),0))))</f>
      </c>
      <c r="H14129">
        <f>IF(DATOS!$G14129&lt;&gt;"EX",0,--(COUNTIFS(nNIA,DATOS!$A14129,nCURSO,DATOS!$D14129,nESPEC,DATOS!$E14129,nASIG,DATOS!$I14129,nEVAL,"OR")=0))</f>
      </c>
      <c r="I14129">
        <f>IF(DATOS!$I14129="","",IFERROR(VLOOKUP(DATOS!$I14129,CONFIG_ASIGNATURAS!$B$2:$J$91,9,FALSE()),""))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IF(DATOS!$A14130="",0,IF(CONFIG_METADATA!$B$4&lt;&gt;"OR+EX",--(DATOS!$G14130=CONFIG_METADATA!$B$4),IF(DATOS!$G14130="EX",1,IF(DATOS!$G14130="OR",--(COUNTIFS(nNIA,DATOS!$A14130,nCURSO,DATOS!$D14130,nESPEC,DATOS!$E14130,nASIG,DATOS!$I14130,nEVAL,"EX")=0),0))))</f>
      </c>
      <c r="H14130">
        <f>IF(DATOS!$G14130&lt;&gt;"EX",0,--(COUNTIFS(nNIA,DATOS!$A14130,nCURSO,DATOS!$D14130,nESPEC,DATOS!$E14130,nASIG,DATOS!$I14130,nEVAL,"OR")=0))</f>
      </c>
      <c r="I14130">
        <f>IF(DATOS!$I14130="","",IFERROR(VLOOKUP(DATOS!$I14130,CONFIG_ASIGNATURAS!$B$2:$J$91,9,FALSE()),""))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IF(DATOS!$A14131="",0,IF(CONFIG_METADATA!$B$4&lt;&gt;"OR+EX",--(DATOS!$G14131=CONFIG_METADATA!$B$4),IF(DATOS!$G14131="EX",1,IF(DATOS!$G14131="OR",--(COUNTIFS(nNIA,DATOS!$A14131,nCURSO,DATOS!$D14131,nESPEC,DATOS!$E14131,nASIG,DATOS!$I14131,nEVAL,"EX")=0),0))))</f>
      </c>
      <c r="H14131">
        <f>IF(DATOS!$G14131&lt;&gt;"EX",0,--(COUNTIFS(nNIA,DATOS!$A14131,nCURSO,DATOS!$D14131,nESPEC,DATOS!$E14131,nASIG,DATOS!$I14131,nEVAL,"OR")=0))</f>
      </c>
      <c r="I14131">
        <f>IF(DATOS!$I14131="","",IFERROR(VLOOKUP(DATOS!$I14131,CONFIG_ASIGNATURAS!$B$2:$J$91,9,FALSE()),""))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IF(DATOS!$A14132="",0,IF(CONFIG_METADATA!$B$4&lt;&gt;"OR+EX",--(DATOS!$G14132=CONFIG_METADATA!$B$4),IF(DATOS!$G14132="EX",1,IF(DATOS!$G14132="OR",--(COUNTIFS(nNIA,DATOS!$A14132,nCURSO,DATOS!$D14132,nESPEC,DATOS!$E14132,nASIG,DATOS!$I14132,nEVAL,"EX")=0),0))))</f>
      </c>
      <c r="H14132">
        <f>IF(DATOS!$G14132&lt;&gt;"EX",0,--(COUNTIFS(nNIA,DATOS!$A14132,nCURSO,DATOS!$D14132,nESPEC,DATOS!$E14132,nASIG,DATOS!$I14132,nEVAL,"OR")=0))</f>
      </c>
      <c r="I14132">
        <f>IF(DATOS!$I14132="","",IFERROR(VLOOKUP(DATOS!$I14132,CONFIG_ASIGNATURAS!$B$2:$J$91,9,FALSE()),""))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IF(DATOS!$A14133="",0,IF(CONFIG_METADATA!$B$4&lt;&gt;"OR+EX",--(DATOS!$G14133=CONFIG_METADATA!$B$4),IF(DATOS!$G14133="EX",1,IF(DATOS!$G14133="OR",--(COUNTIFS(nNIA,DATOS!$A14133,nCURSO,DATOS!$D14133,nESPEC,DATOS!$E14133,nASIG,DATOS!$I14133,nEVAL,"EX")=0),0))))</f>
      </c>
      <c r="H14133">
        <f>IF(DATOS!$G14133&lt;&gt;"EX",0,--(COUNTIFS(nNIA,DATOS!$A14133,nCURSO,DATOS!$D14133,nESPEC,DATOS!$E14133,nASIG,DATOS!$I14133,nEVAL,"OR")=0))</f>
      </c>
      <c r="I14133">
        <f>IF(DATOS!$I14133="","",IFERROR(VLOOKUP(DATOS!$I14133,CONFIG_ASIGNATURAS!$B$2:$J$91,9,FALSE()),""))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IF(DATOS!$A14134="",0,IF(CONFIG_METADATA!$B$4&lt;&gt;"OR+EX",--(DATOS!$G14134=CONFIG_METADATA!$B$4),IF(DATOS!$G14134="EX",1,IF(DATOS!$G14134="OR",--(COUNTIFS(nNIA,DATOS!$A14134,nCURSO,DATOS!$D14134,nESPEC,DATOS!$E14134,nASIG,DATOS!$I14134,nEVAL,"EX")=0),0))))</f>
      </c>
      <c r="H14134">
        <f>IF(DATOS!$G14134&lt;&gt;"EX",0,--(COUNTIFS(nNIA,DATOS!$A14134,nCURSO,DATOS!$D14134,nESPEC,DATOS!$E14134,nASIG,DATOS!$I14134,nEVAL,"OR")=0))</f>
      </c>
      <c r="I14134">
        <f>IF(DATOS!$I14134="","",IFERROR(VLOOKUP(DATOS!$I14134,CONFIG_ASIGNATURAS!$B$2:$J$91,9,FALSE()),""))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IF(DATOS!$A14135="",0,IF(CONFIG_METADATA!$B$4&lt;&gt;"OR+EX",--(DATOS!$G14135=CONFIG_METADATA!$B$4),IF(DATOS!$G14135="EX",1,IF(DATOS!$G14135="OR",--(COUNTIFS(nNIA,DATOS!$A14135,nCURSO,DATOS!$D14135,nESPEC,DATOS!$E14135,nASIG,DATOS!$I14135,nEVAL,"EX")=0),0))))</f>
      </c>
      <c r="H14135">
        <f>IF(DATOS!$G14135&lt;&gt;"EX",0,--(COUNTIFS(nNIA,DATOS!$A14135,nCURSO,DATOS!$D14135,nESPEC,DATOS!$E14135,nASIG,DATOS!$I14135,nEVAL,"OR")=0))</f>
      </c>
      <c r="I14135">
        <f>IF(DATOS!$I14135="","",IFERROR(VLOOKUP(DATOS!$I14135,CONFIG_ASIGNATURAS!$B$2:$J$91,9,FALSE()),""))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IF(DATOS!$A14136="",0,IF(CONFIG_METADATA!$B$4&lt;&gt;"OR+EX",--(DATOS!$G14136=CONFIG_METADATA!$B$4),IF(DATOS!$G14136="EX",1,IF(DATOS!$G14136="OR",--(COUNTIFS(nNIA,DATOS!$A14136,nCURSO,DATOS!$D14136,nESPEC,DATOS!$E14136,nASIG,DATOS!$I14136,nEVAL,"EX")=0),0))))</f>
      </c>
      <c r="H14136">
        <f>IF(DATOS!$G14136&lt;&gt;"EX",0,--(COUNTIFS(nNIA,DATOS!$A14136,nCURSO,DATOS!$D14136,nESPEC,DATOS!$E14136,nASIG,DATOS!$I14136,nEVAL,"OR")=0))</f>
      </c>
      <c r="I14136">
        <f>IF(DATOS!$I14136="","",IFERROR(VLOOKUP(DATOS!$I14136,CONFIG_ASIGNATURAS!$B$2:$J$91,9,FALSE()),""))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IF(DATOS!$A14137="",0,IF(CONFIG_METADATA!$B$4&lt;&gt;"OR+EX",--(DATOS!$G14137=CONFIG_METADATA!$B$4),IF(DATOS!$G14137="EX",1,IF(DATOS!$G14137="OR",--(COUNTIFS(nNIA,DATOS!$A14137,nCURSO,DATOS!$D14137,nESPEC,DATOS!$E14137,nASIG,DATOS!$I14137,nEVAL,"EX")=0),0))))</f>
      </c>
      <c r="H14137">
        <f>IF(DATOS!$G14137&lt;&gt;"EX",0,--(COUNTIFS(nNIA,DATOS!$A14137,nCURSO,DATOS!$D14137,nESPEC,DATOS!$E14137,nASIG,DATOS!$I14137,nEVAL,"OR")=0))</f>
      </c>
      <c r="I14137">
        <f>IF(DATOS!$I14137="","",IFERROR(VLOOKUP(DATOS!$I14137,CONFIG_ASIGNATURAS!$B$2:$J$91,9,FALSE()),""))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IF(DATOS!$A14138="",0,IF(CONFIG_METADATA!$B$4&lt;&gt;"OR+EX",--(DATOS!$G14138=CONFIG_METADATA!$B$4),IF(DATOS!$G14138="EX",1,IF(DATOS!$G14138="OR",--(COUNTIFS(nNIA,DATOS!$A14138,nCURSO,DATOS!$D14138,nESPEC,DATOS!$E14138,nASIG,DATOS!$I14138,nEVAL,"EX")=0),0))))</f>
      </c>
      <c r="H14138">
        <f>IF(DATOS!$G14138&lt;&gt;"EX",0,--(COUNTIFS(nNIA,DATOS!$A14138,nCURSO,DATOS!$D14138,nESPEC,DATOS!$E14138,nASIG,DATOS!$I14138,nEVAL,"OR")=0))</f>
      </c>
      <c r="I14138">
        <f>IF(DATOS!$I14138="","",IFERROR(VLOOKUP(DATOS!$I14138,CONFIG_ASIGNATURAS!$B$2:$J$91,9,FALSE()),""))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IF(DATOS!$A14139="",0,IF(CONFIG_METADATA!$B$4&lt;&gt;"OR+EX",--(DATOS!$G14139=CONFIG_METADATA!$B$4),IF(DATOS!$G14139="EX",1,IF(DATOS!$G14139="OR",--(COUNTIFS(nNIA,DATOS!$A14139,nCURSO,DATOS!$D14139,nESPEC,DATOS!$E14139,nASIG,DATOS!$I14139,nEVAL,"EX")=0),0))))</f>
      </c>
      <c r="H14139">
        <f>IF(DATOS!$G14139&lt;&gt;"EX",0,--(COUNTIFS(nNIA,DATOS!$A14139,nCURSO,DATOS!$D14139,nESPEC,DATOS!$E14139,nASIG,DATOS!$I14139,nEVAL,"OR")=0))</f>
      </c>
      <c r="I14139">
        <f>IF(DATOS!$I14139="","",IFERROR(VLOOKUP(DATOS!$I14139,CONFIG_ASIGNATURAS!$B$2:$J$91,9,FALSE()),""))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IF(DATOS!$A14140="",0,IF(CONFIG_METADATA!$B$4&lt;&gt;"OR+EX",--(DATOS!$G14140=CONFIG_METADATA!$B$4),IF(DATOS!$G14140="EX",1,IF(DATOS!$G14140="OR",--(COUNTIFS(nNIA,DATOS!$A14140,nCURSO,DATOS!$D14140,nESPEC,DATOS!$E14140,nASIG,DATOS!$I14140,nEVAL,"EX")=0),0))))</f>
      </c>
      <c r="H14140">
        <f>IF(DATOS!$G14140&lt;&gt;"EX",0,--(COUNTIFS(nNIA,DATOS!$A14140,nCURSO,DATOS!$D14140,nESPEC,DATOS!$E14140,nASIG,DATOS!$I14140,nEVAL,"OR")=0))</f>
      </c>
      <c r="I14140">
        <f>IF(DATOS!$I14140="","",IFERROR(VLOOKUP(DATOS!$I14140,CONFIG_ASIGNATURAS!$B$2:$J$91,9,FALSE()),""))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IF(DATOS!$A14141="",0,IF(CONFIG_METADATA!$B$4&lt;&gt;"OR+EX",--(DATOS!$G14141=CONFIG_METADATA!$B$4),IF(DATOS!$G14141="EX",1,IF(DATOS!$G14141="OR",--(COUNTIFS(nNIA,DATOS!$A14141,nCURSO,DATOS!$D14141,nESPEC,DATOS!$E14141,nASIG,DATOS!$I14141,nEVAL,"EX")=0),0))))</f>
      </c>
      <c r="H14141">
        <f>IF(DATOS!$G14141&lt;&gt;"EX",0,--(COUNTIFS(nNIA,DATOS!$A14141,nCURSO,DATOS!$D14141,nESPEC,DATOS!$E14141,nASIG,DATOS!$I14141,nEVAL,"OR")=0))</f>
      </c>
      <c r="I14141">
        <f>IF(DATOS!$I14141="","",IFERROR(VLOOKUP(DATOS!$I14141,CONFIG_ASIGNATURAS!$B$2:$J$91,9,FALSE()),""))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IF(DATOS!$A14142="",0,IF(CONFIG_METADATA!$B$4&lt;&gt;"OR+EX",--(DATOS!$G14142=CONFIG_METADATA!$B$4),IF(DATOS!$G14142="EX",1,IF(DATOS!$G14142="OR",--(COUNTIFS(nNIA,DATOS!$A14142,nCURSO,DATOS!$D14142,nESPEC,DATOS!$E14142,nASIG,DATOS!$I14142,nEVAL,"EX")=0),0))))</f>
      </c>
      <c r="H14142">
        <f>IF(DATOS!$G14142&lt;&gt;"EX",0,--(COUNTIFS(nNIA,DATOS!$A14142,nCURSO,DATOS!$D14142,nESPEC,DATOS!$E14142,nASIG,DATOS!$I14142,nEVAL,"OR")=0))</f>
      </c>
      <c r="I14142">
        <f>IF(DATOS!$I14142="","",IFERROR(VLOOKUP(DATOS!$I14142,CONFIG_ASIGNATURAS!$B$2:$J$91,9,FALSE()),""))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IF(DATOS!$A14143="",0,IF(CONFIG_METADATA!$B$4&lt;&gt;"OR+EX",--(DATOS!$G14143=CONFIG_METADATA!$B$4),IF(DATOS!$G14143="EX",1,IF(DATOS!$G14143="OR",--(COUNTIFS(nNIA,DATOS!$A14143,nCURSO,DATOS!$D14143,nESPEC,DATOS!$E14143,nASIG,DATOS!$I14143,nEVAL,"EX")=0),0))))</f>
      </c>
      <c r="H14143">
        <f>IF(DATOS!$G14143&lt;&gt;"EX",0,--(COUNTIFS(nNIA,DATOS!$A14143,nCURSO,DATOS!$D14143,nESPEC,DATOS!$E14143,nASIG,DATOS!$I14143,nEVAL,"OR")=0))</f>
      </c>
      <c r="I14143">
        <f>IF(DATOS!$I14143="","",IFERROR(VLOOKUP(DATOS!$I14143,CONFIG_ASIGNATURAS!$B$2:$J$91,9,FALSE()),""))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IF(DATOS!$A14144="",0,IF(CONFIG_METADATA!$B$4&lt;&gt;"OR+EX",--(DATOS!$G14144=CONFIG_METADATA!$B$4),IF(DATOS!$G14144="EX",1,IF(DATOS!$G14144="OR",--(COUNTIFS(nNIA,DATOS!$A14144,nCURSO,DATOS!$D14144,nESPEC,DATOS!$E14144,nASIG,DATOS!$I14144,nEVAL,"EX")=0),0))))</f>
      </c>
      <c r="H14144">
        <f>IF(DATOS!$G14144&lt;&gt;"EX",0,--(COUNTIFS(nNIA,DATOS!$A14144,nCURSO,DATOS!$D14144,nESPEC,DATOS!$E14144,nASIG,DATOS!$I14144,nEVAL,"OR")=0))</f>
      </c>
      <c r="I14144">
        <f>IF(DATOS!$I14144="","",IFERROR(VLOOKUP(DATOS!$I14144,CONFIG_ASIGNATURAS!$B$2:$J$91,9,FALSE()),""))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IF(DATOS!$A14145="",0,IF(CONFIG_METADATA!$B$4&lt;&gt;"OR+EX",--(DATOS!$G14145=CONFIG_METADATA!$B$4),IF(DATOS!$G14145="EX",1,IF(DATOS!$G14145="OR",--(COUNTIFS(nNIA,DATOS!$A14145,nCURSO,DATOS!$D14145,nESPEC,DATOS!$E14145,nASIG,DATOS!$I14145,nEVAL,"EX")=0),0))))</f>
      </c>
      <c r="H14145">
        <f>IF(DATOS!$G14145&lt;&gt;"EX",0,--(COUNTIFS(nNIA,DATOS!$A14145,nCURSO,DATOS!$D14145,nESPEC,DATOS!$E14145,nASIG,DATOS!$I14145,nEVAL,"OR")=0))</f>
      </c>
      <c r="I14145">
        <f>IF(DATOS!$I14145="","",IFERROR(VLOOKUP(DATOS!$I14145,CONFIG_ASIGNATURAS!$B$2:$J$91,9,FALSE()),""))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IF(DATOS!$A14146="",0,IF(CONFIG_METADATA!$B$4&lt;&gt;"OR+EX",--(DATOS!$G14146=CONFIG_METADATA!$B$4),IF(DATOS!$G14146="EX",1,IF(DATOS!$G14146="OR",--(COUNTIFS(nNIA,DATOS!$A14146,nCURSO,DATOS!$D14146,nESPEC,DATOS!$E14146,nASIG,DATOS!$I14146,nEVAL,"EX")=0),0))))</f>
      </c>
      <c r="H14146">
        <f>IF(DATOS!$G14146&lt;&gt;"EX",0,--(COUNTIFS(nNIA,DATOS!$A14146,nCURSO,DATOS!$D14146,nESPEC,DATOS!$E14146,nASIG,DATOS!$I14146,nEVAL,"OR")=0))</f>
      </c>
      <c r="I14146">
        <f>IF(DATOS!$I14146="","",IFERROR(VLOOKUP(DATOS!$I14146,CONFIG_ASIGNATURAS!$B$2:$J$91,9,FALSE()),""))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IF(DATOS!$A14147="",0,IF(CONFIG_METADATA!$B$4&lt;&gt;"OR+EX",--(DATOS!$G14147=CONFIG_METADATA!$B$4),IF(DATOS!$G14147="EX",1,IF(DATOS!$G14147="OR",--(COUNTIFS(nNIA,DATOS!$A14147,nCURSO,DATOS!$D14147,nESPEC,DATOS!$E14147,nASIG,DATOS!$I14147,nEVAL,"EX")=0),0))))</f>
      </c>
      <c r="H14147">
        <f>IF(DATOS!$G14147&lt;&gt;"EX",0,--(COUNTIFS(nNIA,DATOS!$A14147,nCURSO,DATOS!$D14147,nESPEC,DATOS!$E14147,nASIG,DATOS!$I14147,nEVAL,"OR")=0))</f>
      </c>
      <c r="I14147">
        <f>IF(DATOS!$I14147="","",IFERROR(VLOOKUP(DATOS!$I14147,CONFIG_ASIGNATURAS!$B$2:$J$91,9,FALSE()),""))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IF(DATOS!$A14148="",0,IF(CONFIG_METADATA!$B$4&lt;&gt;"OR+EX",--(DATOS!$G14148=CONFIG_METADATA!$B$4),IF(DATOS!$G14148="EX",1,IF(DATOS!$G14148="OR",--(COUNTIFS(nNIA,DATOS!$A14148,nCURSO,DATOS!$D14148,nESPEC,DATOS!$E14148,nASIG,DATOS!$I14148,nEVAL,"EX")=0),0))))</f>
      </c>
      <c r="H14148">
        <f>IF(DATOS!$G14148&lt;&gt;"EX",0,--(COUNTIFS(nNIA,DATOS!$A14148,nCURSO,DATOS!$D14148,nESPEC,DATOS!$E14148,nASIG,DATOS!$I14148,nEVAL,"OR")=0))</f>
      </c>
      <c r="I14148">
        <f>IF(DATOS!$I14148="","",IFERROR(VLOOKUP(DATOS!$I14148,CONFIG_ASIGNATURAS!$B$2:$J$91,9,FALSE()),""))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IF(DATOS!$A14149="",0,IF(CONFIG_METADATA!$B$4&lt;&gt;"OR+EX",--(DATOS!$G14149=CONFIG_METADATA!$B$4),IF(DATOS!$G14149="EX",1,IF(DATOS!$G14149="OR",--(COUNTIFS(nNIA,DATOS!$A14149,nCURSO,DATOS!$D14149,nESPEC,DATOS!$E14149,nASIG,DATOS!$I14149,nEVAL,"EX")=0),0))))</f>
      </c>
      <c r="H14149">
        <f>IF(DATOS!$G14149&lt;&gt;"EX",0,--(COUNTIFS(nNIA,DATOS!$A14149,nCURSO,DATOS!$D14149,nESPEC,DATOS!$E14149,nASIG,DATOS!$I14149,nEVAL,"OR")=0))</f>
      </c>
      <c r="I14149">
        <f>IF(DATOS!$I14149="","",IFERROR(VLOOKUP(DATOS!$I14149,CONFIG_ASIGNATURAS!$B$2:$J$91,9,FALSE()),""))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IF(DATOS!$A14150="",0,IF(CONFIG_METADATA!$B$4&lt;&gt;"OR+EX",--(DATOS!$G14150=CONFIG_METADATA!$B$4),IF(DATOS!$G14150="EX",1,IF(DATOS!$G14150="OR",--(COUNTIFS(nNIA,DATOS!$A14150,nCURSO,DATOS!$D14150,nESPEC,DATOS!$E14150,nASIG,DATOS!$I14150,nEVAL,"EX")=0),0))))</f>
      </c>
      <c r="H14150">
        <f>IF(DATOS!$G14150&lt;&gt;"EX",0,--(COUNTIFS(nNIA,DATOS!$A14150,nCURSO,DATOS!$D14150,nESPEC,DATOS!$E14150,nASIG,DATOS!$I14150,nEVAL,"OR")=0))</f>
      </c>
      <c r="I14150">
        <f>IF(DATOS!$I14150="","",IFERROR(VLOOKUP(DATOS!$I14150,CONFIG_ASIGNATURAS!$B$2:$J$91,9,FALSE()),""))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IF(DATOS!$A14151="",0,IF(CONFIG_METADATA!$B$4&lt;&gt;"OR+EX",--(DATOS!$G14151=CONFIG_METADATA!$B$4),IF(DATOS!$G14151="EX",1,IF(DATOS!$G14151="OR",--(COUNTIFS(nNIA,DATOS!$A14151,nCURSO,DATOS!$D14151,nESPEC,DATOS!$E14151,nASIG,DATOS!$I14151,nEVAL,"EX")=0),0))))</f>
      </c>
      <c r="H14151">
        <f>IF(DATOS!$G14151&lt;&gt;"EX",0,--(COUNTIFS(nNIA,DATOS!$A14151,nCURSO,DATOS!$D14151,nESPEC,DATOS!$E14151,nASIG,DATOS!$I14151,nEVAL,"OR")=0))</f>
      </c>
      <c r="I14151">
        <f>IF(DATOS!$I14151="","",IFERROR(VLOOKUP(DATOS!$I14151,CONFIG_ASIGNATURAS!$B$2:$J$91,9,FALSE()),""))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IF(DATOS!$A14152="",0,IF(CONFIG_METADATA!$B$4&lt;&gt;"OR+EX",--(DATOS!$G14152=CONFIG_METADATA!$B$4),IF(DATOS!$G14152="EX",1,IF(DATOS!$G14152="OR",--(COUNTIFS(nNIA,DATOS!$A14152,nCURSO,DATOS!$D14152,nESPEC,DATOS!$E14152,nASIG,DATOS!$I14152,nEVAL,"EX")=0),0))))</f>
      </c>
      <c r="H14152">
        <f>IF(DATOS!$G14152&lt;&gt;"EX",0,--(COUNTIFS(nNIA,DATOS!$A14152,nCURSO,DATOS!$D14152,nESPEC,DATOS!$E14152,nASIG,DATOS!$I14152,nEVAL,"OR")=0))</f>
      </c>
      <c r="I14152">
        <f>IF(DATOS!$I14152="","",IFERROR(VLOOKUP(DATOS!$I14152,CONFIG_ASIGNATURAS!$B$2:$J$91,9,FALSE()),""))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IF(DATOS!$A14153="",0,IF(CONFIG_METADATA!$B$4&lt;&gt;"OR+EX",--(DATOS!$G14153=CONFIG_METADATA!$B$4),IF(DATOS!$G14153="EX",1,IF(DATOS!$G14153="OR",--(COUNTIFS(nNIA,DATOS!$A14153,nCURSO,DATOS!$D14153,nESPEC,DATOS!$E14153,nASIG,DATOS!$I14153,nEVAL,"EX")=0),0))))</f>
      </c>
      <c r="H14153">
        <f>IF(DATOS!$G14153&lt;&gt;"EX",0,--(COUNTIFS(nNIA,DATOS!$A14153,nCURSO,DATOS!$D14153,nESPEC,DATOS!$E14153,nASIG,DATOS!$I14153,nEVAL,"OR")=0))</f>
      </c>
      <c r="I14153">
        <f>IF(DATOS!$I14153="","",IFERROR(VLOOKUP(DATOS!$I14153,CONFIG_ASIGNATURAS!$B$2:$J$91,9,FALSE()),""))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IF(DATOS!$A14154="",0,IF(CONFIG_METADATA!$B$4&lt;&gt;"OR+EX",--(DATOS!$G14154=CONFIG_METADATA!$B$4),IF(DATOS!$G14154="EX",1,IF(DATOS!$G14154="OR",--(COUNTIFS(nNIA,DATOS!$A14154,nCURSO,DATOS!$D14154,nESPEC,DATOS!$E14154,nASIG,DATOS!$I14154,nEVAL,"EX")=0),0))))</f>
      </c>
      <c r="H14154">
        <f>IF(DATOS!$G14154&lt;&gt;"EX",0,--(COUNTIFS(nNIA,DATOS!$A14154,nCURSO,DATOS!$D14154,nESPEC,DATOS!$E14154,nASIG,DATOS!$I14154,nEVAL,"OR")=0))</f>
      </c>
      <c r="I14154">
        <f>IF(DATOS!$I14154="","",IFERROR(VLOOKUP(DATOS!$I14154,CONFIG_ASIGNATURAS!$B$2:$J$91,9,FALSE()),""))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IF(DATOS!$A14155="",0,IF(CONFIG_METADATA!$B$4&lt;&gt;"OR+EX",--(DATOS!$G14155=CONFIG_METADATA!$B$4),IF(DATOS!$G14155="EX",1,IF(DATOS!$G14155="OR",--(COUNTIFS(nNIA,DATOS!$A14155,nCURSO,DATOS!$D14155,nESPEC,DATOS!$E14155,nASIG,DATOS!$I14155,nEVAL,"EX")=0),0))))</f>
      </c>
      <c r="H14155">
        <f>IF(DATOS!$G14155&lt;&gt;"EX",0,--(COUNTIFS(nNIA,DATOS!$A14155,nCURSO,DATOS!$D14155,nESPEC,DATOS!$E14155,nASIG,DATOS!$I14155,nEVAL,"OR")=0))</f>
      </c>
      <c r="I14155">
        <f>IF(DATOS!$I14155="","",IFERROR(VLOOKUP(DATOS!$I14155,CONFIG_ASIGNATURAS!$B$2:$J$91,9,FALSE()),""))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IF(DATOS!$A14156="",0,IF(CONFIG_METADATA!$B$4&lt;&gt;"OR+EX",--(DATOS!$G14156=CONFIG_METADATA!$B$4),IF(DATOS!$G14156="EX",1,IF(DATOS!$G14156="OR",--(COUNTIFS(nNIA,DATOS!$A14156,nCURSO,DATOS!$D14156,nESPEC,DATOS!$E14156,nASIG,DATOS!$I14156,nEVAL,"EX")=0),0))))</f>
      </c>
      <c r="H14156">
        <f>IF(DATOS!$G14156&lt;&gt;"EX",0,--(COUNTIFS(nNIA,DATOS!$A14156,nCURSO,DATOS!$D14156,nESPEC,DATOS!$E14156,nASIG,DATOS!$I14156,nEVAL,"OR")=0))</f>
      </c>
      <c r="I14156">
        <f>IF(DATOS!$I14156="","",IFERROR(VLOOKUP(DATOS!$I14156,CONFIG_ASIGNATURAS!$B$2:$J$91,9,FALSE()),""))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IF(DATOS!$A14157="",0,IF(CONFIG_METADATA!$B$4&lt;&gt;"OR+EX",--(DATOS!$G14157=CONFIG_METADATA!$B$4),IF(DATOS!$G14157="EX",1,IF(DATOS!$G14157="OR",--(COUNTIFS(nNIA,DATOS!$A14157,nCURSO,DATOS!$D14157,nESPEC,DATOS!$E14157,nASIG,DATOS!$I14157,nEVAL,"EX")=0),0))))</f>
      </c>
      <c r="H14157">
        <f>IF(DATOS!$G14157&lt;&gt;"EX",0,--(COUNTIFS(nNIA,DATOS!$A14157,nCURSO,DATOS!$D14157,nESPEC,DATOS!$E14157,nASIG,DATOS!$I14157,nEVAL,"OR")=0))</f>
      </c>
      <c r="I14157">
        <f>IF(DATOS!$I14157="","",IFERROR(VLOOKUP(DATOS!$I14157,CONFIG_ASIGNATURAS!$B$2:$J$91,9,FALSE()),""))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IF(DATOS!$A14158="",0,IF(CONFIG_METADATA!$B$4&lt;&gt;"OR+EX",--(DATOS!$G14158=CONFIG_METADATA!$B$4),IF(DATOS!$G14158="EX",1,IF(DATOS!$G14158="OR",--(COUNTIFS(nNIA,DATOS!$A14158,nCURSO,DATOS!$D14158,nESPEC,DATOS!$E14158,nASIG,DATOS!$I14158,nEVAL,"EX")=0),0))))</f>
      </c>
      <c r="H14158">
        <f>IF(DATOS!$G14158&lt;&gt;"EX",0,--(COUNTIFS(nNIA,DATOS!$A14158,nCURSO,DATOS!$D14158,nESPEC,DATOS!$E14158,nASIG,DATOS!$I14158,nEVAL,"OR")=0))</f>
      </c>
      <c r="I14158">
        <f>IF(DATOS!$I14158="","",IFERROR(VLOOKUP(DATOS!$I14158,CONFIG_ASIGNATURAS!$B$2:$J$91,9,FALSE()),""))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IF(DATOS!$A14159="",0,IF(CONFIG_METADATA!$B$4&lt;&gt;"OR+EX",--(DATOS!$G14159=CONFIG_METADATA!$B$4),IF(DATOS!$G14159="EX",1,IF(DATOS!$G14159="OR",--(COUNTIFS(nNIA,DATOS!$A14159,nCURSO,DATOS!$D14159,nESPEC,DATOS!$E14159,nASIG,DATOS!$I14159,nEVAL,"EX")=0),0))))</f>
      </c>
      <c r="H14159">
        <f>IF(DATOS!$G14159&lt;&gt;"EX",0,--(COUNTIFS(nNIA,DATOS!$A14159,nCURSO,DATOS!$D14159,nESPEC,DATOS!$E14159,nASIG,DATOS!$I14159,nEVAL,"OR")=0))</f>
      </c>
      <c r="I14159">
        <f>IF(DATOS!$I14159="","",IFERROR(VLOOKUP(DATOS!$I14159,CONFIG_ASIGNATURAS!$B$2:$J$91,9,FALSE()),""))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IF(DATOS!$A14160="",0,IF(CONFIG_METADATA!$B$4&lt;&gt;"OR+EX",--(DATOS!$G14160=CONFIG_METADATA!$B$4),IF(DATOS!$G14160="EX",1,IF(DATOS!$G14160="OR",--(COUNTIFS(nNIA,DATOS!$A14160,nCURSO,DATOS!$D14160,nESPEC,DATOS!$E14160,nASIG,DATOS!$I14160,nEVAL,"EX")=0),0))))</f>
      </c>
      <c r="H14160">
        <f>IF(DATOS!$G14160&lt;&gt;"EX",0,--(COUNTIFS(nNIA,DATOS!$A14160,nCURSO,DATOS!$D14160,nESPEC,DATOS!$E14160,nASIG,DATOS!$I14160,nEVAL,"OR")=0))</f>
      </c>
      <c r="I14160">
        <f>IF(DATOS!$I14160="","",IFERROR(VLOOKUP(DATOS!$I14160,CONFIG_ASIGNATURAS!$B$2:$J$91,9,FALSE()),""))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IF(DATOS!$A14161="",0,IF(CONFIG_METADATA!$B$4&lt;&gt;"OR+EX",--(DATOS!$G14161=CONFIG_METADATA!$B$4),IF(DATOS!$G14161="EX",1,IF(DATOS!$G14161="OR",--(COUNTIFS(nNIA,DATOS!$A14161,nCURSO,DATOS!$D14161,nESPEC,DATOS!$E14161,nASIG,DATOS!$I14161,nEVAL,"EX")=0),0))))</f>
      </c>
      <c r="H14161">
        <f>IF(DATOS!$G14161&lt;&gt;"EX",0,--(COUNTIFS(nNIA,DATOS!$A14161,nCURSO,DATOS!$D14161,nESPEC,DATOS!$E14161,nASIG,DATOS!$I14161,nEVAL,"OR")=0))</f>
      </c>
      <c r="I14161">
        <f>IF(DATOS!$I14161="","",IFERROR(VLOOKUP(DATOS!$I14161,CONFIG_ASIGNATURAS!$B$2:$J$91,9,FALSE()),""))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IF(DATOS!$A14162="",0,IF(CONFIG_METADATA!$B$4&lt;&gt;"OR+EX",--(DATOS!$G14162=CONFIG_METADATA!$B$4),IF(DATOS!$G14162="EX",1,IF(DATOS!$G14162="OR",--(COUNTIFS(nNIA,DATOS!$A14162,nCURSO,DATOS!$D14162,nESPEC,DATOS!$E14162,nASIG,DATOS!$I14162,nEVAL,"EX")=0),0))))</f>
      </c>
      <c r="H14162">
        <f>IF(DATOS!$G14162&lt;&gt;"EX",0,--(COUNTIFS(nNIA,DATOS!$A14162,nCURSO,DATOS!$D14162,nESPEC,DATOS!$E14162,nASIG,DATOS!$I14162,nEVAL,"OR")=0))</f>
      </c>
      <c r="I14162">
        <f>IF(DATOS!$I14162="","",IFERROR(VLOOKUP(DATOS!$I14162,CONFIG_ASIGNATURAS!$B$2:$J$91,9,FALSE()),""))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IF(DATOS!$A14163="",0,IF(CONFIG_METADATA!$B$4&lt;&gt;"OR+EX",--(DATOS!$G14163=CONFIG_METADATA!$B$4),IF(DATOS!$G14163="EX",1,IF(DATOS!$G14163="OR",--(COUNTIFS(nNIA,DATOS!$A14163,nCURSO,DATOS!$D14163,nESPEC,DATOS!$E14163,nASIG,DATOS!$I14163,nEVAL,"EX")=0),0))))</f>
      </c>
      <c r="H14163">
        <f>IF(DATOS!$G14163&lt;&gt;"EX",0,--(COUNTIFS(nNIA,DATOS!$A14163,nCURSO,DATOS!$D14163,nESPEC,DATOS!$E14163,nASIG,DATOS!$I14163,nEVAL,"OR")=0))</f>
      </c>
      <c r="I14163">
        <f>IF(DATOS!$I14163="","",IFERROR(VLOOKUP(DATOS!$I14163,CONFIG_ASIGNATURAS!$B$2:$J$91,9,FALSE()),""))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IF(DATOS!$A14164="",0,IF(CONFIG_METADATA!$B$4&lt;&gt;"OR+EX",--(DATOS!$G14164=CONFIG_METADATA!$B$4),IF(DATOS!$G14164="EX",1,IF(DATOS!$G14164="OR",--(COUNTIFS(nNIA,DATOS!$A14164,nCURSO,DATOS!$D14164,nESPEC,DATOS!$E14164,nASIG,DATOS!$I14164,nEVAL,"EX")=0),0))))</f>
      </c>
      <c r="H14164">
        <f>IF(DATOS!$G14164&lt;&gt;"EX",0,--(COUNTIFS(nNIA,DATOS!$A14164,nCURSO,DATOS!$D14164,nESPEC,DATOS!$E14164,nASIG,DATOS!$I14164,nEVAL,"OR")=0))</f>
      </c>
      <c r="I14164">
        <f>IF(DATOS!$I14164="","",IFERROR(VLOOKUP(DATOS!$I14164,CONFIG_ASIGNATURAS!$B$2:$J$91,9,FALSE()),""))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IF(DATOS!$A14165="",0,IF(CONFIG_METADATA!$B$4&lt;&gt;"OR+EX",--(DATOS!$G14165=CONFIG_METADATA!$B$4),IF(DATOS!$G14165="EX",1,IF(DATOS!$G14165="OR",--(COUNTIFS(nNIA,DATOS!$A14165,nCURSO,DATOS!$D14165,nESPEC,DATOS!$E14165,nASIG,DATOS!$I14165,nEVAL,"EX")=0),0))))</f>
      </c>
      <c r="H14165">
        <f>IF(DATOS!$G14165&lt;&gt;"EX",0,--(COUNTIFS(nNIA,DATOS!$A14165,nCURSO,DATOS!$D14165,nESPEC,DATOS!$E14165,nASIG,DATOS!$I14165,nEVAL,"OR")=0))</f>
      </c>
      <c r="I14165">
        <f>IF(DATOS!$I14165="","",IFERROR(VLOOKUP(DATOS!$I14165,CONFIG_ASIGNATURAS!$B$2:$J$91,9,FALSE()),""))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IF(DATOS!$A14166="",0,IF(CONFIG_METADATA!$B$4&lt;&gt;"OR+EX",--(DATOS!$G14166=CONFIG_METADATA!$B$4),IF(DATOS!$G14166="EX",1,IF(DATOS!$G14166="OR",--(COUNTIFS(nNIA,DATOS!$A14166,nCURSO,DATOS!$D14166,nESPEC,DATOS!$E14166,nASIG,DATOS!$I14166,nEVAL,"EX")=0),0))))</f>
      </c>
      <c r="H14166">
        <f>IF(DATOS!$G14166&lt;&gt;"EX",0,--(COUNTIFS(nNIA,DATOS!$A14166,nCURSO,DATOS!$D14166,nESPEC,DATOS!$E14166,nASIG,DATOS!$I14166,nEVAL,"OR")=0))</f>
      </c>
      <c r="I14166">
        <f>IF(DATOS!$I14166="","",IFERROR(VLOOKUP(DATOS!$I14166,CONFIG_ASIGNATURAS!$B$2:$J$91,9,FALSE()),""))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IF(DATOS!$A14167="",0,IF(CONFIG_METADATA!$B$4&lt;&gt;"OR+EX",--(DATOS!$G14167=CONFIG_METADATA!$B$4),IF(DATOS!$G14167="EX",1,IF(DATOS!$G14167="OR",--(COUNTIFS(nNIA,DATOS!$A14167,nCURSO,DATOS!$D14167,nESPEC,DATOS!$E14167,nASIG,DATOS!$I14167,nEVAL,"EX")=0),0))))</f>
      </c>
      <c r="H14167">
        <f>IF(DATOS!$G14167&lt;&gt;"EX",0,--(COUNTIFS(nNIA,DATOS!$A14167,nCURSO,DATOS!$D14167,nESPEC,DATOS!$E14167,nASIG,DATOS!$I14167,nEVAL,"OR")=0))</f>
      </c>
      <c r="I14167">
        <f>IF(DATOS!$I14167="","",IFERROR(VLOOKUP(DATOS!$I14167,CONFIG_ASIGNATURAS!$B$2:$J$91,9,FALSE()),""))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IF(DATOS!$A14168="",0,IF(CONFIG_METADATA!$B$4&lt;&gt;"OR+EX",--(DATOS!$G14168=CONFIG_METADATA!$B$4),IF(DATOS!$G14168="EX",1,IF(DATOS!$G14168="OR",--(COUNTIFS(nNIA,DATOS!$A14168,nCURSO,DATOS!$D14168,nESPEC,DATOS!$E14168,nASIG,DATOS!$I14168,nEVAL,"EX")=0),0))))</f>
      </c>
      <c r="H14168">
        <f>IF(DATOS!$G14168&lt;&gt;"EX",0,--(COUNTIFS(nNIA,DATOS!$A14168,nCURSO,DATOS!$D14168,nESPEC,DATOS!$E14168,nASIG,DATOS!$I14168,nEVAL,"OR")=0))</f>
      </c>
      <c r="I14168">
        <f>IF(DATOS!$I14168="","",IFERROR(VLOOKUP(DATOS!$I14168,CONFIG_ASIGNATURAS!$B$2:$J$91,9,FALSE()),""))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IF(DATOS!$A14169="",0,IF(CONFIG_METADATA!$B$4&lt;&gt;"OR+EX",--(DATOS!$G14169=CONFIG_METADATA!$B$4),IF(DATOS!$G14169="EX",1,IF(DATOS!$G14169="OR",--(COUNTIFS(nNIA,DATOS!$A14169,nCURSO,DATOS!$D14169,nESPEC,DATOS!$E14169,nASIG,DATOS!$I14169,nEVAL,"EX")=0),0))))</f>
      </c>
      <c r="H14169">
        <f>IF(DATOS!$G14169&lt;&gt;"EX",0,--(COUNTIFS(nNIA,DATOS!$A14169,nCURSO,DATOS!$D14169,nESPEC,DATOS!$E14169,nASIG,DATOS!$I14169,nEVAL,"OR")=0))</f>
      </c>
      <c r="I14169">
        <f>IF(DATOS!$I14169="","",IFERROR(VLOOKUP(DATOS!$I14169,CONFIG_ASIGNATURAS!$B$2:$J$91,9,FALSE()),""))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IF(DATOS!$A14170="",0,IF(CONFIG_METADATA!$B$4&lt;&gt;"OR+EX",--(DATOS!$G14170=CONFIG_METADATA!$B$4),IF(DATOS!$G14170="EX",1,IF(DATOS!$G14170="OR",--(COUNTIFS(nNIA,DATOS!$A14170,nCURSO,DATOS!$D14170,nESPEC,DATOS!$E14170,nASIG,DATOS!$I14170,nEVAL,"EX")=0),0))))</f>
      </c>
      <c r="H14170">
        <f>IF(DATOS!$G14170&lt;&gt;"EX",0,--(COUNTIFS(nNIA,DATOS!$A14170,nCURSO,DATOS!$D14170,nESPEC,DATOS!$E14170,nASIG,DATOS!$I14170,nEVAL,"OR")=0))</f>
      </c>
      <c r="I14170">
        <f>IF(DATOS!$I14170="","",IFERROR(VLOOKUP(DATOS!$I14170,CONFIG_ASIGNATURAS!$B$2:$J$91,9,FALSE()),""))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IF(DATOS!$A14171="",0,IF(CONFIG_METADATA!$B$4&lt;&gt;"OR+EX",--(DATOS!$G14171=CONFIG_METADATA!$B$4),IF(DATOS!$G14171="EX",1,IF(DATOS!$G14171="OR",--(COUNTIFS(nNIA,DATOS!$A14171,nCURSO,DATOS!$D14171,nESPEC,DATOS!$E14171,nASIG,DATOS!$I14171,nEVAL,"EX")=0),0))))</f>
      </c>
      <c r="H14171">
        <f>IF(DATOS!$G14171&lt;&gt;"EX",0,--(COUNTIFS(nNIA,DATOS!$A14171,nCURSO,DATOS!$D14171,nESPEC,DATOS!$E14171,nASIG,DATOS!$I14171,nEVAL,"OR")=0))</f>
      </c>
      <c r="I14171">
        <f>IF(DATOS!$I14171="","",IFERROR(VLOOKUP(DATOS!$I14171,CONFIG_ASIGNATURAS!$B$2:$J$91,9,FALSE()),""))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IF(DATOS!$A14172="",0,IF(CONFIG_METADATA!$B$4&lt;&gt;"OR+EX",--(DATOS!$G14172=CONFIG_METADATA!$B$4),IF(DATOS!$G14172="EX",1,IF(DATOS!$G14172="OR",--(COUNTIFS(nNIA,DATOS!$A14172,nCURSO,DATOS!$D14172,nESPEC,DATOS!$E14172,nASIG,DATOS!$I14172,nEVAL,"EX")=0),0))))</f>
      </c>
      <c r="H14172">
        <f>IF(DATOS!$G14172&lt;&gt;"EX",0,--(COUNTIFS(nNIA,DATOS!$A14172,nCURSO,DATOS!$D14172,nESPEC,DATOS!$E14172,nASIG,DATOS!$I14172,nEVAL,"OR")=0))</f>
      </c>
      <c r="I14172">
        <f>IF(DATOS!$I14172="","",IFERROR(VLOOKUP(DATOS!$I14172,CONFIG_ASIGNATURAS!$B$2:$J$91,9,FALSE()),""))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IF(DATOS!$A14173="",0,IF(CONFIG_METADATA!$B$4&lt;&gt;"OR+EX",--(DATOS!$G14173=CONFIG_METADATA!$B$4),IF(DATOS!$G14173="EX",1,IF(DATOS!$G14173="OR",--(COUNTIFS(nNIA,DATOS!$A14173,nCURSO,DATOS!$D14173,nESPEC,DATOS!$E14173,nASIG,DATOS!$I14173,nEVAL,"EX")=0),0))))</f>
      </c>
      <c r="H14173">
        <f>IF(DATOS!$G14173&lt;&gt;"EX",0,--(COUNTIFS(nNIA,DATOS!$A14173,nCURSO,DATOS!$D14173,nESPEC,DATOS!$E14173,nASIG,DATOS!$I14173,nEVAL,"OR")=0))</f>
      </c>
      <c r="I14173">
        <f>IF(DATOS!$I14173="","",IFERROR(VLOOKUP(DATOS!$I14173,CONFIG_ASIGNATURAS!$B$2:$J$91,9,FALSE()),""))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IF(DATOS!$A14174="",0,IF(CONFIG_METADATA!$B$4&lt;&gt;"OR+EX",--(DATOS!$G14174=CONFIG_METADATA!$B$4),IF(DATOS!$G14174="EX",1,IF(DATOS!$G14174="OR",--(COUNTIFS(nNIA,DATOS!$A14174,nCURSO,DATOS!$D14174,nESPEC,DATOS!$E14174,nASIG,DATOS!$I14174,nEVAL,"EX")=0),0))))</f>
      </c>
      <c r="H14174">
        <f>IF(DATOS!$G14174&lt;&gt;"EX",0,--(COUNTIFS(nNIA,DATOS!$A14174,nCURSO,DATOS!$D14174,nESPEC,DATOS!$E14174,nASIG,DATOS!$I14174,nEVAL,"OR")=0))</f>
      </c>
      <c r="I14174">
        <f>IF(DATOS!$I14174="","",IFERROR(VLOOKUP(DATOS!$I14174,CONFIG_ASIGNATURAS!$B$2:$J$91,9,FALSE()),""))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IF(DATOS!$A14175="",0,IF(CONFIG_METADATA!$B$4&lt;&gt;"OR+EX",--(DATOS!$G14175=CONFIG_METADATA!$B$4),IF(DATOS!$G14175="EX",1,IF(DATOS!$G14175="OR",--(COUNTIFS(nNIA,DATOS!$A14175,nCURSO,DATOS!$D14175,nESPEC,DATOS!$E14175,nASIG,DATOS!$I14175,nEVAL,"EX")=0),0))))</f>
      </c>
      <c r="H14175">
        <f>IF(DATOS!$G14175&lt;&gt;"EX",0,--(COUNTIFS(nNIA,DATOS!$A14175,nCURSO,DATOS!$D14175,nESPEC,DATOS!$E14175,nASIG,DATOS!$I14175,nEVAL,"OR")=0))</f>
      </c>
      <c r="I14175">
        <f>IF(DATOS!$I14175="","",IFERROR(VLOOKUP(DATOS!$I14175,CONFIG_ASIGNATURAS!$B$2:$J$91,9,FALSE()),""))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IF(DATOS!$A14176="",0,IF(CONFIG_METADATA!$B$4&lt;&gt;"OR+EX",--(DATOS!$G14176=CONFIG_METADATA!$B$4),IF(DATOS!$G14176="EX",1,IF(DATOS!$G14176="OR",--(COUNTIFS(nNIA,DATOS!$A14176,nCURSO,DATOS!$D14176,nESPEC,DATOS!$E14176,nASIG,DATOS!$I14176,nEVAL,"EX")=0),0))))</f>
      </c>
      <c r="H14176">
        <f>IF(DATOS!$G14176&lt;&gt;"EX",0,--(COUNTIFS(nNIA,DATOS!$A14176,nCURSO,DATOS!$D14176,nESPEC,DATOS!$E14176,nASIG,DATOS!$I14176,nEVAL,"OR")=0))</f>
      </c>
      <c r="I14176">
        <f>IF(DATOS!$I14176="","",IFERROR(VLOOKUP(DATOS!$I14176,CONFIG_ASIGNATURAS!$B$2:$J$91,9,FALSE()),""))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IF(DATOS!$A14177="",0,IF(CONFIG_METADATA!$B$4&lt;&gt;"OR+EX",--(DATOS!$G14177=CONFIG_METADATA!$B$4),IF(DATOS!$G14177="EX",1,IF(DATOS!$G14177="OR",--(COUNTIFS(nNIA,DATOS!$A14177,nCURSO,DATOS!$D14177,nESPEC,DATOS!$E14177,nASIG,DATOS!$I14177,nEVAL,"EX")=0),0))))</f>
      </c>
      <c r="H14177">
        <f>IF(DATOS!$G14177&lt;&gt;"EX",0,--(COUNTIFS(nNIA,DATOS!$A14177,nCURSO,DATOS!$D14177,nESPEC,DATOS!$E14177,nASIG,DATOS!$I14177,nEVAL,"OR")=0))</f>
      </c>
      <c r="I14177">
        <f>IF(DATOS!$I14177="","",IFERROR(VLOOKUP(DATOS!$I14177,CONFIG_ASIGNATURAS!$B$2:$J$91,9,FALSE()),""))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IF(DATOS!$A14178="",0,IF(CONFIG_METADATA!$B$4&lt;&gt;"OR+EX",--(DATOS!$G14178=CONFIG_METADATA!$B$4),IF(DATOS!$G14178="EX",1,IF(DATOS!$G14178="OR",--(COUNTIFS(nNIA,DATOS!$A14178,nCURSO,DATOS!$D14178,nESPEC,DATOS!$E14178,nASIG,DATOS!$I14178,nEVAL,"EX")=0),0))))</f>
      </c>
      <c r="H14178">
        <f>IF(DATOS!$G14178&lt;&gt;"EX",0,--(COUNTIFS(nNIA,DATOS!$A14178,nCURSO,DATOS!$D14178,nESPEC,DATOS!$E14178,nASIG,DATOS!$I14178,nEVAL,"OR")=0))</f>
      </c>
      <c r="I14178">
        <f>IF(DATOS!$I14178="","",IFERROR(VLOOKUP(DATOS!$I14178,CONFIG_ASIGNATURAS!$B$2:$J$91,9,FALSE()),""))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IF(DATOS!$A14179="",0,IF(CONFIG_METADATA!$B$4&lt;&gt;"OR+EX",--(DATOS!$G14179=CONFIG_METADATA!$B$4),IF(DATOS!$G14179="EX",1,IF(DATOS!$G14179="OR",--(COUNTIFS(nNIA,DATOS!$A14179,nCURSO,DATOS!$D14179,nESPEC,DATOS!$E14179,nASIG,DATOS!$I14179,nEVAL,"EX")=0),0))))</f>
      </c>
      <c r="H14179">
        <f>IF(DATOS!$G14179&lt;&gt;"EX",0,--(COUNTIFS(nNIA,DATOS!$A14179,nCURSO,DATOS!$D14179,nESPEC,DATOS!$E14179,nASIG,DATOS!$I14179,nEVAL,"OR")=0))</f>
      </c>
      <c r="I14179">
        <f>IF(DATOS!$I14179="","",IFERROR(VLOOKUP(DATOS!$I14179,CONFIG_ASIGNATURAS!$B$2:$J$91,9,FALSE()),""))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IF(DATOS!$A14180="",0,IF(CONFIG_METADATA!$B$4&lt;&gt;"OR+EX",--(DATOS!$G14180=CONFIG_METADATA!$B$4),IF(DATOS!$G14180="EX",1,IF(DATOS!$G14180="OR",--(COUNTIFS(nNIA,DATOS!$A14180,nCURSO,DATOS!$D14180,nESPEC,DATOS!$E14180,nASIG,DATOS!$I14180,nEVAL,"EX")=0),0))))</f>
      </c>
      <c r="H14180">
        <f>IF(DATOS!$G14180&lt;&gt;"EX",0,--(COUNTIFS(nNIA,DATOS!$A14180,nCURSO,DATOS!$D14180,nESPEC,DATOS!$E14180,nASIG,DATOS!$I14180,nEVAL,"OR")=0))</f>
      </c>
      <c r="I14180">
        <f>IF(DATOS!$I14180="","",IFERROR(VLOOKUP(DATOS!$I14180,CONFIG_ASIGNATURAS!$B$2:$J$91,9,FALSE()),""))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IF(DATOS!$A14181="",0,IF(CONFIG_METADATA!$B$4&lt;&gt;"OR+EX",--(DATOS!$G14181=CONFIG_METADATA!$B$4),IF(DATOS!$G14181="EX",1,IF(DATOS!$G14181="OR",--(COUNTIFS(nNIA,DATOS!$A14181,nCURSO,DATOS!$D14181,nESPEC,DATOS!$E14181,nASIG,DATOS!$I14181,nEVAL,"EX")=0),0))))</f>
      </c>
      <c r="H14181">
        <f>IF(DATOS!$G14181&lt;&gt;"EX",0,--(COUNTIFS(nNIA,DATOS!$A14181,nCURSO,DATOS!$D14181,nESPEC,DATOS!$E14181,nASIG,DATOS!$I14181,nEVAL,"OR")=0))</f>
      </c>
      <c r="I14181">
        <f>IF(DATOS!$I14181="","",IFERROR(VLOOKUP(DATOS!$I14181,CONFIG_ASIGNATURAS!$B$2:$J$91,9,FALSE()),""))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IF(DATOS!$A14182="",0,IF(CONFIG_METADATA!$B$4&lt;&gt;"OR+EX",--(DATOS!$G14182=CONFIG_METADATA!$B$4),IF(DATOS!$G14182="EX",1,IF(DATOS!$G14182="OR",--(COUNTIFS(nNIA,DATOS!$A14182,nCURSO,DATOS!$D14182,nESPEC,DATOS!$E14182,nASIG,DATOS!$I14182,nEVAL,"EX")=0),0))))</f>
      </c>
      <c r="H14182">
        <f>IF(DATOS!$G14182&lt;&gt;"EX",0,--(COUNTIFS(nNIA,DATOS!$A14182,nCURSO,DATOS!$D14182,nESPEC,DATOS!$E14182,nASIG,DATOS!$I14182,nEVAL,"OR")=0))</f>
      </c>
      <c r="I14182">
        <f>IF(DATOS!$I14182="","",IFERROR(VLOOKUP(DATOS!$I14182,CONFIG_ASIGNATURAS!$B$2:$J$91,9,FALSE()),""))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IF(DATOS!$A14183="",0,IF(CONFIG_METADATA!$B$4&lt;&gt;"OR+EX",--(DATOS!$G14183=CONFIG_METADATA!$B$4),IF(DATOS!$G14183="EX",1,IF(DATOS!$G14183="OR",--(COUNTIFS(nNIA,DATOS!$A14183,nCURSO,DATOS!$D14183,nESPEC,DATOS!$E14183,nASIG,DATOS!$I14183,nEVAL,"EX")=0),0))))</f>
      </c>
      <c r="H14183">
        <f>IF(DATOS!$G14183&lt;&gt;"EX",0,--(COUNTIFS(nNIA,DATOS!$A14183,nCURSO,DATOS!$D14183,nESPEC,DATOS!$E14183,nASIG,DATOS!$I14183,nEVAL,"OR")=0))</f>
      </c>
      <c r="I14183">
        <f>IF(DATOS!$I14183="","",IFERROR(VLOOKUP(DATOS!$I14183,CONFIG_ASIGNATURAS!$B$2:$J$91,9,FALSE()),""))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IF(DATOS!$A14184="",0,IF(CONFIG_METADATA!$B$4&lt;&gt;"OR+EX",--(DATOS!$G14184=CONFIG_METADATA!$B$4),IF(DATOS!$G14184="EX",1,IF(DATOS!$G14184="OR",--(COUNTIFS(nNIA,DATOS!$A14184,nCURSO,DATOS!$D14184,nESPEC,DATOS!$E14184,nASIG,DATOS!$I14184,nEVAL,"EX")=0),0))))</f>
      </c>
      <c r="H14184">
        <f>IF(DATOS!$G14184&lt;&gt;"EX",0,--(COUNTIFS(nNIA,DATOS!$A14184,nCURSO,DATOS!$D14184,nESPEC,DATOS!$E14184,nASIG,DATOS!$I14184,nEVAL,"OR")=0))</f>
      </c>
      <c r="I14184">
        <f>IF(DATOS!$I14184="","",IFERROR(VLOOKUP(DATOS!$I14184,CONFIG_ASIGNATURAS!$B$2:$J$91,9,FALSE()),""))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IF(DATOS!$A14185="",0,IF(CONFIG_METADATA!$B$4&lt;&gt;"OR+EX",--(DATOS!$G14185=CONFIG_METADATA!$B$4),IF(DATOS!$G14185="EX",1,IF(DATOS!$G14185="OR",--(COUNTIFS(nNIA,DATOS!$A14185,nCURSO,DATOS!$D14185,nESPEC,DATOS!$E14185,nASIG,DATOS!$I14185,nEVAL,"EX")=0),0))))</f>
      </c>
      <c r="H14185">
        <f>IF(DATOS!$G14185&lt;&gt;"EX",0,--(COUNTIFS(nNIA,DATOS!$A14185,nCURSO,DATOS!$D14185,nESPEC,DATOS!$E14185,nASIG,DATOS!$I14185,nEVAL,"OR")=0))</f>
      </c>
      <c r="I14185">
        <f>IF(DATOS!$I14185="","",IFERROR(VLOOKUP(DATOS!$I14185,CONFIG_ASIGNATURAS!$B$2:$J$91,9,FALSE()),""))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IF(DATOS!$A14186="",0,IF(CONFIG_METADATA!$B$4&lt;&gt;"OR+EX",--(DATOS!$G14186=CONFIG_METADATA!$B$4),IF(DATOS!$G14186="EX",1,IF(DATOS!$G14186="OR",--(COUNTIFS(nNIA,DATOS!$A14186,nCURSO,DATOS!$D14186,nESPEC,DATOS!$E14186,nASIG,DATOS!$I14186,nEVAL,"EX")=0),0))))</f>
      </c>
      <c r="H14186">
        <f>IF(DATOS!$G14186&lt;&gt;"EX",0,--(COUNTIFS(nNIA,DATOS!$A14186,nCURSO,DATOS!$D14186,nESPEC,DATOS!$E14186,nASIG,DATOS!$I14186,nEVAL,"OR")=0))</f>
      </c>
      <c r="I14186">
        <f>IF(DATOS!$I14186="","",IFERROR(VLOOKUP(DATOS!$I14186,CONFIG_ASIGNATURAS!$B$2:$J$91,9,FALSE()),""))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IF(DATOS!$A14187="",0,IF(CONFIG_METADATA!$B$4&lt;&gt;"OR+EX",--(DATOS!$G14187=CONFIG_METADATA!$B$4),IF(DATOS!$G14187="EX",1,IF(DATOS!$G14187="OR",--(COUNTIFS(nNIA,DATOS!$A14187,nCURSO,DATOS!$D14187,nESPEC,DATOS!$E14187,nASIG,DATOS!$I14187,nEVAL,"EX")=0),0))))</f>
      </c>
      <c r="H14187">
        <f>IF(DATOS!$G14187&lt;&gt;"EX",0,--(COUNTIFS(nNIA,DATOS!$A14187,nCURSO,DATOS!$D14187,nESPEC,DATOS!$E14187,nASIG,DATOS!$I14187,nEVAL,"OR")=0))</f>
      </c>
      <c r="I14187">
        <f>IF(DATOS!$I14187="","",IFERROR(VLOOKUP(DATOS!$I14187,CONFIG_ASIGNATURAS!$B$2:$J$91,9,FALSE()),""))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IF(DATOS!$A14188="",0,IF(CONFIG_METADATA!$B$4&lt;&gt;"OR+EX",--(DATOS!$G14188=CONFIG_METADATA!$B$4),IF(DATOS!$G14188="EX",1,IF(DATOS!$G14188="OR",--(COUNTIFS(nNIA,DATOS!$A14188,nCURSO,DATOS!$D14188,nESPEC,DATOS!$E14188,nASIG,DATOS!$I14188,nEVAL,"EX")=0),0))))</f>
      </c>
      <c r="H14188">
        <f>IF(DATOS!$G14188&lt;&gt;"EX",0,--(COUNTIFS(nNIA,DATOS!$A14188,nCURSO,DATOS!$D14188,nESPEC,DATOS!$E14188,nASIG,DATOS!$I14188,nEVAL,"OR")=0))</f>
      </c>
      <c r="I14188">
        <f>IF(DATOS!$I14188="","",IFERROR(VLOOKUP(DATOS!$I14188,CONFIG_ASIGNATURAS!$B$2:$J$91,9,FALSE()),""))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IF(DATOS!$A14189="",0,IF(CONFIG_METADATA!$B$4&lt;&gt;"OR+EX",--(DATOS!$G14189=CONFIG_METADATA!$B$4),IF(DATOS!$G14189="EX",1,IF(DATOS!$G14189="OR",--(COUNTIFS(nNIA,DATOS!$A14189,nCURSO,DATOS!$D14189,nESPEC,DATOS!$E14189,nASIG,DATOS!$I14189,nEVAL,"EX")=0),0))))</f>
      </c>
      <c r="H14189">
        <f>IF(DATOS!$G14189&lt;&gt;"EX",0,--(COUNTIFS(nNIA,DATOS!$A14189,nCURSO,DATOS!$D14189,nESPEC,DATOS!$E14189,nASIG,DATOS!$I14189,nEVAL,"OR")=0))</f>
      </c>
      <c r="I14189">
        <f>IF(DATOS!$I14189="","",IFERROR(VLOOKUP(DATOS!$I14189,CONFIG_ASIGNATURAS!$B$2:$J$91,9,FALSE()),""))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IF(DATOS!$A14190="",0,IF(CONFIG_METADATA!$B$4&lt;&gt;"OR+EX",--(DATOS!$G14190=CONFIG_METADATA!$B$4),IF(DATOS!$G14190="EX",1,IF(DATOS!$G14190="OR",--(COUNTIFS(nNIA,DATOS!$A14190,nCURSO,DATOS!$D14190,nESPEC,DATOS!$E14190,nASIG,DATOS!$I14190,nEVAL,"EX")=0),0))))</f>
      </c>
      <c r="H14190">
        <f>IF(DATOS!$G14190&lt;&gt;"EX",0,--(COUNTIFS(nNIA,DATOS!$A14190,nCURSO,DATOS!$D14190,nESPEC,DATOS!$E14190,nASIG,DATOS!$I14190,nEVAL,"OR")=0))</f>
      </c>
      <c r="I14190">
        <f>IF(DATOS!$I14190="","",IFERROR(VLOOKUP(DATOS!$I14190,CONFIG_ASIGNATURAS!$B$2:$J$91,9,FALSE()),""))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IF(DATOS!$A14191="",0,IF(CONFIG_METADATA!$B$4&lt;&gt;"OR+EX",--(DATOS!$G14191=CONFIG_METADATA!$B$4),IF(DATOS!$G14191="EX",1,IF(DATOS!$G14191="OR",--(COUNTIFS(nNIA,DATOS!$A14191,nCURSO,DATOS!$D14191,nESPEC,DATOS!$E14191,nASIG,DATOS!$I14191,nEVAL,"EX")=0),0))))</f>
      </c>
      <c r="H14191">
        <f>IF(DATOS!$G14191&lt;&gt;"EX",0,--(COUNTIFS(nNIA,DATOS!$A14191,nCURSO,DATOS!$D14191,nESPEC,DATOS!$E14191,nASIG,DATOS!$I14191,nEVAL,"OR")=0))</f>
      </c>
      <c r="I14191">
        <f>IF(DATOS!$I14191="","",IFERROR(VLOOKUP(DATOS!$I14191,CONFIG_ASIGNATURAS!$B$2:$J$91,9,FALSE()),""))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IF(DATOS!$A14192="",0,IF(CONFIG_METADATA!$B$4&lt;&gt;"OR+EX",--(DATOS!$G14192=CONFIG_METADATA!$B$4),IF(DATOS!$G14192="EX",1,IF(DATOS!$G14192="OR",--(COUNTIFS(nNIA,DATOS!$A14192,nCURSO,DATOS!$D14192,nESPEC,DATOS!$E14192,nASIG,DATOS!$I14192,nEVAL,"EX")=0),0))))</f>
      </c>
      <c r="H14192">
        <f>IF(DATOS!$G14192&lt;&gt;"EX",0,--(COUNTIFS(nNIA,DATOS!$A14192,nCURSO,DATOS!$D14192,nESPEC,DATOS!$E14192,nASIG,DATOS!$I14192,nEVAL,"OR")=0))</f>
      </c>
      <c r="I14192">
        <f>IF(DATOS!$I14192="","",IFERROR(VLOOKUP(DATOS!$I14192,CONFIG_ASIGNATURAS!$B$2:$J$91,9,FALSE()),""))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IF(DATOS!$A14193="",0,IF(CONFIG_METADATA!$B$4&lt;&gt;"OR+EX",--(DATOS!$G14193=CONFIG_METADATA!$B$4),IF(DATOS!$G14193="EX",1,IF(DATOS!$G14193="OR",--(COUNTIFS(nNIA,DATOS!$A14193,nCURSO,DATOS!$D14193,nESPEC,DATOS!$E14193,nASIG,DATOS!$I14193,nEVAL,"EX")=0),0))))</f>
      </c>
      <c r="H14193">
        <f>IF(DATOS!$G14193&lt;&gt;"EX",0,--(COUNTIFS(nNIA,DATOS!$A14193,nCURSO,DATOS!$D14193,nESPEC,DATOS!$E14193,nASIG,DATOS!$I14193,nEVAL,"OR")=0))</f>
      </c>
      <c r="I14193">
        <f>IF(DATOS!$I14193="","",IFERROR(VLOOKUP(DATOS!$I14193,CONFIG_ASIGNATURAS!$B$2:$J$91,9,FALSE()),""))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IF(DATOS!$A14194="",0,IF(CONFIG_METADATA!$B$4&lt;&gt;"OR+EX",--(DATOS!$G14194=CONFIG_METADATA!$B$4),IF(DATOS!$G14194="EX",1,IF(DATOS!$G14194="OR",--(COUNTIFS(nNIA,DATOS!$A14194,nCURSO,DATOS!$D14194,nESPEC,DATOS!$E14194,nASIG,DATOS!$I14194,nEVAL,"EX")=0),0))))</f>
      </c>
      <c r="H14194">
        <f>IF(DATOS!$G14194&lt;&gt;"EX",0,--(COUNTIFS(nNIA,DATOS!$A14194,nCURSO,DATOS!$D14194,nESPEC,DATOS!$E14194,nASIG,DATOS!$I14194,nEVAL,"OR")=0))</f>
      </c>
      <c r="I14194">
        <f>IF(DATOS!$I14194="","",IFERROR(VLOOKUP(DATOS!$I14194,CONFIG_ASIGNATURAS!$B$2:$J$91,9,FALSE()),""))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IF(DATOS!$A14195="",0,IF(CONFIG_METADATA!$B$4&lt;&gt;"OR+EX",--(DATOS!$G14195=CONFIG_METADATA!$B$4),IF(DATOS!$G14195="EX",1,IF(DATOS!$G14195="OR",--(COUNTIFS(nNIA,DATOS!$A14195,nCURSO,DATOS!$D14195,nESPEC,DATOS!$E14195,nASIG,DATOS!$I14195,nEVAL,"EX")=0),0))))</f>
      </c>
      <c r="H14195">
        <f>IF(DATOS!$G14195&lt;&gt;"EX",0,--(COUNTIFS(nNIA,DATOS!$A14195,nCURSO,DATOS!$D14195,nESPEC,DATOS!$E14195,nASIG,DATOS!$I14195,nEVAL,"OR")=0))</f>
      </c>
      <c r="I14195">
        <f>IF(DATOS!$I14195="","",IFERROR(VLOOKUP(DATOS!$I14195,CONFIG_ASIGNATURAS!$B$2:$J$91,9,FALSE()),""))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IF(DATOS!$A14196="",0,IF(CONFIG_METADATA!$B$4&lt;&gt;"OR+EX",--(DATOS!$G14196=CONFIG_METADATA!$B$4),IF(DATOS!$G14196="EX",1,IF(DATOS!$G14196="OR",--(COUNTIFS(nNIA,DATOS!$A14196,nCURSO,DATOS!$D14196,nESPEC,DATOS!$E14196,nASIG,DATOS!$I14196,nEVAL,"EX")=0),0))))</f>
      </c>
      <c r="H14196">
        <f>IF(DATOS!$G14196&lt;&gt;"EX",0,--(COUNTIFS(nNIA,DATOS!$A14196,nCURSO,DATOS!$D14196,nESPEC,DATOS!$E14196,nASIG,DATOS!$I14196,nEVAL,"OR")=0))</f>
      </c>
      <c r="I14196">
        <f>IF(DATOS!$I14196="","",IFERROR(VLOOKUP(DATOS!$I14196,CONFIG_ASIGNATURAS!$B$2:$J$91,9,FALSE()),""))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IF(DATOS!$A14197="",0,IF(CONFIG_METADATA!$B$4&lt;&gt;"OR+EX",--(DATOS!$G14197=CONFIG_METADATA!$B$4),IF(DATOS!$G14197="EX",1,IF(DATOS!$G14197="OR",--(COUNTIFS(nNIA,DATOS!$A14197,nCURSO,DATOS!$D14197,nESPEC,DATOS!$E14197,nASIG,DATOS!$I14197,nEVAL,"EX")=0),0))))</f>
      </c>
      <c r="H14197">
        <f>IF(DATOS!$G14197&lt;&gt;"EX",0,--(COUNTIFS(nNIA,DATOS!$A14197,nCURSO,DATOS!$D14197,nESPEC,DATOS!$E14197,nASIG,DATOS!$I14197,nEVAL,"OR")=0))</f>
      </c>
      <c r="I14197">
        <f>IF(DATOS!$I14197="","",IFERROR(VLOOKUP(DATOS!$I14197,CONFIG_ASIGNATURAS!$B$2:$J$91,9,FALSE()),""))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IF(DATOS!$A14198="",0,IF(CONFIG_METADATA!$B$4&lt;&gt;"OR+EX",--(DATOS!$G14198=CONFIG_METADATA!$B$4),IF(DATOS!$G14198="EX",1,IF(DATOS!$G14198="OR",--(COUNTIFS(nNIA,DATOS!$A14198,nCURSO,DATOS!$D14198,nESPEC,DATOS!$E14198,nASIG,DATOS!$I14198,nEVAL,"EX")=0),0))))</f>
      </c>
      <c r="H14198">
        <f>IF(DATOS!$G14198&lt;&gt;"EX",0,--(COUNTIFS(nNIA,DATOS!$A14198,nCURSO,DATOS!$D14198,nESPEC,DATOS!$E14198,nASIG,DATOS!$I14198,nEVAL,"OR")=0))</f>
      </c>
      <c r="I14198">
        <f>IF(DATOS!$I14198="","",IFERROR(VLOOKUP(DATOS!$I14198,CONFIG_ASIGNATURAS!$B$2:$J$91,9,FALSE()),""))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IF(DATOS!$A14199="",0,IF(CONFIG_METADATA!$B$4&lt;&gt;"OR+EX",--(DATOS!$G14199=CONFIG_METADATA!$B$4),IF(DATOS!$G14199="EX",1,IF(DATOS!$G14199="OR",--(COUNTIFS(nNIA,DATOS!$A14199,nCURSO,DATOS!$D14199,nESPEC,DATOS!$E14199,nASIG,DATOS!$I14199,nEVAL,"EX")=0),0))))</f>
      </c>
      <c r="H14199">
        <f>IF(DATOS!$G14199&lt;&gt;"EX",0,--(COUNTIFS(nNIA,DATOS!$A14199,nCURSO,DATOS!$D14199,nESPEC,DATOS!$E14199,nASIG,DATOS!$I14199,nEVAL,"OR")=0))</f>
      </c>
      <c r="I14199">
        <f>IF(DATOS!$I14199="","",IFERROR(VLOOKUP(DATOS!$I14199,CONFIG_ASIGNATURAS!$B$2:$J$91,9,FALSE()),""))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IF(DATOS!$A14200="",0,IF(CONFIG_METADATA!$B$4&lt;&gt;"OR+EX",--(DATOS!$G14200=CONFIG_METADATA!$B$4),IF(DATOS!$G14200="EX",1,IF(DATOS!$G14200="OR",--(COUNTIFS(nNIA,DATOS!$A14200,nCURSO,DATOS!$D14200,nESPEC,DATOS!$E14200,nASIG,DATOS!$I14200,nEVAL,"EX")=0),0))))</f>
      </c>
      <c r="H14200">
        <f>IF(DATOS!$G14200&lt;&gt;"EX",0,--(COUNTIFS(nNIA,DATOS!$A14200,nCURSO,DATOS!$D14200,nESPEC,DATOS!$E14200,nASIG,DATOS!$I14200,nEVAL,"OR")=0))</f>
      </c>
      <c r="I14200">
        <f>IF(DATOS!$I14200="","",IFERROR(VLOOKUP(DATOS!$I14200,CONFIG_ASIGNATURAS!$B$2:$J$91,9,FALSE()),""))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IF(DATOS!$A14201="",0,IF(CONFIG_METADATA!$B$4&lt;&gt;"OR+EX",--(DATOS!$G14201=CONFIG_METADATA!$B$4),IF(DATOS!$G14201="EX",1,IF(DATOS!$G14201="OR",--(COUNTIFS(nNIA,DATOS!$A14201,nCURSO,DATOS!$D14201,nESPEC,DATOS!$E14201,nASIG,DATOS!$I14201,nEVAL,"EX")=0),0))))</f>
      </c>
      <c r="H14201">
        <f>IF(DATOS!$G14201&lt;&gt;"EX",0,--(COUNTIFS(nNIA,DATOS!$A14201,nCURSO,DATOS!$D14201,nESPEC,DATOS!$E14201,nASIG,DATOS!$I14201,nEVAL,"OR")=0))</f>
      </c>
      <c r="I14201">
        <f>IF(DATOS!$I14201="","",IFERROR(VLOOKUP(DATOS!$I14201,CONFIG_ASIGNATURAS!$B$2:$J$91,9,FALSE()),""))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IF(DATOS!$A14202="",0,IF(CONFIG_METADATA!$B$4&lt;&gt;"OR+EX",--(DATOS!$G14202=CONFIG_METADATA!$B$4),IF(DATOS!$G14202="EX",1,IF(DATOS!$G14202="OR",--(COUNTIFS(nNIA,DATOS!$A14202,nCURSO,DATOS!$D14202,nESPEC,DATOS!$E14202,nASIG,DATOS!$I14202,nEVAL,"EX")=0),0))))</f>
      </c>
      <c r="H14202">
        <f>IF(DATOS!$G14202&lt;&gt;"EX",0,--(COUNTIFS(nNIA,DATOS!$A14202,nCURSO,DATOS!$D14202,nESPEC,DATOS!$E14202,nASIG,DATOS!$I14202,nEVAL,"OR")=0))</f>
      </c>
      <c r="I14202">
        <f>IF(DATOS!$I14202="","",IFERROR(VLOOKUP(DATOS!$I14202,CONFIG_ASIGNATURAS!$B$2:$J$91,9,FALSE()),""))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IF(DATOS!$A14203="",0,IF(CONFIG_METADATA!$B$4&lt;&gt;"OR+EX",--(DATOS!$G14203=CONFIG_METADATA!$B$4),IF(DATOS!$G14203="EX",1,IF(DATOS!$G14203="OR",--(COUNTIFS(nNIA,DATOS!$A14203,nCURSO,DATOS!$D14203,nESPEC,DATOS!$E14203,nASIG,DATOS!$I14203,nEVAL,"EX")=0),0))))</f>
      </c>
      <c r="H14203">
        <f>IF(DATOS!$G14203&lt;&gt;"EX",0,--(COUNTIFS(nNIA,DATOS!$A14203,nCURSO,DATOS!$D14203,nESPEC,DATOS!$E14203,nASIG,DATOS!$I14203,nEVAL,"OR")=0))</f>
      </c>
      <c r="I14203">
        <f>IF(DATOS!$I14203="","",IFERROR(VLOOKUP(DATOS!$I14203,CONFIG_ASIGNATURAS!$B$2:$J$91,9,FALSE()),""))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IF(DATOS!$A14204="",0,IF(CONFIG_METADATA!$B$4&lt;&gt;"OR+EX",--(DATOS!$G14204=CONFIG_METADATA!$B$4),IF(DATOS!$G14204="EX",1,IF(DATOS!$G14204="OR",--(COUNTIFS(nNIA,DATOS!$A14204,nCURSO,DATOS!$D14204,nESPEC,DATOS!$E14204,nASIG,DATOS!$I14204,nEVAL,"EX")=0),0))))</f>
      </c>
      <c r="H14204">
        <f>IF(DATOS!$G14204&lt;&gt;"EX",0,--(COUNTIFS(nNIA,DATOS!$A14204,nCURSO,DATOS!$D14204,nESPEC,DATOS!$E14204,nASIG,DATOS!$I14204,nEVAL,"OR")=0))</f>
      </c>
      <c r="I14204">
        <f>IF(DATOS!$I14204="","",IFERROR(VLOOKUP(DATOS!$I14204,CONFIG_ASIGNATURAS!$B$2:$J$91,9,FALSE()),""))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IF(DATOS!$A14205="",0,IF(CONFIG_METADATA!$B$4&lt;&gt;"OR+EX",--(DATOS!$G14205=CONFIG_METADATA!$B$4),IF(DATOS!$G14205="EX",1,IF(DATOS!$G14205="OR",--(COUNTIFS(nNIA,DATOS!$A14205,nCURSO,DATOS!$D14205,nESPEC,DATOS!$E14205,nASIG,DATOS!$I14205,nEVAL,"EX")=0),0))))</f>
      </c>
      <c r="H14205">
        <f>IF(DATOS!$G14205&lt;&gt;"EX",0,--(COUNTIFS(nNIA,DATOS!$A14205,nCURSO,DATOS!$D14205,nESPEC,DATOS!$E14205,nASIG,DATOS!$I14205,nEVAL,"OR")=0))</f>
      </c>
      <c r="I14205">
        <f>IF(DATOS!$I14205="","",IFERROR(VLOOKUP(DATOS!$I14205,CONFIG_ASIGNATURAS!$B$2:$J$91,9,FALSE()),""))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IF(DATOS!$A14206="",0,IF(CONFIG_METADATA!$B$4&lt;&gt;"OR+EX",--(DATOS!$G14206=CONFIG_METADATA!$B$4),IF(DATOS!$G14206="EX",1,IF(DATOS!$G14206="OR",--(COUNTIFS(nNIA,DATOS!$A14206,nCURSO,DATOS!$D14206,nESPEC,DATOS!$E14206,nASIG,DATOS!$I14206,nEVAL,"EX")=0),0))))</f>
      </c>
      <c r="H14206">
        <f>IF(DATOS!$G14206&lt;&gt;"EX",0,--(COUNTIFS(nNIA,DATOS!$A14206,nCURSO,DATOS!$D14206,nESPEC,DATOS!$E14206,nASIG,DATOS!$I14206,nEVAL,"OR")=0))</f>
      </c>
      <c r="I14206">
        <f>IF(DATOS!$I14206="","",IFERROR(VLOOKUP(DATOS!$I14206,CONFIG_ASIGNATURAS!$B$2:$J$91,9,FALSE()),""))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IF(DATOS!$A14207="",0,IF(CONFIG_METADATA!$B$4&lt;&gt;"OR+EX",--(DATOS!$G14207=CONFIG_METADATA!$B$4),IF(DATOS!$G14207="EX",1,IF(DATOS!$G14207="OR",--(COUNTIFS(nNIA,DATOS!$A14207,nCURSO,DATOS!$D14207,nESPEC,DATOS!$E14207,nASIG,DATOS!$I14207,nEVAL,"EX")=0),0))))</f>
      </c>
      <c r="H14207">
        <f>IF(DATOS!$G14207&lt;&gt;"EX",0,--(COUNTIFS(nNIA,DATOS!$A14207,nCURSO,DATOS!$D14207,nESPEC,DATOS!$E14207,nASIG,DATOS!$I14207,nEVAL,"OR")=0))</f>
      </c>
      <c r="I14207">
        <f>IF(DATOS!$I14207="","",IFERROR(VLOOKUP(DATOS!$I14207,CONFIG_ASIGNATURAS!$B$2:$J$91,9,FALSE()),""))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IF(DATOS!$A14208="",0,IF(CONFIG_METADATA!$B$4&lt;&gt;"OR+EX",--(DATOS!$G14208=CONFIG_METADATA!$B$4),IF(DATOS!$G14208="EX",1,IF(DATOS!$G14208="OR",--(COUNTIFS(nNIA,DATOS!$A14208,nCURSO,DATOS!$D14208,nESPEC,DATOS!$E14208,nASIG,DATOS!$I14208,nEVAL,"EX")=0),0))))</f>
      </c>
      <c r="H14208">
        <f>IF(DATOS!$G14208&lt;&gt;"EX",0,--(COUNTIFS(nNIA,DATOS!$A14208,nCURSO,DATOS!$D14208,nESPEC,DATOS!$E14208,nASIG,DATOS!$I14208,nEVAL,"OR")=0))</f>
      </c>
      <c r="I14208">
        <f>IF(DATOS!$I14208="","",IFERROR(VLOOKUP(DATOS!$I14208,CONFIG_ASIGNATURAS!$B$2:$J$91,9,FALSE()),""))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IF(DATOS!$A14209="",0,IF(CONFIG_METADATA!$B$4&lt;&gt;"OR+EX",--(DATOS!$G14209=CONFIG_METADATA!$B$4),IF(DATOS!$G14209="EX",1,IF(DATOS!$G14209="OR",--(COUNTIFS(nNIA,DATOS!$A14209,nCURSO,DATOS!$D14209,nESPEC,DATOS!$E14209,nASIG,DATOS!$I14209,nEVAL,"EX")=0),0))))</f>
      </c>
      <c r="H14209">
        <f>IF(DATOS!$G14209&lt;&gt;"EX",0,--(COUNTIFS(nNIA,DATOS!$A14209,nCURSO,DATOS!$D14209,nESPEC,DATOS!$E14209,nASIG,DATOS!$I14209,nEVAL,"OR")=0))</f>
      </c>
      <c r="I14209">
        <f>IF(DATOS!$I14209="","",IFERROR(VLOOKUP(DATOS!$I14209,CONFIG_ASIGNATURAS!$B$2:$J$91,9,FALSE()),""))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IF(DATOS!$A14210="",0,IF(CONFIG_METADATA!$B$4&lt;&gt;"OR+EX",--(DATOS!$G14210=CONFIG_METADATA!$B$4),IF(DATOS!$G14210="EX",1,IF(DATOS!$G14210="OR",--(COUNTIFS(nNIA,DATOS!$A14210,nCURSO,DATOS!$D14210,nESPEC,DATOS!$E14210,nASIG,DATOS!$I14210,nEVAL,"EX")=0),0))))</f>
      </c>
      <c r="H14210">
        <f>IF(DATOS!$G14210&lt;&gt;"EX",0,--(COUNTIFS(nNIA,DATOS!$A14210,nCURSO,DATOS!$D14210,nESPEC,DATOS!$E14210,nASIG,DATOS!$I14210,nEVAL,"OR")=0))</f>
      </c>
      <c r="I14210">
        <f>IF(DATOS!$I14210="","",IFERROR(VLOOKUP(DATOS!$I14210,CONFIG_ASIGNATURAS!$B$2:$J$91,9,FALSE()),""))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IF(DATOS!$A14211="",0,IF(CONFIG_METADATA!$B$4&lt;&gt;"OR+EX",--(DATOS!$G14211=CONFIG_METADATA!$B$4),IF(DATOS!$G14211="EX",1,IF(DATOS!$G14211="OR",--(COUNTIFS(nNIA,DATOS!$A14211,nCURSO,DATOS!$D14211,nESPEC,DATOS!$E14211,nASIG,DATOS!$I14211,nEVAL,"EX")=0),0))))</f>
      </c>
      <c r="H14211">
        <f>IF(DATOS!$G14211&lt;&gt;"EX",0,--(COUNTIFS(nNIA,DATOS!$A14211,nCURSO,DATOS!$D14211,nESPEC,DATOS!$E14211,nASIG,DATOS!$I14211,nEVAL,"OR")=0))</f>
      </c>
      <c r="I14211">
        <f>IF(DATOS!$I14211="","",IFERROR(VLOOKUP(DATOS!$I14211,CONFIG_ASIGNATURAS!$B$2:$J$91,9,FALSE()),""))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IF(DATOS!$A14212="",0,IF(CONFIG_METADATA!$B$4&lt;&gt;"OR+EX",--(DATOS!$G14212=CONFIG_METADATA!$B$4),IF(DATOS!$G14212="EX",1,IF(DATOS!$G14212="OR",--(COUNTIFS(nNIA,DATOS!$A14212,nCURSO,DATOS!$D14212,nESPEC,DATOS!$E14212,nASIG,DATOS!$I14212,nEVAL,"EX")=0),0))))</f>
      </c>
      <c r="H14212">
        <f>IF(DATOS!$G14212&lt;&gt;"EX",0,--(COUNTIFS(nNIA,DATOS!$A14212,nCURSO,DATOS!$D14212,nESPEC,DATOS!$E14212,nASIG,DATOS!$I14212,nEVAL,"OR")=0))</f>
      </c>
      <c r="I14212">
        <f>IF(DATOS!$I14212="","",IFERROR(VLOOKUP(DATOS!$I14212,CONFIG_ASIGNATURAS!$B$2:$J$91,9,FALSE()),""))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IF(DATOS!$A14213="",0,IF(CONFIG_METADATA!$B$4&lt;&gt;"OR+EX",--(DATOS!$G14213=CONFIG_METADATA!$B$4),IF(DATOS!$G14213="EX",1,IF(DATOS!$G14213="OR",--(COUNTIFS(nNIA,DATOS!$A14213,nCURSO,DATOS!$D14213,nESPEC,DATOS!$E14213,nASIG,DATOS!$I14213,nEVAL,"EX")=0),0))))</f>
      </c>
      <c r="H14213">
        <f>IF(DATOS!$G14213&lt;&gt;"EX",0,--(COUNTIFS(nNIA,DATOS!$A14213,nCURSO,DATOS!$D14213,nESPEC,DATOS!$E14213,nASIG,DATOS!$I14213,nEVAL,"OR")=0))</f>
      </c>
      <c r="I14213">
        <f>IF(DATOS!$I14213="","",IFERROR(VLOOKUP(DATOS!$I14213,CONFIG_ASIGNATURAS!$B$2:$J$91,9,FALSE()),""))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IF(DATOS!$A14214="",0,IF(CONFIG_METADATA!$B$4&lt;&gt;"OR+EX",--(DATOS!$G14214=CONFIG_METADATA!$B$4),IF(DATOS!$G14214="EX",1,IF(DATOS!$G14214="OR",--(COUNTIFS(nNIA,DATOS!$A14214,nCURSO,DATOS!$D14214,nESPEC,DATOS!$E14214,nASIG,DATOS!$I14214,nEVAL,"EX")=0),0))))</f>
      </c>
      <c r="H14214">
        <f>IF(DATOS!$G14214&lt;&gt;"EX",0,--(COUNTIFS(nNIA,DATOS!$A14214,nCURSO,DATOS!$D14214,nESPEC,DATOS!$E14214,nASIG,DATOS!$I14214,nEVAL,"OR")=0))</f>
      </c>
      <c r="I14214">
        <f>IF(DATOS!$I14214="","",IFERROR(VLOOKUP(DATOS!$I14214,CONFIG_ASIGNATURAS!$B$2:$J$91,9,FALSE()),""))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IF(DATOS!$A14215="",0,IF(CONFIG_METADATA!$B$4&lt;&gt;"OR+EX",--(DATOS!$G14215=CONFIG_METADATA!$B$4),IF(DATOS!$G14215="EX",1,IF(DATOS!$G14215="OR",--(COUNTIFS(nNIA,DATOS!$A14215,nCURSO,DATOS!$D14215,nESPEC,DATOS!$E14215,nASIG,DATOS!$I14215,nEVAL,"EX")=0),0))))</f>
      </c>
      <c r="H14215">
        <f>IF(DATOS!$G14215&lt;&gt;"EX",0,--(COUNTIFS(nNIA,DATOS!$A14215,nCURSO,DATOS!$D14215,nESPEC,DATOS!$E14215,nASIG,DATOS!$I14215,nEVAL,"OR")=0))</f>
      </c>
      <c r="I14215">
        <f>IF(DATOS!$I14215="","",IFERROR(VLOOKUP(DATOS!$I14215,CONFIG_ASIGNATURAS!$B$2:$J$91,9,FALSE()),""))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IF(DATOS!$A14216="",0,IF(CONFIG_METADATA!$B$4&lt;&gt;"OR+EX",--(DATOS!$G14216=CONFIG_METADATA!$B$4),IF(DATOS!$G14216="EX",1,IF(DATOS!$G14216="OR",--(COUNTIFS(nNIA,DATOS!$A14216,nCURSO,DATOS!$D14216,nESPEC,DATOS!$E14216,nASIG,DATOS!$I14216,nEVAL,"EX")=0),0))))</f>
      </c>
      <c r="H14216">
        <f>IF(DATOS!$G14216&lt;&gt;"EX",0,--(COUNTIFS(nNIA,DATOS!$A14216,nCURSO,DATOS!$D14216,nESPEC,DATOS!$E14216,nASIG,DATOS!$I14216,nEVAL,"OR")=0))</f>
      </c>
      <c r="I14216">
        <f>IF(DATOS!$I14216="","",IFERROR(VLOOKUP(DATOS!$I14216,CONFIG_ASIGNATURAS!$B$2:$J$91,9,FALSE()),""))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IF(DATOS!$A14217="",0,IF(CONFIG_METADATA!$B$4&lt;&gt;"OR+EX",--(DATOS!$G14217=CONFIG_METADATA!$B$4),IF(DATOS!$G14217="EX",1,IF(DATOS!$G14217="OR",--(COUNTIFS(nNIA,DATOS!$A14217,nCURSO,DATOS!$D14217,nESPEC,DATOS!$E14217,nASIG,DATOS!$I14217,nEVAL,"EX")=0),0))))</f>
      </c>
      <c r="H14217">
        <f>IF(DATOS!$G14217&lt;&gt;"EX",0,--(COUNTIFS(nNIA,DATOS!$A14217,nCURSO,DATOS!$D14217,nESPEC,DATOS!$E14217,nASIG,DATOS!$I14217,nEVAL,"OR")=0))</f>
      </c>
      <c r="I14217">
        <f>IF(DATOS!$I14217="","",IFERROR(VLOOKUP(DATOS!$I14217,CONFIG_ASIGNATURAS!$B$2:$J$91,9,FALSE()),""))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IF(DATOS!$A14218="",0,IF(CONFIG_METADATA!$B$4&lt;&gt;"OR+EX",--(DATOS!$G14218=CONFIG_METADATA!$B$4),IF(DATOS!$G14218="EX",1,IF(DATOS!$G14218="OR",--(COUNTIFS(nNIA,DATOS!$A14218,nCURSO,DATOS!$D14218,nESPEC,DATOS!$E14218,nASIG,DATOS!$I14218,nEVAL,"EX")=0),0))))</f>
      </c>
      <c r="H14218">
        <f>IF(DATOS!$G14218&lt;&gt;"EX",0,--(COUNTIFS(nNIA,DATOS!$A14218,nCURSO,DATOS!$D14218,nESPEC,DATOS!$E14218,nASIG,DATOS!$I14218,nEVAL,"OR")=0))</f>
      </c>
      <c r="I14218">
        <f>IF(DATOS!$I14218="","",IFERROR(VLOOKUP(DATOS!$I14218,CONFIG_ASIGNATURAS!$B$2:$J$91,9,FALSE()),""))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IF(DATOS!$A14219="",0,IF(CONFIG_METADATA!$B$4&lt;&gt;"OR+EX",--(DATOS!$G14219=CONFIG_METADATA!$B$4),IF(DATOS!$G14219="EX",1,IF(DATOS!$G14219="OR",--(COUNTIFS(nNIA,DATOS!$A14219,nCURSO,DATOS!$D14219,nESPEC,DATOS!$E14219,nASIG,DATOS!$I14219,nEVAL,"EX")=0),0))))</f>
      </c>
      <c r="H14219">
        <f>IF(DATOS!$G14219&lt;&gt;"EX",0,--(COUNTIFS(nNIA,DATOS!$A14219,nCURSO,DATOS!$D14219,nESPEC,DATOS!$E14219,nASIG,DATOS!$I14219,nEVAL,"OR")=0))</f>
      </c>
      <c r="I14219">
        <f>IF(DATOS!$I14219="","",IFERROR(VLOOKUP(DATOS!$I14219,CONFIG_ASIGNATURAS!$B$2:$J$91,9,FALSE()),""))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IF(DATOS!$A14220="",0,IF(CONFIG_METADATA!$B$4&lt;&gt;"OR+EX",--(DATOS!$G14220=CONFIG_METADATA!$B$4),IF(DATOS!$G14220="EX",1,IF(DATOS!$G14220="OR",--(COUNTIFS(nNIA,DATOS!$A14220,nCURSO,DATOS!$D14220,nESPEC,DATOS!$E14220,nASIG,DATOS!$I14220,nEVAL,"EX")=0),0))))</f>
      </c>
      <c r="H14220">
        <f>IF(DATOS!$G14220&lt;&gt;"EX",0,--(COUNTIFS(nNIA,DATOS!$A14220,nCURSO,DATOS!$D14220,nESPEC,DATOS!$E14220,nASIG,DATOS!$I14220,nEVAL,"OR")=0))</f>
      </c>
      <c r="I14220">
        <f>IF(DATOS!$I14220="","",IFERROR(VLOOKUP(DATOS!$I14220,CONFIG_ASIGNATURAS!$B$2:$J$91,9,FALSE()),""))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IF(DATOS!$A14221="",0,IF(CONFIG_METADATA!$B$4&lt;&gt;"OR+EX",--(DATOS!$G14221=CONFIG_METADATA!$B$4),IF(DATOS!$G14221="EX",1,IF(DATOS!$G14221="OR",--(COUNTIFS(nNIA,DATOS!$A14221,nCURSO,DATOS!$D14221,nESPEC,DATOS!$E14221,nASIG,DATOS!$I14221,nEVAL,"EX")=0),0))))</f>
      </c>
      <c r="H14221">
        <f>IF(DATOS!$G14221&lt;&gt;"EX",0,--(COUNTIFS(nNIA,DATOS!$A14221,nCURSO,DATOS!$D14221,nESPEC,DATOS!$E14221,nASIG,DATOS!$I14221,nEVAL,"OR")=0))</f>
      </c>
      <c r="I14221">
        <f>IF(DATOS!$I14221="","",IFERROR(VLOOKUP(DATOS!$I14221,CONFIG_ASIGNATURAS!$B$2:$J$91,9,FALSE()),""))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IF(DATOS!$A14222="",0,IF(CONFIG_METADATA!$B$4&lt;&gt;"OR+EX",--(DATOS!$G14222=CONFIG_METADATA!$B$4),IF(DATOS!$G14222="EX",1,IF(DATOS!$G14222="OR",--(COUNTIFS(nNIA,DATOS!$A14222,nCURSO,DATOS!$D14222,nESPEC,DATOS!$E14222,nASIG,DATOS!$I14222,nEVAL,"EX")=0),0))))</f>
      </c>
      <c r="H14222">
        <f>IF(DATOS!$G14222&lt;&gt;"EX",0,--(COUNTIFS(nNIA,DATOS!$A14222,nCURSO,DATOS!$D14222,nESPEC,DATOS!$E14222,nASIG,DATOS!$I14222,nEVAL,"OR")=0))</f>
      </c>
      <c r="I14222">
        <f>IF(DATOS!$I14222="","",IFERROR(VLOOKUP(DATOS!$I14222,CONFIG_ASIGNATURAS!$B$2:$J$91,9,FALSE()),""))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IF(DATOS!$A14223="",0,IF(CONFIG_METADATA!$B$4&lt;&gt;"OR+EX",--(DATOS!$G14223=CONFIG_METADATA!$B$4),IF(DATOS!$G14223="EX",1,IF(DATOS!$G14223="OR",--(COUNTIFS(nNIA,DATOS!$A14223,nCURSO,DATOS!$D14223,nESPEC,DATOS!$E14223,nASIG,DATOS!$I14223,nEVAL,"EX")=0),0))))</f>
      </c>
      <c r="H14223">
        <f>IF(DATOS!$G14223&lt;&gt;"EX",0,--(COUNTIFS(nNIA,DATOS!$A14223,nCURSO,DATOS!$D14223,nESPEC,DATOS!$E14223,nASIG,DATOS!$I14223,nEVAL,"OR")=0))</f>
      </c>
      <c r="I14223">
        <f>IF(DATOS!$I14223="","",IFERROR(VLOOKUP(DATOS!$I14223,CONFIG_ASIGNATURAS!$B$2:$J$91,9,FALSE()),""))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IF(DATOS!$A14224="",0,IF(CONFIG_METADATA!$B$4&lt;&gt;"OR+EX",--(DATOS!$G14224=CONFIG_METADATA!$B$4),IF(DATOS!$G14224="EX",1,IF(DATOS!$G14224="OR",--(COUNTIFS(nNIA,DATOS!$A14224,nCURSO,DATOS!$D14224,nESPEC,DATOS!$E14224,nASIG,DATOS!$I14224,nEVAL,"EX")=0),0))))</f>
      </c>
      <c r="H14224">
        <f>IF(DATOS!$G14224&lt;&gt;"EX",0,--(COUNTIFS(nNIA,DATOS!$A14224,nCURSO,DATOS!$D14224,nESPEC,DATOS!$E14224,nASIG,DATOS!$I14224,nEVAL,"OR")=0))</f>
      </c>
      <c r="I14224">
        <f>IF(DATOS!$I14224="","",IFERROR(VLOOKUP(DATOS!$I14224,CONFIG_ASIGNATURAS!$B$2:$J$91,9,FALSE()),""))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IF(DATOS!$A14225="",0,IF(CONFIG_METADATA!$B$4&lt;&gt;"OR+EX",--(DATOS!$G14225=CONFIG_METADATA!$B$4),IF(DATOS!$G14225="EX",1,IF(DATOS!$G14225="OR",--(COUNTIFS(nNIA,DATOS!$A14225,nCURSO,DATOS!$D14225,nESPEC,DATOS!$E14225,nASIG,DATOS!$I14225,nEVAL,"EX")=0),0))))</f>
      </c>
      <c r="H14225">
        <f>IF(DATOS!$G14225&lt;&gt;"EX",0,--(COUNTIFS(nNIA,DATOS!$A14225,nCURSO,DATOS!$D14225,nESPEC,DATOS!$E14225,nASIG,DATOS!$I14225,nEVAL,"OR")=0))</f>
      </c>
      <c r="I14225">
        <f>IF(DATOS!$I14225="","",IFERROR(VLOOKUP(DATOS!$I14225,CONFIG_ASIGNATURAS!$B$2:$J$91,9,FALSE()),""))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IF(DATOS!$A14226="",0,IF(CONFIG_METADATA!$B$4&lt;&gt;"OR+EX",--(DATOS!$G14226=CONFIG_METADATA!$B$4),IF(DATOS!$G14226="EX",1,IF(DATOS!$G14226="OR",--(COUNTIFS(nNIA,DATOS!$A14226,nCURSO,DATOS!$D14226,nESPEC,DATOS!$E14226,nASIG,DATOS!$I14226,nEVAL,"EX")=0),0))))</f>
      </c>
      <c r="H14226">
        <f>IF(DATOS!$G14226&lt;&gt;"EX",0,--(COUNTIFS(nNIA,DATOS!$A14226,nCURSO,DATOS!$D14226,nESPEC,DATOS!$E14226,nASIG,DATOS!$I14226,nEVAL,"OR")=0))</f>
      </c>
      <c r="I14226">
        <f>IF(DATOS!$I14226="","",IFERROR(VLOOKUP(DATOS!$I14226,CONFIG_ASIGNATURAS!$B$2:$J$91,9,FALSE()),""))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IF(DATOS!$A14227="",0,IF(CONFIG_METADATA!$B$4&lt;&gt;"OR+EX",--(DATOS!$G14227=CONFIG_METADATA!$B$4),IF(DATOS!$G14227="EX",1,IF(DATOS!$G14227="OR",--(COUNTIFS(nNIA,DATOS!$A14227,nCURSO,DATOS!$D14227,nESPEC,DATOS!$E14227,nASIG,DATOS!$I14227,nEVAL,"EX")=0),0))))</f>
      </c>
      <c r="H14227">
        <f>IF(DATOS!$G14227&lt;&gt;"EX",0,--(COUNTIFS(nNIA,DATOS!$A14227,nCURSO,DATOS!$D14227,nESPEC,DATOS!$E14227,nASIG,DATOS!$I14227,nEVAL,"OR")=0))</f>
      </c>
      <c r="I14227">
        <f>IF(DATOS!$I14227="","",IFERROR(VLOOKUP(DATOS!$I14227,CONFIG_ASIGNATURAS!$B$2:$J$91,9,FALSE()),""))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IF(DATOS!$A14228="",0,IF(CONFIG_METADATA!$B$4&lt;&gt;"OR+EX",--(DATOS!$G14228=CONFIG_METADATA!$B$4),IF(DATOS!$G14228="EX",1,IF(DATOS!$G14228="OR",--(COUNTIFS(nNIA,DATOS!$A14228,nCURSO,DATOS!$D14228,nESPEC,DATOS!$E14228,nASIG,DATOS!$I14228,nEVAL,"EX")=0),0))))</f>
      </c>
      <c r="H14228">
        <f>IF(DATOS!$G14228&lt;&gt;"EX",0,--(COUNTIFS(nNIA,DATOS!$A14228,nCURSO,DATOS!$D14228,nESPEC,DATOS!$E14228,nASIG,DATOS!$I14228,nEVAL,"OR")=0))</f>
      </c>
      <c r="I14228">
        <f>IF(DATOS!$I14228="","",IFERROR(VLOOKUP(DATOS!$I14228,CONFIG_ASIGNATURAS!$B$2:$J$91,9,FALSE()),""))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IF(DATOS!$A14229="",0,IF(CONFIG_METADATA!$B$4&lt;&gt;"OR+EX",--(DATOS!$G14229=CONFIG_METADATA!$B$4),IF(DATOS!$G14229="EX",1,IF(DATOS!$G14229="OR",--(COUNTIFS(nNIA,DATOS!$A14229,nCURSO,DATOS!$D14229,nESPEC,DATOS!$E14229,nASIG,DATOS!$I14229,nEVAL,"EX")=0),0))))</f>
      </c>
      <c r="H14229">
        <f>IF(DATOS!$G14229&lt;&gt;"EX",0,--(COUNTIFS(nNIA,DATOS!$A14229,nCURSO,DATOS!$D14229,nESPEC,DATOS!$E14229,nASIG,DATOS!$I14229,nEVAL,"OR")=0))</f>
      </c>
      <c r="I14229">
        <f>IF(DATOS!$I14229="","",IFERROR(VLOOKUP(DATOS!$I14229,CONFIG_ASIGNATURAS!$B$2:$J$91,9,FALSE()),""))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IF(DATOS!$A14230="",0,IF(CONFIG_METADATA!$B$4&lt;&gt;"OR+EX",--(DATOS!$G14230=CONFIG_METADATA!$B$4),IF(DATOS!$G14230="EX",1,IF(DATOS!$G14230="OR",--(COUNTIFS(nNIA,DATOS!$A14230,nCURSO,DATOS!$D14230,nESPEC,DATOS!$E14230,nASIG,DATOS!$I14230,nEVAL,"EX")=0),0))))</f>
      </c>
      <c r="H14230">
        <f>IF(DATOS!$G14230&lt;&gt;"EX",0,--(COUNTIFS(nNIA,DATOS!$A14230,nCURSO,DATOS!$D14230,nESPEC,DATOS!$E14230,nASIG,DATOS!$I14230,nEVAL,"OR")=0))</f>
      </c>
      <c r="I14230">
        <f>IF(DATOS!$I14230="","",IFERROR(VLOOKUP(DATOS!$I14230,CONFIG_ASIGNATURAS!$B$2:$J$91,9,FALSE()),""))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IF(DATOS!$A14231="",0,IF(CONFIG_METADATA!$B$4&lt;&gt;"OR+EX",--(DATOS!$G14231=CONFIG_METADATA!$B$4),IF(DATOS!$G14231="EX",1,IF(DATOS!$G14231="OR",--(COUNTIFS(nNIA,DATOS!$A14231,nCURSO,DATOS!$D14231,nESPEC,DATOS!$E14231,nASIG,DATOS!$I14231,nEVAL,"EX")=0),0))))</f>
      </c>
      <c r="H14231">
        <f>IF(DATOS!$G14231&lt;&gt;"EX",0,--(COUNTIFS(nNIA,DATOS!$A14231,nCURSO,DATOS!$D14231,nESPEC,DATOS!$E14231,nASIG,DATOS!$I14231,nEVAL,"OR")=0))</f>
      </c>
      <c r="I14231">
        <f>IF(DATOS!$I14231="","",IFERROR(VLOOKUP(DATOS!$I14231,CONFIG_ASIGNATURAS!$B$2:$J$91,9,FALSE()),""))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IF(DATOS!$A14232="",0,IF(CONFIG_METADATA!$B$4&lt;&gt;"OR+EX",--(DATOS!$G14232=CONFIG_METADATA!$B$4),IF(DATOS!$G14232="EX",1,IF(DATOS!$G14232="OR",--(COUNTIFS(nNIA,DATOS!$A14232,nCURSO,DATOS!$D14232,nESPEC,DATOS!$E14232,nASIG,DATOS!$I14232,nEVAL,"EX")=0),0))))</f>
      </c>
      <c r="H14232">
        <f>IF(DATOS!$G14232&lt;&gt;"EX",0,--(COUNTIFS(nNIA,DATOS!$A14232,nCURSO,DATOS!$D14232,nESPEC,DATOS!$E14232,nASIG,DATOS!$I14232,nEVAL,"OR")=0))</f>
      </c>
      <c r="I14232">
        <f>IF(DATOS!$I14232="","",IFERROR(VLOOKUP(DATOS!$I14232,CONFIG_ASIGNATURAS!$B$2:$J$91,9,FALSE()),""))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IF(DATOS!$A14233="",0,IF(CONFIG_METADATA!$B$4&lt;&gt;"OR+EX",--(DATOS!$G14233=CONFIG_METADATA!$B$4),IF(DATOS!$G14233="EX",1,IF(DATOS!$G14233="OR",--(COUNTIFS(nNIA,DATOS!$A14233,nCURSO,DATOS!$D14233,nESPEC,DATOS!$E14233,nASIG,DATOS!$I14233,nEVAL,"EX")=0),0))))</f>
      </c>
      <c r="H14233">
        <f>IF(DATOS!$G14233&lt;&gt;"EX",0,--(COUNTIFS(nNIA,DATOS!$A14233,nCURSO,DATOS!$D14233,nESPEC,DATOS!$E14233,nASIG,DATOS!$I14233,nEVAL,"OR")=0))</f>
      </c>
      <c r="I14233">
        <f>IF(DATOS!$I14233="","",IFERROR(VLOOKUP(DATOS!$I14233,CONFIG_ASIGNATURAS!$B$2:$J$91,9,FALSE()),""))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IF(DATOS!$A14234="",0,IF(CONFIG_METADATA!$B$4&lt;&gt;"OR+EX",--(DATOS!$G14234=CONFIG_METADATA!$B$4),IF(DATOS!$G14234="EX",1,IF(DATOS!$G14234="OR",--(COUNTIFS(nNIA,DATOS!$A14234,nCURSO,DATOS!$D14234,nESPEC,DATOS!$E14234,nASIG,DATOS!$I14234,nEVAL,"EX")=0),0))))</f>
      </c>
      <c r="H14234">
        <f>IF(DATOS!$G14234&lt;&gt;"EX",0,--(COUNTIFS(nNIA,DATOS!$A14234,nCURSO,DATOS!$D14234,nESPEC,DATOS!$E14234,nASIG,DATOS!$I14234,nEVAL,"OR")=0))</f>
      </c>
      <c r="I14234">
        <f>IF(DATOS!$I14234="","",IFERROR(VLOOKUP(DATOS!$I14234,CONFIG_ASIGNATURAS!$B$2:$J$91,9,FALSE()),""))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IF(DATOS!$A14235="",0,IF(CONFIG_METADATA!$B$4&lt;&gt;"OR+EX",--(DATOS!$G14235=CONFIG_METADATA!$B$4),IF(DATOS!$G14235="EX",1,IF(DATOS!$G14235="OR",--(COUNTIFS(nNIA,DATOS!$A14235,nCURSO,DATOS!$D14235,nESPEC,DATOS!$E14235,nASIG,DATOS!$I14235,nEVAL,"EX")=0),0))))</f>
      </c>
      <c r="H14235">
        <f>IF(DATOS!$G14235&lt;&gt;"EX",0,--(COUNTIFS(nNIA,DATOS!$A14235,nCURSO,DATOS!$D14235,nESPEC,DATOS!$E14235,nASIG,DATOS!$I14235,nEVAL,"OR")=0))</f>
      </c>
      <c r="I14235">
        <f>IF(DATOS!$I14235="","",IFERROR(VLOOKUP(DATOS!$I14235,CONFIG_ASIGNATURAS!$B$2:$J$91,9,FALSE()),""))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IF(DATOS!$A14236="",0,IF(CONFIG_METADATA!$B$4&lt;&gt;"OR+EX",--(DATOS!$G14236=CONFIG_METADATA!$B$4),IF(DATOS!$G14236="EX",1,IF(DATOS!$G14236="OR",--(COUNTIFS(nNIA,DATOS!$A14236,nCURSO,DATOS!$D14236,nESPEC,DATOS!$E14236,nASIG,DATOS!$I14236,nEVAL,"EX")=0),0))))</f>
      </c>
      <c r="H14236">
        <f>IF(DATOS!$G14236&lt;&gt;"EX",0,--(COUNTIFS(nNIA,DATOS!$A14236,nCURSO,DATOS!$D14236,nESPEC,DATOS!$E14236,nASIG,DATOS!$I14236,nEVAL,"OR")=0))</f>
      </c>
      <c r="I14236">
        <f>IF(DATOS!$I14236="","",IFERROR(VLOOKUP(DATOS!$I14236,CONFIG_ASIGNATURAS!$B$2:$J$91,9,FALSE()),""))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IF(DATOS!$A14237="",0,IF(CONFIG_METADATA!$B$4&lt;&gt;"OR+EX",--(DATOS!$G14237=CONFIG_METADATA!$B$4),IF(DATOS!$G14237="EX",1,IF(DATOS!$G14237="OR",--(COUNTIFS(nNIA,DATOS!$A14237,nCURSO,DATOS!$D14237,nESPEC,DATOS!$E14237,nASIG,DATOS!$I14237,nEVAL,"EX")=0),0))))</f>
      </c>
      <c r="H14237">
        <f>IF(DATOS!$G14237&lt;&gt;"EX",0,--(COUNTIFS(nNIA,DATOS!$A14237,nCURSO,DATOS!$D14237,nESPEC,DATOS!$E14237,nASIG,DATOS!$I14237,nEVAL,"OR")=0))</f>
      </c>
      <c r="I14237">
        <f>IF(DATOS!$I14237="","",IFERROR(VLOOKUP(DATOS!$I14237,CONFIG_ASIGNATURAS!$B$2:$J$91,9,FALSE()),""))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IF(DATOS!$A14238="",0,IF(CONFIG_METADATA!$B$4&lt;&gt;"OR+EX",--(DATOS!$G14238=CONFIG_METADATA!$B$4),IF(DATOS!$G14238="EX",1,IF(DATOS!$G14238="OR",--(COUNTIFS(nNIA,DATOS!$A14238,nCURSO,DATOS!$D14238,nESPEC,DATOS!$E14238,nASIG,DATOS!$I14238,nEVAL,"EX")=0),0))))</f>
      </c>
      <c r="H14238">
        <f>IF(DATOS!$G14238&lt;&gt;"EX",0,--(COUNTIFS(nNIA,DATOS!$A14238,nCURSO,DATOS!$D14238,nESPEC,DATOS!$E14238,nASIG,DATOS!$I14238,nEVAL,"OR")=0))</f>
      </c>
      <c r="I14238">
        <f>IF(DATOS!$I14238="","",IFERROR(VLOOKUP(DATOS!$I14238,CONFIG_ASIGNATURAS!$B$2:$J$91,9,FALSE()),""))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IF(DATOS!$A14239="",0,IF(CONFIG_METADATA!$B$4&lt;&gt;"OR+EX",--(DATOS!$G14239=CONFIG_METADATA!$B$4),IF(DATOS!$G14239="EX",1,IF(DATOS!$G14239="OR",--(COUNTIFS(nNIA,DATOS!$A14239,nCURSO,DATOS!$D14239,nESPEC,DATOS!$E14239,nASIG,DATOS!$I14239,nEVAL,"EX")=0),0))))</f>
      </c>
      <c r="H14239">
        <f>IF(DATOS!$G14239&lt;&gt;"EX",0,--(COUNTIFS(nNIA,DATOS!$A14239,nCURSO,DATOS!$D14239,nESPEC,DATOS!$E14239,nASIG,DATOS!$I14239,nEVAL,"OR")=0))</f>
      </c>
      <c r="I14239">
        <f>IF(DATOS!$I14239="","",IFERROR(VLOOKUP(DATOS!$I14239,CONFIG_ASIGNATURAS!$B$2:$J$91,9,FALSE()),""))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IF(DATOS!$A14240="",0,IF(CONFIG_METADATA!$B$4&lt;&gt;"OR+EX",--(DATOS!$G14240=CONFIG_METADATA!$B$4),IF(DATOS!$G14240="EX",1,IF(DATOS!$G14240="OR",--(COUNTIFS(nNIA,DATOS!$A14240,nCURSO,DATOS!$D14240,nESPEC,DATOS!$E14240,nASIG,DATOS!$I14240,nEVAL,"EX")=0),0))))</f>
      </c>
      <c r="H14240">
        <f>IF(DATOS!$G14240&lt;&gt;"EX",0,--(COUNTIFS(nNIA,DATOS!$A14240,nCURSO,DATOS!$D14240,nESPEC,DATOS!$E14240,nASIG,DATOS!$I14240,nEVAL,"OR")=0))</f>
      </c>
      <c r="I14240">
        <f>IF(DATOS!$I14240="","",IFERROR(VLOOKUP(DATOS!$I14240,CONFIG_ASIGNATURAS!$B$2:$J$91,9,FALSE()),""))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IF(DATOS!$A14241="",0,IF(CONFIG_METADATA!$B$4&lt;&gt;"OR+EX",--(DATOS!$G14241=CONFIG_METADATA!$B$4),IF(DATOS!$G14241="EX",1,IF(DATOS!$G14241="OR",--(COUNTIFS(nNIA,DATOS!$A14241,nCURSO,DATOS!$D14241,nESPEC,DATOS!$E14241,nASIG,DATOS!$I14241,nEVAL,"EX")=0),0))))</f>
      </c>
      <c r="H14241">
        <f>IF(DATOS!$G14241&lt;&gt;"EX",0,--(COUNTIFS(nNIA,DATOS!$A14241,nCURSO,DATOS!$D14241,nESPEC,DATOS!$E14241,nASIG,DATOS!$I14241,nEVAL,"OR")=0))</f>
      </c>
      <c r="I14241">
        <f>IF(DATOS!$I14241="","",IFERROR(VLOOKUP(DATOS!$I14241,CONFIG_ASIGNATURAS!$B$2:$J$91,9,FALSE()),""))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IF(DATOS!$A14242="",0,IF(CONFIG_METADATA!$B$4&lt;&gt;"OR+EX",--(DATOS!$G14242=CONFIG_METADATA!$B$4),IF(DATOS!$G14242="EX",1,IF(DATOS!$G14242="OR",--(COUNTIFS(nNIA,DATOS!$A14242,nCURSO,DATOS!$D14242,nESPEC,DATOS!$E14242,nASIG,DATOS!$I14242,nEVAL,"EX")=0),0))))</f>
      </c>
      <c r="H14242">
        <f>IF(DATOS!$G14242&lt;&gt;"EX",0,--(COUNTIFS(nNIA,DATOS!$A14242,nCURSO,DATOS!$D14242,nESPEC,DATOS!$E14242,nASIG,DATOS!$I14242,nEVAL,"OR")=0))</f>
      </c>
      <c r="I14242">
        <f>IF(DATOS!$I14242="","",IFERROR(VLOOKUP(DATOS!$I14242,CONFIG_ASIGNATURAS!$B$2:$J$91,9,FALSE()),""))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IF(DATOS!$A14243="",0,IF(CONFIG_METADATA!$B$4&lt;&gt;"OR+EX",--(DATOS!$G14243=CONFIG_METADATA!$B$4),IF(DATOS!$G14243="EX",1,IF(DATOS!$G14243="OR",--(COUNTIFS(nNIA,DATOS!$A14243,nCURSO,DATOS!$D14243,nESPEC,DATOS!$E14243,nASIG,DATOS!$I14243,nEVAL,"EX")=0),0))))</f>
      </c>
      <c r="H14243">
        <f>IF(DATOS!$G14243&lt;&gt;"EX",0,--(COUNTIFS(nNIA,DATOS!$A14243,nCURSO,DATOS!$D14243,nESPEC,DATOS!$E14243,nASIG,DATOS!$I14243,nEVAL,"OR")=0))</f>
      </c>
      <c r="I14243">
        <f>IF(DATOS!$I14243="","",IFERROR(VLOOKUP(DATOS!$I14243,CONFIG_ASIGNATURAS!$B$2:$J$91,9,FALSE()),""))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IF(DATOS!$A14244="",0,IF(CONFIG_METADATA!$B$4&lt;&gt;"OR+EX",--(DATOS!$G14244=CONFIG_METADATA!$B$4),IF(DATOS!$G14244="EX",1,IF(DATOS!$G14244="OR",--(COUNTIFS(nNIA,DATOS!$A14244,nCURSO,DATOS!$D14244,nESPEC,DATOS!$E14244,nASIG,DATOS!$I14244,nEVAL,"EX")=0),0))))</f>
      </c>
      <c r="H14244">
        <f>IF(DATOS!$G14244&lt;&gt;"EX",0,--(COUNTIFS(nNIA,DATOS!$A14244,nCURSO,DATOS!$D14244,nESPEC,DATOS!$E14244,nASIG,DATOS!$I14244,nEVAL,"OR")=0))</f>
      </c>
      <c r="I14244">
        <f>IF(DATOS!$I14244="","",IFERROR(VLOOKUP(DATOS!$I14244,CONFIG_ASIGNATURAS!$B$2:$J$91,9,FALSE()),""))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IF(DATOS!$A14245="",0,IF(CONFIG_METADATA!$B$4&lt;&gt;"OR+EX",--(DATOS!$G14245=CONFIG_METADATA!$B$4),IF(DATOS!$G14245="EX",1,IF(DATOS!$G14245="OR",--(COUNTIFS(nNIA,DATOS!$A14245,nCURSO,DATOS!$D14245,nESPEC,DATOS!$E14245,nASIG,DATOS!$I14245,nEVAL,"EX")=0),0))))</f>
      </c>
      <c r="H14245">
        <f>IF(DATOS!$G14245&lt;&gt;"EX",0,--(COUNTIFS(nNIA,DATOS!$A14245,nCURSO,DATOS!$D14245,nESPEC,DATOS!$E14245,nASIG,DATOS!$I14245,nEVAL,"OR")=0))</f>
      </c>
      <c r="I14245">
        <f>IF(DATOS!$I14245="","",IFERROR(VLOOKUP(DATOS!$I14245,CONFIG_ASIGNATURAS!$B$2:$J$91,9,FALSE()),""))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IF(DATOS!$A14246="",0,IF(CONFIG_METADATA!$B$4&lt;&gt;"OR+EX",--(DATOS!$G14246=CONFIG_METADATA!$B$4),IF(DATOS!$G14246="EX",1,IF(DATOS!$G14246="OR",--(COUNTIFS(nNIA,DATOS!$A14246,nCURSO,DATOS!$D14246,nESPEC,DATOS!$E14246,nASIG,DATOS!$I14246,nEVAL,"EX")=0),0))))</f>
      </c>
      <c r="H14246">
        <f>IF(DATOS!$G14246&lt;&gt;"EX",0,--(COUNTIFS(nNIA,DATOS!$A14246,nCURSO,DATOS!$D14246,nESPEC,DATOS!$E14246,nASIG,DATOS!$I14246,nEVAL,"OR")=0))</f>
      </c>
      <c r="I14246">
        <f>IF(DATOS!$I14246="","",IFERROR(VLOOKUP(DATOS!$I14246,CONFIG_ASIGNATURAS!$B$2:$J$91,9,FALSE()),""))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IF(DATOS!$A14247="",0,IF(CONFIG_METADATA!$B$4&lt;&gt;"OR+EX",--(DATOS!$G14247=CONFIG_METADATA!$B$4),IF(DATOS!$G14247="EX",1,IF(DATOS!$G14247="OR",--(COUNTIFS(nNIA,DATOS!$A14247,nCURSO,DATOS!$D14247,nESPEC,DATOS!$E14247,nASIG,DATOS!$I14247,nEVAL,"EX")=0),0))))</f>
      </c>
      <c r="H14247">
        <f>IF(DATOS!$G14247&lt;&gt;"EX",0,--(COUNTIFS(nNIA,DATOS!$A14247,nCURSO,DATOS!$D14247,nESPEC,DATOS!$E14247,nASIG,DATOS!$I14247,nEVAL,"OR")=0))</f>
      </c>
      <c r="I14247">
        <f>IF(DATOS!$I14247="","",IFERROR(VLOOKUP(DATOS!$I14247,CONFIG_ASIGNATURAS!$B$2:$J$91,9,FALSE()),""))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IF(DATOS!$A14248="",0,IF(CONFIG_METADATA!$B$4&lt;&gt;"OR+EX",--(DATOS!$G14248=CONFIG_METADATA!$B$4),IF(DATOS!$G14248="EX",1,IF(DATOS!$G14248="OR",--(COUNTIFS(nNIA,DATOS!$A14248,nCURSO,DATOS!$D14248,nESPEC,DATOS!$E14248,nASIG,DATOS!$I14248,nEVAL,"EX")=0),0))))</f>
      </c>
      <c r="H14248">
        <f>IF(DATOS!$G14248&lt;&gt;"EX",0,--(COUNTIFS(nNIA,DATOS!$A14248,nCURSO,DATOS!$D14248,nESPEC,DATOS!$E14248,nASIG,DATOS!$I14248,nEVAL,"OR")=0))</f>
      </c>
      <c r="I14248">
        <f>IF(DATOS!$I14248="","",IFERROR(VLOOKUP(DATOS!$I14248,CONFIG_ASIGNATURAS!$B$2:$J$91,9,FALSE()),""))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IF(DATOS!$A14249="",0,IF(CONFIG_METADATA!$B$4&lt;&gt;"OR+EX",--(DATOS!$G14249=CONFIG_METADATA!$B$4),IF(DATOS!$G14249="EX",1,IF(DATOS!$G14249="OR",--(COUNTIFS(nNIA,DATOS!$A14249,nCURSO,DATOS!$D14249,nESPEC,DATOS!$E14249,nASIG,DATOS!$I14249,nEVAL,"EX")=0),0))))</f>
      </c>
      <c r="H14249">
        <f>IF(DATOS!$G14249&lt;&gt;"EX",0,--(COUNTIFS(nNIA,DATOS!$A14249,nCURSO,DATOS!$D14249,nESPEC,DATOS!$E14249,nASIG,DATOS!$I14249,nEVAL,"OR")=0))</f>
      </c>
      <c r="I14249">
        <f>IF(DATOS!$I14249="","",IFERROR(VLOOKUP(DATOS!$I14249,CONFIG_ASIGNATURAS!$B$2:$J$91,9,FALSE()),""))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IF(DATOS!$A14250="",0,IF(CONFIG_METADATA!$B$4&lt;&gt;"OR+EX",--(DATOS!$G14250=CONFIG_METADATA!$B$4),IF(DATOS!$G14250="EX",1,IF(DATOS!$G14250="OR",--(COUNTIFS(nNIA,DATOS!$A14250,nCURSO,DATOS!$D14250,nESPEC,DATOS!$E14250,nASIG,DATOS!$I14250,nEVAL,"EX")=0),0))))</f>
      </c>
      <c r="H14250">
        <f>IF(DATOS!$G14250&lt;&gt;"EX",0,--(COUNTIFS(nNIA,DATOS!$A14250,nCURSO,DATOS!$D14250,nESPEC,DATOS!$E14250,nASIG,DATOS!$I14250,nEVAL,"OR")=0))</f>
      </c>
      <c r="I14250">
        <f>IF(DATOS!$I14250="","",IFERROR(VLOOKUP(DATOS!$I14250,CONFIG_ASIGNATURAS!$B$2:$J$91,9,FALSE()),""))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IF(DATOS!$A14251="",0,IF(CONFIG_METADATA!$B$4&lt;&gt;"OR+EX",--(DATOS!$G14251=CONFIG_METADATA!$B$4),IF(DATOS!$G14251="EX",1,IF(DATOS!$G14251="OR",--(COUNTIFS(nNIA,DATOS!$A14251,nCURSO,DATOS!$D14251,nESPEC,DATOS!$E14251,nASIG,DATOS!$I14251,nEVAL,"EX")=0),0))))</f>
      </c>
      <c r="H14251">
        <f>IF(DATOS!$G14251&lt;&gt;"EX",0,--(COUNTIFS(nNIA,DATOS!$A14251,nCURSO,DATOS!$D14251,nESPEC,DATOS!$E14251,nASIG,DATOS!$I14251,nEVAL,"OR")=0))</f>
      </c>
      <c r="I14251">
        <f>IF(DATOS!$I14251="","",IFERROR(VLOOKUP(DATOS!$I14251,CONFIG_ASIGNATURAS!$B$2:$J$91,9,FALSE()),""))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IF(DATOS!$A14252="",0,IF(CONFIG_METADATA!$B$4&lt;&gt;"OR+EX",--(DATOS!$G14252=CONFIG_METADATA!$B$4),IF(DATOS!$G14252="EX",1,IF(DATOS!$G14252="OR",--(COUNTIFS(nNIA,DATOS!$A14252,nCURSO,DATOS!$D14252,nESPEC,DATOS!$E14252,nASIG,DATOS!$I14252,nEVAL,"EX")=0),0))))</f>
      </c>
      <c r="H14252">
        <f>IF(DATOS!$G14252&lt;&gt;"EX",0,--(COUNTIFS(nNIA,DATOS!$A14252,nCURSO,DATOS!$D14252,nESPEC,DATOS!$E14252,nASIG,DATOS!$I14252,nEVAL,"OR")=0))</f>
      </c>
      <c r="I14252">
        <f>IF(DATOS!$I14252="","",IFERROR(VLOOKUP(DATOS!$I14252,CONFIG_ASIGNATURAS!$B$2:$J$91,9,FALSE()),""))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IF(DATOS!$A14253="",0,IF(CONFIG_METADATA!$B$4&lt;&gt;"OR+EX",--(DATOS!$G14253=CONFIG_METADATA!$B$4),IF(DATOS!$G14253="EX",1,IF(DATOS!$G14253="OR",--(COUNTIFS(nNIA,DATOS!$A14253,nCURSO,DATOS!$D14253,nESPEC,DATOS!$E14253,nASIG,DATOS!$I14253,nEVAL,"EX")=0),0))))</f>
      </c>
      <c r="H14253">
        <f>IF(DATOS!$G14253&lt;&gt;"EX",0,--(COUNTIFS(nNIA,DATOS!$A14253,nCURSO,DATOS!$D14253,nESPEC,DATOS!$E14253,nASIG,DATOS!$I14253,nEVAL,"OR")=0))</f>
      </c>
      <c r="I14253">
        <f>IF(DATOS!$I14253="","",IFERROR(VLOOKUP(DATOS!$I14253,CONFIG_ASIGNATURAS!$B$2:$J$91,9,FALSE()),""))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IF(DATOS!$A14254="",0,IF(CONFIG_METADATA!$B$4&lt;&gt;"OR+EX",--(DATOS!$G14254=CONFIG_METADATA!$B$4),IF(DATOS!$G14254="EX",1,IF(DATOS!$G14254="OR",--(COUNTIFS(nNIA,DATOS!$A14254,nCURSO,DATOS!$D14254,nESPEC,DATOS!$E14254,nASIG,DATOS!$I14254,nEVAL,"EX")=0),0))))</f>
      </c>
      <c r="H14254">
        <f>IF(DATOS!$G14254&lt;&gt;"EX",0,--(COUNTIFS(nNIA,DATOS!$A14254,nCURSO,DATOS!$D14254,nESPEC,DATOS!$E14254,nASIG,DATOS!$I14254,nEVAL,"OR")=0))</f>
      </c>
      <c r="I14254">
        <f>IF(DATOS!$I14254="","",IFERROR(VLOOKUP(DATOS!$I14254,CONFIG_ASIGNATURAS!$B$2:$J$91,9,FALSE()),""))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IF(DATOS!$A14255="",0,IF(CONFIG_METADATA!$B$4&lt;&gt;"OR+EX",--(DATOS!$G14255=CONFIG_METADATA!$B$4),IF(DATOS!$G14255="EX",1,IF(DATOS!$G14255="OR",--(COUNTIFS(nNIA,DATOS!$A14255,nCURSO,DATOS!$D14255,nESPEC,DATOS!$E14255,nASIG,DATOS!$I14255,nEVAL,"EX")=0),0))))</f>
      </c>
      <c r="H14255">
        <f>IF(DATOS!$G14255&lt;&gt;"EX",0,--(COUNTIFS(nNIA,DATOS!$A14255,nCURSO,DATOS!$D14255,nESPEC,DATOS!$E14255,nASIG,DATOS!$I14255,nEVAL,"OR")=0))</f>
      </c>
      <c r="I14255">
        <f>IF(DATOS!$I14255="","",IFERROR(VLOOKUP(DATOS!$I14255,CONFIG_ASIGNATURAS!$B$2:$J$91,9,FALSE()),""))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IF(DATOS!$A14256="",0,IF(CONFIG_METADATA!$B$4&lt;&gt;"OR+EX",--(DATOS!$G14256=CONFIG_METADATA!$B$4),IF(DATOS!$G14256="EX",1,IF(DATOS!$G14256="OR",--(COUNTIFS(nNIA,DATOS!$A14256,nCURSO,DATOS!$D14256,nESPEC,DATOS!$E14256,nASIG,DATOS!$I14256,nEVAL,"EX")=0),0))))</f>
      </c>
      <c r="H14256">
        <f>IF(DATOS!$G14256&lt;&gt;"EX",0,--(COUNTIFS(nNIA,DATOS!$A14256,nCURSO,DATOS!$D14256,nESPEC,DATOS!$E14256,nASIG,DATOS!$I14256,nEVAL,"OR")=0))</f>
      </c>
      <c r="I14256">
        <f>IF(DATOS!$I14256="","",IFERROR(VLOOKUP(DATOS!$I14256,CONFIG_ASIGNATURAS!$B$2:$J$91,9,FALSE()),""))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IF(DATOS!$A14257="",0,IF(CONFIG_METADATA!$B$4&lt;&gt;"OR+EX",--(DATOS!$G14257=CONFIG_METADATA!$B$4),IF(DATOS!$G14257="EX",1,IF(DATOS!$G14257="OR",--(COUNTIFS(nNIA,DATOS!$A14257,nCURSO,DATOS!$D14257,nESPEC,DATOS!$E14257,nASIG,DATOS!$I14257,nEVAL,"EX")=0),0))))</f>
      </c>
      <c r="H14257">
        <f>IF(DATOS!$G14257&lt;&gt;"EX",0,--(COUNTIFS(nNIA,DATOS!$A14257,nCURSO,DATOS!$D14257,nESPEC,DATOS!$E14257,nASIG,DATOS!$I14257,nEVAL,"OR")=0))</f>
      </c>
      <c r="I14257">
        <f>IF(DATOS!$I14257="","",IFERROR(VLOOKUP(DATOS!$I14257,CONFIG_ASIGNATURAS!$B$2:$J$91,9,FALSE()),""))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IF(DATOS!$A14258="",0,IF(CONFIG_METADATA!$B$4&lt;&gt;"OR+EX",--(DATOS!$G14258=CONFIG_METADATA!$B$4),IF(DATOS!$G14258="EX",1,IF(DATOS!$G14258="OR",--(COUNTIFS(nNIA,DATOS!$A14258,nCURSO,DATOS!$D14258,nESPEC,DATOS!$E14258,nASIG,DATOS!$I14258,nEVAL,"EX")=0),0))))</f>
      </c>
      <c r="H14258">
        <f>IF(DATOS!$G14258&lt;&gt;"EX",0,--(COUNTIFS(nNIA,DATOS!$A14258,nCURSO,DATOS!$D14258,nESPEC,DATOS!$E14258,nASIG,DATOS!$I14258,nEVAL,"OR")=0))</f>
      </c>
      <c r="I14258">
        <f>IF(DATOS!$I14258="","",IFERROR(VLOOKUP(DATOS!$I14258,CONFIG_ASIGNATURAS!$B$2:$J$91,9,FALSE()),""))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IF(DATOS!$A14259="",0,IF(CONFIG_METADATA!$B$4&lt;&gt;"OR+EX",--(DATOS!$G14259=CONFIG_METADATA!$B$4),IF(DATOS!$G14259="EX",1,IF(DATOS!$G14259="OR",--(COUNTIFS(nNIA,DATOS!$A14259,nCURSO,DATOS!$D14259,nESPEC,DATOS!$E14259,nASIG,DATOS!$I14259,nEVAL,"EX")=0),0))))</f>
      </c>
      <c r="H14259">
        <f>IF(DATOS!$G14259&lt;&gt;"EX",0,--(COUNTIFS(nNIA,DATOS!$A14259,nCURSO,DATOS!$D14259,nESPEC,DATOS!$E14259,nASIG,DATOS!$I14259,nEVAL,"OR")=0))</f>
      </c>
      <c r="I14259">
        <f>IF(DATOS!$I14259="","",IFERROR(VLOOKUP(DATOS!$I14259,CONFIG_ASIGNATURAS!$B$2:$J$91,9,FALSE()),""))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IF(DATOS!$A14260="",0,IF(CONFIG_METADATA!$B$4&lt;&gt;"OR+EX",--(DATOS!$G14260=CONFIG_METADATA!$B$4),IF(DATOS!$G14260="EX",1,IF(DATOS!$G14260="OR",--(COUNTIFS(nNIA,DATOS!$A14260,nCURSO,DATOS!$D14260,nESPEC,DATOS!$E14260,nASIG,DATOS!$I14260,nEVAL,"EX")=0),0))))</f>
      </c>
      <c r="H14260">
        <f>IF(DATOS!$G14260&lt;&gt;"EX",0,--(COUNTIFS(nNIA,DATOS!$A14260,nCURSO,DATOS!$D14260,nESPEC,DATOS!$E14260,nASIG,DATOS!$I14260,nEVAL,"OR")=0))</f>
      </c>
      <c r="I14260">
        <f>IF(DATOS!$I14260="","",IFERROR(VLOOKUP(DATOS!$I14260,CONFIG_ASIGNATURAS!$B$2:$J$91,9,FALSE()),""))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IF(DATOS!$A14261="",0,IF(CONFIG_METADATA!$B$4&lt;&gt;"OR+EX",--(DATOS!$G14261=CONFIG_METADATA!$B$4),IF(DATOS!$G14261="EX",1,IF(DATOS!$G14261="OR",--(COUNTIFS(nNIA,DATOS!$A14261,nCURSO,DATOS!$D14261,nESPEC,DATOS!$E14261,nASIG,DATOS!$I14261,nEVAL,"EX")=0),0))))</f>
      </c>
      <c r="H14261">
        <f>IF(DATOS!$G14261&lt;&gt;"EX",0,--(COUNTIFS(nNIA,DATOS!$A14261,nCURSO,DATOS!$D14261,nESPEC,DATOS!$E14261,nASIG,DATOS!$I14261,nEVAL,"OR")=0))</f>
      </c>
      <c r="I14261">
        <f>IF(DATOS!$I14261="","",IFERROR(VLOOKUP(DATOS!$I14261,CONFIG_ASIGNATURAS!$B$2:$J$91,9,FALSE()),""))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IF(DATOS!$A14262="",0,IF(CONFIG_METADATA!$B$4&lt;&gt;"OR+EX",--(DATOS!$G14262=CONFIG_METADATA!$B$4),IF(DATOS!$G14262="EX",1,IF(DATOS!$G14262="OR",--(COUNTIFS(nNIA,DATOS!$A14262,nCURSO,DATOS!$D14262,nESPEC,DATOS!$E14262,nASIG,DATOS!$I14262,nEVAL,"EX")=0),0))))</f>
      </c>
      <c r="H14262">
        <f>IF(DATOS!$G14262&lt;&gt;"EX",0,--(COUNTIFS(nNIA,DATOS!$A14262,nCURSO,DATOS!$D14262,nESPEC,DATOS!$E14262,nASIG,DATOS!$I14262,nEVAL,"OR")=0))</f>
      </c>
      <c r="I14262">
        <f>IF(DATOS!$I14262="","",IFERROR(VLOOKUP(DATOS!$I14262,CONFIG_ASIGNATURAS!$B$2:$J$91,9,FALSE()),""))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IF(DATOS!$A14263="",0,IF(CONFIG_METADATA!$B$4&lt;&gt;"OR+EX",--(DATOS!$G14263=CONFIG_METADATA!$B$4),IF(DATOS!$G14263="EX",1,IF(DATOS!$G14263="OR",--(COUNTIFS(nNIA,DATOS!$A14263,nCURSO,DATOS!$D14263,nESPEC,DATOS!$E14263,nASIG,DATOS!$I14263,nEVAL,"EX")=0),0))))</f>
      </c>
      <c r="H14263">
        <f>IF(DATOS!$G14263&lt;&gt;"EX",0,--(COUNTIFS(nNIA,DATOS!$A14263,nCURSO,DATOS!$D14263,nESPEC,DATOS!$E14263,nASIG,DATOS!$I14263,nEVAL,"OR")=0))</f>
      </c>
      <c r="I14263">
        <f>IF(DATOS!$I14263="","",IFERROR(VLOOKUP(DATOS!$I14263,CONFIG_ASIGNATURAS!$B$2:$J$91,9,FALSE()),""))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IF(DATOS!$A14264="",0,IF(CONFIG_METADATA!$B$4&lt;&gt;"OR+EX",--(DATOS!$G14264=CONFIG_METADATA!$B$4),IF(DATOS!$G14264="EX",1,IF(DATOS!$G14264="OR",--(COUNTIFS(nNIA,DATOS!$A14264,nCURSO,DATOS!$D14264,nESPEC,DATOS!$E14264,nASIG,DATOS!$I14264,nEVAL,"EX")=0),0))))</f>
      </c>
      <c r="H14264">
        <f>IF(DATOS!$G14264&lt;&gt;"EX",0,--(COUNTIFS(nNIA,DATOS!$A14264,nCURSO,DATOS!$D14264,nESPEC,DATOS!$E14264,nASIG,DATOS!$I14264,nEVAL,"OR")=0))</f>
      </c>
      <c r="I14264">
        <f>IF(DATOS!$I14264="","",IFERROR(VLOOKUP(DATOS!$I14264,CONFIG_ASIGNATURAS!$B$2:$J$91,9,FALSE()),""))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IF(DATOS!$A14265="",0,IF(CONFIG_METADATA!$B$4&lt;&gt;"OR+EX",--(DATOS!$G14265=CONFIG_METADATA!$B$4),IF(DATOS!$G14265="EX",1,IF(DATOS!$G14265="OR",--(COUNTIFS(nNIA,DATOS!$A14265,nCURSO,DATOS!$D14265,nESPEC,DATOS!$E14265,nASIG,DATOS!$I14265,nEVAL,"EX")=0),0))))</f>
      </c>
      <c r="H14265">
        <f>IF(DATOS!$G14265&lt;&gt;"EX",0,--(COUNTIFS(nNIA,DATOS!$A14265,nCURSO,DATOS!$D14265,nESPEC,DATOS!$E14265,nASIG,DATOS!$I14265,nEVAL,"OR")=0))</f>
      </c>
      <c r="I14265">
        <f>IF(DATOS!$I14265="","",IFERROR(VLOOKUP(DATOS!$I14265,CONFIG_ASIGNATURAS!$B$2:$J$91,9,FALSE()),""))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IF(DATOS!$A14266="",0,IF(CONFIG_METADATA!$B$4&lt;&gt;"OR+EX",--(DATOS!$G14266=CONFIG_METADATA!$B$4),IF(DATOS!$G14266="EX",1,IF(DATOS!$G14266="OR",--(COUNTIFS(nNIA,DATOS!$A14266,nCURSO,DATOS!$D14266,nESPEC,DATOS!$E14266,nASIG,DATOS!$I14266,nEVAL,"EX")=0),0))))</f>
      </c>
      <c r="H14266">
        <f>IF(DATOS!$G14266&lt;&gt;"EX",0,--(COUNTIFS(nNIA,DATOS!$A14266,nCURSO,DATOS!$D14266,nESPEC,DATOS!$E14266,nASIG,DATOS!$I14266,nEVAL,"OR")=0))</f>
      </c>
      <c r="I14266">
        <f>IF(DATOS!$I14266="","",IFERROR(VLOOKUP(DATOS!$I14266,CONFIG_ASIGNATURAS!$B$2:$J$91,9,FALSE()),""))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IF(DATOS!$A14267="",0,IF(CONFIG_METADATA!$B$4&lt;&gt;"OR+EX",--(DATOS!$G14267=CONFIG_METADATA!$B$4),IF(DATOS!$G14267="EX",1,IF(DATOS!$G14267="OR",--(COUNTIFS(nNIA,DATOS!$A14267,nCURSO,DATOS!$D14267,nESPEC,DATOS!$E14267,nASIG,DATOS!$I14267,nEVAL,"EX")=0),0))))</f>
      </c>
      <c r="H14267">
        <f>IF(DATOS!$G14267&lt;&gt;"EX",0,--(COUNTIFS(nNIA,DATOS!$A14267,nCURSO,DATOS!$D14267,nESPEC,DATOS!$E14267,nASIG,DATOS!$I14267,nEVAL,"OR")=0))</f>
      </c>
      <c r="I14267">
        <f>IF(DATOS!$I14267="","",IFERROR(VLOOKUP(DATOS!$I14267,CONFIG_ASIGNATURAS!$B$2:$J$91,9,FALSE()),""))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IF(DATOS!$A14268="",0,IF(CONFIG_METADATA!$B$4&lt;&gt;"OR+EX",--(DATOS!$G14268=CONFIG_METADATA!$B$4),IF(DATOS!$G14268="EX",1,IF(DATOS!$G14268="OR",--(COUNTIFS(nNIA,DATOS!$A14268,nCURSO,DATOS!$D14268,nESPEC,DATOS!$E14268,nASIG,DATOS!$I14268,nEVAL,"EX")=0),0))))</f>
      </c>
      <c r="H14268">
        <f>IF(DATOS!$G14268&lt;&gt;"EX",0,--(COUNTIFS(nNIA,DATOS!$A14268,nCURSO,DATOS!$D14268,nESPEC,DATOS!$E14268,nASIG,DATOS!$I14268,nEVAL,"OR")=0))</f>
      </c>
      <c r="I14268">
        <f>IF(DATOS!$I14268="","",IFERROR(VLOOKUP(DATOS!$I14268,CONFIG_ASIGNATURAS!$B$2:$J$91,9,FALSE()),""))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IF(DATOS!$A14269="",0,IF(CONFIG_METADATA!$B$4&lt;&gt;"OR+EX",--(DATOS!$G14269=CONFIG_METADATA!$B$4),IF(DATOS!$G14269="EX",1,IF(DATOS!$G14269="OR",--(COUNTIFS(nNIA,DATOS!$A14269,nCURSO,DATOS!$D14269,nESPEC,DATOS!$E14269,nASIG,DATOS!$I14269,nEVAL,"EX")=0),0))))</f>
      </c>
      <c r="H14269">
        <f>IF(DATOS!$G14269&lt;&gt;"EX",0,--(COUNTIFS(nNIA,DATOS!$A14269,nCURSO,DATOS!$D14269,nESPEC,DATOS!$E14269,nASIG,DATOS!$I14269,nEVAL,"OR")=0))</f>
      </c>
      <c r="I14269">
        <f>IF(DATOS!$I14269="","",IFERROR(VLOOKUP(DATOS!$I14269,CONFIG_ASIGNATURAS!$B$2:$J$91,9,FALSE()),""))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IF(DATOS!$A14270="",0,IF(CONFIG_METADATA!$B$4&lt;&gt;"OR+EX",--(DATOS!$G14270=CONFIG_METADATA!$B$4),IF(DATOS!$G14270="EX",1,IF(DATOS!$G14270="OR",--(COUNTIFS(nNIA,DATOS!$A14270,nCURSO,DATOS!$D14270,nESPEC,DATOS!$E14270,nASIG,DATOS!$I14270,nEVAL,"EX")=0),0))))</f>
      </c>
      <c r="H14270">
        <f>IF(DATOS!$G14270&lt;&gt;"EX",0,--(COUNTIFS(nNIA,DATOS!$A14270,nCURSO,DATOS!$D14270,nESPEC,DATOS!$E14270,nASIG,DATOS!$I14270,nEVAL,"OR")=0))</f>
      </c>
      <c r="I14270">
        <f>IF(DATOS!$I14270="","",IFERROR(VLOOKUP(DATOS!$I14270,CONFIG_ASIGNATURAS!$B$2:$J$91,9,FALSE()),""))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IF(DATOS!$A14271="",0,IF(CONFIG_METADATA!$B$4&lt;&gt;"OR+EX",--(DATOS!$G14271=CONFIG_METADATA!$B$4),IF(DATOS!$G14271="EX",1,IF(DATOS!$G14271="OR",--(COUNTIFS(nNIA,DATOS!$A14271,nCURSO,DATOS!$D14271,nESPEC,DATOS!$E14271,nASIG,DATOS!$I14271,nEVAL,"EX")=0),0))))</f>
      </c>
      <c r="H14271">
        <f>IF(DATOS!$G14271&lt;&gt;"EX",0,--(COUNTIFS(nNIA,DATOS!$A14271,nCURSO,DATOS!$D14271,nESPEC,DATOS!$E14271,nASIG,DATOS!$I14271,nEVAL,"OR")=0))</f>
      </c>
      <c r="I14271">
        <f>IF(DATOS!$I14271="","",IFERROR(VLOOKUP(DATOS!$I14271,CONFIG_ASIGNATURAS!$B$2:$J$91,9,FALSE()),""))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IF(DATOS!$A14272="",0,IF(CONFIG_METADATA!$B$4&lt;&gt;"OR+EX",--(DATOS!$G14272=CONFIG_METADATA!$B$4),IF(DATOS!$G14272="EX",1,IF(DATOS!$G14272="OR",--(COUNTIFS(nNIA,DATOS!$A14272,nCURSO,DATOS!$D14272,nESPEC,DATOS!$E14272,nASIG,DATOS!$I14272,nEVAL,"EX")=0),0))))</f>
      </c>
      <c r="H14272">
        <f>IF(DATOS!$G14272&lt;&gt;"EX",0,--(COUNTIFS(nNIA,DATOS!$A14272,nCURSO,DATOS!$D14272,nESPEC,DATOS!$E14272,nASIG,DATOS!$I14272,nEVAL,"OR")=0))</f>
      </c>
      <c r="I14272">
        <f>IF(DATOS!$I14272="","",IFERROR(VLOOKUP(DATOS!$I14272,CONFIG_ASIGNATURAS!$B$2:$J$91,9,FALSE()),""))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IF(DATOS!$A14273="",0,IF(CONFIG_METADATA!$B$4&lt;&gt;"OR+EX",--(DATOS!$G14273=CONFIG_METADATA!$B$4),IF(DATOS!$G14273="EX",1,IF(DATOS!$G14273="OR",--(COUNTIFS(nNIA,DATOS!$A14273,nCURSO,DATOS!$D14273,nESPEC,DATOS!$E14273,nASIG,DATOS!$I14273,nEVAL,"EX")=0),0))))</f>
      </c>
      <c r="H14273">
        <f>IF(DATOS!$G14273&lt;&gt;"EX",0,--(COUNTIFS(nNIA,DATOS!$A14273,nCURSO,DATOS!$D14273,nESPEC,DATOS!$E14273,nASIG,DATOS!$I14273,nEVAL,"OR")=0))</f>
      </c>
      <c r="I14273">
        <f>IF(DATOS!$I14273="","",IFERROR(VLOOKUP(DATOS!$I14273,CONFIG_ASIGNATURAS!$B$2:$J$91,9,FALSE()),""))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IF(DATOS!$A14274="",0,IF(CONFIG_METADATA!$B$4&lt;&gt;"OR+EX",--(DATOS!$G14274=CONFIG_METADATA!$B$4),IF(DATOS!$G14274="EX",1,IF(DATOS!$G14274="OR",--(COUNTIFS(nNIA,DATOS!$A14274,nCURSO,DATOS!$D14274,nESPEC,DATOS!$E14274,nASIG,DATOS!$I14274,nEVAL,"EX")=0),0))))</f>
      </c>
      <c r="H14274">
        <f>IF(DATOS!$G14274&lt;&gt;"EX",0,--(COUNTIFS(nNIA,DATOS!$A14274,nCURSO,DATOS!$D14274,nESPEC,DATOS!$E14274,nASIG,DATOS!$I14274,nEVAL,"OR")=0))</f>
      </c>
      <c r="I14274">
        <f>IF(DATOS!$I14274="","",IFERROR(VLOOKUP(DATOS!$I14274,CONFIG_ASIGNATURAS!$B$2:$J$91,9,FALSE()),""))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IF(DATOS!$A14275="",0,IF(CONFIG_METADATA!$B$4&lt;&gt;"OR+EX",--(DATOS!$G14275=CONFIG_METADATA!$B$4),IF(DATOS!$G14275="EX",1,IF(DATOS!$G14275="OR",--(COUNTIFS(nNIA,DATOS!$A14275,nCURSO,DATOS!$D14275,nESPEC,DATOS!$E14275,nASIG,DATOS!$I14275,nEVAL,"EX")=0),0))))</f>
      </c>
      <c r="H14275">
        <f>IF(DATOS!$G14275&lt;&gt;"EX",0,--(COUNTIFS(nNIA,DATOS!$A14275,nCURSO,DATOS!$D14275,nESPEC,DATOS!$E14275,nASIG,DATOS!$I14275,nEVAL,"OR")=0))</f>
      </c>
      <c r="I14275">
        <f>IF(DATOS!$I14275="","",IFERROR(VLOOKUP(DATOS!$I14275,CONFIG_ASIGNATURAS!$B$2:$J$91,9,FALSE()),""))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IF(DATOS!$A14276="",0,IF(CONFIG_METADATA!$B$4&lt;&gt;"OR+EX",--(DATOS!$G14276=CONFIG_METADATA!$B$4),IF(DATOS!$G14276="EX",1,IF(DATOS!$G14276="OR",--(COUNTIFS(nNIA,DATOS!$A14276,nCURSO,DATOS!$D14276,nESPEC,DATOS!$E14276,nASIG,DATOS!$I14276,nEVAL,"EX")=0),0))))</f>
      </c>
      <c r="H14276">
        <f>IF(DATOS!$G14276&lt;&gt;"EX",0,--(COUNTIFS(nNIA,DATOS!$A14276,nCURSO,DATOS!$D14276,nESPEC,DATOS!$E14276,nASIG,DATOS!$I14276,nEVAL,"OR")=0))</f>
      </c>
      <c r="I14276">
        <f>IF(DATOS!$I14276="","",IFERROR(VLOOKUP(DATOS!$I14276,CONFIG_ASIGNATURAS!$B$2:$J$91,9,FALSE()),""))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IF(DATOS!$A14277="",0,IF(CONFIG_METADATA!$B$4&lt;&gt;"OR+EX",--(DATOS!$G14277=CONFIG_METADATA!$B$4),IF(DATOS!$G14277="EX",1,IF(DATOS!$G14277="OR",--(COUNTIFS(nNIA,DATOS!$A14277,nCURSO,DATOS!$D14277,nESPEC,DATOS!$E14277,nASIG,DATOS!$I14277,nEVAL,"EX")=0),0))))</f>
      </c>
      <c r="H14277">
        <f>IF(DATOS!$G14277&lt;&gt;"EX",0,--(COUNTIFS(nNIA,DATOS!$A14277,nCURSO,DATOS!$D14277,nESPEC,DATOS!$E14277,nASIG,DATOS!$I14277,nEVAL,"OR")=0))</f>
      </c>
      <c r="I14277">
        <f>IF(DATOS!$I14277="","",IFERROR(VLOOKUP(DATOS!$I14277,CONFIG_ASIGNATURAS!$B$2:$J$91,9,FALSE()),""))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IF(DATOS!$A14278="",0,IF(CONFIG_METADATA!$B$4&lt;&gt;"OR+EX",--(DATOS!$G14278=CONFIG_METADATA!$B$4),IF(DATOS!$G14278="EX",1,IF(DATOS!$G14278="OR",--(COUNTIFS(nNIA,DATOS!$A14278,nCURSO,DATOS!$D14278,nESPEC,DATOS!$E14278,nASIG,DATOS!$I14278,nEVAL,"EX")=0),0))))</f>
      </c>
      <c r="H14278">
        <f>IF(DATOS!$G14278&lt;&gt;"EX",0,--(COUNTIFS(nNIA,DATOS!$A14278,nCURSO,DATOS!$D14278,nESPEC,DATOS!$E14278,nASIG,DATOS!$I14278,nEVAL,"OR")=0))</f>
      </c>
      <c r="I14278">
        <f>IF(DATOS!$I14278="","",IFERROR(VLOOKUP(DATOS!$I14278,CONFIG_ASIGNATURAS!$B$2:$J$91,9,FALSE()),""))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IF(DATOS!$A14279="",0,IF(CONFIG_METADATA!$B$4&lt;&gt;"OR+EX",--(DATOS!$G14279=CONFIG_METADATA!$B$4),IF(DATOS!$G14279="EX",1,IF(DATOS!$G14279="OR",--(COUNTIFS(nNIA,DATOS!$A14279,nCURSO,DATOS!$D14279,nESPEC,DATOS!$E14279,nASIG,DATOS!$I14279,nEVAL,"EX")=0),0))))</f>
      </c>
      <c r="H14279">
        <f>IF(DATOS!$G14279&lt;&gt;"EX",0,--(COUNTIFS(nNIA,DATOS!$A14279,nCURSO,DATOS!$D14279,nESPEC,DATOS!$E14279,nASIG,DATOS!$I14279,nEVAL,"OR")=0))</f>
      </c>
      <c r="I14279">
        <f>IF(DATOS!$I14279="","",IFERROR(VLOOKUP(DATOS!$I14279,CONFIG_ASIGNATURAS!$B$2:$J$91,9,FALSE()),""))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IF(DATOS!$A14280="",0,IF(CONFIG_METADATA!$B$4&lt;&gt;"OR+EX",--(DATOS!$G14280=CONFIG_METADATA!$B$4),IF(DATOS!$G14280="EX",1,IF(DATOS!$G14280="OR",--(COUNTIFS(nNIA,DATOS!$A14280,nCURSO,DATOS!$D14280,nESPEC,DATOS!$E14280,nASIG,DATOS!$I14280,nEVAL,"EX")=0),0))))</f>
      </c>
      <c r="H14280">
        <f>IF(DATOS!$G14280&lt;&gt;"EX",0,--(COUNTIFS(nNIA,DATOS!$A14280,nCURSO,DATOS!$D14280,nESPEC,DATOS!$E14280,nASIG,DATOS!$I14280,nEVAL,"OR")=0))</f>
      </c>
      <c r="I14280">
        <f>IF(DATOS!$I14280="","",IFERROR(VLOOKUP(DATOS!$I14280,CONFIG_ASIGNATURAS!$B$2:$J$91,9,FALSE()),""))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IF(DATOS!$A14281="",0,IF(CONFIG_METADATA!$B$4&lt;&gt;"OR+EX",--(DATOS!$G14281=CONFIG_METADATA!$B$4),IF(DATOS!$G14281="EX",1,IF(DATOS!$G14281="OR",--(COUNTIFS(nNIA,DATOS!$A14281,nCURSO,DATOS!$D14281,nESPEC,DATOS!$E14281,nASIG,DATOS!$I14281,nEVAL,"EX")=0),0))))</f>
      </c>
      <c r="H14281">
        <f>IF(DATOS!$G14281&lt;&gt;"EX",0,--(COUNTIFS(nNIA,DATOS!$A14281,nCURSO,DATOS!$D14281,nESPEC,DATOS!$E14281,nASIG,DATOS!$I14281,nEVAL,"OR")=0))</f>
      </c>
      <c r="I14281">
        <f>IF(DATOS!$I14281="","",IFERROR(VLOOKUP(DATOS!$I14281,CONFIG_ASIGNATURAS!$B$2:$J$91,9,FALSE()),""))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IF(DATOS!$A14282="",0,IF(CONFIG_METADATA!$B$4&lt;&gt;"OR+EX",--(DATOS!$G14282=CONFIG_METADATA!$B$4),IF(DATOS!$G14282="EX",1,IF(DATOS!$G14282="OR",--(COUNTIFS(nNIA,DATOS!$A14282,nCURSO,DATOS!$D14282,nESPEC,DATOS!$E14282,nASIG,DATOS!$I14282,nEVAL,"EX")=0),0))))</f>
      </c>
      <c r="H14282">
        <f>IF(DATOS!$G14282&lt;&gt;"EX",0,--(COUNTIFS(nNIA,DATOS!$A14282,nCURSO,DATOS!$D14282,nESPEC,DATOS!$E14282,nASIG,DATOS!$I14282,nEVAL,"OR")=0))</f>
      </c>
      <c r="I14282">
        <f>IF(DATOS!$I14282="","",IFERROR(VLOOKUP(DATOS!$I14282,CONFIG_ASIGNATURAS!$B$2:$J$91,9,FALSE()),""))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IF(DATOS!$A14283="",0,IF(CONFIG_METADATA!$B$4&lt;&gt;"OR+EX",--(DATOS!$G14283=CONFIG_METADATA!$B$4),IF(DATOS!$G14283="EX",1,IF(DATOS!$G14283="OR",--(COUNTIFS(nNIA,DATOS!$A14283,nCURSO,DATOS!$D14283,nESPEC,DATOS!$E14283,nASIG,DATOS!$I14283,nEVAL,"EX")=0),0))))</f>
      </c>
      <c r="H14283">
        <f>IF(DATOS!$G14283&lt;&gt;"EX",0,--(COUNTIFS(nNIA,DATOS!$A14283,nCURSO,DATOS!$D14283,nESPEC,DATOS!$E14283,nASIG,DATOS!$I14283,nEVAL,"OR")=0))</f>
      </c>
      <c r="I14283">
        <f>IF(DATOS!$I14283="","",IFERROR(VLOOKUP(DATOS!$I14283,CONFIG_ASIGNATURAS!$B$2:$J$91,9,FALSE()),""))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IF(DATOS!$A14284="",0,IF(CONFIG_METADATA!$B$4&lt;&gt;"OR+EX",--(DATOS!$G14284=CONFIG_METADATA!$B$4),IF(DATOS!$G14284="EX",1,IF(DATOS!$G14284="OR",--(COUNTIFS(nNIA,DATOS!$A14284,nCURSO,DATOS!$D14284,nESPEC,DATOS!$E14284,nASIG,DATOS!$I14284,nEVAL,"EX")=0),0))))</f>
      </c>
      <c r="H14284">
        <f>IF(DATOS!$G14284&lt;&gt;"EX",0,--(COUNTIFS(nNIA,DATOS!$A14284,nCURSO,DATOS!$D14284,nESPEC,DATOS!$E14284,nASIG,DATOS!$I14284,nEVAL,"OR")=0))</f>
      </c>
      <c r="I14284">
        <f>IF(DATOS!$I14284="","",IFERROR(VLOOKUP(DATOS!$I14284,CONFIG_ASIGNATURAS!$B$2:$J$91,9,FALSE()),""))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IF(DATOS!$A14285="",0,IF(CONFIG_METADATA!$B$4&lt;&gt;"OR+EX",--(DATOS!$G14285=CONFIG_METADATA!$B$4),IF(DATOS!$G14285="EX",1,IF(DATOS!$G14285="OR",--(COUNTIFS(nNIA,DATOS!$A14285,nCURSO,DATOS!$D14285,nESPEC,DATOS!$E14285,nASIG,DATOS!$I14285,nEVAL,"EX")=0),0))))</f>
      </c>
      <c r="H14285">
        <f>IF(DATOS!$G14285&lt;&gt;"EX",0,--(COUNTIFS(nNIA,DATOS!$A14285,nCURSO,DATOS!$D14285,nESPEC,DATOS!$E14285,nASIG,DATOS!$I14285,nEVAL,"OR")=0))</f>
      </c>
      <c r="I14285">
        <f>IF(DATOS!$I14285="","",IFERROR(VLOOKUP(DATOS!$I14285,CONFIG_ASIGNATURAS!$B$2:$J$91,9,FALSE()),""))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IF(DATOS!$A14286="",0,IF(CONFIG_METADATA!$B$4&lt;&gt;"OR+EX",--(DATOS!$G14286=CONFIG_METADATA!$B$4),IF(DATOS!$G14286="EX",1,IF(DATOS!$G14286="OR",--(COUNTIFS(nNIA,DATOS!$A14286,nCURSO,DATOS!$D14286,nESPEC,DATOS!$E14286,nASIG,DATOS!$I14286,nEVAL,"EX")=0),0))))</f>
      </c>
      <c r="H14286">
        <f>IF(DATOS!$G14286&lt;&gt;"EX",0,--(COUNTIFS(nNIA,DATOS!$A14286,nCURSO,DATOS!$D14286,nESPEC,DATOS!$E14286,nASIG,DATOS!$I14286,nEVAL,"OR")=0))</f>
      </c>
      <c r="I14286">
        <f>IF(DATOS!$I14286="","",IFERROR(VLOOKUP(DATOS!$I14286,CONFIG_ASIGNATURAS!$B$2:$J$91,9,FALSE()),""))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IF(DATOS!$A14287="",0,IF(CONFIG_METADATA!$B$4&lt;&gt;"OR+EX",--(DATOS!$G14287=CONFIG_METADATA!$B$4),IF(DATOS!$G14287="EX",1,IF(DATOS!$G14287="OR",--(COUNTIFS(nNIA,DATOS!$A14287,nCURSO,DATOS!$D14287,nESPEC,DATOS!$E14287,nASIG,DATOS!$I14287,nEVAL,"EX")=0),0))))</f>
      </c>
      <c r="H14287">
        <f>IF(DATOS!$G14287&lt;&gt;"EX",0,--(COUNTIFS(nNIA,DATOS!$A14287,nCURSO,DATOS!$D14287,nESPEC,DATOS!$E14287,nASIG,DATOS!$I14287,nEVAL,"OR")=0))</f>
      </c>
      <c r="I14287">
        <f>IF(DATOS!$I14287="","",IFERROR(VLOOKUP(DATOS!$I14287,CONFIG_ASIGNATURAS!$B$2:$J$91,9,FALSE()),""))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IF(DATOS!$A14288="",0,IF(CONFIG_METADATA!$B$4&lt;&gt;"OR+EX",--(DATOS!$G14288=CONFIG_METADATA!$B$4),IF(DATOS!$G14288="EX",1,IF(DATOS!$G14288="OR",--(COUNTIFS(nNIA,DATOS!$A14288,nCURSO,DATOS!$D14288,nESPEC,DATOS!$E14288,nASIG,DATOS!$I14288,nEVAL,"EX")=0),0))))</f>
      </c>
      <c r="H14288">
        <f>IF(DATOS!$G14288&lt;&gt;"EX",0,--(COUNTIFS(nNIA,DATOS!$A14288,nCURSO,DATOS!$D14288,nESPEC,DATOS!$E14288,nASIG,DATOS!$I14288,nEVAL,"OR")=0))</f>
      </c>
      <c r="I14288">
        <f>IF(DATOS!$I14288="","",IFERROR(VLOOKUP(DATOS!$I14288,CONFIG_ASIGNATURAS!$B$2:$J$91,9,FALSE()),""))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IF(DATOS!$A14289="",0,IF(CONFIG_METADATA!$B$4&lt;&gt;"OR+EX",--(DATOS!$G14289=CONFIG_METADATA!$B$4),IF(DATOS!$G14289="EX",1,IF(DATOS!$G14289="OR",--(COUNTIFS(nNIA,DATOS!$A14289,nCURSO,DATOS!$D14289,nESPEC,DATOS!$E14289,nASIG,DATOS!$I14289,nEVAL,"EX")=0),0))))</f>
      </c>
      <c r="H14289">
        <f>IF(DATOS!$G14289&lt;&gt;"EX",0,--(COUNTIFS(nNIA,DATOS!$A14289,nCURSO,DATOS!$D14289,nESPEC,DATOS!$E14289,nASIG,DATOS!$I14289,nEVAL,"OR")=0))</f>
      </c>
      <c r="I14289">
        <f>IF(DATOS!$I14289="","",IFERROR(VLOOKUP(DATOS!$I14289,CONFIG_ASIGNATURAS!$B$2:$J$91,9,FALSE()),""))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IF(DATOS!$A14290="",0,IF(CONFIG_METADATA!$B$4&lt;&gt;"OR+EX",--(DATOS!$G14290=CONFIG_METADATA!$B$4),IF(DATOS!$G14290="EX",1,IF(DATOS!$G14290="OR",--(COUNTIFS(nNIA,DATOS!$A14290,nCURSO,DATOS!$D14290,nESPEC,DATOS!$E14290,nASIG,DATOS!$I14290,nEVAL,"EX")=0),0))))</f>
      </c>
      <c r="H14290">
        <f>IF(DATOS!$G14290&lt;&gt;"EX",0,--(COUNTIFS(nNIA,DATOS!$A14290,nCURSO,DATOS!$D14290,nESPEC,DATOS!$E14290,nASIG,DATOS!$I14290,nEVAL,"OR")=0))</f>
      </c>
      <c r="I14290">
        <f>IF(DATOS!$I14290="","",IFERROR(VLOOKUP(DATOS!$I14290,CONFIG_ASIGNATURAS!$B$2:$J$91,9,FALSE()),""))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IF(DATOS!$A14291="",0,IF(CONFIG_METADATA!$B$4&lt;&gt;"OR+EX",--(DATOS!$G14291=CONFIG_METADATA!$B$4),IF(DATOS!$G14291="EX",1,IF(DATOS!$G14291="OR",--(COUNTIFS(nNIA,DATOS!$A14291,nCURSO,DATOS!$D14291,nESPEC,DATOS!$E14291,nASIG,DATOS!$I14291,nEVAL,"EX")=0),0))))</f>
      </c>
      <c r="H14291">
        <f>IF(DATOS!$G14291&lt;&gt;"EX",0,--(COUNTIFS(nNIA,DATOS!$A14291,nCURSO,DATOS!$D14291,nESPEC,DATOS!$E14291,nASIG,DATOS!$I14291,nEVAL,"OR")=0))</f>
      </c>
      <c r="I14291">
        <f>IF(DATOS!$I14291="","",IFERROR(VLOOKUP(DATOS!$I14291,CONFIG_ASIGNATURAS!$B$2:$J$91,9,FALSE()),""))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IF(DATOS!$A14292="",0,IF(CONFIG_METADATA!$B$4&lt;&gt;"OR+EX",--(DATOS!$G14292=CONFIG_METADATA!$B$4),IF(DATOS!$G14292="EX",1,IF(DATOS!$G14292="OR",--(COUNTIFS(nNIA,DATOS!$A14292,nCURSO,DATOS!$D14292,nESPEC,DATOS!$E14292,nASIG,DATOS!$I14292,nEVAL,"EX")=0),0))))</f>
      </c>
      <c r="H14292">
        <f>IF(DATOS!$G14292&lt;&gt;"EX",0,--(COUNTIFS(nNIA,DATOS!$A14292,nCURSO,DATOS!$D14292,nESPEC,DATOS!$E14292,nASIG,DATOS!$I14292,nEVAL,"OR")=0))</f>
      </c>
      <c r="I14292">
        <f>IF(DATOS!$I14292="","",IFERROR(VLOOKUP(DATOS!$I14292,CONFIG_ASIGNATURAS!$B$2:$J$91,9,FALSE()),""))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IF(DATOS!$A14293="",0,IF(CONFIG_METADATA!$B$4&lt;&gt;"OR+EX",--(DATOS!$G14293=CONFIG_METADATA!$B$4),IF(DATOS!$G14293="EX",1,IF(DATOS!$G14293="OR",--(COUNTIFS(nNIA,DATOS!$A14293,nCURSO,DATOS!$D14293,nESPEC,DATOS!$E14293,nASIG,DATOS!$I14293,nEVAL,"EX")=0),0))))</f>
      </c>
      <c r="H14293">
        <f>IF(DATOS!$G14293&lt;&gt;"EX",0,--(COUNTIFS(nNIA,DATOS!$A14293,nCURSO,DATOS!$D14293,nESPEC,DATOS!$E14293,nASIG,DATOS!$I14293,nEVAL,"OR")=0))</f>
      </c>
      <c r="I14293">
        <f>IF(DATOS!$I14293="","",IFERROR(VLOOKUP(DATOS!$I14293,CONFIG_ASIGNATURAS!$B$2:$J$91,9,FALSE()),""))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IF(DATOS!$A14294="",0,IF(CONFIG_METADATA!$B$4&lt;&gt;"OR+EX",--(DATOS!$G14294=CONFIG_METADATA!$B$4),IF(DATOS!$G14294="EX",1,IF(DATOS!$G14294="OR",--(COUNTIFS(nNIA,DATOS!$A14294,nCURSO,DATOS!$D14294,nESPEC,DATOS!$E14294,nASIG,DATOS!$I14294,nEVAL,"EX")=0),0))))</f>
      </c>
      <c r="H14294">
        <f>IF(DATOS!$G14294&lt;&gt;"EX",0,--(COUNTIFS(nNIA,DATOS!$A14294,nCURSO,DATOS!$D14294,nESPEC,DATOS!$E14294,nASIG,DATOS!$I14294,nEVAL,"OR")=0))</f>
      </c>
      <c r="I14294">
        <f>IF(DATOS!$I14294="","",IFERROR(VLOOKUP(DATOS!$I14294,CONFIG_ASIGNATURAS!$B$2:$J$91,9,FALSE()),""))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IF(DATOS!$A14295="",0,IF(CONFIG_METADATA!$B$4&lt;&gt;"OR+EX",--(DATOS!$G14295=CONFIG_METADATA!$B$4),IF(DATOS!$G14295="EX",1,IF(DATOS!$G14295="OR",--(COUNTIFS(nNIA,DATOS!$A14295,nCURSO,DATOS!$D14295,nESPEC,DATOS!$E14295,nASIG,DATOS!$I14295,nEVAL,"EX")=0),0))))</f>
      </c>
      <c r="H14295">
        <f>IF(DATOS!$G14295&lt;&gt;"EX",0,--(COUNTIFS(nNIA,DATOS!$A14295,nCURSO,DATOS!$D14295,nESPEC,DATOS!$E14295,nASIG,DATOS!$I14295,nEVAL,"OR")=0))</f>
      </c>
      <c r="I14295">
        <f>IF(DATOS!$I14295="","",IFERROR(VLOOKUP(DATOS!$I14295,CONFIG_ASIGNATURAS!$B$2:$J$91,9,FALSE()),""))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IF(DATOS!$A14296="",0,IF(CONFIG_METADATA!$B$4&lt;&gt;"OR+EX",--(DATOS!$G14296=CONFIG_METADATA!$B$4),IF(DATOS!$G14296="EX",1,IF(DATOS!$G14296="OR",--(COUNTIFS(nNIA,DATOS!$A14296,nCURSO,DATOS!$D14296,nESPEC,DATOS!$E14296,nASIG,DATOS!$I14296,nEVAL,"EX")=0),0))))</f>
      </c>
      <c r="H14296">
        <f>IF(DATOS!$G14296&lt;&gt;"EX",0,--(COUNTIFS(nNIA,DATOS!$A14296,nCURSO,DATOS!$D14296,nESPEC,DATOS!$E14296,nASIG,DATOS!$I14296,nEVAL,"OR")=0))</f>
      </c>
      <c r="I14296">
        <f>IF(DATOS!$I14296="","",IFERROR(VLOOKUP(DATOS!$I14296,CONFIG_ASIGNATURAS!$B$2:$J$91,9,FALSE()),""))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IF(DATOS!$A14297="",0,IF(CONFIG_METADATA!$B$4&lt;&gt;"OR+EX",--(DATOS!$G14297=CONFIG_METADATA!$B$4),IF(DATOS!$G14297="EX",1,IF(DATOS!$G14297="OR",--(COUNTIFS(nNIA,DATOS!$A14297,nCURSO,DATOS!$D14297,nESPEC,DATOS!$E14297,nASIG,DATOS!$I14297,nEVAL,"EX")=0),0))))</f>
      </c>
      <c r="H14297">
        <f>IF(DATOS!$G14297&lt;&gt;"EX",0,--(COUNTIFS(nNIA,DATOS!$A14297,nCURSO,DATOS!$D14297,nESPEC,DATOS!$E14297,nASIG,DATOS!$I14297,nEVAL,"OR")=0))</f>
      </c>
      <c r="I14297">
        <f>IF(DATOS!$I14297="","",IFERROR(VLOOKUP(DATOS!$I14297,CONFIG_ASIGNATURAS!$B$2:$J$91,9,FALSE()),""))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IF(DATOS!$A14298="",0,IF(CONFIG_METADATA!$B$4&lt;&gt;"OR+EX",--(DATOS!$G14298=CONFIG_METADATA!$B$4),IF(DATOS!$G14298="EX",1,IF(DATOS!$G14298="OR",--(COUNTIFS(nNIA,DATOS!$A14298,nCURSO,DATOS!$D14298,nESPEC,DATOS!$E14298,nASIG,DATOS!$I14298,nEVAL,"EX")=0),0))))</f>
      </c>
      <c r="H14298">
        <f>IF(DATOS!$G14298&lt;&gt;"EX",0,--(COUNTIFS(nNIA,DATOS!$A14298,nCURSO,DATOS!$D14298,nESPEC,DATOS!$E14298,nASIG,DATOS!$I14298,nEVAL,"OR")=0))</f>
      </c>
      <c r="I14298">
        <f>IF(DATOS!$I14298="","",IFERROR(VLOOKUP(DATOS!$I14298,CONFIG_ASIGNATURAS!$B$2:$J$91,9,FALSE()),""))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IF(DATOS!$A14299="",0,IF(CONFIG_METADATA!$B$4&lt;&gt;"OR+EX",--(DATOS!$G14299=CONFIG_METADATA!$B$4),IF(DATOS!$G14299="EX",1,IF(DATOS!$G14299="OR",--(COUNTIFS(nNIA,DATOS!$A14299,nCURSO,DATOS!$D14299,nESPEC,DATOS!$E14299,nASIG,DATOS!$I14299,nEVAL,"EX")=0),0))))</f>
      </c>
      <c r="H14299">
        <f>IF(DATOS!$G14299&lt;&gt;"EX",0,--(COUNTIFS(nNIA,DATOS!$A14299,nCURSO,DATOS!$D14299,nESPEC,DATOS!$E14299,nASIG,DATOS!$I14299,nEVAL,"OR")=0))</f>
      </c>
      <c r="I14299">
        <f>IF(DATOS!$I14299="","",IFERROR(VLOOKUP(DATOS!$I14299,CONFIG_ASIGNATURAS!$B$2:$J$91,9,FALSE()),""))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IF(DATOS!$A14300="",0,IF(CONFIG_METADATA!$B$4&lt;&gt;"OR+EX",--(DATOS!$G14300=CONFIG_METADATA!$B$4),IF(DATOS!$G14300="EX",1,IF(DATOS!$G14300="OR",--(COUNTIFS(nNIA,DATOS!$A14300,nCURSO,DATOS!$D14300,nESPEC,DATOS!$E14300,nASIG,DATOS!$I14300,nEVAL,"EX")=0),0))))</f>
      </c>
      <c r="H14300">
        <f>IF(DATOS!$G14300&lt;&gt;"EX",0,--(COUNTIFS(nNIA,DATOS!$A14300,nCURSO,DATOS!$D14300,nESPEC,DATOS!$E14300,nASIG,DATOS!$I14300,nEVAL,"OR")=0))</f>
      </c>
      <c r="I14300">
        <f>IF(DATOS!$I14300="","",IFERROR(VLOOKUP(DATOS!$I14300,CONFIG_ASIGNATURAS!$B$2:$J$91,9,FALSE()),""))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IF(DATOS!$A14301="",0,IF(CONFIG_METADATA!$B$4&lt;&gt;"OR+EX",--(DATOS!$G14301=CONFIG_METADATA!$B$4),IF(DATOS!$G14301="EX",1,IF(DATOS!$G14301="OR",--(COUNTIFS(nNIA,DATOS!$A14301,nCURSO,DATOS!$D14301,nESPEC,DATOS!$E14301,nASIG,DATOS!$I14301,nEVAL,"EX")=0),0))))</f>
      </c>
      <c r="H14301">
        <f>IF(DATOS!$G14301&lt;&gt;"EX",0,--(COUNTIFS(nNIA,DATOS!$A14301,nCURSO,DATOS!$D14301,nESPEC,DATOS!$E14301,nASIG,DATOS!$I14301,nEVAL,"OR")=0))</f>
      </c>
      <c r="I14301">
        <f>IF(DATOS!$I14301="","",IFERROR(VLOOKUP(DATOS!$I14301,CONFIG_ASIGNATURAS!$B$2:$J$91,9,FALSE()),""))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IF(DATOS!$A14302="",0,IF(CONFIG_METADATA!$B$4&lt;&gt;"OR+EX",--(DATOS!$G14302=CONFIG_METADATA!$B$4),IF(DATOS!$G14302="EX",1,IF(DATOS!$G14302="OR",--(COUNTIFS(nNIA,DATOS!$A14302,nCURSO,DATOS!$D14302,nESPEC,DATOS!$E14302,nASIG,DATOS!$I14302,nEVAL,"EX")=0),0))))</f>
      </c>
      <c r="H14302">
        <f>IF(DATOS!$G14302&lt;&gt;"EX",0,--(COUNTIFS(nNIA,DATOS!$A14302,nCURSO,DATOS!$D14302,nESPEC,DATOS!$E14302,nASIG,DATOS!$I14302,nEVAL,"OR")=0))</f>
      </c>
      <c r="I14302">
        <f>IF(DATOS!$I14302="","",IFERROR(VLOOKUP(DATOS!$I14302,CONFIG_ASIGNATURAS!$B$2:$J$91,9,FALSE()),""))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IF(DATOS!$A14303="",0,IF(CONFIG_METADATA!$B$4&lt;&gt;"OR+EX",--(DATOS!$G14303=CONFIG_METADATA!$B$4),IF(DATOS!$G14303="EX",1,IF(DATOS!$G14303="OR",--(COUNTIFS(nNIA,DATOS!$A14303,nCURSO,DATOS!$D14303,nESPEC,DATOS!$E14303,nASIG,DATOS!$I14303,nEVAL,"EX")=0),0))))</f>
      </c>
      <c r="H14303">
        <f>IF(DATOS!$G14303&lt;&gt;"EX",0,--(COUNTIFS(nNIA,DATOS!$A14303,nCURSO,DATOS!$D14303,nESPEC,DATOS!$E14303,nASIG,DATOS!$I14303,nEVAL,"OR")=0))</f>
      </c>
      <c r="I14303">
        <f>IF(DATOS!$I14303="","",IFERROR(VLOOKUP(DATOS!$I14303,CONFIG_ASIGNATURAS!$B$2:$J$91,9,FALSE()),""))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IF(DATOS!$A14304="",0,IF(CONFIG_METADATA!$B$4&lt;&gt;"OR+EX",--(DATOS!$G14304=CONFIG_METADATA!$B$4),IF(DATOS!$G14304="EX",1,IF(DATOS!$G14304="OR",--(COUNTIFS(nNIA,DATOS!$A14304,nCURSO,DATOS!$D14304,nESPEC,DATOS!$E14304,nASIG,DATOS!$I14304,nEVAL,"EX")=0),0))))</f>
      </c>
      <c r="H14304">
        <f>IF(DATOS!$G14304&lt;&gt;"EX",0,--(COUNTIFS(nNIA,DATOS!$A14304,nCURSO,DATOS!$D14304,nESPEC,DATOS!$E14304,nASIG,DATOS!$I14304,nEVAL,"OR")=0))</f>
      </c>
      <c r="I14304">
        <f>IF(DATOS!$I14304="","",IFERROR(VLOOKUP(DATOS!$I14304,CONFIG_ASIGNATURAS!$B$2:$J$91,9,FALSE()),""))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IF(DATOS!$A14305="",0,IF(CONFIG_METADATA!$B$4&lt;&gt;"OR+EX",--(DATOS!$G14305=CONFIG_METADATA!$B$4),IF(DATOS!$G14305="EX",1,IF(DATOS!$G14305="OR",--(COUNTIFS(nNIA,DATOS!$A14305,nCURSO,DATOS!$D14305,nESPEC,DATOS!$E14305,nASIG,DATOS!$I14305,nEVAL,"EX")=0),0))))</f>
      </c>
      <c r="H14305">
        <f>IF(DATOS!$G14305&lt;&gt;"EX",0,--(COUNTIFS(nNIA,DATOS!$A14305,nCURSO,DATOS!$D14305,nESPEC,DATOS!$E14305,nASIG,DATOS!$I14305,nEVAL,"OR")=0))</f>
      </c>
      <c r="I14305">
        <f>IF(DATOS!$I14305="","",IFERROR(VLOOKUP(DATOS!$I14305,CONFIG_ASIGNATURAS!$B$2:$J$91,9,FALSE()),""))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IF(DATOS!$A14306="",0,IF(CONFIG_METADATA!$B$4&lt;&gt;"OR+EX",--(DATOS!$G14306=CONFIG_METADATA!$B$4),IF(DATOS!$G14306="EX",1,IF(DATOS!$G14306="OR",--(COUNTIFS(nNIA,DATOS!$A14306,nCURSO,DATOS!$D14306,nESPEC,DATOS!$E14306,nASIG,DATOS!$I14306,nEVAL,"EX")=0),0))))</f>
      </c>
      <c r="H14306">
        <f>IF(DATOS!$G14306&lt;&gt;"EX",0,--(COUNTIFS(nNIA,DATOS!$A14306,nCURSO,DATOS!$D14306,nESPEC,DATOS!$E14306,nASIG,DATOS!$I14306,nEVAL,"OR")=0))</f>
      </c>
      <c r="I14306">
        <f>IF(DATOS!$I14306="","",IFERROR(VLOOKUP(DATOS!$I14306,CONFIG_ASIGNATURAS!$B$2:$J$91,9,FALSE()),""))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IF(DATOS!$A14307="",0,IF(CONFIG_METADATA!$B$4&lt;&gt;"OR+EX",--(DATOS!$G14307=CONFIG_METADATA!$B$4),IF(DATOS!$G14307="EX",1,IF(DATOS!$G14307="OR",--(COUNTIFS(nNIA,DATOS!$A14307,nCURSO,DATOS!$D14307,nESPEC,DATOS!$E14307,nASIG,DATOS!$I14307,nEVAL,"EX")=0),0))))</f>
      </c>
      <c r="H14307">
        <f>IF(DATOS!$G14307&lt;&gt;"EX",0,--(COUNTIFS(nNIA,DATOS!$A14307,nCURSO,DATOS!$D14307,nESPEC,DATOS!$E14307,nASIG,DATOS!$I14307,nEVAL,"OR")=0))</f>
      </c>
      <c r="I14307">
        <f>IF(DATOS!$I14307="","",IFERROR(VLOOKUP(DATOS!$I14307,CONFIG_ASIGNATURAS!$B$2:$J$91,9,FALSE()),""))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IF(DATOS!$A14308="",0,IF(CONFIG_METADATA!$B$4&lt;&gt;"OR+EX",--(DATOS!$G14308=CONFIG_METADATA!$B$4),IF(DATOS!$G14308="EX",1,IF(DATOS!$G14308="OR",--(COUNTIFS(nNIA,DATOS!$A14308,nCURSO,DATOS!$D14308,nESPEC,DATOS!$E14308,nASIG,DATOS!$I14308,nEVAL,"EX")=0),0))))</f>
      </c>
      <c r="H14308">
        <f>IF(DATOS!$G14308&lt;&gt;"EX",0,--(COUNTIFS(nNIA,DATOS!$A14308,nCURSO,DATOS!$D14308,nESPEC,DATOS!$E14308,nASIG,DATOS!$I14308,nEVAL,"OR")=0))</f>
      </c>
      <c r="I14308">
        <f>IF(DATOS!$I14308="","",IFERROR(VLOOKUP(DATOS!$I14308,CONFIG_ASIGNATURAS!$B$2:$J$91,9,FALSE()),""))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IF(DATOS!$A14309="",0,IF(CONFIG_METADATA!$B$4&lt;&gt;"OR+EX",--(DATOS!$G14309=CONFIG_METADATA!$B$4),IF(DATOS!$G14309="EX",1,IF(DATOS!$G14309="OR",--(COUNTIFS(nNIA,DATOS!$A14309,nCURSO,DATOS!$D14309,nESPEC,DATOS!$E14309,nASIG,DATOS!$I14309,nEVAL,"EX")=0),0))))</f>
      </c>
      <c r="H14309">
        <f>IF(DATOS!$G14309&lt;&gt;"EX",0,--(COUNTIFS(nNIA,DATOS!$A14309,nCURSO,DATOS!$D14309,nESPEC,DATOS!$E14309,nASIG,DATOS!$I14309,nEVAL,"OR")=0))</f>
      </c>
      <c r="I14309">
        <f>IF(DATOS!$I14309="","",IFERROR(VLOOKUP(DATOS!$I14309,CONFIG_ASIGNATURAS!$B$2:$J$91,9,FALSE()),""))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IF(DATOS!$A14310="",0,IF(CONFIG_METADATA!$B$4&lt;&gt;"OR+EX",--(DATOS!$G14310=CONFIG_METADATA!$B$4),IF(DATOS!$G14310="EX",1,IF(DATOS!$G14310="OR",--(COUNTIFS(nNIA,DATOS!$A14310,nCURSO,DATOS!$D14310,nESPEC,DATOS!$E14310,nASIG,DATOS!$I14310,nEVAL,"EX")=0),0))))</f>
      </c>
      <c r="H14310">
        <f>IF(DATOS!$G14310&lt;&gt;"EX",0,--(COUNTIFS(nNIA,DATOS!$A14310,nCURSO,DATOS!$D14310,nESPEC,DATOS!$E14310,nASIG,DATOS!$I14310,nEVAL,"OR")=0))</f>
      </c>
      <c r="I14310">
        <f>IF(DATOS!$I14310="","",IFERROR(VLOOKUP(DATOS!$I14310,CONFIG_ASIGNATURAS!$B$2:$J$91,9,FALSE()),""))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IF(DATOS!$A14311="",0,IF(CONFIG_METADATA!$B$4&lt;&gt;"OR+EX",--(DATOS!$G14311=CONFIG_METADATA!$B$4),IF(DATOS!$G14311="EX",1,IF(DATOS!$G14311="OR",--(COUNTIFS(nNIA,DATOS!$A14311,nCURSO,DATOS!$D14311,nESPEC,DATOS!$E14311,nASIG,DATOS!$I14311,nEVAL,"EX")=0),0))))</f>
      </c>
      <c r="H14311">
        <f>IF(DATOS!$G14311&lt;&gt;"EX",0,--(COUNTIFS(nNIA,DATOS!$A14311,nCURSO,DATOS!$D14311,nESPEC,DATOS!$E14311,nASIG,DATOS!$I14311,nEVAL,"OR")=0))</f>
      </c>
      <c r="I14311">
        <f>IF(DATOS!$I14311="","",IFERROR(VLOOKUP(DATOS!$I14311,CONFIG_ASIGNATURAS!$B$2:$J$91,9,FALSE()),""))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IF(DATOS!$A14312="",0,IF(CONFIG_METADATA!$B$4&lt;&gt;"OR+EX",--(DATOS!$G14312=CONFIG_METADATA!$B$4),IF(DATOS!$G14312="EX",1,IF(DATOS!$G14312="OR",--(COUNTIFS(nNIA,DATOS!$A14312,nCURSO,DATOS!$D14312,nESPEC,DATOS!$E14312,nASIG,DATOS!$I14312,nEVAL,"EX")=0),0))))</f>
      </c>
      <c r="H14312">
        <f>IF(DATOS!$G14312&lt;&gt;"EX",0,--(COUNTIFS(nNIA,DATOS!$A14312,nCURSO,DATOS!$D14312,nESPEC,DATOS!$E14312,nASIG,DATOS!$I14312,nEVAL,"OR")=0))</f>
      </c>
      <c r="I14312">
        <f>IF(DATOS!$I14312="","",IFERROR(VLOOKUP(DATOS!$I14312,CONFIG_ASIGNATURAS!$B$2:$J$91,9,FALSE()),""))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IF(DATOS!$A14313="",0,IF(CONFIG_METADATA!$B$4&lt;&gt;"OR+EX",--(DATOS!$G14313=CONFIG_METADATA!$B$4),IF(DATOS!$G14313="EX",1,IF(DATOS!$G14313="OR",--(COUNTIFS(nNIA,DATOS!$A14313,nCURSO,DATOS!$D14313,nESPEC,DATOS!$E14313,nASIG,DATOS!$I14313,nEVAL,"EX")=0),0))))</f>
      </c>
      <c r="H14313">
        <f>IF(DATOS!$G14313&lt;&gt;"EX",0,--(COUNTIFS(nNIA,DATOS!$A14313,nCURSO,DATOS!$D14313,nESPEC,DATOS!$E14313,nASIG,DATOS!$I14313,nEVAL,"OR")=0))</f>
      </c>
      <c r="I14313">
        <f>IF(DATOS!$I14313="","",IFERROR(VLOOKUP(DATOS!$I14313,CONFIG_ASIGNATURAS!$B$2:$J$91,9,FALSE()),""))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IF(DATOS!$A14314="",0,IF(CONFIG_METADATA!$B$4&lt;&gt;"OR+EX",--(DATOS!$G14314=CONFIG_METADATA!$B$4),IF(DATOS!$G14314="EX",1,IF(DATOS!$G14314="OR",--(COUNTIFS(nNIA,DATOS!$A14314,nCURSO,DATOS!$D14314,nESPEC,DATOS!$E14314,nASIG,DATOS!$I14314,nEVAL,"EX")=0),0))))</f>
      </c>
      <c r="H14314">
        <f>IF(DATOS!$G14314&lt;&gt;"EX",0,--(COUNTIFS(nNIA,DATOS!$A14314,nCURSO,DATOS!$D14314,nESPEC,DATOS!$E14314,nASIG,DATOS!$I14314,nEVAL,"OR")=0))</f>
      </c>
      <c r="I14314">
        <f>IF(DATOS!$I14314="","",IFERROR(VLOOKUP(DATOS!$I14314,CONFIG_ASIGNATURAS!$B$2:$J$91,9,FALSE()),""))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IF(DATOS!$A14315="",0,IF(CONFIG_METADATA!$B$4&lt;&gt;"OR+EX",--(DATOS!$G14315=CONFIG_METADATA!$B$4),IF(DATOS!$G14315="EX",1,IF(DATOS!$G14315="OR",--(COUNTIFS(nNIA,DATOS!$A14315,nCURSO,DATOS!$D14315,nESPEC,DATOS!$E14315,nASIG,DATOS!$I14315,nEVAL,"EX")=0),0))))</f>
      </c>
      <c r="H14315">
        <f>IF(DATOS!$G14315&lt;&gt;"EX",0,--(COUNTIFS(nNIA,DATOS!$A14315,nCURSO,DATOS!$D14315,nESPEC,DATOS!$E14315,nASIG,DATOS!$I14315,nEVAL,"OR")=0))</f>
      </c>
      <c r="I14315">
        <f>IF(DATOS!$I14315="","",IFERROR(VLOOKUP(DATOS!$I14315,CONFIG_ASIGNATURAS!$B$2:$J$91,9,FALSE()),""))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IF(DATOS!$A14316="",0,IF(CONFIG_METADATA!$B$4&lt;&gt;"OR+EX",--(DATOS!$G14316=CONFIG_METADATA!$B$4),IF(DATOS!$G14316="EX",1,IF(DATOS!$G14316="OR",--(COUNTIFS(nNIA,DATOS!$A14316,nCURSO,DATOS!$D14316,nESPEC,DATOS!$E14316,nASIG,DATOS!$I14316,nEVAL,"EX")=0),0))))</f>
      </c>
      <c r="H14316">
        <f>IF(DATOS!$G14316&lt;&gt;"EX",0,--(COUNTIFS(nNIA,DATOS!$A14316,nCURSO,DATOS!$D14316,nESPEC,DATOS!$E14316,nASIG,DATOS!$I14316,nEVAL,"OR")=0))</f>
      </c>
      <c r="I14316">
        <f>IF(DATOS!$I14316="","",IFERROR(VLOOKUP(DATOS!$I14316,CONFIG_ASIGNATURAS!$B$2:$J$91,9,FALSE()),""))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IF(DATOS!$A14317="",0,IF(CONFIG_METADATA!$B$4&lt;&gt;"OR+EX",--(DATOS!$G14317=CONFIG_METADATA!$B$4),IF(DATOS!$G14317="EX",1,IF(DATOS!$G14317="OR",--(COUNTIFS(nNIA,DATOS!$A14317,nCURSO,DATOS!$D14317,nESPEC,DATOS!$E14317,nASIG,DATOS!$I14317,nEVAL,"EX")=0),0))))</f>
      </c>
      <c r="H14317">
        <f>IF(DATOS!$G14317&lt;&gt;"EX",0,--(COUNTIFS(nNIA,DATOS!$A14317,nCURSO,DATOS!$D14317,nESPEC,DATOS!$E14317,nASIG,DATOS!$I14317,nEVAL,"OR")=0))</f>
      </c>
      <c r="I14317">
        <f>IF(DATOS!$I14317="","",IFERROR(VLOOKUP(DATOS!$I14317,CONFIG_ASIGNATURAS!$B$2:$J$91,9,FALSE()),""))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IF(DATOS!$A14318="",0,IF(CONFIG_METADATA!$B$4&lt;&gt;"OR+EX",--(DATOS!$G14318=CONFIG_METADATA!$B$4),IF(DATOS!$G14318="EX",1,IF(DATOS!$G14318="OR",--(COUNTIFS(nNIA,DATOS!$A14318,nCURSO,DATOS!$D14318,nESPEC,DATOS!$E14318,nASIG,DATOS!$I14318,nEVAL,"EX")=0),0))))</f>
      </c>
      <c r="H14318">
        <f>IF(DATOS!$G14318&lt;&gt;"EX",0,--(COUNTIFS(nNIA,DATOS!$A14318,nCURSO,DATOS!$D14318,nESPEC,DATOS!$E14318,nASIG,DATOS!$I14318,nEVAL,"OR")=0))</f>
      </c>
      <c r="I14318">
        <f>IF(DATOS!$I14318="","",IFERROR(VLOOKUP(DATOS!$I14318,CONFIG_ASIGNATURAS!$B$2:$J$91,9,FALSE()),""))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IF(DATOS!$A14319="",0,IF(CONFIG_METADATA!$B$4&lt;&gt;"OR+EX",--(DATOS!$G14319=CONFIG_METADATA!$B$4),IF(DATOS!$G14319="EX",1,IF(DATOS!$G14319="OR",--(COUNTIFS(nNIA,DATOS!$A14319,nCURSO,DATOS!$D14319,nESPEC,DATOS!$E14319,nASIG,DATOS!$I14319,nEVAL,"EX")=0),0))))</f>
      </c>
      <c r="H14319">
        <f>IF(DATOS!$G14319&lt;&gt;"EX",0,--(COUNTIFS(nNIA,DATOS!$A14319,nCURSO,DATOS!$D14319,nESPEC,DATOS!$E14319,nASIG,DATOS!$I14319,nEVAL,"OR")=0))</f>
      </c>
      <c r="I14319">
        <f>IF(DATOS!$I14319="","",IFERROR(VLOOKUP(DATOS!$I14319,CONFIG_ASIGNATURAS!$B$2:$J$91,9,FALSE()),""))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IF(DATOS!$A14320="",0,IF(CONFIG_METADATA!$B$4&lt;&gt;"OR+EX",--(DATOS!$G14320=CONFIG_METADATA!$B$4),IF(DATOS!$G14320="EX",1,IF(DATOS!$G14320="OR",--(COUNTIFS(nNIA,DATOS!$A14320,nCURSO,DATOS!$D14320,nESPEC,DATOS!$E14320,nASIG,DATOS!$I14320,nEVAL,"EX")=0),0))))</f>
      </c>
      <c r="H14320">
        <f>IF(DATOS!$G14320&lt;&gt;"EX",0,--(COUNTIFS(nNIA,DATOS!$A14320,nCURSO,DATOS!$D14320,nESPEC,DATOS!$E14320,nASIG,DATOS!$I14320,nEVAL,"OR")=0))</f>
      </c>
      <c r="I14320">
        <f>IF(DATOS!$I14320="","",IFERROR(VLOOKUP(DATOS!$I14320,CONFIG_ASIGNATURAS!$B$2:$J$91,9,FALSE()),""))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IF(DATOS!$A14321="",0,IF(CONFIG_METADATA!$B$4&lt;&gt;"OR+EX",--(DATOS!$G14321=CONFIG_METADATA!$B$4),IF(DATOS!$G14321="EX",1,IF(DATOS!$G14321="OR",--(COUNTIFS(nNIA,DATOS!$A14321,nCURSO,DATOS!$D14321,nESPEC,DATOS!$E14321,nASIG,DATOS!$I14321,nEVAL,"EX")=0),0))))</f>
      </c>
      <c r="H14321">
        <f>IF(DATOS!$G14321&lt;&gt;"EX",0,--(COUNTIFS(nNIA,DATOS!$A14321,nCURSO,DATOS!$D14321,nESPEC,DATOS!$E14321,nASIG,DATOS!$I14321,nEVAL,"OR")=0))</f>
      </c>
      <c r="I14321">
        <f>IF(DATOS!$I14321="","",IFERROR(VLOOKUP(DATOS!$I14321,CONFIG_ASIGNATURAS!$B$2:$J$91,9,FALSE()),""))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IF(DATOS!$A14322="",0,IF(CONFIG_METADATA!$B$4&lt;&gt;"OR+EX",--(DATOS!$G14322=CONFIG_METADATA!$B$4),IF(DATOS!$G14322="EX",1,IF(DATOS!$G14322="OR",--(COUNTIFS(nNIA,DATOS!$A14322,nCURSO,DATOS!$D14322,nESPEC,DATOS!$E14322,nASIG,DATOS!$I14322,nEVAL,"EX")=0),0))))</f>
      </c>
      <c r="H14322">
        <f>IF(DATOS!$G14322&lt;&gt;"EX",0,--(COUNTIFS(nNIA,DATOS!$A14322,nCURSO,DATOS!$D14322,nESPEC,DATOS!$E14322,nASIG,DATOS!$I14322,nEVAL,"OR")=0))</f>
      </c>
      <c r="I14322">
        <f>IF(DATOS!$I14322="","",IFERROR(VLOOKUP(DATOS!$I14322,CONFIG_ASIGNATURAS!$B$2:$J$91,9,FALSE()),""))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IF(DATOS!$A14323="",0,IF(CONFIG_METADATA!$B$4&lt;&gt;"OR+EX",--(DATOS!$G14323=CONFIG_METADATA!$B$4),IF(DATOS!$G14323="EX",1,IF(DATOS!$G14323="OR",--(COUNTIFS(nNIA,DATOS!$A14323,nCURSO,DATOS!$D14323,nESPEC,DATOS!$E14323,nASIG,DATOS!$I14323,nEVAL,"EX")=0),0))))</f>
      </c>
      <c r="H14323">
        <f>IF(DATOS!$G14323&lt;&gt;"EX",0,--(COUNTIFS(nNIA,DATOS!$A14323,nCURSO,DATOS!$D14323,nESPEC,DATOS!$E14323,nASIG,DATOS!$I14323,nEVAL,"OR")=0))</f>
      </c>
      <c r="I14323">
        <f>IF(DATOS!$I14323="","",IFERROR(VLOOKUP(DATOS!$I14323,CONFIG_ASIGNATURAS!$B$2:$J$91,9,FALSE()),""))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IF(DATOS!$A14324="",0,IF(CONFIG_METADATA!$B$4&lt;&gt;"OR+EX",--(DATOS!$G14324=CONFIG_METADATA!$B$4),IF(DATOS!$G14324="EX",1,IF(DATOS!$G14324="OR",--(COUNTIFS(nNIA,DATOS!$A14324,nCURSO,DATOS!$D14324,nESPEC,DATOS!$E14324,nASIG,DATOS!$I14324,nEVAL,"EX")=0),0))))</f>
      </c>
      <c r="H14324">
        <f>IF(DATOS!$G14324&lt;&gt;"EX",0,--(COUNTIFS(nNIA,DATOS!$A14324,nCURSO,DATOS!$D14324,nESPEC,DATOS!$E14324,nASIG,DATOS!$I14324,nEVAL,"OR")=0))</f>
      </c>
      <c r="I14324">
        <f>IF(DATOS!$I14324="","",IFERROR(VLOOKUP(DATOS!$I14324,CONFIG_ASIGNATURAS!$B$2:$J$91,9,FALSE()),""))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IF(DATOS!$A14325="",0,IF(CONFIG_METADATA!$B$4&lt;&gt;"OR+EX",--(DATOS!$G14325=CONFIG_METADATA!$B$4),IF(DATOS!$G14325="EX",1,IF(DATOS!$G14325="OR",--(COUNTIFS(nNIA,DATOS!$A14325,nCURSO,DATOS!$D14325,nESPEC,DATOS!$E14325,nASIG,DATOS!$I14325,nEVAL,"EX")=0),0))))</f>
      </c>
      <c r="H14325">
        <f>IF(DATOS!$G14325&lt;&gt;"EX",0,--(COUNTIFS(nNIA,DATOS!$A14325,nCURSO,DATOS!$D14325,nESPEC,DATOS!$E14325,nASIG,DATOS!$I14325,nEVAL,"OR")=0))</f>
      </c>
      <c r="I14325">
        <f>IF(DATOS!$I14325="","",IFERROR(VLOOKUP(DATOS!$I14325,CONFIG_ASIGNATURAS!$B$2:$J$91,9,FALSE()),""))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IF(DATOS!$A14326="",0,IF(CONFIG_METADATA!$B$4&lt;&gt;"OR+EX",--(DATOS!$G14326=CONFIG_METADATA!$B$4),IF(DATOS!$G14326="EX",1,IF(DATOS!$G14326="OR",--(COUNTIFS(nNIA,DATOS!$A14326,nCURSO,DATOS!$D14326,nESPEC,DATOS!$E14326,nASIG,DATOS!$I14326,nEVAL,"EX")=0),0))))</f>
      </c>
      <c r="H14326">
        <f>IF(DATOS!$G14326&lt;&gt;"EX",0,--(COUNTIFS(nNIA,DATOS!$A14326,nCURSO,DATOS!$D14326,nESPEC,DATOS!$E14326,nASIG,DATOS!$I14326,nEVAL,"OR")=0))</f>
      </c>
      <c r="I14326">
        <f>IF(DATOS!$I14326="","",IFERROR(VLOOKUP(DATOS!$I14326,CONFIG_ASIGNATURAS!$B$2:$J$91,9,FALSE()),""))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IF(DATOS!$A14327="",0,IF(CONFIG_METADATA!$B$4&lt;&gt;"OR+EX",--(DATOS!$G14327=CONFIG_METADATA!$B$4),IF(DATOS!$G14327="EX",1,IF(DATOS!$G14327="OR",--(COUNTIFS(nNIA,DATOS!$A14327,nCURSO,DATOS!$D14327,nESPEC,DATOS!$E14327,nASIG,DATOS!$I14327,nEVAL,"EX")=0),0))))</f>
      </c>
      <c r="H14327">
        <f>IF(DATOS!$G14327&lt;&gt;"EX",0,--(COUNTIFS(nNIA,DATOS!$A14327,nCURSO,DATOS!$D14327,nESPEC,DATOS!$E14327,nASIG,DATOS!$I14327,nEVAL,"OR")=0))</f>
      </c>
      <c r="I14327">
        <f>IF(DATOS!$I14327="","",IFERROR(VLOOKUP(DATOS!$I14327,CONFIG_ASIGNATURAS!$B$2:$J$91,9,FALSE()),""))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IF(DATOS!$A14328="",0,IF(CONFIG_METADATA!$B$4&lt;&gt;"OR+EX",--(DATOS!$G14328=CONFIG_METADATA!$B$4),IF(DATOS!$G14328="EX",1,IF(DATOS!$G14328="OR",--(COUNTIFS(nNIA,DATOS!$A14328,nCURSO,DATOS!$D14328,nESPEC,DATOS!$E14328,nASIG,DATOS!$I14328,nEVAL,"EX")=0),0))))</f>
      </c>
      <c r="H14328">
        <f>IF(DATOS!$G14328&lt;&gt;"EX",0,--(COUNTIFS(nNIA,DATOS!$A14328,nCURSO,DATOS!$D14328,nESPEC,DATOS!$E14328,nASIG,DATOS!$I14328,nEVAL,"OR")=0))</f>
      </c>
      <c r="I14328">
        <f>IF(DATOS!$I14328="","",IFERROR(VLOOKUP(DATOS!$I14328,CONFIG_ASIGNATURAS!$B$2:$J$91,9,FALSE()),""))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IF(DATOS!$A14329="",0,IF(CONFIG_METADATA!$B$4&lt;&gt;"OR+EX",--(DATOS!$G14329=CONFIG_METADATA!$B$4),IF(DATOS!$G14329="EX",1,IF(DATOS!$G14329="OR",--(COUNTIFS(nNIA,DATOS!$A14329,nCURSO,DATOS!$D14329,nESPEC,DATOS!$E14329,nASIG,DATOS!$I14329,nEVAL,"EX")=0),0))))</f>
      </c>
      <c r="H14329">
        <f>IF(DATOS!$G14329&lt;&gt;"EX",0,--(COUNTIFS(nNIA,DATOS!$A14329,nCURSO,DATOS!$D14329,nESPEC,DATOS!$E14329,nASIG,DATOS!$I14329,nEVAL,"OR")=0))</f>
      </c>
      <c r="I14329">
        <f>IF(DATOS!$I14329="","",IFERROR(VLOOKUP(DATOS!$I14329,CONFIG_ASIGNATURAS!$B$2:$J$91,9,FALSE()),""))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IF(DATOS!$A14330="",0,IF(CONFIG_METADATA!$B$4&lt;&gt;"OR+EX",--(DATOS!$G14330=CONFIG_METADATA!$B$4),IF(DATOS!$G14330="EX",1,IF(DATOS!$G14330="OR",--(COUNTIFS(nNIA,DATOS!$A14330,nCURSO,DATOS!$D14330,nESPEC,DATOS!$E14330,nASIG,DATOS!$I14330,nEVAL,"EX")=0),0))))</f>
      </c>
      <c r="H14330">
        <f>IF(DATOS!$G14330&lt;&gt;"EX",0,--(COUNTIFS(nNIA,DATOS!$A14330,nCURSO,DATOS!$D14330,nESPEC,DATOS!$E14330,nASIG,DATOS!$I14330,nEVAL,"OR")=0))</f>
      </c>
      <c r="I14330">
        <f>IF(DATOS!$I14330="","",IFERROR(VLOOKUP(DATOS!$I14330,CONFIG_ASIGNATURAS!$B$2:$J$91,9,FALSE()),""))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IF(DATOS!$A14331="",0,IF(CONFIG_METADATA!$B$4&lt;&gt;"OR+EX",--(DATOS!$G14331=CONFIG_METADATA!$B$4),IF(DATOS!$G14331="EX",1,IF(DATOS!$G14331="OR",--(COUNTIFS(nNIA,DATOS!$A14331,nCURSO,DATOS!$D14331,nESPEC,DATOS!$E14331,nASIG,DATOS!$I14331,nEVAL,"EX")=0),0))))</f>
      </c>
      <c r="H14331">
        <f>IF(DATOS!$G14331&lt;&gt;"EX",0,--(COUNTIFS(nNIA,DATOS!$A14331,nCURSO,DATOS!$D14331,nESPEC,DATOS!$E14331,nASIG,DATOS!$I14331,nEVAL,"OR")=0))</f>
      </c>
      <c r="I14331">
        <f>IF(DATOS!$I14331="","",IFERROR(VLOOKUP(DATOS!$I14331,CONFIG_ASIGNATURAS!$B$2:$J$91,9,FALSE()),""))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IF(DATOS!$A14332="",0,IF(CONFIG_METADATA!$B$4&lt;&gt;"OR+EX",--(DATOS!$G14332=CONFIG_METADATA!$B$4),IF(DATOS!$G14332="EX",1,IF(DATOS!$G14332="OR",--(COUNTIFS(nNIA,DATOS!$A14332,nCURSO,DATOS!$D14332,nESPEC,DATOS!$E14332,nASIG,DATOS!$I14332,nEVAL,"EX")=0),0))))</f>
      </c>
      <c r="H14332">
        <f>IF(DATOS!$G14332&lt;&gt;"EX",0,--(COUNTIFS(nNIA,DATOS!$A14332,nCURSO,DATOS!$D14332,nESPEC,DATOS!$E14332,nASIG,DATOS!$I14332,nEVAL,"OR")=0))</f>
      </c>
      <c r="I14332">
        <f>IF(DATOS!$I14332="","",IFERROR(VLOOKUP(DATOS!$I14332,CONFIG_ASIGNATURAS!$B$2:$J$91,9,FALSE()),""))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IF(DATOS!$A14333="",0,IF(CONFIG_METADATA!$B$4&lt;&gt;"OR+EX",--(DATOS!$G14333=CONFIG_METADATA!$B$4),IF(DATOS!$G14333="EX",1,IF(DATOS!$G14333="OR",--(COUNTIFS(nNIA,DATOS!$A14333,nCURSO,DATOS!$D14333,nESPEC,DATOS!$E14333,nASIG,DATOS!$I14333,nEVAL,"EX")=0),0))))</f>
      </c>
      <c r="H14333">
        <f>IF(DATOS!$G14333&lt;&gt;"EX",0,--(COUNTIFS(nNIA,DATOS!$A14333,nCURSO,DATOS!$D14333,nESPEC,DATOS!$E14333,nASIG,DATOS!$I14333,nEVAL,"OR")=0))</f>
      </c>
      <c r="I14333">
        <f>IF(DATOS!$I14333="","",IFERROR(VLOOKUP(DATOS!$I14333,CONFIG_ASIGNATURAS!$B$2:$J$91,9,FALSE()),""))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IF(DATOS!$A14334="",0,IF(CONFIG_METADATA!$B$4&lt;&gt;"OR+EX",--(DATOS!$G14334=CONFIG_METADATA!$B$4),IF(DATOS!$G14334="EX",1,IF(DATOS!$G14334="OR",--(COUNTIFS(nNIA,DATOS!$A14334,nCURSO,DATOS!$D14334,nESPEC,DATOS!$E14334,nASIG,DATOS!$I14334,nEVAL,"EX")=0),0))))</f>
      </c>
      <c r="H14334">
        <f>IF(DATOS!$G14334&lt;&gt;"EX",0,--(COUNTIFS(nNIA,DATOS!$A14334,nCURSO,DATOS!$D14334,nESPEC,DATOS!$E14334,nASIG,DATOS!$I14334,nEVAL,"OR")=0))</f>
      </c>
      <c r="I14334">
        <f>IF(DATOS!$I14334="","",IFERROR(VLOOKUP(DATOS!$I14334,CONFIG_ASIGNATURAS!$B$2:$J$91,9,FALSE()),""))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IF(DATOS!$A14335="",0,IF(CONFIG_METADATA!$B$4&lt;&gt;"OR+EX",--(DATOS!$G14335=CONFIG_METADATA!$B$4),IF(DATOS!$G14335="EX",1,IF(DATOS!$G14335="OR",--(COUNTIFS(nNIA,DATOS!$A14335,nCURSO,DATOS!$D14335,nESPEC,DATOS!$E14335,nASIG,DATOS!$I14335,nEVAL,"EX")=0),0))))</f>
      </c>
      <c r="H14335">
        <f>IF(DATOS!$G14335&lt;&gt;"EX",0,--(COUNTIFS(nNIA,DATOS!$A14335,nCURSO,DATOS!$D14335,nESPEC,DATOS!$E14335,nASIG,DATOS!$I14335,nEVAL,"OR")=0))</f>
      </c>
      <c r="I14335">
        <f>IF(DATOS!$I14335="","",IFERROR(VLOOKUP(DATOS!$I14335,CONFIG_ASIGNATURAS!$B$2:$J$91,9,FALSE()),""))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IF(DATOS!$A14336="",0,IF(CONFIG_METADATA!$B$4&lt;&gt;"OR+EX",--(DATOS!$G14336=CONFIG_METADATA!$B$4),IF(DATOS!$G14336="EX",1,IF(DATOS!$G14336="OR",--(COUNTIFS(nNIA,DATOS!$A14336,nCURSO,DATOS!$D14336,nESPEC,DATOS!$E14336,nASIG,DATOS!$I14336,nEVAL,"EX")=0),0))))</f>
      </c>
      <c r="H14336">
        <f>IF(DATOS!$G14336&lt;&gt;"EX",0,--(COUNTIFS(nNIA,DATOS!$A14336,nCURSO,DATOS!$D14336,nESPEC,DATOS!$E14336,nASIG,DATOS!$I14336,nEVAL,"OR")=0))</f>
      </c>
      <c r="I14336">
        <f>IF(DATOS!$I14336="","",IFERROR(VLOOKUP(DATOS!$I14336,CONFIG_ASIGNATURAS!$B$2:$J$91,9,FALSE()),""))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IF(DATOS!$A14337="",0,IF(CONFIG_METADATA!$B$4&lt;&gt;"OR+EX",--(DATOS!$G14337=CONFIG_METADATA!$B$4),IF(DATOS!$G14337="EX",1,IF(DATOS!$G14337="OR",--(COUNTIFS(nNIA,DATOS!$A14337,nCURSO,DATOS!$D14337,nESPEC,DATOS!$E14337,nASIG,DATOS!$I14337,nEVAL,"EX")=0),0))))</f>
      </c>
      <c r="H14337">
        <f>IF(DATOS!$G14337&lt;&gt;"EX",0,--(COUNTIFS(nNIA,DATOS!$A14337,nCURSO,DATOS!$D14337,nESPEC,DATOS!$E14337,nASIG,DATOS!$I14337,nEVAL,"OR")=0))</f>
      </c>
      <c r="I14337">
        <f>IF(DATOS!$I14337="","",IFERROR(VLOOKUP(DATOS!$I14337,CONFIG_ASIGNATURAS!$B$2:$J$91,9,FALSE()),""))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IF(DATOS!$A14338="",0,IF(CONFIG_METADATA!$B$4&lt;&gt;"OR+EX",--(DATOS!$G14338=CONFIG_METADATA!$B$4),IF(DATOS!$G14338="EX",1,IF(DATOS!$G14338="OR",--(COUNTIFS(nNIA,DATOS!$A14338,nCURSO,DATOS!$D14338,nESPEC,DATOS!$E14338,nASIG,DATOS!$I14338,nEVAL,"EX")=0),0))))</f>
      </c>
      <c r="H14338">
        <f>IF(DATOS!$G14338&lt;&gt;"EX",0,--(COUNTIFS(nNIA,DATOS!$A14338,nCURSO,DATOS!$D14338,nESPEC,DATOS!$E14338,nASIG,DATOS!$I14338,nEVAL,"OR")=0))</f>
      </c>
      <c r="I14338">
        <f>IF(DATOS!$I14338="","",IFERROR(VLOOKUP(DATOS!$I14338,CONFIG_ASIGNATURAS!$B$2:$J$91,9,FALSE()),""))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IF(DATOS!$A14339="",0,IF(CONFIG_METADATA!$B$4&lt;&gt;"OR+EX",--(DATOS!$G14339=CONFIG_METADATA!$B$4),IF(DATOS!$G14339="EX",1,IF(DATOS!$G14339="OR",--(COUNTIFS(nNIA,DATOS!$A14339,nCURSO,DATOS!$D14339,nESPEC,DATOS!$E14339,nASIG,DATOS!$I14339,nEVAL,"EX")=0),0))))</f>
      </c>
      <c r="H14339">
        <f>IF(DATOS!$G14339&lt;&gt;"EX",0,--(COUNTIFS(nNIA,DATOS!$A14339,nCURSO,DATOS!$D14339,nESPEC,DATOS!$E14339,nASIG,DATOS!$I14339,nEVAL,"OR")=0))</f>
      </c>
      <c r="I14339">
        <f>IF(DATOS!$I14339="","",IFERROR(VLOOKUP(DATOS!$I14339,CONFIG_ASIGNATURAS!$B$2:$J$91,9,FALSE()),""))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IF(DATOS!$A14340="",0,IF(CONFIG_METADATA!$B$4&lt;&gt;"OR+EX",--(DATOS!$G14340=CONFIG_METADATA!$B$4),IF(DATOS!$G14340="EX",1,IF(DATOS!$G14340="OR",--(COUNTIFS(nNIA,DATOS!$A14340,nCURSO,DATOS!$D14340,nESPEC,DATOS!$E14340,nASIG,DATOS!$I14340,nEVAL,"EX")=0),0))))</f>
      </c>
      <c r="H14340">
        <f>IF(DATOS!$G14340&lt;&gt;"EX",0,--(COUNTIFS(nNIA,DATOS!$A14340,nCURSO,DATOS!$D14340,nESPEC,DATOS!$E14340,nASIG,DATOS!$I14340,nEVAL,"OR")=0))</f>
      </c>
      <c r="I14340">
        <f>IF(DATOS!$I14340="","",IFERROR(VLOOKUP(DATOS!$I14340,CONFIG_ASIGNATURAS!$B$2:$J$91,9,FALSE()),""))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IF(DATOS!$A14341="",0,IF(CONFIG_METADATA!$B$4&lt;&gt;"OR+EX",--(DATOS!$G14341=CONFIG_METADATA!$B$4),IF(DATOS!$G14341="EX",1,IF(DATOS!$G14341="OR",--(COUNTIFS(nNIA,DATOS!$A14341,nCURSO,DATOS!$D14341,nESPEC,DATOS!$E14341,nASIG,DATOS!$I14341,nEVAL,"EX")=0),0))))</f>
      </c>
      <c r="H14341">
        <f>IF(DATOS!$G14341&lt;&gt;"EX",0,--(COUNTIFS(nNIA,DATOS!$A14341,nCURSO,DATOS!$D14341,nESPEC,DATOS!$E14341,nASIG,DATOS!$I14341,nEVAL,"OR")=0))</f>
      </c>
      <c r="I14341">
        <f>IF(DATOS!$I14341="","",IFERROR(VLOOKUP(DATOS!$I14341,CONFIG_ASIGNATURAS!$B$2:$J$91,9,FALSE()),""))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IF(DATOS!$A14342="",0,IF(CONFIG_METADATA!$B$4&lt;&gt;"OR+EX",--(DATOS!$G14342=CONFIG_METADATA!$B$4),IF(DATOS!$G14342="EX",1,IF(DATOS!$G14342="OR",--(COUNTIFS(nNIA,DATOS!$A14342,nCURSO,DATOS!$D14342,nESPEC,DATOS!$E14342,nASIG,DATOS!$I14342,nEVAL,"EX")=0),0))))</f>
      </c>
      <c r="H14342">
        <f>IF(DATOS!$G14342&lt;&gt;"EX",0,--(COUNTIFS(nNIA,DATOS!$A14342,nCURSO,DATOS!$D14342,nESPEC,DATOS!$E14342,nASIG,DATOS!$I14342,nEVAL,"OR")=0))</f>
      </c>
      <c r="I14342">
        <f>IF(DATOS!$I14342="","",IFERROR(VLOOKUP(DATOS!$I14342,CONFIG_ASIGNATURAS!$B$2:$J$91,9,FALSE()),""))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IF(DATOS!$A14343="",0,IF(CONFIG_METADATA!$B$4&lt;&gt;"OR+EX",--(DATOS!$G14343=CONFIG_METADATA!$B$4),IF(DATOS!$G14343="EX",1,IF(DATOS!$G14343="OR",--(COUNTIFS(nNIA,DATOS!$A14343,nCURSO,DATOS!$D14343,nESPEC,DATOS!$E14343,nASIG,DATOS!$I14343,nEVAL,"EX")=0),0))))</f>
      </c>
      <c r="H14343">
        <f>IF(DATOS!$G14343&lt;&gt;"EX",0,--(COUNTIFS(nNIA,DATOS!$A14343,nCURSO,DATOS!$D14343,nESPEC,DATOS!$E14343,nASIG,DATOS!$I14343,nEVAL,"OR")=0))</f>
      </c>
      <c r="I14343">
        <f>IF(DATOS!$I14343="","",IFERROR(VLOOKUP(DATOS!$I14343,CONFIG_ASIGNATURAS!$B$2:$J$91,9,FALSE()),""))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IF(DATOS!$A14344="",0,IF(CONFIG_METADATA!$B$4&lt;&gt;"OR+EX",--(DATOS!$G14344=CONFIG_METADATA!$B$4),IF(DATOS!$G14344="EX",1,IF(DATOS!$G14344="OR",--(COUNTIFS(nNIA,DATOS!$A14344,nCURSO,DATOS!$D14344,nESPEC,DATOS!$E14344,nASIG,DATOS!$I14344,nEVAL,"EX")=0),0))))</f>
      </c>
      <c r="H14344">
        <f>IF(DATOS!$G14344&lt;&gt;"EX",0,--(COUNTIFS(nNIA,DATOS!$A14344,nCURSO,DATOS!$D14344,nESPEC,DATOS!$E14344,nASIG,DATOS!$I14344,nEVAL,"OR")=0))</f>
      </c>
      <c r="I14344">
        <f>IF(DATOS!$I14344="","",IFERROR(VLOOKUP(DATOS!$I14344,CONFIG_ASIGNATURAS!$B$2:$J$91,9,FALSE()),""))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IF(DATOS!$A14345="",0,IF(CONFIG_METADATA!$B$4&lt;&gt;"OR+EX",--(DATOS!$G14345=CONFIG_METADATA!$B$4),IF(DATOS!$G14345="EX",1,IF(DATOS!$G14345="OR",--(COUNTIFS(nNIA,DATOS!$A14345,nCURSO,DATOS!$D14345,nESPEC,DATOS!$E14345,nASIG,DATOS!$I14345,nEVAL,"EX")=0),0))))</f>
      </c>
      <c r="H14345">
        <f>IF(DATOS!$G14345&lt;&gt;"EX",0,--(COUNTIFS(nNIA,DATOS!$A14345,nCURSO,DATOS!$D14345,nESPEC,DATOS!$E14345,nASIG,DATOS!$I14345,nEVAL,"OR")=0))</f>
      </c>
      <c r="I14345">
        <f>IF(DATOS!$I14345="","",IFERROR(VLOOKUP(DATOS!$I14345,CONFIG_ASIGNATURAS!$B$2:$J$91,9,FALSE()),""))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IF(DATOS!$A14346="",0,IF(CONFIG_METADATA!$B$4&lt;&gt;"OR+EX",--(DATOS!$G14346=CONFIG_METADATA!$B$4),IF(DATOS!$G14346="EX",1,IF(DATOS!$G14346="OR",--(COUNTIFS(nNIA,DATOS!$A14346,nCURSO,DATOS!$D14346,nESPEC,DATOS!$E14346,nASIG,DATOS!$I14346,nEVAL,"EX")=0),0))))</f>
      </c>
      <c r="H14346">
        <f>IF(DATOS!$G14346&lt;&gt;"EX",0,--(COUNTIFS(nNIA,DATOS!$A14346,nCURSO,DATOS!$D14346,nESPEC,DATOS!$E14346,nASIG,DATOS!$I14346,nEVAL,"OR")=0))</f>
      </c>
      <c r="I14346">
        <f>IF(DATOS!$I14346="","",IFERROR(VLOOKUP(DATOS!$I14346,CONFIG_ASIGNATURAS!$B$2:$J$91,9,FALSE()),""))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IF(DATOS!$A14347="",0,IF(CONFIG_METADATA!$B$4&lt;&gt;"OR+EX",--(DATOS!$G14347=CONFIG_METADATA!$B$4),IF(DATOS!$G14347="EX",1,IF(DATOS!$G14347="OR",--(COUNTIFS(nNIA,DATOS!$A14347,nCURSO,DATOS!$D14347,nESPEC,DATOS!$E14347,nASIG,DATOS!$I14347,nEVAL,"EX")=0),0))))</f>
      </c>
      <c r="H14347">
        <f>IF(DATOS!$G14347&lt;&gt;"EX",0,--(COUNTIFS(nNIA,DATOS!$A14347,nCURSO,DATOS!$D14347,nESPEC,DATOS!$E14347,nASIG,DATOS!$I14347,nEVAL,"OR")=0))</f>
      </c>
      <c r="I14347">
        <f>IF(DATOS!$I14347="","",IFERROR(VLOOKUP(DATOS!$I14347,CONFIG_ASIGNATURAS!$B$2:$J$91,9,FALSE()),""))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IF(DATOS!$A14348="",0,IF(CONFIG_METADATA!$B$4&lt;&gt;"OR+EX",--(DATOS!$G14348=CONFIG_METADATA!$B$4),IF(DATOS!$G14348="EX",1,IF(DATOS!$G14348="OR",--(COUNTIFS(nNIA,DATOS!$A14348,nCURSO,DATOS!$D14348,nESPEC,DATOS!$E14348,nASIG,DATOS!$I14348,nEVAL,"EX")=0),0))))</f>
      </c>
      <c r="H14348">
        <f>IF(DATOS!$G14348&lt;&gt;"EX",0,--(COUNTIFS(nNIA,DATOS!$A14348,nCURSO,DATOS!$D14348,nESPEC,DATOS!$E14348,nASIG,DATOS!$I14348,nEVAL,"OR")=0))</f>
      </c>
      <c r="I14348">
        <f>IF(DATOS!$I14348="","",IFERROR(VLOOKUP(DATOS!$I14348,CONFIG_ASIGNATURAS!$B$2:$J$91,9,FALSE()),""))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IF(DATOS!$A14349="",0,IF(CONFIG_METADATA!$B$4&lt;&gt;"OR+EX",--(DATOS!$G14349=CONFIG_METADATA!$B$4),IF(DATOS!$G14349="EX",1,IF(DATOS!$G14349="OR",--(COUNTIFS(nNIA,DATOS!$A14349,nCURSO,DATOS!$D14349,nESPEC,DATOS!$E14349,nASIG,DATOS!$I14349,nEVAL,"EX")=0),0))))</f>
      </c>
      <c r="H14349">
        <f>IF(DATOS!$G14349&lt;&gt;"EX",0,--(COUNTIFS(nNIA,DATOS!$A14349,nCURSO,DATOS!$D14349,nESPEC,DATOS!$E14349,nASIG,DATOS!$I14349,nEVAL,"OR")=0))</f>
      </c>
      <c r="I14349">
        <f>IF(DATOS!$I14349="","",IFERROR(VLOOKUP(DATOS!$I14349,CONFIG_ASIGNATURAS!$B$2:$J$91,9,FALSE()),""))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IF(DATOS!$A14350="",0,IF(CONFIG_METADATA!$B$4&lt;&gt;"OR+EX",--(DATOS!$G14350=CONFIG_METADATA!$B$4),IF(DATOS!$G14350="EX",1,IF(DATOS!$G14350="OR",--(COUNTIFS(nNIA,DATOS!$A14350,nCURSO,DATOS!$D14350,nESPEC,DATOS!$E14350,nASIG,DATOS!$I14350,nEVAL,"EX")=0),0))))</f>
      </c>
      <c r="H14350">
        <f>IF(DATOS!$G14350&lt;&gt;"EX",0,--(COUNTIFS(nNIA,DATOS!$A14350,nCURSO,DATOS!$D14350,nESPEC,DATOS!$E14350,nASIG,DATOS!$I14350,nEVAL,"OR")=0))</f>
      </c>
      <c r="I14350">
        <f>IF(DATOS!$I14350="","",IFERROR(VLOOKUP(DATOS!$I14350,CONFIG_ASIGNATURAS!$B$2:$J$91,9,FALSE()),""))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IF(DATOS!$A14351="",0,IF(CONFIG_METADATA!$B$4&lt;&gt;"OR+EX",--(DATOS!$G14351=CONFIG_METADATA!$B$4),IF(DATOS!$G14351="EX",1,IF(DATOS!$G14351="OR",--(COUNTIFS(nNIA,DATOS!$A14351,nCURSO,DATOS!$D14351,nESPEC,DATOS!$E14351,nASIG,DATOS!$I14351,nEVAL,"EX")=0),0))))</f>
      </c>
      <c r="H14351">
        <f>IF(DATOS!$G14351&lt;&gt;"EX",0,--(COUNTIFS(nNIA,DATOS!$A14351,nCURSO,DATOS!$D14351,nESPEC,DATOS!$E14351,nASIG,DATOS!$I14351,nEVAL,"OR")=0))</f>
      </c>
      <c r="I14351">
        <f>IF(DATOS!$I14351="","",IFERROR(VLOOKUP(DATOS!$I14351,CONFIG_ASIGNATURAS!$B$2:$J$91,9,FALSE()),""))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IF(DATOS!$A14352="",0,IF(CONFIG_METADATA!$B$4&lt;&gt;"OR+EX",--(DATOS!$G14352=CONFIG_METADATA!$B$4),IF(DATOS!$G14352="EX",1,IF(DATOS!$G14352="OR",--(COUNTIFS(nNIA,DATOS!$A14352,nCURSO,DATOS!$D14352,nESPEC,DATOS!$E14352,nASIG,DATOS!$I14352,nEVAL,"EX")=0),0))))</f>
      </c>
      <c r="H14352">
        <f>IF(DATOS!$G14352&lt;&gt;"EX",0,--(COUNTIFS(nNIA,DATOS!$A14352,nCURSO,DATOS!$D14352,nESPEC,DATOS!$E14352,nASIG,DATOS!$I14352,nEVAL,"OR")=0))</f>
      </c>
      <c r="I14352">
        <f>IF(DATOS!$I14352="","",IFERROR(VLOOKUP(DATOS!$I14352,CONFIG_ASIGNATURAS!$B$2:$J$91,9,FALSE()),""))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IF(DATOS!$A14353="",0,IF(CONFIG_METADATA!$B$4&lt;&gt;"OR+EX",--(DATOS!$G14353=CONFIG_METADATA!$B$4),IF(DATOS!$G14353="EX",1,IF(DATOS!$G14353="OR",--(COUNTIFS(nNIA,DATOS!$A14353,nCURSO,DATOS!$D14353,nESPEC,DATOS!$E14353,nASIG,DATOS!$I14353,nEVAL,"EX")=0),0))))</f>
      </c>
      <c r="H14353">
        <f>IF(DATOS!$G14353&lt;&gt;"EX",0,--(COUNTIFS(nNIA,DATOS!$A14353,nCURSO,DATOS!$D14353,nESPEC,DATOS!$E14353,nASIG,DATOS!$I14353,nEVAL,"OR")=0))</f>
      </c>
      <c r="I14353">
        <f>IF(DATOS!$I14353="","",IFERROR(VLOOKUP(DATOS!$I14353,CONFIG_ASIGNATURAS!$B$2:$J$91,9,FALSE()),""))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IF(DATOS!$A14354="",0,IF(CONFIG_METADATA!$B$4&lt;&gt;"OR+EX",--(DATOS!$G14354=CONFIG_METADATA!$B$4),IF(DATOS!$G14354="EX",1,IF(DATOS!$G14354="OR",--(COUNTIFS(nNIA,DATOS!$A14354,nCURSO,DATOS!$D14354,nESPEC,DATOS!$E14354,nASIG,DATOS!$I14354,nEVAL,"EX")=0),0))))</f>
      </c>
      <c r="H14354">
        <f>IF(DATOS!$G14354&lt;&gt;"EX",0,--(COUNTIFS(nNIA,DATOS!$A14354,nCURSO,DATOS!$D14354,nESPEC,DATOS!$E14354,nASIG,DATOS!$I14354,nEVAL,"OR")=0))</f>
      </c>
      <c r="I14354">
        <f>IF(DATOS!$I14354="","",IFERROR(VLOOKUP(DATOS!$I14354,CONFIG_ASIGNATURAS!$B$2:$J$91,9,FALSE()),""))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IF(DATOS!$A14355="",0,IF(CONFIG_METADATA!$B$4&lt;&gt;"OR+EX",--(DATOS!$G14355=CONFIG_METADATA!$B$4),IF(DATOS!$G14355="EX",1,IF(DATOS!$G14355="OR",--(COUNTIFS(nNIA,DATOS!$A14355,nCURSO,DATOS!$D14355,nESPEC,DATOS!$E14355,nASIG,DATOS!$I14355,nEVAL,"EX")=0),0))))</f>
      </c>
      <c r="H14355">
        <f>IF(DATOS!$G14355&lt;&gt;"EX",0,--(COUNTIFS(nNIA,DATOS!$A14355,nCURSO,DATOS!$D14355,nESPEC,DATOS!$E14355,nASIG,DATOS!$I14355,nEVAL,"OR")=0))</f>
      </c>
      <c r="I14355">
        <f>IF(DATOS!$I14355="","",IFERROR(VLOOKUP(DATOS!$I14355,CONFIG_ASIGNATURAS!$B$2:$J$91,9,FALSE()),""))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IF(DATOS!$A14356="",0,IF(CONFIG_METADATA!$B$4&lt;&gt;"OR+EX",--(DATOS!$G14356=CONFIG_METADATA!$B$4),IF(DATOS!$G14356="EX",1,IF(DATOS!$G14356="OR",--(COUNTIFS(nNIA,DATOS!$A14356,nCURSO,DATOS!$D14356,nESPEC,DATOS!$E14356,nASIG,DATOS!$I14356,nEVAL,"EX")=0),0))))</f>
      </c>
      <c r="H14356">
        <f>IF(DATOS!$G14356&lt;&gt;"EX",0,--(COUNTIFS(nNIA,DATOS!$A14356,nCURSO,DATOS!$D14356,nESPEC,DATOS!$E14356,nASIG,DATOS!$I14356,nEVAL,"OR")=0))</f>
      </c>
      <c r="I14356">
        <f>IF(DATOS!$I14356="","",IFERROR(VLOOKUP(DATOS!$I14356,CONFIG_ASIGNATURAS!$B$2:$J$91,9,FALSE()),""))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IF(DATOS!$A14357="",0,IF(CONFIG_METADATA!$B$4&lt;&gt;"OR+EX",--(DATOS!$G14357=CONFIG_METADATA!$B$4),IF(DATOS!$G14357="EX",1,IF(DATOS!$G14357="OR",--(COUNTIFS(nNIA,DATOS!$A14357,nCURSO,DATOS!$D14357,nESPEC,DATOS!$E14357,nASIG,DATOS!$I14357,nEVAL,"EX")=0),0))))</f>
      </c>
      <c r="H14357">
        <f>IF(DATOS!$G14357&lt;&gt;"EX",0,--(COUNTIFS(nNIA,DATOS!$A14357,nCURSO,DATOS!$D14357,nESPEC,DATOS!$E14357,nASIG,DATOS!$I14357,nEVAL,"OR")=0))</f>
      </c>
      <c r="I14357">
        <f>IF(DATOS!$I14357="","",IFERROR(VLOOKUP(DATOS!$I14357,CONFIG_ASIGNATURAS!$B$2:$J$91,9,FALSE()),""))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IF(DATOS!$A14358="",0,IF(CONFIG_METADATA!$B$4&lt;&gt;"OR+EX",--(DATOS!$G14358=CONFIG_METADATA!$B$4),IF(DATOS!$G14358="EX",1,IF(DATOS!$G14358="OR",--(COUNTIFS(nNIA,DATOS!$A14358,nCURSO,DATOS!$D14358,nESPEC,DATOS!$E14358,nASIG,DATOS!$I14358,nEVAL,"EX")=0),0))))</f>
      </c>
      <c r="H14358">
        <f>IF(DATOS!$G14358&lt;&gt;"EX",0,--(COUNTIFS(nNIA,DATOS!$A14358,nCURSO,DATOS!$D14358,nESPEC,DATOS!$E14358,nASIG,DATOS!$I14358,nEVAL,"OR")=0))</f>
      </c>
      <c r="I14358">
        <f>IF(DATOS!$I14358="","",IFERROR(VLOOKUP(DATOS!$I14358,CONFIG_ASIGNATURAS!$B$2:$J$91,9,FALSE()),""))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IF(DATOS!$A14359="",0,IF(CONFIG_METADATA!$B$4&lt;&gt;"OR+EX",--(DATOS!$G14359=CONFIG_METADATA!$B$4),IF(DATOS!$G14359="EX",1,IF(DATOS!$G14359="OR",--(COUNTIFS(nNIA,DATOS!$A14359,nCURSO,DATOS!$D14359,nESPEC,DATOS!$E14359,nASIG,DATOS!$I14359,nEVAL,"EX")=0),0))))</f>
      </c>
      <c r="H14359">
        <f>IF(DATOS!$G14359&lt;&gt;"EX",0,--(COUNTIFS(nNIA,DATOS!$A14359,nCURSO,DATOS!$D14359,nESPEC,DATOS!$E14359,nASIG,DATOS!$I14359,nEVAL,"OR")=0))</f>
      </c>
      <c r="I14359">
        <f>IF(DATOS!$I14359="","",IFERROR(VLOOKUP(DATOS!$I14359,CONFIG_ASIGNATURAS!$B$2:$J$91,9,FALSE()),""))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IF(DATOS!$A14360="",0,IF(CONFIG_METADATA!$B$4&lt;&gt;"OR+EX",--(DATOS!$G14360=CONFIG_METADATA!$B$4),IF(DATOS!$G14360="EX",1,IF(DATOS!$G14360="OR",--(COUNTIFS(nNIA,DATOS!$A14360,nCURSO,DATOS!$D14360,nESPEC,DATOS!$E14360,nASIG,DATOS!$I14360,nEVAL,"EX")=0),0))))</f>
      </c>
      <c r="H14360">
        <f>IF(DATOS!$G14360&lt;&gt;"EX",0,--(COUNTIFS(nNIA,DATOS!$A14360,nCURSO,DATOS!$D14360,nESPEC,DATOS!$E14360,nASIG,DATOS!$I14360,nEVAL,"OR")=0))</f>
      </c>
      <c r="I14360">
        <f>IF(DATOS!$I14360="","",IFERROR(VLOOKUP(DATOS!$I14360,CONFIG_ASIGNATURAS!$B$2:$J$91,9,FALSE()),""))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IF(DATOS!$A14361="",0,IF(CONFIG_METADATA!$B$4&lt;&gt;"OR+EX",--(DATOS!$G14361=CONFIG_METADATA!$B$4),IF(DATOS!$G14361="EX",1,IF(DATOS!$G14361="OR",--(COUNTIFS(nNIA,DATOS!$A14361,nCURSO,DATOS!$D14361,nESPEC,DATOS!$E14361,nASIG,DATOS!$I14361,nEVAL,"EX")=0),0))))</f>
      </c>
      <c r="H14361">
        <f>IF(DATOS!$G14361&lt;&gt;"EX",0,--(COUNTIFS(nNIA,DATOS!$A14361,nCURSO,DATOS!$D14361,nESPEC,DATOS!$E14361,nASIG,DATOS!$I14361,nEVAL,"OR")=0))</f>
      </c>
      <c r="I14361">
        <f>IF(DATOS!$I14361="","",IFERROR(VLOOKUP(DATOS!$I14361,CONFIG_ASIGNATURAS!$B$2:$J$91,9,FALSE()),""))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IF(DATOS!$A14362="",0,IF(CONFIG_METADATA!$B$4&lt;&gt;"OR+EX",--(DATOS!$G14362=CONFIG_METADATA!$B$4),IF(DATOS!$G14362="EX",1,IF(DATOS!$G14362="OR",--(COUNTIFS(nNIA,DATOS!$A14362,nCURSO,DATOS!$D14362,nESPEC,DATOS!$E14362,nASIG,DATOS!$I14362,nEVAL,"EX")=0),0))))</f>
      </c>
      <c r="H14362">
        <f>IF(DATOS!$G14362&lt;&gt;"EX",0,--(COUNTIFS(nNIA,DATOS!$A14362,nCURSO,DATOS!$D14362,nESPEC,DATOS!$E14362,nASIG,DATOS!$I14362,nEVAL,"OR")=0))</f>
      </c>
      <c r="I14362">
        <f>IF(DATOS!$I14362="","",IFERROR(VLOOKUP(DATOS!$I14362,CONFIG_ASIGNATURAS!$B$2:$J$91,9,FALSE()),""))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IF(DATOS!$A14363="",0,IF(CONFIG_METADATA!$B$4&lt;&gt;"OR+EX",--(DATOS!$G14363=CONFIG_METADATA!$B$4),IF(DATOS!$G14363="EX",1,IF(DATOS!$G14363="OR",--(COUNTIFS(nNIA,DATOS!$A14363,nCURSO,DATOS!$D14363,nESPEC,DATOS!$E14363,nASIG,DATOS!$I14363,nEVAL,"EX")=0),0))))</f>
      </c>
      <c r="H14363">
        <f>IF(DATOS!$G14363&lt;&gt;"EX",0,--(COUNTIFS(nNIA,DATOS!$A14363,nCURSO,DATOS!$D14363,nESPEC,DATOS!$E14363,nASIG,DATOS!$I14363,nEVAL,"OR")=0))</f>
      </c>
      <c r="I14363">
        <f>IF(DATOS!$I14363="","",IFERROR(VLOOKUP(DATOS!$I14363,CONFIG_ASIGNATURAS!$B$2:$J$91,9,FALSE()),""))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IF(DATOS!$A14364="",0,IF(CONFIG_METADATA!$B$4&lt;&gt;"OR+EX",--(DATOS!$G14364=CONFIG_METADATA!$B$4),IF(DATOS!$G14364="EX",1,IF(DATOS!$G14364="OR",--(COUNTIFS(nNIA,DATOS!$A14364,nCURSO,DATOS!$D14364,nESPEC,DATOS!$E14364,nASIG,DATOS!$I14364,nEVAL,"EX")=0),0))))</f>
      </c>
      <c r="H14364">
        <f>IF(DATOS!$G14364&lt;&gt;"EX",0,--(COUNTIFS(nNIA,DATOS!$A14364,nCURSO,DATOS!$D14364,nESPEC,DATOS!$E14364,nASIG,DATOS!$I14364,nEVAL,"OR")=0))</f>
      </c>
      <c r="I14364">
        <f>IF(DATOS!$I14364="","",IFERROR(VLOOKUP(DATOS!$I14364,CONFIG_ASIGNATURAS!$B$2:$J$91,9,FALSE()),""))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IF(DATOS!$A14365="",0,IF(CONFIG_METADATA!$B$4&lt;&gt;"OR+EX",--(DATOS!$G14365=CONFIG_METADATA!$B$4),IF(DATOS!$G14365="EX",1,IF(DATOS!$G14365="OR",--(COUNTIFS(nNIA,DATOS!$A14365,nCURSO,DATOS!$D14365,nESPEC,DATOS!$E14365,nASIG,DATOS!$I14365,nEVAL,"EX")=0),0))))</f>
      </c>
      <c r="H14365">
        <f>IF(DATOS!$G14365&lt;&gt;"EX",0,--(COUNTIFS(nNIA,DATOS!$A14365,nCURSO,DATOS!$D14365,nESPEC,DATOS!$E14365,nASIG,DATOS!$I14365,nEVAL,"OR")=0))</f>
      </c>
      <c r="I14365">
        <f>IF(DATOS!$I14365="","",IFERROR(VLOOKUP(DATOS!$I14365,CONFIG_ASIGNATURAS!$B$2:$J$91,9,FALSE()),""))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IF(DATOS!$A14366="",0,IF(CONFIG_METADATA!$B$4&lt;&gt;"OR+EX",--(DATOS!$G14366=CONFIG_METADATA!$B$4),IF(DATOS!$G14366="EX",1,IF(DATOS!$G14366="OR",--(COUNTIFS(nNIA,DATOS!$A14366,nCURSO,DATOS!$D14366,nESPEC,DATOS!$E14366,nASIG,DATOS!$I14366,nEVAL,"EX")=0),0))))</f>
      </c>
      <c r="H14366">
        <f>IF(DATOS!$G14366&lt;&gt;"EX",0,--(COUNTIFS(nNIA,DATOS!$A14366,nCURSO,DATOS!$D14366,nESPEC,DATOS!$E14366,nASIG,DATOS!$I14366,nEVAL,"OR")=0))</f>
      </c>
      <c r="I14366">
        <f>IF(DATOS!$I14366="","",IFERROR(VLOOKUP(DATOS!$I14366,CONFIG_ASIGNATURAS!$B$2:$J$91,9,FALSE()),""))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IF(DATOS!$A14367="",0,IF(CONFIG_METADATA!$B$4&lt;&gt;"OR+EX",--(DATOS!$G14367=CONFIG_METADATA!$B$4),IF(DATOS!$G14367="EX",1,IF(DATOS!$G14367="OR",--(COUNTIFS(nNIA,DATOS!$A14367,nCURSO,DATOS!$D14367,nESPEC,DATOS!$E14367,nASIG,DATOS!$I14367,nEVAL,"EX")=0),0))))</f>
      </c>
      <c r="H14367">
        <f>IF(DATOS!$G14367&lt;&gt;"EX",0,--(COUNTIFS(nNIA,DATOS!$A14367,nCURSO,DATOS!$D14367,nESPEC,DATOS!$E14367,nASIG,DATOS!$I14367,nEVAL,"OR")=0))</f>
      </c>
      <c r="I14367">
        <f>IF(DATOS!$I14367="","",IFERROR(VLOOKUP(DATOS!$I14367,CONFIG_ASIGNATURAS!$B$2:$J$91,9,FALSE()),""))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IF(DATOS!$A14368="",0,IF(CONFIG_METADATA!$B$4&lt;&gt;"OR+EX",--(DATOS!$G14368=CONFIG_METADATA!$B$4),IF(DATOS!$G14368="EX",1,IF(DATOS!$G14368="OR",--(COUNTIFS(nNIA,DATOS!$A14368,nCURSO,DATOS!$D14368,nESPEC,DATOS!$E14368,nASIG,DATOS!$I14368,nEVAL,"EX")=0),0))))</f>
      </c>
      <c r="H14368">
        <f>IF(DATOS!$G14368&lt;&gt;"EX",0,--(COUNTIFS(nNIA,DATOS!$A14368,nCURSO,DATOS!$D14368,nESPEC,DATOS!$E14368,nASIG,DATOS!$I14368,nEVAL,"OR")=0))</f>
      </c>
      <c r="I14368">
        <f>IF(DATOS!$I14368="","",IFERROR(VLOOKUP(DATOS!$I14368,CONFIG_ASIGNATURAS!$B$2:$J$91,9,FALSE()),""))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IF(DATOS!$A14369="",0,IF(CONFIG_METADATA!$B$4&lt;&gt;"OR+EX",--(DATOS!$G14369=CONFIG_METADATA!$B$4),IF(DATOS!$G14369="EX",1,IF(DATOS!$G14369="OR",--(COUNTIFS(nNIA,DATOS!$A14369,nCURSO,DATOS!$D14369,nESPEC,DATOS!$E14369,nASIG,DATOS!$I14369,nEVAL,"EX")=0),0))))</f>
      </c>
      <c r="H14369">
        <f>IF(DATOS!$G14369&lt;&gt;"EX",0,--(COUNTIFS(nNIA,DATOS!$A14369,nCURSO,DATOS!$D14369,nESPEC,DATOS!$E14369,nASIG,DATOS!$I14369,nEVAL,"OR")=0))</f>
      </c>
      <c r="I14369">
        <f>IF(DATOS!$I14369="","",IFERROR(VLOOKUP(DATOS!$I14369,CONFIG_ASIGNATURAS!$B$2:$J$91,9,FALSE()),""))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IF(DATOS!$A14370="",0,IF(CONFIG_METADATA!$B$4&lt;&gt;"OR+EX",--(DATOS!$G14370=CONFIG_METADATA!$B$4),IF(DATOS!$G14370="EX",1,IF(DATOS!$G14370="OR",--(COUNTIFS(nNIA,DATOS!$A14370,nCURSO,DATOS!$D14370,nESPEC,DATOS!$E14370,nASIG,DATOS!$I14370,nEVAL,"EX")=0),0))))</f>
      </c>
      <c r="H14370">
        <f>IF(DATOS!$G14370&lt;&gt;"EX",0,--(COUNTIFS(nNIA,DATOS!$A14370,nCURSO,DATOS!$D14370,nESPEC,DATOS!$E14370,nASIG,DATOS!$I14370,nEVAL,"OR")=0))</f>
      </c>
      <c r="I14370">
        <f>IF(DATOS!$I14370="","",IFERROR(VLOOKUP(DATOS!$I14370,CONFIG_ASIGNATURAS!$B$2:$J$91,9,FALSE()),""))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IF(DATOS!$A14371="",0,IF(CONFIG_METADATA!$B$4&lt;&gt;"OR+EX",--(DATOS!$G14371=CONFIG_METADATA!$B$4),IF(DATOS!$G14371="EX",1,IF(DATOS!$G14371="OR",--(COUNTIFS(nNIA,DATOS!$A14371,nCURSO,DATOS!$D14371,nESPEC,DATOS!$E14371,nASIG,DATOS!$I14371,nEVAL,"EX")=0),0))))</f>
      </c>
      <c r="H14371">
        <f>IF(DATOS!$G14371&lt;&gt;"EX",0,--(COUNTIFS(nNIA,DATOS!$A14371,nCURSO,DATOS!$D14371,nESPEC,DATOS!$E14371,nASIG,DATOS!$I14371,nEVAL,"OR")=0))</f>
      </c>
      <c r="I14371">
        <f>IF(DATOS!$I14371="","",IFERROR(VLOOKUP(DATOS!$I14371,CONFIG_ASIGNATURAS!$B$2:$J$91,9,FALSE()),""))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IF(DATOS!$A14372="",0,IF(CONFIG_METADATA!$B$4&lt;&gt;"OR+EX",--(DATOS!$G14372=CONFIG_METADATA!$B$4),IF(DATOS!$G14372="EX",1,IF(DATOS!$G14372="OR",--(COUNTIFS(nNIA,DATOS!$A14372,nCURSO,DATOS!$D14372,nESPEC,DATOS!$E14372,nASIG,DATOS!$I14372,nEVAL,"EX")=0),0))))</f>
      </c>
      <c r="H14372">
        <f>IF(DATOS!$G14372&lt;&gt;"EX",0,--(COUNTIFS(nNIA,DATOS!$A14372,nCURSO,DATOS!$D14372,nESPEC,DATOS!$E14372,nASIG,DATOS!$I14372,nEVAL,"OR")=0))</f>
      </c>
      <c r="I14372">
        <f>IF(DATOS!$I14372="","",IFERROR(VLOOKUP(DATOS!$I14372,CONFIG_ASIGNATURAS!$B$2:$J$91,9,FALSE()),""))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IF(DATOS!$A14373="",0,IF(CONFIG_METADATA!$B$4&lt;&gt;"OR+EX",--(DATOS!$G14373=CONFIG_METADATA!$B$4),IF(DATOS!$G14373="EX",1,IF(DATOS!$G14373="OR",--(COUNTIFS(nNIA,DATOS!$A14373,nCURSO,DATOS!$D14373,nESPEC,DATOS!$E14373,nASIG,DATOS!$I14373,nEVAL,"EX")=0),0))))</f>
      </c>
      <c r="H14373">
        <f>IF(DATOS!$G14373&lt;&gt;"EX",0,--(COUNTIFS(nNIA,DATOS!$A14373,nCURSO,DATOS!$D14373,nESPEC,DATOS!$E14373,nASIG,DATOS!$I14373,nEVAL,"OR")=0))</f>
      </c>
      <c r="I14373">
        <f>IF(DATOS!$I14373="","",IFERROR(VLOOKUP(DATOS!$I14373,CONFIG_ASIGNATURAS!$B$2:$J$91,9,FALSE()),""))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IF(DATOS!$A14374="",0,IF(CONFIG_METADATA!$B$4&lt;&gt;"OR+EX",--(DATOS!$G14374=CONFIG_METADATA!$B$4),IF(DATOS!$G14374="EX",1,IF(DATOS!$G14374="OR",--(COUNTIFS(nNIA,DATOS!$A14374,nCURSO,DATOS!$D14374,nESPEC,DATOS!$E14374,nASIG,DATOS!$I14374,nEVAL,"EX")=0),0))))</f>
      </c>
      <c r="H14374">
        <f>IF(DATOS!$G14374&lt;&gt;"EX",0,--(COUNTIFS(nNIA,DATOS!$A14374,nCURSO,DATOS!$D14374,nESPEC,DATOS!$E14374,nASIG,DATOS!$I14374,nEVAL,"OR")=0))</f>
      </c>
      <c r="I14374">
        <f>IF(DATOS!$I14374="","",IFERROR(VLOOKUP(DATOS!$I14374,CONFIG_ASIGNATURAS!$B$2:$J$91,9,FALSE()),""))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IF(DATOS!$A14375="",0,IF(CONFIG_METADATA!$B$4&lt;&gt;"OR+EX",--(DATOS!$G14375=CONFIG_METADATA!$B$4),IF(DATOS!$G14375="EX",1,IF(DATOS!$G14375="OR",--(COUNTIFS(nNIA,DATOS!$A14375,nCURSO,DATOS!$D14375,nESPEC,DATOS!$E14375,nASIG,DATOS!$I14375,nEVAL,"EX")=0),0))))</f>
      </c>
      <c r="H14375">
        <f>IF(DATOS!$G14375&lt;&gt;"EX",0,--(COUNTIFS(nNIA,DATOS!$A14375,nCURSO,DATOS!$D14375,nESPEC,DATOS!$E14375,nASIG,DATOS!$I14375,nEVAL,"OR")=0))</f>
      </c>
      <c r="I14375">
        <f>IF(DATOS!$I14375="","",IFERROR(VLOOKUP(DATOS!$I14375,CONFIG_ASIGNATURAS!$B$2:$J$91,9,FALSE()),""))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IF(DATOS!$A14376="",0,IF(CONFIG_METADATA!$B$4&lt;&gt;"OR+EX",--(DATOS!$G14376=CONFIG_METADATA!$B$4),IF(DATOS!$G14376="EX",1,IF(DATOS!$G14376="OR",--(COUNTIFS(nNIA,DATOS!$A14376,nCURSO,DATOS!$D14376,nESPEC,DATOS!$E14376,nASIG,DATOS!$I14376,nEVAL,"EX")=0),0))))</f>
      </c>
      <c r="H14376">
        <f>IF(DATOS!$G14376&lt;&gt;"EX",0,--(COUNTIFS(nNIA,DATOS!$A14376,nCURSO,DATOS!$D14376,nESPEC,DATOS!$E14376,nASIG,DATOS!$I14376,nEVAL,"OR")=0))</f>
      </c>
      <c r="I14376">
        <f>IF(DATOS!$I14376="","",IFERROR(VLOOKUP(DATOS!$I14376,CONFIG_ASIGNATURAS!$B$2:$J$91,9,FALSE()),""))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IF(DATOS!$A14377="",0,IF(CONFIG_METADATA!$B$4&lt;&gt;"OR+EX",--(DATOS!$G14377=CONFIG_METADATA!$B$4),IF(DATOS!$G14377="EX",1,IF(DATOS!$G14377="OR",--(COUNTIFS(nNIA,DATOS!$A14377,nCURSO,DATOS!$D14377,nESPEC,DATOS!$E14377,nASIG,DATOS!$I14377,nEVAL,"EX")=0),0))))</f>
      </c>
      <c r="H14377">
        <f>IF(DATOS!$G14377&lt;&gt;"EX",0,--(COUNTIFS(nNIA,DATOS!$A14377,nCURSO,DATOS!$D14377,nESPEC,DATOS!$E14377,nASIG,DATOS!$I14377,nEVAL,"OR")=0))</f>
      </c>
      <c r="I14377">
        <f>IF(DATOS!$I14377="","",IFERROR(VLOOKUP(DATOS!$I14377,CONFIG_ASIGNATURAS!$B$2:$J$91,9,FALSE()),""))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IF(DATOS!$A14378="",0,IF(CONFIG_METADATA!$B$4&lt;&gt;"OR+EX",--(DATOS!$G14378=CONFIG_METADATA!$B$4),IF(DATOS!$G14378="EX",1,IF(DATOS!$G14378="OR",--(COUNTIFS(nNIA,DATOS!$A14378,nCURSO,DATOS!$D14378,nESPEC,DATOS!$E14378,nASIG,DATOS!$I14378,nEVAL,"EX")=0),0))))</f>
      </c>
      <c r="H14378">
        <f>IF(DATOS!$G14378&lt;&gt;"EX",0,--(COUNTIFS(nNIA,DATOS!$A14378,nCURSO,DATOS!$D14378,nESPEC,DATOS!$E14378,nASIG,DATOS!$I14378,nEVAL,"OR")=0))</f>
      </c>
      <c r="I14378">
        <f>IF(DATOS!$I14378="","",IFERROR(VLOOKUP(DATOS!$I14378,CONFIG_ASIGNATURAS!$B$2:$J$91,9,FALSE()),""))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IF(DATOS!$A14379="",0,IF(CONFIG_METADATA!$B$4&lt;&gt;"OR+EX",--(DATOS!$G14379=CONFIG_METADATA!$B$4),IF(DATOS!$G14379="EX",1,IF(DATOS!$G14379="OR",--(COUNTIFS(nNIA,DATOS!$A14379,nCURSO,DATOS!$D14379,nESPEC,DATOS!$E14379,nASIG,DATOS!$I14379,nEVAL,"EX")=0),0))))</f>
      </c>
      <c r="H14379">
        <f>IF(DATOS!$G14379&lt;&gt;"EX",0,--(COUNTIFS(nNIA,DATOS!$A14379,nCURSO,DATOS!$D14379,nESPEC,DATOS!$E14379,nASIG,DATOS!$I14379,nEVAL,"OR")=0))</f>
      </c>
      <c r="I14379">
        <f>IF(DATOS!$I14379="","",IFERROR(VLOOKUP(DATOS!$I14379,CONFIG_ASIGNATURAS!$B$2:$J$91,9,FALSE()),""))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IF(DATOS!$A14380="",0,IF(CONFIG_METADATA!$B$4&lt;&gt;"OR+EX",--(DATOS!$G14380=CONFIG_METADATA!$B$4),IF(DATOS!$G14380="EX",1,IF(DATOS!$G14380="OR",--(COUNTIFS(nNIA,DATOS!$A14380,nCURSO,DATOS!$D14380,nESPEC,DATOS!$E14380,nASIG,DATOS!$I14380,nEVAL,"EX")=0),0))))</f>
      </c>
      <c r="H14380">
        <f>IF(DATOS!$G14380&lt;&gt;"EX",0,--(COUNTIFS(nNIA,DATOS!$A14380,nCURSO,DATOS!$D14380,nESPEC,DATOS!$E14380,nASIG,DATOS!$I14380,nEVAL,"OR")=0))</f>
      </c>
      <c r="I14380">
        <f>IF(DATOS!$I14380="","",IFERROR(VLOOKUP(DATOS!$I14380,CONFIG_ASIGNATURAS!$B$2:$J$91,9,FALSE()),""))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IF(DATOS!$A14381="",0,IF(CONFIG_METADATA!$B$4&lt;&gt;"OR+EX",--(DATOS!$G14381=CONFIG_METADATA!$B$4),IF(DATOS!$G14381="EX",1,IF(DATOS!$G14381="OR",--(COUNTIFS(nNIA,DATOS!$A14381,nCURSO,DATOS!$D14381,nESPEC,DATOS!$E14381,nASIG,DATOS!$I14381,nEVAL,"EX")=0),0))))</f>
      </c>
      <c r="H14381">
        <f>IF(DATOS!$G14381&lt;&gt;"EX",0,--(COUNTIFS(nNIA,DATOS!$A14381,nCURSO,DATOS!$D14381,nESPEC,DATOS!$E14381,nASIG,DATOS!$I14381,nEVAL,"OR")=0))</f>
      </c>
      <c r="I14381">
        <f>IF(DATOS!$I14381="","",IFERROR(VLOOKUP(DATOS!$I14381,CONFIG_ASIGNATURAS!$B$2:$J$91,9,FALSE()),""))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IF(DATOS!$A14382="",0,IF(CONFIG_METADATA!$B$4&lt;&gt;"OR+EX",--(DATOS!$G14382=CONFIG_METADATA!$B$4),IF(DATOS!$G14382="EX",1,IF(DATOS!$G14382="OR",--(COUNTIFS(nNIA,DATOS!$A14382,nCURSO,DATOS!$D14382,nESPEC,DATOS!$E14382,nASIG,DATOS!$I14382,nEVAL,"EX")=0),0))))</f>
      </c>
      <c r="H14382">
        <f>IF(DATOS!$G14382&lt;&gt;"EX",0,--(COUNTIFS(nNIA,DATOS!$A14382,nCURSO,DATOS!$D14382,nESPEC,DATOS!$E14382,nASIG,DATOS!$I14382,nEVAL,"OR")=0))</f>
      </c>
      <c r="I14382">
        <f>IF(DATOS!$I14382="","",IFERROR(VLOOKUP(DATOS!$I14382,CONFIG_ASIGNATURAS!$B$2:$J$91,9,FALSE()),""))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IF(DATOS!$A14383="",0,IF(CONFIG_METADATA!$B$4&lt;&gt;"OR+EX",--(DATOS!$G14383=CONFIG_METADATA!$B$4),IF(DATOS!$G14383="EX",1,IF(DATOS!$G14383="OR",--(COUNTIFS(nNIA,DATOS!$A14383,nCURSO,DATOS!$D14383,nESPEC,DATOS!$E14383,nASIG,DATOS!$I14383,nEVAL,"EX")=0),0))))</f>
      </c>
      <c r="H14383">
        <f>IF(DATOS!$G14383&lt;&gt;"EX",0,--(COUNTIFS(nNIA,DATOS!$A14383,nCURSO,DATOS!$D14383,nESPEC,DATOS!$E14383,nASIG,DATOS!$I14383,nEVAL,"OR")=0))</f>
      </c>
      <c r="I14383">
        <f>IF(DATOS!$I14383="","",IFERROR(VLOOKUP(DATOS!$I14383,CONFIG_ASIGNATURAS!$B$2:$J$91,9,FALSE()),""))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IF(DATOS!$A14384="",0,IF(CONFIG_METADATA!$B$4&lt;&gt;"OR+EX",--(DATOS!$G14384=CONFIG_METADATA!$B$4),IF(DATOS!$G14384="EX",1,IF(DATOS!$G14384="OR",--(COUNTIFS(nNIA,DATOS!$A14384,nCURSO,DATOS!$D14384,nESPEC,DATOS!$E14384,nASIG,DATOS!$I14384,nEVAL,"EX")=0),0))))</f>
      </c>
      <c r="H14384">
        <f>IF(DATOS!$G14384&lt;&gt;"EX",0,--(COUNTIFS(nNIA,DATOS!$A14384,nCURSO,DATOS!$D14384,nESPEC,DATOS!$E14384,nASIG,DATOS!$I14384,nEVAL,"OR")=0))</f>
      </c>
      <c r="I14384">
        <f>IF(DATOS!$I14384="","",IFERROR(VLOOKUP(DATOS!$I14384,CONFIG_ASIGNATURAS!$B$2:$J$91,9,FALSE()),""))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IF(DATOS!$A14385="",0,IF(CONFIG_METADATA!$B$4&lt;&gt;"OR+EX",--(DATOS!$G14385=CONFIG_METADATA!$B$4),IF(DATOS!$G14385="EX",1,IF(DATOS!$G14385="OR",--(COUNTIFS(nNIA,DATOS!$A14385,nCURSO,DATOS!$D14385,nESPEC,DATOS!$E14385,nASIG,DATOS!$I14385,nEVAL,"EX")=0),0))))</f>
      </c>
      <c r="H14385">
        <f>IF(DATOS!$G14385&lt;&gt;"EX",0,--(COUNTIFS(nNIA,DATOS!$A14385,nCURSO,DATOS!$D14385,nESPEC,DATOS!$E14385,nASIG,DATOS!$I14385,nEVAL,"OR")=0))</f>
      </c>
      <c r="I14385">
        <f>IF(DATOS!$I14385="","",IFERROR(VLOOKUP(DATOS!$I14385,CONFIG_ASIGNATURAS!$B$2:$J$91,9,FALSE()),""))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IF(DATOS!$A14386="",0,IF(CONFIG_METADATA!$B$4&lt;&gt;"OR+EX",--(DATOS!$G14386=CONFIG_METADATA!$B$4),IF(DATOS!$G14386="EX",1,IF(DATOS!$G14386="OR",--(COUNTIFS(nNIA,DATOS!$A14386,nCURSO,DATOS!$D14386,nESPEC,DATOS!$E14386,nASIG,DATOS!$I14386,nEVAL,"EX")=0),0))))</f>
      </c>
      <c r="H14386">
        <f>IF(DATOS!$G14386&lt;&gt;"EX",0,--(COUNTIFS(nNIA,DATOS!$A14386,nCURSO,DATOS!$D14386,nESPEC,DATOS!$E14386,nASIG,DATOS!$I14386,nEVAL,"OR")=0))</f>
      </c>
      <c r="I14386">
        <f>IF(DATOS!$I14386="","",IFERROR(VLOOKUP(DATOS!$I14386,CONFIG_ASIGNATURAS!$B$2:$J$91,9,FALSE()),""))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IF(DATOS!$A14387="",0,IF(CONFIG_METADATA!$B$4&lt;&gt;"OR+EX",--(DATOS!$G14387=CONFIG_METADATA!$B$4),IF(DATOS!$G14387="EX",1,IF(DATOS!$G14387="OR",--(COUNTIFS(nNIA,DATOS!$A14387,nCURSO,DATOS!$D14387,nESPEC,DATOS!$E14387,nASIG,DATOS!$I14387,nEVAL,"EX")=0),0))))</f>
      </c>
      <c r="H14387">
        <f>IF(DATOS!$G14387&lt;&gt;"EX",0,--(COUNTIFS(nNIA,DATOS!$A14387,nCURSO,DATOS!$D14387,nESPEC,DATOS!$E14387,nASIG,DATOS!$I14387,nEVAL,"OR")=0))</f>
      </c>
      <c r="I14387">
        <f>IF(DATOS!$I14387="","",IFERROR(VLOOKUP(DATOS!$I14387,CONFIG_ASIGNATURAS!$B$2:$J$91,9,FALSE()),""))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IF(DATOS!$A14388="",0,IF(CONFIG_METADATA!$B$4&lt;&gt;"OR+EX",--(DATOS!$G14388=CONFIG_METADATA!$B$4),IF(DATOS!$G14388="EX",1,IF(DATOS!$G14388="OR",--(COUNTIFS(nNIA,DATOS!$A14388,nCURSO,DATOS!$D14388,nESPEC,DATOS!$E14388,nASIG,DATOS!$I14388,nEVAL,"EX")=0),0))))</f>
      </c>
      <c r="H14388">
        <f>IF(DATOS!$G14388&lt;&gt;"EX",0,--(COUNTIFS(nNIA,DATOS!$A14388,nCURSO,DATOS!$D14388,nESPEC,DATOS!$E14388,nASIG,DATOS!$I14388,nEVAL,"OR")=0))</f>
      </c>
      <c r="I14388">
        <f>IF(DATOS!$I14388="","",IFERROR(VLOOKUP(DATOS!$I14388,CONFIG_ASIGNATURAS!$B$2:$J$91,9,FALSE()),""))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IF(DATOS!$A14389="",0,IF(CONFIG_METADATA!$B$4&lt;&gt;"OR+EX",--(DATOS!$G14389=CONFIG_METADATA!$B$4),IF(DATOS!$G14389="EX",1,IF(DATOS!$G14389="OR",--(COUNTIFS(nNIA,DATOS!$A14389,nCURSO,DATOS!$D14389,nESPEC,DATOS!$E14389,nASIG,DATOS!$I14389,nEVAL,"EX")=0),0))))</f>
      </c>
      <c r="H14389">
        <f>IF(DATOS!$G14389&lt;&gt;"EX",0,--(COUNTIFS(nNIA,DATOS!$A14389,nCURSO,DATOS!$D14389,nESPEC,DATOS!$E14389,nASIG,DATOS!$I14389,nEVAL,"OR")=0))</f>
      </c>
      <c r="I14389">
        <f>IF(DATOS!$I14389="","",IFERROR(VLOOKUP(DATOS!$I14389,CONFIG_ASIGNATURAS!$B$2:$J$91,9,FALSE()),""))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IF(DATOS!$A14390="",0,IF(CONFIG_METADATA!$B$4&lt;&gt;"OR+EX",--(DATOS!$G14390=CONFIG_METADATA!$B$4),IF(DATOS!$G14390="EX",1,IF(DATOS!$G14390="OR",--(COUNTIFS(nNIA,DATOS!$A14390,nCURSO,DATOS!$D14390,nESPEC,DATOS!$E14390,nASIG,DATOS!$I14390,nEVAL,"EX")=0),0))))</f>
      </c>
      <c r="H14390">
        <f>IF(DATOS!$G14390&lt;&gt;"EX",0,--(COUNTIFS(nNIA,DATOS!$A14390,nCURSO,DATOS!$D14390,nESPEC,DATOS!$E14390,nASIG,DATOS!$I14390,nEVAL,"OR")=0))</f>
      </c>
      <c r="I14390">
        <f>IF(DATOS!$I14390="","",IFERROR(VLOOKUP(DATOS!$I14390,CONFIG_ASIGNATURAS!$B$2:$J$91,9,FALSE()),""))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IF(DATOS!$A14391="",0,IF(CONFIG_METADATA!$B$4&lt;&gt;"OR+EX",--(DATOS!$G14391=CONFIG_METADATA!$B$4),IF(DATOS!$G14391="EX",1,IF(DATOS!$G14391="OR",--(COUNTIFS(nNIA,DATOS!$A14391,nCURSO,DATOS!$D14391,nESPEC,DATOS!$E14391,nASIG,DATOS!$I14391,nEVAL,"EX")=0),0))))</f>
      </c>
      <c r="H14391">
        <f>IF(DATOS!$G14391&lt;&gt;"EX",0,--(COUNTIFS(nNIA,DATOS!$A14391,nCURSO,DATOS!$D14391,nESPEC,DATOS!$E14391,nASIG,DATOS!$I14391,nEVAL,"OR")=0))</f>
      </c>
      <c r="I14391">
        <f>IF(DATOS!$I14391="","",IFERROR(VLOOKUP(DATOS!$I14391,CONFIG_ASIGNATURAS!$B$2:$J$91,9,FALSE()),""))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IF(DATOS!$A14392="",0,IF(CONFIG_METADATA!$B$4&lt;&gt;"OR+EX",--(DATOS!$G14392=CONFIG_METADATA!$B$4),IF(DATOS!$G14392="EX",1,IF(DATOS!$G14392="OR",--(COUNTIFS(nNIA,DATOS!$A14392,nCURSO,DATOS!$D14392,nESPEC,DATOS!$E14392,nASIG,DATOS!$I14392,nEVAL,"EX")=0),0))))</f>
      </c>
      <c r="H14392">
        <f>IF(DATOS!$G14392&lt;&gt;"EX",0,--(COUNTIFS(nNIA,DATOS!$A14392,nCURSO,DATOS!$D14392,nESPEC,DATOS!$E14392,nASIG,DATOS!$I14392,nEVAL,"OR")=0))</f>
      </c>
      <c r="I14392">
        <f>IF(DATOS!$I14392="","",IFERROR(VLOOKUP(DATOS!$I14392,CONFIG_ASIGNATURAS!$B$2:$J$91,9,FALSE()),""))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IF(DATOS!$A14393="",0,IF(CONFIG_METADATA!$B$4&lt;&gt;"OR+EX",--(DATOS!$G14393=CONFIG_METADATA!$B$4),IF(DATOS!$G14393="EX",1,IF(DATOS!$G14393="OR",--(COUNTIFS(nNIA,DATOS!$A14393,nCURSO,DATOS!$D14393,nESPEC,DATOS!$E14393,nASIG,DATOS!$I14393,nEVAL,"EX")=0),0))))</f>
      </c>
      <c r="H14393">
        <f>IF(DATOS!$G14393&lt;&gt;"EX",0,--(COUNTIFS(nNIA,DATOS!$A14393,nCURSO,DATOS!$D14393,nESPEC,DATOS!$E14393,nASIG,DATOS!$I14393,nEVAL,"OR")=0))</f>
      </c>
      <c r="I14393">
        <f>IF(DATOS!$I14393="","",IFERROR(VLOOKUP(DATOS!$I14393,CONFIG_ASIGNATURAS!$B$2:$J$91,9,FALSE()),""))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IF(DATOS!$A14394="",0,IF(CONFIG_METADATA!$B$4&lt;&gt;"OR+EX",--(DATOS!$G14394=CONFIG_METADATA!$B$4),IF(DATOS!$G14394="EX",1,IF(DATOS!$G14394="OR",--(COUNTIFS(nNIA,DATOS!$A14394,nCURSO,DATOS!$D14394,nESPEC,DATOS!$E14394,nASIG,DATOS!$I14394,nEVAL,"EX")=0),0))))</f>
      </c>
      <c r="H14394">
        <f>IF(DATOS!$G14394&lt;&gt;"EX",0,--(COUNTIFS(nNIA,DATOS!$A14394,nCURSO,DATOS!$D14394,nESPEC,DATOS!$E14394,nASIG,DATOS!$I14394,nEVAL,"OR")=0))</f>
      </c>
      <c r="I14394">
        <f>IF(DATOS!$I14394="","",IFERROR(VLOOKUP(DATOS!$I14394,CONFIG_ASIGNATURAS!$B$2:$J$91,9,FALSE()),""))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IF(DATOS!$A14395="",0,IF(CONFIG_METADATA!$B$4&lt;&gt;"OR+EX",--(DATOS!$G14395=CONFIG_METADATA!$B$4),IF(DATOS!$G14395="EX",1,IF(DATOS!$G14395="OR",--(COUNTIFS(nNIA,DATOS!$A14395,nCURSO,DATOS!$D14395,nESPEC,DATOS!$E14395,nASIG,DATOS!$I14395,nEVAL,"EX")=0),0))))</f>
      </c>
      <c r="H14395">
        <f>IF(DATOS!$G14395&lt;&gt;"EX",0,--(COUNTIFS(nNIA,DATOS!$A14395,nCURSO,DATOS!$D14395,nESPEC,DATOS!$E14395,nASIG,DATOS!$I14395,nEVAL,"OR")=0))</f>
      </c>
      <c r="I14395">
        <f>IF(DATOS!$I14395="","",IFERROR(VLOOKUP(DATOS!$I14395,CONFIG_ASIGNATURAS!$B$2:$J$91,9,FALSE()),""))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IF(DATOS!$A14396="",0,IF(CONFIG_METADATA!$B$4&lt;&gt;"OR+EX",--(DATOS!$G14396=CONFIG_METADATA!$B$4),IF(DATOS!$G14396="EX",1,IF(DATOS!$G14396="OR",--(COUNTIFS(nNIA,DATOS!$A14396,nCURSO,DATOS!$D14396,nESPEC,DATOS!$E14396,nASIG,DATOS!$I14396,nEVAL,"EX")=0),0))))</f>
      </c>
      <c r="H14396">
        <f>IF(DATOS!$G14396&lt;&gt;"EX",0,--(COUNTIFS(nNIA,DATOS!$A14396,nCURSO,DATOS!$D14396,nESPEC,DATOS!$E14396,nASIG,DATOS!$I14396,nEVAL,"OR")=0))</f>
      </c>
      <c r="I14396">
        <f>IF(DATOS!$I14396="","",IFERROR(VLOOKUP(DATOS!$I14396,CONFIG_ASIGNATURAS!$B$2:$J$91,9,FALSE()),""))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IF(DATOS!$A14397="",0,IF(CONFIG_METADATA!$B$4&lt;&gt;"OR+EX",--(DATOS!$G14397=CONFIG_METADATA!$B$4),IF(DATOS!$G14397="EX",1,IF(DATOS!$G14397="OR",--(COUNTIFS(nNIA,DATOS!$A14397,nCURSO,DATOS!$D14397,nESPEC,DATOS!$E14397,nASIG,DATOS!$I14397,nEVAL,"EX")=0),0))))</f>
      </c>
      <c r="H14397">
        <f>IF(DATOS!$G14397&lt;&gt;"EX",0,--(COUNTIFS(nNIA,DATOS!$A14397,nCURSO,DATOS!$D14397,nESPEC,DATOS!$E14397,nASIG,DATOS!$I14397,nEVAL,"OR")=0))</f>
      </c>
      <c r="I14397">
        <f>IF(DATOS!$I14397="","",IFERROR(VLOOKUP(DATOS!$I14397,CONFIG_ASIGNATURAS!$B$2:$J$91,9,FALSE()),""))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IF(DATOS!$A14398="",0,IF(CONFIG_METADATA!$B$4&lt;&gt;"OR+EX",--(DATOS!$G14398=CONFIG_METADATA!$B$4),IF(DATOS!$G14398="EX",1,IF(DATOS!$G14398="OR",--(COUNTIFS(nNIA,DATOS!$A14398,nCURSO,DATOS!$D14398,nESPEC,DATOS!$E14398,nASIG,DATOS!$I14398,nEVAL,"EX")=0),0))))</f>
      </c>
      <c r="H14398">
        <f>IF(DATOS!$G14398&lt;&gt;"EX",0,--(COUNTIFS(nNIA,DATOS!$A14398,nCURSO,DATOS!$D14398,nESPEC,DATOS!$E14398,nASIG,DATOS!$I14398,nEVAL,"OR")=0))</f>
      </c>
      <c r="I14398">
        <f>IF(DATOS!$I14398="","",IFERROR(VLOOKUP(DATOS!$I14398,CONFIG_ASIGNATURAS!$B$2:$J$91,9,FALSE()),""))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IF(DATOS!$A14399="",0,IF(CONFIG_METADATA!$B$4&lt;&gt;"OR+EX",--(DATOS!$G14399=CONFIG_METADATA!$B$4),IF(DATOS!$G14399="EX",1,IF(DATOS!$G14399="OR",--(COUNTIFS(nNIA,DATOS!$A14399,nCURSO,DATOS!$D14399,nESPEC,DATOS!$E14399,nASIG,DATOS!$I14399,nEVAL,"EX")=0),0))))</f>
      </c>
      <c r="H14399">
        <f>IF(DATOS!$G14399&lt;&gt;"EX",0,--(COUNTIFS(nNIA,DATOS!$A14399,nCURSO,DATOS!$D14399,nESPEC,DATOS!$E14399,nASIG,DATOS!$I14399,nEVAL,"OR")=0))</f>
      </c>
      <c r="I14399">
        <f>IF(DATOS!$I14399="","",IFERROR(VLOOKUP(DATOS!$I14399,CONFIG_ASIGNATURAS!$B$2:$J$91,9,FALSE()),""))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IF(DATOS!$A14400="",0,IF(CONFIG_METADATA!$B$4&lt;&gt;"OR+EX",--(DATOS!$G14400=CONFIG_METADATA!$B$4),IF(DATOS!$G14400="EX",1,IF(DATOS!$G14400="OR",--(COUNTIFS(nNIA,DATOS!$A14400,nCURSO,DATOS!$D14400,nESPEC,DATOS!$E14400,nASIG,DATOS!$I14400,nEVAL,"EX")=0),0))))</f>
      </c>
      <c r="H14400">
        <f>IF(DATOS!$G14400&lt;&gt;"EX",0,--(COUNTIFS(nNIA,DATOS!$A14400,nCURSO,DATOS!$D14400,nESPEC,DATOS!$E14400,nASIG,DATOS!$I14400,nEVAL,"OR")=0))</f>
      </c>
      <c r="I14400">
        <f>IF(DATOS!$I14400="","",IFERROR(VLOOKUP(DATOS!$I14400,CONFIG_ASIGNATURAS!$B$2:$J$91,9,FALSE()),""))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IF(DATOS!$A14401="",0,IF(CONFIG_METADATA!$B$4&lt;&gt;"OR+EX",--(DATOS!$G14401=CONFIG_METADATA!$B$4),IF(DATOS!$G14401="EX",1,IF(DATOS!$G14401="OR",--(COUNTIFS(nNIA,DATOS!$A14401,nCURSO,DATOS!$D14401,nESPEC,DATOS!$E14401,nASIG,DATOS!$I14401,nEVAL,"EX")=0),0))))</f>
      </c>
      <c r="H14401">
        <f>IF(DATOS!$G14401&lt;&gt;"EX",0,--(COUNTIFS(nNIA,DATOS!$A14401,nCURSO,DATOS!$D14401,nESPEC,DATOS!$E14401,nASIG,DATOS!$I14401,nEVAL,"OR")=0))</f>
      </c>
      <c r="I14401">
        <f>IF(DATOS!$I14401="","",IFERROR(VLOOKUP(DATOS!$I14401,CONFIG_ASIGNATURAS!$B$2:$J$91,9,FALSE()),""))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IF(DATOS!$A14402="",0,IF(CONFIG_METADATA!$B$4&lt;&gt;"OR+EX",--(DATOS!$G14402=CONFIG_METADATA!$B$4),IF(DATOS!$G14402="EX",1,IF(DATOS!$G14402="OR",--(COUNTIFS(nNIA,DATOS!$A14402,nCURSO,DATOS!$D14402,nESPEC,DATOS!$E14402,nASIG,DATOS!$I14402,nEVAL,"EX")=0),0))))</f>
      </c>
      <c r="H14402">
        <f>IF(DATOS!$G14402&lt;&gt;"EX",0,--(COUNTIFS(nNIA,DATOS!$A14402,nCURSO,DATOS!$D14402,nESPEC,DATOS!$E14402,nASIG,DATOS!$I14402,nEVAL,"OR")=0))</f>
      </c>
      <c r="I14402">
        <f>IF(DATOS!$I14402="","",IFERROR(VLOOKUP(DATOS!$I14402,CONFIG_ASIGNATURAS!$B$2:$J$91,9,FALSE()),""))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IF(DATOS!$A14403="",0,IF(CONFIG_METADATA!$B$4&lt;&gt;"OR+EX",--(DATOS!$G14403=CONFIG_METADATA!$B$4),IF(DATOS!$G14403="EX",1,IF(DATOS!$G14403="OR",--(COUNTIFS(nNIA,DATOS!$A14403,nCURSO,DATOS!$D14403,nESPEC,DATOS!$E14403,nASIG,DATOS!$I14403,nEVAL,"EX")=0),0))))</f>
      </c>
      <c r="H14403">
        <f>IF(DATOS!$G14403&lt;&gt;"EX",0,--(COUNTIFS(nNIA,DATOS!$A14403,nCURSO,DATOS!$D14403,nESPEC,DATOS!$E14403,nASIG,DATOS!$I14403,nEVAL,"OR")=0))</f>
      </c>
      <c r="I14403">
        <f>IF(DATOS!$I14403="","",IFERROR(VLOOKUP(DATOS!$I14403,CONFIG_ASIGNATURAS!$B$2:$J$91,9,FALSE()),""))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IF(DATOS!$A14404="",0,IF(CONFIG_METADATA!$B$4&lt;&gt;"OR+EX",--(DATOS!$G14404=CONFIG_METADATA!$B$4),IF(DATOS!$G14404="EX",1,IF(DATOS!$G14404="OR",--(COUNTIFS(nNIA,DATOS!$A14404,nCURSO,DATOS!$D14404,nESPEC,DATOS!$E14404,nASIG,DATOS!$I14404,nEVAL,"EX")=0),0))))</f>
      </c>
      <c r="H14404">
        <f>IF(DATOS!$G14404&lt;&gt;"EX",0,--(COUNTIFS(nNIA,DATOS!$A14404,nCURSO,DATOS!$D14404,nESPEC,DATOS!$E14404,nASIG,DATOS!$I14404,nEVAL,"OR")=0))</f>
      </c>
      <c r="I14404">
        <f>IF(DATOS!$I14404="","",IFERROR(VLOOKUP(DATOS!$I14404,CONFIG_ASIGNATURAS!$B$2:$J$91,9,FALSE()),""))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IF(DATOS!$A14405="",0,IF(CONFIG_METADATA!$B$4&lt;&gt;"OR+EX",--(DATOS!$G14405=CONFIG_METADATA!$B$4),IF(DATOS!$G14405="EX",1,IF(DATOS!$G14405="OR",--(COUNTIFS(nNIA,DATOS!$A14405,nCURSO,DATOS!$D14405,nESPEC,DATOS!$E14405,nASIG,DATOS!$I14405,nEVAL,"EX")=0),0))))</f>
      </c>
      <c r="H14405">
        <f>IF(DATOS!$G14405&lt;&gt;"EX",0,--(COUNTIFS(nNIA,DATOS!$A14405,nCURSO,DATOS!$D14405,nESPEC,DATOS!$E14405,nASIG,DATOS!$I14405,nEVAL,"OR")=0))</f>
      </c>
      <c r="I14405">
        <f>IF(DATOS!$I14405="","",IFERROR(VLOOKUP(DATOS!$I14405,CONFIG_ASIGNATURAS!$B$2:$J$91,9,FALSE()),""))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IF(DATOS!$A14406="",0,IF(CONFIG_METADATA!$B$4&lt;&gt;"OR+EX",--(DATOS!$G14406=CONFIG_METADATA!$B$4),IF(DATOS!$G14406="EX",1,IF(DATOS!$G14406="OR",--(COUNTIFS(nNIA,DATOS!$A14406,nCURSO,DATOS!$D14406,nESPEC,DATOS!$E14406,nASIG,DATOS!$I14406,nEVAL,"EX")=0),0))))</f>
      </c>
      <c r="H14406">
        <f>IF(DATOS!$G14406&lt;&gt;"EX",0,--(COUNTIFS(nNIA,DATOS!$A14406,nCURSO,DATOS!$D14406,nESPEC,DATOS!$E14406,nASIG,DATOS!$I14406,nEVAL,"OR")=0))</f>
      </c>
      <c r="I14406">
        <f>IF(DATOS!$I14406="","",IFERROR(VLOOKUP(DATOS!$I14406,CONFIG_ASIGNATURAS!$B$2:$J$91,9,FALSE()),""))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IF(DATOS!$A14407="",0,IF(CONFIG_METADATA!$B$4&lt;&gt;"OR+EX",--(DATOS!$G14407=CONFIG_METADATA!$B$4),IF(DATOS!$G14407="EX",1,IF(DATOS!$G14407="OR",--(COUNTIFS(nNIA,DATOS!$A14407,nCURSO,DATOS!$D14407,nESPEC,DATOS!$E14407,nASIG,DATOS!$I14407,nEVAL,"EX")=0),0))))</f>
      </c>
      <c r="H14407">
        <f>IF(DATOS!$G14407&lt;&gt;"EX",0,--(COUNTIFS(nNIA,DATOS!$A14407,nCURSO,DATOS!$D14407,nESPEC,DATOS!$E14407,nASIG,DATOS!$I14407,nEVAL,"OR")=0))</f>
      </c>
      <c r="I14407">
        <f>IF(DATOS!$I14407="","",IFERROR(VLOOKUP(DATOS!$I14407,CONFIG_ASIGNATURAS!$B$2:$J$91,9,FALSE()),""))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IF(DATOS!$A14408="",0,IF(CONFIG_METADATA!$B$4&lt;&gt;"OR+EX",--(DATOS!$G14408=CONFIG_METADATA!$B$4),IF(DATOS!$G14408="EX",1,IF(DATOS!$G14408="OR",--(COUNTIFS(nNIA,DATOS!$A14408,nCURSO,DATOS!$D14408,nESPEC,DATOS!$E14408,nASIG,DATOS!$I14408,nEVAL,"EX")=0),0))))</f>
      </c>
      <c r="H14408">
        <f>IF(DATOS!$G14408&lt;&gt;"EX",0,--(COUNTIFS(nNIA,DATOS!$A14408,nCURSO,DATOS!$D14408,nESPEC,DATOS!$E14408,nASIG,DATOS!$I14408,nEVAL,"OR")=0))</f>
      </c>
      <c r="I14408">
        <f>IF(DATOS!$I14408="","",IFERROR(VLOOKUP(DATOS!$I14408,CONFIG_ASIGNATURAS!$B$2:$J$91,9,FALSE()),""))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IF(DATOS!$A14409="",0,IF(CONFIG_METADATA!$B$4&lt;&gt;"OR+EX",--(DATOS!$G14409=CONFIG_METADATA!$B$4),IF(DATOS!$G14409="EX",1,IF(DATOS!$G14409="OR",--(COUNTIFS(nNIA,DATOS!$A14409,nCURSO,DATOS!$D14409,nESPEC,DATOS!$E14409,nASIG,DATOS!$I14409,nEVAL,"EX")=0),0))))</f>
      </c>
      <c r="H14409">
        <f>IF(DATOS!$G14409&lt;&gt;"EX",0,--(COUNTIFS(nNIA,DATOS!$A14409,nCURSO,DATOS!$D14409,nESPEC,DATOS!$E14409,nASIG,DATOS!$I14409,nEVAL,"OR")=0))</f>
      </c>
      <c r="I14409">
        <f>IF(DATOS!$I14409="","",IFERROR(VLOOKUP(DATOS!$I14409,CONFIG_ASIGNATURAS!$B$2:$J$91,9,FALSE()),""))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IF(DATOS!$A14410="",0,IF(CONFIG_METADATA!$B$4&lt;&gt;"OR+EX",--(DATOS!$G14410=CONFIG_METADATA!$B$4),IF(DATOS!$G14410="EX",1,IF(DATOS!$G14410="OR",--(COUNTIFS(nNIA,DATOS!$A14410,nCURSO,DATOS!$D14410,nESPEC,DATOS!$E14410,nASIG,DATOS!$I14410,nEVAL,"EX")=0),0))))</f>
      </c>
      <c r="H14410">
        <f>IF(DATOS!$G14410&lt;&gt;"EX",0,--(COUNTIFS(nNIA,DATOS!$A14410,nCURSO,DATOS!$D14410,nESPEC,DATOS!$E14410,nASIG,DATOS!$I14410,nEVAL,"OR")=0))</f>
      </c>
      <c r="I14410">
        <f>IF(DATOS!$I14410="","",IFERROR(VLOOKUP(DATOS!$I14410,CONFIG_ASIGNATURAS!$B$2:$J$91,9,FALSE()),""))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IF(DATOS!$A14411="",0,IF(CONFIG_METADATA!$B$4&lt;&gt;"OR+EX",--(DATOS!$G14411=CONFIG_METADATA!$B$4),IF(DATOS!$G14411="EX",1,IF(DATOS!$G14411="OR",--(COUNTIFS(nNIA,DATOS!$A14411,nCURSO,DATOS!$D14411,nESPEC,DATOS!$E14411,nASIG,DATOS!$I14411,nEVAL,"EX")=0),0))))</f>
      </c>
      <c r="H14411">
        <f>IF(DATOS!$G14411&lt;&gt;"EX",0,--(COUNTIFS(nNIA,DATOS!$A14411,nCURSO,DATOS!$D14411,nESPEC,DATOS!$E14411,nASIG,DATOS!$I14411,nEVAL,"OR")=0))</f>
      </c>
      <c r="I14411">
        <f>IF(DATOS!$I14411="","",IFERROR(VLOOKUP(DATOS!$I14411,CONFIG_ASIGNATURAS!$B$2:$J$91,9,FALSE()),""))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IF(DATOS!$A14412="",0,IF(CONFIG_METADATA!$B$4&lt;&gt;"OR+EX",--(DATOS!$G14412=CONFIG_METADATA!$B$4),IF(DATOS!$G14412="EX",1,IF(DATOS!$G14412="OR",--(COUNTIFS(nNIA,DATOS!$A14412,nCURSO,DATOS!$D14412,nESPEC,DATOS!$E14412,nASIG,DATOS!$I14412,nEVAL,"EX")=0),0))))</f>
      </c>
      <c r="H14412">
        <f>IF(DATOS!$G14412&lt;&gt;"EX",0,--(COUNTIFS(nNIA,DATOS!$A14412,nCURSO,DATOS!$D14412,nESPEC,DATOS!$E14412,nASIG,DATOS!$I14412,nEVAL,"OR")=0))</f>
      </c>
      <c r="I14412">
        <f>IF(DATOS!$I14412="","",IFERROR(VLOOKUP(DATOS!$I14412,CONFIG_ASIGNATURAS!$B$2:$J$91,9,FALSE()),""))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IF(DATOS!$A14413="",0,IF(CONFIG_METADATA!$B$4&lt;&gt;"OR+EX",--(DATOS!$G14413=CONFIG_METADATA!$B$4),IF(DATOS!$G14413="EX",1,IF(DATOS!$G14413="OR",--(COUNTIFS(nNIA,DATOS!$A14413,nCURSO,DATOS!$D14413,nESPEC,DATOS!$E14413,nASIG,DATOS!$I14413,nEVAL,"EX")=0),0))))</f>
      </c>
      <c r="H14413">
        <f>IF(DATOS!$G14413&lt;&gt;"EX",0,--(COUNTIFS(nNIA,DATOS!$A14413,nCURSO,DATOS!$D14413,nESPEC,DATOS!$E14413,nASIG,DATOS!$I14413,nEVAL,"OR")=0))</f>
      </c>
      <c r="I14413">
        <f>IF(DATOS!$I14413="","",IFERROR(VLOOKUP(DATOS!$I14413,CONFIG_ASIGNATURAS!$B$2:$J$91,9,FALSE()),""))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IF(DATOS!$A14414="",0,IF(CONFIG_METADATA!$B$4&lt;&gt;"OR+EX",--(DATOS!$G14414=CONFIG_METADATA!$B$4),IF(DATOS!$G14414="EX",1,IF(DATOS!$G14414="OR",--(COUNTIFS(nNIA,DATOS!$A14414,nCURSO,DATOS!$D14414,nESPEC,DATOS!$E14414,nASIG,DATOS!$I14414,nEVAL,"EX")=0),0))))</f>
      </c>
      <c r="H14414">
        <f>IF(DATOS!$G14414&lt;&gt;"EX",0,--(COUNTIFS(nNIA,DATOS!$A14414,nCURSO,DATOS!$D14414,nESPEC,DATOS!$E14414,nASIG,DATOS!$I14414,nEVAL,"OR")=0))</f>
      </c>
      <c r="I14414">
        <f>IF(DATOS!$I14414="","",IFERROR(VLOOKUP(DATOS!$I14414,CONFIG_ASIGNATURAS!$B$2:$J$91,9,FALSE()),""))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IF(DATOS!$A14415="",0,IF(CONFIG_METADATA!$B$4&lt;&gt;"OR+EX",--(DATOS!$G14415=CONFIG_METADATA!$B$4),IF(DATOS!$G14415="EX",1,IF(DATOS!$G14415="OR",--(COUNTIFS(nNIA,DATOS!$A14415,nCURSO,DATOS!$D14415,nESPEC,DATOS!$E14415,nASIG,DATOS!$I14415,nEVAL,"EX")=0),0))))</f>
      </c>
      <c r="H14415">
        <f>IF(DATOS!$G14415&lt;&gt;"EX",0,--(COUNTIFS(nNIA,DATOS!$A14415,nCURSO,DATOS!$D14415,nESPEC,DATOS!$E14415,nASIG,DATOS!$I14415,nEVAL,"OR")=0))</f>
      </c>
      <c r="I14415">
        <f>IF(DATOS!$I14415="","",IFERROR(VLOOKUP(DATOS!$I14415,CONFIG_ASIGNATURAS!$B$2:$J$91,9,FALSE()),""))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IF(DATOS!$A14416="",0,IF(CONFIG_METADATA!$B$4&lt;&gt;"OR+EX",--(DATOS!$G14416=CONFIG_METADATA!$B$4),IF(DATOS!$G14416="EX",1,IF(DATOS!$G14416="OR",--(COUNTIFS(nNIA,DATOS!$A14416,nCURSO,DATOS!$D14416,nESPEC,DATOS!$E14416,nASIG,DATOS!$I14416,nEVAL,"EX")=0),0))))</f>
      </c>
      <c r="H14416">
        <f>IF(DATOS!$G14416&lt;&gt;"EX",0,--(COUNTIFS(nNIA,DATOS!$A14416,nCURSO,DATOS!$D14416,nESPEC,DATOS!$E14416,nASIG,DATOS!$I14416,nEVAL,"OR")=0))</f>
      </c>
      <c r="I14416">
        <f>IF(DATOS!$I14416="","",IFERROR(VLOOKUP(DATOS!$I14416,CONFIG_ASIGNATURAS!$B$2:$J$91,9,FALSE()),""))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IF(DATOS!$A14417="",0,IF(CONFIG_METADATA!$B$4&lt;&gt;"OR+EX",--(DATOS!$G14417=CONFIG_METADATA!$B$4),IF(DATOS!$G14417="EX",1,IF(DATOS!$G14417="OR",--(COUNTIFS(nNIA,DATOS!$A14417,nCURSO,DATOS!$D14417,nESPEC,DATOS!$E14417,nASIG,DATOS!$I14417,nEVAL,"EX")=0),0))))</f>
      </c>
      <c r="H14417">
        <f>IF(DATOS!$G14417&lt;&gt;"EX",0,--(COUNTIFS(nNIA,DATOS!$A14417,nCURSO,DATOS!$D14417,nESPEC,DATOS!$E14417,nASIG,DATOS!$I14417,nEVAL,"OR")=0))</f>
      </c>
      <c r="I14417">
        <f>IF(DATOS!$I14417="","",IFERROR(VLOOKUP(DATOS!$I14417,CONFIG_ASIGNATURAS!$B$2:$J$91,9,FALSE()),""))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IF(DATOS!$A14418="",0,IF(CONFIG_METADATA!$B$4&lt;&gt;"OR+EX",--(DATOS!$G14418=CONFIG_METADATA!$B$4),IF(DATOS!$G14418="EX",1,IF(DATOS!$G14418="OR",--(COUNTIFS(nNIA,DATOS!$A14418,nCURSO,DATOS!$D14418,nESPEC,DATOS!$E14418,nASIG,DATOS!$I14418,nEVAL,"EX")=0),0))))</f>
      </c>
      <c r="H14418">
        <f>IF(DATOS!$G14418&lt;&gt;"EX",0,--(COUNTIFS(nNIA,DATOS!$A14418,nCURSO,DATOS!$D14418,nESPEC,DATOS!$E14418,nASIG,DATOS!$I14418,nEVAL,"OR")=0))</f>
      </c>
      <c r="I14418">
        <f>IF(DATOS!$I14418="","",IFERROR(VLOOKUP(DATOS!$I14418,CONFIG_ASIGNATURAS!$B$2:$J$91,9,FALSE()),""))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IF(DATOS!$A14419="",0,IF(CONFIG_METADATA!$B$4&lt;&gt;"OR+EX",--(DATOS!$G14419=CONFIG_METADATA!$B$4),IF(DATOS!$G14419="EX",1,IF(DATOS!$G14419="OR",--(COUNTIFS(nNIA,DATOS!$A14419,nCURSO,DATOS!$D14419,nESPEC,DATOS!$E14419,nASIG,DATOS!$I14419,nEVAL,"EX")=0),0))))</f>
      </c>
      <c r="H14419">
        <f>IF(DATOS!$G14419&lt;&gt;"EX",0,--(COUNTIFS(nNIA,DATOS!$A14419,nCURSO,DATOS!$D14419,nESPEC,DATOS!$E14419,nASIG,DATOS!$I14419,nEVAL,"OR")=0))</f>
      </c>
      <c r="I14419">
        <f>IF(DATOS!$I14419="","",IFERROR(VLOOKUP(DATOS!$I14419,CONFIG_ASIGNATURAS!$B$2:$J$91,9,FALSE()),""))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IF(DATOS!$A14420="",0,IF(CONFIG_METADATA!$B$4&lt;&gt;"OR+EX",--(DATOS!$G14420=CONFIG_METADATA!$B$4),IF(DATOS!$G14420="EX",1,IF(DATOS!$G14420="OR",--(COUNTIFS(nNIA,DATOS!$A14420,nCURSO,DATOS!$D14420,nESPEC,DATOS!$E14420,nASIG,DATOS!$I14420,nEVAL,"EX")=0),0))))</f>
      </c>
      <c r="H14420">
        <f>IF(DATOS!$G14420&lt;&gt;"EX",0,--(COUNTIFS(nNIA,DATOS!$A14420,nCURSO,DATOS!$D14420,nESPEC,DATOS!$E14420,nASIG,DATOS!$I14420,nEVAL,"OR")=0))</f>
      </c>
      <c r="I14420">
        <f>IF(DATOS!$I14420="","",IFERROR(VLOOKUP(DATOS!$I14420,CONFIG_ASIGNATURAS!$B$2:$J$91,9,FALSE()),""))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IF(DATOS!$A14421="",0,IF(CONFIG_METADATA!$B$4&lt;&gt;"OR+EX",--(DATOS!$G14421=CONFIG_METADATA!$B$4),IF(DATOS!$G14421="EX",1,IF(DATOS!$G14421="OR",--(COUNTIFS(nNIA,DATOS!$A14421,nCURSO,DATOS!$D14421,nESPEC,DATOS!$E14421,nASIG,DATOS!$I14421,nEVAL,"EX")=0),0))))</f>
      </c>
      <c r="H14421">
        <f>IF(DATOS!$G14421&lt;&gt;"EX",0,--(COUNTIFS(nNIA,DATOS!$A14421,nCURSO,DATOS!$D14421,nESPEC,DATOS!$E14421,nASIG,DATOS!$I14421,nEVAL,"OR")=0))</f>
      </c>
      <c r="I14421">
        <f>IF(DATOS!$I14421="","",IFERROR(VLOOKUP(DATOS!$I14421,CONFIG_ASIGNATURAS!$B$2:$J$91,9,FALSE()),""))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IF(DATOS!$A14422="",0,IF(CONFIG_METADATA!$B$4&lt;&gt;"OR+EX",--(DATOS!$G14422=CONFIG_METADATA!$B$4),IF(DATOS!$G14422="EX",1,IF(DATOS!$G14422="OR",--(COUNTIFS(nNIA,DATOS!$A14422,nCURSO,DATOS!$D14422,nESPEC,DATOS!$E14422,nASIG,DATOS!$I14422,nEVAL,"EX")=0),0))))</f>
      </c>
      <c r="H14422">
        <f>IF(DATOS!$G14422&lt;&gt;"EX",0,--(COUNTIFS(nNIA,DATOS!$A14422,nCURSO,DATOS!$D14422,nESPEC,DATOS!$E14422,nASIG,DATOS!$I14422,nEVAL,"OR")=0))</f>
      </c>
      <c r="I14422">
        <f>IF(DATOS!$I14422="","",IFERROR(VLOOKUP(DATOS!$I14422,CONFIG_ASIGNATURAS!$B$2:$J$91,9,FALSE()),""))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IF(DATOS!$A14423="",0,IF(CONFIG_METADATA!$B$4&lt;&gt;"OR+EX",--(DATOS!$G14423=CONFIG_METADATA!$B$4),IF(DATOS!$G14423="EX",1,IF(DATOS!$G14423="OR",--(COUNTIFS(nNIA,DATOS!$A14423,nCURSO,DATOS!$D14423,nESPEC,DATOS!$E14423,nASIG,DATOS!$I14423,nEVAL,"EX")=0),0))))</f>
      </c>
      <c r="H14423">
        <f>IF(DATOS!$G14423&lt;&gt;"EX",0,--(COUNTIFS(nNIA,DATOS!$A14423,nCURSO,DATOS!$D14423,nESPEC,DATOS!$E14423,nASIG,DATOS!$I14423,nEVAL,"OR")=0))</f>
      </c>
      <c r="I14423">
        <f>IF(DATOS!$I14423="","",IFERROR(VLOOKUP(DATOS!$I14423,CONFIG_ASIGNATURAS!$B$2:$J$91,9,FALSE()),""))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IF(DATOS!$A14424="",0,IF(CONFIG_METADATA!$B$4&lt;&gt;"OR+EX",--(DATOS!$G14424=CONFIG_METADATA!$B$4),IF(DATOS!$G14424="EX",1,IF(DATOS!$G14424="OR",--(COUNTIFS(nNIA,DATOS!$A14424,nCURSO,DATOS!$D14424,nESPEC,DATOS!$E14424,nASIG,DATOS!$I14424,nEVAL,"EX")=0),0))))</f>
      </c>
      <c r="H14424">
        <f>IF(DATOS!$G14424&lt;&gt;"EX",0,--(COUNTIFS(nNIA,DATOS!$A14424,nCURSO,DATOS!$D14424,nESPEC,DATOS!$E14424,nASIG,DATOS!$I14424,nEVAL,"OR")=0))</f>
      </c>
      <c r="I14424">
        <f>IF(DATOS!$I14424="","",IFERROR(VLOOKUP(DATOS!$I14424,CONFIG_ASIGNATURAS!$B$2:$J$91,9,FALSE()),""))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IF(DATOS!$A14425="",0,IF(CONFIG_METADATA!$B$4&lt;&gt;"OR+EX",--(DATOS!$G14425=CONFIG_METADATA!$B$4),IF(DATOS!$G14425="EX",1,IF(DATOS!$G14425="OR",--(COUNTIFS(nNIA,DATOS!$A14425,nCURSO,DATOS!$D14425,nESPEC,DATOS!$E14425,nASIG,DATOS!$I14425,nEVAL,"EX")=0),0))))</f>
      </c>
      <c r="H14425">
        <f>IF(DATOS!$G14425&lt;&gt;"EX",0,--(COUNTIFS(nNIA,DATOS!$A14425,nCURSO,DATOS!$D14425,nESPEC,DATOS!$E14425,nASIG,DATOS!$I14425,nEVAL,"OR")=0))</f>
      </c>
      <c r="I14425">
        <f>IF(DATOS!$I14425="","",IFERROR(VLOOKUP(DATOS!$I14425,CONFIG_ASIGNATURAS!$B$2:$J$91,9,FALSE()),""))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IF(DATOS!$A14426="",0,IF(CONFIG_METADATA!$B$4&lt;&gt;"OR+EX",--(DATOS!$G14426=CONFIG_METADATA!$B$4),IF(DATOS!$G14426="EX",1,IF(DATOS!$G14426="OR",--(COUNTIFS(nNIA,DATOS!$A14426,nCURSO,DATOS!$D14426,nESPEC,DATOS!$E14426,nASIG,DATOS!$I14426,nEVAL,"EX")=0),0))))</f>
      </c>
      <c r="H14426">
        <f>IF(DATOS!$G14426&lt;&gt;"EX",0,--(COUNTIFS(nNIA,DATOS!$A14426,nCURSO,DATOS!$D14426,nESPEC,DATOS!$E14426,nASIG,DATOS!$I14426,nEVAL,"OR")=0))</f>
      </c>
      <c r="I14426">
        <f>IF(DATOS!$I14426="","",IFERROR(VLOOKUP(DATOS!$I14426,CONFIG_ASIGNATURAS!$B$2:$J$91,9,FALSE()),""))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IF(DATOS!$A14427="",0,IF(CONFIG_METADATA!$B$4&lt;&gt;"OR+EX",--(DATOS!$G14427=CONFIG_METADATA!$B$4),IF(DATOS!$G14427="EX",1,IF(DATOS!$G14427="OR",--(COUNTIFS(nNIA,DATOS!$A14427,nCURSO,DATOS!$D14427,nESPEC,DATOS!$E14427,nASIG,DATOS!$I14427,nEVAL,"EX")=0),0))))</f>
      </c>
      <c r="H14427">
        <f>IF(DATOS!$G14427&lt;&gt;"EX",0,--(COUNTIFS(nNIA,DATOS!$A14427,nCURSO,DATOS!$D14427,nESPEC,DATOS!$E14427,nASIG,DATOS!$I14427,nEVAL,"OR")=0))</f>
      </c>
      <c r="I14427">
        <f>IF(DATOS!$I14427="","",IFERROR(VLOOKUP(DATOS!$I14427,CONFIG_ASIGNATURAS!$B$2:$J$91,9,FALSE()),""))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IF(DATOS!$A14428="",0,IF(CONFIG_METADATA!$B$4&lt;&gt;"OR+EX",--(DATOS!$G14428=CONFIG_METADATA!$B$4),IF(DATOS!$G14428="EX",1,IF(DATOS!$G14428="OR",--(COUNTIFS(nNIA,DATOS!$A14428,nCURSO,DATOS!$D14428,nESPEC,DATOS!$E14428,nASIG,DATOS!$I14428,nEVAL,"EX")=0),0))))</f>
      </c>
      <c r="H14428">
        <f>IF(DATOS!$G14428&lt;&gt;"EX",0,--(COUNTIFS(nNIA,DATOS!$A14428,nCURSO,DATOS!$D14428,nESPEC,DATOS!$E14428,nASIG,DATOS!$I14428,nEVAL,"OR")=0))</f>
      </c>
      <c r="I14428">
        <f>IF(DATOS!$I14428="","",IFERROR(VLOOKUP(DATOS!$I14428,CONFIG_ASIGNATURAS!$B$2:$J$91,9,FALSE()),""))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IF(DATOS!$A14429="",0,IF(CONFIG_METADATA!$B$4&lt;&gt;"OR+EX",--(DATOS!$G14429=CONFIG_METADATA!$B$4),IF(DATOS!$G14429="EX",1,IF(DATOS!$G14429="OR",--(COUNTIFS(nNIA,DATOS!$A14429,nCURSO,DATOS!$D14429,nESPEC,DATOS!$E14429,nASIG,DATOS!$I14429,nEVAL,"EX")=0),0))))</f>
      </c>
      <c r="H14429">
        <f>IF(DATOS!$G14429&lt;&gt;"EX",0,--(COUNTIFS(nNIA,DATOS!$A14429,nCURSO,DATOS!$D14429,nESPEC,DATOS!$E14429,nASIG,DATOS!$I14429,nEVAL,"OR")=0))</f>
      </c>
      <c r="I14429">
        <f>IF(DATOS!$I14429="","",IFERROR(VLOOKUP(DATOS!$I14429,CONFIG_ASIGNATURAS!$B$2:$J$91,9,FALSE()),""))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IF(DATOS!$A14430="",0,IF(CONFIG_METADATA!$B$4&lt;&gt;"OR+EX",--(DATOS!$G14430=CONFIG_METADATA!$B$4),IF(DATOS!$G14430="EX",1,IF(DATOS!$G14430="OR",--(COUNTIFS(nNIA,DATOS!$A14430,nCURSO,DATOS!$D14430,nESPEC,DATOS!$E14430,nASIG,DATOS!$I14430,nEVAL,"EX")=0),0))))</f>
      </c>
      <c r="H14430">
        <f>IF(DATOS!$G14430&lt;&gt;"EX",0,--(COUNTIFS(nNIA,DATOS!$A14430,nCURSO,DATOS!$D14430,nESPEC,DATOS!$E14430,nASIG,DATOS!$I14430,nEVAL,"OR")=0))</f>
      </c>
      <c r="I14430">
        <f>IF(DATOS!$I14430="","",IFERROR(VLOOKUP(DATOS!$I14430,CONFIG_ASIGNATURAS!$B$2:$J$91,9,FALSE()),""))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IF(DATOS!$A14431="",0,IF(CONFIG_METADATA!$B$4&lt;&gt;"OR+EX",--(DATOS!$G14431=CONFIG_METADATA!$B$4),IF(DATOS!$G14431="EX",1,IF(DATOS!$G14431="OR",--(COUNTIFS(nNIA,DATOS!$A14431,nCURSO,DATOS!$D14431,nESPEC,DATOS!$E14431,nASIG,DATOS!$I14431,nEVAL,"EX")=0),0))))</f>
      </c>
      <c r="H14431">
        <f>IF(DATOS!$G14431&lt;&gt;"EX",0,--(COUNTIFS(nNIA,DATOS!$A14431,nCURSO,DATOS!$D14431,nESPEC,DATOS!$E14431,nASIG,DATOS!$I14431,nEVAL,"OR")=0))</f>
      </c>
      <c r="I14431">
        <f>IF(DATOS!$I14431="","",IFERROR(VLOOKUP(DATOS!$I14431,CONFIG_ASIGNATURAS!$B$2:$J$91,9,FALSE()),""))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IF(DATOS!$A14432="",0,IF(CONFIG_METADATA!$B$4&lt;&gt;"OR+EX",--(DATOS!$G14432=CONFIG_METADATA!$B$4),IF(DATOS!$G14432="EX",1,IF(DATOS!$G14432="OR",--(COUNTIFS(nNIA,DATOS!$A14432,nCURSO,DATOS!$D14432,nESPEC,DATOS!$E14432,nASIG,DATOS!$I14432,nEVAL,"EX")=0),0))))</f>
      </c>
      <c r="H14432">
        <f>IF(DATOS!$G14432&lt;&gt;"EX",0,--(COUNTIFS(nNIA,DATOS!$A14432,nCURSO,DATOS!$D14432,nESPEC,DATOS!$E14432,nASIG,DATOS!$I14432,nEVAL,"OR")=0))</f>
      </c>
      <c r="I14432">
        <f>IF(DATOS!$I14432="","",IFERROR(VLOOKUP(DATOS!$I14432,CONFIG_ASIGNATURAS!$B$2:$J$91,9,FALSE()),""))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IF(DATOS!$A14433="",0,IF(CONFIG_METADATA!$B$4&lt;&gt;"OR+EX",--(DATOS!$G14433=CONFIG_METADATA!$B$4),IF(DATOS!$G14433="EX",1,IF(DATOS!$G14433="OR",--(COUNTIFS(nNIA,DATOS!$A14433,nCURSO,DATOS!$D14433,nESPEC,DATOS!$E14433,nASIG,DATOS!$I14433,nEVAL,"EX")=0),0))))</f>
      </c>
      <c r="H14433">
        <f>IF(DATOS!$G14433&lt;&gt;"EX",0,--(COUNTIFS(nNIA,DATOS!$A14433,nCURSO,DATOS!$D14433,nESPEC,DATOS!$E14433,nASIG,DATOS!$I14433,nEVAL,"OR")=0))</f>
      </c>
      <c r="I14433">
        <f>IF(DATOS!$I14433="","",IFERROR(VLOOKUP(DATOS!$I14433,CONFIG_ASIGNATURAS!$B$2:$J$91,9,FALSE()),""))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IF(DATOS!$A14434="",0,IF(CONFIG_METADATA!$B$4&lt;&gt;"OR+EX",--(DATOS!$G14434=CONFIG_METADATA!$B$4),IF(DATOS!$G14434="EX",1,IF(DATOS!$G14434="OR",--(COUNTIFS(nNIA,DATOS!$A14434,nCURSO,DATOS!$D14434,nESPEC,DATOS!$E14434,nASIG,DATOS!$I14434,nEVAL,"EX")=0),0))))</f>
      </c>
      <c r="H14434">
        <f>IF(DATOS!$G14434&lt;&gt;"EX",0,--(COUNTIFS(nNIA,DATOS!$A14434,nCURSO,DATOS!$D14434,nESPEC,DATOS!$E14434,nASIG,DATOS!$I14434,nEVAL,"OR")=0))</f>
      </c>
      <c r="I14434">
        <f>IF(DATOS!$I14434="","",IFERROR(VLOOKUP(DATOS!$I14434,CONFIG_ASIGNATURAS!$B$2:$J$91,9,FALSE()),""))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IF(DATOS!$A14435="",0,IF(CONFIG_METADATA!$B$4&lt;&gt;"OR+EX",--(DATOS!$G14435=CONFIG_METADATA!$B$4),IF(DATOS!$G14435="EX",1,IF(DATOS!$G14435="OR",--(COUNTIFS(nNIA,DATOS!$A14435,nCURSO,DATOS!$D14435,nESPEC,DATOS!$E14435,nASIG,DATOS!$I14435,nEVAL,"EX")=0),0))))</f>
      </c>
      <c r="H14435">
        <f>IF(DATOS!$G14435&lt;&gt;"EX",0,--(COUNTIFS(nNIA,DATOS!$A14435,nCURSO,DATOS!$D14435,nESPEC,DATOS!$E14435,nASIG,DATOS!$I14435,nEVAL,"OR")=0))</f>
      </c>
      <c r="I14435">
        <f>IF(DATOS!$I14435="","",IFERROR(VLOOKUP(DATOS!$I14435,CONFIG_ASIGNATURAS!$B$2:$J$91,9,FALSE()),""))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IF(DATOS!$A14436="",0,IF(CONFIG_METADATA!$B$4&lt;&gt;"OR+EX",--(DATOS!$G14436=CONFIG_METADATA!$B$4),IF(DATOS!$G14436="EX",1,IF(DATOS!$G14436="OR",--(COUNTIFS(nNIA,DATOS!$A14436,nCURSO,DATOS!$D14436,nESPEC,DATOS!$E14436,nASIG,DATOS!$I14436,nEVAL,"EX")=0),0))))</f>
      </c>
      <c r="H14436">
        <f>IF(DATOS!$G14436&lt;&gt;"EX",0,--(COUNTIFS(nNIA,DATOS!$A14436,nCURSO,DATOS!$D14436,nESPEC,DATOS!$E14436,nASIG,DATOS!$I14436,nEVAL,"OR")=0))</f>
      </c>
      <c r="I14436">
        <f>IF(DATOS!$I14436="","",IFERROR(VLOOKUP(DATOS!$I14436,CONFIG_ASIGNATURAS!$B$2:$J$91,9,FALSE()),""))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IF(DATOS!$A14437="",0,IF(CONFIG_METADATA!$B$4&lt;&gt;"OR+EX",--(DATOS!$G14437=CONFIG_METADATA!$B$4),IF(DATOS!$G14437="EX",1,IF(DATOS!$G14437="OR",--(COUNTIFS(nNIA,DATOS!$A14437,nCURSO,DATOS!$D14437,nESPEC,DATOS!$E14437,nASIG,DATOS!$I14437,nEVAL,"EX")=0),0))))</f>
      </c>
      <c r="H14437">
        <f>IF(DATOS!$G14437&lt;&gt;"EX",0,--(COUNTIFS(nNIA,DATOS!$A14437,nCURSO,DATOS!$D14437,nESPEC,DATOS!$E14437,nASIG,DATOS!$I14437,nEVAL,"OR")=0))</f>
      </c>
      <c r="I14437">
        <f>IF(DATOS!$I14437="","",IFERROR(VLOOKUP(DATOS!$I14437,CONFIG_ASIGNATURAS!$B$2:$J$91,9,FALSE()),""))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IF(DATOS!$A14438="",0,IF(CONFIG_METADATA!$B$4&lt;&gt;"OR+EX",--(DATOS!$G14438=CONFIG_METADATA!$B$4),IF(DATOS!$G14438="EX",1,IF(DATOS!$G14438="OR",--(COUNTIFS(nNIA,DATOS!$A14438,nCURSO,DATOS!$D14438,nESPEC,DATOS!$E14438,nASIG,DATOS!$I14438,nEVAL,"EX")=0),0))))</f>
      </c>
      <c r="H14438">
        <f>IF(DATOS!$G14438&lt;&gt;"EX",0,--(COUNTIFS(nNIA,DATOS!$A14438,nCURSO,DATOS!$D14438,nESPEC,DATOS!$E14438,nASIG,DATOS!$I14438,nEVAL,"OR")=0))</f>
      </c>
      <c r="I14438">
        <f>IF(DATOS!$I14438="","",IFERROR(VLOOKUP(DATOS!$I14438,CONFIG_ASIGNATURAS!$B$2:$J$91,9,FALSE()),""))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IF(DATOS!$A14439="",0,IF(CONFIG_METADATA!$B$4&lt;&gt;"OR+EX",--(DATOS!$G14439=CONFIG_METADATA!$B$4),IF(DATOS!$G14439="EX",1,IF(DATOS!$G14439="OR",--(COUNTIFS(nNIA,DATOS!$A14439,nCURSO,DATOS!$D14439,nESPEC,DATOS!$E14439,nASIG,DATOS!$I14439,nEVAL,"EX")=0),0))))</f>
      </c>
      <c r="H14439">
        <f>IF(DATOS!$G14439&lt;&gt;"EX",0,--(COUNTIFS(nNIA,DATOS!$A14439,nCURSO,DATOS!$D14439,nESPEC,DATOS!$E14439,nASIG,DATOS!$I14439,nEVAL,"OR")=0))</f>
      </c>
      <c r="I14439">
        <f>IF(DATOS!$I14439="","",IFERROR(VLOOKUP(DATOS!$I14439,CONFIG_ASIGNATURAS!$B$2:$J$91,9,FALSE()),""))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IF(DATOS!$A14440="",0,IF(CONFIG_METADATA!$B$4&lt;&gt;"OR+EX",--(DATOS!$G14440=CONFIG_METADATA!$B$4),IF(DATOS!$G14440="EX",1,IF(DATOS!$G14440="OR",--(COUNTIFS(nNIA,DATOS!$A14440,nCURSO,DATOS!$D14440,nESPEC,DATOS!$E14440,nASIG,DATOS!$I14440,nEVAL,"EX")=0),0))))</f>
      </c>
      <c r="H14440">
        <f>IF(DATOS!$G14440&lt;&gt;"EX",0,--(COUNTIFS(nNIA,DATOS!$A14440,nCURSO,DATOS!$D14440,nESPEC,DATOS!$E14440,nASIG,DATOS!$I14440,nEVAL,"OR")=0))</f>
      </c>
      <c r="I14440">
        <f>IF(DATOS!$I14440="","",IFERROR(VLOOKUP(DATOS!$I14440,CONFIG_ASIGNATURAS!$B$2:$J$91,9,FALSE()),""))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IF(DATOS!$A14441="",0,IF(CONFIG_METADATA!$B$4&lt;&gt;"OR+EX",--(DATOS!$G14441=CONFIG_METADATA!$B$4),IF(DATOS!$G14441="EX",1,IF(DATOS!$G14441="OR",--(COUNTIFS(nNIA,DATOS!$A14441,nCURSO,DATOS!$D14441,nESPEC,DATOS!$E14441,nASIG,DATOS!$I14441,nEVAL,"EX")=0),0))))</f>
      </c>
      <c r="H14441">
        <f>IF(DATOS!$G14441&lt;&gt;"EX",0,--(COUNTIFS(nNIA,DATOS!$A14441,nCURSO,DATOS!$D14441,nESPEC,DATOS!$E14441,nASIG,DATOS!$I14441,nEVAL,"OR")=0))</f>
      </c>
      <c r="I14441">
        <f>IF(DATOS!$I14441="","",IFERROR(VLOOKUP(DATOS!$I14441,CONFIG_ASIGNATURAS!$B$2:$J$91,9,FALSE()),""))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IF(DATOS!$A14442="",0,IF(CONFIG_METADATA!$B$4&lt;&gt;"OR+EX",--(DATOS!$G14442=CONFIG_METADATA!$B$4),IF(DATOS!$G14442="EX",1,IF(DATOS!$G14442="OR",--(COUNTIFS(nNIA,DATOS!$A14442,nCURSO,DATOS!$D14442,nESPEC,DATOS!$E14442,nASIG,DATOS!$I14442,nEVAL,"EX")=0),0))))</f>
      </c>
      <c r="H14442">
        <f>IF(DATOS!$G14442&lt;&gt;"EX",0,--(COUNTIFS(nNIA,DATOS!$A14442,nCURSO,DATOS!$D14442,nESPEC,DATOS!$E14442,nASIG,DATOS!$I14442,nEVAL,"OR")=0))</f>
      </c>
      <c r="I14442">
        <f>IF(DATOS!$I14442="","",IFERROR(VLOOKUP(DATOS!$I14442,CONFIG_ASIGNATURAS!$B$2:$J$91,9,FALSE()),""))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IF(DATOS!$A14443="",0,IF(CONFIG_METADATA!$B$4&lt;&gt;"OR+EX",--(DATOS!$G14443=CONFIG_METADATA!$B$4),IF(DATOS!$G14443="EX",1,IF(DATOS!$G14443="OR",--(COUNTIFS(nNIA,DATOS!$A14443,nCURSO,DATOS!$D14443,nESPEC,DATOS!$E14443,nASIG,DATOS!$I14443,nEVAL,"EX")=0),0))))</f>
      </c>
      <c r="H14443">
        <f>IF(DATOS!$G14443&lt;&gt;"EX",0,--(COUNTIFS(nNIA,DATOS!$A14443,nCURSO,DATOS!$D14443,nESPEC,DATOS!$E14443,nASIG,DATOS!$I14443,nEVAL,"OR")=0))</f>
      </c>
      <c r="I14443">
        <f>IF(DATOS!$I14443="","",IFERROR(VLOOKUP(DATOS!$I14443,CONFIG_ASIGNATURAS!$B$2:$J$91,9,FALSE()),""))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IF(DATOS!$A14444="",0,IF(CONFIG_METADATA!$B$4&lt;&gt;"OR+EX",--(DATOS!$G14444=CONFIG_METADATA!$B$4),IF(DATOS!$G14444="EX",1,IF(DATOS!$G14444="OR",--(COUNTIFS(nNIA,DATOS!$A14444,nCURSO,DATOS!$D14444,nESPEC,DATOS!$E14444,nASIG,DATOS!$I14444,nEVAL,"EX")=0),0))))</f>
      </c>
      <c r="H14444">
        <f>IF(DATOS!$G14444&lt;&gt;"EX",0,--(COUNTIFS(nNIA,DATOS!$A14444,nCURSO,DATOS!$D14444,nESPEC,DATOS!$E14444,nASIG,DATOS!$I14444,nEVAL,"OR")=0))</f>
      </c>
      <c r="I14444">
        <f>IF(DATOS!$I14444="","",IFERROR(VLOOKUP(DATOS!$I14444,CONFIG_ASIGNATURAS!$B$2:$J$91,9,FALSE()),""))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IF(DATOS!$A14445="",0,IF(CONFIG_METADATA!$B$4&lt;&gt;"OR+EX",--(DATOS!$G14445=CONFIG_METADATA!$B$4),IF(DATOS!$G14445="EX",1,IF(DATOS!$G14445="OR",--(COUNTIFS(nNIA,DATOS!$A14445,nCURSO,DATOS!$D14445,nESPEC,DATOS!$E14445,nASIG,DATOS!$I14445,nEVAL,"EX")=0),0))))</f>
      </c>
      <c r="H14445">
        <f>IF(DATOS!$G14445&lt;&gt;"EX",0,--(COUNTIFS(nNIA,DATOS!$A14445,nCURSO,DATOS!$D14445,nESPEC,DATOS!$E14445,nASIG,DATOS!$I14445,nEVAL,"OR")=0))</f>
      </c>
      <c r="I14445">
        <f>IF(DATOS!$I14445="","",IFERROR(VLOOKUP(DATOS!$I14445,CONFIG_ASIGNATURAS!$B$2:$J$91,9,FALSE()),""))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IF(DATOS!$A14446="",0,IF(CONFIG_METADATA!$B$4&lt;&gt;"OR+EX",--(DATOS!$G14446=CONFIG_METADATA!$B$4),IF(DATOS!$G14446="EX",1,IF(DATOS!$G14446="OR",--(COUNTIFS(nNIA,DATOS!$A14446,nCURSO,DATOS!$D14446,nESPEC,DATOS!$E14446,nASIG,DATOS!$I14446,nEVAL,"EX")=0),0))))</f>
      </c>
      <c r="H14446">
        <f>IF(DATOS!$G14446&lt;&gt;"EX",0,--(COUNTIFS(nNIA,DATOS!$A14446,nCURSO,DATOS!$D14446,nESPEC,DATOS!$E14446,nASIG,DATOS!$I14446,nEVAL,"OR")=0))</f>
      </c>
      <c r="I14446">
        <f>IF(DATOS!$I14446="","",IFERROR(VLOOKUP(DATOS!$I14446,CONFIG_ASIGNATURAS!$B$2:$J$91,9,FALSE()),""))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IF(DATOS!$A14447="",0,IF(CONFIG_METADATA!$B$4&lt;&gt;"OR+EX",--(DATOS!$G14447=CONFIG_METADATA!$B$4),IF(DATOS!$G14447="EX",1,IF(DATOS!$G14447="OR",--(COUNTIFS(nNIA,DATOS!$A14447,nCURSO,DATOS!$D14447,nESPEC,DATOS!$E14447,nASIG,DATOS!$I14447,nEVAL,"EX")=0),0))))</f>
      </c>
      <c r="H14447">
        <f>IF(DATOS!$G14447&lt;&gt;"EX",0,--(COUNTIFS(nNIA,DATOS!$A14447,nCURSO,DATOS!$D14447,nESPEC,DATOS!$E14447,nASIG,DATOS!$I14447,nEVAL,"OR")=0))</f>
      </c>
      <c r="I14447">
        <f>IF(DATOS!$I14447="","",IFERROR(VLOOKUP(DATOS!$I14447,CONFIG_ASIGNATURAS!$B$2:$J$91,9,FALSE()),""))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IF(DATOS!$A14448="",0,IF(CONFIG_METADATA!$B$4&lt;&gt;"OR+EX",--(DATOS!$G14448=CONFIG_METADATA!$B$4),IF(DATOS!$G14448="EX",1,IF(DATOS!$G14448="OR",--(COUNTIFS(nNIA,DATOS!$A14448,nCURSO,DATOS!$D14448,nESPEC,DATOS!$E14448,nASIG,DATOS!$I14448,nEVAL,"EX")=0),0))))</f>
      </c>
      <c r="H14448">
        <f>IF(DATOS!$G14448&lt;&gt;"EX",0,--(COUNTIFS(nNIA,DATOS!$A14448,nCURSO,DATOS!$D14448,nESPEC,DATOS!$E14448,nASIG,DATOS!$I14448,nEVAL,"OR")=0))</f>
      </c>
      <c r="I14448">
        <f>IF(DATOS!$I14448="","",IFERROR(VLOOKUP(DATOS!$I14448,CONFIG_ASIGNATURAS!$B$2:$J$91,9,FALSE()),""))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IF(DATOS!$A14449="",0,IF(CONFIG_METADATA!$B$4&lt;&gt;"OR+EX",--(DATOS!$G14449=CONFIG_METADATA!$B$4),IF(DATOS!$G14449="EX",1,IF(DATOS!$G14449="OR",--(COUNTIFS(nNIA,DATOS!$A14449,nCURSO,DATOS!$D14449,nESPEC,DATOS!$E14449,nASIG,DATOS!$I14449,nEVAL,"EX")=0),0))))</f>
      </c>
      <c r="H14449">
        <f>IF(DATOS!$G14449&lt;&gt;"EX",0,--(COUNTIFS(nNIA,DATOS!$A14449,nCURSO,DATOS!$D14449,nESPEC,DATOS!$E14449,nASIG,DATOS!$I14449,nEVAL,"OR")=0))</f>
      </c>
      <c r="I14449">
        <f>IF(DATOS!$I14449="","",IFERROR(VLOOKUP(DATOS!$I14449,CONFIG_ASIGNATURAS!$B$2:$J$91,9,FALSE()),""))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IF(DATOS!$A14450="",0,IF(CONFIG_METADATA!$B$4&lt;&gt;"OR+EX",--(DATOS!$G14450=CONFIG_METADATA!$B$4),IF(DATOS!$G14450="EX",1,IF(DATOS!$G14450="OR",--(COUNTIFS(nNIA,DATOS!$A14450,nCURSO,DATOS!$D14450,nESPEC,DATOS!$E14450,nASIG,DATOS!$I14450,nEVAL,"EX")=0),0))))</f>
      </c>
      <c r="H14450">
        <f>IF(DATOS!$G14450&lt;&gt;"EX",0,--(COUNTIFS(nNIA,DATOS!$A14450,nCURSO,DATOS!$D14450,nESPEC,DATOS!$E14450,nASIG,DATOS!$I14450,nEVAL,"OR")=0))</f>
      </c>
      <c r="I14450">
        <f>IF(DATOS!$I14450="","",IFERROR(VLOOKUP(DATOS!$I14450,CONFIG_ASIGNATURAS!$B$2:$J$91,9,FALSE()),""))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IF(DATOS!$A14451="",0,IF(CONFIG_METADATA!$B$4&lt;&gt;"OR+EX",--(DATOS!$G14451=CONFIG_METADATA!$B$4),IF(DATOS!$G14451="EX",1,IF(DATOS!$G14451="OR",--(COUNTIFS(nNIA,DATOS!$A14451,nCURSO,DATOS!$D14451,nESPEC,DATOS!$E14451,nASIG,DATOS!$I14451,nEVAL,"EX")=0),0))))</f>
      </c>
      <c r="H14451">
        <f>IF(DATOS!$G14451&lt;&gt;"EX",0,--(COUNTIFS(nNIA,DATOS!$A14451,nCURSO,DATOS!$D14451,nESPEC,DATOS!$E14451,nASIG,DATOS!$I14451,nEVAL,"OR")=0))</f>
      </c>
      <c r="I14451">
        <f>IF(DATOS!$I14451="","",IFERROR(VLOOKUP(DATOS!$I14451,CONFIG_ASIGNATURAS!$B$2:$J$91,9,FALSE()),""))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IF(DATOS!$A14452="",0,IF(CONFIG_METADATA!$B$4&lt;&gt;"OR+EX",--(DATOS!$G14452=CONFIG_METADATA!$B$4),IF(DATOS!$G14452="EX",1,IF(DATOS!$G14452="OR",--(COUNTIFS(nNIA,DATOS!$A14452,nCURSO,DATOS!$D14452,nESPEC,DATOS!$E14452,nASIG,DATOS!$I14452,nEVAL,"EX")=0),0))))</f>
      </c>
      <c r="H14452">
        <f>IF(DATOS!$G14452&lt;&gt;"EX",0,--(COUNTIFS(nNIA,DATOS!$A14452,nCURSO,DATOS!$D14452,nESPEC,DATOS!$E14452,nASIG,DATOS!$I14452,nEVAL,"OR")=0))</f>
      </c>
      <c r="I14452">
        <f>IF(DATOS!$I14452="","",IFERROR(VLOOKUP(DATOS!$I14452,CONFIG_ASIGNATURAS!$B$2:$J$91,9,FALSE()),""))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IF(DATOS!$A14453="",0,IF(CONFIG_METADATA!$B$4&lt;&gt;"OR+EX",--(DATOS!$G14453=CONFIG_METADATA!$B$4),IF(DATOS!$G14453="EX",1,IF(DATOS!$G14453="OR",--(COUNTIFS(nNIA,DATOS!$A14453,nCURSO,DATOS!$D14453,nESPEC,DATOS!$E14453,nASIG,DATOS!$I14453,nEVAL,"EX")=0),0))))</f>
      </c>
      <c r="H14453">
        <f>IF(DATOS!$G14453&lt;&gt;"EX",0,--(COUNTIFS(nNIA,DATOS!$A14453,nCURSO,DATOS!$D14453,nESPEC,DATOS!$E14453,nASIG,DATOS!$I14453,nEVAL,"OR")=0))</f>
      </c>
      <c r="I14453">
        <f>IF(DATOS!$I14453="","",IFERROR(VLOOKUP(DATOS!$I14453,CONFIG_ASIGNATURAS!$B$2:$J$91,9,FALSE()),""))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IF(DATOS!$A14454="",0,IF(CONFIG_METADATA!$B$4&lt;&gt;"OR+EX",--(DATOS!$G14454=CONFIG_METADATA!$B$4),IF(DATOS!$G14454="EX",1,IF(DATOS!$G14454="OR",--(COUNTIFS(nNIA,DATOS!$A14454,nCURSO,DATOS!$D14454,nESPEC,DATOS!$E14454,nASIG,DATOS!$I14454,nEVAL,"EX")=0),0))))</f>
      </c>
      <c r="H14454">
        <f>IF(DATOS!$G14454&lt;&gt;"EX",0,--(COUNTIFS(nNIA,DATOS!$A14454,nCURSO,DATOS!$D14454,nESPEC,DATOS!$E14454,nASIG,DATOS!$I14454,nEVAL,"OR")=0))</f>
      </c>
      <c r="I14454">
        <f>IF(DATOS!$I14454="","",IFERROR(VLOOKUP(DATOS!$I14454,CONFIG_ASIGNATURAS!$B$2:$J$91,9,FALSE()),""))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IF(DATOS!$A14455="",0,IF(CONFIG_METADATA!$B$4&lt;&gt;"OR+EX",--(DATOS!$G14455=CONFIG_METADATA!$B$4),IF(DATOS!$G14455="EX",1,IF(DATOS!$G14455="OR",--(COUNTIFS(nNIA,DATOS!$A14455,nCURSO,DATOS!$D14455,nESPEC,DATOS!$E14455,nASIG,DATOS!$I14455,nEVAL,"EX")=0),0))))</f>
      </c>
      <c r="H14455">
        <f>IF(DATOS!$G14455&lt;&gt;"EX",0,--(COUNTIFS(nNIA,DATOS!$A14455,nCURSO,DATOS!$D14455,nESPEC,DATOS!$E14455,nASIG,DATOS!$I14455,nEVAL,"OR")=0))</f>
      </c>
      <c r="I14455">
        <f>IF(DATOS!$I14455="","",IFERROR(VLOOKUP(DATOS!$I14455,CONFIG_ASIGNATURAS!$B$2:$J$91,9,FALSE()),""))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IF(DATOS!$A14456="",0,IF(CONFIG_METADATA!$B$4&lt;&gt;"OR+EX",--(DATOS!$G14456=CONFIG_METADATA!$B$4),IF(DATOS!$G14456="EX",1,IF(DATOS!$G14456="OR",--(COUNTIFS(nNIA,DATOS!$A14456,nCURSO,DATOS!$D14456,nESPEC,DATOS!$E14456,nASIG,DATOS!$I14456,nEVAL,"EX")=0),0))))</f>
      </c>
      <c r="H14456">
        <f>IF(DATOS!$G14456&lt;&gt;"EX",0,--(COUNTIFS(nNIA,DATOS!$A14456,nCURSO,DATOS!$D14456,nESPEC,DATOS!$E14456,nASIG,DATOS!$I14456,nEVAL,"OR")=0))</f>
      </c>
      <c r="I14456">
        <f>IF(DATOS!$I14456="","",IFERROR(VLOOKUP(DATOS!$I14456,CONFIG_ASIGNATURAS!$B$2:$J$91,9,FALSE()),""))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IF(DATOS!$A14457="",0,IF(CONFIG_METADATA!$B$4&lt;&gt;"OR+EX",--(DATOS!$G14457=CONFIG_METADATA!$B$4),IF(DATOS!$G14457="EX",1,IF(DATOS!$G14457="OR",--(COUNTIFS(nNIA,DATOS!$A14457,nCURSO,DATOS!$D14457,nESPEC,DATOS!$E14457,nASIG,DATOS!$I14457,nEVAL,"EX")=0),0))))</f>
      </c>
      <c r="H14457">
        <f>IF(DATOS!$G14457&lt;&gt;"EX",0,--(COUNTIFS(nNIA,DATOS!$A14457,nCURSO,DATOS!$D14457,nESPEC,DATOS!$E14457,nASIG,DATOS!$I14457,nEVAL,"OR")=0))</f>
      </c>
      <c r="I14457">
        <f>IF(DATOS!$I14457="","",IFERROR(VLOOKUP(DATOS!$I14457,CONFIG_ASIGNATURAS!$B$2:$J$91,9,FALSE()),""))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IF(DATOS!$A14458="",0,IF(CONFIG_METADATA!$B$4&lt;&gt;"OR+EX",--(DATOS!$G14458=CONFIG_METADATA!$B$4),IF(DATOS!$G14458="EX",1,IF(DATOS!$G14458="OR",--(COUNTIFS(nNIA,DATOS!$A14458,nCURSO,DATOS!$D14458,nESPEC,DATOS!$E14458,nASIG,DATOS!$I14458,nEVAL,"EX")=0),0))))</f>
      </c>
      <c r="H14458">
        <f>IF(DATOS!$G14458&lt;&gt;"EX",0,--(COUNTIFS(nNIA,DATOS!$A14458,nCURSO,DATOS!$D14458,nESPEC,DATOS!$E14458,nASIG,DATOS!$I14458,nEVAL,"OR")=0))</f>
      </c>
      <c r="I14458">
        <f>IF(DATOS!$I14458="","",IFERROR(VLOOKUP(DATOS!$I14458,CONFIG_ASIGNATURAS!$B$2:$J$91,9,FALSE()),""))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IF(DATOS!$A14459="",0,IF(CONFIG_METADATA!$B$4&lt;&gt;"OR+EX",--(DATOS!$G14459=CONFIG_METADATA!$B$4),IF(DATOS!$G14459="EX",1,IF(DATOS!$G14459="OR",--(COUNTIFS(nNIA,DATOS!$A14459,nCURSO,DATOS!$D14459,nESPEC,DATOS!$E14459,nASIG,DATOS!$I14459,nEVAL,"EX")=0),0))))</f>
      </c>
      <c r="H14459">
        <f>IF(DATOS!$G14459&lt;&gt;"EX",0,--(COUNTIFS(nNIA,DATOS!$A14459,nCURSO,DATOS!$D14459,nESPEC,DATOS!$E14459,nASIG,DATOS!$I14459,nEVAL,"OR")=0))</f>
      </c>
      <c r="I14459">
        <f>IF(DATOS!$I14459="","",IFERROR(VLOOKUP(DATOS!$I14459,CONFIG_ASIGNATURAS!$B$2:$J$91,9,FALSE()),""))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IF(DATOS!$A14460="",0,IF(CONFIG_METADATA!$B$4&lt;&gt;"OR+EX",--(DATOS!$G14460=CONFIG_METADATA!$B$4),IF(DATOS!$G14460="EX",1,IF(DATOS!$G14460="OR",--(COUNTIFS(nNIA,DATOS!$A14460,nCURSO,DATOS!$D14460,nESPEC,DATOS!$E14460,nASIG,DATOS!$I14460,nEVAL,"EX")=0),0))))</f>
      </c>
      <c r="H14460">
        <f>IF(DATOS!$G14460&lt;&gt;"EX",0,--(COUNTIFS(nNIA,DATOS!$A14460,nCURSO,DATOS!$D14460,nESPEC,DATOS!$E14460,nASIG,DATOS!$I14460,nEVAL,"OR")=0))</f>
      </c>
      <c r="I14460">
        <f>IF(DATOS!$I14460="","",IFERROR(VLOOKUP(DATOS!$I14460,CONFIG_ASIGNATURAS!$B$2:$J$91,9,FALSE()),""))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IF(DATOS!$A14461="",0,IF(CONFIG_METADATA!$B$4&lt;&gt;"OR+EX",--(DATOS!$G14461=CONFIG_METADATA!$B$4),IF(DATOS!$G14461="EX",1,IF(DATOS!$G14461="OR",--(COUNTIFS(nNIA,DATOS!$A14461,nCURSO,DATOS!$D14461,nESPEC,DATOS!$E14461,nASIG,DATOS!$I14461,nEVAL,"EX")=0),0))))</f>
      </c>
      <c r="H14461">
        <f>IF(DATOS!$G14461&lt;&gt;"EX",0,--(COUNTIFS(nNIA,DATOS!$A14461,nCURSO,DATOS!$D14461,nESPEC,DATOS!$E14461,nASIG,DATOS!$I14461,nEVAL,"OR")=0))</f>
      </c>
      <c r="I14461">
        <f>IF(DATOS!$I14461="","",IFERROR(VLOOKUP(DATOS!$I14461,CONFIG_ASIGNATURAS!$B$2:$J$91,9,FALSE()),""))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IF(DATOS!$A14462="",0,IF(CONFIG_METADATA!$B$4&lt;&gt;"OR+EX",--(DATOS!$G14462=CONFIG_METADATA!$B$4),IF(DATOS!$G14462="EX",1,IF(DATOS!$G14462="OR",--(COUNTIFS(nNIA,DATOS!$A14462,nCURSO,DATOS!$D14462,nESPEC,DATOS!$E14462,nASIG,DATOS!$I14462,nEVAL,"EX")=0),0))))</f>
      </c>
      <c r="H14462">
        <f>IF(DATOS!$G14462&lt;&gt;"EX",0,--(COUNTIFS(nNIA,DATOS!$A14462,nCURSO,DATOS!$D14462,nESPEC,DATOS!$E14462,nASIG,DATOS!$I14462,nEVAL,"OR")=0))</f>
      </c>
      <c r="I14462">
        <f>IF(DATOS!$I14462="","",IFERROR(VLOOKUP(DATOS!$I14462,CONFIG_ASIGNATURAS!$B$2:$J$91,9,FALSE()),""))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IF(DATOS!$A14463="",0,IF(CONFIG_METADATA!$B$4&lt;&gt;"OR+EX",--(DATOS!$G14463=CONFIG_METADATA!$B$4),IF(DATOS!$G14463="EX",1,IF(DATOS!$G14463="OR",--(COUNTIFS(nNIA,DATOS!$A14463,nCURSO,DATOS!$D14463,nESPEC,DATOS!$E14463,nASIG,DATOS!$I14463,nEVAL,"EX")=0),0))))</f>
      </c>
      <c r="H14463">
        <f>IF(DATOS!$G14463&lt;&gt;"EX",0,--(COUNTIFS(nNIA,DATOS!$A14463,nCURSO,DATOS!$D14463,nESPEC,DATOS!$E14463,nASIG,DATOS!$I14463,nEVAL,"OR")=0))</f>
      </c>
      <c r="I14463">
        <f>IF(DATOS!$I14463="","",IFERROR(VLOOKUP(DATOS!$I14463,CONFIG_ASIGNATURAS!$B$2:$J$91,9,FALSE()),""))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IF(DATOS!$A14464="",0,IF(CONFIG_METADATA!$B$4&lt;&gt;"OR+EX",--(DATOS!$G14464=CONFIG_METADATA!$B$4),IF(DATOS!$G14464="EX",1,IF(DATOS!$G14464="OR",--(COUNTIFS(nNIA,DATOS!$A14464,nCURSO,DATOS!$D14464,nESPEC,DATOS!$E14464,nASIG,DATOS!$I14464,nEVAL,"EX")=0),0))))</f>
      </c>
      <c r="H14464">
        <f>IF(DATOS!$G14464&lt;&gt;"EX",0,--(COUNTIFS(nNIA,DATOS!$A14464,nCURSO,DATOS!$D14464,nESPEC,DATOS!$E14464,nASIG,DATOS!$I14464,nEVAL,"OR")=0))</f>
      </c>
      <c r="I14464">
        <f>IF(DATOS!$I14464="","",IFERROR(VLOOKUP(DATOS!$I14464,CONFIG_ASIGNATURAS!$B$2:$J$91,9,FALSE()),""))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IF(DATOS!$A14465="",0,IF(CONFIG_METADATA!$B$4&lt;&gt;"OR+EX",--(DATOS!$G14465=CONFIG_METADATA!$B$4),IF(DATOS!$G14465="EX",1,IF(DATOS!$G14465="OR",--(COUNTIFS(nNIA,DATOS!$A14465,nCURSO,DATOS!$D14465,nESPEC,DATOS!$E14465,nASIG,DATOS!$I14465,nEVAL,"EX")=0),0))))</f>
      </c>
      <c r="H14465">
        <f>IF(DATOS!$G14465&lt;&gt;"EX",0,--(COUNTIFS(nNIA,DATOS!$A14465,nCURSO,DATOS!$D14465,nESPEC,DATOS!$E14465,nASIG,DATOS!$I14465,nEVAL,"OR")=0))</f>
      </c>
      <c r="I14465">
        <f>IF(DATOS!$I14465="","",IFERROR(VLOOKUP(DATOS!$I14465,CONFIG_ASIGNATURAS!$B$2:$J$91,9,FALSE()),""))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IF(DATOS!$A14466="",0,IF(CONFIG_METADATA!$B$4&lt;&gt;"OR+EX",--(DATOS!$G14466=CONFIG_METADATA!$B$4),IF(DATOS!$G14466="EX",1,IF(DATOS!$G14466="OR",--(COUNTIFS(nNIA,DATOS!$A14466,nCURSO,DATOS!$D14466,nESPEC,DATOS!$E14466,nASIG,DATOS!$I14466,nEVAL,"EX")=0),0))))</f>
      </c>
      <c r="H14466">
        <f>IF(DATOS!$G14466&lt;&gt;"EX",0,--(COUNTIFS(nNIA,DATOS!$A14466,nCURSO,DATOS!$D14466,nESPEC,DATOS!$E14466,nASIG,DATOS!$I14466,nEVAL,"OR")=0))</f>
      </c>
      <c r="I14466">
        <f>IF(DATOS!$I14466="","",IFERROR(VLOOKUP(DATOS!$I14466,CONFIG_ASIGNATURAS!$B$2:$J$91,9,FALSE()),""))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IF(DATOS!$A14467="",0,IF(CONFIG_METADATA!$B$4&lt;&gt;"OR+EX",--(DATOS!$G14467=CONFIG_METADATA!$B$4),IF(DATOS!$G14467="EX",1,IF(DATOS!$G14467="OR",--(COUNTIFS(nNIA,DATOS!$A14467,nCURSO,DATOS!$D14467,nESPEC,DATOS!$E14467,nASIG,DATOS!$I14467,nEVAL,"EX")=0),0))))</f>
      </c>
      <c r="H14467">
        <f>IF(DATOS!$G14467&lt;&gt;"EX",0,--(COUNTIFS(nNIA,DATOS!$A14467,nCURSO,DATOS!$D14467,nESPEC,DATOS!$E14467,nASIG,DATOS!$I14467,nEVAL,"OR")=0))</f>
      </c>
      <c r="I14467">
        <f>IF(DATOS!$I14467="","",IFERROR(VLOOKUP(DATOS!$I14467,CONFIG_ASIGNATURAS!$B$2:$J$91,9,FALSE()),""))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IF(DATOS!$A14468="",0,IF(CONFIG_METADATA!$B$4&lt;&gt;"OR+EX",--(DATOS!$G14468=CONFIG_METADATA!$B$4),IF(DATOS!$G14468="EX",1,IF(DATOS!$G14468="OR",--(COUNTIFS(nNIA,DATOS!$A14468,nCURSO,DATOS!$D14468,nESPEC,DATOS!$E14468,nASIG,DATOS!$I14468,nEVAL,"EX")=0),0))))</f>
      </c>
      <c r="H14468">
        <f>IF(DATOS!$G14468&lt;&gt;"EX",0,--(COUNTIFS(nNIA,DATOS!$A14468,nCURSO,DATOS!$D14468,nESPEC,DATOS!$E14468,nASIG,DATOS!$I14468,nEVAL,"OR")=0))</f>
      </c>
      <c r="I14468">
        <f>IF(DATOS!$I14468="","",IFERROR(VLOOKUP(DATOS!$I14468,CONFIG_ASIGNATURAS!$B$2:$J$91,9,FALSE()),""))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IF(DATOS!$A14469="",0,IF(CONFIG_METADATA!$B$4&lt;&gt;"OR+EX",--(DATOS!$G14469=CONFIG_METADATA!$B$4),IF(DATOS!$G14469="EX",1,IF(DATOS!$G14469="OR",--(COUNTIFS(nNIA,DATOS!$A14469,nCURSO,DATOS!$D14469,nESPEC,DATOS!$E14469,nASIG,DATOS!$I14469,nEVAL,"EX")=0),0))))</f>
      </c>
      <c r="H14469">
        <f>IF(DATOS!$G14469&lt;&gt;"EX",0,--(COUNTIFS(nNIA,DATOS!$A14469,nCURSO,DATOS!$D14469,nESPEC,DATOS!$E14469,nASIG,DATOS!$I14469,nEVAL,"OR")=0))</f>
      </c>
      <c r="I14469">
        <f>IF(DATOS!$I14469="","",IFERROR(VLOOKUP(DATOS!$I14469,CONFIG_ASIGNATURAS!$B$2:$J$91,9,FALSE()),""))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IF(DATOS!$A14470="",0,IF(CONFIG_METADATA!$B$4&lt;&gt;"OR+EX",--(DATOS!$G14470=CONFIG_METADATA!$B$4),IF(DATOS!$G14470="EX",1,IF(DATOS!$G14470="OR",--(COUNTIFS(nNIA,DATOS!$A14470,nCURSO,DATOS!$D14470,nESPEC,DATOS!$E14470,nASIG,DATOS!$I14470,nEVAL,"EX")=0),0))))</f>
      </c>
      <c r="H14470">
        <f>IF(DATOS!$G14470&lt;&gt;"EX",0,--(COUNTIFS(nNIA,DATOS!$A14470,nCURSO,DATOS!$D14470,nESPEC,DATOS!$E14470,nASIG,DATOS!$I14470,nEVAL,"OR")=0))</f>
      </c>
      <c r="I14470">
        <f>IF(DATOS!$I14470="","",IFERROR(VLOOKUP(DATOS!$I14470,CONFIG_ASIGNATURAS!$B$2:$J$91,9,FALSE()),""))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IF(DATOS!$A14471="",0,IF(CONFIG_METADATA!$B$4&lt;&gt;"OR+EX",--(DATOS!$G14471=CONFIG_METADATA!$B$4),IF(DATOS!$G14471="EX",1,IF(DATOS!$G14471="OR",--(COUNTIFS(nNIA,DATOS!$A14471,nCURSO,DATOS!$D14471,nESPEC,DATOS!$E14471,nASIG,DATOS!$I14471,nEVAL,"EX")=0),0))))</f>
      </c>
      <c r="H14471">
        <f>IF(DATOS!$G14471&lt;&gt;"EX",0,--(COUNTIFS(nNIA,DATOS!$A14471,nCURSO,DATOS!$D14471,nESPEC,DATOS!$E14471,nASIG,DATOS!$I14471,nEVAL,"OR")=0))</f>
      </c>
      <c r="I14471">
        <f>IF(DATOS!$I14471="","",IFERROR(VLOOKUP(DATOS!$I14471,CONFIG_ASIGNATURAS!$B$2:$J$91,9,FALSE()),""))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IF(DATOS!$A14472="",0,IF(CONFIG_METADATA!$B$4&lt;&gt;"OR+EX",--(DATOS!$G14472=CONFIG_METADATA!$B$4),IF(DATOS!$G14472="EX",1,IF(DATOS!$G14472="OR",--(COUNTIFS(nNIA,DATOS!$A14472,nCURSO,DATOS!$D14472,nESPEC,DATOS!$E14472,nASIG,DATOS!$I14472,nEVAL,"EX")=0),0))))</f>
      </c>
      <c r="H14472">
        <f>IF(DATOS!$G14472&lt;&gt;"EX",0,--(COUNTIFS(nNIA,DATOS!$A14472,nCURSO,DATOS!$D14472,nESPEC,DATOS!$E14472,nASIG,DATOS!$I14472,nEVAL,"OR")=0))</f>
      </c>
      <c r="I14472">
        <f>IF(DATOS!$I14472="","",IFERROR(VLOOKUP(DATOS!$I14472,CONFIG_ASIGNATURAS!$B$2:$J$91,9,FALSE()),""))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IF(DATOS!$A14473="",0,IF(CONFIG_METADATA!$B$4&lt;&gt;"OR+EX",--(DATOS!$G14473=CONFIG_METADATA!$B$4),IF(DATOS!$G14473="EX",1,IF(DATOS!$G14473="OR",--(COUNTIFS(nNIA,DATOS!$A14473,nCURSO,DATOS!$D14473,nESPEC,DATOS!$E14473,nASIG,DATOS!$I14473,nEVAL,"EX")=0),0))))</f>
      </c>
      <c r="H14473">
        <f>IF(DATOS!$G14473&lt;&gt;"EX",0,--(COUNTIFS(nNIA,DATOS!$A14473,nCURSO,DATOS!$D14473,nESPEC,DATOS!$E14473,nASIG,DATOS!$I14473,nEVAL,"OR")=0))</f>
      </c>
      <c r="I14473">
        <f>IF(DATOS!$I14473="","",IFERROR(VLOOKUP(DATOS!$I14473,CONFIG_ASIGNATURAS!$B$2:$J$91,9,FALSE()),""))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IF(DATOS!$A14474="",0,IF(CONFIG_METADATA!$B$4&lt;&gt;"OR+EX",--(DATOS!$G14474=CONFIG_METADATA!$B$4),IF(DATOS!$G14474="EX",1,IF(DATOS!$G14474="OR",--(COUNTIFS(nNIA,DATOS!$A14474,nCURSO,DATOS!$D14474,nESPEC,DATOS!$E14474,nASIG,DATOS!$I14474,nEVAL,"EX")=0),0))))</f>
      </c>
      <c r="H14474">
        <f>IF(DATOS!$G14474&lt;&gt;"EX",0,--(COUNTIFS(nNIA,DATOS!$A14474,nCURSO,DATOS!$D14474,nESPEC,DATOS!$E14474,nASIG,DATOS!$I14474,nEVAL,"OR")=0))</f>
      </c>
      <c r="I14474">
        <f>IF(DATOS!$I14474="","",IFERROR(VLOOKUP(DATOS!$I14474,CONFIG_ASIGNATURAS!$B$2:$J$91,9,FALSE()),""))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IF(DATOS!$A14475="",0,IF(CONFIG_METADATA!$B$4&lt;&gt;"OR+EX",--(DATOS!$G14475=CONFIG_METADATA!$B$4),IF(DATOS!$G14475="EX",1,IF(DATOS!$G14475="OR",--(COUNTIFS(nNIA,DATOS!$A14475,nCURSO,DATOS!$D14475,nESPEC,DATOS!$E14475,nASIG,DATOS!$I14475,nEVAL,"EX")=0),0))))</f>
      </c>
      <c r="H14475">
        <f>IF(DATOS!$G14475&lt;&gt;"EX",0,--(COUNTIFS(nNIA,DATOS!$A14475,nCURSO,DATOS!$D14475,nESPEC,DATOS!$E14475,nASIG,DATOS!$I14475,nEVAL,"OR")=0))</f>
      </c>
      <c r="I14475">
        <f>IF(DATOS!$I14475="","",IFERROR(VLOOKUP(DATOS!$I14475,CONFIG_ASIGNATURAS!$B$2:$J$91,9,FALSE()),""))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IF(DATOS!$A14476="",0,IF(CONFIG_METADATA!$B$4&lt;&gt;"OR+EX",--(DATOS!$G14476=CONFIG_METADATA!$B$4),IF(DATOS!$G14476="EX",1,IF(DATOS!$G14476="OR",--(COUNTIFS(nNIA,DATOS!$A14476,nCURSO,DATOS!$D14476,nESPEC,DATOS!$E14476,nASIG,DATOS!$I14476,nEVAL,"EX")=0),0))))</f>
      </c>
      <c r="H14476">
        <f>IF(DATOS!$G14476&lt;&gt;"EX",0,--(COUNTIFS(nNIA,DATOS!$A14476,nCURSO,DATOS!$D14476,nESPEC,DATOS!$E14476,nASIG,DATOS!$I14476,nEVAL,"OR")=0))</f>
      </c>
      <c r="I14476">
        <f>IF(DATOS!$I14476="","",IFERROR(VLOOKUP(DATOS!$I14476,CONFIG_ASIGNATURAS!$B$2:$J$91,9,FALSE()),""))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IF(DATOS!$A14477="",0,IF(CONFIG_METADATA!$B$4&lt;&gt;"OR+EX",--(DATOS!$G14477=CONFIG_METADATA!$B$4),IF(DATOS!$G14477="EX",1,IF(DATOS!$G14477="OR",--(COUNTIFS(nNIA,DATOS!$A14477,nCURSO,DATOS!$D14477,nESPEC,DATOS!$E14477,nASIG,DATOS!$I14477,nEVAL,"EX")=0),0))))</f>
      </c>
      <c r="H14477">
        <f>IF(DATOS!$G14477&lt;&gt;"EX",0,--(COUNTIFS(nNIA,DATOS!$A14477,nCURSO,DATOS!$D14477,nESPEC,DATOS!$E14477,nASIG,DATOS!$I14477,nEVAL,"OR")=0))</f>
      </c>
      <c r="I14477">
        <f>IF(DATOS!$I14477="","",IFERROR(VLOOKUP(DATOS!$I14477,CONFIG_ASIGNATURAS!$B$2:$J$91,9,FALSE()),""))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IF(DATOS!$A14478="",0,IF(CONFIG_METADATA!$B$4&lt;&gt;"OR+EX",--(DATOS!$G14478=CONFIG_METADATA!$B$4),IF(DATOS!$G14478="EX",1,IF(DATOS!$G14478="OR",--(COUNTIFS(nNIA,DATOS!$A14478,nCURSO,DATOS!$D14478,nESPEC,DATOS!$E14478,nASIG,DATOS!$I14478,nEVAL,"EX")=0),0))))</f>
      </c>
      <c r="H14478">
        <f>IF(DATOS!$G14478&lt;&gt;"EX",0,--(COUNTIFS(nNIA,DATOS!$A14478,nCURSO,DATOS!$D14478,nESPEC,DATOS!$E14478,nASIG,DATOS!$I14478,nEVAL,"OR")=0))</f>
      </c>
      <c r="I14478">
        <f>IF(DATOS!$I14478="","",IFERROR(VLOOKUP(DATOS!$I14478,CONFIG_ASIGNATURAS!$B$2:$J$91,9,FALSE()),""))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IF(DATOS!$A14479="",0,IF(CONFIG_METADATA!$B$4&lt;&gt;"OR+EX",--(DATOS!$G14479=CONFIG_METADATA!$B$4),IF(DATOS!$G14479="EX",1,IF(DATOS!$G14479="OR",--(COUNTIFS(nNIA,DATOS!$A14479,nCURSO,DATOS!$D14479,nESPEC,DATOS!$E14479,nASIG,DATOS!$I14479,nEVAL,"EX")=0),0))))</f>
      </c>
      <c r="H14479">
        <f>IF(DATOS!$G14479&lt;&gt;"EX",0,--(COUNTIFS(nNIA,DATOS!$A14479,nCURSO,DATOS!$D14479,nESPEC,DATOS!$E14479,nASIG,DATOS!$I14479,nEVAL,"OR")=0))</f>
      </c>
      <c r="I14479">
        <f>IF(DATOS!$I14479="","",IFERROR(VLOOKUP(DATOS!$I14479,CONFIG_ASIGNATURAS!$B$2:$J$91,9,FALSE()),""))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IF(DATOS!$A14480="",0,IF(CONFIG_METADATA!$B$4&lt;&gt;"OR+EX",--(DATOS!$G14480=CONFIG_METADATA!$B$4),IF(DATOS!$G14480="EX",1,IF(DATOS!$G14480="OR",--(COUNTIFS(nNIA,DATOS!$A14480,nCURSO,DATOS!$D14480,nESPEC,DATOS!$E14480,nASIG,DATOS!$I14480,nEVAL,"EX")=0),0))))</f>
      </c>
      <c r="H14480">
        <f>IF(DATOS!$G14480&lt;&gt;"EX",0,--(COUNTIFS(nNIA,DATOS!$A14480,nCURSO,DATOS!$D14480,nESPEC,DATOS!$E14480,nASIG,DATOS!$I14480,nEVAL,"OR")=0))</f>
      </c>
      <c r="I14480">
        <f>IF(DATOS!$I14480="","",IFERROR(VLOOKUP(DATOS!$I14480,CONFIG_ASIGNATURAS!$B$2:$J$91,9,FALSE()),""))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IF(DATOS!$A14481="",0,IF(CONFIG_METADATA!$B$4&lt;&gt;"OR+EX",--(DATOS!$G14481=CONFIG_METADATA!$B$4),IF(DATOS!$G14481="EX",1,IF(DATOS!$G14481="OR",--(COUNTIFS(nNIA,DATOS!$A14481,nCURSO,DATOS!$D14481,nESPEC,DATOS!$E14481,nASIG,DATOS!$I14481,nEVAL,"EX")=0),0))))</f>
      </c>
      <c r="H14481">
        <f>IF(DATOS!$G14481&lt;&gt;"EX",0,--(COUNTIFS(nNIA,DATOS!$A14481,nCURSO,DATOS!$D14481,nESPEC,DATOS!$E14481,nASIG,DATOS!$I14481,nEVAL,"OR")=0))</f>
      </c>
      <c r="I14481">
        <f>IF(DATOS!$I14481="","",IFERROR(VLOOKUP(DATOS!$I14481,CONFIG_ASIGNATURAS!$B$2:$J$91,9,FALSE()),""))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IF(DATOS!$A14482="",0,IF(CONFIG_METADATA!$B$4&lt;&gt;"OR+EX",--(DATOS!$G14482=CONFIG_METADATA!$B$4),IF(DATOS!$G14482="EX",1,IF(DATOS!$G14482="OR",--(COUNTIFS(nNIA,DATOS!$A14482,nCURSO,DATOS!$D14482,nESPEC,DATOS!$E14482,nASIG,DATOS!$I14482,nEVAL,"EX")=0),0))))</f>
      </c>
      <c r="H14482">
        <f>IF(DATOS!$G14482&lt;&gt;"EX",0,--(COUNTIFS(nNIA,DATOS!$A14482,nCURSO,DATOS!$D14482,nESPEC,DATOS!$E14482,nASIG,DATOS!$I14482,nEVAL,"OR")=0))</f>
      </c>
      <c r="I14482">
        <f>IF(DATOS!$I14482="","",IFERROR(VLOOKUP(DATOS!$I14482,CONFIG_ASIGNATURAS!$B$2:$J$91,9,FALSE()),""))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IF(DATOS!$A14483="",0,IF(CONFIG_METADATA!$B$4&lt;&gt;"OR+EX",--(DATOS!$G14483=CONFIG_METADATA!$B$4),IF(DATOS!$G14483="EX",1,IF(DATOS!$G14483="OR",--(COUNTIFS(nNIA,DATOS!$A14483,nCURSO,DATOS!$D14483,nESPEC,DATOS!$E14483,nASIG,DATOS!$I14483,nEVAL,"EX")=0),0))))</f>
      </c>
      <c r="H14483">
        <f>IF(DATOS!$G14483&lt;&gt;"EX",0,--(COUNTIFS(nNIA,DATOS!$A14483,nCURSO,DATOS!$D14483,nESPEC,DATOS!$E14483,nASIG,DATOS!$I14483,nEVAL,"OR")=0))</f>
      </c>
      <c r="I14483">
        <f>IF(DATOS!$I14483="","",IFERROR(VLOOKUP(DATOS!$I14483,CONFIG_ASIGNATURAS!$B$2:$J$91,9,FALSE()),""))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IF(DATOS!$A14484="",0,IF(CONFIG_METADATA!$B$4&lt;&gt;"OR+EX",--(DATOS!$G14484=CONFIG_METADATA!$B$4),IF(DATOS!$G14484="EX",1,IF(DATOS!$G14484="OR",--(COUNTIFS(nNIA,DATOS!$A14484,nCURSO,DATOS!$D14484,nESPEC,DATOS!$E14484,nASIG,DATOS!$I14484,nEVAL,"EX")=0),0))))</f>
      </c>
      <c r="H14484">
        <f>IF(DATOS!$G14484&lt;&gt;"EX",0,--(COUNTIFS(nNIA,DATOS!$A14484,nCURSO,DATOS!$D14484,nESPEC,DATOS!$E14484,nASIG,DATOS!$I14484,nEVAL,"OR")=0))</f>
      </c>
      <c r="I14484">
        <f>IF(DATOS!$I14484="","",IFERROR(VLOOKUP(DATOS!$I14484,CONFIG_ASIGNATURAS!$B$2:$J$91,9,FALSE()),""))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IF(DATOS!$A14485="",0,IF(CONFIG_METADATA!$B$4&lt;&gt;"OR+EX",--(DATOS!$G14485=CONFIG_METADATA!$B$4),IF(DATOS!$G14485="EX",1,IF(DATOS!$G14485="OR",--(COUNTIFS(nNIA,DATOS!$A14485,nCURSO,DATOS!$D14485,nESPEC,DATOS!$E14485,nASIG,DATOS!$I14485,nEVAL,"EX")=0),0))))</f>
      </c>
      <c r="H14485">
        <f>IF(DATOS!$G14485&lt;&gt;"EX",0,--(COUNTIFS(nNIA,DATOS!$A14485,nCURSO,DATOS!$D14485,nESPEC,DATOS!$E14485,nASIG,DATOS!$I14485,nEVAL,"OR")=0))</f>
      </c>
      <c r="I14485">
        <f>IF(DATOS!$I14485="","",IFERROR(VLOOKUP(DATOS!$I14485,CONFIG_ASIGNATURAS!$B$2:$J$91,9,FALSE()),""))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IF(DATOS!$A14486="",0,IF(CONFIG_METADATA!$B$4&lt;&gt;"OR+EX",--(DATOS!$G14486=CONFIG_METADATA!$B$4),IF(DATOS!$G14486="EX",1,IF(DATOS!$G14486="OR",--(COUNTIFS(nNIA,DATOS!$A14486,nCURSO,DATOS!$D14486,nESPEC,DATOS!$E14486,nASIG,DATOS!$I14486,nEVAL,"EX")=0),0))))</f>
      </c>
      <c r="H14486">
        <f>IF(DATOS!$G14486&lt;&gt;"EX",0,--(COUNTIFS(nNIA,DATOS!$A14486,nCURSO,DATOS!$D14486,nESPEC,DATOS!$E14486,nASIG,DATOS!$I14486,nEVAL,"OR")=0))</f>
      </c>
      <c r="I14486">
        <f>IF(DATOS!$I14486="","",IFERROR(VLOOKUP(DATOS!$I14486,CONFIG_ASIGNATURAS!$B$2:$J$91,9,FALSE()),""))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IF(DATOS!$A14487="",0,IF(CONFIG_METADATA!$B$4&lt;&gt;"OR+EX",--(DATOS!$G14487=CONFIG_METADATA!$B$4),IF(DATOS!$G14487="EX",1,IF(DATOS!$G14487="OR",--(COUNTIFS(nNIA,DATOS!$A14487,nCURSO,DATOS!$D14487,nESPEC,DATOS!$E14487,nASIG,DATOS!$I14487,nEVAL,"EX")=0),0))))</f>
      </c>
      <c r="H14487">
        <f>IF(DATOS!$G14487&lt;&gt;"EX",0,--(COUNTIFS(nNIA,DATOS!$A14487,nCURSO,DATOS!$D14487,nESPEC,DATOS!$E14487,nASIG,DATOS!$I14487,nEVAL,"OR")=0))</f>
      </c>
      <c r="I14487">
        <f>IF(DATOS!$I14487="","",IFERROR(VLOOKUP(DATOS!$I14487,CONFIG_ASIGNATURAS!$B$2:$J$91,9,FALSE()),""))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IF(DATOS!$A14488="",0,IF(CONFIG_METADATA!$B$4&lt;&gt;"OR+EX",--(DATOS!$G14488=CONFIG_METADATA!$B$4),IF(DATOS!$G14488="EX",1,IF(DATOS!$G14488="OR",--(COUNTIFS(nNIA,DATOS!$A14488,nCURSO,DATOS!$D14488,nESPEC,DATOS!$E14488,nASIG,DATOS!$I14488,nEVAL,"EX")=0),0))))</f>
      </c>
      <c r="H14488">
        <f>IF(DATOS!$G14488&lt;&gt;"EX",0,--(COUNTIFS(nNIA,DATOS!$A14488,nCURSO,DATOS!$D14488,nESPEC,DATOS!$E14488,nASIG,DATOS!$I14488,nEVAL,"OR")=0))</f>
      </c>
      <c r="I14488">
        <f>IF(DATOS!$I14488="","",IFERROR(VLOOKUP(DATOS!$I14488,CONFIG_ASIGNATURAS!$B$2:$J$91,9,FALSE()),""))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IF(DATOS!$A14489="",0,IF(CONFIG_METADATA!$B$4&lt;&gt;"OR+EX",--(DATOS!$G14489=CONFIG_METADATA!$B$4),IF(DATOS!$G14489="EX",1,IF(DATOS!$G14489="OR",--(COUNTIFS(nNIA,DATOS!$A14489,nCURSO,DATOS!$D14489,nESPEC,DATOS!$E14489,nASIG,DATOS!$I14489,nEVAL,"EX")=0),0))))</f>
      </c>
      <c r="H14489">
        <f>IF(DATOS!$G14489&lt;&gt;"EX",0,--(COUNTIFS(nNIA,DATOS!$A14489,nCURSO,DATOS!$D14489,nESPEC,DATOS!$E14489,nASIG,DATOS!$I14489,nEVAL,"OR")=0))</f>
      </c>
      <c r="I14489">
        <f>IF(DATOS!$I14489="","",IFERROR(VLOOKUP(DATOS!$I14489,CONFIG_ASIGNATURAS!$B$2:$J$91,9,FALSE()),""))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IF(DATOS!$A14490="",0,IF(CONFIG_METADATA!$B$4&lt;&gt;"OR+EX",--(DATOS!$G14490=CONFIG_METADATA!$B$4),IF(DATOS!$G14490="EX",1,IF(DATOS!$G14490="OR",--(COUNTIFS(nNIA,DATOS!$A14490,nCURSO,DATOS!$D14490,nESPEC,DATOS!$E14490,nASIG,DATOS!$I14490,nEVAL,"EX")=0),0))))</f>
      </c>
      <c r="H14490">
        <f>IF(DATOS!$G14490&lt;&gt;"EX",0,--(COUNTIFS(nNIA,DATOS!$A14490,nCURSO,DATOS!$D14490,nESPEC,DATOS!$E14490,nASIG,DATOS!$I14490,nEVAL,"OR")=0))</f>
      </c>
      <c r="I14490">
        <f>IF(DATOS!$I14490="","",IFERROR(VLOOKUP(DATOS!$I14490,CONFIG_ASIGNATURAS!$B$2:$J$91,9,FALSE()),""))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IF(DATOS!$A14491="",0,IF(CONFIG_METADATA!$B$4&lt;&gt;"OR+EX",--(DATOS!$G14491=CONFIG_METADATA!$B$4),IF(DATOS!$G14491="EX",1,IF(DATOS!$G14491="OR",--(COUNTIFS(nNIA,DATOS!$A14491,nCURSO,DATOS!$D14491,nESPEC,DATOS!$E14491,nASIG,DATOS!$I14491,nEVAL,"EX")=0),0))))</f>
      </c>
      <c r="H14491">
        <f>IF(DATOS!$G14491&lt;&gt;"EX",0,--(COUNTIFS(nNIA,DATOS!$A14491,nCURSO,DATOS!$D14491,nESPEC,DATOS!$E14491,nASIG,DATOS!$I14491,nEVAL,"OR")=0))</f>
      </c>
      <c r="I14491">
        <f>IF(DATOS!$I14491="","",IFERROR(VLOOKUP(DATOS!$I14491,CONFIG_ASIGNATURAS!$B$2:$J$91,9,FALSE()),""))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IF(DATOS!$A14492="",0,IF(CONFIG_METADATA!$B$4&lt;&gt;"OR+EX",--(DATOS!$G14492=CONFIG_METADATA!$B$4),IF(DATOS!$G14492="EX",1,IF(DATOS!$G14492="OR",--(COUNTIFS(nNIA,DATOS!$A14492,nCURSO,DATOS!$D14492,nESPEC,DATOS!$E14492,nASIG,DATOS!$I14492,nEVAL,"EX")=0),0))))</f>
      </c>
      <c r="H14492">
        <f>IF(DATOS!$G14492&lt;&gt;"EX",0,--(COUNTIFS(nNIA,DATOS!$A14492,nCURSO,DATOS!$D14492,nESPEC,DATOS!$E14492,nASIG,DATOS!$I14492,nEVAL,"OR")=0))</f>
      </c>
      <c r="I14492">
        <f>IF(DATOS!$I14492="","",IFERROR(VLOOKUP(DATOS!$I14492,CONFIG_ASIGNATURAS!$B$2:$J$91,9,FALSE()),""))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IF(DATOS!$A14493="",0,IF(CONFIG_METADATA!$B$4&lt;&gt;"OR+EX",--(DATOS!$G14493=CONFIG_METADATA!$B$4),IF(DATOS!$G14493="EX",1,IF(DATOS!$G14493="OR",--(COUNTIFS(nNIA,DATOS!$A14493,nCURSO,DATOS!$D14493,nESPEC,DATOS!$E14493,nASIG,DATOS!$I14493,nEVAL,"EX")=0),0))))</f>
      </c>
      <c r="H14493">
        <f>IF(DATOS!$G14493&lt;&gt;"EX",0,--(COUNTIFS(nNIA,DATOS!$A14493,nCURSO,DATOS!$D14493,nESPEC,DATOS!$E14493,nASIG,DATOS!$I14493,nEVAL,"OR")=0))</f>
      </c>
      <c r="I14493">
        <f>IF(DATOS!$I14493="","",IFERROR(VLOOKUP(DATOS!$I14493,CONFIG_ASIGNATURAS!$B$2:$J$91,9,FALSE()),""))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IF(DATOS!$A14494="",0,IF(CONFIG_METADATA!$B$4&lt;&gt;"OR+EX",--(DATOS!$G14494=CONFIG_METADATA!$B$4),IF(DATOS!$G14494="EX",1,IF(DATOS!$G14494="OR",--(COUNTIFS(nNIA,DATOS!$A14494,nCURSO,DATOS!$D14494,nESPEC,DATOS!$E14494,nASIG,DATOS!$I14494,nEVAL,"EX")=0),0))))</f>
      </c>
      <c r="H14494">
        <f>IF(DATOS!$G14494&lt;&gt;"EX",0,--(COUNTIFS(nNIA,DATOS!$A14494,nCURSO,DATOS!$D14494,nESPEC,DATOS!$E14494,nASIG,DATOS!$I14494,nEVAL,"OR")=0))</f>
      </c>
      <c r="I14494">
        <f>IF(DATOS!$I14494="","",IFERROR(VLOOKUP(DATOS!$I14494,CONFIG_ASIGNATURAS!$B$2:$J$91,9,FALSE()),""))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IF(DATOS!$A14495="",0,IF(CONFIG_METADATA!$B$4&lt;&gt;"OR+EX",--(DATOS!$G14495=CONFIG_METADATA!$B$4),IF(DATOS!$G14495="EX",1,IF(DATOS!$G14495="OR",--(COUNTIFS(nNIA,DATOS!$A14495,nCURSO,DATOS!$D14495,nESPEC,DATOS!$E14495,nASIG,DATOS!$I14495,nEVAL,"EX")=0),0))))</f>
      </c>
      <c r="H14495">
        <f>IF(DATOS!$G14495&lt;&gt;"EX",0,--(COUNTIFS(nNIA,DATOS!$A14495,nCURSO,DATOS!$D14495,nESPEC,DATOS!$E14495,nASIG,DATOS!$I14495,nEVAL,"OR")=0))</f>
      </c>
      <c r="I14495">
        <f>IF(DATOS!$I14495="","",IFERROR(VLOOKUP(DATOS!$I14495,CONFIG_ASIGNATURAS!$B$2:$J$91,9,FALSE()),""))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IF(DATOS!$A14496="",0,IF(CONFIG_METADATA!$B$4&lt;&gt;"OR+EX",--(DATOS!$G14496=CONFIG_METADATA!$B$4),IF(DATOS!$G14496="EX",1,IF(DATOS!$G14496="OR",--(COUNTIFS(nNIA,DATOS!$A14496,nCURSO,DATOS!$D14496,nESPEC,DATOS!$E14496,nASIG,DATOS!$I14496,nEVAL,"EX")=0),0))))</f>
      </c>
      <c r="H14496">
        <f>IF(DATOS!$G14496&lt;&gt;"EX",0,--(COUNTIFS(nNIA,DATOS!$A14496,nCURSO,DATOS!$D14496,nESPEC,DATOS!$E14496,nASIG,DATOS!$I14496,nEVAL,"OR")=0))</f>
      </c>
      <c r="I14496">
        <f>IF(DATOS!$I14496="","",IFERROR(VLOOKUP(DATOS!$I14496,CONFIG_ASIGNATURAS!$B$2:$J$91,9,FALSE()),""))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IF(DATOS!$A14497="",0,IF(CONFIG_METADATA!$B$4&lt;&gt;"OR+EX",--(DATOS!$G14497=CONFIG_METADATA!$B$4),IF(DATOS!$G14497="EX",1,IF(DATOS!$G14497="OR",--(COUNTIFS(nNIA,DATOS!$A14497,nCURSO,DATOS!$D14497,nESPEC,DATOS!$E14497,nASIG,DATOS!$I14497,nEVAL,"EX")=0),0))))</f>
      </c>
      <c r="H14497">
        <f>IF(DATOS!$G14497&lt;&gt;"EX",0,--(COUNTIFS(nNIA,DATOS!$A14497,nCURSO,DATOS!$D14497,nESPEC,DATOS!$E14497,nASIG,DATOS!$I14497,nEVAL,"OR")=0))</f>
      </c>
      <c r="I14497">
        <f>IF(DATOS!$I14497="","",IFERROR(VLOOKUP(DATOS!$I14497,CONFIG_ASIGNATURAS!$B$2:$J$91,9,FALSE()),""))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IF(DATOS!$A14498="",0,IF(CONFIG_METADATA!$B$4&lt;&gt;"OR+EX",--(DATOS!$G14498=CONFIG_METADATA!$B$4),IF(DATOS!$G14498="EX",1,IF(DATOS!$G14498="OR",--(COUNTIFS(nNIA,DATOS!$A14498,nCURSO,DATOS!$D14498,nESPEC,DATOS!$E14498,nASIG,DATOS!$I14498,nEVAL,"EX")=0),0))))</f>
      </c>
      <c r="H14498">
        <f>IF(DATOS!$G14498&lt;&gt;"EX",0,--(COUNTIFS(nNIA,DATOS!$A14498,nCURSO,DATOS!$D14498,nESPEC,DATOS!$E14498,nASIG,DATOS!$I14498,nEVAL,"OR")=0))</f>
      </c>
      <c r="I14498">
        <f>IF(DATOS!$I14498="","",IFERROR(VLOOKUP(DATOS!$I14498,CONFIG_ASIGNATURAS!$B$2:$J$91,9,FALSE()),""))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IF(DATOS!$A14499="",0,IF(CONFIG_METADATA!$B$4&lt;&gt;"OR+EX",--(DATOS!$G14499=CONFIG_METADATA!$B$4),IF(DATOS!$G14499="EX",1,IF(DATOS!$G14499="OR",--(COUNTIFS(nNIA,DATOS!$A14499,nCURSO,DATOS!$D14499,nESPEC,DATOS!$E14499,nASIG,DATOS!$I14499,nEVAL,"EX")=0),0))))</f>
      </c>
      <c r="H14499">
        <f>IF(DATOS!$G14499&lt;&gt;"EX",0,--(COUNTIFS(nNIA,DATOS!$A14499,nCURSO,DATOS!$D14499,nESPEC,DATOS!$E14499,nASIG,DATOS!$I14499,nEVAL,"OR")=0))</f>
      </c>
      <c r="I14499">
        <f>IF(DATOS!$I14499="","",IFERROR(VLOOKUP(DATOS!$I14499,CONFIG_ASIGNATURAS!$B$2:$J$91,9,FALSE()),""))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IF(DATOS!$A14500="",0,IF(CONFIG_METADATA!$B$4&lt;&gt;"OR+EX",--(DATOS!$G14500=CONFIG_METADATA!$B$4),IF(DATOS!$G14500="EX",1,IF(DATOS!$G14500="OR",--(COUNTIFS(nNIA,DATOS!$A14500,nCURSO,DATOS!$D14500,nESPEC,DATOS!$E14500,nASIG,DATOS!$I14500,nEVAL,"EX")=0),0))))</f>
      </c>
      <c r="H14500">
        <f>IF(DATOS!$G14500&lt;&gt;"EX",0,--(COUNTIFS(nNIA,DATOS!$A14500,nCURSO,DATOS!$D14500,nESPEC,DATOS!$E14500,nASIG,DATOS!$I14500,nEVAL,"OR")=0))</f>
      </c>
      <c r="I14500">
        <f>IF(DATOS!$I14500="","",IFERROR(VLOOKUP(DATOS!$I14500,CONFIG_ASIGNATURAS!$B$2:$J$91,9,FALSE()),""))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IF(DATOS!$A14501="",0,IF(CONFIG_METADATA!$B$4&lt;&gt;"OR+EX",--(DATOS!$G14501=CONFIG_METADATA!$B$4),IF(DATOS!$G14501="EX",1,IF(DATOS!$G14501="OR",--(COUNTIFS(nNIA,DATOS!$A14501,nCURSO,DATOS!$D14501,nESPEC,DATOS!$E14501,nASIG,DATOS!$I14501,nEVAL,"EX")=0),0))))</f>
      </c>
      <c r="H14501">
        <f>IF(DATOS!$G14501&lt;&gt;"EX",0,--(COUNTIFS(nNIA,DATOS!$A14501,nCURSO,DATOS!$D14501,nESPEC,DATOS!$E14501,nASIG,DATOS!$I14501,nEVAL,"OR")=0))</f>
      </c>
      <c r="I14501">
        <f>IF(DATOS!$I14501="","",IFERROR(VLOOKUP(DATOS!$I14501,CONFIG_ASIGNATURAS!$B$2:$J$91,9,FALSE()),""))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IF(DATOS!$A14502="",0,IF(CONFIG_METADATA!$B$4&lt;&gt;"OR+EX",--(DATOS!$G14502=CONFIG_METADATA!$B$4),IF(DATOS!$G14502="EX",1,IF(DATOS!$G14502="OR",--(COUNTIFS(nNIA,DATOS!$A14502,nCURSO,DATOS!$D14502,nESPEC,DATOS!$E14502,nASIG,DATOS!$I14502,nEVAL,"EX")=0),0))))</f>
      </c>
      <c r="H14502">
        <f>IF(DATOS!$G14502&lt;&gt;"EX",0,--(COUNTIFS(nNIA,DATOS!$A14502,nCURSO,DATOS!$D14502,nESPEC,DATOS!$E14502,nASIG,DATOS!$I14502,nEVAL,"OR")=0))</f>
      </c>
      <c r="I14502">
        <f>IF(DATOS!$I14502="","",IFERROR(VLOOKUP(DATOS!$I14502,CONFIG_ASIGNATURAS!$B$2:$J$91,9,FALSE()),""))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IF(DATOS!$A14503="",0,IF(CONFIG_METADATA!$B$4&lt;&gt;"OR+EX",--(DATOS!$G14503=CONFIG_METADATA!$B$4),IF(DATOS!$G14503="EX",1,IF(DATOS!$G14503="OR",--(COUNTIFS(nNIA,DATOS!$A14503,nCURSO,DATOS!$D14503,nESPEC,DATOS!$E14503,nASIG,DATOS!$I14503,nEVAL,"EX")=0),0))))</f>
      </c>
      <c r="H14503">
        <f>IF(DATOS!$G14503&lt;&gt;"EX",0,--(COUNTIFS(nNIA,DATOS!$A14503,nCURSO,DATOS!$D14503,nESPEC,DATOS!$E14503,nASIG,DATOS!$I14503,nEVAL,"OR")=0))</f>
      </c>
      <c r="I14503">
        <f>IF(DATOS!$I14503="","",IFERROR(VLOOKUP(DATOS!$I14503,CONFIG_ASIGNATURAS!$B$2:$J$91,9,FALSE()),""))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IF(DATOS!$A14504="",0,IF(CONFIG_METADATA!$B$4&lt;&gt;"OR+EX",--(DATOS!$G14504=CONFIG_METADATA!$B$4),IF(DATOS!$G14504="EX",1,IF(DATOS!$G14504="OR",--(COUNTIFS(nNIA,DATOS!$A14504,nCURSO,DATOS!$D14504,nESPEC,DATOS!$E14504,nASIG,DATOS!$I14504,nEVAL,"EX")=0),0))))</f>
      </c>
      <c r="H14504">
        <f>IF(DATOS!$G14504&lt;&gt;"EX",0,--(COUNTIFS(nNIA,DATOS!$A14504,nCURSO,DATOS!$D14504,nESPEC,DATOS!$E14504,nASIG,DATOS!$I14504,nEVAL,"OR")=0))</f>
      </c>
      <c r="I14504">
        <f>IF(DATOS!$I14504="","",IFERROR(VLOOKUP(DATOS!$I14504,CONFIG_ASIGNATURAS!$B$2:$J$91,9,FALSE()),""))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IF(DATOS!$A14505="",0,IF(CONFIG_METADATA!$B$4&lt;&gt;"OR+EX",--(DATOS!$G14505=CONFIG_METADATA!$B$4),IF(DATOS!$G14505="EX",1,IF(DATOS!$G14505="OR",--(COUNTIFS(nNIA,DATOS!$A14505,nCURSO,DATOS!$D14505,nESPEC,DATOS!$E14505,nASIG,DATOS!$I14505,nEVAL,"EX")=0),0))))</f>
      </c>
      <c r="H14505">
        <f>IF(DATOS!$G14505&lt;&gt;"EX",0,--(COUNTIFS(nNIA,DATOS!$A14505,nCURSO,DATOS!$D14505,nESPEC,DATOS!$E14505,nASIG,DATOS!$I14505,nEVAL,"OR")=0))</f>
      </c>
      <c r="I14505">
        <f>IF(DATOS!$I14505="","",IFERROR(VLOOKUP(DATOS!$I14505,CONFIG_ASIGNATURAS!$B$2:$J$91,9,FALSE()),""))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IF(DATOS!$A14506="",0,IF(CONFIG_METADATA!$B$4&lt;&gt;"OR+EX",--(DATOS!$G14506=CONFIG_METADATA!$B$4),IF(DATOS!$G14506="EX",1,IF(DATOS!$G14506="OR",--(COUNTIFS(nNIA,DATOS!$A14506,nCURSO,DATOS!$D14506,nESPEC,DATOS!$E14506,nASIG,DATOS!$I14506,nEVAL,"EX")=0),0))))</f>
      </c>
      <c r="H14506">
        <f>IF(DATOS!$G14506&lt;&gt;"EX",0,--(COUNTIFS(nNIA,DATOS!$A14506,nCURSO,DATOS!$D14506,nESPEC,DATOS!$E14506,nASIG,DATOS!$I14506,nEVAL,"OR")=0))</f>
      </c>
      <c r="I14506">
        <f>IF(DATOS!$I14506="","",IFERROR(VLOOKUP(DATOS!$I14506,CONFIG_ASIGNATURAS!$B$2:$J$91,9,FALSE()),""))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IF(DATOS!$A14507="",0,IF(CONFIG_METADATA!$B$4&lt;&gt;"OR+EX",--(DATOS!$G14507=CONFIG_METADATA!$B$4),IF(DATOS!$G14507="EX",1,IF(DATOS!$G14507="OR",--(COUNTIFS(nNIA,DATOS!$A14507,nCURSO,DATOS!$D14507,nESPEC,DATOS!$E14507,nASIG,DATOS!$I14507,nEVAL,"EX")=0),0))))</f>
      </c>
      <c r="H14507">
        <f>IF(DATOS!$G14507&lt;&gt;"EX",0,--(COUNTIFS(nNIA,DATOS!$A14507,nCURSO,DATOS!$D14507,nESPEC,DATOS!$E14507,nASIG,DATOS!$I14507,nEVAL,"OR")=0))</f>
      </c>
      <c r="I14507">
        <f>IF(DATOS!$I14507="","",IFERROR(VLOOKUP(DATOS!$I14507,CONFIG_ASIGNATURAS!$B$2:$J$91,9,FALSE()),""))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IF(DATOS!$A14508="",0,IF(CONFIG_METADATA!$B$4&lt;&gt;"OR+EX",--(DATOS!$G14508=CONFIG_METADATA!$B$4),IF(DATOS!$G14508="EX",1,IF(DATOS!$G14508="OR",--(COUNTIFS(nNIA,DATOS!$A14508,nCURSO,DATOS!$D14508,nESPEC,DATOS!$E14508,nASIG,DATOS!$I14508,nEVAL,"EX")=0),0))))</f>
      </c>
      <c r="H14508">
        <f>IF(DATOS!$G14508&lt;&gt;"EX",0,--(COUNTIFS(nNIA,DATOS!$A14508,nCURSO,DATOS!$D14508,nESPEC,DATOS!$E14508,nASIG,DATOS!$I14508,nEVAL,"OR")=0))</f>
      </c>
      <c r="I14508">
        <f>IF(DATOS!$I14508="","",IFERROR(VLOOKUP(DATOS!$I14508,CONFIG_ASIGNATURAS!$B$2:$J$91,9,FALSE()),""))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IF(DATOS!$A14509="",0,IF(CONFIG_METADATA!$B$4&lt;&gt;"OR+EX",--(DATOS!$G14509=CONFIG_METADATA!$B$4),IF(DATOS!$G14509="EX",1,IF(DATOS!$G14509="OR",--(COUNTIFS(nNIA,DATOS!$A14509,nCURSO,DATOS!$D14509,nESPEC,DATOS!$E14509,nASIG,DATOS!$I14509,nEVAL,"EX")=0),0))))</f>
      </c>
      <c r="H14509">
        <f>IF(DATOS!$G14509&lt;&gt;"EX",0,--(COUNTIFS(nNIA,DATOS!$A14509,nCURSO,DATOS!$D14509,nESPEC,DATOS!$E14509,nASIG,DATOS!$I14509,nEVAL,"OR")=0))</f>
      </c>
      <c r="I14509">
        <f>IF(DATOS!$I14509="","",IFERROR(VLOOKUP(DATOS!$I14509,CONFIG_ASIGNATURAS!$B$2:$J$91,9,FALSE()),""))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IF(DATOS!$A14510="",0,IF(CONFIG_METADATA!$B$4&lt;&gt;"OR+EX",--(DATOS!$G14510=CONFIG_METADATA!$B$4),IF(DATOS!$G14510="EX",1,IF(DATOS!$G14510="OR",--(COUNTIFS(nNIA,DATOS!$A14510,nCURSO,DATOS!$D14510,nESPEC,DATOS!$E14510,nASIG,DATOS!$I14510,nEVAL,"EX")=0),0))))</f>
      </c>
      <c r="H14510">
        <f>IF(DATOS!$G14510&lt;&gt;"EX",0,--(COUNTIFS(nNIA,DATOS!$A14510,nCURSO,DATOS!$D14510,nESPEC,DATOS!$E14510,nASIG,DATOS!$I14510,nEVAL,"OR")=0))</f>
      </c>
      <c r="I14510">
        <f>IF(DATOS!$I14510="","",IFERROR(VLOOKUP(DATOS!$I14510,CONFIG_ASIGNATURAS!$B$2:$J$91,9,FALSE()),""))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IF(DATOS!$A14511="",0,IF(CONFIG_METADATA!$B$4&lt;&gt;"OR+EX",--(DATOS!$G14511=CONFIG_METADATA!$B$4),IF(DATOS!$G14511="EX",1,IF(DATOS!$G14511="OR",--(COUNTIFS(nNIA,DATOS!$A14511,nCURSO,DATOS!$D14511,nESPEC,DATOS!$E14511,nASIG,DATOS!$I14511,nEVAL,"EX")=0),0))))</f>
      </c>
      <c r="H14511">
        <f>IF(DATOS!$G14511&lt;&gt;"EX",0,--(COUNTIFS(nNIA,DATOS!$A14511,nCURSO,DATOS!$D14511,nESPEC,DATOS!$E14511,nASIG,DATOS!$I14511,nEVAL,"OR")=0))</f>
      </c>
      <c r="I14511">
        <f>IF(DATOS!$I14511="","",IFERROR(VLOOKUP(DATOS!$I14511,CONFIG_ASIGNATURAS!$B$2:$J$91,9,FALSE()),""))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IF(DATOS!$A14512="",0,IF(CONFIG_METADATA!$B$4&lt;&gt;"OR+EX",--(DATOS!$G14512=CONFIG_METADATA!$B$4),IF(DATOS!$G14512="EX",1,IF(DATOS!$G14512="OR",--(COUNTIFS(nNIA,DATOS!$A14512,nCURSO,DATOS!$D14512,nESPEC,DATOS!$E14512,nASIG,DATOS!$I14512,nEVAL,"EX")=0),0))))</f>
      </c>
      <c r="H14512">
        <f>IF(DATOS!$G14512&lt;&gt;"EX",0,--(COUNTIFS(nNIA,DATOS!$A14512,nCURSO,DATOS!$D14512,nESPEC,DATOS!$E14512,nASIG,DATOS!$I14512,nEVAL,"OR")=0))</f>
      </c>
      <c r="I14512">
        <f>IF(DATOS!$I14512="","",IFERROR(VLOOKUP(DATOS!$I14512,CONFIG_ASIGNATURAS!$B$2:$J$91,9,FALSE()),""))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IF(DATOS!$A14513="",0,IF(CONFIG_METADATA!$B$4&lt;&gt;"OR+EX",--(DATOS!$G14513=CONFIG_METADATA!$B$4),IF(DATOS!$G14513="EX",1,IF(DATOS!$G14513="OR",--(COUNTIFS(nNIA,DATOS!$A14513,nCURSO,DATOS!$D14513,nESPEC,DATOS!$E14513,nASIG,DATOS!$I14513,nEVAL,"EX")=0),0))))</f>
      </c>
      <c r="H14513">
        <f>IF(DATOS!$G14513&lt;&gt;"EX",0,--(COUNTIFS(nNIA,DATOS!$A14513,nCURSO,DATOS!$D14513,nESPEC,DATOS!$E14513,nASIG,DATOS!$I14513,nEVAL,"OR")=0))</f>
      </c>
      <c r="I14513">
        <f>IF(DATOS!$I14513="","",IFERROR(VLOOKUP(DATOS!$I14513,CONFIG_ASIGNATURAS!$B$2:$J$91,9,FALSE()),""))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IF(DATOS!$A14514="",0,IF(CONFIG_METADATA!$B$4&lt;&gt;"OR+EX",--(DATOS!$G14514=CONFIG_METADATA!$B$4),IF(DATOS!$G14514="EX",1,IF(DATOS!$G14514="OR",--(COUNTIFS(nNIA,DATOS!$A14514,nCURSO,DATOS!$D14514,nESPEC,DATOS!$E14514,nASIG,DATOS!$I14514,nEVAL,"EX")=0),0))))</f>
      </c>
      <c r="H14514">
        <f>IF(DATOS!$G14514&lt;&gt;"EX",0,--(COUNTIFS(nNIA,DATOS!$A14514,nCURSO,DATOS!$D14514,nESPEC,DATOS!$E14514,nASIG,DATOS!$I14514,nEVAL,"OR")=0))</f>
      </c>
      <c r="I14514">
        <f>IF(DATOS!$I14514="","",IFERROR(VLOOKUP(DATOS!$I14514,CONFIG_ASIGNATURAS!$B$2:$J$91,9,FALSE()),""))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IF(DATOS!$A14515="",0,IF(CONFIG_METADATA!$B$4&lt;&gt;"OR+EX",--(DATOS!$G14515=CONFIG_METADATA!$B$4),IF(DATOS!$G14515="EX",1,IF(DATOS!$G14515="OR",--(COUNTIFS(nNIA,DATOS!$A14515,nCURSO,DATOS!$D14515,nESPEC,DATOS!$E14515,nASIG,DATOS!$I14515,nEVAL,"EX")=0),0))))</f>
      </c>
      <c r="H14515">
        <f>IF(DATOS!$G14515&lt;&gt;"EX",0,--(COUNTIFS(nNIA,DATOS!$A14515,nCURSO,DATOS!$D14515,nESPEC,DATOS!$E14515,nASIG,DATOS!$I14515,nEVAL,"OR")=0))</f>
      </c>
      <c r="I14515">
        <f>IF(DATOS!$I14515="","",IFERROR(VLOOKUP(DATOS!$I14515,CONFIG_ASIGNATURAS!$B$2:$J$91,9,FALSE()),""))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IF(DATOS!$A14516="",0,IF(CONFIG_METADATA!$B$4&lt;&gt;"OR+EX",--(DATOS!$G14516=CONFIG_METADATA!$B$4),IF(DATOS!$G14516="EX",1,IF(DATOS!$G14516="OR",--(COUNTIFS(nNIA,DATOS!$A14516,nCURSO,DATOS!$D14516,nESPEC,DATOS!$E14516,nASIG,DATOS!$I14516,nEVAL,"EX")=0),0))))</f>
      </c>
      <c r="H14516">
        <f>IF(DATOS!$G14516&lt;&gt;"EX",0,--(COUNTIFS(nNIA,DATOS!$A14516,nCURSO,DATOS!$D14516,nESPEC,DATOS!$E14516,nASIG,DATOS!$I14516,nEVAL,"OR")=0))</f>
      </c>
      <c r="I14516">
        <f>IF(DATOS!$I14516="","",IFERROR(VLOOKUP(DATOS!$I14516,CONFIG_ASIGNATURAS!$B$2:$J$91,9,FALSE()),""))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IF(DATOS!$A14517="",0,IF(CONFIG_METADATA!$B$4&lt;&gt;"OR+EX",--(DATOS!$G14517=CONFIG_METADATA!$B$4),IF(DATOS!$G14517="EX",1,IF(DATOS!$G14517="OR",--(COUNTIFS(nNIA,DATOS!$A14517,nCURSO,DATOS!$D14517,nESPEC,DATOS!$E14517,nASIG,DATOS!$I14517,nEVAL,"EX")=0),0))))</f>
      </c>
      <c r="H14517">
        <f>IF(DATOS!$G14517&lt;&gt;"EX",0,--(COUNTIFS(nNIA,DATOS!$A14517,nCURSO,DATOS!$D14517,nESPEC,DATOS!$E14517,nASIG,DATOS!$I14517,nEVAL,"OR")=0))</f>
      </c>
      <c r="I14517">
        <f>IF(DATOS!$I14517="","",IFERROR(VLOOKUP(DATOS!$I14517,CONFIG_ASIGNATURAS!$B$2:$J$91,9,FALSE()),""))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IF(DATOS!$A14518="",0,IF(CONFIG_METADATA!$B$4&lt;&gt;"OR+EX",--(DATOS!$G14518=CONFIG_METADATA!$B$4),IF(DATOS!$G14518="EX",1,IF(DATOS!$G14518="OR",--(COUNTIFS(nNIA,DATOS!$A14518,nCURSO,DATOS!$D14518,nESPEC,DATOS!$E14518,nASIG,DATOS!$I14518,nEVAL,"EX")=0),0))))</f>
      </c>
      <c r="H14518">
        <f>IF(DATOS!$G14518&lt;&gt;"EX",0,--(COUNTIFS(nNIA,DATOS!$A14518,nCURSO,DATOS!$D14518,nESPEC,DATOS!$E14518,nASIG,DATOS!$I14518,nEVAL,"OR")=0))</f>
      </c>
      <c r="I14518">
        <f>IF(DATOS!$I14518="","",IFERROR(VLOOKUP(DATOS!$I14518,CONFIG_ASIGNATURAS!$B$2:$J$91,9,FALSE()),""))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IF(DATOS!$A14519="",0,IF(CONFIG_METADATA!$B$4&lt;&gt;"OR+EX",--(DATOS!$G14519=CONFIG_METADATA!$B$4),IF(DATOS!$G14519="EX",1,IF(DATOS!$G14519="OR",--(COUNTIFS(nNIA,DATOS!$A14519,nCURSO,DATOS!$D14519,nESPEC,DATOS!$E14519,nASIG,DATOS!$I14519,nEVAL,"EX")=0),0))))</f>
      </c>
      <c r="H14519">
        <f>IF(DATOS!$G14519&lt;&gt;"EX",0,--(COUNTIFS(nNIA,DATOS!$A14519,nCURSO,DATOS!$D14519,nESPEC,DATOS!$E14519,nASIG,DATOS!$I14519,nEVAL,"OR")=0))</f>
      </c>
      <c r="I14519">
        <f>IF(DATOS!$I14519="","",IFERROR(VLOOKUP(DATOS!$I14519,CONFIG_ASIGNATURAS!$B$2:$J$91,9,FALSE()),""))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IF(DATOS!$A14520="",0,IF(CONFIG_METADATA!$B$4&lt;&gt;"OR+EX",--(DATOS!$G14520=CONFIG_METADATA!$B$4),IF(DATOS!$G14520="EX",1,IF(DATOS!$G14520="OR",--(COUNTIFS(nNIA,DATOS!$A14520,nCURSO,DATOS!$D14520,nESPEC,DATOS!$E14520,nASIG,DATOS!$I14520,nEVAL,"EX")=0),0))))</f>
      </c>
      <c r="H14520">
        <f>IF(DATOS!$G14520&lt;&gt;"EX",0,--(COUNTIFS(nNIA,DATOS!$A14520,nCURSO,DATOS!$D14520,nESPEC,DATOS!$E14520,nASIG,DATOS!$I14520,nEVAL,"OR")=0))</f>
      </c>
      <c r="I14520">
        <f>IF(DATOS!$I14520="","",IFERROR(VLOOKUP(DATOS!$I14520,CONFIG_ASIGNATURAS!$B$2:$J$91,9,FALSE()),""))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IF(DATOS!$A14521="",0,IF(CONFIG_METADATA!$B$4&lt;&gt;"OR+EX",--(DATOS!$G14521=CONFIG_METADATA!$B$4),IF(DATOS!$G14521="EX",1,IF(DATOS!$G14521="OR",--(COUNTIFS(nNIA,DATOS!$A14521,nCURSO,DATOS!$D14521,nESPEC,DATOS!$E14521,nASIG,DATOS!$I14521,nEVAL,"EX")=0),0))))</f>
      </c>
      <c r="H14521">
        <f>IF(DATOS!$G14521&lt;&gt;"EX",0,--(COUNTIFS(nNIA,DATOS!$A14521,nCURSO,DATOS!$D14521,nESPEC,DATOS!$E14521,nASIG,DATOS!$I14521,nEVAL,"OR")=0))</f>
      </c>
      <c r="I14521">
        <f>IF(DATOS!$I14521="","",IFERROR(VLOOKUP(DATOS!$I14521,CONFIG_ASIGNATURAS!$B$2:$J$91,9,FALSE()),""))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IF(DATOS!$A14522="",0,IF(CONFIG_METADATA!$B$4&lt;&gt;"OR+EX",--(DATOS!$G14522=CONFIG_METADATA!$B$4),IF(DATOS!$G14522="EX",1,IF(DATOS!$G14522="OR",--(COUNTIFS(nNIA,DATOS!$A14522,nCURSO,DATOS!$D14522,nESPEC,DATOS!$E14522,nASIG,DATOS!$I14522,nEVAL,"EX")=0),0))))</f>
      </c>
      <c r="H14522">
        <f>IF(DATOS!$G14522&lt;&gt;"EX",0,--(COUNTIFS(nNIA,DATOS!$A14522,nCURSO,DATOS!$D14522,nESPEC,DATOS!$E14522,nASIG,DATOS!$I14522,nEVAL,"OR")=0))</f>
      </c>
      <c r="I14522">
        <f>IF(DATOS!$I14522="","",IFERROR(VLOOKUP(DATOS!$I14522,CONFIG_ASIGNATURAS!$B$2:$J$91,9,FALSE()),""))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IF(DATOS!$A14523="",0,IF(CONFIG_METADATA!$B$4&lt;&gt;"OR+EX",--(DATOS!$G14523=CONFIG_METADATA!$B$4),IF(DATOS!$G14523="EX",1,IF(DATOS!$G14523="OR",--(COUNTIFS(nNIA,DATOS!$A14523,nCURSO,DATOS!$D14523,nESPEC,DATOS!$E14523,nASIG,DATOS!$I14523,nEVAL,"EX")=0),0))))</f>
      </c>
      <c r="H14523">
        <f>IF(DATOS!$G14523&lt;&gt;"EX",0,--(COUNTIFS(nNIA,DATOS!$A14523,nCURSO,DATOS!$D14523,nESPEC,DATOS!$E14523,nASIG,DATOS!$I14523,nEVAL,"OR")=0))</f>
      </c>
      <c r="I14523">
        <f>IF(DATOS!$I14523="","",IFERROR(VLOOKUP(DATOS!$I14523,CONFIG_ASIGNATURAS!$B$2:$J$91,9,FALSE()),""))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IF(DATOS!$A14524="",0,IF(CONFIG_METADATA!$B$4&lt;&gt;"OR+EX",--(DATOS!$G14524=CONFIG_METADATA!$B$4),IF(DATOS!$G14524="EX",1,IF(DATOS!$G14524="OR",--(COUNTIFS(nNIA,DATOS!$A14524,nCURSO,DATOS!$D14524,nESPEC,DATOS!$E14524,nASIG,DATOS!$I14524,nEVAL,"EX")=0),0))))</f>
      </c>
      <c r="H14524">
        <f>IF(DATOS!$G14524&lt;&gt;"EX",0,--(COUNTIFS(nNIA,DATOS!$A14524,nCURSO,DATOS!$D14524,nESPEC,DATOS!$E14524,nASIG,DATOS!$I14524,nEVAL,"OR")=0))</f>
      </c>
      <c r="I14524">
        <f>IF(DATOS!$I14524="","",IFERROR(VLOOKUP(DATOS!$I14524,CONFIG_ASIGNATURAS!$B$2:$J$91,9,FALSE()),""))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IF(DATOS!$A14525="",0,IF(CONFIG_METADATA!$B$4&lt;&gt;"OR+EX",--(DATOS!$G14525=CONFIG_METADATA!$B$4),IF(DATOS!$G14525="EX",1,IF(DATOS!$G14525="OR",--(COUNTIFS(nNIA,DATOS!$A14525,nCURSO,DATOS!$D14525,nESPEC,DATOS!$E14525,nASIG,DATOS!$I14525,nEVAL,"EX")=0),0))))</f>
      </c>
      <c r="H14525">
        <f>IF(DATOS!$G14525&lt;&gt;"EX",0,--(COUNTIFS(nNIA,DATOS!$A14525,nCURSO,DATOS!$D14525,nESPEC,DATOS!$E14525,nASIG,DATOS!$I14525,nEVAL,"OR")=0))</f>
      </c>
      <c r="I14525">
        <f>IF(DATOS!$I14525="","",IFERROR(VLOOKUP(DATOS!$I14525,CONFIG_ASIGNATURAS!$B$2:$J$91,9,FALSE()),""))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IF(DATOS!$A14526="",0,IF(CONFIG_METADATA!$B$4&lt;&gt;"OR+EX",--(DATOS!$G14526=CONFIG_METADATA!$B$4),IF(DATOS!$G14526="EX",1,IF(DATOS!$G14526="OR",--(COUNTIFS(nNIA,DATOS!$A14526,nCURSO,DATOS!$D14526,nESPEC,DATOS!$E14526,nASIG,DATOS!$I14526,nEVAL,"EX")=0),0))))</f>
      </c>
      <c r="H14526">
        <f>IF(DATOS!$G14526&lt;&gt;"EX",0,--(COUNTIFS(nNIA,DATOS!$A14526,nCURSO,DATOS!$D14526,nESPEC,DATOS!$E14526,nASIG,DATOS!$I14526,nEVAL,"OR")=0))</f>
      </c>
      <c r="I14526">
        <f>IF(DATOS!$I14526="","",IFERROR(VLOOKUP(DATOS!$I14526,CONFIG_ASIGNATURAS!$B$2:$J$91,9,FALSE()),""))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IF(DATOS!$A14527="",0,IF(CONFIG_METADATA!$B$4&lt;&gt;"OR+EX",--(DATOS!$G14527=CONFIG_METADATA!$B$4),IF(DATOS!$G14527="EX",1,IF(DATOS!$G14527="OR",--(COUNTIFS(nNIA,DATOS!$A14527,nCURSO,DATOS!$D14527,nESPEC,DATOS!$E14527,nASIG,DATOS!$I14527,nEVAL,"EX")=0),0))))</f>
      </c>
      <c r="H14527">
        <f>IF(DATOS!$G14527&lt;&gt;"EX",0,--(COUNTIFS(nNIA,DATOS!$A14527,nCURSO,DATOS!$D14527,nESPEC,DATOS!$E14527,nASIG,DATOS!$I14527,nEVAL,"OR")=0))</f>
      </c>
      <c r="I14527">
        <f>IF(DATOS!$I14527="","",IFERROR(VLOOKUP(DATOS!$I14527,CONFIG_ASIGNATURAS!$B$2:$J$91,9,FALSE()),""))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IF(DATOS!$A14528="",0,IF(CONFIG_METADATA!$B$4&lt;&gt;"OR+EX",--(DATOS!$G14528=CONFIG_METADATA!$B$4),IF(DATOS!$G14528="EX",1,IF(DATOS!$G14528="OR",--(COUNTIFS(nNIA,DATOS!$A14528,nCURSO,DATOS!$D14528,nESPEC,DATOS!$E14528,nASIG,DATOS!$I14528,nEVAL,"EX")=0),0))))</f>
      </c>
      <c r="H14528">
        <f>IF(DATOS!$G14528&lt;&gt;"EX",0,--(COUNTIFS(nNIA,DATOS!$A14528,nCURSO,DATOS!$D14528,nESPEC,DATOS!$E14528,nASIG,DATOS!$I14528,nEVAL,"OR")=0))</f>
      </c>
      <c r="I14528">
        <f>IF(DATOS!$I14528="","",IFERROR(VLOOKUP(DATOS!$I14528,CONFIG_ASIGNATURAS!$B$2:$J$91,9,FALSE()),""))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IF(DATOS!$A14529="",0,IF(CONFIG_METADATA!$B$4&lt;&gt;"OR+EX",--(DATOS!$G14529=CONFIG_METADATA!$B$4),IF(DATOS!$G14529="EX",1,IF(DATOS!$G14529="OR",--(COUNTIFS(nNIA,DATOS!$A14529,nCURSO,DATOS!$D14529,nESPEC,DATOS!$E14529,nASIG,DATOS!$I14529,nEVAL,"EX")=0),0))))</f>
      </c>
      <c r="H14529">
        <f>IF(DATOS!$G14529&lt;&gt;"EX",0,--(COUNTIFS(nNIA,DATOS!$A14529,nCURSO,DATOS!$D14529,nESPEC,DATOS!$E14529,nASIG,DATOS!$I14529,nEVAL,"OR")=0))</f>
      </c>
      <c r="I14529">
        <f>IF(DATOS!$I14529="","",IFERROR(VLOOKUP(DATOS!$I14529,CONFIG_ASIGNATURAS!$B$2:$J$91,9,FALSE()),""))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IF(DATOS!$A14530="",0,IF(CONFIG_METADATA!$B$4&lt;&gt;"OR+EX",--(DATOS!$G14530=CONFIG_METADATA!$B$4),IF(DATOS!$G14530="EX",1,IF(DATOS!$G14530="OR",--(COUNTIFS(nNIA,DATOS!$A14530,nCURSO,DATOS!$D14530,nESPEC,DATOS!$E14530,nASIG,DATOS!$I14530,nEVAL,"EX")=0),0))))</f>
      </c>
      <c r="H14530">
        <f>IF(DATOS!$G14530&lt;&gt;"EX",0,--(COUNTIFS(nNIA,DATOS!$A14530,nCURSO,DATOS!$D14530,nESPEC,DATOS!$E14530,nASIG,DATOS!$I14530,nEVAL,"OR")=0))</f>
      </c>
      <c r="I14530">
        <f>IF(DATOS!$I14530="","",IFERROR(VLOOKUP(DATOS!$I14530,CONFIG_ASIGNATURAS!$B$2:$J$91,9,FALSE()),""))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IF(DATOS!$A14531="",0,IF(CONFIG_METADATA!$B$4&lt;&gt;"OR+EX",--(DATOS!$G14531=CONFIG_METADATA!$B$4),IF(DATOS!$G14531="EX",1,IF(DATOS!$G14531="OR",--(COUNTIFS(nNIA,DATOS!$A14531,nCURSO,DATOS!$D14531,nESPEC,DATOS!$E14531,nASIG,DATOS!$I14531,nEVAL,"EX")=0),0))))</f>
      </c>
      <c r="H14531">
        <f>IF(DATOS!$G14531&lt;&gt;"EX",0,--(COUNTIFS(nNIA,DATOS!$A14531,nCURSO,DATOS!$D14531,nESPEC,DATOS!$E14531,nASIG,DATOS!$I14531,nEVAL,"OR")=0))</f>
      </c>
      <c r="I14531">
        <f>IF(DATOS!$I14531="","",IFERROR(VLOOKUP(DATOS!$I14531,CONFIG_ASIGNATURAS!$B$2:$J$91,9,FALSE()),""))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IF(DATOS!$A14532="",0,IF(CONFIG_METADATA!$B$4&lt;&gt;"OR+EX",--(DATOS!$G14532=CONFIG_METADATA!$B$4),IF(DATOS!$G14532="EX",1,IF(DATOS!$G14532="OR",--(COUNTIFS(nNIA,DATOS!$A14532,nCURSO,DATOS!$D14532,nESPEC,DATOS!$E14532,nASIG,DATOS!$I14532,nEVAL,"EX")=0),0))))</f>
      </c>
      <c r="H14532">
        <f>IF(DATOS!$G14532&lt;&gt;"EX",0,--(COUNTIFS(nNIA,DATOS!$A14532,nCURSO,DATOS!$D14532,nESPEC,DATOS!$E14532,nASIG,DATOS!$I14532,nEVAL,"OR")=0))</f>
      </c>
      <c r="I14532">
        <f>IF(DATOS!$I14532="","",IFERROR(VLOOKUP(DATOS!$I14532,CONFIG_ASIGNATURAS!$B$2:$J$91,9,FALSE()),""))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IF(DATOS!$A14533="",0,IF(CONFIG_METADATA!$B$4&lt;&gt;"OR+EX",--(DATOS!$G14533=CONFIG_METADATA!$B$4),IF(DATOS!$G14533="EX",1,IF(DATOS!$G14533="OR",--(COUNTIFS(nNIA,DATOS!$A14533,nCURSO,DATOS!$D14533,nESPEC,DATOS!$E14533,nASIG,DATOS!$I14533,nEVAL,"EX")=0),0))))</f>
      </c>
      <c r="H14533">
        <f>IF(DATOS!$G14533&lt;&gt;"EX",0,--(COUNTIFS(nNIA,DATOS!$A14533,nCURSO,DATOS!$D14533,nESPEC,DATOS!$E14533,nASIG,DATOS!$I14533,nEVAL,"OR")=0))</f>
      </c>
      <c r="I14533">
        <f>IF(DATOS!$I14533="","",IFERROR(VLOOKUP(DATOS!$I14533,CONFIG_ASIGNATURAS!$B$2:$J$91,9,FALSE()),""))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IF(DATOS!$A14534="",0,IF(CONFIG_METADATA!$B$4&lt;&gt;"OR+EX",--(DATOS!$G14534=CONFIG_METADATA!$B$4),IF(DATOS!$G14534="EX",1,IF(DATOS!$G14534="OR",--(COUNTIFS(nNIA,DATOS!$A14534,nCURSO,DATOS!$D14534,nESPEC,DATOS!$E14534,nASIG,DATOS!$I14534,nEVAL,"EX")=0),0))))</f>
      </c>
      <c r="H14534">
        <f>IF(DATOS!$G14534&lt;&gt;"EX",0,--(COUNTIFS(nNIA,DATOS!$A14534,nCURSO,DATOS!$D14534,nESPEC,DATOS!$E14534,nASIG,DATOS!$I14534,nEVAL,"OR")=0))</f>
      </c>
      <c r="I14534">
        <f>IF(DATOS!$I14534="","",IFERROR(VLOOKUP(DATOS!$I14534,CONFIG_ASIGNATURAS!$B$2:$J$91,9,FALSE()),""))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IF(DATOS!$A14535="",0,IF(CONFIG_METADATA!$B$4&lt;&gt;"OR+EX",--(DATOS!$G14535=CONFIG_METADATA!$B$4),IF(DATOS!$G14535="EX",1,IF(DATOS!$G14535="OR",--(COUNTIFS(nNIA,DATOS!$A14535,nCURSO,DATOS!$D14535,nESPEC,DATOS!$E14535,nASIG,DATOS!$I14535,nEVAL,"EX")=0),0))))</f>
      </c>
      <c r="H14535">
        <f>IF(DATOS!$G14535&lt;&gt;"EX",0,--(COUNTIFS(nNIA,DATOS!$A14535,nCURSO,DATOS!$D14535,nESPEC,DATOS!$E14535,nASIG,DATOS!$I14535,nEVAL,"OR")=0))</f>
      </c>
      <c r="I14535">
        <f>IF(DATOS!$I14535="","",IFERROR(VLOOKUP(DATOS!$I14535,CONFIG_ASIGNATURAS!$B$2:$J$91,9,FALSE()),""))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IF(DATOS!$A14536="",0,IF(CONFIG_METADATA!$B$4&lt;&gt;"OR+EX",--(DATOS!$G14536=CONFIG_METADATA!$B$4),IF(DATOS!$G14536="EX",1,IF(DATOS!$G14536="OR",--(COUNTIFS(nNIA,DATOS!$A14536,nCURSO,DATOS!$D14536,nESPEC,DATOS!$E14536,nASIG,DATOS!$I14536,nEVAL,"EX")=0),0))))</f>
      </c>
      <c r="H14536">
        <f>IF(DATOS!$G14536&lt;&gt;"EX",0,--(COUNTIFS(nNIA,DATOS!$A14536,nCURSO,DATOS!$D14536,nESPEC,DATOS!$E14536,nASIG,DATOS!$I14536,nEVAL,"OR")=0))</f>
      </c>
      <c r="I14536">
        <f>IF(DATOS!$I14536="","",IFERROR(VLOOKUP(DATOS!$I14536,CONFIG_ASIGNATURAS!$B$2:$J$91,9,FALSE()),""))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IF(DATOS!$A14537="",0,IF(CONFIG_METADATA!$B$4&lt;&gt;"OR+EX",--(DATOS!$G14537=CONFIG_METADATA!$B$4),IF(DATOS!$G14537="EX",1,IF(DATOS!$G14537="OR",--(COUNTIFS(nNIA,DATOS!$A14537,nCURSO,DATOS!$D14537,nESPEC,DATOS!$E14537,nASIG,DATOS!$I14537,nEVAL,"EX")=0),0))))</f>
      </c>
      <c r="H14537">
        <f>IF(DATOS!$G14537&lt;&gt;"EX",0,--(COUNTIFS(nNIA,DATOS!$A14537,nCURSO,DATOS!$D14537,nESPEC,DATOS!$E14537,nASIG,DATOS!$I14537,nEVAL,"OR")=0))</f>
      </c>
      <c r="I14537">
        <f>IF(DATOS!$I14537="","",IFERROR(VLOOKUP(DATOS!$I14537,CONFIG_ASIGNATURAS!$B$2:$J$91,9,FALSE()),""))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IF(DATOS!$A14538="",0,IF(CONFIG_METADATA!$B$4&lt;&gt;"OR+EX",--(DATOS!$G14538=CONFIG_METADATA!$B$4),IF(DATOS!$G14538="EX",1,IF(DATOS!$G14538="OR",--(COUNTIFS(nNIA,DATOS!$A14538,nCURSO,DATOS!$D14538,nESPEC,DATOS!$E14538,nASIG,DATOS!$I14538,nEVAL,"EX")=0),0))))</f>
      </c>
      <c r="H14538">
        <f>IF(DATOS!$G14538&lt;&gt;"EX",0,--(COUNTIFS(nNIA,DATOS!$A14538,nCURSO,DATOS!$D14538,nESPEC,DATOS!$E14538,nASIG,DATOS!$I14538,nEVAL,"OR")=0))</f>
      </c>
      <c r="I14538">
        <f>IF(DATOS!$I14538="","",IFERROR(VLOOKUP(DATOS!$I14538,CONFIG_ASIGNATURAS!$B$2:$J$91,9,FALSE()),""))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IF(DATOS!$A14539="",0,IF(CONFIG_METADATA!$B$4&lt;&gt;"OR+EX",--(DATOS!$G14539=CONFIG_METADATA!$B$4),IF(DATOS!$G14539="EX",1,IF(DATOS!$G14539="OR",--(COUNTIFS(nNIA,DATOS!$A14539,nCURSO,DATOS!$D14539,nESPEC,DATOS!$E14539,nASIG,DATOS!$I14539,nEVAL,"EX")=0),0))))</f>
      </c>
      <c r="H14539">
        <f>IF(DATOS!$G14539&lt;&gt;"EX",0,--(COUNTIFS(nNIA,DATOS!$A14539,nCURSO,DATOS!$D14539,nESPEC,DATOS!$E14539,nASIG,DATOS!$I14539,nEVAL,"OR")=0))</f>
      </c>
      <c r="I14539">
        <f>IF(DATOS!$I14539="","",IFERROR(VLOOKUP(DATOS!$I14539,CONFIG_ASIGNATURAS!$B$2:$J$91,9,FALSE()),""))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IF(DATOS!$A14540="",0,IF(CONFIG_METADATA!$B$4&lt;&gt;"OR+EX",--(DATOS!$G14540=CONFIG_METADATA!$B$4),IF(DATOS!$G14540="EX",1,IF(DATOS!$G14540="OR",--(COUNTIFS(nNIA,DATOS!$A14540,nCURSO,DATOS!$D14540,nESPEC,DATOS!$E14540,nASIG,DATOS!$I14540,nEVAL,"EX")=0),0))))</f>
      </c>
      <c r="H14540">
        <f>IF(DATOS!$G14540&lt;&gt;"EX",0,--(COUNTIFS(nNIA,DATOS!$A14540,nCURSO,DATOS!$D14540,nESPEC,DATOS!$E14540,nASIG,DATOS!$I14540,nEVAL,"OR")=0))</f>
      </c>
      <c r="I14540">
        <f>IF(DATOS!$I14540="","",IFERROR(VLOOKUP(DATOS!$I14540,CONFIG_ASIGNATURAS!$B$2:$J$91,9,FALSE()),""))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IF(DATOS!$A14541="",0,IF(CONFIG_METADATA!$B$4&lt;&gt;"OR+EX",--(DATOS!$G14541=CONFIG_METADATA!$B$4),IF(DATOS!$G14541="EX",1,IF(DATOS!$G14541="OR",--(COUNTIFS(nNIA,DATOS!$A14541,nCURSO,DATOS!$D14541,nESPEC,DATOS!$E14541,nASIG,DATOS!$I14541,nEVAL,"EX")=0),0))))</f>
      </c>
      <c r="H14541">
        <f>IF(DATOS!$G14541&lt;&gt;"EX",0,--(COUNTIFS(nNIA,DATOS!$A14541,nCURSO,DATOS!$D14541,nESPEC,DATOS!$E14541,nASIG,DATOS!$I14541,nEVAL,"OR")=0))</f>
      </c>
      <c r="I14541">
        <f>IF(DATOS!$I14541="","",IFERROR(VLOOKUP(DATOS!$I14541,CONFIG_ASIGNATURAS!$B$2:$J$91,9,FALSE()),""))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IF(DATOS!$A14542="",0,IF(CONFIG_METADATA!$B$4&lt;&gt;"OR+EX",--(DATOS!$G14542=CONFIG_METADATA!$B$4),IF(DATOS!$G14542="EX",1,IF(DATOS!$G14542="OR",--(COUNTIFS(nNIA,DATOS!$A14542,nCURSO,DATOS!$D14542,nESPEC,DATOS!$E14542,nASIG,DATOS!$I14542,nEVAL,"EX")=0),0))))</f>
      </c>
      <c r="H14542">
        <f>IF(DATOS!$G14542&lt;&gt;"EX",0,--(COUNTIFS(nNIA,DATOS!$A14542,nCURSO,DATOS!$D14542,nESPEC,DATOS!$E14542,nASIG,DATOS!$I14542,nEVAL,"OR")=0))</f>
      </c>
      <c r="I14542">
        <f>IF(DATOS!$I14542="","",IFERROR(VLOOKUP(DATOS!$I14542,CONFIG_ASIGNATURAS!$B$2:$J$91,9,FALSE()),""))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IF(DATOS!$A14543="",0,IF(CONFIG_METADATA!$B$4&lt;&gt;"OR+EX",--(DATOS!$G14543=CONFIG_METADATA!$B$4),IF(DATOS!$G14543="EX",1,IF(DATOS!$G14543="OR",--(COUNTIFS(nNIA,DATOS!$A14543,nCURSO,DATOS!$D14543,nESPEC,DATOS!$E14543,nASIG,DATOS!$I14543,nEVAL,"EX")=0),0))))</f>
      </c>
      <c r="H14543">
        <f>IF(DATOS!$G14543&lt;&gt;"EX",0,--(COUNTIFS(nNIA,DATOS!$A14543,nCURSO,DATOS!$D14543,nESPEC,DATOS!$E14543,nASIG,DATOS!$I14543,nEVAL,"OR")=0))</f>
      </c>
      <c r="I14543">
        <f>IF(DATOS!$I14543="","",IFERROR(VLOOKUP(DATOS!$I14543,CONFIG_ASIGNATURAS!$B$2:$J$91,9,FALSE()),""))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IF(DATOS!$A14544="",0,IF(CONFIG_METADATA!$B$4&lt;&gt;"OR+EX",--(DATOS!$G14544=CONFIG_METADATA!$B$4),IF(DATOS!$G14544="EX",1,IF(DATOS!$G14544="OR",--(COUNTIFS(nNIA,DATOS!$A14544,nCURSO,DATOS!$D14544,nESPEC,DATOS!$E14544,nASIG,DATOS!$I14544,nEVAL,"EX")=0),0))))</f>
      </c>
      <c r="H14544">
        <f>IF(DATOS!$G14544&lt;&gt;"EX",0,--(COUNTIFS(nNIA,DATOS!$A14544,nCURSO,DATOS!$D14544,nESPEC,DATOS!$E14544,nASIG,DATOS!$I14544,nEVAL,"OR")=0))</f>
      </c>
      <c r="I14544">
        <f>IF(DATOS!$I14544="","",IFERROR(VLOOKUP(DATOS!$I14544,CONFIG_ASIGNATURAS!$B$2:$J$91,9,FALSE()),""))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IF(DATOS!$A14545="",0,IF(CONFIG_METADATA!$B$4&lt;&gt;"OR+EX",--(DATOS!$G14545=CONFIG_METADATA!$B$4),IF(DATOS!$G14545="EX",1,IF(DATOS!$G14545="OR",--(COUNTIFS(nNIA,DATOS!$A14545,nCURSO,DATOS!$D14545,nESPEC,DATOS!$E14545,nASIG,DATOS!$I14545,nEVAL,"EX")=0),0))))</f>
      </c>
      <c r="H14545">
        <f>IF(DATOS!$G14545&lt;&gt;"EX",0,--(COUNTIFS(nNIA,DATOS!$A14545,nCURSO,DATOS!$D14545,nESPEC,DATOS!$E14545,nASIG,DATOS!$I14545,nEVAL,"OR")=0))</f>
      </c>
      <c r="I14545">
        <f>IF(DATOS!$I14545="","",IFERROR(VLOOKUP(DATOS!$I14545,CONFIG_ASIGNATURAS!$B$2:$J$91,9,FALSE()),""))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IF(DATOS!$A14546="",0,IF(CONFIG_METADATA!$B$4&lt;&gt;"OR+EX",--(DATOS!$G14546=CONFIG_METADATA!$B$4),IF(DATOS!$G14546="EX",1,IF(DATOS!$G14546="OR",--(COUNTIFS(nNIA,DATOS!$A14546,nCURSO,DATOS!$D14546,nESPEC,DATOS!$E14546,nASIG,DATOS!$I14546,nEVAL,"EX")=0),0))))</f>
      </c>
      <c r="H14546">
        <f>IF(DATOS!$G14546&lt;&gt;"EX",0,--(COUNTIFS(nNIA,DATOS!$A14546,nCURSO,DATOS!$D14546,nESPEC,DATOS!$E14546,nASIG,DATOS!$I14546,nEVAL,"OR")=0))</f>
      </c>
      <c r="I14546">
        <f>IF(DATOS!$I14546="","",IFERROR(VLOOKUP(DATOS!$I14546,CONFIG_ASIGNATURAS!$B$2:$J$91,9,FALSE()),""))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IF(DATOS!$A14547="",0,IF(CONFIG_METADATA!$B$4&lt;&gt;"OR+EX",--(DATOS!$G14547=CONFIG_METADATA!$B$4),IF(DATOS!$G14547="EX",1,IF(DATOS!$G14547="OR",--(COUNTIFS(nNIA,DATOS!$A14547,nCURSO,DATOS!$D14547,nESPEC,DATOS!$E14547,nASIG,DATOS!$I14547,nEVAL,"EX")=0),0))))</f>
      </c>
      <c r="H14547">
        <f>IF(DATOS!$G14547&lt;&gt;"EX",0,--(COUNTIFS(nNIA,DATOS!$A14547,nCURSO,DATOS!$D14547,nESPEC,DATOS!$E14547,nASIG,DATOS!$I14547,nEVAL,"OR")=0))</f>
      </c>
      <c r="I14547">
        <f>IF(DATOS!$I14547="","",IFERROR(VLOOKUP(DATOS!$I14547,CONFIG_ASIGNATURAS!$B$2:$J$91,9,FALSE()),""))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IF(DATOS!$A14548="",0,IF(CONFIG_METADATA!$B$4&lt;&gt;"OR+EX",--(DATOS!$G14548=CONFIG_METADATA!$B$4),IF(DATOS!$G14548="EX",1,IF(DATOS!$G14548="OR",--(COUNTIFS(nNIA,DATOS!$A14548,nCURSO,DATOS!$D14548,nESPEC,DATOS!$E14548,nASIG,DATOS!$I14548,nEVAL,"EX")=0),0))))</f>
      </c>
      <c r="H14548">
        <f>IF(DATOS!$G14548&lt;&gt;"EX",0,--(COUNTIFS(nNIA,DATOS!$A14548,nCURSO,DATOS!$D14548,nESPEC,DATOS!$E14548,nASIG,DATOS!$I14548,nEVAL,"OR")=0))</f>
      </c>
      <c r="I14548">
        <f>IF(DATOS!$I14548="","",IFERROR(VLOOKUP(DATOS!$I14548,CONFIG_ASIGNATURAS!$B$2:$J$91,9,FALSE()),""))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IF(DATOS!$A14549="",0,IF(CONFIG_METADATA!$B$4&lt;&gt;"OR+EX",--(DATOS!$G14549=CONFIG_METADATA!$B$4),IF(DATOS!$G14549="EX",1,IF(DATOS!$G14549="OR",--(COUNTIFS(nNIA,DATOS!$A14549,nCURSO,DATOS!$D14549,nESPEC,DATOS!$E14549,nASIG,DATOS!$I14549,nEVAL,"EX")=0),0))))</f>
      </c>
      <c r="H14549">
        <f>IF(DATOS!$G14549&lt;&gt;"EX",0,--(COUNTIFS(nNIA,DATOS!$A14549,nCURSO,DATOS!$D14549,nESPEC,DATOS!$E14549,nASIG,DATOS!$I14549,nEVAL,"OR")=0))</f>
      </c>
      <c r="I14549">
        <f>IF(DATOS!$I14549="","",IFERROR(VLOOKUP(DATOS!$I14549,CONFIG_ASIGNATURAS!$B$2:$J$91,9,FALSE()),""))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IF(DATOS!$A14550="",0,IF(CONFIG_METADATA!$B$4&lt;&gt;"OR+EX",--(DATOS!$G14550=CONFIG_METADATA!$B$4),IF(DATOS!$G14550="EX",1,IF(DATOS!$G14550="OR",--(COUNTIFS(nNIA,DATOS!$A14550,nCURSO,DATOS!$D14550,nESPEC,DATOS!$E14550,nASIG,DATOS!$I14550,nEVAL,"EX")=0),0))))</f>
      </c>
      <c r="H14550">
        <f>IF(DATOS!$G14550&lt;&gt;"EX",0,--(COUNTIFS(nNIA,DATOS!$A14550,nCURSO,DATOS!$D14550,nESPEC,DATOS!$E14550,nASIG,DATOS!$I14550,nEVAL,"OR")=0))</f>
      </c>
      <c r="I14550">
        <f>IF(DATOS!$I14550="","",IFERROR(VLOOKUP(DATOS!$I14550,CONFIG_ASIGNATURAS!$B$2:$J$91,9,FALSE()),""))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IF(DATOS!$A14551="",0,IF(CONFIG_METADATA!$B$4&lt;&gt;"OR+EX",--(DATOS!$G14551=CONFIG_METADATA!$B$4),IF(DATOS!$G14551="EX",1,IF(DATOS!$G14551="OR",--(COUNTIFS(nNIA,DATOS!$A14551,nCURSO,DATOS!$D14551,nESPEC,DATOS!$E14551,nASIG,DATOS!$I14551,nEVAL,"EX")=0),0))))</f>
      </c>
      <c r="H14551">
        <f>IF(DATOS!$G14551&lt;&gt;"EX",0,--(COUNTIFS(nNIA,DATOS!$A14551,nCURSO,DATOS!$D14551,nESPEC,DATOS!$E14551,nASIG,DATOS!$I14551,nEVAL,"OR")=0))</f>
      </c>
      <c r="I14551">
        <f>IF(DATOS!$I14551="","",IFERROR(VLOOKUP(DATOS!$I14551,CONFIG_ASIGNATURAS!$B$2:$J$91,9,FALSE()),""))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IF(DATOS!$A14552="",0,IF(CONFIG_METADATA!$B$4&lt;&gt;"OR+EX",--(DATOS!$G14552=CONFIG_METADATA!$B$4),IF(DATOS!$G14552="EX",1,IF(DATOS!$G14552="OR",--(COUNTIFS(nNIA,DATOS!$A14552,nCURSO,DATOS!$D14552,nESPEC,DATOS!$E14552,nASIG,DATOS!$I14552,nEVAL,"EX")=0),0))))</f>
      </c>
      <c r="H14552">
        <f>IF(DATOS!$G14552&lt;&gt;"EX",0,--(COUNTIFS(nNIA,DATOS!$A14552,nCURSO,DATOS!$D14552,nESPEC,DATOS!$E14552,nASIG,DATOS!$I14552,nEVAL,"OR")=0))</f>
      </c>
      <c r="I14552">
        <f>IF(DATOS!$I14552="","",IFERROR(VLOOKUP(DATOS!$I14552,CONFIG_ASIGNATURAS!$B$2:$J$91,9,FALSE()),""))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IF(DATOS!$A14553="",0,IF(CONFIG_METADATA!$B$4&lt;&gt;"OR+EX",--(DATOS!$G14553=CONFIG_METADATA!$B$4),IF(DATOS!$G14553="EX",1,IF(DATOS!$G14553="OR",--(COUNTIFS(nNIA,DATOS!$A14553,nCURSO,DATOS!$D14553,nESPEC,DATOS!$E14553,nASIG,DATOS!$I14553,nEVAL,"EX")=0),0))))</f>
      </c>
      <c r="H14553">
        <f>IF(DATOS!$G14553&lt;&gt;"EX",0,--(COUNTIFS(nNIA,DATOS!$A14553,nCURSO,DATOS!$D14553,nESPEC,DATOS!$E14553,nASIG,DATOS!$I14553,nEVAL,"OR")=0))</f>
      </c>
      <c r="I14553">
        <f>IF(DATOS!$I14553="","",IFERROR(VLOOKUP(DATOS!$I14553,CONFIG_ASIGNATURAS!$B$2:$J$91,9,FALSE()),""))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IF(DATOS!$A14554="",0,IF(CONFIG_METADATA!$B$4&lt;&gt;"OR+EX",--(DATOS!$G14554=CONFIG_METADATA!$B$4),IF(DATOS!$G14554="EX",1,IF(DATOS!$G14554="OR",--(COUNTIFS(nNIA,DATOS!$A14554,nCURSO,DATOS!$D14554,nESPEC,DATOS!$E14554,nASIG,DATOS!$I14554,nEVAL,"EX")=0),0))))</f>
      </c>
      <c r="H14554">
        <f>IF(DATOS!$G14554&lt;&gt;"EX",0,--(COUNTIFS(nNIA,DATOS!$A14554,nCURSO,DATOS!$D14554,nESPEC,DATOS!$E14554,nASIG,DATOS!$I14554,nEVAL,"OR")=0))</f>
      </c>
      <c r="I14554">
        <f>IF(DATOS!$I14554="","",IFERROR(VLOOKUP(DATOS!$I14554,CONFIG_ASIGNATURAS!$B$2:$J$91,9,FALSE()),""))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IF(DATOS!$A14555="",0,IF(CONFIG_METADATA!$B$4&lt;&gt;"OR+EX",--(DATOS!$G14555=CONFIG_METADATA!$B$4),IF(DATOS!$G14555="EX",1,IF(DATOS!$G14555="OR",--(COUNTIFS(nNIA,DATOS!$A14555,nCURSO,DATOS!$D14555,nESPEC,DATOS!$E14555,nASIG,DATOS!$I14555,nEVAL,"EX")=0),0))))</f>
      </c>
      <c r="H14555">
        <f>IF(DATOS!$G14555&lt;&gt;"EX",0,--(COUNTIFS(nNIA,DATOS!$A14555,nCURSO,DATOS!$D14555,nESPEC,DATOS!$E14555,nASIG,DATOS!$I14555,nEVAL,"OR")=0))</f>
      </c>
      <c r="I14555">
        <f>IF(DATOS!$I14555="","",IFERROR(VLOOKUP(DATOS!$I14555,CONFIG_ASIGNATURAS!$B$2:$J$91,9,FALSE()),""))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IF(DATOS!$A14556="",0,IF(CONFIG_METADATA!$B$4&lt;&gt;"OR+EX",--(DATOS!$G14556=CONFIG_METADATA!$B$4),IF(DATOS!$G14556="EX",1,IF(DATOS!$G14556="OR",--(COUNTIFS(nNIA,DATOS!$A14556,nCURSO,DATOS!$D14556,nESPEC,DATOS!$E14556,nASIG,DATOS!$I14556,nEVAL,"EX")=0),0))))</f>
      </c>
      <c r="H14556">
        <f>IF(DATOS!$G14556&lt;&gt;"EX",0,--(COUNTIFS(nNIA,DATOS!$A14556,nCURSO,DATOS!$D14556,nESPEC,DATOS!$E14556,nASIG,DATOS!$I14556,nEVAL,"OR")=0))</f>
      </c>
      <c r="I14556">
        <f>IF(DATOS!$I14556="","",IFERROR(VLOOKUP(DATOS!$I14556,CONFIG_ASIGNATURAS!$B$2:$J$91,9,FALSE()),""))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IF(DATOS!$A14557="",0,IF(CONFIG_METADATA!$B$4&lt;&gt;"OR+EX",--(DATOS!$G14557=CONFIG_METADATA!$B$4),IF(DATOS!$G14557="EX",1,IF(DATOS!$G14557="OR",--(COUNTIFS(nNIA,DATOS!$A14557,nCURSO,DATOS!$D14557,nESPEC,DATOS!$E14557,nASIG,DATOS!$I14557,nEVAL,"EX")=0),0))))</f>
      </c>
      <c r="H14557">
        <f>IF(DATOS!$G14557&lt;&gt;"EX",0,--(COUNTIFS(nNIA,DATOS!$A14557,nCURSO,DATOS!$D14557,nESPEC,DATOS!$E14557,nASIG,DATOS!$I14557,nEVAL,"OR")=0))</f>
      </c>
      <c r="I14557">
        <f>IF(DATOS!$I14557="","",IFERROR(VLOOKUP(DATOS!$I14557,CONFIG_ASIGNATURAS!$B$2:$J$91,9,FALSE()),""))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IF(DATOS!$A14558="",0,IF(CONFIG_METADATA!$B$4&lt;&gt;"OR+EX",--(DATOS!$G14558=CONFIG_METADATA!$B$4),IF(DATOS!$G14558="EX",1,IF(DATOS!$G14558="OR",--(COUNTIFS(nNIA,DATOS!$A14558,nCURSO,DATOS!$D14558,nESPEC,DATOS!$E14558,nASIG,DATOS!$I14558,nEVAL,"EX")=0),0))))</f>
      </c>
      <c r="H14558">
        <f>IF(DATOS!$G14558&lt;&gt;"EX",0,--(COUNTIFS(nNIA,DATOS!$A14558,nCURSO,DATOS!$D14558,nESPEC,DATOS!$E14558,nASIG,DATOS!$I14558,nEVAL,"OR")=0))</f>
      </c>
      <c r="I14558">
        <f>IF(DATOS!$I14558="","",IFERROR(VLOOKUP(DATOS!$I14558,CONFIG_ASIGNATURAS!$B$2:$J$91,9,FALSE()),""))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IF(DATOS!$A14559="",0,IF(CONFIG_METADATA!$B$4&lt;&gt;"OR+EX",--(DATOS!$G14559=CONFIG_METADATA!$B$4),IF(DATOS!$G14559="EX",1,IF(DATOS!$G14559="OR",--(COUNTIFS(nNIA,DATOS!$A14559,nCURSO,DATOS!$D14559,nESPEC,DATOS!$E14559,nASIG,DATOS!$I14559,nEVAL,"EX")=0),0))))</f>
      </c>
      <c r="H14559">
        <f>IF(DATOS!$G14559&lt;&gt;"EX",0,--(COUNTIFS(nNIA,DATOS!$A14559,nCURSO,DATOS!$D14559,nESPEC,DATOS!$E14559,nASIG,DATOS!$I14559,nEVAL,"OR")=0))</f>
      </c>
      <c r="I14559">
        <f>IF(DATOS!$I14559="","",IFERROR(VLOOKUP(DATOS!$I14559,CONFIG_ASIGNATURAS!$B$2:$J$91,9,FALSE()),""))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IF(DATOS!$A14560="",0,IF(CONFIG_METADATA!$B$4&lt;&gt;"OR+EX",--(DATOS!$G14560=CONFIG_METADATA!$B$4),IF(DATOS!$G14560="EX",1,IF(DATOS!$G14560="OR",--(COUNTIFS(nNIA,DATOS!$A14560,nCURSO,DATOS!$D14560,nESPEC,DATOS!$E14560,nASIG,DATOS!$I14560,nEVAL,"EX")=0),0))))</f>
      </c>
      <c r="H14560">
        <f>IF(DATOS!$G14560&lt;&gt;"EX",0,--(COUNTIFS(nNIA,DATOS!$A14560,nCURSO,DATOS!$D14560,nESPEC,DATOS!$E14560,nASIG,DATOS!$I14560,nEVAL,"OR")=0))</f>
      </c>
      <c r="I14560">
        <f>IF(DATOS!$I14560="","",IFERROR(VLOOKUP(DATOS!$I14560,CONFIG_ASIGNATURAS!$B$2:$J$91,9,FALSE()),""))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IF(DATOS!$A14561="",0,IF(CONFIG_METADATA!$B$4&lt;&gt;"OR+EX",--(DATOS!$G14561=CONFIG_METADATA!$B$4),IF(DATOS!$G14561="EX",1,IF(DATOS!$G14561="OR",--(COUNTIFS(nNIA,DATOS!$A14561,nCURSO,DATOS!$D14561,nESPEC,DATOS!$E14561,nASIG,DATOS!$I14561,nEVAL,"EX")=0),0))))</f>
      </c>
      <c r="H14561">
        <f>IF(DATOS!$G14561&lt;&gt;"EX",0,--(COUNTIFS(nNIA,DATOS!$A14561,nCURSO,DATOS!$D14561,nESPEC,DATOS!$E14561,nASIG,DATOS!$I14561,nEVAL,"OR")=0))</f>
      </c>
      <c r="I14561">
        <f>IF(DATOS!$I14561="","",IFERROR(VLOOKUP(DATOS!$I14561,CONFIG_ASIGNATURAS!$B$2:$J$91,9,FALSE()),""))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IF(DATOS!$A14562="",0,IF(CONFIG_METADATA!$B$4&lt;&gt;"OR+EX",--(DATOS!$G14562=CONFIG_METADATA!$B$4),IF(DATOS!$G14562="EX",1,IF(DATOS!$G14562="OR",--(COUNTIFS(nNIA,DATOS!$A14562,nCURSO,DATOS!$D14562,nESPEC,DATOS!$E14562,nASIG,DATOS!$I14562,nEVAL,"EX")=0),0))))</f>
      </c>
      <c r="H14562">
        <f>IF(DATOS!$G14562&lt;&gt;"EX",0,--(COUNTIFS(nNIA,DATOS!$A14562,nCURSO,DATOS!$D14562,nESPEC,DATOS!$E14562,nASIG,DATOS!$I14562,nEVAL,"OR")=0))</f>
      </c>
      <c r="I14562">
        <f>IF(DATOS!$I14562="","",IFERROR(VLOOKUP(DATOS!$I14562,CONFIG_ASIGNATURAS!$B$2:$J$91,9,FALSE()),""))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IF(DATOS!$A14563="",0,IF(CONFIG_METADATA!$B$4&lt;&gt;"OR+EX",--(DATOS!$G14563=CONFIG_METADATA!$B$4),IF(DATOS!$G14563="EX",1,IF(DATOS!$G14563="OR",--(COUNTIFS(nNIA,DATOS!$A14563,nCURSO,DATOS!$D14563,nESPEC,DATOS!$E14563,nASIG,DATOS!$I14563,nEVAL,"EX")=0),0))))</f>
      </c>
      <c r="H14563">
        <f>IF(DATOS!$G14563&lt;&gt;"EX",0,--(COUNTIFS(nNIA,DATOS!$A14563,nCURSO,DATOS!$D14563,nESPEC,DATOS!$E14563,nASIG,DATOS!$I14563,nEVAL,"OR")=0))</f>
      </c>
      <c r="I14563">
        <f>IF(DATOS!$I14563="","",IFERROR(VLOOKUP(DATOS!$I14563,CONFIG_ASIGNATURAS!$B$2:$J$91,9,FALSE()),""))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IF(DATOS!$A14564="",0,IF(CONFIG_METADATA!$B$4&lt;&gt;"OR+EX",--(DATOS!$G14564=CONFIG_METADATA!$B$4),IF(DATOS!$G14564="EX",1,IF(DATOS!$G14564="OR",--(COUNTIFS(nNIA,DATOS!$A14564,nCURSO,DATOS!$D14564,nESPEC,DATOS!$E14564,nASIG,DATOS!$I14564,nEVAL,"EX")=0),0))))</f>
      </c>
      <c r="H14564">
        <f>IF(DATOS!$G14564&lt;&gt;"EX",0,--(COUNTIFS(nNIA,DATOS!$A14564,nCURSO,DATOS!$D14564,nESPEC,DATOS!$E14564,nASIG,DATOS!$I14564,nEVAL,"OR")=0))</f>
      </c>
      <c r="I14564">
        <f>IF(DATOS!$I14564="","",IFERROR(VLOOKUP(DATOS!$I14564,CONFIG_ASIGNATURAS!$B$2:$J$91,9,FALSE()),""))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IF(DATOS!$A14565="",0,IF(CONFIG_METADATA!$B$4&lt;&gt;"OR+EX",--(DATOS!$G14565=CONFIG_METADATA!$B$4),IF(DATOS!$G14565="EX",1,IF(DATOS!$G14565="OR",--(COUNTIFS(nNIA,DATOS!$A14565,nCURSO,DATOS!$D14565,nESPEC,DATOS!$E14565,nASIG,DATOS!$I14565,nEVAL,"EX")=0),0))))</f>
      </c>
      <c r="H14565">
        <f>IF(DATOS!$G14565&lt;&gt;"EX",0,--(COUNTIFS(nNIA,DATOS!$A14565,nCURSO,DATOS!$D14565,nESPEC,DATOS!$E14565,nASIG,DATOS!$I14565,nEVAL,"OR")=0))</f>
      </c>
      <c r="I14565">
        <f>IF(DATOS!$I14565="","",IFERROR(VLOOKUP(DATOS!$I14565,CONFIG_ASIGNATURAS!$B$2:$J$91,9,FALSE()),""))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IF(DATOS!$A14566="",0,IF(CONFIG_METADATA!$B$4&lt;&gt;"OR+EX",--(DATOS!$G14566=CONFIG_METADATA!$B$4),IF(DATOS!$G14566="EX",1,IF(DATOS!$G14566="OR",--(COUNTIFS(nNIA,DATOS!$A14566,nCURSO,DATOS!$D14566,nESPEC,DATOS!$E14566,nASIG,DATOS!$I14566,nEVAL,"EX")=0),0))))</f>
      </c>
      <c r="H14566">
        <f>IF(DATOS!$G14566&lt;&gt;"EX",0,--(COUNTIFS(nNIA,DATOS!$A14566,nCURSO,DATOS!$D14566,nESPEC,DATOS!$E14566,nASIG,DATOS!$I14566,nEVAL,"OR")=0))</f>
      </c>
      <c r="I14566">
        <f>IF(DATOS!$I14566="","",IFERROR(VLOOKUP(DATOS!$I14566,CONFIG_ASIGNATURAS!$B$2:$J$91,9,FALSE()),""))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IF(DATOS!$A14567="",0,IF(CONFIG_METADATA!$B$4&lt;&gt;"OR+EX",--(DATOS!$G14567=CONFIG_METADATA!$B$4),IF(DATOS!$G14567="EX",1,IF(DATOS!$G14567="OR",--(COUNTIFS(nNIA,DATOS!$A14567,nCURSO,DATOS!$D14567,nESPEC,DATOS!$E14567,nASIG,DATOS!$I14567,nEVAL,"EX")=0),0))))</f>
      </c>
      <c r="H14567">
        <f>IF(DATOS!$G14567&lt;&gt;"EX",0,--(COUNTIFS(nNIA,DATOS!$A14567,nCURSO,DATOS!$D14567,nESPEC,DATOS!$E14567,nASIG,DATOS!$I14567,nEVAL,"OR")=0))</f>
      </c>
      <c r="I14567">
        <f>IF(DATOS!$I14567="","",IFERROR(VLOOKUP(DATOS!$I14567,CONFIG_ASIGNATURAS!$B$2:$J$91,9,FALSE()),""))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IF(DATOS!$A14568="",0,IF(CONFIG_METADATA!$B$4&lt;&gt;"OR+EX",--(DATOS!$G14568=CONFIG_METADATA!$B$4),IF(DATOS!$G14568="EX",1,IF(DATOS!$G14568="OR",--(COUNTIFS(nNIA,DATOS!$A14568,nCURSO,DATOS!$D14568,nESPEC,DATOS!$E14568,nASIG,DATOS!$I14568,nEVAL,"EX")=0),0))))</f>
      </c>
      <c r="H14568">
        <f>IF(DATOS!$G14568&lt;&gt;"EX",0,--(COUNTIFS(nNIA,DATOS!$A14568,nCURSO,DATOS!$D14568,nESPEC,DATOS!$E14568,nASIG,DATOS!$I14568,nEVAL,"OR")=0))</f>
      </c>
      <c r="I14568">
        <f>IF(DATOS!$I14568="","",IFERROR(VLOOKUP(DATOS!$I14568,CONFIG_ASIGNATURAS!$B$2:$J$91,9,FALSE()),""))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IF(DATOS!$A14569="",0,IF(CONFIG_METADATA!$B$4&lt;&gt;"OR+EX",--(DATOS!$G14569=CONFIG_METADATA!$B$4),IF(DATOS!$G14569="EX",1,IF(DATOS!$G14569="OR",--(COUNTIFS(nNIA,DATOS!$A14569,nCURSO,DATOS!$D14569,nESPEC,DATOS!$E14569,nASIG,DATOS!$I14569,nEVAL,"EX")=0),0))))</f>
      </c>
      <c r="H14569">
        <f>IF(DATOS!$G14569&lt;&gt;"EX",0,--(COUNTIFS(nNIA,DATOS!$A14569,nCURSO,DATOS!$D14569,nESPEC,DATOS!$E14569,nASIG,DATOS!$I14569,nEVAL,"OR")=0))</f>
      </c>
      <c r="I14569">
        <f>IF(DATOS!$I14569="","",IFERROR(VLOOKUP(DATOS!$I14569,CONFIG_ASIGNATURAS!$B$2:$J$91,9,FALSE()),""))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IF(DATOS!$A14570="",0,IF(CONFIG_METADATA!$B$4&lt;&gt;"OR+EX",--(DATOS!$G14570=CONFIG_METADATA!$B$4),IF(DATOS!$G14570="EX",1,IF(DATOS!$G14570="OR",--(COUNTIFS(nNIA,DATOS!$A14570,nCURSO,DATOS!$D14570,nESPEC,DATOS!$E14570,nASIG,DATOS!$I14570,nEVAL,"EX")=0),0))))</f>
      </c>
      <c r="H14570">
        <f>IF(DATOS!$G14570&lt;&gt;"EX",0,--(COUNTIFS(nNIA,DATOS!$A14570,nCURSO,DATOS!$D14570,nESPEC,DATOS!$E14570,nASIG,DATOS!$I14570,nEVAL,"OR")=0))</f>
      </c>
      <c r="I14570">
        <f>IF(DATOS!$I14570="","",IFERROR(VLOOKUP(DATOS!$I14570,CONFIG_ASIGNATURAS!$B$2:$J$91,9,FALSE()),""))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IF(DATOS!$A14571="",0,IF(CONFIG_METADATA!$B$4&lt;&gt;"OR+EX",--(DATOS!$G14571=CONFIG_METADATA!$B$4),IF(DATOS!$G14571="EX",1,IF(DATOS!$G14571="OR",--(COUNTIFS(nNIA,DATOS!$A14571,nCURSO,DATOS!$D14571,nESPEC,DATOS!$E14571,nASIG,DATOS!$I14571,nEVAL,"EX")=0),0))))</f>
      </c>
      <c r="H14571">
        <f>IF(DATOS!$G14571&lt;&gt;"EX",0,--(COUNTIFS(nNIA,DATOS!$A14571,nCURSO,DATOS!$D14571,nESPEC,DATOS!$E14571,nASIG,DATOS!$I14571,nEVAL,"OR")=0))</f>
      </c>
      <c r="I14571">
        <f>IF(DATOS!$I14571="","",IFERROR(VLOOKUP(DATOS!$I14571,CONFIG_ASIGNATURAS!$B$2:$J$91,9,FALSE()),""))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IF(DATOS!$A14572="",0,IF(CONFIG_METADATA!$B$4&lt;&gt;"OR+EX",--(DATOS!$G14572=CONFIG_METADATA!$B$4),IF(DATOS!$G14572="EX",1,IF(DATOS!$G14572="OR",--(COUNTIFS(nNIA,DATOS!$A14572,nCURSO,DATOS!$D14572,nESPEC,DATOS!$E14572,nASIG,DATOS!$I14572,nEVAL,"EX")=0),0))))</f>
      </c>
      <c r="H14572">
        <f>IF(DATOS!$G14572&lt;&gt;"EX",0,--(COUNTIFS(nNIA,DATOS!$A14572,nCURSO,DATOS!$D14572,nESPEC,DATOS!$E14572,nASIG,DATOS!$I14572,nEVAL,"OR")=0))</f>
      </c>
      <c r="I14572">
        <f>IF(DATOS!$I14572="","",IFERROR(VLOOKUP(DATOS!$I14572,CONFIG_ASIGNATURAS!$B$2:$J$91,9,FALSE()),""))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IF(DATOS!$A14573="",0,IF(CONFIG_METADATA!$B$4&lt;&gt;"OR+EX",--(DATOS!$G14573=CONFIG_METADATA!$B$4),IF(DATOS!$G14573="EX",1,IF(DATOS!$G14573="OR",--(COUNTIFS(nNIA,DATOS!$A14573,nCURSO,DATOS!$D14573,nESPEC,DATOS!$E14573,nASIG,DATOS!$I14573,nEVAL,"EX")=0),0))))</f>
      </c>
      <c r="H14573">
        <f>IF(DATOS!$G14573&lt;&gt;"EX",0,--(COUNTIFS(nNIA,DATOS!$A14573,nCURSO,DATOS!$D14573,nESPEC,DATOS!$E14573,nASIG,DATOS!$I14573,nEVAL,"OR")=0))</f>
      </c>
      <c r="I14573">
        <f>IF(DATOS!$I14573="","",IFERROR(VLOOKUP(DATOS!$I14573,CONFIG_ASIGNATURAS!$B$2:$J$91,9,FALSE()),""))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IF(DATOS!$A14574="",0,IF(CONFIG_METADATA!$B$4&lt;&gt;"OR+EX",--(DATOS!$G14574=CONFIG_METADATA!$B$4),IF(DATOS!$G14574="EX",1,IF(DATOS!$G14574="OR",--(COUNTIFS(nNIA,DATOS!$A14574,nCURSO,DATOS!$D14574,nESPEC,DATOS!$E14574,nASIG,DATOS!$I14574,nEVAL,"EX")=0),0))))</f>
      </c>
      <c r="H14574">
        <f>IF(DATOS!$G14574&lt;&gt;"EX",0,--(COUNTIFS(nNIA,DATOS!$A14574,nCURSO,DATOS!$D14574,nESPEC,DATOS!$E14574,nASIG,DATOS!$I14574,nEVAL,"OR")=0))</f>
      </c>
      <c r="I14574">
        <f>IF(DATOS!$I14574="","",IFERROR(VLOOKUP(DATOS!$I14574,CONFIG_ASIGNATURAS!$B$2:$J$91,9,FALSE()),""))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IF(DATOS!$A14575="",0,IF(CONFIG_METADATA!$B$4&lt;&gt;"OR+EX",--(DATOS!$G14575=CONFIG_METADATA!$B$4),IF(DATOS!$G14575="EX",1,IF(DATOS!$G14575="OR",--(COUNTIFS(nNIA,DATOS!$A14575,nCURSO,DATOS!$D14575,nESPEC,DATOS!$E14575,nASIG,DATOS!$I14575,nEVAL,"EX")=0),0))))</f>
      </c>
      <c r="H14575">
        <f>IF(DATOS!$G14575&lt;&gt;"EX",0,--(COUNTIFS(nNIA,DATOS!$A14575,nCURSO,DATOS!$D14575,nESPEC,DATOS!$E14575,nASIG,DATOS!$I14575,nEVAL,"OR")=0))</f>
      </c>
      <c r="I14575">
        <f>IF(DATOS!$I14575="","",IFERROR(VLOOKUP(DATOS!$I14575,CONFIG_ASIGNATURAS!$B$2:$J$91,9,FALSE()),""))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IF(DATOS!$A14576="",0,IF(CONFIG_METADATA!$B$4&lt;&gt;"OR+EX",--(DATOS!$G14576=CONFIG_METADATA!$B$4),IF(DATOS!$G14576="EX",1,IF(DATOS!$G14576="OR",--(COUNTIFS(nNIA,DATOS!$A14576,nCURSO,DATOS!$D14576,nESPEC,DATOS!$E14576,nASIG,DATOS!$I14576,nEVAL,"EX")=0),0))))</f>
      </c>
      <c r="H14576">
        <f>IF(DATOS!$G14576&lt;&gt;"EX",0,--(COUNTIFS(nNIA,DATOS!$A14576,nCURSO,DATOS!$D14576,nESPEC,DATOS!$E14576,nASIG,DATOS!$I14576,nEVAL,"OR")=0))</f>
      </c>
      <c r="I14576">
        <f>IF(DATOS!$I14576="","",IFERROR(VLOOKUP(DATOS!$I14576,CONFIG_ASIGNATURAS!$B$2:$J$91,9,FALSE()),""))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IF(DATOS!$A14577="",0,IF(CONFIG_METADATA!$B$4&lt;&gt;"OR+EX",--(DATOS!$G14577=CONFIG_METADATA!$B$4),IF(DATOS!$G14577="EX",1,IF(DATOS!$G14577="OR",--(COUNTIFS(nNIA,DATOS!$A14577,nCURSO,DATOS!$D14577,nESPEC,DATOS!$E14577,nASIG,DATOS!$I14577,nEVAL,"EX")=0),0))))</f>
      </c>
      <c r="H14577">
        <f>IF(DATOS!$G14577&lt;&gt;"EX",0,--(COUNTIFS(nNIA,DATOS!$A14577,nCURSO,DATOS!$D14577,nESPEC,DATOS!$E14577,nASIG,DATOS!$I14577,nEVAL,"OR")=0))</f>
      </c>
      <c r="I14577">
        <f>IF(DATOS!$I14577="","",IFERROR(VLOOKUP(DATOS!$I14577,CONFIG_ASIGNATURAS!$B$2:$J$91,9,FALSE()),""))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IF(DATOS!$A14578="",0,IF(CONFIG_METADATA!$B$4&lt;&gt;"OR+EX",--(DATOS!$G14578=CONFIG_METADATA!$B$4),IF(DATOS!$G14578="EX",1,IF(DATOS!$G14578="OR",--(COUNTIFS(nNIA,DATOS!$A14578,nCURSO,DATOS!$D14578,nESPEC,DATOS!$E14578,nASIG,DATOS!$I14578,nEVAL,"EX")=0),0))))</f>
      </c>
      <c r="H14578">
        <f>IF(DATOS!$G14578&lt;&gt;"EX",0,--(COUNTIFS(nNIA,DATOS!$A14578,nCURSO,DATOS!$D14578,nESPEC,DATOS!$E14578,nASIG,DATOS!$I14578,nEVAL,"OR")=0))</f>
      </c>
      <c r="I14578">
        <f>IF(DATOS!$I14578="","",IFERROR(VLOOKUP(DATOS!$I14578,CONFIG_ASIGNATURAS!$B$2:$J$91,9,FALSE()),""))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IF(DATOS!$A14579="",0,IF(CONFIG_METADATA!$B$4&lt;&gt;"OR+EX",--(DATOS!$G14579=CONFIG_METADATA!$B$4),IF(DATOS!$G14579="EX",1,IF(DATOS!$G14579="OR",--(COUNTIFS(nNIA,DATOS!$A14579,nCURSO,DATOS!$D14579,nESPEC,DATOS!$E14579,nASIG,DATOS!$I14579,nEVAL,"EX")=0),0))))</f>
      </c>
      <c r="H14579">
        <f>IF(DATOS!$G14579&lt;&gt;"EX",0,--(COUNTIFS(nNIA,DATOS!$A14579,nCURSO,DATOS!$D14579,nESPEC,DATOS!$E14579,nASIG,DATOS!$I14579,nEVAL,"OR")=0))</f>
      </c>
      <c r="I14579">
        <f>IF(DATOS!$I14579="","",IFERROR(VLOOKUP(DATOS!$I14579,CONFIG_ASIGNATURAS!$B$2:$J$91,9,FALSE()),""))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IF(DATOS!$A14580="",0,IF(CONFIG_METADATA!$B$4&lt;&gt;"OR+EX",--(DATOS!$G14580=CONFIG_METADATA!$B$4),IF(DATOS!$G14580="EX",1,IF(DATOS!$G14580="OR",--(COUNTIFS(nNIA,DATOS!$A14580,nCURSO,DATOS!$D14580,nESPEC,DATOS!$E14580,nASIG,DATOS!$I14580,nEVAL,"EX")=0),0))))</f>
      </c>
      <c r="H14580">
        <f>IF(DATOS!$G14580&lt;&gt;"EX",0,--(COUNTIFS(nNIA,DATOS!$A14580,nCURSO,DATOS!$D14580,nESPEC,DATOS!$E14580,nASIG,DATOS!$I14580,nEVAL,"OR")=0))</f>
      </c>
      <c r="I14580">
        <f>IF(DATOS!$I14580="","",IFERROR(VLOOKUP(DATOS!$I14580,CONFIG_ASIGNATURAS!$B$2:$J$91,9,FALSE()),""))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IF(DATOS!$A14581="",0,IF(CONFIG_METADATA!$B$4&lt;&gt;"OR+EX",--(DATOS!$G14581=CONFIG_METADATA!$B$4),IF(DATOS!$G14581="EX",1,IF(DATOS!$G14581="OR",--(COUNTIFS(nNIA,DATOS!$A14581,nCURSO,DATOS!$D14581,nESPEC,DATOS!$E14581,nASIG,DATOS!$I14581,nEVAL,"EX")=0),0))))</f>
      </c>
      <c r="H14581">
        <f>IF(DATOS!$G14581&lt;&gt;"EX",0,--(COUNTIFS(nNIA,DATOS!$A14581,nCURSO,DATOS!$D14581,nESPEC,DATOS!$E14581,nASIG,DATOS!$I14581,nEVAL,"OR")=0))</f>
      </c>
      <c r="I14581">
        <f>IF(DATOS!$I14581="","",IFERROR(VLOOKUP(DATOS!$I14581,CONFIG_ASIGNATURAS!$B$2:$J$91,9,FALSE()),""))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IF(DATOS!$A14582="",0,IF(CONFIG_METADATA!$B$4&lt;&gt;"OR+EX",--(DATOS!$G14582=CONFIG_METADATA!$B$4),IF(DATOS!$G14582="EX",1,IF(DATOS!$G14582="OR",--(COUNTIFS(nNIA,DATOS!$A14582,nCURSO,DATOS!$D14582,nESPEC,DATOS!$E14582,nASIG,DATOS!$I14582,nEVAL,"EX")=0),0))))</f>
      </c>
      <c r="H14582">
        <f>IF(DATOS!$G14582&lt;&gt;"EX",0,--(COUNTIFS(nNIA,DATOS!$A14582,nCURSO,DATOS!$D14582,nESPEC,DATOS!$E14582,nASIG,DATOS!$I14582,nEVAL,"OR")=0))</f>
      </c>
      <c r="I14582">
        <f>IF(DATOS!$I14582="","",IFERROR(VLOOKUP(DATOS!$I14582,CONFIG_ASIGNATURAS!$B$2:$J$91,9,FALSE()),""))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IF(DATOS!$A14583="",0,IF(CONFIG_METADATA!$B$4&lt;&gt;"OR+EX",--(DATOS!$G14583=CONFIG_METADATA!$B$4),IF(DATOS!$G14583="EX",1,IF(DATOS!$G14583="OR",--(COUNTIFS(nNIA,DATOS!$A14583,nCURSO,DATOS!$D14583,nESPEC,DATOS!$E14583,nASIG,DATOS!$I14583,nEVAL,"EX")=0),0))))</f>
      </c>
      <c r="H14583">
        <f>IF(DATOS!$G14583&lt;&gt;"EX",0,--(COUNTIFS(nNIA,DATOS!$A14583,nCURSO,DATOS!$D14583,nESPEC,DATOS!$E14583,nASIG,DATOS!$I14583,nEVAL,"OR")=0))</f>
      </c>
      <c r="I14583">
        <f>IF(DATOS!$I14583="","",IFERROR(VLOOKUP(DATOS!$I14583,CONFIG_ASIGNATURAS!$B$2:$J$91,9,FALSE()),""))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IF(DATOS!$A14584="",0,IF(CONFIG_METADATA!$B$4&lt;&gt;"OR+EX",--(DATOS!$G14584=CONFIG_METADATA!$B$4),IF(DATOS!$G14584="EX",1,IF(DATOS!$G14584="OR",--(COUNTIFS(nNIA,DATOS!$A14584,nCURSO,DATOS!$D14584,nESPEC,DATOS!$E14584,nASIG,DATOS!$I14584,nEVAL,"EX")=0),0))))</f>
      </c>
      <c r="H14584">
        <f>IF(DATOS!$G14584&lt;&gt;"EX",0,--(COUNTIFS(nNIA,DATOS!$A14584,nCURSO,DATOS!$D14584,nESPEC,DATOS!$E14584,nASIG,DATOS!$I14584,nEVAL,"OR")=0))</f>
      </c>
      <c r="I14584">
        <f>IF(DATOS!$I14584="","",IFERROR(VLOOKUP(DATOS!$I14584,CONFIG_ASIGNATURAS!$B$2:$J$91,9,FALSE()),""))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IF(DATOS!$A14585="",0,IF(CONFIG_METADATA!$B$4&lt;&gt;"OR+EX",--(DATOS!$G14585=CONFIG_METADATA!$B$4),IF(DATOS!$G14585="EX",1,IF(DATOS!$G14585="OR",--(COUNTIFS(nNIA,DATOS!$A14585,nCURSO,DATOS!$D14585,nESPEC,DATOS!$E14585,nASIG,DATOS!$I14585,nEVAL,"EX")=0),0))))</f>
      </c>
      <c r="H14585">
        <f>IF(DATOS!$G14585&lt;&gt;"EX",0,--(COUNTIFS(nNIA,DATOS!$A14585,nCURSO,DATOS!$D14585,nESPEC,DATOS!$E14585,nASIG,DATOS!$I14585,nEVAL,"OR")=0))</f>
      </c>
      <c r="I14585">
        <f>IF(DATOS!$I14585="","",IFERROR(VLOOKUP(DATOS!$I14585,CONFIG_ASIGNATURAS!$B$2:$J$91,9,FALSE()),""))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IF(DATOS!$A14586="",0,IF(CONFIG_METADATA!$B$4&lt;&gt;"OR+EX",--(DATOS!$G14586=CONFIG_METADATA!$B$4),IF(DATOS!$G14586="EX",1,IF(DATOS!$G14586="OR",--(COUNTIFS(nNIA,DATOS!$A14586,nCURSO,DATOS!$D14586,nESPEC,DATOS!$E14586,nASIG,DATOS!$I14586,nEVAL,"EX")=0),0))))</f>
      </c>
      <c r="H14586">
        <f>IF(DATOS!$G14586&lt;&gt;"EX",0,--(COUNTIFS(nNIA,DATOS!$A14586,nCURSO,DATOS!$D14586,nESPEC,DATOS!$E14586,nASIG,DATOS!$I14586,nEVAL,"OR")=0))</f>
      </c>
      <c r="I14586">
        <f>IF(DATOS!$I14586="","",IFERROR(VLOOKUP(DATOS!$I14586,CONFIG_ASIGNATURAS!$B$2:$J$91,9,FALSE()),""))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IF(DATOS!$A14587="",0,IF(CONFIG_METADATA!$B$4&lt;&gt;"OR+EX",--(DATOS!$G14587=CONFIG_METADATA!$B$4),IF(DATOS!$G14587="EX",1,IF(DATOS!$G14587="OR",--(COUNTIFS(nNIA,DATOS!$A14587,nCURSO,DATOS!$D14587,nESPEC,DATOS!$E14587,nASIG,DATOS!$I14587,nEVAL,"EX")=0),0))))</f>
      </c>
      <c r="H14587">
        <f>IF(DATOS!$G14587&lt;&gt;"EX",0,--(COUNTIFS(nNIA,DATOS!$A14587,nCURSO,DATOS!$D14587,nESPEC,DATOS!$E14587,nASIG,DATOS!$I14587,nEVAL,"OR")=0))</f>
      </c>
      <c r="I14587">
        <f>IF(DATOS!$I14587="","",IFERROR(VLOOKUP(DATOS!$I14587,CONFIG_ASIGNATURAS!$B$2:$J$91,9,FALSE()),""))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IF(DATOS!$A14588="",0,IF(CONFIG_METADATA!$B$4&lt;&gt;"OR+EX",--(DATOS!$G14588=CONFIG_METADATA!$B$4),IF(DATOS!$G14588="EX",1,IF(DATOS!$G14588="OR",--(COUNTIFS(nNIA,DATOS!$A14588,nCURSO,DATOS!$D14588,nESPEC,DATOS!$E14588,nASIG,DATOS!$I14588,nEVAL,"EX")=0),0))))</f>
      </c>
      <c r="H14588">
        <f>IF(DATOS!$G14588&lt;&gt;"EX",0,--(COUNTIFS(nNIA,DATOS!$A14588,nCURSO,DATOS!$D14588,nESPEC,DATOS!$E14588,nASIG,DATOS!$I14588,nEVAL,"OR")=0))</f>
      </c>
      <c r="I14588">
        <f>IF(DATOS!$I14588="","",IFERROR(VLOOKUP(DATOS!$I14588,CONFIG_ASIGNATURAS!$B$2:$J$91,9,FALSE()),""))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IF(DATOS!$A14589="",0,IF(CONFIG_METADATA!$B$4&lt;&gt;"OR+EX",--(DATOS!$G14589=CONFIG_METADATA!$B$4),IF(DATOS!$G14589="EX",1,IF(DATOS!$G14589="OR",--(COUNTIFS(nNIA,DATOS!$A14589,nCURSO,DATOS!$D14589,nESPEC,DATOS!$E14589,nASIG,DATOS!$I14589,nEVAL,"EX")=0),0))))</f>
      </c>
      <c r="H14589">
        <f>IF(DATOS!$G14589&lt;&gt;"EX",0,--(COUNTIFS(nNIA,DATOS!$A14589,nCURSO,DATOS!$D14589,nESPEC,DATOS!$E14589,nASIG,DATOS!$I14589,nEVAL,"OR")=0))</f>
      </c>
      <c r="I14589">
        <f>IF(DATOS!$I14589="","",IFERROR(VLOOKUP(DATOS!$I14589,CONFIG_ASIGNATURAS!$B$2:$J$91,9,FALSE()),""))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IF(DATOS!$A14590="",0,IF(CONFIG_METADATA!$B$4&lt;&gt;"OR+EX",--(DATOS!$G14590=CONFIG_METADATA!$B$4),IF(DATOS!$G14590="EX",1,IF(DATOS!$G14590="OR",--(COUNTIFS(nNIA,DATOS!$A14590,nCURSO,DATOS!$D14590,nESPEC,DATOS!$E14590,nASIG,DATOS!$I14590,nEVAL,"EX")=0),0))))</f>
      </c>
      <c r="H14590">
        <f>IF(DATOS!$G14590&lt;&gt;"EX",0,--(COUNTIFS(nNIA,DATOS!$A14590,nCURSO,DATOS!$D14590,nESPEC,DATOS!$E14590,nASIG,DATOS!$I14590,nEVAL,"OR")=0))</f>
      </c>
      <c r="I14590">
        <f>IF(DATOS!$I14590="","",IFERROR(VLOOKUP(DATOS!$I14590,CONFIG_ASIGNATURAS!$B$2:$J$91,9,FALSE()),""))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IF(DATOS!$A14591="",0,IF(CONFIG_METADATA!$B$4&lt;&gt;"OR+EX",--(DATOS!$G14591=CONFIG_METADATA!$B$4),IF(DATOS!$G14591="EX",1,IF(DATOS!$G14591="OR",--(COUNTIFS(nNIA,DATOS!$A14591,nCURSO,DATOS!$D14591,nESPEC,DATOS!$E14591,nASIG,DATOS!$I14591,nEVAL,"EX")=0),0))))</f>
      </c>
      <c r="H14591">
        <f>IF(DATOS!$G14591&lt;&gt;"EX",0,--(COUNTIFS(nNIA,DATOS!$A14591,nCURSO,DATOS!$D14591,nESPEC,DATOS!$E14591,nASIG,DATOS!$I14591,nEVAL,"OR")=0))</f>
      </c>
      <c r="I14591">
        <f>IF(DATOS!$I14591="","",IFERROR(VLOOKUP(DATOS!$I14591,CONFIG_ASIGNATURAS!$B$2:$J$91,9,FALSE()),""))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IF(DATOS!$A14592="",0,IF(CONFIG_METADATA!$B$4&lt;&gt;"OR+EX",--(DATOS!$G14592=CONFIG_METADATA!$B$4),IF(DATOS!$G14592="EX",1,IF(DATOS!$G14592="OR",--(COUNTIFS(nNIA,DATOS!$A14592,nCURSO,DATOS!$D14592,nESPEC,DATOS!$E14592,nASIG,DATOS!$I14592,nEVAL,"EX")=0),0))))</f>
      </c>
      <c r="H14592">
        <f>IF(DATOS!$G14592&lt;&gt;"EX",0,--(COUNTIFS(nNIA,DATOS!$A14592,nCURSO,DATOS!$D14592,nESPEC,DATOS!$E14592,nASIG,DATOS!$I14592,nEVAL,"OR")=0))</f>
      </c>
      <c r="I14592">
        <f>IF(DATOS!$I14592="","",IFERROR(VLOOKUP(DATOS!$I14592,CONFIG_ASIGNATURAS!$B$2:$J$91,9,FALSE()),""))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IF(DATOS!$A14593="",0,IF(CONFIG_METADATA!$B$4&lt;&gt;"OR+EX",--(DATOS!$G14593=CONFIG_METADATA!$B$4),IF(DATOS!$G14593="EX",1,IF(DATOS!$G14593="OR",--(COUNTIFS(nNIA,DATOS!$A14593,nCURSO,DATOS!$D14593,nESPEC,DATOS!$E14593,nASIG,DATOS!$I14593,nEVAL,"EX")=0),0))))</f>
      </c>
      <c r="H14593">
        <f>IF(DATOS!$G14593&lt;&gt;"EX",0,--(COUNTIFS(nNIA,DATOS!$A14593,nCURSO,DATOS!$D14593,nESPEC,DATOS!$E14593,nASIG,DATOS!$I14593,nEVAL,"OR")=0))</f>
      </c>
      <c r="I14593">
        <f>IF(DATOS!$I14593="","",IFERROR(VLOOKUP(DATOS!$I14593,CONFIG_ASIGNATURAS!$B$2:$J$91,9,FALSE()),""))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IF(DATOS!$A14594="",0,IF(CONFIG_METADATA!$B$4&lt;&gt;"OR+EX",--(DATOS!$G14594=CONFIG_METADATA!$B$4),IF(DATOS!$G14594="EX",1,IF(DATOS!$G14594="OR",--(COUNTIFS(nNIA,DATOS!$A14594,nCURSO,DATOS!$D14594,nESPEC,DATOS!$E14594,nASIG,DATOS!$I14594,nEVAL,"EX")=0),0))))</f>
      </c>
      <c r="H14594">
        <f>IF(DATOS!$G14594&lt;&gt;"EX",0,--(COUNTIFS(nNIA,DATOS!$A14594,nCURSO,DATOS!$D14594,nESPEC,DATOS!$E14594,nASIG,DATOS!$I14594,nEVAL,"OR")=0))</f>
      </c>
      <c r="I14594">
        <f>IF(DATOS!$I14594="","",IFERROR(VLOOKUP(DATOS!$I14594,CONFIG_ASIGNATURAS!$B$2:$J$91,9,FALSE()),""))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IF(DATOS!$A14595="",0,IF(CONFIG_METADATA!$B$4&lt;&gt;"OR+EX",--(DATOS!$G14595=CONFIG_METADATA!$B$4),IF(DATOS!$G14595="EX",1,IF(DATOS!$G14595="OR",--(COUNTIFS(nNIA,DATOS!$A14595,nCURSO,DATOS!$D14595,nESPEC,DATOS!$E14595,nASIG,DATOS!$I14595,nEVAL,"EX")=0),0))))</f>
      </c>
      <c r="H14595">
        <f>IF(DATOS!$G14595&lt;&gt;"EX",0,--(COUNTIFS(nNIA,DATOS!$A14595,nCURSO,DATOS!$D14595,nESPEC,DATOS!$E14595,nASIG,DATOS!$I14595,nEVAL,"OR")=0))</f>
      </c>
      <c r="I14595">
        <f>IF(DATOS!$I14595="","",IFERROR(VLOOKUP(DATOS!$I14595,CONFIG_ASIGNATURAS!$B$2:$J$91,9,FALSE()),""))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IF(DATOS!$A14596="",0,IF(CONFIG_METADATA!$B$4&lt;&gt;"OR+EX",--(DATOS!$G14596=CONFIG_METADATA!$B$4),IF(DATOS!$G14596="EX",1,IF(DATOS!$G14596="OR",--(COUNTIFS(nNIA,DATOS!$A14596,nCURSO,DATOS!$D14596,nESPEC,DATOS!$E14596,nASIG,DATOS!$I14596,nEVAL,"EX")=0),0))))</f>
      </c>
      <c r="H14596">
        <f>IF(DATOS!$G14596&lt;&gt;"EX",0,--(COUNTIFS(nNIA,DATOS!$A14596,nCURSO,DATOS!$D14596,nESPEC,DATOS!$E14596,nASIG,DATOS!$I14596,nEVAL,"OR")=0))</f>
      </c>
      <c r="I14596">
        <f>IF(DATOS!$I14596="","",IFERROR(VLOOKUP(DATOS!$I14596,CONFIG_ASIGNATURAS!$B$2:$J$91,9,FALSE()),""))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IF(DATOS!$A14597="",0,IF(CONFIG_METADATA!$B$4&lt;&gt;"OR+EX",--(DATOS!$G14597=CONFIG_METADATA!$B$4),IF(DATOS!$G14597="EX",1,IF(DATOS!$G14597="OR",--(COUNTIFS(nNIA,DATOS!$A14597,nCURSO,DATOS!$D14597,nESPEC,DATOS!$E14597,nASIG,DATOS!$I14597,nEVAL,"EX")=0),0))))</f>
      </c>
      <c r="H14597">
        <f>IF(DATOS!$G14597&lt;&gt;"EX",0,--(COUNTIFS(nNIA,DATOS!$A14597,nCURSO,DATOS!$D14597,nESPEC,DATOS!$E14597,nASIG,DATOS!$I14597,nEVAL,"OR")=0))</f>
      </c>
      <c r="I14597">
        <f>IF(DATOS!$I14597="","",IFERROR(VLOOKUP(DATOS!$I14597,CONFIG_ASIGNATURAS!$B$2:$J$91,9,FALSE()),""))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IF(DATOS!$A14598="",0,IF(CONFIG_METADATA!$B$4&lt;&gt;"OR+EX",--(DATOS!$G14598=CONFIG_METADATA!$B$4),IF(DATOS!$G14598="EX",1,IF(DATOS!$G14598="OR",--(COUNTIFS(nNIA,DATOS!$A14598,nCURSO,DATOS!$D14598,nESPEC,DATOS!$E14598,nASIG,DATOS!$I14598,nEVAL,"EX")=0),0))))</f>
      </c>
      <c r="H14598">
        <f>IF(DATOS!$G14598&lt;&gt;"EX",0,--(COUNTIFS(nNIA,DATOS!$A14598,nCURSO,DATOS!$D14598,nESPEC,DATOS!$E14598,nASIG,DATOS!$I14598,nEVAL,"OR")=0))</f>
      </c>
      <c r="I14598">
        <f>IF(DATOS!$I14598="","",IFERROR(VLOOKUP(DATOS!$I14598,CONFIG_ASIGNATURAS!$B$2:$J$91,9,FALSE()),""))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IF(DATOS!$A14599="",0,IF(CONFIG_METADATA!$B$4&lt;&gt;"OR+EX",--(DATOS!$G14599=CONFIG_METADATA!$B$4),IF(DATOS!$G14599="EX",1,IF(DATOS!$G14599="OR",--(COUNTIFS(nNIA,DATOS!$A14599,nCURSO,DATOS!$D14599,nESPEC,DATOS!$E14599,nASIG,DATOS!$I14599,nEVAL,"EX")=0),0))))</f>
      </c>
      <c r="H14599">
        <f>IF(DATOS!$G14599&lt;&gt;"EX",0,--(COUNTIFS(nNIA,DATOS!$A14599,nCURSO,DATOS!$D14599,nESPEC,DATOS!$E14599,nASIG,DATOS!$I14599,nEVAL,"OR")=0))</f>
      </c>
      <c r="I14599">
        <f>IF(DATOS!$I14599="","",IFERROR(VLOOKUP(DATOS!$I14599,CONFIG_ASIGNATURAS!$B$2:$J$91,9,FALSE()),""))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IF(DATOS!$A14600="",0,IF(CONFIG_METADATA!$B$4&lt;&gt;"OR+EX",--(DATOS!$G14600=CONFIG_METADATA!$B$4),IF(DATOS!$G14600="EX",1,IF(DATOS!$G14600="OR",--(COUNTIFS(nNIA,DATOS!$A14600,nCURSO,DATOS!$D14600,nESPEC,DATOS!$E14600,nASIG,DATOS!$I14600,nEVAL,"EX")=0),0))))</f>
      </c>
      <c r="H14600">
        <f>IF(DATOS!$G14600&lt;&gt;"EX",0,--(COUNTIFS(nNIA,DATOS!$A14600,nCURSO,DATOS!$D14600,nESPEC,DATOS!$E14600,nASIG,DATOS!$I14600,nEVAL,"OR")=0))</f>
      </c>
      <c r="I14600">
        <f>IF(DATOS!$I14600="","",IFERROR(VLOOKUP(DATOS!$I14600,CONFIG_ASIGNATURAS!$B$2:$J$91,9,FALSE()),""))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IF(DATOS!$A14601="",0,IF(CONFIG_METADATA!$B$4&lt;&gt;"OR+EX",--(DATOS!$G14601=CONFIG_METADATA!$B$4),IF(DATOS!$G14601="EX",1,IF(DATOS!$G14601="OR",--(COUNTIFS(nNIA,DATOS!$A14601,nCURSO,DATOS!$D14601,nESPEC,DATOS!$E14601,nASIG,DATOS!$I14601,nEVAL,"EX")=0),0))))</f>
      </c>
      <c r="H14601">
        <f>IF(DATOS!$G14601&lt;&gt;"EX",0,--(COUNTIFS(nNIA,DATOS!$A14601,nCURSO,DATOS!$D14601,nESPEC,DATOS!$E14601,nASIG,DATOS!$I14601,nEVAL,"OR")=0))</f>
      </c>
      <c r="I14601">
        <f>IF(DATOS!$I14601="","",IFERROR(VLOOKUP(DATOS!$I14601,CONFIG_ASIGNATURAS!$B$2:$J$91,9,FALSE()),""))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IF(DATOS!$A14602="",0,IF(CONFIG_METADATA!$B$4&lt;&gt;"OR+EX",--(DATOS!$G14602=CONFIG_METADATA!$B$4),IF(DATOS!$G14602="EX",1,IF(DATOS!$G14602="OR",--(COUNTIFS(nNIA,DATOS!$A14602,nCURSO,DATOS!$D14602,nESPEC,DATOS!$E14602,nASIG,DATOS!$I14602,nEVAL,"EX")=0),0))))</f>
      </c>
      <c r="H14602">
        <f>IF(DATOS!$G14602&lt;&gt;"EX",0,--(COUNTIFS(nNIA,DATOS!$A14602,nCURSO,DATOS!$D14602,nESPEC,DATOS!$E14602,nASIG,DATOS!$I14602,nEVAL,"OR")=0))</f>
      </c>
      <c r="I14602">
        <f>IF(DATOS!$I14602="","",IFERROR(VLOOKUP(DATOS!$I14602,CONFIG_ASIGNATURAS!$B$2:$J$91,9,FALSE()),""))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IF(DATOS!$A14603="",0,IF(CONFIG_METADATA!$B$4&lt;&gt;"OR+EX",--(DATOS!$G14603=CONFIG_METADATA!$B$4),IF(DATOS!$G14603="EX",1,IF(DATOS!$G14603="OR",--(COUNTIFS(nNIA,DATOS!$A14603,nCURSO,DATOS!$D14603,nESPEC,DATOS!$E14603,nASIG,DATOS!$I14603,nEVAL,"EX")=0),0))))</f>
      </c>
      <c r="H14603">
        <f>IF(DATOS!$G14603&lt;&gt;"EX",0,--(COUNTIFS(nNIA,DATOS!$A14603,nCURSO,DATOS!$D14603,nESPEC,DATOS!$E14603,nASIG,DATOS!$I14603,nEVAL,"OR")=0))</f>
      </c>
      <c r="I14603">
        <f>IF(DATOS!$I14603="","",IFERROR(VLOOKUP(DATOS!$I14603,CONFIG_ASIGNATURAS!$B$2:$J$91,9,FALSE()),""))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IF(DATOS!$A14604="",0,IF(CONFIG_METADATA!$B$4&lt;&gt;"OR+EX",--(DATOS!$G14604=CONFIG_METADATA!$B$4),IF(DATOS!$G14604="EX",1,IF(DATOS!$G14604="OR",--(COUNTIFS(nNIA,DATOS!$A14604,nCURSO,DATOS!$D14604,nESPEC,DATOS!$E14604,nASIG,DATOS!$I14604,nEVAL,"EX")=0),0))))</f>
      </c>
      <c r="H14604">
        <f>IF(DATOS!$G14604&lt;&gt;"EX",0,--(COUNTIFS(nNIA,DATOS!$A14604,nCURSO,DATOS!$D14604,nESPEC,DATOS!$E14604,nASIG,DATOS!$I14604,nEVAL,"OR")=0))</f>
      </c>
      <c r="I14604">
        <f>IF(DATOS!$I14604="","",IFERROR(VLOOKUP(DATOS!$I14604,CONFIG_ASIGNATURAS!$B$2:$J$91,9,FALSE()),""))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IF(DATOS!$A14605="",0,IF(CONFIG_METADATA!$B$4&lt;&gt;"OR+EX",--(DATOS!$G14605=CONFIG_METADATA!$B$4),IF(DATOS!$G14605="EX",1,IF(DATOS!$G14605="OR",--(COUNTIFS(nNIA,DATOS!$A14605,nCURSO,DATOS!$D14605,nESPEC,DATOS!$E14605,nASIG,DATOS!$I14605,nEVAL,"EX")=0),0))))</f>
      </c>
      <c r="H14605">
        <f>IF(DATOS!$G14605&lt;&gt;"EX",0,--(COUNTIFS(nNIA,DATOS!$A14605,nCURSO,DATOS!$D14605,nESPEC,DATOS!$E14605,nASIG,DATOS!$I14605,nEVAL,"OR")=0))</f>
      </c>
      <c r="I14605">
        <f>IF(DATOS!$I14605="","",IFERROR(VLOOKUP(DATOS!$I14605,CONFIG_ASIGNATURAS!$B$2:$J$91,9,FALSE()),""))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IF(DATOS!$A14606="",0,IF(CONFIG_METADATA!$B$4&lt;&gt;"OR+EX",--(DATOS!$G14606=CONFIG_METADATA!$B$4),IF(DATOS!$G14606="EX",1,IF(DATOS!$G14606="OR",--(COUNTIFS(nNIA,DATOS!$A14606,nCURSO,DATOS!$D14606,nESPEC,DATOS!$E14606,nASIG,DATOS!$I14606,nEVAL,"EX")=0),0))))</f>
      </c>
      <c r="H14606">
        <f>IF(DATOS!$G14606&lt;&gt;"EX",0,--(COUNTIFS(nNIA,DATOS!$A14606,nCURSO,DATOS!$D14606,nESPEC,DATOS!$E14606,nASIG,DATOS!$I14606,nEVAL,"OR")=0))</f>
      </c>
      <c r="I14606">
        <f>IF(DATOS!$I14606="","",IFERROR(VLOOKUP(DATOS!$I14606,CONFIG_ASIGNATURAS!$B$2:$J$91,9,FALSE()),""))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IF(DATOS!$A14607="",0,IF(CONFIG_METADATA!$B$4&lt;&gt;"OR+EX",--(DATOS!$G14607=CONFIG_METADATA!$B$4),IF(DATOS!$G14607="EX",1,IF(DATOS!$G14607="OR",--(COUNTIFS(nNIA,DATOS!$A14607,nCURSO,DATOS!$D14607,nESPEC,DATOS!$E14607,nASIG,DATOS!$I14607,nEVAL,"EX")=0),0))))</f>
      </c>
      <c r="H14607">
        <f>IF(DATOS!$G14607&lt;&gt;"EX",0,--(COUNTIFS(nNIA,DATOS!$A14607,nCURSO,DATOS!$D14607,nESPEC,DATOS!$E14607,nASIG,DATOS!$I14607,nEVAL,"OR")=0))</f>
      </c>
      <c r="I14607">
        <f>IF(DATOS!$I14607="","",IFERROR(VLOOKUP(DATOS!$I14607,CONFIG_ASIGNATURAS!$B$2:$J$91,9,FALSE()),""))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IF(DATOS!$A14608="",0,IF(CONFIG_METADATA!$B$4&lt;&gt;"OR+EX",--(DATOS!$G14608=CONFIG_METADATA!$B$4),IF(DATOS!$G14608="EX",1,IF(DATOS!$G14608="OR",--(COUNTIFS(nNIA,DATOS!$A14608,nCURSO,DATOS!$D14608,nESPEC,DATOS!$E14608,nASIG,DATOS!$I14608,nEVAL,"EX")=0),0))))</f>
      </c>
      <c r="H14608">
        <f>IF(DATOS!$G14608&lt;&gt;"EX",0,--(COUNTIFS(nNIA,DATOS!$A14608,nCURSO,DATOS!$D14608,nESPEC,DATOS!$E14608,nASIG,DATOS!$I14608,nEVAL,"OR")=0))</f>
      </c>
      <c r="I14608">
        <f>IF(DATOS!$I14608="","",IFERROR(VLOOKUP(DATOS!$I14608,CONFIG_ASIGNATURAS!$B$2:$J$91,9,FALSE()),""))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IF(DATOS!$A14609="",0,IF(CONFIG_METADATA!$B$4&lt;&gt;"OR+EX",--(DATOS!$G14609=CONFIG_METADATA!$B$4),IF(DATOS!$G14609="EX",1,IF(DATOS!$G14609="OR",--(COUNTIFS(nNIA,DATOS!$A14609,nCURSO,DATOS!$D14609,nESPEC,DATOS!$E14609,nASIG,DATOS!$I14609,nEVAL,"EX")=0),0))))</f>
      </c>
      <c r="H14609">
        <f>IF(DATOS!$G14609&lt;&gt;"EX",0,--(COUNTIFS(nNIA,DATOS!$A14609,nCURSO,DATOS!$D14609,nESPEC,DATOS!$E14609,nASIG,DATOS!$I14609,nEVAL,"OR")=0))</f>
      </c>
      <c r="I14609">
        <f>IF(DATOS!$I14609="","",IFERROR(VLOOKUP(DATOS!$I14609,CONFIG_ASIGNATURAS!$B$2:$J$91,9,FALSE()),""))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IF(DATOS!$A14610="",0,IF(CONFIG_METADATA!$B$4&lt;&gt;"OR+EX",--(DATOS!$G14610=CONFIG_METADATA!$B$4),IF(DATOS!$G14610="EX",1,IF(DATOS!$G14610="OR",--(COUNTIFS(nNIA,DATOS!$A14610,nCURSO,DATOS!$D14610,nESPEC,DATOS!$E14610,nASIG,DATOS!$I14610,nEVAL,"EX")=0),0))))</f>
      </c>
      <c r="H14610">
        <f>IF(DATOS!$G14610&lt;&gt;"EX",0,--(COUNTIFS(nNIA,DATOS!$A14610,nCURSO,DATOS!$D14610,nESPEC,DATOS!$E14610,nASIG,DATOS!$I14610,nEVAL,"OR")=0))</f>
      </c>
      <c r="I14610">
        <f>IF(DATOS!$I14610="","",IFERROR(VLOOKUP(DATOS!$I14610,CONFIG_ASIGNATURAS!$B$2:$J$91,9,FALSE()),""))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IF(DATOS!$A14611="",0,IF(CONFIG_METADATA!$B$4&lt;&gt;"OR+EX",--(DATOS!$G14611=CONFIG_METADATA!$B$4),IF(DATOS!$G14611="EX",1,IF(DATOS!$G14611="OR",--(COUNTIFS(nNIA,DATOS!$A14611,nCURSO,DATOS!$D14611,nESPEC,DATOS!$E14611,nASIG,DATOS!$I14611,nEVAL,"EX")=0),0))))</f>
      </c>
      <c r="H14611">
        <f>IF(DATOS!$G14611&lt;&gt;"EX",0,--(COUNTIFS(nNIA,DATOS!$A14611,nCURSO,DATOS!$D14611,nESPEC,DATOS!$E14611,nASIG,DATOS!$I14611,nEVAL,"OR")=0))</f>
      </c>
      <c r="I14611">
        <f>IF(DATOS!$I14611="","",IFERROR(VLOOKUP(DATOS!$I14611,CONFIG_ASIGNATURAS!$B$2:$J$91,9,FALSE()),""))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IF(DATOS!$A14612="",0,IF(CONFIG_METADATA!$B$4&lt;&gt;"OR+EX",--(DATOS!$G14612=CONFIG_METADATA!$B$4),IF(DATOS!$G14612="EX",1,IF(DATOS!$G14612="OR",--(COUNTIFS(nNIA,DATOS!$A14612,nCURSO,DATOS!$D14612,nESPEC,DATOS!$E14612,nASIG,DATOS!$I14612,nEVAL,"EX")=0),0))))</f>
      </c>
      <c r="H14612">
        <f>IF(DATOS!$G14612&lt;&gt;"EX",0,--(COUNTIFS(nNIA,DATOS!$A14612,nCURSO,DATOS!$D14612,nESPEC,DATOS!$E14612,nASIG,DATOS!$I14612,nEVAL,"OR")=0))</f>
      </c>
      <c r="I14612">
        <f>IF(DATOS!$I14612="","",IFERROR(VLOOKUP(DATOS!$I14612,CONFIG_ASIGNATURAS!$B$2:$J$91,9,FALSE()),""))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IF(DATOS!$A14613="",0,IF(CONFIG_METADATA!$B$4&lt;&gt;"OR+EX",--(DATOS!$G14613=CONFIG_METADATA!$B$4),IF(DATOS!$G14613="EX",1,IF(DATOS!$G14613="OR",--(COUNTIFS(nNIA,DATOS!$A14613,nCURSO,DATOS!$D14613,nESPEC,DATOS!$E14613,nASIG,DATOS!$I14613,nEVAL,"EX")=0),0))))</f>
      </c>
      <c r="H14613">
        <f>IF(DATOS!$G14613&lt;&gt;"EX",0,--(COUNTIFS(nNIA,DATOS!$A14613,nCURSO,DATOS!$D14613,nESPEC,DATOS!$E14613,nASIG,DATOS!$I14613,nEVAL,"OR")=0))</f>
      </c>
      <c r="I14613">
        <f>IF(DATOS!$I14613="","",IFERROR(VLOOKUP(DATOS!$I14613,CONFIG_ASIGNATURAS!$B$2:$J$91,9,FALSE()),""))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IF(DATOS!$A14614="",0,IF(CONFIG_METADATA!$B$4&lt;&gt;"OR+EX",--(DATOS!$G14614=CONFIG_METADATA!$B$4),IF(DATOS!$G14614="EX",1,IF(DATOS!$G14614="OR",--(COUNTIFS(nNIA,DATOS!$A14614,nCURSO,DATOS!$D14614,nESPEC,DATOS!$E14614,nASIG,DATOS!$I14614,nEVAL,"EX")=0),0))))</f>
      </c>
      <c r="H14614">
        <f>IF(DATOS!$G14614&lt;&gt;"EX",0,--(COUNTIFS(nNIA,DATOS!$A14614,nCURSO,DATOS!$D14614,nESPEC,DATOS!$E14614,nASIG,DATOS!$I14614,nEVAL,"OR")=0))</f>
      </c>
      <c r="I14614">
        <f>IF(DATOS!$I14614="","",IFERROR(VLOOKUP(DATOS!$I14614,CONFIG_ASIGNATURAS!$B$2:$J$91,9,FALSE()),""))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IF(DATOS!$A14615="",0,IF(CONFIG_METADATA!$B$4&lt;&gt;"OR+EX",--(DATOS!$G14615=CONFIG_METADATA!$B$4),IF(DATOS!$G14615="EX",1,IF(DATOS!$G14615="OR",--(COUNTIFS(nNIA,DATOS!$A14615,nCURSO,DATOS!$D14615,nESPEC,DATOS!$E14615,nASIG,DATOS!$I14615,nEVAL,"EX")=0),0))))</f>
      </c>
      <c r="H14615">
        <f>IF(DATOS!$G14615&lt;&gt;"EX",0,--(COUNTIFS(nNIA,DATOS!$A14615,nCURSO,DATOS!$D14615,nESPEC,DATOS!$E14615,nASIG,DATOS!$I14615,nEVAL,"OR")=0))</f>
      </c>
      <c r="I14615">
        <f>IF(DATOS!$I14615="","",IFERROR(VLOOKUP(DATOS!$I14615,CONFIG_ASIGNATURAS!$B$2:$J$91,9,FALSE()),""))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IF(DATOS!$A14616="",0,IF(CONFIG_METADATA!$B$4&lt;&gt;"OR+EX",--(DATOS!$G14616=CONFIG_METADATA!$B$4),IF(DATOS!$G14616="EX",1,IF(DATOS!$G14616="OR",--(COUNTIFS(nNIA,DATOS!$A14616,nCURSO,DATOS!$D14616,nESPEC,DATOS!$E14616,nASIG,DATOS!$I14616,nEVAL,"EX")=0),0))))</f>
      </c>
      <c r="H14616">
        <f>IF(DATOS!$G14616&lt;&gt;"EX",0,--(COUNTIFS(nNIA,DATOS!$A14616,nCURSO,DATOS!$D14616,nESPEC,DATOS!$E14616,nASIG,DATOS!$I14616,nEVAL,"OR")=0))</f>
      </c>
      <c r="I14616">
        <f>IF(DATOS!$I14616="","",IFERROR(VLOOKUP(DATOS!$I14616,CONFIG_ASIGNATURAS!$B$2:$J$91,9,FALSE()),""))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IF(DATOS!$A14617="",0,IF(CONFIG_METADATA!$B$4&lt;&gt;"OR+EX",--(DATOS!$G14617=CONFIG_METADATA!$B$4),IF(DATOS!$G14617="EX",1,IF(DATOS!$G14617="OR",--(COUNTIFS(nNIA,DATOS!$A14617,nCURSO,DATOS!$D14617,nESPEC,DATOS!$E14617,nASIG,DATOS!$I14617,nEVAL,"EX")=0),0))))</f>
      </c>
      <c r="H14617">
        <f>IF(DATOS!$G14617&lt;&gt;"EX",0,--(COUNTIFS(nNIA,DATOS!$A14617,nCURSO,DATOS!$D14617,nESPEC,DATOS!$E14617,nASIG,DATOS!$I14617,nEVAL,"OR")=0))</f>
      </c>
      <c r="I14617">
        <f>IF(DATOS!$I14617="","",IFERROR(VLOOKUP(DATOS!$I14617,CONFIG_ASIGNATURAS!$B$2:$J$91,9,FALSE()),""))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IF(DATOS!$A14618="",0,IF(CONFIG_METADATA!$B$4&lt;&gt;"OR+EX",--(DATOS!$G14618=CONFIG_METADATA!$B$4),IF(DATOS!$G14618="EX",1,IF(DATOS!$G14618="OR",--(COUNTIFS(nNIA,DATOS!$A14618,nCURSO,DATOS!$D14618,nESPEC,DATOS!$E14618,nASIG,DATOS!$I14618,nEVAL,"EX")=0),0))))</f>
      </c>
      <c r="H14618">
        <f>IF(DATOS!$G14618&lt;&gt;"EX",0,--(COUNTIFS(nNIA,DATOS!$A14618,nCURSO,DATOS!$D14618,nESPEC,DATOS!$E14618,nASIG,DATOS!$I14618,nEVAL,"OR")=0))</f>
      </c>
      <c r="I14618">
        <f>IF(DATOS!$I14618="","",IFERROR(VLOOKUP(DATOS!$I14618,CONFIG_ASIGNATURAS!$B$2:$J$91,9,FALSE()),""))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IF(DATOS!$A14619="",0,IF(CONFIG_METADATA!$B$4&lt;&gt;"OR+EX",--(DATOS!$G14619=CONFIG_METADATA!$B$4),IF(DATOS!$G14619="EX",1,IF(DATOS!$G14619="OR",--(COUNTIFS(nNIA,DATOS!$A14619,nCURSO,DATOS!$D14619,nESPEC,DATOS!$E14619,nASIG,DATOS!$I14619,nEVAL,"EX")=0),0))))</f>
      </c>
      <c r="H14619">
        <f>IF(DATOS!$G14619&lt;&gt;"EX",0,--(COUNTIFS(nNIA,DATOS!$A14619,nCURSO,DATOS!$D14619,nESPEC,DATOS!$E14619,nASIG,DATOS!$I14619,nEVAL,"OR")=0))</f>
      </c>
      <c r="I14619">
        <f>IF(DATOS!$I14619="","",IFERROR(VLOOKUP(DATOS!$I14619,CONFIG_ASIGNATURAS!$B$2:$J$91,9,FALSE()),""))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IF(DATOS!$A14620="",0,IF(CONFIG_METADATA!$B$4&lt;&gt;"OR+EX",--(DATOS!$G14620=CONFIG_METADATA!$B$4),IF(DATOS!$G14620="EX",1,IF(DATOS!$G14620="OR",--(COUNTIFS(nNIA,DATOS!$A14620,nCURSO,DATOS!$D14620,nESPEC,DATOS!$E14620,nASIG,DATOS!$I14620,nEVAL,"EX")=0),0))))</f>
      </c>
      <c r="H14620">
        <f>IF(DATOS!$G14620&lt;&gt;"EX",0,--(COUNTIFS(nNIA,DATOS!$A14620,nCURSO,DATOS!$D14620,nESPEC,DATOS!$E14620,nASIG,DATOS!$I14620,nEVAL,"OR")=0))</f>
      </c>
      <c r="I14620">
        <f>IF(DATOS!$I14620="","",IFERROR(VLOOKUP(DATOS!$I14620,CONFIG_ASIGNATURAS!$B$2:$J$91,9,FALSE()),""))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IF(DATOS!$A14621="",0,IF(CONFIG_METADATA!$B$4&lt;&gt;"OR+EX",--(DATOS!$G14621=CONFIG_METADATA!$B$4),IF(DATOS!$G14621="EX",1,IF(DATOS!$G14621="OR",--(COUNTIFS(nNIA,DATOS!$A14621,nCURSO,DATOS!$D14621,nESPEC,DATOS!$E14621,nASIG,DATOS!$I14621,nEVAL,"EX")=0),0))))</f>
      </c>
      <c r="H14621">
        <f>IF(DATOS!$G14621&lt;&gt;"EX",0,--(COUNTIFS(nNIA,DATOS!$A14621,nCURSO,DATOS!$D14621,nESPEC,DATOS!$E14621,nASIG,DATOS!$I14621,nEVAL,"OR")=0))</f>
      </c>
      <c r="I14621">
        <f>IF(DATOS!$I14621="","",IFERROR(VLOOKUP(DATOS!$I14621,CONFIG_ASIGNATURAS!$B$2:$J$91,9,FALSE()),""))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IF(DATOS!$A14622="",0,IF(CONFIG_METADATA!$B$4&lt;&gt;"OR+EX",--(DATOS!$G14622=CONFIG_METADATA!$B$4),IF(DATOS!$G14622="EX",1,IF(DATOS!$G14622="OR",--(COUNTIFS(nNIA,DATOS!$A14622,nCURSO,DATOS!$D14622,nESPEC,DATOS!$E14622,nASIG,DATOS!$I14622,nEVAL,"EX")=0),0))))</f>
      </c>
      <c r="H14622">
        <f>IF(DATOS!$G14622&lt;&gt;"EX",0,--(COUNTIFS(nNIA,DATOS!$A14622,nCURSO,DATOS!$D14622,nESPEC,DATOS!$E14622,nASIG,DATOS!$I14622,nEVAL,"OR")=0))</f>
      </c>
      <c r="I14622">
        <f>IF(DATOS!$I14622="","",IFERROR(VLOOKUP(DATOS!$I14622,CONFIG_ASIGNATURAS!$B$2:$J$91,9,FALSE()),""))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IF(DATOS!$A14623="",0,IF(CONFIG_METADATA!$B$4&lt;&gt;"OR+EX",--(DATOS!$G14623=CONFIG_METADATA!$B$4),IF(DATOS!$G14623="EX",1,IF(DATOS!$G14623="OR",--(COUNTIFS(nNIA,DATOS!$A14623,nCURSO,DATOS!$D14623,nESPEC,DATOS!$E14623,nASIG,DATOS!$I14623,nEVAL,"EX")=0),0))))</f>
      </c>
      <c r="H14623">
        <f>IF(DATOS!$G14623&lt;&gt;"EX",0,--(COUNTIFS(nNIA,DATOS!$A14623,nCURSO,DATOS!$D14623,nESPEC,DATOS!$E14623,nASIG,DATOS!$I14623,nEVAL,"OR")=0))</f>
      </c>
      <c r="I14623">
        <f>IF(DATOS!$I14623="","",IFERROR(VLOOKUP(DATOS!$I14623,CONFIG_ASIGNATURAS!$B$2:$J$91,9,FALSE()),""))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IF(DATOS!$A14624="",0,IF(CONFIG_METADATA!$B$4&lt;&gt;"OR+EX",--(DATOS!$G14624=CONFIG_METADATA!$B$4),IF(DATOS!$G14624="EX",1,IF(DATOS!$G14624="OR",--(COUNTIFS(nNIA,DATOS!$A14624,nCURSO,DATOS!$D14624,nESPEC,DATOS!$E14624,nASIG,DATOS!$I14624,nEVAL,"EX")=0),0))))</f>
      </c>
      <c r="H14624">
        <f>IF(DATOS!$G14624&lt;&gt;"EX",0,--(COUNTIFS(nNIA,DATOS!$A14624,nCURSO,DATOS!$D14624,nESPEC,DATOS!$E14624,nASIG,DATOS!$I14624,nEVAL,"OR")=0))</f>
      </c>
      <c r="I14624">
        <f>IF(DATOS!$I14624="","",IFERROR(VLOOKUP(DATOS!$I14624,CONFIG_ASIGNATURAS!$B$2:$J$91,9,FALSE()),""))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IF(DATOS!$A14625="",0,IF(CONFIG_METADATA!$B$4&lt;&gt;"OR+EX",--(DATOS!$G14625=CONFIG_METADATA!$B$4),IF(DATOS!$G14625="EX",1,IF(DATOS!$G14625="OR",--(COUNTIFS(nNIA,DATOS!$A14625,nCURSO,DATOS!$D14625,nESPEC,DATOS!$E14625,nASIG,DATOS!$I14625,nEVAL,"EX")=0),0))))</f>
      </c>
      <c r="H14625">
        <f>IF(DATOS!$G14625&lt;&gt;"EX",0,--(COUNTIFS(nNIA,DATOS!$A14625,nCURSO,DATOS!$D14625,nESPEC,DATOS!$E14625,nASIG,DATOS!$I14625,nEVAL,"OR")=0))</f>
      </c>
      <c r="I14625">
        <f>IF(DATOS!$I14625="","",IFERROR(VLOOKUP(DATOS!$I14625,CONFIG_ASIGNATURAS!$B$2:$J$91,9,FALSE()),""))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IF(DATOS!$A14626="",0,IF(CONFIG_METADATA!$B$4&lt;&gt;"OR+EX",--(DATOS!$G14626=CONFIG_METADATA!$B$4),IF(DATOS!$G14626="EX",1,IF(DATOS!$G14626="OR",--(COUNTIFS(nNIA,DATOS!$A14626,nCURSO,DATOS!$D14626,nESPEC,DATOS!$E14626,nASIG,DATOS!$I14626,nEVAL,"EX")=0),0))))</f>
      </c>
      <c r="H14626">
        <f>IF(DATOS!$G14626&lt;&gt;"EX",0,--(COUNTIFS(nNIA,DATOS!$A14626,nCURSO,DATOS!$D14626,nESPEC,DATOS!$E14626,nASIG,DATOS!$I14626,nEVAL,"OR")=0))</f>
      </c>
      <c r="I14626">
        <f>IF(DATOS!$I14626="","",IFERROR(VLOOKUP(DATOS!$I14626,CONFIG_ASIGNATURAS!$B$2:$J$91,9,FALSE()),""))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IF(DATOS!$A14627="",0,IF(CONFIG_METADATA!$B$4&lt;&gt;"OR+EX",--(DATOS!$G14627=CONFIG_METADATA!$B$4),IF(DATOS!$G14627="EX",1,IF(DATOS!$G14627="OR",--(COUNTIFS(nNIA,DATOS!$A14627,nCURSO,DATOS!$D14627,nESPEC,DATOS!$E14627,nASIG,DATOS!$I14627,nEVAL,"EX")=0),0))))</f>
      </c>
      <c r="H14627">
        <f>IF(DATOS!$G14627&lt;&gt;"EX",0,--(COUNTIFS(nNIA,DATOS!$A14627,nCURSO,DATOS!$D14627,nESPEC,DATOS!$E14627,nASIG,DATOS!$I14627,nEVAL,"OR")=0))</f>
      </c>
      <c r="I14627">
        <f>IF(DATOS!$I14627="","",IFERROR(VLOOKUP(DATOS!$I14627,CONFIG_ASIGNATURAS!$B$2:$J$91,9,FALSE()),""))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IF(DATOS!$A14628="",0,IF(CONFIG_METADATA!$B$4&lt;&gt;"OR+EX",--(DATOS!$G14628=CONFIG_METADATA!$B$4),IF(DATOS!$G14628="EX",1,IF(DATOS!$G14628="OR",--(COUNTIFS(nNIA,DATOS!$A14628,nCURSO,DATOS!$D14628,nESPEC,DATOS!$E14628,nASIG,DATOS!$I14628,nEVAL,"EX")=0),0))))</f>
      </c>
      <c r="H14628">
        <f>IF(DATOS!$G14628&lt;&gt;"EX",0,--(COUNTIFS(nNIA,DATOS!$A14628,nCURSO,DATOS!$D14628,nESPEC,DATOS!$E14628,nASIG,DATOS!$I14628,nEVAL,"OR")=0))</f>
      </c>
      <c r="I14628">
        <f>IF(DATOS!$I14628="","",IFERROR(VLOOKUP(DATOS!$I14628,CONFIG_ASIGNATURAS!$B$2:$J$91,9,FALSE()),""))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IF(DATOS!$A14629="",0,IF(CONFIG_METADATA!$B$4&lt;&gt;"OR+EX",--(DATOS!$G14629=CONFIG_METADATA!$B$4),IF(DATOS!$G14629="EX",1,IF(DATOS!$G14629="OR",--(COUNTIFS(nNIA,DATOS!$A14629,nCURSO,DATOS!$D14629,nESPEC,DATOS!$E14629,nASIG,DATOS!$I14629,nEVAL,"EX")=0),0))))</f>
      </c>
      <c r="H14629">
        <f>IF(DATOS!$G14629&lt;&gt;"EX",0,--(COUNTIFS(nNIA,DATOS!$A14629,nCURSO,DATOS!$D14629,nESPEC,DATOS!$E14629,nASIG,DATOS!$I14629,nEVAL,"OR")=0))</f>
      </c>
      <c r="I14629">
        <f>IF(DATOS!$I14629="","",IFERROR(VLOOKUP(DATOS!$I14629,CONFIG_ASIGNATURAS!$B$2:$J$91,9,FALSE()),""))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IF(DATOS!$A14630="",0,IF(CONFIG_METADATA!$B$4&lt;&gt;"OR+EX",--(DATOS!$G14630=CONFIG_METADATA!$B$4),IF(DATOS!$G14630="EX",1,IF(DATOS!$G14630="OR",--(COUNTIFS(nNIA,DATOS!$A14630,nCURSO,DATOS!$D14630,nESPEC,DATOS!$E14630,nASIG,DATOS!$I14630,nEVAL,"EX")=0),0))))</f>
      </c>
      <c r="H14630">
        <f>IF(DATOS!$G14630&lt;&gt;"EX",0,--(COUNTIFS(nNIA,DATOS!$A14630,nCURSO,DATOS!$D14630,nESPEC,DATOS!$E14630,nASIG,DATOS!$I14630,nEVAL,"OR")=0))</f>
      </c>
      <c r="I14630">
        <f>IF(DATOS!$I14630="","",IFERROR(VLOOKUP(DATOS!$I14630,CONFIG_ASIGNATURAS!$B$2:$J$91,9,FALSE()),""))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IF(DATOS!$A14631="",0,IF(CONFIG_METADATA!$B$4&lt;&gt;"OR+EX",--(DATOS!$G14631=CONFIG_METADATA!$B$4),IF(DATOS!$G14631="EX",1,IF(DATOS!$G14631="OR",--(COUNTIFS(nNIA,DATOS!$A14631,nCURSO,DATOS!$D14631,nESPEC,DATOS!$E14631,nASIG,DATOS!$I14631,nEVAL,"EX")=0),0))))</f>
      </c>
      <c r="H14631">
        <f>IF(DATOS!$G14631&lt;&gt;"EX",0,--(COUNTIFS(nNIA,DATOS!$A14631,nCURSO,DATOS!$D14631,nESPEC,DATOS!$E14631,nASIG,DATOS!$I14631,nEVAL,"OR")=0))</f>
      </c>
      <c r="I14631">
        <f>IF(DATOS!$I14631="","",IFERROR(VLOOKUP(DATOS!$I14631,CONFIG_ASIGNATURAS!$B$2:$J$91,9,FALSE()),""))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IF(DATOS!$A14632="",0,IF(CONFIG_METADATA!$B$4&lt;&gt;"OR+EX",--(DATOS!$G14632=CONFIG_METADATA!$B$4),IF(DATOS!$G14632="EX",1,IF(DATOS!$G14632="OR",--(COUNTIFS(nNIA,DATOS!$A14632,nCURSO,DATOS!$D14632,nESPEC,DATOS!$E14632,nASIG,DATOS!$I14632,nEVAL,"EX")=0),0))))</f>
      </c>
      <c r="H14632">
        <f>IF(DATOS!$G14632&lt;&gt;"EX",0,--(COUNTIFS(nNIA,DATOS!$A14632,nCURSO,DATOS!$D14632,nESPEC,DATOS!$E14632,nASIG,DATOS!$I14632,nEVAL,"OR")=0))</f>
      </c>
      <c r="I14632">
        <f>IF(DATOS!$I14632="","",IFERROR(VLOOKUP(DATOS!$I14632,CONFIG_ASIGNATURAS!$B$2:$J$91,9,FALSE()),""))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IF(DATOS!$A14633="",0,IF(CONFIG_METADATA!$B$4&lt;&gt;"OR+EX",--(DATOS!$G14633=CONFIG_METADATA!$B$4),IF(DATOS!$G14633="EX",1,IF(DATOS!$G14633="OR",--(COUNTIFS(nNIA,DATOS!$A14633,nCURSO,DATOS!$D14633,nESPEC,DATOS!$E14633,nASIG,DATOS!$I14633,nEVAL,"EX")=0),0))))</f>
      </c>
      <c r="H14633">
        <f>IF(DATOS!$G14633&lt;&gt;"EX",0,--(COUNTIFS(nNIA,DATOS!$A14633,nCURSO,DATOS!$D14633,nESPEC,DATOS!$E14633,nASIG,DATOS!$I14633,nEVAL,"OR")=0))</f>
      </c>
      <c r="I14633">
        <f>IF(DATOS!$I14633="","",IFERROR(VLOOKUP(DATOS!$I14633,CONFIG_ASIGNATURAS!$B$2:$J$91,9,FALSE()),""))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IF(DATOS!$A14634="",0,IF(CONFIG_METADATA!$B$4&lt;&gt;"OR+EX",--(DATOS!$G14634=CONFIG_METADATA!$B$4),IF(DATOS!$G14634="EX",1,IF(DATOS!$G14634="OR",--(COUNTIFS(nNIA,DATOS!$A14634,nCURSO,DATOS!$D14634,nESPEC,DATOS!$E14634,nASIG,DATOS!$I14634,nEVAL,"EX")=0),0))))</f>
      </c>
      <c r="H14634">
        <f>IF(DATOS!$G14634&lt;&gt;"EX",0,--(COUNTIFS(nNIA,DATOS!$A14634,nCURSO,DATOS!$D14634,nESPEC,DATOS!$E14634,nASIG,DATOS!$I14634,nEVAL,"OR")=0))</f>
      </c>
      <c r="I14634">
        <f>IF(DATOS!$I14634="","",IFERROR(VLOOKUP(DATOS!$I14634,CONFIG_ASIGNATURAS!$B$2:$J$91,9,FALSE()),""))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IF(DATOS!$A14635="",0,IF(CONFIG_METADATA!$B$4&lt;&gt;"OR+EX",--(DATOS!$G14635=CONFIG_METADATA!$B$4),IF(DATOS!$G14635="EX",1,IF(DATOS!$G14635="OR",--(COUNTIFS(nNIA,DATOS!$A14635,nCURSO,DATOS!$D14635,nESPEC,DATOS!$E14635,nASIG,DATOS!$I14635,nEVAL,"EX")=0),0))))</f>
      </c>
      <c r="H14635">
        <f>IF(DATOS!$G14635&lt;&gt;"EX",0,--(COUNTIFS(nNIA,DATOS!$A14635,nCURSO,DATOS!$D14635,nESPEC,DATOS!$E14635,nASIG,DATOS!$I14635,nEVAL,"OR")=0))</f>
      </c>
      <c r="I14635">
        <f>IF(DATOS!$I14635="","",IFERROR(VLOOKUP(DATOS!$I14635,CONFIG_ASIGNATURAS!$B$2:$J$91,9,FALSE()),""))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IF(DATOS!$A14636="",0,IF(CONFIG_METADATA!$B$4&lt;&gt;"OR+EX",--(DATOS!$G14636=CONFIG_METADATA!$B$4),IF(DATOS!$G14636="EX",1,IF(DATOS!$G14636="OR",--(COUNTIFS(nNIA,DATOS!$A14636,nCURSO,DATOS!$D14636,nESPEC,DATOS!$E14636,nASIG,DATOS!$I14636,nEVAL,"EX")=0),0))))</f>
      </c>
      <c r="H14636">
        <f>IF(DATOS!$G14636&lt;&gt;"EX",0,--(COUNTIFS(nNIA,DATOS!$A14636,nCURSO,DATOS!$D14636,nESPEC,DATOS!$E14636,nASIG,DATOS!$I14636,nEVAL,"OR")=0))</f>
      </c>
      <c r="I14636">
        <f>IF(DATOS!$I14636="","",IFERROR(VLOOKUP(DATOS!$I14636,CONFIG_ASIGNATURAS!$B$2:$J$91,9,FALSE()),""))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IF(DATOS!$A14637="",0,IF(CONFIG_METADATA!$B$4&lt;&gt;"OR+EX",--(DATOS!$G14637=CONFIG_METADATA!$B$4),IF(DATOS!$G14637="EX",1,IF(DATOS!$G14637="OR",--(COUNTIFS(nNIA,DATOS!$A14637,nCURSO,DATOS!$D14637,nESPEC,DATOS!$E14637,nASIG,DATOS!$I14637,nEVAL,"EX")=0),0))))</f>
      </c>
      <c r="H14637">
        <f>IF(DATOS!$G14637&lt;&gt;"EX",0,--(COUNTIFS(nNIA,DATOS!$A14637,nCURSO,DATOS!$D14637,nESPEC,DATOS!$E14637,nASIG,DATOS!$I14637,nEVAL,"OR")=0))</f>
      </c>
      <c r="I14637">
        <f>IF(DATOS!$I14637="","",IFERROR(VLOOKUP(DATOS!$I14637,CONFIG_ASIGNATURAS!$B$2:$J$91,9,FALSE()),""))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IF(DATOS!$A14638="",0,IF(CONFIG_METADATA!$B$4&lt;&gt;"OR+EX",--(DATOS!$G14638=CONFIG_METADATA!$B$4),IF(DATOS!$G14638="EX",1,IF(DATOS!$G14638="OR",--(COUNTIFS(nNIA,DATOS!$A14638,nCURSO,DATOS!$D14638,nESPEC,DATOS!$E14638,nASIG,DATOS!$I14638,nEVAL,"EX")=0),0))))</f>
      </c>
      <c r="H14638">
        <f>IF(DATOS!$G14638&lt;&gt;"EX",0,--(COUNTIFS(nNIA,DATOS!$A14638,nCURSO,DATOS!$D14638,nESPEC,DATOS!$E14638,nASIG,DATOS!$I14638,nEVAL,"OR")=0))</f>
      </c>
      <c r="I14638">
        <f>IF(DATOS!$I14638="","",IFERROR(VLOOKUP(DATOS!$I14638,CONFIG_ASIGNATURAS!$B$2:$J$91,9,FALSE()),""))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IF(DATOS!$A14639="",0,IF(CONFIG_METADATA!$B$4&lt;&gt;"OR+EX",--(DATOS!$G14639=CONFIG_METADATA!$B$4),IF(DATOS!$G14639="EX",1,IF(DATOS!$G14639="OR",--(COUNTIFS(nNIA,DATOS!$A14639,nCURSO,DATOS!$D14639,nESPEC,DATOS!$E14639,nASIG,DATOS!$I14639,nEVAL,"EX")=0),0))))</f>
      </c>
      <c r="H14639">
        <f>IF(DATOS!$G14639&lt;&gt;"EX",0,--(COUNTIFS(nNIA,DATOS!$A14639,nCURSO,DATOS!$D14639,nESPEC,DATOS!$E14639,nASIG,DATOS!$I14639,nEVAL,"OR")=0))</f>
      </c>
      <c r="I14639">
        <f>IF(DATOS!$I14639="","",IFERROR(VLOOKUP(DATOS!$I14639,CONFIG_ASIGNATURAS!$B$2:$J$91,9,FALSE()),""))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IF(DATOS!$A14640="",0,IF(CONFIG_METADATA!$B$4&lt;&gt;"OR+EX",--(DATOS!$G14640=CONFIG_METADATA!$B$4),IF(DATOS!$G14640="EX",1,IF(DATOS!$G14640="OR",--(COUNTIFS(nNIA,DATOS!$A14640,nCURSO,DATOS!$D14640,nESPEC,DATOS!$E14640,nASIG,DATOS!$I14640,nEVAL,"EX")=0),0))))</f>
      </c>
      <c r="H14640">
        <f>IF(DATOS!$G14640&lt;&gt;"EX",0,--(COUNTIFS(nNIA,DATOS!$A14640,nCURSO,DATOS!$D14640,nESPEC,DATOS!$E14640,nASIG,DATOS!$I14640,nEVAL,"OR")=0))</f>
      </c>
      <c r="I14640">
        <f>IF(DATOS!$I14640="","",IFERROR(VLOOKUP(DATOS!$I14640,CONFIG_ASIGNATURAS!$B$2:$J$91,9,FALSE()),""))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IF(DATOS!$A14641="",0,IF(CONFIG_METADATA!$B$4&lt;&gt;"OR+EX",--(DATOS!$G14641=CONFIG_METADATA!$B$4),IF(DATOS!$G14641="EX",1,IF(DATOS!$G14641="OR",--(COUNTIFS(nNIA,DATOS!$A14641,nCURSO,DATOS!$D14641,nESPEC,DATOS!$E14641,nASIG,DATOS!$I14641,nEVAL,"EX")=0),0))))</f>
      </c>
      <c r="H14641">
        <f>IF(DATOS!$G14641&lt;&gt;"EX",0,--(COUNTIFS(nNIA,DATOS!$A14641,nCURSO,DATOS!$D14641,nESPEC,DATOS!$E14641,nASIG,DATOS!$I14641,nEVAL,"OR")=0))</f>
      </c>
      <c r="I14641">
        <f>IF(DATOS!$I14641="","",IFERROR(VLOOKUP(DATOS!$I14641,CONFIG_ASIGNATURAS!$B$2:$J$91,9,FALSE()),""))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IF(DATOS!$A14642="",0,IF(CONFIG_METADATA!$B$4&lt;&gt;"OR+EX",--(DATOS!$G14642=CONFIG_METADATA!$B$4),IF(DATOS!$G14642="EX",1,IF(DATOS!$G14642="OR",--(COUNTIFS(nNIA,DATOS!$A14642,nCURSO,DATOS!$D14642,nESPEC,DATOS!$E14642,nASIG,DATOS!$I14642,nEVAL,"EX")=0),0))))</f>
      </c>
      <c r="H14642">
        <f>IF(DATOS!$G14642&lt;&gt;"EX",0,--(COUNTIFS(nNIA,DATOS!$A14642,nCURSO,DATOS!$D14642,nESPEC,DATOS!$E14642,nASIG,DATOS!$I14642,nEVAL,"OR")=0))</f>
      </c>
      <c r="I14642">
        <f>IF(DATOS!$I14642="","",IFERROR(VLOOKUP(DATOS!$I14642,CONFIG_ASIGNATURAS!$B$2:$J$91,9,FALSE()),""))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IF(DATOS!$A14643="",0,IF(CONFIG_METADATA!$B$4&lt;&gt;"OR+EX",--(DATOS!$G14643=CONFIG_METADATA!$B$4),IF(DATOS!$G14643="EX",1,IF(DATOS!$G14643="OR",--(COUNTIFS(nNIA,DATOS!$A14643,nCURSO,DATOS!$D14643,nESPEC,DATOS!$E14643,nASIG,DATOS!$I14643,nEVAL,"EX")=0),0))))</f>
      </c>
      <c r="H14643">
        <f>IF(DATOS!$G14643&lt;&gt;"EX",0,--(COUNTIFS(nNIA,DATOS!$A14643,nCURSO,DATOS!$D14643,nESPEC,DATOS!$E14643,nASIG,DATOS!$I14643,nEVAL,"OR")=0))</f>
      </c>
      <c r="I14643">
        <f>IF(DATOS!$I14643="","",IFERROR(VLOOKUP(DATOS!$I14643,CONFIG_ASIGNATURAS!$B$2:$J$91,9,FALSE()),""))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IF(DATOS!$A14644="",0,IF(CONFIG_METADATA!$B$4&lt;&gt;"OR+EX",--(DATOS!$G14644=CONFIG_METADATA!$B$4),IF(DATOS!$G14644="EX",1,IF(DATOS!$G14644="OR",--(COUNTIFS(nNIA,DATOS!$A14644,nCURSO,DATOS!$D14644,nESPEC,DATOS!$E14644,nASIG,DATOS!$I14644,nEVAL,"EX")=0),0))))</f>
      </c>
      <c r="H14644">
        <f>IF(DATOS!$G14644&lt;&gt;"EX",0,--(COUNTIFS(nNIA,DATOS!$A14644,nCURSO,DATOS!$D14644,nESPEC,DATOS!$E14644,nASIG,DATOS!$I14644,nEVAL,"OR")=0))</f>
      </c>
      <c r="I14644">
        <f>IF(DATOS!$I14644="","",IFERROR(VLOOKUP(DATOS!$I14644,CONFIG_ASIGNATURAS!$B$2:$J$91,9,FALSE()),""))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IF(DATOS!$A14645="",0,IF(CONFIG_METADATA!$B$4&lt;&gt;"OR+EX",--(DATOS!$G14645=CONFIG_METADATA!$B$4),IF(DATOS!$G14645="EX",1,IF(DATOS!$G14645="OR",--(COUNTIFS(nNIA,DATOS!$A14645,nCURSO,DATOS!$D14645,nESPEC,DATOS!$E14645,nASIG,DATOS!$I14645,nEVAL,"EX")=0),0))))</f>
      </c>
      <c r="H14645">
        <f>IF(DATOS!$G14645&lt;&gt;"EX",0,--(COUNTIFS(nNIA,DATOS!$A14645,nCURSO,DATOS!$D14645,nESPEC,DATOS!$E14645,nASIG,DATOS!$I14645,nEVAL,"OR")=0))</f>
      </c>
      <c r="I14645">
        <f>IF(DATOS!$I14645="","",IFERROR(VLOOKUP(DATOS!$I14645,CONFIG_ASIGNATURAS!$B$2:$J$91,9,FALSE()),""))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IF(DATOS!$A14646="",0,IF(CONFIG_METADATA!$B$4&lt;&gt;"OR+EX",--(DATOS!$G14646=CONFIG_METADATA!$B$4),IF(DATOS!$G14646="EX",1,IF(DATOS!$G14646="OR",--(COUNTIFS(nNIA,DATOS!$A14646,nCURSO,DATOS!$D14646,nESPEC,DATOS!$E14646,nASIG,DATOS!$I14646,nEVAL,"EX")=0),0))))</f>
      </c>
      <c r="H14646">
        <f>IF(DATOS!$G14646&lt;&gt;"EX",0,--(COUNTIFS(nNIA,DATOS!$A14646,nCURSO,DATOS!$D14646,nESPEC,DATOS!$E14646,nASIG,DATOS!$I14646,nEVAL,"OR")=0))</f>
      </c>
      <c r="I14646">
        <f>IF(DATOS!$I14646="","",IFERROR(VLOOKUP(DATOS!$I14646,CONFIG_ASIGNATURAS!$B$2:$J$91,9,FALSE()),""))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IF(DATOS!$A14647="",0,IF(CONFIG_METADATA!$B$4&lt;&gt;"OR+EX",--(DATOS!$G14647=CONFIG_METADATA!$B$4),IF(DATOS!$G14647="EX",1,IF(DATOS!$G14647="OR",--(COUNTIFS(nNIA,DATOS!$A14647,nCURSO,DATOS!$D14647,nESPEC,DATOS!$E14647,nASIG,DATOS!$I14647,nEVAL,"EX")=0),0))))</f>
      </c>
      <c r="H14647">
        <f>IF(DATOS!$G14647&lt;&gt;"EX",0,--(COUNTIFS(nNIA,DATOS!$A14647,nCURSO,DATOS!$D14647,nESPEC,DATOS!$E14647,nASIG,DATOS!$I14647,nEVAL,"OR")=0))</f>
      </c>
      <c r="I14647">
        <f>IF(DATOS!$I14647="","",IFERROR(VLOOKUP(DATOS!$I14647,CONFIG_ASIGNATURAS!$B$2:$J$91,9,FALSE()),""))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IF(DATOS!$A14648="",0,IF(CONFIG_METADATA!$B$4&lt;&gt;"OR+EX",--(DATOS!$G14648=CONFIG_METADATA!$B$4),IF(DATOS!$G14648="EX",1,IF(DATOS!$G14648="OR",--(COUNTIFS(nNIA,DATOS!$A14648,nCURSO,DATOS!$D14648,nESPEC,DATOS!$E14648,nASIG,DATOS!$I14648,nEVAL,"EX")=0),0))))</f>
      </c>
      <c r="H14648">
        <f>IF(DATOS!$G14648&lt;&gt;"EX",0,--(COUNTIFS(nNIA,DATOS!$A14648,nCURSO,DATOS!$D14648,nESPEC,DATOS!$E14648,nASIG,DATOS!$I14648,nEVAL,"OR")=0))</f>
      </c>
      <c r="I14648">
        <f>IF(DATOS!$I14648="","",IFERROR(VLOOKUP(DATOS!$I14648,CONFIG_ASIGNATURAS!$B$2:$J$91,9,FALSE()),""))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IF(DATOS!$A14649="",0,IF(CONFIG_METADATA!$B$4&lt;&gt;"OR+EX",--(DATOS!$G14649=CONFIG_METADATA!$B$4),IF(DATOS!$G14649="EX",1,IF(DATOS!$G14649="OR",--(COUNTIFS(nNIA,DATOS!$A14649,nCURSO,DATOS!$D14649,nESPEC,DATOS!$E14649,nASIG,DATOS!$I14649,nEVAL,"EX")=0),0))))</f>
      </c>
      <c r="H14649">
        <f>IF(DATOS!$G14649&lt;&gt;"EX",0,--(COUNTIFS(nNIA,DATOS!$A14649,nCURSO,DATOS!$D14649,nESPEC,DATOS!$E14649,nASIG,DATOS!$I14649,nEVAL,"OR")=0))</f>
      </c>
      <c r="I14649">
        <f>IF(DATOS!$I14649="","",IFERROR(VLOOKUP(DATOS!$I14649,CONFIG_ASIGNATURAS!$B$2:$J$91,9,FALSE()),""))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IF(DATOS!$A14650="",0,IF(CONFIG_METADATA!$B$4&lt;&gt;"OR+EX",--(DATOS!$G14650=CONFIG_METADATA!$B$4),IF(DATOS!$G14650="EX",1,IF(DATOS!$G14650="OR",--(COUNTIFS(nNIA,DATOS!$A14650,nCURSO,DATOS!$D14650,nESPEC,DATOS!$E14650,nASIG,DATOS!$I14650,nEVAL,"EX")=0),0))))</f>
      </c>
      <c r="H14650">
        <f>IF(DATOS!$G14650&lt;&gt;"EX",0,--(COUNTIFS(nNIA,DATOS!$A14650,nCURSO,DATOS!$D14650,nESPEC,DATOS!$E14650,nASIG,DATOS!$I14650,nEVAL,"OR")=0))</f>
      </c>
      <c r="I14650">
        <f>IF(DATOS!$I14650="","",IFERROR(VLOOKUP(DATOS!$I14650,CONFIG_ASIGNATURAS!$B$2:$J$91,9,FALSE()),""))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IF(DATOS!$A14651="",0,IF(CONFIG_METADATA!$B$4&lt;&gt;"OR+EX",--(DATOS!$G14651=CONFIG_METADATA!$B$4),IF(DATOS!$G14651="EX",1,IF(DATOS!$G14651="OR",--(COUNTIFS(nNIA,DATOS!$A14651,nCURSO,DATOS!$D14651,nESPEC,DATOS!$E14651,nASIG,DATOS!$I14651,nEVAL,"EX")=0),0))))</f>
      </c>
      <c r="H14651">
        <f>IF(DATOS!$G14651&lt;&gt;"EX",0,--(COUNTIFS(nNIA,DATOS!$A14651,nCURSO,DATOS!$D14651,nESPEC,DATOS!$E14651,nASIG,DATOS!$I14651,nEVAL,"OR")=0))</f>
      </c>
      <c r="I14651">
        <f>IF(DATOS!$I14651="","",IFERROR(VLOOKUP(DATOS!$I14651,CONFIG_ASIGNATURAS!$B$2:$J$91,9,FALSE()),""))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IF(DATOS!$A14652="",0,IF(CONFIG_METADATA!$B$4&lt;&gt;"OR+EX",--(DATOS!$G14652=CONFIG_METADATA!$B$4),IF(DATOS!$G14652="EX",1,IF(DATOS!$G14652="OR",--(COUNTIFS(nNIA,DATOS!$A14652,nCURSO,DATOS!$D14652,nESPEC,DATOS!$E14652,nASIG,DATOS!$I14652,nEVAL,"EX")=0),0))))</f>
      </c>
      <c r="H14652">
        <f>IF(DATOS!$G14652&lt;&gt;"EX",0,--(COUNTIFS(nNIA,DATOS!$A14652,nCURSO,DATOS!$D14652,nESPEC,DATOS!$E14652,nASIG,DATOS!$I14652,nEVAL,"OR")=0))</f>
      </c>
      <c r="I14652">
        <f>IF(DATOS!$I14652="","",IFERROR(VLOOKUP(DATOS!$I14652,CONFIG_ASIGNATURAS!$B$2:$J$91,9,FALSE()),""))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IF(DATOS!$A14653="",0,IF(CONFIG_METADATA!$B$4&lt;&gt;"OR+EX",--(DATOS!$G14653=CONFIG_METADATA!$B$4),IF(DATOS!$G14653="EX",1,IF(DATOS!$G14653="OR",--(COUNTIFS(nNIA,DATOS!$A14653,nCURSO,DATOS!$D14653,nESPEC,DATOS!$E14653,nASIG,DATOS!$I14653,nEVAL,"EX")=0),0))))</f>
      </c>
      <c r="H14653">
        <f>IF(DATOS!$G14653&lt;&gt;"EX",0,--(COUNTIFS(nNIA,DATOS!$A14653,nCURSO,DATOS!$D14653,nESPEC,DATOS!$E14653,nASIG,DATOS!$I14653,nEVAL,"OR")=0))</f>
      </c>
      <c r="I14653">
        <f>IF(DATOS!$I14653="","",IFERROR(VLOOKUP(DATOS!$I14653,CONFIG_ASIGNATURAS!$B$2:$J$91,9,FALSE()),""))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IF(DATOS!$A14654="",0,IF(CONFIG_METADATA!$B$4&lt;&gt;"OR+EX",--(DATOS!$G14654=CONFIG_METADATA!$B$4),IF(DATOS!$G14654="EX",1,IF(DATOS!$G14654="OR",--(COUNTIFS(nNIA,DATOS!$A14654,nCURSO,DATOS!$D14654,nESPEC,DATOS!$E14654,nASIG,DATOS!$I14654,nEVAL,"EX")=0),0))))</f>
      </c>
      <c r="H14654">
        <f>IF(DATOS!$G14654&lt;&gt;"EX",0,--(COUNTIFS(nNIA,DATOS!$A14654,nCURSO,DATOS!$D14654,nESPEC,DATOS!$E14654,nASIG,DATOS!$I14654,nEVAL,"OR")=0))</f>
      </c>
      <c r="I14654">
        <f>IF(DATOS!$I14654="","",IFERROR(VLOOKUP(DATOS!$I14654,CONFIG_ASIGNATURAS!$B$2:$J$91,9,FALSE()),""))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IF(DATOS!$A14655="",0,IF(CONFIG_METADATA!$B$4&lt;&gt;"OR+EX",--(DATOS!$G14655=CONFIG_METADATA!$B$4),IF(DATOS!$G14655="EX",1,IF(DATOS!$G14655="OR",--(COUNTIFS(nNIA,DATOS!$A14655,nCURSO,DATOS!$D14655,nESPEC,DATOS!$E14655,nASIG,DATOS!$I14655,nEVAL,"EX")=0),0))))</f>
      </c>
      <c r="H14655">
        <f>IF(DATOS!$G14655&lt;&gt;"EX",0,--(COUNTIFS(nNIA,DATOS!$A14655,nCURSO,DATOS!$D14655,nESPEC,DATOS!$E14655,nASIG,DATOS!$I14655,nEVAL,"OR")=0))</f>
      </c>
      <c r="I14655">
        <f>IF(DATOS!$I14655="","",IFERROR(VLOOKUP(DATOS!$I14655,CONFIG_ASIGNATURAS!$B$2:$J$91,9,FALSE()),""))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IF(DATOS!$A14656="",0,IF(CONFIG_METADATA!$B$4&lt;&gt;"OR+EX",--(DATOS!$G14656=CONFIG_METADATA!$B$4),IF(DATOS!$G14656="EX",1,IF(DATOS!$G14656="OR",--(COUNTIFS(nNIA,DATOS!$A14656,nCURSO,DATOS!$D14656,nESPEC,DATOS!$E14656,nASIG,DATOS!$I14656,nEVAL,"EX")=0),0))))</f>
      </c>
      <c r="H14656">
        <f>IF(DATOS!$G14656&lt;&gt;"EX",0,--(COUNTIFS(nNIA,DATOS!$A14656,nCURSO,DATOS!$D14656,nESPEC,DATOS!$E14656,nASIG,DATOS!$I14656,nEVAL,"OR")=0))</f>
      </c>
      <c r="I14656">
        <f>IF(DATOS!$I14656="","",IFERROR(VLOOKUP(DATOS!$I14656,CONFIG_ASIGNATURAS!$B$2:$J$91,9,FALSE()),""))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IF(DATOS!$A14657="",0,IF(CONFIG_METADATA!$B$4&lt;&gt;"OR+EX",--(DATOS!$G14657=CONFIG_METADATA!$B$4),IF(DATOS!$G14657="EX",1,IF(DATOS!$G14657="OR",--(COUNTIFS(nNIA,DATOS!$A14657,nCURSO,DATOS!$D14657,nESPEC,DATOS!$E14657,nASIG,DATOS!$I14657,nEVAL,"EX")=0),0))))</f>
      </c>
      <c r="H14657">
        <f>IF(DATOS!$G14657&lt;&gt;"EX",0,--(COUNTIFS(nNIA,DATOS!$A14657,nCURSO,DATOS!$D14657,nESPEC,DATOS!$E14657,nASIG,DATOS!$I14657,nEVAL,"OR")=0))</f>
      </c>
      <c r="I14657">
        <f>IF(DATOS!$I14657="","",IFERROR(VLOOKUP(DATOS!$I14657,CONFIG_ASIGNATURAS!$B$2:$J$91,9,FALSE()),""))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IF(DATOS!$A14658="",0,IF(CONFIG_METADATA!$B$4&lt;&gt;"OR+EX",--(DATOS!$G14658=CONFIG_METADATA!$B$4),IF(DATOS!$G14658="EX",1,IF(DATOS!$G14658="OR",--(COUNTIFS(nNIA,DATOS!$A14658,nCURSO,DATOS!$D14658,nESPEC,DATOS!$E14658,nASIG,DATOS!$I14658,nEVAL,"EX")=0),0))))</f>
      </c>
      <c r="H14658">
        <f>IF(DATOS!$G14658&lt;&gt;"EX",0,--(COUNTIFS(nNIA,DATOS!$A14658,nCURSO,DATOS!$D14658,nESPEC,DATOS!$E14658,nASIG,DATOS!$I14658,nEVAL,"OR")=0))</f>
      </c>
      <c r="I14658">
        <f>IF(DATOS!$I14658="","",IFERROR(VLOOKUP(DATOS!$I14658,CONFIG_ASIGNATURAS!$B$2:$J$91,9,FALSE()),""))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IF(DATOS!$A14659="",0,IF(CONFIG_METADATA!$B$4&lt;&gt;"OR+EX",--(DATOS!$G14659=CONFIG_METADATA!$B$4),IF(DATOS!$G14659="EX",1,IF(DATOS!$G14659="OR",--(COUNTIFS(nNIA,DATOS!$A14659,nCURSO,DATOS!$D14659,nESPEC,DATOS!$E14659,nASIG,DATOS!$I14659,nEVAL,"EX")=0),0))))</f>
      </c>
      <c r="H14659">
        <f>IF(DATOS!$G14659&lt;&gt;"EX",0,--(COUNTIFS(nNIA,DATOS!$A14659,nCURSO,DATOS!$D14659,nESPEC,DATOS!$E14659,nASIG,DATOS!$I14659,nEVAL,"OR")=0))</f>
      </c>
      <c r="I14659">
        <f>IF(DATOS!$I14659="","",IFERROR(VLOOKUP(DATOS!$I14659,CONFIG_ASIGNATURAS!$B$2:$J$91,9,FALSE()),""))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IF(DATOS!$A14660="",0,IF(CONFIG_METADATA!$B$4&lt;&gt;"OR+EX",--(DATOS!$G14660=CONFIG_METADATA!$B$4),IF(DATOS!$G14660="EX",1,IF(DATOS!$G14660="OR",--(COUNTIFS(nNIA,DATOS!$A14660,nCURSO,DATOS!$D14660,nESPEC,DATOS!$E14660,nASIG,DATOS!$I14660,nEVAL,"EX")=0),0))))</f>
      </c>
      <c r="H14660">
        <f>IF(DATOS!$G14660&lt;&gt;"EX",0,--(COUNTIFS(nNIA,DATOS!$A14660,nCURSO,DATOS!$D14660,nESPEC,DATOS!$E14660,nASIG,DATOS!$I14660,nEVAL,"OR")=0))</f>
      </c>
      <c r="I14660">
        <f>IF(DATOS!$I14660="","",IFERROR(VLOOKUP(DATOS!$I14660,CONFIG_ASIGNATURAS!$B$2:$J$91,9,FALSE()),""))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IF(DATOS!$A14661="",0,IF(CONFIG_METADATA!$B$4&lt;&gt;"OR+EX",--(DATOS!$G14661=CONFIG_METADATA!$B$4),IF(DATOS!$G14661="EX",1,IF(DATOS!$G14661="OR",--(COUNTIFS(nNIA,DATOS!$A14661,nCURSO,DATOS!$D14661,nESPEC,DATOS!$E14661,nASIG,DATOS!$I14661,nEVAL,"EX")=0),0))))</f>
      </c>
      <c r="H14661">
        <f>IF(DATOS!$G14661&lt;&gt;"EX",0,--(COUNTIFS(nNIA,DATOS!$A14661,nCURSO,DATOS!$D14661,nESPEC,DATOS!$E14661,nASIG,DATOS!$I14661,nEVAL,"OR")=0))</f>
      </c>
      <c r="I14661">
        <f>IF(DATOS!$I14661="","",IFERROR(VLOOKUP(DATOS!$I14661,CONFIG_ASIGNATURAS!$B$2:$J$91,9,FALSE()),""))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IF(DATOS!$A14662="",0,IF(CONFIG_METADATA!$B$4&lt;&gt;"OR+EX",--(DATOS!$G14662=CONFIG_METADATA!$B$4),IF(DATOS!$G14662="EX",1,IF(DATOS!$G14662="OR",--(COUNTIFS(nNIA,DATOS!$A14662,nCURSO,DATOS!$D14662,nESPEC,DATOS!$E14662,nASIG,DATOS!$I14662,nEVAL,"EX")=0),0))))</f>
      </c>
      <c r="H14662">
        <f>IF(DATOS!$G14662&lt;&gt;"EX",0,--(COUNTIFS(nNIA,DATOS!$A14662,nCURSO,DATOS!$D14662,nESPEC,DATOS!$E14662,nASIG,DATOS!$I14662,nEVAL,"OR")=0))</f>
      </c>
      <c r="I14662">
        <f>IF(DATOS!$I14662="","",IFERROR(VLOOKUP(DATOS!$I14662,CONFIG_ASIGNATURAS!$B$2:$J$91,9,FALSE()),""))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IF(DATOS!$A14663="",0,IF(CONFIG_METADATA!$B$4&lt;&gt;"OR+EX",--(DATOS!$G14663=CONFIG_METADATA!$B$4),IF(DATOS!$G14663="EX",1,IF(DATOS!$G14663="OR",--(COUNTIFS(nNIA,DATOS!$A14663,nCURSO,DATOS!$D14663,nESPEC,DATOS!$E14663,nASIG,DATOS!$I14663,nEVAL,"EX")=0),0))))</f>
      </c>
      <c r="H14663">
        <f>IF(DATOS!$G14663&lt;&gt;"EX",0,--(COUNTIFS(nNIA,DATOS!$A14663,nCURSO,DATOS!$D14663,nESPEC,DATOS!$E14663,nASIG,DATOS!$I14663,nEVAL,"OR")=0))</f>
      </c>
      <c r="I14663">
        <f>IF(DATOS!$I14663="","",IFERROR(VLOOKUP(DATOS!$I14663,CONFIG_ASIGNATURAS!$B$2:$J$91,9,FALSE()),""))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IF(DATOS!$A14664="",0,IF(CONFIG_METADATA!$B$4&lt;&gt;"OR+EX",--(DATOS!$G14664=CONFIG_METADATA!$B$4),IF(DATOS!$G14664="EX",1,IF(DATOS!$G14664="OR",--(COUNTIFS(nNIA,DATOS!$A14664,nCURSO,DATOS!$D14664,nESPEC,DATOS!$E14664,nASIG,DATOS!$I14664,nEVAL,"EX")=0),0))))</f>
      </c>
      <c r="H14664">
        <f>IF(DATOS!$G14664&lt;&gt;"EX",0,--(COUNTIFS(nNIA,DATOS!$A14664,nCURSO,DATOS!$D14664,nESPEC,DATOS!$E14664,nASIG,DATOS!$I14664,nEVAL,"OR")=0))</f>
      </c>
      <c r="I14664">
        <f>IF(DATOS!$I14664="","",IFERROR(VLOOKUP(DATOS!$I14664,CONFIG_ASIGNATURAS!$B$2:$J$91,9,FALSE()),""))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IF(DATOS!$A14665="",0,IF(CONFIG_METADATA!$B$4&lt;&gt;"OR+EX",--(DATOS!$G14665=CONFIG_METADATA!$B$4),IF(DATOS!$G14665="EX",1,IF(DATOS!$G14665="OR",--(COUNTIFS(nNIA,DATOS!$A14665,nCURSO,DATOS!$D14665,nESPEC,DATOS!$E14665,nASIG,DATOS!$I14665,nEVAL,"EX")=0),0))))</f>
      </c>
      <c r="H14665">
        <f>IF(DATOS!$G14665&lt;&gt;"EX",0,--(COUNTIFS(nNIA,DATOS!$A14665,nCURSO,DATOS!$D14665,nESPEC,DATOS!$E14665,nASIG,DATOS!$I14665,nEVAL,"OR")=0))</f>
      </c>
      <c r="I14665">
        <f>IF(DATOS!$I14665="","",IFERROR(VLOOKUP(DATOS!$I14665,CONFIG_ASIGNATURAS!$B$2:$J$91,9,FALSE()),""))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IF(DATOS!$A14666="",0,IF(CONFIG_METADATA!$B$4&lt;&gt;"OR+EX",--(DATOS!$G14666=CONFIG_METADATA!$B$4),IF(DATOS!$G14666="EX",1,IF(DATOS!$G14666="OR",--(COUNTIFS(nNIA,DATOS!$A14666,nCURSO,DATOS!$D14666,nESPEC,DATOS!$E14666,nASIG,DATOS!$I14666,nEVAL,"EX")=0),0))))</f>
      </c>
      <c r="H14666">
        <f>IF(DATOS!$G14666&lt;&gt;"EX",0,--(COUNTIFS(nNIA,DATOS!$A14666,nCURSO,DATOS!$D14666,nESPEC,DATOS!$E14666,nASIG,DATOS!$I14666,nEVAL,"OR")=0))</f>
      </c>
      <c r="I14666">
        <f>IF(DATOS!$I14666="","",IFERROR(VLOOKUP(DATOS!$I14666,CONFIG_ASIGNATURAS!$B$2:$J$91,9,FALSE()),""))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IF(DATOS!$A14667="",0,IF(CONFIG_METADATA!$B$4&lt;&gt;"OR+EX",--(DATOS!$G14667=CONFIG_METADATA!$B$4),IF(DATOS!$G14667="EX",1,IF(DATOS!$G14667="OR",--(COUNTIFS(nNIA,DATOS!$A14667,nCURSO,DATOS!$D14667,nESPEC,DATOS!$E14667,nASIG,DATOS!$I14667,nEVAL,"EX")=0),0))))</f>
      </c>
      <c r="H14667">
        <f>IF(DATOS!$G14667&lt;&gt;"EX",0,--(COUNTIFS(nNIA,DATOS!$A14667,nCURSO,DATOS!$D14667,nESPEC,DATOS!$E14667,nASIG,DATOS!$I14667,nEVAL,"OR")=0))</f>
      </c>
      <c r="I14667">
        <f>IF(DATOS!$I14667="","",IFERROR(VLOOKUP(DATOS!$I14667,CONFIG_ASIGNATURAS!$B$2:$J$91,9,FALSE()),""))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IF(DATOS!$A14668="",0,IF(CONFIG_METADATA!$B$4&lt;&gt;"OR+EX",--(DATOS!$G14668=CONFIG_METADATA!$B$4),IF(DATOS!$G14668="EX",1,IF(DATOS!$G14668="OR",--(COUNTIFS(nNIA,DATOS!$A14668,nCURSO,DATOS!$D14668,nESPEC,DATOS!$E14668,nASIG,DATOS!$I14668,nEVAL,"EX")=0),0))))</f>
      </c>
      <c r="H14668">
        <f>IF(DATOS!$G14668&lt;&gt;"EX",0,--(COUNTIFS(nNIA,DATOS!$A14668,nCURSO,DATOS!$D14668,nESPEC,DATOS!$E14668,nASIG,DATOS!$I14668,nEVAL,"OR")=0))</f>
      </c>
      <c r="I14668">
        <f>IF(DATOS!$I14668="","",IFERROR(VLOOKUP(DATOS!$I14668,CONFIG_ASIGNATURAS!$B$2:$J$91,9,FALSE()),""))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IF(DATOS!$A14669="",0,IF(CONFIG_METADATA!$B$4&lt;&gt;"OR+EX",--(DATOS!$G14669=CONFIG_METADATA!$B$4),IF(DATOS!$G14669="EX",1,IF(DATOS!$G14669="OR",--(COUNTIFS(nNIA,DATOS!$A14669,nCURSO,DATOS!$D14669,nESPEC,DATOS!$E14669,nASIG,DATOS!$I14669,nEVAL,"EX")=0),0))))</f>
      </c>
      <c r="H14669">
        <f>IF(DATOS!$G14669&lt;&gt;"EX",0,--(COUNTIFS(nNIA,DATOS!$A14669,nCURSO,DATOS!$D14669,nESPEC,DATOS!$E14669,nASIG,DATOS!$I14669,nEVAL,"OR")=0))</f>
      </c>
      <c r="I14669">
        <f>IF(DATOS!$I14669="","",IFERROR(VLOOKUP(DATOS!$I14669,CONFIG_ASIGNATURAS!$B$2:$J$91,9,FALSE()),""))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IF(DATOS!$A14670="",0,IF(CONFIG_METADATA!$B$4&lt;&gt;"OR+EX",--(DATOS!$G14670=CONFIG_METADATA!$B$4),IF(DATOS!$G14670="EX",1,IF(DATOS!$G14670="OR",--(COUNTIFS(nNIA,DATOS!$A14670,nCURSO,DATOS!$D14670,nESPEC,DATOS!$E14670,nASIG,DATOS!$I14670,nEVAL,"EX")=0),0))))</f>
      </c>
      <c r="H14670">
        <f>IF(DATOS!$G14670&lt;&gt;"EX",0,--(COUNTIFS(nNIA,DATOS!$A14670,nCURSO,DATOS!$D14670,nESPEC,DATOS!$E14670,nASIG,DATOS!$I14670,nEVAL,"OR")=0))</f>
      </c>
      <c r="I14670">
        <f>IF(DATOS!$I14670="","",IFERROR(VLOOKUP(DATOS!$I14670,CONFIG_ASIGNATURAS!$B$2:$J$91,9,FALSE()),""))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IF(DATOS!$A14671="",0,IF(CONFIG_METADATA!$B$4&lt;&gt;"OR+EX",--(DATOS!$G14671=CONFIG_METADATA!$B$4),IF(DATOS!$G14671="EX",1,IF(DATOS!$G14671="OR",--(COUNTIFS(nNIA,DATOS!$A14671,nCURSO,DATOS!$D14671,nESPEC,DATOS!$E14671,nASIG,DATOS!$I14671,nEVAL,"EX")=0),0))))</f>
      </c>
      <c r="H14671">
        <f>IF(DATOS!$G14671&lt;&gt;"EX",0,--(COUNTIFS(nNIA,DATOS!$A14671,nCURSO,DATOS!$D14671,nESPEC,DATOS!$E14671,nASIG,DATOS!$I14671,nEVAL,"OR")=0))</f>
      </c>
      <c r="I14671">
        <f>IF(DATOS!$I14671="","",IFERROR(VLOOKUP(DATOS!$I14671,CONFIG_ASIGNATURAS!$B$2:$J$91,9,FALSE()),""))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IF(DATOS!$A14672="",0,IF(CONFIG_METADATA!$B$4&lt;&gt;"OR+EX",--(DATOS!$G14672=CONFIG_METADATA!$B$4),IF(DATOS!$G14672="EX",1,IF(DATOS!$G14672="OR",--(COUNTIFS(nNIA,DATOS!$A14672,nCURSO,DATOS!$D14672,nESPEC,DATOS!$E14672,nASIG,DATOS!$I14672,nEVAL,"EX")=0),0))))</f>
      </c>
      <c r="H14672">
        <f>IF(DATOS!$G14672&lt;&gt;"EX",0,--(COUNTIFS(nNIA,DATOS!$A14672,nCURSO,DATOS!$D14672,nESPEC,DATOS!$E14672,nASIG,DATOS!$I14672,nEVAL,"OR")=0))</f>
      </c>
      <c r="I14672">
        <f>IF(DATOS!$I14672="","",IFERROR(VLOOKUP(DATOS!$I14672,CONFIG_ASIGNATURAS!$B$2:$J$91,9,FALSE()),""))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IF(DATOS!$A14673="",0,IF(CONFIG_METADATA!$B$4&lt;&gt;"OR+EX",--(DATOS!$G14673=CONFIG_METADATA!$B$4),IF(DATOS!$G14673="EX",1,IF(DATOS!$G14673="OR",--(COUNTIFS(nNIA,DATOS!$A14673,nCURSO,DATOS!$D14673,nESPEC,DATOS!$E14673,nASIG,DATOS!$I14673,nEVAL,"EX")=0),0))))</f>
      </c>
      <c r="H14673">
        <f>IF(DATOS!$G14673&lt;&gt;"EX",0,--(COUNTIFS(nNIA,DATOS!$A14673,nCURSO,DATOS!$D14673,nESPEC,DATOS!$E14673,nASIG,DATOS!$I14673,nEVAL,"OR")=0))</f>
      </c>
      <c r="I14673">
        <f>IF(DATOS!$I14673="","",IFERROR(VLOOKUP(DATOS!$I14673,CONFIG_ASIGNATURAS!$B$2:$J$91,9,FALSE()),""))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IF(DATOS!$A14674="",0,IF(CONFIG_METADATA!$B$4&lt;&gt;"OR+EX",--(DATOS!$G14674=CONFIG_METADATA!$B$4),IF(DATOS!$G14674="EX",1,IF(DATOS!$G14674="OR",--(COUNTIFS(nNIA,DATOS!$A14674,nCURSO,DATOS!$D14674,nESPEC,DATOS!$E14674,nASIG,DATOS!$I14674,nEVAL,"EX")=0),0))))</f>
      </c>
      <c r="H14674">
        <f>IF(DATOS!$G14674&lt;&gt;"EX",0,--(COUNTIFS(nNIA,DATOS!$A14674,nCURSO,DATOS!$D14674,nESPEC,DATOS!$E14674,nASIG,DATOS!$I14674,nEVAL,"OR")=0))</f>
      </c>
      <c r="I14674">
        <f>IF(DATOS!$I14674="","",IFERROR(VLOOKUP(DATOS!$I14674,CONFIG_ASIGNATURAS!$B$2:$J$91,9,FALSE()),""))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IF(DATOS!$A14675="",0,IF(CONFIG_METADATA!$B$4&lt;&gt;"OR+EX",--(DATOS!$G14675=CONFIG_METADATA!$B$4),IF(DATOS!$G14675="EX",1,IF(DATOS!$G14675="OR",--(COUNTIFS(nNIA,DATOS!$A14675,nCURSO,DATOS!$D14675,nESPEC,DATOS!$E14675,nASIG,DATOS!$I14675,nEVAL,"EX")=0),0))))</f>
      </c>
      <c r="H14675">
        <f>IF(DATOS!$G14675&lt;&gt;"EX",0,--(COUNTIFS(nNIA,DATOS!$A14675,nCURSO,DATOS!$D14675,nESPEC,DATOS!$E14675,nASIG,DATOS!$I14675,nEVAL,"OR")=0))</f>
      </c>
      <c r="I14675">
        <f>IF(DATOS!$I14675="","",IFERROR(VLOOKUP(DATOS!$I14675,CONFIG_ASIGNATURAS!$B$2:$J$91,9,FALSE()),""))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IF(DATOS!$A14676="",0,IF(CONFIG_METADATA!$B$4&lt;&gt;"OR+EX",--(DATOS!$G14676=CONFIG_METADATA!$B$4),IF(DATOS!$G14676="EX",1,IF(DATOS!$G14676="OR",--(COUNTIFS(nNIA,DATOS!$A14676,nCURSO,DATOS!$D14676,nESPEC,DATOS!$E14676,nASIG,DATOS!$I14676,nEVAL,"EX")=0),0))))</f>
      </c>
      <c r="H14676">
        <f>IF(DATOS!$G14676&lt;&gt;"EX",0,--(COUNTIFS(nNIA,DATOS!$A14676,nCURSO,DATOS!$D14676,nESPEC,DATOS!$E14676,nASIG,DATOS!$I14676,nEVAL,"OR")=0))</f>
      </c>
      <c r="I14676">
        <f>IF(DATOS!$I14676="","",IFERROR(VLOOKUP(DATOS!$I14676,CONFIG_ASIGNATURAS!$B$2:$J$91,9,FALSE()),""))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IF(DATOS!$A14677="",0,IF(CONFIG_METADATA!$B$4&lt;&gt;"OR+EX",--(DATOS!$G14677=CONFIG_METADATA!$B$4),IF(DATOS!$G14677="EX",1,IF(DATOS!$G14677="OR",--(COUNTIFS(nNIA,DATOS!$A14677,nCURSO,DATOS!$D14677,nESPEC,DATOS!$E14677,nASIG,DATOS!$I14677,nEVAL,"EX")=0),0))))</f>
      </c>
      <c r="H14677">
        <f>IF(DATOS!$G14677&lt;&gt;"EX",0,--(COUNTIFS(nNIA,DATOS!$A14677,nCURSO,DATOS!$D14677,nESPEC,DATOS!$E14677,nASIG,DATOS!$I14677,nEVAL,"OR")=0))</f>
      </c>
      <c r="I14677">
        <f>IF(DATOS!$I14677="","",IFERROR(VLOOKUP(DATOS!$I14677,CONFIG_ASIGNATURAS!$B$2:$J$91,9,FALSE()),""))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IF(DATOS!$A14678="",0,IF(CONFIG_METADATA!$B$4&lt;&gt;"OR+EX",--(DATOS!$G14678=CONFIG_METADATA!$B$4),IF(DATOS!$G14678="EX",1,IF(DATOS!$G14678="OR",--(COUNTIFS(nNIA,DATOS!$A14678,nCURSO,DATOS!$D14678,nESPEC,DATOS!$E14678,nASIG,DATOS!$I14678,nEVAL,"EX")=0),0))))</f>
      </c>
      <c r="H14678">
        <f>IF(DATOS!$G14678&lt;&gt;"EX",0,--(COUNTIFS(nNIA,DATOS!$A14678,nCURSO,DATOS!$D14678,nESPEC,DATOS!$E14678,nASIG,DATOS!$I14678,nEVAL,"OR")=0))</f>
      </c>
      <c r="I14678">
        <f>IF(DATOS!$I14678="","",IFERROR(VLOOKUP(DATOS!$I14678,CONFIG_ASIGNATURAS!$B$2:$J$91,9,FALSE()),""))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IF(DATOS!$A14679="",0,IF(CONFIG_METADATA!$B$4&lt;&gt;"OR+EX",--(DATOS!$G14679=CONFIG_METADATA!$B$4),IF(DATOS!$G14679="EX",1,IF(DATOS!$G14679="OR",--(COUNTIFS(nNIA,DATOS!$A14679,nCURSO,DATOS!$D14679,nESPEC,DATOS!$E14679,nASIG,DATOS!$I14679,nEVAL,"EX")=0),0))))</f>
      </c>
      <c r="H14679">
        <f>IF(DATOS!$G14679&lt;&gt;"EX",0,--(COUNTIFS(nNIA,DATOS!$A14679,nCURSO,DATOS!$D14679,nESPEC,DATOS!$E14679,nASIG,DATOS!$I14679,nEVAL,"OR")=0))</f>
      </c>
      <c r="I14679">
        <f>IF(DATOS!$I14679="","",IFERROR(VLOOKUP(DATOS!$I14679,CONFIG_ASIGNATURAS!$B$2:$J$91,9,FALSE()),""))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IF(DATOS!$A14680="",0,IF(CONFIG_METADATA!$B$4&lt;&gt;"OR+EX",--(DATOS!$G14680=CONFIG_METADATA!$B$4),IF(DATOS!$G14680="EX",1,IF(DATOS!$G14680="OR",--(COUNTIFS(nNIA,DATOS!$A14680,nCURSO,DATOS!$D14680,nESPEC,DATOS!$E14680,nASIG,DATOS!$I14680,nEVAL,"EX")=0),0))))</f>
      </c>
      <c r="H14680">
        <f>IF(DATOS!$G14680&lt;&gt;"EX",0,--(COUNTIFS(nNIA,DATOS!$A14680,nCURSO,DATOS!$D14680,nESPEC,DATOS!$E14680,nASIG,DATOS!$I14680,nEVAL,"OR")=0))</f>
      </c>
      <c r="I14680">
        <f>IF(DATOS!$I14680="","",IFERROR(VLOOKUP(DATOS!$I14680,CONFIG_ASIGNATURAS!$B$2:$J$91,9,FALSE()),""))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IF(DATOS!$A14681="",0,IF(CONFIG_METADATA!$B$4&lt;&gt;"OR+EX",--(DATOS!$G14681=CONFIG_METADATA!$B$4),IF(DATOS!$G14681="EX",1,IF(DATOS!$G14681="OR",--(COUNTIFS(nNIA,DATOS!$A14681,nCURSO,DATOS!$D14681,nESPEC,DATOS!$E14681,nASIG,DATOS!$I14681,nEVAL,"EX")=0),0))))</f>
      </c>
      <c r="H14681">
        <f>IF(DATOS!$G14681&lt;&gt;"EX",0,--(COUNTIFS(nNIA,DATOS!$A14681,nCURSO,DATOS!$D14681,nESPEC,DATOS!$E14681,nASIG,DATOS!$I14681,nEVAL,"OR")=0))</f>
      </c>
      <c r="I14681">
        <f>IF(DATOS!$I14681="","",IFERROR(VLOOKUP(DATOS!$I14681,CONFIG_ASIGNATURAS!$B$2:$J$91,9,FALSE()),""))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IF(DATOS!$A14682="",0,IF(CONFIG_METADATA!$B$4&lt;&gt;"OR+EX",--(DATOS!$G14682=CONFIG_METADATA!$B$4),IF(DATOS!$G14682="EX",1,IF(DATOS!$G14682="OR",--(COUNTIFS(nNIA,DATOS!$A14682,nCURSO,DATOS!$D14682,nESPEC,DATOS!$E14682,nASIG,DATOS!$I14682,nEVAL,"EX")=0),0))))</f>
      </c>
      <c r="H14682">
        <f>IF(DATOS!$G14682&lt;&gt;"EX",0,--(COUNTIFS(nNIA,DATOS!$A14682,nCURSO,DATOS!$D14682,nESPEC,DATOS!$E14682,nASIG,DATOS!$I14682,nEVAL,"OR")=0))</f>
      </c>
      <c r="I14682">
        <f>IF(DATOS!$I14682="","",IFERROR(VLOOKUP(DATOS!$I14682,CONFIG_ASIGNATURAS!$B$2:$J$91,9,FALSE()),""))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IF(DATOS!$A14683="",0,IF(CONFIG_METADATA!$B$4&lt;&gt;"OR+EX",--(DATOS!$G14683=CONFIG_METADATA!$B$4),IF(DATOS!$G14683="EX",1,IF(DATOS!$G14683="OR",--(COUNTIFS(nNIA,DATOS!$A14683,nCURSO,DATOS!$D14683,nESPEC,DATOS!$E14683,nASIG,DATOS!$I14683,nEVAL,"EX")=0),0))))</f>
      </c>
      <c r="H14683">
        <f>IF(DATOS!$G14683&lt;&gt;"EX",0,--(COUNTIFS(nNIA,DATOS!$A14683,nCURSO,DATOS!$D14683,nESPEC,DATOS!$E14683,nASIG,DATOS!$I14683,nEVAL,"OR")=0))</f>
      </c>
      <c r="I14683">
        <f>IF(DATOS!$I14683="","",IFERROR(VLOOKUP(DATOS!$I14683,CONFIG_ASIGNATURAS!$B$2:$J$91,9,FALSE()),""))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IF(DATOS!$A14684="",0,IF(CONFIG_METADATA!$B$4&lt;&gt;"OR+EX",--(DATOS!$G14684=CONFIG_METADATA!$B$4),IF(DATOS!$G14684="EX",1,IF(DATOS!$G14684="OR",--(COUNTIFS(nNIA,DATOS!$A14684,nCURSO,DATOS!$D14684,nESPEC,DATOS!$E14684,nASIG,DATOS!$I14684,nEVAL,"EX")=0),0))))</f>
      </c>
      <c r="H14684">
        <f>IF(DATOS!$G14684&lt;&gt;"EX",0,--(COUNTIFS(nNIA,DATOS!$A14684,nCURSO,DATOS!$D14684,nESPEC,DATOS!$E14684,nASIG,DATOS!$I14684,nEVAL,"OR")=0))</f>
      </c>
      <c r="I14684">
        <f>IF(DATOS!$I14684="","",IFERROR(VLOOKUP(DATOS!$I14684,CONFIG_ASIGNATURAS!$B$2:$J$91,9,FALSE()),""))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IF(DATOS!$A14685="",0,IF(CONFIG_METADATA!$B$4&lt;&gt;"OR+EX",--(DATOS!$G14685=CONFIG_METADATA!$B$4),IF(DATOS!$G14685="EX",1,IF(DATOS!$G14685="OR",--(COUNTIFS(nNIA,DATOS!$A14685,nCURSO,DATOS!$D14685,nESPEC,DATOS!$E14685,nASIG,DATOS!$I14685,nEVAL,"EX")=0),0))))</f>
      </c>
      <c r="H14685">
        <f>IF(DATOS!$G14685&lt;&gt;"EX",0,--(COUNTIFS(nNIA,DATOS!$A14685,nCURSO,DATOS!$D14685,nESPEC,DATOS!$E14685,nASIG,DATOS!$I14685,nEVAL,"OR")=0))</f>
      </c>
      <c r="I14685">
        <f>IF(DATOS!$I14685="","",IFERROR(VLOOKUP(DATOS!$I14685,CONFIG_ASIGNATURAS!$B$2:$J$91,9,FALSE()),""))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IF(DATOS!$A14686="",0,IF(CONFIG_METADATA!$B$4&lt;&gt;"OR+EX",--(DATOS!$G14686=CONFIG_METADATA!$B$4),IF(DATOS!$G14686="EX",1,IF(DATOS!$G14686="OR",--(COUNTIFS(nNIA,DATOS!$A14686,nCURSO,DATOS!$D14686,nESPEC,DATOS!$E14686,nASIG,DATOS!$I14686,nEVAL,"EX")=0),0))))</f>
      </c>
      <c r="H14686">
        <f>IF(DATOS!$G14686&lt;&gt;"EX",0,--(COUNTIFS(nNIA,DATOS!$A14686,nCURSO,DATOS!$D14686,nESPEC,DATOS!$E14686,nASIG,DATOS!$I14686,nEVAL,"OR")=0))</f>
      </c>
      <c r="I14686">
        <f>IF(DATOS!$I14686="","",IFERROR(VLOOKUP(DATOS!$I14686,CONFIG_ASIGNATURAS!$B$2:$J$91,9,FALSE()),""))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IF(DATOS!$A14687="",0,IF(CONFIG_METADATA!$B$4&lt;&gt;"OR+EX",--(DATOS!$G14687=CONFIG_METADATA!$B$4),IF(DATOS!$G14687="EX",1,IF(DATOS!$G14687="OR",--(COUNTIFS(nNIA,DATOS!$A14687,nCURSO,DATOS!$D14687,nESPEC,DATOS!$E14687,nASIG,DATOS!$I14687,nEVAL,"EX")=0),0))))</f>
      </c>
      <c r="H14687">
        <f>IF(DATOS!$G14687&lt;&gt;"EX",0,--(COUNTIFS(nNIA,DATOS!$A14687,nCURSO,DATOS!$D14687,nESPEC,DATOS!$E14687,nASIG,DATOS!$I14687,nEVAL,"OR")=0))</f>
      </c>
      <c r="I14687">
        <f>IF(DATOS!$I14687="","",IFERROR(VLOOKUP(DATOS!$I14687,CONFIG_ASIGNATURAS!$B$2:$J$91,9,FALSE()),""))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IF(DATOS!$A14688="",0,IF(CONFIG_METADATA!$B$4&lt;&gt;"OR+EX",--(DATOS!$G14688=CONFIG_METADATA!$B$4),IF(DATOS!$G14688="EX",1,IF(DATOS!$G14688="OR",--(COUNTIFS(nNIA,DATOS!$A14688,nCURSO,DATOS!$D14688,nESPEC,DATOS!$E14688,nASIG,DATOS!$I14688,nEVAL,"EX")=0),0))))</f>
      </c>
      <c r="H14688">
        <f>IF(DATOS!$G14688&lt;&gt;"EX",0,--(COUNTIFS(nNIA,DATOS!$A14688,nCURSO,DATOS!$D14688,nESPEC,DATOS!$E14688,nASIG,DATOS!$I14688,nEVAL,"OR")=0))</f>
      </c>
      <c r="I14688">
        <f>IF(DATOS!$I14688="","",IFERROR(VLOOKUP(DATOS!$I14688,CONFIG_ASIGNATURAS!$B$2:$J$91,9,FALSE()),""))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IF(DATOS!$A14689="",0,IF(CONFIG_METADATA!$B$4&lt;&gt;"OR+EX",--(DATOS!$G14689=CONFIG_METADATA!$B$4),IF(DATOS!$G14689="EX",1,IF(DATOS!$G14689="OR",--(COUNTIFS(nNIA,DATOS!$A14689,nCURSO,DATOS!$D14689,nESPEC,DATOS!$E14689,nASIG,DATOS!$I14689,nEVAL,"EX")=0),0))))</f>
      </c>
      <c r="H14689">
        <f>IF(DATOS!$G14689&lt;&gt;"EX",0,--(COUNTIFS(nNIA,DATOS!$A14689,nCURSO,DATOS!$D14689,nESPEC,DATOS!$E14689,nASIG,DATOS!$I14689,nEVAL,"OR")=0))</f>
      </c>
      <c r="I14689">
        <f>IF(DATOS!$I14689="","",IFERROR(VLOOKUP(DATOS!$I14689,CONFIG_ASIGNATURAS!$B$2:$J$91,9,FALSE()),""))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IF(DATOS!$A14690="",0,IF(CONFIG_METADATA!$B$4&lt;&gt;"OR+EX",--(DATOS!$G14690=CONFIG_METADATA!$B$4),IF(DATOS!$G14690="EX",1,IF(DATOS!$G14690="OR",--(COUNTIFS(nNIA,DATOS!$A14690,nCURSO,DATOS!$D14690,nESPEC,DATOS!$E14690,nASIG,DATOS!$I14690,nEVAL,"EX")=0),0))))</f>
      </c>
      <c r="H14690">
        <f>IF(DATOS!$G14690&lt;&gt;"EX",0,--(COUNTIFS(nNIA,DATOS!$A14690,nCURSO,DATOS!$D14690,nESPEC,DATOS!$E14690,nASIG,DATOS!$I14690,nEVAL,"OR")=0))</f>
      </c>
      <c r="I14690">
        <f>IF(DATOS!$I14690="","",IFERROR(VLOOKUP(DATOS!$I14690,CONFIG_ASIGNATURAS!$B$2:$J$91,9,FALSE()),""))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IF(DATOS!$A14691="",0,IF(CONFIG_METADATA!$B$4&lt;&gt;"OR+EX",--(DATOS!$G14691=CONFIG_METADATA!$B$4),IF(DATOS!$G14691="EX",1,IF(DATOS!$G14691="OR",--(COUNTIFS(nNIA,DATOS!$A14691,nCURSO,DATOS!$D14691,nESPEC,DATOS!$E14691,nASIG,DATOS!$I14691,nEVAL,"EX")=0),0))))</f>
      </c>
      <c r="H14691">
        <f>IF(DATOS!$G14691&lt;&gt;"EX",0,--(COUNTIFS(nNIA,DATOS!$A14691,nCURSO,DATOS!$D14691,nESPEC,DATOS!$E14691,nASIG,DATOS!$I14691,nEVAL,"OR")=0))</f>
      </c>
      <c r="I14691">
        <f>IF(DATOS!$I14691="","",IFERROR(VLOOKUP(DATOS!$I14691,CONFIG_ASIGNATURAS!$B$2:$J$91,9,FALSE()),""))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IF(DATOS!$A14692="",0,IF(CONFIG_METADATA!$B$4&lt;&gt;"OR+EX",--(DATOS!$G14692=CONFIG_METADATA!$B$4),IF(DATOS!$G14692="EX",1,IF(DATOS!$G14692="OR",--(COUNTIFS(nNIA,DATOS!$A14692,nCURSO,DATOS!$D14692,nESPEC,DATOS!$E14692,nASIG,DATOS!$I14692,nEVAL,"EX")=0),0))))</f>
      </c>
      <c r="H14692">
        <f>IF(DATOS!$G14692&lt;&gt;"EX",0,--(COUNTIFS(nNIA,DATOS!$A14692,nCURSO,DATOS!$D14692,nESPEC,DATOS!$E14692,nASIG,DATOS!$I14692,nEVAL,"OR")=0))</f>
      </c>
      <c r="I14692">
        <f>IF(DATOS!$I14692="","",IFERROR(VLOOKUP(DATOS!$I14692,CONFIG_ASIGNATURAS!$B$2:$J$91,9,FALSE()),""))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IF(DATOS!$A14693="",0,IF(CONFIG_METADATA!$B$4&lt;&gt;"OR+EX",--(DATOS!$G14693=CONFIG_METADATA!$B$4),IF(DATOS!$G14693="EX",1,IF(DATOS!$G14693="OR",--(COUNTIFS(nNIA,DATOS!$A14693,nCURSO,DATOS!$D14693,nESPEC,DATOS!$E14693,nASIG,DATOS!$I14693,nEVAL,"EX")=0),0))))</f>
      </c>
      <c r="H14693">
        <f>IF(DATOS!$G14693&lt;&gt;"EX",0,--(COUNTIFS(nNIA,DATOS!$A14693,nCURSO,DATOS!$D14693,nESPEC,DATOS!$E14693,nASIG,DATOS!$I14693,nEVAL,"OR")=0))</f>
      </c>
      <c r="I14693">
        <f>IF(DATOS!$I14693="","",IFERROR(VLOOKUP(DATOS!$I14693,CONFIG_ASIGNATURAS!$B$2:$J$91,9,FALSE()),""))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IF(DATOS!$A14694="",0,IF(CONFIG_METADATA!$B$4&lt;&gt;"OR+EX",--(DATOS!$G14694=CONFIG_METADATA!$B$4),IF(DATOS!$G14694="EX",1,IF(DATOS!$G14694="OR",--(COUNTIFS(nNIA,DATOS!$A14694,nCURSO,DATOS!$D14694,nESPEC,DATOS!$E14694,nASIG,DATOS!$I14694,nEVAL,"EX")=0),0))))</f>
      </c>
      <c r="H14694">
        <f>IF(DATOS!$G14694&lt;&gt;"EX",0,--(COUNTIFS(nNIA,DATOS!$A14694,nCURSO,DATOS!$D14694,nESPEC,DATOS!$E14694,nASIG,DATOS!$I14694,nEVAL,"OR")=0))</f>
      </c>
      <c r="I14694">
        <f>IF(DATOS!$I14694="","",IFERROR(VLOOKUP(DATOS!$I14694,CONFIG_ASIGNATURAS!$B$2:$J$91,9,FALSE()),""))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IF(DATOS!$A14695="",0,IF(CONFIG_METADATA!$B$4&lt;&gt;"OR+EX",--(DATOS!$G14695=CONFIG_METADATA!$B$4),IF(DATOS!$G14695="EX",1,IF(DATOS!$G14695="OR",--(COUNTIFS(nNIA,DATOS!$A14695,nCURSO,DATOS!$D14695,nESPEC,DATOS!$E14695,nASIG,DATOS!$I14695,nEVAL,"EX")=0),0))))</f>
      </c>
      <c r="H14695">
        <f>IF(DATOS!$G14695&lt;&gt;"EX",0,--(COUNTIFS(nNIA,DATOS!$A14695,nCURSO,DATOS!$D14695,nESPEC,DATOS!$E14695,nASIG,DATOS!$I14695,nEVAL,"OR")=0))</f>
      </c>
      <c r="I14695">
        <f>IF(DATOS!$I14695="","",IFERROR(VLOOKUP(DATOS!$I14695,CONFIG_ASIGNATURAS!$B$2:$J$91,9,FALSE()),""))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IF(DATOS!$A14696="",0,IF(CONFIG_METADATA!$B$4&lt;&gt;"OR+EX",--(DATOS!$G14696=CONFIG_METADATA!$B$4),IF(DATOS!$G14696="EX",1,IF(DATOS!$G14696="OR",--(COUNTIFS(nNIA,DATOS!$A14696,nCURSO,DATOS!$D14696,nESPEC,DATOS!$E14696,nASIG,DATOS!$I14696,nEVAL,"EX")=0),0))))</f>
      </c>
      <c r="H14696">
        <f>IF(DATOS!$G14696&lt;&gt;"EX",0,--(COUNTIFS(nNIA,DATOS!$A14696,nCURSO,DATOS!$D14696,nESPEC,DATOS!$E14696,nASIG,DATOS!$I14696,nEVAL,"OR")=0))</f>
      </c>
      <c r="I14696">
        <f>IF(DATOS!$I14696="","",IFERROR(VLOOKUP(DATOS!$I14696,CONFIG_ASIGNATURAS!$B$2:$J$91,9,FALSE()),""))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IF(DATOS!$A14697="",0,IF(CONFIG_METADATA!$B$4&lt;&gt;"OR+EX",--(DATOS!$G14697=CONFIG_METADATA!$B$4),IF(DATOS!$G14697="EX",1,IF(DATOS!$G14697="OR",--(COUNTIFS(nNIA,DATOS!$A14697,nCURSO,DATOS!$D14697,nESPEC,DATOS!$E14697,nASIG,DATOS!$I14697,nEVAL,"EX")=0),0))))</f>
      </c>
      <c r="H14697">
        <f>IF(DATOS!$G14697&lt;&gt;"EX",0,--(COUNTIFS(nNIA,DATOS!$A14697,nCURSO,DATOS!$D14697,nESPEC,DATOS!$E14697,nASIG,DATOS!$I14697,nEVAL,"OR")=0))</f>
      </c>
      <c r="I14697">
        <f>IF(DATOS!$I14697="","",IFERROR(VLOOKUP(DATOS!$I14697,CONFIG_ASIGNATURAS!$B$2:$J$91,9,FALSE()),""))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IF(DATOS!$A14698="",0,IF(CONFIG_METADATA!$B$4&lt;&gt;"OR+EX",--(DATOS!$G14698=CONFIG_METADATA!$B$4),IF(DATOS!$G14698="EX",1,IF(DATOS!$G14698="OR",--(COUNTIFS(nNIA,DATOS!$A14698,nCURSO,DATOS!$D14698,nESPEC,DATOS!$E14698,nASIG,DATOS!$I14698,nEVAL,"EX")=0),0))))</f>
      </c>
      <c r="H14698">
        <f>IF(DATOS!$G14698&lt;&gt;"EX",0,--(COUNTIFS(nNIA,DATOS!$A14698,nCURSO,DATOS!$D14698,nESPEC,DATOS!$E14698,nASIG,DATOS!$I14698,nEVAL,"OR")=0))</f>
      </c>
      <c r="I14698">
        <f>IF(DATOS!$I14698="","",IFERROR(VLOOKUP(DATOS!$I14698,CONFIG_ASIGNATURAS!$B$2:$J$91,9,FALSE()),""))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IF(DATOS!$A14699="",0,IF(CONFIG_METADATA!$B$4&lt;&gt;"OR+EX",--(DATOS!$G14699=CONFIG_METADATA!$B$4),IF(DATOS!$G14699="EX",1,IF(DATOS!$G14699="OR",--(COUNTIFS(nNIA,DATOS!$A14699,nCURSO,DATOS!$D14699,nESPEC,DATOS!$E14699,nASIG,DATOS!$I14699,nEVAL,"EX")=0),0))))</f>
      </c>
      <c r="H14699">
        <f>IF(DATOS!$G14699&lt;&gt;"EX",0,--(COUNTIFS(nNIA,DATOS!$A14699,nCURSO,DATOS!$D14699,nESPEC,DATOS!$E14699,nASIG,DATOS!$I14699,nEVAL,"OR")=0))</f>
      </c>
      <c r="I14699">
        <f>IF(DATOS!$I14699="","",IFERROR(VLOOKUP(DATOS!$I14699,CONFIG_ASIGNATURAS!$B$2:$J$91,9,FALSE()),""))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IF(DATOS!$A14700="",0,IF(CONFIG_METADATA!$B$4&lt;&gt;"OR+EX",--(DATOS!$G14700=CONFIG_METADATA!$B$4),IF(DATOS!$G14700="EX",1,IF(DATOS!$G14700="OR",--(COUNTIFS(nNIA,DATOS!$A14700,nCURSO,DATOS!$D14700,nESPEC,DATOS!$E14700,nASIG,DATOS!$I14700,nEVAL,"EX")=0),0))))</f>
      </c>
      <c r="H14700">
        <f>IF(DATOS!$G14700&lt;&gt;"EX",0,--(COUNTIFS(nNIA,DATOS!$A14700,nCURSO,DATOS!$D14700,nESPEC,DATOS!$E14700,nASIG,DATOS!$I14700,nEVAL,"OR")=0))</f>
      </c>
      <c r="I14700">
        <f>IF(DATOS!$I14700="","",IFERROR(VLOOKUP(DATOS!$I14700,CONFIG_ASIGNATURAS!$B$2:$J$91,9,FALSE()),""))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IF(DATOS!$A14701="",0,IF(CONFIG_METADATA!$B$4&lt;&gt;"OR+EX",--(DATOS!$G14701=CONFIG_METADATA!$B$4),IF(DATOS!$G14701="EX",1,IF(DATOS!$G14701="OR",--(COUNTIFS(nNIA,DATOS!$A14701,nCURSO,DATOS!$D14701,nESPEC,DATOS!$E14701,nASIG,DATOS!$I14701,nEVAL,"EX")=0),0))))</f>
      </c>
      <c r="H14701">
        <f>IF(DATOS!$G14701&lt;&gt;"EX",0,--(COUNTIFS(nNIA,DATOS!$A14701,nCURSO,DATOS!$D14701,nESPEC,DATOS!$E14701,nASIG,DATOS!$I14701,nEVAL,"OR")=0))</f>
      </c>
      <c r="I14701">
        <f>IF(DATOS!$I14701="","",IFERROR(VLOOKUP(DATOS!$I14701,CONFIG_ASIGNATURAS!$B$2:$J$91,9,FALSE()),""))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IF(DATOS!$A14702="",0,IF(CONFIG_METADATA!$B$4&lt;&gt;"OR+EX",--(DATOS!$G14702=CONFIG_METADATA!$B$4),IF(DATOS!$G14702="EX",1,IF(DATOS!$G14702="OR",--(COUNTIFS(nNIA,DATOS!$A14702,nCURSO,DATOS!$D14702,nESPEC,DATOS!$E14702,nASIG,DATOS!$I14702,nEVAL,"EX")=0),0))))</f>
      </c>
      <c r="H14702">
        <f>IF(DATOS!$G14702&lt;&gt;"EX",0,--(COUNTIFS(nNIA,DATOS!$A14702,nCURSO,DATOS!$D14702,nESPEC,DATOS!$E14702,nASIG,DATOS!$I14702,nEVAL,"OR")=0))</f>
      </c>
      <c r="I14702">
        <f>IF(DATOS!$I14702="","",IFERROR(VLOOKUP(DATOS!$I14702,CONFIG_ASIGNATURAS!$B$2:$J$91,9,FALSE()),""))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IF(DATOS!$A14703="",0,IF(CONFIG_METADATA!$B$4&lt;&gt;"OR+EX",--(DATOS!$G14703=CONFIG_METADATA!$B$4),IF(DATOS!$G14703="EX",1,IF(DATOS!$G14703="OR",--(COUNTIFS(nNIA,DATOS!$A14703,nCURSO,DATOS!$D14703,nESPEC,DATOS!$E14703,nASIG,DATOS!$I14703,nEVAL,"EX")=0),0))))</f>
      </c>
      <c r="H14703">
        <f>IF(DATOS!$G14703&lt;&gt;"EX",0,--(COUNTIFS(nNIA,DATOS!$A14703,nCURSO,DATOS!$D14703,nESPEC,DATOS!$E14703,nASIG,DATOS!$I14703,nEVAL,"OR")=0))</f>
      </c>
      <c r="I14703">
        <f>IF(DATOS!$I14703="","",IFERROR(VLOOKUP(DATOS!$I14703,CONFIG_ASIGNATURAS!$B$2:$J$91,9,FALSE()),""))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IF(DATOS!$A14704="",0,IF(CONFIG_METADATA!$B$4&lt;&gt;"OR+EX",--(DATOS!$G14704=CONFIG_METADATA!$B$4),IF(DATOS!$G14704="EX",1,IF(DATOS!$G14704="OR",--(COUNTIFS(nNIA,DATOS!$A14704,nCURSO,DATOS!$D14704,nESPEC,DATOS!$E14704,nASIG,DATOS!$I14704,nEVAL,"EX")=0),0))))</f>
      </c>
      <c r="H14704">
        <f>IF(DATOS!$G14704&lt;&gt;"EX",0,--(COUNTIFS(nNIA,DATOS!$A14704,nCURSO,DATOS!$D14704,nESPEC,DATOS!$E14704,nASIG,DATOS!$I14704,nEVAL,"OR")=0))</f>
      </c>
      <c r="I14704">
        <f>IF(DATOS!$I14704="","",IFERROR(VLOOKUP(DATOS!$I14704,CONFIG_ASIGNATURAS!$B$2:$J$91,9,FALSE()),""))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IF(DATOS!$A14705="",0,IF(CONFIG_METADATA!$B$4&lt;&gt;"OR+EX",--(DATOS!$G14705=CONFIG_METADATA!$B$4),IF(DATOS!$G14705="EX",1,IF(DATOS!$G14705="OR",--(COUNTIFS(nNIA,DATOS!$A14705,nCURSO,DATOS!$D14705,nESPEC,DATOS!$E14705,nASIG,DATOS!$I14705,nEVAL,"EX")=0),0))))</f>
      </c>
      <c r="H14705">
        <f>IF(DATOS!$G14705&lt;&gt;"EX",0,--(COUNTIFS(nNIA,DATOS!$A14705,nCURSO,DATOS!$D14705,nESPEC,DATOS!$E14705,nASIG,DATOS!$I14705,nEVAL,"OR")=0))</f>
      </c>
      <c r="I14705">
        <f>IF(DATOS!$I14705="","",IFERROR(VLOOKUP(DATOS!$I14705,CONFIG_ASIGNATURAS!$B$2:$J$91,9,FALSE()),""))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IF(DATOS!$A14706="",0,IF(CONFIG_METADATA!$B$4&lt;&gt;"OR+EX",--(DATOS!$G14706=CONFIG_METADATA!$B$4),IF(DATOS!$G14706="EX",1,IF(DATOS!$G14706="OR",--(COUNTIFS(nNIA,DATOS!$A14706,nCURSO,DATOS!$D14706,nESPEC,DATOS!$E14706,nASIG,DATOS!$I14706,nEVAL,"EX")=0),0))))</f>
      </c>
      <c r="H14706">
        <f>IF(DATOS!$G14706&lt;&gt;"EX",0,--(COUNTIFS(nNIA,DATOS!$A14706,nCURSO,DATOS!$D14706,nESPEC,DATOS!$E14706,nASIG,DATOS!$I14706,nEVAL,"OR")=0))</f>
      </c>
      <c r="I14706">
        <f>IF(DATOS!$I14706="","",IFERROR(VLOOKUP(DATOS!$I14706,CONFIG_ASIGNATURAS!$B$2:$J$91,9,FALSE()),""))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IF(DATOS!$A14707="",0,IF(CONFIG_METADATA!$B$4&lt;&gt;"OR+EX",--(DATOS!$G14707=CONFIG_METADATA!$B$4),IF(DATOS!$G14707="EX",1,IF(DATOS!$G14707="OR",--(COUNTIFS(nNIA,DATOS!$A14707,nCURSO,DATOS!$D14707,nESPEC,DATOS!$E14707,nASIG,DATOS!$I14707,nEVAL,"EX")=0),0))))</f>
      </c>
      <c r="H14707">
        <f>IF(DATOS!$G14707&lt;&gt;"EX",0,--(COUNTIFS(nNIA,DATOS!$A14707,nCURSO,DATOS!$D14707,nESPEC,DATOS!$E14707,nASIG,DATOS!$I14707,nEVAL,"OR")=0))</f>
      </c>
      <c r="I14707">
        <f>IF(DATOS!$I14707="","",IFERROR(VLOOKUP(DATOS!$I14707,CONFIG_ASIGNATURAS!$B$2:$J$91,9,FALSE()),""))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IF(DATOS!$A14708="",0,IF(CONFIG_METADATA!$B$4&lt;&gt;"OR+EX",--(DATOS!$G14708=CONFIG_METADATA!$B$4),IF(DATOS!$G14708="EX",1,IF(DATOS!$G14708="OR",--(COUNTIFS(nNIA,DATOS!$A14708,nCURSO,DATOS!$D14708,nESPEC,DATOS!$E14708,nASIG,DATOS!$I14708,nEVAL,"EX")=0),0))))</f>
      </c>
      <c r="H14708">
        <f>IF(DATOS!$G14708&lt;&gt;"EX",0,--(COUNTIFS(nNIA,DATOS!$A14708,nCURSO,DATOS!$D14708,nESPEC,DATOS!$E14708,nASIG,DATOS!$I14708,nEVAL,"OR")=0))</f>
      </c>
      <c r="I14708">
        <f>IF(DATOS!$I14708="","",IFERROR(VLOOKUP(DATOS!$I14708,CONFIG_ASIGNATURAS!$B$2:$J$91,9,FALSE()),""))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IF(DATOS!$A14709="",0,IF(CONFIG_METADATA!$B$4&lt;&gt;"OR+EX",--(DATOS!$G14709=CONFIG_METADATA!$B$4),IF(DATOS!$G14709="EX",1,IF(DATOS!$G14709="OR",--(COUNTIFS(nNIA,DATOS!$A14709,nCURSO,DATOS!$D14709,nESPEC,DATOS!$E14709,nASIG,DATOS!$I14709,nEVAL,"EX")=0),0))))</f>
      </c>
      <c r="H14709">
        <f>IF(DATOS!$G14709&lt;&gt;"EX",0,--(COUNTIFS(nNIA,DATOS!$A14709,nCURSO,DATOS!$D14709,nESPEC,DATOS!$E14709,nASIG,DATOS!$I14709,nEVAL,"OR")=0))</f>
      </c>
      <c r="I14709">
        <f>IF(DATOS!$I14709="","",IFERROR(VLOOKUP(DATOS!$I14709,CONFIG_ASIGNATURAS!$B$2:$J$91,9,FALSE()),""))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IF(DATOS!$A14710="",0,IF(CONFIG_METADATA!$B$4&lt;&gt;"OR+EX",--(DATOS!$G14710=CONFIG_METADATA!$B$4),IF(DATOS!$G14710="EX",1,IF(DATOS!$G14710="OR",--(COUNTIFS(nNIA,DATOS!$A14710,nCURSO,DATOS!$D14710,nESPEC,DATOS!$E14710,nASIG,DATOS!$I14710,nEVAL,"EX")=0),0))))</f>
      </c>
      <c r="H14710">
        <f>IF(DATOS!$G14710&lt;&gt;"EX",0,--(COUNTIFS(nNIA,DATOS!$A14710,nCURSO,DATOS!$D14710,nESPEC,DATOS!$E14710,nASIG,DATOS!$I14710,nEVAL,"OR")=0))</f>
      </c>
      <c r="I14710">
        <f>IF(DATOS!$I14710="","",IFERROR(VLOOKUP(DATOS!$I14710,CONFIG_ASIGNATURAS!$B$2:$J$91,9,FALSE()),""))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IF(DATOS!$A14711="",0,IF(CONFIG_METADATA!$B$4&lt;&gt;"OR+EX",--(DATOS!$G14711=CONFIG_METADATA!$B$4),IF(DATOS!$G14711="EX",1,IF(DATOS!$G14711="OR",--(COUNTIFS(nNIA,DATOS!$A14711,nCURSO,DATOS!$D14711,nESPEC,DATOS!$E14711,nASIG,DATOS!$I14711,nEVAL,"EX")=0),0))))</f>
      </c>
      <c r="H14711">
        <f>IF(DATOS!$G14711&lt;&gt;"EX",0,--(COUNTIFS(nNIA,DATOS!$A14711,nCURSO,DATOS!$D14711,nESPEC,DATOS!$E14711,nASIG,DATOS!$I14711,nEVAL,"OR")=0))</f>
      </c>
      <c r="I14711">
        <f>IF(DATOS!$I14711="","",IFERROR(VLOOKUP(DATOS!$I14711,CONFIG_ASIGNATURAS!$B$2:$J$91,9,FALSE()),""))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IF(DATOS!$A14712="",0,IF(CONFIG_METADATA!$B$4&lt;&gt;"OR+EX",--(DATOS!$G14712=CONFIG_METADATA!$B$4),IF(DATOS!$G14712="EX",1,IF(DATOS!$G14712="OR",--(COUNTIFS(nNIA,DATOS!$A14712,nCURSO,DATOS!$D14712,nESPEC,DATOS!$E14712,nASIG,DATOS!$I14712,nEVAL,"EX")=0),0))))</f>
      </c>
      <c r="H14712">
        <f>IF(DATOS!$G14712&lt;&gt;"EX",0,--(COUNTIFS(nNIA,DATOS!$A14712,nCURSO,DATOS!$D14712,nESPEC,DATOS!$E14712,nASIG,DATOS!$I14712,nEVAL,"OR")=0))</f>
      </c>
      <c r="I14712">
        <f>IF(DATOS!$I14712="","",IFERROR(VLOOKUP(DATOS!$I14712,CONFIG_ASIGNATURAS!$B$2:$J$91,9,FALSE()),""))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IF(DATOS!$A14713="",0,IF(CONFIG_METADATA!$B$4&lt;&gt;"OR+EX",--(DATOS!$G14713=CONFIG_METADATA!$B$4),IF(DATOS!$G14713="EX",1,IF(DATOS!$G14713="OR",--(COUNTIFS(nNIA,DATOS!$A14713,nCURSO,DATOS!$D14713,nESPEC,DATOS!$E14713,nASIG,DATOS!$I14713,nEVAL,"EX")=0),0))))</f>
      </c>
      <c r="H14713">
        <f>IF(DATOS!$G14713&lt;&gt;"EX",0,--(COUNTIFS(nNIA,DATOS!$A14713,nCURSO,DATOS!$D14713,nESPEC,DATOS!$E14713,nASIG,DATOS!$I14713,nEVAL,"OR")=0))</f>
      </c>
      <c r="I14713">
        <f>IF(DATOS!$I14713="","",IFERROR(VLOOKUP(DATOS!$I14713,CONFIG_ASIGNATURAS!$B$2:$J$91,9,FALSE()),""))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IF(DATOS!$A14714="",0,IF(CONFIG_METADATA!$B$4&lt;&gt;"OR+EX",--(DATOS!$G14714=CONFIG_METADATA!$B$4),IF(DATOS!$G14714="EX",1,IF(DATOS!$G14714="OR",--(COUNTIFS(nNIA,DATOS!$A14714,nCURSO,DATOS!$D14714,nESPEC,DATOS!$E14714,nASIG,DATOS!$I14714,nEVAL,"EX")=0),0))))</f>
      </c>
      <c r="H14714">
        <f>IF(DATOS!$G14714&lt;&gt;"EX",0,--(COUNTIFS(nNIA,DATOS!$A14714,nCURSO,DATOS!$D14714,nESPEC,DATOS!$E14714,nASIG,DATOS!$I14714,nEVAL,"OR")=0))</f>
      </c>
      <c r="I14714">
        <f>IF(DATOS!$I14714="","",IFERROR(VLOOKUP(DATOS!$I14714,CONFIG_ASIGNATURAS!$B$2:$J$91,9,FALSE()),""))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IF(DATOS!$A14715="",0,IF(CONFIG_METADATA!$B$4&lt;&gt;"OR+EX",--(DATOS!$G14715=CONFIG_METADATA!$B$4),IF(DATOS!$G14715="EX",1,IF(DATOS!$G14715="OR",--(COUNTIFS(nNIA,DATOS!$A14715,nCURSO,DATOS!$D14715,nESPEC,DATOS!$E14715,nASIG,DATOS!$I14715,nEVAL,"EX")=0),0))))</f>
      </c>
      <c r="H14715">
        <f>IF(DATOS!$G14715&lt;&gt;"EX",0,--(COUNTIFS(nNIA,DATOS!$A14715,nCURSO,DATOS!$D14715,nESPEC,DATOS!$E14715,nASIG,DATOS!$I14715,nEVAL,"OR")=0))</f>
      </c>
      <c r="I14715">
        <f>IF(DATOS!$I14715="","",IFERROR(VLOOKUP(DATOS!$I14715,CONFIG_ASIGNATURAS!$B$2:$J$91,9,FALSE()),""))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IF(DATOS!$A14716="",0,IF(CONFIG_METADATA!$B$4&lt;&gt;"OR+EX",--(DATOS!$G14716=CONFIG_METADATA!$B$4),IF(DATOS!$G14716="EX",1,IF(DATOS!$G14716="OR",--(COUNTIFS(nNIA,DATOS!$A14716,nCURSO,DATOS!$D14716,nESPEC,DATOS!$E14716,nASIG,DATOS!$I14716,nEVAL,"EX")=0),0))))</f>
      </c>
      <c r="H14716">
        <f>IF(DATOS!$G14716&lt;&gt;"EX",0,--(COUNTIFS(nNIA,DATOS!$A14716,nCURSO,DATOS!$D14716,nESPEC,DATOS!$E14716,nASIG,DATOS!$I14716,nEVAL,"OR")=0))</f>
      </c>
      <c r="I14716">
        <f>IF(DATOS!$I14716="","",IFERROR(VLOOKUP(DATOS!$I14716,CONFIG_ASIGNATURAS!$B$2:$J$91,9,FALSE()),""))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IF(DATOS!$A14717="",0,IF(CONFIG_METADATA!$B$4&lt;&gt;"OR+EX",--(DATOS!$G14717=CONFIG_METADATA!$B$4),IF(DATOS!$G14717="EX",1,IF(DATOS!$G14717="OR",--(COUNTIFS(nNIA,DATOS!$A14717,nCURSO,DATOS!$D14717,nESPEC,DATOS!$E14717,nASIG,DATOS!$I14717,nEVAL,"EX")=0),0))))</f>
      </c>
      <c r="H14717">
        <f>IF(DATOS!$G14717&lt;&gt;"EX",0,--(COUNTIFS(nNIA,DATOS!$A14717,nCURSO,DATOS!$D14717,nESPEC,DATOS!$E14717,nASIG,DATOS!$I14717,nEVAL,"OR")=0))</f>
      </c>
      <c r="I14717">
        <f>IF(DATOS!$I14717="","",IFERROR(VLOOKUP(DATOS!$I14717,CONFIG_ASIGNATURAS!$B$2:$J$91,9,FALSE()),""))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IF(DATOS!$A14718="",0,IF(CONFIG_METADATA!$B$4&lt;&gt;"OR+EX",--(DATOS!$G14718=CONFIG_METADATA!$B$4),IF(DATOS!$G14718="EX",1,IF(DATOS!$G14718="OR",--(COUNTIFS(nNIA,DATOS!$A14718,nCURSO,DATOS!$D14718,nESPEC,DATOS!$E14718,nASIG,DATOS!$I14718,nEVAL,"EX")=0),0))))</f>
      </c>
      <c r="H14718">
        <f>IF(DATOS!$G14718&lt;&gt;"EX",0,--(COUNTIFS(nNIA,DATOS!$A14718,nCURSO,DATOS!$D14718,nESPEC,DATOS!$E14718,nASIG,DATOS!$I14718,nEVAL,"OR")=0))</f>
      </c>
      <c r="I14718">
        <f>IF(DATOS!$I14718="","",IFERROR(VLOOKUP(DATOS!$I14718,CONFIG_ASIGNATURAS!$B$2:$J$91,9,FALSE()),""))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IF(DATOS!$A14719="",0,IF(CONFIG_METADATA!$B$4&lt;&gt;"OR+EX",--(DATOS!$G14719=CONFIG_METADATA!$B$4),IF(DATOS!$G14719="EX",1,IF(DATOS!$G14719="OR",--(COUNTIFS(nNIA,DATOS!$A14719,nCURSO,DATOS!$D14719,nESPEC,DATOS!$E14719,nASIG,DATOS!$I14719,nEVAL,"EX")=0),0))))</f>
      </c>
      <c r="H14719">
        <f>IF(DATOS!$G14719&lt;&gt;"EX",0,--(COUNTIFS(nNIA,DATOS!$A14719,nCURSO,DATOS!$D14719,nESPEC,DATOS!$E14719,nASIG,DATOS!$I14719,nEVAL,"OR")=0))</f>
      </c>
      <c r="I14719">
        <f>IF(DATOS!$I14719="","",IFERROR(VLOOKUP(DATOS!$I14719,CONFIG_ASIGNATURAS!$B$2:$J$91,9,FALSE()),""))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IF(DATOS!$A14720="",0,IF(CONFIG_METADATA!$B$4&lt;&gt;"OR+EX",--(DATOS!$G14720=CONFIG_METADATA!$B$4),IF(DATOS!$G14720="EX",1,IF(DATOS!$G14720="OR",--(COUNTIFS(nNIA,DATOS!$A14720,nCURSO,DATOS!$D14720,nESPEC,DATOS!$E14720,nASIG,DATOS!$I14720,nEVAL,"EX")=0),0))))</f>
      </c>
      <c r="H14720">
        <f>IF(DATOS!$G14720&lt;&gt;"EX",0,--(COUNTIFS(nNIA,DATOS!$A14720,nCURSO,DATOS!$D14720,nESPEC,DATOS!$E14720,nASIG,DATOS!$I14720,nEVAL,"OR")=0))</f>
      </c>
      <c r="I14720">
        <f>IF(DATOS!$I14720="","",IFERROR(VLOOKUP(DATOS!$I14720,CONFIG_ASIGNATURAS!$B$2:$J$91,9,FALSE()),""))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IF(DATOS!$A14721="",0,IF(CONFIG_METADATA!$B$4&lt;&gt;"OR+EX",--(DATOS!$G14721=CONFIG_METADATA!$B$4),IF(DATOS!$G14721="EX",1,IF(DATOS!$G14721="OR",--(COUNTIFS(nNIA,DATOS!$A14721,nCURSO,DATOS!$D14721,nESPEC,DATOS!$E14721,nASIG,DATOS!$I14721,nEVAL,"EX")=0),0))))</f>
      </c>
      <c r="H14721">
        <f>IF(DATOS!$G14721&lt;&gt;"EX",0,--(COUNTIFS(nNIA,DATOS!$A14721,nCURSO,DATOS!$D14721,nESPEC,DATOS!$E14721,nASIG,DATOS!$I14721,nEVAL,"OR")=0))</f>
      </c>
      <c r="I14721">
        <f>IF(DATOS!$I14721="","",IFERROR(VLOOKUP(DATOS!$I14721,CONFIG_ASIGNATURAS!$B$2:$J$91,9,FALSE()),""))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IF(DATOS!$A14722="",0,IF(CONFIG_METADATA!$B$4&lt;&gt;"OR+EX",--(DATOS!$G14722=CONFIG_METADATA!$B$4),IF(DATOS!$G14722="EX",1,IF(DATOS!$G14722="OR",--(COUNTIFS(nNIA,DATOS!$A14722,nCURSO,DATOS!$D14722,nESPEC,DATOS!$E14722,nASIG,DATOS!$I14722,nEVAL,"EX")=0),0))))</f>
      </c>
      <c r="H14722">
        <f>IF(DATOS!$G14722&lt;&gt;"EX",0,--(COUNTIFS(nNIA,DATOS!$A14722,nCURSO,DATOS!$D14722,nESPEC,DATOS!$E14722,nASIG,DATOS!$I14722,nEVAL,"OR")=0))</f>
      </c>
      <c r="I14722">
        <f>IF(DATOS!$I14722="","",IFERROR(VLOOKUP(DATOS!$I14722,CONFIG_ASIGNATURAS!$B$2:$J$91,9,FALSE()),""))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IF(DATOS!$A14723="",0,IF(CONFIG_METADATA!$B$4&lt;&gt;"OR+EX",--(DATOS!$G14723=CONFIG_METADATA!$B$4),IF(DATOS!$G14723="EX",1,IF(DATOS!$G14723="OR",--(COUNTIFS(nNIA,DATOS!$A14723,nCURSO,DATOS!$D14723,nESPEC,DATOS!$E14723,nASIG,DATOS!$I14723,nEVAL,"EX")=0),0))))</f>
      </c>
      <c r="H14723">
        <f>IF(DATOS!$G14723&lt;&gt;"EX",0,--(COUNTIFS(nNIA,DATOS!$A14723,nCURSO,DATOS!$D14723,nESPEC,DATOS!$E14723,nASIG,DATOS!$I14723,nEVAL,"OR")=0))</f>
      </c>
      <c r="I14723">
        <f>IF(DATOS!$I14723="","",IFERROR(VLOOKUP(DATOS!$I14723,CONFIG_ASIGNATURAS!$B$2:$J$91,9,FALSE()),""))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IF(DATOS!$A14724="",0,IF(CONFIG_METADATA!$B$4&lt;&gt;"OR+EX",--(DATOS!$G14724=CONFIG_METADATA!$B$4),IF(DATOS!$G14724="EX",1,IF(DATOS!$G14724="OR",--(COUNTIFS(nNIA,DATOS!$A14724,nCURSO,DATOS!$D14724,nESPEC,DATOS!$E14724,nASIG,DATOS!$I14724,nEVAL,"EX")=0),0))))</f>
      </c>
      <c r="H14724">
        <f>IF(DATOS!$G14724&lt;&gt;"EX",0,--(COUNTIFS(nNIA,DATOS!$A14724,nCURSO,DATOS!$D14724,nESPEC,DATOS!$E14724,nASIG,DATOS!$I14724,nEVAL,"OR")=0))</f>
      </c>
      <c r="I14724">
        <f>IF(DATOS!$I14724="","",IFERROR(VLOOKUP(DATOS!$I14724,CONFIG_ASIGNATURAS!$B$2:$J$91,9,FALSE()),""))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IF(DATOS!$A14725="",0,IF(CONFIG_METADATA!$B$4&lt;&gt;"OR+EX",--(DATOS!$G14725=CONFIG_METADATA!$B$4),IF(DATOS!$G14725="EX",1,IF(DATOS!$G14725="OR",--(COUNTIFS(nNIA,DATOS!$A14725,nCURSO,DATOS!$D14725,nESPEC,DATOS!$E14725,nASIG,DATOS!$I14725,nEVAL,"EX")=0),0))))</f>
      </c>
      <c r="H14725">
        <f>IF(DATOS!$G14725&lt;&gt;"EX",0,--(COUNTIFS(nNIA,DATOS!$A14725,nCURSO,DATOS!$D14725,nESPEC,DATOS!$E14725,nASIG,DATOS!$I14725,nEVAL,"OR")=0))</f>
      </c>
      <c r="I14725">
        <f>IF(DATOS!$I14725="","",IFERROR(VLOOKUP(DATOS!$I14725,CONFIG_ASIGNATURAS!$B$2:$J$91,9,FALSE()),""))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IF(DATOS!$A14726="",0,IF(CONFIG_METADATA!$B$4&lt;&gt;"OR+EX",--(DATOS!$G14726=CONFIG_METADATA!$B$4),IF(DATOS!$G14726="EX",1,IF(DATOS!$G14726="OR",--(COUNTIFS(nNIA,DATOS!$A14726,nCURSO,DATOS!$D14726,nESPEC,DATOS!$E14726,nASIG,DATOS!$I14726,nEVAL,"EX")=0),0))))</f>
      </c>
      <c r="H14726">
        <f>IF(DATOS!$G14726&lt;&gt;"EX",0,--(COUNTIFS(nNIA,DATOS!$A14726,nCURSO,DATOS!$D14726,nESPEC,DATOS!$E14726,nASIG,DATOS!$I14726,nEVAL,"OR")=0))</f>
      </c>
      <c r="I14726">
        <f>IF(DATOS!$I14726="","",IFERROR(VLOOKUP(DATOS!$I14726,CONFIG_ASIGNATURAS!$B$2:$J$91,9,FALSE()),""))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IF(DATOS!$A14727="",0,IF(CONFIG_METADATA!$B$4&lt;&gt;"OR+EX",--(DATOS!$G14727=CONFIG_METADATA!$B$4),IF(DATOS!$G14727="EX",1,IF(DATOS!$G14727="OR",--(COUNTIFS(nNIA,DATOS!$A14727,nCURSO,DATOS!$D14727,nESPEC,DATOS!$E14727,nASIG,DATOS!$I14727,nEVAL,"EX")=0),0))))</f>
      </c>
      <c r="H14727">
        <f>IF(DATOS!$G14727&lt;&gt;"EX",0,--(COUNTIFS(nNIA,DATOS!$A14727,nCURSO,DATOS!$D14727,nESPEC,DATOS!$E14727,nASIG,DATOS!$I14727,nEVAL,"OR")=0))</f>
      </c>
      <c r="I14727">
        <f>IF(DATOS!$I14727="","",IFERROR(VLOOKUP(DATOS!$I14727,CONFIG_ASIGNATURAS!$B$2:$J$91,9,FALSE()),""))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IF(DATOS!$A14728="",0,IF(CONFIG_METADATA!$B$4&lt;&gt;"OR+EX",--(DATOS!$G14728=CONFIG_METADATA!$B$4),IF(DATOS!$G14728="EX",1,IF(DATOS!$G14728="OR",--(COUNTIFS(nNIA,DATOS!$A14728,nCURSO,DATOS!$D14728,nESPEC,DATOS!$E14728,nASIG,DATOS!$I14728,nEVAL,"EX")=0),0))))</f>
      </c>
      <c r="H14728">
        <f>IF(DATOS!$G14728&lt;&gt;"EX",0,--(COUNTIFS(nNIA,DATOS!$A14728,nCURSO,DATOS!$D14728,nESPEC,DATOS!$E14728,nASIG,DATOS!$I14728,nEVAL,"OR")=0))</f>
      </c>
      <c r="I14728">
        <f>IF(DATOS!$I14728="","",IFERROR(VLOOKUP(DATOS!$I14728,CONFIG_ASIGNATURAS!$B$2:$J$91,9,FALSE()),""))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IF(DATOS!$A14729="",0,IF(CONFIG_METADATA!$B$4&lt;&gt;"OR+EX",--(DATOS!$G14729=CONFIG_METADATA!$B$4),IF(DATOS!$G14729="EX",1,IF(DATOS!$G14729="OR",--(COUNTIFS(nNIA,DATOS!$A14729,nCURSO,DATOS!$D14729,nESPEC,DATOS!$E14729,nASIG,DATOS!$I14729,nEVAL,"EX")=0),0))))</f>
      </c>
      <c r="H14729">
        <f>IF(DATOS!$G14729&lt;&gt;"EX",0,--(COUNTIFS(nNIA,DATOS!$A14729,nCURSO,DATOS!$D14729,nESPEC,DATOS!$E14729,nASIG,DATOS!$I14729,nEVAL,"OR")=0))</f>
      </c>
      <c r="I14729">
        <f>IF(DATOS!$I14729="","",IFERROR(VLOOKUP(DATOS!$I14729,CONFIG_ASIGNATURAS!$B$2:$J$91,9,FALSE()),""))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IF(DATOS!$A14730="",0,IF(CONFIG_METADATA!$B$4&lt;&gt;"OR+EX",--(DATOS!$G14730=CONFIG_METADATA!$B$4),IF(DATOS!$G14730="EX",1,IF(DATOS!$G14730="OR",--(COUNTIFS(nNIA,DATOS!$A14730,nCURSO,DATOS!$D14730,nESPEC,DATOS!$E14730,nASIG,DATOS!$I14730,nEVAL,"EX")=0),0))))</f>
      </c>
      <c r="H14730">
        <f>IF(DATOS!$G14730&lt;&gt;"EX",0,--(COUNTIFS(nNIA,DATOS!$A14730,nCURSO,DATOS!$D14730,nESPEC,DATOS!$E14730,nASIG,DATOS!$I14730,nEVAL,"OR")=0))</f>
      </c>
      <c r="I14730">
        <f>IF(DATOS!$I14730="","",IFERROR(VLOOKUP(DATOS!$I14730,CONFIG_ASIGNATURAS!$B$2:$J$91,9,FALSE()),""))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IF(DATOS!$A14731="",0,IF(CONFIG_METADATA!$B$4&lt;&gt;"OR+EX",--(DATOS!$G14731=CONFIG_METADATA!$B$4),IF(DATOS!$G14731="EX",1,IF(DATOS!$G14731="OR",--(COUNTIFS(nNIA,DATOS!$A14731,nCURSO,DATOS!$D14731,nESPEC,DATOS!$E14731,nASIG,DATOS!$I14731,nEVAL,"EX")=0),0))))</f>
      </c>
      <c r="H14731">
        <f>IF(DATOS!$G14731&lt;&gt;"EX",0,--(COUNTIFS(nNIA,DATOS!$A14731,nCURSO,DATOS!$D14731,nESPEC,DATOS!$E14731,nASIG,DATOS!$I14731,nEVAL,"OR")=0))</f>
      </c>
      <c r="I14731">
        <f>IF(DATOS!$I14731="","",IFERROR(VLOOKUP(DATOS!$I14731,CONFIG_ASIGNATURAS!$B$2:$J$91,9,FALSE()),""))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IF(DATOS!$A14732="",0,IF(CONFIG_METADATA!$B$4&lt;&gt;"OR+EX",--(DATOS!$G14732=CONFIG_METADATA!$B$4),IF(DATOS!$G14732="EX",1,IF(DATOS!$G14732="OR",--(COUNTIFS(nNIA,DATOS!$A14732,nCURSO,DATOS!$D14732,nESPEC,DATOS!$E14732,nASIG,DATOS!$I14732,nEVAL,"EX")=0),0))))</f>
      </c>
      <c r="H14732">
        <f>IF(DATOS!$G14732&lt;&gt;"EX",0,--(COUNTIFS(nNIA,DATOS!$A14732,nCURSO,DATOS!$D14732,nESPEC,DATOS!$E14732,nASIG,DATOS!$I14732,nEVAL,"OR")=0))</f>
      </c>
      <c r="I14732">
        <f>IF(DATOS!$I14732="","",IFERROR(VLOOKUP(DATOS!$I14732,CONFIG_ASIGNATURAS!$B$2:$J$91,9,FALSE()),""))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IF(DATOS!$A14733="",0,IF(CONFIG_METADATA!$B$4&lt;&gt;"OR+EX",--(DATOS!$G14733=CONFIG_METADATA!$B$4),IF(DATOS!$G14733="EX",1,IF(DATOS!$G14733="OR",--(COUNTIFS(nNIA,DATOS!$A14733,nCURSO,DATOS!$D14733,nESPEC,DATOS!$E14733,nASIG,DATOS!$I14733,nEVAL,"EX")=0),0))))</f>
      </c>
      <c r="H14733">
        <f>IF(DATOS!$G14733&lt;&gt;"EX",0,--(COUNTIFS(nNIA,DATOS!$A14733,nCURSO,DATOS!$D14733,nESPEC,DATOS!$E14733,nASIG,DATOS!$I14733,nEVAL,"OR")=0))</f>
      </c>
      <c r="I14733">
        <f>IF(DATOS!$I14733="","",IFERROR(VLOOKUP(DATOS!$I14733,CONFIG_ASIGNATURAS!$B$2:$J$91,9,FALSE()),""))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IF(DATOS!$A14734="",0,IF(CONFIG_METADATA!$B$4&lt;&gt;"OR+EX",--(DATOS!$G14734=CONFIG_METADATA!$B$4),IF(DATOS!$G14734="EX",1,IF(DATOS!$G14734="OR",--(COUNTIFS(nNIA,DATOS!$A14734,nCURSO,DATOS!$D14734,nESPEC,DATOS!$E14734,nASIG,DATOS!$I14734,nEVAL,"EX")=0),0))))</f>
      </c>
      <c r="H14734">
        <f>IF(DATOS!$G14734&lt;&gt;"EX",0,--(COUNTIFS(nNIA,DATOS!$A14734,nCURSO,DATOS!$D14734,nESPEC,DATOS!$E14734,nASIG,DATOS!$I14734,nEVAL,"OR")=0))</f>
      </c>
      <c r="I14734">
        <f>IF(DATOS!$I14734="","",IFERROR(VLOOKUP(DATOS!$I14734,CONFIG_ASIGNATURAS!$B$2:$J$91,9,FALSE()),""))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IF(DATOS!$A14735="",0,IF(CONFIG_METADATA!$B$4&lt;&gt;"OR+EX",--(DATOS!$G14735=CONFIG_METADATA!$B$4),IF(DATOS!$G14735="EX",1,IF(DATOS!$G14735="OR",--(COUNTIFS(nNIA,DATOS!$A14735,nCURSO,DATOS!$D14735,nESPEC,DATOS!$E14735,nASIG,DATOS!$I14735,nEVAL,"EX")=0),0))))</f>
      </c>
      <c r="H14735">
        <f>IF(DATOS!$G14735&lt;&gt;"EX",0,--(COUNTIFS(nNIA,DATOS!$A14735,nCURSO,DATOS!$D14735,nESPEC,DATOS!$E14735,nASIG,DATOS!$I14735,nEVAL,"OR")=0))</f>
      </c>
      <c r="I14735">
        <f>IF(DATOS!$I14735="","",IFERROR(VLOOKUP(DATOS!$I14735,CONFIG_ASIGNATURAS!$B$2:$J$91,9,FALSE()),""))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IF(DATOS!$A14736="",0,IF(CONFIG_METADATA!$B$4&lt;&gt;"OR+EX",--(DATOS!$G14736=CONFIG_METADATA!$B$4),IF(DATOS!$G14736="EX",1,IF(DATOS!$G14736="OR",--(COUNTIFS(nNIA,DATOS!$A14736,nCURSO,DATOS!$D14736,nESPEC,DATOS!$E14736,nASIG,DATOS!$I14736,nEVAL,"EX")=0),0))))</f>
      </c>
      <c r="H14736">
        <f>IF(DATOS!$G14736&lt;&gt;"EX",0,--(COUNTIFS(nNIA,DATOS!$A14736,nCURSO,DATOS!$D14736,nESPEC,DATOS!$E14736,nASIG,DATOS!$I14736,nEVAL,"OR")=0))</f>
      </c>
      <c r="I14736">
        <f>IF(DATOS!$I14736="","",IFERROR(VLOOKUP(DATOS!$I14736,CONFIG_ASIGNATURAS!$B$2:$J$91,9,FALSE()),""))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IF(DATOS!$A14737="",0,IF(CONFIG_METADATA!$B$4&lt;&gt;"OR+EX",--(DATOS!$G14737=CONFIG_METADATA!$B$4),IF(DATOS!$G14737="EX",1,IF(DATOS!$G14737="OR",--(COUNTIFS(nNIA,DATOS!$A14737,nCURSO,DATOS!$D14737,nESPEC,DATOS!$E14737,nASIG,DATOS!$I14737,nEVAL,"EX")=0),0))))</f>
      </c>
      <c r="H14737">
        <f>IF(DATOS!$G14737&lt;&gt;"EX",0,--(COUNTIFS(nNIA,DATOS!$A14737,nCURSO,DATOS!$D14737,nESPEC,DATOS!$E14737,nASIG,DATOS!$I14737,nEVAL,"OR")=0))</f>
      </c>
      <c r="I14737">
        <f>IF(DATOS!$I14737="","",IFERROR(VLOOKUP(DATOS!$I14737,CONFIG_ASIGNATURAS!$B$2:$J$91,9,FALSE()),""))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IF(DATOS!$A14738="",0,IF(CONFIG_METADATA!$B$4&lt;&gt;"OR+EX",--(DATOS!$G14738=CONFIG_METADATA!$B$4),IF(DATOS!$G14738="EX",1,IF(DATOS!$G14738="OR",--(COUNTIFS(nNIA,DATOS!$A14738,nCURSO,DATOS!$D14738,nESPEC,DATOS!$E14738,nASIG,DATOS!$I14738,nEVAL,"EX")=0),0))))</f>
      </c>
      <c r="H14738">
        <f>IF(DATOS!$G14738&lt;&gt;"EX",0,--(COUNTIFS(nNIA,DATOS!$A14738,nCURSO,DATOS!$D14738,nESPEC,DATOS!$E14738,nASIG,DATOS!$I14738,nEVAL,"OR")=0))</f>
      </c>
      <c r="I14738">
        <f>IF(DATOS!$I14738="","",IFERROR(VLOOKUP(DATOS!$I14738,CONFIG_ASIGNATURAS!$B$2:$J$91,9,FALSE()),""))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IF(DATOS!$A14739="",0,IF(CONFIG_METADATA!$B$4&lt;&gt;"OR+EX",--(DATOS!$G14739=CONFIG_METADATA!$B$4),IF(DATOS!$G14739="EX",1,IF(DATOS!$G14739="OR",--(COUNTIFS(nNIA,DATOS!$A14739,nCURSO,DATOS!$D14739,nESPEC,DATOS!$E14739,nASIG,DATOS!$I14739,nEVAL,"EX")=0),0))))</f>
      </c>
      <c r="H14739">
        <f>IF(DATOS!$G14739&lt;&gt;"EX",0,--(COUNTIFS(nNIA,DATOS!$A14739,nCURSO,DATOS!$D14739,nESPEC,DATOS!$E14739,nASIG,DATOS!$I14739,nEVAL,"OR")=0))</f>
      </c>
      <c r="I14739">
        <f>IF(DATOS!$I14739="","",IFERROR(VLOOKUP(DATOS!$I14739,CONFIG_ASIGNATURAS!$B$2:$J$91,9,FALSE()),""))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IF(DATOS!$A14740="",0,IF(CONFIG_METADATA!$B$4&lt;&gt;"OR+EX",--(DATOS!$G14740=CONFIG_METADATA!$B$4),IF(DATOS!$G14740="EX",1,IF(DATOS!$G14740="OR",--(COUNTIFS(nNIA,DATOS!$A14740,nCURSO,DATOS!$D14740,nESPEC,DATOS!$E14740,nASIG,DATOS!$I14740,nEVAL,"EX")=0),0))))</f>
      </c>
      <c r="H14740">
        <f>IF(DATOS!$G14740&lt;&gt;"EX",0,--(COUNTIFS(nNIA,DATOS!$A14740,nCURSO,DATOS!$D14740,nESPEC,DATOS!$E14740,nASIG,DATOS!$I14740,nEVAL,"OR")=0))</f>
      </c>
      <c r="I14740">
        <f>IF(DATOS!$I14740="","",IFERROR(VLOOKUP(DATOS!$I14740,CONFIG_ASIGNATURAS!$B$2:$J$91,9,FALSE()),""))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IF(DATOS!$A14741="",0,IF(CONFIG_METADATA!$B$4&lt;&gt;"OR+EX",--(DATOS!$G14741=CONFIG_METADATA!$B$4),IF(DATOS!$G14741="EX",1,IF(DATOS!$G14741="OR",--(COUNTIFS(nNIA,DATOS!$A14741,nCURSO,DATOS!$D14741,nESPEC,DATOS!$E14741,nASIG,DATOS!$I14741,nEVAL,"EX")=0),0))))</f>
      </c>
      <c r="H14741">
        <f>IF(DATOS!$G14741&lt;&gt;"EX",0,--(COUNTIFS(nNIA,DATOS!$A14741,nCURSO,DATOS!$D14741,nESPEC,DATOS!$E14741,nASIG,DATOS!$I14741,nEVAL,"OR")=0))</f>
      </c>
      <c r="I14741">
        <f>IF(DATOS!$I14741="","",IFERROR(VLOOKUP(DATOS!$I14741,CONFIG_ASIGNATURAS!$B$2:$J$91,9,FALSE()),""))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IF(DATOS!$A14742="",0,IF(CONFIG_METADATA!$B$4&lt;&gt;"OR+EX",--(DATOS!$G14742=CONFIG_METADATA!$B$4),IF(DATOS!$G14742="EX",1,IF(DATOS!$G14742="OR",--(COUNTIFS(nNIA,DATOS!$A14742,nCURSO,DATOS!$D14742,nESPEC,DATOS!$E14742,nASIG,DATOS!$I14742,nEVAL,"EX")=0),0))))</f>
      </c>
      <c r="H14742">
        <f>IF(DATOS!$G14742&lt;&gt;"EX",0,--(COUNTIFS(nNIA,DATOS!$A14742,nCURSO,DATOS!$D14742,nESPEC,DATOS!$E14742,nASIG,DATOS!$I14742,nEVAL,"OR")=0))</f>
      </c>
      <c r="I14742">
        <f>IF(DATOS!$I14742="","",IFERROR(VLOOKUP(DATOS!$I14742,CONFIG_ASIGNATURAS!$B$2:$J$91,9,FALSE()),""))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IF(DATOS!$A14743="",0,IF(CONFIG_METADATA!$B$4&lt;&gt;"OR+EX",--(DATOS!$G14743=CONFIG_METADATA!$B$4),IF(DATOS!$G14743="EX",1,IF(DATOS!$G14743="OR",--(COUNTIFS(nNIA,DATOS!$A14743,nCURSO,DATOS!$D14743,nESPEC,DATOS!$E14743,nASIG,DATOS!$I14743,nEVAL,"EX")=0),0))))</f>
      </c>
      <c r="H14743">
        <f>IF(DATOS!$G14743&lt;&gt;"EX",0,--(COUNTIFS(nNIA,DATOS!$A14743,nCURSO,DATOS!$D14743,nESPEC,DATOS!$E14743,nASIG,DATOS!$I14743,nEVAL,"OR")=0))</f>
      </c>
      <c r="I14743">
        <f>IF(DATOS!$I14743="","",IFERROR(VLOOKUP(DATOS!$I14743,CONFIG_ASIGNATURAS!$B$2:$J$91,9,FALSE()),""))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IF(DATOS!$A14744="",0,IF(CONFIG_METADATA!$B$4&lt;&gt;"OR+EX",--(DATOS!$G14744=CONFIG_METADATA!$B$4),IF(DATOS!$G14744="EX",1,IF(DATOS!$G14744="OR",--(COUNTIFS(nNIA,DATOS!$A14744,nCURSO,DATOS!$D14744,nESPEC,DATOS!$E14744,nASIG,DATOS!$I14744,nEVAL,"EX")=0),0))))</f>
      </c>
      <c r="H14744">
        <f>IF(DATOS!$G14744&lt;&gt;"EX",0,--(COUNTIFS(nNIA,DATOS!$A14744,nCURSO,DATOS!$D14744,nESPEC,DATOS!$E14744,nASIG,DATOS!$I14744,nEVAL,"OR")=0))</f>
      </c>
      <c r="I14744">
        <f>IF(DATOS!$I14744="","",IFERROR(VLOOKUP(DATOS!$I14744,CONFIG_ASIGNATURAS!$B$2:$J$91,9,FALSE()),""))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IF(DATOS!$A14745="",0,IF(CONFIG_METADATA!$B$4&lt;&gt;"OR+EX",--(DATOS!$G14745=CONFIG_METADATA!$B$4),IF(DATOS!$G14745="EX",1,IF(DATOS!$G14745="OR",--(COUNTIFS(nNIA,DATOS!$A14745,nCURSO,DATOS!$D14745,nESPEC,DATOS!$E14745,nASIG,DATOS!$I14745,nEVAL,"EX")=0),0))))</f>
      </c>
      <c r="H14745">
        <f>IF(DATOS!$G14745&lt;&gt;"EX",0,--(COUNTIFS(nNIA,DATOS!$A14745,nCURSO,DATOS!$D14745,nESPEC,DATOS!$E14745,nASIG,DATOS!$I14745,nEVAL,"OR")=0))</f>
      </c>
      <c r="I14745">
        <f>IF(DATOS!$I14745="","",IFERROR(VLOOKUP(DATOS!$I14745,CONFIG_ASIGNATURAS!$B$2:$J$91,9,FALSE()),""))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IF(DATOS!$A14746="",0,IF(CONFIG_METADATA!$B$4&lt;&gt;"OR+EX",--(DATOS!$G14746=CONFIG_METADATA!$B$4),IF(DATOS!$G14746="EX",1,IF(DATOS!$G14746="OR",--(COUNTIFS(nNIA,DATOS!$A14746,nCURSO,DATOS!$D14746,nESPEC,DATOS!$E14746,nASIG,DATOS!$I14746,nEVAL,"EX")=0),0))))</f>
      </c>
      <c r="H14746">
        <f>IF(DATOS!$G14746&lt;&gt;"EX",0,--(COUNTIFS(nNIA,DATOS!$A14746,nCURSO,DATOS!$D14746,nESPEC,DATOS!$E14746,nASIG,DATOS!$I14746,nEVAL,"OR")=0))</f>
      </c>
      <c r="I14746">
        <f>IF(DATOS!$I14746="","",IFERROR(VLOOKUP(DATOS!$I14746,CONFIG_ASIGNATURAS!$B$2:$J$91,9,FALSE()),""))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IF(DATOS!$A14747="",0,IF(CONFIG_METADATA!$B$4&lt;&gt;"OR+EX",--(DATOS!$G14747=CONFIG_METADATA!$B$4),IF(DATOS!$G14747="EX",1,IF(DATOS!$G14747="OR",--(COUNTIFS(nNIA,DATOS!$A14747,nCURSO,DATOS!$D14747,nESPEC,DATOS!$E14747,nASIG,DATOS!$I14747,nEVAL,"EX")=0),0))))</f>
      </c>
      <c r="H14747">
        <f>IF(DATOS!$G14747&lt;&gt;"EX",0,--(COUNTIFS(nNIA,DATOS!$A14747,nCURSO,DATOS!$D14747,nESPEC,DATOS!$E14747,nASIG,DATOS!$I14747,nEVAL,"OR")=0))</f>
      </c>
      <c r="I14747">
        <f>IF(DATOS!$I14747="","",IFERROR(VLOOKUP(DATOS!$I14747,CONFIG_ASIGNATURAS!$B$2:$J$91,9,FALSE()),""))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IF(DATOS!$A14748="",0,IF(CONFIG_METADATA!$B$4&lt;&gt;"OR+EX",--(DATOS!$G14748=CONFIG_METADATA!$B$4),IF(DATOS!$G14748="EX",1,IF(DATOS!$G14748="OR",--(COUNTIFS(nNIA,DATOS!$A14748,nCURSO,DATOS!$D14748,nESPEC,DATOS!$E14748,nASIG,DATOS!$I14748,nEVAL,"EX")=0),0))))</f>
      </c>
      <c r="H14748">
        <f>IF(DATOS!$G14748&lt;&gt;"EX",0,--(COUNTIFS(nNIA,DATOS!$A14748,nCURSO,DATOS!$D14748,nESPEC,DATOS!$E14748,nASIG,DATOS!$I14748,nEVAL,"OR")=0))</f>
      </c>
      <c r="I14748">
        <f>IF(DATOS!$I14748="","",IFERROR(VLOOKUP(DATOS!$I14748,CONFIG_ASIGNATURAS!$B$2:$J$91,9,FALSE()),""))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IF(DATOS!$A14749="",0,IF(CONFIG_METADATA!$B$4&lt;&gt;"OR+EX",--(DATOS!$G14749=CONFIG_METADATA!$B$4),IF(DATOS!$G14749="EX",1,IF(DATOS!$G14749="OR",--(COUNTIFS(nNIA,DATOS!$A14749,nCURSO,DATOS!$D14749,nESPEC,DATOS!$E14749,nASIG,DATOS!$I14749,nEVAL,"EX")=0),0))))</f>
      </c>
      <c r="H14749">
        <f>IF(DATOS!$G14749&lt;&gt;"EX",0,--(COUNTIFS(nNIA,DATOS!$A14749,nCURSO,DATOS!$D14749,nESPEC,DATOS!$E14749,nASIG,DATOS!$I14749,nEVAL,"OR")=0))</f>
      </c>
      <c r="I14749">
        <f>IF(DATOS!$I14749="","",IFERROR(VLOOKUP(DATOS!$I14749,CONFIG_ASIGNATURAS!$B$2:$J$91,9,FALSE()),""))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IF(DATOS!$A14750="",0,IF(CONFIG_METADATA!$B$4&lt;&gt;"OR+EX",--(DATOS!$G14750=CONFIG_METADATA!$B$4),IF(DATOS!$G14750="EX",1,IF(DATOS!$G14750="OR",--(COUNTIFS(nNIA,DATOS!$A14750,nCURSO,DATOS!$D14750,nESPEC,DATOS!$E14750,nASIG,DATOS!$I14750,nEVAL,"EX")=0),0))))</f>
      </c>
      <c r="H14750">
        <f>IF(DATOS!$G14750&lt;&gt;"EX",0,--(COUNTIFS(nNIA,DATOS!$A14750,nCURSO,DATOS!$D14750,nESPEC,DATOS!$E14750,nASIG,DATOS!$I14750,nEVAL,"OR")=0))</f>
      </c>
      <c r="I14750">
        <f>IF(DATOS!$I14750="","",IFERROR(VLOOKUP(DATOS!$I14750,CONFIG_ASIGNATURAS!$B$2:$J$91,9,FALSE()),""))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IF(DATOS!$A14751="",0,IF(CONFIG_METADATA!$B$4&lt;&gt;"OR+EX",--(DATOS!$G14751=CONFIG_METADATA!$B$4),IF(DATOS!$G14751="EX",1,IF(DATOS!$G14751="OR",--(COUNTIFS(nNIA,DATOS!$A14751,nCURSO,DATOS!$D14751,nESPEC,DATOS!$E14751,nASIG,DATOS!$I14751,nEVAL,"EX")=0),0))))</f>
      </c>
      <c r="H14751">
        <f>IF(DATOS!$G14751&lt;&gt;"EX",0,--(COUNTIFS(nNIA,DATOS!$A14751,nCURSO,DATOS!$D14751,nESPEC,DATOS!$E14751,nASIG,DATOS!$I14751,nEVAL,"OR")=0))</f>
      </c>
      <c r="I14751">
        <f>IF(DATOS!$I14751="","",IFERROR(VLOOKUP(DATOS!$I14751,CONFIG_ASIGNATURAS!$B$2:$J$91,9,FALSE()),""))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IF(DATOS!$A14752="",0,IF(CONFIG_METADATA!$B$4&lt;&gt;"OR+EX",--(DATOS!$G14752=CONFIG_METADATA!$B$4),IF(DATOS!$G14752="EX",1,IF(DATOS!$G14752="OR",--(COUNTIFS(nNIA,DATOS!$A14752,nCURSO,DATOS!$D14752,nESPEC,DATOS!$E14752,nASIG,DATOS!$I14752,nEVAL,"EX")=0),0))))</f>
      </c>
      <c r="H14752">
        <f>IF(DATOS!$G14752&lt;&gt;"EX",0,--(COUNTIFS(nNIA,DATOS!$A14752,nCURSO,DATOS!$D14752,nESPEC,DATOS!$E14752,nASIG,DATOS!$I14752,nEVAL,"OR")=0))</f>
      </c>
      <c r="I14752">
        <f>IF(DATOS!$I14752="","",IFERROR(VLOOKUP(DATOS!$I14752,CONFIG_ASIGNATURAS!$B$2:$J$91,9,FALSE()),""))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IF(DATOS!$A14753="",0,IF(CONFIG_METADATA!$B$4&lt;&gt;"OR+EX",--(DATOS!$G14753=CONFIG_METADATA!$B$4),IF(DATOS!$G14753="EX",1,IF(DATOS!$G14753="OR",--(COUNTIFS(nNIA,DATOS!$A14753,nCURSO,DATOS!$D14753,nESPEC,DATOS!$E14753,nASIG,DATOS!$I14753,nEVAL,"EX")=0),0))))</f>
      </c>
      <c r="H14753">
        <f>IF(DATOS!$G14753&lt;&gt;"EX",0,--(COUNTIFS(nNIA,DATOS!$A14753,nCURSO,DATOS!$D14753,nESPEC,DATOS!$E14753,nASIG,DATOS!$I14753,nEVAL,"OR")=0))</f>
      </c>
      <c r="I14753">
        <f>IF(DATOS!$I14753="","",IFERROR(VLOOKUP(DATOS!$I14753,CONFIG_ASIGNATURAS!$B$2:$J$91,9,FALSE()),""))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IF(DATOS!$A14754="",0,IF(CONFIG_METADATA!$B$4&lt;&gt;"OR+EX",--(DATOS!$G14754=CONFIG_METADATA!$B$4),IF(DATOS!$G14754="EX",1,IF(DATOS!$G14754="OR",--(COUNTIFS(nNIA,DATOS!$A14754,nCURSO,DATOS!$D14754,nESPEC,DATOS!$E14754,nASIG,DATOS!$I14754,nEVAL,"EX")=0),0))))</f>
      </c>
      <c r="H14754">
        <f>IF(DATOS!$G14754&lt;&gt;"EX",0,--(COUNTIFS(nNIA,DATOS!$A14754,nCURSO,DATOS!$D14754,nESPEC,DATOS!$E14754,nASIG,DATOS!$I14754,nEVAL,"OR")=0))</f>
      </c>
      <c r="I14754">
        <f>IF(DATOS!$I14754="","",IFERROR(VLOOKUP(DATOS!$I14754,CONFIG_ASIGNATURAS!$B$2:$J$91,9,FALSE()),""))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IF(DATOS!$A14755="",0,IF(CONFIG_METADATA!$B$4&lt;&gt;"OR+EX",--(DATOS!$G14755=CONFIG_METADATA!$B$4),IF(DATOS!$G14755="EX",1,IF(DATOS!$G14755="OR",--(COUNTIFS(nNIA,DATOS!$A14755,nCURSO,DATOS!$D14755,nESPEC,DATOS!$E14755,nASIG,DATOS!$I14755,nEVAL,"EX")=0),0))))</f>
      </c>
      <c r="H14755">
        <f>IF(DATOS!$G14755&lt;&gt;"EX",0,--(COUNTIFS(nNIA,DATOS!$A14755,nCURSO,DATOS!$D14755,nESPEC,DATOS!$E14755,nASIG,DATOS!$I14755,nEVAL,"OR")=0))</f>
      </c>
      <c r="I14755">
        <f>IF(DATOS!$I14755="","",IFERROR(VLOOKUP(DATOS!$I14755,CONFIG_ASIGNATURAS!$B$2:$J$91,9,FALSE()),""))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IF(DATOS!$A14756="",0,IF(CONFIG_METADATA!$B$4&lt;&gt;"OR+EX",--(DATOS!$G14756=CONFIG_METADATA!$B$4),IF(DATOS!$G14756="EX",1,IF(DATOS!$G14756="OR",--(COUNTIFS(nNIA,DATOS!$A14756,nCURSO,DATOS!$D14756,nESPEC,DATOS!$E14756,nASIG,DATOS!$I14756,nEVAL,"EX")=0),0))))</f>
      </c>
      <c r="H14756">
        <f>IF(DATOS!$G14756&lt;&gt;"EX",0,--(COUNTIFS(nNIA,DATOS!$A14756,nCURSO,DATOS!$D14756,nESPEC,DATOS!$E14756,nASIG,DATOS!$I14756,nEVAL,"OR")=0))</f>
      </c>
      <c r="I14756">
        <f>IF(DATOS!$I14756="","",IFERROR(VLOOKUP(DATOS!$I14756,CONFIG_ASIGNATURAS!$B$2:$J$91,9,FALSE()),""))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IF(DATOS!$A14757="",0,IF(CONFIG_METADATA!$B$4&lt;&gt;"OR+EX",--(DATOS!$G14757=CONFIG_METADATA!$B$4),IF(DATOS!$G14757="EX",1,IF(DATOS!$G14757="OR",--(COUNTIFS(nNIA,DATOS!$A14757,nCURSO,DATOS!$D14757,nESPEC,DATOS!$E14757,nASIG,DATOS!$I14757,nEVAL,"EX")=0),0))))</f>
      </c>
      <c r="H14757">
        <f>IF(DATOS!$G14757&lt;&gt;"EX",0,--(COUNTIFS(nNIA,DATOS!$A14757,nCURSO,DATOS!$D14757,nESPEC,DATOS!$E14757,nASIG,DATOS!$I14757,nEVAL,"OR")=0))</f>
      </c>
      <c r="I14757">
        <f>IF(DATOS!$I14757="","",IFERROR(VLOOKUP(DATOS!$I14757,CONFIG_ASIGNATURAS!$B$2:$J$91,9,FALSE()),""))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IF(DATOS!$A14758="",0,IF(CONFIG_METADATA!$B$4&lt;&gt;"OR+EX",--(DATOS!$G14758=CONFIG_METADATA!$B$4),IF(DATOS!$G14758="EX",1,IF(DATOS!$G14758="OR",--(COUNTIFS(nNIA,DATOS!$A14758,nCURSO,DATOS!$D14758,nESPEC,DATOS!$E14758,nASIG,DATOS!$I14758,nEVAL,"EX")=0),0))))</f>
      </c>
      <c r="H14758">
        <f>IF(DATOS!$G14758&lt;&gt;"EX",0,--(COUNTIFS(nNIA,DATOS!$A14758,nCURSO,DATOS!$D14758,nESPEC,DATOS!$E14758,nASIG,DATOS!$I14758,nEVAL,"OR")=0))</f>
      </c>
      <c r="I14758">
        <f>IF(DATOS!$I14758="","",IFERROR(VLOOKUP(DATOS!$I14758,CONFIG_ASIGNATURAS!$B$2:$J$91,9,FALSE()),""))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IF(DATOS!$A14759="",0,IF(CONFIG_METADATA!$B$4&lt;&gt;"OR+EX",--(DATOS!$G14759=CONFIG_METADATA!$B$4),IF(DATOS!$G14759="EX",1,IF(DATOS!$G14759="OR",--(COUNTIFS(nNIA,DATOS!$A14759,nCURSO,DATOS!$D14759,nESPEC,DATOS!$E14759,nASIG,DATOS!$I14759,nEVAL,"EX")=0),0))))</f>
      </c>
      <c r="H14759">
        <f>IF(DATOS!$G14759&lt;&gt;"EX",0,--(COUNTIFS(nNIA,DATOS!$A14759,nCURSO,DATOS!$D14759,nESPEC,DATOS!$E14759,nASIG,DATOS!$I14759,nEVAL,"OR")=0))</f>
      </c>
      <c r="I14759">
        <f>IF(DATOS!$I14759="","",IFERROR(VLOOKUP(DATOS!$I14759,CONFIG_ASIGNATURAS!$B$2:$J$91,9,FALSE()),""))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IF(DATOS!$A14760="",0,IF(CONFIG_METADATA!$B$4&lt;&gt;"OR+EX",--(DATOS!$G14760=CONFIG_METADATA!$B$4),IF(DATOS!$G14760="EX",1,IF(DATOS!$G14760="OR",--(COUNTIFS(nNIA,DATOS!$A14760,nCURSO,DATOS!$D14760,nESPEC,DATOS!$E14760,nASIG,DATOS!$I14760,nEVAL,"EX")=0),0))))</f>
      </c>
      <c r="H14760">
        <f>IF(DATOS!$G14760&lt;&gt;"EX",0,--(COUNTIFS(nNIA,DATOS!$A14760,nCURSO,DATOS!$D14760,nESPEC,DATOS!$E14760,nASIG,DATOS!$I14760,nEVAL,"OR")=0))</f>
      </c>
      <c r="I14760">
        <f>IF(DATOS!$I14760="","",IFERROR(VLOOKUP(DATOS!$I14760,CONFIG_ASIGNATURAS!$B$2:$J$91,9,FALSE()),""))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IF(DATOS!$A14761="",0,IF(CONFIG_METADATA!$B$4&lt;&gt;"OR+EX",--(DATOS!$G14761=CONFIG_METADATA!$B$4),IF(DATOS!$G14761="EX",1,IF(DATOS!$G14761="OR",--(COUNTIFS(nNIA,DATOS!$A14761,nCURSO,DATOS!$D14761,nESPEC,DATOS!$E14761,nASIG,DATOS!$I14761,nEVAL,"EX")=0),0))))</f>
      </c>
      <c r="H14761">
        <f>IF(DATOS!$G14761&lt;&gt;"EX",0,--(COUNTIFS(nNIA,DATOS!$A14761,nCURSO,DATOS!$D14761,nESPEC,DATOS!$E14761,nASIG,DATOS!$I14761,nEVAL,"OR")=0))</f>
      </c>
      <c r="I14761">
        <f>IF(DATOS!$I14761="","",IFERROR(VLOOKUP(DATOS!$I14761,CONFIG_ASIGNATURAS!$B$2:$J$91,9,FALSE()),""))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IF(DATOS!$A14762="",0,IF(CONFIG_METADATA!$B$4&lt;&gt;"OR+EX",--(DATOS!$G14762=CONFIG_METADATA!$B$4),IF(DATOS!$G14762="EX",1,IF(DATOS!$G14762="OR",--(COUNTIFS(nNIA,DATOS!$A14762,nCURSO,DATOS!$D14762,nESPEC,DATOS!$E14762,nASIG,DATOS!$I14762,nEVAL,"EX")=0),0))))</f>
      </c>
      <c r="H14762">
        <f>IF(DATOS!$G14762&lt;&gt;"EX",0,--(COUNTIFS(nNIA,DATOS!$A14762,nCURSO,DATOS!$D14762,nESPEC,DATOS!$E14762,nASIG,DATOS!$I14762,nEVAL,"OR")=0))</f>
      </c>
      <c r="I14762">
        <f>IF(DATOS!$I14762="","",IFERROR(VLOOKUP(DATOS!$I14762,CONFIG_ASIGNATURAS!$B$2:$J$91,9,FALSE()),""))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IF(DATOS!$A14763="",0,IF(CONFIG_METADATA!$B$4&lt;&gt;"OR+EX",--(DATOS!$G14763=CONFIG_METADATA!$B$4),IF(DATOS!$G14763="EX",1,IF(DATOS!$G14763="OR",--(COUNTIFS(nNIA,DATOS!$A14763,nCURSO,DATOS!$D14763,nESPEC,DATOS!$E14763,nASIG,DATOS!$I14763,nEVAL,"EX")=0),0))))</f>
      </c>
      <c r="H14763">
        <f>IF(DATOS!$G14763&lt;&gt;"EX",0,--(COUNTIFS(nNIA,DATOS!$A14763,nCURSO,DATOS!$D14763,nESPEC,DATOS!$E14763,nASIG,DATOS!$I14763,nEVAL,"OR")=0))</f>
      </c>
      <c r="I14763">
        <f>IF(DATOS!$I14763="","",IFERROR(VLOOKUP(DATOS!$I14763,CONFIG_ASIGNATURAS!$B$2:$J$91,9,FALSE()),""))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IF(DATOS!$A14764="",0,IF(CONFIG_METADATA!$B$4&lt;&gt;"OR+EX",--(DATOS!$G14764=CONFIG_METADATA!$B$4),IF(DATOS!$G14764="EX",1,IF(DATOS!$G14764="OR",--(COUNTIFS(nNIA,DATOS!$A14764,nCURSO,DATOS!$D14764,nESPEC,DATOS!$E14764,nASIG,DATOS!$I14764,nEVAL,"EX")=0),0))))</f>
      </c>
      <c r="H14764">
        <f>IF(DATOS!$G14764&lt;&gt;"EX",0,--(COUNTIFS(nNIA,DATOS!$A14764,nCURSO,DATOS!$D14764,nESPEC,DATOS!$E14764,nASIG,DATOS!$I14764,nEVAL,"OR")=0))</f>
      </c>
      <c r="I14764">
        <f>IF(DATOS!$I14764="","",IFERROR(VLOOKUP(DATOS!$I14764,CONFIG_ASIGNATURAS!$B$2:$J$91,9,FALSE()),""))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IF(DATOS!$A14765="",0,IF(CONFIG_METADATA!$B$4&lt;&gt;"OR+EX",--(DATOS!$G14765=CONFIG_METADATA!$B$4),IF(DATOS!$G14765="EX",1,IF(DATOS!$G14765="OR",--(COUNTIFS(nNIA,DATOS!$A14765,nCURSO,DATOS!$D14765,nESPEC,DATOS!$E14765,nASIG,DATOS!$I14765,nEVAL,"EX")=0),0))))</f>
      </c>
      <c r="H14765">
        <f>IF(DATOS!$G14765&lt;&gt;"EX",0,--(COUNTIFS(nNIA,DATOS!$A14765,nCURSO,DATOS!$D14765,nESPEC,DATOS!$E14765,nASIG,DATOS!$I14765,nEVAL,"OR")=0))</f>
      </c>
      <c r="I14765">
        <f>IF(DATOS!$I14765="","",IFERROR(VLOOKUP(DATOS!$I14765,CONFIG_ASIGNATURAS!$B$2:$J$91,9,FALSE()),""))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IF(DATOS!$A14766="",0,IF(CONFIG_METADATA!$B$4&lt;&gt;"OR+EX",--(DATOS!$G14766=CONFIG_METADATA!$B$4),IF(DATOS!$G14766="EX",1,IF(DATOS!$G14766="OR",--(COUNTIFS(nNIA,DATOS!$A14766,nCURSO,DATOS!$D14766,nESPEC,DATOS!$E14766,nASIG,DATOS!$I14766,nEVAL,"EX")=0),0))))</f>
      </c>
      <c r="H14766">
        <f>IF(DATOS!$G14766&lt;&gt;"EX",0,--(COUNTIFS(nNIA,DATOS!$A14766,nCURSO,DATOS!$D14766,nESPEC,DATOS!$E14766,nASIG,DATOS!$I14766,nEVAL,"OR")=0))</f>
      </c>
      <c r="I14766">
        <f>IF(DATOS!$I14766="","",IFERROR(VLOOKUP(DATOS!$I14766,CONFIG_ASIGNATURAS!$B$2:$J$91,9,FALSE()),""))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IF(DATOS!$A14767="",0,IF(CONFIG_METADATA!$B$4&lt;&gt;"OR+EX",--(DATOS!$G14767=CONFIG_METADATA!$B$4),IF(DATOS!$G14767="EX",1,IF(DATOS!$G14767="OR",--(COUNTIFS(nNIA,DATOS!$A14767,nCURSO,DATOS!$D14767,nESPEC,DATOS!$E14767,nASIG,DATOS!$I14767,nEVAL,"EX")=0),0))))</f>
      </c>
      <c r="H14767">
        <f>IF(DATOS!$G14767&lt;&gt;"EX",0,--(COUNTIFS(nNIA,DATOS!$A14767,nCURSO,DATOS!$D14767,nESPEC,DATOS!$E14767,nASIG,DATOS!$I14767,nEVAL,"OR")=0))</f>
      </c>
      <c r="I14767">
        <f>IF(DATOS!$I14767="","",IFERROR(VLOOKUP(DATOS!$I14767,CONFIG_ASIGNATURAS!$B$2:$J$91,9,FALSE()),""))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IF(DATOS!$A14768="",0,IF(CONFIG_METADATA!$B$4&lt;&gt;"OR+EX",--(DATOS!$G14768=CONFIG_METADATA!$B$4),IF(DATOS!$G14768="EX",1,IF(DATOS!$G14768="OR",--(COUNTIFS(nNIA,DATOS!$A14768,nCURSO,DATOS!$D14768,nESPEC,DATOS!$E14768,nASIG,DATOS!$I14768,nEVAL,"EX")=0),0))))</f>
      </c>
      <c r="H14768">
        <f>IF(DATOS!$G14768&lt;&gt;"EX",0,--(COUNTIFS(nNIA,DATOS!$A14768,nCURSO,DATOS!$D14768,nESPEC,DATOS!$E14768,nASIG,DATOS!$I14768,nEVAL,"OR")=0))</f>
      </c>
      <c r="I14768">
        <f>IF(DATOS!$I14768="","",IFERROR(VLOOKUP(DATOS!$I14768,CONFIG_ASIGNATURAS!$B$2:$J$91,9,FALSE()),""))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IF(DATOS!$A14769="",0,IF(CONFIG_METADATA!$B$4&lt;&gt;"OR+EX",--(DATOS!$G14769=CONFIG_METADATA!$B$4),IF(DATOS!$G14769="EX",1,IF(DATOS!$G14769="OR",--(COUNTIFS(nNIA,DATOS!$A14769,nCURSO,DATOS!$D14769,nESPEC,DATOS!$E14769,nASIG,DATOS!$I14769,nEVAL,"EX")=0),0))))</f>
      </c>
      <c r="H14769">
        <f>IF(DATOS!$G14769&lt;&gt;"EX",0,--(COUNTIFS(nNIA,DATOS!$A14769,nCURSO,DATOS!$D14769,nESPEC,DATOS!$E14769,nASIG,DATOS!$I14769,nEVAL,"OR")=0))</f>
      </c>
      <c r="I14769">
        <f>IF(DATOS!$I14769="","",IFERROR(VLOOKUP(DATOS!$I14769,CONFIG_ASIGNATURAS!$B$2:$J$91,9,FALSE()),""))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IF(DATOS!$A14770="",0,IF(CONFIG_METADATA!$B$4&lt;&gt;"OR+EX",--(DATOS!$G14770=CONFIG_METADATA!$B$4),IF(DATOS!$G14770="EX",1,IF(DATOS!$G14770="OR",--(COUNTIFS(nNIA,DATOS!$A14770,nCURSO,DATOS!$D14770,nESPEC,DATOS!$E14770,nASIG,DATOS!$I14770,nEVAL,"EX")=0),0))))</f>
      </c>
      <c r="H14770">
        <f>IF(DATOS!$G14770&lt;&gt;"EX",0,--(COUNTIFS(nNIA,DATOS!$A14770,nCURSO,DATOS!$D14770,nESPEC,DATOS!$E14770,nASIG,DATOS!$I14770,nEVAL,"OR")=0))</f>
      </c>
      <c r="I14770">
        <f>IF(DATOS!$I14770="","",IFERROR(VLOOKUP(DATOS!$I14770,CONFIG_ASIGNATURAS!$B$2:$J$91,9,FALSE()),""))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IF(DATOS!$A14771="",0,IF(CONFIG_METADATA!$B$4&lt;&gt;"OR+EX",--(DATOS!$G14771=CONFIG_METADATA!$B$4),IF(DATOS!$G14771="EX",1,IF(DATOS!$G14771="OR",--(COUNTIFS(nNIA,DATOS!$A14771,nCURSO,DATOS!$D14771,nESPEC,DATOS!$E14771,nASIG,DATOS!$I14771,nEVAL,"EX")=0),0))))</f>
      </c>
      <c r="H14771">
        <f>IF(DATOS!$G14771&lt;&gt;"EX",0,--(COUNTIFS(nNIA,DATOS!$A14771,nCURSO,DATOS!$D14771,nESPEC,DATOS!$E14771,nASIG,DATOS!$I14771,nEVAL,"OR")=0))</f>
      </c>
      <c r="I14771">
        <f>IF(DATOS!$I14771="","",IFERROR(VLOOKUP(DATOS!$I14771,CONFIG_ASIGNATURAS!$B$2:$J$91,9,FALSE()),""))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IF(DATOS!$A14772="",0,IF(CONFIG_METADATA!$B$4&lt;&gt;"OR+EX",--(DATOS!$G14772=CONFIG_METADATA!$B$4),IF(DATOS!$G14772="EX",1,IF(DATOS!$G14772="OR",--(COUNTIFS(nNIA,DATOS!$A14772,nCURSO,DATOS!$D14772,nESPEC,DATOS!$E14772,nASIG,DATOS!$I14772,nEVAL,"EX")=0),0))))</f>
      </c>
      <c r="H14772">
        <f>IF(DATOS!$G14772&lt;&gt;"EX",0,--(COUNTIFS(nNIA,DATOS!$A14772,nCURSO,DATOS!$D14772,nESPEC,DATOS!$E14772,nASIG,DATOS!$I14772,nEVAL,"OR")=0))</f>
      </c>
      <c r="I14772">
        <f>IF(DATOS!$I14772="","",IFERROR(VLOOKUP(DATOS!$I14772,CONFIG_ASIGNATURAS!$B$2:$J$91,9,FALSE()),""))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IF(DATOS!$A14773="",0,IF(CONFIG_METADATA!$B$4&lt;&gt;"OR+EX",--(DATOS!$G14773=CONFIG_METADATA!$B$4),IF(DATOS!$G14773="EX",1,IF(DATOS!$G14773="OR",--(COUNTIFS(nNIA,DATOS!$A14773,nCURSO,DATOS!$D14773,nESPEC,DATOS!$E14773,nASIG,DATOS!$I14773,nEVAL,"EX")=0),0))))</f>
      </c>
      <c r="H14773">
        <f>IF(DATOS!$G14773&lt;&gt;"EX",0,--(COUNTIFS(nNIA,DATOS!$A14773,nCURSO,DATOS!$D14773,nESPEC,DATOS!$E14773,nASIG,DATOS!$I14773,nEVAL,"OR")=0))</f>
      </c>
      <c r="I14773">
        <f>IF(DATOS!$I14773="","",IFERROR(VLOOKUP(DATOS!$I14773,CONFIG_ASIGNATURAS!$B$2:$J$91,9,FALSE()),""))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IF(DATOS!$A14774="",0,IF(CONFIG_METADATA!$B$4&lt;&gt;"OR+EX",--(DATOS!$G14774=CONFIG_METADATA!$B$4),IF(DATOS!$G14774="EX",1,IF(DATOS!$G14774="OR",--(COUNTIFS(nNIA,DATOS!$A14774,nCURSO,DATOS!$D14774,nESPEC,DATOS!$E14774,nASIG,DATOS!$I14774,nEVAL,"EX")=0),0))))</f>
      </c>
      <c r="H14774">
        <f>IF(DATOS!$G14774&lt;&gt;"EX",0,--(COUNTIFS(nNIA,DATOS!$A14774,nCURSO,DATOS!$D14774,nESPEC,DATOS!$E14774,nASIG,DATOS!$I14774,nEVAL,"OR")=0))</f>
      </c>
      <c r="I14774">
        <f>IF(DATOS!$I14774="","",IFERROR(VLOOKUP(DATOS!$I14774,CONFIG_ASIGNATURAS!$B$2:$J$91,9,FALSE()),""))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IF(DATOS!$A14775="",0,IF(CONFIG_METADATA!$B$4&lt;&gt;"OR+EX",--(DATOS!$G14775=CONFIG_METADATA!$B$4),IF(DATOS!$G14775="EX",1,IF(DATOS!$G14775="OR",--(COUNTIFS(nNIA,DATOS!$A14775,nCURSO,DATOS!$D14775,nESPEC,DATOS!$E14775,nASIG,DATOS!$I14775,nEVAL,"EX")=0),0))))</f>
      </c>
      <c r="H14775">
        <f>IF(DATOS!$G14775&lt;&gt;"EX",0,--(COUNTIFS(nNIA,DATOS!$A14775,nCURSO,DATOS!$D14775,nESPEC,DATOS!$E14775,nASIG,DATOS!$I14775,nEVAL,"OR")=0))</f>
      </c>
      <c r="I14775">
        <f>IF(DATOS!$I14775="","",IFERROR(VLOOKUP(DATOS!$I14775,CONFIG_ASIGNATURAS!$B$2:$J$91,9,FALSE()),""))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IF(DATOS!$A14776="",0,IF(CONFIG_METADATA!$B$4&lt;&gt;"OR+EX",--(DATOS!$G14776=CONFIG_METADATA!$B$4),IF(DATOS!$G14776="EX",1,IF(DATOS!$G14776="OR",--(COUNTIFS(nNIA,DATOS!$A14776,nCURSO,DATOS!$D14776,nESPEC,DATOS!$E14776,nASIG,DATOS!$I14776,nEVAL,"EX")=0),0))))</f>
      </c>
      <c r="H14776">
        <f>IF(DATOS!$G14776&lt;&gt;"EX",0,--(COUNTIFS(nNIA,DATOS!$A14776,nCURSO,DATOS!$D14776,nESPEC,DATOS!$E14776,nASIG,DATOS!$I14776,nEVAL,"OR")=0))</f>
      </c>
      <c r="I14776">
        <f>IF(DATOS!$I14776="","",IFERROR(VLOOKUP(DATOS!$I14776,CONFIG_ASIGNATURAS!$B$2:$J$91,9,FALSE()),""))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IF(DATOS!$A14777="",0,IF(CONFIG_METADATA!$B$4&lt;&gt;"OR+EX",--(DATOS!$G14777=CONFIG_METADATA!$B$4),IF(DATOS!$G14777="EX",1,IF(DATOS!$G14777="OR",--(COUNTIFS(nNIA,DATOS!$A14777,nCURSO,DATOS!$D14777,nESPEC,DATOS!$E14777,nASIG,DATOS!$I14777,nEVAL,"EX")=0),0))))</f>
      </c>
      <c r="H14777">
        <f>IF(DATOS!$G14777&lt;&gt;"EX",0,--(COUNTIFS(nNIA,DATOS!$A14777,nCURSO,DATOS!$D14777,nESPEC,DATOS!$E14777,nASIG,DATOS!$I14777,nEVAL,"OR")=0))</f>
      </c>
      <c r="I14777">
        <f>IF(DATOS!$I14777="","",IFERROR(VLOOKUP(DATOS!$I14777,CONFIG_ASIGNATURAS!$B$2:$J$91,9,FALSE()),""))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IF(DATOS!$A14778="",0,IF(CONFIG_METADATA!$B$4&lt;&gt;"OR+EX",--(DATOS!$G14778=CONFIG_METADATA!$B$4),IF(DATOS!$G14778="EX",1,IF(DATOS!$G14778="OR",--(COUNTIFS(nNIA,DATOS!$A14778,nCURSO,DATOS!$D14778,nESPEC,DATOS!$E14778,nASIG,DATOS!$I14778,nEVAL,"EX")=0),0))))</f>
      </c>
      <c r="H14778">
        <f>IF(DATOS!$G14778&lt;&gt;"EX",0,--(COUNTIFS(nNIA,DATOS!$A14778,nCURSO,DATOS!$D14778,nESPEC,DATOS!$E14778,nASIG,DATOS!$I14778,nEVAL,"OR")=0))</f>
      </c>
      <c r="I14778">
        <f>IF(DATOS!$I14778="","",IFERROR(VLOOKUP(DATOS!$I14778,CONFIG_ASIGNATURAS!$B$2:$J$91,9,FALSE()),""))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IF(DATOS!$A14779="",0,IF(CONFIG_METADATA!$B$4&lt;&gt;"OR+EX",--(DATOS!$G14779=CONFIG_METADATA!$B$4),IF(DATOS!$G14779="EX",1,IF(DATOS!$G14779="OR",--(COUNTIFS(nNIA,DATOS!$A14779,nCURSO,DATOS!$D14779,nESPEC,DATOS!$E14779,nASIG,DATOS!$I14779,nEVAL,"EX")=0),0))))</f>
      </c>
      <c r="H14779">
        <f>IF(DATOS!$G14779&lt;&gt;"EX",0,--(COUNTIFS(nNIA,DATOS!$A14779,nCURSO,DATOS!$D14779,nESPEC,DATOS!$E14779,nASIG,DATOS!$I14779,nEVAL,"OR")=0))</f>
      </c>
      <c r="I14779">
        <f>IF(DATOS!$I14779="","",IFERROR(VLOOKUP(DATOS!$I14779,CONFIG_ASIGNATURAS!$B$2:$J$91,9,FALSE()),""))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IF(DATOS!$A14780="",0,IF(CONFIG_METADATA!$B$4&lt;&gt;"OR+EX",--(DATOS!$G14780=CONFIG_METADATA!$B$4),IF(DATOS!$G14780="EX",1,IF(DATOS!$G14780="OR",--(COUNTIFS(nNIA,DATOS!$A14780,nCURSO,DATOS!$D14780,nESPEC,DATOS!$E14780,nASIG,DATOS!$I14780,nEVAL,"EX")=0),0))))</f>
      </c>
      <c r="H14780">
        <f>IF(DATOS!$G14780&lt;&gt;"EX",0,--(COUNTIFS(nNIA,DATOS!$A14780,nCURSO,DATOS!$D14780,nESPEC,DATOS!$E14780,nASIG,DATOS!$I14780,nEVAL,"OR")=0))</f>
      </c>
      <c r="I14780">
        <f>IF(DATOS!$I14780="","",IFERROR(VLOOKUP(DATOS!$I14780,CONFIG_ASIGNATURAS!$B$2:$J$91,9,FALSE()),""))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IF(DATOS!$A14781="",0,IF(CONFIG_METADATA!$B$4&lt;&gt;"OR+EX",--(DATOS!$G14781=CONFIG_METADATA!$B$4),IF(DATOS!$G14781="EX",1,IF(DATOS!$G14781="OR",--(COUNTIFS(nNIA,DATOS!$A14781,nCURSO,DATOS!$D14781,nESPEC,DATOS!$E14781,nASIG,DATOS!$I14781,nEVAL,"EX")=0),0))))</f>
      </c>
      <c r="H14781">
        <f>IF(DATOS!$G14781&lt;&gt;"EX",0,--(COUNTIFS(nNIA,DATOS!$A14781,nCURSO,DATOS!$D14781,nESPEC,DATOS!$E14781,nASIG,DATOS!$I14781,nEVAL,"OR")=0))</f>
      </c>
      <c r="I14781">
        <f>IF(DATOS!$I14781="","",IFERROR(VLOOKUP(DATOS!$I14781,CONFIG_ASIGNATURAS!$B$2:$J$91,9,FALSE()),""))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IF(DATOS!$A14782="",0,IF(CONFIG_METADATA!$B$4&lt;&gt;"OR+EX",--(DATOS!$G14782=CONFIG_METADATA!$B$4),IF(DATOS!$G14782="EX",1,IF(DATOS!$G14782="OR",--(COUNTIFS(nNIA,DATOS!$A14782,nCURSO,DATOS!$D14782,nESPEC,DATOS!$E14782,nASIG,DATOS!$I14782,nEVAL,"EX")=0),0))))</f>
      </c>
      <c r="H14782">
        <f>IF(DATOS!$G14782&lt;&gt;"EX",0,--(COUNTIFS(nNIA,DATOS!$A14782,nCURSO,DATOS!$D14782,nESPEC,DATOS!$E14782,nASIG,DATOS!$I14782,nEVAL,"OR")=0))</f>
      </c>
      <c r="I14782">
        <f>IF(DATOS!$I14782="","",IFERROR(VLOOKUP(DATOS!$I14782,CONFIG_ASIGNATURAS!$B$2:$J$91,9,FALSE()),""))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IF(DATOS!$A14783="",0,IF(CONFIG_METADATA!$B$4&lt;&gt;"OR+EX",--(DATOS!$G14783=CONFIG_METADATA!$B$4),IF(DATOS!$G14783="EX",1,IF(DATOS!$G14783="OR",--(COUNTIFS(nNIA,DATOS!$A14783,nCURSO,DATOS!$D14783,nESPEC,DATOS!$E14783,nASIG,DATOS!$I14783,nEVAL,"EX")=0),0))))</f>
      </c>
      <c r="H14783">
        <f>IF(DATOS!$G14783&lt;&gt;"EX",0,--(COUNTIFS(nNIA,DATOS!$A14783,nCURSO,DATOS!$D14783,nESPEC,DATOS!$E14783,nASIG,DATOS!$I14783,nEVAL,"OR")=0))</f>
      </c>
      <c r="I14783">
        <f>IF(DATOS!$I14783="","",IFERROR(VLOOKUP(DATOS!$I14783,CONFIG_ASIGNATURAS!$B$2:$J$91,9,FALSE()),""))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IF(DATOS!$A14784="",0,IF(CONFIG_METADATA!$B$4&lt;&gt;"OR+EX",--(DATOS!$G14784=CONFIG_METADATA!$B$4),IF(DATOS!$G14784="EX",1,IF(DATOS!$G14784="OR",--(COUNTIFS(nNIA,DATOS!$A14784,nCURSO,DATOS!$D14784,nESPEC,DATOS!$E14784,nASIG,DATOS!$I14784,nEVAL,"EX")=0),0))))</f>
      </c>
      <c r="H14784">
        <f>IF(DATOS!$G14784&lt;&gt;"EX",0,--(COUNTIFS(nNIA,DATOS!$A14784,nCURSO,DATOS!$D14784,nESPEC,DATOS!$E14784,nASIG,DATOS!$I14784,nEVAL,"OR")=0))</f>
      </c>
      <c r="I14784">
        <f>IF(DATOS!$I14784="","",IFERROR(VLOOKUP(DATOS!$I14784,CONFIG_ASIGNATURAS!$B$2:$J$91,9,FALSE()),""))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IF(DATOS!$A14785="",0,IF(CONFIG_METADATA!$B$4&lt;&gt;"OR+EX",--(DATOS!$G14785=CONFIG_METADATA!$B$4),IF(DATOS!$G14785="EX",1,IF(DATOS!$G14785="OR",--(COUNTIFS(nNIA,DATOS!$A14785,nCURSO,DATOS!$D14785,nESPEC,DATOS!$E14785,nASIG,DATOS!$I14785,nEVAL,"EX")=0),0))))</f>
      </c>
      <c r="H14785">
        <f>IF(DATOS!$G14785&lt;&gt;"EX",0,--(COUNTIFS(nNIA,DATOS!$A14785,nCURSO,DATOS!$D14785,nESPEC,DATOS!$E14785,nASIG,DATOS!$I14785,nEVAL,"OR")=0))</f>
      </c>
      <c r="I14785">
        <f>IF(DATOS!$I14785="","",IFERROR(VLOOKUP(DATOS!$I14785,CONFIG_ASIGNATURAS!$B$2:$J$91,9,FALSE()),""))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IF(DATOS!$A14786="",0,IF(CONFIG_METADATA!$B$4&lt;&gt;"OR+EX",--(DATOS!$G14786=CONFIG_METADATA!$B$4),IF(DATOS!$G14786="EX",1,IF(DATOS!$G14786="OR",--(COUNTIFS(nNIA,DATOS!$A14786,nCURSO,DATOS!$D14786,nESPEC,DATOS!$E14786,nASIG,DATOS!$I14786,nEVAL,"EX")=0),0))))</f>
      </c>
      <c r="H14786">
        <f>IF(DATOS!$G14786&lt;&gt;"EX",0,--(COUNTIFS(nNIA,DATOS!$A14786,nCURSO,DATOS!$D14786,nESPEC,DATOS!$E14786,nASIG,DATOS!$I14786,nEVAL,"OR")=0))</f>
      </c>
      <c r="I14786">
        <f>IF(DATOS!$I14786="","",IFERROR(VLOOKUP(DATOS!$I14786,CONFIG_ASIGNATURAS!$B$2:$J$91,9,FALSE()),""))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IF(DATOS!$A14787="",0,IF(CONFIG_METADATA!$B$4&lt;&gt;"OR+EX",--(DATOS!$G14787=CONFIG_METADATA!$B$4),IF(DATOS!$G14787="EX",1,IF(DATOS!$G14787="OR",--(COUNTIFS(nNIA,DATOS!$A14787,nCURSO,DATOS!$D14787,nESPEC,DATOS!$E14787,nASIG,DATOS!$I14787,nEVAL,"EX")=0),0))))</f>
      </c>
      <c r="H14787">
        <f>IF(DATOS!$G14787&lt;&gt;"EX",0,--(COUNTIFS(nNIA,DATOS!$A14787,nCURSO,DATOS!$D14787,nESPEC,DATOS!$E14787,nASIG,DATOS!$I14787,nEVAL,"OR")=0))</f>
      </c>
      <c r="I14787">
        <f>IF(DATOS!$I14787="","",IFERROR(VLOOKUP(DATOS!$I14787,CONFIG_ASIGNATURAS!$B$2:$J$91,9,FALSE()),""))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IF(DATOS!$A14788="",0,IF(CONFIG_METADATA!$B$4&lt;&gt;"OR+EX",--(DATOS!$G14788=CONFIG_METADATA!$B$4),IF(DATOS!$G14788="EX",1,IF(DATOS!$G14788="OR",--(COUNTIFS(nNIA,DATOS!$A14788,nCURSO,DATOS!$D14788,nESPEC,DATOS!$E14788,nASIG,DATOS!$I14788,nEVAL,"EX")=0),0))))</f>
      </c>
      <c r="H14788">
        <f>IF(DATOS!$G14788&lt;&gt;"EX",0,--(COUNTIFS(nNIA,DATOS!$A14788,nCURSO,DATOS!$D14788,nESPEC,DATOS!$E14788,nASIG,DATOS!$I14788,nEVAL,"OR")=0))</f>
      </c>
      <c r="I14788">
        <f>IF(DATOS!$I14788="","",IFERROR(VLOOKUP(DATOS!$I14788,CONFIG_ASIGNATURAS!$B$2:$J$91,9,FALSE()),""))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IF(DATOS!$A14789="",0,IF(CONFIG_METADATA!$B$4&lt;&gt;"OR+EX",--(DATOS!$G14789=CONFIG_METADATA!$B$4),IF(DATOS!$G14789="EX",1,IF(DATOS!$G14789="OR",--(COUNTIFS(nNIA,DATOS!$A14789,nCURSO,DATOS!$D14789,nESPEC,DATOS!$E14789,nASIG,DATOS!$I14789,nEVAL,"EX")=0),0))))</f>
      </c>
      <c r="H14789">
        <f>IF(DATOS!$G14789&lt;&gt;"EX",0,--(COUNTIFS(nNIA,DATOS!$A14789,nCURSO,DATOS!$D14789,nESPEC,DATOS!$E14789,nASIG,DATOS!$I14789,nEVAL,"OR")=0))</f>
      </c>
      <c r="I14789">
        <f>IF(DATOS!$I14789="","",IFERROR(VLOOKUP(DATOS!$I14789,CONFIG_ASIGNATURAS!$B$2:$J$91,9,FALSE()),""))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IF(DATOS!$A14790="",0,IF(CONFIG_METADATA!$B$4&lt;&gt;"OR+EX",--(DATOS!$G14790=CONFIG_METADATA!$B$4),IF(DATOS!$G14790="EX",1,IF(DATOS!$G14790="OR",--(COUNTIFS(nNIA,DATOS!$A14790,nCURSO,DATOS!$D14790,nESPEC,DATOS!$E14790,nASIG,DATOS!$I14790,nEVAL,"EX")=0),0))))</f>
      </c>
      <c r="H14790">
        <f>IF(DATOS!$G14790&lt;&gt;"EX",0,--(COUNTIFS(nNIA,DATOS!$A14790,nCURSO,DATOS!$D14790,nESPEC,DATOS!$E14790,nASIG,DATOS!$I14790,nEVAL,"OR")=0))</f>
      </c>
      <c r="I14790">
        <f>IF(DATOS!$I14790="","",IFERROR(VLOOKUP(DATOS!$I14790,CONFIG_ASIGNATURAS!$B$2:$J$91,9,FALSE()),""))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IF(DATOS!$A14791="",0,IF(CONFIG_METADATA!$B$4&lt;&gt;"OR+EX",--(DATOS!$G14791=CONFIG_METADATA!$B$4),IF(DATOS!$G14791="EX",1,IF(DATOS!$G14791="OR",--(COUNTIFS(nNIA,DATOS!$A14791,nCURSO,DATOS!$D14791,nESPEC,DATOS!$E14791,nASIG,DATOS!$I14791,nEVAL,"EX")=0),0))))</f>
      </c>
      <c r="H14791">
        <f>IF(DATOS!$G14791&lt;&gt;"EX",0,--(COUNTIFS(nNIA,DATOS!$A14791,nCURSO,DATOS!$D14791,nESPEC,DATOS!$E14791,nASIG,DATOS!$I14791,nEVAL,"OR")=0))</f>
      </c>
      <c r="I14791">
        <f>IF(DATOS!$I14791="","",IFERROR(VLOOKUP(DATOS!$I14791,CONFIG_ASIGNATURAS!$B$2:$J$91,9,FALSE()),""))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IF(DATOS!$A14792="",0,IF(CONFIG_METADATA!$B$4&lt;&gt;"OR+EX",--(DATOS!$G14792=CONFIG_METADATA!$B$4),IF(DATOS!$G14792="EX",1,IF(DATOS!$G14792="OR",--(COUNTIFS(nNIA,DATOS!$A14792,nCURSO,DATOS!$D14792,nESPEC,DATOS!$E14792,nASIG,DATOS!$I14792,nEVAL,"EX")=0),0))))</f>
      </c>
      <c r="H14792">
        <f>IF(DATOS!$G14792&lt;&gt;"EX",0,--(COUNTIFS(nNIA,DATOS!$A14792,nCURSO,DATOS!$D14792,nESPEC,DATOS!$E14792,nASIG,DATOS!$I14792,nEVAL,"OR")=0))</f>
      </c>
      <c r="I14792">
        <f>IF(DATOS!$I14792="","",IFERROR(VLOOKUP(DATOS!$I14792,CONFIG_ASIGNATURAS!$B$2:$J$91,9,FALSE()),""))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IF(DATOS!$A14793="",0,IF(CONFIG_METADATA!$B$4&lt;&gt;"OR+EX",--(DATOS!$G14793=CONFIG_METADATA!$B$4),IF(DATOS!$G14793="EX",1,IF(DATOS!$G14793="OR",--(COUNTIFS(nNIA,DATOS!$A14793,nCURSO,DATOS!$D14793,nESPEC,DATOS!$E14793,nASIG,DATOS!$I14793,nEVAL,"EX")=0),0))))</f>
      </c>
      <c r="H14793">
        <f>IF(DATOS!$G14793&lt;&gt;"EX",0,--(COUNTIFS(nNIA,DATOS!$A14793,nCURSO,DATOS!$D14793,nESPEC,DATOS!$E14793,nASIG,DATOS!$I14793,nEVAL,"OR")=0))</f>
      </c>
      <c r="I14793">
        <f>IF(DATOS!$I14793="","",IFERROR(VLOOKUP(DATOS!$I14793,CONFIG_ASIGNATURAS!$B$2:$J$91,9,FALSE()),""))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IF(DATOS!$A14794="",0,IF(CONFIG_METADATA!$B$4&lt;&gt;"OR+EX",--(DATOS!$G14794=CONFIG_METADATA!$B$4),IF(DATOS!$G14794="EX",1,IF(DATOS!$G14794="OR",--(COUNTIFS(nNIA,DATOS!$A14794,nCURSO,DATOS!$D14794,nESPEC,DATOS!$E14794,nASIG,DATOS!$I14794,nEVAL,"EX")=0),0))))</f>
      </c>
      <c r="H14794">
        <f>IF(DATOS!$G14794&lt;&gt;"EX",0,--(COUNTIFS(nNIA,DATOS!$A14794,nCURSO,DATOS!$D14794,nESPEC,DATOS!$E14794,nASIG,DATOS!$I14794,nEVAL,"OR")=0))</f>
      </c>
      <c r="I14794">
        <f>IF(DATOS!$I14794="","",IFERROR(VLOOKUP(DATOS!$I14794,CONFIG_ASIGNATURAS!$B$2:$J$91,9,FALSE()),""))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IF(DATOS!$A14795="",0,IF(CONFIG_METADATA!$B$4&lt;&gt;"OR+EX",--(DATOS!$G14795=CONFIG_METADATA!$B$4),IF(DATOS!$G14795="EX",1,IF(DATOS!$G14795="OR",--(COUNTIFS(nNIA,DATOS!$A14795,nCURSO,DATOS!$D14795,nESPEC,DATOS!$E14795,nASIG,DATOS!$I14795,nEVAL,"EX")=0),0))))</f>
      </c>
      <c r="H14795">
        <f>IF(DATOS!$G14795&lt;&gt;"EX",0,--(COUNTIFS(nNIA,DATOS!$A14795,nCURSO,DATOS!$D14795,nESPEC,DATOS!$E14795,nASIG,DATOS!$I14795,nEVAL,"OR")=0))</f>
      </c>
      <c r="I14795">
        <f>IF(DATOS!$I14795="","",IFERROR(VLOOKUP(DATOS!$I14795,CONFIG_ASIGNATURAS!$B$2:$J$91,9,FALSE()),""))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IF(DATOS!$A14796="",0,IF(CONFIG_METADATA!$B$4&lt;&gt;"OR+EX",--(DATOS!$G14796=CONFIG_METADATA!$B$4),IF(DATOS!$G14796="EX",1,IF(DATOS!$G14796="OR",--(COUNTIFS(nNIA,DATOS!$A14796,nCURSO,DATOS!$D14796,nESPEC,DATOS!$E14796,nASIG,DATOS!$I14796,nEVAL,"EX")=0),0))))</f>
      </c>
      <c r="H14796">
        <f>IF(DATOS!$G14796&lt;&gt;"EX",0,--(COUNTIFS(nNIA,DATOS!$A14796,nCURSO,DATOS!$D14796,nESPEC,DATOS!$E14796,nASIG,DATOS!$I14796,nEVAL,"OR")=0))</f>
      </c>
      <c r="I14796">
        <f>IF(DATOS!$I14796="","",IFERROR(VLOOKUP(DATOS!$I14796,CONFIG_ASIGNATURAS!$B$2:$J$91,9,FALSE()),""))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IF(DATOS!$A14797="",0,IF(CONFIG_METADATA!$B$4&lt;&gt;"OR+EX",--(DATOS!$G14797=CONFIG_METADATA!$B$4),IF(DATOS!$G14797="EX",1,IF(DATOS!$G14797="OR",--(COUNTIFS(nNIA,DATOS!$A14797,nCURSO,DATOS!$D14797,nESPEC,DATOS!$E14797,nASIG,DATOS!$I14797,nEVAL,"EX")=0),0))))</f>
      </c>
      <c r="H14797">
        <f>IF(DATOS!$G14797&lt;&gt;"EX",0,--(COUNTIFS(nNIA,DATOS!$A14797,nCURSO,DATOS!$D14797,nESPEC,DATOS!$E14797,nASIG,DATOS!$I14797,nEVAL,"OR")=0))</f>
      </c>
      <c r="I14797">
        <f>IF(DATOS!$I14797="","",IFERROR(VLOOKUP(DATOS!$I14797,CONFIG_ASIGNATURAS!$B$2:$J$91,9,FALSE()),""))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IF(DATOS!$A14798="",0,IF(CONFIG_METADATA!$B$4&lt;&gt;"OR+EX",--(DATOS!$G14798=CONFIG_METADATA!$B$4),IF(DATOS!$G14798="EX",1,IF(DATOS!$G14798="OR",--(COUNTIFS(nNIA,DATOS!$A14798,nCURSO,DATOS!$D14798,nESPEC,DATOS!$E14798,nASIG,DATOS!$I14798,nEVAL,"EX")=0),0))))</f>
      </c>
      <c r="H14798">
        <f>IF(DATOS!$G14798&lt;&gt;"EX",0,--(COUNTIFS(nNIA,DATOS!$A14798,nCURSO,DATOS!$D14798,nESPEC,DATOS!$E14798,nASIG,DATOS!$I14798,nEVAL,"OR")=0))</f>
      </c>
      <c r="I14798">
        <f>IF(DATOS!$I14798="","",IFERROR(VLOOKUP(DATOS!$I14798,CONFIG_ASIGNATURAS!$B$2:$J$91,9,FALSE()),""))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IF(DATOS!$A14799="",0,IF(CONFIG_METADATA!$B$4&lt;&gt;"OR+EX",--(DATOS!$G14799=CONFIG_METADATA!$B$4),IF(DATOS!$G14799="EX",1,IF(DATOS!$G14799="OR",--(COUNTIFS(nNIA,DATOS!$A14799,nCURSO,DATOS!$D14799,nESPEC,DATOS!$E14799,nASIG,DATOS!$I14799,nEVAL,"EX")=0),0))))</f>
      </c>
      <c r="H14799">
        <f>IF(DATOS!$G14799&lt;&gt;"EX",0,--(COUNTIFS(nNIA,DATOS!$A14799,nCURSO,DATOS!$D14799,nESPEC,DATOS!$E14799,nASIG,DATOS!$I14799,nEVAL,"OR")=0))</f>
      </c>
      <c r="I14799">
        <f>IF(DATOS!$I14799="","",IFERROR(VLOOKUP(DATOS!$I14799,CONFIG_ASIGNATURAS!$B$2:$J$91,9,FALSE()),""))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IF(DATOS!$A14800="",0,IF(CONFIG_METADATA!$B$4&lt;&gt;"OR+EX",--(DATOS!$G14800=CONFIG_METADATA!$B$4),IF(DATOS!$G14800="EX",1,IF(DATOS!$G14800="OR",--(COUNTIFS(nNIA,DATOS!$A14800,nCURSO,DATOS!$D14800,nESPEC,DATOS!$E14800,nASIG,DATOS!$I14800,nEVAL,"EX")=0),0))))</f>
      </c>
      <c r="H14800">
        <f>IF(DATOS!$G14800&lt;&gt;"EX",0,--(COUNTIFS(nNIA,DATOS!$A14800,nCURSO,DATOS!$D14800,nESPEC,DATOS!$E14800,nASIG,DATOS!$I14800,nEVAL,"OR")=0))</f>
      </c>
      <c r="I14800">
        <f>IF(DATOS!$I14800="","",IFERROR(VLOOKUP(DATOS!$I14800,CONFIG_ASIGNATURAS!$B$2:$J$91,9,FALSE()),""))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IF(DATOS!$A14801="",0,IF(CONFIG_METADATA!$B$4&lt;&gt;"OR+EX",--(DATOS!$G14801=CONFIG_METADATA!$B$4),IF(DATOS!$G14801="EX",1,IF(DATOS!$G14801="OR",--(COUNTIFS(nNIA,DATOS!$A14801,nCURSO,DATOS!$D14801,nESPEC,DATOS!$E14801,nASIG,DATOS!$I14801,nEVAL,"EX")=0),0))))</f>
      </c>
      <c r="H14801">
        <f>IF(DATOS!$G14801&lt;&gt;"EX",0,--(COUNTIFS(nNIA,DATOS!$A14801,nCURSO,DATOS!$D14801,nESPEC,DATOS!$E14801,nASIG,DATOS!$I14801,nEVAL,"OR")=0))</f>
      </c>
      <c r="I14801">
        <f>IF(DATOS!$I14801="","",IFERROR(VLOOKUP(DATOS!$I14801,CONFIG_ASIGNATURAS!$B$2:$J$91,9,FALSE()),""))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IF(DATOS!$A14802="",0,IF(CONFIG_METADATA!$B$4&lt;&gt;"OR+EX",--(DATOS!$G14802=CONFIG_METADATA!$B$4),IF(DATOS!$G14802="EX",1,IF(DATOS!$G14802="OR",--(COUNTIFS(nNIA,DATOS!$A14802,nCURSO,DATOS!$D14802,nESPEC,DATOS!$E14802,nASIG,DATOS!$I14802,nEVAL,"EX")=0),0))))</f>
      </c>
      <c r="H14802">
        <f>IF(DATOS!$G14802&lt;&gt;"EX",0,--(COUNTIFS(nNIA,DATOS!$A14802,nCURSO,DATOS!$D14802,nESPEC,DATOS!$E14802,nASIG,DATOS!$I14802,nEVAL,"OR")=0))</f>
      </c>
      <c r="I14802">
        <f>IF(DATOS!$I14802="","",IFERROR(VLOOKUP(DATOS!$I14802,CONFIG_ASIGNATURAS!$B$2:$J$91,9,FALSE()),""))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IF(DATOS!$A14803="",0,IF(CONFIG_METADATA!$B$4&lt;&gt;"OR+EX",--(DATOS!$G14803=CONFIG_METADATA!$B$4),IF(DATOS!$G14803="EX",1,IF(DATOS!$G14803="OR",--(COUNTIFS(nNIA,DATOS!$A14803,nCURSO,DATOS!$D14803,nESPEC,DATOS!$E14803,nASIG,DATOS!$I14803,nEVAL,"EX")=0),0))))</f>
      </c>
      <c r="H14803">
        <f>IF(DATOS!$G14803&lt;&gt;"EX",0,--(COUNTIFS(nNIA,DATOS!$A14803,nCURSO,DATOS!$D14803,nESPEC,DATOS!$E14803,nASIG,DATOS!$I14803,nEVAL,"OR")=0))</f>
      </c>
      <c r="I14803">
        <f>IF(DATOS!$I14803="","",IFERROR(VLOOKUP(DATOS!$I14803,CONFIG_ASIGNATURAS!$B$2:$J$91,9,FALSE()),""))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IF(DATOS!$A14804="",0,IF(CONFIG_METADATA!$B$4&lt;&gt;"OR+EX",--(DATOS!$G14804=CONFIG_METADATA!$B$4),IF(DATOS!$G14804="EX",1,IF(DATOS!$G14804="OR",--(COUNTIFS(nNIA,DATOS!$A14804,nCURSO,DATOS!$D14804,nESPEC,DATOS!$E14804,nASIG,DATOS!$I14804,nEVAL,"EX")=0),0))))</f>
      </c>
      <c r="H14804">
        <f>IF(DATOS!$G14804&lt;&gt;"EX",0,--(COUNTIFS(nNIA,DATOS!$A14804,nCURSO,DATOS!$D14804,nESPEC,DATOS!$E14804,nASIG,DATOS!$I14804,nEVAL,"OR")=0))</f>
      </c>
      <c r="I14804">
        <f>IF(DATOS!$I14804="","",IFERROR(VLOOKUP(DATOS!$I14804,CONFIG_ASIGNATURAS!$B$2:$J$91,9,FALSE()),""))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IF(DATOS!$A14805="",0,IF(CONFIG_METADATA!$B$4&lt;&gt;"OR+EX",--(DATOS!$G14805=CONFIG_METADATA!$B$4),IF(DATOS!$G14805="EX",1,IF(DATOS!$G14805="OR",--(COUNTIFS(nNIA,DATOS!$A14805,nCURSO,DATOS!$D14805,nESPEC,DATOS!$E14805,nASIG,DATOS!$I14805,nEVAL,"EX")=0),0))))</f>
      </c>
      <c r="H14805">
        <f>IF(DATOS!$G14805&lt;&gt;"EX",0,--(COUNTIFS(nNIA,DATOS!$A14805,nCURSO,DATOS!$D14805,nESPEC,DATOS!$E14805,nASIG,DATOS!$I14805,nEVAL,"OR")=0))</f>
      </c>
      <c r="I14805">
        <f>IF(DATOS!$I14805="","",IFERROR(VLOOKUP(DATOS!$I14805,CONFIG_ASIGNATURAS!$B$2:$J$91,9,FALSE()),""))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IF(DATOS!$A14806="",0,IF(CONFIG_METADATA!$B$4&lt;&gt;"OR+EX",--(DATOS!$G14806=CONFIG_METADATA!$B$4),IF(DATOS!$G14806="EX",1,IF(DATOS!$G14806="OR",--(COUNTIFS(nNIA,DATOS!$A14806,nCURSO,DATOS!$D14806,nESPEC,DATOS!$E14806,nASIG,DATOS!$I14806,nEVAL,"EX")=0),0))))</f>
      </c>
      <c r="H14806">
        <f>IF(DATOS!$G14806&lt;&gt;"EX",0,--(COUNTIFS(nNIA,DATOS!$A14806,nCURSO,DATOS!$D14806,nESPEC,DATOS!$E14806,nASIG,DATOS!$I14806,nEVAL,"OR")=0))</f>
      </c>
      <c r="I14806">
        <f>IF(DATOS!$I14806="","",IFERROR(VLOOKUP(DATOS!$I14806,CONFIG_ASIGNATURAS!$B$2:$J$91,9,FALSE()),""))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IF(DATOS!$A14807="",0,IF(CONFIG_METADATA!$B$4&lt;&gt;"OR+EX",--(DATOS!$G14807=CONFIG_METADATA!$B$4),IF(DATOS!$G14807="EX",1,IF(DATOS!$G14807="OR",--(COUNTIFS(nNIA,DATOS!$A14807,nCURSO,DATOS!$D14807,nESPEC,DATOS!$E14807,nASIG,DATOS!$I14807,nEVAL,"EX")=0),0))))</f>
      </c>
      <c r="H14807">
        <f>IF(DATOS!$G14807&lt;&gt;"EX",0,--(COUNTIFS(nNIA,DATOS!$A14807,nCURSO,DATOS!$D14807,nESPEC,DATOS!$E14807,nASIG,DATOS!$I14807,nEVAL,"OR")=0))</f>
      </c>
      <c r="I14807">
        <f>IF(DATOS!$I14807="","",IFERROR(VLOOKUP(DATOS!$I14807,CONFIG_ASIGNATURAS!$B$2:$J$91,9,FALSE()),""))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IF(DATOS!$A14808="",0,IF(CONFIG_METADATA!$B$4&lt;&gt;"OR+EX",--(DATOS!$G14808=CONFIG_METADATA!$B$4),IF(DATOS!$G14808="EX",1,IF(DATOS!$G14808="OR",--(COUNTIFS(nNIA,DATOS!$A14808,nCURSO,DATOS!$D14808,nESPEC,DATOS!$E14808,nASIG,DATOS!$I14808,nEVAL,"EX")=0),0))))</f>
      </c>
      <c r="H14808">
        <f>IF(DATOS!$G14808&lt;&gt;"EX",0,--(COUNTIFS(nNIA,DATOS!$A14808,nCURSO,DATOS!$D14808,nESPEC,DATOS!$E14808,nASIG,DATOS!$I14808,nEVAL,"OR")=0))</f>
      </c>
      <c r="I14808">
        <f>IF(DATOS!$I14808="","",IFERROR(VLOOKUP(DATOS!$I14808,CONFIG_ASIGNATURAS!$B$2:$J$91,9,FALSE()),""))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IF(DATOS!$A14809="",0,IF(CONFIG_METADATA!$B$4&lt;&gt;"OR+EX",--(DATOS!$G14809=CONFIG_METADATA!$B$4),IF(DATOS!$G14809="EX",1,IF(DATOS!$G14809="OR",--(COUNTIFS(nNIA,DATOS!$A14809,nCURSO,DATOS!$D14809,nESPEC,DATOS!$E14809,nASIG,DATOS!$I14809,nEVAL,"EX")=0),0))))</f>
      </c>
      <c r="H14809">
        <f>IF(DATOS!$G14809&lt;&gt;"EX",0,--(COUNTIFS(nNIA,DATOS!$A14809,nCURSO,DATOS!$D14809,nESPEC,DATOS!$E14809,nASIG,DATOS!$I14809,nEVAL,"OR")=0))</f>
      </c>
      <c r="I14809">
        <f>IF(DATOS!$I14809="","",IFERROR(VLOOKUP(DATOS!$I14809,CONFIG_ASIGNATURAS!$B$2:$J$91,9,FALSE()),""))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IF(DATOS!$A14810="",0,IF(CONFIG_METADATA!$B$4&lt;&gt;"OR+EX",--(DATOS!$G14810=CONFIG_METADATA!$B$4),IF(DATOS!$G14810="EX",1,IF(DATOS!$G14810="OR",--(COUNTIFS(nNIA,DATOS!$A14810,nCURSO,DATOS!$D14810,nESPEC,DATOS!$E14810,nASIG,DATOS!$I14810,nEVAL,"EX")=0),0))))</f>
      </c>
      <c r="H14810">
        <f>IF(DATOS!$G14810&lt;&gt;"EX",0,--(COUNTIFS(nNIA,DATOS!$A14810,nCURSO,DATOS!$D14810,nESPEC,DATOS!$E14810,nASIG,DATOS!$I14810,nEVAL,"OR")=0))</f>
      </c>
      <c r="I14810">
        <f>IF(DATOS!$I14810="","",IFERROR(VLOOKUP(DATOS!$I14810,CONFIG_ASIGNATURAS!$B$2:$J$91,9,FALSE()),""))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IF(DATOS!$A14811="",0,IF(CONFIG_METADATA!$B$4&lt;&gt;"OR+EX",--(DATOS!$G14811=CONFIG_METADATA!$B$4),IF(DATOS!$G14811="EX",1,IF(DATOS!$G14811="OR",--(COUNTIFS(nNIA,DATOS!$A14811,nCURSO,DATOS!$D14811,nESPEC,DATOS!$E14811,nASIG,DATOS!$I14811,nEVAL,"EX")=0),0))))</f>
      </c>
      <c r="H14811">
        <f>IF(DATOS!$G14811&lt;&gt;"EX",0,--(COUNTIFS(nNIA,DATOS!$A14811,nCURSO,DATOS!$D14811,nESPEC,DATOS!$E14811,nASIG,DATOS!$I14811,nEVAL,"OR")=0))</f>
      </c>
      <c r="I14811">
        <f>IF(DATOS!$I14811="","",IFERROR(VLOOKUP(DATOS!$I14811,CONFIG_ASIGNATURAS!$B$2:$J$91,9,FALSE()),""))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IF(DATOS!$A14812="",0,IF(CONFIG_METADATA!$B$4&lt;&gt;"OR+EX",--(DATOS!$G14812=CONFIG_METADATA!$B$4),IF(DATOS!$G14812="EX",1,IF(DATOS!$G14812="OR",--(COUNTIFS(nNIA,DATOS!$A14812,nCURSO,DATOS!$D14812,nESPEC,DATOS!$E14812,nASIG,DATOS!$I14812,nEVAL,"EX")=0),0))))</f>
      </c>
      <c r="H14812">
        <f>IF(DATOS!$G14812&lt;&gt;"EX",0,--(COUNTIFS(nNIA,DATOS!$A14812,nCURSO,DATOS!$D14812,nESPEC,DATOS!$E14812,nASIG,DATOS!$I14812,nEVAL,"OR")=0))</f>
      </c>
      <c r="I14812">
        <f>IF(DATOS!$I14812="","",IFERROR(VLOOKUP(DATOS!$I14812,CONFIG_ASIGNATURAS!$B$2:$J$91,9,FALSE()),""))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IF(DATOS!$A14813="",0,IF(CONFIG_METADATA!$B$4&lt;&gt;"OR+EX",--(DATOS!$G14813=CONFIG_METADATA!$B$4),IF(DATOS!$G14813="EX",1,IF(DATOS!$G14813="OR",--(COUNTIFS(nNIA,DATOS!$A14813,nCURSO,DATOS!$D14813,nESPEC,DATOS!$E14813,nASIG,DATOS!$I14813,nEVAL,"EX")=0),0))))</f>
      </c>
      <c r="H14813">
        <f>IF(DATOS!$G14813&lt;&gt;"EX",0,--(COUNTIFS(nNIA,DATOS!$A14813,nCURSO,DATOS!$D14813,nESPEC,DATOS!$E14813,nASIG,DATOS!$I14813,nEVAL,"OR")=0))</f>
      </c>
      <c r="I14813">
        <f>IF(DATOS!$I14813="","",IFERROR(VLOOKUP(DATOS!$I14813,CONFIG_ASIGNATURAS!$B$2:$J$91,9,FALSE()),""))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IF(DATOS!$A14814="",0,IF(CONFIG_METADATA!$B$4&lt;&gt;"OR+EX",--(DATOS!$G14814=CONFIG_METADATA!$B$4),IF(DATOS!$G14814="EX",1,IF(DATOS!$G14814="OR",--(COUNTIFS(nNIA,DATOS!$A14814,nCURSO,DATOS!$D14814,nESPEC,DATOS!$E14814,nASIG,DATOS!$I14814,nEVAL,"EX")=0),0))))</f>
      </c>
      <c r="H14814">
        <f>IF(DATOS!$G14814&lt;&gt;"EX",0,--(COUNTIFS(nNIA,DATOS!$A14814,nCURSO,DATOS!$D14814,nESPEC,DATOS!$E14814,nASIG,DATOS!$I14814,nEVAL,"OR")=0))</f>
      </c>
      <c r="I14814">
        <f>IF(DATOS!$I14814="","",IFERROR(VLOOKUP(DATOS!$I14814,CONFIG_ASIGNATURAS!$B$2:$J$91,9,FALSE()),""))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IF(DATOS!$A14815="",0,IF(CONFIG_METADATA!$B$4&lt;&gt;"OR+EX",--(DATOS!$G14815=CONFIG_METADATA!$B$4),IF(DATOS!$G14815="EX",1,IF(DATOS!$G14815="OR",--(COUNTIFS(nNIA,DATOS!$A14815,nCURSO,DATOS!$D14815,nESPEC,DATOS!$E14815,nASIG,DATOS!$I14815,nEVAL,"EX")=0),0))))</f>
      </c>
      <c r="H14815">
        <f>IF(DATOS!$G14815&lt;&gt;"EX",0,--(COUNTIFS(nNIA,DATOS!$A14815,nCURSO,DATOS!$D14815,nESPEC,DATOS!$E14815,nASIG,DATOS!$I14815,nEVAL,"OR")=0))</f>
      </c>
      <c r="I14815">
        <f>IF(DATOS!$I14815="","",IFERROR(VLOOKUP(DATOS!$I14815,CONFIG_ASIGNATURAS!$B$2:$J$91,9,FALSE()),""))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IF(DATOS!$A14816="",0,IF(CONFIG_METADATA!$B$4&lt;&gt;"OR+EX",--(DATOS!$G14816=CONFIG_METADATA!$B$4),IF(DATOS!$G14816="EX",1,IF(DATOS!$G14816="OR",--(COUNTIFS(nNIA,DATOS!$A14816,nCURSO,DATOS!$D14816,nESPEC,DATOS!$E14816,nASIG,DATOS!$I14816,nEVAL,"EX")=0),0))))</f>
      </c>
      <c r="H14816">
        <f>IF(DATOS!$G14816&lt;&gt;"EX",0,--(COUNTIFS(nNIA,DATOS!$A14816,nCURSO,DATOS!$D14816,nESPEC,DATOS!$E14816,nASIG,DATOS!$I14816,nEVAL,"OR")=0))</f>
      </c>
      <c r="I14816">
        <f>IF(DATOS!$I14816="","",IFERROR(VLOOKUP(DATOS!$I14816,CONFIG_ASIGNATURAS!$B$2:$J$91,9,FALSE()),""))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IF(DATOS!$A14817="",0,IF(CONFIG_METADATA!$B$4&lt;&gt;"OR+EX",--(DATOS!$G14817=CONFIG_METADATA!$B$4),IF(DATOS!$G14817="EX",1,IF(DATOS!$G14817="OR",--(COUNTIFS(nNIA,DATOS!$A14817,nCURSO,DATOS!$D14817,nESPEC,DATOS!$E14817,nASIG,DATOS!$I14817,nEVAL,"EX")=0),0))))</f>
      </c>
      <c r="H14817">
        <f>IF(DATOS!$G14817&lt;&gt;"EX",0,--(COUNTIFS(nNIA,DATOS!$A14817,nCURSO,DATOS!$D14817,nESPEC,DATOS!$E14817,nASIG,DATOS!$I14817,nEVAL,"OR")=0))</f>
      </c>
      <c r="I14817">
        <f>IF(DATOS!$I14817="","",IFERROR(VLOOKUP(DATOS!$I14817,CONFIG_ASIGNATURAS!$B$2:$J$91,9,FALSE()),""))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IF(DATOS!$A14818="",0,IF(CONFIG_METADATA!$B$4&lt;&gt;"OR+EX",--(DATOS!$G14818=CONFIG_METADATA!$B$4),IF(DATOS!$G14818="EX",1,IF(DATOS!$G14818="OR",--(COUNTIFS(nNIA,DATOS!$A14818,nCURSO,DATOS!$D14818,nESPEC,DATOS!$E14818,nASIG,DATOS!$I14818,nEVAL,"EX")=0),0))))</f>
      </c>
      <c r="H14818">
        <f>IF(DATOS!$G14818&lt;&gt;"EX",0,--(COUNTIFS(nNIA,DATOS!$A14818,nCURSO,DATOS!$D14818,nESPEC,DATOS!$E14818,nASIG,DATOS!$I14818,nEVAL,"OR")=0))</f>
      </c>
      <c r="I14818">
        <f>IF(DATOS!$I14818="","",IFERROR(VLOOKUP(DATOS!$I14818,CONFIG_ASIGNATURAS!$B$2:$J$91,9,FALSE()),""))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IF(DATOS!$A14819="",0,IF(CONFIG_METADATA!$B$4&lt;&gt;"OR+EX",--(DATOS!$G14819=CONFIG_METADATA!$B$4),IF(DATOS!$G14819="EX",1,IF(DATOS!$G14819="OR",--(COUNTIFS(nNIA,DATOS!$A14819,nCURSO,DATOS!$D14819,nESPEC,DATOS!$E14819,nASIG,DATOS!$I14819,nEVAL,"EX")=0),0))))</f>
      </c>
      <c r="H14819">
        <f>IF(DATOS!$G14819&lt;&gt;"EX",0,--(COUNTIFS(nNIA,DATOS!$A14819,nCURSO,DATOS!$D14819,nESPEC,DATOS!$E14819,nASIG,DATOS!$I14819,nEVAL,"OR")=0))</f>
      </c>
      <c r="I14819">
        <f>IF(DATOS!$I14819="","",IFERROR(VLOOKUP(DATOS!$I14819,CONFIG_ASIGNATURAS!$B$2:$J$91,9,FALSE()),""))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IF(DATOS!$A14820="",0,IF(CONFIG_METADATA!$B$4&lt;&gt;"OR+EX",--(DATOS!$G14820=CONFIG_METADATA!$B$4),IF(DATOS!$G14820="EX",1,IF(DATOS!$G14820="OR",--(COUNTIFS(nNIA,DATOS!$A14820,nCURSO,DATOS!$D14820,nESPEC,DATOS!$E14820,nASIG,DATOS!$I14820,nEVAL,"EX")=0),0))))</f>
      </c>
      <c r="H14820">
        <f>IF(DATOS!$G14820&lt;&gt;"EX",0,--(COUNTIFS(nNIA,DATOS!$A14820,nCURSO,DATOS!$D14820,nESPEC,DATOS!$E14820,nASIG,DATOS!$I14820,nEVAL,"OR")=0))</f>
      </c>
      <c r="I14820">
        <f>IF(DATOS!$I14820="","",IFERROR(VLOOKUP(DATOS!$I14820,CONFIG_ASIGNATURAS!$B$2:$J$91,9,FALSE()),""))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IF(DATOS!$A14821="",0,IF(CONFIG_METADATA!$B$4&lt;&gt;"OR+EX",--(DATOS!$G14821=CONFIG_METADATA!$B$4),IF(DATOS!$G14821="EX",1,IF(DATOS!$G14821="OR",--(COUNTIFS(nNIA,DATOS!$A14821,nCURSO,DATOS!$D14821,nESPEC,DATOS!$E14821,nASIG,DATOS!$I14821,nEVAL,"EX")=0),0))))</f>
      </c>
      <c r="H14821">
        <f>IF(DATOS!$G14821&lt;&gt;"EX",0,--(COUNTIFS(nNIA,DATOS!$A14821,nCURSO,DATOS!$D14821,nESPEC,DATOS!$E14821,nASIG,DATOS!$I14821,nEVAL,"OR")=0))</f>
      </c>
      <c r="I14821">
        <f>IF(DATOS!$I14821="","",IFERROR(VLOOKUP(DATOS!$I14821,CONFIG_ASIGNATURAS!$B$2:$J$91,9,FALSE()),""))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IF(DATOS!$A14822="",0,IF(CONFIG_METADATA!$B$4&lt;&gt;"OR+EX",--(DATOS!$G14822=CONFIG_METADATA!$B$4),IF(DATOS!$G14822="EX",1,IF(DATOS!$G14822="OR",--(COUNTIFS(nNIA,DATOS!$A14822,nCURSO,DATOS!$D14822,nESPEC,DATOS!$E14822,nASIG,DATOS!$I14822,nEVAL,"EX")=0),0))))</f>
      </c>
      <c r="H14822">
        <f>IF(DATOS!$G14822&lt;&gt;"EX",0,--(COUNTIFS(nNIA,DATOS!$A14822,nCURSO,DATOS!$D14822,nESPEC,DATOS!$E14822,nASIG,DATOS!$I14822,nEVAL,"OR")=0))</f>
      </c>
      <c r="I14822">
        <f>IF(DATOS!$I14822="","",IFERROR(VLOOKUP(DATOS!$I14822,CONFIG_ASIGNATURAS!$B$2:$J$91,9,FALSE()),""))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IF(DATOS!$A14823="",0,IF(CONFIG_METADATA!$B$4&lt;&gt;"OR+EX",--(DATOS!$G14823=CONFIG_METADATA!$B$4),IF(DATOS!$G14823="EX",1,IF(DATOS!$G14823="OR",--(COUNTIFS(nNIA,DATOS!$A14823,nCURSO,DATOS!$D14823,nESPEC,DATOS!$E14823,nASIG,DATOS!$I14823,nEVAL,"EX")=0),0))))</f>
      </c>
      <c r="H14823">
        <f>IF(DATOS!$G14823&lt;&gt;"EX",0,--(COUNTIFS(nNIA,DATOS!$A14823,nCURSO,DATOS!$D14823,nESPEC,DATOS!$E14823,nASIG,DATOS!$I14823,nEVAL,"OR")=0))</f>
      </c>
      <c r="I14823">
        <f>IF(DATOS!$I14823="","",IFERROR(VLOOKUP(DATOS!$I14823,CONFIG_ASIGNATURAS!$B$2:$J$91,9,FALSE()),""))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IF(DATOS!$A14824="",0,IF(CONFIG_METADATA!$B$4&lt;&gt;"OR+EX",--(DATOS!$G14824=CONFIG_METADATA!$B$4),IF(DATOS!$G14824="EX",1,IF(DATOS!$G14824="OR",--(COUNTIFS(nNIA,DATOS!$A14824,nCURSO,DATOS!$D14824,nESPEC,DATOS!$E14824,nASIG,DATOS!$I14824,nEVAL,"EX")=0),0))))</f>
      </c>
      <c r="H14824">
        <f>IF(DATOS!$G14824&lt;&gt;"EX",0,--(COUNTIFS(nNIA,DATOS!$A14824,nCURSO,DATOS!$D14824,nESPEC,DATOS!$E14824,nASIG,DATOS!$I14824,nEVAL,"OR")=0))</f>
      </c>
      <c r="I14824">
        <f>IF(DATOS!$I14824="","",IFERROR(VLOOKUP(DATOS!$I14824,CONFIG_ASIGNATURAS!$B$2:$J$91,9,FALSE()),""))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IF(DATOS!$A14825="",0,IF(CONFIG_METADATA!$B$4&lt;&gt;"OR+EX",--(DATOS!$G14825=CONFIG_METADATA!$B$4),IF(DATOS!$G14825="EX",1,IF(DATOS!$G14825="OR",--(COUNTIFS(nNIA,DATOS!$A14825,nCURSO,DATOS!$D14825,nESPEC,DATOS!$E14825,nASIG,DATOS!$I14825,nEVAL,"EX")=0),0))))</f>
      </c>
      <c r="H14825">
        <f>IF(DATOS!$G14825&lt;&gt;"EX",0,--(COUNTIFS(nNIA,DATOS!$A14825,nCURSO,DATOS!$D14825,nESPEC,DATOS!$E14825,nASIG,DATOS!$I14825,nEVAL,"OR")=0))</f>
      </c>
      <c r="I14825">
        <f>IF(DATOS!$I14825="","",IFERROR(VLOOKUP(DATOS!$I14825,CONFIG_ASIGNATURAS!$B$2:$J$91,9,FALSE()),""))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IF(DATOS!$A14826="",0,IF(CONFIG_METADATA!$B$4&lt;&gt;"OR+EX",--(DATOS!$G14826=CONFIG_METADATA!$B$4),IF(DATOS!$G14826="EX",1,IF(DATOS!$G14826="OR",--(COUNTIFS(nNIA,DATOS!$A14826,nCURSO,DATOS!$D14826,nESPEC,DATOS!$E14826,nASIG,DATOS!$I14826,nEVAL,"EX")=0),0))))</f>
      </c>
      <c r="H14826">
        <f>IF(DATOS!$G14826&lt;&gt;"EX",0,--(COUNTIFS(nNIA,DATOS!$A14826,nCURSO,DATOS!$D14826,nESPEC,DATOS!$E14826,nASIG,DATOS!$I14826,nEVAL,"OR")=0))</f>
      </c>
      <c r="I14826">
        <f>IF(DATOS!$I14826="","",IFERROR(VLOOKUP(DATOS!$I14826,CONFIG_ASIGNATURAS!$B$2:$J$91,9,FALSE()),""))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IF(DATOS!$A14827="",0,IF(CONFIG_METADATA!$B$4&lt;&gt;"OR+EX",--(DATOS!$G14827=CONFIG_METADATA!$B$4),IF(DATOS!$G14827="EX",1,IF(DATOS!$G14827="OR",--(COUNTIFS(nNIA,DATOS!$A14827,nCURSO,DATOS!$D14827,nESPEC,DATOS!$E14827,nASIG,DATOS!$I14827,nEVAL,"EX")=0),0))))</f>
      </c>
      <c r="H14827">
        <f>IF(DATOS!$G14827&lt;&gt;"EX",0,--(COUNTIFS(nNIA,DATOS!$A14827,nCURSO,DATOS!$D14827,nESPEC,DATOS!$E14827,nASIG,DATOS!$I14827,nEVAL,"OR")=0))</f>
      </c>
      <c r="I14827">
        <f>IF(DATOS!$I14827="","",IFERROR(VLOOKUP(DATOS!$I14827,CONFIG_ASIGNATURAS!$B$2:$J$91,9,FALSE()),""))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IF(DATOS!$A14828="",0,IF(CONFIG_METADATA!$B$4&lt;&gt;"OR+EX",--(DATOS!$G14828=CONFIG_METADATA!$B$4),IF(DATOS!$G14828="EX",1,IF(DATOS!$G14828="OR",--(COUNTIFS(nNIA,DATOS!$A14828,nCURSO,DATOS!$D14828,nESPEC,DATOS!$E14828,nASIG,DATOS!$I14828,nEVAL,"EX")=0),0))))</f>
      </c>
      <c r="H14828">
        <f>IF(DATOS!$G14828&lt;&gt;"EX",0,--(COUNTIFS(nNIA,DATOS!$A14828,nCURSO,DATOS!$D14828,nESPEC,DATOS!$E14828,nASIG,DATOS!$I14828,nEVAL,"OR")=0))</f>
      </c>
      <c r="I14828">
        <f>IF(DATOS!$I14828="","",IFERROR(VLOOKUP(DATOS!$I14828,CONFIG_ASIGNATURAS!$B$2:$J$91,9,FALSE()),""))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IF(DATOS!$A14829="",0,IF(CONFIG_METADATA!$B$4&lt;&gt;"OR+EX",--(DATOS!$G14829=CONFIG_METADATA!$B$4),IF(DATOS!$G14829="EX",1,IF(DATOS!$G14829="OR",--(COUNTIFS(nNIA,DATOS!$A14829,nCURSO,DATOS!$D14829,nESPEC,DATOS!$E14829,nASIG,DATOS!$I14829,nEVAL,"EX")=0),0))))</f>
      </c>
      <c r="H14829">
        <f>IF(DATOS!$G14829&lt;&gt;"EX",0,--(COUNTIFS(nNIA,DATOS!$A14829,nCURSO,DATOS!$D14829,nESPEC,DATOS!$E14829,nASIG,DATOS!$I14829,nEVAL,"OR")=0))</f>
      </c>
      <c r="I14829">
        <f>IF(DATOS!$I14829="","",IFERROR(VLOOKUP(DATOS!$I14829,CONFIG_ASIGNATURAS!$B$2:$J$91,9,FALSE()),""))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IF(DATOS!$A14830="",0,IF(CONFIG_METADATA!$B$4&lt;&gt;"OR+EX",--(DATOS!$G14830=CONFIG_METADATA!$B$4),IF(DATOS!$G14830="EX",1,IF(DATOS!$G14830="OR",--(COUNTIFS(nNIA,DATOS!$A14830,nCURSO,DATOS!$D14830,nESPEC,DATOS!$E14830,nASIG,DATOS!$I14830,nEVAL,"EX")=0),0))))</f>
      </c>
      <c r="H14830">
        <f>IF(DATOS!$G14830&lt;&gt;"EX",0,--(COUNTIFS(nNIA,DATOS!$A14830,nCURSO,DATOS!$D14830,nESPEC,DATOS!$E14830,nASIG,DATOS!$I14830,nEVAL,"OR")=0))</f>
      </c>
      <c r="I14830">
        <f>IF(DATOS!$I14830="","",IFERROR(VLOOKUP(DATOS!$I14830,CONFIG_ASIGNATURAS!$B$2:$J$91,9,FALSE()),""))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IF(DATOS!$A14831="",0,IF(CONFIG_METADATA!$B$4&lt;&gt;"OR+EX",--(DATOS!$G14831=CONFIG_METADATA!$B$4),IF(DATOS!$G14831="EX",1,IF(DATOS!$G14831="OR",--(COUNTIFS(nNIA,DATOS!$A14831,nCURSO,DATOS!$D14831,nESPEC,DATOS!$E14831,nASIG,DATOS!$I14831,nEVAL,"EX")=0),0))))</f>
      </c>
      <c r="H14831">
        <f>IF(DATOS!$G14831&lt;&gt;"EX",0,--(COUNTIFS(nNIA,DATOS!$A14831,nCURSO,DATOS!$D14831,nESPEC,DATOS!$E14831,nASIG,DATOS!$I14831,nEVAL,"OR")=0))</f>
      </c>
      <c r="I14831">
        <f>IF(DATOS!$I14831="","",IFERROR(VLOOKUP(DATOS!$I14831,CONFIG_ASIGNATURAS!$B$2:$J$91,9,FALSE()),""))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IF(DATOS!$A14832="",0,IF(CONFIG_METADATA!$B$4&lt;&gt;"OR+EX",--(DATOS!$G14832=CONFIG_METADATA!$B$4),IF(DATOS!$G14832="EX",1,IF(DATOS!$G14832="OR",--(COUNTIFS(nNIA,DATOS!$A14832,nCURSO,DATOS!$D14832,nESPEC,DATOS!$E14832,nASIG,DATOS!$I14832,nEVAL,"EX")=0),0))))</f>
      </c>
      <c r="H14832">
        <f>IF(DATOS!$G14832&lt;&gt;"EX",0,--(COUNTIFS(nNIA,DATOS!$A14832,nCURSO,DATOS!$D14832,nESPEC,DATOS!$E14832,nASIG,DATOS!$I14832,nEVAL,"OR")=0))</f>
      </c>
      <c r="I14832">
        <f>IF(DATOS!$I14832="","",IFERROR(VLOOKUP(DATOS!$I14832,CONFIG_ASIGNATURAS!$B$2:$J$91,9,FALSE()),""))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IF(DATOS!$A14833="",0,IF(CONFIG_METADATA!$B$4&lt;&gt;"OR+EX",--(DATOS!$G14833=CONFIG_METADATA!$B$4),IF(DATOS!$G14833="EX",1,IF(DATOS!$G14833="OR",--(COUNTIFS(nNIA,DATOS!$A14833,nCURSO,DATOS!$D14833,nESPEC,DATOS!$E14833,nASIG,DATOS!$I14833,nEVAL,"EX")=0),0))))</f>
      </c>
      <c r="H14833">
        <f>IF(DATOS!$G14833&lt;&gt;"EX",0,--(COUNTIFS(nNIA,DATOS!$A14833,nCURSO,DATOS!$D14833,nESPEC,DATOS!$E14833,nASIG,DATOS!$I14833,nEVAL,"OR")=0))</f>
      </c>
      <c r="I14833">
        <f>IF(DATOS!$I14833="","",IFERROR(VLOOKUP(DATOS!$I14833,CONFIG_ASIGNATURAS!$B$2:$J$91,9,FALSE()),""))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IF(DATOS!$A14834="",0,IF(CONFIG_METADATA!$B$4&lt;&gt;"OR+EX",--(DATOS!$G14834=CONFIG_METADATA!$B$4),IF(DATOS!$G14834="EX",1,IF(DATOS!$G14834="OR",--(COUNTIFS(nNIA,DATOS!$A14834,nCURSO,DATOS!$D14834,nESPEC,DATOS!$E14834,nASIG,DATOS!$I14834,nEVAL,"EX")=0),0))))</f>
      </c>
      <c r="H14834">
        <f>IF(DATOS!$G14834&lt;&gt;"EX",0,--(COUNTIFS(nNIA,DATOS!$A14834,nCURSO,DATOS!$D14834,nESPEC,DATOS!$E14834,nASIG,DATOS!$I14834,nEVAL,"OR")=0))</f>
      </c>
      <c r="I14834">
        <f>IF(DATOS!$I14834="","",IFERROR(VLOOKUP(DATOS!$I14834,CONFIG_ASIGNATURAS!$B$2:$J$91,9,FALSE()),""))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IF(DATOS!$A14835="",0,IF(CONFIG_METADATA!$B$4&lt;&gt;"OR+EX",--(DATOS!$G14835=CONFIG_METADATA!$B$4),IF(DATOS!$G14835="EX",1,IF(DATOS!$G14835="OR",--(COUNTIFS(nNIA,DATOS!$A14835,nCURSO,DATOS!$D14835,nESPEC,DATOS!$E14835,nASIG,DATOS!$I14835,nEVAL,"EX")=0),0))))</f>
      </c>
      <c r="H14835">
        <f>IF(DATOS!$G14835&lt;&gt;"EX",0,--(COUNTIFS(nNIA,DATOS!$A14835,nCURSO,DATOS!$D14835,nESPEC,DATOS!$E14835,nASIG,DATOS!$I14835,nEVAL,"OR")=0))</f>
      </c>
      <c r="I14835">
        <f>IF(DATOS!$I14835="","",IFERROR(VLOOKUP(DATOS!$I14835,CONFIG_ASIGNATURAS!$B$2:$J$91,9,FALSE()),""))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IF(DATOS!$A14836="",0,IF(CONFIG_METADATA!$B$4&lt;&gt;"OR+EX",--(DATOS!$G14836=CONFIG_METADATA!$B$4),IF(DATOS!$G14836="EX",1,IF(DATOS!$G14836="OR",--(COUNTIFS(nNIA,DATOS!$A14836,nCURSO,DATOS!$D14836,nESPEC,DATOS!$E14836,nASIG,DATOS!$I14836,nEVAL,"EX")=0),0))))</f>
      </c>
      <c r="H14836">
        <f>IF(DATOS!$G14836&lt;&gt;"EX",0,--(COUNTIFS(nNIA,DATOS!$A14836,nCURSO,DATOS!$D14836,nESPEC,DATOS!$E14836,nASIG,DATOS!$I14836,nEVAL,"OR")=0))</f>
      </c>
      <c r="I14836">
        <f>IF(DATOS!$I14836="","",IFERROR(VLOOKUP(DATOS!$I14836,CONFIG_ASIGNATURAS!$B$2:$J$91,9,FALSE()),""))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IF(DATOS!$A14837="",0,IF(CONFIG_METADATA!$B$4&lt;&gt;"OR+EX",--(DATOS!$G14837=CONFIG_METADATA!$B$4),IF(DATOS!$G14837="EX",1,IF(DATOS!$G14837="OR",--(COUNTIFS(nNIA,DATOS!$A14837,nCURSO,DATOS!$D14837,nESPEC,DATOS!$E14837,nASIG,DATOS!$I14837,nEVAL,"EX")=0),0))))</f>
      </c>
      <c r="H14837">
        <f>IF(DATOS!$G14837&lt;&gt;"EX",0,--(COUNTIFS(nNIA,DATOS!$A14837,nCURSO,DATOS!$D14837,nESPEC,DATOS!$E14837,nASIG,DATOS!$I14837,nEVAL,"OR")=0))</f>
      </c>
      <c r="I14837">
        <f>IF(DATOS!$I14837="","",IFERROR(VLOOKUP(DATOS!$I14837,CONFIG_ASIGNATURAS!$B$2:$J$91,9,FALSE()),""))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IF(DATOS!$A14838="",0,IF(CONFIG_METADATA!$B$4&lt;&gt;"OR+EX",--(DATOS!$G14838=CONFIG_METADATA!$B$4),IF(DATOS!$G14838="EX",1,IF(DATOS!$G14838="OR",--(COUNTIFS(nNIA,DATOS!$A14838,nCURSO,DATOS!$D14838,nESPEC,DATOS!$E14838,nASIG,DATOS!$I14838,nEVAL,"EX")=0),0))))</f>
      </c>
      <c r="H14838">
        <f>IF(DATOS!$G14838&lt;&gt;"EX",0,--(COUNTIFS(nNIA,DATOS!$A14838,nCURSO,DATOS!$D14838,nESPEC,DATOS!$E14838,nASIG,DATOS!$I14838,nEVAL,"OR")=0))</f>
      </c>
      <c r="I14838">
        <f>IF(DATOS!$I14838="","",IFERROR(VLOOKUP(DATOS!$I14838,CONFIG_ASIGNATURAS!$B$2:$J$91,9,FALSE()),""))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IF(DATOS!$A14839="",0,IF(CONFIG_METADATA!$B$4&lt;&gt;"OR+EX",--(DATOS!$G14839=CONFIG_METADATA!$B$4),IF(DATOS!$G14839="EX",1,IF(DATOS!$G14839="OR",--(COUNTIFS(nNIA,DATOS!$A14839,nCURSO,DATOS!$D14839,nESPEC,DATOS!$E14839,nASIG,DATOS!$I14839,nEVAL,"EX")=0),0))))</f>
      </c>
      <c r="H14839">
        <f>IF(DATOS!$G14839&lt;&gt;"EX",0,--(COUNTIFS(nNIA,DATOS!$A14839,nCURSO,DATOS!$D14839,nESPEC,DATOS!$E14839,nASIG,DATOS!$I14839,nEVAL,"OR")=0))</f>
      </c>
      <c r="I14839">
        <f>IF(DATOS!$I14839="","",IFERROR(VLOOKUP(DATOS!$I14839,CONFIG_ASIGNATURAS!$B$2:$J$91,9,FALSE()),""))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IF(DATOS!$A14840="",0,IF(CONFIG_METADATA!$B$4&lt;&gt;"OR+EX",--(DATOS!$G14840=CONFIG_METADATA!$B$4),IF(DATOS!$G14840="EX",1,IF(DATOS!$G14840="OR",--(COUNTIFS(nNIA,DATOS!$A14840,nCURSO,DATOS!$D14840,nESPEC,DATOS!$E14840,nASIG,DATOS!$I14840,nEVAL,"EX")=0),0))))</f>
      </c>
      <c r="H14840">
        <f>IF(DATOS!$G14840&lt;&gt;"EX",0,--(COUNTIFS(nNIA,DATOS!$A14840,nCURSO,DATOS!$D14840,nESPEC,DATOS!$E14840,nASIG,DATOS!$I14840,nEVAL,"OR")=0))</f>
      </c>
      <c r="I14840">
        <f>IF(DATOS!$I14840="","",IFERROR(VLOOKUP(DATOS!$I14840,CONFIG_ASIGNATURAS!$B$2:$J$91,9,FALSE()),""))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IF(DATOS!$A14841="",0,IF(CONFIG_METADATA!$B$4&lt;&gt;"OR+EX",--(DATOS!$G14841=CONFIG_METADATA!$B$4),IF(DATOS!$G14841="EX",1,IF(DATOS!$G14841="OR",--(COUNTIFS(nNIA,DATOS!$A14841,nCURSO,DATOS!$D14841,nESPEC,DATOS!$E14841,nASIG,DATOS!$I14841,nEVAL,"EX")=0),0))))</f>
      </c>
      <c r="H14841">
        <f>IF(DATOS!$G14841&lt;&gt;"EX",0,--(COUNTIFS(nNIA,DATOS!$A14841,nCURSO,DATOS!$D14841,nESPEC,DATOS!$E14841,nASIG,DATOS!$I14841,nEVAL,"OR")=0))</f>
      </c>
      <c r="I14841">
        <f>IF(DATOS!$I14841="","",IFERROR(VLOOKUP(DATOS!$I14841,CONFIG_ASIGNATURAS!$B$2:$J$91,9,FALSE()),""))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IF(DATOS!$A14842="",0,IF(CONFIG_METADATA!$B$4&lt;&gt;"OR+EX",--(DATOS!$G14842=CONFIG_METADATA!$B$4),IF(DATOS!$G14842="EX",1,IF(DATOS!$G14842="OR",--(COUNTIFS(nNIA,DATOS!$A14842,nCURSO,DATOS!$D14842,nESPEC,DATOS!$E14842,nASIG,DATOS!$I14842,nEVAL,"EX")=0),0))))</f>
      </c>
      <c r="H14842">
        <f>IF(DATOS!$G14842&lt;&gt;"EX",0,--(COUNTIFS(nNIA,DATOS!$A14842,nCURSO,DATOS!$D14842,nESPEC,DATOS!$E14842,nASIG,DATOS!$I14842,nEVAL,"OR")=0))</f>
      </c>
      <c r="I14842">
        <f>IF(DATOS!$I14842="","",IFERROR(VLOOKUP(DATOS!$I14842,CONFIG_ASIGNATURAS!$B$2:$J$91,9,FALSE()),""))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IF(DATOS!$A14843="",0,IF(CONFIG_METADATA!$B$4&lt;&gt;"OR+EX",--(DATOS!$G14843=CONFIG_METADATA!$B$4),IF(DATOS!$G14843="EX",1,IF(DATOS!$G14843="OR",--(COUNTIFS(nNIA,DATOS!$A14843,nCURSO,DATOS!$D14843,nESPEC,DATOS!$E14843,nASIG,DATOS!$I14843,nEVAL,"EX")=0),0))))</f>
      </c>
      <c r="H14843">
        <f>IF(DATOS!$G14843&lt;&gt;"EX",0,--(COUNTIFS(nNIA,DATOS!$A14843,nCURSO,DATOS!$D14843,nESPEC,DATOS!$E14843,nASIG,DATOS!$I14843,nEVAL,"OR")=0))</f>
      </c>
      <c r="I14843">
        <f>IF(DATOS!$I14843="","",IFERROR(VLOOKUP(DATOS!$I14843,CONFIG_ASIGNATURAS!$B$2:$J$91,9,FALSE()),""))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IF(DATOS!$A14844="",0,IF(CONFIG_METADATA!$B$4&lt;&gt;"OR+EX",--(DATOS!$G14844=CONFIG_METADATA!$B$4),IF(DATOS!$G14844="EX",1,IF(DATOS!$G14844="OR",--(COUNTIFS(nNIA,DATOS!$A14844,nCURSO,DATOS!$D14844,nESPEC,DATOS!$E14844,nASIG,DATOS!$I14844,nEVAL,"EX")=0),0))))</f>
      </c>
      <c r="H14844">
        <f>IF(DATOS!$G14844&lt;&gt;"EX",0,--(COUNTIFS(nNIA,DATOS!$A14844,nCURSO,DATOS!$D14844,nESPEC,DATOS!$E14844,nASIG,DATOS!$I14844,nEVAL,"OR")=0))</f>
      </c>
      <c r="I14844">
        <f>IF(DATOS!$I14844="","",IFERROR(VLOOKUP(DATOS!$I14844,CONFIG_ASIGNATURAS!$B$2:$J$91,9,FALSE()),""))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IF(DATOS!$A14845="",0,IF(CONFIG_METADATA!$B$4&lt;&gt;"OR+EX",--(DATOS!$G14845=CONFIG_METADATA!$B$4),IF(DATOS!$G14845="EX",1,IF(DATOS!$G14845="OR",--(COUNTIFS(nNIA,DATOS!$A14845,nCURSO,DATOS!$D14845,nESPEC,DATOS!$E14845,nASIG,DATOS!$I14845,nEVAL,"EX")=0),0))))</f>
      </c>
      <c r="H14845">
        <f>IF(DATOS!$G14845&lt;&gt;"EX",0,--(COUNTIFS(nNIA,DATOS!$A14845,nCURSO,DATOS!$D14845,nESPEC,DATOS!$E14845,nASIG,DATOS!$I14845,nEVAL,"OR")=0))</f>
      </c>
      <c r="I14845">
        <f>IF(DATOS!$I14845="","",IFERROR(VLOOKUP(DATOS!$I14845,CONFIG_ASIGNATURAS!$B$2:$J$91,9,FALSE()),""))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IF(DATOS!$A14846="",0,IF(CONFIG_METADATA!$B$4&lt;&gt;"OR+EX",--(DATOS!$G14846=CONFIG_METADATA!$B$4),IF(DATOS!$G14846="EX",1,IF(DATOS!$G14846="OR",--(COUNTIFS(nNIA,DATOS!$A14846,nCURSO,DATOS!$D14846,nESPEC,DATOS!$E14846,nASIG,DATOS!$I14846,nEVAL,"EX")=0),0))))</f>
      </c>
      <c r="H14846">
        <f>IF(DATOS!$G14846&lt;&gt;"EX",0,--(COUNTIFS(nNIA,DATOS!$A14846,nCURSO,DATOS!$D14846,nESPEC,DATOS!$E14846,nASIG,DATOS!$I14846,nEVAL,"OR")=0))</f>
      </c>
      <c r="I14846">
        <f>IF(DATOS!$I14846="","",IFERROR(VLOOKUP(DATOS!$I14846,CONFIG_ASIGNATURAS!$B$2:$J$91,9,FALSE()),""))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IF(DATOS!$A14847="",0,IF(CONFIG_METADATA!$B$4&lt;&gt;"OR+EX",--(DATOS!$G14847=CONFIG_METADATA!$B$4),IF(DATOS!$G14847="EX",1,IF(DATOS!$G14847="OR",--(COUNTIFS(nNIA,DATOS!$A14847,nCURSO,DATOS!$D14847,nESPEC,DATOS!$E14847,nASIG,DATOS!$I14847,nEVAL,"EX")=0),0))))</f>
      </c>
      <c r="H14847">
        <f>IF(DATOS!$G14847&lt;&gt;"EX",0,--(COUNTIFS(nNIA,DATOS!$A14847,nCURSO,DATOS!$D14847,nESPEC,DATOS!$E14847,nASIG,DATOS!$I14847,nEVAL,"OR")=0))</f>
      </c>
      <c r="I14847">
        <f>IF(DATOS!$I14847="","",IFERROR(VLOOKUP(DATOS!$I14847,CONFIG_ASIGNATURAS!$B$2:$J$91,9,FALSE()),""))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IF(DATOS!$A14848="",0,IF(CONFIG_METADATA!$B$4&lt;&gt;"OR+EX",--(DATOS!$G14848=CONFIG_METADATA!$B$4),IF(DATOS!$G14848="EX",1,IF(DATOS!$G14848="OR",--(COUNTIFS(nNIA,DATOS!$A14848,nCURSO,DATOS!$D14848,nESPEC,DATOS!$E14848,nASIG,DATOS!$I14848,nEVAL,"EX")=0),0))))</f>
      </c>
      <c r="H14848">
        <f>IF(DATOS!$G14848&lt;&gt;"EX",0,--(COUNTIFS(nNIA,DATOS!$A14848,nCURSO,DATOS!$D14848,nESPEC,DATOS!$E14848,nASIG,DATOS!$I14848,nEVAL,"OR")=0))</f>
      </c>
      <c r="I14848">
        <f>IF(DATOS!$I14848="","",IFERROR(VLOOKUP(DATOS!$I14848,CONFIG_ASIGNATURAS!$B$2:$J$91,9,FALSE()),""))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IF(DATOS!$A14849="",0,IF(CONFIG_METADATA!$B$4&lt;&gt;"OR+EX",--(DATOS!$G14849=CONFIG_METADATA!$B$4),IF(DATOS!$G14849="EX",1,IF(DATOS!$G14849="OR",--(COUNTIFS(nNIA,DATOS!$A14849,nCURSO,DATOS!$D14849,nESPEC,DATOS!$E14849,nASIG,DATOS!$I14849,nEVAL,"EX")=0),0))))</f>
      </c>
      <c r="H14849">
        <f>IF(DATOS!$G14849&lt;&gt;"EX",0,--(COUNTIFS(nNIA,DATOS!$A14849,nCURSO,DATOS!$D14849,nESPEC,DATOS!$E14849,nASIG,DATOS!$I14849,nEVAL,"OR")=0))</f>
      </c>
      <c r="I14849">
        <f>IF(DATOS!$I14849="","",IFERROR(VLOOKUP(DATOS!$I14849,CONFIG_ASIGNATURAS!$B$2:$J$91,9,FALSE()),""))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IF(DATOS!$A14850="",0,IF(CONFIG_METADATA!$B$4&lt;&gt;"OR+EX",--(DATOS!$G14850=CONFIG_METADATA!$B$4),IF(DATOS!$G14850="EX",1,IF(DATOS!$G14850="OR",--(COUNTIFS(nNIA,DATOS!$A14850,nCURSO,DATOS!$D14850,nESPEC,DATOS!$E14850,nASIG,DATOS!$I14850,nEVAL,"EX")=0),0))))</f>
      </c>
      <c r="H14850">
        <f>IF(DATOS!$G14850&lt;&gt;"EX",0,--(COUNTIFS(nNIA,DATOS!$A14850,nCURSO,DATOS!$D14850,nESPEC,DATOS!$E14850,nASIG,DATOS!$I14850,nEVAL,"OR")=0))</f>
      </c>
      <c r="I14850">
        <f>IF(DATOS!$I14850="","",IFERROR(VLOOKUP(DATOS!$I14850,CONFIG_ASIGNATURAS!$B$2:$J$91,9,FALSE()),""))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IF(DATOS!$A14851="",0,IF(CONFIG_METADATA!$B$4&lt;&gt;"OR+EX",--(DATOS!$G14851=CONFIG_METADATA!$B$4),IF(DATOS!$G14851="EX",1,IF(DATOS!$G14851="OR",--(COUNTIFS(nNIA,DATOS!$A14851,nCURSO,DATOS!$D14851,nESPEC,DATOS!$E14851,nASIG,DATOS!$I14851,nEVAL,"EX")=0),0))))</f>
      </c>
      <c r="H14851">
        <f>IF(DATOS!$G14851&lt;&gt;"EX",0,--(COUNTIFS(nNIA,DATOS!$A14851,nCURSO,DATOS!$D14851,nESPEC,DATOS!$E14851,nASIG,DATOS!$I14851,nEVAL,"OR")=0))</f>
      </c>
      <c r="I14851">
        <f>IF(DATOS!$I14851="","",IFERROR(VLOOKUP(DATOS!$I14851,CONFIG_ASIGNATURAS!$B$2:$J$91,9,FALSE()),""))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IF(DATOS!$A14852="",0,IF(CONFIG_METADATA!$B$4&lt;&gt;"OR+EX",--(DATOS!$G14852=CONFIG_METADATA!$B$4),IF(DATOS!$G14852="EX",1,IF(DATOS!$G14852="OR",--(COUNTIFS(nNIA,DATOS!$A14852,nCURSO,DATOS!$D14852,nESPEC,DATOS!$E14852,nASIG,DATOS!$I14852,nEVAL,"EX")=0),0))))</f>
      </c>
      <c r="H14852">
        <f>IF(DATOS!$G14852&lt;&gt;"EX",0,--(COUNTIFS(nNIA,DATOS!$A14852,nCURSO,DATOS!$D14852,nESPEC,DATOS!$E14852,nASIG,DATOS!$I14852,nEVAL,"OR")=0))</f>
      </c>
      <c r="I14852">
        <f>IF(DATOS!$I14852="","",IFERROR(VLOOKUP(DATOS!$I14852,CONFIG_ASIGNATURAS!$B$2:$J$91,9,FALSE()),""))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IF(DATOS!$A14853="",0,IF(CONFIG_METADATA!$B$4&lt;&gt;"OR+EX",--(DATOS!$G14853=CONFIG_METADATA!$B$4),IF(DATOS!$G14853="EX",1,IF(DATOS!$G14853="OR",--(COUNTIFS(nNIA,DATOS!$A14853,nCURSO,DATOS!$D14853,nESPEC,DATOS!$E14853,nASIG,DATOS!$I14853,nEVAL,"EX")=0),0))))</f>
      </c>
      <c r="H14853">
        <f>IF(DATOS!$G14853&lt;&gt;"EX",0,--(COUNTIFS(nNIA,DATOS!$A14853,nCURSO,DATOS!$D14853,nESPEC,DATOS!$E14853,nASIG,DATOS!$I14853,nEVAL,"OR")=0))</f>
      </c>
      <c r="I14853">
        <f>IF(DATOS!$I14853="","",IFERROR(VLOOKUP(DATOS!$I14853,CONFIG_ASIGNATURAS!$B$2:$J$91,9,FALSE()),""))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IF(DATOS!$A14854="",0,IF(CONFIG_METADATA!$B$4&lt;&gt;"OR+EX",--(DATOS!$G14854=CONFIG_METADATA!$B$4),IF(DATOS!$G14854="EX",1,IF(DATOS!$G14854="OR",--(COUNTIFS(nNIA,DATOS!$A14854,nCURSO,DATOS!$D14854,nESPEC,DATOS!$E14854,nASIG,DATOS!$I14854,nEVAL,"EX")=0),0))))</f>
      </c>
      <c r="H14854">
        <f>IF(DATOS!$G14854&lt;&gt;"EX",0,--(COUNTIFS(nNIA,DATOS!$A14854,nCURSO,DATOS!$D14854,nESPEC,DATOS!$E14854,nASIG,DATOS!$I14854,nEVAL,"OR")=0))</f>
      </c>
      <c r="I14854">
        <f>IF(DATOS!$I14854="","",IFERROR(VLOOKUP(DATOS!$I14854,CONFIG_ASIGNATURAS!$B$2:$J$91,9,FALSE()),""))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IF(DATOS!$A14855="",0,IF(CONFIG_METADATA!$B$4&lt;&gt;"OR+EX",--(DATOS!$G14855=CONFIG_METADATA!$B$4),IF(DATOS!$G14855="EX",1,IF(DATOS!$G14855="OR",--(COUNTIFS(nNIA,DATOS!$A14855,nCURSO,DATOS!$D14855,nESPEC,DATOS!$E14855,nASIG,DATOS!$I14855,nEVAL,"EX")=0),0))))</f>
      </c>
      <c r="H14855">
        <f>IF(DATOS!$G14855&lt;&gt;"EX",0,--(COUNTIFS(nNIA,DATOS!$A14855,nCURSO,DATOS!$D14855,nESPEC,DATOS!$E14855,nASIG,DATOS!$I14855,nEVAL,"OR")=0))</f>
      </c>
      <c r="I14855">
        <f>IF(DATOS!$I14855="","",IFERROR(VLOOKUP(DATOS!$I14855,CONFIG_ASIGNATURAS!$B$2:$J$91,9,FALSE()),""))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IF(DATOS!$A14856="",0,IF(CONFIG_METADATA!$B$4&lt;&gt;"OR+EX",--(DATOS!$G14856=CONFIG_METADATA!$B$4),IF(DATOS!$G14856="EX",1,IF(DATOS!$G14856="OR",--(COUNTIFS(nNIA,DATOS!$A14856,nCURSO,DATOS!$D14856,nESPEC,DATOS!$E14856,nASIG,DATOS!$I14856,nEVAL,"EX")=0),0))))</f>
      </c>
      <c r="H14856">
        <f>IF(DATOS!$G14856&lt;&gt;"EX",0,--(COUNTIFS(nNIA,DATOS!$A14856,nCURSO,DATOS!$D14856,nESPEC,DATOS!$E14856,nASIG,DATOS!$I14856,nEVAL,"OR")=0))</f>
      </c>
      <c r="I14856">
        <f>IF(DATOS!$I14856="","",IFERROR(VLOOKUP(DATOS!$I14856,CONFIG_ASIGNATURAS!$B$2:$J$91,9,FALSE()),""))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IF(DATOS!$A14857="",0,IF(CONFIG_METADATA!$B$4&lt;&gt;"OR+EX",--(DATOS!$G14857=CONFIG_METADATA!$B$4),IF(DATOS!$G14857="EX",1,IF(DATOS!$G14857="OR",--(COUNTIFS(nNIA,DATOS!$A14857,nCURSO,DATOS!$D14857,nESPEC,DATOS!$E14857,nASIG,DATOS!$I14857,nEVAL,"EX")=0),0))))</f>
      </c>
      <c r="H14857">
        <f>IF(DATOS!$G14857&lt;&gt;"EX",0,--(COUNTIFS(nNIA,DATOS!$A14857,nCURSO,DATOS!$D14857,nESPEC,DATOS!$E14857,nASIG,DATOS!$I14857,nEVAL,"OR")=0))</f>
      </c>
      <c r="I14857">
        <f>IF(DATOS!$I14857="","",IFERROR(VLOOKUP(DATOS!$I14857,CONFIG_ASIGNATURAS!$B$2:$J$91,9,FALSE()),""))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IF(DATOS!$A14858="",0,IF(CONFIG_METADATA!$B$4&lt;&gt;"OR+EX",--(DATOS!$G14858=CONFIG_METADATA!$B$4),IF(DATOS!$G14858="EX",1,IF(DATOS!$G14858="OR",--(COUNTIFS(nNIA,DATOS!$A14858,nCURSO,DATOS!$D14858,nESPEC,DATOS!$E14858,nASIG,DATOS!$I14858,nEVAL,"EX")=0),0))))</f>
      </c>
      <c r="H14858">
        <f>IF(DATOS!$G14858&lt;&gt;"EX",0,--(COUNTIFS(nNIA,DATOS!$A14858,nCURSO,DATOS!$D14858,nESPEC,DATOS!$E14858,nASIG,DATOS!$I14858,nEVAL,"OR")=0))</f>
      </c>
      <c r="I14858">
        <f>IF(DATOS!$I14858="","",IFERROR(VLOOKUP(DATOS!$I14858,CONFIG_ASIGNATURAS!$B$2:$J$91,9,FALSE()),""))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IF(DATOS!$A14859="",0,IF(CONFIG_METADATA!$B$4&lt;&gt;"OR+EX",--(DATOS!$G14859=CONFIG_METADATA!$B$4),IF(DATOS!$G14859="EX",1,IF(DATOS!$G14859="OR",--(COUNTIFS(nNIA,DATOS!$A14859,nCURSO,DATOS!$D14859,nESPEC,DATOS!$E14859,nASIG,DATOS!$I14859,nEVAL,"EX")=0),0))))</f>
      </c>
      <c r="H14859">
        <f>IF(DATOS!$G14859&lt;&gt;"EX",0,--(COUNTIFS(nNIA,DATOS!$A14859,nCURSO,DATOS!$D14859,nESPEC,DATOS!$E14859,nASIG,DATOS!$I14859,nEVAL,"OR")=0))</f>
      </c>
      <c r="I14859">
        <f>IF(DATOS!$I14859="","",IFERROR(VLOOKUP(DATOS!$I14859,CONFIG_ASIGNATURAS!$B$2:$J$91,9,FALSE()),""))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IF(DATOS!$A14860="",0,IF(CONFIG_METADATA!$B$4&lt;&gt;"OR+EX",--(DATOS!$G14860=CONFIG_METADATA!$B$4),IF(DATOS!$G14860="EX",1,IF(DATOS!$G14860="OR",--(COUNTIFS(nNIA,DATOS!$A14860,nCURSO,DATOS!$D14860,nESPEC,DATOS!$E14860,nASIG,DATOS!$I14860,nEVAL,"EX")=0),0))))</f>
      </c>
      <c r="H14860">
        <f>IF(DATOS!$G14860&lt;&gt;"EX",0,--(COUNTIFS(nNIA,DATOS!$A14860,nCURSO,DATOS!$D14860,nESPEC,DATOS!$E14860,nASIG,DATOS!$I14860,nEVAL,"OR")=0))</f>
      </c>
      <c r="I14860">
        <f>IF(DATOS!$I14860="","",IFERROR(VLOOKUP(DATOS!$I14860,CONFIG_ASIGNATURAS!$B$2:$J$91,9,FALSE()),""))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IF(DATOS!$A14861="",0,IF(CONFIG_METADATA!$B$4&lt;&gt;"OR+EX",--(DATOS!$G14861=CONFIG_METADATA!$B$4),IF(DATOS!$G14861="EX",1,IF(DATOS!$G14861="OR",--(COUNTIFS(nNIA,DATOS!$A14861,nCURSO,DATOS!$D14861,nESPEC,DATOS!$E14861,nASIG,DATOS!$I14861,nEVAL,"EX")=0),0))))</f>
      </c>
      <c r="H14861">
        <f>IF(DATOS!$G14861&lt;&gt;"EX",0,--(COUNTIFS(nNIA,DATOS!$A14861,nCURSO,DATOS!$D14861,nESPEC,DATOS!$E14861,nASIG,DATOS!$I14861,nEVAL,"OR")=0))</f>
      </c>
      <c r="I14861">
        <f>IF(DATOS!$I14861="","",IFERROR(VLOOKUP(DATOS!$I14861,CONFIG_ASIGNATURAS!$B$2:$J$91,9,FALSE()),""))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IF(DATOS!$A14862="",0,IF(CONFIG_METADATA!$B$4&lt;&gt;"OR+EX",--(DATOS!$G14862=CONFIG_METADATA!$B$4),IF(DATOS!$G14862="EX",1,IF(DATOS!$G14862="OR",--(COUNTIFS(nNIA,DATOS!$A14862,nCURSO,DATOS!$D14862,nESPEC,DATOS!$E14862,nASIG,DATOS!$I14862,nEVAL,"EX")=0),0))))</f>
      </c>
      <c r="H14862">
        <f>IF(DATOS!$G14862&lt;&gt;"EX",0,--(COUNTIFS(nNIA,DATOS!$A14862,nCURSO,DATOS!$D14862,nESPEC,DATOS!$E14862,nASIG,DATOS!$I14862,nEVAL,"OR")=0))</f>
      </c>
      <c r="I14862">
        <f>IF(DATOS!$I14862="","",IFERROR(VLOOKUP(DATOS!$I14862,CONFIG_ASIGNATURAS!$B$2:$J$91,9,FALSE()),""))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IF(DATOS!$A14863="",0,IF(CONFIG_METADATA!$B$4&lt;&gt;"OR+EX",--(DATOS!$G14863=CONFIG_METADATA!$B$4),IF(DATOS!$G14863="EX",1,IF(DATOS!$G14863="OR",--(COUNTIFS(nNIA,DATOS!$A14863,nCURSO,DATOS!$D14863,nESPEC,DATOS!$E14863,nASIG,DATOS!$I14863,nEVAL,"EX")=0),0))))</f>
      </c>
      <c r="H14863">
        <f>IF(DATOS!$G14863&lt;&gt;"EX",0,--(COUNTIFS(nNIA,DATOS!$A14863,nCURSO,DATOS!$D14863,nESPEC,DATOS!$E14863,nASIG,DATOS!$I14863,nEVAL,"OR")=0))</f>
      </c>
      <c r="I14863">
        <f>IF(DATOS!$I14863="","",IFERROR(VLOOKUP(DATOS!$I14863,CONFIG_ASIGNATURAS!$B$2:$J$91,9,FALSE()),""))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IF(DATOS!$A14864="",0,IF(CONFIG_METADATA!$B$4&lt;&gt;"OR+EX",--(DATOS!$G14864=CONFIG_METADATA!$B$4),IF(DATOS!$G14864="EX",1,IF(DATOS!$G14864="OR",--(COUNTIFS(nNIA,DATOS!$A14864,nCURSO,DATOS!$D14864,nESPEC,DATOS!$E14864,nASIG,DATOS!$I14864,nEVAL,"EX")=0),0))))</f>
      </c>
      <c r="H14864">
        <f>IF(DATOS!$G14864&lt;&gt;"EX",0,--(COUNTIFS(nNIA,DATOS!$A14864,nCURSO,DATOS!$D14864,nESPEC,DATOS!$E14864,nASIG,DATOS!$I14864,nEVAL,"OR")=0))</f>
      </c>
      <c r="I14864">
        <f>IF(DATOS!$I14864="","",IFERROR(VLOOKUP(DATOS!$I14864,CONFIG_ASIGNATURAS!$B$2:$J$91,9,FALSE()),""))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IF(DATOS!$A14865="",0,IF(CONFIG_METADATA!$B$4&lt;&gt;"OR+EX",--(DATOS!$G14865=CONFIG_METADATA!$B$4),IF(DATOS!$G14865="EX",1,IF(DATOS!$G14865="OR",--(COUNTIFS(nNIA,DATOS!$A14865,nCURSO,DATOS!$D14865,nESPEC,DATOS!$E14865,nASIG,DATOS!$I14865,nEVAL,"EX")=0),0))))</f>
      </c>
      <c r="H14865">
        <f>IF(DATOS!$G14865&lt;&gt;"EX",0,--(COUNTIFS(nNIA,DATOS!$A14865,nCURSO,DATOS!$D14865,nESPEC,DATOS!$E14865,nASIG,DATOS!$I14865,nEVAL,"OR")=0))</f>
      </c>
      <c r="I14865">
        <f>IF(DATOS!$I14865="","",IFERROR(VLOOKUP(DATOS!$I14865,CONFIG_ASIGNATURAS!$B$2:$J$91,9,FALSE()),""))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IF(DATOS!$A14866="",0,IF(CONFIG_METADATA!$B$4&lt;&gt;"OR+EX",--(DATOS!$G14866=CONFIG_METADATA!$B$4),IF(DATOS!$G14866="EX",1,IF(DATOS!$G14866="OR",--(COUNTIFS(nNIA,DATOS!$A14866,nCURSO,DATOS!$D14866,nESPEC,DATOS!$E14866,nASIG,DATOS!$I14866,nEVAL,"EX")=0),0))))</f>
      </c>
      <c r="H14866">
        <f>IF(DATOS!$G14866&lt;&gt;"EX",0,--(COUNTIFS(nNIA,DATOS!$A14866,nCURSO,DATOS!$D14866,nESPEC,DATOS!$E14866,nASIG,DATOS!$I14866,nEVAL,"OR")=0))</f>
      </c>
      <c r="I14866">
        <f>IF(DATOS!$I14866="","",IFERROR(VLOOKUP(DATOS!$I14866,CONFIG_ASIGNATURAS!$B$2:$J$91,9,FALSE()),""))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IF(DATOS!$A14867="",0,IF(CONFIG_METADATA!$B$4&lt;&gt;"OR+EX",--(DATOS!$G14867=CONFIG_METADATA!$B$4),IF(DATOS!$G14867="EX",1,IF(DATOS!$G14867="OR",--(COUNTIFS(nNIA,DATOS!$A14867,nCURSO,DATOS!$D14867,nESPEC,DATOS!$E14867,nASIG,DATOS!$I14867,nEVAL,"EX")=0),0))))</f>
      </c>
      <c r="H14867">
        <f>IF(DATOS!$G14867&lt;&gt;"EX",0,--(COUNTIFS(nNIA,DATOS!$A14867,nCURSO,DATOS!$D14867,nESPEC,DATOS!$E14867,nASIG,DATOS!$I14867,nEVAL,"OR")=0))</f>
      </c>
      <c r="I14867">
        <f>IF(DATOS!$I14867="","",IFERROR(VLOOKUP(DATOS!$I14867,CONFIG_ASIGNATURAS!$B$2:$J$91,9,FALSE()),""))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IF(DATOS!$A14868="",0,IF(CONFIG_METADATA!$B$4&lt;&gt;"OR+EX",--(DATOS!$G14868=CONFIG_METADATA!$B$4),IF(DATOS!$G14868="EX",1,IF(DATOS!$G14868="OR",--(COUNTIFS(nNIA,DATOS!$A14868,nCURSO,DATOS!$D14868,nESPEC,DATOS!$E14868,nASIG,DATOS!$I14868,nEVAL,"EX")=0),0))))</f>
      </c>
      <c r="H14868">
        <f>IF(DATOS!$G14868&lt;&gt;"EX",0,--(COUNTIFS(nNIA,DATOS!$A14868,nCURSO,DATOS!$D14868,nESPEC,DATOS!$E14868,nASIG,DATOS!$I14868,nEVAL,"OR")=0))</f>
      </c>
      <c r="I14868">
        <f>IF(DATOS!$I14868="","",IFERROR(VLOOKUP(DATOS!$I14868,CONFIG_ASIGNATURAS!$B$2:$J$91,9,FALSE()),""))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IF(DATOS!$A14869="",0,IF(CONFIG_METADATA!$B$4&lt;&gt;"OR+EX",--(DATOS!$G14869=CONFIG_METADATA!$B$4),IF(DATOS!$G14869="EX",1,IF(DATOS!$G14869="OR",--(COUNTIFS(nNIA,DATOS!$A14869,nCURSO,DATOS!$D14869,nESPEC,DATOS!$E14869,nASIG,DATOS!$I14869,nEVAL,"EX")=0),0))))</f>
      </c>
      <c r="H14869">
        <f>IF(DATOS!$G14869&lt;&gt;"EX",0,--(COUNTIFS(nNIA,DATOS!$A14869,nCURSO,DATOS!$D14869,nESPEC,DATOS!$E14869,nASIG,DATOS!$I14869,nEVAL,"OR")=0))</f>
      </c>
      <c r="I14869">
        <f>IF(DATOS!$I14869="","",IFERROR(VLOOKUP(DATOS!$I14869,CONFIG_ASIGNATURAS!$B$2:$J$91,9,FALSE()),""))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IF(DATOS!$A14870="",0,IF(CONFIG_METADATA!$B$4&lt;&gt;"OR+EX",--(DATOS!$G14870=CONFIG_METADATA!$B$4),IF(DATOS!$G14870="EX",1,IF(DATOS!$G14870="OR",--(COUNTIFS(nNIA,DATOS!$A14870,nCURSO,DATOS!$D14870,nESPEC,DATOS!$E14870,nASIG,DATOS!$I14870,nEVAL,"EX")=0),0))))</f>
      </c>
      <c r="H14870">
        <f>IF(DATOS!$G14870&lt;&gt;"EX",0,--(COUNTIFS(nNIA,DATOS!$A14870,nCURSO,DATOS!$D14870,nESPEC,DATOS!$E14870,nASIG,DATOS!$I14870,nEVAL,"OR")=0))</f>
      </c>
      <c r="I14870">
        <f>IF(DATOS!$I14870="","",IFERROR(VLOOKUP(DATOS!$I14870,CONFIG_ASIGNATURAS!$B$2:$J$91,9,FALSE()),""))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IF(DATOS!$A14871="",0,IF(CONFIG_METADATA!$B$4&lt;&gt;"OR+EX",--(DATOS!$G14871=CONFIG_METADATA!$B$4),IF(DATOS!$G14871="EX",1,IF(DATOS!$G14871="OR",--(COUNTIFS(nNIA,DATOS!$A14871,nCURSO,DATOS!$D14871,nESPEC,DATOS!$E14871,nASIG,DATOS!$I14871,nEVAL,"EX")=0),0))))</f>
      </c>
      <c r="H14871">
        <f>IF(DATOS!$G14871&lt;&gt;"EX",0,--(COUNTIFS(nNIA,DATOS!$A14871,nCURSO,DATOS!$D14871,nESPEC,DATOS!$E14871,nASIG,DATOS!$I14871,nEVAL,"OR")=0))</f>
      </c>
      <c r="I14871">
        <f>IF(DATOS!$I14871="","",IFERROR(VLOOKUP(DATOS!$I14871,CONFIG_ASIGNATURAS!$B$2:$J$91,9,FALSE()),""))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IF(DATOS!$A14872="",0,IF(CONFIG_METADATA!$B$4&lt;&gt;"OR+EX",--(DATOS!$G14872=CONFIG_METADATA!$B$4),IF(DATOS!$G14872="EX",1,IF(DATOS!$G14872="OR",--(COUNTIFS(nNIA,DATOS!$A14872,nCURSO,DATOS!$D14872,nESPEC,DATOS!$E14872,nASIG,DATOS!$I14872,nEVAL,"EX")=0),0))))</f>
      </c>
      <c r="H14872">
        <f>IF(DATOS!$G14872&lt;&gt;"EX",0,--(COUNTIFS(nNIA,DATOS!$A14872,nCURSO,DATOS!$D14872,nESPEC,DATOS!$E14872,nASIG,DATOS!$I14872,nEVAL,"OR")=0))</f>
      </c>
      <c r="I14872">
        <f>IF(DATOS!$I14872="","",IFERROR(VLOOKUP(DATOS!$I14872,CONFIG_ASIGNATURAS!$B$2:$J$91,9,FALSE()),""))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IF(DATOS!$A14873="",0,IF(CONFIG_METADATA!$B$4&lt;&gt;"OR+EX",--(DATOS!$G14873=CONFIG_METADATA!$B$4),IF(DATOS!$G14873="EX",1,IF(DATOS!$G14873="OR",--(COUNTIFS(nNIA,DATOS!$A14873,nCURSO,DATOS!$D14873,nESPEC,DATOS!$E14873,nASIG,DATOS!$I14873,nEVAL,"EX")=0),0))))</f>
      </c>
      <c r="H14873">
        <f>IF(DATOS!$G14873&lt;&gt;"EX",0,--(COUNTIFS(nNIA,DATOS!$A14873,nCURSO,DATOS!$D14873,nESPEC,DATOS!$E14873,nASIG,DATOS!$I14873,nEVAL,"OR")=0))</f>
      </c>
      <c r="I14873">
        <f>IF(DATOS!$I14873="","",IFERROR(VLOOKUP(DATOS!$I14873,CONFIG_ASIGNATURAS!$B$2:$J$91,9,FALSE()),""))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IF(DATOS!$A14874="",0,IF(CONFIG_METADATA!$B$4&lt;&gt;"OR+EX",--(DATOS!$G14874=CONFIG_METADATA!$B$4),IF(DATOS!$G14874="EX",1,IF(DATOS!$G14874="OR",--(COUNTIFS(nNIA,DATOS!$A14874,nCURSO,DATOS!$D14874,nESPEC,DATOS!$E14874,nASIG,DATOS!$I14874,nEVAL,"EX")=0),0))))</f>
      </c>
      <c r="H14874">
        <f>IF(DATOS!$G14874&lt;&gt;"EX",0,--(COUNTIFS(nNIA,DATOS!$A14874,nCURSO,DATOS!$D14874,nESPEC,DATOS!$E14874,nASIG,DATOS!$I14874,nEVAL,"OR")=0))</f>
      </c>
      <c r="I14874">
        <f>IF(DATOS!$I14874="","",IFERROR(VLOOKUP(DATOS!$I14874,CONFIG_ASIGNATURAS!$B$2:$J$91,9,FALSE()),""))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IF(DATOS!$A14875="",0,IF(CONFIG_METADATA!$B$4&lt;&gt;"OR+EX",--(DATOS!$G14875=CONFIG_METADATA!$B$4),IF(DATOS!$G14875="EX",1,IF(DATOS!$G14875="OR",--(COUNTIFS(nNIA,DATOS!$A14875,nCURSO,DATOS!$D14875,nESPEC,DATOS!$E14875,nASIG,DATOS!$I14875,nEVAL,"EX")=0),0))))</f>
      </c>
      <c r="H14875">
        <f>IF(DATOS!$G14875&lt;&gt;"EX",0,--(COUNTIFS(nNIA,DATOS!$A14875,nCURSO,DATOS!$D14875,nESPEC,DATOS!$E14875,nASIG,DATOS!$I14875,nEVAL,"OR")=0))</f>
      </c>
      <c r="I14875">
        <f>IF(DATOS!$I14875="","",IFERROR(VLOOKUP(DATOS!$I14875,CONFIG_ASIGNATURAS!$B$2:$J$91,9,FALSE()),""))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IF(DATOS!$A14876="",0,IF(CONFIG_METADATA!$B$4&lt;&gt;"OR+EX",--(DATOS!$G14876=CONFIG_METADATA!$B$4),IF(DATOS!$G14876="EX",1,IF(DATOS!$G14876="OR",--(COUNTIFS(nNIA,DATOS!$A14876,nCURSO,DATOS!$D14876,nESPEC,DATOS!$E14876,nASIG,DATOS!$I14876,nEVAL,"EX")=0),0))))</f>
      </c>
      <c r="H14876">
        <f>IF(DATOS!$G14876&lt;&gt;"EX",0,--(COUNTIFS(nNIA,DATOS!$A14876,nCURSO,DATOS!$D14876,nESPEC,DATOS!$E14876,nASIG,DATOS!$I14876,nEVAL,"OR")=0))</f>
      </c>
      <c r="I14876">
        <f>IF(DATOS!$I14876="","",IFERROR(VLOOKUP(DATOS!$I14876,CONFIG_ASIGNATURAS!$B$2:$J$91,9,FALSE()),""))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IF(DATOS!$A14877="",0,IF(CONFIG_METADATA!$B$4&lt;&gt;"OR+EX",--(DATOS!$G14877=CONFIG_METADATA!$B$4),IF(DATOS!$G14877="EX",1,IF(DATOS!$G14877="OR",--(COUNTIFS(nNIA,DATOS!$A14877,nCURSO,DATOS!$D14877,nESPEC,DATOS!$E14877,nASIG,DATOS!$I14877,nEVAL,"EX")=0),0))))</f>
      </c>
      <c r="H14877">
        <f>IF(DATOS!$G14877&lt;&gt;"EX",0,--(COUNTIFS(nNIA,DATOS!$A14877,nCURSO,DATOS!$D14877,nESPEC,DATOS!$E14877,nASIG,DATOS!$I14877,nEVAL,"OR")=0))</f>
      </c>
      <c r="I14877">
        <f>IF(DATOS!$I14877="","",IFERROR(VLOOKUP(DATOS!$I14877,CONFIG_ASIGNATURAS!$B$2:$J$91,9,FALSE()),""))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IF(DATOS!$A14878="",0,IF(CONFIG_METADATA!$B$4&lt;&gt;"OR+EX",--(DATOS!$G14878=CONFIG_METADATA!$B$4),IF(DATOS!$G14878="EX",1,IF(DATOS!$G14878="OR",--(COUNTIFS(nNIA,DATOS!$A14878,nCURSO,DATOS!$D14878,nESPEC,DATOS!$E14878,nASIG,DATOS!$I14878,nEVAL,"EX")=0),0))))</f>
      </c>
      <c r="H14878">
        <f>IF(DATOS!$G14878&lt;&gt;"EX",0,--(COUNTIFS(nNIA,DATOS!$A14878,nCURSO,DATOS!$D14878,nESPEC,DATOS!$E14878,nASIG,DATOS!$I14878,nEVAL,"OR")=0))</f>
      </c>
      <c r="I14878">
        <f>IF(DATOS!$I14878="","",IFERROR(VLOOKUP(DATOS!$I14878,CONFIG_ASIGNATURAS!$B$2:$J$91,9,FALSE()),""))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IF(DATOS!$A14879="",0,IF(CONFIG_METADATA!$B$4&lt;&gt;"OR+EX",--(DATOS!$G14879=CONFIG_METADATA!$B$4),IF(DATOS!$G14879="EX",1,IF(DATOS!$G14879="OR",--(COUNTIFS(nNIA,DATOS!$A14879,nCURSO,DATOS!$D14879,nESPEC,DATOS!$E14879,nASIG,DATOS!$I14879,nEVAL,"EX")=0),0))))</f>
      </c>
      <c r="H14879">
        <f>IF(DATOS!$G14879&lt;&gt;"EX",0,--(COUNTIFS(nNIA,DATOS!$A14879,nCURSO,DATOS!$D14879,nESPEC,DATOS!$E14879,nASIG,DATOS!$I14879,nEVAL,"OR")=0))</f>
      </c>
      <c r="I14879">
        <f>IF(DATOS!$I14879="","",IFERROR(VLOOKUP(DATOS!$I14879,CONFIG_ASIGNATURAS!$B$2:$J$91,9,FALSE()),""))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IF(DATOS!$A14880="",0,IF(CONFIG_METADATA!$B$4&lt;&gt;"OR+EX",--(DATOS!$G14880=CONFIG_METADATA!$B$4),IF(DATOS!$G14880="EX",1,IF(DATOS!$G14880="OR",--(COUNTIFS(nNIA,DATOS!$A14880,nCURSO,DATOS!$D14880,nESPEC,DATOS!$E14880,nASIG,DATOS!$I14880,nEVAL,"EX")=0),0))))</f>
      </c>
      <c r="H14880">
        <f>IF(DATOS!$G14880&lt;&gt;"EX",0,--(COUNTIFS(nNIA,DATOS!$A14880,nCURSO,DATOS!$D14880,nESPEC,DATOS!$E14880,nASIG,DATOS!$I14880,nEVAL,"OR")=0))</f>
      </c>
      <c r="I14880">
        <f>IF(DATOS!$I14880="","",IFERROR(VLOOKUP(DATOS!$I14880,CONFIG_ASIGNATURAS!$B$2:$J$91,9,FALSE()),""))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IF(DATOS!$A14881="",0,IF(CONFIG_METADATA!$B$4&lt;&gt;"OR+EX",--(DATOS!$G14881=CONFIG_METADATA!$B$4),IF(DATOS!$G14881="EX",1,IF(DATOS!$G14881="OR",--(COUNTIFS(nNIA,DATOS!$A14881,nCURSO,DATOS!$D14881,nESPEC,DATOS!$E14881,nASIG,DATOS!$I14881,nEVAL,"EX")=0),0))))</f>
      </c>
      <c r="H14881">
        <f>IF(DATOS!$G14881&lt;&gt;"EX",0,--(COUNTIFS(nNIA,DATOS!$A14881,nCURSO,DATOS!$D14881,nESPEC,DATOS!$E14881,nASIG,DATOS!$I14881,nEVAL,"OR")=0))</f>
      </c>
      <c r="I14881">
        <f>IF(DATOS!$I14881="","",IFERROR(VLOOKUP(DATOS!$I14881,CONFIG_ASIGNATURAS!$B$2:$J$91,9,FALSE()),""))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IF(DATOS!$A14882="",0,IF(CONFIG_METADATA!$B$4&lt;&gt;"OR+EX",--(DATOS!$G14882=CONFIG_METADATA!$B$4),IF(DATOS!$G14882="EX",1,IF(DATOS!$G14882="OR",--(COUNTIFS(nNIA,DATOS!$A14882,nCURSO,DATOS!$D14882,nESPEC,DATOS!$E14882,nASIG,DATOS!$I14882,nEVAL,"EX")=0),0))))</f>
      </c>
      <c r="H14882">
        <f>IF(DATOS!$G14882&lt;&gt;"EX",0,--(COUNTIFS(nNIA,DATOS!$A14882,nCURSO,DATOS!$D14882,nESPEC,DATOS!$E14882,nASIG,DATOS!$I14882,nEVAL,"OR")=0))</f>
      </c>
      <c r="I14882">
        <f>IF(DATOS!$I14882="","",IFERROR(VLOOKUP(DATOS!$I14882,CONFIG_ASIGNATURAS!$B$2:$J$91,9,FALSE()),""))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IF(DATOS!$A14883="",0,IF(CONFIG_METADATA!$B$4&lt;&gt;"OR+EX",--(DATOS!$G14883=CONFIG_METADATA!$B$4),IF(DATOS!$G14883="EX",1,IF(DATOS!$G14883="OR",--(COUNTIFS(nNIA,DATOS!$A14883,nCURSO,DATOS!$D14883,nESPEC,DATOS!$E14883,nASIG,DATOS!$I14883,nEVAL,"EX")=0),0))))</f>
      </c>
      <c r="H14883">
        <f>IF(DATOS!$G14883&lt;&gt;"EX",0,--(COUNTIFS(nNIA,DATOS!$A14883,nCURSO,DATOS!$D14883,nESPEC,DATOS!$E14883,nASIG,DATOS!$I14883,nEVAL,"OR")=0))</f>
      </c>
      <c r="I14883">
        <f>IF(DATOS!$I14883="","",IFERROR(VLOOKUP(DATOS!$I14883,CONFIG_ASIGNATURAS!$B$2:$J$91,9,FALSE()),""))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IF(DATOS!$A14884="",0,IF(CONFIG_METADATA!$B$4&lt;&gt;"OR+EX",--(DATOS!$G14884=CONFIG_METADATA!$B$4),IF(DATOS!$G14884="EX",1,IF(DATOS!$G14884="OR",--(COUNTIFS(nNIA,DATOS!$A14884,nCURSO,DATOS!$D14884,nESPEC,DATOS!$E14884,nASIG,DATOS!$I14884,nEVAL,"EX")=0),0))))</f>
      </c>
      <c r="H14884">
        <f>IF(DATOS!$G14884&lt;&gt;"EX",0,--(COUNTIFS(nNIA,DATOS!$A14884,nCURSO,DATOS!$D14884,nESPEC,DATOS!$E14884,nASIG,DATOS!$I14884,nEVAL,"OR")=0))</f>
      </c>
      <c r="I14884">
        <f>IF(DATOS!$I14884="","",IFERROR(VLOOKUP(DATOS!$I14884,CONFIG_ASIGNATURAS!$B$2:$J$91,9,FALSE()),""))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IF(DATOS!$A14885="",0,IF(CONFIG_METADATA!$B$4&lt;&gt;"OR+EX",--(DATOS!$G14885=CONFIG_METADATA!$B$4),IF(DATOS!$G14885="EX",1,IF(DATOS!$G14885="OR",--(COUNTIFS(nNIA,DATOS!$A14885,nCURSO,DATOS!$D14885,nESPEC,DATOS!$E14885,nASIG,DATOS!$I14885,nEVAL,"EX")=0),0))))</f>
      </c>
      <c r="H14885">
        <f>IF(DATOS!$G14885&lt;&gt;"EX",0,--(COUNTIFS(nNIA,DATOS!$A14885,nCURSO,DATOS!$D14885,nESPEC,DATOS!$E14885,nASIG,DATOS!$I14885,nEVAL,"OR")=0))</f>
      </c>
      <c r="I14885">
        <f>IF(DATOS!$I14885="","",IFERROR(VLOOKUP(DATOS!$I14885,CONFIG_ASIGNATURAS!$B$2:$J$91,9,FALSE()),""))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IF(DATOS!$A14886="",0,IF(CONFIG_METADATA!$B$4&lt;&gt;"OR+EX",--(DATOS!$G14886=CONFIG_METADATA!$B$4),IF(DATOS!$G14886="EX",1,IF(DATOS!$G14886="OR",--(COUNTIFS(nNIA,DATOS!$A14886,nCURSO,DATOS!$D14886,nESPEC,DATOS!$E14886,nASIG,DATOS!$I14886,nEVAL,"EX")=0),0))))</f>
      </c>
      <c r="H14886">
        <f>IF(DATOS!$G14886&lt;&gt;"EX",0,--(COUNTIFS(nNIA,DATOS!$A14886,nCURSO,DATOS!$D14886,nESPEC,DATOS!$E14886,nASIG,DATOS!$I14886,nEVAL,"OR")=0))</f>
      </c>
      <c r="I14886">
        <f>IF(DATOS!$I14886="","",IFERROR(VLOOKUP(DATOS!$I14886,CONFIG_ASIGNATURAS!$B$2:$J$91,9,FALSE()),""))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IF(DATOS!$A14887="",0,IF(CONFIG_METADATA!$B$4&lt;&gt;"OR+EX",--(DATOS!$G14887=CONFIG_METADATA!$B$4),IF(DATOS!$G14887="EX",1,IF(DATOS!$G14887="OR",--(COUNTIFS(nNIA,DATOS!$A14887,nCURSO,DATOS!$D14887,nESPEC,DATOS!$E14887,nASIG,DATOS!$I14887,nEVAL,"EX")=0),0))))</f>
      </c>
      <c r="H14887">
        <f>IF(DATOS!$G14887&lt;&gt;"EX",0,--(COUNTIFS(nNIA,DATOS!$A14887,nCURSO,DATOS!$D14887,nESPEC,DATOS!$E14887,nASIG,DATOS!$I14887,nEVAL,"OR")=0))</f>
      </c>
      <c r="I14887">
        <f>IF(DATOS!$I14887="","",IFERROR(VLOOKUP(DATOS!$I14887,CONFIG_ASIGNATURAS!$B$2:$J$91,9,FALSE()),""))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IF(DATOS!$A14888="",0,IF(CONFIG_METADATA!$B$4&lt;&gt;"OR+EX",--(DATOS!$G14888=CONFIG_METADATA!$B$4),IF(DATOS!$G14888="EX",1,IF(DATOS!$G14888="OR",--(COUNTIFS(nNIA,DATOS!$A14888,nCURSO,DATOS!$D14888,nESPEC,DATOS!$E14888,nASIG,DATOS!$I14888,nEVAL,"EX")=0),0))))</f>
      </c>
      <c r="H14888">
        <f>IF(DATOS!$G14888&lt;&gt;"EX",0,--(COUNTIFS(nNIA,DATOS!$A14888,nCURSO,DATOS!$D14888,nESPEC,DATOS!$E14888,nASIG,DATOS!$I14888,nEVAL,"OR")=0))</f>
      </c>
      <c r="I14888">
        <f>IF(DATOS!$I14888="","",IFERROR(VLOOKUP(DATOS!$I14888,CONFIG_ASIGNATURAS!$B$2:$J$91,9,FALSE()),""))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IF(DATOS!$A14889="",0,IF(CONFIG_METADATA!$B$4&lt;&gt;"OR+EX",--(DATOS!$G14889=CONFIG_METADATA!$B$4),IF(DATOS!$G14889="EX",1,IF(DATOS!$G14889="OR",--(COUNTIFS(nNIA,DATOS!$A14889,nCURSO,DATOS!$D14889,nESPEC,DATOS!$E14889,nASIG,DATOS!$I14889,nEVAL,"EX")=0),0))))</f>
      </c>
      <c r="H14889">
        <f>IF(DATOS!$G14889&lt;&gt;"EX",0,--(COUNTIFS(nNIA,DATOS!$A14889,nCURSO,DATOS!$D14889,nESPEC,DATOS!$E14889,nASIG,DATOS!$I14889,nEVAL,"OR")=0))</f>
      </c>
      <c r="I14889">
        <f>IF(DATOS!$I14889="","",IFERROR(VLOOKUP(DATOS!$I14889,CONFIG_ASIGNATURAS!$B$2:$J$91,9,FALSE()),""))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IF(DATOS!$A14890="",0,IF(CONFIG_METADATA!$B$4&lt;&gt;"OR+EX",--(DATOS!$G14890=CONFIG_METADATA!$B$4),IF(DATOS!$G14890="EX",1,IF(DATOS!$G14890="OR",--(COUNTIFS(nNIA,DATOS!$A14890,nCURSO,DATOS!$D14890,nESPEC,DATOS!$E14890,nASIG,DATOS!$I14890,nEVAL,"EX")=0),0))))</f>
      </c>
      <c r="H14890">
        <f>IF(DATOS!$G14890&lt;&gt;"EX",0,--(COUNTIFS(nNIA,DATOS!$A14890,nCURSO,DATOS!$D14890,nESPEC,DATOS!$E14890,nASIG,DATOS!$I14890,nEVAL,"OR")=0))</f>
      </c>
      <c r="I14890">
        <f>IF(DATOS!$I14890="","",IFERROR(VLOOKUP(DATOS!$I14890,CONFIG_ASIGNATURAS!$B$2:$J$91,9,FALSE()),""))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IF(DATOS!$A14891="",0,IF(CONFIG_METADATA!$B$4&lt;&gt;"OR+EX",--(DATOS!$G14891=CONFIG_METADATA!$B$4),IF(DATOS!$G14891="EX",1,IF(DATOS!$G14891="OR",--(COUNTIFS(nNIA,DATOS!$A14891,nCURSO,DATOS!$D14891,nESPEC,DATOS!$E14891,nASIG,DATOS!$I14891,nEVAL,"EX")=0),0))))</f>
      </c>
      <c r="H14891">
        <f>IF(DATOS!$G14891&lt;&gt;"EX",0,--(COUNTIFS(nNIA,DATOS!$A14891,nCURSO,DATOS!$D14891,nESPEC,DATOS!$E14891,nASIG,DATOS!$I14891,nEVAL,"OR")=0))</f>
      </c>
      <c r="I14891">
        <f>IF(DATOS!$I14891="","",IFERROR(VLOOKUP(DATOS!$I14891,CONFIG_ASIGNATURAS!$B$2:$J$91,9,FALSE()),""))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IF(DATOS!$A14892="",0,IF(CONFIG_METADATA!$B$4&lt;&gt;"OR+EX",--(DATOS!$G14892=CONFIG_METADATA!$B$4),IF(DATOS!$G14892="EX",1,IF(DATOS!$G14892="OR",--(COUNTIFS(nNIA,DATOS!$A14892,nCURSO,DATOS!$D14892,nESPEC,DATOS!$E14892,nASIG,DATOS!$I14892,nEVAL,"EX")=0),0))))</f>
      </c>
      <c r="H14892">
        <f>IF(DATOS!$G14892&lt;&gt;"EX",0,--(COUNTIFS(nNIA,DATOS!$A14892,nCURSO,DATOS!$D14892,nESPEC,DATOS!$E14892,nASIG,DATOS!$I14892,nEVAL,"OR")=0))</f>
      </c>
      <c r="I14892">
        <f>IF(DATOS!$I14892="","",IFERROR(VLOOKUP(DATOS!$I14892,CONFIG_ASIGNATURAS!$B$2:$J$91,9,FALSE()),""))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IF(DATOS!$A14893="",0,IF(CONFIG_METADATA!$B$4&lt;&gt;"OR+EX",--(DATOS!$G14893=CONFIG_METADATA!$B$4),IF(DATOS!$G14893="EX",1,IF(DATOS!$G14893="OR",--(COUNTIFS(nNIA,DATOS!$A14893,nCURSO,DATOS!$D14893,nESPEC,DATOS!$E14893,nASIG,DATOS!$I14893,nEVAL,"EX")=0),0))))</f>
      </c>
      <c r="H14893">
        <f>IF(DATOS!$G14893&lt;&gt;"EX",0,--(COUNTIFS(nNIA,DATOS!$A14893,nCURSO,DATOS!$D14893,nESPEC,DATOS!$E14893,nASIG,DATOS!$I14893,nEVAL,"OR")=0))</f>
      </c>
      <c r="I14893">
        <f>IF(DATOS!$I14893="","",IFERROR(VLOOKUP(DATOS!$I14893,CONFIG_ASIGNATURAS!$B$2:$J$91,9,FALSE()),""))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IF(DATOS!$A14894="",0,IF(CONFIG_METADATA!$B$4&lt;&gt;"OR+EX",--(DATOS!$G14894=CONFIG_METADATA!$B$4),IF(DATOS!$G14894="EX",1,IF(DATOS!$G14894="OR",--(COUNTIFS(nNIA,DATOS!$A14894,nCURSO,DATOS!$D14894,nESPEC,DATOS!$E14894,nASIG,DATOS!$I14894,nEVAL,"EX")=0),0))))</f>
      </c>
      <c r="H14894">
        <f>IF(DATOS!$G14894&lt;&gt;"EX",0,--(COUNTIFS(nNIA,DATOS!$A14894,nCURSO,DATOS!$D14894,nESPEC,DATOS!$E14894,nASIG,DATOS!$I14894,nEVAL,"OR")=0))</f>
      </c>
      <c r="I14894">
        <f>IF(DATOS!$I14894="","",IFERROR(VLOOKUP(DATOS!$I14894,CONFIG_ASIGNATURAS!$B$2:$J$91,9,FALSE()),""))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IF(DATOS!$A14895="",0,IF(CONFIG_METADATA!$B$4&lt;&gt;"OR+EX",--(DATOS!$G14895=CONFIG_METADATA!$B$4),IF(DATOS!$G14895="EX",1,IF(DATOS!$G14895="OR",--(COUNTIFS(nNIA,DATOS!$A14895,nCURSO,DATOS!$D14895,nESPEC,DATOS!$E14895,nASIG,DATOS!$I14895,nEVAL,"EX")=0),0))))</f>
      </c>
      <c r="H14895">
        <f>IF(DATOS!$G14895&lt;&gt;"EX",0,--(COUNTIFS(nNIA,DATOS!$A14895,nCURSO,DATOS!$D14895,nESPEC,DATOS!$E14895,nASIG,DATOS!$I14895,nEVAL,"OR")=0))</f>
      </c>
      <c r="I14895">
        <f>IF(DATOS!$I14895="","",IFERROR(VLOOKUP(DATOS!$I14895,CONFIG_ASIGNATURAS!$B$2:$J$91,9,FALSE()),""))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IF(DATOS!$A14896="",0,IF(CONFIG_METADATA!$B$4&lt;&gt;"OR+EX",--(DATOS!$G14896=CONFIG_METADATA!$B$4),IF(DATOS!$G14896="EX",1,IF(DATOS!$G14896="OR",--(COUNTIFS(nNIA,DATOS!$A14896,nCURSO,DATOS!$D14896,nESPEC,DATOS!$E14896,nASIG,DATOS!$I14896,nEVAL,"EX")=0),0))))</f>
      </c>
      <c r="H14896">
        <f>IF(DATOS!$G14896&lt;&gt;"EX",0,--(COUNTIFS(nNIA,DATOS!$A14896,nCURSO,DATOS!$D14896,nESPEC,DATOS!$E14896,nASIG,DATOS!$I14896,nEVAL,"OR")=0))</f>
      </c>
      <c r="I14896">
        <f>IF(DATOS!$I14896="","",IFERROR(VLOOKUP(DATOS!$I14896,CONFIG_ASIGNATURAS!$B$2:$J$91,9,FALSE()),""))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IF(DATOS!$A14897="",0,IF(CONFIG_METADATA!$B$4&lt;&gt;"OR+EX",--(DATOS!$G14897=CONFIG_METADATA!$B$4),IF(DATOS!$G14897="EX",1,IF(DATOS!$G14897="OR",--(COUNTIFS(nNIA,DATOS!$A14897,nCURSO,DATOS!$D14897,nESPEC,DATOS!$E14897,nASIG,DATOS!$I14897,nEVAL,"EX")=0),0))))</f>
      </c>
      <c r="H14897">
        <f>IF(DATOS!$G14897&lt;&gt;"EX",0,--(COUNTIFS(nNIA,DATOS!$A14897,nCURSO,DATOS!$D14897,nESPEC,DATOS!$E14897,nASIG,DATOS!$I14897,nEVAL,"OR")=0))</f>
      </c>
      <c r="I14897">
        <f>IF(DATOS!$I14897="","",IFERROR(VLOOKUP(DATOS!$I14897,CONFIG_ASIGNATURAS!$B$2:$J$91,9,FALSE()),""))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IF(DATOS!$A14898="",0,IF(CONFIG_METADATA!$B$4&lt;&gt;"OR+EX",--(DATOS!$G14898=CONFIG_METADATA!$B$4),IF(DATOS!$G14898="EX",1,IF(DATOS!$G14898="OR",--(COUNTIFS(nNIA,DATOS!$A14898,nCURSO,DATOS!$D14898,nESPEC,DATOS!$E14898,nASIG,DATOS!$I14898,nEVAL,"EX")=0),0))))</f>
      </c>
      <c r="H14898">
        <f>IF(DATOS!$G14898&lt;&gt;"EX",0,--(COUNTIFS(nNIA,DATOS!$A14898,nCURSO,DATOS!$D14898,nESPEC,DATOS!$E14898,nASIG,DATOS!$I14898,nEVAL,"OR")=0))</f>
      </c>
      <c r="I14898">
        <f>IF(DATOS!$I14898="","",IFERROR(VLOOKUP(DATOS!$I14898,CONFIG_ASIGNATURAS!$B$2:$J$91,9,FALSE()),""))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IF(DATOS!$A14899="",0,IF(CONFIG_METADATA!$B$4&lt;&gt;"OR+EX",--(DATOS!$G14899=CONFIG_METADATA!$B$4),IF(DATOS!$G14899="EX",1,IF(DATOS!$G14899="OR",--(COUNTIFS(nNIA,DATOS!$A14899,nCURSO,DATOS!$D14899,nESPEC,DATOS!$E14899,nASIG,DATOS!$I14899,nEVAL,"EX")=0),0))))</f>
      </c>
      <c r="H14899">
        <f>IF(DATOS!$G14899&lt;&gt;"EX",0,--(COUNTIFS(nNIA,DATOS!$A14899,nCURSO,DATOS!$D14899,nESPEC,DATOS!$E14899,nASIG,DATOS!$I14899,nEVAL,"OR")=0))</f>
      </c>
      <c r="I14899">
        <f>IF(DATOS!$I14899="","",IFERROR(VLOOKUP(DATOS!$I14899,CONFIG_ASIGNATURAS!$B$2:$J$91,9,FALSE()),""))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IF(DATOS!$A14900="",0,IF(CONFIG_METADATA!$B$4&lt;&gt;"OR+EX",--(DATOS!$G14900=CONFIG_METADATA!$B$4),IF(DATOS!$G14900="EX",1,IF(DATOS!$G14900="OR",--(COUNTIFS(nNIA,DATOS!$A14900,nCURSO,DATOS!$D14900,nESPEC,DATOS!$E14900,nASIG,DATOS!$I14900,nEVAL,"EX")=0),0))))</f>
      </c>
      <c r="H14900">
        <f>IF(DATOS!$G14900&lt;&gt;"EX",0,--(COUNTIFS(nNIA,DATOS!$A14900,nCURSO,DATOS!$D14900,nESPEC,DATOS!$E14900,nASIG,DATOS!$I14900,nEVAL,"OR")=0))</f>
      </c>
      <c r="I14900">
        <f>IF(DATOS!$I14900="","",IFERROR(VLOOKUP(DATOS!$I14900,CONFIG_ASIGNATURAS!$B$2:$J$91,9,FALSE()),""))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IF(DATOS!$A14901="",0,IF(CONFIG_METADATA!$B$4&lt;&gt;"OR+EX",--(DATOS!$G14901=CONFIG_METADATA!$B$4),IF(DATOS!$G14901="EX",1,IF(DATOS!$G14901="OR",--(COUNTIFS(nNIA,DATOS!$A14901,nCURSO,DATOS!$D14901,nESPEC,DATOS!$E14901,nASIG,DATOS!$I14901,nEVAL,"EX")=0),0))))</f>
      </c>
      <c r="H14901">
        <f>IF(DATOS!$G14901&lt;&gt;"EX",0,--(COUNTIFS(nNIA,DATOS!$A14901,nCURSO,DATOS!$D14901,nESPEC,DATOS!$E14901,nASIG,DATOS!$I14901,nEVAL,"OR")=0))</f>
      </c>
      <c r="I14901">
        <f>IF(DATOS!$I14901="","",IFERROR(VLOOKUP(DATOS!$I14901,CONFIG_ASIGNATURAS!$B$2:$J$91,9,FALSE()),""))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IF(DATOS!$A14902="",0,IF(CONFIG_METADATA!$B$4&lt;&gt;"OR+EX",--(DATOS!$G14902=CONFIG_METADATA!$B$4),IF(DATOS!$G14902="EX",1,IF(DATOS!$G14902="OR",--(COUNTIFS(nNIA,DATOS!$A14902,nCURSO,DATOS!$D14902,nESPEC,DATOS!$E14902,nASIG,DATOS!$I14902,nEVAL,"EX")=0),0))))</f>
      </c>
      <c r="H14902">
        <f>IF(DATOS!$G14902&lt;&gt;"EX",0,--(COUNTIFS(nNIA,DATOS!$A14902,nCURSO,DATOS!$D14902,nESPEC,DATOS!$E14902,nASIG,DATOS!$I14902,nEVAL,"OR")=0))</f>
      </c>
      <c r="I14902">
        <f>IF(DATOS!$I14902="","",IFERROR(VLOOKUP(DATOS!$I14902,CONFIG_ASIGNATURAS!$B$2:$J$91,9,FALSE()),""))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IF(DATOS!$A14903="",0,IF(CONFIG_METADATA!$B$4&lt;&gt;"OR+EX",--(DATOS!$G14903=CONFIG_METADATA!$B$4),IF(DATOS!$G14903="EX",1,IF(DATOS!$G14903="OR",--(COUNTIFS(nNIA,DATOS!$A14903,nCURSO,DATOS!$D14903,nESPEC,DATOS!$E14903,nASIG,DATOS!$I14903,nEVAL,"EX")=0),0))))</f>
      </c>
      <c r="H14903">
        <f>IF(DATOS!$G14903&lt;&gt;"EX",0,--(COUNTIFS(nNIA,DATOS!$A14903,nCURSO,DATOS!$D14903,nESPEC,DATOS!$E14903,nASIG,DATOS!$I14903,nEVAL,"OR")=0))</f>
      </c>
      <c r="I14903">
        <f>IF(DATOS!$I14903="","",IFERROR(VLOOKUP(DATOS!$I14903,CONFIG_ASIGNATURAS!$B$2:$J$91,9,FALSE()),""))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IF(DATOS!$A14904="",0,IF(CONFIG_METADATA!$B$4&lt;&gt;"OR+EX",--(DATOS!$G14904=CONFIG_METADATA!$B$4),IF(DATOS!$G14904="EX",1,IF(DATOS!$G14904="OR",--(COUNTIFS(nNIA,DATOS!$A14904,nCURSO,DATOS!$D14904,nESPEC,DATOS!$E14904,nASIG,DATOS!$I14904,nEVAL,"EX")=0),0))))</f>
      </c>
      <c r="H14904">
        <f>IF(DATOS!$G14904&lt;&gt;"EX",0,--(COUNTIFS(nNIA,DATOS!$A14904,nCURSO,DATOS!$D14904,nESPEC,DATOS!$E14904,nASIG,DATOS!$I14904,nEVAL,"OR")=0))</f>
      </c>
      <c r="I14904">
        <f>IF(DATOS!$I14904="","",IFERROR(VLOOKUP(DATOS!$I14904,CONFIG_ASIGNATURAS!$B$2:$J$91,9,FALSE()),""))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IF(DATOS!$A14905="",0,IF(CONFIG_METADATA!$B$4&lt;&gt;"OR+EX",--(DATOS!$G14905=CONFIG_METADATA!$B$4),IF(DATOS!$G14905="EX",1,IF(DATOS!$G14905="OR",--(COUNTIFS(nNIA,DATOS!$A14905,nCURSO,DATOS!$D14905,nESPEC,DATOS!$E14905,nASIG,DATOS!$I14905,nEVAL,"EX")=0),0))))</f>
      </c>
      <c r="H14905">
        <f>IF(DATOS!$G14905&lt;&gt;"EX",0,--(COUNTIFS(nNIA,DATOS!$A14905,nCURSO,DATOS!$D14905,nESPEC,DATOS!$E14905,nASIG,DATOS!$I14905,nEVAL,"OR")=0))</f>
      </c>
      <c r="I14905">
        <f>IF(DATOS!$I14905="","",IFERROR(VLOOKUP(DATOS!$I14905,CONFIG_ASIGNATURAS!$B$2:$J$91,9,FALSE()),""))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IF(DATOS!$A14906="",0,IF(CONFIG_METADATA!$B$4&lt;&gt;"OR+EX",--(DATOS!$G14906=CONFIG_METADATA!$B$4),IF(DATOS!$G14906="EX",1,IF(DATOS!$G14906="OR",--(COUNTIFS(nNIA,DATOS!$A14906,nCURSO,DATOS!$D14906,nESPEC,DATOS!$E14906,nASIG,DATOS!$I14906,nEVAL,"EX")=0),0))))</f>
      </c>
      <c r="H14906">
        <f>IF(DATOS!$G14906&lt;&gt;"EX",0,--(COUNTIFS(nNIA,DATOS!$A14906,nCURSO,DATOS!$D14906,nESPEC,DATOS!$E14906,nASIG,DATOS!$I14906,nEVAL,"OR")=0))</f>
      </c>
      <c r="I14906">
        <f>IF(DATOS!$I14906="","",IFERROR(VLOOKUP(DATOS!$I14906,CONFIG_ASIGNATURAS!$B$2:$J$91,9,FALSE()),""))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IF(DATOS!$A14907="",0,IF(CONFIG_METADATA!$B$4&lt;&gt;"OR+EX",--(DATOS!$G14907=CONFIG_METADATA!$B$4),IF(DATOS!$G14907="EX",1,IF(DATOS!$G14907="OR",--(COUNTIFS(nNIA,DATOS!$A14907,nCURSO,DATOS!$D14907,nESPEC,DATOS!$E14907,nASIG,DATOS!$I14907,nEVAL,"EX")=0),0))))</f>
      </c>
      <c r="H14907">
        <f>IF(DATOS!$G14907&lt;&gt;"EX",0,--(COUNTIFS(nNIA,DATOS!$A14907,nCURSO,DATOS!$D14907,nESPEC,DATOS!$E14907,nASIG,DATOS!$I14907,nEVAL,"OR")=0))</f>
      </c>
      <c r="I14907">
        <f>IF(DATOS!$I14907="","",IFERROR(VLOOKUP(DATOS!$I14907,CONFIG_ASIGNATURAS!$B$2:$J$91,9,FALSE()),""))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IF(DATOS!$A14908="",0,IF(CONFIG_METADATA!$B$4&lt;&gt;"OR+EX",--(DATOS!$G14908=CONFIG_METADATA!$B$4),IF(DATOS!$G14908="EX",1,IF(DATOS!$G14908="OR",--(COUNTIFS(nNIA,DATOS!$A14908,nCURSO,DATOS!$D14908,nESPEC,DATOS!$E14908,nASIG,DATOS!$I14908,nEVAL,"EX")=0),0))))</f>
      </c>
      <c r="H14908">
        <f>IF(DATOS!$G14908&lt;&gt;"EX",0,--(COUNTIFS(nNIA,DATOS!$A14908,nCURSO,DATOS!$D14908,nESPEC,DATOS!$E14908,nASIG,DATOS!$I14908,nEVAL,"OR")=0))</f>
      </c>
      <c r="I14908">
        <f>IF(DATOS!$I14908="","",IFERROR(VLOOKUP(DATOS!$I14908,CONFIG_ASIGNATURAS!$B$2:$J$91,9,FALSE()),""))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IF(DATOS!$A14909="",0,IF(CONFIG_METADATA!$B$4&lt;&gt;"OR+EX",--(DATOS!$G14909=CONFIG_METADATA!$B$4),IF(DATOS!$G14909="EX",1,IF(DATOS!$G14909="OR",--(COUNTIFS(nNIA,DATOS!$A14909,nCURSO,DATOS!$D14909,nESPEC,DATOS!$E14909,nASIG,DATOS!$I14909,nEVAL,"EX")=0),0))))</f>
      </c>
      <c r="H14909">
        <f>IF(DATOS!$G14909&lt;&gt;"EX",0,--(COUNTIFS(nNIA,DATOS!$A14909,nCURSO,DATOS!$D14909,nESPEC,DATOS!$E14909,nASIG,DATOS!$I14909,nEVAL,"OR")=0))</f>
      </c>
      <c r="I14909">
        <f>IF(DATOS!$I14909="","",IFERROR(VLOOKUP(DATOS!$I14909,CONFIG_ASIGNATURAS!$B$2:$J$91,9,FALSE()),""))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IF(DATOS!$A14910="",0,IF(CONFIG_METADATA!$B$4&lt;&gt;"OR+EX",--(DATOS!$G14910=CONFIG_METADATA!$B$4),IF(DATOS!$G14910="EX",1,IF(DATOS!$G14910="OR",--(COUNTIFS(nNIA,DATOS!$A14910,nCURSO,DATOS!$D14910,nESPEC,DATOS!$E14910,nASIG,DATOS!$I14910,nEVAL,"EX")=0),0))))</f>
      </c>
      <c r="H14910">
        <f>IF(DATOS!$G14910&lt;&gt;"EX",0,--(COUNTIFS(nNIA,DATOS!$A14910,nCURSO,DATOS!$D14910,nESPEC,DATOS!$E14910,nASIG,DATOS!$I14910,nEVAL,"OR")=0))</f>
      </c>
      <c r="I14910">
        <f>IF(DATOS!$I14910="","",IFERROR(VLOOKUP(DATOS!$I14910,CONFIG_ASIGNATURAS!$B$2:$J$91,9,FALSE()),""))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IF(DATOS!$A14911="",0,IF(CONFIG_METADATA!$B$4&lt;&gt;"OR+EX",--(DATOS!$G14911=CONFIG_METADATA!$B$4),IF(DATOS!$G14911="EX",1,IF(DATOS!$G14911="OR",--(COUNTIFS(nNIA,DATOS!$A14911,nCURSO,DATOS!$D14911,nESPEC,DATOS!$E14911,nASIG,DATOS!$I14911,nEVAL,"EX")=0),0))))</f>
      </c>
      <c r="H14911">
        <f>IF(DATOS!$G14911&lt;&gt;"EX",0,--(COUNTIFS(nNIA,DATOS!$A14911,nCURSO,DATOS!$D14911,nESPEC,DATOS!$E14911,nASIG,DATOS!$I14911,nEVAL,"OR")=0))</f>
      </c>
      <c r="I14911">
        <f>IF(DATOS!$I14911="","",IFERROR(VLOOKUP(DATOS!$I14911,CONFIG_ASIGNATURAS!$B$2:$J$91,9,FALSE()),""))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IF(DATOS!$A14912="",0,IF(CONFIG_METADATA!$B$4&lt;&gt;"OR+EX",--(DATOS!$G14912=CONFIG_METADATA!$B$4),IF(DATOS!$G14912="EX",1,IF(DATOS!$G14912="OR",--(COUNTIFS(nNIA,DATOS!$A14912,nCURSO,DATOS!$D14912,nESPEC,DATOS!$E14912,nASIG,DATOS!$I14912,nEVAL,"EX")=0),0))))</f>
      </c>
      <c r="H14912">
        <f>IF(DATOS!$G14912&lt;&gt;"EX",0,--(COUNTIFS(nNIA,DATOS!$A14912,nCURSO,DATOS!$D14912,nESPEC,DATOS!$E14912,nASIG,DATOS!$I14912,nEVAL,"OR")=0))</f>
      </c>
      <c r="I14912">
        <f>IF(DATOS!$I14912="","",IFERROR(VLOOKUP(DATOS!$I14912,CONFIG_ASIGNATURAS!$B$2:$J$91,9,FALSE()),""))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IF(DATOS!$A14913="",0,IF(CONFIG_METADATA!$B$4&lt;&gt;"OR+EX",--(DATOS!$G14913=CONFIG_METADATA!$B$4),IF(DATOS!$G14913="EX",1,IF(DATOS!$G14913="OR",--(COUNTIFS(nNIA,DATOS!$A14913,nCURSO,DATOS!$D14913,nESPEC,DATOS!$E14913,nASIG,DATOS!$I14913,nEVAL,"EX")=0),0))))</f>
      </c>
      <c r="H14913">
        <f>IF(DATOS!$G14913&lt;&gt;"EX",0,--(COUNTIFS(nNIA,DATOS!$A14913,nCURSO,DATOS!$D14913,nESPEC,DATOS!$E14913,nASIG,DATOS!$I14913,nEVAL,"OR")=0))</f>
      </c>
      <c r="I14913">
        <f>IF(DATOS!$I14913="","",IFERROR(VLOOKUP(DATOS!$I14913,CONFIG_ASIGNATURAS!$B$2:$J$91,9,FALSE()),""))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IF(DATOS!$A14914="",0,IF(CONFIG_METADATA!$B$4&lt;&gt;"OR+EX",--(DATOS!$G14914=CONFIG_METADATA!$B$4),IF(DATOS!$G14914="EX",1,IF(DATOS!$G14914="OR",--(COUNTIFS(nNIA,DATOS!$A14914,nCURSO,DATOS!$D14914,nESPEC,DATOS!$E14914,nASIG,DATOS!$I14914,nEVAL,"EX")=0),0))))</f>
      </c>
      <c r="H14914">
        <f>IF(DATOS!$G14914&lt;&gt;"EX",0,--(COUNTIFS(nNIA,DATOS!$A14914,nCURSO,DATOS!$D14914,nESPEC,DATOS!$E14914,nASIG,DATOS!$I14914,nEVAL,"OR")=0))</f>
      </c>
      <c r="I14914">
        <f>IF(DATOS!$I14914="","",IFERROR(VLOOKUP(DATOS!$I14914,CONFIG_ASIGNATURAS!$B$2:$J$91,9,FALSE()),""))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IF(DATOS!$A14915="",0,IF(CONFIG_METADATA!$B$4&lt;&gt;"OR+EX",--(DATOS!$G14915=CONFIG_METADATA!$B$4),IF(DATOS!$G14915="EX",1,IF(DATOS!$G14915="OR",--(COUNTIFS(nNIA,DATOS!$A14915,nCURSO,DATOS!$D14915,nESPEC,DATOS!$E14915,nASIG,DATOS!$I14915,nEVAL,"EX")=0),0))))</f>
      </c>
      <c r="H14915">
        <f>IF(DATOS!$G14915&lt;&gt;"EX",0,--(COUNTIFS(nNIA,DATOS!$A14915,nCURSO,DATOS!$D14915,nESPEC,DATOS!$E14915,nASIG,DATOS!$I14915,nEVAL,"OR")=0))</f>
      </c>
      <c r="I14915">
        <f>IF(DATOS!$I14915="","",IFERROR(VLOOKUP(DATOS!$I14915,CONFIG_ASIGNATURAS!$B$2:$J$91,9,FALSE()),""))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IF(DATOS!$A14916="",0,IF(CONFIG_METADATA!$B$4&lt;&gt;"OR+EX",--(DATOS!$G14916=CONFIG_METADATA!$B$4),IF(DATOS!$G14916="EX",1,IF(DATOS!$G14916="OR",--(COUNTIFS(nNIA,DATOS!$A14916,nCURSO,DATOS!$D14916,nESPEC,DATOS!$E14916,nASIG,DATOS!$I14916,nEVAL,"EX")=0),0))))</f>
      </c>
      <c r="H14916">
        <f>IF(DATOS!$G14916&lt;&gt;"EX",0,--(COUNTIFS(nNIA,DATOS!$A14916,nCURSO,DATOS!$D14916,nESPEC,DATOS!$E14916,nASIG,DATOS!$I14916,nEVAL,"OR")=0))</f>
      </c>
      <c r="I14916">
        <f>IF(DATOS!$I14916="","",IFERROR(VLOOKUP(DATOS!$I14916,CONFIG_ASIGNATURAS!$B$2:$J$91,9,FALSE()),""))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IF(DATOS!$A14917="",0,IF(CONFIG_METADATA!$B$4&lt;&gt;"OR+EX",--(DATOS!$G14917=CONFIG_METADATA!$B$4),IF(DATOS!$G14917="EX",1,IF(DATOS!$G14917="OR",--(COUNTIFS(nNIA,DATOS!$A14917,nCURSO,DATOS!$D14917,nESPEC,DATOS!$E14917,nASIG,DATOS!$I14917,nEVAL,"EX")=0),0))))</f>
      </c>
      <c r="H14917">
        <f>IF(DATOS!$G14917&lt;&gt;"EX",0,--(COUNTIFS(nNIA,DATOS!$A14917,nCURSO,DATOS!$D14917,nESPEC,DATOS!$E14917,nASIG,DATOS!$I14917,nEVAL,"OR")=0))</f>
      </c>
      <c r="I14917">
        <f>IF(DATOS!$I14917="","",IFERROR(VLOOKUP(DATOS!$I14917,CONFIG_ASIGNATURAS!$B$2:$J$91,9,FALSE()),""))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IF(DATOS!$A14918="",0,IF(CONFIG_METADATA!$B$4&lt;&gt;"OR+EX",--(DATOS!$G14918=CONFIG_METADATA!$B$4),IF(DATOS!$G14918="EX",1,IF(DATOS!$G14918="OR",--(COUNTIFS(nNIA,DATOS!$A14918,nCURSO,DATOS!$D14918,nESPEC,DATOS!$E14918,nASIG,DATOS!$I14918,nEVAL,"EX")=0),0))))</f>
      </c>
      <c r="H14918">
        <f>IF(DATOS!$G14918&lt;&gt;"EX",0,--(COUNTIFS(nNIA,DATOS!$A14918,nCURSO,DATOS!$D14918,nESPEC,DATOS!$E14918,nASIG,DATOS!$I14918,nEVAL,"OR")=0))</f>
      </c>
      <c r="I14918">
        <f>IF(DATOS!$I14918="","",IFERROR(VLOOKUP(DATOS!$I14918,CONFIG_ASIGNATURAS!$B$2:$J$91,9,FALSE()),""))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IF(DATOS!$A14919="",0,IF(CONFIG_METADATA!$B$4&lt;&gt;"OR+EX",--(DATOS!$G14919=CONFIG_METADATA!$B$4),IF(DATOS!$G14919="EX",1,IF(DATOS!$G14919="OR",--(COUNTIFS(nNIA,DATOS!$A14919,nCURSO,DATOS!$D14919,nESPEC,DATOS!$E14919,nASIG,DATOS!$I14919,nEVAL,"EX")=0),0))))</f>
      </c>
      <c r="H14919">
        <f>IF(DATOS!$G14919&lt;&gt;"EX",0,--(COUNTIFS(nNIA,DATOS!$A14919,nCURSO,DATOS!$D14919,nESPEC,DATOS!$E14919,nASIG,DATOS!$I14919,nEVAL,"OR")=0))</f>
      </c>
      <c r="I14919">
        <f>IF(DATOS!$I14919="","",IFERROR(VLOOKUP(DATOS!$I14919,CONFIG_ASIGNATURAS!$B$2:$J$91,9,FALSE()),""))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IF(DATOS!$A14920="",0,IF(CONFIG_METADATA!$B$4&lt;&gt;"OR+EX",--(DATOS!$G14920=CONFIG_METADATA!$B$4),IF(DATOS!$G14920="EX",1,IF(DATOS!$G14920="OR",--(COUNTIFS(nNIA,DATOS!$A14920,nCURSO,DATOS!$D14920,nESPEC,DATOS!$E14920,nASIG,DATOS!$I14920,nEVAL,"EX")=0),0))))</f>
      </c>
      <c r="H14920">
        <f>IF(DATOS!$G14920&lt;&gt;"EX",0,--(COUNTIFS(nNIA,DATOS!$A14920,nCURSO,DATOS!$D14920,nESPEC,DATOS!$E14920,nASIG,DATOS!$I14920,nEVAL,"OR")=0))</f>
      </c>
      <c r="I14920">
        <f>IF(DATOS!$I14920="","",IFERROR(VLOOKUP(DATOS!$I14920,CONFIG_ASIGNATURAS!$B$2:$J$91,9,FALSE()),""))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IF(DATOS!$A14921="",0,IF(CONFIG_METADATA!$B$4&lt;&gt;"OR+EX",--(DATOS!$G14921=CONFIG_METADATA!$B$4),IF(DATOS!$G14921="EX",1,IF(DATOS!$G14921="OR",--(COUNTIFS(nNIA,DATOS!$A14921,nCURSO,DATOS!$D14921,nESPEC,DATOS!$E14921,nASIG,DATOS!$I14921,nEVAL,"EX")=0),0))))</f>
      </c>
      <c r="H14921">
        <f>IF(DATOS!$G14921&lt;&gt;"EX",0,--(COUNTIFS(nNIA,DATOS!$A14921,nCURSO,DATOS!$D14921,nESPEC,DATOS!$E14921,nASIG,DATOS!$I14921,nEVAL,"OR")=0))</f>
      </c>
      <c r="I14921">
        <f>IF(DATOS!$I14921="","",IFERROR(VLOOKUP(DATOS!$I14921,CONFIG_ASIGNATURAS!$B$2:$J$91,9,FALSE()),""))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IF(DATOS!$A14922="",0,IF(CONFIG_METADATA!$B$4&lt;&gt;"OR+EX",--(DATOS!$G14922=CONFIG_METADATA!$B$4),IF(DATOS!$G14922="EX",1,IF(DATOS!$G14922="OR",--(COUNTIFS(nNIA,DATOS!$A14922,nCURSO,DATOS!$D14922,nESPEC,DATOS!$E14922,nASIG,DATOS!$I14922,nEVAL,"EX")=0),0))))</f>
      </c>
      <c r="H14922">
        <f>IF(DATOS!$G14922&lt;&gt;"EX",0,--(COUNTIFS(nNIA,DATOS!$A14922,nCURSO,DATOS!$D14922,nESPEC,DATOS!$E14922,nASIG,DATOS!$I14922,nEVAL,"OR")=0))</f>
      </c>
      <c r="I14922">
        <f>IF(DATOS!$I14922="","",IFERROR(VLOOKUP(DATOS!$I14922,CONFIG_ASIGNATURAS!$B$2:$J$91,9,FALSE()),""))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IF(DATOS!$A14923="",0,IF(CONFIG_METADATA!$B$4&lt;&gt;"OR+EX",--(DATOS!$G14923=CONFIG_METADATA!$B$4),IF(DATOS!$G14923="EX",1,IF(DATOS!$G14923="OR",--(COUNTIFS(nNIA,DATOS!$A14923,nCURSO,DATOS!$D14923,nESPEC,DATOS!$E14923,nASIG,DATOS!$I14923,nEVAL,"EX")=0),0))))</f>
      </c>
      <c r="H14923">
        <f>IF(DATOS!$G14923&lt;&gt;"EX",0,--(COUNTIFS(nNIA,DATOS!$A14923,nCURSO,DATOS!$D14923,nESPEC,DATOS!$E14923,nASIG,DATOS!$I14923,nEVAL,"OR")=0))</f>
      </c>
      <c r="I14923">
        <f>IF(DATOS!$I14923="","",IFERROR(VLOOKUP(DATOS!$I14923,CONFIG_ASIGNATURAS!$B$2:$J$91,9,FALSE()),""))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IF(DATOS!$A14924="",0,IF(CONFIG_METADATA!$B$4&lt;&gt;"OR+EX",--(DATOS!$G14924=CONFIG_METADATA!$B$4),IF(DATOS!$G14924="EX",1,IF(DATOS!$G14924="OR",--(COUNTIFS(nNIA,DATOS!$A14924,nCURSO,DATOS!$D14924,nESPEC,DATOS!$E14924,nASIG,DATOS!$I14924,nEVAL,"EX")=0),0))))</f>
      </c>
      <c r="H14924">
        <f>IF(DATOS!$G14924&lt;&gt;"EX",0,--(COUNTIFS(nNIA,DATOS!$A14924,nCURSO,DATOS!$D14924,nESPEC,DATOS!$E14924,nASIG,DATOS!$I14924,nEVAL,"OR")=0))</f>
      </c>
      <c r="I14924">
        <f>IF(DATOS!$I14924="","",IFERROR(VLOOKUP(DATOS!$I14924,CONFIG_ASIGNATURAS!$B$2:$J$91,9,FALSE()),""))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IF(DATOS!$A14925="",0,IF(CONFIG_METADATA!$B$4&lt;&gt;"OR+EX",--(DATOS!$G14925=CONFIG_METADATA!$B$4),IF(DATOS!$G14925="EX",1,IF(DATOS!$G14925="OR",--(COUNTIFS(nNIA,DATOS!$A14925,nCURSO,DATOS!$D14925,nESPEC,DATOS!$E14925,nASIG,DATOS!$I14925,nEVAL,"EX")=0),0))))</f>
      </c>
      <c r="H14925">
        <f>IF(DATOS!$G14925&lt;&gt;"EX",0,--(COUNTIFS(nNIA,DATOS!$A14925,nCURSO,DATOS!$D14925,nESPEC,DATOS!$E14925,nASIG,DATOS!$I14925,nEVAL,"OR")=0))</f>
      </c>
      <c r="I14925">
        <f>IF(DATOS!$I14925="","",IFERROR(VLOOKUP(DATOS!$I14925,CONFIG_ASIGNATURAS!$B$2:$J$91,9,FALSE()),""))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IF(DATOS!$A14926="",0,IF(CONFIG_METADATA!$B$4&lt;&gt;"OR+EX",--(DATOS!$G14926=CONFIG_METADATA!$B$4),IF(DATOS!$G14926="EX",1,IF(DATOS!$G14926="OR",--(COUNTIFS(nNIA,DATOS!$A14926,nCURSO,DATOS!$D14926,nESPEC,DATOS!$E14926,nASIG,DATOS!$I14926,nEVAL,"EX")=0),0))))</f>
      </c>
      <c r="H14926">
        <f>IF(DATOS!$G14926&lt;&gt;"EX",0,--(COUNTIFS(nNIA,DATOS!$A14926,nCURSO,DATOS!$D14926,nESPEC,DATOS!$E14926,nASIG,DATOS!$I14926,nEVAL,"OR")=0))</f>
      </c>
      <c r="I14926">
        <f>IF(DATOS!$I14926="","",IFERROR(VLOOKUP(DATOS!$I14926,CONFIG_ASIGNATURAS!$B$2:$J$91,9,FALSE()),""))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IF(DATOS!$A14927="",0,IF(CONFIG_METADATA!$B$4&lt;&gt;"OR+EX",--(DATOS!$G14927=CONFIG_METADATA!$B$4),IF(DATOS!$G14927="EX",1,IF(DATOS!$G14927="OR",--(COUNTIFS(nNIA,DATOS!$A14927,nCURSO,DATOS!$D14927,nESPEC,DATOS!$E14927,nASIG,DATOS!$I14927,nEVAL,"EX")=0),0))))</f>
      </c>
      <c r="H14927">
        <f>IF(DATOS!$G14927&lt;&gt;"EX",0,--(COUNTIFS(nNIA,DATOS!$A14927,nCURSO,DATOS!$D14927,nESPEC,DATOS!$E14927,nASIG,DATOS!$I14927,nEVAL,"OR")=0))</f>
      </c>
      <c r="I14927">
        <f>IF(DATOS!$I14927="","",IFERROR(VLOOKUP(DATOS!$I14927,CONFIG_ASIGNATURAS!$B$2:$J$91,9,FALSE()),""))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IF(DATOS!$A14928="",0,IF(CONFIG_METADATA!$B$4&lt;&gt;"OR+EX",--(DATOS!$G14928=CONFIG_METADATA!$B$4),IF(DATOS!$G14928="EX",1,IF(DATOS!$G14928="OR",--(COUNTIFS(nNIA,DATOS!$A14928,nCURSO,DATOS!$D14928,nESPEC,DATOS!$E14928,nASIG,DATOS!$I14928,nEVAL,"EX")=0),0))))</f>
      </c>
      <c r="H14928">
        <f>IF(DATOS!$G14928&lt;&gt;"EX",0,--(COUNTIFS(nNIA,DATOS!$A14928,nCURSO,DATOS!$D14928,nESPEC,DATOS!$E14928,nASIG,DATOS!$I14928,nEVAL,"OR")=0))</f>
      </c>
      <c r="I14928">
        <f>IF(DATOS!$I14928="","",IFERROR(VLOOKUP(DATOS!$I14928,CONFIG_ASIGNATURAS!$B$2:$J$91,9,FALSE()),""))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IF(DATOS!$A14929="",0,IF(CONFIG_METADATA!$B$4&lt;&gt;"OR+EX",--(DATOS!$G14929=CONFIG_METADATA!$B$4),IF(DATOS!$G14929="EX",1,IF(DATOS!$G14929="OR",--(COUNTIFS(nNIA,DATOS!$A14929,nCURSO,DATOS!$D14929,nESPEC,DATOS!$E14929,nASIG,DATOS!$I14929,nEVAL,"EX")=0),0))))</f>
      </c>
      <c r="H14929">
        <f>IF(DATOS!$G14929&lt;&gt;"EX",0,--(COUNTIFS(nNIA,DATOS!$A14929,nCURSO,DATOS!$D14929,nESPEC,DATOS!$E14929,nASIG,DATOS!$I14929,nEVAL,"OR")=0))</f>
      </c>
      <c r="I14929">
        <f>IF(DATOS!$I14929="","",IFERROR(VLOOKUP(DATOS!$I14929,CONFIG_ASIGNATURAS!$B$2:$J$91,9,FALSE()),""))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IF(DATOS!$A14930="",0,IF(CONFIG_METADATA!$B$4&lt;&gt;"OR+EX",--(DATOS!$G14930=CONFIG_METADATA!$B$4),IF(DATOS!$G14930="EX",1,IF(DATOS!$G14930="OR",--(COUNTIFS(nNIA,DATOS!$A14930,nCURSO,DATOS!$D14930,nESPEC,DATOS!$E14930,nASIG,DATOS!$I14930,nEVAL,"EX")=0),0))))</f>
      </c>
      <c r="H14930">
        <f>IF(DATOS!$G14930&lt;&gt;"EX",0,--(COUNTIFS(nNIA,DATOS!$A14930,nCURSO,DATOS!$D14930,nESPEC,DATOS!$E14930,nASIG,DATOS!$I14930,nEVAL,"OR")=0))</f>
      </c>
      <c r="I14930">
        <f>IF(DATOS!$I14930="","",IFERROR(VLOOKUP(DATOS!$I14930,CONFIG_ASIGNATURAS!$B$2:$J$91,9,FALSE()),""))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IF(DATOS!$A14931="",0,IF(CONFIG_METADATA!$B$4&lt;&gt;"OR+EX",--(DATOS!$G14931=CONFIG_METADATA!$B$4),IF(DATOS!$G14931="EX",1,IF(DATOS!$G14931="OR",--(COUNTIFS(nNIA,DATOS!$A14931,nCURSO,DATOS!$D14931,nESPEC,DATOS!$E14931,nASIG,DATOS!$I14931,nEVAL,"EX")=0),0))))</f>
      </c>
      <c r="H14931">
        <f>IF(DATOS!$G14931&lt;&gt;"EX",0,--(COUNTIFS(nNIA,DATOS!$A14931,nCURSO,DATOS!$D14931,nESPEC,DATOS!$E14931,nASIG,DATOS!$I14931,nEVAL,"OR")=0))</f>
      </c>
      <c r="I14931">
        <f>IF(DATOS!$I14931="","",IFERROR(VLOOKUP(DATOS!$I14931,CONFIG_ASIGNATURAS!$B$2:$J$91,9,FALSE()),""))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IF(DATOS!$A14932="",0,IF(CONFIG_METADATA!$B$4&lt;&gt;"OR+EX",--(DATOS!$G14932=CONFIG_METADATA!$B$4),IF(DATOS!$G14932="EX",1,IF(DATOS!$G14932="OR",--(COUNTIFS(nNIA,DATOS!$A14932,nCURSO,DATOS!$D14932,nESPEC,DATOS!$E14932,nASIG,DATOS!$I14932,nEVAL,"EX")=0),0))))</f>
      </c>
      <c r="H14932">
        <f>IF(DATOS!$G14932&lt;&gt;"EX",0,--(COUNTIFS(nNIA,DATOS!$A14932,nCURSO,DATOS!$D14932,nESPEC,DATOS!$E14932,nASIG,DATOS!$I14932,nEVAL,"OR")=0))</f>
      </c>
      <c r="I14932">
        <f>IF(DATOS!$I14932="","",IFERROR(VLOOKUP(DATOS!$I14932,CONFIG_ASIGNATURAS!$B$2:$J$91,9,FALSE()),""))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IF(DATOS!$A14933="",0,IF(CONFIG_METADATA!$B$4&lt;&gt;"OR+EX",--(DATOS!$G14933=CONFIG_METADATA!$B$4),IF(DATOS!$G14933="EX",1,IF(DATOS!$G14933="OR",--(COUNTIFS(nNIA,DATOS!$A14933,nCURSO,DATOS!$D14933,nESPEC,DATOS!$E14933,nASIG,DATOS!$I14933,nEVAL,"EX")=0),0))))</f>
      </c>
      <c r="H14933">
        <f>IF(DATOS!$G14933&lt;&gt;"EX",0,--(COUNTIFS(nNIA,DATOS!$A14933,nCURSO,DATOS!$D14933,nESPEC,DATOS!$E14933,nASIG,DATOS!$I14933,nEVAL,"OR")=0))</f>
      </c>
      <c r="I14933">
        <f>IF(DATOS!$I14933="","",IFERROR(VLOOKUP(DATOS!$I14933,CONFIG_ASIGNATURAS!$B$2:$J$91,9,FALSE()),""))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IF(DATOS!$A14934="",0,IF(CONFIG_METADATA!$B$4&lt;&gt;"OR+EX",--(DATOS!$G14934=CONFIG_METADATA!$B$4),IF(DATOS!$G14934="EX",1,IF(DATOS!$G14934="OR",--(COUNTIFS(nNIA,DATOS!$A14934,nCURSO,DATOS!$D14934,nESPEC,DATOS!$E14934,nASIG,DATOS!$I14934,nEVAL,"EX")=0),0))))</f>
      </c>
      <c r="H14934">
        <f>IF(DATOS!$G14934&lt;&gt;"EX",0,--(COUNTIFS(nNIA,DATOS!$A14934,nCURSO,DATOS!$D14934,nESPEC,DATOS!$E14934,nASIG,DATOS!$I14934,nEVAL,"OR")=0))</f>
      </c>
      <c r="I14934">
        <f>IF(DATOS!$I14934="","",IFERROR(VLOOKUP(DATOS!$I14934,CONFIG_ASIGNATURAS!$B$2:$J$91,9,FALSE()),""))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IF(DATOS!$A14935="",0,IF(CONFIG_METADATA!$B$4&lt;&gt;"OR+EX",--(DATOS!$G14935=CONFIG_METADATA!$B$4),IF(DATOS!$G14935="EX",1,IF(DATOS!$G14935="OR",--(COUNTIFS(nNIA,DATOS!$A14935,nCURSO,DATOS!$D14935,nESPEC,DATOS!$E14935,nASIG,DATOS!$I14935,nEVAL,"EX")=0),0))))</f>
      </c>
      <c r="H14935">
        <f>IF(DATOS!$G14935&lt;&gt;"EX",0,--(COUNTIFS(nNIA,DATOS!$A14935,nCURSO,DATOS!$D14935,nESPEC,DATOS!$E14935,nASIG,DATOS!$I14935,nEVAL,"OR")=0))</f>
      </c>
      <c r="I14935">
        <f>IF(DATOS!$I14935="","",IFERROR(VLOOKUP(DATOS!$I14935,CONFIG_ASIGNATURAS!$B$2:$J$91,9,FALSE()),""))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IF(DATOS!$A14936="",0,IF(CONFIG_METADATA!$B$4&lt;&gt;"OR+EX",--(DATOS!$G14936=CONFIG_METADATA!$B$4),IF(DATOS!$G14936="EX",1,IF(DATOS!$G14936="OR",--(COUNTIFS(nNIA,DATOS!$A14936,nCURSO,DATOS!$D14936,nESPEC,DATOS!$E14936,nASIG,DATOS!$I14936,nEVAL,"EX")=0),0))))</f>
      </c>
      <c r="H14936">
        <f>IF(DATOS!$G14936&lt;&gt;"EX",0,--(COUNTIFS(nNIA,DATOS!$A14936,nCURSO,DATOS!$D14936,nESPEC,DATOS!$E14936,nASIG,DATOS!$I14936,nEVAL,"OR")=0))</f>
      </c>
      <c r="I14936">
        <f>IF(DATOS!$I14936="","",IFERROR(VLOOKUP(DATOS!$I14936,CONFIG_ASIGNATURAS!$B$2:$J$91,9,FALSE()),""))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IF(DATOS!$A14937="",0,IF(CONFIG_METADATA!$B$4&lt;&gt;"OR+EX",--(DATOS!$G14937=CONFIG_METADATA!$B$4),IF(DATOS!$G14937="EX",1,IF(DATOS!$G14937="OR",--(COUNTIFS(nNIA,DATOS!$A14937,nCURSO,DATOS!$D14937,nESPEC,DATOS!$E14937,nASIG,DATOS!$I14937,nEVAL,"EX")=0),0))))</f>
      </c>
      <c r="H14937">
        <f>IF(DATOS!$G14937&lt;&gt;"EX",0,--(COUNTIFS(nNIA,DATOS!$A14937,nCURSO,DATOS!$D14937,nESPEC,DATOS!$E14937,nASIG,DATOS!$I14937,nEVAL,"OR")=0))</f>
      </c>
      <c r="I14937">
        <f>IF(DATOS!$I14937="","",IFERROR(VLOOKUP(DATOS!$I14937,CONFIG_ASIGNATURAS!$B$2:$J$91,9,FALSE()),""))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IF(DATOS!$A14938="",0,IF(CONFIG_METADATA!$B$4&lt;&gt;"OR+EX",--(DATOS!$G14938=CONFIG_METADATA!$B$4),IF(DATOS!$G14938="EX",1,IF(DATOS!$G14938="OR",--(COUNTIFS(nNIA,DATOS!$A14938,nCURSO,DATOS!$D14938,nESPEC,DATOS!$E14938,nASIG,DATOS!$I14938,nEVAL,"EX")=0),0))))</f>
      </c>
      <c r="H14938">
        <f>IF(DATOS!$G14938&lt;&gt;"EX",0,--(COUNTIFS(nNIA,DATOS!$A14938,nCURSO,DATOS!$D14938,nESPEC,DATOS!$E14938,nASIG,DATOS!$I14938,nEVAL,"OR")=0))</f>
      </c>
      <c r="I14938">
        <f>IF(DATOS!$I14938="","",IFERROR(VLOOKUP(DATOS!$I14938,CONFIG_ASIGNATURAS!$B$2:$J$91,9,FALSE()),""))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IF(DATOS!$A14939="",0,IF(CONFIG_METADATA!$B$4&lt;&gt;"OR+EX",--(DATOS!$G14939=CONFIG_METADATA!$B$4),IF(DATOS!$G14939="EX",1,IF(DATOS!$G14939="OR",--(COUNTIFS(nNIA,DATOS!$A14939,nCURSO,DATOS!$D14939,nESPEC,DATOS!$E14939,nASIG,DATOS!$I14939,nEVAL,"EX")=0),0))))</f>
      </c>
      <c r="H14939">
        <f>IF(DATOS!$G14939&lt;&gt;"EX",0,--(COUNTIFS(nNIA,DATOS!$A14939,nCURSO,DATOS!$D14939,nESPEC,DATOS!$E14939,nASIG,DATOS!$I14939,nEVAL,"OR")=0))</f>
      </c>
      <c r="I14939">
        <f>IF(DATOS!$I14939="","",IFERROR(VLOOKUP(DATOS!$I14939,CONFIG_ASIGNATURAS!$B$2:$J$91,9,FALSE()),""))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IF(DATOS!$A14940="",0,IF(CONFIG_METADATA!$B$4&lt;&gt;"OR+EX",--(DATOS!$G14940=CONFIG_METADATA!$B$4),IF(DATOS!$G14940="EX",1,IF(DATOS!$G14940="OR",--(COUNTIFS(nNIA,DATOS!$A14940,nCURSO,DATOS!$D14940,nESPEC,DATOS!$E14940,nASIG,DATOS!$I14940,nEVAL,"EX")=0),0))))</f>
      </c>
      <c r="H14940">
        <f>IF(DATOS!$G14940&lt;&gt;"EX",0,--(COUNTIFS(nNIA,DATOS!$A14940,nCURSO,DATOS!$D14940,nESPEC,DATOS!$E14940,nASIG,DATOS!$I14940,nEVAL,"OR")=0))</f>
      </c>
      <c r="I14940">
        <f>IF(DATOS!$I14940="","",IFERROR(VLOOKUP(DATOS!$I14940,CONFIG_ASIGNATURAS!$B$2:$J$91,9,FALSE()),""))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IF(DATOS!$A14941="",0,IF(CONFIG_METADATA!$B$4&lt;&gt;"OR+EX",--(DATOS!$G14941=CONFIG_METADATA!$B$4),IF(DATOS!$G14941="EX",1,IF(DATOS!$G14941="OR",--(COUNTIFS(nNIA,DATOS!$A14941,nCURSO,DATOS!$D14941,nESPEC,DATOS!$E14941,nASIG,DATOS!$I14941,nEVAL,"EX")=0),0))))</f>
      </c>
      <c r="H14941">
        <f>IF(DATOS!$G14941&lt;&gt;"EX",0,--(COUNTIFS(nNIA,DATOS!$A14941,nCURSO,DATOS!$D14941,nESPEC,DATOS!$E14941,nASIG,DATOS!$I14941,nEVAL,"OR")=0))</f>
      </c>
      <c r="I14941">
        <f>IF(DATOS!$I14941="","",IFERROR(VLOOKUP(DATOS!$I14941,CONFIG_ASIGNATURAS!$B$2:$J$91,9,FALSE()),""))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IF(DATOS!$A14942="",0,IF(CONFIG_METADATA!$B$4&lt;&gt;"OR+EX",--(DATOS!$G14942=CONFIG_METADATA!$B$4),IF(DATOS!$G14942="EX",1,IF(DATOS!$G14942="OR",--(COUNTIFS(nNIA,DATOS!$A14942,nCURSO,DATOS!$D14942,nESPEC,DATOS!$E14942,nASIG,DATOS!$I14942,nEVAL,"EX")=0),0))))</f>
      </c>
      <c r="H14942">
        <f>IF(DATOS!$G14942&lt;&gt;"EX",0,--(COUNTIFS(nNIA,DATOS!$A14942,nCURSO,DATOS!$D14942,nESPEC,DATOS!$E14942,nASIG,DATOS!$I14942,nEVAL,"OR")=0))</f>
      </c>
      <c r="I14942">
        <f>IF(DATOS!$I14942="","",IFERROR(VLOOKUP(DATOS!$I14942,CONFIG_ASIGNATURAS!$B$2:$J$91,9,FALSE()),""))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IF(DATOS!$A14943="",0,IF(CONFIG_METADATA!$B$4&lt;&gt;"OR+EX",--(DATOS!$G14943=CONFIG_METADATA!$B$4),IF(DATOS!$G14943="EX",1,IF(DATOS!$G14943="OR",--(COUNTIFS(nNIA,DATOS!$A14943,nCURSO,DATOS!$D14943,nESPEC,DATOS!$E14943,nASIG,DATOS!$I14943,nEVAL,"EX")=0),0))))</f>
      </c>
      <c r="H14943">
        <f>IF(DATOS!$G14943&lt;&gt;"EX",0,--(COUNTIFS(nNIA,DATOS!$A14943,nCURSO,DATOS!$D14943,nESPEC,DATOS!$E14943,nASIG,DATOS!$I14943,nEVAL,"OR")=0))</f>
      </c>
      <c r="I14943">
        <f>IF(DATOS!$I14943="","",IFERROR(VLOOKUP(DATOS!$I14943,CONFIG_ASIGNATURAS!$B$2:$J$91,9,FALSE()),""))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IF(DATOS!$A14944="",0,IF(CONFIG_METADATA!$B$4&lt;&gt;"OR+EX",--(DATOS!$G14944=CONFIG_METADATA!$B$4),IF(DATOS!$G14944="EX",1,IF(DATOS!$G14944="OR",--(COUNTIFS(nNIA,DATOS!$A14944,nCURSO,DATOS!$D14944,nESPEC,DATOS!$E14944,nASIG,DATOS!$I14944,nEVAL,"EX")=0),0))))</f>
      </c>
      <c r="H14944">
        <f>IF(DATOS!$G14944&lt;&gt;"EX",0,--(COUNTIFS(nNIA,DATOS!$A14944,nCURSO,DATOS!$D14944,nESPEC,DATOS!$E14944,nASIG,DATOS!$I14944,nEVAL,"OR")=0))</f>
      </c>
      <c r="I14944">
        <f>IF(DATOS!$I14944="","",IFERROR(VLOOKUP(DATOS!$I14944,CONFIG_ASIGNATURAS!$B$2:$J$91,9,FALSE()),""))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IF(DATOS!$A14945="",0,IF(CONFIG_METADATA!$B$4&lt;&gt;"OR+EX",--(DATOS!$G14945=CONFIG_METADATA!$B$4),IF(DATOS!$G14945="EX",1,IF(DATOS!$G14945="OR",--(COUNTIFS(nNIA,DATOS!$A14945,nCURSO,DATOS!$D14945,nESPEC,DATOS!$E14945,nASIG,DATOS!$I14945,nEVAL,"EX")=0),0))))</f>
      </c>
      <c r="H14945">
        <f>IF(DATOS!$G14945&lt;&gt;"EX",0,--(COUNTIFS(nNIA,DATOS!$A14945,nCURSO,DATOS!$D14945,nESPEC,DATOS!$E14945,nASIG,DATOS!$I14945,nEVAL,"OR")=0))</f>
      </c>
      <c r="I14945">
        <f>IF(DATOS!$I14945="","",IFERROR(VLOOKUP(DATOS!$I14945,CONFIG_ASIGNATURAS!$B$2:$J$91,9,FALSE()),""))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IF(DATOS!$A14946="",0,IF(CONFIG_METADATA!$B$4&lt;&gt;"OR+EX",--(DATOS!$G14946=CONFIG_METADATA!$B$4),IF(DATOS!$G14946="EX",1,IF(DATOS!$G14946="OR",--(COUNTIFS(nNIA,DATOS!$A14946,nCURSO,DATOS!$D14946,nESPEC,DATOS!$E14946,nASIG,DATOS!$I14946,nEVAL,"EX")=0),0))))</f>
      </c>
      <c r="H14946">
        <f>IF(DATOS!$G14946&lt;&gt;"EX",0,--(COUNTIFS(nNIA,DATOS!$A14946,nCURSO,DATOS!$D14946,nESPEC,DATOS!$E14946,nASIG,DATOS!$I14946,nEVAL,"OR")=0))</f>
      </c>
      <c r="I14946">
        <f>IF(DATOS!$I14946="","",IFERROR(VLOOKUP(DATOS!$I14946,CONFIG_ASIGNATURAS!$B$2:$J$91,9,FALSE()),""))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IF(DATOS!$A14947="",0,IF(CONFIG_METADATA!$B$4&lt;&gt;"OR+EX",--(DATOS!$G14947=CONFIG_METADATA!$B$4),IF(DATOS!$G14947="EX",1,IF(DATOS!$G14947="OR",--(COUNTIFS(nNIA,DATOS!$A14947,nCURSO,DATOS!$D14947,nESPEC,DATOS!$E14947,nASIG,DATOS!$I14947,nEVAL,"EX")=0),0))))</f>
      </c>
      <c r="H14947">
        <f>IF(DATOS!$G14947&lt;&gt;"EX",0,--(COUNTIFS(nNIA,DATOS!$A14947,nCURSO,DATOS!$D14947,nESPEC,DATOS!$E14947,nASIG,DATOS!$I14947,nEVAL,"OR")=0))</f>
      </c>
      <c r="I14947">
        <f>IF(DATOS!$I14947="","",IFERROR(VLOOKUP(DATOS!$I14947,CONFIG_ASIGNATURAS!$B$2:$J$91,9,FALSE()),""))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IF(DATOS!$A14948="",0,IF(CONFIG_METADATA!$B$4&lt;&gt;"OR+EX",--(DATOS!$G14948=CONFIG_METADATA!$B$4),IF(DATOS!$G14948="EX",1,IF(DATOS!$G14948="OR",--(COUNTIFS(nNIA,DATOS!$A14948,nCURSO,DATOS!$D14948,nESPEC,DATOS!$E14948,nASIG,DATOS!$I14948,nEVAL,"EX")=0),0))))</f>
      </c>
      <c r="H14948">
        <f>IF(DATOS!$G14948&lt;&gt;"EX",0,--(COUNTIFS(nNIA,DATOS!$A14948,nCURSO,DATOS!$D14948,nESPEC,DATOS!$E14948,nASIG,DATOS!$I14948,nEVAL,"OR")=0))</f>
      </c>
      <c r="I14948">
        <f>IF(DATOS!$I14948="","",IFERROR(VLOOKUP(DATOS!$I14948,CONFIG_ASIGNATURAS!$B$2:$J$91,9,FALSE()),""))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IF(DATOS!$A14949="",0,IF(CONFIG_METADATA!$B$4&lt;&gt;"OR+EX",--(DATOS!$G14949=CONFIG_METADATA!$B$4),IF(DATOS!$G14949="EX",1,IF(DATOS!$G14949="OR",--(COUNTIFS(nNIA,DATOS!$A14949,nCURSO,DATOS!$D14949,nESPEC,DATOS!$E14949,nASIG,DATOS!$I14949,nEVAL,"EX")=0),0))))</f>
      </c>
      <c r="H14949">
        <f>IF(DATOS!$G14949&lt;&gt;"EX",0,--(COUNTIFS(nNIA,DATOS!$A14949,nCURSO,DATOS!$D14949,nESPEC,DATOS!$E14949,nASIG,DATOS!$I14949,nEVAL,"OR")=0))</f>
      </c>
      <c r="I14949">
        <f>IF(DATOS!$I14949="","",IFERROR(VLOOKUP(DATOS!$I14949,CONFIG_ASIGNATURAS!$B$2:$J$91,9,FALSE()),""))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IF(DATOS!$A14950="",0,IF(CONFIG_METADATA!$B$4&lt;&gt;"OR+EX",--(DATOS!$G14950=CONFIG_METADATA!$B$4),IF(DATOS!$G14950="EX",1,IF(DATOS!$G14950="OR",--(COUNTIFS(nNIA,DATOS!$A14950,nCURSO,DATOS!$D14950,nESPEC,DATOS!$E14950,nASIG,DATOS!$I14950,nEVAL,"EX")=0),0))))</f>
      </c>
      <c r="H14950">
        <f>IF(DATOS!$G14950&lt;&gt;"EX",0,--(COUNTIFS(nNIA,DATOS!$A14950,nCURSO,DATOS!$D14950,nESPEC,DATOS!$E14950,nASIG,DATOS!$I14950,nEVAL,"OR")=0))</f>
      </c>
      <c r="I14950">
        <f>IF(DATOS!$I14950="","",IFERROR(VLOOKUP(DATOS!$I14950,CONFIG_ASIGNATURAS!$B$2:$J$91,9,FALSE()),""))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IF(DATOS!$A14951="",0,IF(CONFIG_METADATA!$B$4&lt;&gt;"OR+EX",--(DATOS!$G14951=CONFIG_METADATA!$B$4),IF(DATOS!$G14951="EX",1,IF(DATOS!$G14951="OR",--(COUNTIFS(nNIA,DATOS!$A14951,nCURSO,DATOS!$D14951,nESPEC,DATOS!$E14951,nASIG,DATOS!$I14951,nEVAL,"EX")=0),0))))</f>
      </c>
      <c r="H14951">
        <f>IF(DATOS!$G14951&lt;&gt;"EX",0,--(COUNTIFS(nNIA,DATOS!$A14951,nCURSO,DATOS!$D14951,nESPEC,DATOS!$E14951,nASIG,DATOS!$I14951,nEVAL,"OR")=0))</f>
      </c>
      <c r="I14951">
        <f>IF(DATOS!$I14951="","",IFERROR(VLOOKUP(DATOS!$I14951,CONFIG_ASIGNATURAS!$B$2:$J$91,9,FALSE()),""))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IF(DATOS!$A14952="",0,IF(CONFIG_METADATA!$B$4&lt;&gt;"OR+EX",--(DATOS!$G14952=CONFIG_METADATA!$B$4),IF(DATOS!$G14952="EX",1,IF(DATOS!$G14952="OR",--(COUNTIFS(nNIA,DATOS!$A14952,nCURSO,DATOS!$D14952,nESPEC,DATOS!$E14952,nASIG,DATOS!$I14952,nEVAL,"EX")=0),0))))</f>
      </c>
      <c r="H14952">
        <f>IF(DATOS!$G14952&lt;&gt;"EX",0,--(COUNTIFS(nNIA,DATOS!$A14952,nCURSO,DATOS!$D14952,nESPEC,DATOS!$E14952,nASIG,DATOS!$I14952,nEVAL,"OR")=0))</f>
      </c>
      <c r="I14952">
        <f>IF(DATOS!$I14952="","",IFERROR(VLOOKUP(DATOS!$I14952,CONFIG_ASIGNATURAS!$B$2:$J$91,9,FALSE()),""))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IF(DATOS!$A14953="",0,IF(CONFIG_METADATA!$B$4&lt;&gt;"OR+EX",--(DATOS!$G14953=CONFIG_METADATA!$B$4),IF(DATOS!$G14953="EX",1,IF(DATOS!$G14953="OR",--(COUNTIFS(nNIA,DATOS!$A14953,nCURSO,DATOS!$D14953,nESPEC,DATOS!$E14953,nASIG,DATOS!$I14953,nEVAL,"EX")=0),0))))</f>
      </c>
      <c r="H14953">
        <f>IF(DATOS!$G14953&lt;&gt;"EX",0,--(COUNTIFS(nNIA,DATOS!$A14953,nCURSO,DATOS!$D14953,nESPEC,DATOS!$E14953,nASIG,DATOS!$I14953,nEVAL,"OR")=0))</f>
      </c>
      <c r="I14953">
        <f>IF(DATOS!$I14953="","",IFERROR(VLOOKUP(DATOS!$I14953,CONFIG_ASIGNATURAS!$B$2:$J$91,9,FALSE()),""))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IF(DATOS!$A14954="",0,IF(CONFIG_METADATA!$B$4&lt;&gt;"OR+EX",--(DATOS!$G14954=CONFIG_METADATA!$B$4),IF(DATOS!$G14954="EX",1,IF(DATOS!$G14954="OR",--(COUNTIFS(nNIA,DATOS!$A14954,nCURSO,DATOS!$D14954,nESPEC,DATOS!$E14954,nASIG,DATOS!$I14954,nEVAL,"EX")=0),0))))</f>
      </c>
      <c r="H14954">
        <f>IF(DATOS!$G14954&lt;&gt;"EX",0,--(COUNTIFS(nNIA,DATOS!$A14954,nCURSO,DATOS!$D14954,nESPEC,DATOS!$E14954,nASIG,DATOS!$I14954,nEVAL,"OR")=0))</f>
      </c>
      <c r="I14954">
        <f>IF(DATOS!$I14954="","",IFERROR(VLOOKUP(DATOS!$I14954,CONFIG_ASIGNATURAS!$B$2:$J$91,9,FALSE()),""))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IF(DATOS!$A14955="",0,IF(CONFIG_METADATA!$B$4&lt;&gt;"OR+EX",--(DATOS!$G14955=CONFIG_METADATA!$B$4),IF(DATOS!$G14955="EX",1,IF(DATOS!$G14955="OR",--(COUNTIFS(nNIA,DATOS!$A14955,nCURSO,DATOS!$D14955,nESPEC,DATOS!$E14955,nASIG,DATOS!$I14955,nEVAL,"EX")=0),0))))</f>
      </c>
      <c r="H14955">
        <f>IF(DATOS!$G14955&lt;&gt;"EX",0,--(COUNTIFS(nNIA,DATOS!$A14955,nCURSO,DATOS!$D14955,nESPEC,DATOS!$E14955,nASIG,DATOS!$I14955,nEVAL,"OR")=0))</f>
      </c>
      <c r="I14955">
        <f>IF(DATOS!$I14955="","",IFERROR(VLOOKUP(DATOS!$I14955,CONFIG_ASIGNATURAS!$B$2:$J$91,9,FALSE()),""))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IF(DATOS!$A14956="",0,IF(CONFIG_METADATA!$B$4&lt;&gt;"OR+EX",--(DATOS!$G14956=CONFIG_METADATA!$B$4),IF(DATOS!$G14956="EX",1,IF(DATOS!$G14956="OR",--(COUNTIFS(nNIA,DATOS!$A14956,nCURSO,DATOS!$D14956,nESPEC,DATOS!$E14956,nASIG,DATOS!$I14956,nEVAL,"EX")=0),0))))</f>
      </c>
      <c r="H14956">
        <f>IF(DATOS!$G14956&lt;&gt;"EX",0,--(COUNTIFS(nNIA,DATOS!$A14956,nCURSO,DATOS!$D14956,nESPEC,DATOS!$E14956,nASIG,DATOS!$I14956,nEVAL,"OR")=0))</f>
      </c>
      <c r="I14956">
        <f>IF(DATOS!$I14956="","",IFERROR(VLOOKUP(DATOS!$I14956,CONFIG_ASIGNATURAS!$B$2:$J$91,9,FALSE()),""))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IF(DATOS!$A14957="",0,IF(CONFIG_METADATA!$B$4&lt;&gt;"OR+EX",--(DATOS!$G14957=CONFIG_METADATA!$B$4),IF(DATOS!$G14957="EX",1,IF(DATOS!$G14957="OR",--(COUNTIFS(nNIA,DATOS!$A14957,nCURSO,DATOS!$D14957,nESPEC,DATOS!$E14957,nASIG,DATOS!$I14957,nEVAL,"EX")=0),0))))</f>
      </c>
      <c r="H14957">
        <f>IF(DATOS!$G14957&lt;&gt;"EX",0,--(COUNTIFS(nNIA,DATOS!$A14957,nCURSO,DATOS!$D14957,nESPEC,DATOS!$E14957,nASIG,DATOS!$I14957,nEVAL,"OR")=0))</f>
      </c>
      <c r="I14957">
        <f>IF(DATOS!$I14957="","",IFERROR(VLOOKUP(DATOS!$I14957,CONFIG_ASIGNATURAS!$B$2:$J$91,9,FALSE()),""))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IF(DATOS!$A14958="",0,IF(CONFIG_METADATA!$B$4&lt;&gt;"OR+EX",--(DATOS!$G14958=CONFIG_METADATA!$B$4),IF(DATOS!$G14958="EX",1,IF(DATOS!$G14958="OR",--(COUNTIFS(nNIA,DATOS!$A14958,nCURSO,DATOS!$D14958,nESPEC,DATOS!$E14958,nASIG,DATOS!$I14958,nEVAL,"EX")=0),0))))</f>
      </c>
      <c r="H14958">
        <f>IF(DATOS!$G14958&lt;&gt;"EX",0,--(COUNTIFS(nNIA,DATOS!$A14958,nCURSO,DATOS!$D14958,nESPEC,DATOS!$E14958,nASIG,DATOS!$I14958,nEVAL,"OR")=0))</f>
      </c>
      <c r="I14958">
        <f>IF(DATOS!$I14958="","",IFERROR(VLOOKUP(DATOS!$I14958,CONFIG_ASIGNATURAS!$B$2:$J$91,9,FALSE()),""))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IF(DATOS!$A14959="",0,IF(CONFIG_METADATA!$B$4&lt;&gt;"OR+EX",--(DATOS!$G14959=CONFIG_METADATA!$B$4),IF(DATOS!$G14959="EX",1,IF(DATOS!$G14959="OR",--(COUNTIFS(nNIA,DATOS!$A14959,nCURSO,DATOS!$D14959,nESPEC,DATOS!$E14959,nASIG,DATOS!$I14959,nEVAL,"EX")=0),0))))</f>
      </c>
      <c r="H14959">
        <f>IF(DATOS!$G14959&lt;&gt;"EX",0,--(COUNTIFS(nNIA,DATOS!$A14959,nCURSO,DATOS!$D14959,nESPEC,DATOS!$E14959,nASIG,DATOS!$I14959,nEVAL,"OR")=0))</f>
      </c>
      <c r="I14959">
        <f>IF(DATOS!$I14959="","",IFERROR(VLOOKUP(DATOS!$I14959,CONFIG_ASIGNATURAS!$B$2:$J$91,9,FALSE()),""))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IF(DATOS!$A14960="",0,IF(CONFIG_METADATA!$B$4&lt;&gt;"OR+EX",--(DATOS!$G14960=CONFIG_METADATA!$B$4),IF(DATOS!$G14960="EX",1,IF(DATOS!$G14960="OR",--(COUNTIFS(nNIA,DATOS!$A14960,nCURSO,DATOS!$D14960,nESPEC,DATOS!$E14960,nASIG,DATOS!$I14960,nEVAL,"EX")=0),0))))</f>
      </c>
      <c r="H14960">
        <f>IF(DATOS!$G14960&lt;&gt;"EX",0,--(COUNTIFS(nNIA,DATOS!$A14960,nCURSO,DATOS!$D14960,nESPEC,DATOS!$E14960,nASIG,DATOS!$I14960,nEVAL,"OR")=0))</f>
      </c>
      <c r="I14960">
        <f>IF(DATOS!$I14960="","",IFERROR(VLOOKUP(DATOS!$I14960,CONFIG_ASIGNATURAS!$B$2:$J$91,9,FALSE()),""))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IF(DATOS!$A14961="",0,IF(CONFIG_METADATA!$B$4&lt;&gt;"OR+EX",--(DATOS!$G14961=CONFIG_METADATA!$B$4),IF(DATOS!$G14961="EX",1,IF(DATOS!$G14961="OR",--(COUNTIFS(nNIA,DATOS!$A14961,nCURSO,DATOS!$D14961,nESPEC,DATOS!$E14961,nASIG,DATOS!$I14961,nEVAL,"EX")=0),0))))</f>
      </c>
      <c r="H14961">
        <f>IF(DATOS!$G14961&lt;&gt;"EX",0,--(COUNTIFS(nNIA,DATOS!$A14961,nCURSO,DATOS!$D14961,nESPEC,DATOS!$E14961,nASIG,DATOS!$I14961,nEVAL,"OR")=0))</f>
      </c>
      <c r="I14961">
        <f>IF(DATOS!$I14961="","",IFERROR(VLOOKUP(DATOS!$I14961,CONFIG_ASIGNATURAS!$B$2:$J$91,9,FALSE()),""))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IF(DATOS!$A14962="",0,IF(CONFIG_METADATA!$B$4&lt;&gt;"OR+EX",--(DATOS!$G14962=CONFIG_METADATA!$B$4),IF(DATOS!$G14962="EX",1,IF(DATOS!$G14962="OR",--(COUNTIFS(nNIA,DATOS!$A14962,nCURSO,DATOS!$D14962,nESPEC,DATOS!$E14962,nASIG,DATOS!$I14962,nEVAL,"EX")=0),0))))</f>
      </c>
      <c r="H14962">
        <f>IF(DATOS!$G14962&lt;&gt;"EX",0,--(COUNTIFS(nNIA,DATOS!$A14962,nCURSO,DATOS!$D14962,nESPEC,DATOS!$E14962,nASIG,DATOS!$I14962,nEVAL,"OR")=0))</f>
      </c>
      <c r="I14962">
        <f>IF(DATOS!$I14962="","",IFERROR(VLOOKUP(DATOS!$I14962,CONFIG_ASIGNATURAS!$B$2:$J$91,9,FALSE()),""))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IF(DATOS!$A14963="",0,IF(CONFIG_METADATA!$B$4&lt;&gt;"OR+EX",--(DATOS!$G14963=CONFIG_METADATA!$B$4),IF(DATOS!$G14963="EX",1,IF(DATOS!$G14963="OR",--(COUNTIFS(nNIA,DATOS!$A14963,nCURSO,DATOS!$D14963,nESPEC,DATOS!$E14963,nASIG,DATOS!$I14963,nEVAL,"EX")=0),0))))</f>
      </c>
      <c r="H14963">
        <f>IF(DATOS!$G14963&lt;&gt;"EX",0,--(COUNTIFS(nNIA,DATOS!$A14963,nCURSO,DATOS!$D14963,nESPEC,DATOS!$E14963,nASIG,DATOS!$I14963,nEVAL,"OR")=0))</f>
      </c>
      <c r="I14963">
        <f>IF(DATOS!$I14963="","",IFERROR(VLOOKUP(DATOS!$I14963,CONFIG_ASIGNATURAS!$B$2:$J$91,9,FALSE()),""))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IF(DATOS!$A14964="",0,IF(CONFIG_METADATA!$B$4&lt;&gt;"OR+EX",--(DATOS!$G14964=CONFIG_METADATA!$B$4),IF(DATOS!$G14964="EX",1,IF(DATOS!$G14964="OR",--(COUNTIFS(nNIA,DATOS!$A14964,nCURSO,DATOS!$D14964,nESPEC,DATOS!$E14964,nASIG,DATOS!$I14964,nEVAL,"EX")=0),0))))</f>
      </c>
      <c r="H14964">
        <f>IF(DATOS!$G14964&lt;&gt;"EX",0,--(COUNTIFS(nNIA,DATOS!$A14964,nCURSO,DATOS!$D14964,nESPEC,DATOS!$E14964,nASIG,DATOS!$I14964,nEVAL,"OR")=0))</f>
      </c>
      <c r="I14964">
        <f>IF(DATOS!$I14964="","",IFERROR(VLOOKUP(DATOS!$I14964,CONFIG_ASIGNATURAS!$B$2:$J$91,9,FALSE()),""))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IF(DATOS!$A14965="",0,IF(CONFIG_METADATA!$B$4&lt;&gt;"OR+EX",--(DATOS!$G14965=CONFIG_METADATA!$B$4),IF(DATOS!$G14965="EX",1,IF(DATOS!$G14965="OR",--(COUNTIFS(nNIA,DATOS!$A14965,nCURSO,DATOS!$D14965,nESPEC,DATOS!$E14965,nASIG,DATOS!$I14965,nEVAL,"EX")=0),0))))</f>
      </c>
      <c r="H14965">
        <f>IF(DATOS!$G14965&lt;&gt;"EX",0,--(COUNTIFS(nNIA,DATOS!$A14965,nCURSO,DATOS!$D14965,nESPEC,DATOS!$E14965,nASIG,DATOS!$I14965,nEVAL,"OR")=0))</f>
      </c>
      <c r="I14965">
        <f>IF(DATOS!$I14965="","",IFERROR(VLOOKUP(DATOS!$I14965,CONFIG_ASIGNATURAS!$B$2:$J$91,9,FALSE()),""))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IF(DATOS!$A14966="",0,IF(CONFIG_METADATA!$B$4&lt;&gt;"OR+EX",--(DATOS!$G14966=CONFIG_METADATA!$B$4),IF(DATOS!$G14966="EX",1,IF(DATOS!$G14966="OR",--(COUNTIFS(nNIA,DATOS!$A14966,nCURSO,DATOS!$D14966,nESPEC,DATOS!$E14966,nASIG,DATOS!$I14966,nEVAL,"EX")=0),0))))</f>
      </c>
      <c r="H14966">
        <f>IF(DATOS!$G14966&lt;&gt;"EX",0,--(COUNTIFS(nNIA,DATOS!$A14966,nCURSO,DATOS!$D14966,nESPEC,DATOS!$E14966,nASIG,DATOS!$I14966,nEVAL,"OR")=0))</f>
      </c>
      <c r="I14966">
        <f>IF(DATOS!$I14966="","",IFERROR(VLOOKUP(DATOS!$I14966,CONFIG_ASIGNATURAS!$B$2:$J$91,9,FALSE()),""))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IF(DATOS!$A14967="",0,IF(CONFIG_METADATA!$B$4&lt;&gt;"OR+EX",--(DATOS!$G14967=CONFIG_METADATA!$B$4),IF(DATOS!$G14967="EX",1,IF(DATOS!$G14967="OR",--(COUNTIFS(nNIA,DATOS!$A14967,nCURSO,DATOS!$D14967,nESPEC,DATOS!$E14967,nASIG,DATOS!$I14967,nEVAL,"EX")=0),0))))</f>
      </c>
      <c r="H14967">
        <f>IF(DATOS!$G14967&lt;&gt;"EX",0,--(COUNTIFS(nNIA,DATOS!$A14967,nCURSO,DATOS!$D14967,nESPEC,DATOS!$E14967,nASIG,DATOS!$I14967,nEVAL,"OR")=0))</f>
      </c>
      <c r="I14967">
        <f>IF(DATOS!$I14967="","",IFERROR(VLOOKUP(DATOS!$I14967,CONFIG_ASIGNATURAS!$B$2:$J$91,9,FALSE()),""))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IF(DATOS!$A14968="",0,IF(CONFIG_METADATA!$B$4&lt;&gt;"OR+EX",--(DATOS!$G14968=CONFIG_METADATA!$B$4),IF(DATOS!$G14968="EX",1,IF(DATOS!$G14968="OR",--(COUNTIFS(nNIA,DATOS!$A14968,nCURSO,DATOS!$D14968,nESPEC,DATOS!$E14968,nASIG,DATOS!$I14968,nEVAL,"EX")=0),0))))</f>
      </c>
      <c r="H14968">
        <f>IF(DATOS!$G14968&lt;&gt;"EX",0,--(COUNTIFS(nNIA,DATOS!$A14968,nCURSO,DATOS!$D14968,nESPEC,DATOS!$E14968,nASIG,DATOS!$I14968,nEVAL,"OR")=0))</f>
      </c>
      <c r="I14968">
        <f>IF(DATOS!$I14968="","",IFERROR(VLOOKUP(DATOS!$I14968,CONFIG_ASIGNATURAS!$B$2:$J$91,9,FALSE()),""))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IF(DATOS!$A14969="",0,IF(CONFIG_METADATA!$B$4&lt;&gt;"OR+EX",--(DATOS!$G14969=CONFIG_METADATA!$B$4),IF(DATOS!$G14969="EX",1,IF(DATOS!$G14969="OR",--(COUNTIFS(nNIA,DATOS!$A14969,nCURSO,DATOS!$D14969,nESPEC,DATOS!$E14969,nASIG,DATOS!$I14969,nEVAL,"EX")=0),0))))</f>
      </c>
      <c r="H14969">
        <f>IF(DATOS!$G14969&lt;&gt;"EX",0,--(COUNTIFS(nNIA,DATOS!$A14969,nCURSO,DATOS!$D14969,nESPEC,DATOS!$E14969,nASIG,DATOS!$I14969,nEVAL,"OR")=0))</f>
      </c>
      <c r="I14969">
        <f>IF(DATOS!$I14969="","",IFERROR(VLOOKUP(DATOS!$I14969,CONFIG_ASIGNATURAS!$B$2:$J$91,9,FALSE()),""))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IF(DATOS!$A14970="",0,IF(CONFIG_METADATA!$B$4&lt;&gt;"OR+EX",--(DATOS!$G14970=CONFIG_METADATA!$B$4),IF(DATOS!$G14970="EX",1,IF(DATOS!$G14970="OR",--(COUNTIFS(nNIA,DATOS!$A14970,nCURSO,DATOS!$D14970,nESPEC,DATOS!$E14970,nASIG,DATOS!$I14970,nEVAL,"EX")=0),0))))</f>
      </c>
      <c r="H14970">
        <f>IF(DATOS!$G14970&lt;&gt;"EX",0,--(COUNTIFS(nNIA,DATOS!$A14970,nCURSO,DATOS!$D14970,nESPEC,DATOS!$E14970,nASIG,DATOS!$I14970,nEVAL,"OR")=0))</f>
      </c>
      <c r="I14970">
        <f>IF(DATOS!$I14970="","",IFERROR(VLOOKUP(DATOS!$I14970,CONFIG_ASIGNATURAS!$B$2:$J$91,9,FALSE()),""))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IF(DATOS!$A14971="",0,IF(CONFIG_METADATA!$B$4&lt;&gt;"OR+EX",--(DATOS!$G14971=CONFIG_METADATA!$B$4),IF(DATOS!$G14971="EX",1,IF(DATOS!$G14971="OR",--(COUNTIFS(nNIA,DATOS!$A14971,nCURSO,DATOS!$D14971,nESPEC,DATOS!$E14971,nASIG,DATOS!$I14971,nEVAL,"EX")=0),0))))</f>
      </c>
      <c r="H14971">
        <f>IF(DATOS!$G14971&lt;&gt;"EX",0,--(COUNTIFS(nNIA,DATOS!$A14971,nCURSO,DATOS!$D14971,nESPEC,DATOS!$E14971,nASIG,DATOS!$I14971,nEVAL,"OR")=0))</f>
      </c>
      <c r="I14971">
        <f>IF(DATOS!$I14971="","",IFERROR(VLOOKUP(DATOS!$I14971,CONFIG_ASIGNATURAS!$B$2:$J$91,9,FALSE()),""))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IF(DATOS!$A14972="",0,IF(CONFIG_METADATA!$B$4&lt;&gt;"OR+EX",--(DATOS!$G14972=CONFIG_METADATA!$B$4),IF(DATOS!$G14972="EX",1,IF(DATOS!$G14972="OR",--(COUNTIFS(nNIA,DATOS!$A14972,nCURSO,DATOS!$D14972,nESPEC,DATOS!$E14972,nASIG,DATOS!$I14972,nEVAL,"EX")=0),0))))</f>
      </c>
      <c r="H14972">
        <f>IF(DATOS!$G14972&lt;&gt;"EX",0,--(COUNTIFS(nNIA,DATOS!$A14972,nCURSO,DATOS!$D14972,nESPEC,DATOS!$E14972,nASIG,DATOS!$I14972,nEVAL,"OR")=0))</f>
      </c>
      <c r="I14972">
        <f>IF(DATOS!$I14972="","",IFERROR(VLOOKUP(DATOS!$I14972,CONFIG_ASIGNATURAS!$B$2:$J$91,9,FALSE()),""))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IF(DATOS!$A14973="",0,IF(CONFIG_METADATA!$B$4&lt;&gt;"OR+EX",--(DATOS!$G14973=CONFIG_METADATA!$B$4),IF(DATOS!$G14973="EX",1,IF(DATOS!$G14973="OR",--(COUNTIFS(nNIA,DATOS!$A14973,nCURSO,DATOS!$D14973,nESPEC,DATOS!$E14973,nASIG,DATOS!$I14973,nEVAL,"EX")=0),0))))</f>
      </c>
      <c r="H14973">
        <f>IF(DATOS!$G14973&lt;&gt;"EX",0,--(COUNTIFS(nNIA,DATOS!$A14973,nCURSO,DATOS!$D14973,nESPEC,DATOS!$E14973,nASIG,DATOS!$I14973,nEVAL,"OR")=0))</f>
      </c>
      <c r="I14973">
        <f>IF(DATOS!$I14973="","",IFERROR(VLOOKUP(DATOS!$I14973,CONFIG_ASIGNATURAS!$B$2:$J$91,9,FALSE()),""))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IF(DATOS!$A14974="",0,IF(CONFIG_METADATA!$B$4&lt;&gt;"OR+EX",--(DATOS!$G14974=CONFIG_METADATA!$B$4),IF(DATOS!$G14974="EX",1,IF(DATOS!$G14974="OR",--(COUNTIFS(nNIA,DATOS!$A14974,nCURSO,DATOS!$D14974,nESPEC,DATOS!$E14974,nASIG,DATOS!$I14974,nEVAL,"EX")=0),0))))</f>
      </c>
      <c r="H14974">
        <f>IF(DATOS!$G14974&lt;&gt;"EX",0,--(COUNTIFS(nNIA,DATOS!$A14974,nCURSO,DATOS!$D14974,nESPEC,DATOS!$E14974,nASIG,DATOS!$I14974,nEVAL,"OR")=0))</f>
      </c>
      <c r="I14974">
        <f>IF(DATOS!$I14974="","",IFERROR(VLOOKUP(DATOS!$I14974,CONFIG_ASIGNATURAS!$B$2:$J$91,9,FALSE()),""))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IF(DATOS!$A14975="",0,IF(CONFIG_METADATA!$B$4&lt;&gt;"OR+EX",--(DATOS!$G14975=CONFIG_METADATA!$B$4),IF(DATOS!$G14975="EX",1,IF(DATOS!$G14975="OR",--(COUNTIFS(nNIA,DATOS!$A14975,nCURSO,DATOS!$D14975,nESPEC,DATOS!$E14975,nASIG,DATOS!$I14975,nEVAL,"EX")=0),0))))</f>
      </c>
      <c r="H14975">
        <f>IF(DATOS!$G14975&lt;&gt;"EX",0,--(COUNTIFS(nNIA,DATOS!$A14975,nCURSO,DATOS!$D14975,nESPEC,DATOS!$E14975,nASIG,DATOS!$I14975,nEVAL,"OR")=0))</f>
      </c>
      <c r="I14975">
        <f>IF(DATOS!$I14975="","",IFERROR(VLOOKUP(DATOS!$I14975,CONFIG_ASIGNATURAS!$B$2:$J$91,9,FALSE()),""))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IF(DATOS!$A14976="",0,IF(CONFIG_METADATA!$B$4&lt;&gt;"OR+EX",--(DATOS!$G14976=CONFIG_METADATA!$B$4),IF(DATOS!$G14976="EX",1,IF(DATOS!$G14976="OR",--(COUNTIFS(nNIA,DATOS!$A14976,nCURSO,DATOS!$D14976,nESPEC,DATOS!$E14976,nASIG,DATOS!$I14976,nEVAL,"EX")=0),0))))</f>
      </c>
      <c r="H14976">
        <f>IF(DATOS!$G14976&lt;&gt;"EX",0,--(COUNTIFS(nNIA,DATOS!$A14976,nCURSO,DATOS!$D14976,nESPEC,DATOS!$E14976,nASIG,DATOS!$I14976,nEVAL,"OR")=0))</f>
      </c>
      <c r="I14976">
        <f>IF(DATOS!$I14976="","",IFERROR(VLOOKUP(DATOS!$I14976,CONFIG_ASIGNATURAS!$B$2:$J$91,9,FALSE()),""))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IF(DATOS!$A14977="",0,IF(CONFIG_METADATA!$B$4&lt;&gt;"OR+EX",--(DATOS!$G14977=CONFIG_METADATA!$B$4),IF(DATOS!$G14977="EX",1,IF(DATOS!$G14977="OR",--(COUNTIFS(nNIA,DATOS!$A14977,nCURSO,DATOS!$D14977,nESPEC,DATOS!$E14977,nASIG,DATOS!$I14977,nEVAL,"EX")=0),0))))</f>
      </c>
      <c r="H14977">
        <f>IF(DATOS!$G14977&lt;&gt;"EX",0,--(COUNTIFS(nNIA,DATOS!$A14977,nCURSO,DATOS!$D14977,nESPEC,DATOS!$E14977,nASIG,DATOS!$I14977,nEVAL,"OR")=0))</f>
      </c>
      <c r="I14977">
        <f>IF(DATOS!$I14977="","",IFERROR(VLOOKUP(DATOS!$I14977,CONFIG_ASIGNATURAS!$B$2:$J$91,9,FALSE()),""))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IF(DATOS!$A14978="",0,IF(CONFIG_METADATA!$B$4&lt;&gt;"OR+EX",--(DATOS!$G14978=CONFIG_METADATA!$B$4),IF(DATOS!$G14978="EX",1,IF(DATOS!$G14978="OR",--(COUNTIFS(nNIA,DATOS!$A14978,nCURSO,DATOS!$D14978,nESPEC,DATOS!$E14978,nASIG,DATOS!$I14978,nEVAL,"EX")=0),0))))</f>
      </c>
      <c r="H14978">
        <f>IF(DATOS!$G14978&lt;&gt;"EX",0,--(COUNTIFS(nNIA,DATOS!$A14978,nCURSO,DATOS!$D14978,nESPEC,DATOS!$E14978,nASIG,DATOS!$I14978,nEVAL,"OR")=0))</f>
      </c>
      <c r="I14978">
        <f>IF(DATOS!$I14978="","",IFERROR(VLOOKUP(DATOS!$I14978,CONFIG_ASIGNATURAS!$B$2:$J$91,9,FALSE()),""))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IF(DATOS!$A14979="",0,IF(CONFIG_METADATA!$B$4&lt;&gt;"OR+EX",--(DATOS!$G14979=CONFIG_METADATA!$B$4),IF(DATOS!$G14979="EX",1,IF(DATOS!$G14979="OR",--(COUNTIFS(nNIA,DATOS!$A14979,nCURSO,DATOS!$D14979,nESPEC,DATOS!$E14979,nASIG,DATOS!$I14979,nEVAL,"EX")=0),0))))</f>
      </c>
      <c r="H14979">
        <f>IF(DATOS!$G14979&lt;&gt;"EX",0,--(COUNTIFS(nNIA,DATOS!$A14979,nCURSO,DATOS!$D14979,nESPEC,DATOS!$E14979,nASIG,DATOS!$I14979,nEVAL,"OR")=0))</f>
      </c>
      <c r="I14979">
        <f>IF(DATOS!$I14979="","",IFERROR(VLOOKUP(DATOS!$I14979,CONFIG_ASIGNATURAS!$B$2:$J$91,9,FALSE()),""))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IF(DATOS!$A14980="",0,IF(CONFIG_METADATA!$B$4&lt;&gt;"OR+EX",--(DATOS!$G14980=CONFIG_METADATA!$B$4),IF(DATOS!$G14980="EX",1,IF(DATOS!$G14980="OR",--(COUNTIFS(nNIA,DATOS!$A14980,nCURSO,DATOS!$D14980,nESPEC,DATOS!$E14980,nASIG,DATOS!$I14980,nEVAL,"EX")=0),0))))</f>
      </c>
      <c r="H14980">
        <f>IF(DATOS!$G14980&lt;&gt;"EX",0,--(COUNTIFS(nNIA,DATOS!$A14980,nCURSO,DATOS!$D14980,nESPEC,DATOS!$E14980,nASIG,DATOS!$I14980,nEVAL,"OR")=0))</f>
      </c>
      <c r="I14980">
        <f>IF(DATOS!$I14980="","",IFERROR(VLOOKUP(DATOS!$I14980,CONFIG_ASIGNATURAS!$B$2:$J$91,9,FALSE()),""))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IF(DATOS!$A14981="",0,IF(CONFIG_METADATA!$B$4&lt;&gt;"OR+EX",--(DATOS!$G14981=CONFIG_METADATA!$B$4),IF(DATOS!$G14981="EX",1,IF(DATOS!$G14981="OR",--(COUNTIFS(nNIA,DATOS!$A14981,nCURSO,DATOS!$D14981,nESPEC,DATOS!$E14981,nASIG,DATOS!$I14981,nEVAL,"EX")=0),0))))</f>
      </c>
      <c r="H14981">
        <f>IF(DATOS!$G14981&lt;&gt;"EX",0,--(COUNTIFS(nNIA,DATOS!$A14981,nCURSO,DATOS!$D14981,nESPEC,DATOS!$E14981,nASIG,DATOS!$I14981,nEVAL,"OR")=0))</f>
      </c>
      <c r="I14981">
        <f>IF(DATOS!$I14981="","",IFERROR(VLOOKUP(DATOS!$I14981,CONFIG_ASIGNATURAS!$B$2:$J$91,9,FALSE()),""))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IF(DATOS!$A14982="",0,IF(CONFIG_METADATA!$B$4&lt;&gt;"OR+EX",--(DATOS!$G14982=CONFIG_METADATA!$B$4),IF(DATOS!$G14982="EX",1,IF(DATOS!$G14982="OR",--(COUNTIFS(nNIA,DATOS!$A14982,nCURSO,DATOS!$D14982,nESPEC,DATOS!$E14982,nASIG,DATOS!$I14982,nEVAL,"EX")=0),0))))</f>
      </c>
      <c r="H14982">
        <f>IF(DATOS!$G14982&lt;&gt;"EX",0,--(COUNTIFS(nNIA,DATOS!$A14982,nCURSO,DATOS!$D14982,nESPEC,DATOS!$E14982,nASIG,DATOS!$I14982,nEVAL,"OR")=0))</f>
      </c>
      <c r="I14982">
        <f>IF(DATOS!$I14982="","",IFERROR(VLOOKUP(DATOS!$I14982,CONFIG_ASIGNATURAS!$B$2:$J$91,9,FALSE()),""))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IF(DATOS!$A14983="",0,IF(CONFIG_METADATA!$B$4&lt;&gt;"OR+EX",--(DATOS!$G14983=CONFIG_METADATA!$B$4),IF(DATOS!$G14983="EX",1,IF(DATOS!$G14983="OR",--(COUNTIFS(nNIA,DATOS!$A14983,nCURSO,DATOS!$D14983,nESPEC,DATOS!$E14983,nASIG,DATOS!$I14983,nEVAL,"EX")=0),0))))</f>
      </c>
      <c r="H14983">
        <f>IF(DATOS!$G14983&lt;&gt;"EX",0,--(COUNTIFS(nNIA,DATOS!$A14983,nCURSO,DATOS!$D14983,nESPEC,DATOS!$E14983,nASIG,DATOS!$I14983,nEVAL,"OR")=0))</f>
      </c>
      <c r="I14983">
        <f>IF(DATOS!$I14983="","",IFERROR(VLOOKUP(DATOS!$I14983,CONFIG_ASIGNATURAS!$B$2:$J$91,9,FALSE()),""))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IF(DATOS!$A14984="",0,IF(CONFIG_METADATA!$B$4&lt;&gt;"OR+EX",--(DATOS!$G14984=CONFIG_METADATA!$B$4),IF(DATOS!$G14984="EX",1,IF(DATOS!$G14984="OR",--(COUNTIFS(nNIA,DATOS!$A14984,nCURSO,DATOS!$D14984,nESPEC,DATOS!$E14984,nASIG,DATOS!$I14984,nEVAL,"EX")=0),0))))</f>
      </c>
      <c r="H14984">
        <f>IF(DATOS!$G14984&lt;&gt;"EX",0,--(COUNTIFS(nNIA,DATOS!$A14984,nCURSO,DATOS!$D14984,nESPEC,DATOS!$E14984,nASIG,DATOS!$I14984,nEVAL,"OR")=0))</f>
      </c>
      <c r="I14984">
        <f>IF(DATOS!$I14984="","",IFERROR(VLOOKUP(DATOS!$I14984,CONFIG_ASIGNATURAS!$B$2:$J$91,9,FALSE()),""))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IF(DATOS!$A14985="",0,IF(CONFIG_METADATA!$B$4&lt;&gt;"OR+EX",--(DATOS!$G14985=CONFIG_METADATA!$B$4),IF(DATOS!$G14985="EX",1,IF(DATOS!$G14985="OR",--(COUNTIFS(nNIA,DATOS!$A14985,nCURSO,DATOS!$D14985,nESPEC,DATOS!$E14985,nASIG,DATOS!$I14985,nEVAL,"EX")=0),0))))</f>
      </c>
      <c r="H14985">
        <f>IF(DATOS!$G14985&lt;&gt;"EX",0,--(COUNTIFS(nNIA,DATOS!$A14985,nCURSO,DATOS!$D14985,nESPEC,DATOS!$E14985,nASIG,DATOS!$I14985,nEVAL,"OR")=0))</f>
      </c>
      <c r="I14985">
        <f>IF(DATOS!$I14985="","",IFERROR(VLOOKUP(DATOS!$I14985,CONFIG_ASIGNATURAS!$B$2:$J$91,9,FALSE()),""))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IF(DATOS!$A14986="",0,IF(CONFIG_METADATA!$B$4&lt;&gt;"OR+EX",--(DATOS!$G14986=CONFIG_METADATA!$B$4),IF(DATOS!$G14986="EX",1,IF(DATOS!$G14986="OR",--(COUNTIFS(nNIA,DATOS!$A14986,nCURSO,DATOS!$D14986,nESPEC,DATOS!$E14986,nASIG,DATOS!$I14986,nEVAL,"EX")=0),0))))</f>
      </c>
      <c r="H14986">
        <f>IF(DATOS!$G14986&lt;&gt;"EX",0,--(COUNTIFS(nNIA,DATOS!$A14986,nCURSO,DATOS!$D14986,nESPEC,DATOS!$E14986,nASIG,DATOS!$I14986,nEVAL,"OR")=0))</f>
      </c>
      <c r="I14986">
        <f>IF(DATOS!$I14986="","",IFERROR(VLOOKUP(DATOS!$I14986,CONFIG_ASIGNATURAS!$B$2:$J$91,9,FALSE()),""))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IF(DATOS!$A14987="",0,IF(CONFIG_METADATA!$B$4&lt;&gt;"OR+EX",--(DATOS!$G14987=CONFIG_METADATA!$B$4),IF(DATOS!$G14987="EX",1,IF(DATOS!$G14987="OR",--(COUNTIFS(nNIA,DATOS!$A14987,nCURSO,DATOS!$D14987,nESPEC,DATOS!$E14987,nASIG,DATOS!$I14987,nEVAL,"EX")=0),0))))</f>
      </c>
      <c r="H14987">
        <f>IF(DATOS!$G14987&lt;&gt;"EX",0,--(COUNTIFS(nNIA,DATOS!$A14987,nCURSO,DATOS!$D14987,nESPEC,DATOS!$E14987,nASIG,DATOS!$I14987,nEVAL,"OR")=0))</f>
      </c>
      <c r="I14987">
        <f>IF(DATOS!$I14987="","",IFERROR(VLOOKUP(DATOS!$I14987,CONFIG_ASIGNATURAS!$B$2:$J$91,9,FALSE()),""))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IF(DATOS!$A14988="",0,IF(CONFIG_METADATA!$B$4&lt;&gt;"OR+EX",--(DATOS!$G14988=CONFIG_METADATA!$B$4),IF(DATOS!$G14988="EX",1,IF(DATOS!$G14988="OR",--(COUNTIFS(nNIA,DATOS!$A14988,nCURSO,DATOS!$D14988,nESPEC,DATOS!$E14988,nASIG,DATOS!$I14988,nEVAL,"EX")=0),0))))</f>
      </c>
      <c r="H14988">
        <f>IF(DATOS!$G14988&lt;&gt;"EX",0,--(COUNTIFS(nNIA,DATOS!$A14988,nCURSO,DATOS!$D14988,nESPEC,DATOS!$E14988,nASIG,DATOS!$I14988,nEVAL,"OR")=0))</f>
      </c>
      <c r="I14988">
        <f>IF(DATOS!$I14988="","",IFERROR(VLOOKUP(DATOS!$I14988,CONFIG_ASIGNATURAS!$B$2:$J$91,9,FALSE()),""))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IF(DATOS!$A14989="",0,IF(CONFIG_METADATA!$B$4&lt;&gt;"OR+EX",--(DATOS!$G14989=CONFIG_METADATA!$B$4),IF(DATOS!$G14989="EX",1,IF(DATOS!$G14989="OR",--(COUNTIFS(nNIA,DATOS!$A14989,nCURSO,DATOS!$D14989,nESPEC,DATOS!$E14989,nASIG,DATOS!$I14989,nEVAL,"EX")=0),0))))</f>
      </c>
      <c r="H14989">
        <f>IF(DATOS!$G14989&lt;&gt;"EX",0,--(COUNTIFS(nNIA,DATOS!$A14989,nCURSO,DATOS!$D14989,nESPEC,DATOS!$E14989,nASIG,DATOS!$I14989,nEVAL,"OR")=0))</f>
      </c>
      <c r="I14989">
        <f>IF(DATOS!$I14989="","",IFERROR(VLOOKUP(DATOS!$I14989,CONFIG_ASIGNATURAS!$B$2:$J$91,9,FALSE()),""))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IF(DATOS!$A14990="",0,IF(CONFIG_METADATA!$B$4&lt;&gt;"OR+EX",--(DATOS!$G14990=CONFIG_METADATA!$B$4),IF(DATOS!$G14990="EX",1,IF(DATOS!$G14990="OR",--(COUNTIFS(nNIA,DATOS!$A14990,nCURSO,DATOS!$D14990,nESPEC,DATOS!$E14990,nASIG,DATOS!$I14990,nEVAL,"EX")=0),0))))</f>
      </c>
      <c r="H14990">
        <f>IF(DATOS!$G14990&lt;&gt;"EX",0,--(COUNTIFS(nNIA,DATOS!$A14990,nCURSO,DATOS!$D14990,nESPEC,DATOS!$E14990,nASIG,DATOS!$I14990,nEVAL,"OR")=0))</f>
      </c>
      <c r="I14990">
        <f>IF(DATOS!$I14990="","",IFERROR(VLOOKUP(DATOS!$I14990,CONFIG_ASIGNATURAS!$B$2:$J$91,9,FALSE()),""))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IF(DATOS!$A14991="",0,IF(CONFIG_METADATA!$B$4&lt;&gt;"OR+EX",--(DATOS!$G14991=CONFIG_METADATA!$B$4),IF(DATOS!$G14991="EX",1,IF(DATOS!$G14991="OR",--(COUNTIFS(nNIA,DATOS!$A14991,nCURSO,DATOS!$D14991,nESPEC,DATOS!$E14991,nASIG,DATOS!$I14991,nEVAL,"EX")=0),0))))</f>
      </c>
      <c r="H14991">
        <f>IF(DATOS!$G14991&lt;&gt;"EX",0,--(COUNTIFS(nNIA,DATOS!$A14991,nCURSO,DATOS!$D14991,nESPEC,DATOS!$E14991,nASIG,DATOS!$I14991,nEVAL,"OR")=0))</f>
      </c>
      <c r="I14991">
        <f>IF(DATOS!$I14991="","",IFERROR(VLOOKUP(DATOS!$I14991,CONFIG_ASIGNATURAS!$B$2:$J$91,9,FALSE()),""))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IF(DATOS!$A14992="",0,IF(CONFIG_METADATA!$B$4&lt;&gt;"OR+EX",--(DATOS!$G14992=CONFIG_METADATA!$B$4),IF(DATOS!$G14992="EX",1,IF(DATOS!$G14992="OR",--(COUNTIFS(nNIA,DATOS!$A14992,nCURSO,DATOS!$D14992,nESPEC,DATOS!$E14992,nASIG,DATOS!$I14992,nEVAL,"EX")=0),0))))</f>
      </c>
      <c r="H14992">
        <f>IF(DATOS!$G14992&lt;&gt;"EX",0,--(COUNTIFS(nNIA,DATOS!$A14992,nCURSO,DATOS!$D14992,nESPEC,DATOS!$E14992,nASIG,DATOS!$I14992,nEVAL,"OR")=0))</f>
      </c>
      <c r="I14992">
        <f>IF(DATOS!$I14992="","",IFERROR(VLOOKUP(DATOS!$I14992,CONFIG_ASIGNATURAS!$B$2:$J$91,9,FALSE()),""))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IF(DATOS!$A14993="",0,IF(CONFIG_METADATA!$B$4&lt;&gt;"OR+EX",--(DATOS!$G14993=CONFIG_METADATA!$B$4),IF(DATOS!$G14993="EX",1,IF(DATOS!$G14993="OR",--(COUNTIFS(nNIA,DATOS!$A14993,nCURSO,DATOS!$D14993,nESPEC,DATOS!$E14993,nASIG,DATOS!$I14993,nEVAL,"EX")=0),0))))</f>
      </c>
      <c r="H14993">
        <f>IF(DATOS!$G14993&lt;&gt;"EX",0,--(COUNTIFS(nNIA,DATOS!$A14993,nCURSO,DATOS!$D14993,nESPEC,DATOS!$E14993,nASIG,DATOS!$I14993,nEVAL,"OR")=0))</f>
      </c>
      <c r="I14993">
        <f>IF(DATOS!$I14993="","",IFERROR(VLOOKUP(DATOS!$I14993,CONFIG_ASIGNATURAS!$B$2:$J$91,9,FALSE()),""))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IF(DATOS!$A14994="",0,IF(CONFIG_METADATA!$B$4&lt;&gt;"OR+EX",--(DATOS!$G14994=CONFIG_METADATA!$B$4),IF(DATOS!$G14994="EX",1,IF(DATOS!$G14994="OR",--(COUNTIFS(nNIA,DATOS!$A14994,nCURSO,DATOS!$D14994,nESPEC,DATOS!$E14994,nASIG,DATOS!$I14994,nEVAL,"EX")=0),0))))</f>
      </c>
      <c r="H14994">
        <f>IF(DATOS!$G14994&lt;&gt;"EX",0,--(COUNTIFS(nNIA,DATOS!$A14994,nCURSO,DATOS!$D14994,nESPEC,DATOS!$E14994,nASIG,DATOS!$I14994,nEVAL,"OR")=0))</f>
      </c>
      <c r="I14994">
        <f>IF(DATOS!$I14994="","",IFERROR(VLOOKUP(DATOS!$I14994,CONFIG_ASIGNATURAS!$B$2:$J$91,9,FALSE()),""))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IF(DATOS!$A14995="",0,IF(CONFIG_METADATA!$B$4&lt;&gt;"OR+EX",--(DATOS!$G14995=CONFIG_METADATA!$B$4),IF(DATOS!$G14995="EX",1,IF(DATOS!$G14995="OR",--(COUNTIFS(nNIA,DATOS!$A14995,nCURSO,DATOS!$D14995,nESPEC,DATOS!$E14995,nASIG,DATOS!$I14995,nEVAL,"EX")=0),0))))</f>
      </c>
      <c r="H14995">
        <f>IF(DATOS!$G14995&lt;&gt;"EX",0,--(COUNTIFS(nNIA,DATOS!$A14995,nCURSO,DATOS!$D14995,nESPEC,DATOS!$E14995,nASIG,DATOS!$I14995,nEVAL,"OR")=0))</f>
      </c>
      <c r="I14995">
        <f>IF(DATOS!$I14995="","",IFERROR(VLOOKUP(DATOS!$I14995,CONFIG_ASIGNATURAS!$B$2:$J$91,9,FALSE()),""))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IF(DATOS!$A14996="",0,IF(CONFIG_METADATA!$B$4&lt;&gt;"OR+EX",--(DATOS!$G14996=CONFIG_METADATA!$B$4),IF(DATOS!$G14996="EX",1,IF(DATOS!$G14996="OR",--(COUNTIFS(nNIA,DATOS!$A14996,nCURSO,DATOS!$D14996,nESPEC,DATOS!$E14996,nASIG,DATOS!$I14996,nEVAL,"EX")=0),0))))</f>
      </c>
      <c r="H14996">
        <f>IF(DATOS!$G14996&lt;&gt;"EX",0,--(COUNTIFS(nNIA,DATOS!$A14996,nCURSO,DATOS!$D14996,nESPEC,DATOS!$E14996,nASIG,DATOS!$I14996,nEVAL,"OR")=0))</f>
      </c>
      <c r="I14996">
        <f>IF(DATOS!$I14996="","",IFERROR(VLOOKUP(DATOS!$I14996,CONFIG_ASIGNATURAS!$B$2:$J$91,9,FALSE()),""))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IF(DATOS!$A14997="",0,IF(CONFIG_METADATA!$B$4&lt;&gt;"OR+EX",--(DATOS!$G14997=CONFIG_METADATA!$B$4),IF(DATOS!$G14997="EX",1,IF(DATOS!$G14997="OR",--(COUNTIFS(nNIA,DATOS!$A14997,nCURSO,DATOS!$D14997,nESPEC,DATOS!$E14997,nASIG,DATOS!$I14997,nEVAL,"EX")=0),0))))</f>
      </c>
      <c r="H14997">
        <f>IF(DATOS!$G14997&lt;&gt;"EX",0,--(COUNTIFS(nNIA,DATOS!$A14997,nCURSO,DATOS!$D14997,nESPEC,DATOS!$E14997,nASIG,DATOS!$I14997,nEVAL,"OR")=0))</f>
      </c>
      <c r="I14997">
        <f>IF(DATOS!$I14997="","",IFERROR(VLOOKUP(DATOS!$I14997,CONFIG_ASIGNATURAS!$B$2:$J$91,9,FALSE()),""))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IF(DATOS!$A14998="",0,IF(CONFIG_METADATA!$B$4&lt;&gt;"OR+EX",--(DATOS!$G14998=CONFIG_METADATA!$B$4),IF(DATOS!$G14998="EX",1,IF(DATOS!$G14998="OR",--(COUNTIFS(nNIA,DATOS!$A14998,nCURSO,DATOS!$D14998,nESPEC,DATOS!$E14998,nASIG,DATOS!$I14998,nEVAL,"EX")=0),0))))</f>
      </c>
      <c r="H14998">
        <f>IF(DATOS!$G14998&lt;&gt;"EX",0,--(COUNTIFS(nNIA,DATOS!$A14998,nCURSO,DATOS!$D14998,nESPEC,DATOS!$E14998,nASIG,DATOS!$I14998,nEVAL,"OR")=0))</f>
      </c>
      <c r="I14998">
        <f>IF(DATOS!$I14998="","",IFERROR(VLOOKUP(DATOS!$I14998,CONFIG_ASIGNATURAS!$B$2:$J$91,9,FALSE()),""))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IF(DATOS!$A14999="",0,IF(CONFIG_METADATA!$B$4&lt;&gt;"OR+EX",--(DATOS!$G14999=CONFIG_METADATA!$B$4),IF(DATOS!$G14999="EX",1,IF(DATOS!$G14999="OR",--(COUNTIFS(nNIA,DATOS!$A14999,nCURSO,DATOS!$D14999,nESPEC,DATOS!$E14999,nASIG,DATOS!$I14999,nEVAL,"EX")=0),0))))</f>
      </c>
      <c r="H14999">
        <f>IF(DATOS!$G14999&lt;&gt;"EX",0,--(COUNTIFS(nNIA,DATOS!$A14999,nCURSO,DATOS!$D14999,nESPEC,DATOS!$E14999,nASIG,DATOS!$I14999,nEVAL,"OR")=0))</f>
      </c>
      <c r="I14999">
        <f>IF(DATOS!$I14999="","",IFERROR(VLOOKUP(DATOS!$I14999,CONFIG_ASIGNATURAS!$B$2:$J$91,9,FALSE()),""))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IF(DATOS!$A15000="",0,IF(CONFIG_METADATA!$B$4&lt;&gt;"OR+EX",--(DATOS!$G15000=CONFIG_METADATA!$B$4),IF(DATOS!$G15000="EX",1,IF(DATOS!$G15000="OR",--(COUNTIFS(nNIA,DATOS!$A15000,nCURSO,DATOS!$D15000,nESPEC,DATOS!$E15000,nASIG,DATOS!$I15000,nEVAL,"EX")=0),0))))</f>
      </c>
      <c r="H15000">
        <f>IF(DATOS!$G15000&lt;&gt;"EX",0,--(COUNTIFS(nNIA,DATOS!$A15000,nCURSO,DATOS!$D15000,nESPEC,DATOS!$E15000,nASIG,DATOS!$I15000,nEVAL,"OR")=0))</f>
      </c>
      <c r="I15000">
        <f>IF(DATOS!$I15000="","",IFERROR(VLOOKUP(DATOS!$I15000,CONFIG_ASIGNATURAS!$B$2:$J$91,9,FALSE()),""))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IF(DATOS!$A15001="",0,IF(CONFIG_METADATA!$B$4&lt;&gt;"OR+EX",--(DATOS!$G15001=CONFIG_METADATA!$B$4),IF(DATOS!$G15001="EX",1,IF(DATOS!$G15001="OR",--(COUNTIFS(nNIA,DATOS!$A15001,nCURSO,DATOS!$D15001,nESPEC,DATOS!$E15001,nASIG,DATOS!$I15001,nEVAL,"EX")=0),0))))</f>
      </c>
      <c r="H15001">
        <f>IF(DATOS!$G15001&lt;&gt;"EX",0,--(COUNTIFS(nNIA,DATOS!$A15001,nCURSO,DATOS!$D15001,nESPEC,DATOS!$E15001,nASIG,DATOS!$I15001,nEVAL,"OR")=0))</f>
      </c>
      <c r="I15001">
        <f>IF(DATOS!$I15001="","",IFERROR(VLOOKUP(DATOS!$I15001,CONFIG_ASIGNATURAS!$B$2:$J$91,9,FALSE()),""))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IF(DATOS!$A15002="",0,IF(CONFIG_METADATA!$B$4&lt;&gt;"OR+EX",--(DATOS!$G15002=CONFIG_METADATA!$B$4),IF(DATOS!$G15002="EX",1,IF(DATOS!$G15002="OR",--(COUNTIFS(nNIA,DATOS!$A15002,nCURSO,DATOS!$D15002,nESPEC,DATOS!$E15002,nASIG,DATOS!$I15002,nEVAL,"EX")=0),0))))</f>
      </c>
      <c r="H15002">
        <f>IF(DATOS!$G15002&lt;&gt;"EX",0,--(COUNTIFS(nNIA,DATOS!$A15002,nCURSO,DATOS!$D15002,nESPEC,DATOS!$E15002,nASIG,DATOS!$I15002,nEVAL,"OR")=0))</f>
      </c>
      <c r="I15002">
        <f>IF(DATOS!$I15002="","",IFERROR(VLOOKUP(DATOS!$I15002,CONFIG_ASIGNATURAS!$B$2:$J$91,9,FALSE()),""))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IF(DATOS!$A15003="",0,IF(CONFIG_METADATA!$B$4&lt;&gt;"OR+EX",--(DATOS!$G15003=CONFIG_METADATA!$B$4),IF(DATOS!$G15003="EX",1,IF(DATOS!$G15003="OR",--(COUNTIFS(nNIA,DATOS!$A15003,nCURSO,DATOS!$D15003,nESPEC,DATOS!$E15003,nASIG,DATOS!$I15003,nEVAL,"EX")=0),0))))</f>
      </c>
      <c r="H15003">
        <f>IF(DATOS!$G15003&lt;&gt;"EX",0,--(COUNTIFS(nNIA,DATOS!$A15003,nCURSO,DATOS!$D15003,nESPEC,DATOS!$E15003,nASIG,DATOS!$I15003,nEVAL,"OR")=0))</f>
      </c>
      <c r="I15003">
        <f>IF(DATOS!$I15003="","",IFERROR(VLOOKUP(DATOS!$I15003,CONFIG_ASIGNATURAS!$B$2:$J$91,9,FALSE()),""))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IF(DATOS!$A15004="",0,IF(CONFIG_METADATA!$B$4&lt;&gt;"OR+EX",--(DATOS!$G15004=CONFIG_METADATA!$B$4),IF(DATOS!$G15004="EX",1,IF(DATOS!$G15004="OR",--(COUNTIFS(nNIA,DATOS!$A15004,nCURSO,DATOS!$D15004,nESPEC,DATOS!$E15004,nASIG,DATOS!$I15004,nEVAL,"EX")=0),0))))</f>
      </c>
      <c r="H15004">
        <f>IF(DATOS!$G15004&lt;&gt;"EX",0,--(COUNTIFS(nNIA,DATOS!$A15004,nCURSO,DATOS!$D15004,nESPEC,DATOS!$E15004,nASIG,DATOS!$I15004,nEVAL,"OR")=0))</f>
      </c>
      <c r="I15004">
        <f>IF(DATOS!$I15004="","",IFERROR(VLOOKUP(DATOS!$I15004,CONFIG_ASIGNATURAS!$B$2:$J$91,9,FALSE()),""))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IF(DATOS!$A15005="",0,IF(CONFIG_METADATA!$B$4&lt;&gt;"OR+EX",--(DATOS!$G15005=CONFIG_METADATA!$B$4),IF(DATOS!$G15005="EX",1,IF(DATOS!$G15005="OR",--(COUNTIFS(nNIA,DATOS!$A15005,nCURSO,DATOS!$D15005,nESPEC,DATOS!$E15005,nASIG,DATOS!$I15005,nEVAL,"EX")=0),0))))</f>
      </c>
      <c r="H15005">
        <f>IF(DATOS!$G15005&lt;&gt;"EX",0,--(COUNTIFS(nNIA,DATOS!$A15005,nCURSO,DATOS!$D15005,nESPEC,DATOS!$E15005,nASIG,DATOS!$I15005,nEVAL,"OR")=0))</f>
      </c>
      <c r="I15005">
        <f>IF(DATOS!$I15005="","",IFERROR(VLOOKUP(DATOS!$I15005,CONFIG_ASIGNATURAS!$B$2:$J$91,9,FALSE()),""))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IF(DATOS!$A15006="",0,IF(CONFIG_METADATA!$B$4&lt;&gt;"OR+EX",--(DATOS!$G15006=CONFIG_METADATA!$B$4),IF(DATOS!$G15006="EX",1,IF(DATOS!$G15006="OR",--(COUNTIFS(nNIA,DATOS!$A15006,nCURSO,DATOS!$D15006,nESPEC,DATOS!$E15006,nASIG,DATOS!$I15006,nEVAL,"EX")=0),0))))</f>
      </c>
      <c r="H15006">
        <f>IF(DATOS!$G15006&lt;&gt;"EX",0,--(COUNTIFS(nNIA,DATOS!$A15006,nCURSO,DATOS!$D15006,nESPEC,DATOS!$E15006,nASIG,DATOS!$I15006,nEVAL,"OR")=0))</f>
      </c>
      <c r="I15006">
        <f>IF(DATOS!$I15006="","",IFERROR(VLOOKUP(DATOS!$I15006,CONFIG_ASIGNATURAS!$B$2:$J$91,9,FALSE()),""))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IF(DATOS!$A15007="",0,IF(CONFIG_METADATA!$B$4&lt;&gt;"OR+EX",--(DATOS!$G15007=CONFIG_METADATA!$B$4),IF(DATOS!$G15007="EX",1,IF(DATOS!$G15007="OR",--(COUNTIFS(nNIA,DATOS!$A15007,nCURSO,DATOS!$D15007,nESPEC,DATOS!$E15007,nASIG,DATOS!$I15007,nEVAL,"EX")=0),0))))</f>
      </c>
      <c r="H15007">
        <f>IF(DATOS!$G15007&lt;&gt;"EX",0,--(COUNTIFS(nNIA,DATOS!$A15007,nCURSO,DATOS!$D15007,nESPEC,DATOS!$E15007,nASIG,DATOS!$I15007,nEVAL,"OR")=0))</f>
      </c>
      <c r="I15007">
        <f>IF(DATOS!$I15007="","",IFERROR(VLOOKUP(DATOS!$I15007,CONFIG_ASIGNATURAS!$B$2:$J$91,9,FALSE()),""))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IF(DATOS!$A15008="",0,IF(CONFIG_METADATA!$B$4&lt;&gt;"OR+EX",--(DATOS!$G15008=CONFIG_METADATA!$B$4),IF(DATOS!$G15008="EX",1,IF(DATOS!$G15008="OR",--(COUNTIFS(nNIA,DATOS!$A15008,nCURSO,DATOS!$D15008,nESPEC,DATOS!$E15008,nASIG,DATOS!$I15008,nEVAL,"EX")=0),0))))</f>
      </c>
      <c r="H15008">
        <f>IF(DATOS!$G15008&lt;&gt;"EX",0,--(COUNTIFS(nNIA,DATOS!$A15008,nCURSO,DATOS!$D15008,nESPEC,DATOS!$E15008,nASIG,DATOS!$I15008,nEVAL,"OR")=0))</f>
      </c>
      <c r="I15008">
        <f>IF(DATOS!$I15008="","",IFERROR(VLOOKUP(DATOS!$I15008,CONFIG_ASIGNATURAS!$B$2:$J$91,9,FALSE()),""))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IF(DATOS!$A15009="",0,IF(CONFIG_METADATA!$B$4&lt;&gt;"OR+EX",--(DATOS!$G15009=CONFIG_METADATA!$B$4),IF(DATOS!$G15009="EX",1,IF(DATOS!$G15009="OR",--(COUNTIFS(nNIA,DATOS!$A15009,nCURSO,DATOS!$D15009,nESPEC,DATOS!$E15009,nASIG,DATOS!$I15009,nEVAL,"EX")=0),0))))</f>
      </c>
      <c r="H15009">
        <f>IF(DATOS!$G15009&lt;&gt;"EX",0,--(COUNTIFS(nNIA,DATOS!$A15009,nCURSO,DATOS!$D15009,nESPEC,DATOS!$E15009,nASIG,DATOS!$I15009,nEVAL,"OR")=0))</f>
      </c>
      <c r="I15009">
        <f>IF(DATOS!$I15009="","",IFERROR(VLOOKUP(DATOS!$I15009,CONFIG_ASIGNATURAS!$B$2:$J$91,9,FALSE()),""))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IF(DATOS!$A15010="",0,IF(CONFIG_METADATA!$B$4&lt;&gt;"OR+EX",--(DATOS!$G15010=CONFIG_METADATA!$B$4),IF(DATOS!$G15010="EX",1,IF(DATOS!$G15010="OR",--(COUNTIFS(nNIA,DATOS!$A15010,nCURSO,DATOS!$D15010,nESPEC,DATOS!$E15010,nASIG,DATOS!$I15010,nEVAL,"EX")=0),0))))</f>
      </c>
      <c r="H15010">
        <f>IF(DATOS!$G15010&lt;&gt;"EX",0,--(COUNTIFS(nNIA,DATOS!$A15010,nCURSO,DATOS!$D15010,nESPEC,DATOS!$E15010,nASIG,DATOS!$I15010,nEVAL,"OR")=0))</f>
      </c>
      <c r="I15010">
        <f>IF(DATOS!$I15010="","",IFERROR(VLOOKUP(DATOS!$I15010,CONFIG_ASIGNATURAS!$B$2:$J$91,9,FALSE()),""))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IF(DATOS!$A15011="",0,IF(CONFIG_METADATA!$B$4&lt;&gt;"OR+EX",--(DATOS!$G15011=CONFIG_METADATA!$B$4),IF(DATOS!$G15011="EX",1,IF(DATOS!$G15011="OR",--(COUNTIFS(nNIA,DATOS!$A15011,nCURSO,DATOS!$D15011,nESPEC,DATOS!$E15011,nASIG,DATOS!$I15011,nEVAL,"EX")=0),0))))</f>
      </c>
      <c r="H15011">
        <f>IF(DATOS!$G15011&lt;&gt;"EX",0,--(COUNTIFS(nNIA,DATOS!$A15011,nCURSO,DATOS!$D15011,nESPEC,DATOS!$E15011,nASIG,DATOS!$I15011,nEVAL,"OR")=0))</f>
      </c>
      <c r="I15011">
        <f>IF(DATOS!$I15011="","",IFERROR(VLOOKUP(DATOS!$I15011,CONFIG_ASIGNATURAS!$B$2:$J$91,9,FALSE()),""))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IF(DATOS!$A15012="",0,IF(CONFIG_METADATA!$B$4&lt;&gt;"OR+EX",--(DATOS!$G15012=CONFIG_METADATA!$B$4),IF(DATOS!$G15012="EX",1,IF(DATOS!$G15012="OR",--(COUNTIFS(nNIA,DATOS!$A15012,nCURSO,DATOS!$D15012,nESPEC,DATOS!$E15012,nASIG,DATOS!$I15012,nEVAL,"EX")=0),0))))</f>
      </c>
      <c r="H15012">
        <f>IF(DATOS!$G15012&lt;&gt;"EX",0,--(COUNTIFS(nNIA,DATOS!$A15012,nCURSO,DATOS!$D15012,nESPEC,DATOS!$E15012,nASIG,DATOS!$I15012,nEVAL,"OR")=0))</f>
      </c>
      <c r="I15012">
        <f>IF(DATOS!$I15012="","",IFERROR(VLOOKUP(DATOS!$I15012,CONFIG_ASIGNATURAS!$B$2:$J$91,9,FALSE()),""))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IF(DATOS!$A15013="",0,IF(CONFIG_METADATA!$B$4&lt;&gt;"OR+EX",--(DATOS!$G15013=CONFIG_METADATA!$B$4),IF(DATOS!$G15013="EX",1,IF(DATOS!$G15013="OR",--(COUNTIFS(nNIA,DATOS!$A15013,nCURSO,DATOS!$D15013,nESPEC,DATOS!$E15013,nASIG,DATOS!$I15013,nEVAL,"EX")=0),0))))</f>
      </c>
      <c r="H15013">
        <f>IF(DATOS!$G15013&lt;&gt;"EX",0,--(COUNTIFS(nNIA,DATOS!$A15013,nCURSO,DATOS!$D15013,nESPEC,DATOS!$E15013,nASIG,DATOS!$I15013,nEVAL,"OR")=0))</f>
      </c>
      <c r="I15013">
        <f>IF(DATOS!$I15013="","",IFERROR(VLOOKUP(DATOS!$I15013,CONFIG_ASIGNATURAS!$B$2:$J$91,9,FALSE()),""))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IF(DATOS!$A15014="",0,IF(CONFIG_METADATA!$B$4&lt;&gt;"OR+EX",--(DATOS!$G15014=CONFIG_METADATA!$B$4),IF(DATOS!$G15014="EX",1,IF(DATOS!$G15014="OR",--(COUNTIFS(nNIA,DATOS!$A15014,nCURSO,DATOS!$D15014,nESPEC,DATOS!$E15014,nASIG,DATOS!$I15014,nEVAL,"EX")=0),0))))</f>
      </c>
      <c r="H15014">
        <f>IF(DATOS!$G15014&lt;&gt;"EX",0,--(COUNTIFS(nNIA,DATOS!$A15014,nCURSO,DATOS!$D15014,nESPEC,DATOS!$E15014,nASIG,DATOS!$I15014,nEVAL,"OR")=0))</f>
      </c>
      <c r="I15014">
        <f>IF(DATOS!$I15014="","",IFERROR(VLOOKUP(DATOS!$I15014,CONFIG_ASIGNATURAS!$B$2:$J$91,9,FALSE()),""))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IF(DATOS!$A15015="",0,IF(CONFIG_METADATA!$B$4&lt;&gt;"OR+EX",--(DATOS!$G15015=CONFIG_METADATA!$B$4),IF(DATOS!$G15015="EX",1,IF(DATOS!$G15015="OR",--(COUNTIFS(nNIA,DATOS!$A15015,nCURSO,DATOS!$D15015,nESPEC,DATOS!$E15015,nASIG,DATOS!$I15015,nEVAL,"EX")=0),0))))</f>
      </c>
      <c r="H15015">
        <f>IF(DATOS!$G15015&lt;&gt;"EX",0,--(COUNTIFS(nNIA,DATOS!$A15015,nCURSO,DATOS!$D15015,nESPEC,DATOS!$E15015,nASIG,DATOS!$I15015,nEVAL,"OR")=0))</f>
      </c>
      <c r="I15015">
        <f>IF(DATOS!$I15015="","",IFERROR(VLOOKUP(DATOS!$I15015,CONFIG_ASIGNATURAS!$B$2:$J$91,9,FALSE()),""))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IF(DATOS!$A15016="",0,IF(CONFIG_METADATA!$B$4&lt;&gt;"OR+EX",--(DATOS!$G15016=CONFIG_METADATA!$B$4),IF(DATOS!$G15016="EX",1,IF(DATOS!$G15016="OR",--(COUNTIFS(nNIA,DATOS!$A15016,nCURSO,DATOS!$D15016,nESPEC,DATOS!$E15016,nASIG,DATOS!$I15016,nEVAL,"EX")=0),0))))</f>
      </c>
      <c r="H15016">
        <f>IF(DATOS!$G15016&lt;&gt;"EX",0,--(COUNTIFS(nNIA,DATOS!$A15016,nCURSO,DATOS!$D15016,nESPEC,DATOS!$E15016,nASIG,DATOS!$I15016,nEVAL,"OR")=0))</f>
      </c>
      <c r="I15016">
        <f>IF(DATOS!$I15016="","",IFERROR(VLOOKUP(DATOS!$I15016,CONFIG_ASIGNATURAS!$B$2:$J$91,9,FALSE()),""))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IF(DATOS!$A15017="",0,IF(CONFIG_METADATA!$B$4&lt;&gt;"OR+EX",--(DATOS!$G15017=CONFIG_METADATA!$B$4),IF(DATOS!$G15017="EX",1,IF(DATOS!$G15017="OR",--(COUNTIFS(nNIA,DATOS!$A15017,nCURSO,DATOS!$D15017,nESPEC,DATOS!$E15017,nASIG,DATOS!$I15017,nEVAL,"EX")=0),0))))</f>
      </c>
      <c r="H15017">
        <f>IF(DATOS!$G15017&lt;&gt;"EX",0,--(COUNTIFS(nNIA,DATOS!$A15017,nCURSO,DATOS!$D15017,nESPEC,DATOS!$E15017,nASIG,DATOS!$I15017,nEVAL,"OR")=0))</f>
      </c>
      <c r="I15017">
        <f>IF(DATOS!$I15017="","",IFERROR(VLOOKUP(DATOS!$I15017,CONFIG_ASIGNATURAS!$B$2:$J$91,9,FALSE()),""))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IF(DATOS!$A15018="",0,IF(CONFIG_METADATA!$B$4&lt;&gt;"OR+EX",--(DATOS!$G15018=CONFIG_METADATA!$B$4),IF(DATOS!$G15018="EX",1,IF(DATOS!$G15018="OR",--(COUNTIFS(nNIA,DATOS!$A15018,nCURSO,DATOS!$D15018,nESPEC,DATOS!$E15018,nASIG,DATOS!$I15018,nEVAL,"EX")=0),0))))</f>
      </c>
      <c r="H15018">
        <f>IF(DATOS!$G15018&lt;&gt;"EX",0,--(COUNTIFS(nNIA,DATOS!$A15018,nCURSO,DATOS!$D15018,nESPEC,DATOS!$E15018,nASIG,DATOS!$I15018,nEVAL,"OR")=0))</f>
      </c>
      <c r="I15018">
        <f>IF(DATOS!$I15018="","",IFERROR(VLOOKUP(DATOS!$I15018,CONFIG_ASIGNATURAS!$B$2:$J$91,9,FALSE()),""))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IF(DATOS!$A15019="",0,IF(CONFIG_METADATA!$B$4&lt;&gt;"OR+EX",--(DATOS!$G15019=CONFIG_METADATA!$B$4),IF(DATOS!$G15019="EX",1,IF(DATOS!$G15019="OR",--(COUNTIFS(nNIA,DATOS!$A15019,nCURSO,DATOS!$D15019,nESPEC,DATOS!$E15019,nASIG,DATOS!$I15019,nEVAL,"EX")=0),0))))</f>
      </c>
      <c r="H15019">
        <f>IF(DATOS!$G15019&lt;&gt;"EX",0,--(COUNTIFS(nNIA,DATOS!$A15019,nCURSO,DATOS!$D15019,nESPEC,DATOS!$E15019,nASIG,DATOS!$I15019,nEVAL,"OR")=0))</f>
      </c>
      <c r="I15019">
        <f>IF(DATOS!$I15019="","",IFERROR(VLOOKUP(DATOS!$I15019,CONFIG_ASIGNATURAS!$B$2:$J$91,9,FALSE()),""))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IF(DATOS!$A15020="",0,IF(CONFIG_METADATA!$B$4&lt;&gt;"OR+EX",--(DATOS!$G15020=CONFIG_METADATA!$B$4),IF(DATOS!$G15020="EX",1,IF(DATOS!$G15020="OR",--(COUNTIFS(nNIA,DATOS!$A15020,nCURSO,DATOS!$D15020,nESPEC,DATOS!$E15020,nASIG,DATOS!$I15020,nEVAL,"EX")=0),0))))</f>
      </c>
      <c r="H15020">
        <f>IF(DATOS!$G15020&lt;&gt;"EX",0,--(COUNTIFS(nNIA,DATOS!$A15020,nCURSO,DATOS!$D15020,nESPEC,DATOS!$E15020,nASIG,DATOS!$I15020,nEVAL,"OR")=0))</f>
      </c>
      <c r="I15020">
        <f>IF(DATOS!$I15020="","",IFERROR(VLOOKUP(DATOS!$I15020,CONFIG_ASIGNATURAS!$B$2:$J$91,9,FALSE()),""))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IF(DATOS!$A15021="",0,IF(CONFIG_METADATA!$B$4&lt;&gt;"OR+EX",--(DATOS!$G15021=CONFIG_METADATA!$B$4),IF(DATOS!$G15021="EX",1,IF(DATOS!$G15021="OR",--(COUNTIFS(nNIA,DATOS!$A15021,nCURSO,DATOS!$D15021,nESPEC,DATOS!$E15021,nASIG,DATOS!$I15021,nEVAL,"EX")=0),0))))</f>
      </c>
      <c r="H15021">
        <f>IF(DATOS!$G15021&lt;&gt;"EX",0,--(COUNTIFS(nNIA,DATOS!$A15021,nCURSO,DATOS!$D15021,nESPEC,DATOS!$E15021,nASIG,DATOS!$I15021,nEVAL,"OR")=0))</f>
      </c>
      <c r="I15021">
        <f>IF(DATOS!$I15021="","",IFERROR(VLOOKUP(DATOS!$I15021,CONFIG_ASIGNATURAS!$B$2:$J$91,9,FALSE()),""))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IF(DATOS!$A15022="",0,IF(CONFIG_METADATA!$B$4&lt;&gt;"OR+EX",--(DATOS!$G15022=CONFIG_METADATA!$B$4),IF(DATOS!$G15022="EX",1,IF(DATOS!$G15022="OR",--(COUNTIFS(nNIA,DATOS!$A15022,nCURSO,DATOS!$D15022,nESPEC,DATOS!$E15022,nASIG,DATOS!$I15022,nEVAL,"EX")=0),0))))</f>
      </c>
      <c r="H15022">
        <f>IF(DATOS!$G15022&lt;&gt;"EX",0,--(COUNTIFS(nNIA,DATOS!$A15022,nCURSO,DATOS!$D15022,nESPEC,DATOS!$E15022,nASIG,DATOS!$I15022,nEVAL,"OR")=0))</f>
      </c>
      <c r="I15022">
        <f>IF(DATOS!$I15022="","",IFERROR(VLOOKUP(DATOS!$I15022,CONFIG_ASIGNATURAS!$B$2:$J$91,9,FALSE()),""))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IF(DATOS!$A15023="",0,IF(CONFIG_METADATA!$B$4&lt;&gt;"OR+EX",--(DATOS!$G15023=CONFIG_METADATA!$B$4),IF(DATOS!$G15023="EX",1,IF(DATOS!$G15023="OR",--(COUNTIFS(nNIA,DATOS!$A15023,nCURSO,DATOS!$D15023,nESPEC,DATOS!$E15023,nASIG,DATOS!$I15023,nEVAL,"EX")=0),0))))</f>
      </c>
      <c r="H15023">
        <f>IF(DATOS!$G15023&lt;&gt;"EX",0,--(COUNTIFS(nNIA,DATOS!$A15023,nCURSO,DATOS!$D15023,nESPEC,DATOS!$E15023,nASIG,DATOS!$I15023,nEVAL,"OR")=0))</f>
      </c>
      <c r="I15023">
        <f>IF(DATOS!$I15023="","",IFERROR(VLOOKUP(DATOS!$I15023,CONFIG_ASIGNATURAS!$B$2:$J$91,9,FALSE()),""))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IF(DATOS!$A15024="",0,IF(CONFIG_METADATA!$B$4&lt;&gt;"OR+EX",--(DATOS!$G15024=CONFIG_METADATA!$B$4),IF(DATOS!$G15024="EX",1,IF(DATOS!$G15024="OR",--(COUNTIFS(nNIA,DATOS!$A15024,nCURSO,DATOS!$D15024,nESPEC,DATOS!$E15024,nASIG,DATOS!$I15024,nEVAL,"EX")=0),0))))</f>
      </c>
      <c r="H15024">
        <f>IF(DATOS!$G15024&lt;&gt;"EX",0,--(COUNTIFS(nNIA,DATOS!$A15024,nCURSO,DATOS!$D15024,nESPEC,DATOS!$E15024,nASIG,DATOS!$I15024,nEVAL,"OR")=0))</f>
      </c>
      <c r="I15024">
        <f>IF(DATOS!$I15024="","",IFERROR(VLOOKUP(DATOS!$I15024,CONFIG_ASIGNATURAS!$B$2:$J$91,9,FALSE()),""))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IF(DATOS!$A15025="",0,IF(CONFIG_METADATA!$B$4&lt;&gt;"OR+EX",--(DATOS!$G15025=CONFIG_METADATA!$B$4),IF(DATOS!$G15025="EX",1,IF(DATOS!$G15025="OR",--(COUNTIFS(nNIA,DATOS!$A15025,nCURSO,DATOS!$D15025,nESPEC,DATOS!$E15025,nASIG,DATOS!$I15025,nEVAL,"EX")=0),0))))</f>
      </c>
      <c r="H15025">
        <f>IF(DATOS!$G15025&lt;&gt;"EX",0,--(COUNTIFS(nNIA,DATOS!$A15025,nCURSO,DATOS!$D15025,nESPEC,DATOS!$E15025,nASIG,DATOS!$I15025,nEVAL,"OR")=0))</f>
      </c>
      <c r="I15025">
        <f>IF(DATOS!$I15025="","",IFERROR(VLOOKUP(DATOS!$I15025,CONFIG_ASIGNATURAS!$B$2:$J$91,9,FALSE()),""))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IF(DATOS!$A15026="",0,IF(CONFIG_METADATA!$B$4&lt;&gt;"OR+EX",--(DATOS!$G15026=CONFIG_METADATA!$B$4),IF(DATOS!$G15026="EX",1,IF(DATOS!$G15026="OR",--(COUNTIFS(nNIA,DATOS!$A15026,nCURSO,DATOS!$D15026,nESPEC,DATOS!$E15026,nASIG,DATOS!$I15026,nEVAL,"EX")=0),0))))</f>
      </c>
      <c r="H15026">
        <f>IF(DATOS!$G15026&lt;&gt;"EX",0,--(COUNTIFS(nNIA,DATOS!$A15026,nCURSO,DATOS!$D15026,nESPEC,DATOS!$E15026,nASIG,DATOS!$I15026,nEVAL,"OR")=0))</f>
      </c>
      <c r="I15026">
        <f>IF(DATOS!$I15026="","",IFERROR(VLOOKUP(DATOS!$I15026,CONFIG_ASIGNATURAS!$B$2:$J$91,9,FALSE()),""))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IF(DATOS!$A15027="",0,IF(CONFIG_METADATA!$B$4&lt;&gt;"OR+EX",--(DATOS!$G15027=CONFIG_METADATA!$B$4),IF(DATOS!$G15027="EX",1,IF(DATOS!$G15027="OR",--(COUNTIFS(nNIA,DATOS!$A15027,nCURSO,DATOS!$D15027,nESPEC,DATOS!$E15027,nASIG,DATOS!$I15027,nEVAL,"EX")=0),0))))</f>
      </c>
      <c r="H15027">
        <f>IF(DATOS!$G15027&lt;&gt;"EX",0,--(COUNTIFS(nNIA,DATOS!$A15027,nCURSO,DATOS!$D15027,nESPEC,DATOS!$E15027,nASIG,DATOS!$I15027,nEVAL,"OR")=0))</f>
      </c>
      <c r="I15027">
        <f>IF(DATOS!$I15027="","",IFERROR(VLOOKUP(DATOS!$I15027,CONFIG_ASIGNATURAS!$B$2:$J$91,9,FALSE()),""))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IF(DATOS!$A15028="",0,IF(CONFIG_METADATA!$B$4&lt;&gt;"OR+EX",--(DATOS!$G15028=CONFIG_METADATA!$B$4),IF(DATOS!$G15028="EX",1,IF(DATOS!$G15028="OR",--(COUNTIFS(nNIA,DATOS!$A15028,nCURSO,DATOS!$D15028,nESPEC,DATOS!$E15028,nASIG,DATOS!$I15028,nEVAL,"EX")=0),0))))</f>
      </c>
      <c r="H15028">
        <f>IF(DATOS!$G15028&lt;&gt;"EX",0,--(COUNTIFS(nNIA,DATOS!$A15028,nCURSO,DATOS!$D15028,nESPEC,DATOS!$E15028,nASIG,DATOS!$I15028,nEVAL,"OR")=0))</f>
      </c>
      <c r="I15028">
        <f>IF(DATOS!$I15028="","",IFERROR(VLOOKUP(DATOS!$I15028,CONFIG_ASIGNATURAS!$B$2:$J$91,9,FALSE()),""))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IF(DATOS!$A15029="",0,IF(CONFIG_METADATA!$B$4&lt;&gt;"OR+EX",--(DATOS!$G15029=CONFIG_METADATA!$B$4),IF(DATOS!$G15029="EX",1,IF(DATOS!$G15029="OR",--(COUNTIFS(nNIA,DATOS!$A15029,nCURSO,DATOS!$D15029,nESPEC,DATOS!$E15029,nASIG,DATOS!$I15029,nEVAL,"EX")=0),0))))</f>
      </c>
      <c r="H15029">
        <f>IF(DATOS!$G15029&lt;&gt;"EX",0,--(COUNTIFS(nNIA,DATOS!$A15029,nCURSO,DATOS!$D15029,nESPEC,DATOS!$E15029,nASIG,DATOS!$I15029,nEVAL,"OR")=0))</f>
      </c>
      <c r="I15029">
        <f>IF(DATOS!$I15029="","",IFERROR(VLOOKUP(DATOS!$I15029,CONFIG_ASIGNATURAS!$B$2:$J$91,9,FALSE()),""))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IF(DATOS!$A15030="",0,IF(CONFIG_METADATA!$B$4&lt;&gt;"OR+EX",--(DATOS!$G15030=CONFIG_METADATA!$B$4),IF(DATOS!$G15030="EX",1,IF(DATOS!$G15030="OR",--(COUNTIFS(nNIA,DATOS!$A15030,nCURSO,DATOS!$D15030,nESPEC,DATOS!$E15030,nASIG,DATOS!$I15030,nEVAL,"EX")=0),0))))</f>
      </c>
      <c r="H15030">
        <f>IF(DATOS!$G15030&lt;&gt;"EX",0,--(COUNTIFS(nNIA,DATOS!$A15030,nCURSO,DATOS!$D15030,nESPEC,DATOS!$E15030,nASIG,DATOS!$I15030,nEVAL,"OR")=0))</f>
      </c>
      <c r="I15030">
        <f>IF(DATOS!$I15030="","",IFERROR(VLOOKUP(DATOS!$I15030,CONFIG_ASIGNATURAS!$B$2:$J$91,9,FALSE()),""))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IF(DATOS!$A15031="",0,IF(CONFIG_METADATA!$B$4&lt;&gt;"OR+EX",--(DATOS!$G15031=CONFIG_METADATA!$B$4),IF(DATOS!$G15031="EX",1,IF(DATOS!$G15031="OR",--(COUNTIFS(nNIA,DATOS!$A15031,nCURSO,DATOS!$D15031,nESPEC,DATOS!$E15031,nASIG,DATOS!$I15031,nEVAL,"EX")=0),0))))</f>
      </c>
      <c r="H15031">
        <f>IF(DATOS!$G15031&lt;&gt;"EX",0,--(COUNTIFS(nNIA,DATOS!$A15031,nCURSO,DATOS!$D15031,nESPEC,DATOS!$E15031,nASIG,DATOS!$I15031,nEVAL,"OR")=0))</f>
      </c>
      <c r="I15031">
        <f>IF(DATOS!$I15031="","",IFERROR(VLOOKUP(DATOS!$I15031,CONFIG_ASIGNATURAS!$B$2:$J$91,9,FALSE()),""))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IF(DATOS!$A15032="",0,IF(CONFIG_METADATA!$B$4&lt;&gt;"OR+EX",--(DATOS!$G15032=CONFIG_METADATA!$B$4),IF(DATOS!$G15032="EX",1,IF(DATOS!$G15032="OR",--(COUNTIFS(nNIA,DATOS!$A15032,nCURSO,DATOS!$D15032,nESPEC,DATOS!$E15032,nASIG,DATOS!$I15032,nEVAL,"EX")=0),0))))</f>
      </c>
      <c r="H15032">
        <f>IF(DATOS!$G15032&lt;&gt;"EX",0,--(COUNTIFS(nNIA,DATOS!$A15032,nCURSO,DATOS!$D15032,nESPEC,DATOS!$E15032,nASIG,DATOS!$I15032,nEVAL,"OR")=0))</f>
      </c>
      <c r="I15032">
        <f>IF(DATOS!$I15032="","",IFERROR(VLOOKUP(DATOS!$I15032,CONFIG_ASIGNATURAS!$B$2:$J$91,9,FALSE()),""))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IF(DATOS!$A15033="",0,IF(CONFIG_METADATA!$B$4&lt;&gt;"OR+EX",--(DATOS!$G15033=CONFIG_METADATA!$B$4),IF(DATOS!$G15033="EX",1,IF(DATOS!$G15033="OR",--(COUNTIFS(nNIA,DATOS!$A15033,nCURSO,DATOS!$D15033,nESPEC,DATOS!$E15033,nASIG,DATOS!$I15033,nEVAL,"EX")=0),0))))</f>
      </c>
      <c r="H15033">
        <f>IF(DATOS!$G15033&lt;&gt;"EX",0,--(COUNTIFS(nNIA,DATOS!$A15033,nCURSO,DATOS!$D15033,nESPEC,DATOS!$E15033,nASIG,DATOS!$I15033,nEVAL,"OR")=0))</f>
      </c>
      <c r="I15033">
        <f>IF(DATOS!$I15033="","",IFERROR(VLOOKUP(DATOS!$I15033,CONFIG_ASIGNATURAS!$B$2:$J$91,9,FALSE()),""))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IF(DATOS!$A15034="",0,IF(CONFIG_METADATA!$B$4&lt;&gt;"OR+EX",--(DATOS!$G15034=CONFIG_METADATA!$B$4),IF(DATOS!$G15034="EX",1,IF(DATOS!$G15034="OR",--(COUNTIFS(nNIA,DATOS!$A15034,nCURSO,DATOS!$D15034,nESPEC,DATOS!$E15034,nASIG,DATOS!$I15034,nEVAL,"EX")=0),0))))</f>
      </c>
      <c r="H15034">
        <f>IF(DATOS!$G15034&lt;&gt;"EX",0,--(COUNTIFS(nNIA,DATOS!$A15034,nCURSO,DATOS!$D15034,nESPEC,DATOS!$E15034,nASIG,DATOS!$I15034,nEVAL,"OR")=0))</f>
      </c>
      <c r="I15034">
        <f>IF(DATOS!$I15034="","",IFERROR(VLOOKUP(DATOS!$I15034,CONFIG_ASIGNATURAS!$B$2:$J$91,9,FALSE()),""))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IF(DATOS!$A15035="",0,IF(CONFIG_METADATA!$B$4&lt;&gt;"OR+EX",--(DATOS!$G15035=CONFIG_METADATA!$B$4),IF(DATOS!$G15035="EX",1,IF(DATOS!$G15035="OR",--(COUNTIFS(nNIA,DATOS!$A15035,nCURSO,DATOS!$D15035,nESPEC,DATOS!$E15035,nASIG,DATOS!$I15035,nEVAL,"EX")=0),0))))</f>
      </c>
      <c r="H15035">
        <f>IF(DATOS!$G15035&lt;&gt;"EX",0,--(COUNTIFS(nNIA,DATOS!$A15035,nCURSO,DATOS!$D15035,nESPEC,DATOS!$E15035,nASIG,DATOS!$I15035,nEVAL,"OR")=0))</f>
      </c>
      <c r="I15035">
        <f>IF(DATOS!$I15035="","",IFERROR(VLOOKUP(DATOS!$I15035,CONFIG_ASIGNATURAS!$B$2:$J$91,9,FALSE()),""))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IF(DATOS!$A15036="",0,IF(CONFIG_METADATA!$B$4&lt;&gt;"OR+EX",--(DATOS!$G15036=CONFIG_METADATA!$B$4),IF(DATOS!$G15036="EX",1,IF(DATOS!$G15036="OR",--(COUNTIFS(nNIA,DATOS!$A15036,nCURSO,DATOS!$D15036,nESPEC,DATOS!$E15036,nASIG,DATOS!$I15036,nEVAL,"EX")=0),0))))</f>
      </c>
      <c r="H15036">
        <f>IF(DATOS!$G15036&lt;&gt;"EX",0,--(COUNTIFS(nNIA,DATOS!$A15036,nCURSO,DATOS!$D15036,nESPEC,DATOS!$E15036,nASIG,DATOS!$I15036,nEVAL,"OR")=0))</f>
      </c>
      <c r="I15036">
        <f>IF(DATOS!$I15036="","",IFERROR(VLOOKUP(DATOS!$I15036,CONFIG_ASIGNATURAS!$B$2:$J$91,9,FALSE()),""))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IF(DATOS!$A15037="",0,IF(CONFIG_METADATA!$B$4&lt;&gt;"OR+EX",--(DATOS!$G15037=CONFIG_METADATA!$B$4),IF(DATOS!$G15037="EX",1,IF(DATOS!$G15037="OR",--(COUNTIFS(nNIA,DATOS!$A15037,nCURSO,DATOS!$D15037,nESPEC,DATOS!$E15037,nASIG,DATOS!$I15037,nEVAL,"EX")=0),0))))</f>
      </c>
      <c r="H15037">
        <f>IF(DATOS!$G15037&lt;&gt;"EX",0,--(COUNTIFS(nNIA,DATOS!$A15037,nCURSO,DATOS!$D15037,nESPEC,DATOS!$E15037,nASIG,DATOS!$I15037,nEVAL,"OR")=0))</f>
      </c>
      <c r="I15037">
        <f>IF(DATOS!$I15037="","",IFERROR(VLOOKUP(DATOS!$I15037,CONFIG_ASIGNATURAS!$B$2:$J$91,9,FALSE()),""))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IF(DATOS!$A15038="",0,IF(CONFIG_METADATA!$B$4&lt;&gt;"OR+EX",--(DATOS!$G15038=CONFIG_METADATA!$B$4),IF(DATOS!$G15038="EX",1,IF(DATOS!$G15038="OR",--(COUNTIFS(nNIA,DATOS!$A15038,nCURSO,DATOS!$D15038,nESPEC,DATOS!$E15038,nASIG,DATOS!$I15038,nEVAL,"EX")=0),0))))</f>
      </c>
      <c r="H15038">
        <f>IF(DATOS!$G15038&lt;&gt;"EX",0,--(COUNTIFS(nNIA,DATOS!$A15038,nCURSO,DATOS!$D15038,nESPEC,DATOS!$E15038,nASIG,DATOS!$I15038,nEVAL,"OR")=0))</f>
      </c>
      <c r="I15038">
        <f>IF(DATOS!$I15038="","",IFERROR(VLOOKUP(DATOS!$I15038,CONFIG_ASIGNATURAS!$B$2:$J$91,9,FALSE()),""))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IF(DATOS!$A15039="",0,IF(CONFIG_METADATA!$B$4&lt;&gt;"OR+EX",--(DATOS!$G15039=CONFIG_METADATA!$B$4),IF(DATOS!$G15039="EX",1,IF(DATOS!$G15039="OR",--(COUNTIFS(nNIA,DATOS!$A15039,nCURSO,DATOS!$D15039,nESPEC,DATOS!$E15039,nASIG,DATOS!$I15039,nEVAL,"EX")=0),0))))</f>
      </c>
      <c r="H15039">
        <f>IF(DATOS!$G15039&lt;&gt;"EX",0,--(COUNTIFS(nNIA,DATOS!$A15039,nCURSO,DATOS!$D15039,nESPEC,DATOS!$E15039,nASIG,DATOS!$I15039,nEVAL,"OR")=0))</f>
      </c>
      <c r="I15039">
        <f>IF(DATOS!$I15039="","",IFERROR(VLOOKUP(DATOS!$I15039,CONFIG_ASIGNATURAS!$B$2:$J$91,9,FALSE()),""))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IF(DATOS!$A15040="",0,IF(CONFIG_METADATA!$B$4&lt;&gt;"OR+EX",--(DATOS!$G15040=CONFIG_METADATA!$B$4),IF(DATOS!$G15040="EX",1,IF(DATOS!$G15040="OR",--(COUNTIFS(nNIA,DATOS!$A15040,nCURSO,DATOS!$D15040,nESPEC,DATOS!$E15040,nASIG,DATOS!$I15040,nEVAL,"EX")=0),0))))</f>
      </c>
      <c r="H15040">
        <f>IF(DATOS!$G15040&lt;&gt;"EX",0,--(COUNTIFS(nNIA,DATOS!$A15040,nCURSO,DATOS!$D15040,nESPEC,DATOS!$E15040,nASIG,DATOS!$I15040,nEVAL,"OR")=0))</f>
      </c>
      <c r="I15040">
        <f>IF(DATOS!$I15040="","",IFERROR(VLOOKUP(DATOS!$I15040,CONFIG_ASIGNATURAS!$B$2:$J$91,9,FALSE()),""))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IF(DATOS!$A15041="",0,IF(CONFIG_METADATA!$B$4&lt;&gt;"OR+EX",--(DATOS!$G15041=CONFIG_METADATA!$B$4),IF(DATOS!$G15041="EX",1,IF(DATOS!$G15041="OR",--(COUNTIFS(nNIA,DATOS!$A15041,nCURSO,DATOS!$D15041,nESPEC,DATOS!$E15041,nASIG,DATOS!$I15041,nEVAL,"EX")=0),0))))</f>
      </c>
      <c r="H15041">
        <f>IF(DATOS!$G15041&lt;&gt;"EX",0,--(COUNTIFS(nNIA,DATOS!$A15041,nCURSO,DATOS!$D15041,nESPEC,DATOS!$E15041,nASIG,DATOS!$I15041,nEVAL,"OR")=0))</f>
      </c>
      <c r="I15041">
        <f>IF(DATOS!$I15041="","",IFERROR(VLOOKUP(DATOS!$I15041,CONFIG_ASIGNATURAS!$B$2:$J$91,9,FALSE()),""))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IF(DATOS!$A15042="",0,IF(CONFIG_METADATA!$B$4&lt;&gt;"OR+EX",--(DATOS!$G15042=CONFIG_METADATA!$B$4),IF(DATOS!$G15042="EX",1,IF(DATOS!$G15042="OR",--(COUNTIFS(nNIA,DATOS!$A15042,nCURSO,DATOS!$D15042,nESPEC,DATOS!$E15042,nASIG,DATOS!$I15042,nEVAL,"EX")=0),0))))</f>
      </c>
      <c r="H15042">
        <f>IF(DATOS!$G15042&lt;&gt;"EX",0,--(COUNTIFS(nNIA,DATOS!$A15042,nCURSO,DATOS!$D15042,nESPEC,DATOS!$E15042,nASIG,DATOS!$I15042,nEVAL,"OR")=0))</f>
      </c>
      <c r="I15042">
        <f>IF(DATOS!$I15042="","",IFERROR(VLOOKUP(DATOS!$I15042,CONFIG_ASIGNATURAS!$B$2:$J$91,9,FALSE()),""))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IF(DATOS!$A15043="",0,IF(CONFIG_METADATA!$B$4&lt;&gt;"OR+EX",--(DATOS!$G15043=CONFIG_METADATA!$B$4),IF(DATOS!$G15043="EX",1,IF(DATOS!$G15043="OR",--(COUNTIFS(nNIA,DATOS!$A15043,nCURSO,DATOS!$D15043,nESPEC,DATOS!$E15043,nASIG,DATOS!$I15043,nEVAL,"EX")=0),0))))</f>
      </c>
      <c r="H15043">
        <f>IF(DATOS!$G15043&lt;&gt;"EX",0,--(COUNTIFS(nNIA,DATOS!$A15043,nCURSO,DATOS!$D15043,nESPEC,DATOS!$E15043,nASIG,DATOS!$I15043,nEVAL,"OR")=0))</f>
      </c>
      <c r="I15043">
        <f>IF(DATOS!$I15043="","",IFERROR(VLOOKUP(DATOS!$I15043,CONFIG_ASIGNATURAS!$B$2:$J$91,9,FALSE()),""))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IF(DATOS!$A15044="",0,IF(CONFIG_METADATA!$B$4&lt;&gt;"OR+EX",--(DATOS!$G15044=CONFIG_METADATA!$B$4),IF(DATOS!$G15044="EX",1,IF(DATOS!$G15044="OR",--(COUNTIFS(nNIA,DATOS!$A15044,nCURSO,DATOS!$D15044,nESPEC,DATOS!$E15044,nASIG,DATOS!$I15044,nEVAL,"EX")=0),0))))</f>
      </c>
      <c r="H15044">
        <f>IF(DATOS!$G15044&lt;&gt;"EX",0,--(COUNTIFS(nNIA,DATOS!$A15044,nCURSO,DATOS!$D15044,nESPEC,DATOS!$E15044,nASIG,DATOS!$I15044,nEVAL,"OR")=0))</f>
      </c>
      <c r="I15044">
        <f>IF(DATOS!$I15044="","",IFERROR(VLOOKUP(DATOS!$I15044,CONFIG_ASIGNATURAS!$B$2:$J$91,9,FALSE()),""))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IF(DATOS!$A15045="",0,IF(CONFIG_METADATA!$B$4&lt;&gt;"OR+EX",--(DATOS!$G15045=CONFIG_METADATA!$B$4),IF(DATOS!$G15045="EX",1,IF(DATOS!$G15045="OR",--(COUNTIFS(nNIA,DATOS!$A15045,nCURSO,DATOS!$D15045,nESPEC,DATOS!$E15045,nASIG,DATOS!$I15045,nEVAL,"EX")=0),0))))</f>
      </c>
      <c r="H15045">
        <f>IF(DATOS!$G15045&lt;&gt;"EX",0,--(COUNTIFS(nNIA,DATOS!$A15045,nCURSO,DATOS!$D15045,nESPEC,DATOS!$E15045,nASIG,DATOS!$I15045,nEVAL,"OR")=0))</f>
      </c>
      <c r="I15045">
        <f>IF(DATOS!$I15045="","",IFERROR(VLOOKUP(DATOS!$I15045,CONFIG_ASIGNATURAS!$B$2:$J$91,9,FALSE()),""))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IF(DATOS!$A15046="",0,IF(CONFIG_METADATA!$B$4&lt;&gt;"OR+EX",--(DATOS!$G15046=CONFIG_METADATA!$B$4),IF(DATOS!$G15046="EX",1,IF(DATOS!$G15046="OR",--(COUNTIFS(nNIA,DATOS!$A15046,nCURSO,DATOS!$D15046,nESPEC,DATOS!$E15046,nASIG,DATOS!$I15046,nEVAL,"EX")=0),0))))</f>
      </c>
      <c r="H15046">
        <f>IF(DATOS!$G15046&lt;&gt;"EX",0,--(COUNTIFS(nNIA,DATOS!$A15046,nCURSO,DATOS!$D15046,nESPEC,DATOS!$E15046,nASIG,DATOS!$I15046,nEVAL,"OR")=0))</f>
      </c>
      <c r="I15046">
        <f>IF(DATOS!$I15046="","",IFERROR(VLOOKUP(DATOS!$I15046,CONFIG_ASIGNATURAS!$B$2:$J$91,9,FALSE()),""))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IF(DATOS!$A15047="",0,IF(CONFIG_METADATA!$B$4&lt;&gt;"OR+EX",--(DATOS!$G15047=CONFIG_METADATA!$B$4),IF(DATOS!$G15047="EX",1,IF(DATOS!$G15047="OR",--(COUNTIFS(nNIA,DATOS!$A15047,nCURSO,DATOS!$D15047,nESPEC,DATOS!$E15047,nASIG,DATOS!$I15047,nEVAL,"EX")=0),0))))</f>
      </c>
      <c r="H15047">
        <f>IF(DATOS!$G15047&lt;&gt;"EX",0,--(COUNTIFS(nNIA,DATOS!$A15047,nCURSO,DATOS!$D15047,nESPEC,DATOS!$E15047,nASIG,DATOS!$I15047,nEVAL,"OR")=0))</f>
      </c>
      <c r="I15047">
        <f>IF(DATOS!$I15047="","",IFERROR(VLOOKUP(DATOS!$I15047,CONFIG_ASIGNATURAS!$B$2:$J$91,9,FALSE()),""))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IF(DATOS!$A15048="",0,IF(CONFIG_METADATA!$B$4&lt;&gt;"OR+EX",--(DATOS!$G15048=CONFIG_METADATA!$B$4),IF(DATOS!$G15048="EX",1,IF(DATOS!$G15048="OR",--(COUNTIFS(nNIA,DATOS!$A15048,nCURSO,DATOS!$D15048,nESPEC,DATOS!$E15048,nASIG,DATOS!$I15048,nEVAL,"EX")=0),0))))</f>
      </c>
      <c r="H15048">
        <f>IF(DATOS!$G15048&lt;&gt;"EX",0,--(COUNTIFS(nNIA,DATOS!$A15048,nCURSO,DATOS!$D15048,nESPEC,DATOS!$E15048,nASIG,DATOS!$I15048,nEVAL,"OR")=0))</f>
      </c>
      <c r="I15048">
        <f>IF(DATOS!$I15048="","",IFERROR(VLOOKUP(DATOS!$I15048,CONFIG_ASIGNATURAS!$B$2:$J$91,9,FALSE()),""))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IF(DATOS!$A15049="",0,IF(CONFIG_METADATA!$B$4&lt;&gt;"OR+EX",--(DATOS!$G15049=CONFIG_METADATA!$B$4),IF(DATOS!$G15049="EX",1,IF(DATOS!$G15049="OR",--(COUNTIFS(nNIA,DATOS!$A15049,nCURSO,DATOS!$D15049,nESPEC,DATOS!$E15049,nASIG,DATOS!$I15049,nEVAL,"EX")=0),0))))</f>
      </c>
      <c r="H15049">
        <f>IF(DATOS!$G15049&lt;&gt;"EX",0,--(COUNTIFS(nNIA,DATOS!$A15049,nCURSO,DATOS!$D15049,nESPEC,DATOS!$E15049,nASIG,DATOS!$I15049,nEVAL,"OR")=0))</f>
      </c>
      <c r="I15049">
        <f>IF(DATOS!$I15049="","",IFERROR(VLOOKUP(DATOS!$I15049,CONFIG_ASIGNATURAS!$B$2:$J$91,9,FALSE()),""))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IF(DATOS!$A15050="",0,IF(CONFIG_METADATA!$B$4&lt;&gt;"OR+EX",--(DATOS!$G15050=CONFIG_METADATA!$B$4),IF(DATOS!$G15050="EX",1,IF(DATOS!$G15050="OR",--(COUNTIFS(nNIA,DATOS!$A15050,nCURSO,DATOS!$D15050,nESPEC,DATOS!$E15050,nASIG,DATOS!$I15050,nEVAL,"EX")=0),0))))</f>
      </c>
      <c r="H15050">
        <f>IF(DATOS!$G15050&lt;&gt;"EX",0,--(COUNTIFS(nNIA,DATOS!$A15050,nCURSO,DATOS!$D15050,nESPEC,DATOS!$E15050,nASIG,DATOS!$I15050,nEVAL,"OR")=0))</f>
      </c>
      <c r="I15050">
        <f>IF(DATOS!$I15050="","",IFERROR(VLOOKUP(DATOS!$I15050,CONFIG_ASIGNATURAS!$B$2:$J$91,9,FALSE()),""))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IF(DATOS!$A15051="",0,IF(CONFIG_METADATA!$B$4&lt;&gt;"OR+EX",--(DATOS!$G15051=CONFIG_METADATA!$B$4),IF(DATOS!$G15051="EX",1,IF(DATOS!$G15051="OR",--(COUNTIFS(nNIA,DATOS!$A15051,nCURSO,DATOS!$D15051,nESPEC,DATOS!$E15051,nASIG,DATOS!$I15051,nEVAL,"EX")=0),0))))</f>
      </c>
      <c r="H15051">
        <f>IF(DATOS!$G15051&lt;&gt;"EX",0,--(COUNTIFS(nNIA,DATOS!$A15051,nCURSO,DATOS!$D15051,nESPEC,DATOS!$E15051,nASIG,DATOS!$I15051,nEVAL,"OR")=0))</f>
      </c>
      <c r="I15051">
        <f>IF(DATOS!$I15051="","",IFERROR(VLOOKUP(DATOS!$I15051,CONFIG_ASIGNATURAS!$B$2:$J$91,9,FALSE()),""))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IF(DATOS!$A15052="",0,IF(CONFIG_METADATA!$B$4&lt;&gt;"OR+EX",--(DATOS!$G15052=CONFIG_METADATA!$B$4),IF(DATOS!$G15052="EX",1,IF(DATOS!$G15052="OR",--(COUNTIFS(nNIA,DATOS!$A15052,nCURSO,DATOS!$D15052,nESPEC,DATOS!$E15052,nASIG,DATOS!$I15052,nEVAL,"EX")=0),0))))</f>
      </c>
      <c r="H15052">
        <f>IF(DATOS!$G15052&lt;&gt;"EX",0,--(COUNTIFS(nNIA,DATOS!$A15052,nCURSO,DATOS!$D15052,nESPEC,DATOS!$E15052,nASIG,DATOS!$I15052,nEVAL,"OR")=0))</f>
      </c>
      <c r="I15052">
        <f>IF(DATOS!$I15052="","",IFERROR(VLOOKUP(DATOS!$I15052,CONFIG_ASIGNATURAS!$B$2:$J$91,9,FALSE()),""))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IF(DATOS!$A15053="",0,IF(CONFIG_METADATA!$B$4&lt;&gt;"OR+EX",--(DATOS!$G15053=CONFIG_METADATA!$B$4),IF(DATOS!$G15053="EX",1,IF(DATOS!$G15053="OR",--(COUNTIFS(nNIA,DATOS!$A15053,nCURSO,DATOS!$D15053,nESPEC,DATOS!$E15053,nASIG,DATOS!$I15053,nEVAL,"EX")=0),0))))</f>
      </c>
      <c r="H15053">
        <f>IF(DATOS!$G15053&lt;&gt;"EX",0,--(COUNTIFS(nNIA,DATOS!$A15053,nCURSO,DATOS!$D15053,nESPEC,DATOS!$E15053,nASIG,DATOS!$I15053,nEVAL,"OR")=0))</f>
      </c>
      <c r="I15053">
        <f>IF(DATOS!$I15053="","",IFERROR(VLOOKUP(DATOS!$I15053,CONFIG_ASIGNATURAS!$B$2:$J$91,9,FALSE()),""))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IF(DATOS!$A15054="",0,IF(CONFIG_METADATA!$B$4&lt;&gt;"OR+EX",--(DATOS!$G15054=CONFIG_METADATA!$B$4),IF(DATOS!$G15054="EX",1,IF(DATOS!$G15054="OR",--(COUNTIFS(nNIA,DATOS!$A15054,nCURSO,DATOS!$D15054,nESPEC,DATOS!$E15054,nASIG,DATOS!$I15054,nEVAL,"EX")=0),0))))</f>
      </c>
      <c r="H15054">
        <f>IF(DATOS!$G15054&lt;&gt;"EX",0,--(COUNTIFS(nNIA,DATOS!$A15054,nCURSO,DATOS!$D15054,nESPEC,DATOS!$E15054,nASIG,DATOS!$I15054,nEVAL,"OR")=0))</f>
      </c>
      <c r="I15054">
        <f>IF(DATOS!$I15054="","",IFERROR(VLOOKUP(DATOS!$I15054,CONFIG_ASIGNATURAS!$B$2:$J$91,9,FALSE()),""))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IF(DATOS!$A15055="",0,IF(CONFIG_METADATA!$B$4&lt;&gt;"OR+EX",--(DATOS!$G15055=CONFIG_METADATA!$B$4),IF(DATOS!$G15055="EX",1,IF(DATOS!$G15055="OR",--(COUNTIFS(nNIA,DATOS!$A15055,nCURSO,DATOS!$D15055,nESPEC,DATOS!$E15055,nASIG,DATOS!$I15055,nEVAL,"EX")=0),0))))</f>
      </c>
      <c r="H15055">
        <f>IF(DATOS!$G15055&lt;&gt;"EX",0,--(COUNTIFS(nNIA,DATOS!$A15055,nCURSO,DATOS!$D15055,nESPEC,DATOS!$E15055,nASIG,DATOS!$I15055,nEVAL,"OR")=0))</f>
      </c>
      <c r="I15055">
        <f>IF(DATOS!$I15055="","",IFERROR(VLOOKUP(DATOS!$I15055,CONFIG_ASIGNATURAS!$B$2:$J$91,9,FALSE()),""))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IF(DATOS!$A15056="",0,IF(CONFIG_METADATA!$B$4&lt;&gt;"OR+EX",--(DATOS!$G15056=CONFIG_METADATA!$B$4),IF(DATOS!$G15056="EX",1,IF(DATOS!$G15056="OR",--(COUNTIFS(nNIA,DATOS!$A15056,nCURSO,DATOS!$D15056,nESPEC,DATOS!$E15056,nASIG,DATOS!$I15056,nEVAL,"EX")=0),0))))</f>
      </c>
      <c r="H15056">
        <f>IF(DATOS!$G15056&lt;&gt;"EX",0,--(COUNTIFS(nNIA,DATOS!$A15056,nCURSO,DATOS!$D15056,nESPEC,DATOS!$E15056,nASIG,DATOS!$I15056,nEVAL,"OR")=0))</f>
      </c>
      <c r="I15056">
        <f>IF(DATOS!$I15056="","",IFERROR(VLOOKUP(DATOS!$I15056,CONFIG_ASIGNATURAS!$B$2:$J$91,9,FALSE()),""))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IF(DATOS!$A15057="",0,IF(CONFIG_METADATA!$B$4&lt;&gt;"OR+EX",--(DATOS!$G15057=CONFIG_METADATA!$B$4),IF(DATOS!$G15057="EX",1,IF(DATOS!$G15057="OR",--(COUNTIFS(nNIA,DATOS!$A15057,nCURSO,DATOS!$D15057,nESPEC,DATOS!$E15057,nASIG,DATOS!$I15057,nEVAL,"EX")=0),0))))</f>
      </c>
      <c r="H15057">
        <f>IF(DATOS!$G15057&lt;&gt;"EX",0,--(COUNTIFS(nNIA,DATOS!$A15057,nCURSO,DATOS!$D15057,nESPEC,DATOS!$E15057,nASIG,DATOS!$I15057,nEVAL,"OR")=0))</f>
      </c>
      <c r="I15057">
        <f>IF(DATOS!$I15057="","",IFERROR(VLOOKUP(DATOS!$I15057,CONFIG_ASIGNATURAS!$B$2:$J$91,9,FALSE()),""))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IF(DATOS!$A15058="",0,IF(CONFIG_METADATA!$B$4&lt;&gt;"OR+EX",--(DATOS!$G15058=CONFIG_METADATA!$B$4),IF(DATOS!$G15058="EX",1,IF(DATOS!$G15058="OR",--(COUNTIFS(nNIA,DATOS!$A15058,nCURSO,DATOS!$D15058,nESPEC,DATOS!$E15058,nASIG,DATOS!$I15058,nEVAL,"EX")=0),0))))</f>
      </c>
      <c r="H15058">
        <f>IF(DATOS!$G15058&lt;&gt;"EX",0,--(COUNTIFS(nNIA,DATOS!$A15058,nCURSO,DATOS!$D15058,nESPEC,DATOS!$E15058,nASIG,DATOS!$I15058,nEVAL,"OR")=0))</f>
      </c>
      <c r="I15058">
        <f>IF(DATOS!$I15058="","",IFERROR(VLOOKUP(DATOS!$I15058,CONFIG_ASIGNATURAS!$B$2:$J$91,9,FALSE()),""))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IF(DATOS!$A15059="",0,IF(CONFIG_METADATA!$B$4&lt;&gt;"OR+EX",--(DATOS!$G15059=CONFIG_METADATA!$B$4),IF(DATOS!$G15059="EX",1,IF(DATOS!$G15059="OR",--(COUNTIFS(nNIA,DATOS!$A15059,nCURSO,DATOS!$D15059,nESPEC,DATOS!$E15059,nASIG,DATOS!$I15059,nEVAL,"EX")=0),0))))</f>
      </c>
      <c r="H15059">
        <f>IF(DATOS!$G15059&lt;&gt;"EX",0,--(COUNTIFS(nNIA,DATOS!$A15059,nCURSO,DATOS!$D15059,nESPEC,DATOS!$E15059,nASIG,DATOS!$I15059,nEVAL,"OR")=0))</f>
      </c>
      <c r="I15059">
        <f>IF(DATOS!$I15059="","",IFERROR(VLOOKUP(DATOS!$I15059,CONFIG_ASIGNATURAS!$B$2:$J$91,9,FALSE()),""))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IF(DATOS!$A15060="",0,IF(CONFIG_METADATA!$B$4&lt;&gt;"OR+EX",--(DATOS!$G15060=CONFIG_METADATA!$B$4),IF(DATOS!$G15060="EX",1,IF(DATOS!$G15060="OR",--(COUNTIFS(nNIA,DATOS!$A15060,nCURSO,DATOS!$D15060,nESPEC,DATOS!$E15060,nASIG,DATOS!$I15060,nEVAL,"EX")=0),0))))</f>
      </c>
      <c r="H15060">
        <f>IF(DATOS!$G15060&lt;&gt;"EX",0,--(COUNTIFS(nNIA,DATOS!$A15060,nCURSO,DATOS!$D15060,nESPEC,DATOS!$E15060,nASIG,DATOS!$I15060,nEVAL,"OR")=0))</f>
      </c>
      <c r="I15060">
        <f>IF(DATOS!$I15060="","",IFERROR(VLOOKUP(DATOS!$I15060,CONFIG_ASIGNATURAS!$B$2:$J$91,9,FALSE()),""))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IF(DATOS!$A15061="",0,IF(CONFIG_METADATA!$B$4&lt;&gt;"OR+EX",--(DATOS!$G15061=CONFIG_METADATA!$B$4),IF(DATOS!$G15061="EX",1,IF(DATOS!$G15061="OR",--(COUNTIFS(nNIA,DATOS!$A15061,nCURSO,DATOS!$D15061,nESPEC,DATOS!$E15061,nASIG,DATOS!$I15061,nEVAL,"EX")=0),0))))</f>
      </c>
      <c r="H15061">
        <f>IF(DATOS!$G15061&lt;&gt;"EX",0,--(COUNTIFS(nNIA,DATOS!$A15061,nCURSO,DATOS!$D15061,nESPEC,DATOS!$E15061,nASIG,DATOS!$I15061,nEVAL,"OR")=0))</f>
      </c>
      <c r="I15061">
        <f>IF(DATOS!$I15061="","",IFERROR(VLOOKUP(DATOS!$I15061,CONFIG_ASIGNATURAS!$B$2:$J$91,9,FALSE()),""))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IF(DATOS!$A15062="",0,IF(CONFIG_METADATA!$B$4&lt;&gt;"OR+EX",--(DATOS!$G15062=CONFIG_METADATA!$B$4),IF(DATOS!$G15062="EX",1,IF(DATOS!$G15062="OR",--(COUNTIFS(nNIA,DATOS!$A15062,nCURSO,DATOS!$D15062,nESPEC,DATOS!$E15062,nASIG,DATOS!$I15062,nEVAL,"EX")=0),0))))</f>
      </c>
      <c r="H15062">
        <f>IF(DATOS!$G15062&lt;&gt;"EX",0,--(COUNTIFS(nNIA,DATOS!$A15062,nCURSO,DATOS!$D15062,nESPEC,DATOS!$E15062,nASIG,DATOS!$I15062,nEVAL,"OR")=0))</f>
      </c>
      <c r="I15062">
        <f>IF(DATOS!$I15062="","",IFERROR(VLOOKUP(DATOS!$I15062,CONFIG_ASIGNATURAS!$B$2:$J$91,9,FALSE()),""))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IF(DATOS!$A15063="",0,IF(CONFIG_METADATA!$B$4&lt;&gt;"OR+EX",--(DATOS!$G15063=CONFIG_METADATA!$B$4),IF(DATOS!$G15063="EX",1,IF(DATOS!$G15063="OR",--(COUNTIFS(nNIA,DATOS!$A15063,nCURSO,DATOS!$D15063,nESPEC,DATOS!$E15063,nASIG,DATOS!$I15063,nEVAL,"EX")=0),0))))</f>
      </c>
      <c r="H15063">
        <f>IF(DATOS!$G15063&lt;&gt;"EX",0,--(COUNTIFS(nNIA,DATOS!$A15063,nCURSO,DATOS!$D15063,nESPEC,DATOS!$E15063,nASIG,DATOS!$I15063,nEVAL,"OR")=0))</f>
      </c>
      <c r="I15063">
        <f>IF(DATOS!$I15063="","",IFERROR(VLOOKUP(DATOS!$I15063,CONFIG_ASIGNATURAS!$B$2:$J$91,9,FALSE()),""))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IF(DATOS!$A15064="",0,IF(CONFIG_METADATA!$B$4&lt;&gt;"OR+EX",--(DATOS!$G15064=CONFIG_METADATA!$B$4),IF(DATOS!$G15064="EX",1,IF(DATOS!$G15064="OR",--(COUNTIFS(nNIA,DATOS!$A15064,nCURSO,DATOS!$D15064,nESPEC,DATOS!$E15064,nASIG,DATOS!$I15064,nEVAL,"EX")=0),0))))</f>
      </c>
      <c r="H15064">
        <f>IF(DATOS!$G15064&lt;&gt;"EX",0,--(COUNTIFS(nNIA,DATOS!$A15064,nCURSO,DATOS!$D15064,nESPEC,DATOS!$E15064,nASIG,DATOS!$I15064,nEVAL,"OR")=0))</f>
      </c>
      <c r="I15064">
        <f>IF(DATOS!$I15064="","",IFERROR(VLOOKUP(DATOS!$I15064,CONFIG_ASIGNATURAS!$B$2:$J$91,9,FALSE()),""))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IF(DATOS!$A15065="",0,IF(CONFIG_METADATA!$B$4&lt;&gt;"OR+EX",--(DATOS!$G15065=CONFIG_METADATA!$B$4),IF(DATOS!$G15065="EX",1,IF(DATOS!$G15065="OR",--(COUNTIFS(nNIA,DATOS!$A15065,nCURSO,DATOS!$D15065,nESPEC,DATOS!$E15065,nASIG,DATOS!$I15065,nEVAL,"EX")=0),0))))</f>
      </c>
      <c r="H15065">
        <f>IF(DATOS!$G15065&lt;&gt;"EX",0,--(COUNTIFS(nNIA,DATOS!$A15065,nCURSO,DATOS!$D15065,nESPEC,DATOS!$E15065,nASIG,DATOS!$I15065,nEVAL,"OR")=0))</f>
      </c>
      <c r="I15065">
        <f>IF(DATOS!$I15065="","",IFERROR(VLOOKUP(DATOS!$I15065,CONFIG_ASIGNATURAS!$B$2:$J$91,9,FALSE()),""))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IF(DATOS!$A15066="",0,IF(CONFIG_METADATA!$B$4&lt;&gt;"OR+EX",--(DATOS!$G15066=CONFIG_METADATA!$B$4),IF(DATOS!$G15066="EX",1,IF(DATOS!$G15066="OR",--(COUNTIFS(nNIA,DATOS!$A15066,nCURSO,DATOS!$D15066,nESPEC,DATOS!$E15066,nASIG,DATOS!$I15066,nEVAL,"EX")=0),0))))</f>
      </c>
      <c r="H15066">
        <f>IF(DATOS!$G15066&lt;&gt;"EX",0,--(COUNTIFS(nNIA,DATOS!$A15066,nCURSO,DATOS!$D15066,nESPEC,DATOS!$E15066,nASIG,DATOS!$I15066,nEVAL,"OR")=0))</f>
      </c>
      <c r="I15066">
        <f>IF(DATOS!$I15066="","",IFERROR(VLOOKUP(DATOS!$I15066,CONFIG_ASIGNATURAS!$B$2:$J$91,9,FALSE()),""))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IF(DATOS!$A15067="",0,IF(CONFIG_METADATA!$B$4&lt;&gt;"OR+EX",--(DATOS!$G15067=CONFIG_METADATA!$B$4),IF(DATOS!$G15067="EX",1,IF(DATOS!$G15067="OR",--(COUNTIFS(nNIA,DATOS!$A15067,nCURSO,DATOS!$D15067,nESPEC,DATOS!$E15067,nASIG,DATOS!$I15067,nEVAL,"EX")=0),0))))</f>
      </c>
      <c r="H15067">
        <f>IF(DATOS!$G15067&lt;&gt;"EX",0,--(COUNTIFS(nNIA,DATOS!$A15067,nCURSO,DATOS!$D15067,nESPEC,DATOS!$E15067,nASIG,DATOS!$I15067,nEVAL,"OR")=0))</f>
      </c>
      <c r="I15067">
        <f>IF(DATOS!$I15067="","",IFERROR(VLOOKUP(DATOS!$I15067,CONFIG_ASIGNATURAS!$B$2:$J$91,9,FALSE()),""))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IF(DATOS!$A15068="",0,IF(CONFIG_METADATA!$B$4&lt;&gt;"OR+EX",--(DATOS!$G15068=CONFIG_METADATA!$B$4),IF(DATOS!$G15068="EX",1,IF(DATOS!$G15068="OR",--(COUNTIFS(nNIA,DATOS!$A15068,nCURSO,DATOS!$D15068,nESPEC,DATOS!$E15068,nASIG,DATOS!$I15068,nEVAL,"EX")=0),0))))</f>
      </c>
      <c r="H15068">
        <f>IF(DATOS!$G15068&lt;&gt;"EX",0,--(COUNTIFS(nNIA,DATOS!$A15068,nCURSO,DATOS!$D15068,nESPEC,DATOS!$E15068,nASIG,DATOS!$I15068,nEVAL,"OR")=0))</f>
      </c>
      <c r="I15068">
        <f>IF(DATOS!$I15068="","",IFERROR(VLOOKUP(DATOS!$I15068,CONFIG_ASIGNATURAS!$B$2:$J$91,9,FALSE()),""))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IF(DATOS!$A15069="",0,IF(CONFIG_METADATA!$B$4&lt;&gt;"OR+EX",--(DATOS!$G15069=CONFIG_METADATA!$B$4),IF(DATOS!$G15069="EX",1,IF(DATOS!$G15069="OR",--(COUNTIFS(nNIA,DATOS!$A15069,nCURSO,DATOS!$D15069,nESPEC,DATOS!$E15069,nASIG,DATOS!$I15069,nEVAL,"EX")=0),0))))</f>
      </c>
      <c r="H15069">
        <f>IF(DATOS!$G15069&lt;&gt;"EX",0,--(COUNTIFS(nNIA,DATOS!$A15069,nCURSO,DATOS!$D15069,nESPEC,DATOS!$E15069,nASIG,DATOS!$I15069,nEVAL,"OR")=0))</f>
      </c>
      <c r="I15069">
        <f>IF(DATOS!$I15069="","",IFERROR(VLOOKUP(DATOS!$I15069,CONFIG_ASIGNATURAS!$B$2:$J$91,9,FALSE()),""))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IF(DATOS!$A15070="",0,IF(CONFIG_METADATA!$B$4&lt;&gt;"OR+EX",--(DATOS!$G15070=CONFIG_METADATA!$B$4),IF(DATOS!$G15070="EX",1,IF(DATOS!$G15070="OR",--(COUNTIFS(nNIA,DATOS!$A15070,nCURSO,DATOS!$D15070,nESPEC,DATOS!$E15070,nASIG,DATOS!$I15070,nEVAL,"EX")=0),0))))</f>
      </c>
      <c r="H15070">
        <f>IF(DATOS!$G15070&lt;&gt;"EX",0,--(COUNTIFS(nNIA,DATOS!$A15070,nCURSO,DATOS!$D15070,nESPEC,DATOS!$E15070,nASIG,DATOS!$I15070,nEVAL,"OR")=0))</f>
      </c>
      <c r="I15070">
        <f>IF(DATOS!$I15070="","",IFERROR(VLOOKUP(DATOS!$I15070,CONFIG_ASIGNATURAS!$B$2:$J$91,9,FALSE()),""))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IF(DATOS!$A15071="",0,IF(CONFIG_METADATA!$B$4&lt;&gt;"OR+EX",--(DATOS!$G15071=CONFIG_METADATA!$B$4),IF(DATOS!$G15071="EX",1,IF(DATOS!$G15071="OR",--(COUNTIFS(nNIA,DATOS!$A15071,nCURSO,DATOS!$D15071,nESPEC,DATOS!$E15071,nASIG,DATOS!$I15071,nEVAL,"EX")=0),0))))</f>
      </c>
      <c r="H15071">
        <f>IF(DATOS!$G15071&lt;&gt;"EX",0,--(COUNTIFS(nNIA,DATOS!$A15071,nCURSO,DATOS!$D15071,nESPEC,DATOS!$E15071,nASIG,DATOS!$I15071,nEVAL,"OR")=0))</f>
      </c>
      <c r="I15071">
        <f>IF(DATOS!$I15071="","",IFERROR(VLOOKUP(DATOS!$I15071,CONFIG_ASIGNATURAS!$B$2:$J$91,9,FALSE()),""))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IF(DATOS!$A15072="",0,IF(CONFIG_METADATA!$B$4&lt;&gt;"OR+EX",--(DATOS!$G15072=CONFIG_METADATA!$B$4),IF(DATOS!$G15072="EX",1,IF(DATOS!$G15072="OR",--(COUNTIFS(nNIA,DATOS!$A15072,nCURSO,DATOS!$D15072,nESPEC,DATOS!$E15072,nASIG,DATOS!$I15072,nEVAL,"EX")=0),0))))</f>
      </c>
      <c r="H15072">
        <f>IF(DATOS!$G15072&lt;&gt;"EX",0,--(COUNTIFS(nNIA,DATOS!$A15072,nCURSO,DATOS!$D15072,nESPEC,DATOS!$E15072,nASIG,DATOS!$I15072,nEVAL,"OR")=0))</f>
      </c>
      <c r="I15072">
        <f>IF(DATOS!$I15072="","",IFERROR(VLOOKUP(DATOS!$I15072,CONFIG_ASIGNATURAS!$B$2:$J$91,9,FALSE()),""))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IF(DATOS!$A15073="",0,IF(CONFIG_METADATA!$B$4&lt;&gt;"OR+EX",--(DATOS!$G15073=CONFIG_METADATA!$B$4),IF(DATOS!$G15073="EX",1,IF(DATOS!$G15073="OR",--(COUNTIFS(nNIA,DATOS!$A15073,nCURSO,DATOS!$D15073,nESPEC,DATOS!$E15073,nASIG,DATOS!$I15073,nEVAL,"EX")=0),0))))</f>
      </c>
      <c r="H15073">
        <f>IF(DATOS!$G15073&lt;&gt;"EX",0,--(COUNTIFS(nNIA,DATOS!$A15073,nCURSO,DATOS!$D15073,nESPEC,DATOS!$E15073,nASIG,DATOS!$I15073,nEVAL,"OR")=0))</f>
      </c>
      <c r="I15073">
        <f>IF(DATOS!$I15073="","",IFERROR(VLOOKUP(DATOS!$I15073,CONFIG_ASIGNATURAS!$B$2:$J$91,9,FALSE()),""))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IF(DATOS!$A15074="",0,IF(CONFIG_METADATA!$B$4&lt;&gt;"OR+EX",--(DATOS!$G15074=CONFIG_METADATA!$B$4),IF(DATOS!$G15074="EX",1,IF(DATOS!$G15074="OR",--(COUNTIFS(nNIA,DATOS!$A15074,nCURSO,DATOS!$D15074,nESPEC,DATOS!$E15074,nASIG,DATOS!$I15074,nEVAL,"EX")=0),0))))</f>
      </c>
      <c r="H15074">
        <f>IF(DATOS!$G15074&lt;&gt;"EX",0,--(COUNTIFS(nNIA,DATOS!$A15074,nCURSO,DATOS!$D15074,nESPEC,DATOS!$E15074,nASIG,DATOS!$I15074,nEVAL,"OR")=0))</f>
      </c>
      <c r="I15074">
        <f>IF(DATOS!$I15074="","",IFERROR(VLOOKUP(DATOS!$I15074,CONFIG_ASIGNATURAS!$B$2:$J$91,9,FALSE()),""))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IF(DATOS!$A15075="",0,IF(CONFIG_METADATA!$B$4&lt;&gt;"OR+EX",--(DATOS!$G15075=CONFIG_METADATA!$B$4),IF(DATOS!$G15075="EX",1,IF(DATOS!$G15075="OR",--(COUNTIFS(nNIA,DATOS!$A15075,nCURSO,DATOS!$D15075,nESPEC,DATOS!$E15075,nASIG,DATOS!$I15075,nEVAL,"EX")=0),0))))</f>
      </c>
      <c r="H15075">
        <f>IF(DATOS!$G15075&lt;&gt;"EX",0,--(COUNTIFS(nNIA,DATOS!$A15075,nCURSO,DATOS!$D15075,nESPEC,DATOS!$E15075,nASIG,DATOS!$I15075,nEVAL,"OR")=0))</f>
      </c>
      <c r="I15075">
        <f>IF(DATOS!$I15075="","",IFERROR(VLOOKUP(DATOS!$I15075,CONFIG_ASIGNATURAS!$B$2:$J$91,9,FALSE()),""))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IF(DATOS!$A15076="",0,IF(CONFIG_METADATA!$B$4&lt;&gt;"OR+EX",--(DATOS!$G15076=CONFIG_METADATA!$B$4),IF(DATOS!$G15076="EX",1,IF(DATOS!$G15076="OR",--(COUNTIFS(nNIA,DATOS!$A15076,nCURSO,DATOS!$D15076,nESPEC,DATOS!$E15076,nASIG,DATOS!$I15076,nEVAL,"EX")=0),0))))</f>
      </c>
      <c r="H15076">
        <f>IF(DATOS!$G15076&lt;&gt;"EX",0,--(COUNTIFS(nNIA,DATOS!$A15076,nCURSO,DATOS!$D15076,nESPEC,DATOS!$E15076,nASIG,DATOS!$I15076,nEVAL,"OR")=0))</f>
      </c>
      <c r="I15076">
        <f>IF(DATOS!$I15076="","",IFERROR(VLOOKUP(DATOS!$I15076,CONFIG_ASIGNATURAS!$B$2:$J$91,9,FALSE()),""))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IF(DATOS!$A15077="",0,IF(CONFIG_METADATA!$B$4&lt;&gt;"OR+EX",--(DATOS!$G15077=CONFIG_METADATA!$B$4),IF(DATOS!$G15077="EX",1,IF(DATOS!$G15077="OR",--(COUNTIFS(nNIA,DATOS!$A15077,nCURSO,DATOS!$D15077,nESPEC,DATOS!$E15077,nASIG,DATOS!$I15077,nEVAL,"EX")=0),0))))</f>
      </c>
      <c r="H15077">
        <f>IF(DATOS!$G15077&lt;&gt;"EX",0,--(COUNTIFS(nNIA,DATOS!$A15077,nCURSO,DATOS!$D15077,nESPEC,DATOS!$E15077,nASIG,DATOS!$I15077,nEVAL,"OR")=0))</f>
      </c>
      <c r="I15077">
        <f>IF(DATOS!$I15077="","",IFERROR(VLOOKUP(DATOS!$I15077,CONFIG_ASIGNATURAS!$B$2:$J$91,9,FALSE()),""))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IF(DATOS!$A15078="",0,IF(CONFIG_METADATA!$B$4&lt;&gt;"OR+EX",--(DATOS!$G15078=CONFIG_METADATA!$B$4),IF(DATOS!$G15078="EX",1,IF(DATOS!$G15078="OR",--(COUNTIFS(nNIA,DATOS!$A15078,nCURSO,DATOS!$D15078,nESPEC,DATOS!$E15078,nASIG,DATOS!$I15078,nEVAL,"EX")=0),0))))</f>
      </c>
      <c r="H15078">
        <f>IF(DATOS!$G15078&lt;&gt;"EX",0,--(COUNTIFS(nNIA,DATOS!$A15078,nCURSO,DATOS!$D15078,nESPEC,DATOS!$E15078,nASIG,DATOS!$I15078,nEVAL,"OR")=0))</f>
      </c>
      <c r="I15078">
        <f>IF(DATOS!$I15078="","",IFERROR(VLOOKUP(DATOS!$I15078,CONFIG_ASIGNATURAS!$B$2:$J$91,9,FALSE()),""))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IF(DATOS!$A15079="",0,IF(CONFIG_METADATA!$B$4&lt;&gt;"OR+EX",--(DATOS!$G15079=CONFIG_METADATA!$B$4),IF(DATOS!$G15079="EX",1,IF(DATOS!$G15079="OR",--(COUNTIFS(nNIA,DATOS!$A15079,nCURSO,DATOS!$D15079,nESPEC,DATOS!$E15079,nASIG,DATOS!$I15079,nEVAL,"EX")=0),0))))</f>
      </c>
      <c r="H15079">
        <f>IF(DATOS!$G15079&lt;&gt;"EX",0,--(COUNTIFS(nNIA,DATOS!$A15079,nCURSO,DATOS!$D15079,nESPEC,DATOS!$E15079,nASIG,DATOS!$I15079,nEVAL,"OR")=0))</f>
      </c>
      <c r="I15079">
        <f>IF(DATOS!$I15079="","",IFERROR(VLOOKUP(DATOS!$I15079,CONFIG_ASIGNATURAS!$B$2:$J$91,9,FALSE()),""))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IF(DATOS!$A15080="",0,IF(CONFIG_METADATA!$B$4&lt;&gt;"OR+EX",--(DATOS!$G15080=CONFIG_METADATA!$B$4),IF(DATOS!$G15080="EX",1,IF(DATOS!$G15080="OR",--(COUNTIFS(nNIA,DATOS!$A15080,nCURSO,DATOS!$D15080,nESPEC,DATOS!$E15080,nASIG,DATOS!$I15080,nEVAL,"EX")=0),0))))</f>
      </c>
      <c r="H15080">
        <f>IF(DATOS!$G15080&lt;&gt;"EX",0,--(COUNTIFS(nNIA,DATOS!$A15080,nCURSO,DATOS!$D15080,nESPEC,DATOS!$E15080,nASIG,DATOS!$I15080,nEVAL,"OR")=0))</f>
      </c>
      <c r="I15080">
        <f>IF(DATOS!$I15080="","",IFERROR(VLOOKUP(DATOS!$I15080,CONFIG_ASIGNATURAS!$B$2:$J$91,9,FALSE()),""))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IF(DATOS!$A15081="",0,IF(CONFIG_METADATA!$B$4&lt;&gt;"OR+EX",--(DATOS!$G15081=CONFIG_METADATA!$B$4),IF(DATOS!$G15081="EX",1,IF(DATOS!$G15081="OR",--(COUNTIFS(nNIA,DATOS!$A15081,nCURSO,DATOS!$D15081,nESPEC,DATOS!$E15081,nASIG,DATOS!$I15081,nEVAL,"EX")=0),0))))</f>
      </c>
      <c r="H15081">
        <f>IF(DATOS!$G15081&lt;&gt;"EX",0,--(COUNTIFS(nNIA,DATOS!$A15081,nCURSO,DATOS!$D15081,nESPEC,DATOS!$E15081,nASIG,DATOS!$I15081,nEVAL,"OR")=0))</f>
      </c>
      <c r="I15081">
        <f>IF(DATOS!$I15081="","",IFERROR(VLOOKUP(DATOS!$I15081,CONFIG_ASIGNATURAS!$B$2:$J$91,9,FALSE()),""))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IF(DATOS!$A15082="",0,IF(CONFIG_METADATA!$B$4&lt;&gt;"OR+EX",--(DATOS!$G15082=CONFIG_METADATA!$B$4),IF(DATOS!$G15082="EX",1,IF(DATOS!$G15082="OR",--(COUNTIFS(nNIA,DATOS!$A15082,nCURSO,DATOS!$D15082,nESPEC,DATOS!$E15082,nASIG,DATOS!$I15082,nEVAL,"EX")=0),0))))</f>
      </c>
      <c r="H15082">
        <f>IF(DATOS!$G15082&lt;&gt;"EX",0,--(COUNTIFS(nNIA,DATOS!$A15082,nCURSO,DATOS!$D15082,nESPEC,DATOS!$E15082,nASIG,DATOS!$I15082,nEVAL,"OR")=0))</f>
      </c>
      <c r="I15082">
        <f>IF(DATOS!$I15082="","",IFERROR(VLOOKUP(DATOS!$I15082,CONFIG_ASIGNATURAS!$B$2:$J$91,9,FALSE()),""))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IF(DATOS!$A15083="",0,IF(CONFIG_METADATA!$B$4&lt;&gt;"OR+EX",--(DATOS!$G15083=CONFIG_METADATA!$B$4),IF(DATOS!$G15083="EX",1,IF(DATOS!$G15083="OR",--(COUNTIFS(nNIA,DATOS!$A15083,nCURSO,DATOS!$D15083,nESPEC,DATOS!$E15083,nASIG,DATOS!$I15083,nEVAL,"EX")=0),0))))</f>
      </c>
      <c r="H15083">
        <f>IF(DATOS!$G15083&lt;&gt;"EX",0,--(COUNTIFS(nNIA,DATOS!$A15083,nCURSO,DATOS!$D15083,nESPEC,DATOS!$E15083,nASIG,DATOS!$I15083,nEVAL,"OR")=0))</f>
      </c>
      <c r="I15083">
        <f>IF(DATOS!$I15083="","",IFERROR(VLOOKUP(DATOS!$I15083,CONFIG_ASIGNATURAS!$B$2:$J$91,9,FALSE()),""))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IF(DATOS!$A15084="",0,IF(CONFIG_METADATA!$B$4&lt;&gt;"OR+EX",--(DATOS!$G15084=CONFIG_METADATA!$B$4),IF(DATOS!$G15084="EX",1,IF(DATOS!$G15084="OR",--(COUNTIFS(nNIA,DATOS!$A15084,nCURSO,DATOS!$D15084,nESPEC,DATOS!$E15084,nASIG,DATOS!$I15084,nEVAL,"EX")=0),0))))</f>
      </c>
      <c r="H15084">
        <f>IF(DATOS!$G15084&lt;&gt;"EX",0,--(COUNTIFS(nNIA,DATOS!$A15084,nCURSO,DATOS!$D15084,nESPEC,DATOS!$E15084,nASIG,DATOS!$I15084,nEVAL,"OR")=0))</f>
      </c>
      <c r="I15084">
        <f>IF(DATOS!$I15084="","",IFERROR(VLOOKUP(DATOS!$I15084,CONFIG_ASIGNATURAS!$B$2:$J$91,9,FALSE()),""))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IF(DATOS!$A15085="",0,IF(CONFIG_METADATA!$B$4&lt;&gt;"OR+EX",--(DATOS!$G15085=CONFIG_METADATA!$B$4),IF(DATOS!$G15085="EX",1,IF(DATOS!$G15085="OR",--(COUNTIFS(nNIA,DATOS!$A15085,nCURSO,DATOS!$D15085,nESPEC,DATOS!$E15085,nASIG,DATOS!$I15085,nEVAL,"EX")=0),0))))</f>
      </c>
      <c r="H15085">
        <f>IF(DATOS!$G15085&lt;&gt;"EX",0,--(COUNTIFS(nNIA,DATOS!$A15085,nCURSO,DATOS!$D15085,nESPEC,DATOS!$E15085,nASIG,DATOS!$I15085,nEVAL,"OR")=0))</f>
      </c>
      <c r="I15085">
        <f>IF(DATOS!$I15085="","",IFERROR(VLOOKUP(DATOS!$I15085,CONFIG_ASIGNATURAS!$B$2:$J$91,9,FALSE()),""))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IF(DATOS!$A15086="",0,IF(CONFIG_METADATA!$B$4&lt;&gt;"OR+EX",--(DATOS!$G15086=CONFIG_METADATA!$B$4),IF(DATOS!$G15086="EX",1,IF(DATOS!$G15086="OR",--(COUNTIFS(nNIA,DATOS!$A15086,nCURSO,DATOS!$D15086,nESPEC,DATOS!$E15086,nASIG,DATOS!$I15086,nEVAL,"EX")=0),0))))</f>
      </c>
      <c r="H15086">
        <f>IF(DATOS!$G15086&lt;&gt;"EX",0,--(COUNTIFS(nNIA,DATOS!$A15086,nCURSO,DATOS!$D15086,nESPEC,DATOS!$E15086,nASIG,DATOS!$I15086,nEVAL,"OR")=0))</f>
      </c>
      <c r="I15086">
        <f>IF(DATOS!$I15086="","",IFERROR(VLOOKUP(DATOS!$I15086,CONFIG_ASIGNATURAS!$B$2:$J$91,9,FALSE()),""))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IF(DATOS!$A15087="",0,IF(CONFIG_METADATA!$B$4&lt;&gt;"OR+EX",--(DATOS!$G15087=CONFIG_METADATA!$B$4),IF(DATOS!$G15087="EX",1,IF(DATOS!$G15087="OR",--(COUNTIFS(nNIA,DATOS!$A15087,nCURSO,DATOS!$D15087,nESPEC,DATOS!$E15087,nASIG,DATOS!$I15087,nEVAL,"EX")=0),0))))</f>
      </c>
      <c r="H15087">
        <f>IF(DATOS!$G15087&lt;&gt;"EX",0,--(COUNTIFS(nNIA,DATOS!$A15087,nCURSO,DATOS!$D15087,nESPEC,DATOS!$E15087,nASIG,DATOS!$I15087,nEVAL,"OR")=0))</f>
      </c>
      <c r="I15087">
        <f>IF(DATOS!$I15087="","",IFERROR(VLOOKUP(DATOS!$I15087,CONFIG_ASIGNATURAS!$B$2:$J$91,9,FALSE()),""))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IF(DATOS!$A15088="",0,IF(CONFIG_METADATA!$B$4&lt;&gt;"OR+EX",--(DATOS!$G15088=CONFIG_METADATA!$B$4),IF(DATOS!$G15088="EX",1,IF(DATOS!$G15088="OR",--(COUNTIFS(nNIA,DATOS!$A15088,nCURSO,DATOS!$D15088,nESPEC,DATOS!$E15088,nASIG,DATOS!$I15088,nEVAL,"EX")=0),0))))</f>
      </c>
      <c r="H15088">
        <f>IF(DATOS!$G15088&lt;&gt;"EX",0,--(COUNTIFS(nNIA,DATOS!$A15088,nCURSO,DATOS!$D15088,nESPEC,DATOS!$E15088,nASIG,DATOS!$I15088,nEVAL,"OR")=0))</f>
      </c>
      <c r="I15088">
        <f>IF(DATOS!$I15088="","",IFERROR(VLOOKUP(DATOS!$I15088,CONFIG_ASIGNATURAS!$B$2:$J$91,9,FALSE()),""))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IF(DATOS!$A15089="",0,IF(CONFIG_METADATA!$B$4&lt;&gt;"OR+EX",--(DATOS!$G15089=CONFIG_METADATA!$B$4),IF(DATOS!$G15089="EX",1,IF(DATOS!$G15089="OR",--(COUNTIFS(nNIA,DATOS!$A15089,nCURSO,DATOS!$D15089,nESPEC,DATOS!$E15089,nASIG,DATOS!$I15089,nEVAL,"EX")=0),0))))</f>
      </c>
      <c r="H15089">
        <f>IF(DATOS!$G15089&lt;&gt;"EX",0,--(COUNTIFS(nNIA,DATOS!$A15089,nCURSO,DATOS!$D15089,nESPEC,DATOS!$E15089,nASIG,DATOS!$I15089,nEVAL,"OR")=0))</f>
      </c>
      <c r="I15089">
        <f>IF(DATOS!$I15089="","",IFERROR(VLOOKUP(DATOS!$I15089,CONFIG_ASIGNATURAS!$B$2:$J$91,9,FALSE()),""))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IF(DATOS!$A15090="",0,IF(CONFIG_METADATA!$B$4&lt;&gt;"OR+EX",--(DATOS!$G15090=CONFIG_METADATA!$B$4),IF(DATOS!$G15090="EX",1,IF(DATOS!$G15090="OR",--(COUNTIFS(nNIA,DATOS!$A15090,nCURSO,DATOS!$D15090,nESPEC,DATOS!$E15090,nASIG,DATOS!$I15090,nEVAL,"EX")=0),0))))</f>
      </c>
      <c r="H15090">
        <f>IF(DATOS!$G15090&lt;&gt;"EX",0,--(COUNTIFS(nNIA,DATOS!$A15090,nCURSO,DATOS!$D15090,nESPEC,DATOS!$E15090,nASIG,DATOS!$I15090,nEVAL,"OR")=0))</f>
      </c>
      <c r="I15090">
        <f>IF(DATOS!$I15090="","",IFERROR(VLOOKUP(DATOS!$I15090,CONFIG_ASIGNATURAS!$B$2:$J$91,9,FALSE()),""))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IF(DATOS!$A15091="",0,IF(CONFIG_METADATA!$B$4&lt;&gt;"OR+EX",--(DATOS!$G15091=CONFIG_METADATA!$B$4),IF(DATOS!$G15091="EX",1,IF(DATOS!$G15091="OR",--(COUNTIFS(nNIA,DATOS!$A15091,nCURSO,DATOS!$D15091,nESPEC,DATOS!$E15091,nASIG,DATOS!$I15091,nEVAL,"EX")=0),0))))</f>
      </c>
      <c r="H15091">
        <f>IF(DATOS!$G15091&lt;&gt;"EX",0,--(COUNTIFS(nNIA,DATOS!$A15091,nCURSO,DATOS!$D15091,nESPEC,DATOS!$E15091,nASIG,DATOS!$I15091,nEVAL,"OR")=0))</f>
      </c>
      <c r="I15091">
        <f>IF(DATOS!$I15091="","",IFERROR(VLOOKUP(DATOS!$I15091,CONFIG_ASIGNATURAS!$B$2:$J$91,9,FALSE()),""))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IF(DATOS!$A15092="",0,IF(CONFIG_METADATA!$B$4&lt;&gt;"OR+EX",--(DATOS!$G15092=CONFIG_METADATA!$B$4),IF(DATOS!$G15092="EX",1,IF(DATOS!$G15092="OR",--(COUNTIFS(nNIA,DATOS!$A15092,nCURSO,DATOS!$D15092,nESPEC,DATOS!$E15092,nASIG,DATOS!$I15092,nEVAL,"EX")=0),0))))</f>
      </c>
      <c r="H15092">
        <f>IF(DATOS!$G15092&lt;&gt;"EX",0,--(COUNTIFS(nNIA,DATOS!$A15092,nCURSO,DATOS!$D15092,nESPEC,DATOS!$E15092,nASIG,DATOS!$I15092,nEVAL,"OR")=0))</f>
      </c>
      <c r="I15092">
        <f>IF(DATOS!$I15092="","",IFERROR(VLOOKUP(DATOS!$I15092,CONFIG_ASIGNATURAS!$B$2:$J$91,9,FALSE()),""))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IF(DATOS!$A15093="",0,IF(CONFIG_METADATA!$B$4&lt;&gt;"OR+EX",--(DATOS!$G15093=CONFIG_METADATA!$B$4),IF(DATOS!$G15093="EX",1,IF(DATOS!$G15093="OR",--(COUNTIFS(nNIA,DATOS!$A15093,nCURSO,DATOS!$D15093,nESPEC,DATOS!$E15093,nASIG,DATOS!$I15093,nEVAL,"EX")=0),0))))</f>
      </c>
      <c r="H15093">
        <f>IF(DATOS!$G15093&lt;&gt;"EX",0,--(COUNTIFS(nNIA,DATOS!$A15093,nCURSO,DATOS!$D15093,nESPEC,DATOS!$E15093,nASIG,DATOS!$I15093,nEVAL,"OR")=0))</f>
      </c>
      <c r="I15093">
        <f>IF(DATOS!$I15093="","",IFERROR(VLOOKUP(DATOS!$I15093,CONFIG_ASIGNATURAS!$B$2:$J$91,9,FALSE()),""))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IF(DATOS!$A15094="",0,IF(CONFIG_METADATA!$B$4&lt;&gt;"OR+EX",--(DATOS!$G15094=CONFIG_METADATA!$B$4),IF(DATOS!$G15094="EX",1,IF(DATOS!$G15094="OR",--(COUNTIFS(nNIA,DATOS!$A15094,nCURSO,DATOS!$D15094,nESPEC,DATOS!$E15094,nASIG,DATOS!$I15094,nEVAL,"EX")=0),0))))</f>
      </c>
      <c r="H15094">
        <f>IF(DATOS!$G15094&lt;&gt;"EX",0,--(COUNTIFS(nNIA,DATOS!$A15094,nCURSO,DATOS!$D15094,nESPEC,DATOS!$E15094,nASIG,DATOS!$I15094,nEVAL,"OR")=0))</f>
      </c>
      <c r="I15094">
        <f>IF(DATOS!$I15094="","",IFERROR(VLOOKUP(DATOS!$I15094,CONFIG_ASIGNATURAS!$B$2:$J$91,9,FALSE()),""))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IF(DATOS!$A15095="",0,IF(CONFIG_METADATA!$B$4&lt;&gt;"OR+EX",--(DATOS!$G15095=CONFIG_METADATA!$B$4),IF(DATOS!$G15095="EX",1,IF(DATOS!$G15095="OR",--(COUNTIFS(nNIA,DATOS!$A15095,nCURSO,DATOS!$D15095,nESPEC,DATOS!$E15095,nASIG,DATOS!$I15095,nEVAL,"EX")=0),0))))</f>
      </c>
      <c r="H15095">
        <f>IF(DATOS!$G15095&lt;&gt;"EX",0,--(COUNTIFS(nNIA,DATOS!$A15095,nCURSO,DATOS!$D15095,nESPEC,DATOS!$E15095,nASIG,DATOS!$I15095,nEVAL,"OR")=0))</f>
      </c>
      <c r="I15095">
        <f>IF(DATOS!$I15095="","",IFERROR(VLOOKUP(DATOS!$I15095,CONFIG_ASIGNATURAS!$B$2:$J$91,9,FALSE()),""))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IF(DATOS!$A15096="",0,IF(CONFIG_METADATA!$B$4&lt;&gt;"OR+EX",--(DATOS!$G15096=CONFIG_METADATA!$B$4),IF(DATOS!$G15096="EX",1,IF(DATOS!$G15096="OR",--(COUNTIFS(nNIA,DATOS!$A15096,nCURSO,DATOS!$D15096,nESPEC,DATOS!$E15096,nASIG,DATOS!$I15096,nEVAL,"EX")=0),0))))</f>
      </c>
      <c r="H15096">
        <f>IF(DATOS!$G15096&lt;&gt;"EX",0,--(COUNTIFS(nNIA,DATOS!$A15096,nCURSO,DATOS!$D15096,nESPEC,DATOS!$E15096,nASIG,DATOS!$I15096,nEVAL,"OR")=0))</f>
      </c>
      <c r="I15096">
        <f>IF(DATOS!$I15096="","",IFERROR(VLOOKUP(DATOS!$I15096,CONFIG_ASIGNATURAS!$B$2:$J$91,9,FALSE()),""))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IF(DATOS!$A15097="",0,IF(CONFIG_METADATA!$B$4&lt;&gt;"OR+EX",--(DATOS!$G15097=CONFIG_METADATA!$B$4),IF(DATOS!$G15097="EX",1,IF(DATOS!$G15097="OR",--(COUNTIFS(nNIA,DATOS!$A15097,nCURSO,DATOS!$D15097,nESPEC,DATOS!$E15097,nASIG,DATOS!$I15097,nEVAL,"EX")=0),0))))</f>
      </c>
      <c r="H15097">
        <f>IF(DATOS!$G15097&lt;&gt;"EX",0,--(COUNTIFS(nNIA,DATOS!$A15097,nCURSO,DATOS!$D15097,nESPEC,DATOS!$E15097,nASIG,DATOS!$I15097,nEVAL,"OR")=0))</f>
      </c>
      <c r="I15097">
        <f>IF(DATOS!$I15097="","",IFERROR(VLOOKUP(DATOS!$I15097,CONFIG_ASIGNATURAS!$B$2:$J$91,9,FALSE()),""))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IF(DATOS!$A15098="",0,IF(CONFIG_METADATA!$B$4&lt;&gt;"OR+EX",--(DATOS!$G15098=CONFIG_METADATA!$B$4),IF(DATOS!$G15098="EX",1,IF(DATOS!$G15098="OR",--(COUNTIFS(nNIA,DATOS!$A15098,nCURSO,DATOS!$D15098,nESPEC,DATOS!$E15098,nASIG,DATOS!$I15098,nEVAL,"EX")=0),0))))</f>
      </c>
      <c r="H15098">
        <f>IF(DATOS!$G15098&lt;&gt;"EX",0,--(COUNTIFS(nNIA,DATOS!$A15098,nCURSO,DATOS!$D15098,nESPEC,DATOS!$E15098,nASIG,DATOS!$I15098,nEVAL,"OR")=0))</f>
      </c>
      <c r="I15098">
        <f>IF(DATOS!$I15098="","",IFERROR(VLOOKUP(DATOS!$I15098,CONFIG_ASIGNATURAS!$B$2:$J$91,9,FALSE()),""))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IF(DATOS!$A15099="",0,IF(CONFIG_METADATA!$B$4&lt;&gt;"OR+EX",--(DATOS!$G15099=CONFIG_METADATA!$B$4),IF(DATOS!$G15099="EX",1,IF(DATOS!$G15099="OR",--(COUNTIFS(nNIA,DATOS!$A15099,nCURSO,DATOS!$D15099,nESPEC,DATOS!$E15099,nASIG,DATOS!$I15099,nEVAL,"EX")=0),0))))</f>
      </c>
      <c r="H15099">
        <f>IF(DATOS!$G15099&lt;&gt;"EX",0,--(COUNTIFS(nNIA,DATOS!$A15099,nCURSO,DATOS!$D15099,nESPEC,DATOS!$E15099,nASIG,DATOS!$I15099,nEVAL,"OR")=0))</f>
      </c>
      <c r="I15099">
        <f>IF(DATOS!$I15099="","",IFERROR(VLOOKUP(DATOS!$I15099,CONFIG_ASIGNATURAS!$B$2:$J$91,9,FALSE()),""))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IF(DATOS!$A15100="",0,IF(CONFIG_METADATA!$B$4&lt;&gt;"OR+EX",--(DATOS!$G15100=CONFIG_METADATA!$B$4),IF(DATOS!$G15100="EX",1,IF(DATOS!$G15100="OR",--(COUNTIFS(nNIA,DATOS!$A15100,nCURSO,DATOS!$D15100,nESPEC,DATOS!$E15100,nASIG,DATOS!$I15100,nEVAL,"EX")=0),0))))</f>
      </c>
      <c r="H15100">
        <f>IF(DATOS!$G15100&lt;&gt;"EX",0,--(COUNTIFS(nNIA,DATOS!$A15100,nCURSO,DATOS!$D15100,nESPEC,DATOS!$E15100,nASIG,DATOS!$I15100,nEVAL,"OR")=0))</f>
      </c>
      <c r="I15100">
        <f>IF(DATOS!$I15100="","",IFERROR(VLOOKUP(DATOS!$I15100,CONFIG_ASIGNATURAS!$B$2:$J$91,9,FALSE()),""))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IF(DATOS!$A15101="",0,IF(CONFIG_METADATA!$B$4&lt;&gt;"OR+EX",--(DATOS!$G15101=CONFIG_METADATA!$B$4),IF(DATOS!$G15101="EX",1,IF(DATOS!$G15101="OR",--(COUNTIFS(nNIA,DATOS!$A15101,nCURSO,DATOS!$D15101,nESPEC,DATOS!$E15101,nASIG,DATOS!$I15101,nEVAL,"EX")=0),0))))</f>
      </c>
      <c r="H15101">
        <f>IF(DATOS!$G15101&lt;&gt;"EX",0,--(COUNTIFS(nNIA,DATOS!$A15101,nCURSO,DATOS!$D15101,nESPEC,DATOS!$E15101,nASIG,DATOS!$I15101,nEVAL,"OR")=0))</f>
      </c>
      <c r="I15101">
        <f>IF(DATOS!$I15101="","",IFERROR(VLOOKUP(DATOS!$I15101,CONFIG_ASIGNATURAS!$B$2:$J$91,9,FALSE()),""))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IF(DATOS!$A15102="",0,IF(CONFIG_METADATA!$B$4&lt;&gt;"OR+EX",--(DATOS!$G15102=CONFIG_METADATA!$B$4),IF(DATOS!$G15102="EX",1,IF(DATOS!$G15102="OR",--(COUNTIFS(nNIA,DATOS!$A15102,nCURSO,DATOS!$D15102,nESPEC,DATOS!$E15102,nASIG,DATOS!$I15102,nEVAL,"EX")=0),0))))</f>
      </c>
      <c r="H15102">
        <f>IF(DATOS!$G15102&lt;&gt;"EX",0,--(COUNTIFS(nNIA,DATOS!$A15102,nCURSO,DATOS!$D15102,nESPEC,DATOS!$E15102,nASIG,DATOS!$I15102,nEVAL,"OR")=0))</f>
      </c>
      <c r="I15102">
        <f>IF(DATOS!$I15102="","",IFERROR(VLOOKUP(DATOS!$I15102,CONFIG_ASIGNATURAS!$B$2:$J$91,9,FALSE()),""))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IF(DATOS!$A15103="",0,IF(CONFIG_METADATA!$B$4&lt;&gt;"OR+EX",--(DATOS!$G15103=CONFIG_METADATA!$B$4),IF(DATOS!$G15103="EX",1,IF(DATOS!$G15103="OR",--(COUNTIFS(nNIA,DATOS!$A15103,nCURSO,DATOS!$D15103,nESPEC,DATOS!$E15103,nASIG,DATOS!$I15103,nEVAL,"EX")=0),0))))</f>
      </c>
      <c r="H15103">
        <f>IF(DATOS!$G15103&lt;&gt;"EX",0,--(COUNTIFS(nNIA,DATOS!$A15103,nCURSO,DATOS!$D15103,nESPEC,DATOS!$E15103,nASIG,DATOS!$I15103,nEVAL,"OR")=0))</f>
      </c>
      <c r="I15103">
        <f>IF(DATOS!$I15103="","",IFERROR(VLOOKUP(DATOS!$I15103,CONFIG_ASIGNATURAS!$B$2:$J$91,9,FALSE()),""))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IF(DATOS!$A15104="",0,IF(CONFIG_METADATA!$B$4&lt;&gt;"OR+EX",--(DATOS!$G15104=CONFIG_METADATA!$B$4),IF(DATOS!$G15104="EX",1,IF(DATOS!$G15104="OR",--(COUNTIFS(nNIA,DATOS!$A15104,nCURSO,DATOS!$D15104,nESPEC,DATOS!$E15104,nASIG,DATOS!$I15104,nEVAL,"EX")=0),0))))</f>
      </c>
      <c r="H15104">
        <f>IF(DATOS!$G15104&lt;&gt;"EX",0,--(COUNTIFS(nNIA,DATOS!$A15104,nCURSO,DATOS!$D15104,nESPEC,DATOS!$E15104,nASIG,DATOS!$I15104,nEVAL,"OR")=0))</f>
      </c>
      <c r="I15104">
        <f>IF(DATOS!$I15104="","",IFERROR(VLOOKUP(DATOS!$I15104,CONFIG_ASIGNATURAS!$B$2:$J$91,9,FALSE()),""))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IF(DATOS!$A15105="",0,IF(CONFIG_METADATA!$B$4&lt;&gt;"OR+EX",--(DATOS!$G15105=CONFIG_METADATA!$B$4),IF(DATOS!$G15105="EX",1,IF(DATOS!$G15105="OR",--(COUNTIFS(nNIA,DATOS!$A15105,nCURSO,DATOS!$D15105,nESPEC,DATOS!$E15105,nASIG,DATOS!$I15105,nEVAL,"EX")=0),0))))</f>
      </c>
      <c r="H15105">
        <f>IF(DATOS!$G15105&lt;&gt;"EX",0,--(COUNTIFS(nNIA,DATOS!$A15105,nCURSO,DATOS!$D15105,nESPEC,DATOS!$E15105,nASIG,DATOS!$I15105,nEVAL,"OR")=0))</f>
      </c>
      <c r="I15105">
        <f>IF(DATOS!$I15105="","",IFERROR(VLOOKUP(DATOS!$I15105,CONFIG_ASIGNATURAS!$B$2:$J$91,9,FALSE()),""))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IF(DATOS!$A15106="",0,IF(CONFIG_METADATA!$B$4&lt;&gt;"OR+EX",--(DATOS!$G15106=CONFIG_METADATA!$B$4),IF(DATOS!$G15106="EX",1,IF(DATOS!$G15106="OR",--(COUNTIFS(nNIA,DATOS!$A15106,nCURSO,DATOS!$D15106,nESPEC,DATOS!$E15106,nASIG,DATOS!$I15106,nEVAL,"EX")=0),0))))</f>
      </c>
      <c r="H15106">
        <f>IF(DATOS!$G15106&lt;&gt;"EX",0,--(COUNTIFS(nNIA,DATOS!$A15106,nCURSO,DATOS!$D15106,nESPEC,DATOS!$E15106,nASIG,DATOS!$I15106,nEVAL,"OR")=0))</f>
      </c>
      <c r="I15106">
        <f>IF(DATOS!$I15106="","",IFERROR(VLOOKUP(DATOS!$I15106,CONFIG_ASIGNATURAS!$B$2:$J$91,9,FALSE()),""))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IF(DATOS!$A15107="",0,IF(CONFIG_METADATA!$B$4&lt;&gt;"OR+EX",--(DATOS!$G15107=CONFIG_METADATA!$B$4),IF(DATOS!$G15107="EX",1,IF(DATOS!$G15107="OR",--(COUNTIFS(nNIA,DATOS!$A15107,nCURSO,DATOS!$D15107,nESPEC,DATOS!$E15107,nASIG,DATOS!$I15107,nEVAL,"EX")=0),0))))</f>
      </c>
      <c r="H15107">
        <f>IF(DATOS!$G15107&lt;&gt;"EX",0,--(COUNTIFS(nNIA,DATOS!$A15107,nCURSO,DATOS!$D15107,nESPEC,DATOS!$E15107,nASIG,DATOS!$I15107,nEVAL,"OR")=0))</f>
      </c>
      <c r="I15107">
        <f>IF(DATOS!$I15107="","",IFERROR(VLOOKUP(DATOS!$I15107,CONFIG_ASIGNATURAS!$B$2:$J$91,9,FALSE()),""))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IF(DATOS!$A15108="",0,IF(CONFIG_METADATA!$B$4&lt;&gt;"OR+EX",--(DATOS!$G15108=CONFIG_METADATA!$B$4),IF(DATOS!$G15108="EX",1,IF(DATOS!$G15108="OR",--(COUNTIFS(nNIA,DATOS!$A15108,nCURSO,DATOS!$D15108,nESPEC,DATOS!$E15108,nASIG,DATOS!$I15108,nEVAL,"EX")=0),0))))</f>
      </c>
      <c r="H15108">
        <f>IF(DATOS!$G15108&lt;&gt;"EX",0,--(COUNTIFS(nNIA,DATOS!$A15108,nCURSO,DATOS!$D15108,nESPEC,DATOS!$E15108,nASIG,DATOS!$I15108,nEVAL,"OR")=0))</f>
      </c>
      <c r="I15108">
        <f>IF(DATOS!$I15108="","",IFERROR(VLOOKUP(DATOS!$I15108,CONFIG_ASIGNATURAS!$B$2:$J$91,9,FALSE()),""))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IF(DATOS!$A15109="",0,IF(CONFIG_METADATA!$B$4&lt;&gt;"OR+EX",--(DATOS!$G15109=CONFIG_METADATA!$B$4),IF(DATOS!$G15109="EX",1,IF(DATOS!$G15109="OR",--(COUNTIFS(nNIA,DATOS!$A15109,nCURSO,DATOS!$D15109,nESPEC,DATOS!$E15109,nASIG,DATOS!$I15109,nEVAL,"EX")=0),0))))</f>
      </c>
      <c r="H15109">
        <f>IF(DATOS!$G15109&lt;&gt;"EX",0,--(COUNTIFS(nNIA,DATOS!$A15109,nCURSO,DATOS!$D15109,nESPEC,DATOS!$E15109,nASIG,DATOS!$I15109,nEVAL,"OR")=0))</f>
      </c>
      <c r="I15109">
        <f>IF(DATOS!$I15109="","",IFERROR(VLOOKUP(DATOS!$I15109,CONFIG_ASIGNATURAS!$B$2:$J$91,9,FALSE()),""))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IF(DATOS!$A15110="",0,IF(CONFIG_METADATA!$B$4&lt;&gt;"OR+EX",--(DATOS!$G15110=CONFIG_METADATA!$B$4),IF(DATOS!$G15110="EX",1,IF(DATOS!$G15110="OR",--(COUNTIFS(nNIA,DATOS!$A15110,nCURSO,DATOS!$D15110,nESPEC,DATOS!$E15110,nASIG,DATOS!$I15110,nEVAL,"EX")=0),0))))</f>
      </c>
      <c r="H15110">
        <f>IF(DATOS!$G15110&lt;&gt;"EX",0,--(COUNTIFS(nNIA,DATOS!$A15110,nCURSO,DATOS!$D15110,nESPEC,DATOS!$E15110,nASIG,DATOS!$I15110,nEVAL,"OR")=0))</f>
      </c>
      <c r="I15110">
        <f>IF(DATOS!$I15110="","",IFERROR(VLOOKUP(DATOS!$I15110,CONFIG_ASIGNATURAS!$B$2:$J$91,9,FALSE()),""))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IF(DATOS!$A15111="",0,IF(CONFIG_METADATA!$B$4&lt;&gt;"OR+EX",--(DATOS!$G15111=CONFIG_METADATA!$B$4),IF(DATOS!$G15111="EX",1,IF(DATOS!$G15111="OR",--(COUNTIFS(nNIA,DATOS!$A15111,nCURSO,DATOS!$D15111,nESPEC,DATOS!$E15111,nASIG,DATOS!$I15111,nEVAL,"EX")=0),0))))</f>
      </c>
      <c r="H15111">
        <f>IF(DATOS!$G15111&lt;&gt;"EX",0,--(COUNTIFS(nNIA,DATOS!$A15111,nCURSO,DATOS!$D15111,nESPEC,DATOS!$E15111,nASIG,DATOS!$I15111,nEVAL,"OR")=0))</f>
      </c>
      <c r="I15111">
        <f>IF(DATOS!$I15111="","",IFERROR(VLOOKUP(DATOS!$I15111,CONFIG_ASIGNATURAS!$B$2:$J$91,9,FALSE()),""))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IF(DATOS!$A15112="",0,IF(CONFIG_METADATA!$B$4&lt;&gt;"OR+EX",--(DATOS!$G15112=CONFIG_METADATA!$B$4),IF(DATOS!$G15112="EX",1,IF(DATOS!$G15112="OR",--(COUNTIFS(nNIA,DATOS!$A15112,nCURSO,DATOS!$D15112,nESPEC,DATOS!$E15112,nASIG,DATOS!$I15112,nEVAL,"EX")=0),0))))</f>
      </c>
      <c r="H15112">
        <f>IF(DATOS!$G15112&lt;&gt;"EX",0,--(COUNTIFS(nNIA,DATOS!$A15112,nCURSO,DATOS!$D15112,nESPEC,DATOS!$E15112,nASIG,DATOS!$I15112,nEVAL,"OR")=0))</f>
      </c>
      <c r="I15112">
        <f>IF(DATOS!$I15112="","",IFERROR(VLOOKUP(DATOS!$I15112,CONFIG_ASIGNATURAS!$B$2:$J$91,9,FALSE()),""))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IF(DATOS!$A15113="",0,IF(CONFIG_METADATA!$B$4&lt;&gt;"OR+EX",--(DATOS!$G15113=CONFIG_METADATA!$B$4),IF(DATOS!$G15113="EX",1,IF(DATOS!$G15113="OR",--(COUNTIFS(nNIA,DATOS!$A15113,nCURSO,DATOS!$D15113,nESPEC,DATOS!$E15113,nASIG,DATOS!$I15113,nEVAL,"EX")=0),0))))</f>
      </c>
      <c r="H15113">
        <f>IF(DATOS!$G15113&lt;&gt;"EX",0,--(COUNTIFS(nNIA,DATOS!$A15113,nCURSO,DATOS!$D15113,nESPEC,DATOS!$E15113,nASIG,DATOS!$I15113,nEVAL,"OR")=0))</f>
      </c>
      <c r="I15113">
        <f>IF(DATOS!$I15113="","",IFERROR(VLOOKUP(DATOS!$I15113,CONFIG_ASIGNATURAS!$B$2:$J$91,9,FALSE()),""))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IF(DATOS!$A15114="",0,IF(CONFIG_METADATA!$B$4&lt;&gt;"OR+EX",--(DATOS!$G15114=CONFIG_METADATA!$B$4),IF(DATOS!$G15114="EX",1,IF(DATOS!$G15114="OR",--(COUNTIFS(nNIA,DATOS!$A15114,nCURSO,DATOS!$D15114,nESPEC,DATOS!$E15114,nASIG,DATOS!$I15114,nEVAL,"EX")=0),0))))</f>
      </c>
      <c r="H15114">
        <f>IF(DATOS!$G15114&lt;&gt;"EX",0,--(COUNTIFS(nNIA,DATOS!$A15114,nCURSO,DATOS!$D15114,nESPEC,DATOS!$E15114,nASIG,DATOS!$I15114,nEVAL,"OR")=0))</f>
      </c>
      <c r="I15114">
        <f>IF(DATOS!$I15114="","",IFERROR(VLOOKUP(DATOS!$I15114,CONFIG_ASIGNATURAS!$B$2:$J$91,9,FALSE()),""))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IF(DATOS!$A15115="",0,IF(CONFIG_METADATA!$B$4&lt;&gt;"OR+EX",--(DATOS!$G15115=CONFIG_METADATA!$B$4),IF(DATOS!$G15115="EX",1,IF(DATOS!$G15115="OR",--(COUNTIFS(nNIA,DATOS!$A15115,nCURSO,DATOS!$D15115,nESPEC,DATOS!$E15115,nASIG,DATOS!$I15115,nEVAL,"EX")=0),0))))</f>
      </c>
      <c r="H15115">
        <f>IF(DATOS!$G15115&lt;&gt;"EX",0,--(COUNTIFS(nNIA,DATOS!$A15115,nCURSO,DATOS!$D15115,nESPEC,DATOS!$E15115,nASIG,DATOS!$I15115,nEVAL,"OR")=0))</f>
      </c>
      <c r="I15115">
        <f>IF(DATOS!$I15115="","",IFERROR(VLOOKUP(DATOS!$I15115,CONFIG_ASIGNATURAS!$B$2:$J$91,9,FALSE()),""))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IF(DATOS!$A15116="",0,IF(CONFIG_METADATA!$B$4&lt;&gt;"OR+EX",--(DATOS!$G15116=CONFIG_METADATA!$B$4),IF(DATOS!$G15116="EX",1,IF(DATOS!$G15116="OR",--(COUNTIFS(nNIA,DATOS!$A15116,nCURSO,DATOS!$D15116,nESPEC,DATOS!$E15116,nASIG,DATOS!$I15116,nEVAL,"EX")=0),0))))</f>
      </c>
      <c r="H15116">
        <f>IF(DATOS!$G15116&lt;&gt;"EX",0,--(COUNTIFS(nNIA,DATOS!$A15116,nCURSO,DATOS!$D15116,nESPEC,DATOS!$E15116,nASIG,DATOS!$I15116,nEVAL,"OR")=0))</f>
      </c>
      <c r="I15116">
        <f>IF(DATOS!$I15116="","",IFERROR(VLOOKUP(DATOS!$I15116,CONFIG_ASIGNATURAS!$B$2:$J$91,9,FALSE()),""))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IF(DATOS!$A15117="",0,IF(CONFIG_METADATA!$B$4&lt;&gt;"OR+EX",--(DATOS!$G15117=CONFIG_METADATA!$B$4),IF(DATOS!$G15117="EX",1,IF(DATOS!$G15117="OR",--(COUNTIFS(nNIA,DATOS!$A15117,nCURSO,DATOS!$D15117,nESPEC,DATOS!$E15117,nASIG,DATOS!$I15117,nEVAL,"EX")=0),0))))</f>
      </c>
      <c r="H15117">
        <f>IF(DATOS!$G15117&lt;&gt;"EX",0,--(COUNTIFS(nNIA,DATOS!$A15117,nCURSO,DATOS!$D15117,nESPEC,DATOS!$E15117,nASIG,DATOS!$I15117,nEVAL,"OR")=0))</f>
      </c>
      <c r="I15117">
        <f>IF(DATOS!$I15117="","",IFERROR(VLOOKUP(DATOS!$I15117,CONFIG_ASIGNATURAS!$B$2:$J$91,9,FALSE()),""))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IF(DATOS!$A15118="",0,IF(CONFIG_METADATA!$B$4&lt;&gt;"OR+EX",--(DATOS!$G15118=CONFIG_METADATA!$B$4),IF(DATOS!$G15118="EX",1,IF(DATOS!$G15118="OR",--(COUNTIFS(nNIA,DATOS!$A15118,nCURSO,DATOS!$D15118,nESPEC,DATOS!$E15118,nASIG,DATOS!$I15118,nEVAL,"EX")=0),0))))</f>
      </c>
      <c r="H15118">
        <f>IF(DATOS!$G15118&lt;&gt;"EX",0,--(COUNTIFS(nNIA,DATOS!$A15118,nCURSO,DATOS!$D15118,nESPEC,DATOS!$E15118,nASIG,DATOS!$I15118,nEVAL,"OR")=0))</f>
      </c>
      <c r="I15118">
        <f>IF(DATOS!$I15118="","",IFERROR(VLOOKUP(DATOS!$I15118,CONFIG_ASIGNATURAS!$B$2:$J$91,9,FALSE()),""))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IF(DATOS!$A15119="",0,IF(CONFIG_METADATA!$B$4&lt;&gt;"OR+EX",--(DATOS!$G15119=CONFIG_METADATA!$B$4),IF(DATOS!$G15119="EX",1,IF(DATOS!$G15119="OR",--(COUNTIFS(nNIA,DATOS!$A15119,nCURSO,DATOS!$D15119,nESPEC,DATOS!$E15119,nASIG,DATOS!$I15119,nEVAL,"EX")=0),0))))</f>
      </c>
      <c r="H15119">
        <f>IF(DATOS!$G15119&lt;&gt;"EX",0,--(COUNTIFS(nNIA,DATOS!$A15119,nCURSO,DATOS!$D15119,nESPEC,DATOS!$E15119,nASIG,DATOS!$I15119,nEVAL,"OR")=0))</f>
      </c>
      <c r="I15119">
        <f>IF(DATOS!$I15119="","",IFERROR(VLOOKUP(DATOS!$I15119,CONFIG_ASIGNATURAS!$B$2:$J$91,9,FALSE()),""))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IF(DATOS!$A15120="",0,IF(CONFIG_METADATA!$B$4&lt;&gt;"OR+EX",--(DATOS!$G15120=CONFIG_METADATA!$B$4),IF(DATOS!$G15120="EX",1,IF(DATOS!$G15120="OR",--(COUNTIFS(nNIA,DATOS!$A15120,nCURSO,DATOS!$D15120,nESPEC,DATOS!$E15120,nASIG,DATOS!$I15120,nEVAL,"EX")=0),0))))</f>
      </c>
      <c r="H15120">
        <f>IF(DATOS!$G15120&lt;&gt;"EX",0,--(COUNTIFS(nNIA,DATOS!$A15120,nCURSO,DATOS!$D15120,nESPEC,DATOS!$E15120,nASIG,DATOS!$I15120,nEVAL,"OR")=0))</f>
      </c>
      <c r="I15120">
        <f>IF(DATOS!$I15120="","",IFERROR(VLOOKUP(DATOS!$I15120,CONFIG_ASIGNATURAS!$B$2:$J$91,9,FALSE()),""))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IF(DATOS!$A15121="",0,IF(CONFIG_METADATA!$B$4&lt;&gt;"OR+EX",--(DATOS!$G15121=CONFIG_METADATA!$B$4),IF(DATOS!$G15121="EX",1,IF(DATOS!$G15121="OR",--(COUNTIFS(nNIA,DATOS!$A15121,nCURSO,DATOS!$D15121,nESPEC,DATOS!$E15121,nASIG,DATOS!$I15121,nEVAL,"EX")=0),0))))</f>
      </c>
      <c r="H15121">
        <f>IF(DATOS!$G15121&lt;&gt;"EX",0,--(COUNTIFS(nNIA,DATOS!$A15121,nCURSO,DATOS!$D15121,nESPEC,DATOS!$E15121,nASIG,DATOS!$I15121,nEVAL,"OR")=0))</f>
      </c>
      <c r="I15121">
        <f>IF(DATOS!$I15121="","",IFERROR(VLOOKUP(DATOS!$I15121,CONFIG_ASIGNATURAS!$B$2:$J$91,9,FALSE()),""))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IF(DATOS!$A15122="",0,IF(CONFIG_METADATA!$B$4&lt;&gt;"OR+EX",--(DATOS!$G15122=CONFIG_METADATA!$B$4),IF(DATOS!$G15122="EX",1,IF(DATOS!$G15122="OR",--(COUNTIFS(nNIA,DATOS!$A15122,nCURSO,DATOS!$D15122,nESPEC,DATOS!$E15122,nASIG,DATOS!$I15122,nEVAL,"EX")=0),0))))</f>
      </c>
      <c r="H15122">
        <f>IF(DATOS!$G15122&lt;&gt;"EX",0,--(COUNTIFS(nNIA,DATOS!$A15122,nCURSO,DATOS!$D15122,nESPEC,DATOS!$E15122,nASIG,DATOS!$I15122,nEVAL,"OR")=0))</f>
      </c>
      <c r="I15122">
        <f>IF(DATOS!$I15122="","",IFERROR(VLOOKUP(DATOS!$I15122,CONFIG_ASIGNATURAS!$B$2:$J$91,9,FALSE()),""))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IF(DATOS!$A15123="",0,IF(CONFIG_METADATA!$B$4&lt;&gt;"OR+EX",--(DATOS!$G15123=CONFIG_METADATA!$B$4),IF(DATOS!$G15123="EX",1,IF(DATOS!$G15123="OR",--(COUNTIFS(nNIA,DATOS!$A15123,nCURSO,DATOS!$D15123,nESPEC,DATOS!$E15123,nASIG,DATOS!$I15123,nEVAL,"EX")=0),0))))</f>
      </c>
      <c r="H15123">
        <f>IF(DATOS!$G15123&lt;&gt;"EX",0,--(COUNTIFS(nNIA,DATOS!$A15123,nCURSO,DATOS!$D15123,nESPEC,DATOS!$E15123,nASIG,DATOS!$I15123,nEVAL,"OR")=0))</f>
      </c>
      <c r="I15123">
        <f>IF(DATOS!$I15123="","",IFERROR(VLOOKUP(DATOS!$I15123,CONFIG_ASIGNATURAS!$B$2:$J$91,9,FALSE()),""))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IF(DATOS!$A15124="",0,IF(CONFIG_METADATA!$B$4&lt;&gt;"OR+EX",--(DATOS!$G15124=CONFIG_METADATA!$B$4),IF(DATOS!$G15124="EX",1,IF(DATOS!$G15124="OR",--(COUNTIFS(nNIA,DATOS!$A15124,nCURSO,DATOS!$D15124,nESPEC,DATOS!$E15124,nASIG,DATOS!$I15124,nEVAL,"EX")=0),0))))</f>
      </c>
      <c r="H15124">
        <f>IF(DATOS!$G15124&lt;&gt;"EX",0,--(COUNTIFS(nNIA,DATOS!$A15124,nCURSO,DATOS!$D15124,nESPEC,DATOS!$E15124,nASIG,DATOS!$I15124,nEVAL,"OR")=0))</f>
      </c>
      <c r="I15124">
        <f>IF(DATOS!$I15124="","",IFERROR(VLOOKUP(DATOS!$I15124,CONFIG_ASIGNATURAS!$B$2:$J$91,9,FALSE()),""))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IF(DATOS!$A15125="",0,IF(CONFIG_METADATA!$B$4&lt;&gt;"OR+EX",--(DATOS!$G15125=CONFIG_METADATA!$B$4),IF(DATOS!$G15125="EX",1,IF(DATOS!$G15125="OR",--(COUNTIFS(nNIA,DATOS!$A15125,nCURSO,DATOS!$D15125,nESPEC,DATOS!$E15125,nASIG,DATOS!$I15125,nEVAL,"EX")=0),0))))</f>
      </c>
      <c r="H15125">
        <f>IF(DATOS!$G15125&lt;&gt;"EX",0,--(COUNTIFS(nNIA,DATOS!$A15125,nCURSO,DATOS!$D15125,nESPEC,DATOS!$E15125,nASIG,DATOS!$I15125,nEVAL,"OR")=0))</f>
      </c>
      <c r="I15125">
        <f>IF(DATOS!$I15125="","",IFERROR(VLOOKUP(DATOS!$I15125,CONFIG_ASIGNATURAS!$B$2:$J$91,9,FALSE()),""))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IF(DATOS!$A15126="",0,IF(CONFIG_METADATA!$B$4&lt;&gt;"OR+EX",--(DATOS!$G15126=CONFIG_METADATA!$B$4),IF(DATOS!$G15126="EX",1,IF(DATOS!$G15126="OR",--(COUNTIFS(nNIA,DATOS!$A15126,nCURSO,DATOS!$D15126,nESPEC,DATOS!$E15126,nASIG,DATOS!$I15126,nEVAL,"EX")=0),0))))</f>
      </c>
      <c r="H15126">
        <f>IF(DATOS!$G15126&lt;&gt;"EX",0,--(COUNTIFS(nNIA,DATOS!$A15126,nCURSO,DATOS!$D15126,nESPEC,DATOS!$E15126,nASIG,DATOS!$I15126,nEVAL,"OR")=0))</f>
      </c>
      <c r="I15126">
        <f>IF(DATOS!$I15126="","",IFERROR(VLOOKUP(DATOS!$I15126,CONFIG_ASIGNATURAS!$B$2:$J$91,9,FALSE()),""))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IF(DATOS!$A15127="",0,IF(CONFIG_METADATA!$B$4&lt;&gt;"OR+EX",--(DATOS!$G15127=CONFIG_METADATA!$B$4),IF(DATOS!$G15127="EX",1,IF(DATOS!$G15127="OR",--(COUNTIFS(nNIA,DATOS!$A15127,nCURSO,DATOS!$D15127,nESPEC,DATOS!$E15127,nASIG,DATOS!$I15127,nEVAL,"EX")=0),0))))</f>
      </c>
      <c r="H15127">
        <f>IF(DATOS!$G15127&lt;&gt;"EX",0,--(COUNTIFS(nNIA,DATOS!$A15127,nCURSO,DATOS!$D15127,nESPEC,DATOS!$E15127,nASIG,DATOS!$I15127,nEVAL,"OR")=0))</f>
      </c>
      <c r="I15127">
        <f>IF(DATOS!$I15127="","",IFERROR(VLOOKUP(DATOS!$I15127,CONFIG_ASIGNATURAS!$B$2:$J$91,9,FALSE()),""))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IF(DATOS!$A15128="",0,IF(CONFIG_METADATA!$B$4&lt;&gt;"OR+EX",--(DATOS!$G15128=CONFIG_METADATA!$B$4),IF(DATOS!$G15128="EX",1,IF(DATOS!$G15128="OR",--(COUNTIFS(nNIA,DATOS!$A15128,nCURSO,DATOS!$D15128,nESPEC,DATOS!$E15128,nASIG,DATOS!$I15128,nEVAL,"EX")=0),0))))</f>
      </c>
      <c r="H15128">
        <f>IF(DATOS!$G15128&lt;&gt;"EX",0,--(COUNTIFS(nNIA,DATOS!$A15128,nCURSO,DATOS!$D15128,nESPEC,DATOS!$E15128,nASIG,DATOS!$I15128,nEVAL,"OR")=0))</f>
      </c>
      <c r="I15128">
        <f>IF(DATOS!$I15128="","",IFERROR(VLOOKUP(DATOS!$I15128,CONFIG_ASIGNATURAS!$B$2:$J$91,9,FALSE()),""))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IF(DATOS!$A15129="",0,IF(CONFIG_METADATA!$B$4&lt;&gt;"OR+EX",--(DATOS!$G15129=CONFIG_METADATA!$B$4),IF(DATOS!$G15129="EX",1,IF(DATOS!$G15129="OR",--(COUNTIFS(nNIA,DATOS!$A15129,nCURSO,DATOS!$D15129,nESPEC,DATOS!$E15129,nASIG,DATOS!$I15129,nEVAL,"EX")=0),0))))</f>
      </c>
      <c r="H15129">
        <f>IF(DATOS!$G15129&lt;&gt;"EX",0,--(COUNTIFS(nNIA,DATOS!$A15129,nCURSO,DATOS!$D15129,nESPEC,DATOS!$E15129,nASIG,DATOS!$I15129,nEVAL,"OR")=0))</f>
      </c>
      <c r="I15129">
        <f>IF(DATOS!$I15129="","",IFERROR(VLOOKUP(DATOS!$I15129,CONFIG_ASIGNATURAS!$B$2:$J$91,9,FALSE()),""))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IF(DATOS!$A15130="",0,IF(CONFIG_METADATA!$B$4&lt;&gt;"OR+EX",--(DATOS!$G15130=CONFIG_METADATA!$B$4),IF(DATOS!$G15130="EX",1,IF(DATOS!$G15130="OR",--(COUNTIFS(nNIA,DATOS!$A15130,nCURSO,DATOS!$D15130,nESPEC,DATOS!$E15130,nASIG,DATOS!$I15130,nEVAL,"EX")=0),0))))</f>
      </c>
      <c r="H15130">
        <f>IF(DATOS!$G15130&lt;&gt;"EX",0,--(COUNTIFS(nNIA,DATOS!$A15130,nCURSO,DATOS!$D15130,nESPEC,DATOS!$E15130,nASIG,DATOS!$I15130,nEVAL,"OR")=0))</f>
      </c>
      <c r="I15130">
        <f>IF(DATOS!$I15130="","",IFERROR(VLOOKUP(DATOS!$I15130,CONFIG_ASIGNATURAS!$B$2:$J$91,9,FALSE()),""))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IF(DATOS!$A15131="",0,IF(CONFIG_METADATA!$B$4&lt;&gt;"OR+EX",--(DATOS!$G15131=CONFIG_METADATA!$B$4),IF(DATOS!$G15131="EX",1,IF(DATOS!$G15131="OR",--(COUNTIFS(nNIA,DATOS!$A15131,nCURSO,DATOS!$D15131,nESPEC,DATOS!$E15131,nASIG,DATOS!$I15131,nEVAL,"EX")=0),0))))</f>
      </c>
      <c r="H15131">
        <f>IF(DATOS!$G15131&lt;&gt;"EX",0,--(COUNTIFS(nNIA,DATOS!$A15131,nCURSO,DATOS!$D15131,nESPEC,DATOS!$E15131,nASIG,DATOS!$I15131,nEVAL,"OR")=0))</f>
      </c>
      <c r="I15131">
        <f>IF(DATOS!$I15131="","",IFERROR(VLOOKUP(DATOS!$I15131,CONFIG_ASIGNATURAS!$B$2:$J$91,9,FALSE()),""))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IF(DATOS!$A15132="",0,IF(CONFIG_METADATA!$B$4&lt;&gt;"OR+EX",--(DATOS!$G15132=CONFIG_METADATA!$B$4),IF(DATOS!$G15132="EX",1,IF(DATOS!$G15132="OR",--(COUNTIFS(nNIA,DATOS!$A15132,nCURSO,DATOS!$D15132,nESPEC,DATOS!$E15132,nASIG,DATOS!$I15132,nEVAL,"EX")=0),0))))</f>
      </c>
      <c r="H15132">
        <f>IF(DATOS!$G15132&lt;&gt;"EX",0,--(COUNTIFS(nNIA,DATOS!$A15132,nCURSO,DATOS!$D15132,nESPEC,DATOS!$E15132,nASIG,DATOS!$I15132,nEVAL,"OR")=0))</f>
      </c>
      <c r="I15132">
        <f>IF(DATOS!$I15132="","",IFERROR(VLOOKUP(DATOS!$I15132,CONFIG_ASIGNATURAS!$B$2:$J$91,9,FALSE()),""))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IF(DATOS!$A15133="",0,IF(CONFIG_METADATA!$B$4&lt;&gt;"OR+EX",--(DATOS!$G15133=CONFIG_METADATA!$B$4),IF(DATOS!$G15133="EX",1,IF(DATOS!$G15133="OR",--(COUNTIFS(nNIA,DATOS!$A15133,nCURSO,DATOS!$D15133,nESPEC,DATOS!$E15133,nASIG,DATOS!$I15133,nEVAL,"EX")=0),0))))</f>
      </c>
      <c r="H15133">
        <f>IF(DATOS!$G15133&lt;&gt;"EX",0,--(COUNTIFS(nNIA,DATOS!$A15133,nCURSO,DATOS!$D15133,nESPEC,DATOS!$E15133,nASIG,DATOS!$I15133,nEVAL,"OR")=0))</f>
      </c>
      <c r="I15133">
        <f>IF(DATOS!$I15133="","",IFERROR(VLOOKUP(DATOS!$I15133,CONFIG_ASIGNATURAS!$B$2:$J$91,9,FALSE()),""))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IF(DATOS!$A15134="",0,IF(CONFIG_METADATA!$B$4&lt;&gt;"OR+EX",--(DATOS!$G15134=CONFIG_METADATA!$B$4),IF(DATOS!$G15134="EX",1,IF(DATOS!$G15134="OR",--(COUNTIFS(nNIA,DATOS!$A15134,nCURSO,DATOS!$D15134,nESPEC,DATOS!$E15134,nASIG,DATOS!$I15134,nEVAL,"EX")=0),0))))</f>
      </c>
      <c r="H15134">
        <f>IF(DATOS!$G15134&lt;&gt;"EX",0,--(COUNTIFS(nNIA,DATOS!$A15134,nCURSO,DATOS!$D15134,nESPEC,DATOS!$E15134,nASIG,DATOS!$I15134,nEVAL,"OR")=0))</f>
      </c>
      <c r="I15134">
        <f>IF(DATOS!$I15134="","",IFERROR(VLOOKUP(DATOS!$I15134,CONFIG_ASIGNATURAS!$B$2:$J$91,9,FALSE()),""))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IF(DATOS!$A15135="",0,IF(CONFIG_METADATA!$B$4&lt;&gt;"OR+EX",--(DATOS!$G15135=CONFIG_METADATA!$B$4),IF(DATOS!$G15135="EX",1,IF(DATOS!$G15135="OR",--(COUNTIFS(nNIA,DATOS!$A15135,nCURSO,DATOS!$D15135,nESPEC,DATOS!$E15135,nASIG,DATOS!$I15135,nEVAL,"EX")=0),0))))</f>
      </c>
      <c r="H15135">
        <f>IF(DATOS!$G15135&lt;&gt;"EX",0,--(COUNTIFS(nNIA,DATOS!$A15135,nCURSO,DATOS!$D15135,nESPEC,DATOS!$E15135,nASIG,DATOS!$I15135,nEVAL,"OR")=0))</f>
      </c>
      <c r="I15135">
        <f>IF(DATOS!$I15135="","",IFERROR(VLOOKUP(DATOS!$I15135,CONFIG_ASIGNATURAS!$B$2:$J$91,9,FALSE()),""))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IF(DATOS!$A15136="",0,IF(CONFIG_METADATA!$B$4&lt;&gt;"OR+EX",--(DATOS!$G15136=CONFIG_METADATA!$B$4),IF(DATOS!$G15136="EX",1,IF(DATOS!$G15136="OR",--(COUNTIFS(nNIA,DATOS!$A15136,nCURSO,DATOS!$D15136,nESPEC,DATOS!$E15136,nASIG,DATOS!$I15136,nEVAL,"EX")=0),0))))</f>
      </c>
      <c r="H15136">
        <f>IF(DATOS!$G15136&lt;&gt;"EX",0,--(COUNTIFS(nNIA,DATOS!$A15136,nCURSO,DATOS!$D15136,nESPEC,DATOS!$E15136,nASIG,DATOS!$I15136,nEVAL,"OR")=0))</f>
      </c>
      <c r="I15136">
        <f>IF(DATOS!$I15136="","",IFERROR(VLOOKUP(DATOS!$I15136,CONFIG_ASIGNATURAS!$B$2:$J$91,9,FALSE()),""))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IF(DATOS!$A15137="",0,IF(CONFIG_METADATA!$B$4&lt;&gt;"OR+EX",--(DATOS!$G15137=CONFIG_METADATA!$B$4),IF(DATOS!$G15137="EX",1,IF(DATOS!$G15137="OR",--(COUNTIFS(nNIA,DATOS!$A15137,nCURSO,DATOS!$D15137,nESPEC,DATOS!$E15137,nASIG,DATOS!$I15137,nEVAL,"EX")=0),0))))</f>
      </c>
      <c r="H15137">
        <f>IF(DATOS!$G15137&lt;&gt;"EX",0,--(COUNTIFS(nNIA,DATOS!$A15137,nCURSO,DATOS!$D15137,nESPEC,DATOS!$E15137,nASIG,DATOS!$I15137,nEVAL,"OR")=0))</f>
      </c>
      <c r="I15137">
        <f>IF(DATOS!$I15137="","",IFERROR(VLOOKUP(DATOS!$I15137,CONFIG_ASIGNATURAS!$B$2:$J$91,9,FALSE()),""))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IF(DATOS!$A15138="",0,IF(CONFIG_METADATA!$B$4&lt;&gt;"OR+EX",--(DATOS!$G15138=CONFIG_METADATA!$B$4),IF(DATOS!$G15138="EX",1,IF(DATOS!$G15138="OR",--(COUNTIFS(nNIA,DATOS!$A15138,nCURSO,DATOS!$D15138,nESPEC,DATOS!$E15138,nASIG,DATOS!$I15138,nEVAL,"EX")=0),0))))</f>
      </c>
      <c r="H15138">
        <f>IF(DATOS!$G15138&lt;&gt;"EX",0,--(COUNTIFS(nNIA,DATOS!$A15138,nCURSO,DATOS!$D15138,nESPEC,DATOS!$E15138,nASIG,DATOS!$I15138,nEVAL,"OR")=0))</f>
      </c>
      <c r="I15138">
        <f>IF(DATOS!$I15138="","",IFERROR(VLOOKUP(DATOS!$I15138,CONFIG_ASIGNATURAS!$B$2:$J$91,9,FALSE()),""))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IF(DATOS!$A15139="",0,IF(CONFIG_METADATA!$B$4&lt;&gt;"OR+EX",--(DATOS!$G15139=CONFIG_METADATA!$B$4),IF(DATOS!$G15139="EX",1,IF(DATOS!$G15139="OR",--(COUNTIFS(nNIA,DATOS!$A15139,nCURSO,DATOS!$D15139,nESPEC,DATOS!$E15139,nASIG,DATOS!$I15139,nEVAL,"EX")=0),0))))</f>
      </c>
      <c r="H15139">
        <f>IF(DATOS!$G15139&lt;&gt;"EX",0,--(COUNTIFS(nNIA,DATOS!$A15139,nCURSO,DATOS!$D15139,nESPEC,DATOS!$E15139,nASIG,DATOS!$I15139,nEVAL,"OR")=0))</f>
      </c>
      <c r="I15139">
        <f>IF(DATOS!$I15139="","",IFERROR(VLOOKUP(DATOS!$I15139,CONFIG_ASIGNATURAS!$B$2:$J$91,9,FALSE()),""))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IF(DATOS!$A15140="",0,IF(CONFIG_METADATA!$B$4&lt;&gt;"OR+EX",--(DATOS!$G15140=CONFIG_METADATA!$B$4),IF(DATOS!$G15140="EX",1,IF(DATOS!$G15140="OR",--(COUNTIFS(nNIA,DATOS!$A15140,nCURSO,DATOS!$D15140,nESPEC,DATOS!$E15140,nASIG,DATOS!$I15140,nEVAL,"EX")=0),0))))</f>
      </c>
      <c r="H15140">
        <f>IF(DATOS!$G15140&lt;&gt;"EX",0,--(COUNTIFS(nNIA,DATOS!$A15140,nCURSO,DATOS!$D15140,nESPEC,DATOS!$E15140,nASIG,DATOS!$I15140,nEVAL,"OR")=0))</f>
      </c>
      <c r="I15140">
        <f>IF(DATOS!$I15140="","",IFERROR(VLOOKUP(DATOS!$I15140,CONFIG_ASIGNATURAS!$B$2:$J$91,9,FALSE()),""))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IF(DATOS!$A15141="",0,IF(CONFIG_METADATA!$B$4&lt;&gt;"OR+EX",--(DATOS!$G15141=CONFIG_METADATA!$B$4),IF(DATOS!$G15141="EX",1,IF(DATOS!$G15141="OR",--(COUNTIFS(nNIA,DATOS!$A15141,nCURSO,DATOS!$D15141,nESPEC,DATOS!$E15141,nASIG,DATOS!$I15141,nEVAL,"EX")=0),0))))</f>
      </c>
      <c r="H15141">
        <f>IF(DATOS!$G15141&lt;&gt;"EX",0,--(COUNTIFS(nNIA,DATOS!$A15141,nCURSO,DATOS!$D15141,nESPEC,DATOS!$E15141,nASIG,DATOS!$I15141,nEVAL,"OR")=0))</f>
      </c>
      <c r="I15141">
        <f>IF(DATOS!$I15141="","",IFERROR(VLOOKUP(DATOS!$I15141,CONFIG_ASIGNATURAS!$B$2:$J$91,9,FALSE()),""))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IF(DATOS!$A15142="",0,IF(CONFIG_METADATA!$B$4&lt;&gt;"OR+EX",--(DATOS!$G15142=CONFIG_METADATA!$B$4),IF(DATOS!$G15142="EX",1,IF(DATOS!$G15142="OR",--(COUNTIFS(nNIA,DATOS!$A15142,nCURSO,DATOS!$D15142,nESPEC,DATOS!$E15142,nASIG,DATOS!$I15142,nEVAL,"EX")=0),0))))</f>
      </c>
      <c r="H15142">
        <f>IF(DATOS!$G15142&lt;&gt;"EX",0,--(COUNTIFS(nNIA,DATOS!$A15142,nCURSO,DATOS!$D15142,nESPEC,DATOS!$E15142,nASIG,DATOS!$I15142,nEVAL,"OR")=0))</f>
      </c>
      <c r="I15142">
        <f>IF(DATOS!$I15142="","",IFERROR(VLOOKUP(DATOS!$I15142,CONFIG_ASIGNATURAS!$B$2:$J$91,9,FALSE()),""))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IF(DATOS!$A15143="",0,IF(CONFIG_METADATA!$B$4&lt;&gt;"OR+EX",--(DATOS!$G15143=CONFIG_METADATA!$B$4),IF(DATOS!$G15143="EX",1,IF(DATOS!$G15143="OR",--(COUNTIFS(nNIA,DATOS!$A15143,nCURSO,DATOS!$D15143,nESPEC,DATOS!$E15143,nASIG,DATOS!$I15143,nEVAL,"EX")=0),0))))</f>
      </c>
      <c r="H15143">
        <f>IF(DATOS!$G15143&lt;&gt;"EX",0,--(COUNTIFS(nNIA,DATOS!$A15143,nCURSO,DATOS!$D15143,nESPEC,DATOS!$E15143,nASIG,DATOS!$I15143,nEVAL,"OR")=0))</f>
      </c>
      <c r="I15143">
        <f>IF(DATOS!$I15143="","",IFERROR(VLOOKUP(DATOS!$I15143,CONFIG_ASIGNATURAS!$B$2:$J$91,9,FALSE()),""))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IF(DATOS!$A15144="",0,IF(CONFIG_METADATA!$B$4&lt;&gt;"OR+EX",--(DATOS!$G15144=CONFIG_METADATA!$B$4),IF(DATOS!$G15144="EX",1,IF(DATOS!$G15144="OR",--(COUNTIFS(nNIA,DATOS!$A15144,nCURSO,DATOS!$D15144,nESPEC,DATOS!$E15144,nASIG,DATOS!$I15144,nEVAL,"EX")=0),0))))</f>
      </c>
      <c r="H15144">
        <f>IF(DATOS!$G15144&lt;&gt;"EX",0,--(COUNTIFS(nNIA,DATOS!$A15144,nCURSO,DATOS!$D15144,nESPEC,DATOS!$E15144,nASIG,DATOS!$I15144,nEVAL,"OR")=0))</f>
      </c>
      <c r="I15144">
        <f>IF(DATOS!$I15144="","",IFERROR(VLOOKUP(DATOS!$I15144,CONFIG_ASIGNATURAS!$B$2:$J$91,9,FALSE()),""))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IF(DATOS!$A15145="",0,IF(CONFIG_METADATA!$B$4&lt;&gt;"OR+EX",--(DATOS!$G15145=CONFIG_METADATA!$B$4),IF(DATOS!$G15145="EX",1,IF(DATOS!$G15145="OR",--(COUNTIFS(nNIA,DATOS!$A15145,nCURSO,DATOS!$D15145,nESPEC,DATOS!$E15145,nASIG,DATOS!$I15145,nEVAL,"EX")=0),0))))</f>
      </c>
      <c r="H15145">
        <f>IF(DATOS!$G15145&lt;&gt;"EX",0,--(COUNTIFS(nNIA,DATOS!$A15145,nCURSO,DATOS!$D15145,nESPEC,DATOS!$E15145,nASIG,DATOS!$I15145,nEVAL,"OR")=0))</f>
      </c>
      <c r="I15145">
        <f>IF(DATOS!$I15145="","",IFERROR(VLOOKUP(DATOS!$I15145,CONFIG_ASIGNATURAS!$B$2:$J$91,9,FALSE()),""))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IF(DATOS!$A15146="",0,IF(CONFIG_METADATA!$B$4&lt;&gt;"OR+EX",--(DATOS!$G15146=CONFIG_METADATA!$B$4),IF(DATOS!$G15146="EX",1,IF(DATOS!$G15146="OR",--(COUNTIFS(nNIA,DATOS!$A15146,nCURSO,DATOS!$D15146,nESPEC,DATOS!$E15146,nASIG,DATOS!$I15146,nEVAL,"EX")=0),0))))</f>
      </c>
      <c r="H15146">
        <f>IF(DATOS!$G15146&lt;&gt;"EX",0,--(COUNTIFS(nNIA,DATOS!$A15146,nCURSO,DATOS!$D15146,nESPEC,DATOS!$E15146,nASIG,DATOS!$I15146,nEVAL,"OR")=0))</f>
      </c>
      <c r="I15146">
        <f>IF(DATOS!$I15146="","",IFERROR(VLOOKUP(DATOS!$I15146,CONFIG_ASIGNATURAS!$B$2:$J$91,9,FALSE()),""))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IF(DATOS!$A15147="",0,IF(CONFIG_METADATA!$B$4&lt;&gt;"OR+EX",--(DATOS!$G15147=CONFIG_METADATA!$B$4),IF(DATOS!$G15147="EX",1,IF(DATOS!$G15147="OR",--(COUNTIFS(nNIA,DATOS!$A15147,nCURSO,DATOS!$D15147,nESPEC,DATOS!$E15147,nASIG,DATOS!$I15147,nEVAL,"EX")=0),0))))</f>
      </c>
      <c r="H15147">
        <f>IF(DATOS!$G15147&lt;&gt;"EX",0,--(COUNTIFS(nNIA,DATOS!$A15147,nCURSO,DATOS!$D15147,nESPEC,DATOS!$E15147,nASIG,DATOS!$I15147,nEVAL,"OR")=0))</f>
      </c>
      <c r="I15147">
        <f>IF(DATOS!$I15147="","",IFERROR(VLOOKUP(DATOS!$I15147,CONFIG_ASIGNATURAS!$B$2:$J$91,9,FALSE()),""))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IF(DATOS!$A15148="",0,IF(CONFIG_METADATA!$B$4&lt;&gt;"OR+EX",--(DATOS!$G15148=CONFIG_METADATA!$B$4),IF(DATOS!$G15148="EX",1,IF(DATOS!$G15148="OR",--(COUNTIFS(nNIA,DATOS!$A15148,nCURSO,DATOS!$D15148,nESPEC,DATOS!$E15148,nASIG,DATOS!$I15148,nEVAL,"EX")=0),0))))</f>
      </c>
      <c r="H15148">
        <f>IF(DATOS!$G15148&lt;&gt;"EX",0,--(COUNTIFS(nNIA,DATOS!$A15148,nCURSO,DATOS!$D15148,nESPEC,DATOS!$E15148,nASIG,DATOS!$I15148,nEVAL,"OR")=0))</f>
      </c>
      <c r="I15148">
        <f>IF(DATOS!$I15148="","",IFERROR(VLOOKUP(DATOS!$I15148,CONFIG_ASIGNATURAS!$B$2:$J$91,9,FALSE()),""))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IF(DATOS!$A15149="",0,IF(CONFIG_METADATA!$B$4&lt;&gt;"OR+EX",--(DATOS!$G15149=CONFIG_METADATA!$B$4),IF(DATOS!$G15149="EX",1,IF(DATOS!$G15149="OR",--(COUNTIFS(nNIA,DATOS!$A15149,nCURSO,DATOS!$D15149,nESPEC,DATOS!$E15149,nASIG,DATOS!$I15149,nEVAL,"EX")=0),0))))</f>
      </c>
      <c r="H15149">
        <f>IF(DATOS!$G15149&lt;&gt;"EX",0,--(COUNTIFS(nNIA,DATOS!$A15149,nCURSO,DATOS!$D15149,nESPEC,DATOS!$E15149,nASIG,DATOS!$I15149,nEVAL,"OR")=0))</f>
      </c>
      <c r="I15149">
        <f>IF(DATOS!$I15149="","",IFERROR(VLOOKUP(DATOS!$I15149,CONFIG_ASIGNATURAS!$B$2:$J$91,9,FALSE()),""))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IF(DATOS!$A15150="",0,IF(CONFIG_METADATA!$B$4&lt;&gt;"OR+EX",--(DATOS!$G15150=CONFIG_METADATA!$B$4),IF(DATOS!$G15150="EX",1,IF(DATOS!$G15150="OR",--(COUNTIFS(nNIA,DATOS!$A15150,nCURSO,DATOS!$D15150,nESPEC,DATOS!$E15150,nASIG,DATOS!$I15150,nEVAL,"EX")=0),0))))</f>
      </c>
      <c r="H15150">
        <f>IF(DATOS!$G15150&lt;&gt;"EX",0,--(COUNTIFS(nNIA,DATOS!$A15150,nCURSO,DATOS!$D15150,nESPEC,DATOS!$E15150,nASIG,DATOS!$I15150,nEVAL,"OR")=0))</f>
      </c>
      <c r="I15150">
        <f>IF(DATOS!$I15150="","",IFERROR(VLOOKUP(DATOS!$I15150,CONFIG_ASIGNATURAS!$B$2:$J$91,9,FALSE()),""))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IF(DATOS!$A15151="",0,IF(CONFIG_METADATA!$B$4&lt;&gt;"OR+EX",--(DATOS!$G15151=CONFIG_METADATA!$B$4),IF(DATOS!$G15151="EX",1,IF(DATOS!$G15151="OR",--(COUNTIFS(nNIA,DATOS!$A15151,nCURSO,DATOS!$D15151,nESPEC,DATOS!$E15151,nASIG,DATOS!$I15151,nEVAL,"EX")=0),0))))</f>
      </c>
      <c r="H15151">
        <f>IF(DATOS!$G15151&lt;&gt;"EX",0,--(COUNTIFS(nNIA,DATOS!$A15151,nCURSO,DATOS!$D15151,nESPEC,DATOS!$E15151,nASIG,DATOS!$I15151,nEVAL,"OR")=0))</f>
      </c>
      <c r="I15151">
        <f>IF(DATOS!$I15151="","",IFERROR(VLOOKUP(DATOS!$I15151,CONFIG_ASIGNATURAS!$B$2:$J$91,9,FALSE()),""))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IF(DATOS!$A15152="",0,IF(CONFIG_METADATA!$B$4&lt;&gt;"OR+EX",--(DATOS!$G15152=CONFIG_METADATA!$B$4),IF(DATOS!$G15152="EX",1,IF(DATOS!$G15152="OR",--(COUNTIFS(nNIA,DATOS!$A15152,nCURSO,DATOS!$D15152,nESPEC,DATOS!$E15152,nASIG,DATOS!$I15152,nEVAL,"EX")=0),0))))</f>
      </c>
      <c r="H15152">
        <f>IF(DATOS!$G15152&lt;&gt;"EX",0,--(COUNTIFS(nNIA,DATOS!$A15152,nCURSO,DATOS!$D15152,nESPEC,DATOS!$E15152,nASIG,DATOS!$I15152,nEVAL,"OR")=0))</f>
      </c>
      <c r="I15152">
        <f>IF(DATOS!$I15152="","",IFERROR(VLOOKUP(DATOS!$I15152,CONFIG_ASIGNATURAS!$B$2:$J$91,9,FALSE()),""))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IF(DATOS!$A15153="",0,IF(CONFIG_METADATA!$B$4&lt;&gt;"OR+EX",--(DATOS!$G15153=CONFIG_METADATA!$B$4),IF(DATOS!$G15153="EX",1,IF(DATOS!$G15153="OR",--(COUNTIFS(nNIA,DATOS!$A15153,nCURSO,DATOS!$D15153,nESPEC,DATOS!$E15153,nASIG,DATOS!$I15153,nEVAL,"EX")=0),0))))</f>
      </c>
      <c r="H15153">
        <f>IF(DATOS!$G15153&lt;&gt;"EX",0,--(COUNTIFS(nNIA,DATOS!$A15153,nCURSO,DATOS!$D15153,nESPEC,DATOS!$E15153,nASIG,DATOS!$I15153,nEVAL,"OR")=0))</f>
      </c>
      <c r="I15153">
        <f>IF(DATOS!$I15153="","",IFERROR(VLOOKUP(DATOS!$I15153,CONFIG_ASIGNATURAS!$B$2:$J$91,9,FALSE()),""))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IF(DATOS!$A15154="",0,IF(CONFIG_METADATA!$B$4&lt;&gt;"OR+EX",--(DATOS!$G15154=CONFIG_METADATA!$B$4),IF(DATOS!$G15154="EX",1,IF(DATOS!$G15154="OR",--(COUNTIFS(nNIA,DATOS!$A15154,nCURSO,DATOS!$D15154,nESPEC,DATOS!$E15154,nASIG,DATOS!$I15154,nEVAL,"EX")=0),0))))</f>
      </c>
      <c r="H15154">
        <f>IF(DATOS!$G15154&lt;&gt;"EX",0,--(COUNTIFS(nNIA,DATOS!$A15154,nCURSO,DATOS!$D15154,nESPEC,DATOS!$E15154,nASIG,DATOS!$I15154,nEVAL,"OR")=0))</f>
      </c>
      <c r="I15154">
        <f>IF(DATOS!$I15154="","",IFERROR(VLOOKUP(DATOS!$I15154,CONFIG_ASIGNATURAS!$B$2:$J$91,9,FALSE()),""))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IF(DATOS!$A15155="",0,IF(CONFIG_METADATA!$B$4&lt;&gt;"OR+EX",--(DATOS!$G15155=CONFIG_METADATA!$B$4),IF(DATOS!$G15155="EX",1,IF(DATOS!$G15155="OR",--(COUNTIFS(nNIA,DATOS!$A15155,nCURSO,DATOS!$D15155,nESPEC,DATOS!$E15155,nASIG,DATOS!$I15155,nEVAL,"EX")=0),0))))</f>
      </c>
      <c r="H15155">
        <f>IF(DATOS!$G15155&lt;&gt;"EX",0,--(COUNTIFS(nNIA,DATOS!$A15155,nCURSO,DATOS!$D15155,nESPEC,DATOS!$E15155,nASIG,DATOS!$I15155,nEVAL,"OR")=0))</f>
      </c>
      <c r="I15155">
        <f>IF(DATOS!$I15155="","",IFERROR(VLOOKUP(DATOS!$I15155,CONFIG_ASIGNATURAS!$B$2:$J$91,9,FALSE()),""))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IF(DATOS!$A15156="",0,IF(CONFIG_METADATA!$B$4&lt;&gt;"OR+EX",--(DATOS!$G15156=CONFIG_METADATA!$B$4),IF(DATOS!$G15156="EX",1,IF(DATOS!$G15156="OR",--(COUNTIFS(nNIA,DATOS!$A15156,nCURSO,DATOS!$D15156,nESPEC,DATOS!$E15156,nASIG,DATOS!$I15156,nEVAL,"EX")=0),0))))</f>
      </c>
      <c r="H15156">
        <f>IF(DATOS!$G15156&lt;&gt;"EX",0,--(COUNTIFS(nNIA,DATOS!$A15156,nCURSO,DATOS!$D15156,nESPEC,DATOS!$E15156,nASIG,DATOS!$I15156,nEVAL,"OR")=0))</f>
      </c>
      <c r="I15156">
        <f>IF(DATOS!$I15156="","",IFERROR(VLOOKUP(DATOS!$I15156,CONFIG_ASIGNATURAS!$B$2:$J$91,9,FALSE()),""))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IF(DATOS!$A15157="",0,IF(CONFIG_METADATA!$B$4&lt;&gt;"OR+EX",--(DATOS!$G15157=CONFIG_METADATA!$B$4),IF(DATOS!$G15157="EX",1,IF(DATOS!$G15157="OR",--(COUNTIFS(nNIA,DATOS!$A15157,nCURSO,DATOS!$D15157,nESPEC,DATOS!$E15157,nASIG,DATOS!$I15157,nEVAL,"EX")=0),0))))</f>
      </c>
      <c r="H15157">
        <f>IF(DATOS!$G15157&lt;&gt;"EX",0,--(COUNTIFS(nNIA,DATOS!$A15157,nCURSO,DATOS!$D15157,nESPEC,DATOS!$E15157,nASIG,DATOS!$I15157,nEVAL,"OR")=0))</f>
      </c>
      <c r="I15157">
        <f>IF(DATOS!$I15157="","",IFERROR(VLOOKUP(DATOS!$I15157,CONFIG_ASIGNATURAS!$B$2:$J$91,9,FALSE()),""))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IF(DATOS!$A15158="",0,IF(CONFIG_METADATA!$B$4&lt;&gt;"OR+EX",--(DATOS!$G15158=CONFIG_METADATA!$B$4),IF(DATOS!$G15158="EX",1,IF(DATOS!$G15158="OR",--(COUNTIFS(nNIA,DATOS!$A15158,nCURSO,DATOS!$D15158,nESPEC,DATOS!$E15158,nASIG,DATOS!$I15158,nEVAL,"EX")=0),0))))</f>
      </c>
      <c r="H15158">
        <f>IF(DATOS!$G15158&lt;&gt;"EX",0,--(COUNTIFS(nNIA,DATOS!$A15158,nCURSO,DATOS!$D15158,nESPEC,DATOS!$E15158,nASIG,DATOS!$I15158,nEVAL,"OR")=0))</f>
      </c>
      <c r="I15158">
        <f>IF(DATOS!$I15158="","",IFERROR(VLOOKUP(DATOS!$I15158,CONFIG_ASIGNATURAS!$B$2:$J$91,9,FALSE()),""))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IF(DATOS!$A15159="",0,IF(CONFIG_METADATA!$B$4&lt;&gt;"OR+EX",--(DATOS!$G15159=CONFIG_METADATA!$B$4),IF(DATOS!$G15159="EX",1,IF(DATOS!$G15159="OR",--(COUNTIFS(nNIA,DATOS!$A15159,nCURSO,DATOS!$D15159,nESPEC,DATOS!$E15159,nASIG,DATOS!$I15159,nEVAL,"EX")=0),0))))</f>
      </c>
      <c r="H15159">
        <f>IF(DATOS!$G15159&lt;&gt;"EX",0,--(COUNTIFS(nNIA,DATOS!$A15159,nCURSO,DATOS!$D15159,nESPEC,DATOS!$E15159,nASIG,DATOS!$I15159,nEVAL,"OR")=0))</f>
      </c>
      <c r="I15159">
        <f>IF(DATOS!$I15159="","",IFERROR(VLOOKUP(DATOS!$I15159,CONFIG_ASIGNATURAS!$B$2:$J$91,9,FALSE()),""))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IF(DATOS!$A15160="",0,IF(CONFIG_METADATA!$B$4&lt;&gt;"OR+EX",--(DATOS!$G15160=CONFIG_METADATA!$B$4),IF(DATOS!$G15160="EX",1,IF(DATOS!$G15160="OR",--(COUNTIFS(nNIA,DATOS!$A15160,nCURSO,DATOS!$D15160,nESPEC,DATOS!$E15160,nASIG,DATOS!$I15160,nEVAL,"EX")=0),0))))</f>
      </c>
      <c r="H15160">
        <f>IF(DATOS!$G15160&lt;&gt;"EX",0,--(COUNTIFS(nNIA,DATOS!$A15160,nCURSO,DATOS!$D15160,nESPEC,DATOS!$E15160,nASIG,DATOS!$I15160,nEVAL,"OR")=0))</f>
      </c>
      <c r="I15160">
        <f>IF(DATOS!$I15160="","",IFERROR(VLOOKUP(DATOS!$I15160,CONFIG_ASIGNATURAS!$B$2:$J$91,9,FALSE()),""))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IF(DATOS!$A15161="",0,IF(CONFIG_METADATA!$B$4&lt;&gt;"OR+EX",--(DATOS!$G15161=CONFIG_METADATA!$B$4),IF(DATOS!$G15161="EX",1,IF(DATOS!$G15161="OR",--(COUNTIFS(nNIA,DATOS!$A15161,nCURSO,DATOS!$D15161,nESPEC,DATOS!$E15161,nASIG,DATOS!$I15161,nEVAL,"EX")=0),0))))</f>
      </c>
      <c r="H15161">
        <f>IF(DATOS!$G15161&lt;&gt;"EX",0,--(COUNTIFS(nNIA,DATOS!$A15161,nCURSO,DATOS!$D15161,nESPEC,DATOS!$E15161,nASIG,DATOS!$I15161,nEVAL,"OR")=0))</f>
      </c>
      <c r="I15161">
        <f>IF(DATOS!$I15161="","",IFERROR(VLOOKUP(DATOS!$I15161,CONFIG_ASIGNATURAS!$B$2:$J$91,9,FALSE()),""))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IF(DATOS!$A15162="",0,IF(CONFIG_METADATA!$B$4&lt;&gt;"OR+EX",--(DATOS!$G15162=CONFIG_METADATA!$B$4),IF(DATOS!$G15162="EX",1,IF(DATOS!$G15162="OR",--(COUNTIFS(nNIA,DATOS!$A15162,nCURSO,DATOS!$D15162,nESPEC,DATOS!$E15162,nASIG,DATOS!$I15162,nEVAL,"EX")=0),0))))</f>
      </c>
      <c r="H15162">
        <f>IF(DATOS!$G15162&lt;&gt;"EX",0,--(COUNTIFS(nNIA,DATOS!$A15162,nCURSO,DATOS!$D15162,nESPEC,DATOS!$E15162,nASIG,DATOS!$I15162,nEVAL,"OR")=0))</f>
      </c>
      <c r="I15162">
        <f>IF(DATOS!$I15162="","",IFERROR(VLOOKUP(DATOS!$I15162,CONFIG_ASIGNATURAS!$B$2:$J$91,9,FALSE()),""))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IF(DATOS!$A15163="",0,IF(CONFIG_METADATA!$B$4&lt;&gt;"OR+EX",--(DATOS!$G15163=CONFIG_METADATA!$B$4),IF(DATOS!$G15163="EX",1,IF(DATOS!$G15163="OR",--(COUNTIFS(nNIA,DATOS!$A15163,nCURSO,DATOS!$D15163,nESPEC,DATOS!$E15163,nASIG,DATOS!$I15163,nEVAL,"EX")=0),0))))</f>
      </c>
      <c r="H15163">
        <f>IF(DATOS!$G15163&lt;&gt;"EX",0,--(COUNTIFS(nNIA,DATOS!$A15163,nCURSO,DATOS!$D15163,nESPEC,DATOS!$E15163,nASIG,DATOS!$I15163,nEVAL,"OR")=0))</f>
      </c>
      <c r="I15163">
        <f>IF(DATOS!$I15163="","",IFERROR(VLOOKUP(DATOS!$I15163,CONFIG_ASIGNATURAS!$B$2:$J$91,9,FALSE()),""))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IF(DATOS!$A15164="",0,IF(CONFIG_METADATA!$B$4&lt;&gt;"OR+EX",--(DATOS!$G15164=CONFIG_METADATA!$B$4),IF(DATOS!$G15164="EX",1,IF(DATOS!$G15164="OR",--(COUNTIFS(nNIA,DATOS!$A15164,nCURSO,DATOS!$D15164,nESPEC,DATOS!$E15164,nASIG,DATOS!$I15164,nEVAL,"EX")=0),0))))</f>
      </c>
      <c r="H15164">
        <f>IF(DATOS!$G15164&lt;&gt;"EX",0,--(COUNTIFS(nNIA,DATOS!$A15164,nCURSO,DATOS!$D15164,nESPEC,DATOS!$E15164,nASIG,DATOS!$I15164,nEVAL,"OR")=0))</f>
      </c>
      <c r="I15164">
        <f>IF(DATOS!$I15164="","",IFERROR(VLOOKUP(DATOS!$I15164,CONFIG_ASIGNATURAS!$B$2:$J$91,9,FALSE()),""))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IF(DATOS!$A15165="",0,IF(CONFIG_METADATA!$B$4&lt;&gt;"OR+EX",--(DATOS!$G15165=CONFIG_METADATA!$B$4),IF(DATOS!$G15165="EX",1,IF(DATOS!$G15165="OR",--(COUNTIFS(nNIA,DATOS!$A15165,nCURSO,DATOS!$D15165,nESPEC,DATOS!$E15165,nASIG,DATOS!$I15165,nEVAL,"EX")=0),0))))</f>
      </c>
      <c r="H15165">
        <f>IF(DATOS!$G15165&lt;&gt;"EX",0,--(COUNTIFS(nNIA,DATOS!$A15165,nCURSO,DATOS!$D15165,nESPEC,DATOS!$E15165,nASIG,DATOS!$I15165,nEVAL,"OR")=0))</f>
      </c>
      <c r="I15165">
        <f>IF(DATOS!$I15165="","",IFERROR(VLOOKUP(DATOS!$I15165,CONFIG_ASIGNATURAS!$B$2:$J$91,9,FALSE()),""))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IF(DATOS!$A15166="",0,IF(CONFIG_METADATA!$B$4&lt;&gt;"OR+EX",--(DATOS!$G15166=CONFIG_METADATA!$B$4),IF(DATOS!$G15166="EX",1,IF(DATOS!$G15166="OR",--(COUNTIFS(nNIA,DATOS!$A15166,nCURSO,DATOS!$D15166,nESPEC,DATOS!$E15166,nASIG,DATOS!$I15166,nEVAL,"EX")=0),0))))</f>
      </c>
      <c r="H15166">
        <f>IF(DATOS!$G15166&lt;&gt;"EX",0,--(COUNTIFS(nNIA,DATOS!$A15166,nCURSO,DATOS!$D15166,nESPEC,DATOS!$E15166,nASIG,DATOS!$I15166,nEVAL,"OR")=0))</f>
      </c>
      <c r="I15166">
        <f>IF(DATOS!$I15166="","",IFERROR(VLOOKUP(DATOS!$I15166,CONFIG_ASIGNATURAS!$B$2:$J$91,9,FALSE()),""))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IF(DATOS!$A15167="",0,IF(CONFIG_METADATA!$B$4&lt;&gt;"OR+EX",--(DATOS!$G15167=CONFIG_METADATA!$B$4),IF(DATOS!$G15167="EX",1,IF(DATOS!$G15167="OR",--(COUNTIFS(nNIA,DATOS!$A15167,nCURSO,DATOS!$D15167,nESPEC,DATOS!$E15167,nASIG,DATOS!$I15167,nEVAL,"EX")=0),0))))</f>
      </c>
      <c r="H15167">
        <f>IF(DATOS!$G15167&lt;&gt;"EX",0,--(COUNTIFS(nNIA,DATOS!$A15167,nCURSO,DATOS!$D15167,nESPEC,DATOS!$E15167,nASIG,DATOS!$I15167,nEVAL,"OR")=0))</f>
      </c>
      <c r="I15167">
        <f>IF(DATOS!$I15167="","",IFERROR(VLOOKUP(DATOS!$I15167,CONFIG_ASIGNATURAS!$B$2:$J$91,9,FALSE()),""))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IF(DATOS!$A15168="",0,IF(CONFIG_METADATA!$B$4&lt;&gt;"OR+EX",--(DATOS!$G15168=CONFIG_METADATA!$B$4),IF(DATOS!$G15168="EX",1,IF(DATOS!$G15168="OR",--(COUNTIFS(nNIA,DATOS!$A15168,nCURSO,DATOS!$D15168,nESPEC,DATOS!$E15168,nASIG,DATOS!$I15168,nEVAL,"EX")=0),0))))</f>
      </c>
      <c r="H15168">
        <f>IF(DATOS!$G15168&lt;&gt;"EX",0,--(COUNTIFS(nNIA,DATOS!$A15168,nCURSO,DATOS!$D15168,nESPEC,DATOS!$E15168,nASIG,DATOS!$I15168,nEVAL,"OR")=0))</f>
      </c>
      <c r="I15168">
        <f>IF(DATOS!$I15168="","",IFERROR(VLOOKUP(DATOS!$I15168,CONFIG_ASIGNATURAS!$B$2:$J$91,9,FALSE()),""))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IF(DATOS!$A15169="",0,IF(CONFIG_METADATA!$B$4&lt;&gt;"OR+EX",--(DATOS!$G15169=CONFIG_METADATA!$B$4),IF(DATOS!$G15169="EX",1,IF(DATOS!$G15169="OR",--(COUNTIFS(nNIA,DATOS!$A15169,nCURSO,DATOS!$D15169,nESPEC,DATOS!$E15169,nASIG,DATOS!$I15169,nEVAL,"EX")=0),0))))</f>
      </c>
      <c r="H15169">
        <f>IF(DATOS!$G15169&lt;&gt;"EX",0,--(COUNTIFS(nNIA,DATOS!$A15169,nCURSO,DATOS!$D15169,nESPEC,DATOS!$E15169,nASIG,DATOS!$I15169,nEVAL,"OR")=0))</f>
      </c>
      <c r="I15169">
        <f>IF(DATOS!$I15169="","",IFERROR(VLOOKUP(DATOS!$I15169,CONFIG_ASIGNATURAS!$B$2:$J$91,9,FALSE()),""))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IF(DATOS!$A15170="",0,IF(CONFIG_METADATA!$B$4&lt;&gt;"OR+EX",--(DATOS!$G15170=CONFIG_METADATA!$B$4),IF(DATOS!$G15170="EX",1,IF(DATOS!$G15170="OR",--(COUNTIFS(nNIA,DATOS!$A15170,nCURSO,DATOS!$D15170,nESPEC,DATOS!$E15170,nASIG,DATOS!$I15170,nEVAL,"EX")=0),0))))</f>
      </c>
      <c r="H15170">
        <f>IF(DATOS!$G15170&lt;&gt;"EX",0,--(COUNTIFS(nNIA,DATOS!$A15170,nCURSO,DATOS!$D15170,nESPEC,DATOS!$E15170,nASIG,DATOS!$I15170,nEVAL,"OR")=0))</f>
      </c>
      <c r="I15170">
        <f>IF(DATOS!$I15170="","",IFERROR(VLOOKUP(DATOS!$I15170,CONFIG_ASIGNATURAS!$B$2:$J$91,9,FALSE()),""))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IF(DATOS!$A15171="",0,IF(CONFIG_METADATA!$B$4&lt;&gt;"OR+EX",--(DATOS!$G15171=CONFIG_METADATA!$B$4),IF(DATOS!$G15171="EX",1,IF(DATOS!$G15171="OR",--(COUNTIFS(nNIA,DATOS!$A15171,nCURSO,DATOS!$D15171,nESPEC,DATOS!$E15171,nASIG,DATOS!$I15171,nEVAL,"EX")=0),0))))</f>
      </c>
      <c r="H15171">
        <f>IF(DATOS!$G15171&lt;&gt;"EX",0,--(COUNTIFS(nNIA,DATOS!$A15171,nCURSO,DATOS!$D15171,nESPEC,DATOS!$E15171,nASIG,DATOS!$I15171,nEVAL,"OR")=0))</f>
      </c>
      <c r="I15171">
        <f>IF(DATOS!$I15171="","",IFERROR(VLOOKUP(DATOS!$I15171,CONFIG_ASIGNATURAS!$B$2:$J$91,9,FALSE()),""))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IF(DATOS!$A15172="",0,IF(CONFIG_METADATA!$B$4&lt;&gt;"OR+EX",--(DATOS!$G15172=CONFIG_METADATA!$B$4),IF(DATOS!$G15172="EX",1,IF(DATOS!$G15172="OR",--(COUNTIFS(nNIA,DATOS!$A15172,nCURSO,DATOS!$D15172,nESPEC,DATOS!$E15172,nASIG,DATOS!$I15172,nEVAL,"EX")=0),0))))</f>
      </c>
      <c r="H15172">
        <f>IF(DATOS!$G15172&lt;&gt;"EX",0,--(COUNTIFS(nNIA,DATOS!$A15172,nCURSO,DATOS!$D15172,nESPEC,DATOS!$E15172,nASIG,DATOS!$I15172,nEVAL,"OR")=0))</f>
      </c>
      <c r="I15172">
        <f>IF(DATOS!$I15172="","",IFERROR(VLOOKUP(DATOS!$I15172,CONFIG_ASIGNATURAS!$B$2:$J$91,9,FALSE()),""))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IF(DATOS!$A15173="",0,IF(CONFIG_METADATA!$B$4&lt;&gt;"OR+EX",--(DATOS!$G15173=CONFIG_METADATA!$B$4),IF(DATOS!$G15173="EX",1,IF(DATOS!$G15173="OR",--(COUNTIFS(nNIA,DATOS!$A15173,nCURSO,DATOS!$D15173,nESPEC,DATOS!$E15173,nASIG,DATOS!$I15173,nEVAL,"EX")=0),0))))</f>
      </c>
      <c r="H15173">
        <f>IF(DATOS!$G15173&lt;&gt;"EX",0,--(COUNTIFS(nNIA,DATOS!$A15173,nCURSO,DATOS!$D15173,nESPEC,DATOS!$E15173,nASIG,DATOS!$I15173,nEVAL,"OR")=0))</f>
      </c>
      <c r="I15173">
        <f>IF(DATOS!$I15173="","",IFERROR(VLOOKUP(DATOS!$I15173,CONFIG_ASIGNATURAS!$B$2:$J$91,9,FALSE()),""))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IF(DATOS!$A15174="",0,IF(CONFIG_METADATA!$B$4&lt;&gt;"OR+EX",--(DATOS!$G15174=CONFIG_METADATA!$B$4),IF(DATOS!$G15174="EX",1,IF(DATOS!$G15174="OR",--(COUNTIFS(nNIA,DATOS!$A15174,nCURSO,DATOS!$D15174,nESPEC,DATOS!$E15174,nASIG,DATOS!$I15174,nEVAL,"EX")=0),0))))</f>
      </c>
      <c r="H15174">
        <f>IF(DATOS!$G15174&lt;&gt;"EX",0,--(COUNTIFS(nNIA,DATOS!$A15174,nCURSO,DATOS!$D15174,nESPEC,DATOS!$E15174,nASIG,DATOS!$I15174,nEVAL,"OR")=0))</f>
      </c>
      <c r="I15174">
        <f>IF(DATOS!$I15174="","",IFERROR(VLOOKUP(DATOS!$I15174,CONFIG_ASIGNATURAS!$B$2:$J$91,9,FALSE()),""))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IF(DATOS!$A15175="",0,IF(CONFIG_METADATA!$B$4&lt;&gt;"OR+EX",--(DATOS!$G15175=CONFIG_METADATA!$B$4),IF(DATOS!$G15175="EX",1,IF(DATOS!$G15175="OR",--(COUNTIFS(nNIA,DATOS!$A15175,nCURSO,DATOS!$D15175,nESPEC,DATOS!$E15175,nASIG,DATOS!$I15175,nEVAL,"EX")=0),0))))</f>
      </c>
      <c r="H15175">
        <f>IF(DATOS!$G15175&lt;&gt;"EX",0,--(COUNTIFS(nNIA,DATOS!$A15175,nCURSO,DATOS!$D15175,nESPEC,DATOS!$E15175,nASIG,DATOS!$I15175,nEVAL,"OR")=0))</f>
      </c>
      <c r="I15175">
        <f>IF(DATOS!$I15175="","",IFERROR(VLOOKUP(DATOS!$I15175,CONFIG_ASIGNATURAS!$B$2:$J$91,9,FALSE()),""))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IF(DATOS!$A15176="",0,IF(CONFIG_METADATA!$B$4&lt;&gt;"OR+EX",--(DATOS!$G15176=CONFIG_METADATA!$B$4),IF(DATOS!$G15176="EX",1,IF(DATOS!$G15176="OR",--(COUNTIFS(nNIA,DATOS!$A15176,nCURSO,DATOS!$D15176,nESPEC,DATOS!$E15176,nASIG,DATOS!$I15176,nEVAL,"EX")=0),0))))</f>
      </c>
      <c r="H15176">
        <f>IF(DATOS!$G15176&lt;&gt;"EX",0,--(COUNTIFS(nNIA,DATOS!$A15176,nCURSO,DATOS!$D15176,nESPEC,DATOS!$E15176,nASIG,DATOS!$I15176,nEVAL,"OR")=0))</f>
      </c>
      <c r="I15176">
        <f>IF(DATOS!$I15176="","",IFERROR(VLOOKUP(DATOS!$I15176,CONFIG_ASIGNATURAS!$B$2:$J$91,9,FALSE()),""))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IF(DATOS!$A15177="",0,IF(CONFIG_METADATA!$B$4&lt;&gt;"OR+EX",--(DATOS!$G15177=CONFIG_METADATA!$B$4),IF(DATOS!$G15177="EX",1,IF(DATOS!$G15177="OR",--(COUNTIFS(nNIA,DATOS!$A15177,nCURSO,DATOS!$D15177,nESPEC,DATOS!$E15177,nASIG,DATOS!$I15177,nEVAL,"EX")=0),0))))</f>
      </c>
      <c r="H15177">
        <f>IF(DATOS!$G15177&lt;&gt;"EX",0,--(COUNTIFS(nNIA,DATOS!$A15177,nCURSO,DATOS!$D15177,nESPEC,DATOS!$E15177,nASIG,DATOS!$I15177,nEVAL,"OR")=0))</f>
      </c>
      <c r="I15177">
        <f>IF(DATOS!$I15177="","",IFERROR(VLOOKUP(DATOS!$I15177,CONFIG_ASIGNATURAS!$B$2:$J$91,9,FALSE()),""))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IF(DATOS!$A15178="",0,IF(CONFIG_METADATA!$B$4&lt;&gt;"OR+EX",--(DATOS!$G15178=CONFIG_METADATA!$B$4),IF(DATOS!$G15178="EX",1,IF(DATOS!$G15178="OR",--(COUNTIFS(nNIA,DATOS!$A15178,nCURSO,DATOS!$D15178,nESPEC,DATOS!$E15178,nASIG,DATOS!$I15178,nEVAL,"EX")=0),0))))</f>
      </c>
      <c r="H15178">
        <f>IF(DATOS!$G15178&lt;&gt;"EX",0,--(COUNTIFS(nNIA,DATOS!$A15178,nCURSO,DATOS!$D15178,nESPEC,DATOS!$E15178,nASIG,DATOS!$I15178,nEVAL,"OR")=0))</f>
      </c>
      <c r="I15178">
        <f>IF(DATOS!$I15178="","",IFERROR(VLOOKUP(DATOS!$I15178,CONFIG_ASIGNATURAS!$B$2:$J$91,9,FALSE()),""))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IF(DATOS!$A15179="",0,IF(CONFIG_METADATA!$B$4&lt;&gt;"OR+EX",--(DATOS!$G15179=CONFIG_METADATA!$B$4),IF(DATOS!$G15179="EX",1,IF(DATOS!$G15179="OR",--(COUNTIFS(nNIA,DATOS!$A15179,nCURSO,DATOS!$D15179,nESPEC,DATOS!$E15179,nASIG,DATOS!$I15179,nEVAL,"EX")=0),0))))</f>
      </c>
      <c r="H15179">
        <f>IF(DATOS!$G15179&lt;&gt;"EX",0,--(COUNTIFS(nNIA,DATOS!$A15179,nCURSO,DATOS!$D15179,nESPEC,DATOS!$E15179,nASIG,DATOS!$I15179,nEVAL,"OR")=0))</f>
      </c>
      <c r="I15179">
        <f>IF(DATOS!$I15179="","",IFERROR(VLOOKUP(DATOS!$I15179,CONFIG_ASIGNATURAS!$B$2:$J$91,9,FALSE()),""))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IF(DATOS!$A15180="",0,IF(CONFIG_METADATA!$B$4&lt;&gt;"OR+EX",--(DATOS!$G15180=CONFIG_METADATA!$B$4),IF(DATOS!$G15180="EX",1,IF(DATOS!$G15180="OR",--(COUNTIFS(nNIA,DATOS!$A15180,nCURSO,DATOS!$D15180,nESPEC,DATOS!$E15180,nASIG,DATOS!$I15180,nEVAL,"EX")=0),0))))</f>
      </c>
      <c r="H15180">
        <f>IF(DATOS!$G15180&lt;&gt;"EX",0,--(COUNTIFS(nNIA,DATOS!$A15180,nCURSO,DATOS!$D15180,nESPEC,DATOS!$E15180,nASIG,DATOS!$I15180,nEVAL,"OR")=0))</f>
      </c>
      <c r="I15180">
        <f>IF(DATOS!$I15180="","",IFERROR(VLOOKUP(DATOS!$I15180,CONFIG_ASIGNATURAS!$B$2:$J$91,9,FALSE()),""))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IF(DATOS!$A15181="",0,IF(CONFIG_METADATA!$B$4&lt;&gt;"OR+EX",--(DATOS!$G15181=CONFIG_METADATA!$B$4),IF(DATOS!$G15181="EX",1,IF(DATOS!$G15181="OR",--(COUNTIFS(nNIA,DATOS!$A15181,nCURSO,DATOS!$D15181,nESPEC,DATOS!$E15181,nASIG,DATOS!$I15181,nEVAL,"EX")=0),0))))</f>
      </c>
      <c r="H15181">
        <f>IF(DATOS!$G15181&lt;&gt;"EX",0,--(COUNTIFS(nNIA,DATOS!$A15181,nCURSO,DATOS!$D15181,nESPEC,DATOS!$E15181,nASIG,DATOS!$I15181,nEVAL,"OR")=0))</f>
      </c>
      <c r="I15181">
        <f>IF(DATOS!$I15181="","",IFERROR(VLOOKUP(DATOS!$I15181,CONFIG_ASIGNATURAS!$B$2:$J$91,9,FALSE()),""))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IF(DATOS!$A15182="",0,IF(CONFIG_METADATA!$B$4&lt;&gt;"OR+EX",--(DATOS!$G15182=CONFIG_METADATA!$B$4),IF(DATOS!$G15182="EX",1,IF(DATOS!$G15182="OR",--(COUNTIFS(nNIA,DATOS!$A15182,nCURSO,DATOS!$D15182,nESPEC,DATOS!$E15182,nASIG,DATOS!$I15182,nEVAL,"EX")=0),0))))</f>
      </c>
      <c r="H15182">
        <f>IF(DATOS!$G15182&lt;&gt;"EX",0,--(COUNTIFS(nNIA,DATOS!$A15182,nCURSO,DATOS!$D15182,nESPEC,DATOS!$E15182,nASIG,DATOS!$I15182,nEVAL,"OR")=0))</f>
      </c>
      <c r="I15182">
        <f>IF(DATOS!$I15182="","",IFERROR(VLOOKUP(DATOS!$I15182,CONFIG_ASIGNATURAS!$B$2:$J$91,9,FALSE()),""))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IF(DATOS!$A15183="",0,IF(CONFIG_METADATA!$B$4&lt;&gt;"OR+EX",--(DATOS!$G15183=CONFIG_METADATA!$B$4),IF(DATOS!$G15183="EX",1,IF(DATOS!$G15183="OR",--(COUNTIFS(nNIA,DATOS!$A15183,nCURSO,DATOS!$D15183,nESPEC,DATOS!$E15183,nASIG,DATOS!$I15183,nEVAL,"EX")=0),0))))</f>
      </c>
      <c r="H15183">
        <f>IF(DATOS!$G15183&lt;&gt;"EX",0,--(COUNTIFS(nNIA,DATOS!$A15183,nCURSO,DATOS!$D15183,nESPEC,DATOS!$E15183,nASIG,DATOS!$I15183,nEVAL,"OR")=0))</f>
      </c>
      <c r="I15183">
        <f>IF(DATOS!$I15183="","",IFERROR(VLOOKUP(DATOS!$I15183,CONFIG_ASIGNATURAS!$B$2:$J$91,9,FALSE()),""))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IF(DATOS!$A15184="",0,IF(CONFIG_METADATA!$B$4&lt;&gt;"OR+EX",--(DATOS!$G15184=CONFIG_METADATA!$B$4),IF(DATOS!$G15184="EX",1,IF(DATOS!$G15184="OR",--(COUNTIFS(nNIA,DATOS!$A15184,nCURSO,DATOS!$D15184,nESPEC,DATOS!$E15184,nASIG,DATOS!$I15184,nEVAL,"EX")=0),0))))</f>
      </c>
      <c r="H15184">
        <f>IF(DATOS!$G15184&lt;&gt;"EX",0,--(COUNTIFS(nNIA,DATOS!$A15184,nCURSO,DATOS!$D15184,nESPEC,DATOS!$E15184,nASIG,DATOS!$I15184,nEVAL,"OR")=0))</f>
      </c>
      <c r="I15184">
        <f>IF(DATOS!$I15184="","",IFERROR(VLOOKUP(DATOS!$I15184,CONFIG_ASIGNATURAS!$B$2:$J$91,9,FALSE()),""))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IF(DATOS!$A15185="",0,IF(CONFIG_METADATA!$B$4&lt;&gt;"OR+EX",--(DATOS!$G15185=CONFIG_METADATA!$B$4),IF(DATOS!$G15185="EX",1,IF(DATOS!$G15185="OR",--(COUNTIFS(nNIA,DATOS!$A15185,nCURSO,DATOS!$D15185,nESPEC,DATOS!$E15185,nASIG,DATOS!$I15185,nEVAL,"EX")=0),0))))</f>
      </c>
      <c r="H15185">
        <f>IF(DATOS!$G15185&lt;&gt;"EX",0,--(COUNTIFS(nNIA,DATOS!$A15185,nCURSO,DATOS!$D15185,nESPEC,DATOS!$E15185,nASIG,DATOS!$I15185,nEVAL,"OR")=0))</f>
      </c>
      <c r="I15185">
        <f>IF(DATOS!$I15185="","",IFERROR(VLOOKUP(DATOS!$I15185,CONFIG_ASIGNATURAS!$B$2:$J$91,9,FALSE()),""))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IF(DATOS!$A15186="",0,IF(CONFIG_METADATA!$B$4&lt;&gt;"OR+EX",--(DATOS!$G15186=CONFIG_METADATA!$B$4),IF(DATOS!$G15186="EX",1,IF(DATOS!$G15186="OR",--(COUNTIFS(nNIA,DATOS!$A15186,nCURSO,DATOS!$D15186,nESPEC,DATOS!$E15186,nASIG,DATOS!$I15186,nEVAL,"EX")=0),0))))</f>
      </c>
      <c r="H15186">
        <f>IF(DATOS!$G15186&lt;&gt;"EX",0,--(COUNTIFS(nNIA,DATOS!$A15186,nCURSO,DATOS!$D15186,nESPEC,DATOS!$E15186,nASIG,DATOS!$I15186,nEVAL,"OR")=0))</f>
      </c>
      <c r="I15186">
        <f>IF(DATOS!$I15186="","",IFERROR(VLOOKUP(DATOS!$I15186,CONFIG_ASIGNATURAS!$B$2:$J$91,9,FALSE()),""))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IF(DATOS!$A15187="",0,IF(CONFIG_METADATA!$B$4&lt;&gt;"OR+EX",--(DATOS!$G15187=CONFIG_METADATA!$B$4),IF(DATOS!$G15187="EX",1,IF(DATOS!$G15187="OR",--(COUNTIFS(nNIA,DATOS!$A15187,nCURSO,DATOS!$D15187,nESPEC,DATOS!$E15187,nASIG,DATOS!$I15187,nEVAL,"EX")=0),0))))</f>
      </c>
      <c r="H15187">
        <f>IF(DATOS!$G15187&lt;&gt;"EX",0,--(COUNTIFS(nNIA,DATOS!$A15187,nCURSO,DATOS!$D15187,nESPEC,DATOS!$E15187,nASIG,DATOS!$I15187,nEVAL,"OR")=0))</f>
      </c>
      <c r="I15187">
        <f>IF(DATOS!$I15187="","",IFERROR(VLOOKUP(DATOS!$I15187,CONFIG_ASIGNATURAS!$B$2:$J$91,9,FALSE()),""))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IF(DATOS!$A15188="",0,IF(CONFIG_METADATA!$B$4&lt;&gt;"OR+EX",--(DATOS!$G15188=CONFIG_METADATA!$B$4),IF(DATOS!$G15188="EX",1,IF(DATOS!$G15188="OR",--(COUNTIFS(nNIA,DATOS!$A15188,nCURSO,DATOS!$D15188,nESPEC,DATOS!$E15188,nASIG,DATOS!$I15188,nEVAL,"EX")=0),0))))</f>
      </c>
      <c r="H15188">
        <f>IF(DATOS!$G15188&lt;&gt;"EX",0,--(COUNTIFS(nNIA,DATOS!$A15188,nCURSO,DATOS!$D15188,nESPEC,DATOS!$E15188,nASIG,DATOS!$I15188,nEVAL,"OR")=0))</f>
      </c>
      <c r="I15188">
        <f>IF(DATOS!$I15188="","",IFERROR(VLOOKUP(DATOS!$I15188,CONFIG_ASIGNATURAS!$B$2:$J$91,9,FALSE()),""))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IF(DATOS!$A15189="",0,IF(CONFIG_METADATA!$B$4&lt;&gt;"OR+EX",--(DATOS!$G15189=CONFIG_METADATA!$B$4),IF(DATOS!$G15189="EX",1,IF(DATOS!$G15189="OR",--(COUNTIFS(nNIA,DATOS!$A15189,nCURSO,DATOS!$D15189,nESPEC,DATOS!$E15189,nASIG,DATOS!$I15189,nEVAL,"EX")=0),0))))</f>
      </c>
      <c r="H15189">
        <f>IF(DATOS!$G15189&lt;&gt;"EX",0,--(COUNTIFS(nNIA,DATOS!$A15189,nCURSO,DATOS!$D15189,nESPEC,DATOS!$E15189,nASIG,DATOS!$I15189,nEVAL,"OR")=0))</f>
      </c>
      <c r="I15189">
        <f>IF(DATOS!$I15189="","",IFERROR(VLOOKUP(DATOS!$I15189,CONFIG_ASIGNATURAS!$B$2:$J$91,9,FALSE()),""))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IF(DATOS!$A15190="",0,IF(CONFIG_METADATA!$B$4&lt;&gt;"OR+EX",--(DATOS!$G15190=CONFIG_METADATA!$B$4),IF(DATOS!$G15190="EX",1,IF(DATOS!$G15190="OR",--(COUNTIFS(nNIA,DATOS!$A15190,nCURSO,DATOS!$D15190,nESPEC,DATOS!$E15190,nASIG,DATOS!$I15190,nEVAL,"EX")=0),0))))</f>
      </c>
      <c r="H15190">
        <f>IF(DATOS!$G15190&lt;&gt;"EX",0,--(COUNTIFS(nNIA,DATOS!$A15190,nCURSO,DATOS!$D15190,nESPEC,DATOS!$E15190,nASIG,DATOS!$I15190,nEVAL,"OR")=0))</f>
      </c>
      <c r="I15190">
        <f>IF(DATOS!$I15190="","",IFERROR(VLOOKUP(DATOS!$I15190,CONFIG_ASIGNATURAS!$B$2:$J$91,9,FALSE()),""))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IF(DATOS!$A15191="",0,IF(CONFIG_METADATA!$B$4&lt;&gt;"OR+EX",--(DATOS!$G15191=CONFIG_METADATA!$B$4),IF(DATOS!$G15191="EX",1,IF(DATOS!$G15191="OR",--(COUNTIFS(nNIA,DATOS!$A15191,nCURSO,DATOS!$D15191,nESPEC,DATOS!$E15191,nASIG,DATOS!$I15191,nEVAL,"EX")=0),0))))</f>
      </c>
      <c r="H15191">
        <f>IF(DATOS!$G15191&lt;&gt;"EX",0,--(COUNTIFS(nNIA,DATOS!$A15191,nCURSO,DATOS!$D15191,nESPEC,DATOS!$E15191,nASIG,DATOS!$I15191,nEVAL,"OR")=0))</f>
      </c>
      <c r="I15191">
        <f>IF(DATOS!$I15191="","",IFERROR(VLOOKUP(DATOS!$I15191,CONFIG_ASIGNATURAS!$B$2:$J$91,9,FALSE()),""))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IF(DATOS!$A15192="",0,IF(CONFIG_METADATA!$B$4&lt;&gt;"OR+EX",--(DATOS!$G15192=CONFIG_METADATA!$B$4),IF(DATOS!$G15192="EX",1,IF(DATOS!$G15192="OR",--(COUNTIFS(nNIA,DATOS!$A15192,nCURSO,DATOS!$D15192,nESPEC,DATOS!$E15192,nASIG,DATOS!$I15192,nEVAL,"EX")=0),0))))</f>
      </c>
      <c r="H15192">
        <f>IF(DATOS!$G15192&lt;&gt;"EX",0,--(COUNTIFS(nNIA,DATOS!$A15192,nCURSO,DATOS!$D15192,nESPEC,DATOS!$E15192,nASIG,DATOS!$I15192,nEVAL,"OR")=0))</f>
      </c>
      <c r="I15192">
        <f>IF(DATOS!$I15192="","",IFERROR(VLOOKUP(DATOS!$I15192,CONFIG_ASIGNATURAS!$B$2:$J$91,9,FALSE()),""))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IF(DATOS!$A15193="",0,IF(CONFIG_METADATA!$B$4&lt;&gt;"OR+EX",--(DATOS!$G15193=CONFIG_METADATA!$B$4),IF(DATOS!$G15193="EX",1,IF(DATOS!$G15193="OR",--(COUNTIFS(nNIA,DATOS!$A15193,nCURSO,DATOS!$D15193,nESPEC,DATOS!$E15193,nASIG,DATOS!$I15193,nEVAL,"EX")=0),0))))</f>
      </c>
      <c r="H15193">
        <f>IF(DATOS!$G15193&lt;&gt;"EX",0,--(COUNTIFS(nNIA,DATOS!$A15193,nCURSO,DATOS!$D15193,nESPEC,DATOS!$E15193,nASIG,DATOS!$I15193,nEVAL,"OR")=0))</f>
      </c>
      <c r="I15193">
        <f>IF(DATOS!$I15193="","",IFERROR(VLOOKUP(DATOS!$I15193,CONFIG_ASIGNATURAS!$B$2:$J$91,9,FALSE()),""))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IF(DATOS!$A15194="",0,IF(CONFIG_METADATA!$B$4&lt;&gt;"OR+EX",--(DATOS!$G15194=CONFIG_METADATA!$B$4),IF(DATOS!$G15194="EX",1,IF(DATOS!$G15194="OR",--(COUNTIFS(nNIA,DATOS!$A15194,nCURSO,DATOS!$D15194,nESPEC,DATOS!$E15194,nASIG,DATOS!$I15194,nEVAL,"EX")=0),0))))</f>
      </c>
      <c r="H15194">
        <f>IF(DATOS!$G15194&lt;&gt;"EX",0,--(COUNTIFS(nNIA,DATOS!$A15194,nCURSO,DATOS!$D15194,nESPEC,DATOS!$E15194,nASIG,DATOS!$I15194,nEVAL,"OR")=0))</f>
      </c>
      <c r="I15194">
        <f>IF(DATOS!$I15194="","",IFERROR(VLOOKUP(DATOS!$I15194,CONFIG_ASIGNATURAS!$B$2:$J$91,9,FALSE()),""))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IF(DATOS!$A15195="",0,IF(CONFIG_METADATA!$B$4&lt;&gt;"OR+EX",--(DATOS!$G15195=CONFIG_METADATA!$B$4),IF(DATOS!$G15195="EX",1,IF(DATOS!$G15195="OR",--(COUNTIFS(nNIA,DATOS!$A15195,nCURSO,DATOS!$D15195,nESPEC,DATOS!$E15195,nASIG,DATOS!$I15195,nEVAL,"EX")=0),0))))</f>
      </c>
      <c r="H15195">
        <f>IF(DATOS!$G15195&lt;&gt;"EX",0,--(COUNTIFS(nNIA,DATOS!$A15195,nCURSO,DATOS!$D15195,nESPEC,DATOS!$E15195,nASIG,DATOS!$I15195,nEVAL,"OR")=0))</f>
      </c>
      <c r="I15195">
        <f>IF(DATOS!$I15195="","",IFERROR(VLOOKUP(DATOS!$I15195,CONFIG_ASIGNATURAS!$B$2:$J$91,9,FALSE()),""))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IF(DATOS!$A15196="",0,IF(CONFIG_METADATA!$B$4&lt;&gt;"OR+EX",--(DATOS!$G15196=CONFIG_METADATA!$B$4),IF(DATOS!$G15196="EX",1,IF(DATOS!$G15196="OR",--(COUNTIFS(nNIA,DATOS!$A15196,nCURSO,DATOS!$D15196,nESPEC,DATOS!$E15196,nASIG,DATOS!$I15196,nEVAL,"EX")=0),0))))</f>
      </c>
      <c r="H15196">
        <f>IF(DATOS!$G15196&lt;&gt;"EX",0,--(COUNTIFS(nNIA,DATOS!$A15196,nCURSO,DATOS!$D15196,nESPEC,DATOS!$E15196,nASIG,DATOS!$I15196,nEVAL,"OR")=0))</f>
      </c>
      <c r="I15196">
        <f>IF(DATOS!$I15196="","",IFERROR(VLOOKUP(DATOS!$I15196,CONFIG_ASIGNATURAS!$B$2:$J$91,9,FALSE()),""))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IF(DATOS!$A15197="",0,IF(CONFIG_METADATA!$B$4&lt;&gt;"OR+EX",--(DATOS!$G15197=CONFIG_METADATA!$B$4),IF(DATOS!$G15197="EX",1,IF(DATOS!$G15197="OR",--(COUNTIFS(nNIA,DATOS!$A15197,nCURSO,DATOS!$D15197,nESPEC,DATOS!$E15197,nASIG,DATOS!$I15197,nEVAL,"EX")=0),0))))</f>
      </c>
      <c r="H15197">
        <f>IF(DATOS!$G15197&lt;&gt;"EX",0,--(COUNTIFS(nNIA,DATOS!$A15197,nCURSO,DATOS!$D15197,nESPEC,DATOS!$E15197,nASIG,DATOS!$I15197,nEVAL,"OR")=0))</f>
      </c>
      <c r="I15197">
        <f>IF(DATOS!$I15197="","",IFERROR(VLOOKUP(DATOS!$I15197,CONFIG_ASIGNATURAS!$B$2:$J$91,9,FALSE()),""))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IF(DATOS!$A15198="",0,IF(CONFIG_METADATA!$B$4&lt;&gt;"OR+EX",--(DATOS!$G15198=CONFIG_METADATA!$B$4),IF(DATOS!$G15198="EX",1,IF(DATOS!$G15198="OR",--(COUNTIFS(nNIA,DATOS!$A15198,nCURSO,DATOS!$D15198,nESPEC,DATOS!$E15198,nASIG,DATOS!$I15198,nEVAL,"EX")=0),0))))</f>
      </c>
      <c r="H15198">
        <f>IF(DATOS!$G15198&lt;&gt;"EX",0,--(COUNTIFS(nNIA,DATOS!$A15198,nCURSO,DATOS!$D15198,nESPEC,DATOS!$E15198,nASIG,DATOS!$I15198,nEVAL,"OR")=0))</f>
      </c>
      <c r="I15198">
        <f>IF(DATOS!$I15198="","",IFERROR(VLOOKUP(DATOS!$I15198,CONFIG_ASIGNATURAS!$B$2:$J$91,9,FALSE()),""))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IF(DATOS!$A15199="",0,IF(CONFIG_METADATA!$B$4&lt;&gt;"OR+EX",--(DATOS!$G15199=CONFIG_METADATA!$B$4),IF(DATOS!$G15199="EX",1,IF(DATOS!$G15199="OR",--(COUNTIFS(nNIA,DATOS!$A15199,nCURSO,DATOS!$D15199,nESPEC,DATOS!$E15199,nASIG,DATOS!$I15199,nEVAL,"EX")=0),0))))</f>
      </c>
      <c r="H15199">
        <f>IF(DATOS!$G15199&lt;&gt;"EX",0,--(COUNTIFS(nNIA,DATOS!$A15199,nCURSO,DATOS!$D15199,nESPEC,DATOS!$E15199,nASIG,DATOS!$I15199,nEVAL,"OR")=0))</f>
      </c>
      <c r="I15199">
        <f>IF(DATOS!$I15199="","",IFERROR(VLOOKUP(DATOS!$I15199,CONFIG_ASIGNATURAS!$B$2:$J$91,9,FALSE()),""))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IF(DATOS!$A15200="",0,IF(CONFIG_METADATA!$B$4&lt;&gt;"OR+EX",--(DATOS!$G15200=CONFIG_METADATA!$B$4),IF(DATOS!$G15200="EX",1,IF(DATOS!$G15200="OR",--(COUNTIFS(nNIA,DATOS!$A15200,nCURSO,DATOS!$D15200,nESPEC,DATOS!$E15200,nASIG,DATOS!$I15200,nEVAL,"EX")=0),0))))</f>
      </c>
      <c r="H15200">
        <f>IF(DATOS!$G15200&lt;&gt;"EX",0,--(COUNTIFS(nNIA,DATOS!$A15200,nCURSO,DATOS!$D15200,nESPEC,DATOS!$E15200,nASIG,DATOS!$I15200,nEVAL,"OR")=0))</f>
      </c>
      <c r="I15200">
        <f>IF(DATOS!$I15200="","",IFERROR(VLOOKUP(DATOS!$I15200,CONFIG_ASIGNATURAS!$B$2:$J$91,9,FALSE()),""))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IF(DATOS!$A15201="",0,IF(CONFIG_METADATA!$B$4&lt;&gt;"OR+EX",--(DATOS!$G15201=CONFIG_METADATA!$B$4),IF(DATOS!$G15201="EX",1,IF(DATOS!$G15201="OR",--(COUNTIFS(nNIA,DATOS!$A15201,nCURSO,DATOS!$D15201,nESPEC,DATOS!$E15201,nASIG,DATOS!$I15201,nEVAL,"EX")=0),0))))</f>
      </c>
      <c r="H15201">
        <f>IF(DATOS!$G15201&lt;&gt;"EX",0,--(COUNTIFS(nNIA,DATOS!$A15201,nCURSO,DATOS!$D15201,nESPEC,DATOS!$E15201,nASIG,DATOS!$I15201,nEVAL,"OR")=0))</f>
      </c>
      <c r="I15201">
        <f>IF(DATOS!$I15201="","",IFERROR(VLOOKUP(DATOS!$I15201,CONFIG_ASIGNATURAS!$B$2:$J$91,9,FALSE()),""))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IF(DATOS!$A15202="",0,IF(CONFIG_METADATA!$B$4&lt;&gt;"OR+EX",--(DATOS!$G15202=CONFIG_METADATA!$B$4),IF(DATOS!$G15202="EX",1,IF(DATOS!$G15202="OR",--(COUNTIFS(nNIA,DATOS!$A15202,nCURSO,DATOS!$D15202,nESPEC,DATOS!$E15202,nASIG,DATOS!$I15202,nEVAL,"EX")=0),0))))</f>
      </c>
      <c r="H15202">
        <f>IF(DATOS!$G15202&lt;&gt;"EX",0,--(COUNTIFS(nNIA,DATOS!$A15202,nCURSO,DATOS!$D15202,nESPEC,DATOS!$E15202,nASIG,DATOS!$I15202,nEVAL,"OR")=0))</f>
      </c>
      <c r="I15202">
        <f>IF(DATOS!$I15202="","",IFERROR(VLOOKUP(DATOS!$I15202,CONFIG_ASIGNATURAS!$B$2:$J$91,9,FALSE()),""))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IF(DATOS!$A15203="",0,IF(CONFIG_METADATA!$B$4&lt;&gt;"OR+EX",--(DATOS!$G15203=CONFIG_METADATA!$B$4),IF(DATOS!$G15203="EX",1,IF(DATOS!$G15203="OR",--(COUNTIFS(nNIA,DATOS!$A15203,nCURSO,DATOS!$D15203,nESPEC,DATOS!$E15203,nASIG,DATOS!$I15203,nEVAL,"EX")=0),0))))</f>
      </c>
      <c r="H15203">
        <f>IF(DATOS!$G15203&lt;&gt;"EX",0,--(COUNTIFS(nNIA,DATOS!$A15203,nCURSO,DATOS!$D15203,nESPEC,DATOS!$E15203,nASIG,DATOS!$I15203,nEVAL,"OR")=0))</f>
      </c>
      <c r="I15203">
        <f>IF(DATOS!$I15203="","",IFERROR(VLOOKUP(DATOS!$I15203,CONFIG_ASIGNATURAS!$B$2:$J$91,9,FALSE()),""))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IF(DATOS!$A15204="",0,IF(CONFIG_METADATA!$B$4&lt;&gt;"OR+EX",--(DATOS!$G15204=CONFIG_METADATA!$B$4),IF(DATOS!$G15204="EX",1,IF(DATOS!$G15204="OR",--(COUNTIFS(nNIA,DATOS!$A15204,nCURSO,DATOS!$D15204,nESPEC,DATOS!$E15204,nASIG,DATOS!$I15204,nEVAL,"EX")=0),0))))</f>
      </c>
      <c r="H15204">
        <f>IF(DATOS!$G15204&lt;&gt;"EX",0,--(COUNTIFS(nNIA,DATOS!$A15204,nCURSO,DATOS!$D15204,nESPEC,DATOS!$E15204,nASIG,DATOS!$I15204,nEVAL,"OR")=0))</f>
      </c>
      <c r="I15204">
        <f>IF(DATOS!$I15204="","",IFERROR(VLOOKUP(DATOS!$I15204,CONFIG_ASIGNATURAS!$B$2:$J$91,9,FALSE()),""))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IF(DATOS!$A15205="",0,IF(CONFIG_METADATA!$B$4&lt;&gt;"OR+EX",--(DATOS!$G15205=CONFIG_METADATA!$B$4),IF(DATOS!$G15205="EX",1,IF(DATOS!$G15205="OR",--(COUNTIFS(nNIA,DATOS!$A15205,nCURSO,DATOS!$D15205,nESPEC,DATOS!$E15205,nASIG,DATOS!$I15205,nEVAL,"EX")=0),0))))</f>
      </c>
      <c r="H15205">
        <f>IF(DATOS!$G15205&lt;&gt;"EX",0,--(COUNTIFS(nNIA,DATOS!$A15205,nCURSO,DATOS!$D15205,nESPEC,DATOS!$E15205,nASIG,DATOS!$I15205,nEVAL,"OR")=0))</f>
      </c>
      <c r="I15205">
        <f>IF(DATOS!$I15205="","",IFERROR(VLOOKUP(DATOS!$I15205,CONFIG_ASIGNATURAS!$B$2:$J$91,9,FALSE()),""))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IF(DATOS!$A15206="",0,IF(CONFIG_METADATA!$B$4&lt;&gt;"OR+EX",--(DATOS!$G15206=CONFIG_METADATA!$B$4),IF(DATOS!$G15206="EX",1,IF(DATOS!$G15206="OR",--(COUNTIFS(nNIA,DATOS!$A15206,nCURSO,DATOS!$D15206,nESPEC,DATOS!$E15206,nASIG,DATOS!$I15206,nEVAL,"EX")=0),0))))</f>
      </c>
      <c r="H15206">
        <f>IF(DATOS!$G15206&lt;&gt;"EX",0,--(COUNTIFS(nNIA,DATOS!$A15206,nCURSO,DATOS!$D15206,nESPEC,DATOS!$E15206,nASIG,DATOS!$I15206,nEVAL,"OR")=0))</f>
      </c>
      <c r="I15206">
        <f>IF(DATOS!$I15206="","",IFERROR(VLOOKUP(DATOS!$I15206,CONFIG_ASIGNATURAS!$B$2:$J$91,9,FALSE()),""))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IF(DATOS!$A15207="",0,IF(CONFIG_METADATA!$B$4&lt;&gt;"OR+EX",--(DATOS!$G15207=CONFIG_METADATA!$B$4),IF(DATOS!$G15207="EX",1,IF(DATOS!$G15207="OR",--(COUNTIFS(nNIA,DATOS!$A15207,nCURSO,DATOS!$D15207,nESPEC,DATOS!$E15207,nASIG,DATOS!$I15207,nEVAL,"EX")=0),0))))</f>
      </c>
      <c r="H15207">
        <f>IF(DATOS!$G15207&lt;&gt;"EX",0,--(COUNTIFS(nNIA,DATOS!$A15207,nCURSO,DATOS!$D15207,nESPEC,DATOS!$E15207,nASIG,DATOS!$I15207,nEVAL,"OR")=0))</f>
      </c>
      <c r="I15207">
        <f>IF(DATOS!$I15207="","",IFERROR(VLOOKUP(DATOS!$I15207,CONFIG_ASIGNATURAS!$B$2:$J$91,9,FALSE()),""))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IF(DATOS!$A15208="",0,IF(CONFIG_METADATA!$B$4&lt;&gt;"OR+EX",--(DATOS!$G15208=CONFIG_METADATA!$B$4),IF(DATOS!$G15208="EX",1,IF(DATOS!$G15208="OR",--(COUNTIFS(nNIA,DATOS!$A15208,nCURSO,DATOS!$D15208,nESPEC,DATOS!$E15208,nASIG,DATOS!$I15208,nEVAL,"EX")=0),0))))</f>
      </c>
      <c r="H15208">
        <f>IF(DATOS!$G15208&lt;&gt;"EX",0,--(COUNTIFS(nNIA,DATOS!$A15208,nCURSO,DATOS!$D15208,nESPEC,DATOS!$E15208,nASIG,DATOS!$I15208,nEVAL,"OR")=0))</f>
      </c>
      <c r="I15208">
        <f>IF(DATOS!$I15208="","",IFERROR(VLOOKUP(DATOS!$I15208,CONFIG_ASIGNATURAS!$B$2:$J$91,9,FALSE()),""))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IF(DATOS!$A15209="",0,IF(CONFIG_METADATA!$B$4&lt;&gt;"OR+EX",--(DATOS!$G15209=CONFIG_METADATA!$B$4),IF(DATOS!$G15209="EX",1,IF(DATOS!$G15209="OR",--(COUNTIFS(nNIA,DATOS!$A15209,nCURSO,DATOS!$D15209,nESPEC,DATOS!$E15209,nASIG,DATOS!$I15209,nEVAL,"EX")=0),0))))</f>
      </c>
      <c r="H15209">
        <f>IF(DATOS!$G15209&lt;&gt;"EX",0,--(COUNTIFS(nNIA,DATOS!$A15209,nCURSO,DATOS!$D15209,nESPEC,DATOS!$E15209,nASIG,DATOS!$I15209,nEVAL,"OR")=0))</f>
      </c>
      <c r="I15209">
        <f>IF(DATOS!$I15209="","",IFERROR(VLOOKUP(DATOS!$I15209,CONFIG_ASIGNATURAS!$B$2:$J$91,9,FALSE()),""))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IF(DATOS!$A15210="",0,IF(CONFIG_METADATA!$B$4&lt;&gt;"OR+EX",--(DATOS!$G15210=CONFIG_METADATA!$B$4),IF(DATOS!$G15210="EX",1,IF(DATOS!$G15210="OR",--(COUNTIFS(nNIA,DATOS!$A15210,nCURSO,DATOS!$D15210,nESPEC,DATOS!$E15210,nASIG,DATOS!$I15210,nEVAL,"EX")=0),0))))</f>
      </c>
      <c r="H15210">
        <f>IF(DATOS!$G15210&lt;&gt;"EX",0,--(COUNTIFS(nNIA,DATOS!$A15210,nCURSO,DATOS!$D15210,nESPEC,DATOS!$E15210,nASIG,DATOS!$I15210,nEVAL,"OR")=0))</f>
      </c>
      <c r="I15210">
        <f>IF(DATOS!$I15210="","",IFERROR(VLOOKUP(DATOS!$I15210,CONFIG_ASIGNATURAS!$B$2:$J$91,9,FALSE()),""))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IF(DATOS!$A15211="",0,IF(CONFIG_METADATA!$B$4&lt;&gt;"OR+EX",--(DATOS!$G15211=CONFIG_METADATA!$B$4),IF(DATOS!$G15211="EX",1,IF(DATOS!$G15211="OR",--(COUNTIFS(nNIA,DATOS!$A15211,nCURSO,DATOS!$D15211,nESPEC,DATOS!$E15211,nASIG,DATOS!$I15211,nEVAL,"EX")=0),0))))</f>
      </c>
      <c r="H15211">
        <f>IF(DATOS!$G15211&lt;&gt;"EX",0,--(COUNTIFS(nNIA,DATOS!$A15211,nCURSO,DATOS!$D15211,nESPEC,DATOS!$E15211,nASIG,DATOS!$I15211,nEVAL,"OR")=0))</f>
      </c>
      <c r="I15211">
        <f>IF(DATOS!$I15211="","",IFERROR(VLOOKUP(DATOS!$I15211,CONFIG_ASIGNATURAS!$B$2:$J$91,9,FALSE()),""))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IF(DATOS!$A15212="",0,IF(CONFIG_METADATA!$B$4&lt;&gt;"OR+EX",--(DATOS!$G15212=CONFIG_METADATA!$B$4),IF(DATOS!$G15212="EX",1,IF(DATOS!$G15212="OR",--(COUNTIFS(nNIA,DATOS!$A15212,nCURSO,DATOS!$D15212,nESPEC,DATOS!$E15212,nASIG,DATOS!$I15212,nEVAL,"EX")=0),0))))</f>
      </c>
      <c r="H15212">
        <f>IF(DATOS!$G15212&lt;&gt;"EX",0,--(COUNTIFS(nNIA,DATOS!$A15212,nCURSO,DATOS!$D15212,nESPEC,DATOS!$E15212,nASIG,DATOS!$I15212,nEVAL,"OR")=0))</f>
      </c>
      <c r="I15212">
        <f>IF(DATOS!$I15212="","",IFERROR(VLOOKUP(DATOS!$I15212,CONFIG_ASIGNATURAS!$B$2:$J$91,9,FALSE()),""))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IF(DATOS!$A15213="",0,IF(CONFIG_METADATA!$B$4&lt;&gt;"OR+EX",--(DATOS!$G15213=CONFIG_METADATA!$B$4),IF(DATOS!$G15213="EX",1,IF(DATOS!$G15213="OR",--(COUNTIFS(nNIA,DATOS!$A15213,nCURSO,DATOS!$D15213,nESPEC,DATOS!$E15213,nASIG,DATOS!$I15213,nEVAL,"EX")=0),0))))</f>
      </c>
      <c r="H15213">
        <f>IF(DATOS!$G15213&lt;&gt;"EX",0,--(COUNTIFS(nNIA,DATOS!$A15213,nCURSO,DATOS!$D15213,nESPEC,DATOS!$E15213,nASIG,DATOS!$I15213,nEVAL,"OR")=0))</f>
      </c>
      <c r="I15213">
        <f>IF(DATOS!$I15213="","",IFERROR(VLOOKUP(DATOS!$I15213,CONFIG_ASIGNATURAS!$B$2:$J$91,9,FALSE()),""))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IF(DATOS!$A15214="",0,IF(CONFIG_METADATA!$B$4&lt;&gt;"OR+EX",--(DATOS!$G15214=CONFIG_METADATA!$B$4),IF(DATOS!$G15214="EX",1,IF(DATOS!$G15214="OR",--(COUNTIFS(nNIA,DATOS!$A15214,nCURSO,DATOS!$D15214,nESPEC,DATOS!$E15214,nASIG,DATOS!$I15214,nEVAL,"EX")=0),0))))</f>
      </c>
      <c r="H15214">
        <f>IF(DATOS!$G15214&lt;&gt;"EX",0,--(COUNTIFS(nNIA,DATOS!$A15214,nCURSO,DATOS!$D15214,nESPEC,DATOS!$E15214,nASIG,DATOS!$I15214,nEVAL,"OR")=0))</f>
      </c>
      <c r="I15214">
        <f>IF(DATOS!$I15214="","",IFERROR(VLOOKUP(DATOS!$I15214,CONFIG_ASIGNATURAS!$B$2:$J$91,9,FALSE()),""))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IF(DATOS!$A15215="",0,IF(CONFIG_METADATA!$B$4&lt;&gt;"OR+EX",--(DATOS!$G15215=CONFIG_METADATA!$B$4),IF(DATOS!$G15215="EX",1,IF(DATOS!$G15215="OR",--(COUNTIFS(nNIA,DATOS!$A15215,nCURSO,DATOS!$D15215,nESPEC,DATOS!$E15215,nASIG,DATOS!$I15215,nEVAL,"EX")=0),0))))</f>
      </c>
      <c r="H15215">
        <f>IF(DATOS!$G15215&lt;&gt;"EX",0,--(COUNTIFS(nNIA,DATOS!$A15215,nCURSO,DATOS!$D15215,nESPEC,DATOS!$E15215,nASIG,DATOS!$I15215,nEVAL,"OR")=0))</f>
      </c>
      <c r="I15215">
        <f>IF(DATOS!$I15215="","",IFERROR(VLOOKUP(DATOS!$I15215,CONFIG_ASIGNATURAS!$B$2:$J$91,9,FALSE()),""))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IF(DATOS!$A15216="",0,IF(CONFIG_METADATA!$B$4&lt;&gt;"OR+EX",--(DATOS!$G15216=CONFIG_METADATA!$B$4),IF(DATOS!$G15216="EX",1,IF(DATOS!$G15216="OR",--(COUNTIFS(nNIA,DATOS!$A15216,nCURSO,DATOS!$D15216,nESPEC,DATOS!$E15216,nASIG,DATOS!$I15216,nEVAL,"EX")=0),0))))</f>
      </c>
      <c r="H15216">
        <f>IF(DATOS!$G15216&lt;&gt;"EX",0,--(COUNTIFS(nNIA,DATOS!$A15216,nCURSO,DATOS!$D15216,nESPEC,DATOS!$E15216,nASIG,DATOS!$I15216,nEVAL,"OR")=0))</f>
      </c>
      <c r="I15216">
        <f>IF(DATOS!$I15216="","",IFERROR(VLOOKUP(DATOS!$I15216,CONFIG_ASIGNATURAS!$B$2:$J$91,9,FALSE()),""))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IF(DATOS!$A15217="",0,IF(CONFIG_METADATA!$B$4&lt;&gt;"OR+EX",--(DATOS!$G15217=CONFIG_METADATA!$B$4),IF(DATOS!$G15217="EX",1,IF(DATOS!$G15217="OR",--(COUNTIFS(nNIA,DATOS!$A15217,nCURSO,DATOS!$D15217,nESPEC,DATOS!$E15217,nASIG,DATOS!$I15217,nEVAL,"EX")=0),0))))</f>
      </c>
      <c r="H15217">
        <f>IF(DATOS!$G15217&lt;&gt;"EX",0,--(COUNTIFS(nNIA,DATOS!$A15217,nCURSO,DATOS!$D15217,nESPEC,DATOS!$E15217,nASIG,DATOS!$I15217,nEVAL,"OR")=0))</f>
      </c>
      <c r="I15217">
        <f>IF(DATOS!$I15217="","",IFERROR(VLOOKUP(DATOS!$I15217,CONFIG_ASIGNATURAS!$B$2:$J$91,9,FALSE()),""))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IF(DATOS!$A15218="",0,IF(CONFIG_METADATA!$B$4&lt;&gt;"OR+EX",--(DATOS!$G15218=CONFIG_METADATA!$B$4),IF(DATOS!$G15218="EX",1,IF(DATOS!$G15218="OR",--(COUNTIFS(nNIA,DATOS!$A15218,nCURSO,DATOS!$D15218,nESPEC,DATOS!$E15218,nASIG,DATOS!$I15218,nEVAL,"EX")=0),0))))</f>
      </c>
      <c r="H15218">
        <f>IF(DATOS!$G15218&lt;&gt;"EX",0,--(COUNTIFS(nNIA,DATOS!$A15218,nCURSO,DATOS!$D15218,nESPEC,DATOS!$E15218,nASIG,DATOS!$I15218,nEVAL,"OR")=0))</f>
      </c>
      <c r="I15218">
        <f>IF(DATOS!$I15218="","",IFERROR(VLOOKUP(DATOS!$I15218,CONFIG_ASIGNATURAS!$B$2:$J$91,9,FALSE()),""))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IF(DATOS!$A15219="",0,IF(CONFIG_METADATA!$B$4&lt;&gt;"OR+EX",--(DATOS!$G15219=CONFIG_METADATA!$B$4),IF(DATOS!$G15219="EX",1,IF(DATOS!$G15219="OR",--(COUNTIFS(nNIA,DATOS!$A15219,nCURSO,DATOS!$D15219,nESPEC,DATOS!$E15219,nASIG,DATOS!$I15219,nEVAL,"EX")=0),0))))</f>
      </c>
      <c r="H15219">
        <f>IF(DATOS!$G15219&lt;&gt;"EX",0,--(COUNTIFS(nNIA,DATOS!$A15219,nCURSO,DATOS!$D15219,nESPEC,DATOS!$E15219,nASIG,DATOS!$I15219,nEVAL,"OR")=0))</f>
      </c>
      <c r="I15219">
        <f>IF(DATOS!$I15219="","",IFERROR(VLOOKUP(DATOS!$I15219,CONFIG_ASIGNATURAS!$B$2:$J$91,9,FALSE()),""))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IF(DATOS!$A15220="",0,IF(CONFIG_METADATA!$B$4&lt;&gt;"OR+EX",--(DATOS!$G15220=CONFIG_METADATA!$B$4),IF(DATOS!$G15220="EX",1,IF(DATOS!$G15220="OR",--(COUNTIFS(nNIA,DATOS!$A15220,nCURSO,DATOS!$D15220,nESPEC,DATOS!$E15220,nASIG,DATOS!$I15220,nEVAL,"EX")=0),0))))</f>
      </c>
      <c r="H15220">
        <f>IF(DATOS!$G15220&lt;&gt;"EX",0,--(COUNTIFS(nNIA,DATOS!$A15220,nCURSO,DATOS!$D15220,nESPEC,DATOS!$E15220,nASIG,DATOS!$I15220,nEVAL,"OR")=0))</f>
      </c>
      <c r="I15220">
        <f>IF(DATOS!$I15220="","",IFERROR(VLOOKUP(DATOS!$I15220,CONFIG_ASIGNATURAS!$B$2:$J$91,9,FALSE()),""))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IF(DATOS!$A15221="",0,IF(CONFIG_METADATA!$B$4&lt;&gt;"OR+EX",--(DATOS!$G15221=CONFIG_METADATA!$B$4),IF(DATOS!$G15221="EX",1,IF(DATOS!$G15221="OR",--(COUNTIFS(nNIA,DATOS!$A15221,nCURSO,DATOS!$D15221,nESPEC,DATOS!$E15221,nASIG,DATOS!$I15221,nEVAL,"EX")=0),0))))</f>
      </c>
      <c r="H15221">
        <f>IF(DATOS!$G15221&lt;&gt;"EX",0,--(COUNTIFS(nNIA,DATOS!$A15221,nCURSO,DATOS!$D15221,nESPEC,DATOS!$E15221,nASIG,DATOS!$I15221,nEVAL,"OR")=0))</f>
      </c>
      <c r="I15221">
        <f>IF(DATOS!$I15221="","",IFERROR(VLOOKUP(DATOS!$I15221,CONFIG_ASIGNATURAS!$B$2:$J$91,9,FALSE()),""))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IF(DATOS!$A15222="",0,IF(CONFIG_METADATA!$B$4&lt;&gt;"OR+EX",--(DATOS!$G15222=CONFIG_METADATA!$B$4),IF(DATOS!$G15222="EX",1,IF(DATOS!$G15222="OR",--(COUNTIFS(nNIA,DATOS!$A15222,nCURSO,DATOS!$D15222,nESPEC,DATOS!$E15222,nASIG,DATOS!$I15222,nEVAL,"EX")=0),0))))</f>
      </c>
      <c r="H15222">
        <f>IF(DATOS!$G15222&lt;&gt;"EX",0,--(COUNTIFS(nNIA,DATOS!$A15222,nCURSO,DATOS!$D15222,nESPEC,DATOS!$E15222,nASIG,DATOS!$I15222,nEVAL,"OR")=0))</f>
      </c>
      <c r="I15222">
        <f>IF(DATOS!$I15222="","",IFERROR(VLOOKUP(DATOS!$I15222,CONFIG_ASIGNATURAS!$B$2:$J$91,9,FALSE()),""))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IF(DATOS!$A15223="",0,IF(CONFIG_METADATA!$B$4&lt;&gt;"OR+EX",--(DATOS!$G15223=CONFIG_METADATA!$B$4),IF(DATOS!$G15223="EX",1,IF(DATOS!$G15223="OR",--(COUNTIFS(nNIA,DATOS!$A15223,nCURSO,DATOS!$D15223,nESPEC,DATOS!$E15223,nASIG,DATOS!$I15223,nEVAL,"EX")=0),0))))</f>
      </c>
      <c r="H15223">
        <f>IF(DATOS!$G15223&lt;&gt;"EX",0,--(COUNTIFS(nNIA,DATOS!$A15223,nCURSO,DATOS!$D15223,nESPEC,DATOS!$E15223,nASIG,DATOS!$I15223,nEVAL,"OR")=0))</f>
      </c>
      <c r="I15223">
        <f>IF(DATOS!$I15223="","",IFERROR(VLOOKUP(DATOS!$I15223,CONFIG_ASIGNATURAS!$B$2:$J$91,9,FALSE()),""))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IF(DATOS!$A15224="",0,IF(CONFIG_METADATA!$B$4&lt;&gt;"OR+EX",--(DATOS!$G15224=CONFIG_METADATA!$B$4),IF(DATOS!$G15224="EX",1,IF(DATOS!$G15224="OR",--(COUNTIFS(nNIA,DATOS!$A15224,nCURSO,DATOS!$D15224,nESPEC,DATOS!$E15224,nASIG,DATOS!$I15224,nEVAL,"EX")=0),0))))</f>
      </c>
      <c r="H15224">
        <f>IF(DATOS!$G15224&lt;&gt;"EX",0,--(COUNTIFS(nNIA,DATOS!$A15224,nCURSO,DATOS!$D15224,nESPEC,DATOS!$E15224,nASIG,DATOS!$I15224,nEVAL,"OR")=0))</f>
      </c>
      <c r="I15224">
        <f>IF(DATOS!$I15224="","",IFERROR(VLOOKUP(DATOS!$I15224,CONFIG_ASIGNATURAS!$B$2:$J$91,9,FALSE()),""))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IF(DATOS!$A15225="",0,IF(CONFIG_METADATA!$B$4&lt;&gt;"OR+EX",--(DATOS!$G15225=CONFIG_METADATA!$B$4),IF(DATOS!$G15225="EX",1,IF(DATOS!$G15225="OR",--(COUNTIFS(nNIA,DATOS!$A15225,nCURSO,DATOS!$D15225,nESPEC,DATOS!$E15225,nASIG,DATOS!$I15225,nEVAL,"EX")=0),0))))</f>
      </c>
      <c r="H15225">
        <f>IF(DATOS!$G15225&lt;&gt;"EX",0,--(COUNTIFS(nNIA,DATOS!$A15225,nCURSO,DATOS!$D15225,nESPEC,DATOS!$E15225,nASIG,DATOS!$I15225,nEVAL,"OR")=0))</f>
      </c>
      <c r="I15225">
        <f>IF(DATOS!$I15225="","",IFERROR(VLOOKUP(DATOS!$I15225,CONFIG_ASIGNATURAS!$B$2:$J$91,9,FALSE()),""))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IF(DATOS!$A15226="",0,IF(CONFIG_METADATA!$B$4&lt;&gt;"OR+EX",--(DATOS!$G15226=CONFIG_METADATA!$B$4),IF(DATOS!$G15226="EX",1,IF(DATOS!$G15226="OR",--(COUNTIFS(nNIA,DATOS!$A15226,nCURSO,DATOS!$D15226,nESPEC,DATOS!$E15226,nASIG,DATOS!$I15226,nEVAL,"EX")=0),0))))</f>
      </c>
      <c r="H15226">
        <f>IF(DATOS!$G15226&lt;&gt;"EX",0,--(COUNTIFS(nNIA,DATOS!$A15226,nCURSO,DATOS!$D15226,nESPEC,DATOS!$E15226,nASIG,DATOS!$I15226,nEVAL,"OR")=0))</f>
      </c>
      <c r="I15226">
        <f>IF(DATOS!$I15226="","",IFERROR(VLOOKUP(DATOS!$I15226,CONFIG_ASIGNATURAS!$B$2:$J$91,9,FALSE()),""))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IF(DATOS!$A15227="",0,IF(CONFIG_METADATA!$B$4&lt;&gt;"OR+EX",--(DATOS!$G15227=CONFIG_METADATA!$B$4),IF(DATOS!$G15227="EX",1,IF(DATOS!$G15227="OR",--(COUNTIFS(nNIA,DATOS!$A15227,nCURSO,DATOS!$D15227,nESPEC,DATOS!$E15227,nASIG,DATOS!$I15227,nEVAL,"EX")=0),0))))</f>
      </c>
      <c r="H15227">
        <f>IF(DATOS!$G15227&lt;&gt;"EX",0,--(COUNTIFS(nNIA,DATOS!$A15227,nCURSO,DATOS!$D15227,nESPEC,DATOS!$E15227,nASIG,DATOS!$I15227,nEVAL,"OR")=0))</f>
      </c>
      <c r="I15227">
        <f>IF(DATOS!$I15227="","",IFERROR(VLOOKUP(DATOS!$I15227,CONFIG_ASIGNATURAS!$B$2:$J$91,9,FALSE()),""))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IF(DATOS!$A15228="",0,IF(CONFIG_METADATA!$B$4&lt;&gt;"OR+EX",--(DATOS!$G15228=CONFIG_METADATA!$B$4),IF(DATOS!$G15228="EX",1,IF(DATOS!$G15228="OR",--(COUNTIFS(nNIA,DATOS!$A15228,nCURSO,DATOS!$D15228,nESPEC,DATOS!$E15228,nASIG,DATOS!$I15228,nEVAL,"EX")=0),0))))</f>
      </c>
      <c r="H15228">
        <f>IF(DATOS!$G15228&lt;&gt;"EX",0,--(COUNTIFS(nNIA,DATOS!$A15228,nCURSO,DATOS!$D15228,nESPEC,DATOS!$E15228,nASIG,DATOS!$I15228,nEVAL,"OR")=0))</f>
      </c>
      <c r="I15228">
        <f>IF(DATOS!$I15228="","",IFERROR(VLOOKUP(DATOS!$I15228,CONFIG_ASIGNATURAS!$B$2:$J$91,9,FALSE()),""))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IF(DATOS!$A15229="",0,IF(CONFIG_METADATA!$B$4&lt;&gt;"OR+EX",--(DATOS!$G15229=CONFIG_METADATA!$B$4),IF(DATOS!$G15229="EX",1,IF(DATOS!$G15229="OR",--(COUNTIFS(nNIA,DATOS!$A15229,nCURSO,DATOS!$D15229,nESPEC,DATOS!$E15229,nASIG,DATOS!$I15229,nEVAL,"EX")=0),0))))</f>
      </c>
      <c r="H15229">
        <f>IF(DATOS!$G15229&lt;&gt;"EX",0,--(COUNTIFS(nNIA,DATOS!$A15229,nCURSO,DATOS!$D15229,nESPEC,DATOS!$E15229,nASIG,DATOS!$I15229,nEVAL,"OR")=0))</f>
      </c>
      <c r="I15229">
        <f>IF(DATOS!$I15229="","",IFERROR(VLOOKUP(DATOS!$I15229,CONFIG_ASIGNATURAS!$B$2:$J$91,9,FALSE()),""))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IF(DATOS!$A15230="",0,IF(CONFIG_METADATA!$B$4&lt;&gt;"OR+EX",--(DATOS!$G15230=CONFIG_METADATA!$B$4),IF(DATOS!$G15230="EX",1,IF(DATOS!$G15230="OR",--(COUNTIFS(nNIA,DATOS!$A15230,nCURSO,DATOS!$D15230,nESPEC,DATOS!$E15230,nASIG,DATOS!$I15230,nEVAL,"EX")=0),0))))</f>
      </c>
      <c r="H15230">
        <f>IF(DATOS!$G15230&lt;&gt;"EX",0,--(COUNTIFS(nNIA,DATOS!$A15230,nCURSO,DATOS!$D15230,nESPEC,DATOS!$E15230,nASIG,DATOS!$I15230,nEVAL,"OR")=0))</f>
      </c>
      <c r="I15230">
        <f>IF(DATOS!$I15230="","",IFERROR(VLOOKUP(DATOS!$I15230,CONFIG_ASIGNATURAS!$B$2:$J$91,9,FALSE()),""))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IF(DATOS!$A15231="",0,IF(CONFIG_METADATA!$B$4&lt;&gt;"OR+EX",--(DATOS!$G15231=CONFIG_METADATA!$B$4),IF(DATOS!$G15231="EX",1,IF(DATOS!$G15231="OR",--(COUNTIFS(nNIA,DATOS!$A15231,nCURSO,DATOS!$D15231,nESPEC,DATOS!$E15231,nASIG,DATOS!$I15231,nEVAL,"EX")=0),0))))</f>
      </c>
      <c r="H15231">
        <f>IF(DATOS!$G15231&lt;&gt;"EX",0,--(COUNTIFS(nNIA,DATOS!$A15231,nCURSO,DATOS!$D15231,nESPEC,DATOS!$E15231,nASIG,DATOS!$I15231,nEVAL,"OR")=0))</f>
      </c>
      <c r="I15231">
        <f>IF(DATOS!$I15231="","",IFERROR(VLOOKUP(DATOS!$I15231,CONFIG_ASIGNATURAS!$B$2:$J$91,9,FALSE()),""))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IF(DATOS!$A15232="",0,IF(CONFIG_METADATA!$B$4&lt;&gt;"OR+EX",--(DATOS!$G15232=CONFIG_METADATA!$B$4),IF(DATOS!$G15232="EX",1,IF(DATOS!$G15232="OR",--(COUNTIFS(nNIA,DATOS!$A15232,nCURSO,DATOS!$D15232,nESPEC,DATOS!$E15232,nASIG,DATOS!$I15232,nEVAL,"EX")=0),0))))</f>
      </c>
      <c r="H15232">
        <f>IF(DATOS!$G15232&lt;&gt;"EX",0,--(COUNTIFS(nNIA,DATOS!$A15232,nCURSO,DATOS!$D15232,nESPEC,DATOS!$E15232,nASIG,DATOS!$I15232,nEVAL,"OR")=0))</f>
      </c>
      <c r="I15232">
        <f>IF(DATOS!$I15232="","",IFERROR(VLOOKUP(DATOS!$I15232,CONFIG_ASIGNATURAS!$B$2:$J$91,9,FALSE()),""))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IF(DATOS!$A15233="",0,IF(CONFIG_METADATA!$B$4&lt;&gt;"OR+EX",--(DATOS!$G15233=CONFIG_METADATA!$B$4),IF(DATOS!$G15233="EX",1,IF(DATOS!$G15233="OR",--(COUNTIFS(nNIA,DATOS!$A15233,nCURSO,DATOS!$D15233,nESPEC,DATOS!$E15233,nASIG,DATOS!$I15233,nEVAL,"EX")=0),0))))</f>
      </c>
      <c r="H15233">
        <f>IF(DATOS!$G15233&lt;&gt;"EX",0,--(COUNTIFS(nNIA,DATOS!$A15233,nCURSO,DATOS!$D15233,nESPEC,DATOS!$E15233,nASIG,DATOS!$I15233,nEVAL,"OR")=0))</f>
      </c>
      <c r="I15233">
        <f>IF(DATOS!$I15233="","",IFERROR(VLOOKUP(DATOS!$I15233,CONFIG_ASIGNATURAS!$B$2:$J$91,9,FALSE()),""))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IF(DATOS!$A15234="",0,IF(CONFIG_METADATA!$B$4&lt;&gt;"OR+EX",--(DATOS!$G15234=CONFIG_METADATA!$B$4),IF(DATOS!$G15234="EX",1,IF(DATOS!$G15234="OR",--(COUNTIFS(nNIA,DATOS!$A15234,nCURSO,DATOS!$D15234,nESPEC,DATOS!$E15234,nASIG,DATOS!$I15234,nEVAL,"EX")=0),0))))</f>
      </c>
      <c r="H15234">
        <f>IF(DATOS!$G15234&lt;&gt;"EX",0,--(COUNTIFS(nNIA,DATOS!$A15234,nCURSO,DATOS!$D15234,nESPEC,DATOS!$E15234,nASIG,DATOS!$I15234,nEVAL,"OR")=0))</f>
      </c>
      <c r="I15234">
        <f>IF(DATOS!$I15234="","",IFERROR(VLOOKUP(DATOS!$I15234,CONFIG_ASIGNATURAS!$B$2:$J$91,9,FALSE()),""))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IF(DATOS!$A15235="",0,IF(CONFIG_METADATA!$B$4&lt;&gt;"OR+EX",--(DATOS!$G15235=CONFIG_METADATA!$B$4),IF(DATOS!$G15235="EX",1,IF(DATOS!$G15235="OR",--(COUNTIFS(nNIA,DATOS!$A15235,nCURSO,DATOS!$D15235,nESPEC,DATOS!$E15235,nASIG,DATOS!$I15235,nEVAL,"EX")=0),0))))</f>
      </c>
      <c r="H15235">
        <f>IF(DATOS!$G15235&lt;&gt;"EX",0,--(COUNTIFS(nNIA,DATOS!$A15235,nCURSO,DATOS!$D15235,nESPEC,DATOS!$E15235,nASIG,DATOS!$I15235,nEVAL,"OR")=0))</f>
      </c>
      <c r="I15235">
        <f>IF(DATOS!$I15235="","",IFERROR(VLOOKUP(DATOS!$I15235,CONFIG_ASIGNATURAS!$B$2:$J$91,9,FALSE()),""))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IF(DATOS!$A15236="",0,IF(CONFIG_METADATA!$B$4&lt;&gt;"OR+EX",--(DATOS!$G15236=CONFIG_METADATA!$B$4),IF(DATOS!$G15236="EX",1,IF(DATOS!$G15236="OR",--(COUNTIFS(nNIA,DATOS!$A15236,nCURSO,DATOS!$D15236,nESPEC,DATOS!$E15236,nASIG,DATOS!$I15236,nEVAL,"EX")=0),0))))</f>
      </c>
      <c r="H15236">
        <f>IF(DATOS!$G15236&lt;&gt;"EX",0,--(COUNTIFS(nNIA,DATOS!$A15236,nCURSO,DATOS!$D15236,nESPEC,DATOS!$E15236,nASIG,DATOS!$I15236,nEVAL,"OR")=0))</f>
      </c>
      <c r="I15236">
        <f>IF(DATOS!$I15236="","",IFERROR(VLOOKUP(DATOS!$I15236,CONFIG_ASIGNATURAS!$B$2:$J$91,9,FALSE()),""))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IF(DATOS!$A15237="",0,IF(CONFIG_METADATA!$B$4&lt;&gt;"OR+EX",--(DATOS!$G15237=CONFIG_METADATA!$B$4),IF(DATOS!$G15237="EX",1,IF(DATOS!$G15237="OR",--(COUNTIFS(nNIA,DATOS!$A15237,nCURSO,DATOS!$D15237,nESPEC,DATOS!$E15237,nASIG,DATOS!$I15237,nEVAL,"EX")=0),0))))</f>
      </c>
      <c r="H15237">
        <f>IF(DATOS!$G15237&lt;&gt;"EX",0,--(COUNTIFS(nNIA,DATOS!$A15237,nCURSO,DATOS!$D15237,nESPEC,DATOS!$E15237,nASIG,DATOS!$I15237,nEVAL,"OR")=0))</f>
      </c>
      <c r="I15237">
        <f>IF(DATOS!$I15237="","",IFERROR(VLOOKUP(DATOS!$I15237,CONFIG_ASIGNATURAS!$B$2:$J$91,9,FALSE()),""))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IF(DATOS!$A15238="",0,IF(CONFIG_METADATA!$B$4&lt;&gt;"OR+EX",--(DATOS!$G15238=CONFIG_METADATA!$B$4),IF(DATOS!$G15238="EX",1,IF(DATOS!$G15238="OR",--(COUNTIFS(nNIA,DATOS!$A15238,nCURSO,DATOS!$D15238,nESPEC,DATOS!$E15238,nASIG,DATOS!$I15238,nEVAL,"EX")=0),0))))</f>
      </c>
      <c r="H15238">
        <f>IF(DATOS!$G15238&lt;&gt;"EX",0,--(COUNTIFS(nNIA,DATOS!$A15238,nCURSO,DATOS!$D15238,nESPEC,DATOS!$E15238,nASIG,DATOS!$I15238,nEVAL,"OR")=0))</f>
      </c>
      <c r="I15238">
        <f>IF(DATOS!$I15238="","",IFERROR(VLOOKUP(DATOS!$I15238,CONFIG_ASIGNATURAS!$B$2:$J$91,9,FALSE()),""))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IF(DATOS!$A15239="",0,IF(CONFIG_METADATA!$B$4&lt;&gt;"OR+EX",--(DATOS!$G15239=CONFIG_METADATA!$B$4),IF(DATOS!$G15239="EX",1,IF(DATOS!$G15239="OR",--(COUNTIFS(nNIA,DATOS!$A15239,nCURSO,DATOS!$D15239,nESPEC,DATOS!$E15239,nASIG,DATOS!$I15239,nEVAL,"EX")=0),0))))</f>
      </c>
      <c r="H15239">
        <f>IF(DATOS!$G15239&lt;&gt;"EX",0,--(COUNTIFS(nNIA,DATOS!$A15239,nCURSO,DATOS!$D15239,nESPEC,DATOS!$E15239,nASIG,DATOS!$I15239,nEVAL,"OR")=0))</f>
      </c>
      <c r="I15239">
        <f>IF(DATOS!$I15239="","",IFERROR(VLOOKUP(DATOS!$I15239,CONFIG_ASIGNATURAS!$B$2:$J$91,9,FALSE()),""))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IF(DATOS!$A15240="",0,IF(CONFIG_METADATA!$B$4&lt;&gt;"OR+EX",--(DATOS!$G15240=CONFIG_METADATA!$B$4),IF(DATOS!$G15240="EX",1,IF(DATOS!$G15240="OR",--(COUNTIFS(nNIA,DATOS!$A15240,nCURSO,DATOS!$D15240,nESPEC,DATOS!$E15240,nASIG,DATOS!$I15240,nEVAL,"EX")=0),0))))</f>
      </c>
      <c r="H15240">
        <f>IF(DATOS!$G15240&lt;&gt;"EX",0,--(COUNTIFS(nNIA,DATOS!$A15240,nCURSO,DATOS!$D15240,nESPEC,DATOS!$E15240,nASIG,DATOS!$I15240,nEVAL,"OR")=0))</f>
      </c>
      <c r="I15240">
        <f>IF(DATOS!$I15240="","",IFERROR(VLOOKUP(DATOS!$I15240,CONFIG_ASIGNATURAS!$B$2:$J$91,9,FALSE()),""))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IF(DATOS!$A15241="",0,IF(CONFIG_METADATA!$B$4&lt;&gt;"OR+EX",--(DATOS!$G15241=CONFIG_METADATA!$B$4),IF(DATOS!$G15241="EX",1,IF(DATOS!$G15241="OR",--(COUNTIFS(nNIA,DATOS!$A15241,nCURSO,DATOS!$D15241,nESPEC,DATOS!$E15241,nASIG,DATOS!$I15241,nEVAL,"EX")=0),0))))</f>
      </c>
      <c r="H15241">
        <f>IF(DATOS!$G15241&lt;&gt;"EX",0,--(COUNTIFS(nNIA,DATOS!$A15241,nCURSO,DATOS!$D15241,nESPEC,DATOS!$E15241,nASIG,DATOS!$I15241,nEVAL,"OR")=0))</f>
      </c>
      <c r="I15241">
        <f>IF(DATOS!$I15241="","",IFERROR(VLOOKUP(DATOS!$I15241,CONFIG_ASIGNATURAS!$B$2:$J$91,9,FALSE()),""))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IF(DATOS!$A15242="",0,IF(CONFIG_METADATA!$B$4&lt;&gt;"OR+EX",--(DATOS!$G15242=CONFIG_METADATA!$B$4),IF(DATOS!$G15242="EX",1,IF(DATOS!$G15242="OR",--(COUNTIFS(nNIA,DATOS!$A15242,nCURSO,DATOS!$D15242,nESPEC,DATOS!$E15242,nASIG,DATOS!$I15242,nEVAL,"EX")=0),0))))</f>
      </c>
      <c r="H15242">
        <f>IF(DATOS!$G15242&lt;&gt;"EX",0,--(COUNTIFS(nNIA,DATOS!$A15242,nCURSO,DATOS!$D15242,nESPEC,DATOS!$E15242,nASIG,DATOS!$I15242,nEVAL,"OR")=0))</f>
      </c>
      <c r="I15242">
        <f>IF(DATOS!$I15242="","",IFERROR(VLOOKUP(DATOS!$I15242,CONFIG_ASIGNATURAS!$B$2:$J$91,9,FALSE()),""))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IF(DATOS!$A15243="",0,IF(CONFIG_METADATA!$B$4&lt;&gt;"OR+EX",--(DATOS!$G15243=CONFIG_METADATA!$B$4),IF(DATOS!$G15243="EX",1,IF(DATOS!$G15243="OR",--(COUNTIFS(nNIA,DATOS!$A15243,nCURSO,DATOS!$D15243,nESPEC,DATOS!$E15243,nASIG,DATOS!$I15243,nEVAL,"EX")=0),0))))</f>
      </c>
      <c r="H15243">
        <f>IF(DATOS!$G15243&lt;&gt;"EX",0,--(COUNTIFS(nNIA,DATOS!$A15243,nCURSO,DATOS!$D15243,nESPEC,DATOS!$E15243,nASIG,DATOS!$I15243,nEVAL,"OR")=0))</f>
      </c>
      <c r="I15243">
        <f>IF(DATOS!$I15243="","",IFERROR(VLOOKUP(DATOS!$I15243,CONFIG_ASIGNATURAS!$B$2:$J$91,9,FALSE()),""))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IF(DATOS!$A15244="",0,IF(CONFIG_METADATA!$B$4&lt;&gt;"OR+EX",--(DATOS!$G15244=CONFIG_METADATA!$B$4),IF(DATOS!$G15244="EX",1,IF(DATOS!$G15244="OR",--(COUNTIFS(nNIA,DATOS!$A15244,nCURSO,DATOS!$D15244,nESPEC,DATOS!$E15244,nASIG,DATOS!$I15244,nEVAL,"EX")=0),0))))</f>
      </c>
      <c r="H15244">
        <f>IF(DATOS!$G15244&lt;&gt;"EX",0,--(COUNTIFS(nNIA,DATOS!$A15244,nCURSO,DATOS!$D15244,nESPEC,DATOS!$E15244,nASIG,DATOS!$I15244,nEVAL,"OR")=0))</f>
      </c>
      <c r="I15244">
        <f>IF(DATOS!$I15244="","",IFERROR(VLOOKUP(DATOS!$I15244,CONFIG_ASIGNATURAS!$B$2:$J$91,9,FALSE()),""))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IF(DATOS!$A15245="",0,IF(CONFIG_METADATA!$B$4&lt;&gt;"OR+EX",--(DATOS!$G15245=CONFIG_METADATA!$B$4),IF(DATOS!$G15245="EX",1,IF(DATOS!$G15245="OR",--(COUNTIFS(nNIA,DATOS!$A15245,nCURSO,DATOS!$D15245,nESPEC,DATOS!$E15245,nASIG,DATOS!$I15245,nEVAL,"EX")=0),0))))</f>
      </c>
      <c r="H15245">
        <f>IF(DATOS!$G15245&lt;&gt;"EX",0,--(COUNTIFS(nNIA,DATOS!$A15245,nCURSO,DATOS!$D15245,nESPEC,DATOS!$E15245,nASIG,DATOS!$I15245,nEVAL,"OR")=0))</f>
      </c>
      <c r="I15245">
        <f>IF(DATOS!$I15245="","",IFERROR(VLOOKUP(DATOS!$I15245,CONFIG_ASIGNATURAS!$B$2:$J$91,9,FALSE()),""))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IF(DATOS!$A15246="",0,IF(CONFIG_METADATA!$B$4&lt;&gt;"OR+EX",--(DATOS!$G15246=CONFIG_METADATA!$B$4),IF(DATOS!$G15246="EX",1,IF(DATOS!$G15246="OR",--(COUNTIFS(nNIA,DATOS!$A15246,nCURSO,DATOS!$D15246,nESPEC,DATOS!$E15246,nASIG,DATOS!$I15246,nEVAL,"EX")=0),0))))</f>
      </c>
      <c r="H15246">
        <f>IF(DATOS!$G15246&lt;&gt;"EX",0,--(COUNTIFS(nNIA,DATOS!$A15246,nCURSO,DATOS!$D15246,nESPEC,DATOS!$E15246,nASIG,DATOS!$I15246,nEVAL,"OR")=0))</f>
      </c>
      <c r="I15246">
        <f>IF(DATOS!$I15246="","",IFERROR(VLOOKUP(DATOS!$I15246,CONFIG_ASIGNATURAS!$B$2:$J$91,9,FALSE()),""))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IF(DATOS!$A15247="",0,IF(CONFIG_METADATA!$B$4&lt;&gt;"OR+EX",--(DATOS!$G15247=CONFIG_METADATA!$B$4),IF(DATOS!$G15247="EX",1,IF(DATOS!$G15247="OR",--(COUNTIFS(nNIA,DATOS!$A15247,nCURSO,DATOS!$D15247,nESPEC,DATOS!$E15247,nASIG,DATOS!$I15247,nEVAL,"EX")=0),0))))</f>
      </c>
      <c r="H15247">
        <f>IF(DATOS!$G15247&lt;&gt;"EX",0,--(COUNTIFS(nNIA,DATOS!$A15247,nCURSO,DATOS!$D15247,nESPEC,DATOS!$E15247,nASIG,DATOS!$I15247,nEVAL,"OR")=0))</f>
      </c>
      <c r="I15247">
        <f>IF(DATOS!$I15247="","",IFERROR(VLOOKUP(DATOS!$I15247,CONFIG_ASIGNATURAS!$B$2:$J$91,9,FALSE()),""))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IF(DATOS!$A15248="",0,IF(CONFIG_METADATA!$B$4&lt;&gt;"OR+EX",--(DATOS!$G15248=CONFIG_METADATA!$B$4),IF(DATOS!$G15248="EX",1,IF(DATOS!$G15248="OR",--(COUNTIFS(nNIA,DATOS!$A15248,nCURSO,DATOS!$D15248,nESPEC,DATOS!$E15248,nASIG,DATOS!$I15248,nEVAL,"EX")=0),0))))</f>
      </c>
      <c r="H15248">
        <f>IF(DATOS!$G15248&lt;&gt;"EX",0,--(COUNTIFS(nNIA,DATOS!$A15248,nCURSO,DATOS!$D15248,nESPEC,DATOS!$E15248,nASIG,DATOS!$I15248,nEVAL,"OR")=0))</f>
      </c>
      <c r="I15248">
        <f>IF(DATOS!$I15248="","",IFERROR(VLOOKUP(DATOS!$I15248,CONFIG_ASIGNATURAS!$B$2:$J$91,9,FALSE()),""))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IF(DATOS!$A15249="",0,IF(CONFIG_METADATA!$B$4&lt;&gt;"OR+EX",--(DATOS!$G15249=CONFIG_METADATA!$B$4),IF(DATOS!$G15249="EX",1,IF(DATOS!$G15249="OR",--(COUNTIFS(nNIA,DATOS!$A15249,nCURSO,DATOS!$D15249,nESPEC,DATOS!$E15249,nASIG,DATOS!$I15249,nEVAL,"EX")=0),0))))</f>
      </c>
      <c r="H15249">
        <f>IF(DATOS!$G15249&lt;&gt;"EX",0,--(COUNTIFS(nNIA,DATOS!$A15249,nCURSO,DATOS!$D15249,nESPEC,DATOS!$E15249,nASIG,DATOS!$I15249,nEVAL,"OR")=0))</f>
      </c>
      <c r="I15249">
        <f>IF(DATOS!$I15249="","",IFERROR(VLOOKUP(DATOS!$I15249,CONFIG_ASIGNATURAS!$B$2:$J$91,9,FALSE()),""))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IF(DATOS!$A15250="",0,IF(CONFIG_METADATA!$B$4&lt;&gt;"OR+EX",--(DATOS!$G15250=CONFIG_METADATA!$B$4),IF(DATOS!$G15250="EX",1,IF(DATOS!$G15250="OR",--(COUNTIFS(nNIA,DATOS!$A15250,nCURSO,DATOS!$D15250,nESPEC,DATOS!$E15250,nASIG,DATOS!$I15250,nEVAL,"EX")=0),0))))</f>
      </c>
      <c r="H15250">
        <f>IF(DATOS!$G15250&lt;&gt;"EX",0,--(COUNTIFS(nNIA,DATOS!$A15250,nCURSO,DATOS!$D15250,nESPEC,DATOS!$E15250,nASIG,DATOS!$I15250,nEVAL,"OR")=0))</f>
      </c>
      <c r="I15250">
        <f>IF(DATOS!$I15250="","",IFERROR(VLOOKUP(DATOS!$I15250,CONFIG_ASIGNATURAS!$B$2:$J$91,9,FALSE()),""))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IF(DATOS!$A15251="",0,IF(CONFIG_METADATA!$B$4&lt;&gt;"OR+EX",--(DATOS!$G15251=CONFIG_METADATA!$B$4),IF(DATOS!$G15251="EX",1,IF(DATOS!$G15251="OR",--(COUNTIFS(nNIA,DATOS!$A15251,nCURSO,DATOS!$D15251,nESPEC,DATOS!$E15251,nASIG,DATOS!$I15251,nEVAL,"EX")=0),0))))</f>
      </c>
      <c r="H15251">
        <f>IF(DATOS!$G15251&lt;&gt;"EX",0,--(COUNTIFS(nNIA,DATOS!$A15251,nCURSO,DATOS!$D15251,nESPEC,DATOS!$E15251,nASIG,DATOS!$I15251,nEVAL,"OR")=0))</f>
      </c>
      <c r="I15251">
        <f>IF(DATOS!$I15251="","",IFERROR(VLOOKUP(DATOS!$I15251,CONFIG_ASIGNATURAS!$B$2:$J$91,9,FALSE()),""))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IF(DATOS!$A15252="",0,IF(CONFIG_METADATA!$B$4&lt;&gt;"OR+EX",--(DATOS!$G15252=CONFIG_METADATA!$B$4),IF(DATOS!$G15252="EX",1,IF(DATOS!$G15252="OR",--(COUNTIFS(nNIA,DATOS!$A15252,nCURSO,DATOS!$D15252,nESPEC,DATOS!$E15252,nASIG,DATOS!$I15252,nEVAL,"EX")=0),0))))</f>
      </c>
      <c r="H15252">
        <f>IF(DATOS!$G15252&lt;&gt;"EX",0,--(COUNTIFS(nNIA,DATOS!$A15252,nCURSO,DATOS!$D15252,nESPEC,DATOS!$E15252,nASIG,DATOS!$I15252,nEVAL,"OR")=0))</f>
      </c>
      <c r="I15252">
        <f>IF(DATOS!$I15252="","",IFERROR(VLOOKUP(DATOS!$I15252,CONFIG_ASIGNATURAS!$B$2:$J$91,9,FALSE()),""))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IF(DATOS!$A15253="",0,IF(CONFIG_METADATA!$B$4&lt;&gt;"OR+EX",--(DATOS!$G15253=CONFIG_METADATA!$B$4),IF(DATOS!$G15253="EX",1,IF(DATOS!$G15253="OR",--(COUNTIFS(nNIA,DATOS!$A15253,nCURSO,DATOS!$D15253,nESPEC,DATOS!$E15253,nASIG,DATOS!$I15253,nEVAL,"EX")=0),0))))</f>
      </c>
      <c r="H15253">
        <f>IF(DATOS!$G15253&lt;&gt;"EX",0,--(COUNTIFS(nNIA,DATOS!$A15253,nCURSO,DATOS!$D15253,nESPEC,DATOS!$E15253,nASIG,DATOS!$I15253,nEVAL,"OR")=0))</f>
      </c>
      <c r="I15253">
        <f>IF(DATOS!$I15253="","",IFERROR(VLOOKUP(DATOS!$I15253,CONFIG_ASIGNATURAS!$B$2:$J$91,9,FALSE()),""))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IF(DATOS!$A15254="",0,IF(CONFIG_METADATA!$B$4&lt;&gt;"OR+EX",--(DATOS!$G15254=CONFIG_METADATA!$B$4),IF(DATOS!$G15254="EX",1,IF(DATOS!$G15254="OR",--(COUNTIFS(nNIA,DATOS!$A15254,nCURSO,DATOS!$D15254,nESPEC,DATOS!$E15254,nASIG,DATOS!$I15254,nEVAL,"EX")=0),0))))</f>
      </c>
      <c r="H15254">
        <f>IF(DATOS!$G15254&lt;&gt;"EX",0,--(COUNTIFS(nNIA,DATOS!$A15254,nCURSO,DATOS!$D15254,nESPEC,DATOS!$E15254,nASIG,DATOS!$I15254,nEVAL,"OR")=0))</f>
      </c>
      <c r="I15254">
        <f>IF(DATOS!$I15254="","",IFERROR(VLOOKUP(DATOS!$I15254,CONFIG_ASIGNATURAS!$B$2:$J$91,9,FALSE()),""))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IF(DATOS!$A15255="",0,IF(CONFIG_METADATA!$B$4&lt;&gt;"OR+EX",--(DATOS!$G15255=CONFIG_METADATA!$B$4),IF(DATOS!$G15255="EX",1,IF(DATOS!$G15255="OR",--(COUNTIFS(nNIA,DATOS!$A15255,nCURSO,DATOS!$D15255,nESPEC,DATOS!$E15255,nASIG,DATOS!$I15255,nEVAL,"EX")=0),0))))</f>
      </c>
      <c r="H15255">
        <f>IF(DATOS!$G15255&lt;&gt;"EX",0,--(COUNTIFS(nNIA,DATOS!$A15255,nCURSO,DATOS!$D15255,nESPEC,DATOS!$E15255,nASIG,DATOS!$I15255,nEVAL,"OR")=0))</f>
      </c>
      <c r="I15255">
        <f>IF(DATOS!$I15255="","",IFERROR(VLOOKUP(DATOS!$I15255,CONFIG_ASIGNATURAS!$B$2:$J$91,9,FALSE()),""))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IF(DATOS!$A15256="",0,IF(CONFIG_METADATA!$B$4&lt;&gt;"OR+EX",--(DATOS!$G15256=CONFIG_METADATA!$B$4),IF(DATOS!$G15256="EX",1,IF(DATOS!$G15256="OR",--(COUNTIFS(nNIA,DATOS!$A15256,nCURSO,DATOS!$D15256,nESPEC,DATOS!$E15256,nASIG,DATOS!$I15256,nEVAL,"EX")=0),0))))</f>
      </c>
      <c r="H15256">
        <f>IF(DATOS!$G15256&lt;&gt;"EX",0,--(COUNTIFS(nNIA,DATOS!$A15256,nCURSO,DATOS!$D15256,nESPEC,DATOS!$E15256,nASIG,DATOS!$I15256,nEVAL,"OR")=0))</f>
      </c>
      <c r="I15256">
        <f>IF(DATOS!$I15256="","",IFERROR(VLOOKUP(DATOS!$I15256,CONFIG_ASIGNATURAS!$B$2:$J$91,9,FALSE()),""))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IF(DATOS!$A15257="",0,IF(CONFIG_METADATA!$B$4&lt;&gt;"OR+EX",--(DATOS!$G15257=CONFIG_METADATA!$B$4),IF(DATOS!$G15257="EX",1,IF(DATOS!$G15257="OR",--(COUNTIFS(nNIA,DATOS!$A15257,nCURSO,DATOS!$D15257,nESPEC,DATOS!$E15257,nASIG,DATOS!$I15257,nEVAL,"EX")=0),0))))</f>
      </c>
      <c r="H15257">
        <f>IF(DATOS!$G15257&lt;&gt;"EX",0,--(COUNTIFS(nNIA,DATOS!$A15257,nCURSO,DATOS!$D15257,nESPEC,DATOS!$E15257,nASIG,DATOS!$I15257,nEVAL,"OR")=0))</f>
      </c>
      <c r="I15257">
        <f>IF(DATOS!$I15257="","",IFERROR(VLOOKUP(DATOS!$I15257,CONFIG_ASIGNATURAS!$B$2:$J$91,9,FALSE()),""))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IF(DATOS!$A15258="",0,IF(CONFIG_METADATA!$B$4&lt;&gt;"OR+EX",--(DATOS!$G15258=CONFIG_METADATA!$B$4),IF(DATOS!$G15258="EX",1,IF(DATOS!$G15258="OR",--(COUNTIFS(nNIA,DATOS!$A15258,nCURSO,DATOS!$D15258,nESPEC,DATOS!$E15258,nASIG,DATOS!$I15258,nEVAL,"EX")=0),0))))</f>
      </c>
      <c r="H15258">
        <f>IF(DATOS!$G15258&lt;&gt;"EX",0,--(COUNTIFS(nNIA,DATOS!$A15258,nCURSO,DATOS!$D15258,nESPEC,DATOS!$E15258,nASIG,DATOS!$I15258,nEVAL,"OR")=0))</f>
      </c>
      <c r="I15258">
        <f>IF(DATOS!$I15258="","",IFERROR(VLOOKUP(DATOS!$I15258,CONFIG_ASIGNATURAS!$B$2:$J$91,9,FALSE()),""))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IF(DATOS!$A15259="",0,IF(CONFIG_METADATA!$B$4&lt;&gt;"OR+EX",--(DATOS!$G15259=CONFIG_METADATA!$B$4),IF(DATOS!$G15259="EX",1,IF(DATOS!$G15259="OR",--(COUNTIFS(nNIA,DATOS!$A15259,nCURSO,DATOS!$D15259,nESPEC,DATOS!$E15259,nASIG,DATOS!$I15259,nEVAL,"EX")=0),0))))</f>
      </c>
      <c r="H15259">
        <f>IF(DATOS!$G15259&lt;&gt;"EX",0,--(COUNTIFS(nNIA,DATOS!$A15259,nCURSO,DATOS!$D15259,nESPEC,DATOS!$E15259,nASIG,DATOS!$I15259,nEVAL,"OR")=0))</f>
      </c>
      <c r="I15259">
        <f>IF(DATOS!$I15259="","",IFERROR(VLOOKUP(DATOS!$I15259,CONFIG_ASIGNATURAS!$B$2:$J$91,9,FALSE()),""))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IF(DATOS!$A15260="",0,IF(CONFIG_METADATA!$B$4&lt;&gt;"OR+EX",--(DATOS!$G15260=CONFIG_METADATA!$B$4),IF(DATOS!$G15260="EX",1,IF(DATOS!$G15260="OR",--(COUNTIFS(nNIA,DATOS!$A15260,nCURSO,DATOS!$D15260,nESPEC,DATOS!$E15260,nASIG,DATOS!$I15260,nEVAL,"EX")=0),0))))</f>
      </c>
      <c r="H15260">
        <f>IF(DATOS!$G15260&lt;&gt;"EX",0,--(COUNTIFS(nNIA,DATOS!$A15260,nCURSO,DATOS!$D15260,nESPEC,DATOS!$E15260,nASIG,DATOS!$I15260,nEVAL,"OR")=0))</f>
      </c>
      <c r="I15260">
        <f>IF(DATOS!$I15260="","",IFERROR(VLOOKUP(DATOS!$I15260,CONFIG_ASIGNATURAS!$B$2:$J$91,9,FALSE()),""))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IF(DATOS!$A15261="",0,IF(CONFIG_METADATA!$B$4&lt;&gt;"OR+EX",--(DATOS!$G15261=CONFIG_METADATA!$B$4),IF(DATOS!$G15261="EX",1,IF(DATOS!$G15261="OR",--(COUNTIFS(nNIA,DATOS!$A15261,nCURSO,DATOS!$D15261,nESPEC,DATOS!$E15261,nASIG,DATOS!$I15261,nEVAL,"EX")=0),0))))</f>
      </c>
      <c r="H15261">
        <f>IF(DATOS!$G15261&lt;&gt;"EX",0,--(COUNTIFS(nNIA,DATOS!$A15261,nCURSO,DATOS!$D15261,nESPEC,DATOS!$E15261,nASIG,DATOS!$I15261,nEVAL,"OR")=0))</f>
      </c>
      <c r="I15261">
        <f>IF(DATOS!$I15261="","",IFERROR(VLOOKUP(DATOS!$I15261,CONFIG_ASIGNATURAS!$B$2:$J$91,9,FALSE()),""))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IF(DATOS!$A15262="",0,IF(CONFIG_METADATA!$B$4&lt;&gt;"OR+EX",--(DATOS!$G15262=CONFIG_METADATA!$B$4),IF(DATOS!$G15262="EX",1,IF(DATOS!$G15262="OR",--(COUNTIFS(nNIA,DATOS!$A15262,nCURSO,DATOS!$D15262,nESPEC,DATOS!$E15262,nASIG,DATOS!$I15262,nEVAL,"EX")=0),0))))</f>
      </c>
      <c r="H15262">
        <f>IF(DATOS!$G15262&lt;&gt;"EX",0,--(COUNTIFS(nNIA,DATOS!$A15262,nCURSO,DATOS!$D15262,nESPEC,DATOS!$E15262,nASIG,DATOS!$I15262,nEVAL,"OR")=0))</f>
      </c>
      <c r="I15262">
        <f>IF(DATOS!$I15262="","",IFERROR(VLOOKUP(DATOS!$I15262,CONFIG_ASIGNATURAS!$B$2:$J$91,9,FALSE()),""))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IF(DATOS!$A15263="",0,IF(CONFIG_METADATA!$B$4&lt;&gt;"OR+EX",--(DATOS!$G15263=CONFIG_METADATA!$B$4),IF(DATOS!$G15263="EX",1,IF(DATOS!$G15263="OR",--(COUNTIFS(nNIA,DATOS!$A15263,nCURSO,DATOS!$D15263,nESPEC,DATOS!$E15263,nASIG,DATOS!$I15263,nEVAL,"EX")=0),0))))</f>
      </c>
      <c r="H15263">
        <f>IF(DATOS!$G15263&lt;&gt;"EX",0,--(COUNTIFS(nNIA,DATOS!$A15263,nCURSO,DATOS!$D15263,nESPEC,DATOS!$E15263,nASIG,DATOS!$I15263,nEVAL,"OR")=0))</f>
      </c>
      <c r="I15263">
        <f>IF(DATOS!$I15263="","",IFERROR(VLOOKUP(DATOS!$I15263,CONFIG_ASIGNATURAS!$B$2:$J$91,9,FALSE()),""))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IF(DATOS!$A15264="",0,IF(CONFIG_METADATA!$B$4&lt;&gt;"OR+EX",--(DATOS!$G15264=CONFIG_METADATA!$B$4),IF(DATOS!$G15264="EX",1,IF(DATOS!$G15264="OR",--(COUNTIFS(nNIA,DATOS!$A15264,nCURSO,DATOS!$D15264,nESPEC,DATOS!$E15264,nASIG,DATOS!$I15264,nEVAL,"EX")=0),0))))</f>
      </c>
      <c r="H15264">
        <f>IF(DATOS!$G15264&lt;&gt;"EX",0,--(COUNTIFS(nNIA,DATOS!$A15264,nCURSO,DATOS!$D15264,nESPEC,DATOS!$E15264,nASIG,DATOS!$I15264,nEVAL,"OR")=0))</f>
      </c>
      <c r="I15264">
        <f>IF(DATOS!$I15264="","",IFERROR(VLOOKUP(DATOS!$I15264,CONFIG_ASIGNATURAS!$B$2:$J$91,9,FALSE()),""))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IF(DATOS!$A15265="",0,IF(CONFIG_METADATA!$B$4&lt;&gt;"OR+EX",--(DATOS!$G15265=CONFIG_METADATA!$B$4),IF(DATOS!$G15265="EX",1,IF(DATOS!$G15265="OR",--(COUNTIFS(nNIA,DATOS!$A15265,nCURSO,DATOS!$D15265,nESPEC,DATOS!$E15265,nASIG,DATOS!$I15265,nEVAL,"EX")=0),0))))</f>
      </c>
      <c r="H15265">
        <f>IF(DATOS!$G15265&lt;&gt;"EX",0,--(COUNTIFS(nNIA,DATOS!$A15265,nCURSO,DATOS!$D15265,nESPEC,DATOS!$E15265,nASIG,DATOS!$I15265,nEVAL,"OR")=0))</f>
      </c>
      <c r="I15265">
        <f>IF(DATOS!$I15265="","",IFERROR(VLOOKUP(DATOS!$I15265,CONFIG_ASIGNATURAS!$B$2:$J$91,9,FALSE()),""))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IF(DATOS!$A15266="",0,IF(CONFIG_METADATA!$B$4&lt;&gt;"OR+EX",--(DATOS!$G15266=CONFIG_METADATA!$B$4),IF(DATOS!$G15266="EX",1,IF(DATOS!$G15266="OR",--(COUNTIFS(nNIA,DATOS!$A15266,nCURSO,DATOS!$D15266,nESPEC,DATOS!$E15266,nASIG,DATOS!$I15266,nEVAL,"EX")=0),0))))</f>
      </c>
      <c r="H15266">
        <f>IF(DATOS!$G15266&lt;&gt;"EX",0,--(COUNTIFS(nNIA,DATOS!$A15266,nCURSO,DATOS!$D15266,nESPEC,DATOS!$E15266,nASIG,DATOS!$I15266,nEVAL,"OR")=0))</f>
      </c>
      <c r="I15266">
        <f>IF(DATOS!$I15266="","",IFERROR(VLOOKUP(DATOS!$I15266,CONFIG_ASIGNATURAS!$B$2:$J$91,9,FALSE()),""))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IF(DATOS!$A15267="",0,IF(CONFIG_METADATA!$B$4&lt;&gt;"OR+EX",--(DATOS!$G15267=CONFIG_METADATA!$B$4),IF(DATOS!$G15267="EX",1,IF(DATOS!$G15267="OR",--(COUNTIFS(nNIA,DATOS!$A15267,nCURSO,DATOS!$D15267,nESPEC,DATOS!$E15267,nASIG,DATOS!$I15267,nEVAL,"EX")=0),0))))</f>
      </c>
      <c r="H15267">
        <f>IF(DATOS!$G15267&lt;&gt;"EX",0,--(COUNTIFS(nNIA,DATOS!$A15267,nCURSO,DATOS!$D15267,nESPEC,DATOS!$E15267,nASIG,DATOS!$I15267,nEVAL,"OR")=0))</f>
      </c>
      <c r="I15267">
        <f>IF(DATOS!$I15267="","",IFERROR(VLOOKUP(DATOS!$I15267,CONFIG_ASIGNATURAS!$B$2:$J$91,9,FALSE()),""))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IF(DATOS!$A15268="",0,IF(CONFIG_METADATA!$B$4&lt;&gt;"OR+EX",--(DATOS!$G15268=CONFIG_METADATA!$B$4),IF(DATOS!$G15268="EX",1,IF(DATOS!$G15268="OR",--(COUNTIFS(nNIA,DATOS!$A15268,nCURSO,DATOS!$D15268,nESPEC,DATOS!$E15268,nASIG,DATOS!$I15268,nEVAL,"EX")=0),0))))</f>
      </c>
      <c r="H15268">
        <f>IF(DATOS!$G15268&lt;&gt;"EX",0,--(COUNTIFS(nNIA,DATOS!$A15268,nCURSO,DATOS!$D15268,nESPEC,DATOS!$E15268,nASIG,DATOS!$I15268,nEVAL,"OR")=0))</f>
      </c>
      <c r="I15268">
        <f>IF(DATOS!$I15268="","",IFERROR(VLOOKUP(DATOS!$I15268,CONFIG_ASIGNATURAS!$B$2:$J$91,9,FALSE()),""))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IF(DATOS!$A15269="",0,IF(CONFIG_METADATA!$B$4&lt;&gt;"OR+EX",--(DATOS!$G15269=CONFIG_METADATA!$B$4),IF(DATOS!$G15269="EX",1,IF(DATOS!$G15269="OR",--(COUNTIFS(nNIA,DATOS!$A15269,nCURSO,DATOS!$D15269,nESPEC,DATOS!$E15269,nASIG,DATOS!$I15269,nEVAL,"EX")=0),0))))</f>
      </c>
      <c r="H15269">
        <f>IF(DATOS!$G15269&lt;&gt;"EX",0,--(COUNTIFS(nNIA,DATOS!$A15269,nCURSO,DATOS!$D15269,nESPEC,DATOS!$E15269,nASIG,DATOS!$I15269,nEVAL,"OR")=0))</f>
      </c>
      <c r="I15269">
        <f>IF(DATOS!$I15269="","",IFERROR(VLOOKUP(DATOS!$I15269,CONFIG_ASIGNATURAS!$B$2:$J$91,9,FALSE()),""))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IF(DATOS!$A15270="",0,IF(CONFIG_METADATA!$B$4&lt;&gt;"OR+EX",--(DATOS!$G15270=CONFIG_METADATA!$B$4),IF(DATOS!$G15270="EX",1,IF(DATOS!$G15270="OR",--(COUNTIFS(nNIA,DATOS!$A15270,nCURSO,DATOS!$D15270,nESPEC,DATOS!$E15270,nASIG,DATOS!$I15270,nEVAL,"EX")=0),0))))</f>
      </c>
      <c r="H15270">
        <f>IF(DATOS!$G15270&lt;&gt;"EX",0,--(COUNTIFS(nNIA,DATOS!$A15270,nCURSO,DATOS!$D15270,nESPEC,DATOS!$E15270,nASIG,DATOS!$I15270,nEVAL,"OR")=0))</f>
      </c>
      <c r="I15270">
        <f>IF(DATOS!$I15270="","",IFERROR(VLOOKUP(DATOS!$I15270,CONFIG_ASIGNATURAS!$B$2:$J$91,9,FALSE()),""))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IF(DATOS!$A15271="",0,IF(CONFIG_METADATA!$B$4&lt;&gt;"OR+EX",--(DATOS!$G15271=CONFIG_METADATA!$B$4),IF(DATOS!$G15271="EX",1,IF(DATOS!$G15271="OR",--(COUNTIFS(nNIA,DATOS!$A15271,nCURSO,DATOS!$D15271,nESPEC,DATOS!$E15271,nASIG,DATOS!$I15271,nEVAL,"EX")=0),0))))</f>
      </c>
      <c r="H15271">
        <f>IF(DATOS!$G15271&lt;&gt;"EX",0,--(COUNTIFS(nNIA,DATOS!$A15271,nCURSO,DATOS!$D15271,nESPEC,DATOS!$E15271,nASIG,DATOS!$I15271,nEVAL,"OR")=0))</f>
      </c>
      <c r="I15271">
        <f>IF(DATOS!$I15271="","",IFERROR(VLOOKUP(DATOS!$I15271,CONFIG_ASIGNATURAS!$B$2:$J$91,9,FALSE()),""))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IF(DATOS!$A15272="",0,IF(CONFIG_METADATA!$B$4&lt;&gt;"OR+EX",--(DATOS!$G15272=CONFIG_METADATA!$B$4),IF(DATOS!$G15272="EX",1,IF(DATOS!$G15272="OR",--(COUNTIFS(nNIA,DATOS!$A15272,nCURSO,DATOS!$D15272,nESPEC,DATOS!$E15272,nASIG,DATOS!$I15272,nEVAL,"EX")=0),0))))</f>
      </c>
      <c r="H15272">
        <f>IF(DATOS!$G15272&lt;&gt;"EX",0,--(COUNTIFS(nNIA,DATOS!$A15272,nCURSO,DATOS!$D15272,nESPEC,DATOS!$E15272,nASIG,DATOS!$I15272,nEVAL,"OR")=0))</f>
      </c>
      <c r="I15272">
        <f>IF(DATOS!$I15272="","",IFERROR(VLOOKUP(DATOS!$I15272,CONFIG_ASIGNATURAS!$B$2:$J$91,9,FALSE()),""))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IF(DATOS!$A15273="",0,IF(CONFIG_METADATA!$B$4&lt;&gt;"OR+EX",--(DATOS!$G15273=CONFIG_METADATA!$B$4),IF(DATOS!$G15273="EX",1,IF(DATOS!$G15273="OR",--(COUNTIFS(nNIA,DATOS!$A15273,nCURSO,DATOS!$D15273,nESPEC,DATOS!$E15273,nASIG,DATOS!$I15273,nEVAL,"EX")=0),0))))</f>
      </c>
      <c r="H15273">
        <f>IF(DATOS!$G15273&lt;&gt;"EX",0,--(COUNTIFS(nNIA,DATOS!$A15273,nCURSO,DATOS!$D15273,nESPEC,DATOS!$E15273,nASIG,DATOS!$I15273,nEVAL,"OR")=0))</f>
      </c>
      <c r="I15273">
        <f>IF(DATOS!$I15273="","",IFERROR(VLOOKUP(DATOS!$I15273,CONFIG_ASIGNATURAS!$B$2:$J$91,9,FALSE()),""))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IF(DATOS!$A15274="",0,IF(CONFIG_METADATA!$B$4&lt;&gt;"OR+EX",--(DATOS!$G15274=CONFIG_METADATA!$B$4),IF(DATOS!$G15274="EX",1,IF(DATOS!$G15274="OR",--(COUNTIFS(nNIA,DATOS!$A15274,nCURSO,DATOS!$D15274,nESPEC,DATOS!$E15274,nASIG,DATOS!$I15274,nEVAL,"EX")=0),0))))</f>
      </c>
      <c r="H15274">
        <f>IF(DATOS!$G15274&lt;&gt;"EX",0,--(COUNTIFS(nNIA,DATOS!$A15274,nCURSO,DATOS!$D15274,nESPEC,DATOS!$E15274,nASIG,DATOS!$I15274,nEVAL,"OR")=0))</f>
      </c>
      <c r="I15274">
        <f>IF(DATOS!$I15274="","",IFERROR(VLOOKUP(DATOS!$I15274,CONFIG_ASIGNATURAS!$B$2:$J$91,9,FALSE()),""))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IF(DATOS!$A15275="",0,IF(CONFIG_METADATA!$B$4&lt;&gt;"OR+EX",--(DATOS!$G15275=CONFIG_METADATA!$B$4),IF(DATOS!$G15275="EX",1,IF(DATOS!$G15275="OR",--(COUNTIFS(nNIA,DATOS!$A15275,nCURSO,DATOS!$D15275,nESPEC,DATOS!$E15275,nASIG,DATOS!$I15275,nEVAL,"EX")=0),0))))</f>
      </c>
      <c r="H15275">
        <f>IF(DATOS!$G15275&lt;&gt;"EX",0,--(COUNTIFS(nNIA,DATOS!$A15275,nCURSO,DATOS!$D15275,nESPEC,DATOS!$E15275,nASIG,DATOS!$I15275,nEVAL,"OR")=0))</f>
      </c>
      <c r="I15275">
        <f>IF(DATOS!$I15275="","",IFERROR(VLOOKUP(DATOS!$I15275,CONFIG_ASIGNATURAS!$B$2:$J$91,9,FALSE()),""))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IF(DATOS!$A15276="",0,IF(CONFIG_METADATA!$B$4&lt;&gt;"OR+EX",--(DATOS!$G15276=CONFIG_METADATA!$B$4),IF(DATOS!$G15276="EX",1,IF(DATOS!$G15276="OR",--(COUNTIFS(nNIA,DATOS!$A15276,nCURSO,DATOS!$D15276,nESPEC,DATOS!$E15276,nASIG,DATOS!$I15276,nEVAL,"EX")=0),0))))</f>
      </c>
      <c r="H15276">
        <f>IF(DATOS!$G15276&lt;&gt;"EX",0,--(COUNTIFS(nNIA,DATOS!$A15276,nCURSO,DATOS!$D15276,nESPEC,DATOS!$E15276,nASIG,DATOS!$I15276,nEVAL,"OR")=0))</f>
      </c>
      <c r="I15276">
        <f>IF(DATOS!$I15276="","",IFERROR(VLOOKUP(DATOS!$I15276,CONFIG_ASIGNATURAS!$B$2:$J$91,9,FALSE()),""))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IF(DATOS!$A15277="",0,IF(CONFIG_METADATA!$B$4&lt;&gt;"OR+EX",--(DATOS!$G15277=CONFIG_METADATA!$B$4),IF(DATOS!$G15277="EX",1,IF(DATOS!$G15277="OR",--(COUNTIFS(nNIA,DATOS!$A15277,nCURSO,DATOS!$D15277,nESPEC,DATOS!$E15277,nASIG,DATOS!$I15277,nEVAL,"EX")=0),0))))</f>
      </c>
      <c r="H15277">
        <f>IF(DATOS!$G15277&lt;&gt;"EX",0,--(COUNTIFS(nNIA,DATOS!$A15277,nCURSO,DATOS!$D15277,nESPEC,DATOS!$E15277,nASIG,DATOS!$I15277,nEVAL,"OR")=0))</f>
      </c>
      <c r="I15277">
        <f>IF(DATOS!$I15277="","",IFERROR(VLOOKUP(DATOS!$I15277,CONFIG_ASIGNATURAS!$B$2:$J$91,9,FALSE()),""))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IF(DATOS!$A15278="",0,IF(CONFIG_METADATA!$B$4&lt;&gt;"OR+EX",--(DATOS!$G15278=CONFIG_METADATA!$B$4),IF(DATOS!$G15278="EX",1,IF(DATOS!$G15278="OR",--(COUNTIFS(nNIA,DATOS!$A15278,nCURSO,DATOS!$D15278,nESPEC,DATOS!$E15278,nASIG,DATOS!$I15278,nEVAL,"EX")=0),0))))</f>
      </c>
      <c r="H15278">
        <f>IF(DATOS!$G15278&lt;&gt;"EX",0,--(COUNTIFS(nNIA,DATOS!$A15278,nCURSO,DATOS!$D15278,nESPEC,DATOS!$E15278,nASIG,DATOS!$I15278,nEVAL,"OR")=0))</f>
      </c>
      <c r="I15278">
        <f>IF(DATOS!$I15278="","",IFERROR(VLOOKUP(DATOS!$I15278,CONFIG_ASIGNATURAS!$B$2:$J$91,9,FALSE()),""))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IF(DATOS!$A15279="",0,IF(CONFIG_METADATA!$B$4&lt;&gt;"OR+EX",--(DATOS!$G15279=CONFIG_METADATA!$B$4),IF(DATOS!$G15279="EX",1,IF(DATOS!$G15279="OR",--(COUNTIFS(nNIA,DATOS!$A15279,nCURSO,DATOS!$D15279,nESPEC,DATOS!$E15279,nASIG,DATOS!$I15279,nEVAL,"EX")=0),0))))</f>
      </c>
      <c r="H15279">
        <f>IF(DATOS!$G15279&lt;&gt;"EX",0,--(COUNTIFS(nNIA,DATOS!$A15279,nCURSO,DATOS!$D15279,nESPEC,DATOS!$E15279,nASIG,DATOS!$I15279,nEVAL,"OR")=0))</f>
      </c>
      <c r="I15279">
        <f>IF(DATOS!$I15279="","",IFERROR(VLOOKUP(DATOS!$I15279,CONFIG_ASIGNATURAS!$B$2:$J$91,9,FALSE()),""))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IF(DATOS!$A15280="",0,IF(CONFIG_METADATA!$B$4&lt;&gt;"OR+EX",--(DATOS!$G15280=CONFIG_METADATA!$B$4),IF(DATOS!$G15280="EX",1,IF(DATOS!$G15280="OR",--(COUNTIFS(nNIA,DATOS!$A15280,nCURSO,DATOS!$D15280,nESPEC,DATOS!$E15280,nASIG,DATOS!$I15280,nEVAL,"EX")=0),0))))</f>
      </c>
      <c r="H15280">
        <f>IF(DATOS!$G15280&lt;&gt;"EX",0,--(COUNTIFS(nNIA,DATOS!$A15280,nCURSO,DATOS!$D15280,nESPEC,DATOS!$E15280,nASIG,DATOS!$I15280,nEVAL,"OR")=0))</f>
      </c>
      <c r="I15280">
        <f>IF(DATOS!$I15280="","",IFERROR(VLOOKUP(DATOS!$I15280,CONFIG_ASIGNATURAS!$B$2:$J$91,9,FALSE()),""))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IF(DATOS!$A15281="",0,IF(CONFIG_METADATA!$B$4&lt;&gt;"OR+EX",--(DATOS!$G15281=CONFIG_METADATA!$B$4),IF(DATOS!$G15281="EX",1,IF(DATOS!$G15281="OR",--(COUNTIFS(nNIA,DATOS!$A15281,nCURSO,DATOS!$D15281,nESPEC,DATOS!$E15281,nASIG,DATOS!$I15281,nEVAL,"EX")=0),0))))</f>
      </c>
      <c r="H15281">
        <f>IF(DATOS!$G15281&lt;&gt;"EX",0,--(COUNTIFS(nNIA,DATOS!$A15281,nCURSO,DATOS!$D15281,nESPEC,DATOS!$E15281,nASIG,DATOS!$I15281,nEVAL,"OR")=0))</f>
      </c>
      <c r="I15281">
        <f>IF(DATOS!$I15281="","",IFERROR(VLOOKUP(DATOS!$I15281,CONFIG_ASIGNATURAS!$B$2:$J$91,9,FALSE()),""))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IF(DATOS!$A15282="",0,IF(CONFIG_METADATA!$B$4&lt;&gt;"OR+EX",--(DATOS!$G15282=CONFIG_METADATA!$B$4),IF(DATOS!$G15282="EX",1,IF(DATOS!$G15282="OR",--(COUNTIFS(nNIA,DATOS!$A15282,nCURSO,DATOS!$D15282,nESPEC,DATOS!$E15282,nASIG,DATOS!$I15282,nEVAL,"EX")=0),0))))</f>
      </c>
      <c r="H15282">
        <f>IF(DATOS!$G15282&lt;&gt;"EX",0,--(COUNTIFS(nNIA,DATOS!$A15282,nCURSO,DATOS!$D15282,nESPEC,DATOS!$E15282,nASIG,DATOS!$I15282,nEVAL,"OR")=0))</f>
      </c>
      <c r="I15282">
        <f>IF(DATOS!$I15282="","",IFERROR(VLOOKUP(DATOS!$I15282,CONFIG_ASIGNATURAS!$B$2:$J$91,9,FALSE()),""))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IF(DATOS!$A15283="",0,IF(CONFIG_METADATA!$B$4&lt;&gt;"OR+EX",--(DATOS!$G15283=CONFIG_METADATA!$B$4),IF(DATOS!$G15283="EX",1,IF(DATOS!$G15283="OR",--(COUNTIFS(nNIA,DATOS!$A15283,nCURSO,DATOS!$D15283,nESPEC,DATOS!$E15283,nASIG,DATOS!$I15283,nEVAL,"EX")=0),0))))</f>
      </c>
      <c r="H15283">
        <f>IF(DATOS!$G15283&lt;&gt;"EX",0,--(COUNTIFS(nNIA,DATOS!$A15283,nCURSO,DATOS!$D15283,nESPEC,DATOS!$E15283,nASIG,DATOS!$I15283,nEVAL,"OR")=0))</f>
      </c>
      <c r="I15283">
        <f>IF(DATOS!$I15283="","",IFERROR(VLOOKUP(DATOS!$I15283,CONFIG_ASIGNATURAS!$B$2:$J$91,9,FALSE()),""))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IF(DATOS!$A15284="",0,IF(CONFIG_METADATA!$B$4&lt;&gt;"OR+EX",--(DATOS!$G15284=CONFIG_METADATA!$B$4),IF(DATOS!$G15284="EX",1,IF(DATOS!$G15284="OR",--(COUNTIFS(nNIA,DATOS!$A15284,nCURSO,DATOS!$D15284,nESPEC,DATOS!$E15284,nASIG,DATOS!$I15284,nEVAL,"EX")=0),0))))</f>
      </c>
      <c r="H15284">
        <f>IF(DATOS!$G15284&lt;&gt;"EX",0,--(COUNTIFS(nNIA,DATOS!$A15284,nCURSO,DATOS!$D15284,nESPEC,DATOS!$E15284,nASIG,DATOS!$I15284,nEVAL,"OR")=0))</f>
      </c>
      <c r="I15284">
        <f>IF(DATOS!$I15284="","",IFERROR(VLOOKUP(DATOS!$I15284,CONFIG_ASIGNATURAS!$B$2:$J$91,9,FALSE()),""))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IF(DATOS!$A15285="",0,IF(CONFIG_METADATA!$B$4&lt;&gt;"OR+EX",--(DATOS!$G15285=CONFIG_METADATA!$B$4),IF(DATOS!$G15285="EX",1,IF(DATOS!$G15285="OR",--(COUNTIFS(nNIA,DATOS!$A15285,nCURSO,DATOS!$D15285,nESPEC,DATOS!$E15285,nASIG,DATOS!$I15285,nEVAL,"EX")=0),0))))</f>
      </c>
      <c r="H15285">
        <f>IF(DATOS!$G15285&lt;&gt;"EX",0,--(COUNTIFS(nNIA,DATOS!$A15285,nCURSO,DATOS!$D15285,nESPEC,DATOS!$E15285,nASIG,DATOS!$I15285,nEVAL,"OR")=0))</f>
      </c>
      <c r="I15285">
        <f>IF(DATOS!$I15285="","",IFERROR(VLOOKUP(DATOS!$I15285,CONFIG_ASIGNATURAS!$B$2:$J$91,9,FALSE()),""))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IF(DATOS!$A15286="",0,IF(CONFIG_METADATA!$B$4&lt;&gt;"OR+EX",--(DATOS!$G15286=CONFIG_METADATA!$B$4),IF(DATOS!$G15286="EX",1,IF(DATOS!$G15286="OR",--(COUNTIFS(nNIA,DATOS!$A15286,nCURSO,DATOS!$D15286,nESPEC,DATOS!$E15286,nASIG,DATOS!$I15286,nEVAL,"EX")=0),0))))</f>
      </c>
      <c r="H15286">
        <f>IF(DATOS!$G15286&lt;&gt;"EX",0,--(COUNTIFS(nNIA,DATOS!$A15286,nCURSO,DATOS!$D15286,nESPEC,DATOS!$E15286,nASIG,DATOS!$I15286,nEVAL,"OR")=0))</f>
      </c>
      <c r="I15286">
        <f>IF(DATOS!$I15286="","",IFERROR(VLOOKUP(DATOS!$I15286,CONFIG_ASIGNATURAS!$B$2:$J$91,9,FALSE()),""))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IF(DATOS!$A15287="",0,IF(CONFIG_METADATA!$B$4&lt;&gt;"OR+EX",--(DATOS!$G15287=CONFIG_METADATA!$B$4),IF(DATOS!$G15287="EX",1,IF(DATOS!$G15287="OR",--(COUNTIFS(nNIA,DATOS!$A15287,nCURSO,DATOS!$D15287,nESPEC,DATOS!$E15287,nASIG,DATOS!$I15287,nEVAL,"EX")=0),0))))</f>
      </c>
      <c r="H15287">
        <f>IF(DATOS!$G15287&lt;&gt;"EX",0,--(COUNTIFS(nNIA,DATOS!$A15287,nCURSO,DATOS!$D15287,nESPEC,DATOS!$E15287,nASIG,DATOS!$I15287,nEVAL,"OR")=0))</f>
      </c>
      <c r="I15287">
        <f>IF(DATOS!$I15287="","",IFERROR(VLOOKUP(DATOS!$I15287,CONFIG_ASIGNATURAS!$B$2:$J$91,9,FALSE()),""))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IF(DATOS!$A15288="",0,IF(CONFIG_METADATA!$B$4&lt;&gt;"OR+EX",--(DATOS!$G15288=CONFIG_METADATA!$B$4),IF(DATOS!$G15288="EX",1,IF(DATOS!$G15288="OR",--(COUNTIFS(nNIA,DATOS!$A15288,nCURSO,DATOS!$D15288,nESPEC,DATOS!$E15288,nASIG,DATOS!$I15288,nEVAL,"EX")=0),0))))</f>
      </c>
      <c r="H15288">
        <f>IF(DATOS!$G15288&lt;&gt;"EX",0,--(COUNTIFS(nNIA,DATOS!$A15288,nCURSO,DATOS!$D15288,nESPEC,DATOS!$E15288,nASIG,DATOS!$I15288,nEVAL,"OR")=0))</f>
      </c>
      <c r="I15288">
        <f>IF(DATOS!$I15288="","",IFERROR(VLOOKUP(DATOS!$I15288,CONFIG_ASIGNATURAS!$B$2:$J$91,9,FALSE()),""))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IF(DATOS!$A15289="",0,IF(CONFIG_METADATA!$B$4&lt;&gt;"OR+EX",--(DATOS!$G15289=CONFIG_METADATA!$B$4),IF(DATOS!$G15289="EX",1,IF(DATOS!$G15289="OR",--(COUNTIFS(nNIA,DATOS!$A15289,nCURSO,DATOS!$D15289,nESPEC,DATOS!$E15289,nASIG,DATOS!$I15289,nEVAL,"EX")=0),0))))</f>
      </c>
      <c r="H15289">
        <f>IF(DATOS!$G15289&lt;&gt;"EX",0,--(COUNTIFS(nNIA,DATOS!$A15289,nCURSO,DATOS!$D15289,nESPEC,DATOS!$E15289,nASIG,DATOS!$I15289,nEVAL,"OR")=0))</f>
      </c>
      <c r="I15289">
        <f>IF(DATOS!$I15289="","",IFERROR(VLOOKUP(DATOS!$I15289,CONFIG_ASIGNATURAS!$B$2:$J$91,9,FALSE()),""))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IF(DATOS!$A15290="",0,IF(CONFIG_METADATA!$B$4&lt;&gt;"OR+EX",--(DATOS!$G15290=CONFIG_METADATA!$B$4),IF(DATOS!$G15290="EX",1,IF(DATOS!$G15290="OR",--(COUNTIFS(nNIA,DATOS!$A15290,nCURSO,DATOS!$D15290,nESPEC,DATOS!$E15290,nASIG,DATOS!$I15290,nEVAL,"EX")=0),0))))</f>
      </c>
      <c r="H15290">
        <f>IF(DATOS!$G15290&lt;&gt;"EX",0,--(COUNTIFS(nNIA,DATOS!$A15290,nCURSO,DATOS!$D15290,nESPEC,DATOS!$E15290,nASIG,DATOS!$I15290,nEVAL,"OR")=0))</f>
      </c>
      <c r="I15290">
        <f>IF(DATOS!$I15290="","",IFERROR(VLOOKUP(DATOS!$I15290,CONFIG_ASIGNATURAS!$B$2:$J$91,9,FALSE()),""))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IF(DATOS!$A15291="",0,IF(CONFIG_METADATA!$B$4&lt;&gt;"OR+EX",--(DATOS!$G15291=CONFIG_METADATA!$B$4),IF(DATOS!$G15291="EX",1,IF(DATOS!$G15291="OR",--(COUNTIFS(nNIA,DATOS!$A15291,nCURSO,DATOS!$D15291,nESPEC,DATOS!$E15291,nASIG,DATOS!$I15291,nEVAL,"EX")=0),0))))</f>
      </c>
      <c r="H15291">
        <f>IF(DATOS!$G15291&lt;&gt;"EX",0,--(COUNTIFS(nNIA,DATOS!$A15291,nCURSO,DATOS!$D15291,nESPEC,DATOS!$E15291,nASIG,DATOS!$I15291,nEVAL,"OR")=0))</f>
      </c>
      <c r="I15291">
        <f>IF(DATOS!$I15291="","",IFERROR(VLOOKUP(DATOS!$I15291,CONFIG_ASIGNATURAS!$B$2:$J$91,9,FALSE()),""))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IF(DATOS!$A15292="",0,IF(CONFIG_METADATA!$B$4&lt;&gt;"OR+EX",--(DATOS!$G15292=CONFIG_METADATA!$B$4),IF(DATOS!$G15292="EX",1,IF(DATOS!$G15292="OR",--(COUNTIFS(nNIA,DATOS!$A15292,nCURSO,DATOS!$D15292,nESPEC,DATOS!$E15292,nASIG,DATOS!$I15292,nEVAL,"EX")=0),0))))</f>
      </c>
      <c r="H15292">
        <f>IF(DATOS!$G15292&lt;&gt;"EX",0,--(COUNTIFS(nNIA,DATOS!$A15292,nCURSO,DATOS!$D15292,nESPEC,DATOS!$E15292,nASIG,DATOS!$I15292,nEVAL,"OR")=0))</f>
      </c>
      <c r="I15292">
        <f>IF(DATOS!$I15292="","",IFERROR(VLOOKUP(DATOS!$I15292,CONFIG_ASIGNATURAS!$B$2:$J$91,9,FALSE()),""))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IF(DATOS!$A15293="",0,IF(CONFIG_METADATA!$B$4&lt;&gt;"OR+EX",--(DATOS!$G15293=CONFIG_METADATA!$B$4),IF(DATOS!$G15293="EX",1,IF(DATOS!$G15293="OR",--(COUNTIFS(nNIA,DATOS!$A15293,nCURSO,DATOS!$D15293,nESPEC,DATOS!$E15293,nASIG,DATOS!$I15293,nEVAL,"EX")=0),0))))</f>
      </c>
      <c r="H15293">
        <f>IF(DATOS!$G15293&lt;&gt;"EX",0,--(COUNTIFS(nNIA,DATOS!$A15293,nCURSO,DATOS!$D15293,nESPEC,DATOS!$E15293,nASIG,DATOS!$I15293,nEVAL,"OR")=0))</f>
      </c>
      <c r="I15293">
        <f>IF(DATOS!$I15293="","",IFERROR(VLOOKUP(DATOS!$I15293,CONFIG_ASIGNATURAS!$B$2:$J$91,9,FALSE()),""))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IF(DATOS!$A15294="",0,IF(CONFIG_METADATA!$B$4&lt;&gt;"OR+EX",--(DATOS!$G15294=CONFIG_METADATA!$B$4),IF(DATOS!$G15294="EX",1,IF(DATOS!$G15294="OR",--(COUNTIFS(nNIA,DATOS!$A15294,nCURSO,DATOS!$D15294,nESPEC,DATOS!$E15294,nASIG,DATOS!$I15294,nEVAL,"EX")=0),0))))</f>
      </c>
      <c r="H15294">
        <f>IF(DATOS!$G15294&lt;&gt;"EX",0,--(COUNTIFS(nNIA,DATOS!$A15294,nCURSO,DATOS!$D15294,nESPEC,DATOS!$E15294,nASIG,DATOS!$I15294,nEVAL,"OR")=0))</f>
      </c>
      <c r="I15294">
        <f>IF(DATOS!$I15294="","",IFERROR(VLOOKUP(DATOS!$I15294,CONFIG_ASIGNATURAS!$B$2:$J$91,9,FALSE()),""))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IF(DATOS!$A15295="",0,IF(CONFIG_METADATA!$B$4&lt;&gt;"OR+EX",--(DATOS!$G15295=CONFIG_METADATA!$B$4),IF(DATOS!$G15295="EX",1,IF(DATOS!$G15295="OR",--(COUNTIFS(nNIA,DATOS!$A15295,nCURSO,DATOS!$D15295,nESPEC,DATOS!$E15295,nASIG,DATOS!$I15295,nEVAL,"EX")=0),0))))</f>
      </c>
      <c r="H15295">
        <f>IF(DATOS!$G15295&lt;&gt;"EX",0,--(COUNTIFS(nNIA,DATOS!$A15295,nCURSO,DATOS!$D15295,nESPEC,DATOS!$E15295,nASIG,DATOS!$I15295,nEVAL,"OR")=0))</f>
      </c>
      <c r="I15295">
        <f>IF(DATOS!$I15295="","",IFERROR(VLOOKUP(DATOS!$I15295,CONFIG_ASIGNATURAS!$B$2:$J$91,9,FALSE()),""))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IF(DATOS!$A15296="",0,IF(CONFIG_METADATA!$B$4&lt;&gt;"OR+EX",--(DATOS!$G15296=CONFIG_METADATA!$B$4),IF(DATOS!$G15296="EX",1,IF(DATOS!$G15296="OR",--(COUNTIFS(nNIA,DATOS!$A15296,nCURSO,DATOS!$D15296,nESPEC,DATOS!$E15296,nASIG,DATOS!$I15296,nEVAL,"EX")=0),0))))</f>
      </c>
      <c r="H15296">
        <f>IF(DATOS!$G15296&lt;&gt;"EX",0,--(COUNTIFS(nNIA,DATOS!$A15296,nCURSO,DATOS!$D15296,nESPEC,DATOS!$E15296,nASIG,DATOS!$I15296,nEVAL,"OR")=0))</f>
      </c>
      <c r="I15296">
        <f>IF(DATOS!$I15296="","",IFERROR(VLOOKUP(DATOS!$I15296,CONFIG_ASIGNATURAS!$B$2:$J$91,9,FALSE()),""))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IF(DATOS!$A15297="",0,IF(CONFIG_METADATA!$B$4&lt;&gt;"OR+EX",--(DATOS!$G15297=CONFIG_METADATA!$B$4),IF(DATOS!$G15297="EX",1,IF(DATOS!$G15297="OR",--(COUNTIFS(nNIA,DATOS!$A15297,nCURSO,DATOS!$D15297,nESPEC,DATOS!$E15297,nASIG,DATOS!$I15297,nEVAL,"EX")=0),0))))</f>
      </c>
      <c r="H15297">
        <f>IF(DATOS!$G15297&lt;&gt;"EX",0,--(COUNTIFS(nNIA,DATOS!$A15297,nCURSO,DATOS!$D15297,nESPEC,DATOS!$E15297,nASIG,DATOS!$I15297,nEVAL,"OR")=0))</f>
      </c>
      <c r="I15297">
        <f>IF(DATOS!$I15297="","",IFERROR(VLOOKUP(DATOS!$I15297,CONFIG_ASIGNATURAS!$B$2:$J$91,9,FALSE()),""))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IF(DATOS!$A15298="",0,IF(CONFIG_METADATA!$B$4&lt;&gt;"OR+EX",--(DATOS!$G15298=CONFIG_METADATA!$B$4),IF(DATOS!$G15298="EX",1,IF(DATOS!$G15298="OR",--(COUNTIFS(nNIA,DATOS!$A15298,nCURSO,DATOS!$D15298,nESPEC,DATOS!$E15298,nASIG,DATOS!$I15298,nEVAL,"EX")=0),0))))</f>
      </c>
      <c r="H15298">
        <f>IF(DATOS!$G15298&lt;&gt;"EX",0,--(COUNTIFS(nNIA,DATOS!$A15298,nCURSO,DATOS!$D15298,nESPEC,DATOS!$E15298,nASIG,DATOS!$I15298,nEVAL,"OR")=0))</f>
      </c>
      <c r="I15298">
        <f>IF(DATOS!$I15298="","",IFERROR(VLOOKUP(DATOS!$I15298,CONFIG_ASIGNATURAS!$B$2:$J$91,9,FALSE()),""))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IF(DATOS!$A15299="",0,IF(CONFIG_METADATA!$B$4&lt;&gt;"OR+EX",--(DATOS!$G15299=CONFIG_METADATA!$B$4),IF(DATOS!$G15299="EX",1,IF(DATOS!$G15299="OR",--(COUNTIFS(nNIA,DATOS!$A15299,nCURSO,DATOS!$D15299,nESPEC,DATOS!$E15299,nASIG,DATOS!$I15299,nEVAL,"EX")=0),0))))</f>
      </c>
      <c r="H15299">
        <f>IF(DATOS!$G15299&lt;&gt;"EX",0,--(COUNTIFS(nNIA,DATOS!$A15299,nCURSO,DATOS!$D15299,nESPEC,DATOS!$E15299,nASIG,DATOS!$I15299,nEVAL,"OR")=0))</f>
      </c>
      <c r="I15299">
        <f>IF(DATOS!$I15299="","",IFERROR(VLOOKUP(DATOS!$I15299,CONFIG_ASIGNATURAS!$B$2:$J$91,9,FALSE()),""))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IF(DATOS!$A15300="",0,IF(CONFIG_METADATA!$B$4&lt;&gt;"OR+EX",--(DATOS!$G15300=CONFIG_METADATA!$B$4),IF(DATOS!$G15300="EX",1,IF(DATOS!$G15300="OR",--(COUNTIFS(nNIA,DATOS!$A15300,nCURSO,DATOS!$D15300,nESPEC,DATOS!$E15300,nASIG,DATOS!$I15300,nEVAL,"EX")=0),0))))</f>
      </c>
      <c r="H15300">
        <f>IF(DATOS!$G15300&lt;&gt;"EX",0,--(COUNTIFS(nNIA,DATOS!$A15300,nCURSO,DATOS!$D15300,nESPEC,DATOS!$E15300,nASIG,DATOS!$I15300,nEVAL,"OR")=0))</f>
      </c>
      <c r="I15300">
        <f>IF(DATOS!$I15300="","",IFERROR(VLOOKUP(DATOS!$I15300,CONFIG_ASIGNATURAS!$B$2:$J$91,9,FALSE()),""))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IF(DATOS!$A15301="",0,IF(CONFIG_METADATA!$B$4&lt;&gt;"OR+EX",--(DATOS!$G15301=CONFIG_METADATA!$B$4),IF(DATOS!$G15301="EX",1,IF(DATOS!$G15301="OR",--(COUNTIFS(nNIA,DATOS!$A15301,nCURSO,DATOS!$D15301,nESPEC,DATOS!$E15301,nASIG,DATOS!$I15301,nEVAL,"EX")=0),0))))</f>
      </c>
      <c r="H15301">
        <f>IF(DATOS!$G15301&lt;&gt;"EX",0,--(COUNTIFS(nNIA,DATOS!$A15301,nCURSO,DATOS!$D15301,nESPEC,DATOS!$E15301,nASIG,DATOS!$I15301,nEVAL,"OR")=0))</f>
      </c>
      <c r="I15301">
        <f>IF(DATOS!$I15301="","",IFERROR(VLOOKUP(DATOS!$I15301,CONFIG_ASIGNATURAS!$B$2:$J$91,9,FALSE()),""))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IF(DATOS!$A15302="",0,IF(CONFIG_METADATA!$B$4&lt;&gt;"OR+EX",--(DATOS!$G15302=CONFIG_METADATA!$B$4),IF(DATOS!$G15302="EX",1,IF(DATOS!$G15302="OR",--(COUNTIFS(nNIA,DATOS!$A15302,nCURSO,DATOS!$D15302,nESPEC,DATOS!$E15302,nASIG,DATOS!$I15302,nEVAL,"EX")=0),0))))</f>
      </c>
      <c r="H15302">
        <f>IF(DATOS!$G15302&lt;&gt;"EX",0,--(COUNTIFS(nNIA,DATOS!$A15302,nCURSO,DATOS!$D15302,nESPEC,DATOS!$E15302,nASIG,DATOS!$I15302,nEVAL,"OR")=0))</f>
      </c>
      <c r="I15302">
        <f>IF(DATOS!$I15302="","",IFERROR(VLOOKUP(DATOS!$I15302,CONFIG_ASIGNATURAS!$B$2:$J$91,9,FALSE()),""))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IF(DATOS!$A15303="",0,IF(CONFIG_METADATA!$B$4&lt;&gt;"OR+EX",--(DATOS!$G15303=CONFIG_METADATA!$B$4),IF(DATOS!$G15303="EX",1,IF(DATOS!$G15303="OR",--(COUNTIFS(nNIA,DATOS!$A15303,nCURSO,DATOS!$D15303,nESPEC,DATOS!$E15303,nASIG,DATOS!$I15303,nEVAL,"EX")=0),0))))</f>
      </c>
      <c r="H15303">
        <f>IF(DATOS!$G15303&lt;&gt;"EX",0,--(COUNTIFS(nNIA,DATOS!$A15303,nCURSO,DATOS!$D15303,nESPEC,DATOS!$E15303,nASIG,DATOS!$I15303,nEVAL,"OR")=0))</f>
      </c>
      <c r="I15303">
        <f>IF(DATOS!$I15303="","",IFERROR(VLOOKUP(DATOS!$I15303,CONFIG_ASIGNATURAS!$B$2:$J$91,9,FALSE()),""))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IF(DATOS!$A15304="",0,IF(CONFIG_METADATA!$B$4&lt;&gt;"OR+EX",--(DATOS!$G15304=CONFIG_METADATA!$B$4),IF(DATOS!$G15304="EX",1,IF(DATOS!$G15304="OR",--(COUNTIFS(nNIA,DATOS!$A15304,nCURSO,DATOS!$D15304,nESPEC,DATOS!$E15304,nASIG,DATOS!$I15304,nEVAL,"EX")=0),0))))</f>
      </c>
      <c r="H15304">
        <f>IF(DATOS!$G15304&lt;&gt;"EX",0,--(COUNTIFS(nNIA,DATOS!$A15304,nCURSO,DATOS!$D15304,nESPEC,DATOS!$E15304,nASIG,DATOS!$I15304,nEVAL,"OR")=0))</f>
      </c>
      <c r="I15304">
        <f>IF(DATOS!$I15304="","",IFERROR(VLOOKUP(DATOS!$I15304,CONFIG_ASIGNATURAS!$B$2:$J$91,9,FALSE()),""))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IF(DATOS!$A15305="",0,IF(CONFIG_METADATA!$B$4&lt;&gt;"OR+EX",--(DATOS!$G15305=CONFIG_METADATA!$B$4),IF(DATOS!$G15305="EX",1,IF(DATOS!$G15305="OR",--(COUNTIFS(nNIA,DATOS!$A15305,nCURSO,DATOS!$D15305,nESPEC,DATOS!$E15305,nASIG,DATOS!$I15305,nEVAL,"EX")=0),0))))</f>
      </c>
      <c r="H15305">
        <f>IF(DATOS!$G15305&lt;&gt;"EX",0,--(COUNTIFS(nNIA,DATOS!$A15305,nCURSO,DATOS!$D15305,nESPEC,DATOS!$E15305,nASIG,DATOS!$I15305,nEVAL,"OR")=0))</f>
      </c>
      <c r="I15305">
        <f>IF(DATOS!$I15305="","",IFERROR(VLOOKUP(DATOS!$I15305,CONFIG_ASIGNATURAS!$B$2:$J$91,9,FALSE()),""))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IF(DATOS!$A15306="",0,IF(CONFIG_METADATA!$B$4&lt;&gt;"OR+EX",--(DATOS!$G15306=CONFIG_METADATA!$B$4),IF(DATOS!$G15306="EX",1,IF(DATOS!$G15306="OR",--(COUNTIFS(nNIA,DATOS!$A15306,nCURSO,DATOS!$D15306,nESPEC,DATOS!$E15306,nASIG,DATOS!$I15306,nEVAL,"EX")=0),0))))</f>
      </c>
      <c r="H15306">
        <f>IF(DATOS!$G15306&lt;&gt;"EX",0,--(COUNTIFS(nNIA,DATOS!$A15306,nCURSO,DATOS!$D15306,nESPEC,DATOS!$E15306,nASIG,DATOS!$I15306,nEVAL,"OR")=0))</f>
      </c>
      <c r="I15306">
        <f>IF(DATOS!$I15306="","",IFERROR(VLOOKUP(DATOS!$I15306,CONFIG_ASIGNATURAS!$B$2:$J$91,9,FALSE()),""))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IF(DATOS!$A15307="",0,IF(CONFIG_METADATA!$B$4&lt;&gt;"OR+EX",--(DATOS!$G15307=CONFIG_METADATA!$B$4),IF(DATOS!$G15307="EX",1,IF(DATOS!$G15307="OR",--(COUNTIFS(nNIA,DATOS!$A15307,nCURSO,DATOS!$D15307,nESPEC,DATOS!$E15307,nASIG,DATOS!$I15307,nEVAL,"EX")=0),0))))</f>
      </c>
      <c r="H15307">
        <f>IF(DATOS!$G15307&lt;&gt;"EX",0,--(COUNTIFS(nNIA,DATOS!$A15307,nCURSO,DATOS!$D15307,nESPEC,DATOS!$E15307,nASIG,DATOS!$I15307,nEVAL,"OR")=0))</f>
      </c>
      <c r="I15307">
        <f>IF(DATOS!$I15307="","",IFERROR(VLOOKUP(DATOS!$I15307,CONFIG_ASIGNATURAS!$B$2:$J$91,9,FALSE()),""))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IF(DATOS!$A15308="",0,IF(CONFIG_METADATA!$B$4&lt;&gt;"OR+EX",--(DATOS!$G15308=CONFIG_METADATA!$B$4),IF(DATOS!$G15308="EX",1,IF(DATOS!$G15308="OR",--(COUNTIFS(nNIA,DATOS!$A15308,nCURSO,DATOS!$D15308,nESPEC,DATOS!$E15308,nASIG,DATOS!$I15308,nEVAL,"EX")=0),0))))</f>
      </c>
      <c r="H15308">
        <f>IF(DATOS!$G15308&lt;&gt;"EX",0,--(COUNTIFS(nNIA,DATOS!$A15308,nCURSO,DATOS!$D15308,nESPEC,DATOS!$E15308,nASIG,DATOS!$I15308,nEVAL,"OR")=0))</f>
      </c>
      <c r="I15308">
        <f>IF(DATOS!$I15308="","",IFERROR(VLOOKUP(DATOS!$I15308,CONFIG_ASIGNATURAS!$B$2:$J$91,9,FALSE()),""))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IF(DATOS!$A15309="",0,IF(CONFIG_METADATA!$B$4&lt;&gt;"OR+EX",--(DATOS!$G15309=CONFIG_METADATA!$B$4),IF(DATOS!$G15309="EX",1,IF(DATOS!$G15309="OR",--(COUNTIFS(nNIA,DATOS!$A15309,nCURSO,DATOS!$D15309,nESPEC,DATOS!$E15309,nASIG,DATOS!$I15309,nEVAL,"EX")=0),0))))</f>
      </c>
      <c r="H15309">
        <f>IF(DATOS!$G15309&lt;&gt;"EX",0,--(COUNTIFS(nNIA,DATOS!$A15309,nCURSO,DATOS!$D15309,nESPEC,DATOS!$E15309,nASIG,DATOS!$I15309,nEVAL,"OR")=0))</f>
      </c>
      <c r="I15309">
        <f>IF(DATOS!$I15309="","",IFERROR(VLOOKUP(DATOS!$I15309,CONFIG_ASIGNATURAS!$B$2:$J$91,9,FALSE()),""))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IF(DATOS!$A15310="",0,IF(CONFIG_METADATA!$B$4&lt;&gt;"OR+EX",--(DATOS!$G15310=CONFIG_METADATA!$B$4),IF(DATOS!$G15310="EX",1,IF(DATOS!$G15310="OR",--(COUNTIFS(nNIA,DATOS!$A15310,nCURSO,DATOS!$D15310,nESPEC,DATOS!$E15310,nASIG,DATOS!$I15310,nEVAL,"EX")=0),0))))</f>
      </c>
      <c r="H15310">
        <f>IF(DATOS!$G15310&lt;&gt;"EX",0,--(COUNTIFS(nNIA,DATOS!$A15310,nCURSO,DATOS!$D15310,nESPEC,DATOS!$E15310,nASIG,DATOS!$I15310,nEVAL,"OR")=0))</f>
      </c>
      <c r="I15310">
        <f>IF(DATOS!$I15310="","",IFERROR(VLOOKUP(DATOS!$I15310,CONFIG_ASIGNATURAS!$B$2:$J$91,9,FALSE()),""))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IF(DATOS!$A15311="",0,IF(CONFIG_METADATA!$B$4&lt;&gt;"OR+EX",--(DATOS!$G15311=CONFIG_METADATA!$B$4),IF(DATOS!$G15311="EX",1,IF(DATOS!$G15311="OR",--(COUNTIFS(nNIA,DATOS!$A15311,nCURSO,DATOS!$D15311,nESPEC,DATOS!$E15311,nASIG,DATOS!$I15311,nEVAL,"EX")=0),0))))</f>
      </c>
      <c r="H15311">
        <f>IF(DATOS!$G15311&lt;&gt;"EX",0,--(COUNTIFS(nNIA,DATOS!$A15311,nCURSO,DATOS!$D15311,nESPEC,DATOS!$E15311,nASIG,DATOS!$I15311,nEVAL,"OR")=0))</f>
      </c>
      <c r="I15311">
        <f>IF(DATOS!$I15311="","",IFERROR(VLOOKUP(DATOS!$I15311,CONFIG_ASIGNATURAS!$B$2:$J$91,9,FALSE()),""))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IF(DATOS!$A15312="",0,IF(CONFIG_METADATA!$B$4&lt;&gt;"OR+EX",--(DATOS!$G15312=CONFIG_METADATA!$B$4),IF(DATOS!$G15312="EX",1,IF(DATOS!$G15312="OR",--(COUNTIFS(nNIA,DATOS!$A15312,nCURSO,DATOS!$D15312,nESPEC,DATOS!$E15312,nASIG,DATOS!$I15312,nEVAL,"EX")=0),0))))</f>
      </c>
      <c r="H15312">
        <f>IF(DATOS!$G15312&lt;&gt;"EX",0,--(COUNTIFS(nNIA,DATOS!$A15312,nCURSO,DATOS!$D15312,nESPEC,DATOS!$E15312,nASIG,DATOS!$I15312,nEVAL,"OR")=0))</f>
      </c>
      <c r="I15312">
        <f>IF(DATOS!$I15312="","",IFERROR(VLOOKUP(DATOS!$I15312,CONFIG_ASIGNATURAS!$B$2:$J$91,9,FALSE()),""))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IF(DATOS!$A15313="",0,IF(CONFIG_METADATA!$B$4&lt;&gt;"OR+EX",--(DATOS!$G15313=CONFIG_METADATA!$B$4),IF(DATOS!$G15313="EX",1,IF(DATOS!$G15313="OR",--(COUNTIFS(nNIA,DATOS!$A15313,nCURSO,DATOS!$D15313,nESPEC,DATOS!$E15313,nASIG,DATOS!$I15313,nEVAL,"EX")=0),0))))</f>
      </c>
      <c r="H15313">
        <f>IF(DATOS!$G15313&lt;&gt;"EX",0,--(COUNTIFS(nNIA,DATOS!$A15313,nCURSO,DATOS!$D15313,nESPEC,DATOS!$E15313,nASIG,DATOS!$I15313,nEVAL,"OR")=0))</f>
      </c>
      <c r="I15313">
        <f>IF(DATOS!$I15313="","",IFERROR(VLOOKUP(DATOS!$I15313,CONFIG_ASIGNATURAS!$B$2:$J$91,9,FALSE()),""))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IF(DATOS!$A15314="",0,IF(CONFIG_METADATA!$B$4&lt;&gt;"OR+EX",--(DATOS!$G15314=CONFIG_METADATA!$B$4),IF(DATOS!$G15314="EX",1,IF(DATOS!$G15314="OR",--(COUNTIFS(nNIA,DATOS!$A15314,nCURSO,DATOS!$D15314,nESPEC,DATOS!$E15314,nASIG,DATOS!$I15314,nEVAL,"EX")=0),0))))</f>
      </c>
      <c r="H15314">
        <f>IF(DATOS!$G15314&lt;&gt;"EX",0,--(COUNTIFS(nNIA,DATOS!$A15314,nCURSO,DATOS!$D15314,nESPEC,DATOS!$E15314,nASIG,DATOS!$I15314,nEVAL,"OR")=0))</f>
      </c>
      <c r="I15314">
        <f>IF(DATOS!$I15314="","",IFERROR(VLOOKUP(DATOS!$I15314,CONFIG_ASIGNATURAS!$B$2:$J$91,9,FALSE()),""))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IF(DATOS!$A15315="",0,IF(CONFIG_METADATA!$B$4&lt;&gt;"OR+EX",--(DATOS!$G15315=CONFIG_METADATA!$B$4),IF(DATOS!$G15315="EX",1,IF(DATOS!$G15315="OR",--(COUNTIFS(nNIA,DATOS!$A15315,nCURSO,DATOS!$D15315,nESPEC,DATOS!$E15315,nASIG,DATOS!$I15315,nEVAL,"EX")=0),0))))</f>
      </c>
      <c r="H15315">
        <f>IF(DATOS!$G15315&lt;&gt;"EX",0,--(COUNTIFS(nNIA,DATOS!$A15315,nCURSO,DATOS!$D15315,nESPEC,DATOS!$E15315,nASIG,DATOS!$I15315,nEVAL,"OR")=0))</f>
      </c>
      <c r="I15315">
        <f>IF(DATOS!$I15315="","",IFERROR(VLOOKUP(DATOS!$I15315,CONFIG_ASIGNATURAS!$B$2:$J$91,9,FALSE()),""))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IF(DATOS!$A15316="",0,IF(CONFIG_METADATA!$B$4&lt;&gt;"OR+EX",--(DATOS!$G15316=CONFIG_METADATA!$B$4),IF(DATOS!$G15316="EX",1,IF(DATOS!$G15316="OR",--(COUNTIFS(nNIA,DATOS!$A15316,nCURSO,DATOS!$D15316,nESPEC,DATOS!$E15316,nASIG,DATOS!$I15316,nEVAL,"EX")=0),0))))</f>
      </c>
      <c r="H15316">
        <f>IF(DATOS!$G15316&lt;&gt;"EX",0,--(COUNTIFS(nNIA,DATOS!$A15316,nCURSO,DATOS!$D15316,nESPEC,DATOS!$E15316,nASIG,DATOS!$I15316,nEVAL,"OR")=0))</f>
      </c>
      <c r="I15316">
        <f>IF(DATOS!$I15316="","",IFERROR(VLOOKUP(DATOS!$I15316,CONFIG_ASIGNATURAS!$B$2:$J$91,9,FALSE()),""))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IF(DATOS!$A15317="",0,IF(CONFIG_METADATA!$B$4&lt;&gt;"OR+EX",--(DATOS!$G15317=CONFIG_METADATA!$B$4),IF(DATOS!$G15317="EX",1,IF(DATOS!$G15317="OR",--(COUNTIFS(nNIA,DATOS!$A15317,nCURSO,DATOS!$D15317,nESPEC,DATOS!$E15317,nASIG,DATOS!$I15317,nEVAL,"EX")=0),0))))</f>
      </c>
      <c r="H15317">
        <f>IF(DATOS!$G15317&lt;&gt;"EX",0,--(COUNTIFS(nNIA,DATOS!$A15317,nCURSO,DATOS!$D15317,nESPEC,DATOS!$E15317,nASIG,DATOS!$I15317,nEVAL,"OR")=0))</f>
      </c>
      <c r="I15317">
        <f>IF(DATOS!$I15317="","",IFERROR(VLOOKUP(DATOS!$I15317,CONFIG_ASIGNATURAS!$B$2:$J$91,9,FALSE()),""))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IF(DATOS!$A15318="",0,IF(CONFIG_METADATA!$B$4&lt;&gt;"OR+EX",--(DATOS!$G15318=CONFIG_METADATA!$B$4),IF(DATOS!$G15318="EX",1,IF(DATOS!$G15318="OR",--(COUNTIFS(nNIA,DATOS!$A15318,nCURSO,DATOS!$D15318,nESPEC,DATOS!$E15318,nASIG,DATOS!$I15318,nEVAL,"EX")=0),0))))</f>
      </c>
      <c r="H15318">
        <f>IF(DATOS!$G15318&lt;&gt;"EX",0,--(COUNTIFS(nNIA,DATOS!$A15318,nCURSO,DATOS!$D15318,nESPEC,DATOS!$E15318,nASIG,DATOS!$I15318,nEVAL,"OR")=0))</f>
      </c>
      <c r="I15318">
        <f>IF(DATOS!$I15318="","",IFERROR(VLOOKUP(DATOS!$I15318,CONFIG_ASIGNATURAS!$B$2:$J$91,9,FALSE()),""))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IF(DATOS!$A15319="",0,IF(CONFIG_METADATA!$B$4&lt;&gt;"OR+EX",--(DATOS!$G15319=CONFIG_METADATA!$B$4),IF(DATOS!$G15319="EX",1,IF(DATOS!$G15319="OR",--(COUNTIFS(nNIA,DATOS!$A15319,nCURSO,DATOS!$D15319,nESPEC,DATOS!$E15319,nASIG,DATOS!$I15319,nEVAL,"EX")=0),0))))</f>
      </c>
      <c r="H15319">
        <f>IF(DATOS!$G15319&lt;&gt;"EX",0,--(COUNTIFS(nNIA,DATOS!$A15319,nCURSO,DATOS!$D15319,nESPEC,DATOS!$E15319,nASIG,DATOS!$I15319,nEVAL,"OR")=0))</f>
      </c>
      <c r="I15319">
        <f>IF(DATOS!$I15319="","",IFERROR(VLOOKUP(DATOS!$I15319,CONFIG_ASIGNATURAS!$B$2:$J$91,9,FALSE()),""))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IF(DATOS!$A15320="",0,IF(CONFIG_METADATA!$B$4&lt;&gt;"OR+EX",--(DATOS!$G15320=CONFIG_METADATA!$B$4),IF(DATOS!$G15320="EX",1,IF(DATOS!$G15320="OR",--(COUNTIFS(nNIA,DATOS!$A15320,nCURSO,DATOS!$D15320,nESPEC,DATOS!$E15320,nASIG,DATOS!$I15320,nEVAL,"EX")=0),0))))</f>
      </c>
      <c r="H15320">
        <f>IF(DATOS!$G15320&lt;&gt;"EX",0,--(COUNTIFS(nNIA,DATOS!$A15320,nCURSO,DATOS!$D15320,nESPEC,DATOS!$E15320,nASIG,DATOS!$I15320,nEVAL,"OR")=0))</f>
      </c>
      <c r="I15320">
        <f>IF(DATOS!$I15320="","",IFERROR(VLOOKUP(DATOS!$I15320,CONFIG_ASIGNATURAS!$B$2:$J$91,9,FALSE()),""))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IF(DATOS!$A15321="",0,IF(CONFIG_METADATA!$B$4&lt;&gt;"OR+EX",--(DATOS!$G15321=CONFIG_METADATA!$B$4),IF(DATOS!$G15321="EX",1,IF(DATOS!$G15321="OR",--(COUNTIFS(nNIA,DATOS!$A15321,nCURSO,DATOS!$D15321,nESPEC,DATOS!$E15321,nASIG,DATOS!$I15321,nEVAL,"EX")=0),0))))</f>
      </c>
      <c r="H15321">
        <f>IF(DATOS!$G15321&lt;&gt;"EX",0,--(COUNTIFS(nNIA,DATOS!$A15321,nCURSO,DATOS!$D15321,nESPEC,DATOS!$E15321,nASIG,DATOS!$I15321,nEVAL,"OR")=0))</f>
      </c>
      <c r="I15321">
        <f>IF(DATOS!$I15321="","",IFERROR(VLOOKUP(DATOS!$I15321,CONFIG_ASIGNATURAS!$B$2:$J$91,9,FALSE()),""))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IF(DATOS!$A15322="",0,IF(CONFIG_METADATA!$B$4&lt;&gt;"OR+EX",--(DATOS!$G15322=CONFIG_METADATA!$B$4),IF(DATOS!$G15322="EX",1,IF(DATOS!$G15322="OR",--(COUNTIFS(nNIA,DATOS!$A15322,nCURSO,DATOS!$D15322,nESPEC,DATOS!$E15322,nASIG,DATOS!$I15322,nEVAL,"EX")=0),0))))</f>
      </c>
      <c r="H15322">
        <f>IF(DATOS!$G15322&lt;&gt;"EX",0,--(COUNTIFS(nNIA,DATOS!$A15322,nCURSO,DATOS!$D15322,nESPEC,DATOS!$E15322,nASIG,DATOS!$I15322,nEVAL,"OR")=0))</f>
      </c>
      <c r="I15322">
        <f>IF(DATOS!$I15322="","",IFERROR(VLOOKUP(DATOS!$I15322,CONFIG_ASIGNATURAS!$B$2:$J$91,9,FALSE()),""))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IF(DATOS!$A15323="",0,IF(CONFIG_METADATA!$B$4&lt;&gt;"OR+EX",--(DATOS!$G15323=CONFIG_METADATA!$B$4),IF(DATOS!$G15323="EX",1,IF(DATOS!$G15323="OR",--(COUNTIFS(nNIA,DATOS!$A15323,nCURSO,DATOS!$D15323,nESPEC,DATOS!$E15323,nASIG,DATOS!$I15323,nEVAL,"EX")=0),0))))</f>
      </c>
      <c r="H15323">
        <f>IF(DATOS!$G15323&lt;&gt;"EX",0,--(COUNTIFS(nNIA,DATOS!$A15323,nCURSO,DATOS!$D15323,nESPEC,DATOS!$E15323,nASIG,DATOS!$I15323,nEVAL,"OR")=0))</f>
      </c>
      <c r="I15323">
        <f>IF(DATOS!$I15323="","",IFERROR(VLOOKUP(DATOS!$I15323,CONFIG_ASIGNATURAS!$B$2:$J$91,9,FALSE()),""))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IF(DATOS!$A15324="",0,IF(CONFIG_METADATA!$B$4&lt;&gt;"OR+EX",--(DATOS!$G15324=CONFIG_METADATA!$B$4),IF(DATOS!$G15324="EX",1,IF(DATOS!$G15324="OR",--(COUNTIFS(nNIA,DATOS!$A15324,nCURSO,DATOS!$D15324,nESPEC,DATOS!$E15324,nASIG,DATOS!$I15324,nEVAL,"EX")=0),0))))</f>
      </c>
      <c r="H15324">
        <f>IF(DATOS!$G15324&lt;&gt;"EX",0,--(COUNTIFS(nNIA,DATOS!$A15324,nCURSO,DATOS!$D15324,nESPEC,DATOS!$E15324,nASIG,DATOS!$I15324,nEVAL,"OR")=0))</f>
      </c>
      <c r="I15324">
        <f>IF(DATOS!$I15324="","",IFERROR(VLOOKUP(DATOS!$I15324,CONFIG_ASIGNATURAS!$B$2:$J$91,9,FALSE()),""))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IF(DATOS!$A15325="",0,IF(CONFIG_METADATA!$B$4&lt;&gt;"OR+EX",--(DATOS!$G15325=CONFIG_METADATA!$B$4),IF(DATOS!$G15325="EX",1,IF(DATOS!$G15325="OR",--(COUNTIFS(nNIA,DATOS!$A15325,nCURSO,DATOS!$D15325,nESPEC,DATOS!$E15325,nASIG,DATOS!$I15325,nEVAL,"EX")=0),0))))</f>
      </c>
      <c r="H15325">
        <f>IF(DATOS!$G15325&lt;&gt;"EX",0,--(COUNTIFS(nNIA,DATOS!$A15325,nCURSO,DATOS!$D15325,nESPEC,DATOS!$E15325,nASIG,DATOS!$I15325,nEVAL,"OR")=0))</f>
      </c>
      <c r="I15325">
        <f>IF(DATOS!$I15325="","",IFERROR(VLOOKUP(DATOS!$I15325,CONFIG_ASIGNATURAS!$B$2:$J$91,9,FALSE()),""))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IF(DATOS!$A15326="",0,IF(CONFIG_METADATA!$B$4&lt;&gt;"OR+EX",--(DATOS!$G15326=CONFIG_METADATA!$B$4),IF(DATOS!$G15326="EX",1,IF(DATOS!$G15326="OR",--(COUNTIFS(nNIA,DATOS!$A15326,nCURSO,DATOS!$D15326,nESPEC,DATOS!$E15326,nASIG,DATOS!$I15326,nEVAL,"EX")=0),0))))</f>
      </c>
      <c r="H15326">
        <f>IF(DATOS!$G15326&lt;&gt;"EX",0,--(COUNTIFS(nNIA,DATOS!$A15326,nCURSO,DATOS!$D15326,nESPEC,DATOS!$E15326,nASIG,DATOS!$I15326,nEVAL,"OR")=0))</f>
      </c>
      <c r="I15326">
        <f>IF(DATOS!$I15326="","",IFERROR(VLOOKUP(DATOS!$I15326,CONFIG_ASIGNATURAS!$B$2:$J$91,9,FALSE()),""))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IF(DATOS!$A15327="",0,IF(CONFIG_METADATA!$B$4&lt;&gt;"OR+EX",--(DATOS!$G15327=CONFIG_METADATA!$B$4),IF(DATOS!$G15327="EX",1,IF(DATOS!$G15327="OR",--(COUNTIFS(nNIA,DATOS!$A15327,nCURSO,DATOS!$D15327,nESPEC,DATOS!$E15327,nASIG,DATOS!$I15327,nEVAL,"EX")=0),0))))</f>
      </c>
      <c r="H15327">
        <f>IF(DATOS!$G15327&lt;&gt;"EX",0,--(COUNTIFS(nNIA,DATOS!$A15327,nCURSO,DATOS!$D15327,nESPEC,DATOS!$E15327,nASIG,DATOS!$I15327,nEVAL,"OR")=0))</f>
      </c>
      <c r="I15327">
        <f>IF(DATOS!$I15327="","",IFERROR(VLOOKUP(DATOS!$I15327,CONFIG_ASIGNATURAS!$B$2:$J$91,9,FALSE()),""))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IF(DATOS!$A15328="",0,IF(CONFIG_METADATA!$B$4&lt;&gt;"OR+EX",--(DATOS!$G15328=CONFIG_METADATA!$B$4),IF(DATOS!$G15328="EX",1,IF(DATOS!$G15328="OR",--(COUNTIFS(nNIA,DATOS!$A15328,nCURSO,DATOS!$D15328,nESPEC,DATOS!$E15328,nASIG,DATOS!$I15328,nEVAL,"EX")=0),0))))</f>
      </c>
      <c r="H15328">
        <f>IF(DATOS!$G15328&lt;&gt;"EX",0,--(COUNTIFS(nNIA,DATOS!$A15328,nCURSO,DATOS!$D15328,nESPEC,DATOS!$E15328,nASIG,DATOS!$I15328,nEVAL,"OR")=0))</f>
      </c>
      <c r="I15328">
        <f>IF(DATOS!$I15328="","",IFERROR(VLOOKUP(DATOS!$I15328,CONFIG_ASIGNATURAS!$B$2:$J$91,9,FALSE()),""))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IF(DATOS!$A15329="",0,IF(CONFIG_METADATA!$B$4&lt;&gt;"OR+EX",--(DATOS!$G15329=CONFIG_METADATA!$B$4),IF(DATOS!$G15329="EX",1,IF(DATOS!$G15329="OR",--(COUNTIFS(nNIA,DATOS!$A15329,nCURSO,DATOS!$D15329,nESPEC,DATOS!$E15329,nASIG,DATOS!$I15329,nEVAL,"EX")=0),0))))</f>
      </c>
      <c r="H15329">
        <f>IF(DATOS!$G15329&lt;&gt;"EX",0,--(COUNTIFS(nNIA,DATOS!$A15329,nCURSO,DATOS!$D15329,nESPEC,DATOS!$E15329,nASIG,DATOS!$I15329,nEVAL,"OR")=0))</f>
      </c>
      <c r="I15329">
        <f>IF(DATOS!$I15329="","",IFERROR(VLOOKUP(DATOS!$I15329,CONFIG_ASIGNATURAS!$B$2:$J$91,9,FALSE()),""))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IF(DATOS!$A15330="",0,IF(CONFIG_METADATA!$B$4&lt;&gt;"OR+EX",--(DATOS!$G15330=CONFIG_METADATA!$B$4),IF(DATOS!$G15330="EX",1,IF(DATOS!$G15330="OR",--(COUNTIFS(nNIA,DATOS!$A15330,nCURSO,DATOS!$D15330,nESPEC,DATOS!$E15330,nASIG,DATOS!$I15330,nEVAL,"EX")=0),0))))</f>
      </c>
      <c r="H15330">
        <f>IF(DATOS!$G15330&lt;&gt;"EX",0,--(COUNTIFS(nNIA,DATOS!$A15330,nCURSO,DATOS!$D15330,nESPEC,DATOS!$E15330,nASIG,DATOS!$I15330,nEVAL,"OR")=0))</f>
      </c>
      <c r="I15330">
        <f>IF(DATOS!$I15330="","",IFERROR(VLOOKUP(DATOS!$I15330,CONFIG_ASIGNATURAS!$B$2:$J$91,9,FALSE()),""))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IF(DATOS!$A15331="",0,IF(CONFIG_METADATA!$B$4&lt;&gt;"OR+EX",--(DATOS!$G15331=CONFIG_METADATA!$B$4),IF(DATOS!$G15331="EX",1,IF(DATOS!$G15331="OR",--(COUNTIFS(nNIA,DATOS!$A15331,nCURSO,DATOS!$D15331,nESPEC,DATOS!$E15331,nASIG,DATOS!$I15331,nEVAL,"EX")=0),0))))</f>
      </c>
      <c r="H15331">
        <f>IF(DATOS!$G15331&lt;&gt;"EX",0,--(COUNTIFS(nNIA,DATOS!$A15331,nCURSO,DATOS!$D15331,nESPEC,DATOS!$E15331,nASIG,DATOS!$I15331,nEVAL,"OR")=0))</f>
      </c>
      <c r="I15331">
        <f>IF(DATOS!$I15331="","",IFERROR(VLOOKUP(DATOS!$I15331,CONFIG_ASIGNATURAS!$B$2:$J$91,9,FALSE()),""))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IF(DATOS!$A15332="",0,IF(CONFIG_METADATA!$B$4&lt;&gt;"OR+EX",--(DATOS!$G15332=CONFIG_METADATA!$B$4),IF(DATOS!$G15332="EX",1,IF(DATOS!$G15332="OR",--(COUNTIFS(nNIA,DATOS!$A15332,nCURSO,DATOS!$D15332,nESPEC,DATOS!$E15332,nASIG,DATOS!$I15332,nEVAL,"EX")=0),0))))</f>
      </c>
      <c r="H15332">
        <f>IF(DATOS!$G15332&lt;&gt;"EX",0,--(COUNTIFS(nNIA,DATOS!$A15332,nCURSO,DATOS!$D15332,nESPEC,DATOS!$E15332,nASIG,DATOS!$I15332,nEVAL,"OR")=0))</f>
      </c>
      <c r="I15332">
        <f>IF(DATOS!$I15332="","",IFERROR(VLOOKUP(DATOS!$I15332,CONFIG_ASIGNATURAS!$B$2:$J$91,9,FALSE()),""))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IF(DATOS!$A15333="",0,IF(CONFIG_METADATA!$B$4&lt;&gt;"OR+EX",--(DATOS!$G15333=CONFIG_METADATA!$B$4),IF(DATOS!$G15333="EX",1,IF(DATOS!$G15333="OR",--(COUNTIFS(nNIA,DATOS!$A15333,nCURSO,DATOS!$D15333,nESPEC,DATOS!$E15333,nASIG,DATOS!$I15333,nEVAL,"EX")=0),0))))</f>
      </c>
      <c r="H15333">
        <f>IF(DATOS!$G15333&lt;&gt;"EX",0,--(COUNTIFS(nNIA,DATOS!$A15333,nCURSO,DATOS!$D15333,nESPEC,DATOS!$E15333,nASIG,DATOS!$I15333,nEVAL,"OR")=0))</f>
      </c>
      <c r="I15333">
        <f>IF(DATOS!$I15333="","",IFERROR(VLOOKUP(DATOS!$I15333,CONFIG_ASIGNATURAS!$B$2:$J$91,9,FALSE()),""))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IF(DATOS!$A15334="",0,IF(CONFIG_METADATA!$B$4&lt;&gt;"OR+EX",--(DATOS!$G15334=CONFIG_METADATA!$B$4),IF(DATOS!$G15334="EX",1,IF(DATOS!$G15334="OR",--(COUNTIFS(nNIA,DATOS!$A15334,nCURSO,DATOS!$D15334,nESPEC,DATOS!$E15334,nASIG,DATOS!$I15334,nEVAL,"EX")=0),0))))</f>
      </c>
      <c r="H15334">
        <f>IF(DATOS!$G15334&lt;&gt;"EX",0,--(COUNTIFS(nNIA,DATOS!$A15334,nCURSO,DATOS!$D15334,nESPEC,DATOS!$E15334,nASIG,DATOS!$I15334,nEVAL,"OR")=0))</f>
      </c>
      <c r="I15334">
        <f>IF(DATOS!$I15334="","",IFERROR(VLOOKUP(DATOS!$I15334,CONFIG_ASIGNATURAS!$B$2:$J$91,9,FALSE()),""))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IF(DATOS!$A15335="",0,IF(CONFIG_METADATA!$B$4&lt;&gt;"OR+EX",--(DATOS!$G15335=CONFIG_METADATA!$B$4),IF(DATOS!$G15335="EX",1,IF(DATOS!$G15335="OR",--(COUNTIFS(nNIA,DATOS!$A15335,nCURSO,DATOS!$D15335,nESPEC,DATOS!$E15335,nASIG,DATOS!$I15335,nEVAL,"EX")=0),0))))</f>
      </c>
      <c r="H15335">
        <f>IF(DATOS!$G15335&lt;&gt;"EX",0,--(COUNTIFS(nNIA,DATOS!$A15335,nCURSO,DATOS!$D15335,nESPEC,DATOS!$E15335,nASIG,DATOS!$I15335,nEVAL,"OR")=0))</f>
      </c>
      <c r="I15335">
        <f>IF(DATOS!$I15335="","",IFERROR(VLOOKUP(DATOS!$I15335,CONFIG_ASIGNATURAS!$B$2:$J$91,9,FALSE()),""))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IF(DATOS!$A15336="",0,IF(CONFIG_METADATA!$B$4&lt;&gt;"OR+EX",--(DATOS!$G15336=CONFIG_METADATA!$B$4),IF(DATOS!$G15336="EX",1,IF(DATOS!$G15336="OR",--(COUNTIFS(nNIA,DATOS!$A15336,nCURSO,DATOS!$D15336,nESPEC,DATOS!$E15336,nASIG,DATOS!$I15336,nEVAL,"EX")=0),0))))</f>
      </c>
      <c r="H15336">
        <f>IF(DATOS!$G15336&lt;&gt;"EX",0,--(COUNTIFS(nNIA,DATOS!$A15336,nCURSO,DATOS!$D15336,nESPEC,DATOS!$E15336,nASIG,DATOS!$I15336,nEVAL,"OR")=0))</f>
      </c>
      <c r="I15336">
        <f>IF(DATOS!$I15336="","",IFERROR(VLOOKUP(DATOS!$I15336,CONFIG_ASIGNATURAS!$B$2:$J$91,9,FALSE()),""))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IF(DATOS!$A15337="",0,IF(CONFIG_METADATA!$B$4&lt;&gt;"OR+EX",--(DATOS!$G15337=CONFIG_METADATA!$B$4),IF(DATOS!$G15337="EX",1,IF(DATOS!$G15337="OR",--(COUNTIFS(nNIA,DATOS!$A15337,nCURSO,DATOS!$D15337,nESPEC,DATOS!$E15337,nASIG,DATOS!$I15337,nEVAL,"EX")=0),0))))</f>
      </c>
      <c r="H15337">
        <f>IF(DATOS!$G15337&lt;&gt;"EX",0,--(COUNTIFS(nNIA,DATOS!$A15337,nCURSO,DATOS!$D15337,nESPEC,DATOS!$E15337,nASIG,DATOS!$I15337,nEVAL,"OR")=0))</f>
      </c>
      <c r="I15337">
        <f>IF(DATOS!$I15337="","",IFERROR(VLOOKUP(DATOS!$I15337,CONFIG_ASIGNATURAS!$B$2:$J$91,9,FALSE()),""))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IF(DATOS!$A15338="",0,IF(CONFIG_METADATA!$B$4&lt;&gt;"OR+EX",--(DATOS!$G15338=CONFIG_METADATA!$B$4),IF(DATOS!$G15338="EX",1,IF(DATOS!$G15338="OR",--(COUNTIFS(nNIA,DATOS!$A15338,nCURSO,DATOS!$D15338,nESPEC,DATOS!$E15338,nASIG,DATOS!$I15338,nEVAL,"EX")=0),0))))</f>
      </c>
      <c r="H15338">
        <f>IF(DATOS!$G15338&lt;&gt;"EX",0,--(COUNTIFS(nNIA,DATOS!$A15338,nCURSO,DATOS!$D15338,nESPEC,DATOS!$E15338,nASIG,DATOS!$I15338,nEVAL,"OR")=0))</f>
      </c>
      <c r="I15338">
        <f>IF(DATOS!$I15338="","",IFERROR(VLOOKUP(DATOS!$I15338,CONFIG_ASIGNATURAS!$B$2:$J$91,9,FALSE()),""))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IF(DATOS!$A15339="",0,IF(CONFIG_METADATA!$B$4&lt;&gt;"OR+EX",--(DATOS!$G15339=CONFIG_METADATA!$B$4),IF(DATOS!$G15339="EX",1,IF(DATOS!$G15339="OR",--(COUNTIFS(nNIA,DATOS!$A15339,nCURSO,DATOS!$D15339,nESPEC,DATOS!$E15339,nASIG,DATOS!$I15339,nEVAL,"EX")=0),0))))</f>
      </c>
      <c r="H15339">
        <f>IF(DATOS!$G15339&lt;&gt;"EX",0,--(COUNTIFS(nNIA,DATOS!$A15339,nCURSO,DATOS!$D15339,nESPEC,DATOS!$E15339,nASIG,DATOS!$I15339,nEVAL,"OR")=0))</f>
      </c>
      <c r="I15339">
        <f>IF(DATOS!$I15339="","",IFERROR(VLOOKUP(DATOS!$I15339,CONFIG_ASIGNATURAS!$B$2:$J$91,9,FALSE()),""))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IF(DATOS!$A15340="",0,IF(CONFIG_METADATA!$B$4&lt;&gt;"OR+EX",--(DATOS!$G15340=CONFIG_METADATA!$B$4),IF(DATOS!$G15340="EX",1,IF(DATOS!$G15340="OR",--(COUNTIFS(nNIA,DATOS!$A15340,nCURSO,DATOS!$D15340,nESPEC,DATOS!$E15340,nASIG,DATOS!$I15340,nEVAL,"EX")=0),0))))</f>
      </c>
      <c r="H15340">
        <f>IF(DATOS!$G15340&lt;&gt;"EX",0,--(COUNTIFS(nNIA,DATOS!$A15340,nCURSO,DATOS!$D15340,nESPEC,DATOS!$E15340,nASIG,DATOS!$I15340,nEVAL,"OR")=0))</f>
      </c>
      <c r="I15340">
        <f>IF(DATOS!$I15340="","",IFERROR(VLOOKUP(DATOS!$I15340,CONFIG_ASIGNATURAS!$B$2:$J$91,9,FALSE()),""))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IF(DATOS!$A15341="",0,IF(CONFIG_METADATA!$B$4&lt;&gt;"OR+EX",--(DATOS!$G15341=CONFIG_METADATA!$B$4),IF(DATOS!$G15341="EX",1,IF(DATOS!$G15341="OR",--(COUNTIFS(nNIA,DATOS!$A15341,nCURSO,DATOS!$D15341,nESPEC,DATOS!$E15341,nASIG,DATOS!$I15341,nEVAL,"EX")=0),0))))</f>
      </c>
      <c r="H15341">
        <f>IF(DATOS!$G15341&lt;&gt;"EX",0,--(COUNTIFS(nNIA,DATOS!$A15341,nCURSO,DATOS!$D15341,nESPEC,DATOS!$E15341,nASIG,DATOS!$I15341,nEVAL,"OR")=0))</f>
      </c>
      <c r="I15341">
        <f>IF(DATOS!$I15341="","",IFERROR(VLOOKUP(DATOS!$I15341,CONFIG_ASIGNATURAS!$B$2:$J$91,9,FALSE()),""))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IF(DATOS!$A15342="",0,IF(CONFIG_METADATA!$B$4&lt;&gt;"OR+EX",--(DATOS!$G15342=CONFIG_METADATA!$B$4),IF(DATOS!$G15342="EX",1,IF(DATOS!$G15342="OR",--(COUNTIFS(nNIA,DATOS!$A15342,nCURSO,DATOS!$D15342,nESPEC,DATOS!$E15342,nASIG,DATOS!$I15342,nEVAL,"EX")=0),0))))</f>
      </c>
      <c r="H15342">
        <f>IF(DATOS!$G15342&lt;&gt;"EX",0,--(COUNTIFS(nNIA,DATOS!$A15342,nCURSO,DATOS!$D15342,nESPEC,DATOS!$E15342,nASIG,DATOS!$I15342,nEVAL,"OR")=0))</f>
      </c>
      <c r="I15342">
        <f>IF(DATOS!$I15342="","",IFERROR(VLOOKUP(DATOS!$I15342,CONFIG_ASIGNATURAS!$B$2:$J$91,9,FALSE()),""))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IF(DATOS!$A15343="",0,IF(CONFIG_METADATA!$B$4&lt;&gt;"OR+EX",--(DATOS!$G15343=CONFIG_METADATA!$B$4),IF(DATOS!$G15343="EX",1,IF(DATOS!$G15343="OR",--(COUNTIFS(nNIA,DATOS!$A15343,nCURSO,DATOS!$D15343,nESPEC,DATOS!$E15343,nASIG,DATOS!$I15343,nEVAL,"EX")=0),0))))</f>
      </c>
      <c r="H15343">
        <f>IF(DATOS!$G15343&lt;&gt;"EX",0,--(COUNTIFS(nNIA,DATOS!$A15343,nCURSO,DATOS!$D15343,nESPEC,DATOS!$E15343,nASIG,DATOS!$I15343,nEVAL,"OR")=0))</f>
      </c>
      <c r="I15343">
        <f>IF(DATOS!$I15343="","",IFERROR(VLOOKUP(DATOS!$I15343,CONFIG_ASIGNATURAS!$B$2:$J$91,9,FALSE()),""))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IF(DATOS!$A15344="",0,IF(CONFIG_METADATA!$B$4&lt;&gt;"OR+EX",--(DATOS!$G15344=CONFIG_METADATA!$B$4),IF(DATOS!$G15344="EX",1,IF(DATOS!$G15344="OR",--(COUNTIFS(nNIA,DATOS!$A15344,nCURSO,DATOS!$D15344,nESPEC,DATOS!$E15344,nASIG,DATOS!$I15344,nEVAL,"EX")=0),0))))</f>
      </c>
      <c r="H15344">
        <f>IF(DATOS!$G15344&lt;&gt;"EX",0,--(COUNTIFS(nNIA,DATOS!$A15344,nCURSO,DATOS!$D15344,nESPEC,DATOS!$E15344,nASIG,DATOS!$I15344,nEVAL,"OR")=0))</f>
      </c>
      <c r="I15344">
        <f>IF(DATOS!$I15344="","",IFERROR(VLOOKUP(DATOS!$I15344,CONFIG_ASIGNATURAS!$B$2:$J$91,9,FALSE()),""))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IF(DATOS!$A15345="",0,IF(CONFIG_METADATA!$B$4&lt;&gt;"OR+EX",--(DATOS!$G15345=CONFIG_METADATA!$B$4),IF(DATOS!$G15345="EX",1,IF(DATOS!$G15345="OR",--(COUNTIFS(nNIA,DATOS!$A15345,nCURSO,DATOS!$D15345,nESPEC,DATOS!$E15345,nASIG,DATOS!$I15345,nEVAL,"EX")=0),0))))</f>
      </c>
      <c r="H15345">
        <f>IF(DATOS!$G15345&lt;&gt;"EX",0,--(COUNTIFS(nNIA,DATOS!$A15345,nCURSO,DATOS!$D15345,nESPEC,DATOS!$E15345,nASIG,DATOS!$I15345,nEVAL,"OR")=0))</f>
      </c>
      <c r="I15345">
        <f>IF(DATOS!$I15345="","",IFERROR(VLOOKUP(DATOS!$I15345,CONFIG_ASIGNATURAS!$B$2:$J$91,9,FALSE()),""))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IF(DATOS!$A15346="",0,IF(CONFIG_METADATA!$B$4&lt;&gt;"OR+EX",--(DATOS!$G15346=CONFIG_METADATA!$B$4),IF(DATOS!$G15346="EX",1,IF(DATOS!$G15346="OR",--(COUNTIFS(nNIA,DATOS!$A15346,nCURSO,DATOS!$D15346,nESPEC,DATOS!$E15346,nASIG,DATOS!$I15346,nEVAL,"EX")=0),0))))</f>
      </c>
      <c r="H15346">
        <f>IF(DATOS!$G15346&lt;&gt;"EX",0,--(COUNTIFS(nNIA,DATOS!$A15346,nCURSO,DATOS!$D15346,nESPEC,DATOS!$E15346,nASIG,DATOS!$I15346,nEVAL,"OR")=0))</f>
      </c>
      <c r="I15346">
        <f>IF(DATOS!$I15346="","",IFERROR(VLOOKUP(DATOS!$I15346,CONFIG_ASIGNATURAS!$B$2:$J$91,9,FALSE()),""))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IF(DATOS!$A15347="",0,IF(CONFIG_METADATA!$B$4&lt;&gt;"OR+EX",--(DATOS!$G15347=CONFIG_METADATA!$B$4),IF(DATOS!$G15347="EX",1,IF(DATOS!$G15347="OR",--(COUNTIFS(nNIA,DATOS!$A15347,nCURSO,DATOS!$D15347,nESPEC,DATOS!$E15347,nASIG,DATOS!$I15347,nEVAL,"EX")=0),0))))</f>
      </c>
      <c r="H15347">
        <f>IF(DATOS!$G15347&lt;&gt;"EX",0,--(COUNTIFS(nNIA,DATOS!$A15347,nCURSO,DATOS!$D15347,nESPEC,DATOS!$E15347,nASIG,DATOS!$I15347,nEVAL,"OR")=0))</f>
      </c>
      <c r="I15347">
        <f>IF(DATOS!$I15347="","",IFERROR(VLOOKUP(DATOS!$I15347,CONFIG_ASIGNATURAS!$B$2:$J$91,9,FALSE()),""))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IF(DATOS!$A15348="",0,IF(CONFIG_METADATA!$B$4&lt;&gt;"OR+EX",--(DATOS!$G15348=CONFIG_METADATA!$B$4),IF(DATOS!$G15348="EX",1,IF(DATOS!$G15348="OR",--(COUNTIFS(nNIA,DATOS!$A15348,nCURSO,DATOS!$D15348,nESPEC,DATOS!$E15348,nASIG,DATOS!$I15348,nEVAL,"EX")=0),0))))</f>
      </c>
      <c r="H15348">
        <f>IF(DATOS!$G15348&lt;&gt;"EX",0,--(COUNTIFS(nNIA,DATOS!$A15348,nCURSO,DATOS!$D15348,nESPEC,DATOS!$E15348,nASIG,DATOS!$I15348,nEVAL,"OR")=0))</f>
      </c>
      <c r="I15348">
        <f>IF(DATOS!$I15348="","",IFERROR(VLOOKUP(DATOS!$I15348,CONFIG_ASIGNATURAS!$B$2:$J$91,9,FALSE()),""))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IF(DATOS!$A15349="",0,IF(CONFIG_METADATA!$B$4&lt;&gt;"OR+EX",--(DATOS!$G15349=CONFIG_METADATA!$B$4),IF(DATOS!$G15349="EX",1,IF(DATOS!$G15349="OR",--(COUNTIFS(nNIA,DATOS!$A15349,nCURSO,DATOS!$D15349,nESPEC,DATOS!$E15349,nASIG,DATOS!$I15349,nEVAL,"EX")=0),0))))</f>
      </c>
      <c r="H15349">
        <f>IF(DATOS!$G15349&lt;&gt;"EX",0,--(COUNTIFS(nNIA,DATOS!$A15349,nCURSO,DATOS!$D15349,nESPEC,DATOS!$E15349,nASIG,DATOS!$I15349,nEVAL,"OR")=0))</f>
      </c>
      <c r="I15349">
        <f>IF(DATOS!$I15349="","",IFERROR(VLOOKUP(DATOS!$I15349,CONFIG_ASIGNATURAS!$B$2:$J$91,9,FALSE()),""))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IF(DATOS!$A15350="",0,IF(CONFIG_METADATA!$B$4&lt;&gt;"OR+EX",--(DATOS!$G15350=CONFIG_METADATA!$B$4),IF(DATOS!$G15350="EX",1,IF(DATOS!$G15350="OR",--(COUNTIFS(nNIA,DATOS!$A15350,nCURSO,DATOS!$D15350,nESPEC,DATOS!$E15350,nASIG,DATOS!$I15350,nEVAL,"EX")=0),0))))</f>
      </c>
      <c r="H15350">
        <f>IF(DATOS!$G15350&lt;&gt;"EX",0,--(COUNTIFS(nNIA,DATOS!$A15350,nCURSO,DATOS!$D15350,nESPEC,DATOS!$E15350,nASIG,DATOS!$I15350,nEVAL,"OR")=0))</f>
      </c>
      <c r="I15350">
        <f>IF(DATOS!$I15350="","",IFERROR(VLOOKUP(DATOS!$I15350,CONFIG_ASIGNATURAS!$B$2:$J$91,9,FALSE()),""))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IF(DATOS!$A15351="",0,IF(CONFIG_METADATA!$B$4&lt;&gt;"OR+EX",--(DATOS!$G15351=CONFIG_METADATA!$B$4),IF(DATOS!$G15351="EX",1,IF(DATOS!$G15351="OR",--(COUNTIFS(nNIA,DATOS!$A15351,nCURSO,DATOS!$D15351,nESPEC,DATOS!$E15351,nASIG,DATOS!$I15351,nEVAL,"EX")=0),0))))</f>
      </c>
      <c r="H15351">
        <f>IF(DATOS!$G15351&lt;&gt;"EX",0,--(COUNTIFS(nNIA,DATOS!$A15351,nCURSO,DATOS!$D15351,nESPEC,DATOS!$E15351,nASIG,DATOS!$I15351,nEVAL,"OR")=0))</f>
      </c>
      <c r="I15351">
        <f>IF(DATOS!$I15351="","",IFERROR(VLOOKUP(DATOS!$I15351,CONFIG_ASIGNATURAS!$B$2:$J$91,9,FALSE()),""))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IF(DATOS!$A15352="",0,IF(CONFIG_METADATA!$B$4&lt;&gt;"OR+EX",--(DATOS!$G15352=CONFIG_METADATA!$B$4),IF(DATOS!$G15352="EX",1,IF(DATOS!$G15352="OR",--(COUNTIFS(nNIA,DATOS!$A15352,nCURSO,DATOS!$D15352,nESPEC,DATOS!$E15352,nASIG,DATOS!$I15352,nEVAL,"EX")=0),0))))</f>
      </c>
      <c r="H15352">
        <f>IF(DATOS!$G15352&lt;&gt;"EX",0,--(COUNTIFS(nNIA,DATOS!$A15352,nCURSO,DATOS!$D15352,nESPEC,DATOS!$E15352,nASIG,DATOS!$I15352,nEVAL,"OR")=0))</f>
      </c>
      <c r="I15352">
        <f>IF(DATOS!$I15352="","",IFERROR(VLOOKUP(DATOS!$I15352,CONFIG_ASIGNATURAS!$B$2:$J$91,9,FALSE()),""))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IF(DATOS!$A15353="",0,IF(CONFIG_METADATA!$B$4&lt;&gt;"OR+EX",--(DATOS!$G15353=CONFIG_METADATA!$B$4),IF(DATOS!$G15353="EX",1,IF(DATOS!$G15353="OR",--(COUNTIFS(nNIA,DATOS!$A15353,nCURSO,DATOS!$D15353,nESPEC,DATOS!$E15353,nASIG,DATOS!$I15353,nEVAL,"EX")=0),0))))</f>
      </c>
      <c r="H15353">
        <f>IF(DATOS!$G15353&lt;&gt;"EX",0,--(COUNTIFS(nNIA,DATOS!$A15353,nCURSO,DATOS!$D15353,nESPEC,DATOS!$E15353,nASIG,DATOS!$I15353,nEVAL,"OR")=0))</f>
      </c>
      <c r="I15353">
        <f>IF(DATOS!$I15353="","",IFERROR(VLOOKUP(DATOS!$I15353,CONFIG_ASIGNATURAS!$B$2:$J$91,9,FALSE()),""))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IF(DATOS!$A15354="",0,IF(CONFIG_METADATA!$B$4&lt;&gt;"OR+EX",--(DATOS!$G15354=CONFIG_METADATA!$B$4),IF(DATOS!$G15354="EX",1,IF(DATOS!$G15354="OR",--(COUNTIFS(nNIA,DATOS!$A15354,nCURSO,DATOS!$D15354,nESPEC,DATOS!$E15354,nASIG,DATOS!$I15354,nEVAL,"EX")=0),0))))</f>
      </c>
      <c r="H15354">
        <f>IF(DATOS!$G15354&lt;&gt;"EX",0,--(COUNTIFS(nNIA,DATOS!$A15354,nCURSO,DATOS!$D15354,nESPEC,DATOS!$E15354,nASIG,DATOS!$I15354,nEVAL,"OR")=0))</f>
      </c>
      <c r="I15354">
        <f>IF(DATOS!$I15354="","",IFERROR(VLOOKUP(DATOS!$I15354,CONFIG_ASIGNATURAS!$B$2:$J$91,9,FALSE()),""))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IF(DATOS!$A15355="",0,IF(CONFIG_METADATA!$B$4&lt;&gt;"OR+EX",--(DATOS!$G15355=CONFIG_METADATA!$B$4),IF(DATOS!$G15355="EX",1,IF(DATOS!$G15355="OR",--(COUNTIFS(nNIA,DATOS!$A15355,nCURSO,DATOS!$D15355,nESPEC,DATOS!$E15355,nASIG,DATOS!$I15355,nEVAL,"EX")=0),0))))</f>
      </c>
      <c r="H15355">
        <f>IF(DATOS!$G15355&lt;&gt;"EX",0,--(COUNTIFS(nNIA,DATOS!$A15355,nCURSO,DATOS!$D15355,nESPEC,DATOS!$E15355,nASIG,DATOS!$I15355,nEVAL,"OR")=0))</f>
      </c>
      <c r="I15355">
        <f>IF(DATOS!$I15355="","",IFERROR(VLOOKUP(DATOS!$I15355,CONFIG_ASIGNATURAS!$B$2:$J$91,9,FALSE()),""))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IF(DATOS!$A15356="",0,IF(CONFIG_METADATA!$B$4&lt;&gt;"OR+EX",--(DATOS!$G15356=CONFIG_METADATA!$B$4),IF(DATOS!$G15356="EX",1,IF(DATOS!$G15356="OR",--(COUNTIFS(nNIA,DATOS!$A15356,nCURSO,DATOS!$D15356,nESPEC,DATOS!$E15356,nASIG,DATOS!$I15356,nEVAL,"EX")=0),0))))</f>
      </c>
      <c r="H15356">
        <f>IF(DATOS!$G15356&lt;&gt;"EX",0,--(COUNTIFS(nNIA,DATOS!$A15356,nCURSO,DATOS!$D15356,nESPEC,DATOS!$E15356,nASIG,DATOS!$I15356,nEVAL,"OR")=0))</f>
      </c>
      <c r="I15356">
        <f>IF(DATOS!$I15356="","",IFERROR(VLOOKUP(DATOS!$I15356,CONFIG_ASIGNATURAS!$B$2:$J$91,9,FALSE()),""))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IF(DATOS!$A15357="",0,IF(CONFIG_METADATA!$B$4&lt;&gt;"OR+EX",--(DATOS!$G15357=CONFIG_METADATA!$B$4),IF(DATOS!$G15357="EX",1,IF(DATOS!$G15357="OR",--(COUNTIFS(nNIA,DATOS!$A15357,nCURSO,DATOS!$D15357,nESPEC,DATOS!$E15357,nASIG,DATOS!$I15357,nEVAL,"EX")=0),0))))</f>
      </c>
      <c r="H15357">
        <f>IF(DATOS!$G15357&lt;&gt;"EX",0,--(COUNTIFS(nNIA,DATOS!$A15357,nCURSO,DATOS!$D15357,nESPEC,DATOS!$E15357,nASIG,DATOS!$I15357,nEVAL,"OR")=0))</f>
      </c>
      <c r="I15357">
        <f>IF(DATOS!$I15357="","",IFERROR(VLOOKUP(DATOS!$I15357,CONFIG_ASIGNATURAS!$B$2:$J$91,9,FALSE()),""))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IF(DATOS!$A15358="",0,IF(CONFIG_METADATA!$B$4&lt;&gt;"OR+EX",--(DATOS!$G15358=CONFIG_METADATA!$B$4),IF(DATOS!$G15358="EX",1,IF(DATOS!$G15358="OR",--(COUNTIFS(nNIA,DATOS!$A15358,nCURSO,DATOS!$D15358,nESPEC,DATOS!$E15358,nASIG,DATOS!$I15358,nEVAL,"EX")=0),0))))</f>
      </c>
      <c r="H15358">
        <f>IF(DATOS!$G15358&lt;&gt;"EX",0,--(COUNTIFS(nNIA,DATOS!$A15358,nCURSO,DATOS!$D15358,nESPEC,DATOS!$E15358,nASIG,DATOS!$I15358,nEVAL,"OR")=0))</f>
      </c>
      <c r="I15358">
        <f>IF(DATOS!$I15358="","",IFERROR(VLOOKUP(DATOS!$I15358,CONFIG_ASIGNATURAS!$B$2:$J$91,9,FALSE()),""))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IF(DATOS!$A15359="",0,IF(CONFIG_METADATA!$B$4&lt;&gt;"OR+EX",--(DATOS!$G15359=CONFIG_METADATA!$B$4),IF(DATOS!$G15359="EX",1,IF(DATOS!$G15359="OR",--(COUNTIFS(nNIA,DATOS!$A15359,nCURSO,DATOS!$D15359,nESPEC,DATOS!$E15359,nASIG,DATOS!$I15359,nEVAL,"EX")=0),0))))</f>
      </c>
      <c r="H15359">
        <f>IF(DATOS!$G15359&lt;&gt;"EX",0,--(COUNTIFS(nNIA,DATOS!$A15359,nCURSO,DATOS!$D15359,nESPEC,DATOS!$E15359,nASIG,DATOS!$I15359,nEVAL,"OR")=0))</f>
      </c>
      <c r="I15359">
        <f>IF(DATOS!$I15359="","",IFERROR(VLOOKUP(DATOS!$I15359,CONFIG_ASIGNATURAS!$B$2:$J$91,9,FALSE()),""))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IF(DATOS!$A15360="",0,IF(CONFIG_METADATA!$B$4&lt;&gt;"OR+EX",--(DATOS!$G15360=CONFIG_METADATA!$B$4),IF(DATOS!$G15360="EX",1,IF(DATOS!$G15360="OR",--(COUNTIFS(nNIA,DATOS!$A15360,nCURSO,DATOS!$D15360,nESPEC,DATOS!$E15360,nASIG,DATOS!$I15360,nEVAL,"EX")=0),0))))</f>
      </c>
      <c r="H15360">
        <f>IF(DATOS!$G15360&lt;&gt;"EX",0,--(COUNTIFS(nNIA,DATOS!$A15360,nCURSO,DATOS!$D15360,nESPEC,DATOS!$E15360,nASIG,DATOS!$I15360,nEVAL,"OR")=0))</f>
      </c>
      <c r="I15360">
        <f>IF(DATOS!$I15360="","",IFERROR(VLOOKUP(DATOS!$I15360,CONFIG_ASIGNATURAS!$B$2:$J$91,9,FALSE()),""))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IF(DATOS!$A15361="",0,IF(CONFIG_METADATA!$B$4&lt;&gt;"OR+EX",--(DATOS!$G15361=CONFIG_METADATA!$B$4),IF(DATOS!$G15361="EX",1,IF(DATOS!$G15361="OR",--(COUNTIFS(nNIA,DATOS!$A15361,nCURSO,DATOS!$D15361,nESPEC,DATOS!$E15361,nASIG,DATOS!$I15361,nEVAL,"EX")=0),0))))</f>
      </c>
      <c r="H15361">
        <f>IF(DATOS!$G15361&lt;&gt;"EX",0,--(COUNTIFS(nNIA,DATOS!$A15361,nCURSO,DATOS!$D15361,nESPEC,DATOS!$E15361,nASIG,DATOS!$I15361,nEVAL,"OR")=0))</f>
      </c>
      <c r="I15361">
        <f>IF(DATOS!$I15361="","",IFERROR(VLOOKUP(DATOS!$I15361,CONFIG_ASIGNATURAS!$B$2:$J$91,9,FALSE()),""))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IF(DATOS!$A15362="",0,IF(CONFIG_METADATA!$B$4&lt;&gt;"OR+EX",--(DATOS!$G15362=CONFIG_METADATA!$B$4),IF(DATOS!$G15362="EX",1,IF(DATOS!$G15362="OR",--(COUNTIFS(nNIA,DATOS!$A15362,nCURSO,DATOS!$D15362,nESPEC,DATOS!$E15362,nASIG,DATOS!$I15362,nEVAL,"EX")=0),0))))</f>
      </c>
      <c r="H15362">
        <f>IF(DATOS!$G15362&lt;&gt;"EX",0,--(COUNTIFS(nNIA,DATOS!$A15362,nCURSO,DATOS!$D15362,nESPEC,DATOS!$E15362,nASIG,DATOS!$I15362,nEVAL,"OR")=0))</f>
      </c>
      <c r="I15362">
        <f>IF(DATOS!$I15362="","",IFERROR(VLOOKUP(DATOS!$I15362,CONFIG_ASIGNATURAS!$B$2:$J$91,9,FALSE()),""))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IF(DATOS!$A15363="",0,IF(CONFIG_METADATA!$B$4&lt;&gt;"OR+EX",--(DATOS!$G15363=CONFIG_METADATA!$B$4),IF(DATOS!$G15363="EX",1,IF(DATOS!$G15363="OR",--(COUNTIFS(nNIA,DATOS!$A15363,nCURSO,DATOS!$D15363,nESPEC,DATOS!$E15363,nASIG,DATOS!$I15363,nEVAL,"EX")=0),0))))</f>
      </c>
      <c r="H15363">
        <f>IF(DATOS!$G15363&lt;&gt;"EX",0,--(COUNTIFS(nNIA,DATOS!$A15363,nCURSO,DATOS!$D15363,nESPEC,DATOS!$E15363,nASIG,DATOS!$I15363,nEVAL,"OR")=0))</f>
      </c>
      <c r="I15363">
        <f>IF(DATOS!$I15363="","",IFERROR(VLOOKUP(DATOS!$I15363,CONFIG_ASIGNATURAS!$B$2:$J$91,9,FALSE()),""))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IF(DATOS!$A15364="",0,IF(CONFIG_METADATA!$B$4&lt;&gt;"OR+EX",--(DATOS!$G15364=CONFIG_METADATA!$B$4),IF(DATOS!$G15364="EX",1,IF(DATOS!$G15364="OR",--(COUNTIFS(nNIA,DATOS!$A15364,nCURSO,DATOS!$D15364,nESPEC,DATOS!$E15364,nASIG,DATOS!$I15364,nEVAL,"EX")=0),0))))</f>
      </c>
      <c r="H15364">
        <f>IF(DATOS!$G15364&lt;&gt;"EX",0,--(COUNTIFS(nNIA,DATOS!$A15364,nCURSO,DATOS!$D15364,nESPEC,DATOS!$E15364,nASIG,DATOS!$I15364,nEVAL,"OR")=0))</f>
      </c>
      <c r="I15364">
        <f>IF(DATOS!$I15364="","",IFERROR(VLOOKUP(DATOS!$I15364,CONFIG_ASIGNATURAS!$B$2:$J$91,9,FALSE()),""))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IF(DATOS!$A15365="",0,IF(CONFIG_METADATA!$B$4&lt;&gt;"OR+EX",--(DATOS!$G15365=CONFIG_METADATA!$B$4),IF(DATOS!$G15365="EX",1,IF(DATOS!$G15365="OR",--(COUNTIFS(nNIA,DATOS!$A15365,nCURSO,DATOS!$D15365,nESPEC,DATOS!$E15365,nASIG,DATOS!$I15365,nEVAL,"EX")=0),0))))</f>
      </c>
      <c r="H15365">
        <f>IF(DATOS!$G15365&lt;&gt;"EX",0,--(COUNTIFS(nNIA,DATOS!$A15365,nCURSO,DATOS!$D15365,nESPEC,DATOS!$E15365,nASIG,DATOS!$I15365,nEVAL,"OR")=0))</f>
      </c>
      <c r="I15365">
        <f>IF(DATOS!$I15365="","",IFERROR(VLOOKUP(DATOS!$I15365,CONFIG_ASIGNATURAS!$B$2:$J$91,9,FALSE()),""))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IF(DATOS!$A15366="",0,IF(CONFIG_METADATA!$B$4&lt;&gt;"OR+EX",--(DATOS!$G15366=CONFIG_METADATA!$B$4),IF(DATOS!$G15366="EX",1,IF(DATOS!$G15366="OR",--(COUNTIFS(nNIA,DATOS!$A15366,nCURSO,DATOS!$D15366,nESPEC,DATOS!$E15366,nASIG,DATOS!$I15366,nEVAL,"EX")=0),0))))</f>
      </c>
      <c r="H15366">
        <f>IF(DATOS!$G15366&lt;&gt;"EX",0,--(COUNTIFS(nNIA,DATOS!$A15366,nCURSO,DATOS!$D15366,nESPEC,DATOS!$E15366,nASIG,DATOS!$I15366,nEVAL,"OR")=0))</f>
      </c>
      <c r="I15366">
        <f>IF(DATOS!$I15366="","",IFERROR(VLOOKUP(DATOS!$I15366,CONFIG_ASIGNATURAS!$B$2:$J$91,9,FALSE()),""))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IF(DATOS!$A15367="",0,IF(CONFIG_METADATA!$B$4&lt;&gt;"OR+EX",--(DATOS!$G15367=CONFIG_METADATA!$B$4),IF(DATOS!$G15367="EX",1,IF(DATOS!$G15367="OR",--(COUNTIFS(nNIA,DATOS!$A15367,nCURSO,DATOS!$D15367,nESPEC,DATOS!$E15367,nASIG,DATOS!$I15367,nEVAL,"EX")=0),0))))</f>
      </c>
      <c r="H15367">
        <f>IF(DATOS!$G15367&lt;&gt;"EX",0,--(COUNTIFS(nNIA,DATOS!$A15367,nCURSO,DATOS!$D15367,nESPEC,DATOS!$E15367,nASIG,DATOS!$I15367,nEVAL,"OR")=0))</f>
      </c>
      <c r="I15367">
        <f>IF(DATOS!$I15367="","",IFERROR(VLOOKUP(DATOS!$I15367,CONFIG_ASIGNATURAS!$B$2:$J$91,9,FALSE()),""))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IF(DATOS!$A15368="",0,IF(CONFIG_METADATA!$B$4&lt;&gt;"OR+EX",--(DATOS!$G15368=CONFIG_METADATA!$B$4),IF(DATOS!$G15368="EX",1,IF(DATOS!$G15368="OR",--(COUNTIFS(nNIA,DATOS!$A15368,nCURSO,DATOS!$D15368,nESPEC,DATOS!$E15368,nASIG,DATOS!$I15368,nEVAL,"EX")=0),0))))</f>
      </c>
      <c r="H15368">
        <f>IF(DATOS!$G15368&lt;&gt;"EX",0,--(COUNTIFS(nNIA,DATOS!$A15368,nCURSO,DATOS!$D15368,nESPEC,DATOS!$E15368,nASIG,DATOS!$I15368,nEVAL,"OR")=0))</f>
      </c>
      <c r="I15368">
        <f>IF(DATOS!$I15368="","",IFERROR(VLOOKUP(DATOS!$I15368,CONFIG_ASIGNATURAS!$B$2:$J$91,9,FALSE()),""))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IF(DATOS!$A15369="",0,IF(CONFIG_METADATA!$B$4&lt;&gt;"OR+EX",--(DATOS!$G15369=CONFIG_METADATA!$B$4),IF(DATOS!$G15369="EX",1,IF(DATOS!$G15369="OR",--(COUNTIFS(nNIA,DATOS!$A15369,nCURSO,DATOS!$D15369,nESPEC,DATOS!$E15369,nASIG,DATOS!$I15369,nEVAL,"EX")=0),0))))</f>
      </c>
      <c r="H15369">
        <f>IF(DATOS!$G15369&lt;&gt;"EX",0,--(COUNTIFS(nNIA,DATOS!$A15369,nCURSO,DATOS!$D15369,nESPEC,DATOS!$E15369,nASIG,DATOS!$I15369,nEVAL,"OR")=0))</f>
      </c>
      <c r="I15369">
        <f>IF(DATOS!$I15369="","",IFERROR(VLOOKUP(DATOS!$I15369,CONFIG_ASIGNATURAS!$B$2:$J$91,9,FALSE()),""))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IF(DATOS!$A15370="",0,IF(CONFIG_METADATA!$B$4&lt;&gt;"OR+EX",--(DATOS!$G15370=CONFIG_METADATA!$B$4),IF(DATOS!$G15370="EX",1,IF(DATOS!$G15370="OR",--(COUNTIFS(nNIA,DATOS!$A15370,nCURSO,DATOS!$D15370,nESPEC,DATOS!$E15370,nASIG,DATOS!$I15370,nEVAL,"EX")=0),0))))</f>
      </c>
      <c r="H15370">
        <f>IF(DATOS!$G15370&lt;&gt;"EX",0,--(COUNTIFS(nNIA,DATOS!$A15370,nCURSO,DATOS!$D15370,nESPEC,DATOS!$E15370,nASIG,DATOS!$I15370,nEVAL,"OR")=0))</f>
      </c>
      <c r="I15370">
        <f>IF(DATOS!$I15370="","",IFERROR(VLOOKUP(DATOS!$I15370,CONFIG_ASIGNATURAS!$B$2:$J$91,9,FALSE()),""))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IF(DATOS!$A15371="",0,IF(CONFIG_METADATA!$B$4&lt;&gt;"OR+EX",--(DATOS!$G15371=CONFIG_METADATA!$B$4),IF(DATOS!$G15371="EX",1,IF(DATOS!$G15371="OR",--(COUNTIFS(nNIA,DATOS!$A15371,nCURSO,DATOS!$D15371,nESPEC,DATOS!$E15371,nASIG,DATOS!$I15371,nEVAL,"EX")=0),0))))</f>
      </c>
      <c r="H15371">
        <f>IF(DATOS!$G15371&lt;&gt;"EX",0,--(COUNTIFS(nNIA,DATOS!$A15371,nCURSO,DATOS!$D15371,nESPEC,DATOS!$E15371,nASIG,DATOS!$I15371,nEVAL,"OR")=0))</f>
      </c>
      <c r="I15371">
        <f>IF(DATOS!$I15371="","",IFERROR(VLOOKUP(DATOS!$I15371,CONFIG_ASIGNATURAS!$B$2:$J$91,9,FALSE()),""))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IF(DATOS!$A15372="",0,IF(CONFIG_METADATA!$B$4&lt;&gt;"OR+EX",--(DATOS!$G15372=CONFIG_METADATA!$B$4),IF(DATOS!$G15372="EX",1,IF(DATOS!$G15372="OR",--(COUNTIFS(nNIA,DATOS!$A15372,nCURSO,DATOS!$D15372,nESPEC,DATOS!$E15372,nASIG,DATOS!$I15372,nEVAL,"EX")=0),0))))</f>
      </c>
      <c r="H15372">
        <f>IF(DATOS!$G15372&lt;&gt;"EX",0,--(COUNTIFS(nNIA,DATOS!$A15372,nCURSO,DATOS!$D15372,nESPEC,DATOS!$E15372,nASIG,DATOS!$I15372,nEVAL,"OR")=0))</f>
      </c>
      <c r="I15372">
        <f>IF(DATOS!$I15372="","",IFERROR(VLOOKUP(DATOS!$I15372,CONFIG_ASIGNATURAS!$B$2:$J$91,9,FALSE()),""))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IF(DATOS!$A15373="",0,IF(CONFIG_METADATA!$B$4&lt;&gt;"OR+EX",--(DATOS!$G15373=CONFIG_METADATA!$B$4),IF(DATOS!$G15373="EX",1,IF(DATOS!$G15373="OR",--(COUNTIFS(nNIA,DATOS!$A15373,nCURSO,DATOS!$D15373,nESPEC,DATOS!$E15373,nASIG,DATOS!$I15373,nEVAL,"EX")=0),0))))</f>
      </c>
      <c r="H15373">
        <f>IF(DATOS!$G15373&lt;&gt;"EX",0,--(COUNTIFS(nNIA,DATOS!$A15373,nCURSO,DATOS!$D15373,nESPEC,DATOS!$E15373,nASIG,DATOS!$I15373,nEVAL,"OR")=0))</f>
      </c>
      <c r="I15373">
        <f>IF(DATOS!$I15373="","",IFERROR(VLOOKUP(DATOS!$I15373,CONFIG_ASIGNATURAS!$B$2:$J$91,9,FALSE()),""))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IF(DATOS!$A15374="",0,IF(CONFIG_METADATA!$B$4&lt;&gt;"OR+EX",--(DATOS!$G15374=CONFIG_METADATA!$B$4),IF(DATOS!$G15374="EX",1,IF(DATOS!$G15374="OR",--(COUNTIFS(nNIA,DATOS!$A15374,nCURSO,DATOS!$D15374,nESPEC,DATOS!$E15374,nASIG,DATOS!$I15374,nEVAL,"EX")=0),0))))</f>
      </c>
      <c r="H15374">
        <f>IF(DATOS!$G15374&lt;&gt;"EX",0,--(COUNTIFS(nNIA,DATOS!$A15374,nCURSO,DATOS!$D15374,nESPEC,DATOS!$E15374,nASIG,DATOS!$I15374,nEVAL,"OR")=0))</f>
      </c>
      <c r="I15374">
        <f>IF(DATOS!$I15374="","",IFERROR(VLOOKUP(DATOS!$I15374,CONFIG_ASIGNATURAS!$B$2:$J$91,9,FALSE()),""))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IF(DATOS!$A15375="",0,IF(CONFIG_METADATA!$B$4&lt;&gt;"OR+EX",--(DATOS!$G15375=CONFIG_METADATA!$B$4),IF(DATOS!$G15375="EX",1,IF(DATOS!$G15375="OR",--(COUNTIFS(nNIA,DATOS!$A15375,nCURSO,DATOS!$D15375,nESPEC,DATOS!$E15375,nASIG,DATOS!$I15375,nEVAL,"EX")=0),0))))</f>
      </c>
      <c r="H15375">
        <f>IF(DATOS!$G15375&lt;&gt;"EX",0,--(COUNTIFS(nNIA,DATOS!$A15375,nCURSO,DATOS!$D15375,nESPEC,DATOS!$E15375,nASIG,DATOS!$I15375,nEVAL,"OR")=0))</f>
      </c>
      <c r="I15375">
        <f>IF(DATOS!$I15375="","",IFERROR(VLOOKUP(DATOS!$I15375,CONFIG_ASIGNATURAS!$B$2:$J$91,9,FALSE()),""))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IF(DATOS!$A15376="",0,IF(CONFIG_METADATA!$B$4&lt;&gt;"OR+EX",--(DATOS!$G15376=CONFIG_METADATA!$B$4),IF(DATOS!$G15376="EX",1,IF(DATOS!$G15376="OR",--(COUNTIFS(nNIA,DATOS!$A15376,nCURSO,DATOS!$D15376,nESPEC,DATOS!$E15376,nASIG,DATOS!$I15376,nEVAL,"EX")=0),0))))</f>
      </c>
      <c r="H15376">
        <f>IF(DATOS!$G15376&lt;&gt;"EX",0,--(COUNTIFS(nNIA,DATOS!$A15376,nCURSO,DATOS!$D15376,nESPEC,DATOS!$E15376,nASIG,DATOS!$I15376,nEVAL,"OR")=0))</f>
      </c>
      <c r="I15376">
        <f>IF(DATOS!$I15376="","",IFERROR(VLOOKUP(DATOS!$I15376,CONFIG_ASIGNATURAS!$B$2:$J$91,9,FALSE()),""))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IF(DATOS!$A15377="",0,IF(CONFIG_METADATA!$B$4&lt;&gt;"OR+EX",--(DATOS!$G15377=CONFIG_METADATA!$B$4),IF(DATOS!$G15377="EX",1,IF(DATOS!$G15377="OR",--(COUNTIFS(nNIA,DATOS!$A15377,nCURSO,DATOS!$D15377,nESPEC,DATOS!$E15377,nASIG,DATOS!$I15377,nEVAL,"EX")=0),0))))</f>
      </c>
      <c r="H15377">
        <f>IF(DATOS!$G15377&lt;&gt;"EX",0,--(COUNTIFS(nNIA,DATOS!$A15377,nCURSO,DATOS!$D15377,nESPEC,DATOS!$E15377,nASIG,DATOS!$I15377,nEVAL,"OR")=0))</f>
      </c>
      <c r="I15377">
        <f>IF(DATOS!$I15377="","",IFERROR(VLOOKUP(DATOS!$I15377,CONFIG_ASIGNATURAS!$B$2:$J$91,9,FALSE()),""))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IF(DATOS!$A15378="",0,IF(CONFIG_METADATA!$B$4&lt;&gt;"OR+EX",--(DATOS!$G15378=CONFIG_METADATA!$B$4),IF(DATOS!$G15378="EX",1,IF(DATOS!$G15378="OR",--(COUNTIFS(nNIA,DATOS!$A15378,nCURSO,DATOS!$D15378,nESPEC,DATOS!$E15378,nASIG,DATOS!$I15378,nEVAL,"EX")=0),0))))</f>
      </c>
      <c r="H15378">
        <f>IF(DATOS!$G15378&lt;&gt;"EX",0,--(COUNTIFS(nNIA,DATOS!$A15378,nCURSO,DATOS!$D15378,nESPEC,DATOS!$E15378,nASIG,DATOS!$I15378,nEVAL,"OR")=0))</f>
      </c>
      <c r="I15378">
        <f>IF(DATOS!$I15378="","",IFERROR(VLOOKUP(DATOS!$I15378,CONFIG_ASIGNATURAS!$B$2:$J$91,9,FALSE()),""))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IF(DATOS!$A15379="",0,IF(CONFIG_METADATA!$B$4&lt;&gt;"OR+EX",--(DATOS!$G15379=CONFIG_METADATA!$B$4),IF(DATOS!$G15379="EX",1,IF(DATOS!$G15379="OR",--(COUNTIFS(nNIA,DATOS!$A15379,nCURSO,DATOS!$D15379,nESPEC,DATOS!$E15379,nASIG,DATOS!$I15379,nEVAL,"EX")=0),0))))</f>
      </c>
      <c r="H15379">
        <f>IF(DATOS!$G15379&lt;&gt;"EX",0,--(COUNTIFS(nNIA,DATOS!$A15379,nCURSO,DATOS!$D15379,nESPEC,DATOS!$E15379,nASIG,DATOS!$I15379,nEVAL,"OR")=0))</f>
      </c>
      <c r="I15379">
        <f>IF(DATOS!$I15379="","",IFERROR(VLOOKUP(DATOS!$I15379,CONFIG_ASIGNATURAS!$B$2:$J$91,9,FALSE()),""))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IF(DATOS!$A15380="",0,IF(CONFIG_METADATA!$B$4&lt;&gt;"OR+EX",--(DATOS!$G15380=CONFIG_METADATA!$B$4),IF(DATOS!$G15380="EX",1,IF(DATOS!$G15380="OR",--(COUNTIFS(nNIA,DATOS!$A15380,nCURSO,DATOS!$D15380,nESPEC,DATOS!$E15380,nASIG,DATOS!$I15380,nEVAL,"EX")=0),0))))</f>
      </c>
      <c r="H15380">
        <f>IF(DATOS!$G15380&lt;&gt;"EX",0,--(COUNTIFS(nNIA,DATOS!$A15380,nCURSO,DATOS!$D15380,nESPEC,DATOS!$E15380,nASIG,DATOS!$I15380,nEVAL,"OR")=0))</f>
      </c>
      <c r="I15380">
        <f>IF(DATOS!$I15380="","",IFERROR(VLOOKUP(DATOS!$I15380,CONFIG_ASIGNATURAS!$B$2:$J$91,9,FALSE()),""))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IF(DATOS!$A15381="",0,IF(CONFIG_METADATA!$B$4&lt;&gt;"OR+EX",--(DATOS!$G15381=CONFIG_METADATA!$B$4),IF(DATOS!$G15381="EX",1,IF(DATOS!$G15381="OR",--(COUNTIFS(nNIA,DATOS!$A15381,nCURSO,DATOS!$D15381,nESPEC,DATOS!$E15381,nASIG,DATOS!$I15381,nEVAL,"EX")=0),0))))</f>
      </c>
      <c r="H15381">
        <f>IF(DATOS!$G15381&lt;&gt;"EX",0,--(COUNTIFS(nNIA,DATOS!$A15381,nCURSO,DATOS!$D15381,nESPEC,DATOS!$E15381,nASIG,DATOS!$I15381,nEVAL,"OR")=0))</f>
      </c>
      <c r="I15381">
        <f>IF(DATOS!$I15381="","",IFERROR(VLOOKUP(DATOS!$I15381,CONFIG_ASIGNATURAS!$B$2:$J$91,9,FALSE()),""))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IF(DATOS!$A15382="",0,IF(CONFIG_METADATA!$B$4&lt;&gt;"OR+EX",--(DATOS!$G15382=CONFIG_METADATA!$B$4),IF(DATOS!$G15382="EX",1,IF(DATOS!$G15382="OR",--(COUNTIFS(nNIA,DATOS!$A15382,nCURSO,DATOS!$D15382,nESPEC,DATOS!$E15382,nASIG,DATOS!$I15382,nEVAL,"EX")=0),0))))</f>
      </c>
      <c r="H15382">
        <f>IF(DATOS!$G15382&lt;&gt;"EX",0,--(COUNTIFS(nNIA,DATOS!$A15382,nCURSO,DATOS!$D15382,nESPEC,DATOS!$E15382,nASIG,DATOS!$I15382,nEVAL,"OR")=0))</f>
      </c>
      <c r="I15382">
        <f>IF(DATOS!$I15382="","",IFERROR(VLOOKUP(DATOS!$I15382,CONFIG_ASIGNATURAS!$B$2:$J$91,9,FALSE()),""))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IF(DATOS!$A15383="",0,IF(CONFIG_METADATA!$B$4&lt;&gt;"OR+EX",--(DATOS!$G15383=CONFIG_METADATA!$B$4),IF(DATOS!$G15383="EX",1,IF(DATOS!$G15383="OR",--(COUNTIFS(nNIA,DATOS!$A15383,nCURSO,DATOS!$D15383,nESPEC,DATOS!$E15383,nASIG,DATOS!$I15383,nEVAL,"EX")=0),0))))</f>
      </c>
      <c r="H15383">
        <f>IF(DATOS!$G15383&lt;&gt;"EX",0,--(COUNTIFS(nNIA,DATOS!$A15383,nCURSO,DATOS!$D15383,nESPEC,DATOS!$E15383,nASIG,DATOS!$I15383,nEVAL,"OR")=0))</f>
      </c>
      <c r="I15383">
        <f>IF(DATOS!$I15383="","",IFERROR(VLOOKUP(DATOS!$I15383,CONFIG_ASIGNATURAS!$B$2:$J$91,9,FALSE()),""))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IF(DATOS!$A15384="",0,IF(CONFIG_METADATA!$B$4&lt;&gt;"OR+EX",--(DATOS!$G15384=CONFIG_METADATA!$B$4),IF(DATOS!$G15384="EX",1,IF(DATOS!$G15384="OR",--(COUNTIFS(nNIA,DATOS!$A15384,nCURSO,DATOS!$D15384,nESPEC,DATOS!$E15384,nASIG,DATOS!$I15384,nEVAL,"EX")=0),0))))</f>
      </c>
      <c r="H15384">
        <f>IF(DATOS!$G15384&lt;&gt;"EX",0,--(COUNTIFS(nNIA,DATOS!$A15384,nCURSO,DATOS!$D15384,nESPEC,DATOS!$E15384,nASIG,DATOS!$I15384,nEVAL,"OR")=0))</f>
      </c>
      <c r="I15384">
        <f>IF(DATOS!$I15384="","",IFERROR(VLOOKUP(DATOS!$I15384,CONFIG_ASIGNATURAS!$B$2:$J$91,9,FALSE()),""))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IF(DATOS!$A15385="",0,IF(CONFIG_METADATA!$B$4&lt;&gt;"OR+EX",--(DATOS!$G15385=CONFIG_METADATA!$B$4),IF(DATOS!$G15385="EX",1,IF(DATOS!$G15385="OR",--(COUNTIFS(nNIA,DATOS!$A15385,nCURSO,DATOS!$D15385,nESPEC,DATOS!$E15385,nASIG,DATOS!$I15385,nEVAL,"EX")=0),0))))</f>
      </c>
      <c r="H15385">
        <f>IF(DATOS!$G15385&lt;&gt;"EX",0,--(COUNTIFS(nNIA,DATOS!$A15385,nCURSO,DATOS!$D15385,nESPEC,DATOS!$E15385,nASIG,DATOS!$I15385,nEVAL,"OR")=0))</f>
      </c>
      <c r="I15385">
        <f>IF(DATOS!$I15385="","",IFERROR(VLOOKUP(DATOS!$I15385,CONFIG_ASIGNATURAS!$B$2:$J$91,9,FALSE()),""))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IF(DATOS!$A15386="",0,IF(CONFIG_METADATA!$B$4&lt;&gt;"OR+EX",--(DATOS!$G15386=CONFIG_METADATA!$B$4),IF(DATOS!$G15386="EX",1,IF(DATOS!$G15386="OR",--(COUNTIFS(nNIA,DATOS!$A15386,nCURSO,DATOS!$D15386,nESPEC,DATOS!$E15386,nASIG,DATOS!$I15386,nEVAL,"EX")=0),0))))</f>
      </c>
      <c r="H15386">
        <f>IF(DATOS!$G15386&lt;&gt;"EX",0,--(COUNTIFS(nNIA,DATOS!$A15386,nCURSO,DATOS!$D15386,nESPEC,DATOS!$E15386,nASIG,DATOS!$I15386,nEVAL,"OR")=0))</f>
      </c>
      <c r="I15386">
        <f>IF(DATOS!$I15386="","",IFERROR(VLOOKUP(DATOS!$I15386,CONFIG_ASIGNATURAS!$B$2:$J$91,9,FALSE()),""))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IF(DATOS!$A15387="",0,IF(CONFIG_METADATA!$B$4&lt;&gt;"OR+EX",--(DATOS!$G15387=CONFIG_METADATA!$B$4),IF(DATOS!$G15387="EX",1,IF(DATOS!$G15387="OR",--(COUNTIFS(nNIA,DATOS!$A15387,nCURSO,DATOS!$D15387,nESPEC,DATOS!$E15387,nASIG,DATOS!$I15387,nEVAL,"EX")=0),0))))</f>
      </c>
      <c r="H15387">
        <f>IF(DATOS!$G15387&lt;&gt;"EX",0,--(COUNTIFS(nNIA,DATOS!$A15387,nCURSO,DATOS!$D15387,nESPEC,DATOS!$E15387,nASIG,DATOS!$I15387,nEVAL,"OR")=0))</f>
      </c>
      <c r="I15387">
        <f>IF(DATOS!$I15387="","",IFERROR(VLOOKUP(DATOS!$I15387,CONFIG_ASIGNATURAS!$B$2:$J$91,9,FALSE()),""))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IF(DATOS!$A15388="",0,IF(CONFIG_METADATA!$B$4&lt;&gt;"OR+EX",--(DATOS!$G15388=CONFIG_METADATA!$B$4),IF(DATOS!$G15388="EX",1,IF(DATOS!$G15388="OR",--(COUNTIFS(nNIA,DATOS!$A15388,nCURSO,DATOS!$D15388,nESPEC,DATOS!$E15388,nASIG,DATOS!$I15388,nEVAL,"EX")=0),0))))</f>
      </c>
      <c r="H15388">
        <f>IF(DATOS!$G15388&lt;&gt;"EX",0,--(COUNTIFS(nNIA,DATOS!$A15388,nCURSO,DATOS!$D15388,nESPEC,DATOS!$E15388,nASIG,DATOS!$I15388,nEVAL,"OR")=0))</f>
      </c>
      <c r="I15388">
        <f>IF(DATOS!$I15388="","",IFERROR(VLOOKUP(DATOS!$I15388,CONFIG_ASIGNATURAS!$B$2:$J$91,9,FALSE()),""))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IF(DATOS!$A15389="",0,IF(CONFIG_METADATA!$B$4&lt;&gt;"OR+EX",--(DATOS!$G15389=CONFIG_METADATA!$B$4),IF(DATOS!$G15389="EX",1,IF(DATOS!$G15389="OR",--(COUNTIFS(nNIA,DATOS!$A15389,nCURSO,DATOS!$D15389,nESPEC,DATOS!$E15389,nASIG,DATOS!$I15389,nEVAL,"EX")=0),0))))</f>
      </c>
      <c r="H15389">
        <f>IF(DATOS!$G15389&lt;&gt;"EX",0,--(COUNTIFS(nNIA,DATOS!$A15389,nCURSO,DATOS!$D15389,nESPEC,DATOS!$E15389,nASIG,DATOS!$I15389,nEVAL,"OR")=0))</f>
      </c>
      <c r="I15389">
        <f>IF(DATOS!$I15389="","",IFERROR(VLOOKUP(DATOS!$I15389,CONFIG_ASIGNATURAS!$B$2:$J$91,9,FALSE()),""))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IF(DATOS!$A15390="",0,IF(CONFIG_METADATA!$B$4&lt;&gt;"OR+EX",--(DATOS!$G15390=CONFIG_METADATA!$B$4),IF(DATOS!$G15390="EX",1,IF(DATOS!$G15390="OR",--(COUNTIFS(nNIA,DATOS!$A15390,nCURSO,DATOS!$D15390,nESPEC,DATOS!$E15390,nASIG,DATOS!$I15390,nEVAL,"EX")=0),0))))</f>
      </c>
      <c r="H15390">
        <f>IF(DATOS!$G15390&lt;&gt;"EX",0,--(COUNTIFS(nNIA,DATOS!$A15390,nCURSO,DATOS!$D15390,nESPEC,DATOS!$E15390,nASIG,DATOS!$I15390,nEVAL,"OR")=0))</f>
      </c>
      <c r="I15390">
        <f>IF(DATOS!$I15390="","",IFERROR(VLOOKUP(DATOS!$I15390,CONFIG_ASIGNATURAS!$B$2:$J$91,9,FALSE()),""))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IF(DATOS!$A15391="",0,IF(CONFIG_METADATA!$B$4&lt;&gt;"OR+EX",--(DATOS!$G15391=CONFIG_METADATA!$B$4),IF(DATOS!$G15391="EX",1,IF(DATOS!$G15391="OR",--(COUNTIFS(nNIA,DATOS!$A15391,nCURSO,DATOS!$D15391,nESPEC,DATOS!$E15391,nASIG,DATOS!$I15391,nEVAL,"EX")=0),0))))</f>
      </c>
      <c r="H15391">
        <f>IF(DATOS!$G15391&lt;&gt;"EX",0,--(COUNTIFS(nNIA,DATOS!$A15391,nCURSO,DATOS!$D15391,nESPEC,DATOS!$E15391,nASIG,DATOS!$I15391,nEVAL,"OR")=0))</f>
      </c>
      <c r="I15391">
        <f>IF(DATOS!$I15391="","",IFERROR(VLOOKUP(DATOS!$I15391,CONFIG_ASIGNATURAS!$B$2:$J$91,9,FALSE()),""))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IF(DATOS!$A15392="",0,IF(CONFIG_METADATA!$B$4&lt;&gt;"OR+EX",--(DATOS!$G15392=CONFIG_METADATA!$B$4),IF(DATOS!$G15392="EX",1,IF(DATOS!$G15392="OR",--(COUNTIFS(nNIA,DATOS!$A15392,nCURSO,DATOS!$D15392,nESPEC,DATOS!$E15392,nASIG,DATOS!$I15392,nEVAL,"EX")=0),0))))</f>
      </c>
      <c r="H15392">
        <f>IF(DATOS!$G15392&lt;&gt;"EX",0,--(COUNTIFS(nNIA,DATOS!$A15392,nCURSO,DATOS!$D15392,nESPEC,DATOS!$E15392,nASIG,DATOS!$I15392,nEVAL,"OR")=0))</f>
      </c>
      <c r="I15392">
        <f>IF(DATOS!$I15392="","",IFERROR(VLOOKUP(DATOS!$I15392,CONFIG_ASIGNATURAS!$B$2:$J$91,9,FALSE()),""))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IF(DATOS!$A15393="",0,IF(CONFIG_METADATA!$B$4&lt;&gt;"OR+EX",--(DATOS!$G15393=CONFIG_METADATA!$B$4),IF(DATOS!$G15393="EX",1,IF(DATOS!$G15393="OR",--(COUNTIFS(nNIA,DATOS!$A15393,nCURSO,DATOS!$D15393,nESPEC,DATOS!$E15393,nASIG,DATOS!$I15393,nEVAL,"EX")=0),0))))</f>
      </c>
      <c r="H15393">
        <f>IF(DATOS!$G15393&lt;&gt;"EX",0,--(COUNTIFS(nNIA,DATOS!$A15393,nCURSO,DATOS!$D15393,nESPEC,DATOS!$E15393,nASIG,DATOS!$I15393,nEVAL,"OR")=0))</f>
      </c>
      <c r="I15393">
        <f>IF(DATOS!$I15393="","",IFERROR(VLOOKUP(DATOS!$I15393,CONFIG_ASIGNATURAS!$B$2:$J$91,9,FALSE()),""))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IF(DATOS!$A15394="",0,IF(CONFIG_METADATA!$B$4&lt;&gt;"OR+EX",--(DATOS!$G15394=CONFIG_METADATA!$B$4),IF(DATOS!$G15394="EX",1,IF(DATOS!$G15394="OR",--(COUNTIFS(nNIA,DATOS!$A15394,nCURSO,DATOS!$D15394,nESPEC,DATOS!$E15394,nASIG,DATOS!$I15394,nEVAL,"EX")=0),0))))</f>
      </c>
      <c r="H15394">
        <f>IF(DATOS!$G15394&lt;&gt;"EX",0,--(COUNTIFS(nNIA,DATOS!$A15394,nCURSO,DATOS!$D15394,nESPEC,DATOS!$E15394,nASIG,DATOS!$I15394,nEVAL,"OR")=0))</f>
      </c>
      <c r="I15394">
        <f>IF(DATOS!$I15394="","",IFERROR(VLOOKUP(DATOS!$I15394,CONFIG_ASIGNATURAS!$B$2:$J$91,9,FALSE()),""))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IF(DATOS!$A15395="",0,IF(CONFIG_METADATA!$B$4&lt;&gt;"OR+EX",--(DATOS!$G15395=CONFIG_METADATA!$B$4),IF(DATOS!$G15395="EX",1,IF(DATOS!$G15395="OR",--(COUNTIFS(nNIA,DATOS!$A15395,nCURSO,DATOS!$D15395,nESPEC,DATOS!$E15395,nASIG,DATOS!$I15395,nEVAL,"EX")=0),0))))</f>
      </c>
      <c r="H15395">
        <f>IF(DATOS!$G15395&lt;&gt;"EX",0,--(COUNTIFS(nNIA,DATOS!$A15395,nCURSO,DATOS!$D15395,nESPEC,DATOS!$E15395,nASIG,DATOS!$I15395,nEVAL,"OR")=0))</f>
      </c>
      <c r="I15395">
        <f>IF(DATOS!$I15395="","",IFERROR(VLOOKUP(DATOS!$I15395,CONFIG_ASIGNATURAS!$B$2:$J$91,9,FALSE()),""))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IF(DATOS!$A15396="",0,IF(CONFIG_METADATA!$B$4&lt;&gt;"OR+EX",--(DATOS!$G15396=CONFIG_METADATA!$B$4),IF(DATOS!$G15396="EX",1,IF(DATOS!$G15396="OR",--(COUNTIFS(nNIA,DATOS!$A15396,nCURSO,DATOS!$D15396,nESPEC,DATOS!$E15396,nASIG,DATOS!$I15396,nEVAL,"EX")=0),0))))</f>
      </c>
      <c r="H15396">
        <f>IF(DATOS!$G15396&lt;&gt;"EX",0,--(COUNTIFS(nNIA,DATOS!$A15396,nCURSO,DATOS!$D15396,nESPEC,DATOS!$E15396,nASIG,DATOS!$I15396,nEVAL,"OR")=0))</f>
      </c>
      <c r="I15396">
        <f>IF(DATOS!$I15396="","",IFERROR(VLOOKUP(DATOS!$I15396,CONFIG_ASIGNATURAS!$B$2:$J$91,9,FALSE()),""))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IF(DATOS!$A15397="",0,IF(CONFIG_METADATA!$B$4&lt;&gt;"OR+EX",--(DATOS!$G15397=CONFIG_METADATA!$B$4),IF(DATOS!$G15397="EX",1,IF(DATOS!$G15397="OR",--(COUNTIFS(nNIA,DATOS!$A15397,nCURSO,DATOS!$D15397,nESPEC,DATOS!$E15397,nASIG,DATOS!$I15397,nEVAL,"EX")=0),0))))</f>
      </c>
      <c r="H15397">
        <f>IF(DATOS!$G15397&lt;&gt;"EX",0,--(COUNTIFS(nNIA,DATOS!$A15397,nCURSO,DATOS!$D15397,nESPEC,DATOS!$E15397,nASIG,DATOS!$I15397,nEVAL,"OR")=0))</f>
      </c>
      <c r="I15397">
        <f>IF(DATOS!$I15397="","",IFERROR(VLOOKUP(DATOS!$I15397,CONFIG_ASIGNATURAS!$B$2:$J$91,9,FALSE()),""))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IF(DATOS!$A15398="",0,IF(CONFIG_METADATA!$B$4&lt;&gt;"OR+EX",--(DATOS!$G15398=CONFIG_METADATA!$B$4),IF(DATOS!$G15398="EX",1,IF(DATOS!$G15398="OR",--(COUNTIFS(nNIA,DATOS!$A15398,nCURSO,DATOS!$D15398,nESPEC,DATOS!$E15398,nASIG,DATOS!$I15398,nEVAL,"EX")=0),0))))</f>
      </c>
      <c r="H15398">
        <f>IF(DATOS!$G15398&lt;&gt;"EX",0,--(COUNTIFS(nNIA,DATOS!$A15398,nCURSO,DATOS!$D15398,nESPEC,DATOS!$E15398,nASIG,DATOS!$I15398,nEVAL,"OR")=0))</f>
      </c>
      <c r="I15398">
        <f>IF(DATOS!$I15398="","",IFERROR(VLOOKUP(DATOS!$I15398,CONFIG_ASIGNATURAS!$B$2:$J$91,9,FALSE()),""))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IF(DATOS!$A15399="",0,IF(CONFIG_METADATA!$B$4&lt;&gt;"OR+EX",--(DATOS!$G15399=CONFIG_METADATA!$B$4),IF(DATOS!$G15399="EX",1,IF(DATOS!$G15399="OR",--(COUNTIFS(nNIA,DATOS!$A15399,nCURSO,DATOS!$D15399,nESPEC,DATOS!$E15399,nASIG,DATOS!$I15399,nEVAL,"EX")=0),0))))</f>
      </c>
      <c r="H15399">
        <f>IF(DATOS!$G15399&lt;&gt;"EX",0,--(COUNTIFS(nNIA,DATOS!$A15399,nCURSO,DATOS!$D15399,nESPEC,DATOS!$E15399,nASIG,DATOS!$I15399,nEVAL,"OR")=0))</f>
      </c>
      <c r="I15399">
        <f>IF(DATOS!$I15399="","",IFERROR(VLOOKUP(DATOS!$I15399,CONFIG_ASIGNATURAS!$B$2:$J$91,9,FALSE()),""))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IF(DATOS!$A15400="",0,IF(CONFIG_METADATA!$B$4&lt;&gt;"OR+EX",--(DATOS!$G15400=CONFIG_METADATA!$B$4),IF(DATOS!$G15400="EX",1,IF(DATOS!$G15400="OR",--(COUNTIFS(nNIA,DATOS!$A15400,nCURSO,DATOS!$D15400,nESPEC,DATOS!$E15400,nASIG,DATOS!$I15400,nEVAL,"EX")=0),0))))</f>
      </c>
      <c r="H15400">
        <f>IF(DATOS!$G15400&lt;&gt;"EX",0,--(COUNTIFS(nNIA,DATOS!$A15400,nCURSO,DATOS!$D15400,nESPEC,DATOS!$E15400,nASIG,DATOS!$I15400,nEVAL,"OR")=0))</f>
      </c>
      <c r="I15400">
        <f>IF(DATOS!$I15400="","",IFERROR(VLOOKUP(DATOS!$I15400,CONFIG_ASIGNATURAS!$B$2:$J$91,9,FALSE()),""))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IF(DATOS!$A15401="",0,IF(CONFIG_METADATA!$B$4&lt;&gt;"OR+EX",--(DATOS!$G15401=CONFIG_METADATA!$B$4),IF(DATOS!$G15401="EX",1,IF(DATOS!$G15401="OR",--(COUNTIFS(nNIA,DATOS!$A15401,nCURSO,DATOS!$D15401,nESPEC,DATOS!$E15401,nASIG,DATOS!$I15401,nEVAL,"EX")=0),0))))</f>
      </c>
      <c r="H15401">
        <f>IF(DATOS!$G15401&lt;&gt;"EX",0,--(COUNTIFS(nNIA,DATOS!$A15401,nCURSO,DATOS!$D15401,nESPEC,DATOS!$E15401,nASIG,DATOS!$I15401,nEVAL,"OR")=0))</f>
      </c>
      <c r="I15401">
        <f>IF(DATOS!$I15401="","",IFERROR(VLOOKUP(DATOS!$I15401,CONFIG_ASIGNATURAS!$B$2:$J$91,9,FALSE()),""))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IF(DATOS!$A15402="",0,IF(CONFIG_METADATA!$B$4&lt;&gt;"OR+EX",--(DATOS!$G15402=CONFIG_METADATA!$B$4),IF(DATOS!$G15402="EX",1,IF(DATOS!$G15402="OR",--(COUNTIFS(nNIA,DATOS!$A15402,nCURSO,DATOS!$D15402,nESPEC,DATOS!$E15402,nASIG,DATOS!$I15402,nEVAL,"EX")=0),0))))</f>
      </c>
      <c r="H15402">
        <f>IF(DATOS!$G15402&lt;&gt;"EX",0,--(COUNTIFS(nNIA,DATOS!$A15402,nCURSO,DATOS!$D15402,nESPEC,DATOS!$E15402,nASIG,DATOS!$I15402,nEVAL,"OR")=0))</f>
      </c>
      <c r="I15402">
        <f>IF(DATOS!$I15402="","",IFERROR(VLOOKUP(DATOS!$I15402,CONFIG_ASIGNATURAS!$B$2:$J$91,9,FALSE()),""))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IF(DATOS!$A15403="",0,IF(CONFIG_METADATA!$B$4&lt;&gt;"OR+EX",--(DATOS!$G15403=CONFIG_METADATA!$B$4),IF(DATOS!$G15403="EX",1,IF(DATOS!$G15403="OR",--(COUNTIFS(nNIA,DATOS!$A15403,nCURSO,DATOS!$D15403,nESPEC,DATOS!$E15403,nASIG,DATOS!$I15403,nEVAL,"EX")=0),0))))</f>
      </c>
      <c r="H15403">
        <f>IF(DATOS!$G15403&lt;&gt;"EX",0,--(COUNTIFS(nNIA,DATOS!$A15403,nCURSO,DATOS!$D15403,nESPEC,DATOS!$E15403,nASIG,DATOS!$I15403,nEVAL,"OR")=0))</f>
      </c>
      <c r="I15403">
        <f>IF(DATOS!$I15403="","",IFERROR(VLOOKUP(DATOS!$I15403,CONFIG_ASIGNATURAS!$B$2:$J$91,9,FALSE()),""))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IF(DATOS!$A15404="",0,IF(CONFIG_METADATA!$B$4&lt;&gt;"OR+EX",--(DATOS!$G15404=CONFIG_METADATA!$B$4),IF(DATOS!$G15404="EX",1,IF(DATOS!$G15404="OR",--(COUNTIFS(nNIA,DATOS!$A15404,nCURSO,DATOS!$D15404,nESPEC,DATOS!$E15404,nASIG,DATOS!$I15404,nEVAL,"EX")=0),0))))</f>
      </c>
      <c r="H15404">
        <f>IF(DATOS!$G15404&lt;&gt;"EX",0,--(COUNTIFS(nNIA,DATOS!$A15404,nCURSO,DATOS!$D15404,nESPEC,DATOS!$E15404,nASIG,DATOS!$I15404,nEVAL,"OR")=0))</f>
      </c>
      <c r="I15404">
        <f>IF(DATOS!$I15404="","",IFERROR(VLOOKUP(DATOS!$I15404,CONFIG_ASIGNATURAS!$B$2:$J$91,9,FALSE()),""))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IF(DATOS!$A15405="",0,IF(CONFIG_METADATA!$B$4&lt;&gt;"OR+EX",--(DATOS!$G15405=CONFIG_METADATA!$B$4),IF(DATOS!$G15405="EX",1,IF(DATOS!$G15405="OR",--(COUNTIFS(nNIA,DATOS!$A15405,nCURSO,DATOS!$D15405,nESPEC,DATOS!$E15405,nASIG,DATOS!$I15405,nEVAL,"EX")=0),0))))</f>
      </c>
      <c r="H15405">
        <f>IF(DATOS!$G15405&lt;&gt;"EX",0,--(COUNTIFS(nNIA,DATOS!$A15405,nCURSO,DATOS!$D15405,nESPEC,DATOS!$E15405,nASIG,DATOS!$I15405,nEVAL,"OR")=0))</f>
      </c>
      <c r="I15405">
        <f>IF(DATOS!$I15405="","",IFERROR(VLOOKUP(DATOS!$I15405,CONFIG_ASIGNATURAS!$B$2:$J$91,9,FALSE()),""))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IF(DATOS!$A15406="",0,IF(CONFIG_METADATA!$B$4&lt;&gt;"OR+EX",--(DATOS!$G15406=CONFIG_METADATA!$B$4),IF(DATOS!$G15406="EX",1,IF(DATOS!$G15406="OR",--(COUNTIFS(nNIA,DATOS!$A15406,nCURSO,DATOS!$D15406,nESPEC,DATOS!$E15406,nASIG,DATOS!$I15406,nEVAL,"EX")=0),0))))</f>
      </c>
      <c r="H15406">
        <f>IF(DATOS!$G15406&lt;&gt;"EX",0,--(COUNTIFS(nNIA,DATOS!$A15406,nCURSO,DATOS!$D15406,nESPEC,DATOS!$E15406,nASIG,DATOS!$I15406,nEVAL,"OR")=0))</f>
      </c>
      <c r="I15406">
        <f>IF(DATOS!$I15406="","",IFERROR(VLOOKUP(DATOS!$I15406,CONFIG_ASIGNATURAS!$B$2:$J$91,9,FALSE()),""))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IF(DATOS!$A15407="",0,IF(CONFIG_METADATA!$B$4&lt;&gt;"OR+EX",--(DATOS!$G15407=CONFIG_METADATA!$B$4),IF(DATOS!$G15407="EX",1,IF(DATOS!$G15407="OR",--(COUNTIFS(nNIA,DATOS!$A15407,nCURSO,DATOS!$D15407,nESPEC,DATOS!$E15407,nASIG,DATOS!$I15407,nEVAL,"EX")=0),0))))</f>
      </c>
      <c r="H15407">
        <f>IF(DATOS!$G15407&lt;&gt;"EX",0,--(COUNTIFS(nNIA,DATOS!$A15407,nCURSO,DATOS!$D15407,nESPEC,DATOS!$E15407,nASIG,DATOS!$I15407,nEVAL,"OR")=0))</f>
      </c>
      <c r="I15407">
        <f>IF(DATOS!$I15407="","",IFERROR(VLOOKUP(DATOS!$I15407,CONFIG_ASIGNATURAS!$B$2:$J$91,9,FALSE()),""))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IF(DATOS!$A15408="",0,IF(CONFIG_METADATA!$B$4&lt;&gt;"OR+EX",--(DATOS!$G15408=CONFIG_METADATA!$B$4),IF(DATOS!$G15408="EX",1,IF(DATOS!$G15408="OR",--(COUNTIFS(nNIA,DATOS!$A15408,nCURSO,DATOS!$D15408,nESPEC,DATOS!$E15408,nASIG,DATOS!$I15408,nEVAL,"EX")=0),0))))</f>
      </c>
      <c r="H15408">
        <f>IF(DATOS!$G15408&lt;&gt;"EX",0,--(COUNTIFS(nNIA,DATOS!$A15408,nCURSO,DATOS!$D15408,nESPEC,DATOS!$E15408,nASIG,DATOS!$I15408,nEVAL,"OR")=0))</f>
      </c>
      <c r="I15408">
        <f>IF(DATOS!$I15408="","",IFERROR(VLOOKUP(DATOS!$I15408,CONFIG_ASIGNATURAS!$B$2:$J$91,9,FALSE()),""))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IF(DATOS!$A15409="",0,IF(CONFIG_METADATA!$B$4&lt;&gt;"OR+EX",--(DATOS!$G15409=CONFIG_METADATA!$B$4),IF(DATOS!$G15409="EX",1,IF(DATOS!$G15409="OR",--(COUNTIFS(nNIA,DATOS!$A15409,nCURSO,DATOS!$D15409,nESPEC,DATOS!$E15409,nASIG,DATOS!$I15409,nEVAL,"EX")=0),0))))</f>
      </c>
      <c r="H15409">
        <f>IF(DATOS!$G15409&lt;&gt;"EX",0,--(COUNTIFS(nNIA,DATOS!$A15409,nCURSO,DATOS!$D15409,nESPEC,DATOS!$E15409,nASIG,DATOS!$I15409,nEVAL,"OR")=0))</f>
      </c>
      <c r="I15409">
        <f>IF(DATOS!$I15409="","",IFERROR(VLOOKUP(DATOS!$I15409,CONFIG_ASIGNATURAS!$B$2:$J$91,9,FALSE()),""))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IF(DATOS!$A15410="",0,IF(CONFIG_METADATA!$B$4&lt;&gt;"OR+EX",--(DATOS!$G15410=CONFIG_METADATA!$B$4),IF(DATOS!$G15410="EX",1,IF(DATOS!$G15410="OR",--(COUNTIFS(nNIA,DATOS!$A15410,nCURSO,DATOS!$D15410,nESPEC,DATOS!$E15410,nASIG,DATOS!$I15410,nEVAL,"EX")=0),0))))</f>
      </c>
      <c r="H15410">
        <f>IF(DATOS!$G15410&lt;&gt;"EX",0,--(COUNTIFS(nNIA,DATOS!$A15410,nCURSO,DATOS!$D15410,nESPEC,DATOS!$E15410,nASIG,DATOS!$I15410,nEVAL,"OR")=0))</f>
      </c>
      <c r="I15410">
        <f>IF(DATOS!$I15410="","",IFERROR(VLOOKUP(DATOS!$I15410,CONFIG_ASIGNATURAS!$B$2:$J$91,9,FALSE()),""))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IF(DATOS!$A15411="",0,IF(CONFIG_METADATA!$B$4&lt;&gt;"OR+EX",--(DATOS!$G15411=CONFIG_METADATA!$B$4),IF(DATOS!$G15411="EX",1,IF(DATOS!$G15411="OR",--(COUNTIFS(nNIA,DATOS!$A15411,nCURSO,DATOS!$D15411,nESPEC,DATOS!$E15411,nASIG,DATOS!$I15411,nEVAL,"EX")=0),0))))</f>
      </c>
      <c r="H15411">
        <f>IF(DATOS!$G15411&lt;&gt;"EX",0,--(COUNTIFS(nNIA,DATOS!$A15411,nCURSO,DATOS!$D15411,nESPEC,DATOS!$E15411,nASIG,DATOS!$I15411,nEVAL,"OR")=0))</f>
      </c>
      <c r="I15411">
        <f>IF(DATOS!$I15411="","",IFERROR(VLOOKUP(DATOS!$I15411,CONFIG_ASIGNATURAS!$B$2:$J$91,9,FALSE()),""))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IF(DATOS!$A15412="",0,IF(CONFIG_METADATA!$B$4&lt;&gt;"OR+EX",--(DATOS!$G15412=CONFIG_METADATA!$B$4),IF(DATOS!$G15412="EX",1,IF(DATOS!$G15412="OR",--(COUNTIFS(nNIA,DATOS!$A15412,nCURSO,DATOS!$D15412,nESPEC,DATOS!$E15412,nASIG,DATOS!$I15412,nEVAL,"EX")=0),0))))</f>
      </c>
      <c r="H15412">
        <f>IF(DATOS!$G15412&lt;&gt;"EX",0,--(COUNTIFS(nNIA,DATOS!$A15412,nCURSO,DATOS!$D15412,nESPEC,DATOS!$E15412,nASIG,DATOS!$I15412,nEVAL,"OR")=0))</f>
      </c>
      <c r="I15412">
        <f>IF(DATOS!$I15412="","",IFERROR(VLOOKUP(DATOS!$I15412,CONFIG_ASIGNATURAS!$B$2:$J$91,9,FALSE()),""))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IF(DATOS!$A15413="",0,IF(CONFIG_METADATA!$B$4&lt;&gt;"OR+EX",--(DATOS!$G15413=CONFIG_METADATA!$B$4),IF(DATOS!$G15413="EX",1,IF(DATOS!$G15413="OR",--(COUNTIFS(nNIA,DATOS!$A15413,nCURSO,DATOS!$D15413,nESPEC,DATOS!$E15413,nASIG,DATOS!$I15413,nEVAL,"EX")=0),0))))</f>
      </c>
      <c r="H15413">
        <f>IF(DATOS!$G15413&lt;&gt;"EX",0,--(COUNTIFS(nNIA,DATOS!$A15413,nCURSO,DATOS!$D15413,nESPEC,DATOS!$E15413,nASIG,DATOS!$I15413,nEVAL,"OR")=0))</f>
      </c>
      <c r="I15413">
        <f>IF(DATOS!$I15413="","",IFERROR(VLOOKUP(DATOS!$I15413,CONFIG_ASIGNATURAS!$B$2:$J$91,9,FALSE()),""))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IF(DATOS!$A15414="",0,IF(CONFIG_METADATA!$B$4&lt;&gt;"OR+EX",--(DATOS!$G15414=CONFIG_METADATA!$B$4),IF(DATOS!$G15414="EX",1,IF(DATOS!$G15414="OR",--(COUNTIFS(nNIA,DATOS!$A15414,nCURSO,DATOS!$D15414,nESPEC,DATOS!$E15414,nASIG,DATOS!$I15414,nEVAL,"EX")=0),0))))</f>
      </c>
      <c r="H15414">
        <f>IF(DATOS!$G15414&lt;&gt;"EX",0,--(COUNTIFS(nNIA,DATOS!$A15414,nCURSO,DATOS!$D15414,nESPEC,DATOS!$E15414,nASIG,DATOS!$I15414,nEVAL,"OR")=0))</f>
      </c>
      <c r="I15414">
        <f>IF(DATOS!$I15414="","",IFERROR(VLOOKUP(DATOS!$I15414,CONFIG_ASIGNATURAS!$B$2:$J$91,9,FALSE()),""))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IF(DATOS!$A15415="",0,IF(CONFIG_METADATA!$B$4&lt;&gt;"OR+EX",--(DATOS!$G15415=CONFIG_METADATA!$B$4),IF(DATOS!$G15415="EX",1,IF(DATOS!$G15415="OR",--(COUNTIFS(nNIA,DATOS!$A15415,nCURSO,DATOS!$D15415,nESPEC,DATOS!$E15415,nASIG,DATOS!$I15415,nEVAL,"EX")=0),0))))</f>
      </c>
      <c r="H15415">
        <f>IF(DATOS!$G15415&lt;&gt;"EX",0,--(COUNTIFS(nNIA,DATOS!$A15415,nCURSO,DATOS!$D15415,nESPEC,DATOS!$E15415,nASIG,DATOS!$I15415,nEVAL,"OR")=0))</f>
      </c>
      <c r="I15415">
        <f>IF(DATOS!$I15415="","",IFERROR(VLOOKUP(DATOS!$I15415,CONFIG_ASIGNATURAS!$B$2:$J$91,9,FALSE()),""))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IF(DATOS!$A15416="",0,IF(CONFIG_METADATA!$B$4&lt;&gt;"OR+EX",--(DATOS!$G15416=CONFIG_METADATA!$B$4),IF(DATOS!$G15416="EX",1,IF(DATOS!$G15416="OR",--(COUNTIFS(nNIA,DATOS!$A15416,nCURSO,DATOS!$D15416,nESPEC,DATOS!$E15416,nASIG,DATOS!$I15416,nEVAL,"EX")=0),0))))</f>
      </c>
      <c r="H15416">
        <f>IF(DATOS!$G15416&lt;&gt;"EX",0,--(COUNTIFS(nNIA,DATOS!$A15416,nCURSO,DATOS!$D15416,nESPEC,DATOS!$E15416,nASIG,DATOS!$I15416,nEVAL,"OR")=0))</f>
      </c>
      <c r="I15416">
        <f>IF(DATOS!$I15416="","",IFERROR(VLOOKUP(DATOS!$I15416,CONFIG_ASIGNATURAS!$B$2:$J$91,9,FALSE()),""))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IF(DATOS!$A15417="",0,IF(CONFIG_METADATA!$B$4&lt;&gt;"OR+EX",--(DATOS!$G15417=CONFIG_METADATA!$B$4),IF(DATOS!$G15417="EX",1,IF(DATOS!$G15417="OR",--(COUNTIFS(nNIA,DATOS!$A15417,nCURSO,DATOS!$D15417,nESPEC,DATOS!$E15417,nASIG,DATOS!$I15417,nEVAL,"EX")=0),0))))</f>
      </c>
      <c r="H15417">
        <f>IF(DATOS!$G15417&lt;&gt;"EX",0,--(COUNTIFS(nNIA,DATOS!$A15417,nCURSO,DATOS!$D15417,nESPEC,DATOS!$E15417,nASIG,DATOS!$I15417,nEVAL,"OR")=0))</f>
      </c>
      <c r="I15417">
        <f>IF(DATOS!$I15417="","",IFERROR(VLOOKUP(DATOS!$I15417,CONFIG_ASIGNATURAS!$B$2:$J$91,9,FALSE()),""))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IF(DATOS!$A15418="",0,IF(CONFIG_METADATA!$B$4&lt;&gt;"OR+EX",--(DATOS!$G15418=CONFIG_METADATA!$B$4),IF(DATOS!$G15418="EX",1,IF(DATOS!$G15418="OR",--(COUNTIFS(nNIA,DATOS!$A15418,nCURSO,DATOS!$D15418,nESPEC,DATOS!$E15418,nASIG,DATOS!$I15418,nEVAL,"EX")=0),0))))</f>
      </c>
      <c r="H15418">
        <f>IF(DATOS!$G15418&lt;&gt;"EX",0,--(COUNTIFS(nNIA,DATOS!$A15418,nCURSO,DATOS!$D15418,nESPEC,DATOS!$E15418,nASIG,DATOS!$I15418,nEVAL,"OR")=0))</f>
      </c>
      <c r="I15418">
        <f>IF(DATOS!$I15418="","",IFERROR(VLOOKUP(DATOS!$I15418,CONFIG_ASIGNATURAS!$B$2:$J$91,9,FALSE()),""))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IF(DATOS!$A15419="",0,IF(CONFIG_METADATA!$B$4&lt;&gt;"OR+EX",--(DATOS!$G15419=CONFIG_METADATA!$B$4),IF(DATOS!$G15419="EX",1,IF(DATOS!$G15419="OR",--(COUNTIFS(nNIA,DATOS!$A15419,nCURSO,DATOS!$D15419,nESPEC,DATOS!$E15419,nASIG,DATOS!$I15419,nEVAL,"EX")=0),0))))</f>
      </c>
      <c r="H15419">
        <f>IF(DATOS!$G15419&lt;&gt;"EX",0,--(COUNTIFS(nNIA,DATOS!$A15419,nCURSO,DATOS!$D15419,nESPEC,DATOS!$E15419,nASIG,DATOS!$I15419,nEVAL,"OR")=0))</f>
      </c>
      <c r="I15419">
        <f>IF(DATOS!$I15419="","",IFERROR(VLOOKUP(DATOS!$I15419,CONFIG_ASIGNATURAS!$B$2:$J$91,9,FALSE()),""))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IF(DATOS!$A15420="",0,IF(CONFIG_METADATA!$B$4&lt;&gt;"OR+EX",--(DATOS!$G15420=CONFIG_METADATA!$B$4),IF(DATOS!$G15420="EX",1,IF(DATOS!$G15420="OR",--(COUNTIFS(nNIA,DATOS!$A15420,nCURSO,DATOS!$D15420,nESPEC,DATOS!$E15420,nASIG,DATOS!$I15420,nEVAL,"EX")=0),0))))</f>
      </c>
      <c r="H15420">
        <f>IF(DATOS!$G15420&lt;&gt;"EX",0,--(COUNTIFS(nNIA,DATOS!$A15420,nCURSO,DATOS!$D15420,nESPEC,DATOS!$E15420,nASIG,DATOS!$I15420,nEVAL,"OR")=0))</f>
      </c>
      <c r="I15420">
        <f>IF(DATOS!$I15420="","",IFERROR(VLOOKUP(DATOS!$I15420,CONFIG_ASIGNATURAS!$B$2:$J$91,9,FALSE()),""))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IF(DATOS!$A15421="",0,IF(CONFIG_METADATA!$B$4&lt;&gt;"OR+EX",--(DATOS!$G15421=CONFIG_METADATA!$B$4),IF(DATOS!$G15421="EX",1,IF(DATOS!$G15421="OR",--(COUNTIFS(nNIA,DATOS!$A15421,nCURSO,DATOS!$D15421,nESPEC,DATOS!$E15421,nASIG,DATOS!$I15421,nEVAL,"EX")=0),0))))</f>
      </c>
      <c r="H15421">
        <f>IF(DATOS!$G15421&lt;&gt;"EX",0,--(COUNTIFS(nNIA,DATOS!$A15421,nCURSO,DATOS!$D15421,nESPEC,DATOS!$E15421,nASIG,DATOS!$I15421,nEVAL,"OR")=0))</f>
      </c>
      <c r="I15421">
        <f>IF(DATOS!$I15421="","",IFERROR(VLOOKUP(DATOS!$I15421,CONFIG_ASIGNATURAS!$B$2:$J$91,9,FALSE()),""))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IF(DATOS!$A15422="",0,IF(CONFIG_METADATA!$B$4&lt;&gt;"OR+EX",--(DATOS!$G15422=CONFIG_METADATA!$B$4),IF(DATOS!$G15422="EX",1,IF(DATOS!$G15422="OR",--(COUNTIFS(nNIA,DATOS!$A15422,nCURSO,DATOS!$D15422,nESPEC,DATOS!$E15422,nASIG,DATOS!$I15422,nEVAL,"EX")=0),0))))</f>
      </c>
      <c r="H15422">
        <f>IF(DATOS!$G15422&lt;&gt;"EX",0,--(COUNTIFS(nNIA,DATOS!$A15422,nCURSO,DATOS!$D15422,nESPEC,DATOS!$E15422,nASIG,DATOS!$I15422,nEVAL,"OR")=0))</f>
      </c>
      <c r="I15422">
        <f>IF(DATOS!$I15422="","",IFERROR(VLOOKUP(DATOS!$I15422,CONFIG_ASIGNATURAS!$B$2:$J$91,9,FALSE()),""))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IF(DATOS!$A15423="",0,IF(CONFIG_METADATA!$B$4&lt;&gt;"OR+EX",--(DATOS!$G15423=CONFIG_METADATA!$B$4),IF(DATOS!$G15423="EX",1,IF(DATOS!$G15423="OR",--(COUNTIFS(nNIA,DATOS!$A15423,nCURSO,DATOS!$D15423,nESPEC,DATOS!$E15423,nASIG,DATOS!$I15423,nEVAL,"EX")=0),0))))</f>
      </c>
      <c r="H15423">
        <f>IF(DATOS!$G15423&lt;&gt;"EX",0,--(COUNTIFS(nNIA,DATOS!$A15423,nCURSO,DATOS!$D15423,nESPEC,DATOS!$E15423,nASIG,DATOS!$I15423,nEVAL,"OR")=0))</f>
      </c>
      <c r="I15423">
        <f>IF(DATOS!$I15423="","",IFERROR(VLOOKUP(DATOS!$I15423,CONFIG_ASIGNATURAS!$B$2:$J$91,9,FALSE()),""))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IF(DATOS!$A15424="",0,IF(CONFIG_METADATA!$B$4&lt;&gt;"OR+EX",--(DATOS!$G15424=CONFIG_METADATA!$B$4),IF(DATOS!$G15424="EX",1,IF(DATOS!$G15424="OR",--(COUNTIFS(nNIA,DATOS!$A15424,nCURSO,DATOS!$D15424,nESPEC,DATOS!$E15424,nASIG,DATOS!$I15424,nEVAL,"EX")=0),0))))</f>
      </c>
      <c r="H15424">
        <f>IF(DATOS!$G15424&lt;&gt;"EX",0,--(COUNTIFS(nNIA,DATOS!$A15424,nCURSO,DATOS!$D15424,nESPEC,DATOS!$E15424,nASIG,DATOS!$I15424,nEVAL,"OR")=0))</f>
      </c>
      <c r="I15424">
        <f>IF(DATOS!$I15424="","",IFERROR(VLOOKUP(DATOS!$I15424,CONFIG_ASIGNATURAS!$B$2:$J$91,9,FALSE()),""))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IF(DATOS!$A15425="",0,IF(CONFIG_METADATA!$B$4&lt;&gt;"OR+EX",--(DATOS!$G15425=CONFIG_METADATA!$B$4),IF(DATOS!$G15425="EX",1,IF(DATOS!$G15425="OR",--(COUNTIFS(nNIA,DATOS!$A15425,nCURSO,DATOS!$D15425,nESPEC,DATOS!$E15425,nASIG,DATOS!$I15425,nEVAL,"EX")=0),0))))</f>
      </c>
      <c r="H15425">
        <f>IF(DATOS!$G15425&lt;&gt;"EX",0,--(COUNTIFS(nNIA,DATOS!$A15425,nCURSO,DATOS!$D15425,nESPEC,DATOS!$E15425,nASIG,DATOS!$I15425,nEVAL,"OR")=0))</f>
      </c>
      <c r="I15425">
        <f>IF(DATOS!$I15425="","",IFERROR(VLOOKUP(DATOS!$I15425,CONFIG_ASIGNATURAS!$B$2:$J$91,9,FALSE()),""))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IF(DATOS!$A15426="",0,IF(CONFIG_METADATA!$B$4&lt;&gt;"OR+EX",--(DATOS!$G15426=CONFIG_METADATA!$B$4),IF(DATOS!$G15426="EX",1,IF(DATOS!$G15426="OR",--(COUNTIFS(nNIA,DATOS!$A15426,nCURSO,DATOS!$D15426,nESPEC,DATOS!$E15426,nASIG,DATOS!$I15426,nEVAL,"EX")=0),0))))</f>
      </c>
      <c r="H15426">
        <f>IF(DATOS!$G15426&lt;&gt;"EX",0,--(COUNTIFS(nNIA,DATOS!$A15426,nCURSO,DATOS!$D15426,nESPEC,DATOS!$E15426,nASIG,DATOS!$I15426,nEVAL,"OR")=0))</f>
      </c>
      <c r="I15426">
        <f>IF(DATOS!$I15426="","",IFERROR(VLOOKUP(DATOS!$I15426,CONFIG_ASIGNATURAS!$B$2:$J$91,9,FALSE()),""))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IF(DATOS!$A15427="",0,IF(CONFIG_METADATA!$B$4&lt;&gt;"OR+EX",--(DATOS!$G15427=CONFIG_METADATA!$B$4),IF(DATOS!$G15427="EX",1,IF(DATOS!$G15427="OR",--(COUNTIFS(nNIA,DATOS!$A15427,nCURSO,DATOS!$D15427,nESPEC,DATOS!$E15427,nASIG,DATOS!$I15427,nEVAL,"EX")=0),0))))</f>
      </c>
      <c r="H15427">
        <f>IF(DATOS!$G15427&lt;&gt;"EX",0,--(COUNTIFS(nNIA,DATOS!$A15427,nCURSO,DATOS!$D15427,nESPEC,DATOS!$E15427,nASIG,DATOS!$I15427,nEVAL,"OR")=0))</f>
      </c>
      <c r="I15427">
        <f>IF(DATOS!$I15427="","",IFERROR(VLOOKUP(DATOS!$I15427,CONFIG_ASIGNATURAS!$B$2:$J$91,9,FALSE()),""))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IF(DATOS!$A15428="",0,IF(CONFIG_METADATA!$B$4&lt;&gt;"OR+EX",--(DATOS!$G15428=CONFIG_METADATA!$B$4),IF(DATOS!$G15428="EX",1,IF(DATOS!$G15428="OR",--(COUNTIFS(nNIA,DATOS!$A15428,nCURSO,DATOS!$D15428,nESPEC,DATOS!$E15428,nASIG,DATOS!$I15428,nEVAL,"EX")=0),0))))</f>
      </c>
      <c r="H15428">
        <f>IF(DATOS!$G15428&lt;&gt;"EX",0,--(COUNTIFS(nNIA,DATOS!$A15428,nCURSO,DATOS!$D15428,nESPEC,DATOS!$E15428,nASIG,DATOS!$I15428,nEVAL,"OR")=0))</f>
      </c>
      <c r="I15428">
        <f>IF(DATOS!$I15428="","",IFERROR(VLOOKUP(DATOS!$I15428,CONFIG_ASIGNATURAS!$B$2:$J$91,9,FALSE()),""))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IF(DATOS!$A15429="",0,IF(CONFIG_METADATA!$B$4&lt;&gt;"OR+EX",--(DATOS!$G15429=CONFIG_METADATA!$B$4),IF(DATOS!$G15429="EX",1,IF(DATOS!$G15429="OR",--(COUNTIFS(nNIA,DATOS!$A15429,nCURSO,DATOS!$D15429,nESPEC,DATOS!$E15429,nASIG,DATOS!$I15429,nEVAL,"EX")=0),0))))</f>
      </c>
      <c r="H15429">
        <f>IF(DATOS!$G15429&lt;&gt;"EX",0,--(COUNTIFS(nNIA,DATOS!$A15429,nCURSO,DATOS!$D15429,nESPEC,DATOS!$E15429,nASIG,DATOS!$I15429,nEVAL,"OR")=0))</f>
      </c>
      <c r="I15429">
        <f>IF(DATOS!$I15429="","",IFERROR(VLOOKUP(DATOS!$I15429,CONFIG_ASIGNATURAS!$B$2:$J$91,9,FALSE()),""))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IF(DATOS!$A15430="",0,IF(CONFIG_METADATA!$B$4&lt;&gt;"OR+EX",--(DATOS!$G15430=CONFIG_METADATA!$B$4),IF(DATOS!$G15430="EX",1,IF(DATOS!$G15430="OR",--(COUNTIFS(nNIA,DATOS!$A15430,nCURSO,DATOS!$D15430,nESPEC,DATOS!$E15430,nASIG,DATOS!$I15430,nEVAL,"EX")=0),0))))</f>
      </c>
      <c r="H15430">
        <f>IF(DATOS!$G15430&lt;&gt;"EX",0,--(COUNTIFS(nNIA,DATOS!$A15430,nCURSO,DATOS!$D15430,nESPEC,DATOS!$E15430,nASIG,DATOS!$I15430,nEVAL,"OR")=0))</f>
      </c>
      <c r="I15430">
        <f>IF(DATOS!$I15430="","",IFERROR(VLOOKUP(DATOS!$I15430,CONFIG_ASIGNATURAS!$B$2:$J$91,9,FALSE()),""))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IF(DATOS!$A15431="",0,IF(CONFIG_METADATA!$B$4&lt;&gt;"OR+EX",--(DATOS!$G15431=CONFIG_METADATA!$B$4),IF(DATOS!$G15431="EX",1,IF(DATOS!$G15431="OR",--(COUNTIFS(nNIA,DATOS!$A15431,nCURSO,DATOS!$D15431,nESPEC,DATOS!$E15431,nASIG,DATOS!$I15431,nEVAL,"EX")=0),0))))</f>
      </c>
      <c r="H15431">
        <f>IF(DATOS!$G15431&lt;&gt;"EX",0,--(COUNTIFS(nNIA,DATOS!$A15431,nCURSO,DATOS!$D15431,nESPEC,DATOS!$E15431,nASIG,DATOS!$I15431,nEVAL,"OR")=0))</f>
      </c>
      <c r="I15431">
        <f>IF(DATOS!$I15431="","",IFERROR(VLOOKUP(DATOS!$I15431,CONFIG_ASIGNATURAS!$B$2:$J$91,9,FALSE()),""))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IF(DATOS!$A15432="",0,IF(CONFIG_METADATA!$B$4&lt;&gt;"OR+EX",--(DATOS!$G15432=CONFIG_METADATA!$B$4),IF(DATOS!$G15432="EX",1,IF(DATOS!$G15432="OR",--(COUNTIFS(nNIA,DATOS!$A15432,nCURSO,DATOS!$D15432,nESPEC,DATOS!$E15432,nASIG,DATOS!$I15432,nEVAL,"EX")=0),0))))</f>
      </c>
      <c r="H15432">
        <f>IF(DATOS!$G15432&lt;&gt;"EX",0,--(COUNTIFS(nNIA,DATOS!$A15432,nCURSO,DATOS!$D15432,nESPEC,DATOS!$E15432,nASIG,DATOS!$I15432,nEVAL,"OR")=0))</f>
      </c>
      <c r="I15432">
        <f>IF(DATOS!$I15432="","",IFERROR(VLOOKUP(DATOS!$I15432,CONFIG_ASIGNATURAS!$B$2:$J$91,9,FALSE()),""))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IF(DATOS!$A15433="",0,IF(CONFIG_METADATA!$B$4&lt;&gt;"OR+EX",--(DATOS!$G15433=CONFIG_METADATA!$B$4),IF(DATOS!$G15433="EX",1,IF(DATOS!$G15433="OR",--(COUNTIFS(nNIA,DATOS!$A15433,nCURSO,DATOS!$D15433,nESPEC,DATOS!$E15433,nASIG,DATOS!$I15433,nEVAL,"EX")=0),0))))</f>
      </c>
      <c r="H15433">
        <f>IF(DATOS!$G15433&lt;&gt;"EX",0,--(COUNTIFS(nNIA,DATOS!$A15433,nCURSO,DATOS!$D15433,nESPEC,DATOS!$E15433,nASIG,DATOS!$I15433,nEVAL,"OR")=0))</f>
      </c>
      <c r="I15433">
        <f>IF(DATOS!$I15433="","",IFERROR(VLOOKUP(DATOS!$I15433,CONFIG_ASIGNATURAS!$B$2:$J$91,9,FALSE()),""))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IF(DATOS!$A15434="",0,IF(CONFIG_METADATA!$B$4&lt;&gt;"OR+EX",--(DATOS!$G15434=CONFIG_METADATA!$B$4),IF(DATOS!$G15434="EX",1,IF(DATOS!$G15434="OR",--(COUNTIFS(nNIA,DATOS!$A15434,nCURSO,DATOS!$D15434,nESPEC,DATOS!$E15434,nASIG,DATOS!$I15434,nEVAL,"EX")=0),0))))</f>
      </c>
      <c r="H15434">
        <f>IF(DATOS!$G15434&lt;&gt;"EX",0,--(COUNTIFS(nNIA,DATOS!$A15434,nCURSO,DATOS!$D15434,nESPEC,DATOS!$E15434,nASIG,DATOS!$I15434,nEVAL,"OR")=0))</f>
      </c>
      <c r="I15434">
        <f>IF(DATOS!$I15434="","",IFERROR(VLOOKUP(DATOS!$I15434,CONFIG_ASIGNATURAS!$B$2:$J$91,9,FALSE()),""))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IF(DATOS!$A15435="",0,IF(CONFIG_METADATA!$B$4&lt;&gt;"OR+EX",--(DATOS!$G15435=CONFIG_METADATA!$B$4),IF(DATOS!$G15435="EX",1,IF(DATOS!$G15435="OR",--(COUNTIFS(nNIA,DATOS!$A15435,nCURSO,DATOS!$D15435,nESPEC,DATOS!$E15435,nASIG,DATOS!$I15435,nEVAL,"EX")=0),0))))</f>
      </c>
      <c r="H15435">
        <f>IF(DATOS!$G15435&lt;&gt;"EX",0,--(COUNTIFS(nNIA,DATOS!$A15435,nCURSO,DATOS!$D15435,nESPEC,DATOS!$E15435,nASIG,DATOS!$I15435,nEVAL,"OR")=0))</f>
      </c>
      <c r="I15435">
        <f>IF(DATOS!$I15435="","",IFERROR(VLOOKUP(DATOS!$I15435,CONFIG_ASIGNATURAS!$B$2:$J$91,9,FALSE()),""))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IF(DATOS!$A15436="",0,IF(CONFIG_METADATA!$B$4&lt;&gt;"OR+EX",--(DATOS!$G15436=CONFIG_METADATA!$B$4),IF(DATOS!$G15436="EX",1,IF(DATOS!$G15436="OR",--(COUNTIFS(nNIA,DATOS!$A15436,nCURSO,DATOS!$D15436,nESPEC,DATOS!$E15436,nASIG,DATOS!$I15436,nEVAL,"EX")=0),0))))</f>
      </c>
      <c r="H15436">
        <f>IF(DATOS!$G15436&lt;&gt;"EX",0,--(COUNTIFS(nNIA,DATOS!$A15436,nCURSO,DATOS!$D15436,nESPEC,DATOS!$E15436,nASIG,DATOS!$I15436,nEVAL,"OR")=0))</f>
      </c>
      <c r="I15436">
        <f>IF(DATOS!$I15436="","",IFERROR(VLOOKUP(DATOS!$I15436,CONFIG_ASIGNATURAS!$B$2:$J$91,9,FALSE()),""))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IF(DATOS!$A15437="",0,IF(CONFIG_METADATA!$B$4&lt;&gt;"OR+EX",--(DATOS!$G15437=CONFIG_METADATA!$B$4),IF(DATOS!$G15437="EX",1,IF(DATOS!$G15437="OR",--(COUNTIFS(nNIA,DATOS!$A15437,nCURSO,DATOS!$D15437,nESPEC,DATOS!$E15437,nASIG,DATOS!$I15437,nEVAL,"EX")=0),0))))</f>
      </c>
      <c r="H15437">
        <f>IF(DATOS!$G15437&lt;&gt;"EX",0,--(COUNTIFS(nNIA,DATOS!$A15437,nCURSO,DATOS!$D15437,nESPEC,DATOS!$E15437,nASIG,DATOS!$I15437,nEVAL,"OR")=0))</f>
      </c>
      <c r="I15437">
        <f>IF(DATOS!$I15437="","",IFERROR(VLOOKUP(DATOS!$I15437,CONFIG_ASIGNATURAS!$B$2:$J$91,9,FALSE()),""))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IF(DATOS!$A15438="",0,IF(CONFIG_METADATA!$B$4&lt;&gt;"OR+EX",--(DATOS!$G15438=CONFIG_METADATA!$B$4),IF(DATOS!$G15438="EX",1,IF(DATOS!$G15438="OR",--(COUNTIFS(nNIA,DATOS!$A15438,nCURSO,DATOS!$D15438,nESPEC,DATOS!$E15438,nASIG,DATOS!$I15438,nEVAL,"EX")=0),0))))</f>
      </c>
      <c r="H15438">
        <f>IF(DATOS!$G15438&lt;&gt;"EX",0,--(COUNTIFS(nNIA,DATOS!$A15438,nCURSO,DATOS!$D15438,nESPEC,DATOS!$E15438,nASIG,DATOS!$I15438,nEVAL,"OR")=0))</f>
      </c>
      <c r="I15438">
        <f>IF(DATOS!$I15438="","",IFERROR(VLOOKUP(DATOS!$I15438,CONFIG_ASIGNATURAS!$B$2:$J$91,9,FALSE()),""))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IF(DATOS!$A15439="",0,IF(CONFIG_METADATA!$B$4&lt;&gt;"OR+EX",--(DATOS!$G15439=CONFIG_METADATA!$B$4),IF(DATOS!$G15439="EX",1,IF(DATOS!$G15439="OR",--(COUNTIFS(nNIA,DATOS!$A15439,nCURSO,DATOS!$D15439,nESPEC,DATOS!$E15439,nASIG,DATOS!$I15439,nEVAL,"EX")=0),0))))</f>
      </c>
      <c r="H15439">
        <f>IF(DATOS!$G15439&lt;&gt;"EX",0,--(COUNTIFS(nNIA,DATOS!$A15439,nCURSO,DATOS!$D15439,nESPEC,DATOS!$E15439,nASIG,DATOS!$I15439,nEVAL,"OR")=0))</f>
      </c>
      <c r="I15439">
        <f>IF(DATOS!$I15439="","",IFERROR(VLOOKUP(DATOS!$I15439,CONFIG_ASIGNATURAS!$B$2:$J$91,9,FALSE()),""))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IF(DATOS!$A15440="",0,IF(CONFIG_METADATA!$B$4&lt;&gt;"OR+EX",--(DATOS!$G15440=CONFIG_METADATA!$B$4),IF(DATOS!$G15440="EX",1,IF(DATOS!$G15440="OR",--(COUNTIFS(nNIA,DATOS!$A15440,nCURSO,DATOS!$D15440,nESPEC,DATOS!$E15440,nASIG,DATOS!$I15440,nEVAL,"EX")=0),0))))</f>
      </c>
      <c r="H15440">
        <f>IF(DATOS!$G15440&lt;&gt;"EX",0,--(COUNTIFS(nNIA,DATOS!$A15440,nCURSO,DATOS!$D15440,nESPEC,DATOS!$E15440,nASIG,DATOS!$I15440,nEVAL,"OR")=0))</f>
      </c>
      <c r="I15440">
        <f>IF(DATOS!$I15440="","",IFERROR(VLOOKUP(DATOS!$I15440,CONFIG_ASIGNATURAS!$B$2:$J$91,9,FALSE()),""))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IF(DATOS!$A15441="",0,IF(CONFIG_METADATA!$B$4&lt;&gt;"OR+EX",--(DATOS!$G15441=CONFIG_METADATA!$B$4),IF(DATOS!$G15441="EX",1,IF(DATOS!$G15441="OR",--(COUNTIFS(nNIA,DATOS!$A15441,nCURSO,DATOS!$D15441,nESPEC,DATOS!$E15441,nASIG,DATOS!$I15441,nEVAL,"EX")=0),0))))</f>
      </c>
      <c r="H15441">
        <f>IF(DATOS!$G15441&lt;&gt;"EX",0,--(COUNTIFS(nNIA,DATOS!$A15441,nCURSO,DATOS!$D15441,nESPEC,DATOS!$E15441,nASIG,DATOS!$I15441,nEVAL,"OR")=0))</f>
      </c>
      <c r="I15441">
        <f>IF(DATOS!$I15441="","",IFERROR(VLOOKUP(DATOS!$I15441,CONFIG_ASIGNATURAS!$B$2:$J$91,9,FALSE()),""))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IF(DATOS!$A15442="",0,IF(CONFIG_METADATA!$B$4&lt;&gt;"OR+EX",--(DATOS!$G15442=CONFIG_METADATA!$B$4),IF(DATOS!$G15442="EX",1,IF(DATOS!$G15442="OR",--(COUNTIFS(nNIA,DATOS!$A15442,nCURSO,DATOS!$D15442,nESPEC,DATOS!$E15442,nASIG,DATOS!$I15442,nEVAL,"EX")=0),0))))</f>
      </c>
      <c r="H15442">
        <f>IF(DATOS!$G15442&lt;&gt;"EX",0,--(COUNTIFS(nNIA,DATOS!$A15442,nCURSO,DATOS!$D15442,nESPEC,DATOS!$E15442,nASIG,DATOS!$I15442,nEVAL,"OR")=0))</f>
      </c>
      <c r="I15442">
        <f>IF(DATOS!$I15442="","",IFERROR(VLOOKUP(DATOS!$I15442,CONFIG_ASIGNATURAS!$B$2:$J$91,9,FALSE()),""))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IF(DATOS!$A15443="",0,IF(CONFIG_METADATA!$B$4&lt;&gt;"OR+EX",--(DATOS!$G15443=CONFIG_METADATA!$B$4),IF(DATOS!$G15443="EX",1,IF(DATOS!$G15443="OR",--(COUNTIFS(nNIA,DATOS!$A15443,nCURSO,DATOS!$D15443,nESPEC,DATOS!$E15443,nASIG,DATOS!$I15443,nEVAL,"EX")=0),0))))</f>
      </c>
      <c r="H15443">
        <f>IF(DATOS!$G15443&lt;&gt;"EX",0,--(COUNTIFS(nNIA,DATOS!$A15443,nCURSO,DATOS!$D15443,nESPEC,DATOS!$E15443,nASIG,DATOS!$I15443,nEVAL,"OR")=0))</f>
      </c>
      <c r="I15443">
        <f>IF(DATOS!$I15443="","",IFERROR(VLOOKUP(DATOS!$I15443,CONFIG_ASIGNATURAS!$B$2:$J$91,9,FALSE()),""))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IF(DATOS!$A15444="",0,IF(CONFIG_METADATA!$B$4&lt;&gt;"OR+EX",--(DATOS!$G15444=CONFIG_METADATA!$B$4),IF(DATOS!$G15444="EX",1,IF(DATOS!$G15444="OR",--(COUNTIFS(nNIA,DATOS!$A15444,nCURSO,DATOS!$D15444,nESPEC,DATOS!$E15444,nASIG,DATOS!$I15444,nEVAL,"EX")=0),0))))</f>
      </c>
      <c r="H15444">
        <f>IF(DATOS!$G15444&lt;&gt;"EX",0,--(COUNTIFS(nNIA,DATOS!$A15444,nCURSO,DATOS!$D15444,nESPEC,DATOS!$E15444,nASIG,DATOS!$I15444,nEVAL,"OR")=0))</f>
      </c>
      <c r="I15444">
        <f>IF(DATOS!$I15444="","",IFERROR(VLOOKUP(DATOS!$I15444,CONFIG_ASIGNATURAS!$B$2:$J$91,9,FALSE()),""))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IF(DATOS!$A15445="",0,IF(CONFIG_METADATA!$B$4&lt;&gt;"OR+EX",--(DATOS!$G15445=CONFIG_METADATA!$B$4),IF(DATOS!$G15445="EX",1,IF(DATOS!$G15445="OR",--(COUNTIFS(nNIA,DATOS!$A15445,nCURSO,DATOS!$D15445,nESPEC,DATOS!$E15445,nASIG,DATOS!$I15445,nEVAL,"EX")=0),0))))</f>
      </c>
      <c r="H15445">
        <f>IF(DATOS!$G15445&lt;&gt;"EX",0,--(COUNTIFS(nNIA,DATOS!$A15445,nCURSO,DATOS!$D15445,nESPEC,DATOS!$E15445,nASIG,DATOS!$I15445,nEVAL,"OR")=0))</f>
      </c>
      <c r="I15445">
        <f>IF(DATOS!$I15445="","",IFERROR(VLOOKUP(DATOS!$I15445,CONFIG_ASIGNATURAS!$B$2:$J$91,9,FALSE()),""))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IF(DATOS!$A15446="",0,IF(CONFIG_METADATA!$B$4&lt;&gt;"OR+EX",--(DATOS!$G15446=CONFIG_METADATA!$B$4),IF(DATOS!$G15446="EX",1,IF(DATOS!$G15446="OR",--(COUNTIFS(nNIA,DATOS!$A15446,nCURSO,DATOS!$D15446,nESPEC,DATOS!$E15446,nASIG,DATOS!$I15446,nEVAL,"EX")=0),0))))</f>
      </c>
      <c r="H15446">
        <f>IF(DATOS!$G15446&lt;&gt;"EX",0,--(COUNTIFS(nNIA,DATOS!$A15446,nCURSO,DATOS!$D15446,nESPEC,DATOS!$E15446,nASIG,DATOS!$I15446,nEVAL,"OR")=0))</f>
      </c>
      <c r="I15446">
        <f>IF(DATOS!$I15446="","",IFERROR(VLOOKUP(DATOS!$I15446,CONFIG_ASIGNATURAS!$B$2:$J$91,9,FALSE()),""))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IF(DATOS!$A15447="",0,IF(CONFIG_METADATA!$B$4&lt;&gt;"OR+EX",--(DATOS!$G15447=CONFIG_METADATA!$B$4),IF(DATOS!$G15447="EX",1,IF(DATOS!$G15447="OR",--(COUNTIFS(nNIA,DATOS!$A15447,nCURSO,DATOS!$D15447,nESPEC,DATOS!$E15447,nASIG,DATOS!$I15447,nEVAL,"EX")=0),0))))</f>
      </c>
      <c r="H15447">
        <f>IF(DATOS!$G15447&lt;&gt;"EX",0,--(COUNTIFS(nNIA,DATOS!$A15447,nCURSO,DATOS!$D15447,nESPEC,DATOS!$E15447,nASIG,DATOS!$I15447,nEVAL,"OR")=0))</f>
      </c>
      <c r="I15447">
        <f>IF(DATOS!$I15447="","",IFERROR(VLOOKUP(DATOS!$I15447,CONFIG_ASIGNATURAS!$B$2:$J$91,9,FALSE()),""))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IF(DATOS!$A15448="",0,IF(CONFIG_METADATA!$B$4&lt;&gt;"OR+EX",--(DATOS!$G15448=CONFIG_METADATA!$B$4),IF(DATOS!$G15448="EX",1,IF(DATOS!$G15448="OR",--(COUNTIFS(nNIA,DATOS!$A15448,nCURSO,DATOS!$D15448,nESPEC,DATOS!$E15448,nASIG,DATOS!$I15448,nEVAL,"EX")=0),0))))</f>
      </c>
      <c r="H15448">
        <f>IF(DATOS!$G15448&lt;&gt;"EX",0,--(COUNTIFS(nNIA,DATOS!$A15448,nCURSO,DATOS!$D15448,nESPEC,DATOS!$E15448,nASIG,DATOS!$I15448,nEVAL,"OR")=0))</f>
      </c>
      <c r="I15448">
        <f>IF(DATOS!$I15448="","",IFERROR(VLOOKUP(DATOS!$I15448,CONFIG_ASIGNATURAS!$B$2:$J$91,9,FALSE()),""))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IF(DATOS!$A15449="",0,IF(CONFIG_METADATA!$B$4&lt;&gt;"OR+EX",--(DATOS!$G15449=CONFIG_METADATA!$B$4),IF(DATOS!$G15449="EX",1,IF(DATOS!$G15449="OR",--(COUNTIFS(nNIA,DATOS!$A15449,nCURSO,DATOS!$D15449,nESPEC,DATOS!$E15449,nASIG,DATOS!$I15449,nEVAL,"EX")=0),0))))</f>
      </c>
      <c r="H15449">
        <f>IF(DATOS!$G15449&lt;&gt;"EX",0,--(COUNTIFS(nNIA,DATOS!$A15449,nCURSO,DATOS!$D15449,nESPEC,DATOS!$E15449,nASIG,DATOS!$I15449,nEVAL,"OR")=0))</f>
      </c>
      <c r="I15449">
        <f>IF(DATOS!$I15449="","",IFERROR(VLOOKUP(DATOS!$I15449,CONFIG_ASIGNATURAS!$B$2:$J$91,9,FALSE()),""))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IF(DATOS!$A15450="",0,IF(CONFIG_METADATA!$B$4&lt;&gt;"OR+EX",--(DATOS!$G15450=CONFIG_METADATA!$B$4),IF(DATOS!$G15450="EX",1,IF(DATOS!$G15450="OR",--(COUNTIFS(nNIA,DATOS!$A15450,nCURSO,DATOS!$D15450,nESPEC,DATOS!$E15450,nASIG,DATOS!$I15450,nEVAL,"EX")=0),0))))</f>
      </c>
      <c r="H15450">
        <f>IF(DATOS!$G15450&lt;&gt;"EX",0,--(COUNTIFS(nNIA,DATOS!$A15450,nCURSO,DATOS!$D15450,nESPEC,DATOS!$E15450,nASIG,DATOS!$I15450,nEVAL,"OR")=0))</f>
      </c>
      <c r="I15450">
        <f>IF(DATOS!$I15450="","",IFERROR(VLOOKUP(DATOS!$I15450,CONFIG_ASIGNATURAS!$B$2:$J$91,9,FALSE()),""))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IF(DATOS!$A15451="",0,IF(CONFIG_METADATA!$B$4&lt;&gt;"OR+EX",--(DATOS!$G15451=CONFIG_METADATA!$B$4),IF(DATOS!$G15451="EX",1,IF(DATOS!$G15451="OR",--(COUNTIFS(nNIA,DATOS!$A15451,nCURSO,DATOS!$D15451,nESPEC,DATOS!$E15451,nASIG,DATOS!$I15451,nEVAL,"EX")=0),0))))</f>
      </c>
      <c r="H15451">
        <f>IF(DATOS!$G15451&lt;&gt;"EX",0,--(COUNTIFS(nNIA,DATOS!$A15451,nCURSO,DATOS!$D15451,nESPEC,DATOS!$E15451,nASIG,DATOS!$I15451,nEVAL,"OR")=0))</f>
      </c>
      <c r="I15451">
        <f>IF(DATOS!$I15451="","",IFERROR(VLOOKUP(DATOS!$I15451,CONFIG_ASIGNATURAS!$B$2:$J$91,9,FALSE()),""))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IF(DATOS!$A15452="",0,IF(CONFIG_METADATA!$B$4&lt;&gt;"OR+EX",--(DATOS!$G15452=CONFIG_METADATA!$B$4),IF(DATOS!$G15452="EX",1,IF(DATOS!$G15452="OR",--(COUNTIFS(nNIA,DATOS!$A15452,nCURSO,DATOS!$D15452,nESPEC,DATOS!$E15452,nASIG,DATOS!$I15452,nEVAL,"EX")=0),0))))</f>
      </c>
      <c r="H15452">
        <f>IF(DATOS!$G15452&lt;&gt;"EX",0,--(COUNTIFS(nNIA,DATOS!$A15452,nCURSO,DATOS!$D15452,nESPEC,DATOS!$E15452,nASIG,DATOS!$I15452,nEVAL,"OR")=0))</f>
      </c>
      <c r="I15452">
        <f>IF(DATOS!$I15452="","",IFERROR(VLOOKUP(DATOS!$I15452,CONFIG_ASIGNATURAS!$B$2:$J$91,9,FALSE()),""))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IF(DATOS!$A15453="",0,IF(CONFIG_METADATA!$B$4&lt;&gt;"OR+EX",--(DATOS!$G15453=CONFIG_METADATA!$B$4),IF(DATOS!$G15453="EX",1,IF(DATOS!$G15453="OR",--(COUNTIFS(nNIA,DATOS!$A15453,nCURSO,DATOS!$D15453,nESPEC,DATOS!$E15453,nASIG,DATOS!$I15453,nEVAL,"EX")=0),0))))</f>
      </c>
      <c r="H15453">
        <f>IF(DATOS!$G15453&lt;&gt;"EX",0,--(COUNTIFS(nNIA,DATOS!$A15453,nCURSO,DATOS!$D15453,nESPEC,DATOS!$E15453,nASIG,DATOS!$I15453,nEVAL,"OR")=0))</f>
      </c>
      <c r="I15453">
        <f>IF(DATOS!$I15453="","",IFERROR(VLOOKUP(DATOS!$I15453,CONFIG_ASIGNATURAS!$B$2:$J$91,9,FALSE()),""))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IF(DATOS!$A15454="",0,IF(CONFIG_METADATA!$B$4&lt;&gt;"OR+EX",--(DATOS!$G15454=CONFIG_METADATA!$B$4),IF(DATOS!$G15454="EX",1,IF(DATOS!$G15454="OR",--(COUNTIFS(nNIA,DATOS!$A15454,nCURSO,DATOS!$D15454,nESPEC,DATOS!$E15454,nASIG,DATOS!$I15454,nEVAL,"EX")=0),0))))</f>
      </c>
      <c r="H15454">
        <f>IF(DATOS!$G15454&lt;&gt;"EX",0,--(COUNTIFS(nNIA,DATOS!$A15454,nCURSO,DATOS!$D15454,nESPEC,DATOS!$E15454,nASIG,DATOS!$I15454,nEVAL,"OR")=0))</f>
      </c>
      <c r="I15454">
        <f>IF(DATOS!$I15454="","",IFERROR(VLOOKUP(DATOS!$I15454,CONFIG_ASIGNATURAS!$B$2:$J$91,9,FALSE()),""))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IF(DATOS!$A15455="",0,IF(CONFIG_METADATA!$B$4&lt;&gt;"OR+EX",--(DATOS!$G15455=CONFIG_METADATA!$B$4),IF(DATOS!$G15455="EX",1,IF(DATOS!$G15455="OR",--(COUNTIFS(nNIA,DATOS!$A15455,nCURSO,DATOS!$D15455,nESPEC,DATOS!$E15455,nASIG,DATOS!$I15455,nEVAL,"EX")=0),0))))</f>
      </c>
      <c r="H15455">
        <f>IF(DATOS!$G15455&lt;&gt;"EX",0,--(COUNTIFS(nNIA,DATOS!$A15455,nCURSO,DATOS!$D15455,nESPEC,DATOS!$E15455,nASIG,DATOS!$I15455,nEVAL,"OR")=0))</f>
      </c>
      <c r="I15455">
        <f>IF(DATOS!$I15455="","",IFERROR(VLOOKUP(DATOS!$I15455,CONFIG_ASIGNATURAS!$B$2:$J$91,9,FALSE()),""))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IF(DATOS!$A15456="",0,IF(CONFIG_METADATA!$B$4&lt;&gt;"OR+EX",--(DATOS!$G15456=CONFIG_METADATA!$B$4),IF(DATOS!$G15456="EX",1,IF(DATOS!$G15456="OR",--(COUNTIFS(nNIA,DATOS!$A15456,nCURSO,DATOS!$D15456,nESPEC,DATOS!$E15456,nASIG,DATOS!$I15456,nEVAL,"EX")=0),0))))</f>
      </c>
      <c r="H15456">
        <f>IF(DATOS!$G15456&lt;&gt;"EX",0,--(COUNTIFS(nNIA,DATOS!$A15456,nCURSO,DATOS!$D15456,nESPEC,DATOS!$E15456,nASIG,DATOS!$I15456,nEVAL,"OR")=0))</f>
      </c>
      <c r="I15456">
        <f>IF(DATOS!$I15456="","",IFERROR(VLOOKUP(DATOS!$I15456,CONFIG_ASIGNATURAS!$B$2:$J$91,9,FALSE()),""))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IF(DATOS!$A15457="",0,IF(CONFIG_METADATA!$B$4&lt;&gt;"OR+EX",--(DATOS!$G15457=CONFIG_METADATA!$B$4),IF(DATOS!$G15457="EX",1,IF(DATOS!$G15457="OR",--(COUNTIFS(nNIA,DATOS!$A15457,nCURSO,DATOS!$D15457,nESPEC,DATOS!$E15457,nASIG,DATOS!$I15457,nEVAL,"EX")=0),0))))</f>
      </c>
      <c r="H15457">
        <f>IF(DATOS!$G15457&lt;&gt;"EX",0,--(COUNTIFS(nNIA,DATOS!$A15457,nCURSO,DATOS!$D15457,nESPEC,DATOS!$E15457,nASIG,DATOS!$I15457,nEVAL,"OR")=0))</f>
      </c>
      <c r="I15457">
        <f>IF(DATOS!$I15457="","",IFERROR(VLOOKUP(DATOS!$I15457,CONFIG_ASIGNATURAS!$B$2:$J$91,9,FALSE()),""))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IF(DATOS!$A15458="",0,IF(CONFIG_METADATA!$B$4&lt;&gt;"OR+EX",--(DATOS!$G15458=CONFIG_METADATA!$B$4),IF(DATOS!$G15458="EX",1,IF(DATOS!$G15458="OR",--(COUNTIFS(nNIA,DATOS!$A15458,nCURSO,DATOS!$D15458,nESPEC,DATOS!$E15458,nASIG,DATOS!$I15458,nEVAL,"EX")=0),0))))</f>
      </c>
      <c r="H15458">
        <f>IF(DATOS!$G15458&lt;&gt;"EX",0,--(COUNTIFS(nNIA,DATOS!$A15458,nCURSO,DATOS!$D15458,nESPEC,DATOS!$E15458,nASIG,DATOS!$I15458,nEVAL,"OR")=0))</f>
      </c>
      <c r="I15458">
        <f>IF(DATOS!$I15458="","",IFERROR(VLOOKUP(DATOS!$I15458,CONFIG_ASIGNATURAS!$B$2:$J$91,9,FALSE()),""))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IF(DATOS!$A15459="",0,IF(CONFIG_METADATA!$B$4&lt;&gt;"OR+EX",--(DATOS!$G15459=CONFIG_METADATA!$B$4),IF(DATOS!$G15459="EX",1,IF(DATOS!$G15459="OR",--(COUNTIFS(nNIA,DATOS!$A15459,nCURSO,DATOS!$D15459,nESPEC,DATOS!$E15459,nASIG,DATOS!$I15459,nEVAL,"EX")=0),0))))</f>
      </c>
      <c r="H15459">
        <f>IF(DATOS!$G15459&lt;&gt;"EX",0,--(COUNTIFS(nNIA,DATOS!$A15459,nCURSO,DATOS!$D15459,nESPEC,DATOS!$E15459,nASIG,DATOS!$I15459,nEVAL,"OR")=0))</f>
      </c>
      <c r="I15459">
        <f>IF(DATOS!$I15459="","",IFERROR(VLOOKUP(DATOS!$I15459,CONFIG_ASIGNATURAS!$B$2:$J$91,9,FALSE()),""))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IF(DATOS!$A15460="",0,IF(CONFIG_METADATA!$B$4&lt;&gt;"OR+EX",--(DATOS!$G15460=CONFIG_METADATA!$B$4),IF(DATOS!$G15460="EX",1,IF(DATOS!$G15460="OR",--(COUNTIFS(nNIA,DATOS!$A15460,nCURSO,DATOS!$D15460,nESPEC,DATOS!$E15460,nASIG,DATOS!$I15460,nEVAL,"EX")=0),0))))</f>
      </c>
      <c r="H15460">
        <f>IF(DATOS!$G15460&lt;&gt;"EX",0,--(COUNTIFS(nNIA,DATOS!$A15460,nCURSO,DATOS!$D15460,nESPEC,DATOS!$E15460,nASIG,DATOS!$I15460,nEVAL,"OR")=0))</f>
      </c>
      <c r="I15460">
        <f>IF(DATOS!$I15460="","",IFERROR(VLOOKUP(DATOS!$I15460,CONFIG_ASIGNATURAS!$B$2:$J$91,9,FALSE()),""))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IF(DATOS!$A15461="",0,IF(CONFIG_METADATA!$B$4&lt;&gt;"OR+EX",--(DATOS!$G15461=CONFIG_METADATA!$B$4),IF(DATOS!$G15461="EX",1,IF(DATOS!$G15461="OR",--(COUNTIFS(nNIA,DATOS!$A15461,nCURSO,DATOS!$D15461,nESPEC,DATOS!$E15461,nASIG,DATOS!$I15461,nEVAL,"EX")=0),0))))</f>
      </c>
      <c r="H15461">
        <f>IF(DATOS!$G15461&lt;&gt;"EX",0,--(COUNTIFS(nNIA,DATOS!$A15461,nCURSO,DATOS!$D15461,nESPEC,DATOS!$E15461,nASIG,DATOS!$I15461,nEVAL,"OR")=0))</f>
      </c>
      <c r="I15461">
        <f>IF(DATOS!$I15461="","",IFERROR(VLOOKUP(DATOS!$I15461,CONFIG_ASIGNATURAS!$B$2:$J$91,9,FALSE()),""))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IF(DATOS!$A15462="",0,IF(CONFIG_METADATA!$B$4&lt;&gt;"OR+EX",--(DATOS!$G15462=CONFIG_METADATA!$B$4),IF(DATOS!$G15462="EX",1,IF(DATOS!$G15462="OR",--(COUNTIFS(nNIA,DATOS!$A15462,nCURSO,DATOS!$D15462,nESPEC,DATOS!$E15462,nASIG,DATOS!$I15462,nEVAL,"EX")=0),0))))</f>
      </c>
      <c r="H15462">
        <f>IF(DATOS!$G15462&lt;&gt;"EX",0,--(COUNTIFS(nNIA,DATOS!$A15462,nCURSO,DATOS!$D15462,nESPEC,DATOS!$E15462,nASIG,DATOS!$I15462,nEVAL,"OR")=0))</f>
      </c>
      <c r="I15462">
        <f>IF(DATOS!$I15462="","",IFERROR(VLOOKUP(DATOS!$I15462,CONFIG_ASIGNATURAS!$B$2:$J$91,9,FALSE()),""))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IF(DATOS!$A15463="",0,IF(CONFIG_METADATA!$B$4&lt;&gt;"OR+EX",--(DATOS!$G15463=CONFIG_METADATA!$B$4),IF(DATOS!$G15463="EX",1,IF(DATOS!$G15463="OR",--(COUNTIFS(nNIA,DATOS!$A15463,nCURSO,DATOS!$D15463,nESPEC,DATOS!$E15463,nASIG,DATOS!$I15463,nEVAL,"EX")=0),0))))</f>
      </c>
      <c r="H15463">
        <f>IF(DATOS!$G15463&lt;&gt;"EX",0,--(COUNTIFS(nNIA,DATOS!$A15463,nCURSO,DATOS!$D15463,nESPEC,DATOS!$E15463,nASIG,DATOS!$I15463,nEVAL,"OR")=0))</f>
      </c>
      <c r="I15463">
        <f>IF(DATOS!$I15463="","",IFERROR(VLOOKUP(DATOS!$I15463,CONFIG_ASIGNATURAS!$B$2:$J$91,9,FALSE()),""))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IF(DATOS!$A15464="",0,IF(CONFIG_METADATA!$B$4&lt;&gt;"OR+EX",--(DATOS!$G15464=CONFIG_METADATA!$B$4),IF(DATOS!$G15464="EX",1,IF(DATOS!$G15464="OR",--(COUNTIFS(nNIA,DATOS!$A15464,nCURSO,DATOS!$D15464,nESPEC,DATOS!$E15464,nASIG,DATOS!$I15464,nEVAL,"EX")=0),0))))</f>
      </c>
      <c r="H15464">
        <f>IF(DATOS!$G15464&lt;&gt;"EX",0,--(COUNTIFS(nNIA,DATOS!$A15464,nCURSO,DATOS!$D15464,nESPEC,DATOS!$E15464,nASIG,DATOS!$I15464,nEVAL,"OR")=0))</f>
      </c>
      <c r="I15464">
        <f>IF(DATOS!$I15464="","",IFERROR(VLOOKUP(DATOS!$I15464,CONFIG_ASIGNATURAS!$B$2:$J$91,9,FALSE()),""))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IF(DATOS!$A15465="",0,IF(CONFIG_METADATA!$B$4&lt;&gt;"OR+EX",--(DATOS!$G15465=CONFIG_METADATA!$B$4),IF(DATOS!$G15465="EX",1,IF(DATOS!$G15465="OR",--(COUNTIFS(nNIA,DATOS!$A15465,nCURSO,DATOS!$D15465,nESPEC,DATOS!$E15465,nASIG,DATOS!$I15465,nEVAL,"EX")=0),0))))</f>
      </c>
      <c r="H15465">
        <f>IF(DATOS!$G15465&lt;&gt;"EX",0,--(COUNTIFS(nNIA,DATOS!$A15465,nCURSO,DATOS!$D15465,nESPEC,DATOS!$E15465,nASIG,DATOS!$I15465,nEVAL,"OR")=0))</f>
      </c>
      <c r="I15465">
        <f>IF(DATOS!$I15465="","",IFERROR(VLOOKUP(DATOS!$I15465,CONFIG_ASIGNATURAS!$B$2:$J$91,9,FALSE()),""))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IF(DATOS!$A15466="",0,IF(CONFIG_METADATA!$B$4&lt;&gt;"OR+EX",--(DATOS!$G15466=CONFIG_METADATA!$B$4),IF(DATOS!$G15466="EX",1,IF(DATOS!$G15466="OR",--(COUNTIFS(nNIA,DATOS!$A15466,nCURSO,DATOS!$D15466,nESPEC,DATOS!$E15466,nASIG,DATOS!$I15466,nEVAL,"EX")=0),0))))</f>
      </c>
      <c r="H15466">
        <f>IF(DATOS!$G15466&lt;&gt;"EX",0,--(COUNTIFS(nNIA,DATOS!$A15466,nCURSO,DATOS!$D15466,nESPEC,DATOS!$E15466,nASIG,DATOS!$I15466,nEVAL,"OR")=0))</f>
      </c>
      <c r="I15466">
        <f>IF(DATOS!$I15466="","",IFERROR(VLOOKUP(DATOS!$I15466,CONFIG_ASIGNATURAS!$B$2:$J$91,9,FALSE()),""))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IF(DATOS!$A15467="",0,IF(CONFIG_METADATA!$B$4&lt;&gt;"OR+EX",--(DATOS!$G15467=CONFIG_METADATA!$B$4),IF(DATOS!$G15467="EX",1,IF(DATOS!$G15467="OR",--(COUNTIFS(nNIA,DATOS!$A15467,nCURSO,DATOS!$D15467,nESPEC,DATOS!$E15467,nASIG,DATOS!$I15467,nEVAL,"EX")=0),0))))</f>
      </c>
      <c r="H15467">
        <f>IF(DATOS!$G15467&lt;&gt;"EX",0,--(COUNTIFS(nNIA,DATOS!$A15467,nCURSO,DATOS!$D15467,nESPEC,DATOS!$E15467,nASIG,DATOS!$I15467,nEVAL,"OR")=0))</f>
      </c>
      <c r="I15467">
        <f>IF(DATOS!$I15467="","",IFERROR(VLOOKUP(DATOS!$I15467,CONFIG_ASIGNATURAS!$B$2:$J$91,9,FALSE()),""))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IF(DATOS!$A15468="",0,IF(CONFIG_METADATA!$B$4&lt;&gt;"OR+EX",--(DATOS!$G15468=CONFIG_METADATA!$B$4),IF(DATOS!$G15468="EX",1,IF(DATOS!$G15468="OR",--(COUNTIFS(nNIA,DATOS!$A15468,nCURSO,DATOS!$D15468,nESPEC,DATOS!$E15468,nASIG,DATOS!$I15468,nEVAL,"EX")=0),0))))</f>
      </c>
      <c r="H15468">
        <f>IF(DATOS!$G15468&lt;&gt;"EX",0,--(COUNTIFS(nNIA,DATOS!$A15468,nCURSO,DATOS!$D15468,nESPEC,DATOS!$E15468,nASIG,DATOS!$I15468,nEVAL,"OR")=0))</f>
      </c>
      <c r="I15468">
        <f>IF(DATOS!$I15468="","",IFERROR(VLOOKUP(DATOS!$I15468,CONFIG_ASIGNATURAS!$B$2:$J$91,9,FALSE()),""))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IF(DATOS!$A15469="",0,IF(CONFIG_METADATA!$B$4&lt;&gt;"OR+EX",--(DATOS!$G15469=CONFIG_METADATA!$B$4),IF(DATOS!$G15469="EX",1,IF(DATOS!$G15469="OR",--(COUNTIFS(nNIA,DATOS!$A15469,nCURSO,DATOS!$D15469,nESPEC,DATOS!$E15469,nASIG,DATOS!$I15469,nEVAL,"EX")=0),0))))</f>
      </c>
      <c r="H15469">
        <f>IF(DATOS!$G15469&lt;&gt;"EX",0,--(COUNTIFS(nNIA,DATOS!$A15469,nCURSO,DATOS!$D15469,nESPEC,DATOS!$E15469,nASIG,DATOS!$I15469,nEVAL,"OR")=0))</f>
      </c>
      <c r="I15469">
        <f>IF(DATOS!$I15469="","",IFERROR(VLOOKUP(DATOS!$I15469,CONFIG_ASIGNATURAS!$B$2:$J$91,9,FALSE()),""))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IF(DATOS!$A15470="",0,IF(CONFIG_METADATA!$B$4&lt;&gt;"OR+EX",--(DATOS!$G15470=CONFIG_METADATA!$B$4),IF(DATOS!$G15470="EX",1,IF(DATOS!$G15470="OR",--(COUNTIFS(nNIA,DATOS!$A15470,nCURSO,DATOS!$D15470,nESPEC,DATOS!$E15470,nASIG,DATOS!$I15470,nEVAL,"EX")=0),0))))</f>
      </c>
      <c r="H15470">
        <f>IF(DATOS!$G15470&lt;&gt;"EX",0,--(COUNTIFS(nNIA,DATOS!$A15470,nCURSO,DATOS!$D15470,nESPEC,DATOS!$E15470,nASIG,DATOS!$I15470,nEVAL,"OR")=0))</f>
      </c>
      <c r="I15470">
        <f>IF(DATOS!$I15470="","",IFERROR(VLOOKUP(DATOS!$I15470,CONFIG_ASIGNATURAS!$B$2:$J$91,9,FALSE()),""))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IF(DATOS!$A15471="",0,IF(CONFIG_METADATA!$B$4&lt;&gt;"OR+EX",--(DATOS!$G15471=CONFIG_METADATA!$B$4),IF(DATOS!$G15471="EX",1,IF(DATOS!$G15471="OR",--(COUNTIFS(nNIA,DATOS!$A15471,nCURSO,DATOS!$D15471,nESPEC,DATOS!$E15471,nASIG,DATOS!$I15471,nEVAL,"EX")=0),0))))</f>
      </c>
      <c r="H15471">
        <f>IF(DATOS!$G15471&lt;&gt;"EX",0,--(COUNTIFS(nNIA,DATOS!$A15471,nCURSO,DATOS!$D15471,nESPEC,DATOS!$E15471,nASIG,DATOS!$I15471,nEVAL,"OR")=0))</f>
      </c>
      <c r="I15471">
        <f>IF(DATOS!$I15471="","",IFERROR(VLOOKUP(DATOS!$I15471,CONFIG_ASIGNATURAS!$B$2:$J$91,9,FALSE()),""))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IF(DATOS!$A15472="",0,IF(CONFIG_METADATA!$B$4&lt;&gt;"OR+EX",--(DATOS!$G15472=CONFIG_METADATA!$B$4),IF(DATOS!$G15472="EX",1,IF(DATOS!$G15472="OR",--(COUNTIFS(nNIA,DATOS!$A15472,nCURSO,DATOS!$D15472,nESPEC,DATOS!$E15472,nASIG,DATOS!$I15472,nEVAL,"EX")=0),0))))</f>
      </c>
      <c r="H15472">
        <f>IF(DATOS!$G15472&lt;&gt;"EX",0,--(COUNTIFS(nNIA,DATOS!$A15472,nCURSO,DATOS!$D15472,nESPEC,DATOS!$E15472,nASIG,DATOS!$I15472,nEVAL,"OR")=0))</f>
      </c>
      <c r="I15472">
        <f>IF(DATOS!$I15472="","",IFERROR(VLOOKUP(DATOS!$I15472,CONFIG_ASIGNATURAS!$B$2:$J$91,9,FALSE()),""))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IF(DATOS!$A15473="",0,IF(CONFIG_METADATA!$B$4&lt;&gt;"OR+EX",--(DATOS!$G15473=CONFIG_METADATA!$B$4),IF(DATOS!$G15473="EX",1,IF(DATOS!$G15473="OR",--(COUNTIFS(nNIA,DATOS!$A15473,nCURSO,DATOS!$D15473,nESPEC,DATOS!$E15473,nASIG,DATOS!$I15473,nEVAL,"EX")=0),0))))</f>
      </c>
      <c r="H15473">
        <f>IF(DATOS!$G15473&lt;&gt;"EX",0,--(COUNTIFS(nNIA,DATOS!$A15473,nCURSO,DATOS!$D15473,nESPEC,DATOS!$E15473,nASIG,DATOS!$I15473,nEVAL,"OR")=0))</f>
      </c>
      <c r="I15473">
        <f>IF(DATOS!$I15473="","",IFERROR(VLOOKUP(DATOS!$I15473,CONFIG_ASIGNATURAS!$B$2:$J$91,9,FALSE()),""))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IF(DATOS!$A15474="",0,IF(CONFIG_METADATA!$B$4&lt;&gt;"OR+EX",--(DATOS!$G15474=CONFIG_METADATA!$B$4),IF(DATOS!$G15474="EX",1,IF(DATOS!$G15474="OR",--(COUNTIFS(nNIA,DATOS!$A15474,nCURSO,DATOS!$D15474,nESPEC,DATOS!$E15474,nASIG,DATOS!$I15474,nEVAL,"EX")=0),0))))</f>
      </c>
      <c r="H15474">
        <f>IF(DATOS!$G15474&lt;&gt;"EX",0,--(COUNTIFS(nNIA,DATOS!$A15474,nCURSO,DATOS!$D15474,nESPEC,DATOS!$E15474,nASIG,DATOS!$I15474,nEVAL,"OR")=0))</f>
      </c>
      <c r="I15474">
        <f>IF(DATOS!$I15474="","",IFERROR(VLOOKUP(DATOS!$I15474,CONFIG_ASIGNATURAS!$B$2:$J$91,9,FALSE()),""))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IF(DATOS!$A15475="",0,IF(CONFIG_METADATA!$B$4&lt;&gt;"OR+EX",--(DATOS!$G15475=CONFIG_METADATA!$B$4),IF(DATOS!$G15475="EX",1,IF(DATOS!$G15475="OR",--(COUNTIFS(nNIA,DATOS!$A15475,nCURSO,DATOS!$D15475,nESPEC,DATOS!$E15475,nASIG,DATOS!$I15475,nEVAL,"EX")=0),0))))</f>
      </c>
      <c r="H15475">
        <f>IF(DATOS!$G15475&lt;&gt;"EX",0,--(COUNTIFS(nNIA,DATOS!$A15475,nCURSO,DATOS!$D15475,nESPEC,DATOS!$E15475,nASIG,DATOS!$I15475,nEVAL,"OR")=0))</f>
      </c>
      <c r="I15475">
        <f>IF(DATOS!$I15475="","",IFERROR(VLOOKUP(DATOS!$I15475,CONFIG_ASIGNATURAS!$B$2:$J$91,9,FALSE()),""))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IF(DATOS!$A15476="",0,IF(CONFIG_METADATA!$B$4&lt;&gt;"OR+EX",--(DATOS!$G15476=CONFIG_METADATA!$B$4),IF(DATOS!$G15476="EX",1,IF(DATOS!$G15476="OR",--(COUNTIFS(nNIA,DATOS!$A15476,nCURSO,DATOS!$D15476,nESPEC,DATOS!$E15476,nASIG,DATOS!$I15476,nEVAL,"EX")=0),0))))</f>
      </c>
      <c r="H15476">
        <f>IF(DATOS!$G15476&lt;&gt;"EX",0,--(COUNTIFS(nNIA,DATOS!$A15476,nCURSO,DATOS!$D15476,nESPEC,DATOS!$E15476,nASIG,DATOS!$I15476,nEVAL,"OR")=0))</f>
      </c>
      <c r="I15476">
        <f>IF(DATOS!$I15476="","",IFERROR(VLOOKUP(DATOS!$I15476,CONFIG_ASIGNATURAS!$B$2:$J$91,9,FALSE()),""))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IF(DATOS!$A15477="",0,IF(CONFIG_METADATA!$B$4&lt;&gt;"OR+EX",--(DATOS!$G15477=CONFIG_METADATA!$B$4),IF(DATOS!$G15477="EX",1,IF(DATOS!$G15477="OR",--(COUNTIFS(nNIA,DATOS!$A15477,nCURSO,DATOS!$D15477,nESPEC,DATOS!$E15477,nASIG,DATOS!$I15477,nEVAL,"EX")=0),0))))</f>
      </c>
      <c r="H15477">
        <f>IF(DATOS!$G15477&lt;&gt;"EX",0,--(COUNTIFS(nNIA,DATOS!$A15477,nCURSO,DATOS!$D15477,nESPEC,DATOS!$E15477,nASIG,DATOS!$I15477,nEVAL,"OR")=0))</f>
      </c>
      <c r="I15477">
        <f>IF(DATOS!$I15477="","",IFERROR(VLOOKUP(DATOS!$I15477,CONFIG_ASIGNATURAS!$B$2:$J$91,9,FALSE()),""))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IF(DATOS!$A15478="",0,IF(CONFIG_METADATA!$B$4&lt;&gt;"OR+EX",--(DATOS!$G15478=CONFIG_METADATA!$B$4),IF(DATOS!$G15478="EX",1,IF(DATOS!$G15478="OR",--(COUNTIFS(nNIA,DATOS!$A15478,nCURSO,DATOS!$D15478,nESPEC,DATOS!$E15478,nASIG,DATOS!$I15478,nEVAL,"EX")=0),0))))</f>
      </c>
      <c r="H15478">
        <f>IF(DATOS!$G15478&lt;&gt;"EX",0,--(COUNTIFS(nNIA,DATOS!$A15478,nCURSO,DATOS!$D15478,nESPEC,DATOS!$E15478,nASIG,DATOS!$I15478,nEVAL,"OR")=0))</f>
      </c>
      <c r="I15478">
        <f>IF(DATOS!$I15478="","",IFERROR(VLOOKUP(DATOS!$I15478,CONFIG_ASIGNATURAS!$B$2:$J$91,9,FALSE()),""))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IF(DATOS!$A15479="",0,IF(CONFIG_METADATA!$B$4&lt;&gt;"OR+EX",--(DATOS!$G15479=CONFIG_METADATA!$B$4),IF(DATOS!$G15479="EX",1,IF(DATOS!$G15479="OR",--(COUNTIFS(nNIA,DATOS!$A15479,nCURSO,DATOS!$D15479,nESPEC,DATOS!$E15479,nASIG,DATOS!$I15479,nEVAL,"EX")=0),0))))</f>
      </c>
      <c r="H15479">
        <f>IF(DATOS!$G15479&lt;&gt;"EX",0,--(COUNTIFS(nNIA,DATOS!$A15479,nCURSO,DATOS!$D15479,nESPEC,DATOS!$E15479,nASIG,DATOS!$I15479,nEVAL,"OR")=0))</f>
      </c>
      <c r="I15479">
        <f>IF(DATOS!$I15479="","",IFERROR(VLOOKUP(DATOS!$I15479,CONFIG_ASIGNATURAS!$B$2:$J$91,9,FALSE()),""))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IF(DATOS!$A15480="",0,IF(CONFIG_METADATA!$B$4&lt;&gt;"OR+EX",--(DATOS!$G15480=CONFIG_METADATA!$B$4),IF(DATOS!$G15480="EX",1,IF(DATOS!$G15480="OR",--(COUNTIFS(nNIA,DATOS!$A15480,nCURSO,DATOS!$D15480,nESPEC,DATOS!$E15480,nASIG,DATOS!$I15480,nEVAL,"EX")=0),0))))</f>
      </c>
      <c r="H15480">
        <f>IF(DATOS!$G15480&lt;&gt;"EX",0,--(COUNTIFS(nNIA,DATOS!$A15480,nCURSO,DATOS!$D15480,nESPEC,DATOS!$E15480,nASIG,DATOS!$I15480,nEVAL,"OR")=0))</f>
      </c>
      <c r="I15480">
        <f>IF(DATOS!$I15480="","",IFERROR(VLOOKUP(DATOS!$I15480,CONFIG_ASIGNATURAS!$B$2:$J$91,9,FALSE()),""))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IF(DATOS!$A15481="",0,IF(CONFIG_METADATA!$B$4&lt;&gt;"OR+EX",--(DATOS!$G15481=CONFIG_METADATA!$B$4),IF(DATOS!$G15481="EX",1,IF(DATOS!$G15481="OR",--(COUNTIFS(nNIA,DATOS!$A15481,nCURSO,DATOS!$D15481,nESPEC,DATOS!$E15481,nASIG,DATOS!$I15481,nEVAL,"EX")=0),0))))</f>
      </c>
      <c r="H15481">
        <f>IF(DATOS!$G15481&lt;&gt;"EX",0,--(COUNTIFS(nNIA,DATOS!$A15481,nCURSO,DATOS!$D15481,nESPEC,DATOS!$E15481,nASIG,DATOS!$I15481,nEVAL,"OR")=0))</f>
      </c>
      <c r="I15481">
        <f>IF(DATOS!$I15481="","",IFERROR(VLOOKUP(DATOS!$I15481,CONFIG_ASIGNATURAS!$B$2:$J$91,9,FALSE()),""))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IF(DATOS!$A15482="",0,IF(CONFIG_METADATA!$B$4&lt;&gt;"OR+EX",--(DATOS!$G15482=CONFIG_METADATA!$B$4),IF(DATOS!$G15482="EX",1,IF(DATOS!$G15482="OR",--(COUNTIFS(nNIA,DATOS!$A15482,nCURSO,DATOS!$D15482,nESPEC,DATOS!$E15482,nASIG,DATOS!$I15482,nEVAL,"EX")=0),0))))</f>
      </c>
      <c r="H15482">
        <f>IF(DATOS!$G15482&lt;&gt;"EX",0,--(COUNTIFS(nNIA,DATOS!$A15482,nCURSO,DATOS!$D15482,nESPEC,DATOS!$E15482,nASIG,DATOS!$I15482,nEVAL,"OR")=0))</f>
      </c>
      <c r="I15482">
        <f>IF(DATOS!$I15482="","",IFERROR(VLOOKUP(DATOS!$I15482,CONFIG_ASIGNATURAS!$B$2:$J$91,9,FALSE()),""))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IF(DATOS!$A15483="",0,IF(CONFIG_METADATA!$B$4&lt;&gt;"OR+EX",--(DATOS!$G15483=CONFIG_METADATA!$B$4),IF(DATOS!$G15483="EX",1,IF(DATOS!$G15483="OR",--(COUNTIFS(nNIA,DATOS!$A15483,nCURSO,DATOS!$D15483,nESPEC,DATOS!$E15483,nASIG,DATOS!$I15483,nEVAL,"EX")=0),0))))</f>
      </c>
      <c r="H15483">
        <f>IF(DATOS!$G15483&lt;&gt;"EX",0,--(COUNTIFS(nNIA,DATOS!$A15483,nCURSO,DATOS!$D15483,nESPEC,DATOS!$E15483,nASIG,DATOS!$I15483,nEVAL,"OR")=0))</f>
      </c>
      <c r="I15483">
        <f>IF(DATOS!$I15483="","",IFERROR(VLOOKUP(DATOS!$I15483,CONFIG_ASIGNATURAS!$B$2:$J$91,9,FALSE()),""))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IF(DATOS!$A15484="",0,IF(CONFIG_METADATA!$B$4&lt;&gt;"OR+EX",--(DATOS!$G15484=CONFIG_METADATA!$B$4),IF(DATOS!$G15484="EX",1,IF(DATOS!$G15484="OR",--(COUNTIFS(nNIA,DATOS!$A15484,nCURSO,DATOS!$D15484,nESPEC,DATOS!$E15484,nASIG,DATOS!$I15484,nEVAL,"EX")=0),0))))</f>
      </c>
      <c r="H15484">
        <f>IF(DATOS!$G15484&lt;&gt;"EX",0,--(COUNTIFS(nNIA,DATOS!$A15484,nCURSO,DATOS!$D15484,nESPEC,DATOS!$E15484,nASIG,DATOS!$I15484,nEVAL,"OR")=0))</f>
      </c>
      <c r="I15484">
        <f>IF(DATOS!$I15484="","",IFERROR(VLOOKUP(DATOS!$I15484,CONFIG_ASIGNATURAS!$B$2:$J$91,9,FALSE()),""))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IF(DATOS!$A15485="",0,IF(CONFIG_METADATA!$B$4&lt;&gt;"OR+EX",--(DATOS!$G15485=CONFIG_METADATA!$B$4),IF(DATOS!$G15485="EX",1,IF(DATOS!$G15485="OR",--(COUNTIFS(nNIA,DATOS!$A15485,nCURSO,DATOS!$D15485,nESPEC,DATOS!$E15485,nASIG,DATOS!$I15485,nEVAL,"EX")=0),0))))</f>
      </c>
      <c r="H15485">
        <f>IF(DATOS!$G15485&lt;&gt;"EX",0,--(COUNTIFS(nNIA,DATOS!$A15485,nCURSO,DATOS!$D15485,nESPEC,DATOS!$E15485,nASIG,DATOS!$I15485,nEVAL,"OR")=0))</f>
      </c>
      <c r="I15485">
        <f>IF(DATOS!$I15485="","",IFERROR(VLOOKUP(DATOS!$I15485,CONFIG_ASIGNATURAS!$B$2:$J$91,9,FALSE()),""))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IF(DATOS!$A15486="",0,IF(CONFIG_METADATA!$B$4&lt;&gt;"OR+EX",--(DATOS!$G15486=CONFIG_METADATA!$B$4),IF(DATOS!$G15486="EX",1,IF(DATOS!$G15486="OR",--(COUNTIFS(nNIA,DATOS!$A15486,nCURSO,DATOS!$D15486,nESPEC,DATOS!$E15486,nASIG,DATOS!$I15486,nEVAL,"EX")=0),0))))</f>
      </c>
      <c r="H15486">
        <f>IF(DATOS!$G15486&lt;&gt;"EX",0,--(COUNTIFS(nNIA,DATOS!$A15486,nCURSO,DATOS!$D15486,nESPEC,DATOS!$E15486,nASIG,DATOS!$I15486,nEVAL,"OR")=0))</f>
      </c>
      <c r="I15486">
        <f>IF(DATOS!$I15486="","",IFERROR(VLOOKUP(DATOS!$I15486,CONFIG_ASIGNATURAS!$B$2:$J$91,9,FALSE()),""))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IF(DATOS!$A15487="",0,IF(CONFIG_METADATA!$B$4&lt;&gt;"OR+EX",--(DATOS!$G15487=CONFIG_METADATA!$B$4),IF(DATOS!$G15487="EX",1,IF(DATOS!$G15487="OR",--(COUNTIFS(nNIA,DATOS!$A15487,nCURSO,DATOS!$D15487,nESPEC,DATOS!$E15487,nASIG,DATOS!$I15487,nEVAL,"EX")=0),0))))</f>
      </c>
      <c r="H15487">
        <f>IF(DATOS!$G15487&lt;&gt;"EX",0,--(COUNTIFS(nNIA,DATOS!$A15487,nCURSO,DATOS!$D15487,nESPEC,DATOS!$E15487,nASIG,DATOS!$I15487,nEVAL,"OR")=0))</f>
      </c>
      <c r="I15487">
        <f>IF(DATOS!$I15487="","",IFERROR(VLOOKUP(DATOS!$I15487,CONFIG_ASIGNATURAS!$B$2:$J$91,9,FALSE()),""))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IF(DATOS!$A15488="",0,IF(CONFIG_METADATA!$B$4&lt;&gt;"OR+EX",--(DATOS!$G15488=CONFIG_METADATA!$B$4),IF(DATOS!$G15488="EX",1,IF(DATOS!$G15488="OR",--(COUNTIFS(nNIA,DATOS!$A15488,nCURSO,DATOS!$D15488,nESPEC,DATOS!$E15488,nASIG,DATOS!$I15488,nEVAL,"EX")=0),0))))</f>
      </c>
      <c r="H15488">
        <f>IF(DATOS!$G15488&lt;&gt;"EX",0,--(COUNTIFS(nNIA,DATOS!$A15488,nCURSO,DATOS!$D15488,nESPEC,DATOS!$E15488,nASIG,DATOS!$I15488,nEVAL,"OR")=0))</f>
      </c>
      <c r="I15488">
        <f>IF(DATOS!$I15488="","",IFERROR(VLOOKUP(DATOS!$I15488,CONFIG_ASIGNATURAS!$B$2:$J$91,9,FALSE()),""))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IF(DATOS!$A15489="",0,IF(CONFIG_METADATA!$B$4&lt;&gt;"OR+EX",--(DATOS!$G15489=CONFIG_METADATA!$B$4),IF(DATOS!$G15489="EX",1,IF(DATOS!$G15489="OR",--(COUNTIFS(nNIA,DATOS!$A15489,nCURSO,DATOS!$D15489,nESPEC,DATOS!$E15489,nASIG,DATOS!$I15489,nEVAL,"EX")=0),0))))</f>
      </c>
      <c r="H15489">
        <f>IF(DATOS!$G15489&lt;&gt;"EX",0,--(COUNTIFS(nNIA,DATOS!$A15489,nCURSO,DATOS!$D15489,nESPEC,DATOS!$E15489,nASIG,DATOS!$I15489,nEVAL,"OR")=0))</f>
      </c>
      <c r="I15489">
        <f>IF(DATOS!$I15489="","",IFERROR(VLOOKUP(DATOS!$I15489,CONFIG_ASIGNATURAS!$B$2:$J$91,9,FALSE()),""))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IF(DATOS!$A15490="",0,IF(CONFIG_METADATA!$B$4&lt;&gt;"OR+EX",--(DATOS!$G15490=CONFIG_METADATA!$B$4),IF(DATOS!$G15490="EX",1,IF(DATOS!$G15490="OR",--(COUNTIFS(nNIA,DATOS!$A15490,nCURSO,DATOS!$D15490,nESPEC,DATOS!$E15490,nASIG,DATOS!$I15490,nEVAL,"EX")=0),0))))</f>
      </c>
      <c r="H15490">
        <f>IF(DATOS!$G15490&lt;&gt;"EX",0,--(COUNTIFS(nNIA,DATOS!$A15490,nCURSO,DATOS!$D15490,nESPEC,DATOS!$E15490,nASIG,DATOS!$I15490,nEVAL,"OR")=0))</f>
      </c>
      <c r="I15490">
        <f>IF(DATOS!$I15490="","",IFERROR(VLOOKUP(DATOS!$I15490,CONFIG_ASIGNATURAS!$B$2:$J$91,9,FALSE()),""))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IF(DATOS!$A15491="",0,IF(CONFIG_METADATA!$B$4&lt;&gt;"OR+EX",--(DATOS!$G15491=CONFIG_METADATA!$B$4),IF(DATOS!$G15491="EX",1,IF(DATOS!$G15491="OR",--(COUNTIFS(nNIA,DATOS!$A15491,nCURSO,DATOS!$D15491,nESPEC,DATOS!$E15491,nASIG,DATOS!$I15491,nEVAL,"EX")=0),0))))</f>
      </c>
      <c r="H15491">
        <f>IF(DATOS!$G15491&lt;&gt;"EX",0,--(COUNTIFS(nNIA,DATOS!$A15491,nCURSO,DATOS!$D15491,nESPEC,DATOS!$E15491,nASIG,DATOS!$I15491,nEVAL,"OR")=0))</f>
      </c>
      <c r="I15491">
        <f>IF(DATOS!$I15491="","",IFERROR(VLOOKUP(DATOS!$I15491,CONFIG_ASIGNATURAS!$B$2:$J$91,9,FALSE()),""))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IF(DATOS!$A15492="",0,IF(CONFIG_METADATA!$B$4&lt;&gt;"OR+EX",--(DATOS!$G15492=CONFIG_METADATA!$B$4),IF(DATOS!$G15492="EX",1,IF(DATOS!$G15492="OR",--(COUNTIFS(nNIA,DATOS!$A15492,nCURSO,DATOS!$D15492,nESPEC,DATOS!$E15492,nASIG,DATOS!$I15492,nEVAL,"EX")=0),0))))</f>
      </c>
      <c r="H15492">
        <f>IF(DATOS!$G15492&lt;&gt;"EX",0,--(COUNTIFS(nNIA,DATOS!$A15492,nCURSO,DATOS!$D15492,nESPEC,DATOS!$E15492,nASIG,DATOS!$I15492,nEVAL,"OR")=0))</f>
      </c>
      <c r="I15492">
        <f>IF(DATOS!$I15492="","",IFERROR(VLOOKUP(DATOS!$I15492,CONFIG_ASIGNATURAS!$B$2:$J$91,9,FALSE()),""))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IF(DATOS!$A15493="",0,IF(CONFIG_METADATA!$B$4&lt;&gt;"OR+EX",--(DATOS!$G15493=CONFIG_METADATA!$B$4),IF(DATOS!$G15493="EX",1,IF(DATOS!$G15493="OR",--(COUNTIFS(nNIA,DATOS!$A15493,nCURSO,DATOS!$D15493,nESPEC,DATOS!$E15493,nASIG,DATOS!$I15493,nEVAL,"EX")=0),0))))</f>
      </c>
      <c r="H15493">
        <f>IF(DATOS!$G15493&lt;&gt;"EX",0,--(COUNTIFS(nNIA,DATOS!$A15493,nCURSO,DATOS!$D15493,nESPEC,DATOS!$E15493,nASIG,DATOS!$I15493,nEVAL,"OR")=0))</f>
      </c>
      <c r="I15493">
        <f>IF(DATOS!$I15493="","",IFERROR(VLOOKUP(DATOS!$I15493,CONFIG_ASIGNATURAS!$B$2:$J$91,9,FALSE()),""))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IF(DATOS!$A15494="",0,IF(CONFIG_METADATA!$B$4&lt;&gt;"OR+EX",--(DATOS!$G15494=CONFIG_METADATA!$B$4),IF(DATOS!$G15494="EX",1,IF(DATOS!$G15494="OR",--(COUNTIFS(nNIA,DATOS!$A15494,nCURSO,DATOS!$D15494,nESPEC,DATOS!$E15494,nASIG,DATOS!$I15494,nEVAL,"EX")=0),0))))</f>
      </c>
      <c r="H15494">
        <f>IF(DATOS!$G15494&lt;&gt;"EX",0,--(COUNTIFS(nNIA,DATOS!$A15494,nCURSO,DATOS!$D15494,nESPEC,DATOS!$E15494,nASIG,DATOS!$I15494,nEVAL,"OR")=0))</f>
      </c>
      <c r="I15494">
        <f>IF(DATOS!$I15494="","",IFERROR(VLOOKUP(DATOS!$I15494,CONFIG_ASIGNATURAS!$B$2:$J$91,9,FALSE()),""))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IF(DATOS!$A15495="",0,IF(CONFIG_METADATA!$B$4&lt;&gt;"OR+EX",--(DATOS!$G15495=CONFIG_METADATA!$B$4),IF(DATOS!$G15495="EX",1,IF(DATOS!$G15495="OR",--(COUNTIFS(nNIA,DATOS!$A15495,nCURSO,DATOS!$D15495,nESPEC,DATOS!$E15495,nASIG,DATOS!$I15495,nEVAL,"EX")=0),0))))</f>
      </c>
      <c r="H15495">
        <f>IF(DATOS!$G15495&lt;&gt;"EX",0,--(COUNTIFS(nNIA,DATOS!$A15495,nCURSO,DATOS!$D15495,nESPEC,DATOS!$E15495,nASIG,DATOS!$I15495,nEVAL,"OR")=0))</f>
      </c>
      <c r="I15495">
        <f>IF(DATOS!$I15495="","",IFERROR(VLOOKUP(DATOS!$I15495,CONFIG_ASIGNATURAS!$B$2:$J$91,9,FALSE()),""))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IF(DATOS!$A15496="",0,IF(CONFIG_METADATA!$B$4&lt;&gt;"OR+EX",--(DATOS!$G15496=CONFIG_METADATA!$B$4),IF(DATOS!$G15496="EX",1,IF(DATOS!$G15496="OR",--(COUNTIFS(nNIA,DATOS!$A15496,nCURSO,DATOS!$D15496,nESPEC,DATOS!$E15496,nASIG,DATOS!$I15496,nEVAL,"EX")=0),0))))</f>
      </c>
      <c r="H15496">
        <f>IF(DATOS!$G15496&lt;&gt;"EX",0,--(COUNTIFS(nNIA,DATOS!$A15496,nCURSO,DATOS!$D15496,nESPEC,DATOS!$E15496,nASIG,DATOS!$I15496,nEVAL,"OR")=0))</f>
      </c>
      <c r="I15496">
        <f>IF(DATOS!$I15496="","",IFERROR(VLOOKUP(DATOS!$I15496,CONFIG_ASIGNATURAS!$B$2:$J$91,9,FALSE()),""))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IF(DATOS!$A15497="",0,IF(CONFIG_METADATA!$B$4&lt;&gt;"OR+EX",--(DATOS!$G15497=CONFIG_METADATA!$B$4),IF(DATOS!$G15497="EX",1,IF(DATOS!$G15497="OR",--(COUNTIFS(nNIA,DATOS!$A15497,nCURSO,DATOS!$D15497,nESPEC,DATOS!$E15497,nASIG,DATOS!$I15497,nEVAL,"EX")=0),0))))</f>
      </c>
      <c r="H15497">
        <f>IF(DATOS!$G15497&lt;&gt;"EX",0,--(COUNTIFS(nNIA,DATOS!$A15497,nCURSO,DATOS!$D15497,nESPEC,DATOS!$E15497,nASIG,DATOS!$I15497,nEVAL,"OR")=0))</f>
      </c>
      <c r="I15497">
        <f>IF(DATOS!$I15497="","",IFERROR(VLOOKUP(DATOS!$I15497,CONFIG_ASIGNATURAS!$B$2:$J$91,9,FALSE()),""))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IF(DATOS!$A15498="",0,IF(CONFIG_METADATA!$B$4&lt;&gt;"OR+EX",--(DATOS!$G15498=CONFIG_METADATA!$B$4),IF(DATOS!$G15498="EX",1,IF(DATOS!$G15498="OR",--(COUNTIFS(nNIA,DATOS!$A15498,nCURSO,DATOS!$D15498,nESPEC,DATOS!$E15498,nASIG,DATOS!$I15498,nEVAL,"EX")=0),0))))</f>
      </c>
      <c r="H15498">
        <f>IF(DATOS!$G15498&lt;&gt;"EX",0,--(COUNTIFS(nNIA,DATOS!$A15498,nCURSO,DATOS!$D15498,nESPEC,DATOS!$E15498,nASIG,DATOS!$I15498,nEVAL,"OR")=0))</f>
      </c>
      <c r="I15498">
        <f>IF(DATOS!$I15498="","",IFERROR(VLOOKUP(DATOS!$I15498,CONFIG_ASIGNATURAS!$B$2:$J$91,9,FALSE()),""))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IF(DATOS!$A15499="",0,IF(CONFIG_METADATA!$B$4&lt;&gt;"OR+EX",--(DATOS!$G15499=CONFIG_METADATA!$B$4),IF(DATOS!$G15499="EX",1,IF(DATOS!$G15499="OR",--(COUNTIFS(nNIA,DATOS!$A15499,nCURSO,DATOS!$D15499,nESPEC,DATOS!$E15499,nASIG,DATOS!$I15499,nEVAL,"EX")=0),0))))</f>
      </c>
      <c r="H15499">
        <f>IF(DATOS!$G15499&lt;&gt;"EX",0,--(COUNTIFS(nNIA,DATOS!$A15499,nCURSO,DATOS!$D15499,nESPEC,DATOS!$E15499,nASIG,DATOS!$I15499,nEVAL,"OR")=0))</f>
      </c>
      <c r="I15499">
        <f>IF(DATOS!$I15499="","",IFERROR(VLOOKUP(DATOS!$I15499,CONFIG_ASIGNATURAS!$B$2:$J$91,9,FALSE()),""))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IF(DATOS!$A15500="",0,IF(CONFIG_METADATA!$B$4&lt;&gt;"OR+EX",--(DATOS!$G15500=CONFIG_METADATA!$B$4),IF(DATOS!$G15500="EX",1,IF(DATOS!$G15500="OR",--(COUNTIFS(nNIA,DATOS!$A15500,nCURSO,DATOS!$D15500,nESPEC,DATOS!$E15500,nASIG,DATOS!$I15500,nEVAL,"EX")=0),0))))</f>
      </c>
      <c r="H15500">
        <f>IF(DATOS!$G15500&lt;&gt;"EX",0,--(COUNTIFS(nNIA,DATOS!$A15500,nCURSO,DATOS!$D15500,nESPEC,DATOS!$E15500,nASIG,DATOS!$I15500,nEVAL,"OR")=0))</f>
      </c>
      <c r="I15500">
        <f>IF(DATOS!$I15500="","",IFERROR(VLOOKUP(DATOS!$I15500,CONFIG_ASIGNATURAS!$B$2:$J$91,9,FALSE()),""))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IF(DATOS!$A15501="",0,IF(CONFIG_METADATA!$B$4&lt;&gt;"OR+EX",--(DATOS!$G15501=CONFIG_METADATA!$B$4),IF(DATOS!$G15501="EX",1,IF(DATOS!$G15501="OR",--(COUNTIFS(nNIA,DATOS!$A15501,nCURSO,DATOS!$D15501,nESPEC,DATOS!$E15501,nASIG,DATOS!$I15501,nEVAL,"EX")=0),0))))</f>
      </c>
      <c r="H15501">
        <f>IF(DATOS!$G15501&lt;&gt;"EX",0,--(COUNTIFS(nNIA,DATOS!$A15501,nCURSO,DATOS!$D15501,nESPEC,DATOS!$E15501,nASIG,DATOS!$I15501,nEVAL,"OR")=0))</f>
      </c>
      <c r="I15501">
        <f>IF(DATOS!$I15501="","",IFERROR(VLOOKUP(DATOS!$I15501,CONFIG_ASIGNATURAS!$B$2:$J$91,9,FALSE()),""))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IF(DATOS!$A15502="",0,IF(CONFIG_METADATA!$B$4&lt;&gt;"OR+EX",--(DATOS!$G15502=CONFIG_METADATA!$B$4),IF(DATOS!$G15502="EX",1,IF(DATOS!$G15502="OR",--(COUNTIFS(nNIA,DATOS!$A15502,nCURSO,DATOS!$D15502,nESPEC,DATOS!$E15502,nASIG,DATOS!$I15502,nEVAL,"EX")=0),0))))</f>
      </c>
      <c r="H15502">
        <f>IF(DATOS!$G15502&lt;&gt;"EX",0,--(COUNTIFS(nNIA,DATOS!$A15502,nCURSO,DATOS!$D15502,nESPEC,DATOS!$E15502,nASIG,DATOS!$I15502,nEVAL,"OR")=0))</f>
      </c>
      <c r="I15502">
        <f>IF(DATOS!$I15502="","",IFERROR(VLOOKUP(DATOS!$I15502,CONFIG_ASIGNATURAS!$B$2:$J$91,9,FALSE()),""))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IF(DATOS!$A15503="",0,IF(CONFIG_METADATA!$B$4&lt;&gt;"OR+EX",--(DATOS!$G15503=CONFIG_METADATA!$B$4),IF(DATOS!$G15503="EX",1,IF(DATOS!$G15503="OR",--(COUNTIFS(nNIA,DATOS!$A15503,nCURSO,DATOS!$D15503,nESPEC,DATOS!$E15503,nASIG,DATOS!$I15503,nEVAL,"EX")=0),0))))</f>
      </c>
      <c r="H15503">
        <f>IF(DATOS!$G15503&lt;&gt;"EX",0,--(COUNTIFS(nNIA,DATOS!$A15503,nCURSO,DATOS!$D15503,nESPEC,DATOS!$E15503,nASIG,DATOS!$I15503,nEVAL,"OR")=0))</f>
      </c>
      <c r="I15503">
        <f>IF(DATOS!$I15503="","",IFERROR(VLOOKUP(DATOS!$I15503,CONFIG_ASIGNATURAS!$B$2:$J$91,9,FALSE()),""))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IF(DATOS!$A15504="",0,IF(CONFIG_METADATA!$B$4&lt;&gt;"OR+EX",--(DATOS!$G15504=CONFIG_METADATA!$B$4),IF(DATOS!$G15504="EX",1,IF(DATOS!$G15504="OR",--(COUNTIFS(nNIA,DATOS!$A15504,nCURSO,DATOS!$D15504,nESPEC,DATOS!$E15504,nASIG,DATOS!$I15504,nEVAL,"EX")=0),0))))</f>
      </c>
      <c r="H15504">
        <f>IF(DATOS!$G15504&lt;&gt;"EX",0,--(COUNTIFS(nNIA,DATOS!$A15504,nCURSO,DATOS!$D15504,nESPEC,DATOS!$E15504,nASIG,DATOS!$I15504,nEVAL,"OR")=0))</f>
      </c>
      <c r="I15504">
        <f>IF(DATOS!$I15504="","",IFERROR(VLOOKUP(DATOS!$I15504,CONFIG_ASIGNATURAS!$B$2:$J$91,9,FALSE()),""))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IF(DATOS!$A15505="",0,IF(CONFIG_METADATA!$B$4&lt;&gt;"OR+EX",--(DATOS!$G15505=CONFIG_METADATA!$B$4),IF(DATOS!$G15505="EX",1,IF(DATOS!$G15505="OR",--(COUNTIFS(nNIA,DATOS!$A15505,nCURSO,DATOS!$D15505,nESPEC,DATOS!$E15505,nASIG,DATOS!$I15505,nEVAL,"EX")=0),0))))</f>
      </c>
      <c r="H15505">
        <f>IF(DATOS!$G15505&lt;&gt;"EX",0,--(COUNTIFS(nNIA,DATOS!$A15505,nCURSO,DATOS!$D15505,nESPEC,DATOS!$E15505,nASIG,DATOS!$I15505,nEVAL,"OR")=0))</f>
      </c>
      <c r="I15505">
        <f>IF(DATOS!$I15505="","",IFERROR(VLOOKUP(DATOS!$I15505,CONFIG_ASIGNATURAS!$B$2:$J$91,9,FALSE()),""))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IF(DATOS!$A15506="",0,IF(CONFIG_METADATA!$B$4&lt;&gt;"OR+EX",--(DATOS!$G15506=CONFIG_METADATA!$B$4),IF(DATOS!$G15506="EX",1,IF(DATOS!$G15506="OR",--(COUNTIFS(nNIA,DATOS!$A15506,nCURSO,DATOS!$D15506,nESPEC,DATOS!$E15506,nASIG,DATOS!$I15506,nEVAL,"EX")=0),0))))</f>
      </c>
      <c r="H15506">
        <f>IF(DATOS!$G15506&lt;&gt;"EX",0,--(COUNTIFS(nNIA,DATOS!$A15506,nCURSO,DATOS!$D15506,nESPEC,DATOS!$E15506,nASIG,DATOS!$I15506,nEVAL,"OR")=0))</f>
      </c>
      <c r="I15506">
        <f>IF(DATOS!$I15506="","",IFERROR(VLOOKUP(DATOS!$I15506,CONFIG_ASIGNATURAS!$B$2:$J$91,9,FALSE()),""))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IF(DATOS!$A15507="",0,IF(CONFIG_METADATA!$B$4&lt;&gt;"OR+EX",--(DATOS!$G15507=CONFIG_METADATA!$B$4),IF(DATOS!$G15507="EX",1,IF(DATOS!$G15507="OR",--(COUNTIFS(nNIA,DATOS!$A15507,nCURSO,DATOS!$D15507,nESPEC,DATOS!$E15507,nASIG,DATOS!$I15507,nEVAL,"EX")=0),0))))</f>
      </c>
      <c r="H15507">
        <f>IF(DATOS!$G15507&lt;&gt;"EX",0,--(COUNTIFS(nNIA,DATOS!$A15507,nCURSO,DATOS!$D15507,nESPEC,DATOS!$E15507,nASIG,DATOS!$I15507,nEVAL,"OR")=0))</f>
      </c>
      <c r="I15507">
        <f>IF(DATOS!$I15507="","",IFERROR(VLOOKUP(DATOS!$I15507,CONFIG_ASIGNATURAS!$B$2:$J$91,9,FALSE()),""))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IF(DATOS!$A15508="",0,IF(CONFIG_METADATA!$B$4&lt;&gt;"OR+EX",--(DATOS!$G15508=CONFIG_METADATA!$B$4),IF(DATOS!$G15508="EX",1,IF(DATOS!$G15508="OR",--(COUNTIFS(nNIA,DATOS!$A15508,nCURSO,DATOS!$D15508,nESPEC,DATOS!$E15508,nASIG,DATOS!$I15508,nEVAL,"EX")=0),0))))</f>
      </c>
      <c r="H15508">
        <f>IF(DATOS!$G15508&lt;&gt;"EX",0,--(COUNTIFS(nNIA,DATOS!$A15508,nCURSO,DATOS!$D15508,nESPEC,DATOS!$E15508,nASIG,DATOS!$I15508,nEVAL,"OR")=0))</f>
      </c>
      <c r="I15508">
        <f>IF(DATOS!$I15508="","",IFERROR(VLOOKUP(DATOS!$I15508,CONFIG_ASIGNATURAS!$B$2:$J$91,9,FALSE()),""))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IF(DATOS!$A15509="",0,IF(CONFIG_METADATA!$B$4&lt;&gt;"OR+EX",--(DATOS!$G15509=CONFIG_METADATA!$B$4),IF(DATOS!$G15509="EX",1,IF(DATOS!$G15509="OR",--(COUNTIFS(nNIA,DATOS!$A15509,nCURSO,DATOS!$D15509,nESPEC,DATOS!$E15509,nASIG,DATOS!$I15509,nEVAL,"EX")=0),0))))</f>
      </c>
      <c r="H15509">
        <f>IF(DATOS!$G15509&lt;&gt;"EX",0,--(COUNTIFS(nNIA,DATOS!$A15509,nCURSO,DATOS!$D15509,nESPEC,DATOS!$E15509,nASIG,DATOS!$I15509,nEVAL,"OR")=0))</f>
      </c>
      <c r="I15509">
        <f>IF(DATOS!$I15509="","",IFERROR(VLOOKUP(DATOS!$I15509,CONFIG_ASIGNATURAS!$B$2:$J$91,9,FALSE()),""))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IF(DATOS!$A15510="",0,IF(CONFIG_METADATA!$B$4&lt;&gt;"OR+EX",--(DATOS!$G15510=CONFIG_METADATA!$B$4),IF(DATOS!$G15510="EX",1,IF(DATOS!$G15510="OR",--(COUNTIFS(nNIA,DATOS!$A15510,nCURSO,DATOS!$D15510,nESPEC,DATOS!$E15510,nASIG,DATOS!$I15510,nEVAL,"EX")=0),0))))</f>
      </c>
      <c r="H15510">
        <f>IF(DATOS!$G15510&lt;&gt;"EX",0,--(COUNTIFS(nNIA,DATOS!$A15510,nCURSO,DATOS!$D15510,nESPEC,DATOS!$E15510,nASIG,DATOS!$I15510,nEVAL,"OR")=0))</f>
      </c>
      <c r="I15510">
        <f>IF(DATOS!$I15510="","",IFERROR(VLOOKUP(DATOS!$I15510,CONFIG_ASIGNATURAS!$B$2:$J$91,9,FALSE()),""))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IF(DATOS!$A15511="",0,IF(CONFIG_METADATA!$B$4&lt;&gt;"OR+EX",--(DATOS!$G15511=CONFIG_METADATA!$B$4),IF(DATOS!$G15511="EX",1,IF(DATOS!$G15511="OR",--(COUNTIFS(nNIA,DATOS!$A15511,nCURSO,DATOS!$D15511,nESPEC,DATOS!$E15511,nASIG,DATOS!$I15511,nEVAL,"EX")=0),0))))</f>
      </c>
      <c r="H15511">
        <f>IF(DATOS!$G15511&lt;&gt;"EX",0,--(COUNTIFS(nNIA,DATOS!$A15511,nCURSO,DATOS!$D15511,nESPEC,DATOS!$E15511,nASIG,DATOS!$I15511,nEVAL,"OR")=0))</f>
      </c>
      <c r="I15511">
        <f>IF(DATOS!$I15511="","",IFERROR(VLOOKUP(DATOS!$I15511,CONFIG_ASIGNATURAS!$B$2:$J$91,9,FALSE()),""))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IF(DATOS!$A15512="",0,IF(CONFIG_METADATA!$B$4&lt;&gt;"OR+EX",--(DATOS!$G15512=CONFIG_METADATA!$B$4),IF(DATOS!$G15512="EX",1,IF(DATOS!$G15512="OR",--(COUNTIFS(nNIA,DATOS!$A15512,nCURSO,DATOS!$D15512,nESPEC,DATOS!$E15512,nASIG,DATOS!$I15512,nEVAL,"EX")=0),0))))</f>
      </c>
      <c r="H15512">
        <f>IF(DATOS!$G15512&lt;&gt;"EX",0,--(COUNTIFS(nNIA,DATOS!$A15512,nCURSO,DATOS!$D15512,nESPEC,DATOS!$E15512,nASIG,DATOS!$I15512,nEVAL,"OR")=0))</f>
      </c>
      <c r="I15512">
        <f>IF(DATOS!$I15512="","",IFERROR(VLOOKUP(DATOS!$I15512,CONFIG_ASIGNATURAS!$B$2:$J$91,9,FALSE()),""))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IF(DATOS!$A15513="",0,IF(CONFIG_METADATA!$B$4&lt;&gt;"OR+EX",--(DATOS!$G15513=CONFIG_METADATA!$B$4),IF(DATOS!$G15513="EX",1,IF(DATOS!$G15513="OR",--(COUNTIFS(nNIA,DATOS!$A15513,nCURSO,DATOS!$D15513,nESPEC,DATOS!$E15513,nASIG,DATOS!$I15513,nEVAL,"EX")=0),0))))</f>
      </c>
      <c r="H15513">
        <f>IF(DATOS!$G15513&lt;&gt;"EX",0,--(COUNTIFS(nNIA,DATOS!$A15513,nCURSO,DATOS!$D15513,nESPEC,DATOS!$E15513,nASIG,DATOS!$I15513,nEVAL,"OR")=0))</f>
      </c>
      <c r="I15513">
        <f>IF(DATOS!$I15513="","",IFERROR(VLOOKUP(DATOS!$I15513,CONFIG_ASIGNATURAS!$B$2:$J$91,9,FALSE()),""))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IF(DATOS!$A15514="",0,IF(CONFIG_METADATA!$B$4&lt;&gt;"OR+EX",--(DATOS!$G15514=CONFIG_METADATA!$B$4),IF(DATOS!$G15514="EX",1,IF(DATOS!$G15514="OR",--(COUNTIFS(nNIA,DATOS!$A15514,nCURSO,DATOS!$D15514,nESPEC,DATOS!$E15514,nASIG,DATOS!$I15514,nEVAL,"EX")=0),0))))</f>
      </c>
      <c r="H15514">
        <f>IF(DATOS!$G15514&lt;&gt;"EX",0,--(COUNTIFS(nNIA,DATOS!$A15514,nCURSO,DATOS!$D15514,nESPEC,DATOS!$E15514,nASIG,DATOS!$I15514,nEVAL,"OR")=0))</f>
      </c>
      <c r="I15514">
        <f>IF(DATOS!$I15514="","",IFERROR(VLOOKUP(DATOS!$I15514,CONFIG_ASIGNATURAS!$B$2:$J$91,9,FALSE()),""))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IF(DATOS!$A15515="",0,IF(CONFIG_METADATA!$B$4&lt;&gt;"OR+EX",--(DATOS!$G15515=CONFIG_METADATA!$B$4),IF(DATOS!$G15515="EX",1,IF(DATOS!$G15515="OR",--(COUNTIFS(nNIA,DATOS!$A15515,nCURSO,DATOS!$D15515,nESPEC,DATOS!$E15515,nASIG,DATOS!$I15515,nEVAL,"EX")=0),0))))</f>
      </c>
      <c r="H15515">
        <f>IF(DATOS!$G15515&lt;&gt;"EX",0,--(COUNTIFS(nNIA,DATOS!$A15515,nCURSO,DATOS!$D15515,nESPEC,DATOS!$E15515,nASIG,DATOS!$I15515,nEVAL,"OR")=0))</f>
      </c>
      <c r="I15515">
        <f>IF(DATOS!$I15515="","",IFERROR(VLOOKUP(DATOS!$I15515,CONFIG_ASIGNATURAS!$B$2:$J$91,9,FALSE()),""))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IF(DATOS!$A15516="",0,IF(CONFIG_METADATA!$B$4&lt;&gt;"OR+EX",--(DATOS!$G15516=CONFIG_METADATA!$B$4),IF(DATOS!$G15516="EX",1,IF(DATOS!$G15516="OR",--(COUNTIFS(nNIA,DATOS!$A15516,nCURSO,DATOS!$D15516,nESPEC,DATOS!$E15516,nASIG,DATOS!$I15516,nEVAL,"EX")=0),0))))</f>
      </c>
      <c r="H15516">
        <f>IF(DATOS!$G15516&lt;&gt;"EX",0,--(COUNTIFS(nNIA,DATOS!$A15516,nCURSO,DATOS!$D15516,nESPEC,DATOS!$E15516,nASIG,DATOS!$I15516,nEVAL,"OR")=0))</f>
      </c>
      <c r="I15516">
        <f>IF(DATOS!$I15516="","",IFERROR(VLOOKUP(DATOS!$I15516,CONFIG_ASIGNATURAS!$B$2:$J$91,9,FALSE()),""))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IF(DATOS!$A15517="",0,IF(CONFIG_METADATA!$B$4&lt;&gt;"OR+EX",--(DATOS!$G15517=CONFIG_METADATA!$B$4),IF(DATOS!$G15517="EX",1,IF(DATOS!$G15517="OR",--(COUNTIFS(nNIA,DATOS!$A15517,nCURSO,DATOS!$D15517,nESPEC,DATOS!$E15517,nASIG,DATOS!$I15517,nEVAL,"EX")=0),0))))</f>
      </c>
      <c r="H15517">
        <f>IF(DATOS!$G15517&lt;&gt;"EX",0,--(COUNTIFS(nNIA,DATOS!$A15517,nCURSO,DATOS!$D15517,nESPEC,DATOS!$E15517,nASIG,DATOS!$I15517,nEVAL,"OR")=0))</f>
      </c>
      <c r="I15517">
        <f>IF(DATOS!$I15517="","",IFERROR(VLOOKUP(DATOS!$I15517,CONFIG_ASIGNATURAS!$B$2:$J$91,9,FALSE()),""))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IF(DATOS!$A15518="",0,IF(CONFIG_METADATA!$B$4&lt;&gt;"OR+EX",--(DATOS!$G15518=CONFIG_METADATA!$B$4),IF(DATOS!$G15518="EX",1,IF(DATOS!$G15518="OR",--(COUNTIFS(nNIA,DATOS!$A15518,nCURSO,DATOS!$D15518,nESPEC,DATOS!$E15518,nASIG,DATOS!$I15518,nEVAL,"EX")=0),0))))</f>
      </c>
      <c r="H15518">
        <f>IF(DATOS!$G15518&lt;&gt;"EX",0,--(COUNTIFS(nNIA,DATOS!$A15518,nCURSO,DATOS!$D15518,nESPEC,DATOS!$E15518,nASIG,DATOS!$I15518,nEVAL,"OR")=0))</f>
      </c>
      <c r="I15518">
        <f>IF(DATOS!$I15518="","",IFERROR(VLOOKUP(DATOS!$I15518,CONFIG_ASIGNATURAS!$B$2:$J$91,9,FALSE()),""))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IF(DATOS!$A15519="",0,IF(CONFIG_METADATA!$B$4&lt;&gt;"OR+EX",--(DATOS!$G15519=CONFIG_METADATA!$B$4),IF(DATOS!$G15519="EX",1,IF(DATOS!$G15519="OR",--(COUNTIFS(nNIA,DATOS!$A15519,nCURSO,DATOS!$D15519,nESPEC,DATOS!$E15519,nASIG,DATOS!$I15519,nEVAL,"EX")=0),0))))</f>
      </c>
      <c r="H15519">
        <f>IF(DATOS!$G15519&lt;&gt;"EX",0,--(COUNTIFS(nNIA,DATOS!$A15519,nCURSO,DATOS!$D15519,nESPEC,DATOS!$E15519,nASIG,DATOS!$I15519,nEVAL,"OR")=0))</f>
      </c>
      <c r="I15519">
        <f>IF(DATOS!$I15519="","",IFERROR(VLOOKUP(DATOS!$I15519,CONFIG_ASIGNATURAS!$B$2:$J$91,9,FALSE()),""))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IF(DATOS!$A15520="",0,IF(CONFIG_METADATA!$B$4&lt;&gt;"OR+EX",--(DATOS!$G15520=CONFIG_METADATA!$B$4),IF(DATOS!$G15520="EX",1,IF(DATOS!$G15520="OR",--(COUNTIFS(nNIA,DATOS!$A15520,nCURSO,DATOS!$D15520,nESPEC,DATOS!$E15520,nASIG,DATOS!$I15520,nEVAL,"EX")=0),0))))</f>
      </c>
      <c r="H15520">
        <f>IF(DATOS!$G15520&lt;&gt;"EX",0,--(COUNTIFS(nNIA,DATOS!$A15520,nCURSO,DATOS!$D15520,nESPEC,DATOS!$E15520,nASIG,DATOS!$I15520,nEVAL,"OR")=0))</f>
      </c>
      <c r="I15520">
        <f>IF(DATOS!$I15520="","",IFERROR(VLOOKUP(DATOS!$I15520,CONFIG_ASIGNATURAS!$B$2:$J$91,9,FALSE()),""))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IF(DATOS!$A15521="",0,IF(CONFIG_METADATA!$B$4&lt;&gt;"OR+EX",--(DATOS!$G15521=CONFIG_METADATA!$B$4),IF(DATOS!$G15521="EX",1,IF(DATOS!$G15521="OR",--(COUNTIFS(nNIA,DATOS!$A15521,nCURSO,DATOS!$D15521,nESPEC,DATOS!$E15521,nASIG,DATOS!$I15521,nEVAL,"EX")=0),0))))</f>
      </c>
      <c r="H15521">
        <f>IF(DATOS!$G15521&lt;&gt;"EX",0,--(COUNTIFS(nNIA,DATOS!$A15521,nCURSO,DATOS!$D15521,nESPEC,DATOS!$E15521,nASIG,DATOS!$I15521,nEVAL,"OR")=0))</f>
      </c>
      <c r="I15521">
        <f>IF(DATOS!$I15521="","",IFERROR(VLOOKUP(DATOS!$I15521,CONFIG_ASIGNATURAS!$B$2:$J$91,9,FALSE()),""))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IF(DATOS!$A15522="",0,IF(CONFIG_METADATA!$B$4&lt;&gt;"OR+EX",--(DATOS!$G15522=CONFIG_METADATA!$B$4),IF(DATOS!$G15522="EX",1,IF(DATOS!$G15522="OR",--(COUNTIFS(nNIA,DATOS!$A15522,nCURSO,DATOS!$D15522,nESPEC,DATOS!$E15522,nASIG,DATOS!$I15522,nEVAL,"EX")=0),0))))</f>
      </c>
      <c r="H15522">
        <f>IF(DATOS!$G15522&lt;&gt;"EX",0,--(COUNTIFS(nNIA,DATOS!$A15522,nCURSO,DATOS!$D15522,nESPEC,DATOS!$E15522,nASIG,DATOS!$I15522,nEVAL,"OR")=0))</f>
      </c>
      <c r="I15522">
        <f>IF(DATOS!$I15522="","",IFERROR(VLOOKUP(DATOS!$I15522,CONFIG_ASIGNATURAS!$B$2:$J$91,9,FALSE()),""))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IF(DATOS!$A15523="",0,IF(CONFIG_METADATA!$B$4&lt;&gt;"OR+EX",--(DATOS!$G15523=CONFIG_METADATA!$B$4),IF(DATOS!$G15523="EX",1,IF(DATOS!$G15523="OR",--(COUNTIFS(nNIA,DATOS!$A15523,nCURSO,DATOS!$D15523,nESPEC,DATOS!$E15523,nASIG,DATOS!$I15523,nEVAL,"EX")=0),0))))</f>
      </c>
      <c r="H15523">
        <f>IF(DATOS!$G15523&lt;&gt;"EX",0,--(COUNTIFS(nNIA,DATOS!$A15523,nCURSO,DATOS!$D15523,nESPEC,DATOS!$E15523,nASIG,DATOS!$I15523,nEVAL,"OR")=0))</f>
      </c>
      <c r="I15523">
        <f>IF(DATOS!$I15523="","",IFERROR(VLOOKUP(DATOS!$I15523,CONFIG_ASIGNATURAS!$B$2:$J$91,9,FALSE()),""))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IF(DATOS!$A15524="",0,IF(CONFIG_METADATA!$B$4&lt;&gt;"OR+EX",--(DATOS!$G15524=CONFIG_METADATA!$B$4),IF(DATOS!$G15524="EX",1,IF(DATOS!$G15524="OR",--(COUNTIFS(nNIA,DATOS!$A15524,nCURSO,DATOS!$D15524,nESPEC,DATOS!$E15524,nASIG,DATOS!$I15524,nEVAL,"EX")=0),0))))</f>
      </c>
      <c r="H15524">
        <f>IF(DATOS!$G15524&lt;&gt;"EX",0,--(COUNTIFS(nNIA,DATOS!$A15524,nCURSO,DATOS!$D15524,nESPEC,DATOS!$E15524,nASIG,DATOS!$I15524,nEVAL,"OR")=0))</f>
      </c>
      <c r="I15524">
        <f>IF(DATOS!$I15524="","",IFERROR(VLOOKUP(DATOS!$I15524,CONFIG_ASIGNATURAS!$B$2:$J$91,9,FALSE()),""))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IF(DATOS!$A15525="",0,IF(CONFIG_METADATA!$B$4&lt;&gt;"OR+EX",--(DATOS!$G15525=CONFIG_METADATA!$B$4),IF(DATOS!$G15525="EX",1,IF(DATOS!$G15525="OR",--(COUNTIFS(nNIA,DATOS!$A15525,nCURSO,DATOS!$D15525,nESPEC,DATOS!$E15525,nASIG,DATOS!$I15525,nEVAL,"EX")=0),0))))</f>
      </c>
      <c r="H15525">
        <f>IF(DATOS!$G15525&lt;&gt;"EX",0,--(COUNTIFS(nNIA,DATOS!$A15525,nCURSO,DATOS!$D15525,nESPEC,DATOS!$E15525,nASIG,DATOS!$I15525,nEVAL,"OR")=0))</f>
      </c>
      <c r="I15525">
        <f>IF(DATOS!$I15525="","",IFERROR(VLOOKUP(DATOS!$I15525,CONFIG_ASIGNATURAS!$B$2:$J$91,9,FALSE()),""))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IF(DATOS!$A15526="",0,IF(CONFIG_METADATA!$B$4&lt;&gt;"OR+EX",--(DATOS!$G15526=CONFIG_METADATA!$B$4),IF(DATOS!$G15526="EX",1,IF(DATOS!$G15526="OR",--(COUNTIFS(nNIA,DATOS!$A15526,nCURSO,DATOS!$D15526,nESPEC,DATOS!$E15526,nASIG,DATOS!$I15526,nEVAL,"EX")=0),0))))</f>
      </c>
      <c r="H15526">
        <f>IF(DATOS!$G15526&lt;&gt;"EX",0,--(COUNTIFS(nNIA,DATOS!$A15526,nCURSO,DATOS!$D15526,nESPEC,DATOS!$E15526,nASIG,DATOS!$I15526,nEVAL,"OR")=0))</f>
      </c>
      <c r="I15526">
        <f>IF(DATOS!$I15526="","",IFERROR(VLOOKUP(DATOS!$I15526,CONFIG_ASIGNATURAS!$B$2:$J$91,9,FALSE()),""))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IF(DATOS!$A15527="",0,IF(CONFIG_METADATA!$B$4&lt;&gt;"OR+EX",--(DATOS!$G15527=CONFIG_METADATA!$B$4),IF(DATOS!$G15527="EX",1,IF(DATOS!$G15527="OR",--(COUNTIFS(nNIA,DATOS!$A15527,nCURSO,DATOS!$D15527,nESPEC,DATOS!$E15527,nASIG,DATOS!$I15527,nEVAL,"EX")=0),0))))</f>
      </c>
      <c r="H15527">
        <f>IF(DATOS!$G15527&lt;&gt;"EX",0,--(COUNTIFS(nNIA,DATOS!$A15527,nCURSO,DATOS!$D15527,nESPEC,DATOS!$E15527,nASIG,DATOS!$I15527,nEVAL,"OR")=0))</f>
      </c>
      <c r="I15527">
        <f>IF(DATOS!$I15527="","",IFERROR(VLOOKUP(DATOS!$I15527,CONFIG_ASIGNATURAS!$B$2:$J$91,9,FALSE()),""))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IF(DATOS!$A15528="",0,IF(CONFIG_METADATA!$B$4&lt;&gt;"OR+EX",--(DATOS!$G15528=CONFIG_METADATA!$B$4),IF(DATOS!$G15528="EX",1,IF(DATOS!$G15528="OR",--(COUNTIFS(nNIA,DATOS!$A15528,nCURSO,DATOS!$D15528,nESPEC,DATOS!$E15528,nASIG,DATOS!$I15528,nEVAL,"EX")=0),0))))</f>
      </c>
      <c r="H15528">
        <f>IF(DATOS!$G15528&lt;&gt;"EX",0,--(COUNTIFS(nNIA,DATOS!$A15528,nCURSO,DATOS!$D15528,nESPEC,DATOS!$E15528,nASIG,DATOS!$I15528,nEVAL,"OR")=0))</f>
      </c>
      <c r="I15528">
        <f>IF(DATOS!$I15528="","",IFERROR(VLOOKUP(DATOS!$I15528,CONFIG_ASIGNATURAS!$B$2:$J$91,9,FALSE()),""))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IF(DATOS!$A15529="",0,IF(CONFIG_METADATA!$B$4&lt;&gt;"OR+EX",--(DATOS!$G15529=CONFIG_METADATA!$B$4),IF(DATOS!$G15529="EX",1,IF(DATOS!$G15529="OR",--(COUNTIFS(nNIA,DATOS!$A15529,nCURSO,DATOS!$D15529,nESPEC,DATOS!$E15529,nASIG,DATOS!$I15529,nEVAL,"EX")=0),0))))</f>
      </c>
      <c r="H15529">
        <f>IF(DATOS!$G15529&lt;&gt;"EX",0,--(COUNTIFS(nNIA,DATOS!$A15529,nCURSO,DATOS!$D15529,nESPEC,DATOS!$E15529,nASIG,DATOS!$I15529,nEVAL,"OR")=0))</f>
      </c>
      <c r="I15529">
        <f>IF(DATOS!$I15529="","",IFERROR(VLOOKUP(DATOS!$I15529,CONFIG_ASIGNATURAS!$B$2:$J$91,9,FALSE()),""))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IF(DATOS!$A15530="",0,IF(CONFIG_METADATA!$B$4&lt;&gt;"OR+EX",--(DATOS!$G15530=CONFIG_METADATA!$B$4),IF(DATOS!$G15530="EX",1,IF(DATOS!$G15530="OR",--(COUNTIFS(nNIA,DATOS!$A15530,nCURSO,DATOS!$D15530,nESPEC,DATOS!$E15530,nASIG,DATOS!$I15530,nEVAL,"EX")=0),0))))</f>
      </c>
      <c r="H15530">
        <f>IF(DATOS!$G15530&lt;&gt;"EX",0,--(COUNTIFS(nNIA,DATOS!$A15530,nCURSO,DATOS!$D15530,nESPEC,DATOS!$E15530,nASIG,DATOS!$I15530,nEVAL,"OR")=0))</f>
      </c>
      <c r="I15530">
        <f>IF(DATOS!$I15530="","",IFERROR(VLOOKUP(DATOS!$I15530,CONFIG_ASIGNATURAS!$B$2:$J$91,9,FALSE()),""))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IF(DATOS!$A15531="",0,IF(CONFIG_METADATA!$B$4&lt;&gt;"OR+EX",--(DATOS!$G15531=CONFIG_METADATA!$B$4),IF(DATOS!$G15531="EX",1,IF(DATOS!$G15531="OR",--(COUNTIFS(nNIA,DATOS!$A15531,nCURSO,DATOS!$D15531,nESPEC,DATOS!$E15531,nASIG,DATOS!$I15531,nEVAL,"EX")=0),0))))</f>
      </c>
      <c r="H15531">
        <f>IF(DATOS!$G15531&lt;&gt;"EX",0,--(COUNTIFS(nNIA,DATOS!$A15531,nCURSO,DATOS!$D15531,nESPEC,DATOS!$E15531,nASIG,DATOS!$I15531,nEVAL,"OR")=0))</f>
      </c>
      <c r="I15531">
        <f>IF(DATOS!$I15531="","",IFERROR(VLOOKUP(DATOS!$I15531,CONFIG_ASIGNATURAS!$B$2:$J$91,9,FALSE()),""))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IF(DATOS!$A15532="",0,IF(CONFIG_METADATA!$B$4&lt;&gt;"OR+EX",--(DATOS!$G15532=CONFIG_METADATA!$B$4),IF(DATOS!$G15532="EX",1,IF(DATOS!$G15532="OR",--(COUNTIFS(nNIA,DATOS!$A15532,nCURSO,DATOS!$D15532,nESPEC,DATOS!$E15532,nASIG,DATOS!$I15532,nEVAL,"EX")=0),0))))</f>
      </c>
      <c r="H15532">
        <f>IF(DATOS!$G15532&lt;&gt;"EX",0,--(COUNTIFS(nNIA,DATOS!$A15532,nCURSO,DATOS!$D15532,nESPEC,DATOS!$E15532,nASIG,DATOS!$I15532,nEVAL,"OR")=0))</f>
      </c>
      <c r="I15532">
        <f>IF(DATOS!$I15532="","",IFERROR(VLOOKUP(DATOS!$I15532,CONFIG_ASIGNATURAS!$B$2:$J$91,9,FALSE()),""))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IF(DATOS!$A15533="",0,IF(CONFIG_METADATA!$B$4&lt;&gt;"OR+EX",--(DATOS!$G15533=CONFIG_METADATA!$B$4),IF(DATOS!$G15533="EX",1,IF(DATOS!$G15533="OR",--(COUNTIFS(nNIA,DATOS!$A15533,nCURSO,DATOS!$D15533,nESPEC,DATOS!$E15533,nASIG,DATOS!$I15533,nEVAL,"EX")=0),0))))</f>
      </c>
      <c r="H15533">
        <f>IF(DATOS!$G15533&lt;&gt;"EX",0,--(COUNTIFS(nNIA,DATOS!$A15533,nCURSO,DATOS!$D15533,nESPEC,DATOS!$E15533,nASIG,DATOS!$I15533,nEVAL,"OR")=0))</f>
      </c>
      <c r="I15533">
        <f>IF(DATOS!$I15533="","",IFERROR(VLOOKUP(DATOS!$I15533,CONFIG_ASIGNATURAS!$B$2:$J$91,9,FALSE()),""))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IF(DATOS!$A15534="",0,IF(CONFIG_METADATA!$B$4&lt;&gt;"OR+EX",--(DATOS!$G15534=CONFIG_METADATA!$B$4),IF(DATOS!$G15534="EX",1,IF(DATOS!$G15534="OR",--(COUNTIFS(nNIA,DATOS!$A15534,nCURSO,DATOS!$D15534,nESPEC,DATOS!$E15534,nASIG,DATOS!$I15534,nEVAL,"EX")=0),0))))</f>
      </c>
      <c r="H15534">
        <f>IF(DATOS!$G15534&lt;&gt;"EX",0,--(COUNTIFS(nNIA,DATOS!$A15534,nCURSO,DATOS!$D15534,nESPEC,DATOS!$E15534,nASIG,DATOS!$I15534,nEVAL,"OR")=0))</f>
      </c>
      <c r="I15534">
        <f>IF(DATOS!$I15534="","",IFERROR(VLOOKUP(DATOS!$I15534,CONFIG_ASIGNATURAS!$B$2:$J$91,9,FALSE()),""))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IF(DATOS!$A15535="",0,IF(CONFIG_METADATA!$B$4&lt;&gt;"OR+EX",--(DATOS!$G15535=CONFIG_METADATA!$B$4),IF(DATOS!$G15535="EX",1,IF(DATOS!$G15535="OR",--(COUNTIFS(nNIA,DATOS!$A15535,nCURSO,DATOS!$D15535,nESPEC,DATOS!$E15535,nASIG,DATOS!$I15535,nEVAL,"EX")=0),0))))</f>
      </c>
      <c r="H15535">
        <f>IF(DATOS!$G15535&lt;&gt;"EX",0,--(COUNTIFS(nNIA,DATOS!$A15535,nCURSO,DATOS!$D15535,nESPEC,DATOS!$E15535,nASIG,DATOS!$I15535,nEVAL,"OR")=0))</f>
      </c>
      <c r="I15535">
        <f>IF(DATOS!$I15535="","",IFERROR(VLOOKUP(DATOS!$I15535,CONFIG_ASIGNATURAS!$B$2:$J$91,9,FALSE()),""))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IF(DATOS!$A15536="",0,IF(CONFIG_METADATA!$B$4&lt;&gt;"OR+EX",--(DATOS!$G15536=CONFIG_METADATA!$B$4),IF(DATOS!$G15536="EX",1,IF(DATOS!$G15536="OR",--(COUNTIFS(nNIA,DATOS!$A15536,nCURSO,DATOS!$D15536,nESPEC,DATOS!$E15536,nASIG,DATOS!$I15536,nEVAL,"EX")=0),0))))</f>
      </c>
      <c r="H15536">
        <f>IF(DATOS!$G15536&lt;&gt;"EX",0,--(COUNTIFS(nNIA,DATOS!$A15536,nCURSO,DATOS!$D15536,nESPEC,DATOS!$E15536,nASIG,DATOS!$I15536,nEVAL,"OR")=0))</f>
      </c>
      <c r="I15536">
        <f>IF(DATOS!$I15536="","",IFERROR(VLOOKUP(DATOS!$I15536,CONFIG_ASIGNATURAS!$B$2:$J$91,9,FALSE()),""))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IF(DATOS!$A15537="",0,IF(CONFIG_METADATA!$B$4&lt;&gt;"OR+EX",--(DATOS!$G15537=CONFIG_METADATA!$B$4),IF(DATOS!$G15537="EX",1,IF(DATOS!$G15537="OR",--(COUNTIFS(nNIA,DATOS!$A15537,nCURSO,DATOS!$D15537,nESPEC,DATOS!$E15537,nASIG,DATOS!$I15537,nEVAL,"EX")=0),0))))</f>
      </c>
      <c r="H15537">
        <f>IF(DATOS!$G15537&lt;&gt;"EX",0,--(COUNTIFS(nNIA,DATOS!$A15537,nCURSO,DATOS!$D15537,nESPEC,DATOS!$E15537,nASIG,DATOS!$I15537,nEVAL,"OR")=0))</f>
      </c>
      <c r="I15537">
        <f>IF(DATOS!$I15537="","",IFERROR(VLOOKUP(DATOS!$I15537,CONFIG_ASIGNATURAS!$B$2:$J$91,9,FALSE()),""))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IF(DATOS!$A15538="",0,IF(CONFIG_METADATA!$B$4&lt;&gt;"OR+EX",--(DATOS!$G15538=CONFIG_METADATA!$B$4),IF(DATOS!$G15538="EX",1,IF(DATOS!$G15538="OR",--(COUNTIFS(nNIA,DATOS!$A15538,nCURSO,DATOS!$D15538,nESPEC,DATOS!$E15538,nASIG,DATOS!$I15538,nEVAL,"EX")=0),0))))</f>
      </c>
      <c r="H15538">
        <f>IF(DATOS!$G15538&lt;&gt;"EX",0,--(COUNTIFS(nNIA,DATOS!$A15538,nCURSO,DATOS!$D15538,nESPEC,DATOS!$E15538,nASIG,DATOS!$I15538,nEVAL,"OR")=0))</f>
      </c>
      <c r="I15538">
        <f>IF(DATOS!$I15538="","",IFERROR(VLOOKUP(DATOS!$I15538,CONFIG_ASIGNATURAS!$B$2:$J$91,9,FALSE()),""))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IF(DATOS!$A15539="",0,IF(CONFIG_METADATA!$B$4&lt;&gt;"OR+EX",--(DATOS!$G15539=CONFIG_METADATA!$B$4),IF(DATOS!$G15539="EX",1,IF(DATOS!$G15539="OR",--(COUNTIFS(nNIA,DATOS!$A15539,nCURSO,DATOS!$D15539,nESPEC,DATOS!$E15539,nASIG,DATOS!$I15539,nEVAL,"EX")=0),0))))</f>
      </c>
      <c r="H15539">
        <f>IF(DATOS!$G15539&lt;&gt;"EX",0,--(COUNTIFS(nNIA,DATOS!$A15539,nCURSO,DATOS!$D15539,nESPEC,DATOS!$E15539,nASIG,DATOS!$I15539,nEVAL,"OR")=0))</f>
      </c>
      <c r="I15539">
        <f>IF(DATOS!$I15539="","",IFERROR(VLOOKUP(DATOS!$I15539,CONFIG_ASIGNATURAS!$B$2:$J$91,9,FALSE()),""))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IF(DATOS!$A15540="",0,IF(CONFIG_METADATA!$B$4&lt;&gt;"OR+EX",--(DATOS!$G15540=CONFIG_METADATA!$B$4),IF(DATOS!$G15540="EX",1,IF(DATOS!$G15540="OR",--(COUNTIFS(nNIA,DATOS!$A15540,nCURSO,DATOS!$D15540,nESPEC,DATOS!$E15540,nASIG,DATOS!$I15540,nEVAL,"EX")=0),0))))</f>
      </c>
      <c r="H15540">
        <f>IF(DATOS!$G15540&lt;&gt;"EX",0,--(COUNTIFS(nNIA,DATOS!$A15540,nCURSO,DATOS!$D15540,nESPEC,DATOS!$E15540,nASIG,DATOS!$I15540,nEVAL,"OR")=0))</f>
      </c>
      <c r="I15540">
        <f>IF(DATOS!$I15540="","",IFERROR(VLOOKUP(DATOS!$I15540,CONFIG_ASIGNATURAS!$B$2:$J$91,9,FALSE()),""))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IF(DATOS!$A15541="",0,IF(CONFIG_METADATA!$B$4&lt;&gt;"OR+EX",--(DATOS!$G15541=CONFIG_METADATA!$B$4),IF(DATOS!$G15541="EX",1,IF(DATOS!$G15541="OR",--(COUNTIFS(nNIA,DATOS!$A15541,nCURSO,DATOS!$D15541,nESPEC,DATOS!$E15541,nASIG,DATOS!$I15541,nEVAL,"EX")=0),0))))</f>
      </c>
      <c r="H15541">
        <f>IF(DATOS!$G15541&lt;&gt;"EX",0,--(COUNTIFS(nNIA,DATOS!$A15541,nCURSO,DATOS!$D15541,nESPEC,DATOS!$E15541,nASIG,DATOS!$I15541,nEVAL,"OR")=0))</f>
      </c>
      <c r="I15541">
        <f>IF(DATOS!$I15541="","",IFERROR(VLOOKUP(DATOS!$I15541,CONFIG_ASIGNATURAS!$B$2:$J$91,9,FALSE()),""))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IF(DATOS!$A15542="",0,IF(CONFIG_METADATA!$B$4&lt;&gt;"OR+EX",--(DATOS!$G15542=CONFIG_METADATA!$B$4),IF(DATOS!$G15542="EX",1,IF(DATOS!$G15542="OR",--(COUNTIFS(nNIA,DATOS!$A15542,nCURSO,DATOS!$D15542,nESPEC,DATOS!$E15542,nASIG,DATOS!$I15542,nEVAL,"EX")=0),0))))</f>
      </c>
      <c r="H15542">
        <f>IF(DATOS!$G15542&lt;&gt;"EX",0,--(COUNTIFS(nNIA,DATOS!$A15542,nCURSO,DATOS!$D15542,nESPEC,DATOS!$E15542,nASIG,DATOS!$I15542,nEVAL,"OR")=0))</f>
      </c>
      <c r="I15542">
        <f>IF(DATOS!$I15542="","",IFERROR(VLOOKUP(DATOS!$I15542,CONFIG_ASIGNATURAS!$B$2:$J$91,9,FALSE()),""))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IF(DATOS!$A15543="",0,IF(CONFIG_METADATA!$B$4&lt;&gt;"OR+EX",--(DATOS!$G15543=CONFIG_METADATA!$B$4),IF(DATOS!$G15543="EX",1,IF(DATOS!$G15543="OR",--(COUNTIFS(nNIA,DATOS!$A15543,nCURSO,DATOS!$D15543,nESPEC,DATOS!$E15543,nASIG,DATOS!$I15543,nEVAL,"EX")=0),0))))</f>
      </c>
      <c r="H15543">
        <f>IF(DATOS!$G15543&lt;&gt;"EX",0,--(COUNTIFS(nNIA,DATOS!$A15543,nCURSO,DATOS!$D15543,nESPEC,DATOS!$E15543,nASIG,DATOS!$I15543,nEVAL,"OR")=0))</f>
      </c>
      <c r="I15543">
        <f>IF(DATOS!$I15543="","",IFERROR(VLOOKUP(DATOS!$I15543,CONFIG_ASIGNATURAS!$B$2:$J$91,9,FALSE()),""))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IF(DATOS!$A15544="",0,IF(CONFIG_METADATA!$B$4&lt;&gt;"OR+EX",--(DATOS!$G15544=CONFIG_METADATA!$B$4),IF(DATOS!$G15544="EX",1,IF(DATOS!$G15544="OR",--(COUNTIFS(nNIA,DATOS!$A15544,nCURSO,DATOS!$D15544,nESPEC,DATOS!$E15544,nASIG,DATOS!$I15544,nEVAL,"EX")=0),0))))</f>
      </c>
      <c r="H15544">
        <f>IF(DATOS!$G15544&lt;&gt;"EX",0,--(COUNTIFS(nNIA,DATOS!$A15544,nCURSO,DATOS!$D15544,nESPEC,DATOS!$E15544,nASIG,DATOS!$I15544,nEVAL,"OR")=0))</f>
      </c>
      <c r="I15544">
        <f>IF(DATOS!$I15544="","",IFERROR(VLOOKUP(DATOS!$I15544,CONFIG_ASIGNATURAS!$B$2:$J$91,9,FALSE()),""))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IF(DATOS!$A15545="",0,IF(CONFIG_METADATA!$B$4&lt;&gt;"OR+EX",--(DATOS!$G15545=CONFIG_METADATA!$B$4),IF(DATOS!$G15545="EX",1,IF(DATOS!$G15545="OR",--(COUNTIFS(nNIA,DATOS!$A15545,nCURSO,DATOS!$D15545,nESPEC,DATOS!$E15545,nASIG,DATOS!$I15545,nEVAL,"EX")=0),0))))</f>
      </c>
      <c r="H15545">
        <f>IF(DATOS!$G15545&lt;&gt;"EX",0,--(COUNTIFS(nNIA,DATOS!$A15545,nCURSO,DATOS!$D15545,nESPEC,DATOS!$E15545,nASIG,DATOS!$I15545,nEVAL,"OR")=0))</f>
      </c>
      <c r="I15545">
        <f>IF(DATOS!$I15545="","",IFERROR(VLOOKUP(DATOS!$I15545,CONFIG_ASIGNATURAS!$B$2:$J$91,9,FALSE()),""))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IF(DATOS!$A15546="",0,IF(CONFIG_METADATA!$B$4&lt;&gt;"OR+EX",--(DATOS!$G15546=CONFIG_METADATA!$B$4),IF(DATOS!$G15546="EX",1,IF(DATOS!$G15546="OR",--(COUNTIFS(nNIA,DATOS!$A15546,nCURSO,DATOS!$D15546,nESPEC,DATOS!$E15546,nASIG,DATOS!$I15546,nEVAL,"EX")=0),0))))</f>
      </c>
      <c r="H15546">
        <f>IF(DATOS!$G15546&lt;&gt;"EX",0,--(COUNTIFS(nNIA,DATOS!$A15546,nCURSO,DATOS!$D15546,nESPEC,DATOS!$E15546,nASIG,DATOS!$I15546,nEVAL,"OR")=0))</f>
      </c>
      <c r="I15546">
        <f>IF(DATOS!$I15546="","",IFERROR(VLOOKUP(DATOS!$I15546,CONFIG_ASIGNATURAS!$B$2:$J$91,9,FALSE()),""))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IF(DATOS!$A15547="",0,IF(CONFIG_METADATA!$B$4&lt;&gt;"OR+EX",--(DATOS!$G15547=CONFIG_METADATA!$B$4),IF(DATOS!$G15547="EX",1,IF(DATOS!$G15547="OR",--(COUNTIFS(nNIA,DATOS!$A15547,nCURSO,DATOS!$D15547,nESPEC,DATOS!$E15547,nASIG,DATOS!$I15547,nEVAL,"EX")=0),0))))</f>
      </c>
      <c r="H15547">
        <f>IF(DATOS!$G15547&lt;&gt;"EX",0,--(COUNTIFS(nNIA,DATOS!$A15547,nCURSO,DATOS!$D15547,nESPEC,DATOS!$E15547,nASIG,DATOS!$I15547,nEVAL,"OR")=0))</f>
      </c>
      <c r="I15547">
        <f>IF(DATOS!$I15547="","",IFERROR(VLOOKUP(DATOS!$I15547,CONFIG_ASIGNATURAS!$B$2:$J$91,9,FALSE()),""))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IF(DATOS!$A15548="",0,IF(CONFIG_METADATA!$B$4&lt;&gt;"OR+EX",--(DATOS!$G15548=CONFIG_METADATA!$B$4),IF(DATOS!$G15548="EX",1,IF(DATOS!$G15548="OR",--(COUNTIFS(nNIA,DATOS!$A15548,nCURSO,DATOS!$D15548,nESPEC,DATOS!$E15548,nASIG,DATOS!$I15548,nEVAL,"EX")=0),0))))</f>
      </c>
      <c r="H15548">
        <f>IF(DATOS!$G15548&lt;&gt;"EX",0,--(COUNTIFS(nNIA,DATOS!$A15548,nCURSO,DATOS!$D15548,nESPEC,DATOS!$E15548,nASIG,DATOS!$I15548,nEVAL,"OR")=0))</f>
      </c>
      <c r="I15548">
        <f>IF(DATOS!$I15548="","",IFERROR(VLOOKUP(DATOS!$I15548,CONFIG_ASIGNATURAS!$B$2:$J$91,9,FALSE()),""))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IF(DATOS!$A15549="",0,IF(CONFIG_METADATA!$B$4&lt;&gt;"OR+EX",--(DATOS!$G15549=CONFIG_METADATA!$B$4),IF(DATOS!$G15549="EX",1,IF(DATOS!$G15549="OR",--(COUNTIFS(nNIA,DATOS!$A15549,nCURSO,DATOS!$D15549,nESPEC,DATOS!$E15549,nASIG,DATOS!$I15549,nEVAL,"EX")=0),0))))</f>
      </c>
      <c r="H15549">
        <f>IF(DATOS!$G15549&lt;&gt;"EX",0,--(COUNTIFS(nNIA,DATOS!$A15549,nCURSO,DATOS!$D15549,nESPEC,DATOS!$E15549,nASIG,DATOS!$I15549,nEVAL,"OR")=0))</f>
      </c>
      <c r="I15549">
        <f>IF(DATOS!$I15549="","",IFERROR(VLOOKUP(DATOS!$I15549,CONFIG_ASIGNATURAS!$B$2:$J$91,9,FALSE()),""))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IF(DATOS!$A15550="",0,IF(CONFIG_METADATA!$B$4&lt;&gt;"OR+EX",--(DATOS!$G15550=CONFIG_METADATA!$B$4),IF(DATOS!$G15550="EX",1,IF(DATOS!$G15550="OR",--(COUNTIFS(nNIA,DATOS!$A15550,nCURSO,DATOS!$D15550,nESPEC,DATOS!$E15550,nASIG,DATOS!$I15550,nEVAL,"EX")=0),0))))</f>
      </c>
      <c r="H15550">
        <f>IF(DATOS!$G15550&lt;&gt;"EX",0,--(COUNTIFS(nNIA,DATOS!$A15550,nCURSO,DATOS!$D15550,nESPEC,DATOS!$E15550,nASIG,DATOS!$I15550,nEVAL,"OR")=0))</f>
      </c>
      <c r="I15550">
        <f>IF(DATOS!$I15550="","",IFERROR(VLOOKUP(DATOS!$I15550,CONFIG_ASIGNATURAS!$B$2:$J$91,9,FALSE()),""))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IF(DATOS!$A15551="",0,IF(CONFIG_METADATA!$B$4&lt;&gt;"OR+EX",--(DATOS!$G15551=CONFIG_METADATA!$B$4),IF(DATOS!$G15551="EX",1,IF(DATOS!$G15551="OR",--(COUNTIFS(nNIA,DATOS!$A15551,nCURSO,DATOS!$D15551,nESPEC,DATOS!$E15551,nASIG,DATOS!$I15551,nEVAL,"EX")=0),0))))</f>
      </c>
      <c r="H15551">
        <f>IF(DATOS!$G15551&lt;&gt;"EX",0,--(COUNTIFS(nNIA,DATOS!$A15551,nCURSO,DATOS!$D15551,nESPEC,DATOS!$E15551,nASIG,DATOS!$I15551,nEVAL,"OR")=0))</f>
      </c>
      <c r="I15551">
        <f>IF(DATOS!$I15551="","",IFERROR(VLOOKUP(DATOS!$I15551,CONFIG_ASIGNATURAS!$B$2:$J$91,9,FALSE()),""))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IF(DATOS!$A15552="",0,IF(CONFIG_METADATA!$B$4&lt;&gt;"OR+EX",--(DATOS!$G15552=CONFIG_METADATA!$B$4),IF(DATOS!$G15552="EX",1,IF(DATOS!$G15552="OR",--(COUNTIFS(nNIA,DATOS!$A15552,nCURSO,DATOS!$D15552,nESPEC,DATOS!$E15552,nASIG,DATOS!$I15552,nEVAL,"EX")=0),0))))</f>
      </c>
      <c r="H15552">
        <f>IF(DATOS!$G15552&lt;&gt;"EX",0,--(COUNTIFS(nNIA,DATOS!$A15552,nCURSO,DATOS!$D15552,nESPEC,DATOS!$E15552,nASIG,DATOS!$I15552,nEVAL,"OR")=0))</f>
      </c>
      <c r="I15552">
        <f>IF(DATOS!$I15552="","",IFERROR(VLOOKUP(DATOS!$I15552,CONFIG_ASIGNATURAS!$B$2:$J$91,9,FALSE()),""))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IF(DATOS!$A15553="",0,IF(CONFIG_METADATA!$B$4&lt;&gt;"OR+EX",--(DATOS!$G15553=CONFIG_METADATA!$B$4),IF(DATOS!$G15553="EX",1,IF(DATOS!$G15553="OR",--(COUNTIFS(nNIA,DATOS!$A15553,nCURSO,DATOS!$D15553,nESPEC,DATOS!$E15553,nASIG,DATOS!$I15553,nEVAL,"EX")=0),0))))</f>
      </c>
      <c r="H15553">
        <f>IF(DATOS!$G15553&lt;&gt;"EX",0,--(COUNTIFS(nNIA,DATOS!$A15553,nCURSO,DATOS!$D15553,nESPEC,DATOS!$E15553,nASIG,DATOS!$I15553,nEVAL,"OR")=0))</f>
      </c>
      <c r="I15553">
        <f>IF(DATOS!$I15553="","",IFERROR(VLOOKUP(DATOS!$I15553,CONFIG_ASIGNATURAS!$B$2:$J$91,9,FALSE()),""))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IF(DATOS!$A15554="",0,IF(CONFIG_METADATA!$B$4&lt;&gt;"OR+EX",--(DATOS!$G15554=CONFIG_METADATA!$B$4),IF(DATOS!$G15554="EX",1,IF(DATOS!$G15554="OR",--(COUNTIFS(nNIA,DATOS!$A15554,nCURSO,DATOS!$D15554,nESPEC,DATOS!$E15554,nASIG,DATOS!$I15554,nEVAL,"EX")=0),0))))</f>
      </c>
      <c r="H15554">
        <f>IF(DATOS!$G15554&lt;&gt;"EX",0,--(COUNTIFS(nNIA,DATOS!$A15554,nCURSO,DATOS!$D15554,nESPEC,DATOS!$E15554,nASIG,DATOS!$I15554,nEVAL,"OR")=0))</f>
      </c>
      <c r="I15554">
        <f>IF(DATOS!$I15554="","",IFERROR(VLOOKUP(DATOS!$I15554,CONFIG_ASIGNATURAS!$B$2:$J$91,9,FALSE()),""))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IF(DATOS!$A15555="",0,IF(CONFIG_METADATA!$B$4&lt;&gt;"OR+EX",--(DATOS!$G15555=CONFIG_METADATA!$B$4),IF(DATOS!$G15555="EX",1,IF(DATOS!$G15555="OR",--(COUNTIFS(nNIA,DATOS!$A15555,nCURSO,DATOS!$D15555,nESPEC,DATOS!$E15555,nASIG,DATOS!$I15555,nEVAL,"EX")=0),0))))</f>
      </c>
      <c r="H15555">
        <f>IF(DATOS!$G15555&lt;&gt;"EX",0,--(COUNTIFS(nNIA,DATOS!$A15555,nCURSO,DATOS!$D15555,nESPEC,DATOS!$E15555,nASIG,DATOS!$I15555,nEVAL,"OR")=0))</f>
      </c>
      <c r="I15555">
        <f>IF(DATOS!$I15555="","",IFERROR(VLOOKUP(DATOS!$I15555,CONFIG_ASIGNATURAS!$B$2:$J$91,9,FALSE()),""))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IF(DATOS!$A15556="",0,IF(CONFIG_METADATA!$B$4&lt;&gt;"OR+EX",--(DATOS!$G15556=CONFIG_METADATA!$B$4),IF(DATOS!$G15556="EX",1,IF(DATOS!$G15556="OR",--(COUNTIFS(nNIA,DATOS!$A15556,nCURSO,DATOS!$D15556,nESPEC,DATOS!$E15556,nASIG,DATOS!$I15556,nEVAL,"EX")=0),0))))</f>
      </c>
      <c r="H15556">
        <f>IF(DATOS!$G15556&lt;&gt;"EX",0,--(COUNTIFS(nNIA,DATOS!$A15556,nCURSO,DATOS!$D15556,nESPEC,DATOS!$E15556,nASIG,DATOS!$I15556,nEVAL,"OR")=0))</f>
      </c>
      <c r="I15556">
        <f>IF(DATOS!$I15556="","",IFERROR(VLOOKUP(DATOS!$I15556,CONFIG_ASIGNATURAS!$B$2:$J$91,9,FALSE()),""))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IF(DATOS!$A15557="",0,IF(CONFIG_METADATA!$B$4&lt;&gt;"OR+EX",--(DATOS!$G15557=CONFIG_METADATA!$B$4),IF(DATOS!$G15557="EX",1,IF(DATOS!$G15557="OR",--(COUNTIFS(nNIA,DATOS!$A15557,nCURSO,DATOS!$D15557,nESPEC,DATOS!$E15557,nASIG,DATOS!$I15557,nEVAL,"EX")=0),0))))</f>
      </c>
      <c r="H15557">
        <f>IF(DATOS!$G15557&lt;&gt;"EX",0,--(COUNTIFS(nNIA,DATOS!$A15557,nCURSO,DATOS!$D15557,nESPEC,DATOS!$E15557,nASIG,DATOS!$I15557,nEVAL,"OR")=0))</f>
      </c>
      <c r="I15557">
        <f>IF(DATOS!$I15557="","",IFERROR(VLOOKUP(DATOS!$I15557,CONFIG_ASIGNATURAS!$B$2:$J$91,9,FALSE()),""))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IF(DATOS!$A15558="",0,IF(CONFIG_METADATA!$B$4&lt;&gt;"OR+EX",--(DATOS!$G15558=CONFIG_METADATA!$B$4),IF(DATOS!$G15558="EX",1,IF(DATOS!$G15558="OR",--(COUNTIFS(nNIA,DATOS!$A15558,nCURSO,DATOS!$D15558,nESPEC,DATOS!$E15558,nASIG,DATOS!$I15558,nEVAL,"EX")=0),0))))</f>
      </c>
      <c r="H15558">
        <f>IF(DATOS!$G15558&lt;&gt;"EX",0,--(COUNTIFS(nNIA,DATOS!$A15558,nCURSO,DATOS!$D15558,nESPEC,DATOS!$E15558,nASIG,DATOS!$I15558,nEVAL,"OR")=0))</f>
      </c>
      <c r="I15558">
        <f>IF(DATOS!$I15558="","",IFERROR(VLOOKUP(DATOS!$I15558,CONFIG_ASIGNATURAS!$B$2:$J$91,9,FALSE()),""))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IF(DATOS!$A15559="",0,IF(CONFIG_METADATA!$B$4&lt;&gt;"OR+EX",--(DATOS!$G15559=CONFIG_METADATA!$B$4),IF(DATOS!$G15559="EX",1,IF(DATOS!$G15559="OR",--(COUNTIFS(nNIA,DATOS!$A15559,nCURSO,DATOS!$D15559,nESPEC,DATOS!$E15559,nASIG,DATOS!$I15559,nEVAL,"EX")=0),0))))</f>
      </c>
      <c r="H15559">
        <f>IF(DATOS!$G15559&lt;&gt;"EX",0,--(COUNTIFS(nNIA,DATOS!$A15559,nCURSO,DATOS!$D15559,nESPEC,DATOS!$E15559,nASIG,DATOS!$I15559,nEVAL,"OR")=0))</f>
      </c>
      <c r="I15559">
        <f>IF(DATOS!$I15559="","",IFERROR(VLOOKUP(DATOS!$I15559,CONFIG_ASIGNATURAS!$B$2:$J$91,9,FALSE()),""))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IF(DATOS!$A15560="",0,IF(CONFIG_METADATA!$B$4&lt;&gt;"OR+EX",--(DATOS!$G15560=CONFIG_METADATA!$B$4),IF(DATOS!$G15560="EX",1,IF(DATOS!$G15560="OR",--(COUNTIFS(nNIA,DATOS!$A15560,nCURSO,DATOS!$D15560,nESPEC,DATOS!$E15560,nASIG,DATOS!$I15560,nEVAL,"EX")=0),0))))</f>
      </c>
      <c r="H15560">
        <f>IF(DATOS!$G15560&lt;&gt;"EX",0,--(COUNTIFS(nNIA,DATOS!$A15560,nCURSO,DATOS!$D15560,nESPEC,DATOS!$E15560,nASIG,DATOS!$I15560,nEVAL,"OR")=0))</f>
      </c>
      <c r="I15560">
        <f>IF(DATOS!$I15560="","",IFERROR(VLOOKUP(DATOS!$I15560,CONFIG_ASIGNATURAS!$B$2:$J$91,9,FALSE()),""))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IF(DATOS!$A15561="",0,IF(CONFIG_METADATA!$B$4&lt;&gt;"OR+EX",--(DATOS!$G15561=CONFIG_METADATA!$B$4),IF(DATOS!$G15561="EX",1,IF(DATOS!$G15561="OR",--(COUNTIFS(nNIA,DATOS!$A15561,nCURSO,DATOS!$D15561,nESPEC,DATOS!$E15561,nASIG,DATOS!$I15561,nEVAL,"EX")=0),0))))</f>
      </c>
      <c r="H15561">
        <f>IF(DATOS!$G15561&lt;&gt;"EX",0,--(COUNTIFS(nNIA,DATOS!$A15561,nCURSO,DATOS!$D15561,nESPEC,DATOS!$E15561,nASIG,DATOS!$I15561,nEVAL,"OR")=0))</f>
      </c>
      <c r="I15561">
        <f>IF(DATOS!$I15561="","",IFERROR(VLOOKUP(DATOS!$I15561,CONFIG_ASIGNATURAS!$B$2:$J$91,9,FALSE()),""))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IF(DATOS!$A15562="",0,IF(CONFIG_METADATA!$B$4&lt;&gt;"OR+EX",--(DATOS!$G15562=CONFIG_METADATA!$B$4),IF(DATOS!$G15562="EX",1,IF(DATOS!$G15562="OR",--(COUNTIFS(nNIA,DATOS!$A15562,nCURSO,DATOS!$D15562,nESPEC,DATOS!$E15562,nASIG,DATOS!$I15562,nEVAL,"EX")=0),0))))</f>
      </c>
      <c r="H15562">
        <f>IF(DATOS!$G15562&lt;&gt;"EX",0,--(COUNTIFS(nNIA,DATOS!$A15562,nCURSO,DATOS!$D15562,nESPEC,DATOS!$E15562,nASIG,DATOS!$I15562,nEVAL,"OR")=0))</f>
      </c>
      <c r="I15562">
        <f>IF(DATOS!$I15562="","",IFERROR(VLOOKUP(DATOS!$I15562,CONFIG_ASIGNATURAS!$B$2:$J$91,9,FALSE()),""))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IF(DATOS!$A15563="",0,IF(CONFIG_METADATA!$B$4&lt;&gt;"OR+EX",--(DATOS!$G15563=CONFIG_METADATA!$B$4),IF(DATOS!$G15563="EX",1,IF(DATOS!$G15563="OR",--(COUNTIFS(nNIA,DATOS!$A15563,nCURSO,DATOS!$D15563,nESPEC,DATOS!$E15563,nASIG,DATOS!$I15563,nEVAL,"EX")=0),0))))</f>
      </c>
      <c r="H15563">
        <f>IF(DATOS!$G15563&lt;&gt;"EX",0,--(COUNTIFS(nNIA,DATOS!$A15563,nCURSO,DATOS!$D15563,nESPEC,DATOS!$E15563,nASIG,DATOS!$I15563,nEVAL,"OR")=0))</f>
      </c>
      <c r="I15563">
        <f>IF(DATOS!$I15563="","",IFERROR(VLOOKUP(DATOS!$I15563,CONFIG_ASIGNATURAS!$B$2:$J$91,9,FALSE()),""))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IF(DATOS!$A15564="",0,IF(CONFIG_METADATA!$B$4&lt;&gt;"OR+EX",--(DATOS!$G15564=CONFIG_METADATA!$B$4),IF(DATOS!$G15564="EX",1,IF(DATOS!$G15564="OR",--(COUNTIFS(nNIA,DATOS!$A15564,nCURSO,DATOS!$D15564,nESPEC,DATOS!$E15564,nASIG,DATOS!$I15564,nEVAL,"EX")=0),0))))</f>
      </c>
      <c r="H15564">
        <f>IF(DATOS!$G15564&lt;&gt;"EX",0,--(COUNTIFS(nNIA,DATOS!$A15564,nCURSO,DATOS!$D15564,nESPEC,DATOS!$E15564,nASIG,DATOS!$I15564,nEVAL,"OR")=0))</f>
      </c>
      <c r="I15564">
        <f>IF(DATOS!$I15564="","",IFERROR(VLOOKUP(DATOS!$I15564,CONFIG_ASIGNATURAS!$B$2:$J$91,9,FALSE()),""))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IF(DATOS!$A15565="",0,IF(CONFIG_METADATA!$B$4&lt;&gt;"OR+EX",--(DATOS!$G15565=CONFIG_METADATA!$B$4),IF(DATOS!$G15565="EX",1,IF(DATOS!$G15565="OR",--(COUNTIFS(nNIA,DATOS!$A15565,nCURSO,DATOS!$D15565,nESPEC,DATOS!$E15565,nASIG,DATOS!$I15565,nEVAL,"EX")=0),0))))</f>
      </c>
      <c r="H15565">
        <f>IF(DATOS!$G15565&lt;&gt;"EX",0,--(COUNTIFS(nNIA,DATOS!$A15565,nCURSO,DATOS!$D15565,nESPEC,DATOS!$E15565,nASIG,DATOS!$I15565,nEVAL,"OR")=0))</f>
      </c>
      <c r="I15565">
        <f>IF(DATOS!$I15565="","",IFERROR(VLOOKUP(DATOS!$I15565,CONFIG_ASIGNATURAS!$B$2:$J$91,9,FALSE()),""))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IF(DATOS!$A15566="",0,IF(CONFIG_METADATA!$B$4&lt;&gt;"OR+EX",--(DATOS!$G15566=CONFIG_METADATA!$B$4),IF(DATOS!$G15566="EX",1,IF(DATOS!$G15566="OR",--(COUNTIFS(nNIA,DATOS!$A15566,nCURSO,DATOS!$D15566,nESPEC,DATOS!$E15566,nASIG,DATOS!$I15566,nEVAL,"EX")=0),0))))</f>
      </c>
      <c r="H15566">
        <f>IF(DATOS!$G15566&lt;&gt;"EX",0,--(COUNTIFS(nNIA,DATOS!$A15566,nCURSO,DATOS!$D15566,nESPEC,DATOS!$E15566,nASIG,DATOS!$I15566,nEVAL,"OR")=0))</f>
      </c>
      <c r="I15566">
        <f>IF(DATOS!$I15566="","",IFERROR(VLOOKUP(DATOS!$I15566,CONFIG_ASIGNATURAS!$B$2:$J$91,9,FALSE()),""))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IF(DATOS!$A15567="",0,IF(CONFIG_METADATA!$B$4&lt;&gt;"OR+EX",--(DATOS!$G15567=CONFIG_METADATA!$B$4),IF(DATOS!$G15567="EX",1,IF(DATOS!$G15567="OR",--(COUNTIFS(nNIA,DATOS!$A15567,nCURSO,DATOS!$D15567,nESPEC,DATOS!$E15567,nASIG,DATOS!$I15567,nEVAL,"EX")=0),0))))</f>
      </c>
      <c r="H15567">
        <f>IF(DATOS!$G15567&lt;&gt;"EX",0,--(COUNTIFS(nNIA,DATOS!$A15567,nCURSO,DATOS!$D15567,nESPEC,DATOS!$E15567,nASIG,DATOS!$I15567,nEVAL,"OR")=0))</f>
      </c>
      <c r="I15567">
        <f>IF(DATOS!$I15567="","",IFERROR(VLOOKUP(DATOS!$I15567,CONFIG_ASIGNATURAS!$B$2:$J$91,9,FALSE()),""))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IF(DATOS!$A15568="",0,IF(CONFIG_METADATA!$B$4&lt;&gt;"OR+EX",--(DATOS!$G15568=CONFIG_METADATA!$B$4),IF(DATOS!$G15568="EX",1,IF(DATOS!$G15568="OR",--(COUNTIFS(nNIA,DATOS!$A15568,nCURSO,DATOS!$D15568,nESPEC,DATOS!$E15568,nASIG,DATOS!$I15568,nEVAL,"EX")=0),0))))</f>
      </c>
      <c r="H15568">
        <f>IF(DATOS!$G15568&lt;&gt;"EX",0,--(COUNTIFS(nNIA,DATOS!$A15568,nCURSO,DATOS!$D15568,nESPEC,DATOS!$E15568,nASIG,DATOS!$I15568,nEVAL,"OR")=0))</f>
      </c>
      <c r="I15568">
        <f>IF(DATOS!$I15568="","",IFERROR(VLOOKUP(DATOS!$I15568,CONFIG_ASIGNATURAS!$B$2:$J$91,9,FALSE()),""))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IF(DATOS!$A15569="",0,IF(CONFIG_METADATA!$B$4&lt;&gt;"OR+EX",--(DATOS!$G15569=CONFIG_METADATA!$B$4),IF(DATOS!$G15569="EX",1,IF(DATOS!$G15569="OR",--(COUNTIFS(nNIA,DATOS!$A15569,nCURSO,DATOS!$D15569,nESPEC,DATOS!$E15569,nASIG,DATOS!$I15569,nEVAL,"EX")=0),0))))</f>
      </c>
      <c r="H15569">
        <f>IF(DATOS!$G15569&lt;&gt;"EX",0,--(COUNTIFS(nNIA,DATOS!$A15569,nCURSO,DATOS!$D15569,nESPEC,DATOS!$E15569,nASIG,DATOS!$I15569,nEVAL,"OR")=0))</f>
      </c>
      <c r="I15569">
        <f>IF(DATOS!$I15569="","",IFERROR(VLOOKUP(DATOS!$I15569,CONFIG_ASIGNATURAS!$B$2:$J$91,9,FALSE()),""))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IF(DATOS!$A15570="",0,IF(CONFIG_METADATA!$B$4&lt;&gt;"OR+EX",--(DATOS!$G15570=CONFIG_METADATA!$B$4),IF(DATOS!$G15570="EX",1,IF(DATOS!$G15570="OR",--(COUNTIFS(nNIA,DATOS!$A15570,nCURSO,DATOS!$D15570,nESPEC,DATOS!$E15570,nASIG,DATOS!$I15570,nEVAL,"EX")=0),0))))</f>
      </c>
      <c r="H15570">
        <f>IF(DATOS!$G15570&lt;&gt;"EX",0,--(COUNTIFS(nNIA,DATOS!$A15570,nCURSO,DATOS!$D15570,nESPEC,DATOS!$E15570,nASIG,DATOS!$I15570,nEVAL,"OR")=0))</f>
      </c>
      <c r="I15570">
        <f>IF(DATOS!$I15570="","",IFERROR(VLOOKUP(DATOS!$I15570,CONFIG_ASIGNATURAS!$B$2:$J$91,9,FALSE()),""))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IF(DATOS!$A15571="",0,IF(CONFIG_METADATA!$B$4&lt;&gt;"OR+EX",--(DATOS!$G15571=CONFIG_METADATA!$B$4),IF(DATOS!$G15571="EX",1,IF(DATOS!$G15571="OR",--(COUNTIFS(nNIA,DATOS!$A15571,nCURSO,DATOS!$D15571,nESPEC,DATOS!$E15571,nASIG,DATOS!$I15571,nEVAL,"EX")=0),0))))</f>
      </c>
      <c r="H15571">
        <f>IF(DATOS!$G15571&lt;&gt;"EX",0,--(COUNTIFS(nNIA,DATOS!$A15571,nCURSO,DATOS!$D15571,nESPEC,DATOS!$E15571,nASIG,DATOS!$I15571,nEVAL,"OR")=0))</f>
      </c>
      <c r="I15571">
        <f>IF(DATOS!$I15571="","",IFERROR(VLOOKUP(DATOS!$I15571,CONFIG_ASIGNATURAS!$B$2:$J$91,9,FALSE()),""))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IF(DATOS!$A15572="",0,IF(CONFIG_METADATA!$B$4&lt;&gt;"OR+EX",--(DATOS!$G15572=CONFIG_METADATA!$B$4),IF(DATOS!$G15572="EX",1,IF(DATOS!$G15572="OR",--(COUNTIFS(nNIA,DATOS!$A15572,nCURSO,DATOS!$D15572,nESPEC,DATOS!$E15572,nASIG,DATOS!$I15572,nEVAL,"EX")=0),0))))</f>
      </c>
      <c r="H15572">
        <f>IF(DATOS!$G15572&lt;&gt;"EX",0,--(COUNTIFS(nNIA,DATOS!$A15572,nCURSO,DATOS!$D15572,nESPEC,DATOS!$E15572,nASIG,DATOS!$I15572,nEVAL,"OR")=0))</f>
      </c>
      <c r="I15572">
        <f>IF(DATOS!$I15572="","",IFERROR(VLOOKUP(DATOS!$I15572,CONFIG_ASIGNATURAS!$B$2:$J$91,9,FALSE()),""))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IF(DATOS!$A15573="",0,IF(CONFIG_METADATA!$B$4&lt;&gt;"OR+EX",--(DATOS!$G15573=CONFIG_METADATA!$B$4),IF(DATOS!$G15573="EX",1,IF(DATOS!$G15573="OR",--(COUNTIFS(nNIA,DATOS!$A15573,nCURSO,DATOS!$D15573,nESPEC,DATOS!$E15573,nASIG,DATOS!$I15573,nEVAL,"EX")=0),0))))</f>
      </c>
      <c r="H15573">
        <f>IF(DATOS!$G15573&lt;&gt;"EX",0,--(COUNTIFS(nNIA,DATOS!$A15573,nCURSO,DATOS!$D15573,nESPEC,DATOS!$E15573,nASIG,DATOS!$I15573,nEVAL,"OR")=0))</f>
      </c>
      <c r="I15573">
        <f>IF(DATOS!$I15573="","",IFERROR(VLOOKUP(DATOS!$I15573,CONFIG_ASIGNATURAS!$B$2:$J$91,9,FALSE()),""))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IF(DATOS!$A15574="",0,IF(CONFIG_METADATA!$B$4&lt;&gt;"OR+EX",--(DATOS!$G15574=CONFIG_METADATA!$B$4),IF(DATOS!$G15574="EX",1,IF(DATOS!$G15574="OR",--(COUNTIFS(nNIA,DATOS!$A15574,nCURSO,DATOS!$D15574,nESPEC,DATOS!$E15574,nASIG,DATOS!$I15574,nEVAL,"EX")=0),0))))</f>
      </c>
      <c r="H15574">
        <f>IF(DATOS!$G15574&lt;&gt;"EX",0,--(COUNTIFS(nNIA,DATOS!$A15574,nCURSO,DATOS!$D15574,nESPEC,DATOS!$E15574,nASIG,DATOS!$I15574,nEVAL,"OR")=0))</f>
      </c>
      <c r="I15574">
        <f>IF(DATOS!$I15574="","",IFERROR(VLOOKUP(DATOS!$I15574,CONFIG_ASIGNATURAS!$B$2:$J$91,9,FALSE()),""))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IF(DATOS!$A15575="",0,IF(CONFIG_METADATA!$B$4&lt;&gt;"OR+EX",--(DATOS!$G15575=CONFIG_METADATA!$B$4),IF(DATOS!$G15575="EX",1,IF(DATOS!$G15575="OR",--(COUNTIFS(nNIA,DATOS!$A15575,nCURSO,DATOS!$D15575,nESPEC,DATOS!$E15575,nASIG,DATOS!$I15575,nEVAL,"EX")=0),0))))</f>
      </c>
      <c r="H15575">
        <f>IF(DATOS!$G15575&lt;&gt;"EX",0,--(COUNTIFS(nNIA,DATOS!$A15575,nCURSO,DATOS!$D15575,nESPEC,DATOS!$E15575,nASIG,DATOS!$I15575,nEVAL,"OR")=0))</f>
      </c>
      <c r="I15575">
        <f>IF(DATOS!$I15575="","",IFERROR(VLOOKUP(DATOS!$I15575,CONFIG_ASIGNATURAS!$B$2:$J$91,9,FALSE()),""))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IF(DATOS!$A15576="",0,IF(CONFIG_METADATA!$B$4&lt;&gt;"OR+EX",--(DATOS!$G15576=CONFIG_METADATA!$B$4),IF(DATOS!$G15576="EX",1,IF(DATOS!$G15576="OR",--(COUNTIFS(nNIA,DATOS!$A15576,nCURSO,DATOS!$D15576,nESPEC,DATOS!$E15576,nASIG,DATOS!$I15576,nEVAL,"EX")=0),0))))</f>
      </c>
      <c r="H15576">
        <f>IF(DATOS!$G15576&lt;&gt;"EX",0,--(COUNTIFS(nNIA,DATOS!$A15576,nCURSO,DATOS!$D15576,nESPEC,DATOS!$E15576,nASIG,DATOS!$I15576,nEVAL,"OR")=0))</f>
      </c>
      <c r="I15576">
        <f>IF(DATOS!$I15576="","",IFERROR(VLOOKUP(DATOS!$I15576,CONFIG_ASIGNATURAS!$B$2:$J$91,9,FALSE()),""))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IF(DATOS!$A15577="",0,IF(CONFIG_METADATA!$B$4&lt;&gt;"OR+EX",--(DATOS!$G15577=CONFIG_METADATA!$B$4),IF(DATOS!$G15577="EX",1,IF(DATOS!$G15577="OR",--(COUNTIFS(nNIA,DATOS!$A15577,nCURSO,DATOS!$D15577,nESPEC,DATOS!$E15577,nASIG,DATOS!$I15577,nEVAL,"EX")=0),0))))</f>
      </c>
      <c r="H15577">
        <f>IF(DATOS!$G15577&lt;&gt;"EX",0,--(COUNTIFS(nNIA,DATOS!$A15577,nCURSO,DATOS!$D15577,nESPEC,DATOS!$E15577,nASIG,DATOS!$I15577,nEVAL,"OR")=0))</f>
      </c>
      <c r="I15577">
        <f>IF(DATOS!$I15577="","",IFERROR(VLOOKUP(DATOS!$I15577,CONFIG_ASIGNATURAS!$B$2:$J$91,9,FALSE()),""))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IF(DATOS!$A15578="",0,IF(CONFIG_METADATA!$B$4&lt;&gt;"OR+EX",--(DATOS!$G15578=CONFIG_METADATA!$B$4),IF(DATOS!$G15578="EX",1,IF(DATOS!$G15578="OR",--(COUNTIFS(nNIA,DATOS!$A15578,nCURSO,DATOS!$D15578,nESPEC,DATOS!$E15578,nASIG,DATOS!$I15578,nEVAL,"EX")=0),0))))</f>
      </c>
      <c r="H15578">
        <f>IF(DATOS!$G15578&lt;&gt;"EX",0,--(COUNTIFS(nNIA,DATOS!$A15578,nCURSO,DATOS!$D15578,nESPEC,DATOS!$E15578,nASIG,DATOS!$I15578,nEVAL,"OR")=0))</f>
      </c>
      <c r="I15578">
        <f>IF(DATOS!$I15578="","",IFERROR(VLOOKUP(DATOS!$I15578,CONFIG_ASIGNATURAS!$B$2:$J$91,9,FALSE()),""))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IF(DATOS!$A15579="",0,IF(CONFIG_METADATA!$B$4&lt;&gt;"OR+EX",--(DATOS!$G15579=CONFIG_METADATA!$B$4),IF(DATOS!$G15579="EX",1,IF(DATOS!$G15579="OR",--(COUNTIFS(nNIA,DATOS!$A15579,nCURSO,DATOS!$D15579,nESPEC,DATOS!$E15579,nASIG,DATOS!$I15579,nEVAL,"EX")=0),0))))</f>
      </c>
      <c r="H15579">
        <f>IF(DATOS!$G15579&lt;&gt;"EX",0,--(COUNTIFS(nNIA,DATOS!$A15579,nCURSO,DATOS!$D15579,nESPEC,DATOS!$E15579,nASIG,DATOS!$I15579,nEVAL,"OR")=0))</f>
      </c>
      <c r="I15579">
        <f>IF(DATOS!$I15579="","",IFERROR(VLOOKUP(DATOS!$I15579,CONFIG_ASIGNATURAS!$B$2:$J$91,9,FALSE()),""))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IF(DATOS!$A15580="",0,IF(CONFIG_METADATA!$B$4&lt;&gt;"OR+EX",--(DATOS!$G15580=CONFIG_METADATA!$B$4),IF(DATOS!$G15580="EX",1,IF(DATOS!$G15580="OR",--(COUNTIFS(nNIA,DATOS!$A15580,nCURSO,DATOS!$D15580,nESPEC,DATOS!$E15580,nASIG,DATOS!$I15580,nEVAL,"EX")=0),0))))</f>
      </c>
      <c r="H15580">
        <f>IF(DATOS!$G15580&lt;&gt;"EX",0,--(COUNTIFS(nNIA,DATOS!$A15580,nCURSO,DATOS!$D15580,nESPEC,DATOS!$E15580,nASIG,DATOS!$I15580,nEVAL,"OR")=0))</f>
      </c>
      <c r="I15580">
        <f>IF(DATOS!$I15580="","",IFERROR(VLOOKUP(DATOS!$I15580,CONFIG_ASIGNATURAS!$B$2:$J$91,9,FALSE()),""))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IF(DATOS!$A15581="",0,IF(CONFIG_METADATA!$B$4&lt;&gt;"OR+EX",--(DATOS!$G15581=CONFIG_METADATA!$B$4),IF(DATOS!$G15581="EX",1,IF(DATOS!$G15581="OR",--(COUNTIFS(nNIA,DATOS!$A15581,nCURSO,DATOS!$D15581,nESPEC,DATOS!$E15581,nASIG,DATOS!$I15581,nEVAL,"EX")=0),0))))</f>
      </c>
      <c r="H15581">
        <f>IF(DATOS!$G15581&lt;&gt;"EX",0,--(COUNTIFS(nNIA,DATOS!$A15581,nCURSO,DATOS!$D15581,nESPEC,DATOS!$E15581,nASIG,DATOS!$I15581,nEVAL,"OR")=0))</f>
      </c>
      <c r="I15581">
        <f>IF(DATOS!$I15581="","",IFERROR(VLOOKUP(DATOS!$I15581,CONFIG_ASIGNATURAS!$B$2:$J$91,9,FALSE()),""))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IF(DATOS!$A15582="",0,IF(CONFIG_METADATA!$B$4&lt;&gt;"OR+EX",--(DATOS!$G15582=CONFIG_METADATA!$B$4),IF(DATOS!$G15582="EX",1,IF(DATOS!$G15582="OR",--(COUNTIFS(nNIA,DATOS!$A15582,nCURSO,DATOS!$D15582,nESPEC,DATOS!$E15582,nASIG,DATOS!$I15582,nEVAL,"EX")=0),0))))</f>
      </c>
      <c r="H15582">
        <f>IF(DATOS!$G15582&lt;&gt;"EX",0,--(COUNTIFS(nNIA,DATOS!$A15582,nCURSO,DATOS!$D15582,nESPEC,DATOS!$E15582,nASIG,DATOS!$I15582,nEVAL,"OR")=0))</f>
      </c>
      <c r="I15582">
        <f>IF(DATOS!$I15582="","",IFERROR(VLOOKUP(DATOS!$I15582,CONFIG_ASIGNATURAS!$B$2:$J$91,9,FALSE()),""))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IF(DATOS!$A15583="",0,IF(CONFIG_METADATA!$B$4&lt;&gt;"OR+EX",--(DATOS!$G15583=CONFIG_METADATA!$B$4),IF(DATOS!$G15583="EX",1,IF(DATOS!$G15583="OR",--(COUNTIFS(nNIA,DATOS!$A15583,nCURSO,DATOS!$D15583,nESPEC,DATOS!$E15583,nASIG,DATOS!$I15583,nEVAL,"EX")=0),0))))</f>
      </c>
      <c r="H15583">
        <f>IF(DATOS!$G15583&lt;&gt;"EX",0,--(COUNTIFS(nNIA,DATOS!$A15583,nCURSO,DATOS!$D15583,nESPEC,DATOS!$E15583,nASIG,DATOS!$I15583,nEVAL,"OR")=0))</f>
      </c>
      <c r="I15583">
        <f>IF(DATOS!$I15583="","",IFERROR(VLOOKUP(DATOS!$I15583,CONFIG_ASIGNATURAS!$B$2:$J$91,9,FALSE()),""))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IF(DATOS!$A15584="",0,IF(CONFIG_METADATA!$B$4&lt;&gt;"OR+EX",--(DATOS!$G15584=CONFIG_METADATA!$B$4),IF(DATOS!$G15584="EX",1,IF(DATOS!$G15584="OR",--(COUNTIFS(nNIA,DATOS!$A15584,nCURSO,DATOS!$D15584,nESPEC,DATOS!$E15584,nASIG,DATOS!$I15584,nEVAL,"EX")=0),0))))</f>
      </c>
      <c r="H15584">
        <f>IF(DATOS!$G15584&lt;&gt;"EX",0,--(COUNTIFS(nNIA,DATOS!$A15584,nCURSO,DATOS!$D15584,nESPEC,DATOS!$E15584,nASIG,DATOS!$I15584,nEVAL,"OR")=0))</f>
      </c>
      <c r="I15584">
        <f>IF(DATOS!$I15584="","",IFERROR(VLOOKUP(DATOS!$I15584,CONFIG_ASIGNATURAS!$B$2:$J$91,9,FALSE()),""))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IF(DATOS!$A15585="",0,IF(CONFIG_METADATA!$B$4&lt;&gt;"OR+EX",--(DATOS!$G15585=CONFIG_METADATA!$B$4),IF(DATOS!$G15585="EX",1,IF(DATOS!$G15585="OR",--(COUNTIFS(nNIA,DATOS!$A15585,nCURSO,DATOS!$D15585,nESPEC,DATOS!$E15585,nASIG,DATOS!$I15585,nEVAL,"EX")=0),0))))</f>
      </c>
      <c r="H15585">
        <f>IF(DATOS!$G15585&lt;&gt;"EX",0,--(COUNTIFS(nNIA,DATOS!$A15585,nCURSO,DATOS!$D15585,nESPEC,DATOS!$E15585,nASIG,DATOS!$I15585,nEVAL,"OR")=0))</f>
      </c>
      <c r="I15585">
        <f>IF(DATOS!$I15585="","",IFERROR(VLOOKUP(DATOS!$I15585,CONFIG_ASIGNATURAS!$B$2:$J$91,9,FALSE()),""))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IF(DATOS!$A15586="",0,IF(CONFIG_METADATA!$B$4&lt;&gt;"OR+EX",--(DATOS!$G15586=CONFIG_METADATA!$B$4),IF(DATOS!$G15586="EX",1,IF(DATOS!$G15586="OR",--(COUNTIFS(nNIA,DATOS!$A15586,nCURSO,DATOS!$D15586,nESPEC,DATOS!$E15586,nASIG,DATOS!$I15586,nEVAL,"EX")=0),0))))</f>
      </c>
      <c r="H15586">
        <f>IF(DATOS!$G15586&lt;&gt;"EX",0,--(COUNTIFS(nNIA,DATOS!$A15586,nCURSO,DATOS!$D15586,nESPEC,DATOS!$E15586,nASIG,DATOS!$I15586,nEVAL,"OR")=0))</f>
      </c>
      <c r="I15586">
        <f>IF(DATOS!$I15586="","",IFERROR(VLOOKUP(DATOS!$I15586,CONFIG_ASIGNATURAS!$B$2:$J$91,9,FALSE()),""))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IF(DATOS!$A15587="",0,IF(CONFIG_METADATA!$B$4&lt;&gt;"OR+EX",--(DATOS!$G15587=CONFIG_METADATA!$B$4),IF(DATOS!$G15587="EX",1,IF(DATOS!$G15587="OR",--(COUNTIFS(nNIA,DATOS!$A15587,nCURSO,DATOS!$D15587,nESPEC,DATOS!$E15587,nASIG,DATOS!$I15587,nEVAL,"EX")=0),0))))</f>
      </c>
      <c r="H15587">
        <f>IF(DATOS!$G15587&lt;&gt;"EX",0,--(COUNTIFS(nNIA,DATOS!$A15587,nCURSO,DATOS!$D15587,nESPEC,DATOS!$E15587,nASIG,DATOS!$I15587,nEVAL,"OR")=0))</f>
      </c>
      <c r="I15587">
        <f>IF(DATOS!$I15587="","",IFERROR(VLOOKUP(DATOS!$I15587,CONFIG_ASIGNATURAS!$B$2:$J$91,9,FALSE()),""))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IF(DATOS!$A15588="",0,IF(CONFIG_METADATA!$B$4&lt;&gt;"OR+EX",--(DATOS!$G15588=CONFIG_METADATA!$B$4),IF(DATOS!$G15588="EX",1,IF(DATOS!$G15588="OR",--(COUNTIFS(nNIA,DATOS!$A15588,nCURSO,DATOS!$D15588,nESPEC,DATOS!$E15588,nASIG,DATOS!$I15588,nEVAL,"EX")=0),0))))</f>
      </c>
      <c r="H15588">
        <f>IF(DATOS!$G15588&lt;&gt;"EX",0,--(COUNTIFS(nNIA,DATOS!$A15588,nCURSO,DATOS!$D15588,nESPEC,DATOS!$E15588,nASIG,DATOS!$I15588,nEVAL,"OR")=0))</f>
      </c>
      <c r="I15588">
        <f>IF(DATOS!$I15588="","",IFERROR(VLOOKUP(DATOS!$I15588,CONFIG_ASIGNATURAS!$B$2:$J$91,9,FALSE()),""))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IF(DATOS!$A15589="",0,IF(CONFIG_METADATA!$B$4&lt;&gt;"OR+EX",--(DATOS!$G15589=CONFIG_METADATA!$B$4),IF(DATOS!$G15589="EX",1,IF(DATOS!$G15589="OR",--(COUNTIFS(nNIA,DATOS!$A15589,nCURSO,DATOS!$D15589,nESPEC,DATOS!$E15589,nASIG,DATOS!$I15589,nEVAL,"EX")=0),0))))</f>
      </c>
      <c r="H15589">
        <f>IF(DATOS!$G15589&lt;&gt;"EX",0,--(COUNTIFS(nNIA,DATOS!$A15589,nCURSO,DATOS!$D15589,nESPEC,DATOS!$E15589,nASIG,DATOS!$I15589,nEVAL,"OR")=0))</f>
      </c>
      <c r="I15589">
        <f>IF(DATOS!$I15589="","",IFERROR(VLOOKUP(DATOS!$I15589,CONFIG_ASIGNATURAS!$B$2:$J$91,9,FALSE()),""))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IF(DATOS!$A15590="",0,IF(CONFIG_METADATA!$B$4&lt;&gt;"OR+EX",--(DATOS!$G15590=CONFIG_METADATA!$B$4),IF(DATOS!$G15590="EX",1,IF(DATOS!$G15590="OR",--(COUNTIFS(nNIA,DATOS!$A15590,nCURSO,DATOS!$D15590,nESPEC,DATOS!$E15590,nASIG,DATOS!$I15590,nEVAL,"EX")=0),0))))</f>
      </c>
      <c r="H15590">
        <f>IF(DATOS!$G15590&lt;&gt;"EX",0,--(COUNTIFS(nNIA,DATOS!$A15590,nCURSO,DATOS!$D15590,nESPEC,DATOS!$E15590,nASIG,DATOS!$I15590,nEVAL,"OR")=0))</f>
      </c>
      <c r="I15590">
        <f>IF(DATOS!$I15590="","",IFERROR(VLOOKUP(DATOS!$I15590,CONFIG_ASIGNATURAS!$B$2:$J$91,9,FALSE()),""))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IF(DATOS!$A15591="",0,IF(CONFIG_METADATA!$B$4&lt;&gt;"OR+EX",--(DATOS!$G15591=CONFIG_METADATA!$B$4),IF(DATOS!$G15591="EX",1,IF(DATOS!$G15591="OR",--(COUNTIFS(nNIA,DATOS!$A15591,nCURSO,DATOS!$D15591,nESPEC,DATOS!$E15591,nASIG,DATOS!$I15591,nEVAL,"EX")=0),0))))</f>
      </c>
      <c r="H15591">
        <f>IF(DATOS!$G15591&lt;&gt;"EX",0,--(COUNTIFS(nNIA,DATOS!$A15591,nCURSO,DATOS!$D15591,nESPEC,DATOS!$E15591,nASIG,DATOS!$I15591,nEVAL,"OR")=0))</f>
      </c>
      <c r="I15591">
        <f>IF(DATOS!$I15591="","",IFERROR(VLOOKUP(DATOS!$I15591,CONFIG_ASIGNATURAS!$B$2:$J$91,9,FALSE()),""))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IF(DATOS!$A15592="",0,IF(CONFIG_METADATA!$B$4&lt;&gt;"OR+EX",--(DATOS!$G15592=CONFIG_METADATA!$B$4),IF(DATOS!$G15592="EX",1,IF(DATOS!$G15592="OR",--(COUNTIFS(nNIA,DATOS!$A15592,nCURSO,DATOS!$D15592,nESPEC,DATOS!$E15592,nASIG,DATOS!$I15592,nEVAL,"EX")=0),0))))</f>
      </c>
      <c r="H15592">
        <f>IF(DATOS!$G15592&lt;&gt;"EX",0,--(COUNTIFS(nNIA,DATOS!$A15592,nCURSO,DATOS!$D15592,nESPEC,DATOS!$E15592,nASIG,DATOS!$I15592,nEVAL,"OR")=0))</f>
      </c>
      <c r="I15592">
        <f>IF(DATOS!$I15592="","",IFERROR(VLOOKUP(DATOS!$I15592,CONFIG_ASIGNATURAS!$B$2:$J$91,9,FALSE()),""))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IF(DATOS!$A15593="",0,IF(CONFIG_METADATA!$B$4&lt;&gt;"OR+EX",--(DATOS!$G15593=CONFIG_METADATA!$B$4),IF(DATOS!$G15593="EX",1,IF(DATOS!$G15593="OR",--(COUNTIFS(nNIA,DATOS!$A15593,nCURSO,DATOS!$D15593,nESPEC,DATOS!$E15593,nASIG,DATOS!$I15593,nEVAL,"EX")=0),0))))</f>
      </c>
      <c r="H15593">
        <f>IF(DATOS!$G15593&lt;&gt;"EX",0,--(COUNTIFS(nNIA,DATOS!$A15593,nCURSO,DATOS!$D15593,nESPEC,DATOS!$E15593,nASIG,DATOS!$I15593,nEVAL,"OR")=0))</f>
      </c>
      <c r="I15593">
        <f>IF(DATOS!$I15593="","",IFERROR(VLOOKUP(DATOS!$I15593,CONFIG_ASIGNATURAS!$B$2:$J$91,9,FALSE()),""))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IF(DATOS!$A15594="",0,IF(CONFIG_METADATA!$B$4&lt;&gt;"OR+EX",--(DATOS!$G15594=CONFIG_METADATA!$B$4),IF(DATOS!$G15594="EX",1,IF(DATOS!$G15594="OR",--(COUNTIFS(nNIA,DATOS!$A15594,nCURSO,DATOS!$D15594,nESPEC,DATOS!$E15594,nASIG,DATOS!$I15594,nEVAL,"EX")=0),0))))</f>
      </c>
      <c r="H15594">
        <f>IF(DATOS!$G15594&lt;&gt;"EX",0,--(COUNTIFS(nNIA,DATOS!$A15594,nCURSO,DATOS!$D15594,nESPEC,DATOS!$E15594,nASIG,DATOS!$I15594,nEVAL,"OR")=0))</f>
      </c>
      <c r="I15594">
        <f>IF(DATOS!$I15594="","",IFERROR(VLOOKUP(DATOS!$I15594,CONFIG_ASIGNATURAS!$B$2:$J$91,9,FALSE()),""))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IF(DATOS!$A15595="",0,IF(CONFIG_METADATA!$B$4&lt;&gt;"OR+EX",--(DATOS!$G15595=CONFIG_METADATA!$B$4),IF(DATOS!$G15595="EX",1,IF(DATOS!$G15595="OR",--(COUNTIFS(nNIA,DATOS!$A15595,nCURSO,DATOS!$D15595,nESPEC,DATOS!$E15595,nASIG,DATOS!$I15595,nEVAL,"EX")=0),0))))</f>
      </c>
      <c r="H15595">
        <f>IF(DATOS!$G15595&lt;&gt;"EX",0,--(COUNTIFS(nNIA,DATOS!$A15595,nCURSO,DATOS!$D15595,nESPEC,DATOS!$E15595,nASIG,DATOS!$I15595,nEVAL,"OR")=0))</f>
      </c>
      <c r="I15595">
        <f>IF(DATOS!$I15595="","",IFERROR(VLOOKUP(DATOS!$I15595,CONFIG_ASIGNATURAS!$B$2:$J$91,9,FALSE()),""))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IF(DATOS!$A15596="",0,IF(CONFIG_METADATA!$B$4&lt;&gt;"OR+EX",--(DATOS!$G15596=CONFIG_METADATA!$B$4),IF(DATOS!$G15596="EX",1,IF(DATOS!$G15596="OR",--(COUNTIFS(nNIA,DATOS!$A15596,nCURSO,DATOS!$D15596,nESPEC,DATOS!$E15596,nASIG,DATOS!$I15596,nEVAL,"EX")=0),0))))</f>
      </c>
      <c r="H15596">
        <f>IF(DATOS!$G15596&lt;&gt;"EX",0,--(COUNTIFS(nNIA,DATOS!$A15596,nCURSO,DATOS!$D15596,nESPEC,DATOS!$E15596,nASIG,DATOS!$I15596,nEVAL,"OR")=0))</f>
      </c>
      <c r="I15596">
        <f>IF(DATOS!$I15596="","",IFERROR(VLOOKUP(DATOS!$I15596,CONFIG_ASIGNATURAS!$B$2:$J$91,9,FALSE()),""))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IF(DATOS!$A15597="",0,IF(CONFIG_METADATA!$B$4&lt;&gt;"OR+EX",--(DATOS!$G15597=CONFIG_METADATA!$B$4),IF(DATOS!$G15597="EX",1,IF(DATOS!$G15597="OR",--(COUNTIFS(nNIA,DATOS!$A15597,nCURSO,DATOS!$D15597,nESPEC,DATOS!$E15597,nASIG,DATOS!$I15597,nEVAL,"EX")=0),0))))</f>
      </c>
      <c r="H15597">
        <f>IF(DATOS!$G15597&lt;&gt;"EX",0,--(COUNTIFS(nNIA,DATOS!$A15597,nCURSO,DATOS!$D15597,nESPEC,DATOS!$E15597,nASIG,DATOS!$I15597,nEVAL,"OR")=0))</f>
      </c>
      <c r="I15597">
        <f>IF(DATOS!$I15597="","",IFERROR(VLOOKUP(DATOS!$I15597,CONFIG_ASIGNATURAS!$B$2:$J$91,9,FALSE()),""))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IF(DATOS!$A15598="",0,IF(CONFIG_METADATA!$B$4&lt;&gt;"OR+EX",--(DATOS!$G15598=CONFIG_METADATA!$B$4),IF(DATOS!$G15598="EX",1,IF(DATOS!$G15598="OR",--(COUNTIFS(nNIA,DATOS!$A15598,nCURSO,DATOS!$D15598,nESPEC,DATOS!$E15598,nASIG,DATOS!$I15598,nEVAL,"EX")=0),0))))</f>
      </c>
      <c r="H15598">
        <f>IF(DATOS!$G15598&lt;&gt;"EX",0,--(COUNTIFS(nNIA,DATOS!$A15598,nCURSO,DATOS!$D15598,nESPEC,DATOS!$E15598,nASIG,DATOS!$I15598,nEVAL,"OR")=0))</f>
      </c>
      <c r="I15598">
        <f>IF(DATOS!$I15598="","",IFERROR(VLOOKUP(DATOS!$I15598,CONFIG_ASIGNATURAS!$B$2:$J$91,9,FALSE()),""))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IF(DATOS!$A15599="",0,IF(CONFIG_METADATA!$B$4&lt;&gt;"OR+EX",--(DATOS!$G15599=CONFIG_METADATA!$B$4),IF(DATOS!$G15599="EX",1,IF(DATOS!$G15599="OR",--(COUNTIFS(nNIA,DATOS!$A15599,nCURSO,DATOS!$D15599,nESPEC,DATOS!$E15599,nASIG,DATOS!$I15599,nEVAL,"EX")=0),0))))</f>
      </c>
      <c r="H15599">
        <f>IF(DATOS!$G15599&lt;&gt;"EX",0,--(COUNTIFS(nNIA,DATOS!$A15599,nCURSO,DATOS!$D15599,nESPEC,DATOS!$E15599,nASIG,DATOS!$I15599,nEVAL,"OR")=0))</f>
      </c>
      <c r="I15599">
        <f>IF(DATOS!$I15599="","",IFERROR(VLOOKUP(DATOS!$I15599,CONFIG_ASIGNATURAS!$B$2:$J$91,9,FALSE()),""))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IF(DATOS!$A15600="",0,IF(CONFIG_METADATA!$B$4&lt;&gt;"OR+EX",--(DATOS!$G15600=CONFIG_METADATA!$B$4),IF(DATOS!$G15600="EX",1,IF(DATOS!$G15600="OR",--(COUNTIFS(nNIA,DATOS!$A15600,nCURSO,DATOS!$D15600,nESPEC,DATOS!$E15600,nASIG,DATOS!$I15600,nEVAL,"EX")=0),0))))</f>
      </c>
      <c r="H15600">
        <f>IF(DATOS!$G15600&lt;&gt;"EX",0,--(COUNTIFS(nNIA,DATOS!$A15600,nCURSO,DATOS!$D15600,nESPEC,DATOS!$E15600,nASIG,DATOS!$I15600,nEVAL,"OR")=0))</f>
      </c>
      <c r="I15600">
        <f>IF(DATOS!$I15600="","",IFERROR(VLOOKUP(DATOS!$I15600,CONFIG_ASIGNATURAS!$B$2:$J$91,9,FALSE()),""))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IF(DATOS!$A15601="",0,IF(CONFIG_METADATA!$B$4&lt;&gt;"OR+EX",--(DATOS!$G15601=CONFIG_METADATA!$B$4),IF(DATOS!$G15601="EX",1,IF(DATOS!$G15601="OR",--(COUNTIFS(nNIA,DATOS!$A15601,nCURSO,DATOS!$D15601,nESPEC,DATOS!$E15601,nASIG,DATOS!$I15601,nEVAL,"EX")=0),0))))</f>
      </c>
      <c r="H15601">
        <f>IF(DATOS!$G15601&lt;&gt;"EX",0,--(COUNTIFS(nNIA,DATOS!$A15601,nCURSO,DATOS!$D15601,nESPEC,DATOS!$E15601,nASIG,DATOS!$I15601,nEVAL,"OR")=0))</f>
      </c>
      <c r="I15601">
        <f>IF(DATOS!$I15601="","",IFERROR(VLOOKUP(DATOS!$I15601,CONFIG_ASIGNATURAS!$B$2:$J$91,9,FALSE()),""))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IF(DATOS!$A15602="",0,IF(CONFIG_METADATA!$B$4&lt;&gt;"OR+EX",--(DATOS!$G15602=CONFIG_METADATA!$B$4),IF(DATOS!$G15602="EX",1,IF(DATOS!$G15602="OR",--(COUNTIFS(nNIA,DATOS!$A15602,nCURSO,DATOS!$D15602,nESPEC,DATOS!$E15602,nASIG,DATOS!$I15602,nEVAL,"EX")=0),0))))</f>
      </c>
      <c r="H15602">
        <f>IF(DATOS!$G15602&lt;&gt;"EX",0,--(COUNTIFS(nNIA,DATOS!$A15602,nCURSO,DATOS!$D15602,nESPEC,DATOS!$E15602,nASIG,DATOS!$I15602,nEVAL,"OR")=0))</f>
      </c>
      <c r="I15602">
        <f>IF(DATOS!$I15602="","",IFERROR(VLOOKUP(DATOS!$I15602,CONFIG_ASIGNATURAS!$B$2:$J$91,9,FALSE()),""))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IF(DATOS!$A15603="",0,IF(CONFIG_METADATA!$B$4&lt;&gt;"OR+EX",--(DATOS!$G15603=CONFIG_METADATA!$B$4),IF(DATOS!$G15603="EX",1,IF(DATOS!$G15603="OR",--(COUNTIFS(nNIA,DATOS!$A15603,nCURSO,DATOS!$D15603,nESPEC,DATOS!$E15603,nASIG,DATOS!$I15603,nEVAL,"EX")=0),0))))</f>
      </c>
      <c r="H15603">
        <f>IF(DATOS!$G15603&lt;&gt;"EX",0,--(COUNTIFS(nNIA,DATOS!$A15603,nCURSO,DATOS!$D15603,nESPEC,DATOS!$E15603,nASIG,DATOS!$I15603,nEVAL,"OR")=0))</f>
      </c>
      <c r="I15603">
        <f>IF(DATOS!$I15603="","",IFERROR(VLOOKUP(DATOS!$I15603,CONFIG_ASIGNATURAS!$B$2:$J$91,9,FALSE()),""))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IF(DATOS!$A15604="",0,IF(CONFIG_METADATA!$B$4&lt;&gt;"OR+EX",--(DATOS!$G15604=CONFIG_METADATA!$B$4),IF(DATOS!$G15604="EX",1,IF(DATOS!$G15604="OR",--(COUNTIFS(nNIA,DATOS!$A15604,nCURSO,DATOS!$D15604,nESPEC,DATOS!$E15604,nASIG,DATOS!$I15604,nEVAL,"EX")=0),0))))</f>
      </c>
      <c r="H15604">
        <f>IF(DATOS!$G15604&lt;&gt;"EX",0,--(COUNTIFS(nNIA,DATOS!$A15604,nCURSO,DATOS!$D15604,nESPEC,DATOS!$E15604,nASIG,DATOS!$I15604,nEVAL,"OR")=0))</f>
      </c>
      <c r="I15604">
        <f>IF(DATOS!$I15604="","",IFERROR(VLOOKUP(DATOS!$I15604,CONFIG_ASIGNATURAS!$B$2:$J$91,9,FALSE()),""))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IF(DATOS!$A15605="",0,IF(CONFIG_METADATA!$B$4&lt;&gt;"OR+EX",--(DATOS!$G15605=CONFIG_METADATA!$B$4),IF(DATOS!$G15605="EX",1,IF(DATOS!$G15605="OR",--(COUNTIFS(nNIA,DATOS!$A15605,nCURSO,DATOS!$D15605,nESPEC,DATOS!$E15605,nASIG,DATOS!$I15605,nEVAL,"EX")=0),0))))</f>
      </c>
      <c r="H15605">
        <f>IF(DATOS!$G15605&lt;&gt;"EX",0,--(COUNTIFS(nNIA,DATOS!$A15605,nCURSO,DATOS!$D15605,nESPEC,DATOS!$E15605,nASIG,DATOS!$I15605,nEVAL,"OR")=0))</f>
      </c>
      <c r="I15605">
        <f>IF(DATOS!$I15605="","",IFERROR(VLOOKUP(DATOS!$I15605,CONFIG_ASIGNATURAS!$B$2:$J$91,9,FALSE()),""))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IF(DATOS!$A15606="",0,IF(CONFIG_METADATA!$B$4&lt;&gt;"OR+EX",--(DATOS!$G15606=CONFIG_METADATA!$B$4),IF(DATOS!$G15606="EX",1,IF(DATOS!$G15606="OR",--(COUNTIFS(nNIA,DATOS!$A15606,nCURSO,DATOS!$D15606,nESPEC,DATOS!$E15606,nASIG,DATOS!$I15606,nEVAL,"EX")=0),0))))</f>
      </c>
      <c r="H15606">
        <f>IF(DATOS!$G15606&lt;&gt;"EX",0,--(COUNTIFS(nNIA,DATOS!$A15606,nCURSO,DATOS!$D15606,nESPEC,DATOS!$E15606,nASIG,DATOS!$I15606,nEVAL,"OR")=0))</f>
      </c>
      <c r="I15606">
        <f>IF(DATOS!$I15606="","",IFERROR(VLOOKUP(DATOS!$I15606,CONFIG_ASIGNATURAS!$B$2:$J$91,9,FALSE()),""))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IF(DATOS!$A15607="",0,IF(CONFIG_METADATA!$B$4&lt;&gt;"OR+EX",--(DATOS!$G15607=CONFIG_METADATA!$B$4),IF(DATOS!$G15607="EX",1,IF(DATOS!$G15607="OR",--(COUNTIFS(nNIA,DATOS!$A15607,nCURSO,DATOS!$D15607,nESPEC,DATOS!$E15607,nASIG,DATOS!$I15607,nEVAL,"EX")=0),0))))</f>
      </c>
      <c r="H15607">
        <f>IF(DATOS!$G15607&lt;&gt;"EX",0,--(COUNTIFS(nNIA,DATOS!$A15607,nCURSO,DATOS!$D15607,nESPEC,DATOS!$E15607,nASIG,DATOS!$I15607,nEVAL,"OR")=0))</f>
      </c>
      <c r="I15607">
        <f>IF(DATOS!$I15607="","",IFERROR(VLOOKUP(DATOS!$I15607,CONFIG_ASIGNATURAS!$B$2:$J$91,9,FALSE()),""))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IF(DATOS!$A15608="",0,IF(CONFIG_METADATA!$B$4&lt;&gt;"OR+EX",--(DATOS!$G15608=CONFIG_METADATA!$B$4),IF(DATOS!$G15608="EX",1,IF(DATOS!$G15608="OR",--(COUNTIFS(nNIA,DATOS!$A15608,nCURSO,DATOS!$D15608,nESPEC,DATOS!$E15608,nASIG,DATOS!$I15608,nEVAL,"EX")=0),0))))</f>
      </c>
      <c r="H15608">
        <f>IF(DATOS!$G15608&lt;&gt;"EX",0,--(COUNTIFS(nNIA,DATOS!$A15608,nCURSO,DATOS!$D15608,nESPEC,DATOS!$E15608,nASIG,DATOS!$I15608,nEVAL,"OR")=0))</f>
      </c>
      <c r="I15608">
        <f>IF(DATOS!$I15608="","",IFERROR(VLOOKUP(DATOS!$I15608,CONFIG_ASIGNATURAS!$B$2:$J$91,9,FALSE()),""))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IF(DATOS!$A15609="",0,IF(CONFIG_METADATA!$B$4&lt;&gt;"OR+EX",--(DATOS!$G15609=CONFIG_METADATA!$B$4),IF(DATOS!$G15609="EX",1,IF(DATOS!$G15609="OR",--(COUNTIFS(nNIA,DATOS!$A15609,nCURSO,DATOS!$D15609,nESPEC,DATOS!$E15609,nASIG,DATOS!$I15609,nEVAL,"EX")=0),0))))</f>
      </c>
      <c r="H15609">
        <f>IF(DATOS!$G15609&lt;&gt;"EX",0,--(COUNTIFS(nNIA,DATOS!$A15609,nCURSO,DATOS!$D15609,nESPEC,DATOS!$E15609,nASIG,DATOS!$I15609,nEVAL,"OR")=0))</f>
      </c>
      <c r="I15609">
        <f>IF(DATOS!$I15609="","",IFERROR(VLOOKUP(DATOS!$I15609,CONFIG_ASIGNATURAS!$B$2:$J$91,9,FALSE()),""))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IF(DATOS!$A15610="",0,IF(CONFIG_METADATA!$B$4&lt;&gt;"OR+EX",--(DATOS!$G15610=CONFIG_METADATA!$B$4),IF(DATOS!$G15610="EX",1,IF(DATOS!$G15610="OR",--(COUNTIFS(nNIA,DATOS!$A15610,nCURSO,DATOS!$D15610,nESPEC,DATOS!$E15610,nASIG,DATOS!$I15610,nEVAL,"EX")=0),0))))</f>
      </c>
      <c r="H15610">
        <f>IF(DATOS!$G15610&lt;&gt;"EX",0,--(COUNTIFS(nNIA,DATOS!$A15610,nCURSO,DATOS!$D15610,nESPEC,DATOS!$E15610,nASIG,DATOS!$I15610,nEVAL,"OR")=0))</f>
      </c>
      <c r="I15610">
        <f>IF(DATOS!$I15610="","",IFERROR(VLOOKUP(DATOS!$I15610,CONFIG_ASIGNATURAS!$B$2:$J$91,9,FALSE()),""))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IF(DATOS!$A15611="",0,IF(CONFIG_METADATA!$B$4&lt;&gt;"OR+EX",--(DATOS!$G15611=CONFIG_METADATA!$B$4),IF(DATOS!$G15611="EX",1,IF(DATOS!$G15611="OR",--(COUNTIFS(nNIA,DATOS!$A15611,nCURSO,DATOS!$D15611,nESPEC,DATOS!$E15611,nASIG,DATOS!$I15611,nEVAL,"EX")=0),0))))</f>
      </c>
      <c r="H15611">
        <f>IF(DATOS!$G15611&lt;&gt;"EX",0,--(COUNTIFS(nNIA,DATOS!$A15611,nCURSO,DATOS!$D15611,nESPEC,DATOS!$E15611,nASIG,DATOS!$I15611,nEVAL,"OR")=0))</f>
      </c>
      <c r="I15611">
        <f>IF(DATOS!$I15611="","",IFERROR(VLOOKUP(DATOS!$I15611,CONFIG_ASIGNATURAS!$B$2:$J$91,9,FALSE()),""))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IF(DATOS!$A15612="",0,IF(CONFIG_METADATA!$B$4&lt;&gt;"OR+EX",--(DATOS!$G15612=CONFIG_METADATA!$B$4),IF(DATOS!$G15612="EX",1,IF(DATOS!$G15612="OR",--(COUNTIFS(nNIA,DATOS!$A15612,nCURSO,DATOS!$D15612,nESPEC,DATOS!$E15612,nASIG,DATOS!$I15612,nEVAL,"EX")=0),0))))</f>
      </c>
      <c r="H15612">
        <f>IF(DATOS!$G15612&lt;&gt;"EX",0,--(COUNTIFS(nNIA,DATOS!$A15612,nCURSO,DATOS!$D15612,nESPEC,DATOS!$E15612,nASIG,DATOS!$I15612,nEVAL,"OR")=0))</f>
      </c>
      <c r="I15612">
        <f>IF(DATOS!$I15612="","",IFERROR(VLOOKUP(DATOS!$I15612,CONFIG_ASIGNATURAS!$B$2:$J$91,9,FALSE()),""))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IF(DATOS!$A15613="",0,IF(CONFIG_METADATA!$B$4&lt;&gt;"OR+EX",--(DATOS!$G15613=CONFIG_METADATA!$B$4),IF(DATOS!$G15613="EX",1,IF(DATOS!$G15613="OR",--(COUNTIFS(nNIA,DATOS!$A15613,nCURSO,DATOS!$D15613,nESPEC,DATOS!$E15613,nASIG,DATOS!$I15613,nEVAL,"EX")=0),0))))</f>
      </c>
      <c r="H15613">
        <f>IF(DATOS!$G15613&lt;&gt;"EX",0,--(COUNTIFS(nNIA,DATOS!$A15613,nCURSO,DATOS!$D15613,nESPEC,DATOS!$E15613,nASIG,DATOS!$I15613,nEVAL,"OR")=0))</f>
      </c>
      <c r="I15613">
        <f>IF(DATOS!$I15613="","",IFERROR(VLOOKUP(DATOS!$I15613,CONFIG_ASIGNATURAS!$B$2:$J$91,9,FALSE()),""))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IF(DATOS!$A15614="",0,IF(CONFIG_METADATA!$B$4&lt;&gt;"OR+EX",--(DATOS!$G15614=CONFIG_METADATA!$B$4),IF(DATOS!$G15614="EX",1,IF(DATOS!$G15614="OR",--(COUNTIFS(nNIA,DATOS!$A15614,nCURSO,DATOS!$D15614,nESPEC,DATOS!$E15614,nASIG,DATOS!$I15614,nEVAL,"EX")=0),0))))</f>
      </c>
      <c r="H15614">
        <f>IF(DATOS!$G15614&lt;&gt;"EX",0,--(COUNTIFS(nNIA,DATOS!$A15614,nCURSO,DATOS!$D15614,nESPEC,DATOS!$E15614,nASIG,DATOS!$I15614,nEVAL,"OR")=0))</f>
      </c>
      <c r="I15614">
        <f>IF(DATOS!$I15614="","",IFERROR(VLOOKUP(DATOS!$I15614,CONFIG_ASIGNATURAS!$B$2:$J$91,9,FALSE()),""))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IF(DATOS!$A15615="",0,IF(CONFIG_METADATA!$B$4&lt;&gt;"OR+EX",--(DATOS!$G15615=CONFIG_METADATA!$B$4),IF(DATOS!$G15615="EX",1,IF(DATOS!$G15615="OR",--(COUNTIFS(nNIA,DATOS!$A15615,nCURSO,DATOS!$D15615,nESPEC,DATOS!$E15615,nASIG,DATOS!$I15615,nEVAL,"EX")=0),0))))</f>
      </c>
      <c r="H15615">
        <f>IF(DATOS!$G15615&lt;&gt;"EX",0,--(COUNTIFS(nNIA,DATOS!$A15615,nCURSO,DATOS!$D15615,nESPEC,DATOS!$E15615,nASIG,DATOS!$I15615,nEVAL,"OR")=0))</f>
      </c>
      <c r="I15615">
        <f>IF(DATOS!$I15615="","",IFERROR(VLOOKUP(DATOS!$I15615,CONFIG_ASIGNATURAS!$B$2:$J$91,9,FALSE()),""))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IF(DATOS!$A15616="",0,IF(CONFIG_METADATA!$B$4&lt;&gt;"OR+EX",--(DATOS!$G15616=CONFIG_METADATA!$B$4),IF(DATOS!$G15616="EX",1,IF(DATOS!$G15616="OR",--(COUNTIFS(nNIA,DATOS!$A15616,nCURSO,DATOS!$D15616,nESPEC,DATOS!$E15616,nASIG,DATOS!$I15616,nEVAL,"EX")=0),0))))</f>
      </c>
      <c r="H15616">
        <f>IF(DATOS!$G15616&lt;&gt;"EX",0,--(COUNTIFS(nNIA,DATOS!$A15616,nCURSO,DATOS!$D15616,nESPEC,DATOS!$E15616,nASIG,DATOS!$I15616,nEVAL,"OR")=0))</f>
      </c>
      <c r="I15616">
        <f>IF(DATOS!$I15616="","",IFERROR(VLOOKUP(DATOS!$I15616,CONFIG_ASIGNATURAS!$B$2:$J$91,9,FALSE()),""))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IF(DATOS!$A15617="",0,IF(CONFIG_METADATA!$B$4&lt;&gt;"OR+EX",--(DATOS!$G15617=CONFIG_METADATA!$B$4),IF(DATOS!$G15617="EX",1,IF(DATOS!$G15617="OR",--(COUNTIFS(nNIA,DATOS!$A15617,nCURSO,DATOS!$D15617,nESPEC,DATOS!$E15617,nASIG,DATOS!$I15617,nEVAL,"EX")=0),0))))</f>
      </c>
      <c r="H15617">
        <f>IF(DATOS!$G15617&lt;&gt;"EX",0,--(COUNTIFS(nNIA,DATOS!$A15617,nCURSO,DATOS!$D15617,nESPEC,DATOS!$E15617,nASIG,DATOS!$I15617,nEVAL,"OR")=0))</f>
      </c>
      <c r="I15617">
        <f>IF(DATOS!$I15617="","",IFERROR(VLOOKUP(DATOS!$I15617,CONFIG_ASIGNATURAS!$B$2:$J$91,9,FALSE()),""))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IF(DATOS!$A15618="",0,IF(CONFIG_METADATA!$B$4&lt;&gt;"OR+EX",--(DATOS!$G15618=CONFIG_METADATA!$B$4),IF(DATOS!$G15618="EX",1,IF(DATOS!$G15618="OR",--(COUNTIFS(nNIA,DATOS!$A15618,nCURSO,DATOS!$D15618,nESPEC,DATOS!$E15618,nASIG,DATOS!$I15618,nEVAL,"EX")=0),0))))</f>
      </c>
      <c r="H15618">
        <f>IF(DATOS!$G15618&lt;&gt;"EX",0,--(COUNTIFS(nNIA,DATOS!$A15618,nCURSO,DATOS!$D15618,nESPEC,DATOS!$E15618,nASIG,DATOS!$I15618,nEVAL,"OR")=0))</f>
      </c>
      <c r="I15618">
        <f>IF(DATOS!$I15618="","",IFERROR(VLOOKUP(DATOS!$I15618,CONFIG_ASIGNATURAS!$B$2:$J$91,9,FALSE()),""))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IF(DATOS!$A15619="",0,IF(CONFIG_METADATA!$B$4&lt;&gt;"OR+EX",--(DATOS!$G15619=CONFIG_METADATA!$B$4),IF(DATOS!$G15619="EX",1,IF(DATOS!$G15619="OR",--(COUNTIFS(nNIA,DATOS!$A15619,nCURSO,DATOS!$D15619,nESPEC,DATOS!$E15619,nASIG,DATOS!$I15619,nEVAL,"EX")=0),0))))</f>
      </c>
      <c r="H15619">
        <f>IF(DATOS!$G15619&lt;&gt;"EX",0,--(COUNTIFS(nNIA,DATOS!$A15619,nCURSO,DATOS!$D15619,nESPEC,DATOS!$E15619,nASIG,DATOS!$I15619,nEVAL,"OR")=0))</f>
      </c>
      <c r="I15619">
        <f>IF(DATOS!$I15619="","",IFERROR(VLOOKUP(DATOS!$I15619,CONFIG_ASIGNATURAS!$B$2:$J$91,9,FALSE()),""))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IF(DATOS!$A15620="",0,IF(CONFIG_METADATA!$B$4&lt;&gt;"OR+EX",--(DATOS!$G15620=CONFIG_METADATA!$B$4),IF(DATOS!$G15620="EX",1,IF(DATOS!$G15620="OR",--(COUNTIFS(nNIA,DATOS!$A15620,nCURSO,DATOS!$D15620,nESPEC,DATOS!$E15620,nASIG,DATOS!$I15620,nEVAL,"EX")=0),0))))</f>
      </c>
      <c r="H15620">
        <f>IF(DATOS!$G15620&lt;&gt;"EX",0,--(COUNTIFS(nNIA,DATOS!$A15620,nCURSO,DATOS!$D15620,nESPEC,DATOS!$E15620,nASIG,DATOS!$I15620,nEVAL,"OR")=0))</f>
      </c>
      <c r="I15620">
        <f>IF(DATOS!$I15620="","",IFERROR(VLOOKUP(DATOS!$I15620,CONFIG_ASIGNATURAS!$B$2:$J$91,9,FALSE()),""))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IF(DATOS!$A15621="",0,IF(CONFIG_METADATA!$B$4&lt;&gt;"OR+EX",--(DATOS!$G15621=CONFIG_METADATA!$B$4),IF(DATOS!$G15621="EX",1,IF(DATOS!$G15621="OR",--(COUNTIFS(nNIA,DATOS!$A15621,nCURSO,DATOS!$D15621,nESPEC,DATOS!$E15621,nASIG,DATOS!$I15621,nEVAL,"EX")=0),0))))</f>
      </c>
      <c r="H15621">
        <f>IF(DATOS!$G15621&lt;&gt;"EX",0,--(COUNTIFS(nNIA,DATOS!$A15621,nCURSO,DATOS!$D15621,nESPEC,DATOS!$E15621,nASIG,DATOS!$I15621,nEVAL,"OR")=0))</f>
      </c>
      <c r="I15621">
        <f>IF(DATOS!$I15621="","",IFERROR(VLOOKUP(DATOS!$I15621,CONFIG_ASIGNATURAS!$B$2:$J$91,9,FALSE()),""))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IF(DATOS!$A15622="",0,IF(CONFIG_METADATA!$B$4&lt;&gt;"OR+EX",--(DATOS!$G15622=CONFIG_METADATA!$B$4),IF(DATOS!$G15622="EX",1,IF(DATOS!$G15622="OR",--(COUNTIFS(nNIA,DATOS!$A15622,nCURSO,DATOS!$D15622,nESPEC,DATOS!$E15622,nASIG,DATOS!$I15622,nEVAL,"EX")=0),0))))</f>
      </c>
      <c r="H15622">
        <f>IF(DATOS!$G15622&lt;&gt;"EX",0,--(COUNTIFS(nNIA,DATOS!$A15622,nCURSO,DATOS!$D15622,nESPEC,DATOS!$E15622,nASIG,DATOS!$I15622,nEVAL,"OR")=0))</f>
      </c>
      <c r="I15622">
        <f>IF(DATOS!$I15622="","",IFERROR(VLOOKUP(DATOS!$I15622,CONFIG_ASIGNATURAS!$B$2:$J$91,9,FALSE()),""))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IF(DATOS!$A15623="",0,IF(CONFIG_METADATA!$B$4&lt;&gt;"OR+EX",--(DATOS!$G15623=CONFIG_METADATA!$B$4),IF(DATOS!$G15623="EX",1,IF(DATOS!$G15623="OR",--(COUNTIFS(nNIA,DATOS!$A15623,nCURSO,DATOS!$D15623,nESPEC,DATOS!$E15623,nASIG,DATOS!$I15623,nEVAL,"EX")=0),0))))</f>
      </c>
      <c r="H15623">
        <f>IF(DATOS!$G15623&lt;&gt;"EX",0,--(COUNTIFS(nNIA,DATOS!$A15623,nCURSO,DATOS!$D15623,nESPEC,DATOS!$E15623,nASIG,DATOS!$I15623,nEVAL,"OR")=0))</f>
      </c>
      <c r="I15623">
        <f>IF(DATOS!$I15623="","",IFERROR(VLOOKUP(DATOS!$I15623,CONFIG_ASIGNATURAS!$B$2:$J$91,9,FALSE()),""))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IF(DATOS!$A15624="",0,IF(CONFIG_METADATA!$B$4&lt;&gt;"OR+EX",--(DATOS!$G15624=CONFIG_METADATA!$B$4),IF(DATOS!$G15624="EX",1,IF(DATOS!$G15624="OR",--(COUNTIFS(nNIA,DATOS!$A15624,nCURSO,DATOS!$D15624,nESPEC,DATOS!$E15624,nASIG,DATOS!$I15624,nEVAL,"EX")=0),0))))</f>
      </c>
      <c r="H15624">
        <f>IF(DATOS!$G15624&lt;&gt;"EX",0,--(COUNTIFS(nNIA,DATOS!$A15624,nCURSO,DATOS!$D15624,nESPEC,DATOS!$E15624,nASIG,DATOS!$I15624,nEVAL,"OR")=0))</f>
      </c>
      <c r="I15624">
        <f>IF(DATOS!$I15624="","",IFERROR(VLOOKUP(DATOS!$I15624,CONFIG_ASIGNATURAS!$B$2:$J$91,9,FALSE()),""))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IF(DATOS!$A15625="",0,IF(CONFIG_METADATA!$B$4&lt;&gt;"OR+EX",--(DATOS!$G15625=CONFIG_METADATA!$B$4),IF(DATOS!$G15625="EX",1,IF(DATOS!$G15625="OR",--(COUNTIFS(nNIA,DATOS!$A15625,nCURSO,DATOS!$D15625,nESPEC,DATOS!$E15625,nASIG,DATOS!$I15625,nEVAL,"EX")=0),0))))</f>
      </c>
      <c r="H15625">
        <f>IF(DATOS!$G15625&lt;&gt;"EX",0,--(COUNTIFS(nNIA,DATOS!$A15625,nCURSO,DATOS!$D15625,nESPEC,DATOS!$E15625,nASIG,DATOS!$I15625,nEVAL,"OR")=0))</f>
      </c>
      <c r="I15625">
        <f>IF(DATOS!$I15625="","",IFERROR(VLOOKUP(DATOS!$I15625,CONFIG_ASIGNATURAS!$B$2:$J$91,9,FALSE()),""))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IF(DATOS!$A15626="",0,IF(CONFIG_METADATA!$B$4&lt;&gt;"OR+EX",--(DATOS!$G15626=CONFIG_METADATA!$B$4),IF(DATOS!$G15626="EX",1,IF(DATOS!$G15626="OR",--(COUNTIFS(nNIA,DATOS!$A15626,nCURSO,DATOS!$D15626,nESPEC,DATOS!$E15626,nASIG,DATOS!$I15626,nEVAL,"EX")=0),0))))</f>
      </c>
      <c r="H15626">
        <f>IF(DATOS!$G15626&lt;&gt;"EX",0,--(COUNTIFS(nNIA,DATOS!$A15626,nCURSO,DATOS!$D15626,nESPEC,DATOS!$E15626,nASIG,DATOS!$I15626,nEVAL,"OR")=0))</f>
      </c>
      <c r="I15626">
        <f>IF(DATOS!$I15626="","",IFERROR(VLOOKUP(DATOS!$I15626,CONFIG_ASIGNATURAS!$B$2:$J$91,9,FALSE()),""))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IF(DATOS!$A15627="",0,IF(CONFIG_METADATA!$B$4&lt;&gt;"OR+EX",--(DATOS!$G15627=CONFIG_METADATA!$B$4),IF(DATOS!$G15627="EX",1,IF(DATOS!$G15627="OR",--(COUNTIFS(nNIA,DATOS!$A15627,nCURSO,DATOS!$D15627,nESPEC,DATOS!$E15627,nASIG,DATOS!$I15627,nEVAL,"EX")=0),0))))</f>
      </c>
      <c r="H15627">
        <f>IF(DATOS!$G15627&lt;&gt;"EX",0,--(COUNTIFS(nNIA,DATOS!$A15627,nCURSO,DATOS!$D15627,nESPEC,DATOS!$E15627,nASIG,DATOS!$I15627,nEVAL,"OR")=0))</f>
      </c>
      <c r="I15627">
        <f>IF(DATOS!$I15627="","",IFERROR(VLOOKUP(DATOS!$I15627,CONFIG_ASIGNATURAS!$B$2:$J$91,9,FALSE()),""))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IF(DATOS!$A15628="",0,IF(CONFIG_METADATA!$B$4&lt;&gt;"OR+EX",--(DATOS!$G15628=CONFIG_METADATA!$B$4),IF(DATOS!$G15628="EX",1,IF(DATOS!$G15628="OR",--(COUNTIFS(nNIA,DATOS!$A15628,nCURSO,DATOS!$D15628,nESPEC,DATOS!$E15628,nASIG,DATOS!$I15628,nEVAL,"EX")=0),0))))</f>
      </c>
      <c r="H15628">
        <f>IF(DATOS!$G15628&lt;&gt;"EX",0,--(COUNTIFS(nNIA,DATOS!$A15628,nCURSO,DATOS!$D15628,nESPEC,DATOS!$E15628,nASIG,DATOS!$I15628,nEVAL,"OR")=0))</f>
      </c>
      <c r="I15628">
        <f>IF(DATOS!$I15628="","",IFERROR(VLOOKUP(DATOS!$I15628,CONFIG_ASIGNATURAS!$B$2:$J$91,9,FALSE()),""))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IF(DATOS!$A15629="",0,IF(CONFIG_METADATA!$B$4&lt;&gt;"OR+EX",--(DATOS!$G15629=CONFIG_METADATA!$B$4),IF(DATOS!$G15629="EX",1,IF(DATOS!$G15629="OR",--(COUNTIFS(nNIA,DATOS!$A15629,nCURSO,DATOS!$D15629,nESPEC,DATOS!$E15629,nASIG,DATOS!$I15629,nEVAL,"EX")=0),0))))</f>
      </c>
      <c r="H15629">
        <f>IF(DATOS!$G15629&lt;&gt;"EX",0,--(COUNTIFS(nNIA,DATOS!$A15629,nCURSO,DATOS!$D15629,nESPEC,DATOS!$E15629,nASIG,DATOS!$I15629,nEVAL,"OR")=0))</f>
      </c>
      <c r="I15629">
        <f>IF(DATOS!$I15629="","",IFERROR(VLOOKUP(DATOS!$I15629,CONFIG_ASIGNATURAS!$B$2:$J$91,9,FALSE()),""))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IF(DATOS!$A15630="",0,IF(CONFIG_METADATA!$B$4&lt;&gt;"OR+EX",--(DATOS!$G15630=CONFIG_METADATA!$B$4),IF(DATOS!$G15630="EX",1,IF(DATOS!$G15630="OR",--(COUNTIFS(nNIA,DATOS!$A15630,nCURSO,DATOS!$D15630,nESPEC,DATOS!$E15630,nASIG,DATOS!$I15630,nEVAL,"EX")=0),0))))</f>
      </c>
      <c r="H15630">
        <f>IF(DATOS!$G15630&lt;&gt;"EX",0,--(COUNTIFS(nNIA,DATOS!$A15630,nCURSO,DATOS!$D15630,nESPEC,DATOS!$E15630,nASIG,DATOS!$I15630,nEVAL,"OR")=0))</f>
      </c>
      <c r="I15630">
        <f>IF(DATOS!$I15630="","",IFERROR(VLOOKUP(DATOS!$I15630,CONFIG_ASIGNATURAS!$B$2:$J$91,9,FALSE()),""))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IF(DATOS!$A15631="",0,IF(CONFIG_METADATA!$B$4&lt;&gt;"OR+EX",--(DATOS!$G15631=CONFIG_METADATA!$B$4),IF(DATOS!$G15631="EX",1,IF(DATOS!$G15631="OR",--(COUNTIFS(nNIA,DATOS!$A15631,nCURSO,DATOS!$D15631,nESPEC,DATOS!$E15631,nASIG,DATOS!$I15631,nEVAL,"EX")=0),0))))</f>
      </c>
      <c r="H15631">
        <f>IF(DATOS!$G15631&lt;&gt;"EX",0,--(COUNTIFS(nNIA,DATOS!$A15631,nCURSO,DATOS!$D15631,nESPEC,DATOS!$E15631,nASIG,DATOS!$I15631,nEVAL,"OR")=0))</f>
      </c>
      <c r="I15631">
        <f>IF(DATOS!$I15631="","",IFERROR(VLOOKUP(DATOS!$I15631,CONFIG_ASIGNATURAS!$B$2:$J$91,9,FALSE()),""))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IF(DATOS!$A15632="",0,IF(CONFIG_METADATA!$B$4&lt;&gt;"OR+EX",--(DATOS!$G15632=CONFIG_METADATA!$B$4),IF(DATOS!$G15632="EX",1,IF(DATOS!$G15632="OR",--(COUNTIFS(nNIA,DATOS!$A15632,nCURSO,DATOS!$D15632,nESPEC,DATOS!$E15632,nASIG,DATOS!$I15632,nEVAL,"EX")=0),0))))</f>
      </c>
      <c r="H15632">
        <f>IF(DATOS!$G15632&lt;&gt;"EX",0,--(COUNTIFS(nNIA,DATOS!$A15632,nCURSO,DATOS!$D15632,nESPEC,DATOS!$E15632,nASIG,DATOS!$I15632,nEVAL,"OR")=0))</f>
      </c>
      <c r="I15632">
        <f>IF(DATOS!$I15632="","",IFERROR(VLOOKUP(DATOS!$I15632,CONFIG_ASIGNATURAS!$B$2:$J$91,9,FALSE()),""))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IF(DATOS!$A15633="",0,IF(CONFIG_METADATA!$B$4&lt;&gt;"OR+EX",--(DATOS!$G15633=CONFIG_METADATA!$B$4),IF(DATOS!$G15633="EX",1,IF(DATOS!$G15633="OR",--(COUNTIFS(nNIA,DATOS!$A15633,nCURSO,DATOS!$D15633,nESPEC,DATOS!$E15633,nASIG,DATOS!$I15633,nEVAL,"EX")=0),0))))</f>
      </c>
      <c r="H15633">
        <f>IF(DATOS!$G15633&lt;&gt;"EX",0,--(COUNTIFS(nNIA,DATOS!$A15633,nCURSO,DATOS!$D15633,nESPEC,DATOS!$E15633,nASIG,DATOS!$I15633,nEVAL,"OR")=0))</f>
      </c>
      <c r="I15633">
        <f>IF(DATOS!$I15633="","",IFERROR(VLOOKUP(DATOS!$I15633,CONFIG_ASIGNATURAS!$B$2:$J$91,9,FALSE()),""))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IF(DATOS!$A15634="",0,IF(CONFIG_METADATA!$B$4&lt;&gt;"OR+EX",--(DATOS!$G15634=CONFIG_METADATA!$B$4),IF(DATOS!$G15634="EX",1,IF(DATOS!$G15634="OR",--(COUNTIFS(nNIA,DATOS!$A15634,nCURSO,DATOS!$D15634,nESPEC,DATOS!$E15634,nASIG,DATOS!$I15634,nEVAL,"EX")=0),0))))</f>
      </c>
      <c r="H15634">
        <f>IF(DATOS!$G15634&lt;&gt;"EX",0,--(COUNTIFS(nNIA,DATOS!$A15634,nCURSO,DATOS!$D15634,nESPEC,DATOS!$E15634,nASIG,DATOS!$I15634,nEVAL,"OR")=0))</f>
      </c>
      <c r="I15634">
        <f>IF(DATOS!$I15634="","",IFERROR(VLOOKUP(DATOS!$I15634,CONFIG_ASIGNATURAS!$B$2:$J$91,9,FALSE()),""))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IF(DATOS!$A15635="",0,IF(CONFIG_METADATA!$B$4&lt;&gt;"OR+EX",--(DATOS!$G15635=CONFIG_METADATA!$B$4),IF(DATOS!$G15635="EX",1,IF(DATOS!$G15635="OR",--(COUNTIFS(nNIA,DATOS!$A15635,nCURSO,DATOS!$D15635,nESPEC,DATOS!$E15635,nASIG,DATOS!$I15635,nEVAL,"EX")=0),0))))</f>
      </c>
      <c r="H15635">
        <f>IF(DATOS!$G15635&lt;&gt;"EX",0,--(COUNTIFS(nNIA,DATOS!$A15635,nCURSO,DATOS!$D15635,nESPEC,DATOS!$E15635,nASIG,DATOS!$I15635,nEVAL,"OR")=0))</f>
      </c>
      <c r="I15635">
        <f>IF(DATOS!$I15635="","",IFERROR(VLOOKUP(DATOS!$I15635,CONFIG_ASIGNATURAS!$B$2:$J$91,9,FALSE()),""))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IF(DATOS!$A15636="",0,IF(CONFIG_METADATA!$B$4&lt;&gt;"OR+EX",--(DATOS!$G15636=CONFIG_METADATA!$B$4),IF(DATOS!$G15636="EX",1,IF(DATOS!$G15636="OR",--(COUNTIFS(nNIA,DATOS!$A15636,nCURSO,DATOS!$D15636,nESPEC,DATOS!$E15636,nASIG,DATOS!$I15636,nEVAL,"EX")=0),0))))</f>
      </c>
      <c r="H15636">
        <f>IF(DATOS!$G15636&lt;&gt;"EX",0,--(COUNTIFS(nNIA,DATOS!$A15636,nCURSO,DATOS!$D15636,nESPEC,DATOS!$E15636,nASIG,DATOS!$I15636,nEVAL,"OR")=0))</f>
      </c>
      <c r="I15636">
        <f>IF(DATOS!$I15636="","",IFERROR(VLOOKUP(DATOS!$I15636,CONFIG_ASIGNATURAS!$B$2:$J$91,9,FALSE()),""))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IF(DATOS!$A15637="",0,IF(CONFIG_METADATA!$B$4&lt;&gt;"OR+EX",--(DATOS!$G15637=CONFIG_METADATA!$B$4),IF(DATOS!$G15637="EX",1,IF(DATOS!$G15637="OR",--(COUNTIFS(nNIA,DATOS!$A15637,nCURSO,DATOS!$D15637,nESPEC,DATOS!$E15637,nASIG,DATOS!$I15637,nEVAL,"EX")=0),0))))</f>
      </c>
      <c r="H15637">
        <f>IF(DATOS!$G15637&lt;&gt;"EX",0,--(COUNTIFS(nNIA,DATOS!$A15637,nCURSO,DATOS!$D15637,nESPEC,DATOS!$E15637,nASIG,DATOS!$I15637,nEVAL,"OR")=0))</f>
      </c>
      <c r="I15637">
        <f>IF(DATOS!$I15637="","",IFERROR(VLOOKUP(DATOS!$I15637,CONFIG_ASIGNATURAS!$B$2:$J$91,9,FALSE()),""))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IF(DATOS!$A15638="",0,IF(CONFIG_METADATA!$B$4&lt;&gt;"OR+EX",--(DATOS!$G15638=CONFIG_METADATA!$B$4),IF(DATOS!$G15638="EX",1,IF(DATOS!$G15638="OR",--(COUNTIFS(nNIA,DATOS!$A15638,nCURSO,DATOS!$D15638,nESPEC,DATOS!$E15638,nASIG,DATOS!$I15638,nEVAL,"EX")=0),0))))</f>
      </c>
      <c r="H15638">
        <f>IF(DATOS!$G15638&lt;&gt;"EX",0,--(COUNTIFS(nNIA,DATOS!$A15638,nCURSO,DATOS!$D15638,nESPEC,DATOS!$E15638,nASIG,DATOS!$I15638,nEVAL,"OR")=0))</f>
      </c>
      <c r="I15638">
        <f>IF(DATOS!$I15638="","",IFERROR(VLOOKUP(DATOS!$I15638,CONFIG_ASIGNATURAS!$B$2:$J$91,9,FALSE()),""))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IF(DATOS!$A15639="",0,IF(CONFIG_METADATA!$B$4&lt;&gt;"OR+EX",--(DATOS!$G15639=CONFIG_METADATA!$B$4),IF(DATOS!$G15639="EX",1,IF(DATOS!$G15639="OR",--(COUNTIFS(nNIA,DATOS!$A15639,nCURSO,DATOS!$D15639,nESPEC,DATOS!$E15639,nASIG,DATOS!$I15639,nEVAL,"EX")=0),0))))</f>
      </c>
      <c r="H15639">
        <f>IF(DATOS!$G15639&lt;&gt;"EX",0,--(COUNTIFS(nNIA,DATOS!$A15639,nCURSO,DATOS!$D15639,nESPEC,DATOS!$E15639,nASIG,DATOS!$I15639,nEVAL,"OR")=0))</f>
      </c>
      <c r="I15639">
        <f>IF(DATOS!$I15639="","",IFERROR(VLOOKUP(DATOS!$I15639,CONFIG_ASIGNATURAS!$B$2:$J$91,9,FALSE()),""))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IF(DATOS!$A15640="",0,IF(CONFIG_METADATA!$B$4&lt;&gt;"OR+EX",--(DATOS!$G15640=CONFIG_METADATA!$B$4),IF(DATOS!$G15640="EX",1,IF(DATOS!$G15640="OR",--(COUNTIFS(nNIA,DATOS!$A15640,nCURSO,DATOS!$D15640,nESPEC,DATOS!$E15640,nASIG,DATOS!$I15640,nEVAL,"EX")=0),0))))</f>
      </c>
      <c r="H15640">
        <f>IF(DATOS!$G15640&lt;&gt;"EX",0,--(COUNTIFS(nNIA,DATOS!$A15640,nCURSO,DATOS!$D15640,nESPEC,DATOS!$E15640,nASIG,DATOS!$I15640,nEVAL,"OR")=0))</f>
      </c>
      <c r="I15640">
        <f>IF(DATOS!$I15640="","",IFERROR(VLOOKUP(DATOS!$I15640,CONFIG_ASIGNATURAS!$B$2:$J$91,9,FALSE()),""))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IF(DATOS!$A15641="",0,IF(CONFIG_METADATA!$B$4&lt;&gt;"OR+EX",--(DATOS!$G15641=CONFIG_METADATA!$B$4),IF(DATOS!$G15641="EX",1,IF(DATOS!$G15641="OR",--(COUNTIFS(nNIA,DATOS!$A15641,nCURSO,DATOS!$D15641,nESPEC,DATOS!$E15641,nASIG,DATOS!$I15641,nEVAL,"EX")=0),0))))</f>
      </c>
      <c r="H15641">
        <f>IF(DATOS!$G15641&lt;&gt;"EX",0,--(COUNTIFS(nNIA,DATOS!$A15641,nCURSO,DATOS!$D15641,nESPEC,DATOS!$E15641,nASIG,DATOS!$I15641,nEVAL,"OR")=0))</f>
      </c>
      <c r="I15641">
        <f>IF(DATOS!$I15641="","",IFERROR(VLOOKUP(DATOS!$I15641,CONFIG_ASIGNATURAS!$B$2:$J$91,9,FALSE()),""))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IF(DATOS!$A15642="",0,IF(CONFIG_METADATA!$B$4&lt;&gt;"OR+EX",--(DATOS!$G15642=CONFIG_METADATA!$B$4),IF(DATOS!$G15642="EX",1,IF(DATOS!$G15642="OR",--(COUNTIFS(nNIA,DATOS!$A15642,nCURSO,DATOS!$D15642,nESPEC,DATOS!$E15642,nASIG,DATOS!$I15642,nEVAL,"EX")=0),0))))</f>
      </c>
      <c r="H15642">
        <f>IF(DATOS!$G15642&lt;&gt;"EX",0,--(COUNTIFS(nNIA,DATOS!$A15642,nCURSO,DATOS!$D15642,nESPEC,DATOS!$E15642,nASIG,DATOS!$I15642,nEVAL,"OR")=0))</f>
      </c>
      <c r="I15642">
        <f>IF(DATOS!$I15642="","",IFERROR(VLOOKUP(DATOS!$I15642,CONFIG_ASIGNATURAS!$B$2:$J$91,9,FALSE()),""))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IF(DATOS!$A15643="",0,IF(CONFIG_METADATA!$B$4&lt;&gt;"OR+EX",--(DATOS!$G15643=CONFIG_METADATA!$B$4),IF(DATOS!$G15643="EX",1,IF(DATOS!$G15643="OR",--(COUNTIFS(nNIA,DATOS!$A15643,nCURSO,DATOS!$D15643,nESPEC,DATOS!$E15643,nASIG,DATOS!$I15643,nEVAL,"EX")=0),0))))</f>
      </c>
      <c r="H15643">
        <f>IF(DATOS!$G15643&lt;&gt;"EX",0,--(COUNTIFS(nNIA,DATOS!$A15643,nCURSO,DATOS!$D15643,nESPEC,DATOS!$E15643,nASIG,DATOS!$I15643,nEVAL,"OR")=0))</f>
      </c>
      <c r="I15643">
        <f>IF(DATOS!$I15643="","",IFERROR(VLOOKUP(DATOS!$I15643,CONFIG_ASIGNATURAS!$B$2:$J$91,9,FALSE()),""))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IF(DATOS!$A15644="",0,IF(CONFIG_METADATA!$B$4&lt;&gt;"OR+EX",--(DATOS!$G15644=CONFIG_METADATA!$B$4),IF(DATOS!$G15644="EX",1,IF(DATOS!$G15644="OR",--(COUNTIFS(nNIA,DATOS!$A15644,nCURSO,DATOS!$D15644,nESPEC,DATOS!$E15644,nASIG,DATOS!$I15644,nEVAL,"EX")=0),0))))</f>
      </c>
      <c r="H15644">
        <f>IF(DATOS!$G15644&lt;&gt;"EX",0,--(COUNTIFS(nNIA,DATOS!$A15644,nCURSO,DATOS!$D15644,nESPEC,DATOS!$E15644,nASIG,DATOS!$I15644,nEVAL,"OR")=0))</f>
      </c>
      <c r="I15644">
        <f>IF(DATOS!$I15644="","",IFERROR(VLOOKUP(DATOS!$I15644,CONFIG_ASIGNATURAS!$B$2:$J$91,9,FALSE()),""))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IF(DATOS!$A15645="",0,IF(CONFIG_METADATA!$B$4&lt;&gt;"OR+EX",--(DATOS!$G15645=CONFIG_METADATA!$B$4),IF(DATOS!$G15645="EX",1,IF(DATOS!$G15645="OR",--(COUNTIFS(nNIA,DATOS!$A15645,nCURSO,DATOS!$D15645,nESPEC,DATOS!$E15645,nASIG,DATOS!$I15645,nEVAL,"EX")=0),0))))</f>
      </c>
      <c r="H15645">
        <f>IF(DATOS!$G15645&lt;&gt;"EX",0,--(COUNTIFS(nNIA,DATOS!$A15645,nCURSO,DATOS!$D15645,nESPEC,DATOS!$E15645,nASIG,DATOS!$I15645,nEVAL,"OR")=0))</f>
      </c>
      <c r="I15645">
        <f>IF(DATOS!$I15645="","",IFERROR(VLOOKUP(DATOS!$I15645,CONFIG_ASIGNATURAS!$B$2:$J$91,9,FALSE()),""))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IF(DATOS!$A15646="",0,IF(CONFIG_METADATA!$B$4&lt;&gt;"OR+EX",--(DATOS!$G15646=CONFIG_METADATA!$B$4),IF(DATOS!$G15646="EX",1,IF(DATOS!$G15646="OR",--(COUNTIFS(nNIA,DATOS!$A15646,nCURSO,DATOS!$D15646,nESPEC,DATOS!$E15646,nASIG,DATOS!$I15646,nEVAL,"EX")=0),0))))</f>
      </c>
      <c r="H15646">
        <f>IF(DATOS!$G15646&lt;&gt;"EX",0,--(COUNTIFS(nNIA,DATOS!$A15646,nCURSO,DATOS!$D15646,nESPEC,DATOS!$E15646,nASIG,DATOS!$I15646,nEVAL,"OR")=0))</f>
      </c>
      <c r="I15646">
        <f>IF(DATOS!$I15646="","",IFERROR(VLOOKUP(DATOS!$I15646,CONFIG_ASIGNATURAS!$B$2:$J$91,9,FALSE()),""))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IF(DATOS!$A15647="",0,IF(CONFIG_METADATA!$B$4&lt;&gt;"OR+EX",--(DATOS!$G15647=CONFIG_METADATA!$B$4),IF(DATOS!$G15647="EX",1,IF(DATOS!$G15647="OR",--(COUNTIFS(nNIA,DATOS!$A15647,nCURSO,DATOS!$D15647,nESPEC,DATOS!$E15647,nASIG,DATOS!$I15647,nEVAL,"EX")=0),0))))</f>
      </c>
      <c r="H15647">
        <f>IF(DATOS!$G15647&lt;&gt;"EX",0,--(COUNTIFS(nNIA,DATOS!$A15647,nCURSO,DATOS!$D15647,nESPEC,DATOS!$E15647,nASIG,DATOS!$I15647,nEVAL,"OR")=0))</f>
      </c>
      <c r="I15647">
        <f>IF(DATOS!$I15647="","",IFERROR(VLOOKUP(DATOS!$I15647,CONFIG_ASIGNATURAS!$B$2:$J$91,9,FALSE()),""))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IF(DATOS!$A15648="",0,IF(CONFIG_METADATA!$B$4&lt;&gt;"OR+EX",--(DATOS!$G15648=CONFIG_METADATA!$B$4),IF(DATOS!$G15648="EX",1,IF(DATOS!$G15648="OR",--(COUNTIFS(nNIA,DATOS!$A15648,nCURSO,DATOS!$D15648,nESPEC,DATOS!$E15648,nASIG,DATOS!$I15648,nEVAL,"EX")=0),0))))</f>
      </c>
      <c r="H15648">
        <f>IF(DATOS!$G15648&lt;&gt;"EX",0,--(COUNTIFS(nNIA,DATOS!$A15648,nCURSO,DATOS!$D15648,nESPEC,DATOS!$E15648,nASIG,DATOS!$I15648,nEVAL,"OR")=0))</f>
      </c>
      <c r="I15648">
        <f>IF(DATOS!$I15648="","",IFERROR(VLOOKUP(DATOS!$I15648,CONFIG_ASIGNATURAS!$B$2:$J$91,9,FALSE()),""))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IF(DATOS!$A15649="",0,IF(CONFIG_METADATA!$B$4&lt;&gt;"OR+EX",--(DATOS!$G15649=CONFIG_METADATA!$B$4),IF(DATOS!$G15649="EX",1,IF(DATOS!$G15649="OR",--(COUNTIFS(nNIA,DATOS!$A15649,nCURSO,DATOS!$D15649,nESPEC,DATOS!$E15649,nASIG,DATOS!$I15649,nEVAL,"EX")=0),0))))</f>
      </c>
      <c r="H15649">
        <f>IF(DATOS!$G15649&lt;&gt;"EX",0,--(COUNTIFS(nNIA,DATOS!$A15649,nCURSO,DATOS!$D15649,nESPEC,DATOS!$E15649,nASIG,DATOS!$I15649,nEVAL,"OR")=0))</f>
      </c>
      <c r="I15649">
        <f>IF(DATOS!$I15649="","",IFERROR(VLOOKUP(DATOS!$I15649,CONFIG_ASIGNATURAS!$B$2:$J$91,9,FALSE()),""))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IF(DATOS!$A15650="",0,IF(CONFIG_METADATA!$B$4&lt;&gt;"OR+EX",--(DATOS!$G15650=CONFIG_METADATA!$B$4),IF(DATOS!$G15650="EX",1,IF(DATOS!$G15650="OR",--(COUNTIFS(nNIA,DATOS!$A15650,nCURSO,DATOS!$D15650,nESPEC,DATOS!$E15650,nASIG,DATOS!$I15650,nEVAL,"EX")=0),0))))</f>
      </c>
      <c r="H15650">
        <f>IF(DATOS!$G15650&lt;&gt;"EX",0,--(COUNTIFS(nNIA,DATOS!$A15650,nCURSO,DATOS!$D15650,nESPEC,DATOS!$E15650,nASIG,DATOS!$I15650,nEVAL,"OR")=0))</f>
      </c>
      <c r="I15650">
        <f>IF(DATOS!$I15650="","",IFERROR(VLOOKUP(DATOS!$I15650,CONFIG_ASIGNATURAS!$B$2:$J$91,9,FALSE()),""))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IF(DATOS!$A15651="",0,IF(CONFIG_METADATA!$B$4&lt;&gt;"OR+EX",--(DATOS!$G15651=CONFIG_METADATA!$B$4),IF(DATOS!$G15651="EX",1,IF(DATOS!$G15651="OR",--(COUNTIFS(nNIA,DATOS!$A15651,nCURSO,DATOS!$D15651,nESPEC,DATOS!$E15651,nASIG,DATOS!$I15651,nEVAL,"EX")=0),0))))</f>
      </c>
      <c r="H15651">
        <f>IF(DATOS!$G15651&lt;&gt;"EX",0,--(COUNTIFS(nNIA,DATOS!$A15651,nCURSO,DATOS!$D15651,nESPEC,DATOS!$E15651,nASIG,DATOS!$I15651,nEVAL,"OR")=0))</f>
      </c>
      <c r="I15651">
        <f>IF(DATOS!$I15651="","",IFERROR(VLOOKUP(DATOS!$I15651,CONFIG_ASIGNATURAS!$B$2:$J$91,9,FALSE()),""))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IF(DATOS!$A15652="",0,IF(CONFIG_METADATA!$B$4&lt;&gt;"OR+EX",--(DATOS!$G15652=CONFIG_METADATA!$B$4),IF(DATOS!$G15652="EX",1,IF(DATOS!$G15652="OR",--(COUNTIFS(nNIA,DATOS!$A15652,nCURSO,DATOS!$D15652,nESPEC,DATOS!$E15652,nASIG,DATOS!$I15652,nEVAL,"EX")=0),0))))</f>
      </c>
      <c r="H15652">
        <f>IF(DATOS!$G15652&lt;&gt;"EX",0,--(COUNTIFS(nNIA,DATOS!$A15652,nCURSO,DATOS!$D15652,nESPEC,DATOS!$E15652,nASIG,DATOS!$I15652,nEVAL,"OR")=0))</f>
      </c>
      <c r="I15652">
        <f>IF(DATOS!$I15652="","",IFERROR(VLOOKUP(DATOS!$I15652,CONFIG_ASIGNATURAS!$B$2:$J$91,9,FALSE()),""))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IF(DATOS!$A15653="",0,IF(CONFIG_METADATA!$B$4&lt;&gt;"OR+EX",--(DATOS!$G15653=CONFIG_METADATA!$B$4),IF(DATOS!$G15653="EX",1,IF(DATOS!$G15653="OR",--(COUNTIFS(nNIA,DATOS!$A15653,nCURSO,DATOS!$D15653,nESPEC,DATOS!$E15653,nASIG,DATOS!$I15653,nEVAL,"EX")=0),0))))</f>
      </c>
      <c r="H15653">
        <f>IF(DATOS!$G15653&lt;&gt;"EX",0,--(COUNTIFS(nNIA,DATOS!$A15653,nCURSO,DATOS!$D15653,nESPEC,DATOS!$E15653,nASIG,DATOS!$I15653,nEVAL,"OR")=0))</f>
      </c>
      <c r="I15653">
        <f>IF(DATOS!$I15653="","",IFERROR(VLOOKUP(DATOS!$I15653,CONFIG_ASIGNATURAS!$B$2:$J$91,9,FALSE()),""))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IF(DATOS!$A15654="",0,IF(CONFIG_METADATA!$B$4&lt;&gt;"OR+EX",--(DATOS!$G15654=CONFIG_METADATA!$B$4),IF(DATOS!$G15654="EX",1,IF(DATOS!$G15654="OR",--(COUNTIFS(nNIA,DATOS!$A15654,nCURSO,DATOS!$D15654,nESPEC,DATOS!$E15654,nASIG,DATOS!$I15654,nEVAL,"EX")=0),0))))</f>
      </c>
      <c r="H15654">
        <f>IF(DATOS!$G15654&lt;&gt;"EX",0,--(COUNTIFS(nNIA,DATOS!$A15654,nCURSO,DATOS!$D15654,nESPEC,DATOS!$E15654,nASIG,DATOS!$I15654,nEVAL,"OR")=0))</f>
      </c>
      <c r="I15654">
        <f>IF(DATOS!$I15654="","",IFERROR(VLOOKUP(DATOS!$I15654,CONFIG_ASIGNATURAS!$B$2:$J$91,9,FALSE()),""))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IF(DATOS!$A15655="",0,IF(CONFIG_METADATA!$B$4&lt;&gt;"OR+EX",--(DATOS!$G15655=CONFIG_METADATA!$B$4),IF(DATOS!$G15655="EX",1,IF(DATOS!$G15655="OR",--(COUNTIFS(nNIA,DATOS!$A15655,nCURSO,DATOS!$D15655,nESPEC,DATOS!$E15655,nASIG,DATOS!$I15655,nEVAL,"EX")=0),0))))</f>
      </c>
      <c r="H15655">
        <f>IF(DATOS!$G15655&lt;&gt;"EX",0,--(COUNTIFS(nNIA,DATOS!$A15655,nCURSO,DATOS!$D15655,nESPEC,DATOS!$E15655,nASIG,DATOS!$I15655,nEVAL,"OR")=0))</f>
      </c>
      <c r="I15655">
        <f>IF(DATOS!$I15655="","",IFERROR(VLOOKUP(DATOS!$I15655,CONFIG_ASIGNATURAS!$B$2:$J$91,9,FALSE()),""))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IF(DATOS!$A15656="",0,IF(CONFIG_METADATA!$B$4&lt;&gt;"OR+EX",--(DATOS!$G15656=CONFIG_METADATA!$B$4),IF(DATOS!$G15656="EX",1,IF(DATOS!$G15656="OR",--(COUNTIFS(nNIA,DATOS!$A15656,nCURSO,DATOS!$D15656,nESPEC,DATOS!$E15656,nASIG,DATOS!$I15656,nEVAL,"EX")=0),0))))</f>
      </c>
      <c r="H15656">
        <f>IF(DATOS!$G15656&lt;&gt;"EX",0,--(COUNTIFS(nNIA,DATOS!$A15656,nCURSO,DATOS!$D15656,nESPEC,DATOS!$E15656,nASIG,DATOS!$I15656,nEVAL,"OR")=0))</f>
      </c>
      <c r="I15656">
        <f>IF(DATOS!$I15656="","",IFERROR(VLOOKUP(DATOS!$I15656,CONFIG_ASIGNATURAS!$B$2:$J$91,9,FALSE()),""))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IF(DATOS!$A15657="",0,IF(CONFIG_METADATA!$B$4&lt;&gt;"OR+EX",--(DATOS!$G15657=CONFIG_METADATA!$B$4),IF(DATOS!$G15657="EX",1,IF(DATOS!$G15657="OR",--(COUNTIFS(nNIA,DATOS!$A15657,nCURSO,DATOS!$D15657,nESPEC,DATOS!$E15657,nASIG,DATOS!$I15657,nEVAL,"EX")=0),0))))</f>
      </c>
      <c r="H15657">
        <f>IF(DATOS!$G15657&lt;&gt;"EX",0,--(COUNTIFS(nNIA,DATOS!$A15657,nCURSO,DATOS!$D15657,nESPEC,DATOS!$E15657,nASIG,DATOS!$I15657,nEVAL,"OR")=0))</f>
      </c>
      <c r="I15657">
        <f>IF(DATOS!$I15657="","",IFERROR(VLOOKUP(DATOS!$I15657,CONFIG_ASIGNATURAS!$B$2:$J$91,9,FALSE()),""))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IF(DATOS!$A15658="",0,IF(CONFIG_METADATA!$B$4&lt;&gt;"OR+EX",--(DATOS!$G15658=CONFIG_METADATA!$B$4),IF(DATOS!$G15658="EX",1,IF(DATOS!$G15658="OR",--(COUNTIFS(nNIA,DATOS!$A15658,nCURSO,DATOS!$D15658,nESPEC,DATOS!$E15658,nASIG,DATOS!$I15658,nEVAL,"EX")=0),0))))</f>
      </c>
      <c r="H15658">
        <f>IF(DATOS!$G15658&lt;&gt;"EX",0,--(COUNTIFS(nNIA,DATOS!$A15658,nCURSO,DATOS!$D15658,nESPEC,DATOS!$E15658,nASIG,DATOS!$I15658,nEVAL,"OR")=0))</f>
      </c>
      <c r="I15658">
        <f>IF(DATOS!$I15658="","",IFERROR(VLOOKUP(DATOS!$I15658,CONFIG_ASIGNATURAS!$B$2:$J$91,9,FALSE()),""))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IF(DATOS!$A15659="",0,IF(CONFIG_METADATA!$B$4&lt;&gt;"OR+EX",--(DATOS!$G15659=CONFIG_METADATA!$B$4),IF(DATOS!$G15659="EX",1,IF(DATOS!$G15659="OR",--(COUNTIFS(nNIA,DATOS!$A15659,nCURSO,DATOS!$D15659,nESPEC,DATOS!$E15659,nASIG,DATOS!$I15659,nEVAL,"EX")=0),0))))</f>
      </c>
      <c r="H15659">
        <f>IF(DATOS!$G15659&lt;&gt;"EX",0,--(COUNTIFS(nNIA,DATOS!$A15659,nCURSO,DATOS!$D15659,nESPEC,DATOS!$E15659,nASIG,DATOS!$I15659,nEVAL,"OR")=0))</f>
      </c>
      <c r="I15659">
        <f>IF(DATOS!$I15659="","",IFERROR(VLOOKUP(DATOS!$I15659,CONFIG_ASIGNATURAS!$B$2:$J$91,9,FALSE()),""))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IF(DATOS!$A15660="",0,IF(CONFIG_METADATA!$B$4&lt;&gt;"OR+EX",--(DATOS!$G15660=CONFIG_METADATA!$B$4),IF(DATOS!$G15660="EX",1,IF(DATOS!$G15660="OR",--(COUNTIFS(nNIA,DATOS!$A15660,nCURSO,DATOS!$D15660,nESPEC,DATOS!$E15660,nASIG,DATOS!$I15660,nEVAL,"EX")=0),0))))</f>
      </c>
      <c r="H15660">
        <f>IF(DATOS!$G15660&lt;&gt;"EX",0,--(COUNTIFS(nNIA,DATOS!$A15660,nCURSO,DATOS!$D15660,nESPEC,DATOS!$E15660,nASIG,DATOS!$I15660,nEVAL,"OR")=0))</f>
      </c>
      <c r="I15660">
        <f>IF(DATOS!$I15660="","",IFERROR(VLOOKUP(DATOS!$I15660,CONFIG_ASIGNATURAS!$B$2:$J$91,9,FALSE()),""))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IF(DATOS!$A15661="",0,IF(CONFIG_METADATA!$B$4&lt;&gt;"OR+EX",--(DATOS!$G15661=CONFIG_METADATA!$B$4),IF(DATOS!$G15661="EX",1,IF(DATOS!$G15661="OR",--(COUNTIFS(nNIA,DATOS!$A15661,nCURSO,DATOS!$D15661,nESPEC,DATOS!$E15661,nASIG,DATOS!$I15661,nEVAL,"EX")=0),0))))</f>
      </c>
      <c r="H15661">
        <f>IF(DATOS!$G15661&lt;&gt;"EX",0,--(COUNTIFS(nNIA,DATOS!$A15661,nCURSO,DATOS!$D15661,nESPEC,DATOS!$E15661,nASIG,DATOS!$I15661,nEVAL,"OR")=0))</f>
      </c>
      <c r="I15661">
        <f>IF(DATOS!$I15661="","",IFERROR(VLOOKUP(DATOS!$I15661,CONFIG_ASIGNATURAS!$B$2:$J$91,9,FALSE()),""))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IF(DATOS!$A15662="",0,IF(CONFIG_METADATA!$B$4&lt;&gt;"OR+EX",--(DATOS!$G15662=CONFIG_METADATA!$B$4),IF(DATOS!$G15662="EX",1,IF(DATOS!$G15662="OR",--(COUNTIFS(nNIA,DATOS!$A15662,nCURSO,DATOS!$D15662,nESPEC,DATOS!$E15662,nASIG,DATOS!$I15662,nEVAL,"EX")=0),0))))</f>
      </c>
      <c r="H15662">
        <f>IF(DATOS!$G15662&lt;&gt;"EX",0,--(COUNTIFS(nNIA,DATOS!$A15662,nCURSO,DATOS!$D15662,nESPEC,DATOS!$E15662,nASIG,DATOS!$I15662,nEVAL,"OR")=0))</f>
      </c>
      <c r="I15662">
        <f>IF(DATOS!$I15662="","",IFERROR(VLOOKUP(DATOS!$I15662,CONFIG_ASIGNATURAS!$B$2:$J$91,9,FALSE()),""))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IF(DATOS!$A15663="",0,IF(CONFIG_METADATA!$B$4&lt;&gt;"OR+EX",--(DATOS!$G15663=CONFIG_METADATA!$B$4),IF(DATOS!$G15663="EX",1,IF(DATOS!$G15663="OR",--(COUNTIFS(nNIA,DATOS!$A15663,nCURSO,DATOS!$D15663,nESPEC,DATOS!$E15663,nASIG,DATOS!$I15663,nEVAL,"EX")=0),0))))</f>
      </c>
      <c r="H15663">
        <f>IF(DATOS!$G15663&lt;&gt;"EX",0,--(COUNTIFS(nNIA,DATOS!$A15663,nCURSO,DATOS!$D15663,nESPEC,DATOS!$E15663,nASIG,DATOS!$I15663,nEVAL,"OR")=0))</f>
      </c>
      <c r="I15663">
        <f>IF(DATOS!$I15663="","",IFERROR(VLOOKUP(DATOS!$I15663,CONFIG_ASIGNATURAS!$B$2:$J$91,9,FALSE()),""))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IF(DATOS!$A15664="",0,IF(CONFIG_METADATA!$B$4&lt;&gt;"OR+EX",--(DATOS!$G15664=CONFIG_METADATA!$B$4),IF(DATOS!$G15664="EX",1,IF(DATOS!$G15664="OR",--(COUNTIFS(nNIA,DATOS!$A15664,nCURSO,DATOS!$D15664,nESPEC,DATOS!$E15664,nASIG,DATOS!$I15664,nEVAL,"EX")=0),0))))</f>
      </c>
      <c r="H15664">
        <f>IF(DATOS!$G15664&lt;&gt;"EX",0,--(COUNTIFS(nNIA,DATOS!$A15664,nCURSO,DATOS!$D15664,nESPEC,DATOS!$E15664,nASIG,DATOS!$I15664,nEVAL,"OR")=0))</f>
      </c>
      <c r="I15664">
        <f>IF(DATOS!$I15664="","",IFERROR(VLOOKUP(DATOS!$I15664,CONFIG_ASIGNATURAS!$B$2:$J$91,9,FALSE()),""))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IF(DATOS!$A15665="",0,IF(CONFIG_METADATA!$B$4&lt;&gt;"OR+EX",--(DATOS!$G15665=CONFIG_METADATA!$B$4),IF(DATOS!$G15665="EX",1,IF(DATOS!$G15665="OR",--(COUNTIFS(nNIA,DATOS!$A15665,nCURSO,DATOS!$D15665,nESPEC,DATOS!$E15665,nASIG,DATOS!$I15665,nEVAL,"EX")=0),0))))</f>
      </c>
      <c r="H15665">
        <f>IF(DATOS!$G15665&lt;&gt;"EX",0,--(COUNTIFS(nNIA,DATOS!$A15665,nCURSO,DATOS!$D15665,nESPEC,DATOS!$E15665,nASIG,DATOS!$I15665,nEVAL,"OR")=0))</f>
      </c>
      <c r="I15665">
        <f>IF(DATOS!$I15665="","",IFERROR(VLOOKUP(DATOS!$I15665,CONFIG_ASIGNATURAS!$B$2:$J$91,9,FALSE()),""))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IF(DATOS!$A15666="",0,IF(CONFIG_METADATA!$B$4&lt;&gt;"OR+EX",--(DATOS!$G15666=CONFIG_METADATA!$B$4),IF(DATOS!$G15666="EX",1,IF(DATOS!$G15666="OR",--(COUNTIFS(nNIA,DATOS!$A15666,nCURSO,DATOS!$D15666,nESPEC,DATOS!$E15666,nASIG,DATOS!$I15666,nEVAL,"EX")=0),0))))</f>
      </c>
      <c r="H15666">
        <f>IF(DATOS!$G15666&lt;&gt;"EX",0,--(COUNTIFS(nNIA,DATOS!$A15666,nCURSO,DATOS!$D15666,nESPEC,DATOS!$E15666,nASIG,DATOS!$I15666,nEVAL,"OR")=0))</f>
      </c>
      <c r="I15666">
        <f>IF(DATOS!$I15666="","",IFERROR(VLOOKUP(DATOS!$I15666,CONFIG_ASIGNATURAS!$B$2:$J$91,9,FALSE()),""))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IF(DATOS!$A15667="",0,IF(CONFIG_METADATA!$B$4&lt;&gt;"OR+EX",--(DATOS!$G15667=CONFIG_METADATA!$B$4),IF(DATOS!$G15667="EX",1,IF(DATOS!$G15667="OR",--(COUNTIFS(nNIA,DATOS!$A15667,nCURSO,DATOS!$D15667,nESPEC,DATOS!$E15667,nASIG,DATOS!$I15667,nEVAL,"EX")=0),0))))</f>
      </c>
      <c r="H15667">
        <f>IF(DATOS!$G15667&lt;&gt;"EX",0,--(COUNTIFS(nNIA,DATOS!$A15667,nCURSO,DATOS!$D15667,nESPEC,DATOS!$E15667,nASIG,DATOS!$I15667,nEVAL,"OR")=0))</f>
      </c>
      <c r="I15667">
        <f>IF(DATOS!$I15667="","",IFERROR(VLOOKUP(DATOS!$I15667,CONFIG_ASIGNATURAS!$B$2:$J$91,9,FALSE()),""))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IF(DATOS!$A15668="",0,IF(CONFIG_METADATA!$B$4&lt;&gt;"OR+EX",--(DATOS!$G15668=CONFIG_METADATA!$B$4),IF(DATOS!$G15668="EX",1,IF(DATOS!$G15668="OR",--(COUNTIFS(nNIA,DATOS!$A15668,nCURSO,DATOS!$D15668,nESPEC,DATOS!$E15668,nASIG,DATOS!$I15668,nEVAL,"EX")=0),0))))</f>
      </c>
      <c r="H15668">
        <f>IF(DATOS!$G15668&lt;&gt;"EX",0,--(COUNTIFS(nNIA,DATOS!$A15668,nCURSO,DATOS!$D15668,nESPEC,DATOS!$E15668,nASIG,DATOS!$I15668,nEVAL,"OR")=0))</f>
      </c>
      <c r="I15668">
        <f>IF(DATOS!$I15668="","",IFERROR(VLOOKUP(DATOS!$I15668,CONFIG_ASIGNATURAS!$B$2:$J$91,9,FALSE()),""))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IF(DATOS!$A15669="",0,IF(CONFIG_METADATA!$B$4&lt;&gt;"OR+EX",--(DATOS!$G15669=CONFIG_METADATA!$B$4),IF(DATOS!$G15669="EX",1,IF(DATOS!$G15669="OR",--(COUNTIFS(nNIA,DATOS!$A15669,nCURSO,DATOS!$D15669,nESPEC,DATOS!$E15669,nASIG,DATOS!$I15669,nEVAL,"EX")=0),0))))</f>
      </c>
      <c r="H15669">
        <f>IF(DATOS!$G15669&lt;&gt;"EX",0,--(COUNTIFS(nNIA,DATOS!$A15669,nCURSO,DATOS!$D15669,nESPEC,DATOS!$E15669,nASIG,DATOS!$I15669,nEVAL,"OR")=0))</f>
      </c>
      <c r="I15669">
        <f>IF(DATOS!$I15669="","",IFERROR(VLOOKUP(DATOS!$I15669,CONFIG_ASIGNATURAS!$B$2:$J$91,9,FALSE()),""))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IF(DATOS!$A15670="",0,IF(CONFIG_METADATA!$B$4&lt;&gt;"OR+EX",--(DATOS!$G15670=CONFIG_METADATA!$B$4),IF(DATOS!$G15670="EX",1,IF(DATOS!$G15670="OR",--(COUNTIFS(nNIA,DATOS!$A15670,nCURSO,DATOS!$D15670,nESPEC,DATOS!$E15670,nASIG,DATOS!$I15670,nEVAL,"EX")=0),0))))</f>
      </c>
      <c r="H15670">
        <f>IF(DATOS!$G15670&lt;&gt;"EX",0,--(COUNTIFS(nNIA,DATOS!$A15670,nCURSO,DATOS!$D15670,nESPEC,DATOS!$E15670,nASIG,DATOS!$I15670,nEVAL,"OR")=0))</f>
      </c>
      <c r="I15670">
        <f>IF(DATOS!$I15670="","",IFERROR(VLOOKUP(DATOS!$I15670,CONFIG_ASIGNATURAS!$B$2:$J$91,9,FALSE()),""))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IF(DATOS!$A15671="",0,IF(CONFIG_METADATA!$B$4&lt;&gt;"OR+EX",--(DATOS!$G15671=CONFIG_METADATA!$B$4),IF(DATOS!$G15671="EX",1,IF(DATOS!$G15671="OR",--(COUNTIFS(nNIA,DATOS!$A15671,nCURSO,DATOS!$D15671,nESPEC,DATOS!$E15671,nASIG,DATOS!$I15671,nEVAL,"EX")=0),0))))</f>
      </c>
      <c r="H15671">
        <f>IF(DATOS!$G15671&lt;&gt;"EX",0,--(COUNTIFS(nNIA,DATOS!$A15671,nCURSO,DATOS!$D15671,nESPEC,DATOS!$E15671,nASIG,DATOS!$I15671,nEVAL,"OR")=0))</f>
      </c>
      <c r="I15671">
        <f>IF(DATOS!$I15671="","",IFERROR(VLOOKUP(DATOS!$I15671,CONFIG_ASIGNATURAS!$B$2:$J$91,9,FALSE()),""))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IF(DATOS!$A15672="",0,IF(CONFIG_METADATA!$B$4&lt;&gt;"OR+EX",--(DATOS!$G15672=CONFIG_METADATA!$B$4),IF(DATOS!$G15672="EX",1,IF(DATOS!$G15672="OR",--(COUNTIFS(nNIA,DATOS!$A15672,nCURSO,DATOS!$D15672,nESPEC,DATOS!$E15672,nASIG,DATOS!$I15672,nEVAL,"EX")=0),0))))</f>
      </c>
      <c r="H15672">
        <f>IF(DATOS!$G15672&lt;&gt;"EX",0,--(COUNTIFS(nNIA,DATOS!$A15672,nCURSO,DATOS!$D15672,nESPEC,DATOS!$E15672,nASIG,DATOS!$I15672,nEVAL,"OR")=0))</f>
      </c>
      <c r="I15672">
        <f>IF(DATOS!$I15672="","",IFERROR(VLOOKUP(DATOS!$I15672,CONFIG_ASIGNATURAS!$B$2:$J$91,9,FALSE()),""))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IF(DATOS!$A15673="",0,IF(CONFIG_METADATA!$B$4&lt;&gt;"OR+EX",--(DATOS!$G15673=CONFIG_METADATA!$B$4),IF(DATOS!$G15673="EX",1,IF(DATOS!$G15673="OR",--(COUNTIFS(nNIA,DATOS!$A15673,nCURSO,DATOS!$D15673,nESPEC,DATOS!$E15673,nASIG,DATOS!$I15673,nEVAL,"EX")=0),0))))</f>
      </c>
      <c r="H15673">
        <f>IF(DATOS!$G15673&lt;&gt;"EX",0,--(COUNTIFS(nNIA,DATOS!$A15673,nCURSO,DATOS!$D15673,nESPEC,DATOS!$E15673,nASIG,DATOS!$I15673,nEVAL,"OR")=0))</f>
      </c>
      <c r="I15673">
        <f>IF(DATOS!$I15673="","",IFERROR(VLOOKUP(DATOS!$I15673,CONFIG_ASIGNATURAS!$B$2:$J$91,9,FALSE()),""))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IF(DATOS!$A15674="",0,IF(CONFIG_METADATA!$B$4&lt;&gt;"OR+EX",--(DATOS!$G15674=CONFIG_METADATA!$B$4),IF(DATOS!$G15674="EX",1,IF(DATOS!$G15674="OR",--(COUNTIFS(nNIA,DATOS!$A15674,nCURSO,DATOS!$D15674,nESPEC,DATOS!$E15674,nASIG,DATOS!$I15674,nEVAL,"EX")=0),0))))</f>
      </c>
      <c r="H15674">
        <f>IF(DATOS!$G15674&lt;&gt;"EX",0,--(COUNTIFS(nNIA,DATOS!$A15674,nCURSO,DATOS!$D15674,nESPEC,DATOS!$E15674,nASIG,DATOS!$I15674,nEVAL,"OR")=0))</f>
      </c>
      <c r="I15674">
        <f>IF(DATOS!$I15674="","",IFERROR(VLOOKUP(DATOS!$I15674,CONFIG_ASIGNATURAS!$B$2:$J$91,9,FALSE()),""))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IF(DATOS!$A15675="",0,IF(CONFIG_METADATA!$B$4&lt;&gt;"OR+EX",--(DATOS!$G15675=CONFIG_METADATA!$B$4),IF(DATOS!$G15675="EX",1,IF(DATOS!$G15675="OR",--(COUNTIFS(nNIA,DATOS!$A15675,nCURSO,DATOS!$D15675,nESPEC,DATOS!$E15675,nASIG,DATOS!$I15675,nEVAL,"EX")=0),0))))</f>
      </c>
      <c r="H15675">
        <f>IF(DATOS!$G15675&lt;&gt;"EX",0,--(COUNTIFS(nNIA,DATOS!$A15675,nCURSO,DATOS!$D15675,nESPEC,DATOS!$E15675,nASIG,DATOS!$I15675,nEVAL,"OR")=0))</f>
      </c>
      <c r="I15675">
        <f>IF(DATOS!$I15675="","",IFERROR(VLOOKUP(DATOS!$I15675,CONFIG_ASIGNATURAS!$B$2:$J$91,9,FALSE()),""))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IF(DATOS!$A15676="",0,IF(CONFIG_METADATA!$B$4&lt;&gt;"OR+EX",--(DATOS!$G15676=CONFIG_METADATA!$B$4),IF(DATOS!$G15676="EX",1,IF(DATOS!$G15676="OR",--(COUNTIFS(nNIA,DATOS!$A15676,nCURSO,DATOS!$D15676,nESPEC,DATOS!$E15676,nASIG,DATOS!$I15676,nEVAL,"EX")=0),0))))</f>
      </c>
      <c r="H15676">
        <f>IF(DATOS!$G15676&lt;&gt;"EX",0,--(COUNTIFS(nNIA,DATOS!$A15676,nCURSO,DATOS!$D15676,nESPEC,DATOS!$E15676,nASIG,DATOS!$I15676,nEVAL,"OR")=0))</f>
      </c>
      <c r="I15676">
        <f>IF(DATOS!$I15676="","",IFERROR(VLOOKUP(DATOS!$I15676,CONFIG_ASIGNATURAS!$B$2:$J$91,9,FALSE()),""))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IF(DATOS!$A15677="",0,IF(CONFIG_METADATA!$B$4&lt;&gt;"OR+EX",--(DATOS!$G15677=CONFIG_METADATA!$B$4),IF(DATOS!$G15677="EX",1,IF(DATOS!$G15677="OR",--(COUNTIFS(nNIA,DATOS!$A15677,nCURSO,DATOS!$D15677,nESPEC,DATOS!$E15677,nASIG,DATOS!$I15677,nEVAL,"EX")=0),0))))</f>
      </c>
      <c r="H15677">
        <f>IF(DATOS!$G15677&lt;&gt;"EX",0,--(COUNTIFS(nNIA,DATOS!$A15677,nCURSO,DATOS!$D15677,nESPEC,DATOS!$E15677,nASIG,DATOS!$I15677,nEVAL,"OR")=0))</f>
      </c>
      <c r="I15677">
        <f>IF(DATOS!$I15677="","",IFERROR(VLOOKUP(DATOS!$I15677,CONFIG_ASIGNATURAS!$B$2:$J$91,9,FALSE()),""))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IF(DATOS!$A15678="",0,IF(CONFIG_METADATA!$B$4&lt;&gt;"OR+EX",--(DATOS!$G15678=CONFIG_METADATA!$B$4),IF(DATOS!$G15678="EX",1,IF(DATOS!$G15678="OR",--(COUNTIFS(nNIA,DATOS!$A15678,nCURSO,DATOS!$D15678,nESPEC,DATOS!$E15678,nASIG,DATOS!$I15678,nEVAL,"EX")=0),0))))</f>
      </c>
      <c r="H15678">
        <f>IF(DATOS!$G15678&lt;&gt;"EX",0,--(COUNTIFS(nNIA,DATOS!$A15678,nCURSO,DATOS!$D15678,nESPEC,DATOS!$E15678,nASIG,DATOS!$I15678,nEVAL,"OR")=0))</f>
      </c>
      <c r="I15678">
        <f>IF(DATOS!$I15678="","",IFERROR(VLOOKUP(DATOS!$I15678,CONFIG_ASIGNATURAS!$B$2:$J$91,9,FALSE()),""))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IF(DATOS!$A15679="",0,IF(CONFIG_METADATA!$B$4&lt;&gt;"OR+EX",--(DATOS!$G15679=CONFIG_METADATA!$B$4),IF(DATOS!$G15679="EX",1,IF(DATOS!$G15679="OR",--(COUNTIFS(nNIA,DATOS!$A15679,nCURSO,DATOS!$D15679,nESPEC,DATOS!$E15679,nASIG,DATOS!$I15679,nEVAL,"EX")=0),0))))</f>
      </c>
      <c r="H15679">
        <f>IF(DATOS!$G15679&lt;&gt;"EX",0,--(COUNTIFS(nNIA,DATOS!$A15679,nCURSO,DATOS!$D15679,nESPEC,DATOS!$E15679,nASIG,DATOS!$I15679,nEVAL,"OR")=0))</f>
      </c>
      <c r="I15679">
        <f>IF(DATOS!$I15679="","",IFERROR(VLOOKUP(DATOS!$I15679,CONFIG_ASIGNATURAS!$B$2:$J$91,9,FALSE()),""))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IF(DATOS!$A15680="",0,IF(CONFIG_METADATA!$B$4&lt;&gt;"OR+EX",--(DATOS!$G15680=CONFIG_METADATA!$B$4),IF(DATOS!$G15680="EX",1,IF(DATOS!$G15680="OR",--(COUNTIFS(nNIA,DATOS!$A15680,nCURSO,DATOS!$D15680,nESPEC,DATOS!$E15680,nASIG,DATOS!$I15680,nEVAL,"EX")=0),0))))</f>
      </c>
      <c r="H15680">
        <f>IF(DATOS!$G15680&lt;&gt;"EX",0,--(COUNTIFS(nNIA,DATOS!$A15680,nCURSO,DATOS!$D15680,nESPEC,DATOS!$E15680,nASIG,DATOS!$I15680,nEVAL,"OR")=0))</f>
      </c>
      <c r="I15680">
        <f>IF(DATOS!$I15680="","",IFERROR(VLOOKUP(DATOS!$I15680,CONFIG_ASIGNATURAS!$B$2:$J$91,9,FALSE()),""))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IF(DATOS!$A15681="",0,IF(CONFIG_METADATA!$B$4&lt;&gt;"OR+EX",--(DATOS!$G15681=CONFIG_METADATA!$B$4),IF(DATOS!$G15681="EX",1,IF(DATOS!$G15681="OR",--(COUNTIFS(nNIA,DATOS!$A15681,nCURSO,DATOS!$D15681,nESPEC,DATOS!$E15681,nASIG,DATOS!$I15681,nEVAL,"EX")=0),0))))</f>
      </c>
      <c r="H15681">
        <f>IF(DATOS!$G15681&lt;&gt;"EX",0,--(COUNTIFS(nNIA,DATOS!$A15681,nCURSO,DATOS!$D15681,nESPEC,DATOS!$E15681,nASIG,DATOS!$I15681,nEVAL,"OR")=0))</f>
      </c>
      <c r="I15681">
        <f>IF(DATOS!$I15681="","",IFERROR(VLOOKUP(DATOS!$I15681,CONFIG_ASIGNATURAS!$B$2:$J$91,9,FALSE()),""))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IF(DATOS!$A15682="",0,IF(CONFIG_METADATA!$B$4&lt;&gt;"OR+EX",--(DATOS!$G15682=CONFIG_METADATA!$B$4),IF(DATOS!$G15682="EX",1,IF(DATOS!$G15682="OR",--(COUNTIFS(nNIA,DATOS!$A15682,nCURSO,DATOS!$D15682,nESPEC,DATOS!$E15682,nASIG,DATOS!$I15682,nEVAL,"EX")=0),0))))</f>
      </c>
      <c r="H15682">
        <f>IF(DATOS!$G15682&lt;&gt;"EX",0,--(COUNTIFS(nNIA,DATOS!$A15682,nCURSO,DATOS!$D15682,nESPEC,DATOS!$E15682,nASIG,DATOS!$I15682,nEVAL,"OR")=0))</f>
      </c>
      <c r="I15682">
        <f>IF(DATOS!$I15682="","",IFERROR(VLOOKUP(DATOS!$I15682,CONFIG_ASIGNATURAS!$B$2:$J$91,9,FALSE()),""))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IF(DATOS!$A15683="",0,IF(CONFIG_METADATA!$B$4&lt;&gt;"OR+EX",--(DATOS!$G15683=CONFIG_METADATA!$B$4),IF(DATOS!$G15683="EX",1,IF(DATOS!$G15683="OR",--(COUNTIFS(nNIA,DATOS!$A15683,nCURSO,DATOS!$D15683,nESPEC,DATOS!$E15683,nASIG,DATOS!$I15683,nEVAL,"EX")=0),0))))</f>
      </c>
      <c r="H15683">
        <f>IF(DATOS!$G15683&lt;&gt;"EX",0,--(COUNTIFS(nNIA,DATOS!$A15683,nCURSO,DATOS!$D15683,nESPEC,DATOS!$E15683,nASIG,DATOS!$I15683,nEVAL,"OR")=0))</f>
      </c>
      <c r="I15683">
        <f>IF(DATOS!$I15683="","",IFERROR(VLOOKUP(DATOS!$I15683,CONFIG_ASIGNATURAS!$B$2:$J$91,9,FALSE()),""))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IF(DATOS!$A15684="",0,IF(CONFIG_METADATA!$B$4&lt;&gt;"OR+EX",--(DATOS!$G15684=CONFIG_METADATA!$B$4),IF(DATOS!$G15684="EX",1,IF(DATOS!$G15684="OR",--(COUNTIFS(nNIA,DATOS!$A15684,nCURSO,DATOS!$D15684,nESPEC,DATOS!$E15684,nASIG,DATOS!$I15684,nEVAL,"EX")=0),0))))</f>
      </c>
      <c r="H15684">
        <f>IF(DATOS!$G15684&lt;&gt;"EX",0,--(COUNTIFS(nNIA,DATOS!$A15684,nCURSO,DATOS!$D15684,nESPEC,DATOS!$E15684,nASIG,DATOS!$I15684,nEVAL,"OR")=0))</f>
      </c>
      <c r="I15684">
        <f>IF(DATOS!$I15684="","",IFERROR(VLOOKUP(DATOS!$I15684,CONFIG_ASIGNATURAS!$B$2:$J$91,9,FALSE()),""))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IF(DATOS!$A15685="",0,IF(CONFIG_METADATA!$B$4&lt;&gt;"OR+EX",--(DATOS!$G15685=CONFIG_METADATA!$B$4),IF(DATOS!$G15685="EX",1,IF(DATOS!$G15685="OR",--(COUNTIFS(nNIA,DATOS!$A15685,nCURSO,DATOS!$D15685,nESPEC,DATOS!$E15685,nASIG,DATOS!$I15685,nEVAL,"EX")=0),0))))</f>
      </c>
      <c r="H15685">
        <f>IF(DATOS!$G15685&lt;&gt;"EX",0,--(COUNTIFS(nNIA,DATOS!$A15685,nCURSO,DATOS!$D15685,nESPEC,DATOS!$E15685,nASIG,DATOS!$I15685,nEVAL,"OR")=0))</f>
      </c>
      <c r="I15685">
        <f>IF(DATOS!$I15685="","",IFERROR(VLOOKUP(DATOS!$I15685,CONFIG_ASIGNATURAS!$B$2:$J$91,9,FALSE()),""))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IF(DATOS!$A15686="",0,IF(CONFIG_METADATA!$B$4&lt;&gt;"OR+EX",--(DATOS!$G15686=CONFIG_METADATA!$B$4),IF(DATOS!$G15686="EX",1,IF(DATOS!$G15686="OR",--(COUNTIFS(nNIA,DATOS!$A15686,nCURSO,DATOS!$D15686,nESPEC,DATOS!$E15686,nASIG,DATOS!$I15686,nEVAL,"EX")=0),0))))</f>
      </c>
      <c r="H15686">
        <f>IF(DATOS!$G15686&lt;&gt;"EX",0,--(COUNTIFS(nNIA,DATOS!$A15686,nCURSO,DATOS!$D15686,nESPEC,DATOS!$E15686,nASIG,DATOS!$I15686,nEVAL,"OR")=0))</f>
      </c>
      <c r="I15686">
        <f>IF(DATOS!$I15686="","",IFERROR(VLOOKUP(DATOS!$I15686,CONFIG_ASIGNATURAS!$B$2:$J$91,9,FALSE()),""))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IF(DATOS!$A15687="",0,IF(CONFIG_METADATA!$B$4&lt;&gt;"OR+EX",--(DATOS!$G15687=CONFIG_METADATA!$B$4),IF(DATOS!$G15687="EX",1,IF(DATOS!$G15687="OR",--(COUNTIFS(nNIA,DATOS!$A15687,nCURSO,DATOS!$D15687,nESPEC,DATOS!$E15687,nASIG,DATOS!$I15687,nEVAL,"EX")=0),0))))</f>
      </c>
      <c r="H15687">
        <f>IF(DATOS!$G15687&lt;&gt;"EX",0,--(COUNTIFS(nNIA,DATOS!$A15687,nCURSO,DATOS!$D15687,nESPEC,DATOS!$E15687,nASIG,DATOS!$I15687,nEVAL,"OR")=0))</f>
      </c>
      <c r="I15687">
        <f>IF(DATOS!$I15687="","",IFERROR(VLOOKUP(DATOS!$I15687,CONFIG_ASIGNATURAS!$B$2:$J$91,9,FALSE()),""))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IF(DATOS!$A15688="",0,IF(CONFIG_METADATA!$B$4&lt;&gt;"OR+EX",--(DATOS!$G15688=CONFIG_METADATA!$B$4),IF(DATOS!$G15688="EX",1,IF(DATOS!$G15688="OR",--(COUNTIFS(nNIA,DATOS!$A15688,nCURSO,DATOS!$D15688,nESPEC,DATOS!$E15688,nASIG,DATOS!$I15688,nEVAL,"EX")=0),0))))</f>
      </c>
      <c r="H15688">
        <f>IF(DATOS!$G15688&lt;&gt;"EX",0,--(COUNTIFS(nNIA,DATOS!$A15688,nCURSO,DATOS!$D15688,nESPEC,DATOS!$E15688,nASIG,DATOS!$I15688,nEVAL,"OR")=0))</f>
      </c>
      <c r="I15688">
        <f>IF(DATOS!$I15688="","",IFERROR(VLOOKUP(DATOS!$I15688,CONFIG_ASIGNATURAS!$B$2:$J$91,9,FALSE()),""))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IF(DATOS!$A15689="",0,IF(CONFIG_METADATA!$B$4&lt;&gt;"OR+EX",--(DATOS!$G15689=CONFIG_METADATA!$B$4),IF(DATOS!$G15689="EX",1,IF(DATOS!$G15689="OR",--(COUNTIFS(nNIA,DATOS!$A15689,nCURSO,DATOS!$D15689,nESPEC,DATOS!$E15689,nASIG,DATOS!$I15689,nEVAL,"EX")=0),0))))</f>
      </c>
      <c r="H15689">
        <f>IF(DATOS!$G15689&lt;&gt;"EX",0,--(COUNTIFS(nNIA,DATOS!$A15689,nCURSO,DATOS!$D15689,nESPEC,DATOS!$E15689,nASIG,DATOS!$I15689,nEVAL,"OR")=0))</f>
      </c>
      <c r="I15689">
        <f>IF(DATOS!$I15689="","",IFERROR(VLOOKUP(DATOS!$I15689,CONFIG_ASIGNATURAS!$B$2:$J$91,9,FALSE()),""))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IF(DATOS!$A15690="",0,IF(CONFIG_METADATA!$B$4&lt;&gt;"OR+EX",--(DATOS!$G15690=CONFIG_METADATA!$B$4),IF(DATOS!$G15690="EX",1,IF(DATOS!$G15690="OR",--(COUNTIFS(nNIA,DATOS!$A15690,nCURSO,DATOS!$D15690,nESPEC,DATOS!$E15690,nASIG,DATOS!$I15690,nEVAL,"EX")=0),0))))</f>
      </c>
      <c r="H15690">
        <f>IF(DATOS!$G15690&lt;&gt;"EX",0,--(COUNTIFS(nNIA,DATOS!$A15690,nCURSO,DATOS!$D15690,nESPEC,DATOS!$E15690,nASIG,DATOS!$I15690,nEVAL,"OR")=0))</f>
      </c>
      <c r="I15690">
        <f>IF(DATOS!$I15690="","",IFERROR(VLOOKUP(DATOS!$I15690,CONFIG_ASIGNATURAS!$B$2:$J$91,9,FALSE()),""))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IF(DATOS!$A15691="",0,IF(CONFIG_METADATA!$B$4&lt;&gt;"OR+EX",--(DATOS!$G15691=CONFIG_METADATA!$B$4),IF(DATOS!$G15691="EX",1,IF(DATOS!$G15691="OR",--(COUNTIFS(nNIA,DATOS!$A15691,nCURSO,DATOS!$D15691,nESPEC,DATOS!$E15691,nASIG,DATOS!$I15691,nEVAL,"EX")=0),0))))</f>
      </c>
      <c r="H15691">
        <f>IF(DATOS!$G15691&lt;&gt;"EX",0,--(COUNTIFS(nNIA,DATOS!$A15691,nCURSO,DATOS!$D15691,nESPEC,DATOS!$E15691,nASIG,DATOS!$I15691,nEVAL,"OR")=0))</f>
      </c>
      <c r="I15691">
        <f>IF(DATOS!$I15691="","",IFERROR(VLOOKUP(DATOS!$I15691,CONFIG_ASIGNATURAS!$B$2:$J$91,9,FALSE()),""))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IF(DATOS!$A15692="",0,IF(CONFIG_METADATA!$B$4&lt;&gt;"OR+EX",--(DATOS!$G15692=CONFIG_METADATA!$B$4),IF(DATOS!$G15692="EX",1,IF(DATOS!$G15692="OR",--(COUNTIFS(nNIA,DATOS!$A15692,nCURSO,DATOS!$D15692,nESPEC,DATOS!$E15692,nASIG,DATOS!$I15692,nEVAL,"EX")=0),0))))</f>
      </c>
      <c r="H15692">
        <f>IF(DATOS!$G15692&lt;&gt;"EX",0,--(COUNTIFS(nNIA,DATOS!$A15692,nCURSO,DATOS!$D15692,nESPEC,DATOS!$E15692,nASIG,DATOS!$I15692,nEVAL,"OR")=0))</f>
      </c>
      <c r="I15692">
        <f>IF(DATOS!$I15692="","",IFERROR(VLOOKUP(DATOS!$I15692,CONFIG_ASIGNATURAS!$B$2:$J$91,9,FALSE()),""))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IF(DATOS!$A15693="",0,IF(CONFIG_METADATA!$B$4&lt;&gt;"OR+EX",--(DATOS!$G15693=CONFIG_METADATA!$B$4),IF(DATOS!$G15693="EX",1,IF(DATOS!$G15693="OR",--(COUNTIFS(nNIA,DATOS!$A15693,nCURSO,DATOS!$D15693,nESPEC,DATOS!$E15693,nASIG,DATOS!$I15693,nEVAL,"EX")=0),0))))</f>
      </c>
      <c r="H15693">
        <f>IF(DATOS!$G15693&lt;&gt;"EX",0,--(COUNTIFS(nNIA,DATOS!$A15693,nCURSO,DATOS!$D15693,nESPEC,DATOS!$E15693,nASIG,DATOS!$I15693,nEVAL,"OR")=0))</f>
      </c>
      <c r="I15693">
        <f>IF(DATOS!$I15693="","",IFERROR(VLOOKUP(DATOS!$I15693,CONFIG_ASIGNATURAS!$B$2:$J$91,9,FALSE()),""))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IF(DATOS!$A15694="",0,IF(CONFIG_METADATA!$B$4&lt;&gt;"OR+EX",--(DATOS!$G15694=CONFIG_METADATA!$B$4),IF(DATOS!$G15694="EX",1,IF(DATOS!$G15694="OR",--(COUNTIFS(nNIA,DATOS!$A15694,nCURSO,DATOS!$D15694,nESPEC,DATOS!$E15694,nASIG,DATOS!$I15694,nEVAL,"EX")=0),0))))</f>
      </c>
      <c r="H15694">
        <f>IF(DATOS!$G15694&lt;&gt;"EX",0,--(COUNTIFS(nNIA,DATOS!$A15694,nCURSO,DATOS!$D15694,nESPEC,DATOS!$E15694,nASIG,DATOS!$I15694,nEVAL,"OR")=0))</f>
      </c>
      <c r="I15694">
        <f>IF(DATOS!$I15694="","",IFERROR(VLOOKUP(DATOS!$I15694,CONFIG_ASIGNATURAS!$B$2:$J$91,9,FALSE()),""))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IF(DATOS!$A15695="",0,IF(CONFIG_METADATA!$B$4&lt;&gt;"OR+EX",--(DATOS!$G15695=CONFIG_METADATA!$B$4),IF(DATOS!$G15695="EX",1,IF(DATOS!$G15695="OR",--(COUNTIFS(nNIA,DATOS!$A15695,nCURSO,DATOS!$D15695,nESPEC,DATOS!$E15695,nASIG,DATOS!$I15695,nEVAL,"EX")=0),0))))</f>
      </c>
      <c r="H15695">
        <f>IF(DATOS!$G15695&lt;&gt;"EX",0,--(COUNTIFS(nNIA,DATOS!$A15695,nCURSO,DATOS!$D15695,nESPEC,DATOS!$E15695,nASIG,DATOS!$I15695,nEVAL,"OR")=0))</f>
      </c>
      <c r="I15695">
        <f>IF(DATOS!$I15695="","",IFERROR(VLOOKUP(DATOS!$I15695,CONFIG_ASIGNATURAS!$B$2:$J$91,9,FALSE()),""))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IF(DATOS!$A15696="",0,IF(CONFIG_METADATA!$B$4&lt;&gt;"OR+EX",--(DATOS!$G15696=CONFIG_METADATA!$B$4),IF(DATOS!$G15696="EX",1,IF(DATOS!$G15696="OR",--(COUNTIFS(nNIA,DATOS!$A15696,nCURSO,DATOS!$D15696,nESPEC,DATOS!$E15696,nASIG,DATOS!$I15696,nEVAL,"EX")=0),0))))</f>
      </c>
      <c r="H15696">
        <f>IF(DATOS!$G15696&lt;&gt;"EX",0,--(COUNTIFS(nNIA,DATOS!$A15696,nCURSO,DATOS!$D15696,nESPEC,DATOS!$E15696,nASIG,DATOS!$I15696,nEVAL,"OR")=0))</f>
      </c>
      <c r="I15696">
        <f>IF(DATOS!$I15696="","",IFERROR(VLOOKUP(DATOS!$I15696,CONFIG_ASIGNATURAS!$B$2:$J$91,9,FALSE()),""))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IF(DATOS!$A15697="",0,IF(CONFIG_METADATA!$B$4&lt;&gt;"OR+EX",--(DATOS!$G15697=CONFIG_METADATA!$B$4),IF(DATOS!$G15697="EX",1,IF(DATOS!$G15697="OR",--(COUNTIFS(nNIA,DATOS!$A15697,nCURSO,DATOS!$D15697,nESPEC,DATOS!$E15697,nASIG,DATOS!$I15697,nEVAL,"EX")=0),0))))</f>
      </c>
      <c r="H15697">
        <f>IF(DATOS!$G15697&lt;&gt;"EX",0,--(COUNTIFS(nNIA,DATOS!$A15697,nCURSO,DATOS!$D15697,nESPEC,DATOS!$E15697,nASIG,DATOS!$I15697,nEVAL,"OR")=0))</f>
      </c>
      <c r="I15697">
        <f>IF(DATOS!$I15697="","",IFERROR(VLOOKUP(DATOS!$I15697,CONFIG_ASIGNATURAS!$B$2:$J$91,9,FALSE()),""))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IF(DATOS!$A15698="",0,IF(CONFIG_METADATA!$B$4&lt;&gt;"OR+EX",--(DATOS!$G15698=CONFIG_METADATA!$B$4),IF(DATOS!$G15698="EX",1,IF(DATOS!$G15698="OR",--(COUNTIFS(nNIA,DATOS!$A15698,nCURSO,DATOS!$D15698,nESPEC,DATOS!$E15698,nASIG,DATOS!$I15698,nEVAL,"EX")=0),0))))</f>
      </c>
      <c r="H15698">
        <f>IF(DATOS!$G15698&lt;&gt;"EX",0,--(COUNTIFS(nNIA,DATOS!$A15698,nCURSO,DATOS!$D15698,nESPEC,DATOS!$E15698,nASIG,DATOS!$I15698,nEVAL,"OR")=0))</f>
      </c>
      <c r="I15698">
        <f>IF(DATOS!$I15698="","",IFERROR(VLOOKUP(DATOS!$I15698,CONFIG_ASIGNATURAS!$B$2:$J$91,9,FALSE()),""))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IF(DATOS!$A15699="",0,IF(CONFIG_METADATA!$B$4&lt;&gt;"OR+EX",--(DATOS!$G15699=CONFIG_METADATA!$B$4),IF(DATOS!$G15699="EX",1,IF(DATOS!$G15699="OR",--(COUNTIFS(nNIA,DATOS!$A15699,nCURSO,DATOS!$D15699,nESPEC,DATOS!$E15699,nASIG,DATOS!$I15699,nEVAL,"EX")=0),0))))</f>
      </c>
      <c r="H15699">
        <f>IF(DATOS!$G15699&lt;&gt;"EX",0,--(COUNTIFS(nNIA,DATOS!$A15699,nCURSO,DATOS!$D15699,nESPEC,DATOS!$E15699,nASIG,DATOS!$I15699,nEVAL,"OR")=0))</f>
      </c>
      <c r="I15699">
        <f>IF(DATOS!$I15699="","",IFERROR(VLOOKUP(DATOS!$I15699,CONFIG_ASIGNATURAS!$B$2:$J$91,9,FALSE()),""))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IF(DATOS!$A15700="",0,IF(CONFIG_METADATA!$B$4&lt;&gt;"OR+EX",--(DATOS!$G15700=CONFIG_METADATA!$B$4),IF(DATOS!$G15700="EX",1,IF(DATOS!$G15700="OR",--(COUNTIFS(nNIA,DATOS!$A15700,nCURSO,DATOS!$D15700,nESPEC,DATOS!$E15700,nASIG,DATOS!$I15700,nEVAL,"EX")=0),0))))</f>
      </c>
      <c r="H15700">
        <f>IF(DATOS!$G15700&lt;&gt;"EX",0,--(COUNTIFS(nNIA,DATOS!$A15700,nCURSO,DATOS!$D15700,nESPEC,DATOS!$E15700,nASIG,DATOS!$I15700,nEVAL,"OR")=0))</f>
      </c>
      <c r="I15700">
        <f>IF(DATOS!$I15700="","",IFERROR(VLOOKUP(DATOS!$I15700,CONFIG_ASIGNATURAS!$B$2:$J$91,9,FALSE()),""))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IF(DATOS!$A15701="",0,IF(CONFIG_METADATA!$B$4&lt;&gt;"OR+EX",--(DATOS!$G15701=CONFIG_METADATA!$B$4),IF(DATOS!$G15701="EX",1,IF(DATOS!$G15701="OR",--(COUNTIFS(nNIA,DATOS!$A15701,nCURSO,DATOS!$D15701,nESPEC,DATOS!$E15701,nASIG,DATOS!$I15701,nEVAL,"EX")=0),0))))</f>
      </c>
      <c r="H15701">
        <f>IF(DATOS!$G15701&lt;&gt;"EX",0,--(COUNTIFS(nNIA,DATOS!$A15701,nCURSO,DATOS!$D15701,nESPEC,DATOS!$E15701,nASIG,DATOS!$I15701,nEVAL,"OR")=0))</f>
      </c>
      <c r="I15701">
        <f>IF(DATOS!$I15701="","",IFERROR(VLOOKUP(DATOS!$I15701,CONFIG_ASIGNATURAS!$B$2:$J$91,9,FALSE()),""))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IF(DATOS!$A15702="",0,IF(CONFIG_METADATA!$B$4&lt;&gt;"OR+EX",--(DATOS!$G15702=CONFIG_METADATA!$B$4),IF(DATOS!$G15702="EX",1,IF(DATOS!$G15702="OR",--(COUNTIFS(nNIA,DATOS!$A15702,nCURSO,DATOS!$D15702,nESPEC,DATOS!$E15702,nASIG,DATOS!$I15702,nEVAL,"EX")=0),0))))</f>
      </c>
      <c r="H15702">
        <f>IF(DATOS!$G15702&lt;&gt;"EX",0,--(COUNTIFS(nNIA,DATOS!$A15702,nCURSO,DATOS!$D15702,nESPEC,DATOS!$E15702,nASIG,DATOS!$I15702,nEVAL,"OR")=0))</f>
      </c>
      <c r="I15702">
        <f>IF(DATOS!$I15702="","",IFERROR(VLOOKUP(DATOS!$I15702,CONFIG_ASIGNATURAS!$B$2:$J$91,9,FALSE()),""))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IF(DATOS!$A15703="",0,IF(CONFIG_METADATA!$B$4&lt;&gt;"OR+EX",--(DATOS!$G15703=CONFIG_METADATA!$B$4),IF(DATOS!$G15703="EX",1,IF(DATOS!$G15703="OR",--(COUNTIFS(nNIA,DATOS!$A15703,nCURSO,DATOS!$D15703,nESPEC,DATOS!$E15703,nASIG,DATOS!$I15703,nEVAL,"EX")=0),0))))</f>
      </c>
      <c r="H15703">
        <f>IF(DATOS!$G15703&lt;&gt;"EX",0,--(COUNTIFS(nNIA,DATOS!$A15703,nCURSO,DATOS!$D15703,nESPEC,DATOS!$E15703,nASIG,DATOS!$I15703,nEVAL,"OR")=0))</f>
      </c>
      <c r="I15703">
        <f>IF(DATOS!$I15703="","",IFERROR(VLOOKUP(DATOS!$I15703,CONFIG_ASIGNATURAS!$B$2:$J$91,9,FALSE()),""))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IF(DATOS!$A15704="",0,IF(CONFIG_METADATA!$B$4&lt;&gt;"OR+EX",--(DATOS!$G15704=CONFIG_METADATA!$B$4),IF(DATOS!$G15704="EX",1,IF(DATOS!$G15704="OR",--(COUNTIFS(nNIA,DATOS!$A15704,nCURSO,DATOS!$D15704,nESPEC,DATOS!$E15704,nASIG,DATOS!$I15704,nEVAL,"EX")=0),0))))</f>
      </c>
      <c r="H15704">
        <f>IF(DATOS!$G15704&lt;&gt;"EX",0,--(COUNTIFS(nNIA,DATOS!$A15704,nCURSO,DATOS!$D15704,nESPEC,DATOS!$E15704,nASIG,DATOS!$I15704,nEVAL,"OR")=0))</f>
      </c>
      <c r="I15704">
        <f>IF(DATOS!$I15704="","",IFERROR(VLOOKUP(DATOS!$I15704,CONFIG_ASIGNATURAS!$B$2:$J$91,9,FALSE()),""))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IF(DATOS!$A15705="",0,IF(CONFIG_METADATA!$B$4&lt;&gt;"OR+EX",--(DATOS!$G15705=CONFIG_METADATA!$B$4),IF(DATOS!$G15705="EX",1,IF(DATOS!$G15705="OR",--(COUNTIFS(nNIA,DATOS!$A15705,nCURSO,DATOS!$D15705,nESPEC,DATOS!$E15705,nASIG,DATOS!$I15705,nEVAL,"EX")=0),0))))</f>
      </c>
      <c r="H15705">
        <f>IF(DATOS!$G15705&lt;&gt;"EX",0,--(COUNTIFS(nNIA,DATOS!$A15705,nCURSO,DATOS!$D15705,nESPEC,DATOS!$E15705,nASIG,DATOS!$I15705,nEVAL,"OR")=0))</f>
      </c>
      <c r="I15705">
        <f>IF(DATOS!$I15705="","",IFERROR(VLOOKUP(DATOS!$I15705,CONFIG_ASIGNATURAS!$B$2:$J$91,9,FALSE()),""))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IF(DATOS!$A15706="",0,IF(CONFIG_METADATA!$B$4&lt;&gt;"OR+EX",--(DATOS!$G15706=CONFIG_METADATA!$B$4),IF(DATOS!$G15706="EX",1,IF(DATOS!$G15706="OR",--(COUNTIFS(nNIA,DATOS!$A15706,nCURSO,DATOS!$D15706,nESPEC,DATOS!$E15706,nASIG,DATOS!$I15706,nEVAL,"EX")=0),0))))</f>
      </c>
      <c r="H15706">
        <f>IF(DATOS!$G15706&lt;&gt;"EX",0,--(COUNTIFS(nNIA,DATOS!$A15706,nCURSO,DATOS!$D15706,nESPEC,DATOS!$E15706,nASIG,DATOS!$I15706,nEVAL,"OR")=0))</f>
      </c>
      <c r="I15706">
        <f>IF(DATOS!$I15706="","",IFERROR(VLOOKUP(DATOS!$I15706,CONFIG_ASIGNATURAS!$B$2:$J$91,9,FALSE()),""))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IF(DATOS!$A15707="",0,IF(CONFIG_METADATA!$B$4&lt;&gt;"OR+EX",--(DATOS!$G15707=CONFIG_METADATA!$B$4),IF(DATOS!$G15707="EX",1,IF(DATOS!$G15707="OR",--(COUNTIFS(nNIA,DATOS!$A15707,nCURSO,DATOS!$D15707,nESPEC,DATOS!$E15707,nASIG,DATOS!$I15707,nEVAL,"EX")=0),0))))</f>
      </c>
      <c r="H15707">
        <f>IF(DATOS!$G15707&lt;&gt;"EX",0,--(COUNTIFS(nNIA,DATOS!$A15707,nCURSO,DATOS!$D15707,nESPEC,DATOS!$E15707,nASIG,DATOS!$I15707,nEVAL,"OR")=0))</f>
      </c>
      <c r="I15707">
        <f>IF(DATOS!$I15707="","",IFERROR(VLOOKUP(DATOS!$I15707,CONFIG_ASIGNATURAS!$B$2:$J$91,9,FALSE()),""))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IF(DATOS!$A15708="",0,IF(CONFIG_METADATA!$B$4&lt;&gt;"OR+EX",--(DATOS!$G15708=CONFIG_METADATA!$B$4),IF(DATOS!$G15708="EX",1,IF(DATOS!$G15708="OR",--(COUNTIFS(nNIA,DATOS!$A15708,nCURSO,DATOS!$D15708,nESPEC,DATOS!$E15708,nASIG,DATOS!$I15708,nEVAL,"EX")=0),0))))</f>
      </c>
      <c r="H15708">
        <f>IF(DATOS!$G15708&lt;&gt;"EX",0,--(COUNTIFS(nNIA,DATOS!$A15708,nCURSO,DATOS!$D15708,nESPEC,DATOS!$E15708,nASIG,DATOS!$I15708,nEVAL,"OR")=0))</f>
      </c>
      <c r="I15708">
        <f>IF(DATOS!$I15708="","",IFERROR(VLOOKUP(DATOS!$I15708,CONFIG_ASIGNATURAS!$B$2:$J$91,9,FALSE()),""))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IF(DATOS!$A15709="",0,IF(CONFIG_METADATA!$B$4&lt;&gt;"OR+EX",--(DATOS!$G15709=CONFIG_METADATA!$B$4),IF(DATOS!$G15709="EX",1,IF(DATOS!$G15709="OR",--(COUNTIFS(nNIA,DATOS!$A15709,nCURSO,DATOS!$D15709,nESPEC,DATOS!$E15709,nASIG,DATOS!$I15709,nEVAL,"EX")=0),0))))</f>
      </c>
      <c r="H15709">
        <f>IF(DATOS!$G15709&lt;&gt;"EX",0,--(COUNTIFS(nNIA,DATOS!$A15709,nCURSO,DATOS!$D15709,nESPEC,DATOS!$E15709,nASIG,DATOS!$I15709,nEVAL,"OR")=0))</f>
      </c>
      <c r="I15709">
        <f>IF(DATOS!$I15709="","",IFERROR(VLOOKUP(DATOS!$I15709,CONFIG_ASIGNATURAS!$B$2:$J$91,9,FALSE()),""))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IF(DATOS!$A15710="",0,IF(CONFIG_METADATA!$B$4&lt;&gt;"OR+EX",--(DATOS!$G15710=CONFIG_METADATA!$B$4),IF(DATOS!$G15710="EX",1,IF(DATOS!$G15710="OR",--(COUNTIFS(nNIA,DATOS!$A15710,nCURSO,DATOS!$D15710,nESPEC,DATOS!$E15710,nASIG,DATOS!$I15710,nEVAL,"EX")=0),0))))</f>
      </c>
      <c r="H15710">
        <f>IF(DATOS!$G15710&lt;&gt;"EX",0,--(COUNTIFS(nNIA,DATOS!$A15710,nCURSO,DATOS!$D15710,nESPEC,DATOS!$E15710,nASIG,DATOS!$I15710,nEVAL,"OR")=0))</f>
      </c>
      <c r="I15710">
        <f>IF(DATOS!$I15710="","",IFERROR(VLOOKUP(DATOS!$I15710,CONFIG_ASIGNATURAS!$B$2:$J$91,9,FALSE()),""))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IF(DATOS!$A15711="",0,IF(CONFIG_METADATA!$B$4&lt;&gt;"OR+EX",--(DATOS!$G15711=CONFIG_METADATA!$B$4),IF(DATOS!$G15711="EX",1,IF(DATOS!$G15711="OR",--(COUNTIFS(nNIA,DATOS!$A15711,nCURSO,DATOS!$D15711,nESPEC,DATOS!$E15711,nASIG,DATOS!$I15711,nEVAL,"EX")=0),0))))</f>
      </c>
      <c r="H15711">
        <f>IF(DATOS!$G15711&lt;&gt;"EX",0,--(COUNTIFS(nNIA,DATOS!$A15711,nCURSO,DATOS!$D15711,nESPEC,DATOS!$E15711,nASIG,DATOS!$I15711,nEVAL,"OR")=0))</f>
      </c>
      <c r="I15711">
        <f>IF(DATOS!$I15711="","",IFERROR(VLOOKUP(DATOS!$I15711,CONFIG_ASIGNATURAS!$B$2:$J$91,9,FALSE()),""))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IF(DATOS!$A15712="",0,IF(CONFIG_METADATA!$B$4&lt;&gt;"OR+EX",--(DATOS!$G15712=CONFIG_METADATA!$B$4),IF(DATOS!$G15712="EX",1,IF(DATOS!$G15712="OR",--(COUNTIFS(nNIA,DATOS!$A15712,nCURSO,DATOS!$D15712,nESPEC,DATOS!$E15712,nASIG,DATOS!$I15712,nEVAL,"EX")=0),0))))</f>
      </c>
      <c r="H15712">
        <f>IF(DATOS!$G15712&lt;&gt;"EX",0,--(COUNTIFS(nNIA,DATOS!$A15712,nCURSO,DATOS!$D15712,nESPEC,DATOS!$E15712,nASIG,DATOS!$I15712,nEVAL,"OR")=0))</f>
      </c>
      <c r="I15712">
        <f>IF(DATOS!$I15712="","",IFERROR(VLOOKUP(DATOS!$I15712,CONFIG_ASIGNATURAS!$B$2:$J$91,9,FALSE()),""))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IF(DATOS!$A15713="",0,IF(CONFIG_METADATA!$B$4&lt;&gt;"OR+EX",--(DATOS!$G15713=CONFIG_METADATA!$B$4),IF(DATOS!$G15713="EX",1,IF(DATOS!$G15713="OR",--(COUNTIFS(nNIA,DATOS!$A15713,nCURSO,DATOS!$D15713,nESPEC,DATOS!$E15713,nASIG,DATOS!$I15713,nEVAL,"EX")=0),0))))</f>
      </c>
      <c r="H15713">
        <f>IF(DATOS!$G15713&lt;&gt;"EX",0,--(COUNTIFS(nNIA,DATOS!$A15713,nCURSO,DATOS!$D15713,nESPEC,DATOS!$E15713,nASIG,DATOS!$I15713,nEVAL,"OR")=0))</f>
      </c>
      <c r="I15713">
        <f>IF(DATOS!$I15713="","",IFERROR(VLOOKUP(DATOS!$I15713,CONFIG_ASIGNATURAS!$B$2:$J$91,9,FALSE()),""))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IF(DATOS!$A15714="",0,IF(CONFIG_METADATA!$B$4&lt;&gt;"OR+EX",--(DATOS!$G15714=CONFIG_METADATA!$B$4),IF(DATOS!$G15714="EX",1,IF(DATOS!$G15714="OR",--(COUNTIFS(nNIA,DATOS!$A15714,nCURSO,DATOS!$D15714,nESPEC,DATOS!$E15714,nASIG,DATOS!$I15714,nEVAL,"EX")=0),0))))</f>
      </c>
      <c r="H15714">
        <f>IF(DATOS!$G15714&lt;&gt;"EX",0,--(COUNTIFS(nNIA,DATOS!$A15714,nCURSO,DATOS!$D15714,nESPEC,DATOS!$E15714,nASIG,DATOS!$I15714,nEVAL,"OR")=0))</f>
      </c>
      <c r="I15714">
        <f>IF(DATOS!$I15714="","",IFERROR(VLOOKUP(DATOS!$I15714,CONFIG_ASIGNATURAS!$B$2:$J$91,9,FALSE()),""))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IF(DATOS!$A15715="",0,IF(CONFIG_METADATA!$B$4&lt;&gt;"OR+EX",--(DATOS!$G15715=CONFIG_METADATA!$B$4),IF(DATOS!$G15715="EX",1,IF(DATOS!$G15715="OR",--(COUNTIFS(nNIA,DATOS!$A15715,nCURSO,DATOS!$D15715,nESPEC,DATOS!$E15715,nASIG,DATOS!$I15715,nEVAL,"EX")=0),0))))</f>
      </c>
      <c r="H15715">
        <f>IF(DATOS!$G15715&lt;&gt;"EX",0,--(COUNTIFS(nNIA,DATOS!$A15715,nCURSO,DATOS!$D15715,nESPEC,DATOS!$E15715,nASIG,DATOS!$I15715,nEVAL,"OR")=0))</f>
      </c>
      <c r="I15715">
        <f>IF(DATOS!$I15715="","",IFERROR(VLOOKUP(DATOS!$I15715,CONFIG_ASIGNATURAS!$B$2:$J$91,9,FALSE()),""))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IF(DATOS!$A15716="",0,IF(CONFIG_METADATA!$B$4&lt;&gt;"OR+EX",--(DATOS!$G15716=CONFIG_METADATA!$B$4),IF(DATOS!$G15716="EX",1,IF(DATOS!$G15716="OR",--(COUNTIFS(nNIA,DATOS!$A15716,nCURSO,DATOS!$D15716,nESPEC,DATOS!$E15716,nASIG,DATOS!$I15716,nEVAL,"EX")=0),0))))</f>
      </c>
      <c r="H15716">
        <f>IF(DATOS!$G15716&lt;&gt;"EX",0,--(COUNTIFS(nNIA,DATOS!$A15716,nCURSO,DATOS!$D15716,nESPEC,DATOS!$E15716,nASIG,DATOS!$I15716,nEVAL,"OR")=0))</f>
      </c>
      <c r="I15716">
        <f>IF(DATOS!$I15716="","",IFERROR(VLOOKUP(DATOS!$I15716,CONFIG_ASIGNATURAS!$B$2:$J$91,9,FALSE()),""))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IF(DATOS!$A15717="",0,IF(CONFIG_METADATA!$B$4&lt;&gt;"OR+EX",--(DATOS!$G15717=CONFIG_METADATA!$B$4),IF(DATOS!$G15717="EX",1,IF(DATOS!$G15717="OR",--(COUNTIFS(nNIA,DATOS!$A15717,nCURSO,DATOS!$D15717,nESPEC,DATOS!$E15717,nASIG,DATOS!$I15717,nEVAL,"EX")=0),0))))</f>
      </c>
      <c r="H15717">
        <f>IF(DATOS!$G15717&lt;&gt;"EX",0,--(COUNTIFS(nNIA,DATOS!$A15717,nCURSO,DATOS!$D15717,nESPEC,DATOS!$E15717,nASIG,DATOS!$I15717,nEVAL,"OR")=0))</f>
      </c>
      <c r="I15717">
        <f>IF(DATOS!$I15717="","",IFERROR(VLOOKUP(DATOS!$I15717,CONFIG_ASIGNATURAS!$B$2:$J$91,9,FALSE()),""))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IF(DATOS!$A15718="",0,IF(CONFIG_METADATA!$B$4&lt;&gt;"OR+EX",--(DATOS!$G15718=CONFIG_METADATA!$B$4),IF(DATOS!$G15718="EX",1,IF(DATOS!$G15718="OR",--(COUNTIFS(nNIA,DATOS!$A15718,nCURSO,DATOS!$D15718,nESPEC,DATOS!$E15718,nASIG,DATOS!$I15718,nEVAL,"EX")=0),0))))</f>
      </c>
      <c r="H15718">
        <f>IF(DATOS!$G15718&lt;&gt;"EX",0,--(COUNTIFS(nNIA,DATOS!$A15718,nCURSO,DATOS!$D15718,nESPEC,DATOS!$E15718,nASIG,DATOS!$I15718,nEVAL,"OR")=0))</f>
      </c>
      <c r="I15718">
        <f>IF(DATOS!$I15718="","",IFERROR(VLOOKUP(DATOS!$I15718,CONFIG_ASIGNATURAS!$B$2:$J$91,9,FALSE()),""))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IF(DATOS!$A15719="",0,IF(CONFIG_METADATA!$B$4&lt;&gt;"OR+EX",--(DATOS!$G15719=CONFIG_METADATA!$B$4),IF(DATOS!$G15719="EX",1,IF(DATOS!$G15719="OR",--(COUNTIFS(nNIA,DATOS!$A15719,nCURSO,DATOS!$D15719,nESPEC,DATOS!$E15719,nASIG,DATOS!$I15719,nEVAL,"EX")=0),0))))</f>
      </c>
      <c r="H15719">
        <f>IF(DATOS!$G15719&lt;&gt;"EX",0,--(COUNTIFS(nNIA,DATOS!$A15719,nCURSO,DATOS!$D15719,nESPEC,DATOS!$E15719,nASIG,DATOS!$I15719,nEVAL,"OR")=0))</f>
      </c>
      <c r="I15719">
        <f>IF(DATOS!$I15719="","",IFERROR(VLOOKUP(DATOS!$I15719,CONFIG_ASIGNATURAS!$B$2:$J$91,9,FALSE()),""))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IF(DATOS!$A15720="",0,IF(CONFIG_METADATA!$B$4&lt;&gt;"OR+EX",--(DATOS!$G15720=CONFIG_METADATA!$B$4),IF(DATOS!$G15720="EX",1,IF(DATOS!$G15720="OR",--(COUNTIFS(nNIA,DATOS!$A15720,nCURSO,DATOS!$D15720,nESPEC,DATOS!$E15720,nASIG,DATOS!$I15720,nEVAL,"EX")=0),0))))</f>
      </c>
      <c r="H15720">
        <f>IF(DATOS!$G15720&lt;&gt;"EX",0,--(COUNTIFS(nNIA,DATOS!$A15720,nCURSO,DATOS!$D15720,nESPEC,DATOS!$E15720,nASIG,DATOS!$I15720,nEVAL,"OR")=0))</f>
      </c>
      <c r="I15720">
        <f>IF(DATOS!$I15720="","",IFERROR(VLOOKUP(DATOS!$I15720,CONFIG_ASIGNATURAS!$B$2:$J$91,9,FALSE()),""))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IF(DATOS!$A15721="",0,IF(CONFIG_METADATA!$B$4&lt;&gt;"OR+EX",--(DATOS!$G15721=CONFIG_METADATA!$B$4),IF(DATOS!$G15721="EX",1,IF(DATOS!$G15721="OR",--(COUNTIFS(nNIA,DATOS!$A15721,nCURSO,DATOS!$D15721,nESPEC,DATOS!$E15721,nASIG,DATOS!$I15721,nEVAL,"EX")=0),0))))</f>
      </c>
      <c r="H15721">
        <f>IF(DATOS!$G15721&lt;&gt;"EX",0,--(COUNTIFS(nNIA,DATOS!$A15721,nCURSO,DATOS!$D15721,nESPEC,DATOS!$E15721,nASIG,DATOS!$I15721,nEVAL,"OR")=0))</f>
      </c>
      <c r="I15721">
        <f>IF(DATOS!$I15721="","",IFERROR(VLOOKUP(DATOS!$I15721,CONFIG_ASIGNATURAS!$B$2:$J$91,9,FALSE()),""))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IF(DATOS!$A15722="",0,IF(CONFIG_METADATA!$B$4&lt;&gt;"OR+EX",--(DATOS!$G15722=CONFIG_METADATA!$B$4),IF(DATOS!$G15722="EX",1,IF(DATOS!$G15722="OR",--(COUNTIFS(nNIA,DATOS!$A15722,nCURSO,DATOS!$D15722,nESPEC,DATOS!$E15722,nASIG,DATOS!$I15722,nEVAL,"EX")=0),0))))</f>
      </c>
      <c r="H15722">
        <f>IF(DATOS!$G15722&lt;&gt;"EX",0,--(COUNTIFS(nNIA,DATOS!$A15722,nCURSO,DATOS!$D15722,nESPEC,DATOS!$E15722,nASIG,DATOS!$I15722,nEVAL,"OR")=0))</f>
      </c>
      <c r="I15722">
        <f>IF(DATOS!$I15722="","",IFERROR(VLOOKUP(DATOS!$I15722,CONFIG_ASIGNATURAS!$B$2:$J$91,9,FALSE()),""))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IF(DATOS!$A15723="",0,IF(CONFIG_METADATA!$B$4&lt;&gt;"OR+EX",--(DATOS!$G15723=CONFIG_METADATA!$B$4),IF(DATOS!$G15723="EX",1,IF(DATOS!$G15723="OR",--(COUNTIFS(nNIA,DATOS!$A15723,nCURSO,DATOS!$D15723,nESPEC,DATOS!$E15723,nASIG,DATOS!$I15723,nEVAL,"EX")=0),0))))</f>
      </c>
      <c r="H15723">
        <f>IF(DATOS!$G15723&lt;&gt;"EX",0,--(COUNTIFS(nNIA,DATOS!$A15723,nCURSO,DATOS!$D15723,nESPEC,DATOS!$E15723,nASIG,DATOS!$I15723,nEVAL,"OR")=0))</f>
      </c>
      <c r="I15723">
        <f>IF(DATOS!$I15723="","",IFERROR(VLOOKUP(DATOS!$I15723,CONFIG_ASIGNATURAS!$B$2:$J$91,9,FALSE()),""))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IF(DATOS!$A15724="",0,IF(CONFIG_METADATA!$B$4&lt;&gt;"OR+EX",--(DATOS!$G15724=CONFIG_METADATA!$B$4),IF(DATOS!$G15724="EX",1,IF(DATOS!$G15724="OR",--(COUNTIFS(nNIA,DATOS!$A15724,nCURSO,DATOS!$D15724,nESPEC,DATOS!$E15724,nASIG,DATOS!$I15724,nEVAL,"EX")=0),0))))</f>
      </c>
      <c r="H15724">
        <f>IF(DATOS!$G15724&lt;&gt;"EX",0,--(COUNTIFS(nNIA,DATOS!$A15724,nCURSO,DATOS!$D15724,nESPEC,DATOS!$E15724,nASIG,DATOS!$I15724,nEVAL,"OR")=0))</f>
      </c>
      <c r="I15724">
        <f>IF(DATOS!$I15724="","",IFERROR(VLOOKUP(DATOS!$I15724,CONFIG_ASIGNATURAS!$B$2:$J$91,9,FALSE()),""))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IF(DATOS!$A15725="",0,IF(CONFIG_METADATA!$B$4&lt;&gt;"OR+EX",--(DATOS!$G15725=CONFIG_METADATA!$B$4),IF(DATOS!$G15725="EX",1,IF(DATOS!$G15725="OR",--(COUNTIFS(nNIA,DATOS!$A15725,nCURSO,DATOS!$D15725,nESPEC,DATOS!$E15725,nASIG,DATOS!$I15725,nEVAL,"EX")=0),0))))</f>
      </c>
      <c r="H15725">
        <f>IF(DATOS!$G15725&lt;&gt;"EX",0,--(COUNTIFS(nNIA,DATOS!$A15725,nCURSO,DATOS!$D15725,nESPEC,DATOS!$E15725,nASIG,DATOS!$I15725,nEVAL,"OR")=0))</f>
      </c>
      <c r="I15725">
        <f>IF(DATOS!$I15725="","",IFERROR(VLOOKUP(DATOS!$I15725,CONFIG_ASIGNATURAS!$B$2:$J$91,9,FALSE()),""))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IF(DATOS!$A15726="",0,IF(CONFIG_METADATA!$B$4&lt;&gt;"OR+EX",--(DATOS!$G15726=CONFIG_METADATA!$B$4),IF(DATOS!$G15726="EX",1,IF(DATOS!$G15726="OR",--(COUNTIFS(nNIA,DATOS!$A15726,nCURSO,DATOS!$D15726,nESPEC,DATOS!$E15726,nASIG,DATOS!$I15726,nEVAL,"EX")=0),0))))</f>
      </c>
      <c r="H15726">
        <f>IF(DATOS!$G15726&lt;&gt;"EX",0,--(COUNTIFS(nNIA,DATOS!$A15726,nCURSO,DATOS!$D15726,nESPEC,DATOS!$E15726,nASIG,DATOS!$I15726,nEVAL,"OR")=0))</f>
      </c>
      <c r="I15726">
        <f>IF(DATOS!$I15726="","",IFERROR(VLOOKUP(DATOS!$I15726,CONFIG_ASIGNATURAS!$B$2:$J$91,9,FALSE()),""))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IF(DATOS!$A15727="",0,IF(CONFIG_METADATA!$B$4&lt;&gt;"OR+EX",--(DATOS!$G15727=CONFIG_METADATA!$B$4),IF(DATOS!$G15727="EX",1,IF(DATOS!$G15727="OR",--(COUNTIFS(nNIA,DATOS!$A15727,nCURSO,DATOS!$D15727,nESPEC,DATOS!$E15727,nASIG,DATOS!$I15727,nEVAL,"EX")=0),0))))</f>
      </c>
      <c r="H15727">
        <f>IF(DATOS!$G15727&lt;&gt;"EX",0,--(COUNTIFS(nNIA,DATOS!$A15727,nCURSO,DATOS!$D15727,nESPEC,DATOS!$E15727,nASIG,DATOS!$I15727,nEVAL,"OR")=0))</f>
      </c>
      <c r="I15727">
        <f>IF(DATOS!$I15727="","",IFERROR(VLOOKUP(DATOS!$I15727,CONFIG_ASIGNATURAS!$B$2:$J$91,9,FALSE()),""))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IF(DATOS!$A15728="",0,IF(CONFIG_METADATA!$B$4&lt;&gt;"OR+EX",--(DATOS!$G15728=CONFIG_METADATA!$B$4),IF(DATOS!$G15728="EX",1,IF(DATOS!$G15728="OR",--(COUNTIFS(nNIA,DATOS!$A15728,nCURSO,DATOS!$D15728,nESPEC,DATOS!$E15728,nASIG,DATOS!$I15728,nEVAL,"EX")=0),0))))</f>
      </c>
      <c r="H15728">
        <f>IF(DATOS!$G15728&lt;&gt;"EX",0,--(COUNTIFS(nNIA,DATOS!$A15728,nCURSO,DATOS!$D15728,nESPEC,DATOS!$E15728,nASIG,DATOS!$I15728,nEVAL,"OR")=0))</f>
      </c>
      <c r="I15728">
        <f>IF(DATOS!$I15728="","",IFERROR(VLOOKUP(DATOS!$I15728,CONFIG_ASIGNATURAS!$B$2:$J$91,9,FALSE()),""))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IF(DATOS!$A15729="",0,IF(CONFIG_METADATA!$B$4&lt;&gt;"OR+EX",--(DATOS!$G15729=CONFIG_METADATA!$B$4),IF(DATOS!$G15729="EX",1,IF(DATOS!$G15729="OR",--(COUNTIFS(nNIA,DATOS!$A15729,nCURSO,DATOS!$D15729,nESPEC,DATOS!$E15729,nASIG,DATOS!$I15729,nEVAL,"EX")=0),0))))</f>
      </c>
      <c r="H15729">
        <f>IF(DATOS!$G15729&lt;&gt;"EX",0,--(COUNTIFS(nNIA,DATOS!$A15729,nCURSO,DATOS!$D15729,nESPEC,DATOS!$E15729,nASIG,DATOS!$I15729,nEVAL,"OR")=0))</f>
      </c>
      <c r="I15729">
        <f>IF(DATOS!$I15729="","",IFERROR(VLOOKUP(DATOS!$I15729,CONFIG_ASIGNATURAS!$B$2:$J$91,9,FALSE()),""))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IF(DATOS!$A15730="",0,IF(CONFIG_METADATA!$B$4&lt;&gt;"OR+EX",--(DATOS!$G15730=CONFIG_METADATA!$B$4),IF(DATOS!$G15730="EX",1,IF(DATOS!$G15730="OR",--(COUNTIFS(nNIA,DATOS!$A15730,nCURSO,DATOS!$D15730,nESPEC,DATOS!$E15730,nASIG,DATOS!$I15730,nEVAL,"EX")=0),0))))</f>
      </c>
      <c r="H15730">
        <f>IF(DATOS!$G15730&lt;&gt;"EX",0,--(COUNTIFS(nNIA,DATOS!$A15730,nCURSO,DATOS!$D15730,nESPEC,DATOS!$E15730,nASIG,DATOS!$I15730,nEVAL,"OR")=0))</f>
      </c>
      <c r="I15730">
        <f>IF(DATOS!$I15730="","",IFERROR(VLOOKUP(DATOS!$I15730,CONFIG_ASIGNATURAS!$B$2:$J$91,9,FALSE()),""))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IF(DATOS!$A15731="",0,IF(CONFIG_METADATA!$B$4&lt;&gt;"OR+EX",--(DATOS!$G15731=CONFIG_METADATA!$B$4),IF(DATOS!$G15731="EX",1,IF(DATOS!$G15731="OR",--(COUNTIFS(nNIA,DATOS!$A15731,nCURSO,DATOS!$D15731,nESPEC,DATOS!$E15731,nASIG,DATOS!$I15731,nEVAL,"EX")=0),0))))</f>
      </c>
      <c r="H15731">
        <f>IF(DATOS!$G15731&lt;&gt;"EX",0,--(COUNTIFS(nNIA,DATOS!$A15731,nCURSO,DATOS!$D15731,nESPEC,DATOS!$E15731,nASIG,DATOS!$I15731,nEVAL,"OR")=0))</f>
      </c>
      <c r="I15731">
        <f>IF(DATOS!$I15731="","",IFERROR(VLOOKUP(DATOS!$I15731,CONFIG_ASIGNATURAS!$B$2:$J$91,9,FALSE()),""))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IF(DATOS!$A15732="",0,IF(CONFIG_METADATA!$B$4&lt;&gt;"OR+EX",--(DATOS!$G15732=CONFIG_METADATA!$B$4),IF(DATOS!$G15732="EX",1,IF(DATOS!$G15732="OR",--(COUNTIFS(nNIA,DATOS!$A15732,nCURSO,DATOS!$D15732,nESPEC,DATOS!$E15732,nASIG,DATOS!$I15732,nEVAL,"EX")=0),0))))</f>
      </c>
      <c r="H15732">
        <f>IF(DATOS!$G15732&lt;&gt;"EX",0,--(COUNTIFS(nNIA,DATOS!$A15732,nCURSO,DATOS!$D15732,nESPEC,DATOS!$E15732,nASIG,DATOS!$I15732,nEVAL,"OR")=0))</f>
      </c>
      <c r="I15732">
        <f>IF(DATOS!$I15732="","",IFERROR(VLOOKUP(DATOS!$I15732,CONFIG_ASIGNATURAS!$B$2:$J$91,9,FALSE()),""))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IF(DATOS!$A15733="",0,IF(CONFIG_METADATA!$B$4&lt;&gt;"OR+EX",--(DATOS!$G15733=CONFIG_METADATA!$B$4),IF(DATOS!$G15733="EX",1,IF(DATOS!$G15733="OR",--(COUNTIFS(nNIA,DATOS!$A15733,nCURSO,DATOS!$D15733,nESPEC,DATOS!$E15733,nASIG,DATOS!$I15733,nEVAL,"EX")=0),0))))</f>
      </c>
      <c r="H15733">
        <f>IF(DATOS!$G15733&lt;&gt;"EX",0,--(COUNTIFS(nNIA,DATOS!$A15733,nCURSO,DATOS!$D15733,nESPEC,DATOS!$E15733,nASIG,DATOS!$I15733,nEVAL,"OR")=0))</f>
      </c>
      <c r="I15733">
        <f>IF(DATOS!$I15733="","",IFERROR(VLOOKUP(DATOS!$I15733,CONFIG_ASIGNATURAS!$B$2:$J$91,9,FALSE()),""))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IF(DATOS!$A15734="",0,IF(CONFIG_METADATA!$B$4&lt;&gt;"OR+EX",--(DATOS!$G15734=CONFIG_METADATA!$B$4),IF(DATOS!$G15734="EX",1,IF(DATOS!$G15734="OR",--(COUNTIFS(nNIA,DATOS!$A15734,nCURSO,DATOS!$D15734,nESPEC,DATOS!$E15734,nASIG,DATOS!$I15734,nEVAL,"EX")=0),0))))</f>
      </c>
      <c r="H15734">
        <f>IF(DATOS!$G15734&lt;&gt;"EX",0,--(COUNTIFS(nNIA,DATOS!$A15734,nCURSO,DATOS!$D15734,nESPEC,DATOS!$E15734,nASIG,DATOS!$I15734,nEVAL,"OR")=0))</f>
      </c>
      <c r="I15734">
        <f>IF(DATOS!$I15734="","",IFERROR(VLOOKUP(DATOS!$I15734,CONFIG_ASIGNATURAS!$B$2:$J$91,9,FALSE()),""))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IF(DATOS!$A15735="",0,IF(CONFIG_METADATA!$B$4&lt;&gt;"OR+EX",--(DATOS!$G15735=CONFIG_METADATA!$B$4),IF(DATOS!$G15735="EX",1,IF(DATOS!$G15735="OR",--(COUNTIFS(nNIA,DATOS!$A15735,nCURSO,DATOS!$D15735,nESPEC,DATOS!$E15735,nASIG,DATOS!$I15735,nEVAL,"EX")=0),0))))</f>
      </c>
      <c r="H15735">
        <f>IF(DATOS!$G15735&lt;&gt;"EX",0,--(COUNTIFS(nNIA,DATOS!$A15735,nCURSO,DATOS!$D15735,nESPEC,DATOS!$E15735,nASIG,DATOS!$I15735,nEVAL,"OR")=0))</f>
      </c>
      <c r="I15735">
        <f>IF(DATOS!$I15735="","",IFERROR(VLOOKUP(DATOS!$I15735,CONFIG_ASIGNATURAS!$B$2:$J$91,9,FALSE()),""))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IF(DATOS!$A15736="",0,IF(CONFIG_METADATA!$B$4&lt;&gt;"OR+EX",--(DATOS!$G15736=CONFIG_METADATA!$B$4),IF(DATOS!$G15736="EX",1,IF(DATOS!$G15736="OR",--(COUNTIFS(nNIA,DATOS!$A15736,nCURSO,DATOS!$D15736,nESPEC,DATOS!$E15736,nASIG,DATOS!$I15736,nEVAL,"EX")=0),0))))</f>
      </c>
      <c r="H15736">
        <f>IF(DATOS!$G15736&lt;&gt;"EX",0,--(COUNTIFS(nNIA,DATOS!$A15736,nCURSO,DATOS!$D15736,nESPEC,DATOS!$E15736,nASIG,DATOS!$I15736,nEVAL,"OR")=0))</f>
      </c>
      <c r="I15736">
        <f>IF(DATOS!$I15736="","",IFERROR(VLOOKUP(DATOS!$I15736,CONFIG_ASIGNATURAS!$B$2:$J$91,9,FALSE()),""))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IF(DATOS!$A15737="",0,IF(CONFIG_METADATA!$B$4&lt;&gt;"OR+EX",--(DATOS!$G15737=CONFIG_METADATA!$B$4),IF(DATOS!$G15737="EX",1,IF(DATOS!$G15737="OR",--(COUNTIFS(nNIA,DATOS!$A15737,nCURSO,DATOS!$D15737,nESPEC,DATOS!$E15737,nASIG,DATOS!$I15737,nEVAL,"EX")=0),0))))</f>
      </c>
      <c r="H15737">
        <f>IF(DATOS!$G15737&lt;&gt;"EX",0,--(COUNTIFS(nNIA,DATOS!$A15737,nCURSO,DATOS!$D15737,nESPEC,DATOS!$E15737,nASIG,DATOS!$I15737,nEVAL,"OR")=0))</f>
      </c>
      <c r="I15737">
        <f>IF(DATOS!$I15737="","",IFERROR(VLOOKUP(DATOS!$I15737,CONFIG_ASIGNATURAS!$B$2:$J$91,9,FALSE()),""))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IF(DATOS!$A15738="",0,IF(CONFIG_METADATA!$B$4&lt;&gt;"OR+EX",--(DATOS!$G15738=CONFIG_METADATA!$B$4),IF(DATOS!$G15738="EX",1,IF(DATOS!$G15738="OR",--(COUNTIFS(nNIA,DATOS!$A15738,nCURSO,DATOS!$D15738,nESPEC,DATOS!$E15738,nASIG,DATOS!$I15738,nEVAL,"EX")=0),0))))</f>
      </c>
      <c r="H15738">
        <f>IF(DATOS!$G15738&lt;&gt;"EX",0,--(COUNTIFS(nNIA,DATOS!$A15738,nCURSO,DATOS!$D15738,nESPEC,DATOS!$E15738,nASIG,DATOS!$I15738,nEVAL,"OR")=0))</f>
      </c>
      <c r="I15738">
        <f>IF(DATOS!$I15738="","",IFERROR(VLOOKUP(DATOS!$I15738,CONFIG_ASIGNATURAS!$B$2:$J$91,9,FALSE()),""))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IF(DATOS!$A15739="",0,IF(CONFIG_METADATA!$B$4&lt;&gt;"OR+EX",--(DATOS!$G15739=CONFIG_METADATA!$B$4),IF(DATOS!$G15739="EX",1,IF(DATOS!$G15739="OR",--(COUNTIFS(nNIA,DATOS!$A15739,nCURSO,DATOS!$D15739,nESPEC,DATOS!$E15739,nASIG,DATOS!$I15739,nEVAL,"EX")=0),0))))</f>
      </c>
      <c r="H15739">
        <f>IF(DATOS!$G15739&lt;&gt;"EX",0,--(COUNTIFS(nNIA,DATOS!$A15739,nCURSO,DATOS!$D15739,nESPEC,DATOS!$E15739,nASIG,DATOS!$I15739,nEVAL,"OR")=0))</f>
      </c>
      <c r="I15739">
        <f>IF(DATOS!$I15739="","",IFERROR(VLOOKUP(DATOS!$I15739,CONFIG_ASIGNATURAS!$B$2:$J$91,9,FALSE()),""))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IF(DATOS!$A15740="",0,IF(CONFIG_METADATA!$B$4&lt;&gt;"OR+EX",--(DATOS!$G15740=CONFIG_METADATA!$B$4),IF(DATOS!$G15740="EX",1,IF(DATOS!$G15740="OR",--(COUNTIFS(nNIA,DATOS!$A15740,nCURSO,DATOS!$D15740,nESPEC,DATOS!$E15740,nASIG,DATOS!$I15740,nEVAL,"EX")=0),0))))</f>
      </c>
      <c r="H15740">
        <f>IF(DATOS!$G15740&lt;&gt;"EX",0,--(COUNTIFS(nNIA,DATOS!$A15740,nCURSO,DATOS!$D15740,nESPEC,DATOS!$E15740,nASIG,DATOS!$I15740,nEVAL,"OR")=0))</f>
      </c>
      <c r="I15740">
        <f>IF(DATOS!$I15740="","",IFERROR(VLOOKUP(DATOS!$I15740,CONFIG_ASIGNATURAS!$B$2:$J$91,9,FALSE()),""))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IF(DATOS!$A15741="",0,IF(CONFIG_METADATA!$B$4&lt;&gt;"OR+EX",--(DATOS!$G15741=CONFIG_METADATA!$B$4),IF(DATOS!$G15741="EX",1,IF(DATOS!$G15741="OR",--(COUNTIFS(nNIA,DATOS!$A15741,nCURSO,DATOS!$D15741,nESPEC,DATOS!$E15741,nASIG,DATOS!$I15741,nEVAL,"EX")=0),0))))</f>
      </c>
      <c r="H15741">
        <f>IF(DATOS!$G15741&lt;&gt;"EX",0,--(COUNTIFS(nNIA,DATOS!$A15741,nCURSO,DATOS!$D15741,nESPEC,DATOS!$E15741,nASIG,DATOS!$I15741,nEVAL,"OR")=0))</f>
      </c>
      <c r="I15741">
        <f>IF(DATOS!$I15741="","",IFERROR(VLOOKUP(DATOS!$I15741,CONFIG_ASIGNATURAS!$B$2:$J$91,9,FALSE()),""))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IF(DATOS!$A15742="",0,IF(CONFIG_METADATA!$B$4&lt;&gt;"OR+EX",--(DATOS!$G15742=CONFIG_METADATA!$B$4),IF(DATOS!$G15742="EX",1,IF(DATOS!$G15742="OR",--(COUNTIFS(nNIA,DATOS!$A15742,nCURSO,DATOS!$D15742,nESPEC,DATOS!$E15742,nASIG,DATOS!$I15742,nEVAL,"EX")=0),0))))</f>
      </c>
      <c r="H15742">
        <f>IF(DATOS!$G15742&lt;&gt;"EX",0,--(COUNTIFS(nNIA,DATOS!$A15742,nCURSO,DATOS!$D15742,nESPEC,DATOS!$E15742,nASIG,DATOS!$I15742,nEVAL,"OR")=0))</f>
      </c>
      <c r="I15742">
        <f>IF(DATOS!$I15742="","",IFERROR(VLOOKUP(DATOS!$I15742,CONFIG_ASIGNATURAS!$B$2:$J$91,9,FALSE()),""))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IF(DATOS!$A15743="",0,IF(CONFIG_METADATA!$B$4&lt;&gt;"OR+EX",--(DATOS!$G15743=CONFIG_METADATA!$B$4),IF(DATOS!$G15743="EX",1,IF(DATOS!$G15743="OR",--(COUNTIFS(nNIA,DATOS!$A15743,nCURSO,DATOS!$D15743,nESPEC,DATOS!$E15743,nASIG,DATOS!$I15743,nEVAL,"EX")=0),0))))</f>
      </c>
      <c r="H15743">
        <f>IF(DATOS!$G15743&lt;&gt;"EX",0,--(COUNTIFS(nNIA,DATOS!$A15743,nCURSO,DATOS!$D15743,nESPEC,DATOS!$E15743,nASIG,DATOS!$I15743,nEVAL,"OR")=0))</f>
      </c>
      <c r="I15743">
        <f>IF(DATOS!$I15743="","",IFERROR(VLOOKUP(DATOS!$I15743,CONFIG_ASIGNATURAS!$B$2:$J$91,9,FALSE()),""))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IF(DATOS!$A15744="",0,IF(CONFIG_METADATA!$B$4&lt;&gt;"OR+EX",--(DATOS!$G15744=CONFIG_METADATA!$B$4),IF(DATOS!$G15744="EX",1,IF(DATOS!$G15744="OR",--(COUNTIFS(nNIA,DATOS!$A15744,nCURSO,DATOS!$D15744,nESPEC,DATOS!$E15744,nASIG,DATOS!$I15744,nEVAL,"EX")=0),0))))</f>
      </c>
      <c r="H15744">
        <f>IF(DATOS!$G15744&lt;&gt;"EX",0,--(COUNTIFS(nNIA,DATOS!$A15744,nCURSO,DATOS!$D15744,nESPEC,DATOS!$E15744,nASIG,DATOS!$I15744,nEVAL,"OR")=0))</f>
      </c>
      <c r="I15744">
        <f>IF(DATOS!$I15744="","",IFERROR(VLOOKUP(DATOS!$I15744,CONFIG_ASIGNATURAS!$B$2:$J$91,9,FALSE()),""))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IF(DATOS!$A15745="",0,IF(CONFIG_METADATA!$B$4&lt;&gt;"OR+EX",--(DATOS!$G15745=CONFIG_METADATA!$B$4),IF(DATOS!$G15745="EX",1,IF(DATOS!$G15745="OR",--(COUNTIFS(nNIA,DATOS!$A15745,nCURSO,DATOS!$D15745,nESPEC,DATOS!$E15745,nASIG,DATOS!$I15745,nEVAL,"EX")=0),0))))</f>
      </c>
      <c r="H15745">
        <f>IF(DATOS!$G15745&lt;&gt;"EX",0,--(COUNTIFS(nNIA,DATOS!$A15745,nCURSO,DATOS!$D15745,nESPEC,DATOS!$E15745,nASIG,DATOS!$I15745,nEVAL,"OR")=0))</f>
      </c>
      <c r="I15745">
        <f>IF(DATOS!$I15745="","",IFERROR(VLOOKUP(DATOS!$I15745,CONFIG_ASIGNATURAS!$B$2:$J$91,9,FALSE()),""))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IF(DATOS!$A15746="",0,IF(CONFIG_METADATA!$B$4&lt;&gt;"OR+EX",--(DATOS!$G15746=CONFIG_METADATA!$B$4),IF(DATOS!$G15746="EX",1,IF(DATOS!$G15746="OR",--(COUNTIFS(nNIA,DATOS!$A15746,nCURSO,DATOS!$D15746,nESPEC,DATOS!$E15746,nASIG,DATOS!$I15746,nEVAL,"EX")=0),0))))</f>
      </c>
      <c r="H15746">
        <f>IF(DATOS!$G15746&lt;&gt;"EX",0,--(COUNTIFS(nNIA,DATOS!$A15746,nCURSO,DATOS!$D15746,nESPEC,DATOS!$E15746,nASIG,DATOS!$I15746,nEVAL,"OR")=0))</f>
      </c>
      <c r="I15746">
        <f>IF(DATOS!$I15746="","",IFERROR(VLOOKUP(DATOS!$I15746,CONFIG_ASIGNATURAS!$B$2:$J$91,9,FALSE()),""))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IF(DATOS!$A15747="",0,IF(CONFIG_METADATA!$B$4&lt;&gt;"OR+EX",--(DATOS!$G15747=CONFIG_METADATA!$B$4),IF(DATOS!$G15747="EX",1,IF(DATOS!$G15747="OR",--(COUNTIFS(nNIA,DATOS!$A15747,nCURSO,DATOS!$D15747,nESPEC,DATOS!$E15747,nASIG,DATOS!$I15747,nEVAL,"EX")=0),0))))</f>
      </c>
      <c r="H15747">
        <f>IF(DATOS!$G15747&lt;&gt;"EX",0,--(COUNTIFS(nNIA,DATOS!$A15747,nCURSO,DATOS!$D15747,nESPEC,DATOS!$E15747,nASIG,DATOS!$I15747,nEVAL,"OR")=0))</f>
      </c>
      <c r="I15747">
        <f>IF(DATOS!$I15747="","",IFERROR(VLOOKUP(DATOS!$I15747,CONFIG_ASIGNATURAS!$B$2:$J$91,9,FALSE()),""))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IF(DATOS!$A15748="",0,IF(CONFIG_METADATA!$B$4&lt;&gt;"OR+EX",--(DATOS!$G15748=CONFIG_METADATA!$B$4),IF(DATOS!$G15748="EX",1,IF(DATOS!$G15748="OR",--(COUNTIFS(nNIA,DATOS!$A15748,nCURSO,DATOS!$D15748,nESPEC,DATOS!$E15748,nASIG,DATOS!$I15748,nEVAL,"EX")=0),0))))</f>
      </c>
      <c r="H15748">
        <f>IF(DATOS!$G15748&lt;&gt;"EX",0,--(COUNTIFS(nNIA,DATOS!$A15748,nCURSO,DATOS!$D15748,nESPEC,DATOS!$E15748,nASIG,DATOS!$I15748,nEVAL,"OR")=0))</f>
      </c>
      <c r="I15748">
        <f>IF(DATOS!$I15748="","",IFERROR(VLOOKUP(DATOS!$I15748,CONFIG_ASIGNATURAS!$B$2:$J$91,9,FALSE()),""))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IF(DATOS!$A15749="",0,IF(CONFIG_METADATA!$B$4&lt;&gt;"OR+EX",--(DATOS!$G15749=CONFIG_METADATA!$B$4),IF(DATOS!$G15749="EX",1,IF(DATOS!$G15749="OR",--(COUNTIFS(nNIA,DATOS!$A15749,nCURSO,DATOS!$D15749,nESPEC,DATOS!$E15749,nASIG,DATOS!$I15749,nEVAL,"EX")=0),0))))</f>
      </c>
      <c r="H15749">
        <f>IF(DATOS!$G15749&lt;&gt;"EX",0,--(COUNTIFS(nNIA,DATOS!$A15749,nCURSO,DATOS!$D15749,nESPEC,DATOS!$E15749,nASIG,DATOS!$I15749,nEVAL,"OR")=0))</f>
      </c>
      <c r="I15749">
        <f>IF(DATOS!$I15749="","",IFERROR(VLOOKUP(DATOS!$I15749,CONFIG_ASIGNATURAS!$B$2:$J$91,9,FALSE()),""))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IF(DATOS!$A15750="",0,IF(CONFIG_METADATA!$B$4&lt;&gt;"OR+EX",--(DATOS!$G15750=CONFIG_METADATA!$B$4),IF(DATOS!$G15750="EX",1,IF(DATOS!$G15750="OR",--(COUNTIFS(nNIA,DATOS!$A15750,nCURSO,DATOS!$D15750,nESPEC,DATOS!$E15750,nASIG,DATOS!$I15750,nEVAL,"EX")=0),0))))</f>
      </c>
      <c r="H15750">
        <f>IF(DATOS!$G15750&lt;&gt;"EX",0,--(COUNTIFS(nNIA,DATOS!$A15750,nCURSO,DATOS!$D15750,nESPEC,DATOS!$E15750,nASIG,DATOS!$I15750,nEVAL,"OR")=0))</f>
      </c>
      <c r="I15750">
        <f>IF(DATOS!$I15750="","",IFERROR(VLOOKUP(DATOS!$I15750,CONFIG_ASIGNATURAS!$B$2:$J$91,9,FALSE()),""))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IF(DATOS!$A15751="",0,IF(CONFIG_METADATA!$B$4&lt;&gt;"OR+EX",--(DATOS!$G15751=CONFIG_METADATA!$B$4),IF(DATOS!$G15751="EX",1,IF(DATOS!$G15751="OR",--(COUNTIFS(nNIA,DATOS!$A15751,nCURSO,DATOS!$D15751,nESPEC,DATOS!$E15751,nASIG,DATOS!$I15751,nEVAL,"EX")=0),0))))</f>
      </c>
      <c r="H15751">
        <f>IF(DATOS!$G15751&lt;&gt;"EX",0,--(COUNTIFS(nNIA,DATOS!$A15751,nCURSO,DATOS!$D15751,nESPEC,DATOS!$E15751,nASIG,DATOS!$I15751,nEVAL,"OR")=0))</f>
      </c>
      <c r="I15751">
        <f>IF(DATOS!$I15751="","",IFERROR(VLOOKUP(DATOS!$I15751,CONFIG_ASIGNATURAS!$B$2:$J$91,9,FALSE()),""))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IF(DATOS!$A15752="",0,IF(CONFIG_METADATA!$B$4&lt;&gt;"OR+EX",--(DATOS!$G15752=CONFIG_METADATA!$B$4),IF(DATOS!$G15752="EX",1,IF(DATOS!$G15752="OR",--(COUNTIFS(nNIA,DATOS!$A15752,nCURSO,DATOS!$D15752,nESPEC,DATOS!$E15752,nASIG,DATOS!$I15752,nEVAL,"EX")=0),0))))</f>
      </c>
      <c r="H15752">
        <f>IF(DATOS!$G15752&lt;&gt;"EX",0,--(COUNTIFS(nNIA,DATOS!$A15752,nCURSO,DATOS!$D15752,nESPEC,DATOS!$E15752,nASIG,DATOS!$I15752,nEVAL,"OR")=0))</f>
      </c>
      <c r="I15752">
        <f>IF(DATOS!$I15752="","",IFERROR(VLOOKUP(DATOS!$I15752,CONFIG_ASIGNATURAS!$B$2:$J$91,9,FALSE()),""))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IF(DATOS!$A15753="",0,IF(CONFIG_METADATA!$B$4&lt;&gt;"OR+EX",--(DATOS!$G15753=CONFIG_METADATA!$B$4),IF(DATOS!$G15753="EX",1,IF(DATOS!$G15753="OR",--(COUNTIFS(nNIA,DATOS!$A15753,nCURSO,DATOS!$D15753,nESPEC,DATOS!$E15753,nASIG,DATOS!$I15753,nEVAL,"EX")=0),0))))</f>
      </c>
      <c r="H15753">
        <f>IF(DATOS!$G15753&lt;&gt;"EX",0,--(COUNTIFS(nNIA,DATOS!$A15753,nCURSO,DATOS!$D15753,nESPEC,DATOS!$E15753,nASIG,DATOS!$I15753,nEVAL,"OR")=0))</f>
      </c>
      <c r="I15753">
        <f>IF(DATOS!$I15753="","",IFERROR(VLOOKUP(DATOS!$I15753,CONFIG_ASIGNATURAS!$B$2:$J$91,9,FALSE()),""))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IF(DATOS!$A15754="",0,IF(CONFIG_METADATA!$B$4&lt;&gt;"OR+EX",--(DATOS!$G15754=CONFIG_METADATA!$B$4),IF(DATOS!$G15754="EX",1,IF(DATOS!$G15754="OR",--(COUNTIFS(nNIA,DATOS!$A15754,nCURSO,DATOS!$D15754,nESPEC,DATOS!$E15754,nASIG,DATOS!$I15754,nEVAL,"EX")=0),0))))</f>
      </c>
      <c r="H15754">
        <f>IF(DATOS!$G15754&lt;&gt;"EX",0,--(COUNTIFS(nNIA,DATOS!$A15754,nCURSO,DATOS!$D15754,nESPEC,DATOS!$E15754,nASIG,DATOS!$I15754,nEVAL,"OR")=0))</f>
      </c>
      <c r="I15754">
        <f>IF(DATOS!$I15754="","",IFERROR(VLOOKUP(DATOS!$I15754,CONFIG_ASIGNATURAS!$B$2:$J$91,9,FALSE()),""))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IF(DATOS!$A15755="",0,IF(CONFIG_METADATA!$B$4&lt;&gt;"OR+EX",--(DATOS!$G15755=CONFIG_METADATA!$B$4),IF(DATOS!$G15755="EX",1,IF(DATOS!$G15755="OR",--(COUNTIFS(nNIA,DATOS!$A15755,nCURSO,DATOS!$D15755,nESPEC,DATOS!$E15755,nASIG,DATOS!$I15755,nEVAL,"EX")=0),0))))</f>
      </c>
      <c r="H15755">
        <f>IF(DATOS!$G15755&lt;&gt;"EX",0,--(COUNTIFS(nNIA,DATOS!$A15755,nCURSO,DATOS!$D15755,nESPEC,DATOS!$E15755,nASIG,DATOS!$I15755,nEVAL,"OR")=0))</f>
      </c>
      <c r="I15755">
        <f>IF(DATOS!$I15755="","",IFERROR(VLOOKUP(DATOS!$I15755,CONFIG_ASIGNATURAS!$B$2:$J$91,9,FALSE()),""))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IF(DATOS!$A15756="",0,IF(CONFIG_METADATA!$B$4&lt;&gt;"OR+EX",--(DATOS!$G15756=CONFIG_METADATA!$B$4),IF(DATOS!$G15756="EX",1,IF(DATOS!$G15756="OR",--(COUNTIFS(nNIA,DATOS!$A15756,nCURSO,DATOS!$D15756,nESPEC,DATOS!$E15756,nASIG,DATOS!$I15756,nEVAL,"EX")=0),0))))</f>
      </c>
      <c r="H15756">
        <f>IF(DATOS!$G15756&lt;&gt;"EX",0,--(COUNTIFS(nNIA,DATOS!$A15756,nCURSO,DATOS!$D15756,nESPEC,DATOS!$E15756,nASIG,DATOS!$I15756,nEVAL,"OR")=0))</f>
      </c>
      <c r="I15756">
        <f>IF(DATOS!$I15756="","",IFERROR(VLOOKUP(DATOS!$I15756,CONFIG_ASIGNATURAS!$B$2:$J$91,9,FALSE()),""))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IF(DATOS!$A15757="",0,IF(CONFIG_METADATA!$B$4&lt;&gt;"OR+EX",--(DATOS!$G15757=CONFIG_METADATA!$B$4),IF(DATOS!$G15757="EX",1,IF(DATOS!$G15757="OR",--(COUNTIFS(nNIA,DATOS!$A15757,nCURSO,DATOS!$D15757,nESPEC,DATOS!$E15757,nASIG,DATOS!$I15757,nEVAL,"EX")=0),0))))</f>
      </c>
      <c r="H15757">
        <f>IF(DATOS!$G15757&lt;&gt;"EX",0,--(COUNTIFS(nNIA,DATOS!$A15757,nCURSO,DATOS!$D15757,nESPEC,DATOS!$E15757,nASIG,DATOS!$I15757,nEVAL,"OR")=0))</f>
      </c>
      <c r="I15757">
        <f>IF(DATOS!$I15757="","",IFERROR(VLOOKUP(DATOS!$I15757,CONFIG_ASIGNATURAS!$B$2:$J$91,9,FALSE()),""))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IF(DATOS!$A15758="",0,IF(CONFIG_METADATA!$B$4&lt;&gt;"OR+EX",--(DATOS!$G15758=CONFIG_METADATA!$B$4),IF(DATOS!$G15758="EX",1,IF(DATOS!$G15758="OR",--(COUNTIFS(nNIA,DATOS!$A15758,nCURSO,DATOS!$D15758,nESPEC,DATOS!$E15758,nASIG,DATOS!$I15758,nEVAL,"EX")=0),0))))</f>
      </c>
      <c r="H15758">
        <f>IF(DATOS!$G15758&lt;&gt;"EX",0,--(COUNTIFS(nNIA,DATOS!$A15758,nCURSO,DATOS!$D15758,nESPEC,DATOS!$E15758,nASIG,DATOS!$I15758,nEVAL,"OR")=0))</f>
      </c>
      <c r="I15758">
        <f>IF(DATOS!$I15758="","",IFERROR(VLOOKUP(DATOS!$I15758,CONFIG_ASIGNATURAS!$B$2:$J$91,9,FALSE()),""))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IF(DATOS!$A15759="",0,IF(CONFIG_METADATA!$B$4&lt;&gt;"OR+EX",--(DATOS!$G15759=CONFIG_METADATA!$B$4),IF(DATOS!$G15759="EX",1,IF(DATOS!$G15759="OR",--(COUNTIFS(nNIA,DATOS!$A15759,nCURSO,DATOS!$D15759,nESPEC,DATOS!$E15759,nASIG,DATOS!$I15759,nEVAL,"EX")=0),0))))</f>
      </c>
      <c r="H15759">
        <f>IF(DATOS!$G15759&lt;&gt;"EX",0,--(COUNTIFS(nNIA,DATOS!$A15759,nCURSO,DATOS!$D15759,nESPEC,DATOS!$E15759,nASIG,DATOS!$I15759,nEVAL,"OR")=0))</f>
      </c>
      <c r="I15759">
        <f>IF(DATOS!$I15759="","",IFERROR(VLOOKUP(DATOS!$I15759,CONFIG_ASIGNATURAS!$B$2:$J$91,9,FALSE()),""))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IF(DATOS!$A15760="",0,IF(CONFIG_METADATA!$B$4&lt;&gt;"OR+EX",--(DATOS!$G15760=CONFIG_METADATA!$B$4),IF(DATOS!$G15760="EX",1,IF(DATOS!$G15760="OR",--(COUNTIFS(nNIA,DATOS!$A15760,nCURSO,DATOS!$D15760,nESPEC,DATOS!$E15760,nASIG,DATOS!$I15760,nEVAL,"EX")=0),0))))</f>
      </c>
      <c r="H15760">
        <f>IF(DATOS!$G15760&lt;&gt;"EX",0,--(COUNTIFS(nNIA,DATOS!$A15760,nCURSO,DATOS!$D15760,nESPEC,DATOS!$E15760,nASIG,DATOS!$I15760,nEVAL,"OR")=0))</f>
      </c>
      <c r="I15760">
        <f>IF(DATOS!$I15760="","",IFERROR(VLOOKUP(DATOS!$I15760,CONFIG_ASIGNATURAS!$B$2:$J$91,9,FALSE()),""))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IF(DATOS!$A15761="",0,IF(CONFIG_METADATA!$B$4&lt;&gt;"OR+EX",--(DATOS!$G15761=CONFIG_METADATA!$B$4),IF(DATOS!$G15761="EX",1,IF(DATOS!$G15761="OR",--(COUNTIFS(nNIA,DATOS!$A15761,nCURSO,DATOS!$D15761,nESPEC,DATOS!$E15761,nASIG,DATOS!$I15761,nEVAL,"EX")=0),0))))</f>
      </c>
      <c r="H15761">
        <f>IF(DATOS!$G15761&lt;&gt;"EX",0,--(COUNTIFS(nNIA,DATOS!$A15761,nCURSO,DATOS!$D15761,nESPEC,DATOS!$E15761,nASIG,DATOS!$I15761,nEVAL,"OR")=0))</f>
      </c>
      <c r="I15761">
        <f>IF(DATOS!$I15761="","",IFERROR(VLOOKUP(DATOS!$I15761,CONFIG_ASIGNATURAS!$B$2:$J$91,9,FALSE()),""))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IF(DATOS!$A15762="",0,IF(CONFIG_METADATA!$B$4&lt;&gt;"OR+EX",--(DATOS!$G15762=CONFIG_METADATA!$B$4),IF(DATOS!$G15762="EX",1,IF(DATOS!$G15762="OR",--(COUNTIFS(nNIA,DATOS!$A15762,nCURSO,DATOS!$D15762,nESPEC,DATOS!$E15762,nASIG,DATOS!$I15762,nEVAL,"EX")=0),0))))</f>
      </c>
      <c r="H15762">
        <f>IF(DATOS!$G15762&lt;&gt;"EX",0,--(COUNTIFS(nNIA,DATOS!$A15762,nCURSO,DATOS!$D15762,nESPEC,DATOS!$E15762,nASIG,DATOS!$I15762,nEVAL,"OR")=0))</f>
      </c>
      <c r="I15762">
        <f>IF(DATOS!$I15762="","",IFERROR(VLOOKUP(DATOS!$I15762,CONFIG_ASIGNATURAS!$B$2:$J$91,9,FALSE()),""))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IF(DATOS!$A15763="",0,IF(CONFIG_METADATA!$B$4&lt;&gt;"OR+EX",--(DATOS!$G15763=CONFIG_METADATA!$B$4),IF(DATOS!$G15763="EX",1,IF(DATOS!$G15763="OR",--(COUNTIFS(nNIA,DATOS!$A15763,nCURSO,DATOS!$D15763,nESPEC,DATOS!$E15763,nASIG,DATOS!$I15763,nEVAL,"EX")=0),0))))</f>
      </c>
      <c r="H15763">
        <f>IF(DATOS!$G15763&lt;&gt;"EX",0,--(COUNTIFS(nNIA,DATOS!$A15763,nCURSO,DATOS!$D15763,nESPEC,DATOS!$E15763,nASIG,DATOS!$I15763,nEVAL,"OR")=0))</f>
      </c>
      <c r="I15763">
        <f>IF(DATOS!$I15763="","",IFERROR(VLOOKUP(DATOS!$I15763,CONFIG_ASIGNATURAS!$B$2:$J$91,9,FALSE()),""))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IF(DATOS!$A15764="",0,IF(CONFIG_METADATA!$B$4&lt;&gt;"OR+EX",--(DATOS!$G15764=CONFIG_METADATA!$B$4),IF(DATOS!$G15764="EX",1,IF(DATOS!$G15764="OR",--(COUNTIFS(nNIA,DATOS!$A15764,nCURSO,DATOS!$D15764,nESPEC,DATOS!$E15764,nASIG,DATOS!$I15764,nEVAL,"EX")=0),0))))</f>
      </c>
      <c r="H15764">
        <f>IF(DATOS!$G15764&lt;&gt;"EX",0,--(COUNTIFS(nNIA,DATOS!$A15764,nCURSO,DATOS!$D15764,nESPEC,DATOS!$E15764,nASIG,DATOS!$I15764,nEVAL,"OR")=0))</f>
      </c>
      <c r="I15764">
        <f>IF(DATOS!$I15764="","",IFERROR(VLOOKUP(DATOS!$I15764,CONFIG_ASIGNATURAS!$B$2:$J$91,9,FALSE()),""))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IF(DATOS!$A15765="",0,IF(CONFIG_METADATA!$B$4&lt;&gt;"OR+EX",--(DATOS!$G15765=CONFIG_METADATA!$B$4),IF(DATOS!$G15765="EX",1,IF(DATOS!$G15765="OR",--(COUNTIFS(nNIA,DATOS!$A15765,nCURSO,DATOS!$D15765,nESPEC,DATOS!$E15765,nASIG,DATOS!$I15765,nEVAL,"EX")=0),0))))</f>
      </c>
      <c r="H15765">
        <f>IF(DATOS!$G15765&lt;&gt;"EX",0,--(COUNTIFS(nNIA,DATOS!$A15765,nCURSO,DATOS!$D15765,nESPEC,DATOS!$E15765,nASIG,DATOS!$I15765,nEVAL,"OR")=0))</f>
      </c>
      <c r="I15765">
        <f>IF(DATOS!$I15765="","",IFERROR(VLOOKUP(DATOS!$I15765,CONFIG_ASIGNATURAS!$B$2:$J$91,9,FALSE()),""))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IF(DATOS!$A15766="",0,IF(CONFIG_METADATA!$B$4&lt;&gt;"OR+EX",--(DATOS!$G15766=CONFIG_METADATA!$B$4),IF(DATOS!$G15766="EX",1,IF(DATOS!$G15766="OR",--(COUNTIFS(nNIA,DATOS!$A15766,nCURSO,DATOS!$D15766,nESPEC,DATOS!$E15766,nASIG,DATOS!$I15766,nEVAL,"EX")=0),0))))</f>
      </c>
      <c r="H15766">
        <f>IF(DATOS!$G15766&lt;&gt;"EX",0,--(COUNTIFS(nNIA,DATOS!$A15766,nCURSO,DATOS!$D15766,nESPEC,DATOS!$E15766,nASIG,DATOS!$I15766,nEVAL,"OR")=0))</f>
      </c>
      <c r="I15766">
        <f>IF(DATOS!$I15766="","",IFERROR(VLOOKUP(DATOS!$I15766,CONFIG_ASIGNATURAS!$B$2:$J$91,9,FALSE()),""))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IF(DATOS!$A15767="",0,IF(CONFIG_METADATA!$B$4&lt;&gt;"OR+EX",--(DATOS!$G15767=CONFIG_METADATA!$B$4),IF(DATOS!$G15767="EX",1,IF(DATOS!$G15767="OR",--(COUNTIFS(nNIA,DATOS!$A15767,nCURSO,DATOS!$D15767,nESPEC,DATOS!$E15767,nASIG,DATOS!$I15767,nEVAL,"EX")=0),0))))</f>
      </c>
      <c r="H15767">
        <f>IF(DATOS!$G15767&lt;&gt;"EX",0,--(COUNTIFS(nNIA,DATOS!$A15767,nCURSO,DATOS!$D15767,nESPEC,DATOS!$E15767,nASIG,DATOS!$I15767,nEVAL,"OR")=0))</f>
      </c>
      <c r="I15767">
        <f>IF(DATOS!$I15767="","",IFERROR(VLOOKUP(DATOS!$I15767,CONFIG_ASIGNATURAS!$B$2:$J$91,9,FALSE()),""))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IF(DATOS!$A15768="",0,IF(CONFIG_METADATA!$B$4&lt;&gt;"OR+EX",--(DATOS!$G15768=CONFIG_METADATA!$B$4),IF(DATOS!$G15768="EX",1,IF(DATOS!$G15768="OR",--(COUNTIFS(nNIA,DATOS!$A15768,nCURSO,DATOS!$D15768,nESPEC,DATOS!$E15768,nASIG,DATOS!$I15768,nEVAL,"EX")=0),0))))</f>
      </c>
      <c r="H15768">
        <f>IF(DATOS!$G15768&lt;&gt;"EX",0,--(COUNTIFS(nNIA,DATOS!$A15768,nCURSO,DATOS!$D15768,nESPEC,DATOS!$E15768,nASIG,DATOS!$I15768,nEVAL,"OR")=0))</f>
      </c>
      <c r="I15768">
        <f>IF(DATOS!$I15768="","",IFERROR(VLOOKUP(DATOS!$I15768,CONFIG_ASIGNATURAS!$B$2:$J$91,9,FALSE()),""))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IF(DATOS!$A15769="",0,IF(CONFIG_METADATA!$B$4&lt;&gt;"OR+EX",--(DATOS!$G15769=CONFIG_METADATA!$B$4),IF(DATOS!$G15769="EX",1,IF(DATOS!$G15769="OR",--(COUNTIFS(nNIA,DATOS!$A15769,nCURSO,DATOS!$D15769,nESPEC,DATOS!$E15769,nASIG,DATOS!$I15769,nEVAL,"EX")=0),0))))</f>
      </c>
      <c r="H15769">
        <f>IF(DATOS!$G15769&lt;&gt;"EX",0,--(COUNTIFS(nNIA,DATOS!$A15769,nCURSO,DATOS!$D15769,nESPEC,DATOS!$E15769,nASIG,DATOS!$I15769,nEVAL,"OR")=0))</f>
      </c>
      <c r="I15769">
        <f>IF(DATOS!$I15769="","",IFERROR(VLOOKUP(DATOS!$I15769,CONFIG_ASIGNATURAS!$B$2:$J$91,9,FALSE()),""))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IF(DATOS!$A15770="",0,IF(CONFIG_METADATA!$B$4&lt;&gt;"OR+EX",--(DATOS!$G15770=CONFIG_METADATA!$B$4),IF(DATOS!$G15770="EX",1,IF(DATOS!$G15770="OR",--(COUNTIFS(nNIA,DATOS!$A15770,nCURSO,DATOS!$D15770,nESPEC,DATOS!$E15770,nASIG,DATOS!$I15770,nEVAL,"EX")=0),0))))</f>
      </c>
      <c r="H15770">
        <f>IF(DATOS!$G15770&lt;&gt;"EX",0,--(COUNTIFS(nNIA,DATOS!$A15770,nCURSO,DATOS!$D15770,nESPEC,DATOS!$E15770,nASIG,DATOS!$I15770,nEVAL,"OR")=0))</f>
      </c>
      <c r="I15770">
        <f>IF(DATOS!$I15770="","",IFERROR(VLOOKUP(DATOS!$I15770,CONFIG_ASIGNATURAS!$B$2:$J$91,9,FALSE()),""))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IF(DATOS!$A15771="",0,IF(CONFIG_METADATA!$B$4&lt;&gt;"OR+EX",--(DATOS!$G15771=CONFIG_METADATA!$B$4),IF(DATOS!$G15771="EX",1,IF(DATOS!$G15771="OR",--(COUNTIFS(nNIA,DATOS!$A15771,nCURSO,DATOS!$D15771,nESPEC,DATOS!$E15771,nASIG,DATOS!$I15771,nEVAL,"EX")=0),0))))</f>
      </c>
      <c r="H15771">
        <f>IF(DATOS!$G15771&lt;&gt;"EX",0,--(COUNTIFS(nNIA,DATOS!$A15771,nCURSO,DATOS!$D15771,nESPEC,DATOS!$E15771,nASIG,DATOS!$I15771,nEVAL,"OR")=0))</f>
      </c>
      <c r="I15771">
        <f>IF(DATOS!$I15771="","",IFERROR(VLOOKUP(DATOS!$I15771,CONFIG_ASIGNATURAS!$B$2:$J$91,9,FALSE()),""))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IF(DATOS!$A15772="",0,IF(CONFIG_METADATA!$B$4&lt;&gt;"OR+EX",--(DATOS!$G15772=CONFIG_METADATA!$B$4),IF(DATOS!$G15772="EX",1,IF(DATOS!$G15772="OR",--(COUNTIFS(nNIA,DATOS!$A15772,nCURSO,DATOS!$D15772,nESPEC,DATOS!$E15772,nASIG,DATOS!$I15772,nEVAL,"EX")=0),0))))</f>
      </c>
      <c r="H15772">
        <f>IF(DATOS!$G15772&lt;&gt;"EX",0,--(COUNTIFS(nNIA,DATOS!$A15772,nCURSO,DATOS!$D15772,nESPEC,DATOS!$E15772,nASIG,DATOS!$I15772,nEVAL,"OR")=0))</f>
      </c>
      <c r="I15772">
        <f>IF(DATOS!$I15772="","",IFERROR(VLOOKUP(DATOS!$I15772,CONFIG_ASIGNATURAS!$B$2:$J$91,9,FALSE()),""))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IF(DATOS!$A15773="",0,IF(CONFIG_METADATA!$B$4&lt;&gt;"OR+EX",--(DATOS!$G15773=CONFIG_METADATA!$B$4),IF(DATOS!$G15773="EX",1,IF(DATOS!$G15773="OR",--(COUNTIFS(nNIA,DATOS!$A15773,nCURSO,DATOS!$D15773,nESPEC,DATOS!$E15773,nASIG,DATOS!$I15773,nEVAL,"EX")=0),0))))</f>
      </c>
      <c r="H15773">
        <f>IF(DATOS!$G15773&lt;&gt;"EX",0,--(COUNTIFS(nNIA,DATOS!$A15773,nCURSO,DATOS!$D15773,nESPEC,DATOS!$E15773,nASIG,DATOS!$I15773,nEVAL,"OR")=0))</f>
      </c>
      <c r="I15773">
        <f>IF(DATOS!$I15773="","",IFERROR(VLOOKUP(DATOS!$I15773,CONFIG_ASIGNATURAS!$B$2:$J$91,9,FALSE()),""))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IF(DATOS!$A15774="",0,IF(CONFIG_METADATA!$B$4&lt;&gt;"OR+EX",--(DATOS!$G15774=CONFIG_METADATA!$B$4),IF(DATOS!$G15774="EX",1,IF(DATOS!$G15774="OR",--(COUNTIFS(nNIA,DATOS!$A15774,nCURSO,DATOS!$D15774,nESPEC,DATOS!$E15774,nASIG,DATOS!$I15774,nEVAL,"EX")=0),0))))</f>
      </c>
      <c r="H15774">
        <f>IF(DATOS!$G15774&lt;&gt;"EX",0,--(COUNTIFS(nNIA,DATOS!$A15774,nCURSO,DATOS!$D15774,nESPEC,DATOS!$E15774,nASIG,DATOS!$I15774,nEVAL,"OR")=0))</f>
      </c>
      <c r="I15774">
        <f>IF(DATOS!$I15774="","",IFERROR(VLOOKUP(DATOS!$I15774,CONFIG_ASIGNATURAS!$B$2:$J$91,9,FALSE()),""))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IF(DATOS!$A15775="",0,IF(CONFIG_METADATA!$B$4&lt;&gt;"OR+EX",--(DATOS!$G15775=CONFIG_METADATA!$B$4),IF(DATOS!$G15775="EX",1,IF(DATOS!$G15775="OR",--(COUNTIFS(nNIA,DATOS!$A15775,nCURSO,DATOS!$D15775,nESPEC,DATOS!$E15775,nASIG,DATOS!$I15775,nEVAL,"EX")=0),0))))</f>
      </c>
      <c r="H15775">
        <f>IF(DATOS!$G15775&lt;&gt;"EX",0,--(COUNTIFS(nNIA,DATOS!$A15775,nCURSO,DATOS!$D15775,nESPEC,DATOS!$E15775,nASIG,DATOS!$I15775,nEVAL,"OR")=0))</f>
      </c>
      <c r="I15775">
        <f>IF(DATOS!$I15775="","",IFERROR(VLOOKUP(DATOS!$I15775,CONFIG_ASIGNATURAS!$B$2:$J$91,9,FALSE()),""))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IF(DATOS!$A15776="",0,IF(CONFIG_METADATA!$B$4&lt;&gt;"OR+EX",--(DATOS!$G15776=CONFIG_METADATA!$B$4),IF(DATOS!$G15776="EX",1,IF(DATOS!$G15776="OR",--(COUNTIFS(nNIA,DATOS!$A15776,nCURSO,DATOS!$D15776,nESPEC,DATOS!$E15776,nASIG,DATOS!$I15776,nEVAL,"EX")=0),0))))</f>
      </c>
      <c r="H15776">
        <f>IF(DATOS!$G15776&lt;&gt;"EX",0,--(COUNTIFS(nNIA,DATOS!$A15776,nCURSO,DATOS!$D15776,nESPEC,DATOS!$E15776,nASIG,DATOS!$I15776,nEVAL,"OR")=0))</f>
      </c>
      <c r="I15776">
        <f>IF(DATOS!$I15776="","",IFERROR(VLOOKUP(DATOS!$I15776,CONFIG_ASIGNATURAS!$B$2:$J$91,9,FALSE()),""))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IF(DATOS!$A15777="",0,IF(CONFIG_METADATA!$B$4&lt;&gt;"OR+EX",--(DATOS!$G15777=CONFIG_METADATA!$B$4),IF(DATOS!$G15777="EX",1,IF(DATOS!$G15777="OR",--(COUNTIFS(nNIA,DATOS!$A15777,nCURSO,DATOS!$D15777,nESPEC,DATOS!$E15777,nASIG,DATOS!$I15777,nEVAL,"EX")=0),0))))</f>
      </c>
      <c r="H15777">
        <f>IF(DATOS!$G15777&lt;&gt;"EX",0,--(COUNTIFS(nNIA,DATOS!$A15777,nCURSO,DATOS!$D15777,nESPEC,DATOS!$E15777,nASIG,DATOS!$I15777,nEVAL,"OR")=0))</f>
      </c>
      <c r="I15777">
        <f>IF(DATOS!$I15777="","",IFERROR(VLOOKUP(DATOS!$I15777,CONFIG_ASIGNATURAS!$B$2:$J$91,9,FALSE()),""))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IF(DATOS!$A15778="",0,IF(CONFIG_METADATA!$B$4&lt;&gt;"OR+EX",--(DATOS!$G15778=CONFIG_METADATA!$B$4),IF(DATOS!$G15778="EX",1,IF(DATOS!$G15778="OR",--(COUNTIFS(nNIA,DATOS!$A15778,nCURSO,DATOS!$D15778,nESPEC,DATOS!$E15778,nASIG,DATOS!$I15778,nEVAL,"EX")=0),0))))</f>
      </c>
      <c r="H15778">
        <f>IF(DATOS!$G15778&lt;&gt;"EX",0,--(COUNTIFS(nNIA,DATOS!$A15778,nCURSO,DATOS!$D15778,nESPEC,DATOS!$E15778,nASIG,DATOS!$I15778,nEVAL,"OR")=0))</f>
      </c>
      <c r="I15778">
        <f>IF(DATOS!$I15778="","",IFERROR(VLOOKUP(DATOS!$I15778,CONFIG_ASIGNATURAS!$B$2:$J$91,9,FALSE()),""))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IF(DATOS!$A15779="",0,IF(CONFIG_METADATA!$B$4&lt;&gt;"OR+EX",--(DATOS!$G15779=CONFIG_METADATA!$B$4),IF(DATOS!$G15779="EX",1,IF(DATOS!$G15779="OR",--(COUNTIFS(nNIA,DATOS!$A15779,nCURSO,DATOS!$D15779,nESPEC,DATOS!$E15779,nASIG,DATOS!$I15779,nEVAL,"EX")=0),0))))</f>
      </c>
      <c r="H15779">
        <f>IF(DATOS!$G15779&lt;&gt;"EX",0,--(COUNTIFS(nNIA,DATOS!$A15779,nCURSO,DATOS!$D15779,nESPEC,DATOS!$E15779,nASIG,DATOS!$I15779,nEVAL,"OR")=0))</f>
      </c>
      <c r="I15779">
        <f>IF(DATOS!$I15779="","",IFERROR(VLOOKUP(DATOS!$I15779,CONFIG_ASIGNATURAS!$B$2:$J$91,9,FALSE()),""))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IF(DATOS!$A15780="",0,IF(CONFIG_METADATA!$B$4&lt;&gt;"OR+EX",--(DATOS!$G15780=CONFIG_METADATA!$B$4),IF(DATOS!$G15780="EX",1,IF(DATOS!$G15780="OR",--(COUNTIFS(nNIA,DATOS!$A15780,nCURSO,DATOS!$D15780,nESPEC,DATOS!$E15780,nASIG,DATOS!$I15780,nEVAL,"EX")=0),0))))</f>
      </c>
      <c r="H15780">
        <f>IF(DATOS!$G15780&lt;&gt;"EX",0,--(COUNTIFS(nNIA,DATOS!$A15780,nCURSO,DATOS!$D15780,nESPEC,DATOS!$E15780,nASIG,DATOS!$I15780,nEVAL,"OR")=0))</f>
      </c>
      <c r="I15780">
        <f>IF(DATOS!$I15780="","",IFERROR(VLOOKUP(DATOS!$I15780,CONFIG_ASIGNATURAS!$B$2:$J$91,9,FALSE()),""))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IF(DATOS!$A15781="",0,IF(CONFIG_METADATA!$B$4&lt;&gt;"OR+EX",--(DATOS!$G15781=CONFIG_METADATA!$B$4),IF(DATOS!$G15781="EX",1,IF(DATOS!$G15781="OR",--(COUNTIFS(nNIA,DATOS!$A15781,nCURSO,DATOS!$D15781,nESPEC,DATOS!$E15781,nASIG,DATOS!$I15781,nEVAL,"EX")=0),0))))</f>
      </c>
      <c r="H15781">
        <f>IF(DATOS!$G15781&lt;&gt;"EX",0,--(COUNTIFS(nNIA,DATOS!$A15781,nCURSO,DATOS!$D15781,nESPEC,DATOS!$E15781,nASIG,DATOS!$I15781,nEVAL,"OR")=0))</f>
      </c>
      <c r="I15781">
        <f>IF(DATOS!$I15781="","",IFERROR(VLOOKUP(DATOS!$I15781,CONFIG_ASIGNATURAS!$B$2:$J$91,9,FALSE()),""))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IF(DATOS!$A15782="",0,IF(CONFIG_METADATA!$B$4&lt;&gt;"OR+EX",--(DATOS!$G15782=CONFIG_METADATA!$B$4),IF(DATOS!$G15782="EX",1,IF(DATOS!$G15782="OR",--(COUNTIFS(nNIA,DATOS!$A15782,nCURSO,DATOS!$D15782,nESPEC,DATOS!$E15782,nASIG,DATOS!$I15782,nEVAL,"EX")=0),0))))</f>
      </c>
      <c r="H15782">
        <f>IF(DATOS!$G15782&lt;&gt;"EX",0,--(COUNTIFS(nNIA,DATOS!$A15782,nCURSO,DATOS!$D15782,nESPEC,DATOS!$E15782,nASIG,DATOS!$I15782,nEVAL,"OR")=0))</f>
      </c>
      <c r="I15782">
        <f>IF(DATOS!$I15782="","",IFERROR(VLOOKUP(DATOS!$I15782,CONFIG_ASIGNATURAS!$B$2:$J$91,9,FALSE()),""))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IF(DATOS!$A15783="",0,IF(CONFIG_METADATA!$B$4&lt;&gt;"OR+EX",--(DATOS!$G15783=CONFIG_METADATA!$B$4),IF(DATOS!$G15783="EX",1,IF(DATOS!$G15783="OR",--(COUNTIFS(nNIA,DATOS!$A15783,nCURSO,DATOS!$D15783,nESPEC,DATOS!$E15783,nASIG,DATOS!$I15783,nEVAL,"EX")=0),0))))</f>
      </c>
      <c r="H15783">
        <f>IF(DATOS!$G15783&lt;&gt;"EX",0,--(COUNTIFS(nNIA,DATOS!$A15783,nCURSO,DATOS!$D15783,nESPEC,DATOS!$E15783,nASIG,DATOS!$I15783,nEVAL,"OR")=0))</f>
      </c>
      <c r="I15783">
        <f>IF(DATOS!$I15783="","",IFERROR(VLOOKUP(DATOS!$I15783,CONFIG_ASIGNATURAS!$B$2:$J$91,9,FALSE()),""))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IF(DATOS!$A15784="",0,IF(CONFIG_METADATA!$B$4&lt;&gt;"OR+EX",--(DATOS!$G15784=CONFIG_METADATA!$B$4),IF(DATOS!$G15784="EX",1,IF(DATOS!$G15784="OR",--(COUNTIFS(nNIA,DATOS!$A15784,nCURSO,DATOS!$D15784,nESPEC,DATOS!$E15784,nASIG,DATOS!$I15784,nEVAL,"EX")=0),0))))</f>
      </c>
      <c r="H15784">
        <f>IF(DATOS!$G15784&lt;&gt;"EX",0,--(COUNTIFS(nNIA,DATOS!$A15784,nCURSO,DATOS!$D15784,nESPEC,DATOS!$E15784,nASIG,DATOS!$I15784,nEVAL,"OR")=0))</f>
      </c>
      <c r="I15784">
        <f>IF(DATOS!$I15784="","",IFERROR(VLOOKUP(DATOS!$I15784,CONFIG_ASIGNATURAS!$B$2:$J$91,9,FALSE()),""))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IF(DATOS!$A15785="",0,IF(CONFIG_METADATA!$B$4&lt;&gt;"OR+EX",--(DATOS!$G15785=CONFIG_METADATA!$B$4),IF(DATOS!$G15785="EX",1,IF(DATOS!$G15785="OR",--(COUNTIFS(nNIA,DATOS!$A15785,nCURSO,DATOS!$D15785,nESPEC,DATOS!$E15785,nASIG,DATOS!$I15785,nEVAL,"EX")=0),0))))</f>
      </c>
      <c r="H15785">
        <f>IF(DATOS!$G15785&lt;&gt;"EX",0,--(COUNTIFS(nNIA,DATOS!$A15785,nCURSO,DATOS!$D15785,nESPEC,DATOS!$E15785,nASIG,DATOS!$I15785,nEVAL,"OR")=0))</f>
      </c>
      <c r="I15785">
        <f>IF(DATOS!$I15785="","",IFERROR(VLOOKUP(DATOS!$I15785,CONFIG_ASIGNATURAS!$B$2:$J$91,9,FALSE()),""))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IF(DATOS!$A15786="",0,IF(CONFIG_METADATA!$B$4&lt;&gt;"OR+EX",--(DATOS!$G15786=CONFIG_METADATA!$B$4),IF(DATOS!$G15786="EX",1,IF(DATOS!$G15786="OR",--(COUNTIFS(nNIA,DATOS!$A15786,nCURSO,DATOS!$D15786,nESPEC,DATOS!$E15786,nASIG,DATOS!$I15786,nEVAL,"EX")=0),0))))</f>
      </c>
      <c r="H15786">
        <f>IF(DATOS!$G15786&lt;&gt;"EX",0,--(COUNTIFS(nNIA,DATOS!$A15786,nCURSO,DATOS!$D15786,nESPEC,DATOS!$E15786,nASIG,DATOS!$I15786,nEVAL,"OR")=0))</f>
      </c>
      <c r="I15786">
        <f>IF(DATOS!$I15786="","",IFERROR(VLOOKUP(DATOS!$I15786,CONFIG_ASIGNATURAS!$B$2:$J$91,9,FALSE()),""))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IF(DATOS!$A15787="",0,IF(CONFIG_METADATA!$B$4&lt;&gt;"OR+EX",--(DATOS!$G15787=CONFIG_METADATA!$B$4),IF(DATOS!$G15787="EX",1,IF(DATOS!$G15787="OR",--(COUNTIFS(nNIA,DATOS!$A15787,nCURSO,DATOS!$D15787,nESPEC,DATOS!$E15787,nASIG,DATOS!$I15787,nEVAL,"EX")=0),0))))</f>
      </c>
      <c r="H15787">
        <f>IF(DATOS!$G15787&lt;&gt;"EX",0,--(COUNTIFS(nNIA,DATOS!$A15787,nCURSO,DATOS!$D15787,nESPEC,DATOS!$E15787,nASIG,DATOS!$I15787,nEVAL,"OR")=0))</f>
      </c>
      <c r="I15787">
        <f>IF(DATOS!$I15787="","",IFERROR(VLOOKUP(DATOS!$I15787,CONFIG_ASIGNATURAS!$B$2:$J$91,9,FALSE()),""))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IF(DATOS!$A15788="",0,IF(CONFIG_METADATA!$B$4&lt;&gt;"OR+EX",--(DATOS!$G15788=CONFIG_METADATA!$B$4),IF(DATOS!$G15788="EX",1,IF(DATOS!$G15788="OR",--(COUNTIFS(nNIA,DATOS!$A15788,nCURSO,DATOS!$D15788,nESPEC,DATOS!$E15788,nASIG,DATOS!$I15788,nEVAL,"EX")=0),0))))</f>
      </c>
      <c r="H15788">
        <f>IF(DATOS!$G15788&lt;&gt;"EX",0,--(COUNTIFS(nNIA,DATOS!$A15788,nCURSO,DATOS!$D15788,nESPEC,DATOS!$E15788,nASIG,DATOS!$I15788,nEVAL,"OR")=0))</f>
      </c>
      <c r="I15788">
        <f>IF(DATOS!$I15788="","",IFERROR(VLOOKUP(DATOS!$I15788,CONFIG_ASIGNATURAS!$B$2:$J$91,9,FALSE()),""))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IF(DATOS!$A15789="",0,IF(CONFIG_METADATA!$B$4&lt;&gt;"OR+EX",--(DATOS!$G15789=CONFIG_METADATA!$B$4),IF(DATOS!$G15789="EX",1,IF(DATOS!$G15789="OR",--(COUNTIFS(nNIA,DATOS!$A15789,nCURSO,DATOS!$D15789,nESPEC,DATOS!$E15789,nASIG,DATOS!$I15789,nEVAL,"EX")=0),0))))</f>
      </c>
      <c r="H15789">
        <f>IF(DATOS!$G15789&lt;&gt;"EX",0,--(COUNTIFS(nNIA,DATOS!$A15789,nCURSO,DATOS!$D15789,nESPEC,DATOS!$E15789,nASIG,DATOS!$I15789,nEVAL,"OR")=0))</f>
      </c>
      <c r="I15789">
        <f>IF(DATOS!$I15789="","",IFERROR(VLOOKUP(DATOS!$I15789,CONFIG_ASIGNATURAS!$B$2:$J$91,9,FALSE()),""))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IF(DATOS!$A15790="",0,IF(CONFIG_METADATA!$B$4&lt;&gt;"OR+EX",--(DATOS!$G15790=CONFIG_METADATA!$B$4),IF(DATOS!$G15790="EX",1,IF(DATOS!$G15790="OR",--(COUNTIFS(nNIA,DATOS!$A15790,nCURSO,DATOS!$D15790,nESPEC,DATOS!$E15790,nASIG,DATOS!$I15790,nEVAL,"EX")=0),0))))</f>
      </c>
      <c r="H15790">
        <f>IF(DATOS!$G15790&lt;&gt;"EX",0,--(COUNTIFS(nNIA,DATOS!$A15790,nCURSO,DATOS!$D15790,nESPEC,DATOS!$E15790,nASIG,DATOS!$I15790,nEVAL,"OR")=0))</f>
      </c>
      <c r="I15790">
        <f>IF(DATOS!$I15790="","",IFERROR(VLOOKUP(DATOS!$I15790,CONFIG_ASIGNATURAS!$B$2:$J$91,9,FALSE()),""))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IF(DATOS!$A15791="",0,IF(CONFIG_METADATA!$B$4&lt;&gt;"OR+EX",--(DATOS!$G15791=CONFIG_METADATA!$B$4),IF(DATOS!$G15791="EX",1,IF(DATOS!$G15791="OR",--(COUNTIFS(nNIA,DATOS!$A15791,nCURSO,DATOS!$D15791,nESPEC,DATOS!$E15791,nASIG,DATOS!$I15791,nEVAL,"EX")=0),0))))</f>
      </c>
      <c r="H15791">
        <f>IF(DATOS!$G15791&lt;&gt;"EX",0,--(COUNTIFS(nNIA,DATOS!$A15791,nCURSO,DATOS!$D15791,nESPEC,DATOS!$E15791,nASIG,DATOS!$I15791,nEVAL,"OR")=0))</f>
      </c>
      <c r="I15791">
        <f>IF(DATOS!$I15791="","",IFERROR(VLOOKUP(DATOS!$I15791,CONFIG_ASIGNATURAS!$B$2:$J$91,9,FALSE()),""))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IF(DATOS!$A15792="",0,IF(CONFIG_METADATA!$B$4&lt;&gt;"OR+EX",--(DATOS!$G15792=CONFIG_METADATA!$B$4),IF(DATOS!$G15792="EX",1,IF(DATOS!$G15792="OR",--(COUNTIFS(nNIA,DATOS!$A15792,nCURSO,DATOS!$D15792,nESPEC,DATOS!$E15792,nASIG,DATOS!$I15792,nEVAL,"EX")=0),0))))</f>
      </c>
      <c r="H15792">
        <f>IF(DATOS!$G15792&lt;&gt;"EX",0,--(COUNTIFS(nNIA,DATOS!$A15792,nCURSO,DATOS!$D15792,nESPEC,DATOS!$E15792,nASIG,DATOS!$I15792,nEVAL,"OR")=0))</f>
      </c>
      <c r="I15792">
        <f>IF(DATOS!$I15792="","",IFERROR(VLOOKUP(DATOS!$I15792,CONFIG_ASIGNATURAS!$B$2:$J$91,9,FALSE()),""))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IF(DATOS!$A15793="",0,IF(CONFIG_METADATA!$B$4&lt;&gt;"OR+EX",--(DATOS!$G15793=CONFIG_METADATA!$B$4),IF(DATOS!$G15793="EX",1,IF(DATOS!$G15793="OR",--(COUNTIFS(nNIA,DATOS!$A15793,nCURSO,DATOS!$D15793,nESPEC,DATOS!$E15793,nASIG,DATOS!$I15793,nEVAL,"EX")=0),0))))</f>
      </c>
      <c r="H15793">
        <f>IF(DATOS!$G15793&lt;&gt;"EX",0,--(COUNTIFS(nNIA,DATOS!$A15793,nCURSO,DATOS!$D15793,nESPEC,DATOS!$E15793,nASIG,DATOS!$I15793,nEVAL,"OR")=0))</f>
      </c>
      <c r="I15793">
        <f>IF(DATOS!$I15793="","",IFERROR(VLOOKUP(DATOS!$I15793,CONFIG_ASIGNATURAS!$B$2:$J$91,9,FALSE()),""))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IF(DATOS!$A15794="",0,IF(CONFIG_METADATA!$B$4&lt;&gt;"OR+EX",--(DATOS!$G15794=CONFIG_METADATA!$B$4),IF(DATOS!$G15794="EX",1,IF(DATOS!$G15794="OR",--(COUNTIFS(nNIA,DATOS!$A15794,nCURSO,DATOS!$D15794,nESPEC,DATOS!$E15794,nASIG,DATOS!$I15794,nEVAL,"EX")=0),0))))</f>
      </c>
      <c r="H15794">
        <f>IF(DATOS!$G15794&lt;&gt;"EX",0,--(COUNTIFS(nNIA,DATOS!$A15794,nCURSO,DATOS!$D15794,nESPEC,DATOS!$E15794,nASIG,DATOS!$I15794,nEVAL,"OR")=0))</f>
      </c>
      <c r="I15794">
        <f>IF(DATOS!$I15794="","",IFERROR(VLOOKUP(DATOS!$I15794,CONFIG_ASIGNATURAS!$B$2:$J$91,9,FALSE()),""))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IF(DATOS!$A15795="",0,IF(CONFIG_METADATA!$B$4&lt;&gt;"OR+EX",--(DATOS!$G15795=CONFIG_METADATA!$B$4),IF(DATOS!$G15795="EX",1,IF(DATOS!$G15795="OR",--(COUNTIFS(nNIA,DATOS!$A15795,nCURSO,DATOS!$D15795,nESPEC,DATOS!$E15795,nASIG,DATOS!$I15795,nEVAL,"EX")=0),0))))</f>
      </c>
      <c r="H15795">
        <f>IF(DATOS!$G15795&lt;&gt;"EX",0,--(COUNTIFS(nNIA,DATOS!$A15795,nCURSO,DATOS!$D15795,nESPEC,DATOS!$E15795,nASIG,DATOS!$I15795,nEVAL,"OR")=0))</f>
      </c>
      <c r="I15795">
        <f>IF(DATOS!$I15795="","",IFERROR(VLOOKUP(DATOS!$I15795,CONFIG_ASIGNATURAS!$B$2:$J$91,9,FALSE()),""))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IF(DATOS!$A15796="",0,IF(CONFIG_METADATA!$B$4&lt;&gt;"OR+EX",--(DATOS!$G15796=CONFIG_METADATA!$B$4),IF(DATOS!$G15796="EX",1,IF(DATOS!$G15796="OR",--(COUNTIFS(nNIA,DATOS!$A15796,nCURSO,DATOS!$D15796,nESPEC,DATOS!$E15796,nASIG,DATOS!$I15796,nEVAL,"EX")=0),0))))</f>
      </c>
      <c r="H15796">
        <f>IF(DATOS!$G15796&lt;&gt;"EX",0,--(COUNTIFS(nNIA,DATOS!$A15796,nCURSO,DATOS!$D15796,nESPEC,DATOS!$E15796,nASIG,DATOS!$I15796,nEVAL,"OR")=0))</f>
      </c>
      <c r="I15796">
        <f>IF(DATOS!$I15796="","",IFERROR(VLOOKUP(DATOS!$I15796,CONFIG_ASIGNATURAS!$B$2:$J$91,9,FALSE()),""))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IF(DATOS!$A15797="",0,IF(CONFIG_METADATA!$B$4&lt;&gt;"OR+EX",--(DATOS!$G15797=CONFIG_METADATA!$B$4),IF(DATOS!$G15797="EX",1,IF(DATOS!$G15797="OR",--(COUNTIFS(nNIA,DATOS!$A15797,nCURSO,DATOS!$D15797,nESPEC,DATOS!$E15797,nASIG,DATOS!$I15797,nEVAL,"EX")=0),0))))</f>
      </c>
      <c r="H15797">
        <f>IF(DATOS!$G15797&lt;&gt;"EX",0,--(COUNTIFS(nNIA,DATOS!$A15797,nCURSO,DATOS!$D15797,nESPEC,DATOS!$E15797,nASIG,DATOS!$I15797,nEVAL,"OR")=0))</f>
      </c>
      <c r="I15797">
        <f>IF(DATOS!$I15797="","",IFERROR(VLOOKUP(DATOS!$I15797,CONFIG_ASIGNATURAS!$B$2:$J$91,9,FALSE()),""))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IF(DATOS!$A15798="",0,IF(CONFIG_METADATA!$B$4&lt;&gt;"OR+EX",--(DATOS!$G15798=CONFIG_METADATA!$B$4),IF(DATOS!$G15798="EX",1,IF(DATOS!$G15798="OR",--(COUNTIFS(nNIA,DATOS!$A15798,nCURSO,DATOS!$D15798,nESPEC,DATOS!$E15798,nASIG,DATOS!$I15798,nEVAL,"EX")=0),0))))</f>
      </c>
      <c r="H15798">
        <f>IF(DATOS!$G15798&lt;&gt;"EX",0,--(COUNTIFS(nNIA,DATOS!$A15798,nCURSO,DATOS!$D15798,nESPEC,DATOS!$E15798,nASIG,DATOS!$I15798,nEVAL,"OR")=0))</f>
      </c>
      <c r="I15798">
        <f>IF(DATOS!$I15798="","",IFERROR(VLOOKUP(DATOS!$I15798,CONFIG_ASIGNATURAS!$B$2:$J$91,9,FALSE()),""))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IF(DATOS!$A15799="",0,IF(CONFIG_METADATA!$B$4&lt;&gt;"OR+EX",--(DATOS!$G15799=CONFIG_METADATA!$B$4),IF(DATOS!$G15799="EX",1,IF(DATOS!$G15799="OR",--(COUNTIFS(nNIA,DATOS!$A15799,nCURSO,DATOS!$D15799,nESPEC,DATOS!$E15799,nASIG,DATOS!$I15799,nEVAL,"EX")=0),0))))</f>
      </c>
      <c r="H15799">
        <f>IF(DATOS!$G15799&lt;&gt;"EX",0,--(COUNTIFS(nNIA,DATOS!$A15799,nCURSO,DATOS!$D15799,nESPEC,DATOS!$E15799,nASIG,DATOS!$I15799,nEVAL,"OR")=0))</f>
      </c>
      <c r="I15799">
        <f>IF(DATOS!$I15799="","",IFERROR(VLOOKUP(DATOS!$I15799,CONFIG_ASIGNATURAS!$B$2:$J$91,9,FALSE()),""))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IF(DATOS!$A15800="",0,IF(CONFIG_METADATA!$B$4&lt;&gt;"OR+EX",--(DATOS!$G15800=CONFIG_METADATA!$B$4),IF(DATOS!$G15800="EX",1,IF(DATOS!$G15800="OR",--(COUNTIFS(nNIA,DATOS!$A15800,nCURSO,DATOS!$D15800,nESPEC,DATOS!$E15800,nASIG,DATOS!$I15800,nEVAL,"EX")=0),0))))</f>
      </c>
      <c r="H15800">
        <f>IF(DATOS!$G15800&lt;&gt;"EX",0,--(COUNTIFS(nNIA,DATOS!$A15800,nCURSO,DATOS!$D15800,nESPEC,DATOS!$E15800,nASIG,DATOS!$I15800,nEVAL,"OR")=0))</f>
      </c>
      <c r="I15800">
        <f>IF(DATOS!$I15800="","",IFERROR(VLOOKUP(DATOS!$I15800,CONFIG_ASIGNATURAS!$B$2:$J$91,9,FALSE()),""))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IF(DATOS!$A15801="",0,IF(CONFIG_METADATA!$B$4&lt;&gt;"OR+EX",--(DATOS!$G15801=CONFIG_METADATA!$B$4),IF(DATOS!$G15801="EX",1,IF(DATOS!$G15801="OR",--(COUNTIFS(nNIA,DATOS!$A15801,nCURSO,DATOS!$D15801,nESPEC,DATOS!$E15801,nASIG,DATOS!$I15801,nEVAL,"EX")=0),0))))</f>
      </c>
      <c r="H15801">
        <f>IF(DATOS!$G15801&lt;&gt;"EX",0,--(COUNTIFS(nNIA,DATOS!$A15801,nCURSO,DATOS!$D15801,nESPEC,DATOS!$E15801,nASIG,DATOS!$I15801,nEVAL,"OR")=0))</f>
      </c>
      <c r="I15801">
        <f>IF(DATOS!$I15801="","",IFERROR(VLOOKUP(DATOS!$I15801,CONFIG_ASIGNATURAS!$B$2:$J$91,9,FALSE()),""))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IF(DATOS!$A15802="",0,IF(CONFIG_METADATA!$B$4&lt;&gt;"OR+EX",--(DATOS!$G15802=CONFIG_METADATA!$B$4),IF(DATOS!$G15802="EX",1,IF(DATOS!$G15802="OR",--(COUNTIFS(nNIA,DATOS!$A15802,nCURSO,DATOS!$D15802,nESPEC,DATOS!$E15802,nASIG,DATOS!$I15802,nEVAL,"EX")=0),0))))</f>
      </c>
      <c r="H15802">
        <f>IF(DATOS!$G15802&lt;&gt;"EX",0,--(COUNTIFS(nNIA,DATOS!$A15802,nCURSO,DATOS!$D15802,nESPEC,DATOS!$E15802,nASIG,DATOS!$I15802,nEVAL,"OR")=0))</f>
      </c>
      <c r="I15802">
        <f>IF(DATOS!$I15802="","",IFERROR(VLOOKUP(DATOS!$I15802,CONFIG_ASIGNATURAS!$B$2:$J$91,9,FALSE()),""))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IF(DATOS!$A15803="",0,IF(CONFIG_METADATA!$B$4&lt;&gt;"OR+EX",--(DATOS!$G15803=CONFIG_METADATA!$B$4),IF(DATOS!$G15803="EX",1,IF(DATOS!$G15803="OR",--(COUNTIFS(nNIA,DATOS!$A15803,nCURSO,DATOS!$D15803,nESPEC,DATOS!$E15803,nASIG,DATOS!$I15803,nEVAL,"EX")=0),0))))</f>
      </c>
      <c r="H15803">
        <f>IF(DATOS!$G15803&lt;&gt;"EX",0,--(COUNTIFS(nNIA,DATOS!$A15803,nCURSO,DATOS!$D15803,nESPEC,DATOS!$E15803,nASIG,DATOS!$I15803,nEVAL,"OR")=0))</f>
      </c>
      <c r="I15803">
        <f>IF(DATOS!$I15803="","",IFERROR(VLOOKUP(DATOS!$I15803,CONFIG_ASIGNATURAS!$B$2:$J$91,9,FALSE()),""))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IF(DATOS!$A15804="",0,IF(CONFIG_METADATA!$B$4&lt;&gt;"OR+EX",--(DATOS!$G15804=CONFIG_METADATA!$B$4),IF(DATOS!$G15804="EX",1,IF(DATOS!$G15804="OR",--(COUNTIFS(nNIA,DATOS!$A15804,nCURSO,DATOS!$D15804,nESPEC,DATOS!$E15804,nASIG,DATOS!$I15804,nEVAL,"EX")=0),0))))</f>
      </c>
      <c r="H15804">
        <f>IF(DATOS!$G15804&lt;&gt;"EX",0,--(COUNTIFS(nNIA,DATOS!$A15804,nCURSO,DATOS!$D15804,nESPEC,DATOS!$E15804,nASIG,DATOS!$I15804,nEVAL,"OR")=0))</f>
      </c>
      <c r="I15804">
        <f>IF(DATOS!$I15804="","",IFERROR(VLOOKUP(DATOS!$I15804,CONFIG_ASIGNATURAS!$B$2:$J$91,9,FALSE()),""))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IF(DATOS!$A15805="",0,IF(CONFIG_METADATA!$B$4&lt;&gt;"OR+EX",--(DATOS!$G15805=CONFIG_METADATA!$B$4),IF(DATOS!$G15805="EX",1,IF(DATOS!$G15805="OR",--(COUNTIFS(nNIA,DATOS!$A15805,nCURSO,DATOS!$D15805,nESPEC,DATOS!$E15805,nASIG,DATOS!$I15805,nEVAL,"EX")=0),0))))</f>
      </c>
      <c r="H15805">
        <f>IF(DATOS!$G15805&lt;&gt;"EX",0,--(COUNTIFS(nNIA,DATOS!$A15805,nCURSO,DATOS!$D15805,nESPEC,DATOS!$E15805,nASIG,DATOS!$I15805,nEVAL,"OR")=0))</f>
      </c>
      <c r="I15805">
        <f>IF(DATOS!$I15805="","",IFERROR(VLOOKUP(DATOS!$I15805,CONFIG_ASIGNATURAS!$B$2:$J$91,9,FALSE()),""))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IF(DATOS!$A15806="",0,IF(CONFIG_METADATA!$B$4&lt;&gt;"OR+EX",--(DATOS!$G15806=CONFIG_METADATA!$B$4),IF(DATOS!$G15806="EX",1,IF(DATOS!$G15806="OR",--(COUNTIFS(nNIA,DATOS!$A15806,nCURSO,DATOS!$D15806,nESPEC,DATOS!$E15806,nASIG,DATOS!$I15806,nEVAL,"EX")=0),0))))</f>
      </c>
      <c r="H15806">
        <f>IF(DATOS!$G15806&lt;&gt;"EX",0,--(COUNTIFS(nNIA,DATOS!$A15806,nCURSO,DATOS!$D15806,nESPEC,DATOS!$E15806,nASIG,DATOS!$I15806,nEVAL,"OR")=0))</f>
      </c>
      <c r="I15806">
        <f>IF(DATOS!$I15806="","",IFERROR(VLOOKUP(DATOS!$I15806,CONFIG_ASIGNATURAS!$B$2:$J$91,9,FALSE()),""))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IF(DATOS!$A15807="",0,IF(CONFIG_METADATA!$B$4&lt;&gt;"OR+EX",--(DATOS!$G15807=CONFIG_METADATA!$B$4),IF(DATOS!$G15807="EX",1,IF(DATOS!$G15807="OR",--(COUNTIFS(nNIA,DATOS!$A15807,nCURSO,DATOS!$D15807,nESPEC,DATOS!$E15807,nASIG,DATOS!$I15807,nEVAL,"EX")=0),0))))</f>
      </c>
      <c r="H15807">
        <f>IF(DATOS!$G15807&lt;&gt;"EX",0,--(COUNTIFS(nNIA,DATOS!$A15807,nCURSO,DATOS!$D15807,nESPEC,DATOS!$E15807,nASIG,DATOS!$I15807,nEVAL,"OR")=0))</f>
      </c>
      <c r="I15807">
        <f>IF(DATOS!$I15807="","",IFERROR(VLOOKUP(DATOS!$I15807,CONFIG_ASIGNATURAS!$B$2:$J$91,9,FALSE()),""))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IF(DATOS!$A15808="",0,IF(CONFIG_METADATA!$B$4&lt;&gt;"OR+EX",--(DATOS!$G15808=CONFIG_METADATA!$B$4),IF(DATOS!$G15808="EX",1,IF(DATOS!$G15808="OR",--(COUNTIFS(nNIA,DATOS!$A15808,nCURSO,DATOS!$D15808,nESPEC,DATOS!$E15808,nASIG,DATOS!$I15808,nEVAL,"EX")=0),0))))</f>
      </c>
      <c r="H15808">
        <f>IF(DATOS!$G15808&lt;&gt;"EX",0,--(COUNTIFS(nNIA,DATOS!$A15808,nCURSO,DATOS!$D15808,nESPEC,DATOS!$E15808,nASIG,DATOS!$I15808,nEVAL,"OR")=0))</f>
      </c>
      <c r="I15808">
        <f>IF(DATOS!$I15808="","",IFERROR(VLOOKUP(DATOS!$I15808,CONFIG_ASIGNATURAS!$B$2:$J$91,9,FALSE()),""))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IF(DATOS!$A15809="",0,IF(CONFIG_METADATA!$B$4&lt;&gt;"OR+EX",--(DATOS!$G15809=CONFIG_METADATA!$B$4),IF(DATOS!$G15809="EX",1,IF(DATOS!$G15809="OR",--(COUNTIFS(nNIA,DATOS!$A15809,nCURSO,DATOS!$D15809,nESPEC,DATOS!$E15809,nASIG,DATOS!$I15809,nEVAL,"EX")=0),0))))</f>
      </c>
      <c r="H15809">
        <f>IF(DATOS!$G15809&lt;&gt;"EX",0,--(COUNTIFS(nNIA,DATOS!$A15809,nCURSO,DATOS!$D15809,nESPEC,DATOS!$E15809,nASIG,DATOS!$I15809,nEVAL,"OR")=0))</f>
      </c>
      <c r="I15809">
        <f>IF(DATOS!$I15809="","",IFERROR(VLOOKUP(DATOS!$I15809,CONFIG_ASIGNATURAS!$B$2:$J$91,9,FALSE()),""))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IF(DATOS!$A15810="",0,IF(CONFIG_METADATA!$B$4&lt;&gt;"OR+EX",--(DATOS!$G15810=CONFIG_METADATA!$B$4),IF(DATOS!$G15810="EX",1,IF(DATOS!$G15810="OR",--(COUNTIFS(nNIA,DATOS!$A15810,nCURSO,DATOS!$D15810,nESPEC,DATOS!$E15810,nASIG,DATOS!$I15810,nEVAL,"EX")=0),0))))</f>
      </c>
      <c r="H15810">
        <f>IF(DATOS!$G15810&lt;&gt;"EX",0,--(COUNTIFS(nNIA,DATOS!$A15810,nCURSO,DATOS!$D15810,nESPEC,DATOS!$E15810,nASIG,DATOS!$I15810,nEVAL,"OR")=0))</f>
      </c>
      <c r="I15810">
        <f>IF(DATOS!$I15810="","",IFERROR(VLOOKUP(DATOS!$I15810,CONFIG_ASIGNATURAS!$B$2:$J$91,9,FALSE()),""))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IF(DATOS!$A15811="",0,IF(CONFIG_METADATA!$B$4&lt;&gt;"OR+EX",--(DATOS!$G15811=CONFIG_METADATA!$B$4),IF(DATOS!$G15811="EX",1,IF(DATOS!$G15811="OR",--(COUNTIFS(nNIA,DATOS!$A15811,nCURSO,DATOS!$D15811,nESPEC,DATOS!$E15811,nASIG,DATOS!$I15811,nEVAL,"EX")=0),0))))</f>
      </c>
      <c r="H15811">
        <f>IF(DATOS!$G15811&lt;&gt;"EX",0,--(COUNTIFS(nNIA,DATOS!$A15811,nCURSO,DATOS!$D15811,nESPEC,DATOS!$E15811,nASIG,DATOS!$I15811,nEVAL,"OR")=0))</f>
      </c>
      <c r="I15811">
        <f>IF(DATOS!$I15811="","",IFERROR(VLOOKUP(DATOS!$I15811,CONFIG_ASIGNATURAS!$B$2:$J$91,9,FALSE()),""))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IF(DATOS!$A15812="",0,IF(CONFIG_METADATA!$B$4&lt;&gt;"OR+EX",--(DATOS!$G15812=CONFIG_METADATA!$B$4),IF(DATOS!$G15812="EX",1,IF(DATOS!$G15812="OR",--(COUNTIFS(nNIA,DATOS!$A15812,nCURSO,DATOS!$D15812,nESPEC,DATOS!$E15812,nASIG,DATOS!$I15812,nEVAL,"EX")=0),0))))</f>
      </c>
      <c r="H15812">
        <f>IF(DATOS!$G15812&lt;&gt;"EX",0,--(COUNTIFS(nNIA,DATOS!$A15812,nCURSO,DATOS!$D15812,nESPEC,DATOS!$E15812,nASIG,DATOS!$I15812,nEVAL,"OR")=0))</f>
      </c>
      <c r="I15812">
        <f>IF(DATOS!$I15812="","",IFERROR(VLOOKUP(DATOS!$I15812,CONFIG_ASIGNATURAS!$B$2:$J$91,9,FALSE()),""))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IF(DATOS!$A15813="",0,IF(CONFIG_METADATA!$B$4&lt;&gt;"OR+EX",--(DATOS!$G15813=CONFIG_METADATA!$B$4),IF(DATOS!$G15813="EX",1,IF(DATOS!$G15813="OR",--(COUNTIFS(nNIA,DATOS!$A15813,nCURSO,DATOS!$D15813,nESPEC,DATOS!$E15813,nASIG,DATOS!$I15813,nEVAL,"EX")=0),0))))</f>
      </c>
      <c r="H15813">
        <f>IF(DATOS!$G15813&lt;&gt;"EX",0,--(COUNTIFS(nNIA,DATOS!$A15813,nCURSO,DATOS!$D15813,nESPEC,DATOS!$E15813,nASIG,DATOS!$I15813,nEVAL,"OR")=0))</f>
      </c>
      <c r="I15813">
        <f>IF(DATOS!$I15813="","",IFERROR(VLOOKUP(DATOS!$I15813,CONFIG_ASIGNATURAS!$B$2:$J$91,9,FALSE()),""))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IF(DATOS!$A15814="",0,IF(CONFIG_METADATA!$B$4&lt;&gt;"OR+EX",--(DATOS!$G15814=CONFIG_METADATA!$B$4),IF(DATOS!$G15814="EX",1,IF(DATOS!$G15814="OR",--(COUNTIFS(nNIA,DATOS!$A15814,nCURSO,DATOS!$D15814,nESPEC,DATOS!$E15814,nASIG,DATOS!$I15814,nEVAL,"EX")=0),0))))</f>
      </c>
      <c r="H15814">
        <f>IF(DATOS!$G15814&lt;&gt;"EX",0,--(COUNTIFS(nNIA,DATOS!$A15814,nCURSO,DATOS!$D15814,nESPEC,DATOS!$E15814,nASIG,DATOS!$I15814,nEVAL,"OR")=0))</f>
      </c>
      <c r="I15814">
        <f>IF(DATOS!$I15814="","",IFERROR(VLOOKUP(DATOS!$I15814,CONFIG_ASIGNATURAS!$B$2:$J$91,9,FALSE()),""))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IF(DATOS!$A15815="",0,IF(CONFIG_METADATA!$B$4&lt;&gt;"OR+EX",--(DATOS!$G15815=CONFIG_METADATA!$B$4),IF(DATOS!$G15815="EX",1,IF(DATOS!$G15815="OR",--(COUNTIFS(nNIA,DATOS!$A15815,nCURSO,DATOS!$D15815,nESPEC,DATOS!$E15815,nASIG,DATOS!$I15815,nEVAL,"EX")=0),0))))</f>
      </c>
      <c r="H15815">
        <f>IF(DATOS!$G15815&lt;&gt;"EX",0,--(COUNTIFS(nNIA,DATOS!$A15815,nCURSO,DATOS!$D15815,nESPEC,DATOS!$E15815,nASIG,DATOS!$I15815,nEVAL,"OR")=0))</f>
      </c>
      <c r="I15815">
        <f>IF(DATOS!$I15815="","",IFERROR(VLOOKUP(DATOS!$I15815,CONFIG_ASIGNATURAS!$B$2:$J$91,9,FALSE()),""))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IF(DATOS!$A15816="",0,IF(CONFIG_METADATA!$B$4&lt;&gt;"OR+EX",--(DATOS!$G15816=CONFIG_METADATA!$B$4),IF(DATOS!$G15816="EX",1,IF(DATOS!$G15816="OR",--(COUNTIFS(nNIA,DATOS!$A15816,nCURSO,DATOS!$D15816,nESPEC,DATOS!$E15816,nASIG,DATOS!$I15816,nEVAL,"EX")=0),0))))</f>
      </c>
      <c r="H15816">
        <f>IF(DATOS!$G15816&lt;&gt;"EX",0,--(COUNTIFS(nNIA,DATOS!$A15816,nCURSO,DATOS!$D15816,nESPEC,DATOS!$E15816,nASIG,DATOS!$I15816,nEVAL,"OR")=0))</f>
      </c>
      <c r="I15816">
        <f>IF(DATOS!$I15816="","",IFERROR(VLOOKUP(DATOS!$I15816,CONFIG_ASIGNATURAS!$B$2:$J$91,9,FALSE()),""))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IF(DATOS!$A15817="",0,IF(CONFIG_METADATA!$B$4&lt;&gt;"OR+EX",--(DATOS!$G15817=CONFIG_METADATA!$B$4),IF(DATOS!$G15817="EX",1,IF(DATOS!$G15817="OR",--(COUNTIFS(nNIA,DATOS!$A15817,nCURSO,DATOS!$D15817,nESPEC,DATOS!$E15817,nASIG,DATOS!$I15817,nEVAL,"EX")=0),0))))</f>
      </c>
      <c r="H15817">
        <f>IF(DATOS!$G15817&lt;&gt;"EX",0,--(COUNTIFS(nNIA,DATOS!$A15817,nCURSO,DATOS!$D15817,nESPEC,DATOS!$E15817,nASIG,DATOS!$I15817,nEVAL,"OR")=0))</f>
      </c>
      <c r="I15817">
        <f>IF(DATOS!$I15817="","",IFERROR(VLOOKUP(DATOS!$I15817,CONFIG_ASIGNATURAS!$B$2:$J$91,9,FALSE()),""))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IF(DATOS!$A15818="",0,IF(CONFIG_METADATA!$B$4&lt;&gt;"OR+EX",--(DATOS!$G15818=CONFIG_METADATA!$B$4),IF(DATOS!$G15818="EX",1,IF(DATOS!$G15818="OR",--(COUNTIFS(nNIA,DATOS!$A15818,nCURSO,DATOS!$D15818,nESPEC,DATOS!$E15818,nASIG,DATOS!$I15818,nEVAL,"EX")=0),0))))</f>
      </c>
      <c r="H15818">
        <f>IF(DATOS!$G15818&lt;&gt;"EX",0,--(COUNTIFS(nNIA,DATOS!$A15818,nCURSO,DATOS!$D15818,nESPEC,DATOS!$E15818,nASIG,DATOS!$I15818,nEVAL,"OR")=0))</f>
      </c>
      <c r="I15818">
        <f>IF(DATOS!$I15818="","",IFERROR(VLOOKUP(DATOS!$I15818,CONFIG_ASIGNATURAS!$B$2:$J$91,9,FALSE()),""))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IF(DATOS!$A15819="",0,IF(CONFIG_METADATA!$B$4&lt;&gt;"OR+EX",--(DATOS!$G15819=CONFIG_METADATA!$B$4),IF(DATOS!$G15819="EX",1,IF(DATOS!$G15819="OR",--(COUNTIFS(nNIA,DATOS!$A15819,nCURSO,DATOS!$D15819,nESPEC,DATOS!$E15819,nASIG,DATOS!$I15819,nEVAL,"EX")=0),0))))</f>
      </c>
      <c r="H15819">
        <f>IF(DATOS!$G15819&lt;&gt;"EX",0,--(COUNTIFS(nNIA,DATOS!$A15819,nCURSO,DATOS!$D15819,nESPEC,DATOS!$E15819,nASIG,DATOS!$I15819,nEVAL,"OR")=0))</f>
      </c>
      <c r="I15819">
        <f>IF(DATOS!$I15819="","",IFERROR(VLOOKUP(DATOS!$I15819,CONFIG_ASIGNATURAS!$B$2:$J$91,9,FALSE()),""))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IF(DATOS!$A15820="",0,IF(CONFIG_METADATA!$B$4&lt;&gt;"OR+EX",--(DATOS!$G15820=CONFIG_METADATA!$B$4),IF(DATOS!$G15820="EX",1,IF(DATOS!$G15820="OR",--(COUNTIFS(nNIA,DATOS!$A15820,nCURSO,DATOS!$D15820,nESPEC,DATOS!$E15820,nASIG,DATOS!$I15820,nEVAL,"EX")=0),0))))</f>
      </c>
      <c r="H15820">
        <f>IF(DATOS!$G15820&lt;&gt;"EX",0,--(COUNTIFS(nNIA,DATOS!$A15820,nCURSO,DATOS!$D15820,nESPEC,DATOS!$E15820,nASIG,DATOS!$I15820,nEVAL,"OR")=0))</f>
      </c>
      <c r="I15820">
        <f>IF(DATOS!$I15820="","",IFERROR(VLOOKUP(DATOS!$I15820,CONFIG_ASIGNATURAS!$B$2:$J$91,9,FALSE()),""))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IF(DATOS!$A15821="",0,IF(CONFIG_METADATA!$B$4&lt;&gt;"OR+EX",--(DATOS!$G15821=CONFIG_METADATA!$B$4),IF(DATOS!$G15821="EX",1,IF(DATOS!$G15821="OR",--(COUNTIFS(nNIA,DATOS!$A15821,nCURSO,DATOS!$D15821,nESPEC,DATOS!$E15821,nASIG,DATOS!$I15821,nEVAL,"EX")=0),0))))</f>
      </c>
      <c r="H15821">
        <f>IF(DATOS!$G15821&lt;&gt;"EX",0,--(COUNTIFS(nNIA,DATOS!$A15821,nCURSO,DATOS!$D15821,nESPEC,DATOS!$E15821,nASIG,DATOS!$I15821,nEVAL,"OR")=0))</f>
      </c>
      <c r="I15821">
        <f>IF(DATOS!$I15821="","",IFERROR(VLOOKUP(DATOS!$I15821,CONFIG_ASIGNATURAS!$B$2:$J$91,9,FALSE()),""))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IF(DATOS!$A15822="",0,IF(CONFIG_METADATA!$B$4&lt;&gt;"OR+EX",--(DATOS!$G15822=CONFIG_METADATA!$B$4),IF(DATOS!$G15822="EX",1,IF(DATOS!$G15822="OR",--(COUNTIFS(nNIA,DATOS!$A15822,nCURSO,DATOS!$D15822,nESPEC,DATOS!$E15822,nASIG,DATOS!$I15822,nEVAL,"EX")=0),0))))</f>
      </c>
      <c r="H15822">
        <f>IF(DATOS!$G15822&lt;&gt;"EX",0,--(COUNTIFS(nNIA,DATOS!$A15822,nCURSO,DATOS!$D15822,nESPEC,DATOS!$E15822,nASIG,DATOS!$I15822,nEVAL,"OR")=0))</f>
      </c>
      <c r="I15822">
        <f>IF(DATOS!$I15822="","",IFERROR(VLOOKUP(DATOS!$I15822,CONFIG_ASIGNATURAS!$B$2:$J$91,9,FALSE()),""))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IF(DATOS!$A15823="",0,IF(CONFIG_METADATA!$B$4&lt;&gt;"OR+EX",--(DATOS!$G15823=CONFIG_METADATA!$B$4),IF(DATOS!$G15823="EX",1,IF(DATOS!$G15823="OR",--(COUNTIFS(nNIA,DATOS!$A15823,nCURSO,DATOS!$D15823,nESPEC,DATOS!$E15823,nASIG,DATOS!$I15823,nEVAL,"EX")=0),0))))</f>
      </c>
      <c r="H15823">
        <f>IF(DATOS!$G15823&lt;&gt;"EX",0,--(COUNTIFS(nNIA,DATOS!$A15823,nCURSO,DATOS!$D15823,nESPEC,DATOS!$E15823,nASIG,DATOS!$I15823,nEVAL,"OR")=0))</f>
      </c>
      <c r="I15823">
        <f>IF(DATOS!$I15823="","",IFERROR(VLOOKUP(DATOS!$I15823,CONFIG_ASIGNATURAS!$B$2:$J$91,9,FALSE()),""))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IF(DATOS!$A15824="",0,IF(CONFIG_METADATA!$B$4&lt;&gt;"OR+EX",--(DATOS!$G15824=CONFIG_METADATA!$B$4),IF(DATOS!$G15824="EX",1,IF(DATOS!$G15824="OR",--(COUNTIFS(nNIA,DATOS!$A15824,nCURSO,DATOS!$D15824,nESPEC,DATOS!$E15824,nASIG,DATOS!$I15824,nEVAL,"EX")=0),0))))</f>
      </c>
      <c r="H15824">
        <f>IF(DATOS!$G15824&lt;&gt;"EX",0,--(COUNTIFS(nNIA,DATOS!$A15824,nCURSO,DATOS!$D15824,nESPEC,DATOS!$E15824,nASIG,DATOS!$I15824,nEVAL,"OR")=0))</f>
      </c>
      <c r="I15824">
        <f>IF(DATOS!$I15824="","",IFERROR(VLOOKUP(DATOS!$I15824,CONFIG_ASIGNATURAS!$B$2:$J$91,9,FALSE()),""))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IF(DATOS!$A15825="",0,IF(CONFIG_METADATA!$B$4&lt;&gt;"OR+EX",--(DATOS!$G15825=CONFIG_METADATA!$B$4),IF(DATOS!$G15825="EX",1,IF(DATOS!$G15825="OR",--(COUNTIFS(nNIA,DATOS!$A15825,nCURSO,DATOS!$D15825,nESPEC,DATOS!$E15825,nASIG,DATOS!$I15825,nEVAL,"EX")=0),0))))</f>
      </c>
      <c r="H15825">
        <f>IF(DATOS!$G15825&lt;&gt;"EX",0,--(COUNTIFS(nNIA,DATOS!$A15825,nCURSO,DATOS!$D15825,nESPEC,DATOS!$E15825,nASIG,DATOS!$I15825,nEVAL,"OR")=0))</f>
      </c>
      <c r="I15825">
        <f>IF(DATOS!$I15825="","",IFERROR(VLOOKUP(DATOS!$I15825,CONFIG_ASIGNATURAS!$B$2:$J$91,9,FALSE()),""))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IF(DATOS!$A15826="",0,IF(CONFIG_METADATA!$B$4&lt;&gt;"OR+EX",--(DATOS!$G15826=CONFIG_METADATA!$B$4),IF(DATOS!$G15826="EX",1,IF(DATOS!$G15826="OR",--(COUNTIFS(nNIA,DATOS!$A15826,nCURSO,DATOS!$D15826,nESPEC,DATOS!$E15826,nASIG,DATOS!$I15826,nEVAL,"EX")=0),0))))</f>
      </c>
      <c r="H15826">
        <f>IF(DATOS!$G15826&lt;&gt;"EX",0,--(COUNTIFS(nNIA,DATOS!$A15826,nCURSO,DATOS!$D15826,nESPEC,DATOS!$E15826,nASIG,DATOS!$I15826,nEVAL,"OR")=0))</f>
      </c>
      <c r="I15826">
        <f>IF(DATOS!$I15826="","",IFERROR(VLOOKUP(DATOS!$I15826,CONFIG_ASIGNATURAS!$B$2:$J$91,9,FALSE()),""))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IF(DATOS!$A15827="",0,IF(CONFIG_METADATA!$B$4&lt;&gt;"OR+EX",--(DATOS!$G15827=CONFIG_METADATA!$B$4),IF(DATOS!$G15827="EX",1,IF(DATOS!$G15827="OR",--(COUNTIFS(nNIA,DATOS!$A15827,nCURSO,DATOS!$D15827,nESPEC,DATOS!$E15827,nASIG,DATOS!$I15827,nEVAL,"EX")=0),0))))</f>
      </c>
      <c r="H15827">
        <f>IF(DATOS!$G15827&lt;&gt;"EX",0,--(COUNTIFS(nNIA,DATOS!$A15827,nCURSO,DATOS!$D15827,nESPEC,DATOS!$E15827,nASIG,DATOS!$I15827,nEVAL,"OR")=0))</f>
      </c>
      <c r="I15827">
        <f>IF(DATOS!$I15827="","",IFERROR(VLOOKUP(DATOS!$I15827,CONFIG_ASIGNATURAS!$B$2:$J$91,9,FALSE()),""))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IF(DATOS!$A15828="",0,IF(CONFIG_METADATA!$B$4&lt;&gt;"OR+EX",--(DATOS!$G15828=CONFIG_METADATA!$B$4),IF(DATOS!$G15828="EX",1,IF(DATOS!$G15828="OR",--(COUNTIFS(nNIA,DATOS!$A15828,nCURSO,DATOS!$D15828,nESPEC,DATOS!$E15828,nASIG,DATOS!$I15828,nEVAL,"EX")=0),0))))</f>
      </c>
      <c r="H15828">
        <f>IF(DATOS!$G15828&lt;&gt;"EX",0,--(COUNTIFS(nNIA,DATOS!$A15828,nCURSO,DATOS!$D15828,nESPEC,DATOS!$E15828,nASIG,DATOS!$I15828,nEVAL,"OR")=0))</f>
      </c>
      <c r="I15828">
        <f>IF(DATOS!$I15828="","",IFERROR(VLOOKUP(DATOS!$I15828,CONFIG_ASIGNATURAS!$B$2:$J$91,9,FALSE()),""))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IF(DATOS!$A15829="",0,IF(CONFIG_METADATA!$B$4&lt;&gt;"OR+EX",--(DATOS!$G15829=CONFIG_METADATA!$B$4),IF(DATOS!$G15829="EX",1,IF(DATOS!$G15829="OR",--(COUNTIFS(nNIA,DATOS!$A15829,nCURSO,DATOS!$D15829,nESPEC,DATOS!$E15829,nASIG,DATOS!$I15829,nEVAL,"EX")=0),0))))</f>
      </c>
      <c r="H15829">
        <f>IF(DATOS!$G15829&lt;&gt;"EX",0,--(COUNTIFS(nNIA,DATOS!$A15829,nCURSO,DATOS!$D15829,nESPEC,DATOS!$E15829,nASIG,DATOS!$I15829,nEVAL,"OR")=0))</f>
      </c>
      <c r="I15829">
        <f>IF(DATOS!$I15829="","",IFERROR(VLOOKUP(DATOS!$I15829,CONFIG_ASIGNATURAS!$B$2:$J$91,9,FALSE()),""))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IF(DATOS!$A15830="",0,IF(CONFIG_METADATA!$B$4&lt;&gt;"OR+EX",--(DATOS!$G15830=CONFIG_METADATA!$B$4),IF(DATOS!$G15830="EX",1,IF(DATOS!$G15830="OR",--(COUNTIFS(nNIA,DATOS!$A15830,nCURSO,DATOS!$D15830,nESPEC,DATOS!$E15830,nASIG,DATOS!$I15830,nEVAL,"EX")=0),0))))</f>
      </c>
      <c r="H15830">
        <f>IF(DATOS!$G15830&lt;&gt;"EX",0,--(COUNTIFS(nNIA,DATOS!$A15830,nCURSO,DATOS!$D15830,nESPEC,DATOS!$E15830,nASIG,DATOS!$I15830,nEVAL,"OR")=0))</f>
      </c>
      <c r="I15830">
        <f>IF(DATOS!$I15830="","",IFERROR(VLOOKUP(DATOS!$I15830,CONFIG_ASIGNATURAS!$B$2:$J$91,9,FALSE()),""))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IF(DATOS!$A15831="",0,IF(CONFIG_METADATA!$B$4&lt;&gt;"OR+EX",--(DATOS!$G15831=CONFIG_METADATA!$B$4),IF(DATOS!$G15831="EX",1,IF(DATOS!$G15831="OR",--(COUNTIFS(nNIA,DATOS!$A15831,nCURSO,DATOS!$D15831,nESPEC,DATOS!$E15831,nASIG,DATOS!$I15831,nEVAL,"EX")=0),0))))</f>
      </c>
      <c r="H15831">
        <f>IF(DATOS!$G15831&lt;&gt;"EX",0,--(COUNTIFS(nNIA,DATOS!$A15831,nCURSO,DATOS!$D15831,nESPEC,DATOS!$E15831,nASIG,DATOS!$I15831,nEVAL,"OR")=0))</f>
      </c>
      <c r="I15831">
        <f>IF(DATOS!$I15831="","",IFERROR(VLOOKUP(DATOS!$I15831,CONFIG_ASIGNATURAS!$B$2:$J$91,9,FALSE()),""))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IF(DATOS!$A15832="",0,IF(CONFIG_METADATA!$B$4&lt;&gt;"OR+EX",--(DATOS!$G15832=CONFIG_METADATA!$B$4),IF(DATOS!$G15832="EX",1,IF(DATOS!$G15832="OR",--(COUNTIFS(nNIA,DATOS!$A15832,nCURSO,DATOS!$D15832,nESPEC,DATOS!$E15832,nASIG,DATOS!$I15832,nEVAL,"EX")=0),0))))</f>
      </c>
      <c r="H15832">
        <f>IF(DATOS!$G15832&lt;&gt;"EX",0,--(COUNTIFS(nNIA,DATOS!$A15832,nCURSO,DATOS!$D15832,nESPEC,DATOS!$E15832,nASIG,DATOS!$I15832,nEVAL,"OR")=0))</f>
      </c>
      <c r="I15832">
        <f>IF(DATOS!$I15832="","",IFERROR(VLOOKUP(DATOS!$I15832,CONFIG_ASIGNATURAS!$B$2:$J$91,9,FALSE()),""))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IF(DATOS!$A15833="",0,IF(CONFIG_METADATA!$B$4&lt;&gt;"OR+EX",--(DATOS!$G15833=CONFIG_METADATA!$B$4),IF(DATOS!$G15833="EX",1,IF(DATOS!$G15833="OR",--(COUNTIFS(nNIA,DATOS!$A15833,nCURSO,DATOS!$D15833,nESPEC,DATOS!$E15833,nASIG,DATOS!$I15833,nEVAL,"EX")=0),0))))</f>
      </c>
      <c r="H15833">
        <f>IF(DATOS!$G15833&lt;&gt;"EX",0,--(COUNTIFS(nNIA,DATOS!$A15833,nCURSO,DATOS!$D15833,nESPEC,DATOS!$E15833,nASIG,DATOS!$I15833,nEVAL,"OR")=0))</f>
      </c>
      <c r="I15833">
        <f>IF(DATOS!$I15833="","",IFERROR(VLOOKUP(DATOS!$I15833,CONFIG_ASIGNATURAS!$B$2:$J$91,9,FALSE()),""))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IF(DATOS!$A15834="",0,IF(CONFIG_METADATA!$B$4&lt;&gt;"OR+EX",--(DATOS!$G15834=CONFIG_METADATA!$B$4),IF(DATOS!$G15834="EX",1,IF(DATOS!$G15834="OR",--(COUNTIFS(nNIA,DATOS!$A15834,nCURSO,DATOS!$D15834,nESPEC,DATOS!$E15834,nASIG,DATOS!$I15834,nEVAL,"EX")=0),0))))</f>
      </c>
      <c r="H15834">
        <f>IF(DATOS!$G15834&lt;&gt;"EX",0,--(COUNTIFS(nNIA,DATOS!$A15834,nCURSO,DATOS!$D15834,nESPEC,DATOS!$E15834,nASIG,DATOS!$I15834,nEVAL,"OR")=0))</f>
      </c>
      <c r="I15834">
        <f>IF(DATOS!$I15834="","",IFERROR(VLOOKUP(DATOS!$I15834,CONFIG_ASIGNATURAS!$B$2:$J$91,9,FALSE()),""))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IF(DATOS!$A15835="",0,IF(CONFIG_METADATA!$B$4&lt;&gt;"OR+EX",--(DATOS!$G15835=CONFIG_METADATA!$B$4),IF(DATOS!$G15835="EX",1,IF(DATOS!$G15835="OR",--(COUNTIFS(nNIA,DATOS!$A15835,nCURSO,DATOS!$D15835,nESPEC,DATOS!$E15835,nASIG,DATOS!$I15835,nEVAL,"EX")=0),0))))</f>
      </c>
      <c r="H15835">
        <f>IF(DATOS!$G15835&lt;&gt;"EX",0,--(COUNTIFS(nNIA,DATOS!$A15835,nCURSO,DATOS!$D15835,nESPEC,DATOS!$E15835,nASIG,DATOS!$I15835,nEVAL,"OR")=0))</f>
      </c>
      <c r="I15835">
        <f>IF(DATOS!$I15835="","",IFERROR(VLOOKUP(DATOS!$I15835,CONFIG_ASIGNATURAS!$B$2:$J$91,9,FALSE()),""))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IF(DATOS!$A15836="",0,IF(CONFIG_METADATA!$B$4&lt;&gt;"OR+EX",--(DATOS!$G15836=CONFIG_METADATA!$B$4),IF(DATOS!$G15836="EX",1,IF(DATOS!$G15836="OR",--(COUNTIFS(nNIA,DATOS!$A15836,nCURSO,DATOS!$D15836,nESPEC,DATOS!$E15836,nASIG,DATOS!$I15836,nEVAL,"EX")=0),0))))</f>
      </c>
      <c r="H15836">
        <f>IF(DATOS!$G15836&lt;&gt;"EX",0,--(COUNTIFS(nNIA,DATOS!$A15836,nCURSO,DATOS!$D15836,nESPEC,DATOS!$E15836,nASIG,DATOS!$I15836,nEVAL,"OR")=0))</f>
      </c>
      <c r="I15836">
        <f>IF(DATOS!$I15836="","",IFERROR(VLOOKUP(DATOS!$I15836,CONFIG_ASIGNATURAS!$B$2:$J$91,9,FALSE()),""))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IF(DATOS!$A15837="",0,IF(CONFIG_METADATA!$B$4&lt;&gt;"OR+EX",--(DATOS!$G15837=CONFIG_METADATA!$B$4),IF(DATOS!$G15837="EX",1,IF(DATOS!$G15837="OR",--(COUNTIFS(nNIA,DATOS!$A15837,nCURSO,DATOS!$D15837,nESPEC,DATOS!$E15837,nASIG,DATOS!$I15837,nEVAL,"EX")=0),0))))</f>
      </c>
      <c r="H15837">
        <f>IF(DATOS!$G15837&lt;&gt;"EX",0,--(COUNTIFS(nNIA,DATOS!$A15837,nCURSO,DATOS!$D15837,nESPEC,DATOS!$E15837,nASIG,DATOS!$I15837,nEVAL,"OR")=0))</f>
      </c>
      <c r="I15837">
        <f>IF(DATOS!$I15837="","",IFERROR(VLOOKUP(DATOS!$I15837,CONFIG_ASIGNATURAS!$B$2:$J$91,9,FALSE()),""))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IF(DATOS!$A15838="",0,IF(CONFIG_METADATA!$B$4&lt;&gt;"OR+EX",--(DATOS!$G15838=CONFIG_METADATA!$B$4),IF(DATOS!$G15838="EX",1,IF(DATOS!$G15838="OR",--(COUNTIFS(nNIA,DATOS!$A15838,nCURSO,DATOS!$D15838,nESPEC,DATOS!$E15838,nASIG,DATOS!$I15838,nEVAL,"EX")=0),0))))</f>
      </c>
      <c r="H15838">
        <f>IF(DATOS!$G15838&lt;&gt;"EX",0,--(COUNTIFS(nNIA,DATOS!$A15838,nCURSO,DATOS!$D15838,nESPEC,DATOS!$E15838,nASIG,DATOS!$I15838,nEVAL,"OR")=0))</f>
      </c>
      <c r="I15838">
        <f>IF(DATOS!$I15838="","",IFERROR(VLOOKUP(DATOS!$I15838,CONFIG_ASIGNATURAS!$B$2:$J$91,9,FALSE()),""))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IF(DATOS!$A15839="",0,IF(CONFIG_METADATA!$B$4&lt;&gt;"OR+EX",--(DATOS!$G15839=CONFIG_METADATA!$B$4),IF(DATOS!$G15839="EX",1,IF(DATOS!$G15839="OR",--(COUNTIFS(nNIA,DATOS!$A15839,nCURSO,DATOS!$D15839,nESPEC,DATOS!$E15839,nASIG,DATOS!$I15839,nEVAL,"EX")=0),0))))</f>
      </c>
      <c r="H15839">
        <f>IF(DATOS!$G15839&lt;&gt;"EX",0,--(COUNTIFS(nNIA,DATOS!$A15839,nCURSO,DATOS!$D15839,nESPEC,DATOS!$E15839,nASIG,DATOS!$I15839,nEVAL,"OR")=0))</f>
      </c>
      <c r="I15839">
        <f>IF(DATOS!$I15839="","",IFERROR(VLOOKUP(DATOS!$I15839,CONFIG_ASIGNATURAS!$B$2:$J$91,9,FALSE()),""))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IF(DATOS!$A15840="",0,IF(CONFIG_METADATA!$B$4&lt;&gt;"OR+EX",--(DATOS!$G15840=CONFIG_METADATA!$B$4),IF(DATOS!$G15840="EX",1,IF(DATOS!$G15840="OR",--(COUNTIFS(nNIA,DATOS!$A15840,nCURSO,DATOS!$D15840,nESPEC,DATOS!$E15840,nASIG,DATOS!$I15840,nEVAL,"EX")=0),0))))</f>
      </c>
      <c r="H15840">
        <f>IF(DATOS!$G15840&lt;&gt;"EX",0,--(COUNTIFS(nNIA,DATOS!$A15840,nCURSO,DATOS!$D15840,nESPEC,DATOS!$E15840,nASIG,DATOS!$I15840,nEVAL,"OR")=0))</f>
      </c>
      <c r="I15840">
        <f>IF(DATOS!$I15840="","",IFERROR(VLOOKUP(DATOS!$I15840,CONFIG_ASIGNATURAS!$B$2:$J$91,9,FALSE()),""))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IF(DATOS!$A15841="",0,IF(CONFIG_METADATA!$B$4&lt;&gt;"OR+EX",--(DATOS!$G15841=CONFIG_METADATA!$B$4),IF(DATOS!$G15841="EX",1,IF(DATOS!$G15841="OR",--(COUNTIFS(nNIA,DATOS!$A15841,nCURSO,DATOS!$D15841,nESPEC,DATOS!$E15841,nASIG,DATOS!$I15841,nEVAL,"EX")=0),0))))</f>
      </c>
      <c r="H15841">
        <f>IF(DATOS!$G15841&lt;&gt;"EX",0,--(COUNTIFS(nNIA,DATOS!$A15841,nCURSO,DATOS!$D15841,nESPEC,DATOS!$E15841,nASIG,DATOS!$I15841,nEVAL,"OR")=0))</f>
      </c>
      <c r="I15841">
        <f>IF(DATOS!$I15841="","",IFERROR(VLOOKUP(DATOS!$I15841,CONFIG_ASIGNATURAS!$B$2:$J$91,9,FALSE()),""))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IF(DATOS!$A15842="",0,IF(CONFIG_METADATA!$B$4&lt;&gt;"OR+EX",--(DATOS!$G15842=CONFIG_METADATA!$B$4),IF(DATOS!$G15842="EX",1,IF(DATOS!$G15842="OR",--(COUNTIFS(nNIA,DATOS!$A15842,nCURSO,DATOS!$D15842,nESPEC,DATOS!$E15842,nASIG,DATOS!$I15842,nEVAL,"EX")=0),0))))</f>
      </c>
      <c r="H15842">
        <f>IF(DATOS!$G15842&lt;&gt;"EX",0,--(COUNTIFS(nNIA,DATOS!$A15842,nCURSO,DATOS!$D15842,nESPEC,DATOS!$E15842,nASIG,DATOS!$I15842,nEVAL,"OR")=0))</f>
      </c>
      <c r="I15842">
        <f>IF(DATOS!$I15842="","",IFERROR(VLOOKUP(DATOS!$I15842,CONFIG_ASIGNATURAS!$B$2:$J$91,9,FALSE()),""))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IF(DATOS!$A15843="",0,IF(CONFIG_METADATA!$B$4&lt;&gt;"OR+EX",--(DATOS!$G15843=CONFIG_METADATA!$B$4),IF(DATOS!$G15843="EX",1,IF(DATOS!$G15843="OR",--(COUNTIFS(nNIA,DATOS!$A15843,nCURSO,DATOS!$D15843,nESPEC,DATOS!$E15843,nASIG,DATOS!$I15843,nEVAL,"EX")=0),0))))</f>
      </c>
      <c r="H15843">
        <f>IF(DATOS!$G15843&lt;&gt;"EX",0,--(COUNTIFS(nNIA,DATOS!$A15843,nCURSO,DATOS!$D15843,nESPEC,DATOS!$E15843,nASIG,DATOS!$I15843,nEVAL,"OR")=0))</f>
      </c>
      <c r="I15843">
        <f>IF(DATOS!$I15843="","",IFERROR(VLOOKUP(DATOS!$I15843,CONFIG_ASIGNATURAS!$B$2:$J$91,9,FALSE()),""))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IF(DATOS!$A15844="",0,IF(CONFIG_METADATA!$B$4&lt;&gt;"OR+EX",--(DATOS!$G15844=CONFIG_METADATA!$B$4),IF(DATOS!$G15844="EX",1,IF(DATOS!$G15844="OR",--(COUNTIFS(nNIA,DATOS!$A15844,nCURSO,DATOS!$D15844,nESPEC,DATOS!$E15844,nASIG,DATOS!$I15844,nEVAL,"EX")=0),0))))</f>
      </c>
      <c r="H15844">
        <f>IF(DATOS!$G15844&lt;&gt;"EX",0,--(COUNTIFS(nNIA,DATOS!$A15844,nCURSO,DATOS!$D15844,nESPEC,DATOS!$E15844,nASIG,DATOS!$I15844,nEVAL,"OR")=0))</f>
      </c>
      <c r="I15844">
        <f>IF(DATOS!$I15844="","",IFERROR(VLOOKUP(DATOS!$I15844,CONFIG_ASIGNATURAS!$B$2:$J$91,9,FALSE()),""))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IF(DATOS!$A15845="",0,IF(CONFIG_METADATA!$B$4&lt;&gt;"OR+EX",--(DATOS!$G15845=CONFIG_METADATA!$B$4),IF(DATOS!$G15845="EX",1,IF(DATOS!$G15845="OR",--(COUNTIFS(nNIA,DATOS!$A15845,nCURSO,DATOS!$D15845,nESPEC,DATOS!$E15845,nASIG,DATOS!$I15845,nEVAL,"EX")=0),0))))</f>
      </c>
      <c r="H15845">
        <f>IF(DATOS!$G15845&lt;&gt;"EX",0,--(COUNTIFS(nNIA,DATOS!$A15845,nCURSO,DATOS!$D15845,nESPEC,DATOS!$E15845,nASIG,DATOS!$I15845,nEVAL,"OR")=0))</f>
      </c>
      <c r="I15845">
        <f>IF(DATOS!$I15845="","",IFERROR(VLOOKUP(DATOS!$I15845,CONFIG_ASIGNATURAS!$B$2:$J$91,9,FALSE()),""))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IF(DATOS!$A15846="",0,IF(CONFIG_METADATA!$B$4&lt;&gt;"OR+EX",--(DATOS!$G15846=CONFIG_METADATA!$B$4),IF(DATOS!$G15846="EX",1,IF(DATOS!$G15846="OR",--(COUNTIFS(nNIA,DATOS!$A15846,nCURSO,DATOS!$D15846,nESPEC,DATOS!$E15846,nASIG,DATOS!$I15846,nEVAL,"EX")=0),0))))</f>
      </c>
      <c r="H15846">
        <f>IF(DATOS!$G15846&lt;&gt;"EX",0,--(COUNTIFS(nNIA,DATOS!$A15846,nCURSO,DATOS!$D15846,nESPEC,DATOS!$E15846,nASIG,DATOS!$I15846,nEVAL,"OR")=0))</f>
      </c>
      <c r="I15846">
        <f>IF(DATOS!$I15846="","",IFERROR(VLOOKUP(DATOS!$I15846,CONFIG_ASIGNATURAS!$B$2:$J$91,9,FALSE()),""))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IF(DATOS!$A15847="",0,IF(CONFIG_METADATA!$B$4&lt;&gt;"OR+EX",--(DATOS!$G15847=CONFIG_METADATA!$B$4),IF(DATOS!$G15847="EX",1,IF(DATOS!$G15847="OR",--(COUNTIFS(nNIA,DATOS!$A15847,nCURSO,DATOS!$D15847,nESPEC,DATOS!$E15847,nASIG,DATOS!$I15847,nEVAL,"EX")=0),0))))</f>
      </c>
      <c r="H15847">
        <f>IF(DATOS!$G15847&lt;&gt;"EX",0,--(COUNTIFS(nNIA,DATOS!$A15847,nCURSO,DATOS!$D15847,nESPEC,DATOS!$E15847,nASIG,DATOS!$I15847,nEVAL,"OR")=0))</f>
      </c>
      <c r="I15847">
        <f>IF(DATOS!$I15847="","",IFERROR(VLOOKUP(DATOS!$I15847,CONFIG_ASIGNATURAS!$B$2:$J$91,9,FALSE()),""))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IF(DATOS!$A15848="",0,IF(CONFIG_METADATA!$B$4&lt;&gt;"OR+EX",--(DATOS!$G15848=CONFIG_METADATA!$B$4),IF(DATOS!$G15848="EX",1,IF(DATOS!$G15848="OR",--(COUNTIFS(nNIA,DATOS!$A15848,nCURSO,DATOS!$D15848,nESPEC,DATOS!$E15848,nASIG,DATOS!$I15848,nEVAL,"EX")=0),0))))</f>
      </c>
      <c r="H15848">
        <f>IF(DATOS!$G15848&lt;&gt;"EX",0,--(COUNTIFS(nNIA,DATOS!$A15848,nCURSO,DATOS!$D15848,nESPEC,DATOS!$E15848,nASIG,DATOS!$I15848,nEVAL,"OR")=0))</f>
      </c>
      <c r="I15848">
        <f>IF(DATOS!$I15848="","",IFERROR(VLOOKUP(DATOS!$I15848,CONFIG_ASIGNATURAS!$B$2:$J$91,9,FALSE()),""))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IF(DATOS!$A15849="",0,IF(CONFIG_METADATA!$B$4&lt;&gt;"OR+EX",--(DATOS!$G15849=CONFIG_METADATA!$B$4),IF(DATOS!$G15849="EX",1,IF(DATOS!$G15849="OR",--(COUNTIFS(nNIA,DATOS!$A15849,nCURSO,DATOS!$D15849,nESPEC,DATOS!$E15849,nASIG,DATOS!$I15849,nEVAL,"EX")=0),0))))</f>
      </c>
      <c r="H15849">
        <f>IF(DATOS!$G15849&lt;&gt;"EX",0,--(COUNTIFS(nNIA,DATOS!$A15849,nCURSO,DATOS!$D15849,nESPEC,DATOS!$E15849,nASIG,DATOS!$I15849,nEVAL,"OR")=0))</f>
      </c>
      <c r="I15849">
        <f>IF(DATOS!$I15849="","",IFERROR(VLOOKUP(DATOS!$I15849,CONFIG_ASIGNATURAS!$B$2:$J$91,9,FALSE()),""))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IF(DATOS!$A15850="",0,IF(CONFIG_METADATA!$B$4&lt;&gt;"OR+EX",--(DATOS!$G15850=CONFIG_METADATA!$B$4),IF(DATOS!$G15850="EX",1,IF(DATOS!$G15850="OR",--(COUNTIFS(nNIA,DATOS!$A15850,nCURSO,DATOS!$D15850,nESPEC,DATOS!$E15850,nASIG,DATOS!$I15850,nEVAL,"EX")=0),0))))</f>
      </c>
      <c r="H15850">
        <f>IF(DATOS!$G15850&lt;&gt;"EX",0,--(COUNTIFS(nNIA,DATOS!$A15850,nCURSO,DATOS!$D15850,nESPEC,DATOS!$E15850,nASIG,DATOS!$I15850,nEVAL,"OR")=0))</f>
      </c>
      <c r="I15850">
        <f>IF(DATOS!$I15850="","",IFERROR(VLOOKUP(DATOS!$I15850,CONFIG_ASIGNATURAS!$B$2:$J$91,9,FALSE()),""))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IF(DATOS!$A15851="",0,IF(CONFIG_METADATA!$B$4&lt;&gt;"OR+EX",--(DATOS!$G15851=CONFIG_METADATA!$B$4),IF(DATOS!$G15851="EX",1,IF(DATOS!$G15851="OR",--(COUNTIFS(nNIA,DATOS!$A15851,nCURSO,DATOS!$D15851,nESPEC,DATOS!$E15851,nASIG,DATOS!$I15851,nEVAL,"EX")=0),0))))</f>
      </c>
      <c r="H15851">
        <f>IF(DATOS!$G15851&lt;&gt;"EX",0,--(COUNTIFS(nNIA,DATOS!$A15851,nCURSO,DATOS!$D15851,nESPEC,DATOS!$E15851,nASIG,DATOS!$I15851,nEVAL,"OR")=0))</f>
      </c>
      <c r="I15851">
        <f>IF(DATOS!$I15851="","",IFERROR(VLOOKUP(DATOS!$I15851,CONFIG_ASIGNATURAS!$B$2:$J$91,9,FALSE()),""))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IF(DATOS!$A15852="",0,IF(CONFIG_METADATA!$B$4&lt;&gt;"OR+EX",--(DATOS!$G15852=CONFIG_METADATA!$B$4),IF(DATOS!$G15852="EX",1,IF(DATOS!$G15852="OR",--(COUNTIFS(nNIA,DATOS!$A15852,nCURSO,DATOS!$D15852,nESPEC,DATOS!$E15852,nASIG,DATOS!$I15852,nEVAL,"EX")=0),0))))</f>
      </c>
      <c r="H15852">
        <f>IF(DATOS!$G15852&lt;&gt;"EX",0,--(COUNTIFS(nNIA,DATOS!$A15852,nCURSO,DATOS!$D15852,nESPEC,DATOS!$E15852,nASIG,DATOS!$I15852,nEVAL,"OR")=0))</f>
      </c>
      <c r="I15852">
        <f>IF(DATOS!$I15852="","",IFERROR(VLOOKUP(DATOS!$I15852,CONFIG_ASIGNATURAS!$B$2:$J$91,9,FALSE()),""))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IF(DATOS!$A15853="",0,IF(CONFIG_METADATA!$B$4&lt;&gt;"OR+EX",--(DATOS!$G15853=CONFIG_METADATA!$B$4),IF(DATOS!$G15853="EX",1,IF(DATOS!$G15853="OR",--(COUNTIFS(nNIA,DATOS!$A15853,nCURSO,DATOS!$D15853,nESPEC,DATOS!$E15853,nASIG,DATOS!$I15853,nEVAL,"EX")=0),0))))</f>
      </c>
      <c r="H15853">
        <f>IF(DATOS!$G15853&lt;&gt;"EX",0,--(COUNTIFS(nNIA,DATOS!$A15853,nCURSO,DATOS!$D15853,nESPEC,DATOS!$E15853,nASIG,DATOS!$I15853,nEVAL,"OR")=0))</f>
      </c>
      <c r="I15853">
        <f>IF(DATOS!$I15853="","",IFERROR(VLOOKUP(DATOS!$I15853,CONFIG_ASIGNATURAS!$B$2:$J$91,9,FALSE()),""))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IF(DATOS!$A15854="",0,IF(CONFIG_METADATA!$B$4&lt;&gt;"OR+EX",--(DATOS!$G15854=CONFIG_METADATA!$B$4),IF(DATOS!$G15854="EX",1,IF(DATOS!$G15854="OR",--(COUNTIFS(nNIA,DATOS!$A15854,nCURSO,DATOS!$D15854,nESPEC,DATOS!$E15854,nASIG,DATOS!$I15854,nEVAL,"EX")=0),0))))</f>
      </c>
      <c r="H15854">
        <f>IF(DATOS!$G15854&lt;&gt;"EX",0,--(COUNTIFS(nNIA,DATOS!$A15854,nCURSO,DATOS!$D15854,nESPEC,DATOS!$E15854,nASIG,DATOS!$I15854,nEVAL,"OR")=0))</f>
      </c>
      <c r="I15854">
        <f>IF(DATOS!$I15854="","",IFERROR(VLOOKUP(DATOS!$I15854,CONFIG_ASIGNATURAS!$B$2:$J$91,9,FALSE()),""))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IF(DATOS!$A15855="",0,IF(CONFIG_METADATA!$B$4&lt;&gt;"OR+EX",--(DATOS!$G15855=CONFIG_METADATA!$B$4),IF(DATOS!$G15855="EX",1,IF(DATOS!$G15855="OR",--(COUNTIFS(nNIA,DATOS!$A15855,nCURSO,DATOS!$D15855,nESPEC,DATOS!$E15855,nASIG,DATOS!$I15855,nEVAL,"EX")=0),0))))</f>
      </c>
      <c r="H15855">
        <f>IF(DATOS!$G15855&lt;&gt;"EX",0,--(COUNTIFS(nNIA,DATOS!$A15855,nCURSO,DATOS!$D15855,nESPEC,DATOS!$E15855,nASIG,DATOS!$I15855,nEVAL,"OR")=0))</f>
      </c>
      <c r="I15855">
        <f>IF(DATOS!$I15855="","",IFERROR(VLOOKUP(DATOS!$I15855,CONFIG_ASIGNATURAS!$B$2:$J$91,9,FALSE()),""))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IF(DATOS!$A15856="",0,IF(CONFIG_METADATA!$B$4&lt;&gt;"OR+EX",--(DATOS!$G15856=CONFIG_METADATA!$B$4),IF(DATOS!$G15856="EX",1,IF(DATOS!$G15856="OR",--(COUNTIFS(nNIA,DATOS!$A15856,nCURSO,DATOS!$D15856,nESPEC,DATOS!$E15856,nASIG,DATOS!$I15856,nEVAL,"EX")=0),0))))</f>
      </c>
      <c r="H15856">
        <f>IF(DATOS!$G15856&lt;&gt;"EX",0,--(COUNTIFS(nNIA,DATOS!$A15856,nCURSO,DATOS!$D15856,nESPEC,DATOS!$E15856,nASIG,DATOS!$I15856,nEVAL,"OR")=0))</f>
      </c>
      <c r="I15856">
        <f>IF(DATOS!$I15856="","",IFERROR(VLOOKUP(DATOS!$I15856,CONFIG_ASIGNATURAS!$B$2:$J$91,9,FALSE()),""))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IF(DATOS!$A15857="",0,IF(CONFIG_METADATA!$B$4&lt;&gt;"OR+EX",--(DATOS!$G15857=CONFIG_METADATA!$B$4),IF(DATOS!$G15857="EX",1,IF(DATOS!$G15857="OR",--(COUNTIFS(nNIA,DATOS!$A15857,nCURSO,DATOS!$D15857,nESPEC,DATOS!$E15857,nASIG,DATOS!$I15857,nEVAL,"EX")=0),0))))</f>
      </c>
      <c r="H15857">
        <f>IF(DATOS!$G15857&lt;&gt;"EX",0,--(COUNTIFS(nNIA,DATOS!$A15857,nCURSO,DATOS!$D15857,nESPEC,DATOS!$E15857,nASIG,DATOS!$I15857,nEVAL,"OR")=0))</f>
      </c>
      <c r="I15857">
        <f>IF(DATOS!$I15857="","",IFERROR(VLOOKUP(DATOS!$I15857,CONFIG_ASIGNATURAS!$B$2:$J$91,9,FALSE()),""))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IF(DATOS!$A15858="",0,IF(CONFIG_METADATA!$B$4&lt;&gt;"OR+EX",--(DATOS!$G15858=CONFIG_METADATA!$B$4),IF(DATOS!$G15858="EX",1,IF(DATOS!$G15858="OR",--(COUNTIFS(nNIA,DATOS!$A15858,nCURSO,DATOS!$D15858,nESPEC,DATOS!$E15858,nASIG,DATOS!$I15858,nEVAL,"EX")=0),0))))</f>
      </c>
      <c r="H15858">
        <f>IF(DATOS!$G15858&lt;&gt;"EX",0,--(COUNTIFS(nNIA,DATOS!$A15858,nCURSO,DATOS!$D15858,nESPEC,DATOS!$E15858,nASIG,DATOS!$I15858,nEVAL,"OR")=0))</f>
      </c>
      <c r="I15858">
        <f>IF(DATOS!$I15858="","",IFERROR(VLOOKUP(DATOS!$I15858,CONFIG_ASIGNATURAS!$B$2:$J$91,9,FALSE()),""))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IF(DATOS!$A15859="",0,IF(CONFIG_METADATA!$B$4&lt;&gt;"OR+EX",--(DATOS!$G15859=CONFIG_METADATA!$B$4),IF(DATOS!$G15859="EX",1,IF(DATOS!$G15859="OR",--(COUNTIFS(nNIA,DATOS!$A15859,nCURSO,DATOS!$D15859,nESPEC,DATOS!$E15859,nASIG,DATOS!$I15859,nEVAL,"EX")=0),0))))</f>
      </c>
      <c r="H15859">
        <f>IF(DATOS!$G15859&lt;&gt;"EX",0,--(COUNTIFS(nNIA,DATOS!$A15859,nCURSO,DATOS!$D15859,nESPEC,DATOS!$E15859,nASIG,DATOS!$I15859,nEVAL,"OR")=0))</f>
      </c>
      <c r="I15859">
        <f>IF(DATOS!$I15859="","",IFERROR(VLOOKUP(DATOS!$I15859,CONFIG_ASIGNATURAS!$B$2:$J$91,9,FALSE()),""))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IF(DATOS!$A15860="",0,IF(CONFIG_METADATA!$B$4&lt;&gt;"OR+EX",--(DATOS!$G15860=CONFIG_METADATA!$B$4),IF(DATOS!$G15860="EX",1,IF(DATOS!$G15860="OR",--(COUNTIFS(nNIA,DATOS!$A15860,nCURSO,DATOS!$D15860,nESPEC,DATOS!$E15860,nASIG,DATOS!$I15860,nEVAL,"EX")=0),0))))</f>
      </c>
      <c r="H15860">
        <f>IF(DATOS!$G15860&lt;&gt;"EX",0,--(COUNTIFS(nNIA,DATOS!$A15860,nCURSO,DATOS!$D15860,nESPEC,DATOS!$E15860,nASIG,DATOS!$I15860,nEVAL,"OR")=0))</f>
      </c>
      <c r="I15860">
        <f>IF(DATOS!$I15860="","",IFERROR(VLOOKUP(DATOS!$I15860,CONFIG_ASIGNATURAS!$B$2:$J$91,9,FALSE()),""))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IF(DATOS!$A15861="",0,IF(CONFIG_METADATA!$B$4&lt;&gt;"OR+EX",--(DATOS!$G15861=CONFIG_METADATA!$B$4),IF(DATOS!$G15861="EX",1,IF(DATOS!$G15861="OR",--(COUNTIFS(nNIA,DATOS!$A15861,nCURSO,DATOS!$D15861,nESPEC,DATOS!$E15861,nASIG,DATOS!$I15861,nEVAL,"EX")=0),0))))</f>
      </c>
      <c r="H15861">
        <f>IF(DATOS!$G15861&lt;&gt;"EX",0,--(COUNTIFS(nNIA,DATOS!$A15861,nCURSO,DATOS!$D15861,nESPEC,DATOS!$E15861,nASIG,DATOS!$I15861,nEVAL,"OR")=0))</f>
      </c>
      <c r="I15861">
        <f>IF(DATOS!$I15861="","",IFERROR(VLOOKUP(DATOS!$I15861,CONFIG_ASIGNATURAS!$B$2:$J$91,9,FALSE()),""))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IF(DATOS!$A15862="",0,IF(CONFIG_METADATA!$B$4&lt;&gt;"OR+EX",--(DATOS!$G15862=CONFIG_METADATA!$B$4),IF(DATOS!$G15862="EX",1,IF(DATOS!$G15862="OR",--(COUNTIFS(nNIA,DATOS!$A15862,nCURSO,DATOS!$D15862,nESPEC,DATOS!$E15862,nASIG,DATOS!$I15862,nEVAL,"EX")=0),0))))</f>
      </c>
      <c r="H15862">
        <f>IF(DATOS!$G15862&lt;&gt;"EX",0,--(COUNTIFS(nNIA,DATOS!$A15862,nCURSO,DATOS!$D15862,nESPEC,DATOS!$E15862,nASIG,DATOS!$I15862,nEVAL,"OR")=0))</f>
      </c>
      <c r="I15862">
        <f>IF(DATOS!$I15862="","",IFERROR(VLOOKUP(DATOS!$I15862,CONFIG_ASIGNATURAS!$B$2:$J$91,9,FALSE()),""))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IF(DATOS!$A15863="",0,IF(CONFIG_METADATA!$B$4&lt;&gt;"OR+EX",--(DATOS!$G15863=CONFIG_METADATA!$B$4),IF(DATOS!$G15863="EX",1,IF(DATOS!$G15863="OR",--(COUNTIFS(nNIA,DATOS!$A15863,nCURSO,DATOS!$D15863,nESPEC,DATOS!$E15863,nASIG,DATOS!$I15863,nEVAL,"EX")=0),0))))</f>
      </c>
      <c r="H15863">
        <f>IF(DATOS!$G15863&lt;&gt;"EX",0,--(COUNTIFS(nNIA,DATOS!$A15863,nCURSO,DATOS!$D15863,nESPEC,DATOS!$E15863,nASIG,DATOS!$I15863,nEVAL,"OR")=0))</f>
      </c>
      <c r="I15863">
        <f>IF(DATOS!$I15863="","",IFERROR(VLOOKUP(DATOS!$I15863,CONFIG_ASIGNATURAS!$B$2:$J$91,9,FALSE()),""))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IF(DATOS!$A15864="",0,IF(CONFIG_METADATA!$B$4&lt;&gt;"OR+EX",--(DATOS!$G15864=CONFIG_METADATA!$B$4),IF(DATOS!$G15864="EX",1,IF(DATOS!$G15864="OR",--(COUNTIFS(nNIA,DATOS!$A15864,nCURSO,DATOS!$D15864,nESPEC,DATOS!$E15864,nASIG,DATOS!$I15864,nEVAL,"EX")=0),0))))</f>
      </c>
      <c r="H15864">
        <f>IF(DATOS!$G15864&lt;&gt;"EX",0,--(COUNTIFS(nNIA,DATOS!$A15864,nCURSO,DATOS!$D15864,nESPEC,DATOS!$E15864,nASIG,DATOS!$I15864,nEVAL,"OR")=0))</f>
      </c>
      <c r="I15864">
        <f>IF(DATOS!$I15864="","",IFERROR(VLOOKUP(DATOS!$I15864,CONFIG_ASIGNATURAS!$B$2:$J$91,9,FALSE()),""))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IF(DATOS!$A15865="",0,IF(CONFIG_METADATA!$B$4&lt;&gt;"OR+EX",--(DATOS!$G15865=CONFIG_METADATA!$B$4),IF(DATOS!$G15865="EX",1,IF(DATOS!$G15865="OR",--(COUNTIFS(nNIA,DATOS!$A15865,nCURSO,DATOS!$D15865,nESPEC,DATOS!$E15865,nASIG,DATOS!$I15865,nEVAL,"EX")=0),0))))</f>
      </c>
      <c r="H15865">
        <f>IF(DATOS!$G15865&lt;&gt;"EX",0,--(COUNTIFS(nNIA,DATOS!$A15865,nCURSO,DATOS!$D15865,nESPEC,DATOS!$E15865,nASIG,DATOS!$I15865,nEVAL,"OR")=0))</f>
      </c>
      <c r="I15865">
        <f>IF(DATOS!$I15865="","",IFERROR(VLOOKUP(DATOS!$I15865,CONFIG_ASIGNATURAS!$B$2:$J$91,9,FALSE()),""))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IF(DATOS!$A15866="",0,IF(CONFIG_METADATA!$B$4&lt;&gt;"OR+EX",--(DATOS!$G15866=CONFIG_METADATA!$B$4),IF(DATOS!$G15866="EX",1,IF(DATOS!$G15866="OR",--(COUNTIFS(nNIA,DATOS!$A15866,nCURSO,DATOS!$D15866,nESPEC,DATOS!$E15866,nASIG,DATOS!$I15866,nEVAL,"EX")=0),0))))</f>
      </c>
      <c r="H15866">
        <f>IF(DATOS!$G15866&lt;&gt;"EX",0,--(COUNTIFS(nNIA,DATOS!$A15866,nCURSO,DATOS!$D15866,nESPEC,DATOS!$E15866,nASIG,DATOS!$I15866,nEVAL,"OR")=0))</f>
      </c>
      <c r="I15866">
        <f>IF(DATOS!$I15866="","",IFERROR(VLOOKUP(DATOS!$I15866,CONFIG_ASIGNATURAS!$B$2:$J$91,9,FALSE()),""))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IF(DATOS!$A15867="",0,IF(CONFIG_METADATA!$B$4&lt;&gt;"OR+EX",--(DATOS!$G15867=CONFIG_METADATA!$B$4),IF(DATOS!$G15867="EX",1,IF(DATOS!$G15867="OR",--(COUNTIFS(nNIA,DATOS!$A15867,nCURSO,DATOS!$D15867,nESPEC,DATOS!$E15867,nASIG,DATOS!$I15867,nEVAL,"EX")=0),0))))</f>
      </c>
      <c r="H15867">
        <f>IF(DATOS!$G15867&lt;&gt;"EX",0,--(COUNTIFS(nNIA,DATOS!$A15867,nCURSO,DATOS!$D15867,nESPEC,DATOS!$E15867,nASIG,DATOS!$I15867,nEVAL,"OR")=0))</f>
      </c>
      <c r="I15867">
        <f>IF(DATOS!$I15867="","",IFERROR(VLOOKUP(DATOS!$I15867,CONFIG_ASIGNATURAS!$B$2:$J$91,9,FALSE()),""))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IF(DATOS!$A15868="",0,IF(CONFIG_METADATA!$B$4&lt;&gt;"OR+EX",--(DATOS!$G15868=CONFIG_METADATA!$B$4),IF(DATOS!$G15868="EX",1,IF(DATOS!$G15868="OR",--(COUNTIFS(nNIA,DATOS!$A15868,nCURSO,DATOS!$D15868,nESPEC,DATOS!$E15868,nASIG,DATOS!$I15868,nEVAL,"EX")=0),0))))</f>
      </c>
      <c r="H15868">
        <f>IF(DATOS!$G15868&lt;&gt;"EX",0,--(COUNTIFS(nNIA,DATOS!$A15868,nCURSO,DATOS!$D15868,nESPEC,DATOS!$E15868,nASIG,DATOS!$I15868,nEVAL,"OR")=0))</f>
      </c>
      <c r="I15868">
        <f>IF(DATOS!$I15868="","",IFERROR(VLOOKUP(DATOS!$I15868,CONFIG_ASIGNATURAS!$B$2:$J$91,9,FALSE()),""))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IF(DATOS!$A15869="",0,IF(CONFIG_METADATA!$B$4&lt;&gt;"OR+EX",--(DATOS!$G15869=CONFIG_METADATA!$B$4),IF(DATOS!$G15869="EX",1,IF(DATOS!$G15869="OR",--(COUNTIFS(nNIA,DATOS!$A15869,nCURSO,DATOS!$D15869,nESPEC,DATOS!$E15869,nASIG,DATOS!$I15869,nEVAL,"EX")=0),0))))</f>
      </c>
      <c r="H15869">
        <f>IF(DATOS!$G15869&lt;&gt;"EX",0,--(COUNTIFS(nNIA,DATOS!$A15869,nCURSO,DATOS!$D15869,nESPEC,DATOS!$E15869,nASIG,DATOS!$I15869,nEVAL,"OR")=0))</f>
      </c>
      <c r="I15869">
        <f>IF(DATOS!$I15869="","",IFERROR(VLOOKUP(DATOS!$I15869,CONFIG_ASIGNATURAS!$B$2:$J$91,9,FALSE()),""))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IF(DATOS!$A15870="",0,IF(CONFIG_METADATA!$B$4&lt;&gt;"OR+EX",--(DATOS!$G15870=CONFIG_METADATA!$B$4),IF(DATOS!$G15870="EX",1,IF(DATOS!$G15870="OR",--(COUNTIFS(nNIA,DATOS!$A15870,nCURSO,DATOS!$D15870,nESPEC,DATOS!$E15870,nASIG,DATOS!$I15870,nEVAL,"EX")=0),0))))</f>
      </c>
      <c r="H15870">
        <f>IF(DATOS!$G15870&lt;&gt;"EX",0,--(COUNTIFS(nNIA,DATOS!$A15870,nCURSO,DATOS!$D15870,nESPEC,DATOS!$E15870,nASIG,DATOS!$I15870,nEVAL,"OR")=0))</f>
      </c>
      <c r="I15870">
        <f>IF(DATOS!$I15870="","",IFERROR(VLOOKUP(DATOS!$I15870,CONFIG_ASIGNATURAS!$B$2:$J$91,9,FALSE()),""))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IF(DATOS!$A15871="",0,IF(CONFIG_METADATA!$B$4&lt;&gt;"OR+EX",--(DATOS!$G15871=CONFIG_METADATA!$B$4),IF(DATOS!$G15871="EX",1,IF(DATOS!$G15871="OR",--(COUNTIFS(nNIA,DATOS!$A15871,nCURSO,DATOS!$D15871,nESPEC,DATOS!$E15871,nASIG,DATOS!$I15871,nEVAL,"EX")=0),0))))</f>
      </c>
      <c r="H15871">
        <f>IF(DATOS!$G15871&lt;&gt;"EX",0,--(COUNTIFS(nNIA,DATOS!$A15871,nCURSO,DATOS!$D15871,nESPEC,DATOS!$E15871,nASIG,DATOS!$I15871,nEVAL,"OR")=0))</f>
      </c>
      <c r="I15871">
        <f>IF(DATOS!$I15871="","",IFERROR(VLOOKUP(DATOS!$I15871,CONFIG_ASIGNATURAS!$B$2:$J$91,9,FALSE()),""))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IF(DATOS!$A15872="",0,IF(CONFIG_METADATA!$B$4&lt;&gt;"OR+EX",--(DATOS!$G15872=CONFIG_METADATA!$B$4),IF(DATOS!$G15872="EX",1,IF(DATOS!$G15872="OR",--(COUNTIFS(nNIA,DATOS!$A15872,nCURSO,DATOS!$D15872,nESPEC,DATOS!$E15872,nASIG,DATOS!$I15872,nEVAL,"EX")=0),0))))</f>
      </c>
      <c r="H15872">
        <f>IF(DATOS!$G15872&lt;&gt;"EX",0,--(COUNTIFS(nNIA,DATOS!$A15872,nCURSO,DATOS!$D15872,nESPEC,DATOS!$E15872,nASIG,DATOS!$I15872,nEVAL,"OR")=0))</f>
      </c>
      <c r="I15872">
        <f>IF(DATOS!$I15872="","",IFERROR(VLOOKUP(DATOS!$I15872,CONFIG_ASIGNATURAS!$B$2:$J$91,9,FALSE()),""))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IF(DATOS!$A15873="",0,IF(CONFIG_METADATA!$B$4&lt;&gt;"OR+EX",--(DATOS!$G15873=CONFIG_METADATA!$B$4),IF(DATOS!$G15873="EX",1,IF(DATOS!$G15873="OR",--(COUNTIFS(nNIA,DATOS!$A15873,nCURSO,DATOS!$D15873,nESPEC,DATOS!$E15873,nASIG,DATOS!$I15873,nEVAL,"EX")=0),0))))</f>
      </c>
      <c r="H15873">
        <f>IF(DATOS!$G15873&lt;&gt;"EX",0,--(COUNTIFS(nNIA,DATOS!$A15873,nCURSO,DATOS!$D15873,nESPEC,DATOS!$E15873,nASIG,DATOS!$I15873,nEVAL,"OR")=0))</f>
      </c>
      <c r="I15873">
        <f>IF(DATOS!$I15873="","",IFERROR(VLOOKUP(DATOS!$I15873,CONFIG_ASIGNATURAS!$B$2:$J$91,9,FALSE()),""))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IF(DATOS!$A15874="",0,IF(CONFIG_METADATA!$B$4&lt;&gt;"OR+EX",--(DATOS!$G15874=CONFIG_METADATA!$B$4),IF(DATOS!$G15874="EX",1,IF(DATOS!$G15874="OR",--(COUNTIFS(nNIA,DATOS!$A15874,nCURSO,DATOS!$D15874,nESPEC,DATOS!$E15874,nASIG,DATOS!$I15874,nEVAL,"EX")=0),0))))</f>
      </c>
      <c r="H15874">
        <f>IF(DATOS!$G15874&lt;&gt;"EX",0,--(COUNTIFS(nNIA,DATOS!$A15874,nCURSO,DATOS!$D15874,nESPEC,DATOS!$E15874,nASIG,DATOS!$I15874,nEVAL,"OR")=0))</f>
      </c>
      <c r="I15874">
        <f>IF(DATOS!$I15874="","",IFERROR(VLOOKUP(DATOS!$I15874,CONFIG_ASIGNATURAS!$B$2:$J$91,9,FALSE()),""))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IF(DATOS!$A15875="",0,IF(CONFIG_METADATA!$B$4&lt;&gt;"OR+EX",--(DATOS!$G15875=CONFIG_METADATA!$B$4),IF(DATOS!$G15875="EX",1,IF(DATOS!$G15875="OR",--(COUNTIFS(nNIA,DATOS!$A15875,nCURSO,DATOS!$D15875,nESPEC,DATOS!$E15875,nASIG,DATOS!$I15875,nEVAL,"EX")=0),0))))</f>
      </c>
      <c r="H15875">
        <f>IF(DATOS!$G15875&lt;&gt;"EX",0,--(COUNTIFS(nNIA,DATOS!$A15875,nCURSO,DATOS!$D15875,nESPEC,DATOS!$E15875,nASIG,DATOS!$I15875,nEVAL,"OR")=0))</f>
      </c>
      <c r="I15875">
        <f>IF(DATOS!$I15875="","",IFERROR(VLOOKUP(DATOS!$I15875,CONFIG_ASIGNATURAS!$B$2:$J$91,9,FALSE()),""))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IF(DATOS!$A15876="",0,IF(CONFIG_METADATA!$B$4&lt;&gt;"OR+EX",--(DATOS!$G15876=CONFIG_METADATA!$B$4),IF(DATOS!$G15876="EX",1,IF(DATOS!$G15876="OR",--(COUNTIFS(nNIA,DATOS!$A15876,nCURSO,DATOS!$D15876,nESPEC,DATOS!$E15876,nASIG,DATOS!$I15876,nEVAL,"EX")=0),0))))</f>
      </c>
      <c r="H15876">
        <f>IF(DATOS!$G15876&lt;&gt;"EX",0,--(COUNTIFS(nNIA,DATOS!$A15876,nCURSO,DATOS!$D15876,nESPEC,DATOS!$E15876,nASIG,DATOS!$I15876,nEVAL,"OR")=0))</f>
      </c>
      <c r="I15876">
        <f>IF(DATOS!$I15876="","",IFERROR(VLOOKUP(DATOS!$I15876,CONFIG_ASIGNATURAS!$B$2:$J$91,9,FALSE()),""))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IF(DATOS!$A15877="",0,IF(CONFIG_METADATA!$B$4&lt;&gt;"OR+EX",--(DATOS!$G15877=CONFIG_METADATA!$B$4),IF(DATOS!$G15877="EX",1,IF(DATOS!$G15877="OR",--(COUNTIFS(nNIA,DATOS!$A15877,nCURSO,DATOS!$D15877,nESPEC,DATOS!$E15877,nASIG,DATOS!$I15877,nEVAL,"EX")=0),0))))</f>
      </c>
      <c r="H15877">
        <f>IF(DATOS!$G15877&lt;&gt;"EX",0,--(COUNTIFS(nNIA,DATOS!$A15877,nCURSO,DATOS!$D15877,nESPEC,DATOS!$E15877,nASIG,DATOS!$I15877,nEVAL,"OR")=0))</f>
      </c>
      <c r="I15877">
        <f>IF(DATOS!$I15877="","",IFERROR(VLOOKUP(DATOS!$I15877,CONFIG_ASIGNATURAS!$B$2:$J$91,9,FALSE()),""))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IF(DATOS!$A15878="",0,IF(CONFIG_METADATA!$B$4&lt;&gt;"OR+EX",--(DATOS!$G15878=CONFIG_METADATA!$B$4),IF(DATOS!$G15878="EX",1,IF(DATOS!$G15878="OR",--(COUNTIFS(nNIA,DATOS!$A15878,nCURSO,DATOS!$D15878,nESPEC,DATOS!$E15878,nASIG,DATOS!$I15878,nEVAL,"EX")=0),0))))</f>
      </c>
      <c r="H15878">
        <f>IF(DATOS!$G15878&lt;&gt;"EX",0,--(COUNTIFS(nNIA,DATOS!$A15878,nCURSO,DATOS!$D15878,nESPEC,DATOS!$E15878,nASIG,DATOS!$I15878,nEVAL,"OR")=0))</f>
      </c>
      <c r="I15878">
        <f>IF(DATOS!$I15878="","",IFERROR(VLOOKUP(DATOS!$I15878,CONFIG_ASIGNATURAS!$B$2:$J$91,9,FALSE()),""))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IF(DATOS!$A15879="",0,IF(CONFIG_METADATA!$B$4&lt;&gt;"OR+EX",--(DATOS!$G15879=CONFIG_METADATA!$B$4),IF(DATOS!$G15879="EX",1,IF(DATOS!$G15879="OR",--(COUNTIFS(nNIA,DATOS!$A15879,nCURSO,DATOS!$D15879,nESPEC,DATOS!$E15879,nASIG,DATOS!$I15879,nEVAL,"EX")=0),0))))</f>
      </c>
      <c r="H15879">
        <f>IF(DATOS!$G15879&lt;&gt;"EX",0,--(COUNTIFS(nNIA,DATOS!$A15879,nCURSO,DATOS!$D15879,nESPEC,DATOS!$E15879,nASIG,DATOS!$I15879,nEVAL,"OR")=0))</f>
      </c>
      <c r="I15879">
        <f>IF(DATOS!$I15879="","",IFERROR(VLOOKUP(DATOS!$I15879,CONFIG_ASIGNATURAS!$B$2:$J$91,9,FALSE()),""))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IF(DATOS!$A15880="",0,IF(CONFIG_METADATA!$B$4&lt;&gt;"OR+EX",--(DATOS!$G15880=CONFIG_METADATA!$B$4),IF(DATOS!$G15880="EX",1,IF(DATOS!$G15880="OR",--(COUNTIFS(nNIA,DATOS!$A15880,nCURSO,DATOS!$D15880,nESPEC,DATOS!$E15880,nASIG,DATOS!$I15880,nEVAL,"EX")=0),0))))</f>
      </c>
      <c r="H15880">
        <f>IF(DATOS!$G15880&lt;&gt;"EX",0,--(COUNTIFS(nNIA,DATOS!$A15880,nCURSO,DATOS!$D15880,nESPEC,DATOS!$E15880,nASIG,DATOS!$I15880,nEVAL,"OR")=0))</f>
      </c>
      <c r="I15880">
        <f>IF(DATOS!$I15880="","",IFERROR(VLOOKUP(DATOS!$I15880,CONFIG_ASIGNATURAS!$B$2:$J$91,9,FALSE()),""))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IF(DATOS!$A15881="",0,IF(CONFIG_METADATA!$B$4&lt;&gt;"OR+EX",--(DATOS!$G15881=CONFIG_METADATA!$B$4),IF(DATOS!$G15881="EX",1,IF(DATOS!$G15881="OR",--(COUNTIFS(nNIA,DATOS!$A15881,nCURSO,DATOS!$D15881,nESPEC,DATOS!$E15881,nASIG,DATOS!$I15881,nEVAL,"EX")=0),0))))</f>
      </c>
      <c r="H15881">
        <f>IF(DATOS!$G15881&lt;&gt;"EX",0,--(COUNTIFS(nNIA,DATOS!$A15881,nCURSO,DATOS!$D15881,nESPEC,DATOS!$E15881,nASIG,DATOS!$I15881,nEVAL,"OR")=0))</f>
      </c>
      <c r="I15881">
        <f>IF(DATOS!$I15881="","",IFERROR(VLOOKUP(DATOS!$I15881,CONFIG_ASIGNATURAS!$B$2:$J$91,9,FALSE()),""))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IF(DATOS!$A15882="",0,IF(CONFIG_METADATA!$B$4&lt;&gt;"OR+EX",--(DATOS!$G15882=CONFIG_METADATA!$B$4),IF(DATOS!$G15882="EX",1,IF(DATOS!$G15882="OR",--(COUNTIFS(nNIA,DATOS!$A15882,nCURSO,DATOS!$D15882,nESPEC,DATOS!$E15882,nASIG,DATOS!$I15882,nEVAL,"EX")=0),0))))</f>
      </c>
      <c r="H15882">
        <f>IF(DATOS!$G15882&lt;&gt;"EX",0,--(COUNTIFS(nNIA,DATOS!$A15882,nCURSO,DATOS!$D15882,nESPEC,DATOS!$E15882,nASIG,DATOS!$I15882,nEVAL,"OR")=0))</f>
      </c>
      <c r="I15882">
        <f>IF(DATOS!$I15882="","",IFERROR(VLOOKUP(DATOS!$I15882,CONFIG_ASIGNATURAS!$B$2:$J$91,9,FALSE()),""))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IF(DATOS!$A15883="",0,IF(CONFIG_METADATA!$B$4&lt;&gt;"OR+EX",--(DATOS!$G15883=CONFIG_METADATA!$B$4),IF(DATOS!$G15883="EX",1,IF(DATOS!$G15883="OR",--(COUNTIFS(nNIA,DATOS!$A15883,nCURSO,DATOS!$D15883,nESPEC,DATOS!$E15883,nASIG,DATOS!$I15883,nEVAL,"EX")=0),0))))</f>
      </c>
      <c r="H15883">
        <f>IF(DATOS!$G15883&lt;&gt;"EX",0,--(COUNTIFS(nNIA,DATOS!$A15883,nCURSO,DATOS!$D15883,nESPEC,DATOS!$E15883,nASIG,DATOS!$I15883,nEVAL,"OR")=0))</f>
      </c>
      <c r="I15883">
        <f>IF(DATOS!$I15883="","",IFERROR(VLOOKUP(DATOS!$I15883,CONFIG_ASIGNATURAS!$B$2:$J$91,9,FALSE()),""))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IF(DATOS!$A15884="",0,IF(CONFIG_METADATA!$B$4&lt;&gt;"OR+EX",--(DATOS!$G15884=CONFIG_METADATA!$B$4),IF(DATOS!$G15884="EX",1,IF(DATOS!$G15884="OR",--(COUNTIFS(nNIA,DATOS!$A15884,nCURSO,DATOS!$D15884,nESPEC,DATOS!$E15884,nASIG,DATOS!$I15884,nEVAL,"EX")=0),0))))</f>
      </c>
      <c r="H15884">
        <f>IF(DATOS!$G15884&lt;&gt;"EX",0,--(COUNTIFS(nNIA,DATOS!$A15884,nCURSO,DATOS!$D15884,nESPEC,DATOS!$E15884,nASIG,DATOS!$I15884,nEVAL,"OR")=0))</f>
      </c>
      <c r="I15884">
        <f>IF(DATOS!$I15884="","",IFERROR(VLOOKUP(DATOS!$I15884,CONFIG_ASIGNATURAS!$B$2:$J$91,9,FALSE()),""))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IF(DATOS!$A15885="",0,IF(CONFIG_METADATA!$B$4&lt;&gt;"OR+EX",--(DATOS!$G15885=CONFIG_METADATA!$B$4),IF(DATOS!$G15885="EX",1,IF(DATOS!$G15885="OR",--(COUNTIFS(nNIA,DATOS!$A15885,nCURSO,DATOS!$D15885,nESPEC,DATOS!$E15885,nASIG,DATOS!$I15885,nEVAL,"EX")=0),0))))</f>
      </c>
      <c r="H15885">
        <f>IF(DATOS!$G15885&lt;&gt;"EX",0,--(COUNTIFS(nNIA,DATOS!$A15885,nCURSO,DATOS!$D15885,nESPEC,DATOS!$E15885,nASIG,DATOS!$I15885,nEVAL,"OR")=0))</f>
      </c>
      <c r="I15885">
        <f>IF(DATOS!$I15885="","",IFERROR(VLOOKUP(DATOS!$I15885,CONFIG_ASIGNATURAS!$B$2:$J$91,9,FALSE()),""))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IF(DATOS!$A15886="",0,IF(CONFIG_METADATA!$B$4&lt;&gt;"OR+EX",--(DATOS!$G15886=CONFIG_METADATA!$B$4),IF(DATOS!$G15886="EX",1,IF(DATOS!$G15886="OR",--(COUNTIFS(nNIA,DATOS!$A15886,nCURSO,DATOS!$D15886,nESPEC,DATOS!$E15886,nASIG,DATOS!$I15886,nEVAL,"EX")=0),0))))</f>
      </c>
      <c r="H15886">
        <f>IF(DATOS!$G15886&lt;&gt;"EX",0,--(COUNTIFS(nNIA,DATOS!$A15886,nCURSO,DATOS!$D15886,nESPEC,DATOS!$E15886,nASIG,DATOS!$I15886,nEVAL,"OR")=0))</f>
      </c>
      <c r="I15886">
        <f>IF(DATOS!$I15886="","",IFERROR(VLOOKUP(DATOS!$I15886,CONFIG_ASIGNATURAS!$B$2:$J$91,9,FALSE()),""))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IF(DATOS!$A15887="",0,IF(CONFIG_METADATA!$B$4&lt;&gt;"OR+EX",--(DATOS!$G15887=CONFIG_METADATA!$B$4),IF(DATOS!$G15887="EX",1,IF(DATOS!$G15887="OR",--(COUNTIFS(nNIA,DATOS!$A15887,nCURSO,DATOS!$D15887,nESPEC,DATOS!$E15887,nASIG,DATOS!$I15887,nEVAL,"EX")=0),0))))</f>
      </c>
      <c r="H15887">
        <f>IF(DATOS!$G15887&lt;&gt;"EX",0,--(COUNTIFS(nNIA,DATOS!$A15887,nCURSO,DATOS!$D15887,nESPEC,DATOS!$E15887,nASIG,DATOS!$I15887,nEVAL,"OR")=0))</f>
      </c>
      <c r="I15887">
        <f>IF(DATOS!$I15887="","",IFERROR(VLOOKUP(DATOS!$I15887,CONFIG_ASIGNATURAS!$B$2:$J$91,9,FALSE()),""))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IF(DATOS!$A15888="",0,IF(CONFIG_METADATA!$B$4&lt;&gt;"OR+EX",--(DATOS!$G15888=CONFIG_METADATA!$B$4),IF(DATOS!$G15888="EX",1,IF(DATOS!$G15888="OR",--(COUNTIFS(nNIA,DATOS!$A15888,nCURSO,DATOS!$D15888,nESPEC,DATOS!$E15888,nASIG,DATOS!$I15888,nEVAL,"EX")=0),0))))</f>
      </c>
      <c r="H15888">
        <f>IF(DATOS!$G15888&lt;&gt;"EX",0,--(COUNTIFS(nNIA,DATOS!$A15888,nCURSO,DATOS!$D15888,nESPEC,DATOS!$E15888,nASIG,DATOS!$I15888,nEVAL,"OR")=0))</f>
      </c>
      <c r="I15888">
        <f>IF(DATOS!$I15888="","",IFERROR(VLOOKUP(DATOS!$I15888,CONFIG_ASIGNATURAS!$B$2:$J$91,9,FALSE()),""))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IF(DATOS!$A15889="",0,IF(CONFIG_METADATA!$B$4&lt;&gt;"OR+EX",--(DATOS!$G15889=CONFIG_METADATA!$B$4),IF(DATOS!$G15889="EX",1,IF(DATOS!$G15889="OR",--(COUNTIFS(nNIA,DATOS!$A15889,nCURSO,DATOS!$D15889,nESPEC,DATOS!$E15889,nASIG,DATOS!$I15889,nEVAL,"EX")=0),0))))</f>
      </c>
      <c r="H15889">
        <f>IF(DATOS!$G15889&lt;&gt;"EX",0,--(COUNTIFS(nNIA,DATOS!$A15889,nCURSO,DATOS!$D15889,nESPEC,DATOS!$E15889,nASIG,DATOS!$I15889,nEVAL,"OR")=0))</f>
      </c>
      <c r="I15889">
        <f>IF(DATOS!$I15889="","",IFERROR(VLOOKUP(DATOS!$I15889,CONFIG_ASIGNATURAS!$B$2:$J$91,9,FALSE()),""))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IF(DATOS!$A15890="",0,IF(CONFIG_METADATA!$B$4&lt;&gt;"OR+EX",--(DATOS!$G15890=CONFIG_METADATA!$B$4),IF(DATOS!$G15890="EX",1,IF(DATOS!$G15890="OR",--(COUNTIFS(nNIA,DATOS!$A15890,nCURSO,DATOS!$D15890,nESPEC,DATOS!$E15890,nASIG,DATOS!$I15890,nEVAL,"EX")=0),0))))</f>
      </c>
      <c r="H15890">
        <f>IF(DATOS!$G15890&lt;&gt;"EX",0,--(COUNTIFS(nNIA,DATOS!$A15890,nCURSO,DATOS!$D15890,nESPEC,DATOS!$E15890,nASIG,DATOS!$I15890,nEVAL,"OR")=0))</f>
      </c>
      <c r="I15890">
        <f>IF(DATOS!$I15890="","",IFERROR(VLOOKUP(DATOS!$I15890,CONFIG_ASIGNATURAS!$B$2:$J$91,9,FALSE()),""))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IF(DATOS!$A15891="",0,IF(CONFIG_METADATA!$B$4&lt;&gt;"OR+EX",--(DATOS!$G15891=CONFIG_METADATA!$B$4),IF(DATOS!$G15891="EX",1,IF(DATOS!$G15891="OR",--(COUNTIFS(nNIA,DATOS!$A15891,nCURSO,DATOS!$D15891,nESPEC,DATOS!$E15891,nASIG,DATOS!$I15891,nEVAL,"EX")=0),0))))</f>
      </c>
      <c r="H15891">
        <f>IF(DATOS!$G15891&lt;&gt;"EX",0,--(COUNTIFS(nNIA,DATOS!$A15891,nCURSO,DATOS!$D15891,nESPEC,DATOS!$E15891,nASIG,DATOS!$I15891,nEVAL,"OR")=0))</f>
      </c>
      <c r="I15891">
        <f>IF(DATOS!$I15891="","",IFERROR(VLOOKUP(DATOS!$I15891,CONFIG_ASIGNATURAS!$B$2:$J$91,9,FALSE()),""))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IF(DATOS!$A15892="",0,IF(CONFIG_METADATA!$B$4&lt;&gt;"OR+EX",--(DATOS!$G15892=CONFIG_METADATA!$B$4),IF(DATOS!$G15892="EX",1,IF(DATOS!$G15892="OR",--(COUNTIFS(nNIA,DATOS!$A15892,nCURSO,DATOS!$D15892,nESPEC,DATOS!$E15892,nASIG,DATOS!$I15892,nEVAL,"EX")=0),0))))</f>
      </c>
      <c r="H15892">
        <f>IF(DATOS!$G15892&lt;&gt;"EX",0,--(COUNTIFS(nNIA,DATOS!$A15892,nCURSO,DATOS!$D15892,nESPEC,DATOS!$E15892,nASIG,DATOS!$I15892,nEVAL,"OR")=0))</f>
      </c>
      <c r="I15892">
        <f>IF(DATOS!$I15892="","",IFERROR(VLOOKUP(DATOS!$I15892,CONFIG_ASIGNATURAS!$B$2:$J$91,9,FALSE()),""))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IF(DATOS!$A15893="",0,IF(CONFIG_METADATA!$B$4&lt;&gt;"OR+EX",--(DATOS!$G15893=CONFIG_METADATA!$B$4),IF(DATOS!$G15893="EX",1,IF(DATOS!$G15893="OR",--(COUNTIFS(nNIA,DATOS!$A15893,nCURSO,DATOS!$D15893,nESPEC,DATOS!$E15893,nASIG,DATOS!$I15893,nEVAL,"EX")=0),0))))</f>
      </c>
      <c r="H15893">
        <f>IF(DATOS!$G15893&lt;&gt;"EX",0,--(COUNTIFS(nNIA,DATOS!$A15893,nCURSO,DATOS!$D15893,nESPEC,DATOS!$E15893,nASIG,DATOS!$I15893,nEVAL,"OR")=0))</f>
      </c>
      <c r="I15893">
        <f>IF(DATOS!$I15893="","",IFERROR(VLOOKUP(DATOS!$I15893,CONFIG_ASIGNATURAS!$B$2:$J$91,9,FALSE()),""))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IF(DATOS!$A15894="",0,IF(CONFIG_METADATA!$B$4&lt;&gt;"OR+EX",--(DATOS!$G15894=CONFIG_METADATA!$B$4),IF(DATOS!$G15894="EX",1,IF(DATOS!$G15894="OR",--(COUNTIFS(nNIA,DATOS!$A15894,nCURSO,DATOS!$D15894,nESPEC,DATOS!$E15894,nASIG,DATOS!$I15894,nEVAL,"EX")=0),0))))</f>
      </c>
      <c r="H15894">
        <f>IF(DATOS!$G15894&lt;&gt;"EX",0,--(COUNTIFS(nNIA,DATOS!$A15894,nCURSO,DATOS!$D15894,nESPEC,DATOS!$E15894,nASIG,DATOS!$I15894,nEVAL,"OR")=0))</f>
      </c>
      <c r="I15894">
        <f>IF(DATOS!$I15894="","",IFERROR(VLOOKUP(DATOS!$I15894,CONFIG_ASIGNATURAS!$B$2:$J$91,9,FALSE()),""))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IF(DATOS!$A15895="",0,IF(CONFIG_METADATA!$B$4&lt;&gt;"OR+EX",--(DATOS!$G15895=CONFIG_METADATA!$B$4),IF(DATOS!$G15895="EX",1,IF(DATOS!$G15895="OR",--(COUNTIFS(nNIA,DATOS!$A15895,nCURSO,DATOS!$D15895,nESPEC,DATOS!$E15895,nASIG,DATOS!$I15895,nEVAL,"EX")=0),0))))</f>
      </c>
      <c r="H15895">
        <f>IF(DATOS!$G15895&lt;&gt;"EX",0,--(COUNTIFS(nNIA,DATOS!$A15895,nCURSO,DATOS!$D15895,nESPEC,DATOS!$E15895,nASIG,DATOS!$I15895,nEVAL,"OR")=0))</f>
      </c>
      <c r="I15895">
        <f>IF(DATOS!$I15895="","",IFERROR(VLOOKUP(DATOS!$I15895,CONFIG_ASIGNATURAS!$B$2:$J$91,9,FALSE()),""))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IF(DATOS!$A15896="",0,IF(CONFIG_METADATA!$B$4&lt;&gt;"OR+EX",--(DATOS!$G15896=CONFIG_METADATA!$B$4),IF(DATOS!$G15896="EX",1,IF(DATOS!$G15896="OR",--(COUNTIFS(nNIA,DATOS!$A15896,nCURSO,DATOS!$D15896,nESPEC,DATOS!$E15896,nASIG,DATOS!$I15896,nEVAL,"EX")=0),0))))</f>
      </c>
      <c r="H15896">
        <f>IF(DATOS!$G15896&lt;&gt;"EX",0,--(COUNTIFS(nNIA,DATOS!$A15896,nCURSO,DATOS!$D15896,nESPEC,DATOS!$E15896,nASIG,DATOS!$I15896,nEVAL,"OR")=0))</f>
      </c>
      <c r="I15896">
        <f>IF(DATOS!$I15896="","",IFERROR(VLOOKUP(DATOS!$I15896,CONFIG_ASIGNATURAS!$B$2:$J$91,9,FALSE()),""))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IF(DATOS!$A15897="",0,IF(CONFIG_METADATA!$B$4&lt;&gt;"OR+EX",--(DATOS!$G15897=CONFIG_METADATA!$B$4),IF(DATOS!$G15897="EX",1,IF(DATOS!$G15897="OR",--(COUNTIFS(nNIA,DATOS!$A15897,nCURSO,DATOS!$D15897,nESPEC,DATOS!$E15897,nASIG,DATOS!$I15897,nEVAL,"EX")=0),0))))</f>
      </c>
      <c r="H15897">
        <f>IF(DATOS!$G15897&lt;&gt;"EX",0,--(COUNTIFS(nNIA,DATOS!$A15897,nCURSO,DATOS!$D15897,nESPEC,DATOS!$E15897,nASIG,DATOS!$I15897,nEVAL,"OR")=0))</f>
      </c>
      <c r="I15897">
        <f>IF(DATOS!$I15897="","",IFERROR(VLOOKUP(DATOS!$I15897,CONFIG_ASIGNATURAS!$B$2:$J$91,9,FALSE()),""))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IF(DATOS!$A15898="",0,IF(CONFIG_METADATA!$B$4&lt;&gt;"OR+EX",--(DATOS!$G15898=CONFIG_METADATA!$B$4),IF(DATOS!$G15898="EX",1,IF(DATOS!$G15898="OR",--(COUNTIFS(nNIA,DATOS!$A15898,nCURSO,DATOS!$D15898,nESPEC,DATOS!$E15898,nASIG,DATOS!$I15898,nEVAL,"EX")=0),0))))</f>
      </c>
      <c r="H15898">
        <f>IF(DATOS!$G15898&lt;&gt;"EX",0,--(COUNTIFS(nNIA,DATOS!$A15898,nCURSO,DATOS!$D15898,nESPEC,DATOS!$E15898,nASIG,DATOS!$I15898,nEVAL,"OR")=0))</f>
      </c>
      <c r="I15898">
        <f>IF(DATOS!$I15898="","",IFERROR(VLOOKUP(DATOS!$I15898,CONFIG_ASIGNATURAS!$B$2:$J$91,9,FALSE()),""))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IF(DATOS!$A15899="",0,IF(CONFIG_METADATA!$B$4&lt;&gt;"OR+EX",--(DATOS!$G15899=CONFIG_METADATA!$B$4),IF(DATOS!$G15899="EX",1,IF(DATOS!$G15899="OR",--(COUNTIFS(nNIA,DATOS!$A15899,nCURSO,DATOS!$D15899,nESPEC,DATOS!$E15899,nASIG,DATOS!$I15899,nEVAL,"EX")=0),0))))</f>
      </c>
      <c r="H15899">
        <f>IF(DATOS!$G15899&lt;&gt;"EX",0,--(COUNTIFS(nNIA,DATOS!$A15899,nCURSO,DATOS!$D15899,nESPEC,DATOS!$E15899,nASIG,DATOS!$I15899,nEVAL,"OR")=0))</f>
      </c>
      <c r="I15899">
        <f>IF(DATOS!$I15899="","",IFERROR(VLOOKUP(DATOS!$I15899,CONFIG_ASIGNATURAS!$B$2:$J$91,9,FALSE()),""))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IF(DATOS!$A15900="",0,IF(CONFIG_METADATA!$B$4&lt;&gt;"OR+EX",--(DATOS!$G15900=CONFIG_METADATA!$B$4),IF(DATOS!$G15900="EX",1,IF(DATOS!$G15900="OR",--(COUNTIFS(nNIA,DATOS!$A15900,nCURSO,DATOS!$D15900,nESPEC,DATOS!$E15900,nASIG,DATOS!$I15900,nEVAL,"EX")=0),0))))</f>
      </c>
      <c r="H15900">
        <f>IF(DATOS!$G15900&lt;&gt;"EX",0,--(COUNTIFS(nNIA,DATOS!$A15900,nCURSO,DATOS!$D15900,nESPEC,DATOS!$E15900,nASIG,DATOS!$I15900,nEVAL,"OR")=0))</f>
      </c>
      <c r="I15900">
        <f>IF(DATOS!$I15900="","",IFERROR(VLOOKUP(DATOS!$I15900,CONFIG_ASIGNATURAS!$B$2:$J$91,9,FALSE()),""))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IF(DATOS!$A15901="",0,IF(CONFIG_METADATA!$B$4&lt;&gt;"OR+EX",--(DATOS!$G15901=CONFIG_METADATA!$B$4),IF(DATOS!$G15901="EX",1,IF(DATOS!$G15901="OR",--(COUNTIFS(nNIA,DATOS!$A15901,nCURSO,DATOS!$D15901,nESPEC,DATOS!$E15901,nASIG,DATOS!$I15901,nEVAL,"EX")=0),0))))</f>
      </c>
      <c r="H15901">
        <f>IF(DATOS!$G15901&lt;&gt;"EX",0,--(COUNTIFS(nNIA,DATOS!$A15901,nCURSO,DATOS!$D15901,nESPEC,DATOS!$E15901,nASIG,DATOS!$I15901,nEVAL,"OR")=0))</f>
      </c>
      <c r="I15901">
        <f>IF(DATOS!$I15901="","",IFERROR(VLOOKUP(DATOS!$I15901,CONFIG_ASIGNATURAS!$B$2:$J$91,9,FALSE()),""))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IF(DATOS!$A15902="",0,IF(CONFIG_METADATA!$B$4&lt;&gt;"OR+EX",--(DATOS!$G15902=CONFIG_METADATA!$B$4),IF(DATOS!$G15902="EX",1,IF(DATOS!$G15902="OR",--(COUNTIFS(nNIA,DATOS!$A15902,nCURSO,DATOS!$D15902,nESPEC,DATOS!$E15902,nASIG,DATOS!$I15902,nEVAL,"EX")=0),0))))</f>
      </c>
      <c r="H15902">
        <f>IF(DATOS!$G15902&lt;&gt;"EX",0,--(COUNTIFS(nNIA,DATOS!$A15902,nCURSO,DATOS!$D15902,nESPEC,DATOS!$E15902,nASIG,DATOS!$I15902,nEVAL,"OR")=0))</f>
      </c>
      <c r="I15902">
        <f>IF(DATOS!$I15902="","",IFERROR(VLOOKUP(DATOS!$I15902,CONFIG_ASIGNATURAS!$B$2:$J$91,9,FALSE()),""))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IF(DATOS!$A15903="",0,IF(CONFIG_METADATA!$B$4&lt;&gt;"OR+EX",--(DATOS!$G15903=CONFIG_METADATA!$B$4),IF(DATOS!$G15903="EX",1,IF(DATOS!$G15903="OR",--(COUNTIFS(nNIA,DATOS!$A15903,nCURSO,DATOS!$D15903,nESPEC,DATOS!$E15903,nASIG,DATOS!$I15903,nEVAL,"EX")=0),0))))</f>
      </c>
      <c r="H15903">
        <f>IF(DATOS!$G15903&lt;&gt;"EX",0,--(COUNTIFS(nNIA,DATOS!$A15903,nCURSO,DATOS!$D15903,nESPEC,DATOS!$E15903,nASIG,DATOS!$I15903,nEVAL,"OR")=0))</f>
      </c>
      <c r="I15903">
        <f>IF(DATOS!$I15903="","",IFERROR(VLOOKUP(DATOS!$I15903,CONFIG_ASIGNATURAS!$B$2:$J$91,9,FALSE()),""))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IF(DATOS!$A15904="",0,IF(CONFIG_METADATA!$B$4&lt;&gt;"OR+EX",--(DATOS!$G15904=CONFIG_METADATA!$B$4),IF(DATOS!$G15904="EX",1,IF(DATOS!$G15904="OR",--(COUNTIFS(nNIA,DATOS!$A15904,nCURSO,DATOS!$D15904,nESPEC,DATOS!$E15904,nASIG,DATOS!$I15904,nEVAL,"EX")=0),0))))</f>
      </c>
      <c r="H15904">
        <f>IF(DATOS!$G15904&lt;&gt;"EX",0,--(COUNTIFS(nNIA,DATOS!$A15904,nCURSO,DATOS!$D15904,nESPEC,DATOS!$E15904,nASIG,DATOS!$I15904,nEVAL,"OR")=0))</f>
      </c>
      <c r="I15904">
        <f>IF(DATOS!$I15904="","",IFERROR(VLOOKUP(DATOS!$I15904,CONFIG_ASIGNATURAS!$B$2:$J$91,9,FALSE()),""))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IF(DATOS!$A15905="",0,IF(CONFIG_METADATA!$B$4&lt;&gt;"OR+EX",--(DATOS!$G15905=CONFIG_METADATA!$B$4),IF(DATOS!$G15905="EX",1,IF(DATOS!$G15905="OR",--(COUNTIFS(nNIA,DATOS!$A15905,nCURSO,DATOS!$D15905,nESPEC,DATOS!$E15905,nASIG,DATOS!$I15905,nEVAL,"EX")=0),0))))</f>
      </c>
      <c r="H15905">
        <f>IF(DATOS!$G15905&lt;&gt;"EX",0,--(COUNTIFS(nNIA,DATOS!$A15905,nCURSO,DATOS!$D15905,nESPEC,DATOS!$E15905,nASIG,DATOS!$I15905,nEVAL,"OR")=0))</f>
      </c>
      <c r="I15905">
        <f>IF(DATOS!$I15905="","",IFERROR(VLOOKUP(DATOS!$I15905,CONFIG_ASIGNATURAS!$B$2:$J$91,9,FALSE()),""))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IF(DATOS!$A15906="",0,IF(CONFIG_METADATA!$B$4&lt;&gt;"OR+EX",--(DATOS!$G15906=CONFIG_METADATA!$B$4),IF(DATOS!$G15906="EX",1,IF(DATOS!$G15906="OR",--(COUNTIFS(nNIA,DATOS!$A15906,nCURSO,DATOS!$D15906,nESPEC,DATOS!$E15906,nASIG,DATOS!$I15906,nEVAL,"EX")=0),0))))</f>
      </c>
      <c r="H15906">
        <f>IF(DATOS!$G15906&lt;&gt;"EX",0,--(COUNTIFS(nNIA,DATOS!$A15906,nCURSO,DATOS!$D15906,nESPEC,DATOS!$E15906,nASIG,DATOS!$I15906,nEVAL,"OR")=0))</f>
      </c>
      <c r="I15906">
        <f>IF(DATOS!$I15906="","",IFERROR(VLOOKUP(DATOS!$I15906,CONFIG_ASIGNATURAS!$B$2:$J$91,9,FALSE()),""))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IF(DATOS!$A15907="",0,IF(CONFIG_METADATA!$B$4&lt;&gt;"OR+EX",--(DATOS!$G15907=CONFIG_METADATA!$B$4),IF(DATOS!$G15907="EX",1,IF(DATOS!$G15907="OR",--(COUNTIFS(nNIA,DATOS!$A15907,nCURSO,DATOS!$D15907,nESPEC,DATOS!$E15907,nASIG,DATOS!$I15907,nEVAL,"EX")=0),0))))</f>
      </c>
      <c r="H15907">
        <f>IF(DATOS!$G15907&lt;&gt;"EX",0,--(COUNTIFS(nNIA,DATOS!$A15907,nCURSO,DATOS!$D15907,nESPEC,DATOS!$E15907,nASIG,DATOS!$I15907,nEVAL,"OR")=0))</f>
      </c>
      <c r="I15907">
        <f>IF(DATOS!$I15907="","",IFERROR(VLOOKUP(DATOS!$I15907,CONFIG_ASIGNATURAS!$B$2:$J$91,9,FALSE()),""))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IF(DATOS!$A15908="",0,IF(CONFIG_METADATA!$B$4&lt;&gt;"OR+EX",--(DATOS!$G15908=CONFIG_METADATA!$B$4),IF(DATOS!$G15908="EX",1,IF(DATOS!$G15908="OR",--(COUNTIFS(nNIA,DATOS!$A15908,nCURSO,DATOS!$D15908,nESPEC,DATOS!$E15908,nASIG,DATOS!$I15908,nEVAL,"EX")=0),0))))</f>
      </c>
      <c r="H15908">
        <f>IF(DATOS!$G15908&lt;&gt;"EX",0,--(COUNTIFS(nNIA,DATOS!$A15908,nCURSO,DATOS!$D15908,nESPEC,DATOS!$E15908,nASIG,DATOS!$I15908,nEVAL,"OR")=0))</f>
      </c>
      <c r="I15908">
        <f>IF(DATOS!$I15908="","",IFERROR(VLOOKUP(DATOS!$I15908,CONFIG_ASIGNATURAS!$B$2:$J$91,9,FALSE()),""))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IF(DATOS!$A15909="",0,IF(CONFIG_METADATA!$B$4&lt;&gt;"OR+EX",--(DATOS!$G15909=CONFIG_METADATA!$B$4),IF(DATOS!$G15909="EX",1,IF(DATOS!$G15909="OR",--(COUNTIFS(nNIA,DATOS!$A15909,nCURSO,DATOS!$D15909,nESPEC,DATOS!$E15909,nASIG,DATOS!$I15909,nEVAL,"EX")=0),0))))</f>
      </c>
      <c r="H15909">
        <f>IF(DATOS!$G15909&lt;&gt;"EX",0,--(COUNTIFS(nNIA,DATOS!$A15909,nCURSO,DATOS!$D15909,nESPEC,DATOS!$E15909,nASIG,DATOS!$I15909,nEVAL,"OR")=0))</f>
      </c>
      <c r="I15909">
        <f>IF(DATOS!$I15909="","",IFERROR(VLOOKUP(DATOS!$I15909,CONFIG_ASIGNATURAS!$B$2:$J$91,9,FALSE()),""))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IF(DATOS!$A15910="",0,IF(CONFIG_METADATA!$B$4&lt;&gt;"OR+EX",--(DATOS!$G15910=CONFIG_METADATA!$B$4),IF(DATOS!$G15910="EX",1,IF(DATOS!$G15910="OR",--(COUNTIFS(nNIA,DATOS!$A15910,nCURSO,DATOS!$D15910,nESPEC,DATOS!$E15910,nASIG,DATOS!$I15910,nEVAL,"EX")=0),0))))</f>
      </c>
      <c r="H15910">
        <f>IF(DATOS!$G15910&lt;&gt;"EX",0,--(COUNTIFS(nNIA,DATOS!$A15910,nCURSO,DATOS!$D15910,nESPEC,DATOS!$E15910,nASIG,DATOS!$I15910,nEVAL,"OR")=0))</f>
      </c>
      <c r="I15910">
        <f>IF(DATOS!$I15910="","",IFERROR(VLOOKUP(DATOS!$I15910,CONFIG_ASIGNATURAS!$B$2:$J$91,9,FALSE()),""))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IF(DATOS!$A15911="",0,IF(CONFIG_METADATA!$B$4&lt;&gt;"OR+EX",--(DATOS!$G15911=CONFIG_METADATA!$B$4),IF(DATOS!$G15911="EX",1,IF(DATOS!$G15911="OR",--(COUNTIFS(nNIA,DATOS!$A15911,nCURSO,DATOS!$D15911,nESPEC,DATOS!$E15911,nASIG,DATOS!$I15911,nEVAL,"EX")=0),0))))</f>
      </c>
      <c r="H15911">
        <f>IF(DATOS!$G15911&lt;&gt;"EX",0,--(COUNTIFS(nNIA,DATOS!$A15911,nCURSO,DATOS!$D15911,nESPEC,DATOS!$E15911,nASIG,DATOS!$I15911,nEVAL,"OR")=0))</f>
      </c>
      <c r="I15911">
        <f>IF(DATOS!$I15911="","",IFERROR(VLOOKUP(DATOS!$I15911,CONFIG_ASIGNATURAS!$B$2:$J$91,9,FALSE()),""))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IF(DATOS!$A15912="",0,IF(CONFIG_METADATA!$B$4&lt;&gt;"OR+EX",--(DATOS!$G15912=CONFIG_METADATA!$B$4),IF(DATOS!$G15912="EX",1,IF(DATOS!$G15912="OR",--(COUNTIFS(nNIA,DATOS!$A15912,nCURSO,DATOS!$D15912,nESPEC,DATOS!$E15912,nASIG,DATOS!$I15912,nEVAL,"EX")=0),0))))</f>
      </c>
      <c r="H15912">
        <f>IF(DATOS!$G15912&lt;&gt;"EX",0,--(COUNTIFS(nNIA,DATOS!$A15912,nCURSO,DATOS!$D15912,nESPEC,DATOS!$E15912,nASIG,DATOS!$I15912,nEVAL,"OR")=0))</f>
      </c>
      <c r="I15912">
        <f>IF(DATOS!$I15912="","",IFERROR(VLOOKUP(DATOS!$I15912,CONFIG_ASIGNATURAS!$B$2:$J$91,9,FALSE()),""))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IF(DATOS!$A15913="",0,IF(CONFIG_METADATA!$B$4&lt;&gt;"OR+EX",--(DATOS!$G15913=CONFIG_METADATA!$B$4),IF(DATOS!$G15913="EX",1,IF(DATOS!$G15913="OR",--(COUNTIFS(nNIA,DATOS!$A15913,nCURSO,DATOS!$D15913,nESPEC,DATOS!$E15913,nASIG,DATOS!$I15913,nEVAL,"EX")=0),0))))</f>
      </c>
      <c r="H15913">
        <f>IF(DATOS!$G15913&lt;&gt;"EX",0,--(COUNTIFS(nNIA,DATOS!$A15913,nCURSO,DATOS!$D15913,nESPEC,DATOS!$E15913,nASIG,DATOS!$I15913,nEVAL,"OR")=0))</f>
      </c>
      <c r="I15913">
        <f>IF(DATOS!$I15913="","",IFERROR(VLOOKUP(DATOS!$I15913,CONFIG_ASIGNATURAS!$B$2:$J$91,9,FALSE()),""))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IF(DATOS!$A15914="",0,IF(CONFIG_METADATA!$B$4&lt;&gt;"OR+EX",--(DATOS!$G15914=CONFIG_METADATA!$B$4),IF(DATOS!$G15914="EX",1,IF(DATOS!$G15914="OR",--(COUNTIFS(nNIA,DATOS!$A15914,nCURSO,DATOS!$D15914,nESPEC,DATOS!$E15914,nASIG,DATOS!$I15914,nEVAL,"EX")=0),0))))</f>
      </c>
      <c r="H15914">
        <f>IF(DATOS!$G15914&lt;&gt;"EX",0,--(COUNTIFS(nNIA,DATOS!$A15914,nCURSO,DATOS!$D15914,nESPEC,DATOS!$E15914,nASIG,DATOS!$I15914,nEVAL,"OR")=0))</f>
      </c>
      <c r="I15914">
        <f>IF(DATOS!$I15914="","",IFERROR(VLOOKUP(DATOS!$I15914,CONFIG_ASIGNATURAS!$B$2:$J$91,9,FALSE()),""))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IF(DATOS!$A15915="",0,IF(CONFIG_METADATA!$B$4&lt;&gt;"OR+EX",--(DATOS!$G15915=CONFIG_METADATA!$B$4),IF(DATOS!$G15915="EX",1,IF(DATOS!$G15915="OR",--(COUNTIFS(nNIA,DATOS!$A15915,nCURSO,DATOS!$D15915,nESPEC,DATOS!$E15915,nASIG,DATOS!$I15915,nEVAL,"EX")=0),0))))</f>
      </c>
      <c r="H15915">
        <f>IF(DATOS!$G15915&lt;&gt;"EX",0,--(COUNTIFS(nNIA,DATOS!$A15915,nCURSO,DATOS!$D15915,nESPEC,DATOS!$E15915,nASIG,DATOS!$I15915,nEVAL,"OR")=0))</f>
      </c>
      <c r="I15915">
        <f>IF(DATOS!$I15915="","",IFERROR(VLOOKUP(DATOS!$I15915,CONFIG_ASIGNATURAS!$B$2:$J$91,9,FALSE()),""))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IF(DATOS!$A15916="",0,IF(CONFIG_METADATA!$B$4&lt;&gt;"OR+EX",--(DATOS!$G15916=CONFIG_METADATA!$B$4),IF(DATOS!$G15916="EX",1,IF(DATOS!$G15916="OR",--(COUNTIFS(nNIA,DATOS!$A15916,nCURSO,DATOS!$D15916,nESPEC,DATOS!$E15916,nASIG,DATOS!$I15916,nEVAL,"EX")=0),0))))</f>
      </c>
      <c r="H15916">
        <f>IF(DATOS!$G15916&lt;&gt;"EX",0,--(COUNTIFS(nNIA,DATOS!$A15916,nCURSO,DATOS!$D15916,nESPEC,DATOS!$E15916,nASIG,DATOS!$I15916,nEVAL,"OR")=0))</f>
      </c>
      <c r="I15916">
        <f>IF(DATOS!$I15916="","",IFERROR(VLOOKUP(DATOS!$I15916,CONFIG_ASIGNATURAS!$B$2:$J$91,9,FALSE()),""))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IF(DATOS!$A15917="",0,IF(CONFIG_METADATA!$B$4&lt;&gt;"OR+EX",--(DATOS!$G15917=CONFIG_METADATA!$B$4),IF(DATOS!$G15917="EX",1,IF(DATOS!$G15917="OR",--(COUNTIFS(nNIA,DATOS!$A15917,nCURSO,DATOS!$D15917,nESPEC,DATOS!$E15917,nASIG,DATOS!$I15917,nEVAL,"EX")=0),0))))</f>
      </c>
      <c r="H15917">
        <f>IF(DATOS!$G15917&lt;&gt;"EX",0,--(COUNTIFS(nNIA,DATOS!$A15917,nCURSO,DATOS!$D15917,nESPEC,DATOS!$E15917,nASIG,DATOS!$I15917,nEVAL,"OR")=0))</f>
      </c>
      <c r="I15917">
        <f>IF(DATOS!$I15917="","",IFERROR(VLOOKUP(DATOS!$I15917,CONFIG_ASIGNATURAS!$B$2:$J$91,9,FALSE()),""))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IF(DATOS!$A15918="",0,IF(CONFIG_METADATA!$B$4&lt;&gt;"OR+EX",--(DATOS!$G15918=CONFIG_METADATA!$B$4),IF(DATOS!$G15918="EX",1,IF(DATOS!$G15918="OR",--(COUNTIFS(nNIA,DATOS!$A15918,nCURSO,DATOS!$D15918,nESPEC,DATOS!$E15918,nASIG,DATOS!$I15918,nEVAL,"EX")=0),0))))</f>
      </c>
      <c r="H15918">
        <f>IF(DATOS!$G15918&lt;&gt;"EX",0,--(COUNTIFS(nNIA,DATOS!$A15918,nCURSO,DATOS!$D15918,nESPEC,DATOS!$E15918,nASIG,DATOS!$I15918,nEVAL,"OR")=0))</f>
      </c>
      <c r="I15918">
        <f>IF(DATOS!$I15918="","",IFERROR(VLOOKUP(DATOS!$I15918,CONFIG_ASIGNATURAS!$B$2:$J$91,9,FALSE()),""))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IF(DATOS!$A15919="",0,IF(CONFIG_METADATA!$B$4&lt;&gt;"OR+EX",--(DATOS!$G15919=CONFIG_METADATA!$B$4),IF(DATOS!$G15919="EX",1,IF(DATOS!$G15919="OR",--(COUNTIFS(nNIA,DATOS!$A15919,nCURSO,DATOS!$D15919,nESPEC,DATOS!$E15919,nASIG,DATOS!$I15919,nEVAL,"EX")=0),0))))</f>
      </c>
      <c r="H15919">
        <f>IF(DATOS!$G15919&lt;&gt;"EX",0,--(COUNTIFS(nNIA,DATOS!$A15919,nCURSO,DATOS!$D15919,nESPEC,DATOS!$E15919,nASIG,DATOS!$I15919,nEVAL,"OR")=0))</f>
      </c>
      <c r="I15919">
        <f>IF(DATOS!$I15919="","",IFERROR(VLOOKUP(DATOS!$I15919,CONFIG_ASIGNATURAS!$B$2:$J$91,9,FALSE()),""))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IF(DATOS!$A15920="",0,IF(CONFIG_METADATA!$B$4&lt;&gt;"OR+EX",--(DATOS!$G15920=CONFIG_METADATA!$B$4),IF(DATOS!$G15920="EX",1,IF(DATOS!$G15920="OR",--(COUNTIFS(nNIA,DATOS!$A15920,nCURSO,DATOS!$D15920,nESPEC,DATOS!$E15920,nASIG,DATOS!$I15920,nEVAL,"EX")=0),0))))</f>
      </c>
      <c r="H15920">
        <f>IF(DATOS!$G15920&lt;&gt;"EX",0,--(COUNTIFS(nNIA,DATOS!$A15920,nCURSO,DATOS!$D15920,nESPEC,DATOS!$E15920,nASIG,DATOS!$I15920,nEVAL,"OR")=0))</f>
      </c>
      <c r="I15920">
        <f>IF(DATOS!$I15920="","",IFERROR(VLOOKUP(DATOS!$I15920,CONFIG_ASIGNATURAS!$B$2:$J$91,9,FALSE()),""))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IF(DATOS!$A15921="",0,IF(CONFIG_METADATA!$B$4&lt;&gt;"OR+EX",--(DATOS!$G15921=CONFIG_METADATA!$B$4),IF(DATOS!$G15921="EX",1,IF(DATOS!$G15921="OR",--(COUNTIFS(nNIA,DATOS!$A15921,nCURSO,DATOS!$D15921,nESPEC,DATOS!$E15921,nASIG,DATOS!$I15921,nEVAL,"EX")=0),0))))</f>
      </c>
      <c r="H15921">
        <f>IF(DATOS!$G15921&lt;&gt;"EX",0,--(COUNTIFS(nNIA,DATOS!$A15921,nCURSO,DATOS!$D15921,nESPEC,DATOS!$E15921,nASIG,DATOS!$I15921,nEVAL,"OR")=0))</f>
      </c>
      <c r="I15921">
        <f>IF(DATOS!$I15921="","",IFERROR(VLOOKUP(DATOS!$I15921,CONFIG_ASIGNATURAS!$B$2:$J$91,9,FALSE()),""))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IF(DATOS!$A15922="",0,IF(CONFIG_METADATA!$B$4&lt;&gt;"OR+EX",--(DATOS!$G15922=CONFIG_METADATA!$B$4),IF(DATOS!$G15922="EX",1,IF(DATOS!$G15922="OR",--(COUNTIFS(nNIA,DATOS!$A15922,nCURSO,DATOS!$D15922,nESPEC,DATOS!$E15922,nASIG,DATOS!$I15922,nEVAL,"EX")=0),0))))</f>
      </c>
      <c r="H15922">
        <f>IF(DATOS!$G15922&lt;&gt;"EX",0,--(COUNTIFS(nNIA,DATOS!$A15922,nCURSO,DATOS!$D15922,nESPEC,DATOS!$E15922,nASIG,DATOS!$I15922,nEVAL,"OR")=0))</f>
      </c>
      <c r="I15922">
        <f>IF(DATOS!$I15922="","",IFERROR(VLOOKUP(DATOS!$I15922,CONFIG_ASIGNATURAS!$B$2:$J$91,9,FALSE()),""))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IF(DATOS!$A15923="",0,IF(CONFIG_METADATA!$B$4&lt;&gt;"OR+EX",--(DATOS!$G15923=CONFIG_METADATA!$B$4),IF(DATOS!$G15923="EX",1,IF(DATOS!$G15923="OR",--(COUNTIFS(nNIA,DATOS!$A15923,nCURSO,DATOS!$D15923,nESPEC,DATOS!$E15923,nASIG,DATOS!$I15923,nEVAL,"EX")=0),0))))</f>
      </c>
      <c r="H15923">
        <f>IF(DATOS!$G15923&lt;&gt;"EX",0,--(COUNTIFS(nNIA,DATOS!$A15923,nCURSO,DATOS!$D15923,nESPEC,DATOS!$E15923,nASIG,DATOS!$I15923,nEVAL,"OR")=0))</f>
      </c>
      <c r="I15923">
        <f>IF(DATOS!$I15923="","",IFERROR(VLOOKUP(DATOS!$I15923,CONFIG_ASIGNATURAS!$B$2:$J$91,9,FALSE()),""))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IF(DATOS!$A15924="",0,IF(CONFIG_METADATA!$B$4&lt;&gt;"OR+EX",--(DATOS!$G15924=CONFIG_METADATA!$B$4),IF(DATOS!$G15924="EX",1,IF(DATOS!$G15924="OR",--(COUNTIFS(nNIA,DATOS!$A15924,nCURSO,DATOS!$D15924,nESPEC,DATOS!$E15924,nASIG,DATOS!$I15924,nEVAL,"EX")=0),0))))</f>
      </c>
      <c r="H15924">
        <f>IF(DATOS!$G15924&lt;&gt;"EX",0,--(COUNTIFS(nNIA,DATOS!$A15924,nCURSO,DATOS!$D15924,nESPEC,DATOS!$E15924,nASIG,DATOS!$I15924,nEVAL,"OR")=0))</f>
      </c>
      <c r="I15924">
        <f>IF(DATOS!$I15924="","",IFERROR(VLOOKUP(DATOS!$I15924,CONFIG_ASIGNATURAS!$B$2:$J$91,9,FALSE()),""))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IF(DATOS!$A15925="",0,IF(CONFIG_METADATA!$B$4&lt;&gt;"OR+EX",--(DATOS!$G15925=CONFIG_METADATA!$B$4),IF(DATOS!$G15925="EX",1,IF(DATOS!$G15925="OR",--(COUNTIFS(nNIA,DATOS!$A15925,nCURSO,DATOS!$D15925,nESPEC,DATOS!$E15925,nASIG,DATOS!$I15925,nEVAL,"EX")=0),0))))</f>
      </c>
      <c r="H15925">
        <f>IF(DATOS!$G15925&lt;&gt;"EX",0,--(COUNTIFS(nNIA,DATOS!$A15925,nCURSO,DATOS!$D15925,nESPEC,DATOS!$E15925,nASIG,DATOS!$I15925,nEVAL,"OR")=0))</f>
      </c>
      <c r="I15925">
        <f>IF(DATOS!$I15925="","",IFERROR(VLOOKUP(DATOS!$I15925,CONFIG_ASIGNATURAS!$B$2:$J$91,9,FALSE()),""))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IF(DATOS!$A15926="",0,IF(CONFIG_METADATA!$B$4&lt;&gt;"OR+EX",--(DATOS!$G15926=CONFIG_METADATA!$B$4),IF(DATOS!$G15926="EX",1,IF(DATOS!$G15926="OR",--(COUNTIFS(nNIA,DATOS!$A15926,nCURSO,DATOS!$D15926,nESPEC,DATOS!$E15926,nASIG,DATOS!$I15926,nEVAL,"EX")=0),0))))</f>
      </c>
      <c r="H15926">
        <f>IF(DATOS!$G15926&lt;&gt;"EX",0,--(COUNTIFS(nNIA,DATOS!$A15926,nCURSO,DATOS!$D15926,nESPEC,DATOS!$E15926,nASIG,DATOS!$I15926,nEVAL,"OR")=0))</f>
      </c>
      <c r="I15926">
        <f>IF(DATOS!$I15926="","",IFERROR(VLOOKUP(DATOS!$I15926,CONFIG_ASIGNATURAS!$B$2:$J$91,9,FALSE()),""))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IF(DATOS!$A15927="",0,IF(CONFIG_METADATA!$B$4&lt;&gt;"OR+EX",--(DATOS!$G15927=CONFIG_METADATA!$B$4),IF(DATOS!$G15927="EX",1,IF(DATOS!$G15927="OR",--(COUNTIFS(nNIA,DATOS!$A15927,nCURSO,DATOS!$D15927,nESPEC,DATOS!$E15927,nASIG,DATOS!$I15927,nEVAL,"EX")=0),0))))</f>
      </c>
      <c r="H15927">
        <f>IF(DATOS!$G15927&lt;&gt;"EX",0,--(COUNTIFS(nNIA,DATOS!$A15927,nCURSO,DATOS!$D15927,nESPEC,DATOS!$E15927,nASIG,DATOS!$I15927,nEVAL,"OR")=0))</f>
      </c>
      <c r="I15927">
        <f>IF(DATOS!$I15927="","",IFERROR(VLOOKUP(DATOS!$I15927,CONFIG_ASIGNATURAS!$B$2:$J$91,9,FALSE()),""))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IF(DATOS!$A15928="",0,IF(CONFIG_METADATA!$B$4&lt;&gt;"OR+EX",--(DATOS!$G15928=CONFIG_METADATA!$B$4),IF(DATOS!$G15928="EX",1,IF(DATOS!$G15928="OR",--(COUNTIFS(nNIA,DATOS!$A15928,nCURSO,DATOS!$D15928,nESPEC,DATOS!$E15928,nASIG,DATOS!$I15928,nEVAL,"EX")=0),0))))</f>
      </c>
      <c r="H15928">
        <f>IF(DATOS!$G15928&lt;&gt;"EX",0,--(COUNTIFS(nNIA,DATOS!$A15928,nCURSO,DATOS!$D15928,nESPEC,DATOS!$E15928,nASIG,DATOS!$I15928,nEVAL,"OR")=0))</f>
      </c>
      <c r="I15928">
        <f>IF(DATOS!$I15928="","",IFERROR(VLOOKUP(DATOS!$I15928,CONFIG_ASIGNATURAS!$B$2:$J$91,9,FALSE()),""))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IF(DATOS!$A15929="",0,IF(CONFIG_METADATA!$B$4&lt;&gt;"OR+EX",--(DATOS!$G15929=CONFIG_METADATA!$B$4),IF(DATOS!$G15929="EX",1,IF(DATOS!$G15929="OR",--(COUNTIFS(nNIA,DATOS!$A15929,nCURSO,DATOS!$D15929,nESPEC,DATOS!$E15929,nASIG,DATOS!$I15929,nEVAL,"EX")=0),0))))</f>
      </c>
      <c r="H15929">
        <f>IF(DATOS!$G15929&lt;&gt;"EX",0,--(COUNTIFS(nNIA,DATOS!$A15929,nCURSO,DATOS!$D15929,nESPEC,DATOS!$E15929,nASIG,DATOS!$I15929,nEVAL,"OR")=0))</f>
      </c>
      <c r="I15929">
        <f>IF(DATOS!$I15929="","",IFERROR(VLOOKUP(DATOS!$I15929,CONFIG_ASIGNATURAS!$B$2:$J$91,9,FALSE()),""))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IF(DATOS!$A15930="",0,IF(CONFIG_METADATA!$B$4&lt;&gt;"OR+EX",--(DATOS!$G15930=CONFIG_METADATA!$B$4),IF(DATOS!$G15930="EX",1,IF(DATOS!$G15930="OR",--(COUNTIFS(nNIA,DATOS!$A15930,nCURSO,DATOS!$D15930,nESPEC,DATOS!$E15930,nASIG,DATOS!$I15930,nEVAL,"EX")=0),0))))</f>
      </c>
      <c r="H15930">
        <f>IF(DATOS!$G15930&lt;&gt;"EX",0,--(COUNTIFS(nNIA,DATOS!$A15930,nCURSO,DATOS!$D15930,nESPEC,DATOS!$E15930,nASIG,DATOS!$I15930,nEVAL,"OR")=0))</f>
      </c>
      <c r="I15930">
        <f>IF(DATOS!$I15930="","",IFERROR(VLOOKUP(DATOS!$I15930,CONFIG_ASIGNATURAS!$B$2:$J$91,9,FALSE()),""))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IF(DATOS!$A15931="",0,IF(CONFIG_METADATA!$B$4&lt;&gt;"OR+EX",--(DATOS!$G15931=CONFIG_METADATA!$B$4),IF(DATOS!$G15931="EX",1,IF(DATOS!$G15931="OR",--(COUNTIFS(nNIA,DATOS!$A15931,nCURSO,DATOS!$D15931,nESPEC,DATOS!$E15931,nASIG,DATOS!$I15931,nEVAL,"EX")=0),0))))</f>
      </c>
      <c r="H15931">
        <f>IF(DATOS!$G15931&lt;&gt;"EX",0,--(COUNTIFS(nNIA,DATOS!$A15931,nCURSO,DATOS!$D15931,nESPEC,DATOS!$E15931,nASIG,DATOS!$I15931,nEVAL,"OR")=0))</f>
      </c>
      <c r="I15931">
        <f>IF(DATOS!$I15931="","",IFERROR(VLOOKUP(DATOS!$I15931,CONFIG_ASIGNATURAS!$B$2:$J$91,9,FALSE()),""))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IF(DATOS!$A15932="",0,IF(CONFIG_METADATA!$B$4&lt;&gt;"OR+EX",--(DATOS!$G15932=CONFIG_METADATA!$B$4),IF(DATOS!$G15932="EX",1,IF(DATOS!$G15932="OR",--(COUNTIFS(nNIA,DATOS!$A15932,nCURSO,DATOS!$D15932,nESPEC,DATOS!$E15932,nASIG,DATOS!$I15932,nEVAL,"EX")=0),0))))</f>
      </c>
      <c r="H15932">
        <f>IF(DATOS!$G15932&lt;&gt;"EX",0,--(COUNTIFS(nNIA,DATOS!$A15932,nCURSO,DATOS!$D15932,nESPEC,DATOS!$E15932,nASIG,DATOS!$I15932,nEVAL,"OR")=0))</f>
      </c>
      <c r="I15932">
        <f>IF(DATOS!$I15932="","",IFERROR(VLOOKUP(DATOS!$I15932,CONFIG_ASIGNATURAS!$B$2:$J$91,9,FALSE()),""))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IF(DATOS!$A15933="",0,IF(CONFIG_METADATA!$B$4&lt;&gt;"OR+EX",--(DATOS!$G15933=CONFIG_METADATA!$B$4),IF(DATOS!$G15933="EX",1,IF(DATOS!$G15933="OR",--(COUNTIFS(nNIA,DATOS!$A15933,nCURSO,DATOS!$D15933,nESPEC,DATOS!$E15933,nASIG,DATOS!$I15933,nEVAL,"EX")=0),0))))</f>
      </c>
      <c r="H15933">
        <f>IF(DATOS!$G15933&lt;&gt;"EX",0,--(COUNTIFS(nNIA,DATOS!$A15933,nCURSO,DATOS!$D15933,nESPEC,DATOS!$E15933,nASIG,DATOS!$I15933,nEVAL,"OR")=0))</f>
      </c>
      <c r="I15933">
        <f>IF(DATOS!$I15933="","",IFERROR(VLOOKUP(DATOS!$I15933,CONFIG_ASIGNATURAS!$B$2:$J$91,9,FALSE()),""))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IF(DATOS!$A15934="",0,IF(CONFIG_METADATA!$B$4&lt;&gt;"OR+EX",--(DATOS!$G15934=CONFIG_METADATA!$B$4),IF(DATOS!$G15934="EX",1,IF(DATOS!$G15934="OR",--(COUNTIFS(nNIA,DATOS!$A15934,nCURSO,DATOS!$D15934,nESPEC,DATOS!$E15934,nASIG,DATOS!$I15934,nEVAL,"EX")=0),0))))</f>
      </c>
      <c r="H15934">
        <f>IF(DATOS!$G15934&lt;&gt;"EX",0,--(COUNTIFS(nNIA,DATOS!$A15934,nCURSO,DATOS!$D15934,nESPEC,DATOS!$E15934,nASIG,DATOS!$I15934,nEVAL,"OR")=0))</f>
      </c>
      <c r="I15934">
        <f>IF(DATOS!$I15934="","",IFERROR(VLOOKUP(DATOS!$I15934,CONFIG_ASIGNATURAS!$B$2:$J$91,9,FALSE()),""))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IF(DATOS!$A15935="",0,IF(CONFIG_METADATA!$B$4&lt;&gt;"OR+EX",--(DATOS!$G15935=CONFIG_METADATA!$B$4),IF(DATOS!$G15935="EX",1,IF(DATOS!$G15935="OR",--(COUNTIFS(nNIA,DATOS!$A15935,nCURSO,DATOS!$D15935,nESPEC,DATOS!$E15935,nASIG,DATOS!$I15935,nEVAL,"EX")=0),0))))</f>
      </c>
      <c r="H15935">
        <f>IF(DATOS!$G15935&lt;&gt;"EX",0,--(COUNTIFS(nNIA,DATOS!$A15935,nCURSO,DATOS!$D15935,nESPEC,DATOS!$E15935,nASIG,DATOS!$I15935,nEVAL,"OR")=0))</f>
      </c>
      <c r="I15935">
        <f>IF(DATOS!$I15935="","",IFERROR(VLOOKUP(DATOS!$I15935,CONFIG_ASIGNATURAS!$B$2:$J$91,9,FALSE()),""))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IF(DATOS!$A15936="",0,IF(CONFIG_METADATA!$B$4&lt;&gt;"OR+EX",--(DATOS!$G15936=CONFIG_METADATA!$B$4),IF(DATOS!$G15936="EX",1,IF(DATOS!$G15936="OR",--(COUNTIFS(nNIA,DATOS!$A15936,nCURSO,DATOS!$D15936,nESPEC,DATOS!$E15936,nASIG,DATOS!$I15936,nEVAL,"EX")=0),0))))</f>
      </c>
      <c r="H15936">
        <f>IF(DATOS!$G15936&lt;&gt;"EX",0,--(COUNTIFS(nNIA,DATOS!$A15936,nCURSO,DATOS!$D15936,nESPEC,DATOS!$E15936,nASIG,DATOS!$I15936,nEVAL,"OR")=0))</f>
      </c>
      <c r="I15936">
        <f>IF(DATOS!$I15936="","",IFERROR(VLOOKUP(DATOS!$I15936,CONFIG_ASIGNATURAS!$B$2:$J$91,9,FALSE()),""))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IF(DATOS!$A15937="",0,IF(CONFIG_METADATA!$B$4&lt;&gt;"OR+EX",--(DATOS!$G15937=CONFIG_METADATA!$B$4),IF(DATOS!$G15937="EX",1,IF(DATOS!$G15937="OR",--(COUNTIFS(nNIA,DATOS!$A15937,nCURSO,DATOS!$D15937,nESPEC,DATOS!$E15937,nASIG,DATOS!$I15937,nEVAL,"EX")=0),0))))</f>
      </c>
      <c r="H15937">
        <f>IF(DATOS!$G15937&lt;&gt;"EX",0,--(COUNTIFS(nNIA,DATOS!$A15937,nCURSO,DATOS!$D15937,nESPEC,DATOS!$E15937,nASIG,DATOS!$I15937,nEVAL,"OR")=0))</f>
      </c>
      <c r="I15937">
        <f>IF(DATOS!$I15937="","",IFERROR(VLOOKUP(DATOS!$I15937,CONFIG_ASIGNATURAS!$B$2:$J$91,9,FALSE()),""))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IF(DATOS!$A15938="",0,IF(CONFIG_METADATA!$B$4&lt;&gt;"OR+EX",--(DATOS!$G15938=CONFIG_METADATA!$B$4),IF(DATOS!$G15938="EX",1,IF(DATOS!$G15938="OR",--(COUNTIFS(nNIA,DATOS!$A15938,nCURSO,DATOS!$D15938,nESPEC,DATOS!$E15938,nASIG,DATOS!$I15938,nEVAL,"EX")=0),0))))</f>
      </c>
      <c r="H15938">
        <f>IF(DATOS!$G15938&lt;&gt;"EX",0,--(COUNTIFS(nNIA,DATOS!$A15938,nCURSO,DATOS!$D15938,nESPEC,DATOS!$E15938,nASIG,DATOS!$I15938,nEVAL,"OR")=0))</f>
      </c>
      <c r="I15938">
        <f>IF(DATOS!$I15938="","",IFERROR(VLOOKUP(DATOS!$I15938,CONFIG_ASIGNATURAS!$B$2:$J$91,9,FALSE()),""))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IF(DATOS!$A15939="",0,IF(CONFIG_METADATA!$B$4&lt;&gt;"OR+EX",--(DATOS!$G15939=CONFIG_METADATA!$B$4),IF(DATOS!$G15939="EX",1,IF(DATOS!$G15939="OR",--(COUNTIFS(nNIA,DATOS!$A15939,nCURSO,DATOS!$D15939,nESPEC,DATOS!$E15939,nASIG,DATOS!$I15939,nEVAL,"EX")=0),0))))</f>
      </c>
      <c r="H15939">
        <f>IF(DATOS!$G15939&lt;&gt;"EX",0,--(COUNTIFS(nNIA,DATOS!$A15939,nCURSO,DATOS!$D15939,nESPEC,DATOS!$E15939,nASIG,DATOS!$I15939,nEVAL,"OR")=0))</f>
      </c>
      <c r="I15939">
        <f>IF(DATOS!$I15939="","",IFERROR(VLOOKUP(DATOS!$I15939,CONFIG_ASIGNATURAS!$B$2:$J$91,9,FALSE()),""))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IF(DATOS!$A15940="",0,IF(CONFIG_METADATA!$B$4&lt;&gt;"OR+EX",--(DATOS!$G15940=CONFIG_METADATA!$B$4),IF(DATOS!$G15940="EX",1,IF(DATOS!$G15940="OR",--(COUNTIFS(nNIA,DATOS!$A15940,nCURSO,DATOS!$D15940,nESPEC,DATOS!$E15940,nASIG,DATOS!$I15940,nEVAL,"EX")=0),0))))</f>
      </c>
      <c r="H15940">
        <f>IF(DATOS!$G15940&lt;&gt;"EX",0,--(COUNTIFS(nNIA,DATOS!$A15940,nCURSO,DATOS!$D15940,nESPEC,DATOS!$E15940,nASIG,DATOS!$I15940,nEVAL,"OR")=0))</f>
      </c>
      <c r="I15940">
        <f>IF(DATOS!$I15940="","",IFERROR(VLOOKUP(DATOS!$I15940,CONFIG_ASIGNATURAS!$B$2:$J$91,9,FALSE()),""))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IF(DATOS!$A15941="",0,IF(CONFIG_METADATA!$B$4&lt;&gt;"OR+EX",--(DATOS!$G15941=CONFIG_METADATA!$B$4),IF(DATOS!$G15941="EX",1,IF(DATOS!$G15941="OR",--(COUNTIFS(nNIA,DATOS!$A15941,nCURSO,DATOS!$D15941,nESPEC,DATOS!$E15941,nASIG,DATOS!$I15941,nEVAL,"EX")=0),0))))</f>
      </c>
      <c r="H15941">
        <f>IF(DATOS!$G15941&lt;&gt;"EX",0,--(COUNTIFS(nNIA,DATOS!$A15941,nCURSO,DATOS!$D15941,nESPEC,DATOS!$E15941,nASIG,DATOS!$I15941,nEVAL,"OR")=0))</f>
      </c>
      <c r="I15941">
        <f>IF(DATOS!$I15941="","",IFERROR(VLOOKUP(DATOS!$I15941,CONFIG_ASIGNATURAS!$B$2:$J$91,9,FALSE()),""))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IF(DATOS!$A15942="",0,IF(CONFIG_METADATA!$B$4&lt;&gt;"OR+EX",--(DATOS!$G15942=CONFIG_METADATA!$B$4),IF(DATOS!$G15942="EX",1,IF(DATOS!$G15942="OR",--(COUNTIFS(nNIA,DATOS!$A15942,nCURSO,DATOS!$D15942,nESPEC,DATOS!$E15942,nASIG,DATOS!$I15942,nEVAL,"EX")=0),0))))</f>
      </c>
      <c r="H15942">
        <f>IF(DATOS!$G15942&lt;&gt;"EX",0,--(COUNTIFS(nNIA,DATOS!$A15942,nCURSO,DATOS!$D15942,nESPEC,DATOS!$E15942,nASIG,DATOS!$I15942,nEVAL,"OR")=0))</f>
      </c>
      <c r="I15942">
        <f>IF(DATOS!$I15942="","",IFERROR(VLOOKUP(DATOS!$I15942,CONFIG_ASIGNATURAS!$B$2:$J$91,9,FALSE()),""))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IF(DATOS!$A15943="",0,IF(CONFIG_METADATA!$B$4&lt;&gt;"OR+EX",--(DATOS!$G15943=CONFIG_METADATA!$B$4),IF(DATOS!$G15943="EX",1,IF(DATOS!$G15943="OR",--(COUNTIFS(nNIA,DATOS!$A15943,nCURSO,DATOS!$D15943,nESPEC,DATOS!$E15943,nASIG,DATOS!$I15943,nEVAL,"EX")=0),0))))</f>
      </c>
      <c r="H15943">
        <f>IF(DATOS!$G15943&lt;&gt;"EX",0,--(COUNTIFS(nNIA,DATOS!$A15943,nCURSO,DATOS!$D15943,nESPEC,DATOS!$E15943,nASIG,DATOS!$I15943,nEVAL,"OR")=0))</f>
      </c>
      <c r="I15943">
        <f>IF(DATOS!$I15943="","",IFERROR(VLOOKUP(DATOS!$I15943,CONFIG_ASIGNATURAS!$B$2:$J$91,9,FALSE()),""))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IF(DATOS!$A15944="",0,IF(CONFIG_METADATA!$B$4&lt;&gt;"OR+EX",--(DATOS!$G15944=CONFIG_METADATA!$B$4),IF(DATOS!$G15944="EX",1,IF(DATOS!$G15944="OR",--(COUNTIFS(nNIA,DATOS!$A15944,nCURSO,DATOS!$D15944,nESPEC,DATOS!$E15944,nASIG,DATOS!$I15944,nEVAL,"EX")=0),0))))</f>
      </c>
      <c r="H15944">
        <f>IF(DATOS!$G15944&lt;&gt;"EX",0,--(COUNTIFS(nNIA,DATOS!$A15944,nCURSO,DATOS!$D15944,nESPEC,DATOS!$E15944,nASIG,DATOS!$I15944,nEVAL,"OR")=0))</f>
      </c>
      <c r="I15944">
        <f>IF(DATOS!$I15944="","",IFERROR(VLOOKUP(DATOS!$I15944,CONFIG_ASIGNATURAS!$B$2:$J$91,9,FALSE()),""))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IF(DATOS!$A15945="",0,IF(CONFIG_METADATA!$B$4&lt;&gt;"OR+EX",--(DATOS!$G15945=CONFIG_METADATA!$B$4),IF(DATOS!$G15945="EX",1,IF(DATOS!$G15945="OR",--(COUNTIFS(nNIA,DATOS!$A15945,nCURSO,DATOS!$D15945,nESPEC,DATOS!$E15945,nASIG,DATOS!$I15945,nEVAL,"EX")=0),0))))</f>
      </c>
      <c r="H15945">
        <f>IF(DATOS!$G15945&lt;&gt;"EX",0,--(COUNTIFS(nNIA,DATOS!$A15945,nCURSO,DATOS!$D15945,nESPEC,DATOS!$E15945,nASIG,DATOS!$I15945,nEVAL,"OR")=0))</f>
      </c>
      <c r="I15945">
        <f>IF(DATOS!$I15945="","",IFERROR(VLOOKUP(DATOS!$I15945,CONFIG_ASIGNATURAS!$B$2:$J$91,9,FALSE()),""))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IF(DATOS!$A15946="",0,IF(CONFIG_METADATA!$B$4&lt;&gt;"OR+EX",--(DATOS!$G15946=CONFIG_METADATA!$B$4),IF(DATOS!$G15946="EX",1,IF(DATOS!$G15946="OR",--(COUNTIFS(nNIA,DATOS!$A15946,nCURSO,DATOS!$D15946,nESPEC,DATOS!$E15946,nASIG,DATOS!$I15946,nEVAL,"EX")=0),0))))</f>
      </c>
      <c r="H15946">
        <f>IF(DATOS!$G15946&lt;&gt;"EX",0,--(COUNTIFS(nNIA,DATOS!$A15946,nCURSO,DATOS!$D15946,nESPEC,DATOS!$E15946,nASIG,DATOS!$I15946,nEVAL,"OR")=0))</f>
      </c>
      <c r="I15946">
        <f>IF(DATOS!$I15946="","",IFERROR(VLOOKUP(DATOS!$I15946,CONFIG_ASIGNATURAS!$B$2:$J$91,9,FALSE()),""))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IF(DATOS!$A15947="",0,IF(CONFIG_METADATA!$B$4&lt;&gt;"OR+EX",--(DATOS!$G15947=CONFIG_METADATA!$B$4),IF(DATOS!$G15947="EX",1,IF(DATOS!$G15947="OR",--(COUNTIFS(nNIA,DATOS!$A15947,nCURSO,DATOS!$D15947,nESPEC,DATOS!$E15947,nASIG,DATOS!$I15947,nEVAL,"EX")=0),0))))</f>
      </c>
      <c r="H15947">
        <f>IF(DATOS!$G15947&lt;&gt;"EX",0,--(COUNTIFS(nNIA,DATOS!$A15947,nCURSO,DATOS!$D15947,nESPEC,DATOS!$E15947,nASIG,DATOS!$I15947,nEVAL,"OR")=0))</f>
      </c>
      <c r="I15947">
        <f>IF(DATOS!$I15947="","",IFERROR(VLOOKUP(DATOS!$I15947,CONFIG_ASIGNATURAS!$B$2:$J$91,9,FALSE()),""))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IF(DATOS!$A15948="",0,IF(CONFIG_METADATA!$B$4&lt;&gt;"OR+EX",--(DATOS!$G15948=CONFIG_METADATA!$B$4),IF(DATOS!$G15948="EX",1,IF(DATOS!$G15948="OR",--(COUNTIFS(nNIA,DATOS!$A15948,nCURSO,DATOS!$D15948,nESPEC,DATOS!$E15948,nASIG,DATOS!$I15948,nEVAL,"EX")=0),0))))</f>
      </c>
      <c r="H15948">
        <f>IF(DATOS!$G15948&lt;&gt;"EX",0,--(COUNTIFS(nNIA,DATOS!$A15948,nCURSO,DATOS!$D15948,nESPEC,DATOS!$E15948,nASIG,DATOS!$I15948,nEVAL,"OR")=0))</f>
      </c>
      <c r="I15948">
        <f>IF(DATOS!$I15948="","",IFERROR(VLOOKUP(DATOS!$I15948,CONFIG_ASIGNATURAS!$B$2:$J$91,9,FALSE()),""))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IF(DATOS!$A15949="",0,IF(CONFIG_METADATA!$B$4&lt;&gt;"OR+EX",--(DATOS!$G15949=CONFIG_METADATA!$B$4),IF(DATOS!$G15949="EX",1,IF(DATOS!$G15949="OR",--(COUNTIFS(nNIA,DATOS!$A15949,nCURSO,DATOS!$D15949,nESPEC,DATOS!$E15949,nASIG,DATOS!$I15949,nEVAL,"EX")=0),0))))</f>
      </c>
      <c r="H15949">
        <f>IF(DATOS!$G15949&lt;&gt;"EX",0,--(COUNTIFS(nNIA,DATOS!$A15949,nCURSO,DATOS!$D15949,nESPEC,DATOS!$E15949,nASIG,DATOS!$I15949,nEVAL,"OR")=0))</f>
      </c>
      <c r="I15949">
        <f>IF(DATOS!$I15949="","",IFERROR(VLOOKUP(DATOS!$I15949,CONFIG_ASIGNATURAS!$B$2:$J$91,9,FALSE()),""))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IF(DATOS!$A15950="",0,IF(CONFIG_METADATA!$B$4&lt;&gt;"OR+EX",--(DATOS!$G15950=CONFIG_METADATA!$B$4),IF(DATOS!$G15950="EX",1,IF(DATOS!$G15950="OR",--(COUNTIFS(nNIA,DATOS!$A15950,nCURSO,DATOS!$D15950,nESPEC,DATOS!$E15950,nASIG,DATOS!$I15950,nEVAL,"EX")=0),0))))</f>
      </c>
      <c r="H15950">
        <f>IF(DATOS!$G15950&lt;&gt;"EX",0,--(COUNTIFS(nNIA,DATOS!$A15950,nCURSO,DATOS!$D15950,nESPEC,DATOS!$E15950,nASIG,DATOS!$I15950,nEVAL,"OR")=0))</f>
      </c>
      <c r="I15950">
        <f>IF(DATOS!$I15950="","",IFERROR(VLOOKUP(DATOS!$I15950,CONFIG_ASIGNATURAS!$B$2:$J$91,9,FALSE()),""))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IF(DATOS!$A15951="",0,IF(CONFIG_METADATA!$B$4&lt;&gt;"OR+EX",--(DATOS!$G15951=CONFIG_METADATA!$B$4),IF(DATOS!$G15951="EX",1,IF(DATOS!$G15951="OR",--(COUNTIFS(nNIA,DATOS!$A15951,nCURSO,DATOS!$D15951,nESPEC,DATOS!$E15951,nASIG,DATOS!$I15951,nEVAL,"EX")=0),0))))</f>
      </c>
      <c r="H15951">
        <f>IF(DATOS!$G15951&lt;&gt;"EX",0,--(COUNTIFS(nNIA,DATOS!$A15951,nCURSO,DATOS!$D15951,nESPEC,DATOS!$E15951,nASIG,DATOS!$I15951,nEVAL,"OR")=0))</f>
      </c>
      <c r="I15951">
        <f>IF(DATOS!$I15951="","",IFERROR(VLOOKUP(DATOS!$I15951,CONFIG_ASIGNATURAS!$B$2:$J$91,9,FALSE()),""))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IF(DATOS!$A15952="",0,IF(CONFIG_METADATA!$B$4&lt;&gt;"OR+EX",--(DATOS!$G15952=CONFIG_METADATA!$B$4),IF(DATOS!$G15952="EX",1,IF(DATOS!$G15952="OR",--(COUNTIFS(nNIA,DATOS!$A15952,nCURSO,DATOS!$D15952,nESPEC,DATOS!$E15952,nASIG,DATOS!$I15952,nEVAL,"EX")=0),0))))</f>
      </c>
      <c r="H15952">
        <f>IF(DATOS!$G15952&lt;&gt;"EX",0,--(COUNTIFS(nNIA,DATOS!$A15952,nCURSO,DATOS!$D15952,nESPEC,DATOS!$E15952,nASIG,DATOS!$I15952,nEVAL,"OR")=0))</f>
      </c>
      <c r="I15952">
        <f>IF(DATOS!$I15952="","",IFERROR(VLOOKUP(DATOS!$I15952,CONFIG_ASIGNATURAS!$B$2:$J$91,9,FALSE()),""))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IF(DATOS!$A15953="",0,IF(CONFIG_METADATA!$B$4&lt;&gt;"OR+EX",--(DATOS!$G15953=CONFIG_METADATA!$B$4),IF(DATOS!$G15953="EX",1,IF(DATOS!$G15953="OR",--(COUNTIFS(nNIA,DATOS!$A15953,nCURSO,DATOS!$D15953,nESPEC,DATOS!$E15953,nASIG,DATOS!$I15953,nEVAL,"EX")=0),0))))</f>
      </c>
      <c r="H15953">
        <f>IF(DATOS!$G15953&lt;&gt;"EX",0,--(COUNTIFS(nNIA,DATOS!$A15953,nCURSO,DATOS!$D15953,nESPEC,DATOS!$E15953,nASIG,DATOS!$I15953,nEVAL,"OR")=0))</f>
      </c>
      <c r="I15953">
        <f>IF(DATOS!$I15953="","",IFERROR(VLOOKUP(DATOS!$I15953,CONFIG_ASIGNATURAS!$B$2:$J$91,9,FALSE()),""))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IF(DATOS!$A15954="",0,IF(CONFIG_METADATA!$B$4&lt;&gt;"OR+EX",--(DATOS!$G15954=CONFIG_METADATA!$B$4),IF(DATOS!$G15954="EX",1,IF(DATOS!$G15954="OR",--(COUNTIFS(nNIA,DATOS!$A15954,nCURSO,DATOS!$D15954,nESPEC,DATOS!$E15954,nASIG,DATOS!$I15954,nEVAL,"EX")=0),0))))</f>
      </c>
      <c r="H15954">
        <f>IF(DATOS!$G15954&lt;&gt;"EX",0,--(COUNTIFS(nNIA,DATOS!$A15954,nCURSO,DATOS!$D15954,nESPEC,DATOS!$E15954,nASIG,DATOS!$I15954,nEVAL,"OR")=0))</f>
      </c>
      <c r="I15954">
        <f>IF(DATOS!$I15954="","",IFERROR(VLOOKUP(DATOS!$I15954,CONFIG_ASIGNATURAS!$B$2:$J$91,9,FALSE()),""))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IF(DATOS!$A15955="",0,IF(CONFIG_METADATA!$B$4&lt;&gt;"OR+EX",--(DATOS!$G15955=CONFIG_METADATA!$B$4),IF(DATOS!$G15955="EX",1,IF(DATOS!$G15955="OR",--(COUNTIFS(nNIA,DATOS!$A15955,nCURSO,DATOS!$D15955,nESPEC,DATOS!$E15955,nASIG,DATOS!$I15955,nEVAL,"EX")=0),0))))</f>
      </c>
      <c r="H15955">
        <f>IF(DATOS!$G15955&lt;&gt;"EX",0,--(COUNTIFS(nNIA,DATOS!$A15955,nCURSO,DATOS!$D15955,nESPEC,DATOS!$E15955,nASIG,DATOS!$I15955,nEVAL,"OR")=0))</f>
      </c>
      <c r="I15955">
        <f>IF(DATOS!$I15955="","",IFERROR(VLOOKUP(DATOS!$I15955,CONFIG_ASIGNATURAS!$B$2:$J$91,9,FALSE()),""))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IF(DATOS!$A15956="",0,IF(CONFIG_METADATA!$B$4&lt;&gt;"OR+EX",--(DATOS!$G15956=CONFIG_METADATA!$B$4),IF(DATOS!$G15956="EX",1,IF(DATOS!$G15956="OR",--(COUNTIFS(nNIA,DATOS!$A15956,nCURSO,DATOS!$D15956,nESPEC,DATOS!$E15956,nASIG,DATOS!$I15956,nEVAL,"EX")=0),0))))</f>
      </c>
      <c r="H15956">
        <f>IF(DATOS!$G15956&lt;&gt;"EX",0,--(COUNTIFS(nNIA,DATOS!$A15956,nCURSO,DATOS!$D15956,nESPEC,DATOS!$E15956,nASIG,DATOS!$I15956,nEVAL,"OR")=0))</f>
      </c>
      <c r="I15956">
        <f>IF(DATOS!$I15956="","",IFERROR(VLOOKUP(DATOS!$I15956,CONFIG_ASIGNATURAS!$B$2:$J$91,9,FALSE()),""))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IF(DATOS!$A15957="",0,IF(CONFIG_METADATA!$B$4&lt;&gt;"OR+EX",--(DATOS!$G15957=CONFIG_METADATA!$B$4),IF(DATOS!$G15957="EX",1,IF(DATOS!$G15957="OR",--(COUNTIFS(nNIA,DATOS!$A15957,nCURSO,DATOS!$D15957,nESPEC,DATOS!$E15957,nASIG,DATOS!$I15957,nEVAL,"EX")=0),0))))</f>
      </c>
      <c r="H15957">
        <f>IF(DATOS!$G15957&lt;&gt;"EX",0,--(COUNTIFS(nNIA,DATOS!$A15957,nCURSO,DATOS!$D15957,nESPEC,DATOS!$E15957,nASIG,DATOS!$I15957,nEVAL,"OR")=0))</f>
      </c>
      <c r="I15957">
        <f>IF(DATOS!$I15957="","",IFERROR(VLOOKUP(DATOS!$I15957,CONFIG_ASIGNATURAS!$B$2:$J$91,9,FALSE()),""))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IF(DATOS!$A15958="",0,IF(CONFIG_METADATA!$B$4&lt;&gt;"OR+EX",--(DATOS!$G15958=CONFIG_METADATA!$B$4),IF(DATOS!$G15958="EX",1,IF(DATOS!$G15958="OR",--(COUNTIFS(nNIA,DATOS!$A15958,nCURSO,DATOS!$D15958,nESPEC,DATOS!$E15958,nASIG,DATOS!$I15958,nEVAL,"EX")=0),0))))</f>
      </c>
      <c r="H15958">
        <f>IF(DATOS!$G15958&lt;&gt;"EX",0,--(COUNTIFS(nNIA,DATOS!$A15958,nCURSO,DATOS!$D15958,nESPEC,DATOS!$E15958,nASIG,DATOS!$I15958,nEVAL,"OR")=0))</f>
      </c>
      <c r="I15958">
        <f>IF(DATOS!$I15958="","",IFERROR(VLOOKUP(DATOS!$I15958,CONFIG_ASIGNATURAS!$B$2:$J$91,9,FALSE()),""))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IF(DATOS!$A15959="",0,IF(CONFIG_METADATA!$B$4&lt;&gt;"OR+EX",--(DATOS!$G15959=CONFIG_METADATA!$B$4),IF(DATOS!$G15959="EX",1,IF(DATOS!$G15959="OR",--(COUNTIFS(nNIA,DATOS!$A15959,nCURSO,DATOS!$D15959,nESPEC,DATOS!$E15959,nASIG,DATOS!$I15959,nEVAL,"EX")=0),0))))</f>
      </c>
      <c r="H15959">
        <f>IF(DATOS!$G15959&lt;&gt;"EX",0,--(COUNTIFS(nNIA,DATOS!$A15959,nCURSO,DATOS!$D15959,nESPEC,DATOS!$E15959,nASIG,DATOS!$I15959,nEVAL,"OR")=0))</f>
      </c>
      <c r="I15959">
        <f>IF(DATOS!$I15959="","",IFERROR(VLOOKUP(DATOS!$I15959,CONFIG_ASIGNATURAS!$B$2:$J$91,9,FALSE()),""))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IF(DATOS!$A15960="",0,IF(CONFIG_METADATA!$B$4&lt;&gt;"OR+EX",--(DATOS!$G15960=CONFIG_METADATA!$B$4),IF(DATOS!$G15960="EX",1,IF(DATOS!$G15960="OR",--(COUNTIFS(nNIA,DATOS!$A15960,nCURSO,DATOS!$D15960,nESPEC,DATOS!$E15960,nASIG,DATOS!$I15960,nEVAL,"EX")=0),0))))</f>
      </c>
      <c r="H15960">
        <f>IF(DATOS!$G15960&lt;&gt;"EX",0,--(COUNTIFS(nNIA,DATOS!$A15960,nCURSO,DATOS!$D15960,nESPEC,DATOS!$E15960,nASIG,DATOS!$I15960,nEVAL,"OR")=0))</f>
      </c>
      <c r="I15960">
        <f>IF(DATOS!$I15960="","",IFERROR(VLOOKUP(DATOS!$I15960,CONFIG_ASIGNATURAS!$B$2:$J$91,9,FALSE()),""))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IF(DATOS!$A15961="",0,IF(CONFIG_METADATA!$B$4&lt;&gt;"OR+EX",--(DATOS!$G15961=CONFIG_METADATA!$B$4),IF(DATOS!$G15961="EX",1,IF(DATOS!$G15961="OR",--(COUNTIFS(nNIA,DATOS!$A15961,nCURSO,DATOS!$D15961,nESPEC,DATOS!$E15961,nASIG,DATOS!$I15961,nEVAL,"EX")=0),0))))</f>
      </c>
      <c r="H15961">
        <f>IF(DATOS!$G15961&lt;&gt;"EX",0,--(COUNTIFS(nNIA,DATOS!$A15961,nCURSO,DATOS!$D15961,nESPEC,DATOS!$E15961,nASIG,DATOS!$I15961,nEVAL,"OR")=0))</f>
      </c>
      <c r="I15961">
        <f>IF(DATOS!$I15961="","",IFERROR(VLOOKUP(DATOS!$I15961,CONFIG_ASIGNATURAS!$B$2:$J$91,9,FALSE()),""))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IF(DATOS!$A15962="",0,IF(CONFIG_METADATA!$B$4&lt;&gt;"OR+EX",--(DATOS!$G15962=CONFIG_METADATA!$B$4),IF(DATOS!$G15962="EX",1,IF(DATOS!$G15962="OR",--(COUNTIFS(nNIA,DATOS!$A15962,nCURSO,DATOS!$D15962,nESPEC,DATOS!$E15962,nASIG,DATOS!$I15962,nEVAL,"EX")=0),0))))</f>
      </c>
      <c r="H15962">
        <f>IF(DATOS!$G15962&lt;&gt;"EX",0,--(COUNTIFS(nNIA,DATOS!$A15962,nCURSO,DATOS!$D15962,nESPEC,DATOS!$E15962,nASIG,DATOS!$I15962,nEVAL,"OR")=0))</f>
      </c>
      <c r="I15962">
        <f>IF(DATOS!$I15962="","",IFERROR(VLOOKUP(DATOS!$I15962,CONFIG_ASIGNATURAS!$B$2:$J$91,9,FALSE()),""))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IF(DATOS!$A15963="",0,IF(CONFIG_METADATA!$B$4&lt;&gt;"OR+EX",--(DATOS!$G15963=CONFIG_METADATA!$B$4),IF(DATOS!$G15963="EX",1,IF(DATOS!$G15963="OR",--(COUNTIFS(nNIA,DATOS!$A15963,nCURSO,DATOS!$D15963,nESPEC,DATOS!$E15963,nASIG,DATOS!$I15963,nEVAL,"EX")=0),0))))</f>
      </c>
      <c r="H15963">
        <f>IF(DATOS!$G15963&lt;&gt;"EX",0,--(COUNTIFS(nNIA,DATOS!$A15963,nCURSO,DATOS!$D15963,nESPEC,DATOS!$E15963,nASIG,DATOS!$I15963,nEVAL,"OR")=0))</f>
      </c>
      <c r="I15963">
        <f>IF(DATOS!$I15963="","",IFERROR(VLOOKUP(DATOS!$I15963,CONFIG_ASIGNATURAS!$B$2:$J$91,9,FALSE()),""))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IF(DATOS!$A15964="",0,IF(CONFIG_METADATA!$B$4&lt;&gt;"OR+EX",--(DATOS!$G15964=CONFIG_METADATA!$B$4),IF(DATOS!$G15964="EX",1,IF(DATOS!$G15964="OR",--(COUNTIFS(nNIA,DATOS!$A15964,nCURSO,DATOS!$D15964,nESPEC,DATOS!$E15964,nASIG,DATOS!$I15964,nEVAL,"EX")=0),0))))</f>
      </c>
      <c r="H15964">
        <f>IF(DATOS!$G15964&lt;&gt;"EX",0,--(COUNTIFS(nNIA,DATOS!$A15964,nCURSO,DATOS!$D15964,nESPEC,DATOS!$E15964,nASIG,DATOS!$I15964,nEVAL,"OR")=0))</f>
      </c>
      <c r="I15964">
        <f>IF(DATOS!$I15964="","",IFERROR(VLOOKUP(DATOS!$I15964,CONFIG_ASIGNATURAS!$B$2:$J$91,9,FALSE()),""))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IF(DATOS!$A15965="",0,IF(CONFIG_METADATA!$B$4&lt;&gt;"OR+EX",--(DATOS!$G15965=CONFIG_METADATA!$B$4),IF(DATOS!$G15965="EX",1,IF(DATOS!$G15965="OR",--(COUNTIFS(nNIA,DATOS!$A15965,nCURSO,DATOS!$D15965,nESPEC,DATOS!$E15965,nASIG,DATOS!$I15965,nEVAL,"EX")=0),0))))</f>
      </c>
      <c r="H15965">
        <f>IF(DATOS!$G15965&lt;&gt;"EX",0,--(COUNTIFS(nNIA,DATOS!$A15965,nCURSO,DATOS!$D15965,nESPEC,DATOS!$E15965,nASIG,DATOS!$I15965,nEVAL,"OR")=0))</f>
      </c>
      <c r="I15965">
        <f>IF(DATOS!$I15965="","",IFERROR(VLOOKUP(DATOS!$I15965,CONFIG_ASIGNATURAS!$B$2:$J$91,9,FALSE()),""))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IF(DATOS!$A15966="",0,IF(CONFIG_METADATA!$B$4&lt;&gt;"OR+EX",--(DATOS!$G15966=CONFIG_METADATA!$B$4),IF(DATOS!$G15966="EX",1,IF(DATOS!$G15966="OR",--(COUNTIFS(nNIA,DATOS!$A15966,nCURSO,DATOS!$D15966,nESPEC,DATOS!$E15966,nASIG,DATOS!$I15966,nEVAL,"EX")=0),0))))</f>
      </c>
      <c r="H15966">
        <f>IF(DATOS!$G15966&lt;&gt;"EX",0,--(COUNTIFS(nNIA,DATOS!$A15966,nCURSO,DATOS!$D15966,nESPEC,DATOS!$E15966,nASIG,DATOS!$I15966,nEVAL,"OR")=0))</f>
      </c>
      <c r="I15966">
        <f>IF(DATOS!$I15966="","",IFERROR(VLOOKUP(DATOS!$I15966,CONFIG_ASIGNATURAS!$B$2:$J$91,9,FALSE()),""))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IF(DATOS!$A15967="",0,IF(CONFIG_METADATA!$B$4&lt;&gt;"OR+EX",--(DATOS!$G15967=CONFIG_METADATA!$B$4),IF(DATOS!$G15967="EX",1,IF(DATOS!$G15967="OR",--(COUNTIFS(nNIA,DATOS!$A15967,nCURSO,DATOS!$D15967,nESPEC,DATOS!$E15967,nASIG,DATOS!$I15967,nEVAL,"EX")=0),0))))</f>
      </c>
      <c r="H15967">
        <f>IF(DATOS!$G15967&lt;&gt;"EX",0,--(COUNTIFS(nNIA,DATOS!$A15967,nCURSO,DATOS!$D15967,nESPEC,DATOS!$E15967,nASIG,DATOS!$I15967,nEVAL,"OR")=0))</f>
      </c>
      <c r="I15967">
        <f>IF(DATOS!$I15967="","",IFERROR(VLOOKUP(DATOS!$I15967,CONFIG_ASIGNATURAS!$B$2:$J$91,9,FALSE()),""))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IF(DATOS!$A15968="",0,IF(CONFIG_METADATA!$B$4&lt;&gt;"OR+EX",--(DATOS!$G15968=CONFIG_METADATA!$B$4),IF(DATOS!$G15968="EX",1,IF(DATOS!$G15968="OR",--(COUNTIFS(nNIA,DATOS!$A15968,nCURSO,DATOS!$D15968,nESPEC,DATOS!$E15968,nASIG,DATOS!$I15968,nEVAL,"EX")=0),0))))</f>
      </c>
      <c r="H15968">
        <f>IF(DATOS!$G15968&lt;&gt;"EX",0,--(COUNTIFS(nNIA,DATOS!$A15968,nCURSO,DATOS!$D15968,nESPEC,DATOS!$E15968,nASIG,DATOS!$I15968,nEVAL,"OR")=0))</f>
      </c>
      <c r="I15968">
        <f>IF(DATOS!$I15968="","",IFERROR(VLOOKUP(DATOS!$I15968,CONFIG_ASIGNATURAS!$B$2:$J$91,9,FALSE()),""))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IF(DATOS!$A15969="",0,IF(CONFIG_METADATA!$B$4&lt;&gt;"OR+EX",--(DATOS!$G15969=CONFIG_METADATA!$B$4),IF(DATOS!$G15969="EX",1,IF(DATOS!$G15969="OR",--(COUNTIFS(nNIA,DATOS!$A15969,nCURSO,DATOS!$D15969,nESPEC,DATOS!$E15969,nASIG,DATOS!$I15969,nEVAL,"EX")=0),0))))</f>
      </c>
      <c r="H15969">
        <f>IF(DATOS!$G15969&lt;&gt;"EX",0,--(COUNTIFS(nNIA,DATOS!$A15969,nCURSO,DATOS!$D15969,nESPEC,DATOS!$E15969,nASIG,DATOS!$I15969,nEVAL,"OR")=0))</f>
      </c>
      <c r="I15969">
        <f>IF(DATOS!$I15969="","",IFERROR(VLOOKUP(DATOS!$I15969,CONFIG_ASIGNATURAS!$B$2:$J$91,9,FALSE()),""))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IF(DATOS!$A15970="",0,IF(CONFIG_METADATA!$B$4&lt;&gt;"OR+EX",--(DATOS!$G15970=CONFIG_METADATA!$B$4),IF(DATOS!$G15970="EX",1,IF(DATOS!$G15970="OR",--(COUNTIFS(nNIA,DATOS!$A15970,nCURSO,DATOS!$D15970,nESPEC,DATOS!$E15970,nASIG,DATOS!$I15970,nEVAL,"EX")=0),0))))</f>
      </c>
      <c r="H15970">
        <f>IF(DATOS!$G15970&lt;&gt;"EX",0,--(COUNTIFS(nNIA,DATOS!$A15970,nCURSO,DATOS!$D15970,nESPEC,DATOS!$E15970,nASIG,DATOS!$I15970,nEVAL,"OR")=0))</f>
      </c>
      <c r="I15970">
        <f>IF(DATOS!$I15970="","",IFERROR(VLOOKUP(DATOS!$I15970,CONFIG_ASIGNATURAS!$B$2:$J$91,9,FALSE()),""))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IF(DATOS!$A15971="",0,IF(CONFIG_METADATA!$B$4&lt;&gt;"OR+EX",--(DATOS!$G15971=CONFIG_METADATA!$B$4),IF(DATOS!$G15971="EX",1,IF(DATOS!$G15971="OR",--(COUNTIFS(nNIA,DATOS!$A15971,nCURSO,DATOS!$D15971,nESPEC,DATOS!$E15971,nASIG,DATOS!$I15971,nEVAL,"EX")=0),0))))</f>
      </c>
      <c r="H15971">
        <f>IF(DATOS!$G15971&lt;&gt;"EX",0,--(COUNTIFS(nNIA,DATOS!$A15971,nCURSO,DATOS!$D15971,nESPEC,DATOS!$E15971,nASIG,DATOS!$I15971,nEVAL,"OR")=0))</f>
      </c>
      <c r="I15971">
        <f>IF(DATOS!$I15971="","",IFERROR(VLOOKUP(DATOS!$I15971,CONFIG_ASIGNATURAS!$B$2:$J$91,9,FALSE()),""))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IF(DATOS!$A15972="",0,IF(CONFIG_METADATA!$B$4&lt;&gt;"OR+EX",--(DATOS!$G15972=CONFIG_METADATA!$B$4),IF(DATOS!$G15972="EX",1,IF(DATOS!$G15972="OR",--(COUNTIFS(nNIA,DATOS!$A15972,nCURSO,DATOS!$D15972,nESPEC,DATOS!$E15972,nASIG,DATOS!$I15972,nEVAL,"EX")=0),0))))</f>
      </c>
      <c r="H15972">
        <f>IF(DATOS!$G15972&lt;&gt;"EX",0,--(COUNTIFS(nNIA,DATOS!$A15972,nCURSO,DATOS!$D15972,nESPEC,DATOS!$E15972,nASIG,DATOS!$I15972,nEVAL,"OR")=0))</f>
      </c>
      <c r="I15972">
        <f>IF(DATOS!$I15972="","",IFERROR(VLOOKUP(DATOS!$I15972,CONFIG_ASIGNATURAS!$B$2:$J$91,9,FALSE()),""))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IF(DATOS!$A15973="",0,IF(CONFIG_METADATA!$B$4&lt;&gt;"OR+EX",--(DATOS!$G15973=CONFIG_METADATA!$B$4),IF(DATOS!$G15973="EX",1,IF(DATOS!$G15973="OR",--(COUNTIFS(nNIA,DATOS!$A15973,nCURSO,DATOS!$D15973,nESPEC,DATOS!$E15973,nASIG,DATOS!$I15973,nEVAL,"EX")=0),0))))</f>
      </c>
      <c r="H15973">
        <f>IF(DATOS!$G15973&lt;&gt;"EX",0,--(COUNTIFS(nNIA,DATOS!$A15973,nCURSO,DATOS!$D15973,nESPEC,DATOS!$E15973,nASIG,DATOS!$I15973,nEVAL,"OR")=0))</f>
      </c>
      <c r="I15973">
        <f>IF(DATOS!$I15973="","",IFERROR(VLOOKUP(DATOS!$I15973,CONFIG_ASIGNATURAS!$B$2:$J$91,9,FALSE()),""))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IF(DATOS!$A15974="",0,IF(CONFIG_METADATA!$B$4&lt;&gt;"OR+EX",--(DATOS!$G15974=CONFIG_METADATA!$B$4),IF(DATOS!$G15974="EX",1,IF(DATOS!$G15974="OR",--(COUNTIFS(nNIA,DATOS!$A15974,nCURSO,DATOS!$D15974,nESPEC,DATOS!$E15974,nASIG,DATOS!$I15974,nEVAL,"EX")=0),0))))</f>
      </c>
      <c r="H15974">
        <f>IF(DATOS!$G15974&lt;&gt;"EX",0,--(COUNTIFS(nNIA,DATOS!$A15974,nCURSO,DATOS!$D15974,nESPEC,DATOS!$E15974,nASIG,DATOS!$I15974,nEVAL,"OR")=0))</f>
      </c>
      <c r="I15974">
        <f>IF(DATOS!$I15974="","",IFERROR(VLOOKUP(DATOS!$I15974,CONFIG_ASIGNATURAS!$B$2:$J$91,9,FALSE()),""))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IF(DATOS!$A15975="",0,IF(CONFIG_METADATA!$B$4&lt;&gt;"OR+EX",--(DATOS!$G15975=CONFIG_METADATA!$B$4),IF(DATOS!$G15975="EX",1,IF(DATOS!$G15975="OR",--(COUNTIFS(nNIA,DATOS!$A15975,nCURSO,DATOS!$D15975,nESPEC,DATOS!$E15975,nASIG,DATOS!$I15975,nEVAL,"EX")=0),0))))</f>
      </c>
      <c r="H15975">
        <f>IF(DATOS!$G15975&lt;&gt;"EX",0,--(COUNTIFS(nNIA,DATOS!$A15975,nCURSO,DATOS!$D15975,nESPEC,DATOS!$E15975,nASIG,DATOS!$I15975,nEVAL,"OR")=0))</f>
      </c>
      <c r="I15975">
        <f>IF(DATOS!$I15975="","",IFERROR(VLOOKUP(DATOS!$I15975,CONFIG_ASIGNATURAS!$B$2:$J$91,9,FALSE()),""))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IF(DATOS!$A15976="",0,IF(CONFIG_METADATA!$B$4&lt;&gt;"OR+EX",--(DATOS!$G15976=CONFIG_METADATA!$B$4),IF(DATOS!$G15976="EX",1,IF(DATOS!$G15976="OR",--(COUNTIFS(nNIA,DATOS!$A15976,nCURSO,DATOS!$D15976,nESPEC,DATOS!$E15976,nASIG,DATOS!$I15976,nEVAL,"EX")=0),0))))</f>
      </c>
      <c r="H15976">
        <f>IF(DATOS!$G15976&lt;&gt;"EX",0,--(COUNTIFS(nNIA,DATOS!$A15976,nCURSO,DATOS!$D15976,nESPEC,DATOS!$E15976,nASIG,DATOS!$I15976,nEVAL,"OR")=0))</f>
      </c>
      <c r="I15976">
        <f>IF(DATOS!$I15976="","",IFERROR(VLOOKUP(DATOS!$I15976,CONFIG_ASIGNATURAS!$B$2:$J$91,9,FALSE()),""))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IF(DATOS!$A15977="",0,IF(CONFIG_METADATA!$B$4&lt;&gt;"OR+EX",--(DATOS!$G15977=CONFIG_METADATA!$B$4),IF(DATOS!$G15977="EX",1,IF(DATOS!$G15977="OR",--(COUNTIFS(nNIA,DATOS!$A15977,nCURSO,DATOS!$D15977,nESPEC,DATOS!$E15977,nASIG,DATOS!$I15977,nEVAL,"EX")=0),0))))</f>
      </c>
      <c r="H15977">
        <f>IF(DATOS!$G15977&lt;&gt;"EX",0,--(COUNTIFS(nNIA,DATOS!$A15977,nCURSO,DATOS!$D15977,nESPEC,DATOS!$E15977,nASIG,DATOS!$I15977,nEVAL,"OR")=0))</f>
      </c>
      <c r="I15977">
        <f>IF(DATOS!$I15977="","",IFERROR(VLOOKUP(DATOS!$I15977,CONFIG_ASIGNATURAS!$B$2:$J$91,9,FALSE()),""))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IF(DATOS!$A15978="",0,IF(CONFIG_METADATA!$B$4&lt;&gt;"OR+EX",--(DATOS!$G15978=CONFIG_METADATA!$B$4),IF(DATOS!$G15978="EX",1,IF(DATOS!$G15978="OR",--(COUNTIFS(nNIA,DATOS!$A15978,nCURSO,DATOS!$D15978,nESPEC,DATOS!$E15978,nASIG,DATOS!$I15978,nEVAL,"EX")=0),0))))</f>
      </c>
      <c r="H15978">
        <f>IF(DATOS!$G15978&lt;&gt;"EX",0,--(COUNTIFS(nNIA,DATOS!$A15978,nCURSO,DATOS!$D15978,nESPEC,DATOS!$E15978,nASIG,DATOS!$I15978,nEVAL,"OR")=0))</f>
      </c>
      <c r="I15978">
        <f>IF(DATOS!$I15978="","",IFERROR(VLOOKUP(DATOS!$I15978,CONFIG_ASIGNATURAS!$B$2:$J$91,9,FALSE()),""))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IF(DATOS!$A15979="",0,IF(CONFIG_METADATA!$B$4&lt;&gt;"OR+EX",--(DATOS!$G15979=CONFIG_METADATA!$B$4),IF(DATOS!$G15979="EX",1,IF(DATOS!$G15979="OR",--(COUNTIFS(nNIA,DATOS!$A15979,nCURSO,DATOS!$D15979,nESPEC,DATOS!$E15979,nASIG,DATOS!$I15979,nEVAL,"EX")=0),0))))</f>
      </c>
      <c r="H15979">
        <f>IF(DATOS!$G15979&lt;&gt;"EX",0,--(COUNTIFS(nNIA,DATOS!$A15979,nCURSO,DATOS!$D15979,nESPEC,DATOS!$E15979,nASIG,DATOS!$I15979,nEVAL,"OR")=0))</f>
      </c>
      <c r="I15979">
        <f>IF(DATOS!$I15979="","",IFERROR(VLOOKUP(DATOS!$I15979,CONFIG_ASIGNATURAS!$B$2:$J$91,9,FALSE()),""))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IF(DATOS!$A15980="",0,IF(CONFIG_METADATA!$B$4&lt;&gt;"OR+EX",--(DATOS!$G15980=CONFIG_METADATA!$B$4),IF(DATOS!$G15980="EX",1,IF(DATOS!$G15980="OR",--(COUNTIFS(nNIA,DATOS!$A15980,nCURSO,DATOS!$D15980,nESPEC,DATOS!$E15980,nASIG,DATOS!$I15980,nEVAL,"EX")=0),0))))</f>
      </c>
      <c r="H15980">
        <f>IF(DATOS!$G15980&lt;&gt;"EX",0,--(COUNTIFS(nNIA,DATOS!$A15980,nCURSO,DATOS!$D15980,nESPEC,DATOS!$E15980,nASIG,DATOS!$I15980,nEVAL,"OR")=0))</f>
      </c>
      <c r="I15980">
        <f>IF(DATOS!$I15980="","",IFERROR(VLOOKUP(DATOS!$I15980,CONFIG_ASIGNATURAS!$B$2:$J$91,9,FALSE()),""))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IF(DATOS!$A15981="",0,IF(CONFIG_METADATA!$B$4&lt;&gt;"OR+EX",--(DATOS!$G15981=CONFIG_METADATA!$B$4),IF(DATOS!$G15981="EX",1,IF(DATOS!$G15981="OR",--(COUNTIFS(nNIA,DATOS!$A15981,nCURSO,DATOS!$D15981,nESPEC,DATOS!$E15981,nASIG,DATOS!$I15981,nEVAL,"EX")=0),0))))</f>
      </c>
      <c r="H15981">
        <f>IF(DATOS!$G15981&lt;&gt;"EX",0,--(COUNTIFS(nNIA,DATOS!$A15981,nCURSO,DATOS!$D15981,nESPEC,DATOS!$E15981,nASIG,DATOS!$I15981,nEVAL,"OR")=0))</f>
      </c>
      <c r="I15981">
        <f>IF(DATOS!$I15981="","",IFERROR(VLOOKUP(DATOS!$I15981,CONFIG_ASIGNATURAS!$B$2:$J$91,9,FALSE()),""))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IF(DATOS!$A15982="",0,IF(CONFIG_METADATA!$B$4&lt;&gt;"OR+EX",--(DATOS!$G15982=CONFIG_METADATA!$B$4),IF(DATOS!$G15982="EX",1,IF(DATOS!$G15982="OR",--(COUNTIFS(nNIA,DATOS!$A15982,nCURSO,DATOS!$D15982,nESPEC,DATOS!$E15982,nASIG,DATOS!$I15982,nEVAL,"EX")=0),0))))</f>
      </c>
      <c r="H15982">
        <f>IF(DATOS!$G15982&lt;&gt;"EX",0,--(COUNTIFS(nNIA,DATOS!$A15982,nCURSO,DATOS!$D15982,nESPEC,DATOS!$E15982,nASIG,DATOS!$I15982,nEVAL,"OR")=0))</f>
      </c>
      <c r="I15982">
        <f>IF(DATOS!$I15982="","",IFERROR(VLOOKUP(DATOS!$I15982,CONFIG_ASIGNATURAS!$B$2:$J$91,9,FALSE()),""))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IF(DATOS!$A15983="",0,IF(CONFIG_METADATA!$B$4&lt;&gt;"OR+EX",--(DATOS!$G15983=CONFIG_METADATA!$B$4),IF(DATOS!$G15983="EX",1,IF(DATOS!$G15983="OR",--(COUNTIFS(nNIA,DATOS!$A15983,nCURSO,DATOS!$D15983,nESPEC,DATOS!$E15983,nASIG,DATOS!$I15983,nEVAL,"EX")=0),0))))</f>
      </c>
      <c r="H15983">
        <f>IF(DATOS!$G15983&lt;&gt;"EX",0,--(COUNTIFS(nNIA,DATOS!$A15983,nCURSO,DATOS!$D15983,nESPEC,DATOS!$E15983,nASIG,DATOS!$I15983,nEVAL,"OR")=0))</f>
      </c>
      <c r="I15983">
        <f>IF(DATOS!$I15983="","",IFERROR(VLOOKUP(DATOS!$I15983,CONFIG_ASIGNATURAS!$B$2:$J$91,9,FALSE()),""))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IF(DATOS!$A15984="",0,IF(CONFIG_METADATA!$B$4&lt;&gt;"OR+EX",--(DATOS!$G15984=CONFIG_METADATA!$B$4),IF(DATOS!$G15984="EX",1,IF(DATOS!$G15984="OR",--(COUNTIFS(nNIA,DATOS!$A15984,nCURSO,DATOS!$D15984,nESPEC,DATOS!$E15984,nASIG,DATOS!$I15984,nEVAL,"EX")=0),0))))</f>
      </c>
      <c r="H15984">
        <f>IF(DATOS!$G15984&lt;&gt;"EX",0,--(COUNTIFS(nNIA,DATOS!$A15984,nCURSO,DATOS!$D15984,nESPEC,DATOS!$E15984,nASIG,DATOS!$I15984,nEVAL,"OR")=0))</f>
      </c>
      <c r="I15984">
        <f>IF(DATOS!$I15984="","",IFERROR(VLOOKUP(DATOS!$I15984,CONFIG_ASIGNATURAS!$B$2:$J$91,9,FALSE()),""))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IF(DATOS!$A15985="",0,IF(CONFIG_METADATA!$B$4&lt;&gt;"OR+EX",--(DATOS!$G15985=CONFIG_METADATA!$B$4),IF(DATOS!$G15985="EX",1,IF(DATOS!$G15985="OR",--(COUNTIFS(nNIA,DATOS!$A15985,nCURSO,DATOS!$D15985,nESPEC,DATOS!$E15985,nASIG,DATOS!$I15985,nEVAL,"EX")=0),0))))</f>
      </c>
      <c r="H15985">
        <f>IF(DATOS!$G15985&lt;&gt;"EX",0,--(COUNTIFS(nNIA,DATOS!$A15985,nCURSO,DATOS!$D15985,nESPEC,DATOS!$E15985,nASIG,DATOS!$I15985,nEVAL,"OR")=0))</f>
      </c>
      <c r="I15985">
        <f>IF(DATOS!$I15985="","",IFERROR(VLOOKUP(DATOS!$I15985,CONFIG_ASIGNATURAS!$B$2:$J$91,9,FALSE()),""))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IF(DATOS!$A15986="",0,IF(CONFIG_METADATA!$B$4&lt;&gt;"OR+EX",--(DATOS!$G15986=CONFIG_METADATA!$B$4),IF(DATOS!$G15986="EX",1,IF(DATOS!$G15986="OR",--(COUNTIFS(nNIA,DATOS!$A15986,nCURSO,DATOS!$D15986,nESPEC,DATOS!$E15986,nASIG,DATOS!$I15986,nEVAL,"EX")=0),0))))</f>
      </c>
      <c r="H15986">
        <f>IF(DATOS!$G15986&lt;&gt;"EX",0,--(COUNTIFS(nNIA,DATOS!$A15986,nCURSO,DATOS!$D15986,nESPEC,DATOS!$E15986,nASIG,DATOS!$I15986,nEVAL,"OR")=0))</f>
      </c>
      <c r="I15986">
        <f>IF(DATOS!$I15986="","",IFERROR(VLOOKUP(DATOS!$I15986,CONFIG_ASIGNATURAS!$B$2:$J$91,9,FALSE()),""))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IF(DATOS!$A15987="",0,IF(CONFIG_METADATA!$B$4&lt;&gt;"OR+EX",--(DATOS!$G15987=CONFIG_METADATA!$B$4),IF(DATOS!$G15987="EX",1,IF(DATOS!$G15987="OR",--(COUNTIFS(nNIA,DATOS!$A15987,nCURSO,DATOS!$D15987,nESPEC,DATOS!$E15987,nASIG,DATOS!$I15987,nEVAL,"EX")=0),0))))</f>
      </c>
      <c r="H15987">
        <f>IF(DATOS!$G15987&lt;&gt;"EX",0,--(COUNTIFS(nNIA,DATOS!$A15987,nCURSO,DATOS!$D15987,nESPEC,DATOS!$E15987,nASIG,DATOS!$I15987,nEVAL,"OR")=0))</f>
      </c>
      <c r="I15987">
        <f>IF(DATOS!$I15987="","",IFERROR(VLOOKUP(DATOS!$I15987,CONFIG_ASIGNATURAS!$B$2:$J$91,9,FALSE()),""))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IF(DATOS!$A15988="",0,IF(CONFIG_METADATA!$B$4&lt;&gt;"OR+EX",--(DATOS!$G15988=CONFIG_METADATA!$B$4),IF(DATOS!$G15988="EX",1,IF(DATOS!$G15988="OR",--(COUNTIFS(nNIA,DATOS!$A15988,nCURSO,DATOS!$D15988,nESPEC,DATOS!$E15988,nASIG,DATOS!$I15988,nEVAL,"EX")=0),0))))</f>
      </c>
      <c r="H15988">
        <f>IF(DATOS!$G15988&lt;&gt;"EX",0,--(COUNTIFS(nNIA,DATOS!$A15988,nCURSO,DATOS!$D15988,nESPEC,DATOS!$E15988,nASIG,DATOS!$I15988,nEVAL,"OR")=0))</f>
      </c>
      <c r="I15988">
        <f>IF(DATOS!$I15988="","",IFERROR(VLOOKUP(DATOS!$I15988,CONFIG_ASIGNATURAS!$B$2:$J$91,9,FALSE()),""))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IF(DATOS!$A15989="",0,IF(CONFIG_METADATA!$B$4&lt;&gt;"OR+EX",--(DATOS!$G15989=CONFIG_METADATA!$B$4),IF(DATOS!$G15989="EX",1,IF(DATOS!$G15989="OR",--(COUNTIFS(nNIA,DATOS!$A15989,nCURSO,DATOS!$D15989,nESPEC,DATOS!$E15989,nASIG,DATOS!$I15989,nEVAL,"EX")=0),0))))</f>
      </c>
      <c r="H15989">
        <f>IF(DATOS!$G15989&lt;&gt;"EX",0,--(COUNTIFS(nNIA,DATOS!$A15989,nCURSO,DATOS!$D15989,nESPEC,DATOS!$E15989,nASIG,DATOS!$I15989,nEVAL,"OR")=0))</f>
      </c>
      <c r="I15989">
        <f>IF(DATOS!$I15989="","",IFERROR(VLOOKUP(DATOS!$I15989,CONFIG_ASIGNATURAS!$B$2:$J$91,9,FALSE()),""))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IF(DATOS!$A15990="",0,IF(CONFIG_METADATA!$B$4&lt;&gt;"OR+EX",--(DATOS!$G15990=CONFIG_METADATA!$B$4),IF(DATOS!$G15990="EX",1,IF(DATOS!$G15990="OR",--(COUNTIFS(nNIA,DATOS!$A15990,nCURSO,DATOS!$D15990,nESPEC,DATOS!$E15990,nASIG,DATOS!$I15990,nEVAL,"EX")=0),0))))</f>
      </c>
      <c r="H15990">
        <f>IF(DATOS!$G15990&lt;&gt;"EX",0,--(COUNTIFS(nNIA,DATOS!$A15990,nCURSO,DATOS!$D15990,nESPEC,DATOS!$E15990,nASIG,DATOS!$I15990,nEVAL,"OR")=0))</f>
      </c>
      <c r="I15990">
        <f>IF(DATOS!$I15990="","",IFERROR(VLOOKUP(DATOS!$I15990,CONFIG_ASIGNATURAS!$B$2:$J$91,9,FALSE()),""))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IF(DATOS!$A15991="",0,IF(CONFIG_METADATA!$B$4&lt;&gt;"OR+EX",--(DATOS!$G15991=CONFIG_METADATA!$B$4),IF(DATOS!$G15991="EX",1,IF(DATOS!$G15991="OR",--(COUNTIFS(nNIA,DATOS!$A15991,nCURSO,DATOS!$D15991,nESPEC,DATOS!$E15991,nASIG,DATOS!$I15991,nEVAL,"EX")=0),0))))</f>
      </c>
      <c r="H15991">
        <f>IF(DATOS!$G15991&lt;&gt;"EX",0,--(COUNTIFS(nNIA,DATOS!$A15991,nCURSO,DATOS!$D15991,nESPEC,DATOS!$E15991,nASIG,DATOS!$I15991,nEVAL,"OR")=0))</f>
      </c>
      <c r="I15991">
        <f>IF(DATOS!$I15991="","",IFERROR(VLOOKUP(DATOS!$I15991,CONFIG_ASIGNATURAS!$B$2:$J$91,9,FALSE()),""))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IF(DATOS!$A15992="",0,IF(CONFIG_METADATA!$B$4&lt;&gt;"OR+EX",--(DATOS!$G15992=CONFIG_METADATA!$B$4),IF(DATOS!$G15992="EX",1,IF(DATOS!$G15992="OR",--(COUNTIFS(nNIA,DATOS!$A15992,nCURSO,DATOS!$D15992,nESPEC,DATOS!$E15992,nASIG,DATOS!$I15992,nEVAL,"EX")=0),0))))</f>
      </c>
      <c r="H15992">
        <f>IF(DATOS!$G15992&lt;&gt;"EX",0,--(COUNTIFS(nNIA,DATOS!$A15992,nCURSO,DATOS!$D15992,nESPEC,DATOS!$E15992,nASIG,DATOS!$I15992,nEVAL,"OR")=0))</f>
      </c>
      <c r="I15992">
        <f>IF(DATOS!$I15992="","",IFERROR(VLOOKUP(DATOS!$I15992,CONFIG_ASIGNATURAS!$B$2:$J$91,9,FALSE()),""))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IF(DATOS!$A15993="",0,IF(CONFIG_METADATA!$B$4&lt;&gt;"OR+EX",--(DATOS!$G15993=CONFIG_METADATA!$B$4),IF(DATOS!$G15993="EX",1,IF(DATOS!$G15993="OR",--(COUNTIFS(nNIA,DATOS!$A15993,nCURSO,DATOS!$D15993,nESPEC,DATOS!$E15993,nASIG,DATOS!$I15993,nEVAL,"EX")=0),0))))</f>
      </c>
      <c r="H15993">
        <f>IF(DATOS!$G15993&lt;&gt;"EX",0,--(COUNTIFS(nNIA,DATOS!$A15993,nCURSO,DATOS!$D15993,nESPEC,DATOS!$E15993,nASIG,DATOS!$I15993,nEVAL,"OR")=0))</f>
      </c>
      <c r="I15993">
        <f>IF(DATOS!$I15993="","",IFERROR(VLOOKUP(DATOS!$I15993,CONFIG_ASIGNATURAS!$B$2:$J$91,9,FALSE()),""))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IF(DATOS!$A15994="",0,IF(CONFIG_METADATA!$B$4&lt;&gt;"OR+EX",--(DATOS!$G15994=CONFIG_METADATA!$B$4),IF(DATOS!$G15994="EX",1,IF(DATOS!$G15994="OR",--(COUNTIFS(nNIA,DATOS!$A15994,nCURSO,DATOS!$D15994,nESPEC,DATOS!$E15994,nASIG,DATOS!$I15994,nEVAL,"EX")=0),0))))</f>
      </c>
      <c r="H15994">
        <f>IF(DATOS!$G15994&lt;&gt;"EX",0,--(COUNTIFS(nNIA,DATOS!$A15994,nCURSO,DATOS!$D15994,nESPEC,DATOS!$E15994,nASIG,DATOS!$I15994,nEVAL,"OR")=0))</f>
      </c>
      <c r="I15994">
        <f>IF(DATOS!$I15994="","",IFERROR(VLOOKUP(DATOS!$I15994,CONFIG_ASIGNATURAS!$B$2:$J$91,9,FALSE()),""))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IF(DATOS!$A15995="",0,IF(CONFIG_METADATA!$B$4&lt;&gt;"OR+EX",--(DATOS!$G15995=CONFIG_METADATA!$B$4),IF(DATOS!$G15995="EX",1,IF(DATOS!$G15995="OR",--(COUNTIFS(nNIA,DATOS!$A15995,nCURSO,DATOS!$D15995,nESPEC,DATOS!$E15995,nASIG,DATOS!$I15995,nEVAL,"EX")=0),0))))</f>
      </c>
      <c r="H15995">
        <f>IF(DATOS!$G15995&lt;&gt;"EX",0,--(COUNTIFS(nNIA,DATOS!$A15995,nCURSO,DATOS!$D15995,nESPEC,DATOS!$E15995,nASIG,DATOS!$I15995,nEVAL,"OR")=0))</f>
      </c>
      <c r="I15995">
        <f>IF(DATOS!$I15995="","",IFERROR(VLOOKUP(DATOS!$I15995,CONFIG_ASIGNATURAS!$B$2:$J$91,9,FALSE()),""))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IF(DATOS!$A15996="",0,IF(CONFIG_METADATA!$B$4&lt;&gt;"OR+EX",--(DATOS!$G15996=CONFIG_METADATA!$B$4),IF(DATOS!$G15996="EX",1,IF(DATOS!$G15996="OR",--(COUNTIFS(nNIA,DATOS!$A15996,nCURSO,DATOS!$D15996,nESPEC,DATOS!$E15996,nASIG,DATOS!$I15996,nEVAL,"EX")=0),0))))</f>
      </c>
      <c r="H15996">
        <f>IF(DATOS!$G15996&lt;&gt;"EX",0,--(COUNTIFS(nNIA,DATOS!$A15996,nCURSO,DATOS!$D15996,nESPEC,DATOS!$E15996,nASIG,DATOS!$I15996,nEVAL,"OR")=0))</f>
      </c>
      <c r="I15996">
        <f>IF(DATOS!$I15996="","",IFERROR(VLOOKUP(DATOS!$I15996,CONFIG_ASIGNATURAS!$B$2:$J$91,9,FALSE()),""))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IF(DATOS!$A15997="",0,IF(CONFIG_METADATA!$B$4&lt;&gt;"OR+EX",--(DATOS!$G15997=CONFIG_METADATA!$B$4),IF(DATOS!$G15997="EX",1,IF(DATOS!$G15997="OR",--(COUNTIFS(nNIA,DATOS!$A15997,nCURSO,DATOS!$D15997,nESPEC,DATOS!$E15997,nASIG,DATOS!$I15997,nEVAL,"EX")=0),0))))</f>
      </c>
      <c r="H15997">
        <f>IF(DATOS!$G15997&lt;&gt;"EX",0,--(COUNTIFS(nNIA,DATOS!$A15997,nCURSO,DATOS!$D15997,nESPEC,DATOS!$E15997,nASIG,DATOS!$I15997,nEVAL,"OR")=0))</f>
      </c>
      <c r="I15997">
        <f>IF(DATOS!$I15997="","",IFERROR(VLOOKUP(DATOS!$I15997,CONFIG_ASIGNATURAS!$B$2:$J$91,9,FALSE()),""))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IF(DATOS!$A15998="",0,IF(CONFIG_METADATA!$B$4&lt;&gt;"OR+EX",--(DATOS!$G15998=CONFIG_METADATA!$B$4),IF(DATOS!$G15998="EX",1,IF(DATOS!$G15998="OR",--(COUNTIFS(nNIA,DATOS!$A15998,nCURSO,DATOS!$D15998,nESPEC,DATOS!$E15998,nASIG,DATOS!$I15998,nEVAL,"EX")=0),0))))</f>
      </c>
      <c r="H15998">
        <f>IF(DATOS!$G15998&lt;&gt;"EX",0,--(COUNTIFS(nNIA,DATOS!$A15998,nCURSO,DATOS!$D15998,nESPEC,DATOS!$E15998,nASIG,DATOS!$I15998,nEVAL,"OR")=0))</f>
      </c>
      <c r="I15998">
        <f>IF(DATOS!$I15998="","",IFERROR(VLOOKUP(DATOS!$I15998,CONFIG_ASIGNATURAS!$B$2:$J$91,9,FALSE()),""))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IF(DATOS!$A15999="",0,IF(CONFIG_METADATA!$B$4&lt;&gt;"OR+EX",--(DATOS!$G15999=CONFIG_METADATA!$B$4),IF(DATOS!$G15999="EX",1,IF(DATOS!$G15999="OR",--(COUNTIFS(nNIA,DATOS!$A15999,nCURSO,DATOS!$D15999,nESPEC,DATOS!$E15999,nASIG,DATOS!$I15999,nEVAL,"EX")=0),0))))</f>
      </c>
      <c r="H15999">
        <f>IF(DATOS!$G15999&lt;&gt;"EX",0,--(COUNTIFS(nNIA,DATOS!$A15999,nCURSO,DATOS!$D15999,nESPEC,DATOS!$E15999,nASIG,DATOS!$I15999,nEVAL,"OR")=0))</f>
      </c>
      <c r="I15999">
        <f>IF(DATOS!$I15999="","",IFERROR(VLOOKUP(DATOS!$I15999,CONFIG_ASIGNATURAS!$B$2:$J$91,9,FALSE()),""))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IF(DATOS!$A16000="",0,IF(CONFIG_METADATA!$B$4&lt;&gt;"OR+EX",--(DATOS!$G16000=CONFIG_METADATA!$B$4),IF(DATOS!$G16000="EX",1,IF(DATOS!$G16000="OR",--(COUNTIFS(nNIA,DATOS!$A16000,nCURSO,DATOS!$D16000,nESPEC,DATOS!$E16000,nASIG,DATOS!$I16000,nEVAL,"EX")=0),0))))</f>
      </c>
      <c r="H16000">
        <f>IF(DATOS!$G16000&lt;&gt;"EX",0,--(COUNTIFS(nNIA,DATOS!$A16000,nCURSO,DATOS!$D16000,nESPEC,DATOS!$E16000,nASIG,DATOS!$I16000,nEVAL,"OR")=0))</f>
      </c>
      <c r="I16000">
        <f>IF(DATOS!$I16000="","",IFERROR(VLOOKUP(DATOS!$I16000,CONFIG_ASIGNATURAS!$B$2:$J$91,9,FALSE()),""))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IF(DATOS!$A16001="",0,IF(CONFIG_METADATA!$B$4&lt;&gt;"OR+EX",--(DATOS!$G16001=CONFIG_METADATA!$B$4),IF(DATOS!$G16001="EX",1,IF(DATOS!$G16001="OR",--(COUNTIFS(nNIA,DATOS!$A16001,nCURSO,DATOS!$D16001,nESPEC,DATOS!$E16001,nASIG,DATOS!$I16001,nEVAL,"EX")=0),0))))</f>
      </c>
      <c r="H16001">
        <f>IF(DATOS!$G16001&lt;&gt;"EX",0,--(COUNTIFS(nNIA,DATOS!$A16001,nCURSO,DATOS!$D16001,nESPEC,DATOS!$E16001,nASIG,DATOS!$I16001,nEVAL,"OR")=0))</f>
      </c>
      <c r="I16001">
        <f>IF(DATOS!$I16001="","",IFERROR(VLOOKUP(DATOS!$I16001,CONFIG_ASIGNATURAS!$B$2:$J$91,9,FALSE()),""))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IF(DATOS!$A16002="",0,IF(CONFIG_METADATA!$B$4&lt;&gt;"OR+EX",--(DATOS!$G16002=CONFIG_METADATA!$B$4),IF(DATOS!$G16002="EX",1,IF(DATOS!$G16002="OR",--(COUNTIFS(nNIA,DATOS!$A16002,nCURSO,DATOS!$D16002,nESPEC,DATOS!$E16002,nASIG,DATOS!$I16002,nEVAL,"EX")=0),0))))</f>
      </c>
      <c r="H16002">
        <f>IF(DATOS!$G16002&lt;&gt;"EX",0,--(COUNTIFS(nNIA,DATOS!$A16002,nCURSO,DATOS!$D16002,nESPEC,DATOS!$E16002,nASIG,DATOS!$I16002,nEVAL,"OR")=0))</f>
      </c>
      <c r="I16002">
        <f>IF(DATOS!$I16002="","",IFERROR(VLOOKUP(DATOS!$I16002,CONFIG_ASIGNATURAS!$B$2:$J$91,9,FALSE()),""))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IF(DATOS!$A16003="",0,IF(CONFIG_METADATA!$B$4&lt;&gt;"OR+EX",--(DATOS!$G16003=CONFIG_METADATA!$B$4),IF(DATOS!$G16003="EX",1,IF(DATOS!$G16003="OR",--(COUNTIFS(nNIA,DATOS!$A16003,nCURSO,DATOS!$D16003,nESPEC,DATOS!$E16003,nASIG,DATOS!$I16003,nEVAL,"EX")=0),0))))</f>
      </c>
      <c r="H16003">
        <f>IF(DATOS!$G16003&lt;&gt;"EX",0,--(COUNTIFS(nNIA,DATOS!$A16003,nCURSO,DATOS!$D16003,nESPEC,DATOS!$E16003,nASIG,DATOS!$I16003,nEVAL,"OR")=0))</f>
      </c>
      <c r="I16003">
        <f>IF(DATOS!$I16003="","",IFERROR(VLOOKUP(DATOS!$I16003,CONFIG_ASIGNATURAS!$B$2:$J$91,9,FALSE()),""))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IF(DATOS!$A16004="",0,IF(CONFIG_METADATA!$B$4&lt;&gt;"OR+EX",--(DATOS!$G16004=CONFIG_METADATA!$B$4),IF(DATOS!$G16004="EX",1,IF(DATOS!$G16004="OR",--(COUNTIFS(nNIA,DATOS!$A16004,nCURSO,DATOS!$D16004,nESPEC,DATOS!$E16004,nASIG,DATOS!$I16004,nEVAL,"EX")=0),0))))</f>
      </c>
      <c r="H16004">
        <f>IF(DATOS!$G16004&lt;&gt;"EX",0,--(COUNTIFS(nNIA,DATOS!$A16004,nCURSO,DATOS!$D16004,nESPEC,DATOS!$E16004,nASIG,DATOS!$I16004,nEVAL,"OR")=0))</f>
      </c>
      <c r="I16004">
        <f>IF(DATOS!$I16004="","",IFERROR(VLOOKUP(DATOS!$I16004,CONFIG_ASIGNATURAS!$B$2:$J$91,9,FALSE()),""))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IF(DATOS!$A16005="",0,IF(CONFIG_METADATA!$B$4&lt;&gt;"OR+EX",--(DATOS!$G16005=CONFIG_METADATA!$B$4),IF(DATOS!$G16005="EX",1,IF(DATOS!$G16005="OR",--(COUNTIFS(nNIA,DATOS!$A16005,nCURSO,DATOS!$D16005,nESPEC,DATOS!$E16005,nASIG,DATOS!$I16005,nEVAL,"EX")=0),0))))</f>
      </c>
      <c r="H16005">
        <f>IF(DATOS!$G16005&lt;&gt;"EX",0,--(COUNTIFS(nNIA,DATOS!$A16005,nCURSO,DATOS!$D16005,nESPEC,DATOS!$E16005,nASIG,DATOS!$I16005,nEVAL,"OR")=0))</f>
      </c>
      <c r="I16005">
        <f>IF(DATOS!$I16005="","",IFERROR(VLOOKUP(DATOS!$I16005,CONFIG_ASIGNATURAS!$B$2:$J$91,9,FALSE()),""))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IF(DATOS!$A16006="",0,IF(CONFIG_METADATA!$B$4&lt;&gt;"OR+EX",--(DATOS!$G16006=CONFIG_METADATA!$B$4),IF(DATOS!$G16006="EX",1,IF(DATOS!$G16006="OR",--(COUNTIFS(nNIA,DATOS!$A16006,nCURSO,DATOS!$D16006,nESPEC,DATOS!$E16006,nASIG,DATOS!$I16006,nEVAL,"EX")=0),0))))</f>
      </c>
      <c r="H16006">
        <f>IF(DATOS!$G16006&lt;&gt;"EX",0,--(COUNTIFS(nNIA,DATOS!$A16006,nCURSO,DATOS!$D16006,nESPEC,DATOS!$E16006,nASIG,DATOS!$I16006,nEVAL,"OR")=0))</f>
      </c>
      <c r="I16006">
        <f>IF(DATOS!$I16006="","",IFERROR(VLOOKUP(DATOS!$I16006,CONFIG_ASIGNATURAS!$B$2:$J$91,9,FALSE()),""))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IF(DATOS!$A16007="",0,IF(CONFIG_METADATA!$B$4&lt;&gt;"OR+EX",--(DATOS!$G16007=CONFIG_METADATA!$B$4),IF(DATOS!$G16007="EX",1,IF(DATOS!$G16007="OR",--(COUNTIFS(nNIA,DATOS!$A16007,nCURSO,DATOS!$D16007,nESPEC,DATOS!$E16007,nASIG,DATOS!$I16007,nEVAL,"EX")=0),0))))</f>
      </c>
      <c r="H16007">
        <f>IF(DATOS!$G16007&lt;&gt;"EX",0,--(COUNTIFS(nNIA,DATOS!$A16007,nCURSO,DATOS!$D16007,nESPEC,DATOS!$E16007,nASIG,DATOS!$I16007,nEVAL,"OR")=0))</f>
      </c>
      <c r="I16007">
        <f>IF(DATOS!$I16007="","",IFERROR(VLOOKUP(DATOS!$I16007,CONFIG_ASIGNATURAS!$B$2:$J$91,9,FALSE()),""))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IF(DATOS!$A16008="",0,IF(CONFIG_METADATA!$B$4&lt;&gt;"OR+EX",--(DATOS!$G16008=CONFIG_METADATA!$B$4),IF(DATOS!$G16008="EX",1,IF(DATOS!$G16008="OR",--(COUNTIFS(nNIA,DATOS!$A16008,nCURSO,DATOS!$D16008,nESPEC,DATOS!$E16008,nASIG,DATOS!$I16008,nEVAL,"EX")=0),0))))</f>
      </c>
      <c r="H16008">
        <f>IF(DATOS!$G16008&lt;&gt;"EX",0,--(COUNTIFS(nNIA,DATOS!$A16008,nCURSO,DATOS!$D16008,nESPEC,DATOS!$E16008,nASIG,DATOS!$I16008,nEVAL,"OR")=0))</f>
      </c>
      <c r="I16008">
        <f>IF(DATOS!$I16008="","",IFERROR(VLOOKUP(DATOS!$I16008,CONFIG_ASIGNATURAS!$B$2:$J$91,9,FALSE()),""))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IF(DATOS!$A16009="",0,IF(CONFIG_METADATA!$B$4&lt;&gt;"OR+EX",--(DATOS!$G16009=CONFIG_METADATA!$B$4),IF(DATOS!$G16009="EX",1,IF(DATOS!$G16009="OR",--(COUNTIFS(nNIA,DATOS!$A16009,nCURSO,DATOS!$D16009,nESPEC,DATOS!$E16009,nASIG,DATOS!$I16009,nEVAL,"EX")=0),0))))</f>
      </c>
      <c r="H16009">
        <f>IF(DATOS!$G16009&lt;&gt;"EX",0,--(COUNTIFS(nNIA,DATOS!$A16009,nCURSO,DATOS!$D16009,nESPEC,DATOS!$E16009,nASIG,DATOS!$I16009,nEVAL,"OR")=0))</f>
      </c>
      <c r="I16009">
        <f>IF(DATOS!$I16009="","",IFERROR(VLOOKUP(DATOS!$I16009,CONFIG_ASIGNATURAS!$B$2:$J$91,9,FALSE()),""))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IF(DATOS!$A16010="",0,IF(CONFIG_METADATA!$B$4&lt;&gt;"OR+EX",--(DATOS!$G16010=CONFIG_METADATA!$B$4),IF(DATOS!$G16010="EX",1,IF(DATOS!$G16010="OR",--(COUNTIFS(nNIA,DATOS!$A16010,nCURSO,DATOS!$D16010,nESPEC,DATOS!$E16010,nASIG,DATOS!$I16010,nEVAL,"EX")=0),0))))</f>
      </c>
      <c r="H16010">
        <f>IF(DATOS!$G16010&lt;&gt;"EX",0,--(COUNTIFS(nNIA,DATOS!$A16010,nCURSO,DATOS!$D16010,nESPEC,DATOS!$E16010,nASIG,DATOS!$I16010,nEVAL,"OR")=0))</f>
      </c>
      <c r="I16010">
        <f>IF(DATOS!$I16010="","",IFERROR(VLOOKUP(DATOS!$I16010,CONFIG_ASIGNATURAS!$B$2:$J$91,9,FALSE()),""))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IF(DATOS!$A16011="",0,IF(CONFIG_METADATA!$B$4&lt;&gt;"OR+EX",--(DATOS!$G16011=CONFIG_METADATA!$B$4),IF(DATOS!$G16011="EX",1,IF(DATOS!$G16011="OR",--(COUNTIFS(nNIA,DATOS!$A16011,nCURSO,DATOS!$D16011,nESPEC,DATOS!$E16011,nASIG,DATOS!$I16011,nEVAL,"EX")=0),0))))</f>
      </c>
      <c r="H16011">
        <f>IF(DATOS!$G16011&lt;&gt;"EX",0,--(COUNTIFS(nNIA,DATOS!$A16011,nCURSO,DATOS!$D16011,nESPEC,DATOS!$E16011,nASIG,DATOS!$I16011,nEVAL,"OR")=0))</f>
      </c>
      <c r="I16011">
        <f>IF(DATOS!$I16011="","",IFERROR(VLOOKUP(DATOS!$I16011,CONFIG_ASIGNATURAS!$B$2:$J$91,9,FALSE()),""))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IF(DATOS!$A16012="",0,IF(CONFIG_METADATA!$B$4&lt;&gt;"OR+EX",--(DATOS!$G16012=CONFIG_METADATA!$B$4),IF(DATOS!$G16012="EX",1,IF(DATOS!$G16012="OR",--(COUNTIFS(nNIA,DATOS!$A16012,nCURSO,DATOS!$D16012,nESPEC,DATOS!$E16012,nASIG,DATOS!$I16012,nEVAL,"EX")=0),0))))</f>
      </c>
      <c r="H16012">
        <f>IF(DATOS!$G16012&lt;&gt;"EX",0,--(COUNTIFS(nNIA,DATOS!$A16012,nCURSO,DATOS!$D16012,nESPEC,DATOS!$E16012,nASIG,DATOS!$I16012,nEVAL,"OR")=0))</f>
      </c>
      <c r="I16012">
        <f>IF(DATOS!$I16012="","",IFERROR(VLOOKUP(DATOS!$I16012,CONFIG_ASIGNATURAS!$B$2:$J$91,9,FALSE()),""))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IF(DATOS!$A16013="",0,IF(CONFIG_METADATA!$B$4&lt;&gt;"OR+EX",--(DATOS!$G16013=CONFIG_METADATA!$B$4),IF(DATOS!$G16013="EX",1,IF(DATOS!$G16013="OR",--(COUNTIFS(nNIA,DATOS!$A16013,nCURSO,DATOS!$D16013,nESPEC,DATOS!$E16013,nASIG,DATOS!$I16013,nEVAL,"EX")=0),0))))</f>
      </c>
      <c r="H16013">
        <f>IF(DATOS!$G16013&lt;&gt;"EX",0,--(COUNTIFS(nNIA,DATOS!$A16013,nCURSO,DATOS!$D16013,nESPEC,DATOS!$E16013,nASIG,DATOS!$I16013,nEVAL,"OR")=0))</f>
      </c>
      <c r="I16013">
        <f>IF(DATOS!$I16013="","",IFERROR(VLOOKUP(DATOS!$I16013,CONFIG_ASIGNATURAS!$B$2:$J$91,9,FALSE()),""))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IF(DATOS!$A16014="",0,IF(CONFIG_METADATA!$B$4&lt;&gt;"OR+EX",--(DATOS!$G16014=CONFIG_METADATA!$B$4),IF(DATOS!$G16014="EX",1,IF(DATOS!$G16014="OR",--(COUNTIFS(nNIA,DATOS!$A16014,nCURSO,DATOS!$D16014,nESPEC,DATOS!$E16014,nASIG,DATOS!$I16014,nEVAL,"EX")=0),0))))</f>
      </c>
      <c r="H16014">
        <f>IF(DATOS!$G16014&lt;&gt;"EX",0,--(COUNTIFS(nNIA,DATOS!$A16014,nCURSO,DATOS!$D16014,nESPEC,DATOS!$E16014,nASIG,DATOS!$I16014,nEVAL,"OR")=0))</f>
      </c>
      <c r="I16014">
        <f>IF(DATOS!$I16014="","",IFERROR(VLOOKUP(DATOS!$I16014,CONFIG_ASIGNATURAS!$B$2:$J$91,9,FALSE()),""))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IF(DATOS!$A16015="",0,IF(CONFIG_METADATA!$B$4&lt;&gt;"OR+EX",--(DATOS!$G16015=CONFIG_METADATA!$B$4),IF(DATOS!$G16015="EX",1,IF(DATOS!$G16015="OR",--(COUNTIFS(nNIA,DATOS!$A16015,nCURSO,DATOS!$D16015,nESPEC,DATOS!$E16015,nASIG,DATOS!$I16015,nEVAL,"EX")=0),0))))</f>
      </c>
      <c r="H16015">
        <f>IF(DATOS!$G16015&lt;&gt;"EX",0,--(COUNTIFS(nNIA,DATOS!$A16015,nCURSO,DATOS!$D16015,nESPEC,DATOS!$E16015,nASIG,DATOS!$I16015,nEVAL,"OR")=0))</f>
      </c>
      <c r="I16015">
        <f>IF(DATOS!$I16015="","",IFERROR(VLOOKUP(DATOS!$I16015,CONFIG_ASIGNATURAS!$B$2:$J$91,9,FALSE()),""))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IF(DATOS!$A16016="",0,IF(CONFIG_METADATA!$B$4&lt;&gt;"OR+EX",--(DATOS!$G16016=CONFIG_METADATA!$B$4),IF(DATOS!$G16016="EX",1,IF(DATOS!$G16016="OR",--(COUNTIFS(nNIA,DATOS!$A16016,nCURSO,DATOS!$D16016,nESPEC,DATOS!$E16016,nASIG,DATOS!$I16016,nEVAL,"EX")=0),0))))</f>
      </c>
      <c r="H16016">
        <f>IF(DATOS!$G16016&lt;&gt;"EX",0,--(COUNTIFS(nNIA,DATOS!$A16016,nCURSO,DATOS!$D16016,nESPEC,DATOS!$E16016,nASIG,DATOS!$I16016,nEVAL,"OR")=0))</f>
      </c>
      <c r="I16016">
        <f>IF(DATOS!$I16016="","",IFERROR(VLOOKUP(DATOS!$I16016,CONFIG_ASIGNATURAS!$B$2:$J$91,9,FALSE()),""))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IF(DATOS!$A16017="",0,IF(CONFIG_METADATA!$B$4&lt;&gt;"OR+EX",--(DATOS!$G16017=CONFIG_METADATA!$B$4),IF(DATOS!$G16017="EX",1,IF(DATOS!$G16017="OR",--(COUNTIFS(nNIA,DATOS!$A16017,nCURSO,DATOS!$D16017,nESPEC,DATOS!$E16017,nASIG,DATOS!$I16017,nEVAL,"EX")=0),0))))</f>
      </c>
      <c r="H16017">
        <f>IF(DATOS!$G16017&lt;&gt;"EX",0,--(COUNTIFS(nNIA,DATOS!$A16017,nCURSO,DATOS!$D16017,nESPEC,DATOS!$E16017,nASIG,DATOS!$I16017,nEVAL,"OR")=0))</f>
      </c>
      <c r="I16017">
        <f>IF(DATOS!$I16017="","",IFERROR(VLOOKUP(DATOS!$I16017,CONFIG_ASIGNATURAS!$B$2:$J$91,9,FALSE()),""))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IF(DATOS!$A16018="",0,IF(CONFIG_METADATA!$B$4&lt;&gt;"OR+EX",--(DATOS!$G16018=CONFIG_METADATA!$B$4),IF(DATOS!$G16018="EX",1,IF(DATOS!$G16018="OR",--(COUNTIFS(nNIA,DATOS!$A16018,nCURSO,DATOS!$D16018,nESPEC,DATOS!$E16018,nASIG,DATOS!$I16018,nEVAL,"EX")=0),0))))</f>
      </c>
      <c r="H16018">
        <f>IF(DATOS!$G16018&lt;&gt;"EX",0,--(COUNTIFS(nNIA,DATOS!$A16018,nCURSO,DATOS!$D16018,nESPEC,DATOS!$E16018,nASIG,DATOS!$I16018,nEVAL,"OR")=0))</f>
      </c>
      <c r="I16018">
        <f>IF(DATOS!$I16018="","",IFERROR(VLOOKUP(DATOS!$I16018,CONFIG_ASIGNATURAS!$B$2:$J$91,9,FALSE()),""))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IF(DATOS!$A16019="",0,IF(CONFIG_METADATA!$B$4&lt;&gt;"OR+EX",--(DATOS!$G16019=CONFIG_METADATA!$B$4),IF(DATOS!$G16019="EX",1,IF(DATOS!$G16019="OR",--(COUNTIFS(nNIA,DATOS!$A16019,nCURSO,DATOS!$D16019,nESPEC,DATOS!$E16019,nASIG,DATOS!$I16019,nEVAL,"EX")=0),0))))</f>
      </c>
      <c r="H16019">
        <f>IF(DATOS!$G16019&lt;&gt;"EX",0,--(COUNTIFS(nNIA,DATOS!$A16019,nCURSO,DATOS!$D16019,nESPEC,DATOS!$E16019,nASIG,DATOS!$I16019,nEVAL,"OR")=0))</f>
      </c>
      <c r="I16019">
        <f>IF(DATOS!$I16019="","",IFERROR(VLOOKUP(DATOS!$I16019,CONFIG_ASIGNATURAS!$B$2:$J$91,9,FALSE()),""))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IF(DATOS!$A16020="",0,IF(CONFIG_METADATA!$B$4&lt;&gt;"OR+EX",--(DATOS!$G16020=CONFIG_METADATA!$B$4),IF(DATOS!$G16020="EX",1,IF(DATOS!$G16020="OR",--(COUNTIFS(nNIA,DATOS!$A16020,nCURSO,DATOS!$D16020,nESPEC,DATOS!$E16020,nASIG,DATOS!$I16020,nEVAL,"EX")=0),0))))</f>
      </c>
      <c r="H16020">
        <f>IF(DATOS!$G16020&lt;&gt;"EX",0,--(COUNTIFS(nNIA,DATOS!$A16020,nCURSO,DATOS!$D16020,nESPEC,DATOS!$E16020,nASIG,DATOS!$I16020,nEVAL,"OR")=0))</f>
      </c>
      <c r="I16020">
        <f>IF(DATOS!$I16020="","",IFERROR(VLOOKUP(DATOS!$I16020,CONFIG_ASIGNATURAS!$B$2:$J$91,9,FALSE()),""))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IF(DATOS!$A16021="",0,IF(CONFIG_METADATA!$B$4&lt;&gt;"OR+EX",--(DATOS!$G16021=CONFIG_METADATA!$B$4),IF(DATOS!$G16021="EX",1,IF(DATOS!$G16021="OR",--(COUNTIFS(nNIA,DATOS!$A16021,nCURSO,DATOS!$D16021,nESPEC,DATOS!$E16021,nASIG,DATOS!$I16021,nEVAL,"EX")=0),0))))</f>
      </c>
      <c r="H16021">
        <f>IF(DATOS!$G16021&lt;&gt;"EX",0,--(COUNTIFS(nNIA,DATOS!$A16021,nCURSO,DATOS!$D16021,nESPEC,DATOS!$E16021,nASIG,DATOS!$I16021,nEVAL,"OR")=0))</f>
      </c>
      <c r="I16021">
        <f>IF(DATOS!$I16021="","",IFERROR(VLOOKUP(DATOS!$I16021,CONFIG_ASIGNATURAS!$B$2:$J$91,9,FALSE()),""))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IF(DATOS!$A16022="",0,IF(CONFIG_METADATA!$B$4&lt;&gt;"OR+EX",--(DATOS!$G16022=CONFIG_METADATA!$B$4),IF(DATOS!$G16022="EX",1,IF(DATOS!$G16022="OR",--(COUNTIFS(nNIA,DATOS!$A16022,nCURSO,DATOS!$D16022,nESPEC,DATOS!$E16022,nASIG,DATOS!$I16022,nEVAL,"EX")=0),0))))</f>
      </c>
      <c r="H16022">
        <f>IF(DATOS!$G16022&lt;&gt;"EX",0,--(COUNTIFS(nNIA,DATOS!$A16022,nCURSO,DATOS!$D16022,nESPEC,DATOS!$E16022,nASIG,DATOS!$I16022,nEVAL,"OR")=0))</f>
      </c>
      <c r="I16022">
        <f>IF(DATOS!$I16022="","",IFERROR(VLOOKUP(DATOS!$I16022,CONFIG_ASIGNATURAS!$B$2:$J$91,9,FALSE()),""))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IF(DATOS!$A16023="",0,IF(CONFIG_METADATA!$B$4&lt;&gt;"OR+EX",--(DATOS!$G16023=CONFIG_METADATA!$B$4),IF(DATOS!$G16023="EX",1,IF(DATOS!$G16023="OR",--(COUNTIFS(nNIA,DATOS!$A16023,nCURSO,DATOS!$D16023,nESPEC,DATOS!$E16023,nASIG,DATOS!$I16023,nEVAL,"EX")=0),0))))</f>
      </c>
      <c r="H16023">
        <f>IF(DATOS!$G16023&lt;&gt;"EX",0,--(COUNTIFS(nNIA,DATOS!$A16023,nCURSO,DATOS!$D16023,nESPEC,DATOS!$E16023,nASIG,DATOS!$I16023,nEVAL,"OR")=0))</f>
      </c>
      <c r="I16023">
        <f>IF(DATOS!$I16023="","",IFERROR(VLOOKUP(DATOS!$I16023,CONFIG_ASIGNATURAS!$B$2:$J$91,9,FALSE()),""))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IF(DATOS!$A16024="",0,IF(CONFIG_METADATA!$B$4&lt;&gt;"OR+EX",--(DATOS!$G16024=CONFIG_METADATA!$B$4),IF(DATOS!$G16024="EX",1,IF(DATOS!$G16024="OR",--(COUNTIFS(nNIA,DATOS!$A16024,nCURSO,DATOS!$D16024,nESPEC,DATOS!$E16024,nASIG,DATOS!$I16024,nEVAL,"EX")=0),0))))</f>
      </c>
      <c r="H16024">
        <f>IF(DATOS!$G16024&lt;&gt;"EX",0,--(COUNTIFS(nNIA,DATOS!$A16024,nCURSO,DATOS!$D16024,nESPEC,DATOS!$E16024,nASIG,DATOS!$I16024,nEVAL,"OR")=0))</f>
      </c>
      <c r="I16024">
        <f>IF(DATOS!$I16024="","",IFERROR(VLOOKUP(DATOS!$I16024,CONFIG_ASIGNATURAS!$B$2:$J$91,9,FALSE()),""))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IF(DATOS!$A16025="",0,IF(CONFIG_METADATA!$B$4&lt;&gt;"OR+EX",--(DATOS!$G16025=CONFIG_METADATA!$B$4),IF(DATOS!$G16025="EX",1,IF(DATOS!$G16025="OR",--(COUNTIFS(nNIA,DATOS!$A16025,nCURSO,DATOS!$D16025,nESPEC,DATOS!$E16025,nASIG,DATOS!$I16025,nEVAL,"EX")=0),0))))</f>
      </c>
      <c r="H16025">
        <f>IF(DATOS!$G16025&lt;&gt;"EX",0,--(COUNTIFS(nNIA,DATOS!$A16025,nCURSO,DATOS!$D16025,nESPEC,DATOS!$E16025,nASIG,DATOS!$I16025,nEVAL,"OR")=0))</f>
      </c>
      <c r="I16025">
        <f>IF(DATOS!$I16025="","",IFERROR(VLOOKUP(DATOS!$I16025,CONFIG_ASIGNATURAS!$B$2:$J$91,9,FALSE()),""))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IF(DATOS!$A16026="",0,IF(CONFIG_METADATA!$B$4&lt;&gt;"OR+EX",--(DATOS!$G16026=CONFIG_METADATA!$B$4),IF(DATOS!$G16026="EX",1,IF(DATOS!$G16026="OR",--(COUNTIFS(nNIA,DATOS!$A16026,nCURSO,DATOS!$D16026,nESPEC,DATOS!$E16026,nASIG,DATOS!$I16026,nEVAL,"EX")=0),0))))</f>
      </c>
      <c r="H16026">
        <f>IF(DATOS!$G16026&lt;&gt;"EX",0,--(COUNTIFS(nNIA,DATOS!$A16026,nCURSO,DATOS!$D16026,nESPEC,DATOS!$E16026,nASIG,DATOS!$I16026,nEVAL,"OR")=0))</f>
      </c>
      <c r="I16026">
        <f>IF(DATOS!$I16026="","",IFERROR(VLOOKUP(DATOS!$I16026,CONFIG_ASIGNATURAS!$B$2:$J$91,9,FALSE()),""))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IF(DATOS!$A16027="",0,IF(CONFIG_METADATA!$B$4&lt;&gt;"OR+EX",--(DATOS!$G16027=CONFIG_METADATA!$B$4),IF(DATOS!$G16027="EX",1,IF(DATOS!$G16027="OR",--(COUNTIFS(nNIA,DATOS!$A16027,nCURSO,DATOS!$D16027,nESPEC,DATOS!$E16027,nASIG,DATOS!$I16027,nEVAL,"EX")=0),0))))</f>
      </c>
      <c r="H16027">
        <f>IF(DATOS!$G16027&lt;&gt;"EX",0,--(COUNTIFS(nNIA,DATOS!$A16027,nCURSO,DATOS!$D16027,nESPEC,DATOS!$E16027,nASIG,DATOS!$I16027,nEVAL,"OR")=0))</f>
      </c>
      <c r="I16027">
        <f>IF(DATOS!$I16027="","",IFERROR(VLOOKUP(DATOS!$I16027,CONFIG_ASIGNATURAS!$B$2:$J$91,9,FALSE()),""))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IF(DATOS!$A16028="",0,IF(CONFIG_METADATA!$B$4&lt;&gt;"OR+EX",--(DATOS!$G16028=CONFIG_METADATA!$B$4),IF(DATOS!$G16028="EX",1,IF(DATOS!$G16028="OR",--(COUNTIFS(nNIA,DATOS!$A16028,nCURSO,DATOS!$D16028,nESPEC,DATOS!$E16028,nASIG,DATOS!$I16028,nEVAL,"EX")=0),0))))</f>
      </c>
      <c r="H16028">
        <f>IF(DATOS!$G16028&lt;&gt;"EX",0,--(COUNTIFS(nNIA,DATOS!$A16028,nCURSO,DATOS!$D16028,nESPEC,DATOS!$E16028,nASIG,DATOS!$I16028,nEVAL,"OR")=0))</f>
      </c>
      <c r="I16028">
        <f>IF(DATOS!$I16028="","",IFERROR(VLOOKUP(DATOS!$I16028,CONFIG_ASIGNATURAS!$B$2:$J$91,9,FALSE()),""))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IF(DATOS!$A16029="",0,IF(CONFIG_METADATA!$B$4&lt;&gt;"OR+EX",--(DATOS!$G16029=CONFIG_METADATA!$B$4),IF(DATOS!$G16029="EX",1,IF(DATOS!$G16029="OR",--(COUNTIFS(nNIA,DATOS!$A16029,nCURSO,DATOS!$D16029,nESPEC,DATOS!$E16029,nASIG,DATOS!$I16029,nEVAL,"EX")=0),0))))</f>
      </c>
      <c r="H16029">
        <f>IF(DATOS!$G16029&lt;&gt;"EX",0,--(COUNTIFS(nNIA,DATOS!$A16029,nCURSO,DATOS!$D16029,nESPEC,DATOS!$E16029,nASIG,DATOS!$I16029,nEVAL,"OR")=0))</f>
      </c>
      <c r="I16029">
        <f>IF(DATOS!$I16029="","",IFERROR(VLOOKUP(DATOS!$I16029,CONFIG_ASIGNATURAS!$B$2:$J$91,9,FALSE()),""))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IF(DATOS!$A16030="",0,IF(CONFIG_METADATA!$B$4&lt;&gt;"OR+EX",--(DATOS!$G16030=CONFIG_METADATA!$B$4),IF(DATOS!$G16030="EX",1,IF(DATOS!$G16030="OR",--(COUNTIFS(nNIA,DATOS!$A16030,nCURSO,DATOS!$D16030,nESPEC,DATOS!$E16030,nASIG,DATOS!$I16030,nEVAL,"EX")=0),0))))</f>
      </c>
      <c r="H16030">
        <f>IF(DATOS!$G16030&lt;&gt;"EX",0,--(COUNTIFS(nNIA,DATOS!$A16030,nCURSO,DATOS!$D16030,nESPEC,DATOS!$E16030,nASIG,DATOS!$I16030,nEVAL,"OR")=0))</f>
      </c>
      <c r="I16030">
        <f>IF(DATOS!$I16030="","",IFERROR(VLOOKUP(DATOS!$I16030,CONFIG_ASIGNATURAS!$B$2:$J$91,9,FALSE()),""))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IF(DATOS!$A16031="",0,IF(CONFIG_METADATA!$B$4&lt;&gt;"OR+EX",--(DATOS!$G16031=CONFIG_METADATA!$B$4),IF(DATOS!$G16031="EX",1,IF(DATOS!$G16031="OR",--(COUNTIFS(nNIA,DATOS!$A16031,nCURSO,DATOS!$D16031,nESPEC,DATOS!$E16031,nASIG,DATOS!$I16031,nEVAL,"EX")=0),0))))</f>
      </c>
      <c r="H16031">
        <f>IF(DATOS!$G16031&lt;&gt;"EX",0,--(COUNTIFS(nNIA,DATOS!$A16031,nCURSO,DATOS!$D16031,nESPEC,DATOS!$E16031,nASIG,DATOS!$I16031,nEVAL,"OR")=0))</f>
      </c>
      <c r="I16031">
        <f>IF(DATOS!$I16031="","",IFERROR(VLOOKUP(DATOS!$I16031,CONFIG_ASIGNATURAS!$B$2:$J$91,9,FALSE()),""))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IF(DATOS!$A16032="",0,IF(CONFIG_METADATA!$B$4&lt;&gt;"OR+EX",--(DATOS!$G16032=CONFIG_METADATA!$B$4),IF(DATOS!$G16032="EX",1,IF(DATOS!$G16032="OR",--(COUNTIFS(nNIA,DATOS!$A16032,nCURSO,DATOS!$D16032,nESPEC,DATOS!$E16032,nASIG,DATOS!$I16032,nEVAL,"EX")=0),0))))</f>
      </c>
      <c r="H16032">
        <f>IF(DATOS!$G16032&lt;&gt;"EX",0,--(COUNTIFS(nNIA,DATOS!$A16032,nCURSO,DATOS!$D16032,nESPEC,DATOS!$E16032,nASIG,DATOS!$I16032,nEVAL,"OR")=0))</f>
      </c>
      <c r="I16032">
        <f>IF(DATOS!$I16032="","",IFERROR(VLOOKUP(DATOS!$I16032,CONFIG_ASIGNATURAS!$B$2:$J$91,9,FALSE()),""))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IF(DATOS!$A16033="",0,IF(CONFIG_METADATA!$B$4&lt;&gt;"OR+EX",--(DATOS!$G16033=CONFIG_METADATA!$B$4),IF(DATOS!$G16033="EX",1,IF(DATOS!$G16033="OR",--(COUNTIFS(nNIA,DATOS!$A16033,nCURSO,DATOS!$D16033,nESPEC,DATOS!$E16033,nASIG,DATOS!$I16033,nEVAL,"EX")=0),0))))</f>
      </c>
      <c r="H16033">
        <f>IF(DATOS!$G16033&lt;&gt;"EX",0,--(COUNTIFS(nNIA,DATOS!$A16033,nCURSO,DATOS!$D16033,nESPEC,DATOS!$E16033,nASIG,DATOS!$I16033,nEVAL,"OR")=0))</f>
      </c>
      <c r="I16033">
        <f>IF(DATOS!$I16033="","",IFERROR(VLOOKUP(DATOS!$I16033,CONFIG_ASIGNATURAS!$B$2:$J$91,9,FALSE()),""))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IF(DATOS!$A16034="",0,IF(CONFIG_METADATA!$B$4&lt;&gt;"OR+EX",--(DATOS!$G16034=CONFIG_METADATA!$B$4),IF(DATOS!$G16034="EX",1,IF(DATOS!$G16034="OR",--(COUNTIFS(nNIA,DATOS!$A16034,nCURSO,DATOS!$D16034,nESPEC,DATOS!$E16034,nASIG,DATOS!$I16034,nEVAL,"EX")=0),0))))</f>
      </c>
      <c r="H16034">
        <f>IF(DATOS!$G16034&lt;&gt;"EX",0,--(COUNTIFS(nNIA,DATOS!$A16034,nCURSO,DATOS!$D16034,nESPEC,DATOS!$E16034,nASIG,DATOS!$I16034,nEVAL,"OR")=0))</f>
      </c>
      <c r="I16034">
        <f>IF(DATOS!$I16034="","",IFERROR(VLOOKUP(DATOS!$I16034,CONFIG_ASIGNATURAS!$B$2:$J$91,9,FALSE()),""))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IF(DATOS!$A16035="",0,IF(CONFIG_METADATA!$B$4&lt;&gt;"OR+EX",--(DATOS!$G16035=CONFIG_METADATA!$B$4),IF(DATOS!$G16035="EX",1,IF(DATOS!$G16035="OR",--(COUNTIFS(nNIA,DATOS!$A16035,nCURSO,DATOS!$D16035,nESPEC,DATOS!$E16035,nASIG,DATOS!$I16035,nEVAL,"EX")=0),0))))</f>
      </c>
      <c r="H16035">
        <f>IF(DATOS!$G16035&lt;&gt;"EX",0,--(COUNTIFS(nNIA,DATOS!$A16035,nCURSO,DATOS!$D16035,nESPEC,DATOS!$E16035,nASIG,DATOS!$I16035,nEVAL,"OR")=0))</f>
      </c>
      <c r="I16035">
        <f>IF(DATOS!$I16035="","",IFERROR(VLOOKUP(DATOS!$I16035,CONFIG_ASIGNATURAS!$B$2:$J$91,9,FALSE()),""))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IF(DATOS!$A16036="",0,IF(CONFIG_METADATA!$B$4&lt;&gt;"OR+EX",--(DATOS!$G16036=CONFIG_METADATA!$B$4),IF(DATOS!$G16036="EX",1,IF(DATOS!$G16036="OR",--(COUNTIFS(nNIA,DATOS!$A16036,nCURSO,DATOS!$D16036,nESPEC,DATOS!$E16036,nASIG,DATOS!$I16036,nEVAL,"EX")=0),0))))</f>
      </c>
      <c r="H16036">
        <f>IF(DATOS!$G16036&lt;&gt;"EX",0,--(COUNTIFS(nNIA,DATOS!$A16036,nCURSO,DATOS!$D16036,nESPEC,DATOS!$E16036,nASIG,DATOS!$I16036,nEVAL,"OR")=0))</f>
      </c>
      <c r="I16036">
        <f>IF(DATOS!$I16036="","",IFERROR(VLOOKUP(DATOS!$I16036,CONFIG_ASIGNATURAS!$B$2:$J$91,9,FALSE()),""))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IF(DATOS!$A16037="",0,IF(CONFIG_METADATA!$B$4&lt;&gt;"OR+EX",--(DATOS!$G16037=CONFIG_METADATA!$B$4),IF(DATOS!$G16037="EX",1,IF(DATOS!$G16037="OR",--(COUNTIFS(nNIA,DATOS!$A16037,nCURSO,DATOS!$D16037,nESPEC,DATOS!$E16037,nASIG,DATOS!$I16037,nEVAL,"EX")=0),0))))</f>
      </c>
      <c r="H16037">
        <f>IF(DATOS!$G16037&lt;&gt;"EX",0,--(COUNTIFS(nNIA,DATOS!$A16037,nCURSO,DATOS!$D16037,nESPEC,DATOS!$E16037,nASIG,DATOS!$I16037,nEVAL,"OR")=0))</f>
      </c>
      <c r="I16037">
        <f>IF(DATOS!$I16037="","",IFERROR(VLOOKUP(DATOS!$I16037,CONFIG_ASIGNATURAS!$B$2:$J$91,9,FALSE()),""))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IF(DATOS!$A16038="",0,IF(CONFIG_METADATA!$B$4&lt;&gt;"OR+EX",--(DATOS!$G16038=CONFIG_METADATA!$B$4),IF(DATOS!$G16038="EX",1,IF(DATOS!$G16038="OR",--(COUNTIFS(nNIA,DATOS!$A16038,nCURSO,DATOS!$D16038,nESPEC,DATOS!$E16038,nASIG,DATOS!$I16038,nEVAL,"EX")=0),0))))</f>
      </c>
      <c r="H16038">
        <f>IF(DATOS!$G16038&lt;&gt;"EX",0,--(COUNTIFS(nNIA,DATOS!$A16038,nCURSO,DATOS!$D16038,nESPEC,DATOS!$E16038,nASIG,DATOS!$I16038,nEVAL,"OR")=0))</f>
      </c>
      <c r="I16038">
        <f>IF(DATOS!$I16038="","",IFERROR(VLOOKUP(DATOS!$I16038,CONFIG_ASIGNATURAS!$B$2:$J$91,9,FALSE()),""))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IF(DATOS!$A16039="",0,IF(CONFIG_METADATA!$B$4&lt;&gt;"OR+EX",--(DATOS!$G16039=CONFIG_METADATA!$B$4),IF(DATOS!$G16039="EX",1,IF(DATOS!$G16039="OR",--(COUNTIFS(nNIA,DATOS!$A16039,nCURSO,DATOS!$D16039,nESPEC,DATOS!$E16039,nASIG,DATOS!$I16039,nEVAL,"EX")=0),0))))</f>
      </c>
      <c r="H16039">
        <f>IF(DATOS!$G16039&lt;&gt;"EX",0,--(COUNTIFS(nNIA,DATOS!$A16039,nCURSO,DATOS!$D16039,nESPEC,DATOS!$E16039,nASIG,DATOS!$I16039,nEVAL,"OR")=0))</f>
      </c>
      <c r="I16039">
        <f>IF(DATOS!$I16039="","",IFERROR(VLOOKUP(DATOS!$I16039,CONFIG_ASIGNATURAS!$B$2:$J$91,9,FALSE()),""))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IF(DATOS!$A16040="",0,IF(CONFIG_METADATA!$B$4&lt;&gt;"OR+EX",--(DATOS!$G16040=CONFIG_METADATA!$B$4),IF(DATOS!$G16040="EX",1,IF(DATOS!$G16040="OR",--(COUNTIFS(nNIA,DATOS!$A16040,nCURSO,DATOS!$D16040,nESPEC,DATOS!$E16040,nASIG,DATOS!$I16040,nEVAL,"EX")=0),0))))</f>
      </c>
      <c r="H16040">
        <f>IF(DATOS!$G16040&lt;&gt;"EX",0,--(COUNTIFS(nNIA,DATOS!$A16040,nCURSO,DATOS!$D16040,nESPEC,DATOS!$E16040,nASIG,DATOS!$I16040,nEVAL,"OR")=0))</f>
      </c>
      <c r="I16040">
        <f>IF(DATOS!$I16040="","",IFERROR(VLOOKUP(DATOS!$I16040,CONFIG_ASIGNATURAS!$B$2:$J$91,9,FALSE()),""))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IF(DATOS!$A16041="",0,IF(CONFIG_METADATA!$B$4&lt;&gt;"OR+EX",--(DATOS!$G16041=CONFIG_METADATA!$B$4),IF(DATOS!$G16041="EX",1,IF(DATOS!$G16041="OR",--(COUNTIFS(nNIA,DATOS!$A16041,nCURSO,DATOS!$D16041,nESPEC,DATOS!$E16041,nASIG,DATOS!$I16041,nEVAL,"EX")=0),0))))</f>
      </c>
      <c r="H16041">
        <f>IF(DATOS!$G16041&lt;&gt;"EX",0,--(COUNTIFS(nNIA,DATOS!$A16041,nCURSO,DATOS!$D16041,nESPEC,DATOS!$E16041,nASIG,DATOS!$I16041,nEVAL,"OR")=0))</f>
      </c>
      <c r="I16041">
        <f>IF(DATOS!$I16041="","",IFERROR(VLOOKUP(DATOS!$I16041,CONFIG_ASIGNATURAS!$B$2:$J$91,9,FALSE()),""))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IF(DATOS!$A16042="",0,IF(CONFIG_METADATA!$B$4&lt;&gt;"OR+EX",--(DATOS!$G16042=CONFIG_METADATA!$B$4),IF(DATOS!$G16042="EX",1,IF(DATOS!$G16042="OR",--(COUNTIFS(nNIA,DATOS!$A16042,nCURSO,DATOS!$D16042,nESPEC,DATOS!$E16042,nASIG,DATOS!$I16042,nEVAL,"EX")=0),0))))</f>
      </c>
      <c r="H16042">
        <f>IF(DATOS!$G16042&lt;&gt;"EX",0,--(COUNTIFS(nNIA,DATOS!$A16042,nCURSO,DATOS!$D16042,nESPEC,DATOS!$E16042,nASIG,DATOS!$I16042,nEVAL,"OR")=0))</f>
      </c>
      <c r="I16042">
        <f>IF(DATOS!$I16042="","",IFERROR(VLOOKUP(DATOS!$I16042,CONFIG_ASIGNATURAS!$B$2:$J$91,9,FALSE()),""))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IF(DATOS!$A16043="",0,IF(CONFIG_METADATA!$B$4&lt;&gt;"OR+EX",--(DATOS!$G16043=CONFIG_METADATA!$B$4),IF(DATOS!$G16043="EX",1,IF(DATOS!$G16043="OR",--(COUNTIFS(nNIA,DATOS!$A16043,nCURSO,DATOS!$D16043,nESPEC,DATOS!$E16043,nASIG,DATOS!$I16043,nEVAL,"EX")=0),0))))</f>
      </c>
      <c r="H16043">
        <f>IF(DATOS!$G16043&lt;&gt;"EX",0,--(COUNTIFS(nNIA,DATOS!$A16043,nCURSO,DATOS!$D16043,nESPEC,DATOS!$E16043,nASIG,DATOS!$I16043,nEVAL,"OR")=0))</f>
      </c>
      <c r="I16043">
        <f>IF(DATOS!$I16043="","",IFERROR(VLOOKUP(DATOS!$I16043,CONFIG_ASIGNATURAS!$B$2:$J$91,9,FALSE()),""))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IF(DATOS!$A16044="",0,IF(CONFIG_METADATA!$B$4&lt;&gt;"OR+EX",--(DATOS!$G16044=CONFIG_METADATA!$B$4),IF(DATOS!$G16044="EX",1,IF(DATOS!$G16044="OR",--(COUNTIFS(nNIA,DATOS!$A16044,nCURSO,DATOS!$D16044,nESPEC,DATOS!$E16044,nASIG,DATOS!$I16044,nEVAL,"EX")=0),0))))</f>
      </c>
      <c r="H16044">
        <f>IF(DATOS!$G16044&lt;&gt;"EX",0,--(COUNTIFS(nNIA,DATOS!$A16044,nCURSO,DATOS!$D16044,nESPEC,DATOS!$E16044,nASIG,DATOS!$I16044,nEVAL,"OR")=0))</f>
      </c>
      <c r="I16044">
        <f>IF(DATOS!$I16044="","",IFERROR(VLOOKUP(DATOS!$I16044,CONFIG_ASIGNATURAS!$B$2:$J$91,9,FALSE()),""))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IF(DATOS!$A16045="",0,IF(CONFIG_METADATA!$B$4&lt;&gt;"OR+EX",--(DATOS!$G16045=CONFIG_METADATA!$B$4),IF(DATOS!$G16045="EX",1,IF(DATOS!$G16045="OR",--(COUNTIFS(nNIA,DATOS!$A16045,nCURSO,DATOS!$D16045,nESPEC,DATOS!$E16045,nASIG,DATOS!$I16045,nEVAL,"EX")=0),0))))</f>
      </c>
      <c r="H16045">
        <f>IF(DATOS!$G16045&lt;&gt;"EX",0,--(COUNTIFS(nNIA,DATOS!$A16045,nCURSO,DATOS!$D16045,nESPEC,DATOS!$E16045,nASIG,DATOS!$I16045,nEVAL,"OR")=0))</f>
      </c>
      <c r="I16045">
        <f>IF(DATOS!$I16045="","",IFERROR(VLOOKUP(DATOS!$I16045,CONFIG_ASIGNATURAS!$B$2:$J$91,9,FALSE()),""))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IF(DATOS!$A16046="",0,IF(CONFIG_METADATA!$B$4&lt;&gt;"OR+EX",--(DATOS!$G16046=CONFIG_METADATA!$B$4),IF(DATOS!$G16046="EX",1,IF(DATOS!$G16046="OR",--(COUNTIFS(nNIA,DATOS!$A16046,nCURSO,DATOS!$D16046,nESPEC,DATOS!$E16046,nASIG,DATOS!$I16046,nEVAL,"EX")=0),0))))</f>
      </c>
      <c r="H16046">
        <f>IF(DATOS!$G16046&lt;&gt;"EX",0,--(COUNTIFS(nNIA,DATOS!$A16046,nCURSO,DATOS!$D16046,nESPEC,DATOS!$E16046,nASIG,DATOS!$I16046,nEVAL,"OR")=0))</f>
      </c>
      <c r="I16046">
        <f>IF(DATOS!$I16046="","",IFERROR(VLOOKUP(DATOS!$I16046,CONFIG_ASIGNATURAS!$B$2:$J$91,9,FALSE()),""))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IF(DATOS!$A16047="",0,IF(CONFIG_METADATA!$B$4&lt;&gt;"OR+EX",--(DATOS!$G16047=CONFIG_METADATA!$B$4),IF(DATOS!$G16047="EX",1,IF(DATOS!$G16047="OR",--(COUNTIFS(nNIA,DATOS!$A16047,nCURSO,DATOS!$D16047,nESPEC,DATOS!$E16047,nASIG,DATOS!$I16047,nEVAL,"EX")=0),0))))</f>
      </c>
      <c r="H16047">
        <f>IF(DATOS!$G16047&lt;&gt;"EX",0,--(COUNTIFS(nNIA,DATOS!$A16047,nCURSO,DATOS!$D16047,nESPEC,DATOS!$E16047,nASIG,DATOS!$I16047,nEVAL,"OR")=0))</f>
      </c>
      <c r="I16047">
        <f>IF(DATOS!$I16047="","",IFERROR(VLOOKUP(DATOS!$I16047,CONFIG_ASIGNATURAS!$B$2:$J$91,9,FALSE()),""))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IF(DATOS!$A16048="",0,IF(CONFIG_METADATA!$B$4&lt;&gt;"OR+EX",--(DATOS!$G16048=CONFIG_METADATA!$B$4),IF(DATOS!$G16048="EX",1,IF(DATOS!$G16048="OR",--(COUNTIFS(nNIA,DATOS!$A16048,nCURSO,DATOS!$D16048,nESPEC,DATOS!$E16048,nASIG,DATOS!$I16048,nEVAL,"EX")=0),0))))</f>
      </c>
      <c r="H16048">
        <f>IF(DATOS!$G16048&lt;&gt;"EX",0,--(COUNTIFS(nNIA,DATOS!$A16048,nCURSO,DATOS!$D16048,nESPEC,DATOS!$E16048,nASIG,DATOS!$I16048,nEVAL,"OR")=0))</f>
      </c>
      <c r="I16048">
        <f>IF(DATOS!$I16048="","",IFERROR(VLOOKUP(DATOS!$I16048,CONFIG_ASIGNATURAS!$B$2:$J$91,9,FALSE()),""))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IF(DATOS!$A16049="",0,IF(CONFIG_METADATA!$B$4&lt;&gt;"OR+EX",--(DATOS!$G16049=CONFIG_METADATA!$B$4),IF(DATOS!$G16049="EX",1,IF(DATOS!$G16049="OR",--(COUNTIFS(nNIA,DATOS!$A16049,nCURSO,DATOS!$D16049,nESPEC,DATOS!$E16049,nASIG,DATOS!$I16049,nEVAL,"EX")=0),0))))</f>
      </c>
      <c r="H16049">
        <f>IF(DATOS!$G16049&lt;&gt;"EX",0,--(COUNTIFS(nNIA,DATOS!$A16049,nCURSO,DATOS!$D16049,nESPEC,DATOS!$E16049,nASIG,DATOS!$I16049,nEVAL,"OR")=0))</f>
      </c>
      <c r="I16049">
        <f>IF(DATOS!$I16049="","",IFERROR(VLOOKUP(DATOS!$I16049,CONFIG_ASIGNATURAS!$B$2:$J$91,9,FALSE()),""))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IF(DATOS!$A16050="",0,IF(CONFIG_METADATA!$B$4&lt;&gt;"OR+EX",--(DATOS!$G16050=CONFIG_METADATA!$B$4),IF(DATOS!$G16050="EX",1,IF(DATOS!$G16050="OR",--(COUNTIFS(nNIA,DATOS!$A16050,nCURSO,DATOS!$D16050,nESPEC,DATOS!$E16050,nASIG,DATOS!$I16050,nEVAL,"EX")=0),0))))</f>
      </c>
      <c r="H16050">
        <f>IF(DATOS!$G16050&lt;&gt;"EX",0,--(COUNTIFS(nNIA,DATOS!$A16050,nCURSO,DATOS!$D16050,nESPEC,DATOS!$E16050,nASIG,DATOS!$I16050,nEVAL,"OR")=0))</f>
      </c>
      <c r="I16050">
        <f>IF(DATOS!$I16050="","",IFERROR(VLOOKUP(DATOS!$I16050,CONFIG_ASIGNATURAS!$B$2:$J$91,9,FALSE()),""))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IF(DATOS!$A16051="",0,IF(CONFIG_METADATA!$B$4&lt;&gt;"OR+EX",--(DATOS!$G16051=CONFIG_METADATA!$B$4),IF(DATOS!$G16051="EX",1,IF(DATOS!$G16051="OR",--(COUNTIFS(nNIA,DATOS!$A16051,nCURSO,DATOS!$D16051,nESPEC,DATOS!$E16051,nASIG,DATOS!$I16051,nEVAL,"EX")=0),0))))</f>
      </c>
      <c r="H16051">
        <f>IF(DATOS!$G16051&lt;&gt;"EX",0,--(COUNTIFS(nNIA,DATOS!$A16051,nCURSO,DATOS!$D16051,nESPEC,DATOS!$E16051,nASIG,DATOS!$I16051,nEVAL,"OR")=0))</f>
      </c>
      <c r="I16051">
        <f>IF(DATOS!$I16051="","",IFERROR(VLOOKUP(DATOS!$I16051,CONFIG_ASIGNATURAS!$B$2:$J$91,9,FALSE()),""))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IF(DATOS!$A16052="",0,IF(CONFIG_METADATA!$B$4&lt;&gt;"OR+EX",--(DATOS!$G16052=CONFIG_METADATA!$B$4),IF(DATOS!$G16052="EX",1,IF(DATOS!$G16052="OR",--(COUNTIFS(nNIA,DATOS!$A16052,nCURSO,DATOS!$D16052,nESPEC,DATOS!$E16052,nASIG,DATOS!$I16052,nEVAL,"EX")=0),0))))</f>
      </c>
      <c r="H16052">
        <f>IF(DATOS!$G16052&lt;&gt;"EX",0,--(COUNTIFS(nNIA,DATOS!$A16052,nCURSO,DATOS!$D16052,nESPEC,DATOS!$E16052,nASIG,DATOS!$I16052,nEVAL,"OR")=0))</f>
      </c>
      <c r="I16052">
        <f>IF(DATOS!$I16052="","",IFERROR(VLOOKUP(DATOS!$I16052,CONFIG_ASIGNATURAS!$B$2:$J$91,9,FALSE()),""))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IF(DATOS!$A16053="",0,IF(CONFIG_METADATA!$B$4&lt;&gt;"OR+EX",--(DATOS!$G16053=CONFIG_METADATA!$B$4),IF(DATOS!$G16053="EX",1,IF(DATOS!$G16053="OR",--(COUNTIFS(nNIA,DATOS!$A16053,nCURSO,DATOS!$D16053,nESPEC,DATOS!$E16053,nASIG,DATOS!$I16053,nEVAL,"EX")=0),0))))</f>
      </c>
      <c r="H16053">
        <f>IF(DATOS!$G16053&lt;&gt;"EX",0,--(COUNTIFS(nNIA,DATOS!$A16053,nCURSO,DATOS!$D16053,nESPEC,DATOS!$E16053,nASIG,DATOS!$I16053,nEVAL,"OR")=0))</f>
      </c>
      <c r="I16053">
        <f>IF(DATOS!$I16053="","",IFERROR(VLOOKUP(DATOS!$I16053,CONFIG_ASIGNATURAS!$B$2:$J$91,9,FALSE()),""))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IF(DATOS!$A16054="",0,IF(CONFIG_METADATA!$B$4&lt;&gt;"OR+EX",--(DATOS!$G16054=CONFIG_METADATA!$B$4),IF(DATOS!$G16054="EX",1,IF(DATOS!$G16054="OR",--(COUNTIFS(nNIA,DATOS!$A16054,nCURSO,DATOS!$D16054,nESPEC,DATOS!$E16054,nASIG,DATOS!$I16054,nEVAL,"EX")=0),0))))</f>
      </c>
      <c r="H16054">
        <f>IF(DATOS!$G16054&lt;&gt;"EX",0,--(COUNTIFS(nNIA,DATOS!$A16054,nCURSO,DATOS!$D16054,nESPEC,DATOS!$E16054,nASIG,DATOS!$I16054,nEVAL,"OR")=0))</f>
      </c>
      <c r="I16054">
        <f>IF(DATOS!$I16054="","",IFERROR(VLOOKUP(DATOS!$I16054,CONFIG_ASIGNATURAS!$B$2:$J$91,9,FALSE()),""))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IF(DATOS!$A16055="",0,IF(CONFIG_METADATA!$B$4&lt;&gt;"OR+EX",--(DATOS!$G16055=CONFIG_METADATA!$B$4),IF(DATOS!$G16055="EX",1,IF(DATOS!$G16055="OR",--(COUNTIFS(nNIA,DATOS!$A16055,nCURSO,DATOS!$D16055,nESPEC,DATOS!$E16055,nASIG,DATOS!$I16055,nEVAL,"EX")=0),0))))</f>
      </c>
      <c r="H16055">
        <f>IF(DATOS!$G16055&lt;&gt;"EX",0,--(COUNTIFS(nNIA,DATOS!$A16055,nCURSO,DATOS!$D16055,nESPEC,DATOS!$E16055,nASIG,DATOS!$I16055,nEVAL,"OR")=0))</f>
      </c>
      <c r="I16055">
        <f>IF(DATOS!$I16055="","",IFERROR(VLOOKUP(DATOS!$I16055,CONFIG_ASIGNATURAS!$B$2:$J$91,9,FALSE()),""))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IF(DATOS!$A16056="",0,IF(CONFIG_METADATA!$B$4&lt;&gt;"OR+EX",--(DATOS!$G16056=CONFIG_METADATA!$B$4),IF(DATOS!$G16056="EX",1,IF(DATOS!$G16056="OR",--(COUNTIFS(nNIA,DATOS!$A16056,nCURSO,DATOS!$D16056,nESPEC,DATOS!$E16056,nASIG,DATOS!$I16056,nEVAL,"EX")=0),0))))</f>
      </c>
      <c r="H16056">
        <f>IF(DATOS!$G16056&lt;&gt;"EX",0,--(COUNTIFS(nNIA,DATOS!$A16056,nCURSO,DATOS!$D16056,nESPEC,DATOS!$E16056,nASIG,DATOS!$I16056,nEVAL,"OR")=0))</f>
      </c>
      <c r="I16056">
        <f>IF(DATOS!$I16056="","",IFERROR(VLOOKUP(DATOS!$I16056,CONFIG_ASIGNATURAS!$B$2:$J$91,9,FALSE()),""))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IF(DATOS!$A16057="",0,IF(CONFIG_METADATA!$B$4&lt;&gt;"OR+EX",--(DATOS!$G16057=CONFIG_METADATA!$B$4),IF(DATOS!$G16057="EX",1,IF(DATOS!$G16057="OR",--(COUNTIFS(nNIA,DATOS!$A16057,nCURSO,DATOS!$D16057,nESPEC,DATOS!$E16057,nASIG,DATOS!$I16057,nEVAL,"EX")=0),0))))</f>
      </c>
      <c r="H16057">
        <f>IF(DATOS!$G16057&lt;&gt;"EX",0,--(COUNTIFS(nNIA,DATOS!$A16057,nCURSO,DATOS!$D16057,nESPEC,DATOS!$E16057,nASIG,DATOS!$I16057,nEVAL,"OR")=0))</f>
      </c>
      <c r="I16057">
        <f>IF(DATOS!$I16057="","",IFERROR(VLOOKUP(DATOS!$I16057,CONFIG_ASIGNATURAS!$B$2:$J$91,9,FALSE()),""))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IF(DATOS!$A16058="",0,IF(CONFIG_METADATA!$B$4&lt;&gt;"OR+EX",--(DATOS!$G16058=CONFIG_METADATA!$B$4),IF(DATOS!$G16058="EX",1,IF(DATOS!$G16058="OR",--(COUNTIFS(nNIA,DATOS!$A16058,nCURSO,DATOS!$D16058,nESPEC,DATOS!$E16058,nASIG,DATOS!$I16058,nEVAL,"EX")=0),0))))</f>
      </c>
      <c r="H16058">
        <f>IF(DATOS!$G16058&lt;&gt;"EX",0,--(COUNTIFS(nNIA,DATOS!$A16058,nCURSO,DATOS!$D16058,nESPEC,DATOS!$E16058,nASIG,DATOS!$I16058,nEVAL,"OR")=0))</f>
      </c>
      <c r="I16058">
        <f>IF(DATOS!$I16058="","",IFERROR(VLOOKUP(DATOS!$I16058,CONFIG_ASIGNATURAS!$B$2:$J$91,9,FALSE()),""))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IF(DATOS!$A16059="",0,IF(CONFIG_METADATA!$B$4&lt;&gt;"OR+EX",--(DATOS!$G16059=CONFIG_METADATA!$B$4),IF(DATOS!$G16059="EX",1,IF(DATOS!$G16059="OR",--(COUNTIFS(nNIA,DATOS!$A16059,nCURSO,DATOS!$D16059,nESPEC,DATOS!$E16059,nASIG,DATOS!$I16059,nEVAL,"EX")=0),0))))</f>
      </c>
      <c r="H16059">
        <f>IF(DATOS!$G16059&lt;&gt;"EX",0,--(COUNTIFS(nNIA,DATOS!$A16059,nCURSO,DATOS!$D16059,nESPEC,DATOS!$E16059,nASIG,DATOS!$I16059,nEVAL,"OR")=0))</f>
      </c>
      <c r="I16059">
        <f>IF(DATOS!$I16059="","",IFERROR(VLOOKUP(DATOS!$I16059,CONFIG_ASIGNATURAS!$B$2:$J$91,9,FALSE()),""))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IF(DATOS!$A16060="",0,IF(CONFIG_METADATA!$B$4&lt;&gt;"OR+EX",--(DATOS!$G16060=CONFIG_METADATA!$B$4),IF(DATOS!$G16060="EX",1,IF(DATOS!$G16060="OR",--(COUNTIFS(nNIA,DATOS!$A16060,nCURSO,DATOS!$D16060,nESPEC,DATOS!$E16060,nASIG,DATOS!$I16060,nEVAL,"EX")=0),0))))</f>
      </c>
      <c r="H16060">
        <f>IF(DATOS!$G16060&lt;&gt;"EX",0,--(COUNTIFS(nNIA,DATOS!$A16060,nCURSO,DATOS!$D16060,nESPEC,DATOS!$E16060,nASIG,DATOS!$I16060,nEVAL,"OR")=0))</f>
      </c>
      <c r="I16060">
        <f>IF(DATOS!$I16060="","",IFERROR(VLOOKUP(DATOS!$I16060,CONFIG_ASIGNATURAS!$B$2:$J$91,9,FALSE()),""))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IF(DATOS!$A16061="",0,IF(CONFIG_METADATA!$B$4&lt;&gt;"OR+EX",--(DATOS!$G16061=CONFIG_METADATA!$B$4),IF(DATOS!$G16061="EX",1,IF(DATOS!$G16061="OR",--(COUNTIFS(nNIA,DATOS!$A16061,nCURSO,DATOS!$D16061,nESPEC,DATOS!$E16061,nASIG,DATOS!$I16061,nEVAL,"EX")=0),0))))</f>
      </c>
      <c r="H16061">
        <f>IF(DATOS!$G16061&lt;&gt;"EX",0,--(COUNTIFS(nNIA,DATOS!$A16061,nCURSO,DATOS!$D16061,nESPEC,DATOS!$E16061,nASIG,DATOS!$I16061,nEVAL,"OR")=0))</f>
      </c>
      <c r="I16061">
        <f>IF(DATOS!$I16061="","",IFERROR(VLOOKUP(DATOS!$I16061,CONFIG_ASIGNATURAS!$B$2:$J$91,9,FALSE()),""))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IF(DATOS!$A16062="",0,IF(CONFIG_METADATA!$B$4&lt;&gt;"OR+EX",--(DATOS!$G16062=CONFIG_METADATA!$B$4),IF(DATOS!$G16062="EX",1,IF(DATOS!$G16062="OR",--(COUNTIFS(nNIA,DATOS!$A16062,nCURSO,DATOS!$D16062,nESPEC,DATOS!$E16062,nASIG,DATOS!$I16062,nEVAL,"EX")=0),0))))</f>
      </c>
      <c r="H16062">
        <f>IF(DATOS!$G16062&lt;&gt;"EX",0,--(COUNTIFS(nNIA,DATOS!$A16062,nCURSO,DATOS!$D16062,nESPEC,DATOS!$E16062,nASIG,DATOS!$I16062,nEVAL,"OR")=0))</f>
      </c>
      <c r="I16062">
        <f>IF(DATOS!$I16062="","",IFERROR(VLOOKUP(DATOS!$I16062,CONFIG_ASIGNATURAS!$B$2:$J$91,9,FALSE()),""))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IF(DATOS!$A16063="",0,IF(CONFIG_METADATA!$B$4&lt;&gt;"OR+EX",--(DATOS!$G16063=CONFIG_METADATA!$B$4),IF(DATOS!$G16063="EX",1,IF(DATOS!$G16063="OR",--(COUNTIFS(nNIA,DATOS!$A16063,nCURSO,DATOS!$D16063,nESPEC,DATOS!$E16063,nASIG,DATOS!$I16063,nEVAL,"EX")=0),0))))</f>
      </c>
      <c r="H16063">
        <f>IF(DATOS!$G16063&lt;&gt;"EX",0,--(COUNTIFS(nNIA,DATOS!$A16063,nCURSO,DATOS!$D16063,nESPEC,DATOS!$E16063,nASIG,DATOS!$I16063,nEVAL,"OR")=0))</f>
      </c>
      <c r="I16063">
        <f>IF(DATOS!$I16063="","",IFERROR(VLOOKUP(DATOS!$I16063,CONFIG_ASIGNATURAS!$B$2:$J$91,9,FALSE()),""))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IF(DATOS!$A16064="",0,IF(CONFIG_METADATA!$B$4&lt;&gt;"OR+EX",--(DATOS!$G16064=CONFIG_METADATA!$B$4),IF(DATOS!$G16064="EX",1,IF(DATOS!$G16064="OR",--(COUNTIFS(nNIA,DATOS!$A16064,nCURSO,DATOS!$D16064,nESPEC,DATOS!$E16064,nASIG,DATOS!$I16064,nEVAL,"EX")=0),0))))</f>
      </c>
      <c r="H16064">
        <f>IF(DATOS!$G16064&lt;&gt;"EX",0,--(COUNTIFS(nNIA,DATOS!$A16064,nCURSO,DATOS!$D16064,nESPEC,DATOS!$E16064,nASIG,DATOS!$I16064,nEVAL,"OR")=0))</f>
      </c>
      <c r="I16064">
        <f>IF(DATOS!$I16064="","",IFERROR(VLOOKUP(DATOS!$I16064,CONFIG_ASIGNATURAS!$B$2:$J$91,9,FALSE()),""))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IF(DATOS!$A16065="",0,IF(CONFIG_METADATA!$B$4&lt;&gt;"OR+EX",--(DATOS!$G16065=CONFIG_METADATA!$B$4),IF(DATOS!$G16065="EX",1,IF(DATOS!$G16065="OR",--(COUNTIFS(nNIA,DATOS!$A16065,nCURSO,DATOS!$D16065,nESPEC,DATOS!$E16065,nASIG,DATOS!$I16065,nEVAL,"EX")=0),0))))</f>
      </c>
      <c r="H16065">
        <f>IF(DATOS!$G16065&lt;&gt;"EX",0,--(COUNTIFS(nNIA,DATOS!$A16065,nCURSO,DATOS!$D16065,nESPEC,DATOS!$E16065,nASIG,DATOS!$I16065,nEVAL,"OR")=0))</f>
      </c>
      <c r="I16065">
        <f>IF(DATOS!$I16065="","",IFERROR(VLOOKUP(DATOS!$I16065,CONFIG_ASIGNATURAS!$B$2:$J$91,9,FALSE()),""))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IF(DATOS!$A16066="",0,IF(CONFIG_METADATA!$B$4&lt;&gt;"OR+EX",--(DATOS!$G16066=CONFIG_METADATA!$B$4),IF(DATOS!$G16066="EX",1,IF(DATOS!$G16066="OR",--(COUNTIFS(nNIA,DATOS!$A16066,nCURSO,DATOS!$D16066,nESPEC,DATOS!$E16066,nASIG,DATOS!$I16066,nEVAL,"EX")=0),0))))</f>
      </c>
      <c r="H16066">
        <f>IF(DATOS!$G16066&lt;&gt;"EX",0,--(COUNTIFS(nNIA,DATOS!$A16066,nCURSO,DATOS!$D16066,nESPEC,DATOS!$E16066,nASIG,DATOS!$I16066,nEVAL,"OR")=0))</f>
      </c>
      <c r="I16066">
        <f>IF(DATOS!$I16066="","",IFERROR(VLOOKUP(DATOS!$I16066,CONFIG_ASIGNATURAS!$B$2:$J$91,9,FALSE()),""))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IF(DATOS!$A16067="",0,IF(CONFIG_METADATA!$B$4&lt;&gt;"OR+EX",--(DATOS!$G16067=CONFIG_METADATA!$B$4),IF(DATOS!$G16067="EX",1,IF(DATOS!$G16067="OR",--(COUNTIFS(nNIA,DATOS!$A16067,nCURSO,DATOS!$D16067,nESPEC,DATOS!$E16067,nASIG,DATOS!$I16067,nEVAL,"EX")=0),0))))</f>
      </c>
      <c r="H16067">
        <f>IF(DATOS!$G16067&lt;&gt;"EX",0,--(COUNTIFS(nNIA,DATOS!$A16067,nCURSO,DATOS!$D16067,nESPEC,DATOS!$E16067,nASIG,DATOS!$I16067,nEVAL,"OR")=0))</f>
      </c>
      <c r="I16067">
        <f>IF(DATOS!$I16067="","",IFERROR(VLOOKUP(DATOS!$I16067,CONFIG_ASIGNATURAS!$B$2:$J$91,9,FALSE()),""))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IF(DATOS!$A16068="",0,IF(CONFIG_METADATA!$B$4&lt;&gt;"OR+EX",--(DATOS!$G16068=CONFIG_METADATA!$B$4),IF(DATOS!$G16068="EX",1,IF(DATOS!$G16068="OR",--(COUNTIFS(nNIA,DATOS!$A16068,nCURSO,DATOS!$D16068,nESPEC,DATOS!$E16068,nASIG,DATOS!$I16068,nEVAL,"EX")=0),0))))</f>
      </c>
      <c r="H16068">
        <f>IF(DATOS!$G16068&lt;&gt;"EX",0,--(COUNTIFS(nNIA,DATOS!$A16068,nCURSO,DATOS!$D16068,nESPEC,DATOS!$E16068,nASIG,DATOS!$I16068,nEVAL,"OR")=0))</f>
      </c>
      <c r="I16068">
        <f>IF(DATOS!$I16068="","",IFERROR(VLOOKUP(DATOS!$I16068,CONFIG_ASIGNATURAS!$B$2:$J$91,9,FALSE()),""))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IF(DATOS!$A16069="",0,IF(CONFIG_METADATA!$B$4&lt;&gt;"OR+EX",--(DATOS!$G16069=CONFIG_METADATA!$B$4),IF(DATOS!$G16069="EX",1,IF(DATOS!$G16069="OR",--(COUNTIFS(nNIA,DATOS!$A16069,nCURSO,DATOS!$D16069,nESPEC,DATOS!$E16069,nASIG,DATOS!$I16069,nEVAL,"EX")=0),0))))</f>
      </c>
      <c r="H16069">
        <f>IF(DATOS!$G16069&lt;&gt;"EX",0,--(COUNTIFS(nNIA,DATOS!$A16069,nCURSO,DATOS!$D16069,nESPEC,DATOS!$E16069,nASIG,DATOS!$I16069,nEVAL,"OR")=0))</f>
      </c>
      <c r="I16069">
        <f>IF(DATOS!$I16069="","",IFERROR(VLOOKUP(DATOS!$I16069,CONFIG_ASIGNATURAS!$B$2:$J$91,9,FALSE()),""))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IF(DATOS!$A16070="",0,IF(CONFIG_METADATA!$B$4&lt;&gt;"OR+EX",--(DATOS!$G16070=CONFIG_METADATA!$B$4),IF(DATOS!$G16070="EX",1,IF(DATOS!$G16070="OR",--(COUNTIFS(nNIA,DATOS!$A16070,nCURSO,DATOS!$D16070,nESPEC,DATOS!$E16070,nASIG,DATOS!$I16070,nEVAL,"EX")=0),0))))</f>
      </c>
      <c r="H16070">
        <f>IF(DATOS!$G16070&lt;&gt;"EX",0,--(COUNTIFS(nNIA,DATOS!$A16070,nCURSO,DATOS!$D16070,nESPEC,DATOS!$E16070,nASIG,DATOS!$I16070,nEVAL,"OR")=0))</f>
      </c>
      <c r="I16070">
        <f>IF(DATOS!$I16070="","",IFERROR(VLOOKUP(DATOS!$I16070,CONFIG_ASIGNATURAS!$B$2:$J$91,9,FALSE()),""))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IF(DATOS!$A16071="",0,IF(CONFIG_METADATA!$B$4&lt;&gt;"OR+EX",--(DATOS!$G16071=CONFIG_METADATA!$B$4),IF(DATOS!$G16071="EX",1,IF(DATOS!$G16071="OR",--(COUNTIFS(nNIA,DATOS!$A16071,nCURSO,DATOS!$D16071,nESPEC,DATOS!$E16071,nASIG,DATOS!$I16071,nEVAL,"EX")=0),0))))</f>
      </c>
      <c r="H16071">
        <f>IF(DATOS!$G16071&lt;&gt;"EX",0,--(COUNTIFS(nNIA,DATOS!$A16071,nCURSO,DATOS!$D16071,nESPEC,DATOS!$E16071,nASIG,DATOS!$I16071,nEVAL,"OR")=0))</f>
      </c>
      <c r="I16071">
        <f>IF(DATOS!$I16071="","",IFERROR(VLOOKUP(DATOS!$I16071,CONFIG_ASIGNATURAS!$B$2:$J$91,9,FALSE()),""))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IF(DATOS!$A16072="",0,IF(CONFIG_METADATA!$B$4&lt;&gt;"OR+EX",--(DATOS!$G16072=CONFIG_METADATA!$B$4),IF(DATOS!$G16072="EX",1,IF(DATOS!$G16072="OR",--(COUNTIFS(nNIA,DATOS!$A16072,nCURSO,DATOS!$D16072,nESPEC,DATOS!$E16072,nASIG,DATOS!$I16072,nEVAL,"EX")=0),0))))</f>
      </c>
      <c r="H16072">
        <f>IF(DATOS!$G16072&lt;&gt;"EX",0,--(COUNTIFS(nNIA,DATOS!$A16072,nCURSO,DATOS!$D16072,nESPEC,DATOS!$E16072,nASIG,DATOS!$I16072,nEVAL,"OR")=0))</f>
      </c>
      <c r="I16072">
        <f>IF(DATOS!$I16072="","",IFERROR(VLOOKUP(DATOS!$I16072,CONFIG_ASIGNATURAS!$B$2:$J$91,9,FALSE()),""))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IF(DATOS!$A16073="",0,IF(CONFIG_METADATA!$B$4&lt;&gt;"OR+EX",--(DATOS!$G16073=CONFIG_METADATA!$B$4),IF(DATOS!$G16073="EX",1,IF(DATOS!$G16073="OR",--(COUNTIFS(nNIA,DATOS!$A16073,nCURSO,DATOS!$D16073,nESPEC,DATOS!$E16073,nASIG,DATOS!$I16073,nEVAL,"EX")=0),0))))</f>
      </c>
      <c r="H16073">
        <f>IF(DATOS!$G16073&lt;&gt;"EX",0,--(COUNTIFS(nNIA,DATOS!$A16073,nCURSO,DATOS!$D16073,nESPEC,DATOS!$E16073,nASIG,DATOS!$I16073,nEVAL,"OR")=0))</f>
      </c>
      <c r="I16073">
        <f>IF(DATOS!$I16073="","",IFERROR(VLOOKUP(DATOS!$I16073,CONFIG_ASIGNATURAS!$B$2:$J$91,9,FALSE()),""))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IF(DATOS!$A16074="",0,IF(CONFIG_METADATA!$B$4&lt;&gt;"OR+EX",--(DATOS!$G16074=CONFIG_METADATA!$B$4),IF(DATOS!$G16074="EX",1,IF(DATOS!$G16074="OR",--(COUNTIFS(nNIA,DATOS!$A16074,nCURSO,DATOS!$D16074,nESPEC,DATOS!$E16074,nASIG,DATOS!$I16074,nEVAL,"EX")=0),0))))</f>
      </c>
      <c r="H16074">
        <f>IF(DATOS!$G16074&lt;&gt;"EX",0,--(COUNTIFS(nNIA,DATOS!$A16074,nCURSO,DATOS!$D16074,nESPEC,DATOS!$E16074,nASIG,DATOS!$I16074,nEVAL,"OR")=0))</f>
      </c>
      <c r="I16074">
        <f>IF(DATOS!$I16074="","",IFERROR(VLOOKUP(DATOS!$I16074,CONFIG_ASIGNATURAS!$B$2:$J$91,9,FALSE()),""))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IF(DATOS!$A16075="",0,IF(CONFIG_METADATA!$B$4&lt;&gt;"OR+EX",--(DATOS!$G16075=CONFIG_METADATA!$B$4),IF(DATOS!$G16075="EX",1,IF(DATOS!$G16075="OR",--(COUNTIFS(nNIA,DATOS!$A16075,nCURSO,DATOS!$D16075,nESPEC,DATOS!$E16075,nASIG,DATOS!$I16075,nEVAL,"EX")=0),0))))</f>
      </c>
      <c r="H16075">
        <f>IF(DATOS!$G16075&lt;&gt;"EX",0,--(COUNTIFS(nNIA,DATOS!$A16075,nCURSO,DATOS!$D16075,nESPEC,DATOS!$E16075,nASIG,DATOS!$I16075,nEVAL,"OR")=0))</f>
      </c>
      <c r="I16075">
        <f>IF(DATOS!$I16075="","",IFERROR(VLOOKUP(DATOS!$I16075,CONFIG_ASIGNATURAS!$B$2:$J$91,9,FALSE()),""))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IF(DATOS!$A16076="",0,IF(CONFIG_METADATA!$B$4&lt;&gt;"OR+EX",--(DATOS!$G16076=CONFIG_METADATA!$B$4),IF(DATOS!$G16076="EX",1,IF(DATOS!$G16076="OR",--(COUNTIFS(nNIA,DATOS!$A16076,nCURSO,DATOS!$D16076,nESPEC,DATOS!$E16076,nASIG,DATOS!$I16076,nEVAL,"EX")=0),0))))</f>
      </c>
      <c r="H16076">
        <f>IF(DATOS!$G16076&lt;&gt;"EX",0,--(COUNTIFS(nNIA,DATOS!$A16076,nCURSO,DATOS!$D16076,nESPEC,DATOS!$E16076,nASIG,DATOS!$I16076,nEVAL,"OR")=0))</f>
      </c>
      <c r="I16076">
        <f>IF(DATOS!$I16076="","",IFERROR(VLOOKUP(DATOS!$I16076,CONFIG_ASIGNATURAS!$B$2:$J$91,9,FALSE()),""))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IF(DATOS!$A16077="",0,IF(CONFIG_METADATA!$B$4&lt;&gt;"OR+EX",--(DATOS!$G16077=CONFIG_METADATA!$B$4),IF(DATOS!$G16077="EX",1,IF(DATOS!$G16077="OR",--(COUNTIFS(nNIA,DATOS!$A16077,nCURSO,DATOS!$D16077,nESPEC,DATOS!$E16077,nASIG,DATOS!$I16077,nEVAL,"EX")=0),0))))</f>
      </c>
      <c r="H16077">
        <f>IF(DATOS!$G16077&lt;&gt;"EX",0,--(COUNTIFS(nNIA,DATOS!$A16077,nCURSO,DATOS!$D16077,nESPEC,DATOS!$E16077,nASIG,DATOS!$I16077,nEVAL,"OR")=0))</f>
      </c>
      <c r="I16077">
        <f>IF(DATOS!$I16077="","",IFERROR(VLOOKUP(DATOS!$I16077,CONFIG_ASIGNATURAS!$B$2:$J$91,9,FALSE()),""))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IF(DATOS!$A16078="",0,IF(CONFIG_METADATA!$B$4&lt;&gt;"OR+EX",--(DATOS!$G16078=CONFIG_METADATA!$B$4),IF(DATOS!$G16078="EX",1,IF(DATOS!$G16078="OR",--(COUNTIFS(nNIA,DATOS!$A16078,nCURSO,DATOS!$D16078,nESPEC,DATOS!$E16078,nASIG,DATOS!$I16078,nEVAL,"EX")=0),0))))</f>
      </c>
      <c r="H16078">
        <f>IF(DATOS!$G16078&lt;&gt;"EX",0,--(COUNTIFS(nNIA,DATOS!$A16078,nCURSO,DATOS!$D16078,nESPEC,DATOS!$E16078,nASIG,DATOS!$I16078,nEVAL,"OR")=0))</f>
      </c>
      <c r="I16078">
        <f>IF(DATOS!$I16078="","",IFERROR(VLOOKUP(DATOS!$I16078,CONFIG_ASIGNATURAS!$B$2:$J$91,9,FALSE()),""))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IF(DATOS!$A16079="",0,IF(CONFIG_METADATA!$B$4&lt;&gt;"OR+EX",--(DATOS!$G16079=CONFIG_METADATA!$B$4),IF(DATOS!$G16079="EX",1,IF(DATOS!$G16079="OR",--(COUNTIFS(nNIA,DATOS!$A16079,nCURSO,DATOS!$D16079,nESPEC,DATOS!$E16079,nASIG,DATOS!$I16079,nEVAL,"EX")=0),0))))</f>
      </c>
      <c r="H16079">
        <f>IF(DATOS!$G16079&lt;&gt;"EX",0,--(COUNTIFS(nNIA,DATOS!$A16079,nCURSO,DATOS!$D16079,nESPEC,DATOS!$E16079,nASIG,DATOS!$I16079,nEVAL,"OR")=0))</f>
      </c>
      <c r="I16079">
        <f>IF(DATOS!$I16079="","",IFERROR(VLOOKUP(DATOS!$I16079,CONFIG_ASIGNATURAS!$B$2:$J$91,9,FALSE()),""))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IF(DATOS!$A16080="",0,IF(CONFIG_METADATA!$B$4&lt;&gt;"OR+EX",--(DATOS!$G16080=CONFIG_METADATA!$B$4),IF(DATOS!$G16080="EX",1,IF(DATOS!$G16080="OR",--(COUNTIFS(nNIA,DATOS!$A16080,nCURSO,DATOS!$D16080,nESPEC,DATOS!$E16080,nASIG,DATOS!$I16080,nEVAL,"EX")=0),0))))</f>
      </c>
      <c r="H16080">
        <f>IF(DATOS!$G16080&lt;&gt;"EX",0,--(COUNTIFS(nNIA,DATOS!$A16080,nCURSO,DATOS!$D16080,nESPEC,DATOS!$E16080,nASIG,DATOS!$I16080,nEVAL,"OR")=0))</f>
      </c>
      <c r="I16080">
        <f>IF(DATOS!$I16080="","",IFERROR(VLOOKUP(DATOS!$I16080,CONFIG_ASIGNATURAS!$B$2:$J$91,9,FALSE()),""))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IF(DATOS!$A16081="",0,IF(CONFIG_METADATA!$B$4&lt;&gt;"OR+EX",--(DATOS!$G16081=CONFIG_METADATA!$B$4),IF(DATOS!$G16081="EX",1,IF(DATOS!$G16081="OR",--(COUNTIFS(nNIA,DATOS!$A16081,nCURSO,DATOS!$D16081,nESPEC,DATOS!$E16081,nASIG,DATOS!$I16081,nEVAL,"EX")=0),0))))</f>
      </c>
      <c r="H16081">
        <f>IF(DATOS!$G16081&lt;&gt;"EX",0,--(COUNTIFS(nNIA,DATOS!$A16081,nCURSO,DATOS!$D16081,nESPEC,DATOS!$E16081,nASIG,DATOS!$I16081,nEVAL,"OR")=0))</f>
      </c>
      <c r="I16081">
        <f>IF(DATOS!$I16081="","",IFERROR(VLOOKUP(DATOS!$I16081,CONFIG_ASIGNATURAS!$B$2:$J$91,9,FALSE()),""))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IF(DATOS!$A16082="",0,IF(CONFIG_METADATA!$B$4&lt;&gt;"OR+EX",--(DATOS!$G16082=CONFIG_METADATA!$B$4),IF(DATOS!$G16082="EX",1,IF(DATOS!$G16082="OR",--(COUNTIFS(nNIA,DATOS!$A16082,nCURSO,DATOS!$D16082,nESPEC,DATOS!$E16082,nASIG,DATOS!$I16082,nEVAL,"EX")=0),0))))</f>
      </c>
      <c r="H16082">
        <f>IF(DATOS!$G16082&lt;&gt;"EX",0,--(COUNTIFS(nNIA,DATOS!$A16082,nCURSO,DATOS!$D16082,nESPEC,DATOS!$E16082,nASIG,DATOS!$I16082,nEVAL,"OR")=0))</f>
      </c>
      <c r="I16082">
        <f>IF(DATOS!$I16082="","",IFERROR(VLOOKUP(DATOS!$I16082,CONFIG_ASIGNATURAS!$B$2:$J$91,9,FALSE()),""))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IF(DATOS!$A16083="",0,IF(CONFIG_METADATA!$B$4&lt;&gt;"OR+EX",--(DATOS!$G16083=CONFIG_METADATA!$B$4),IF(DATOS!$G16083="EX",1,IF(DATOS!$G16083="OR",--(COUNTIFS(nNIA,DATOS!$A16083,nCURSO,DATOS!$D16083,nESPEC,DATOS!$E16083,nASIG,DATOS!$I16083,nEVAL,"EX")=0),0))))</f>
      </c>
      <c r="H16083">
        <f>IF(DATOS!$G16083&lt;&gt;"EX",0,--(COUNTIFS(nNIA,DATOS!$A16083,nCURSO,DATOS!$D16083,nESPEC,DATOS!$E16083,nASIG,DATOS!$I16083,nEVAL,"OR")=0))</f>
      </c>
      <c r="I16083">
        <f>IF(DATOS!$I16083="","",IFERROR(VLOOKUP(DATOS!$I16083,CONFIG_ASIGNATURAS!$B$2:$J$91,9,FALSE()),""))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IF(DATOS!$A16084="",0,IF(CONFIG_METADATA!$B$4&lt;&gt;"OR+EX",--(DATOS!$G16084=CONFIG_METADATA!$B$4),IF(DATOS!$G16084="EX",1,IF(DATOS!$G16084="OR",--(COUNTIFS(nNIA,DATOS!$A16084,nCURSO,DATOS!$D16084,nESPEC,DATOS!$E16084,nASIG,DATOS!$I16084,nEVAL,"EX")=0),0))))</f>
      </c>
      <c r="H16084">
        <f>IF(DATOS!$G16084&lt;&gt;"EX",0,--(COUNTIFS(nNIA,DATOS!$A16084,nCURSO,DATOS!$D16084,nESPEC,DATOS!$E16084,nASIG,DATOS!$I16084,nEVAL,"OR")=0))</f>
      </c>
      <c r="I16084">
        <f>IF(DATOS!$I16084="","",IFERROR(VLOOKUP(DATOS!$I16084,CONFIG_ASIGNATURAS!$B$2:$J$91,9,FALSE()),""))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IF(DATOS!$A16085="",0,IF(CONFIG_METADATA!$B$4&lt;&gt;"OR+EX",--(DATOS!$G16085=CONFIG_METADATA!$B$4),IF(DATOS!$G16085="EX",1,IF(DATOS!$G16085="OR",--(COUNTIFS(nNIA,DATOS!$A16085,nCURSO,DATOS!$D16085,nESPEC,DATOS!$E16085,nASIG,DATOS!$I16085,nEVAL,"EX")=0),0))))</f>
      </c>
      <c r="H16085">
        <f>IF(DATOS!$G16085&lt;&gt;"EX",0,--(COUNTIFS(nNIA,DATOS!$A16085,nCURSO,DATOS!$D16085,nESPEC,DATOS!$E16085,nASIG,DATOS!$I16085,nEVAL,"OR")=0))</f>
      </c>
      <c r="I16085">
        <f>IF(DATOS!$I16085="","",IFERROR(VLOOKUP(DATOS!$I16085,CONFIG_ASIGNATURAS!$B$2:$J$91,9,FALSE()),""))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IF(DATOS!$A16086="",0,IF(CONFIG_METADATA!$B$4&lt;&gt;"OR+EX",--(DATOS!$G16086=CONFIG_METADATA!$B$4),IF(DATOS!$G16086="EX",1,IF(DATOS!$G16086="OR",--(COUNTIFS(nNIA,DATOS!$A16086,nCURSO,DATOS!$D16086,nESPEC,DATOS!$E16086,nASIG,DATOS!$I16086,nEVAL,"EX")=0),0))))</f>
      </c>
      <c r="H16086">
        <f>IF(DATOS!$G16086&lt;&gt;"EX",0,--(COUNTIFS(nNIA,DATOS!$A16086,nCURSO,DATOS!$D16086,nESPEC,DATOS!$E16086,nASIG,DATOS!$I16086,nEVAL,"OR")=0))</f>
      </c>
      <c r="I16086">
        <f>IF(DATOS!$I16086="","",IFERROR(VLOOKUP(DATOS!$I16086,CONFIG_ASIGNATURAS!$B$2:$J$91,9,FALSE()),""))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IF(DATOS!$A16087="",0,IF(CONFIG_METADATA!$B$4&lt;&gt;"OR+EX",--(DATOS!$G16087=CONFIG_METADATA!$B$4),IF(DATOS!$G16087="EX",1,IF(DATOS!$G16087="OR",--(COUNTIFS(nNIA,DATOS!$A16087,nCURSO,DATOS!$D16087,nESPEC,DATOS!$E16087,nASIG,DATOS!$I16087,nEVAL,"EX")=0),0))))</f>
      </c>
      <c r="H16087">
        <f>IF(DATOS!$G16087&lt;&gt;"EX",0,--(COUNTIFS(nNIA,DATOS!$A16087,nCURSO,DATOS!$D16087,nESPEC,DATOS!$E16087,nASIG,DATOS!$I16087,nEVAL,"OR")=0))</f>
      </c>
      <c r="I16087">
        <f>IF(DATOS!$I16087="","",IFERROR(VLOOKUP(DATOS!$I16087,CONFIG_ASIGNATURAS!$B$2:$J$91,9,FALSE()),""))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IF(DATOS!$A16088="",0,IF(CONFIG_METADATA!$B$4&lt;&gt;"OR+EX",--(DATOS!$G16088=CONFIG_METADATA!$B$4),IF(DATOS!$G16088="EX",1,IF(DATOS!$G16088="OR",--(COUNTIFS(nNIA,DATOS!$A16088,nCURSO,DATOS!$D16088,nESPEC,DATOS!$E16088,nASIG,DATOS!$I16088,nEVAL,"EX")=0),0))))</f>
      </c>
      <c r="H16088">
        <f>IF(DATOS!$G16088&lt;&gt;"EX",0,--(COUNTIFS(nNIA,DATOS!$A16088,nCURSO,DATOS!$D16088,nESPEC,DATOS!$E16088,nASIG,DATOS!$I16088,nEVAL,"OR")=0))</f>
      </c>
      <c r="I16088">
        <f>IF(DATOS!$I16088="","",IFERROR(VLOOKUP(DATOS!$I16088,CONFIG_ASIGNATURAS!$B$2:$J$91,9,FALSE()),""))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IF(DATOS!$A16089="",0,IF(CONFIG_METADATA!$B$4&lt;&gt;"OR+EX",--(DATOS!$G16089=CONFIG_METADATA!$B$4),IF(DATOS!$G16089="EX",1,IF(DATOS!$G16089="OR",--(COUNTIFS(nNIA,DATOS!$A16089,nCURSO,DATOS!$D16089,nESPEC,DATOS!$E16089,nASIG,DATOS!$I16089,nEVAL,"EX")=0),0))))</f>
      </c>
      <c r="H16089">
        <f>IF(DATOS!$G16089&lt;&gt;"EX",0,--(COUNTIFS(nNIA,DATOS!$A16089,nCURSO,DATOS!$D16089,nESPEC,DATOS!$E16089,nASIG,DATOS!$I16089,nEVAL,"OR")=0))</f>
      </c>
      <c r="I16089">
        <f>IF(DATOS!$I16089="","",IFERROR(VLOOKUP(DATOS!$I16089,CONFIG_ASIGNATURAS!$B$2:$J$91,9,FALSE()),""))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IF(DATOS!$A16090="",0,IF(CONFIG_METADATA!$B$4&lt;&gt;"OR+EX",--(DATOS!$G16090=CONFIG_METADATA!$B$4),IF(DATOS!$G16090="EX",1,IF(DATOS!$G16090="OR",--(COUNTIFS(nNIA,DATOS!$A16090,nCURSO,DATOS!$D16090,nESPEC,DATOS!$E16090,nASIG,DATOS!$I16090,nEVAL,"EX")=0),0))))</f>
      </c>
      <c r="H16090">
        <f>IF(DATOS!$G16090&lt;&gt;"EX",0,--(COUNTIFS(nNIA,DATOS!$A16090,nCURSO,DATOS!$D16090,nESPEC,DATOS!$E16090,nASIG,DATOS!$I16090,nEVAL,"OR")=0))</f>
      </c>
      <c r="I16090">
        <f>IF(DATOS!$I16090="","",IFERROR(VLOOKUP(DATOS!$I16090,CONFIG_ASIGNATURAS!$B$2:$J$91,9,FALSE()),""))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IF(DATOS!$A16091="",0,IF(CONFIG_METADATA!$B$4&lt;&gt;"OR+EX",--(DATOS!$G16091=CONFIG_METADATA!$B$4),IF(DATOS!$G16091="EX",1,IF(DATOS!$G16091="OR",--(COUNTIFS(nNIA,DATOS!$A16091,nCURSO,DATOS!$D16091,nESPEC,DATOS!$E16091,nASIG,DATOS!$I16091,nEVAL,"EX")=0),0))))</f>
      </c>
      <c r="H16091">
        <f>IF(DATOS!$G16091&lt;&gt;"EX",0,--(COUNTIFS(nNIA,DATOS!$A16091,nCURSO,DATOS!$D16091,nESPEC,DATOS!$E16091,nASIG,DATOS!$I16091,nEVAL,"OR")=0))</f>
      </c>
      <c r="I16091">
        <f>IF(DATOS!$I16091="","",IFERROR(VLOOKUP(DATOS!$I16091,CONFIG_ASIGNATURAS!$B$2:$J$91,9,FALSE()),""))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IF(DATOS!$A16092="",0,IF(CONFIG_METADATA!$B$4&lt;&gt;"OR+EX",--(DATOS!$G16092=CONFIG_METADATA!$B$4),IF(DATOS!$G16092="EX",1,IF(DATOS!$G16092="OR",--(COUNTIFS(nNIA,DATOS!$A16092,nCURSO,DATOS!$D16092,nESPEC,DATOS!$E16092,nASIG,DATOS!$I16092,nEVAL,"EX")=0),0))))</f>
      </c>
      <c r="H16092">
        <f>IF(DATOS!$G16092&lt;&gt;"EX",0,--(COUNTIFS(nNIA,DATOS!$A16092,nCURSO,DATOS!$D16092,nESPEC,DATOS!$E16092,nASIG,DATOS!$I16092,nEVAL,"OR")=0))</f>
      </c>
      <c r="I16092">
        <f>IF(DATOS!$I16092="","",IFERROR(VLOOKUP(DATOS!$I16092,CONFIG_ASIGNATURAS!$B$2:$J$91,9,FALSE()),""))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IF(DATOS!$A16093="",0,IF(CONFIG_METADATA!$B$4&lt;&gt;"OR+EX",--(DATOS!$G16093=CONFIG_METADATA!$B$4),IF(DATOS!$G16093="EX",1,IF(DATOS!$G16093="OR",--(COUNTIFS(nNIA,DATOS!$A16093,nCURSO,DATOS!$D16093,nESPEC,DATOS!$E16093,nASIG,DATOS!$I16093,nEVAL,"EX")=0),0))))</f>
      </c>
      <c r="H16093">
        <f>IF(DATOS!$G16093&lt;&gt;"EX",0,--(COUNTIFS(nNIA,DATOS!$A16093,nCURSO,DATOS!$D16093,nESPEC,DATOS!$E16093,nASIG,DATOS!$I16093,nEVAL,"OR")=0))</f>
      </c>
      <c r="I16093">
        <f>IF(DATOS!$I16093="","",IFERROR(VLOOKUP(DATOS!$I16093,CONFIG_ASIGNATURAS!$B$2:$J$91,9,FALSE()),""))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IF(DATOS!$A16094="",0,IF(CONFIG_METADATA!$B$4&lt;&gt;"OR+EX",--(DATOS!$G16094=CONFIG_METADATA!$B$4),IF(DATOS!$G16094="EX",1,IF(DATOS!$G16094="OR",--(COUNTIFS(nNIA,DATOS!$A16094,nCURSO,DATOS!$D16094,nESPEC,DATOS!$E16094,nASIG,DATOS!$I16094,nEVAL,"EX")=0),0))))</f>
      </c>
      <c r="H16094">
        <f>IF(DATOS!$G16094&lt;&gt;"EX",0,--(COUNTIFS(nNIA,DATOS!$A16094,nCURSO,DATOS!$D16094,nESPEC,DATOS!$E16094,nASIG,DATOS!$I16094,nEVAL,"OR")=0))</f>
      </c>
      <c r="I16094">
        <f>IF(DATOS!$I16094="","",IFERROR(VLOOKUP(DATOS!$I16094,CONFIG_ASIGNATURAS!$B$2:$J$91,9,FALSE()),""))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IF(DATOS!$A16095="",0,IF(CONFIG_METADATA!$B$4&lt;&gt;"OR+EX",--(DATOS!$G16095=CONFIG_METADATA!$B$4),IF(DATOS!$G16095="EX",1,IF(DATOS!$G16095="OR",--(COUNTIFS(nNIA,DATOS!$A16095,nCURSO,DATOS!$D16095,nESPEC,DATOS!$E16095,nASIG,DATOS!$I16095,nEVAL,"EX")=0),0))))</f>
      </c>
      <c r="H16095">
        <f>IF(DATOS!$G16095&lt;&gt;"EX",0,--(COUNTIFS(nNIA,DATOS!$A16095,nCURSO,DATOS!$D16095,nESPEC,DATOS!$E16095,nASIG,DATOS!$I16095,nEVAL,"OR")=0))</f>
      </c>
      <c r="I16095">
        <f>IF(DATOS!$I16095="","",IFERROR(VLOOKUP(DATOS!$I16095,CONFIG_ASIGNATURAS!$B$2:$J$91,9,FALSE()),""))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IF(DATOS!$A16096="",0,IF(CONFIG_METADATA!$B$4&lt;&gt;"OR+EX",--(DATOS!$G16096=CONFIG_METADATA!$B$4),IF(DATOS!$G16096="EX",1,IF(DATOS!$G16096="OR",--(COUNTIFS(nNIA,DATOS!$A16096,nCURSO,DATOS!$D16096,nESPEC,DATOS!$E16096,nASIG,DATOS!$I16096,nEVAL,"EX")=0),0))))</f>
      </c>
      <c r="H16096">
        <f>IF(DATOS!$G16096&lt;&gt;"EX",0,--(COUNTIFS(nNIA,DATOS!$A16096,nCURSO,DATOS!$D16096,nESPEC,DATOS!$E16096,nASIG,DATOS!$I16096,nEVAL,"OR")=0))</f>
      </c>
      <c r="I16096">
        <f>IF(DATOS!$I16096="","",IFERROR(VLOOKUP(DATOS!$I16096,CONFIG_ASIGNATURAS!$B$2:$J$91,9,FALSE()),""))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IF(DATOS!$A16097="",0,IF(CONFIG_METADATA!$B$4&lt;&gt;"OR+EX",--(DATOS!$G16097=CONFIG_METADATA!$B$4),IF(DATOS!$G16097="EX",1,IF(DATOS!$G16097="OR",--(COUNTIFS(nNIA,DATOS!$A16097,nCURSO,DATOS!$D16097,nESPEC,DATOS!$E16097,nASIG,DATOS!$I16097,nEVAL,"EX")=0),0))))</f>
      </c>
      <c r="H16097">
        <f>IF(DATOS!$G16097&lt;&gt;"EX",0,--(COUNTIFS(nNIA,DATOS!$A16097,nCURSO,DATOS!$D16097,nESPEC,DATOS!$E16097,nASIG,DATOS!$I16097,nEVAL,"OR")=0))</f>
      </c>
      <c r="I16097">
        <f>IF(DATOS!$I16097="","",IFERROR(VLOOKUP(DATOS!$I16097,CONFIG_ASIGNATURAS!$B$2:$J$91,9,FALSE()),""))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IF(DATOS!$A16098="",0,IF(CONFIG_METADATA!$B$4&lt;&gt;"OR+EX",--(DATOS!$G16098=CONFIG_METADATA!$B$4),IF(DATOS!$G16098="EX",1,IF(DATOS!$G16098="OR",--(COUNTIFS(nNIA,DATOS!$A16098,nCURSO,DATOS!$D16098,nESPEC,DATOS!$E16098,nASIG,DATOS!$I16098,nEVAL,"EX")=0),0))))</f>
      </c>
      <c r="H16098">
        <f>IF(DATOS!$G16098&lt;&gt;"EX",0,--(COUNTIFS(nNIA,DATOS!$A16098,nCURSO,DATOS!$D16098,nESPEC,DATOS!$E16098,nASIG,DATOS!$I16098,nEVAL,"OR")=0))</f>
      </c>
      <c r="I16098">
        <f>IF(DATOS!$I16098="","",IFERROR(VLOOKUP(DATOS!$I16098,CONFIG_ASIGNATURAS!$B$2:$J$91,9,FALSE()),""))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IF(DATOS!$A16099="",0,IF(CONFIG_METADATA!$B$4&lt;&gt;"OR+EX",--(DATOS!$G16099=CONFIG_METADATA!$B$4),IF(DATOS!$G16099="EX",1,IF(DATOS!$G16099="OR",--(COUNTIFS(nNIA,DATOS!$A16099,nCURSO,DATOS!$D16099,nESPEC,DATOS!$E16099,nASIG,DATOS!$I16099,nEVAL,"EX")=0),0))))</f>
      </c>
      <c r="H16099">
        <f>IF(DATOS!$G16099&lt;&gt;"EX",0,--(COUNTIFS(nNIA,DATOS!$A16099,nCURSO,DATOS!$D16099,nESPEC,DATOS!$E16099,nASIG,DATOS!$I16099,nEVAL,"OR")=0))</f>
      </c>
      <c r="I16099">
        <f>IF(DATOS!$I16099="","",IFERROR(VLOOKUP(DATOS!$I16099,CONFIG_ASIGNATURAS!$B$2:$J$91,9,FALSE()),""))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IF(DATOS!$A16100="",0,IF(CONFIG_METADATA!$B$4&lt;&gt;"OR+EX",--(DATOS!$G16100=CONFIG_METADATA!$B$4),IF(DATOS!$G16100="EX",1,IF(DATOS!$G16100="OR",--(COUNTIFS(nNIA,DATOS!$A16100,nCURSO,DATOS!$D16100,nESPEC,DATOS!$E16100,nASIG,DATOS!$I16100,nEVAL,"EX")=0),0))))</f>
      </c>
      <c r="H16100">
        <f>IF(DATOS!$G16100&lt;&gt;"EX",0,--(COUNTIFS(nNIA,DATOS!$A16100,nCURSO,DATOS!$D16100,nESPEC,DATOS!$E16100,nASIG,DATOS!$I16100,nEVAL,"OR")=0))</f>
      </c>
      <c r="I16100">
        <f>IF(DATOS!$I16100="","",IFERROR(VLOOKUP(DATOS!$I16100,CONFIG_ASIGNATURAS!$B$2:$J$91,9,FALSE()),""))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IF(DATOS!$A16101="",0,IF(CONFIG_METADATA!$B$4&lt;&gt;"OR+EX",--(DATOS!$G16101=CONFIG_METADATA!$B$4),IF(DATOS!$G16101="EX",1,IF(DATOS!$G16101="OR",--(COUNTIFS(nNIA,DATOS!$A16101,nCURSO,DATOS!$D16101,nESPEC,DATOS!$E16101,nASIG,DATOS!$I16101,nEVAL,"EX")=0),0))))</f>
      </c>
      <c r="H16101">
        <f>IF(DATOS!$G16101&lt;&gt;"EX",0,--(COUNTIFS(nNIA,DATOS!$A16101,nCURSO,DATOS!$D16101,nESPEC,DATOS!$E16101,nASIG,DATOS!$I16101,nEVAL,"OR")=0))</f>
      </c>
      <c r="I16101">
        <f>IF(DATOS!$I16101="","",IFERROR(VLOOKUP(DATOS!$I16101,CONFIG_ASIGNATURAS!$B$2:$J$91,9,FALSE()),""))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IF(DATOS!$A16102="",0,IF(CONFIG_METADATA!$B$4&lt;&gt;"OR+EX",--(DATOS!$G16102=CONFIG_METADATA!$B$4),IF(DATOS!$G16102="EX",1,IF(DATOS!$G16102="OR",--(COUNTIFS(nNIA,DATOS!$A16102,nCURSO,DATOS!$D16102,nESPEC,DATOS!$E16102,nASIG,DATOS!$I16102,nEVAL,"EX")=0),0))))</f>
      </c>
      <c r="H16102">
        <f>IF(DATOS!$G16102&lt;&gt;"EX",0,--(COUNTIFS(nNIA,DATOS!$A16102,nCURSO,DATOS!$D16102,nESPEC,DATOS!$E16102,nASIG,DATOS!$I16102,nEVAL,"OR")=0))</f>
      </c>
      <c r="I16102">
        <f>IF(DATOS!$I16102="","",IFERROR(VLOOKUP(DATOS!$I16102,CONFIG_ASIGNATURAS!$B$2:$J$91,9,FALSE()),""))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IF(DATOS!$A16103="",0,IF(CONFIG_METADATA!$B$4&lt;&gt;"OR+EX",--(DATOS!$G16103=CONFIG_METADATA!$B$4),IF(DATOS!$G16103="EX",1,IF(DATOS!$G16103="OR",--(COUNTIFS(nNIA,DATOS!$A16103,nCURSO,DATOS!$D16103,nESPEC,DATOS!$E16103,nASIG,DATOS!$I16103,nEVAL,"EX")=0),0))))</f>
      </c>
      <c r="H16103">
        <f>IF(DATOS!$G16103&lt;&gt;"EX",0,--(COUNTIFS(nNIA,DATOS!$A16103,nCURSO,DATOS!$D16103,nESPEC,DATOS!$E16103,nASIG,DATOS!$I16103,nEVAL,"OR")=0))</f>
      </c>
      <c r="I16103">
        <f>IF(DATOS!$I16103="","",IFERROR(VLOOKUP(DATOS!$I16103,CONFIG_ASIGNATURAS!$B$2:$J$91,9,FALSE()),""))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IF(DATOS!$A16104="",0,IF(CONFIG_METADATA!$B$4&lt;&gt;"OR+EX",--(DATOS!$G16104=CONFIG_METADATA!$B$4),IF(DATOS!$G16104="EX",1,IF(DATOS!$G16104="OR",--(COUNTIFS(nNIA,DATOS!$A16104,nCURSO,DATOS!$D16104,nESPEC,DATOS!$E16104,nASIG,DATOS!$I16104,nEVAL,"EX")=0),0))))</f>
      </c>
      <c r="H16104">
        <f>IF(DATOS!$G16104&lt;&gt;"EX",0,--(COUNTIFS(nNIA,DATOS!$A16104,nCURSO,DATOS!$D16104,nESPEC,DATOS!$E16104,nASIG,DATOS!$I16104,nEVAL,"OR")=0))</f>
      </c>
      <c r="I16104">
        <f>IF(DATOS!$I16104="","",IFERROR(VLOOKUP(DATOS!$I16104,CONFIG_ASIGNATURAS!$B$2:$J$91,9,FALSE()),""))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IF(DATOS!$A16105="",0,IF(CONFIG_METADATA!$B$4&lt;&gt;"OR+EX",--(DATOS!$G16105=CONFIG_METADATA!$B$4),IF(DATOS!$G16105="EX",1,IF(DATOS!$G16105="OR",--(COUNTIFS(nNIA,DATOS!$A16105,nCURSO,DATOS!$D16105,nESPEC,DATOS!$E16105,nASIG,DATOS!$I16105,nEVAL,"EX")=0),0))))</f>
      </c>
      <c r="H16105">
        <f>IF(DATOS!$G16105&lt;&gt;"EX",0,--(COUNTIFS(nNIA,DATOS!$A16105,nCURSO,DATOS!$D16105,nESPEC,DATOS!$E16105,nASIG,DATOS!$I16105,nEVAL,"OR")=0))</f>
      </c>
      <c r="I16105">
        <f>IF(DATOS!$I16105="","",IFERROR(VLOOKUP(DATOS!$I16105,CONFIG_ASIGNATURAS!$B$2:$J$91,9,FALSE()),""))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IF(DATOS!$A16106="",0,IF(CONFIG_METADATA!$B$4&lt;&gt;"OR+EX",--(DATOS!$G16106=CONFIG_METADATA!$B$4),IF(DATOS!$G16106="EX",1,IF(DATOS!$G16106="OR",--(COUNTIFS(nNIA,DATOS!$A16106,nCURSO,DATOS!$D16106,nESPEC,DATOS!$E16106,nASIG,DATOS!$I16106,nEVAL,"EX")=0),0))))</f>
      </c>
      <c r="H16106">
        <f>IF(DATOS!$G16106&lt;&gt;"EX",0,--(COUNTIFS(nNIA,DATOS!$A16106,nCURSO,DATOS!$D16106,nESPEC,DATOS!$E16106,nASIG,DATOS!$I16106,nEVAL,"OR")=0))</f>
      </c>
      <c r="I16106">
        <f>IF(DATOS!$I16106="","",IFERROR(VLOOKUP(DATOS!$I16106,CONFIG_ASIGNATURAS!$B$2:$J$91,9,FALSE()),""))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IF(DATOS!$A16107="",0,IF(CONFIG_METADATA!$B$4&lt;&gt;"OR+EX",--(DATOS!$G16107=CONFIG_METADATA!$B$4),IF(DATOS!$G16107="EX",1,IF(DATOS!$G16107="OR",--(COUNTIFS(nNIA,DATOS!$A16107,nCURSO,DATOS!$D16107,nESPEC,DATOS!$E16107,nASIG,DATOS!$I16107,nEVAL,"EX")=0),0))))</f>
      </c>
      <c r="H16107">
        <f>IF(DATOS!$G16107&lt;&gt;"EX",0,--(COUNTIFS(nNIA,DATOS!$A16107,nCURSO,DATOS!$D16107,nESPEC,DATOS!$E16107,nASIG,DATOS!$I16107,nEVAL,"OR")=0))</f>
      </c>
      <c r="I16107">
        <f>IF(DATOS!$I16107="","",IFERROR(VLOOKUP(DATOS!$I16107,CONFIG_ASIGNATURAS!$B$2:$J$91,9,FALSE()),""))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IF(DATOS!$A16108="",0,IF(CONFIG_METADATA!$B$4&lt;&gt;"OR+EX",--(DATOS!$G16108=CONFIG_METADATA!$B$4),IF(DATOS!$G16108="EX",1,IF(DATOS!$G16108="OR",--(COUNTIFS(nNIA,DATOS!$A16108,nCURSO,DATOS!$D16108,nESPEC,DATOS!$E16108,nASIG,DATOS!$I16108,nEVAL,"EX")=0),0))))</f>
      </c>
      <c r="H16108">
        <f>IF(DATOS!$G16108&lt;&gt;"EX",0,--(COUNTIFS(nNIA,DATOS!$A16108,nCURSO,DATOS!$D16108,nESPEC,DATOS!$E16108,nASIG,DATOS!$I16108,nEVAL,"OR")=0))</f>
      </c>
      <c r="I16108">
        <f>IF(DATOS!$I16108="","",IFERROR(VLOOKUP(DATOS!$I16108,CONFIG_ASIGNATURAS!$B$2:$J$91,9,FALSE()),""))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IF(DATOS!$A16109="",0,IF(CONFIG_METADATA!$B$4&lt;&gt;"OR+EX",--(DATOS!$G16109=CONFIG_METADATA!$B$4),IF(DATOS!$G16109="EX",1,IF(DATOS!$G16109="OR",--(COUNTIFS(nNIA,DATOS!$A16109,nCURSO,DATOS!$D16109,nESPEC,DATOS!$E16109,nASIG,DATOS!$I16109,nEVAL,"EX")=0),0))))</f>
      </c>
      <c r="H16109">
        <f>IF(DATOS!$G16109&lt;&gt;"EX",0,--(COUNTIFS(nNIA,DATOS!$A16109,nCURSO,DATOS!$D16109,nESPEC,DATOS!$E16109,nASIG,DATOS!$I16109,nEVAL,"OR")=0))</f>
      </c>
      <c r="I16109">
        <f>IF(DATOS!$I16109="","",IFERROR(VLOOKUP(DATOS!$I16109,CONFIG_ASIGNATURAS!$B$2:$J$91,9,FALSE()),""))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IF(DATOS!$A16110="",0,IF(CONFIG_METADATA!$B$4&lt;&gt;"OR+EX",--(DATOS!$G16110=CONFIG_METADATA!$B$4),IF(DATOS!$G16110="EX",1,IF(DATOS!$G16110="OR",--(COUNTIFS(nNIA,DATOS!$A16110,nCURSO,DATOS!$D16110,nESPEC,DATOS!$E16110,nASIG,DATOS!$I16110,nEVAL,"EX")=0),0))))</f>
      </c>
      <c r="H16110">
        <f>IF(DATOS!$G16110&lt;&gt;"EX",0,--(COUNTIFS(nNIA,DATOS!$A16110,nCURSO,DATOS!$D16110,nESPEC,DATOS!$E16110,nASIG,DATOS!$I16110,nEVAL,"OR")=0))</f>
      </c>
      <c r="I16110">
        <f>IF(DATOS!$I16110="","",IFERROR(VLOOKUP(DATOS!$I16110,CONFIG_ASIGNATURAS!$B$2:$J$91,9,FALSE()),""))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IF(DATOS!$A16111="",0,IF(CONFIG_METADATA!$B$4&lt;&gt;"OR+EX",--(DATOS!$G16111=CONFIG_METADATA!$B$4),IF(DATOS!$G16111="EX",1,IF(DATOS!$G16111="OR",--(COUNTIFS(nNIA,DATOS!$A16111,nCURSO,DATOS!$D16111,nESPEC,DATOS!$E16111,nASIG,DATOS!$I16111,nEVAL,"EX")=0),0))))</f>
      </c>
      <c r="H16111">
        <f>IF(DATOS!$G16111&lt;&gt;"EX",0,--(COUNTIFS(nNIA,DATOS!$A16111,nCURSO,DATOS!$D16111,nESPEC,DATOS!$E16111,nASIG,DATOS!$I16111,nEVAL,"OR")=0))</f>
      </c>
      <c r="I16111">
        <f>IF(DATOS!$I16111="","",IFERROR(VLOOKUP(DATOS!$I16111,CONFIG_ASIGNATURAS!$B$2:$J$91,9,FALSE()),""))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IF(DATOS!$A16112="",0,IF(CONFIG_METADATA!$B$4&lt;&gt;"OR+EX",--(DATOS!$G16112=CONFIG_METADATA!$B$4),IF(DATOS!$G16112="EX",1,IF(DATOS!$G16112="OR",--(COUNTIFS(nNIA,DATOS!$A16112,nCURSO,DATOS!$D16112,nESPEC,DATOS!$E16112,nASIG,DATOS!$I16112,nEVAL,"EX")=0),0))))</f>
      </c>
      <c r="H16112">
        <f>IF(DATOS!$G16112&lt;&gt;"EX",0,--(COUNTIFS(nNIA,DATOS!$A16112,nCURSO,DATOS!$D16112,nESPEC,DATOS!$E16112,nASIG,DATOS!$I16112,nEVAL,"OR")=0))</f>
      </c>
      <c r="I16112">
        <f>IF(DATOS!$I16112="","",IFERROR(VLOOKUP(DATOS!$I16112,CONFIG_ASIGNATURAS!$B$2:$J$91,9,FALSE()),""))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IF(DATOS!$A16113="",0,IF(CONFIG_METADATA!$B$4&lt;&gt;"OR+EX",--(DATOS!$G16113=CONFIG_METADATA!$B$4),IF(DATOS!$G16113="EX",1,IF(DATOS!$G16113="OR",--(COUNTIFS(nNIA,DATOS!$A16113,nCURSO,DATOS!$D16113,nESPEC,DATOS!$E16113,nASIG,DATOS!$I16113,nEVAL,"EX")=0),0))))</f>
      </c>
      <c r="H16113">
        <f>IF(DATOS!$G16113&lt;&gt;"EX",0,--(COUNTIFS(nNIA,DATOS!$A16113,nCURSO,DATOS!$D16113,nESPEC,DATOS!$E16113,nASIG,DATOS!$I16113,nEVAL,"OR")=0))</f>
      </c>
      <c r="I16113">
        <f>IF(DATOS!$I16113="","",IFERROR(VLOOKUP(DATOS!$I16113,CONFIG_ASIGNATURAS!$B$2:$J$91,9,FALSE()),""))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IF(DATOS!$A16114="",0,IF(CONFIG_METADATA!$B$4&lt;&gt;"OR+EX",--(DATOS!$G16114=CONFIG_METADATA!$B$4),IF(DATOS!$G16114="EX",1,IF(DATOS!$G16114="OR",--(COUNTIFS(nNIA,DATOS!$A16114,nCURSO,DATOS!$D16114,nESPEC,DATOS!$E16114,nASIG,DATOS!$I16114,nEVAL,"EX")=0),0))))</f>
      </c>
      <c r="H16114">
        <f>IF(DATOS!$G16114&lt;&gt;"EX",0,--(COUNTIFS(nNIA,DATOS!$A16114,nCURSO,DATOS!$D16114,nESPEC,DATOS!$E16114,nASIG,DATOS!$I16114,nEVAL,"OR")=0))</f>
      </c>
      <c r="I16114">
        <f>IF(DATOS!$I16114="","",IFERROR(VLOOKUP(DATOS!$I16114,CONFIG_ASIGNATURAS!$B$2:$J$91,9,FALSE()),""))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IF(DATOS!$A16115="",0,IF(CONFIG_METADATA!$B$4&lt;&gt;"OR+EX",--(DATOS!$G16115=CONFIG_METADATA!$B$4),IF(DATOS!$G16115="EX",1,IF(DATOS!$G16115="OR",--(COUNTIFS(nNIA,DATOS!$A16115,nCURSO,DATOS!$D16115,nESPEC,DATOS!$E16115,nASIG,DATOS!$I16115,nEVAL,"EX")=0),0))))</f>
      </c>
      <c r="H16115">
        <f>IF(DATOS!$G16115&lt;&gt;"EX",0,--(COUNTIFS(nNIA,DATOS!$A16115,nCURSO,DATOS!$D16115,nESPEC,DATOS!$E16115,nASIG,DATOS!$I16115,nEVAL,"OR")=0))</f>
      </c>
      <c r="I16115">
        <f>IF(DATOS!$I16115="","",IFERROR(VLOOKUP(DATOS!$I16115,CONFIG_ASIGNATURAS!$B$2:$J$91,9,FALSE()),""))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IF(DATOS!$A16116="",0,IF(CONFIG_METADATA!$B$4&lt;&gt;"OR+EX",--(DATOS!$G16116=CONFIG_METADATA!$B$4),IF(DATOS!$G16116="EX",1,IF(DATOS!$G16116="OR",--(COUNTIFS(nNIA,DATOS!$A16116,nCURSO,DATOS!$D16116,nESPEC,DATOS!$E16116,nASIG,DATOS!$I16116,nEVAL,"EX")=0),0))))</f>
      </c>
      <c r="H16116">
        <f>IF(DATOS!$G16116&lt;&gt;"EX",0,--(COUNTIFS(nNIA,DATOS!$A16116,nCURSO,DATOS!$D16116,nESPEC,DATOS!$E16116,nASIG,DATOS!$I16116,nEVAL,"OR")=0))</f>
      </c>
      <c r="I16116">
        <f>IF(DATOS!$I16116="","",IFERROR(VLOOKUP(DATOS!$I16116,CONFIG_ASIGNATURAS!$B$2:$J$91,9,FALSE()),""))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IF(DATOS!$A16117="",0,IF(CONFIG_METADATA!$B$4&lt;&gt;"OR+EX",--(DATOS!$G16117=CONFIG_METADATA!$B$4),IF(DATOS!$G16117="EX",1,IF(DATOS!$G16117="OR",--(COUNTIFS(nNIA,DATOS!$A16117,nCURSO,DATOS!$D16117,nESPEC,DATOS!$E16117,nASIG,DATOS!$I16117,nEVAL,"EX")=0),0))))</f>
      </c>
      <c r="H16117">
        <f>IF(DATOS!$G16117&lt;&gt;"EX",0,--(COUNTIFS(nNIA,DATOS!$A16117,nCURSO,DATOS!$D16117,nESPEC,DATOS!$E16117,nASIG,DATOS!$I16117,nEVAL,"OR")=0))</f>
      </c>
      <c r="I16117">
        <f>IF(DATOS!$I16117="","",IFERROR(VLOOKUP(DATOS!$I16117,CONFIG_ASIGNATURAS!$B$2:$J$91,9,FALSE()),""))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IF(DATOS!$A16118="",0,IF(CONFIG_METADATA!$B$4&lt;&gt;"OR+EX",--(DATOS!$G16118=CONFIG_METADATA!$B$4),IF(DATOS!$G16118="EX",1,IF(DATOS!$G16118="OR",--(COUNTIFS(nNIA,DATOS!$A16118,nCURSO,DATOS!$D16118,nESPEC,DATOS!$E16118,nASIG,DATOS!$I16118,nEVAL,"EX")=0),0))))</f>
      </c>
      <c r="H16118">
        <f>IF(DATOS!$G16118&lt;&gt;"EX",0,--(COUNTIFS(nNIA,DATOS!$A16118,nCURSO,DATOS!$D16118,nESPEC,DATOS!$E16118,nASIG,DATOS!$I16118,nEVAL,"OR")=0))</f>
      </c>
      <c r="I16118">
        <f>IF(DATOS!$I16118="","",IFERROR(VLOOKUP(DATOS!$I16118,CONFIG_ASIGNATURAS!$B$2:$J$91,9,FALSE()),""))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IF(DATOS!$A16119="",0,IF(CONFIG_METADATA!$B$4&lt;&gt;"OR+EX",--(DATOS!$G16119=CONFIG_METADATA!$B$4),IF(DATOS!$G16119="EX",1,IF(DATOS!$G16119="OR",--(COUNTIFS(nNIA,DATOS!$A16119,nCURSO,DATOS!$D16119,nESPEC,DATOS!$E16119,nASIG,DATOS!$I16119,nEVAL,"EX")=0),0))))</f>
      </c>
      <c r="H16119">
        <f>IF(DATOS!$G16119&lt;&gt;"EX",0,--(COUNTIFS(nNIA,DATOS!$A16119,nCURSO,DATOS!$D16119,nESPEC,DATOS!$E16119,nASIG,DATOS!$I16119,nEVAL,"OR")=0))</f>
      </c>
      <c r="I16119">
        <f>IF(DATOS!$I16119="","",IFERROR(VLOOKUP(DATOS!$I16119,CONFIG_ASIGNATURAS!$B$2:$J$91,9,FALSE()),""))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IF(DATOS!$A16120="",0,IF(CONFIG_METADATA!$B$4&lt;&gt;"OR+EX",--(DATOS!$G16120=CONFIG_METADATA!$B$4),IF(DATOS!$G16120="EX",1,IF(DATOS!$G16120="OR",--(COUNTIFS(nNIA,DATOS!$A16120,nCURSO,DATOS!$D16120,nESPEC,DATOS!$E16120,nASIG,DATOS!$I16120,nEVAL,"EX")=0),0))))</f>
      </c>
      <c r="H16120">
        <f>IF(DATOS!$G16120&lt;&gt;"EX",0,--(COUNTIFS(nNIA,DATOS!$A16120,nCURSO,DATOS!$D16120,nESPEC,DATOS!$E16120,nASIG,DATOS!$I16120,nEVAL,"OR")=0))</f>
      </c>
      <c r="I16120">
        <f>IF(DATOS!$I16120="","",IFERROR(VLOOKUP(DATOS!$I16120,CONFIG_ASIGNATURAS!$B$2:$J$91,9,FALSE()),""))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IF(DATOS!$A16121="",0,IF(CONFIG_METADATA!$B$4&lt;&gt;"OR+EX",--(DATOS!$G16121=CONFIG_METADATA!$B$4),IF(DATOS!$G16121="EX",1,IF(DATOS!$G16121="OR",--(COUNTIFS(nNIA,DATOS!$A16121,nCURSO,DATOS!$D16121,nESPEC,DATOS!$E16121,nASIG,DATOS!$I16121,nEVAL,"EX")=0),0))))</f>
      </c>
      <c r="H16121">
        <f>IF(DATOS!$G16121&lt;&gt;"EX",0,--(COUNTIFS(nNIA,DATOS!$A16121,nCURSO,DATOS!$D16121,nESPEC,DATOS!$E16121,nASIG,DATOS!$I16121,nEVAL,"OR")=0))</f>
      </c>
      <c r="I16121">
        <f>IF(DATOS!$I16121="","",IFERROR(VLOOKUP(DATOS!$I16121,CONFIG_ASIGNATURAS!$B$2:$J$91,9,FALSE()),""))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IF(DATOS!$A16122="",0,IF(CONFIG_METADATA!$B$4&lt;&gt;"OR+EX",--(DATOS!$G16122=CONFIG_METADATA!$B$4),IF(DATOS!$G16122="EX",1,IF(DATOS!$G16122="OR",--(COUNTIFS(nNIA,DATOS!$A16122,nCURSO,DATOS!$D16122,nESPEC,DATOS!$E16122,nASIG,DATOS!$I16122,nEVAL,"EX")=0),0))))</f>
      </c>
      <c r="H16122">
        <f>IF(DATOS!$G16122&lt;&gt;"EX",0,--(COUNTIFS(nNIA,DATOS!$A16122,nCURSO,DATOS!$D16122,nESPEC,DATOS!$E16122,nASIG,DATOS!$I16122,nEVAL,"OR")=0))</f>
      </c>
      <c r="I16122">
        <f>IF(DATOS!$I16122="","",IFERROR(VLOOKUP(DATOS!$I16122,CONFIG_ASIGNATURAS!$B$2:$J$91,9,FALSE()),""))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IF(DATOS!$A16123="",0,IF(CONFIG_METADATA!$B$4&lt;&gt;"OR+EX",--(DATOS!$G16123=CONFIG_METADATA!$B$4),IF(DATOS!$G16123="EX",1,IF(DATOS!$G16123="OR",--(COUNTIFS(nNIA,DATOS!$A16123,nCURSO,DATOS!$D16123,nESPEC,DATOS!$E16123,nASIG,DATOS!$I16123,nEVAL,"EX")=0),0))))</f>
      </c>
      <c r="H16123">
        <f>IF(DATOS!$G16123&lt;&gt;"EX",0,--(COUNTIFS(nNIA,DATOS!$A16123,nCURSO,DATOS!$D16123,nESPEC,DATOS!$E16123,nASIG,DATOS!$I16123,nEVAL,"OR")=0))</f>
      </c>
      <c r="I16123">
        <f>IF(DATOS!$I16123="","",IFERROR(VLOOKUP(DATOS!$I16123,CONFIG_ASIGNATURAS!$B$2:$J$91,9,FALSE()),""))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IF(DATOS!$A16124="",0,IF(CONFIG_METADATA!$B$4&lt;&gt;"OR+EX",--(DATOS!$G16124=CONFIG_METADATA!$B$4),IF(DATOS!$G16124="EX",1,IF(DATOS!$G16124="OR",--(COUNTIFS(nNIA,DATOS!$A16124,nCURSO,DATOS!$D16124,nESPEC,DATOS!$E16124,nASIG,DATOS!$I16124,nEVAL,"EX")=0),0))))</f>
      </c>
      <c r="H16124">
        <f>IF(DATOS!$G16124&lt;&gt;"EX",0,--(COUNTIFS(nNIA,DATOS!$A16124,nCURSO,DATOS!$D16124,nESPEC,DATOS!$E16124,nASIG,DATOS!$I16124,nEVAL,"OR")=0))</f>
      </c>
      <c r="I16124">
        <f>IF(DATOS!$I16124="","",IFERROR(VLOOKUP(DATOS!$I16124,CONFIG_ASIGNATURAS!$B$2:$J$91,9,FALSE()),""))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IF(DATOS!$A16125="",0,IF(CONFIG_METADATA!$B$4&lt;&gt;"OR+EX",--(DATOS!$G16125=CONFIG_METADATA!$B$4),IF(DATOS!$G16125="EX",1,IF(DATOS!$G16125="OR",--(COUNTIFS(nNIA,DATOS!$A16125,nCURSO,DATOS!$D16125,nESPEC,DATOS!$E16125,nASIG,DATOS!$I16125,nEVAL,"EX")=0),0))))</f>
      </c>
      <c r="H16125">
        <f>IF(DATOS!$G16125&lt;&gt;"EX",0,--(COUNTIFS(nNIA,DATOS!$A16125,nCURSO,DATOS!$D16125,nESPEC,DATOS!$E16125,nASIG,DATOS!$I16125,nEVAL,"OR")=0))</f>
      </c>
      <c r="I16125">
        <f>IF(DATOS!$I16125="","",IFERROR(VLOOKUP(DATOS!$I16125,CONFIG_ASIGNATURAS!$B$2:$J$91,9,FALSE()),""))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IF(DATOS!$A16126="",0,IF(CONFIG_METADATA!$B$4&lt;&gt;"OR+EX",--(DATOS!$G16126=CONFIG_METADATA!$B$4),IF(DATOS!$G16126="EX",1,IF(DATOS!$G16126="OR",--(COUNTIFS(nNIA,DATOS!$A16126,nCURSO,DATOS!$D16126,nESPEC,DATOS!$E16126,nASIG,DATOS!$I16126,nEVAL,"EX")=0),0))))</f>
      </c>
      <c r="H16126">
        <f>IF(DATOS!$G16126&lt;&gt;"EX",0,--(COUNTIFS(nNIA,DATOS!$A16126,nCURSO,DATOS!$D16126,nESPEC,DATOS!$E16126,nASIG,DATOS!$I16126,nEVAL,"OR")=0))</f>
      </c>
      <c r="I16126">
        <f>IF(DATOS!$I16126="","",IFERROR(VLOOKUP(DATOS!$I16126,CONFIG_ASIGNATURAS!$B$2:$J$91,9,FALSE()),""))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IF(DATOS!$A16127="",0,IF(CONFIG_METADATA!$B$4&lt;&gt;"OR+EX",--(DATOS!$G16127=CONFIG_METADATA!$B$4),IF(DATOS!$G16127="EX",1,IF(DATOS!$G16127="OR",--(COUNTIFS(nNIA,DATOS!$A16127,nCURSO,DATOS!$D16127,nESPEC,DATOS!$E16127,nASIG,DATOS!$I16127,nEVAL,"EX")=0),0))))</f>
      </c>
      <c r="H16127">
        <f>IF(DATOS!$G16127&lt;&gt;"EX",0,--(COUNTIFS(nNIA,DATOS!$A16127,nCURSO,DATOS!$D16127,nESPEC,DATOS!$E16127,nASIG,DATOS!$I16127,nEVAL,"OR")=0))</f>
      </c>
      <c r="I16127">
        <f>IF(DATOS!$I16127="","",IFERROR(VLOOKUP(DATOS!$I16127,CONFIG_ASIGNATURAS!$B$2:$J$91,9,FALSE()),""))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IF(DATOS!$A16128="",0,IF(CONFIG_METADATA!$B$4&lt;&gt;"OR+EX",--(DATOS!$G16128=CONFIG_METADATA!$B$4),IF(DATOS!$G16128="EX",1,IF(DATOS!$G16128="OR",--(COUNTIFS(nNIA,DATOS!$A16128,nCURSO,DATOS!$D16128,nESPEC,DATOS!$E16128,nASIG,DATOS!$I16128,nEVAL,"EX")=0),0))))</f>
      </c>
      <c r="H16128">
        <f>IF(DATOS!$G16128&lt;&gt;"EX",0,--(COUNTIFS(nNIA,DATOS!$A16128,nCURSO,DATOS!$D16128,nESPEC,DATOS!$E16128,nASIG,DATOS!$I16128,nEVAL,"OR")=0))</f>
      </c>
      <c r="I16128">
        <f>IF(DATOS!$I16128="","",IFERROR(VLOOKUP(DATOS!$I16128,CONFIG_ASIGNATURAS!$B$2:$J$91,9,FALSE()),""))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IF(DATOS!$A16129="",0,IF(CONFIG_METADATA!$B$4&lt;&gt;"OR+EX",--(DATOS!$G16129=CONFIG_METADATA!$B$4),IF(DATOS!$G16129="EX",1,IF(DATOS!$G16129="OR",--(COUNTIFS(nNIA,DATOS!$A16129,nCURSO,DATOS!$D16129,nESPEC,DATOS!$E16129,nASIG,DATOS!$I16129,nEVAL,"EX")=0),0))))</f>
      </c>
      <c r="H16129">
        <f>IF(DATOS!$G16129&lt;&gt;"EX",0,--(COUNTIFS(nNIA,DATOS!$A16129,nCURSO,DATOS!$D16129,nESPEC,DATOS!$E16129,nASIG,DATOS!$I16129,nEVAL,"OR")=0))</f>
      </c>
      <c r="I16129">
        <f>IF(DATOS!$I16129="","",IFERROR(VLOOKUP(DATOS!$I16129,CONFIG_ASIGNATURAS!$B$2:$J$91,9,FALSE()),""))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IF(DATOS!$A16130="",0,IF(CONFIG_METADATA!$B$4&lt;&gt;"OR+EX",--(DATOS!$G16130=CONFIG_METADATA!$B$4),IF(DATOS!$G16130="EX",1,IF(DATOS!$G16130="OR",--(COUNTIFS(nNIA,DATOS!$A16130,nCURSO,DATOS!$D16130,nESPEC,DATOS!$E16130,nASIG,DATOS!$I16130,nEVAL,"EX")=0),0))))</f>
      </c>
      <c r="H16130">
        <f>IF(DATOS!$G16130&lt;&gt;"EX",0,--(COUNTIFS(nNIA,DATOS!$A16130,nCURSO,DATOS!$D16130,nESPEC,DATOS!$E16130,nASIG,DATOS!$I16130,nEVAL,"OR")=0))</f>
      </c>
      <c r="I16130">
        <f>IF(DATOS!$I16130="","",IFERROR(VLOOKUP(DATOS!$I16130,CONFIG_ASIGNATURAS!$B$2:$J$91,9,FALSE()),""))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IF(DATOS!$A16131="",0,IF(CONFIG_METADATA!$B$4&lt;&gt;"OR+EX",--(DATOS!$G16131=CONFIG_METADATA!$B$4),IF(DATOS!$G16131="EX",1,IF(DATOS!$G16131="OR",--(COUNTIFS(nNIA,DATOS!$A16131,nCURSO,DATOS!$D16131,nESPEC,DATOS!$E16131,nASIG,DATOS!$I16131,nEVAL,"EX")=0),0))))</f>
      </c>
      <c r="H16131">
        <f>IF(DATOS!$G16131&lt;&gt;"EX",0,--(COUNTIFS(nNIA,DATOS!$A16131,nCURSO,DATOS!$D16131,nESPEC,DATOS!$E16131,nASIG,DATOS!$I16131,nEVAL,"OR")=0))</f>
      </c>
      <c r="I16131">
        <f>IF(DATOS!$I16131="","",IFERROR(VLOOKUP(DATOS!$I16131,CONFIG_ASIGNATURAS!$B$2:$J$91,9,FALSE()),""))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IF(DATOS!$A16132="",0,IF(CONFIG_METADATA!$B$4&lt;&gt;"OR+EX",--(DATOS!$G16132=CONFIG_METADATA!$B$4),IF(DATOS!$G16132="EX",1,IF(DATOS!$G16132="OR",--(COUNTIFS(nNIA,DATOS!$A16132,nCURSO,DATOS!$D16132,nESPEC,DATOS!$E16132,nASIG,DATOS!$I16132,nEVAL,"EX")=0),0))))</f>
      </c>
      <c r="H16132">
        <f>IF(DATOS!$G16132&lt;&gt;"EX",0,--(COUNTIFS(nNIA,DATOS!$A16132,nCURSO,DATOS!$D16132,nESPEC,DATOS!$E16132,nASIG,DATOS!$I16132,nEVAL,"OR")=0))</f>
      </c>
      <c r="I16132">
        <f>IF(DATOS!$I16132="","",IFERROR(VLOOKUP(DATOS!$I16132,CONFIG_ASIGNATURAS!$B$2:$J$91,9,FALSE()),""))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IF(DATOS!$A16133="",0,IF(CONFIG_METADATA!$B$4&lt;&gt;"OR+EX",--(DATOS!$G16133=CONFIG_METADATA!$B$4),IF(DATOS!$G16133="EX",1,IF(DATOS!$G16133="OR",--(COUNTIFS(nNIA,DATOS!$A16133,nCURSO,DATOS!$D16133,nESPEC,DATOS!$E16133,nASIG,DATOS!$I16133,nEVAL,"EX")=0),0))))</f>
      </c>
      <c r="H16133">
        <f>IF(DATOS!$G16133&lt;&gt;"EX",0,--(COUNTIFS(nNIA,DATOS!$A16133,nCURSO,DATOS!$D16133,nESPEC,DATOS!$E16133,nASIG,DATOS!$I16133,nEVAL,"OR")=0))</f>
      </c>
      <c r="I16133">
        <f>IF(DATOS!$I16133="","",IFERROR(VLOOKUP(DATOS!$I16133,CONFIG_ASIGNATURAS!$B$2:$J$91,9,FALSE()),""))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IF(DATOS!$A16134="",0,IF(CONFIG_METADATA!$B$4&lt;&gt;"OR+EX",--(DATOS!$G16134=CONFIG_METADATA!$B$4),IF(DATOS!$G16134="EX",1,IF(DATOS!$G16134="OR",--(COUNTIFS(nNIA,DATOS!$A16134,nCURSO,DATOS!$D16134,nESPEC,DATOS!$E16134,nASIG,DATOS!$I16134,nEVAL,"EX")=0),0))))</f>
      </c>
      <c r="H16134">
        <f>IF(DATOS!$G16134&lt;&gt;"EX",0,--(COUNTIFS(nNIA,DATOS!$A16134,nCURSO,DATOS!$D16134,nESPEC,DATOS!$E16134,nASIG,DATOS!$I16134,nEVAL,"OR")=0))</f>
      </c>
      <c r="I16134">
        <f>IF(DATOS!$I16134="","",IFERROR(VLOOKUP(DATOS!$I16134,CONFIG_ASIGNATURAS!$B$2:$J$91,9,FALSE()),""))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IF(DATOS!$A16135="",0,IF(CONFIG_METADATA!$B$4&lt;&gt;"OR+EX",--(DATOS!$G16135=CONFIG_METADATA!$B$4),IF(DATOS!$G16135="EX",1,IF(DATOS!$G16135="OR",--(COUNTIFS(nNIA,DATOS!$A16135,nCURSO,DATOS!$D16135,nESPEC,DATOS!$E16135,nASIG,DATOS!$I16135,nEVAL,"EX")=0),0))))</f>
      </c>
      <c r="H16135">
        <f>IF(DATOS!$G16135&lt;&gt;"EX",0,--(COUNTIFS(nNIA,DATOS!$A16135,nCURSO,DATOS!$D16135,nESPEC,DATOS!$E16135,nASIG,DATOS!$I16135,nEVAL,"OR")=0))</f>
      </c>
      <c r="I16135">
        <f>IF(DATOS!$I16135="","",IFERROR(VLOOKUP(DATOS!$I16135,CONFIG_ASIGNATURAS!$B$2:$J$91,9,FALSE()),""))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IF(DATOS!$A16136="",0,IF(CONFIG_METADATA!$B$4&lt;&gt;"OR+EX",--(DATOS!$G16136=CONFIG_METADATA!$B$4),IF(DATOS!$G16136="EX",1,IF(DATOS!$G16136="OR",--(COUNTIFS(nNIA,DATOS!$A16136,nCURSO,DATOS!$D16136,nESPEC,DATOS!$E16136,nASIG,DATOS!$I16136,nEVAL,"EX")=0),0))))</f>
      </c>
      <c r="H16136">
        <f>IF(DATOS!$G16136&lt;&gt;"EX",0,--(COUNTIFS(nNIA,DATOS!$A16136,nCURSO,DATOS!$D16136,nESPEC,DATOS!$E16136,nASIG,DATOS!$I16136,nEVAL,"OR")=0))</f>
      </c>
      <c r="I16136">
        <f>IF(DATOS!$I16136="","",IFERROR(VLOOKUP(DATOS!$I16136,CONFIG_ASIGNATURAS!$B$2:$J$91,9,FALSE()),""))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IF(DATOS!$A16137="",0,IF(CONFIG_METADATA!$B$4&lt;&gt;"OR+EX",--(DATOS!$G16137=CONFIG_METADATA!$B$4),IF(DATOS!$G16137="EX",1,IF(DATOS!$G16137="OR",--(COUNTIFS(nNIA,DATOS!$A16137,nCURSO,DATOS!$D16137,nESPEC,DATOS!$E16137,nASIG,DATOS!$I16137,nEVAL,"EX")=0),0))))</f>
      </c>
      <c r="H16137">
        <f>IF(DATOS!$G16137&lt;&gt;"EX",0,--(COUNTIFS(nNIA,DATOS!$A16137,nCURSO,DATOS!$D16137,nESPEC,DATOS!$E16137,nASIG,DATOS!$I16137,nEVAL,"OR")=0))</f>
      </c>
      <c r="I16137">
        <f>IF(DATOS!$I16137="","",IFERROR(VLOOKUP(DATOS!$I16137,CONFIG_ASIGNATURAS!$B$2:$J$91,9,FALSE()),""))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IF(DATOS!$A16138="",0,IF(CONFIG_METADATA!$B$4&lt;&gt;"OR+EX",--(DATOS!$G16138=CONFIG_METADATA!$B$4),IF(DATOS!$G16138="EX",1,IF(DATOS!$G16138="OR",--(COUNTIFS(nNIA,DATOS!$A16138,nCURSO,DATOS!$D16138,nESPEC,DATOS!$E16138,nASIG,DATOS!$I16138,nEVAL,"EX")=0),0))))</f>
      </c>
      <c r="H16138">
        <f>IF(DATOS!$G16138&lt;&gt;"EX",0,--(COUNTIFS(nNIA,DATOS!$A16138,nCURSO,DATOS!$D16138,nESPEC,DATOS!$E16138,nASIG,DATOS!$I16138,nEVAL,"OR")=0))</f>
      </c>
      <c r="I16138">
        <f>IF(DATOS!$I16138="","",IFERROR(VLOOKUP(DATOS!$I16138,CONFIG_ASIGNATURAS!$B$2:$J$91,9,FALSE()),""))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IF(DATOS!$A16139="",0,IF(CONFIG_METADATA!$B$4&lt;&gt;"OR+EX",--(DATOS!$G16139=CONFIG_METADATA!$B$4),IF(DATOS!$G16139="EX",1,IF(DATOS!$G16139="OR",--(COUNTIFS(nNIA,DATOS!$A16139,nCURSO,DATOS!$D16139,nESPEC,DATOS!$E16139,nASIG,DATOS!$I16139,nEVAL,"EX")=0),0))))</f>
      </c>
      <c r="H16139">
        <f>IF(DATOS!$G16139&lt;&gt;"EX",0,--(COUNTIFS(nNIA,DATOS!$A16139,nCURSO,DATOS!$D16139,nESPEC,DATOS!$E16139,nASIG,DATOS!$I16139,nEVAL,"OR")=0))</f>
      </c>
      <c r="I16139">
        <f>IF(DATOS!$I16139="","",IFERROR(VLOOKUP(DATOS!$I16139,CONFIG_ASIGNATURAS!$B$2:$J$91,9,FALSE()),""))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IF(DATOS!$A16140="",0,IF(CONFIG_METADATA!$B$4&lt;&gt;"OR+EX",--(DATOS!$G16140=CONFIG_METADATA!$B$4),IF(DATOS!$G16140="EX",1,IF(DATOS!$G16140="OR",--(COUNTIFS(nNIA,DATOS!$A16140,nCURSO,DATOS!$D16140,nESPEC,DATOS!$E16140,nASIG,DATOS!$I16140,nEVAL,"EX")=0),0))))</f>
      </c>
      <c r="H16140">
        <f>IF(DATOS!$G16140&lt;&gt;"EX",0,--(COUNTIFS(nNIA,DATOS!$A16140,nCURSO,DATOS!$D16140,nESPEC,DATOS!$E16140,nASIG,DATOS!$I16140,nEVAL,"OR")=0))</f>
      </c>
      <c r="I16140">
        <f>IF(DATOS!$I16140="","",IFERROR(VLOOKUP(DATOS!$I16140,CONFIG_ASIGNATURAS!$B$2:$J$91,9,FALSE()),""))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IF(DATOS!$A16141="",0,IF(CONFIG_METADATA!$B$4&lt;&gt;"OR+EX",--(DATOS!$G16141=CONFIG_METADATA!$B$4),IF(DATOS!$G16141="EX",1,IF(DATOS!$G16141="OR",--(COUNTIFS(nNIA,DATOS!$A16141,nCURSO,DATOS!$D16141,nESPEC,DATOS!$E16141,nASIG,DATOS!$I16141,nEVAL,"EX")=0),0))))</f>
      </c>
      <c r="H16141">
        <f>IF(DATOS!$G16141&lt;&gt;"EX",0,--(COUNTIFS(nNIA,DATOS!$A16141,nCURSO,DATOS!$D16141,nESPEC,DATOS!$E16141,nASIG,DATOS!$I16141,nEVAL,"OR")=0))</f>
      </c>
      <c r="I16141">
        <f>IF(DATOS!$I16141="","",IFERROR(VLOOKUP(DATOS!$I16141,CONFIG_ASIGNATURAS!$B$2:$J$91,9,FALSE()),""))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IF(DATOS!$A16142="",0,IF(CONFIG_METADATA!$B$4&lt;&gt;"OR+EX",--(DATOS!$G16142=CONFIG_METADATA!$B$4),IF(DATOS!$G16142="EX",1,IF(DATOS!$G16142="OR",--(COUNTIFS(nNIA,DATOS!$A16142,nCURSO,DATOS!$D16142,nESPEC,DATOS!$E16142,nASIG,DATOS!$I16142,nEVAL,"EX")=0),0))))</f>
      </c>
      <c r="H16142">
        <f>IF(DATOS!$G16142&lt;&gt;"EX",0,--(COUNTIFS(nNIA,DATOS!$A16142,nCURSO,DATOS!$D16142,nESPEC,DATOS!$E16142,nASIG,DATOS!$I16142,nEVAL,"OR")=0))</f>
      </c>
      <c r="I16142">
        <f>IF(DATOS!$I16142="","",IFERROR(VLOOKUP(DATOS!$I16142,CONFIG_ASIGNATURAS!$B$2:$J$91,9,FALSE()),""))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IF(DATOS!$A16143="",0,IF(CONFIG_METADATA!$B$4&lt;&gt;"OR+EX",--(DATOS!$G16143=CONFIG_METADATA!$B$4),IF(DATOS!$G16143="EX",1,IF(DATOS!$G16143="OR",--(COUNTIFS(nNIA,DATOS!$A16143,nCURSO,DATOS!$D16143,nESPEC,DATOS!$E16143,nASIG,DATOS!$I16143,nEVAL,"EX")=0),0))))</f>
      </c>
      <c r="H16143">
        <f>IF(DATOS!$G16143&lt;&gt;"EX",0,--(COUNTIFS(nNIA,DATOS!$A16143,nCURSO,DATOS!$D16143,nESPEC,DATOS!$E16143,nASIG,DATOS!$I16143,nEVAL,"OR")=0))</f>
      </c>
      <c r="I16143">
        <f>IF(DATOS!$I16143="","",IFERROR(VLOOKUP(DATOS!$I16143,CONFIG_ASIGNATURAS!$B$2:$J$91,9,FALSE()),""))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IF(DATOS!$A16144="",0,IF(CONFIG_METADATA!$B$4&lt;&gt;"OR+EX",--(DATOS!$G16144=CONFIG_METADATA!$B$4),IF(DATOS!$G16144="EX",1,IF(DATOS!$G16144="OR",--(COUNTIFS(nNIA,DATOS!$A16144,nCURSO,DATOS!$D16144,nESPEC,DATOS!$E16144,nASIG,DATOS!$I16144,nEVAL,"EX")=0),0))))</f>
      </c>
      <c r="H16144">
        <f>IF(DATOS!$G16144&lt;&gt;"EX",0,--(COUNTIFS(nNIA,DATOS!$A16144,nCURSO,DATOS!$D16144,nESPEC,DATOS!$E16144,nASIG,DATOS!$I16144,nEVAL,"OR")=0))</f>
      </c>
      <c r="I16144">
        <f>IF(DATOS!$I16144="","",IFERROR(VLOOKUP(DATOS!$I16144,CONFIG_ASIGNATURAS!$B$2:$J$91,9,FALSE()),""))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IF(DATOS!$A16145="",0,IF(CONFIG_METADATA!$B$4&lt;&gt;"OR+EX",--(DATOS!$G16145=CONFIG_METADATA!$B$4),IF(DATOS!$G16145="EX",1,IF(DATOS!$G16145="OR",--(COUNTIFS(nNIA,DATOS!$A16145,nCURSO,DATOS!$D16145,nESPEC,DATOS!$E16145,nASIG,DATOS!$I16145,nEVAL,"EX")=0),0))))</f>
      </c>
      <c r="H16145">
        <f>IF(DATOS!$G16145&lt;&gt;"EX",0,--(COUNTIFS(nNIA,DATOS!$A16145,nCURSO,DATOS!$D16145,nESPEC,DATOS!$E16145,nASIG,DATOS!$I16145,nEVAL,"OR")=0))</f>
      </c>
      <c r="I16145">
        <f>IF(DATOS!$I16145="","",IFERROR(VLOOKUP(DATOS!$I16145,CONFIG_ASIGNATURAS!$B$2:$J$91,9,FALSE()),""))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IF(DATOS!$A16146="",0,IF(CONFIG_METADATA!$B$4&lt;&gt;"OR+EX",--(DATOS!$G16146=CONFIG_METADATA!$B$4),IF(DATOS!$G16146="EX",1,IF(DATOS!$G16146="OR",--(COUNTIFS(nNIA,DATOS!$A16146,nCURSO,DATOS!$D16146,nESPEC,DATOS!$E16146,nASIG,DATOS!$I16146,nEVAL,"EX")=0),0))))</f>
      </c>
      <c r="H16146">
        <f>IF(DATOS!$G16146&lt;&gt;"EX",0,--(COUNTIFS(nNIA,DATOS!$A16146,nCURSO,DATOS!$D16146,nESPEC,DATOS!$E16146,nASIG,DATOS!$I16146,nEVAL,"OR")=0))</f>
      </c>
      <c r="I16146">
        <f>IF(DATOS!$I16146="","",IFERROR(VLOOKUP(DATOS!$I16146,CONFIG_ASIGNATURAS!$B$2:$J$91,9,FALSE()),""))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IF(DATOS!$A16147="",0,IF(CONFIG_METADATA!$B$4&lt;&gt;"OR+EX",--(DATOS!$G16147=CONFIG_METADATA!$B$4),IF(DATOS!$G16147="EX",1,IF(DATOS!$G16147="OR",--(COUNTIFS(nNIA,DATOS!$A16147,nCURSO,DATOS!$D16147,nESPEC,DATOS!$E16147,nASIG,DATOS!$I16147,nEVAL,"EX")=0),0))))</f>
      </c>
      <c r="H16147">
        <f>IF(DATOS!$G16147&lt;&gt;"EX",0,--(COUNTIFS(nNIA,DATOS!$A16147,nCURSO,DATOS!$D16147,nESPEC,DATOS!$E16147,nASIG,DATOS!$I16147,nEVAL,"OR")=0))</f>
      </c>
      <c r="I16147">
        <f>IF(DATOS!$I16147="","",IFERROR(VLOOKUP(DATOS!$I16147,CONFIG_ASIGNATURAS!$B$2:$J$91,9,FALSE()),""))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IF(DATOS!$A16148="",0,IF(CONFIG_METADATA!$B$4&lt;&gt;"OR+EX",--(DATOS!$G16148=CONFIG_METADATA!$B$4),IF(DATOS!$G16148="EX",1,IF(DATOS!$G16148="OR",--(COUNTIFS(nNIA,DATOS!$A16148,nCURSO,DATOS!$D16148,nESPEC,DATOS!$E16148,nASIG,DATOS!$I16148,nEVAL,"EX")=0),0))))</f>
      </c>
      <c r="H16148">
        <f>IF(DATOS!$G16148&lt;&gt;"EX",0,--(COUNTIFS(nNIA,DATOS!$A16148,nCURSO,DATOS!$D16148,nESPEC,DATOS!$E16148,nASIG,DATOS!$I16148,nEVAL,"OR")=0))</f>
      </c>
      <c r="I16148">
        <f>IF(DATOS!$I16148="","",IFERROR(VLOOKUP(DATOS!$I16148,CONFIG_ASIGNATURAS!$B$2:$J$91,9,FALSE()),""))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IF(DATOS!$A16149="",0,IF(CONFIG_METADATA!$B$4&lt;&gt;"OR+EX",--(DATOS!$G16149=CONFIG_METADATA!$B$4),IF(DATOS!$G16149="EX",1,IF(DATOS!$G16149="OR",--(COUNTIFS(nNIA,DATOS!$A16149,nCURSO,DATOS!$D16149,nESPEC,DATOS!$E16149,nASIG,DATOS!$I16149,nEVAL,"EX")=0),0))))</f>
      </c>
      <c r="H16149">
        <f>IF(DATOS!$G16149&lt;&gt;"EX",0,--(COUNTIFS(nNIA,DATOS!$A16149,nCURSO,DATOS!$D16149,nESPEC,DATOS!$E16149,nASIG,DATOS!$I16149,nEVAL,"OR")=0))</f>
      </c>
      <c r="I16149">
        <f>IF(DATOS!$I16149="","",IFERROR(VLOOKUP(DATOS!$I16149,CONFIG_ASIGNATURAS!$B$2:$J$91,9,FALSE()),""))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IF(DATOS!$A16150="",0,IF(CONFIG_METADATA!$B$4&lt;&gt;"OR+EX",--(DATOS!$G16150=CONFIG_METADATA!$B$4),IF(DATOS!$G16150="EX",1,IF(DATOS!$G16150="OR",--(COUNTIFS(nNIA,DATOS!$A16150,nCURSO,DATOS!$D16150,nESPEC,DATOS!$E16150,nASIG,DATOS!$I16150,nEVAL,"EX")=0),0))))</f>
      </c>
      <c r="H16150">
        <f>IF(DATOS!$G16150&lt;&gt;"EX",0,--(COUNTIFS(nNIA,DATOS!$A16150,nCURSO,DATOS!$D16150,nESPEC,DATOS!$E16150,nASIG,DATOS!$I16150,nEVAL,"OR")=0))</f>
      </c>
      <c r="I16150">
        <f>IF(DATOS!$I16150="","",IFERROR(VLOOKUP(DATOS!$I16150,CONFIG_ASIGNATURAS!$B$2:$J$91,9,FALSE()),""))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IF(DATOS!$A16151="",0,IF(CONFIG_METADATA!$B$4&lt;&gt;"OR+EX",--(DATOS!$G16151=CONFIG_METADATA!$B$4),IF(DATOS!$G16151="EX",1,IF(DATOS!$G16151="OR",--(COUNTIFS(nNIA,DATOS!$A16151,nCURSO,DATOS!$D16151,nESPEC,DATOS!$E16151,nASIG,DATOS!$I16151,nEVAL,"EX")=0),0))))</f>
      </c>
      <c r="H16151">
        <f>IF(DATOS!$G16151&lt;&gt;"EX",0,--(COUNTIFS(nNIA,DATOS!$A16151,nCURSO,DATOS!$D16151,nESPEC,DATOS!$E16151,nASIG,DATOS!$I16151,nEVAL,"OR")=0))</f>
      </c>
      <c r="I16151">
        <f>IF(DATOS!$I16151="","",IFERROR(VLOOKUP(DATOS!$I16151,CONFIG_ASIGNATURAS!$B$2:$J$91,9,FALSE()),""))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IF(DATOS!$A16152="",0,IF(CONFIG_METADATA!$B$4&lt;&gt;"OR+EX",--(DATOS!$G16152=CONFIG_METADATA!$B$4),IF(DATOS!$G16152="EX",1,IF(DATOS!$G16152="OR",--(COUNTIFS(nNIA,DATOS!$A16152,nCURSO,DATOS!$D16152,nESPEC,DATOS!$E16152,nASIG,DATOS!$I16152,nEVAL,"EX")=0),0))))</f>
      </c>
      <c r="H16152">
        <f>IF(DATOS!$G16152&lt;&gt;"EX",0,--(COUNTIFS(nNIA,DATOS!$A16152,nCURSO,DATOS!$D16152,nESPEC,DATOS!$E16152,nASIG,DATOS!$I16152,nEVAL,"OR")=0))</f>
      </c>
      <c r="I16152">
        <f>IF(DATOS!$I16152="","",IFERROR(VLOOKUP(DATOS!$I16152,CONFIG_ASIGNATURAS!$B$2:$J$91,9,FALSE()),""))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IF(DATOS!$A16153="",0,IF(CONFIG_METADATA!$B$4&lt;&gt;"OR+EX",--(DATOS!$G16153=CONFIG_METADATA!$B$4),IF(DATOS!$G16153="EX",1,IF(DATOS!$G16153="OR",--(COUNTIFS(nNIA,DATOS!$A16153,nCURSO,DATOS!$D16153,nESPEC,DATOS!$E16153,nASIG,DATOS!$I16153,nEVAL,"EX")=0),0))))</f>
      </c>
      <c r="H16153">
        <f>IF(DATOS!$G16153&lt;&gt;"EX",0,--(COUNTIFS(nNIA,DATOS!$A16153,nCURSO,DATOS!$D16153,nESPEC,DATOS!$E16153,nASIG,DATOS!$I16153,nEVAL,"OR")=0))</f>
      </c>
      <c r="I16153">
        <f>IF(DATOS!$I16153="","",IFERROR(VLOOKUP(DATOS!$I16153,CONFIG_ASIGNATURAS!$B$2:$J$91,9,FALSE()),""))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IF(DATOS!$A16154="",0,IF(CONFIG_METADATA!$B$4&lt;&gt;"OR+EX",--(DATOS!$G16154=CONFIG_METADATA!$B$4),IF(DATOS!$G16154="EX",1,IF(DATOS!$G16154="OR",--(COUNTIFS(nNIA,DATOS!$A16154,nCURSO,DATOS!$D16154,nESPEC,DATOS!$E16154,nASIG,DATOS!$I16154,nEVAL,"EX")=0),0))))</f>
      </c>
      <c r="H16154">
        <f>IF(DATOS!$G16154&lt;&gt;"EX",0,--(COUNTIFS(nNIA,DATOS!$A16154,nCURSO,DATOS!$D16154,nESPEC,DATOS!$E16154,nASIG,DATOS!$I16154,nEVAL,"OR")=0))</f>
      </c>
      <c r="I16154">
        <f>IF(DATOS!$I16154="","",IFERROR(VLOOKUP(DATOS!$I16154,CONFIG_ASIGNATURAS!$B$2:$J$91,9,FALSE()),""))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IF(DATOS!$A16155="",0,IF(CONFIG_METADATA!$B$4&lt;&gt;"OR+EX",--(DATOS!$G16155=CONFIG_METADATA!$B$4),IF(DATOS!$G16155="EX",1,IF(DATOS!$G16155="OR",--(COUNTIFS(nNIA,DATOS!$A16155,nCURSO,DATOS!$D16155,nESPEC,DATOS!$E16155,nASIG,DATOS!$I16155,nEVAL,"EX")=0),0))))</f>
      </c>
      <c r="H16155">
        <f>IF(DATOS!$G16155&lt;&gt;"EX",0,--(COUNTIFS(nNIA,DATOS!$A16155,nCURSO,DATOS!$D16155,nESPEC,DATOS!$E16155,nASIG,DATOS!$I16155,nEVAL,"OR")=0))</f>
      </c>
      <c r="I16155">
        <f>IF(DATOS!$I16155="","",IFERROR(VLOOKUP(DATOS!$I16155,CONFIG_ASIGNATURAS!$B$2:$J$91,9,FALSE()),""))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IF(DATOS!$A16156="",0,IF(CONFIG_METADATA!$B$4&lt;&gt;"OR+EX",--(DATOS!$G16156=CONFIG_METADATA!$B$4),IF(DATOS!$G16156="EX",1,IF(DATOS!$G16156="OR",--(COUNTIFS(nNIA,DATOS!$A16156,nCURSO,DATOS!$D16156,nESPEC,DATOS!$E16156,nASIG,DATOS!$I16156,nEVAL,"EX")=0),0))))</f>
      </c>
      <c r="H16156">
        <f>IF(DATOS!$G16156&lt;&gt;"EX",0,--(COUNTIFS(nNIA,DATOS!$A16156,nCURSO,DATOS!$D16156,nESPEC,DATOS!$E16156,nASIG,DATOS!$I16156,nEVAL,"OR")=0))</f>
      </c>
      <c r="I16156">
        <f>IF(DATOS!$I16156="","",IFERROR(VLOOKUP(DATOS!$I16156,CONFIG_ASIGNATURAS!$B$2:$J$91,9,FALSE()),""))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IF(DATOS!$A16157="",0,IF(CONFIG_METADATA!$B$4&lt;&gt;"OR+EX",--(DATOS!$G16157=CONFIG_METADATA!$B$4),IF(DATOS!$G16157="EX",1,IF(DATOS!$G16157="OR",--(COUNTIFS(nNIA,DATOS!$A16157,nCURSO,DATOS!$D16157,nESPEC,DATOS!$E16157,nASIG,DATOS!$I16157,nEVAL,"EX")=0),0))))</f>
      </c>
      <c r="H16157">
        <f>IF(DATOS!$G16157&lt;&gt;"EX",0,--(COUNTIFS(nNIA,DATOS!$A16157,nCURSO,DATOS!$D16157,nESPEC,DATOS!$E16157,nASIG,DATOS!$I16157,nEVAL,"OR")=0))</f>
      </c>
      <c r="I16157">
        <f>IF(DATOS!$I16157="","",IFERROR(VLOOKUP(DATOS!$I16157,CONFIG_ASIGNATURAS!$B$2:$J$91,9,FALSE()),""))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IF(DATOS!$A16158="",0,IF(CONFIG_METADATA!$B$4&lt;&gt;"OR+EX",--(DATOS!$G16158=CONFIG_METADATA!$B$4),IF(DATOS!$G16158="EX",1,IF(DATOS!$G16158="OR",--(COUNTIFS(nNIA,DATOS!$A16158,nCURSO,DATOS!$D16158,nESPEC,DATOS!$E16158,nASIG,DATOS!$I16158,nEVAL,"EX")=0),0))))</f>
      </c>
      <c r="H16158">
        <f>IF(DATOS!$G16158&lt;&gt;"EX",0,--(COUNTIFS(nNIA,DATOS!$A16158,nCURSO,DATOS!$D16158,nESPEC,DATOS!$E16158,nASIG,DATOS!$I16158,nEVAL,"OR")=0))</f>
      </c>
      <c r="I16158">
        <f>IF(DATOS!$I16158="","",IFERROR(VLOOKUP(DATOS!$I16158,CONFIG_ASIGNATURAS!$B$2:$J$91,9,FALSE()),""))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IF(DATOS!$A16159="",0,IF(CONFIG_METADATA!$B$4&lt;&gt;"OR+EX",--(DATOS!$G16159=CONFIG_METADATA!$B$4),IF(DATOS!$G16159="EX",1,IF(DATOS!$G16159="OR",--(COUNTIFS(nNIA,DATOS!$A16159,nCURSO,DATOS!$D16159,nESPEC,DATOS!$E16159,nASIG,DATOS!$I16159,nEVAL,"EX")=0),0))))</f>
      </c>
      <c r="H16159">
        <f>IF(DATOS!$G16159&lt;&gt;"EX",0,--(COUNTIFS(nNIA,DATOS!$A16159,nCURSO,DATOS!$D16159,nESPEC,DATOS!$E16159,nASIG,DATOS!$I16159,nEVAL,"OR")=0))</f>
      </c>
      <c r="I16159">
        <f>IF(DATOS!$I16159="","",IFERROR(VLOOKUP(DATOS!$I16159,CONFIG_ASIGNATURAS!$B$2:$J$91,9,FALSE()),""))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IF(DATOS!$A16160="",0,IF(CONFIG_METADATA!$B$4&lt;&gt;"OR+EX",--(DATOS!$G16160=CONFIG_METADATA!$B$4),IF(DATOS!$G16160="EX",1,IF(DATOS!$G16160="OR",--(COUNTIFS(nNIA,DATOS!$A16160,nCURSO,DATOS!$D16160,nESPEC,DATOS!$E16160,nASIG,DATOS!$I16160,nEVAL,"EX")=0),0))))</f>
      </c>
      <c r="H16160">
        <f>IF(DATOS!$G16160&lt;&gt;"EX",0,--(COUNTIFS(nNIA,DATOS!$A16160,nCURSO,DATOS!$D16160,nESPEC,DATOS!$E16160,nASIG,DATOS!$I16160,nEVAL,"OR")=0))</f>
      </c>
      <c r="I16160">
        <f>IF(DATOS!$I16160="","",IFERROR(VLOOKUP(DATOS!$I16160,CONFIG_ASIGNATURAS!$B$2:$J$91,9,FALSE()),""))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IF(DATOS!$A16161="",0,IF(CONFIG_METADATA!$B$4&lt;&gt;"OR+EX",--(DATOS!$G16161=CONFIG_METADATA!$B$4),IF(DATOS!$G16161="EX",1,IF(DATOS!$G16161="OR",--(COUNTIFS(nNIA,DATOS!$A16161,nCURSO,DATOS!$D16161,nESPEC,DATOS!$E16161,nASIG,DATOS!$I16161,nEVAL,"EX")=0),0))))</f>
      </c>
      <c r="H16161">
        <f>IF(DATOS!$G16161&lt;&gt;"EX",0,--(COUNTIFS(nNIA,DATOS!$A16161,nCURSO,DATOS!$D16161,nESPEC,DATOS!$E16161,nASIG,DATOS!$I16161,nEVAL,"OR")=0))</f>
      </c>
      <c r="I16161">
        <f>IF(DATOS!$I16161="","",IFERROR(VLOOKUP(DATOS!$I16161,CONFIG_ASIGNATURAS!$B$2:$J$91,9,FALSE()),""))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IF(DATOS!$A16162="",0,IF(CONFIG_METADATA!$B$4&lt;&gt;"OR+EX",--(DATOS!$G16162=CONFIG_METADATA!$B$4),IF(DATOS!$G16162="EX",1,IF(DATOS!$G16162="OR",--(COUNTIFS(nNIA,DATOS!$A16162,nCURSO,DATOS!$D16162,nESPEC,DATOS!$E16162,nASIG,DATOS!$I16162,nEVAL,"EX")=0),0))))</f>
      </c>
      <c r="H16162">
        <f>IF(DATOS!$G16162&lt;&gt;"EX",0,--(COUNTIFS(nNIA,DATOS!$A16162,nCURSO,DATOS!$D16162,nESPEC,DATOS!$E16162,nASIG,DATOS!$I16162,nEVAL,"OR")=0))</f>
      </c>
      <c r="I16162">
        <f>IF(DATOS!$I16162="","",IFERROR(VLOOKUP(DATOS!$I16162,CONFIG_ASIGNATURAS!$B$2:$J$91,9,FALSE()),""))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IF(DATOS!$A16163="",0,IF(CONFIG_METADATA!$B$4&lt;&gt;"OR+EX",--(DATOS!$G16163=CONFIG_METADATA!$B$4),IF(DATOS!$G16163="EX",1,IF(DATOS!$G16163="OR",--(COUNTIFS(nNIA,DATOS!$A16163,nCURSO,DATOS!$D16163,nESPEC,DATOS!$E16163,nASIG,DATOS!$I16163,nEVAL,"EX")=0),0))))</f>
      </c>
      <c r="H16163">
        <f>IF(DATOS!$G16163&lt;&gt;"EX",0,--(COUNTIFS(nNIA,DATOS!$A16163,nCURSO,DATOS!$D16163,nESPEC,DATOS!$E16163,nASIG,DATOS!$I16163,nEVAL,"OR")=0))</f>
      </c>
      <c r="I16163">
        <f>IF(DATOS!$I16163="","",IFERROR(VLOOKUP(DATOS!$I16163,CONFIG_ASIGNATURAS!$B$2:$J$91,9,FALSE()),""))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IF(DATOS!$A16164="",0,IF(CONFIG_METADATA!$B$4&lt;&gt;"OR+EX",--(DATOS!$G16164=CONFIG_METADATA!$B$4),IF(DATOS!$G16164="EX",1,IF(DATOS!$G16164="OR",--(COUNTIFS(nNIA,DATOS!$A16164,nCURSO,DATOS!$D16164,nESPEC,DATOS!$E16164,nASIG,DATOS!$I16164,nEVAL,"EX")=0),0))))</f>
      </c>
      <c r="H16164">
        <f>IF(DATOS!$G16164&lt;&gt;"EX",0,--(COUNTIFS(nNIA,DATOS!$A16164,nCURSO,DATOS!$D16164,nESPEC,DATOS!$E16164,nASIG,DATOS!$I16164,nEVAL,"OR")=0))</f>
      </c>
      <c r="I16164">
        <f>IF(DATOS!$I16164="","",IFERROR(VLOOKUP(DATOS!$I16164,CONFIG_ASIGNATURAS!$B$2:$J$91,9,FALSE()),""))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IF(DATOS!$A16165="",0,IF(CONFIG_METADATA!$B$4&lt;&gt;"OR+EX",--(DATOS!$G16165=CONFIG_METADATA!$B$4),IF(DATOS!$G16165="EX",1,IF(DATOS!$G16165="OR",--(COUNTIFS(nNIA,DATOS!$A16165,nCURSO,DATOS!$D16165,nESPEC,DATOS!$E16165,nASIG,DATOS!$I16165,nEVAL,"EX")=0),0))))</f>
      </c>
      <c r="H16165">
        <f>IF(DATOS!$G16165&lt;&gt;"EX",0,--(COUNTIFS(nNIA,DATOS!$A16165,nCURSO,DATOS!$D16165,nESPEC,DATOS!$E16165,nASIG,DATOS!$I16165,nEVAL,"OR")=0))</f>
      </c>
      <c r="I16165">
        <f>IF(DATOS!$I16165="","",IFERROR(VLOOKUP(DATOS!$I16165,CONFIG_ASIGNATURAS!$B$2:$J$91,9,FALSE()),""))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IF(DATOS!$A16166="",0,IF(CONFIG_METADATA!$B$4&lt;&gt;"OR+EX",--(DATOS!$G16166=CONFIG_METADATA!$B$4),IF(DATOS!$G16166="EX",1,IF(DATOS!$G16166="OR",--(COUNTIFS(nNIA,DATOS!$A16166,nCURSO,DATOS!$D16166,nESPEC,DATOS!$E16166,nASIG,DATOS!$I16166,nEVAL,"EX")=0),0))))</f>
      </c>
      <c r="H16166">
        <f>IF(DATOS!$G16166&lt;&gt;"EX",0,--(COUNTIFS(nNIA,DATOS!$A16166,nCURSO,DATOS!$D16166,nESPEC,DATOS!$E16166,nASIG,DATOS!$I16166,nEVAL,"OR")=0))</f>
      </c>
      <c r="I16166">
        <f>IF(DATOS!$I16166="","",IFERROR(VLOOKUP(DATOS!$I16166,CONFIG_ASIGNATURAS!$B$2:$J$91,9,FALSE()),""))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IF(DATOS!$A16167="",0,IF(CONFIG_METADATA!$B$4&lt;&gt;"OR+EX",--(DATOS!$G16167=CONFIG_METADATA!$B$4),IF(DATOS!$G16167="EX",1,IF(DATOS!$G16167="OR",--(COUNTIFS(nNIA,DATOS!$A16167,nCURSO,DATOS!$D16167,nESPEC,DATOS!$E16167,nASIG,DATOS!$I16167,nEVAL,"EX")=0),0))))</f>
      </c>
      <c r="H16167">
        <f>IF(DATOS!$G16167&lt;&gt;"EX",0,--(COUNTIFS(nNIA,DATOS!$A16167,nCURSO,DATOS!$D16167,nESPEC,DATOS!$E16167,nASIG,DATOS!$I16167,nEVAL,"OR")=0))</f>
      </c>
      <c r="I16167">
        <f>IF(DATOS!$I16167="","",IFERROR(VLOOKUP(DATOS!$I16167,CONFIG_ASIGNATURAS!$B$2:$J$91,9,FALSE()),""))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IF(DATOS!$A16168="",0,IF(CONFIG_METADATA!$B$4&lt;&gt;"OR+EX",--(DATOS!$G16168=CONFIG_METADATA!$B$4),IF(DATOS!$G16168="EX",1,IF(DATOS!$G16168="OR",--(COUNTIFS(nNIA,DATOS!$A16168,nCURSO,DATOS!$D16168,nESPEC,DATOS!$E16168,nASIG,DATOS!$I16168,nEVAL,"EX")=0),0))))</f>
      </c>
      <c r="H16168">
        <f>IF(DATOS!$G16168&lt;&gt;"EX",0,--(COUNTIFS(nNIA,DATOS!$A16168,nCURSO,DATOS!$D16168,nESPEC,DATOS!$E16168,nASIG,DATOS!$I16168,nEVAL,"OR")=0))</f>
      </c>
      <c r="I16168">
        <f>IF(DATOS!$I16168="","",IFERROR(VLOOKUP(DATOS!$I16168,CONFIG_ASIGNATURAS!$B$2:$J$91,9,FALSE()),""))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IF(DATOS!$A16169="",0,IF(CONFIG_METADATA!$B$4&lt;&gt;"OR+EX",--(DATOS!$G16169=CONFIG_METADATA!$B$4),IF(DATOS!$G16169="EX",1,IF(DATOS!$G16169="OR",--(COUNTIFS(nNIA,DATOS!$A16169,nCURSO,DATOS!$D16169,nESPEC,DATOS!$E16169,nASIG,DATOS!$I16169,nEVAL,"EX")=0),0))))</f>
      </c>
      <c r="H16169">
        <f>IF(DATOS!$G16169&lt;&gt;"EX",0,--(COUNTIFS(nNIA,DATOS!$A16169,nCURSO,DATOS!$D16169,nESPEC,DATOS!$E16169,nASIG,DATOS!$I16169,nEVAL,"OR")=0))</f>
      </c>
      <c r="I16169">
        <f>IF(DATOS!$I16169="","",IFERROR(VLOOKUP(DATOS!$I16169,CONFIG_ASIGNATURAS!$B$2:$J$91,9,FALSE()),""))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IF(DATOS!$A16170="",0,IF(CONFIG_METADATA!$B$4&lt;&gt;"OR+EX",--(DATOS!$G16170=CONFIG_METADATA!$B$4),IF(DATOS!$G16170="EX",1,IF(DATOS!$G16170="OR",--(COUNTIFS(nNIA,DATOS!$A16170,nCURSO,DATOS!$D16170,nESPEC,DATOS!$E16170,nASIG,DATOS!$I16170,nEVAL,"EX")=0),0))))</f>
      </c>
      <c r="H16170">
        <f>IF(DATOS!$G16170&lt;&gt;"EX",0,--(COUNTIFS(nNIA,DATOS!$A16170,nCURSO,DATOS!$D16170,nESPEC,DATOS!$E16170,nASIG,DATOS!$I16170,nEVAL,"OR")=0))</f>
      </c>
      <c r="I16170">
        <f>IF(DATOS!$I16170="","",IFERROR(VLOOKUP(DATOS!$I16170,CONFIG_ASIGNATURAS!$B$2:$J$91,9,FALSE()),""))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IF(DATOS!$A16171="",0,IF(CONFIG_METADATA!$B$4&lt;&gt;"OR+EX",--(DATOS!$G16171=CONFIG_METADATA!$B$4),IF(DATOS!$G16171="EX",1,IF(DATOS!$G16171="OR",--(COUNTIFS(nNIA,DATOS!$A16171,nCURSO,DATOS!$D16171,nESPEC,DATOS!$E16171,nASIG,DATOS!$I16171,nEVAL,"EX")=0),0))))</f>
      </c>
      <c r="H16171">
        <f>IF(DATOS!$G16171&lt;&gt;"EX",0,--(COUNTIFS(nNIA,DATOS!$A16171,nCURSO,DATOS!$D16171,nESPEC,DATOS!$E16171,nASIG,DATOS!$I16171,nEVAL,"OR")=0))</f>
      </c>
      <c r="I16171">
        <f>IF(DATOS!$I16171="","",IFERROR(VLOOKUP(DATOS!$I16171,CONFIG_ASIGNATURAS!$B$2:$J$91,9,FALSE()),""))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IF(DATOS!$A16172="",0,IF(CONFIG_METADATA!$B$4&lt;&gt;"OR+EX",--(DATOS!$G16172=CONFIG_METADATA!$B$4),IF(DATOS!$G16172="EX",1,IF(DATOS!$G16172="OR",--(COUNTIFS(nNIA,DATOS!$A16172,nCURSO,DATOS!$D16172,nESPEC,DATOS!$E16172,nASIG,DATOS!$I16172,nEVAL,"EX")=0),0))))</f>
      </c>
      <c r="H16172">
        <f>IF(DATOS!$G16172&lt;&gt;"EX",0,--(COUNTIFS(nNIA,DATOS!$A16172,nCURSO,DATOS!$D16172,nESPEC,DATOS!$E16172,nASIG,DATOS!$I16172,nEVAL,"OR")=0))</f>
      </c>
      <c r="I16172">
        <f>IF(DATOS!$I16172="","",IFERROR(VLOOKUP(DATOS!$I16172,CONFIG_ASIGNATURAS!$B$2:$J$91,9,FALSE()),""))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IF(DATOS!$A16173="",0,IF(CONFIG_METADATA!$B$4&lt;&gt;"OR+EX",--(DATOS!$G16173=CONFIG_METADATA!$B$4),IF(DATOS!$G16173="EX",1,IF(DATOS!$G16173="OR",--(COUNTIFS(nNIA,DATOS!$A16173,nCURSO,DATOS!$D16173,nESPEC,DATOS!$E16173,nASIG,DATOS!$I16173,nEVAL,"EX")=0),0))))</f>
      </c>
      <c r="H16173">
        <f>IF(DATOS!$G16173&lt;&gt;"EX",0,--(COUNTIFS(nNIA,DATOS!$A16173,nCURSO,DATOS!$D16173,nESPEC,DATOS!$E16173,nASIG,DATOS!$I16173,nEVAL,"OR")=0))</f>
      </c>
      <c r="I16173">
        <f>IF(DATOS!$I16173="","",IFERROR(VLOOKUP(DATOS!$I16173,CONFIG_ASIGNATURAS!$B$2:$J$91,9,FALSE()),""))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IF(DATOS!$A16174="",0,IF(CONFIG_METADATA!$B$4&lt;&gt;"OR+EX",--(DATOS!$G16174=CONFIG_METADATA!$B$4),IF(DATOS!$G16174="EX",1,IF(DATOS!$G16174="OR",--(COUNTIFS(nNIA,DATOS!$A16174,nCURSO,DATOS!$D16174,nESPEC,DATOS!$E16174,nASIG,DATOS!$I16174,nEVAL,"EX")=0),0))))</f>
      </c>
      <c r="H16174">
        <f>IF(DATOS!$G16174&lt;&gt;"EX",0,--(COUNTIFS(nNIA,DATOS!$A16174,nCURSO,DATOS!$D16174,nESPEC,DATOS!$E16174,nASIG,DATOS!$I16174,nEVAL,"OR")=0))</f>
      </c>
      <c r="I16174">
        <f>IF(DATOS!$I16174="","",IFERROR(VLOOKUP(DATOS!$I16174,CONFIG_ASIGNATURAS!$B$2:$J$91,9,FALSE()),""))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IF(DATOS!$A16175="",0,IF(CONFIG_METADATA!$B$4&lt;&gt;"OR+EX",--(DATOS!$G16175=CONFIG_METADATA!$B$4),IF(DATOS!$G16175="EX",1,IF(DATOS!$G16175="OR",--(COUNTIFS(nNIA,DATOS!$A16175,nCURSO,DATOS!$D16175,nESPEC,DATOS!$E16175,nASIG,DATOS!$I16175,nEVAL,"EX")=0),0))))</f>
      </c>
      <c r="H16175">
        <f>IF(DATOS!$G16175&lt;&gt;"EX",0,--(COUNTIFS(nNIA,DATOS!$A16175,nCURSO,DATOS!$D16175,nESPEC,DATOS!$E16175,nASIG,DATOS!$I16175,nEVAL,"OR")=0))</f>
      </c>
      <c r="I16175">
        <f>IF(DATOS!$I16175="","",IFERROR(VLOOKUP(DATOS!$I16175,CONFIG_ASIGNATURAS!$B$2:$J$91,9,FALSE()),""))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IF(DATOS!$A16176="",0,IF(CONFIG_METADATA!$B$4&lt;&gt;"OR+EX",--(DATOS!$G16176=CONFIG_METADATA!$B$4),IF(DATOS!$G16176="EX",1,IF(DATOS!$G16176="OR",--(COUNTIFS(nNIA,DATOS!$A16176,nCURSO,DATOS!$D16176,nESPEC,DATOS!$E16176,nASIG,DATOS!$I16176,nEVAL,"EX")=0),0))))</f>
      </c>
      <c r="H16176">
        <f>IF(DATOS!$G16176&lt;&gt;"EX",0,--(COUNTIFS(nNIA,DATOS!$A16176,nCURSO,DATOS!$D16176,nESPEC,DATOS!$E16176,nASIG,DATOS!$I16176,nEVAL,"OR")=0))</f>
      </c>
      <c r="I16176">
        <f>IF(DATOS!$I16176="","",IFERROR(VLOOKUP(DATOS!$I16176,CONFIG_ASIGNATURAS!$B$2:$J$91,9,FALSE()),""))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IF(DATOS!$A16177="",0,IF(CONFIG_METADATA!$B$4&lt;&gt;"OR+EX",--(DATOS!$G16177=CONFIG_METADATA!$B$4),IF(DATOS!$G16177="EX",1,IF(DATOS!$G16177="OR",--(COUNTIFS(nNIA,DATOS!$A16177,nCURSO,DATOS!$D16177,nESPEC,DATOS!$E16177,nASIG,DATOS!$I16177,nEVAL,"EX")=0),0))))</f>
      </c>
      <c r="H16177">
        <f>IF(DATOS!$G16177&lt;&gt;"EX",0,--(COUNTIFS(nNIA,DATOS!$A16177,nCURSO,DATOS!$D16177,nESPEC,DATOS!$E16177,nASIG,DATOS!$I16177,nEVAL,"OR")=0))</f>
      </c>
      <c r="I16177">
        <f>IF(DATOS!$I16177="","",IFERROR(VLOOKUP(DATOS!$I16177,CONFIG_ASIGNATURAS!$B$2:$J$91,9,FALSE()),""))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IF(DATOS!$A16178="",0,IF(CONFIG_METADATA!$B$4&lt;&gt;"OR+EX",--(DATOS!$G16178=CONFIG_METADATA!$B$4),IF(DATOS!$G16178="EX",1,IF(DATOS!$G16178="OR",--(COUNTIFS(nNIA,DATOS!$A16178,nCURSO,DATOS!$D16178,nESPEC,DATOS!$E16178,nASIG,DATOS!$I16178,nEVAL,"EX")=0),0))))</f>
      </c>
      <c r="H16178">
        <f>IF(DATOS!$G16178&lt;&gt;"EX",0,--(COUNTIFS(nNIA,DATOS!$A16178,nCURSO,DATOS!$D16178,nESPEC,DATOS!$E16178,nASIG,DATOS!$I16178,nEVAL,"OR")=0))</f>
      </c>
      <c r="I16178">
        <f>IF(DATOS!$I16178="","",IFERROR(VLOOKUP(DATOS!$I16178,CONFIG_ASIGNATURAS!$B$2:$J$91,9,FALSE()),""))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IF(DATOS!$A16179="",0,IF(CONFIG_METADATA!$B$4&lt;&gt;"OR+EX",--(DATOS!$G16179=CONFIG_METADATA!$B$4),IF(DATOS!$G16179="EX",1,IF(DATOS!$G16179="OR",--(COUNTIFS(nNIA,DATOS!$A16179,nCURSO,DATOS!$D16179,nESPEC,DATOS!$E16179,nASIG,DATOS!$I16179,nEVAL,"EX")=0),0))))</f>
      </c>
      <c r="H16179">
        <f>IF(DATOS!$G16179&lt;&gt;"EX",0,--(COUNTIFS(nNIA,DATOS!$A16179,nCURSO,DATOS!$D16179,nESPEC,DATOS!$E16179,nASIG,DATOS!$I16179,nEVAL,"OR")=0))</f>
      </c>
      <c r="I16179">
        <f>IF(DATOS!$I16179="","",IFERROR(VLOOKUP(DATOS!$I16179,CONFIG_ASIGNATURAS!$B$2:$J$91,9,FALSE()),""))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IF(DATOS!$A16180="",0,IF(CONFIG_METADATA!$B$4&lt;&gt;"OR+EX",--(DATOS!$G16180=CONFIG_METADATA!$B$4),IF(DATOS!$G16180="EX",1,IF(DATOS!$G16180="OR",--(COUNTIFS(nNIA,DATOS!$A16180,nCURSO,DATOS!$D16180,nESPEC,DATOS!$E16180,nASIG,DATOS!$I16180,nEVAL,"EX")=0),0))))</f>
      </c>
      <c r="H16180">
        <f>IF(DATOS!$G16180&lt;&gt;"EX",0,--(COUNTIFS(nNIA,DATOS!$A16180,nCURSO,DATOS!$D16180,nESPEC,DATOS!$E16180,nASIG,DATOS!$I16180,nEVAL,"OR")=0))</f>
      </c>
      <c r="I16180">
        <f>IF(DATOS!$I16180="","",IFERROR(VLOOKUP(DATOS!$I16180,CONFIG_ASIGNATURAS!$B$2:$J$91,9,FALSE()),""))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IF(DATOS!$A16181="",0,IF(CONFIG_METADATA!$B$4&lt;&gt;"OR+EX",--(DATOS!$G16181=CONFIG_METADATA!$B$4),IF(DATOS!$G16181="EX",1,IF(DATOS!$G16181="OR",--(COUNTIFS(nNIA,DATOS!$A16181,nCURSO,DATOS!$D16181,nESPEC,DATOS!$E16181,nASIG,DATOS!$I16181,nEVAL,"EX")=0),0))))</f>
      </c>
      <c r="H16181">
        <f>IF(DATOS!$G16181&lt;&gt;"EX",0,--(COUNTIFS(nNIA,DATOS!$A16181,nCURSO,DATOS!$D16181,nESPEC,DATOS!$E16181,nASIG,DATOS!$I16181,nEVAL,"OR")=0))</f>
      </c>
      <c r="I16181">
        <f>IF(DATOS!$I16181="","",IFERROR(VLOOKUP(DATOS!$I16181,CONFIG_ASIGNATURAS!$B$2:$J$91,9,FALSE()),""))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IF(DATOS!$A16182="",0,IF(CONFIG_METADATA!$B$4&lt;&gt;"OR+EX",--(DATOS!$G16182=CONFIG_METADATA!$B$4),IF(DATOS!$G16182="EX",1,IF(DATOS!$G16182="OR",--(COUNTIFS(nNIA,DATOS!$A16182,nCURSO,DATOS!$D16182,nESPEC,DATOS!$E16182,nASIG,DATOS!$I16182,nEVAL,"EX")=0),0))))</f>
      </c>
      <c r="H16182">
        <f>IF(DATOS!$G16182&lt;&gt;"EX",0,--(COUNTIFS(nNIA,DATOS!$A16182,nCURSO,DATOS!$D16182,nESPEC,DATOS!$E16182,nASIG,DATOS!$I16182,nEVAL,"OR")=0))</f>
      </c>
      <c r="I16182">
        <f>IF(DATOS!$I16182="","",IFERROR(VLOOKUP(DATOS!$I16182,CONFIG_ASIGNATURAS!$B$2:$J$91,9,FALSE()),""))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IF(DATOS!$A16183="",0,IF(CONFIG_METADATA!$B$4&lt;&gt;"OR+EX",--(DATOS!$G16183=CONFIG_METADATA!$B$4),IF(DATOS!$G16183="EX",1,IF(DATOS!$G16183="OR",--(COUNTIFS(nNIA,DATOS!$A16183,nCURSO,DATOS!$D16183,nESPEC,DATOS!$E16183,nASIG,DATOS!$I16183,nEVAL,"EX")=0),0))))</f>
      </c>
      <c r="H16183">
        <f>IF(DATOS!$G16183&lt;&gt;"EX",0,--(COUNTIFS(nNIA,DATOS!$A16183,nCURSO,DATOS!$D16183,nESPEC,DATOS!$E16183,nASIG,DATOS!$I16183,nEVAL,"OR")=0))</f>
      </c>
      <c r="I16183">
        <f>IF(DATOS!$I16183="","",IFERROR(VLOOKUP(DATOS!$I16183,CONFIG_ASIGNATURAS!$B$2:$J$91,9,FALSE()),""))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IF(DATOS!$A16184="",0,IF(CONFIG_METADATA!$B$4&lt;&gt;"OR+EX",--(DATOS!$G16184=CONFIG_METADATA!$B$4),IF(DATOS!$G16184="EX",1,IF(DATOS!$G16184="OR",--(COUNTIFS(nNIA,DATOS!$A16184,nCURSO,DATOS!$D16184,nESPEC,DATOS!$E16184,nASIG,DATOS!$I16184,nEVAL,"EX")=0),0))))</f>
      </c>
      <c r="H16184">
        <f>IF(DATOS!$G16184&lt;&gt;"EX",0,--(COUNTIFS(nNIA,DATOS!$A16184,nCURSO,DATOS!$D16184,nESPEC,DATOS!$E16184,nASIG,DATOS!$I16184,nEVAL,"OR")=0))</f>
      </c>
      <c r="I16184">
        <f>IF(DATOS!$I16184="","",IFERROR(VLOOKUP(DATOS!$I16184,CONFIG_ASIGNATURAS!$B$2:$J$91,9,FALSE()),""))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IF(DATOS!$A16185="",0,IF(CONFIG_METADATA!$B$4&lt;&gt;"OR+EX",--(DATOS!$G16185=CONFIG_METADATA!$B$4),IF(DATOS!$G16185="EX",1,IF(DATOS!$G16185="OR",--(COUNTIFS(nNIA,DATOS!$A16185,nCURSO,DATOS!$D16185,nESPEC,DATOS!$E16185,nASIG,DATOS!$I16185,nEVAL,"EX")=0),0))))</f>
      </c>
      <c r="H16185">
        <f>IF(DATOS!$G16185&lt;&gt;"EX",0,--(COUNTIFS(nNIA,DATOS!$A16185,nCURSO,DATOS!$D16185,nESPEC,DATOS!$E16185,nASIG,DATOS!$I16185,nEVAL,"OR")=0))</f>
      </c>
      <c r="I16185">
        <f>IF(DATOS!$I16185="","",IFERROR(VLOOKUP(DATOS!$I16185,CONFIG_ASIGNATURAS!$B$2:$J$91,9,FALSE()),""))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IF(DATOS!$A16186="",0,IF(CONFIG_METADATA!$B$4&lt;&gt;"OR+EX",--(DATOS!$G16186=CONFIG_METADATA!$B$4),IF(DATOS!$G16186="EX",1,IF(DATOS!$G16186="OR",--(COUNTIFS(nNIA,DATOS!$A16186,nCURSO,DATOS!$D16186,nESPEC,DATOS!$E16186,nASIG,DATOS!$I16186,nEVAL,"EX")=0),0))))</f>
      </c>
      <c r="H16186">
        <f>IF(DATOS!$G16186&lt;&gt;"EX",0,--(COUNTIFS(nNIA,DATOS!$A16186,nCURSO,DATOS!$D16186,nESPEC,DATOS!$E16186,nASIG,DATOS!$I16186,nEVAL,"OR")=0))</f>
      </c>
      <c r="I16186">
        <f>IF(DATOS!$I16186="","",IFERROR(VLOOKUP(DATOS!$I16186,CONFIG_ASIGNATURAS!$B$2:$J$91,9,FALSE()),""))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IF(DATOS!$A16187="",0,IF(CONFIG_METADATA!$B$4&lt;&gt;"OR+EX",--(DATOS!$G16187=CONFIG_METADATA!$B$4),IF(DATOS!$G16187="EX",1,IF(DATOS!$G16187="OR",--(COUNTIFS(nNIA,DATOS!$A16187,nCURSO,DATOS!$D16187,nESPEC,DATOS!$E16187,nASIG,DATOS!$I16187,nEVAL,"EX")=0),0))))</f>
      </c>
      <c r="H16187">
        <f>IF(DATOS!$G16187&lt;&gt;"EX",0,--(COUNTIFS(nNIA,DATOS!$A16187,nCURSO,DATOS!$D16187,nESPEC,DATOS!$E16187,nASIG,DATOS!$I16187,nEVAL,"OR")=0))</f>
      </c>
      <c r="I16187">
        <f>IF(DATOS!$I16187="","",IFERROR(VLOOKUP(DATOS!$I16187,CONFIG_ASIGNATURAS!$B$2:$J$91,9,FALSE()),""))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IF(DATOS!$A16188="",0,IF(CONFIG_METADATA!$B$4&lt;&gt;"OR+EX",--(DATOS!$G16188=CONFIG_METADATA!$B$4),IF(DATOS!$G16188="EX",1,IF(DATOS!$G16188="OR",--(COUNTIFS(nNIA,DATOS!$A16188,nCURSO,DATOS!$D16188,nESPEC,DATOS!$E16188,nASIG,DATOS!$I16188,nEVAL,"EX")=0),0))))</f>
      </c>
      <c r="H16188">
        <f>IF(DATOS!$G16188&lt;&gt;"EX",0,--(COUNTIFS(nNIA,DATOS!$A16188,nCURSO,DATOS!$D16188,nESPEC,DATOS!$E16188,nASIG,DATOS!$I16188,nEVAL,"OR")=0))</f>
      </c>
      <c r="I16188">
        <f>IF(DATOS!$I16188="","",IFERROR(VLOOKUP(DATOS!$I16188,CONFIG_ASIGNATURAS!$B$2:$J$91,9,FALSE()),""))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IF(DATOS!$A16189="",0,IF(CONFIG_METADATA!$B$4&lt;&gt;"OR+EX",--(DATOS!$G16189=CONFIG_METADATA!$B$4),IF(DATOS!$G16189="EX",1,IF(DATOS!$G16189="OR",--(COUNTIFS(nNIA,DATOS!$A16189,nCURSO,DATOS!$D16189,nESPEC,DATOS!$E16189,nASIG,DATOS!$I16189,nEVAL,"EX")=0),0))))</f>
      </c>
      <c r="H16189">
        <f>IF(DATOS!$G16189&lt;&gt;"EX",0,--(COUNTIFS(nNIA,DATOS!$A16189,nCURSO,DATOS!$D16189,nESPEC,DATOS!$E16189,nASIG,DATOS!$I16189,nEVAL,"OR")=0))</f>
      </c>
      <c r="I16189">
        <f>IF(DATOS!$I16189="","",IFERROR(VLOOKUP(DATOS!$I16189,CONFIG_ASIGNATURAS!$B$2:$J$91,9,FALSE()),""))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IF(DATOS!$A16190="",0,IF(CONFIG_METADATA!$B$4&lt;&gt;"OR+EX",--(DATOS!$G16190=CONFIG_METADATA!$B$4),IF(DATOS!$G16190="EX",1,IF(DATOS!$G16190="OR",--(COUNTIFS(nNIA,DATOS!$A16190,nCURSO,DATOS!$D16190,nESPEC,DATOS!$E16190,nASIG,DATOS!$I16190,nEVAL,"EX")=0),0))))</f>
      </c>
      <c r="H16190">
        <f>IF(DATOS!$G16190&lt;&gt;"EX",0,--(COUNTIFS(nNIA,DATOS!$A16190,nCURSO,DATOS!$D16190,nESPEC,DATOS!$E16190,nASIG,DATOS!$I16190,nEVAL,"OR")=0))</f>
      </c>
      <c r="I16190">
        <f>IF(DATOS!$I16190="","",IFERROR(VLOOKUP(DATOS!$I16190,CONFIG_ASIGNATURAS!$B$2:$J$91,9,FALSE()),""))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IF(DATOS!$A16191="",0,IF(CONFIG_METADATA!$B$4&lt;&gt;"OR+EX",--(DATOS!$G16191=CONFIG_METADATA!$B$4),IF(DATOS!$G16191="EX",1,IF(DATOS!$G16191="OR",--(COUNTIFS(nNIA,DATOS!$A16191,nCURSO,DATOS!$D16191,nESPEC,DATOS!$E16191,nASIG,DATOS!$I16191,nEVAL,"EX")=0),0))))</f>
      </c>
      <c r="H16191">
        <f>IF(DATOS!$G16191&lt;&gt;"EX",0,--(COUNTIFS(nNIA,DATOS!$A16191,nCURSO,DATOS!$D16191,nESPEC,DATOS!$E16191,nASIG,DATOS!$I16191,nEVAL,"OR")=0))</f>
      </c>
      <c r="I16191">
        <f>IF(DATOS!$I16191="","",IFERROR(VLOOKUP(DATOS!$I16191,CONFIG_ASIGNATURAS!$B$2:$J$91,9,FALSE()),""))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IF(DATOS!$A16192="",0,IF(CONFIG_METADATA!$B$4&lt;&gt;"OR+EX",--(DATOS!$G16192=CONFIG_METADATA!$B$4),IF(DATOS!$G16192="EX",1,IF(DATOS!$G16192="OR",--(COUNTIFS(nNIA,DATOS!$A16192,nCURSO,DATOS!$D16192,nESPEC,DATOS!$E16192,nASIG,DATOS!$I16192,nEVAL,"EX")=0),0))))</f>
      </c>
      <c r="H16192">
        <f>IF(DATOS!$G16192&lt;&gt;"EX",0,--(COUNTIFS(nNIA,DATOS!$A16192,nCURSO,DATOS!$D16192,nESPEC,DATOS!$E16192,nASIG,DATOS!$I16192,nEVAL,"OR")=0))</f>
      </c>
      <c r="I16192">
        <f>IF(DATOS!$I16192="","",IFERROR(VLOOKUP(DATOS!$I16192,CONFIG_ASIGNATURAS!$B$2:$J$91,9,FALSE()),""))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IF(DATOS!$A16193="",0,IF(CONFIG_METADATA!$B$4&lt;&gt;"OR+EX",--(DATOS!$G16193=CONFIG_METADATA!$B$4),IF(DATOS!$G16193="EX",1,IF(DATOS!$G16193="OR",--(COUNTIFS(nNIA,DATOS!$A16193,nCURSO,DATOS!$D16193,nESPEC,DATOS!$E16193,nASIG,DATOS!$I16193,nEVAL,"EX")=0),0))))</f>
      </c>
      <c r="H16193">
        <f>IF(DATOS!$G16193&lt;&gt;"EX",0,--(COUNTIFS(nNIA,DATOS!$A16193,nCURSO,DATOS!$D16193,nESPEC,DATOS!$E16193,nASIG,DATOS!$I16193,nEVAL,"OR")=0))</f>
      </c>
      <c r="I16193">
        <f>IF(DATOS!$I16193="","",IFERROR(VLOOKUP(DATOS!$I16193,CONFIG_ASIGNATURAS!$B$2:$J$91,9,FALSE()),""))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IF(DATOS!$A16194="",0,IF(CONFIG_METADATA!$B$4&lt;&gt;"OR+EX",--(DATOS!$G16194=CONFIG_METADATA!$B$4),IF(DATOS!$G16194="EX",1,IF(DATOS!$G16194="OR",--(COUNTIFS(nNIA,DATOS!$A16194,nCURSO,DATOS!$D16194,nESPEC,DATOS!$E16194,nASIG,DATOS!$I16194,nEVAL,"EX")=0),0))))</f>
      </c>
      <c r="H16194">
        <f>IF(DATOS!$G16194&lt;&gt;"EX",0,--(COUNTIFS(nNIA,DATOS!$A16194,nCURSO,DATOS!$D16194,nESPEC,DATOS!$E16194,nASIG,DATOS!$I16194,nEVAL,"OR")=0))</f>
      </c>
      <c r="I16194">
        <f>IF(DATOS!$I16194="","",IFERROR(VLOOKUP(DATOS!$I16194,CONFIG_ASIGNATURAS!$B$2:$J$91,9,FALSE()),""))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IF(DATOS!$A16195="",0,IF(CONFIG_METADATA!$B$4&lt;&gt;"OR+EX",--(DATOS!$G16195=CONFIG_METADATA!$B$4),IF(DATOS!$G16195="EX",1,IF(DATOS!$G16195="OR",--(COUNTIFS(nNIA,DATOS!$A16195,nCURSO,DATOS!$D16195,nESPEC,DATOS!$E16195,nASIG,DATOS!$I16195,nEVAL,"EX")=0),0))))</f>
      </c>
      <c r="H16195">
        <f>IF(DATOS!$G16195&lt;&gt;"EX",0,--(COUNTIFS(nNIA,DATOS!$A16195,nCURSO,DATOS!$D16195,nESPEC,DATOS!$E16195,nASIG,DATOS!$I16195,nEVAL,"OR")=0))</f>
      </c>
      <c r="I16195">
        <f>IF(DATOS!$I16195="","",IFERROR(VLOOKUP(DATOS!$I16195,CONFIG_ASIGNATURAS!$B$2:$J$91,9,FALSE()),""))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IF(DATOS!$A16196="",0,IF(CONFIG_METADATA!$B$4&lt;&gt;"OR+EX",--(DATOS!$G16196=CONFIG_METADATA!$B$4),IF(DATOS!$G16196="EX",1,IF(DATOS!$G16196="OR",--(COUNTIFS(nNIA,DATOS!$A16196,nCURSO,DATOS!$D16196,nESPEC,DATOS!$E16196,nASIG,DATOS!$I16196,nEVAL,"EX")=0),0))))</f>
      </c>
      <c r="H16196">
        <f>IF(DATOS!$G16196&lt;&gt;"EX",0,--(COUNTIFS(nNIA,DATOS!$A16196,nCURSO,DATOS!$D16196,nESPEC,DATOS!$E16196,nASIG,DATOS!$I16196,nEVAL,"OR")=0))</f>
      </c>
      <c r="I16196">
        <f>IF(DATOS!$I16196="","",IFERROR(VLOOKUP(DATOS!$I16196,CONFIG_ASIGNATURAS!$B$2:$J$91,9,FALSE()),""))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IF(DATOS!$A16197="",0,IF(CONFIG_METADATA!$B$4&lt;&gt;"OR+EX",--(DATOS!$G16197=CONFIG_METADATA!$B$4),IF(DATOS!$G16197="EX",1,IF(DATOS!$G16197="OR",--(COUNTIFS(nNIA,DATOS!$A16197,nCURSO,DATOS!$D16197,nESPEC,DATOS!$E16197,nASIG,DATOS!$I16197,nEVAL,"EX")=0),0))))</f>
      </c>
      <c r="H16197">
        <f>IF(DATOS!$G16197&lt;&gt;"EX",0,--(COUNTIFS(nNIA,DATOS!$A16197,nCURSO,DATOS!$D16197,nESPEC,DATOS!$E16197,nASIG,DATOS!$I16197,nEVAL,"OR")=0))</f>
      </c>
      <c r="I16197">
        <f>IF(DATOS!$I16197="","",IFERROR(VLOOKUP(DATOS!$I16197,CONFIG_ASIGNATURAS!$B$2:$J$91,9,FALSE()),""))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IF(DATOS!$A16198="",0,IF(CONFIG_METADATA!$B$4&lt;&gt;"OR+EX",--(DATOS!$G16198=CONFIG_METADATA!$B$4),IF(DATOS!$G16198="EX",1,IF(DATOS!$G16198="OR",--(COUNTIFS(nNIA,DATOS!$A16198,nCURSO,DATOS!$D16198,nESPEC,DATOS!$E16198,nASIG,DATOS!$I16198,nEVAL,"EX")=0),0))))</f>
      </c>
      <c r="H16198">
        <f>IF(DATOS!$G16198&lt;&gt;"EX",0,--(COUNTIFS(nNIA,DATOS!$A16198,nCURSO,DATOS!$D16198,nESPEC,DATOS!$E16198,nASIG,DATOS!$I16198,nEVAL,"OR")=0))</f>
      </c>
      <c r="I16198">
        <f>IF(DATOS!$I16198="","",IFERROR(VLOOKUP(DATOS!$I16198,CONFIG_ASIGNATURAS!$B$2:$J$91,9,FALSE()),""))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IF(DATOS!$A16199="",0,IF(CONFIG_METADATA!$B$4&lt;&gt;"OR+EX",--(DATOS!$G16199=CONFIG_METADATA!$B$4),IF(DATOS!$G16199="EX",1,IF(DATOS!$G16199="OR",--(COUNTIFS(nNIA,DATOS!$A16199,nCURSO,DATOS!$D16199,nESPEC,DATOS!$E16199,nASIG,DATOS!$I16199,nEVAL,"EX")=0),0))))</f>
      </c>
      <c r="H16199">
        <f>IF(DATOS!$G16199&lt;&gt;"EX",0,--(COUNTIFS(nNIA,DATOS!$A16199,nCURSO,DATOS!$D16199,nESPEC,DATOS!$E16199,nASIG,DATOS!$I16199,nEVAL,"OR")=0))</f>
      </c>
      <c r="I16199">
        <f>IF(DATOS!$I16199="","",IFERROR(VLOOKUP(DATOS!$I16199,CONFIG_ASIGNATURAS!$B$2:$J$91,9,FALSE()),""))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IF(DATOS!$A16200="",0,IF(CONFIG_METADATA!$B$4&lt;&gt;"OR+EX",--(DATOS!$G16200=CONFIG_METADATA!$B$4),IF(DATOS!$G16200="EX",1,IF(DATOS!$G16200="OR",--(COUNTIFS(nNIA,DATOS!$A16200,nCURSO,DATOS!$D16200,nESPEC,DATOS!$E16200,nASIG,DATOS!$I16200,nEVAL,"EX")=0),0))))</f>
      </c>
      <c r="H16200">
        <f>IF(DATOS!$G16200&lt;&gt;"EX",0,--(COUNTIFS(nNIA,DATOS!$A16200,nCURSO,DATOS!$D16200,nESPEC,DATOS!$E16200,nASIG,DATOS!$I16200,nEVAL,"OR")=0))</f>
      </c>
      <c r="I16200">
        <f>IF(DATOS!$I16200="","",IFERROR(VLOOKUP(DATOS!$I16200,CONFIG_ASIGNATURAS!$B$2:$J$91,9,FALSE()),""))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IF(DATOS!$A16201="",0,IF(CONFIG_METADATA!$B$4&lt;&gt;"OR+EX",--(DATOS!$G16201=CONFIG_METADATA!$B$4),IF(DATOS!$G16201="EX",1,IF(DATOS!$G16201="OR",--(COUNTIFS(nNIA,DATOS!$A16201,nCURSO,DATOS!$D16201,nESPEC,DATOS!$E16201,nASIG,DATOS!$I16201,nEVAL,"EX")=0),0))))</f>
      </c>
      <c r="H16201">
        <f>IF(DATOS!$G16201&lt;&gt;"EX",0,--(COUNTIFS(nNIA,DATOS!$A16201,nCURSO,DATOS!$D16201,nESPEC,DATOS!$E16201,nASIG,DATOS!$I16201,nEVAL,"OR")=0))</f>
      </c>
      <c r="I16201">
        <f>IF(DATOS!$I16201="","",IFERROR(VLOOKUP(DATOS!$I16201,CONFIG_ASIGNATURAS!$B$2:$J$91,9,FALSE()),""))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IF(DATOS!$A16202="",0,IF(CONFIG_METADATA!$B$4&lt;&gt;"OR+EX",--(DATOS!$G16202=CONFIG_METADATA!$B$4),IF(DATOS!$G16202="EX",1,IF(DATOS!$G16202="OR",--(COUNTIFS(nNIA,DATOS!$A16202,nCURSO,DATOS!$D16202,nESPEC,DATOS!$E16202,nASIG,DATOS!$I16202,nEVAL,"EX")=0),0))))</f>
      </c>
      <c r="H16202">
        <f>IF(DATOS!$G16202&lt;&gt;"EX",0,--(COUNTIFS(nNIA,DATOS!$A16202,nCURSO,DATOS!$D16202,nESPEC,DATOS!$E16202,nASIG,DATOS!$I16202,nEVAL,"OR")=0))</f>
      </c>
      <c r="I16202">
        <f>IF(DATOS!$I16202="","",IFERROR(VLOOKUP(DATOS!$I16202,CONFIG_ASIGNATURAS!$B$2:$J$91,9,FALSE()),""))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IF(DATOS!$A16203="",0,IF(CONFIG_METADATA!$B$4&lt;&gt;"OR+EX",--(DATOS!$G16203=CONFIG_METADATA!$B$4),IF(DATOS!$G16203="EX",1,IF(DATOS!$G16203="OR",--(COUNTIFS(nNIA,DATOS!$A16203,nCURSO,DATOS!$D16203,nESPEC,DATOS!$E16203,nASIG,DATOS!$I16203,nEVAL,"EX")=0),0))))</f>
      </c>
      <c r="H16203">
        <f>IF(DATOS!$G16203&lt;&gt;"EX",0,--(COUNTIFS(nNIA,DATOS!$A16203,nCURSO,DATOS!$D16203,nESPEC,DATOS!$E16203,nASIG,DATOS!$I16203,nEVAL,"OR")=0))</f>
      </c>
      <c r="I16203">
        <f>IF(DATOS!$I16203="","",IFERROR(VLOOKUP(DATOS!$I16203,CONFIG_ASIGNATURAS!$B$2:$J$91,9,FALSE()),""))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IF(DATOS!$A16204="",0,IF(CONFIG_METADATA!$B$4&lt;&gt;"OR+EX",--(DATOS!$G16204=CONFIG_METADATA!$B$4),IF(DATOS!$G16204="EX",1,IF(DATOS!$G16204="OR",--(COUNTIFS(nNIA,DATOS!$A16204,nCURSO,DATOS!$D16204,nESPEC,DATOS!$E16204,nASIG,DATOS!$I16204,nEVAL,"EX")=0),0))))</f>
      </c>
      <c r="H16204">
        <f>IF(DATOS!$G16204&lt;&gt;"EX",0,--(COUNTIFS(nNIA,DATOS!$A16204,nCURSO,DATOS!$D16204,nESPEC,DATOS!$E16204,nASIG,DATOS!$I16204,nEVAL,"OR")=0))</f>
      </c>
      <c r="I16204">
        <f>IF(DATOS!$I16204="","",IFERROR(VLOOKUP(DATOS!$I16204,CONFIG_ASIGNATURAS!$B$2:$J$91,9,FALSE()),""))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IF(DATOS!$A16205="",0,IF(CONFIG_METADATA!$B$4&lt;&gt;"OR+EX",--(DATOS!$G16205=CONFIG_METADATA!$B$4),IF(DATOS!$G16205="EX",1,IF(DATOS!$G16205="OR",--(COUNTIFS(nNIA,DATOS!$A16205,nCURSO,DATOS!$D16205,nESPEC,DATOS!$E16205,nASIG,DATOS!$I16205,nEVAL,"EX")=0),0))))</f>
      </c>
      <c r="H16205">
        <f>IF(DATOS!$G16205&lt;&gt;"EX",0,--(COUNTIFS(nNIA,DATOS!$A16205,nCURSO,DATOS!$D16205,nESPEC,DATOS!$E16205,nASIG,DATOS!$I16205,nEVAL,"OR")=0))</f>
      </c>
      <c r="I16205">
        <f>IF(DATOS!$I16205="","",IFERROR(VLOOKUP(DATOS!$I16205,CONFIG_ASIGNATURAS!$B$2:$J$91,9,FALSE()),""))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IF(DATOS!$A16206="",0,IF(CONFIG_METADATA!$B$4&lt;&gt;"OR+EX",--(DATOS!$G16206=CONFIG_METADATA!$B$4),IF(DATOS!$G16206="EX",1,IF(DATOS!$G16206="OR",--(COUNTIFS(nNIA,DATOS!$A16206,nCURSO,DATOS!$D16206,nESPEC,DATOS!$E16206,nASIG,DATOS!$I16206,nEVAL,"EX")=0),0))))</f>
      </c>
      <c r="H16206">
        <f>IF(DATOS!$G16206&lt;&gt;"EX",0,--(COUNTIFS(nNIA,DATOS!$A16206,nCURSO,DATOS!$D16206,nESPEC,DATOS!$E16206,nASIG,DATOS!$I16206,nEVAL,"OR")=0))</f>
      </c>
      <c r="I16206">
        <f>IF(DATOS!$I16206="","",IFERROR(VLOOKUP(DATOS!$I16206,CONFIG_ASIGNATURAS!$B$2:$J$91,9,FALSE()),""))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IF(DATOS!$A16207="",0,IF(CONFIG_METADATA!$B$4&lt;&gt;"OR+EX",--(DATOS!$G16207=CONFIG_METADATA!$B$4),IF(DATOS!$G16207="EX",1,IF(DATOS!$G16207="OR",--(COUNTIFS(nNIA,DATOS!$A16207,nCURSO,DATOS!$D16207,nESPEC,DATOS!$E16207,nASIG,DATOS!$I16207,nEVAL,"EX")=0),0))))</f>
      </c>
      <c r="H16207">
        <f>IF(DATOS!$G16207&lt;&gt;"EX",0,--(COUNTIFS(nNIA,DATOS!$A16207,nCURSO,DATOS!$D16207,nESPEC,DATOS!$E16207,nASIG,DATOS!$I16207,nEVAL,"OR")=0))</f>
      </c>
      <c r="I16207">
        <f>IF(DATOS!$I16207="","",IFERROR(VLOOKUP(DATOS!$I16207,CONFIG_ASIGNATURAS!$B$2:$J$91,9,FALSE()),""))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IF(DATOS!$A16208="",0,IF(CONFIG_METADATA!$B$4&lt;&gt;"OR+EX",--(DATOS!$G16208=CONFIG_METADATA!$B$4),IF(DATOS!$G16208="EX",1,IF(DATOS!$G16208="OR",--(COUNTIFS(nNIA,DATOS!$A16208,nCURSO,DATOS!$D16208,nESPEC,DATOS!$E16208,nASIG,DATOS!$I16208,nEVAL,"EX")=0),0))))</f>
      </c>
      <c r="H16208">
        <f>IF(DATOS!$G16208&lt;&gt;"EX",0,--(COUNTIFS(nNIA,DATOS!$A16208,nCURSO,DATOS!$D16208,nESPEC,DATOS!$E16208,nASIG,DATOS!$I16208,nEVAL,"OR")=0))</f>
      </c>
      <c r="I16208">
        <f>IF(DATOS!$I16208="","",IFERROR(VLOOKUP(DATOS!$I16208,CONFIG_ASIGNATURAS!$B$2:$J$91,9,FALSE()),""))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IF(DATOS!$A16209="",0,IF(CONFIG_METADATA!$B$4&lt;&gt;"OR+EX",--(DATOS!$G16209=CONFIG_METADATA!$B$4),IF(DATOS!$G16209="EX",1,IF(DATOS!$G16209="OR",--(COUNTIFS(nNIA,DATOS!$A16209,nCURSO,DATOS!$D16209,nESPEC,DATOS!$E16209,nASIG,DATOS!$I16209,nEVAL,"EX")=0),0))))</f>
      </c>
      <c r="H16209">
        <f>IF(DATOS!$G16209&lt;&gt;"EX",0,--(COUNTIFS(nNIA,DATOS!$A16209,nCURSO,DATOS!$D16209,nESPEC,DATOS!$E16209,nASIG,DATOS!$I16209,nEVAL,"OR")=0))</f>
      </c>
      <c r="I16209">
        <f>IF(DATOS!$I16209="","",IFERROR(VLOOKUP(DATOS!$I16209,CONFIG_ASIGNATURAS!$B$2:$J$91,9,FALSE()),""))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IF(DATOS!$A16210="",0,IF(CONFIG_METADATA!$B$4&lt;&gt;"OR+EX",--(DATOS!$G16210=CONFIG_METADATA!$B$4),IF(DATOS!$G16210="EX",1,IF(DATOS!$G16210="OR",--(COUNTIFS(nNIA,DATOS!$A16210,nCURSO,DATOS!$D16210,nESPEC,DATOS!$E16210,nASIG,DATOS!$I16210,nEVAL,"EX")=0),0))))</f>
      </c>
      <c r="H16210">
        <f>IF(DATOS!$G16210&lt;&gt;"EX",0,--(COUNTIFS(nNIA,DATOS!$A16210,nCURSO,DATOS!$D16210,nESPEC,DATOS!$E16210,nASIG,DATOS!$I16210,nEVAL,"OR")=0))</f>
      </c>
      <c r="I16210">
        <f>IF(DATOS!$I16210="","",IFERROR(VLOOKUP(DATOS!$I16210,CONFIG_ASIGNATURAS!$B$2:$J$91,9,FALSE()),""))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IF(DATOS!$A16211="",0,IF(CONFIG_METADATA!$B$4&lt;&gt;"OR+EX",--(DATOS!$G16211=CONFIG_METADATA!$B$4),IF(DATOS!$G16211="EX",1,IF(DATOS!$G16211="OR",--(COUNTIFS(nNIA,DATOS!$A16211,nCURSO,DATOS!$D16211,nESPEC,DATOS!$E16211,nASIG,DATOS!$I16211,nEVAL,"EX")=0),0))))</f>
      </c>
      <c r="H16211">
        <f>IF(DATOS!$G16211&lt;&gt;"EX",0,--(COUNTIFS(nNIA,DATOS!$A16211,nCURSO,DATOS!$D16211,nESPEC,DATOS!$E16211,nASIG,DATOS!$I16211,nEVAL,"OR")=0))</f>
      </c>
      <c r="I16211">
        <f>IF(DATOS!$I16211="","",IFERROR(VLOOKUP(DATOS!$I16211,CONFIG_ASIGNATURAS!$B$2:$J$91,9,FALSE()),""))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IF(DATOS!$A16212="",0,IF(CONFIG_METADATA!$B$4&lt;&gt;"OR+EX",--(DATOS!$G16212=CONFIG_METADATA!$B$4),IF(DATOS!$G16212="EX",1,IF(DATOS!$G16212="OR",--(COUNTIFS(nNIA,DATOS!$A16212,nCURSO,DATOS!$D16212,nESPEC,DATOS!$E16212,nASIG,DATOS!$I16212,nEVAL,"EX")=0),0))))</f>
      </c>
      <c r="H16212">
        <f>IF(DATOS!$G16212&lt;&gt;"EX",0,--(COUNTIFS(nNIA,DATOS!$A16212,nCURSO,DATOS!$D16212,nESPEC,DATOS!$E16212,nASIG,DATOS!$I16212,nEVAL,"OR")=0))</f>
      </c>
      <c r="I16212">
        <f>IF(DATOS!$I16212="","",IFERROR(VLOOKUP(DATOS!$I16212,CONFIG_ASIGNATURAS!$B$2:$J$91,9,FALSE()),""))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IF(DATOS!$A16213="",0,IF(CONFIG_METADATA!$B$4&lt;&gt;"OR+EX",--(DATOS!$G16213=CONFIG_METADATA!$B$4),IF(DATOS!$G16213="EX",1,IF(DATOS!$G16213="OR",--(COUNTIFS(nNIA,DATOS!$A16213,nCURSO,DATOS!$D16213,nESPEC,DATOS!$E16213,nASIG,DATOS!$I16213,nEVAL,"EX")=0),0))))</f>
      </c>
      <c r="H16213">
        <f>IF(DATOS!$G16213&lt;&gt;"EX",0,--(COUNTIFS(nNIA,DATOS!$A16213,nCURSO,DATOS!$D16213,nESPEC,DATOS!$E16213,nASIG,DATOS!$I16213,nEVAL,"OR")=0))</f>
      </c>
      <c r="I16213">
        <f>IF(DATOS!$I16213="","",IFERROR(VLOOKUP(DATOS!$I16213,CONFIG_ASIGNATURAS!$B$2:$J$91,9,FALSE()),""))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IF(DATOS!$A16214="",0,IF(CONFIG_METADATA!$B$4&lt;&gt;"OR+EX",--(DATOS!$G16214=CONFIG_METADATA!$B$4),IF(DATOS!$G16214="EX",1,IF(DATOS!$G16214="OR",--(COUNTIFS(nNIA,DATOS!$A16214,nCURSO,DATOS!$D16214,nESPEC,DATOS!$E16214,nASIG,DATOS!$I16214,nEVAL,"EX")=0),0))))</f>
      </c>
      <c r="H16214">
        <f>IF(DATOS!$G16214&lt;&gt;"EX",0,--(COUNTIFS(nNIA,DATOS!$A16214,nCURSO,DATOS!$D16214,nESPEC,DATOS!$E16214,nASIG,DATOS!$I16214,nEVAL,"OR")=0))</f>
      </c>
      <c r="I16214">
        <f>IF(DATOS!$I16214="","",IFERROR(VLOOKUP(DATOS!$I16214,CONFIG_ASIGNATURAS!$B$2:$J$91,9,FALSE()),""))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IF(DATOS!$A16215="",0,IF(CONFIG_METADATA!$B$4&lt;&gt;"OR+EX",--(DATOS!$G16215=CONFIG_METADATA!$B$4),IF(DATOS!$G16215="EX",1,IF(DATOS!$G16215="OR",--(COUNTIFS(nNIA,DATOS!$A16215,nCURSO,DATOS!$D16215,nESPEC,DATOS!$E16215,nASIG,DATOS!$I16215,nEVAL,"EX")=0),0))))</f>
      </c>
      <c r="H16215">
        <f>IF(DATOS!$G16215&lt;&gt;"EX",0,--(COUNTIFS(nNIA,DATOS!$A16215,nCURSO,DATOS!$D16215,nESPEC,DATOS!$E16215,nASIG,DATOS!$I16215,nEVAL,"OR")=0))</f>
      </c>
      <c r="I16215">
        <f>IF(DATOS!$I16215="","",IFERROR(VLOOKUP(DATOS!$I16215,CONFIG_ASIGNATURAS!$B$2:$J$91,9,FALSE()),""))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IF(DATOS!$A16216="",0,IF(CONFIG_METADATA!$B$4&lt;&gt;"OR+EX",--(DATOS!$G16216=CONFIG_METADATA!$B$4),IF(DATOS!$G16216="EX",1,IF(DATOS!$G16216="OR",--(COUNTIFS(nNIA,DATOS!$A16216,nCURSO,DATOS!$D16216,nESPEC,DATOS!$E16216,nASIG,DATOS!$I16216,nEVAL,"EX")=0),0))))</f>
      </c>
      <c r="H16216">
        <f>IF(DATOS!$G16216&lt;&gt;"EX",0,--(COUNTIFS(nNIA,DATOS!$A16216,nCURSO,DATOS!$D16216,nESPEC,DATOS!$E16216,nASIG,DATOS!$I16216,nEVAL,"OR")=0))</f>
      </c>
      <c r="I16216">
        <f>IF(DATOS!$I16216="","",IFERROR(VLOOKUP(DATOS!$I16216,CONFIG_ASIGNATURAS!$B$2:$J$91,9,FALSE()),""))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IF(DATOS!$A16217="",0,IF(CONFIG_METADATA!$B$4&lt;&gt;"OR+EX",--(DATOS!$G16217=CONFIG_METADATA!$B$4),IF(DATOS!$G16217="EX",1,IF(DATOS!$G16217="OR",--(COUNTIFS(nNIA,DATOS!$A16217,nCURSO,DATOS!$D16217,nESPEC,DATOS!$E16217,nASIG,DATOS!$I16217,nEVAL,"EX")=0),0))))</f>
      </c>
      <c r="H16217">
        <f>IF(DATOS!$G16217&lt;&gt;"EX",0,--(COUNTIFS(nNIA,DATOS!$A16217,nCURSO,DATOS!$D16217,nESPEC,DATOS!$E16217,nASIG,DATOS!$I16217,nEVAL,"OR")=0))</f>
      </c>
      <c r="I16217">
        <f>IF(DATOS!$I16217="","",IFERROR(VLOOKUP(DATOS!$I16217,CONFIG_ASIGNATURAS!$B$2:$J$91,9,FALSE()),""))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IF(DATOS!$A16218="",0,IF(CONFIG_METADATA!$B$4&lt;&gt;"OR+EX",--(DATOS!$G16218=CONFIG_METADATA!$B$4),IF(DATOS!$G16218="EX",1,IF(DATOS!$G16218="OR",--(COUNTIFS(nNIA,DATOS!$A16218,nCURSO,DATOS!$D16218,nESPEC,DATOS!$E16218,nASIG,DATOS!$I16218,nEVAL,"EX")=0),0))))</f>
      </c>
      <c r="H16218">
        <f>IF(DATOS!$G16218&lt;&gt;"EX",0,--(COUNTIFS(nNIA,DATOS!$A16218,nCURSO,DATOS!$D16218,nESPEC,DATOS!$E16218,nASIG,DATOS!$I16218,nEVAL,"OR")=0))</f>
      </c>
      <c r="I16218">
        <f>IF(DATOS!$I16218="","",IFERROR(VLOOKUP(DATOS!$I16218,CONFIG_ASIGNATURAS!$B$2:$J$91,9,FALSE()),""))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IF(DATOS!$A16219="",0,IF(CONFIG_METADATA!$B$4&lt;&gt;"OR+EX",--(DATOS!$G16219=CONFIG_METADATA!$B$4),IF(DATOS!$G16219="EX",1,IF(DATOS!$G16219="OR",--(COUNTIFS(nNIA,DATOS!$A16219,nCURSO,DATOS!$D16219,nESPEC,DATOS!$E16219,nASIG,DATOS!$I16219,nEVAL,"EX")=0),0))))</f>
      </c>
      <c r="H16219">
        <f>IF(DATOS!$G16219&lt;&gt;"EX",0,--(COUNTIFS(nNIA,DATOS!$A16219,nCURSO,DATOS!$D16219,nESPEC,DATOS!$E16219,nASIG,DATOS!$I16219,nEVAL,"OR")=0))</f>
      </c>
      <c r="I16219">
        <f>IF(DATOS!$I16219="","",IFERROR(VLOOKUP(DATOS!$I16219,CONFIG_ASIGNATURAS!$B$2:$J$91,9,FALSE()),""))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IF(DATOS!$A16220="",0,IF(CONFIG_METADATA!$B$4&lt;&gt;"OR+EX",--(DATOS!$G16220=CONFIG_METADATA!$B$4),IF(DATOS!$G16220="EX",1,IF(DATOS!$G16220="OR",--(COUNTIFS(nNIA,DATOS!$A16220,nCURSO,DATOS!$D16220,nESPEC,DATOS!$E16220,nASIG,DATOS!$I16220,nEVAL,"EX")=0),0))))</f>
      </c>
      <c r="H16220">
        <f>IF(DATOS!$G16220&lt;&gt;"EX",0,--(COUNTIFS(nNIA,DATOS!$A16220,nCURSO,DATOS!$D16220,nESPEC,DATOS!$E16220,nASIG,DATOS!$I16220,nEVAL,"OR")=0))</f>
      </c>
      <c r="I16220">
        <f>IF(DATOS!$I16220="","",IFERROR(VLOOKUP(DATOS!$I16220,CONFIG_ASIGNATURAS!$B$2:$J$91,9,FALSE()),""))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IF(DATOS!$A16221="",0,IF(CONFIG_METADATA!$B$4&lt;&gt;"OR+EX",--(DATOS!$G16221=CONFIG_METADATA!$B$4),IF(DATOS!$G16221="EX",1,IF(DATOS!$G16221="OR",--(COUNTIFS(nNIA,DATOS!$A16221,nCURSO,DATOS!$D16221,nESPEC,DATOS!$E16221,nASIG,DATOS!$I16221,nEVAL,"EX")=0),0))))</f>
      </c>
      <c r="H16221">
        <f>IF(DATOS!$G16221&lt;&gt;"EX",0,--(COUNTIFS(nNIA,DATOS!$A16221,nCURSO,DATOS!$D16221,nESPEC,DATOS!$E16221,nASIG,DATOS!$I16221,nEVAL,"OR")=0))</f>
      </c>
      <c r="I16221">
        <f>IF(DATOS!$I16221="","",IFERROR(VLOOKUP(DATOS!$I16221,CONFIG_ASIGNATURAS!$B$2:$J$91,9,FALSE()),""))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IF(DATOS!$A16222="",0,IF(CONFIG_METADATA!$B$4&lt;&gt;"OR+EX",--(DATOS!$G16222=CONFIG_METADATA!$B$4),IF(DATOS!$G16222="EX",1,IF(DATOS!$G16222="OR",--(COUNTIFS(nNIA,DATOS!$A16222,nCURSO,DATOS!$D16222,nESPEC,DATOS!$E16222,nASIG,DATOS!$I16222,nEVAL,"EX")=0),0))))</f>
      </c>
      <c r="H16222">
        <f>IF(DATOS!$G16222&lt;&gt;"EX",0,--(COUNTIFS(nNIA,DATOS!$A16222,nCURSO,DATOS!$D16222,nESPEC,DATOS!$E16222,nASIG,DATOS!$I16222,nEVAL,"OR")=0))</f>
      </c>
      <c r="I16222">
        <f>IF(DATOS!$I16222="","",IFERROR(VLOOKUP(DATOS!$I16222,CONFIG_ASIGNATURAS!$B$2:$J$91,9,FALSE()),""))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IF(DATOS!$A16223="",0,IF(CONFIG_METADATA!$B$4&lt;&gt;"OR+EX",--(DATOS!$G16223=CONFIG_METADATA!$B$4),IF(DATOS!$G16223="EX",1,IF(DATOS!$G16223="OR",--(COUNTIFS(nNIA,DATOS!$A16223,nCURSO,DATOS!$D16223,nESPEC,DATOS!$E16223,nASIG,DATOS!$I16223,nEVAL,"EX")=0),0))))</f>
      </c>
      <c r="H16223">
        <f>IF(DATOS!$G16223&lt;&gt;"EX",0,--(COUNTIFS(nNIA,DATOS!$A16223,nCURSO,DATOS!$D16223,nESPEC,DATOS!$E16223,nASIG,DATOS!$I16223,nEVAL,"OR")=0))</f>
      </c>
      <c r="I16223">
        <f>IF(DATOS!$I16223="","",IFERROR(VLOOKUP(DATOS!$I16223,CONFIG_ASIGNATURAS!$B$2:$J$91,9,FALSE()),""))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IF(DATOS!$A16224="",0,IF(CONFIG_METADATA!$B$4&lt;&gt;"OR+EX",--(DATOS!$G16224=CONFIG_METADATA!$B$4),IF(DATOS!$G16224="EX",1,IF(DATOS!$G16224="OR",--(COUNTIFS(nNIA,DATOS!$A16224,nCURSO,DATOS!$D16224,nESPEC,DATOS!$E16224,nASIG,DATOS!$I16224,nEVAL,"EX")=0),0))))</f>
      </c>
      <c r="H16224">
        <f>IF(DATOS!$G16224&lt;&gt;"EX",0,--(COUNTIFS(nNIA,DATOS!$A16224,nCURSO,DATOS!$D16224,nESPEC,DATOS!$E16224,nASIG,DATOS!$I16224,nEVAL,"OR")=0))</f>
      </c>
      <c r="I16224">
        <f>IF(DATOS!$I16224="","",IFERROR(VLOOKUP(DATOS!$I16224,CONFIG_ASIGNATURAS!$B$2:$J$91,9,FALSE()),""))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IF(DATOS!$A16225="",0,IF(CONFIG_METADATA!$B$4&lt;&gt;"OR+EX",--(DATOS!$G16225=CONFIG_METADATA!$B$4),IF(DATOS!$G16225="EX",1,IF(DATOS!$G16225="OR",--(COUNTIFS(nNIA,DATOS!$A16225,nCURSO,DATOS!$D16225,nESPEC,DATOS!$E16225,nASIG,DATOS!$I16225,nEVAL,"EX")=0),0))))</f>
      </c>
      <c r="H16225">
        <f>IF(DATOS!$G16225&lt;&gt;"EX",0,--(COUNTIFS(nNIA,DATOS!$A16225,nCURSO,DATOS!$D16225,nESPEC,DATOS!$E16225,nASIG,DATOS!$I16225,nEVAL,"OR")=0))</f>
      </c>
      <c r="I16225">
        <f>IF(DATOS!$I16225="","",IFERROR(VLOOKUP(DATOS!$I16225,CONFIG_ASIGNATURAS!$B$2:$J$91,9,FALSE()),""))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IF(DATOS!$A16226="",0,IF(CONFIG_METADATA!$B$4&lt;&gt;"OR+EX",--(DATOS!$G16226=CONFIG_METADATA!$B$4),IF(DATOS!$G16226="EX",1,IF(DATOS!$G16226="OR",--(COUNTIFS(nNIA,DATOS!$A16226,nCURSO,DATOS!$D16226,nESPEC,DATOS!$E16226,nASIG,DATOS!$I16226,nEVAL,"EX")=0),0))))</f>
      </c>
      <c r="H16226">
        <f>IF(DATOS!$G16226&lt;&gt;"EX",0,--(COUNTIFS(nNIA,DATOS!$A16226,nCURSO,DATOS!$D16226,nESPEC,DATOS!$E16226,nASIG,DATOS!$I16226,nEVAL,"OR")=0))</f>
      </c>
      <c r="I16226">
        <f>IF(DATOS!$I16226="","",IFERROR(VLOOKUP(DATOS!$I16226,CONFIG_ASIGNATURAS!$B$2:$J$91,9,FALSE()),""))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IF(DATOS!$A16227="",0,IF(CONFIG_METADATA!$B$4&lt;&gt;"OR+EX",--(DATOS!$G16227=CONFIG_METADATA!$B$4),IF(DATOS!$G16227="EX",1,IF(DATOS!$G16227="OR",--(COUNTIFS(nNIA,DATOS!$A16227,nCURSO,DATOS!$D16227,nESPEC,DATOS!$E16227,nASIG,DATOS!$I16227,nEVAL,"EX")=0),0))))</f>
      </c>
      <c r="H16227">
        <f>IF(DATOS!$G16227&lt;&gt;"EX",0,--(COUNTIFS(nNIA,DATOS!$A16227,nCURSO,DATOS!$D16227,nESPEC,DATOS!$E16227,nASIG,DATOS!$I16227,nEVAL,"OR")=0))</f>
      </c>
      <c r="I16227">
        <f>IF(DATOS!$I16227="","",IFERROR(VLOOKUP(DATOS!$I16227,CONFIG_ASIGNATURAS!$B$2:$J$91,9,FALSE()),""))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IF(DATOS!$A16228="",0,IF(CONFIG_METADATA!$B$4&lt;&gt;"OR+EX",--(DATOS!$G16228=CONFIG_METADATA!$B$4),IF(DATOS!$G16228="EX",1,IF(DATOS!$G16228="OR",--(COUNTIFS(nNIA,DATOS!$A16228,nCURSO,DATOS!$D16228,nESPEC,DATOS!$E16228,nASIG,DATOS!$I16228,nEVAL,"EX")=0),0))))</f>
      </c>
      <c r="H16228">
        <f>IF(DATOS!$G16228&lt;&gt;"EX",0,--(COUNTIFS(nNIA,DATOS!$A16228,nCURSO,DATOS!$D16228,nESPEC,DATOS!$E16228,nASIG,DATOS!$I16228,nEVAL,"OR")=0))</f>
      </c>
      <c r="I16228">
        <f>IF(DATOS!$I16228="","",IFERROR(VLOOKUP(DATOS!$I16228,CONFIG_ASIGNATURAS!$B$2:$J$91,9,FALSE()),""))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IF(DATOS!$A16229="",0,IF(CONFIG_METADATA!$B$4&lt;&gt;"OR+EX",--(DATOS!$G16229=CONFIG_METADATA!$B$4),IF(DATOS!$G16229="EX",1,IF(DATOS!$G16229="OR",--(COUNTIFS(nNIA,DATOS!$A16229,nCURSO,DATOS!$D16229,nESPEC,DATOS!$E16229,nASIG,DATOS!$I16229,nEVAL,"EX")=0),0))))</f>
      </c>
      <c r="H16229">
        <f>IF(DATOS!$G16229&lt;&gt;"EX",0,--(COUNTIFS(nNIA,DATOS!$A16229,nCURSO,DATOS!$D16229,nESPEC,DATOS!$E16229,nASIG,DATOS!$I16229,nEVAL,"OR")=0))</f>
      </c>
      <c r="I16229">
        <f>IF(DATOS!$I16229="","",IFERROR(VLOOKUP(DATOS!$I16229,CONFIG_ASIGNATURAS!$B$2:$J$91,9,FALSE()),""))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IF(DATOS!$A16230="",0,IF(CONFIG_METADATA!$B$4&lt;&gt;"OR+EX",--(DATOS!$G16230=CONFIG_METADATA!$B$4),IF(DATOS!$G16230="EX",1,IF(DATOS!$G16230="OR",--(COUNTIFS(nNIA,DATOS!$A16230,nCURSO,DATOS!$D16230,nESPEC,DATOS!$E16230,nASIG,DATOS!$I16230,nEVAL,"EX")=0),0))))</f>
      </c>
      <c r="H16230">
        <f>IF(DATOS!$G16230&lt;&gt;"EX",0,--(COUNTIFS(nNIA,DATOS!$A16230,nCURSO,DATOS!$D16230,nESPEC,DATOS!$E16230,nASIG,DATOS!$I16230,nEVAL,"OR")=0))</f>
      </c>
      <c r="I16230">
        <f>IF(DATOS!$I16230="","",IFERROR(VLOOKUP(DATOS!$I16230,CONFIG_ASIGNATURAS!$B$2:$J$91,9,FALSE()),""))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IF(DATOS!$A16231="",0,IF(CONFIG_METADATA!$B$4&lt;&gt;"OR+EX",--(DATOS!$G16231=CONFIG_METADATA!$B$4),IF(DATOS!$G16231="EX",1,IF(DATOS!$G16231="OR",--(COUNTIFS(nNIA,DATOS!$A16231,nCURSO,DATOS!$D16231,nESPEC,DATOS!$E16231,nASIG,DATOS!$I16231,nEVAL,"EX")=0),0))))</f>
      </c>
      <c r="H16231">
        <f>IF(DATOS!$G16231&lt;&gt;"EX",0,--(COUNTIFS(nNIA,DATOS!$A16231,nCURSO,DATOS!$D16231,nESPEC,DATOS!$E16231,nASIG,DATOS!$I16231,nEVAL,"OR")=0))</f>
      </c>
      <c r="I16231">
        <f>IF(DATOS!$I16231="","",IFERROR(VLOOKUP(DATOS!$I16231,CONFIG_ASIGNATURAS!$B$2:$J$91,9,FALSE()),""))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IF(DATOS!$A16232="",0,IF(CONFIG_METADATA!$B$4&lt;&gt;"OR+EX",--(DATOS!$G16232=CONFIG_METADATA!$B$4),IF(DATOS!$G16232="EX",1,IF(DATOS!$G16232="OR",--(COUNTIFS(nNIA,DATOS!$A16232,nCURSO,DATOS!$D16232,nESPEC,DATOS!$E16232,nASIG,DATOS!$I16232,nEVAL,"EX")=0),0))))</f>
      </c>
      <c r="H16232">
        <f>IF(DATOS!$G16232&lt;&gt;"EX",0,--(COUNTIFS(nNIA,DATOS!$A16232,nCURSO,DATOS!$D16232,nESPEC,DATOS!$E16232,nASIG,DATOS!$I16232,nEVAL,"OR")=0))</f>
      </c>
      <c r="I16232">
        <f>IF(DATOS!$I16232="","",IFERROR(VLOOKUP(DATOS!$I16232,CONFIG_ASIGNATURAS!$B$2:$J$91,9,FALSE()),""))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IF(DATOS!$A16233="",0,IF(CONFIG_METADATA!$B$4&lt;&gt;"OR+EX",--(DATOS!$G16233=CONFIG_METADATA!$B$4),IF(DATOS!$G16233="EX",1,IF(DATOS!$G16233="OR",--(COUNTIFS(nNIA,DATOS!$A16233,nCURSO,DATOS!$D16233,nESPEC,DATOS!$E16233,nASIG,DATOS!$I16233,nEVAL,"EX")=0),0))))</f>
      </c>
      <c r="H16233">
        <f>IF(DATOS!$G16233&lt;&gt;"EX",0,--(COUNTIFS(nNIA,DATOS!$A16233,nCURSO,DATOS!$D16233,nESPEC,DATOS!$E16233,nASIG,DATOS!$I16233,nEVAL,"OR")=0))</f>
      </c>
      <c r="I16233">
        <f>IF(DATOS!$I16233="","",IFERROR(VLOOKUP(DATOS!$I16233,CONFIG_ASIGNATURAS!$B$2:$J$91,9,FALSE()),""))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IF(DATOS!$A16234="",0,IF(CONFIG_METADATA!$B$4&lt;&gt;"OR+EX",--(DATOS!$G16234=CONFIG_METADATA!$B$4),IF(DATOS!$G16234="EX",1,IF(DATOS!$G16234="OR",--(COUNTIFS(nNIA,DATOS!$A16234,nCURSO,DATOS!$D16234,nESPEC,DATOS!$E16234,nASIG,DATOS!$I16234,nEVAL,"EX")=0),0))))</f>
      </c>
      <c r="H16234">
        <f>IF(DATOS!$G16234&lt;&gt;"EX",0,--(COUNTIFS(nNIA,DATOS!$A16234,nCURSO,DATOS!$D16234,nESPEC,DATOS!$E16234,nASIG,DATOS!$I16234,nEVAL,"OR")=0))</f>
      </c>
      <c r="I16234">
        <f>IF(DATOS!$I16234="","",IFERROR(VLOOKUP(DATOS!$I16234,CONFIG_ASIGNATURAS!$B$2:$J$91,9,FALSE()),""))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IF(DATOS!$A16235="",0,IF(CONFIG_METADATA!$B$4&lt;&gt;"OR+EX",--(DATOS!$G16235=CONFIG_METADATA!$B$4),IF(DATOS!$G16235="EX",1,IF(DATOS!$G16235="OR",--(COUNTIFS(nNIA,DATOS!$A16235,nCURSO,DATOS!$D16235,nESPEC,DATOS!$E16235,nASIG,DATOS!$I16235,nEVAL,"EX")=0),0))))</f>
      </c>
      <c r="H16235">
        <f>IF(DATOS!$G16235&lt;&gt;"EX",0,--(COUNTIFS(nNIA,DATOS!$A16235,nCURSO,DATOS!$D16235,nESPEC,DATOS!$E16235,nASIG,DATOS!$I16235,nEVAL,"OR")=0))</f>
      </c>
      <c r="I16235">
        <f>IF(DATOS!$I16235="","",IFERROR(VLOOKUP(DATOS!$I16235,CONFIG_ASIGNATURAS!$B$2:$J$91,9,FALSE()),""))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IF(DATOS!$A16236="",0,IF(CONFIG_METADATA!$B$4&lt;&gt;"OR+EX",--(DATOS!$G16236=CONFIG_METADATA!$B$4),IF(DATOS!$G16236="EX",1,IF(DATOS!$G16236="OR",--(COUNTIFS(nNIA,DATOS!$A16236,nCURSO,DATOS!$D16236,nESPEC,DATOS!$E16236,nASIG,DATOS!$I16236,nEVAL,"EX")=0),0))))</f>
      </c>
      <c r="H16236">
        <f>IF(DATOS!$G16236&lt;&gt;"EX",0,--(COUNTIFS(nNIA,DATOS!$A16236,nCURSO,DATOS!$D16236,nESPEC,DATOS!$E16236,nASIG,DATOS!$I16236,nEVAL,"OR")=0))</f>
      </c>
      <c r="I16236">
        <f>IF(DATOS!$I16236="","",IFERROR(VLOOKUP(DATOS!$I16236,CONFIG_ASIGNATURAS!$B$2:$J$91,9,FALSE()),""))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IF(DATOS!$A16237="",0,IF(CONFIG_METADATA!$B$4&lt;&gt;"OR+EX",--(DATOS!$G16237=CONFIG_METADATA!$B$4),IF(DATOS!$G16237="EX",1,IF(DATOS!$G16237="OR",--(COUNTIFS(nNIA,DATOS!$A16237,nCURSO,DATOS!$D16237,nESPEC,DATOS!$E16237,nASIG,DATOS!$I16237,nEVAL,"EX")=0),0))))</f>
      </c>
      <c r="H16237">
        <f>IF(DATOS!$G16237&lt;&gt;"EX",0,--(COUNTIFS(nNIA,DATOS!$A16237,nCURSO,DATOS!$D16237,nESPEC,DATOS!$E16237,nASIG,DATOS!$I16237,nEVAL,"OR")=0))</f>
      </c>
      <c r="I16237">
        <f>IF(DATOS!$I16237="","",IFERROR(VLOOKUP(DATOS!$I16237,CONFIG_ASIGNATURAS!$B$2:$J$91,9,FALSE()),""))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IF(DATOS!$A16238="",0,IF(CONFIG_METADATA!$B$4&lt;&gt;"OR+EX",--(DATOS!$G16238=CONFIG_METADATA!$B$4),IF(DATOS!$G16238="EX",1,IF(DATOS!$G16238="OR",--(COUNTIFS(nNIA,DATOS!$A16238,nCURSO,DATOS!$D16238,nESPEC,DATOS!$E16238,nASIG,DATOS!$I16238,nEVAL,"EX")=0),0))))</f>
      </c>
      <c r="H16238">
        <f>IF(DATOS!$G16238&lt;&gt;"EX",0,--(COUNTIFS(nNIA,DATOS!$A16238,nCURSO,DATOS!$D16238,nESPEC,DATOS!$E16238,nASIG,DATOS!$I16238,nEVAL,"OR")=0))</f>
      </c>
      <c r="I16238">
        <f>IF(DATOS!$I16238="","",IFERROR(VLOOKUP(DATOS!$I16238,CONFIG_ASIGNATURAS!$B$2:$J$91,9,FALSE()),""))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IF(DATOS!$A16239="",0,IF(CONFIG_METADATA!$B$4&lt;&gt;"OR+EX",--(DATOS!$G16239=CONFIG_METADATA!$B$4),IF(DATOS!$G16239="EX",1,IF(DATOS!$G16239="OR",--(COUNTIFS(nNIA,DATOS!$A16239,nCURSO,DATOS!$D16239,nESPEC,DATOS!$E16239,nASIG,DATOS!$I16239,nEVAL,"EX")=0),0))))</f>
      </c>
      <c r="H16239">
        <f>IF(DATOS!$G16239&lt;&gt;"EX",0,--(COUNTIFS(nNIA,DATOS!$A16239,nCURSO,DATOS!$D16239,nESPEC,DATOS!$E16239,nASIG,DATOS!$I16239,nEVAL,"OR")=0))</f>
      </c>
      <c r="I16239">
        <f>IF(DATOS!$I16239="","",IFERROR(VLOOKUP(DATOS!$I16239,CONFIG_ASIGNATURAS!$B$2:$J$91,9,FALSE()),""))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IF(DATOS!$A16240="",0,IF(CONFIG_METADATA!$B$4&lt;&gt;"OR+EX",--(DATOS!$G16240=CONFIG_METADATA!$B$4),IF(DATOS!$G16240="EX",1,IF(DATOS!$G16240="OR",--(COUNTIFS(nNIA,DATOS!$A16240,nCURSO,DATOS!$D16240,nESPEC,DATOS!$E16240,nASIG,DATOS!$I16240,nEVAL,"EX")=0),0))))</f>
      </c>
      <c r="H16240">
        <f>IF(DATOS!$G16240&lt;&gt;"EX",0,--(COUNTIFS(nNIA,DATOS!$A16240,nCURSO,DATOS!$D16240,nESPEC,DATOS!$E16240,nASIG,DATOS!$I16240,nEVAL,"OR")=0))</f>
      </c>
      <c r="I16240">
        <f>IF(DATOS!$I16240="","",IFERROR(VLOOKUP(DATOS!$I16240,CONFIG_ASIGNATURAS!$B$2:$J$91,9,FALSE()),""))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IF(DATOS!$A16241="",0,IF(CONFIG_METADATA!$B$4&lt;&gt;"OR+EX",--(DATOS!$G16241=CONFIG_METADATA!$B$4),IF(DATOS!$G16241="EX",1,IF(DATOS!$G16241="OR",--(COUNTIFS(nNIA,DATOS!$A16241,nCURSO,DATOS!$D16241,nESPEC,DATOS!$E16241,nASIG,DATOS!$I16241,nEVAL,"EX")=0),0))))</f>
      </c>
      <c r="H16241">
        <f>IF(DATOS!$G16241&lt;&gt;"EX",0,--(COUNTIFS(nNIA,DATOS!$A16241,nCURSO,DATOS!$D16241,nESPEC,DATOS!$E16241,nASIG,DATOS!$I16241,nEVAL,"OR")=0))</f>
      </c>
      <c r="I16241">
        <f>IF(DATOS!$I16241="","",IFERROR(VLOOKUP(DATOS!$I16241,CONFIG_ASIGNATURAS!$B$2:$J$91,9,FALSE()),""))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IF(DATOS!$A16242="",0,IF(CONFIG_METADATA!$B$4&lt;&gt;"OR+EX",--(DATOS!$G16242=CONFIG_METADATA!$B$4),IF(DATOS!$G16242="EX",1,IF(DATOS!$G16242="OR",--(COUNTIFS(nNIA,DATOS!$A16242,nCURSO,DATOS!$D16242,nESPEC,DATOS!$E16242,nASIG,DATOS!$I16242,nEVAL,"EX")=0),0))))</f>
      </c>
      <c r="H16242">
        <f>IF(DATOS!$G16242&lt;&gt;"EX",0,--(COUNTIFS(nNIA,DATOS!$A16242,nCURSO,DATOS!$D16242,nESPEC,DATOS!$E16242,nASIG,DATOS!$I16242,nEVAL,"OR")=0))</f>
      </c>
      <c r="I16242">
        <f>IF(DATOS!$I16242="","",IFERROR(VLOOKUP(DATOS!$I16242,CONFIG_ASIGNATURAS!$B$2:$J$91,9,FALSE()),""))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IF(DATOS!$A16243="",0,IF(CONFIG_METADATA!$B$4&lt;&gt;"OR+EX",--(DATOS!$G16243=CONFIG_METADATA!$B$4),IF(DATOS!$G16243="EX",1,IF(DATOS!$G16243="OR",--(COUNTIFS(nNIA,DATOS!$A16243,nCURSO,DATOS!$D16243,nESPEC,DATOS!$E16243,nASIG,DATOS!$I16243,nEVAL,"EX")=0),0))))</f>
      </c>
      <c r="H16243">
        <f>IF(DATOS!$G16243&lt;&gt;"EX",0,--(COUNTIFS(nNIA,DATOS!$A16243,nCURSO,DATOS!$D16243,nESPEC,DATOS!$E16243,nASIG,DATOS!$I16243,nEVAL,"OR")=0))</f>
      </c>
      <c r="I16243">
        <f>IF(DATOS!$I16243="","",IFERROR(VLOOKUP(DATOS!$I16243,CONFIG_ASIGNATURAS!$B$2:$J$91,9,FALSE()),""))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IF(DATOS!$A16244="",0,IF(CONFIG_METADATA!$B$4&lt;&gt;"OR+EX",--(DATOS!$G16244=CONFIG_METADATA!$B$4),IF(DATOS!$G16244="EX",1,IF(DATOS!$G16244="OR",--(COUNTIFS(nNIA,DATOS!$A16244,nCURSO,DATOS!$D16244,nESPEC,DATOS!$E16244,nASIG,DATOS!$I16244,nEVAL,"EX")=0),0))))</f>
      </c>
      <c r="H16244">
        <f>IF(DATOS!$G16244&lt;&gt;"EX",0,--(COUNTIFS(nNIA,DATOS!$A16244,nCURSO,DATOS!$D16244,nESPEC,DATOS!$E16244,nASIG,DATOS!$I16244,nEVAL,"OR")=0))</f>
      </c>
      <c r="I16244">
        <f>IF(DATOS!$I16244="","",IFERROR(VLOOKUP(DATOS!$I16244,CONFIG_ASIGNATURAS!$B$2:$J$91,9,FALSE()),""))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IF(DATOS!$A16245="",0,IF(CONFIG_METADATA!$B$4&lt;&gt;"OR+EX",--(DATOS!$G16245=CONFIG_METADATA!$B$4),IF(DATOS!$G16245="EX",1,IF(DATOS!$G16245="OR",--(COUNTIFS(nNIA,DATOS!$A16245,nCURSO,DATOS!$D16245,nESPEC,DATOS!$E16245,nASIG,DATOS!$I16245,nEVAL,"EX")=0),0))))</f>
      </c>
      <c r="H16245">
        <f>IF(DATOS!$G16245&lt;&gt;"EX",0,--(COUNTIFS(nNIA,DATOS!$A16245,nCURSO,DATOS!$D16245,nESPEC,DATOS!$E16245,nASIG,DATOS!$I16245,nEVAL,"OR")=0))</f>
      </c>
      <c r="I16245">
        <f>IF(DATOS!$I16245="","",IFERROR(VLOOKUP(DATOS!$I16245,CONFIG_ASIGNATURAS!$B$2:$J$91,9,FALSE()),""))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IF(DATOS!$A16246="",0,IF(CONFIG_METADATA!$B$4&lt;&gt;"OR+EX",--(DATOS!$G16246=CONFIG_METADATA!$B$4),IF(DATOS!$G16246="EX",1,IF(DATOS!$G16246="OR",--(COUNTIFS(nNIA,DATOS!$A16246,nCURSO,DATOS!$D16246,nESPEC,DATOS!$E16246,nASIG,DATOS!$I16246,nEVAL,"EX")=0),0))))</f>
      </c>
      <c r="H16246">
        <f>IF(DATOS!$G16246&lt;&gt;"EX",0,--(COUNTIFS(nNIA,DATOS!$A16246,nCURSO,DATOS!$D16246,nESPEC,DATOS!$E16246,nASIG,DATOS!$I16246,nEVAL,"OR")=0))</f>
      </c>
      <c r="I16246">
        <f>IF(DATOS!$I16246="","",IFERROR(VLOOKUP(DATOS!$I16246,CONFIG_ASIGNATURAS!$B$2:$J$91,9,FALSE()),""))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IF(DATOS!$A16247="",0,IF(CONFIG_METADATA!$B$4&lt;&gt;"OR+EX",--(DATOS!$G16247=CONFIG_METADATA!$B$4),IF(DATOS!$G16247="EX",1,IF(DATOS!$G16247="OR",--(COUNTIFS(nNIA,DATOS!$A16247,nCURSO,DATOS!$D16247,nESPEC,DATOS!$E16247,nASIG,DATOS!$I16247,nEVAL,"EX")=0),0))))</f>
      </c>
      <c r="H16247">
        <f>IF(DATOS!$G16247&lt;&gt;"EX",0,--(COUNTIFS(nNIA,DATOS!$A16247,nCURSO,DATOS!$D16247,nESPEC,DATOS!$E16247,nASIG,DATOS!$I16247,nEVAL,"OR")=0))</f>
      </c>
      <c r="I16247">
        <f>IF(DATOS!$I16247="","",IFERROR(VLOOKUP(DATOS!$I16247,CONFIG_ASIGNATURAS!$B$2:$J$91,9,FALSE()),""))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IF(DATOS!$A16248="",0,IF(CONFIG_METADATA!$B$4&lt;&gt;"OR+EX",--(DATOS!$G16248=CONFIG_METADATA!$B$4),IF(DATOS!$G16248="EX",1,IF(DATOS!$G16248="OR",--(COUNTIFS(nNIA,DATOS!$A16248,nCURSO,DATOS!$D16248,nESPEC,DATOS!$E16248,nASIG,DATOS!$I16248,nEVAL,"EX")=0),0))))</f>
      </c>
      <c r="H16248">
        <f>IF(DATOS!$G16248&lt;&gt;"EX",0,--(COUNTIFS(nNIA,DATOS!$A16248,nCURSO,DATOS!$D16248,nESPEC,DATOS!$E16248,nASIG,DATOS!$I16248,nEVAL,"OR")=0))</f>
      </c>
      <c r="I16248">
        <f>IF(DATOS!$I16248="","",IFERROR(VLOOKUP(DATOS!$I16248,CONFIG_ASIGNATURAS!$B$2:$J$91,9,FALSE()),""))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IF(DATOS!$A16249="",0,IF(CONFIG_METADATA!$B$4&lt;&gt;"OR+EX",--(DATOS!$G16249=CONFIG_METADATA!$B$4),IF(DATOS!$G16249="EX",1,IF(DATOS!$G16249="OR",--(COUNTIFS(nNIA,DATOS!$A16249,nCURSO,DATOS!$D16249,nESPEC,DATOS!$E16249,nASIG,DATOS!$I16249,nEVAL,"EX")=0),0))))</f>
      </c>
      <c r="H16249">
        <f>IF(DATOS!$G16249&lt;&gt;"EX",0,--(COUNTIFS(nNIA,DATOS!$A16249,nCURSO,DATOS!$D16249,nESPEC,DATOS!$E16249,nASIG,DATOS!$I16249,nEVAL,"OR")=0))</f>
      </c>
      <c r="I16249">
        <f>IF(DATOS!$I16249="","",IFERROR(VLOOKUP(DATOS!$I16249,CONFIG_ASIGNATURAS!$B$2:$J$91,9,FALSE()),""))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IF(DATOS!$A16250="",0,IF(CONFIG_METADATA!$B$4&lt;&gt;"OR+EX",--(DATOS!$G16250=CONFIG_METADATA!$B$4),IF(DATOS!$G16250="EX",1,IF(DATOS!$G16250="OR",--(COUNTIFS(nNIA,DATOS!$A16250,nCURSO,DATOS!$D16250,nESPEC,DATOS!$E16250,nASIG,DATOS!$I16250,nEVAL,"EX")=0),0))))</f>
      </c>
      <c r="H16250">
        <f>IF(DATOS!$G16250&lt;&gt;"EX",0,--(COUNTIFS(nNIA,DATOS!$A16250,nCURSO,DATOS!$D16250,nESPEC,DATOS!$E16250,nASIG,DATOS!$I16250,nEVAL,"OR")=0))</f>
      </c>
      <c r="I16250">
        <f>IF(DATOS!$I16250="","",IFERROR(VLOOKUP(DATOS!$I16250,CONFIG_ASIGNATURAS!$B$2:$J$91,9,FALSE()),""))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IF(DATOS!$A16251="",0,IF(CONFIG_METADATA!$B$4&lt;&gt;"OR+EX",--(DATOS!$G16251=CONFIG_METADATA!$B$4),IF(DATOS!$G16251="EX",1,IF(DATOS!$G16251="OR",--(COUNTIFS(nNIA,DATOS!$A16251,nCURSO,DATOS!$D16251,nESPEC,DATOS!$E16251,nASIG,DATOS!$I16251,nEVAL,"EX")=0),0))))</f>
      </c>
      <c r="H16251">
        <f>IF(DATOS!$G16251&lt;&gt;"EX",0,--(COUNTIFS(nNIA,DATOS!$A16251,nCURSO,DATOS!$D16251,nESPEC,DATOS!$E16251,nASIG,DATOS!$I16251,nEVAL,"OR")=0))</f>
      </c>
      <c r="I16251">
        <f>IF(DATOS!$I16251="","",IFERROR(VLOOKUP(DATOS!$I16251,CONFIG_ASIGNATURAS!$B$2:$J$91,9,FALSE()),""))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IF(DATOS!$A16252="",0,IF(CONFIG_METADATA!$B$4&lt;&gt;"OR+EX",--(DATOS!$G16252=CONFIG_METADATA!$B$4),IF(DATOS!$G16252="EX",1,IF(DATOS!$G16252="OR",--(COUNTIFS(nNIA,DATOS!$A16252,nCURSO,DATOS!$D16252,nESPEC,DATOS!$E16252,nASIG,DATOS!$I16252,nEVAL,"EX")=0),0))))</f>
      </c>
      <c r="H16252">
        <f>IF(DATOS!$G16252&lt;&gt;"EX",0,--(COUNTIFS(nNIA,DATOS!$A16252,nCURSO,DATOS!$D16252,nESPEC,DATOS!$E16252,nASIG,DATOS!$I16252,nEVAL,"OR")=0))</f>
      </c>
      <c r="I16252">
        <f>IF(DATOS!$I16252="","",IFERROR(VLOOKUP(DATOS!$I16252,CONFIG_ASIGNATURAS!$B$2:$J$91,9,FALSE()),""))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IF(DATOS!$A16253="",0,IF(CONFIG_METADATA!$B$4&lt;&gt;"OR+EX",--(DATOS!$G16253=CONFIG_METADATA!$B$4),IF(DATOS!$G16253="EX",1,IF(DATOS!$G16253="OR",--(COUNTIFS(nNIA,DATOS!$A16253,nCURSO,DATOS!$D16253,nESPEC,DATOS!$E16253,nASIG,DATOS!$I16253,nEVAL,"EX")=0),0))))</f>
      </c>
      <c r="H16253">
        <f>IF(DATOS!$G16253&lt;&gt;"EX",0,--(COUNTIFS(nNIA,DATOS!$A16253,nCURSO,DATOS!$D16253,nESPEC,DATOS!$E16253,nASIG,DATOS!$I16253,nEVAL,"OR")=0))</f>
      </c>
      <c r="I16253">
        <f>IF(DATOS!$I16253="","",IFERROR(VLOOKUP(DATOS!$I16253,CONFIG_ASIGNATURAS!$B$2:$J$91,9,FALSE()),""))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IF(DATOS!$A16254="",0,IF(CONFIG_METADATA!$B$4&lt;&gt;"OR+EX",--(DATOS!$G16254=CONFIG_METADATA!$B$4),IF(DATOS!$G16254="EX",1,IF(DATOS!$G16254="OR",--(COUNTIFS(nNIA,DATOS!$A16254,nCURSO,DATOS!$D16254,nESPEC,DATOS!$E16254,nASIG,DATOS!$I16254,nEVAL,"EX")=0),0))))</f>
      </c>
      <c r="H16254">
        <f>IF(DATOS!$G16254&lt;&gt;"EX",0,--(COUNTIFS(nNIA,DATOS!$A16254,nCURSO,DATOS!$D16254,nESPEC,DATOS!$E16254,nASIG,DATOS!$I16254,nEVAL,"OR")=0))</f>
      </c>
      <c r="I16254">
        <f>IF(DATOS!$I16254="","",IFERROR(VLOOKUP(DATOS!$I16254,CONFIG_ASIGNATURAS!$B$2:$J$91,9,FALSE()),""))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IF(DATOS!$A16255="",0,IF(CONFIG_METADATA!$B$4&lt;&gt;"OR+EX",--(DATOS!$G16255=CONFIG_METADATA!$B$4),IF(DATOS!$G16255="EX",1,IF(DATOS!$G16255="OR",--(COUNTIFS(nNIA,DATOS!$A16255,nCURSO,DATOS!$D16255,nESPEC,DATOS!$E16255,nASIG,DATOS!$I16255,nEVAL,"EX")=0),0))))</f>
      </c>
      <c r="H16255">
        <f>IF(DATOS!$G16255&lt;&gt;"EX",0,--(COUNTIFS(nNIA,DATOS!$A16255,nCURSO,DATOS!$D16255,nESPEC,DATOS!$E16255,nASIG,DATOS!$I16255,nEVAL,"OR")=0))</f>
      </c>
      <c r="I16255">
        <f>IF(DATOS!$I16255="","",IFERROR(VLOOKUP(DATOS!$I16255,CONFIG_ASIGNATURAS!$B$2:$J$91,9,FALSE()),""))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IF(DATOS!$A16256="",0,IF(CONFIG_METADATA!$B$4&lt;&gt;"OR+EX",--(DATOS!$G16256=CONFIG_METADATA!$B$4),IF(DATOS!$G16256="EX",1,IF(DATOS!$G16256="OR",--(COUNTIFS(nNIA,DATOS!$A16256,nCURSO,DATOS!$D16256,nESPEC,DATOS!$E16256,nASIG,DATOS!$I16256,nEVAL,"EX")=0),0))))</f>
      </c>
      <c r="H16256">
        <f>IF(DATOS!$G16256&lt;&gt;"EX",0,--(COUNTIFS(nNIA,DATOS!$A16256,nCURSO,DATOS!$D16256,nESPEC,DATOS!$E16256,nASIG,DATOS!$I16256,nEVAL,"OR")=0))</f>
      </c>
      <c r="I16256">
        <f>IF(DATOS!$I16256="","",IFERROR(VLOOKUP(DATOS!$I16256,CONFIG_ASIGNATURAS!$B$2:$J$91,9,FALSE()),""))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IF(DATOS!$A16257="",0,IF(CONFIG_METADATA!$B$4&lt;&gt;"OR+EX",--(DATOS!$G16257=CONFIG_METADATA!$B$4),IF(DATOS!$G16257="EX",1,IF(DATOS!$G16257="OR",--(COUNTIFS(nNIA,DATOS!$A16257,nCURSO,DATOS!$D16257,nESPEC,DATOS!$E16257,nASIG,DATOS!$I16257,nEVAL,"EX")=0),0))))</f>
      </c>
      <c r="H16257">
        <f>IF(DATOS!$G16257&lt;&gt;"EX",0,--(COUNTIFS(nNIA,DATOS!$A16257,nCURSO,DATOS!$D16257,nESPEC,DATOS!$E16257,nASIG,DATOS!$I16257,nEVAL,"OR")=0))</f>
      </c>
      <c r="I16257">
        <f>IF(DATOS!$I16257="","",IFERROR(VLOOKUP(DATOS!$I16257,CONFIG_ASIGNATURAS!$B$2:$J$91,9,FALSE()),""))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IF(DATOS!$A16258="",0,IF(CONFIG_METADATA!$B$4&lt;&gt;"OR+EX",--(DATOS!$G16258=CONFIG_METADATA!$B$4),IF(DATOS!$G16258="EX",1,IF(DATOS!$G16258="OR",--(COUNTIFS(nNIA,DATOS!$A16258,nCURSO,DATOS!$D16258,nESPEC,DATOS!$E16258,nASIG,DATOS!$I16258,nEVAL,"EX")=0),0))))</f>
      </c>
      <c r="H16258">
        <f>IF(DATOS!$G16258&lt;&gt;"EX",0,--(COUNTIFS(nNIA,DATOS!$A16258,nCURSO,DATOS!$D16258,nESPEC,DATOS!$E16258,nASIG,DATOS!$I16258,nEVAL,"OR")=0))</f>
      </c>
      <c r="I16258">
        <f>IF(DATOS!$I16258="","",IFERROR(VLOOKUP(DATOS!$I16258,CONFIG_ASIGNATURAS!$B$2:$J$91,9,FALSE()),""))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IF(DATOS!$A16259="",0,IF(CONFIG_METADATA!$B$4&lt;&gt;"OR+EX",--(DATOS!$G16259=CONFIG_METADATA!$B$4),IF(DATOS!$G16259="EX",1,IF(DATOS!$G16259="OR",--(COUNTIFS(nNIA,DATOS!$A16259,nCURSO,DATOS!$D16259,nESPEC,DATOS!$E16259,nASIG,DATOS!$I16259,nEVAL,"EX")=0),0))))</f>
      </c>
      <c r="H16259">
        <f>IF(DATOS!$G16259&lt;&gt;"EX",0,--(COUNTIFS(nNIA,DATOS!$A16259,nCURSO,DATOS!$D16259,nESPEC,DATOS!$E16259,nASIG,DATOS!$I16259,nEVAL,"OR")=0))</f>
      </c>
      <c r="I16259">
        <f>IF(DATOS!$I16259="","",IFERROR(VLOOKUP(DATOS!$I16259,CONFIG_ASIGNATURAS!$B$2:$J$91,9,FALSE()),""))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IF(DATOS!$A16260="",0,IF(CONFIG_METADATA!$B$4&lt;&gt;"OR+EX",--(DATOS!$G16260=CONFIG_METADATA!$B$4),IF(DATOS!$G16260="EX",1,IF(DATOS!$G16260="OR",--(COUNTIFS(nNIA,DATOS!$A16260,nCURSO,DATOS!$D16260,nESPEC,DATOS!$E16260,nASIG,DATOS!$I16260,nEVAL,"EX")=0),0))))</f>
      </c>
      <c r="H16260">
        <f>IF(DATOS!$G16260&lt;&gt;"EX",0,--(COUNTIFS(nNIA,DATOS!$A16260,nCURSO,DATOS!$D16260,nESPEC,DATOS!$E16260,nASIG,DATOS!$I16260,nEVAL,"OR")=0))</f>
      </c>
      <c r="I16260">
        <f>IF(DATOS!$I16260="","",IFERROR(VLOOKUP(DATOS!$I16260,CONFIG_ASIGNATURAS!$B$2:$J$91,9,FALSE()),""))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IF(DATOS!$A16261="",0,IF(CONFIG_METADATA!$B$4&lt;&gt;"OR+EX",--(DATOS!$G16261=CONFIG_METADATA!$B$4),IF(DATOS!$G16261="EX",1,IF(DATOS!$G16261="OR",--(COUNTIFS(nNIA,DATOS!$A16261,nCURSO,DATOS!$D16261,nESPEC,DATOS!$E16261,nASIG,DATOS!$I16261,nEVAL,"EX")=0),0))))</f>
      </c>
      <c r="H16261">
        <f>IF(DATOS!$G16261&lt;&gt;"EX",0,--(COUNTIFS(nNIA,DATOS!$A16261,nCURSO,DATOS!$D16261,nESPEC,DATOS!$E16261,nASIG,DATOS!$I16261,nEVAL,"OR")=0))</f>
      </c>
      <c r="I16261">
        <f>IF(DATOS!$I16261="","",IFERROR(VLOOKUP(DATOS!$I16261,CONFIG_ASIGNATURAS!$B$2:$J$91,9,FALSE()),""))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IF(DATOS!$A16262="",0,IF(CONFIG_METADATA!$B$4&lt;&gt;"OR+EX",--(DATOS!$G16262=CONFIG_METADATA!$B$4),IF(DATOS!$G16262="EX",1,IF(DATOS!$G16262="OR",--(COUNTIFS(nNIA,DATOS!$A16262,nCURSO,DATOS!$D16262,nESPEC,DATOS!$E16262,nASIG,DATOS!$I16262,nEVAL,"EX")=0),0))))</f>
      </c>
      <c r="H16262">
        <f>IF(DATOS!$G16262&lt;&gt;"EX",0,--(COUNTIFS(nNIA,DATOS!$A16262,nCURSO,DATOS!$D16262,nESPEC,DATOS!$E16262,nASIG,DATOS!$I16262,nEVAL,"OR")=0))</f>
      </c>
      <c r="I16262">
        <f>IF(DATOS!$I16262="","",IFERROR(VLOOKUP(DATOS!$I16262,CONFIG_ASIGNATURAS!$B$2:$J$91,9,FALSE()),""))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IF(DATOS!$A16263="",0,IF(CONFIG_METADATA!$B$4&lt;&gt;"OR+EX",--(DATOS!$G16263=CONFIG_METADATA!$B$4),IF(DATOS!$G16263="EX",1,IF(DATOS!$G16263="OR",--(COUNTIFS(nNIA,DATOS!$A16263,nCURSO,DATOS!$D16263,nESPEC,DATOS!$E16263,nASIG,DATOS!$I16263,nEVAL,"EX")=0),0))))</f>
      </c>
      <c r="H16263">
        <f>IF(DATOS!$G16263&lt;&gt;"EX",0,--(COUNTIFS(nNIA,DATOS!$A16263,nCURSO,DATOS!$D16263,nESPEC,DATOS!$E16263,nASIG,DATOS!$I16263,nEVAL,"OR")=0))</f>
      </c>
      <c r="I16263">
        <f>IF(DATOS!$I16263="","",IFERROR(VLOOKUP(DATOS!$I16263,CONFIG_ASIGNATURAS!$B$2:$J$91,9,FALSE()),""))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IF(DATOS!$A16264="",0,IF(CONFIG_METADATA!$B$4&lt;&gt;"OR+EX",--(DATOS!$G16264=CONFIG_METADATA!$B$4),IF(DATOS!$G16264="EX",1,IF(DATOS!$G16264="OR",--(COUNTIFS(nNIA,DATOS!$A16264,nCURSO,DATOS!$D16264,nESPEC,DATOS!$E16264,nASIG,DATOS!$I16264,nEVAL,"EX")=0),0))))</f>
      </c>
      <c r="H16264">
        <f>IF(DATOS!$G16264&lt;&gt;"EX",0,--(COUNTIFS(nNIA,DATOS!$A16264,nCURSO,DATOS!$D16264,nESPEC,DATOS!$E16264,nASIG,DATOS!$I16264,nEVAL,"OR")=0))</f>
      </c>
      <c r="I16264">
        <f>IF(DATOS!$I16264="","",IFERROR(VLOOKUP(DATOS!$I16264,CONFIG_ASIGNATURAS!$B$2:$J$91,9,FALSE()),""))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IF(DATOS!$A16265="",0,IF(CONFIG_METADATA!$B$4&lt;&gt;"OR+EX",--(DATOS!$G16265=CONFIG_METADATA!$B$4),IF(DATOS!$G16265="EX",1,IF(DATOS!$G16265="OR",--(COUNTIFS(nNIA,DATOS!$A16265,nCURSO,DATOS!$D16265,nESPEC,DATOS!$E16265,nASIG,DATOS!$I16265,nEVAL,"EX")=0),0))))</f>
      </c>
      <c r="H16265">
        <f>IF(DATOS!$G16265&lt;&gt;"EX",0,--(COUNTIFS(nNIA,DATOS!$A16265,nCURSO,DATOS!$D16265,nESPEC,DATOS!$E16265,nASIG,DATOS!$I16265,nEVAL,"OR")=0))</f>
      </c>
      <c r="I16265">
        <f>IF(DATOS!$I16265="","",IFERROR(VLOOKUP(DATOS!$I16265,CONFIG_ASIGNATURAS!$B$2:$J$91,9,FALSE()),""))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IF(DATOS!$A16266="",0,IF(CONFIG_METADATA!$B$4&lt;&gt;"OR+EX",--(DATOS!$G16266=CONFIG_METADATA!$B$4),IF(DATOS!$G16266="EX",1,IF(DATOS!$G16266="OR",--(COUNTIFS(nNIA,DATOS!$A16266,nCURSO,DATOS!$D16266,nESPEC,DATOS!$E16266,nASIG,DATOS!$I16266,nEVAL,"EX")=0),0))))</f>
      </c>
      <c r="H16266">
        <f>IF(DATOS!$G16266&lt;&gt;"EX",0,--(COUNTIFS(nNIA,DATOS!$A16266,nCURSO,DATOS!$D16266,nESPEC,DATOS!$E16266,nASIG,DATOS!$I16266,nEVAL,"OR")=0))</f>
      </c>
      <c r="I16266">
        <f>IF(DATOS!$I16266="","",IFERROR(VLOOKUP(DATOS!$I16266,CONFIG_ASIGNATURAS!$B$2:$J$91,9,FALSE()),""))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IF(DATOS!$A16267="",0,IF(CONFIG_METADATA!$B$4&lt;&gt;"OR+EX",--(DATOS!$G16267=CONFIG_METADATA!$B$4),IF(DATOS!$G16267="EX",1,IF(DATOS!$G16267="OR",--(COUNTIFS(nNIA,DATOS!$A16267,nCURSO,DATOS!$D16267,nESPEC,DATOS!$E16267,nASIG,DATOS!$I16267,nEVAL,"EX")=0),0))))</f>
      </c>
      <c r="H16267">
        <f>IF(DATOS!$G16267&lt;&gt;"EX",0,--(COUNTIFS(nNIA,DATOS!$A16267,nCURSO,DATOS!$D16267,nESPEC,DATOS!$E16267,nASIG,DATOS!$I16267,nEVAL,"OR")=0))</f>
      </c>
      <c r="I16267">
        <f>IF(DATOS!$I16267="","",IFERROR(VLOOKUP(DATOS!$I16267,CONFIG_ASIGNATURAS!$B$2:$J$91,9,FALSE()),""))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IF(DATOS!$A16268="",0,IF(CONFIG_METADATA!$B$4&lt;&gt;"OR+EX",--(DATOS!$G16268=CONFIG_METADATA!$B$4),IF(DATOS!$G16268="EX",1,IF(DATOS!$G16268="OR",--(COUNTIFS(nNIA,DATOS!$A16268,nCURSO,DATOS!$D16268,nESPEC,DATOS!$E16268,nASIG,DATOS!$I16268,nEVAL,"EX")=0),0))))</f>
      </c>
      <c r="H16268">
        <f>IF(DATOS!$G16268&lt;&gt;"EX",0,--(COUNTIFS(nNIA,DATOS!$A16268,nCURSO,DATOS!$D16268,nESPEC,DATOS!$E16268,nASIG,DATOS!$I16268,nEVAL,"OR")=0))</f>
      </c>
      <c r="I16268">
        <f>IF(DATOS!$I16268="","",IFERROR(VLOOKUP(DATOS!$I16268,CONFIG_ASIGNATURAS!$B$2:$J$91,9,FALSE()),""))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IF(DATOS!$A16269="",0,IF(CONFIG_METADATA!$B$4&lt;&gt;"OR+EX",--(DATOS!$G16269=CONFIG_METADATA!$B$4),IF(DATOS!$G16269="EX",1,IF(DATOS!$G16269="OR",--(COUNTIFS(nNIA,DATOS!$A16269,nCURSO,DATOS!$D16269,nESPEC,DATOS!$E16269,nASIG,DATOS!$I16269,nEVAL,"EX")=0),0))))</f>
      </c>
      <c r="H16269">
        <f>IF(DATOS!$G16269&lt;&gt;"EX",0,--(COUNTIFS(nNIA,DATOS!$A16269,nCURSO,DATOS!$D16269,nESPEC,DATOS!$E16269,nASIG,DATOS!$I16269,nEVAL,"OR")=0))</f>
      </c>
      <c r="I16269">
        <f>IF(DATOS!$I16269="","",IFERROR(VLOOKUP(DATOS!$I16269,CONFIG_ASIGNATURAS!$B$2:$J$91,9,FALSE()),""))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IF(DATOS!$A16270="",0,IF(CONFIG_METADATA!$B$4&lt;&gt;"OR+EX",--(DATOS!$G16270=CONFIG_METADATA!$B$4),IF(DATOS!$G16270="EX",1,IF(DATOS!$G16270="OR",--(COUNTIFS(nNIA,DATOS!$A16270,nCURSO,DATOS!$D16270,nESPEC,DATOS!$E16270,nASIG,DATOS!$I16270,nEVAL,"EX")=0),0))))</f>
      </c>
      <c r="H16270">
        <f>IF(DATOS!$G16270&lt;&gt;"EX",0,--(COUNTIFS(nNIA,DATOS!$A16270,nCURSO,DATOS!$D16270,nESPEC,DATOS!$E16270,nASIG,DATOS!$I16270,nEVAL,"OR")=0))</f>
      </c>
      <c r="I16270">
        <f>IF(DATOS!$I16270="","",IFERROR(VLOOKUP(DATOS!$I16270,CONFIG_ASIGNATURAS!$B$2:$J$91,9,FALSE()),""))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IF(DATOS!$A16271="",0,IF(CONFIG_METADATA!$B$4&lt;&gt;"OR+EX",--(DATOS!$G16271=CONFIG_METADATA!$B$4),IF(DATOS!$G16271="EX",1,IF(DATOS!$G16271="OR",--(COUNTIFS(nNIA,DATOS!$A16271,nCURSO,DATOS!$D16271,nESPEC,DATOS!$E16271,nASIG,DATOS!$I16271,nEVAL,"EX")=0),0))))</f>
      </c>
      <c r="H16271">
        <f>IF(DATOS!$G16271&lt;&gt;"EX",0,--(COUNTIFS(nNIA,DATOS!$A16271,nCURSO,DATOS!$D16271,nESPEC,DATOS!$E16271,nASIG,DATOS!$I16271,nEVAL,"OR")=0))</f>
      </c>
      <c r="I16271">
        <f>IF(DATOS!$I16271="","",IFERROR(VLOOKUP(DATOS!$I16271,CONFIG_ASIGNATURAS!$B$2:$J$91,9,FALSE()),""))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IF(DATOS!$A16272="",0,IF(CONFIG_METADATA!$B$4&lt;&gt;"OR+EX",--(DATOS!$G16272=CONFIG_METADATA!$B$4),IF(DATOS!$G16272="EX",1,IF(DATOS!$G16272="OR",--(COUNTIFS(nNIA,DATOS!$A16272,nCURSO,DATOS!$D16272,nESPEC,DATOS!$E16272,nASIG,DATOS!$I16272,nEVAL,"EX")=0),0))))</f>
      </c>
      <c r="H16272">
        <f>IF(DATOS!$G16272&lt;&gt;"EX",0,--(COUNTIFS(nNIA,DATOS!$A16272,nCURSO,DATOS!$D16272,nESPEC,DATOS!$E16272,nASIG,DATOS!$I16272,nEVAL,"OR")=0))</f>
      </c>
      <c r="I16272">
        <f>IF(DATOS!$I16272="","",IFERROR(VLOOKUP(DATOS!$I16272,CONFIG_ASIGNATURAS!$B$2:$J$91,9,FALSE()),""))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IF(DATOS!$A16273="",0,IF(CONFIG_METADATA!$B$4&lt;&gt;"OR+EX",--(DATOS!$G16273=CONFIG_METADATA!$B$4),IF(DATOS!$G16273="EX",1,IF(DATOS!$G16273="OR",--(COUNTIFS(nNIA,DATOS!$A16273,nCURSO,DATOS!$D16273,nESPEC,DATOS!$E16273,nASIG,DATOS!$I16273,nEVAL,"EX")=0),0))))</f>
      </c>
      <c r="H16273">
        <f>IF(DATOS!$G16273&lt;&gt;"EX",0,--(COUNTIFS(nNIA,DATOS!$A16273,nCURSO,DATOS!$D16273,nESPEC,DATOS!$E16273,nASIG,DATOS!$I16273,nEVAL,"OR")=0))</f>
      </c>
      <c r="I16273">
        <f>IF(DATOS!$I16273="","",IFERROR(VLOOKUP(DATOS!$I16273,CONFIG_ASIGNATURAS!$B$2:$J$91,9,FALSE()),""))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IF(DATOS!$A16274="",0,IF(CONFIG_METADATA!$B$4&lt;&gt;"OR+EX",--(DATOS!$G16274=CONFIG_METADATA!$B$4),IF(DATOS!$G16274="EX",1,IF(DATOS!$G16274="OR",--(COUNTIFS(nNIA,DATOS!$A16274,nCURSO,DATOS!$D16274,nESPEC,DATOS!$E16274,nASIG,DATOS!$I16274,nEVAL,"EX")=0),0))))</f>
      </c>
      <c r="H16274">
        <f>IF(DATOS!$G16274&lt;&gt;"EX",0,--(COUNTIFS(nNIA,DATOS!$A16274,nCURSO,DATOS!$D16274,nESPEC,DATOS!$E16274,nASIG,DATOS!$I16274,nEVAL,"OR")=0))</f>
      </c>
      <c r="I16274">
        <f>IF(DATOS!$I16274="","",IFERROR(VLOOKUP(DATOS!$I16274,CONFIG_ASIGNATURAS!$B$2:$J$91,9,FALSE()),""))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IF(DATOS!$A16275="",0,IF(CONFIG_METADATA!$B$4&lt;&gt;"OR+EX",--(DATOS!$G16275=CONFIG_METADATA!$B$4),IF(DATOS!$G16275="EX",1,IF(DATOS!$G16275="OR",--(COUNTIFS(nNIA,DATOS!$A16275,nCURSO,DATOS!$D16275,nESPEC,DATOS!$E16275,nASIG,DATOS!$I16275,nEVAL,"EX")=0),0))))</f>
      </c>
      <c r="H16275">
        <f>IF(DATOS!$G16275&lt;&gt;"EX",0,--(COUNTIFS(nNIA,DATOS!$A16275,nCURSO,DATOS!$D16275,nESPEC,DATOS!$E16275,nASIG,DATOS!$I16275,nEVAL,"OR")=0))</f>
      </c>
      <c r="I16275">
        <f>IF(DATOS!$I16275="","",IFERROR(VLOOKUP(DATOS!$I16275,CONFIG_ASIGNATURAS!$B$2:$J$91,9,FALSE()),""))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IF(DATOS!$A16276="",0,IF(CONFIG_METADATA!$B$4&lt;&gt;"OR+EX",--(DATOS!$G16276=CONFIG_METADATA!$B$4),IF(DATOS!$G16276="EX",1,IF(DATOS!$G16276="OR",--(COUNTIFS(nNIA,DATOS!$A16276,nCURSO,DATOS!$D16276,nESPEC,DATOS!$E16276,nASIG,DATOS!$I16276,nEVAL,"EX")=0),0))))</f>
      </c>
      <c r="H16276">
        <f>IF(DATOS!$G16276&lt;&gt;"EX",0,--(COUNTIFS(nNIA,DATOS!$A16276,nCURSO,DATOS!$D16276,nESPEC,DATOS!$E16276,nASIG,DATOS!$I16276,nEVAL,"OR")=0))</f>
      </c>
      <c r="I16276">
        <f>IF(DATOS!$I16276="","",IFERROR(VLOOKUP(DATOS!$I16276,CONFIG_ASIGNATURAS!$B$2:$J$91,9,FALSE()),""))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IF(DATOS!$A16277="",0,IF(CONFIG_METADATA!$B$4&lt;&gt;"OR+EX",--(DATOS!$G16277=CONFIG_METADATA!$B$4),IF(DATOS!$G16277="EX",1,IF(DATOS!$G16277="OR",--(COUNTIFS(nNIA,DATOS!$A16277,nCURSO,DATOS!$D16277,nESPEC,DATOS!$E16277,nASIG,DATOS!$I16277,nEVAL,"EX")=0),0))))</f>
      </c>
      <c r="H16277">
        <f>IF(DATOS!$G16277&lt;&gt;"EX",0,--(COUNTIFS(nNIA,DATOS!$A16277,nCURSO,DATOS!$D16277,nESPEC,DATOS!$E16277,nASIG,DATOS!$I16277,nEVAL,"OR")=0))</f>
      </c>
      <c r="I16277">
        <f>IF(DATOS!$I16277="","",IFERROR(VLOOKUP(DATOS!$I16277,CONFIG_ASIGNATURAS!$B$2:$J$91,9,FALSE()),""))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IF(DATOS!$A16278="",0,IF(CONFIG_METADATA!$B$4&lt;&gt;"OR+EX",--(DATOS!$G16278=CONFIG_METADATA!$B$4),IF(DATOS!$G16278="EX",1,IF(DATOS!$G16278="OR",--(COUNTIFS(nNIA,DATOS!$A16278,nCURSO,DATOS!$D16278,nESPEC,DATOS!$E16278,nASIG,DATOS!$I16278,nEVAL,"EX")=0),0))))</f>
      </c>
      <c r="H16278">
        <f>IF(DATOS!$G16278&lt;&gt;"EX",0,--(COUNTIFS(nNIA,DATOS!$A16278,nCURSO,DATOS!$D16278,nESPEC,DATOS!$E16278,nASIG,DATOS!$I16278,nEVAL,"OR")=0))</f>
      </c>
      <c r="I16278">
        <f>IF(DATOS!$I16278="","",IFERROR(VLOOKUP(DATOS!$I16278,CONFIG_ASIGNATURAS!$B$2:$J$91,9,FALSE()),""))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IF(DATOS!$A16279="",0,IF(CONFIG_METADATA!$B$4&lt;&gt;"OR+EX",--(DATOS!$G16279=CONFIG_METADATA!$B$4),IF(DATOS!$G16279="EX",1,IF(DATOS!$G16279="OR",--(COUNTIFS(nNIA,DATOS!$A16279,nCURSO,DATOS!$D16279,nESPEC,DATOS!$E16279,nASIG,DATOS!$I16279,nEVAL,"EX")=0),0))))</f>
      </c>
      <c r="H16279">
        <f>IF(DATOS!$G16279&lt;&gt;"EX",0,--(COUNTIFS(nNIA,DATOS!$A16279,nCURSO,DATOS!$D16279,nESPEC,DATOS!$E16279,nASIG,DATOS!$I16279,nEVAL,"OR")=0))</f>
      </c>
      <c r="I16279">
        <f>IF(DATOS!$I16279="","",IFERROR(VLOOKUP(DATOS!$I16279,CONFIG_ASIGNATURAS!$B$2:$J$91,9,FALSE()),""))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IF(DATOS!$A16280="",0,IF(CONFIG_METADATA!$B$4&lt;&gt;"OR+EX",--(DATOS!$G16280=CONFIG_METADATA!$B$4),IF(DATOS!$G16280="EX",1,IF(DATOS!$G16280="OR",--(COUNTIFS(nNIA,DATOS!$A16280,nCURSO,DATOS!$D16280,nESPEC,DATOS!$E16280,nASIG,DATOS!$I16280,nEVAL,"EX")=0),0))))</f>
      </c>
      <c r="H16280">
        <f>IF(DATOS!$G16280&lt;&gt;"EX",0,--(COUNTIFS(nNIA,DATOS!$A16280,nCURSO,DATOS!$D16280,nESPEC,DATOS!$E16280,nASIG,DATOS!$I16280,nEVAL,"OR")=0))</f>
      </c>
      <c r="I16280">
        <f>IF(DATOS!$I16280="","",IFERROR(VLOOKUP(DATOS!$I16280,CONFIG_ASIGNATURAS!$B$2:$J$91,9,FALSE()),""))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IF(DATOS!$A16281="",0,IF(CONFIG_METADATA!$B$4&lt;&gt;"OR+EX",--(DATOS!$G16281=CONFIG_METADATA!$B$4),IF(DATOS!$G16281="EX",1,IF(DATOS!$G16281="OR",--(COUNTIFS(nNIA,DATOS!$A16281,nCURSO,DATOS!$D16281,nESPEC,DATOS!$E16281,nASIG,DATOS!$I16281,nEVAL,"EX")=0),0))))</f>
      </c>
      <c r="H16281">
        <f>IF(DATOS!$G16281&lt;&gt;"EX",0,--(COUNTIFS(nNIA,DATOS!$A16281,nCURSO,DATOS!$D16281,nESPEC,DATOS!$E16281,nASIG,DATOS!$I16281,nEVAL,"OR")=0))</f>
      </c>
      <c r="I16281">
        <f>IF(DATOS!$I16281="","",IFERROR(VLOOKUP(DATOS!$I16281,CONFIG_ASIGNATURAS!$B$2:$J$91,9,FALSE()),""))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IF(DATOS!$A16282="",0,IF(CONFIG_METADATA!$B$4&lt;&gt;"OR+EX",--(DATOS!$G16282=CONFIG_METADATA!$B$4),IF(DATOS!$G16282="EX",1,IF(DATOS!$G16282="OR",--(COUNTIFS(nNIA,DATOS!$A16282,nCURSO,DATOS!$D16282,nESPEC,DATOS!$E16282,nASIG,DATOS!$I16282,nEVAL,"EX")=0),0))))</f>
      </c>
      <c r="H16282">
        <f>IF(DATOS!$G16282&lt;&gt;"EX",0,--(COUNTIFS(nNIA,DATOS!$A16282,nCURSO,DATOS!$D16282,nESPEC,DATOS!$E16282,nASIG,DATOS!$I16282,nEVAL,"OR")=0))</f>
      </c>
      <c r="I16282">
        <f>IF(DATOS!$I16282="","",IFERROR(VLOOKUP(DATOS!$I16282,CONFIG_ASIGNATURAS!$B$2:$J$91,9,FALSE()),""))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IF(DATOS!$A16283="",0,IF(CONFIG_METADATA!$B$4&lt;&gt;"OR+EX",--(DATOS!$G16283=CONFIG_METADATA!$B$4),IF(DATOS!$G16283="EX",1,IF(DATOS!$G16283="OR",--(COUNTIFS(nNIA,DATOS!$A16283,nCURSO,DATOS!$D16283,nESPEC,DATOS!$E16283,nASIG,DATOS!$I16283,nEVAL,"EX")=0),0))))</f>
      </c>
      <c r="H16283">
        <f>IF(DATOS!$G16283&lt;&gt;"EX",0,--(COUNTIFS(nNIA,DATOS!$A16283,nCURSO,DATOS!$D16283,nESPEC,DATOS!$E16283,nASIG,DATOS!$I16283,nEVAL,"OR")=0))</f>
      </c>
      <c r="I16283">
        <f>IF(DATOS!$I16283="","",IFERROR(VLOOKUP(DATOS!$I16283,CONFIG_ASIGNATURAS!$B$2:$J$91,9,FALSE()),""))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IF(DATOS!$A16284="",0,IF(CONFIG_METADATA!$B$4&lt;&gt;"OR+EX",--(DATOS!$G16284=CONFIG_METADATA!$B$4),IF(DATOS!$G16284="EX",1,IF(DATOS!$G16284="OR",--(COUNTIFS(nNIA,DATOS!$A16284,nCURSO,DATOS!$D16284,nESPEC,DATOS!$E16284,nASIG,DATOS!$I16284,nEVAL,"EX")=0),0))))</f>
      </c>
      <c r="H16284">
        <f>IF(DATOS!$G16284&lt;&gt;"EX",0,--(COUNTIFS(nNIA,DATOS!$A16284,nCURSO,DATOS!$D16284,nESPEC,DATOS!$E16284,nASIG,DATOS!$I16284,nEVAL,"OR")=0))</f>
      </c>
      <c r="I16284">
        <f>IF(DATOS!$I16284="","",IFERROR(VLOOKUP(DATOS!$I16284,CONFIG_ASIGNATURAS!$B$2:$J$91,9,FALSE()),""))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IF(DATOS!$A16285="",0,IF(CONFIG_METADATA!$B$4&lt;&gt;"OR+EX",--(DATOS!$G16285=CONFIG_METADATA!$B$4),IF(DATOS!$G16285="EX",1,IF(DATOS!$G16285="OR",--(COUNTIFS(nNIA,DATOS!$A16285,nCURSO,DATOS!$D16285,nESPEC,DATOS!$E16285,nASIG,DATOS!$I16285,nEVAL,"EX")=0),0))))</f>
      </c>
      <c r="H16285">
        <f>IF(DATOS!$G16285&lt;&gt;"EX",0,--(COUNTIFS(nNIA,DATOS!$A16285,nCURSO,DATOS!$D16285,nESPEC,DATOS!$E16285,nASIG,DATOS!$I16285,nEVAL,"OR")=0))</f>
      </c>
      <c r="I16285">
        <f>IF(DATOS!$I16285="","",IFERROR(VLOOKUP(DATOS!$I16285,CONFIG_ASIGNATURAS!$B$2:$J$91,9,FALSE()),""))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IF(DATOS!$A16286="",0,IF(CONFIG_METADATA!$B$4&lt;&gt;"OR+EX",--(DATOS!$G16286=CONFIG_METADATA!$B$4),IF(DATOS!$G16286="EX",1,IF(DATOS!$G16286="OR",--(COUNTIFS(nNIA,DATOS!$A16286,nCURSO,DATOS!$D16286,nESPEC,DATOS!$E16286,nASIG,DATOS!$I16286,nEVAL,"EX")=0),0))))</f>
      </c>
      <c r="H16286">
        <f>IF(DATOS!$G16286&lt;&gt;"EX",0,--(COUNTIFS(nNIA,DATOS!$A16286,nCURSO,DATOS!$D16286,nESPEC,DATOS!$E16286,nASIG,DATOS!$I16286,nEVAL,"OR")=0))</f>
      </c>
      <c r="I16286">
        <f>IF(DATOS!$I16286="","",IFERROR(VLOOKUP(DATOS!$I16286,CONFIG_ASIGNATURAS!$B$2:$J$91,9,FALSE()),""))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IF(DATOS!$A16287="",0,IF(CONFIG_METADATA!$B$4&lt;&gt;"OR+EX",--(DATOS!$G16287=CONFIG_METADATA!$B$4),IF(DATOS!$G16287="EX",1,IF(DATOS!$G16287="OR",--(COUNTIFS(nNIA,DATOS!$A16287,nCURSO,DATOS!$D16287,nESPEC,DATOS!$E16287,nASIG,DATOS!$I16287,nEVAL,"EX")=0),0))))</f>
      </c>
      <c r="H16287">
        <f>IF(DATOS!$G16287&lt;&gt;"EX",0,--(COUNTIFS(nNIA,DATOS!$A16287,nCURSO,DATOS!$D16287,nESPEC,DATOS!$E16287,nASIG,DATOS!$I16287,nEVAL,"OR")=0))</f>
      </c>
      <c r="I16287">
        <f>IF(DATOS!$I16287="","",IFERROR(VLOOKUP(DATOS!$I16287,CONFIG_ASIGNATURAS!$B$2:$J$91,9,FALSE()),""))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IF(DATOS!$A16288="",0,IF(CONFIG_METADATA!$B$4&lt;&gt;"OR+EX",--(DATOS!$G16288=CONFIG_METADATA!$B$4),IF(DATOS!$G16288="EX",1,IF(DATOS!$G16288="OR",--(COUNTIFS(nNIA,DATOS!$A16288,nCURSO,DATOS!$D16288,nESPEC,DATOS!$E16288,nASIG,DATOS!$I16288,nEVAL,"EX")=0),0))))</f>
      </c>
      <c r="H16288">
        <f>IF(DATOS!$G16288&lt;&gt;"EX",0,--(COUNTIFS(nNIA,DATOS!$A16288,nCURSO,DATOS!$D16288,nESPEC,DATOS!$E16288,nASIG,DATOS!$I16288,nEVAL,"OR")=0))</f>
      </c>
      <c r="I16288">
        <f>IF(DATOS!$I16288="","",IFERROR(VLOOKUP(DATOS!$I16288,CONFIG_ASIGNATURAS!$B$2:$J$91,9,FALSE()),""))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IF(DATOS!$A16289="",0,IF(CONFIG_METADATA!$B$4&lt;&gt;"OR+EX",--(DATOS!$G16289=CONFIG_METADATA!$B$4),IF(DATOS!$G16289="EX",1,IF(DATOS!$G16289="OR",--(COUNTIFS(nNIA,DATOS!$A16289,nCURSO,DATOS!$D16289,nESPEC,DATOS!$E16289,nASIG,DATOS!$I16289,nEVAL,"EX")=0),0))))</f>
      </c>
      <c r="H16289">
        <f>IF(DATOS!$G16289&lt;&gt;"EX",0,--(COUNTIFS(nNIA,DATOS!$A16289,nCURSO,DATOS!$D16289,nESPEC,DATOS!$E16289,nASIG,DATOS!$I16289,nEVAL,"OR")=0))</f>
      </c>
      <c r="I16289">
        <f>IF(DATOS!$I16289="","",IFERROR(VLOOKUP(DATOS!$I16289,CONFIG_ASIGNATURAS!$B$2:$J$91,9,FALSE()),""))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IF(DATOS!$A16290="",0,IF(CONFIG_METADATA!$B$4&lt;&gt;"OR+EX",--(DATOS!$G16290=CONFIG_METADATA!$B$4),IF(DATOS!$G16290="EX",1,IF(DATOS!$G16290="OR",--(COUNTIFS(nNIA,DATOS!$A16290,nCURSO,DATOS!$D16290,nESPEC,DATOS!$E16290,nASIG,DATOS!$I16290,nEVAL,"EX")=0),0))))</f>
      </c>
      <c r="H16290">
        <f>IF(DATOS!$G16290&lt;&gt;"EX",0,--(COUNTIFS(nNIA,DATOS!$A16290,nCURSO,DATOS!$D16290,nESPEC,DATOS!$E16290,nASIG,DATOS!$I16290,nEVAL,"OR")=0))</f>
      </c>
      <c r="I16290">
        <f>IF(DATOS!$I16290="","",IFERROR(VLOOKUP(DATOS!$I16290,CONFIG_ASIGNATURAS!$B$2:$J$91,9,FALSE()),""))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IF(DATOS!$A16291="",0,IF(CONFIG_METADATA!$B$4&lt;&gt;"OR+EX",--(DATOS!$G16291=CONFIG_METADATA!$B$4),IF(DATOS!$G16291="EX",1,IF(DATOS!$G16291="OR",--(COUNTIFS(nNIA,DATOS!$A16291,nCURSO,DATOS!$D16291,nESPEC,DATOS!$E16291,nASIG,DATOS!$I16291,nEVAL,"EX")=0),0))))</f>
      </c>
      <c r="H16291">
        <f>IF(DATOS!$G16291&lt;&gt;"EX",0,--(COUNTIFS(nNIA,DATOS!$A16291,nCURSO,DATOS!$D16291,nESPEC,DATOS!$E16291,nASIG,DATOS!$I16291,nEVAL,"OR")=0))</f>
      </c>
      <c r="I16291">
        <f>IF(DATOS!$I16291="","",IFERROR(VLOOKUP(DATOS!$I16291,CONFIG_ASIGNATURAS!$B$2:$J$91,9,FALSE()),""))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IF(DATOS!$A16292="",0,IF(CONFIG_METADATA!$B$4&lt;&gt;"OR+EX",--(DATOS!$G16292=CONFIG_METADATA!$B$4),IF(DATOS!$G16292="EX",1,IF(DATOS!$G16292="OR",--(COUNTIFS(nNIA,DATOS!$A16292,nCURSO,DATOS!$D16292,nESPEC,DATOS!$E16292,nASIG,DATOS!$I16292,nEVAL,"EX")=0),0))))</f>
      </c>
      <c r="H16292">
        <f>IF(DATOS!$G16292&lt;&gt;"EX",0,--(COUNTIFS(nNIA,DATOS!$A16292,nCURSO,DATOS!$D16292,nESPEC,DATOS!$E16292,nASIG,DATOS!$I16292,nEVAL,"OR")=0))</f>
      </c>
      <c r="I16292">
        <f>IF(DATOS!$I16292="","",IFERROR(VLOOKUP(DATOS!$I16292,CONFIG_ASIGNATURAS!$B$2:$J$91,9,FALSE()),""))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IF(DATOS!$A16293="",0,IF(CONFIG_METADATA!$B$4&lt;&gt;"OR+EX",--(DATOS!$G16293=CONFIG_METADATA!$B$4),IF(DATOS!$G16293="EX",1,IF(DATOS!$G16293="OR",--(COUNTIFS(nNIA,DATOS!$A16293,nCURSO,DATOS!$D16293,nESPEC,DATOS!$E16293,nASIG,DATOS!$I16293,nEVAL,"EX")=0),0))))</f>
      </c>
      <c r="H16293">
        <f>IF(DATOS!$G16293&lt;&gt;"EX",0,--(COUNTIFS(nNIA,DATOS!$A16293,nCURSO,DATOS!$D16293,nESPEC,DATOS!$E16293,nASIG,DATOS!$I16293,nEVAL,"OR")=0))</f>
      </c>
      <c r="I16293">
        <f>IF(DATOS!$I16293="","",IFERROR(VLOOKUP(DATOS!$I16293,CONFIG_ASIGNATURAS!$B$2:$J$91,9,FALSE()),""))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IF(DATOS!$A16294="",0,IF(CONFIG_METADATA!$B$4&lt;&gt;"OR+EX",--(DATOS!$G16294=CONFIG_METADATA!$B$4),IF(DATOS!$G16294="EX",1,IF(DATOS!$G16294="OR",--(COUNTIFS(nNIA,DATOS!$A16294,nCURSO,DATOS!$D16294,nESPEC,DATOS!$E16294,nASIG,DATOS!$I16294,nEVAL,"EX")=0),0))))</f>
      </c>
      <c r="H16294">
        <f>IF(DATOS!$G16294&lt;&gt;"EX",0,--(COUNTIFS(nNIA,DATOS!$A16294,nCURSO,DATOS!$D16294,nESPEC,DATOS!$E16294,nASIG,DATOS!$I16294,nEVAL,"OR")=0))</f>
      </c>
      <c r="I16294">
        <f>IF(DATOS!$I16294="","",IFERROR(VLOOKUP(DATOS!$I16294,CONFIG_ASIGNATURAS!$B$2:$J$91,9,FALSE()),""))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IF(DATOS!$A16295="",0,IF(CONFIG_METADATA!$B$4&lt;&gt;"OR+EX",--(DATOS!$G16295=CONFIG_METADATA!$B$4),IF(DATOS!$G16295="EX",1,IF(DATOS!$G16295="OR",--(COUNTIFS(nNIA,DATOS!$A16295,nCURSO,DATOS!$D16295,nESPEC,DATOS!$E16295,nASIG,DATOS!$I16295,nEVAL,"EX")=0),0))))</f>
      </c>
      <c r="H16295">
        <f>IF(DATOS!$G16295&lt;&gt;"EX",0,--(COUNTIFS(nNIA,DATOS!$A16295,nCURSO,DATOS!$D16295,nESPEC,DATOS!$E16295,nASIG,DATOS!$I16295,nEVAL,"OR")=0))</f>
      </c>
      <c r="I16295">
        <f>IF(DATOS!$I16295="","",IFERROR(VLOOKUP(DATOS!$I16295,CONFIG_ASIGNATURAS!$B$2:$J$91,9,FALSE()),""))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IF(DATOS!$A16296="",0,IF(CONFIG_METADATA!$B$4&lt;&gt;"OR+EX",--(DATOS!$G16296=CONFIG_METADATA!$B$4),IF(DATOS!$G16296="EX",1,IF(DATOS!$G16296="OR",--(COUNTIFS(nNIA,DATOS!$A16296,nCURSO,DATOS!$D16296,nESPEC,DATOS!$E16296,nASIG,DATOS!$I16296,nEVAL,"EX")=0),0))))</f>
      </c>
      <c r="H16296">
        <f>IF(DATOS!$G16296&lt;&gt;"EX",0,--(COUNTIFS(nNIA,DATOS!$A16296,nCURSO,DATOS!$D16296,nESPEC,DATOS!$E16296,nASIG,DATOS!$I16296,nEVAL,"OR")=0))</f>
      </c>
      <c r="I16296">
        <f>IF(DATOS!$I16296="","",IFERROR(VLOOKUP(DATOS!$I16296,CONFIG_ASIGNATURAS!$B$2:$J$91,9,FALSE()),""))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IF(DATOS!$A16297="",0,IF(CONFIG_METADATA!$B$4&lt;&gt;"OR+EX",--(DATOS!$G16297=CONFIG_METADATA!$B$4),IF(DATOS!$G16297="EX",1,IF(DATOS!$G16297="OR",--(COUNTIFS(nNIA,DATOS!$A16297,nCURSO,DATOS!$D16297,nESPEC,DATOS!$E16297,nASIG,DATOS!$I16297,nEVAL,"EX")=0),0))))</f>
      </c>
      <c r="H16297">
        <f>IF(DATOS!$G16297&lt;&gt;"EX",0,--(COUNTIFS(nNIA,DATOS!$A16297,nCURSO,DATOS!$D16297,nESPEC,DATOS!$E16297,nASIG,DATOS!$I16297,nEVAL,"OR")=0))</f>
      </c>
      <c r="I16297">
        <f>IF(DATOS!$I16297="","",IFERROR(VLOOKUP(DATOS!$I16297,CONFIG_ASIGNATURAS!$B$2:$J$91,9,FALSE()),""))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IF(DATOS!$A16298="",0,IF(CONFIG_METADATA!$B$4&lt;&gt;"OR+EX",--(DATOS!$G16298=CONFIG_METADATA!$B$4),IF(DATOS!$G16298="EX",1,IF(DATOS!$G16298="OR",--(COUNTIFS(nNIA,DATOS!$A16298,nCURSO,DATOS!$D16298,nESPEC,DATOS!$E16298,nASIG,DATOS!$I16298,nEVAL,"EX")=0),0))))</f>
      </c>
      <c r="H16298">
        <f>IF(DATOS!$G16298&lt;&gt;"EX",0,--(COUNTIFS(nNIA,DATOS!$A16298,nCURSO,DATOS!$D16298,nESPEC,DATOS!$E16298,nASIG,DATOS!$I16298,nEVAL,"OR")=0))</f>
      </c>
      <c r="I16298">
        <f>IF(DATOS!$I16298="","",IFERROR(VLOOKUP(DATOS!$I16298,CONFIG_ASIGNATURAS!$B$2:$J$91,9,FALSE()),""))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IF(DATOS!$A16299="",0,IF(CONFIG_METADATA!$B$4&lt;&gt;"OR+EX",--(DATOS!$G16299=CONFIG_METADATA!$B$4),IF(DATOS!$G16299="EX",1,IF(DATOS!$G16299="OR",--(COUNTIFS(nNIA,DATOS!$A16299,nCURSO,DATOS!$D16299,nESPEC,DATOS!$E16299,nASIG,DATOS!$I16299,nEVAL,"EX")=0),0))))</f>
      </c>
      <c r="H16299">
        <f>IF(DATOS!$G16299&lt;&gt;"EX",0,--(COUNTIFS(nNIA,DATOS!$A16299,nCURSO,DATOS!$D16299,nESPEC,DATOS!$E16299,nASIG,DATOS!$I16299,nEVAL,"OR")=0))</f>
      </c>
      <c r="I16299">
        <f>IF(DATOS!$I16299="","",IFERROR(VLOOKUP(DATOS!$I16299,CONFIG_ASIGNATURAS!$B$2:$J$91,9,FALSE()),""))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IF(DATOS!$A16300="",0,IF(CONFIG_METADATA!$B$4&lt;&gt;"OR+EX",--(DATOS!$G16300=CONFIG_METADATA!$B$4),IF(DATOS!$G16300="EX",1,IF(DATOS!$G16300="OR",--(COUNTIFS(nNIA,DATOS!$A16300,nCURSO,DATOS!$D16300,nESPEC,DATOS!$E16300,nASIG,DATOS!$I16300,nEVAL,"EX")=0),0))))</f>
      </c>
      <c r="H16300">
        <f>IF(DATOS!$G16300&lt;&gt;"EX",0,--(COUNTIFS(nNIA,DATOS!$A16300,nCURSO,DATOS!$D16300,nESPEC,DATOS!$E16300,nASIG,DATOS!$I16300,nEVAL,"OR")=0))</f>
      </c>
      <c r="I16300">
        <f>IF(DATOS!$I16300="","",IFERROR(VLOOKUP(DATOS!$I16300,CONFIG_ASIGNATURAS!$B$2:$J$91,9,FALSE()),""))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IF(DATOS!$A16301="",0,IF(CONFIG_METADATA!$B$4&lt;&gt;"OR+EX",--(DATOS!$G16301=CONFIG_METADATA!$B$4),IF(DATOS!$G16301="EX",1,IF(DATOS!$G16301="OR",--(COUNTIFS(nNIA,DATOS!$A16301,nCURSO,DATOS!$D16301,nESPEC,DATOS!$E16301,nASIG,DATOS!$I16301,nEVAL,"EX")=0),0))))</f>
      </c>
      <c r="H16301">
        <f>IF(DATOS!$G16301&lt;&gt;"EX",0,--(COUNTIFS(nNIA,DATOS!$A16301,nCURSO,DATOS!$D16301,nESPEC,DATOS!$E16301,nASIG,DATOS!$I16301,nEVAL,"OR")=0))</f>
      </c>
      <c r="I16301">
        <f>IF(DATOS!$I16301="","",IFERROR(VLOOKUP(DATOS!$I16301,CONFIG_ASIGNATURAS!$B$2:$J$91,9,FALSE()),""))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IF(DATOS!$A16302="",0,IF(CONFIG_METADATA!$B$4&lt;&gt;"OR+EX",--(DATOS!$G16302=CONFIG_METADATA!$B$4),IF(DATOS!$G16302="EX",1,IF(DATOS!$G16302="OR",--(COUNTIFS(nNIA,DATOS!$A16302,nCURSO,DATOS!$D16302,nESPEC,DATOS!$E16302,nASIG,DATOS!$I16302,nEVAL,"EX")=0),0))))</f>
      </c>
      <c r="H16302">
        <f>IF(DATOS!$G16302&lt;&gt;"EX",0,--(COUNTIFS(nNIA,DATOS!$A16302,nCURSO,DATOS!$D16302,nESPEC,DATOS!$E16302,nASIG,DATOS!$I16302,nEVAL,"OR")=0))</f>
      </c>
      <c r="I16302">
        <f>IF(DATOS!$I16302="","",IFERROR(VLOOKUP(DATOS!$I16302,CONFIG_ASIGNATURAS!$B$2:$J$91,9,FALSE()),""))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IF(DATOS!$A16303="",0,IF(CONFIG_METADATA!$B$4&lt;&gt;"OR+EX",--(DATOS!$G16303=CONFIG_METADATA!$B$4),IF(DATOS!$G16303="EX",1,IF(DATOS!$G16303="OR",--(COUNTIFS(nNIA,DATOS!$A16303,nCURSO,DATOS!$D16303,nESPEC,DATOS!$E16303,nASIG,DATOS!$I16303,nEVAL,"EX")=0),0))))</f>
      </c>
      <c r="H16303">
        <f>IF(DATOS!$G16303&lt;&gt;"EX",0,--(COUNTIFS(nNIA,DATOS!$A16303,nCURSO,DATOS!$D16303,nESPEC,DATOS!$E16303,nASIG,DATOS!$I16303,nEVAL,"OR")=0))</f>
      </c>
      <c r="I16303">
        <f>IF(DATOS!$I16303="","",IFERROR(VLOOKUP(DATOS!$I16303,CONFIG_ASIGNATURAS!$B$2:$J$91,9,FALSE()),""))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IF(DATOS!$A16304="",0,IF(CONFIG_METADATA!$B$4&lt;&gt;"OR+EX",--(DATOS!$G16304=CONFIG_METADATA!$B$4),IF(DATOS!$G16304="EX",1,IF(DATOS!$G16304="OR",--(COUNTIFS(nNIA,DATOS!$A16304,nCURSO,DATOS!$D16304,nESPEC,DATOS!$E16304,nASIG,DATOS!$I16304,nEVAL,"EX")=0),0))))</f>
      </c>
      <c r="H16304">
        <f>IF(DATOS!$G16304&lt;&gt;"EX",0,--(COUNTIFS(nNIA,DATOS!$A16304,nCURSO,DATOS!$D16304,nESPEC,DATOS!$E16304,nASIG,DATOS!$I16304,nEVAL,"OR")=0))</f>
      </c>
      <c r="I16304">
        <f>IF(DATOS!$I16304="","",IFERROR(VLOOKUP(DATOS!$I16304,CONFIG_ASIGNATURAS!$B$2:$J$91,9,FALSE()),""))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IF(DATOS!$A16305="",0,IF(CONFIG_METADATA!$B$4&lt;&gt;"OR+EX",--(DATOS!$G16305=CONFIG_METADATA!$B$4),IF(DATOS!$G16305="EX",1,IF(DATOS!$G16305="OR",--(COUNTIFS(nNIA,DATOS!$A16305,nCURSO,DATOS!$D16305,nESPEC,DATOS!$E16305,nASIG,DATOS!$I16305,nEVAL,"EX")=0),0))))</f>
      </c>
      <c r="H16305">
        <f>IF(DATOS!$G16305&lt;&gt;"EX",0,--(COUNTIFS(nNIA,DATOS!$A16305,nCURSO,DATOS!$D16305,nESPEC,DATOS!$E16305,nASIG,DATOS!$I16305,nEVAL,"OR")=0))</f>
      </c>
      <c r="I16305">
        <f>IF(DATOS!$I16305="","",IFERROR(VLOOKUP(DATOS!$I16305,CONFIG_ASIGNATURAS!$B$2:$J$91,9,FALSE()),""))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IF(DATOS!$A16306="",0,IF(CONFIG_METADATA!$B$4&lt;&gt;"OR+EX",--(DATOS!$G16306=CONFIG_METADATA!$B$4),IF(DATOS!$G16306="EX",1,IF(DATOS!$G16306="OR",--(COUNTIFS(nNIA,DATOS!$A16306,nCURSO,DATOS!$D16306,nESPEC,DATOS!$E16306,nASIG,DATOS!$I16306,nEVAL,"EX")=0),0))))</f>
      </c>
      <c r="H16306">
        <f>IF(DATOS!$G16306&lt;&gt;"EX",0,--(COUNTIFS(nNIA,DATOS!$A16306,nCURSO,DATOS!$D16306,nESPEC,DATOS!$E16306,nASIG,DATOS!$I16306,nEVAL,"OR")=0))</f>
      </c>
      <c r="I16306">
        <f>IF(DATOS!$I16306="","",IFERROR(VLOOKUP(DATOS!$I16306,CONFIG_ASIGNATURAS!$B$2:$J$91,9,FALSE()),""))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IF(DATOS!$A16307="",0,IF(CONFIG_METADATA!$B$4&lt;&gt;"OR+EX",--(DATOS!$G16307=CONFIG_METADATA!$B$4),IF(DATOS!$G16307="EX",1,IF(DATOS!$G16307="OR",--(COUNTIFS(nNIA,DATOS!$A16307,nCURSO,DATOS!$D16307,nESPEC,DATOS!$E16307,nASIG,DATOS!$I16307,nEVAL,"EX")=0),0))))</f>
      </c>
      <c r="H16307">
        <f>IF(DATOS!$G16307&lt;&gt;"EX",0,--(COUNTIFS(nNIA,DATOS!$A16307,nCURSO,DATOS!$D16307,nESPEC,DATOS!$E16307,nASIG,DATOS!$I16307,nEVAL,"OR")=0))</f>
      </c>
      <c r="I16307">
        <f>IF(DATOS!$I16307="","",IFERROR(VLOOKUP(DATOS!$I16307,CONFIG_ASIGNATURAS!$B$2:$J$91,9,FALSE()),""))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IF(DATOS!$A16308="",0,IF(CONFIG_METADATA!$B$4&lt;&gt;"OR+EX",--(DATOS!$G16308=CONFIG_METADATA!$B$4),IF(DATOS!$G16308="EX",1,IF(DATOS!$G16308="OR",--(COUNTIFS(nNIA,DATOS!$A16308,nCURSO,DATOS!$D16308,nESPEC,DATOS!$E16308,nASIG,DATOS!$I16308,nEVAL,"EX")=0),0))))</f>
      </c>
      <c r="H16308">
        <f>IF(DATOS!$G16308&lt;&gt;"EX",0,--(COUNTIFS(nNIA,DATOS!$A16308,nCURSO,DATOS!$D16308,nESPEC,DATOS!$E16308,nASIG,DATOS!$I16308,nEVAL,"OR")=0))</f>
      </c>
      <c r="I16308">
        <f>IF(DATOS!$I16308="","",IFERROR(VLOOKUP(DATOS!$I16308,CONFIG_ASIGNATURAS!$B$2:$J$91,9,FALSE()),""))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IF(DATOS!$A16309="",0,IF(CONFIG_METADATA!$B$4&lt;&gt;"OR+EX",--(DATOS!$G16309=CONFIG_METADATA!$B$4),IF(DATOS!$G16309="EX",1,IF(DATOS!$G16309="OR",--(COUNTIFS(nNIA,DATOS!$A16309,nCURSO,DATOS!$D16309,nESPEC,DATOS!$E16309,nASIG,DATOS!$I16309,nEVAL,"EX")=0),0))))</f>
      </c>
      <c r="H16309">
        <f>IF(DATOS!$G16309&lt;&gt;"EX",0,--(COUNTIFS(nNIA,DATOS!$A16309,nCURSO,DATOS!$D16309,nESPEC,DATOS!$E16309,nASIG,DATOS!$I16309,nEVAL,"OR")=0))</f>
      </c>
      <c r="I16309">
        <f>IF(DATOS!$I16309="","",IFERROR(VLOOKUP(DATOS!$I16309,CONFIG_ASIGNATURAS!$B$2:$J$91,9,FALSE()),""))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IF(DATOS!$A16310="",0,IF(CONFIG_METADATA!$B$4&lt;&gt;"OR+EX",--(DATOS!$G16310=CONFIG_METADATA!$B$4),IF(DATOS!$G16310="EX",1,IF(DATOS!$G16310="OR",--(COUNTIFS(nNIA,DATOS!$A16310,nCURSO,DATOS!$D16310,nESPEC,DATOS!$E16310,nASIG,DATOS!$I16310,nEVAL,"EX")=0),0))))</f>
      </c>
      <c r="H16310">
        <f>IF(DATOS!$G16310&lt;&gt;"EX",0,--(COUNTIFS(nNIA,DATOS!$A16310,nCURSO,DATOS!$D16310,nESPEC,DATOS!$E16310,nASIG,DATOS!$I16310,nEVAL,"OR")=0))</f>
      </c>
      <c r="I16310">
        <f>IF(DATOS!$I16310="","",IFERROR(VLOOKUP(DATOS!$I16310,CONFIG_ASIGNATURAS!$B$2:$J$91,9,FALSE()),""))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IF(DATOS!$A16311="",0,IF(CONFIG_METADATA!$B$4&lt;&gt;"OR+EX",--(DATOS!$G16311=CONFIG_METADATA!$B$4),IF(DATOS!$G16311="EX",1,IF(DATOS!$G16311="OR",--(COUNTIFS(nNIA,DATOS!$A16311,nCURSO,DATOS!$D16311,nESPEC,DATOS!$E16311,nASIG,DATOS!$I16311,nEVAL,"EX")=0),0))))</f>
      </c>
      <c r="H16311">
        <f>IF(DATOS!$G16311&lt;&gt;"EX",0,--(COUNTIFS(nNIA,DATOS!$A16311,nCURSO,DATOS!$D16311,nESPEC,DATOS!$E16311,nASIG,DATOS!$I16311,nEVAL,"OR")=0))</f>
      </c>
      <c r="I16311">
        <f>IF(DATOS!$I16311="","",IFERROR(VLOOKUP(DATOS!$I16311,CONFIG_ASIGNATURAS!$B$2:$J$91,9,FALSE()),""))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IF(DATOS!$A16312="",0,IF(CONFIG_METADATA!$B$4&lt;&gt;"OR+EX",--(DATOS!$G16312=CONFIG_METADATA!$B$4),IF(DATOS!$G16312="EX",1,IF(DATOS!$G16312="OR",--(COUNTIFS(nNIA,DATOS!$A16312,nCURSO,DATOS!$D16312,nESPEC,DATOS!$E16312,nASIG,DATOS!$I16312,nEVAL,"EX")=0),0))))</f>
      </c>
      <c r="H16312">
        <f>IF(DATOS!$G16312&lt;&gt;"EX",0,--(COUNTIFS(nNIA,DATOS!$A16312,nCURSO,DATOS!$D16312,nESPEC,DATOS!$E16312,nASIG,DATOS!$I16312,nEVAL,"OR")=0))</f>
      </c>
      <c r="I16312">
        <f>IF(DATOS!$I16312="","",IFERROR(VLOOKUP(DATOS!$I16312,CONFIG_ASIGNATURAS!$B$2:$J$91,9,FALSE()),""))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IF(DATOS!$A16313="",0,IF(CONFIG_METADATA!$B$4&lt;&gt;"OR+EX",--(DATOS!$G16313=CONFIG_METADATA!$B$4),IF(DATOS!$G16313="EX",1,IF(DATOS!$G16313="OR",--(COUNTIFS(nNIA,DATOS!$A16313,nCURSO,DATOS!$D16313,nESPEC,DATOS!$E16313,nASIG,DATOS!$I16313,nEVAL,"EX")=0),0))))</f>
      </c>
      <c r="H16313">
        <f>IF(DATOS!$G16313&lt;&gt;"EX",0,--(COUNTIFS(nNIA,DATOS!$A16313,nCURSO,DATOS!$D16313,nESPEC,DATOS!$E16313,nASIG,DATOS!$I16313,nEVAL,"OR")=0))</f>
      </c>
      <c r="I16313">
        <f>IF(DATOS!$I16313="","",IFERROR(VLOOKUP(DATOS!$I16313,CONFIG_ASIGNATURAS!$B$2:$J$91,9,FALSE()),""))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IF(DATOS!$A16314="",0,IF(CONFIG_METADATA!$B$4&lt;&gt;"OR+EX",--(DATOS!$G16314=CONFIG_METADATA!$B$4),IF(DATOS!$G16314="EX",1,IF(DATOS!$G16314="OR",--(COUNTIFS(nNIA,DATOS!$A16314,nCURSO,DATOS!$D16314,nESPEC,DATOS!$E16314,nASIG,DATOS!$I16314,nEVAL,"EX")=0),0))))</f>
      </c>
      <c r="H16314">
        <f>IF(DATOS!$G16314&lt;&gt;"EX",0,--(COUNTIFS(nNIA,DATOS!$A16314,nCURSO,DATOS!$D16314,nESPEC,DATOS!$E16314,nASIG,DATOS!$I16314,nEVAL,"OR")=0))</f>
      </c>
      <c r="I16314">
        <f>IF(DATOS!$I16314="","",IFERROR(VLOOKUP(DATOS!$I16314,CONFIG_ASIGNATURAS!$B$2:$J$91,9,FALSE()),""))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IF(DATOS!$A16315="",0,IF(CONFIG_METADATA!$B$4&lt;&gt;"OR+EX",--(DATOS!$G16315=CONFIG_METADATA!$B$4),IF(DATOS!$G16315="EX",1,IF(DATOS!$G16315="OR",--(COUNTIFS(nNIA,DATOS!$A16315,nCURSO,DATOS!$D16315,nESPEC,DATOS!$E16315,nASIG,DATOS!$I16315,nEVAL,"EX")=0),0))))</f>
      </c>
      <c r="H16315">
        <f>IF(DATOS!$G16315&lt;&gt;"EX",0,--(COUNTIFS(nNIA,DATOS!$A16315,nCURSO,DATOS!$D16315,nESPEC,DATOS!$E16315,nASIG,DATOS!$I16315,nEVAL,"OR")=0))</f>
      </c>
      <c r="I16315">
        <f>IF(DATOS!$I16315="","",IFERROR(VLOOKUP(DATOS!$I16315,CONFIG_ASIGNATURAS!$B$2:$J$91,9,FALSE()),""))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IF(DATOS!$A16316="",0,IF(CONFIG_METADATA!$B$4&lt;&gt;"OR+EX",--(DATOS!$G16316=CONFIG_METADATA!$B$4),IF(DATOS!$G16316="EX",1,IF(DATOS!$G16316="OR",--(COUNTIFS(nNIA,DATOS!$A16316,nCURSO,DATOS!$D16316,nESPEC,DATOS!$E16316,nASIG,DATOS!$I16316,nEVAL,"EX")=0),0))))</f>
      </c>
      <c r="H16316">
        <f>IF(DATOS!$G16316&lt;&gt;"EX",0,--(COUNTIFS(nNIA,DATOS!$A16316,nCURSO,DATOS!$D16316,nESPEC,DATOS!$E16316,nASIG,DATOS!$I16316,nEVAL,"OR")=0))</f>
      </c>
      <c r="I16316">
        <f>IF(DATOS!$I16316="","",IFERROR(VLOOKUP(DATOS!$I16316,CONFIG_ASIGNATURAS!$B$2:$J$91,9,FALSE()),""))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IF(DATOS!$A16317="",0,IF(CONFIG_METADATA!$B$4&lt;&gt;"OR+EX",--(DATOS!$G16317=CONFIG_METADATA!$B$4),IF(DATOS!$G16317="EX",1,IF(DATOS!$G16317="OR",--(COUNTIFS(nNIA,DATOS!$A16317,nCURSO,DATOS!$D16317,nESPEC,DATOS!$E16317,nASIG,DATOS!$I16317,nEVAL,"EX")=0),0))))</f>
      </c>
      <c r="H16317">
        <f>IF(DATOS!$G16317&lt;&gt;"EX",0,--(COUNTIFS(nNIA,DATOS!$A16317,nCURSO,DATOS!$D16317,nESPEC,DATOS!$E16317,nASIG,DATOS!$I16317,nEVAL,"OR")=0))</f>
      </c>
      <c r="I16317">
        <f>IF(DATOS!$I16317="","",IFERROR(VLOOKUP(DATOS!$I16317,CONFIG_ASIGNATURAS!$B$2:$J$91,9,FALSE()),""))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IF(DATOS!$A16318="",0,IF(CONFIG_METADATA!$B$4&lt;&gt;"OR+EX",--(DATOS!$G16318=CONFIG_METADATA!$B$4),IF(DATOS!$G16318="EX",1,IF(DATOS!$G16318="OR",--(COUNTIFS(nNIA,DATOS!$A16318,nCURSO,DATOS!$D16318,nESPEC,DATOS!$E16318,nASIG,DATOS!$I16318,nEVAL,"EX")=0),0))))</f>
      </c>
      <c r="H16318">
        <f>IF(DATOS!$G16318&lt;&gt;"EX",0,--(COUNTIFS(nNIA,DATOS!$A16318,nCURSO,DATOS!$D16318,nESPEC,DATOS!$E16318,nASIG,DATOS!$I16318,nEVAL,"OR")=0))</f>
      </c>
      <c r="I16318">
        <f>IF(DATOS!$I16318="","",IFERROR(VLOOKUP(DATOS!$I16318,CONFIG_ASIGNATURAS!$B$2:$J$91,9,FALSE()),""))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IF(DATOS!$A16319="",0,IF(CONFIG_METADATA!$B$4&lt;&gt;"OR+EX",--(DATOS!$G16319=CONFIG_METADATA!$B$4),IF(DATOS!$G16319="EX",1,IF(DATOS!$G16319="OR",--(COUNTIFS(nNIA,DATOS!$A16319,nCURSO,DATOS!$D16319,nESPEC,DATOS!$E16319,nASIG,DATOS!$I16319,nEVAL,"EX")=0),0))))</f>
      </c>
      <c r="H16319">
        <f>IF(DATOS!$G16319&lt;&gt;"EX",0,--(COUNTIFS(nNIA,DATOS!$A16319,nCURSO,DATOS!$D16319,nESPEC,DATOS!$E16319,nASIG,DATOS!$I16319,nEVAL,"OR")=0))</f>
      </c>
      <c r="I16319">
        <f>IF(DATOS!$I16319="","",IFERROR(VLOOKUP(DATOS!$I16319,CONFIG_ASIGNATURAS!$B$2:$J$91,9,FALSE()),""))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IF(DATOS!$A16320="",0,IF(CONFIG_METADATA!$B$4&lt;&gt;"OR+EX",--(DATOS!$G16320=CONFIG_METADATA!$B$4),IF(DATOS!$G16320="EX",1,IF(DATOS!$G16320="OR",--(COUNTIFS(nNIA,DATOS!$A16320,nCURSO,DATOS!$D16320,nESPEC,DATOS!$E16320,nASIG,DATOS!$I16320,nEVAL,"EX")=0),0))))</f>
      </c>
      <c r="H16320">
        <f>IF(DATOS!$G16320&lt;&gt;"EX",0,--(COUNTIFS(nNIA,DATOS!$A16320,nCURSO,DATOS!$D16320,nESPEC,DATOS!$E16320,nASIG,DATOS!$I16320,nEVAL,"OR")=0))</f>
      </c>
      <c r="I16320">
        <f>IF(DATOS!$I16320="","",IFERROR(VLOOKUP(DATOS!$I16320,CONFIG_ASIGNATURAS!$B$2:$J$91,9,FALSE()),""))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IF(DATOS!$A16321="",0,IF(CONFIG_METADATA!$B$4&lt;&gt;"OR+EX",--(DATOS!$G16321=CONFIG_METADATA!$B$4),IF(DATOS!$G16321="EX",1,IF(DATOS!$G16321="OR",--(COUNTIFS(nNIA,DATOS!$A16321,nCURSO,DATOS!$D16321,nESPEC,DATOS!$E16321,nASIG,DATOS!$I16321,nEVAL,"EX")=0),0))))</f>
      </c>
      <c r="H16321">
        <f>IF(DATOS!$G16321&lt;&gt;"EX",0,--(COUNTIFS(nNIA,DATOS!$A16321,nCURSO,DATOS!$D16321,nESPEC,DATOS!$E16321,nASIG,DATOS!$I16321,nEVAL,"OR")=0))</f>
      </c>
      <c r="I16321">
        <f>IF(DATOS!$I16321="","",IFERROR(VLOOKUP(DATOS!$I16321,CONFIG_ASIGNATURAS!$B$2:$J$91,9,FALSE()),""))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IF(DATOS!$A16322="",0,IF(CONFIG_METADATA!$B$4&lt;&gt;"OR+EX",--(DATOS!$G16322=CONFIG_METADATA!$B$4),IF(DATOS!$G16322="EX",1,IF(DATOS!$G16322="OR",--(COUNTIFS(nNIA,DATOS!$A16322,nCURSO,DATOS!$D16322,nESPEC,DATOS!$E16322,nASIG,DATOS!$I16322,nEVAL,"EX")=0),0))))</f>
      </c>
      <c r="H16322">
        <f>IF(DATOS!$G16322&lt;&gt;"EX",0,--(COUNTIFS(nNIA,DATOS!$A16322,nCURSO,DATOS!$D16322,nESPEC,DATOS!$E16322,nASIG,DATOS!$I16322,nEVAL,"OR")=0))</f>
      </c>
      <c r="I16322">
        <f>IF(DATOS!$I16322="","",IFERROR(VLOOKUP(DATOS!$I16322,CONFIG_ASIGNATURAS!$B$2:$J$91,9,FALSE()),""))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IF(DATOS!$A16323="",0,IF(CONFIG_METADATA!$B$4&lt;&gt;"OR+EX",--(DATOS!$G16323=CONFIG_METADATA!$B$4),IF(DATOS!$G16323="EX",1,IF(DATOS!$G16323="OR",--(COUNTIFS(nNIA,DATOS!$A16323,nCURSO,DATOS!$D16323,nESPEC,DATOS!$E16323,nASIG,DATOS!$I16323,nEVAL,"EX")=0),0))))</f>
      </c>
      <c r="H16323">
        <f>IF(DATOS!$G16323&lt;&gt;"EX",0,--(COUNTIFS(nNIA,DATOS!$A16323,nCURSO,DATOS!$D16323,nESPEC,DATOS!$E16323,nASIG,DATOS!$I16323,nEVAL,"OR")=0))</f>
      </c>
      <c r="I16323">
        <f>IF(DATOS!$I16323="","",IFERROR(VLOOKUP(DATOS!$I16323,CONFIG_ASIGNATURAS!$B$2:$J$91,9,FALSE()),""))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IF(DATOS!$A16324="",0,IF(CONFIG_METADATA!$B$4&lt;&gt;"OR+EX",--(DATOS!$G16324=CONFIG_METADATA!$B$4),IF(DATOS!$G16324="EX",1,IF(DATOS!$G16324="OR",--(COUNTIFS(nNIA,DATOS!$A16324,nCURSO,DATOS!$D16324,nESPEC,DATOS!$E16324,nASIG,DATOS!$I16324,nEVAL,"EX")=0),0))))</f>
      </c>
      <c r="H16324">
        <f>IF(DATOS!$G16324&lt;&gt;"EX",0,--(COUNTIFS(nNIA,DATOS!$A16324,nCURSO,DATOS!$D16324,nESPEC,DATOS!$E16324,nASIG,DATOS!$I16324,nEVAL,"OR")=0))</f>
      </c>
      <c r="I16324">
        <f>IF(DATOS!$I16324="","",IFERROR(VLOOKUP(DATOS!$I16324,CONFIG_ASIGNATURAS!$B$2:$J$91,9,FALSE()),""))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IF(DATOS!$A16325="",0,IF(CONFIG_METADATA!$B$4&lt;&gt;"OR+EX",--(DATOS!$G16325=CONFIG_METADATA!$B$4),IF(DATOS!$G16325="EX",1,IF(DATOS!$G16325="OR",--(COUNTIFS(nNIA,DATOS!$A16325,nCURSO,DATOS!$D16325,nESPEC,DATOS!$E16325,nASIG,DATOS!$I16325,nEVAL,"EX")=0),0))))</f>
      </c>
      <c r="H16325">
        <f>IF(DATOS!$G16325&lt;&gt;"EX",0,--(COUNTIFS(nNIA,DATOS!$A16325,nCURSO,DATOS!$D16325,nESPEC,DATOS!$E16325,nASIG,DATOS!$I16325,nEVAL,"OR")=0))</f>
      </c>
      <c r="I16325">
        <f>IF(DATOS!$I16325="","",IFERROR(VLOOKUP(DATOS!$I16325,CONFIG_ASIGNATURAS!$B$2:$J$91,9,FALSE()),""))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IF(DATOS!$A16326="",0,IF(CONFIG_METADATA!$B$4&lt;&gt;"OR+EX",--(DATOS!$G16326=CONFIG_METADATA!$B$4),IF(DATOS!$G16326="EX",1,IF(DATOS!$G16326="OR",--(COUNTIFS(nNIA,DATOS!$A16326,nCURSO,DATOS!$D16326,nESPEC,DATOS!$E16326,nASIG,DATOS!$I16326,nEVAL,"EX")=0),0))))</f>
      </c>
      <c r="H16326">
        <f>IF(DATOS!$G16326&lt;&gt;"EX",0,--(COUNTIFS(nNIA,DATOS!$A16326,nCURSO,DATOS!$D16326,nESPEC,DATOS!$E16326,nASIG,DATOS!$I16326,nEVAL,"OR")=0))</f>
      </c>
      <c r="I16326">
        <f>IF(DATOS!$I16326="","",IFERROR(VLOOKUP(DATOS!$I16326,CONFIG_ASIGNATURAS!$B$2:$J$91,9,FALSE()),""))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IF(DATOS!$A16327="",0,IF(CONFIG_METADATA!$B$4&lt;&gt;"OR+EX",--(DATOS!$G16327=CONFIG_METADATA!$B$4),IF(DATOS!$G16327="EX",1,IF(DATOS!$G16327="OR",--(COUNTIFS(nNIA,DATOS!$A16327,nCURSO,DATOS!$D16327,nESPEC,DATOS!$E16327,nASIG,DATOS!$I16327,nEVAL,"EX")=0),0))))</f>
      </c>
      <c r="H16327">
        <f>IF(DATOS!$G16327&lt;&gt;"EX",0,--(COUNTIFS(nNIA,DATOS!$A16327,nCURSO,DATOS!$D16327,nESPEC,DATOS!$E16327,nASIG,DATOS!$I16327,nEVAL,"OR")=0))</f>
      </c>
      <c r="I16327">
        <f>IF(DATOS!$I16327="","",IFERROR(VLOOKUP(DATOS!$I16327,CONFIG_ASIGNATURAS!$B$2:$J$91,9,FALSE()),""))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IF(DATOS!$A16328="",0,IF(CONFIG_METADATA!$B$4&lt;&gt;"OR+EX",--(DATOS!$G16328=CONFIG_METADATA!$B$4),IF(DATOS!$G16328="EX",1,IF(DATOS!$G16328="OR",--(COUNTIFS(nNIA,DATOS!$A16328,nCURSO,DATOS!$D16328,nESPEC,DATOS!$E16328,nASIG,DATOS!$I16328,nEVAL,"EX")=0),0))))</f>
      </c>
      <c r="H16328">
        <f>IF(DATOS!$G16328&lt;&gt;"EX",0,--(COUNTIFS(nNIA,DATOS!$A16328,nCURSO,DATOS!$D16328,nESPEC,DATOS!$E16328,nASIG,DATOS!$I16328,nEVAL,"OR")=0))</f>
      </c>
      <c r="I16328">
        <f>IF(DATOS!$I16328="","",IFERROR(VLOOKUP(DATOS!$I16328,CONFIG_ASIGNATURAS!$B$2:$J$91,9,FALSE()),""))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IF(DATOS!$A16329="",0,IF(CONFIG_METADATA!$B$4&lt;&gt;"OR+EX",--(DATOS!$G16329=CONFIG_METADATA!$B$4),IF(DATOS!$G16329="EX",1,IF(DATOS!$G16329="OR",--(COUNTIFS(nNIA,DATOS!$A16329,nCURSO,DATOS!$D16329,nESPEC,DATOS!$E16329,nASIG,DATOS!$I16329,nEVAL,"EX")=0),0))))</f>
      </c>
      <c r="H16329">
        <f>IF(DATOS!$G16329&lt;&gt;"EX",0,--(COUNTIFS(nNIA,DATOS!$A16329,nCURSO,DATOS!$D16329,nESPEC,DATOS!$E16329,nASIG,DATOS!$I16329,nEVAL,"OR")=0))</f>
      </c>
      <c r="I16329">
        <f>IF(DATOS!$I16329="","",IFERROR(VLOOKUP(DATOS!$I16329,CONFIG_ASIGNATURAS!$B$2:$J$91,9,FALSE()),""))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IF(DATOS!$A16330="",0,IF(CONFIG_METADATA!$B$4&lt;&gt;"OR+EX",--(DATOS!$G16330=CONFIG_METADATA!$B$4),IF(DATOS!$G16330="EX",1,IF(DATOS!$G16330="OR",--(COUNTIFS(nNIA,DATOS!$A16330,nCURSO,DATOS!$D16330,nESPEC,DATOS!$E16330,nASIG,DATOS!$I16330,nEVAL,"EX")=0),0))))</f>
      </c>
      <c r="H16330">
        <f>IF(DATOS!$G16330&lt;&gt;"EX",0,--(COUNTIFS(nNIA,DATOS!$A16330,nCURSO,DATOS!$D16330,nESPEC,DATOS!$E16330,nASIG,DATOS!$I16330,nEVAL,"OR")=0))</f>
      </c>
      <c r="I16330">
        <f>IF(DATOS!$I16330="","",IFERROR(VLOOKUP(DATOS!$I16330,CONFIG_ASIGNATURAS!$B$2:$J$91,9,FALSE()),""))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IF(DATOS!$A16331="",0,IF(CONFIG_METADATA!$B$4&lt;&gt;"OR+EX",--(DATOS!$G16331=CONFIG_METADATA!$B$4),IF(DATOS!$G16331="EX",1,IF(DATOS!$G16331="OR",--(COUNTIFS(nNIA,DATOS!$A16331,nCURSO,DATOS!$D16331,nESPEC,DATOS!$E16331,nASIG,DATOS!$I16331,nEVAL,"EX")=0),0))))</f>
      </c>
      <c r="H16331">
        <f>IF(DATOS!$G16331&lt;&gt;"EX",0,--(COUNTIFS(nNIA,DATOS!$A16331,nCURSO,DATOS!$D16331,nESPEC,DATOS!$E16331,nASIG,DATOS!$I16331,nEVAL,"OR")=0))</f>
      </c>
      <c r="I16331">
        <f>IF(DATOS!$I16331="","",IFERROR(VLOOKUP(DATOS!$I16331,CONFIG_ASIGNATURAS!$B$2:$J$91,9,FALSE()),""))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IF(DATOS!$A16332="",0,IF(CONFIG_METADATA!$B$4&lt;&gt;"OR+EX",--(DATOS!$G16332=CONFIG_METADATA!$B$4),IF(DATOS!$G16332="EX",1,IF(DATOS!$G16332="OR",--(COUNTIFS(nNIA,DATOS!$A16332,nCURSO,DATOS!$D16332,nESPEC,DATOS!$E16332,nASIG,DATOS!$I16332,nEVAL,"EX")=0),0))))</f>
      </c>
      <c r="H16332">
        <f>IF(DATOS!$G16332&lt;&gt;"EX",0,--(COUNTIFS(nNIA,DATOS!$A16332,nCURSO,DATOS!$D16332,nESPEC,DATOS!$E16332,nASIG,DATOS!$I16332,nEVAL,"OR")=0))</f>
      </c>
      <c r="I16332">
        <f>IF(DATOS!$I16332="","",IFERROR(VLOOKUP(DATOS!$I16332,CONFIG_ASIGNATURAS!$B$2:$J$91,9,FALSE()),""))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IF(DATOS!$A16333="",0,IF(CONFIG_METADATA!$B$4&lt;&gt;"OR+EX",--(DATOS!$G16333=CONFIG_METADATA!$B$4),IF(DATOS!$G16333="EX",1,IF(DATOS!$G16333="OR",--(COUNTIFS(nNIA,DATOS!$A16333,nCURSO,DATOS!$D16333,nESPEC,DATOS!$E16333,nASIG,DATOS!$I16333,nEVAL,"EX")=0),0))))</f>
      </c>
      <c r="H16333">
        <f>IF(DATOS!$G16333&lt;&gt;"EX",0,--(COUNTIFS(nNIA,DATOS!$A16333,nCURSO,DATOS!$D16333,nESPEC,DATOS!$E16333,nASIG,DATOS!$I16333,nEVAL,"OR")=0))</f>
      </c>
      <c r="I16333">
        <f>IF(DATOS!$I16333="","",IFERROR(VLOOKUP(DATOS!$I16333,CONFIG_ASIGNATURAS!$B$2:$J$91,9,FALSE()),""))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IF(DATOS!$A16334="",0,IF(CONFIG_METADATA!$B$4&lt;&gt;"OR+EX",--(DATOS!$G16334=CONFIG_METADATA!$B$4),IF(DATOS!$G16334="EX",1,IF(DATOS!$G16334="OR",--(COUNTIFS(nNIA,DATOS!$A16334,nCURSO,DATOS!$D16334,nESPEC,DATOS!$E16334,nASIG,DATOS!$I16334,nEVAL,"EX")=0),0))))</f>
      </c>
      <c r="H16334">
        <f>IF(DATOS!$G16334&lt;&gt;"EX",0,--(COUNTIFS(nNIA,DATOS!$A16334,nCURSO,DATOS!$D16334,nESPEC,DATOS!$E16334,nASIG,DATOS!$I16334,nEVAL,"OR")=0))</f>
      </c>
      <c r="I16334">
        <f>IF(DATOS!$I16334="","",IFERROR(VLOOKUP(DATOS!$I16334,CONFIG_ASIGNATURAS!$B$2:$J$91,9,FALSE()),""))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IF(DATOS!$A16335="",0,IF(CONFIG_METADATA!$B$4&lt;&gt;"OR+EX",--(DATOS!$G16335=CONFIG_METADATA!$B$4),IF(DATOS!$G16335="EX",1,IF(DATOS!$G16335="OR",--(COUNTIFS(nNIA,DATOS!$A16335,nCURSO,DATOS!$D16335,nESPEC,DATOS!$E16335,nASIG,DATOS!$I16335,nEVAL,"EX")=0),0))))</f>
      </c>
      <c r="H16335">
        <f>IF(DATOS!$G16335&lt;&gt;"EX",0,--(COUNTIFS(nNIA,DATOS!$A16335,nCURSO,DATOS!$D16335,nESPEC,DATOS!$E16335,nASIG,DATOS!$I16335,nEVAL,"OR")=0))</f>
      </c>
      <c r="I16335">
        <f>IF(DATOS!$I16335="","",IFERROR(VLOOKUP(DATOS!$I16335,CONFIG_ASIGNATURAS!$B$2:$J$91,9,FALSE()),""))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IF(DATOS!$A16336="",0,IF(CONFIG_METADATA!$B$4&lt;&gt;"OR+EX",--(DATOS!$G16336=CONFIG_METADATA!$B$4),IF(DATOS!$G16336="EX",1,IF(DATOS!$G16336="OR",--(COUNTIFS(nNIA,DATOS!$A16336,nCURSO,DATOS!$D16336,nESPEC,DATOS!$E16336,nASIG,DATOS!$I16336,nEVAL,"EX")=0),0))))</f>
      </c>
      <c r="H16336">
        <f>IF(DATOS!$G16336&lt;&gt;"EX",0,--(COUNTIFS(nNIA,DATOS!$A16336,nCURSO,DATOS!$D16336,nESPEC,DATOS!$E16336,nASIG,DATOS!$I16336,nEVAL,"OR")=0))</f>
      </c>
      <c r="I16336">
        <f>IF(DATOS!$I16336="","",IFERROR(VLOOKUP(DATOS!$I16336,CONFIG_ASIGNATURAS!$B$2:$J$91,9,FALSE()),""))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IF(DATOS!$A16337="",0,IF(CONFIG_METADATA!$B$4&lt;&gt;"OR+EX",--(DATOS!$G16337=CONFIG_METADATA!$B$4),IF(DATOS!$G16337="EX",1,IF(DATOS!$G16337="OR",--(COUNTIFS(nNIA,DATOS!$A16337,nCURSO,DATOS!$D16337,nESPEC,DATOS!$E16337,nASIG,DATOS!$I16337,nEVAL,"EX")=0),0))))</f>
      </c>
      <c r="H16337">
        <f>IF(DATOS!$G16337&lt;&gt;"EX",0,--(COUNTIFS(nNIA,DATOS!$A16337,nCURSO,DATOS!$D16337,nESPEC,DATOS!$E16337,nASIG,DATOS!$I16337,nEVAL,"OR")=0))</f>
      </c>
      <c r="I16337">
        <f>IF(DATOS!$I16337="","",IFERROR(VLOOKUP(DATOS!$I16337,CONFIG_ASIGNATURAS!$B$2:$J$91,9,FALSE()),""))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IF(DATOS!$A16338="",0,IF(CONFIG_METADATA!$B$4&lt;&gt;"OR+EX",--(DATOS!$G16338=CONFIG_METADATA!$B$4),IF(DATOS!$G16338="EX",1,IF(DATOS!$G16338="OR",--(COUNTIFS(nNIA,DATOS!$A16338,nCURSO,DATOS!$D16338,nESPEC,DATOS!$E16338,nASIG,DATOS!$I16338,nEVAL,"EX")=0),0))))</f>
      </c>
      <c r="H16338">
        <f>IF(DATOS!$G16338&lt;&gt;"EX",0,--(COUNTIFS(nNIA,DATOS!$A16338,nCURSO,DATOS!$D16338,nESPEC,DATOS!$E16338,nASIG,DATOS!$I16338,nEVAL,"OR")=0))</f>
      </c>
      <c r="I16338">
        <f>IF(DATOS!$I16338="","",IFERROR(VLOOKUP(DATOS!$I16338,CONFIG_ASIGNATURAS!$B$2:$J$91,9,FALSE()),""))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IF(DATOS!$A16339="",0,IF(CONFIG_METADATA!$B$4&lt;&gt;"OR+EX",--(DATOS!$G16339=CONFIG_METADATA!$B$4),IF(DATOS!$G16339="EX",1,IF(DATOS!$G16339="OR",--(COUNTIFS(nNIA,DATOS!$A16339,nCURSO,DATOS!$D16339,nESPEC,DATOS!$E16339,nASIG,DATOS!$I16339,nEVAL,"EX")=0),0))))</f>
      </c>
      <c r="H16339">
        <f>IF(DATOS!$G16339&lt;&gt;"EX",0,--(COUNTIFS(nNIA,DATOS!$A16339,nCURSO,DATOS!$D16339,nESPEC,DATOS!$E16339,nASIG,DATOS!$I16339,nEVAL,"OR")=0))</f>
      </c>
      <c r="I16339">
        <f>IF(DATOS!$I16339="","",IFERROR(VLOOKUP(DATOS!$I16339,CONFIG_ASIGNATURAS!$B$2:$J$91,9,FALSE()),""))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IF(DATOS!$A16340="",0,IF(CONFIG_METADATA!$B$4&lt;&gt;"OR+EX",--(DATOS!$G16340=CONFIG_METADATA!$B$4),IF(DATOS!$G16340="EX",1,IF(DATOS!$G16340="OR",--(COUNTIFS(nNIA,DATOS!$A16340,nCURSO,DATOS!$D16340,nESPEC,DATOS!$E16340,nASIG,DATOS!$I16340,nEVAL,"EX")=0),0))))</f>
      </c>
      <c r="H16340">
        <f>IF(DATOS!$G16340&lt;&gt;"EX",0,--(COUNTIFS(nNIA,DATOS!$A16340,nCURSO,DATOS!$D16340,nESPEC,DATOS!$E16340,nASIG,DATOS!$I16340,nEVAL,"OR")=0))</f>
      </c>
      <c r="I16340">
        <f>IF(DATOS!$I16340="","",IFERROR(VLOOKUP(DATOS!$I16340,CONFIG_ASIGNATURAS!$B$2:$J$91,9,FALSE()),""))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IF(DATOS!$A16341="",0,IF(CONFIG_METADATA!$B$4&lt;&gt;"OR+EX",--(DATOS!$G16341=CONFIG_METADATA!$B$4),IF(DATOS!$G16341="EX",1,IF(DATOS!$G16341="OR",--(COUNTIFS(nNIA,DATOS!$A16341,nCURSO,DATOS!$D16341,nESPEC,DATOS!$E16341,nASIG,DATOS!$I16341,nEVAL,"EX")=0),0))))</f>
      </c>
      <c r="H16341">
        <f>IF(DATOS!$G16341&lt;&gt;"EX",0,--(COUNTIFS(nNIA,DATOS!$A16341,nCURSO,DATOS!$D16341,nESPEC,DATOS!$E16341,nASIG,DATOS!$I16341,nEVAL,"OR")=0))</f>
      </c>
      <c r="I16341">
        <f>IF(DATOS!$I16341="","",IFERROR(VLOOKUP(DATOS!$I16341,CONFIG_ASIGNATURAS!$B$2:$J$91,9,FALSE()),""))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IF(DATOS!$A16342="",0,IF(CONFIG_METADATA!$B$4&lt;&gt;"OR+EX",--(DATOS!$G16342=CONFIG_METADATA!$B$4),IF(DATOS!$G16342="EX",1,IF(DATOS!$G16342="OR",--(COUNTIFS(nNIA,DATOS!$A16342,nCURSO,DATOS!$D16342,nESPEC,DATOS!$E16342,nASIG,DATOS!$I16342,nEVAL,"EX")=0),0))))</f>
      </c>
      <c r="H16342">
        <f>IF(DATOS!$G16342&lt;&gt;"EX",0,--(COUNTIFS(nNIA,DATOS!$A16342,nCURSO,DATOS!$D16342,nESPEC,DATOS!$E16342,nASIG,DATOS!$I16342,nEVAL,"OR")=0))</f>
      </c>
      <c r="I16342">
        <f>IF(DATOS!$I16342="","",IFERROR(VLOOKUP(DATOS!$I16342,CONFIG_ASIGNATURAS!$B$2:$J$91,9,FALSE()),""))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IF(DATOS!$A16343="",0,IF(CONFIG_METADATA!$B$4&lt;&gt;"OR+EX",--(DATOS!$G16343=CONFIG_METADATA!$B$4),IF(DATOS!$G16343="EX",1,IF(DATOS!$G16343="OR",--(COUNTIFS(nNIA,DATOS!$A16343,nCURSO,DATOS!$D16343,nESPEC,DATOS!$E16343,nASIG,DATOS!$I16343,nEVAL,"EX")=0),0))))</f>
      </c>
      <c r="H16343">
        <f>IF(DATOS!$G16343&lt;&gt;"EX",0,--(COUNTIFS(nNIA,DATOS!$A16343,nCURSO,DATOS!$D16343,nESPEC,DATOS!$E16343,nASIG,DATOS!$I16343,nEVAL,"OR")=0))</f>
      </c>
      <c r="I16343">
        <f>IF(DATOS!$I16343="","",IFERROR(VLOOKUP(DATOS!$I16343,CONFIG_ASIGNATURAS!$B$2:$J$91,9,FALSE()),""))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IF(DATOS!$A16344="",0,IF(CONFIG_METADATA!$B$4&lt;&gt;"OR+EX",--(DATOS!$G16344=CONFIG_METADATA!$B$4),IF(DATOS!$G16344="EX",1,IF(DATOS!$G16344="OR",--(COUNTIFS(nNIA,DATOS!$A16344,nCURSO,DATOS!$D16344,nESPEC,DATOS!$E16344,nASIG,DATOS!$I16344,nEVAL,"EX")=0),0))))</f>
      </c>
      <c r="H16344">
        <f>IF(DATOS!$G16344&lt;&gt;"EX",0,--(COUNTIFS(nNIA,DATOS!$A16344,nCURSO,DATOS!$D16344,nESPEC,DATOS!$E16344,nASIG,DATOS!$I16344,nEVAL,"OR")=0))</f>
      </c>
      <c r="I16344">
        <f>IF(DATOS!$I16344="","",IFERROR(VLOOKUP(DATOS!$I16344,CONFIG_ASIGNATURAS!$B$2:$J$91,9,FALSE()),""))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IF(DATOS!$A16345="",0,IF(CONFIG_METADATA!$B$4&lt;&gt;"OR+EX",--(DATOS!$G16345=CONFIG_METADATA!$B$4),IF(DATOS!$G16345="EX",1,IF(DATOS!$G16345="OR",--(COUNTIFS(nNIA,DATOS!$A16345,nCURSO,DATOS!$D16345,nESPEC,DATOS!$E16345,nASIG,DATOS!$I16345,nEVAL,"EX")=0),0))))</f>
      </c>
      <c r="H16345">
        <f>IF(DATOS!$G16345&lt;&gt;"EX",0,--(COUNTIFS(nNIA,DATOS!$A16345,nCURSO,DATOS!$D16345,nESPEC,DATOS!$E16345,nASIG,DATOS!$I16345,nEVAL,"OR")=0))</f>
      </c>
      <c r="I16345">
        <f>IF(DATOS!$I16345="","",IFERROR(VLOOKUP(DATOS!$I16345,CONFIG_ASIGNATURAS!$B$2:$J$91,9,FALSE()),""))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IF(DATOS!$A16346="",0,IF(CONFIG_METADATA!$B$4&lt;&gt;"OR+EX",--(DATOS!$G16346=CONFIG_METADATA!$B$4),IF(DATOS!$G16346="EX",1,IF(DATOS!$G16346="OR",--(COUNTIFS(nNIA,DATOS!$A16346,nCURSO,DATOS!$D16346,nESPEC,DATOS!$E16346,nASIG,DATOS!$I16346,nEVAL,"EX")=0),0))))</f>
      </c>
      <c r="H16346">
        <f>IF(DATOS!$G16346&lt;&gt;"EX",0,--(COUNTIFS(nNIA,DATOS!$A16346,nCURSO,DATOS!$D16346,nESPEC,DATOS!$E16346,nASIG,DATOS!$I16346,nEVAL,"OR")=0))</f>
      </c>
      <c r="I16346">
        <f>IF(DATOS!$I16346="","",IFERROR(VLOOKUP(DATOS!$I16346,CONFIG_ASIGNATURAS!$B$2:$J$91,9,FALSE()),""))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IF(DATOS!$A16347="",0,IF(CONFIG_METADATA!$B$4&lt;&gt;"OR+EX",--(DATOS!$G16347=CONFIG_METADATA!$B$4),IF(DATOS!$G16347="EX",1,IF(DATOS!$G16347="OR",--(COUNTIFS(nNIA,DATOS!$A16347,nCURSO,DATOS!$D16347,nESPEC,DATOS!$E16347,nASIG,DATOS!$I16347,nEVAL,"EX")=0),0))))</f>
      </c>
      <c r="H16347">
        <f>IF(DATOS!$G16347&lt;&gt;"EX",0,--(COUNTIFS(nNIA,DATOS!$A16347,nCURSO,DATOS!$D16347,nESPEC,DATOS!$E16347,nASIG,DATOS!$I16347,nEVAL,"OR")=0))</f>
      </c>
      <c r="I16347">
        <f>IF(DATOS!$I16347="","",IFERROR(VLOOKUP(DATOS!$I16347,CONFIG_ASIGNATURAS!$B$2:$J$91,9,FALSE()),""))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IF(DATOS!$A16348="",0,IF(CONFIG_METADATA!$B$4&lt;&gt;"OR+EX",--(DATOS!$G16348=CONFIG_METADATA!$B$4),IF(DATOS!$G16348="EX",1,IF(DATOS!$G16348="OR",--(COUNTIFS(nNIA,DATOS!$A16348,nCURSO,DATOS!$D16348,nESPEC,DATOS!$E16348,nASIG,DATOS!$I16348,nEVAL,"EX")=0),0))))</f>
      </c>
      <c r="H16348">
        <f>IF(DATOS!$G16348&lt;&gt;"EX",0,--(COUNTIFS(nNIA,DATOS!$A16348,nCURSO,DATOS!$D16348,nESPEC,DATOS!$E16348,nASIG,DATOS!$I16348,nEVAL,"OR")=0))</f>
      </c>
      <c r="I16348">
        <f>IF(DATOS!$I16348="","",IFERROR(VLOOKUP(DATOS!$I16348,CONFIG_ASIGNATURAS!$B$2:$J$91,9,FALSE()),""))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IF(DATOS!$A16349="",0,IF(CONFIG_METADATA!$B$4&lt;&gt;"OR+EX",--(DATOS!$G16349=CONFIG_METADATA!$B$4),IF(DATOS!$G16349="EX",1,IF(DATOS!$G16349="OR",--(COUNTIFS(nNIA,DATOS!$A16349,nCURSO,DATOS!$D16349,nESPEC,DATOS!$E16349,nASIG,DATOS!$I16349,nEVAL,"EX")=0),0))))</f>
      </c>
      <c r="H16349">
        <f>IF(DATOS!$G16349&lt;&gt;"EX",0,--(COUNTIFS(nNIA,DATOS!$A16349,nCURSO,DATOS!$D16349,nESPEC,DATOS!$E16349,nASIG,DATOS!$I16349,nEVAL,"OR")=0))</f>
      </c>
      <c r="I16349">
        <f>IF(DATOS!$I16349="","",IFERROR(VLOOKUP(DATOS!$I16349,CONFIG_ASIGNATURAS!$B$2:$J$91,9,FALSE()),""))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IF(DATOS!$A16350="",0,IF(CONFIG_METADATA!$B$4&lt;&gt;"OR+EX",--(DATOS!$G16350=CONFIG_METADATA!$B$4),IF(DATOS!$G16350="EX",1,IF(DATOS!$G16350="OR",--(COUNTIFS(nNIA,DATOS!$A16350,nCURSO,DATOS!$D16350,nESPEC,DATOS!$E16350,nASIG,DATOS!$I16350,nEVAL,"EX")=0),0))))</f>
      </c>
      <c r="H16350">
        <f>IF(DATOS!$G16350&lt;&gt;"EX",0,--(COUNTIFS(nNIA,DATOS!$A16350,nCURSO,DATOS!$D16350,nESPEC,DATOS!$E16350,nASIG,DATOS!$I16350,nEVAL,"OR")=0))</f>
      </c>
      <c r="I16350">
        <f>IF(DATOS!$I16350="","",IFERROR(VLOOKUP(DATOS!$I16350,CONFIG_ASIGNATURAS!$B$2:$J$91,9,FALSE()),""))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IF(DATOS!$A16351="",0,IF(CONFIG_METADATA!$B$4&lt;&gt;"OR+EX",--(DATOS!$G16351=CONFIG_METADATA!$B$4),IF(DATOS!$G16351="EX",1,IF(DATOS!$G16351="OR",--(COUNTIFS(nNIA,DATOS!$A16351,nCURSO,DATOS!$D16351,nESPEC,DATOS!$E16351,nASIG,DATOS!$I16351,nEVAL,"EX")=0),0))))</f>
      </c>
      <c r="H16351">
        <f>IF(DATOS!$G16351&lt;&gt;"EX",0,--(COUNTIFS(nNIA,DATOS!$A16351,nCURSO,DATOS!$D16351,nESPEC,DATOS!$E16351,nASIG,DATOS!$I16351,nEVAL,"OR")=0))</f>
      </c>
      <c r="I16351">
        <f>IF(DATOS!$I16351="","",IFERROR(VLOOKUP(DATOS!$I16351,CONFIG_ASIGNATURAS!$B$2:$J$91,9,FALSE()),""))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IF(DATOS!$A16352="",0,IF(CONFIG_METADATA!$B$4&lt;&gt;"OR+EX",--(DATOS!$G16352=CONFIG_METADATA!$B$4),IF(DATOS!$G16352="EX",1,IF(DATOS!$G16352="OR",--(COUNTIFS(nNIA,DATOS!$A16352,nCURSO,DATOS!$D16352,nESPEC,DATOS!$E16352,nASIG,DATOS!$I16352,nEVAL,"EX")=0),0))))</f>
      </c>
      <c r="H16352">
        <f>IF(DATOS!$G16352&lt;&gt;"EX",0,--(COUNTIFS(nNIA,DATOS!$A16352,nCURSO,DATOS!$D16352,nESPEC,DATOS!$E16352,nASIG,DATOS!$I16352,nEVAL,"OR")=0))</f>
      </c>
      <c r="I16352">
        <f>IF(DATOS!$I16352="","",IFERROR(VLOOKUP(DATOS!$I16352,CONFIG_ASIGNATURAS!$B$2:$J$91,9,FALSE()),""))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IF(DATOS!$A16353="",0,IF(CONFIG_METADATA!$B$4&lt;&gt;"OR+EX",--(DATOS!$G16353=CONFIG_METADATA!$B$4),IF(DATOS!$G16353="EX",1,IF(DATOS!$G16353="OR",--(COUNTIFS(nNIA,DATOS!$A16353,nCURSO,DATOS!$D16353,nESPEC,DATOS!$E16353,nASIG,DATOS!$I16353,nEVAL,"EX")=0),0))))</f>
      </c>
      <c r="H16353">
        <f>IF(DATOS!$G16353&lt;&gt;"EX",0,--(COUNTIFS(nNIA,DATOS!$A16353,nCURSO,DATOS!$D16353,nESPEC,DATOS!$E16353,nASIG,DATOS!$I16353,nEVAL,"OR")=0))</f>
      </c>
      <c r="I16353">
        <f>IF(DATOS!$I16353="","",IFERROR(VLOOKUP(DATOS!$I16353,CONFIG_ASIGNATURAS!$B$2:$J$91,9,FALSE()),""))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IF(DATOS!$A16354="",0,IF(CONFIG_METADATA!$B$4&lt;&gt;"OR+EX",--(DATOS!$G16354=CONFIG_METADATA!$B$4),IF(DATOS!$G16354="EX",1,IF(DATOS!$G16354="OR",--(COUNTIFS(nNIA,DATOS!$A16354,nCURSO,DATOS!$D16354,nESPEC,DATOS!$E16354,nASIG,DATOS!$I16354,nEVAL,"EX")=0),0))))</f>
      </c>
      <c r="H16354">
        <f>IF(DATOS!$G16354&lt;&gt;"EX",0,--(COUNTIFS(nNIA,DATOS!$A16354,nCURSO,DATOS!$D16354,nESPEC,DATOS!$E16354,nASIG,DATOS!$I16354,nEVAL,"OR")=0))</f>
      </c>
      <c r="I16354">
        <f>IF(DATOS!$I16354="","",IFERROR(VLOOKUP(DATOS!$I16354,CONFIG_ASIGNATURAS!$B$2:$J$91,9,FALSE()),""))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IF(DATOS!$A16355="",0,IF(CONFIG_METADATA!$B$4&lt;&gt;"OR+EX",--(DATOS!$G16355=CONFIG_METADATA!$B$4),IF(DATOS!$G16355="EX",1,IF(DATOS!$G16355="OR",--(COUNTIFS(nNIA,DATOS!$A16355,nCURSO,DATOS!$D16355,nESPEC,DATOS!$E16355,nASIG,DATOS!$I16355,nEVAL,"EX")=0),0))))</f>
      </c>
      <c r="H16355">
        <f>IF(DATOS!$G16355&lt;&gt;"EX",0,--(COUNTIFS(nNIA,DATOS!$A16355,nCURSO,DATOS!$D16355,nESPEC,DATOS!$E16355,nASIG,DATOS!$I16355,nEVAL,"OR")=0))</f>
      </c>
      <c r="I16355">
        <f>IF(DATOS!$I16355="","",IFERROR(VLOOKUP(DATOS!$I16355,CONFIG_ASIGNATURAS!$B$2:$J$91,9,FALSE()),""))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IF(DATOS!$A16356="",0,IF(CONFIG_METADATA!$B$4&lt;&gt;"OR+EX",--(DATOS!$G16356=CONFIG_METADATA!$B$4),IF(DATOS!$G16356="EX",1,IF(DATOS!$G16356="OR",--(COUNTIFS(nNIA,DATOS!$A16356,nCURSO,DATOS!$D16356,nESPEC,DATOS!$E16356,nASIG,DATOS!$I16356,nEVAL,"EX")=0),0))))</f>
      </c>
      <c r="H16356">
        <f>IF(DATOS!$G16356&lt;&gt;"EX",0,--(COUNTIFS(nNIA,DATOS!$A16356,nCURSO,DATOS!$D16356,nESPEC,DATOS!$E16356,nASIG,DATOS!$I16356,nEVAL,"OR")=0))</f>
      </c>
      <c r="I16356">
        <f>IF(DATOS!$I16356="","",IFERROR(VLOOKUP(DATOS!$I16356,CONFIG_ASIGNATURAS!$B$2:$J$91,9,FALSE()),""))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IF(DATOS!$A16357="",0,IF(CONFIG_METADATA!$B$4&lt;&gt;"OR+EX",--(DATOS!$G16357=CONFIG_METADATA!$B$4),IF(DATOS!$G16357="EX",1,IF(DATOS!$G16357="OR",--(COUNTIFS(nNIA,DATOS!$A16357,nCURSO,DATOS!$D16357,nESPEC,DATOS!$E16357,nASIG,DATOS!$I16357,nEVAL,"EX")=0),0))))</f>
      </c>
      <c r="H16357">
        <f>IF(DATOS!$G16357&lt;&gt;"EX",0,--(COUNTIFS(nNIA,DATOS!$A16357,nCURSO,DATOS!$D16357,nESPEC,DATOS!$E16357,nASIG,DATOS!$I16357,nEVAL,"OR")=0))</f>
      </c>
      <c r="I16357">
        <f>IF(DATOS!$I16357="","",IFERROR(VLOOKUP(DATOS!$I16357,CONFIG_ASIGNATURAS!$B$2:$J$91,9,FALSE()),""))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IF(DATOS!$A16358="",0,IF(CONFIG_METADATA!$B$4&lt;&gt;"OR+EX",--(DATOS!$G16358=CONFIG_METADATA!$B$4),IF(DATOS!$G16358="EX",1,IF(DATOS!$G16358="OR",--(COUNTIFS(nNIA,DATOS!$A16358,nCURSO,DATOS!$D16358,nESPEC,DATOS!$E16358,nASIG,DATOS!$I16358,nEVAL,"EX")=0),0))))</f>
      </c>
      <c r="H16358">
        <f>IF(DATOS!$G16358&lt;&gt;"EX",0,--(COUNTIFS(nNIA,DATOS!$A16358,nCURSO,DATOS!$D16358,nESPEC,DATOS!$E16358,nASIG,DATOS!$I16358,nEVAL,"OR")=0))</f>
      </c>
      <c r="I16358">
        <f>IF(DATOS!$I16358="","",IFERROR(VLOOKUP(DATOS!$I16358,CONFIG_ASIGNATURAS!$B$2:$J$91,9,FALSE()),""))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IF(DATOS!$A16359="",0,IF(CONFIG_METADATA!$B$4&lt;&gt;"OR+EX",--(DATOS!$G16359=CONFIG_METADATA!$B$4),IF(DATOS!$G16359="EX",1,IF(DATOS!$G16359="OR",--(COUNTIFS(nNIA,DATOS!$A16359,nCURSO,DATOS!$D16359,nESPEC,DATOS!$E16359,nASIG,DATOS!$I16359,nEVAL,"EX")=0),0))))</f>
      </c>
      <c r="H16359">
        <f>IF(DATOS!$G16359&lt;&gt;"EX",0,--(COUNTIFS(nNIA,DATOS!$A16359,nCURSO,DATOS!$D16359,nESPEC,DATOS!$E16359,nASIG,DATOS!$I16359,nEVAL,"OR")=0))</f>
      </c>
      <c r="I16359">
        <f>IF(DATOS!$I16359="","",IFERROR(VLOOKUP(DATOS!$I16359,CONFIG_ASIGNATURAS!$B$2:$J$91,9,FALSE()),""))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IF(DATOS!$A16360="",0,IF(CONFIG_METADATA!$B$4&lt;&gt;"OR+EX",--(DATOS!$G16360=CONFIG_METADATA!$B$4),IF(DATOS!$G16360="EX",1,IF(DATOS!$G16360="OR",--(COUNTIFS(nNIA,DATOS!$A16360,nCURSO,DATOS!$D16360,nESPEC,DATOS!$E16360,nASIG,DATOS!$I16360,nEVAL,"EX")=0),0))))</f>
      </c>
      <c r="H16360">
        <f>IF(DATOS!$G16360&lt;&gt;"EX",0,--(COUNTIFS(nNIA,DATOS!$A16360,nCURSO,DATOS!$D16360,nESPEC,DATOS!$E16360,nASIG,DATOS!$I16360,nEVAL,"OR")=0))</f>
      </c>
      <c r="I16360">
        <f>IF(DATOS!$I16360="","",IFERROR(VLOOKUP(DATOS!$I16360,CONFIG_ASIGNATURAS!$B$2:$J$91,9,FALSE()),""))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IF(DATOS!$A16361="",0,IF(CONFIG_METADATA!$B$4&lt;&gt;"OR+EX",--(DATOS!$G16361=CONFIG_METADATA!$B$4),IF(DATOS!$G16361="EX",1,IF(DATOS!$G16361="OR",--(COUNTIFS(nNIA,DATOS!$A16361,nCURSO,DATOS!$D16361,nESPEC,DATOS!$E16361,nASIG,DATOS!$I16361,nEVAL,"EX")=0),0))))</f>
      </c>
      <c r="H16361">
        <f>IF(DATOS!$G16361&lt;&gt;"EX",0,--(COUNTIFS(nNIA,DATOS!$A16361,nCURSO,DATOS!$D16361,nESPEC,DATOS!$E16361,nASIG,DATOS!$I16361,nEVAL,"OR")=0))</f>
      </c>
      <c r="I16361">
        <f>IF(DATOS!$I16361="","",IFERROR(VLOOKUP(DATOS!$I16361,CONFIG_ASIGNATURAS!$B$2:$J$91,9,FALSE()),""))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IF(DATOS!$A16362="",0,IF(CONFIG_METADATA!$B$4&lt;&gt;"OR+EX",--(DATOS!$G16362=CONFIG_METADATA!$B$4),IF(DATOS!$G16362="EX",1,IF(DATOS!$G16362="OR",--(COUNTIFS(nNIA,DATOS!$A16362,nCURSO,DATOS!$D16362,nESPEC,DATOS!$E16362,nASIG,DATOS!$I16362,nEVAL,"EX")=0),0))))</f>
      </c>
      <c r="H16362">
        <f>IF(DATOS!$G16362&lt;&gt;"EX",0,--(COUNTIFS(nNIA,DATOS!$A16362,nCURSO,DATOS!$D16362,nESPEC,DATOS!$E16362,nASIG,DATOS!$I16362,nEVAL,"OR")=0))</f>
      </c>
      <c r="I16362">
        <f>IF(DATOS!$I16362="","",IFERROR(VLOOKUP(DATOS!$I16362,CONFIG_ASIGNATURAS!$B$2:$J$91,9,FALSE()),""))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IF(DATOS!$A16363="",0,IF(CONFIG_METADATA!$B$4&lt;&gt;"OR+EX",--(DATOS!$G16363=CONFIG_METADATA!$B$4),IF(DATOS!$G16363="EX",1,IF(DATOS!$G16363="OR",--(COUNTIFS(nNIA,DATOS!$A16363,nCURSO,DATOS!$D16363,nESPEC,DATOS!$E16363,nASIG,DATOS!$I16363,nEVAL,"EX")=0),0))))</f>
      </c>
      <c r="H16363">
        <f>IF(DATOS!$G16363&lt;&gt;"EX",0,--(COUNTIFS(nNIA,DATOS!$A16363,nCURSO,DATOS!$D16363,nESPEC,DATOS!$E16363,nASIG,DATOS!$I16363,nEVAL,"OR")=0))</f>
      </c>
      <c r="I16363">
        <f>IF(DATOS!$I16363="","",IFERROR(VLOOKUP(DATOS!$I16363,CONFIG_ASIGNATURAS!$B$2:$J$91,9,FALSE()),""))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IF(DATOS!$A16364="",0,IF(CONFIG_METADATA!$B$4&lt;&gt;"OR+EX",--(DATOS!$G16364=CONFIG_METADATA!$B$4),IF(DATOS!$G16364="EX",1,IF(DATOS!$G16364="OR",--(COUNTIFS(nNIA,DATOS!$A16364,nCURSO,DATOS!$D16364,nESPEC,DATOS!$E16364,nASIG,DATOS!$I16364,nEVAL,"EX")=0),0))))</f>
      </c>
      <c r="H16364">
        <f>IF(DATOS!$G16364&lt;&gt;"EX",0,--(COUNTIFS(nNIA,DATOS!$A16364,nCURSO,DATOS!$D16364,nESPEC,DATOS!$E16364,nASIG,DATOS!$I16364,nEVAL,"OR")=0))</f>
      </c>
      <c r="I16364">
        <f>IF(DATOS!$I16364="","",IFERROR(VLOOKUP(DATOS!$I16364,CONFIG_ASIGNATURAS!$B$2:$J$91,9,FALSE()),""))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IF(DATOS!$A16365="",0,IF(CONFIG_METADATA!$B$4&lt;&gt;"OR+EX",--(DATOS!$G16365=CONFIG_METADATA!$B$4),IF(DATOS!$G16365="EX",1,IF(DATOS!$G16365="OR",--(COUNTIFS(nNIA,DATOS!$A16365,nCURSO,DATOS!$D16365,nESPEC,DATOS!$E16365,nASIG,DATOS!$I16365,nEVAL,"EX")=0),0))))</f>
      </c>
      <c r="H16365">
        <f>IF(DATOS!$G16365&lt;&gt;"EX",0,--(COUNTIFS(nNIA,DATOS!$A16365,nCURSO,DATOS!$D16365,nESPEC,DATOS!$E16365,nASIG,DATOS!$I16365,nEVAL,"OR")=0))</f>
      </c>
      <c r="I16365">
        <f>IF(DATOS!$I16365="","",IFERROR(VLOOKUP(DATOS!$I16365,CONFIG_ASIGNATURAS!$B$2:$J$91,9,FALSE()),""))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IF(DATOS!$A16366="",0,IF(CONFIG_METADATA!$B$4&lt;&gt;"OR+EX",--(DATOS!$G16366=CONFIG_METADATA!$B$4),IF(DATOS!$G16366="EX",1,IF(DATOS!$G16366="OR",--(COUNTIFS(nNIA,DATOS!$A16366,nCURSO,DATOS!$D16366,nESPEC,DATOS!$E16366,nASIG,DATOS!$I16366,nEVAL,"EX")=0),0))))</f>
      </c>
      <c r="H16366">
        <f>IF(DATOS!$G16366&lt;&gt;"EX",0,--(COUNTIFS(nNIA,DATOS!$A16366,nCURSO,DATOS!$D16366,nESPEC,DATOS!$E16366,nASIG,DATOS!$I16366,nEVAL,"OR")=0))</f>
      </c>
      <c r="I16366">
        <f>IF(DATOS!$I16366="","",IFERROR(VLOOKUP(DATOS!$I16366,CONFIG_ASIGNATURAS!$B$2:$J$91,9,FALSE()),""))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IF(DATOS!$A16367="",0,IF(CONFIG_METADATA!$B$4&lt;&gt;"OR+EX",--(DATOS!$G16367=CONFIG_METADATA!$B$4),IF(DATOS!$G16367="EX",1,IF(DATOS!$G16367="OR",--(COUNTIFS(nNIA,DATOS!$A16367,nCURSO,DATOS!$D16367,nESPEC,DATOS!$E16367,nASIG,DATOS!$I16367,nEVAL,"EX")=0),0))))</f>
      </c>
      <c r="H16367">
        <f>IF(DATOS!$G16367&lt;&gt;"EX",0,--(COUNTIFS(nNIA,DATOS!$A16367,nCURSO,DATOS!$D16367,nESPEC,DATOS!$E16367,nASIG,DATOS!$I16367,nEVAL,"OR")=0))</f>
      </c>
      <c r="I16367">
        <f>IF(DATOS!$I16367="","",IFERROR(VLOOKUP(DATOS!$I16367,CONFIG_ASIGNATURAS!$B$2:$J$91,9,FALSE()),""))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IF(DATOS!$A16368="",0,IF(CONFIG_METADATA!$B$4&lt;&gt;"OR+EX",--(DATOS!$G16368=CONFIG_METADATA!$B$4),IF(DATOS!$G16368="EX",1,IF(DATOS!$G16368="OR",--(COUNTIFS(nNIA,DATOS!$A16368,nCURSO,DATOS!$D16368,nESPEC,DATOS!$E16368,nASIG,DATOS!$I16368,nEVAL,"EX")=0),0))))</f>
      </c>
      <c r="H16368">
        <f>IF(DATOS!$G16368&lt;&gt;"EX",0,--(COUNTIFS(nNIA,DATOS!$A16368,nCURSO,DATOS!$D16368,nESPEC,DATOS!$E16368,nASIG,DATOS!$I16368,nEVAL,"OR")=0))</f>
      </c>
      <c r="I16368">
        <f>IF(DATOS!$I16368="","",IFERROR(VLOOKUP(DATOS!$I16368,CONFIG_ASIGNATURAS!$B$2:$J$91,9,FALSE()),""))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IF(DATOS!$A16369="",0,IF(CONFIG_METADATA!$B$4&lt;&gt;"OR+EX",--(DATOS!$G16369=CONFIG_METADATA!$B$4),IF(DATOS!$G16369="EX",1,IF(DATOS!$G16369="OR",--(COUNTIFS(nNIA,DATOS!$A16369,nCURSO,DATOS!$D16369,nESPEC,DATOS!$E16369,nASIG,DATOS!$I16369,nEVAL,"EX")=0),0))))</f>
      </c>
      <c r="H16369">
        <f>IF(DATOS!$G16369&lt;&gt;"EX",0,--(COUNTIFS(nNIA,DATOS!$A16369,nCURSO,DATOS!$D16369,nESPEC,DATOS!$E16369,nASIG,DATOS!$I16369,nEVAL,"OR")=0))</f>
      </c>
      <c r="I16369">
        <f>IF(DATOS!$I16369="","",IFERROR(VLOOKUP(DATOS!$I16369,CONFIG_ASIGNATURAS!$B$2:$J$91,9,FALSE()),""))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IF(DATOS!$A16370="",0,IF(CONFIG_METADATA!$B$4&lt;&gt;"OR+EX",--(DATOS!$G16370=CONFIG_METADATA!$B$4),IF(DATOS!$G16370="EX",1,IF(DATOS!$G16370="OR",--(COUNTIFS(nNIA,DATOS!$A16370,nCURSO,DATOS!$D16370,nESPEC,DATOS!$E16370,nASIG,DATOS!$I16370,nEVAL,"EX")=0),0))))</f>
      </c>
      <c r="H16370">
        <f>IF(DATOS!$G16370&lt;&gt;"EX",0,--(COUNTIFS(nNIA,DATOS!$A16370,nCURSO,DATOS!$D16370,nESPEC,DATOS!$E16370,nASIG,DATOS!$I16370,nEVAL,"OR")=0))</f>
      </c>
      <c r="I16370">
        <f>IF(DATOS!$I16370="","",IFERROR(VLOOKUP(DATOS!$I16370,CONFIG_ASIGNATURAS!$B$2:$J$91,9,FALSE()),""))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IF(DATOS!$A16371="",0,IF(CONFIG_METADATA!$B$4&lt;&gt;"OR+EX",--(DATOS!$G16371=CONFIG_METADATA!$B$4),IF(DATOS!$G16371="EX",1,IF(DATOS!$G16371="OR",--(COUNTIFS(nNIA,DATOS!$A16371,nCURSO,DATOS!$D16371,nESPEC,DATOS!$E16371,nASIG,DATOS!$I16371,nEVAL,"EX")=0),0))))</f>
      </c>
      <c r="H16371">
        <f>IF(DATOS!$G16371&lt;&gt;"EX",0,--(COUNTIFS(nNIA,DATOS!$A16371,nCURSO,DATOS!$D16371,nESPEC,DATOS!$E16371,nASIG,DATOS!$I16371,nEVAL,"OR")=0))</f>
      </c>
      <c r="I16371">
        <f>IF(DATOS!$I16371="","",IFERROR(VLOOKUP(DATOS!$I16371,CONFIG_ASIGNATURAS!$B$2:$J$91,9,FALSE()),""))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IF(DATOS!$A16372="",0,IF(CONFIG_METADATA!$B$4&lt;&gt;"OR+EX",--(DATOS!$G16372=CONFIG_METADATA!$B$4),IF(DATOS!$G16372="EX",1,IF(DATOS!$G16372="OR",--(COUNTIFS(nNIA,DATOS!$A16372,nCURSO,DATOS!$D16372,nESPEC,DATOS!$E16372,nASIG,DATOS!$I16372,nEVAL,"EX")=0),0))))</f>
      </c>
      <c r="H16372">
        <f>IF(DATOS!$G16372&lt;&gt;"EX",0,--(COUNTIFS(nNIA,DATOS!$A16372,nCURSO,DATOS!$D16372,nESPEC,DATOS!$E16372,nASIG,DATOS!$I16372,nEVAL,"OR")=0))</f>
      </c>
      <c r="I16372">
        <f>IF(DATOS!$I16372="","",IFERROR(VLOOKUP(DATOS!$I16372,CONFIG_ASIGNATURAS!$B$2:$J$91,9,FALSE()),""))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IF(DATOS!$A16373="",0,IF(CONFIG_METADATA!$B$4&lt;&gt;"OR+EX",--(DATOS!$G16373=CONFIG_METADATA!$B$4),IF(DATOS!$G16373="EX",1,IF(DATOS!$G16373="OR",--(COUNTIFS(nNIA,DATOS!$A16373,nCURSO,DATOS!$D16373,nESPEC,DATOS!$E16373,nASIG,DATOS!$I16373,nEVAL,"EX")=0),0))))</f>
      </c>
      <c r="H16373">
        <f>IF(DATOS!$G16373&lt;&gt;"EX",0,--(COUNTIFS(nNIA,DATOS!$A16373,nCURSO,DATOS!$D16373,nESPEC,DATOS!$E16373,nASIG,DATOS!$I16373,nEVAL,"OR")=0))</f>
      </c>
      <c r="I16373">
        <f>IF(DATOS!$I16373="","",IFERROR(VLOOKUP(DATOS!$I16373,CONFIG_ASIGNATURAS!$B$2:$J$91,9,FALSE()),""))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IF(DATOS!$A16374="",0,IF(CONFIG_METADATA!$B$4&lt;&gt;"OR+EX",--(DATOS!$G16374=CONFIG_METADATA!$B$4),IF(DATOS!$G16374="EX",1,IF(DATOS!$G16374="OR",--(COUNTIFS(nNIA,DATOS!$A16374,nCURSO,DATOS!$D16374,nESPEC,DATOS!$E16374,nASIG,DATOS!$I16374,nEVAL,"EX")=0),0))))</f>
      </c>
      <c r="H16374">
        <f>IF(DATOS!$G16374&lt;&gt;"EX",0,--(COUNTIFS(nNIA,DATOS!$A16374,nCURSO,DATOS!$D16374,nESPEC,DATOS!$E16374,nASIG,DATOS!$I16374,nEVAL,"OR")=0))</f>
      </c>
      <c r="I16374">
        <f>IF(DATOS!$I16374="","",IFERROR(VLOOKUP(DATOS!$I16374,CONFIG_ASIGNATURAS!$B$2:$J$91,9,FALSE()),""))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IF(DATOS!$A16375="",0,IF(CONFIG_METADATA!$B$4&lt;&gt;"OR+EX",--(DATOS!$G16375=CONFIG_METADATA!$B$4),IF(DATOS!$G16375="EX",1,IF(DATOS!$G16375="OR",--(COUNTIFS(nNIA,DATOS!$A16375,nCURSO,DATOS!$D16375,nESPEC,DATOS!$E16375,nASIG,DATOS!$I16375,nEVAL,"EX")=0),0))))</f>
      </c>
      <c r="H16375">
        <f>IF(DATOS!$G16375&lt;&gt;"EX",0,--(COUNTIFS(nNIA,DATOS!$A16375,nCURSO,DATOS!$D16375,nESPEC,DATOS!$E16375,nASIG,DATOS!$I16375,nEVAL,"OR")=0))</f>
      </c>
      <c r="I16375">
        <f>IF(DATOS!$I16375="","",IFERROR(VLOOKUP(DATOS!$I16375,CONFIG_ASIGNATURAS!$B$2:$J$91,9,FALSE()),""))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IF(DATOS!$A16376="",0,IF(CONFIG_METADATA!$B$4&lt;&gt;"OR+EX",--(DATOS!$G16376=CONFIG_METADATA!$B$4),IF(DATOS!$G16376="EX",1,IF(DATOS!$G16376="OR",--(COUNTIFS(nNIA,DATOS!$A16376,nCURSO,DATOS!$D16376,nESPEC,DATOS!$E16376,nASIG,DATOS!$I16376,nEVAL,"EX")=0),0))))</f>
      </c>
      <c r="H16376">
        <f>IF(DATOS!$G16376&lt;&gt;"EX",0,--(COUNTIFS(nNIA,DATOS!$A16376,nCURSO,DATOS!$D16376,nESPEC,DATOS!$E16376,nASIG,DATOS!$I16376,nEVAL,"OR")=0))</f>
      </c>
      <c r="I16376">
        <f>IF(DATOS!$I16376="","",IFERROR(VLOOKUP(DATOS!$I16376,CONFIG_ASIGNATURAS!$B$2:$J$91,9,FALSE()),""))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IF(DATOS!$A16377="",0,IF(CONFIG_METADATA!$B$4&lt;&gt;"OR+EX",--(DATOS!$G16377=CONFIG_METADATA!$B$4),IF(DATOS!$G16377="EX",1,IF(DATOS!$G16377="OR",--(COUNTIFS(nNIA,DATOS!$A16377,nCURSO,DATOS!$D16377,nESPEC,DATOS!$E16377,nASIG,DATOS!$I16377,nEVAL,"EX")=0),0))))</f>
      </c>
      <c r="H16377">
        <f>IF(DATOS!$G16377&lt;&gt;"EX",0,--(COUNTIFS(nNIA,DATOS!$A16377,nCURSO,DATOS!$D16377,nESPEC,DATOS!$E16377,nASIG,DATOS!$I16377,nEVAL,"OR")=0))</f>
      </c>
      <c r="I16377">
        <f>IF(DATOS!$I16377="","",IFERROR(VLOOKUP(DATOS!$I16377,CONFIG_ASIGNATURAS!$B$2:$J$91,9,FALSE()),""))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IF(DATOS!$A16378="",0,IF(CONFIG_METADATA!$B$4&lt;&gt;"OR+EX",--(DATOS!$G16378=CONFIG_METADATA!$B$4),IF(DATOS!$G16378="EX",1,IF(DATOS!$G16378="OR",--(COUNTIFS(nNIA,DATOS!$A16378,nCURSO,DATOS!$D16378,nESPEC,DATOS!$E16378,nASIG,DATOS!$I16378,nEVAL,"EX")=0),0))))</f>
      </c>
      <c r="H16378">
        <f>IF(DATOS!$G16378&lt;&gt;"EX",0,--(COUNTIFS(nNIA,DATOS!$A16378,nCURSO,DATOS!$D16378,nESPEC,DATOS!$E16378,nASIG,DATOS!$I16378,nEVAL,"OR")=0))</f>
      </c>
      <c r="I16378">
        <f>IF(DATOS!$I16378="","",IFERROR(VLOOKUP(DATOS!$I16378,CONFIG_ASIGNATURAS!$B$2:$J$91,9,FALSE()),""))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IF(DATOS!$A16379="",0,IF(CONFIG_METADATA!$B$4&lt;&gt;"OR+EX",--(DATOS!$G16379=CONFIG_METADATA!$B$4),IF(DATOS!$G16379="EX",1,IF(DATOS!$G16379="OR",--(COUNTIFS(nNIA,DATOS!$A16379,nCURSO,DATOS!$D16379,nESPEC,DATOS!$E16379,nASIG,DATOS!$I16379,nEVAL,"EX")=0),0))))</f>
      </c>
      <c r="H16379">
        <f>IF(DATOS!$G16379&lt;&gt;"EX",0,--(COUNTIFS(nNIA,DATOS!$A16379,nCURSO,DATOS!$D16379,nESPEC,DATOS!$E16379,nASIG,DATOS!$I16379,nEVAL,"OR")=0))</f>
      </c>
      <c r="I16379">
        <f>IF(DATOS!$I16379="","",IFERROR(VLOOKUP(DATOS!$I16379,CONFIG_ASIGNATURAS!$B$2:$J$91,9,FALSE()),""))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IF(DATOS!$A16380="",0,IF(CONFIG_METADATA!$B$4&lt;&gt;"OR+EX",--(DATOS!$G16380=CONFIG_METADATA!$B$4),IF(DATOS!$G16380="EX",1,IF(DATOS!$G16380="OR",--(COUNTIFS(nNIA,DATOS!$A16380,nCURSO,DATOS!$D16380,nESPEC,DATOS!$E16380,nASIG,DATOS!$I16380,nEVAL,"EX")=0),0))))</f>
      </c>
      <c r="H16380">
        <f>IF(DATOS!$G16380&lt;&gt;"EX",0,--(COUNTIFS(nNIA,DATOS!$A16380,nCURSO,DATOS!$D16380,nESPEC,DATOS!$E16380,nASIG,DATOS!$I16380,nEVAL,"OR")=0))</f>
      </c>
      <c r="I16380">
        <f>IF(DATOS!$I16380="","",IFERROR(VLOOKUP(DATOS!$I16380,CONFIG_ASIGNATURAS!$B$2:$J$91,9,FALSE()),""))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IF(DATOS!$A16381="",0,IF(CONFIG_METADATA!$B$4&lt;&gt;"OR+EX",--(DATOS!$G16381=CONFIG_METADATA!$B$4),IF(DATOS!$G16381="EX",1,IF(DATOS!$G16381="OR",--(COUNTIFS(nNIA,DATOS!$A16381,nCURSO,DATOS!$D16381,nESPEC,DATOS!$E16381,nASIG,DATOS!$I16381,nEVAL,"EX")=0),0))))</f>
      </c>
      <c r="H16381">
        <f>IF(DATOS!$G16381&lt;&gt;"EX",0,--(COUNTIFS(nNIA,DATOS!$A16381,nCURSO,DATOS!$D16381,nESPEC,DATOS!$E16381,nASIG,DATOS!$I16381,nEVAL,"OR")=0))</f>
      </c>
      <c r="I16381">
        <f>IF(DATOS!$I16381="","",IFERROR(VLOOKUP(DATOS!$I16381,CONFIG_ASIGNATURAS!$B$2:$J$91,9,FALSE()),""))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IF(DATOS!$A16382="",0,IF(CONFIG_METADATA!$B$4&lt;&gt;"OR+EX",--(DATOS!$G16382=CONFIG_METADATA!$B$4),IF(DATOS!$G16382="EX",1,IF(DATOS!$G16382="OR",--(COUNTIFS(nNIA,DATOS!$A16382,nCURSO,DATOS!$D16382,nESPEC,DATOS!$E16382,nASIG,DATOS!$I16382,nEVAL,"EX")=0),0))))</f>
      </c>
      <c r="H16382">
        <f>IF(DATOS!$G16382&lt;&gt;"EX",0,--(COUNTIFS(nNIA,DATOS!$A16382,nCURSO,DATOS!$D16382,nESPEC,DATOS!$E16382,nASIG,DATOS!$I16382,nEVAL,"OR")=0))</f>
      </c>
      <c r="I16382">
        <f>IF(DATOS!$I16382="","",IFERROR(VLOOKUP(DATOS!$I16382,CONFIG_ASIGNATURAS!$B$2:$J$91,9,FALSE()),""))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IF(DATOS!$A16383="",0,IF(CONFIG_METADATA!$B$4&lt;&gt;"OR+EX",--(DATOS!$G16383=CONFIG_METADATA!$B$4),IF(DATOS!$G16383="EX",1,IF(DATOS!$G16383="OR",--(COUNTIFS(nNIA,DATOS!$A16383,nCURSO,DATOS!$D16383,nESPEC,DATOS!$E16383,nASIG,DATOS!$I16383,nEVAL,"EX")=0),0))))</f>
      </c>
      <c r="H16383">
        <f>IF(DATOS!$G16383&lt;&gt;"EX",0,--(COUNTIFS(nNIA,DATOS!$A16383,nCURSO,DATOS!$D16383,nESPEC,DATOS!$E16383,nASIG,DATOS!$I16383,nEVAL,"OR")=0))</f>
      </c>
      <c r="I16383">
        <f>IF(DATOS!$I16383="","",IFERROR(VLOOKUP(DATOS!$I16383,CONFIG_ASIGNATURAS!$B$2:$J$91,9,FALSE()),""))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IF(DATOS!$A16384="",0,IF(CONFIG_METADATA!$B$4&lt;&gt;"OR+EX",--(DATOS!$G16384=CONFIG_METADATA!$B$4),IF(DATOS!$G16384="EX",1,IF(DATOS!$G16384="OR",--(COUNTIFS(nNIA,DATOS!$A16384,nCURSO,DATOS!$D16384,nESPEC,DATOS!$E16384,nASIG,DATOS!$I16384,nEVAL,"EX")=0),0))))</f>
      </c>
      <c r="H16384">
        <f>IF(DATOS!$G16384&lt;&gt;"EX",0,--(COUNTIFS(nNIA,DATOS!$A16384,nCURSO,DATOS!$D16384,nESPEC,DATOS!$E16384,nASIG,DATOS!$I16384,nEVAL,"OR")=0))</f>
      </c>
      <c r="I16384">
        <f>IF(DATOS!$I16384="","",IFERROR(VLOOKUP(DATOS!$I16384,CONFIG_ASIGNATURAS!$B$2:$J$91,9,FALSE()),""))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IF(DATOS!$A16385="",0,IF(CONFIG_METADATA!$B$4&lt;&gt;"OR+EX",--(DATOS!$G16385=CONFIG_METADATA!$B$4),IF(DATOS!$G16385="EX",1,IF(DATOS!$G16385="OR",--(COUNTIFS(nNIA,DATOS!$A16385,nCURSO,DATOS!$D16385,nESPEC,DATOS!$E16385,nASIG,DATOS!$I16385,nEVAL,"EX")=0),0))))</f>
      </c>
      <c r="H16385">
        <f>IF(DATOS!$G16385&lt;&gt;"EX",0,--(COUNTIFS(nNIA,DATOS!$A16385,nCURSO,DATOS!$D16385,nESPEC,DATOS!$E16385,nASIG,DATOS!$I16385,nEVAL,"OR")=0))</f>
      </c>
      <c r="I16385">
        <f>IF(DATOS!$I16385="","",IFERROR(VLOOKUP(DATOS!$I16385,CONFIG_ASIGNATURAS!$B$2:$J$91,9,FALSE()),""))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IF(DATOS!$A16386="",0,IF(CONFIG_METADATA!$B$4&lt;&gt;"OR+EX",--(DATOS!$G16386=CONFIG_METADATA!$B$4),IF(DATOS!$G16386="EX",1,IF(DATOS!$G16386="OR",--(COUNTIFS(nNIA,DATOS!$A16386,nCURSO,DATOS!$D16386,nESPEC,DATOS!$E16386,nASIG,DATOS!$I16386,nEVAL,"EX")=0),0))))</f>
      </c>
      <c r="H16386">
        <f>IF(DATOS!$G16386&lt;&gt;"EX",0,--(COUNTIFS(nNIA,DATOS!$A16386,nCURSO,DATOS!$D16386,nESPEC,DATOS!$E16386,nASIG,DATOS!$I16386,nEVAL,"OR")=0))</f>
      </c>
      <c r="I16386">
        <f>IF(DATOS!$I16386="","",IFERROR(VLOOKUP(DATOS!$I16386,CONFIG_ASIGNATURAS!$B$2:$J$91,9,FALSE()),""))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IF(DATOS!$A16387="",0,IF(CONFIG_METADATA!$B$4&lt;&gt;"OR+EX",--(DATOS!$G16387=CONFIG_METADATA!$B$4),IF(DATOS!$G16387="EX",1,IF(DATOS!$G16387="OR",--(COUNTIFS(nNIA,DATOS!$A16387,nCURSO,DATOS!$D16387,nESPEC,DATOS!$E16387,nASIG,DATOS!$I16387,nEVAL,"EX")=0),0))))</f>
      </c>
      <c r="H16387">
        <f>IF(DATOS!$G16387&lt;&gt;"EX",0,--(COUNTIFS(nNIA,DATOS!$A16387,nCURSO,DATOS!$D16387,nESPEC,DATOS!$E16387,nASIG,DATOS!$I16387,nEVAL,"OR")=0))</f>
      </c>
      <c r="I16387">
        <f>IF(DATOS!$I16387="","",IFERROR(VLOOKUP(DATOS!$I16387,CONFIG_ASIGNATURAS!$B$2:$J$91,9,FALSE()),""))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IF(DATOS!$A16388="",0,IF(CONFIG_METADATA!$B$4&lt;&gt;"OR+EX",--(DATOS!$G16388=CONFIG_METADATA!$B$4),IF(DATOS!$G16388="EX",1,IF(DATOS!$G16388="OR",--(COUNTIFS(nNIA,DATOS!$A16388,nCURSO,DATOS!$D16388,nESPEC,DATOS!$E16388,nASIG,DATOS!$I16388,nEVAL,"EX")=0),0))))</f>
      </c>
      <c r="H16388">
        <f>IF(DATOS!$G16388&lt;&gt;"EX",0,--(COUNTIFS(nNIA,DATOS!$A16388,nCURSO,DATOS!$D16388,nESPEC,DATOS!$E16388,nASIG,DATOS!$I16388,nEVAL,"OR")=0))</f>
      </c>
      <c r="I16388">
        <f>IF(DATOS!$I16388="","",IFERROR(VLOOKUP(DATOS!$I16388,CONFIG_ASIGNATURAS!$B$2:$J$91,9,FALSE()),""))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IF(DATOS!$A16389="",0,IF(CONFIG_METADATA!$B$4&lt;&gt;"OR+EX",--(DATOS!$G16389=CONFIG_METADATA!$B$4),IF(DATOS!$G16389="EX",1,IF(DATOS!$G16389="OR",--(COUNTIFS(nNIA,DATOS!$A16389,nCURSO,DATOS!$D16389,nESPEC,DATOS!$E16389,nASIG,DATOS!$I16389,nEVAL,"EX")=0),0))))</f>
      </c>
      <c r="H16389">
        <f>IF(DATOS!$G16389&lt;&gt;"EX",0,--(COUNTIFS(nNIA,DATOS!$A16389,nCURSO,DATOS!$D16389,nESPEC,DATOS!$E16389,nASIG,DATOS!$I16389,nEVAL,"OR")=0))</f>
      </c>
      <c r="I16389">
        <f>IF(DATOS!$I16389="","",IFERROR(VLOOKUP(DATOS!$I16389,CONFIG_ASIGNATURAS!$B$2:$J$91,9,FALSE()),""))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IF(DATOS!$A16390="",0,IF(CONFIG_METADATA!$B$4&lt;&gt;"OR+EX",--(DATOS!$G16390=CONFIG_METADATA!$B$4),IF(DATOS!$G16390="EX",1,IF(DATOS!$G16390="OR",--(COUNTIFS(nNIA,DATOS!$A16390,nCURSO,DATOS!$D16390,nESPEC,DATOS!$E16390,nASIG,DATOS!$I16390,nEVAL,"EX")=0),0))))</f>
      </c>
      <c r="H16390">
        <f>IF(DATOS!$G16390&lt;&gt;"EX",0,--(COUNTIFS(nNIA,DATOS!$A16390,nCURSO,DATOS!$D16390,nESPEC,DATOS!$E16390,nASIG,DATOS!$I16390,nEVAL,"OR")=0))</f>
      </c>
      <c r="I16390">
        <f>IF(DATOS!$I16390="","",IFERROR(VLOOKUP(DATOS!$I16390,CONFIG_ASIGNATURAS!$B$2:$J$91,9,FALSE()),""))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IF(DATOS!$A16391="",0,IF(CONFIG_METADATA!$B$4&lt;&gt;"OR+EX",--(DATOS!$G16391=CONFIG_METADATA!$B$4),IF(DATOS!$G16391="EX",1,IF(DATOS!$G16391="OR",--(COUNTIFS(nNIA,DATOS!$A16391,nCURSO,DATOS!$D16391,nESPEC,DATOS!$E16391,nASIG,DATOS!$I16391,nEVAL,"EX")=0),0))))</f>
      </c>
      <c r="H16391">
        <f>IF(DATOS!$G16391&lt;&gt;"EX",0,--(COUNTIFS(nNIA,DATOS!$A16391,nCURSO,DATOS!$D16391,nESPEC,DATOS!$E16391,nASIG,DATOS!$I16391,nEVAL,"OR")=0))</f>
      </c>
      <c r="I16391">
        <f>IF(DATOS!$I16391="","",IFERROR(VLOOKUP(DATOS!$I16391,CONFIG_ASIGNATURAS!$B$2:$J$91,9,FALSE()),""))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IF(DATOS!$A16392="",0,IF(CONFIG_METADATA!$B$4&lt;&gt;"OR+EX",--(DATOS!$G16392=CONFIG_METADATA!$B$4),IF(DATOS!$G16392="EX",1,IF(DATOS!$G16392="OR",--(COUNTIFS(nNIA,DATOS!$A16392,nCURSO,DATOS!$D16392,nESPEC,DATOS!$E16392,nASIG,DATOS!$I16392,nEVAL,"EX")=0),0))))</f>
      </c>
      <c r="H16392">
        <f>IF(DATOS!$G16392&lt;&gt;"EX",0,--(COUNTIFS(nNIA,DATOS!$A16392,nCURSO,DATOS!$D16392,nESPEC,DATOS!$E16392,nASIG,DATOS!$I16392,nEVAL,"OR")=0))</f>
      </c>
      <c r="I16392">
        <f>IF(DATOS!$I16392="","",IFERROR(VLOOKUP(DATOS!$I16392,CONFIG_ASIGNATURAS!$B$2:$J$91,9,FALSE()),""))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IF(DATOS!$A16393="",0,IF(CONFIG_METADATA!$B$4&lt;&gt;"OR+EX",--(DATOS!$G16393=CONFIG_METADATA!$B$4),IF(DATOS!$G16393="EX",1,IF(DATOS!$G16393="OR",--(COUNTIFS(nNIA,DATOS!$A16393,nCURSO,DATOS!$D16393,nESPEC,DATOS!$E16393,nASIG,DATOS!$I16393,nEVAL,"EX")=0),0))))</f>
      </c>
      <c r="H16393">
        <f>IF(DATOS!$G16393&lt;&gt;"EX",0,--(COUNTIFS(nNIA,DATOS!$A16393,nCURSO,DATOS!$D16393,nESPEC,DATOS!$E16393,nASIG,DATOS!$I16393,nEVAL,"OR")=0))</f>
      </c>
      <c r="I16393">
        <f>IF(DATOS!$I16393="","",IFERROR(VLOOKUP(DATOS!$I16393,CONFIG_ASIGNATURAS!$B$2:$J$91,9,FALSE()),""))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IF(DATOS!$A16394="",0,IF(CONFIG_METADATA!$B$4&lt;&gt;"OR+EX",--(DATOS!$G16394=CONFIG_METADATA!$B$4),IF(DATOS!$G16394="EX",1,IF(DATOS!$G16394="OR",--(COUNTIFS(nNIA,DATOS!$A16394,nCURSO,DATOS!$D16394,nESPEC,DATOS!$E16394,nASIG,DATOS!$I16394,nEVAL,"EX")=0),0))))</f>
      </c>
      <c r="H16394">
        <f>IF(DATOS!$G16394&lt;&gt;"EX",0,--(COUNTIFS(nNIA,DATOS!$A16394,nCURSO,DATOS!$D16394,nESPEC,DATOS!$E16394,nASIG,DATOS!$I16394,nEVAL,"OR")=0))</f>
      </c>
      <c r="I16394">
        <f>IF(DATOS!$I16394="","",IFERROR(VLOOKUP(DATOS!$I16394,CONFIG_ASIGNATURAS!$B$2:$J$91,9,FALSE()),""))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IF(DATOS!$A16395="",0,IF(CONFIG_METADATA!$B$4&lt;&gt;"OR+EX",--(DATOS!$G16395=CONFIG_METADATA!$B$4),IF(DATOS!$G16395="EX",1,IF(DATOS!$G16395="OR",--(COUNTIFS(nNIA,DATOS!$A16395,nCURSO,DATOS!$D16395,nESPEC,DATOS!$E16395,nASIG,DATOS!$I16395,nEVAL,"EX")=0),0))))</f>
      </c>
      <c r="H16395">
        <f>IF(DATOS!$G16395&lt;&gt;"EX",0,--(COUNTIFS(nNIA,DATOS!$A16395,nCURSO,DATOS!$D16395,nESPEC,DATOS!$E16395,nASIG,DATOS!$I16395,nEVAL,"OR")=0))</f>
      </c>
      <c r="I16395">
        <f>IF(DATOS!$I16395="","",IFERROR(VLOOKUP(DATOS!$I16395,CONFIG_ASIGNATURAS!$B$2:$J$91,9,FALSE()),""))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IF(DATOS!$A16396="",0,IF(CONFIG_METADATA!$B$4&lt;&gt;"OR+EX",--(DATOS!$G16396=CONFIG_METADATA!$B$4),IF(DATOS!$G16396="EX",1,IF(DATOS!$G16396="OR",--(COUNTIFS(nNIA,DATOS!$A16396,nCURSO,DATOS!$D16396,nESPEC,DATOS!$E16396,nASIG,DATOS!$I16396,nEVAL,"EX")=0),0))))</f>
      </c>
      <c r="H16396">
        <f>IF(DATOS!$G16396&lt;&gt;"EX",0,--(COUNTIFS(nNIA,DATOS!$A16396,nCURSO,DATOS!$D16396,nESPEC,DATOS!$E16396,nASIG,DATOS!$I16396,nEVAL,"OR")=0))</f>
      </c>
      <c r="I16396">
        <f>IF(DATOS!$I16396="","",IFERROR(VLOOKUP(DATOS!$I16396,CONFIG_ASIGNATURAS!$B$2:$J$91,9,FALSE()),""))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IF(DATOS!$A16397="",0,IF(CONFIG_METADATA!$B$4&lt;&gt;"OR+EX",--(DATOS!$G16397=CONFIG_METADATA!$B$4),IF(DATOS!$G16397="EX",1,IF(DATOS!$G16397="OR",--(COUNTIFS(nNIA,DATOS!$A16397,nCURSO,DATOS!$D16397,nESPEC,DATOS!$E16397,nASIG,DATOS!$I16397,nEVAL,"EX")=0),0))))</f>
      </c>
      <c r="H16397">
        <f>IF(DATOS!$G16397&lt;&gt;"EX",0,--(COUNTIFS(nNIA,DATOS!$A16397,nCURSO,DATOS!$D16397,nESPEC,DATOS!$E16397,nASIG,DATOS!$I16397,nEVAL,"OR")=0))</f>
      </c>
      <c r="I16397">
        <f>IF(DATOS!$I16397="","",IFERROR(VLOOKUP(DATOS!$I16397,CONFIG_ASIGNATURAS!$B$2:$J$91,9,FALSE()),""))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IF(DATOS!$A16398="",0,IF(CONFIG_METADATA!$B$4&lt;&gt;"OR+EX",--(DATOS!$G16398=CONFIG_METADATA!$B$4),IF(DATOS!$G16398="EX",1,IF(DATOS!$G16398="OR",--(COUNTIFS(nNIA,DATOS!$A16398,nCURSO,DATOS!$D16398,nESPEC,DATOS!$E16398,nASIG,DATOS!$I16398,nEVAL,"EX")=0),0))))</f>
      </c>
      <c r="H16398">
        <f>IF(DATOS!$G16398&lt;&gt;"EX",0,--(COUNTIFS(nNIA,DATOS!$A16398,nCURSO,DATOS!$D16398,nESPEC,DATOS!$E16398,nASIG,DATOS!$I16398,nEVAL,"OR")=0))</f>
      </c>
      <c r="I16398">
        <f>IF(DATOS!$I16398="","",IFERROR(VLOOKUP(DATOS!$I16398,CONFIG_ASIGNATURAS!$B$2:$J$91,9,FALSE()),""))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IF(DATOS!$A16399="",0,IF(CONFIG_METADATA!$B$4&lt;&gt;"OR+EX",--(DATOS!$G16399=CONFIG_METADATA!$B$4),IF(DATOS!$G16399="EX",1,IF(DATOS!$G16399="OR",--(COUNTIFS(nNIA,DATOS!$A16399,nCURSO,DATOS!$D16399,nESPEC,DATOS!$E16399,nASIG,DATOS!$I16399,nEVAL,"EX")=0),0))))</f>
      </c>
      <c r="H16399">
        <f>IF(DATOS!$G16399&lt;&gt;"EX",0,--(COUNTIFS(nNIA,DATOS!$A16399,nCURSO,DATOS!$D16399,nESPEC,DATOS!$E16399,nASIG,DATOS!$I16399,nEVAL,"OR")=0))</f>
      </c>
      <c r="I16399">
        <f>IF(DATOS!$I16399="","",IFERROR(VLOOKUP(DATOS!$I16399,CONFIG_ASIGNATURAS!$B$2:$J$91,9,FALSE()),""))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IF(DATOS!$A16400="",0,IF(CONFIG_METADATA!$B$4&lt;&gt;"OR+EX",--(DATOS!$G16400=CONFIG_METADATA!$B$4),IF(DATOS!$G16400="EX",1,IF(DATOS!$G16400="OR",--(COUNTIFS(nNIA,DATOS!$A16400,nCURSO,DATOS!$D16400,nESPEC,DATOS!$E16400,nASIG,DATOS!$I16400,nEVAL,"EX")=0),0))))</f>
      </c>
      <c r="H16400">
        <f>IF(DATOS!$G16400&lt;&gt;"EX",0,--(COUNTIFS(nNIA,DATOS!$A16400,nCURSO,DATOS!$D16400,nESPEC,DATOS!$E16400,nASIG,DATOS!$I16400,nEVAL,"OR")=0))</f>
      </c>
      <c r="I16400">
        <f>IF(DATOS!$I16400="","",IFERROR(VLOOKUP(DATOS!$I16400,CONFIG_ASIGNATURAS!$B$2:$J$91,9,FALSE()),""))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IF(DATOS!$A16401="",0,IF(CONFIG_METADATA!$B$4&lt;&gt;"OR+EX",--(DATOS!$G16401=CONFIG_METADATA!$B$4),IF(DATOS!$G16401="EX",1,IF(DATOS!$G16401="OR",--(COUNTIFS(nNIA,DATOS!$A16401,nCURSO,DATOS!$D16401,nESPEC,DATOS!$E16401,nASIG,DATOS!$I16401,nEVAL,"EX")=0),0))))</f>
      </c>
      <c r="H16401">
        <f>IF(DATOS!$G16401&lt;&gt;"EX",0,--(COUNTIFS(nNIA,DATOS!$A16401,nCURSO,DATOS!$D16401,nESPEC,DATOS!$E16401,nASIG,DATOS!$I16401,nEVAL,"OR")=0))</f>
      </c>
      <c r="I16401">
        <f>IF(DATOS!$I16401="","",IFERROR(VLOOKUP(DATOS!$I16401,CONFIG_ASIGNATURAS!$B$2:$J$91,9,FALSE()),""))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IF(DATOS!$A16402="",0,IF(CONFIG_METADATA!$B$4&lt;&gt;"OR+EX",--(DATOS!$G16402=CONFIG_METADATA!$B$4),IF(DATOS!$G16402="EX",1,IF(DATOS!$G16402="OR",--(COUNTIFS(nNIA,DATOS!$A16402,nCURSO,DATOS!$D16402,nESPEC,DATOS!$E16402,nASIG,DATOS!$I16402,nEVAL,"EX")=0),0))))</f>
      </c>
      <c r="H16402">
        <f>IF(DATOS!$G16402&lt;&gt;"EX",0,--(COUNTIFS(nNIA,DATOS!$A16402,nCURSO,DATOS!$D16402,nESPEC,DATOS!$E16402,nASIG,DATOS!$I16402,nEVAL,"OR")=0))</f>
      </c>
      <c r="I16402">
        <f>IF(DATOS!$I16402="","",IFERROR(VLOOKUP(DATOS!$I16402,CONFIG_ASIGNATURAS!$B$2:$J$91,9,FALSE()),""))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IF(DATOS!$A16403="",0,IF(CONFIG_METADATA!$B$4&lt;&gt;"OR+EX",--(DATOS!$G16403=CONFIG_METADATA!$B$4),IF(DATOS!$G16403="EX",1,IF(DATOS!$G16403="OR",--(COUNTIFS(nNIA,DATOS!$A16403,nCURSO,DATOS!$D16403,nESPEC,DATOS!$E16403,nASIG,DATOS!$I16403,nEVAL,"EX")=0),0))))</f>
      </c>
      <c r="H16403">
        <f>IF(DATOS!$G16403&lt;&gt;"EX",0,--(COUNTIFS(nNIA,DATOS!$A16403,nCURSO,DATOS!$D16403,nESPEC,DATOS!$E16403,nASIG,DATOS!$I16403,nEVAL,"OR")=0))</f>
      </c>
      <c r="I16403">
        <f>IF(DATOS!$I16403="","",IFERROR(VLOOKUP(DATOS!$I16403,CONFIG_ASIGNATURAS!$B$2:$J$91,9,FALSE()),""))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IF(DATOS!$A16404="",0,IF(CONFIG_METADATA!$B$4&lt;&gt;"OR+EX",--(DATOS!$G16404=CONFIG_METADATA!$B$4),IF(DATOS!$G16404="EX",1,IF(DATOS!$G16404="OR",--(COUNTIFS(nNIA,DATOS!$A16404,nCURSO,DATOS!$D16404,nESPEC,DATOS!$E16404,nASIG,DATOS!$I16404,nEVAL,"EX")=0),0))))</f>
      </c>
      <c r="H16404">
        <f>IF(DATOS!$G16404&lt;&gt;"EX",0,--(COUNTIFS(nNIA,DATOS!$A16404,nCURSO,DATOS!$D16404,nESPEC,DATOS!$E16404,nASIG,DATOS!$I16404,nEVAL,"OR")=0))</f>
      </c>
      <c r="I16404">
        <f>IF(DATOS!$I16404="","",IFERROR(VLOOKUP(DATOS!$I16404,CONFIG_ASIGNATURAS!$B$2:$J$91,9,FALSE()),""))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IF(DATOS!$A16405="",0,IF(CONFIG_METADATA!$B$4&lt;&gt;"OR+EX",--(DATOS!$G16405=CONFIG_METADATA!$B$4),IF(DATOS!$G16405="EX",1,IF(DATOS!$G16405="OR",--(COUNTIFS(nNIA,DATOS!$A16405,nCURSO,DATOS!$D16405,nESPEC,DATOS!$E16405,nASIG,DATOS!$I16405,nEVAL,"EX")=0),0))))</f>
      </c>
      <c r="H16405">
        <f>IF(DATOS!$G16405&lt;&gt;"EX",0,--(COUNTIFS(nNIA,DATOS!$A16405,nCURSO,DATOS!$D16405,nESPEC,DATOS!$E16405,nASIG,DATOS!$I16405,nEVAL,"OR")=0))</f>
      </c>
      <c r="I16405">
        <f>IF(DATOS!$I16405="","",IFERROR(VLOOKUP(DATOS!$I16405,CONFIG_ASIGNATURAS!$B$2:$J$91,9,FALSE()),""))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IF(DATOS!$A16406="",0,IF(CONFIG_METADATA!$B$4&lt;&gt;"OR+EX",--(DATOS!$G16406=CONFIG_METADATA!$B$4),IF(DATOS!$G16406="EX",1,IF(DATOS!$G16406="OR",--(COUNTIFS(nNIA,DATOS!$A16406,nCURSO,DATOS!$D16406,nESPEC,DATOS!$E16406,nASIG,DATOS!$I16406,nEVAL,"EX")=0),0))))</f>
      </c>
      <c r="H16406">
        <f>IF(DATOS!$G16406&lt;&gt;"EX",0,--(COUNTIFS(nNIA,DATOS!$A16406,nCURSO,DATOS!$D16406,nESPEC,DATOS!$E16406,nASIG,DATOS!$I16406,nEVAL,"OR")=0))</f>
      </c>
      <c r="I16406">
        <f>IF(DATOS!$I16406="","",IFERROR(VLOOKUP(DATOS!$I16406,CONFIG_ASIGNATURAS!$B$2:$J$91,9,FALSE()),""))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IF(DATOS!$A16407="",0,IF(CONFIG_METADATA!$B$4&lt;&gt;"OR+EX",--(DATOS!$G16407=CONFIG_METADATA!$B$4),IF(DATOS!$G16407="EX",1,IF(DATOS!$G16407="OR",--(COUNTIFS(nNIA,DATOS!$A16407,nCURSO,DATOS!$D16407,nESPEC,DATOS!$E16407,nASIG,DATOS!$I16407,nEVAL,"EX")=0),0))))</f>
      </c>
      <c r="H16407">
        <f>IF(DATOS!$G16407&lt;&gt;"EX",0,--(COUNTIFS(nNIA,DATOS!$A16407,nCURSO,DATOS!$D16407,nESPEC,DATOS!$E16407,nASIG,DATOS!$I16407,nEVAL,"OR")=0))</f>
      </c>
      <c r="I16407">
        <f>IF(DATOS!$I16407="","",IFERROR(VLOOKUP(DATOS!$I16407,CONFIG_ASIGNATURAS!$B$2:$J$91,9,FALSE()),""))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IF(DATOS!$A16408="",0,IF(CONFIG_METADATA!$B$4&lt;&gt;"OR+EX",--(DATOS!$G16408=CONFIG_METADATA!$B$4),IF(DATOS!$G16408="EX",1,IF(DATOS!$G16408="OR",--(COUNTIFS(nNIA,DATOS!$A16408,nCURSO,DATOS!$D16408,nESPEC,DATOS!$E16408,nASIG,DATOS!$I16408,nEVAL,"EX")=0),0))))</f>
      </c>
      <c r="H16408">
        <f>IF(DATOS!$G16408&lt;&gt;"EX",0,--(COUNTIFS(nNIA,DATOS!$A16408,nCURSO,DATOS!$D16408,nESPEC,DATOS!$E16408,nASIG,DATOS!$I16408,nEVAL,"OR")=0))</f>
      </c>
      <c r="I16408">
        <f>IF(DATOS!$I16408="","",IFERROR(VLOOKUP(DATOS!$I16408,CONFIG_ASIGNATURAS!$B$2:$J$91,9,FALSE()),""))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IF(DATOS!$A16409="",0,IF(CONFIG_METADATA!$B$4&lt;&gt;"OR+EX",--(DATOS!$G16409=CONFIG_METADATA!$B$4),IF(DATOS!$G16409="EX",1,IF(DATOS!$G16409="OR",--(COUNTIFS(nNIA,DATOS!$A16409,nCURSO,DATOS!$D16409,nESPEC,DATOS!$E16409,nASIG,DATOS!$I16409,nEVAL,"EX")=0),0))))</f>
      </c>
      <c r="H16409">
        <f>IF(DATOS!$G16409&lt;&gt;"EX",0,--(COUNTIFS(nNIA,DATOS!$A16409,nCURSO,DATOS!$D16409,nESPEC,DATOS!$E16409,nASIG,DATOS!$I16409,nEVAL,"OR")=0))</f>
      </c>
      <c r="I16409">
        <f>IF(DATOS!$I16409="","",IFERROR(VLOOKUP(DATOS!$I16409,CONFIG_ASIGNATURAS!$B$2:$J$91,9,FALSE()),""))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IF(DATOS!$A16410="",0,IF(CONFIG_METADATA!$B$4&lt;&gt;"OR+EX",--(DATOS!$G16410=CONFIG_METADATA!$B$4),IF(DATOS!$G16410="EX",1,IF(DATOS!$G16410="OR",--(COUNTIFS(nNIA,DATOS!$A16410,nCURSO,DATOS!$D16410,nESPEC,DATOS!$E16410,nASIG,DATOS!$I16410,nEVAL,"EX")=0),0))))</f>
      </c>
      <c r="H16410">
        <f>IF(DATOS!$G16410&lt;&gt;"EX",0,--(COUNTIFS(nNIA,DATOS!$A16410,nCURSO,DATOS!$D16410,nESPEC,DATOS!$E16410,nASIG,DATOS!$I16410,nEVAL,"OR")=0))</f>
      </c>
      <c r="I16410">
        <f>IF(DATOS!$I16410="","",IFERROR(VLOOKUP(DATOS!$I16410,CONFIG_ASIGNATURAS!$B$2:$J$91,9,FALSE()),""))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IF(DATOS!$A16411="",0,IF(CONFIG_METADATA!$B$4&lt;&gt;"OR+EX",--(DATOS!$G16411=CONFIG_METADATA!$B$4),IF(DATOS!$G16411="EX",1,IF(DATOS!$G16411="OR",--(COUNTIFS(nNIA,DATOS!$A16411,nCURSO,DATOS!$D16411,nESPEC,DATOS!$E16411,nASIG,DATOS!$I16411,nEVAL,"EX")=0),0))))</f>
      </c>
      <c r="H16411">
        <f>IF(DATOS!$G16411&lt;&gt;"EX",0,--(COUNTIFS(nNIA,DATOS!$A16411,nCURSO,DATOS!$D16411,nESPEC,DATOS!$E16411,nASIG,DATOS!$I16411,nEVAL,"OR")=0))</f>
      </c>
      <c r="I16411">
        <f>IF(DATOS!$I16411="","",IFERROR(VLOOKUP(DATOS!$I16411,CONFIG_ASIGNATURAS!$B$2:$J$91,9,FALSE()),""))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IF(DATOS!$A16412="",0,IF(CONFIG_METADATA!$B$4&lt;&gt;"OR+EX",--(DATOS!$G16412=CONFIG_METADATA!$B$4),IF(DATOS!$G16412="EX",1,IF(DATOS!$G16412="OR",--(COUNTIFS(nNIA,DATOS!$A16412,nCURSO,DATOS!$D16412,nESPEC,DATOS!$E16412,nASIG,DATOS!$I16412,nEVAL,"EX")=0),0))))</f>
      </c>
      <c r="H16412">
        <f>IF(DATOS!$G16412&lt;&gt;"EX",0,--(COUNTIFS(nNIA,DATOS!$A16412,nCURSO,DATOS!$D16412,nESPEC,DATOS!$E16412,nASIG,DATOS!$I16412,nEVAL,"OR")=0))</f>
      </c>
      <c r="I16412">
        <f>IF(DATOS!$I16412="","",IFERROR(VLOOKUP(DATOS!$I16412,CONFIG_ASIGNATURAS!$B$2:$J$91,9,FALSE()),""))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IF(DATOS!$A16413="",0,IF(CONFIG_METADATA!$B$4&lt;&gt;"OR+EX",--(DATOS!$G16413=CONFIG_METADATA!$B$4),IF(DATOS!$G16413="EX",1,IF(DATOS!$G16413="OR",--(COUNTIFS(nNIA,DATOS!$A16413,nCURSO,DATOS!$D16413,nESPEC,DATOS!$E16413,nASIG,DATOS!$I16413,nEVAL,"EX")=0),0))))</f>
      </c>
      <c r="H16413">
        <f>IF(DATOS!$G16413&lt;&gt;"EX",0,--(COUNTIFS(nNIA,DATOS!$A16413,nCURSO,DATOS!$D16413,nESPEC,DATOS!$E16413,nASIG,DATOS!$I16413,nEVAL,"OR")=0))</f>
      </c>
      <c r="I16413">
        <f>IF(DATOS!$I16413="","",IFERROR(VLOOKUP(DATOS!$I16413,CONFIG_ASIGNATURAS!$B$2:$J$91,9,FALSE()),""))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IF(DATOS!$A16414="",0,IF(CONFIG_METADATA!$B$4&lt;&gt;"OR+EX",--(DATOS!$G16414=CONFIG_METADATA!$B$4),IF(DATOS!$G16414="EX",1,IF(DATOS!$G16414="OR",--(COUNTIFS(nNIA,DATOS!$A16414,nCURSO,DATOS!$D16414,nESPEC,DATOS!$E16414,nASIG,DATOS!$I16414,nEVAL,"EX")=0),0))))</f>
      </c>
      <c r="H16414">
        <f>IF(DATOS!$G16414&lt;&gt;"EX",0,--(COUNTIFS(nNIA,DATOS!$A16414,nCURSO,DATOS!$D16414,nESPEC,DATOS!$E16414,nASIG,DATOS!$I16414,nEVAL,"OR")=0))</f>
      </c>
      <c r="I16414">
        <f>IF(DATOS!$I16414="","",IFERROR(VLOOKUP(DATOS!$I16414,CONFIG_ASIGNATURAS!$B$2:$J$91,9,FALSE()),""))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IF(DATOS!$A16415="",0,IF(CONFIG_METADATA!$B$4&lt;&gt;"OR+EX",--(DATOS!$G16415=CONFIG_METADATA!$B$4),IF(DATOS!$G16415="EX",1,IF(DATOS!$G16415="OR",--(COUNTIFS(nNIA,DATOS!$A16415,nCURSO,DATOS!$D16415,nESPEC,DATOS!$E16415,nASIG,DATOS!$I16415,nEVAL,"EX")=0),0))))</f>
      </c>
      <c r="H16415">
        <f>IF(DATOS!$G16415&lt;&gt;"EX",0,--(COUNTIFS(nNIA,DATOS!$A16415,nCURSO,DATOS!$D16415,nESPEC,DATOS!$E16415,nASIG,DATOS!$I16415,nEVAL,"OR")=0))</f>
      </c>
      <c r="I16415">
        <f>IF(DATOS!$I16415="","",IFERROR(VLOOKUP(DATOS!$I16415,CONFIG_ASIGNATURAS!$B$2:$J$91,9,FALSE()),""))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IF(DATOS!$A16416="",0,IF(CONFIG_METADATA!$B$4&lt;&gt;"OR+EX",--(DATOS!$G16416=CONFIG_METADATA!$B$4),IF(DATOS!$G16416="EX",1,IF(DATOS!$G16416="OR",--(COUNTIFS(nNIA,DATOS!$A16416,nCURSO,DATOS!$D16416,nESPEC,DATOS!$E16416,nASIG,DATOS!$I16416,nEVAL,"EX")=0),0))))</f>
      </c>
      <c r="H16416">
        <f>IF(DATOS!$G16416&lt;&gt;"EX",0,--(COUNTIFS(nNIA,DATOS!$A16416,nCURSO,DATOS!$D16416,nESPEC,DATOS!$E16416,nASIG,DATOS!$I16416,nEVAL,"OR")=0))</f>
      </c>
      <c r="I16416">
        <f>IF(DATOS!$I16416="","",IFERROR(VLOOKUP(DATOS!$I16416,CONFIG_ASIGNATURAS!$B$2:$J$91,9,FALSE()),""))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IF(DATOS!$A16417="",0,IF(CONFIG_METADATA!$B$4&lt;&gt;"OR+EX",--(DATOS!$G16417=CONFIG_METADATA!$B$4),IF(DATOS!$G16417="EX",1,IF(DATOS!$G16417="OR",--(COUNTIFS(nNIA,DATOS!$A16417,nCURSO,DATOS!$D16417,nESPEC,DATOS!$E16417,nASIG,DATOS!$I16417,nEVAL,"EX")=0),0))))</f>
      </c>
      <c r="H16417">
        <f>IF(DATOS!$G16417&lt;&gt;"EX",0,--(COUNTIFS(nNIA,DATOS!$A16417,nCURSO,DATOS!$D16417,nESPEC,DATOS!$E16417,nASIG,DATOS!$I16417,nEVAL,"OR")=0))</f>
      </c>
      <c r="I16417">
        <f>IF(DATOS!$I16417="","",IFERROR(VLOOKUP(DATOS!$I16417,CONFIG_ASIGNATURAS!$B$2:$J$91,9,FALSE()),""))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IF(DATOS!$A16418="",0,IF(CONFIG_METADATA!$B$4&lt;&gt;"OR+EX",--(DATOS!$G16418=CONFIG_METADATA!$B$4),IF(DATOS!$G16418="EX",1,IF(DATOS!$G16418="OR",--(COUNTIFS(nNIA,DATOS!$A16418,nCURSO,DATOS!$D16418,nESPEC,DATOS!$E16418,nASIG,DATOS!$I16418,nEVAL,"EX")=0),0))))</f>
      </c>
      <c r="H16418">
        <f>IF(DATOS!$G16418&lt;&gt;"EX",0,--(COUNTIFS(nNIA,DATOS!$A16418,nCURSO,DATOS!$D16418,nESPEC,DATOS!$E16418,nASIG,DATOS!$I16418,nEVAL,"OR")=0))</f>
      </c>
      <c r="I16418">
        <f>IF(DATOS!$I16418="","",IFERROR(VLOOKUP(DATOS!$I16418,CONFIG_ASIGNATURAS!$B$2:$J$91,9,FALSE()),""))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IF(DATOS!$A16419="",0,IF(CONFIG_METADATA!$B$4&lt;&gt;"OR+EX",--(DATOS!$G16419=CONFIG_METADATA!$B$4),IF(DATOS!$G16419="EX",1,IF(DATOS!$G16419="OR",--(COUNTIFS(nNIA,DATOS!$A16419,nCURSO,DATOS!$D16419,nESPEC,DATOS!$E16419,nASIG,DATOS!$I16419,nEVAL,"EX")=0),0))))</f>
      </c>
      <c r="H16419">
        <f>IF(DATOS!$G16419&lt;&gt;"EX",0,--(COUNTIFS(nNIA,DATOS!$A16419,nCURSO,DATOS!$D16419,nESPEC,DATOS!$E16419,nASIG,DATOS!$I16419,nEVAL,"OR")=0))</f>
      </c>
      <c r="I16419">
        <f>IF(DATOS!$I16419="","",IFERROR(VLOOKUP(DATOS!$I16419,CONFIG_ASIGNATURAS!$B$2:$J$91,9,FALSE()),""))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IF(DATOS!$A16420="",0,IF(CONFIG_METADATA!$B$4&lt;&gt;"OR+EX",--(DATOS!$G16420=CONFIG_METADATA!$B$4),IF(DATOS!$G16420="EX",1,IF(DATOS!$G16420="OR",--(COUNTIFS(nNIA,DATOS!$A16420,nCURSO,DATOS!$D16420,nESPEC,DATOS!$E16420,nASIG,DATOS!$I16420,nEVAL,"EX")=0),0))))</f>
      </c>
      <c r="H16420">
        <f>IF(DATOS!$G16420&lt;&gt;"EX",0,--(COUNTIFS(nNIA,DATOS!$A16420,nCURSO,DATOS!$D16420,nESPEC,DATOS!$E16420,nASIG,DATOS!$I16420,nEVAL,"OR")=0))</f>
      </c>
      <c r="I16420">
        <f>IF(DATOS!$I16420="","",IFERROR(VLOOKUP(DATOS!$I16420,CONFIG_ASIGNATURAS!$B$2:$J$91,9,FALSE()),""))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IF(DATOS!$A16421="",0,IF(CONFIG_METADATA!$B$4&lt;&gt;"OR+EX",--(DATOS!$G16421=CONFIG_METADATA!$B$4),IF(DATOS!$G16421="EX",1,IF(DATOS!$G16421="OR",--(COUNTIFS(nNIA,DATOS!$A16421,nCURSO,DATOS!$D16421,nESPEC,DATOS!$E16421,nASIG,DATOS!$I16421,nEVAL,"EX")=0),0))))</f>
      </c>
      <c r="H16421">
        <f>IF(DATOS!$G16421&lt;&gt;"EX",0,--(COUNTIFS(nNIA,DATOS!$A16421,nCURSO,DATOS!$D16421,nESPEC,DATOS!$E16421,nASIG,DATOS!$I16421,nEVAL,"OR")=0))</f>
      </c>
      <c r="I16421">
        <f>IF(DATOS!$I16421="","",IFERROR(VLOOKUP(DATOS!$I16421,CONFIG_ASIGNATURAS!$B$2:$J$91,9,FALSE()),""))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IF(DATOS!$A16422="",0,IF(CONFIG_METADATA!$B$4&lt;&gt;"OR+EX",--(DATOS!$G16422=CONFIG_METADATA!$B$4),IF(DATOS!$G16422="EX",1,IF(DATOS!$G16422="OR",--(COUNTIFS(nNIA,DATOS!$A16422,nCURSO,DATOS!$D16422,nESPEC,DATOS!$E16422,nASIG,DATOS!$I16422,nEVAL,"EX")=0),0))))</f>
      </c>
      <c r="H16422">
        <f>IF(DATOS!$G16422&lt;&gt;"EX",0,--(COUNTIFS(nNIA,DATOS!$A16422,nCURSO,DATOS!$D16422,nESPEC,DATOS!$E16422,nASIG,DATOS!$I16422,nEVAL,"OR")=0))</f>
      </c>
      <c r="I16422">
        <f>IF(DATOS!$I16422="","",IFERROR(VLOOKUP(DATOS!$I16422,CONFIG_ASIGNATURAS!$B$2:$J$91,9,FALSE()),""))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IF(DATOS!$A16423="",0,IF(CONFIG_METADATA!$B$4&lt;&gt;"OR+EX",--(DATOS!$G16423=CONFIG_METADATA!$B$4),IF(DATOS!$G16423="EX",1,IF(DATOS!$G16423="OR",--(COUNTIFS(nNIA,DATOS!$A16423,nCURSO,DATOS!$D16423,nESPEC,DATOS!$E16423,nASIG,DATOS!$I16423,nEVAL,"EX")=0),0))))</f>
      </c>
      <c r="H16423">
        <f>IF(DATOS!$G16423&lt;&gt;"EX",0,--(COUNTIFS(nNIA,DATOS!$A16423,nCURSO,DATOS!$D16423,nESPEC,DATOS!$E16423,nASIG,DATOS!$I16423,nEVAL,"OR")=0))</f>
      </c>
      <c r="I16423">
        <f>IF(DATOS!$I16423="","",IFERROR(VLOOKUP(DATOS!$I16423,CONFIG_ASIGNATURAS!$B$2:$J$91,9,FALSE()),""))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IF(DATOS!$A16424="",0,IF(CONFIG_METADATA!$B$4&lt;&gt;"OR+EX",--(DATOS!$G16424=CONFIG_METADATA!$B$4),IF(DATOS!$G16424="EX",1,IF(DATOS!$G16424="OR",--(COUNTIFS(nNIA,DATOS!$A16424,nCURSO,DATOS!$D16424,nESPEC,DATOS!$E16424,nASIG,DATOS!$I16424,nEVAL,"EX")=0),0))))</f>
      </c>
      <c r="H16424">
        <f>IF(DATOS!$G16424&lt;&gt;"EX",0,--(COUNTIFS(nNIA,DATOS!$A16424,nCURSO,DATOS!$D16424,nESPEC,DATOS!$E16424,nASIG,DATOS!$I16424,nEVAL,"OR")=0))</f>
      </c>
      <c r="I16424">
        <f>IF(DATOS!$I16424="","",IFERROR(VLOOKUP(DATOS!$I16424,CONFIG_ASIGNATURAS!$B$2:$J$91,9,FALSE()),""))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IF(DATOS!$A16425="",0,IF(CONFIG_METADATA!$B$4&lt;&gt;"OR+EX",--(DATOS!$G16425=CONFIG_METADATA!$B$4),IF(DATOS!$G16425="EX",1,IF(DATOS!$G16425="OR",--(COUNTIFS(nNIA,DATOS!$A16425,nCURSO,DATOS!$D16425,nESPEC,DATOS!$E16425,nASIG,DATOS!$I16425,nEVAL,"EX")=0),0))))</f>
      </c>
      <c r="H16425">
        <f>IF(DATOS!$G16425&lt;&gt;"EX",0,--(COUNTIFS(nNIA,DATOS!$A16425,nCURSO,DATOS!$D16425,nESPEC,DATOS!$E16425,nASIG,DATOS!$I16425,nEVAL,"OR")=0))</f>
      </c>
      <c r="I16425">
        <f>IF(DATOS!$I16425="","",IFERROR(VLOOKUP(DATOS!$I16425,CONFIG_ASIGNATURAS!$B$2:$J$91,9,FALSE()),""))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IF(DATOS!$A16426="",0,IF(CONFIG_METADATA!$B$4&lt;&gt;"OR+EX",--(DATOS!$G16426=CONFIG_METADATA!$B$4),IF(DATOS!$G16426="EX",1,IF(DATOS!$G16426="OR",--(COUNTIFS(nNIA,DATOS!$A16426,nCURSO,DATOS!$D16426,nESPEC,DATOS!$E16426,nASIG,DATOS!$I16426,nEVAL,"EX")=0),0))))</f>
      </c>
      <c r="H16426">
        <f>IF(DATOS!$G16426&lt;&gt;"EX",0,--(COUNTIFS(nNIA,DATOS!$A16426,nCURSO,DATOS!$D16426,nESPEC,DATOS!$E16426,nASIG,DATOS!$I16426,nEVAL,"OR")=0))</f>
      </c>
      <c r="I16426">
        <f>IF(DATOS!$I16426="","",IFERROR(VLOOKUP(DATOS!$I16426,CONFIG_ASIGNATURAS!$B$2:$J$91,9,FALSE()),""))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IF(DATOS!$A16427="",0,IF(CONFIG_METADATA!$B$4&lt;&gt;"OR+EX",--(DATOS!$G16427=CONFIG_METADATA!$B$4),IF(DATOS!$G16427="EX",1,IF(DATOS!$G16427="OR",--(COUNTIFS(nNIA,DATOS!$A16427,nCURSO,DATOS!$D16427,nESPEC,DATOS!$E16427,nASIG,DATOS!$I16427,nEVAL,"EX")=0),0))))</f>
      </c>
      <c r="H16427">
        <f>IF(DATOS!$G16427&lt;&gt;"EX",0,--(COUNTIFS(nNIA,DATOS!$A16427,nCURSO,DATOS!$D16427,nESPEC,DATOS!$E16427,nASIG,DATOS!$I16427,nEVAL,"OR")=0))</f>
      </c>
      <c r="I16427">
        <f>IF(DATOS!$I16427="","",IFERROR(VLOOKUP(DATOS!$I16427,CONFIG_ASIGNATURAS!$B$2:$J$91,9,FALSE()),""))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IF(DATOS!$A16428="",0,IF(CONFIG_METADATA!$B$4&lt;&gt;"OR+EX",--(DATOS!$G16428=CONFIG_METADATA!$B$4),IF(DATOS!$G16428="EX",1,IF(DATOS!$G16428="OR",--(COUNTIFS(nNIA,DATOS!$A16428,nCURSO,DATOS!$D16428,nESPEC,DATOS!$E16428,nASIG,DATOS!$I16428,nEVAL,"EX")=0),0))))</f>
      </c>
      <c r="H16428">
        <f>IF(DATOS!$G16428&lt;&gt;"EX",0,--(COUNTIFS(nNIA,DATOS!$A16428,nCURSO,DATOS!$D16428,nESPEC,DATOS!$E16428,nASIG,DATOS!$I16428,nEVAL,"OR")=0))</f>
      </c>
      <c r="I16428">
        <f>IF(DATOS!$I16428="","",IFERROR(VLOOKUP(DATOS!$I16428,CONFIG_ASIGNATURAS!$B$2:$J$91,9,FALSE()),""))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IF(DATOS!$A16429="",0,IF(CONFIG_METADATA!$B$4&lt;&gt;"OR+EX",--(DATOS!$G16429=CONFIG_METADATA!$B$4),IF(DATOS!$G16429="EX",1,IF(DATOS!$G16429="OR",--(COUNTIFS(nNIA,DATOS!$A16429,nCURSO,DATOS!$D16429,nESPEC,DATOS!$E16429,nASIG,DATOS!$I16429,nEVAL,"EX")=0),0))))</f>
      </c>
      <c r="H16429">
        <f>IF(DATOS!$G16429&lt;&gt;"EX",0,--(COUNTIFS(nNIA,DATOS!$A16429,nCURSO,DATOS!$D16429,nESPEC,DATOS!$E16429,nASIG,DATOS!$I16429,nEVAL,"OR")=0))</f>
      </c>
      <c r="I16429">
        <f>IF(DATOS!$I16429="","",IFERROR(VLOOKUP(DATOS!$I16429,CONFIG_ASIGNATURAS!$B$2:$J$91,9,FALSE()),""))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IF(DATOS!$A16430="",0,IF(CONFIG_METADATA!$B$4&lt;&gt;"OR+EX",--(DATOS!$G16430=CONFIG_METADATA!$B$4),IF(DATOS!$G16430="EX",1,IF(DATOS!$G16430="OR",--(COUNTIFS(nNIA,DATOS!$A16430,nCURSO,DATOS!$D16430,nESPEC,DATOS!$E16430,nASIG,DATOS!$I16430,nEVAL,"EX")=0),0))))</f>
      </c>
      <c r="H16430">
        <f>IF(DATOS!$G16430&lt;&gt;"EX",0,--(COUNTIFS(nNIA,DATOS!$A16430,nCURSO,DATOS!$D16430,nESPEC,DATOS!$E16430,nASIG,DATOS!$I16430,nEVAL,"OR")=0))</f>
      </c>
      <c r="I16430">
        <f>IF(DATOS!$I16430="","",IFERROR(VLOOKUP(DATOS!$I16430,CONFIG_ASIGNATURAS!$B$2:$J$91,9,FALSE()),""))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IF(DATOS!$A16431="",0,IF(CONFIG_METADATA!$B$4&lt;&gt;"OR+EX",--(DATOS!$G16431=CONFIG_METADATA!$B$4),IF(DATOS!$G16431="EX",1,IF(DATOS!$G16431="OR",--(COUNTIFS(nNIA,DATOS!$A16431,nCURSO,DATOS!$D16431,nESPEC,DATOS!$E16431,nASIG,DATOS!$I16431,nEVAL,"EX")=0),0))))</f>
      </c>
      <c r="H16431">
        <f>IF(DATOS!$G16431&lt;&gt;"EX",0,--(COUNTIFS(nNIA,DATOS!$A16431,nCURSO,DATOS!$D16431,nESPEC,DATOS!$E16431,nASIG,DATOS!$I16431,nEVAL,"OR")=0))</f>
      </c>
      <c r="I16431">
        <f>IF(DATOS!$I16431="","",IFERROR(VLOOKUP(DATOS!$I16431,CONFIG_ASIGNATURAS!$B$2:$J$91,9,FALSE()),""))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IF(DATOS!$A16432="",0,IF(CONFIG_METADATA!$B$4&lt;&gt;"OR+EX",--(DATOS!$G16432=CONFIG_METADATA!$B$4),IF(DATOS!$G16432="EX",1,IF(DATOS!$G16432="OR",--(COUNTIFS(nNIA,DATOS!$A16432,nCURSO,DATOS!$D16432,nESPEC,DATOS!$E16432,nASIG,DATOS!$I16432,nEVAL,"EX")=0),0))))</f>
      </c>
      <c r="H16432">
        <f>IF(DATOS!$G16432&lt;&gt;"EX",0,--(COUNTIFS(nNIA,DATOS!$A16432,nCURSO,DATOS!$D16432,nESPEC,DATOS!$E16432,nASIG,DATOS!$I16432,nEVAL,"OR")=0))</f>
      </c>
      <c r="I16432">
        <f>IF(DATOS!$I16432="","",IFERROR(VLOOKUP(DATOS!$I16432,CONFIG_ASIGNATURAS!$B$2:$J$91,9,FALSE()),""))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IF(DATOS!$A16433="",0,IF(CONFIG_METADATA!$B$4&lt;&gt;"OR+EX",--(DATOS!$G16433=CONFIG_METADATA!$B$4),IF(DATOS!$G16433="EX",1,IF(DATOS!$G16433="OR",--(COUNTIFS(nNIA,DATOS!$A16433,nCURSO,DATOS!$D16433,nESPEC,DATOS!$E16433,nASIG,DATOS!$I16433,nEVAL,"EX")=0),0))))</f>
      </c>
      <c r="H16433">
        <f>IF(DATOS!$G16433&lt;&gt;"EX",0,--(COUNTIFS(nNIA,DATOS!$A16433,nCURSO,DATOS!$D16433,nESPEC,DATOS!$E16433,nASIG,DATOS!$I16433,nEVAL,"OR")=0))</f>
      </c>
      <c r="I16433">
        <f>IF(DATOS!$I16433="","",IFERROR(VLOOKUP(DATOS!$I16433,CONFIG_ASIGNATURAS!$B$2:$J$91,9,FALSE()),""))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IF(DATOS!$A16434="",0,IF(CONFIG_METADATA!$B$4&lt;&gt;"OR+EX",--(DATOS!$G16434=CONFIG_METADATA!$B$4),IF(DATOS!$G16434="EX",1,IF(DATOS!$G16434="OR",--(COUNTIFS(nNIA,DATOS!$A16434,nCURSO,DATOS!$D16434,nESPEC,DATOS!$E16434,nASIG,DATOS!$I16434,nEVAL,"EX")=0),0))))</f>
      </c>
      <c r="H16434">
        <f>IF(DATOS!$G16434&lt;&gt;"EX",0,--(COUNTIFS(nNIA,DATOS!$A16434,nCURSO,DATOS!$D16434,nESPEC,DATOS!$E16434,nASIG,DATOS!$I16434,nEVAL,"OR")=0))</f>
      </c>
      <c r="I16434">
        <f>IF(DATOS!$I16434="","",IFERROR(VLOOKUP(DATOS!$I16434,CONFIG_ASIGNATURAS!$B$2:$J$91,9,FALSE()),""))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IF(DATOS!$A16435="",0,IF(CONFIG_METADATA!$B$4&lt;&gt;"OR+EX",--(DATOS!$G16435=CONFIG_METADATA!$B$4),IF(DATOS!$G16435="EX",1,IF(DATOS!$G16435="OR",--(COUNTIFS(nNIA,DATOS!$A16435,nCURSO,DATOS!$D16435,nESPEC,DATOS!$E16435,nASIG,DATOS!$I16435,nEVAL,"EX")=0),0))))</f>
      </c>
      <c r="H16435">
        <f>IF(DATOS!$G16435&lt;&gt;"EX",0,--(COUNTIFS(nNIA,DATOS!$A16435,nCURSO,DATOS!$D16435,nESPEC,DATOS!$E16435,nASIG,DATOS!$I16435,nEVAL,"OR")=0))</f>
      </c>
      <c r="I16435">
        <f>IF(DATOS!$I16435="","",IFERROR(VLOOKUP(DATOS!$I16435,CONFIG_ASIGNATURAS!$B$2:$J$91,9,FALSE()),""))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IF(DATOS!$A16436="",0,IF(CONFIG_METADATA!$B$4&lt;&gt;"OR+EX",--(DATOS!$G16436=CONFIG_METADATA!$B$4),IF(DATOS!$G16436="EX",1,IF(DATOS!$G16436="OR",--(COUNTIFS(nNIA,DATOS!$A16436,nCURSO,DATOS!$D16436,nESPEC,DATOS!$E16436,nASIG,DATOS!$I16436,nEVAL,"EX")=0),0))))</f>
      </c>
      <c r="H16436">
        <f>IF(DATOS!$G16436&lt;&gt;"EX",0,--(COUNTIFS(nNIA,DATOS!$A16436,nCURSO,DATOS!$D16436,nESPEC,DATOS!$E16436,nASIG,DATOS!$I16436,nEVAL,"OR")=0))</f>
      </c>
      <c r="I16436">
        <f>IF(DATOS!$I16436="","",IFERROR(VLOOKUP(DATOS!$I16436,CONFIG_ASIGNATURAS!$B$2:$J$91,9,FALSE()),""))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IF(DATOS!$A16437="",0,IF(CONFIG_METADATA!$B$4&lt;&gt;"OR+EX",--(DATOS!$G16437=CONFIG_METADATA!$B$4),IF(DATOS!$G16437="EX",1,IF(DATOS!$G16437="OR",--(COUNTIFS(nNIA,DATOS!$A16437,nCURSO,DATOS!$D16437,nESPEC,DATOS!$E16437,nASIG,DATOS!$I16437,nEVAL,"EX")=0),0))))</f>
      </c>
      <c r="H16437">
        <f>IF(DATOS!$G16437&lt;&gt;"EX",0,--(COUNTIFS(nNIA,DATOS!$A16437,nCURSO,DATOS!$D16437,nESPEC,DATOS!$E16437,nASIG,DATOS!$I16437,nEVAL,"OR")=0))</f>
      </c>
      <c r="I16437">
        <f>IF(DATOS!$I16437="","",IFERROR(VLOOKUP(DATOS!$I16437,CONFIG_ASIGNATURAS!$B$2:$J$91,9,FALSE()),""))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IF(DATOS!$A16438="",0,IF(CONFIG_METADATA!$B$4&lt;&gt;"OR+EX",--(DATOS!$G16438=CONFIG_METADATA!$B$4),IF(DATOS!$G16438="EX",1,IF(DATOS!$G16438="OR",--(COUNTIFS(nNIA,DATOS!$A16438,nCURSO,DATOS!$D16438,nESPEC,DATOS!$E16438,nASIG,DATOS!$I16438,nEVAL,"EX")=0),0))))</f>
      </c>
      <c r="H16438">
        <f>IF(DATOS!$G16438&lt;&gt;"EX",0,--(COUNTIFS(nNIA,DATOS!$A16438,nCURSO,DATOS!$D16438,nESPEC,DATOS!$E16438,nASIG,DATOS!$I16438,nEVAL,"OR")=0))</f>
      </c>
      <c r="I16438">
        <f>IF(DATOS!$I16438="","",IFERROR(VLOOKUP(DATOS!$I16438,CONFIG_ASIGNATURAS!$B$2:$J$91,9,FALSE()),""))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IF(DATOS!$A16439="",0,IF(CONFIG_METADATA!$B$4&lt;&gt;"OR+EX",--(DATOS!$G16439=CONFIG_METADATA!$B$4),IF(DATOS!$G16439="EX",1,IF(DATOS!$G16439="OR",--(COUNTIFS(nNIA,DATOS!$A16439,nCURSO,DATOS!$D16439,nESPEC,DATOS!$E16439,nASIG,DATOS!$I16439,nEVAL,"EX")=0),0))))</f>
      </c>
      <c r="H16439">
        <f>IF(DATOS!$G16439&lt;&gt;"EX",0,--(COUNTIFS(nNIA,DATOS!$A16439,nCURSO,DATOS!$D16439,nESPEC,DATOS!$E16439,nASIG,DATOS!$I16439,nEVAL,"OR")=0))</f>
      </c>
      <c r="I16439">
        <f>IF(DATOS!$I16439="","",IFERROR(VLOOKUP(DATOS!$I16439,CONFIG_ASIGNATURAS!$B$2:$J$91,9,FALSE()),""))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IF(DATOS!$A16440="",0,IF(CONFIG_METADATA!$B$4&lt;&gt;"OR+EX",--(DATOS!$G16440=CONFIG_METADATA!$B$4),IF(DATOS!$G16440="EX",1,IF(DATOS!$G16440="OR",--(COUNTIFS(nNIA,DATOS!$A16440,nCURSO,DATOS!$D16440,nESPEC,DATOS!$E16440,nASIG,DATOS!$I16440,nEVAL,"EX")=0),0))))</f>
      </c>
      <c r="H16440">
        <f>IF(DATOS!$G16440&lt;&gt;"EX",0,--(COUNTIFS(nNIA,DATOS!$A16440,nCURSO,DATOS!$D16440,nESPEC,DATOS!$E16440,nASIG,DATOS!$I16440,nEVAL,"OR")=0))</f>
      </c>
      <c r="I16440">
        <f>IF(DATOS!$I16440="","",IFERROR(VLOOKUP(DATOS!$I16440,CONFIG_ASIGNATURAS!$B$2:$J$91,9,FALSE()),""))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IF(DATOS!$A16441="",0,IF(CONFIG_METADATA!$B$4&lt;&gt;"OR+EX",--(DATOS!$G16441=CONFIG_METADATA!$B$4),IF(DATOS!$G16441="EX",1,IF(DATOS!$G16441="OR",--(COUNTIFS(nNIA,DATOS!$A16441,nCURSO,DATOS!$D16441,nESPEC,DATOS!$E16441,nASIG,DATOS!$I16441,nEVAL,"EX")=0),0))))</f>
      </c>
      <c r="H16441">
        <f>IF(DATOS!$G16441&lt;&gt;"EX",0,--(COUNTIFS(nNIA,DATOS!$A16441,nCURSO,DATOS!$D16441,nESPEC,DATOS!$E16441,nASIG,DATOS!$I16441,nEVAL,"OR")=0))</f>
      </c>
      <c r="I16441">
        <f>IF(DATOS!$I16441="","",IFERROR(VLOOKUP(DATOS!$I16441,CONFIG_ASIGNATURAS!$B$2:$J$91,9,FALSE()),""))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IF(DATOS!$A16442="",0,IF(CONFIG_METADATA!$B$4&lt;&gt;"OR+EX",--(DATOS!$G16442=CONFIG_METADATA!$B$4),IF(DATOS!$G16442="EX",1,IF(DATOS!$G16442="OR",--(COUNTIFS(nNIA,DATOS!$A16442,nCURSO,DATOS!$D16442,nESPEC,DATOS!$E16442,nASIG,DATOS!$I16442,nEVAL,"EX")=0),0))))</f>
      </c>
      <c r="H16442">
        <f>IF(DATOS!$G16442&lt;&gt;"EX",0,--(COUNTIFS(nNIA,DATOS!$A16442,nCURSO,DATOS!$D16442,nESPEC,DATOS!$E16442,nASIG,DATOS!$I16442,nEVAL,"OR")=0))</f>
      </c>
      <c r="I16442">
        <f>IF(DATOS!$I16442="","",IFERROR(VLOOKUP(DATOS!$I16442,CONFIG_ASIGNATURAS!$B$2:$J$91,9,FALSE()),""))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IF(DATOS!$A16443="",0,IF(CONFIG_METADATA!$B$4&lt;&gt;"OR+EX",--(DATOS!$G16443=CONFIG_METADATA!$B$4),IF(DATOS!$G16443="EX",1,IF(DATOS!$G16443="OR",--(COUNTIFS(nNIA,DATOS!$A16443,nCURSO,DATOS!$D16443,nESPEC,DATOS!$E16443,nASIG,DATOS!$I16443,nEVAL,"EX")=0),0))))</f>
      </c>
      <c r="H16443">
        <f>IF(DATOS!$G16443&lt;&gt;"EX",0,--(COUNTIFS(nNIA,DATOS!$A16443,nCURSO,DATOS!$D16443,nESPEC,DATOS!$E16443,nASIG,DATOS!$I16443,nEVAL,"OR")=0))</f>
      </c>
      <c r="I16443">
        <f>IF(DATOS!$I16443="","",IFERROR(VLOOKUP(DATOS!$I16443,CONFIG_ASIGNATURAS!$B$2:$J$91,9,FALSE()),""))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IF(DATOS!$A16444="",0,IF(CONFIG_METADATA!$B$4&lt;&gt;"OR+EX",--(DATOS!$G16444=CONFIG_METADATA!$B$4),IF(DATOS!$G16444="EX",1,IF(DATOS!$G16444="OR",--(COUNTIFS(nNIA,DATOS!$A16444,nCURSO,DATOS!$D16444,nESPEC,DATOS!$E16444,nASIG,DATOS!$I16444,nEVAL,"EX")=0),0))))</f>
      </c>
      <c r="H16444">
        <f>IF(DATOS!$G16444&lt;&gt;"EX",0,--(COUNTIFS(nNIA,DATOS!$A16444,nCURSO,DATOS!$D16444,nESPEC,DATOS!$E16444,nASIG,DATOS!$I16444,nEVAL,"OR")=0))</f>
      </c>
      <c r="I16444">
        <f>IF(DATOS!$I16444="","",IFERROR(VLOOKUP(DATOS!$I16444,CONFIG_ASIGNATURAS!$B$2:$J$91,9,FALSE()),""))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IF(DATOS!$A16445="",0,IF(CONFIG_METADATA!$B$4&lt;&gt;"OR+EX",--(DATOS!$G16445=CONFIG_METADATA!$B$4),IF(DATOS!$G16445="EX",1,IF(DATOS!$G16445="OR",--(COUNTIFS(nNIA,DATOS!$A16445,nCURSO,DATOS!$D16445,nESPEC,DATOS!$E16445,nASIG,DATOS!$I16445,nEVAL,"EX")=0),0))))</f>
      </c>
      <c r="H16445">
        <f>IF(DATOS!$G16445&lt;&gt;"EX",0,--(COUNTIFS(nNIA,DATOS!$A16445,nCURSO,DATOS!$D16445,nESPEC,DATOS!$E16445,nASIG,DATOS!$I16445,nEVAL,"OR")=0))</f>
      </c>
      <c r="I16445">
        <f>IF(DATOS!$I16445="","",IFERROR(VLOOKUP(DATOS!$I16445,CONFIG_ASIGNATURAS!$B$2:$J$91,9,FALSE()),""))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IF(DATOS!$A16446="",0,IF(CONFIG_METADATA!$B$4&lt;&gt;"OR+EX",--(DATOS!$G16446=CONFIG_METADATA!$B$4),IF(DATOS!$G16446="EX",1,IF(DATOS!$G16446="OR",--(COUNTIFS(nNIA,DATOS!$A16446,nCURSO,DATOS!$D16446,nESPEC,DATOS!$E16446,nASIG,DATOS!$I16446,nEVAL,"EX")=0),0))))</f>
      </c>
      <c r="H16446">
        <f>IF(DATOS!$G16446&lt;&gt;"EX",0,--(COUNTIFS(nNIA,DATOS!$A16446,nCURSO,DATOS!$D16446,nESPEC,DATOS!$E16446,nASIG,DATOS!$I16446,nEVAL,"OR")=0))</f>
      </c>
      <c r="I16446">
        <f>IF(DATOS!$I16446="","",IFERROR(VLOOKUP(DATOS!$I16446,CONFIG_ASIGNATURAS!$B$2:$J$91,9,FALSE()),""))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IF(DATOS!$A16447="",0,IF(CONFIG_METADATA!$B$4&lt;&gt;"OR+EX",--(DATOS!$G16447=CONFIG_METADATA!$B$4),IF(DATOS!$G16447="EX",1,IF(DATOS!$G16447="OR",--(COUNTIFS(nNIA,DATOS!$A16447,nCURSO,DATOS!$D16447,nESPEC,DATOS!$E16447,nASIG,DATOS!$I16447,nEVAL,"EX")=0),0))))</f>
      </c>
      <c r="H16447">
        <f>IF(DATOS!$G16447&lt;&gt;"EX",0,--(COUNTIFS(nNIA,DATOS!$A16447,nCURSO,DATOS!$D16447,nESPEC,DATOS!$E16447,nASIG,DATOS!$I16447,nEVAL,"OR")=0))</f>
      </c>
      <c r="I16447">
        <f>IF(DATOS!$I16447="","",IFERROR(VLOOKUP(DATOS!$I16447,CONFIG_ASIGNATURAS!$B$2:$J$91,9,FALSE()),""))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IF(DATOS!$A16448="",0,IF(CONFIG_METADATA!$B$4&lt;&gt;"OR+EX",--(DATOS!$G16448=CONFIG_METADATA!$B$4),IF(DATOS!$G16448="EX",1,IF(DATOS!$G16448="OR",--(COUNTIFS(nNIA,DATOS!$A16448,nCURSO,DATOS!$D16448,nESPEC,DATOS!$E16448,nASIG,DATOS!$I16448,nEVAL,"EX")=0),0))))</f>
      </c>
      <c r="H16448">
        <f>IF(DATOS!$G16448&lt;&gt;"EX",0,--(COUNTIFS(nNIA,DATOS!$A16448,nCURSO,DATOS!$D16448,nESPEC,DATOS!$E16448,nASIG,DATOS!$I16448,nEVAL,"OR")=0))</f>
      </c>
      <c r="I16448">
        <f>IF(DATOS!$I16448="","",IFERROR(VLOOKUP(DATOS!$I16448,CONFIG_ASIGNATURAS!$B$2:$J$91,9,FALSE()),""))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IF(DATOS!$A16449="",0,IF(CONFIG_METADATA!$B$4&lt;&gt;"OR+EX",--(DATOS!$G16449=CONFIG_METADATA!$B$4),IF(DATOS!$G16449="EX",1,IF(DATOS!$G16449="OR",--(COUNTIFS(nNIA,DATOS!$A16449,nCURSO,DATOS!$D16449,nESPEC,DATOS!$E16449,nASIG,DATOS!$I16449,nEVAL,"EX")=0),0))))</f>
      </c>
      <c r="H16449">
        <f>IF(DATOS!$G16449&lt;&gt;"EX",0,--(COUNTIFS(nNIA,DATOS!$A16449,nCURSO,DATOS!$D16449,nESPEC,DATOS!$E16449,nASIG,DATOS!$I16449,nEVAL,"OR")=0))</f>
      </c>
      <c r="I16449">
        <f>IF(DATOS!$I16449="","",IFERROR(VLOOKUP(DATOS!$I16449,CONFIG_ASIGNATURAS!$B$2:$J$91,9,FALSE()),""))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IF(DATOS!$A16450="",0,IF(CONFIG_METADATA!$B$4&lt;&gt;"OR+EX",--(DATOS!$G16450=CONFIG_METADATA!$B$4),IF(DATOS!$G16450="EX",1,IF(DATOS!$G16450="OR",--(COUNTIFS(nNIA,DATOS!$A16450,nCURSO,DATOS!$D16450,nESPEC,DATOS!$E16450,nASIG,DATOS!$I16450,nEVAL,"EX")=0),0))))</f>
      </c>
      <c r="H16450">
        <f>IF(DATOS!$G16450&lt;&gt;"EX",0,--(COUNTIFS(nNIA,DATOS!$A16450,nCURSO,DATOS!$D16450,nESPEC,DATOS!$E16450,nASIG,DATOS!$I16450,nEVAL,"OR")=0))</f>
      </c>
      <c r="I16450">
        <f>IF(DATOS!$I16450="","",IFERROR(VLOOKUP(DATOS!$I16450,CONFIG_ASIGNATURAS!$B$2:$J$91,9,FALSE()),""))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IF(DATOS!$A16451="",0,IF(CONFIG_METADATA!$B$4&lt;&gt;"OR+EX",--(DATOS!$G16451=CONFIG_METADATA!$B$4),IF(DATOS!$G16451="EX",1,IF(DATOS!$G16451="OR",--(COUNTIFS(nNIA,DATOS!$A16451,nCURSO,DATOS!$D16451,nESPEC,DATOS!$E16451,nASIG,DATOS!$I16451,nEVAL,"EX")=0),0))))</f>
      </c>
      <c r="H16451">
        <f>IF(DATOS!$G16451&lt;&gt;"EX",0,--(COUNTIFS(nNIA,DATOS!$A16451,nCURSO,DATOS!$D16451,nESPEC,DATOS!$E16451,nASIG,DATOS!$I16451,nEVAL,"OR")=0))</f>
      </c>
      <c r="I16451">
        <f>IF(DATOS!$I16451="","",IFERROR(VLOOKUP(DATOS!$I16451,CONFIG_ASIGNATURAS!$B$2:$J$91,9,FALSE()),""))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IF(DATOS!$A16452="",0,IF(CONFIG_METADATA!$B$4&lt;&gt;"OR+EX",--(DATOS!$G16452=CONFIG_METADATA!$B$4),IF(DATOS!$G16452="EX",1,IF(DATOS!$G16452="OR",--(COUNTIFS(nNIA,DATOS!$A16452,nCURSO,DATOS!$D16452,nESPEC,DATOS!$E16452,nASIG,DATOS!$I16452,nEVAL,"EX")=0),0))))</f>
      </c>
      <c r="H16452">
        <f>IF(DATOS!$G16452&lt;&gt;"EX",0,--(COUNTIFS(nNIA,DATOS!$A16452,nCURSO,DATOS!$D16452,nESPEC,DATOS!$E16452,nASIG,DATOS!$I16452,nEVAL,"OR")=0))</f>
      </c>
      <c r="I16452">
        <f>IF(DATOS!$I16452="","",IFERROR(VLOOKUP(DATOS!$I16452,CONFIG_ASIGNATURAS!$B$2:$J$91,9,FALSE()),""))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IF(DATOS!$A16453="",0,IF(CONFIG_METADATA!$B$4&lt;&gt;"OR+EX",--(DATOS!$G16453=CONFIG_METADATA!$B$4),IF(DATOS!$G16453="EX",1,IF(DATOS!$G16453="OR",--(COUNTIFS(nNIA,DATOS!$A16453,nCURSO,DATOS!$D16453,nESPEC,DATOS!$E16453,nASIG,DATOS!$I16453,nEVAL,"EX")=0),0))))</f>
      </c>
      <c r="H16453">
        <f>IF(DATOS!$G16453&lt;&gt;"EX",0,--(COUNTIFS(nNIA,DATOS!$A16453,nCURSO,DATOS!$D16453,nESPEC,DATOS!$E16453,nASIG,DATOS!$I16453,nEVAL,"OR")=0))</f>
      </c>
      <c r="I16453">
        <f>IF(DATOS!$I16453="","",IFERROR(VLOOKUP(DATOS!$I16453,CONFIG_ASIGNATURAS!$B$2:$J$91,9,FALSE()),""))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IF(DATOS!$A16454="",0,IF(CONFIG_METADATA!$B$4&lt;&gt;"OR+EX",--(DATOS!$G16454=CONFIG_METADATA!$B$4),IF(DATOS!$G16454="EX",1,IF(DATOS!$G16454="OR",--(COUNTIFS(nNIA,DATOS!$A16454,nCURSO,DATOS!$D16454,nESPEC,DATOS!$E16454,nASIG,DATOS!$I16454,nEVAL,"EX")=0),0))))</f>
      </c>
      <c r="H16454">
        <f>IF(DATOS!$G16454&lt;&gt;"EX",0,--(COUNTIFS(nNIA,DATOS!$A16454,nCURSO,DATOS!$D16454,nESPEC,DATOS!$E16454,nASIG,DATOS!$I16454,nEVAL,"OR")=0))</f>
      </c>
      <c r="I16454">
        <f>IF(DATOS!$I16454="","",IFERROR(VLOOKUP(DATOS!$I16454,CONFIG_ASIGNATURAS!$B$2:$J$91,9,FALSE()),""))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IF(DATOS!$A16455="",0,IF(CONFIG_METADATA!$B$4&lt;&gt;"OR+EX",--(DATOS!$G16455=CONFIG_METADATA!$B$4),IF(DATOS!$G16455="EX",1,IF(DATOS!$G16455="OR",--(COUNTIFS(nNIA,DATOS!$A16455,nCURSO,DATOS!$D16455,nESPEC,DATOS!$E16455,nASIG,DATOS!$I16455,nEVAL,"EX")=0),0))))</f>
      </c>
      <c r="H16455">
        <f>IF(DATOS!$G16455&lt;&gt;"EX",0,--(COUNTIFS(nNIA,DATOS!$A16455,nCURSO,DATOS!$D16455,nESPEC,DATOS!$E16455,nASIG,DATOS!$I16455,nEVAL,"OR")=0))</f>
      </c>
      <c r="I16455">
        <f>IF(DATOS!$I16455="","",IFERROR(VLOOKUP(DATOS!$I16455,CONFIG_ASIGNATURAS!$B$2:$J$91,9,FALSE()),""))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IF(DATOS!$A16456="",0,IF(CONFIG_METADATA!$B$4&lt;&gt;"OR+EX",--(DATOS!$G16456=CONFIG_METADATA!$B$4),IF(DATOS!$G16456="EX",1,IF(DATOS!$G16456="OR",--(COUNTIFS(nNIA,DATOS!$A16456,nCURSO,DATOS!$D16456,nESPEC,DATOS!$E16456,nASIG,DATOS!$I16456,nEVAL,"EX")=0),0))))</f>
      </c>
      <c r="H16456">
        <f>IF(DATOS!$G16456&lt;&gt;"EX",0,--(COUNTIFS(nNIA,DATOS!$A16456,nCURSO,DATOS!$D16456,nESPEC,DATOS!$E16456,nASIG,DATOS!$I16456,nEVAL,"OR")=0))</f>
      </c>
      <c r="I16456">
        <f>IF(DATOS!$I16456="","",IFERROR(VLOOKUP(DATOS!$I16456,CONFIG_ASIGNATURAS!$B$2:$J$91,9,FALSE()),""))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IF(DATOS!$A16457="",0,IF(CONFIG_METADATA!$B$4&lt;&gt;"OR+EX",--(DATOS!$G16457=CONFIG_METADATA!$B$4),IF(DATOS!$G16457="EX",1,IF(DATOS!$G16457="OR",--(COUNTIFS(nNIA,DATOS!$A16457,nCURSO,DATOS!$D16457,nESPEC,DATOS!$E16457,nASIG,DATOS!$I16457,nEVAL,"EX")=0),0))))</f>
      </c>
      <c r="H16457">
        <f>IF(DATOS!$G16457&lt;&gt;"EX",0,--(COUNTIFS(nNIA,DATOS!$A16457,nCURSO,DATOS!$D16457,nESPEC,DATOS!$E16457,nASIG,DATOS!$I16457,nEVAL,"OR")=0))</f>
      </c>
      <c r="I16457">
        <f>IF(DATOS!$I16457="","",IFERROR(VLOOKUP(DATOS!$I16457,CONFIG_ASIGNATURAS!$B$2:$J$91,9,FALSE()),""))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IF(DATOS!$A16458="",0,IF(CONFIG_METADATA!$B$4&lt;&gt;"OR+EX",--(DATOS!$G16458=CONFIG_METADATA!$B$4),IF(DATOS!$G16458="EX",1,IF(DATOS!$G16458="OR",--(COUNTIFS(nNIA,DATOS!$A16458,nCURSO,DATOS!$D16458,nESPEC,DATOS!$E16458,nASIG,DATOS!$I16458,nEVAL,"EX")=0),0))))</f>
      </c>
      <c r="H16458">
        <f>IF(DATOS!$G16458&lt;&gt;"EX",0,--(COUNTIFS(nNIA,DATOS!$A16458,nCURSO,DATOS!$D16458,nESPEC,DATOS!$E16458,nASIG,DATOS!$I16458,nEVAL,"OR")=0))</f>
      </c>
      <c r="I16458">
        <f>IF(DATOS!$I16458="","",IFERROR(VLOOKUP(DATOS!$I16458,CONFIG_ASIGNATURAS!$B$2:$J$91,9,FALSE()),""))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IF(DATOS!$A16459="",0,IF(CONFIG_METADATA!$B$4&lt;&gt;"OR+EX",--(DATOS!$G16459=CONFIG_METADATA!$B$4),IF(DATOS!$G16459="EX",1,IF(DATOS!$G16459="OR",--(COUNTIFS(nNIA,DATOS!$A16459,nCURSO,DATOS!$D16459,nESPEC,DATOS!$E16459,nASIG,DATOS!$I16459,nEVAL,"EX")=0),0))))</f>
      </c>
      <c r="H16459">
        <f>IF(DATOS!$G16459&lt;&gt;"EX",0,--(COUNTIFS(nNIA,DATOS!$A16459,nCURSO,DATOS!$D16459,nESPEC,DATOS!$E16459,nASIG,DATOS!$I16459,nEVAL,"OR")=0))</f>
      </c>
      <c r="I16459">
        <f>IF(DATOS!$I16459="","",IFERROR(VLOOKUP(DATOS!$I16459,CONFIG_ASIGNATURAS!$B$2:$J$91,9,FALSE()),""))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IF(DATOS!$A16460="",0,IF(CONFIG_METADATA!$B$4&lt;&gt;"OR+EX",--(DATOS!$G16460=CONFIG_METADATA!$B$4),IF(DATOS!$G16460="EX",1,IF(DATOS!$G16460="OR",--(COUNTIFS(nNIA,DATOS!$A16460,nCURSO,DATOS!$D16460,nESPEC,DATOS!$E16460,nASIG,DATOS!$I16460,nEVAL,"EX")=0),0))))</f>
      </c>
      <c r="H16460">
        <f>IF(DATOS!$G16460&lt;&gt;"EX",0,--(COUNTIFS(nNIA,DATOS!$A16460,nCURSO,DATOS!$D16460,nESPEC,DATOS!$E16460,nASIG,DATOS!$I16460,nEVAL,"OR")=0))</f>
      </c>
      <c r="I16460">
        <f>IF(DATOS!$I16460="","",IFERROR(VLOOKUP(DATOS!$I16460,CONFIG_ASIGNATURAS!$B$2:$J$91,9,FALSE()),""))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IF(DATOS!$A16461="",0,IF(CONFIG_METADATA!$B$4&lt;&gt;"OR+EX",--(DATOS!$G16461=CONFIG_METADATA!$B$4),IF(DATOS!$G16461="EX",1,IF(DATOS!$G16461="OR",--(COUNTIFS(nNIA,DATOS!$A16461,nCURSO,DATOS!$D16461,nESPEC,DATOS!$E16461,nASIG,DATOS!$I16461,nEVAL,"EX")=0),0))))</f>
      </c>
      <c r="H16461">
        <f>IF(DATOS!$G16461&lt;&gt;"EX",0,--(COUNTIFS(nNIA,DATOS!$A16461,nCURSO,DATOS!$D16461,nESPEC,DATOS!$E16461,nASIG,DATOS!$I16461,nEVAL,"OR")=0))</f>
      </c>
      <c r="I16461">
        <f>IF(DATOS!$I16461="","",IFERROR(VLOOKUP(DATOS!$I16461,CONFIG_ASIGNATURAS!$B$2:$J$91,9,FALSE()),""))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IF(DATOS!$A16462="",0,IF(CONFIG_METADATA!$B$4&lt;&gt;"OR+EX",--(DATOS!$G16462=CONFIG_METADATA!$B$4),IF(DATOS!$G16462="EX",1,IF(DATOS!$G16462="OR",--(COUNTIFS(nNIA,DATOS!$A16462,nCURSO,DATOS!$D16462,nESPEC,DATOS!$E16462,nASIG,DATOS!$I16462,nEVAL,"EX")=0),0))))</f>
      </c>
      <c r="H16462">
        <f>IF(DATOS!$G16462&lt;&gt;"EX",0,--(COUNTIFS(nNIA,DATOS!$A16462,nCURSO,DATOS!$D16462,nESPEC,DATOS!$E16462,nASIG,DATOS!$I16462,nEVAL,"OR")=0))</f>
      </c>
      <c r="I16462">
        <f>IF(DATOS!$I16462="","",IFERROR(VLOOKUP(DATOS!$I16462,CONFIG_ASIGNATURAS!$B$2:$J$91,9,FALSE()),""))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IF(DATOS!$A16463="",0,IF(CONFIG_METADATA!$B$4&lt;&gt;"OR+EX",--(DATOS!$G16463=CONFIG_METADATA!$B$4),IF(DATOS!$G16463="EX",1,IF(DATOS!$G16463="OR",--(COUNTIFS(nNIA,DATOS!$A16463,nCURSO,DATOS!$D16463,nESPEC,DATOS!$E16463,nASIG,DATOS!$I16463,nEVAL,"EX")=0),0))))</f>
      </c>
      <c r="H16463">
        <f>IF(DATOS!$G16463&lt;&gt;"EX",0,--(COUNTIFS(nNIA,DATOS!$A16463,nCURSO,DATOS!$D16463,nESPEC,DATOS!$E16463,nASIG,DATOS!$I16463,nEVAL,"OR")=0))</f>
      </c>
      <c r="I16463">
        <f>IF(DATOS!$I16463="","",IFERROR(VLOOKUP(DATOS!$I16463,CONFIG_ASIGNATURAS!$B$2:$J$91,9,FALSE()),""))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IF(DATOS!$A16464="",0,IF(CONFIG_METADATA!$B$4&lt;&gt;"OR+EX",--(DATOS!$G16464=CONFIG_METADATA!$B$4),IF(DATOS!$G16464="EX",1,IF(DATOS!$G16464="OR",--(COUNTIFS(nNIA,DATOS!$A16464,nCURSO,DATOS!$D16464,nESPEC,DATOS!$E16464,nASIG,DATOS!$I16464,nEVAL,"EX")=0),0))))</f>
      </c>
      <c r="H16464">
        <f>IF(DATOS!$G16464&lt;&gt;"EX",0,--(COUNTIFS(nNIA,DATOS!$A16464,nCURSO,DATOS!$D16464,nESPEC,DATOS!$E16464,nASIG,DATOS!$I16464,nEVAL,"OR")=0))</f>
      </c>
      <c r="I16464">
        <f>IF(DATOS!$I16464="","",IFERROR(VLOOKUP(DATOS!$I16464,CONFIG_ASIGNATURAS!$B$2:$J$91,9,FALSE()),""))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IF(DATOS!$A16465="",0,IF(CONFIG_METADATA!$B$4&lt;&gt;"OR+EX",--(DATOS!$G16465=CONFIG_METADATA!$B$4),IF(DATOS!$G16465="EX",1,IF(DATOS!$G16465="OR",--(COUNTIFS(nNIA,DATOS!$A16465,nCURSO,DATOS!$D16465,nESPEC,DATOS!$E16465,nASIG,DATOS!$I16465,nEVAL,"EX")=0),0))))</f>
      </c>
      <c r="H16465">
        <f>IF(DATOS!$G16465&lt;&gt;"EX",0,--(COUNTIFS(nNIA,DATOS!$A16465,nCURSO,DATOS!$D16465,nESPEC,DATOS!$E16465,nASIG,DATOS!$I16465,nEVAL,"OR")=0))</f>
      </c>
      <c r="I16465">
        <f>IF(DATOS!$I16465="","",IFERROR(VLOOKUP(DATOS!$I16465,CONFIG_ASIGNATURAS!$B$2:$J$91,9,FALSE()),""))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IF(DATOS!$A16466="",0,IF(CONFIG_METADATA!$B$4&lt;&gt;"OR+EX",--(DATOS!$G16466=CONFIG_METADATA!$B$4),IF(DATOS!$G16466="EX",1,IF(DATOS!$G16466="OR",--(COUNTIFS(nNIA,DATOS!$A16466,nCURSO,DATOS!$D16466,nESPEC,DATOS!$E16466,nASIG,DATOS!$I16466,nEVAL,"EX")=0),0))))</f>
      </c>
      <c r="H16466">
        <f>IF(DATOS!$G16466&lt;&gt;"EX",0,--(COUNTIFS(nNIA,DATOS!$A16466,nCURSO,DATOS!$D16466,nESPEC,DATOS!$E16466,nASIG,DATOS!$I16466,nEVAL,"OR")=0))</f>
      </c>
      <c r="I16466">
        <f>IF(DATOS!$I16466="","",IFERROR(VLOOKUP(DATOS!$I16466,CONFIG_ASIGNATURAS!$B$2:$J$91,9,FALSE()),""))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IF(DATOS!$A16467="",0,IF(CONFIG_METADATA!$B$4&lt;&gt;"OR+EX",--(DATOS!$G16467=CONFIG_METADATA!$B$4),IF(DATOS!$G16467="EX",1,IF(DATOS!$G16467="OR",--(COUNTIFS(nNIA,DATOS!$A16467,nCURSO,DATOS!$D16467,nESPEC,DATOS!$E16467,nASIG,DATOS!$I16467,nEVAL,"EX")=0),0))))</f>
      </c>
      <c r="H16467">
        <f>IF(DATOS!$G16467&lt;&gt;"EX",0,--(COUNTIFS(nNIA,DATOS!$A16467,nCURSO,DATOS!$D16467,nESPEC,DATOS!$E16467,nASIG,DATOS!$I16467,nEVAL,"OR")=0))</f>
      </c>
      <c r="I16467">
        <f>IF(DATOS!$I16467="","",IFERROR(VLOOKUP(DATOS!$I16467,CONFIG_ASIGNATURAS!$B$2:$J$91,9,FALSE()),""))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IF(DATOS!$A16468="",0,IF(CONFIG_METADATA!$B$4&lt;&gt;"OR+EX",--(DATOS!$G16468=CONFIG_METADATA!$B$4),IF(DATOS!$G16468="EX",1,IF(DATOS!$G16468="OR",--(COUNTIFS(nNIA,DATOS!$A16468,nCURSO,DATOS!$D16468,nESPEC,DATOS!$E16468,nASIG,DATOS!$I16468,nEVAL,"EX")=0),0))))</f>
      </c>
      <c r="H16468">
        <f>IF(DATOS!$G16468&lt;&gt;"EX",0,--(COUNTIFS(nNIA,DATOS!$A16468,nCURSO,DATOS!$D16468,nESPEC,DATOS!$E16468,nASIG,DATOS!$I16468,nEVAL,"OR")=0))</f>
      </c>
      <c r="I16468">
        <f>IF(DATOS!$I16468="","",IFERROR(VLOOKUP(DATOS!$I16468,CONFIG_ASIGNATURAS!$B$2:$J$91,9,FALSE()),""))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IF(DATOS!$A16469="",0,IF(CONFIG_METADATA!$B$4&lt;&gt;"OR+EX",--(DATOS!$G16469=CONFIG_METADATA!$B$4),IF(DATOS!$G16469="EX",1,IF(DATOS!$G16469="OR",--(COUNTIFS(nNIA,DATOS!$A16469,nCURSO,DATOS!$D16469,nESPEC,DATOS!$E16469,nASIG,DATOS!$I16469,nEVAL,"EX")=0),0))))</f>
      </c>
      <c r="H16469">
        <f>IF(DATOS!$G16469&lt;&gt;"EX",0,--(COUNTIFS(nNIA,DATOS!$A16469,nCURSO,DATOS!$D16469,nESPEC,DATOS!$E16469,nASIG,DATOS!$I16469,nEVAL,"OR")=0))</f>
      </c>
      <c r="I16469">
        <f>IF(DATOS!$I16469="","",IFERROR(VLOOKUP(DATOS!$I16469,CONFIG_ASIGNATURAS!$B$2:$J$91,9,FALSE()),""))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IF(DATOS!$A16470="",0,IF(CONFIG_METADATA!$B$4&lt;&gt;"OR+EX",--(DATOS!$G16470=CONFIG_METADATA!$B$4),IF(DATOS!$G16470="EX",1,IF(DATOS!$G16470="OR",--(COUNTIFS(nNIA,DATOS!$A16470,nCURSO,DATOS!$D16470,nESPEC,DATOS!$E16470,nASIG,DATOS!$I16470,nEVAL,"EX")=0),0))))</f>
      </c>
      <c r="H16470">
        <f>IF(DATOS!$G16470&lt;&gt;"EX",0,--(COUNTIFS(nNIA,DATOS!$A16470,nCURSO,DATOS!$D16470,nESPEC,DATOS!$E16470,nASIG,DATOS!$I16470,nEVAL,"OR")=0))</f>
      </c>
      <c r="I16470">
        <f>IF(DATOS!$I16470="","",IFERROR(VLOOKUP(DATOS!$I16470,CONFIG_ASIGNATURAS!$B$2:$J$91,9,FALSE()),""))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IF(DATOS!$A16471="",0,IF(CONFIG_METADATA!$B$4&lt;&gt;"OR+EX",--(DATOS!$G16471=CONFIG_METADATA!$B$4),IF(DATOS!$G16471="EX",1,IF(DATOS!$G16471="OR",--(COUNTIFS(nNIA,DATOS!$A16471,nCURSO,DATOS!$D16471,nESPEC,DATOS!$E16471,nASIG,DATOS!$I16471,nEVAL,"EX")=0),0))))</f>
      </c>
      <c r="H16471">
        <f>IF(DATOS!$G16471&lt;&gt;"EX",0,--(COUNTIFS(nNIA,DATOS!$A16471,nCURSO,DATOS!$D16471,nESPEC,DATOS!$E16471,nASIG,DATOS!$I16471,nEVAL,"OR")=0))</f>
      </c>
      <c r="I16471">
        <f>IF(DATOS!$I16471="","",IFERROR(VLOOKUP(DATOS!$I16471,CONFIG_ASIGNATURAS!$B$2:$J$91,9,FALSE()),""))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IF(DATOS!$A16472="",0,IF(CONFIG_METADATA!$B$4&lt;&gt;"OR+EX",--(DATOS!$G16472=CONFIG_METADATA!$B$4),IF(DATOS!$G16472="EX",1,IF(DATOS!$G16472="OR",--(COUNTIFS(nNIA,DATOS!$A16472,nCURSO,DATOS!$D16472,nESPEC,DATOS!$E16472,nASIG,DATOS!$I16472,nEVAL,"EX")=0),0))))</f>
      </c>
      <c r="H16472">
        <f>IF(DATOS!$G16472&lt;&gt;"EX",0,--(COUNTIFS(nNIA,DATOS!$A16472,nCURSO,DATOS!$D16472,nESPEC,DATOS!$E16472,nASIG,DATOS!$I16472,nEVAL,"OR")=0))</f>
      </c>
      <c r="I16472">
        <f>IF(DATOS!$I16472="","",IFERROR(VLOOKUP(DATOS!$I16472,CONFIG_ASIGNATURAS!$B$2:$J$91,9,FALSE()),""))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IF(DATOS!$A16473="",0,IF(CONFIG_METADATA!$B$4&lt;&gt;"OR+EX",--(DATOS!$G16473=CONFIG_METADATA!$B$4),IF(DATOS!$G16473="EX",1,IF(DATOS!$G16473="OR",--(COUNTIFS(nNIA,DATOS!$A16473,nCURSO,DATOS!$D16473,nESPEC,DATOS!$E16473,nASIG,DATOS!$I16473,nEVAL,"EX")=0),0))))</f>
      </c>
      <c r="H16473">
        <f>IF(DATOS!$G16473&lt;&gt;"EX",0,--(COUNTIFS(nNIA,DATOS!$A16473,nCURSO,DATOS!$D16473,nESPEC,DATOS!$E16473,nASIG,DATOS!$I16473,nEVAL,"OR")=0))</f>
      </c>
      <c r="I16473">
        <f>IF(DATOS!$I16473="","",IFERROR(VLOOKUP(DATOS!$I16473,CONFIG_ASIGNATURAS!$B$2:$J$91,9,FALSE()),""))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IF(DATOS!$A16474="",0,IF(CONFIG_METADATA!$B$4&lt;&gt;"OR+EX",--(DATOS!$G16474=CONFIG_METADATA!$B$4),IF(DATOS!$G16474="EX",1,IF(DATOS!$G16474="OR",--(COUNTIFS(nNIA,DATOS!$A16474,nCURSO,DATOS!$D16474,nESPEC,DATOS!$E16474,nASIG,DATOS!$I16474,nEVAL,"EX")=0),0))))</f>
      </c>
      <c r="H16474">
        <f>IF(DATOS!$G16474&lt;&gt;"EX",0,--(COUNTIFS(nNIA,DATOS!$A16474,nCURSO,DATOS!$D16474,nESPEC,DATOS!$E16474,nASIG,DATOS!$I16474,nEVAL,"OR")=0))</f>
      </c>
      <c r="I16474">
        <f>IF(DATOS!$I16474="","",IFERROR(VLOOKUP(DATOS!$I16474,CONFIG_ASIGNATURAS!$B$2:$J$91,9,FALSE()),""))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IF(DATOS!$A16475="",0,IF(CONFIG_METADATA!$B$4&lt;&gt;"OR+EX",--(DATOS!$G16475=CONFIG_METADATA!$B$4),IF(DATOS!$G16475="EX",1,IF(DATOS!$G16475="OR",--(COUNTIFS(nNIA,DATOS!$A16475,nCURSO,DATOS!$D16475,nESPEC,DATOS!$E16475,nASIG,DATOS!$I16475,nEVAL,"EX")=0),0))))</f>
      </c>
      <c r="H16475">
        <f>IF(DATOS!$G16475&lt;&gt;"EX",0,--(COUNTIFS(nNIA,DATOS!$A16475,nCURSO,DATOS!$D16475,nESPEC,DATOS!$E16475,nASIG,DATOS!$I16475,nEVAL,"OR")=0))</f>
      </c>
      <c r="I16475">
        <f>IF(DATOS!$I16475="","",IFERROR(VLOOKUP(DATOS!$I16475,CONFIG_ASIGNATURAS!$B$2:$J$91,9,FALSE()),""))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IF(DATOS!$A16476="",0,IF(CONFIG_METADATA!$B$4&lt;&gt;"OR+EX",--(DATOS!$G16476=CONFIG_METADATA!$B$4),IF(DATOS!$G16476="EX",1,IF(DATOS!$G16476="OR",--(COUNTIFS(nNIA,DATOS!$A16476,nCURSO,DATOS!$D16476,nESPEC,DATOS!$E16476,nASIG,DATOS!$I16476,nEVAL,"EX")=0),0))))</f>
      </c>
      <c r="H16476">
        <f>IF(DATOS!$G16476&lt;&gt;"EX",0,--(COUNTIFS(nNIA,DATOS!$A16476,nCURSO,DATOS!$D16476,nESPEC,DATOS!$E16476,nASIG,DATOS!$I16476,nEVAL,"OR")=0))</f>
      </c>
      <c r="I16476">
        <f>IF(DATOS!$I16476="","",IFERROR(VLOOKUP(DATOS!$I16476,CONFIG_ASIGNATURAS!$B$2:$J$91,9,FALSE()),""))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IF(DATOS!$A16477="",0,IF(CONFIG_METADATA!$B$4&lt;&gt;"OR+EX",--(DATOS!$G16477=CONFIG_METADATA!$B$4),IF(DATOS!$G16477="EX",1,IF(DATOS!$G16477="OR",--(COUNTIFS(nNIA,DATOS!$A16477,nCURSO,DATOS!$D16477,nESPEC,DATOS!$E16477,nASIG,DATOS!$I16477,nEVAL,"EX")=0),0))))</f>
      </c>
      <c r="H16477">
        <f>IF(DATOS!$G16477&lt;&gt;"EX",0,--(COUNTIFS(nNIA,DATOS!$A16477,nCURSO,DATOS!$D16477,nESPEC,DATOS!$E16477,nASIG,DATOS!$I16477,nEVAL,"OR")=0))</f>
      </c>
      <c r="I16477">
        <f>IF(DATOS!$I16477="","",IFERROR(VLOOKUP(DATOS!$I16477,CONFIG_ASIGNATURAS!$B$2:$J$91,9,FALSE()),""))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IF(DATOS!$A16478="",0,IF(CONFIG_METADATA!$B$4&lt;&gt;"OR+EX",--(DATOS!$G16478=CONFIG_METADATA!$B$4),IF(DATOS!$G16478="EX",1,IF(DATOS!$G16478="OR",--(COUNTIFS(nNIA,DATOS!$A16478,nCURSO,DATOS!$D16478,nESPEC,DATOS!$E16478,nASIG,DATOS!$I16478,nEVAL,"EX")=0),0))))</f>
      </c>
      <c r="H16478">
        <f>IF(DATOS!$G16478&lt;&gt;"EX",0,--(COUNTIFS(nNIA,DATOS!$A16478,nCURSO,DATOS!$D16478,nESPEC,DATOS!$E16478,nASIG,DATOS!$I16478,nEVAL,"OR")=0))</f>
      </c>
      <c r="I16478">
        <f>IF(DATOS!$I16478="","",IFERROR(VLOOKUP(DATOS!$I16478,CONFIG_ASIGNATURAS!$B$2:$J$91,9,FALSE()),""))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IF(DATOS!$A16479="",0,IF(CONFIG_METADATA!$B$4&lt;&gt;"OR+EX",--(DATOS!$G16479=CONFIG_METADATA!$B$4),IF(DATOS!$G16479="EX",1,IF(DATOS!$G16479="OR",--(COUNTIFS(nNIA,DATOS!$A16479,nCURSO,DATOS!$D16479,nESPEC,DATOS!$E16479,nASIG,DATOS!$I16479,nEVAL,"EX")=0),0))))</f>
      </c>
      <c r="H16479">
        <f>IF(DATOS!$G16479&lt;&gt;"EX",0,--(COUNTIFS(nNIA,DATOS!$A16479,nCURSO,DATOS!$D16479,nESPEC,DATOS!$E16479,nASIG,DATOS!$I16479,nEVAL,"OR")=0))</f>
      </c>
      <c r="I16479">
        <f>IF(DATOS!$I16479="","",IFERROR(VLOOKUP(DATOS!$I16479,CONFIG_ASIGNATURAS!$B$2:$J$91,9,FALSE()),""))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IF(DATOS!$A16480="",0,IF(CONFIG_METADATA!$B$4&lt;&gt;"OR+EX",--(DATOS!$G16480=CONFIG_METADATA!$B$4),IF(DATOS!$G16480="EX",1,IF(DATOS!$G16480="OR",--(COUNTIFS(nNIA,DATOS!$A16480,nCURSO,DATOS!$D16480,nESPEC,DATOS!$E16480,nASIG,DATOS!$I16480,nEVAL,"EX")=0),0))))</f>
      </c>
      <c r="H16480">
        <f>IF(DATOS!$G16480&lt;&gt;"EX",0,--(COUNTIFS(nNIA,DATOS!$A16480,nCURSO,DATOS!$D16480,nESPEC,DATOS!$E16480,nASIG,DATOS!$I16480,nEVAL,"OR")=0))</f>
      </c>
      <c r="I16480">
        <f>IF(DATOS!$I16480="","",IFERROR(VLOOKUP(DATOS!$I16480,CONFIG_ASIGNATURAS!$B$2:$J$91,9,FALSE()),""))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IF(DATOS!$A16481="",0,IF(CONFIG_METADATA!$B$4&lt;&gt;"OR+EX",--(DATOS!$G16481=CONFIG_METADATA!$B$4),IF(DATOS!$G16481="EX",1,IF(DATOS!$G16481="OR",--(COUNTIFS(nNIA,DATOS!$A16481,nCURSO,DATOS!$D16481,nESPEC,DATOS!$E16481,nASIG,DATOS!$I16481,nEVAL,"EX")=0),0))))</f>
      </c>
      <c r="H16481">
        <f>IF(DATOS!$G16481&lt;&gt;"EX",0,--(COUNTIFS(nNIA,DATOS!$A16481,nCURSO,DATOS!$D16481,nESPEC,DATOS!$E16481,nASIG,DATOS!$I16481,nEVAL,"OR")=0))</f>
      </c>
      <c r="I16481">
        <f>IF(DATOS!$I16481="","",IFERROR(VLOOKUP(DATOS!$I16481,CONFIG_ASIGNATURAS!$B$2:$J$91,9,FALSE()),""))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IF(DATOS!$A16482="",0,IF(CONFIG_METADATA!$B$4&lt;&gt;"OR+EX",--(DATOS!$G16482=CONFIG_METADATA!$B$4),IF(DATOS!$G16482="EX",1,IF(DATOS!$G16482="OR",--(COUNTIFS(nNIA,DATOS!$A16482,nCURSO,DATOS!$D16482,nESPEC,DATOS!$E16482,nASIG,DATOS!$I16482,nEVAL,"EX")=0),0))))</f>
      </c>
      <c r="H16482">
        <f>IF(DATOS!$G16482&lt;&gt;"EX",0,--(COUNTIFS(nNIA,DATOS!$A16482,nCURSO,DATOS!$D16482,nESPEC,DATOS!$E16482,nASIG,DATOS!$I16482,nEVAL,"OR")=0))</f>
      </c>
      <c r="I16482">
        <f>IF(DATOS!$I16482="","",IFERROR(VLOOKUP(DATOS!$I16482,CONFIG_ASIGNATURAS!$B$2:$J$91,9,FALSE()),""))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IF(DATOS!$A16483="",0,IF(CONFIG_METADATA!$B$4&lt;&gt;"OR+EX",--(DATOS!$G16483=CONFIG_METADATA!$B$4),IF(DATOS!$G16483="EX",1,IF(DATOS!$G16483="OR",--(COUNTIFS(nNIA,DATOS!$A16483,nCURSO,DATOS!$D16483,nESPEC,DATOS!$E16483,nASIG,DATOS!$I16483,nEVAL,"EX")=0),0))))</f>
      </c>
      <c r="H16483">
        <f>IF(DATOS!$G16483&lt;&gt;"EX",0,--(COUNTIFS(nNIA,DATOS!$A16483,nCURSO,DATOS!$D16483,nESPEC,DATOS!$E16483,nASIG,DATOS!$I16483,nEVAL,"OR")=0))</f>
      </c>
      <c r="I16483">
        <f>IF(DATOS!$I16483="","",IFERROR(VLOOKUP(DATOS!$I16483,CONFIG_ASIGNATURAS!$B$2:$J$91,9,FALSE()),""))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IF(DATOS!$A16484="",0,IF(CONFIG_METADATA!$B$4&lt;&gt;"OR+EX",--(DATOS!$G16484=CONFIG_METADATA!$B$4),IF(DATOS!$G16484="EX",1,IF(DATOS!$G16484="OR",--(COUNTIFS(nNIA,DATOS!$A16484,nCURSO,DATOS!$D16484,nESPEC,DATOS!$E16484,nASIG,DATOS!$I16484,nEVAL,"EX")=0),0))))</f>
      </c>
      <c r="H16484">
        <f>IF(DATOS!$G16484&lt;&gt;"EX",0,--(COUNTIFS(nNIA,DATOS!$A16484,nCURSO,DATOS!$D16484,nESPEC,DATOS!$E16484,nASIG,DATOS!$I16484,nEVAL,"OR")=0))</f>
      </c>
      <c r="I16484">
        <f>IF(DATOS!$I16484="","",IFERROR(VLOOKUP(DATOS!$I16484,CONFIG_ASIGNATURAS!$B$2:$J$91,9,FALSE()),""))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IF(DATOS!$A16485="",0,IF(CONFIG_METADATA!$B$4&lt;&gt;"OR+EX",--(DATOS!$G16485=CONFIG_METADATA!$B$4),IF(DATOS!$G16485="EX",1,IF(DATOS!$G16485="OR",--(COUNTIFS(nNIA,DATOS!$A16485,nCURSO,DATOS!$D16485,nESPEC,DATOS!$E16485,nASIG,DATOS!$I16485,nEVAL,"EX")=0),0))))</f>
      </c>
      <c r="H16485">
        <f>IF(DATOS!$G16485&lt;&gt;"EX",0,--(COUNTIFS(nNIA,DATOS!$A16485,nCURSO,DATOS!$D16485,nESPEC,DATOS!$E16485,nASIG,DATOS!$I16485,nEVAL,"OR")=0))</f>
      </c>
      <c r="I16485">
        <f>IF(DATOS!$I16485="","",IFERROR(VLOOKUP(DATOS!$I16485,CONFIG_ASIGNATURAS!$B$2:$J$91,9,FALSE()),""))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IF(DATOS!$A16486="",0,IF(CONFIG_METADATA!$B$4&lt;&gt;"OR+EX",--(DATOS!$G16486=CONFIG_METADATA!$B$4),IF(DATOS!$G16486="EX",1,IF(DATOS!$G16486="OR",--(COUNTIFS(nNIA,DATOS!$A16486,nCURSO,DATOS!$D16486,nESPEC,DATOS!$E16486,nASIG,DATOS!$I16486,nEVAL,"EX")=0),0))))</f>
      </c>
      <c r="H16486">
        <f>IF(DATOS!$G16486&lt;&gt;"EX",0,--(COUNTIFS(nNIA,DATOS!$A16486,nCURSO,DATOS!$D16486,nESPEC,DATOS!$E16486,nASIG,DATOS!$I16486,nEVAL,"OR")=0))</f>
      </c>
      <c r="I16486">
        <f>IF(DATOS!$I16486="","",IFERROR(VLOOKUP(DATOS!$I16486,CONFIG_ASIGNATURAS!$B$2:$J$91,9,FALSE()),""))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IF(DATOS!$A16487="",0,IF(CONFIG_METADATA!$B$4&lt;&gt;"OR+EX",--(DATOS!$G16487=CONFIG_METADATA!$B$4),IF(DATOS!$G16487="EX",1,IF(DATOS!$G16487="OR",--(COUNTIFS(nNIA,DATOS!$A16487,nCURSO,DATOS!$D16487,nESPEC,DATOS!$E16487,nASIG,DATOS!$I16487,nEVAL,"EX")=0),0))))</f>
      </c>
      <c r="H16487">
        <f>IF(DATOS!$G16487&lt;&gt;"EX",0,--(COUNTIFS(nNIA,DATOS!$A16487,nCURSO,DATOS!$D16487,nESPEC,DATOS!$E16487,nASIG,DATOS!$I16487,nEVAL,"OR")=0))</f>
      </c>
      <c r="I16487">
        <f>IF(DATOS!$I16487="","",IFERROR(VLOOKUP(DATOS!$I16487,CONFIG_ASIGNATURAS!$B$2:$J$91,9,FALSE()),""))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IF(DATOS!$A16488="",0,IF(CONFIG_METADATA!$B$4&lt;&gt;"OR+EX",--(DATOS!$G16488=CONFIG_METADATA!$B$4),IF(DATOS!$G16488="EX",1,IF(DATOS!$G16488="OR",--(COUNTIFS(nNIA,DATOS!$A16488,nCURSO,DATOS!$D16488,nESPEC,DATOS!$E16488,nASIG,DATOS!$I16488,nEVAL,"EX")=0),0))))</f>
      </c>
      <c r="H16488">
        <f>IF(DATOS!$G16488&lt;&gt;"EX",0,--(COUNTIFS(nNIA,DATOS!$A16488,nCURSO,DATOS!$D16488,nESPEC,DATOS!$E16488,nASIG,DATOS!$I16488,nEVAL,"OR")=0))</f>
      </c>
      <c r="I16488">
        <f>IF(DATOS!$I16488="","",IFERROR(VLOOKUP(DATOS!$I16488,CONFIG_ASIGNATURAS!$B$2:$J$91,9,FALSE()),""))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IF(DATOS!$A16489="",0,IF(CONFIG_METADATA!$B$4&lt;&gt;"OR+EX",--(DATOS!$G16489=CONFIG_METADATA!$B$4),IF(DATOS!$G16489="EX",1,IF(DATOS!$G16489="OR",--(COUNTIFS(nNIA,DATOS!$A16489,nCURSO,DATOS!$D16489,nESPEC,DATOS!$E16489,nASIG,DATOS!$I16489,nEVAL,"EX")=0),0))))</f>
      </c>
      <c r="H16489">
        <f>IF(DATOS!$G16489&lt;&gt;"EX",0,--(COUNTIFS(nNIA,DATOS!$A16489,nCURSO,DATOS!$D16489,nESPEC,DATOS!$E16489,nASIG,DATOS!$I16489,nEVAL,"OR")=0))</f>
      </c>
      <c r="I16489">
        <f>IF(DATOS!$I16489="","",IFERROR(VLOOKUP(DATOS!$I16489,CONFIG_ASIGNATURAS!$B$2:$J$91,9,FALSE()),""))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IF(DATOS!$A16490="",0,IF(CONFIG_METADATA!$B$4&lt;&gt;"OR+EX",--(DATOS!$G16490=CONFIG_METADATA!$B$4),IF(DATOS!$G16490="EX",1,IF(DATOS!$G16490="OR",--(COUNTIFS(nNIA,DATOS!$A16490,nCURSO,DATOS!$D16490,nESPEC,DATOS!$E16490,nASIG,DATOS!$I16490,nEVAL,"EX")=0),0))))</f>
      </c>
      <c r="H16490">
        <f>IF(DATOS!$G16490&lt;&gt;"EX",0,--(COUNTIFS(nNIA,DATOS!$A16490,nCURSO,DATOS!$D16490,nESPEC,DATOS!$E16490,nASIG,DATOS!$I16490,nEVAL,"OR")=0))</f>
      </c>
      <c r="I16490">
        <f>IF(DATOS!$I16490="","",IFERROR(VLOOKUP(DATOS!$I16490,CONFIG_ASIGNATURAS!$B$2:$J$91,9,FALSE()),""))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IF(DATOS!$A16491="",0,IF(CONFIG_METADATA!$B$4&lt;&gt;"OR+EX",--(DATOS!$G16491=CONFIG_METADATA!$B$4),IF(DATOS!$G16491="EX",1,IF(DATOS!$G16491="OR",--(COUNTIFS(nNIA,DATOS!$A16491,nCURSO,DATOS!$D16491,nESPEC,DATOS!$E16491,nASIG,DATOS!$I16491,nEVAL,"EX")=0),0))))</f>
      </c>
      <c r="H16491">
        <f>IF(DATOS!$G16491&lt;&gt;"EX",0,--(COUNTIFS(nNIA,DATOS!$A16491,nCURSO,DATOS!$D16491,nESPEC,DATOS!$E16491,nASIG,DATOS!$I16491,nEVAL,"OR")=0))</f>
      </c>
      <c r="I16491">
        <f>IF(DATOS!$I16491="","",IFERROR(VLOOKUP(DATOS!$I16491,CONFIG_ASIGNATURAS!$B$2:$J$91,9,FALSE()),""))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IF(DATOS!$A16492="",0,IF(CONFIG_METADATA!$B$4&lt;&gt;"OR+EX",--(DATOS!$G16492=CONFIG_METADATA!$B$4),IF(DATOS!$G16492="EX",1,IF(DATOS!$G16492="OR",--(COUNTIFS(nNIA,DATOS!$A16492,nCURSO,DATOS!$D16492,nESPEC,DATOS!$E16492,nASIG,DATOS!$I16492,nEVAL,"EX")=0),0))))</f>
      </c>
      <c r="H16492">
        <f>IF(DATOS!$G16492&lt;&gt;"EX",0,--(COUNTIFS(nNIA,DATOS!$A16492,nCURSO,DATOS!$D16492,nESPEC,DATOS!$E16492,nASIG,DATOS!$I16492,nEVAL,"OR")=0))</f>
      </c>
      <c r="I16492">
        <f>IF(DATOS!$I16492="","",IFERROR(VLOOKUP(DATOS!$I16492,CONFIG_ASIGNATURAS!$B$2:$J$91,9,FALSE()),""))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IF(DATOS!$A16493="",0,IF(CONFIG_METADATA!$B$4&lt;&gt;"OR+EX",--(DATOS!$G16493=CONFIG_METADATA!$B$4),IF(DATOS!$G16493="EX",1,IF(DATOS!$G16493="OR",--(COUNTIFS(nNIA,DATOS!$A16493,nCURSO,DATOS!$D16493,nESPEC,DATOS!$E16493,nASIG,DATOS!$I16493,nEVAL,"EX")=0),0))))</f>
      </c>
      <c r="H16493">
        <f>IF(DATOS!$G16493&lt;&gt;"EX",0,--(COUNTIFS(nNIA,DATOS!$A16493,nCURSO,DATOS!$D16493,nESPEC,DATOS!$E16493,nASIG,DATOS!$I16493,nEVAL,"OR")=0))</f>
      </c>
      <c r="I16493">
        <f>IF(DATOS!$I16493="","",IFERROR(VLOOKUP(DATOS!$I16493,CONFIG_ASIGNATURAS!$B$2:$J$91,9,FALSE()),""))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IF(DATOS!$A16494="",0,IF(CONFIG_METADATA!$B$4&lt;&gt;"OR+EX",--(DATOS!$G16494=CONFIG_METADATA!$B$4),IF(DATOS!$G16494="EX",1,IF(DATOS!$G16494="OR",--(COUNTIFS(nNIA,DATOS!$A16494,nCURSO,DATOS!$D16494,nESPEC,DATOS!$E16494,nASIG,DATOS!$I16494,nEVAL,"EX")=0),0))))</f>
      </c>
      <c r="H16494">
        <f>IF(DATOS!$G16494&lt;&gt;"EX",0,--(COUNTIFS(nNIA,DATOS!$A16494,nCURSO,DATOS!$D16494,nESPEC,DATOS!$E16494,nASIG,DATOS!$I16494,nEVAL,"OR")=0))</f>
      </c>
      <c r="I16494">
        <f>IF(DATOS!$I16494="","",IFERROR(VLOOKUP(DATOS!$I16494,CONFIG_ASIGNATURAS!$B$2:$J$91,9,FALSE()),""))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IF(DATOS!$A16495="",0,IF(CONFIG_METADATA!$B$4&lt;&gt;"OR+EX",--(DATOS!$G16495=CONFIG_METADATA!$B$4),IF(DATOS!$G16495="EX",1,IF(DATOS!$G16495="OR",--(COUNTIFS(nNIA,DATOS!$A16495,nCURSO,DATOS!$D16495,nESPEC,DATOS!$E16495,nASIG,DATOS!$I16495,nEVAL,"EX")=0),0))))</f>
      </c>
      <c r="H16495">
        <f>IF(DATOS!$G16495&lt;&gt;"EX",0,--(COUNTIFS(nNIA,DATOS!$A16495,nCURSO,DATOS!$D16495,nESPEC,DATOS!$E16495,nASIG,DATOS!$I16495,nEVAL,"OR")=0))</f>
      </c>
      <c r="I16495">
        <f>IF(DATOS!$I16495="","",IFERROR(VLOOKUP(DATOS!$I16495,CONFIG_ASIGNATURAS!$B$2:$J$91,9,FALSE()),""))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IF(DATOS!$A16496="",0,IF(CONFIG_METADATA!$B$4&lt;&gt;"OR+EX",--(DATOS!$G16496=CONFIG_METADATA!$B$4),IF(DATOS!$G16496="EX",1,IF(DATOS!$G16496="OR",--(COUNTIFS(nNIA,DATOS!$A16496,nCURSO,DATOS!$D16496,nESPEC,DATOS!$E16496,nASIG,DATOS!$I16496,nEVAL,"EX")=0),0))))</f>
      </c>
      <c r="H16496">
        <f>IF(DATOS!$G16496&lt;&gt;"EX",0,--(COUNTIFS(nNIA,DATOS!$A16496,nCURSO,DATOS!$D16496,nESPEC,DATOS!$E16496,nASIG,DATOS!$I16496,nEVAL,"OR")=0))</f>
      </c>
      <c r="I16496">
        <f>IF(DATOS!$I16496="","",IFERROR(VLOOKUP(DATOS!$I16496,CONFIG_ASIGNATURAS!$B$2:$J$91,9,FALSE()),""))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IF(DATOS!$A16497="",0,IF(CONFIG_METADATA!$B$4&lt;&gt;"OR+EX",--(DATOS!$G16497=CONFIG_METADATA!$B$4),IF(DATOS!$G16497="EX",1,IF(DATOS!$G16497="OR",--(COUNTIFS(nNIA,DATOS!$A16497,nCURSO,DATOS!$D16497,nESPEC,DATOS!$E16497,nASIG,DATOS!$I16497,nEVAL,"EX")=0),0))))</f>
      </c>
      <c r="H16497">
        <f>IF(DATOS!$G16497&lt;&gt;"EX",0,--(COUNTIFS(nNIA,DATOS!$A16497,nCURSO,DATOS!$D16497,nESPEC,DATOS!$E16497,nASIG,DATOS!$I16497,nEVAL,"OR")=0))</f>
      </c>
      <c r="I16497">
        <f>IF(DATOS!$I16497="","",IFERROR(VLOOKUP(DATOS!$I16497,CONFIG_ASIGNATURAS!$B$2:$J$91,9,FALSE()),""))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IF(DATOS!$A16498="",0,IF(CONFIG_METADATA!$B$4&lt;&gt;"OR+EX",--(DATOS!$G16498=CONFIG_METADATA!$B$4),IF(DATOS!$G16498="EX",1,IF(DATOS!$G16498="OR",--(COUNTIFS(nNIA,DATOS!$A16498,nCURSO,DATOS!$D16498,nESPEC,DATOS!$E16498,nASIG,DATOS!$I16498,nEVAL,"EX")=0),0))))</f>
      </c>
      <c r="H16498">
        <f>IF(DATOS!$G16498&lt;&gt;"EX",0,--(COUNTIFS(nNIA,DATOS!$A16498,nCURSO,DATOS!$D16498,nESPEC,DATOS!$E16498,nASIG,DATOS!$I16498,nEVAL,"OR")=0))</f>
      </c>
      <c r="I16498">
        <f>IF(DATOS!$I16498="","",IFERROR(VLOOKUP(DATOS!$I16498,CONFIG_ASIGNATURAS!$B$2:$J$91,9,FALSE()),""))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IF(DATOS!$A16499="",0,IF(CONFIG_METADATA!$B$4&lt;&gt;"OR+EX",--(DATOS!$G16499=CONFIG_METADATA!$B$4),IF(DATOS!$G16499="EX",1,IF(DATOS!$G16499="OR",--(COUNTIFS(nNIA,DATOS!$A16499,nCURSO,DATOS!$D16499,nESPEC,DATOS!$E16499,nASIG,DATOS!$I16499,nEVAL,"EX")=0),0))))</f>
      </c>
      <c r="H16499">
        <f>IF(DATOS!$G16499&lt;&gt;"EX",0,--(COUNTIFS(nNIA,DATOS!$A16499,nCURSO,DATOS!$D16499,nESPEC,DATOS!$E16499,nASIG,DATOS!$I16499,nEVAL,"OR")=0))</f>
      </c>
      <c r="I16499">
        <f>IF(DATOS!$I16499="","",IFERROR(VLOOKUP(DATOS!$I16499,CONFIG_ASIGNATURAS!$B$2:$J$91,9,FALSE()),""))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IF(DATOS!$A16500="",0,IF(CONFIG_METADATA!$B$4&lt;&gt;"OR+EX",--(DATOS!$G16500=CONFIG_METADATA!$B$4),IF(DATOS!$G16500="EX",1,IF(DATOS!$G16500="OR",--(COUNTIFS(nNIA,DATOS!$A16500,nCURSO,DATOS!$D16500,nESPEC,DATOS!$E16500,nASIG,DATOS!$I16500,nEVAL,"EX")=0),0))))</f>
      </c>
      <c r="H16500">
        <f>IF(DATOS!$G16500&lt;&gt;"EX",0,--(COUNTIFS(nNIA,DATOS!$A16500,nCURSO,DATOS!$D16500,nESPEC,DATOS!$E16500,nASIG,DATOS!$I16500,nEVAL,"OR")=0))</f>
      </c>
      <c r="I16500">
        <f>IF(DATOS!$I16500="","",IFERROR(VLOOKUP(DATOS!$I16500,CONFIG_ASIGNATURAS!$B$2:$J$91,9,FALSE()),""))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IF(DATOS!$A16501="",0,IF(CONFIG_METADATA!$B$4&lt;&gt;"OR+EX",--(DATOS!$G16501=CONFIG_METADATA!$B$4),IF(DATOS!$G16501="EX",1,IF(DATOS!$G16501="OR",--(COUNTIFS(nNIA,DATOS!$A16501,nCURSO,DATOS!$D16501,nESPEC,DATOS!$E16501,nASIG,DATOS!$I16501,nEVAL,"EX")=0),0))))</f>
      </c>
      <c r="H16501">
        <f>IF(DATOS!$G16501&lt;&gt;"EX",0,--(COUNTIFS(nNIA,DATOS!$A16501,nCURSO,DATOS!$D16501,nESPEC,DATOS!$E16501,nASIG,DATOS!$I16501,nEVAL,"OR")=0))</f>
      </c>
      <c r="I16501">
        <f>IF(DATOS!$I16501="","",IFERROR(VLOOKUP(DATOS!$I16501,CONFIG_ASIGNATURAS!$B$2:$J$91,9,FALSE()),""))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IF(DATOS!$A16502="",0,IF(CONFIG_METADATA!$B$4&lt;&gt;"OR+EX",--(DATOS!$G16502=CONFIG_METADATA!$B$4),IF(DATOS!$G16502="EX",1,IF(DATOS!$G16502="OR",--(COUNTIFS(nNIA,DATOS!$A16502,nCURSO,DATOS!$D16502,nESPEC,DATOS!$E16502,nASIG,DATOS!$I16502,nEVAL,"EX")=0),0))))</f>
      </c>
      <c r="H16502">
        <f>IF(DATOS!$G16502&lt;&gt;"EX",0,--(COUNTIFS(nNIA,DATOS!$A16502,nCURSO,DATOS!$D16502,nESPEC,DATOS!$E16502,nASIG,DATOS!$I16502,nEVAL,"OR")=0))</f>
      </c>
      <c r="I16502">
        <f>IF(DATOS!$I16502="","",IFERROR(VLOOKUP(DATOS!$I16502,CONFIG_ASIGNATURAS!$B$2:$J$91,9,FALSE()),""))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IF(DATOS!$A16503="",0,IF(CONFIG_METADATA!$B$4&lt;&gt;"OR+EX",--(DATOS!$G16503=CONFIG_METADATA!$B$4),IF(DATOS!$G16503="EX",1,IF(DATOS!$G16503="OR",--(COUNTIFS(nNIA,DATOS!$A16503,nCURSO,DATOS!$D16503,nESPEC,DATOS!$E16503,nASIG,DATOS!$I16503,nEVAL,"EX")=0),0))))</f>
      </c>
      <c r="H16503">
        <f>IF(DATOS!$G16503&lt;&gt;"EX",0,--(COUNTIFS(nNIA,DATOS!$A16503,nCURSO,DATOS!$D16503,nESPEC,DATOS!$E16503,nASIG,DATOS!$I16503,nEVAL,"OR")=0))</f>
      </c>
      <c r="I16503">
        <f>IF(DATOS!$I16503="","",IFERROR(VLOOKUP(DATOS!$I16503,CONFIG_ASIGNATURAS!$B$2:$J$91,9,FALSE()),""))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IF(DATOS!$A16504="",0,IF(CONFIG_METADATA!$B$4&lt;&gt;"OR+EX",--(DATOS!$G16504=CONFIG_METADATA!$B$4),IF(DATOS!$G16504="EX",1,IF(DATOS!$G16504="OR",--(COUNTIFS(nNIA,DATOS!$A16504,nCURSO,DATOS!$D16504,nESPEC,DATOS!$E16504,nASIG,DATOS!$I16504,nEVAL,"EX")=0),0))))</f>
      </c>
      <c r="H16504">
        <f>IF(DATOS!$G16504&lt;&gt;"EX",0,--(COUNTIFS(nNIA,DATOS!$A16504,nCURSO,DATOS!$D16504,nESPEC,DATOS!$E16504,nASIG,DATOS!$I16504,nEVAL,"OR")=0))</f>
      </c>
      <c r="I16504">
        <f>IF(DATOS!$I16504="","",IFERROR(VLOOKUP(DATOS!$I16504,CONFIG_ASIGNATURAS!$B$2:$J$91,9,FALSE()),""))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IF(DATOS!$A16505="",0,IF(CONFIG_METADATA!$B$4&lt;&gt;"OR+EX",--(DATOS!$G16505=CONFIG_METADATA!$B$4),IF(DATOS!$G16505="EX",1,IF(DATOS!$G16505="OR",--(COUNTIFS(nNIA,DATOS!$A16505,nCURSO,DATOS!$D16505,nESPEC,DATOS!$E16505,nASIG,DATOS!$I16505,nEVAL,"EX")=0),0))))</f>
      </c>
      <c r="H16505">
        <f>IF(DATOS!$G16505&lt;&gt;"EX",0,--(COUNTIFS(nNIA,DATOS!$A16505,nCURSO,DATOS!$D16505,nESPEC,DATOS!$E16505,nASIG,DATOS!$I16505,nEVAL,"OR")=0))</f>
      </c>
      <c r="I16505">
        <f>IF(DATOS!$I16505="","",IFERROR(VLOOKUP(DATOS!$I16505,CONFIG_ASIGNATURAS!$B$2:$J$91,9,FALSE()),""))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IF(DATOS!$A16506="",0,IF(CONFIG_METADATA!$B$4&lt;&gt;"OR+EX",--(DATOS!$G16506=CONFIG_METADATA!$B$4),IF(DATOS!$G16506="EX",1,IF(DATOS!$G16506="OR",--(COUNTIFS(nNIA,DATOS!$A16506,nCURSO,DATOS!$D16506,nESPEC,DATOS!$E16506,nASIG,DATOS!$I16506,nEVAL,"EX")=0),0))))</f>
      </c>
      <c r="H16506">
        <f>IF(DATOS!$G16506&lt;&gt;"EX",0,--(COUNTIFS(nNIA,DATOS!$A16506,nCURSO,DATOS!$D16506,nESPEC,DATOS!$E16506,nASIG,DATOS!$I16506,nEVAL,"OR")=0))</f>
      </c>
      <c r="I16506">
        <f>IF(DATOS!$I16506="","",IFERROR(VLOOKUP(DATOS!$I16506,CONFIG_ASIGNATURAS!$B$2:$J$91,9,FALSE()),""))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IF(DATOS!$A16507="",0,IF(CONFIG_METADATA!$B$4&lt;&gt;"OR+EX",--(DATOS!$G16507=CONFIG_METADATA!$B$4),IF(DATOS!$G16507="EX",1,IF(DATOS!$G16507="OR",--(COUNTIFS(nNIA,DATOS!$A16507,nCURSO,DATOS!$D16507,nESPEC,DATOS!$E16507,nASIG,DATOS!$I16507,nEVAL,"EX")=0),0))))</f>
      </c>
      <c r="H16507">
        <f>IF(DATOS!$G16507&lt;&gt;"EX",0,--(COUNTIFS(nNIA,DATOS!$A16507,nCURSO,DATOS!$D16507,nESPEC,DATOS!$E16507,nASIG,DATOS!$I16507,nEVAL,"OR")=0))</f>
      </c>
      <c r="I16507">
        <f>IF(DATOS!$I16507="","",IFERROR(VLOOKUP(DATOS!$I16507,CONFIG_ASIGNATURAS!$B$2:$J$91,9,FALSE()),""))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IF(DATOS!$A16508="",0,IF(CONFIG_METADATA!$B$4&lt;&gt;"OR+EX",--(DATOS!$G16508=CONFIG_METADATA!$B$4),IF(DATOS!$G16508="EX",1,IF(DATOS!$G16508="OR",--(COUNTIFS(nNIA,DATOS!$A16508,nCURSO,DATOS!$D16508,nESPEC,DATOS!$E16508,nASIG,DATOS!$I16508,nEVAL,"EX")=0),0))))</f>
      </c>
      <c r="H16508">
        <f>IF(DATOS!$G16508&lt;&gt;"EX",0,--(COUNTIFS(nNIA,DATOS!$A16508,nCURSO,DATOS!$D16508,nESPEC,DATOS!$E16508,nASIG,DATOS!$I16508,nEVAL,"OR")=0))</f>
      </c>
      <c r="I16508">
        <f>IF(DATOS!$I16508="","",IFERROR(VLOOKUP(DATOS!$I16508,CONFIG_ASIGNATURAS!$B$2:$J$91,9,FALSE()),""))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IF(DATOS!$A16509="",0,IF(CONFIG_METADATA!$B$4&lt;&gt;"OR+EX",--(DATOS!$G16509=CONFIG_METADATA!$B$4),IF(DATOS!$G16509="EX",1,IF(DATOS!$G16509="OR",--(COUNTIFS(nNIA,DATOS!$A16509,nCURSO,DATOS!$D16509,nESPEC,DATOS!$E16509,nASIG,DATOS!$I16509,nEVAL,"EX")=0),0))))</f>
      </c>
      <c r="H16509">
        <f>IF(DATOS!$G16509&lt;&gt;"EX",0,--(COUNTIFS(nNIA,DATOS!$A16509,nCURSO,DATOS!$D16509,nESPEC,DATOS!$E16509,nASIG,DATOS!$I16509,nEVAL,"OR")=0))</f>
      </c>
      <c r="I16509">
        <f>IF(DATOS!$I16509="","",IFERROR(VLOOKUP(DATOS!$I16509,CONFIG_ASIGNATURAS!$B$2:$J$91,9,FALSE()),""))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IF(DATOS!$A16510="",0,IF(CONFIG_METADATA!$B$4&lt;&gt;"OR+EX",--(DATOS!$G16510=CONFIG_METADATA!$B$4),IF(DATOS!$G16510="EX",1,IF(DATOS!$G16510="OR",--(COUNTIFS(nNIA,DATOS!$A16510,nCURSO,DATOS!$D16510,nESPEC,DATOS!$E16510,nASIG,DATOS!$I16510,nEVAL,"EX")=0),0))))</f>
      </c>
      <c r="H16510">
        <f>IF(DATOS!$G16510&lt;&gt;"EX",0,--(COUNTIFS(nNIA,DATOS!$A16510,nCURSO,DATOS!$D16510,nESPEC,DATOS!$E16510,nASIG,DATOS!$I16510,nEVAL,"OR")=0))</f>
      </c>
      <c r="I16510">
        <f>IF(DATOS!$I16510="","",IFERROR(VLOOKUP(DATOS!$I16510,CONFIG_ASIGNATURAS!$B$2:$J$91,9,FALSE()),""))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IF(DATOS!$A16511="",0,IF(CONFIG_METADATA!$B$4&lt;&gt;"OR+EX",--(DATOS!$G16511=CONFIG_METADATA!$B$4),IF(DATOS!$G16511="EX",1,IF(DATOS!$G16511="OR",--(COUNTIFS(nNIA,DATOS!$A16511,nCURSO,DATOS!$D16511,nESPEC,DATOS!$E16511,nASIG,DATOS!$I16511,nEVAL,"EX")=0),0))))</f>
      </c>
      <c r="H16511">
        <f>IF(DATOS!$G16511&lt;&gt;"EX",0,--(COUNTIFS(nNIA,DATOS!$A16511,nCURSO,DATOS!$D16511,nESPEC,DATOS!$E16511,nASIG,DATOS!$I16511,nEVAL,"OR")=0))</f>
      </c>
      <c r="I16511">
        <f>IF(DATOS!$I16511="","",IFERROR(VLOOKUP(DATOS!$I16511,CONFIG_ASIGNATURAS!$B$2:$J$91,9,FALSE()),""))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IF(DATOS!$A16512="",0,IF(CONFIG_METADATA!$B$4&lt;&gt;"OR+EX",--(DATOS!$G16512=CONFIG_METADATA!$B$4),IF(DATOS!$G16512="EX",1,IF(DATOS!$G16512="OR",--(COUNTIFS(nNIA,DATOS!$A16512,nCURSO,DATOS!$D16512,nESPEC,DATOS!$E16512,nASIG,DATOS!$I16512,nEVAL,"EX")=0),0))))</f>
      </c>
      <c r="H16512">
        <f>IF(DATOS!$G16512&lt;&gt;"EX",0,--(COUNTIFS(nNIA,DATOS!$A16512,nCURSO,DATOS!$D16512,nESPEC,DATOS!$E16512,nASIG,DATOS!$I16512,nEVAL,"OR")=0))</f>
      </c>
      <c r="I16512">
        <f>IF(DATOS!$I16512="","",IFERROR(VLOOKUP(DATOS!$I16512,CONFIG_ASIGNATURAS!$B$2:$J$91,9,FALSE()),""))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IF(DATOS!$A16513="",0,IF(CONFIG_METADATA!$B$4&lt;&gt;"OR+EX",--(DATOS!$G16513=CONFIG_METADATA!$B$4),IF(DATOS!$G16513="EX",1,IF(DATOS!$G16513="OR",--(COUNTIFS(nNIA,DATOS!$A16513,nCURSO,DATOS!$D16513,nESPEC,DATOS!$E16513,nASIG,DATOS!$I16513,nEVAL,"EX")=0),0))))</f>
      </c>
      <c r="H16513">
        <f>IF(DATOS!$G16513&lt;&gt;"EX",0,--(COUNTIFS(nNIA,DATOS!$A16513,nCURSO,DATOS!$D16513,nESPEC,DATOS!$E16513,nASIG,DATOS!$I16513,nEVAL,"OR")=0))</f>
      </c>
      <c r="I16513">
        <f>IF(DATOS!$I16513="","",IFERROR(VLOOKUP(DATOS!$I16513,CONFIG_ASIGNATURAS!$B$2:$J$91,9,FALSE()),""))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IF(DATOS!$A16514="",0,IF(CONFIG_METADATA!$B$4&lt;&gt;"OR+EX",--(DATOS!$G16514=CONFIG_METADATA!$B$4),IF(DATOS!$G16514="EX",1,IF(DATOS!$G16514="OR",--(COUNTIFS(nNIA,DATOS!$A16514,nCURSO,DATOS!$D16514,nESPEC,DATOS!$E16514,nASIG,DATOS!$I16514,nEVAL,"EX")=0),0))))</f>
      </c>
      <c r="H16514">
        <f>IF(DATOS!$G16514&lt;&gt;"EX",0,--(COUNTIFS(nNIA,DATOS!$A16514,nCURSO,DATOS!$D16514,nESPEC,DATOS!$E16514,nASIG,DATOS!$I16514,nEVAL,"OR")=0))</f>
      </c>
      <c r="I16514">
        <f>IF(DATOS!$I16514="","",IFERROR(VLOOKUP(DATOS!$I16514,CONFIG_ASIGNATURAS!$B$2:$J$91,9,FALSE()),""))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IF(DATOS!$A16515="",0,IF(CONFIG_METADATA!$B$4&lt;&gt;"OR+EX",--(DATOS!$G16515=CONFIG_METADATA!$B$4),IF(DATOS!$G16515="EX",1,IF(DATOS!$G16515="OR",--(COUNTIFS(nNIA,DATOS!$A16515,nCURSO,DATOS!$D16515,nESPEC,DATOS!$E16515,nASIG,DATOS!$I16515,nEVAL,"EX")=0),0))))</f>
      </c>
      <c r="H16515">
        <f>IF(DATOS!$G16515&lt;&gt;"EX",0,--(COUNTIFS(nNIA,DATOS!$A16515,nCURSO,DATOS!$D16515,nESPEC,DATOS!$E16515,nASIG,DATOS!$I16515,nEVAL,"OR")=0))</f>
      </c>
      <c r="I16515">
        <f>IF(DATOS!$I16515="","",IFERROR(VLOOKUP(DATOS!$I16515,CONFIG_ASIGNATURAS!$B$2:$J$91,9,FALSE()),""))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IF(DATOS!$A16516="",0,IF(CONFIG_METADATA!$B$4&lt;&gt;"OR+EX",--(DATOS!$G16516=CONFIG_METADATA!$B$4),IF(DATOS!$G16516="EX",1,IF(DATOS!$G16516="OR",--(COUNTIFS(nNIA,DATOS!$A16516,nCURSO,DATOS!$D16516,nESPEC,DATOS!$E16516,nASIG,DATOS!$I16516,nEVAL,"EX")=0),0))))</f>
      </c>
      <c r="H16516">
        <f>IF(DATOS!$G16516&lt;&gt;"EX",0,--(COUNTIFS(nNIA,DATOS!$A16516,nCURSO,DATOS!$D16516,nESPEC,DATOS!$E16516,nASIG,DATOS!$I16516,nEVAL,"OR")=0))</f>
      </c>
      <c r="I16516">
        <f>IF(DATOS!$I16516="","",IFERROR(VLOOKUP(DATOS!$I16516,CONFIG_ASIGNATURAS!$B$2:$J$91,9,FALSE()),""))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IF(DATOS!$A16517="",0,IF(CONFIG_METADATA!$B$4&lt;&gt;"OR+EX",--(DATOS!$G16517=CONFIG_METADATA!$B$4),IF(DATOS!$G16517="EX",1,IF(DATOS!$G16517="OR",--(COUNTIFS(nNIA,DATOS!$A16517,nCURSO,DATOS!$D16517,nESPEC,DATOS!$E16517,nASIG,DATOS!$I16517,nEVAL,"EX")=0),0))))</f>
      </c>
      <c r="H16517">
        <f>IF(DATOS!$G16517&lt;&gt;"EX",0,--(COUNTIFS(nNIA,DATOS!$A16517,nCURSO,DATOS!$D16517,nESPEC,DATOS!$E16517,nASIG,DATOS!$I16517,nEVAL,"OR")=0))</f>
      </c>
      <c r="I16517">
        <f>IF(DATOS!$I16517="","",IFERROR(VLOOKUP(DATOS!$I16517,CONFIG_ASIGNATURAS!$B$2:$J$91,9,FALSE()),""))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IF(DATOS!$A16518="",0,IF(CONFIG_METADATA!$B$4&lt;&gt;"OR+EX",--(DATOS!$G16518=CONFIG_METADATA!$B$4),IF(DATOS!$G16518="EX",1,IF(DATOS!$G16518="OR",--(COUNTIFS(nNIA,DATOS!$A16518,nCURSO,DATOS!$D16518,nESPEC,DATOS!$E16518,nASIG,DATOS!$I16518,nEVAL,"EX")=0),0))))</f>
      </c>
      <c r="H16518">
        <f>IF(DATOS!$G16518&lt;&gt;"EX",0,--(COUNTIFS(nNIA,DATOS!$A16518,nCURSO,DATOS!$D16518,nESPEC,DATOS!$E16518,nASIG,DATOS!$I16518,nEVAL,"OR")=0))</f>
      </c>
      <c r="I16518">
        <f>IF(DATOS!$I16518="","",IFERROR(VLOOKUP(DATOS!$I16518,CONFIG_ASIGNATURAS!$B$2:$J$91,9,FALSE()),""))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IF(DATOS!$A16519="",0,IF(CONFIG_METADATA!$B$4&lt;&gt;"OR+EX",--(DATOS!$G16519=CONFIG_METADATA!$B$4),IF(DATOS!$G16519="EX",1,IF(DATOS!$G16519="OR",--(COUNTIFS(nNIA,DATOS!$A16519,nCURSO,DATOS!$D16519,nESPEC,DATOS!$E16519,nASIG,DATOS!$I16519,nEVAL,"EX")=0),0))))</f>
      </c>
      <c r="H16519">
        <f>IF(DATOS!$G16519&lt;&gt;"EX",0,--(COUNTIFS(nNIA,DATOS!$A16519,nCURSO,DATOS!$D16519,nESPEC,DATOS!$E16519,nASIG,DATOS!$I16519,nEVAL,"OR")=0))</f>
      </c>
      <c r="I16519">
        <f>IF(DATOS!$I16519="","",IFERROR(VLOOKUP(DATOS!$I16519,CONFIG_ASIGNATURAS!$B$2:$J$91,9,FALSE()),""))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IF(DATOS!$A16520="",0,IF(CONFIG_METADATA!$B$4&lt;&gt;"OR+EX",--(DATOS!$G16520=CONFIG_METADATA!$B$4),IF(DATOS!$G16520="EX",1,IF(DATOS!$G16520="OR",--(COUNTIFS(nNIA,DATOS!$A16520,nCURSO,DATOS!$D16520,nESPEC,DATOS!$E16520,nASIG,DATOS!$I16520,nEVAL,"EX")=0),0))))</f>
      </c>
      <c r="H16520">
        <f>IF(DATOS!$G16520&lt;&gt;"EX",0,--(COUNTIFS(nNIA,DATOS!$A16520,nCURSO,DATOS!$D16520,nESPEC,DATOS!$E16520,nASIG,DATOS!$I16520,nEVAL,"OR")=0))</f>
      </c>
      <c r="I16520">
        <f>IF(DATOS!$I16520="","",IFERROR(VLOOKUP(DATOS!$I16520,CONFIG_ASIGNATURAS!$B$2:$J$91,9,FALSE()),""))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IF(DATOS!$A16521="",0,IF(CONFIG_METADATA!$B$4&lt;&gt;"OR+EX",--(DATOS!$G16521=CONFIG_METADATA!$B$4),IF(DATOS!$G16521="EX",1,IF(DATOS!$G16521="OR",--(COUNTIFS(nNIA,DATOS!$A16521,nCURSO,DATOS!$D16521,nESPEC,DATOS!$E16521,nASIG,DATOS!$I16521,nEVAL,"EX")=0),0))))</f>
      </c>
      <c r="H16521">
        <f>IF(DATOS!$G16521&lt;&gt;"EX",0,--(COUNTIFS(nNIA,DATOS!$A16521,nCURSO,DATOS!$D16521,nESPEC,DATOS!$E16521,nASIG,DATOS!$I16521,nEVAL,"OR")=0))</f>
      </c>
      <c r="I16521">
        <f>IF(DATOS!$I16521="","",IFERROR(VLOOKUP(DATOS!$I16521,CONFIG_ASIGNATURAS!$B$2:$J$91,9,FALSE()),""))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IF(DATOS!$A16522="",0,IF(CONFIG_METADATA!$B$4&lt;&gt;"OR+EX",--(DATOS!$G16522=CONFIG_METADATA!$B$4),IF(DATOS!$G16522="EX",1,IF(DATOS!$G16522="OR",--(COUNTIFS(nNIA,DATOS!$A16522,nCURSO,DATOS!$D16522,nESPEC,DATOS!$E16522,nASIG,DATOS!$I16522,nEVAL,"EX")=0),0))))</f>
      </c>
      <c r="H16522">
        <f>IF(DATOS!$G16522&lt;&gt;"EX",0,--(COUNTIFS(nNIA,DATOS!$A16522,nCURSO,DATOS!$D16522,nESPEC,DATOS!$E16522,nASIG,DATOS!$I16522,nEVAL,"OR")=0))</f>
      </c>
      <c r="I16522">
        <f>IF(DATOS!$I16522="","",IFERROR(VLOOKUP(DATOS!$I16522,CONFIG_ASIGNATURAS!$B$2:$J$91,9,FALSE()),""))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IF(DATOS!$A16523="",0,IF(CONFIG_METADATA!$B$4&lt;&gt;"OR+EX",--(DATOS!$G16523=CONFIG_METADATA!$B$4),IF(DATOS!$G16523="EX",1,IF(DATOS!$G16523="OR",--(COUNTIFS(nNIA,DATOS!$A16523,nCURSO,DATOS!$D16523,nESPEC,DATOS!$E16523,nASIG,DATOS!$I16523,nEVAL,"EX")=0),0))))</f>
      </c>
      <c r="H16523">
        <f>IF(DATOS!$G16523&lt;&gt;"EX",0,--(COUNTIFS(nNIA,DATOS!$A16523,nCURSO,DATOS!$D16523,nESPEC,DATOS!$E16523,nASIG,DATOS!$I16523,nEVAL,"OR")=0))</f>
      </c>
      <c r="I16523">
        <f>IF(DATOS!$I16523="","",IFERROR(VLOOKUP(DATOS!$I16523,CONFIG_ASIGNATURAS!$B$2:$J$91,9,FALSE()),""))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IF(DATOS!$A16524="",0,IF(CONFIG_METADATA!$B$4&lt;&gt;"OR+EX",--(DATOS!$G16524=CONFIG_METADATA!$B$4),IF(DATOS!$G16524="EX",1,IF(DATOS!$G16524="OR",--(COUNTIFS(nNIA,DATOS!$A16524,nCURSO,DATOS!$D16524,nESPEC,DATOS!$E16524,nASIG,DATOS!$I16524,nEVAL,"EX")=0),0))))</f>
      </c>
      <c r="H16524">
        <f>IF(DATOS!$G16524&lt;&gt;"EX",0,--(COUNTIFS(nNIA,DATOS!$A16524,nCURSO,DATOS!$D16524,nESPEC,DATOS!$E16524,nASIG,DATOS!$I16524,nEVAL,"OR")=0))</f>
      </c>
      <c r="I16524">
        <f>IF(DATOS!$I16524="","",IFERROR(VLOOKUP(DATOS!$I16524,CONFIG_ASIGNATURAS!$B$2:$J$91,9,FALSE()),""))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IF(DATOS!$A16525="",0,IF(CONFIG_METADATA!$B$4&lt;&gt;"OR+EX",--(DATOS!$G16525=CONFIG_METADATA!$B$4),IF(DATOS!$G16525="EX",1,IF(DATOS!$G16525="OR",--(COUNTIFS(nNIA,DATOS!$A16525,nCURSO,DATOS!$D16525,nESPEC,DATOS!$E16525,nASIG,DATOS!$I16525,nEVAL,"EX")=0),0))))</f>
      </c>
      <c r="H16525">
        <f>IF(DATOS!$G16525&lt;&gt;"EX",0,--(COUNTIFS(nNIA,DATOS!$A16525,nCURSO,DATOS!$D16525,nESPEC,DATOS!$E16525,nASIG,DATOS!$I16525,nEVAL,"OR")=0))</f>
      </c>
      <c r="I16525">
        <f>IF(DATOS!$I16525="","",IFERROR(VLOOKUP(DATOS!$I16525,CONFIG_ASIGNATURAS!$B$2:$J$91,9,FALSE()),""))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IF(DATOS!$A16526="",0,IF(CONFIG_METADATA!$B$4&lt;&gt;"OR+EX",--(DATOS!$G16526=CONFIG_METADATA!$B$4),IF(DATOS!$G16526="EX",1,IF(DATOS!$G16526="OR",--(COUNTIFS(nNIA,DATOS!$A16526,nCURSO,DATOS!$D16526,nESPEC,DATOS!$E16526,nASIG,DATOS!$I16526,nEVAL,"EX")=0),0))))</f>
      </c>
      <c r="H16526">
        <f>IF(DATOS!$G16526&lt;&gt;"EX",0,--(COUNTIFS(nNIA,DATOS!$A16526,nCURSO,DATOS!$D16526,nESPEC,DATOS!$E16526,nASIG,DATOS!$I16526,nEVAL,"OR")=0))</f>
      </c>
      <c r="I16526">
        <f>IF(DATOS!$I16526="","",IFERROR(VLOOKUP(DATOS!$I16526,CONFIG_ASIGNATURAS!$B$2:$J$91,9,FALSE()),""))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IF(DATOS!$A16527="",0,IF(CONFIG_METADATA!$B$4&lt;&gt;"OR+EX",--(DATOS!$G16527=CONFIG_METADATA!$B$4),IF(DATOS!$G16527="EX",1,IF(DATOS!$G16527="OR",--(COUNTIFS(nNIA,DATOS!$A16527,nCURSO,DATOS!$D16527,nESPEC,DATOS!$E16527,nASIG,DATOS!$I16527,nEVAL,"EX")=0),0))))</f>
      </c>
      <c r="H16527">
        <f>IF(DATOS!$G16527&lt;&gt;"EX",0,--(COUNTIFS(nNIA,DATOS!$A16527,nCURSO,DATOS!$D16527,nESPEC,DATOS!$E16527,nASIG,DATOS!$I16527,nEVAL,"OR")=0))</f>
      </c>
      <c r="I16527">
        <f>IF(DATOS!$I16527="","",IFERROR(VLOOKUP(DATOS!$I16527,CONFIG_ASIGNATURAS!$B$2:$J$91,9,FALSE()),""))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IF(DATOS!$A16528="",0,IF(CONFIG_METADATA!$B$4&lt;&gt;"OR+EX",--(DATOS!$G16528=CONFIG_METADATA!$B$4),IF(DATOS!$G16528="EX",1,IF(DATOS!$G16528="OR",--(COUNTIFS(nNIA,DATOS!$A16528,nCURSO,DATOS!$D16528,nESPEC,DATOS!$E16528,nASIG,DATOS!$I16528,nEVAL,"EX")=0),0))))</f>
      </c>
      <c r="H16528">
        <f>IF(DATOS!$G16528&lt;&gt;"EX",0,--(COUNTIFS(nNIA,DATOS!$A16528,nCURSO,DATOS!$D16528,nESPEC,DATOS!$E16528,nASIG,DATOS!$I16528,nEVAL,"OR")=0))</f>
      </c>
      <c r="I16528">
        <f>IF(DATOS!$I16528="","",IFERROR(VLOOKUP(DATOS!$I16528,CONFIG_ASIGNATURAS!$B$2:$J$91,9,FALSE()),""))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IF(DATOS!$A16529="",0,IF(CONFIG_METADATA!$B$4&lt;&gt;"OR+EX",--(DATOS!$G16529=CONFIG_METADATA!$B$4),IF(DATOS!$G16529="EX",1,IF(DATOS!$G16529="OR",--(COUNTIFS(nNIA,DATOS!$A16529,nCURSO,DATOS!$D16529,nESPEC,DATOS!$E16529,nASIG,DATOS!$I16529,nEVAL,"EX")=0),0))))</f>
      </c>
      <c r="H16529">
        <f>IF(DATOS!$G16529&lt;&gt;"EX",0,--(COUNTIFS(nNIA,DATOS!$A16529,nCURSO,DATOS!$D16529,nESPEC,DATOS!$E16529,nASIG,DATOS!$I16529,nEVAL,"OR")=0))</f>
      </c>
      <c r="I16529">
        <f>IF(DATOS!$I16529="","",IFERROR(VLOOKUP(DATOS!$I16529,CONFIG_ASIGNATURAS!$B$2:$J$91,9,FALSE()),""))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IF(DATOS!$A16530="",0,IF(CONFIG_METADATA!$B$4&lt;&gt;"OR+EX",--(DATOS!$G16530=CONFIG_METADATA!$B$4),IF(DATOS!$G16530="EX",1,IF(DATOS!$G16530="OR",--(COUNTIFS(nNIA,DATOS!$A16530,nCURSO,DATOS!$D16530,nESPEC,DATOS!$E16530,nASIG,DATOS!$I16530,nEVAL,"EX")=0),0))))</f>
      </c>
      <c r="H16530">
        <f>IF(DATOS!$G16530&lt;&gt;"EX",0,--(COUNTIFS(nNIA,DATOS!$A16530,nCURSO,DATOS!$D16530,nESPEC,DATOS!$E16530,nASIG,DATOS!$I16530,nEVAL,"OR")=0))</f>
      </c>
      <c r="I16530">
        <f>IF(DATOS!$I16530="","",IFERROR(VLOOKUP(DATOS!$I16530,CONFIG_ASIGNATURAS!$B$2:$J$91,9,FALSE()),""))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IF(DATOS!$A16531="",0,IF(CONFIG_METADATA!$B$4&lt;&gt;"OR+EX",--(DATOS!$G16531=CONFIG_METADATA!$B$4),IF(DATOS!$G16531="EX",1,IF(DATOS!$G16531="OR",--(COUNTIFS(nNIA,DATOS!$A16531,nCURSO,DATOS!$D16531,nESPEC,DATOS!$E16531,nASIG,DATOS!$I16531,nEVAL,"EX")=0),0))))</f>
      </c>
      <c r="H16531">
        <f>IF(DATOS!$G16531&lt;&gt;"EX",0,--(COUNTIFS(nNIA,DATOS!$A16531,nCURSO,DATOS!$D16531,nESPEC,DATOS!$E16531,nASIG,DATOS!$I16531,nEVAL,"OR")=0))</f>
      </c>
      <c r="I16531">
        <f>IF(DATOS!$I16531="","",IFERROR(VLOOKUP(DATOS!$I16531,CONFIG_ASIGNATURAS!$B$2:$J$91,9,FALSE()),""))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IF(DATOS!$A16532="",0,IF(CONFIG_METADATA!$B$4&lt;&gt;"OR+EX",--(DATOS!$G16532=CONFIG_METADATA!$B$4),IF(DATOS!$G16532="EX",1,IF(DATOS!$G16532="OR",--(COUNTIFS(nNIA,DATOS!$A16532,nCURSO,DATOS!$D16532,nESPEC,DATOS!$E16532,nASIG,DATOS!$I16532,nEVAL,"EX")=0),0))))</f>
      </c>
      <c r="H16532">
        <f>IF(DATOS!$G16532&lt;&gt;"EX",0,--(COUNTIFS(nNIA,DATOS!$A16532,nCURSO,DATOS!$D16532,nESPEC,DATOS!$E16532,nASIG,DATOS!$I16532,nEVAL,"OR")=0))</f>
      </c>
      <c r="I16532">
        <f>IF(DATOS!$I16532="","",IFERROR(VLOOKUP(DATOS!$I16532,CONFIG_ASIGNATURAS!$B$2:$J$91,9,FALSE()),""))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IF(DATOS!$A16533="",0,IF(CONFIG_METADATA!$B$4&lt;&gt;"OR+EX",--(DATOS!$G16533=CONFIG_METADATA!$B$4),IF(DATOS!$G16533="EX",1,IF(DATOS!$G16533="OR",--(COUNTIFS(nNIA,DATOS!$A16533,nCURSO,DATOS!$D16533,nESPEC,DATOS!$E16533,nASIG,DATOS!$I16533,nEVAL,"EX")=0),0))))</f>
      </c>
      <c r="H16533">
        <f>IF(DATOS!$G16533&lt;&gt;"EX",0,--(COUNTIFS(nNIA,DATOS!$A16533,nCURSO,DATOS!$D16533,nESPEC,DATOS!$E16533,nASIG,DATOS!$I16533,nEVAL,"OR")=0))</f>
      </c>
      <c r="I16533">
        <f>IF(DATOS!$I16533="","",IFERROR(VLOOKUP(DATOS!$I16533,CONFIG_ASIGNATURAS!$B$2:$J$91,9,FALSE()),""))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IF(DATOS!$A16534="",0,IF(CONFIG_METADATA!$B$4&lt;&gt;"OR+EX",--(DATOS!$G16534=CONFIG_METADATA!$B$4),IF(DATOS!$G16534="EX",1,IF(DATOS!$G16534="OR",--(COUNTIFS(nNIA,DATOS!$A16534,nCURSO,DATOS!$D16534,nESPEC,DATOS!$E16534,nASIG,DATOS!$I16534,nEVAL,"EX")=0),0))))</f>
      </c>
      <c r="H16534">
        <f>IF(DATOS!$G16534&lt;&gt;"EX",0,--(COUNTIFS(nNIA,DATOS!$A16534,nCURSO,DATOS!$D16534,nESPEC,DATOS!$E16534,nASIG,DATOS!$I16534,nEVAL,"OR")=0))</f>
      </c>
      <c r="I16534">
        <f>IF(DATOS!$I16534="","",IFERROR(VLOOKUP(DATOS!$I16534,CONFIG_ASIGNATURAS!$B$2:$J$91,9,FALSE()),""))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IF(DATOS!$A16535="",0,IF(CONFIG_METADATA!$B$4&lt;&gt;"OR+EX",--(DATOS!$G16535=CONFIG_METADATA!$B$4),IF(DATOS!$G16535="EX",1,IF(DATOS!$G16535="OR",--(COUNTIFS(nNIA,DATOS!$A16535,nCURSO,DATOS!$D16535,nESPEC,DATOS!$E16535,nASIG,DATOS!$I16535,nEVAL,"EX")=0),0))))</f>
      </c>
      <c r="H16535">
        <f>IF(DATOS!$G16535&lt;&gt;"EX",0,--(COUNTIFS(nNIA,DATOS!$A16535,nCURSO,DATOS!$D16535,nESPEC,DATOS!$E16535,nASIG,DATOS!$I16535,nEVAL,"OR")=0))</f>
      </c>
      <c r="I16535">
        <f>IF(DATOS!$I16535="","",IFERROR(VLOOKUP(DATOS!$I16535,CONFIG_ASIGNATURAS!$B$2:$J$91,9,FALSE()),""))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IF(DATOS!$A16536="",0,IF(CONFIG_METADATA!$B$4&lt;&gt;"OR+EX",--(DATOS!$G16536=CONFIG_METADATA!$B$4),IF(DATOS!$G16536="EX",1,IF(DATOS!$G16536="OR",--(COUNTIFS(nNIA,DATOS!$A16536,nCURSO,DATOS!$D16536,nESPEC,DATOS!$E16536,nASIG,DATOS!$I16536,nEVAL,"EX")=0),0))))</f>
      </c>
      <c r="H16536">
        <f>IF(DATOS!$G16536&lt;&gt;"EX",0,--(COUNTIFS(nNIA,DATOS!$A16536,nCURSO,DATOS!$D16536,nESPEC,DATOS!$E16536,nASIG,DATOS!$I16536,nEVAL,"OR")=0))</f>
      </c>
      <c r="I16536">
        <f>IF(DATOS!$I16536="","",IFERROR(VLOOKUP(DATOS!$I16536,CONFIG_ASIGNATURAS!$B$2:$J$91,9,FALSE()),""))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IF(DATOS!$A16537="",0,IF(CONFIG_METADATA!$B$4&lt;&gt;"OR+EX",--(DATOS!$G16537=CONFIG_METADATA!$B$4),IF(DATOS!$G16537="EX",1,IF(DATOS!$G16537="OR",--(COUNTIFS(nNIA,DATOS!$A16537,nCURSO,DATOS!$D16537,nESPEC,DATOS!$E16537,nASIG,DATOS!$I16537,nEVAL,"EX")=0),0))))</f>
      </c>
      <c r="H16537">
        <f>IF(DATOS!$G16537&lt;&gt;"EX",0,--(COUNTIFS(nNIA,DATOS!$A16537,nCURSO,DATOS!$D16537,nESPEC,DATOS!$E16537,nASIG,DATOS!$I16537,nEVAL,"OR")=0))</f>
      </c>
      <c r="I16537">
        <f>IF(DATOS!$I16537="","",IFERROR(VLOOKUP(DATOS!$I16537,CONFIG_ASIGNATURAS!$B$2:$J$91,9,FALSE()),""))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IF(DATOS!$A16538="",0,IF(CONFIG_METADATA!$B$4&lt;&gt;"OR+EX",--(DATOS!$G16538=CONFIG_METADATA!$B$4),IF(DATOS!$G16538="EX",1,IF(DATOS!$G16538="OR",--(COUNTIFS(nNIA,DATOS!$A16538,nCURSO,DATOS!$D16538,nESPEC,DATOS!$E16538,nASIG,DATOS!$I16538,nEVAL,"EX")=0),0))))</f>
      </c>
      <c r="H16538">
        <f>IF(DATOS!$G16538&lt;&gt;"EX",0,--(COUNTIFS(nNIA,DATOS!$A16538,nCURSO,DATOS!$D16538,nESPEC,DATOS!$E16538,nASIG,DATOS!$I16538,nEVAL,"OR")=0))</f>
      </c>
      <c r="I16538">
        <f>IF(DATOS!$I16538="","",IFERROR(VLOOKUP(DATOS!$I16538,CONFIG_ASIGNATURAS!$B$2:$J$91,9,FALSE()),""))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IF(DATOS!$A16539="",0,IF(CONFIG_METADATA!$B$4&lt;&gt;"OR+EX",--(DATOS!$G16539=CONFIG_METADATA!$B$4),IF(DATOS!$G16539="EX",1,IF(DATOS!$G16539="OR",--(COUNTIFS(nNIA,DATOS!$A16539,nCURSO,DATOS!$D16539,nESPEC,DATOS!$E16539,nASIG,DATOS!$I16539,nEVAL,"EX")=0),0))))</f>
      </c>
      <c r="H16539">
        <f>IF(DATOS!$G16539&lt;&gt;"EX",0,--(COUNTIFS(nNIA,DATOS!$A16539,nCURSO,DATOS!$D16539,nESPEC,DATOS!$E16539,nASIG,DATOS!$I16539,nEVAL,"OR")=0))</f>
      </c>
      <c r="I16539">
        <f>IF(DATOS!$I16539="","",IFERROR(VLOOKUP(DATOS!$I16539,CONFIG_ASIGNATURAS!$B$2:$J$91,9,FALSE()),""))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IF(DATOS!$A16540="",0,IF(CONFIG_METADATA!$B$4&lt;&gt;"OR+EX",--(DATOS!$G16540=CONFIG_METADATA!$B$4),IF(DATOS!$G16540="EX",1,IF(DATOS!$G16540="OR",--(COUNTIFS(nNIA,DATOS!$A16540,nCURSO,DATOS!$D16540,nESPEC,DATOS!$E16540,nASIG,DATOS!$I16540,nEVAL,"EX")=0),0))))</f>
      </c>
      <c r="H16540">
        <f>IF(DATOS!$G16540&lt;&gt;"EX",0,--(COUNTIFS(nNIA,DATOS!$A16540,nCURSO,DATOS!$D16540,nESPEC,DATOS!$E16540,nASIG,DATOS!$I16540,nEVAL,"OR")=0))</f>
      </c>
      <c r="I16540">
        <f>IF(DATOS!$I16540="","",IFERROR(VLOOKUP(DATOS!$I16540,CONFIG_ASIGNATURAS!$B$2:$J$91,9,FALSE()),""))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IF(DATOS!$A16541="",0,IF(CONFIG_METADATA!$B$4&lt;&gt;"OR+EX",--(DATOS!$G16541=CONFIG_METADATA!$B$4),IF(DATOS!$G16541="EX",1,IF(DATOS!$G16541="OR",--(COUNTIFS(nNIA,DATOS!$A16541,nCURSO,DATOS!$D16541,nESPEC,DATOS!$E16541,nASIG,DATOS!$I16541,nEVAL,"EX")=0),0))))</f>
      </c>
      <c r="H16541">
        <f>IF(DATOS!$G16541&lt;&gt;"EX",0,--(COUNTIFS(nNIA,DATOS!$A16541,nCURSO,DATOS!$D16541,nESPEC,DATOS!$E16541,nASIG,DATOS!$I16541,nEVAL,"OR")=0))</f>
      </c>
      <c r="I16541">
        <f>IF(DATOS!$I16541="","",IFERROR(VLOOKUP(DATOS!$I16541,CONFIG_ASIGNATURAS!$B$2:$J$91,9,FALSE()),""))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IF(DATOS!$A16542="",0,IF(CONFIG_METADATA!$B$4&lt;&gt;"OR+EX",--(DATOS!$G16542=CONFIG_METADATA!$B$4),IF(DATOS!$G16542="EX",1,IF(DATOS!$G16542="OR",--(COUNTIFS(nNIA,DATOS!$A16542,nCURSO,DATOS!$D16542,nESPEC,DATOS!$E16542,nASIG,DATOS!$I16542,nEVAL,"EX")=0),0))))</f>
      </c>
      <c r="H16542">
        <f>IF(DATOS!$G16542&lt;&gt;"EX",0,--(COUNTIFS(nNIA,DATOS!$A16542,nCURSO,DATOS!$D16542,nESPEC,DATOS!$E16542,nASIG,DATOS!$I16542,nEVAL,"OR")=0))</f>
      </c>
      <c r="I16542">
        <f>IF(DATOS!$I16542="","",IFERROR(VLOOKUP(DATOS!$I16542,CONFIG_ASIGNATURAS!$B$2:$J$91,9,FALSE()),""))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IF(DATOS!$A16543="",0,IF(CONFIG_METADATA!$B$4&lt;&gt;"OR+EX",--(DATOS!$G16543=CONFIG_METADATA!$B$4),IF(DATOS!$G16543="EX",1,IF(DATOS!$G16543="OR",--(COUNTIFS(nNIA,DATOS!$A16543,nCURSO,DATOS!$D16543,nESPEC,DATOS!$E16543,nASIG,DATOS!$I16543,nEVAL,"EX")=0),0))))</f>
      </c>
      <c r="H16543">
        <f>IF(DATOS!$G16543&lt;&gt;"EX",0,--(COUNTIFS(nNIA,DATOS!$A16543,nCURSO,DATOS!$D16543,nESPEC,DATOS!$E16543,nASIG,DATOS!$I16543,nEVAL,"OR")=0))</f>
      </c>
      <c r="I16543">
        <f>IF(DATOS!$I16543="","",IFERROR(VLOOKUP(DATOS!$I16543,CONFIG_ASIGNATURAS!$B$2:$J$91,9,FALSE()),""))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IF(DATOS!$A16544="",0,IF(CONFIG_METADATA!$B$4&lt;&gt;"OR+EX",--(DATOS!$G16544=CONFIG_METADATA!$B$4),IF(DATOS!$G16544="EX",1,IF(DATOS!$G16544="OR",--(COUNTIFS(nNIA,DATOS!$A16544,nCURSO,DATOS!$D16544,nESPEC,DATOS!$E16544,nASIG,DATOS!$I16544,nEVAL,"EX")=0),0))))</f>
      </c>
      <c r="H16544">
        <f>IF(DATOS!$G16544&lt;&gt;"EX",0,--(COUNTIFS(nNIA,DATOS!$A16544,nCURSO,DATOS!$D16544,nESPEC,DATOS!$E16544,nASIG,DATOS!$I16544,nEVAL,"OR")=0))</f>
      </c>
      <c r="I16544">
        <f>IF(DATOS!$I16544="","",IFERROR(VLOOKUP(DATOS!$I16544,CONFIG_ASIGNATURAS!$B$2:$J$91,9,FALSE()),""))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IF(DATOS!$A16545="",0,IF(CONFIG_METADATA!$B$4&lt;&gt;"OR+EX",--(DATOS!$G16545=CONFIG_METADATA!$B$4),IF(DATOS!$G16545="EX",1,IF(DATOS!$G16545="OR",--(COUNTIFS(nNIA,DATOS!$A16545,nCURSO,DATOS!$D16545,nESPEC,DATOS!$E16545,nASIG,DATOS!$I16545,nEVAL,"EX")=0),0))))</f>
      </c>
      <c r="H16545">
        <f>IF(DATOS!$G16545&lt;&gt;"EX",0,--(COUNTIFS(nNIA,DATOS!$A16545,nCURSO,DATOS!$D16545,nESPEC,DATOS!$E16545,nASIG,DATOS!$I16545,nEVAL,"OR")=0))</f>
      </c>
      <c r="I16545">
        <f>IF(DATOS!$I16545="","",IFERROR(VLOOKUP(DATOS!$I16545,CONFIG_ASIGNATURAS!$B$2:$J$91,9,FALSE()),""))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IF(DATOS!$A16546="",0,IF(CONFIG_METADATA!$B$4&lt;&gt;"OR+EX",--(DATOS!$G16546=CONFIG_METADATA!$B$4),IF(DATOS!$G16546="EX",1,IF(DATOS!$G16546="OR",--(COUNTIFS(nNIA,DATOS!$A16546,nCURSO,DATOS!$D16546,nESPEC,DATOS!$E16546,nASIG,DATOS!$I16546,nEVAL,"EX")=0),0))))</f>
      </c>
      <c r="H16546">
        <f>IF(DATOS!$G16546&lt;&gt;"EX",0,--(COUNTIFS(nNIA,DATOS!$A16546,nCURSO,DATOS!$D16546,nESPEC,DATOS!$E16546,nASIG,DATOS!$I16546,nEVAL,"OR")=0))</f>
      </c>
      <c r="I16546">
        <f>IF(DATOS!$I16546="","",IFERROR(VLOOKUP(DATOS!$I16546,CONFIG_ASIGNATURAS!$B$2:$J$91,9,FALSE()),""))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IF(DATOS!$A16547="",0,IF(CONFIG_METADATA!$B$4&lt;&gt;"OR+EX",--(DATOS!$G16547=CONFIG_METADATA!$B$4),IF(DATOS!$G16547="EX",1,IF(DATOS!$G16547="OR",--(COUNTIFS(nNIA,DATOS!$A16547,nCURSO,DATOS!$D16547,nESPEC,DATOS!$E16547,nASIG,DATOS!$I16547,nEVAL,"EX")=0),0))))</f>
      </c>
      <c r="H16547">
        <f>IF(DATOS!$G16547&lt;&gt;"EX",0,--(COUNTIFS(nNIA,DATOS!$A16547,nCURSO,DATOS!$D16547,nESPEC,DATOS!$E16547,nASIG,DATOS!$I16547,nEVAL,"OR")=0))</f>
      </c>
      <c r="I16547">
        <f>IF(DATOS!$I16547="","",IFERROR(VLOOKUP(DATOS!$I16547,CONFIG_ASIGNATURAS!$B$2:$J$91,9,FALSE()),""))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IF(DATOS!$A16548="",0,IF(CONFIG_METADATA!$B$4&lt;&gt;"OR+EX",--(DATOS!$G16548=CONFIG_METADATA!$B$4),IF(DATOS!$G16548="EX",1,IF(DATOS!$G16548="OR",--(COUNTIFS(nNIA,DATOS!$A16548,nCURSO,DATOS!$D16548,nESPEC,DATOS!$E16548,nASIG,DATOS!$I16548,nEVAL,"EX")=0),0))))</f>
      </c>
      <c r="H16548">
        <f>IF(DATOS!$G16548&lt;&gt;"EX",0,--(COUNTIFS(nNIA,DATOS!$A16548,nCURSO,DATOS!$D16548,nESPEC,DATOS!$E16548,nASIG,DATOS!$I16548,nEVAL,"OR")=0))</f>
      </c>
      <c r="I16548">
        <f>IF(DATOS!$I16548="","",IFERROR(VLOOKUP(DATOS!$I16548,CONFIG_ASIGNATURAS!$B$2:$J$91,9,FALSE()),""))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IF(DATOS!$A16549="",0,IF(CONFIG_METADATA!$B$4&lt;&gt;"OR+EX",--(DATOS!$G16549=CONFIG_METADATA!$B$4),IF(DATOS!$G16549="EX",1,IF(DATOS!$G16549="OR",--(COUNTIFS(nNIA,DATOS!$A16549,nCURSO,DATOS!$D16549,nESPEC,DATOS!$E16549,nASIG,DATOS!$I16549,nEVAL,"EX")=0),0))))</f>
      </c>
      <c r="H16549">
        <f>IF(DATOS!$G16549&lt;&gt;"EX",0,--(COUNTIFS(nNIA,DATOS!$A16549,nCURSO,DATOS!$D16549,nESPEC,DATOS!$E16549,nASIG,DATOS!$I16549,nEVAL,"OR")=0))</f>
      </c>
      <c r="I16549">
        <f>IF(DATOS!$I16549="","",IFERROR(VLOOKUP(DATOS!$I16549,CONFIG_ASIGNATURAS!$B$2:$J$91,9,FALSE()),""))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IF(DATOS!$A16550="",0,IF(CONFIG_METADATA!$B$4&lt;&gt;"OR+EX",--(DATOS!$G16550=CONFIG_METADATA!$B$4),IF(DATOS!$G16550="EX",1,IF(DATOS!$G16550="OR",--(COUNTIFS(nNIA,DATOS!$A16550,nCURSO,DATOS!$D16550,nESPEC,DATOS!$E16550,nASIG,DATOS!$I16550,nEVAL,"EX")=0),0))))</f>
      </c>
      <c r="H16550">
        <f>IF(DATOS!$G16550&lt;&gt;"EX",0,--(COUNTIFS(nNIA,DATOS!$A16550,nCURSO,DATOS!$D16550,nESPEC,DATOS!$E16550,nASIG,DATOS!$I16550,nEVAL,"OR")=0))</f>
      </c>
      <c r="I16550">
        <f>IF(DATOS!$I16550="","",IFERROR(VLOOKUP(DATOS!$I16550,CONFIG_ASIGNATURAS!$B$2:$J$91,9,FALSE()),""))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IF(DATOS!$A16551="",0,IF(CONFIG_METADATA!$B$4&lt;&gt;"OR+EX",--(DATOS!$G16551=CONFIG_METADATA!$B$4),IF(DATOS!$G16551="EX",1,IF(DATOS!$G16551="OR",--(COUNTIFS(nNIA,DATOS!$A16551,nCURSO,DATOS!$D16551,nESPEC,DATOS!$E16551,nASIG,DATOS!$I16551,nEVAL,"EX")=0),0))))</f>
      </c>
      <c r="H16551">
        <f>IF(DATOS!$G16551&lt;&gt;"EX",0,--(COUNTIFS(nNIA,DATOS!$A16551,nCURSO,DATOS!$D16551,nESPEC,DATOS!$E16551,nASIG,DATOS!$I16551,nEVAL,"OR")=0))</f>
      </c>
      <c r="I16551">
        <f>IF(DATOS!$I16551="","",IFERROR(VLOOKUP(DATOS!$I16551,CONFIG_ASIGNATURAS!$B$2:$J$91,9,FALSE()),""))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IF(DATOS!$A16552="",0,IF(CONFIG_METADATA!$B$4&lt;&gt;"OR+EX",--(DATOS!$G16552=CONFIG_METADATA!$B$4),IF(DATOS!$G16552="EX",1,IF(DATOS!$G16552="OR",--(COUNTIFS(nNIA,DATOS!$A16552,nCURSO,DATOS!$D16552,nESPEC,DATOS!$E16552,nASIG,DATOS!$I16552,nEVAL,"EX")=0),0))))</f>
      </c>
      <c r="H16552">
        <f>IF(DATOS!$G16552&lt;&gt;"EX",0,--(COUNTIFS(nNIA,DATOS!$A16552,nCURSO,DATOS!$D16552,nESPEC,DATOS!$E16552,nASIG,DATOS!$I16552,nEVAL,"OR")=0))</f>
      </c>
      <c r="I16552">
        <f>IF(DATOS!$I16552="","",IFERROR(VLOOKUP(DATOS!$I16552,CONFIG_ASIGNATURAS!$B$2:$J$91,9,FALSE()),""))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IF(DATOS!$A16553="",0,IF(CONFIG_METADATA!$B$4&lt;&gt;"OR+EX",--(DATOS!$G16553=CONFIG_METADATA!$B$4),IF(DATOS!$G16553="EX",1,IF(DATOS!$G16553="OR",--(COUNTIFS(nNIA,DATOS!$A16553,nCURSO,DATOS!$D16553,nESPEC,DATOS!$E16553,nASIG,DATOS!$I16553,nEVAL,"EX")=0),0))))</f>
      </c>
      <c r="H16553">
        <f>IF(DATOS!$G16553&lt;&gt;"EX",0,--(COUNTIFS(nNIA,DATOS!$A16553,nCURSO,DATOS!$D16553,nESPEC,DATOS!$E16553,nASIG,DATOS!$I16553,nEVAL,"OR")=0))</f>
      </c>
      <c r="I16553">
        <f>IF(DATOS!$I16553="","",IFERROR(VLOOKUP(DATOS!$I16553,CONFIG_ASIGNATURAS!$B$2:$J$91,9,FALSE()),""))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IF(DATOS!$A16554="",0,IF(CONFIG_METADATA!$B$4&lt;&gt;"OR+EX",--(DATOS!$G16554=CONFIG_METADATA!$B$4),IF(DATOS!$G16554="EX",1,IF(DATOS!$G16554="OR",--(COUNTIFS(nNIA,DATOS!$A16554,nCURSO,DATOS!$D16554,nESPEC,DATOS!$E16554,nASIG,DATOS!$I16554,nEVAL,"EX")=0),0))))</f>
      </c>
      <c r="H16554">
        <f>IF(DATOS!$G16554&lt;&gt;"EX",0,--(COUNTIFS(nNIA,DATOS!$A16554,nCURSO,DATOS!$D16554,nESPEC,DATOS!$E16554,nASIG,DATOS!$I16554,nEVAL,"OR")=0))</f>
      </c>
      <c r="I16554">
        <f>IF(DATOS!$I16554="","",IFERROR(VLOOKUP(DATOS!$I16554,CONFIG_ASIGNATURAS!$B$2:$J$91,9,FALSE()),""))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IF(DATOS!$A16555="",0,IF(CONFIG_METADATA!$B$4&lt;&gt;"OR+EX",--(DATOS!$G16555=CONFIG_METADATA!$B$4),IF(DATOS!$G16555="EX",1,IF(DATOS!$G16555="OR",--(COUNTIFS(nNIA,DATOS!$A16555,nCURSO,DATOS!$D16555,nESPEC,DATOS!$E16555,nASIG,DATOS!$I16555,nEVAL,"EX")=0),0))))</f>
      </c>
      <c r="H16555">
        <f>IF(DATOS!$G16555&lt;&gt;"EX",0,--(COUNTIFS(nNIA,DATOS!$A16555,nCURSO,DATOS!$D16555,nESPEC,DATOS!$E16555,nASIG,DATOS!$I16555,nEVAL,"OR")=0))</f>
      </c>
      <c r="I16555">
        <f>IF(DATOS!$I16555="","",IFERROR(VLOOKUP(DATOS!$I16555,CONFIG_ASIGNATURAS!$B$2:$J$91,9,FALSE()),""))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IF(DATOS!$A16556="",0,IF(CONFIG_METADATA!$B$4&lt;&gt;"OR+EX",--(DATOS!$G16556=CONFIG_METADATA!$B$4),IF(DATOS!$G16556="EX",1,IF(DATOS!$G16556="OR",--(COUNTIFS(nNIA,DATOS!$A16556,nCURSO,DATOS!$D16556,nESPEC,DATOS!$E16556,nASIG,DATOS!$I16556,nEVAL,"EX")=0),0))))</f>
      </c>
      <c r="H16556">
        <f>IF(DATOS!$G16556&lt;&gt;"EX",0,--(COUNTIFS(nNIA,DATOS!$A16556,nCURSO,DATOS!$D16556,nESPEC,DATOS!$E16556,nASIG,DATOS!$I16556,nEVAL,"OR")=0))</f>
      </c>
      <c r="I16556">
        <f>IF(DATOS!$I16556="","",IFERROR(VLOOKUP(DATOS!$I16556,CONFIG_ASIGNATURAS!$B$2:$J$91,9,FALSE()),""))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IF(DATOS!$A16557="",0,IF(CONFIG_METADATA!$B$4&lt;&gt;"OR+EX",--(DATOS!$G16557=CONFIG_METADATA!$B$4),IF(DATOS!$G16557="EX",1,IF(DATOS!$G16557="OR",--(COUNTIFS(nNIA,DATOS!$A16557,nCURSO,DATOS!$D16557,nESPEC,DATOS!$E16557,nASIG,DATOS!$I16557,nEVAL,"EX")=0),0))))</f>
      </c>
      <c r="H16557">
        <f>IF(DATOS!$G16557&lt;&gt;"EX",0,--(COUNTIFS(nNIA,DATOS!$A16557,nCURSO,DATOS!$D16557,nESPEC,DATOS!$E16557,nASIG,DATOS!$I16557,nEVAL,"OR")=0))</f>
      </c>
      <c r="I16557">
        <f>IF(DATOS!$I16557="","",IFERROR(VLOOKUP(DATOS!$I16557,CONFIG_ASIGNATURAS!$B$2:$J$91,9,FALSE()),""))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IF(DATOS!$A16558="",0,IF(CONFIG_METADATA!$B$4&lt;&gt;"OR+EX",--(DATOS!$G16558=CONFIG_METADATA!$B$4),IF(DATOS!$G16558="EX",1,IF(DATOS!$G16558="OR",--(COUNTIFS(nNIA,DATOS!$A16558,nCURSO,DATOS!$D16558,nESPEC,DATOS!$E16558,nASIG,DATOS!$I16558,nEVAL,"EX")=0),0))))</f>
      </c>
      <c r="H16558">
        <f>IF(DATOS!$G16558&lt;&gt;"EX",0,--(COUNTIFS(nNIA,DATOS!$A16558,nCURSO,DATOS!$D16558,nESPEC,DATOS!$E16558,nASIG,DATOS!$I16558,nEVAL,"OR")=0))</f>
      </c>
      <c r="I16558">
        <f>IF(DATOS!$I16558="","",IFERROR(VLOOKUP(DATOS!$I16558,CONFIG_ASIGNATURAS!$B$2:$J$91,9,FALSE()),""))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IF(DATOS!$A16559="",0,IF(CONFIG_METADATA!$B$4&lt;&gt;"OR+EX",--(DATOS!$G16559=CONFIG_METADATA!$B$4),IF(DATOS!$G16559="EX",1,IF(DATOS!$G16559="OR",--(COUNTIFS(nNIA,DATOS!$A16559,nCURSO,DATOS!$D16559,nESPEC,DATOS!$E16559,nASIG,DATOS!$I16559,nEVAL,"EX")=0),0))))</f>
      </c>
      <c r="H16559">
        <f>IF(DATOS!$G16559&lt;&gt;"EX",0,--(COUNTIFS(nNIA,DATOS!$A16559,nCURSO,DATOS!$D16559,nESPEC,DATOS!$E16559,nASIG,DATOS!$I16559,nEVAL,"OR")=0))</f>
      </c>
      <c r="I16559">
        <f>IF(DATOS!$I16559="","",IFERROR(VLOOKUP(DATOS!$I16559,CONFIG_ASIGNATURAS!$B$2:$J$91,9,FALSE()),""))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IF(DATOS!$A16560="",0,IF(CONFIG_METADATA!$B$4&lt;&gt;"OR+EX",--(DATOS!$G16560=CONFIG_METADATA!$B$4),IF(DATOS!$G16560="EX",1,IF(DATOS!$G16560="OR",--(COUNTIFS(nNIA,DATOS!$A16560,nCURSO,DATOS!$D16560,nESPEC,DATOS!$E16560,nASIG,DATOS!$I16560,nEVAL,"EX")=0),0))))</f>
      </c>
      <c r="H16560">
        <f>IF(DATOS!$G16560&lt;&gt;"EX",0,--(COUNTIFS(nNIA,DATOS!$A16560,nCURSO,DATOS!$D16560,nESPEC,DATOS!$E16560,nASIG,DATOS!$I16560,nEVAL,"OR")=0))</f>
      </c>
      <c r="I16560">
        <f>IF(DATOS!$I16560="","",IFERROR(VLOOKUP(DATOS!$I16560,CONFIG_ASIGNATURAS!$B$2:$J$91,9,FALSE()),""))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IF(DATOS!$A16561="",0,IF(CONFIG_METADATA!$B$4&lt;&gt;"OR+EX",--(DATOS!$G16561=CONFIG_METADATA!$B$4),IF(DATOS!$G16561="EX",1,IF(DATOS!$G16561="OR",--(COUNTIFS(nNIA,DATOS!$A16561,nCURSO,DATOS!$D16561,nESPEC,DATOS!$E16561,nASIG,DATOS!$I16561,nEVAL,"EX")=0),0))))</f>
      </c>
      <c r="H16561">
        <f>IF(DATOS!$G16561&lt;&gt;"EX",0,--(COUNTIFS(nNIA,DATOS!$A16561,nCURSO,DATOS!$D16561,nESPEC,DATOS!$E16561,nASIG,DATOS!$I16561,nEVAL,"OR")=0))</f>
      </c>
      <c r="I16561">
        <f>IF(DATOS!$I16561="","",IFERROR(VLOOKUP(DATOS!$I16561,CONFIG_ASIGNATURAS!$B$2:$J$91,9,FALSE()),""))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IF(DATOS!$A16562="",0,IF(CONFIG_METADATA!$B$4&lt;&gt;"OR+EX",--(DATOS!$G16562=CONFIG_METADATA!$B$4),IF(DATOS!$G16562="EX",1,IF(DATOS!$G16562="OR",--(COUNTIFS(nNIA,DATOS!$A16562,nCURSO,DATOS!$D16562,nESPEC,DATOS!$E16562,nASIG,DATOS!$I16562,nEVAL,"EX")=0),0))))</f>
      </c>
      <c r="H16562">
        <f>IF(DATOS!$G16562&lt;&gt;"EX",0,--(COUNTIFS(nNIA,DATOS!$A16562,nCURSO,DATOS!$D16562,nESPEC,DATOS!$E16562,nASIG,DATOS!$I16562,nEVAL,"OR")=0))</f>
      </c>
      <c r="I16562">
        <f>IF(DATOS!$I16562="","",IFERROR(VLOOKUP(DATOS!$I16562,CONFIG_ASIGNATURAS!$B$2:$J$91,9,FALSE()),""))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IF(DATOS!$A16563="",0,IF(CONFIG_METADATA!$B$4&lt;&gt;"OR+EX",--(DATOS!$G16563=CONFIG_METADATA!$B$4),IF(DATOS!$G16563="EX",1,IF(DATOS!$G16563="OR",--(COUNTIFS(nNIA,DATOS!$A16563,nCURSO,DATOS!$D16563,nESPEC,DATOS!$E16563,nASIG,DATOS!$I16563,nEVAL,"EX")=0),0))))</f>
      </c>
      <c r="H16563">
        <f>IF(DATOS!$G16563&lt;&gt;"EX",0,--(COUNTIFS(nNIA,DATOS!$A16563,nCURSO,DATOS!$D16563,nESPEC,DATOS!$E16563,nASIG,DATOS!$I16563,nEVAL,"OR")=0))</f>
      </c>
      <c r="I16563">
        <f>IF(DATOS!$I16563="","",IFERROR(VLOOKUP(DATOS!$I16563,CONFIG_ASIGNATURAS!$B$2:$J$91,9,FALSE()),""))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IF(DATOS!$A16564="",0,IF(CONFIG_METADATA!$B$4&lt;&gt;"OR+EX",--(DATOS!$G16564=CONFIG_METADATA!$B$4),IF(DATOS!$G16564="EX",1,IF(DATOS!$G16564="OR",--(COUNTIFS(nNIA,DATOS!$A16564,nCURSO,DATOS!$D16564,nESPEC,DATOS!$E16564,nASIG,DATOS!$I16564,nEVAL,"EX")=0),0))))</f>
      </c>
      <c r="H16564">
        <f>IF(DATOS!$G16564&lt;&gt;"EX",0,--(COUNTIFS(nNIA,DATOS!$A16564,nCURSO,DATOS!$D16564,nESPEC,DATOS!$E16564,nASIG,DATOS!$I16564,nEVAL,"OR")=0))</f>
      </c>
      <c r="I16564">
        <f>IF(DATOS!$I16564="","",IFERROR(VLOOKUP(DATOS!$I16564,CONFIG_ASIGNATURAS!$B$2:$J$91,9,FALSE()),""))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IF(DATOS!$A16565="",0,IF(CONFIG_METADATA!$B$4&lt;&gt;"OR+EX",--(DATOS!$G16565=CONFIG_METADATA!$B$4),IF(DATOS!$G16565="EX",1,IF(DATOS!$G16565="OR",--(COUNTIFS(nNIA,DATOS!$A16565,nCURSO,DATOS!$D16565,nESPEC,DATOS!$E16565,nASIG,DATOS!$I16565,nEVAL,"EX")=0),0))))</f>
      </c>
      <c r="H16565">
        <f>IF(DATOS!$G16565&lt;&gt;"EX",0,--(COUNTIFS(nNIA,DATOS!$A16565,nCURSO,DATOS!$D16565,nESPEC,DATOS!$E16565,nASIG,DATOS!$I16565,nEVAL,"OR")=0))</f>
      </c>
      <c r="I16565">
        <f>IF(DATOS!$I16565="","",IFERROR(VLOOKUP(DATOS!$I16565,CONFIG_ASIGNATURAS!$B$2:$J$91,9,FALSE()),""))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IF(DATOS!$A16566="",0,IF(CONFIG_METADATA!$B$4&lt;&gt;"OR+EX",--(DATOS!$G16566=CONFIG_METADATA!$B$4),IF(DATOS!$G16566="EX",1,IF(DATOS!$G16566="OR",--(COUNTIFS(nNIA,DATOS!$A16566,nCURSO,DATOS!$D16566,nESPEC,DATOS!$E16566,nASIG,DATOS!$I16566,nEVAL,"EX")=0),0))))</f>
      </c>
      <c r="H16566">
        <f>IF(DATOS!$G16566&lt;&gt;"EX",0,--(COUNTIFS(nNIA,DATOS!$A16566,nCURSO,DATOS!$D16566,nESPEC,DATOS!$E16566,nASIG,DATOS!$I16566,nEVAL,"OR")=0))</f>
      </c>
      <c r="I16566">
        <f>IF(DATOS!$I16566="","",IFERROR(VLOOKUP(DATOS!$I16566,CONFIG_ASIGNATURAS!$B$2:$J$91,9,FALSE()),""))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IF(DATOS!$A16567="",0,IF(CONFIG_METADATA!$B$4&lt;&gt;"OR+EX",--(DATOS!$G16567=CONFIG_METADATA!$B$4),IF(DATOS!$G16567="EX",1,IF(DATOS!$G16567="OR",--(COUNTIFS(nNIA,DATOS!$A16567,nCURSO,DATOS!$D16567,nESPEC,DATOS!$E16567,nASIG,DATOS!$I16567,nEVAL,"EX")=0),0))))</f>
      </c>
      <c r="H16567">
        <f>IF(DATOS!$G16567&lt;&gt;"EX",0,--(COUNTIFS(nNIA,DATOS!$A16567,nCURSO,DATOS!$D16567,nESPEC,DATOS!$E16567,nASIG,DATOS!$I16567,nEVAL,"OR")=0))</f>
      </c>
      <c r="I16567">
        <f>IF(DATOS!$I16567="","",IFERROR(VLOOKUP(DATOS!$I16567,CONFIG_ASIGNATURAS!$B$2:$J$91,9,FALSE()),""))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IF(DATOS!$A16568="",0,IF(CONFIG_METADATA!$B$4&lt;&gt;"OR+EX",--(DATOS!$G16568=CONFIG_METADATA!$B$4),IF(DATOS!$G16568="EX",1,IF(DATOS!$G16568="OR",--(COUNTIFS(nNIA,DATOS!$A16568,nCURSO,DATOS!$D16568,nESPEC,DATOS!$E16568,nASIG,DATOS!$I16568,nEVAL,"EX")=0),0))))</f>
      </c>
      <c r="H16568">
        <f>IF(DATOS!$G16568&lt;&gt;"EX",0,--(COUNTIFS(nNIA,DATOS!$A16568,nCURSO,DATOS!$D16568,nESPEC,DATOS!$E16568,nASIG,DATOS!$I16568,nEVAL,"OR")=0))</f>
      </c>
      <c r="I16568">
        <f>IF(DATOS!$I16568="","",IFERROR(VLOOKUP(DATOS!$I16568,CONFIG_ASIGNATURAS!$B$2:$J$91,9,FALSE()),""))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IF(DATOS!$A16569="",0,IF(CONFIG_METADATA!$B$4&lt;&gt;"OR+EX",--(DATOS!$G16569=CONFIG_METADATA!$B$4),IF(DATOS!$G16569="EX",1,IF(DATOS!$G16569="OR",--(COUNTIFS(nNIA,DATOS!$A16569,nCURSO,DATOS!$D16569,nESPEC,DATOS!$E16569,nASIG,DATOS!$I16569,nEVAL,"EX")=0),0))))</f>
      </c>
      <c r="H16569">
        <f>IF(DATOS!$G16569&lt;&gt;"EX",0,--(COUNTIFS(nNIA,DATOS!$A16569,nCURSO,DATOS!$D16569,nESPEC,DATOS!$E16569,nASIG,DATOS!$I16569,nEVAL,"OR")=0))</f>
      </c>
      <c r="I16569">
        <f>IF(DATOS!$I16569="","",IFERROR(VLOOKUP(DATOS!$I16569,CONFIG_ASIGNATURAS!$B$2:$J$91,9,FALSE()),""))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IF(DATOS!$A16570="",0,IF(CONFIG_METADATA!$B$4&lt;&gt;"OR+EX",--(DATOS!$G16570=CONFIG_METADATA!$B$4),IF(DATOS!$G16570="EX",1,IF(DATOS!$G16570="OR",--(COUNTIFS(nNIA,DATOS!$A16570,nCURSO,DATOS!$D16570,nESPEC,DATOS!$E16570,nASIG,DATOS!$I16570,nEVAL,"EX")=0),0))))</f>
      </c>
      <c r="H16570">
        <f>IF(DATOS!$G16570&lt;&gt;"EX",0,--(COUNTIFS(nNIA,DATOS!$A16570,nCURSO,DATOS!$D16570,nESPEC,DATOS!$E16570,nASIG,DATOS!$I16570,nEVAL,"OR")=0))</f>
      </c>
      <c r="I16570">
        <f>IF(DATOS!$I16570="","",IFERROR(VLOOKUP(DATOS!$I16570,CONFIG_ASIGNATURAS!$B$2:$J$91,9,FALSE()),""))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IF(DATOS!$A16571="",0,IF(CONFIG_METADATA!$B$4&lt;&gt;"OR+EX",--(DATOS!$G16571=CONFIG_METADATA!$B$4),IF(DATOS!$G16571="EX",1,IF(DATOS!$G16571="OR",--(COUNTIFS(nNIA,DATOS!$A16571,nCURSO,DATOS!$D16571,nESPEC,DATOS!$E16571,nASIG,DATOS!$I16571,nEVAL,"EX")=0),0))))</f>
      </c>
      <c r="H16571">
        <f>IF(DATOS!$G16571&lt;&gt;"EX",0,--(COUNTIFS(nNIA,DATOS!$A16571,nCURSO,DATOS!$D16571,nESPEC,DATOS!$E16571,nASIG,DATOS!$I16571,nEVAL,"OR")=0))</f>
      </c>
      <c r="I16571">
        <f>IF(DATOS!$I16571="","",IFERROR(VLOOKUP(DATOS!$I16571,CONFIG_ASIGNATURAS!$B$2:$J$91,9,FALSE()),""))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IF(DATOS!$A16572="",0,IF(CONFIG_METADATA!$B$4&lt;&gt;"OR+EX",--(DATOS!$G16572=CONFIG_METADATA!$B$4),IF(DATOS!$G16572="EX",1,IF(DATOS!$G16572="OR",--(COUNTIFS(nNIA,DATOS!$A16572,nCURSO,DATOS!$D16572,nESPEC,DATOS!$E16572,nASIG,DATOS!$I16572,nEVAL,"EX")=0),0))))</f>
      </c>
      <c r="H16572">
        <f>IF(DATOS!$G16572&lt;&gt;"EX",0,--(COUNTIFS(nNIA,DATOS!$A16572,nCURSO,DATOS!$D16572,nESPEC,DATOS!$E16572,nASIG,DATOS!$I16572,nEVAL,"OR")=0))</f>
      </c>
      <c r="I16572">
        <f>IF(DATOS!$I16572="","",IFERROR(VLOOKUP(DATOS!$I16572,CONFIG_ASIGNATURAS!$B$2:$J$91,9,FALSE()),""))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IF(DATOS!$A16573="",0,IF(CONFIG_METADATA!$B$4&lt;&gt;"OR+EX",--(DATOS!$G16573=CONFIG_METADATA!$B$4),IF(DATOS!$G16573="EX",1,IF(DATOS!$G16573="OR",--(COUNTIFS(nNIA,DATOS!$A16573,nCURSO,DATOS!$D16573,nESPEC,DATOS!$E16573,nASIG,DATOS!$I16573,nEVAL,"EX")=0),0))))</f>
      </c>
      <c r="H16573">
        <f>IF(DATOS!$G16573&lt;&gt;"EX",0,--(COUNTIFS(nNIA,DATOS!$A16573,nCURSO,DATOS!$D16573,nESPEC,DATOS!$E16573,nASIG,DATOS!$I16573,nEVAL,"OR")=0))</f>
      </c>
      <c r="I16573">
        <f>IF(DATOS!$I16573="","",IFERROR(VLOOKUP(DATOS!$I16573,CONFIG_ASIGNATURAS!$B$2:$J$91,9,FALSE()),""))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IF(DATOS!$A16574="",0,IF(CONFIG_METADATA!$B$4&lt;&gt;"OR+EX",--(DATOS!$G16574=CONFIG_METADATA!$B$4),IF(DATOS!$G16574="EX",1,IF(DATOS!$G16574="OR",--(COUNTIFS(nNIA,DATOS!$A16574,nCURSO,DATOS!$D16574,nESPEC,DATOS!$E16574,nASIG,DATOS!$I16574,nEVAL,"EX")=0),0))))</f>
      </c>
      <c r="H16574">
        <f>IF(DATOS!$G16574&lt;&gt;"EX",0,--(COUNTIFS(nNIA,DATOS!$A16574,nCURSO,DATOS!$D16574,nESPEC,DATOS!$E16574,nASIG,DATOS!$I16574,nEVAL,"OR")=0))</f>
      </c>
      <c r="I16574">
        <f>IF(DATOS!$I16574="","",IFERROR(VLOOKUP(DATOS!$I16574,CONFIG_ASIGNATURAS!$B$2:$J$91,9,FALSE()),""))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IF(DATOS!$A16575="",0,IF(CONFIG_METADATA!$B$4&lt;&gt;"OR+EX",--(DATOS!$G16575=CONFIG_METADATA!$B$4),IF(DATOS!$G16575="EX",1,IF(DATOS!$G16575="OR",--(COUNTIFS(nNIA,DATOS!$A16575,nCURSO,DATOS!$D16575,nESPEC,DATOS!$E16575,nASIG,DATOS!$I16575,nEVAL,"EX")=0),0))))</f>
      </c>
      <c r="H16575">
        <f>IF(DATOS!$G16575&lt;&gt;"EX",0,--(COUNTIFS(nNIA,DATOS!$A16575,nCURSO,DATOS!$D16575,nESPEC,DATOS!$E16575,nASIG,DATOS!$I16575,nEVAL,"OR")=0))</f>
      </c>
      <c r="I16575">
        <f>IF(DATOS!$I16575="","",IFERROR(VLOOKUP(DATOS!$I16575,CONFIG_ASIGNATURAS!$B$2:$J$91,9,FALSE()),""))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IF(DATOS!$A16576="",0,IF(CONFIG_METADATA!$B$4&lt;&gt;"OR+EX",--(DATOS!$G16576=CONFIG_METADATA!$B$4),IF(DATOS!$G16576="EX",1,IF(DATOS!$G16576="OR",--(COUNTIFS(nNIA,DATOS!$A16576,nCURSO,DATOS!$D16576,nESPEC,DATOS!$E16576,nASIG,DATOS!$I16576,nEVAL,"EX")=0),0))))</f>
      </c>
      <c r="H16576">
        <f>IF(DATOS!$G16576&lt;&gt;"EX",0,--(COUNTIFS(nNIA,DATOS!$A16576,nCURSO,DATOS!$D16576,nESPEC,DATOS!$E16576,nASIG,DATOS!$I16576,nEVAL,"OR")=0))</f>
      </c>
      <c r="I16576">
        <f>IF(DATOS!$I16576="","",IFERROR(VLOOKUP(DATOS!$I16576,CONFIG_ASIGNATURAS!$B$2:$J$91,9,FALSE()),""))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IF(DATOS!$A16577="",0,IF(CONFIG_METADATA!$B$4&lt;&gt;"OR+EX",--(DATOS!$G16577=CONFIG_METADATA!$B$4),IF(DATOS!$G16577="EX",1,IF(DATOS!$G16577="OR",--(COUNTIFS(nNIA,DATOS!$A16577,nCURSO,DATOS!$D16577,nESPEC,DATOS!$E16577,nASIG,DATOS!$I16577,nEVAL,"EX")=0),0))))</f>
      </c>
      <c r="H16577">
        <f>IF(DATOS!$G16577&lt;&gt;"EX",0,--(COUNTIFS(nNIA,DATOS!$A16577,nCURSO,DATOS!$D16577,nESPEC,DATOS!$E16577,nASIG,DATOS!$I16577,nEVAL,"OR")=0))</f>
      </c>
      <c r="I16577">
        <f>IF(DATOS!$I16577="","",IFERROR(VLOOKUP(DATOS!$I16577,CONFIG_ASIGNATURAS!$B$2:$J$91,9,FALSE()),""))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IF(DATOS!$A16578="",0,IF(CONFIG_METADATA!$B$4&lt;&gt;"OR+EX",--(DATOS!$G16578=CONFIG_METADATA!$B$4),IF(DATOS!$G16578="EX",1,IF(DATOS!$G16578="OR",--(COUNTIFS(nNIA,DATOS!$A16578,nCURSO,DATOS!$D16578,nESPEC,DATOS!$E16578,nASIG,DATOS!$I16578,nEVAL,"EX")=0),0))))</f>
      </c>
      <c r="H16578">
        <f>IF(DATOS!$G16578&lt;&gt;"EX",0,--(COUNTIFS(nNIA,DATOS!$A16578,nCURSO,DATOS!$D16578,nESPEC,DATOS!$E16578,nASIG,DATOS!$I16578,nEVAL,"OR")=0))</f>
      </c>
      <c r="I16578">
        <f>IF(DATOS!$I16578="","",IFERROR(VLOOKUP(DATOS!$I16578,CONFIG_ASIGNATURAS!$B$2:$J$91,9,FALSE()),""))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IF(DATOS!$A16579="",0,IF(CONFIG_METADATA!$B$4&lt;&gt;"OR+EX",--(DATOS!$G16579=CONFIG_METADATA!$B$4),IF(DATOS!$G16579="EX",1,IF(DATOS!$G16579="OR",--(COUNTIFS(nNIA,DATOS!$A16579,nCURSO,DATOS!$D16579,nESPEC,DATOS!$E16579,nASIG,DATOS!$I16579,nEVAL,"EX")=0),0))))</f>
      </c>
      <c r="H16579">
        <f>IF(DATOS!$G16579&lt;&gt;"EX",0,--(COUNTIFS(nNIA,DATOS!$A16579,nCURSO,DATOS!$D16579,nESPEC,DATOS!$E16579,nASIG,DATOS!$I16579,nEVAL,"OR")=0))</f>
      </c>
      <c r="I16579">
        <f>IF(DATOS!$I16579="","",IFERROR(VLOOKUP(DATOS!$I16579,CONFIG_ASIGNATURAS!$B$2:$J$91,9,FALSE()),""))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IF(DATOS!$A16580="",0,IF(CONFIG_METADATA!$B$4&lt;&gt;"OR+EX",--(DATOS!$G16580=CONFIG_METADATA!$B$4),IF(DATOS!$G16580="EX",1,IF(DATOS!$G16580="OR",--(COUNTIFS(nNIA,DATOS!$A16580,nCURSO,DATOS!$D16580,nESPEC,DATOS!$E16580,nASIG,DATOS!$I16580,nEVAL,"EX")=0),0))))</f>
      </c>
      <c r="H16580">
        <f>IF(DATOS!$G16580&lt;&gt;"EX",0,--(COUNTIFS(nNIA,DATOS!$A16580,nCURSO,DATOS!$D16580,nESPEC,DATOS!$E16580,nASIG,DATOS!$I16580,nEVAL,"OR")=0))</f>
      </c>
      <c r="I16580">
        <f>IF(DATOS!$I16580="","",IFERROR(VLOOKUP(DATOS!$I16580,CONFIG_ASIGNATURAS!$B$2:$J$91,9,FALSE()),""))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IF(DATOS!$A16581="",0,IF(CONFIG_METADATA!$B$4&lt;&gt;"OR+EX",--(DATOS!$G16581=CONFIG_METADATA!$B$4),IF(DATOS!$G16581="EX",1,IF(DATOS!$G16581="OR",--(COUNTIFS(nNIA,DATOS!$A16581,nCURSO,DATOS!$D16581,nESPEC,DATOS!$E16581,nASIG,DATOS!$I16581,nEVAL,"EX")=0),0))))</f>
      </c>
      <c r="H16581">
        <f>IF(DATOS!$G16581&lt;&gt;"EX",0,--(COUNTIFS(nNIA,DATOS!$A16581,nCURSO,DATOS!$D16581,nESPEC,DATOS!$E16581,nASIG,DATOS!$I16581,nEVAL,"OR")=0))</f>
      </c>
      <c r="I16581">
        <f>IF(DATOS!$I16581="","",IFERROR(VLOOKUP(DATOS!$I16581,CONFIG_ASIGNATURAS!$B$2:$J$91,9,FALSE()),""))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IF(DATOS!$A16582="",0,IF(CONFIG_METADATA!$B$4&lt;&gt;"OR+EX",--(DATOS!$G16582=CONFIG_METADATA!$B$4),IF(DATOS!$G16582="EX",1,IF(DATOS!$G16582="OR",--(COUNTIFS(nNIA,DATOS!$A16582,nCURSO,DATOS!$D16582,nESPEC,DATOS!$E16582,nASIG,DATOS!$I16582,nEVAL,"EX")=0),0))))</f>
      </c>
      <c r="H16582">
        <f>IF(DATOS!$G16582&lt;&gt;"EX",0,--(COUNTIFS(nNIA,DATOS!$A16582,nCURSO,DATOS!$D16582,nESPEC,DATOS!$E16582,nASIG,DATOS!$I16582,nEVAL,"OR")=0))</f>
      </c>
      <c r="I16582">
        <f>IF(DATOS!$I16582="","",IFERROR(VLOOKUP(DATOS!$I16582,CONFIG_ASIGNATURAS!$B$2:$J$91,9,FALSE()),""))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IF(DATOS!$A16583="",0,IF(CONFIG_METADATA!$B$4&lt;&gt;"OR+EX",--(DATOS!$G16583=CONFIG_METADATA!$B$4),IF(DATOS!$G16583="EX",1,IF(DATOS!$G16583="OR",--(COUNTIFS(nNIA,DATOS!$A16583,nCURSO,DATOS!$D16583,nESPEC,DATOS!$E16583,nASIG,DATOS!$I16583,nEVAL,"EX")=0),0))))</f>
      </c>
      <c r="H16583">
        <f>IF(DATOS!$G16583&lt;&gt;"EX",0,--(COUNTIFS(nNIA,DATOS!$A16583,nCURSO,DATOS!$D16583,nESPEC,DATOS!$E16583,nASIG,DATOS!$I16583,nEVAL,"OR")=0))</f>
      </c>
      <c r="I16583">
        <f>IF(DATOS!$I16583="","",IFERROR(VLOOKUP(DATOS!$I16583,CONFIG_ASIGNATURAS!$B$2:$J$91,9,FALSE()),""))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IF(DATOS!$A16584="",0,IF(CONFIG_METADATA!$B$4&lt;&gt;"OR+EX",--(DATOS!$G16584=CONFIG_METADATA!$B$4),IF(DATOS!$G16584="EX",1,IF(DATOS!$G16584="OR",--(COUNTIFS(nNIA,DATOS!$A16584,nCURSO,DATOS!$D16584,nESPEC,DATOS!$E16584,nASIG,DATOS!$I16584,nEVAL,"EX")=0),0))))</f>
      </c>
      <c r="H16584">
        <f>IF(DATOS!$G16584&lt;&gt;"EX",0,--(COUNTIFS(nNIA,DATOS!$A16584,nCURSO,DATOS!$D16584,nESPEC,DATOS!$E16584,nASIG,DATOS!$I16584,nEVAL,"OR")=0))</f>
      </c>
      <c r="I16584">
        <f>IF(DATOS!$I16584="","",IFERROR(VLOOKUP(DATOS!$I16584,CONFIG_ASIGNATURAS!$B$2:$J$91,9,FALSE()),""))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IF(DATOS!$A16585="",0,IF(CONFIG_METADATA!$B$4&lt;&gt;"OR+EX",--(DATOS!$G16585=CONFIG_METADATA!$B$4),IF(DATOS!$G16585="EX",1,IF(DATOS!$G16585="OR",--(COUNTIFS(nNIA,DATOS!$A16585,nCURSO,DATOS!$D16585,nESPEC,DATOS!$E16585,nASIG,DATOS!$I16585,nEVAL,"EX")=0),0))))</f>
      </c>
      <c r="H16585">
        <f>IF(DATOS!$G16585&lt;&gt;"EX",0,--(COUNTIFS(nNIA,DATOS!$A16585,nCURSO,DATOS!$D16585,nESPEC,DATOS!$E16585,nASIG,DATOS!$I16585,nEVAL,"OR")=0))</f>
      </c>
      <c r="I16585">
        <f>IF(DATOS!$I16585="","",IFERROR(VLOOKUP(DATOS!$I16585,CONFIG_ASIGNATURAS!$B$2:$J$91,9,FALSE()),""))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IF(DATOS!$A16586="",0,IF(CONFIG_METADATA!$B$4&lt;&gt;"OR+EX",--(DATOS!$G16586=CONFIG_METADATA!$B$4),IF(DATOS!$G16586="EX",1,IF(DATOS!$G16586="OR",--(COUNTIFS(nNIA,DATOS!$A16586,nCURSO,DATOS!$D16586,nESPEC,DATOS!$E16586,nASIG,DATOS!$I16586,nEVAL,"EX")=0),0))))</f>
      </c>
      <c r="H16586">
        <f>IF(DATOS!$G16586&lt;&gt;"EX",0,--(COUNTIFS(nNIA,DATOS!$A16586,nCURSO,DATOS!$D16586,nESPEC,DATOS!$E16586,nASIG,DATOS!$I16586,nEVAL,"OR")=0))</f>
      </c>
      <c r="I16586">
        <f>IF(DATOS!$I16586="","",IFERROR(VLOOKUP(DATOS!$I16586,CONFIG_ASIGNATURAS!$B$2:$J$91,9,FALSE()),""))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IF(DATOS!$A16587="",0,IF(CONFIG_METADATA!$B$4&lt;&gt;"OR+EX",--(DATOS!$G16587=CONFIG_METADATA!$B$4),IF(DATOS!$G16587="EX",1,IF(DATOS!$G16587="OR",--(COUNTIFS(nNIA,DATOS!$A16587,nCURSO,DATOS!$D16587,nESPEC,DATOS!$E16587,nASIG,DATOS!$I16587,nEVAL,"EX")=0),0))))</f>
      </c>
      <c r="H16587">
        <f>IF(DATOS!$G16587&lt;&gt;"EX",0,--(COUNTIFS(nNIA,DATOS!$A16587,nCURSO,DATOS!$D16587,nESPEC,DATOS!$E16587,nASIG,DATOS!$I16587,nEVAL,"OR")=0))</f>
      </c>
      <c r="I16587">
        <f>IF(DATOS!$I16587="","",IFERROR(VLOOKUP(DATOS!$I16587,CONFIG_ASIGNATURAS!$B$2:$J$91,9,FALSE()),""))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IF(DATOS!$A16588="",0,IF(CONFIG_METADATA!$B$4&lt;&gt;"OR+EX",--(DATOS!$G16588=CONFIG_METADATA!$B$4),IF(DATOS!$G16588="EX",1,IF(DATOS!$G16588="OR",--(COUNTIFS(nNIA,DATOS!$A16588,nCURSO,DATOS!$D16588,nESPEC,DATOS!$E16588,nASIG,DATOS!$I16588,nEVAL,"EX")=0),0))))</f>
      </c>
      <c r="H16588">
        <f>IF(DATOS!$G16588&lt;&gt;"EX",0,--(COUNTIFS(nNIA,DATOS!$A16588,nCURSO,DATOS!$D16588,nESPEC,DATOS!$E16588,nASIG,DATOS!$I16588,nEVAL,"OR")=0))</f>
      </c>
      <c r="I16588">
        <f>IF(DATOS!$I16588="","",IFERROR(VLOOKUP(DATOS!$I16588,CONFIG_ASIGNATURAS!$B$2:$J$91,9,FALSE()),""))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IF(DATOS!$A16589="",0,IF(CONFIG_METADATA!$B$4&lt;&gt;"OR+EX",--(DATOS!$G16589=CONFIG_METADATA!$B$4),IF(DATOS!$G16589="EX",1,IF(DATOS!$G16589="OR",--(COUNTIFS(nNIA,DATOS!$A16589,nCURSO,DATOS!$D16589,nESPEC,DATOS!$E16589,nASIG,DATOS!$I16589,nEVAL,"EX")=0),0))))</f>
      </c>
      <c r="H16589">
        <f>IF(DATOS!$G16589&lt;&gt;"EX",0,--(COUNTIFS(nNIA,DATOS!$A16589,nCURSO,DATOS!$D16589,nESPEC,DATOS!$E16589,nASIG,DATOS!$I16589,nEVAL,"OR")=0))</f>
      </c>
      <c r="I16589">
        <f>IF(DATOS!$I16589="","",IFERROR(VLOOKUP(DATOS!$I16589,CONFIG_ASIGNATURAS!$B$2:$J$91,9,FALSE()),""))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IF(DATOS!$A16590="",0,IF(CONFIG_METADATA!$B$4&lt;&gt;"OR+EX",--(DATOS!$G16590=CONFIG_METADATA!$B$4),IF(DATOS!$G16590="EX",1,IF(DATOS!$G16590="OR",--(COUNTIFS(nNIA,DATOS!$A16590,nCURSO,DATOS!$D16590,nESPEC,DATOS!$E16590,nASIG,DATOS!$I16590,nEVAL,"EX")=0),0))))</f>
      </c>
      <c r="H16590">
        <f>IF(DATOS!$G16590&lt;&gt;"EX",0,--(COUNTIFS(nNIA,DATOS!$A16590,nCURSO,DATOS!$D16590,nESPEC,DATOS!$E16590,nASIG,DATOS!$I16590,nEVAL,"OR")=0))</f>
      </c>
      <c r="I16590">
        <f>IF(DATOS!$I16590="","",IFERROR(VLOOKUP(DATOS!$I16590,CONFIG_ASIGNATURAS!$B$2:$J$91,9,FALSE()),""))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IF(DATOS!$A16591="",0,IF(CONFIG_METADATA!$B$4&lt;&gt;"OR+EX",--(DATOS!$G16591=CONFIG_METADATA!$B$4),IF(DATOS!$G16591="EX",1,IF(DATOS!$G16591="OR",--(COUNTIFS(nNIA,DATOS!$A16591,nCURSO,DATOS!$D16591,nESPEC,DATOS!$E16591,nASIG,DATOS!$I16591,nEVAL,"EX")=0),0))))</f>
      </c>
      <c r="H16591">
        <f>IF(DATOS!$G16591&lt;&gt;"EX",0,--(COUNTIFS(nNIA,DATOS!$A16591,nCURSO,DATOS!$D16591,nESPEC,DATOS!$E16591,nASIG,DATOS!$I16591,nEVAL,"OR")=0))</f>
      </c>
      <c r="I16591">
        <f>IF(DATOS!$I16591="","",IFERROR(VLOOKUP(DATOS!$I16591,CONFIG_ASIGNATURAS!$B$2:$J$91,9,FALSE()),""))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IF(DATOS!$A16592="",0,IF(CONFIG_METADATA!$B$4&lt;&gt;"OR+EX",--(DATOS!$G16592=CONFIG_METADATA!$B$4),IF(DATOS!$G16592="EX",1,IF(DATOS!$G16592="OR",--(COUNTIFS(nNIA,DATOS!$A16592,nCURSO,DATOS!$D16592,nESPEC,DATOS!$E16592,nASIG,DATOS!$I16592,nEVAL,"EX")=0),0))))</f>
      </c>
      <c r="H16592">
        <f>IF(DATOS!$G16592&lt;&gt;"EX",0,--(COUNTIFS(nNIA,DATOS!$A16592,nCURSO,DATOS!$D16592,nESPEC,DATOS!$E16592,nASIG,DATOS!$I16592,nEVAL,"OR")=0))</f>
      </c>
      <c r="I16592">
        <f>IF(DATOS!$I16592="","",IFERROR(VLOOKUP(DATOS!$I16592,CONFIG_ASIGNATURAS!$B$2:$J$91,9,FALSE()),""))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IF(DATOS!$A16593="",0,IF(CONFIG_METADATA!$B$4&lt;&gt;"OR+EX",--(DATOS!$G16593=CONFIG_METADATA!$B$4),IF(DATOS!$G16593="EX",1,IF(DATOS!$G16593="OR",--(COUNTIFS(nNIA,DATOS!$A16593,nCURSO,DATOS!$D16593,nESPEC,DATOS!$E16593,nASIG,DATOS!$I16593,nEVAL,"EX")=0),0))))</f>
      </c>
      <c r="H16593">
        <f>IF(DATOS!$G16593&lt;&gt;"EX",0,--(COUNTIFS(nNIA,DATOS!$A16593,nCURSO,DATOS!$D16593,nESPEC,DATOS!$E16593,nASIG,DATOS!$I16593,nEVAL,"OR")=0))</f>
      </c>
      <c r="I16593">
        <f>IF(DATOS!$I16593="","",IFERROR(VLOOKUP(DATOS!$I16593,CONFIG_ASIGNATURAS!$B$2:$J$91,9,FALSE()),""))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IF(DATOS!$A16594="",0,IF(CONFIG_METADATA!$B$4&lt;&gt;"OR+EX",--(DATOS!$G16594=CONFIG_METADATA!$B$4),IF(DATOS!$G16594="EX",1,IF(DATOS!$G16594="OR",--(COUNTIFS(nNIA,DATOS!$A16594,nCURSO,DATOS!$D16594,nESPEC,DATOS!$E16594,nASIG,DATOS!$I16594,nEVAL,"EX")=0),0))))</f>
      </c>
      <c r="H16594">
        <f>IF(DATOS!$G16594&lt;&gt;"EX",0,--(COUNTIFS(nNIA,DATOS!$A16594,nCURSO,DATOS!$D16594,nESPEC,DATOS!$E16594,nASIG,DATOS!$I16594,nEVAL,"OR")=0))</f>
      </c>
      <c r="I16594">
        <f>IF(DATOS!$I16594="","",IFERROR(VLOOKUP(DATOS!$I16594,CONFIG_ASIGNATURAS!$B$2:$J$91,9,FALSE()),""))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IF(DATOS!$A16595="",0,IF(CONFIG_METADATA!$B$4&lt;&gt;"OR+EX",--(DATOS!$G16595=CONFIG_METADATA!$B$4),IF(DATOS!$G16595="EX",1,IF(DATOS!$G16595="OR",--(COUNTIFS(nNIA,DATOS!$A16595,nCURSO,DATOS!$D16595,nESPEC,DATOS!$E16595,nASIG,DATOS!$I16595,nEVAL,"EX")=0),0))))</f>
      </c>
      <c r="H16595">
        <f>IF(DATOS!$G16595&lt;&gt;"EX",0,--(COUNTIFS(nNIA,DATOS!$A16595,nCURSO,DATOS!$D16595,nESPEC,DATOS!$E16595,nASIG,DATOS!$I16595,nEVAL,"OR")=0))</f>
      </c>
      <c r="I16595">
        <f>IF(DATOS!$I16595="","",IFERROR(VLOOKUP(DATOS!$I16595,CONFIG_ASIGNATURAS!$B$2:$J$91,9,FALSE()),""))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IF(DATOS!$A16596="",0,IF(CONFIG_METADATA!$B$4&lt;&gt;"OR+EX",--(DATOS!$G16596=CONFIG_METADATA!$B$4),IF(DATOS!$G16596="EX",1,IF(DATOS!$G16596="OR",--(COUNTIFS(nNIA,DATOS!$A16596,nCURSO,DATOS!$D16596,nESPEC,DATOS!$E16596,nASIG,DATOS!$I16596,nEVAL,"EX")=0),0))))</f>
      </c>
      <c r="H16596">
        <f>IF(DATOS!$G16596&lt;&gt;"EX",0,--(COUNTIFS(nNIA,DATOS!$A16596,nCURSO,DATOS!$D16596,nESPEC,DATOS!$E16596,nASIG,DATOS!$I16596,nEVAL,"OR")=0))</f>
      </c>
      <c r="I16596">
        <f>IF(DATOS!$I16596="","",IFERROR(VLOOKUP(DATOS!$I16596,CONFIG_ASIGNATURAS!$B$2:$J$91,9,FALSE()),""))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IF(DATOS!$A16597="",0,IF(CONFIG_METADATA!$B$4&lt;&gt;"OR+EX",--(DATOS!$G16597=CONFIG_METADATA!$B$4),IF(DATOS!$G16597="EX",1,IF(DATOS!$G16597="OR",--(COUNTIFS(nNIA,DATOS!$A16597,nCURSO,DATOS!$D16597,nESPEC,DATOS!$E16597,nASIG,DATOS!$I16597,nEVAL,"EX")=0),0))))</f>
      </c>
      <c r="H16597">
        <f>IF(DATOS!$G16597&lt;&gt;"EX",0,--(COUNTIFS(nNIA,DATOS!$A16597,nCURSO,DATOS!$D16597,nESPEC,DATOS!$E16597,nASIG,DATOS!$I16597,nEVAL,"OR")=0))</f>
      </c>
      <c r="I16597">
        <f>IF(DATOS!$I16597="","",IFERROR(VLOOKUP(DATOS!$I16597,CONFIG_ASIGNATURAS!$B$2:$J$91,9,FALSE()),""))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IF(DATOS!$A16598="",0,IF(CONFIG_METADATA!$B$4&lt;&gt;"OR+EX",--(DATOS!$G16598=CONFIG_METADATA!$B$4),IF(DATOS!$G16598="EX",1,IF(DATOS!$G16598="OR",--(COUNTIFS(nNIA,DATOS!$A16598,nCURSO,DATOS!$D16598,nESPEC,DATOS!$E16598,nASIG,DATOS!$I16598,nEVAL,"EX")=0),0))))</f>
      </c>
      <c r="H16598">
        <f>IF(DATOS!$G16598&lt;&gt;"EX",0,--(COUNTIFS(nNIA,DATOS!$A16598,nCURSO,DATOS!$D16598,nESPEC,DATOS!$E16598,nASIG,DATOS!$I16598,nEVAL,"OR")=0))</f>
      </c>
      <c r="I16598">
        <f>IF(DATOS!$I16598="","",IFERROR(VLOOKUP(DATOS!$I16598,CONFIG_ASIGNATURAS!$B$2:$J$91,9,FALSE()),""))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IF(DATOS!$A16599="",0,IF(CONFIG_METADATA!$B$4&lt;&gt;"OR+EX",--(DATOS!$G16599=CONFIG_METADATA!$B$4),IF(DATOS!$G16599="EX",1,IF(DATOS!$G16599="OR",--(COUNTIFS(nNIA,DATOS!$A16599,nCURSO,DATOS!$D16599,nESPEC,DATOS!$E16599,nASIG,DATOS!$I16599,nEVAL,"EX")=0),0))))</f>
      </c>
      <c r="H16599">
        <f>IF(DATOS!$G16599&lt;&gt;"EX",0,--(COUNTIFS(nNIA,DATOS!$A16599,nCURSO,DATOS!$D16599,nESPEC,DATOS!$E16599,nASIG,DATOS!$I16599,nEVAL,"OR")=0))</f>
      </c>
      <c r="I16599">
        <f>IF(DATOS!$I16599="","",IFERROR(VLOOKUP(DATOS!$I16599,CONFIG_ASIGNATURAS!$B$2:$J$91,9,FALSE()),""))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IF(DATOS!$A16600="",0,IF(CONFIG_METADATA!$B$4&lt;&gt;"OR+EX",--(DATOS!$G16600=CONFIG_METADATA!$B$4),IF(DATOS!$G16600="EX",1,IF(DATOS!$G16600="OR",--(COUNTIFS(nNIA,DATOS!$A16600,nCURSO,DATOS!$D16600,nESPEC,DATOS!$E16600,nASIG,DATOS!$I16600,nEVAL,"EX")=0),0))))</f>
      </c>
      <c r="H16600">
        <f>IF(DATOS!$G16600&lt;&gt;"EX",0,--(COUNTIFS(nNIA,DATOS!$A16600,nCURSO,DATOS!$D16600,nESPEC,DATOS!$E16600,nASIG,DATOS!$I16600,nEVAL,"OR")=0))</f>
      </c>
      <c r="I16600">
        <f>IF(DATOS!$I16600="","",IFERROR(VLOOKUP(DATOS!$I16600,CONFIG_ASIGNATURAS!$B$2:$J$91,9,FALSE()),""))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IF(DATOS!$A16601="",0,IF(CONFIG_METADATA!$B$4&lt;&gt;"OR+EX",--(DATOS!$G16601=CONFIG_METADATA!$B$4),IF(DATOS!$G16601="EX",1,IF(DATOS!$G16601="OR",--(COUNTIFS(nNIA,DATOS!$A16601,nCURSO,DATOS!$D16601,nESPEC,DATOS!$E16601,nASIG,DATOS!$I16601,nEVAL,"EX")=0),0))))</f>
      </c>
      <c r="H16601">
        <f>IF(DATOS!$G16601&lt;&gt;"EX",0,--(COUNTIFS(nNIA,DATOS!$A16601,nCURSO,DATOS!$D16601,nESPEC,DATOS!$E16601,nASIG,DATOS!$I16601,nEVAL,"OR")=0))</f>
      </c>
      <c r="I16601">
        <f>IF(DATOS!$I16601="","",IFERROR(VLOOKUP(DATOS!$I16601,CONFIG_ASIGNATURAS!$B$2:$J$91,9,FALSE()),""))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IF(DATOS!$A16602="",0,IF(CONFIG_METADATA!$B$4&lt;&gt;"OR+EX",--(DATOS!$G16602=CONFIG_METADATA!$B$4),IF(DATOS!$G16602="EX",1,IF(DATOS!$G16602="OR",--(COUNTIFS(nNIA,DATOS!$A16602,nCURSO,DATOS!$D16602,nESPEC,DATOS!$E16602,nASIG,DATOS!$I16602,nEVAL,"EX")=0),0))))</f>
      </c>
      <c r="H16602">
        <f>IF(DATOS!$G16602&lt;&gt;"EX",0,--(COUNTIFS(nNIA,DATOS!$A16602,nCURSO,DATOS!$D16602,nESPEC,DATOS!$E16602,nASIG,DATOS!$I16602,nEVAL,"OR")=0))</f>
      </c>
      <c r="I16602">
        <f>IF(DATOS!$I16602="","",IFERROR(VLOOKUP(DATOS!$I16602,CONFIG_ASIGNATURAS!$B$2:$J$91,9,FALSE()),""))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IF(DATOS!$A16603="",0,IF(CONFIG_METADATA!$B$4&lt;&gt;"OR+EX",--(DATOS!$G16603=CONFIG_METADATA!$B$4),IF(DATOS!$G16603="EX",1,IF(DATOS!$G16603="OR",--(COUNTIFS(nNIA,DATOS!$A16603,nCURSO,DATOS!$D16603,nESPEC,DATOS!$E16603,nASIG,DATOS!$I16603,nEVAL,"EX")=0),0))))</f>
      </c>
      <c r="H16603">
        <f>IF(DATOS!$G16603&lt;&gt;"EX",0,--(COUNTIFS(nNIA,DATOS!$A16603,nCURSO,DATOS!$D16603,nESPEC,DATOS!$E16603,nASIG,DATOS!$I16603,nEVAL,"OR")=0))</f>
      </c>
      <c r="I16603">
        <f>IF(DATOS!$I16603="","",IFERROR(VLOOKUP(DATOS!$I16603,CONFIG_ASIGNATURAS!$B$2:$J$91,9,FALSE()),""))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IF(DATOS!$A16604="",0,IF(CONFIG_METADATA!$B$4&lt;&gt;"OR+EX",--(DATOS!$G16604=CONFIG_METADATA!$B$4),IF(DATOS!$G16604="EX",1,IF(DATOS!$G16604="OR",--(COUNTIFS(nNIA,DATOS!$A16604,nCURSO,DATOS!$D16604,nESPEC,DATOS!$E16604,nASIG,DATOS!$I16604,nEVAL,"EX")=0),0))))</f>
      </c>
      <c r="H16604">
        <f>IF(DATOS!$G16604&lt;&gt;"EX",0,--(COUNTIFS(nNIA,DATOS!$A16604,nCURSO,DATOS!$D16604,nESPEC,DATOS!$E16604,nASIG,DATOS!$I16604,nEVAL,"OR")=0))</f>
      </c>
      <c r="I16604">
        <f>IF(DATOS!$I16604="","",IFERROR(VLOOKUP(DATOS!$I16604,CONFIG_ASIGNATURAS!$B$2:$J$91,9,FALSE()),""))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IF(DATOS!$A16605="",0,IF(CONFIG_METADATA!$B$4&lt;&gt;"OR+EX",--(DATOS!$G16605=CONFIG_METADATA!$B$4),IF(DATOS!$G16605="EX",1,IF(DATOS!$G16605="OR",--(COUNTIFS(nNIA,DATOS!$A16605,nCURSO,DATOS!$D16605,nESPEC,DATOS!$E16605,nASIG,DATOS!$I16605,nEVAL,"EX")=0),0))))</f>
      </c>
      <c r="H16605">
        <f>IF(DATOS!$G16605&lt;&gt;"EX",0,--(COUNTIFS(nNIA,DATOS!$A16605,nCURSO,DATOS!$D16605,nESPEC,DATOS!$E16605,nASIG,DATOS!$I16605,nEVAL,"OR")=0))</f>
      </c>
      <c r="I16605">
        <f>IF(DATOS!$I16605="","",IFERROR(VLOOKUP(DATOS!$I16605,CONFIG_ASIGNATURAS!$B$2:$J$91,9,FALSE()),""))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IF(DATOS!$A16606="",0,IF(CONFIG_METADATA!$B$4&lt;&gt;"OR+EX",--(DATOS!$G16606=CONFIG_METADATA!$B$4),IF(DATOS!$G16606="EX",1,IF(DATOS!$G16606="OR",--(COUNTIFS(nNIA,DATOS!$A16606,nCURSO,DATOS!$D16606,nESPEC,DATOS!$E16606,nASIG,DATOS!$I16606,nEVAL,"EX")=0),0))))</f>
      </c>
      <c r="H16606">
        <f>IF(DATOS!$G16606&lt;&gt;"EX",0,--(COUNTIFS(nNIA,DATOS!$A16606,nCURSO,DATOS!$D16606,nESPEC,DATOS!$E16606,nASIG,DATOS!$I16606,nEVAL,"OR")=0))</f>
      </c>
      <c r="I16606">
        <f>IF(DATOS!$I16606="","",IFERROR(VLOOKUP(DATOS!$I16606,CONFIG_ASIGNATURAS!$B$2:$J$91,9,FALSE()),""))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IF(DATOS!$A16607="",0,IF(CONFIG_METADATA!$B$4&lt;&gt;"OR+EX",--(DATOS!$G16607=CONFIG_METADATA!$B$4),IF(DATOS!$G16607="EX",1,IF(DATOS!$G16607="OR",--(COUNTIFS(nNIA,DATOS!$A16607,nCURSO,DATOS!$D16607,nESPEC,DATOS!$E16607,nASIG,DATOS!$I16607,nEVAL,"EX")=0),0))))</f>
      </c>
      <c r="H16607">
        <f>IF(DATOS!$G16607&lt;&gt;"EX",0,--(COUNTIFS(nNIA,DATOS!$A16607,nCURSO,DATOS!$D16607,nESPEC,DATOS!$E16607,nASIG,DATOS!$I16607,nEVAL,"OR")=0))</f>
      </c>
      <c r="I16607">
        <f>IF(DATOS!$I16607="","",IFERROR(VLOOKUP(DATOS!$I16607,CONFIG_ASIGNATURAS!$B$2:$J$91,9,FALSE()),""))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IF(DATOS!$A16608="",0,IF(CONFIG_METADATA!$B$4&lt;&gt;"OR+EX",--(DATOS!$G16608=CONFIG_METADATA!$B$4),IF(DATOS!$G16608="EX",1,IF(DATOS!$G16608="OR",--(COUNTIFS(nNIA,DATOS!$A16608,nCURSO,DATOS!$D16608,nESPEC,DATOS!$E16608,nASIG,DATOS!$I16608,nEVAL,"EX")=0),0))))</f>
      </c>
      <c r="H16608">
        <f>IF(DATOS!$G16608&lt;&gt;"EX",0,--(COUNTIFS(nNIA,DATOS!$A16608,nCURSO,DATOS!$D16608,nESPEC,DATOS!$E16608,nASIG,DATOS!$I16608,nEVAL,"OR")=0))</f>
      </c>
      <c r="I16608">
        <f>IF(DATOS!$I16608="","",IFERROR(VLOOKUP(DATOS!$I16608,CONFIG_ASIGNATURAS!$B$2:$J$91,9,FALSE()),""))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IF(DATOS!$A16609="",0,IF(CONFIG_METADATA!$B$4&lt;&gt;"OR+EX",--(DATOS!$G16609=CONFIG_METADATA!$B$4),IF(DATOS!$G16609="EX",1,IF(DATOS!$G16609="OR",--(COUNTIFS(nNIA,DATOS!$A16609,nCURSO,DATOS!$D16609,nESPEC,DATOS!$E16609,nASIG,DATOS!$I16609,nEVAL,"EX")=0),0))))</f>
      </c>
      <c r="H16609">
        <f>IF(DATOS!$G16609&lt;&gt;"EX",0,--(COUNTIFS(nNIA,DATOS!$A16609,nCURSO,DATOS!$D16609,nESPEC,DATOS!$E16609,nASIG,DATOS!$I16609,nEVAL,"OR")=0))</f>
      </c>
      <c r="I16609">
        <f>IF(DATOS!$I16609="","",IFERROR(VLOOKUP(DATOS!$I16609,CONFIG_ASIGNATURAS!$B$2:$J$91,9,FALSE()),""))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IF(DATOS!$A16610="",0,IF(CONFIG_METADATA!$B$4&lt;&gt;"OR+EX",--(DATOS!$G16610=CONFIG_METADATA!$B$4),IF(DATOS!$G16610="EX",1,IF(DATOS!$G16610="OR",--(COUNTIFS(nNIA,DATOS!$A16610,nCURSO,DATOS!$D16610,nESPEC,DATOS!$E16610,nASIG,DATOS!$I16610,nEVAL,"EX")=0),0))))</f>
      </c>
      <c r="H16610">
        <f>IF(DATOS!$G16610&lt;&gt;"EX",0,--(COUNTIFS(nNIA,DATOS!$A16610,nCURSO,DATOS!$D16610,nESPEC,DATOS!$E16610,nASIG,DATOS!$I16610,nEVAL,"OR")=0))</f>
      </c>
      <c r="I16610">
        <f>IF(DATOS!$I16610="","",IFERROR(VLOOKUP(DATOS!$I16610,CONFIG_ASIGNATURAS!$B$2:$J$91,9,FALSE()),""))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IF(DATOS!$A16611="",0,IF(CONFIG_METADATA!$B$4&lt;&gt;"OR+EX",--(DATOS!$G16611=CONFIG_METADATA!$B$4),IF(DATOS!$G16611="EX",1,IF(DATOS!$G16611="OR",--(COUNTIFS(nNIA,DATOS!$A16611,nCURSO,DATOS!$D16611,nESPEC,DATOS!$E16611,nASIG,DATOS!$I16611,nEVAL,"EX")=0),0))))</f>
      </c>
      <c r="H16611">
        <f>IF(DATOS!$G16611&lt;&gt;"EX",0,--(COUNTIFS(nNIA,DATOS!$A16611,nCURSO,DATOS!$D16611,nESPEC,DATOS!$E16611,nASIG,DATOS!$I16611,nEVAL,"OR")=0))</f>
      </c>
      <c r="I16611">
        <f>IF(DATOS!$I16611="","",IFERROR(VLOOKUP(DATOS!$I16611,CONFIG_ASIGNATURAS!$B$2:$J$91,9,FALSE()),""))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IF(DATOS!$A16612="",0,IF(CONFIG_METADATA!$B$4&lt;&gt;"OR+EX",--(DATOS!$G16612=CONFIG_METADATA!$B$4),IF(DATOS!$G16612="EX",1,IF(DATOS!$G16612="OR",--(COUNTIFS(nNIA,DATOS!$A16612,nCURSO,DATOS!$D16612,nESPEC,DATOS!$E16612,nASIG,DATOS!$I16612,nEVAL,"EX")=0),0))))</f>
      </c>
      <c r="H16612">
        <f>IF(DATOS!$G16612&lt;&gt;"EX",0,--(COUNTIFS(nNIA,DATOS!$A16612,nCURSO,DATOS!$D16612,nESPEC,DATOS!$E16612,nASIG,DATOS!$I16612,nEVAL,"OR")=0))</f>
      </c>
      <c r="I16612">
        <f>IF(DATOS!$I16612="","",IFERROR(VLOOKUP(DATOS!$I16612,CONFIG_ASIGNATURAS!$B$2:$J$91,9,FALSE()),""))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IF(DATOS!$A16613="",0,IF(CONFIG_METADATA!$B$4&lt;&gt;"OR+EX",--(DATOS!$G16613=CONFIG_METADATA!$B$4),IF(DATOS!$G16613="EX",1,IF(DATOS!$G16613="OR",--(COUNTIFS(nNIA,DATOS!$A16613,nCURSO,DATOS!$D16613,nESPEC,DATOS!$E16613,nASIG,DATOS!$I16613,nEVAL,"EX")=0),0))))</f>
      </c>
      <c r="H16613">
        <f>IF(DATOS!$G16613&lt;&gt;"EX",0,--(COUNTIFS(nNIA,DATOS!$A16613,nCURSO,DATOS!$D16613,nESPEC,DATOS!$E16613,nASIG,DATOS!$I16613,nEVAL,"OR")=0))</f>
      </c>
      <c r="I16613">
        <f>IF(DATOS!$I16613="","",IFERROR(VLOOKUP(DATOS!$I16613,CONFIG_ASIGNATURAS!$B$2:$J$91,9,FALSE()),""))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IF(DATOS!$A16614="",0,IF(CONFIG_METADATA!$B$4&lt;&gt;"OR+EX",--(DATOS!$G16614=CONFIG_METADATA!$B$4),IF(DATOS!$G16614="EX",1,IF(DATOS!$G16614="OR",--(COUNTIFS(nNIA,DATOS!$A16614,nCURSO,DATOS!$D16614,nESPEC,DATOS!$E16614,nASIG,DATOS!$I16614,nEVAL,"EX")=0),0))))</f>
      </c>
      <c r="H16614">
        <f>IF(DATOS!$G16614&lt;&gt;"EX",0,--(COUNTIFS(nNIA,DATOS!$A16614,nCURSO,DATOS!$D16614,nESPEC,DATOS!$E16614,nASIG,DATOS!$I16614,nEVAL,"OR")=0))</f>
      </c>
      <c r="I16614">
        <f>IF(DATOS!$I16614="","",IFERROR(VLOOKUP(DATOS!$I16614,CONFIG_ASIGNATURAS!$B$2:$J$91,9,FALSE()),""))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IF(DATOS!$A16615="",0,IF(CONFIG_METADATA!$B$4&lt;&gt;"OR+EX",--(DATOS!$G16615=CONFIG_METADATA!$B$4),IF(DATOS!$G16615="EX",1,IF(DATOS!$G16615="OR",--(COUNTIFS(nNIA,DATOS!$A16615,nCURSO,DATOS!$D16615,nESPEC,DATOS!$E16615,nASIG,DATOS!$I16615,nEVAL,"EX")=0),0))))</f>
      </c>
      <c r="H16615">
        <f>IF(DATOS!$G16615&lt;&gt;"EX",0,--(COUNTIFS(nNIA,DATOS!$A16615,nCURSO,DATOS!$D16615,nESPEC,DATOS!$E16615,nASIG,DATOS!$I16615,nEVAL,"OR")=0))</f>
      </c>
      <c r="I16615">
        <f>IF(DATOS!$I16615="","",IFERROR(VLOOKUP(DATOS!$I16615,CONFIG_ASIGNATURAS!$B$2:$J$91,9,FALSE()),""))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IF(DATOS!$A16616="",0,IF(CONFIG_METADATA!$B$4&lt;&gt;"OR+EX",--(DATOS!$G16616=CONFIG_METADATA!$B$4),IF(DATOS!$G16616="EX",1,IF(DATOS!$G16616="OR",--(COUNTIFS(nNIA,DATOS!$A16616,nCURSO,DATOS!$D16616,nESPEC,DATOS!$E16616,nASIG,DATOS!$I16616,nEVAL,"EX")=0),0))))</f>
      </c>
      <c r="H16616">
        <f>IF(DATOS!$G16616&lt;&gt;"EX",0,--(COUNTIFS(nNIA,DATOS!$A16616,nCURSO,DATOS!$D16616,nESPEC,DATOS!$E16616,nASIG,DATOS!$I16616,nEVAL,"OR")=0))</f>
      </c>
      <c r="I16616">
        <f>IF(DATOS!$I16616="","",IFERROR(VLOOKUP(DATOS!$I16616,CONFIG_ASIGNATURAS!$B$2:$J$91,9,FALSE()),""))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IF(DATOS!$A16617="",0,IF(CONFIG_METADATA!$B$4&lt;&gt;"OR+EX",--(DATOS!$G16617=CONFIG_METADATA!$B$4),IF(DATOS!$G16617="EX",1,IF(DATOS!$G16617="OR",--(COUNTIFS(nNIA,DATOS!$A16617,nCURSO,DATOS!$D16617,nESPEC,DATOS!$E16617,nASIG,DATOS!$I16617,nEVAL,"EX")=0),0))))</f>
      </c>
      <c r="H16617">
        <f>IF(DATOS!$G16617&lt;&gt;"EX",0,--(COUNTIFS(nNIA,DATOS!$A16617,nCURSO,DATOS!$D16617,nESPEC,DATOS!$E16617,nASIG,DATOS!$I16617,nEVAL,"OR")=0))</f>
      </c>
      <c r="I16617">
        <f>IF(DATOS!$I16617="","",IFERROR(VLOOKUP(DATOS!$I16617,CONFIG_ASIGNATURAS!$B$2:$J$91,9,FALSE()),""))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IF(DATOS!$A16618="",0,IF(CONFIG_METADATA!$B$4&lt;&gt;"OR+EX",--(DATOS!$G16618=CONFIG_METADATA!$B$4),IF(DATOS!$G16618="EX",1,IF(DATOS!$G16618="OR",--(COUNTIFS(nNIA,DATOS!$A16618,nCURSO,DATOS!$D16618,nESPEC,DATOS!$E16618,nASIG,DATOS!$I16618,nEVAL,"EX")=0),0))))</f>
      </c>
      <c r="H16618">
        <f>IF(DATOS!$G16618&lt;&gt;"EX",0,--(COUNTIFS(nNIA,DATOS!$A16618,nCURSO,DATOS!$D16618,nESPEC,DATOS!$E16618,nASIG,DATOS!$I16618,nEVAL,"OR")=0))</f>
      </c>
      <c r="I16618">
        <f>IF(DATOS!$I16618="","",IFERROR(VLOOKUP(DATOS!$I16618,CONFIG_ASIGNATURAS!$B$2:$J$91,9,FALSE()),""))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IF(DATOS!$A16619="",0,IF(CONFIG_METADATA!$B$4&lt;&gt;"OR+EX",--(DATOS!$G16619=CONFIG_METADATA!$B$4),IF(DATOS!$G16619="EX",1,IF(DATOS!$G16619="OR",--(COUNTIFS(nNIA,DATOS!$A16619,nCURSO,DATOS!$D16619,nESPEC,DATOS!$E16619,nASIG,DATOS!$I16619,nEVAL,"EX")=0),0))))</f>
      </c>
      <c r="H16619">
        <f>IF(DATOS!$G16619&lt;&gt;"EX",0,--(COUNTIFS(nNIA,DATOS!$A16619,nCURSO,DATOS!$D16619,nESPEC,DATOS!$E16619,nASIG,DATOS!$I16619,nEVAL,"OR")=0))</f>
      </c>
      <c r="I16619">
        <f>IF(DATOS!$I16619="","",IFERROR(VLOOKUP(DATOS!$I16619,CONFIG_ASIGNATURAS!$B$2:$J$91,9,FALSE()),""))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IF(DATOS!$A16620="",0,IF(CONFIG_METADATA!$B$4&lt;&gt;"OR+EX",--(DATOS!$G16620=CONFIG_METADATA!$B$4),IF(DATOS!$G16620="EX",1,IF(DATOS!$G16620="OR",--(COUNTIFS(nNIA,DATOS!$A16620,nCURSO,DATOS!$D16620,nESPEC,DATOS!$E16620,nASIG,DATOS!$I16620,nEVAL,"EX")=0),0))))</f>
      </c>
      <c r="H16620">
        <f>IF(DATOS!$G16620&lt;&gt;"EX",0,--(COUNTIFS(nNIA,DATOS!$A16620,nCURSO,DATOS!$D16620,nESPEC,DATOS!$E16620,nASIG,DATOS!$I16620,nEVAL,"OR")=0))</f>
      </c>
      <c r="I16620">
        <f>IF(DATOS!$I16620="","",IFERROR(VLOOKUP(DATOS!$I16620,CONFIG_ASIGNATURAS!$B$2:$J$91,9,FALSE()),""))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IF(DATOS!$A16621="",0,IF(CONFIG_METADATA!$B$4&lt;&gt;"OR+EX",--(DATOS!$G16621=CONFIG_METADATA!$B$4),IF(DATOS!$G16621="EX",1,IF(DATOS!$G16621="OR",--(COUNTIFS(nNIA,DATOS!$A16621,nCURSO,DATOS!$D16621,nESPEC,DATOS!$E16621,nASIG,DATOS!$I16621,nEVAL,"EX")=0),0))))</f>
      </c>
      <c r="H16621">
        <f>IF(DATOS!$G16621&lt;&gt;"EX",0,--(COUNTIFS(nNIA,DATOS!$A16621,nCURSO,DATOS!$D16621,nESPEC,DATOS!$E16621,nASIG,DATOS!$I16621,nEVAL,"OR")=0))</f>
      </c>
      <c r="I16621">
        <f>IF(DATOS!$I16621="","",IFERROR(VLOOKUP(DATOS!$I16621,CONFIG_ASIGNATURAS!$B$2:$J$91,9,FALSE()),""))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IF(DATOS!$A16622="",0,IF(CONFIG_METADATA!$B$4&lt;&gt;"OR+EX",--(DATOS!$G16622=CONFIG_METADATA!$B$4),IF(DATOS!$G16622="EX",1,IF(DATOS!$G16622="OR",--(COUNTIFS(nNIA,DATOS!$A16622,nCURSO,DATOS!$D16622,nESPEC,DATOS!$E16622,nASIG,DATOS!$I16622,nEVAL,"EX")=0),0))))</f>
      </c>
      <c r="H16622">
        <f>IF(DATOS!$G16622&lt;&gt;"EX",0,--(COUNTIFS(nNIA,DATOS!$A16622,nCURSO,DATOS!$D16622,nESPEC,DATOS!$E16622,nASIG,DATOS!$I16622,nEVAL,"OR")=0))</f>
      </c>
      <c r="I16622">
        <f>IF(DATOS!$I16622="","",IFERROR(VLOOKUP(DATOS!$I16622,CONFIG_ASIGNATURAS!$B$2:$J$91,9,FALSE()),""))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IF(DATOS!$A16623="",0,IF(CONFIG_METADATA!$B$4&lt;&gt;"OR+EX",--(DATOS!$G16623=CONFIG_METADATA!$B$4),IF(DATOS!$G16623="EX",1,IF(DATOS!$G16623="OR",--(COUNTIFS(nNIA,DATOS!$A16623,nCURSO,DATOS!$D16623,nESPEC,DATOS!$E16623,nASIG,DATOS!$I16623,nEVAL,"EX")=0),0))))</f>
      </c>
      <c r="H16623">
        <f>IF(DATOS!$G16623&lt;&gt;"EX",0,--(COUNTIFS(nNIA,DATOS!$A16623,nCURSO,DATOS!$D16623,nESPEC,DATOS!$E16623,nASIG,DATOS!$I16623,nEVAL,"OR")=0))</f>
      </c>
      <c r="I16623">
        <f>IF(DATOS!$I16623="","",IFERROR(VLOOKUP(DATOS!$I16623,CONFIG_ASIGNATURAS!$B$2:$J$91,9,FALSE()),""))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IF(DATOS!$A16624="",0,IF(CONFIG_METADATA!$B$4&lt;&gt;"OR+EX",--(DATOS!$G16624=CONFIG_METADATA!$B$4),IF(DATOS!$G16624="EX",1,IF(DATOS!$G16624="OR",--(COUNTIFS(nNIA,DATOS!$A16624,nCURSO,DATOS!$D16624,nESPEC,DATOS!$E16624,nASIG,DATOS!$I16624,nEVAL,"EX")=0),0))))</f>
      </c>
      <c r="H16624">
        <f>IF(DATOS!$G16624&lt;&gt;"EX",0,--(COUNTIFS(nNIA,DATOS!$A16624,nCURSO,DATOS!$D16624,nESPEC,DATOS!$E16624,nASIG,DATOS!$I16624,nEVAL,"OR")=0))</f>
      </c>
      <c r="I16624">
        <f>IF(DATOS!$I16624="","",IFERROR(VLOOKUP(DATOS!$I16624,CONFIG_ASIGNATURAS!$B$2:$J$91,9,FALSE()),""))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IF(DATOS!$A16625="",0,IF(CONFIG_METADATA!$B$4&lt;&gt;"OR+EX",--(DATOS!$G16625=CONFIG_METADATA!$B$4),IF(DATOS!$G16625="EX",1,IF(DATOS!$G16625="OR",--(COUNTIFS(nNIA,DATOS!$A16625,nCURSO,DATOS!$D16625,nESPEC,DATOS!$E16625,nASIG,DATOS!$I16625,nEVAL,"EX")=0),0))))</f>
      </c>
      <c r="H16625">
        <f>IF(DATOS!$G16625&lt;&gt;"EX",0,--(COUNTIFS(nNIA,DATOS!$A16625,nCURSO,DATOS!$D16625,nESPEC,DATOS!$E16625,nASIG,DATOS!$I16625,nEVAL,"OR")=0))</f>
      </c>
      <c r="I16625">
        <f>IF(DATOS!$I16625="","",IFERROR(VLOOKUP(DATOS!$I16625,CONFIG_ASIGNATURAS!$B$2:$J$91,9,FALSE()),""))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IF(DATOS!$A16626="",0,IF(CONFIG_METADATA!$B$4&lt;&gt;"OR+EX",--(DATOS!$G16626=CONFIG_METADATA!$B$4),IF(DATOS!$G16626="EX",1,IF(DATOS!$G16626="OR",--(COUNTIFS(nNIA,DATOS!$A16626,nCURSO,DATOS!$D16626,nESPEC,DATOS!$E16626,nASIG,DATOS!$I16626,nEVAL,"EX")=0),0))))</f>
      </c>
      <c r="H16626">
        <f>IF(DATOS!$G16626&lt;&gt;"EX",0,--(COUNTIFS(nNIA,DATOS!$A16626,nCURSO,DATOS!$D16626,nESPEC,DATOS!$E16626,nASIG,DATOS!$I16626,nEVAL,"OR")=0))</f>
      </c>
      <c r="I16626">
        <f>IF(DATOS!$I16626="","",IFERROR(VLOOKUP(DATOS!$I16626,CONFIG_ASIGNATURAS!$B$2:$J$91,9,FALSE()),""))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IF(DATOS!$A16627="",0,IF(CONFIG_METADATA!$B$4&lt;&gt;"OR+EX",--(DATOS!$G16627=CONFIG_METADATA!$B$4),IF(DATOS!$G16627="EX",1,IF(DATOS!$G16627="OR",--(COUNTIFS(nNIA,DATOS!$A16627,nCURSO,DATOS!$D16627,nESPEC,DATOS!$E16627,nASIG,DATOS!$I16627,nEVAL,"EX")=0),0))))</f>
      </c>
      <c r="H16627">
        <f>IF(DATOS!$G16627&lt;&gt;"EX",0,--(COUNTIFS(nNIA,DATOS!$A16627,nCURSO,DATOS!$D16627,nESPEC,DATOS!$E16627,nASIG,DATOS!$I16627,nEVAL,"OR")=0))</f>
      </c>
      <c r="I16627">
        <f>IF(DATOS!$I16627="","",IFERROR(VLOOKUP(DATOS!$I16627,CONFIG_ASIGNATURAS!$B$2:$J$91,9,FALSE()),""))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IF(DATOS!$A16628="",0,IF(CONFIG_METADATA!$B$4&lt;&gt;"OR+EX",--(DATOS!$G16628=CONFIG_METADATA!$B$4),IF(DATOS!$G16628="EX",1,IF(DATOS!$G16628="OR",--(COUNTIFS(nNIA,DATOS!$A16628,nCURSO,DATOS!$D16628,nESPEC,DATOS!$E16628,nASIG,DATOS!$I16628,nEVAL,"EX")=0),0))))</f>
      </c>
      <c r="H16628">
        <f>IF(DATOS!$G16628&lt;&gt;"EX",0,--(COUNTIFS(nNIA,DATOS!$A16628,nCURSO,DATOS!$D16628,nESPEC,DATOS!$E16628,nASIG,DATOS!$I16628,nEVAL,"OR")=0))</f>
      </c>
      <c r="I16628">
        <f>IF(DATOS!$I16628="","",IFERROR(VLOOKUP(DATOS!$I16628,CONFIG_ASIGNATURAS!$B$2:$J$91,9,FALSE()),""))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IF(DATOS!$A16629="",0,IF(CONFIG_METADATA!$B$4&lt;&gt;"OR+EX",--(DATOS!$G16629=CONFIG_METADATA!$B$4),IF(DATOS!$G16629="EX",1,IF(DATOS!$G16629="OR",--(COUNTIFS(nNIA,DATOS!$A16629,nCURSO,DATOS!$D16629,nESPEC,DATOS!$E16629,nASIG,DATOS!$I16629,nEVAL,"EX")=0),0))))</f>
      </c>
      <c r="H16629">
        <f>IF(DATOS!$G16629&lt;&gt;"EX",0,--(COUNTIFS(nNIA,DATOS!$A16629,nCURSO,DATOS!$D16629,nESPEC,DATOS!$E16629,nASIG,DATOS!$I16629,nEVAL,"OR")=0))</f>
      </c>
      <c r="I16629">
        <f>IF(DATOS!$I16629="","",IFERROR(VLOOKUP(DATOS!$I16629,CONFIG_ASIGNATURAS!$B$2:$J$91,9,FALSE()),""))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IF(DATOS!$A16630="",0,IF(CONFIG_METADATA!$B$4&lt;&gt;"OR+EX",--(DATOS!$G16630=CONFIG_METADATA!$B$4),IF(DATOS!$G16630="EX",1,IF(DATOS!$G16630="OR",--(COUNTIFS(nNIA,DATOS!$A16630,nCURSO,DATOS!$D16630,nESPEC,DATOS!$E16630,nASIG,DATOS!$I16630,nEVAL,"EX")=0),0))))</f>
      </c>
      <c r="H16630">
        <f>IF(DATOS!$G16630&lt;&gt;"EX",0,--(COUNTIFS(nNIA,DATOS!$A16630,nCURSO,DATOS!$D16630,nESPEC,DATOS!$E16630,nASIG,DATOS!$I16630,nEVAL,"OR")=0))</f>
      </c>
      <c r="I16630">
        <f>IF(DATOS!$I16630="","",IFERROR(VLOOKUP(DATOS!$I16630,CONFIG_ASIGNATURAS!$B$2:$J$91,9,FALSE()),""))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IF(DATOS!$A16631="",0,IF(CONFIG_METADATA!$B$4&lt;&gt;"OR+EX",--(DATOS!$G16631=CONFIG_METADATA!$B$4),IF(DATOS!$G16631="EX",1,IF(DATOS!$G16631="OR",--(COUNTIFS(nNIA,DATOS!$A16631,nCURSO,DATOS!$D16631,nESPEC,DATOS!$E16631,nASIG,DATOS!$I16631,nEVAL,"EX")=0),0))))</f>
      </c>
      <c r="H16631">
        <f>IF(DATOS!$G16631&lt;&gt;"EX",0,--(COUNTIFS(nNIA,DATOS!$A16631,nCURSO,DATOS!$D16631,nESPEC,DATOS!$E16631,nASIG,DATOS!$I16631,nEVAL,"OR")=0))</f>
      </c>
      <c r="I16631">
        <f>IF(DATOS!$I16631="","",IFERROR(VLOOKUP(DATOS!$I16631,CONFIG_ASIGNATURAS!$B$2:$J$91,9,FALSE()),""))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IF(DATOS!$A16632="",0,IF(CONFIG_METADATA!$B$4&lt;&gt;"OR+EX",--(DATOS!$G16632=CONFIG_METADATA!$B$4),IF(DATOS!$G16632="EX",1,IF(DATOS!$G16632="OR",--(COUNTIFS(nNIA,DATOS!$A16632,nCURSO,DATOS!$D16632,nESPEC,DATOS!$E16632,nASIG,DATOS!$I16632,nEVAL,"EX")=0),0))))</f>
      </c>
      <c r="H16632">
        <f>IF(DATOS!$G16632&lt;&gt;"EX",0,--(COUNTIFS(nNIA,DATOS!$A16632,nCURSO,DATOS!$D16632,nESPEC,DATOS!$E16632,nASIG,DATOS!$I16632,nEVAL,"OR")=0))</f>
      </c>
      <c r="I16632">
        <f>IF(DATOS!$I16632="","",IFERROR(VLOOKUP(DATOS!$I16632,CONFIG_ASIGNATURAS!$B$2:$J$91,9,FALSE()),""))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IF(DATOS!$A16633="",0,IF(CONFIG_METADATA!$B$4&lt;&gt;"OR+EX",--(DATOS!$G16633=CONFIG_METADATA!$B$4),IF(DATOS!$G16633="EX",1,IF(DATOS!$G16633="OR",--(COUNTIFS(nNIA,DATOS!$A16633,nCURSO,DATOS!$D16633,nESPEC,DATOS!$E16633,nASIG,DATOS!$I16633,nEVAL,"EX")=0),0))))</f>
      </c>
      <c r="H16633">
        <f>IF(DATOS!$G16633&lt;&gt;"EX",0,--(COUNTIFS(nNIA,DATOS!$A16633,nCURSO,DATOS!$D16633,nESPEC,DATOS!$E16633,nASIG,DATOS!$I16633,nEVAL,"OR")=0))</f>
      </c>
      <c r="I16633">
        <f>IF(DATOS!$I16633="","",IFERROR(VLOOKUP(DATOS!$I16633,CONFIG_ASIGNATURAS!$B$2:$J$91,9,FALSE()),""))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IF(DATOS!$A16634="",0,IF(CONFIG_METADATA!$B$4&lt;&gt;"OR+EX",--(DATOS!$G16634=CONFIG_METADATA!$B$4),IF(DATOS!$G16634="EX",1,IF(DATOS!$G16634="OR",--(COUNTIFS(nNIA,DATOS!$A16634,nCURSO,DATOS!$D16634,nESPEC,DATOS!$E16634,nASIG,DATOS!$I16634,nEVAL,"EX")=0),0))))</f>
      </c>
      <c r="H16634">
        <f>IF(DATOS!$G16634&lt;&gt;"EX",0,--(COUNTIFS(nNIA,DATOS!$A16634,nCURSO,DATOS!$D16634,nESPEC,DATOS!$E16634,nASIG,DATOS!$I16634,nEVAL,"OR")=0))</f>
      </c>
      <c r="I16634">
        <f>IF(DATOS!$I16634="","",IFERROR(VLOOKUP(DATOS!$I16634,CONFIG_ASIGNATURAS!$B$2:$J$91,9,FALSE()),""))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IF(DATOS!$A16635="",0,IF(CONFIG_METADATA!$B$4&lt;&gt;"OR+EX",--(DATOS!$G16635=CONFIG_METADATA!$B$4),IF(DATOS!$G16635="EX",1,IF(DATOS!$G16635="OR",--(COUNTIFS(nNIA,DATOS!$A16635,nCURSO,DATOS!$D16635,nESPEC,DATOS!$E16635,nASIG,DATOS!$I16635,nEVAL,"EX")=0),0))))</f>
      </c>
      <c r="H16635">
        <f>IF(DATOS!$G16635&lt;&gt;"EX",0,--(COUNTIFS(nNIA,DATOS!$A16635,nCURSO,DATOS!$D16635,nESPEC,DATOS!$E16635,nASIG,DATOS!$I16635,nEVAL,"OR")=0))</f>
      </c>
      <c r="I16635">
        <f>IF(DATOS!$I16635="","",IFERROR(VLOOKUP(DATOS!$I16635,CONFIG_ASIGNATURAS!$B$2:$J$91,9,FALSE()),""))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IF(DATOS!$A16636="",0,IF(CONFIG_METADATA!$B$4&lt;&gt;"OR+EX",--(DATOS!$G16636=CONFIG_METADATA!$B$4),IF(DATOS!$G16636="EX",1,IF(DATOS!$G16636="OR",--(COUNTIFS(nNIA,DATOS!$A16636,nCURSO,DATOS!$D16636,nESPEC,DATOS!$E16636,nASIG,DATOS!$I16636,nEVAL,"EX")=0),0))))</f>
      </c>
      <c r="H16636">
        <f>IF(DATOS!$G16636&lt;&gt;"EX",0,--(COUNTIFS(nNIA,DATOS!$A16636,nCURSO,DATOS!$D16636,nESPEC,DATOS!$E16636,nASIG,DATOS!$I16636,nEVAL,"OR")=0))</f>
      </c>
      <c r="I16636">
        <f>IF(DATOS!$I16636="","",IFERROR(VLOOKUP(DATOS!$I16636,CONFIG_ASIGNATURAS!$B$2:$J$91,9,FALSE()),""))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IF(DATOS!$A16637="",0,IF(CONFIG_METADATA!$B$4&lt;&gt;"OR+EX",--(DATOS!$G16637=CONFIG_METADATA!$B$4),IF(DATOS!$G16637="EX",1,IF(DATOS!$G16637="OR",--(COUNTIFS(nNIA,DATOS!$A16637,nCURSO,DATOS!$D16637,nESPEC,DATOS!$E16637,nASIG,DATOS!$I16637,nEVAL,"EX")=0),0))))</f>
      </c>
      <c r="H16637">
        <f>IF(DATOS!$G16637&lt;&gt;"EX",0,--(COUNTIFS(nNIA,DATOS!$A16637,nCURSO,DATOS!$D16637,nESPEC,DATOS!$E16637,nASIG,DATOS!$I16637,nEVAL,"OR")=0))</f>
      </c>
      <c r="I16637">
        <f>IF(DATOS!$I16637="","",IFERROR(VLOOKUP(DATOS!$I16637,CONFIG_ASIGNATURAS!$B$2:$J$91,9,FALSE()),""))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IF(DATOS!$A16638="",0,IF(CONFIG_METADATA!$B$4&lt;&gt;"OR+EX",--(DATOS!$G16638=CONFIG_METADATA!$B$4),IF(DATOS!$G16638="EX",1,IF(DATOS!$G16638="OR",--(COUNTIFS(nNIA,DATOS!$A16638,nCURSO,DATOS!$D16638,nESPEC,DATOS!$E16638,nASIG,DATOS!$I16638,nEVAL,"EX")=0),0))))</f>
      </c>
      <c r="H16638">
        <f>IF(DATOS!$G16638&lt;&gt;"EX",0,--(COUNTIFS(nNIA,DATOS!$A16638,nCURSO,DATOS!$D16638,nESPEC,DATOS!$E16638,nASIG,DATOS!$I16638,nEVAL,"OR")=0))</f>
      </c>
      <c r="I16638">
        <f>IF(DATOS!$I16638="","",IFERROR(VLOOKUP(DATOS!$I16638,CONFIG_ASIGNATURAS!$B$2:$J$91,9,FALSE()),""))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IF(DATOS!$A16639="",0,IF(CONFIG_METADATA!$B$4&lt;&gt;"OR+EX",--(DATOS!$G16639=CONFIG_METADATA!$B$4),IF(DATOS!$G16639="EX",1,IF(DATOS!$G16639="OR",--(COUNTIFS(nNIA,DATOS!$A16639,nCURSO,DATOS!$D16639,nESPEC,DATOS!$E16639,nASIG,DATOS!$I16639,nEVAL,"EX")=0),0))))</f>
      </c>
      <c r="H16639">
        <f>IF(DATOS!$G16639&lt;&gt;"EX",0,--(COUNTIFS(nNIA,DATOS!$A16639,nCURSO,DATOS!$D16639,nESPEC,DATOS!$E16639,nASIG,DATOS!$I16639,nEVAL,"OR")=0))</f>
      </c>
      <c r="I16639">
        <f>IF(DATOS!$I16639="","",IFERROR(VLOOKUP(DATOS!$I16639,CONFIG_ASIGNATURAS!$B$2:$J$91,9,FALSE()),""))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IF(DATOS!$A16640="",0,IF(CONFIG_METADATA!$B$4&lt;&gt;"OR+EX",--(DATOS!$G16640=CONFIG_METADATA!$B$4),IF(DATOS!$G16640="EX",1,IF(DATOS!$G16640="OR",--(COUNTIFS(nNIA,DATOS!$A16640,nCURSO,DATOS!$D16640,nESPEC,DATOS!$E16640,nASIG,DATOS!$I16640,nEVAL,"EX")=0),0))))</f>
      </c>
      <c r="H16640">
        <f>IF(DATOS!$G16640&lt;&gt;"EX",0,--(COUNTIFS(nNIA,DATOS!$A16640,nCURSO,DATOS!$D16640,nESPEC,DATOS!$E16640,nASIG,DATOS!$I16640,nEVAL,"OR")=0))</f>
      </c>
      <c r="I16640">
        <f>IF(DATOS!$I16640="","",IFERROR(VLOOKUP(DATOS!$I16640,CONFIG_ASIGNATURAS!$B$2:$J$91,9,FALSE()),""))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IF(DATOS!$A16641="",0,IF(CONFIG_METADATA!$B$4&lt;&gt;"OR+EX",--(DATOS!$G16641=CONFIG_METADATA!$B$4),IF(DATOS!$G16641="EX",1,IF(DATOS!$G16641="OR",--(COUNTIFS(nNIA,DATOS!$A16641,nCURSO,DATOS!$D16641,nESPEC,DATOS!$E16641,nASIG,DATOS!$I16641,nEVAL,"EX")=0),0))))</f>
      </c>
      <c r="H16641">
        <f>IF(DATOS!$G16641&lt;&gt;"EX",0,--(COUNTIFS(nNIA,DATOS!$A16641,nCURSO,DATOS!$D16641,nESPEC,DATOS!$E16641,nASIG,DATOS!$I16641,nEVAL,"OR")=0))</f>
      </c>
      <c r="I16641">
        <f>IF(DATOS!$I16641="","",IFERROR(VLOOKUP(DATOS!$I16641,CONFIG_ASIGNATURAS!$B$2:$J$91,9,FALSE()),""))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IF(DATOS!$A16642="",0,IF(CONFIG_METADATA!$B$4&lt;&gt;"OR+EX",--(DATOS!$G16642=CONFIG_METADATA!$B$4),IF(DATOS!$G16642="EX",1,IF(DATOS!$G16642="OR",--(COUNTIFS(nNIA,DATOS!$A16642,nCURSO,DATOS!$D16642,nESPEC,DATOS!$E16642,nASIG,DATOS!$I16642,nEVAL,"EX")=0),0))))</f>
      </c>
      <c r="H16642">
        <f>IF(DATOS!$G16642&lt;&gt;"EX",0,--(COUNTIFS(nNIA,DATOS!$A16642,nCURSO,DATOS!$D16642,nESPEC,DATOS!$E16642,nASIG,DATOS!$I16642,nEVAL,"OR")=0))</f>
      </c>
      <c r="I16642">
        <f>IF(DATOS!$I16642="","",IFERROR(VLOOKUP(DATOS!$I16642,CONFIG_ASIGNATURAS!$B$2:$J$91,9,FALSE()),""))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IF(DATOS!$A16643="",0,IF(CONFIG_METADATA!$B$4&lt;&gt;"OR+EX",--(DATOS!$G16643=CONFIG_METADATA!$B$4),IF(DATOS!$G16643="EX",1,IF(DATOS!$G16643="OR",--(COUNTIFS(nNIA,DATOS!$A16643,nCURSO,DATOS!$D16643,nESPEC,DATOS!$E16643,nASIG,DATOS!$I16643,nEVAL,"EX")=0),0))))</f>
      </c>
      <c r="H16643">
        <f>IF(DATOS!$G16643&lt;&gt;"EX",0,--(COUNTIFS(nNIA,DATOS!$A16643,nCURSO,DATOS!$D16643,nESPEC,DATOS!$E16643,nASIG,DATOS!$I16643,nEVAL,"OR")=0))</f>
      </c>
      <c r="I16643">
        <f>IF(DATOS!$I16643="","",IFERROR(VLOOKUP(DATOS!$I16643,CONFIG_ASIGNATURAS!$B$2:$J$91,9,FALSE()),""))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IF(DATOS!$A16644="",0,IF(CONFIG_METADATA!$B$4&lt;&gt;"OR+EX",--(DATOS!$G16644=CONFIG_METADATA!$B$4),IF(DATOS!$G16644="EX",1,IF(DATOS!$G16644="OR",--(COUNTIFS(nNIA,DATOS!$A16644,nCURSO,DATOS!$D16644,nESPEC,DATOS!$E16644,nASIG,DATOS!$I16644,nEVAL,"EX")=0),0))))</f>
      </c>
      <c r="H16644">
        <f>IF(DATOS!$G16644&lt;&gt;"EX",0,--(COUNTIFS(nNIA,DATOS!$A16644,nCURSO,DATOS!$D16644,nESPEC,DATOS!$E16644,nASIG,DATOS!$I16644,nEVAL,"OR")=0))</f>
      </c>
      <c r="I16644">
        <f>IF(DATOS!$I16644="","",IFERROR(VLOOKUP(DATOS!$I16644,CONFIG_ASIGNATURAS!$B$2:$J$91,9,FALSE()),""))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IF(DATOS!$A16645="",0,IF(CONFIG_METADATA!$B$4&lt;&gt;"OR+EX",--(DATOS!$G16645=CONFIG_METADATA!$B$4),IF(DATOS!$G16645="EX",1,IF(DATOS!$G16645="OR",--(COUNTIFS(nNIA,DATOS!$A16645,nCURSO,DATOS!$D16645,nESPEC,DATOS!$E16645,nASIG,DATOS!$I16645,nEVAL,"EX")=0),0))))</f>
      </c>
      <c r="H16645">
        <f>IF(DATOS!$G16645&lt;&gt;"EX",0,--(COUNTIFS(nNIA,DATOS!$A16645,nCURSO,DATOS!$D16645,nESPEC,DATOS!$E16645,nASIG,DATOS!$I16645,nEVAL,"OR")=0))</f>
      </c>
      <c r="I16645">
        <f>IF(DATOS!$I16645="","",IFERROR(VLOOKUP(DATOS!$I16645,CONFIG_ASIGNATURAS!$B$2:$J$91,9,FALSE()),""))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IF(DATOS!$A16646="",0,IF(CONFIG_METADATA!$B$4&lt;&gt;"OR+EX",--(DATOS!$G16646=CONFIG_METADATA!$B$4),IF(DATOS!$G16646="EX",1,IF(DATOS!$G16646="OR",--(COUNTIFS(nNIA,DATOS!$A16646,nCURSO,DATOS!$D16646,nESPEC,DATOS!$E16646,nASIG,DATOS!$I16646,nEVAL,"EX")=0),0))))</f>
      </c>
      <c r="H16646">
        <f>IF(DATOS!$G16646&lt;&gt;"EX",0,--(COUNTIFS(nNIA,DATOS!$A16646,nCURSO,DATOS!$D16646,nESPEC,DATOS!$E16646,nASIG,DATOS!$I16646,nEVAL,"OR")=0))</f>
      </c>
      <c r="I16646">
        <f>IF(DATOS!$I16646="","",IFERROR(VLOOKUP(DATOS!$I16646,CONFIG_ASIGNATURAS!$B$2:$J$91,9,FALSE()),""))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IF(DATOS!$A16647="",0,IF(CONFIG_METADATA!$B$4&lt;&gt;"OR+EX",--(DATOS!$G16647=CONFIG_METADATA!$B$4),IF(DATOS!$G16647="EX",1,IF(DATOS!$G16647="OR",--(COUNTIFS(nNIA,DATOS!$A16647,nCURSO,DATOS!$D16647,nESPEC,DATOS!$E16647,nASIG,DATOS!$I16647,nEVAL,"EX")=0),0))))</f>
      </c>
      <c r="H16647">
        <f>IF(DATOS!$G16647&lt;&gt;"EX",0,--(COUNTIFS(nNIA,DATOS!$A16647,nCURSO,DATOS!$D16647,nESPEC,DATOS!$E16647,nASIG,DATOS!$I16647,nEVAL,"OR")=0))</f>
      </c>
      <c r="I16647">
        <f>IF(DATOS!$I16647="","",IFERROR(VLOOKUP(DATOS!$I16647,CONFIG_ASIGNATURAS!$B$2:$J$91,9,FALSE()),""))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IF(DATOS!$A16648="",0,IF(CONFIG_METADATA!$B$4&lt;&gt;"OR+EX",--(DATOS!$G16648=CONFIG_METADATA!$B$4),IF(DATOS!$G16648="EX",1,IF(DATOS!$G16648="OR",--(COUNTIFS(nNIA,DATOS!$A16648,nCURSO,DATOS!$D16648,nESPEC,DATOS!$E16648,nASIG,DATOS!$I16648,nEVAL,"EX")=0),0))))</f>
      </c>
      <c r="H16648">
        <f>IF(DATOS!$G16648&lt;&gt;"EX",0,--(COUNTIFS(nNIA,DATOS!$A16648,nCURSO,DATOS!$D16648,nESPEC,DATOS!$E16648,nASIG,DATOS!$I16648,nEVAL,"OR")=0))</f>
      </c>
      <c r="I16648">
        <f>IF(DATOS!$I16648="","",IFERROR(VLOOKUP(DATOS!$I16648,CONFIG_ASIGNATURAS!$B$2:$J$91,9,FALSE()),""))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IF(DATOS!$A16649="",0,IF(CONFIG_METADATA!$B$4&lt;&gt;"OR+EX",--(DATOS!$G16649=CONFIG_METADATA!$B$4),IF(DATOS!$G16649="EX",1,IF(DATOS!$G16649="OR",--(COUNTIFS(nNIA,DATOS!$A16649,nCURSO,DATOS!$D16649,nESPEC,DATOS!$E16649,nASIG,DATOS!$I16649,nEVAL,"EX")=0),0))))</f>
      </c>
      <c r="H16649">
        <f>IF(DATOS!$G16649&lt;&gt;"EX",0,--(COUNTIFS(nNIA,DATOS!$A16649,nCURSO,DATOS!$D16649,nESPEC,DATOS!$E16649,nASIG,DATOS!$I16649,nEVAL,"OR")=0))</f>
      </c>
      <c r="I16649">
        <f>IF(DATOS!$I16649="","",IFERROR(VLOOKUP(DATOS!$I16649,CONFIG_ASIGNATURAS!$B$2:$J$91,9,FALSE()),""))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IF(DATOS!$A16650="",0,IF(CONFIG_METADATA!$B$4&lt;&gt;"OR+EX",--(DATOS!$G16650=CONFIG_METADATA!$B$4),IF(DATOS!$G16650="EX",1,IF(DATOS!$G16650="OR",--(COUNTIFS(nNIA,DATOS!$A16650,nCURSO,DATOS!$D16650,nESPEC,DATOS!$E16650,nASIG,DATOS!$I16650,nEVAL,"EX")=0),0))))</f>
      </c>
      <c r="H16650">
        <f>IF(DATOS!$G16650&lt;&gt;"EX",0,--(COUNTIFS(nNIA,DATOS!$A16650,nCURSO,DATOS!$D16650,nESPEC,DATOS!$E16650,nASIG,DATOS!$I16650,nEVAL,"OR")=0))</f>
      </c>
      <c r="I16650">
        <f>IF(DATOS!$I16650="","",IFERROR(VLOOKUP(DATOS!$I16650,CONFIG_ASIGNATURAS!$B$2:$J$91,9,FALSE()),""))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IF(DATOS!$A16651="",0,IF(CONFIG_METADATA!$B$4&lt;&gt;"OR+EX",--(DATOS!$G16651=CONFIG_METADATA!$B$4),IF(DATOS!$G16651="EX",1,IF(DATOS!$G16651="OR",--(COUNTIFS(nNIA,DATOS!$A16651,nCURSO,DATOS!$D16651,nESPEC,DATOS!$E16651,nASIG,DATOS!$I16651,nEVAL,"EX")=0),0))))</f>
      </c>
      <c r="H16651">
        <f>IF(DATOS!$G16651&lt;&gt;"EX",0,--(COUNTIFS(nNIA,DATOS!$A16651,nCURSO,DATOS!$D16651,nESPEC,DATOS!$E16651,nASIG,DATOS!$I16651,nEVAL,"OR")=0))</f>
      </c>
      <c r="I16651">
        <f>IF(DATOS!$I16651="","",IFERROR(VLOOKUP(DATOS!$I16651,CONFIG_ASIGNATURAS!$B$2:$J$91,9,FALSE()),""))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IF(DATOS!$A16652="",0,IF(CONFIG_METADATA!$B$4&lt;&gt;"OR+EX",--(DATOS!$G16652=CONFIG_METADATA!$B$4),IF(DATOS!$G16652="EX",1,IF(DATOS!$G16652="OR",--(COUNTIFS(nNIA,DATOS!$A16652,nCURSO,DATOS!$D16652,nESPEC,DATOS!$E16652,nASIG,DATOS!$I16652,nEVAL,"EX")=0),0))))</f>
      </c>
      <c r="H16652">
        <f>IF(DATOS!$G16652&lt;&gt;"EX",0,--(COUNTIFS(nNIA,DATOS!$A16652,nCURSO,DATOS!$D16652,nESPEC,DATOS!$E16652,nASIG,DATOS!$I16652,nEVAL,"OR")=0))</f>
      </c>
      <c r="I16652">
        <f>IF(DATOS!$I16652="","",IFERROR(VLOOKUP(DATOS!$I16652,CONFIG_ASIGNATURAS!$B$2:$J$91,9,FALSE()),""))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IF(DATOS!$A16653="",0,IF(CONFIG_METADATA!$B$4&lt;&gt;"OR+EX",--(DATOS!$G16653=CONFIG_METADATA!$B$4),IF(DATOS!$G16653="EX",1,IF(DATOS!$G16653="OR",--(COUNTIFS(nNIA,DATOS!$A16653,nCURSO,DATOS!$D16653,nESPEC,DATOS!$E16653,nASIG,DATOS!$I16653,nEVAL,"EX")=0),0))))</f>
      </c>
      <c r="H16653">
        <f>IF(DATOS!$G16653&lt;&gt;"EX",0,--(COUNTIFS(nNIA,DATOS!$A16653,nCURSO,DATOS!$D16653,nESPEC,DATOS!$E16653,nASIG,DATOS!$I16653,nEVAL,"OR")=0))</f>
      </c>
      <c r="I16653">
        <f>IF(DATOS!$I16653="","",IFERROR(VLOOKUP(DATOS!$I16653,CONFIG_ASIGNATURAS!$B$2:$J$91,9,FALSE()),""))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IF(DATOS!$A16654="",0,IF(CONFIG_METADATA!$B$4&lt;&gt;"OR+EX",--(DATOS!$G16654=CONFIG_METADATA!$B$4),IF(DATOS!$G16654="EX",1,IF(DATOS!$G16654="OR",--(COUNTIFS(nNIA,DATOS!$A16654,nCURSO,DATOS!$D16654,nESPEC,DATOS!$E16654,nASIG,DATOS!$I16654,nEVAL,"EX")=0),0))))</f>
      </c>
      <c r="H16654">
        <f>IF(DATOS!$G16654&lt;&gt;"EX",0,--(COUNTIFS(nNIA,DATOS!$A16654,nCURSO,DATOS!$D16654,nESPEC,DATOS!$E16654,nASIG,DATOS!$I16654,nEVAL,"OR")=0))</f>
      </c>
      <c r="I16654">
        <f>IF(DATOS!$I16654="","",IFERROR(VLOOKUP(DATOS!$I16654,CONFIG_ASIGNATURAS!$B$2:$J$91,9,FALSE()),""))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IF(DATOS!$A16655="",0,IF(CONFIG_METADATA!$B$4&lt;&gt;"OR+EX",--(DATOS!$G16655=CONFIG_METADATA!$B$4),IF(DATOS!$G16655="EX",1,IF(DATOS!$G16655="OR",--(COUNTIFS(nNIA,DATOS!$A16655,nCURSO,DATOS!$D16655,nESPEC,DATOS!$E16655,nASIG,DATOS!$I16655,nEVAL,"EX")=0),0))))</f>
      </c>
      <c r="H16655">
        <f>IF(DATOS!$G16655&lt;&gt;"EX",0,--(COUNTIFS(nNIA,DATOS!$A16655,nCURSO,DATOS!$D16655,nESPEC,DATOS!$E16655,nASIG,DATOS!$I16655,nEVAL,"OR")=0))</f>
      </c>
      <c r="I16655">
        <f>IF(DATOS!$I16655="","",IFERROR(VLOOKUP(DATOS!$I16655,CONFIG_ASIGNATURAS!$B$2:$J$91,9,FALSE()),""))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IF(DATOS!$A16656="",0,IF(CONFIG_METADATA!$B$4&lt;&gt;"OR+EX",--(DATOS!$G16656=CONFIG_METADATA!$B$4),IF(DATOS!$G16656="EX",1,IF(DATOS!$G16656="OR",--(COUNTIFS(nNIA,DATOS!$A16656,nCURSO,DATOS!$D16656,nESPEC,DATOS!$E16656,nASIG,DATOS!$I16656,nEVAL,"EX")=0),0))))</f>
      </c>
      <c r="H16656">
        <f>IF(DATOS!$G16656&lt;&gt;"EX",0,--(COUNTIFS(nNIA,DATOS!$A16656,nCURSO,DATOS!$D16656,nESPEC,DATOS!$E16656,nASIG,DATOS!$I16656,nEVAL,"OR")=0))</f>
      </c>
      <c r="I16656">
        <f>IF(DATOS!$I16656="","",IFERROR(VLOOKUP(DATOS!$I16656,CONFIG_ASIGNATURAS!$B$2:$J$91,9,FALSE()),""))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IF(DATOS!$A16657="",0,IF(CONFIG_METADATA!$B$4&lt;&gt;"OR+EX",--(DATOS!$G16657=CONFIG_METADATA!$B$4),IF(DATOS!$G16657="EX",1,IF(DATOS!$G16657="OR",--(COUNTIFS(nNIA,DATOS!$A16657,nCURSO,DATOS!$D16657,nESPEC,DATOS!$E16657,nASIG,DATOS!$I16657,nEVAL,"EX")=0),0))))</f>
      </c>
      <c r="H16657">
        <f>IF(DATOS!$G16657&lt;&gt;"EX",0,--(COUNTIFS(nNIA,DATOS!$A16657,nCURSO,DATOS!$D16657,nESPEC,DATOS!$E16657,nASIG,DATOS!$I16657,nEVAL,"OR")=0))</f>
      </c>
      <c r="I16657">
        <f>IF(DATOS!$I16657="","",IFERROR(VLOOKUP(DATOS!$I16657,CONFIG_ASIGNATURAS!$B$2:$J$91,9,FALSE()),""))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IF(DATOS!$A16658="",0,IF(CONFIG_METADATA!$B$4&lt;&gt;"OR+EX",--(DATOS!$G16658=CONFIG_METADATA!$B$4),IF(DATOS!$G16658="EX",1,IF(DATOS!$G16658="OR",--(COUNTIFS(nNIA,DATOS!$A16658,nCURSO,DATOS!$D16658,nESPEC,DATOS!$E16658,nASIG,DATOS!$I16658,nEVAL,"EX")=0),0))))</f>
      </c>
      <c r="H16658">
        <f>IF(DATOS!$G16658&lt;&gt;"EX",0,--(COUNTIFS(nNIA,DATOS!$A16658,nCURSO,DATOS!$D16658,nESPEC,DATOS!$E16658,nASIG,DATOS!$I16658,nEVAL,"OR")=0))</f>
      </c>
      <c r="I16658">
        <f>IF(DATOS!$I16658="","",IFERROR(VLOOKUP(DATOS!$I16658,CONFIG_ASIGNATURAS!$B$2:$J$91,9,FALSE()),""))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IF(DATOS!$A16659="",0,IF(CONFIG_METADATA!$B$4&lt;&gt;"OR+EX",--(DATOS!$G16659=CONFIG_METADATA!$B$4),IF(DATOS!$G16659="EX",1,IF(DATOS!$G16659="OR",--(COUNTIFS(nNIA,DATOS!$A16659,nCURSO,DATOS!$D16659,nESPEC,DATOS!$E16659,nASIG,DATOS!$I16659,nEVAL,"EX")=0),0))))</f>
      </c>
      <c r="H16659">
        <f>IF(DATOS!$G16659&lt;&gt;"EX",0,--(COUNTIFS(nNIA,DATOS!$A16659,nCURSO,DATOS!$D16659,nESPEC,DATOS!$E16659,nASIG,DATOS!$I16659,nEVAL,"OR")=0))</f>
      </c>
      <c r="I16659">
        <f>IF(DATOS!$I16659="","",IFERROR(VLOOKUP(DATOS!$I16659,CONFIG_ASIGNATURAS!$B$2:$J$91,9,FALSE()),""))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IF(DATOS!$A16660="",0,IF(CONFIG_METADATA!$B$4&lt;&gt;"OR+EX",--(DATOS!$G16660=CONFIG_METADATA!$B$4),IF(DATOS!$G16660="EX",1,IF(DATOS!$G16660="OR",--(COUNTIFS(nNIA,DATOS!$A16660,nCURSO,DATOS!$D16660,nESPEC,DATOS!$E16660,nASIG,DATOS!$I16660,nEVAL,"EX")=0),0))))</f>
      </c>
      <c r="H16660">
        <f>IF(DATOS!$G16660&lt;&gt;"EX",0,--(COUNTIFS(nNIA,DATOS!$A16660,nCURSO,DATOS!$D16660,nESPEC,DATOS!$E16660,nASIG,DATOS!$I16660,nEVAL,"OR")=0))</f>
      </c>
      <c r="I16660">
        <f>IF(DATOS!$I16660="","",IFERROR(VLOOKUP(DATOS!$I16660,CONFIG_ASIGNATURAS!$B$2:$J$91,9,FALSE()),""))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IF(DATOS!$A16661="",0,IF(CONFIG_METADATA!$B$4&lt;&gt;"OR+EX",--(DATOS!$G16661=CONFIG_METADATA!$B$4),IF(DATOS!$G16661="EX",1,IF(DATOS!$G16661="OR",--(COUNTIFS(nNIA,DATOS!$A16661,nCURSO,DATOS!$D16661,nESPEC,DATOS!$E16661,nASIG,DATOS!$I16661,nEVAL,"EX")=0),0))))</f>
      </c>
      <c r="H16661">
        <f>IF(DATOS!$G16661&lt;&gt;"EX",0,--(COUNTIFS(nNIA,DATOS!$A16661,nCURSO,DATOS!$D16661,nESPEC,DATOS!$E16661,nASIG,DATOS!$I16661,nEVAL,"OR")=0))</f>
      </c>
      <c r="I16661">
        <f>IF(DATOS!$I16661="","",IFERROR(VLOOKUP(DATOS!$I16661,CONFIG_ASIGNATURAS!$B$2:$J$91,9,FALSE()),""))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IF(DATOS!$A16662="",0,IF(CONFIG_METADATA!$B$4&lt;&gt;"OR+EX",--(DATOS!$G16662=CONFIG_METADATA!$B$4),IF(DATOS!$G16662="EX",1,IF(DATOS!$G16662="OR",--(COUNTIFS(nNIA,DATOS!$A16662,nCURSO,DATOS!$D16662,nESPEC,DATOS!$E16662,nASIG,DATOS!$I16662,nEVAL,"EX")=0),0))))</f>
      </c>
      <c r="H16662">
        <f>IF(DATOS!$G16662&lt;&gt;"EX",0,--(COUNTIFS(nNIA,DATOS!$A16662,nCURSO,DATOS!$D16662,nESPEC,DATOS!$E16662,nASIG,DATOS!$I16662,nEVAL,"OR")=0))</f>
      </c>
      <c r="I16662">
        <f>IF(DATOS!$I16662="","",IFERROR(VLOOKUP(DATOS!$I16662,CONFIG_ASIGNATURAS!$B$2:$J$91,9,FALSE()),""))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IF(DATOS!$A16663="",0,IF(CONFIG_METADATA!$B$4&lt;&gt;"OR+EX",--(DATOS!$G16663=CONFIG_METADATA!$B$4),IF(DATOS!$G16663="EX",1,IF(DATOS!$G16663="OR",--(COUNTIFS(nNIA,DATOS!$A16663,nCURSO,DATOS!$D16663,nESPEC,DATOS!$E16663,nASIG,DATOS!$I16663,nEVAL,"EX")=0),0))))</f>
      </c>
      <c r="H16663">
        <f>IF(DATOS!$G16663&lt;&gt;"EX",0,--(COUNTIFS(nNIA,DATOS!$A16663,nCURSO,DATOS!$D16663,nESPEC,DATOS!$E16663,nASIG,DATOS!$I16663,nEVAL,"OR")=0))</f>
      </c>
      <c r="I16663">
        <f>IF(DATOS!$I16663="","",IFERROR(VLOOKUP(DATOS!$I16663,CONFIG_ASIGNATURAS!$B$2:$J$91,9,FALSE()),""))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IF(DATOS!$A16664="",0,IF(CONFIG_METADATA!$B$4&lt;&gt;"OR+EX",--(DATOS!$G16664=CONFIG_METADATA!$B$4),IF(DATOS!$G16664="EX",1,IF(DATOS!$G16664="OR",--(COUNTIFS(nNIA,DATOS!$A16664,nCURSO,DATOS!$D16664,nESPEC,DATOS!$E16664,nASIG,DATOS!$I16664,nEVAL,"EX")=0),0))))</f>
      </c>
      <c r="H16664">
        <f>IF(DATOS!$G16664&lt;&gt;"EX",0,--(COUNTIFS(nNIA,DATOS!$A16664,nCURSO,DATOS!$D16664,nESPEC,DATOS!$E16664,nASIG,DATOS!$I16664,nEVAL,"OR")=0))</f>
      </c>
      <c r="I16664">
        <f>IF(DATOS!$I16664="","",IFERROR(VLOOKUP(DATOS!$I16664,CONFIG_ASIGNATURAS!$B$2:$J$91,9,FALSE()),""))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IF(DATOS!$A16665="",0,IF(CONFIG_METADATA!$B$4&lt;&gt;"OR+EX",--(DATOS!$G16665=CONFIG_METADATA!$B$4),IF(DATOS!$G16665="EX",1,IF(DATOS!$G16665="OR",--(COUNTIFS(nNIA,DATOS!$A16665,nCURSO,DATOS!$D16665,nESPEC,DATOS!$E16665,nASIG,DATOS!$I16665,nEVAL,"EX")=0),0))))</f>
      </c>
      <c r="H16665">
        <f>IF(DATOS!$G16665&lt;&gt;"EX",0,--(COUNTIFS(nNIA,DATOS!$A16665,nCURSO,DATOS!$D16665,nESPEC,DATOS!$E16665,nASIG,DATOS!$I16665,nEVAL,"OR")=0))</f>
      </c>
      <c r="I16665">
        <f>IF(DATOS!$I16665="","",IFERROR(VLOOKUP(DATOS!$I16665,CONFIG_ASIGNATURAS!$B$2:$J$91,9,FALSE()),""))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IF(DATOS!$A16666="",0,IF(CONFIG_METADATA!$B$4&lt;&gt;"OR+EX",--(DATOS!$G16666=CONFIG_METADATA!$B$4),IF(DATOS!$G16666="EX",1,IF(DATOS!$G16666="OR",--(COUNTIFS(nNIA,DATOS!$A16666,nCURSO,DATOS!$D16666,nESPEC,DATOS!$E16666,nASIG,DATOS!$I16666,nEVAL,"EX")=0),0))))</f>
      </c>
      <c r="H16666">
        <f>IF(DATOS!$G16666&lt;&gt;"EX",0,--(COUNTIFS(nNIA,DATOS!$A16666,nCURSO,DATOS!$D16666,nESPEC,DATOS!$E16666,nASIG,DATOS!$I16666,nEVAL,"OR")=0))</f>
      </c>
      <c r="I16666">
        <f>IF(DATOS!$I16666="","",IFERROR(VLOOKUP(DATOS!$I16666,CONFIG_ASIGNATURAS!$B$2:$J$91,9,FALSE()),""))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IF(DATOS!$A16667="",0,IF(CONFIG_METADATA!$B$4&lt;&gt;"OR+EX",--(DATOS!$G16667=CONFIG_METADATA!$B$4),IF(DATOS!$G16667="EX",1,IF(DATOS!$G16667="OR",--(COUNTIFS(nNIA,DATOS!$A16667,nCURSO,DATOS!$D16667,nESPEC,DATOS!$E16667,nASIG,DATOS!$I16667,nEVAL,"EX")=0),0))))</f>
      </c>
      <c r="H16667">
        <f>IF(DATOS!$G16667&lt;&gt;"EX",0,--(COUNTIFS(nNIA,DATOS!$A16667,nCURSO,DATOS!$D16667,nESPEC,DATOS!$E16667,nASIG,DATOS!$I16667,nEVAL,"OR")=0))</f>
      </c>
      <c r="I16667">
        <f>IF(DATOS!$I16667="","",IFERROR(VLOOKUP(DATOS!$I16667,CONFIG_ASIGNATURAS!$B$2:$J$91,9,FALSE()),""))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IF(DATOS!$A16668="",0,IF(CONFIG_METADATA!$B$4&lt;&gt;"OR+EX",--(DATOS!$G16668=CONFIG_METADATA!$B$4),IF(DATOS!$G16668="EX",1,IF(DATOS!$G16668="OR",--(COUNTIFS(nNIA,DATOS!$A16668,nCURSO,DATOS!$D16668,nESPEC,DATOS!$E16668,nASIG,DATOS!$I16668,nEVAL,"EX")=0),0))))</f>
      </c>
      <c r="H16668">
        <f>IF(DATOS!$G16668&lt;&gt;"EX",0,--(COUNTIFS(nNIA,DATOS!$A16668,nCURSO,DATOS!$D16668,nESPEC,DATOS!$E16668,nASIG,DATOS!$I16668,nEVAL,"OR")=0))</f>
      </c>
      <c r="I16668">
        <f>IF(DATOS!$I16668="","",IFERROR(VLOOKUP(DATOS!$I16668,CONFIG_ASIGNATURAS!$B$2:$J$91,9,FALSE()),""))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IF(DATOS!$A16669="",0,IF(CONFIG_METADATA!$B$4&lt;&gt;"OR+EX",--(DATOS!$G16669=CONFIG_METADATA!$B$4),IF(DATOS!$G16669="EX",1,IF(DATOS!$G16669="OR",--(COUNTIFS(nNIA,DATOS!$A16669,nCURSO,DATOS!$D16669,nESPEC,DATOS!$E16669,nASIG,DATOS!$I16669,nEVAL,"EX")=0),0))))</f>
      </c>
      <c r="H16669">
        <f>IF(DATOS!$G16669&lt;&gt;"EX",0,--(COUNTIFS(nNIA,DATOS!$A16669,nCURSO,DATOS!$D16669,nESPEC,DATOS!$E16669,nASIG,DATOS!$I16669,nEVAL,"OR")=0))</f>
      </c>
      <c r="I16669">
        <f>IF(DATOS!$I16669="","",IFERROR(VLOOKUP(DATOS!$I16669,CONFIG_ASIGNATURAS!$B$2:$J$91,9,FALSE()),""))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IF(DATOS!$A16670="",0,IF(CONFIG_METADATA!$B$4&lt;&gt;"OR+EX",--(DATOS!$G16670=CONFIG_METADATA!$B$4),IF(DATOS!$G16670="EX",1,IF(DATOS!$G16670="OR",--(COUNTIFS(nNIA,DATOS!$A16670,nCURSO,DATOS!$D16670,nESPEC,DATOS!$E16670,nASIG,DATOS!$I16670,nEVAL,"EX")=0),0))))</f>
      </c>
      <c r="H16670">
        <f>IF(DATOS!$G16670&lt;&gt;"EX",0,--(COUNTIFS(nNIA,DATOS!$A16670,nCURSO,DATOS!$D16670,nESPEC,DATOS!$E16670,nASIG,DATOS!$I16670,nEVAL,"OR")=0))</f>
      </c>
      <c r="I16670">
        <f>IF(DATOS!$I16670="","",IFERROR(VLOOKUP(DATOS!$I16670,CONFIG_ASIGNATURAS!$B$2:$J$91,9,FALSE()),""))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IF(DATOS!$A16671="",0,IF(CONFIG_METADATA!$B$4&lt;&gt;"OR+EX",--(DATOS!$G16671=CONFIG_METADATA!$B$4),IF(DATOS!$G16671="EX",1,IF(DATOS!$G16671="OR",--(COUNTIFS(nNIA,DATOS!$A16671,nCURSO,DATOS!$D16671,nESPEC,DATOS!$E16671,nASIG,DATOS!$I16671,nEVAL,"EX")=0),0))))</f>
      </c>
      <c r="H16671">
        <f>IF(DATOS!$G16671&lt;&gt;"EX",0,--(COUNTIFS(nNIA,DATOS!$A16671,nCURSO,DATOS!$D16671,nESPEC,DATOS!$E16671,nASIG,DATOS!$I16671,nEVAL,"OR")=0))</f>
      </c>
      <c r="I16671">
        <f>IF(DATOS!$I16671="","",IFERROR(VLOOKUP(DATOS!$I16671,CONFIG_ASIGNATURAS!$B$2:$J$91,9,FALSE()),""))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IF(DATOS!$A16672="",0,IF(CONFIG_METADATA!$B$4&lt;&gt;"OR+EX",--(DATOS!$G16672=CONFIG_METADATA!$B$4),IF(DATOS!$G16672="EX",1,IF(DATOS!$G16672="OR",--(COUNTIFS(nNIA,DATOS!$A16672,nCURSO,DATOS!$D16672,nESPEC,DATOS!$E16672,nASIG,DATOS!$I16672,nEVAL,"EX")=0),0))))</f>
      </c>
      <c r="H16672">
        <f>IF(DATOS!$G16672&lt;&gt;"EX",0,--(COUNTIFS(nNIA,DATOS!$A16672,nCURSO,DATOS!$D16672,nESPEC,DATOS!$E16672,nASIG,DATOS!$I16672,nEVAL,"OR")=0))</f>
      </c>
      <c r="I16672">
        <f>IF(DATOS!$I16672="","",IFERROR(VLOOKUP(DATOS!$I16672,CONFIG_ASIGNATURAS!$B$2:$J$91,9,FALSE()),""))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IF(DATOS!$A16673="",0,IF(CONFIG_METADATA!$B$4&lt;&gt;"OR+EX",--(DATOS!$G16673=CONFIG_METADATA!$B$4),IF(DATOS!$G16673="EX",1,IF(DATOS!$G16673="OR",--(COUNTIFS(nNIA,DATOS!$A16673,nCURSO,DATOS!$D16673,nESPEC,DATOS!$E16673,nASIG,DATOS!$I16673,nEVAL,"EX")=0),0))))</f>
      </c>
      <c r="H16673">
        <f>IF(DATOS!$G16673&lt;&gt;"EX",0,--(COUNTIFS(nNIA,DATOS!$A16673,nCURSO,DATOS!$D16673,nESPEC,DATOS!$E16673,nASIG,DATOS!$I16673,nEVAL,"OR")=0))</f>
      </c>
      <c r="I16673">
        <f>IF(DATOS!$I16673="","",IFERROR(VLOOKUP(DATOS!$I16673,CONFIG_ASIGNATURAS!$B$2:$J$91,9,FALSE()),""))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IF(DATOS!$A16674="",0,IF(CONFIG_METADATA!$B$4&lt;&gt;"OR+EX",--(DATOS!$G16674=CONFIG_METADATA!$B$4),IF(DATOS!$G16674="EX",1,IF(DATOS!$G16674="OR",--(COUNTIFS(nNIA,DATOS!$A16674,nCURSO,DATOS!$D16674,nESPEC,DATOS!$E16674,nASIG,DATOS!$I16674,nEVAL,"EX")=0),0))))</f>
      </c>
      <c r="H16674">
        <f>IF(DATOS!$G16674&lt;&gt;"EX",0,--(COUNTIFS(nNIA,DATOS!$A16674,nCURSO,DATOS!$D16674,nESPEC,DATOS!$E16674,nASIG,DATOS!$I16674,nEVAL,"OR")=0))</f>
      </c>
      <c r="I16674">
        <f>IF(DATOS!$I16674="","",IFERROR(VLOOKUP(DATOS!$I16674,CONFIG_ASIGNATURAS!$B$2:$J$91,9,FALSE()),""))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IF(DATOS!$A16675="",0,IF(CONFIG_METADATA!$B$4&lt;&gt;"OR+EX",--(DATOS!$G16675=CONFIG_METADATA!$B$4),IF(DATOS!$G16675="EX",1,IF(DATOS!$G16675="OR",--(COUNTIFS(nNIA,DATOS!$A16675,nCURSO,DATOS!$D16675,nESPEC,DATOS!$E16675,nASIG,DATOS!$I16675,nEVAL,"EX")=0),0))))</f>
      </c>
      <c r="H16675">
        <f>IF(DATOS!$G16675&lt;&gt;"EX",0,--(COUNTIFS(nNIA,DATOS!$A16675,nCURSO,DATOS!$D16675,nESPEC,DATOS!$E16675,nASIG,DATOS!$I16675,nEVAL,"OR")=0))</f>
      </c>
      <c r="I16675">
        <f>IF(DATOS!$I16675="","",IFERROR(VLOOKUP(DATOS!$I16675,CONFIG_ASIGNATURAS!$B$2:$J$91,9,FALSE()),""))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IF(DATOS!$A16676="",0,IF(CONFIG_METADATA!$B$4&lt;&gt;"OR+EX",--(DATOS!$G16676=CONFIG_METADATA!$B$4),IF(DATOS!$G16676="EX",1,IF(DATOS!$G16676="OR",--(COUNTIFS(nNIA,DATOS!$A16676,nCURSO,DATOS!$D16676,nESPEC,DATOS!$E16676,nASIG,DATOS!$I16676,nEVAL,"EX")=0),0))))</f>
      </c>
      <c r="H16676">
        <f>IF(DATOS!$G16676&lt;&gt;"EX",0,--(COUNTIFS(nNIA,DATOS!$A16676,nCURSO,DATOS!$D16676,nESPEC,DATOS!$E16676,nASIG,DATOS!$I16676,nEVAL,"OR")=0))</f>
      </c>
      <c r="I16676">
        <f>IF(DATOS!$I16676="","",IFERROR(VLOOKUP(DATOS!$I16676,CONFIG_ASIGNATURAS!$B$2:$J$91,9,FALSE()),""))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IF(DATOS!$A16677="",0,IF(CONFIG_METADATA!$B$4&lt;&gt;"OR+EX",--(DATOS!$G16677=CONFIG_METADATA!$B$4),IF(DATOS!$G16677="EX",1,IF(DATOS!$G16677="OR",--(COUNTIFS(nNIA,DATOS!$A16677,nCURSO,DATOS!$D16677,nESPEC,DATOS!$E16677,nASIG,DATOS!$I16677,nEVAL,"EX")=0),0))))</f>
      </c>
      <c r="H16677">
        <f>IF(DATOS!$G16677&lt;&gt;"EX",0,--(COUNTIFS(nNIA,DATOS!$A16677,nCURSO,DATOS!$D16677,nESPEC,DATOS!$E16677,nASIG,DATOS!$I16677,nEVAL,"OR")=0))</f>
      </c>
      <c r="I16677">
        <f>IF(DATOS!$I16677="","",IFERROR(VLOOKUP(DATOS!$I16677,CONFIG_ASIGNATURAS!$B$2:$J$91,9,FALSE()),""))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IF(DATOS!$A16678="",0,IF(CONFIG_METADATA!$B$4&lt;&gt;"OR+EX",--(DATOS!$G16678=CONFIG_METADATA!$B$4),IF(DATOS!$G16678="EX",1,IF(DATOS!$G16678="OR",--(COUNTIFS(nNIA,DATOS!$A16678,nCURSO,DATOS!$D16678,nESPEC,DATOS!$E16678,nASIG,DATOS!$I16678,nEVAL,"EX")=0),0))))</f>
      </c>
      <c r="H16678">
        <f>IF(DATOS!$G16678&lt;&gt;"EX",0,--(COUNTIFS(nNIA,DATOS!$A16678,nCURSO,DATOS!$D16678,nESPEC,DATOS!$E16678,nASIG,DATOS!$I16678,nEVAL,"OR")=0))</f>
      </c>
      <c r="I16678">
        <f>IF(DATOS!$I16678="","",IFERROR(VLOOKUP(DATOS!$I16678,CONFIG_ASIGNATURAS!$B$2:$J$91,9,FALSE()),""))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IF(DATOS!$A16679="",0,IF(CONFIG_METADATA!$B$4&lt;&gt;"OR+EX",--(DATOS!$G16679=CONFIG_METADATA!$B$4),IF(DATOS!$G16679="EX",1,IF(DATOS!$G16679="OR",--(COUNTIFS(nNIA,DATOS!$A16679,nCURSO,DATOS!$D16679,nESPEC,DATOS!$E16679,nASIG,DATOS!$I16679,nEVAL,"EX")=0),0))))</f>
      </c>
      <c r="H16679">
        <f>IF(DATOS!$G16679&lt;&gt;"EX",0,--(COUNTIFS(nNIA,DATOS!$A16679,nCURSO,DATOS!$D16679,nESPEC,DATOS!$E16679,nASIG,DATOS!$I16679,nEVAL,"OR")=0))</f>
      </c>
      <c r="I16679">
        <f>IF(DATOS!$I16679="","",IFERROR(VLOOKUP(DATOS!$I16679,CONFIG_ASIGNATURAS!$B$2:$J$91,9,FALSE()),""))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IF(DATOS!$A16680="",0,IF(CONFIG_METADATA!$B$4&lt;&gt;"OR+EX",--(DATOS!$G16680=CONFIG_METADATA!$B$4),IF(DATOS!$G16680="EX",1,IF(DATOS!$G16680="OR",--(COUNTIFS(nNIA,DATOS!$A16680,nCURSO,DATOS!$D16680,nESPEC,DATOS!$E16680,nASIG,DATOS!$I16680,nEVAL,"EX")=0),0))))</f>
      </c>
      <c r="H16680">
        <f>IF(DATOS!$G16680&lt;&gt;"EX",0,--(COUNTIFS(nNIA,DATOS!$A16680,nCURSO,DATOS!$D16680,nESPEC,DATOS!$E16680,nASIG,DATOS!$I16680,nEVAL,"OR")=0))</f>
      </c>
      <c r="I16680">
        <f>IF(DATOS!$I16680="","",IFERROR(VLOOKUP(DATOS!$I16680,CONFIG_ASIGNATURAS!$B$2:$J$91,9,FALSE()),""))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IF(DATOS!$A16681="",0,IF(CONFIG_METADATA!$B$4&lt;&gt;"OR+EX",--(DATOS!$G16681=CONFIG_METADATA!$B$4),IF(DATOS!$G16681="EX",1,IF(DATOS!$G16681="OR",--(COUNTIFS(nNIA,DATOS!$A16681,nCURSO,DATOS!$D16681,nESPEC,DATOS!$E16681,nASIG,DATOS!$I16681,nEVAL,"EX")=0),0))))</f>
      </c>
      <c r="H16681">
        <f>IF(DATOS!$G16681&lt;&gt;"EX",0,--(COUNTIFS(nNIA,DATOS!$A16681,nCURSO,DATOS!$D16681,nESPEC,DATOS!$E16681,nASIG,DATOS!$I16681,nEVAL,"OR")=0))</f>
      </c>
      <c r="I16681">
        <f>IF(DATOS!$I16681="","",IFERROR(VLOOKUP(DATOS!$I16681,CONFIG_ASIGNATURAS!$B$2:$J$91,9,FALSE()),""))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IF(DATOS!$A16682="",0,IF(CONFIG_METADATA!$B$4&lt;&gt;"OR+EX",--(DATOS!$G16682=CONFIG_METADATA!$B$4),IF(DATOS!$G16682="EX",1,IF(DATOS!$G16682="OR",--(COUNTIFS(nNIA,DATOS!$A16682,nCURSO,DATOS!$D16682,nESPEC,DATOS!$E16682,nASIG,DATOS!$I16682,nEVAL,"EX")=0),0))))</f>
      </c>
      <c r="H16682">
        <f>IF(DATOS!$G16682&lt;&gt;"EX",0,--(COUNTIFS(nNIA,DATOS!$A16682,nCURSO,DATOS!$D16682,nESPEC,DATOS!$E16682,nASIG,DATOS!$I16682,nEVAL,"OR")=0))</f>
      </c>
      <c r="I16682">
        <f>IF(DATOS!$I16682="","",IFERROR(VLOOKUP(DATOS!$I16682,CONFIG_ASIGNATURAS!$B$2:$J$91,9,FALSE()),""))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IF(DATOS!$A16683="",0,IF(CONFIG_METADATA!$B$4&lt;&gt;"OR+EX",--(DATOS!$G16683=CONFIG_METADATA!$B$4),IF(DATOS!$G16683="EX",1,IF(DATOS!$G16683="OR",--(COUNTIFS(nNIA,DATOS!$A16683,nCURSO,DATOS!$D16683,nESPEC,DATOS!$E16683,nASIG,DATOS!$I16683,nEVAL,"EX")=0),0))))</f>
      </c>
      <c r="H16683">
        <f>IF(DATOS!$G16683&lt;&gt;"EX",0,--(COUNTIFS(nNIA,DATOS!$A16683,nCURSO,DATOS!$D16683,nESPEC,DATOS!$E16683,nASIG,DATOS!$I16683,nEVAL,"OR")=0))</f>
      </c>
      <c r="I16683">
        <f>IF(DATOS!$I16683="","",IFERROR(VLOOKUP(DATOS!$I16683,CONFIG_ASIGNATURAS!$B$2:$J$91,9,FALSE()),""))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IF(DATOS!$A16684="",0,IF(CONFIG_METADATA!$B$4&lt;&gt;"OR+EX",--(DATOS!$G16684=CONFIG_METADATA!$B$4),IF(DATOS!$G16684="EX",1,IF(DATOS!$G16684="OR",--(COUNTIFS(nNIA,DATOS!$A16684,nCURSO,DATOS!$D16684,nESPEC,DATOS!$E16684,nASIG,DATOS!$I16684,nEVAL,"EX")=0),0))))</f>
      </c>
      <c r="H16684">
        <f>IF(DATOS!$G16684&lt;&gt;"EX",0,--(COUNTIFS(nNIA,DATOS!$A16684,nCURSO,DATOS!$D16684,nESPEC,DATOS!$E16684,nASIG,DATOS!$I16684,nEVAL,"OR")=0))</f>
      </c>
      <c r="I16684">
        <f>IF(DATOS!$I16684="","",IFERROR(VLOOKUP(DATOS!$I16684,CONFIG_ASIGNATURAS!$B$2:$J$91,9,FALSE()),""))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IF(DATOS!$A16685="",0,IF(CONFIG_METADATA!$B$4&lt;&gt;"OR+EX",--(DATOS!$G16685=CONFIG_METADATA!$B$4),IF(DATOS!$G16685="EX",1,IF(DATOS!$G16685="OR",--(COUNTIFS(nNIA,DATOS!$A16685,nCURSO,DATOS!$D16685,nESPEC,DATOS!$E16685,nASIG,DATOS!$I16685,nEVAL,"EX")=0),0))))</f>
      </c>
      <c r="H16685">
        <f>IF(DATOS!$G16685&lt;&gt;"EX",0,--(COUNTIFS(nNIA,DATOS!$A16685,nCURSO,DATOS!$D16685,nESPEC,DATOS!$E16685,nASIG,DATOS!$I16685,nEVAL,"OR")=0))</f>
      </c>
      <c r="I16685">
        <f>IF(DATOS!$I16685="","",IFERROR(VLOOKUP(DATOS!$I16685,CONFIG_ASIGNATURAS!$B$2:$J$91,9,FALSE()),""))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IF(DATOS!$A16686="",0,IF(CONFIG_METADATA!$B$4&lt;&gt;"OR+EX",--(DATOS!$G16686=CONFIG_METADATA!$B$4),IF(DATOS!$G16686="EX",1,IF(DATOS!$G16686="OR",--(COUNTIFS(nNIA,DATOS!$A16686,nCURSO,DATOS!$D16686,nESPEC,DATOS!$E16686,nASIG,DATOS!$I16686,nEVAL,"EX")=0),0))))</f>
      </c>
      <c r="H16686">
        <f>IF(DATOS!$G16686&lt;&gt;"EX",0,--(COUNTIFS(nNIA,DATOS!$A16686,nCURSO,DATOS!$D16686,nESPEC,DATOS!$E16686,nASIG,DATOS!$I16686,nEVAL,"OR")=0))</f>
      </c>
      <c r="I16686">
        <f>IF(DATOS!$I16686="","",IFERROR(VLOOKUP(DATOS!$I16686,CONFIG_ASIGNATURAS!$B$2:$J$91,9,FALSE()),""))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IF(DATOS!$A16687="",0,IF(CONFIG_METADATA!$B$4&lt;&gt;"OR+EX",--(DATOS!$G16687=CONFIG_METADATA!$B$4),IF(DATOS!$G16687="EX",1,IF(DATOS!$G16687="OR",--(COUNTIFS(nNIA,DATOS!$A16687,nCURSO,DATOS!$D16687,nESPEC,DATOS!$E16687,nASIG,DATOS!$I16687,nEVAL,"EX")=0),0))))</f>
      </c>
      <c r="H16687">
        <f>IF(DATOS!$G16687&lt;&gt;"EX",0,--(COUNTIFS(nNIA,DATOS!$A16687,nCURSO,DATOS!$D16687,nESPEC,DATOS!$E16687,nASIG,DATOS!$I16687,nEVAL,"OR")=0))</f>
      </c>
      <c r="I16687">
        <f>IF(DATOS!$I16687="","",IFERROR(VLOOKUP(DATOS!$I16687,CONFIG_ASIGNATURAS!$B$2:$J$91,9,FALSE()),""))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IF(DATOS!$A16688="",0,IF(CONFIG_METADATA!$B$4&lt;&gt;"OR+EX",--(DATOS!$G16688=CONFIG_METADATA!$B$4),IF(DATOS!$G16688="EX",1,IF(DATOS!$G16688="OR",--(COUNTIFS(nNIA,DATOS!$A16688,nCURSO,DATOS!$D16688,nESPEC,DATOS!$E16688,nASIG,DATOS!$I16688,nEVAL,"EX")=0),0))))</f>
      </c>
      <c r="H16688">
        <f>IF(DATOS!$G16688&lt;&gt;"EX",0,--(COUNTIFS(nNIA,DATOS!$A16688,nCURSO,DATOS!$D16688,nESPEC,DATOS!$E16688,nASIG,DATOS!$I16688,nEVAL,"OR")=0))</f>
      </c>
      <c r="I16688">
        <f>IF(DATOS!$I16688="","",IFERROR(VLOOKUP(DATOS!$I16688,CONFIG_ASIGNATURAS!$B$2:$J$91,9,FALSE()),""))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IF(DATOS!$A16689="",0,IF(CONFIG_METADATA!$B$4&lt;&gt;"OR+EX",--(DATOS!$G16689=CONFIG_METADATA!$B$4),IF(DATOS!$G16689="EX",1,IF(DATOS!$G16689="OR",--(COUNTIFS(nNIA,DATOS!$A16689,nCURSO,DATOS!$D16689,nESPEC,DATOS!$E16689,nASIG,DATOS!$I16689,nEVAL,"EX")=0),0))))</f>
      </c>
      <c r="H16689">
        <f>IF(DATOS!$G16689&lt;&gt;"EX",0,--(COUNTIFS(nNIA,DATOS!$A16689,nCURSO,DATOS!$D16689,nESPEC,DATOS!$E16689,nASIG,DATOS!$I16689,nEVAL,"OR")=0))</f>
      </c>
      <c r="I16689">
        <f>IF(DATOS!$I16689="","",IFERROR(VLOOKUP(DATOS!$I16689,CONFIG_ASIGNATURAS!$B$2:$J$91,9,FALSE()),""))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IF(DATOS!$A16690="",0,IF(CONFIG_METADATA!$B$4&lt;&gt;"OR+EX",--(DATOS!$G16690=CONFIG_METADATA!$B$4),IF(DATOS!$G16690="EX",1,IF(DATOS!$G16690="OR",--(COUNTIFS(nNIA,DATOS!$A16690,nCURSO,DATOS!$D16690,nESPEC,DATOS!$E16690,nASIG,DATOS!$I16690,nEVAL,"EX")=0),0))))</f>
      </c>
      <c r="H16690">
        <f>IF(DATOS!$G16690&lt;&gt;"EX",0,--(COUNTIFS(nNIA,DATOS!$A16690,nCURSO,DATOS!$D16690,nESPEC,DATOS!$E16690,nASIG,DATOS!$I16690,nEVAL,"OR")=0))</f>
      </c>
      <c r="I16690">
        <f>IF(DATOS!$I16690="","",IFERROR(VLOOKUP(DATOS!$I16690,CONFIG_ASIGNATURAS!$B$2:$J$91,9,FALSE()),""))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IF(DATOS!$A16691="",0,IF(CONFIG_METADATA!$B$4&lt;&gt;"OR+EX",--(DATOS!$G16691=CONFIG_METADATA!$B$4),IF(DATOS!$G16691="EX",1,IF(DATOS!$G16691="OR",--(COUNTIFS(nNIA,DATOS!$A16691,nCURSO,DATOS!$D16691,nESPEC,DATOS!$E16691,nASIG,DATOS!$I16691,nEVAL,"EX")=0),0))))</f>
      </c>
      <c r="H16691">
        <f>IF(DATOS!$G16691&lt;&gt;"EX",0,--(COUNTIFS(nNIA,DATOS!$A16691,nCURSO,DATOS!$D16691,nESPEC,DATOS!$E16691,nASIG,DATOS!$I16691,nEVAL,"OR")=0))</f>
      </c>
      <c r="I16691">
        <f>IF(DATOS!$I16691="","",IFERROR(VLOOKUP(DATOS!$I16691,CONFIG_ASIGNATURAS!$B$2:$J$91,9,FALSE()),""))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IF(DATOS!$A16692="",0,IF(CONFIG_METADATA!$B$4&lt;&gt;"OR+EX",--(DATOS!$G16692=CONFIG_METADATA!$B$4),IF(DATOS!$G16692="EX",1,IF(DATOS!$G16692="OR",--(COUNTIFS(nNIA,DATOS!$A16692,nCURSO,DATOS!$D16692,nESPEC,DATOS!$E16692,nASIG,DATOS!$I16692,nEVAL,"EX")=0),0))))</f>
      </c>
      <c r="H16692">
        <f>IF(DATOS!$G16692&lt;&gt;"EX",0,--(COUNTIFS(nNIA,DATOS!$A16692,nCURSO,DATOS!$D16692,nESPEC,DATOS!$E16692,nASIG,DATOS!$I16692,nEVAL,"OR")=0))</f>
      </c>
      <c r="I16692">
        <f>IF(DATOS!$I16692="","",IFERROR(VLOOKUP(DATOS!$I16692,CONFIG_ASIGNATURAS!$B$2:$J$91,9,FALSE()),""))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IF(DATOS!$A16693="",0,IF(CONFIG_METADATA!$B$4&lt;&gt;"OR+EX",--(DATOS!$G16693=CONFIG_METADATA!$B$4),IF(DATOS!$G16693="EX",1,IF(DATOS!$G16693="OR",--(COUNTIFS(nNIA,DATOS!$A16693,nCURSO,DATOS!$D16693,nESPEC,DATOS!$E16693,nASIG,DATOS!$I16693,nEVAL,"EX")=0),0))))</f>
      </c>
      <c r="H16693">
        <f>IF(DATOS!$G16693&lt;&gt;"EX",0,--(COUNTIFS(nNIA,DATOS!$A16693,nCURSO,DATOS!$D16693,nESPEC,DATOS!$E16693,nASIG,DATOS!$I16693,nEVAL,"OR")=0))</f>
      </c>
      <c r="I16693">
        <f>IF(DATOS!$I16693="","",IFERROR(VLOOKUP(DATOS!$I16693,CONFIG_ASIGNATURAS!$B$2:$J$91,9,FALSE()),""))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IF(DATOS!$A16694="",0,IF(CONFIG_METADATA!$B$4&lt;&gt;"OR+EX",--(DATOS!$G16694=CONFIG_METADATA!$B$4),IF(DATOS!$G16694="EX",1,IF(DATOS!$G16694="OR",--(COUNTIFS(nNIA,DATOS!$A16694,nCURSO,DATOS!$D16694,nESPEC,DATOS!$E16694,nASIG,DATOS!$I16694,nEVAL,"EX")=0),0))))</f>
      </c>
      <c r="H16694">
        <f>IF(DATOS!$G16694&lt;&gt;"EX",0,--(COUNTIFS(nNIA,DATOS!$A16694,nCURSO,DATOS!$D16694,nESPEC,DATOS!$E16694,nASIG,DATOS!$I16694,nEVAL,"OR")=0))</f>
      </c>
      <c r="I16694">
        <f>IF(DATOS!$I16694="","",IFERROR(VLOOKUP(DATOS!$I16694,CONFIG_ASIGNATURAS!$B$2:$J$91,9,FALSE()),""))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IF(DATOS!$A16695="",0,IF(CONFIG_METADATA!$B$4&lt;&gt;"OR+EX",--(DATOS!$G16695=CONFIG_METADATA!$B$4),IF(DATOS!$G16695="EX",1,IF(DATOS!$G16695="OR",--(COUNTIFS(nNIA,DATOS!$A16695,nCURSO,DATOS!$D16695,nESPEC,DATOS!$E16695,nASIG,DATOS!$I16695,nEVAL,"EX")=0),0))))</f>
      </c>
      <c r="H16695">
        <f>IF(DATOS!$G16695&lt;&gt;"EX",0,--(COUNTIFS(nNIA,DATOS!$A16695,nCURSO,DATOS!$D16695,nESPEC,DATOS!$E16695,nASIG,DATOS!$I16695,nEVAL,"OR")=0))</f>
      </c>
      <c r="I16695">
        <f>IF(DATOS!$I16695="","",IFERROR(VLOOKUP(DATOS!$I16695,CONFIG_ASIGNATURAS!$B$2:$J$91,9,FALSE()),""))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IF(DATOS!$A16696="",0,IF(CONFIG_METADATA!$B$4&lt;&gt;"OR+EX",--(DATOS!$G16696=CONFIG_METADATA!$B$4),IF(DATOS!$G16696="EX",1,IF(DATOS!$G16696="OR",--(COUNTIFS(nNIA,DATOS!$A16696,nCURSO,DATOS!$D16696,nESPEC,DATOS!$E16696,nASIG,DATOS!$I16696,nEVAL,"EX")=0),0))))</f>
      </c>
      <c r="H16696">
        <f>IF(DATOS!$G16696&lt;&gt;"EX",0,--(COUNTIFS(nNIA,DATOS!$A16696,nCURSO,DATOS!$D16696,nESPEC,DATOS!$E16696,nASIG,DATOS!$I16696,nEVAL,"OR")=0))</f>
      </c>
      <c r="I16696">
        <f>IF(DATOS!$I16696="","",IFERROR(VLOOKUP(DATOS!$I16696,CONFIG_ASIGNATURAS!$B$2:$J$91,9,FALSE()),""))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IF(DATOS!$A16697="",0,IF(CONFIG_METADATA!$B$4&lt;&gt;"OR+EX",--(DATOS!$G16697=CONFIG_METADATA!$B$4),IF(DATOS!$G16697="EX",1,IF(DATOS!$G16697="OR",--(COUNTIFS(nNIA,DATOS!$A16697,nCURSO,DATOS!$D16697,nESPEC,DATOS!$E16697,nASIG,DATOS!$I16697,nEVAL,"EX")=0),0))))</f>
      </c>
      <c r="H16697">
        <f>IF(DATOS!$G16697&lt;&gt;"EX",0,--(COUNTIFS(nNIA,DATOS!$A16697,nCURSO,DATOS!$D16697,nESPEC,DATOS!$E16697,nASIG,DATOS!$I16697,nEVAL,"OR")=0))</f>
      </c>
      <c r="I16697">
        <f>IF(DATOS!$I16697="","",IFERROR(VLOOKUP(DATOS!$I16697,CONFIG_ASIGNATURAS!$B$2:$J$91,9,FALSE()),""))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IF(DATOS!$A16698="",0,IF(CONFIG_METADATA!$B$4&lt;&gt;"OR+EX",--(DATOS!$G16698=CONFIG_METADATA!$B$4),IF(DATOS!$G16698="EX",1,IF(DATOS!$G16698="OR",--(COUNTIFS(nNIA,DATOS!$A16698,nCURSO,DATOS!$D16698,nESPEC,DATOS!$E16698,nASIG,DATOS!$I16698,nEVAL,"EX")=0),0))))</f>
      </c>
      <c r="H16698">
        <f>IF(DATOS!$G16698&lt;&gt;"EX",0,--(COUNTIFS(nNIA,DATOS!$A16698,nCURSO,DATOS!$D16698,nESPEC,DATOS!$E16698,nASIG,DATOS!$I16698,nEVAL,"OR")=0))</f>
      </c>
      <c r="I16698">
        <f>IF(DATOS!$I16698="","",IFERROR(VLOOKUP(DATOS!$I16698,CONFIG_ASIGNATURAS!$B$2:$J$91,9,FALSE()),""))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IF(DATOS!$A16699="",0,IF(CONFIG_METADATA!$B$4&lt;&gt;"OR+EX",--(DATOS!$G16699=CONFIG_METADATA!$B$4),IF(DATOS!$G16699="EX",1,IF(DATOS!$G16699="OR",--(COUNTIFS(nNIA,DATOS!$A16699,nCURSO,DATOS!$D16699,nESPEC,DATOS!$E16699,nASIG,DATOS!$I16699,nEVAL,"EX")=0),0))))</f>
      </c>
      <c r="H16699">
        <f>IF(DATOS!$G16699&lt;&gt;"EX",0,--(COUNTIFS(nNIA,DATOS!$A16699,nCURSO,DATOS!$D16699,nESPEC,DATOS!$E16699,nASIG,DATOS!$I16699,nEVAL,"OR")=0))</f>
      </c>
      <c r="I16699">
        <f>IF(DATOS!$I16699="","",IFERROR(VLOOKUP(DATOS!$I16699,CONFIG_ASIGNATURAS!$B$2:$J$91,9,FALSE()),""))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IF(DATOS!$A16700="",0,IF(CONFIG_METADATA!$B$4&lt;&gt;"OR+EX",--(DATOS!$G16700=CONFIG_METADATA!$B$4),IF(DATOS!$G16700="EX",1,IF(DATOS!$G16700="OR",--(COUNTIFS(nNIA,DATOS!$A16700,nCURSO,DATOS!$D16700,nESPEC,DATOS!$E16700,nASIG,DATOS!$I16700,nEVAL,"EX")=0),0))))</f>
      </c>
      <c r="H16700">
        <f>IF(DATOS!$G16700&lt;&gt;"EX",0,--(COUNTIFS(nNIA,DATOS!$A16700,nCURSO,DATOS!$D16700,nESPEC,DATOS!$E16700,nASIG,DATOS!$I16700,nEVAL,"OR")=0))</f>
      </c>
      <c r="I16700">
        <f>IF(DATOS!$I16700="","",IFERROR(VLOOKUP(DATOS!$I16700,CONFIG_ASIGNATURAS!$B$2:$J$91,9,FALSE()),""))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IF(DATOS!$A16701="",0,IF(CONFIG_METADATA!$B$4&lt;&gt;"OR+EX",--(DATOS!$G16701=CONFIG_METADATA!$B$4),IF(DATOS!$G16701="EX",1,IF(DATOS!$G16701="OR",--(COUNTIFS(nNIA,DATOS!$A16701,nCURSO,DATOS!$D16701,nESPEC,DATOS!$E16701,nASIG,DATOS!$I16701,nEVAL,"EX")=0),0))))</f>
      </c>
      <c r="H16701">
        <f>IF(DATOS!$G16701&lt;&gt;"EX",0,--(COUNTIFS(nNIA,DATOS!$A16701,nCURSO,DATOS!$D16701,nESPEC,DATOS!$E16701,nASIG,DATOS!$I16701,nEVAL,"OR")=0))</f>
      </c>
      <c r="I16701">
        <f>IF(DATOS!$I16701="","",IFERROR(VLOOKUP(DATOS!$I16701,CONFIG_ASIGNATURAS!$B$2:$J$91,9,FALSE()),""))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IF(DATOS!$A16702="",0,IF(CONFIG_METADATA!$B$4&lt;&gt;"OR+EX",--(DATOS!$G16702=CONFIG_METADATA!$B$4),IF(DATOS!$G16702="EX",1,IF(DATOS!$G16702="OR",--(COUNTIFS(nNIA,DATOS!$A16702,nCURSO,DATOS!$D16702,nESPEC,DATOS!$E16702,nASIG,DATOS!$I16702,nEVAL,"EX")=0),0))))</f>
      </c>
      <c r="H16702">
        <f>IF(DATOS!$G16702&lt;&gt;"EX",0,--(COUNTIFS(nNIA,DATOS!$A16702,nCURSO,DATOS!$D16702,nESPEC,DATOS!$E16702,nASIG,DATOS!$I16702,nEVAL,"OR")=0))</f>
      </c>
      <c r="I16702">
        <f>IF(DATOS!$I16702="","",IFERROR(VLOOKUP(DATOS!$I16702,CONFIG_ASIGNATURAS!$B$2:$J$91,9,FALSE()),""))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IF(DATOS!$A16703="",0,IF(CONFIG_METADATA!$B$4&lt;&gt;"OR+EX",--(DATOS!$G16703=CONFIG_METADATA!$B$4),IF(DATOS!$G16703="EX",1,IF(DATOS!$G16703="OR",--(COUNTIFS(nNIA,DATOS!$A16703,nCURSO,DATOS!$D16703,nESPEC,DATOS!$E16703,nASIG,DATOS!$I16703,nEVAL,"EX")=0),0))))</f>
      </c>
      <c r="H16703">
        <f>IF(DATOS!$G16703&lt;&gt;"EX",0,--(COUNTIFS(nNIA,DATOS!$A16703,nCURSO,DATOS!$D16703,nESPEC,DATOS!$E16703,nASIG,DATOS!$I16703,nEVAL,"OR")=0))</f>
      </c>
      <c r="I16703">
        <f>IF(DATOS!$I16703="","",IFERROR(VLOOKUP(DATOS!$I16703,CONFIG_ASIGNATURAS!$B$2:$J$91,9,FALSE()),""))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IF(DATOS!$A16704="",0,IF(CONFIG_METADATA!$B$4&lt;&gt;"OR+EX",--(DATOS!$G16704=CONFIG_METADATA!$B$4),IF(DATOS!$G16704="EX",1,IF(DATOS!$G16704="OR",--(COUNTIFS(nNIA,DATOS!$A16704,nCURSO,DATOS!$D16704,nESPEC,DATOS!$E16704,nASIG,DATOS!$I16704,nEVAL,"EX")=0),0))))</f>
      </c>
      <c r="H16704">
        <f>IF(DATOS!$G16704&lt;&gt;"EX",0,--(COUNTIFS(nNIA,DATOS!$A16704,nCURSO,DATOS!$D16704,nESPEC,DATOS!$E16704,nASIG,DATOS!$I16704,nEVAL,"OR")=0))</f>
      </c>
      <c r="I16704">
        <f>IF(DATOS!$I16704="","",IFERROR(VLOOKUP(DATOS!$I16704,CONFIG_ASIGNATURAS!$B$2:$J$91,9,FALSE()),""))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IF(DATOS!$A16705="",0,IF(CONFIG_METADATA!$B$4&lt;&gt;"OR+EX",--(DATOS!$G16705=CONFIG_METADATA!$B$4),IF(DATOS!$G16705="EX",1,IF(DATOS!$G16705="OR",--(COUNTIFS(nNIA,DATOS!$A16705,nCURSO,DATOS!$D16705,nESPEC,DATOS!$E16705,nASIG,DATOS!$I16705,nEVAL,"EX")=0),0))))</f>
      </c>
      <c r="H16705">
        <f>IF(DATOS!$G16705&lt;&gt;"EX",0,--(COUNTIFS(nNIA,DATOS!$A16705,nCURSO,DATOS!$D16705,nESPEC,DATOS!$E16705,nASIG,DATOS!$I16705,nEVAL,"OR")=0))</f>
      </c>
      <c r="I16705">
        <f>IF(DATOS!$I16705="","",IFERROR(VLOOKUP(DATOS!$I16705,CONFIG_ASIGNATURAS!$B$2:$J$91,9,FALSE()),""))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IF(DATOS!$A16706="",0,IF(CONFIG_METADATA!$B$4&lt;&gt;"OR+EX",--(DATOS!$G16706=CONFIG_METADATA!$B$4),IF(DATOS!$G16706="EX",1,IF(DATOS!$G16706="OR",--(COUNTIFS(nNIA,DATOS!$A16706,nCURSO,DATOS!$D16706,nESPEC,DATOS!$E16706,nASIG,DATOS!$I16706,nEVAL,"EX")=0),0))))</f>
      </c>
      <c r="H16706">
        <f>IF(DATOS!$G16706&lt;&gt;"EX",0,--(COUNTIFS(nNIA,DATOS!$A16706,nCURSO,DATOS!$D16706,nESPEC,DATOS!$E16706,nASIG,DATOS!$I16706,nEVAL,"OR")=0))</f>
      </c>
      <c r="I16706">
        <f>IF(DATOS!$I16706="","",IFERROR(VLOOKUP(DATOS!$I16706,CONFIG_ASIGNATURAS!$B$2:$J$91,9,FALSE()),""))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IF(DATOS!$A16707="",0,IF(CONFIG_METADATA!$B$4&lt;&gt;"OR+EX",--(DATOS!$G16707=CONFIG_METADATA!$B$4),IF(DATOS!$G16707="EX",1,IF(DATOS!$G16707="OR",--(COUNTIFS(nNIA,DATOS!$A16707,nCURSO,DATOS!$D16707,nESPEC,DATOS!$E16707,nASIG,DATOS!$I16707,nEVAL,"EX")=0),0))))</f>
      </c>
      <c r="H16707">
        <f>IF(DATOS!$G16707&lt;&gt;"EX",0,--(COUNTIFS(nNIA,DATOS!$A16707,nCURSO,DATOS!$D16707,nESPEC,DATOS!$E16707,nASIG,DATOS!$I16707,nEVAL,"OR")=0))</f>
      </c>
      <c r="I16707">
        <f>IF(DATOS!$I16707="","",IFERROR(VLOOKUP(DATOS!$I16707,CONFIG_ASIGNATURAS!$B$2:$J$91,9,FALSE()),""))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IF(DATOS!$A16708="",0,IF(CONFIG_METADATA!$B$4&lt;&gt;"OR+EX",--(DATOS!$G16708=CONFIG_METADATA!$B$4),IF(DATOS!$G16708="EX",1,IF(DATOS!$G16708="OR",--(COUNTIFS(nNIA,DATOS!$A16708,nCURSO,DATOS!$D16708,nESPEC,DATOS!$E16708,nASIG,DATOS!$I16708,nEVAL,"EX")=0),0))))</f>
      </c>
      <c r="H16708">
        <f>IF(DATOS!$G16708&lt;&gt;"EX",0,--(COUNTIFS(nNIA,DATOS!$A16708,nCURSO,DATOS!$D16708,nESPEC,DATOS!$E16708,nASIG,DATOS!$I16708,nEVAL,"OR")=0))</f>
      </c>
      <c r="I16708">
        <f>IF(DATOS!$I16708="","",IFERROR(VLOOKUP(DATOS!$I16708,CONFIG_ASIGNATURAS!$B$2:$J$91,9,FALSE()),""))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IF(DATOS!$A16709="",0,IF(CONFIG_METADATA!$B$4&lt;&gt;"OR+EX",--(DATOS!$G16709=CONFIG_METADATA!$B$4),IF(DATOS!$G16709="EX",1,IF(DATOS!$G16709="OR",--(COUNTIFS(nNIA,DATOS!$A16709,nCURSO,DATOS!$D16709,nESPEC,DATOS!$E16709,nASIG,DATOS!$I16709,nEVAL,"EX")=0),0))))</f>
      </c>
      <c r="H16709">
        <f>IF(DATOS!$G16709&lt;&gt;"EX",0,--(COUNTIFS(nNIA,DATOS!$A16709,nCURSO,DATOS!$D16709,nESPEC,DATOS!$E16709,nASIG,DATOS!$I16709,nEVAL,"OR")=0))</f>
      </c>
      <c r="I16709">
        <f>IF(DATOS!$I16709="","",IFERROR(VLOOKUP(DATOS!$I16709,CONFIG_ASIGNATURAS!$B$2:$J$91,9,FALSE()),""))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IF(DATOS!$A16710="",0,IF(CONFIG_METADATA!$B$4&lt;&gt;"OR+EX",--(DATOS!$G16710=CONFIG_METADATA!$B$4),IF(DATOS!$G16710="EX",1,IF(DATOS!$G16710="OR",--(COUNTIFS(nNIA,DATOS!$A16710,nCURSO,DATOS!$D16710,nESPEC,DATOS!$E16710,nASIG,DATOS!$I16710,nEVAL,"EX")=0),0))))</f>
      </c>
      <c r="H16710">
        <f>IF(DATOS!$G16710&lt;&gt;"EX",0,--(COUNTIFS(nNIA,DATOS!$A16710,nCURSO,DATOS!$D16710,nESPEC,DATOS!$E16710,nASIG,DATOS!$I16710,nEVAL,"OR")=0))</f>
      </c>
      <c r="I16710">
        <f>IF(DATOS!$I16710="","",IFERROR(VLOOKUP(DATOS!$I16710,CONFIG_ASIGNATURAS!$B$2:$J$91,9,FALSE()),""))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IF(DATOS!$A16711="",0,IF(CONFIG_METADATA!$B$4&lt;&gt;"OR+EX",--(DATOS!$G16711=CONFIG_METADATA!$B$4),IF(DATOS!$G16711="EX",1,IF(DATOS!$G16711="OR",--(COUNTIFS(nNIA,DATOS!$A16711,nCURSO,DATOS!$D16711,nESPEC,DATOS!$E16711,nASIG,DATOS!$I16711,nEVAL,"EX")=0),0))))</f>
      </c>
      <c r="H16711">
        <f>IF(DATOS!$G16711&lt;&gt;"EX",0,--(COUNTIFS(nNIA,DATOS!$A16711,nCURSO,DATOS!$D16711,nESPEC,DATOS!$E16711,nASIG,DATOS!$I16711,nEVAL,"OR")=0))</f>
      </c>
      <c r="I16711">
        <f>IF(DATOS!$I16711="","",IFERROR(VLOOKUP(DATOS!$I16711,CONFIG_ASIGNATURAS!$B$2:$J$91,9,FALSE()),""))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IF(DATOS!$A16712="",0,IF(CONFIG_METADATA!$B$4&lt;&gt;"OR+EX",--(DATOS!$G16712=CONFIG_METADATA!$B$4),IF(DATOS!$G16712="EX",1,IF(DATOS!$G16712="OR",--(COUNTIFS(nNIA,DATOS!$A16712,nCURSO,DATOS!$D16712,nESPEC,DATOS!$E16712,nASIG,DATOS!$I16712,nEVAL,"EX")=0),0))))</f>
      </c>
      <c r="H16712">
        <f>IF(DATOS!$G16712&lt;&gt;"EX",0,--(COUNTIFS(nNIA,DATOS!$A16712,nCURSO,DATOS!$D16712,nESPEC,DATOS!$E16712,nASIG,DATOS!$I16712,nEVAL,"OR")=0))</f>
      </c>
      <c r="I16712">
        <f>IF(DATOS!$I16712="","",IFERROR(VLOOKUP(DATOS!$I16712,CONFIG_ASIGNATURAS!$B$2:$J$91,9,FALSE()),""))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IF(DATOS!$A16713="",0,IF(CONFIG_METADATA!$B$4&lt;&gt;"OR+EX",--(DATOS!$G16713=CONFIG_METADATA!$B$4),IF(DATOS!$G16713="EX",1,IF(DATOS!$G16713="OR",--(COUNTIFS(nNIA,DATOS!$A16713,nCURSO,DATOS!$D16713,nESPEC,DATOS!$E16713,nASIG,DATOS!$I16713,nEVAL,"EX")=0),0))))</f>
      </c>
      <c r="H16713">
        <f>IF(DATOS!$G16713&lt;&gt;"EX",0,--(COUNTIFS(nNIA,DATOS!$A16713,nCURSO,DATOS!$D16713,nESPEC,DATOS!$E16713,nASIG,DATOS!$I16713,nEVAL,"OR")=0))</f>
      </c>
      <c r="I16713">
        <f>IF(DATOS!$I16713="","",IFERROR(VLOOKUP(DATOS!$I16713,CONFIG_ASIGNATURAS!$B$2:$J$91,9,FALSE()),""))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IF(DATOS!$A16714="",0,IF(CONFIG_METADATA!$B$4&lt;&gt;"OR+EX",--(DATOS!$G16714=CONFIG_METADATA!$B$4),IF(DATOS!$G16714="EX",1,IF(DATOS!$G16714="OR",--(COUNTIFS(nNIA,DATOS!$A16714,nCURSO,DATOS!$D16714,nESPEC,DATOS!$E16714,nASIG,DATOS!$I16714,nEVAL,"EX")=0),0))))</f>
      </c>
      <c r="H16714">
        <f>IF(DATOS!$G16714&lt;&gt;"EX",0,--(COUNTIFS(nNIA,DATOS!$A16714,nCURSO,DATOS!$D16714,nESPEC,DATOS!$E16714,nASIG,DATOS!$I16714,nEVAL,"OR")=0))</f>
      </c>
      <c r="I16714">
        <f>IF(DATOS!$I16714="","",IFERROR(VLOOKUP(DATOS!$I16714,CONFIG_ASIGNATURAS!$B$2:$J$91,9,FALSE()),""))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IF(DATOS!$A16715="",0,IF(CONFIG_METADATA!$B$4&lt;&gt;"OR+EX",--(DATOS!$G16715=CONFIG_METADATA!$B$4),IF(DATOS!$G16715="EX",1,IF(DATOS!$G16715="OR",--(COUNTIFS(nNIA,DATOS!$A16715,nCURSO,DATOS!$D16715,nESPEC,DATOS!$E16715,nASIG,DATOS!$I16715,nEVAL,"EX")=0),0))))</f>
      </c>
      <c r="H16715">
        <f>IF(DATOS!$G16715&lt;&gt;"EX",0,--(COUNTIFS(nNIA,DATOS!$A16715,nCURSO,DATOS!$D16715,nESPEC,DATOS!$E16715,nASIG,DATOS!$I16715,nEVAL,"OR")=0))</f>
      </c>
      <c r="I16715">
        <f>IF(DATOS!$I16715="","",IFERROR(VLOOKUP(DATOS!$I16715,CONFIG_ASIGNATURAS!$B$2:$J$91,9,FALSE()),""))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IF(DATOS!$A16716="",0,IF(CONFIG_METADATA!$B$4&lt;&gt;"OR+EX",--(DATOS!$G16716=CONFIG_METADATA!$B$4),IF(DATOS!$G16716="EX",1,IF(DATOS!$G16716="OR",--(COUNTIFS(nNIA,DATOS!$A16716,nCURSO,DATOS!$D16716,nESPEC,DATOS!$E16716,nASIG,DATOS!$I16716,nEVAL,"EX")=0),0))))</f>
      </c>
      <c r="H16716">
        <f>IF(DATOS!$G16716&lt;&gt;"EX",0,--(COUNTIFS(nNIA,DATOS!$A16716,nCURSO,DATOS!$D16716,nESPEC,DATOS!$E16716,nASIG,DATOS!$I16716,nEVAL,"OR")=0))</f>
      </c>
      <c r="I16716">
        <f>IF(DATOS!$I16716="","",IFERROR(VLOOKUP(DATOS!$I16716,CONFIG_ASIGNATURAS!$B$2:$J$91,9,FALSE()),""))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IF(DATOS!$A16717="",0,IF(CONFIG_METADATA!$B$4&lt;&gt;"OR+EX",--(DATOS!$G16717=CONFIG_METADATA!$B$4),IF(DATOS!$G16717="EX",1,IF(DATOS!$G16717="OR",--(COUNTIFS(nNIA,DATOS!$A16717,nCURSO,DATOS!$D16717,nESPEC,DATOS!$E16717,nASIG,DATOS!$I16717,nEVAL,"EX")=0),0))))</f>
      </c>
      <c r="H16717">
        <f>IF(DATOS!$G16717&lt;&gt;"EX",0,--(COUNTIFS(nNIA,DATOS!$A16717,nCURSO,DATOS!$D16717,nESPEC,DATOS!$E16717,nASIG,DATOS!$I16717,nEVAL,"OR")=0))</f>
      </c>
      <c r="I16717">
        <f>IF(DATOS!$I16717="","",IFERROR(VLOOKUP(DATOS!$I16717,CONFIG_ASIGNATURAS!$B$2:$J$91,9,FALSE()),""))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IF(DATOS!$A16718="",0,IF(CONFIG_METADATA!$B$4&lt;&gt;"OR+EX",--(DATOS!$G16718=CONFIG_METADATA!$B$4),IF(DATOS!$G16718="EX",1,IF(DATOS!$G16718="OR",--(COUNTIFS(nNIA,DATOS!$A16718,nCURSO,DATOS!$D16718,nESPEC,DATOS!$E16718,nASIG,DATOS!$I16718,nEVAL,"EX")=0),0))))</f>
      </c>
      <c r="H16718">
        <f>IF(DATOS!$G16718&lt;&gt;"EX",0,--(COUNTIFS(nNIA,DATOS!$A16718,nCURSO,DATOS!$D16718,nESPEC,DATOS!$E16718,nASIG,DATOS!$I16718,nEVAL,"OR")=0))</f>
      </c>
      <c r="I16718">
        <f>IF(DATOS!$I16718="","",IFERROR(VLOOKUP(DATOS!$I16718,CONFIG_ASIGNATURAS!$B$2:$J$91,9,FALSE()),""))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IF(DATOS!$A16719="",0,IF(CONFIG_METADATA!$B$4&lt;&gt;"OR+EX",--(DATOS!$G16719=CONFIG_METADATA!$B$4),IF(DATOS!$G16719="EX",1,IF(DATOS!$G16719="OR",--(COUNTIFS(nNIA,DATOS!$A16719,nCURSO,DATOS!$D16719,nESPEC,DATOS!$E16719,nASIG,DATOS!$I16719,nEVAL,"EX")=0),0))))</f>
      </c>
      <c r="H16719">
        <f>IF(DATOS!$G16719&lt;&gt;"EX",0,--(COUNTIFS(nNIA,DATOS!$A16719,nCURSO,DATOS!$D16719,nESPEC,DATOS!$E16719,nASIG,DATOS!$I16719,nEVAL,"OR")=0))</f>
      </c>
      <c r="I16719">
        <f>IF(DATOS!$I16719="","",IFERROR(VLOOKUP(DATOS!$I16719,CONFIG_ASIGNATURAS!$B$2:$J$91,9,FALSE()),""))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IF(DATOS!$A16720="",0,IF(CONFIG_METADATA!$B$4&lt;&gt;"OR+EX",--(DATOS!$G16720=CONFIG_METADATA!$B$4),IF(DATOS!$G16720="EX",1,IF(DATOS!$G16720="OR",--(COUNTIFS(nNIA,DATOS!$A16720,nCURSO,DATOS!$D16720,nESPEC,DATOS!$E16720,nASIG,DATOS!$I16720,nEVAL,"EX")=0),0))))</f>
      </c>
      <c r="H16720">
        <f>IF(DATOS!$G16720&lt;&gt;"EX",0,--(COUNTIFS(nNIA,DATOS!$A16720,nCURSO,DATOS!$D16720,nESPEC,DATOS!$E16720,nASIG,DATOS!$I16720,nEVAL,"OR")=0))</f>
      </c>
      <c r="I16720">
        <f>IF(DATOS!$I16720="","",IFERROR(VLOOKUP(DATOS!$I16720,CONFIG_ASIGNATURAS!$B$2:$J$91,9,FALSE()),""))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IF(DATOS!$A16721="",0,IF(CONFIG_METADATA!$B$4&lt;&gt;"OR+EX",--(DATOS!$G16721=CONFIG_METADATA!$B$4),IF(DATOS!$G16721="EX",1,IF(DATOS!$G16721="OR",--(COUNTIFS(nNIA,DATOS!$A16721,nCURSO,DATOS!$D16721,nESPEC,DATOS!$E16721,nASIG,DATOS!$I16721,nEVAL,"EX")=0),0))))</f>
      </c>
      <c r="H16721">
        <f>IF(DATOS!$G16721&lt;&gt;"EX",0,--(COUNTIFS(nNIA,DATOS!$A16721,nCURSO,DATOS!$D16721,nESPEC,DATOS!$E16721,nASIG,DATOS!$I16721,nEVAL,"OR")=0))</f>
      </c>
      <c r="I16721">
        <f>IF(DATOS!$I16721="","",IFERROR(VLOOKUP(DATOS!$I16721,CONFIG_ASIGNATURAS!$B$2:$J$91,9,FALSE()),""))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IF(DATOS!$A16722="",0,IF(CONFIG_METADATA!$B$4&lt;&gt;"OR+EX",--(DATOS!$G16722=CONFIG_METADATA!$B$4),IF(DATOS!$G16722="EX",1,IF(DATOS!$G16722="OR",--(COUNTIFS(nNIA,DATOS!$A16722,nCURSO,DATOS!$D16722,nESPEC,DATOS!$E16722,nASIG,DATOS!$I16722,nEVAL,"EX")=0),0))))</f>
      </c>
      <c r="H16722">
        <f>IF(DATOS!$G16722&lt;&gt;"EX",0,--(COUNTIFS(nNIA,DATOS!$A16722,nCURSO,DATOS!$D16722,nESPEC,DATOS!$E16722,nASIG,DATOS!$I16722,nEVAL,"OR")=0))</f>
      </c>
      <c r="I16722">
        <f>IF(DATOS!$I16722="","",IFERROR(VLOOKUP(DATOS!$I16722,CONFIG_ASIGNATURAS!$B$2:$J$91,9,FALSE()),""))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IF(DATOS!$A16723="",0,IF(CONFIG_METADATA!$B$4&lt;&gt;"OR+EX",--(DATOS!$G16723=CONFIG_METADATA!$B$4),IF(DATOS!$G16723="EX",1,IF(DATOS!$G16723="OR",--(COUNTIFS(nNIA,DATOS!$A16723,nCURSO,DATOS!$D16723,nESPEC,DATOS!$E16723,nASIG,DATOS!$I16723,nEVAL,"EX")=0),0))))</f>
      </c>
      <c r="H16723">
        <f>IF(DATOS!$G16723&lt;&gt;"EX",0,--(COUNTIFS(nNIA,DATOS!$A16723,nCURSO,DATOS!$D16723,nESPEC,DATOS!$E16723,nASIG,DATOS!$I16723,nEVAL,"OR")=0))</f>
      </c>
      <c r="I16723">
        <f>IF(DATOS!$I16723="","",IFERROR(VLOOKUP(DATOS!$I16723,CONFIG_ASIGNATURAS!$B$2:$J$91,9,FALSE()),""))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IF(DATOS!$A16724="",0,IF(CONFIG_METADATA!$B$4&lt;&gt;"OR+EX",--(DATOS!$G16724=CONFIG_METADATA!$B$4),IF(DATOS!$G16724="EX",1,IF(DATOS!$G16724="OR",--(COUNTIFS(nNIA,DATOS!$A16724,nCURSO,DATOS!$D16724,nESPEC,DATOS!$E16724,nASIG,DATOS!$I16724,nEVAL,"EX")=0),0))))</f>
      </c>
      <c r="H16724">
        <f>IF(DATOS!$G16724&lt;&gt;"EX",0,--(COUNTIFS(nNIA,DATOS!$A16724,nCURSO,DATOS!$D16724,nESPEC,DATOS!$E16724,nASIG,DATOS!$I16724,nEVAL,"OR")=0))</f>
      </c>
      <c r="I16724">
        <f>IF(DATOS!$I16724="","",IFERROR(VLOOKUP(DATOS!$I16724,CONFIG_ASIGNATURAS!$B$2:$J$91,9,FALSE()),""))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IF(DATOS!$A16725="",0,IF(CONFIG_METADATA!$B$4&lt;&gt;"OR+EX",--(DATOS!$G16725=CONFIG_METADATA!$B$4),IF(DATOS!$G16725="EX",1,IF(DATOS!$G16725="OR",--(COUNTIFS(nNIA,DATOS!$A16725,nCURSO,DATOS!$D16725,nESPEC,DATOS!$E16725,nASIG,DATOS!$I16725,nEVAL,"EX")=0),0))))</f>
      </c>
      <c r="H16725">
        <f>IF(DATOS!$G16725&lt;&gt;"EX",0,--(COUNTIFS(nNIA,DATOS!$A16725,nCURSO,DATOS!$D16725,nESPEC,DATOS!$E16725,nASIG,DATOS!$I16725,nEVAL,"OR")=0))</f>
      </c>
      <c r="I16725">
        <f>IF(DATOS!$I16725="","",IFERROR(VLOOKUP(DATOS!$I16725,CONFIG_ASIGNATURAS!$B$2:$J$91,9,FALSE()),""))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IF(DATOS!$A16726="",0,IF(CONFIG_METADATA!$B$4&lt;&gt;"OR+EX",--(DATOS!$G16726=CONFIG_METADATA!$B$4),IF(DATOS!$G16726="EX",1,IF(DATOS!$G16726="OR",--(COUNTIFS(nNIA,DATOS!$A16726,nCURSO,DATOS!$D16726,nESPEC,DATOS!$E16726,nASIG,DATOS!$I16726,nEVAL,"EX")=0),0))))</f>
      </c>
      <c r="H16726">
        <f>IF(DATOS!$G16726&lt;&gt;"EX",0,--(COUNTIFS(nNIA,DATOS!$A16726,nCURSO,DATOS!$D16726,nESPEC,DATOS!$E16726,nASIG,DATOS!$I16726,nEVAL,"OR")=0))</f>
      </c>
      <c r="I16726">
        <f>IF(DATOS!$I16726="","",IFERROR(VLOOKUP(DATOS!$I16726,CONFIG_ASIGNATURAS!$B$2:$J$91,9,FALSE()),""))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IF(DATOS!$A16727="",0,IF(CONFIG_METADATA!$B$4&lt;&gt;"OR+EX",--(DATOS!$G16727=CONFIG_METADATA!$B$4),IF(DATOS!$G16727="EX",1,IF(DATOS!$G16727="OR",--(COUNTIFS(nNIA,DATOS!$A16727,nCURSO,DATOS!$D16727,nESPEC,DATOS!$E16727,nASIG,DATOS!$I16727,nEVAL,"EX")=0),0))))</f>
      </c>
      <c r="H16727">
        <f>IF(DATOS!$G16727&lt;&gt;"EX",0,--(COUNTIFS(nNIA,DATOS!$A16727,nCURSO,DATOS!$D16727,nESPEC,DATOS!$E16727,nASIG,DATOS!$I16727,nEVAL,"OR")=0))</f>
      </c>
      <c r="I16727">
        <f>IF(DATOS!$I16727="","",IFERROR(VLOOKUP(DATOS!$I16727,CONFIG_ASIGNATURAS!$B$2:$J$91,9,FALSE()),""))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IF(DATOS!$A16728="",0,IF(CONFIG_METADATA!$B$4&lt;&gt;"OR+EX",--(DATOS!$G16728=CONFIG_METADATA!$B$4),IF(DATOS!$G16728="EX",1,IF(DATOS!$G16728="OR",--(COUNTIFS(nNIA,DATOS!$A16728,nCURSO,DATOS!$D16728,nESPEC,DATOS!$E16728,nASIG,DATOS!$I16728,nEVAL,"EX")=0),0))))</f>
      </c>
      <c r="H16728">
        <f>IF(DATOS!$G16728&lt;&gt;"EX",0,--(COUNTIFS(nNIA,DATOS!$A16728,nCURSO,DATOS!$D16728,nESPEC,DATOS!$E16728,nASIG,DATOS!$I16728,nEVAL,"OR")=0))</f>
      </c>
      <c r="I16728">
        <f>IF(DATOS!$I16728="","",IFERROR(VLOOKUP(DATOS!$I16728,CONFIG_ASIGNATURAS!$B$2:$J$91,9,FALSE()),""))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IF(DATOS!$A16729="",0,IF(CONFIG_METADATA!$B$4&lt;&gt;"OR+EX",--(DATOS!$G16729=CONFIG_METADATA!$B$4),IF(DATOS!$G16729="EX",1,IF(DATOS!$G16729="OR",--(COUNTIFS(nNIA,DATOS!$A16729,nCURSO,DATOS!$D16729,nESPEC,DATOS!$E16729,nASIG,DATOS!$I16729,nEVAL,"EX")=0),0))))</f>
      </c>
      <c r="H16729">
        <f>IF(DATOS!$G16729&lt;&gt;"EX",0,--(COUNTIFS(nNIA,DATOS!$A16729,nCURSO,DATOS!$D16729,nESPEC,DATOS!$E16729,nASIG,DATOS!$I16729,nEVAL,"OR")=0))</f>
      </c>
      <c r="I16729">
        <f>IF(DATOS!$I16729="","",IFERROR(VLOOKUP(DATOS!$I16729,CONFIG_ASIGNATURAS!$B$2:$J$91,9,FALSE()),""))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IF(DATOS!$A16730="",0,IF(CONFIG_METADATA!$B$4&lt;&gt;"OR+EX",--(DATOS!$G16730=CONFIG_METADATA!$B$4),IF(DATOS!$G16730="EX",1,IF(DATOS!$G16730="OR",--(COUNTIFS(nNIA,DATOS!$A16730,nCURSO,DATOS!$D16730,nESPEC,DATOS!$E16730,nASIG,DATOS!$I16730,nEVAL,"EX")=0),0))))</f>
      </c>
      <c r="H16730">
        <f>IF(DATOS!$G16730&lt;&gt;"EX",0,--(COUNTIFS(nNIA,DATOS!$A16730,nCURSO,DATOS!$D16730,nESPEC,DATOS!$E16730,nASIG,DATOS!$I16730,nEVAL,"OR")=0))</f>
      </c>
      <c r="I16730">
        <f>IF(DATOS!$I16730="","",IFERROR(VLOOKUP(DATOS!$I16730,CONFIG_ASIGNATURAS!$B$2:$J$91,9,FALSE()),""))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IF(DATOS!$A16731="",0,IF(CONFIG_METADATA!$B$4&lt;&gt;"OR+EX",--(DATOS!$G16731=CONFIG_METADATA!$B$4),IF(DATOS!$G16731="EX",1,IF(DATOS!$G16731="OR",--(COUNTIFS(nNIA,DATOS!$A16731,nCURSO,DATOS!$D16731,nESPEC,DATOS!$E16731,nASIG,DATOS!$I16731,nEVAL,"EX")=0),0))))</f>
      </c>
      <c r="H16731">
        <f>IF(DATOS!$G16731&lt;&gt;"EX",0,--(COUNTIFS(nNIA,DATOS!$A16731,nCURSO,DATOS!$D16731,nESPEC,DATOS!$E16731,nASIG,DATOS!$I16731,nEVAL,"OR")=0))</f>
      </c>
      <c r="I16731">
        <f>IF(DATOS!$I16731="","",IFERROR(VLOOKUP(DATOS!$I16731,CONFIG_ASIGNATURAS!$B$2:$J$91,9,FALSE()),""))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IF(DATOS!$A16732="",0,IF(CONFIG_METADATA!$B$4&lt;&gt;"OR+EX",--(DATOS!$G16732=CONFIG_METADATA!$B$4),IF(DATOS!$G16732="EX",1,IF(DATOS!$G16732="OR",--(COUNTIFS(nNIA,DATOS!$A16732,nCURSO,DATOS!$D16732,nESPEC,DATOS!$E16732,nASIG,DATOS!$I16732,nEVAL,"EX")=0),0))))</f>
      </c>
      <c r="H16732">
        <f>IF(DATOS!$G16732&lt;&gt;"EX",0,--(COUNTIFS(nNIA,DATOS!$A16732,nCURSO,DATOS!$D16732,nESPEC,DATOS!$E16732,nASIG,DATOS!$I16732,nEVAL,"OR")=0))</f>
      </c>
      <c r="I16732">
        <f>IF(DATOS!$I16732="","",IFERROR(VLOOKUP(DATOS!$I16732,CONFIG_ASIGNATURAS!$B$2:$J$91,9,FALSE()),""))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IF(DATOS!$A16733="",0,IF(CONFIG_METADATA!$B$4&lt;&gt;"OR+EX",--(DATOS!$G16733=CONFIG_METADATA!$B$4),IF(DATOS!$G16733="EX",1,IF(DATOS!$G16733="OR",--(COUNTIFS(nNIA,DATOS!$A16733,nCURSO,DATOS!$D16733,nESPEC,DATOS!$E16733,nASIG,DATOS!$I16733,nEVAL,"EX")=0),0))))</f>
      </c>
      <c r="H16733">
        <f>IF(DATOS!$G16733&lt;&gt;"EX",0,--(COUNTIFS(nNIA,DATOS!$A16733,nCURSO,DATOS!$D16733,nESPEC,DATOS!$E16733,nASIG,DATOS!$I16733,nEVAL,"OR")=0))</f>
      </c>
      <c r="I16733">
        <f>IF(DATOS!$I16733="","",IFERROR(VLOOKUP(DATOS!$I16733,CONFIG_ASIGNATURAS!$B$2:$J$91,9,FALSE()),""))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IF(DATOS!$A16734="",0,IF(CONFIG_METADATA!$B$4&lt;&gt;"OR+EX",--(DATOS!$G16734=CONFIG_METADATA!$B$4),IF(DATOS!$G16734="EX",1,IF(DATOS!$G16734="OR",--(COUNTIFS(nNIA,DATOS!$A16734,nCURSO,DATOS!$D16734,nESPEC,DATOS!$E16734,nASIG,DATOS!$I16734,nEVAL,"EX")=0),0))))</f>
      </c>
      <c r="H16734">
        <f>IF(DATOS!$G16734&lt;&gt;"EX",0,--(COUNTIFS(nNIA,DATOS!$A16734,nCURSO,DATOS!$D16734,nESPEC,DATOS!$E16734,nASIG,DATOS!$I16734,nEVAL,"OR")=0))</f>
      </c>
      <c r="I16734">
        <f>IF(DATOS!$I16734="","",IFERROR(VLOOKUP(DATOS!$I16734,CONFIG_ASIGNATURAS!$B$2:$J$91,9,FALSE()),""))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IF(DATOS!$A16735="",0,IF(CONFIG_METADATA!$B$4&lt;&gt;"OR+EX",--(DATOS!$G16735=CONFIG_METADATA!$B$4),IF(DATOS!$G16735="EX",1,IF(DATOS!$G16735="OR",--(COUNTIFS(nNIA,DATOS!$A16735,nCURSO,DATOS!$D16735,nESPEC,DATOS!$E16735,nASIG,DATOS!$I16735,nEVAL,"EX")=0),0))))</f>
      </c>
      <c r="H16735">
        <f>IF(DATOS!$G16735&lt;&gt;"EX",0,--(COUNTIFS(nNIA,DATOS!$A16735,nCURSO,DATOS!$D16735,nESPEC,DATOS!$E16735,nASIG,DATOS!$I16735,nEVAL,"OR")=0))</f>
      </c>
      <c r="I16735">
        <f>IF(DATOS!$I16735="","",IFERROR(VLOOKUP(DATOS!$I16735,CONFIG_ASIGNATURAS!$B$2:$J$91,9,FALSE()),""))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IF(DATOS!$A16736="",0,IF(CONFIG_METADATA!$B$4&lt;&gt;"OR+EX",--(DATOS!$G16736=CONFIG_METADATA!$B$4),IF(DATOS!$G16736="EX",1,IF(DATOS!$G16736="OR",--(COUNTIFS(nNIA,DATOS!$A16736,nCURSO,DATOS!$D16736,nESPEC,DATOS!$E16736,nASIG,DATOS!$I16736,nEVAL,"EX")=0),0))))</f>
      </c>
      <c r="H16736">
        <f>IF(DATOS!$G16736&lt;&gt;"EX",0,--(COUNTIFS(nNIA,DATOS!$A16736,nCURSO,DATOS!$D16736,nESPEC,DATOS!$E16736,nASIG,DATOS!$I16736,nEVAL,"OR")=0))</f>
      </c>
      <c r="I16736">
        <f>IF(DATOS!$I16736="","",IFERROR(VLOOKUP(DATOS!$I16736,CONFIG_ASIGNATURAS!$B$2:$J$91,9,FALSE()),""))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IF(DATOS!$A16737="",0,IF(CONFIG_METADATA!$B$4&lt;&gt;"OR+EX",--(DATOS!$G16737=CONFIG_METADATA!$B$4),IF(DATOS!$G16737="EX",1,IF(DATOS!$G16737="OR",--(COUNTIFS(nNIA,DATOS!$A16737,nCURSO,DATOS!$D16737,nESPEC,DATOS!$E16737,nASIG,DATOS!$I16737,nEVAL,"EX")=0),0))))</f>
      </c>
      <c r="H16737">
        <f>IF(DATOS!$G16737&lt;&gt;"EX",0,--(COUNTIFS(nNIA,DATOS!$A16737,nCURSO,DATOS!$D16737,nESPEC,DATOS!$E16737,nASIG,DATOS!$I16737,nEVAL,"OR")=0))</f>
      </c>
      <c r="I16737">
        <f>IF(DATOS!$I16737="","",IFERROR(VLOOKUP(DATOS!$I16737,CONFIG_ASIGNATURAS!$B$2:$J$91,9,FALSE()),""))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IF(DATOS!$A16738="",0,IF(CONFIG_METADATA!$B$4&lt;&gt;"OR+EX",--(DATOS!$G16738=CONFIG_METADATA!$B$4),IF(DATOS!$G16738="EX",1,IF(DATOS!$G16738="OR",--(COUNTIFS(nNIA,DATOS!$A16738,nCURSO,DATOS!$D16738,nESPEC,DATOS!$E16738,nASIG,DATOS!$I16738,nEVAL,"EX")=0),0))))</f>
      </c>
      <c r="H16738">
        <f>IF(DATOS!$G16738&lt;&gt;"EX",0,--(COUNTIFS(nNIA,DATOS!$A16738,nCURSO,DATOS!$D16738,nESPEC,DATOS!$E16738,nASIG,DATOS!$I16738,nEVAL,"OR")=0))</f>
      </c>
      <c r="I16738">
        <f>IF(DATOS!$I16738="","",IFERROR(VLOOKUP(DATOS!$I16738,CONFIG_ASIGNATURAS!$B$2:$J$91,9,FALSE()),""))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IF(DATOS!$A16739="",0,IF(CONFIG_METADATA!$B$4&lt;&gt;"OR+EX",--(DATOS!$G16739=CONFIG_METADATA!$B$4),IF(DATOS!$G16739="EX",1,IF(DATOS!$G16739="OR",--(COUNTIFS(nNIA,DATOS!$A16739,nCURSO,DATOS!$D16739,nESPEC,DATOS!$E16739,nASIG,DATOS!$I16739,nEVAL,"EX")=0),0))))</f>
      </c>
      <c r="H16739">
        <f>IF(DATOS!$G16739&lt;&gt;"EX",0,--(COUNTIFS(nNIA,DATOS!$A16739,nCURSO,DATOS!$D16739,nESPEC,DATOS!$E16739,nASIG,DATOS!$I16739,nEVAL,"OR")=0))</f>
      </c>
      <c r="I16739">
        <f>IF(DATOS!$I16739="","",IFERROR(VLOOKUP(DATOS!$I16739,CONFIG_ASIGNATURAS!$B$2:$J$91,9,FALSE()),""))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IF(DATOS!$A16740="",0,IF(CONFIG_METADATA!$B$4&lt;&gt;"OR+EX",--(DATOS!$G16740=CONFIG_METADATA!$B$4),IF(DATOS!$G16740="EX",1,IF(DATOS!$G16740="OR",--(COUNTIFS(nNIA,DATOS!$A16740,nCURSO,DATOS!$D16740,nESPEC,DATOS!$E16740,nASIG,DATOS!$I16740,nEVAL,"EX")=0),0))))</f>
      </c>
      <c r="H16740">
        <f>IF(DATOS!$G16740&lt;&gt;"EX",0,--(COUNTIFS(nNIA,DATOS!$A16740,nCURSO,DATOS!$D16740,nESPEC,DATOS!$E16740,nASIG,DATOS!$I16740,nEVAL,"OR")=0))</f>
      </c>
      <c r="I16740">
        <f>IF(DATOS!$I16740="","",IFERROR(VLOOKUP(DATOS!$I16740,CONFIG_ASIGNATURAS!$B$2:$J$91,9,FALSE()),""))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IF(DATOS!$A16741="",0,IF(CONFIG_METADATA!$B$4&lt;&gt;"OR+EX",--(DATOS!$G16741=CONFIG_METADATA!$B$4),IF(DATOS!$G16741="EX",1,IF(DATOS!$G16741="OR",--(COUNTIFS(nNIA,DATOS!$A16741,nCURSO,DATOS!$D16741,nESPEC,DATOS!$E16741,nASIG,DATOS!$I16741,nEVAL,"EX")=0),0))))</f>
      </c>
      <c r="H16741">
        <f>IF(DATOS!$G16741&lt;&gt;"EX",0,--(COUNTIFS(nNIA,DATOS!$A16741,nCURSO,DATOS!$D16741,nESPEC,DATOS!$E16741,nASIG,DATOS!$I16741,nEVAL,"OR")=0))</f>
      </c>
      <c r="I16741">
        <f>IF(DATOS!$I16741="","",IFERROR(VLOOKUP(DATOS!$I16741,CONFIG_ASIGNATURAS!$B$2:$J$91,9,FALSE()),""))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IF(DATOS!$A16742="",0,IF(CONFIG_METADATA!$B$4&lt;&gt;"OR+EX",--(DATOS!$G16742=CONFIG_METADATA!$B$4),IF(DATOS!$G16742="EX",1,IF(DATOS!$G16742="OR",--(COUNTIFS(nNIA,DATOS!$A16742,nCURSO,DATOS!$D16742,nESPEC,DATOS!$E16742,nASIG,DATOS!$I16742,nEVAL,"EX")=0),0))))</f>
      </c>
      <c r="H16742">
        <f>IF(DATOS!$G16742&lt;&gt;"EX",0,--(COUNTIFS(nNIA,DATOS!$A16742,nCURSO,DATOS!$D16742,nESPEC,DATOS!$E16742,nASIG,DATOS!$I16742,nEVAL,"OR")=0))</f>
      </c>
      <c r="I16742">
        <f>IF(DATOS!$I16742="","",IFERROR(VLOOKUP(DATOS!$I16742,CONFIG_ASIGNATURAS!$B$2:$J$91,9,FALSE()),""))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IF(DATOS!$A16743="",0,IF(CONFIG_METADATA!$B$4&lt;&gt;"OR+EX",--(DATOS!$G16743=CONFIG_METADATA!$B$4),IF(DATOS!$G16743="EX",1,IF(DATOS!$G16743="OR",--(COUNTIFS(nNIA,DATOS!$A16743,nCURSO,DATOS!$D16743,nESPEC,DATOS!$E16743,nASIG,DATOS!$I16743,nEVAL,"EX")=0),0))))</f>
      </c>
      <c r="H16743">
        <f>IF(DATOS!$G16743&lt;&gt;"EX",0,--(COUNTIFS(nNIA,DATOS!$A16743,nCURSO,DATOS!$D16743,nESPEC,DATOS!$E16743,nASIG,DATOS!$I16743,nEVAL,"OR")=0))</f>
      </c>
      <c r="I16743">
        <f>IF(DATOS!$I16743="","",IFERROR(VLOOKUP(DATOS!$I16743,CONFIG_ASIGNATURAS!$B$2:$J$91,9,FALSE()),""))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IF(DATOS!$A16744="",0,IF(CONFIG_METADATA!$B$4&lt;&gt;"OR+EX",--(DATOS!$G16744=CONFIG_METADATA!$B$4),IF(DATOS!$G16744="EX",1,IF(DATOS!$G16744="OR",--(COUNTIFS(nNIA,DATOS!$A16744,nCURSO,DATOS!$D16744,nESPEC,DATOS!$E16744,nASIG,DATOS!$I16744,nEVAL,"EX")=0),0))))</f>
      </c>
      <c r="H16744">
        <f>IF(DATOS!$G16744&lt;&gt;"EX",0,--(COUNTIFS(nNIA,DATOS!$A16744,nCURSO,DATOS!$D16744,nESPEC,DATOS!$E16744,nASIG,DATOS!$I16744,nEVAL,"OR")=0))</f>
      </c>
      <c r="I16744">
        <f>IF(DATOS!$I16744="","",IFERROR(VLOOKUP(DATOS!$I16744,CONFIG_ASIGNATURAS!$B$2:$J$91,9,FALSE()),""))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IF(DATOS!$A16745="",0,IF(CONFIG_METADATA!$B$4&lt;&gt;"OR+EX",--(DATOS!$G16745=CONFIG_METADATA!$B$4),IF(DATOS!$G16745="EX",1,IF(DATOS!$G16745="OR",--(COUNTIFS(nNIA,DATOS!$A16745,nCURSO,DATOS!$D16745,nESPEC,DATOS!$E16745,nASIG,DATOS!$I16745,nEVAL,"EX")=0),0))))</f>
      </c>
      <c r="H16745">
        <f>IF(DATOS!$G16745&lt;&gt;"EX",0,--(COUNTIFS(nNIA,DATOS!$A16745,nCURSO,DATOS!$D16745,nESPEC,DATOS!$E16745,nASIG,DATOS!$I16745,nEVAL,"OR")=0))</f>
      </c>
      <c r="I16745">
        <f>IF(DATOS!$I16745="","",IFERROR(VLOOKUP(DATOS!$I16745,CONFIG_ASIGNATURAS!$B$2:$J$91,9,FALSE()),""))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IF(DATOS!$A16746="",0,IF(CONFIG_METADATA!$B$4&lt;&gt;"OR+EX",--(DATOS!$G16746=CONFIG_METADATA!$B$4),IF(DATOS!$G16746="EX",1,IF(DATOS!$G16746="OR",--(COUNTIFS(nNIA,DATOS!$A16746,nCURSO,DATOS!$D16746,nESPEC,DATOS!$E16746,nASIG,DATOS!$I16746,nEVAL,"EX")=0),0))))</f>
      </c>
      <c r="H16746">
        <f>IF(DATOS!$G16746&lt;&gt;"EX",0,--(COUNTIFS(nNIA,DATOS!$A16746,nCURSO,DATOS!$D16746,nESPEC,DATOS!$E16746,nASIG,DATOS!$I16746,nEVAL,"OR")=0))</f>
      </c>
      <c r="I16746">
        <f>IF(DATOS!$I16746="","",IFERROR(VLOOKUP(DATOS!$I16746,CONFIG_ASIGNATURAS!$B$2:$J$91,9,FALSE()),""))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IF(DATOS!$A16747="",0,IF(CONFIG_METADATA!$B$4&lt;&gt;"OR+EX",--(DATOS!$G16747=CONFIG_METADATA!$B$4),IF(DATOS!$G16747="EX",1,IF(DATOS!$G16747="OR",--(COUNTIFS(nNIA,DATOS!$A16747,nCURSO,DATOS!$D16747,nESPEC,DATOS!$E16747,nASIG,DATOS!$I16747,nEVAL,"EX")=0),0))))</f>
      </c>
      <c r="H16747">
        <f>IF(DATOS!$G16747&lt;&gt;"EX",0,--(COUNTIFS(nNIA,DATOS!$A16747,nCURSO,DATOS!$D16747,nESPEC,DATOS!$E16747,nASIG,DATOS!$I16747,nEVAL,"OR")=0))</f>
      </c>
      <c r="I16747">
        <f>IF(DATOS!$I16747="","",IFERROR(VLOOKUP(DATOS!$I16747,CONFIG_ASIGNATURAS!$B$2:$J$91,9,FALSE()),""))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IF(DATOS!$A16748="",0,IF(CONFIG_METADATA!$B$4&lt;&gt;"OR+EX",--(DATOS!$G16748=CONFIG_METADATA!$B$4),IF(DATOS!$G16748="EX",1,IF(DATOS!$G16748="OR",--(COUNTIFS(nNIA,DATOS!$A16748,nCURSO,DATOS!$D16748,nESPEC,DATOS!$E16748,nASIG,DATOS!$I16748,nEVAL,"EX")=0),0))))</f>
      </c>
      <c r="H16748">
        <f>IF(DATOS!$G16748&lt;&gt;"EX",0,--(COUNTIFS(nNIA,DATOS!$A16748,nCURSO,DATOS!$D16748,nESPEC,DATOS!$E16748,nASIG,DATOS!$I16748,nEVAL,"OR")=0))</f>
      </c>
      <c r="I16748">
        <f>IF(DATOS!$I16748="","",IFERROR(VLOOKUP(DATOS!$I16748,CONFIG_ASIGNATURAS!$B$2:$J$91,9,FALSE()),""))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IF(DATOS!$A16749="",0,IF(CONFIG_METADATA!$B$4&lt;&gt;"OR+EX",--(DATOS!$G16749=CONFIG_METADATA!$B$4),IF(DATOS!$G16749="EX",1,IF(DATOS!$G16749="OR",--(COUNTIFS(nNIA,DATOS!$A16749,nCURSO,DATOS!$D16749,nESPEC,DATOS!$E16749,nASIG,DATOS!$I16749,nEVAL,"EX")=0),0))))</f>
      </c>
      <c r="H16749">
        <f>IF(DATOS!$G16749&lt;&gt;"EX",0,--(COUNTIFS(nNIA,DATOS!$A16749,nCURSO,DATOS!$D16749,nESPEC,DATOS!$E16749,nASIG,DATOS!$I16749,nEVAL,"OR")=0))</f>
      </c>
      <c r="I16749">
        <f>IF(DATOS!$I16749="","",IFERROR(VLOOKUP(DATOS!$I16749,CONFIG_ASIGNATURAS!$B$2:$J$91,9,FALSE()),""))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IF(DATOS!$A16750="",0,IF(CONFIG_METADATA!$B$4&lt;&gt;"OR+EX",--(DATOS!$G16750=CONFIG_METADATA!$B$4),IF(DATOS!$G16750="EX",1,IF(DATOS!$G16750="OR",--(COUNTIFS(nNIA,DATOS!$A16750,nCURSO,DATOS!$D16750,nESPEC,DATOS!$E16750,nASIG,DATOS!$I16750,nEVAL,"EX")=0),0))))</f>
      </c>
      <c r="H16750">
        <f>IF(DATOS!$G16750&lt;&gt;"EX",0,--(COUNTIFS(nNIA,DATOS!$A16750,nCURSO,DATOS!$D16750,nESPEC,DATOS!$E16750,nASIG,DATOS!$I16750,nEVAL,"OR")=0))</f>
      </c>
      <c r="I16750">
        <f>IF(DATOS!$I16750="","",IFERROR(VLOOKUP(DATOS!$I16750,CONFIG_ASIGNATURAS!$B$2:$J$91,9,FALSE()),""))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IF(DATOS!$A16751="",0,IF(CONFIG_METADATA!$B$4&lt;&gt;"OR+EX",--(DATOS!$G16751=CONFIG_METADATA!$B$4),IF(DATOS!$G16751="EX",1,IF(DATOS!$G16751="OR",--(COUNTIFS(nNIA,DATOS!$A16751,nCURSO,DATOS!$D16751,nESPEC,DATOS!$E16751,nASIG,DATOS!$I16751,nEVAL,"EX")=0),0))))</f>
      </c>
      <c r="H16751">
        <f>IF(DATOS!$G16751&lt;&gt;"EX",0,--(COUNTIFS(nNIA,DATOS!$A16751,nCURSO,DATOS!$D16751,nESPEC,DATOS!$E16751,nASIG,DATOS!$I16751,nEVAL,"OR")=0))</f>
      </c>
      <c r="I16751">
        <f>IF(DATOS!$I16751="","",IFERROR(VLOOKUP(DATOS!$I16751,CONFIG_ASIGNATURAS!$B$2:$J$91,9,FALSE()),""))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IF(DATOS!$A16752="",0,IF(CONFIG_METADATA!$B$4&lt;&gt;"OR+EX",--(DATOS!$G16752=CONFIG_METADATA!$B$4),IF(DATOS!$G16752="EX",1,IF(DATOS!$G16752="OR",--(COUNTIFS(nNIA,DATOS!$A16752,nCURSO,DATOS!$D16752,nESPEC,DATOS!$E16752,nASIG,DATOS!$I16752,nEVAL,"EX")=0),0))))</f>
      </c>
      <c r="H16752">
        <f>IF(DATOS!$G16752&lt;&gt;"EX",0,--(COUNTIFS(nNIA,DATOS!$A16752,nCURSO,DATOS!$D16752,nESPEC,DATOS!$E16752,nASIG,DATOS!$I16752,nEVAL,"OR")=0))</f>
      </c>
      <c r="I16752">
        <f>IF(DATOS!$I16752="","",IFERROR(VLOOKUP(DATOS!$I16752,CONFIG_ASIGNATURAS!$B$2:$J$91,9,FALSE()),""))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IF(DATOS!$A16753="",0,IF(CONFIG_METADATA!$B$4&lt;&gt;"OR+EX",--(DATOS!$G16753=CONFIG_METADATA!$B$4),IF(DATOS!$G16753="EX",1,IF(DATOS!$G16753="OR",--(COUNTIFS(nNIA,DATOS!$A16753,nCURSO,DATOS!$D16753,nESPEC,DATOS!$E16753,nASIG,DATOS!$I16753,nEVAL,"EX")=0),0))))</f>
      </c>
      <c r="H16753">
        <f>IF(DATOS!$G16753&lt;&gt;"EX",0,--(COUNTIFS(nNIA,DATOS!$A16753,nCURSO,DATOS!$D16753,nESPEC,DATOS!$E16753,nASIG,DATOS!$I16753,nEVAL,"OR")=0))</f>
      </c>
      <c r="I16753">
        <f>IF(DATOS!$I16753="","",IFERROR(VLOOKUP(DATOS!$I16753,CONFIG_ASIGNATURAS!$B$2:$J$91,9,FALSE()),""))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IF(DATOS!$A16754="",0,IF(CONFIG_METADATA!$B$4&lt;&gt;"OR+EX",--(DATOS!$G16754=CONFIG_METADATA!$B$4),IF(DATOS!$G16754="EX",1,IF(DATOS!$G16754="OR",--(COUNTIFS(nNIA,DATOS!$A16754,nCURSO,DATOS!$D16754,nESPEC,DATOS!$E16754,nASIG,DATOS!$I16754,nEVAL,"EX")=0),0))))</f>
      </c>
      <c r="H16754">
        <f>IF(DATOS!$G16754&lt;&gt;"EX",0,--(COUNTIFS(nNIA,DATOS!$A16754,nCURSO,DATOS!$D16754,nESPEC,DATOS!$E16754,nASIG,DATOS!$I16754,nEVAL,"OR")=0))</f>
      </c>
      <c r="I16754">
        <f>IF(DATOS!$I16754="","",IFERROR(VLOOKUP(DATOS!$I16754,CONFIG_ASIGNATURAS!$B$2:$J$91,9,FALSE()),""))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IF(DATOS!$A16755="",0,IF(CONFIG_METADATA!$B$4&lt;&gt;"OR+EX",--(DATOS!$G16755=CONFIG_METADATA!$B$4),IF(DATOS!$G16755="EX",1,IF(DATOS!$G16755="OR",--(COUNTIFS(nNIA,DATOS!$A16755,nCURSO,DATOS!$D16755,nESPEC,DATOS!$E16755,nASIG,DATOS!$I16755,nEVAL,"EX")=0),0))))</f>
      </c>
      <c r="H16755">
        <f>IF(DATOS!$G16755&lt;&gt;"EX",0,--(COUNTIFS(nNIA,DATOS!$A16755,nCURSO,DATOS!$D16755,nESPEC,DATOS!$E16755,nASIG,DATOS!$I16755,nEVAL,"OR")=0))</f>
      </c>
      <c r="I16755">
        <f>IF(DATOS!$I16755="","",IFERROR(VLOOKUP(DATOS!$I16755,CONFIG_ASIGNATURAS!$B$2:$J$91,9,FALSE()),""))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IF(DATOS!$A16756="",0,IF(CONFIG_METADATA!$B$4&lt;&gt;"OR+EX",--(DATOS!$G16756=CONFIG_METADATA!$B$4),IF(DATOS!$G16756="EX",1,IF(DATOS!$G16756="OR",--(COUNTIFS(nNIA,DATOS!$A16756,nCURSO,DATOS!$D16756,nESPEC,DATOS!$E16756,nASIG,DATOS!$I16756,nEVAL,"EX")=0),0))))</f>
      </c>
      <c r="H16756">
        <f>IF(DATOS!$G16756&lt;&gt;"EX",0,--(COUNTIFS(nNIA,DATOS!$A16756,nCURSO,DATOS!$D16756,nESPEC,DATOS!$E16756,nASIG,DATOS!$I16756,nEVAL,"OR")=0))</f>
      </c>
      <c r="I16756">
        <f>IF(DATOS!$I16756="","",IFERROR(VLOOKUP(DATOS!$I16756,CONFIG_ASIGNATURAS!$B$2:$J$91,9,FALSE()),""))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IF(DATOS!$A16757="",0,IF(CONFIG_METADATA!$B$4&lt;&gt;"OR+EX",--(DATOS!$G16757=CONFIG_METADATA!$B$4),IF(DATOS!$G16757="EX",1,IF(DATOS!$G16757="OR",--(COUNTIFS(nNIA,DATOS!$A16757,nCURSO,DATOS!$D16757,nESPEC,DATOS!$E16757,nASIG,DATOS!$I16757,nEVAL,"EX")=0),0))))</f>
      </c>
      <c r="H16757">
        <f>IF(DATOS!$G16757&lt;&gt;"EX",0,--(COUNTIFS(nNIA,DATOS!$A16757,nCURSO,DATOS!$D16757,nESPEC,DATOS!$E16757,nASIG,DATOS!$I16757,nEVAL,"OR")=0))</f>
      </c>
      <c r="I16757">
        <f>IF(DATOS!$I16757="","",IFERROR(VLOOKUP(DATOS!$I16757,CONFIG_ASIGNATURAS!$B$2:$J$91,9,FALSE()),""))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IF(DATOS!$A16758="",0,IF(CONFIG_METADATA!$B$4&lt;&gt;"OR+EX",--(DATOS!$G16758=CONFIG_METADATA!$B$4),IF(DATOS!$G16758="EX",1,IF(DATOS!$G16758="OR",--(COUNTIFS(nNIA,DATOS!$A16758,nCURSO,DATOS!$D16758,nESPEC,DATOS!$E16758,nASIG,DATOS!$I16758,nEVAL,"EX")=0),0))))</f>
      </c>
      <c r="H16758">
        <f>IF(DATOS!$G16758&lt;&gt;"EX",0,--(COUNTIFS(nNIA,DATOS!$A16758,nCURSO,DATOS!$D16758,nESPEC,DATOS!$E16758,nASIG,DATOS!$I16758,nEVAL,"OR")=0))</f>
      </c>
      <c r="I16758">
        <f>IF(DATOS!$I16758="","",IFERROR(VLOOKUP(DATOS!$I16758,CONFIG_ASIGNATURAS!$B$2:$J$91,9,FALSE()),""))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IF(DATOS!$A16759="",0,IF(CONFIG_METADATA!$B$4&lt;&gt;"OR+EX",--(DATOS!$G16759=CONFIG_METADATA!$B$4),IF(DATOS!$G16759="EX",1,IF(DATOS!$G16759="OR",--(COUNTIFS(nNIA,DATOS!$A16759,nCURSO,DATOS!$D16759,nESPEC,DATOS!$E16759,nASIG,DATOS!$I16759,nEVAL,"EX")=0),0))))</f>
      </c>
      <c r="H16759">
        <f>IF(DATOS!$G16759&lt;&gt;"EX",0,--(COUNTIFS(nNIA,DATOS!$A16759,nCURSO,DATOS!$D16759,nESPEC,DATOS!$E16759,nASIG,DATOS!$I16759,nEVAL,"OR")=0))</f>
      </c>
      <c r="I16759">
        <f>IF(DATOS!$I16759="","",IFERROR(VLOOKUP(DATOS!$I16759,CONFIG_ASIGNATURAS!$B$2:$J$91,9,FALSE()),""))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IF(DATOS!$A16760="",0,IF(CONFIG_METADATA!$B$4&lt;&gt;"OR+EX",--(DATOS!$G16760=CONFIG_METADATA!$B$4),IF(DATOS!$G16760="EX",1,IF(DATOS!$G16760="OR",--(COUNTIFS(nNIA,DATOS!$A16760,nCURSO,DATOS!$D16760,nESPEC,DATOS!$E16760,nASIG,DATOS!$I16760,nEVAL,"EX")=0),0))))</f>
      </c>
      <c r="H16760">
        <f>IF(DATOS!$G16760&lt;&gt;"EX",0,--(COUNTIFS(nNIA,DATOS!$A16760,nCURSO,DATOS!$D16760,nESPEC,DATOS!$E16760,nASIG,DATOS!$I16760,nEVAL,"OR")=0))</f>
      </c>
      <c r="I16760">
        <f>IF(DATOS!$I16760="","",IFERROR(VLOOKUP(DATOS!$I16760,CONFIG_ASIGNATURAS!$B$2:$J$91,9,FALSE()),""))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IF(DATOS!$A16761="",0,IF(CONFIG_METADATA!$B$4&lt;&gt;"OR+EX",--(DATOS!$G16761=CONFIG_METADATA!$B$4),IF(DATOS!$G16761="EX",1,IF(DATOS!$G16761="OR",--(COUNTIFS(nNIA,DATOS!$A16761,nCURSO,DATOS!$D16761,nESPEC,DATOS!$E16761,nASIG,DATOS!$I16761,nEVAL,"EX")=0),0))))</f>
      </c>
      <c r="H16761">
        <f>IF(DATOS!$G16761&lt;&gt;"EX",0,--(COUNTIFS(nNIA,DATOS!$A16761,nCURSO,DATOS!$D16761,nESPEC,DATOS!$E16761,nASIG,DATOS!$I16761,nEVAL,"OR")=0))</f>
      </c>
      <c r="I16761">
        <f>IF(DATOS!$I16761="","",IFERROR(VLOOKUP(DATOS!$I16761,CONFIG_ASIGNATURAS!$B$2:$J$91,9,FALSE()),""))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IF(DATOS!$A16762="",0,IF(CONFIG_METADATA!$B$4&lt;&gt;"OR+EX",--(DATOS!$G16762=CONFIG_METADATA!$B$4),IF(DATOS!$G16762="EX",1,IF(DATOS!$G16762="OR",--(COUNTIFS(nNIA,DATOS!$A16762,nCURSO,DATOS!$D16762,nESPEC,DATOS!$E16762,nASIG,DATOS!$I16762,nEVAL,"EX")=0),0))))</f>
      </c>
      <c r="H16762">
        <f>IF(DATOS!$G16762&lt;&gt;"EX",0,--(COUNTIFS(nNIA,DATOS!$A16762,nCURSO,DATOS!$D16762,nESPEC,DATOS!$E16762,nASIG,DATOS!$I16762,nEVAL,"OR")=0))</f>
      </c>
      <c r="I16762">
        <f>IF(DATOS!$I16762="","",IFERROR(VLOOKUP(DATOS!$I16762,CONFIG_ASIGNATURAS!$B$2:$J$91,9,FALSE()),""))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IF(DATOS!$A16763="",0,IF(CONFIG_METADATA!$B$4&lt;&gt;"OR+EX",--(DATOS!$G16763=CONFIG_METADATA!$B$4),IF(DATOS!$G16763="EX",1,IF(DATOS!$G16763="OR",--(COUNTIFS(nNIA,DATOS!$A16763,nCURSO,DATOS!$D16763,nESPEC,DATOS!$E16763,nASIG,DATOS!$I16763,nEVAL,"EX")=0),0))))</f>
      </c>
      <c r="H16763">
        <f>IF(DATOS!$G16763&lt;&gt;"EX",0,--(COUNTIFS(nNIA,DATOS!$A16763,nCURSO,DATOS!$D16763,nESPEC,DATOS!$E16763,nASIG,DATOS!$I16763,nEVAL,"OR")=0))</f>
      </c>
      <c r="I16763">
        <f>IF(DATOS!$I16763="","",IFERROR(VLOOKUP(DATOS!$I16763,CONFIG_ASIGNATURAS!$B$2:$J$91,9,FALSE()),""))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IF(DATOS!$A16764="",0,IF(CONFIG_METADATA!$B$4&lt;&gt;"OR+EX",--(DATOS!$G16764=CONFIG_METADATA!$B$4),IF(DATOS!$G16764="EX",1,IF(DATOS!$G16764="OR",--(COUNTIFS(nNIA,DATOS!$A16764,nCURSO,DATOS!$D16764,nESPEC,DATOS!$E16764,nASIG,DATOS!$I16764,nEVAL,"EX")=0),0))))</f>
      </c>
      <c r="H16764">
        <f>IF(DATOS!$G16764&lt;&gt;"EX",0,--(COUNTIFS(nNIA,DATOS!$A16764,nCURSO,DATOS!$D16764,nESPEC,DATOS!$E16764,nASIG,DATOS!$I16764,nEVAL,"OR")=0))</f>
      </c>
      <c r="I16764">
        <f>IF(DATOS!$I16764="","",IFERROR(VLOOKUP(DATOS!$I16764,CONFIG_ASIGNATURAS!$B$2:$J$91,9,FALSE()),""))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IF(DATOS!$A16765="",0,IF(CONFIG_METADATA!$B$4&lt;&gt;"OR+EX",--(DATOS!$G16765=CONFIG_METADATA!$B$4),IF(DATOS!$G16765="EX",1,IF(DATOS!$G16765="OR",--(COUNTIFS(nNIA,DATOS!$A16765,nCURSO,DATOS!$D16765,nESPEC,DATOS!$E16765,nASIG,DATOS!$I16765,nEVAL,"EX")=0),0))))</f>
      </c>
      <c r="H16765">
        <f>IF(DATOS!$G16765&lt;&gt;"EX",0,--(COUNTIFS(nNIA,DATOS!$A16765,nCURSO,DATOS!$D16765,nESPEC,DATOS!$E16765,nASIG,DATOS!$I16765,nEVAL,"OR")=0))</f>
      </c>
      <c r="I16765">
        <f>IF(DATOS!$I16765="","",IFERROR(VLOOKUP(DATOS!$I16765,CONFIG_ASIGNATURAS!$B$2:$J$91,9,FALSE()),""))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IF(DATOS!$A16766="",0,IF(CONFIG_METADATA!$B$4&lt;&gt;"OR+EX",--(DATOS!$G16766=CONFIG_METADATA!$B$4),IF(DATOS!$G16766="EX",1,IF(DATOS!$G16766="OR",--(COUNTIFS(nNIA,DATOS!$A16766,nCURSO,DATOS!$D16766,nESPEC,DATOS!$E16766,nASIG,DATOS!$I16766,nEVAL,"EX")=0),0))))</f>
      </c>
      <c r="H16766">
        <f>IF(DATOS!$G16766&lt;&gt;"EX",0,--(COUNTIFS(nNIA,DATOS!$A16766,nCURSO,DATOS!$D16766,nESPEC,DATOS!$E16766,nASIG,DATOS!$I16766,nEVAL,"OR")=0))</f>
      </c>
      <c r="I16766">
        <f>IF(DATOS!$I16766="","",IFERROR(VLOOKUP(DATOS!$I16766,CONFIG_ASIGNATURAS!$B$2:$J$91,9,FALSE()),""))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IF(DATOS!$A16767="",0,IF(CONFIG_METADATA!$B$4&lt;&gt;"OR+EX",--(DATOS!$G16767=CONFIG_METADATA!$B$4),IF(DATOS!$G16767="EX",1,IF(DATOS!$G16767="OR",--(COUNTIFS(nNIA,DATOS!$A16767,nCURSO,DATOS!$D16767,nESPEC,DATOS!$E16767,nASIG,DATOS!$I16767,nEVAL,"EX")=0),0))))</f>
      </c>
      <c r="H16767">
        <f>IF(DATOS!$G16767&lt;&gt;"EX",0,--(COUNTIFS(nNIA,DATOS!$A16767,nCURSO,DATOS!$D16767,nESPEC,DATOS!$E16767,nASIG,DATOS!$I16767,nEVAL,"OR")=0))</f>
      </c>
      <c r="I16767">
        <f>IF(DATOS!$I16767="","",IFERROR(VLOOKUP(DATOS!$I16767,CONFIG_ASIGNATURAS!$B$2:$J$91,9,FALSE()),""))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IF(DATOS!$A16768="",0,IF(CONFIG_METADATA!$B$4&lt;&gt;"OR+EX",--(DATOS!$G16768=CONFIG_METADATA!$B$4),IF(DATOS!$G16768="EX",1,IF(DATOS!$G16768="OR",--(COUNTIFS(nNIA,DATOS!$A16768,nCURSO,DATOS!$D16768,nESPEC,DATOS!$E16768,nASIG,DATOS!$I16768,nEVAL,"EX")=0),0))))</f>
      </c>
      <c r="H16768">
        <f>IF(DATOS!$G16768&lt;&gt;"EX",0,--(COUNTIFS(nNIA,DATOS!$A16768,nCURSO,DATOS!$D16768,nESPEC,DATOS!$E16768,nASIG,DATOS!$I16768,nEVAL,"OR")=0))</f>
      </c>
      <c r="I16768">
        <f>IF(DATOS!$I16768="","",IFERROR(VLOOKUP(DATOS!$I16768,CONFIG_ASIGNATURAS!$B$2:$J$91,9,FALSE()),""))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IF(DATOS!$A16769="",0,IF(CONFIG_METADATA!$B$4&lt;&gt;"OR+EX",--(DATOS!$G16769=CONFIG_METADATA!$B$4),IF(DATOS!$G16769="EX",1,IF(DATOS!$G16769="OR",--(COUNTIFS(nNIA,DATOS!$A16769,nCURSO,DATOS!$D16769,nESPEC,DATOS!$E16769,nASIG,DATOS!$I16769,nEVAL,"EX")=0),0))))</f>
      </c>
      <c r="H16769">
        <f>IF(DATOS!$G16769&lt;&gt;"EX",0,--(COUNTIFS(nNIA,DATOS!$A16769,nCURSO,DATOS!$D16769,nESPEC,DATOS!$E16769,nASIG,DATOS!$I16769,nEVAL,"OR")=0))</f>
      </c>
      <c r="I16769">
        <f>IF(DATOS!$I16769="","",IFERROR(VLOOKUP(DATOS!$I16769,CONFIG_ASIGNATURAS!$B$2:$J$91,9,FALSE()),""))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IF(DATOS!$A16770="",0,IF(CONFIG_METADATA!$B$4&lt;&gt;"OR+EX",--(DATOS!$G16770=CONFIG_METADATA!$B$4),IF(DATOS!$G16770="EX",1,IF(DATOS!$G16770="OR",--(COUNTIFS(nNIA,DATOS!$A16770,nCURSO,DATOS!$D16770,nESPEC,DATOS!$E16770,nASIG,DATOS!$I16770,nEVAL,"EX")=0),0))))</f>
      </c>
      <c r="H16770">
        <f>IF(DATOS!$G16770&lt;&gt;"EX",0,--(COUNTIFS(nNIA,DATOS!$A16770,nCURSO,DATOS!$D16770,nESPEC,DATOS!$E16770,nASIG,DATOS!$I16770,nEVAL,"OR")=0))</f>
      </c>
      <c r="I16770">
        <f>IF(DATOS!$I16770="","",IFERROR(VLOOKUP(DATOS!$I16770,CONFIG_ASIGNATURAS!$B$2:$J$91,9,FALSE()),""))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IF(DATOS!$A16771="",0,IF(CONFIG_METADATA!$B$4&lt;&gt;"OR+EX",--(DATOS!$G16771=CONFIG_METADATA!$B$4),IF(DATOS!$G16771="EX",1,IF(DATOS!$G16771="OR",--(COUNTIFS(nNIA,DATOS!$A16771,nCURSO,DATOS!$D16771,nESPEC,DATOS!$E16771,nASIG,DATOS!$I16771,nEVAL,"EX")=0),0))))</f>
      </c>
      <c r="H16771">
        <f>IF(DATOS!$G16771&lt;&gt;"EX",0,--(COUNTIFS(nNIA,DATOS!$A16771,nCURSO,DATOS!$D16771,nESPEC,DATOS!$E16771,nASIG,DATOS!$I16771,nEVAL,"OR")=0))</f>
      </c>
      <c r="I16771">
        <f>IF(DATOS!$I16771="","",IFERROR(VLOOKUP(DATOS!$I16771,CONFIG_ASIGNATURAS!$B$2:$J$91,9,FALSE()),""))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IF(DATOS!$A16772="",0,IF(CONFIG_METADATA!$B$4&lt;&gt;"OR+EX",--(DATOS!$G16772=CONFIG_METADATA!$B$4),IF(DATOS!$G16772="EX",1,IF(DATOS!$G16772="OR",--(COUNTIFS(nNIA,DATOS!$A16772,nCURSO,DATOS!$D16772,nESPEC,DATOS!$E16772,nASIG,DATOS!$I16772,nEVAL,"EX")=0),0))))</f>
      </c>
      <c r="H16772">
        <f>IF(DATOS!$G16772&lt;&gt;"EX",0,--(COUNTIFS(nNIA,DATOS!$A16772,nCURSO,DATOS!$D16772,nESPEC,DATOS!$E16772,nASIG,DATOS!$I16772,nEVAL,"OR")=0))</f>
      </c>
      <c r="I16772">
        <f>IF(DATOS!$I16772="","",IFERROR(VLOOKUP(DATOS!$I16772,CONFIG_ASIGNATURAS!$B$2:$J$91,9,FALSE()),""))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IF(DATOS!$A16773="",0,IF(CONFIG_METADATA!$B$4&lt;&gt;"OR+EX",--(DATOS!$G16773=CONFIG_METADATA!$B$4),IF(DATOS!$G16773="EX",1,IF(DATOS!$G16773="OR",--(COUNTIFS(nNIA,DATOS!$A16773,nCURSO,DATOS!$D16773,nESPEC,DATOS!$E16773,nASIG,DATOS!$I16773,nEVAL,"EX")=0),0))))</f>
      </c>
      <c r="H16773">
        <f>IF(DATOS!$G16773&lt;&gt;"EX",0,--(COUNTIFS(nNIA,DATOS!$A16773,nCURSO,DATOS!$D16773,nESPEC,DATOS!$E16773,nASIG,DATOS!$I16773,nEVAL,"OR")=0))</f>
      </c>
      <c r="I16773">
        <f>IF(DATOS!$I16773="","",IFERROR(VLOOKUP(DATOS!$I16773,CONFIG_ASIGNATURAS!$B$2:$J$91,9,FALSE()),""))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IF(DATOS!$A16774="",0,IF(CONFIG_METADATA!$B$4&lt;&gt;"OR+EX",--(DATOS!$G16774=CONFIG_METADATA!$B$4),IF(DATOS!$G16774="EX",1,IF(DATOS!$G16774="OR",--(COUNTIFS(nNIA,DATOS!$A16774,nCURSO,DATOS!$D16774,nESPEC,DATOS!$E16774,nASIG,DATOS!$I16774,nEVAL,"EX")=0),0))))</f>
      </c>
      <c r="H16774">
        <f>IF(DATOS!$G16774&lt;&gt;"EX",0,--(COUNTIFS(nNIA,DATOS!$A16774,nCURSO,DATOS!$D16774,nESPEC,DATOS!$E16774,nASIG,DATOS!$I16774,nEVAL,"OR")=0))</f>
      </c>
      <c r="I16774">
        <f>IF(DATOS!$I16774="","",IFERROR(VLOOKUP(DATOS!$I16774,CONFIG_ASIGNATURAS!$B$2:$J$91,9,FALSE()),""))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IF(DATOS!$A16775="",0,IF(CONFIG_METADATA!$B$4&lt;&gt;"OR+EX",--(DATOS!$G16775=CONFIG_METADATA!$B$4),IF(DATOS!$G16775="EX",1,IF(DATOS!$G16775="OR",--(COUNTIFS(nNIA,DATOS!$A16775,nCURSO,DATOS!$D16775,nESPEC,DATOS!$E16775,nASIG,DATOS!$I16775,nEVAL,"EX")=0),0))))</f>
      </c>
      <c r="H16775">
        <f>IF(DATOS!$G16775&lt;&gt;"EX",0,--(COUNTIFS(nNIA,DATOS!$A16775,nCURSO,DATOS!$D16775,nESPEC,DATOS!$E16775,nASIG,DATOS!$I16775,nEVAL,"OR")=0))</f>
      </c>
      <c r="I16775">
        <f>IF(DATOS!$I16775="","",IFERROR(VLOOKUP(DATOS!$I16775,CONFIG_ASIGNATURAS!$B$2:$J$91,9,FALSE()),""))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IF(DATOS!$A16776="",0,IF(CONFIG_METADATA!$B$4&lt;&gt;"OR+EX",--(DATOS!$G16776=CONFIG_METADATA!$B$4),IF(DATOS!$G16776="EX",1,IF(DATOS!$G16776="OR",--(COUNTIFS(nNIA,DATOS!$A16776,nCURSO,DATOS!$D16776,nESPEC,DATOS!$E16776,nASIG,DATOS!$I16776,nEVAL,"EX")=0),0))))</f>
      </c>
      <c r="H16776">
        <f>IF(DATOS!$G16776&lt;&gt;"EX",0,--(COUNTIFS(nNIA,DATOS!$A16776,nCURSO,DATOS!$D16776,nESPEC,DATOS!$E16776,nASIG,DATOS!$I16776,nEVAL,"OR")=0))</f>
      </c>
      <c r="I16776">
        <f>IF(DATOS!$I16776="","",IFERROR(VLOOKUP(DATOS!$I16776,CONFIG_ASIGNATURAS!$B$2:$J$91,9,FALSE()),""))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IF(DATOS!$A16777="",0,IF(CONFIG_METADATA!$B$4&lt;&gt;"OR+EX",--(DATOS!$G16777=CONFIG_METADATA!$B$4),IF(DATOS!$G16777="EX",1,IF(DATOS!$G16777="OR",--(COUNTIFS(nNIA,DATOS!$A16777,nCURSO,DATOS!$D16777,nESPEC,DATOS!$E16777,nASIG,DATOS!$I16777,nEVAL,"EX")=0),0))))</f>
      </c>
      <c r="H16777">
        <f>IF(DATOS!$G16777&lt;&gt;"EX",0,--(COUNTIFS(nNIA,DATOS!$A16777,nCURSO,DATOS!$D16777,nESPEC,DATOS!$E16777,nASIG,DATOS!$I16777,nEVAL,"OR")=0))</f>
      </c>
      <c r="I16777">
        <f>IF(DATOS!$I16777="","",IFERROR(VLOOKUP(DATOS!$I16777,CONFIG_ASIGNATURAS!$B$2:$J$91,9,FALSE()),""))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IF(DATOS!$A16778="",0,IF(CONFIG_METADATA!$B$4&lt;&gt;"OR+EX",--(DATOS!$G16778=CONFIG_METADATA!$B$4),IF(DATOS!$G16778="EX",1,IF(DATOS!$G16778="OR",--(COUNTIFS(nNIA,DATOS!$A16778,nCURSO,DATOS!$D16778,nESPEC,DATOS!$E16778,nASIG,DATOS!$I16778,nEVAL,"EX")=0),0))))</f>
      </c>
      <c r="H16778">
        <f>IF(DATOS!$G16778&lt;&gt;"EX",0,--(COUNTIFS(nNIA,DATOS!$A16778,nCURSO,DATOS!$D16778,nESPEC,DATOS!$E16778,nASIG,DATOS!$I16778,nEVAL,"OR")=0))</f>
      </c>
      <c r="I16778">
        <f>IF(DATOS!$I16778="","",IFERROR(VLOOKUP(DATOS!$I16778,CONFIG_ASIGNATURAS!$B$2:$J$91,9,FALSE()),""))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IF(DATOS!$A16779="",0,IF(CONFIG_METADATA!$B$4&lt;&gt;"OR+EX",--(DATOS!$G16779=CONFIG_METADATA!$B$4),IF(DATOS!$G16779="EX",1,IF(DATOS!$G16779="OR",--(COUNTIFS(nNIA,DATOS!$A16779,nCURSO,DATOS!$D16779,nESPEC,DATOS!$E16779,nASIG,DATOS!$I16779,nEVAL,"EX")=0),0))))</f>
      </c>
      <c r="H16779">
        <f>IF(DATOS!$G16779&lt;&gt;"EX",0,--(COUNTIFS(nNIA,DATOS!$A16779,nCURSO,DATOS!$D16779,nESPEC,DATOS!$E16779,nASIG,DATOS!$I16779,nEVAL,"OR")=0))</f>
      </c>
      <c r="I16779">
        <f>IF(DATOS!$I16779="","",IFERROR(VLOOKUP(DATOS!$I16779,CONFIG_ASIGNATURAS!$B$2:$J$91,9,FALSE()),""))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IF(DATOS!$A16780="",0,IF(CONFIG_METADATA!$B$4&lt;&gt;"OR+EX",--(DATOS!$G16780=CONFIG_METADATA!$B$4),IF(DATOS!$G16780="EX",1,IF(DATOS!$G16780="OR",--(COUNTIFS(nNIA,DATOS!$A16780,nCURSO,DATOS!$D16780,nESPEC,DATOS!$E16780,nASIG,DATOS!$I16780,nEVAL,"EX")=0),0))))</f>
      </c>
      <c r="H16780">
        <f>IF(DATOS!$G16780&lt;&gt;"EX",0,--(COUNTIFS(nNIA,DATOS!$A16780,nCURSO,DATOS!$D16780,nESPEC,DATOS!$E16780,nASIG,DATOS!$I16780,nEVAL,"OR")=0))</f>
      </c>
      <c r="I16780">
        <f>IF(DATOS!$I16780="","",IFERROR(VLOOKUP(DATOS!$I16780,CONFIG_ASIGNATURAS!$B$2:$J$91,9,FALSE()),""))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IF(DATOS!$A16781="",0,IF(CONFIG_METADATA!$B$4&lt;&gt;"OR+EX",--(DATOS!$G16781=CONFIG_METADATA!$B$4),IF(DATOS!$G16781="EX",1,IF(DATOS!$G16781="OR",--(COUNTIFS(nNIA,DATOS!$A16781,nCURSO,DATOS!$D16781,nESPEC,DATOS!$E16781,nASIG,DATOS!$I16781,nEVAL,"EX")=0),0))))</f>
      </c>
      <c r="H16781">
        <f>IF(DATOS!$G16781&lt;&gt;"EX",0,--(COUNTIFS(nNIA,DATOS!$A16781,nCURSO,DATOS!$D16781,nESPEC,DATOS!$E16781,nASIG,DATOS!$I16781,nEVAL,"OR")=0))</f>
      </c>
      <c r="I16781">
        <f>IF(DATOS!$I16781="","",IFERROR(VLOOKUP(DATOS!$I16781,CONFIG_ASIGNATURAS!$B$2:$J$91,9,FALSE()),""))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IF(DATOS!$A16782="",0,IF(CONFIG_METADATA!$B$4&lt;&gt;"OR+EX",--(DATOS!$G16782=CONFIG_METADATA!$B$4),IF(DATOS!$G16782="EX",1,IF(DATOS!$G16782="OR",--(COUNTIFS(nNIA,DATOS!$A16782,nCURSO,DATOS!$D16782,nESPEC,DATOS!$E16782,nASIG,DATOS!$I16782,nEVAL,"EX")=0),0))))</f>
      </c>
      <c r="H16782">
        <f>IF(DATOS!$G16782&lt;&gt;"EX",0,--(COUNTIFS(nNIA,DATOS!$A16782,nCURSO,DATOS!$D16782,nESPEC,DATOS!$E16782,nASIG,DATOS!$I16782,nEVAL,"OR")=0))</f>
      </c>
      <c r="I16782">
        <f>IF(DATOS!$I16782="","",IFERROR(VLOOKUP(DATOS!$I16782,CONFIG_ASIGNATURAS!$B$2:$J$91,9,FALSE()),""))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IF(DATOS!$A16783="",0,IF(CONFIG_METADATA!$B$4&lt;&gt;"OR+EX",--(DATOS!$G16783=CONFIG_METADATA!$B$4),IF(DATOS!$G16783="EX",1,IF(DATOS!$G16783="OR",--(COUNTIFS(nNIA,DATOS!$A16783,nCURSO,DATOS!$D16783,nESPEC,DATOS!$E16783,nASIG,DATOS!$I16783,nEVAL,"EX")=0),0))))</f>
      </c>
      <c r="H16783">
        <f>IF(DATOS!$G16783&lt;&gt;"EX",0,--(COUNTIFS(nNIA,DATOS!$A16783,nCURSO,DATOS!$D16783,nESPEC,DATOS!$E16783,nASIG,DATOS!$I16783,nEVAL,"OR")=0))</f>
      </c>
      <c r="I16783">
        <f>IF(DATOS!$I16783="","",IFERROR(VLOOKUP(DATOS!$I16783,CONFIG_ASIGNATURAS!$B$2:$J$91,9,FALSE()),""))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IF(DATOS!$A16784="",0,IF(CONFIG_METADATA!$B$4&lt;&gt;"OR+EX",--(DATOS!$G16784=CONFIG_METADATA!$B$4),IF(DATOS!$G16784="EX",1,IF(DATOS!$G16784="OR",--(COUNTIFS(nNIA,DATOS!$A16784,nCURSO,DATOS!$D16784,nESPEC,DATOS!$E16784,nASIG,DATOS!$I16784,nEVAL,"EX")=0),0))))</f>
      </c>
      <c r="H16784">
        <f>IF(DATOS!$G16784&lt;&gt;"EX",0,--(COUNTIFS(nNIA,DATOS!$A16784,nCURSO,DATOS!$D16784,nESPEC,DATOS!$E16784,nASIG,DATOS!$I16784,nEVAL,"OR")=0))</f>
      </c>
      <c r="I16784">
        <f>IF(DATOS!$I16784="","",IFERROR(VLOOKUP(DATOS!$I16784,CONFIG_ASIGNATURAS!$B$2:$J$91,9,FALSE()),""))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IF(DATOS!$A16785="",0,IF(CONFIG_METADATA!$B$4&lt;&gt;"OR+EX",--(DATOS!$G16785=CONFIG_METADATA!$B$4),IF(DATOS!$G16785="EX",1,IF(DATOS!$G16785="OR",--(COUNTIFS(nNIA,DATOS!$A16785,nCURSO,DATOS!$D16785,nESPEC,DATOS!$E16785,nASIG,DATOS!$I16785,nEVAL,"EX")=0),0))))</f>
      </c>
      <c r="H16785">
        <f>IF(DATOS!$G16785&lt;&gt;"EX",0,--(COUNTIFS(nNIA,DATOS!$A16785,nCURSO,DATOS!$D16785,nESPEC,DATOS!$E16785,nASIG,DATOS!$I16785,nEVAL,"OR")=0))</f>
      </c>
      <c r="I16785">
        <f>IF(DATOS!$I16785="","",IFERROR(VLOOKUP(DATOS!$I16785,CONFIG_ASIGNATURAS!$B$2:$J$91,9,FALSE()),""))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IF(DATOS!$A16786="",0,IF(CONFIG_METADATA!$B$4&lt;&gt;"OR+EX",--(DATOS!$G16786=CONFIG_METADATA!$B$4),IF(DATOS!$G16786="EX",1,IF(DATOS!$G16786="OR",--(COUNTIFS(nNIA,DATOS!$A16786,nCURSO,DATOS!$D16786,nESPEC,DATOS!$E16786,nASIG,DATOS!$I16786,nEVAL,"EX")=0),0))))</f>
      </c>
      <c r="H16786">
        <f>IF(DATOS!$G16786&lt;&gt;"EX",0,--(COUNTIFS(nNIA,DATOS!$A16786,nCURSO,DATOS!$D16786,nESPEC,DATOS!$E16786,nASIG,DATOS!$I16786,nEVAL,"OR")=0))</f>
      </c>
      <c r="I16786">
        <f>IF(DATOS!$I16786="","",IFERROR(VLOOKUP(DATOS!$I16786,CONFIG_ASIGNATURAS!$B$2:$J$91,9,FALSE()),""))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IF(DATOS!$A16787="",0,IF(CONFIG_METADATA!$B$4&lt;&gt;"OR+EX",--(DATOS!$G16787=CONFIG_METADATA!$B$4),IF(DATOS!$G16787="EX",1,IF(DATOS!$G16787="OR",--(COUNTIFS(nNIA,DATOS!$A16787,nCURSO,DATOS!$D16787,nESPEC,DATOS!$E16787,nASIG,DATOS!$I16787,nEVAL,"EX")=0),0))))</f>
      </c>
      <c r="H16787">
        <f>IF(DATOS!$G16787&lt;&gt;"EX",0,--(COUNTIFS(nNIA,DATOS!$A16787,nCURSO,DATOS!$D16787,nESPEC,DATOS!$E16787,nASIG,DATOS!$I16787,nEVAL,"OR")=0))</f>
      </c>
      <c r="I16787">
        <f>IF(DATOS!$I16787="","",IFERROR(VLOOKUP(DATOS!$I16787,CONFIG_ASIGNATURAS!$B$2:$J$91,9,FALSE()),""))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IF(DATOS!$A16788="",0,IF(CONFIG_METADATA!$B$4&lt;&gt;"OR+EX",--(DATOS!$G16788=CONFIG_METADATA!$B$4),IF(DATOS!$G16788="EX",1,IF(DATOS!$G16788="OR",--(COUNTIFS(nNIA,DATOS!$A16788,nCURSO,DATOS!$D16788,nESPEC,DATOS!$E16788,nASIG,DATOS!$I16788,nEVAL,"EX")=0),0))))</f>
      </c>
      <c r="H16788">
        <f>IF(DATOS!$G16788&lt;&gt;"EX",0,--(COUNTIFS(nNIA,DATOS!$A16788,nCURSO,DATOS!$D16788,nESPEC,DATOS!$E16788,nASIG,DATOS!$I16788,nEVAL,"OR")=0))</f>
      </c>
      <c r="I16788">
        <f>IF(DATOS!$I16788="","",IFERROR(VLOOKUP(DATOS!$I16788,CONFIG_ASIGNATURAS!$B$2:$J$91,9,FALSE()),""))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IF(DATOS!$A16789="",0,IF(CONFIG_METADATA!$B$4&lt;&gt;"OR+EX",--(DATOS!$G16789=CONFIG_METADATA!$B$4),IF(DATOS!$G16789="EX",1,IF(DATOS!$G16789="OR",--(COUNTIFS(nNIA,DATOS!$A16789,nCURSO,DATOS!$D16789,nESPEC,DATOS!$E16789,nASIG,DATOS!$I16789,nEVAL,"EX")=0),0))))</f>
      </c>
      <c r="H16789">
        <f>IF(DATOS!$G16789&lt;&gt;"EX",0,--(COUNTIFS(nNIA,DATOS!$A16789,nCURSO,DATOS!$D16789,nESPEC,DATOS!$E16789,nASIG,DATOS!$I16789,nEVAL,"OR")=0))</f>
      </c>
      <c r="I16789">
        <f>IF(DATOS!$I16789="","",IFERROR(VLOOKUP(DATOS!$I16789,CONFIG_ASIGNATURAS!$B$2:$J$91,9,FALSE()),""))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IF(DATOS!$A16790="",0,IF(CONFIG_METADATA!$B$4&lt;&gt;"OR+EX",--(DATOS!$G16790=CONFIG_METADATA!$B$4),IF(DATOS!$G16790="EX",1,IF(DATOS!$G16790="OR",--(COUNTIFS(nNIA,DATOS!$A16790,nCURSO,DATOS!$D16790,nESPEC,DATOS!$E16790,nASIG,DATOS!$I16790,nEVAL,"EX")=0),0))))</f>
      </c>
      <c r="H16790">
        <f>IF(DATOS!$G16790&lt;&gt;"EX",0,--(COUNTIFS(nNIA,DATOS!$A16790,nCURSO,DATOS!$D16790,nESPEC,DATOS!$E16790,nASIG,DATOS!$I16790,nEVAL,"OR")=0))</f>
      </c>
      <c r="I16790">
        <f>IF(DATOS!$I16790="","",IFERROR(VLOOKUP(DATOS!$I16790,CONFIG_ASIGNATURAS!$B$2:$J$91,9,FALSE()),""))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IF(DATOS!$A16791="",0,IF(CONFIG_METADATA!$B$4&lt;&gt;"OR+EX",--(DATOS!$G16791=CONFIG_METADATA!$B$4),IF(DATOS!$G16791="EX",1,IF(DATOS!$G16791="OR",--(COUNTIFS(nNIA,DATOS!$A16791,nCURSO,DATOS!$D16791,nESPEC,DATOS!$E16791,nASIG,DATOS!$I16791,nEVAL,"EX")=0),0))))</f>
      </c>
      <c r="H16791">
        <f>IF(DATOS!$G16791&lt;&gt;"EX",0,--(COUNTIFS(nNIA,DATOS!$A16791,nCURSO,DATOS!$D16791,nESPEC,DATOS!$E16791,nASIG,DATOS!$I16791,nEVAL,"OR")=0))</f>
      </c>
      <c r="I16791">
        <f>IF(DATOS!$I16791="","",IFERROR(VLOOKUP(DATOS!$I16791,CONFIG_ASIGNATURAS!$B$2:$J$91,9,FALSE()),""))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IF(DATOS!$A16792="",0,IF(CONFIG_METADATA!$B$4&lt;&gt;"OR+EX",--(DATOS!$G16792=CONFIG_METADATA!$B$4),IF(DATOS!$G16792="EX",1,IF(DATOS!$G16792="OR",--(COUNTIFS(nNIA,DATOS!$A16792,nCURSO,DATOS!$D16792,nESPEC,DATOS!$E16792,nASIG,DATOS!$I16792,nEVAL,"EX")=0),0))))</f>
      </c>
      <c r="H16792">
        <f>IF(DATOS!$G16792&lt;&gt;"EX",0,--(COUNTIFS(nNIA,DATOS!$A16792,nCURSO,DATOS!$D16792,nESPEC,DATOS!$E16792,nASIG,DATOS!$I16792,nEVAL,"OR")=0))</f>
      </c>
      <c r="I16792">
        <f>IF(DATOS!$I16792="","",IFERROR(VLOOKUP(DATOS!$I16792,CONFIG_ASIGNATURAS!$B$2:$J$91,9,FALSE()),""))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IF(DATOS!$A16793="",0,IF(CONFIG_METADATA!$B$4&lt;&gt;"OR+EX",--(DATOS!$G16793=CONFIG_METADATA!$B$4),IF(DATOS!$G16793="EX",1,IF(DATOS!$G16793="OR",--(COUNTIFS(nNIA,DATOS!$A16793,nCURSO,DATOS!$D16793,nESPEC,DATOS!$E16793,nASIG,DATOS!$I16793,nEVAL,"EX")=0),0))))</f>
      </c>
      <c r="H16793">
        <f>IF(DATOS!$G16793&lt;&gt;"EX",0,--(COUNTIFS(nNIA,DATOS!$A16793,nCURSO,DATOS!$D16793,nESPEC,DATOS!$E16793,nASIG,DATOS!$I16793,nEVAL,"OR")=0))</f>
      </c>
      <c r="I16793">
        <f>IF(DATOS!$I16793="","",IFERROR(VLOOKUP(DATOS!$I16793,CONFIG_ASIGNATURAS!$B$2:$J$91,9,FALSE()),""))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IF(DATOS!$A16794="",0,IF(CONFIG_METADATA!$B$4&lt;&gt;"OR+EX",--(DATOS!$G16794=CONFIG_METADATA!$B$4),IF(DATOS!$G16794="EX",1,IF(DATOS!$G16794="OR",--(COUNTIFS(nNIA,DATOS!$A16794,nCURSO,DATOS!$D16794,nESPEC,DATOS!$E16794,nASIG,DATOS!$I16794,nEVAL,"EX")=0),0))))</f>
      </c>
      <c r="H16794">
        <f>IF(DATOS!$G16794&lt;&gt;"EX",0,--(COUNTIFS(nNIA,DATOS!$A16794,nCURSO,DATOS!$D16794,nESPEC,DATOS!$E16794,nASIG,DATOS!$I16794,nEVAL,"OR")=0))</f>
      </c>
      <c r="I16794">
        <f>IF(DATOS!$I16794="","",IFERROR(VLOOKUP(DATOS!$I16794,CONFIG_ASIGNATURAS!$B$2:$J$91,9,FALSE()),""))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IF(DATOS!$A16795="",0,IF(CONFIG_METADATA!$B$4&lt;&gt;"OR+EX",--(DATOS!$G16795=CONFIG_METADATA!$B$4),IF(DATOS!$G16795="EX",1,IF(DATOS!$G16795="OR",--(COUNTIFS(nNIA,DATOS!$A16795,nCURSO,DATOS!$D16795,nESPEC,DATOS!$E16795,nASIG,DATOS!$I16795,nEVAL,"EX")=0),0))))</f>
      </c>
      <c r="H16795">
        <f>IF(DATOS!$G16795&lt;&gt;"EX",0,--(COUNTIFS(nNIA,DATOS!$A16795,nCURSO,DATOS!$D16795,nESPEC,DATOS!$E16795,nASIG,DATOS!$I16795,nEVAL,"OR")=0))</f>
      </c>
      <c r="I16795">
        <f>IF(DATOS!$I16795="","",IFERROR(VLOOKUP(DATOS!$I16795,CONFIG_ASIGNATURAS!$B$2:$J$91,9,FALSE()),""))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IF(DATOS!$A16796="",0,IF(CONFIG_METADATA!$B$4&lt;&gt;"OR+EX",--(DATOS!$G16796=CONFIG_METADATA!$B$4),IF(DATOS!$G16796="EX",1,IF(DATOS!$G16796="OR",--(COUNTIFS(nNIA,DATOS!$A16796,nCURSO,DATOS!$D16796,nESPEC,DATOS!$E16796,nASIG,DATOS!$I16796,nEVAL,"EX")=0),0))))</f>
      </c>
      <c r="H16796">
        <f>IF(DATOS!$G16796&lt;&gt;"EX",0,--(COUNTIFS(nNIA,DATOS!$A16796,nCURSO,DATOS!$D16796,nESPEC,DATOS!$E16796,nASIG,DATOS!$I16796,nEVAL,"OR")=0))</f>
      </c>
      <c r="I16796">
        <f>IF(DATOS!$I16796="","",IFERROR(VLOOKUP(DATOS!$I16796,CONFIG_ASIGNATURAS!$B$2:$J$91,9,FALSE()),""))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IF(DATOS!$A16797="",0,IF(CONFIG_METADATA!$B$4&lt;&gt;"OR+EX",--(DATOS!$G16797=CONFIG_METADATA!$B$4),IF(DATOS!$G16797="EX",1,IF(DATOS!$G16797="OR",--(COUNTIFS(nNIA,DATOS!$A16797,nCURSO,DATOS!$D16797,nESPEC,DATOS!$E16797,nASIG,DATOS!$I16797,nEVAL,"EX")=0),0))))</f>
      </c>
      <c r="H16797">
        <f>IF(DATOS!$G16797&lt;&gt;"EX",0,--(COUNTIFS(nNIA,DATOS!$A16797,nCURSO,DATOS!$D16797,nESPEC,DATOS!$E16797,nASIG,DATOS!$I16797,nEVAL,"OR")=0))</f>
      </c>
      <c r="I16797">
        <f>IF(DATOS!$I16797="","",IFERROR(VLOOKUP(DATOS!$I16797,CONFIG_ASIGNATURAS!$B$2:$J$91,9,FALSE()),""))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IF(DATOS!$A16798="",0,IF(CONFIG_METADATA!$B$4&lt;&gt;"OR+EX",--(DATOS!$G16798=CONFIG_METADATA!$B$4),IF(DATOS!$G16798="EX",1,IF(DATOS!$G16798="OR",--(COUNTIFS(nNIA,DATOS!$A16798,nCURSO,DATOS!$D16798,nESPEC,DATOS!$E16798,nASIG,DATOS!$I16798,nEVAL,"EX")=0),0))))</f>
      </c>
      <c r="H16798">
        <f>IF(DATOS!$G16798&lt;&gt;"EX",0,--(COUNTIFS(nNIA,DATOS!$A16798,nCURSO,DATOS!$D16798,nESPEC,DATOS!$E16798,nASIG,DATOS!$I16798,nEVAL,"OR")=0))</f>
      </c>
      <c r="I16798">
        <f>IF(DATOS!$I16798="","",IFERROR(VLOOKUP(DATOS!$I16798,CONFIG_ASIGNATURAS!$B$2:$J$91,9,FALSE()),""))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IF(DATOS!$A16799="",0,IF(CONFIG_METADATA!$B$4&lt;&gt;"OR+EX",--(DATOS!$G16799=CONFIG_METADATA!$B$4),IF(DATOS!$G16799="EX",1,IF(DATOS!$G16799="OR",--(COUNTIFS(nNIA,DATOS!$A16799,nCURSO,DATOS!$D16799,nESPEC,DATOS!$E16799,nASIG,DATOS!$I16799,nEVAL,"EX")=0),0))))</f>
      </c>
      <c r="H16799">
        <f>IF(DATOS!$G16799&lt;&gt;"EX",0,--(COUNTIFS(nNIA,DATOS!$A16799,nCURSO,DATOS!$D16799,nESPEC,DATOS!$E16799,nASIG,DATOS!$I16799,nEVAL,"OR")=0))</f>
      </c>
      <c r="I16799">
        <f>IF(DATOS!$I16799="","",IFERROR(VLOOKUP(DATOS!$I16799,CONFIG_ASIGNATURAS!$B$2:$J$91,9,FALSE()),""))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IF(DATOS!$A16800="",0,IF(CONFIG_METADATA!$B$4&lt;&gt;"OR+EX",--(DATOS!$G16800=CONFIG_METADATA!$B$4),IF(DATOS!$G16800="EX",1,IF(DATOS!$G16800="OR",--(COUNTIFS(nNIA,DATOS!$A16800,nCURSO,DATOS!$D16800,nESPEC,DATOS!$E16800,nASIG,DATOS!$I16800,nEVAL,"EX")=0),0))))</f>
      </c>
      <c r="H16800">
        <f>IF(DATOS!$G16800&lt;&gt;"EX",0,--(COUNTIFS(nNIA,DATOS!$A16800,nCURSO,DATOS!$D16800,nESPEC,DATOS!$E16800,nASIG,DATOS!$I16800,nEVAL,"OR")=0))</f>
      </c>
      <c r="I16800">
        <f>IF(DATOS!$I16800="","",IFERROR(VLOOKUP(DATOS!$I16800,CONFIG_ASIGNATURAS!$B$2:$J$91,9,FALSE()),""))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IF(DATOS!$A16801="",0,IF(CONFIG_METADATA!$B$4&lt;&gt;"OR+EX",--(DATOS!$G16801=CONFIG_METADATA!$B$4),IF(DATOS!$G16801="EX",1,IF(DATOS!$G16801="OR",--(COUNTIFS(nNIA,DATOS!$A16801,nCURSO,DATOS!$D16801,nESPEC,DATOS!$E16801,nASIG,DATOS!$I16801,nEVAL,"EX")=0),0))))</f>
      </c>
      <c r="H16801">
        <f>IF(DATOS!$G16801&lt;&gt;"EX",0,--(COUNTIFS(nNIA,DATOS!$A16801,nCURSO,DATOS!$D16801,nESPEC,DATOS!$E16801,nASIG,DATOS!$I16801,nEVAL,"OR")=0))</f>
      </c>
      <c r="I16801">
        <f>IF(DATOS!$I16801="","",IFERROR(VLOOKUP(DATOS!$I16801,CONFIG_ASIGNATURAS!$B$2:$J$91,9,FALSE()),""))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IF(DATOS!$A16802="",0,IF(CONFIG_METADATA!$B$4&lt;&gt;"OR+EX",--(DATOS!$G16802=CONFIG_METADATA!$B$4),IF(DATOS!$G16802="EX",1,IF(DATOS!$G16802="OR",--(COUNTIFS(nNIA,DATOS!$A16802,nCURSO,DATOS!$D16802,nESPEC,DATOS!$E16802,nASIG,DATOS!$I16802,nEVAL,"EX")=0),0))))</f>
      </c>
      <c r="H16802">
        <f>IF(DATOS!$G16802&lt;&gt;"EX",0,--(COUNTIFS(nNIA,DATOS!$A16802,nCURSO,DATOS!$D16802,nESPEC,DATOS!$E16802,nASIG,DATOS!$I16802,nEVAL,"OR")=0))</f>
      </c>
      <c r="I16802">
        <f>IF(DATOS!$I16802="","",IFERROR(VLOOKUP(DATOS!$I16802,CONFIG_ASIGNATURAS!$B$2:$J$91,9,FALSE()),""))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IF(DATOS!$A16803="",0,IF(CONFIG_METADATA!$B$4&lt;&gt;"OR+EX",--(DATOS!$G16803=CONFIG_METADATA!$B$4),IF(DATOS!$G16803="EX",1,IF(DATOS!$G16803="OR",--(COUNTIFS(nNIA,DATOS!$A16803,nCURSO,DATOS!$D16803,nESPEC,DATOS!$E16803,nASIG,DATOS!$I16803,nEVAL,"EX")=0),0))))</f>
      </c>
      <c r="H16803">
        <f>IF(DATOS!$G16803&lt;&gt;"EX",0,--(COUNTIFS(nNIA,DATOS!$A16803,nCURSO,DATOS!$D16803,nESPEC,DATOS!$E16803,nASIG,DATOS!$I16803,nEVAL,"OR")=0))</f>
      </c>
      <c r="I16803">
        <f>IF(DATOS!$I16803="","",IFERROR(VLOOKUP(DATOS!$I16803,CONFIG_ASIGNATURAS!$B$2:$J$91,9,FALSE()),""))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IF(DATOS!$A16804="",0,IF(CONFIG_METADATA!$B$4&lt;&gt;"OR+EX",--(DATOS!$G16804=CONFIG_METADATA!$B$4),IF(DATOS!$G16804="EX",1,IF(DATOS!$G16804="OR",--(COUNTIFS(nNIA,DATOS!$A16804,nCURSO,DATOS!$D16804,nESPEC,DATOS!$E16804,nASIG,DATOS!$I16804,nEVAL,"EX")=0),0))))</f>
      </c>
      <c r="H16804">
        <f>IF(DATOS!$G16804&lt;&gt;"EX",0,--(COUNTIFS(nNIA,DATOS!$A16804,nCURSO,DATOS!$D16804,nESPEC,DATOS!$E16804,nASIG,DATOS!$I16804,nEVAL,"OR")=0))</f>
      </c>
      <c r="I16804">
        <f>IF(DATOS!$I16804="","",IFERROR(VLOOKUP(DATOS!$I16804,CONFIG_ASIGNATURAS!$B$2:$J$91,9,FALSE()),""))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IF(DATOS!$A16805="",0,IF(CONFIG_METADATA!$B$4&lt;&gt;"OR+EX",--(DATOS!$G16805=CONFIG_METADATA!$B$4),IF(DATOS!$G16805="EX",1,IF(DATOS!$G16805="OR",--(COUNTIFS(nNIA,DATOS!$A16805,nCURSO,DATOS!$D16805,nESPEC,DATOS!$E16805,nASIG,DATOS!$I16805,nEVAL,"EX")=0),0))))</f>
      </c>
      <c r="H16805">
        <f>IF(DATOS!$G16805&lt;&gt;"EX",0,--(COUNTIFS(nNIA,DATOS!$A16805,nCURSO,DATOS!$D16805,nESPEC,DATOS!$E16805,nASIG,DATOS!$I16805,nEVAL,"OR")=0))</f>
      </c>
      <c r="I16805">
        <f>IF(DATOS!$I16805="","",IFERROR(VLOOKUP(DATOS!$I16805,CONFIG_ASIGNATURAS!$B$2:$J$91,9,FALSE()),""))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IF(DATOS!$A16806="",0,IF(CONFIG_METADATA!$B$4&lt;&gt;"OR+EX",--(DATOS!$G16806=CONFIG_METADATA!$B$4),IF(DATOS!$G16806="EX",1,IF(DATOS!$G16806="OR",--(COUNTIFS(nNIA,DATOS!$A16806,nCURSO,DATOS!$D16806,nESPEC,DATOS!$E16806,nASIG,DATOS!$I16806,nEVAL,"EX")=0),0))))</f>
      </c>
      <c r="H16806">
        <f>IF(DATOS!$G16806&lt;&gt;"EX",0,--(COUNTIFS(nNIA,DATOS!$A16806,nCURSO,DATOS!$D16806,nESPEC,DATOS!$E16806,nASIG,DATOS!$I16806,nEVAL,"OR")=0))</f>
      </c>
      <c r="I16806">
        <f>IF(DATOS!$I16806="","",IFERROR(VLOOKUP(DATOS!$I16806,CONFIG_ASIGNATURAS!$B$2:$J$91,9,FALSE()),""))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IF(DATOS!$A16807="",0,IF(CONFIG_METADATA!$B$4&lt;&gt;"OR+EX",--(DATOS!$G16807=CONFIG_METADATA!$B$4),IF(DATOS!$G16807="EX",1,IF(DATOS!$G16807="OR",--(COUNTIFS(nNIA,DATOS!$A16807,nCURSO,DATOS!$D16807,nESPEC,DATOS!$E16807,nASIG,DATOS!$I16807,nEVAL,"EX")=0),0))))</f>
      </c>
      <c r="H16807">
        <f>IF(DATOS!$G16807&lt;&gt;"EX",0,--(COUNTIFS(nNIA,DATOS!$A16807,nCURSO,DATOS!$D16807,nESPEC,DATOS!$E16807,nASIG,DATOS!$I16807,nEVAL,"OR")=0))</f>
      </c>
      <c r="I16807">
        <f>IF(DATOS!$I16807="","",IFERROR(VLOOKUP(DATOS!$I16807,CONFIG_ASIGNATURAS!$B$2:$J$91,9,FALSE()),""))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IF(DATOS!$A16808="",0,IF(CONFIG_METADATA!$B$4&lt;&gt;"OR+EX",--(DATOS!$G16808=CONFIG_METADATA!$B$4),IF(DATOS!$G16808="EX",1,IF(DATOS!$G16808="OR",--(COUNTIFS(nNIA,DATOS!$A16808,nCURSO,DATOS!$D16808,nESPEC,DATOS!$E16808,nASIG,DATOS!$I16808,nEVAL,"EX")=0),0))))</f>
      </c>
      <c r="H16808">
        <f>IF(DATOS!$G16808&lt;&gt;"EX",0,--(COUNTIFS(nNIA,DATOS!$A16808,nCURSO,DATOS!$D16808,nESPEC,DATOS!$E16808,nASIG,DATOS!$I16808,nEVAL,"OR")=0))</f>
      </c>
      <c r="I16808">
        <f>IF(DATOS!$I16808="","",IFERROR(VLOOKUP(DATOS!$I16808,CONFIG_ASIGNATURAS!$B$2:$J$91,9,FALSE()),""))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IF(DATOS!$A16809="",0,IF(CONFIG_METADATA!$B$4&lt;&gt;"OR+EX",--(DATOS!$G16809=CONFIG_METADATA!$B$4),IF(DATOS!$G16809="EX",1,IF(DATOS!$G16809="OR",--(COUNTIFS(nNIA,DATOS!$A16809,nCURSO,DATOS!$D16809,nESPEC,DATOS!$E16809,nASIG,DATOS!$I16809,nEVAL,"EX")=0),0))))</f>
      </c>
      <c r="H16809">
        <f>IF(DATOS!$G16809&lt;&gt;"EX",0,--(COUNTIFS(nNIA,DATOS!$A16809,nCURSO,DATOS!$D16809,nESPEC,DATOS!$E16809,nASIG,DATOS!$I16809,nEVAL,"OR")=0))</f>
      </c>
      <c r="I16809">
        <f>IF(DATOS!$I16809="","",IFERROR(VLOOKUP(DATOS!$I16809,CONFIG_ASIGNATURAS!$B$2:$J$91,9,FALSE()),""))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IF(DATOS!$A16810="",0,IF(CONFIG_METADATA!$B$4&lt;&gt;"OR+EX",--(DATOS!$G16810=CONFIG_METADATA!$B$4),IF(DATOS!$G16810="EX",1,IF(DATOS!$G16810="OR",--(COUNTIFS(nNIA,DATOS!$A16810,nCURSO,DATOS!$D16810,nESPEC,DATOS!$E16810,nASIG,DATOS!$I16810,nEVAL,"EX")=0),0))))</f>
      </c>
      <c r="H16810">
        <f>IF(DATOS!$G16810&lt;&gt;"EX",0,--(COUNTIFS(nNIA,DATOS!$A16810,nCURSO,DATOS!$D16810,nESPEC,DATOS!$E16810,nASIG,DATOS!$I16810,nEVAL,"OR")=0))</f>
      </c>
      <c r="I16810">
        <f>IF(DATOS!$I16810="","",IFERROR(VLOOKUP(DATOS!$I16810,CONFIG_ASIGNATURAS!$B$2:$J$91,9,FALSE()),""))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IF(DATOS!$A16811="",0,IF(CONFIG_METADATA!$B$4&lt;&gt;"OR+EX",--(DATOS!$G16811=CONFIG_METADATA!$B$4),IF(DATOS!$G16811="EX",1,IF(DATOS!$G16811="OR",--(COUNTIFS(nNIA,DATOS!$A16811,nCURSO,DATOS!$D16811,nESPEC,DATOS!$E16811,nASIG,DATOS!$I16811,nEVAL,"EX")=0),0))))</f>
      </c>
      <c r="H16811">
        <f>IF(DATOS!$G16811&lt;&gt;"EX",0,--(COUNTIFS(nNIA,DATOS!$A16811,nCURSO,DATOS!$D16811,nESPEC,DATOS!$E16811,nASIG,DATOS!$I16811,nEVAL,"OR")=0))</f>
      </c>
      <c r="I16811">
        <f>IF(DATOS!$I16811="","",IFERROR(VLOOKUP(DATOS!$I16811,CONFIG_ASIGNATURAS!$B$2:$J$91,9,FALSE()),""))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IF(DATOS!$A16812="",0,IF(CONFIG_METADATA!$B$4&lt;&gt;"OR+EX",--(DATOS!$G16812=CONFIG_METADATA!$B$4),IF(DATOS!$G16812="EX",1,IF(DATOS!$G16812="OR",--(COUNTIFS(nNIA,DATOS!$A16812,nCURSO,DATOS!$D16812,nESPEC,DATOS!$E16812,nASIG,DATOS!$I16812,nEVAL,"EX")=0),0))))</f>
      </c>
      <c r="H16812">
        <f>IF(DATOS!$G16812&lt;&gt;"EX",0,--(COUNTIFS(nNIA,DATOS!$A16812,nCURSO,DATOS!$D16812,nESPEC,DATOS!$E16812,nASIG,DATOS!$I16812,nEVAL,"OR")=0))</f>
      </c>
      <c r="I16812">
        <f>IF(DATOS!$I16812="","",IFERROR(VLOOKUP(DATOS!$I16812,CONFIG_ASIGNATURAS!$B$2:$J$91,9,FALSE()),""))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IF(DATOS!$A16813="",0,IF(CONFIG_METADATA!$B$4&lt;&gt;"OR+EX",--(DATOS!$G16813=CONFIG_METADATA!$B$4),IF(DATOS!$G16813="EX",1,IF(DATOS!$G16813="OR",--(COUNTIFS(nNIA,DATOS!$A16813,nCURSO,DATOS!$D16813,nESPEC,DATOS!$E16813,nASIG,DATOS!$I16813,nEVAL,"EX")=0),0))))</f>
      </c>
      <c r="H16813">
        <f>IF(DATOS!$G16813&lt;&gt;"EX",0,--(COUNTIFS(nNIA,DATOS!$A16813,nCURSO,DATOS!$D16813,nESPEC,DATOS!$E16813,nASIG,DATOS!$I16813,nEVAL,"OR")=0))</f>
      </c>
      <c r="I16813">
        <f>IF(DATOS!$I16813="","",IFERROR(VLOOKUP(DATOS!$I16813,CONFIG_ASIGNATURAS!$B$2:$J$91,9,FALSE()),""))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IF(DATOS!$A16814="",0,IF(CONFIG_METADATA!$B$4&lt;&gt;"OR+EX",--(DATOS!$G16814=CONFIG_METADATA!$B$4),IF(DATOS!$G16814="EX",1,IF(DATOS!$G16814="OR",--(COUNTIFS(nNIA,DATOS!$A16814,nCURSO,DATOS!$D16814,nESPEC,DATOS!$E16814,nASIG,DATOS!$I16814,nEVAL,"EX")=0),0))))</f>
      </c>
      <c r="H16814">
        <f>IF(DATOS!$G16814&lt;&gt;"EX",0,--(COUNTIFS(nNIA,DATOS!$A16814,nCURSO,DATOS!$D16814,nESPEC,DATOS!$E16814,nASIG,DATOS!$I16814,nEVAL,"OR")=0))</f>
      </c>
      <c r="I16814">
        <f>IF(DATOS!$I16814="","",IFERROR(VLOOKUP(DATOS!$I16814,CONFIG_ASIGNATURAS!$B$2:$J$91,9,FALSE()),""))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IF(DATOS!$A16815="",0,IF(CONFIG_METADATA!$B$4&lt;&gt;"OR+EX",--(DATOS!$G16815=CONFIG_METADATA!$B$4),IF(DATOS!$G16815="EX",1,IF(DATOS!$G16815="OR",--(COUNTIFS(nNIA,DATOS!$A16815,nCURSO,DATOS!$D16815,nESPEC,DATOS!$E16815,nASIG,DATOS!$I16815,nEVAL,"EX")=0),0))))</f>
      </c>
      <c r="H16815">
        <f>IF(DATOS!$G16815&lt;&gt;"EX",0,--(COUNTIFS(nNIA,DATOS!$A16815,nCURSO,DATOS!$D16815,nESPEC,DATOS!$E16815,nASIG,DATOS!$I16815,nEVAL,"OR")=0))</f>
      </c>
      <c r="I16815">
        <f>IF(DATOS!$I16815="","",IFERROR(VLOOKUP(DATOS!$I16815,CONFIG_ASIGNATURAS!$B$2:$J$91,9,FALSE()),""))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IF(DATOS!$A16816="",0,IF(CONFIG_METADATA!$B$4&lt;&gt;"OR+EX",--(DATOS!$G16816=CONFIG_METADATA!$B$4),IF(DATOS!$G16816="EX",1,IF(DATOS!$G16816="OR",--(COUNTIFS(nNIA,DATOS!$A16816,nCURSO,DATOS!$D16816,nESPEC,DATOS!$E16816,nASIG,DATOS!$I16816,nEVAL,"EX")=0),0))))</f>
      </c>
      <c r="H16816">
        <f>IF(DATOS!$G16816&lt;&gt;"EX",0,--(COUNTIFS(nNIA,DATOS!$A16816,nCURSO,DATOS!$D16816,nESPEC,DATOS!$E16816,nASIG,DATOS!$I16816,nEVAL,"OR")=0))</f>
      </c>
      <c r="I16816">
        <f>IF(DATOS!$I16816="","",IFERROR(VLOOKUP(DATOS!$I16816,CONFIG_ASIGNATURAS!$B$2:$J$91,9,FALSE()),""))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IF(DATOS!$A16817="",0,IF(CONFIG_METADATA!$B$4&lt;&gt;"OR+EX",--(DATOS!$G16817=CONFIG_METADATA!$B$4),IF(DATOS!$G16817="EX",1,IF(DATOS!$G16817="OR",--(COUNTIFS(nNIA,DATOS!$A16817,nCURSO,DATOS!$D16817,nESPEC,DATOS!$E16817,nASIG,DATOS!$I16817,nEVAL,"EX")=0),0))))</f>
      </c>
      <c r="H16817">
        <f>IF(DATOS!$G16817&lt;&gt;"EX",0,--(COUNTIFS(nNIA,DATOS!$A16817,nCURSO,DATOS!$D16817,nESPEC,DATOS!$E16817,nASIG,DATOS!$I16817,nEVAL,"OR")=0))</f>
      </c>
      <c r="I16817">
        <f>IF(DATOS!$I16817="","",IFERROR(VLOOKUP(DATOS!$I16817,CONFIG_ASIGNATURAS!$B$2:$J$91,9,FALSE()),""))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IF(DATOS!$A16818="",0,IF(CONFIG_METADATA!$B$4&lt;&gt;"OR+EX",--(DATOS!$G16818=CONFIG_METADATA!$B$4),IF(DATOS!$G16818="EX",1,IF(DATOS!$G16818="OR",--(COUNTIFS(nNIA,DATOS!$A16818,nCURSO,DATOS!$D16818,nESPEC,DATOS!$E16818,nASIG,DATOS!$I16818,nEVAL,"EX")=0),0))))</f>
      </c>
      <c r="H16818">
        <f>IF(DATOS!$G16818&lt;&gt;"EX",0,--(COUNTIFS(nNIA,DATOS!$A16818,nCURSO,DATOS!$D16818,nESPEC,DATOS!$E16818,nASIG,DATOS!$I16818,nEVAL,"OR")=0))</f>
      </c>
      <c r="I16818">
        <f>IF(DATOS!$I16818="","",IFERROR(VLOOKUP(DATOS!$I16818,CONFIG_ASIGNATURAS!$B$2:$J$91,9,FALSE()),""))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IF(DATOS!$A16819="",0,IF(CONFIG_METADATA!$B$4&lt;&gt;"OR+EX",--(DATOS!$G16819=CONFIG_METADATA!$B$4),IF(DATOS!$G16819="EX",1,IF(DATOS!$G16819="OR",--(COUNTIFS(nNIA,DATOS!$A16819,nCURSO,DATOS!$D16819,nESPEC,DATOS!$E16819,nASIG,DATOS!$I16819,nEVAL,"EX")=0),0))))</f>
      </c>
      <c r="H16819">
        <f>IF(DATOS!$G16819&lt;&gt;"EX",0,--(COUNTIFS(nNIA,DATOS!$A16819,nCURSO,DATOS!$D16819,nESPEC,DATOS!$E16819,nASIG,DATOS!$I16819,nEVAL,"OR")=0))</f>
      </c>
      <c r="I16819">
        <f>IF(DATOS!$I16819="","",IFERROR(VLOOKUP(DATOS!$I16819,CONFIG_ASIGNATURAS!$B$2:$J$91,9,FALSE()),""))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IF(DATOS!$A16820="",0,IF(CONFIG_METADATA!$B$4&lt;&gt;"OR+EX",--(DATOS!$G16820=CONFIG_METADATA!$B$4),IF(DATOS!$G16820="EX",1,IF(DATOS!$G16820="OR",--(COUNTIFS(nNIA,DATOS!$A16820,nCURSO,DATOS!$D16820,nESPEC,DATOS!$E16820,nASIG,DATOS!$I16820,nEVAL,"EX")=0),0))))</f>
      </c>
      <c r="H16820">
        <f>IF(DATOS!$G16820&lt;&gt;"EX",0,--(COUNTIFS(nNIA,DATOS!$A16820,nCURSO,DATOS!$D16820,nESPEC,DATOS!$E16820,nASIG,DATOS!$I16820,nEVAL,"OR")=0))</f>
      </c>
      <c r="I16820">
        <f>IF(DATOS!$I16820="","",IFERROR(VLOOKUP(DATOS!$I16820,CONFIG_ASIGNATURAS!$B$2:$J$91,9,FALSE()),""))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IF(DATOS!$A16821="",0,IF(CONFIG_METADATA!$B$4&lt;&gt;"OR+EX",--(DATOS!$G16821=CONFIG_METADATA!$B$4),IF(DATOS!$G16821="EX",1,IF(DATOS!$G16821="OR",--(COUNTIFS(nNIA,DATOS!$A16821,nCURSO,DATOS!$D16821,nESPEC,DATOS!$E16821,nASIG,DATOS!$I16821,nEVAL,"EX")=0),0))))</f>
      </c>
      <c r="H16821">
        <f>IF(DATOS!$G16821&lt;&gt;"EX",0,--(COUNTIFS(nNIA,DATOS!$A16821,nCURSO,DATOS!$D16821,nESPEC,DATOS!$E16821,nASIG,DATOS!$I16821,nEVAL,"OR")=0))</f>
      </c>
      <c r="I16821">
        <f>IF(DATOS!$I16821="","",IFERROR(VLOOKUP(DATOS!$I16821,CONFIG_ASIGNATURAS!$B$2:$J$91,9,FALSE()),""))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IF(DATOS!$A16822="",0,IF(CONFIG_METADATA!$B$4&lt;&gt;"OR+EX",--(DATOS!$G16822=CONFIG_METADATA!$B$4),IF(DATOS!$G16822="EX",1,IF(DATOS!$G16822="OR",--(COUNTIFS(nNIA,DATOS!$A16822,nCURSO,DATOS!$D16822,nESPEC,DATOS!$E16822,nASIG,DATOS!$I16822,nEVAL,"EX")=0),0))))</f>
      </c>
      <c r="H16822">
        <f>IF(DATOS!$G16822&lt;&gt;"EX",0,--(COUNTIFS(nNIA,DATOS!$A16822,nCURSO,DATOS!$D16822,nESPEC,DATOS!$E16822,nASIG,DATOS!$I16822,nEVAL,"OR")=0))</f>
      </c>
      <c r="I16822">
        <f>IF(DATOS!$I16822="","",IFERROR(VLOOKUP(DATOS!$I16822,CONFIG_ASIGNATURAS!$B$2:$J$91,9,FALSE()),""))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IF(DATOS!$A16823="",0,IF(CONFIG_METADATA!$B$4&lt;&gt;"OR+EX",--(DATOS!$G16823=CONFIG_METADATA!$B$4),IF(DATOS!$G16823="EX",1,IF(DATOS!$G16823="OR",--(COUNTIFS(nNIA,DATOS!$A16823,nCURSO,DATOS!$D16823,nESPEC,DATOS!$E16823,nASIG,DATOS!$I16823,nEVAL,"EX")=0),0))))</f>
      </c>
      <c r="H16823">
        <f>IF(DATOS!$G16823&lt;&gt;"EX",0,--(COUNTIFS(nNIA,DATOS!$A16823,nCURSO,DATOS!$D16823,nESPEC,DATOS!$E16823,nASIG,DATOS!$I16823,nEVAL,"OR")=0))</f>
      </c>
      <c r="I16823">
        <f>IF(DATOS!$I16823="","",IFERROR(VLOOKUP(DATOS!$I16823,CONFIG_ASIGNATURAS!$B$2:$J$91,9,FALSE()),""))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IF(DATOS!$A16824="",0,IF(CONFIG_METADATA!$B$4&lt;&gt;"OR+EX",--(DATOS!$G16824=CONFIG_METADATA!$B$4),IF(DATOS!$G16824="EX",1,IF(DATOS!$G16824="OR",--(COUNTIFS(nNIA,DATOS!$A16824,nCURSO,DATOS!$D16824,nESPEC,DATOS!$E16824,nASIG,DATOS!$I16824,nEVAL,"EX")=0),0))))</f>
      </c>
      <c r="H16824">
        <f>IF(DATOS!$G16824&lt;&gt;"EX",0,--(COUNTIFS(nNIA,DATOS!$A16824,nCURSO,DATOS!$D16824,nESPEC,DATOS!$E16824,nASIG,DATOS!$I16824,nEVAL,"OR")=0))</f>
      </c>
      <c r="I16824">
        <f>IF(DATOS!$I16824="","",IFERROR(VLOOKUP(DATOS!$I16824,CONFIG_ASIGNATURAS!$B$2:$J$91,9,FALSE()),""))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IF(DATOS!$A16825="",0,IF(CONFIG_METADATA!$B$4&lt;&gt;"OR+EX",--(DATOS!$G16825=CONFIG_METADATA!$B$4),IF(DATOS!$G16825="EX",1,IF(DATOS!$G16825="OR",--(COUNTIFS(nNIA,DATOS!$A16825,nCURSO,DATOS!$D16825,nESPEC,DATOS!$E16825,nASIG,DATOS!$I16825,nEVAL,"EX")=0),0))))</f>
      </c>
      <c r="H16825">
        <f>IF(DATOS!$G16825&lt;&gt;"EX",0,--(COUNTIFS(nNIA,DATOS!$A16825,nCURSO,DATOS!$D16825,nESPEC,DATOS!$E16825,nASIG,DATOS!$I16825,nEVAL,"OR")=0))</f>
      </c>
      <c r="I16825">
        <f>IF(DATOS!$I16825="","",IFERROR(VLOOKUP(DATOS!$I16825,CONFIG_ASIGNATURAS!$B$2:$J$91,9,FALSE()),""))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IF(DATOS!$A16826="",0,IF(CONFIG_METADATA!$B$4&lt;&gt;"OR+EX",--(DATOS!$G16826=CONFIG_METADATA!$B$4),IF(DATOS!$G16826="EX",1,IF(DATOS!$G16826="OR",--(COUNTIFS(nNIA,DATOS!$A16826,nCURSO,DATOS!$D16826,nESPEC,DATOS!$E16826,nASIG,DATOS!$I16826,nEVAL,"EX")=0),0))))</f>
      </c>
      <c r="H16826">
        <f>IF(DATOS!$G16826&lt;&gt;"EX",0,--(COUNTIFS(nNIA,DATOS!$A16826,nCURSO,DATOS!$D16826,nESPEC,DATOS!$E16826,nASIG,DATOS!$I16826,nEVAL,"OR")=0))</f>
      </c>
      <c r="I16826">
        <f>IF(DATOS!$I16826="","",IFERROR(VLOOKUP(DATOS!$I16826,CONFIG_ASIGNATURAS!$B$2:$J$91,9,FALSE()),""))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IF(DATOS!$A16827="",0,IF(CONFIG_METADATA!$B$4&lt;&gt;"OR+EX",--(DATOS!$G16827=CONFIG_METADATA!$B$4),IF(DATOS!$G16827="EX",1,IF(DATOS!$G16827="OR",--(COUNTIFS(nNIA,DATOS!$A16827,nCURSO,DATOS!$D16827,nESPEC,DATOS!$E16827,nASIG,DATOS!$I16827,nEVAL,"EX")=0),0))))</f>
      </c>
      <c r="H16827">
        <f>IF(DATOS!$G16827&lt;&gt;"EX",0,--(COUNTIFS(nNIA,DATOS!$A16827,nCURSO,DATOS!$D16827,nESPEC,DATOS!$E16827,nASIG,DATOS!$I16827,nEVAL,"OR")=0))</f>
      </c>
      <c r="I16827">
        <f>IF(DATOS!$I16827="","",IFERROR(VLOOKUP(DATOS!$I16827,CONFIG_ASIGNATURAS!$B$2:$J$91,9,FALSE()),""))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IF(DATOS!$A16828="",0,IF(CONFIG_METADATA!$B$4&lt;&gt;"OR+EX",--(DATOS!$G16828=CONFIG_METADATA!$B$4),IF(DATOS!$G16828="EX",1,IF(DATOS!$G16828="OR",--(COUNTIFS(nNIA,DATOS!$A16828,nCURSO,DATOS!$D16828,nESPEC,DATOS!$E16828,nASIG,DATOS!$I16828,nEVAL,"EX")=0),0))))</f>
      </c>
      <c r="H16828">
        <f>IF(DATOS!$G16828&lt;&gt;"EX",0,--(COUNTIFS(nNIA,DATOS!$A16828,nCURSO,DATOS!$D16828,nESPEC,DATOS!$E16828,nASIG,DATOS!$I16828,nEVAL,"OR")=0))</f>
      </c>
      <c r="I16828">
        <f>IF(DATOS!$I16828="","",IFERROR(VLOOKUP(DATOS!$I16828,CONFIG_ASIGNATURAS!$B$2:$J$91,9,FALSE()),""))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IF(DATOS!$A16829="",0,IF(CONFIG_METADATA!$B$4&lt;&gt;"OR+EX",--(DATOS!$G16829=CONFIG_METADATA!$B$4),IF(DATOS!$G16829="EX",1,IF(DATOS!$G16829="OR",--(COUNTIFS(nNIA,DATOS!$A16829,nCURSO,DATOS!$D16829,nESPEC,DATOS!$E16829,nASIG,DATOS!$I16829,nEVAL,"EX")=0),0))))</f>
      </c>
      <c r="H16829">
        <f>IF(DATOS!$G16829&lt;&gt;"EX",0,--(COUNTIFS(nNIA,DATOS!$A16829,nCURSO,DATOS!$D16829,nESPEC,DATOS!$E16829,nASIG,DATOS!$I16829,nEVAL,"OR")=0))</f>
      </c>
      <c r="I16829">
        <f>IF(DATOS!$I16829="","",IFERROR(VLOOKUP(DATOS!$I16829,CONFIG_ASIGNATURAS!$B$2:$J$91,9,FALSE()),""))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IF(DATOS!$A16830="",0,IF(CONFIG_METADATA!$B$4&lt;&gt;"OR+EX",--(DATOS!$G16830=CONFIG_METADATA!$B$4),IF(DATOS!$G16830="EX",1,IF(DATOS!$G16830="OR",--(COUNTIFS(nNIA,DATOS!$A16830,nCURSO,DATOS!$D16830,nESPEC,DATOS!$E16830,nASIG,DATOS!$I16830,nEVAL,"EX")=0),0))))</f>
      </c>
      <c r="H16830">
        <f>IF(DATOS!$G16830&lt;&gt;"EX",0,--(COUNTIFS(nNIA,DATOS!$A16830,nCURSO,DATOS!$D16830,nESPEC,DATOS!$E16830,nASIG,DATOS!$I16830,nEVAL,"OR")=0))</f>
      </c>
      <c r="I16830">
        <f>IF(DATOS!$I16830="","",IFERROR(VLOOKUP(DATOS!$I16830,CONFIG_ASIGNATURAS!$B$2:$J$91,9,FALSE()),""))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IF(DATOS!$A16831="",0,IF(CONFIG_METADATA!$B$4&lt;&gt;"OR+EX",--(DATOS!$G16831=CONFIG_METADATA!$B$4),IF(DATOS!$G16831="EX",1,IF(DATOS!$G16831="OR",--(COUNTIFS(nNIA,DATOS!$A16831,nCURSO,DATOS!$D16831,nESPEC,DATOS!$E16831,nASIG,DATOS!$I16831,nEVAL,"EX")=0),0))))</f>
      </c>
      <c r="H16831">
        <f>IF(DATOS!$G16831&lt;&gt;"EX",0,--(COUNTIFS(nNIA,DATOS!$A16831,nCURSO,DATOS!$D16831,nESPEC,DATOS!$E16831,nASIG,DATOS!$I16831,nEVAL,"OR")=0))</f>
      </c>
      <c r="I16831">
        <f>IF(DATOS!$I16831="","",IFERROR(VLOOKUP(DATOS!$I16831,CONFIG_ASIGNATURAS!$B$2:$J$91,9,FALSE()),""))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IF(DATOS!$A16832="",0,IF(CONFIG_METADATA!$B$4&lt;&gt;"OR+EX",--(DATOS!$G16832=CONFIG_METADATA!$B$4),IF(DATOS!$G16832="EX",1,IF(DATOS!$G16832="OR",--(COUNTIFS(nNIA,DATOS!$A16832,nCURSO,DATOS!$D16832,nESPEC,DATOS!$E16832,nASIG,DATOS!$I16832,nEVAL,"EX")=0),0))))</f>
      </c>
      <c r="H16832">
        <f>IF(DATOS!$G16832&lt;&gt;"EX",0,--(COUNTIFS(nNIA,DATOS!$A16832,nCURSO,DATOS!$D16832,nESPEC,DATOS!$E16832,nASIG,DATOS!$I16832,nEVAL,"OR")=0))</f>
      </c>
      <c r="I16832">
        <f>IF(DATOS!$I16832="","",IFERROR(VLOOKUP(DATOS!$I16832,CONFIG_ASIGNATURAS!$B$2:$J$91,9,FALSE()),""))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IF(DATOS!$A16833="",0,IF(CONFIG_METADATA!$B$4&lt;&gt;"OR+EX",--(DATOS!$G16833=CONFIG_METADATA!$B$4),IF(DATOS!$G16833="EX",1,IF(DATOS!$G16833="OR",--(COUNTIFS(nNIA,DATOS!$A16833,nCURSO,DATOS!$D16833,nESPEC,DATOS!$E16833,nASIG,DATOS!$I16833,nEVAL,"EX")=0),0))))</f>
      </c>
      <c r="H16833">
        <f>IF(DATOS!$G16833&lt;&gt;"EX",0,--(COUNTIFS(nNIA,DATOS!$A16833,nCURSO,DATOS!$D16833,nESPEC,DATOS!$E16833,nASIG,DATOS!$I16833,nEVAL,"OR")=0))</f>
      </c>
      <c r="I16833">
        <f>IF(DATOS!$I16833="","",IFERROR(VLOOKUP(DATOS!$I16833,CONFIG_ASIGNATURAS!$B$2:$J$91,9,FALSE()),""))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IF(DATOS!$A16834="",0,IF(CONFIG_METADATA!$B$4&lt;&gt;"OR+EX",--(DATOS!$G16834=CONFIG_METADATA!$B$4),IF(DATOS!$G16834="EX",1,IF(DATOS!$G16834="OR",--(COUNTIFS(nNIA,DATOS!$A16834,nCURSO,DATOS!$D16834,nESPEC,DATOS!$E16834,nASIG,DATOS!$I16834,nEVAL,"EX")=0),0))))</f>
      </c>
      <c r="H16834">
        <f>IF(DATOS!$G16834&lt;&gt;"EX",0,--(COUNTIFS(nNIA,DATOS!$A16834,nCURSO,DATOS!$D16834,nESPEC,DATOS!$E16834,nASIG,DATOS!$I16834,nEVAL,"OR")=0))</f>
      </c>
      <c r="I16834">
        <f>IF(DATOS!$I16834="","",IFERROR(VLOOKUP(DATOS!$I16834,CONFIG_ASIGNATURAS!$B$2:$J$91,9,FALSE()),""))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IF(DATOS!$A16835="",0,IF(CONFIG_METADATA!$B$4&lt;&gt;"OR+EX",--(DATOS!$G16835=CONFIG_METADATA!$B$4),IF(DATOS!$G16835="EX",1,IF(DATOS!$G16835="OR",--(COUNTIFS(nNIA,DATOS!$A16835,nCURSO,DATOS!$D16835,nESPEC,DATOS!$E16835,nASIG,DATOS!$I16835,nEVAL,"EX")=0),0))))</f>
      </c>
      <c r="H16835">
        <f>IF(DATOS!$G16835&lt;&gt;"EX",0,--(COUNTIFS(nNIA,DATOS!$A16835,nCURSO,DATOS!$D16835,nESPEC,DATOS!$E16835,nASIG,DATOS!$I16835,nEVAL,"OR")=0))</f>
      </c>
      <c r="I16835">
        <f>IF(DATOS!$I16835="","",IFERROR(VLOOKUP(DATOS!$I16835,CONFIG_ASIGNATURAS!$B$2:$J$91,9,FALSE()),""))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IF(DATOS!$A16836="",0,IF(CONFIG_METADATA!$B$4&lt;&gt;"OR+EX",--(DATOS!$G16836=CONFIG_METADATA!$B$4),IF(DATOS!$G16836="EX",1,IF(DATOS!$G16836="OR",--(COUNTIFS(nNIA,DATOS!$A16836,nCURSO,DATOS!$D16836,nESPEC,DATOS!$E16836,nASIG,DATOS!$I16836,nEVAL,"EX")=0),0))))</f>
      </c>
      <c r="H16836">
        <f>IF(DATOS!$G16836&lt;&gt;"EX",0,--(COUNTIFS(nNIA,DATOS!$A16836,nCURSO,DATOS!$D16836,nESPEC,DATOS!$E16836,nASIG,DATOS!$I16836,nEVAL,"OR")=0))</f>
      </c>
      <c r="I16836">
        <f>IF(DATOS!$I16836="","",IFERROR(VLOOKUP(DATOS!$I16836,CONFIG_ASIGNATURAS!$B$2:$J$91,9,FALSE()),""))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IF(DATOS!$A16837="",0,IF(CONFIG_METADATA!$B$4&lt;&gt;"OR+EX",--(DATOS!$G16837=CONFIG_METADATA!$B$4),IF(DATOS!$G16837="EX",1,IF(DATOS!$G16837="OR",--(COUNTIFS(nNIA,DATOS!$A16837,nCURSO,DATOS!$D16837,nESPEC,DATOS!$E16837,nASIG,DATOS!$I16837,nEVAL,"EX")=0),0))))</f>
      </c>
      <c r="H16837">
        <f>IF(DATOS!$G16837&lt;&gt;"EX",0,--(COUNTIFS(nNIA,DATOS!$A16837,nCURSO,DATOS!$D16837,nESPEC,DATOS!$E16837,nASIG,DATOS!$I16837,nEVAL,"OR")=0))</f>
      </c>
      <c r="I16837">
        <f>IF(DATOS!$I16837="","",IFERROR(VLOOKUP(DATOS!$I16837,CONFIG_ASIGNATURAS!$B$2:$J$91,9,FALSE()),""))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IF(DATOS!$A16838="",0,IF(CONFIG_METADATA!$B$4&lt;&gt;"OR+EX",--(DATOS!$G16838=CONFIG_METADATA!$B$4),IF(DATOS!$G16838="EX",1,IF(DATOS!$G16838="OR",--(COUNTIFS(nNIA,DATOS!$A16838,nCURSO,DATOS!$D16838,nESPEC,DATOS!$E16838,nASIG,DATOS!$I16838,nEVAL,"EX")=0),0))))</f>
      </c>
      <c r="H16838">
        <f>IF(DATOS!$G16838&lt;&gt;"EX",0,--(COUNTIFS(nNIA,DATOS!$A16838,nCURSO,DATOS!$D16838,nESPEC,DATOS!$E16838,nASIG,DATOS!$I16838,nEVAL,"OR")=0))</f>
      </c>
      <c r="I16838">
        <f>IF(DATOS!$I16838="","",IFERROR(VLOOKUP(DATOS!$I16838,CONFIG_ASIGNATURAS!$B$2:$J$91,9,FALSE()),""))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IF(DATOS!$A16839="",0,IF(CONFIG_METADATA!$B$4&lt;&gt;"OR+EX",--(DATOS!$G16839=CONFIG_METADATA!$B$4),IF(DATOS!$G16839="EX",1,IF(DATOS!$G16839="OR",--(COUNTIFS(nNIA,DATOS!$A16839,nCURSO,DATOS!$D16839,nESPEC,DATOS!$E16839,nASIG,DATOS!$I16839,nEVAL,"EX")=0),0))))</f>
      </c>
      <c r="H16839">
        <f>IF(DATOS!$G16839&lt;&gt;"EX",0,--(COUNTIFS(nNIA,DATOS!$A16839,nCURSO,DATOS!$D16839,nESPEC,DATOS!$E16839,nASIG,DATOS!$I16839,nEVAL,"OR")=0))</f>
      </c>
      <c r="I16839">
        <f>IF(DATOS!$I16839="","",IFERROR(VLOOKUP(DATOS!$I16839,CONFIG_ASIGNATURAS!$B$2:$J$91,9,FALSE()),""))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IF(DATOS!$A16840="",0,IF(CONFIG_METADATA!$B$4&lt;&gt;"OR+EX",--(DATOS!$G16840=CONFIG_METADATA!$B$4),IF(DATOS!$G16840="EX",1,IF(DATOS!$G16840="OR",--(COUNTIFS(nNIA,DATOS!$A16840,nCURSO,DATOS!$D16840,nESPEC,DATOS!$E16840,nASIG,DATOS!$I16840,nEVAL,"EX")=0),0))))</f>
      </c>
      <c r="H16840">
        <f>IF(DATOS!$G16840&lt;&gt;"EX",0,--(COUNTIFS(nNIA,DATOS!$A16840,nCURSO,DATOS!$D16840,nESPEC,DATOS!$E16840,nASIG,DATOS!$I16840,nEVAL,"OR")=0))</f>
      </c>
      <c r="I16840">
        <f>IF(DATOS!$I16840="","",IFERROR(VLOOKUP(DATOS!$I16840,CONFIG_ASIGNATURAS!$B$2:$J$91,9,FALSE()),""))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IF(DATOS!$A16841="",0,IF(CONFIG_METADATA!$B$4&lt;&gt;"OR+EX",--(DATOS!$G16841=CONFIG_METADATA!$B$4),IF(DATOS!$G16841="EX",1,IF(DATOS!$G16841="OR",--(COUNTIFS(nNIA,DATOS!$A16841,nCURSO,DATOS!$D16841,nESPEC,DATOS!$E16841,nASIG,DATOS!$I16841,nEVAL,"EX")=0),0))))</f>
      </c>
      <c r="H16841">
        <f>IF(DATOS!$G16841&lt;&gt;"EX",0,--(COUNTIFS(nNIA,DATOS!$A16841,nCURSO,DATOS!$D16841,nESPEC,DATOS!$E16841,nASIG,DATOS!$I16841,nEVAL,"OR")=0))</f>
      </c>
      <c r="I16841">
        <f>IF(DATOS!$I16841="","",IFERROR(VLOOKUP(DATOS!$I16841,CONFIG_ASIGNATURAS!$B$2:$J$91,9,FALSE()),""))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IF(DATOS!$A16842="",0,IF(CONFIG_METADATA!$B$4&lt;&gt;"OR+EX",--(DATOS!$G16842=CONFIG_METADATA!$B$4),IF(DATOS!$G16842="EX",1,IF(DATOS!$G16842="OR",--(COUNTIFS(nNIA,DATOS!$A16842,nCURSO,DATOS!$D16842,nESPEC,DATOS!$E16842,nASIG,DATOS!$I16842,nEVAL,"EX")=0),0))))</f>
      </c>
      <c r="H16842">
        <f>IF(DATOS!$G16842&lt;&gt;"EX",0,--(COUNTIFS(nNIA,DATOS!$A16842,nCURSO,DATOS!$D16842,nESPEC,DATOS!$E16842,nASIG,DATOS!$I16842,nEVAL,"OR")=0))</f>
      </c>
      <c r="I16842">
        <f>IF(DATOS!$I16842="","",IFERROR(VLOOKUP(DATOS!$I16842,CONFIG_ASIGNATURAS!$B$2:$J$91,9,FALSE()),""))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IF(DATOS!$A16843="",0,IF(CONFIG_METADATA!$B$4&lt;&gt;"OR+EX",--(DATOS!$G16843=CONFIG_METADATA!$B$4),IF(DATOS!$G16843="EX",1,IF(DATOS!$G16843="OR",--(COUNTIFS(nNIA,DATOS!$A16843,nCURSO,DATOS!$D16843,nESPEC,DATOS!$E16843,nASIG,DATOS!$I16843,nEVAL,"EX")=0),0))))</f>
      </c>
      <c r="H16843">
        <f>IF(DATOS!$G16843&lt;&gt;"EX",0,--(COUNTIFS(nNIA,DATOS!$A16843,nCURSO,DATOS!$D16843,nESPEC,DATOS!$E16843,nASIG,DATOS!$I16843,nEVAL,"OR")=0))</f>
      </c>
      <c r="I16843">
        <f>IF(DATOS!$I16843="","",IFERROR(VLOOKUP(DATOS!$I16843,CONFIG_ASIGNATURAS!$B$2:$J$91,9,FALSE()),""))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IF(DATOS!$A16844="",0,IF(CONFIG_METADATA!$B$4&lt;&gt;"OR+EX",--(DATOS!$G16844=CONFIG_METADATA!$B$4),IF(DATOS!$G16844="EX",1,IF(DATOS!$G16844="OR",--(COUNTIFS(nNIA,DATOS!$A16844,nCURSO,DATOS!$D16844,nESPEC,DATOS!$E16844,nASIG,DATOS!$I16844,nEVAL,"EX")=0),0))))</f>
      </c>
      <c r="H16844">
        <f>IF(DATOS!$G16844&lt;&gt;"EX",0,--(COUNTIFS(nNIA,DATOS!$A16844,nCURSO,DATOS!$D16844,nESPEC,DATOS!$E16844,nASIG,DATOS!$I16844,nEVAL,"OR")=0))</f>
      </c>
      <c r="I16844">
        <f>IF(DATOS!$I16844="","",IFERROR(VLOOKUP(DATOS!$I16844,CONFIG_ASIGNATURAS!$B$2:$J$91,9,FALSE()),""))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IF(DATOS!$A16845="",0,IF(CONFIG_METADATA!$B$4&lt;&gt;"OR+EX",--(DATOS!$G16845=CONFIG_METADATA!$B$4),IF(DATOS!$G16845="EX",1,IF(DATOS!$G16845="OR",--(COUNTIFS(nNIA,DATOS!$A16845,nCURSO,DATOS!$D16845,nESPEC,DATOS!$E16845,nASIG,DATOS!$I16845,nEVAL,"EX")=0),0))))</f>
      </c>
      <c r="H16845">
        <f>IF(DATOS!$G16845&lt;&gt;"EX",0,--(COUNTIFS(nNIA,DATOS!$A16845,nCURSO,DATOS!$D16845,nESPEC,DATOS!$E16845,nASIG,DATOS!$I16845,nEVAL,"OR")=0))</f>
      </c>
      <c r="I16845">
        <f>IF(DATOS!$I16845="","",IFERROR(VLOOKUP(DATOS!$I16845,CONFIG_ASIGNATURAS!$B$2:$J$91,9,FALSE()),""))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IF(DATOS!$A16846="",0,IF(CONFIG_METADATA!$B$4&lt;&gt;"OR+EX",--(DATOS!$G16846=CONFIG_METADATA!$B$4),IF(DATOS!$G16846="EX",1,IF(DATOS!$G16846="OR",--(COUNTIFS(nNIA,DATOS!$A16846,nCURSO,DATOS!$D16846,nESPEC,DATOS!$E16846,nASIG,DATOS!$I16846,nEVAL,"EX")=0),0))))</f>
      </c>
      <c r="H16846">
        <f>IF(DATOS!$G16846&lt;&gt;"EX",0,--(COUNTIFS(nNIA,DATOS!$A16846,nCURSO,DATOS!$D16846,nESPEC,DATOS!$E16846,nASIG,DATOS!$I16846,nEVAL,"OR")=0))</f>
      </c>
      <c r="I16846">
        <f>IF(DATOS!$I16846="","",IFERROR(VLOOKUP(DATOS!$I16846,CONFIG_ASIGNATURAS!$B$2:$J$91,9,FALSE()),""))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IF(DATOS!$A16847="",0,IF(CONFIG_METADATA!$B$4&lt;&gt;"OR+EX",--(DATOS!$G16847=CONFIG_METADATA!$B$4),IF(DATOS!$G16847="EX",1,IF(DATOS!$G16847="OR",--(COUNTIFS(nNIA,DATOS!$A16847,nCURSO,DATOS!$D16847,nESPEC,DATOS!$E16847,nASIG,DATOS!$I16847,nEVAL,"EX")=0),0))))</f>
      </c>
      <c r="H16847">
        <f>IF(DATOS!$G16847&lt;&gt;"EX",0,--(COUNTIFS(nNIA,DATOS!$A16847,nCURSO,DATOS!$D16847,nESPEC,DATOS!$E16847,nASIG,DATOS!$I16847,nEVAL,"OR")=0))</f>
      </c>
      <c r="I16847">
        <f>IF(DATOS!$I16847="","",IFERROR(VLOOKUP(DATOS!$I16847,CONFIG_ASIGNATURAS!$B$2:$J$91,9,FALSE()),""))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IF(DATOS!$A16848="",0,IF(CONFIG_METADATA!$B$4&lt;&gt;"OR+EX",--(DATOS!$G16848=CONFIG_METADATA!$B$4),IF(DATOS!$G16848="EX",1,IF(DATOS!$G16848="OR",--(COUNTIFS(nNIA,DATOS!$A16848,nCURSO,DATOS!$D16848,nESPEC,DATOS!$E16848,nASIG,DATOS!$I16848,nEVAL,"EX")=0),0))))</f>
      </c>
      <c r="H16848">
        <f>IF(DATOS!$G16848&lt;&gt;"EX",0,--(COUNTIFS(nNIA,DATOS!$A16848,nCURSO,DATOS!$D16848,nESPEC,DATOS!$E16848,nASIG,DATOS!$I16848,nEVAL,"OR")=0))</f>
      </c>
      <c r="I16848">
        <f>IF(DATOS!$I16848="","",IFERROR(VLOOKUP(DATOS!$I16848,CONFIG_ASIGNATURAS!$B$2:$J$91,9,FALSE()),""))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IF(DATOS!$A16849="",0,IF(CONFIG_METADATA!$B$4&lt;&gt;"OR+EX",--(DATOS!$G16849=CONFIG_METADATA!$B$4),IF(DATOS!$G16849="EX",1,IF(DATOS!$G16849="OR",--(COUNTIFS(nNIA,DATOS!$A16849,nCURSO,DATOS!$D16849,nESPEC,DATOS!$E16849,nASIG,DATOS!$I16849,nEVAL,"EX")=0),0))))</f>
      </c>
      <c r="H16849">
        <f>IF(DATOS!$G16849&lt;&gt;"EX",0,--(COUNTIFS(nNIA,DATOS!$A16849,nCURSO,DATOS!$D16849,nESPEC,DATOS!$E16849,nASIG,DATOS!$I16849,nEVAL,"OR")=0))</f>
      </c>
      <c r="I16849">
        <f>IF(DATOS!$I16849="","",IFERROR(VLOOKUP(DATOS!$I16849,CONFIG_ASIGNATURAS!$B$2:$J$91,9,FALSE()),""))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IF(DATOS!$A16850="",0,IF(CONFIG_METADATA!$B$4&lt;&gt;"OR+EX",--(DATOS!$G16850=CONFIG_METADATA!$B$4),IF(DATOS!$G16850="EX",1,IF(DATOS!$G16850="OR",--(COUNTIFS(nNIA,DATOS!$A16850,nCURSO,DATOS!$D16850,nESPEC,DATOS!$E16850,nASIG,DATOS!$I16850,nEVAL,"EX")=0),0))))</f>
      </c>
      <c r="H16850">
        <f>IF(DATOS!$G16850&lt;&gt;"EX",0,--(COUNTIFS(nNIA,DATOS!$A16850,nCURSO,DATOS!$D16850,nESPEC,DATOS!$E16850,nASIG,DATOS!$I16850,nEVAL,"OR")=0))</f>
      </c>
      <c r="I16850">
        <f>IF(DATOS!$I16850="","",IFERROR(VLOOKUP(DATOS!$I16850,CONFIG_ASIGNATURAS!$B$2:$J$91,9,FALSE()),""))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IF(DATOS!$A16851="",0,IF(CONFIG_METADATA!$B$4&lt;&gt;"OR+EX",--(DATOS!$G16851=CONFIG_METADATA!$B$4),IF(DATOS!$G16851="EX",1,IF(DATOS!$G16851="OR",--(COUNTIFS(nNIA,DATOS!$A16851,nCURSO,DATOS!$D16851,nESPEC,DATOS!$E16851,nASIG,DATOS!$I16851,nEVAL,"EX")=0),0))))</f>
      </c>
      <c r="H16851">
        <f>IF(DATOS!$G16851&lt;&gt;"EX",0,--(COUNTIFS(nNIA,DATOS!$A16851,nCURSO,DATOS!$D16851,nESPEC,DATOS!$E16851,nASIG,DATOS!$I16851,nEVAL,"OR")=0))</f>
      </c>
      <c r="I16851">
        <f>IF(DATOS!$I16851="","",IFERROR(VLOOKUP(DATOS!$I16851,CONFIG_ASIGNATURAS!$B$2:$J$91,9,FALSE()),""))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IF(DATOS!$A16852="",0,IF(CONFIG_METADATA!$B$4&lt;&gt;"OR+EX",--(DATOS!$G16852=CONFIG_METADATA!$B$4),IF(DATOS!$G16852="EX",1,IF(DATOS!$G16852="OR",--(COUNTIFS(nNIA,DATOS!$A16852,nCURSO,DATOS!$D16852,nESPEC,DATOS!$E16852,nASIG,DATOS!$I16852,nEVAL,"EX")=0),0))))</f>
      </c>
      <c r="H16852">
        <f>IF(DATOS!$G16852&lt;&gt;"EX",0,--(COUNTIFS(nNIA,DATOS!$A16852,nCURSO,DATOS!$D16852,nESPEC,DATOS!$E16852,nASIG,DATOS!$I16852,nEVAL,"OR")=0))</f>
      </c>
      <c r="I16852">
        <f>IF(DATOS!$I16852="","",IFERROR(VLOOKUP(DATOS!$I16852,CONFIG_ASIGNATURAS!$B$2:$J$91,9,FALSE()),""))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IF(DATOS!$A16853="",0,IF(CONFIG_METADATA!$B$4&lt;&gt;"OR+EX",--(DATOS!$G16853=CONFIG_METADATA!$B$4),IF(DATOS!$G16853="EX",1,IF(DATOS!$G16853="OR",--(COUNTIFS(nNIA,DATOS!$A16853,nCURSO,DATOS!$D16853,nESPEC,DATOS!$E16853,nASIG,DATOS!$I16853,nEVAL,"EX")=0),0))))</f>
      </c>
      <c r="H16853">
        <f>IF(DATOS!$G16853&lt;&gt;"EX",0,--(COUNTIFS(nNIA,DATOS!$A16853,nCURSO,DATOS!$D16853,nESPEC,DATOS!$E16853,nASIG,DATOS!$I16853,nEVAL,"OR")=0))</f>
      </c>
      <c r="I16853">
        <f>IF(DATOS!$I16853="","",IFERROR(VLOOKUP(DATOS!$I16853,CONFIG_ASIGNATURAS!$B$2:$J$91,9,FALSE()),""))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IF(DATOS!$A16854="",0,IF(CONFIG_METADATA!$B$4&lt;&gt;"OR+EX",--(DATOS!$G16854=CONFIG_METADATA!$B$4),IF(DATOS!$G16854="EX",1,IF(DATOS!$G16854="OR",--(COUNTIFS(nNIA,DATOS!$A16854,nCURSO,DATOS!$D16854,nESPEC,DATOS!$E16854,nASIG,DATOS!$I16854,nEVAL,"EX")=0),0))))</f>
      </c>
      <c r="H16854">
        <f>IF(DATOS!$G16854&lt;&gt;"EX",0,--(COUNTIFS(nNIA,DATOS!$A16854,nCURSO,DATOS!$D16854,nESPEC,DATOS!$E16854,nASIG,DATOS!$I16854,nEVAL,"OR")=0))</f>
      </c>
      <c r="I16854">
        <f>IF(DATOS!$I16854="","",IFERROR(VLOOKUP(DATOS!$I16854,CONFIG_ASIGNATURAS!$B$2:$J$91,9,FALSE()),""))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IF(DATOS!$A16855="",0,IF(CONFIG_METADATA!$B$4&lt;&gt;"OR+EX",--(DATOS!$G16855=CONFIG_METADATA!$B$4),IF(DATOS!$G16855="EX",1,IF(DATOS!$G16855="OR",--(COUNTIFS(nNIA,DATOS!$A16855,nCURSO,DATOS!$D16855,nESPEC,DATOS!$E16855,nASIG,DATOS!$I16855,nEVAL,"EX")=0),0))))</f>
      </c>
      <c r="H16855">
        <f>IF(DATOS!$G16855&lt;&gt;"EX",0,--(COUNTIFS(nNIA,DATOS!$A16855,nCURSO,DATOS!$D16855,nESPEC,DATOS!$E16855,nASIG,DATOS!$I16855,nEVAL,"OR")=0))</f>
      </c>
      <c r="I16855">
        <f>IF(DATOS!$I16855="","",IFERROR(VLOOKUP(DATOS!$I16855,CONFIG_ASIGNATURAS!$B$2:$J$91,9,FALSE()),""))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IF(DATOS!$A16856="",0,IF(CONFIG_METADATA!$B$4&lt;&gt;"OR+EX",--(DATOS!$G16856=CONFIG_METADATA!$B$4),IF(DATOS!$G16856="EX",1,IF(DATOS!$G16856="OR",--(COUNTIFS(nNIA,DATOS!$A16856,nCURSO,DATOS!$D16856,nESPEC,DATOS!$E16856,nASIG,DATOS!$I16856,nEVAL,"EX")=0),0))))</f>
      </c>
      <c r="H16856">
        <f>IF(DATOS!$G16856&lt;&gt;"EX",0,--(COUNTIFS(nNIA,DATOS!$A16856,nCURSO,DATOS!$D16856,nESPEC,DATOS!$E16856,nASIG,DATOS!$I16856,nEVAL,"OR")=0))</f>
      </c>
      <c r="I16856">
        <f>IF(DATOS!$I16856="","",IFERROR(VLOOKUP(DATOS!$I16856,CONFIG_ASIGNATURAS!$B$2:$J$91,9,FALSE()),""))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IF(DATOS!$A16857="",0,IF(CONFIG_METADATA!$B$4&lt;&gt;"OR+EX",--(DATOS!$G16857=CONFIG_METADATA!$B$4),IF(DATOS!$G16857="EX",1,IF(DATOS!$G16857="OR",--(COUNTIFS(nNIA,DATOS!$A16857,nCURSO,DATOS!$D16857,nESPEC,DATOS!$E16857,nASIG,DATOS!$I16857,nEVAL,"EX")=0),0))))</f>
      </c>
      <c r="H16857">
        <f>IF(DATOS!$G16857&lt;&gt;"EX",0,--(COUNTIFS(nNIA,DATOS!$A16857,nCURSO,DATOS!$D16857,nESPEC,DATOS!$E16857,nASIG,DATOS!$I16857,nEVAL,"OR")=0))</f>
      </c>
      <c r="I16857">
        <f>IF(DATOS!$I16857="","",IFERROR(VLOOKUP(DATOS!$I16857,CONFIG_ASIGNATURAS!$B$2:$J$91,9,FALSE()),""))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IF(DATOS!$A16858="",0,IF(CONFIG_METADATA!$B$4&lt;&gt;"OR+EX",--(DATOS!$G16858=CONFIG_METADATA!$B$4),IF(DATOS!$G16858="EX",1,IF(DATOS!$G16858="OR",--(COUNTIFS(nNIA,DATOS!$A16858,nCURSO,DATOS!$D16858,nESPEC,DATOS!$E16858,nASIG,DATOS!$I16858,nEVAL,"EX")=0),0))))</f>
      </c>
      <c r="H16858">
        <f>IF(DATOS!$G16858&lt;&gt;"EX",0,--(COUNTIFS(nNIA,DATOS!$A16858,nCURSO,DATOS!$D16858,nESPEC,DATOS!$E16858,nASIG,DATOS!$I16858,nEVAL,"OR")=0))</f>
      </c>
      <c r="I16858">
        <f>IF(DATOS!$I16858="","",IFERROR(VLOOKUP(DATOS!$I16858,CONFIG_ASIGNATURAS!$B$2:$J$91,9,FALSE()),""))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IF(DATOS!$A16859="",0,IF(CONFIG_METADATA!$B$4&lt;&gt;"OR+EX",--(DATOS!$G16859=CONFIG_METADATA!$B$4),IF(DATOS!$G16859="EX",1,IF(DATOS!$G16859="OR",--(COUNTIFS(nNIA,DATOS!$A16859,nCURSO,DATOS!$D16859,nESPEC,DATOS!$E16859,nASIG,DATOS!$I16859,nEVAL,"EX")=0),0))))</f>
      </c>
      <c r="H16859">
        <f>IF(DATOS!$G16859&lt;&gt;"EX",0,--(COUNTIFS(nNIA,DATOS!$A16859,nCURSO,DATOS!$D16859,nESPEC,DATOS!$E16859,nASIG,DATOS!$I16859,nEVAL,"OR")=0))</f>
      </c>
      <c r="I16859">
        <f>IF(DATOS!$I16859="","",IFERROR(VLOOKUP(DATOS!$I16859,CONFIG_ASIGNATURAS!$B$2:$J$91,9,FALSE()),""))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IF(DATOS!$A16860="",0,IF(CONFIG_METADATA!$B$4&lt;&gt;"OR+EX",--(DATOS!$G16860=CONFIG_METADATA!$B$4),IF(DATOS!$G16860="EX",1,IF(DATOS!$G16860="OR",--(COUNTIFS(nNIA,DATOS!$A16860,nCURSO,DATOS!$D16860,nESPEC,DATOS!$E16860,nASIG,DATOS!$I16860,nEVAL,"EX")=0),0))))</f>
      </c>
      <c r="H16860">
        <f>IF(DATOS!$G16860&lt;&gt;"EX",0,--(COUNTIFS(nNIA,DATOS!$A16860,nCURSO,DATOS!$D16860,nESPEC,DATOS!$E16860,nASIG,DATOS!$I16860,nEVAL,"OR")=0))</f>
      </c>
      <c r="I16860">
        <f>IF(DATOS!$I16860="","",IFERROR(VLOOKUP(DATOS!$I16860,CONFIG_ASIGNATURAS!$B$2:$J$91,9,FALSE()),""))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IF(DATOS!$A16861="",0,IF(CONFIG_METADATA!$B$4&lt;&gt;"OR+EX",--(DATOS!$G16861=CONFIG_METADATA!$B$4),IF(DATOS!$G16861="EX",1,IF(DATOS!$G16861="OR",--(COUNTIFS(nNIA,DATOS!$A16861,nCURSO,DATOS!$D16861,nESPEC,DATOS!$E16861,nASIG,DATOS!$I16861,nEVAL,"EX")=0),0))))</f>
      </c>
      <c r="H16861">
        <f>IF(DATOS!$G16861&lt;&gt;"EX",0,--(COUNTIFS(nNIA,DATOS!$A16861,nCURSO,DATOS!$D16861,nESPEC,DATOS!$E16861,nASIG,DATOS!$I16861,nEVAL,"OR")=0))</f>
      </c>
      <c r="I16861">
        <f>IF(DATOS!$I16861="","",IFERROR(VLOOKUP(DATOS!$I16861,CONFIG_ASIGNATURAS!$B$2:$J$91,9,FALSE()),""))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IF(DATOS!$A16862="",0,IF(CONFIG_METADATA!$B$4&lt;&gt;"OR+EX",--(DATOS!$G16862=CONFIG_METADATA!$B$4),IF(DATOS!$G16862="EX",1,IF(DATOS!$G16862="OR",--(COUNTIFS(nNIA,DATOS!$A16862,nCURSO,DATOS!$D16862,nESPEC,DATOS!$E16862,nASIG,DATOS!$I16862,nEVAL,"EX")=0),0))))</f>
      </c>
      <c r="H16862">
        <f>IF(DATOS!$G16862&lt;&gt;"EX",0,--(COUNTIFS(nNIA,DATOS!$A16862,nCURSO,DATOS!$D16862,nESPEC,DATOS!$E16862,nASIG,DATOS!$I16862,nEVAL,"OR")=0))</f>
      </c>
      <c r="I16862">
        <f>IF(DATOS!$I16862="","",IFERROR(VLOOKUP(DATOS!$I16862,CONFIG_ASIGNATURAS!$B$2:$J$91,9,FALSE()),""))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IF(DATOS!$A16863="",0,IF(CONFIG_METADATA!$B$4&lt;&gt;"OR+EX",--(DATOS!$G16863=CONFIG_METADATA!$B$4),IF(DATOS!$G16863="EX",1,IF(DATOS!$G16863="OR",--(COUNTIFS(nNIA,DATOS!$A16863,nCURSO,DATOS!$D16863,nESPEC,DATOS!$E16863,nASIG,DATOS!$I16863,nEVAL,"EX")=0),0))))</f>
      </c>
      <c r="H16863">
        <f>IF(DATOS!$G16863&lt;&gt;"EX",0,--(COUNTIFS(nNIA,DATOS!$A16863,nCURSO,DATOS!$D16863,nESPEC,DATOS!$E16863,nASIG,DATOS!$I16863,nEVAL,"OR")=0))</f>
      </c>
      <c r="I16863">
        <f>IF(DATOS!$I16863="","",IFERROR(VLOOKUP(DATOS!$I16863,CONFIG_ASIGNATURAS!$B$2:$J$91,9,FALSE()),""))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IF(DATOS!$A16864="",0,IF(CONFIG_METADATA!$B$4&lt;&gt;"OR+EX",--(DATOS!$G16864=CONFIG_METADATA!$B$4),IF(DATOS!$G16864="EX",1,IF(DATOS!$G16864="OR",--(COUNTIFS(nNIA,DATOS!$A16864,nCURSO,DATOS!$D16864,nESPEC,DATOS!$E16864,nASIG,DATOS!$I16864,nEVAL,"EX")=0),0))))</f>
      </c>
      <c r="H16864">
        <f>IF(DATOS!$G16864&lt;&gt;"EX",0,--(COUNTIFS(nNIA,DATOS!$A16864,nCURSO,DATOS!$D16864,nESPEC,DATOS!$E16864,nASIG,DATOS!$I16864,nEVAL,"OR")=0))</f>
      </c>
      <c r="I16864">
        <f>IF(DATOS!$I16864="","",IFERROR(VLOOKUP(DATOS!$I16864,CONFIG_ASIGNATURAS!$B$2:$J$91,9,FALSE()),""))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IF(DATOS!$A16865="",0,IF(CONFIG_METADATA!$B$4&lt;&gt;"OR+EX",--(DATOS!$G16865=CONFIG_METADATA!$B$4),IF(DATOS!$G16865="EX",1,IF(DATOS!$G16865="OR",--(COUNTIFS(nNIA,DATOS!$A16865,nCURSO,DATOS!$D16865,nESPEC,DATOS!$E16865,nASIG,DATOS!$I16865,nEVAL,"EX")=0),0))))</f>
      </c>
      <c r="H16865">
        <f>IF(DATOS!$G16865&lt;&gt;"EX",0,--(COUNTIFS(nNIA,DATOS!$A16865,nCURSO,DATOS!$D16865,nESPEC,DATOS!$E16865,nASIG,DATOS!$I16865,nEVAL,"OR")=0))</f>
      </c>
      <c r="I16865">
        <f>IF(DATOS!$I16865="","",IFERROR(VLOOKUP(DATOS!$I16865,CONFIG_ASIGNATURAS!$B$2:$J$91,9,FALSE()),""))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IF(DATOS!$A16866="",0,IF(CONFIG_METADATA!$B$4&lt;&gt;"OR+EX",--(DATOS!$G16866=CONFIG_METADATA!$B$4),IF(DATOS!$G16866="EX",1,IF(DATOS!$G16866="OR",--(COUNTIFS(nNIA,DATOS!$A16866,nCURSO,DATOS!$D16866,nESPEC,DATOS!$E16866,nASIG,DATOS!$I16866,nEVAL,"EX")=0),0))))</f>
      </c>
      <c r="H16866">
        <f>IF(DATOS!$G16866&lt;&gt;"EX",0,--(COUNTIFS(nNIA,DATOS!$A16866,nCURSO,DATOS!$D16866,nESPEC,DATOS!$E16866,nASIG,DATOS!$I16866,nEVAL,"OR")=0))</f>
      </c>
      <c r="I16866">
        <f>IF(DATOS!$I16866="","",IFERROR(VLOOKUP(DATOS!$I16866,CONFIG_ASIGNATURAS!$B$2:$J$91,9,FALSE()),""))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IF(DATOS!$A16867="",0,IF(CONFIG_METADATA!$B$4&lt;&gt;"OR+EX",--(DATOS!$G16867=CONFIG_METADATA!$B$4),IF(DATOS!$G16867="EX",1,IF(DATOS!$G16867="OR",--(COUNTIFS(nNIA,DATOS!$A16867,nCURSO,DATOS!$D16867,nESPEC,DATOS!$E16867,nASIG,DATOS!$I16867,nEVAL,"EX")=0),0))))</f>
      </c>
      <c r="H16867">
        <f>IF(DATOS!$G16867&lt;&gt;"EX",0,--(COUNTIFS(nNIA,DATOS!$A16867,nCURSO,DATOS!$D16867,nESPEC,DATOS!$E16867,nASIG,DATOS!$I16867,nEVAL,"OR")=0))</f>
      </c>
      <c r="I16867">
        <f>IF(DATOS!$I16867="","",IFERROR(VLOOKUP(DATOS!$I16867,CONFIG_ASIGNATURAS!$B$2:$J$91,9,FALSE()),""))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IF(DATOS!$A16868="",0,IF(CONFIG_METADATA!$B$4&lt;&gt;"OR+EX",--(DATOS!$G16868=CONFIG_METADATA!$B$4),IF(DATOS!$G16868="EX",1,IF(DATOS!$G16868="OR",--(COUNTIFS(nNIA,DATOS!$A16868,nCURSO,DATOS!$D16868,nESPEC,DATOS!$E16868,nASIG,DATOS!$I16868,nEVAL,"EX")=0),0))))</f>
      </c>
      <c r="H16868">
        <f>IF(DATOS!$G16868&lt;&gt;"EX",0,--(COUNTIFS(nNIA,DATOS!$A16868,nCURSO,DATOS!$D16868,nESPEC,DATOS!$E16868,nASIG,DATOS!$I16868,nEVAL,"OR")=0))</f>
      </c>
      <c r="I16868">
        <f>IF(DATOS!$I16868="","",IFERROR(VLOOKUP(DATOS!$I16868,CONFIG_ASIGNATURAS!$B$2:$J$91,9,FALSE()),""))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IF(DATOS!$A16869="",0,IF(CONFIG_METADATA!$B$4&lt;&gt;"OR+EX",--(DATOS!$G16869=CONFIG_METADATA!$B$4),IF(DATOS!$G16869="EX",1,IF(DATOS!$G16869="OR",--(COUNTIFS(nNIA,DATOS!$A16869,nCURSO,DATOS!$D16869,nESPEC,DATOS!$E16869,nASIG,DATOS!$I16869,nEVAL,"EX")=0),0))))</f>
      </c>
      <c r="H16869">
        <f>IF(DATOS!$G16869&lt;&gt;"EX",0,--(COUNTIFS(nNIA,DATOS!$A16869,nCURSO,DATOS!$D16869,nESPEC,DATOS!$E16869,nASIG,DATOS!$I16869,nEVAL,"OR")=0))</f>
      </c>
      <c r="I16869">
        <f>IF(DATOS!$I16869="","",IFERROR(VLOOKUP(DATOS!$I16869,CONFIG_ASIGNATURAS!$B$2:$J$91,9,FALSE()),""))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IF(DATOS!$A16870="",0,IF(CONFIG_METADATA!$B$4&lt;&gt;"OR+EX",--(DATOS!$G16870=CONFIG_METADATA!$B$4),IF(DATOS!$G16870="EX",1,IF(DATOS!$G16870="OR",--(COUNTIFS(nNIA,DATOS!$A16870,nCURSO,DATOS!$D16870,nESPEC,DATOS!$E16870,nASIG,DATOS!$I16870,nEVAL,"EX")=0),0))))</f>
      </c>
      <c r="H16870">
        <f>IF(DATOS!$G16870&lt;&gt;"EX",0,--(COUNTIFS(nNIA,DATOS!$A16870,nCURSO,DATOS!$D16870,nESPEC,DATOS!$E16870,nASIG,DATOS!$I16870,nEVAL,"OR")=0))</f>
      </c>
      <c r="I16870">
        <f>IF(DATOS!$I16870="","",IFERROR(VLOOKUP(DATOS!$I16870,CONFIG_ASIGNATURAS!$B$2:$J$91,9,FALSE()),""))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IF(DATOS!$A16871="",0,IF(CONFIG_METADATA!$B$4&lt;&gt;"OR+EX",--(DATOS!$G16871=CONFIG_METADATA!$B$4),IF(DATOS!$G16871="EX",1,IF(DATOS!$G16871="OR",--(COUNTIFS(nNIA,DATOS!$A16871,nCURSO,DATOS!$D16871,nESPEC,DATOS!$E16871,nASIG,DATOS!$I16871,nEVAL,"EX")=0),0))))</f>
      </c>
      <c r="H16871">
        <f>IF(DATOS!$G16871&lt;&gt;"EX",0,--(COUNTIFS(nNIA,DATOS!$A16871,nCURSO,DATOS!$D16871,nESPEC,DATOS!$E16871,nASIG,DATOS!$I16871,nEVAL,"OR")=0))</f>
      </c>
      <c r="I16871">
        <f>IF(DATOS!$I16871="","",IFERROR(VLOOKUP(DATOS!$I16871,CONFIG_ASIGNATURAS!$B$2:$J$91,9,FALSE()),""))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IF(DATOS!$A16872="",0,IF(CONFIG_METADATA!$B$4&lt;&gt;"OR+EX",--(DATOS!$G16872=CONFIG_METADATA!$B$4),IF(DATOS!$G16872="EX",1,IF(DATOS!$G16872="OR",--(COUNTIFS(nNIA,DATOS!$A16872,nCURSO,DATOS!$D16872,nESPEC,DATOS!$E16872,nASIG,DATOS!$I16872,nEVAL,"EX")=0),0))))</f>
      </c>
      <c r="H16872">
        <f>IF(DATOS!$G16872&lt;&gt;"EX",0,--(COUNTIFS(nNIA,DATOS!$A16872,nCURSO,DATOS!$D16872,nESPEC,DATOS!$E16872,nASIG,DATOS!$I16872,nEVAL,"OR")=0))</f>
      </c>
      <c r="I16872">
        <f>IF(DATOS!$I16872="","",IFERROR(VLOOKUP(DATOS!$I16872,CONFIG_ASIGNATURAS!$B$2:$J$91,9,FALSE()),""))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IF(DATOS!$A16873="",0,IF(CONFIG_METADATA!$B$4&lt;&gt;"OR+EX",--(DATOS!$G16873=CONFIG_METADATA!$B$4),IF(DATOS!$G16873="EX",1,IF(DATOS!$G16873="OR",--(COUNTIFS(nNIA,DATOS!$A16873,nCURSO,DATOS!$D16873,nESPEC,DATOS!$E16873,nASIG,DATOS!$I16873,nEVAL,"EX")=0),0))))</f>
      </c>
      <c r="H16873">
        <f>IF(DATOS!$G16873&lt;&gt;"EX",0,--(COUNTIFS(nNIA,DATOS!$A16873,nCURSO,DATOS!$D16873,nESPEC,DATOS!$E16873,nASIG,DATOS!$I16873,nEVAL,"OR")=0))</f>
      </c>
      <c r="I16873">
        <f>IF(DATOS!$I16873="","",IFERROR(VLOOKUP(DATOS!$I16873,CONFIG_ASIGNATURAS!$B$2:$J$91,9,FALSE()),""))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IF(DATOS!$A16874="",0,IF(CONFIG_METADATA!$B$4&lt;&gt;"OR+EX",--(DATOS!$G16874=CONFIG_METADATA!$B$4),IF(DATOS!$G16874="EX",1,IF(DATOS!$G16874="OR",--(COUNTIFS(nNIA,DATOS!$A16874,nCURSO,DATOS!$D16874,nESPEC,DATOS!$E16874,nASIG,DATOS!$I16874,nEVAL,"EX")=0),0))))</f>
      </c>
      <c r="H16874">
        <f>IF(DATOS!$G16874&lt;&gt;"EX",0,--(COUNTIFS(nNIA,DATOS!$A16874,nCURSO,DATOS!$D16874,nESPEC,DATOS!$E16874,nASIG,DATOS!$I16874,nEVAL,"OR")=0))</f>
      </c>
      <c r="I16874">
        <f>IF(DATOS!$I16874="","",IFERROR(VLOOKUP(DATOS!$I16874,CONFIG_ASIGNATURAS!$B$2:$J$91,9,FALSE()),""))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IF(DATOS!$A16875="",0,IF(CONFIG_METADATA!$B$4&lt;&gt;"OR+EX",--(DATOS!$G16875=CONFIG_METADATA!$B$4),IF(DATOS!$G16875="EX",1,IF(DATOS!$G16875="OR",--(COUNTIFS(nNIA,DATOS!$A16875,nCURSO,DATOS!$D16875,nESPEC,DATOS!$E16875,nASIG,DATOS!$I16875,nEVAL,"EX")=0),0))))</f>
      </c>
      <c r="H16875">
        <f>IF(DATOS!$G16875&lt;&gt;"EX",0,--(COUNTIFS(nNIA,DATOS!$A16875,nCURSO,DATOS!$D16875,nESPEC,DATOS!$E16875,nASIG,DATOS!$I16875,nEVAL,"OR")=0))</f>
      </c>
      <c r="I16875">
        <f>IF(DATOS!$I16875="","",IFERROR(VLOOKUP(DATOS!$I16875,CONFIG_ASIGNATURAS!$B$2:$J$91,9,FALSE()),""))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IF(DATOS!$A16876="",0,IF(CONFIG_METADATA!$B$4&lt;&gt;"OR+EX",--(DATOS!$G16876=CONFIG_METADATA!$B$4),IF(DATOS!$G16876="EX",1,IF(DATOS!$G16876="OR",--(COUNTIFS(nNIA,DATOS!$A16876,nCURSO,DATOS!$D16876,nESPEC,DATOS!$E16876,nASIG,DATOS!$I16876,nEVAL,"EX")=0),0))))</f>
      </c>
      <c r="H16876">
        <f>IF(DATOS!$G16876&lt;&gt;"EX",0,--(COUNTIFS(nNIA,DATOS!$A16876,nCURSO,DATOS!$D16876,nESPEC,DATOS!$E16876,nASIG,DATOS!$I16876,nEVAL,"OR")=0))</f>
      </c>
      <c r="I16876">
        <f>IF(DATOS!$I16876="","",IFERROR(VLOOKUP(DATOS!$I16876,CONFIG_ASIGNATURAS!$B$2:$J$91,9,FALSE()),""))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IF(DATOS!$A16877="",0,IF(CONFIG_METADATA!$B$4&lt;&gt;"OR+EX",--(DATOS!$G16877=CONFIG_METADATA!$B$4),IF(DATOS!$G16877="EX",1,IF(DATOS!$G16877="OR",--(COUNTIFS(nNIA,DATOS!$A16877,nCURSO,DATOS!$D16877,nESPEC,DATOS!$E16877,nASIG,DATOS!$I16877,nEVAL,"EX")=0),0))))</f>
      </c>
      <c r="H16877">
        <f>IF(DATOS!$G16877&lt;&gt;"EX",0,--(COUNTIFS(nNIA,DATOS!$A16877,nCURSO,DATOS!$D16877,nESPEC,DATOS!$E16877,nASIG,DATOS!$I16877,nEVAL,"OR")=0))</f>
      </c>
      <c r="I16877">
        <f>IF(DATOS!$I16877="","",IFERROR(VLOOKUP(DATOS!$I16877,CONFIG_ASIGNATURAS!$B$2:$J$91,9,FALSE()),""))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IF(DATOS!$A16878="",0,IF(CONFIG_METADATA!$B$4&lt;&gt;"OR+EX",--(DATOS!$G16878=CONFIG_METADATA!$B$4),IF(DATOS!$G16878="EX",1,IF(DATOS!$G16878="OR",--(COUNTIFS(nNIA,DATOS!$A16878,nCURSO,DATOS!$D16878,nESPEC,DATOS!$E16878,nASIG,DATOS!$I16878,nEVAL,"EX")=0),0))))</f>
      </c>
      <c r="H16878">
        <f>IF(DATOS!$G16878&lt;&gt;"EX",0,--(COUNTIFS(nNIA,DATOS!$A16878,nCURSO,DATOS!$D16878,nESPEC,DATOS!$E16878,nASIG,DATOS!$I16878,nEVAL,"OR")=0))</f>
      </c>
      <c r="I16878">
        <f>IF(DATOS!$I16878="","",IFERROR(VLOOKUP(DATOS!$I16878,CONFIG_ASIGNATURAS!$B$2:$J$91,9,FALSE()),""))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IF(DATOS!$A16879="",0,IF(CONFIG_METADATA!$B$4&lt;&gt;"OR+EX",--(DATOS!$G16879=CONFIG_METADATA!$B$4),IF(DATOS!$G16879="EX",1,IF(DATOS!$G16879="OR",--(COUNTIFS(nNIA,DATOS!$A16879,nCURSO,DATOS!$D16879,nESPEC,DATOS!$E16879,nASIG,DATOS!$I16879,nEVAL,"EX")=0),0))))</f>
      </c>
      <c r="H16879">
        <f>IF(DATOS!$G16879&lt;&gt;"EX",0,--(COUNTIFS(nNIA,DATOS!$A16879,nCURSO,DATOS!$D16879,nESPEC,DATOS!$E16879,nASIG,DATOS!$I16879,nEVAL,"OR")=0))</f>
      </c>
      <c r="I16879">
        <f>IF(DATOS!$I16879="","",IFERROR(VLOOKUP(DATOS!$I16879,CONFIG_ASIGNATURAS!$B$2:$J$91,9,FALSE()),""))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IF(DATOS!$A16880="",0,IF(CONFIG_METADATA!$B$4&lt;&gt;"OR+EX",--(DATOS!$G16880=CONFIG_METADATA!$B$4),IF(DATOS!$G16880="EX",1,IF(DATOS!$G16880="OR",--(COUNTIFS(nNIA,DATOS!$A16880,nCURSO,DATOS!$D16880,nESPEC,DATOS!$E16880,nASIG,DATOS!$I16880,nEVAL,"EX")=0),0))))</f>
      </c>
      <c r="H16880">
        <f>IF(DATOS!$G16880&lt;&gt;"EX",0,--(COUNTIFS(nNIA,DATOS!$A16880,nCURSO,DATOS!$D16880,nESPEC,DATOS!$E16880,nASIG,DATOS!$I16880,nEVAL,"OR")=0))</f>
      </c>
      <c r="I16880">
        <f>IF(DATOS!$I16880="","",IFERROR(VLOOKUP(DATOS!$I16880,CONFIG_ASIGNATURAS!$B$2:$J$91,9,FALSE()),""))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IF(DATOS!$A16881="",0,IF(CONFIG_METADATA!$B$4&lt;&gt;"OR+EX",--(DATOS!$G16881=CONFIG_METADATA!$B$4),IF(DATOS!$G16881="EX",1,IF(DATOS!$G16881="OR",--(COUNTIFS(nNIA,DATOS!$A16881,nCURSO,DATOS!$D16881,nESPEC,DATOS!$E16881,nASIG,DATOS!$I16881,nEVAL,"EX")=0),0))))</f>
      </c>
      <c r="H16881">
        <f>IF(DATOS!$G16881&lt;&gt;"EX",0,--(COUNTIFS(nNIA,DATOS!$A16881,nCURSO,DATOS!$D16881,nESPEC,DATOS!$E16881,nASIG,DATOS!$I16881,nEVAL,"OR")=0))</f>
      </c>
      <c r="I16881">
        <f>IF(DATOS!$I16881="","",IFERROR(VLOOKUP(DATOS!$I16881,CONFIG_ASIGNATURAS!$B$2:$J$91,9,FALSE()),""))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IF(DATOS!$A16882="",0,IF(CONFIG_METADATA!$B$4&lt;&gt;"OR+EX",--(DATOS!$G16882=CONFIG_METADATA!$B$4),IF(DATOS!$G16882="EX",1,IF(DATOS!$G16882="OR",--(COUNTIFS(nNIA,DATOS!$A16882,nCURSO,DATOS!$D16882,nESPEC,DATOS!$E16882,nASIG,DATOS!$I16882,nEVAL,"EX")=0),0))))</f>
      </c>
      <c r="H16882">
        <f>IF(DATOS!$G16882&lt;&gt;"EX",0,--(COUNTIFS(nNIA,DATOS!$A16882,nCURSO,DATOS!$D16882,nESPEC,DATOS!$E16882,nASIG,DATOS!$I16882,nEVAL,"OR")=0))</f>
      </c>
      <c r="I16882">
        <f>IF(DATOS!$I16882="","",IFERROR(VLOOKUP(DATOS!$I16882,CONFIG_ASIGNATURAS!$B$2:$J$91,9,FALSE()),""))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IF(DATOS!$A16883="",0,IF(CONFIG_METADATA!$B$4&lt;&gt;"OR+EX",--(DATOS!$G16883=CONFIG_METADATA!$B$4),IF(DATOS!$G16883="EX",1,IF(DATOS!$G16883="OR",--(COUNTIFS(nNIA,DATOS!$A16883,nCURSO,DATOS!$D16883,nESPEC,DATOS!$E16883,nASIG,DATOS!$I16883,nEVAL,"EX")=0),0))))</f>
      </c>
      <c r="H16883">
        <f>IF(DATOS!$G16883&lt;&gt;"EX",0,--(COUNTIFS(nNIA,DATOS!$A16883,nCURSO,DATOS!$D16883,nESPEC,DATOS!$E16883,nASIG,DATOS!$I16883,nEVAL,"OR")=0))</f>
      </c>
      <c r="I16883">
        <f>IF(DATOS!$I16883="","",IFERROR(VLOOKUP(DATOS!$I16883,CONFIG_ASIGNATURAS!$B$2:$J$91,9,FALSE()),""))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IF(DATOS!$A16884="",0,IF(CONFIG_METADATA!$B$4&lt;&gt;"OR+EX",--(DATOS!$G16884=CONFIG_METADATA!$B$4),IF(DATOS!$G16884="EX",1,IF(DATOS!$G16884="OR",--(COUNTIFS(nNIA,DATOS!$A16884,nCURSO,DATOS!$D16884,nESPEC,DATOS!$E16884,nASIG,DATOS!$I16884,nEVAL,"EX")=0),0))))</f>
      </c>
      <c r="H16884">
        <f>IF(DATOS!$G16884&lt;&gt;"EX",0,--(COUNTIFS(nNIA,DATOS!$A16884,nCURSO,DATOS!$D16884,nESPEC,DATOS!$E16884,nASIG,DATOS!$I16884,nEVAL,"OR")=0))</f>
      </c>
      <c r="I16884">
        <f>IF(DATOS!$I16884="","",IFERROR(VLOOKUP(DATOS!$I16884,CONFIG_ASIGNATURAS!$B$2:$J$91,9,FALSE()),""))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IF(DATOS!$A16885="",0,IF(CONFIG_METADATA!$B$4&lt;&gt;"OR+EX",--(DATOS!$G16885=CONFIG_METADATA!$B$4),IF(DATOS!$G16885="EX",1,IF(DATOS!$G16885="OR",--(COUNTIFS(nNIA,DATOS!$A16885,nCURSO,DATOS!$D16885,nESPEC,DATOS!$E16885,nASIG,DATOS!$I16885,nEVAL,"EX")=0),0))))</f>
      </c>
      <c r="H16885">
        <f>IF(DATOS!$G16885&lt;&gt;"EX",0,--(COUNTIFS(nNIA,DATOS!$A16885,nCURSO,DATOS!$D16885,nESPEC,DATOS!$E16885,nASIG,DATOS!$I16885,nEVAL,"OR")=0))</f>
      </c>
      <c r="I16885">
        <f>IF(DATOS!$I16885="","",IFERROR(VLOOKUP(DATOS!$I16885,CONFIG_ASIGNATURAS!$B$2:$J$91,9,FALSE()),""))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IF(DATOS!$A16886="",0,IF(CONFIG_METADATA!$B$4&lt;&gt;"OR+EX",--(DATOS!$G16886=CONFIG_METADATA!$B$4),IF(DATOS!$G16886="EX",1,IF(DATOS!$G16886="OR",--(COUNTIFS(nNIA,DATOS!$A16886,nCURSO,DATOS!$D16886,nESPEC,DATOS!$E16886,nASIG,DATOS!$I16886,nEVAL,"EX")=0),0))))</f>
      </c>
      <c r="H16886">
        <f>IF(DATOS!$G16886&lt;&gt;"EX",0,--(COUNTIFS(nNIA,DATOS!$A16886,nCURSO,DATOS!$D16886,nESPEC,DATOS!$E16886,nASIG,DATOS!$I16886,nEVAL,"OR")=0))</f>
      </c>
      <c r="I16886">
        <f>IF(DATOS!$I16886="","",IFERROR(VLOOKUP(DATOS!$I16886,CONFIG_ASIGNATURAS!$B$2:$J$91,9,FALSE()),""))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IF(DATOS!$A16887="",0,IF(CONFIG_METADATA!$B$4&lt;&gt;"OR+EX",--(DATOS!$G16887=CONFIG_METADATA!$B$4),IF(DATOS!$G16887="EX",1,IF(DATOS!$G16887="OR",--(COUNTIFS(nNIA,DATOS!$A16887,nCURSO,DATOS!$D16887,nESPEC,DATOS!$E16887,nASIG,DATOS!$I16887,nEVAL,"EX")=0),0))))</f>
      </c>
      <c r="H16887">
        <f>IF(DATOS!$G16887&lt;&gt;"EX",0,--(COUNTIFS(nNIA,DATOS!$A16887,nCURSO,DATOS!$D16887,nESPEC,DATOS!$E16887,nASIG,DATOS!$I16887,nEVAL,"OR")=0))</f>
      </c>
      <c r="I16887">
        <f>IF(DATOS!$I16887="","",IFERROR(VLOOKUP(DATOS!$I16887,CONFIG_ASIGNATURAS!$B$2:$J$91,9,FALSE()),""))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IF(DATOS!$A16888="",0,IF(CONFIG_METADATA!$B$4&lt;&gt;"OR+EX",--(DATOS!$G16888=CONFIG_METADATA!$B$4),IF(DATOS!$G16888="EX",1,IF(DATOS!$G16888="OR",--(COUNTIFS(nNIA,DATOS!$A16888,nCURSO,DATOS!$D16888,nESPEC,DATOS!$E16888,nASIG,DATOS!$I16888,nEVAL,"EX")=0),0))))</f>
      </c>
      <c r="H16888">
        <f>IF(DATOS!$G16888&lt;&gt;"EX",0,--(COUNTIFS(nNIA,DATOS!$A16888,nCURSO,DATOS!$D16888,nESPEC,DATOS!$E16888,nASIG,DATOS!$I16888,nEVAL,"OR")=0))</f>
      </c>
      <c r="I16888">
        <f>IF(DATOS!$I16888="","",IFERROR(VLOOKUP(DATOS!$I16888,CONFIG_ASIGNATURAS!$B$2:$J$91,9,FALSE()),""))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IF(DATOS!$A16889="",0,IF(CONFIG_METADATA!$B$4&lt;&gt;"OR+EX",--(DATOS!$G16889=CONFIG_METADATA!$B$4),IF(DATOS!$G16889="EX",1,IF(DATOS!$G16889="OR",--(COUNTIFS(nNIA,DATOS!$A16889,nCURSO,DATOS!$D16889,nESPEC,DATOS!$E16889,nASIG,DATOS!$I16889,nEVAL,"EX")=0),0))))</f>
      </c>
      <c r="H16889">
        <f>IF(DATOS!$G16889&lt;&gt;"EX",0,--(COUNTIFS(nNIA,DATOS!$A16889,nCURSO,DATOS!$D16889,nESPEC,DATOS!$E16889,nASIG,DATOS!$I16889,nEVAL,"OR")=0))</f>
      </c>
      <c r="I16889">
        <f>IF(DATOS!$I16889="","",IFERROR(VLOOKUP(DATOS!$I16889,CONFIG_ASIGNATURAS!$B$2:$J$91,9,FALSE()),""))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IF(DATOS!$A16890="",0,IF(CONFIG_METADATA!$B$4&lt;&gt;"OR+EX",--(DATOS!$G16890=CONFIG_METADATA!$B$4),IF(DATOS!$G16890="EX",1,IF(DATOS!$G16890="OR",--(COUNTIFS(nNIA,DATOS!$A16890,nCURSO,DATOS!$D16890,nESPEC,DATOS!$E16890,nASIG,DATOS!$I16890,nEVAL,"EX")=0),0))))</f>
      </c>
      <c r="H16890">
        <f>IF(DATOS!$G16890&lt;&gt;"EX",0,--(COUNTIFS(nNIA,DATOS!$A16890,nCURSO,DATOS!$D16890,nESPEC,DATOS!$E16890,nASIG,DATOS!$I16890,nEVAL,"OR")=0))</f>
      </c>
      <c r="I16890">
        <f>IF(DATOS!$I16890="","",IFERROR(VLOOKUP(DATOS!$I16890,CONFIG_ASIGNATURAS!$B$2:$J$91,9,FALSE()),""))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IF(DATOS!$A16891="",0,IF(CONFIG_METADATA!$B$4&lt;&gt;"OR+EX",--(DATOS!$G16891=CONFIG_METADATA!$B$4),IF(DATOS!$G16891="EX",1,IF(DATOS!$G16891="OR",--(COUNTIFS(nNIA,DATOS!$A16891,nCURSO,DATOS!$D16891,nESPEC,DATOS!$E16891,nASIG,DATOS!$I16891,nEVAL,"EX")=0),0))))</f>
      </c>
      <c r="H16891">
        <f>IF(DATOS!$G16891&lt;&gt;"EX",0,--(COUNTIFS(nNIA,DATOS!$A16891,nCURSO,DATOS!$D16891,nESPEC,DATOS!$E16891,nASIG,DATOS!$I16891,nEVAL,"OR")=0))</f>
      </c>
      <c r="I16891">
        <f>IF(DATOS!$I16891="","",IFERROR(VLOOKUP(DATOS!$I16891,CONFIG_ASIGNATURAS!$B$2:$J$91,9,FALSE()),""))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IF(DATOS!$A16892="",0,IF(CONFIG_METADATA!$B$4&lt;&gt;"OR+EX",--(DATOS!$G16892=CONFIG_METADATA!$B$4),IF(DATOS!$G16892="EX",1,IF(DATOS!$G16892="OR",--(COUNTIFS(nNIA,DATOS!$A16892,nCURSO,DATOS!$D16892,nESPEC,DATOS!$E16892,nASIG,DATOS!$I16892,nEVAL,"EX")=0),0))))</f>
      </c>
      <c r="H16892">
        <f>IF(DATOS!$G16892&lt;&gt;"EX",0,--(COUNTIFS(nNIA,DATOS!$A16892,nCURSO,DATOS!$D16892,nESPEC,DATOS!$E16892,nASIG,DATOS!$I16892,nEVAL,"OR")=0))</f>
      </c>
      <c r="I16892">
        <f>IF(DATOS!$I16892="","",IFERROR(VLOOKUP(DATOS!$I16892,CONFIG_ASIGNATURAS!$B$2:$J$91,9,FALSE()),""))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IF(DATOS!$A16893="",0,IF(CONFIG_METADATA!$B$4&lt;&gt;"OR+EX",--(DATOS!$G16893=CONFIG_METADATA!$B$4),IF(DATOS!$G16893="EX",1,IF(DATOS!$G16893="OR",--(COUNTIFS(nNIA,DATOS!$A16893,nCURSO,DATOS!$D16893,nESPEC,DATOS!$E16893,nASIG,DATOS!$I16893,nEVAL,"EX")=0),0))))</f>
      </c>
      <c r="H16893">
        <f>IF(DATOS!$G16893&lt;&gt;"EX",0,--(COUNTIFS(nNIA,DATOS!$A16893,nCURSO,DATOS!$D16893,nESPEC,DATOS!$E16893,nASIG,DATOS!$I16893,nEVAL,"OR")=0))</f>
      </c>
      <c r="I16893">
        <f>IF(DATOS!$I16893="","",IFERROR(VLOOKUP(DATOS!$I16893,CONFIG_ASIGNATURAS!$B$2:$J$91,9,FALSE()),""))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IF(DATOS!$A16894="",0,IF(CONFIG_METADATA!$B$4&lt;&gt;"OR+EX",--(DATOS!$G16894=CONFIG_METADATA!$B$4),IF(DATOS!$G16894="EX",1,IF(DATOS!$G16894="OR",--(COUNTIFS(nNIA,DATOS!$A16894,nCURSO,DATOS!$D16894,nESPEC,DATOS!$E16894,nASIG,DATOS!$I16894,nEVAL,"EX")=0),0))))</f>
      </c>
      <c r="H16894">
        <f>IF(DATOS!$G16894&lt;&gt;"EX",0,--(COUNTIFS(nNIA,DATOS!$A16894,nCURSO,DATOS!$D16894,nESPEC,DATOS!$E16894,nASIG,DATOS!$I16894,nEVAL,"OR")=0))</f>
      </c>
      <c r="I16894">
        <f>IF(DATOS!$I16894="","",IFERROR(VLOOKUP(DATOS!$I16894,CONFIG_ASIGNATURAS!$B$2:$J$91,9,FALSE()),""))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IF(DATOS!$A16895="",0,IF(CONFIG_METADATA!$B$4&lt;&gt;"OR+EX",--(DATOS!$G16895=CONFIG_METADATA!$B$4),IF(DATOS!$G16895="EX",1,IF(DATOS!$G16895="OR",--(COUNTIFS(nNIA,DATOS!$A16895,nCURSO,DATOS!$D16895,nESPEC,DATOS!$E16895,nASIG,DATOS!$I16895,nEVAL,"EX")=0),0))))</f>
      </c>
      <c r="H16895">
        <f>IF(DATOS!$G16895&lt;&gt;"EX",0,--(COUNTIFS(nNIA,DATOS!$A16895,nCURSO,DATOS!$D16895,nESPEC,DATOS!$E16895,nASIG,DATOS!$I16895,nEVAL,"OR")=0))</f>
      </c>
      <c r="I16895">
        <f>IF(DATOS!$I16895="","",IFERROR(VLOOKUP(DATOS!$I16895,CONFIG_ASIGNATURAS!$B$2:$J$91,9,FALSE()),""))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IF(DATOS!$A16896="",0,IF(CONFIG_METADATA!$B$4&lt;&gt;"OR+EX",--(DATOS!$G16896=CONFIG_METADATA!$B$4),IF(DATOS!$G16896="EX",1,IF(DATOS!$G16896="OR",--(COUNTIFS(nNIA,DATOS!$A16896,nCURSO,DATOS!$D16896,nESPEC,DATOS!$E16896,nASIG,DATOS!$I16896,nEVAL,"EX")=0),0))))</f>
      </c>
      <c r="H16896">
        <f>IF(DATOS!$G16896&lt;&gt;"EX",0,--(COUNTIFS(nNIA,DATOS!$A16896,nCURSO,DATOS!$D16896,nESPEC,DATOS!$E16896,nASIG,DATOS!$I16896,nEVAL,"OR")=0))</f>
      </c>
      <c r="I16896">
        <f>IF(DATOS!$I16896="","",IFERROR(VLOOKUP(DATOS!$I16896,CONFIG_ASIGNATURAS!$B$2:$J$91,9,FALSE()),""))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IF(DATOS!$A16897="",0,IF(CONFIG_METADATA!$B$4&lt;&gt;"OR+EX",--(DATOS!$G16897=CONFIG_METADATA!$B$4),IF(DATOS!$G16897="EX",1,IF(DATOS!$G16897="OR",--(COUNTIFS(nNIA,DATOS!$A16897,nCURSO,DATOS!$D16897,nESPEC,DATOS!$E16897,nASIG,DATOS!$I16897,nEVAL,"EX")=0),0))))</f>
      </c>
      <c r="H16897">
        <f>IF(DATOS!$G16897&lt;&gt;"EX",0,--(COUNTIFS(nNIA,DATOS!$A16897,nCURSO,DATOS!$D16897,nESPEC,DATOS!$E16897,nASIG,DATOS!$I16897,nEVAL,"OR")=0))</f>
      </c>
      <c r="I16897">
        <f>IF(DATOS!$I16897="","",IFERROR(VLOOKUP(DATOS!$I16897,CONFIG_ASIGNATURAS!$B$2:$J$91,9,FALSE()),""))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IF(DATOS!$A16898="",0,IF(CONFIG_METADATA!$B$4&lt;&gt;"OR+EX",--(DATOS!$G16898=CONFIG_METADATA!$B$4),IF(DATOS!$G16898="EX",1,IF(DATOS!$G16898="OR",--(COUNTIFS(nNIA,DATOS!$A16898,nCURSO,DATOS!$D16898,nESPEC,DATOS!$E16898,nASIG,DATOS!$I16898,nEVAL,"EX")=0),0))))</f>
      </c>
      <c r="H16898">
        <f>IF(DATOS!$G16898&lt;&gt;"EX",0,--(COUNTIFS(nNIA,DATOS!$A16898,nCURSO,DATOS!$D16898,nESPEC,DATOS!$E16898,nASIG,DATOS!$I16898,nEVAL,"OR")=0))</f>
      </c>
      <c r="I16898">
        <f>IF(DATOS!$I16898="","",IFERROR(VLOOKUP(DATOS!$I16898,CONFIG_ASIGNATURAS!$B$2:$J$91,9,FALSE()),""))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IF(DATOS!$A16899="",0,IF(CONFIG_METADATA!$B$4&lt;&gt;"OR+EX",--(DATOS!$G16899=CONFIG_METADATA!$B$4),IF(DATOS!$G16899="EX",1,IF(DATOS!$G16899="OR",--(COUNTIFS(nNIA,DATOS!$A16899,nCURSO,DATOS!$D16899,nESPEC,DATOS!$E16899,nASIG,DATOS!$I16899,nEVAL,"EX")=0),0))))</f>
      </c>
      <c r="H16899">
        <f>IF(DATOS!$G16899&lt;&gt;"EX",0,--(COUNTIFS(nNIA,DATOS!$A16899,nCURSO,DATOS!$D16899,nESPEC,DATOS!$E16899,nASIG,DATOS!$I16899,nEVAL,"OR")=0))</f>
      </c>
      <c r="I16899">
        <f>IF(DATOS!$I16899="","",IFERROR(VLOOKUP(DATOS!$I16899,CONFIG_ASIGNATURAS!$B$2:$J$91,9,FALSE()),""))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IF(DATOS!$A16900="",0,IF(CONFIG_METADATA!$B$4&lt;&gt;"OR+EX",--(DATOS!$G16900=CONFIG_METADATA!$B$4),IF(DATOS!$G16900="EX",1,IF(DATOS!$G16900="OR",--(COUNTIFS(nNIA,DATOS!$A16900,nCURSO,DATOS!$D16900,nESPEC,DATOS!$E16900,nASIG,DATOS!$I16900,nEVAL,"EX")=0),0))))</f>
      </c>
      <c r="H16900">
        <f>IF(DATOS!$G16900&lt;&gt;"EX",0,--(COUNTIFS(nNIA,DATOS!$A16900,nCURSO,DATOS!$D16900,nESPEC,DATOS!$E16900,nASIG,DATOS!$I16900,nEVAL,"OR")=0))</f>
      </c>
      <c r="I16900">
        <f>IF(DATOS!$I16900="","",IFERROR(VLOOKUP(DATOS!$I16900,CONFIG_ASIGNATURAS!$B$2:$J$91,9,FALSE()),""))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IF(DATOS!$A16901="",0,IF(CONFIG_METADATA!$B$4&lt;&gt;"OR+EX",--(DATOS!$G16901=CONFIG_METADATA!$B$4),IF(DATOS!$G16901="EX",1,IF(DATOS!$G16901="OR",--(COUNTIFS(nNIA,DATOS!$A16901,nCURSO,DATOS!$D16901,nESPEC,DATOS!$E16901,nASIG,DATOS!$I16901,nEVAL,"EX")=0),0))))</f>
      </c>
      <c r="H16901">
        <f>IF(DATOS!$G16901&lt;&gt;"EX",0,--(COUNTIFS(nNIA,DATOS!$A16901,nCURSO,DATOS!$D16901,nESPEC,DATOS!$E16901,nASIG,DATOS!$I16901,nEVAL,"OR")=0))</f>
      </c>
      <c r="I16901">
        <f>IF(DATOS!$I16901="","",IFERROR(VLOOKUP(DATOS!$I16901,CONFIG_ASIGNATURAS!$B$2:$J$91,9,FALSE()),""))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IF(DATOS!$A16902="",0,IF(CONFIG_METADATA!$B$4&lt;&gt;"OR+EX",--(DATOS!$G16902=CONFIG_METADATA!$B$4),IF(DATOS!$G16902="EX",1,IF(DATOS!$G16902="OR",--(COUNTIFS(nNIA,DATOS!$A16902,nCURSO,DATOS!$D16902,nESPEC,DATOS!$E16902,nASIG,DATOS!$I16902,nEVAL,"EX")=0),0))))</f>
      </c>
      <c r="H16902">
        <f>IF(DATOS!$G16902&lt;&gt;"EX",0,--(COUNTIFS(nNIA,DATOS!$A16902,nCURSO,DATOS!$D16902,nESPEC,DATOS!$E16902,nASIG,DATOS!$I16902,nEVAL,"OR")=0))</f>
      </c>
      <c r="I16902">
        <f>IF(DATOS!$I16902="","",IFERROR(VLOOKUP(DATOS!$I16902,CONFIG_ASIGNATURAS!$B$2:$J$91,9,FALSE()),""))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IF(DATOS!$A16903="",0,IF(CONFIG_METADATA!$B$4&lt;&gt;"OR+EX",--(DATOS!$G16903=CONFIG_METADATA!$B$4),IF(DATOS!$G16903="EX",1,IF(DATOS!$G16903="OR",--(COUNTIFS(nNIA,DATOS!$A16903,nCURSO,DATOS!$D16903,nESPEC,DATOS!$E16903,nASIG,DATOS!$I16903,nEVAL,"EX")=0),0))))</f>
      </c>
      <c r="H16903">
        <f>IF(DATOS!$G16903&lt;&gt;"EX",0,--(COUNTIFS(nNIA,DATOS!$A16903,nCURSO,DATOS!$D16903,nESPEC,DATOS!$E16903,nASIG,DATOS!$I16903,nEVAL,"OR")=0))</f>
      </c>
      <c r="I16903">
        <f>IF(DATOS!$I16903="","",IFERROR(VLOOKUP(DATOS!$I16903,CONFIG_ASIGNATURAS!$B$2:$J$91,9,FALSE()),""))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IF(DATOS!$A16904="",0,IF(CONFIG_METADATA!$B$4&lt;&gt;"OR+EX",--(DATOS!$G16904=CONFIG_METADATA!$B$4),IF(DATOS!$G16904="EX",1,IF(DATOS!$G16904="OR",--(COUNTIFS(nNIA,DATOS!$A16904,nCURSO,DATOS!$D16904,nESPEC,DATOS!$E16904,nASIG,DATOS!$I16904,nEVAL,"EX")=0),0))))</f>
      </c>
      <c r="H16904">
        <f>IF(DATOS!$G16904&lt;&gt;"EX",0,--(COUNTIFS(nNIA,DATOS!$A16904,nCURSO,DATOS!$D16904,nESPEC,DATOS!$E16904,nASIG,DATOS!$I16904,nEVAL,"OR")=0))</f>
      </c>
      <c r="I16904">
        <f>IF(DATOS!$I16904="","",IFERROR(VLOOKUP(DATOS!$I16904,CONFIG_ASIGNATURAS!$B$2:$J$91,9,FALSE()),""))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IF(DATOS!$A16905="",0,IF(CONFIG_METADATA!$B$4&lt;&gt;"OR+EX",--(DATOS!$G16905=CONFIG_METADATA!$B$4),IF(DATOS!$G16905="EX",1,IF(DATOS!$G16905="OR",--(COUNTIFS(nNIA,DATOS!$A16905,nCURSO,DATOS!$D16905,nESPEC,DATOS!$E16905,nASIG,DATOS!$I16905,nEVAL,"EX")=0),0))))</f>
      </c>
      <c r="H16905">
        <f>IF(DATOS!$G16905&lt;&gt;"EX",0,--(COUNTIFS(nNIA,DATOS!$A16905,nCURSO,DATOS!$D16905,nESPEC,DATOS!$E16905,nASIG,DATOS!$I16905,nEVAL,"OR")=0))</f>
      </c>
      <c r="I16905">
        <f>IF(DATOS!$I16905="","",IFERROR(VLOOKUP(DATOS!$I16905,CONFIG_ASIGNATURAS!$B$2:$J$91,9,FALSE()),""))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IF(DATOS!$A16906="",0,IF(CONFIG_METADATA!$B$4&lt;&gt;"OR+EX",--(DATOS!$G16906=CONFIG_METADATA!$B$4),IF(DATOS!$G16906="EX",1,IF(DATOS!$G16906="OR",--(COUNTIFS(nNIA,DATOS!$A16906,nCURSO,DATOS!$D16906,nESPEC,DATOS!$E16906,nASIG,DATOS!$I16906,nEVAL,"EX")=0),0))))</f>
      </c>
      <c r="H16906">
        <f>IF(DATOS!$G16906&lt;&gt;"EX",0,--(COUNTIFS(nNIA,DATOS!$A16906,nCURSO,DATOS!$D16906,nESPEC,DATOS!$E16906,nASIG,DATOS!$I16906,nEVAL,"OR")=0))</f>
      </c>
      <c r="I16906">
        <f>IF(DATOS!$I16906="","",IFERROR(VLOOKUP(DATOS!$I16906,CONFIG_ASIGNATURAS!$B$2:$J$91,9,FALSE()),""))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IF(DATOS!$A16907="",0,IF(CONFIG_METADATA!$B$4&lt;&gt;"OR+EX",--(DATOS!$G16907=CONFIG_METADATA!$B$4),IF(DATOS!$G16907="EX",1,IF(DATOS!$G16907="OR",--(COUNTIFS(nNIA,DATOS!$A16907,nCURSO,DATOS!$D16907,nESPEC,DATOS!$E16907,nASIG,DATOS!$I16907,nEVAL,"EX")=0),0))))</f>
      </c>
      <c r="H16907">
        <f>IF(DATOS!$G16907&lt;&gt;"EX",0,--(COUNTIFS(nNIA,DATOS!$A16907,nCURSO,DATOS!$D16907,nESPEC,DATOS!$E16907,nASIG,DATOS!$I16907,nEVAL,"OR")=0))</f>
      </c>
      <c r="I16907">
        <f>IF(DATOS!$I16907="","",IFERROR(VLOOKUP(DATOS!$I16907,CONFIG_ASIGNATURAS!$B$2:$J$91,9,FALSE()),""))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IF(DATOS!$A16908="",0,IF(CONFIG_METADATA!$B$4&lt;&gt;"OR+EX",--(DATOS!$G16908=CONFIG_METADATA!$B$4),IF(DATOS!$G16908="EX",1,IF(DATOS!$G16908="OR",--(COUNTIFS(nNIA,DATOS!$A16908,nCURSO,DATOS!$D16908,nESPEC,DATOS!$E16908,nASIG,DATOS!$I16908,nEVAL,"EX")=0),0))))</f>
      </c>
      <c r="H16908">
        <f>IF(DATOS!$G16908&lt;&gt;"EX",0,--(COUNTIFS(nNIA,DATOS!$A16908,nCURSO,DATOS!$D16908,nESPEC,DATOS!$E16908,nASIG,DATOS!$I16908,nEVAL,"OR")=0))</f>
      </c>
      <c r="I16908">
        <f>IF(DATOS!$I16908="","",IFERROR(VLOOKUP(DATOS!$I16908,CONFIG_ASIGNATURAS!$B$2:$J$91,9,FALSE()),""))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IF(DATOS!$A16909="",0,IF(CONFIG_METADATA!$B$4&lt;&gt;"OR+EX",--(DATOS!$G16909=CONFIG_METADATA!$B$4),IF(DATOS!$G16909="EX",1,IF(DATOS!$G16909="OR",--(COUNTIFS(nNIA,DATOS!$A16909,nCURSO,DATOS!$D16909,nESPEC,DATOS!$E16909,nASIG,DATOS!$I16909,nEVAL,"EX")=0),0))))</f>
      </c>
      <c r="H16909">
        <f>IF(DATOS!$G16909&lt;&gt;"EX",0,--(COUNTIFS(nNIA,DATOS!$A16909,nCURSO,DATOS!$D16909,nESPEC,DATOS!$E16909,nASIG,DATOS!$I16909,nEVAL,"OR")=0))</f>
      </c>
      <c r="I16909">
        <f>IF(DATOS!$I16909="","",IFERROR(VLOOKUP(DATOS!$I16909,CONFIG_ASIGNATURAS!$B$2:$J$91,9,FALSE()),""))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IF(DATOS!$A16910="",0,IF(CONFIG_METADATA!$B$4&lt;&gt;"OR+EX",--(DATOS!$G16910=CONFIG_METADATA!$B$4),IF(DATOS!$G16910="EX",1,IF(DATOS!$G16910="OR",--(COUNTIFS(nNIA,DATOS!$A16910,nCURSO,DATOS!$D16910,nESPEC,DATOS!$E16910,nASIG,DATOS!$I16910,nEVAL,"EX")=0),0))))</f>
      </c>
      <c r="H16910">
        <f>IF(DATOS!$G16910&lt;&gt;"EX",0,--(COUNTIFS(nNIA,DATOS!$A16910,nCURSO,DATOS!$D16910,nESPEC,DATOS!$E16910,nASIG,DATOS!$I16910,nEVAL,"OR")=0))</f>
      </c>
      <c r="I16910">
        <f>IF(DATOS!$I16910="","",IFERROR(VLOOKUP(DATOS!$I16910,CONFIG_ASIGNATURAS!$B$2:$J$91,9,FALSE()),""))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IF(DATOS!$A16911="",0,IF(CONFIG_METADATA!$B$4&lt;&gt;"OR+EX",--(DATOS!$G16911=CONFIG_METADATA!$B$4),IF(DATOS!$G16911="EX",1,IF(DATOS!$G16911="OR",--(COUNTIFS(nNIA,DATOS!$A16911,nCURSO,DATOS!$D16911,nESPEC,DATOS!$E16911,nASIG,DATOS!$I16911,nEVAL,"EX")=0),0))))</f>
      </c>
      <c r="H16911">
        <f>IF(DATOS!$G16911&lt;&gt;"EX",0,--(COUNTIFS(nNIA,DATOS!$A16911,nCURSO,DATOS!$D16911,nESPEC,DATOS!$E16911,nASIG,DATOS!$I16911,nEVAL,"OR")=0))</f>
      </c>
      <c r="I16911">
        <f>IF(DATOS!$I16911="","",IFERROR(VLOOKUP(DATOS!$I16911,CONFIG_ASIGNATURAS!$B$2:$J$91,9,FALSE()),""))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IF(DATOS!$A16912="",0,IF(CONFIG_METADATA!$B$4&lt;&gt;"OR+EX",--(DATOS!$G16912=CONFIG_METADATA!$B$4),IF(DATOS!$G16912="EX",1,IF(DATOS!$G16912="OR",--(COUNTIFS(nNIA,DATOS!$A16912,nCURSO,DATOS!$D16912,nESPEC,DATOS!$E16912,nASIG,DATOS!$I16912,nEVAL,"EX")=0),0))))</f>
      </c>
      <c r="H16912">
        <f>IF(DATOS!$G16912&lt;&gt;"EX",0,--(COUNTIFS(nNIA,DATOS!$A16912,nCURSO,DATOS!$D16912,nESPEC,DATOS!$E16912,nASIG,DATOS!$I16912,nEVAL,"OR")=0))</f>
      </c>
      <c r="I16912">
        <f>IF(DATOS!$I16912="","",IFERROR(VLOOKUP(DATOS!$I16912,CONFIG_ASIGNATURAS!$B$2:$J$91,9,FALSE()),""))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IF(DATOS!$A16913="",0,IF(CONFIG_METADATA!$B$4&lt;&gt;"OR+EX",--(DATOS!$G16913=CONFIG_METADATA!$B$4),IF(DATOS!$G16913="EX",1,IF(DATOS!$G16913="OR",--(COUNTIFS(nNIA,DATOS!$A16913,nCURSO,DATOS!$D16913,nESPEC,DATOS!$E16913,nASIG,DATOS!$I16913,nEVAL,"EX")=0),0))))</f>
      </c>
      <c r="H16913">
        <f>IF(DATOS!$G16913&lt;&gt;"EX",0,--(COUNTIFS(nNIA,DATOS!$A16913,nCURSO,DATOS!$D16913,nESPEC,DATOS!$E16913,nASIG,DATOS!$I16913,nEVAL,"OR")=0))</f>
      </c>
      <c r="I16913">
        <f>IF(DATOS!$I16913="","",IFERROR(VLOOKUP(DATOS!$I16913,CONFIG_ASIGNATURAS!$B$2:$J$91,9,FALSE()),""))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IF(DATOS!$A16914="",0,IF(CONFIG_METADATA!$B$4&lt;&gt;"OR+EX",--(DATOS!$G16914=CONFIG_METADATA!$B$4),IF(DATOS!$G16914="EX",1,IF(DATOS!$G16914="OR",--(COUNTIFS(nNIA,DATOS!$A16914,nCURSO,DATOS!$D16914,nESPEC,DATOS!$E16914,nASIG,DATOS!$I16914,nEVAL,"EX")=0),0))))</f>
      </c>
      <c r="H16914">
        <f>IF(DATOS!$G16914&lt;&gt;"EX",0,--(COUNTIFS(nNIA,DATOS!$A16914,nCURSO,DATOS!$D16914,nESPEC,DATOS!$E16914,nASIG,DATOS!$I16914,nEVAL,"OR")=0))</f>
      </c>
      <c r="I16914">
        <f>IF(DATOS!$I16914="","",IFERROR(VLOOKUP(DATOS!$I16914,CONFIG_ASIGNATURAS!$B$2:$J$91,9,FALSE()),""))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IF(DATOS!$A16915="",0,IF(CONFIG_METADATA!$B$4&lt;&gt;"OR+EX",--(DATOS!$G16915=CONFIG_METADATA!$B$4),IF(DATOS!$G16915="EX",1,IF(DATOS!$G16915="OR",--(COUNTIFS(nNIA,DATOS!$A16915,nCURSO,DATOS!$D16915,nESPEC,DATOS!$E16915,nASIG,DATOS!$I16915,nEVAL,"EX")=0),0))))</f>
      </c>
      <c r="H16915">
        <f>IF(DATOS!$G16915&lt;&gt;"EX",0,--(COUNTIFS(nNIA,DATOS!$A16915,nCURSO,DATOS!$D16915,nESPEC,DATOS!$E16915,nASIG,DATOS!$I16915,nEVAL,"OR")=0))</f>
      </c>
      <c r="I16915">
        <f>IF(DATOS!$I16915="","",IFERROR(VLOOKUP(DATOS!$I16915,CONFIG_ASIGNATURAS!$B$2:$J$91,9,FALSE()),""))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IF(DATOS!$A16916="",0,IF(CONFIG_METADATA!$B$4&lt;&gt;"OR+EX",--(DATOS!$G16916=CONFIG_METADATA!$B$4),IF(DATOS!$G16916="EX",1,IF(DATOS!$G16916="OR",--(COUNTIFS(nNIA,DATOS!$A16916,nCURSO,DATOS!$D16916,nESPEC,DATOS!$E16916,nASIG,DATOS!$I16916,nEVAL,"EX")=0),0))))</f>
      </c>
      <c r="H16916">
        <f>IF(DATOS!$G16916&lt;&gt;"EX",0,--(COUNTIFS(nNIA,DATOS!$A16916,nCURSO,DATOS!$D16916,nESPEC,DATOS!$E16916,nASIG,DATOS!$I16916,nEVAL,"OR")=0))</f>
      </c>
      <c r="I16916">
        <f>IF(DATOS!$I16916="","",IFERROR(VLOOKUP(DATOS!$I16916,CONFIG_ASIGNATURAS!$B$2:$J$91,9,FALSE()),""))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IF(DATOS!$A16917="",0,IF(CONFIG_METADATA!$B$4&lt;&gt;"OR+EX",--(DATOS!$G16917=CONFIG_METADATA!$B$4),IF(DATOS!$G16917="EX",1,IF(DATOS!$G16917="OR",--(COUNTIFS(nNIA,DATOS!$A16917,nCURSO,DATOS!$D16917,nESPEC,DATOS!$E16917,nASIG,DATOS!$I16917,nEVAL,"EX")=0),0))))</f>
      </c>
      <c r="H16917">
        <f>IF(DATOS!$G16917&lt;&gt;"EX",0,--(COUNTIFS(nNIA,DATOS!$A16917,nCURSO,DATOS!$D16917,nESPEC,DATOS!$E16917,nASIG,DATOS!$I16917,nEVAL,"OR")=0))</f>
      </c>
      <c r="I16917">
        <f>IF(DATOS!$I16917="","",IFERROR(VLOOKUP(DATOS!$I16917,CONFIG_ASIGNATURAS!$B$2:$J$91,9,FALSE()),""))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IF(DATOS!$A16918="",0,IF(CONFIG_METADATA!$B$4&lt;&gt;"OR+EX",--(DATOS!$G16918=CONFIG_METADATA!$B$4),IF(DATOS!$G16918="EX",1,IF(DATOS!$G16918="OR",--(COUNTIFS(nNIA,DATOS!$A16918,nCURSO,DATOS!$D16918,nESPEC,DATOS!$E16918,nASIG,DATOS!$I16918,nEVAL,"EX")=0),0))))</f>
      </c>
      <c r="H16918">
        <f>IF(DATOS!$G16918&lt;&gt;"EX",0,--(COUNTIFS(nNIA,DATOS!$A16918,nCURSO,DATOS!$D16918,nESPEC,DATOS!$E16918,nASIG,DATOS!$I16918,nEVAL,"OR")=0))</f>
      </c>
      <c r="I16918">
        <f>IF(DATOS!$I16918="","",IFERROR(VLOOKUP(DATOS!$I16918,CONFIG_ASIGNATURAS!$B$2:$J$91,9,FALSE()),""))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IF(DATOS!$A16919="",0,IF(CONFIG_METADATA!$B$4&lt;&gt;"OR+EX",--(DATOS!$G16919=CONFIG_METADATA!$B$4),IF(DATOS!$G16919="EX",1,IF(DATOS!$G16919="OR",--(COUNTIFS(nNIA,DATOS!$A16919,nCURSO,DATOS!$D16919,nESPEC,DATOS!$E16919,nASIG,DATOS!$I16919,nEVAL,"EX")=0),0))))</f>
      </c>
      <c r="H16919">
        <f>IF(DATOS!$G16919&lt;&gt;"EX",0,--(COUNTIFS(nNIA,DATOS!$A16919,nCURSO,DATOS!$D16919,nESPEC,DATOS!$E16919,nASIG,DATOS!$I16919,nEVAL,"OR")=0))</f>
      </c>
      <c r="I16919">
        <f>IF(DATOS!$I16919="","",IFERROR(VLOOKUP(DATOS!$I16919,CONFIG_ASIGNATURAS!$B$2:$J$91,9,FALSE()),""))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IF(DATOS!$A16920="",0,IF(CONFIG_METADATA!$B$4&lt;&gt;"OR+EX",--(DATOS!$G16920=CONFIG_METADATA!$B$4),IF(DATOS!$G16920="EX",1,IF(DATOS!$G16920="OR",--(COUNTIFS(nNIA,DATOS!$A16920,nCURSO,DATOS!$D16920,nESPEC,DATOS!$E16920,nASIG,DATOS!$I16920,nEVAL,"EX")=0),0))))</f>
      </c>
      <c r="H16920">
        <f>IF(DATOS!$G16920&lt;&gt;"EX",0,--(COUNTIFS(nNIA,DATOS!$A16920,nCURSO,DATOS!$D16920,nESPEC,DATOS!$E16920,nASIG,DATOS!$I16920,nEVAL,"OR")=0))</f>
      </c>
      <c r="I16920">
        <f>IF(DATOS!$I16920="","",IFERROR(VLOOKUP(DATOS!$I16920,CONFIG_ASIGNATURAS!$B$2:$J$91,9,FALSE()),""))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IF(DATOS!$A16921="",0,IF(CONFIG_METADATA!$B$4&lt;&gt;"OR+EX",--(DATOS!$G16921=CONFIG_METADATA!$B$4),IF(DATOS!$G16921="EX",1,IF(DATOS!$G16921="OR",--(COUNTIFS(nNIA,DATOS!$A16921,nCURSO,DATOS!$D16921,nESPEC,DATOS!$E16921,nASIG,DATOS!$I16921,nEVAL,"EX")=0),0))))</f>
      </c>
      <c r="H16921">
        <f>IF(DATOS!$G16921&lt;&gt;"EX",0,--(COUNTIFS(nNIA,DATOS!$A16921,nCURSO,DATOS!$D16921,nESPEC,DATOS!$E16921,nASIG,DATOS!$I16921,nEVAL,"OR")=0))</f>
      </c>
      <c r="I16921">
        <f>IF(DATOS!$I16921="","",IFERROR(VLOOKUP(DATOS!$I16921,CONFIG_ASIGNATURAS!$B$2:$J$91,9,FALSE()),""))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IF(DATOS!$A16922="",0,IF(CONFIG_METADATA!$B$4&lt;&gt;"OR+EX",--(DATOS!$G16922=CONFIG_METADATA!$B$4),IF(DATOS!$G16922="EX",1,IF(DATOS!$G16922="OR",--(COUNTIFS(nNIA,DATOS!$A16922,nCURSO,DATOS!$D16922,nESPEC,DATOS!$E16922,nASIG,DATOS!$I16922,nEVAL,"EX")=0),0))))</f>
      </c>
      <c r="H16922">
        <f>IF(DATOS!$G16922&lt;&gt;"EX",0,--(COUNTIFS(nNIA,DATOS!$A16922,nCURSO,DATOS!$D16922,nESPEC,DATOS!$E16922,nASIG,DATOS!$I16922,nEVAL,"OR")=0))</f>
      </c>
      <c r="I16922">
        <f>IF(DATOS!$I16922="","",IFERROR(VLOOKUP(DATOS!$I16922,CONFIG_ASIGNATURAS!$B$2:$J$91,9,FALSE()),""))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IF(DATOS!$A16923="",0,IF(CONFIG_METADATA!$B$4&lt;&gt;"OR+EX",--(DATOS!$G16923=CONFIG_METADATA!$B$4),IF(DATOS!$G16923="EX",1,IF(DATOS!$G16923="OR",--(COUNTIFS(nNIA,DATOS!$A16923,nCURSO,DATOS!$D16923,nESPEC,DATOS!$E16923,nASIG,DATOS!$I16923,nEVAL,"EX")=0),0))))</f>
      </c>
      <c r="H16923">
        <f>IF(DATOS!$G16923&lt;&gt;"EX",0,--(COUNTIFS(nNIA,DATOS!$A16923,nCURSO,DATOS!$D16923,nESPEC,DATOS!$E16923,nASIG,DATOS!$I16923,nEVAL,"OR")=0))</f>
      </c>
      <c r="I16923">
        <f>IF(DATOS!$I16923="","",IFERROR(VLOOKUP(DATOS!$I16923,CONFIG_ASIGNATURAS!$B$2:$J$91,9,FALSE()),""))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IF(DATOS!$A16924="",0,IF(CONFIG_METADATA!$B$4&lt;&gt;"OR+EX",--(DATOS!$G16924=CONFIG_METADATA!$B$4),IF(DATOS!$G16924="EX",1,IF(DATOS!$G16924="OR",--(COUNTIFS(nNIA,DATOS!$A16924,nCURSO,DATOS!$D16924,nESPEC,DATOS!$E16924,nASIG,DATOS!$I16924,nEVAL,"EX")=0),0))))</f>
      </c>
      <c r="H16924">
        <f>IF(DATOS!$G16924&lt;&gt;"EX",0,--(COUNTIFS(nNIA,DATOS!$A16924,nCURSO,DATOS!$D16924,nESPEC,DATOS!$E16924,nASIG,DATOS!$I16924,nEVAL,"OR")=0))</f>
      </c>
      <c r="I16924">
        <f>IF(DATOS!$I16924="","",IFERROR(VLOOKUP(DATOS!$I16924,CONFIG_ASIGNATURAS!$B$2:$J$91,9,FALSE()),""))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IF(DATOS!$A16925="",0,IF(CONFIG_METADATA!$B$4&lt;&gt;"OR+EX",--(DATOS!$G16925=CONFIG_METADATA!$B$4),IF(DATOS!$G16925="EX",1,IF(DATOS!$G16925="OR",--(COUNTIFS(nNIA,DATOS!$A16925,nCURSO,DATOS!$D16925,nESPEC,DATOS!$E16925,nASIG,DATOS!$I16925,nEVAL,"EX")=0),0))))</f>
      </c>
      <c r="H16925">
        <f>IF(DATOS!$G16925&lt;&gt;"EX",0,--(COUNTIFS(nNIA,DATOS!$A16925,nCURSO,DATOS!$D16925,nESPEC,DATOS!$E16925,nASIG,DATOS!$I16925,nEVAL,"OR")=0))</f>
      </c>
      <c r="I16925">
        <f>IF(DATOS!$I16925="","",IFERROR(VLOOKUP(DATOS!$I16925,CONFIG_ASIGNATURAS!$B$2:$J$91,9,FALSE()),""))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IF(DATOS!$A16926="",0,IF(CONFIG_METADATA!$B$4&lt;&gt;"OR+EX",--(DATOS!$G16926=CONFIG_METADATA!$B$4),IF(DATOS!$G16926="EX",1,IF(DATOS!$G16926="OR",--(COUNTIFS(nNIA,DATOS!$A16926,nCURSO,DATOS!$D16926,nESPEC,DATOS!$E16926,nASIG,DATOS!$I16926,nEVAL,"EX")=0),0))))</f>
      </c>
      <c r="H16926">
        <f>IF(DATOS!$G16926&lt;&gt;"EX",0,--(COUNTIFS(nNIA,DATOS!$A16926,nCURSO,DATOS!$D16926,nESPEC,DATOS!$E16926,nASIG,DATOS!$I16926,nEVAL,"OR")=0))</f>
      </c>
      <c r="I16926">
        <f>IF(DATOS!$I16926="","",IFERROR(VLOOKUP(DATOS!$I16926,CONFIG_ASIGNATURAS!$B$2:$J$91,9,FALSE()),""))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IF(DATOS!$A16927="",0,IF(CONFIG_METADATA!$B$4&lt;&gt;"OR+EX",--(DATOS!$G16927=CONFIG_METADATA!$B$4),IF(DATOS!$G16927="EX",1,IF(DATOS!$G16927="OR",--(COUNTIFS(nNIA,DATOS!$A16927,nCURSO,DATOS!$D16927,nESPEC,DATOS!$E16927,nASIG,DATOS!$I16927,nEVAL,"EX")=0),0))))</f>
      </c>
      <c r="H16927">
        <f>IF(DATOS!$G16927&lt;&gt;"EX",0,--(COUNTIFS(nNIA,DATOS!$A16927,nCURSO,DATOS!$D16927,nESPEC,DATOS!$E16927,nASIG,DATOS!$I16927,nEVAL,"OR")=0))</f>
      </c>
      <c r="I16927">
        <f>IF(DATOS!$I16927="","",IFERROR(VLOOKUP(DATOS!$I16927,CONFIG_ASIGNATURAS!$B$2:$J$91,9,FALSE()),""))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IF(DATOS!$A16928="",0,IF(CONFIG_METADATA!$B$4&lt;&gt;"OR+EX",--(DATOS!$G16928=CONFIG_METADATA!$B$4),IF(DATOS!$G16928="EX",1,IF(DATOS!$G16928="OR",--(COUNTIFS(nNIA,DATOS!$A16928,nCURSO,DATOS!$D16928,nESPEC,DATOS!$E16928,nASIG,DATOS!$I16928,nEVAL,"EX")=0),0))))</f>
      </c>
      <c r="H16928">
        <f>IF(DATOS!$G16928&lt;&gt;"EX",0,--(COUNTIFS(nNIA,DATOS!$A16928,nCURSO,DATOS!$D16928,nESPEC,DATOS!$E16928,nASIG,DATOS!$I16928,nEVAL,"OR")=0))</f>
      </c>
      <c r="I16928">
        <f>IF(DATOS!$I16928="","",IFERROR(VLOOKUP(DATOS!$I16928,CONFIG_ASIGNATURAS!$B$2:$J$91,9,FALSE()),""))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IF(DATOS!$A16929="",0,IF(CONFIG_METADATA!$B$4&lt;&gt;"OR+EX",--(DATOS!$G16929=CONFIG_METADATA!$B$4),IF(DATOS!$G16929="EX",1,IF(DATOS!$G16929="OR",--(COUNTIFS(nNIA,DATOS!$A16929,nCURSO,DATOS!$D16929,nESPEC,DATOS!$E16929,nASIG,DATOS!$I16929,nEVAL,"EX")=0),0))))</f>
      </c>
      <c r="H16929">
        <f>IF(DATOS!$G16929&lt;&gt;"EX",0,--(COUNTIFS(nNIA,DATOS!$A16929,nCURSO,DATOS!$D16929,nESPEC,DATOS!$E16929,nASIG,DATOS!$I16929,nEVAL,"OR")=0))</f>
      </c>
      <c r="I16929">
        <f>IF(DATOS!$I16929="","",IFERROR(VLOOKUP(DATOS!$I16929,CONFIG_ASIGNATURAS!$B$2:$J$91,9,FALSE()),""))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IF(DATOS!$A16930="",0,IF(CONFIG_METADATA!$B$4&lt;&gt;"OR+EX",--(DATOS!$G16930=CONFIG_METADATA!$B$4),IF(DATOS!$G16930="EX",1,IF(DATOS!$G16930="OR",--(COUNTIFS(nNIA,DATOS!$A16930,nCURSO,DATOS!$D16930,nESPEC,DATOS!$E16930,nASIG,DATOS!$I16930,nEVAL,"EX")=0),0))))</f>
      </c>
      <c r="H16930">
        <f>IF(DATOS!$G16930&lt;&gt;"EX",0,--(COUNTIFS(nNIA,DATOS!$A16930,nCURSO,DATOS!$D16930,nESPEC,DATOS!$E16930,nASIG,DATOS!$I16930,nEVAL,"OR")=0))</f>
      </c>
      <c r="I16930">
        <f>IF(DATOS!$I16930="","",IFERROR(VLOOKUP(DATOS!$I16930,CONFIG_ASIGNATURAS!$B$2:$J$91,9,FALSE()),""))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IF(DATOS!$A16931="",0,IF(CONFIG_METADATA!$B$4&lt;&gt;"OR+EX",--(DATOS!$G16931=CONFIG_METADATA!$B$4),IF(DATOS!$G16931="EX",1,IF(DATOS!$G16931="OR",--(COUNTIFS(nNIA,DATOS!$A16931,nCURSO,DATOS!$D16931,nESPEC,DATOS!$E16931,nASIG,DATOS!$I16931,nEVAL,"EX")=0),0))))</f>
      </c>
      <c r="H16931">
        <f>IF(DATOS!$G16931&lt;&gt;"EX",0,--(COUNTIFS(nNIA,DATOS!$A16931,nCURSO,DATOS!$D16931,nESPEC,DATOS!$E16931,nASIG,DATOS!$I16931,nEVAL,"OR")=0))</f>
      </c>
      <c r="I16931">
        <f>IF(DATOS!$I16931="","",IFERROR(VLOOKUP(DATOS!$I16931,CONFIG_ASIGNATURAS!$B$2:$J$91,9,FALSE()),""))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IF(DATOS!$A16932="",0,IF(CONFIG_METADATA!$B$4&lt;&gt;"OR+EX",--(DATOS!$G16932=CONFIG_METADATA!$B$4),IF(DATOS!$G16932="EX",1,IF(DATOS!$G16932="OR",--(COUNTIFS(nNIA,DATOS!$A16932,nCURSO,DATOS!$D16932,nESPEC,DATOS!$E16932,nASIG,DATOS!$I16932,nEVAL,"EX")=0),0))))</f>
      </c>
      <c r="H16932">
        <f>IF(DATOS!$G16932&lt;&gt;"EX",0,--(COUNTIFS(nNIA,DATOS!$A16932,nCURSO,DATOS!$D16932,nESPEC,DATOS!$E16932,nASIG,DATOS!$I16932,nEVAL,"OR")=0))</f>
      </c>
      <c r="I16932">
        <f>IF(DATOS!$I16932="","",IFERROR(VLOOKUP(DATOS!$I16932,CONFIG_ASIGNATURAS!$B$2:$J$91,9,FALSE()),""))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IF(DATOS!$A16933="",0,IF(CONFIG_METADATA!$B$4&lt;&gt;"OR+EX",--(DATOS!$G16933=CONFIG_METADATA!$B$4),IF(DATOS!$G16933="EX",1,IF(DATOS!$G16933="OR",--(COUNTIFS(nNIA,DATOS!$A16933,nCURSO,DATOS!$D16933,nESPEC,DATOS!$E16933,nASIG,DATOS!$I16933,nEVAL,"EX")=0),0))))</f>
      </c>
      <c r="H16933">
        <f>IF(DATOS!$G16933&lt;&gt;"EX",0,--(COUNTIFS(nNIA,DATOS!$A16933,nCURSO,DATOS!$D16933,nESPEC,DATOS!$E16933,nASIG,DATOS!$I16933,nEVAL,"OR")=0))</f>
      </c>
      <c r="I16933">
        <f>IF(DATOS!$I16933="","",IFERROR(VLOOKUP(DATOS!$I16933,CONFIG_ASIGNATURAS!$B$2:$J$91,9,FALSE()),""))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IF(DATOS!$A16934="",0,IF(CONFIG_METADATA!$B$4&lt;&gt;"OR+EX",--(DATOS!$G16934=CONFIG_METADATA!$B$4),IF(DATOS!$G16934="EX",1,IF(DATOS!$G16934="OR",--(COUNTIFS(nNIA,DATOS!$A16934,nCURSO,DATOS!$D16934,nESPEC,DATOS!$E16934,nASIG,DATOS!$I16934,nEVAL,"EX")=0),0))))</f>
      </c>
      <c r="H16934">
        <f>IF(DATOS!$G16934&lt;&gt;"EX",0,--(COUNTIFS(nNIA,DATOS!$A16934,nCURSO,DATOS!$D16934,nESPEC,DATOS!$E16934,nASIG,DATOS!$I16934,nEVAL,"OR")=0))</f>
      </c>
      <c r="I16934">
        <f>IF(DATOS!$I16934="","",IFERROR(VLOOKUP(DATOS!$I16934,CONFIG_ASIGNATURAS!$B$2:$J$91,9,FALSE()),""))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IF(DATOS!$A16935="",0,IF(CONFIG_METADATA!$B$4&lt;&gt;"OR+EX",--(DATOS!$G16935=CONFIG_METADATA!$B$4),IF(DATOS!$G16935="EX",1,IF(DATOS!$G16935="OR",--(COUNTIFS(nNIA,DATOS!$A16935,nCURSO,DATOS!$D16935,nESPEC,DATOS!$E16935,nASIG,DATOS!$I16935,nEVAL,"EX")=0),0))))</f>
      </c>
      <c r="H16935">
        <f>IF(DATOS!$G16935&lt;&gt;"EX",0,--(COUNTIFS(nNIA,DATOS!$A16935,nCURSO,DATOS!$D16935,nESPEC,DATOS!$E16935,nASIG,DATOS!$I16935,nEVAL,"OR")=0))</f>
      </c>
      <c r="I16935">
        <f>IF(DATOS!$I16935="","",IFERROR(VLOOKUP(DATOS!$I16935,CONFIG_ASIGNATURAS!$B$2:$J$91,9,FALSE()),""))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IF(DATOS!$A16936="",0,IF(CONFIG_METADATA!$B$4&lt;&gt;"OR+EX",--(DATOS!$G16936=CONFIG_METADATA!$B$4),IF(DATOS!$G16936="EX",1,IF(DATOS!$G16936="OR",--(COUNTIFS(nNIA,DATOS!$A16936,nCURSO,DATOS!$D16936,nESPEC,DATOS!$E16936,nASIG,DATOS!$I16936,nEVAL,"EX")=0),0))))</f>
      </c>
      <c r="H16936">
        <f>IF(DATOS!$G16936&lt;&gt;"EX",0,--(COUNTIFS(nNIA,DATOS!$A16936,nCURSO,DATOS!$D16936,nESPEC,DATOS!$E16936,nASIG,DATOS!$I16936,nEVAL,"OR")=0))</f>
      </c>
      <c r="I16936">
        <f>IF(DATOS!$I16936="","",IFERROR(VLOOKUP(DATOS!$I16936,CONFIG_ASIGNATURAS!$B$2:$J$91,9,FALSE()),""))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IF(DATOS!$A16937="",0,IF(CONFIG_METADATA!$B$4&lt;&gt;"OR+EX",--(DATOS!$G16937=CONFIG_METADATA!$B$4),IF(DATOS!$G16937="EX",1,IF(DATOS!$G16937="OR",--(COUNTIFS(nNIA,DATOS!$A16937,nCURSO,DATOS!$D16937,nESPEC,DATOS!$E16937,nASIG,DATOS!$I16937,nEVAL,"EX")=0),0))))</f>
      </c>
      <c r="H16937">
        <f>IF(DATOS!$G16937&lt;&gt;"EX",0,--(COUNTIFS(nNIA,DATOS!$A16937,nCURSO,DATOS!$D16937,nESPEC,DATOS!$E16937,nASIG,DATOS!$I16937,nEVAL,"OR")=0))</f>
      </c>
      <c r="I16937">
        <f>IF(DATOS!$I16937="","",IFERROR(VLOOKUP(DATOS!$I16937,CONFIG_ASIGNATURAS!$B$2:$J$91,9,FALSE()),""))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IF(DATOS!$A16938="",0,IF(CONFIG_METADATA!$B$4&lt;&gt;"OR+EX",--(DATOS!$G16938=CONFIG_METADATA!$B$4),IF(DATOS!$G16938="EX",1,IF(DATOS!$G16938="OR",--(COUNTIFS(nNIA,DATOS!$A16938,nCURSO,DATOS!$D16938,nESPEC,DATOS!$E16938,nASIG,DATOS!$I16938,nEVAL,"EX")=0),0))))</f>
      </c>
      <c r="H16938">
        <f>IF(DATOS!$G16938&lt;&gt;"EX",0,--(COUNTIFS(nNIA,DATOS!$A16938,nCURSO,DATOS!$D16938,nESPEC,DATOS!$E16938,nASIG,DATOS!$I16938,nEVAL,"OR")=0))</f>
      </c>
      <c r="I16938">
        <f>IF(DATOS!$I16938="","",IFERROR(VLOOKUP(DATOS!$I16938,CONFIG_ASIGNATURAS!$B$2:$J$91,9,FALSE()),""))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IF(DATOS!$A16939="",0,IF(CONFIG_METADATA!$B$4&lt;&gt;"OR+EX",--(DATOS!$G16939=CONFIG_METADATA!$B$4),IF(DATOS!$G16939="EX",1,IF(DATOS!$G16939="OR",--(COUNTIFS(nNIA,DATOS!$A16939,nCURSO,DATOS!$D16939,nESPEC,DATOS!$E16939,nASIG,DATOS!$I16939,nEVAL,"EX")=0),0))))</f>
      </c>
      <c r="H16939">
        <f>IF(DATOS!$G16939&lt;&gt;"EX",0,--(COUNTIFS(nNIA,DATOS!$A16939,nCURSO,DATOS!$D16939,nESPEC,DATOS!$E16939,nASIG,DATOS!$I16939,nEVAL,"OR")=0))</f>
      </c>
      <c r="I16939">
        <f>IF(DATOS!$I16939="","",IFERROR(VLOOKUP(DATOS!$I16939,CONFIG_ASIGNATURAS!$B$2:$J$91,9,FALSE()),""))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IF(DATOS!$A16940="",0,IF(CONFIG_METADATA!$B$4&lt;&gt;"OR+EX",--(DATOS!$G16940=CONFIG_METADATA!$B$4),IF(DATOS!$G16940="EX",1,IF(DATOS!$G16940="OR",--(COUNTIFS(nNIA,DATOS!$A16940,nCURSO,DATOS!$D16940,nESPEC,DATOS!$E16940,nASIG,DATOS!$I16940,nEVAL,"EX")=0),0))))</f>
      </c>
      <c r="H16940">
        <f>IF(DATOS!$G16940&lt;&gt;"EX",0,--(COUNTIFS(nNIA,DATOS!$A16940,nCURSO,DATOS!$D16940,nESPEC,DATOS!$E16940,nASIG,DATOS!$I16940,nEVAL,"OR")=0))</f>
      </c>
      <c r="I16940">
        <f>IF(DATOS!$I16940="","",IFERROR(VLOOKUP(DATOS!$I16940,CONFIG_ASIGNATURAS!$B$2:$J$91,9,FALSE()),""))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IF(DATOS!$A16941="",0,IF(CONFIG_METADATA!$B$4&lt;&gt;"OR+EX",--(DATOS!$G16941=CONFIG_METADATA!$B$4),IF(DATOS!$G16941="EX",1,IF(DATOS!$G16941="OR",--(COUNTIFS(nNIA,DATOS!$A16941,nCURSO,DATOS!$D16941,nESPEC,DATOS!$E16941,nASIG,DATOS!$I16941,nEVAL,"EX")=0),0))))</f>
      </c>
      <c r="H16941">
        <f>IF(DATOS!$G16941&lt;&gt;"EX",0,--(COUNTIFS(nNIA,DATOS!$A16941,nCURSO,DATOS!$D16941,nESPEC,DATOS!$E16941,nASIG,DATOS!$I16941,nEVAL,"OR")=0))</f>
      </c>
      <c r="I16941">
        <f>IF(DATOS!$I16941="","",IFERROR(VLOOKUP(DATOS!$I16941,CONFIG_ASIGNATURAS!$B$2:$J$91,9,FALSE()),""))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IF(DATOS!$A16942="",0,IF(CONFIG_METADATA!$B$4&lt;&gt;"OR+EX",--(DATOS!$G16942=CONFIG_METADATA!$B$4),IF(DATOS!$G16942="EX",1,IF(DATOS!$G16942="OR",--(COUNTIFS(nNIA,DATOS!$A16942,nCURSO,DATOS!$D16942,nESPEC,DATOS!$E16942,nASIG,DATOS!$I16942,nEVAL,"EX")=0),0))))</f>
      </c>
      <c r="H16942">
        <f>IF(DATOS!$G16942&lt;&gt;"EX",0,--(COUNTIFS(nNIA,DATOS!$A16942,nCURSO,DATOS!$D16942,nESPEC,DATOS!$E16942,nASIG,DATOS!$I16942,nEVAL,"OR")=0))</f>
      </c>
      <c r="I16942">
        <f>IF(DATOS!$I16942="","",IFERROR(VLOOKUP(DATOS!$I16942,CONFIG_ASIGNATURAS!$B$2:$J$91,9,FALSE()),""))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IF(DATOS!$A16943="",0,IF(CONFIG_METADATA!$B$4&lt;&gt;"OR+EX",--(DATOS!$G16943=CONFIG_METADATA!$B$4),IF(DATOS!$G16943="EX",1,IF(DATOS!$G16943="OR",--(COUNTIFS(nNIA,DATOS!$A16943,nCURSO,DATOS!$D16943,nESPEC,DATOS!$E16943,nASIG,DATOS!$I16943,nEVAL,"EX")=0),0))))</f>
      </c>
      <c r="H16943">
        <f>IF(DATOS!$G16943&lt;&gt;"EX",0,--(COUNTIFS(nNIA,DATOS!$A16943,nCURSO,DATOS!$D16943,nESPEC,DATOS!$E16943,nASIG,DATOS!$I16943,nEVAL,"OR")=0))</f>
      </c>
      <c r="I16943">
        <f>IF(DATOS!$I16943="","",IFERROR(VLOOKUP(DATOS!$I16943,CONFIG_ASIGNATURAS!$B$2:$J$91,9,FALSE()),""))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IF(DATOS!$A16944="",0,IF(CONFIG_METADATA!$B$4&lt;&gt;"OR+EX",--(DATOS!$G16944=CONFIG_METADATA!$B$4),IF(DATOS!$G16944="EX",1,IF(DATOS!$G16944="OR",--(COUNTIFS(nNIA,DATOS!$A16944,nCURSO,DATOS!$D16944,nESPEC,DATOS!$E16944,nASIG,DATOS!$I16944,nEVAL,"EX")=0),0))))</f>
      </c>
      <c r="H16944">
        <f>IF(DATOS!$G16944&lt;&gt;"EX",0,--(COUNTIFS(nNIA,DATOS!$A16944,nCURSO,DATOS!$D16944,nESPEC,DATOS!$E16944,nASIG,DATOS!$I16944,nEVAL,"OR")=0))</f>
      </c>
      <c r="I16944">
        <f>IF(DATOS!$I16944="","",IFERROR(VLOOKUP(DATOS!$I16944,CONFIG_ASIGNATURAS!$B$2:$J$91,9,FALSE()),""))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IF(DATOS!$A16945="",0,IF(CONFIG_METADATA!$B$4&lt;&gt;"OR+EX",--(DATOS!$G16945=CONFIG_METADATA!$B$4),IF(DATOS!$G16945="EX",1,IF(DATOS!$G16945="OR",--(COUNTIFS(nNIA,DATOS!$A16945,nCURSO,DATOS!$D16945,nESPEC,DATOS!$E16945,nASIG,DATOS!$I16945,nEVAL,"EX")=0),0))))</f>
      </c>
      <c r="H16945">
        <f>IF(DATOS!$G16945&lt;&gt;"EX",0,--(COUNTIFS(nNIA,DATOS!$A16945,nCURSO,DATOS!$D16945,nESPEC,DATOS!$E16945,nASIG,DATOS!$I16945,nEVAL,"OR")=0))</f>
      </c>
      <c r="I16945">
        <f>IF(DATOS!$I16945="","",IFERROR(VLOOKUP(DATOS!$I16945,CONFIG_ASIGNATURAS!$B$2:$J$91,9,FALSE()),""))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IF(DATOS!$A16946="",0,IF(CONFIG_METADATA!$B$4&lt;&gt;"OR+EX",--(DATOS!$G16946=CONFIG_METADATA!$B$4),IF(DATOS!$G16946="EX",1,IF(DATOS!$G16946="OR",--(COUNTIFS(nNIA,DATOS!$A16946,nCURSO,DATOS!$D16946,nESPEC,DATOS!$E16946,nASIG,DATOS!$I16946,nEVAL,"EX")=0),0))))</f>
      </c>
      <c r="H16946">
        <f>IF(DATOS!$G16946&lt;&gt;"EX",0,--(COUNTIFS(nNIA,DATOS!$A16946,nCURSO,DATOS!$D16946,nESPEC,DATOS!$E16946,nASIG,DATOS!$I16946,nEVAL,"OR")=0))</f>
      </c>
      <c r="I16946">
        <f>IF(DATOS!$I16946="","",IFERROR(VLOOKUP(DATOS!$I16946,CONFIG_ASIGNATURAS!$B$2:$J$91,9,FALSE()),""))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IF(DATOS!$A16947="",0,IF(CONFIG_METADATA!$B$4&lt;&gt;"OR+EX",--(DATOS!$G16947=CONFIG_METADATA!$B$4),IF(DATOS!$G16947="EX",1,IF(DATOS!$G16947="OR",--(COUNTIFS(nNIA,DATOS!$A16947,nCURSO,DATOS!$D16947,nESPEC,DATOS!$E16947,nASIG,DATOS!$I16947,nEVAL,"EX")=0),0))))</f>
      </c>
      <c r="H16947">
        <f>IF(DATOS!$G16947&lt;&gt;"EX",0,--(COUNTIFS(nNIA,DATOS!$A16947,nCURSO,DATOS!$D16947,nESPEC,DATOS!$E16947,nASIG,DATOS!$I16947,nEVAL,"OR")=0))</f>
      </c>
      <c r="I16947">
        <f>IF(DATOS!$I16947="","",IFERROR(VLOOKUP(DATOS!$I16947,CONFIG_ASIGNATURAS!$B$2:$J$91,9,FALSE()),""))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IF(DATOS!$A16948="",0,IF(CONFIG_METADATA!$B$4&lt;&gt;"OR+EX",--(DATOS!$G16948=CONFIG_METADATA!$B$4),IF(DATOS!$G16948="EX",1,IF(DATOS!$G16948="OR",--(COUNTIFS(nNIA,DATOS!$A16948,nCURSO,DATOS!$D16948,nESPEC,DATOS!$E16948,nASIG,DATOS!$I16948,nEVAL,"EX")=0),0))))</f>
      </c>
      <c r="H16948">
        <f>IF(DATOS!$G16948&lt;&gt;"EX",0,--(COUNTIFS(nNIA,DATOS!$A16948,nCURSO,DATOS!$D16948,nESPEC,DATOS!$E16948,nASIG,DATOS!$I16948,nEVAL,"OR")=0))</f>
      </c>
      <c r="I16948">
        <f>IF(DATOS!$I16948="","",IFERROR(VLOOKUP(DATOS!$I16948,CONFIG_ASIGNATURAS!$B$2:$J$91,9,FALSE()),""))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IF(DATOS!$A16949="",0,IF(CONFIG_METADATA!$B$4&lt;&gt;"OR+EX",--(DATOS!$G16949=CONFIG_METADATA!$B$4),IF(DATOS!$G16949="EX",1,IF(DATOS!$G16949="OR",--(COUNTIFS(nNIA,DATOS!$A16949,nCURSO,DATOS!$D16949,nESPEC,DATOS!$E16949,nASIG,DATOS!$I16949,nEVAL,"EX")=0),0))))</f>
      </c>
      <c r="H16949">
        <f>IF(DATOS!$G16949&lt;&gt;"EX",0,--(COUNTIFS(nNIA,DATOS!$A16949,nCURSO,DATOS!$D16949,nESPEC,DATOS!$E16949,nASIG,DATOS!$I16949,nEVAL,"OR")=0))</f>
      </c>
      <c r="I16949">
        <f>IF(DATOS!$I16949="","",IFERROR(VLOOKUP(DATOS!$I16949,CONFIG_ASIGNATURAS!$B$2:$J$91,9,FALSE()),""))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IF(DATOS!$A16950="",0,IF(CONFIG_METADATA!$B$4&lt;&gt;"OR+EX",--(DATOS!$G16950=CONFIG_METADATA!$B$4),IF(DATOS!$G16950="EX",1,IF(DATOS!$G16950="OR",--(COUNTIFS(nNIA,DATOS!$A16950,nCURSO,DATOS!$D16950,nESPEC,DATOS!$E16950,nASIG,DATOS!$I16950,nEVAL,"EX")=0),0))))</f>
      </c>
      <c r="H16950">
        <f>IF(DATOS!$G16950&lt;&gt;"EX",0,--(COUNTIFS(nNIA,DATOS!$A16950,nCURSO,DATOS!$D16950,nESPEC,DATOS!$E16950,nASIG,DATOS!$I16950,nEVAL,"OR")=0))</f>
      </c>
      <c r="I16950">
        <f>IF(DATOS!$I16950="","",IFERROR(VLOOKUP(DATOS!$I16950,CONFIG_ASIGNATURAS!$B$2:$J$91,9,FALSE()),""))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IF(DATOS!$A16951="",0,IF(CONFIG_METADATA!$B$4&lt;&gt;"OR+EX",--(DATOS!$G16951=CONFIG_METADATA!$B$4),IF(DATOS!$G16951="EX",1,IF(DATOS!$G16951="OR",--(COUNTIFS(nNIA,DATOS!$A16951,nCURSO,DATOS!$D16951,nESPEC,DATOS!$E16951,nASIG,DATOS!$I16951,nEVAL,"EX")=0),0))))</f>
      </c>
      <c r="H16951">
        <f>IF(DATOS!$G16951&lt;&gt;"EX",0,--(COUNTIFS(nNIA,DATOS!$A16951,nCURSO,DATOS!$D16951,nESPEC,DATOS!$E16951,nASIG,DATOS!$I16951,nEVAL,"OR")=0))</f>
      </c>
      <c r="I16951">
        <f>IF(DATOS!$I16951="","",IFERROR(VLOOKUP(DATOS!$I16951,CONFIG_ASIGNATURAS!$B$2:$J$91,9,FALSE()),""))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IF(DATOS!$A16952="",0,IF(CONFIG_METADATA!$B$4&lt;&gt;"OR+EX",--(DATOS!$G16952=CONFIG_METADATA!$B$4),IF(DATOS!$G16952="EX",1,IF(DATOS!$G16952="OR",--(COUNTIFS(nNIA,DATOS!$A16952,nCURSO,DATOS!$D16952,nESPEC,DATOS!$E16952,nASIG,DATOS!$I16952,nEVAL,"EX")=0),0))))</f>
      </c>
      <c r="H16952">
        <f>IF(DATOS!$G16952&lt;&gt;"EX",0,--(COUNTIFS(nNIA,DATOS!$A16952,nCURSO,DATOS!$D16952,nESPEC,DATOS!$E16952,nASIG,DATOS!$I16952,nEVAL,"OR")=0))</f>
      </c>
      <c r="I16952">
        <f>IF(DATOS!$I16952="","",IFERROR(VLOOKUP(DATOS!$I16952,CONFIG_ASIGNATURAS!$B$2:$J$91,9,FALSE()),""))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IF(DATOS!$A16953="",0,IF(CONFIG_METADATA!$B$4&lt;&gt;"OR+EX",--(DATOS!$G16953=CONFIG_METADATA!$B$4),IF(DATOS!$G16953="EX",1,IF(DATOS!$G16953="OR",--(COUNTIFS(nNIA,DATOS!$A16953,nCURSO,DATOS!$D16953,nESPEC,DATOS!$E16953,nASIG,DATOS!$I16953,nEVAL,"EX")=0),0))))</f>
      </c>
      <c r="H16953">
        <f>IF(DATOS!$G16953&lt;&gt;"EX",0,--(COUNTIFS(nNIA,DATOS!$A16953,nCURSO,DATOS!$D16953,nESPEC,DATOS!$E16953,nASIG,DATOS!$I16953,nEVAL,"OR")=0))</f>
      </c>
      <c r="I16953">
        <f>IF(DATOS!$I16953="","",IFERROR(VLOOKUP(DATOS!$I16953,CONFIG_ASIGNATURAS!$B$2:$J$91,9,FALSE()),""))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IF(DATOS!$A16954="",0,IF(CONFIG_METADATA!$B$4&lt;&gt;"OR+EX",--(DATOS!$G16954=CONFIG_METADATA!$B$4),IF(DATOS!$G16954="EX",1,IF(DATOS!$G16954="OR",--(COUNTIFS(nNIA,DATOS!$A16954,nCURSO,DATOS!$D16954,nESPEC,DATOS!$E16954,nASIG,DATOS!$I16954,nEVAL,"EX")=0),0))))</f>
      </c>
      <c r="H16954">
        <f>IF(DATOS!$G16954&lt;&gt;"EX",0,--(COUNTIFS(nNIA,DATOS!$A16954,nCURSO,DATOS!$D16954,nESPEC,DATOS!$E16954,nASIG,DATOS!$I16954,nEVAL,"OR")=0))</f>
      </c>
      <c r="I16954">
        <f>IF(DATOS!$I16954="","",IFERROR(VLOOKUP(DATOS!$I16954,CONFIG_ASIGNATURAS!$B$2:$J$91,9,FALSE()),""))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IF(DATOS!$A16955="",0,IF(CONFIG_METADATA!$B$4&lt;&gt;"OR+EX",--(DATOS!$G16955=CONFIG_METADATA!$B$4),IF(DATOS!$G16955="EX",1,IF(DATOS!$G16955="OR",--(COUNTIFS(nNIA,DATOS!$A16955,nCURSO,DATOS!$D16955,nESPEC,DATOS!$E16955,nASIG,DATOS!$I16955,nEVAL,"EX")=0),0))))</f>
      </c>
      <c r="H16955">
        <f>IF(DATOS!$G16955&lt;&gt;"EX",0,--(COUNTIFS(nNIA,DATOS!$A16955,nCURSO,DATOS!$D16955,nESPEC,DATOS!$E16955,nASIG,DATOS!$I16955,nEVAL,"OR")=0))</f>
      </c>
      <c r="I16955">
        <f>IF(DATOS!$I16955="","",IFERROR(VLOOKUP(DATOS!$I16955,CONFIG_ASIGNATURAS!$B$2:$J$91,9,FALSE()),""))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IF(DATOS!$A16956="",0,IF(CONFIG_METADATA!$B$4&lt;&gt;"OR+EX",--(DATOS!$G16956=CONFIG_METADATA!$B$4),IF(DATOS!$G16956="EX",1,IF(DATOS!$G16956="OR",--(COUNTIFS(nNIA,DATOS!$A16956,nCURSO,DATOS!$D16956,nESPEC,DATOS!$E16956,nASIG,DATOS!$I16956,nEVAL,"EX")=0),0))))</f>
      </c>
      <c r="H16956">
        <f>IF(DATOS!$G16956&lt;&gt;"EX",0,--(COUNTIFS(nNIA,DATOS!$A16956,nCURSO,DATOS!$D16956,nESPEC,DATOS!$E16956,nASIG,DATOS!$I16956,nEVAL,"OR")=0))</f>
      </c>
      <c r="I16956">
        <f>IF(DATOS!$I16956="","",IFERROR(VLOOKUP(DATOS!$I16956,CONFIG_ASIGNATURAS!$B$2:$J$91,9,FALSE()),""))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IF(DATOS!$A16957="",0,IF(CONFIG_METADATA!$B$4&lt;&gt;"OR+EX",--(DATOS!$G16957=CONFIG_METADATA!$B$4),IF(DATOS!$G16957="EX",1,IF(DATOS!$G16957="OR",--(COUNTIFS(nNIA,DATOS!$A16957,nCURSO,DATOS!$D16957,nESPEC,DATOS!$E16957,nASIG,DATOS!$I16957,nEVAL,"EX")=0),0))))</f>
      </c>
      <c r="H16957">
        <f>IF(DATOS!$G16957&lt;&gt;"EX",0,--(COUNTIFS(nNIA,DATOS!$A16957,nCURSO,DATOS!$D16957,nESPEC,DATOS!$E16957,nASIG,DATOS!$I16957,nEVAL,"OR")=0))</f>
      </c>
      <c r="I16957">
        <f>IF(DATOS!$I16957="","",IFERROR(VLOOKUP(DATOS!$I16957,CONFIG_ASIGNATURAS!$B$2:$J$91,9,FALSE()),""))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IF(DATOS!$A16958="",0,IF(CONFIG_METADATA!$B$4&lt;&gt;"OR+EX",--(DATOS!$G16958=CONFIG_METADATA!$B$4),IF(DATOS!$G16958="EX",1,IF(DATOS!$G16958="OR",--(COUNTIFS(nNIA,DATOS!$A16958,nCURSO,DATOS!$D16958,nESPEC,DATOS!$E16958,nASIG,DATOS!$I16958,nEVAL,"EX")=0),0))))</f>
      </c>
      <c r="H16958">
        <f>IF(DATOS!$G16958&lt;&gt;"EX",0,--(COUNTIFS(nNIA,DATOS!$A16958,nCURSO,DATOS!$D16958,nESPEC,DATOS!$E16958,nASIG,DATOS!$I16958,nEVAL,"OR")=0))</f>
      </c>
      <c r="I16958">
        <f>IF(DATOS!$I16958="","",IFERROR(VLOOKUP(DATOS!$I16958,CONFIG_ASIGNATURAS!$B$2:$J$91,9,FALSE()),""))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IF(DATOS!$A16959="",0,IF(CONFIG_METADATA!$B$4&lt;&gt;"OR+EX",--(DATOS!$G16959=CONFIG_METADATA!$B$4),IF(DATOS!$G16959="EX",1,IF(DATOS!$G16959="OR",--(COUNTIFS(nNIA,DATOS!$A16959,nCURSO,DATOS!$D16959,nESPEC,DATOS!$E16959,nASIG,DATOS!$I16959,nEVAL,"EX")=0),0))))</f>
      </c>
      <c r="H16959">
        <f>IF(DATOS!$G16959&lt;&gt;"EX",0,--(COUNTIFS(nNIA,DATOS!$A16959,nCURSO,DATOS!$D16959,nESPEC,DATOS!$E16959,nASIG,DATOS!$I16959,nEVAL,"OR")=0))</f>
      </c>
      <c r="I16959">
        <f>IF(DATOS!$I16959="","",IFERROR(VLOOKUP(DATOS!$I16959,CONFIG_ASIGNATURAS!$B$2:$J$91,9,FALSE()),""))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IF(DATOS!$A16960="",0,IF(CONFIG_METADATA!$B$4&lt;&gt;"OR+EX",--(DATOS!$G16960=CONFIG_METADATA!$B$4),IF(DATOS!$G16960="EX",1,IF(DATOS!$G16960="OR",--(COUNTIFS(nNIA,DATOS!$A16960,nCURSO,DATOS!$D16960,nESPEC,DATOS!$E16960,nASIG,DATOS!$I16960,nEVAL,"EX")=0),0))))</f>
      </c>
      <c r="H16960">
        <f>IF(DATOS!$G16960&lt;&gt;"EX",0,--(COUNTIFS(nNIA,DATOS!$A16960,nCURSO,DATOS!$D16960,nESPEC,DATOS!$E16960,nASIG,DATOS!$I16960,nEVAL,"OR")=0))</f>
      </c>
      <c r="I16960">
        <f>IF(DATOS!$I16960="","",IFERROR(VLOOKUP(DATOS!$I16960,CONFIG_ASIGNATURAS!$B$2:$J$91,9,FALSE()),""))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IF(DATOS!$A16961="",0,IF(CONFIG_METADATA!$B$4&lt;&gt;"OR+EX",--(DATOS!$G16961=CONFIG_METADATA!$B$4),IF(DATOS!$G16961="EX",1,IF(DATOS!$G16961="OR",--(COUNTIFS(nNIA,DATOS!$A16961,nCURSO,DATOS!$D16961,nESPEC,DATOS!$E16961,nASIG,DATOS!$I16961,nEVAL,"EX")=0),0))))</f>
      </c>
      <c r="H16961">
        <f>IF(DATOS!$G16961&lt;&gt;"EX",0,--(COUNTIFS(nNIA,DATOS!$A16961,nCURSO,DATOS!$D16961,nESPEC,DATOS!$E16961,nASIG,DATOS!$I16961,nEVAL,"OR")=0))</f>
      </c>
      <c r="I16961">
        <f>IF(DATOS!$I16961="","",IFERROR(VLOOKUP(DATOS!$I16961,CONFIG_ASIGNATURAS!$B$2:$J$91,9,FALSE()),""))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IF(DATOS!$A16962="",0,IF(CONFIG_METADATA!$B$4&lt;&gt;"OR+EX",--(DATOS!$G16962=CONFIG_METADATA!$B$4),IF(DATOS!$G16962="EX",1,IF(DATOS!$G16962="OR",--(COUNTIFS(nNIA,DATOS!$A16962,nCURSO,DATOS!$D16962,nESPEC,DATOS!$E16962,nASIG,DATOS!$I16962,nEVAL,"EX")=0),0))))</f>
      </c>
      <c r="H16962">
        <f>IF(DATOS!$G16962&lt;&gt;"EX",0,--(COUNTIFS(nNIA,DATOS!$A16962,nCURSO,DATOS!$D16962,nESPEC,DATOS!$E16962,nASIG,DATOS!$I16962,nEVAL,"OR")=0))</f>
      </c>
      <c r="I16962">
        <f>IF(DATOS!$I16962="","",IFERROR(VLOOKUP(DATOS!$I16962,CONFIG_ASIGNATURAS!$B$2:$J$91,9,FALSE()),""))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IF(DATOS!$A16963="",0,IF(CONFIG_METADATA!$B$4&lt;&gt;"OR+EX",--(DATOS!$G16963=CONFIG_METADATA!$B$4),IF(DATOS!$G16963="EX",1,IF(DATOS!$G16963="OR",--(COUNTIFS(nNIA,DATOS!$A16963,nCURSO,DATOS!$D16963,nESPEC,DATOS!$E16963,nASIG,DATOS!$I16963,nEVAL,"EX")=0),0))))</f>
      </c>
      <c r="H16963">
        <f>IF(DATOS!$G16963&lt;&gt;"EX",0,--(COUNTIFS(nNIA,DATOS!$A16963,nCURSO,DATOS!$D16963,nESPEC,DATOS!$E16963,nASIG,DATOS!$I16963,nEVAL,"OR")=0))</f>
      </c>
      <c r="I16963">
        <f>IF(DATOS!$I16963="","",IFERROR(VLOOKUP(DATOS!$I16963,CONFIG_ASIGNATURAS!$B$2:$J$91,9,FALSE()),""))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IF(DATOS!$A16964="",0,IF(CONFIG_METADATA!$B$4&lt;&gt;"OR+EX",--(DATOS!$G16964=CONFIG_METADATA!$B$4),IF(DATOS!$G16964="EX",1,IF(DATOS!$G16964="OR",--(COUNTIFS(nNIA,DATOS!$A16964,nCURSO,DATOS!$D16964,nESPEC,DATOS!$E16964,nASIG,DATOS!$I16964,nEVAL,"EX")=0),0))))</f>
      </c>
      <c r="H16964">
        <f>IF(DATOS!$G16964&lt;&gt;"EX",0,--(COUNTIFS(nNIA,DATOS!$A16964,nCURSO,DATOS!$D16964,nESPEC,DATOS!$E16964,nASIG,DATOS!$I16964,nEVAL,"OR")=0))</f>
      </c>
      <c r="I16964">
        <f>IF(DATOS!$I16964="","",IFERROR(VLOOKUP(DATOS!$I16964,CONFIG_ASIGNATURAS!$B$2:$J$91,9,FALSE()),""))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IF(DATOS!$A16965="",0,IF(CONFIG_METADATA!$B$4&lt;&gt;"OR+EX",--(DATOS!$G16965=CONFIG_METADATA!$B$4),IF(DATOS!$G16965="EX",1,IF(DATOS!$G16965="OR",--(COUNTIFS(nNIA,DATOS!$A16965,nCURSO,DATOS!$D16965,nESPEC,DATOS!$E16965,nASIG,DATOS!$I16965,nEVAL,"EX")=0),0))))</f>
      </c>
      <c r="H16965">
        <f>IF(DATOS!$G16965&lt;&gt;"EX",0,--(COUNTIFS(nNIA,DATOS!$A16965,nCURSO,DATOS!$D16965,nESPEC,DATOS!$E16965,nASIG,DATOS!$I16965,nEVAL,"OR")=0))</f>
      </c>
      <c r="I16965">
        <f>IF(DATOS!$I16965="","",IFERROR(VLOOKUP(DATOS!$I16965,CONFIG_ASIGNATURAS!$B$2:$J$91,9,FALSE()),""))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IF(DATOS!$A16966="",0,IF(CONFIG_METADATA!$B$4&lt;&gt;"OR+EX",--(DATOS!$G16966=CONFIG_METADATA!$B$4),IF(DATOS!$G16966="EX",1,IF(DATOS!$G16966="OR",--(COUNTIFS(nNIA,DATOS!$A16966,nCURSO,DATOS!$D16966,nESPEC,DATOS!$E16966,nASIG,DATOS!$I16966,nEVAL,"EX")=0),0))))</f>
      </c>
      <c r="H16966">
        <f>IF(DATOS!$G16966&lt;&gt;"EX",0,--(COUNTIFS(nNIA,DATOS!$A16966,nCURSO,DATOS!$D16966,nESPEC,DATOS!$E16966,nASIG,DATOS!$I16966,nEVAL,"OR")=0))</f>
      </c>
      <c r="I16966">
        <f>IF(DATOS!$I16966="","",IFERROR(VLOOKUP(DATOS!$I16966,CONFIG_ASIGNATURAS!$B$2:$J$91,9,FALSE()),""))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IF(DATOS!$A16967="",0,IF(CONFIG_METADATA!$B$4&lt;&gt;"OR+EX",--(DATOS!$G16967=CONFIG_METADATA!$B$4),IF(DATOS!$G16967="EX",1,IF(DATOS!$G16967="OR",--(COUNTIFS(nNIA,DATOS!$A16967,nCURSO,DATOS!$D16967,nESPEC,DATOS!$E16967,nASIG,DATOS!$I16967,nEVAL,"EX")=0),0))))</f>
      </c>
      <c r="H16967">
        <f>IF(DATOS!$G16967&lt;&gt;"EX",0,--(COUNTIFS(nNIA,DATOS!$A16967,nCURSO,DATOS!$D16967,nESPEC,DATOS!$E16967,nASIG,DATOS!$I16967,nEVAL,"OR")=0))</f>
      </c>
      <c r="I16967">
        <f>IF(DATOS!$I16967="","",IFERROR(VLOOKUP(DATOS!$I16967,CONFIG_ASIGNATURAS!$B$2:$J$91,9,FALSE()),""))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IF(DATOS!$A16968="",0,IF(CONFIG_METADATA!$B$4&lt;&gt;"OR+EX",--(DATOS!$G16968=CONFIG_METADATA!$B$4),IF(DATOS!$G16968="EX",1,IF(DATOS!$G16968="OR",--(COUNTIFS(nNIA,DATOS!$A16968,nCURSO,DATOS!$D16968,nESPEC,DATOS!$E16968,nASIG,DATOS!$I16968,nEVAL,"EX")=0),0))))</f>
      </c>
      <c r="H16968">
        <f>IF(DATOS!$G16968&lt;&gt;"EX",0,--(COUNTIFS(nNIA,DATOS!$A16968,nCURSO,DATOS!$D16968,nESPEC,DATOS!$E16968,nASIG,DATOS!$I16968,nEVAL,"OR")=0))</f>
      </c>
      <c r="I16968">
        <f>IF(DATOS!$I16968="","",IFERROR(VLOOKUP(DATOS!$I16968,CONFIG_ASIGNATURAS!$B$2:$J$91,9,FALSE()),""))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IF(DATOS!$A16969="",0,IF(CONFIG_METADATA!$B$4&lt;&gt;"OR+EX",--(DATOS!$G16969=CONFIG_METADATA!$B$4),IF(DATOS!$G16969="EX",1,IF(DATOS!$G16969="OR",--(COUNTIFS(nNIA,DATOS!$A16969,nCURSO,DATOS!$D16969,nESPEC,DATOS!$E16969,nASIG,DATOS!$I16969,nEVAL,"EX")=0),0))))</f>
      </c>
      <c r="H16969">
        <f>IF(DATOS!$G16969&lt;&gt;"EX",0,--(COUNTIFS(nNIA,DATOS!$A16969,nCURSO,DATOS!$D16969,nESPEC,DATOS!$E16969,nASIG,DATOS!$I16969,nEVAL,"OR")=0))</f>
      </c>
      <c r="I16969">
        <f>IF(DATOS!$I16969="","",IFERROR(VLOOKUP(DATOS!$I16969,CONFIG_ASIGNATURAS!$B$2:$J$91,9,FALSE()),""))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IF(DATOS!$A16970="",0,IF(CONFIG_METADATA!$B$4&lt;&gt;"OR+EX",--(DATOS!$G16970=CONFIG_METADATA!$B$4),IF(DATOS!$G16970="EX",1,IF(DATOS!$G16970="OR",--(COUNTIFS(nNIA,DATOS!$A16970,nCURSO,DATOS!$D16970,nESPEC,DATOS!$E16970,nASIG,DATOS!$I16970,nEVAL,"EX")=0),0))))</f>
      </c>
      <c r="H16970">
        <f>IF(DATOS!$G16970&lt;&gt;"EX",0,--(COUNTIFS(nNIA,DATOS!$A16970,nCURSO,DATOS!$D16970,nESPEC,DATOS!$E16970,nASIG,DATOS!$I16970,nEVAL,"OR")=0))</f>
      </c>
      <c r="I16970">
        <f>IF(DATOS!$I16970="","",IFERROR(VLOOKUP(DATOS!$I16970,CONFIG_ASIGNATURAS!$B$2:$J$91,9,FALSE()),""))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IF(DATOS!$A16971="",0,IF(CONFIG_METADATA!$B$4&lt;&gt;"OR+EX",--(DATOS!$G16971=CONFIG_METADATA!$B$4),IF(DATOS!$G16971="EX",1,IF(DATOS!$G16971="OR",--(COUNTIFS(nNIA,DATOS!$A16971,nCURSO,DATOS!$D16971,nESPEC,DATOS!$E16971,nASIG,DATOS!$I16971,nEVAL,"EX")=0),0))))</f>
      </c>
      <c r="H16971">
        <f>IF(DATOS!$G16971&lt;&gt;"EX",0,--(COUNTIFS(nNIA,DATOS!$A16971,nCURSO,DATOS!$D16971,nESPEC,DATOS!$E16971,nASIG,DATOS!$I16971,nEVAL,"OR")=0))</f>
      </c>
      <c r="I16971">
        <f>IF(DATOS!$I16971="","",IFERROR(VLOOKUP(DATOS!$I16971,CONFIG_ASIGNATURAS!$B$2:$J$91,9,FALSE()),""))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IF(DATOS!$A16972="",0,IF(CONFIG_METADATA!$B$4&lt;&gt;"OR+EX",--(DATOS!$G16972=CONFIG_METADATA!$B$4),IF(DATOS!$G16972="EX",1,IF(DATOS!$G16972="OR",--(COUNTIFS(nNIA,DATOS!$A16972,nCURSO,DATOS!$D16972,nESPEC,DATOS!$E16972,nASIG,DATOS!$I16972,nEVAL,"EX")=0),0))))</f>
      </c>
      <c r="H16972">
        <f>IF(DATOS!$G16972&lt;&gt;"EX",0,--(COUNTIFS(nNIA,DATOS!$A16972,nCURSO,DATOS!$D16972,nESPEC,DATOS!$E16972,nASIG,DATOS!$I16972,nEVAL,"OR")=0))</f>
      </c>
      <c r="I16972">
        <f>IF(DATOS!$I16972="","",IFERROR(VLOOKUP(DATOS!$I16972,CONFIG_ASIGNATURAS!$B$2:$J$91,9,FALSE()),""))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IF(DATOS!$A16973="",0,IF(CONFIG_METADATA!$B$4&lt;&gt;"OR+EX",--(DATOS!$G16973=CONFIG_METADATA!$B$4),IF(DATOS!$G16973="EX",1,IF(DATOS!$G16973="OR",--(COUNTIFS(nNIA,DATOS!$A16973,nCURSO,DATOS!$D16973,nESPEC,DATOS!$E16973,nASIG,DATOS!$I16973,nEVAL,"EX")=0),0))))</f>
      </c>
      <c r="H16973">
        <f>IF(DATOS!$G16973&lt;&gt;"EX",0,--(COUNTIFS(nNIA,DATOS!$A16973,nCURSO,DATOS!$D16973,nESPEC,DATOS!$E16973,nASIG,DATOS!$I16973,nEVAL,"OR")=0))</f>
      </c>
      <c r="I16973">
        <f>IF(DATOS!$I16973="","",IFERROR(VLOOKUP(DATOS!$I16973,CONFIG_ASIGNATURAS!$B$2:$J$91,9,FALSE()),""))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IF(DATOS!$A16974="",0,IF(CONFIG_METADATA!$B$4&lt;&gt;"OR+EX",--(DATOS!$G16974=CONFIG_METADATA!$B$4),IF(DATOS!$G16974="EX",1,IF(DATOS!$G16974="OR",--(COUNTIFS(nNIA,DATOS!$A16974,nCURSO,DATOS!$D16974,nESPEC,DATOS!$E16974,nASIG,DATOS!$I16974,nEVAL,"EX")=0),0))))</f>
      </c>
      <c r="H16974">
        <f>IF(DATOS!$G16974&lt;&gt;"EX",0,--(COUNTIFS(nNIA,DATOS!$A16974,nCURSO,DATOS!$D16974,nESPEC,DATOS!$E16974,nASIG,DATOS!$I16974,nEVAL,"OR")=0))</f>
      </c>
      <c r="I16974">
        <f>IF(DATOS!$I16974="","",IFERROR(VLOOKUP(DATOS!$I16974,CONFIG_ASIGNATURAS!$B$2:$J$91,9,FALSE()),""))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IF(DATOS!$A16975="",0,IF(CONFIG_METADATA!$B$4&lt;&gt;"OR+EX",--(DATOS!$G16975=CONFIG_METADATA!$B$4),IF(DATOS!$G16975="EX",1,IF(DATOS!$G16975="OR",--(COUNTIFS(nNIA,DATOS!$A16975,nCURSO,DATOS!$D16975,nESPEC,DATOS!$E16975,nASIG,DATOS!$I16975,nEVAL,"EX")=0),0))))</f>
      </c>
      <c r="H16975">
        <f>IF(DATOS!$G16975&lt;&gt;"EX",0,--(COUNTIFS(nNIA,DATOS!$A16975,nCURSO,DATOS!$D16975,nESPEC,DATOS!$E16975,nASIG,DATOS!$I16975,nEVAL,"OR")=0))</f>
      </c>
      <c r="I16975">
        <f>IF(DATOS!$I16975="","",IFERROR(VLOOKUP(DATOS!$I16975,CONFIG_ASIGNATURAS!$B$2:$J$91,9,FALSE()),""))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IF(DATOS!$A16976="",0,IF(CONFIG_METADATA!$B$4&lt;&gt;"OR+EX",--(DATOS!$G16976=CONFIG_METADATA!$B$4),IF(DATOS!$G16976="EX",1,IF(DATOS!$G16976="OR",--(COUNTIFS(nNIA,DATOS!$A16976,nCURSO,DATOS!$D16976,nESPEC,DATOS!$E16976,nASIG,DATOS!$I16976,nEVAL,"EX")=0),0))))</f>
      </c>
      <c r="H16976">
        <f>IF(DATOS!$G16976&lt;&gt;"EX",0,--(COUNTIFS(nNIA,DATOS!$A16976,nCURSO,DATOS!$D16976,nESPEC,DATOS!$E16976,nASIG,DATOS!$I16976,nEVAL,"OR")=0))</f>
      </c>
      <c r="I16976">
        <f>IF(DATOS!$I16976="","",IFERROR(VLOOKUP(DATOS!$I16976,CONFIG_ASIGNATURAS!$B$2:$J$91,9,FALSE()),""))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IF(DATOS!$A16977="",0,IF(CONFIG_METADATA!$B$4&lt;&gt;"OR+EX",--(DATOS!$G16977=CONFIG_METADATA!$B$4),IF(DATOS!$G16977="EX",1,IF(DATOS!$G16977="OR",--(COUNTIFS(nNIA,DATOS!$A16977,nCURSO,DATOS!$D16977,nESPEC,DATOS!$E16977,nASIG,DATOS!$I16977,nEVAL,"EX")=0),0))))</f>
      </c>
      <c r="H16977">
        <f>IF(DATOS!$G16977&lt;&gt;"EX",0,--(COUNTIFS(nNIA,DATOS!$A16977,nCURSO,DATOS!$D16977,nESPEC,DATOS!$E16977,nASIG,DATOS!$I16977,nEVAL,"OR")=0))</f>
      </c>
      <c r="I16977">
        <f>IF(DATOS!$I16977="","",IFERROR(VLOOKUP(DATOS!$I16977,CONFIG_ASIGNATURAS!$B$2:$J$91,9,FALSE()),""))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IF(DATOS!$A16978="",0,IF(CONFIG_METADATA!$B$4&lt;&gt;"OR+EX",--(DATOS!$G16978=CONFIG_METADATA!$B$4),IF(DATOS!$G16978="EX",1,IF(DATOS!$G16978="OR",--(COUNTIFS(nNIA,DATOS!$A16978,nCURSO,DATOS!$D16978,nESPEC,DATOS!$E16978,nASIG,DATOS!$I16978,nEVAL,"EX")=0),0))))</f>
      </c>
      <c r="H16978">
        <f>IF(DATOS!$G16978&lt;&gt;"EX",0,--(COUNTIFS(nNIA,DATOS!$A16978,nCURSO,DATOS!$D16978,nESPEC,DATOS!$E16978,nASIG,DATOS!$I16978,nEVAL,"OR")=0))</f>
      </c>
      <c r="I16978">
        <f>IF(DATOS!$I16978="","",IFERROR(VLOOKUP(DATOS!$I16978,CONFIG_ASIGNATURAS!$B$2:$J$91,9,FALSE()),""))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IF(DATOS!$A16979="",0,IF(CONFIG_METADATA!$B$4&lt;&gt;"OR+EX",--(DATOS!$G16979=CONFIG_METADATA!$B$4),IF(DATOS!$G16979="EX",1,IF(DATOS!$G16979="OR",--(COUNTIFS(nNIA,DATOS!$A16979,nCURSO,DATOS!$D16979,nESPEC,DATOS!$E16979,nASIG,DATOS!$I16979,nEVAL,"EX")=0),0))))</f>
      </c>
      <c r="H16979">
        <f>IF(DATOS!$G16979&lt;&gt;"EX",0,--(COUNTIFS(nNIA,DATOS!$A16979,nCURSO,DATOS!$D16979,nESPEC,DATOS!$E16979,nASIG,DATOS!$I16979,nEVAL,"OR")=0))</f>
      </c>
      <c r="I16979">
        <f>IF(DATOS!$I16979="","",IFERROR(VLOOKUP(DATOS!$I16979,CONFIG_ASIGNATURAS!$B$2:$J$91,9,FALSE()),""))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IF(DATOS!$A16980="",0,IF(CONFIG_METADATA!$B$4&lt;&gt;"OR+EX",--(DATOS!$G16980=CONFIG_METADATA!$B$4),IF(DATOS!$G16980="EX",1,IF(DATOS!$G16980="OR",--(COUNTIFS(nNIA,DATOS!$A16980,nCURSO,DATOS!$D16980,nESPEC,DATOS!$E16980,nASIG,DATOS!$I16980,nEVAL,"EX")=0),0))))</f>
      </c>
      <c r="H16980">
        <f>IF(DATOS!$G16980&lt;&gt;"EX",0,--(COUNTIFS(nNIA,DATOS!$A16980,nCURSO,DATOS!$D16980,nESPEC,DATOS!$E16980,nASIG,DATOS!$I16980,nEVAL,"OR")=0))</f>
      </c>
      <c r="I16980">
        <f>IF(DATOS!$I16980="","",IFERROR(VLOOKUP(DATOS!$I16980,CONFIG_ASIGNATURAS!$B$2:$J$91,9,FALSE()),""))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IF(DATOS!$A16981="",0,IF(CONFIG_METADATA!$B$4&lt;&gt;"OR+EX",--(DATOS!$G16981=CONFIG_METADATA!$B$4),IF(DATOS!$G16981="EX",1,IF(DATOS!$G16981="OR",--(COUNTIFS(nNIA,DATOS!$A16981,nCURSO,DATOS!$D16981,nESPEC,DATOS!$E16981,nASIG,DATOS!$I16981,nEVAL,"EX")=0),0))))</f>
      </c>
      <c r="H16981">
        <f>IF(DATOS!$G16981&lt;&gt;"EX",0,--(COUNTIFS(nNIA,DATOS!$A16981,nCURSO,DATOS!$D16981,nESPEC,DATOS!$E16981,nASIG,DATOS!$I16981,nEVAL,"OR")=0))</f>
      </c>
      <c r="I16981">
        <f>IF(DATOS!$I16981="","",IFERROR(VLOOKUP(DATOS!$I16981,CONFIG_ASIGNATURAS!$B$2:$J$91,9,FALSE()),""))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IF(DATOS!$A16982="",0,IF(CONFIG_METADATA!$B$4&lt;&gt;"OR+EX",--(DATOS!$G16982=CONFIG_METADATA!$B$4),IF(DATOS!$G16982="EX",1,IF(DATOS!$G16982="OR",--(COUNTIFS(nNIA,DATOS!$A16982,nCURSO,DATOS!$D16982,nESPEC,DATOS!$E16982,nASIG,DATOS!$I16982,nEVAL,"EX")=0),0))))</f>
      </c>
      <c r="H16982">
        <f>IF(DATOS!$G16982&lt;&gt;"EX",0,--(COUNTIFS(nNIA,DATOS!$A16982,nCURSO,DATOS!$D16982,nESPEC,DATOS!$E16982,nASIG,DATOS!$I16982,nEVAL,"OR")=0))</f>
      </c>
      <c r="I16982">
        <f>IF(DATOS!$I16982="","",IFERROR(VLOOKUP(DATOS!$I16982,CONFIG_ASIGNATURAS!$B$2:$J$91,9,FALSE()),""))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IF(DATOS!$A16983="",0,IF(CONFIG_METADATA!$B$4&lt;&gt;"OR+EX",--(DATOS!$G16983=CONFIG_METADATA!$B$4),IF(DATOS!$G16983="EX",1,IF(DATOS!$G16983="OR",--(COUNTIFS(nNIA,DATOS!$A16983,nCURSO,DATOS!$D16983,nESPEC,DATOS!$E16983,nASIG,DATOS!$I16983,nEVAL,"EX")=0),0))))</f>
      </c>
      <c r="H16983">
        <f>IF(DATOS!$G16983&lt;&gt;"EX",0,--(COUNTIFS(nNIA,DATOS!$A16983,nCURSO,DATOS!$D16983,nESPEC,DATOS!$E16983,nASIG,DATOS!$I16983,nEVAL,"OR")=0))</f>
      </c>
      <c r="I16983">
        <f>IF(DATOS!$I16983="","",IFERROR(VLOOKUP(DATOS!$I16983,CONFIG_ASIGNATURAS!$B$2:$J$91,9,FALSE()),""))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IF(DATOS!$A16984="",0,IF(CONFIG_METADATA!$B$4&lt;&gt;"OR+EX",--(DATOS!$G16984=CONFIG_METADATA!$B$4),IF(DATOS!$G16984="EX",1,IF(DATOS!$G16984="OR",--(COUNTIFS(nNIA,DATOS!$A16984,nCURSO,DATOS!$D16984,nESPEC,DATOS!$E16984,nASIG,DATOS!$I16984,nEVAL,"EX")=0),0))))</f>
      </c>
      <c r="H16984">
        <f>IF(DATOS!$G16984&lt;&gt;"EX",0,--(COUNTIFS(nNIA,DATOS!$A16984,nCURSO,DATOS!$D16984,nESPEC,DATOS!$E16984,nASIG,DATOS!$I16984,nEVAL,"OR")=0))</f>
      </c>
      <c r="I16984">
        <f>IF(DATOS!$I16984="","",IFERROR(VLOOKUP(DATOS!$I16984,CONFIG_ASIGNATURAS!$B$2:$J$91,9,FALSE()),""))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IF(DATOS!$A16985="",0,IF(CONFIG_METADATA!$B$4&lt;&gt;"OR+EX",--(DATOS!$G16985=CONFIG_METADATA!$B$4),IF(DATOS!$G16985="EX",1,IF(DATOS!$G16985="OR",--(COUNTIFS(nNIA,DATOS!$A16985,nCURSO,DATOS!$D16985,nESPEC,DATOS!$E16985,nASIG,DATOS!$I16985,nEVAL,"EX")=0),0))))</f>
      </c>
      <c r="H16985">
        <f>IF(DATOS!$G16985&lt;&gt;"EX",0,--(COUNTIFS(nNIA,DATOS!$A16985,nCURSO,DATOS!$D16985,nESPEC,DATOS!$E16985,nASIG,DATOS!$I16985,nEVAL,"OR")=0))</f>
      </c>
      <c r="I16985">
        <f>IF(DATOS!$I16985="","",IFERROR(VLOOKUP(DATOS!$I16985,CONFIG_ASIGNATURAS!$B$2:$J$91,9,FALSE()),""))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IF(DATOS!$A16986="",0,IF(CONFIG_METADATA!$B$4&lt;&gt;"OR+EX",--(DATOS!$G16986=CONFIG_METADATA!$B$4),IF(DATOS!$G16986="EX",1,IF(DATOS!$G16986="OR",--(COUNTIFS(nNIA,DATOS!$A16986,nCURSO,DATOS!$D16986,nESPEC,DATOS!$E16986,nASIG,DATOS!$I16986,nEVAL,"EX")=0),0))))</f>
      </c>
      <c r="H16986">
        <f>IF(DATOS!$G16986&lt;&gt;"EX",0,--(COUNTIFS(nNIA,DATOS!$A16986,nCURSO,DATOS!$D16986,nESPEC,DATOS!$E16986,nASIG,DATOS!$I16986,nEVAL,"OR")=0))</f>
      </c>
      <c r="I16986">
        <f>IF(DATOS!$I16986="","",IFERROR(VLOOKUP(DATOS!$I16986,CONFIG_ASIGNATURAS!$B$2:$J$91,9,FALSE()),""))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IF(DATOS!$A16987="",0,IF(CONFIG_METADATA!$B$4&lt;&gt;"OR+EX",--(DATOS!$G16987=CONFIG_METADATA!$B$4),IF(DATOS!$G16987="EX",1,IF(DATOS!$G16987="OR",--(COUNTIFS(nNIA,DATOS!$A16987,nCURSO,DATOS!$D16987,nESPEC,DATOS!$E16987,nASIG,DATOS!$I16987,nEVAL,"EX")=0),0))))</f>
      </c>
      <c r="H16987">
        <f>IF(DATOS!$G16987&lt;&gt;"EX",0,--(COUNTIFS(nNIA,DATOS!$A16987,nCURSO,DATOS!$D16987,nESPEC,DATOS!$E16987,nASIG,DATOS!$I16987,nEVAL,"OR")=0))</f>
      </c>
      <c r="I16987">
        <f>IF(DATOS!$I16987="","",IFERROR(VLOOKUP(DATOS!$I16987,CONFIG_ASIGNATURAS!$B$2:$J$91,9,FALSE()),""))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IF(DATOS!$A16988="",0,IF(CONFIG_METADATA!$B$4&lt;&gt;"OR+EX",--(DATOS!$G16988=CONFIG_METADATA!$B$4),IF(DATOS!$G16988="EX",1,IF(DATOS!$G16988="OR",--(COUNTIFS(nNIA,DATOS!$A16988,nCURSO,DATOS!$D16988,nESPEC,DATOS!$E16988,nASIG,DATOS!$I16988,nEVAL,"EX")=0),0))))</f>
      </c>
      <c r="H16988">
        <f>IF(DATOS!$G16988&lt;&gt;"EX",0,--(COUNTIFS(nNIA,DATOS!$A16988,nCURSO,DATOS!$D16988,nESPEC,DATOS!$E16988,nASIG,DATOS!$I16988,nEVAL,"OR")=0))</f>
      </c>
      <c r="I16988">
        <f>IF(DATOS!$I16988="","",IFERROR(VLOOKUP(DATOS!$I16988,CONFIG_ASIGNATURAS!$B$2:$J$91,9,FALSE()),""))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IF(DATOS!$A16989="",0,IF(CONFIG_METADATA!$B$4&lt;&gt;"OR+EX",--(DATOS!$G16989=CONFIG_METADATA!$B$4),IF(DATOS!$G16989="EX",1,IF(DATOS!$G16989="OR",--(COUNTIFS(nNIA,DATOS!$A16989,nCURSO,DATOS!$D16989,nESPEC,DATOS!$E16989,nASIG,DATOS!$I16989,nEVAL,"EX")=0),0))))</f>
      </c>
      <c r="H16989">
        <f>IF(DATOS!$G16989&lt;&gt;"EX",0,--(COUNTIFS(nNIA,DATOS!$A16989,nCURSO,DATOS!$D16989,nESPEC,DATOS!$E16989,nASIG,DATOS!$I16989,nEVAL,"OR")=0))</f>
      </c>
      <c r="I16989">
        <f>IF(DATOS!$I16989="","",IFERROR(VLOOKUP(DATOS!$I16989,CONFIG_ASIGNATURAS!$B$2:$J$91,9,FALSE()),""))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IF(DATOS!$A16990="",0,IF(CONFIG_METADATA!$B$4&lt;&gt;"OR+EX",--(DATOS!$G16990=CONFIG_METADATA!$B$4),IF(DATOS!$G16990="EX",1,IF(DATOS!$G16990="OR",--(COUNTIFS(nNIA,DATOS!$A16990,nCURSO,DATOS!$D16990,nESPEC,DATOS!$E16990,nASIG,DATOS!$I16990,nEVAL,"EX")=0),0))))</f>
      </c>
      <c r="H16990">
        <f>IF(DATOS!$G16990&lt;&gt;"EX",0,--(COUNTIFS(nNIA,DATOS!$A16990,nCURSO,DATOS!$D16990,nESPEC,DATOS!$E16990,nASIG,DATOS!$I16990,nEVAL,"OR")=0))</f>
      </c>
      <c r="I16990">
        <f>IF(DATOS!$I16990="","",IFERROR(VLOOKUP(DATOS!$I16990,CONFIG_ASIGNATURAS!$B$2:$J$91,9,FALSE()),""))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IF(DATOS!$A16991="",0,IF(CONFIG_METADATA!$B$4&lt;&gt;"OR+EX",--(DATOS!$G16991=CONFIG_METADATA!$B$4),IF(DATOS!$G16991="EX",1,IF(DATOS!$G16991="OR",--(COUNTIFS(nNIA,DATOS!$A16991,nCURSO,DATOS!$D16991,nESPEC,DATOS!$E16991,nASIG,DATOS!$I16991,nEVAL,"EX")=0),0))))</f>
      </c>
      <c r="H16991">
        <f>IF(DATOS!$G16991&lt;&gt;"EX",0,--(COUNTIFS(nNIA,DATOS!$A16991,nCURSO,DATOS!$D16991,nESPEC,DATOS!$E16991,nASIG,DATOS!$I16991,nEVAL,"OR")=0))</f>
      </c>
      <c r="I16991">
        <f>IF(DATOS!$I16991="","",IFERROR(VLOOKUP(DATOS!$I16991,CONFIG_ASIGNATURAS!$B$2:$J$91,9,FALSE()),""))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IF(DATOS!$A16992="",0,IF(CONFIG_METADATA!$B$4&lt;&gt;"OR+EX",--(DATOS!$G16992=CONFIG_METADATA!$B$4),IF(DATOS!$G16992="EX",1,IF(DATOS!$G16992="OR",--(COUNTIFS(nNIA,DATOS!$A16992,nCURSO,DATOS!$D16992,nESPEC,DATOS!$E16992,nASIG,DATOS!$I16992,nEVAL,"EX")=0),0))))</f>
      </c>
      <c r="H16992">
        <f>IF(DATOS!$G16992&lt;&gt;"EX",0,--(COUNTIFS(nNIA,DATOS!$A16992,nCURSO,DATOS!$D16992,nESPEC,DATOS!$E16992,nASIG,DATOS!$I16992,nEVAL,"OR")=0))</f>
      </c>
      <c r="I16992">
        <f>IF(DATOS!$I16992="","",IFERROR(VLOOKUP(DATOS!$I16992,CONFIG_ASIGNATURAS!$B$2:$J$91,9,FALSE()),""))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IF(DATOS!$A16993="",0,IF(CONFIG_METADATA!$B$4&lt;&gt;"OR+EX",--(DATOS!$G16993=CONFIG_METADATA!$B$4),IF(DATOS!$G16993="EX",1,IF(DATOS!$G16993="OR",--(COUNTIFS(nNIA,DATOS!$A16993,nCURSO,DATOS!$D16993,nESPEC,DATOS!$E16993,nASIG,DATOS!$I16993,nEVAL,"EX")=0),0))))</f>
      </c>
      <c r="H16993">
        <f>IF(DATOS!$G16993&lt;&gt;"EX",0,--(COUNTIFS(nNIA,DATOS!$A16993,nCURSO,DATOS!$D16993,nESPEC,DATOS!$E16993,nASIG,DATOS!$I16993,nEVAL,"OR")=0))</f>
      </c>
      <c r="I16993">
        <f>IF(DATOS!$I16993="","",IFERROR(VLOOKUP(DATOS!$I16993,CONFIG_ASIGNATURAS!$B$2:$J$91,9,FALSE()),""))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IF(DATOS!$A16994="",0,IF(CONFIG_METADATA!$B$4&lt;&gt;"OR+EX",--(DATOS!$G16994=CONFIG_METADATA!$B$4),IF(DATOS!$G16994="EX",1,IF(DATOS!$G16994="OR",--(COUNTIFS(nNIA,DATOS!$A16994,nCURSO,DATOS!$D16994,nESPEC,DATOS!$E16994,nASIG,DATOS!$I16994,nEVAL,"EX")=0),0))))</f>
      </c>
      <c r="H16994">
        <f>IF(DATOS!$G16994&lt;&gt;"EX",0,--(COUNTIFS(nNIA,DATOS!$A16994,nCURSO,DATOS!$D16994,nESPEC,DATOS!$E16994,nASIG,DATOS!$I16994,nEVAL,"OR")=0))</f>
      </c>
      <c r="I16994">
        <f>IF(DATOS!$I16994="","",IFERROR(VLOOKUP(DATOS!$I16994,CONFIG_ASIGNATURAS!$B$2:$J$91,9,FALSE()),""))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IF(DATOS!$A16995="",0,IF(CONFIG_METADATA!$B$4&lt;&gt;"OR+EX",--(DATOS!$G16995=CONFIG_METADATA!$B$4),IF(DATOS!$G16995="EX",1,IF(DATOS!$G16995="OR",--(COUNTIFS(nNIA,DATOS!$A16995,nCURSO,DATOS!$D16995,nESPEC,DATOS!$E16995,nASIG,DATOS!$I16995,nEVAL,"EX")=0),0))))</f>
      </c>
      <c r="H16995">
        <f>IF(DATOS!$G16995&lt;&gt;"EX",0,--(COUNTIFS(nNIA,DATOS!$A16995,nCURSO,DATOS!$D16995,nESPEC,DATOS!$E16995,nASIG,DATOS!$I16995,nEVAL,"OR")=0))</f>
      </c>
      <c r="I16995">
        <f>IF(DATOS!$I16995="","",IFERROR(VLOOKUP(DATOS!$I16995,CONFIG_ASIGNATURAS!$B$2:$J$91,9,FALSE()),""))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IF(DATOS!$A16996="",0,IF(CONFIG_METADATA!$B$4&lt;&gt;"OR+EX",--(DATOS!$G16996=CONFIG_METADATA!$B$4),IF(DATOS!$G16996="EX",1,IF(DATOS!$G16996="OR",--(COUNTIFS(nNIA,DATOS!$A16996,nCURSO,DATOS!$D16996,nESPEC,DATOS!$E16996,nASIG,DATOS!$I16996,nEVAL,"EX")=0),0))))</f>
      </c>
      <c r="H16996">
        <f>IF(DATOS!$G16996&lt;&gt;"EX",0,--(COUNTIFS(nNIA,DATOS!$A16996,nCURSO,DATOS!$D16996,nESPEC,DATOS!$E16996,nASIG,DATOS!$I16996,nEVAL,"OR")=0))</f>
      </c>
      <c r="I16996">
        <f>IF(DATOS!$I16996="","",IFERROR(VLOOKUP(DATOS!$I16996,CONFIG_ASIGNATURAS!$B$2:$J$91,9,FALSE()),""))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IF(DATOS!$A16997="",0,IF(CONFIG_METADATA!$B$4&lt;&gt;"OR+EX",--(DATOS!$G16997=CONFIG_METADATA!$B$4),IF(DATOS!$G16997="EX",1,IF(DATOS!$G16997="OR",--(COUNTIFS(nNIA,DATOS!$A16997,nCURSO,DATOS!$D16997,nESPEC,DATOS!$E16997,nASIG,DATOS!$I16997,nEVAL,"EX")=0),0))))</f>
      </c>
      <c r="H16997">
        <f>IF(DATOS!$G16997&lt;&gt;"EX",0,--(COUNTIFS(nNIA,DATOS!$A16997,nCURSO,DATOS!$D16997,nESPEC,DATOS!$E16997,nASIG,DATOS!$I16997,nEVAL,"OR")=0))</f>
      </c>
      <c r="I16997">
        <f>IF(DATOS!$I16997="","",IFERROR(VLOOKUP(DATOS!$I16997,CONFIG_ASIGNATURAS!$B$2:$J$91,9,FALSE()),""))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IF(DATOS!$A16998="",0,IF(CONFIG_METADATA!$B$4&lt;&gt;"OR+EX",--(DATOS!$G16998=CONFIG_METADATA!$B$4),IF(DATOS!$G16998="EX",1,IF(DATOS!$G16998="OR",--(COUNTIFS(nNIA,DATOS!$A16998,nCURSO,DATOS!$D16998,nESPEC,DATOS!$E16998,nASIG,DATOS!$I16998,nEVAL,"EX")=0),0))))</f>
      </c>
      <c r="H16998">
        <f>IF(DATOS!$G16998&lt;&gt;"EX",0,--(COUNTIFS(nNIA,DATOS!$A16998,nCURSO,DATOS!$D16998,nESPEC,DATOS!$E16998,nASIG,DATOS!$I16998,nEVAL,"OR")=0))</f>
      </c>
      <c r="I16998">
        <f>IF(DATOS!$I16998="","",IFERROR(VLOOKUP(DATOS!$I16998,CONFIG_ASIGNATURAS!$B$2:$J$91,9,FALSE()),""))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IF(DATOS!$A16999="",0,IF(CONFIG_METADATA!$B$4&lt;&gt;"OR+EX",--(DATOS!$G16999=CONFIG_METADATA!$B$4),IF(DATOS!$G16999="EX",1,IF(DATOS!$G16999="OR",--(COUNTIFS(nNIA,DATOS!$A16999,nCURSO,DATOS!$D16999,nESPEC,DATOS!$E16999,nASIG,DATOS!$I16999,nEVAL,"EX")=0),0))))</f>
      </c>
      <c r="H16999">
        <f>IF(DATOS!$G16999&lt;&gt;"EX",0,--(COUNTIFS(nNIA,DATOS!$A16999,nCURSO,DATOS!$D16999,nESPEC,DATOS!$E16999,nASIG,DATOS!$I16999,nEVAL,"OR")=0))</f>
      </c>
      <c r="I16999">
        <f>IF(DATOS!$I16999="","",IFERROR(VLOOKUP(DATOS!$I16999,CONFIG_ASIGNATURAS!$B$2:$J$91,9,FALSE()),""))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IF(DATOS!$A17000="",0,IF(CONFIG_METADATA!$B$4&lt;&gt;"OR+EX",--(DATOS!$G17000=CONFIG_METADATA!$B$4),IF(DATOS!$G17000="EX",1,IF(DATOS!$G17000="OR",--(COUNTIFS(nNIA,DATOS!$A17000,nCURSO,DATOS!$D17000,nESPEC,DATOS!$E17000,nASIG,DATOS!$I17000,nEVAL,"EX")=0),0))))</f>
      </c>
      <c r="H17000">
        <f>IF(DATOS!$G17000&lt;&gt;"EX",0,--(COUNTIFS(nNIA,DATOS!$A17000,nCURSO,DATOS!$D17000,nESPEC,DATOS!$E17000,nASIG,DATOS!$I17000,nEVAL,"OR")=0))</f>
      </c>
      <c r="I17000">
        <f>IF(DATOS!$I17000="","",IFERROR(VLOOKUP(DATOS!$I17000,CONFIG_ASIGNATURAS!$B$2:$J$91,9,FALSE()),""))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IF(DATOS!$A17001="",0,IF(CONFIG_METADATA!$B$4&lt;&gt;"OR+EX",--(DATOS!$G17001=CONFIG_METADATA!$B$4),IF(DATOS!$G17001="EX",1,IF(DATOS!$G17001="OR",--(COUNTIFS(nNIA,DATOS!$A17001,nCURSO,DATOS!$D17001,nESPEC,DATOS!$E17001,nASIG,DATOS!$I17001,nEVAL,"EX")=0),0))))</f>
      </c>
      <c r="H17001">
        <f>IF(DATOS!$G17001&lt;&gt;"EX",0,--(COUNTIFS(nNIA,DATOS!$A17001,nCURSO,DATOS!$D17001,nESPEC,DATOS!$E17001,nASIG,DATOS!$I17001,nEVAL,"OR")=0))</f>
      </c>
      <c r="I17001">
        <f>IF(DATOS!$I17001="","",IFERROR(VLOOKUP(DATOS!$I17001,CONFIG_ASIGNATURAS!$B$2:$J$91,9,FALSE()),""))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IF(DATOS!$A17002="",0,IF(CONFIG_METADATA!$B$4&lt;&gt;"OR+EX",--(DATOS!$G17002=CONFIG_METADATA!$B$4),IF(DATOS!$G17002="EX",1,IF(DATOS!$G17002="OR",--(COUNTIFS(nNIA,DATOS!$A17002,nCURSO,DATOS!$D17002,nESPEC,DATOS!$E17002,nASIG,DATOS!$I17002,nEVAL,"EX")=0),0))))</f>
      </c>
      <c r="H17002">
        <f>IF(DATOS!$G17002&lt;&gt;"EX",0,--(COUNTIFS(nNIA,DATOS!$A17002,nCURSO,DATOS!$D17002,nESPEC,DATOS!$E17002,nASIG,DATOS!$I17002,nEVAL,"OR")=0))</f>
      </c>
      <c r="I17002">
        <f>IF(DATOS!$I17002="","",IFERROR(VLOOKUP(DATOS!$I17002,CONFIG_ASIGNATURAS!$B$2:$J$91,9,FALSE()),""))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IF(DATOS!$A17003="",0,IF(CONFIG_METADATA!$B$4&lt;&gt;"OR+EX",--(DATOS!$G17003=CONFIG_METADATA!$B$4),IF(DATOS!$G17003="EX",1,IF(DATOS!$G17003="OR",--(COUNTIFS(nNIA,DATOS!$A17003,nCURSO,DATOS!$D17003,nESPEC,DATOS!$E17003,nASIG,DATOS!$I17003,nEVAL,"EX")=0),0))))</f>
      </c>
      <c r="H17003">
        <f>IF(DATOS!$G17003&lt;&gt;"EX",0,--(COUNTIFS(nNIA,DATOS!$A17003,nCURSO,DATOS!$D17003,nESPEC,DATOS!$E17003,nASIG,DATOS!$I17003,nEVAL,"OR")=0))</f>
      </c>
      <c r="I17003">
        <f>IF(DATOS!$I17003="","",IFERROR(VLOOKUP(DATOS!$I17003,CONFIG_ASIGNATURAS!$B$2:$J$91,9,FALSE()),""))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IF(DATOS!$A17004="",0,IF(CONFIG_METADATA!$B$4&lt;&gt;"OR+EX",--(DATOS!$G17004=CONFIG_METADATA!$B$4),IF(DATOS!$G17004="EX",1,IF(DATOS!$G17004="OR",--(COUNTIFS(nNIA,DATOS!$A17004,nCURSO,DATOS!$D17004,nESPEC,DATOS!$E17004,nASIG,DATOS!$I17004,nEVAL,"EX")=0),0))))</f>
      </c>
      <c r="H17004">
        <f>IF(DATOS!$G17004&lt;&gt;"EX",0,--(COUNTIFS(nNIA,DATOS!$A17004,nCURSO,DATOS!$D17004,nESPEC,DATOS!$E17004,nASIG,DATOS!$I17004,nEVAL,"OR")=0))</f>
      </c>
      <c r="I17004">
        <f>IF(DATOS!$I17004="","",IFERROR(VLOOKUP(DATOS!$I17004,CONFIG_ASIGNATURAS!$B$2:$J$91,9,FALSE()),""))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IF(DATOS!$A17005="",0,IF(CONFIG_METADATA!$B$4&lt;&gt;"OR+EX",--(DATOS!$G17005=CONFIG_METADATA!$B$4),IF(DATOS!$G17005="EX",1,IF(DATOS!$G17005="OR",--(COUNTIFS(nNIA,DATOS!$A17005,nCURSO,DATOS!$D17005,nESPEC,DATOS!$E17005,nASIG,DATOS!$I17005,nEVAL,"EX")=0),0))))</f>
      </c>
      <c r="H17005">
        <f>IF(DATOS!$G17005&lt;&gt;"EX",0,--(COUNTIFS(nNIA,DATOS!$A17005,nCURSO,DATOS!$D17005,nESPEC,DATOS!$E17005,nASIG,DATOS!$I17005,nEVAL,"OR")=0))</f>
      </c>
      <c r="I17005">
        <f>IF(DATOS!$I17005="","",IFERROR(VLOOKUP(DATOS!$I17005,CONFIG_ASIGNATURAS!$B$2:$J$91,9,FALSE()),""))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IF(DATOS!$A17006="",0,IF(CONFIG_METADATA!$B$4&lt;&gt;"OR+EX",--(DATOS!$G17006=CONFIG_METADATA!$B$4),IF(DATOS!$G17006="EX",1,IF(DATOS!$G17006="OR",--(COUNTIFS(nNIA,DATOS!$A17006,nCURSO,DATOS!$D17006,nESPEC,DATOS!$E17006,nASIG,DATOS!$I17006,nEVAL,"EX")=0),0))))</f>
      </c>
      <c r="H17006">
        <f>IF(DATOS!$G17006&lt;&gt;"EX",0,--(COUNTIFS(nNIA,DATOS!$A17006,nCURSO,DATOS!$D17006,nESPEC,DATOS!$E17006,nASIG,DATOS!$I17006,nEVAL,"OR")=0))</f>
      </c>
      <c r="I17006">
        <f>IF(DATOS!$I17006="","",IFERROR(VLOOKUP(DATOS!$I17006,CONFIG_ASIGNATURAS!$B$2:$J$91,9,FALSE()),""))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IF(DATOS!$A17007="",0,IF(CONFIG_METADATA!$B$4&lt;&gt;"OR+EX",--(DATOS!$G17007=CONFIG_METADATA!$B$4),IF(DATOS!$G17007="EX",1,IF(DATOS!$G17007="OR",--(COUNTIFS(nNIA,DATOS!$A17007,nCURSO,DATOS!$D17007,nESPEC,DATOS!$E17007,nASIG,DATOS!$I17007,nEVAL,"EX")=0),0))))</f>
      </c>
      <c r="H17007">
        <f>IF(DATOS!$G17007&lt;&gt;"EX",0,--(COUNTIFS(nNIA,DATOS!$A17007,nCURSO,DATOS!$D17007,nESPEC,DATOS!$E17007,nASIG,DATOS!$I17007,nEVAL,"OR")=0))</f>
      </c>
      <c r="I17007">
        <f>IF(DATOS!$I17007="","",IFERROR(VLOOKUP(DATOS!$I17007,CONFIG_ASIGNATURAS!$B$2:$J$91,9,FALSE()),""))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IF(DATOS!$A17008="",0,IF(CONFIG_METADATA!$B$4&lt;&gt;"OR+EX",--(DATOS!$G17008=CONFIG_METADATA!$B$4),IF(DATOS!$G17008="EX",1,IF(DATOS!$G17008="OR",--(COUNTIFS(nNIA,DATOS!$A17008,nCURSO,DATOS!$D17008,nESPEC,DATOS!$E17008,nASIG,DATOS!$I17008,nEVAL,"EX")=0),0))))</f>
      </c>
      <c r="H17008">
        <f>IF(DATOS!$G17008&lt;&gt;"EX",0,--(COUNTIFS(nNIA,DATOS!$A17008,nCURSO,DATOS!$D17008,nESPEC,DATOS!$E17008,nASIG,DATOS!$I17008,nEVAL,"OR")=0))</f>
      </c>
      <c r="I17008">
        <f>IF(DATOS!$I17008="","",IFERROR(VLOOKUP(DATOS!$I17008,CONFIG_ASIGNATURAS!$B$2:$J$91,9,FALSE()),""))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IF(DATOS!$A17009="",0,IF(CONFIG_METADATA!$B$4&lt;&gt;"OR+EX",--(DATOS!$G17009=CONFIG_METADATA!$B$4),IF(DATOS!$G17009="EX",1,IF(DATOS!$G17009="OR",--(COUNTIFS(nNIA,DATOS!$A17009,nCURSO,DATOS!$D17009,nESPEC,DATOS!$E17009,nASIG,DATOS!$I17009,nEVAL,"EX")=0),0))))</f>
      </c>
      <c r="H17009">
        <f>IF(DATOS!$G17009&lt;&gt;"EX",0,--(COUNTIFS(nNIA,DATOS!$A17009,nCURSO,DATOS!$D17009,nESPEC,DATOS!$E17009,nASIG,DATOS!$I17009,nEVAL,"OR")=0))</f>
      </c>
      <c r="I17009">
        <f>IF(DATOS!$I17009="","",IFERROR(VLOOKUP(DATOS!$I17009,CONFIG_ASIGNATURAS!$B$2:$J$91,9,FALSE()),""))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IF(DATOS!$A17010="",0,IF(CONFIG_METADATA!$B$4&lt;&gt;"OR+EX",--(DATOS!$G17010=CONFIG_METADATA!$B$4),IF(DATOS!$G17010="EX",1,IF(DATOS!$G17010="OR",--(COUNTIFS(nNIA,DATOS!$A17010,nCURSO,DATOS!$D17010,nESPEC,DATOS!$E17010,nASIG,DATOS!$I17010,nEVAL,"EX")=0),0))))</f>
      </c>
      <c r="H17010">
        <f>IF(DATOS!$G17010&lt;&gt;"EX",0,--(COUNTIFS(nNIA,DATOS!$A17010,nCURSO,DATOS!$D17010,nESPEC,DATOS!$E17010,nASIG,DATOS!$I17010,nEVAL,"OR")=0))</f>
      </c>
      <c r="I17010">
        <f>IF(DATOS!$I17010="","",IFERROR(VLOOKUP(DATOS!$I17010,CONFIG_ASIGNATURAS!$B$2:$J$91,9,FALSE()),""))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IF(DATOS!$A17011="",0,IF(CONFIG_METADATA!$B$4&lt;&gt;"OR+EX",--(DATOS!$G17011=CONFIG_METADATA!$B$4),IF(DATOS!$G17011="EX",1,IF(DATOS!$G17011="OR",--(COUNTIFS(nNIA,DATOS!$A17011,nCURSO,DATOS!$D17011,nESPEC,DATOS!$E17011,nASIG,DATOS!$I17011,nEVAL,"EX")=0),0))))</f>
      </c>
      <c r="H17011">
        <f>IF(DATOS!$G17011&lt;&gt;"EX",0,--(COUNTIFS(nNIA,DATOS!$A17011,nCURSO,DATOS!$D17011,nESPEC,DATOS!$E17011,nASIG,DATOS!$I17011,nEVAL,"OR")=0))</f>
      </c>
      <c r="I17011">
        <f>IF(DATOS!$I17011="","",IFERROR(VLOOKUP(DATOS!$I17011,CONFIG_ASIGNATURAS!$B$2:$J$91,9,FALSE()),""))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IF(DATOS!$A17012="",0,IF(CONFIG_METADATA!$B$4&lt;&gt;"OR+EX",--(DATOS!$G17012=CONFIG_METADATA!$B$4),IF(DATOS!$G17012="EX",1,IF(DATOS!$G17012="OR",--(COUNTIFS(nNIA,DATOS!$A17012,nCURSO,DATOS!$D17012,nESPEC,DATOS!$E17012,nASIG,DATOS!$I17012,nEVAL,"EX")=0),0))))</f>
      </c>
      <c r="H17012">
        <f>IF(DATOS!$G17012&lt;&gt;"EX",0,--(COUNTIFS(nNIA,DATOS!$A17012,nCURSO,DATOS!$D17012,nESPEC,DATOS!$E17012,nASIG,DATOS!$I17012,nEVAL,"OR")=0))</f>
      </c>
      <c r="I17012">
        <f>IF(DATOS!$I17012="","",IFERROR(VLOOKUP(DATOS!$I17012,CONFIG_ASIGNATURAS!$B$2:$J$91,9,FALSE()),""))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IF(DATOS!$A17013="",0,IF(CONFIG_METADATA!$B$4&lt;&gt;"OR+EX",--(DATOS!$G17013=CONFIG_METADATA!$B$4),IF(DATOS!$G17013="EX",1,IF(DATOS!$G17013="OR",--(COUNTIFS(nNIA,DATOS!$A17013,nCURSO,DATOS!$D17013,nESPEC,DATOS!$E17013,nASIG,DATOS!$I17013,nEVAL,"EX")=0),0))))</f>
      </c>
      <c r="H17013">
        <f>IF(DATOS!$G17013&lt;&gt;"EX",0,--(COUNTIFS(nNIA,DATOS!$A17013,nCURSO,DATOS!$D17013,nESPEC,DATOS!$E17013,nASIG,DATOS!$I17013,nEVAL,"OR")=0))</f>
      </c>
      <c r="I17013">
        <f>IF(DATOS!$I17013="","",IFERROR(VLOOKUP(DATOS!$I17013,CONFIG_ASIGNATURAS!$B$2:$J$91,9,FALSE()),""))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IF(DATOS!$A17014="",0,IF(CONFIG_METADATA!$B$4&lt;&gt;"OR+EX",--(DATOS!$G17014=CONFIG_METADATA!$B$4),IF(DATOS!$G17014="EX",1,IF(DATOS!$G17014="OR",--(COUNTIFS(nNIA,DATOS!$A17014,nCURSO,DATOS!$D17014,nESPEC,DATOS!$E17014,nASIG,DATOS!$I17014,nEVAL,"EX")=0),0))))</f>
      </c>
      <c r="H17014">
        <f>IF(DATOS!$G17014&lt;&gt;"EX",0,--(COUNTIFS(nNIA,DATOS!$A17014,nCURSO,DATOS!$D17014,nESPEC,DATOS!$E17014,nASIG,DATOS!$I17014,nEVAL,"OR")=0))</f>
      </c>
      <c r="I17014">
        <f>IF(DATOS!$I17014="","",IFERROR(VLOOKUP(DATOS!$I17014,CONFIG_ASIGNATURAS!$B$2:$J$91,9,FALSE()),""))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IF(DATOS!$A17015="",0,IF(CONFIG_METADATA!$B$4&lt;&gt;"OR+EX",--(DATOS!$G17015=CONFIG_METADATA!$B$4),IF(DATOS!$G17015="EX",1,IF(DATOS!$G17015="OR",--(COUNTIFS(nNIA,DATOS!$A17015,nCURSO,DATOS!$D17015,nESPEC,DATOS!$E17015,nASIG,DATOS!$I17015,nEVAL,"EX")=0),0))))</f>
      </c>
      <c r="H17015">
        <f>IF(DATOS!$G17015&lt;&gt;"EX",0,--(COUNTIFS(nNIA,DATOS!$A17015,nCURSO,DATOS!$D17015,nESPEC,DATOS!$E17015,nASIG,DATOS!$I17015,nEVAL,"OR")=0))</f>
      </c>
      <c r="I17015">
        <f>IF(DATOS!$I17015="","",IFERROR(VLOOKUP(DATOS!$I17015,CONFIG_ASIGNATURAS!$B$2:$J$91,9,FALSE()),""))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IF(DATOS!$A17016="",0,IF(CONFIG_METADATA!$B$4&lt;&gt;"OR+EX",--(DATOS!$G17016=CONFIG_METADATA!$B$4),IF(DATOS!$G17016="EX",1,IF(DATOS!$G17016="OR",--(COUNTIFS(nNIA,DATOS!$A17016,nCURSO,DATOS!$D17016,nESPEC,DATOS!$E17016,nASIG,DATOS!$I17016,nEVAL,"EX")=0),0))))</f>
      </c>
      <c r="H17016">
        <f>IF(DATOS!$G17016&lt;&gt;"EX",0,--(COUNTIFS(nNIA,DATOS!$A17016,nCURSO,DATOS!$D17016,nESPEC,DATOS!$E17016,nASIG,DATOS!$I17016,nEVAL,"OR")=0))</f>
      </c>
      <c r="I17016">
        <f>IF(DATOS!$I17016="","",IFERROR(VLOOKUP(DATOS!$I17016,CONFIG_ASIGNATURAS!$B$2:$J$91,9,FALSE()),""))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IF(DATOS!$A17017="",0,IF(CONFIG_METADATA!$B$4&lt;&gt;"OR+EX",--(DATOS!$G17017=CONFIG_METADATA!$B$4),IF(DATOS!$G17017="EX",1,IF(DATOS!$G17017="OR",--(COUNTIFS(nNIA,DATOS!$A17017,nCURSO,DATOS!$D17017,nESPEC,DATOS!$E17017,nASIG,DATOS!$I17017,nEVAL,"EX")=0),0))))</f>
      </c>
      <c r="H17017">
        <f>IF(DATOS!$G17017&lt;&gt;"EX",0,--(COUNTIFS(nNIA,DATOS!$A17017,nCURSO,DATOS!$D17017,nESPEC,DATOS!$E17017,nASIG,DATOS!$I17017,nEVAL,"OR")=0))</f>
      </c>
      <c r="I17017">
        <f>IF(DATOS!$I17017="","",IFERROR(VLOOKUP(DATOS!$I17017,CONFIG_ASIGNATURAS!$B$2:$J$91,9,FALSE()),""))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IF(DATOS!$A17018="",0,IF(CONFIG_METADATA!$B$4&lt;&gt;"OR+EX",--(DATOS!$G17018=CONFIG_METADATA!$B$4),IF(DATOS!$G17018="EX",1,IF(DATOS!$G17018="OR",--(COUNTIFS(nNIA,DATOS!$A17018,nCURSO,DATOS!$D17018,nESPEC,DATOS!$E17018,nASIG,DATOS!$I17018,nEVAL,"EX")=0),0))))</f>
      </c>
      <c r="H17018">
        <f>IF(DATOS!$G17018&lt;&gt;"EX",0,--(COUNTIFS(nNIA,DATOS!$A17018,nCURSO,DATOS!$D17018,nESPEC,DATOS!$E17018,nASIG,DATOS!$I17018,nEVAL,"OR")=0))</f>
      </c>
      <c r="I17018">
        <f>IF(DATOS!$I17018="","",IFERROR(VLOOKUP(DATOS!$I17018,CONFIG_ASIGNATURAS!$B$2:$J$91,9,FALSE()),""))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IF(DATOS!$A17019="",0,IF(CONFIG_METADATA!$B$4&lt;&gt;"OR+EX",--(DATOS!$G17019=CONFIG_METADATA!$B$4),IF(DATOS!$G17019="EX",1,IF(DATOS!$G17019="OR",--(COUNTIFS(nNIA,DATOS!$A17019,nCURSO,DATOS!$D17019,nESPEC,DATOS!$E17019,nASIG,DATOS!$I17019,nEVAL,"EX")=0),0))))</f>
      </c>
      <c r="H17019">
        <f>IF(DATOS!$G17019&lt;&gt;"EX",0,--(COUNTIFS(nNIA,DATOS!$A17019,nCURSO,DATOS!$D17019,nESPEC,DATOS!$E17019,nASIG,DATOS!$I17019,nEVAL,"OR")=0))</f>
      </c>
      <c r="I17019">
        <f>IF(DATOS!$I17019="","",IFERROR(VLOOKUP(DATOS!$I17019,CONFIG_ASIGNATURAS!$B$2:$J$91,9,FALSE()),""))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IF(DATOS!$A17020="",0,IF(CONFIG_METADATA!$B$4&lt;&gt;"OR+EX",--(DATOS!$G17020=CONFIG_METADATA!$B$4),IF(DATOS!$G17020="EX",1,IF(DATOS!$G17020="OR",--(COUNTIFS(nNIA,DATOS!$A17020,nCURSO,DATOS!$D17020,nESPEC,DATOS!$E17020,nASIG,DATOS!$I17020,nEVAL,"EX")=0),0))))</f>
      </c>
      <c r="H17020">
        <f>IF(DATOS!$G17020&lt;&gt;"EX",0,--(COUNTIFS(nNIA,DATOS!$A17020,nCURSO,DATOS!$D17020,nESPEC,DATOS!$E17020,nASIG,DATOS!$I17020,nEVAL,"OR")=0))</f>
      </c>
      <c r="I17020">
        <f>IF(DATOS!$I17020="","",IFERROR(VLOOKUP(DATOS!$I17020,CONFIG_ASIGNATURAS!$B$2:$J$91,9,FALSE()),""))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IF(DATOS!$A17021="",0,IF(CONFIG_METADATA!$B$4&lt;&gt;"OR+EX",--(DATOS!$G17021=CONFIG_METADATA!$B$4),IF(DATOS!$G17021="EX",1,IF(DATOS!$G17021="OR",--(COUNTIFS(nNIA,DATOS!$A17021,nCURSO,DATOS!$D17021,nESPEC,DATOS!$E17021,nASIG,DATOS!$I17021,nEVAL,"EX")=0),0))))</f>
      </c>
      <c r="H17021">
        <f>IF(DATOS!$G17021&lt;&gt;"EX",0,--(COUNTIFS(nNIA,DATOS!$A17021,nCURSO,DATOS!$D17021,nESPEC,DATOS!$E17021,nASIG,DATOS!$I17021,nEVAL,"OR")=0))</f>
      </c>
      <c r="I17021">
        <f>IF(DATOS!$I17021="","",IFERROR(VLOOKUP(DATOS!$I17021,CONFIG_ASIGNATURAS!$B$2:$J$91,9,FALSE()),""))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IF(DATOS!$A17022="",0,IF(CONFIG_METADATA!$B$4&lt;&gt;"OR+EX",--(DATOS!$G17022=CONFIG_METADATA!$B$4),IF(DATOS!$G17022="EX",1,IF(DATOS!$G17022="OR",--(COUNTIFS(nNIA,DATOS!$A17022,nCURSO,DATOS!$D17022,nESPEC,DATOS!$E17022,nASIG,DATOS!$I17022,nEVAL,"EX")=0),0))))</f>
      </c>
      <c r="H17022">
        <f>IF(DATOS!$G17022&lt;&gt;"EX",0,--(COUNTIFS(nNIA,DATOS!$A17022,nCURSO,DATOS!$D17022,nESPEC,DATOS!$E17022,nASIG,DATOS!$I17022,nEVAL,"OR")=0))</f>
      </c>
      <c r="I17022">
        <f>IF(DATOS!$I17022="","",IFERROR(VLOOKUP(DATOS!$I17022,CONFIG_ASIGNATURAS!$B$2:$J$91,9,FALSE()),""))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IF(DATOS!$A17023="",0,IF(CONFIG_METADATA!$B$4&lt;&gt;"OR+EX",--(DATOS!$G17023=CONFIG_METADATA!$B$4),IF(DATOS!$G17023="EX",1,IF(DATOS!$G17023="OR",--(COUNTIFS(nNIA,DATOS!$A17023,nCURSO,DATOS!$D17023,nESPEC,DATOS!$E17023,nASIG,DATOS!$I17023,nEVAL,"EX")=0),0))))</f>
      </c>
      <c r="H17023">
        <f>IF(DATOS!$G17023&lt;&gt;"EX",0,--(COUNTIFS(nNIA,DATOS!$A17023,nCURSO,DATOS!$D17023,nESPEC,DATOS!$E17023,nASIG,DATOS!$I17023,nEVAL,"OR")=0))</f>
      </c>
      <c r="I17023">
        <f>IF(DATOS!$I17023="","",IFERROR(VLOOKUP(DATOS!$I17023,CONFIG_ASIGNATURAS!$B$2:$J$91,9,FALSE()),""))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IF(DATOS!$A17024="",0,IF(CONFIG_METADATA!$B$4&lt;&gt;"OR+EX",--(DATOS!$G17024=CONFIG_METADATA!$B$4),IF(DATOS!$G17024="EX",1,IF(DATOS!$G17024="OR",--(COUNTIFS(nNIA,DATOS!$A17024,nCURSO,DATOS!$D17024,nESPEC,DATOS!$E17024,nASIG,DATOS!$I17024,nEVAL,"EX")=0),0))))</f>
      </c>
      <c r="H17024">
        <f>IF(DATOS!$G17024&lt;&gt;"EX",0,--(COUNTIFS(nNIA,DATOS!$A17024,nCURSO,DATOS!$D17024,nESPEC,DATOS!$E17024,nASIG,DATOS!$I17024,nEVAL,"OR")=0))</f>
      </c>
      <c r="I17024">
        <f>IF(DATOS!$I17024="","",IFERROR(VLOOKUP(DATOS!$I17024,CONFIG_ASIGNATURAS!$B$2:$J$91,9,FALSE()),""))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IF(DATOS!$A17025="",0,IF(CONFIG_METADATA!$B$4&lt;&gt;"OR+EX",--(DATOS!$G17025=CONFIG_METADATA!$B$4),IF(DATOS!$G17025="EX",1,IF(DATOS!$G17025="OR",--(COUNTIFS(nNIA,DATOS!$A17025,nCURSO,DATOS!$D17025,nESPEC,DATOS!$E17025,nASIG,DATOS!$I17025,nEVAL,"EX")=0),0))))</f>
      </c>
      <c r="H17025">
        <f>IF(DATOS!$G17025&lt;&gt;"EX",0,--(COUNTIFS(nNIA,DATOS!$A17025,nCURSO,DATOS!$D17025,nESPEC,DATOS!$E17025,nASIG,DATOS!$I17025,nEVAL,"OR")=0))</f>
      </c>
      <c r="I17025">
        <f>IF(DATOS!$I17025="","",IFERROR(VLOOKUP(DATOS!$I17025,CONFIG_ASIGNATURAS!$B$2:$J$91,9,FALSE()),""))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IF(DATOS!$A17026="",0,IF(CONFIG_METADATA!$B$4&lt;&gt;"OR+EX",--(DATOS!$G17026=CONFIG_METADATA!$B$4),IF(DATOS!$G17026="EX",1,IF(DATOS!$G17026="OR",--(COUNTIFS(nNIA,DATOS!$A17026,nCURSO,DATOS!$D17026,nESPEC,DATOS!$E17026,nASIG,DATOS!$I17026,nEVAL,"EX")=0),0))))</f>
      </c>
      <c r="H17026">
        <f>IF(DATOS!$G17026&lt;&gt;"EX",0,--(COUNTIFS(nNIA,DATOS!$A17026,nCURSO,DATOS!$D17026,nESPEC,DATOS!$E17026,nASIG,DATOS!$I17026,nEVAL,"OR")=0))</f>
      </c>
      <c r="I17026">
        <f>IF(DATOS!$I17026="","",IFERROR(VLOOKUP(DATOS!$I17026,CONFIG_ASIGNATURAS!$B$2:$J$91,9,FALSE()),""))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IF(DATOS!$A17027="",0,IF(CONFIG_METADATA!$B$4&lt;&gt;"OR+EX",--(DATOS!$G17027=CONFIG_METADATA!$B$4),IF(DATOS!$G17027="EX",1,IF(DATOS!$G17027="OR",--(COUNTIFS(nNIA,DATOS!$A17027,nCURSO,DATOS!$D17027,nESPEC,DATOS!$E17027,nASIG,DATOS!$I17027,nEVAL,"EX")=0),0))))</f>
      </c>
      <c r="H17027">
        <f>IF(DATOS!$G17027&lt;&gt;"EX",0,--(COUNTIFS(nNIA,DATOS!$A17027,nCURSO,DATOS!$D17027,nESPEC,DATOS!$E17027,nASIG,DATOS!$I17027,nEVAL,"OR")=0))</f>
      </c>
      <c r="I17027">
        <f>IF(DATOS!$I17027="","",IFERROR(VLOOKUP(DATOS!$I17027,CONFIG_ASIGNATURAS!$B$2:$J$91,9,FALSE()),""))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IF(DATOS!$A17028="",0,IF(CONFIG_METADATA!$B$4&lt;&gt;"OR+EX",--(DATOS!$G17028=CONFIG_METADATA!$B$4),IF(DATOS!$G17028="EX",1,IF(DATOS!$G17028="OR",--(COUNTIFS(nNIA,DATOS!$A17028,nCURSO,DATOS!$D17028,nESPEC,DATOS!$E17028,nASIG,DATOS!$I17028,nEVAL,"EX")=0),0))))</f>
      </c>
      <c r="H17028">
        <f>IF(DATOS!$G17028&lt;&gt;"EX",0,--(COUNTIFS(nNIA,DATOS!$A17028,nCURSO,DATOS!$D17028,nESPEC,DATOS!$E17028,nASIG,DATOS!$I17028,nEVAL,"OR")=0))</f>
      </c>
      <c r="I17028">
        <f>IF(DATOS!$I17028="","",IFERROR(VLOOKUP(DATOS!$I17028,CONFIG_ASIGNATURAS!$B$2:$J$91,9,FALSE()),""))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IF(DATOS!$A17029="",0,IF(CONFIG_METADATA!$B$4&lt;&gt;"OR+EX",--(DATOS!$G17029=CONFIG_METADATA!$B$4),IF(DATOS!$G17029="EX",1,IF(DATOS!$G17029="OR",--(COUNTIFS(nNIA,DATOS!$A17029,nCURSO,DATOS!$D17029,nESPEC,DATOS!$E17029,nASIG,DATOS!$I17029,nEVAL,"EX")=0),0))))</f>
      </c>
      <c r="H17029">
        <f>IF(DATOS!$G17029&lt;&gt;"EX",0,--(COUNTIFS(nNIA,DATOS!$A17029,nCURSO,DATOS!$D17029,nESPEC,DATOS!$E17029,nASIG,DATOS!$I17029,nEVAL,"OR")=0))</f>
      </c>
      <c r="I17029">
        <f>IF(DATOS!$I17029="","",IFERROR(VLOOKUP(DATOS!$I17029,CONFIG_ASIGNATURAS!$B$2:$J$91,9,FALSE()),""))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IF(DATOS!$A17030="",0,IF(CONFIG_METADATA!$B$4&lt;&gt;"OR+EX",--(DATOS!$G17030=CONFIG_METADATA!$B$4),IF(DATOS!$G17030="EX",1,IF(DATOS!$G17030="OR",--(COUNTIFS(nNIA,DATOS!$A17030,nCURSO,DATOS!$D17030,nESPEC,DATOS!$E17030,nASIG,DATOS!$I17030,nEVAL,"EX")=0),0))))</f>
      </c>
      <c r="H17030">
        <f>IF(DATOS!$G17030&lt;&gt;"EX",0,--(COUNTIFS(nNIA,DATOS!$A17030,nCURSO,DATOS!$D17030,nESPEC,DATOS!$E17030,nASIG,DATOS!$I17030,nEVAL,"OR")=0))</f>
      </c>
      <c r="I17030">
        <f>IF(DATOS!$I17030="","",IFERROR(VLOOKUP(DATOS!$I17030,CONFIG_ASIGNATURAS!$B$2:$J$91,9,FALSE()),""))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IF(DATOS!$A17031="",0,IF(CONFIG_METADATA!$B$4&lt;&gt;"OR+EX",--(DATOS!$G17031=CONFIG_METADATA!$B$4),IF(DATOS!$G17031="EX",1,IF(DATOS!$G17031="OR",--(COUNTIFS(nNIA,DATOS!$A17031,nCURSO,DATOS!$D17031,nESPEC,DATOS!$E17031,nASIG,DATOS!$I17031,nEVAL,"EX")=0),0))))</f>
      </c>
      <c r="H17031">
        <f>IF(DATOS!$G17031&lt;&gt;"EX",0,--(COUNTIFS(nNIA,DATOS!$A17031,nCURSO,DATOS!$D17031,nESPEC,DATOS!$E17031,nASIG,DATOS!$I17031,nEVAL,"OR")=0))</f>
      </c>
      <c r="I17031">
        <f>IF(DATOS!$I17031="","",IFERROR(VLOOKUP(DATOS!$I17031,CONFIG_ASIGNATURAS!$B$2:$J$91,9,FALSE()),""))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IF(DATOS!$A17032="",0,IF(CONFIG_METADATA!$B$4&lt;&gt;"OR+EX",--(DATOS!$G17032=CONFIG_METADATA!$B$4),IF(DATOS!$G17032="EX",1,IF(DATOS!$G17032="OR",--(COUNTIFS(nNIA,DATOS!$A17032,nCURSO,DATOS!$D17032,nESPEC,DATOS!$E17032,nASIG,DATOS!$I17032,nEVAL,"EX")=0),0))))</f>
      </c>
      <c r="H17032">
        <f>IF(DATOS!$G17032&lt;&gt;"EX",0,--(COUNTIFS(nNIA,DATOS!$A17032,nCURSO,DATOS!$D17032,nESPEC,DATOS!$E17032,nASIG,DATOS!$I17032,nEVAL,"OR")=0))</f>
      </c>
      <c r="I17032">
        <f>IF(DATOS!$I17032="","",IFERROR(VLOOKUP(DATOS!$I17032,CONFIG_ASIGNATURAS!$B$2:$J$91,9,FALSE()),""))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IF(DATOS!$A17033="",0,IF(CONFIG_METADATA!$B$4&lt;&gt;"OR+EX",--(DATOS!$G17033=CONFIG_METADATA!$B$4),IF(DATOS!$G17033="EX",1,IF(DATOS!$G17033="OR",--(COUNTIFS(nNIA,DATOS!$A17033,nCURSO,DATOS!$D17033,nESPEC,DATOS!$E17033,nASIG,DATOS!$I17033,nEVAL,"EX")=0),0))))</f>
      </c>
      <c r="H17033">
        <f>IF(DATOS!$G17033&lt;&gt;"EX",0,--(COUNTIFS(nNIA,DATOS!$A17033,nCURSO,DATOS!$D17033,nESPEC,DATOS!$E17033,nASIG,DATOS!$I17033,nEVAL,"OR")=0))</f>
      </c>
      <c r="I17033">
        <f>IF(DATOS!$I17033="","",IFERROR(VLOOKUP(DATOS!$I17033,CONFIG_ASIGNATURAS!$B$2:$J$91,9,FALSE()),""))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IF(DATOS!$A17034="",0,IF(CONFIG_METADATA!$B$4&lt;&gt;"OR+EX",--(DATOS!$G17034=CONFIG_METADATA!$B$4),IF(DATOS!$G17034="EX",1,IF(DATOS!$G17034="OR",--(COUNTIFS(nNIA,DATOS!$A17034,nCURSO,DATOS!$D17034,nESPEC,DATOS!$E17034,nASIG,DATOS!$I17034,nEVAL,"EX")=0),0))))</f>
      </c>
      <c r="H17034">
        <f>IF(DATOS!$G17034&lt;&gt;"EX",0,--(COUNTIFS(nNIA,DATOS!$A17034,nCURSO,DATOS!$D17034,nESPEC,DATOS!$E17034,nASIG,DATOS!$I17034,nEVAL,"OR")=0))</f>
      </c>
      <c r="I17034">
        <f>IF(DATOS!$I17034="","",IFERROR(VLOOKUP(DATOS!$I17034,CONFIG_ASIGNATURAS!$B$2:$J$91,9,FALSE()),""))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IF(DATOS!$A17035="",0,IF(CONFIG_METADATA!$B$4&lt;&gt;"OR+EX",--(DATOS!$G17035=CONFIG_METADATA!$B$4),IF(DATOS!$G17035="EX",1,IF(DATOS!$G17035="OR",--(COUNTIFS(nNIA,DATOS!$A17035,nCURSO,DATOS!$D17035,nESPEC,DATOS!$E17035,nASIG,DATOS!$I17035,nEVAL,"EX")=0),0))))</f>
      </c>
      <c r="H17035">
        <f>IF(DATOS!$G17035&lt;&gt;"EX",0,--(COUNTIFS(nNIA,DATOS!$A17035,nCURSO,DATOS!$D17035,nESPEC,DATOS!$E17035,nASIG,DATOS!$I17035,nEVAL,"OR")=0))</f>
      </c>
      <c r="I17035">
        <f>IF(DATOS!$I17035="","",IFERROR(VLOOKUP(DATOS!$I17035,CONFIG_ASIGNATURAS!$B$2:$J$91,9,FALSE()),""))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IF(DATOS!$A17036="",0,IF(CONFIG_METADATA!$B$4&lt;&gt;"OR+EX",--(DATOS!$G17036=CONFIG_METADATA!$B$4),IF(DATOS!$G17036="EX",1,IF(DATOS!$G17036="OR",--(COUNTIFS(nNIA,DATOS!$A17036,nCURSO,DATOS!$D17036,nESPEC,DATOS!$E17036,nASIG,DATOS!$I17036,nEVAL,"EX")=0),0))))</f>
      </c>
      <c r="H17036">
        <f>IF(DATOS!$G17036&lt;&gt;"EX",0,--(COUNTIFS(nNIA,DATOS!$A17036,nCURSO,DATOS!$D17036,nESPEC,DATOS!$E17036,nASIG,DATOS!$I17036,nEVAL,"OR")=0))</f>
      </c>
      <c r="I17036">
        <f>IF(DATOS!$I17036="","",IFERROR(VLOOKUP(DATOS!$I17036,CONFIG_ASIGNATURAS!$B$2:$J$91,9,FALSE()),""))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IF(DATOS!$A17037="",0,IF(CONFIG_METADATA!$B$4&lt;&gt;"OR+EX",--(DATOS!$G17037=CONFIG_METADATA!$B$4),IF(DATOS!$G17037="EX",1,IF(DATOS!$G17037="OR",--(COUNTIFS(nNIA,DATOS!$A17037,nCURSO,DATOS!$D17037,nESPEC,DATOS!$E17037,nASIG,DATOS!$I17037,nEVAL,"EX")=0),0))))</f>
      </c>
      <c r="H17037">
        <f>IF(DATOS!$G17037&lt;&gt;"EX",0,--(COUNTIFS(nNIA,DATOS!$A17037,nCURSO,DATOS!$D17037,nESPEC,DATOS!$E17037,nASIG,DATOS!$I17037,nEVAL,"OR")=0))</f>
      </c>
      <c r="I17037">
        <f>IF(DATOS!$I17037="","",IFERROR(VLOOKUP(DATOS!$I17037,CONFIG_ASIGNATURAS!$B$2:$J$91,9,FALSE()),""))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IF(DATOS!$A17038="",0,IF(CONFIG_METADATA!$B$4&lt;&gt;"OR+EX",--(DATOS!$G17038=CONFIG_METADATA!$B$4),IF(DATOS!$G17038="EX",1,IF(DATOS!$G17038="OR",--(COUNTIFS(nNIA,DATOS!$A17038,nCURSO,DATOS!$D17038,nESPEC,DATOS!$E17038,nASIG,DATOS!$I17038,nEVAL,"EX")=0),0))))</f>
      </c>
      <c r="H17038">
        <f>IF(DATOS!$G17038&lt;&gt;"EX",0,--(COUNTIFS(nNIA,DATOS!$A17038,nCURSO,DATOS!$D17038,nESPEC,DATOS!$E17038,nASIG,DATOS!$I17038,nEVAL,"OR")=0))</f>
      </c>
      <c r="I17038">
        <f>IF(DATOS!$I17038="","",IFERROR(VLOOKUP(DATOS!$I17038,CONFIG_ASIGNATURAS!$B$2:$J$91,9,FALSE()),""))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IF(DATOS!$A17039="",0,IF(CONFIG_METADATA!$B$4&lt;&gt;"OR+EX",--(DATOS!$G17039=CONFIG_METADATA!$B$4),IF(DATOS!$G17039="EX",1,IF(DATOS!$G17039="OR",--(COUNTIFS(nNIA,DATOS!$A17039,nCURSO,DATOS!$D17039,nESPEC,DATOS!$E17039,nASIG,DATOS!$I17039,nEVAL,"EX")=0),0))))</f>
      </c>
      <c r="H17039">
        <f>IF(DATOS!$G17039&lt;&gt;"EX",0,--(COUNTIFS(nNIA,DATOS!$A17039,nCURSO,DATOS!$D17039,nESPEC,DATOS!$E17039,nASIG,DATOS!$I17039,nEVAL,"OR")=0))</f>
      </c>
      <c r="I17039">
        <f>IF(DATOS!$I17039="","",IFERROR(VLOOKUP(DATOS!$I17039,CONFIG_ASIGNATURAS!$B$2:$J$91,9,FALSE()),""))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IF(DATOS!$A17040="",0,IF(CONFIG_METADATA!$B$4&lt;&gt;"OR+EX",--(DATOS!$G17040=CONFIG_METADATA!$B$4),IF(DATOS!$G17040="EX",1,IF(DATOS!$G17040="OR",--(COUNTIFS(nNIA,DATOS!$A17040,nCURSO,DATOS!$D17040,nESPEC,DATOS!$E17040,nASIG,DATOS!$I17040,nEVAL,"EX")=0),0))))</f>
      </c>
      <c r="H17040">
        <f>IF(DATOS!$G17040&lt;&gt;"EX",0,--(COUNTIFS(nNIA,DATOS!$A17040,nCURSO,DATOS!$D17040,nESPEC,DATOS!$E17040,nASIG,DATOS!$I17040,nEVAL,"OR")=0))</f>
      </c>
      <c r="I17040">
        <f>IF(DATOS!$I17040="","",IFERROR(VLOOKUP(DATOS!$I17040,CONFIG_ASIGNATURAS!$B$2:$J$91,9,FALSE()),""))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IF(DATOS!$A17041="",0,IF(CONFIG_METADATA!$B$4&lt;&gt;"OR+EX",--(DATOS!$G17041=CONFIG_METADATA!$B$4),IF(DATOS!$G17041="EX",1,IF(DATOS!$G17041="OR",--(COUNTIFS(nNIA,DATOS!$A17041,nCURSO,DATOS!$D17041,nESPEC,DATOS!$E17041,nASIG,DATOS!$I17041,nEVAL,"EX")=0),0))))</f>
      </c>
      <c r="H17041">
        <f>IF(DATOS!$G17041&lt;&gt;"EX",0,--(COUNTIFS(nNIA,DATOS!$A17041,nCURSO,DATOS!$D17041,nESPEC,DATOS!$E17041,nASIG,DATOS!$I17041,nEVAL,"OR")=0))</f>
      </c>
      <c r="I17041">
        <f>IF(DATOS!$I17041="","",IFERROR(VLOOKUP(DATOS!$I17041,CONFIG_ASIGNATURAS!$B$2:$J$91,9,FALSE()),""))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IF(DATOS!$A17042="",0,IF(CONFIG_METADATA!$B$4&lt;&gt;"OR+EX",--(DATOS!$G17042=CONFIG_METADATA!$B$4),IF(DATOS!$G17042="EX",1,IF(DATOS!$G17042="OR",--(COUNTIFS(nNIA,DATOS!$A17042,nCURSO,DATOS!$D17042,nESPEC,DATOS!$E17042,nASIG,DATOS!$I17042,nEVAL,"EX")=0),0))))</f>
      </c>
      <c r="H17042">
        <f>IF(DATOS!$G17042&lt;&gt;"EX",0,--(COUNTIFS(nNIA,DATOS!$A17042,nCURSO,DATOS!$D17042,nESPEC,DATOS!$E17042,nASIG,DATOS!$I17042,nEVAL,"OR")=0))</f>
      </c>
      <c r="I17042">
        <f>IF(DATOS!$I17042="","",IFERROR(VLOOKUP(DATOS!$I17042,CONFIG_ASIGNATURAS!$B$2:$J$91,9,FALSE()),""))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IF(DATOS!$A17043="",0,IF(CONFIG_METADATA!$B$4&lt;&gt;"OR+EX",--(DATOS!$G17043=CONFIG_METADATA!$B$4),IF(DATOS!$G17043="EX",1,IF(DATOS!$G17043="OR",--(COUNTIFS(nNIA,DATOS!$A17043,nCURSO,DATOS!$D17043,nESPEC,DATOS!$E17043,nASIG,DATOS!$I17043,nEVAL,"EX")=0),0))))</f>
      </c>
      <c r="H17043">
        <f>IF(DATOS!$G17043&lt;&gt;"EX",0,--(COUNTIFS(nNIA,DATOS!$A17043,nCURSO,DATOS!$D17043,nESPEC,DATOS!$E17043,nASIG,DATOS!$I17043,nEVAL,"OR")=0))</f>
      </c>
      <c r="I17043">
        <f>IF(DATOS!$I17043="","",IFERROR(VLOOKUP(DATOS!$I17043,CONFIG_ASIGNATURAS!$B$2:$J$91,9,FALSE()),""))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IF(DATOS!$A17044="",0,IF(CONFIG_METADATA!$B$4&lt;&gt;"OR+EX",--(DATOS!$G17044=CONFIG_METADATA!$B$4),IF(DATOS!$G17044="EX",1,IF(DATOS!$G17044="OR",--(COUNTIFS(nNIA,DATOS!$A17044,nCURSO,DATOS!$D17044,nESPEC,DATOS!$E17044,nASIG,DATOS!$I17044,nEVAL,"EX")=0),0))))</f>
      </c>
      <c r="H17044">
        <f>IF(DATOS!$G17044&lt;&gt;"EX",0,--(COUNTIFS(nNIA,DATOS!$A17044,nCURSO,DATOS!$D17044,nESPEC,DATOS!$E17044,nASIG,DATOS!$I17044,nEVAL,"OR")=0))</f>
      </c>
      <c r="I17044">
        <f>IF(DATOS!$I17044="","",IFERROR(VLOOKUP(DATOS!$I17044,CONFIG_ASIGNATURAS!$B$2:$J$91,9,FALSE()),""))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IF(DATOS!$A17045="",0,IF(CONFIG_METADATA!$B$4&lt;&gt;"OR+EX",--(DATOS!$G17045=CONFIG_METADATA!$B$4),IF(DATOS!$G17045="EX",1,IF(DATOS!$G17045="OR",--(COUNTIFS(nNIA,DATOS!$A17045,nCURSO,DATOS!$D17045,nESPEC,DATOS!$E17045,nASIG,DATOS!$I17045,nEVAL,"EX")=0),0))))</f>
      </c>
      <c r="H17045">
        <f>IF(DATOS!$G17045&lt;&gt;"EX",0,--(COUNTIFS(nNIA,DATOS!$A17045,nCURSO,DATOS!$D17045,nESPEC,DATOS!$E17045,nASIG,DATOS!$I17045,nEVAL,"OR")=0))</f>
      </c>
      <c r="I17045">
        <f>IF(DATOS!$I17045="","",IFERROR(VLOOKUP(DATOS!$I17045,CONFIG_ASIGNATURAS!$B$2:$J$91,9,FALSE()),""))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IF(DATOS!$A17046="",0,IF(CONFIG_METADATA!$B$4&lt;&gt;"OR+EX",--(DATOS!$G17046=CONFIG_METADATA!$B$4),IF(DATOS!$G17046="EX",1,IF(DATOS!$G17046="OR",--(COUNTIFS(nNIA,DATOS!$A17046,nCURSO,DATOS!$D17046,nESPEC,DATOS!$E17046,nASIG,DATOS!$I17046,nEVAL,"EX")=0),0))))</f>
      </c>
      <c r="H17046">
        <f>IF(DATOS!$G17046&lt;&gt;"EX",0,--(COUNTIFS(nNIA,DATOS!$A17046,nCURSO,DATOS!$D17046,nESPEC,DATOS!$E17046,nASIG,DATOS!$I17046,nEVAL,"OR")=0))</f>
      </c>
      <c r="I17046">
        <f>IF(DATOS!$I17046="","",IFERROR(VLOOKUP(DATOS!$I17046,CONFIG_ASIGNATURAS!$B$2:$J$91,9,FALSE()),""))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IF(DATOS!$A17047="",0,IF(CONFIG_METADATA!$B$4&lt;&gt;"OR+EX",--(DATOS!$G17047=CONFIG_METADATA!$B$4),IF(DATOS!$G17047="EX",1,IF(DATOS!$G17047="OR",--(COUNTIFS(nNIA,DATOS!$A17047,nCURSO,DATOS!$D17047,nESPEC,DATOS!$E17047,nASIG,DATOS!$I17047,nEVAL,"EX")=0),0))))</f>
      </c>
      <c r="H17047">
        <f>IF(DATOS!$G17047&lt;&gt;"EX",0,--(COUNTIFS(nNIA,DATOS!$A17047,nCURSO,DATOS!$D17047,nESPEC,DATOS!$E17047,nASIG,DATOS!$I17047,nEVAL,"OR")=0))</f>
      </c>
      <c r="I17047">
        <f>IF(DATOS!$I17047="","",IFERROR(VLOOKUP(DATOS!$I17047,CONFIG_ASIGNATURAS!$B$2:$J$91,9,FALSE()),""))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IF(DATOS!$A17048="",0,IF(CONFIG_METADATA!$B$4&lt;&gt;"OR+EX",--(DATOS!$G17048=CONFIG_METADATA!$B$4),IF(DATOS!$G17048="EX",1,IF(DATOS!$G17048="OR",--(COUNTIFS(nNIA,DATOS!$A17048,nCURSO,DATOS!$D17048,nESPEC,DATOS!$E17048,nASIG,DATOS!$I17048,nEVAL,"EX")=0),0))))</f>
      </c>
      <c r="H17048">
        <f>IF(DATOS!$G17048&lt;&gt;"EX",0,--(COUNTIFS(nNIA,DATOS!$A17048,nCURSO,DATOS!$D17048,nESPEC,DATOS!$E17048,nASIG,DATOS!$I17048,nEVAL,"OR")=0))</f>
      </c>
      <c r="I17048">
        <f>IF(DATOS!$I17048="","",IFERROR(VLOOKUP(DATOS!$I17048,CONFIG_ASIGNATURAS!$B$2:$J$91,9,FALSE()),""))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IF(DATOS!$A17049="",0,IF(CONFIG_METADATA!$B$4&lt;&gt;"OR+EX",--(DATOS!$G17049=CONFIG_METADATA!$B$4),IF(DATOS!$G17049="EX",1,IF(DATOS!$G17049="OR",--(COUNTIFS(nNIA,DATOS!$A17049,nCURSO,DATOS!$D17049,nESPEC,DATOS!$E17049,nASIG,DATOS!$I17049,nEVAL,"EX")=0),0))))</f>
      </c>
      <c r="H17049">
        <f>IF(DATOS!$G17049&lt;&gt;"EX",0,--(COUNTIFS(nNIA,DATOS!$A17049,nCURSO,DATOS!$D17049,nESPEC,DATOS!$E17049,nASIG,DATOS!$I17049,nEVAL,"OR")=0))</f>
      </c>
      <c r="I17049">
        <f>IF(DATOS!$I17049="","",IFERROR(VLOOKUP(DATOS!$I17049,CONFIG_ASIGNATURAS!$B$2:$J$91,9,FALSE()),""))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IF(DATOS!$A17050="",0,IF(CONFIG_METADATA!$B$4&lt;&gt;"OR+EX",--(DATOS!$G17050=CONFIG_METADATA!$B$4),IF(DATOS!$G17050="EX",1,IF(DATOS!$G17050="OR",--(COUNTIFS(nNIA,DATOS!$A17050,nCURSO,DATOS!$D17050,nESPEC,DATOS!$E17050,nASIG,DATOS!$I17050,nEVAL,"EX")=0),0))))</f>
      </c>
      <c r="H17050">
        <f>IF(DATOS!$G17050&lt;&gt;"EX",0,--(COUNTIFS(nNIA,DATOS!$A17050,nCURSO,DATOS!$D17050,nESPEC,DATOS!$E17050,nASIG,DATOS!$I17050,nEVAL,"OR")=0))</f>
      </c>
      <c r="I17050">
        <f>IF(DATOS!$I17050="","",IFERROR(VLOOKUP(DATOS!$I17050,CONFIG_ASIGNATURAS!$B$2:$J$91,9,FALSE()),""))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IF(DATOS!$A17051="",0,IF(CONFIG_METADATA!$B$4&lt;&gt;"OR+EX",--(DATOS!$G17051=CONFIG_METADATA!$B$4),IF(DATOS!$G17051="EX",1,IF(DATOS!$G17051="OR",--(COUNTIFS(nNIA,DATOS!$A17051,nCURSO,DATOS!$D17051,nESPEC,DATOS!$E17051,nASIG,DATOS!$I17051,nEVAL,"EX")=0),0))))</f>
      </c>
      <c r="H17051">
        <f>IF(DATOS!$G17051&lt;&gt;"EX",0,--(COUNTIFS(nNIA,DATOS!$A17051,nCURSO,DATOS!$D17051,nESPEC,DATOS!$E17051,nASIG,DATOS!$I17051,nEVAL,"OR")=0))</f>
      </c>
      <c r="I17051">
        <f>IF(DATOS!$I17051="","",IFERROR(VLOOKUP(DATOS!$I17051,CONFIG_ASIGNATURAS!$B$2:$J$91,9,FALSE()),""))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IF(DATOS!$A17052="",0,IF(CONFIG_METADATA!$B$4&lt;&gt;"OR+EX",--(DATOS!$G17052=CONFIG_METADATA!$B$4),IF(DATOS!$G17052="EX",1,IF(DATOS!$G17052="OR",--(COUNTIFS(nNIA,DATOS!$A17052,nCURSO,DATOS!$D17052,nESPEC,DATOS!$E17052,nASIG,DATOS!$I17052,nEVAL,"EX")=0),0))))</f>
      </c>
      <c r="H17052">
        <f>IF(DATOS!$G17052&lt;&gt;"EX",0,--(COUNTIFS(nNIA,DATOS!$A17052,nCURSO,DATOS!$D17052,nESPEC,DATOS!$E17052,nASIG,DATOS!$I17052,nEVAL,"OR")=0))</f>
      </c>
      <c r="I17052">
        <f>IF(DATOS!$I17052="","",IFERROR(VLOOKUP(DATOS!$I17052,CONFIG_ASIGNATURAS!$B$2:$J$91,9,FALSE()),""))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IF(DATOS!$A17053="",0,IF(CONFIG_METADATA!$B$4&lt;&gt;"OR+EX",--(DATOS!$G17053=CONFIG_METADATA!$B$4),IF(DATOS!$G17053="EX",1,IF(DATOS!$G17053="OR",--(COUNTIFS(nNIA,DATOS!$A17053,nCURSO,DATOS!$D17053,nESPEC,DATOS!$E17053,nASIG,DATOS!$I17053,nEVAL,"EX")=0),0))))</f>
      </c>
      <c r="H17053">
        <f>IF(DATOS!$G17053&lt;&gt;"EX",0,--(COUNTIFS(nNIA,DATOS!$A17053,nCURSO,DATOS!$D17053,nESPEC,DATOS!$E17053,nASIG,DATOS!$I17053,nEVAL,"OR")=0))</f>
      </c>
      <c r="I17053">
        <f>IF(DATOS!$I17053="","",IFERROR(VLOOKUP(DATOS!$I17053,CONFIG_ASIGNATURAS!$B$2:$J$91,9,FALSE()),""))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IF(DATOS!$A17054="",0,IF(CONFIG_METADATA!$B$4&lt;&gt;"OR+EX",--(DATOS!$G17054=CONFIG_METADATA!$B$4),IF(DATOS!$G17054="EX",1,IF(DATOS!$G17054="OR",--(COUNTIFS(nNIA,DATOS!$A17054,nCURSO,DATOS!$D17054,nESPEC,DATOS!$E17054,nASIG,DATOS!$I17054,nEVAL,"EX")=0),0))))</f>
      </c>
      <c r="H17054">
        <f>IF(DATOS!$G17054&lt;&gt;"EX",0,--(COUNTIFS(nNIA,DATOS!$A17054,nCURSO,DATOS!$D17054,nESPEC,DATOS!$E17054,nASIG,DATOS!$I17054,nEVAL,"OR")=0))</f>
      </c>
      <c r="I17054">
        <f>IF(DATOS!$I17054="","",IFERROR(VLOOKUP(DATOS!$I17054,CONFIG_ASIGNATURAS!$B$2:$J$91,9,FALSE()),""))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IF(DATOS!$A17055="",0,IF(CONFIG_METADATA!$B$4&lt;&gt;"OR+EX",--(DATOS!$G17055=CONFIG_METADATA!$B$4),IF(DATOS!$G17055="EX",1,IF(DATOS!$G17055="OR",--(COUNTIFS(nNIA,DATOS!$A17055,nCURSO,DATOS!$D17055,nESPEC,DATOS!$E17055,nASIG,DATOS!$I17055,nEVAL,"EX")=0),0))))</f>
      </c>
      <c r="H17055">
        <f>IF(DATOS!$G17055&lt;&gt;"EX",0,--(COUNTIFS(nNIA,DATOS!$A17055,nCURSO,DATOS!$D17055,nESPEC,DATOS!$E17055,nASIG,DATOS!$I17055,nEVAL,"OR")=0))</f>
      </c>
      <c r="I17055">
        <f>IF(DATOS!$I17055="","",IFERROR(VLOOKUP(DATOS!$I17055,CONFIG_ASIGNATURAS!$B$2:$J$91,9,FALSE()),""))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IF(DATOS!$A17056="",0,IF(CONFIG_METADATA!$B$4&lt;&gt;"OR+EX",--(DATOS!$G17056=CONFIG_METADATA!$B$4),IF(DATOS!$G17056="EX",1,IF(DATOS!$G17056="OR",--(COUNTIFS(nNIA,DATOS!$A17056,nCURSO,DATOS!$D17056,nESPEC,DATOS!$E17056,nASIG,DATOS!$I17056,nEVAL,"EX")=0),0))))</f>
      </c>
      <c r="H17056">
        <f>IF(DATOS!$G17056&lt;&gt;"EX",0,--(COUNTIFS(nNIA,DATOS!$A17056,nCURSO,DATOS!$D17056,nESPEC,DATOS!$E17056,nASIG,DATOS!$I17056,nEVAL,"OR")=0))</f>
      </c>
      <c r="I17056">
        <f>IF(DATOS!$I17056="","",IFERROR(VLOOKUP(DATOS!$I17056,CONFIG_ASIGNATURAS!$B$2:$J$91,9,FALSE()),""))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IF(DATOS!$A17057="",0,IF(CONFIG_METADATA!$B$4&lt;&gt;"OR+EX",--(DATOS!$G17057=CONFIG_METADATA!$B$4),IF(DATOS!$G17057="EX",1,IF(DATOS!$G17057="OR",--(COUNTIFS(nNIA,DATOS!$A17057,nCURSO,DATOS!$D17057,nESPEC,DATOS!$E17057,nASIG,DATOS!$I17057,nEVAL,"EX")=0),0))))</f>
      </c>
      <c r="H17057">
        <f>IF(DATOS!$G17057&lt;&gt;"EX",0,--(COUNTIFS(nNIA,DATOS!$A17057,nCURSO,DATOS!$D17057,nESPEC,DATOS!$E17057,nASIG,DATOS!$I17057,nEVAL,"OR")=0))</f>
      </c>
      <c r="I17057">
        <f>IF(DATOS!$I17057="","",IFERROR(VLOOKUP(DATOS!$I17057,CONFIG_ASIGNATURAS!$B$2:$J$91,9,FALSE()),""))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IF(DATOS!$A17058="",0,IF(CONFIG_METADATA!$B$4&lt;&gt;"OR+EX",--(DATOS!$G17058=CONFIG_METADATA!$B$4),IF(DATOS!$G17058="EX",1,IF(DATOS!$G17058="OR",--(COUNTIFS(nNIA,DATOS!$A17058,nCURSO,DATOS!$D17058,nESPEC,DATOS!$E17058,nASIG,DATOS!$I17058,nEVAL,"EX")=0),0))))</f>
      </c>
      <c r="H17058">
        <f>IF(DATOS!$G17058&lt;&gt;"EX",0,--(COUNTIFS(nNIA,DATOS!$A17058,nCURSO,DATOS!$D17058,nESPEC,DATOS!$E17058,nASIG,DATOS!$I17058,nEVAL,"OR")=0))</f>
      </c>
      <c r="I17058">
        <f>IF(DATOS!$I17058="","",IFERROR(VLOOKUP(DATOS!$I17058,CONFIG_ASIGNATURAS!$B$2:$J$91,9,FALSE()),""))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IF(DATOS!$A17059="",0,IF(CONFIG_METADATA!$B$4&lt;&gt;"OR+EX",--(DATOS!$G17059=CONFIG_METADATA!$B$4),IF(DATOS!$G17059="EX",1,IF(DATOS!$G17059="OR",--(COUNTIFS(nNIA,DATOS!$A17059,nCURSO,DATOS!$D17059,nESPEC,DATOS!$E17059,nASIG,DATOS!$I17059,nEVAL,"EX")=0),0))))</f>
      </c>
      <c r="H17059">
        <f>IF(DATOS!$G17059&lt;&gt;"EX",0,--(COUNTIFS(nNIA,DATOS!$A17059,nCURSO,DATOS!$D17059,nESPEC,DATOS!$E17059,nASIG,DATOS!$I17059,nEVAL,"OR")=0))</f>
      </c>
      <c r="I17059">
        <f>IF(DATOS!$I17059="","",IFERROR(VLOOKUP(DATOS!$I17059,CONFIG_ASIGNATURAS!$B$2:$J$91,9,FALSE()),""))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IF(DATOS!$A17060="",0,IF(CONFIG_METADATA!$B$4&lt;&gt;"OR+EX",--(DATOS!$G17060=CONFIG_METADATA!$B$4),IF(DATOS!$G17060="EX",1,IF(DATOS!$G17060="OR",--(COUNTIFS(nNIA,DATOS!$A17060,nCURSO,DATOS!$D17060,nESPEC,DATOS!$E17060,nASIG,DATOS!$I17060,nEVAL,"EX")=0),0))))</f>
      </c>
      <c r="H17060">
        <f>IF(DATOS!$G17060&lt;&gt;"EX",0,--(COUNTIFS(nNIA,DATOS!$A17060,nCURSO,DATOS!$D17060,nESPEC,DATOS!$E17060,nASIG,DATOS!$I17060,nEVAL,"OR")=0))</f>
      </c>
      <c r="I17060">
        <f>IF(DATOS!$I17060="","",IFERROR(VLOOKUP(DATOS!$I17060,CONFIG_ASIGNATURAS!$B$2:$J$91,9,FALSE()),""))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IF(DATOS!$A17061="",0,IF(CONFIG_METADATA!$B$4&lt;&gt;"OR+EX",--(DATOS!$G17061=CONFIG_METADATA!$B$4),IF(DATOS!$G17061="EX",1,IF(DATOS!$G17061="OR",--(COUNTIFS(nNIA,DATOS!$A17061,nCURSO,DATOS!$D17061,nESPEC,DATOS!$E17061,nASIG,DATOS!$I17061,nEVAL,"EX")=0),0))))</f>
      </c>
      <c r="H17061">
        <f>IF(DATOS!$G17061&lt;&gt;"EX",0,--(COUNTIFS(nNIA,DATOS!$A17061,nCURSO,DATOS!$D17061,nESPEC,DATOS!$E17061,nASIG,DATOS!$I17061,nEVAL,"OR")=0))</f>
      </c>
      <c r="I17061">
        <f>IF(DATOS!$I17061="","",IFERROR(VLOOKUP(DATOS!$I17061,CONFIG_ASIGNATURAS!$B$2:$J$91,9,FALSE()),""))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IF(DATOS!$A17062="",0,IF(CONFIG_METADATA!$B$4&lt;&gt;"OR+EX",--(DATOS!$G17062=CONFIG_METADATA!$B$4),IF(DATOS!$G17062="EX",1,IF(DATOS!$G17062="OR",--(COUNTIFS(nNIA,DATOS!$A17062,nCURSO,DATOS!$D17062,nESPEC,DATOS!$E17062,nASIG,DATOS!$I17062,nEVAL,"EX")=0),0))))</f>
      </c>
      <c r="H17062">
        <f>IF(DATOS!$G17062&lt;&gt;"EX",0,--(COUNTIFS(nNIA,DATOS!$A17062,nCURSO,DATOS!$D17062,nESPEC,DATOS!$E17062,nASIG,DATOS!$I17062,nEVAL,"OR")=0))</f>
      </c>
      <c r="I17062">
        <f>IF(DATOS!$I17062="","",IFERROR(VLOOKUP(DATOS!$I17062,CONFIG_ASIGNATURAS!$B$2:$J$91,9,FALSE()),""))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IF(DATOS!$A17063="",0,IF(CONFIG_METADATA!$B$4&lt;&gt;"OR+EX",--(DATOS!$G17063=CONFIG_METADATA!$B$4),IF(DATOS!$G17063="EX",1,IF(DATOS!$G17063="OR",--(COUNTIFS(nNIA,DATOS!$A17063,nCURSO,DATOS!$D17063,nESPEC,DATOS!$E17063,nASIG,DATOS!$I17063,nEVAL,"EX")=0),0))))</f>
      </c>
      <c r="H17063">
        <f>IF(DATOS!$G17063&lt;&gt;"EX",0,--(COUNTIFS(nNIA,DATOS!$A17063,nCURSO,DATOS!$D17063,nESPEC,DATOS!$E17063,nASIG,DATOS!$I17063,nEVAL,"OR")=0))</f>
      </c>
      <c r="I17063">
        <f>IF(DATOS!$I17063="","",IFERROR(VLOOKUP(DATOS!$I17063,CONFIG_ASIGNATURAS!$B$2:$J$91,9,FALSE()),""))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IF(DATOS!$A17064="",0,IF(CONFIG_METADATA!$B$4&lt;&gt;"OR+EX",--(DATOS!$G17064=CONFIG_METADATA!$B$4),IF(DATOS!$G17064="EX",1,IF(DATOS!$G17064="OR",--(COUNTIFS(nNIA,DATOS!$A17064,nCURSO,DATOS!$D17064,nESPEC,DATOS!$E17064,nASIG,DATOS!$I17064,nEVAL,"EX")=0),0))))</f>
      </c>
      <c r="H17064">
        <f>IF(DATOS!$G17064&lt;&gt;"EX",0,--(COUNTIFS(nNIA,DATOS!$A17064,nCURSO,DATOS!$D17064,nESPEC,DATOS!$E17064,nASIG,DATOS!$I17064,nEVAL,"OR")=0))</f>
      </c>
      <c r="I17064">
        <f>IF(DATOS!$I17064="","",IFERROR(VLOOKUP(DATOS!$I17064,CONFIG_ASIGNATURAS!$B$2:$J$91,9,FALSE()),""))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IF(DATOS!$A17065="",0,IF(CONFIG_METADATA!$B$4&lt;&gt;"OR+EX",--(DATOS!$G17065=CONFIG_METADATA!$B$4),IF(DATOS!$G17065="EX",1,IF(DATOS!$G17065="OR",--(COUNTIFS(nNIA,DATOS!$A17065,nCURSO,DATOS!$D17065,nESPEC,DATOS!$E17065,nASIG,DATOS!$I17065,nEVAL,"EX")=0),0))))</f>
      </c>
      <c r="H17065">
        <f>IF(DATOS!$G17065&lt;&gt;"EX",0,--(COUNTIFS(nNIA,DATOS!$A17065,nCURSO,DATOS!$D17065,nESPEC,DATOS!$E17065,nASIG,DATOS!$I17065,nEVAL,"OR")=0))</f>
      </c>
      <c r="I17065">
        <f>IF(DATOS!$I17065="","",IFERROR(VLOOKUP(DATOS!$I17065,CONFIG_ASIGNATURAS!$B$2:$J$91,9,FALSE()),""))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IF(DATOS!$A17066="",0,IF(CONFIG_METADATA!$B$4&lt;&gt;"OR+EX",--(DATOS!$G17066=CONFIG_METADATA!$B$4),IF(DATOS!$G17066="EX",1,IF(DATOS!$G17066="OR",--(COUNTIFS(nNIA,DATOS!$A17066,nCURSO,DATOS!$D17066,nESPEC,DATOS!$E17066,nASIG,DATOS!$I17066,nEVAL,"EX")=0),0))))</f>
      </c>
      <c r="H17066">
        <f>IF(DATOS!$G17066&lt;&gt;"EX",0,--(COUNTIFS(nNIA,DATOS!$A17066,nCURSO,DATOS!$D17066,nESPEC,DATOS!$E17066,nASIG,DATOS!$I17066,nEVAL,"OR")=0))</f>
      </c>
      <c r="I17066">
        <f>IF(DATOS!$I17066="","",IFERROR(VLOOKUP(DATOS!$I17066,CONFIG_ASIGNATURAS!$B$2:$J$91,9,FALSE()),""))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IF(DATOS!$A17067="",0,IF(CONFIG_METADATA!$B$4&lt;&gt;"OR+EX",--(DATOS!$G17067=CONFIG_METADATA!$B$4),IF(DATOS!$G17067="EX",1,IF(DATOS!$G17067="OR",--(COUNTIFS(nNIA,DATOS!$A17067,nCURSO,DATOS!$D17067,nESPEC,DATOS!$E17067,nASIG,DATOS!$I17067,nEVAL,"EX")=0),0))))</f>
      </c>
      <c r="H17067">
        <f>IF(DATOS!$G17067&lt;&gt;"EX",0,--(COUNTIFS(nNIA,DATOS!$A17067,nCURSO,DATOS!$D17067,nESPEC,DATOS!$E17067,nASIG,DATOS!$I17067,nEVAL,"OR")=0))</f>
      </c>
      <c r="I17067">
        <f>IF(DATOS!$I17067="","",IFERROR(VLOOKUP(DATOS!$I17067,CONFIG_ASIGNATURAS!$B$2:$J$91,9,FALSE()),""))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IF(DATOS!$A17068="",0,IF(CONFIG_METADATA!$B$4&lt;&gt;"OR+EX",--(DATOS!$G17068=CONFIG_METADATA!$B$4),IF(DATOS!$G17068="EX",1,IF(DATOS!$G17068="OR",--(COUNTIFS(nNIA,DATOS!$A17068,nCURSO,DATOS!$D17068,nESPEC,DATOS!$E17068,nASIG,DATOS!$I17068,nEVAL,"EX")=0),0))))</f>
      </c>
      <c r="H17068">
        <f>IF(DATOS!$G17068&lt;&gt;"EX",0,--(COUNTIFS(nNIA,DATOS!$A17068,nCURSO,DATOS!$D17068,nESPEC,DATOS!$E17068,nASIG,DATOS!$I17068,nEVAL,"OR")=0))</f>
      </c>
      <c r="I17068">
        <f>IF(DATOS!$I17068="","",IFERROR(VLOOKUP(DATOS!$I17068,CONFIG_ASIGNATURAS!$B$2:$J$91,9,FALSE()),""))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IF(DATOS!$A17069="",0,IF(CONFIG_METADATA!$B$4&lt;&gt;"OR+EX",--(DATOS!$G17069=CONFIG_METADATA!$B$4),IF(DATOS!$G17069="EX",1,IF(DATOS!$G17069="OR",--(COUNTIFS(nNIA,DATOS!$A17069,nCURSO,DATOS!$D17069,nESPEC,DATOS!$E17069,nASIG,DATOS!$I17069,nEVAL,"EX")=0),0))))</f>
      </c>
      <c r="H17069">
        <f>IF(DATOS!$G17069&lt;&gt;"EX",0,--(COUNTIFS(nNIA,DATOS!$A17069,nCURSO,DATOS!$D17069,nESPEC,DATOS!$E17069,nASIG,DATOS!$I17069,nEVAL,"OR")=0))</f>
      </c>
      <c r="I17069">
        <f>IF(DATOS!$I17069="","",IFERROR(VLOOKUP(DATOS!$I17069,CONFIG_ASIGNATURAS!$B$2:$J$91,9,FALSE()),""))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IF(DATOS!$A17070="",0,IF(CONFIG_METADATA!$B$4&lt;&gt;"OR+EX",--(DATOS!$G17070=CONFIG_METADATA!$B$4),IF(DATOS!$G17070="EX",1,IF(DATOS!$G17070="OR",--(COUNTIFS(nNIA,DATOS!$A17070,nCURSO,DATOS!$D17070,nESPEC,DATOS!$E17070,nASIG,DATOS!$I17070,nEVAL,"EX")=0),0))))</f>
      </c>
      <c r="H17070">
        <f>IF(DATOS!$G17070&lt;&gt;"EX",0,--(COUNTIFS(nNIA,DATOS!$A17070,nCURSO,DATOS!$D17070,nESPEC,DATOS!$E17070,nASIG,DATOS!$I17070,nEVAL,"OR")=0))</f>
      </c>
      <c r="I17070">
        <f>IF(DATOS!$I17070="","",IFERROR(VLOOKUP(DATOS!$I17070,CONFIG_ASIGNATURAS!$B$2:$J$91,9,FALSE()),""))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IF(DATOS!$A17071="",0,IF(CONFIG_METADATA!$B$4&lt;&gt;"OR+EX",--(DATOS!$G17071=CONFIG_METADATA!$B$4),IF(DATOS!$G17071="EX",1,IF(DATOS!$G17071="OR",--(COUNTIFS(nNIA,DATOS!$A17071,nCURSO,DATOS!$D17071,nESPEC,DATOS!$E17071,nASIG,DATOS!$I17071,nEVAL,"EX")=0),0))))</f>
      </c>
      <c r="H17071">
        <f>IF(DATOS!$G17071&lt;&gt;"EX",0,--(COUNTIFS(nNIA,DATOS!$A17071,nCURSO,DATOS!$D17071,nESPEC,DATOS!$E17071,nASIG,DATOS!$I17071,nEVAL,"OR")=0))</f>
      </c>
      <c r="I17071">
        <f>IF(DATOS!$I17071="","",IFERROR(VLOOKUP(DATOS!$I17071,CONFIG_ASIGNATURAS!$B$2:$J$91,9,FALSE()),""))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IF(DATOS!$A17072="",0,IF(CONFIG_METADATA!$B$4&lt;&gt;"OR+EX",--(DATOS!$G17072=CONFIG_METADATA!$B$4),IF(DATOS!$G17072="EX",1,IF(DATOS!$G17072="OR",--(COUNTIFS(nNIA,DATOS!$A17072,nCURSO,DATOS!$D17072,nESPEC,DATOS!$E17072,nASIG,DATOS!$I17072,nEVAL,"EX")=0),0))))</f>
      </c>
      <c r="H17072">
        <f>IF(DATOS!$G17072&lt;&gt;"EX",0,--(COUNTIFS(nNIA,DATOS!$A17072,nCURSO,DATOS!$D17072,nESPEC,DATOS!$E17072,nASIG,DATOS!$I17072,nEVAL,"OR")=0))</f>
      </c>
      <c r="I17072">
        <f>IF(DATOS!$I17072="","",IFERROR(VLOOKUP(DATOS!$I17072,CONFIG_ASIGNATURAS!$B$2:$J$91,9,FALSE()),""))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IF(DATOS!$A17073="",0,IF(CONFIG_METADATA!$B$4&lt;&gt;"OR+EX",--(DATOS!$G17073=CONFIG_METADATA!$B$4),IF(DATOS!$G17073="EX",1,IF(DATOS!$G17073="OR",--(COUNTIFS(nNIA,DATOS!$A17073,nCURSO,DATOS!$D17073,nESPEC,DATOS!$E17073,nASIG,DATOS!$I17073,nEVAL,"EX")=0),0))))</f>
      </c>
      <c r="H17073">
        <f>IF(DATOS!$G17073&lt;&gt;"EX",0,--(COUNTIFS(nNIA,DATOS!$A17073,nCURSO,DATOS!$D17073,nESPEC,DATOS!$E17073,nASIG,DATOS!$I17073,nEVAL,"OR")=0))</f>
      </c>
      <c r="I17073">
        <f>IF(DATOS!$I17073="","",IFERROR(VLOOKUP(DATOS!$I17073,CONFIG_ASIGNATURAS!$B$2:$J$91,9,FALSE()),""))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IF(DATOS!$A17074="",0,IF(CONFIG_METADATA!$B$4&lt;&gt;"OR+EX",--(DATOS!$G17074=CONFIG_METADATA!$B$4),IF(DATOS!$G17074="EX",1,IF(DATOS!$G17074="OR",--(COUNTIFS(nNIA,DATOS!$A17074,nCURSO,DATOS!$D17074,nESPEC,DATOS!$E17074,nASIG,DATOS!$I17074,nEVAL,"EX")=0),0))))</f>
      </c>
      <c r="H17074">
        <f>IF(DATOS!$G17074&lt;&gt;"EX",0,--(COUNTIFS(nNIA,DATOS!$A17074,nCURSO,DATOS!$D17074,nESPEC,DATOS!$E17074,nASIG,DATOS!$I17074,nEVAL,"OR")=0))</f>
      </c>
      <c r="I17074">
        <f>IF(DATOS!$I17074="","",IFERROR(VLOOKUP(DATOS!$I17074,CONFIG_ASIGNATURAS!$B$2:$J$91,9,FALSE()),""))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IF(DATOS!$A17075="",0,IF(CONFIG_METADATA!$B$4&lt;&gt;"OR+EX",--(DATOS!$G17075=CONFIG_METADATA!$B$4),IF(DATOS!$G17075="EX",1,IF(DATOS!$G17075="OR",--(COUNTIFS(nNIA,DATOS!$A17075,nCURSO,DATOS!$D17075,nESPEC,DATOS!$E17075,nASIG,DATOS!$I17075,nEVAL,"EX")=0),0))))</f>
      </c>
      <c r="H17075">
        <f>IF(DATOS!$G17075&lt;&gt;"EX",0,--(COUNTIFS(nNIA,DATOS!$A17075,nCURSO,DATOS!$D17075,nESPEC,DATOS!$E17075,nASIG,DATOS!$I17075,nEVAL,"OR")=0))</f>
      </c>
      <c r="I17075">
        <f>IF(DATOS!$I17075="","",IFERROR(VLOOKUP(DATOS!$I17075,CONFIG_ASIGNATURAS!$B$2:$J$91,9,FALSE()),""))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IF(DATOS!$A17076="",0,IF(CONFIG_METADATA!$B$4&lt;&gt;"OR+EX",--(DATOS!$G17076=CONFIG_METADATA!$B$4),IF(DATOS!$G17076="EX",1,IF(DATOS!$G17076="OR",--(COUNTIFS(nNIA,DATOS!$A17076,nCURSO,DATOS!$D17076,nESPEC,DATOS!$E17076,nASIG,DATOS!$I17076,nEVAL,"EX")=0),0))))</f>
      </c>
      <c r="H17076">
        <f>IF(DATOS!$G17076&lt;&gt;"EX",0,--(COUNTIFS(nNIA,DATOS!$A17076,nCURSO,DATOS!$D17076,nESPEC,DATOS!$E17076,nASIG,DATOS!$I17076,nEVAL,"OR")=0))</f>
      </c>
      <c r="I17076">
        <f>IF(DATOS!$I17076="","",IFERROR(VLOOKUP(DATOS!$I17076,CONFIG_ASIGNATURAS!$B$2:$J$91,9,FALSE()),""))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IF(DATOS!$A17077="",0,IF(CONFIG_METADATA!$B$4&lt;&gt;"OR+EX",--(DATOS!$G17077=CONFIG_METADATA!$B$4),IF(DATOS!$G17077="EX",1,IF(DATOS!$G17077="OR",--(COUNTIFS(nNIA,DATOS!$A17077,nCURSO,DATOS!$D17077,nESPEC,DATOS!$E17077,nASIG,DATOS!$I17077,nEVAL,"EX")=0),0))))</f>
      </c>
      <c r="H17077">
        <f>IF(DATOS!$G17077&lt;&gt;"EX",0,--(COUNTIFS(nNIA,DATOS!$A17077,nCURSO,DATOS!$D17077,nESPEC,DATOS!$E17077,nASIG,DATOS!$I17077,nEVAL,"OR")=0))</f>
      </c>
      <c r="I17077">
        <f>IF(DATOS!$I17077="","",IFERROR(VLOOKUP(DATOS!$I17077,CONFIG_ASIGNATURAS!$B$2:$J$91,9,FALSE()),""))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IF(DATOS!$A17078="",0,IF(CONFIG_METADATA!$B$4&lt;&gt;"OR+EX",--(DATOS!$G17078=CONFIG_METADATA!$B$4),IF(DATOS!$G17078="EX",1,IF(DATOS!$G17078="OR",--(COUNTIFS(nNIA,DATOS!$A17078,nCURSO,DATOS!$D17078,nESPEC,DATOS!$E17078,nASIG,DATOS!$I17078,nEVAL,"EX")=0),0))))</f>
      </c>
      <c r="H17078">
        <f>IF(DATOS!$G17078&lt;&gt;"EX",0,--(COUNTIFS(nNIA,DATOS!$A17078,nCURSO,DATOS!$D17078,nESPEC,DATOS!$E17078,nASIG,DATOS!$I17078,nEVAL,"OR")=0))</f>
      </c>
      <c r="I17078">
        <f>IF(DATOS!$I17078="","",IFERROR(VLOOKUP(DATOS!$I17078,CONFIG_ASIGNATURAS!$B$2:$J$91,9,FALSE()),""))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IF(DATOS!$A17079="",0,IF(CONFIG_METADATA!$B$4&lt;&gt;"OR+EX",--(DATOS!$G17079=CONFIG_METADATA!$B$4),IF(DATOS!$G17079="EX",1,IF(DATOS!$G17079="OR",--(COUNTIFS(nNIA,DATOS!$A17079,nCURSO,DATOS!$D17079,nESPEC,DATOS!$E17079,nASIG,DATOS!$I17079,nEVAL,"EX")=0),0))))</f>
      </c>
      <c r="H17079">
        <f>IF(DATOS!$G17079&lt;&gt;"EX",0,--(COUNTIFS(nNIA,DATOS!$A17079,nCURSO,DATOS!$D17079,nESPEC,DATOS!$E17079,nASIG,DATOS!$I17079,nEVAL,"OR")=0))</f>
      </c>
      <c r="I17079">
        <f>IF(DATOS!$I17079="","",IFERROR(VLOOKUP(DATOS!$I17079,CONFIG_ASIGNATURAS!$B$2:$J$91,9,FALSE()),""))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IF(DATOS!$A17080="",0,IF(CONFIG_METADATA!$B$4&lt;&gt;"OR+EX",--(DATOS!$G17080=CONFIG_METADATA!$B$4),IF(DATOS!$G17080="EX",1,IF(DATOS!$G17080="OR",--(COUNTIFS(nNIA,DATOS!$A17080,nCURSO,DATOS!$D17080,nESPEC,DATOS!$E17080,nASIG,DATOS!$I17080,nEVAL,"EX")=0),0))))</f>
      </c>
      <c r="H17080">
        <f>IF(DATOS!$G17080&lt;&gt;"EX",0,--(COUNTIFS(nNIA,DATOS!$A17080,nCURSO,DATOS!$D17080,nESPEC,DATOS!$E17080,nASIG,DATOS!$I17080,nEVAL,"OR")=0))</f>
      </c>
      <c r="I17080">
        <f>IF(DATOS!$I17080="","",IFERROR(VLOOKUP(DATOS!$I17080,CONFIG_ASIGNATURAS!$B$2:$J$91,9,FALSE()),""))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IF(DATOS!$A17081="",0,IF(CONFIG_METADATA!$B$4&lt;&gt;"OR+EX",--(DATOS!$G17081=CONFIG_METADATA!$B$4),IF(DATOS!$G17081="EX",1,IF(DATOS!$G17081="OR",--(COUNTIFS(nNIA,DATOS!$A17081,nCURSO,DATOS!$D17081,nESPEC,DATOS!$E17081,nASIG,DATOS!$I17081,nEVAL,"EX")=0),0))))</f>
      </c>
      <c r="H17081">
        <f>IF(DATOS!$G17081&lt;&gt;"EX",0,--(COUNTIFS(nNIA,DATOS!$A17081,nCURSO,DATOS!$D17081,nESPEC,DATOS!$E17081,nASIG,DATOS!$I17081,nEVAL,"OR")=0))</f>
      </c>
      <c r="I17081">
        <f>IF(DATOS!$I17081="","",IFERROR(VLOOKUP(DATOS!$I17081,CONFIG_ASIGNATURAS!$B$2:$J$91,9,FALSE()),""))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IF(DATOS!$A17082="",0,IF(CONFIG_METADATA!$B$4&lt;&gt;"OR+EX",--(DATOS!$G17082=CONFIG_METADATA!$B$4),IF(DATOS!$G17082="EX",1,IF(DATOS!$G17082="OR",--(COUNTIFS(nNIA,DATOS!$A17082,nCURSO,DATOS!$D17082,nESPEC,DATOS!$E17082,nASIG,DATOS!$I17082,nEVAL,"EX")=0),0))))</f>
      </c>
      <c r="H17082">
        <f>IF(DATOS!$G17082&lt;&gt;"EX",0,--(COUNTIFS(nNIA,DATOS!$A17082,nCURSO,DATOS!$D17082,nESPEC,DATOS!$E17082,nASIG,DATOS!$I17082,nEVAL,"OR")=0))</f>
      </c>
      <c r="I17082">
        <f>IF(DATOS!$I17082="","",IFERROR(VLOOKUP(DATOS!$I17082,CONFIG_ASIGNATURAS!$B$2:$J$91,9,FALSE()),""))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IF(DATOS!$A17083="",0,IF(CONFIG_METADATA!$B$4&lt;&gt;"OR+EX",--(DATOS!$G17083=CONFIG_METADATA!$B$4),IF(DATOS!$G17083="EX",1,IF(DATOS!$G17083="OR",--(COUNTIFS(nNIA,DATOS!$A17083,nCURSO,DATOS!$D17083,nESPEC,DATOS!$E17083,nASIG,DATOS!$I17083,nEVAL,"EX")=0),0))))</f>
      </c>
      <c r="H17083">
        <f>IF(DATOS!$G17083&lt;&gt;"EX",0,--(COUNTIFS(nNIA,DATOS!$A17083,nCURSO,DATOS!$D17083,nESPEC,DATOS!$E17083,nASIG,DATOS!$I17083,nEVAL,"OR")=0))</f>
      </c>
      <c r="I17083">
        <f>IF(DATOS!$I17083="","",IFERROR(VLOOKUP(DATOS!$I17083,CONFIG_ASIGNATURAS!$B$2:$J$91,9,FALSE()),""))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IF(DATOS!$A17084="",0,IF(CONFIG_METADATA!$B$4&lt;&gt;"OR+EX",--(DATOS!$G17084=CONFIG_METADATA!$B$4),IF(DATOS!$G17084="EX",1,IF(DATOS!$G17084="OR",--(COUNTIFS(nNIA,DATOS!$A17084,nCURSO,DATOS!$D17084,nESPEC,DATOS!$E17084,nASIG,DATOS!$I17084,nEVAL,"EX")=0),0))))</f>
      </c>
      <c r="H17084">
        <f>IF(DATOS!$G17084&lt;&gt;"EX",0,--(COUNTIFS(nNIA,DATOS!$A17084,nCURSO,DATOS!$D17084,nESPEC,DATOS!$E17084,nASIG,DATOS!$I17084,nEVAL,"OR")=0))</f>
      </c>
      <c r="I17084">
        <f>IF(DATOS!$I17084="","",IFERROR(VLOOKUP(DATOS!$I17084,CONFIG_ASIGNATURAS!$B$2:$J$91,9,FALSE()),""))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IF(DATOS!$A17085="",0,IF(CONFIG_METADATA!$B$4&lt;&gt;"OR+EX",--(DATOS!$G17085=CONFIG_METADATA!$B$4),IF(DATOS!$G17085="EX",1,IF(DATOS!$G17085="OR",--(COUNTIFS(nNIA,DATOS!$A17085,nCURSO,DATOS!$D17085,nESPEC,DATOS!$E17085,nASIG,DATOS!$I17085,nEVAL,"EX")=0),0))))</f>
      </c>
      <c r="H17085">
        <f>IF(DATOS!$G17085&lt;&gt;"EX",0,--(COUNTIFS(nNIA,DATOS!$A17085,nCURSO,DATOS!$D17085,nESPEC,DATOS!$E17085,nASIG,DATOS!$I17085,nEVAL,"OR")=0))</f>
      </c>
      <c r="I17085">
        <f>IF(DATOS!$I17085="","",IFERROR(VLOOKUP(DATOS!$I17085,CONFIG_ASIGNATURAS!$B$2:$J$91,9,FALSE()),""))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IF(DATOS!$A17086="",0,IF(CONFIG_METADATA!$B$4&lt;&gt;"OR+EX",--(DATOS!$G17086=CONFIG_METADATA!$B$4),IF(DATOS!$G17086="EX",1,IF(DATOS!$G17086="OR",--(COUNTIFS(nNIA,DATOS!$A17086,nCURSO,DATOS!$D17086,nESPEC,DATOS!$E17086,nASIG,DATOS!$I17086,nEVAL,"EX")=0),0))))</f>
      </c>
      <c r="H17086">
        <f>IF(DATOS!$G17086&lt;&gt;"EX",0,--(COUNTIFS(nNIA,DATOS!$A17086,nCURSO,DATOS!$D17086,nESPEC,DATOS!$E17086,nASIG,DATOS!$I17086,nEVAL,"OR")=0))</f>
      </c>
      <c r="I17086">
        <f>IF(DATOS!$I17086="","",IFERROR(VLOOKUP(DATOS!$I17086,CONFIG_ASIGNATURAS!$B$2:$J$91,9,FALSE()),""))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IF(DATOS!$A17087="",0,IF(CONFIG_METADATA!$B$4&lt;&gt;"OR+EX",--(DATOS!$G17087=CONFIG_METADATA!$B$4),IF(DATOS!$G17087="EX",1,IF(DATOS!$G17087="OR",--(COUNTIFS(nNIA,DATOS!$A17087,nCURSO,DATOS!$D17087,nESPEC,DATOS!$E17087,nASIG,DATOS!$I17087,nEVAL,"EX")=0),0))))</f>
      </c>
      <c r="H17087">
        <f>IF(DATOS!$G17087&lt;&gt;"EX",0,--(COUNTIFS(nNIA,DATOS!$A17087,nCURSO,DATOS!$D17087,nESPEC,DATOS!$E17087,nASIG,DATOS!$I17087,nEVAL,"OR")=0))</f>
      </c>
      <c r="I17087">
        <f>IF(DATOS!$I17087="","",IFERROR(VLOOKUP(DATOS!$I17087,CONFIG_ASIGNATURAS!$B$2:$J$91,9,FALSE()),""))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IF(DATOS!$A17088="",0,IF(CONFIG_METADATA!$B$4&lt;&gt;"OR+EX",--(DATOS!$G17088=CONFIG_METADATA!$B$4),IF(DATOS!$G17088="EX",1,IF(DATOS!$G17088="OR",--(COUNTIFS(nNIA,DATOS!$A17088,nCURSO,DATOS!$D17088,nESPEC,DATOS!$E17088,nASIG,DATOS!$I17088,nEVAL,"EX")=0),0))))</f>
      </c>
      <c r="H17088">
        <f>IF(DATOS!$G17088&lt;&gt;"EX",0,--(COUNTIFS(nNIA,DATOS!$A17088,nCURSO,DATOS!$D17088,nESPEC,DATOS!$E17088,nASIG,DATOS!$I17088,nEVAL,"OR")=0))</f>
      </c>
      <c r="I17088">
        <f>IF(DATOS!$I17088="","",IFERROR(VLOOKUP(DATOS!$I17088,CONFIG_ASIGNATURAS!$B$2:$J$91,9,FALSE()),""))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IF(DATOS!$A17089="",0,IF(CONFIG_METADATA!$B$4&lt;&gt;"OR+EX",--(DATOS!$G17089=CONFIG_METADATA!$B$4),IF(DATOS!$G17089="EX",1,IF(DATOS!$G17089="OR",--(COUNTIFS(nNIA,DATOS!$A17089,nCURSO,DATOS!$D17089,nESPEC,DATOS!$E17089,nASIG,DATOS!$I17089,nEVAL,"EX")=0),0))))</f>
      </c>
      <c r="H17089">
        <f>IF(DATOS!$G17089&lt;&gt;"EX",0,--(COUNTIFS(nNIA,DATOS!$A17089,nCURSO,DATOS!$D17089,nESPEC,DATOS!$E17089,nASIG,DATOS!$I17089,nEVAL,"OR")=0))</f>
      </c>
      <c r="I17089">
        <f>IF(DATOS!$I17089="","",IFERROR(VLOOKUP(DATOS!$I17089,CONFIG_ASIGNATURAS!$B$2:$J$91,9,FALSE()),""))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IF(DATOS!$A17090="",0,IF(CONFIG_METADATA!$B$4&lt;&gt;"OR+EX",--(DATOS!$G17090=CONFIG_METADATA!$B$4),IF(DATOS!$G17090="EX",1,IF(DATOS!$G17090="OR",--(COUNTIFS(nNIA,DATOS!$A17090,nCURSO,DATOS!$D17090,nESPEC,DATOS!$E17090,nASIG,DATOS!$I17090,nEVAL,"EX")=0),0))))</f>
      </c>
      <c r="H17090">
        <f>IF(DATOS!$G17090&lt;&gt;"EX",0,--(COUNTIFS(nNIA,DATOS!$A17090,nCURSO,DATOS!$D17090,nESPEC,DATOS!$E17090,nASIG,DATOS!$I17090,nEVAL,"OR")=0))</f>
      </c>
      <c r="I17090">
        <f>IF(DATOS!$I17090="","",IFERROR(VLOOKUP(DATOS!$I17090,CONFIG_ASIGNATURAS!$B$2:$J$91,9,FALSE()),""))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IF(DATOS!$A17091="",0,IF(CONFIG_METADATA!$B$4&lt;&gt;"OR+EX",--(DATOS!$G17091=CONFIG_METADATA!$B$4),IF(DATOS!$G17091="EX",1,IF(DATOS!$G17091="OR",--(COUNTIFS(nNIA,DATOS!$A17091,nCURSO,DATOS!$D17091,nESPEC,DATOS!$E17091,nASIG,DATOS!$I17091,nEVAL,"EX")=0),0))))</f>
      </c>
      <c r="H17091">
        <f>IF(DATOS!$G17091&lt;&gt;"EX",0,--(COUNTIFS(nNIA,DATOS!$A17091,nCURSO,DATOS!$D17091,nESPEC,DATOS!$E17091,nASIG,DATOS!$I17091,nEVAL,"OR")=0))</f>
      </c>
      <c r="I17091">
        <f>IF(DATOS!$I17091="","",IFERROR(VLOOKUP(DATOS!$I17091,CONFIG_ASIGNATURAS!$B$2:$J$91,9,FALSE()),""))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IF(DATOS!$A17092="",0,IF(CONFIG_METADATA!$B$4&lt;&gt;"OR+EX",--(DATOS!$G17092=CONFIG_METADATA!$B$4),IF(DATOS!$G17092="EX",1,IF(DATOS!$G17092="OR",--(COUNTIFS(nNIA,DATOS!$A17092,nCURSO,DATOS!$D17092,nESPEC,DATOS!$E17092,nASIG,DATOS!$I17092,nEVAL,"EX")=0),0))))</f>
      </c>
      <c r="H17092">
        <f>IF(DATOS!$G17092&lt;&gt;"EX",0,--(COUNTIFS(nNIA,DATOS!$A17092,nCURSO,DATOS!$D17092,nESPEC,DATOS!$E17092,nASIG,DATOS!$I17092,nEVAL,"OR")=0))</f>
      </c>
      <c r="I17092">
        <f>IF(DATOS!$I17092="","",IFERROR(VLOOKUP(DATOS!$I17092,CONFIG_ASIGNATURAS!$B$2:$J$91,9,FALSE()),""))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IF(DATOS!$A17093="",0,IF(CONFIG_METADATA!$B$4&lt;&gt;"OR+EX",--(DATOS!$G17093=CONFIG_METADATA!$B$4),IF(DATOS!$G17093="EX",1,IF(DATOS!$G17093="OR",--(COUNTIFS(nNIA,DATOS!$A17093,nCURSO,DATOS!$D17093,nESPEC,DATOS!$E17093,nASIG,DATOS!$I17093,nEVAL,"EX")=0),0))))</f>
      </c>
      <c r="H17093">
        <f>IF(DATOS!$G17093&lt;&gt;"EX",0,--(COUNTIFS(nNIA,DATOS!$A17093,nCURSO,DATOS!$D17093,nESPEC,DATOS!$E17093,nASIG,DATOS!$I17093,nEVAL,"OR")=0))</f>
      </c>
      <c r="I17093">
        <f>IF(DATOS!$I17093="","",IFERROR(VLOOKUP(DATOS!$I17093,CONFIG_ASIGNATURAS!$B$2:$J$91,9,FALSE()),""))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IF(DATOS!$A17094="",0,IF(CONFIG_METADATA!$B$4&lt;&gt;"OR+EX",--(DATOS!$G17094=CONFIG_METADATA!$B$4),IF(DATOS!$G17094="EX",1,IF(DATOS!$G17094="OR",--(COUNTIFS(nNIA,DATOS!$A17094,nCURSO,DATOS!$D17094,nESPEC,DATOS!$E17094,nASIG,DATOS!$I17094,nEVAL,"EX")=0),0))))</f>
      </c>
      <c r="H17094">
        <f>IF(DATOS!$G17094&lt;&gt;"EX",0,--(COUNTIFS(nNIA,DATOS!$A17094,nCURSO,DATOS!$D17094,nESPEC,DATOS!$E17094,nASIG,DATOS!$I17094,nEVAL,"OR")=0))</f>
      </c>
      <c r="I17094">
        <f>IF(DATOS!$I17094="","",IFERROR(VLOOKUP(DATOS!$I17094,CONFIG_ASIGNATURAS!$B$2:$J$91,9,FALSE()),""))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IF(DATOS!$A17095="",0,IF(CONFIG_METADATA!$B$4&lt;&gt;"OR+EX",--(DATOS!$G17095=CONFIG_METADATA!$B$4),IF(DATOS!$G17095="EX",1,IF(DATOS!$G17095="OR",--(COUNTIFS(nNIA,DATOS!$A17095,nCURSO,DATOS!$D17095,nESPEC,DATOS!$E17095,nASIG,DATOS!$I17095,nEVAL,"EX")=0),0))))</f>
      </c>
      <c r="H17095">
        <f>IF(DATOS!$G17095&lt;&gt;"EX",0,--(COUNTIFS(nNIA,DATOS!$A17095,nCURSO,DATOS!$D17095,nESPEC,DATOS!$E17095,nASIG,DATOS!$I17095,nEVAL,"OR")=0))</f>
      </c>
      <c r="I17095">
        <f>IF(DATOS!$I17095="","",IFERROR(VLOOKUP(DATOS!$I17095,CONFIG_ASIGNATURAS!$B$2:$J$91,9,FALSE()),""))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IF(DATOS!$A17096="",0,IF(CONFIG_METADATA!$B$4&lt;&gt;"OR+EX",--(DATOS!$G17096=CONFIG_METADATA!$B$4),IF(DATOS!$G17096="EX",1,IF(DATOS!$G17096="OR",--(COUNTIFS(nNIA,DATOS!$A17096,nCURSO,DATOS!$D17096,nESPEC,DATOS!$E17096,nASIG,DATOS!$I17096,nEVAL,"EX")=0),0))))</f>
      </c>
      <c r="H17096">
        <f>IF(DATOS!$G17096&lt;&gt;"EX",0,--(COUNTIFS(nNIA,DATOS!$A17096,nCURSO,DATOS!$D17096,nESPEC,DATOS!$E17096,nASIG,DATOS!$I17096,nEVAL,"OR")=0))</f>
      </c>
      <c r="I17096">
        <f>IF(DATOS!$I17096="","",IFERROR(VLOOKUP(DATOS!$I17096,CONFIG_ASIGNATURAS!$B$2:$J$91,9,FALSE()),""))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IF(DATOS!$A17097="",0,IF(CONFIG_METADATA!$B$4&lt;&gt;"OR+EX",--(DATOS!$G17097=CONFIG_METADATA!$B$4),IF(DATOS!$G17097="EX",1,IF(DATOS!$G17097="OR",--(COUNTIFS(nNIA,DATOS!$A17097,nCURSO,DATOS!$D17097,nESPEC,DATOS!$E17097,nASIG,DATOS!$I17097,nEVAL,"EX")=0),0))))</f>
      </c>
      <c r="H17097">
        <f>IF(DATOS!$G17097&lt;&gt;"EX",0,--(COUNTIFS(nNIA,DATOS!$A17097,nCURSO,DATOS!$D17097,nESPEC,DATOS!$E17097,nASIG,DATOS!$I17097,nEVAL,"OR")=0))</f>
      </c>
      <c r="I17097">
        <f>IF(DATOS!$I17097="","",IFERROR(VLOOKUP(DATOS!$I17097,CONFIG_ASIGNATURAS!$B$2:$J$91,9,FALSE()),""))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IF(DATOS!$A17098="",0,IF(CONFIG_METADATA!$B$4&lt;&gt;"OR+EX",--(DATOS!$G17098=CONFIG_METADATA!$B$4),IF(DATOS!$G17098="EX",1,IF(DATOS!$G17098="OR",--(COUNTIFS(nNIA,DATOS!$A17098,nCURSO,DATOS!$D17098,nESPEC,DATOS!$E17098,nASIG,DATOS!$I17098,nEVAL,"EX")=0),0))))</f>
      </c>
      <c r="H17098">
        <f>IF(DATOS!$G17098&lt;&gt;"EX",0,--(COUNTIFS(nNIA,DATOS!$A17098,nCURSO,DATOS!$D17098,nESPEC,DATOS!$E17098,nASIG,DATOS!$I17098,nEVAL,"OR")=0))</f>
      </c>
      <c r="I17098">
        <f>IF(DATOS!$I17098="","",IFERROR(VLOOKUP(DATOS!$I17098,CONFIG_ASIGNATURAS!$B$2:$J$91,9,FALSE()),""))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IF(DATOS!$A17099="",0,IF(CONFIG_METADATA!$B$4&lt;&gt;"OR+EX",--(DATOS!$G17099=CONFIG_METADATA!$B$4),IF(DATOS!$G17099="EX",1,IF(DATOS!$G17099="OR",--(COUNTIFS(nNIA,DATOS!$A17099,nCURSO,DATOS!$D17099,nESPEC,DATOS!$E17099,nASIG,DATOS!$I17099,nEVAL,"EX")=0),0))))</f>
      </c>
      <c r="H17099">
        <f>IF(DATOS!$G17099&lt;&gt;"EX",0,--(COUNTIFS(nNIA,DATOS!$A17099,nCURSO,DATOS!$D17099,nESPEC,DATOS!$E17099,nASIG,DATOS!$I17099,nEVAL,"OR")=0))</f>
      </c>
      <c r="I17099">
        <f>IF(DATOS!$I17099="","",IFERROR(VLOOKUP(DATOS!$I17099,CONFIG_ASIGNATURAS!$B$2:$J$91,9,FALSE()),""))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IF(DATOS!$A17100="",0,IF(CONFIG_METADATA!$B$4&lt;&gt;"OR+EX",--(DATOS!$G17100=CONFIG_METADATA!$B$4),IF(DATOS!$G17100="EX",1,IF(DATOS!$G17100="OR",--(COUNTIFS(nNIA,DATOS!$A17100,nCURSO,DATOS!$D17100,nESPEC,DATOS!$E17100,nASIG,DATOS!$I17100,nEVAL,"EX")=0),0))))</f>
      </c>
      <c r="H17100">
        <f>IF(DATOS!$G17100&lt;&gt;"EX",0,--(COUNTIFS(nNIA,DATOS!$A17100,nCURSO,DATOS!$D17100,nESPEC,DATOS!$E17100,nASIG,DATOS!$I17100,nEVAL,"OR")=0))</f>
      </c>
      <c r="I17100">
        <f>IF(DATOS!$I17100="","",IFERROR(VLOOKUP(DATOS!$I17100,CONFIG_ASIGNATURAS!$B$2:$J$91,9,FALSE()),""))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IF(DATOS!$A17101="",0,IF(CONFIG_METADATA!$B$4&lt;&gt;"OR+EX",--(DATOS!$G17101=CONFIG_METADATA!$B$4),IF(DATOS!$G17101="EX",1,IF(DATOS!$G17101="OR",--(COUNTIFS(nNIA,DATOS!$A17101,nCURSO,DATOS!$D17101,nESPEC,DATOS!$E17101,nASIG,DATOS!$I17101,nEVAL,"EX")=0),0))))</f>
      </c>
      <c r="H17101">
        <f>IF(DATOS!$G17101&lt;&gt;"EX",0,--(COUNTIFS(nNIA,DATOS!$A17101,nCURSO,DATOS!$D17101,nESPEC,DATOS!$E17101,nASIG,DATOS!$I17101,nEVAL,"OR")=0))</f>
      </c>
      <c r="I17101">
        <f>IF(DATOS!$I17101="","",IFERROR(VLOOKUP(DATOS!$I17101,CONFIG_ASIGNATURAS!$B$2:$J$91,9,FALSE()),""))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IF(DATOS!$A17102="",0,IF(CONFIG_METADATA!$B$4&lt;&gt;"OR+EX",--(DATOS!$G17102=CONFIG_METADATA!$B$4),IF(DATOS!$G17102="EX",1,IF(DATOS!$G17102="OR",--(COUNTIFS(nNIA,DATOS!$A17102,nCURSO,DATOS!$D17102,nESPEC,DATOS!$E17102,nASIG,DATOS!$I17102,nEVAL,"EX")=0),0))))</f>
      </c>
      <c r="H17102">
        <f>IF(DATOS!$G17102&lt;&gt;"EX",0,--(COUNTIFS(nNIA,DATOS!$A17102,nCURSO,DATOS!$D17102,nESPEC,DATOS!$E17102,nASIG,DATOS!$I17102,nEVAL,"OR")=0))</f>
      </c>
      <c r="I17102">
        <f>IF(DATOS!$I17102="","",IFERROR(VLOOKUP(DATOS!$I17102,CONFIG_ASIGNATURAS!$B$2:$J$91,9,FALSE()),""))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IF(DATOS!$A17103="",0,IF(CONFIG_METADATA!$B$4&lt;&gt;"OR+EX",--(DATOS!$G17103=CONFIG_METADATA!$B$4),IF(DATOS!$G17103="EX",1,IF(DATOS!$G17103="OR",--(COUNTIFS(nNIA,DATOS!$A17103,nCURSO,DATOS!$D17103,nESPEC,DATOS!$E17103,nASIG,DATOS!$I17103,nEVAL,"EX")=0),0))))</f>
      </c>
      <c r="H17103">
        <f>IF(DATOS!$G17103&lt;&gt;"EX",0,--(COUNTIFS(nNIA,DATOS!$A17103,nCURSO,DATOS!$D17103,nESPEC,DATOS!$E17103,nASIG,DATOS!$I17103,nEVAL,"OR")=0))</f>
      </c>
      <c r="I17103">
        <f>IF(DATOS!$I17103="","",IFERROR(VLOOKUP(DATOS!$I17103,CONFIG_ASIGNATURAS!$B$2:$J$91,9,FALSE()),""))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IF(DATOS!$A17104="",0,IF(CONFIG_METADATA!$B$4&lt;&gt;"OR+EX",--(DATOS!$G17104=CONFIG_METADATA!$B$4),IF(DATOS!$G17104="EX",1,IF(DATOS!$G17104="OR",--(COUNTIFS(nNIA,DATOS!$A17104,nCURSO,DATOS!$D17104,nESPEC,DATOS!$E17104,nASIG,DATOS!$I17104,nEVAL,"EX")=0),0))))</f>
      </c>
      <c r="H17104">
        <f>IF(DATOS!$G17104&lt;&gt;"EX",0,--(COUNTIFS(nNIA,DATOS!$A17104,nCURSO,DATOS!$D17104,nESPEC,DATOS!$E17104,nASIG,DATOS!$I17104,nEVAL,"OR")=0))</f>
      </c>
      <c r="I17104">
        <f>IF(DATOS!$I17104="","",IFERROR(VLOOKUP(DATOS!$I17104,CONFIG_ASIGNATURAS!$B$2:$J$91,9,FALSE()),""))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IF(DATOS!$A17105="",0,IF(CONFIG_METADATA!$B$4&lt;&gt;"OR+EX",--(DATOS!$G17105=CONFIG_METADATA!$B$4),IF(DATOS!$G17105="EX",1,IF(DATOS!$G17105="OR",--(COUNTIFS(nNIA,DATOS!$A17105,nCURSO,DATOS!$D17105,nESPEC,DATOS!$E17105,nASIG,DATOS!$I17105,nEVAL,"EX")=0),0))))</f>
      </c>
      <c r="H17105">
        <f>IF(DATOS!$G17105&lt;&gt;"EX",0,--(COUNTIFS(nNIA,DATOS!$A17105,nCURSO,DATOS!$D17105,nESPEC,DATOS!$E17105,nASIG,DATOS!$I17105,nEVAL,"OR")=0))</f>
      </c>
      <c r="I17105">
        <f>IF(DATOS!$I17105="","",IFERROR(VLOOKUP(DATOS!$I17105,CONFIG_ASIGNATURAS!$B$2:$J$91,9,FALSE()),""))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IF(DATOS!$A17106="",0,IF(CONFIG_METADATA!$B$4&lt;&gt;"OR+EX",--(DATOS!$G17106=CONFIG_METADATA!$B$4),IF(DATOS!$G17106="EX",1,IF(DATOS!$G17106="OR",--(COUNTIFS(nNIA,DATOS!$A17106,nCURSO,DATOS!$D17106,nESPEC,DATOS!$E17106,nASIG,DATOS!$I17106,nEVAL,"EX")=0),0))))</f>
      </c>
      <c r="H17106">
        <f>IF(DATOS!$G17106&lt;&gt;"EX",0,--(COUNTIFS(nNIA,DATOS!$A17106,nCURSO,DATOS!$D17106,nESPEC,DATOS!$E17106,nASIG,DATOS!$I17106,nEVAL,"OR")=0))</f>
      </c>
      <c r="I17106">
        <f>IF(DATOS!$I17106="","",IFERROR(VLOOKUP(DATOS!$I17106,CONFIG_ASIGNATURAS!$B$2:$J$91,9,FALSE()),""))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IF(DATOS!$A17107="",0,IF(CONFIG_METADATA!$B$4&lt;&gt;"OR+EX",--(DATOS!$G17107=CONFIG_METADATA!$B$4),IF(DATOS!$G17107="EX",1,IF(DATOS!$G17107="OR",--(COUNTIFS(nNIA,DATOS!$A17107,nCURSO,DATOS!$D17107,nESPEC,DATOS!$E17107,nASIG,DATOS!$I17107,nEVAL,"EX")=0),0))))</f>
      </c>
      <c r="H17107">
        <f>IF(DATOS!$G17107&lt;&gt;"EX",0,--(COUNTIFS(nNIA,DATOS!$A17107,nCURSO,DATOS!$D17107,nESPEC,DATOS!$E17107,nASIG,DATOS!$I17107,nEVAL,"OR")=0))</f>
      </c>
      <c r="I17107">
        <f>IF(DATOS!$I17107="","",IFERROR(VLOOKUP(DATOS!$I17107,CONFIG_ASIGNATURAS!$B$2:$J$91,9,FALSE()),""))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IF(DATOS!$A17108="",0,IF(CONFIG_METADATA!$B$4&lt;&gt;"OR+EX",--(DATOS!$G17108=CONFIG_METADATA!$B$4),IF(DATOS!$G17108="EX",1,IF(DATOS!$G17108="OR",--(COUNTIFS(nNIA,DATOS!$A17108,nCURSO,DATOS!$D17108,nESPEC,DATOS!$E17108,nASIG,DATOS!$I17108,nEVAL,"EX")=0),0))))</f>
      </c>
      <c r="H17108">
        <f>IF(DATOS!$G17108&lt;&gt;"EX",0,--(COUNTIFS(nNIA,DATOS!$A17108,nCURSO,DATOS!$D17108,nESPEC,DATOS!$E17108,nASIG,DATOS!$I17108,nEVAL,"OR")=0))</f>
      </c>
      <c r="I17108">
        <f>IF(DATOS!$I17108="","",IFERROR(VLOOKUP(DATOS!$I17108,CONFIG_ASIGNATURAS!$B$2:$J$91,9,FALSE()),""))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IF(DATOS!$A17109="",0,IF(CONFIG_METADATA!$B$4&lt;&gt;"OR+EX",--(DATOS!$G17109=CONFIG_METADATA!$B$4),IF(DATOS!$G17109="EX",1,IF(DATOS!$G17109="OR",--(COUNTIFS(nNIA,DATOS!$A17109,nCURSO,DATOS!$D17109,nESPEC,DATOS!$E17109,nASIG,DATOS!$I17109,nEVAL,"EX")=0),0))))</f>
      </c>
      <c r="H17109">
        <f>IF(DATOS!$G17109&lt;&gt;"EX",0,--(COUNTIFS(nNIA,DATOS!$A17109,nCURSO,DATOS!$D17109,nESPEC,DATOS!$E17109,nASIG,DATOS!$I17109,nEVAL,"OR")=0))</f>
      </c>
      <c r="I17109">
        <f>IF(DATOS!$I17109="","",IFERROR(VLOOKUP(DATOS!$I17109,CONFIG_ASIGNATURAS!$B$2:$J$91,9,FALSE()),""))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IF(DATOS!$A17110="",0,IF(CONFIG_METADATA!$B$4&lt;&gt;"OR+EX",--(DATOS!$G17110=CONFIG_METADATA!$B$4),IF(DATOS!$G17110="EX",1,IF(DATOS!$G17110="OR",--(COUNTIFS(nNIA,DATOS!$A17110,nCURSO,DATOS!$D17110,nESPEC,DATOS!$E17110,nASIG,DATOS!$I17110,nEVAL,"EX")=0),0))))</f>
      </c>
      <c r="H17110">
        <f>IF(DATOS!$G17110&lt;&gt;"EX",0,--(COUNTIFS(nNIA,DATOS!$A17110,nCURSO,DATOS!$D17110,nESPEC,DATOS!$E17110,nASIG,DATOS!$I17110,nEVAL,"OR")=0))</f>
      </c>
      <c r="I17110">
        <f>IF(DATOS!$I17110="","",IFERROR(VLOOKUP(DATOS!$I17110,CONFIG_ASIGNATURAS!$B$2:$J$91,9,FALSE()),""))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IF(DATOS!$A17111="",0,IF(CONFIG_METADATA!$B$4&lt;&gt;"OR+EX",--(DATOS!$G17111=CONFIG_METADATA!$B$4),IF(DATOS!$G17111="EX",1,IF(DATOS!$G17111="OR",--(COUNTIFS(nNIA,DATOS!$A17111,nCURSO,DATOS!$D17111,nESPEC,DATOS!$E17111,nASIG,DATOS!$I17111,nEVAL,"EX")=0),0))))</f>
      </c>
      <c r="H17111">
        <f>IF(DATOS!$G17111&lt;&gt;"EX",0,--(COUNTIFS(nNIA,DATOS!$A17111,nCURSO,DATOS!$D17111,nESPEC,DATOS!$E17111,nASIG,DATOS!$I17111,nEVAL,"OR")=0))</f>
      </c>
      <c r="I17111">
        <f>IF(DATOS!$I17111="","",IFERROR(VLOOKUP(DATOS!$I17111,CONFIG_ASIGNATURAS!$B$2:$J$91,9,FALSE()),""))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IF(DATOS!$A17112="",0,IF(CONFIG_METADATA!$B$4&lt;&gt;"OR+EX",--(DATOS!$G17112=CONFIG_METADATA!$B$4),IF(DATOS!$G17112="EX",1,IF(DATOS!$G17112="OR",--(COUNTIFS(nNIA,DATOS!$A17112,nCURSO,DATOS!$D17112,nESPEC,DATOS!$E17112,nASIG,DATOS!$I17112,nEVAL,"EX")=0),0))))</f>
      </c>
      <c r="H17112">
        <f>IF(DATOS!$G17112&lt;&gt;"EX",0,--(COUNTIFS(nNIA,DATOS!$A17112,nCURSO,DATOS!$D17112,nESPEC,DATOS!$E17112,nASIG,DATOS!$I17112,nEVAL,"OR")=0))</f>
      </c>
      <c r="I17112">
        <f>IF(DATOS!$I17112="","",IFERROR(VLOOKUP(DATOS!$I17112,CONFIG_ASIGNATURAS!$B$2:$J$91,9,FALSE()),""))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IF(DATOS!$A17113="",0,IF(CONFIG_METADATA!$B$4&lt;&gt;"OR+EX",--(DATOS!$G17113=CONFIG_METADATA!$B$4),IF(DATOS!$G17113="EX",1,IF(DATOS!$G17113="OR",--(COUNTIFS(nNIA,DATOS!$A17113,nCURSO,DATOS!$D17113,nESPEC,DATOS!$E17113,nASIG,DATOS!$I17113,nEVAL,"EX")=0),0))))</f>
      </c>
      <c r="H17113">
        <f>IF(DATOS!$G17113&lt;&gt;"EX",0,--(COUNTIFS(nNIA,DATOS!$A17113,nCURSO,DATOS!$D17113,nESPEC,DATOS!$E17113,nASIG,DATOS!$I17113,nEVAL,"OR")=0))</f>
      </c>
      <c r="I17113">
        <f>IF(DATOS!$I17113="","",IFERROR(VLOOKUP(DATOS!$I17113,CONFIG_ASIGNATURAS!$B$2:$J$91,9,FALSE()),""))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IF(DATOS!$A17114="",0,IF(CONFIG_METADATA!$B$4&lt;&gt;"OR+EX",--(DATOS!$G17114=CONFIG_METADATA!$B$4),IF(DATOS!$G17114="EX",1,IF(DATOS!$G17114="OR",--(COUNTIFS(nNIA,DATOS!$A17114,nCURSO,DATOS!$D17114,nESPEC,DATOS!$E17114,nASIG,DATOS!$I17114,nEVAL,"EX")=0),0))))</f>
      </c>
      <c r="H17114">
        <f>IF(DATOS!$G17114&lt;&gt;"EX",0,--(COUNTIFS(nNIA,DATOS!$A17114,nCURSO,DATOS!$D17114,nESPEC,DATOS!$E17114,nASIG,DATOS!$I17114,nEVAL,"OR")=0))</f>
      </c>
      <c r="I17114">
        <f>IF(DATOS!$I17114="","",IFERROR(VLOOKUP(DATOS!$I17114,CONFIG_ASIGNATURAS!$B$2:$J$91,9,FALSE()),""))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IF(DATOS!$A17115="",0,IF(CONFIG_METADATA!$B$4&lt;&gt;"OR+EX",--(DATOS!$G17115=CONFIG_METADATA!$B$4),IF(DATOS!$G17115="EX",1,IF(DATOS!$G17115="OR",--(COUNTIFS(nNIA,DATOS!$A17115,nCURSO,DATOS!$D17115,nESPEC,DATOS!$E17115,nASIG,DATOS!$I17115,nEVAL,"EX")=0),0))))</f>
      </c>
      <c r="H17115">
        <f>IF(DATOS!$G17115&lt;&gt;"EX",0,--(COUNTIFS(nNIA,DATOS!$A17115,nCURSO,DATOS!$D17115,nESPEC,DATOS!$E17115,nASIG,DATOS!$I17115,nEVAL,"OR")=0))</f>
      </c>
      <c r="I17115">
        <f>IF(DATOS!$I17115="","",IFERROR(VLOOKUP(DATOS!$I17115,CONFIG_ASIGNATURAS!$B$2:$J$91,9,FALSE()),""))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IF(DATOS!$A17116="",0,IF(CONFIG_METADATA!$B$4&lt;&gt;"OR+EX",--(DATOS!$G17116=CONFIG_METADATA!$B$4),IF(DATOS!$G17116="EX",1,IF(DATOS!$G17116="OR",--(COUNTIFS(nNIA,DATOS!$A17116,nCURSO,DATOS!$D17116,nESPEC,DATOS!$E17116,nASIG,DATOS!$I17116,nEVAL,"EX")=0),0))))</f>
      </c>
      <c r="H17116">
        <f>IF(DATOS!$G17116&lt;&gt;"EX",0,--(COUNTIFS(nNIA,DATOS!$A17116,nCURSO,DATOS!$D17116,nESPEC,DATOS!$E17116,nASIG,DATOS!$I17116,nEVAL,"OR")=0))</f>
      </c>
      <c r="I17116">
        <f>IF(DATOS!$I17116="","",IFERROR(VLOOKUP(DATOS!$I17116,CONFIG_ASIGNATURAS!$B$2:$J$91,9,FALSE()),""))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IF(DATOS!$A17117="",0,IF(CONFIG_METADATA!$B$4&lt;&gt;"OR+EX",--(DATOS!$G17117=CONFIG_METADATA!$B$4),IF(DATOS!$G17117="EX",1,IF(DATOS!$G17117="OR",--(COUNTIFS(nNIA,DATOS!$A17117,nCURSO,DATOS!$D17117,nESPEC,DATOS!$E17117,nASIG,DATOS!$I17117,nEVAL,"EX")=0),0))))</f>
      </c>
      <c r="H17117">
        <f>IF(DATOS!$G17117&lt;&gt;"EX",0,--(COUNTIFS(nNIA,DATOS!$A17117,nCURSO,DATOS!$D17117,nESPEC,DATOS!$E17117,nASIG,DATOS!$I17117,nEVAL,"OR")=0))</f>
      </c>
      <c r="I17117">
        <f>IF(DATOS!$I17117="","",IFERROR(VLOOKUP(DATOS!$I17117,CONFIG_ASIGNATURAS!$B$2:$J$91,9,FALSE()),""))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IF(DATOS!$A17118="",0,IF(CONFIG_METADATA!$B$4&lt;&gt;"OR+EX",--(DATOS!$G17118=CONFIG_METADATA!$B$4),IF(DATOS!$G17118="EX",1,IF(DATOS!$G17118="OR",--(COUNTIFS(nNIA,DATOS!$A17118,nCURSO,DATOS!$D17118,nESPEC,DATOS!$E17118,nASIG,DATOS!$I17118,nEVAL,"EX")=0),0))))</f>
      </c>
      <c r="H17118">
        <f>IF(DATOS!$G17118&lt;&gt;"EX",0,--(COUNTIFS(nNIA,DATOS!$A17118,nCURSO,DATOS!$D17118,nESPEC,DATOS!$E17118,nASIG,DATOS!$I17118,nEVAL,"OR")=0))</f>
      </c>
      <c r="I17118">
        <f>IF(DATOS!$I17118="","",IFERROR(VLOOKUP(DATOS!$I17118,CONFIG_ASIGNATURAS!$B$2:$J$91,9,FALSE()),""))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IF(DATOS!$A17119="",0,IF(CONFIG_METADATA!$B$4&lt;&gt;"OR+EX",--(DATOS!$G17119=CONFIG_METADATA!$B$4),IF(DATOS!$G17119="EX",1,IF(DATOS!$G17119="OR",--(COUNTIFS(nNIA,DATOS!$A17119,nCURSO,DATOS!$D17119,nESPEC,DATOS!$E17119,nASIG,DATOS!$I17119,nEVAL,"EX")=0),0))))</f>
      </c>
      <c r="H17119">
        <f>IF(DATOS!$G17119&lt;&gt;"EX",0,--(COUNTIFS(nNIA,DATOS!$A17119,nCURSO,DATOS!$D17119,nESPEC,DATOS!$E17119,nASIG,DATOS!$I17119,nEVAL,"OR")=0))</f>
      </c>
      <c r="I17119">
        <f>IF(DATOS!$I17119="","",IFERROR(VLOOKUP(DATOS!$I17119,CONFIG_ASIGNATURAS!$B$2:$J$91,9,FALSE()),""))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IF(DATOS!$A17120="",0,IF(CONFIG_METADATA!$B$4&lt;&gt;"OR+EX",--(DATOS!$G17120=CONFIG_METADATA!$B$4),IF(DATOS!$G17120="EX",1,IF(DATOS!$G17120="OR",--(COUNTIFS(nNIA,DATOS!$A17120,nCURSO,DATOS!$D17120,nESPEC,DATOS!$E17120,nASIG,DATOS!$I17120,nEVAL,"EX")=0),0))))</f>
      </c>
      <c r="H17120">
        <f>IF(DATOS!$G17120&lt;&gt;"EX",0,--(COUNTIFS(nNIA,DATOS!$A17120,nCURSO,DATOS!$D17120,nESPEC,DATOS!$E17120,nASIG,DATOS!$I17120,nEVAL,"OR")=0))</f>
      </c>
      <c r="I17120">
        <f>IF(DATOS!$I17120="","",IFERROR(VLOOKUP(DATOS!$I17120,CONFIG_ASIGNATURAS!$B$2:$J$91,9,FALSE()),""))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IF(DATOS!$A17121="",0,IF(CONFIG_METADATA!$B$4&lt;&gt;"OR+EX",--(DATOS!$G17121=CONFIG_METADATA!$B$4),IF(DATOS!$G17121="EX",1,IF(DATOS!$G17121="OR",--(COUNTIFS(nNIA,DATOS!$A17121,nCURSO,DATOS!$D17121,nESPEC,DATOS!$E17121,nASIG,DATOS!$I17121,nEVAL,"EX")=0),0))))</f>
      </c>
      <c r="H17121">
        <f>IF(DATOS!$G17121&lt;&gt;"EX",0,--(COUNTIFS(nNIA,DATOS!$A17121,nCURSO,DATOS!$D17121,nESPEC,DATOS!$E17121,nASIG,DATOS!$I17121,nEVAL,"OR")=0))</f>
      </c>
      <c r="I17121">
        <f>IF(DATOS!$I17121="","",IFERROR(VLOOKUP(DATOS!$I17121,CONFIG_ASIGNATURAS!$B$2:$J$91,9,FALSE()),""))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IF(DATOS!$A17122="",0,IF(CONFIG_METADATA!$B$4&lt;&gt;"OR+EX",--(DATOS!$G17122=CONFIG_METADATA!$B$4),IF(DATOS!$G17122="EX",1,IF(DATOS!$G17122="OR",--(COUNTIFS(nNIA,DATOS!$A17122,nCURSO,DATOS!$D17122,nESPEC,DATOS!$E17122,nASIG,DATOS!$I17122,nEVAL,"EX")=0),0))))</f>
      </c>
      <c r="H17122">
        <f>IF(DATOS!$G17122&lt;&gt;"EX",0,--(COUNTIFS(nNIA,DATOS!$A17122,nCURSO,DATOS!$D17122,nESPEC,DATOS!$E17122,nASIG,DATOS!$I17122,nEVAL,"OR")=0))</f>
      </c>
      <c r="I17122">
        <f>IF(DATOS!$I17122="","",IFERROR(VLOOKUP(DATOS!$I17122,CONFIG_ASIGNATURAS!$B$2:$J$91,9,FALSE()),""))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IF(DATOS!$A17123="",0,IF(CONFIG_METADATA!$B$4&lt;&gt;"OR+EX",--(DATOS!$G17123=CONFIG_METADATA!$B$4),IF(DATOS!$G17123="EX",1,IF(DATOS!$G17123="OR",--(COUNTIFS(nNIA,DATOS!$A17123,nCURSO,DATOS!$D17123,nESPEC,DATOS!$E17123,nASIG,DATOS!$I17123,nEVAL,"EX")=0),0))))</f>
      </c>
      <c r="H17123">
        <f>IF(DATOS!$G17123&lt;&gt;"EX",0,--(COUNTIFS(nNIA,DATOS!$A17123,nCURSO,DATOS!$D17123,nESPEC,DATOS!$E17123,nASIG,DATOS!$I17123,nEVAL,"OR")=0))</f>
      </c>
      <c r="I17123">
        <f>IF(DATOS!$I17123="","",IFERROR(VLOOKUP(DATOS!$I17123,CONFIG_ASIGNATURAS!$B$2:$J$91,9,FALSE()),""))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IF(DATOS!$A17124="",0,IF(CONFIG_METADATA!$B$4&lt;&gt;"OR+EX",--(DATOS!$G17124=CONFIG_METADATA!$B$4),IF(DATOS!$G17124="EX",1,IF(DATOS!$G17124="OR",--(COUNTIFS(nNIA,DATOS!$A17124,nCURSO,DATOS!$D17124,nESPEC,DATOS!$E17124,nASIG,DATOS!$I17124,nEVAL,"EX")=0),0))))</f>
      </c>
      <c r="H17124">
        <f>IF(DATOS!$G17124&lt;&gt;"EX",0,--(COUNTIFS(nNIA,DATOS!$A17124,nCURSO,DATOS!$D17124,nESPEC,DATOS!$E17124,nASIG,DATOS!$I17124,nEVAL,"OR")=0))</f>
      </c>
      <c r="I17124">
        <f>IF(DATOS!$I17124="","",IFERROR(VLOOKUP(DATOS!$I17124,CONFIG_ASIGNATURAS!$B$2:$J$91,9,FALSE()),""))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IF(DATOS!$A17125="",0,IF(CONFIG_METADATA!$B$4&lt;&gt;"OR+EX",--(DATOS!$G17125=CONFIG_METADATA!$B$4),IF(DATOS!$G17125="EX",1,IF(DATOS!$G17125="OR",--(COUNTIFS(nNIA,DATOS!$A17125,nCURSO,DATOS!$D17125,nESPEC,DATOS!$E17125,nASIG,DATOS!$I17125,nEVAL,"EX")=0),0))))</f>
      </c>
      <c r="H17125">
        <f>IF(DATOS!$G17125&lt;&gt;"EX",0,--(COUNTIFS(nNIA,DATOS!$A17125,nCURSO,DATOS!$D17125,nESPEC,DATOS!$E17125,nASIG,DATOS!$I17125,nEVAL,"OR")=0))</f>
      </c>
      <c r="I17125">
        <f>IF(DATOS!$I17125="","",IFERROR(VLOOKUP(DATOS!$I17125,CONFIG_ASIGNATURAS!$B$2:$J$91,9,FALSE()),""))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IF(DATOS!$A17126="",0,IF(CONFIG_METADATA!$B$4&lt;&gt;"OR+EX",--(DATOS!$G17126=CONFIG_METADATA!$B$4),IF(DATOS!$G17126="EX",1,IF(DATOS!$G17126="OR",--(COUNTIFS(nNIA,DATOS!$A17126,nCURSO,DATOS!$D17126,nESPEC,DATOS!$E17126,nASIG,DATOS!$I17126,nEVAL,"EX")=0),0))))</f>
      </c>
      <c r="H17126">
        <f>IF(DATOS!$G17126&lt;&gt;"EX",0,--(COUNTIFS(nNIA,DATOS!$A17126,nCURSO,DATOS!$D17126,nESPEC,DATOS!$E17126,nASIG,DATOS!$I17126,nEVAL,"OR")=0))</f>
      </c>
      <c r="I17126">
        <f>IF(DATOS!$I17126="","",IFERROR(VLOOKUP(DATOS!$I17126,CONFIG_ASIGNATURAS!$B$2:$J$91,9,FALSE()),""))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IF(DATOS!$A17127="",0,IF(CONFIG_METADATA!$B$4&lt;&gt;"OR+EX",--(DATOS!$G17127=CONFIG_METADATA!$B$4),IF(DATOS!$G17127="EX",1,IF(DATOS!$G17127="OR",--(COUNTIFS(nNIA,DATOS!$A17127,nCURSO,DATOS!$D17127,nESPEC,DATOS!$E17127,nASIG,DATOS!$I17127,nEVAL,"EX")=0),0))))</f>
      </c>
      <c r="H17127">
        <f>IF(DATOS!$G17127&lt;&gt;"EX",0,--(COUNTIFS(nNIA,DATOS!$A17127,nCURSO,DATOS!$D17127,nESPEC,DATOS!$E17127,nASIG,DATOS!$I17127,nEVAL,"OR")=0))</f>
      </c>
      <c r="I17127">
        <f>IF(DATOS!$I17127="","",IFERROR(VLOOKUP(DATOS!$I17127,CONFIG_ASIGNATURAS!$B$2:$J$91,9,FALSE()),""))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IF(DATOS!$A17128="",0,IF(CONFIG_METADATA!$B$4&lt;&gt;"OR+EX",--(DATOS!$G17128=CONFIG_METADATA!$B$4),IF(DATOS!$G17128="EX",1,IF(DATOS!$G17128="OR",--(COUNTIFS(nNIA,DATOS!$A17128,nCURSO,DATOS!$D17128,nESPEC,DATOS!$E17128,nASIG,DATOS!$I17128,nEVAL,"EX")=0),0))))</f>
      </c>
      <c r="H17128">
        <f>IF(DATOS!$G17128&lt;&gt;"EX",0,--(COUNTIFS(nNIA,DATOS!$A17128,nCURSO,DATOS!$D17128,nESPEC,DATOS!$E17128,nASIG,DATOS!$I17128,nEVAL,"OR")=0))</f>
      </c>
      <c r="I17128">
        <f>IF(DATOS!$I17128="","",IFERROR(VLOOKUP(DATOS!$I17128,CONFIG_ASIGNATURAS!$B$2:$J$91,9,FALSE()),""))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IF(DATOS!$A17129="",0,IF(CONFIG_METADATA!$B$4&lt;&gt;"OR+EX",--(DATOS!$G17129=CONFIG_METADATA!$B$4),IF(DATOS!$G17129="EX",1,IF(DATOS!$G17129="OR",--(COUNTIFS(nNIA,DATOS!$A17129,nCURSO,DATOS!$D17129,nESPEC,DATOS!$E17129,nASIG,DATOS!$I17129,nEVAL,"EX")=0),0))))</f>
      </c>
      <c r="H17129">
        <f>IF(DATOS!$G17129&lt;&gt;"EX",0,--(COUNTIFS(nNIA,DATOS!$A17129,nCURSO,DATOS!$D17129,nESPEC,DATOS!$E17129,nASIG,DATOS!$I17129,nEVAL,"OR")=0))</f>
      </c>
      <c r="I17129">
        <f>IF(DATOS!$I17129="","",IFERROR(VLOOKUP(DATOS!$I17129,CONFIG_ASIGNATURAS!$B$2:$J$91,9,FALSE()),""))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IF(DATOS!$A17130="",0,IF(CONFIG_METADATA!$B$4&lt;&gt;"OR+EX",--(DATOS!$G17130=CONFIG_METADATA!$B$4),IF(DATOS!$G17130="EX",1,IF(DATOS!$G17130="OR",--(COUNTIFS(nNIA,DATOS!$A17130,nCURSO,DATOS!$D17130,nESPEC,DATOS!$E17130,nASIG,DATOS!$I17130,nEVAL,"EX")=0),0))))</f>
      </c>
      <c r="H17130">
        <f>IF(DATOS!$G17130&lt;&gt;"EX",0,--(COUNTIFS(nNIA,DATOS!$A17130,nCURSO,DATOS!$D17130,nESPEC,DATOS!$E17130,nASIG,DATOS!$I17130,nEVAL,"OR")=0))</f>
      </c>
      <c r="I17130">
        <f>IF(DATOS!$I17130="","",IFERROR(VLOOKUP(DATOS!$I17130,CONFIG_ASIGNATURAS!$B$2:$J$91,9,FALSE()),""))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IF(DATOS!$A17131="",0,IF(CONFIG_METADATA!$B$4&lt;&gt;"OR+EX",--(DATOS!$G17131=CONFIG_METADATA!$B$4),IF(DATOS!$G17131="EX",1,IF(DATOS!$G17131="OR",--(COUNTIFS(nNIA,DATOS!$A17131,nCURSO,DATOS!$D17131,nESPEC,DATOS!$E17131,nASIG,DATOS!$I17131,nEVAL,"EX")=0),0))))</f>
      </c>
      <c r="H17131">
        <f>IF(DATOS!$G17131&lt;&gt;"EX",0,--(COUNTIFS(nNIA,DATOS!$A17131,nCURSO,DATOS!$D17131,nESPEC,DATOS!$E17131,nASIG,DATOS!$I17131,nEVAL,"OR")=0))</f>
      </c>
      <c r="I17131">
        <f>IF(DATOS!$I17131="","",IFERROR(VLOOKUP(DATOS!$I17131,CONFIG_ASIGNATURAS!$B$2:$J$91,9,FALSE()),""))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IF(DATOS!$A17132="",0,IF(CONFIG_METADATA!$B$4&lt;&gt;"OR+EX",--(DATOS!$G17132=CONFIG_METADATA!$B$4),IF(DATOS!$G17132="EX",1,IF(DATOS!$G17132="OR",--(COUNTIFS(nNIA,DATOS!$A17132,nCURSO,DATOS!$D17132,nESPEC,DATOS!$E17132,nASIG,DATOS!$I17132,nEVAL,"EX")=0),0))))</f>
      </c>
      <c r="H17132">
        <f>IF(DATOS!$G17132&lt;&gt;"EX",0,--(COUNTIFS(nNIA,DATOS!$A17132,nCURSO,DATOS!$D17132,nESPEC,DATOS!$E17132,nASIG,DATOS!$I17132,nEVAL,"OR")=0))</f>
      </c>
      <c r="I17132">
        <f>IF(DATOS!$I17132="","",IFERROR(VLOOKUP(DATOS!$I17132,CONFIG_ASIGNATURAS!$B$2:$J$91,9,FALSE()),""))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IF(DATOS!$A17133="",0,IF(CONFIG_METADATA!$B$4&lt;&gt;"OR+EX",--(DATOS!$G17133=CONFIG_METADATA!$B$4),IF(DATOS!$G17133="EX",1,IF(DATOS!$G17133="OR",--(COUNTIFS(nNIA,DATOS!$A17133,nCURSO,DATOS!$D17133,nESPEC,DATOS!$E17133,nASIG,DATOS!$I17133,nEVAL,"EX")=0),0))))</f>
      </c>
      <c r="H17133">
        <f>IF(DATOS!$G17133&lt;&gt;"EX",0,--(COUNTIFS(nNIA,DATOS!$A17133,nCURSO,DATOS!$D17133,nESPEC,DATOS!$E17133,nASIG,DATOS!$I17133,nEVAL,"OR")=0))</f>
      </c>
      <c r="I17133">
        <f>IF(DATOS!$I17133="","",IFERROR(VLOOKUP(DATOS!$I17133,CONFIG_ASIGNATURAS!$B$2:$J$91,9,FALSE()),""))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IF(DATOS!$A17134="",0,IF(CONFIG_METADATA!$B$4&lt;&gt;"OR+EX",--(DATOS!$G17134=CONFIG_METADATA!$B$4),IF(DATOS!$G17134="EX",1,IF(DATOS!$G17134="OR",--(COUNTIFS(nNIA,DATOS!$A17134,nCURSO,DATOS!$D17134,nESPEC,DATOS!$E17134,nASIG,DATOS!$I17134,nEVAL,"EX")=0),0))))</f>
      </c>
      <c r="H17134">
        <f>IF(DATOS!$G17134&lt;&gt;"EX",0,--(COUNTIFS(nNIA,DATOS!$A17134,nCURSO,DATOS!$D17134,nESPEC,DATOS!$E17134,nASIG,DATOS!$I17134,nEVAL,"OR")=0))</f>
      </c>
      <c r="I17134">
        <f>IF(DATOS!$I17134="","",IFERROR(VLOOKUP(DATOS!$I17134,CONFIG_ASIGNATURAS!$B$2:$J$91,9,FALSE()),""))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IF(DATOS!$A17135="",0,IF(CONFIG_METADATA!$B$4&lt;&gt;"OR+EX",--(DATOS!$G17135=CONFIG_METADATA!$B$4),IF(DATOS!$G17135="EX",1,IF(DATOS!$G17135="OR",--(COUNTIFS(nNIA,DATOS!$A17135,nCURSO,DATOS!$D17135,nESPEC,DATOS!$E17135,nASIG,DATOS!$I17135,nEVAL,"EX")=0),0))))</f>
      </c>
      <c r="H17135">
        <f>IF(DATOS!$G17135&lt;&gt;"EX",0,--(COUNTIFS(nNIA,DATOS!$A17135,nCURSO,DATOS!$D17135,nESPEC,DATOS!$E17135,nASIG,DATOS!$I17135,nEVAL,"OR")=0))</f>
      </c>
      <c r="I17135">
        <f>IF(DATOS!$I17135="","",IFERROR(VLOOKUP(DATOS!$I17135,CONFIG_ASIGNATURAS!$B$2:$J$91,9,FALSE()),""))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IF(DATOS!$A17136="",0,IF(CONFIG_METADATA!$B$4&lt;&gt;"OR+EX",--(DATOS!$G17136=CONFIG_METADATA!$B$4),IF(DATOS!$G17136="EX",1,IF(DATOS!$G17136="OR",--(COUNTIFS(nNIA,DATOS!$A17136,nCURSO,DATOS!$D17136,nESPEC,DATOS!$E17136,nASIG,DATOS!$I17136,nEVAL,"EX")=0),0))))</f>
      </c>
      <c r="H17136">
        <f>IF(DATOS!$G17136&lt;&gt;"EX",0,--(COUNTIFS(nNIA,DATOS!$A17136,nCURSO,DATOS!$D17136,nESPEC,DATOS!$E17136,nASIG,DATOS!$I17136,nEVAL,"OR")=0))</f>
      </c>
      <c r="I17136">
        <f>IF(DATOS!$I17136="","",IFERROR(VLOOKUP(DATOS!$I17136,CONFIG_ASIGNATURAS!$B$2:$J$91,9,FALSE()),""))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IF(DATOS!$A17137="",0,IF(CONFIG_METADATA!$B$4&lt;&gt;"OR+EX",--(DATOS!$G17137=CONFIG_METADATA!$B$4),IF(DATOS!$G17137="EX",1,IF(DATOS!$G17137="OR",--(COUNTIFS(nNIA,DATOS!$A17137,nCURSO,DATOS!$D17137,nESPEC,DATOS!$E17137,nASIG,DATOS!$I17137,nEVAL,"EX")=0),0))))</f>
      </c>
      <c r="H17137">
        <f>IF(DATOS!$G17137&lt;&gt;"EX",0,--(COUNTIFS(nNIA,DATOS!$A17137,nCURSO,DATOS!$D17137,nESPEC,DATOS!$E17137,nASIG,DATOS!$I17137,nEVAL,"OR")=0))</f>
      </c>
      <c r="I17137">
        <f>IF(DATOS!$I17137="","",IFERROR(VLOOKUP(DATOS!$I17137,CONFIG_ASIGNATURAS!$B$2:$J$91,9,FALSE()),""))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IF(DATOS!$A17138="",0,IF(CONFIG_METADATA!$B$4&lt;&gt;"OR+EX",--(DATOS!$G17138=CONFIG_METADATA!$B$4),IF(DATOS!$G17138="EX",1,IF(DATOS!$G17138="OR",--(COUNTIFS(nNIA,DATOS!$A17138,nCURSO,DATOS!$D17138,nESPEC,DATOS!$E17138,nASIG,DATOS!$I17138,nEVAL,"EX")=0),0))))</f>
      </c>
      <c r="H17138">
        <f>IF(DATOS!$G17138&lt;&gt;"EX",0,--(COUNTIFS(nNIA,DATOS!$A17138,nCURSO,DATOS!$D17138,nESPEC,DATOS!$E17138,nASIG,DATOS!$I17138,nEVAL,"OR")=0))</f>
      </c>
      <c r="I17138">
        <f>IF(DATOS!$I17138="","",IFERROR(VLOOKUP(DATOS!$I17138,CONFIG_ASIGNATURAS!$B$2:$J$91,9,FALSE()),""))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IF(DATOS!$A17139="",0,IF(CONFIG_METADATA!$B$4&lt;&gt;"OR+EX",--(DATOS!$G17139=CONFIG_METADATA!$B$4),IF(DATOS!$G17139="EX",1,IF(DATOS!$G17139="OR",--(COUNTIFS(nNIA,DATOS!$A17139,nCURSO,DATOS!$D17139,nESPEC,DATOS!$E17139,nASIG,DATOS!$I17139,nEVAL,"EX")=0),0))))</f>
      </c>
      <c r="H17139">
        <f>IF(DATOS!$G17139&lt;&gt;"EX",0,--(COUNTIFS(nNIA,DATOS!$A17139,nCURSO,DATOS!$D17139,nESPEC,DATOS!$E17139,nASIG,DATOS!$I17139,nEVAL,"OR")=0))</f>
      </c>
      <c r="I17139">
        <f>IF(DATOS!$I17139="","",IFERROR(VLOOKUP(DATOS!$I17139,CONFIG_ASIGNATURAS!$B$2:$J$91,9,FALSE()),""))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IF(DATOS!$A17140="",0,IF(CONFIG_METADATA!$B$4&lt;&gt;"OR+EX",--(DATOS!$G17140=CONFIG_METADATA!$B$4),IF(DATOS!$G17140="EX",1,IF(DATOS!$G17140="OR",--(COUNTIFS(nNIA,DATOS!$A17140,nCURSO,DATOS!$D17140,nESPEC,DATOS!$E17140,nASIG,DATOS!$I17140,nEVAL,"EX")=0),0))))</f>
      </c>
      <c r="H17140">
        <f>IF(DATOS!$G17140&lt;&gt;"EX",0,--(COUNTIFS(nNIA,DATOS!$A17140,nCURSO,DATOS!$D17140,nESPEC,DATOS!$E17140,nASIG,DATOS!$I17140,nEVAL,"OR")=0))</f>
      </c>
      <c r="I17140">
        <f>IF(DATOS!$I17140="","",IFERROR(VLOOKUP(DATOS!$I17140,CONFIG_ASIGNATURAS!$B$2:$J$91,9,FALSE()),""))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IF(DATOS!$A17141="",0,IF(CONFIG_METADATA!$B$4&lt;&gt;"OR+EX",--(DATOS!$G17141=CONFIG_METADATA!$B$4),IF(DATOS!$G17141="EX",1,IF(DATOS!$G17141="OR",--(COUNTIFS(nNIA,DATOS!$A17141,nCURSO,DATOS!$D17141,nESPEC,DATOS!$E17141,nASIG,DATOS!$I17141,nEVAL,"EX")=0),0))))</f>
      </c>
      <c r="H17141">
        <f>IF(DATOS!$G17141&lt;&gt;"EX",0,--(COUNTIFS(nNIA,DATOS!$A17141,nCURSO,DATOS!$D17141,nESPEC,DATOS!$E17141,nASIG,DATOS!$I17141,nEVAL,"OR")=0))</f>
      </c>
      <c r="I17141">
        <f>IF(DATOS!$I17141="","",IFERROR(VLOOKUP(DATOS!$I17141,CONFIG_ASIGNATURAS!$B$2:$J$91,9,FALSE()),""))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IF(DATOS!$A17142="",0,IF(CONFIG_METADATA!$B$4&lt;&gt;"OR+EX",--(DATOS!$G17142=CONFIG_METADATA!$B$4),IF(DATOS!$G17142="EX",1,IF(DATOS!$G17142="OR",--(COUNTIFS(nNIA,DATOS!$A17142,nCURSO,DATOS!$D17142,nESPEC,DATOS!$E17142,nASIG,DATOS!$I17142,nEVAL,"EX")=0),0))))</f>
      </c>
      <c r="H17142">
        <f>IF(DATOS!$G17142&lt;&gt;"EX",0,--(COUNTIFS(nNIA,DATOS!$A17142,nCURSO,DATOS!$D17142,nESPEC,DATOS!$E17142,nASIG,DATOS!$I17142,nEVAL,"OR")=0))</f>
      </c>
      <c r="I17142">
        <f>IF(DATOS!$I17142="","",IFERROR(VLOOKUP(DATOS!$I17142,CONFIG_ASIGNATURAS!$B$2:$J$91,9,FALSE()),""))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IF(DATOS!$A17143="",0,IF(CONFIG_METADATA!$B$4&lt;&gt;"OR+EX",--(DATOS!$G17143=CONFIG_METADATA!$B$4),IF(DATOS!$G17143="EX",1,IF(DATOS!$G17143="OR",--(COUNTIFS(nNIA,DATOS!$A17143,nCURSO,DATOS!$D17143,nESPEC,DATOS!$E17143,nASIG,DATOS!$I17143,nEVAL,"EX")=0),0))))</f>
      </c>
      <c r="H17143">
        <f>IF(DATOS!$G17143&lt;&gt;"EX",0,--(COUNTIFS(nNIA,DATOS!$A17143,nCURSO,DATOS!$D17143,nESPEC,DATOS!$E17143,nASIG,DATOS!$I17143,nEVAL,"OR")=0))</f>
      </c>
      <c r="I17143">
        <f>IF(DATOS!$I17143="","",IFERROR(VLOOKUP(DATOS!$I17143,CONFIG_ASIGNATURAS!$B$2:$J$91,9,FALSE()),""))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IF(DATOS!$A17144="",0,IF(CONFIG_METADATA!$B$4&lt;&gt;"OR+EX",--(DATOS!$G17144=CONFIG_METADATA!$B$4),IF(DATOS!$G17144="EX",1,IF(DATOS!$G17144="OR",--(COUNTIFS(nNIA,DATOS!$A17144,nCURSO,DATOS!$D17144,nESPEC,DATOS!$E17144,nASIG,DATOS!$I17144,nEVAL,"EX")=0),0))))</f>
      </c>
      <c r="H17144">
        <f>IF(DATOS!$G17144&lt;&gt;"EX",0,--(COUNTIFS(nNIA,DATOS!$A17144,nCURSO,DATOS!$D17144,nESPEC,DATOS!$E17144,nASIG,DATOS!$I17144,nEVAL,"OR")=0))</f>
      </c>
      <c r="I17144">
        <f>IF(DATOS!$I17144="","",IFERROR(VLOOKUP(DATOS!$I17144,CONFIG_ASIGNATURAS!$B$2:$J$91,9,FALSE()),""))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IF(DATOS!$A17145="",0,IF(CONFIG_METADATA!$B$4&lt;&gt;"OR+EX",--(DATOS!$G17145=CONFIG_METADATA!$B$4),IF(DATOS!$G17145="EX",1,IF(DATOS!$G17145="OR",--(COUNTIFS(nNIA,DATOS!$A17145,nCURSO,DATOS!$D17145,nESPEC,DATOS!$E17145,nASIG,DATOS!$I17145,nEVAL,"EX")=0),0))))</f>
      </c>
      <c r="H17145">
        <f>IF(DATOS!$G17145&lt;&gt;"EX",0,--(COUNTIFS(nNIA,DATOS!$A17145,nCURSO,DATOS!$D17145,nESPEC,DATOS!$E17145,nASIG,DATOS!$I17145,nEVAL,"OR")=0))</f>
      </c>
      <c r="I17145">
        <f>IF(DATOS!$I17145="","",IFERROR(VLOOKUP(DATOS!$I17145,CONFIG_ASIGNATURAS!$B$2:$J$91,9,FALSE()),""))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IF(DATOS!$A17146="",0,IF(CONFIG_METADATA!$B$4&lt;&gt;"OR+EX",--(DATOS!$G17146=CONFIG_METADATA!$B$4),IF(DATOS!$G17146="EX",1,IF(DATOS!$G17146="OR",--(COUNTIFS(nNIA,DATOS!$A17146,nCURSO,DATOS!$D17146,nESPEC,DATOS!$E17146,nASIG,DATOS!$I17146,nEVAL,"EX")=0),0))))</f>
      </c>
      <c r="H17146">
        <f>IF(DATOS!$G17146&lt;&gt;"EX",0,--(COUNTIFS(nNIA,DATOS!$A17146,nCURSO,DATOS!$D17146,nESPEC,DATOS!$E17146,nASIG,DATOS!$I17146,nEVAL,"OR")=0))</f>
      </c>
      <c r="I17146">
        <f>IF(DATOS!$I17146="","",IFERROR(VLOOKUP(DATOS!$I17146,CONFIG_ASIGNATURAS!$B$2:$J$91,9,FALSE()),""))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IF(DATOS!$A17147="",0,IF(CONFIG_METADATA!$B$4&lt;&gt;"OR+EX",--(DATOS!$G17147=CONFIG_METADATA!$B$4),IF(DATOS!$G17147="EX",1,IF(DATOS!$G17147="OR",--(COUNTIFS(nNIA,DATOS!$A17147,nCURSO,DATOS!$D17147,nESPEC,DATOS!$E17147,nASIG,DATOS!$I17147,nEVAL,"EX")=0),0))))</f>
      </c>
      <c r="H17147">
        <f>IF(DATOS!$G17147&lt;&gt;"EX",0,--(COUNTIFS(nNIA,DATOS!$A17147,nCURSO,DATOS!$D17147,nESPEC,DATOS!$E17147,nASIG,DATOS!$I17147,nEVAL,"OR")=0))</f>
      </c>
      <c r="I17147">
        <f>IF(DATOS!$I17147="","",IFERROR(VLOOKUP(DATOS!$I17147,CONFIG_ASIGNATURAS!$B$2:$J$91,9,FALSE()),""))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IF(DATOS!$A17148="",0,IF(CONFIG_METADATA!$B$4&lt;&gt;"OR+EX",--(DATOS!$G17148=CONFIG_METADATA!$B$4),IF(DATOS!$G17148="EX",1,IF(DATOS!$G17148="OR",--(COUNTIFS(nNIA,DATOS!$A17148,nCURSO,DATOS!$D17148,nESPEC,DATOS!$E17148,nASIG,DATOS!$I17148,nEVAL,"EX")=0),0))))</f>
      </c>
      <c r="H17148">
        <f>IF(DATOS!$G17148&lt;&gt;"EX",0,--(COUNTIFS(nNIA,DATOS!$A17148,nCURSO,DATOS!$D17148,nESPEC,DATOS!$E17148,nASIG,DATOS!$I17148,nEVAL,"OR")=0))</f>
      </c>
      <c r="I17148">
        <f>IF(DATOS!$I17148="","",IFERROR(VLOOKUP(DATOS!$I17148,CONFIG_ASIGNATURAS!$B$2:$J$91,9,FALSE()),""))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IF(DATOS!$A17149="",0,IF(CONFIG_METADATA!$B$4&lt;&gt;"OR+EX",--(DATOS!$G17149=CONFIG_METADATA!$B$4),IF(DATOS!$G17149="EX",1,IF(DATOS!$G17149="OR",--(COUNTIFS(nNIA,DATOS!$A17149,nCURSO,DATOS!$D17149,nESPEC,DATOS!$E17149,nASIG,DATOS!$I17149,nEVAL,"EX")=0),0))))</f>
      </c>
      <c r="H17149">
        <f>IF(DATOS!$G17149&lt;&gt;"EX",0,--(COUNTIFS(nNIA,DATOS!$A17149,nCURSO,DATOS!$D17149,nESPEC,DATOS!$E17149,nASIG,DATOS!$I17149,nEVAL,"OR")=0))</f>
      </c>
      <c r="I17149">
        <f>IF(DATOS!$I17149="","",IFERROR(VLOOKUP(DATOS!$I17149,CONFIG_ASIGNATURAS!$B$2:$J$91,9,FALSE()),""))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IF(DATOS!$A17150="",0,IF(CONFIG_METADATA!$B$4&lt;&gt;"OR+EX",--(DATOS!$G17150=CONFIG_METADATA!$B$4),IF(DATOS!$G17150="EX",1,IF(DATOS!$G17150="OR",--(COUNTIFS(nNIA,DATOS!$A17150,nCURSO,DATOS!$D17150,nESPEC,DATOS!$E17150,nASIG,DATOS!$I17150,nEVAL,"EX")=0),0))))</f>
      </c>
      <c r="H17150">
        <f>IF(DATOS!$G17150&lt;&gt;"EX",0,--(COUNTIFS(nNIA,DATOS!$A17150,nCURSO,DATOS!$D17150,nESPEC,DATOS!$E17150,nASIG,DATOS!$I17150,nEVAL,"OR")=0))</f>
      </c>
      <c r="I17150">
        <f>IF(DATOS!$I17150="","",IFERROR(VLOOKUP(DATOS!$I17150,CONFIG_ASIGNATURAS!$B$2:$J$91,9,FALSE()),""))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IF(DATOS!$A17151="",0,IF(CONFIG_METADATA!$B$4&lt;&gt;"OR+EX",--(DATOS!$G17151=CONFIG_METADATA!$B$4),IF(DATOS!$G17151="EX",1,IF(DATOS!$G17151="OR",--(COUNTIFS(nNIA,DATOS!$A17151,nCURSO,DATOS!$D17151,nESPEC,DATOS!$E17151,nASIG,DATOS!$I17151,nEVAL,"EX")=0),0))))</f>
      </c>
      <c r="H17151">
        <f>IF(DATOS!$G17151&lt;&gt;"EX",0,--(COUNTIFS(nNIA,DATOS!$A17151,nCURSO,DATOS!$D17151,nESPEC,DATOS!$E17151,nASIG,DATOS!$I17151,nEVAL,"OR")=0))</f>
      </c>
      <c r="I17151">
        <f>IF(DATOS!$I17151="","",IFERROR(VLOOKUP(DATOS!$I17151,CONFIG_ASIGNATURAS!$B$2:$J$91,9,FALSE()),""))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IF(DATOS!$A17152="",0,IF(CONFIG_METADATA!$B$4&lt;&gt;"OR+EX",--(DATOS!$G17152=CONFIG_METADATA!$B$4),IF(DATOS!$G17152="EX",1,IF(DATOS!$G17152="OR",--(COUNTIFS(nNIA,DATOS!$A17152,nCURSO,DATOS!$D17152,nESPEC,DATOS!$E17152,nASIG,DATOS!$I17152,nEVAL,"EX")=0),0))))</f>
      </c>
      <c r="H17152">
        <f>IF(DATOS!$G17152&lt;&gt;"EX",0,--(COUNTIFS(nNIA,DATOS!$A17152,nCURSO,DATOS!$D17152,nESPEC,DATOS!$E17152,nASIG,DATOS!$I17152,nEVAL,"OR")=0))</f>
      </c>
      <c r="I17152">
        <f>IF(DATOS!$I17152="","",IFERROR(VLOOKUP(DATOS!$I17152,CONFIG_ASIGNATURAS!$B$2:$J$91,9,FALSE()),""))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IF(DATOS!$A17153="",0,IF(CONFIG_METADATA!$B$4&lt;&gt;"OR+EX",--(DATOS!$G17153=CONFIG_METADATA!$B$4),IF(DATOS!$G17153="EX",1,IF(DATOS!$G17153="OR",--(COUNTIFS(nNIA,DATOS!$A17153,nCURSO,DATOS!$D17153,nESPEC,DATOS!$E17153,nASIG,DATOS!$I17153,nEVAL,"EX")=0),0))))</f>
      </c>
      <c r="H17153">
        <f>IF(DATOS!$G17153&lt;&gt;"EX",0,--(COUNTIFS(nNIA,DATOS!$A17153,nCURSO,DATOS!$D17153,nESPEC,DATOS!$E17153,nASIG,DATOS!$I17153,nEVAL,"OR")=0))</f>
      </c>
      <c r="I17153">
        <f>IF(DATOS!$I17153="","",IFERROR(VLOOKUP(DATOS!$I17153,CONFIG_ASIGNATURAS!$B$2:$J$91,9,FALSE()),""))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IF(DATOS!$A17154="",0,IF(CONFIG_METADATA!$B$4&lt;&gt;"OR+EX",--(DATOS!$G17154=CONFIG_METADATA!$B$4),IF(DATOS!$G17154="EX",1,IF(DATOS!$G17154="OR",--(COUNTIFS(nNIA,DATOS!$A17154,nCURSO,DATOS!$D17154,nESPEC,DATOS!$E17154,nASIG,DATOS!$I17154,nEVAL,"EX")=0),0))))</f>
      </c>
      <c r="H17154">
        <f>IF(DATOS!$G17154&lt;&gt;"EX",0,--(COUNTIFS(nNIA,DATOS!$A17154,nCURSO,DATOS!$D17154,nESPEC,DATOS!$E17154,nASIG,DATOS!$I17154,nEVAL,"OR")=0))</f>
      </c>
      <c r="I17154">
        <f>IF(DATOS!$I17154="","",IFERROR(VLOOKUP(DATOS!$I17154,CONFIG_ASIGNATURAS!$B$2:$J$91,9,FALSE()),""))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IF(DATOS!$A17155="",0,IF(CONFIG_METADATA!$B$4&lt;&gt;"OR+EX",--(DATOS!$G17155=CONFIG_METADATA!$B$4),IF(DATOS!$G17155="EX",1,IF(DATOS!$G17155="OR",--(COUNTIFS(nNIA,DATOS!$A17155,nCURSO,DATOS!$D17155,nESPEC,DATOS!$E17155,nASIG,DATOS!$I17155,nEVAL,"EX")=0),0))))</f>
      </c>
      <c r="H17155">
        <f>IF(DATOS!$G17155&lt;&gt;"EX",0,--(COUNTIFS(nNIA,DATOS!$A17155,nCURSO,DATOS!$D17155,nESPEC,DATOS!$E17155,nASIG,DATOS!$I17155,nEVAL,"OR")=0))</f>
      </c>
      <c r="I17155">
        <f>IF(DATOS!$I17155="","",IFERROR(VLOOKUP(DATOS!$I17155,CONFIG_ASIGNATURAS!$B$2:$J$91,9,FALSE()),""))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IF(DATOS!$A17156="",0,IF(CONFIG_METADATA!$B$4&lt;&gt;"OR+EX",--(DATOS!$G17156=CONFIG_METADATA!$B$4),IF(DATOS!$G17156="EX",1,IF(DATOS!$G17156="OR",--(COUNTIFS(nNIA,DATOS!$A17156,nCURSO,DATOS!$D17156,nESPEC,DATOS!$E17156,nASIG,DATOS!$I17156,nEVAL,"EX")=0),0))))</f>
      </c>
      <c r="H17156">
        <f>IF(DATOS!$G17156&lt;&gt;"EX",0,--(COUNTIFS(nNIA,DATOS!$A17156,nCURSO,DATOS!$D17156,nESPEC,DATOS!$E17156,nASIG,DATOS!$I17156,nEVAL,"OR")=0))</f>
      </c>
      <c r="I17156">
        <f>IF(DATOS!$I17156="","",IFERROR(VLOOKUP(DATOS!$I17156,CONFIG_ASIGNATURAS!$B$2:$J$91,9,FALSE()),""))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IF(DATOS!$A17157="",0,IF(CONFIG_METADATA!$B$4&lt;&gt;"OR+EX",--(DATOS!$G17157=CONFIG_METADATA!$B$4),IF(DATOS!$G17157="EX",1,IF(DATOS!$G17157="OR",--(COUNTIFS(nNIA,DATOS!$A17157,nCURSO,DATOS!$D17157,nESPEC,DATOS!$E17157,nASIG,DATOS!$I17157,nEVAL,"EX")=0),0))))</f>
      </c>
      <c r="H17157">
        <f>IF(DATOS!$G17157&lt;&gt;"EX",0,--(COUNTIFS(nNIA,DATOS!$A17157,nCURSO,DATOS!$D17157,nESPEC,DATOS!$E17157,nASIG,DATOS!$I17157,nEVAL,"OR")=0))</f>
      </c>
      <c r="I17157">
        <f>IF(DATOS!$I17157="","",IFERROR(VLOOKUP(DATOS!$I17157,CONFIG_ASIGNATURAS!$B$2:$J$91,9,FALSE()),""))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IF(DATOS!$A17158="",0,IF(CONFIG_METADATA!$B$4&lt;&gt;"OR+EX",--(DATOS!$G17158=CONFIG_METADATA!$B$4),IF(DATOS!$G17158="EX",1,IF(DATOS!$G17158="OR",--(COUNTIFS(nNIA,DATOS!$A17158,nCURSO,DATOS!$D17158,nESPEC,DATOS!$E17158,nASIG,DATOS!$I17158,nEVAL,"EX")=0),0))))</f>
      </c>
      <c r="H17158">
        <f>IF(DATOS!$G17158&lt;&gt;"EX",0,--(COUNTIFS(nNIA,DATOS!$A17158,nCURSO,DATOS!$D17158,nESPEC,DATOS!$E17158,nASIG,DATOS!$I17158,nEVAL,"OR")=0))</f>
      </c>
      <c r="I17158">
        <f>IF(DATOS!$I17158="","",IFERROR(VLOOKUP(DATOS!$I17158,CONFIG_ASIGNATURAS!$B$2:$J$91,9,FALSE()),""))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IF(DATOS!$A17159="",0,IF(CONFIG_METADATA!$B$4&lt;&gt;"OR+EX",--(DATOS!$G17159=CONFIG_METADATA!$B$4),IF(DATOS!$G17159="EX",1,IF(DATOS!$G17159="OR",--(COUNTIFS(nNIA,DATOS!$A17159,nCURSO,DATOS!$D17159,nESPEC,DATOS!$E17159,nASIG,DATOS!$I17159,nEVAL,"EX")=0),0))))</f>
      </c>
      <c r="H17159">
        <f>IF(DATOS!$G17159&lt;&gt;"EX",0,--(COUNTIFS(nNIA,DATOS!$A17159,nCURSO,DATOS!$D17159,nESPEC,DATOS!$E17159,nASIG,DATOS!$I17159,nEVAL,"OR")=0))</f>
      </c>
      <c r="I17159">
        <f>IF(DATOS!$I17159="","",IFERROR(VLOOKUP(DATOS!$I17159,CONFIG_ASIGNATURAS!$B$2:$J$91,9,FALSE()),""))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IF(DATOS!$A17160="",0,IF(CONFIG_METADATA!$B$4&lt;&gt;"OR+EX",--(DATOS!$G17160=CONFIG_METADATA!$B$4),IF(DATOS!$G17160="EX",1,IF(DATOS!$G17160="OR",--(COUNTIFS(nNIA,DATOS!$A17160,nCURSO,DATOS!$D17160,nESPEC,DATOS!$E17160,nASIG,DATOS!$I17160,nEVAL,"EX")=0),0))))</f>
      </c>
      <c r="H17160">
        <f>IF(DATOS!$G17160&lt;&gt;"EX",0,--(COUNTIFS(nNIA,DATOS!$A17160,nCURSO,DATOS!$D17160,nESPEC,DATOS!$E17160,nASIG,DATOS!$I17160,nEVAL,"OR")=0))</f>
      </c>
      <c r="I17160">
        <f>IF(DATOS!$I17160="","",IFERROR(VLOOKUP(DATOS!$I17160,CONFIG_ASIGNATURAS!$B$2:$J$91,9,FALSE()),""))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IF(DATOS!$A17161="",0,IF(CONFIG_METADATA!$B$4&lt;&gt;"OR+EX",--(DATOS!$G17161=CONFIG_METADATA!$B$4),IF(DATOS!$G17161="EX",1,IF(DATOS!$G17161="OR",--(COUNTIFS(nNIA,DATOS!$A17161,nCURSO,DATOS!$D17161,nESPEC,DATOS!$E17161,nASIG,DATOS!$I17161,nEVAL,"EX")=0),0))))</f>
      </c>
      <c r="H17161">
        <f>IF(DATOS!$G17161&lt;&gt;"EX",0,--(COUNTIFS(nNIA,DATOS!$A17161,nCURSO,DATOS!$D17161,nESPEC,DATOS!$E17161,nASIG,DATOS!$I17161,nEVAL,"OR")=0))</f>
      </c>
      <c r="I17161">
        <f>IF(DATOS!$I17161="","",IFERROR(VLOOKUP(DATOS!$I17161,CONFIG_ASIGNATURAS!$B$2:$J$91,9,FALSE()),""))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IF(DATOS!$A17162="",0,IF(CONFIG_METADATA!$B$4&lt;&gt;"OR+EX",--(DATOS!$G17162=CONFIG_METADATA!$B$4),IF(DATOS!$G17162="EX",1,IF(DATOS!$G17162="OR",--(COUNTIFS(nNIA,DATOS!$A17162,nCURSO,DATOS!$D17162,nESPEC,DATOS!$E17162,nASIG,DATOS!$I17162,nEVAL,"EX")=0),0))))</f>
      </c>
      <c r="H17162">
        <f>IF(DATOS!$G17162&lt;&gt;"EX",0,--(COUNTIFS(nNIA,DATOS!$A17162,nCURSO,DATOS!$D17162,nESPEC,DATOS!$E17162,nASIG,DATOS!$I17162,nEVAL,"OR")=0))</f>
      </c>
      <c r="I17162">
        <f>IF(DATOS!$I17162="","",IFERROR(VLOOKUP(DATOS!$I17162,CONFIG_ASIGNATURAS!$B$2:$J$91,9,FALSE()),""))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IF(DATOS!$A17163="",0,IF(CONFIG_METADATA!$B$4&lt;&gt;"OR+EX",--(DATOS!$G17163=CONFIG_METADATA!$B$4),IF(DATOS!$G17163="EX",1,IF(DATOS!$G17163="OR",--(COUNTIFS(nNIA,DATOS!$A17163,nCURSO,DATOS!$D17163,nESPEC,DATOS!$E17163,nASIG,DATOS!$I17163,nEVAL,"EX")=0),0))))</f>
      </c>
      <c r="H17163">
        <f>IF(DATOS!$G17163&lt;&gt;"EX",0,--(COUNTIFS(nNIA,DATOS!$A17163,nCURSO,DATOS!$D17163,nESPEC,DATOS!$E17163,nASIG,DATOS!$I17163,nEVAL,"OR")=0))</f>
      </c>
      <c r="I17163">
        <f>IF(DATOS!$I17163="","",IFERROR(VLOOKUP(DATOS!$I17163,CONFIG_ASIGNATURAS!$B$2:$J$91,9,FALSE()),""))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IF(DATOS!$A17164="",0,IF(CONFIG_METADATA!$B$4&lt;&gt;"OR+EX",--(DATOS!$G17164=CONFIG_METADATA!$B$4),IF(DATOS!$G17164="EX",1,IF(DATOS!$G17164="OR",--(COUNTIFS(nNIA,DATOS!$A17164,nCURSO,DATOS!$D17164,nESPEC,DATOS!$E17164,nASIG,DATOS!$I17164,nEVAL,"EX")=0),0))))</f>
      </c>
      <c r="H17164">
        <f>IF(DATOS!$G17164&lt;&gt;"EX",0,--(COUNTIFS(nNIA,DATOS!$A17164,nCURSO,DATOS!$D17164,nESPEC,DATOS!$E17164,nASIG,DATOS!$I17164,nEVAL,"OR")=0))</f>
      </c>
      <c r="I17164">
        <f>IF(DATOS!$I17164="","",IFERROR(VLOOKUP(DATOS!$I17164,CONFIG_ASIGNATURAS!$B$2:$J$91,9,FALSE()),""))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IF(DATOS!$A17165="",0,IF(CONFIG_METADATA!$B$4&lt;&gt;"OR+EX",--(DATOS!$G17165=CONFIG_METADATA!$B$4),IF(DATOS!$G17165="EX",1,IF(DATOS!$G17165="OR",--(COUNTIFS(nNIA,DATOS!$A17165,nCURSO,DATOS!$D17165,nESPEC,DATOS!$E17165,nASIG,DATOS!$I17165,nEVAL,"EX")=0),0))))</f>
      </c>
      <c r="H17165">
        <f>IF(DATOS!$G17165&lt;&gt;"EX",0,--(COUNTIFS(nNIA,DATOS!$A17165,nCURSO,DATOS!$D17165,nESPEC,DATOS!$E17165,nASIG,DATOS!$I17165,nEVAL,"OR")=0))</f>
      </c>
      <c r="I17165">
        <f>IF(DATOS!$I17165="","",IFERROR(VLOOKUP(DATOS!$I17165,CONFIG_ASIGNATURAS!$B$2:$J$91,9,FALSE()),""))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IF(DATOS!$A17166="",0,IF(CONFIG_METADATA!$B$4&lt;&gt;"OR+EX",--(DATOS!$G17166=CONFIG_METADATA!$B$4),IF(DATOS!$G17166="EX",1,IF(DATOS!$G17166="OR",--(COUNTIFS(nNIA,DATOS!$A17166,nCURSO,DATOS!$D17166,nESPEC,DATOS!$E17166,nASIG,DATOS!$I17166,nEVAL,"EX")=0),0))))</f>
      </c>
      <c r="H17166">
        <f>IF(DATOS!$G17166&lt;&gt;"EX",0,--(COUNTIFS(nNIA,DATOS!$A17166,nCURSO,DATOS!$D17166,nESPEC,DATOS!$E17166,nASIG,DATOS!$I17166,nEVAL,"OR")=0))</f>
      </c>
      <c r="I17166">
        <f>IF(DATOS!$I17166="","",IFERROR(VLOOKUP(DATOS!$I17166,CONFIG_ASIGNATURAS!$B$2:$J$91,9,FALSE()),""))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IF(DATOS!$A17167="",0,IF(CONFIG_METADATA!$B$4&lt;&gt;"OR+EX",--(DATOS!$G17167=CONFIG_METADATA!$B$4),IF(DATOS!$G17167="EX",1,IF(DATOS!$G17167="OR",--(COUNTIFS(nNIA,DATOS!$A17167,nCURSO,DATOS!$D17167,nESPEC,DATOS!$E17167,nASIG,DATOS!$I17167,nEVAL,"EX")=0),0))))</f>
      </c>
      <c r="H17167">
        <f>IF(DATOS!$G17167&lt;&gt;"EX",0,--(COUNTIFS(nNIA,DATOS!$A17167,nCURSO,DATOS!$D17167,nESPEC,DATOS!$E17167,nASIG,DATOS!$I17167,nEVAL,"OR")=0))</f>
      </c>
      <c r="I17167">
        <f>IF(DATOS!$I17167="","",IFERROR(VLOOKUP(DATOS!$I17167,CONFIG_ASIGNATURAS!$B$2:$J$91,9,FALSE()),""))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IF(DATOS!$A17168="",0,IF(CONFIG_METADATA!$B$4&lt;&gt;"OR+EX",--(DATOS!$G17168=CONFIG_METADATA!$B$4),IF(DATOS!$G17168="EX",1,IF(DATOS!$G17168="OR",--(COUNTIFS(nNIA,DATOS!$A17168,nCURSO,DATOS!$D17168,nESPEC,DATOS!$E17168,nASIG,DATOS!$I17168,nEVAL,"EX")=0),0))))</f>
      </c>
      <c r="H17168">
        <f>IF(DATOS!$G17168&lt;&gt;"EX",0,--(COUNTIFS(nNIA,DATOS!$A17168,nCURSO,DATOS!$D17168,nESPEC,DATOS!$E17168,nASIG,DATOS!$I17168,nEVAL,"OR")=0))</f>
      </c>
      <c r="I17168">
        <f>IF(DATOS!$I17168="","",IFERROR(VLOOKUP(DATOS!$I17168,CONFIG_ASIGNATURAS!$B$2:$J$91,9,FALSE()),""))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IF(DATOS!$A17169="",0,IF(CONFIG_METADATA!$B$4&lt;&gt;"OR+EX",--(DATOS!$G17169=CONFIG_METADATA!$B$4),IF(DATOS!$G17169="EX",1,IF(DATOS!$G17169="OR",--(COUNTIFS(nNIA,DATOS!$A17169,nCURSO,DATOS!$D17169,nESPEC,DATOS!$E17169,nASIG,DATOS!$I17169,nEVAL,"EX")=0),0))))</f>
      </c>
      <c r="H17169">
        <f>IF(DATOS!$G17169&lt;&gt;"EX",0,--(COUNTIFS(nNIA,DATOS!$A17169,nCURSO,DATOS!$D17169,nESPEC,DATOS!$E17169,nASIG,DATOS!$I17169,nEVAL,"OR")=0))</f>
      </c>
      <c r="I17169">
        <f>IF(DATOS!$I17169="","",IFERROR(VLOOKUP(DATOS!$I17169,CONFIG_ASIGNATURAS!$B$2:$J$91,9,FALSE()),""))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IF(DATOS!$A17170="",0,IF(CONFIG_METADATA!$B$4&lt;&gt;"OR+EX",--(DATOS!$G17170=CONFIG_METADATA!$B$4),IF(DATOS!$G17170="EX",1,IF(DATOS!$G17170="OR",--(COUNTIFS(nNIA,DATOS!$A17170,nCURSO,DATOS!$D17170,nESPEC,DATOS!$E17170,nASIG,DATOS!$I17170,nEVAL,"EX")=0),0))))</f>
      </c>
      <c r="H17170">
        <f>IF(DATOS!$G17170&lt;&gt;"EX",0,--(COUNTIFS(nNIA,DATOS!$A17170,nCURSO,DATOS!$D17170,nESPEC,DATOS!$E17170,nASIG,DATOS!$I17170,nEVAL,"OR")=0))</f>
      </c>
      <c r="I17170">
        <f>IF(DATOS!$I17170="","",IFERROR(VLOOKUP(DATOS!$I17170,CONFIG_ASIGNATURAS!$B$2:$J$91,9,FALSE()),""))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IF(DATOS!$A17171="",0,IF(CONFIG_METADATA!$B$4&lt;&gt;"OR+EX",--(DATOS!$G17171=CONFIG_METADATA!$B$4),IF(DATOS!$G17171="EX",1,IF(DATOS!$G17171="OR",--(COUNTIFS(nNIA,DATOS!$A17171,nCURSO,DATOS!$D17171,nESPEC,DATOS!$E17171,nASIG,DATOS!$I17171,nEVAL,"EX")=0),0))))</f>
      </c>
      <c r="H17171">
        <f>IF(DATOS!$G17171&lt;&gt;"EX",0,--(COUNTIFS(nNIA,DATOS!$A17171,nCURSO,DATOS!$D17171,nESPEC,DATOS!$E17171,nASIG,DATOS!$I17171,nEVAL,"OR")=0))</f>
      </c>
      <c r="I17171">
        <f>IF(DATOS!$I17171="","",IFERROR(VLOOKUP(DATOS!$I17171,CONFIG_ASIGNATURAS!$B$2:$J$91,9,FALSE()),""))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IF(DATOS!$A17172="",0,IF(CONFIG_METADATA!$B$4&lt;&gt;"OR+EX",--(DATOS!$G17172=CONFIG_METADATA!$B$4),IF(DATOS!$G17172="EX",1,IF(DATOS!$G17172="OR",--(COUNTIFS(nNIA,DATOS!$A17172,nCURSO,DATOS!$D17172,nESPEC,DATOS!$E17172,nASIG,DATOS!$I17172,nEVAL,"EX")=0),0))))</f>
      </c>
      <c r="H17172">
        <f>IF(DATOS!$G17172&lt;&gt;"EX",0,--(COUNTIFS(nNIA,DATOS!$A17172,nCURSO,DATOS!$D17172,nESPEC,DATOS!$E17172,nASIG,DATOS!$I17172,nEVAL,"OR")=0))</f>
      </c>
      <c r="I17172">
        <f>IF(DATOS!$I17172="","",IFERROR(VLOOKUP(DATOS!$I17172,CONFIG_ASIGNATURAS!$B$2:$J$91,9,FALSE()),""))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IF(DATOS!$A17173="",0,IF(CONFIG_METADATA!$B$4&lt;&gt;"OR+EX",--(DATOS!$G17173=CONFIG_METADATA!$B$4),IF(DATOS!$G17173="EX",1,IF(DATOS!$G17173="OR",--(COUNTIFS(nNIA,DATOS!$A17173,nCURSO,DATOS!$D17173,nESPEC,DATOS!$E17173,nASIG,DATOS!$I17173,nEVAL,"EX")=0),0))))</f>
      </c>
      <c r="H17173">
        <f>IF(DATOS!$G17173&lt;&gt;"EX",0,--(COUNTIFS(nNIA,DATOS!$A17173,nCURSO,DATOS!$D17173,nESPEC,DATOS!$E17173,nASIG,DATOS!$I17173,nEVAL,"OR")=0))</f>
      </c>
      <c r="I17173">
        <f>IF(DATOS!$I17173="","",IFERROR(VLOOKUP(DATOS!$I17173,CONFIG_ASIGNATURAS!$B$2:$J$91,9,FALSE()),""))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IF(DATOS!$A17174="",0,IF(CONFIG_METADATA!$B$4&lt;&gt;"OR+EX",--(DATOS!$G17174=CONFIG_METADATA!$B$4),IF(DATOS!$G17174="EX",1,IF(DATOS!$G17174="OR",--(COUNTIFS(nNIA,DATOS!$A17174,nCURSO,DATOS!$D17174,nESPEC,DATOS!$E17174,nASIG,DATOS!$I17174,nEVAL,"EX")=0),0))))</f>
      </c>
      <c r="H17174">
        <f>IF(DATOS!$G17174&lt;&gt;"EX",0,--(COUNTIFS(nNIA,DATOS!$A17174,nCURSO,DATOS!$D17174,nESPEC,DATOS!$E17174,nASIG,DATOS!$I17174,nEVAL,"OR")=0))</f>
      </c>
      <c r="I17174">
        <f>IF(DATOS!$I17174="","",IFERROR(VLOOKUP(DATOS!$I17174,CONFIG_ASIGNATURAS!$B$2:$J$91,9,FALSE()),""))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IF(DATOS!$A17175="",0,IF(CONFIG_METADATA!$B$4&lt;&gt;"OR+EX",--(DATOS!$G17175=CONFIG_METADATA!$B$4),IF(DATOS!$G17175="EX",1,IF(DATOS!$G17175="OR",--(COUNTIFS(nNIA,DATOS!$A17175,nCURSO,DATOS!$D17175,nESPEC,DATOS!$E17175,nASIG,DATOS!$I17175,nEVAL,"EX")=0),0))))</f>
      </c>
      <c r="H17175">
        <f>IF(DATOS!$G17175&lt;&gt;"EX",0,--(COUNTIFS(nNIA,DATOS!$A17175,nCURSO,DATOS!$D17175,nESPEC,DATOS!$E17175,nASIG,DATOS!$I17175,nEVAL,"OR")=0))</f>
      </c>
      <c r="I17175">
        <f>IF(DATOS!$I17175="","",IFERROR(VLOOKUP(DATOS!$I17175,CONFIG_ASIGNATURAS!$B$2:$J$91,9,FALSE()),""))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IF(DATOS!$A17176="",0,IF(CONFIG_METADATA!$B$4&lt;&gt;"OR+EX",--(DATOS!$G17176=CONFIG_METADATA!$B$4),IF(DATOS!$G17176="EX",1,IF(DATOS!$G17176="OR",--(COUNTIFS(nNIA,DATOS!$A17176,nCURSO,DATOS!$D17176,nESPEC,DATOS!$E17176,nASIG,DATOS!$I17176,nEVAL,"EX")=0),0))))</f>
      </c>
      <c r="H17176">
        <f>IF(DATOS!$G17176&lt;&gt;"EX",0,--(COUNTIFS(nNIA,DATOS!$A17176,nCURSO,DATOS!$D17176,nESPEC,DATOS!$E17176,nASIG,DATOS!$I17176,nEVAL,"OR")=0))</f>
      </c>
      <c r="I17176">
        <f>IF(DATOS!$I17176="","",IFERROR(VLOOKUP(DATOS!$I17176,CONFIG_ASIGNATURAS!$B$2:$J$91,9,FALSE()),""))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IF(DATOS!$A17177="",0,IF(CONFIG_METADATA!$B$4&lt;&gt;"OR+EX",--(DATOS!$G17177=CONFIG_METADATA!$B$4),IF(DATOS!$G17177="EX",1,IF(DATOS!$G17177="OR",--(COUNTIFS(nNIA,DATOS!$A17177,nCURSO,DATOS!$D17177,nESPEC,DATOS!$E17177,nASIG,DATOS!$I17177,nEVAL,"EX")=0),0))))</f>
      </c>
      <c r="H17177">
        <f>IF(DATOS!$G17177&lt;&gt;"EX",0,--(COUNTIFS(nNIA,DATOS!$A17177,nCURSO,DATOS!$D17177,nESPEC,DATOS!$E17177,nASIG,DATOS!$I17177,nEVAL,"OR")=0))</f>
      </c>
      <c r="I17177">
        <f>IF(DATOS!$I17177="","",IFERROR(VLOOKUP(DATOS!$I17177,CONFIG_ASIGNATURAS!$B$2:$J$91,9,FALSE()),""))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IF(DATOS!$A17178="",0,IF(CONFIG_METADATA!$B$4&lt;&gt;"OR+EX",--(DATOS!$G17178=CONFIG_METADATA!$B$4),IF(DATOS!$G17178="EX",1,IF(DATOS!$G17178="OR",--(COUNTIFS(nNIA,DATOS!$A17178,nCURSO,DATOS!$D17178,nESPEC,DATOS!$E17178,nASIG,DATOS!$I17178,nEVAL,"EX")=0),0))))</f>
      </c>
      <c r="H17178">
        <f>IF(DATOS!$G17178&lt;&gt;"EX",0,--(COUNTIFS(nNIA,DATOS!$A17178,nCURSO,DATOS!$D17178,nESPEC,DATOS!$E17178,nASIG,DATOS!$I17178,nEVAL,"OR")=0))</f>
      </c>
      <c r="I17178">
        <f>IF(DATOS!$I17178="","",IFERROR(VLOOKUP(DATOS!$I17178,CONFIG_ASIGNATURAS!$B$2:$J$91,9,FALSE()),""))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IF(DATOS!$A17179="",0,IF(CONFIG_METADATA!$B$4&lt;&gt;"OR+EX",--(DATOS!$G17179=CONFIG_METADATA!$B$4),IF(DATOS!$G17179="EX",1,IF(DATOS!$G17179="OR",--(COUNTIFS(nNIA,DATOS!$A17179,nCURSO,DATOS!$D17179,nESPEC,DATOS!$E17179,nASIG,DATOS!$I17179,nEVAL,"EX")=0),0))))</f>
      </c>
      <c r="H17179">
        <f>IF(DATOS!$G17179&lt;&gt;"EX",0,--(COUNTIFS(nNIA,DATOS!$A17179,nCURSO,DATOS!$D17179,nESPEC,DATOS!$E17179,nASIG,DATOS!$I17179,nEVAL,"OR")=0))</f>
      </c>
      <c r="I17179">
        <f>IF(DATOS!$I17179="","",IFERROR(VLOOKUP(DATOS!$I17179,CONFIG_ASIGNATURAS!$B$2:$J$91,9,FALSE()),""))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IF(DATOS!$A17180="",0,IF(CONFIG_METADATA!$B$4&lt;&gt;"OR+EX",--(DATOS!$G17180=CONFIG_METADATA!$B$4),IF(DATOS!$G17180="EX",1,IF(DATOS!$G17180="OR",--(COUNTIFS(nNIA,DATOS!$A17180,nCURSO,DATOS!$D17180,nESPEC,DATOS!$E17180,nASIG,DATOS!$I17180,nEVAL,"EX")=0),0))))</f>
      </c>
      <c r="H17180">
        <f>IF(DATOS!$G17180&lt;&gt;"EX",0,--(COUNTIFS(nNIA,DATOS!$A17180,nCURSO,DATOS!$D17180,nESPEC,DATOS!$E17180,nASIG,DATOS!$I17180,nEVAL,"OR")=0))</f>
      </c>
      <c r="I17180">
        <f>IF(DATOS!$I17180="","",IFERROR(VLOOKUP(DATOS!$I17180,CONFIG_ASIGNATURAS!$B$2:$J$91,9,FALSE()),""))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IF(DATOS!$A17181="",0,IF(CONFIG_METADATA!$B$4&lt;&gt;"OR+EX",--(DATOS!$G17181=CONFIG_METADATA!$B$4),IF(DATOS!$G17181="EX",1,IF(DATOS!$G17181="OR",--(COUNTIFS(nNIA,DATOS!$A17181,nCURSO,DATOS!$D17181,nESPEC,DATOS!$E17181,nASIG,DATOS!$I17181,nEVAL,"EX")=0),0))))</f>
      </c>
      <c r="H17181">
        <f>IF(DATOS!$G17181&lt;&gt;"EX",0,--(COUNTIFS(nNIA,DATOS!$A17181,nCURSO,DATOS!$D17181,nESPEC,DATOS!$E17181,nASIG,DATOS!$I17181,nEVAL,"OR")=0))</f>
      </c>
      <c r="I17181">
        <f>IF(DATOS!$I17181="","",IFERROR(VLOOKUP(DATOS!$I17181,CONFIG_ASIGNATURAS!$B$2:$J$91,9,FALSE()),""))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IF(DATOS!$A17182="",0,IF(CONFIG_METADATA!$B$4&lt;&gt;"OR+EX",--(DATOS!$G17182=CONFIG_METADATA!$B$4),IF(DATOS!$G17182="EX",1,IF(DATOS!$G17182="OR",--(COUNTIFS(nNIA,DATOS!$A17182,nCURSO,DATOS!$D17182,nESPEC,DATOS!$E17182,nASIG,DATOS!$I17182,nEVAL,"EX")=0),0))))</f>
      </c>
      <c r="H17182">
        <f>IF(DATOS!$G17182&lt;&gt;"EX",0,--(COUNTIFS(nNIA,DATOS!$A17182,nCURSO,DATOS!$D17182,nESPEC,DATOS!$E17182,nASIG,DATOS!$I17182,nEVAL,"OR")=0))</f>
      </c>
      <c r="I17182">
        <f>IF(DATOS!$I17182="","",IFERROR(VLOOKUP(DATOS!$I17182,CONFIG_ASIGNATURAS!$B$2:$J$91,9,FALSE()),""))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IF(DATOS!$A17183="",0,IF(CONFIG_METADATA!$B$4&lt;&gt;"OR+EX",--(DATOS!$G17183=CONFIG_METADATA!$B$4),IF(DATOS!$G17183="EX",1,IF(DATOS!$G17183="OR",--(COUNTIFS(nNIA,DATOS!$A17183,nCURSO,DATOS!$D17183,nESPEC,DATOS!$E17183,nASIG,DATOS!$I17183,nEVAL,"EX")=0),0))))</f>
      </c>
      <c r="H17183">
        <f>IF(DATOS!$G17183&lt;&gt;"EX",0,--(COUNTIFS(nNIA,DATOS!$A17183,nCURSO,DATOS!$D17183,nESPEC,DATOS!$E17183,nASIG,DATOS!$I17183,nEVAL,"OR")=0))</f>
      </c>
      <c r="I17183">
        <f>IF(DATOS!$I17183="","",IFERROR(VLOOKUP(DATOS!$I17183,CONFIG_ASIGNATURAS!$B$2:$J$91,9,FALSE()),""))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IF(DATOS!$A17184="",0,IF(CONFIG_METADATA!$B$4&lt;&gt;"OR+EX",--(DATOS!$G17184=CONFIG_METADATA!$B$4),IF(DATOS!$G17184="EX",1,IF(DATOS!$G17184="OR",--(COUNTIFS(nNIA,DATOS!$A17184,nCURSO,DATOS!$D17184,nESPEC,DATOS!$E17184,nASIG,DATOS!$I17184,nEVAL,"EX")=0),0))))</f>
      </c>
      <c r="H17184">
        <f>IF(DATOS!$G17184&lt;&gt;"EX",0,--(COUNTIFS(nNIA,DATOS!$A17184,nCURSO,DATOS!$D17184,nESPEC,DATOS!$E17184,nASIG,DATOS!$I17184,nEVAL,"OR")=0))</f>
      </c>
      <c r="I17184">
        <f>IF(DATOS!$I17184="","",IFERROR(VLOOKUP(DATOS!$I17184,CONFIG_ASIGNATURAS!$B$2:$J$91,9,FALSE()),""))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IF(DATOS!$A17185="",0,IF(CONFIG_METADATA!$B$4&lt;&gt;"OR+EX",--(DATOS!$G17185=CONFIG_METADATA!$B$4),IF(DATOS!$G17185="EX",1,IF(DATOS!$G17185="OR",--(COUNTIFS(nNIA,DATOS!$A17185,nCURSO,DATOS!$D17185,nESPEC,DATOS!$E17185,nASIG,DATOS!$I17185,nEVAL,"EX")=0),0))))</f>
      </c>
      <c r="H17185">
        <f>IF(DATOS!$G17185&lt;&gt;"EX",0,--(COUNTIFS(nNIA,DATOS!$A17185,nCURSO,DATOS!$D17185,nESPEC,DATOS!$E17185,nASIG,DATOS!$I17185,nEVAL,"OR")=0))</f>
      </c>
      <c r="I17185">
        <f>IF(DATOS!$I17185="","",IFERROR(VLOOKUP(DATOS!$I17185,CONFIG_ASIGNATURAS!$B$2:$J$91,9,FALSE()),""))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IF(DATOS!$A17186="",0,IF(CONFIG_METADATA!$B$4&lt;&gt;"OR+EX",--(DATOS!$G17186=CONFIG_METADATA!$B$4),IF(DATOS!$G17186="EX",1,IF(DATOS!$G17186="OR",--(COUNTIFS(nNIA,DATOS!$A17186,nCURSO,DATOS!$D17186,nESPEC,DATOS!$E17186,nASIG,DATOS!$I17186,nEVAL,"EX")=0),0))))</f>
      </c>
      <c r="H17186">
        <f>IF(DATOS!$G17186&lt;&gt;"EX",0,--(COUNTIFS(nNIA,DATOS!$A17186,nCURSO,DATOS!$D17186,nESPEC,DATOS!$E17186,nASIG,DATOS!$I17186,nEVAL,"OR")=0))</f>
      </c>
      <c r="I17186">
        <f>IF(DATOS!$I17186="","",IFERROR(VLOOKUP(DATOS!$I17186,CONFIG_ASIGNATURAS!$B$2:$J$91,9,FALSE()),""))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IF(DATOS!$A17187="",0,IF(CONFIG_METADATA!$B$4&lt;&gt;"OR+EX",--(DATOS!$G17187=CONFIG_METADATA!$B$4),IF(DATOS!$G17187="EX",1,IF(DATOS!$G17187="OR",--(COUNTIFS(nNIA,DATOS!$A17187,nCURSO,DATOS!$D17187,nESPEC,DATOS!$E17187,nASIG,DATOS!$I17187,nEVAL,"EX")=0),0))))</f>
      </c>
      <c r="H17187">
        <f>IF(DATOS!$G17187&lt;&gt;"EX",0,--(COUNTIFS(nNIA,DATOS!$A17187,nCURSO,DATOS!$D17187,nESPEC,DATOS!$E17187,nASIG,DATOS!$I17187,nEVAL,"OR")=0))</f>
      </c>
      <c r="I17187">
        <f>IF(DATOS!$I17187="","",IFERROR(VLOOKUP(DATOS!$I17187,CONFIG_ASIGNATURAS!$B$2:$J$91,9,FALSE()),""))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IF(DATOS!$A17188="",0,IF(CONFIG_METADATA!$B$4&lt;&gt;"OR+EX",--(DATOS!$G17188=CONFIG_METADATA!$B$4),IF(DATOS!$G17188="EX",1,IF(DATOS!$G17188="OR",--(COUNTIFS(nNIA,DATOS!$A17188,nCURSO,DATOS!$D17188,nESPEC,DATOS!$E17188,nASIG,DATOS!$I17188,nEVAL,"EX")=0),0))))</f>
      </c>
      <c r="H17188">
        <f>IF(DATOS!$G17188&lt;&gt;"EX",0,--(COUNTIFS(nNIA,DATOS!$A17188,nCURSO,DATOS!$D17188,nESPEC,DATOS!$E17188,nASIG,DATOS!$I17188,nEVAL,"OR")=0))</f>
      </c>
      <c r="I17188">
        <f>IF(DATOS!$I17188="","",IFERROR(VLOOKUP(DATOS!$I17188,CONFIG_ASIGNATURAS!$B$2:$J$91,9,FALSE()),""))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IF(DATOS!$A17189="",0,IF(CONFIG_METADATA!$B$4&lt;&gt;"OR+EX",--(DATOS!$G17189=CONFIG_METADATA!$B$4),IF(DATOS!$G17189="EX",1,IF(DATOS!$G17189="OR",--(COUNTIFS(nNIA,DATOS!$A17189,nCURSO,DATOS!$D17189,nESPEC,DATOS!$E17189,nASIG,DATOS!$I17189,nEVAL,"EX")=0),0))))</f>
      </c>
      <c r="H17189">
        <f>IF(DATOS!$G17189&lt;&gt;"EX",0,--(COUNTIFS(nNIA,DATOS!$A17189,nCURSO,DATOS!$D17189,nESPEC,DATOS!$E17189,nASIG,DATOS!$I17189,nEVAL,"OR")=0))</f>
      </c>
      <c r="I17189">
        <f>IF(DATOS!$I17189="","",IFERROR(VLOOKUP(DATOS!$I17189,CONFIG_ASIGNATURAS!$B$2:$J$91,9,FALSE()),""))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IF(DATOS!$A17190="",0,IF(CONFIG_METADATA!$B$4&lt;&gt;"OR+EX",--(DATOS!$G17190=CONFIG_METADATA!$B$4),IF(DATOS!$G17190="EX",1,IF(DATOS!$G17190="OR",--(COUNTIFS(nNIA,DATOS!$A17190,nCURSO,DATOS!$D17190,nESPEC,DATOS!$E17190,nASIG,DATOS!$I17190,nEVAL,"EX")=0),0))))</f>
      </c>
      <c r="H17190">
        <f>IF(DATOS!$G17190&lt;&gt;"EX",0,--(COUNTIFS(nNIA,DATOS!$A17190,nCURSO,DATOS!$D17190,nESPEC,DATOS!$E17190,nASIG,DATOS!$I17190,nEVAL,"OR")=0))</f>
      </c>
      <c r="I17190">
        <f>IF(DATOS!$I17190="","",IFERROR(VLOOKUP(DATOS!$I17190,CONFIG_ASIGNATURAS!$B$2:$J$91,9,FALSE()),""))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IF(DATOS!$A17191="",0,IF(CONFIG_METADATA!$B$4&lt;&gt;"OR+EX",--(DATOS!$G17191=CONFIG_METADATA!$B$4),IF(DATOS!$G17191="EX",1,IF(DATOS!$G17191="OR",--(COUNTIFS(nNIA,DATOS!$A17191,nCURSO,DATOS!$D17191,nESPEC,DATOS!$E17191,nASIG,DATOS!$I17191,nEVAL,"EX")=0),0))))</f>
      </c>
      <c r="H17191">
        <f>IF(DATOS!$G17191&lt;&gt;"EX",0,--(COUNTIFS(nNIA,DATOS!$A17191,nCURSO,DATOS!$D17191,nESPEC,DATOS!$E17191,nASIG,DATOS!$I17191,nEVAL,"OR")=0))</f>
      </c>
      <c r="I17191">
        <f>IF(DATOS!$I17191="","",IFERROR(VLOOKUP(DATOS!$I17191,CONFIG_ASIGNATURAS!$B$2:$J$91,9,FALSE()),""))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IF(DATOS!$A17192="",0,IF(CONFIG_METADATA!$B$4&lt;&gt;"OR+EX",--(DATOS!$G17192=CONFIG_METADATA!$B$4),IF(DATOS!$G17192="EX",1,IF(DATOS!$G17192="OR",--(COUNTIFS(nNIA,DATOS!$A17192,nCURSO,DATOS!$D17192,nESPEC,DATOS!$E17192,nASIG,DATOS!$I17192,nEVAL,"EX")=0),0))))</f>
      </c>
      <c r="H17192">
        <f>IF(DATOS!$G17192&lt;&gt;"EX",0,--(COUNTIFS(nNIA,DATOS!$A17192,nCURSO,DATOS!$D17192,nESPEC,DATOS!$E17192,nASIG,DATOS!$I17192,nEVAL,"OR")=0))</f>
      </c>
      <c r="I17192">
        <f>IF(DATOS!$I17192="","",IFERROR(VLOOKUP(DATOS!$I17192,CONFIG_ASIGNATURAS!$B$2:$J$91,9,FALSE()),""))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IF(DATOS!$A17193="",0,IF(CONFIG_METADATA!$B$4&lt;&gt;"OR+EX",--(DATOS!$G17193=CONFIG_METADATA!$B$4),IF(DATOS!$G17193="EX",1,IF(DATOS!$G17193="OR",--(COUNTIFS(nNIA,DATOS!$A17193,nCURSO,DATOS!$D17193,nESPEC,DATOS!$E17193,nASIG,DATOS!$I17193,nEVAL,"EX")=0),0))))</f>
      </c>
      <c r="H17193">
        <f>IF(DATOS!$G17193&lt;&gt;"EX",0,--(COUNTIFS(nNIA,DATOS!$A17193,nCURSO,DATOS!$D17193,nESPEC,DATOS!$E17193,nASIG,DATOS!$I17193,nEVAL,"OR")=0))</f>
      </c>
      <c r="I17193">
        <f>IF(DATOS!$I17193="","",IFERROR(VLOOKUP(DATOS!$I17193,CONFIG_ASIGNATURAS!$B$2:$J$91,9,FALSE()),""))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IF(DATOS!$A17194="",0,IF(CONFIG_METADATA!$B$4&lt;&gt;"OR+EX",--(DATOS!$G17194=CONFIG_METADATA!$B$4),IF(DATOS!$G17194="EX",1,IF(DATOS!$G17194="OR",--(COUNTIFS(nNIA,DATOS!$A17194,nCURSO,DATOS!$D17194,nESPEC,DATOS!$E17194,nASIG,DATOS!$I17194,nEVAL,"EX")=0),0))))</f>
      </c>
      <c r="H17194">
        <f>IF(DATOS!$G17194&lt;&gt;"EX",0,--(COUNTIFS(nNIA,DATOS!$A17194,nCURSO,DATOS!$D17194,nESPEC,DATOS!$E17194,nASIG,DATOS!$I17194,nEVAL,"OR")=0))</f>
      </c>
      <c r="I17194">
        <f>IF(DATOS!$I17194="","",IFERROR(VLOOKUP(DATOS!$I17194,CONFIG_ASIGNATURAS!$B$2:$J$91,9,FALSE()),""))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IF(DATOS!$A17195="",0,IF(CONFIG_METADATA!$B$4&lt;&gt;"OR+EX",--(DATOS!$G17195=CONFIG_METADATA!$B$4),IF(DATOS!$G17195="EX",1,IF(DATOS!$G17195="OR",--(COUNTIFS(nNIA,DATOS!$A17195,nCURSO,DATOS!$D17195,nESPEC,DATOS!$E17195,nASIG,DATOS!$I17195,nEVAL,"EX")=0),0))))</f>
      </c>
      <c r="H17195">
        <f>IF(DATOS!$G17195&lt;&gt;"EX",0,--(COUNTIFS(nNIA,DATOS!$A17195,nCURSO,DATOS!$D17195,nESPEC,DATOS!$E17195,nASIG,DATOS!$I17195,nEVAL,"OR")=0))</f>
      </c>
      <c r="I17195">
        <f>IF(DATOS!$I17195="","",IFERROR(VLOOKUP(DATOS!$I17195,CONFIG_ASIGNATURAS!$B$2:$J$91,9,FALSE()),""))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IF(DATOS!$A17196="",0,IF(CONFIG_METADATA!$B$4&lt;&gt;"OR+EX",--(DATOS!$G17196=CONFIG_METADATA!$B$4),IF(DATOS!$G17196="EX",1,IF(DATOS!$G17196="OR",--(COUNTIFS(nNIA,DATOS!$A17196,nCURSO,DATOS!$D17196,nESPEC,DATOS!$E17196,nASIG,DATOS!$I17196,nEVAL,"EX")=0),0))))</f>
      </c>
      <c r="H17196">
        <f>IF(DATOS!$G17196&lt;&gt;"EX",0,--(COUNTIFS(nNIA,DATOS!$A17196,nCURSO,DATOS!$D17196,nESPEC,DATOS!$E17196,nASIG,DATOS!$I17196,nEVAL,"OR")=0))</f>
      </c>
      <c r="I17196">
        <f>IF(DATOS!$I17196="","",IFERROR(VLOOKUP(DATOS!$I17196,CONFIG_ASIGNATURAS!$B$2:$J$91,9,FALSE()),""))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IF(DATOS!$A17197="",0,IF(CONFIG_METADATA!$B$4&lt;&gt;"OR+EX",--(DATOS!$G17197=CONFIG_METADATA!$B$4),IF(DATOS!$G17197="EX",1,IF(DATOS!$G17197="OR",--(COUNTIFS(nNIA,DATOS!$A17197,nCURSO,DATOS!$D17197,nESPEC,DATOS!$E17197,nASIG,DATOS!$I17197,nEVAL,"EX")=0),0))))</f>
      </c>
      <c r="H17197">
        <f>IF(DATOS!$G17197&lt;&gt;"EX",0,--(COUNTIFS(nNIA,DATOS!$A17197,nCURSO,DATOS!$D17197,nESPEC,DATOS!$E17197,nASIG,DATOS!$I17197,nEVAL,"OR")=0))</f>
      </c>
      <c r="I17197">
        <f>IF(DATOS!$I17197="","",IFERROR(VLOOKUP(DATOS!$I17197,CONFIG_ASIGNATURAS!$B$2:$J$91,9,FALSE()),""))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IF(DATOS!$A17198="",0,IF(CONFIG_METADATA!$B$4&lt;&gt;"OR+EX",--(DATOS!$G17198=CONFIG_METADATA!$B$4),IF(DATOS!$G17198="EX",1,IF(DATOS!$G17198="OR",--(COUNTIFS(nNIA,DATOS!$A17198,nCURSO,DATOS!$D17198,nESPEC,DATOS!$E17198,nASIG,DATOS!$I17198,nEVAL,"EX")=0),0))))</f>
      </c>
      <c r="H17198">
        <f>IF(DATOS!$G17198&lt;&gt;"EX",0,--(COUNTIFS(nNIA,DATOS!$A17198,nCURSO,DATOS!$D17198,nESPEC,DATOS!$E17198,nASIG,DATOS!$I17198,nEVAL,"OR")=0))</f>
      </c>
      <c r="I17198">
        <f>IF(DATOS!$I17198="","",IFERROR(VLOOKUP(DATOS!$I17198,CONFIG_ASIGNATURAS!$B$2:$J$91,9,FALSE()),""))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IF(DATOS!$A17199="",0,IF(CONFIG_METADATA!$B$4&lt;&gt;"OR+EX",--(DATOS!$G17199=CONFIG_METADATA!$B$4),IF(DATOS!$G17199="EX",1,IF(DATOS!$G17199="OR",--(COUNTIFS(nNIA,DATOS!$A17199,nCURSO,DATOS!$D17199,nESPEC,DATOS!$E17199,nASIG,DATOS!$I17199,nEVAL,"EX")=0),0))))</f>
      </c>
      <c r="H17199">
        <f>IF(DATOS!$G17199&lt;&gt;"EX",0,--(COUNTIFS(nNIA,DATOS!$A17199,nCURSO,DATOS!$D17199,nESPEC,DATOS!$E17199,nASIG,DATOS!$I17199,nEVAL,"OR")=0))</f>
      </c>
      <c r="I17199">
        <f>IF(DATOS!$I17199="","",IFERROR(VLOOKUP(DATOS!$I17199,CONFIG_ASIGNATURAS!$B$2:$J$91,9,FALSE()),""))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IF(DATOS!$A17200="",0,IF(CONFIG_METADATA!$B$4&lt;&gt;"OR+EX",--(DATOS!$G17200=CONFIG_METADATA!$B$4),IF(DATOS!$G17200="EX",1,IF(DATOS!$G17200="OR",--(COUNTIFS(nNIA,DATOS!$A17200,nCURSO,DATOS!$D17200,nESPEC,DATOS!$E17200,nASIG,DATOS!$I17200,nEVAL,"EX")=0),0))))</f>
      </c>
      <c r="H17200">
        <f>IF(DATOS!$G17200&lt;&gt;"EX",0,--(COUNTIFS(nNIA,DATOS!$A17200,nCURSO,DATOS!$D17200,nESPEC,DATOS!$E17200,nASIG,DATOS!$I17200,nEVAL,"OR")=0))</f>
      </c>
      <c r="I17200">
        <f>IF(DATOS!$I17200="","",IFERROR(VLOOKUP(DATOS!$I17200,CONFIG_ASIGNATURAS!$B$2:$J$91,9,FALSE()),""))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IF(DATOS!$A17201="",0,IF(CONFIG_METADATA!$B$4&lt;&gt;"OR+EX",--(DATOS!$G17201=CONFIG_METADATA!$B$4),IF(DATOS!$G17201="EX",1,IF(DATOS!$G17201="OR",--(COUNTIFS(nNIA,DATOS!$A17201,nCURSO,DATOS!$D17201,nESPEC,DATOS!$E17201,nASIG,DATOS!$I17201,nEVAL,"EX")=0),0))))</f>
      </c>
      <c r="H17201">
        <f>IF(DATOS!$G17201&lt;&gt;"EX",0,--(COUNTIFS(nNIA,DATOS!$A17201,nCURSO,DATOS!$D17201,nESPEC,DATOS!$E17201,nASIG,DATOS!$I17201,nEVAL,"OR")=0))</f>
      </c>
      <c r="I17201">
        <f>IF(DATOS!$I17201="","",IFERROR(VLOOKUP(DATOS!$I17201,CONFIG_ASIGNATURAS!$B$2:$J$91,9,FALSE()),""))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IF(DATOS!$A17202="",0,IF(CONFIG_METADATA!$B$4&lt;&gt;"OR+EX",--(DATOS!$G17202=CONFIG_METADATA!$B$4),IF(DATOS!$G17202="EX",1,IF(DATOS!$G17202="OR",--(COUNTIFS(nNIA,DATOS!$A17202,nCURSO,DATOS!$D17202,nESPEC,DATOS!$E17202,nASIG,DATOS!$I17202,nEVAL,"EX")=0),0))))</f>
      </c>
      <c r="H17202">
        <f>IF(DATOS!$G17202&lt;&gt;"EX",0,--(COUNTIFS(nNIA,DATOS!$A17202,nCURSO,DATOS!$D17202,nESPEC,DATOS!$E17202,nASIG,DATOS!$I17202,nEVAL,"OR")=0))</f>
      </c>
      <c r="I17202">
        <f>IF(DATOS!$I17202="","",IFERROR(VLOOKUP(DATOS!$I17202,CONFIG_ASIGNATURAS!$B$2:$J$91,9,FALSE()),""))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IF(DATOS!$A17203="",0,IF(CONFIG_METADATA!$B$4&lt;&gt;"OR+EX",--(DATOS!$G17203=CONFIG_METADATA!$B$4),IF(DATOS!$G17203="EX",1,IF(DATOS!$G17203="OR",--(COUNTIFS(nNIA,DATOS!$A17203,nCURSO,DATOS!$D17203,nESPEC,DATOS!$E17203,nASIG,DATOS!$I17203,nEVAL,"EX")=0),0))))</f>
      </c>
      <c r="H17203">
        <f>IF(DATOS!$G17203&lt;&gt;"EX",0,--(COUNTIFS(nNIA,DATOS!$A17203,nCURSO,DATOS!$D17203,nESPEC,DATOS!$E17203,nASIG,DATOS!$I17203,nEVAL,"OR")=0))</f>
      </c>
      <c r="I17203">
        <f>IF(DATOS!$I17203="","",IFERROR(VLOOKUP(DATOS!$I17203,CONFIG_ASIGNATURAS!$B$2:$J$91,9,FALSE()),""))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IF(DATOS!$A17204="",0,IF(CONFIG_METADATA!$B$4&lt;&gt;"OR+EX",--(DATOS!$G17204=CONFIG_METADATA!$B$4),IF(DATOS!$G17204="EX",1,IF(DATOS!$G17204="OR",--(COUNTIFS(nNIA,DATOS!$A17204,nCURSO,DATOS!$D17204,nESPEC,DATOS!$E17204,nASIG,DATOS!$I17204,nEVAL,"EX")=0),0))))</f>
      </c>
      <c r="H17204">
        <f>IF(DATOS!$G17204&lt;&gt;"EX",0,--(COUNTIFS(nNIA,DATOS!$A17204,nCURSO,DATOS!$D17204,nESPEC,DATOS!$E17204,nASIG,DATOS!$I17204,nEVAL,"OR")=0))</f>
      </c>
      <c r="I17204">
        <f>IF(DATOS!$I17204="","",IFERROR(VLOOKUP(DATOS!$I17204,CONFIG_ASIGNATURAS!$B$2:$J$91,9,FALSE()),""))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IF(DATOS!$A17205="",0,IF(CONFIG_METADATA!$B$4&lt;&gt;"OR+EX",--(DATOS!$G17205=CONFIG_METADATA!$B$4),IF(DATOS!$G17205="EX",1,IF(DATOS!$G17205="OR",--(COUNTIFS(nNIA,DATOS!$A17205,nCURSO,DATOS!$D17205,nESPEC,DATOS!$E17205,nASIG,DATOS!$I17205,nEVAL,"EX")=0),0))))</f>
      </c>
      <c r="H17205">
        <f>IF(DATOS!$G17205&lt;&gt;"EX",0,--(COUNTIFS(nNIA,DATOS!$A17205,nCURSO,DATOS!$D17205,nESPEC,DATOS!$E17205,nASIG,DATOS!$I17205,nEVAL,"OR")=0))</f>
      </c>
      <c r="I17205">
        <f>IF(DATOS!$I17205="","",IFERROR(VLOOKUP(DATOS!$I17205,CONFIG_ASIGNATURAS!$B$2:$J$91,9,FALSE()),""))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IF(DATOS!$A17206="",0,IF(CONFIG_METADATA!$B$4&lt;&gt;"OR+EX",--(DATOS!$G17206=CONFIG_METADATA!$B$4),IF(DATOS!$G17206="EX",1,IF(DATOS!$G17206="OR",--(COUNTIFS(nNIA,DATOS!$A17206,nCURSO,DATOS!$D17206,nESPEC,DATOS!$E17206,nASIG,DATOS!$I17206,nEVAL,"EX")=0),0))))</f>
      </c>
      <c r="H17206">
        <f>IF(DATOS!$G17206&lt;&gt;"EX",0,--(COUNTIFS(nNIA,DATOS!$A17206,nCURSO,DATOS!$D17206,nESPEC,DATOS!$E17206,nASIG,DATOS!$I17206,nEVAL,"OR")=0))</f>
      </c>
      <c r="I17206">
        <f>IF(DATOS!$I17206="","",IFERROR(VLOOKUP(DATOS!$I17206,CONFIG_ASIGNATURAS!$B$2:$J$91,9,FALSE()),""))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IF(DATOS!$A17207="",0,IF(CONFIG_METADATA!$B$4&lt;&gt;"OR+EX",--(DATOS!$G17207=CONFIG_METADATA!$B$4),IF(DATOS!$G17207="EX",1,IF(DATOS!$G17207="OR",--(COUNTIFS(nNIA,DATOS!$A17207,nCURSO,DATOS!$D17207,nESPEC,DATOS!$E17207,nASIG,DATOS!$I17207,nEVAL,"EX")=0),0))))</f>
      </c>
      <c r="H17207">
        <f>IF(DATOS!$G17207&lt;&gt;"EX",0,--(COUNTIFS(nNIA,DATOS!$A17207,nCURSO,DATOS!$D17207,nESPEC,DATOS!$E17207,nASIG,DATOS!$I17207,nEVAL,"OR")=0))</f>
      </c>
      <c r="I17207">
        <f>IF(DATOS!$I17207="","",IFERROR(VLOOKUP(DATOS!$I17207,CONFIG_ASIGNATURAS!$B$2:$J$91,9,FALSE()),""))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IF(DATOS!$A17208="",0,IF(CONFIG_METADATA!$B$4&lt;&gt;"OR+EX",--(DATOS!$G17208=CONFIG_METADATA!$B$4),IF(DATOS!$G17208="EX",1,IF(DATOS!$G17208="OR",--(COUNTIFS(nNIA,DATOS!$A17208,nCURSO,DATOS!$D17208,nESPEC,DATOS!$E17208,nASIG,DATOS!$I17208,nEVAL,"EX")=0),0))))</f>
      </c>
      <c r="H17208">
        <f>IF(DATOS!$G17208&lt;&gt;"EX",0,--(COUNTIFS(nNIA,DATOS!$A17208,nCURSO,DATOS!$D17208,nESPEC,DATOS!$E17208,nASIG,DATOS!$I17208,nEVAL,"OR")=0))</f>
      </c>
      <c r="I17208">
        <f>IF(DATOS!$I17208="","",IFERROR(VLOOKUP(DATOS!$I17208,CONFIG_ASIGNATURAS!$B$2:$J$91,9,FALSE()),""))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IF(DATOS!$A17209="",0,IF(CONFIG_METADATA!$B$4&lt;&gt;"OR+EX",--(DATOS!$G17209=CONFIG_METADATA!$B$4),IF(DATOS!$G17209="EX",1,IF(DATOS!$G17209="OR",--(COUNTIFS(nNIA,DATOS!$A17209,nCURSO,DATOS!$D17209,nESPEC,DATOS!$E17209,nASIG,DATOS!$I17209,nEVAL,"EX")=0),0))))</f>
      </c>
      <c r="H17209">
        <f>IF(DATOS!$G17209&lt;&gt;"EX",0,--(COUNTIFS(nNIA,DATOS!$A17209,nCURSO,DATOS!$D17209,nESPEC,DATOS!$E17209,nASIG,DATOS!$I17209,nEVAL,"OR")=0))</f>
      </c>
      <c r="I17209">
        <f>IF(DATOS!$I17209="","",IFERROR(VLOOKUP(DATOS!$I17209,CONFIG_ASIGNATURAS!$B$2:$J$91,9,FALSE()),""))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IF(DATOS!$A17210="",0,IF(CONFIG_METADATA!$B$4&lt;&gt;"OR+EX",--(DATOS!$G17210=CONFIG_METADATA!$B$4),IF(DATOS!$G17210="EX",1,IF(DATOS!$G17210="OR",--(COUNTIFS(nNIA,DATOS!$A17210,nCURSO,DATOS!$D17210,nESPEC,DATOS!$E17210,nASIG,DATOS!$I17210,nEVAL,"EX")=0),0))))</f>
      </c>
      <c r="H17210">
        <f>IF(DATOS!$G17210&lt;&gt;"EX",0,--(COUNTIFS(nNIA,DATOS!$A17210,nCURSO,DATOS!$D17210,nESPEC,DATOS!$E17210,nASIG,DATOS!$I17210,nEVAL,"OR")=0))</f>
      </c>
      <c r="I17210">
        <f>IF(DATOS!$I17210="","",IFERROR(VLOOKUP(DATOS!$I17210,CONFIG_ASIGNATURAS!$B$2:$J$91,9,FALSE()),""))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IF(DATOS!$A17211="",0,IF(CONFIG_METADATA!$B$4&lt;&gt;"OR+EX",--(DATOS!$G17211=CONFIG_METADATA!$B$4),IF(DATOS!$G17211="EX",1,IF(DATOS!$G17211="OR",--(COUNTIFS(nNIA,DATOS!$A17211,nCURSO,DATOS!$D17211,nESPEC,DATOS!$E17211,nASIG,DATOS!$I17211,nEVAL,"EX")=0),0))))</f>
      </c>
      <c r="H17211">
        <f>IF(DATOS!$G17211&lt;&gt;"EX",0,--(COUNTIFS(nNIA,DATOS!$A17211,nCURSO,DATOS!$D17211,nESPEC,DATOS!$E17211,nASIG,DATOS!$I17211,nEVAL,"OR")=0))</f>
      </c>
      <c r="I17211">
        <f>IF(DATOS!$I17211="","",IFERROR(VLOOKUP(DATOS!$I17211,CONFIG_ASIGNATURAS!$B$2:$J$91,9,FALSE()),""))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IF(DATOS!$A17212="",0,IF(CONFIG_METADATA!$B$4&lt;&gt;"OR+EX",--(DATOS!$G17212=CONFIG_METADATA!$B$4),IF(DATOS!$G17212="EX",1,IF(DATOS!$G17212="OR",--(COUNTIFS(nNIA,DATOS!$A17212,nCURSO,DATOS!$D17212,nESPEC,DATOS!$E17212,nASIG,DATOS!$I17212,nEVAL,"EX")=0),0))))</f>
      </c>
      <c r="H17212">
        <f>IF(DATOS!$G17212&lt;&gt;"EX",0,--(COUNTIFS(nNIA,DATOS!$A17212,nCURSO,DATOS!$D17212,nESPEC,DATOS!$E17212,nASIG,DATOS!$I17212,nEVAL,"OR")=0))</f>
      </c>
      <c r="I17212">
        <f>IF(DATOS!$I17212="","",IFERROR(VLOOKUP(DATOS!$I17212,CONFIG_ASIGNATURAS!$B$2:$J$91,9,FALSE()),""))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IF(DATOS!$A17213="",0,IF(CONFIG_METADATA!$B$4&lt;&gt;"OR+EX",--(DATOS!$G17213=CONFIG_METADATA!$B$4),IF(DATOS!$G17213="EX",1,IF(DATOS!$G17213="OR",--(COUNTIFS(nNIA,DATOS!$A17213,nCURSO,DATOS!$D17213,nESPEC,DATOS!$E17213,nASIG,DATOS!$I17213,nEVAL,"EX")=0),0))))</f>
      </c>
      <c r="H17213">
        <f>IF(DATOS!$G17213&lt;&gt;"EX",0,--(COUNTIFS(nNIA,DATOS!$A17213,nCURSO,DATOS!$D17213,nESPEC,DATOS!$E17213,nASIG,DATOS!$I17213,nEVAL,"OR")=0))</f>
      </c>
      <c r="I17213">
        <f>IF(DATOS!$I17213="","",IFERROR(VLOOKUP(DATOS!$I17213,CONFIG_ASIGNATURAS!$B$2:$J$91,9,FALSE()),""))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IF(DATOS!$A17214="",0,IF(CONFIG_METADATA!$B$4&lt;&gt;"OR+EX",--(DATOS!$G17214=CONFIG_METADATA!$B$4),IF(DATOS!$G17214="EX",1,IF(DATOS!$G17214="OR",--(COUNTIFS(nNIA,DATOS!$A17214,nCURSO,DATOS!$D17214,nESPEC,DATOS!$E17214,nASIG,DATOS!$I17214,nEVAL,"EX")=0),0))))</f>
      </c>
      <c r="H17214">
        <f>IF(DATOS!$G17214&lt;&gt;"EX",0,--(COUNTIFS(nNIA,DATOS!$A17214,nCURSO,DATOS!$D17214,nESPEC,DATOS!$E17214,nASIG,DATOS!$I17214,nEVAL,"OR")=0))</f>
      </c>
      <c r="I17214">
        <f>IF(DATOS!$I17214="","",IFERROR(VLOOKUP(DATOS!$I17214,CONFIG_ASIGNATURAS!$B$2:$J$91,9,FALSE()),""))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IF(DATOS!$A17215="",0,IF(CONFIG_METADATA!$B$4&lt;&gt;"OR+EX",--(DATOS!$G17215=CONFIG_METADATA!$B$4),IF(DATOS!$G17215="EX",1,IF(DATOS!$G17215="OR",--(COUNTIFS(nNIA,DATOS!$A17215,nCURSO,DATOS!$D17215,nESPEC,DATOS!$E17215,nASIG,DATOS!$I17215,nEVAL,"EX")=0),0))))</f>
      </c>
      <c r="H17215">
        <f>IF(DATOS!$G17215&lt;&gt;"EX",0,--(COUNTIFS(nNIA,DATOS!$A17215,nCURSO,DATOS!$D17215,nESPEC,DATOS!$E17215,nASIG,DATOS!$I17215,nEVAL,"OR")=0))</f>
      </c>
      <c r="I17215">
        <f>IF(DATOS!$I17215="","",IFERROR(VLOOKUP(DATOS!$I17215,CONFIG_ASIGNATURAS!$B$2:$J$91,9,FALSE()),""))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IF(DATOS!$A17216="",0,IF(CONFIG_METADATA!$B$4&lt;&gt;"OR+EX",--(DATOS!$G17216=CONFIG_METADATA!$B$4),IF(DATOS!$G17216="EX",1,IF(DATOS!$G17216="OR",--(COUNTIFS(nNIA,DATOS!$A17216,nCURSO,DATOS!$D17216,nESPEC,DATOS!$E17216,nASIG,DATOS!$I17216,nEVAL,"EX")=0),0))))</f>
      </c>
      <c r="H17216">
        <f>IF(DATOS!$G17216&lt;&gt;"EX",0,--(COUNTIFS(nNIA,DATOS!$A17216,nCURSO,DATOS!$D17216,nESPEC,DATOS!$E17216,nASIG,DATOS!$I17216,nEVAL,"OR")=0))</f>
      </c>
      <c r="I17216">
        <f>IF(DATOS!$I17216="","",IFERROR(VLOOKUP(DATOS!$I17216,CONFIG_ASIGNATURAS!$B$2:$J$91,9,FALSE()),""))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IF(DATOS!$A17217="",0,IF(CONFIG_METADATA!$B$4&lt;&gt;"OR+EX",--(DATOS!$G17217=CONFIG_METADATA!$B$4),IF(DATOS!$G17217="EX",1,IF(DATOS!$G17217="OR",--(COUNTIFS(nNIA,DATOS!$A17217,nCURSO,DATOS!$D17217,nESPEC,DATOS!$E17217,nASIG,DATOS!$I17217,nEVAL,"EX")=0),0))))</f>
      </c>
      <c r="H17217">
        <f>IF(DATOS!$G17217&lt;&gt;"EX",0,--(COUNTIFS(nNIA,DATOS!$A17217,nCURSO,DATOS!$D17217,nESPEC,DATOS!$E17217,nASIG,DATOS!$I17217,nEVAL,"OR")=0))</f>
      </c>
      <c r="I17217">
        <f>IF(DATOS!$I17217="","",IFERROR(VLOOKUP(DATOS!$I17217,CONFIG_ASIGNATURAS!$B$2:$J$91,9,FALSE()),""))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IF(DATOS!$A17218="",0,IF(CONFIG_METADATA!$B$4&lt;&gt;"OR+EX",--(DATOS!$G17218=CONFIG_METADATA!$B$4),IF(DATOS!$G17218="EX",1,IF(DATOS!$G17218="OR",--(COUNTIFS(nNIA,DATOS!$A17218,nCURSO,DATOS!$D17218,nESPEC,DATOS!$E17218,nASIG,DATOS!$I17218,nEVAL,"EX")=0),0))))</f>
      </c>
      <c r="H17218">
        <f>IF(DATOS!$G17218&lt;&gt;"EX",0,--(COUNTIFS(nNIA,DATOS!$A17218,nCURSO,DATOS!$D17218,nESPEC,DATOS!$E17218,nASIG,DATOS!$I17218,nEVAL,"OR")=0))</f>
      </c>
      <c r="I17218">
        <f>IF(DATOS!$I17218="","",IFERROR(VLOOKUP(DATOS!$I17218,CONFIG_ASIGNATURAS!$B$2:$J$91,9,FALSE()),""))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IF(DATOS!$A17219="",0,IF(CONFIG_METADATA!$B$4&lt;&gt;"OR+EX",--(DATOS!$G17219=CONFIG_METADATA!$B$4),IF(DATOS!$G17219="EX",1,IF(DATOS!$G17219="OR",--(COUNTIFS(nNIA,DATOS!$A17219,nCURSO,DATOS!$D17219,nESPEC,DATOS!$E17219,nASIG,DATOS!$I17219,nEVAL,"EX")=0),0))))</f>
      </c>
      <c r="H17219">
        <f>IF(DATOS!$G17219&lt;&gt;"EX",0,--(COUNTIFS(nNIA,DATOS!$A17219,nCURSO,DATOS!$D17219,nESPEC,DATOS!$E17219,nASIG,DATOS!$I17219,nEVAL,"OR")=0))</f>
      </c>
      <c r="I17219">
        <f>IF(DATOS!$I17219="","",IFERROR(VLOOKUP(DATOS!$I17219,CONFIG_ASIGNATURAS!$B$2:$J$91,9,FALSE()),""))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IF(DATOS!$A17220="",0,IF(CONFIG_METADATA!$B$4&lt;&gt;"OR+EX",--(DATOS!$G17220=CONFIG_METADATA!$B$4),IF(DATOS!$G17220="EX",1,IF(DATOS!$G17220="OR",--(COUNTIFS(nNIA,DATOS!$A17220,nCURSO,DATOS!$D17220,nESPEC,DATOS!$E17220,nASIG,DATOS!$I17220,nEVAL,"EX")=0),0))))</f>
      </c>
      <c r="H17220">
        <f>IF(DATOS!$G17220&lt;&gt;"EX",0,--(COUNTIFS(nNIA,DATOS!$A17220,nCURSO,DATOS!$D17220,nESPEC,DATOS!$E17220,nASIG,DATOS!$I17220,nEVAL,"OR")=0))</f>
      </c>
      <c r="I17220">
        <f>IF(DATOS!$I17220="","",IFERROR(VLOOKUP(DATOS!$I17220,CONFIG_ASIGNATURAS!$B$2:$J$91,9,FALSE()),""))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IF(DATOS!$A17221="",0,IF(CONFIG_METADATA!$B$4&lt;&gt;"OR+EX",--(DATOS!$G17221=CONFIG_METADATA!$B$4),IF(DATOS!$G17221="EX",1,IF(DATOS!$G17221="OR",--(COUNTIFS(nNIA,DATOS!$A17221,nCURSO,DATOS!$D17221,nESPEC,DATOS!$E17221,nASIG,DATOS!$I17221,nEVAL,"EX")=0),0))))</f>
      </c>
      <c r="H17221">
        <f>IF(DATOS!$G17221&lt;&gt;"EX",0,--(COUNTIFS(nNIA,DATOS!$A17221,nCURSO,DATOS!$D17221,nESPEC,DATOS!$E17221,nASIG,DATOS!$I17221,nEVAL,"OR")=0))</f>
      </c>
      <c r="I17221">
        <f>IF(DATOS!$I17221="","",IFERROR(VLOOKUP(DATOS!$I17221,CONFIG_ASIGNATURAS!$B$2:$J$91,9,FALSE()),""))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IF(DATOS!$A17222="",0,IF(CONFIG_METADATA!$B$4&lt;&gt;"OR+EX",--(DATOS!$G17222=CONFIG_METADATA!$B$4),IF(DATOS!$G17222="EX",1,IF(DATOS!$G17222="OR",--(COUNTIFS(nNIA,DATOS!$A17222,nCURSO,DATOS!$D17222,nESPEC,DATOS!$E17222,nASIG,DATOS!$I17222,nEVAL,"EX")=0),0))))</f>
      </c>
      <c r="H17222">
        <f>IF(DATOS!$G17222&lt;&gt;"EX",0,--(COUNTIFS(nNIA,DATOS!$A17222,nCURSO,DATOS!$D17222,nESPEC,DATOS!$E17222,nASIG,DATOS!$I17222,nEVAL,"OR")=0))</f>
      </c>
      <c r="I17222">
        <f>IF(DATOS!$I17222="","",IFERROR(VLOOKUP(DATOS!$I17222,CONFIG_ASIGNATURAS!$B$2:$J$91,9,FALSE()),""))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IF(DATOS!$A17223="",0,IF(CONFIG_METADATA!$B$4&lt;&gt;"OR+EX",--(DATOS!$G17223=CONFIG_METADATA!$B$4),IF(DATOS!$G17223="EX",1,IF(DATOS!$G17223="OR",--(COUNTIFS(nNIA,DATOS!$A17223,nCURSO,DATOS!$D17223,nESPEC,DATOS!$E17223,nASIG,DATOS!$I17223,nEVAL,"EX")=0),0))))</f>
      </c>
      <c r="H17223">
        <f>IF(DATOS!$G17223&lt;&gt;"EX",0,--(COUNTIFS(nNIA,DATOS!$A17223,nCURSO,DATOS!$D17223,nESPEC,DATOS!$E17223,nASIG,DATOS!$I17223,nEVAL,"OR")=0))</f>
      </c>
      <c r="I17223">
        <f>IF(DATOS!$I17223="","",IFERROR(VLOOKUP(DATOS!$I17223,CONFIG_ASIGNATURAS!$B$2:$J$91,9,FALSE()),""))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IF(DATOS!$A17224="",0,IF(CONFIG_METADATA!$B$4&lt;&gt;"OR+EX",--(DATOS!$G17224=CONFIG_METADATA!$B$4),IF(DATOS!$G17224="EX",1,IF(DATOS!$G17224="OR",--(COUNTIFS(nNIA,DATOS!$A17224,nCURSO,DATOS!$D17224,nESPEC,DATOS!$E17224,nASIG,DATOS!$I17224,nEVAL,"EX")=0),0))))</f>
      </c>
      <c r="H17224">
        <f>IF(DATOS!$G17224&lt;&gt;"EX",0,--(COUNTIFS(nNIA,DATOS!$A17224,nCURSO,DATOS!$D17224,nESPEC,DATOS!$E17224,nASIG,DATOS!$I17224,nEVAL,"OR")=0))</f>
      </c>
      <c r="I17224">
        <f>IF(DATOS!$I17224="","",IFERROR(VLOOKUP(DATOS!$I17224,CONFIG_ASIGNATURAS!$B$2:$J$91,9,FALSE()),""))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IF(DATOS!$A17225="",0,IF(CONFIG_METADATA!$B$4&lt;&gt;"OR+EX",--(DATOS!$G17225=CONFIG_METADATA!$B$4),IF(DATOS!$G17225="EX",1,IF(DATOS!$G17225="OR",--(COUNTIFS(nNIA,DATOS!$A17225,nCURSO,DATOS!$D17225,nESPEC,DATOS!$E17225,nASIG,DATOS!$I17225,nEVAL,"EX")=0),0))))</f>
      </c>
      <c r="H17225">
        <f>IF(DATOS!$G17225&lt;&gt;"EX",0,--(COUNTIFS(nNIA,DATOS!$A17225,nCURSO,DATOS!$D17225,nESPEC,DATOS!$E17225,nASIG,DATOS!$I17225,nEVAL,"OR")=0))</f>
      </c>
      <c r="I17225">
        <f>IF(DATOS!$I17225="","",IFERROR(VLOOKUP(DATOS!$I17225,CONFIG_ASIGNATURAS!$B$2:$J$91,9,FALSE()),""))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IF(DATOS!$A17226="",0,IF(CONFIG_METADATA!$B$4&lt;&gt;"OR+EX",--(DATOS!$G17226=CONFIG_METADATA!$B$4),IF(DATOS!$G17226="EX",1,IF(DATOS!$G17226="OR",--(COUNTIFS(nNIA,DATOS!$A17226,nCURSO,DATOS!$D17226,nESPEC,DATOS!$E17226,nASIG,DATOS!$I17226,nEVAL,"EX")=0),0))))</f>
      </c>
      <c r="H17226">
        <f>IF(DATOS!$G17226&lt;&gt;"EX",0,--(COUNTIFS(nNIA,DATOS!$A17226,nCURSO,DATOS!$D17226,nESPEC,DATOS!$E17226,nASIG,DATOS!$I17226,nEVAL,"OR")=0))</f>
      </c>
      <c r="I17226">
        <f>IF(DATOS!$I17226="","",IFERROR(VLOOKUP(DATOS!$I17226,CONFIG_ASIGNATURAS!$B$2:$J$91,9,FALSE()),""))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IF(DATOS!$A17227="",0,IF(CONFIG_METADATA!$B$4&lt;&gt;"OR+EX",--(DATOS!$G17227=CONFIG_METADATA!$B$4),IF(DATOS!$G17227="EX",1,IF(DATOS!$G17227="OR",--(COUNTIFS(nNIA,DATOS!$A17227,nCURSO,DATOS!$D17227,nESPEC,DATOS!$E17227,nASIG,DATOS!$I17227,nEVAL,"EX")=0),0))))</f>
      </c>
      <c r="H17227">
        <f>IF(DATOS!$G17227&lt;&gt;"EX",0,--(COUNTIFS(nNIA,DATOS!$A17227,nCURSO,DATOS!$D17227,nESPEC,DATOS!$E17227,nASIG,DATOS!$I17227,nEVAL,"OR")=0))</f>
      </c>
      <c r="I17227">
        <f>IF(DATOS!$I17227="","",IFERROR(VLOOKUP(DATOS!$I17227,CONFIG_ASIGNATURAS!$B$2:$J$91,9,FALSE()),""))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IF(DATOS!$A17228="",0,IF(CONFIG_METADATA!$B$4&lt;&gt;"OR+EX",--(DATOS!$G17228=CONFIG_METADATA!$B$4),IF(DATOS!$G17228="EX",1,IF(DATOS!$G17228="OR",--(COUNTIFS(nNIA,DATOS!$A17228,nCURSO,DATOS!$D17228,nESPEC,DATOS!$E17228,nASIG,DATOS!$I17228,nEVAL,"EX")=0),0))))</f>
      </c>
      <c r="H17228">
        <f>IF(DATOS!$G17228&lt;&gt;"EX",0,--(COUNTIFS(nNIA,DATOS!$A17228,nCURSO,DATOS!$D17228,nESPEC,DATOS!$E17228,nASIG,DATOS!$I17228,nEVAL,"OR")=0))</f>
      </c>
      <c r="I17228">
        <f>IF(DATOS!$I17228="","",IFERROR(VLOOKUP(DATOS!$I17228,CONFIG_ASIGNATURAS!$B$2:$J$91,9,FALSE()),""))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IF(DATOS!$A17229="",0,IF(CONFIG_METADATA!$B$4&lt;&gt;"OR+EX",--(DATOS!$G17229=CONFIG_METADATA!$B$4),IF(DATOS!$G17229="EX",1,IF(DATOS!$G17229="OR",--(COUNTIFS(nNIA,DATOS!$A17229,nCURSO,DATOS!$D17229,nESPEC,DATOS!$E17229,nASIG,DATOS!$I17229,nEVAL,"EX")=0),0))))</f>
      </c>
      <c r="H17229">
        <f>IF(DATOS!$G17229&lt;&gt;"EX",0,--(COUNTIFS(nNIA,DATOS!$A17229,nCURSO,DATOS!$D17229,nESPEC,DATOS!$E17229,nASIG,DATOS!$I17229,nEVAL,"OR")=0))</f>
      </c>
      <c r="I17229">
        <f>IF(DATOS!$I17229="","",IFERROR(VLOOKUP(DATOS!$I17229,CONFIG_ASIGNATURAS!$B$2:$J$91,9,FALSE()),""))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IF(DATOS!$A17230="",0,IF(CONFIG_METADATA!$B$4&lt;&gt;"OR+EX",--(DATOS!$G17230=CONFIG_METADATA!$B$4),IF(DATOS!$G17230="EX",1,IF(DATOS!$G17230="OR",--(COUNTIFS(nNIA,DATOS!$A17230,nCURSO,DATOS!$D17230,nESPEC,DATOS!$E17230,nASIG,DATOS!$I17230,nEVAL,"EX")=0),0))))</f>
      </c>
      <c r="H17230">
        <f>IF(DATOS!$G17230&lt;&gt;"EX",0,--(COUNTIFS(nNIA,DATOS!$A17230,nCURSO,DATOS!$D17230,nESPEC,DATOS!$E17230,nASIG,DATOS!$I17230,nEVAL,"OR")=0))</f>
      </c>
      <c r="I17230">
        <f>IF(DATOS!$I17230="","",IFERROR(VLOOKUP(DATOS!$I17230,CONFIG_ASIGNATURAS!$B$2:$J$91,9,FALSE()),""))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IF(DATOS!$A17231="",0,IF(CONFIG_METADATA!$B$4&lt;&gt;"OR+EX",--(DATOS!$G17231=CONFIG_METADATA!$B$4),IF(DATOS!$G17231="EX",1,IF(DATOS!$G17231="OR",--(COUNTIFS(nNIA,DATOS!$A17231,nCURSO,DATOS!$D17231,nESPEC,DATOS!$E17231,nASIG,DATOS!$I17231,nEVAL,"EX")=0),0))))</f>
      </c>
      <c r="H17231">
        <f>IF(DATOS!$G17231&lt;&gt;"EX",0,--(COUNTIFS(nNIA,DATOS!$A17231,nCURSO,DATOS!$D17231,nESPEC,DATOS!$E17231,nASIG,DATOS!$I17231,nEVAL,"OR")=0))</f>
      </c>
      <c r="I17231">
        <f>IF(DATOS!$I17231="","",IFERROR(VLOOKUP(DATOS!$I17231,CONFIG_ASIGNATURAS!$B$2:$J$91,9,FALSE()),""))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IF(DATOS!$A17232="",0,IF(CONFIG_METADATA!$B$4&lt;&gt;"OR+EX",--(DATOS!$G17232=CONFIG_METADATA!$B$4),IF(DATOS!$G17232="EX",1,IF(DATOS!$G17232="OR",--(COUNTIFS(nNIA,DATOS!$A17232,nCURSO,DATOS!$D17232,nESPEC,DATOS!$E17232,nASIG,DATOS!$I17232,nEVAL,"EX")=0),0))))</f>
      </c>
      <c r="H17232">
        <f>IF(DATOS!$G17232&lt;&gt;"EX",0,--(COUNTIFS(nNIA,DATOS!$A17232,nCURSO,DATOS!$D17232,nESPEC,DATOS!$E17232,nASIG,DATOS!$I17232,nEVAL,"OR")=0))</f>
      </c>
      <c r="I17232">
        <f>IF(DATOS!$I17232="","",IFERROR(VLOOKUP(DATOS!$I17232,CONFIG_ASIGNATURAS!$B$2:$J$91,9,FALSE()),""))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IF(DATOS!$A17233="",0,IF(CONFIG_METADATA!$B$4&lt;&gt;"OR+EX",--(DATOS!$G17233=CONFIG_METADATA!$B$4),IF(DATOS!$G17233="EX",1,IF(DATOS!$G17233="OR",--(COUNTIFS(nNIA,DATOS!$A17233,nCURSO,DATOS!$D17233,nESPEC,DATOS!$E17233,nASIG,DATOS!$I17233,nEVAL,"EX")=0),0))))</f>
      </c>
      <c r="H17233">
        <f>IF(DATOS!$G17233&lt;&gt;"EX",0,--(COUNTIFS(nNIA,DATOS!$A17233,nCURSO,DATOS!$D17233,nESPEC,DATOS!$E17233,nASIG,DATOS!$I17233,nEVAL,"OR")=0))</f>
      </c>
      <c r="I17233">
        <f>IF(DATOS!$I17233="","",IFERROR(VLOOKUP(DATOS!$I17233,CONFIG_ASIGNATURAS!$B$2:$J$91,9,FALSE()),""))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IF(DATOS!$A17234="",0,IF(CONFIG_METADATA!$B$4&lt;&gt;"OR+EX",--(DATOS!$G17234=CONFIG_METADATA!$B$4),IF(DATOS!$G17234="EX",1,IF(DATOS!$G17234="OR",--(COUNTIFS(nNIA,DATOS!$A17234,nCURSO,DATOS!$D17234,nESPEC,DATOS!$E17234,nASIG,DATOS!$I17234,nEVAL,"EX")=0),0))))</f>
      </c>
      <c r="H17234">
        <f>IF(DATOS!$G17234&lt;&gt;"EX",0,--(COUNTIFS(nNIA,DATOS!$A17234,nCURSO,DATOS!$D17234,nESPEC,DATOS!$E17234,nASIG,DATOS!$I17234,nEVAL,"OR")=0))</f>
      </c>
      <c r="I17234">
        <f>IF(DATOS!$I17234="","",IFERROR(VLOOKUP(DATOS!$I17234,CONFIG_ASIGNATURAS!$B$2:$J$91,9,FALSE()),""))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IF(DATOS!$A17235="",0,IF(CONFIG_METADATA!$B$4&lt;&gt;"OR+EX",--(DATOS!$G17235=CONFIG_METADATA!$B$4),IF(DATOS!$G17235="EX",1,IF(DATOS!$G17235="OR",--(COUNTIFS(nNIA,DATOS!$A17235,nCURSO,DATOS!$D17235,nESPEC,DATOS!$E17235,nASIG,DATOS!$I17235,nEVAL,"EX")=0),0))))</f>
      </c>
      <c r="H17235">
        <f>IF(DATOS!$G17235&lt;&gt;"EX",0,--(COUNTIFS(nNIA,DATOS!$A17235,nCURSO,DATOS!$D17235,nESPEC,DATOS!$E17235,nASIG,DATOS!$I17235,nEVAL,"OR")=0))</f>
      </c>
      <c r="I17235">
        <f>IF(DATOS!$I17235="","",IFERROR(VLOOKUP(DATOS!$I17235,CONFIG_ASIGNATURAS!$B$2:$J$91,9,FALSE()),""))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IF(DATOS!$A17236="",0,IF(CONFIG_METADATA!$B$4&lt;&gt;"OR+EX",--(DATOS!$G17236=CONFIG_METADATA!$B$4),IF(DATOS!$G17236="EX",1,IF(DATOS!$G17236="OR",--(COUNTIFS(nNIA,DATOS!$A17236,nCURSO,DATOS!$D17236,nESPEC,DATOS!$E17236,nASIG,DATOS!$I17236,nEVAL,"EX")=0),0))))</f>
      </c>
      <c r="H17236">
        <f>IF(DATOS!$G17236&lt;&gt;"EX",0,--(COUNTIFS(nNIA,DATOS!$A17236,nCURSO,DATOS!$D17236,nESPEC,DATOS!$E17236,nASIG,DATOS!$I17236,nEVAL,"OR")=0))</f>
      </c>
      <c r="I17236">
        <f>IF(DATOS!$I17236="","",IFERROR(VLOOKUP(DATOS!$I17236,CONFIG_ASIGNATURAS!$B$2:$J$91,9,FALSE()),""))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IF(DATOS!$A17237="",0,IF(CONFIG_METADATA!$B$4&lt;&gt;"OR+EX",--(DATOS!$G17237=CONFIG_METADATA!$B$4),IF(DATOS!$G17237="EX",1,IF(DATOS!$G17237="OR",--(COUNTIFS(nNIA,DATOS!$A17237,nCURSO,DATOS!$D17237,nESPEC,DATOS!$E17237,nASIG,DATOS!$I17237,nEVAL,"EX")=0),0))))</f>
      </c>
      <c r="H17237">
        <f>IF(DATOS!$G17237&lt;&gt;"EX",0,--(COUNTIFS(nNIA,DATOS!$A17237,nCURSO,DATOS!$D17237,nESPEC,DATOS!$E17237,nASIG,DATOS!$I17237,nEVAL,"OR")=0))</f>
      </c>
      <c r="I17237">
        <f>IF(DATOS!$I17237="","",IFERROR(VLOOKUP(DATOS!$I17237,CONFIG_ASIGNATURAS!$B$2:$J$91,9,FALSE()),""))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IF(DATOS!$A17238="",0,IF(CONFIG_METADATA!$B$4&lt;&gt;"OR+EX",--(DATOS!$G17238=CONFIG_METADATA!$B$4),IF(DATOS!$G17238="EX",1,IF(DATOS!$G17238="OR",--(COUNTIFS(nNIA,DATOS!$A17238,nCURSO,DATOS!$D17238,nESPEC,DATOS!$E17238,nASIG,DATOS!$I17238,nEVAL,"EX")=0),0))))</f>
      </c>
      <c r="H17238">
        <f>IF(DATOS!$G17238&lt;&gt;"EX",0,--(COUNTIFS(nNIA,DATOS!$A17238,nCURSO,DATOS!$D17238,nESPEC,DATOS!$E17238,nASIG,DATOS!$I17238,nEVAL,"OR")=0))</f>
      </c>
      <c r="I17238">
        <f>IF(DATOS!$I17238="","",IFERROR(VLOOKUP(DATOS!$I17238,CONFIG_ASIGNATURAS!$B$2:$J$91,9,FALSE()),""))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IF(DATOS!$A17239="",0,IF(CONFIG_METADATA!$B$4&lt;&gt;"OR+EX",--(DATOS!$G17239=CONFIG_METADATA!$B$4),IF(DATOS!$G17239="EX",1,IF(DATOS!$G17239="OR",--(COUNTIFS(nNIA,DATOS!$A17239,nCURSO,DATOS!$D17239,nESPEC,DATOS!$E17239,nASIG,DATOS!$I17239,nEVAL,"EX")=0),0))))</f>
      </c>
      <c r="H17239">
        <f>IF(DATOS!$G17239&lt;&gt;"EX",0,--(COUNTIFS(nNIA,DATOS!$A17239,nCURSO,DATOS!$D17239,nESPEC,DATOS!$E17239,nASIG,DATOS!$I17239,nEVAL,"OR")=0))</f>
      </c>
      <c r="I17239">
        <f>IF(DATOS!$I17239="","",IFERROR(VLOOKUP(DATOS!$I17239,CONFIG_ASIGNATURAS!$B$2:$J$91,9,FALSE()),""))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IF(DATOS!$A17240="",0,IF(CONFIG_METADATA!$B$4&lt;&gt;"OR+EX",--(DATOS!$G17240=CONFIG_METADATA!$B$4),IF(DATOS!$G17240="EX",1,IF(DATOS!$G17240="OR",--(COUNTIFS(nNIA,DATOS!$A17240,nCURSO,DATOS!$D17240,nESPEC,DATOS!$E17240,nASIG,DATOS!$I17240,nEVAL,"EX")=0),0))))</f>
      </c>
      <c r="H17240">
        <f>IF(DATOS!$G17240&lt;&gt;"EX",0,--(COUNTIFS(nNIA,DATOS!$A17240,nCURSO,DATOS!$D17240,nESPEC,DATOS!$E17240,nASIG,DATOS!$I17240,nEVAL,"OR")=0))</f>
      </c>
      <c r="I17240">
        <f>IF(DATOS!$I17240="","",IFERROR(VLOOKUP(DATOS!$I17240,CONFIG_ASIGNATURAS!$B$2:$J$91,9,FALSE()),""))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IF(DATOS!$A17241="",0,IF(CONFIG_METADATA!$B$4&lt;&gt;"OR+EX",--(DATOS!$G17241=CONFIG_METADATA!$B$4),IF(DATOS!$G17241="EX",1,IF(DATOS!$G17241="OR",--(COUNTIFS(nNIA,DATOS!$A17241,nCURSO,DATOS!$D17241,nESPEC,DATOS!$E17241,nASIG,DATOS!$I17241,nEVAL,"EX")=0),0))))</f>
      </c>
      <c r="H17241">
        <f>IF(DATOS!$G17241&lt;&gt;"EX",0,--(COUNTIFS(nNIA,DATOS!$A17241,nCURSO,DATOS!$D17241,nESPEC,DATOS!$E17241,nASIG,DATOS!$I17241,nEVAL,"OR")=0))</f>
      </c>
      <c r="I17241">
        <f>IF(DATOS!$I17241="","",IFERROR(VLOOKUP(DATOS!$I17241,CONFIG_ASIGNATURAS!$B$2:$J$91,9,FALSE()),""))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IF(DATOS!$A17242="",0,IF(CONFIG_METADATA!$B$4&lt;&gt;"OR+EX",--(DATOS!$G17242=CONFIG_METADATA!$B$4),IF(DATOS!$G17242="EX",1,IF(DATOS!$G17242="OR",--(COUNTIFS(nNIA,DATOS!$A17242,nCURSO,DATOS!$D17242,nESPEC,DATOS!$E17242,nASIG,DATOS!$I17242,nEVAL,"EX")=0),0))))</f>
      </c>
      <c r="H17242">
        <f>IF(DATOS!$G17242&lt;&gt;"EX",0,--(COUNTIFS(nNIA,DATOS!$A17242,nCURSO,DATOS!$D17242,nESPEC,DATOS!$E17242,nASIG,DATOS!$I17242,nEVAL,"OR")=0))</f>
      </c>
      <c r="I17242">
        <f>IF(DATOS!$I17242="","",IFERROR(VLOOKUP(DATOS!$I17242,CONFIG_ASIGNATURAS!$B$2:$J$91,9,FALSE()),""))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IF(DATOS!$A17243="",0,IF(CONFIG_METADATA!$B$4&lt;&gt;"OR+EX",--(DATOS!$G17243=CONFIG_METADATA!$B$4),IF(DATOS!$G17243="EX",1,IF(DATOS!$G17243="OR",--(COUNTIFS(nNIA,DATOS!$A17243,nCURSO,DATOS!$D17243,nESPEC,DATOS!$E17243,nASIG,DATOS!$I17243,nEVAL,"EX")=0),0))))</f>
      </c>
      <c r="H17243">
        <f>IF(DATOS!$G17243&lt;&gt;"EX",0,--(COUNTIFS(nNIA,DATOS!$A17243,nCURSO,DATOS!$D17243,nESPEC,DATOS!$E17243,nASIG,DATOS!$I17243,nEVAL,"OR")=0))</f>
      </c>
      <c r="I17243">
        <f>IF(DATOS!$I17243="","",IFERROR(VLOOKUP(DATOS!$I17243,CONFIG_ASIGNATURAS!$B$2:$J$91,9,FALSE()),""))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IF(DATOS!$A17244="",0,IF(CONFIG_METADATA!$B$4&lt;&gt;"OR+EX",--(DATOS!$G17244=CONFIG_METADATA!$B$4),IF(DATOS!$G17244="EX",1,IF(DATOS!$G17244="OR",--(COUNTIFS(nNIA,DATOS!$A17244,nCURSO,DATOS!$D17244,nESPEC,DATOS!$E17244,nASIG,DATOS!$I17244,nEVAL,"EX")=0),0))))</f>
      </c>
      <c r="H17244">
        <f>IF(DATOS!$G17244&lt;&gt;"EX",0,--(COUNTIFS(nNIA,DATOS!$A17244,nCURSO,DATOS!$D17244,nESPEC,DATOS!$E17244,nASIG,DATOS!$I17244,nEVAL,"OR")=0))</f>
      </c>
      <c r="I17244">
        <f>IF(DATOS!$I17244="","",IFERROR(VLOOKUP(DATOS!$I17244,CONFIG_ASIGNATURAS!$B$2:$J$91,9,FALSE()),""))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IF(DATOS!$A17245="",0,IF(CONFIG_METADATA!$B$4&lt;&gt;"OR+EX",--(DATOS!$G17245=CONFIG_METADATA!$B$4),IF(DATOS!$G17245="EX",1,IF(DATOS!$G17245="OR",--(COUNTIFS(nNIA,DATOS!$A17245,nCURSO,DATOS!$D17245,nESPEC,DATOS!$E17245,nASIG,DATOS!$I17245,nEVAL,"EX")=0),0))))</f>
      </c>
      <c r="H17245">
        <f>IF(DATOS!$G17245&lt;&gt;"EX",0,--(COUNTIFS(nNIA,DATOS!$A17245,nCURSO,DATOS!$D17245,nESPEC,DATOS!$E17245,nASIG,DATOS!$I17245,nEVAL,"OR")=0))</f>
      </c>
      <c r="I17245">
        <f>IF(DATOS!$I17245="","",IFERROR(VLOOKUP(DATOS!$I17245,CONFIG_ASIGNATURAS!$B$2:$J$91,9,FALSE()),""))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IF(DATOS!$A17246="",0,IF(CONFIG_METADATA!$B$4&lt;&gt;"OR+EX",--(DATOS!$G17246=CONFIG_METADATA!$B$4),IF(DATOS!$G17246="EX",1,IF(DATOS!$G17246="OR",--(COUNTIFS(nNIA,DATOS!$A17246,nCURSO,DATOS!$D17246,nESPEC,DATOS!$E17246,nASIG,DATOS!$I17246,nEVAL,"EX")=0),0))))</f>
      </c>
      <c r="H17246">
        <f>IF(DATOS!$G17246&lt;&gt;"EX",0,--(COUNTIFS(nNIA,DATOS!$A17246,nCURSO,DATOS!$D17246,nESPEC,DATOS!$E17246,nASIG,DATOS!$I17246,nEVAL,"OR")=0))</f>
      </c>
      <c r="I17246">
        <f>IF(DATOS!$I17246="","",IFERROR(VLOOKUP(DATOS!$I17246,CONFIG_ASIGNATURAS!$B$2:$J$91,9,FALSE()),""))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IF(DATOS!$A17247="",0,IF(CONFIG_METADATA!$B$4&lt;&gt;"OR+EX",--(DATOS!$G17247=CONFIG_METADATA!$B$4),IF(DATOS!$G17247="EX",1,IF(DATOS!$G17247="OR",--(COUNTIFS(nNIA,DATOS!$A17247,nCURSO,DATOS!$D17247,nESPEC,DATOS!$E17247,nASIG,DATOS!$I17247,nEVAL,"EX")=0),0))))</f>
      </c>
      <c r="H17247">
        <f>IF(DATOS!$G17247&lt;&gt;"EX",0,--(COUNTIFS(nNIA,DATOS!$A17247,nCURSO,DATOS!$D17247,nESPEC,DATOS!$E17247,nASIG,DATOS!$I17247,nEVAL,"OR")=0))</f>
      </c>
      <c r="I17247">
        <f>IF(DATOS!$I17247="","",IFERROR(VLOOKUP(DATOS!$I17247,CONFIG_ASIGNATURAS!$B$2:$J$91,9,FALSE()),""))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IF(DATOS!$A17248="",0,IF(CONFIG_METADATA!$B$4&lt;&gt;"OR+EX",--(DATOS!$G17248=CONFIG_METADATA!$B$4),IF(DATOS!$G17248="EX",1,IF(DATOS!$G17248="OR",--(COUNTIFS(nNIA,DATOS!$A17248,nCURSO,DATOS!$D17248,nESPEC,DATOS!$E17248,nASIG,DATOS!$I17248,nEVAL,"EX")=0),0))))</f>
      </c>
      <c r="H17248">
        <f>IF(DATOS!$G17248&lt;&gt;"EX",0,--(COUNTIFS(nNIA,DATOS!$A17248,nCURSO,DATOS!$D17248,nESPEC,DATOS!$E17248,nASIG,DATOS!$I17248,nEVAL,"OR")=0))</f>
      </c>
      <c r="I17248">
        <f>IF(DATOS!$I17248="","",IFERROR(VLOOKUP(DATOS!$I17248,CONFIG_ASIGNATURAS!$B$2:$J$91,9,FALSE()),""))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IF(DATOS!$A17249="",0,IF(CONFIG_METADATA!$B$4&lt;&gt;"OR+EX",--(DATOS!$G17249=CONFIG_METADATA!$B$4),IF(DATOS!$G17249="EX",1,IF(DATOS!$G17249="OR",--(COUNTIFS(nNIA,DATOS!$A17249,nCURSO,DATOS!$D17249,nESPEC,DATOS!$E17249,nASIG,DATOS!$I17249,nEVAL,"EX")=0),0))))</f>
      </c>
      <c r="H17249">
        <f>IF(DATOS!$G17249&lt;&gt;"EX",0,--(COUNTIFS(nNIA,DATOS!$A17249,nCURSO,DATOS!$D17249,nESPEC,DATOS!$E17249,nASIG,DATOS!$I17249,nEVAL,"OR")=0))</f>
      </c>
      <c r="I17249">
        <f>IF(DATOS!$I17249="","",IFERROR(VLOOKUP(DATOS!$I17249,CONFIG_ASIGNATURAS!$B$2:$J$91,9,FALSE()),""))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IF(DATOS!$A17250="",0,IF(CONFIG_METADATA!$B$4&lt;&gt;"OR+EX",--(DATOS!$G17250=CONFIG_METADATA!$B$4),IF(DATOS!$G17250="EX",1,IF(DATOS!$G17250="OR",--(COUNTIFS(nNIA,DATOS!$A17250,nCURSO,DATOS!$D17250,nESPEC,DATOS!$E17250,nASIG,DATOS!$I17250,nEVAL,"EX")=0),0))))</f>
      </c>
      <c r="H17250">
        <f>IF(DATOS!$G17250&lt;&gt;"EX",0,--(COUNTIFS(nNIA,DATOS!$A17250,nCURSO,DATOS!$D17250,nESPEC,DATOS!$E17250,nASIG,DATOS!$I17250,nEVAL,"OR")=0))</f>
      </c>
      <c r="I17250">
        <f>IF(DATOS!$I17250="","",IFERROR(VLOOKUP(DATOS!$I17250,CONFIG_ASIGNATURAS!$B$2:$J$91,9,FALSE()),""))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IF(DATOS!$A17251="",0,IF(CONFIG_METADATA!$B$4&lt;&gt;"OR+EX",--(DATOS!$G17251=CONFIG_METADATA!$B$4),IF(DATOS!$G17251="EX",1,IF(DATOS!$G17251="OR",--(COUNTIFS(nNIA,DATOS!$A17251,nCURSO,DATOS!$D17251,nESPEC,DATOS!$E17251,nASIG,DATOS!$I17251,nEVAL,"EX")=0),0))))</f>
      </c>
      <c r="H17251">
        <f>IF(DATOS!$G17251&lt;&gt;"EX",0,--(COUNTIFS(nNIA,DATOS!$A17251,nCURSO,DATOS!$D17251,nESPEC,DATOS!$E17251,nASIG,DATOS!$I17251,nEVAL,"OR")=0))</f>
      </c>
      <c r="I17251">
        <f>IF(DATOS!$I17251="","",IFERROR(VLOOKUP(DATOS!$I17251,CONFIG_ASIGNATURAS!$B$2:$J$91,9,FALSE()),""))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IF(DATOS!$A17252="",0,IF(CONFIG_METADATA!$B$4&lt;&gt;"OR+EX",--(DATOS!$G17252=CONFIG_METADATA!$B$4),IF(DATOS!$G17252="EX",1,IF(DATOS!$G17252="OR",--(COUNTIFS(nNIA,DATOS!$A17252,nCURSO,DATOS!$D17252,nESPEC,DATOS!$E17252,nASIG,DATOS!$I17252,nEVAL,"EX")=0),0))))</f>
      </c>
      <c r="H17252">
        <f>IF(DATOS!$G17252&lt;&gt;"EX",0,--(COUNTIFS(nNIA,DATOS!$A17252,nCURSO,DATOS!$D17252,nESPEC,DATOS!$E17252,nASIG,DATOS!$I17252,nEVAL,"OR")=0))</f>
      </c>
      <c r="I17252">
        <f>IF(DATOS!$I17252="","",IFERROR(VLOOKUP(DATOS!$I17252,CONFIG_ASIGNATURAS!$B$2:$J$91,9,FALSE()),""))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IF(DATOS!$A17253="",0,IF(CONFIG_METADATA!$B$4&lt;&gt;"OR+EX",--(DATOS!$G17253=CONFIG_METADATA!$B$4),IF(DATOS!$G17253="EX",1,IF(DATOS!$G17253="OR",--(COUNTIFS(nNIA,DATOS!$A17253,nCURSO,DATOS!$D17253,nESPEC,DATOS!$E17253,nASIG,DATOS!$I17253,nEVAL,"EX")=0),0))))</f>
      </c>
      <c r="H17253">
        <f>IF(DATOS!$G17253&lt;&gt;"EX",0,--(COUNTIFS(nNIA,DATOS!$A17253,nCURSO,DATOS!$D17253,nESPEC,DATOS!$E17253,nASIG,DATOS!$I17253,nEVAL,"OR")=0))</f>
      </c>
      <c r="I17253">
        <f>IF(DATOS!$I17253="","",IFERROR(VLOOKUP(DATOS!$I17253,CONFIG_ASIGNATURAS!$B$2:$J$91,9,FALSE()),""))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IF(DATOS!$A17254="",0,IF(CONFIG_METADATA!$B$4&lt;&gt;"OR+EX",--(DATOS!$G17254=CONFIG_METADATA!$B$4),IF(DATOS!$G17254="EX",1,IF(DATOS!$G17254="OR",--(COUNTIFS(nNIA,DATOS!$A17254,nCURSO,DATOS!$D17254,nESPEC,DATOS!$E17254,nASIG,DATOS!$I17254,nEVAL,"EX")=0),0))))</f>
      </c>
      <c r="H17254">
        <f>IF(DATOS!$G17254&lt;&gt;"EX",0,--(COUNTIFS(nNIA,DATOS!$A17254,nCURSO,DATOS!$D17254,nESPEC,DATOS!$E17254,nASIG,DATOS!$I17254,nEVAL,"OR")=0))</f>
      </c>
      <c r="I17254">
        <f>IF(DATOS!$I17254="","",IFERROR(VLOOKUP(DATOS!$I17254,CONFIG_ASIGNATURAS!$B$2:$J$91,9,FALSE()),""))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IF(DATOS!$A17255="",0,IF(CONFIG_METADATA!$B$4&lt;&gt;"OR+EX",--(DATOS!$G17255=CONFIG_METADATA!$B$4),IF(DATOS!$G17255="EX",1,IF(DATOS!$G17255="OR",--(COUNTIFS(nNIA,DATOS!$A17255,nCURSO,DATOS!$D17255,nESPEC,DATOS!$E17255,nASIG,DATOS!$I17255,nEVAL,"EX")=0),0))))</f>
      </c>
      <c r="H17255">
        <f>IF(DATOS!$G17255&lt;&gt;"EX",0,--(COUNTIFS(nNIA,DATOS!$A17255,nCURSO,DATOS!$D17255,nESPEC,DATOS!$E17255,nASIG,DATOS!$I17255,nEVAL,"OR")=0))</f>
      </c>
      <c r="I17255">
        <f>IF(DATOS!$I17255="","",IFERROR(VLOOKUP(DATOS!$I17255,CONFIG_ASIGNATURAS!$B$2:$J$91,9,FALSE()),""))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IF(DATOS!$A17256="",0,IF(CONFIG_METADATA!$B$4&lt;&gt;"OR+EX",--(DATOS!$G17256=CONFIG_METADATA!$B$4),IF(DATOS!$G17256="EX",1,IF(DATOS!$G17256="OR",--(COUNTIFS(nNIA,DATOS!$A17256,nCURSO,DATOS!$D17256,nESPEC,DATOS!$E17256,nASIG,DATOS!$I17256,nEVAL,"EX")=0),0))))</f>
      </c>
      <c r="H17256">
        <f>IF(DATOS!$G17256&lt;&gt;"EX",0,--(COUNTIFS(nNIA,DATOS!$A17256,nCURSO,DATOS!$D17256,nESPEC,DATOS!$E17256,nASIG,DATOS!$I17256,nEVAL,"OR")=0))</f>
      </c>
      <c r="I17256">
        <f>IF(DATOS!$I17256="","",IFERROR(VLOOKUP(DATOS!$I17256,CONFIG_ASIGNATURAS!$B$2:$J$91,9,FALSE()),""))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IF(DATOS!$A17257="",0,IF(CONFIG_METADATA!$B$4&lt;&gt;"OR+EX",--(DATOS!$G17257=CONFIG_METADATA!$B$4),IF(DATOS!$G17257="EX",1,IF(DATOS!$G17257="OR",--(COUNTIFS(nNIA,DATOS!$A17257,nCURSO,DATOS!$D17257,nESPEC,DATOS!$E17257,nASIG,DATOS!$I17257,nEVAL,"EX")=0),0))))</f>
      </c>
      <c r="H17257">
        <f>IF(DATOS!$G17257&lt;&gt;"EX",0,--(COUNTIFS(nNIA,DATOS!$A17257,nCURSO,DATOS!$D17257,nESPEC,DATOS!$E17257,nASIG,DATOS!$I17257,nEVAL,"OR")=0))</f>
      </c>
      <c r="I17257">
        <f>IF(DATOS!$I17257="","",IFERROR(VLOOKUP(DATOS!$I17257,CONFIG_ASIGNATURAS!$B$2:$J$91,9,FALSE()),""))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IF(DATOS!$A17258="",0,IF(CONFIG_METADATA!$B$4&lt;&gt;"OR+EX",--(DATOS!$G17258=CONFIG_METADATA!$B$4),IF(DATOS!$G17258="EX",1,IF(DATOS!$G17258="OR",--(COUNTIFS(nNIA,DATOS!$A17258,nCURSO,DATOS!$D17258,nESPEC,DATOS!$E17258,nASIG,DATOS!$I17258,nEVAL,"EX")=0),0))))</f>
      </c>
      <c r="H17258">
        <f>IF(DATOS!$G17258&lt;&gt;"EX",0,--(COUNTIFS(nNIA,DATOS!$A17258,nCURSO,DATOS!$D17258,nESPEC,DATOS!$E17258,nASIG,DATOS!$I17258,nEVAL,"OR")=0))</f>
      </c>
      <c r="I17258">
        <f>IF(DATOS!$I17258="","",IFERROR(VLOOKUP(DATOS!$I17258,CONFIG_ASIGNATURAS!$B$2:$J$91,9,FALSE()),""))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IF(DATOS!$A17259="",0,IF(CONFIG_METADATA!$B$4&lt;&gt;"OR+EX",--(DATOS!$G17259=CONFIG_METADATA!$B$4),IF(DATOS!$G17259="EX",1,IF(DATOS!$G17259="OR",--(COUNTIFS(nNIA,DATOS!$A17259,nCURSO,DATOS!$D17259,nESPEC,DATOS!$E17259,nASIG,DATOS!$I17259,nEVAL,"EX")=0),0))))</f>
      </c>
      <c r="H17259">
        <f>IF(DATOS!$G17259&lt;&gt;"EX",0,--(COUNTIFS(nNIA,DATOS!$A17259,nCURSO,DATOS!$D17259,nESPEC,DATOS!$E17259,nASIG,DATOS!$I17259,nEVAL,"OR")=0))</f>
      </c>
      <c r="I17259">
        <f>IF(DATOS!$I17259="","",IFERROR(VLOOKUP(DATOS!$I17259,CONFIG_ASIGNATURAS!$B$2:$J$91,9,FALSE()),""))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IF(DATOS!$A17260="",0,IF(CONFIG_METADATA!$B$4&lt;&gt;"OR+EX",--(DATOS!$G17260=CONFIG_METADATA!$B$4),IF(DATOS!$G17260="EX",1,IF(DATOS!$G17260="OR",--(COUNTIFS(nNIA,DATOS!$A17260,nCURSO,DATOS!$D17260,nESPEC,DATOS!$E17260,nASIG,DATOS!$I17260,nEVAL,"EX")=0),0))))</f>
      </c>
      <c r="H17260">
        <f>IF(DATOS!$G17260&lt;&gt;"EX",0,--(COUNTIFS(nNIA,DATOS!$A17260,nCURSO,DATOS!$D17260,nESPEC,DATOS!$E17260,nASIG,DATOS!$I17260,nEVAL,"OR")=0))</f>
      </c>
      <c r="I17260">
        <f>IF(DATOS!$I17260="","",IFERROR(VLOOKUP(DATOS!$I17260,CONFIG_ASIGNATURAS!$B$2:$J$91,9,FALSE()),""))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IF(DATOS!$A17261="",0,IF(CONFIG_METADATA!$B$4&lt;&gt;"OR+EX",--(DATOS!$G17261=CONFIG_METADATA!$B$4),IF(DATOS!$G17261="EX",1,IF(DATOS!$G17261="OR",--(COUNTIFS(nNIA,DATOS!$A17261,nCURSO,DATOS!$D17261,nESPEC,DATOS!$E17261,nASIG,DATOS!$I17261,nEVAL,"EX")=0),0))))</f>
      </c>
      <c r="H17261">
        <f>IF(DATOS!$G17261&lt;&gt;"EX",0,--(COUNTIFS(nNIA,DATOS!$A17261,nCURSO,DATOS!$D17261,nESPEC,DATOS!$E17261,nASIG,DATOS!$I17261,nEVAL,"OR")=0))</f>
      </c>
      <c r="I17261">
        <f>IF(DATOS!$I17261="","",IFERROR(VLOOKUP(DATOS!$I17261,CONFIG_ASIGNATURAS!$B$2:$J$91,9,FALSE()),""))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IF(DATOS!$A17262="",0,IF(CONFIG_METADATA!$B$4&lt;&gt;"OR+EX",--(DATOS!$G17262=CONFIG_METADATA!$B$4),IF(DATOS!$G17262="EX",1,IF(DATOS!$G17262="OR",--(COUNTIFS(nNIA,DATOS!$A17262,nCURSO,DATOS!$D17262,nESPEC,DATOS!$E17262,nASIG,DATOS!$I17262,nEVAL,"EX")=0),0))))</f>
      </c>
      <c r="H17262">
        <f>IF(DATOS!$G17262&lt;&gt;"EX",0,--(COUNTIFS(nNIA,DATOS!$A17262,nCURSO,DATOS!$D17262,nESPEC,DATOS!$E17262,nASIG,DATOS!$I17262,nEVAL,"OR")=0))</f>
      </c>
      <c r="I17262">
        <f>IF(DATOS!$I17262="","",IFERROR(VLOOKUP(DATOS!$I17262,CONFIG_ASIGNATURAS!$B$2:$J$91,9,FALSE()),""))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IF(DATOS!$A17263="",0,IF(CONFIG_METADATA!$B$4&lt;&gt;"OR+EX",--(DATOS!$G17263=CONFIG_METADATA!$B$4),IF(DATOS!$G17263="EX",1,IF(DATOS!$G17263="OR",--(COUNTIFS(nNIA,DATOS!$A17263,nCURSO,DATOS!$D17263,nESPEC,DATOS!$E17263,nASIG,DATOS!$I17263,nEVAL,"EX")=0),0))))</f>
      </c>
      <c r="H17263">
        <f>IF(DATOS!$G17263&lt;&gt;"EX",0,--(COUNTIFS(nNIA,DATOS!$A17263,nCURSO,DATOS!$D17263,nESPEC,DATOS!$E17263,nASIG,DATOS!$I17263,nEVAL,"OR")=0))</f>
      </c>
      <c r="I17263">
        <f>IF(DATOS!$I17263="","",IFERROR(VLOOKUP(DATOS!$I17263,CONFIG_ASIGNATURAS!$B$2:$J$91,9,FALSE()),""))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IF(DATOS!$A17264="",0,IF(CONFIG_METADATA!$B$4&lt;&gt;"OR+EX",--(DATOS!$G17264=CONFIG_METADATA!$B$4),IF(DATOS!$G17264="EX",1,IF(DATOS!$G17264="OR",--(COUNTIFS(nNIA,DATOS!$A17264,nCURSO,DATOS!$D17264,nESPEC,DATOS!$E17264,nASIG,DATOS!$I17264,nEVAL,"EX")=0),0))))</f>
      </c>
      <c r="H17264">
        <f>IF(DATOS!$G17264&lt;&gt;"EX",0,--(COUNTIFS(nNIA,DATOS!$A17264,nCURSO,DATOS!$D17264,nESPEC,DATOS!$E17264,nASIG,DATOS!$I17264,nEVAL,"OR")=0))</f>
      </c>
      <c r="I17264">
        <f>IF(DATOS!$I17264="","",IFERROR(VLOOKUP(DATOS!$I17264,CONFIG_ASIGNATURAS!$B$2:$J$91,9,FALSE()),""))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IF(DATOS!$A17265="",0,IF(CONFIG_METADATA!$B$4&lt;&gt;"OR+EX",--(DATOS!$G17265=CONFIG_METADATA!$B$4),IF(DATOS!$G17265="EX",1,IF(DATOS!$G17265="OR",--(COUNTIFS(nNIA,DATOS!$A17265,nCURSO,DATOS!$D17265,nESPEC,DATOS!$E17265,nASIG,DATOS!$I17265,nEVAL,"EX")=0),0))))</f>
      </c>
      <c r="H17265">
        <f>IF(DATOS!$G17265&lt;&gt;"EX",0,--(COUNTIFS(nNIA,DATOS!$A17265,nCURSO,DATOS!$D17265,nESPEC,DATOS!$E17265,nASIG,DATOS!$I17265,nEVAL,"OR")=0))</f>
      </c>
      <c r="I17265">
        <f>IF(DATOS!$I17265="","",IFERROR(VLOOKUP(DATOS!$I17265,CONFIG_ASIGNATURAS!$B$2:$J$91,9,FALSE()),""))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IF(DATOS!$A17266="",0,IF(CONFIG_METADATA!$B$4&lt;&gt;"OR+EX",--(DATOS!$G17266=CONFIG_METADATA!$B$4),IF(DATOS!$G17266="EX",1,IF(DATOS!$G17266="OR",--(COUNTIFS(nNIA,DATOS!$A17266,nCURSO,DATOS!$D17266,nESPEC,DATOS!$E17266,nASIG,DATOS!$I17266,nEVAL,"EX")=0),0))))</f>
      </c>
      <c r="H17266">
        <f>IF(DATOS!$G17266&lt;&gt;"EX",0,--(COUNTIFS(nNIA,DATOS!$A17266,nCURSO,DATOS!$D17266,nESPEC,DATOS!$E17266,nASIG,DATOS!$I17266,nEVAL,"OR")=0))</f>
      </c>
      <c r="I17266">
        <f>IF(DATOS!$I17266="","",IFERROR(VLOOKUP(DATOS!$I17266,CONFIG_ASIGNATURAS!$B$2:$J$91,9,FALSE()),""))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IF(DATOS!$A17267="",0,IF(CONFIG_METADATA!$B$4&lt;&gt;"OR+EX",--(DATOS!$G17267=CONFIG_METADATA!$B$4),IF(DATOS!$G17267="EX",1,IF(DATOS!$G17267="OR",--(COUNTIFS(nNIA,DATOS!$A17267,nCURSO,DATOS!$D17267,nESPEC,DATOS!$E17267,nASIG,DATOS!$I17267,nEVAL,"EX")=0),0))))</f>
      </c>
      <c r="H17267">
        <f>IF(DATOS!$G17267&lt;&gt;"EX",0,--(COUNTIFS(nNIA,DATOS!$A17267,nCURSO,DATOS!$D17267,nESPEC,DATOS!$E17267,nASIG,DATOS!$I17267,nEVAL,"OR")=0))</f>
      </c>
      <c r="I17267">
        <f>IF(DATOS!$I17267="","",IFERROR(VLOOKUP(DATOS!$I17267,CONFIG_ASIGNATURAS!$B$2:$J$91,9,FALSE()),""))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IF(DATOS!$A17268="",0,IF(CONFIG_METADATA!$B$4&lt;&gt;"OR+EX",--(DATOS!$G17268=CONFIG_METADATA!$B$4),IF(DATOS!$G17268="EX",1,IF(DATOS!$G17268="OR",--(COUNTIFS(nNIA,DATOS!$A17268,nCURSO,DATOS!$D17268,nESPEC,DATOS!$E17268,nASIG,DATOS!$I17268,nEVAL,"EX")=0),0))))</f>
      </c>
      <c r="H17268">
        <f>IF(DATOS!$G17268&lt;&gt;"EX",0,--(COUNTIFS(nNIA,DATOS!$A17268,nCURSO,DATOS!$D17268,nESPEC,DATOS!$E17268,nASIG,DATOS!$I17268,nEVAL,"OR")=0))</f>
      </c>
      <c r="I17268">
        <f>IF(DATOS!$I17268="","",IFERROR(VLOOKUP(DATOS!$I17268,CONFIG_ASIGNATURAS!$B$2:$J$91,9,FALSE()),""))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IF(DATOS!$A17269="",0,IF(CONFIG_METADATA!$B$4&lt;&gt;"OR+EX",--(DATOS!$G17269=CONFIG_METADATA!$B$4),IF(DATOS!$G17269="EX",1,IF(DATOS!$G17269="OR",--(COUNTIFS(nNIA,DATOS!$A17269,nCURSO,DATOS!$D17269,nESPEC,DATOS!$E17269,nASIG,DATOS!$I17269,nEVAL,"EX")=0),0))))</f>
      </c>
      <c r="H17269">
        <f>IF(DATOS!$G17269&lt;&gt;"EX",0,--(COUNTIFS(nNIA,DATOS!$A17269,nCURSO,DATOS!$D17269,nESPEC,DATOS!$E17269,nASIG,DATOS!$I17269,nEVAL,"OR")=0))</f>
      </c>
      <c r="I17269">
        <f>IF(DATOS!$I17269="","",IFERROR(VLOOKUP(DATOS!$I17269,CONFIG_ASIGNATURAS!$B$2:$J$91,9,FALSE()),""))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IF(DATOS!$A17270="",0,IF(CONFIG_METADATA!$B$4&lt;&gt;"OR+EX",--(DATOS!$G17270=CONFIG_METADATA!$B$4),IF(DATOS!$G17270="EX",1,IF(DATOS!$G17270="OR",--(COUNTIFS(nNIA,DATOS!$A17270,nCURSO,DATOS!$D17270,nESPEC,DATOS!$E17270,nASIG,DATOS!$I17270,nEVAL,"EX")=0),0))))</f>
      </c>
      <c r="H17270">
        <f>IF(DATOS!$G17270&lt;&gt;"EX",0,--(COUNTIFS(nNIA,DATOS!$A17270,nCURSO,DATOS!$D17270,nESPEC,DATOS!$E17270,nASIG,DATOS!$I17270,nEVAL,"OR")=0))</f>
      </c>
      <c r="I17270">
        <f>IF(DATOS!$I17270="","",IFERROR(VLOOKUP(DATOS!$I17270,CONFIG_ASIGNATURAS!$B$2:$J$91,9,FALSE()),""))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IF(DATOS!$A17271="",0,IF(CONFIG_METADATA!$B$4&lt;&gt;"OR+EX",--(DATOS!$G17271=CONFIG_METADATA!$B$4),IF(DATOS!$G17271="EX",1,IF(DATOS!$G17271="OR",--(COUNTIFS(nNIA,DATOS!$A17271,nCURSO,DATOS!$D17271,nESPEC,DATOS!$E17271,nASIG,DATOS!$I17271,nEVAL,"EX")=0),0))))</f>
      </c>
      <c r="H17271">
        <f>IF(DATOS!$G17271&lt;&gt;"EX",0,--(COUNTIFS(nNIA,DATOS!$A17271,nCURSO,DATOS!$D17271,nESPEC,DATOS!$E17271,nASIG,DATOS!$I17271,nEVAL,"OR")=0))</f>
      </c>
      <c r="I17271">
        <f>IF(DATOS!$I17271="","",IFERROR(VLOOKUP(DATOS!$I17271,CONFIG_ASIGNATURAS!$B$2:$J$91,9,FALSE()),""))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IF(DATOS!$A17272="",0,IF(CONFIG_METADATA!$B$4&lt;&gt;"OR+EX",--(DATOS!$G17272=CONFIG_METADATA!$B$4),IF(DATOS!$G17272="EX",1,IF(DATOS!$G17272="OR",--(COUNTIFS(nNIA,DATOS!$A17272,nCURSO,DATOS!$D17272,nESPEC,DATOS!$E17272,nASIG,DATOS!$I17272,nEVAL,"EX")=0),0))))</f>
      </c>
      <c r="H17272">
        <f>IF(DATOS!$G17272&lt;&gt;"EX",0,--(COUNTIFS(nNIA,DATOS!$A17272,nCURSO,DATOS!$D17272,nESPEC,DATOS!$E17272,nASIG,DATOS!$I17272,nEVAL,"OR")=0))</f>
      </c>
      <c r="I17272">
        <f>IF(DATOS!$I17272="","",IFERROR(VLOOKUP(DATOS!$I17272,CONFIG_ASIGNATURAS!$B$2:$J$91,9,FALSE()),""))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IF(DATOS!$A17273="",0,IF(CONFIG_METADATA!$B$4&lt;&gt;"OR+EX",--(DATOS!$G17273=CONFIG_METADATA!$B$4),IF(DATOS!$G17273="EX",1,IF(DATOS!$G17273="OR",--(COUNTIFS(nNIA,DATOS!$A17273,nCURSO,DATOS!$D17273,nESPEC,DATOS!$E17273,nASIG,DATOS!$I17273,nEVAL,"EX")=0),0))))</f>
      </c>
      <c r="H17273">
        <f>IF(DATOS!$G17273&lt;&gt;"EX",0,--(COUNTIFS(nNIA,DATOS!$A17273,nCURSO,DATOS!$D17273,nESPEC,DATOS!$E17273,nASIG,DATOS!$I17273,nEVAL,"OR")=0))</f>
      </c>
      <c r="I17273">
        <f>IF(DATOS!$I17273="","",IFERROR(VLOOKUP(DATOS!$I17273,CONFIG_ASIGNATURAS!$B$2:$J$91,9,FALSE()),""))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IF(DATOS!$A17274="",0,IF(CONFIG_METADATA!$B$4&lt;&gt;"OR+EX",--(DATOS!$G17274=CONFIG_METADATA!$B$4),IF(DATOS!$G17274="EX",1,IF(DATOS!$G17274="OR",--(COUNTIFS(nNIA,DATOS!$A17274,nCURSO,DATOS!$D17274,nESPEC,DATOS!$E17274,nASIG,DATOS!$I17274,nEVAL,"EX")=0),0))))</f>
      </c>
      <c r="H17274">
        <f>IF(DATOS!$G17274&lt;&gt;"EX",0,--(COUNTIFS(nNIA,DATOS!$A17274,nCURSO,DATOS!$D17274,nESPEC,DATOS!$E17274,nASIG,DATOS!$I17274,nEVAL,"OR")=0))</f>
      </c>
      <c r="I17274">
        <f>IF(DATOS!$I17274="","",IFERROR(VLOOKUP(DATOS!$I17274,CONFIG_ASIGNATURAS!$B$2:$J$91,9,FALSE()),""))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IF(DATOS!$A17275="",0,IF(CONFIG_METADATA!$B$4&lt;&gt;"OR+EX",--(DATOS!$G17275=CONFIG_METADATA!$B$4),IF(DATOS!$G17275="EX",1,IF(DATOS!$G17275="OR",--(COUNTIFS(nNIA,DATOS!$A17275,nCURSO,DATOS!$D17275,nESPEC,DATOS!$E17275,nASIG,DATOS!$I17275,nEVAL,"EX")=0),0))))</f>
      </c>
      <c r="H17275">
        <f>IF(DATOS!$G17275&lt;&gt;"EX",0,--(COUNTIFS(nNIA,DATOS!$A17275,nCURSO,DATOS!$D17275,nESPEC,DATOS!$E17275,nASIG,DATOS!$I17275,nEVAL,"OR")=0))</f>
      </c>
      <c r="I17275">
        <f>IF(DATOS!$I17275="","",IFERROR(VLOOKUP(DATOS!$I17275,CONFIG_ASIGNATURAS!$B$2:$J$91,9,FALSE()),""))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IF(DATOS!$A17276="",0,IF(CONFIG_METADATA!$B$4&lt;&gt;"OR+EX",--(DATOS!$G17276=CONFIG_METADATA!$B$4),IF(DATOS!$G17276="EX",1,IF(DATOS!$G17276="OR",--(COUNTIFS(nNIA,DATOS!$A17276,nCURSO,DATOS!$D17276,nESPEC,DATOS!$E17276,nASIG,DATOS!$I17276,nEVAL,"EX")=0),0))))</f>
      </c>
      <c r="H17276">
        <f>IF(DATOS!$G17276&lt;&gt;"EX",0,--(COUNTIFS(nNIA,DATOS!$A17276,nCURSO,DATOS!$D17276,nESPEC,DATOS!$E17276,nASIG,DATOS!$I17276,nEVAL,"OR")=0))</f>
      </c>
      <c r="I17276">
        <f>IF(DATOS!$I17276="","",IFERROR(VLOOKUP(DATOS!$I17276,CONFIG_ASIGNATURAS!$B$2:$J$91,9,FALSE()),""))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IF(DATOS!$A17277="",0,IF(CONFIG_METADATA!$B$4&lt;&gt;"OR+EX",--(DATOS!$G17277=CONFIG_METADATA!$B$4),IF(DATOS!$G17277="EX",1,IF(DATOS!$G17277="OR",--(COUNTIFS(nNIA,DATOS!$A17277,nCURSO,DATOS!$D17277,nESPEC,DATOS!$E17277,nASIG,DATOS!$I17277,nEVAL,"EX")=0),0))))</f>
      </c>
      <c r="H17277">
        <f>IF(DATOS!$G17277&lt;&gt;"EX",0,--(COUNTIFS(nNIA,DATOS!$A17277,nCURSO,DATOS!$D17277,nESPEC,DATOS!$E17277,nASIG,DATOS!$I17277,nEVAL,"OR")=0))</f>
      </c>
      <c r="I17277">
        <f>IF(DATOS!$I17277="","",IFERROR(VLOOKUP(DATOS!$I17277,CONFIG_ASIGNATURAS!$B$2:$J$91,9,FALSE()),""))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IF(DATOS!$A17278="",0,IF(CONFIG_METADATA!$B$4&lt;&gt;"OR+EX",--(DATOS!$G17278=CONFIG_METADATA!$B$4),IF(DATOS!$G17278="EX",1,IF(DATOS!$G17278="OR",--(COUNTIFS(nNIA,DATOS!$A17278,nCURSO,DATOS!$D17278,nESPEC,DATOS!$E17278,nASIG,DATOS!$I17278,nEVAL,"EX")=0),0))))</f>
      </c>
      <c r="H17278">
        <f>IF(DATOS!$G17278&lt;&gt;"EX",0,--(COUNTIFS(nNIA,DATOS!$A17278,nCURSO,DATOS!$D17278,nESPEC,DATOS!$E17278,nASIG,DATOS!$I17278,nEVAL,"OR")=0))</f>
      </c>
      <c r="I17278">
        <f>IF(DATOS!$I17278="","",IFERROR(VLOOKUP(DATOS!$I17278,CONFIG_ASIGNATURAS!$B$2:$J$91,9,FALSE()),""))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IF(DATOS!$A17279="",0,IF(CONFIG_METADATA!$B$4&lt;&gt;"OR+EX",--(DATOS!$G17279=CONFIG_METADATA!$B$4),IF(DATOS!$G17279="EX",1,IF(DATOS!$G17279="OR",--(COUNTIFS(nNIA,DATOS!$A17279,nCURSO,DATOS!$D17279,nESPEC,DATOS!$E17279,nASIG,DATOS!$I17279,nEVAL,"EX")=0),0))))</f>
      </c>
      <c r="H17279">
        <f>IF(DATOS!$G17279&lt;&gt;"EX",0,--(COUNTIFS(nNIA,DATOS!$A17279,nCURSO,DATOS!$D17279,nESPEC,DATOS!$E17279,nASIG,DATOS!$I17279,nEVAL,"OR")=0))</f>
      </c>
      <c r="I17279">
        <f>IF(DATOS!$I17279="","",IFERROR(VLOOKUP(DATOS!$I17279,CONFIG_ASIGNATURAS!$B$2:$J$91,9,FALSE()),""))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IF(DATOS!$A17280="",0,IF(CONFIG_METADATA!$B$4&lt;&gt;"OR+EX",--(DATOS!$G17280=CONFIG_METADATA!$B$4),IF(DATOS!$G17280="EX",1,IF(DATOS!$G17280="OR",--(COUNTIFS(nNIA,DATOS!$A17280,nCURSO,DATOS!$D17280,nESPEC,DATOS!$E17280,nASIG,DATOS!$I17280,nEVAL,"EX")=0),0))))</f>
      </c>
      <c r="H17280">
        <f>IF(DATOS!$G17280&lt;&gt;"EX",0,--(COUNTIFS(nNIA,DATOS!$A17280,nCURSO,DATOS!$D17280,nESPEC,DATOS!$E17280,nASIG,DATOS!$I17280,nEVAL,"OR")=0))</f>
      </c>
      <c r="I17280">
        <f>IF(DATOS!$I17280="","",IFERROR(VLOOKUP(DATOS!$I17280,CONFIG_ASIGNATURAS!$B$2:$J$91,9,FALSE()),""))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IF(DATOS!$A17281="",0,IF(CONFIG_METADATA!$B$4&lt;&gt;"OR+EX",--(DATOS!$G17281=CONFIG_METADATA!$B$4),IF(DATOS!$G17281="EX",1,IF(DATOS!$G17281="OR",--(COUNTIFS(nNIA,DATOS!$A17281,nCURSO,DATOS!$D17281,nESPEC,DATOS!$E17281,nASIG,DATOS!$I17281,nEVAL,"EX")=0),0))))</f>
      </c>
      <c r="H17281">
        <f>IF(DATOS!$G17281&lt;&gt;"EX",0,--(COUNTIFS(nNIA,DATOS!$A17281,nCURSO,DATOS!$D17281,nESPEC,DATOS!$E17281,nASIG,DATOS!$I17281,nEVAL,"OR")=0))</f>
      </c>
      <c r="I17281">
        <f>IF(DATOS!$I17281="","",IFERROR(VLOOKUP(DATOS!$I17281,CONFIG_ASIGNATURAS!$B$2:$J$91,9,FALSE()),""))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IF(DATOS!$A17282="",0,IF(CONFIG_METADATA!$B$4&lt;&gt;"OR+EX",--(DATOS!$G17282=CONFIG_METADATA!$B$4),IF(DATOS!$G17282="EX",1,IF(DATOS!$G17282="OR",--(COUNTIFS(nNIA,DATOS!$A17282,nCURSO,DATOS!$D17282,nESPEC,DATOS!$E17282,nASIG,DATOS!$I17282,nEVAL,"EX")=0),0))))</f>
      </c>
      <c r="H17282">
        <f>IF(DATOS!$G17282&lt;&gt;"EX",0,--(COUNTIFS(nNIA,DATOS!$A17282,nCURSO,DATOS!$D17282,nESPEC,DATOS!$E17282,nASIG,DATOS!$I17282,nEVAL,"OR")=0))</f>
      </c>
      <c r="I17282">
        <f>IF(DATOS!$I17282="","",IFERROR(VLOOKUP(DATOS!$I17282,CONFIG_ASIGNATURAS!$B$2:$J$91,9,FALSE()),""))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IF(DATOS!$A17283="",0,IF(CONFIG_METADATA!$B$4&lt;&gt;"OR+EX",--(DATOS!$G17283=CONFIG_METADATA!$B$4),IF(DATOS!$G17283="EX",1,IF(DATOS!$G17283="OR",--(COUNTIFS(nNIA,DATOS!$A17283,nCURSO,DATOS!$D17283,nESPEC,DATOS!$E17283,nASIG,DATOS!$I17283,nEVAL,"EX")=0),0))))</f>
      </c>
      <c r="H17283">
        <f>IF(DATOS!$G17283&lt;&gt;"EX",0,--(COUNTIFS(nNIA,DATOS!$A17283,nCURSO,DATOS!$D17283,nESPEC,DATOS!$E17283,nASIG,DATOS!$I17283,nEVAL,"OR")=0))</f>
      </c>
      <c r="I17283">
        <f>IF(DATOS!$I17283="","",IFERROR(VLOOKUP(DATOS!$I17283,CONFIG_ASIGNATURAS!$B$2:$J$91,9,FALSE()),""))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IF(DATOS!$A17284="",0,IF(CONFIG_METADATA!$B$4&lt;&gt;"OR+EX",--(DATOS!$G17284=CONFIG_METADATA!$B$4),IF(DATOS!$G17284="EX",1,IF(DATOS!$G17284="OR",--(COUNTIFS(nNIA,DATOS!$A17284,nCURSO,DATOS!$D17284,nESPEC,DATOS!$E17284,nASIG,DATOS!$I17284,nEVAL,"EX")=0),0))))</f>
      </c>
      <c r="H17284">
        <f>IF(DATOS!$G17284&lt;&gt;"EX",0,--(COUNTIFS(nNIA,DATOS!$A17284,nCURSO,DATOS!$D17284,nESPEC,DATOS!$E17284,nASIG,DATOS!$I17284,nEVAL,"OR")=0))</f>
      </c>
      <c r="I17284">
        <f>IF(DATOS!$I17284="","",IFERROR(VLOOKUP(DATOS!$I17284,CONFIG_ASIGNATURAS!$B$2:$J$91,9,FALSE()),""))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IF(DATOS!$A17285="",0,IF(CONFIG_METADATA!$B$4&lt;&gt;"OR+EX",--(DATOS!$G17285=CONFIG_METADATA!$B$4),IF(DATOS!$G17285="EX",1,IF(DATOS!$G17285="OR",--(COUNTIFS(nNIA,DATOS!$A17285,nCURSO,DATOS!$D17285,nESPEC,DATOS!$E17285,nASIG,DATOS!$I17285,nEVAL,"EX")=0),0))))</f>
      </c>
      <c r="H17285">
        <f>IF(DATOS!$G17285&lt;&gt;"EX",0,--(COUNTIFS(nNIA,DATOS!$A17285,nCURSO,DATOS!$D17285,nESPEC,DATOS!$E17285,nASIG,DATOS!$I17285,nEVAL,"OR")=0))</f>
      </c>
      <c r="I17285">
        <f>IF(DATOS!$I17285="","",IFERROR(VLOOKUP(DATOS!$I17285,CONFIG_ASIGNATURAS!$B$2:$J$91,9,FALSE()),""))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IF(DATOS!$A17286="",0,IF(CONFIG_METADATA!$B$4&lt;&gt;"OR+EX",--(DATOS!$G17286=CONFIG_METADATA!$B$4),IF(DATOS!$G17286="EX",1,IF(DATOS!$G17286="OR",--(COUNTIFS(nNIA,DATOS!$A17286,nCURSO,DATOS!$D17286,nESPEC,DATOS!$E17286,nASIG,DATOS!$I17286,nEVAL,"EX")=0),0))))</f>
      </c>
      <c r="H17286">
        <f>IF(DATOS!$G17286&lt;&gt;"EX",0,--(COUNTIFS(nNIA,DATOS!$A17286,nCURSO,DATOS!$D17286,nESPEC,DATOS!$E17286,nASIG,DATOS!$I17286,nEVAL,"OR")=0))</f>
      </c>
      <c r="I17286">
        <f>IF(DATOS!$I17286="","",IFERROR(VLOOKUP(DATOS!$I17286,CONFIG_ASIGNATURAS!$B$2:$J$91,9,FALSE()),""))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IF(DATOS!$A17287="",0,IF(CONFIG_METADATA!$B$4&lt;&gt;"OR+EX",--(DATOS!$G17287=CONFIG_METADATA!$B$4),IF(DATOS!$G17287="EX",1,IF(DATOS!$G17287="OR",--(COUNTIFS(nNIA,DATOS!$A17287,nCURSO,DATOS!$D17287,nESPEC,DATOS!$E17287,nASIG,DATOS!$I17287,nEVAL,"EX")=0),0))))</f>
      </c>
      <c r="H17287">
        <f>IF(DATOS!$G17287&lt;&gt;"EX",0,--(COUNTIFS(nNIA,DATOS!$A17287,nCURSO,DATOS!$D17287,nESPEC,DATOS!$E17287,nASIG,DATOS!$I17287,nEVAL,"OR")=0))</f>
      </c>
      <c r="I17287">
        <f>IF(DATOS!$I17287="","",IFERROR(VLOOKUP(DATOS!$I17287,CONFIG_ASIGNATURAS!$B$2:$J$91,9,FALSE()),""))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IF(DATOS!$A17288="",0,IF(CONFIG_METADATA!$B$4&lt;&gt;"OR+EX",--(DATOS!$G17288=CONFIG_METADATA!$B$4),IF(DATOS!$G17288="EX",1,IF(DATOS!$G17288="OR",--(COUNTIFS(nNIA,DATOS!$A17288,nCURSO,DATOS!$D17288,nESPEC,DATOS!$E17288,nASIG,DATOS!$I17288,nEVAL,"EX")=0),0))))</f>
      </c>
      <c r="H17288">
        <f>IF(DATOS!$G17288&lt;&gt;"EX",0,--(COUNTIFS(nNIA,DATOS!$A17288,nCURSO,DATOS!$D17288,nESPEC,DATOS!$E17288,nASIG,DATOS!$I17288,nEVAL,"OR")=0))</f>
      </c>
      <c r="I17288">
        <f>IF(DATOS!$I17288="","",IFERROR(VLOOKUP(DATOS!$I17288,CONFIG_ASIGNATURAS!$B$2:$J$91,9,FALSE()),""))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IF(DATOS!$A17289="",0,IF(CONFIG_METADATA!$B$4&lt;&gt;"OR+EX",--(DATOS!$G17289=CONFIG_METADATA!$B$4),IF(DATOS!$G17289="EX",1,IF(DATOS!$G17289="OR",--(COUNTIFS(nNIA,DATOS!$A17289,nCURSO,DATOS!$D17289,nESPEC,DATOS!$E17289,nASIG,DATOS!$I17289,nEVAL,"EX")=0),0))))</f>
      </c>
      <c r="H17289">
        <f>IF(DATOS!$G17289&lt;&gt;"EX",0,--(COUNTIFS(nNIA,DATOS!$A17289,nCURSO,DATOS!$D17289,nESPEC,DATOS!$E17289,nASIG,DATOS!$I17289,nEVAL,"OR")=0))</f>
      </c>
      <c r="I17289">
        <f>IF(DATOS!$I17289="","",IFERROR(VLOOKUP(DATOS!$I17289,CONFIG_ASIGNATURAS!$B$2:$J$91,9,FALSE()),""))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IF(DATOS!$A17290="",0,IF(CONFIG_METADATA!$B$4&lt;&gt;"OR+EX",--(DATOS!$G17290=CONFIG_METADATA!$B$4),IF(DATOS!$G17290="EX",1,IF(DATOS!$G17290="OR",--(COUNTIFS(nNIA,DATOS!$A17290,nCURSO,DATOS!$D17290,nESPEC,DATOS!$E17290,nASIG,DATOS!$I17290,nEVAL,"EX")=0),0))))</f>
      </c>
      <c r="H17290">
        <f>IF(DATOS!$G17290&lt;&gt;"EX",0,--(COUNTIFS(nNIA,DATOS!$A17290,nCURSO,DATOS!$D17290,nESPEC,DATOS!$E17290,nASIG,DATOS!$I17290,nEVAL,"OR")=0))</f>
      </c>
      <c r="I17290">
        <f>IF(DATOS!$I17290="","",IFERROR(VLOOKUP(DATOS!$I17290,CONFIG_ASIGNATURAS!$B$2:$J$91,9,FALSE()),""))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IF(DATOS!$A17291="",0,IF(CONFIG_METADATA!$B$4&lt;&gt;"OR+EX",--(DATOS!$G17291=CONFIG_METADATA!$B$4),IF(DATOS!$G17291="EX",1,IF(DATOS!$G17291="OR",--(COUNTIFS(nNIA,DATOS!$A17291,nCURSO,DATOS!$D17291,nESPEC,DATOS!$E17291,nASIG,DATOS!$I17291,nEVAL,"EX")=0),0))))</f>
      </c>
      <c r="H17291">
        <f>IF(DATOS!$G17291&lt;&gt;"EX",0,--(COUNTIFS(nNIA,DATOS!$A17291,nCURSO,DATOS!$D17291,nESPEC,DATOS!$E17291,nASIG,DATOS!$I17291,nEVAL,"OR")=0))</f>
      </c>
      <c r="I17291">
        <f>IF(DATOS!$I17291="","",IFERROR(VLOOKUP(DATOS!$I17291,CONFIG_ASIGNATURAS!$B$2:$J$91,9,FALSE()),""))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IF(DATOS!$A17292="",0,IF(CONFIG_METADATA!$B$4&lt;&gt;"OR+EX",--(DATOS!$G17292=CONFIG_METADATA!$B$4),IF(DATOS!$G17292="EX",1,IF(DATOS!$G17292="OR",--(COUNTIFS(nNIA,DATOS!$A17292,nCURSO,DATOS!$D17292,nESPEC,DATOS!$E17292,nASIG,DATOS!$I17292,nEVAL,"EX")=0),0))))</f>
      </c>
      <c r="H17292">
        <f>IF(DATOS!$G17292&lt;&gt;"EX",0,--(COUNTIFS(nNIA,DATOS!$A17292,nCURSO,DATOS!$D17292,nESPEC,DATOS!$E17292,nASIG,DATOS!$I17292,nEVAL,"OR")=0))</f>
      </c>
      <c r="I17292">
        <f>IF(DATOS!$I17292="","",IFERROR(VLOOKUP(DATOS!$I17292,CONFIG_ASIGNATURAS!$B$2:$J$91,9,FALSE()),""))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IF(DATOS!$A17293="",0,IF(CONFIG_METADATA!$B$4&lt;&gt;"OR+EX",--(DATOS!$G17293=CONFIG_METADATA!$B$4),IF(DATOS!$G17293="EX",1,IF(DATOS!$G17293="OR",--(COUNTIFS(nNIA,DATOS!$A17293,nCURSO,DATOS!$D17293,nESPEC,DATOS!$E17293,nASIG,DATOS!$I17293,nEVAL,"EX")=0),0))))</f>
      </c>
      <c r="H17293">
        <f>IF(DATOS!$G17293&lt;&gt;"EX",0,--(COUNTIFS(nNIA,DATOS!$A17293,nCURSO,DATOS!$D17293,nESPEC,DATOS!$E17293,nASIG,DATOS!$I17293,nEVAL,"OR")=0))</f>
      </c>
      <c r="I17293">
        <f>IF(DATOS!$I17293="","",IFERROR(VLOOKUP(DATOS!$I17293,CONFIG_ASIGNATURAS!$B$2:$J$91,9,FALSE()),""))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IF(DATOS!$A17294="",0,IF(CONFIG_METADATA!$B$4&lt;&gt;"OR+EX",--(DATOS!$G17294=CONFIG_METADATA!$B$4),IF(DATOS!$G17294="EX",1,IF(DATOS!$G17294="OR",--(COUNTIFS(nNIA,DATOS!$A17294,nCURSO,DATOS!$D17294,nESPEC,DATOS!$E17294,nASIG,DATOS!$I17294,nEVAL,"EX")=0),0))))</f>
      </c>
      <c r="H17294">
        <f>IF(DATOS!$G17294&lt;&gt;"EX",0,--(COUNTIFS(nNIA,DATOS!$A17294,nCURSO,DATOS!$D17294,nESPEC,DATOS!$E17294,nASIG,DATOS!$I17294,nEVAL,"OR")=0))</f>
      </c>
      <c r="I17294">
        <f>IF(DATOS!$I17294="","",IFERROR(VLOOKUP(DATOS!$I17294,CONFIG_ASIGNATURAS!$B$2:$J$91,9,FALSE()),""))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IF(DATOS!$A17295="",0,IF(CONFIG_METADATA!$B$4&lt;&gt;"OR+EX",--(DATOS!$G17295=CONFIG_METADATA!$B$4),IF(DATOS!$G17295="EX",1,IF(DATOS!$G17295="OR",--(COUNTIFS(nNIA,DATOS!$A17295,nCURSO,DATOS!$D17295,nESPEC,DATOS!$E17295,nASIG,DATOS!$I17295,nEVAL,"EX")=0),0))))</f>
      </c>
      <c r="H17295">
        <f>IF(DATOS!$G17295&lt;&gt;"EX",0,--(COUNTIFS(nNIA,DATOS!$A17295,nCURSO,DATOS!$D17295,nESPEC,DATOS!$E17295,nASIG,DATOS!$I17295,nEVAL,"OR")=0))</f>
      </c>
      <c r="I17295">
        <f>IF(DATOS!$I17295="","",IFERROR(VLOOKUP(DATOS!$I17295,CONFIG_ASIGNATURAS!$B$2:$J$91,9,FALSE()),""))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IF(DATOS!$A17296="",0,IF(CONFIG_METADATA!$B$4&lt;&gt;"OR+EX",--(DATOS!$G17296=CONFIG_METADATA!$B$4),IF(DATOS!$G17296="EX",1,IF(DATOS!$G17296="OR",--(COUNTIFS(nNIA,DATOS!$A17296,nCURSO,DATOS!$D17296,nESPEC,DATOS!$E17296,nASIG,DATOS!$I17296,nEVAL,"EX")=0),0))))</f>
      </c>
      <c r="H17296">
        <f>IF(DATOS!$G17296&lt;&gt;"EX",0,--(COUNTIFS(nNIA,DATOS!$A17296,nCURSO,DATOS!$D17296,nESPEC,DATOS!$E17296,nASIG,DATOS!$I17296,nEVAL,"OR")=0))</f>
      </c>
      <c r="I17296">
        <f>IF(DATOS!$I17296="","",IFERROR(VLOOKUP(DATOS!$I17296,CONFIG_ASIGNATURAS!$B$2:$J$91,9,FALSE()),""))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IF(DATOS!$A17297="",0,IF(CONFIG_METADATA!$B$4&lt;&gt;"OR+EX",--(DATOS!$G17297=CONFIG_METADATA!$B$4),IF(DATOS!$G17297="EX",1,IF(DATOS!$G17297="OR",--(COUNTIFS(nNIA,DATOS!$A17297,nCURSO,DATOS!$D17297,nESPEC,DATOS!$E17297,nASIG,DATOS!$I17297,nEVAL,"EX")=0),0))))</f>
      </c>
      <c r="H17297">
        <f>IF(DATOS!$G17297&lt;&gt;"EX",0,--(COUNTIFS(nNIA,DATOS!$A17297,nCURSO,DATOS!$D17297,nESPEC,DATOS!$E17297,nASIG,DATOS!$I17297,nEVAL,"OR")=0))</f>
      </c>
      <c r="I17297">
        <f>IF(DATOS!$I17297="","",IFERROR(VLOOKUP(DATOS!$I17297,CONFIG_ASIGNATURAS!$B$2:$J$91,9,FALSE()),""))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IF(DATOS!$A17298="",0,IF(CONFIG_METADATA!$B$4&lt;&gt;"OR+EX",--(DATOS!$G17298=CONFIG_METADATA!$B$4),IF(DATOS!$G17298="EX",1,IF(DATOS!$G17298="OR",--(COUNTIFS(nNIA,DATOS!$A17298,nCURSO,DATOS!$D17298,nESPEC,DATOS!$E17298,nASIG,DATOS!$I17298,nEVAL,"EX")=0),0))))</f>
      </c>
      <c r="H17298">
        <f>IF(DATOS!$G17298&lt;&gt;"EX",0,--(COUNTIFS(nNIA,DATOS!$A17298,nCURSO,DATOS!$D17298,nESPEC,DATOS!$E17298,nASIG,DATOS!$I17298,nEVAL,"OR")=0))</f>
      </c>
      <c r="I17298">
        <f>IF(DATOS!$I17298="","",IFERROR(VLOOKUP(DATOS!$I17298,CONFIG_ASIGNATURAS!$B$2:$J$91,9,FALSE()),""))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IF(DATOS!$A17299="",0,IF(CONFIG_METADATA!$B$4&lt;&gt;"OR+EX",--(DATOS!$G17299=CONFIG_METADATA!$B$4),IF(DATOS!$G17299="EX",1,IF(DATOS!$G17299="OR",--(COUNTIFS(nNIA,DATOS!$A17299,nCURSO,DATOS!$D17299,nESPEC,DATOS!$E17299,nASIG,DATOS!$I17299,nEVAL,"EX")=0),0))))</f>
      </c>
      <c r="H17299">
        <f>IF(DATOS!$G17299&lt;&gt;"EX",0,--(COUNTIFS(nNIA,DATOS!$A17299,nCURSO,DATOS!$D17299,nESPEC,DATOS!$E17299,nASIG,DATOS!$I17299,nEVAL,"OR")=0))</f>
      </c>
      <c r="I17299">
        <f>IF(DATOS!$I17299="","",IFERROR(VLOOKUP(DATOS!$I17299,CONFIG_ASIGNATURAS!$B$2:$J$91,9,FALSE()),""))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IF(DATOS!$A17300="",0,IF(CONFIG_METADATA!$B$4&lt;&gt;"OR+EX",--(DATOS!$G17300=CONFIG_METADATA!$B$4),IF(DATOS!$G17300="EX",1,IF(DATOS!$G17300="OR",--(COUNTIFS(nNIA,DATOS!$A17300,nCURSO,DATOS!$D17300,nESPEC,DATOS!$E17300,nASIG,DATOS!$I17300,nEVAL,"EX")=0),0))))</f>
      </c>
      <c r="H17300">
        <f>IF(DATOS!$G17300&lt;&gt;"EX",0,--(COUNTIFS(nNIA,DATOS!$A17300,nCURSO,DATOS!$D17300,nESPEC,DATOS!$E17300,nASIG,DATOS!$I17300,nEVAL,"OR")=0))</f>
      </c>
      <c r="I17300">
        <f>IF(DATOS!$I17300="","",IFERROR(VLOOKUP(DATOS!$I17300,CONFIG_ASIGNATURAS!$B$2:$J$91,9,FALSE()),""))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IF(DATOS!$A17301="",0,IF(CONFIG_METADATA!$B$4&lt;&gt;"OR+EX",--(DATOS!$G17301=CONFIG_METADATA!$B$4),IF(DATOS!$G17301="EX",1,IF(DATOS!$G17301="OR",--(COUNTIFS(nNIA,DATOS!$A17301,nCURSO,DATOS!$D17301,nESPEC,DATOS!$E17301,nASIG,DATOS!$I17301,nEVAL,"EX")=0),0))))</f>
      </c>
      <c r="H17301">
        <f>IF(DATOS!$G17301&lt;&gt;"EX",0,--(COUNTIFS(nNIA,DATOS!$A17301,nCURSO,DATOS!$D17301,nESPEC,DATOS!$E17301,nASIG,DATOS!$I17301,nEVAL,"OR")=0))</f>
      </c>
      <c r="I17301">
        <f>IF(DATOS!$I17301="","",IFERROR(VLOOKUP(DATOS!$I17301,CONFIG_ASIGNATURAS!$B$2:$J$91,9,FALSE()),""))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IF(DATOS!$A17302="",0,IF(CONFIG_METADATA!$B$4&lt;&gt;"OR+EX",--(DATOS!$G17302=CONFIG_METADATA!$B$4),IF(DATOS!$G17302="EX",1,IF(DATOS!$G17302="OR",--(COUNTIFS(nNIA,DATOS!$A17302,nCURSO,DATOS!$D17302,nESPEC,DATOS!$E17302,nASIG,DATOS!$I17302,nEVAL,"EX")=0),0))))</f>
      </c>
      <c r="H17302">
        <f>IF(DATOS!$G17302&lt;&gt;"EX",0,--(COUNTIFS(nNIA,DATOS!$A17302,nCURSO,DATOS!$D17302,nESPEC,DATOS!$E17302,nASIG,DATOS!$I17302,nEVAL,"OR")=0))</f>
      </c>
      <c r="I17302">
        <f>IF(DATOS!$I17302="","",IFERROR(VLOOKUP(DATOS!$I17302,CONFIG_ASIGNATURAS!$B$2:$J$91,9,FALSE()),""))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IF(DATOS!$A17303="",0,IF(CONFIG_METADATA!$B$4&lt;&gt;"OR+EX",--(DATOS!$G17303=CONFIG_METADATA!$B$4),IF(DATOS!$G17303="EX",1,IF(DATOS!$G17303="OR",--(COUNTIFS(nNIA,DATOS!$A17303,nCURSO,DATOS!$D17303,nESPEC,DATOS!$E17303,nASIG,DATOS!$I17303,nEVAL,"EX")=0),0))))</f>
      </c>
      <c r="H17303">
        <f>IF(DATOS!$G17303&lt;&gt;"EX",0,--(COUNTIFS(nNIA,DATOS!$A17303,nCURSO,DATOS!$D17303,nESPEC,DATOS!$E17303,nASIG,DATOS!$I17303,nEVAL,"OR")=0))</f>
      </c>
      <c r="I17303">
        <f>IF(DATOS!$I17303="","",IFERROR(VLOOKUP(DATOS!$I17303,CONFIG_ASIGNATURAS!$B$2:$J$91,9,FALSE()),""))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IF(DATOS!$A17304="",0,IF(CONFIG_METADATA!$B$4&lt;&gt;"OR+EX",--(DATOS!$G17304=CONFIG_METADATA!$B$4),IF(DATOS!$G17304="EX",1,IF(DATOS!$G17304="OR",--(COUNTIFS(nNIA,DATOS!$A17304,nCURSO,DATOS!$D17304,nESPEC,DATOS!$E17304,nASIG,DATOS!$I17304,nEVAL,"EX")=0),0))))</f>
      </c>
      <c r="H17304">
        <f>IF(DATOS!$G17304&lt;&gt;"EX",0,--(COUNTIFS(nNIA,DATOS!$A17304,nCURSO,DATOS!$D17304,nESPEC,DATOS!$E17304,nASIG,DATOS!$I17304,nEVAL,"OR")=0))</f>
      </c>
      <c r="I17304">
        <f>IF(DATOS!$I17304="","",IFERROR(VLOOKUP(DATOS!$I17304,CONFIG_ASIGNATURAS!$B$2:$J$91,9,FALSE()),""))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IF(DATOS!$A17305="",0,IF(CONFIG_METADATA!$B$4&lt;&gt;"OR+EX",--(DATOS!$G17305=CONFIG_METADATA!$B$4),IF(DATOS!$G17305="EX",1,IF(DATOS!$G17305="OR",--(COUNTIFS(nNIA,DATOS!$A17305,nCURSO,DATOS!$D17305,nESPEC,DATOS!$E17305,nASIG,DATOS!$I17305,nEVAL,"EX")=0),0))))</f>
      </c>
      <c r="H17305">
        <f>IF(DATOS!$G17305&lt;&gt;"EX",0,--(COUNTIFS(nNIA,DATOS!$A17305,nCURSO,DATOS!$D17305,nESPEC,DATOS!$E17305,nASIG,DATOS!$I17305,nEVAL,"OR")=0))</f>
      </c>
      <c r="I17305">
        <f>IF(DATOS!$I17305="","",IFERROR(VLOOKUP(DATOS!$I17305,CONFIG_ASIGNATURAS!$B$2:$J$91,9,FALSE()),""))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IF(DATOS!$A17306="",0,IF(CONFIG_METADATA!$B$4&lt;&gt;"OR+EX",--(DATOS!$G17306=CONFIG_METADATA!$B$4),IF(DATOS!$G17306="EX",1,IF(DATOS!$G17306="OR",--(COUNTIFS(nNIA,DATOS!$A17306,nCURSO,DATOS!$D17306,nESPEC,DATOS!$E17306,nASIG,DATOS!$I17306,nEVAL,"EX")=0),0))))</f>
      </c>
      <c r="H17306">
        <f>IF(DATOS!$G17306&lt;&gt;"EX",0,--(COUNTIFS(nNIA,DATOS!$A17306,nCURSO,DATOS!$D17306,nESPEC,DATOS!$E17306,nASIG,DATOS!$I17306,nEVAL,"OR")=0))</f>
      </c>
      <c r="I17306">
        <f>IF(DATOS!$I17306="","",IFERROR(VLOOKUP(DATOS!$I17306,CONFIG_ASIGNATURAS!$B$2:$J$91,9,FALSE()),""))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IF(DATOS!$A17307="",0,IF(CONFIG_METADATA!$B$4&lt;&gt;"OR+EX",--(DATOS!$G17307=CONFIG_METADATA!$B$4),IF(DATOS!$G17307="EX",1,IF(DATOS!$G17307="OR",--(COUNTIFS(nNIA,DATOS!$A17307,nCURSO,DATOS!$D17307,nESPEC,DATOS!$E17307,nASIG,DATOS!$I17307,nEVAL,"EX")=0),0))))</f>
      </c>
      <c r="H17307">
        <f>IF(DATOS!$G17307&lt;&gt;"EX",0,--(COUNTIFS(nNIA,DATOS!$A17307,nCURSO,DATOS!$D17307,nESPEC,DATOS!$E17307,nASIG,DATOS!$I17307,nEVAL,"OR")=0))</f>
      </c>
      <c r="I17307">
        <f>IF(DATOS!$I17307="","",IFERROR(VLOOKUP(DATOS!$I17307,CONFIG_ASIGNATURAS!$B$2:$J$91,9,FALSE()),""))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IF(DATOS!$A17308="",0,IF(CONFIG_METADATA!$B$4&lt;&gt;"OR+EX",--(DATOS!$G17308=CONFIG_METADATA!$B$4),IF(DATOS!$G17308="EX",1,IF(DATOS!$G17308="OR",--(COUNTIFS(nNIA,DATOS!$A17308,nCURSO,DATOS!$D17308,nESPEC,DATOS!$E17308,nASIG,DATOS!$I17308,nEVAL,"EX")=0),0))))</f>
      </c>
      <c r="H17308">
        <f>IF(DATOS!$G17308&lt;&gt;"EX",0,--(COUNTIFS(nNIA,DATOS!$A17308,nCURSO,DATOS!$D17308,nESPEC,DATOS!$E17308,nASIG,DATOS!$I17308,nEVAL,"OR")=0))</f>
      </c>
      <c r="I17308">
        <f>IF(DATOS!$I17308="","",IFERROR(VLOOKUP(DATOS!$I17308,CONFIG_ASIGNATURAS!$B$2:$J$91,9,FALSE()),""))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IF(DATOS!$A17309="",0,IF(CONFIG_METADATA!$B$4&lt;&gt;"OR+EX",--(DATOS!$G17309=CONFIG_METADATA!$B$4),IF(DATOS!$G17309="EX",1,IF(DATOS!$G17309="OR",--(COUNTIFS(nNIA,DATOS!$A17309,nCURSO,DATOS!$D17309,nESPEC,DATOS!$E17309,nASIG,DATOS!$I17309,nEVAL,"EX")=0),0))))</f>
      </c>
      <c r="H17309">
        <f>IF(DATOS!$G17309&lt;&gt;"EX",0,--(COUNTIFS(nNIA,DATOS!$A17309,nCURSO,DATOS!$D17309,nESPEC,DATOS!$E17309,nASIG,DATOS!$I17309,nEVAL,"OR")=0))</f>
      </c>
      <c r="I17309">
        <f>IF(DATOS!$I17309="","",IFERROR(VLOOKUP(DATOS!$I17309,CONFIG_ASIGNATURAS!$B$2:$J$91,9,FALSE()),""))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IF(DATOS!$A17310="",0,IF(CONFIG_METADATA!$B$4&lt;&gt;"OR+EX",--(DATOS!$G17310=CONFIG_METADATA!$B$4),IF(DATOS!$G17310="EX",1,IF(DATOS!$G17310="OR",--(COUNTIFS(nNIA,DATOS!$A17310,nCURSO,DATOS!$D17310,nESPEC,DATOS!$E17310,nASIG,DATOS!$I17310,nEVAL,"EX")=0),0))))</f>
      </c>
      <c r="H17310">
        <f>IF(DATOS!$G17310&lt;&gt;"EX",0,--(COUNTIFS(nNIA,DATOS!$A17310,nCURSO,DATOS!$D17310,nESPEC,DATOS!$E17310,nASIG,DATOS!$I17310,nEVAL,"OR")=0))</f>
      </c>
      <c r="I17310">
        <f>IF(DATOS!$I17310="","",IFERROR(VLOOKUP(DATOS!$I17310,CONFIG_ASIGNATURAS!$B$2:$J$91,9,FALSE()),""))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IF(DATOS!$A17311="",0,IF(CONFIG_METADATA!$B$4&lt;&gt;"OR+EX",--(DATOS!$G17311=CONFIG_METADATA!$B$4),IF(DATOS!$G17311="EX",1,IF(DATOS!$G17311="OR",--(COUNTIFS(nNIA,DATOS!$A17311,nCURSO,DATOS!$D17311,nESPEC,DATOS!$E17311,nASIG,DATOS!$I17311,nEVAL,"EX")=0),0))))</f>
      </c>
      <c r="H17311">
        <f>IF(DATOS!$G17311&lt;&gt;"EX",0,--(COUNTIFS(nNIA,DATOS!$A17311,nCURSO,DATOS!$D17311,nESPEC,DATOS!$E17311,nASIG,DATOS!$I17311,nEVAL,"OR")=0))</f>
      </c>
      <c r="I17311">
        <f>IF(DATOS!$I17311="","",IFERROR(VLOOKUP(DATOS!$I17311,CONFIG_ASIGNATURAS!$B$2:$J$91,9,FALSE()),""))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IF(DATOS!$A17312="",0,IF(CONFIG_METADATA!$B$4&lt;&gt;"OR+EX",--(DATOS!$G17312=CONFIG_METADATA!$B$4),IF(DATOS!$G17312="EX",1,IF(DATOS!$G17312="OR",--(COUNTIFS(nNIA,DATOS!$A17312,nCURSO,DATOS!$D17312,nESPEC,DATOS!$E17312,nASIG,DATOS!$I17312,nEVAL,"EX")=0),0))))</f>
      </c>
      <c r="H17312">
        <f>IF(DATOS!$G17312&lt;&gt;"EX",0,--(COUNTIFS(nNIA,DATOS!$A17312,nCURSO,DATOS!$D17312,nESPEC,DATOS!$E17312,nASIG,DATOS!$I17312,nEVAL,"OR")=0))</f>
      </c>
      <c r="I17312">
        <f>IF(DATOS!$I17312="","",IFERROR(VLOOKUP(DATOS!$I17312,CONFIG_ASIGNATURAS!$B$2:$J$91,9,FALSE()),""))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IF(DATOS!$A17313="",0,IF(CONFIG_METADATA!$B$4&lt;&gt;"OR+EX",--(DATOS!$G17313=CONFIG_METADATA!$B$4),IF(DATOS!$G17313="EX",1,IF(DATOS!$G17313="OR",--(COUNTIFS(nNIA,DATOS!$A17313,nCURSO,DATOS!$D17313,nESPEC,DATOS!$E17313,nASIG,DATOS!$I17313,nEVAL,"EX")=0),0))))</f>
      </c>
      <c r="H17313">
        <f>IF(DATOS!$G17313&lt;&gt;"EX",0,--(COUNTIFS(nNIA,DATOS!$A17313,nCURSO,DATOS!$D17313,nESPEC,DATOS!$E17313,nASIG,DATOS!$I17313,nEVAL,"OR")=0))</f>
      </c>
      <c r="I17313">
        <f>IF(DATOS!$I17313="","",IFERROR(VLOOKUP(DATOS!$I17313,CONFIG_ASIGNATURAS!$B$2:$J$91,9,FALSE()),""))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IF(DATOS!$A17314="",0,IF(CONFIG_METADATA!$B$4&lt;&gt;"OR+EX",--(DATOS!$G17314=CONFIG_METADATA!$B$4),IF(DATOS!$G17314="EX",1,IF(DATOS!$G17314="OR",--(COUNTIFS(nNIA,DATOS!$A17314,nCURSO,DATOS!$D17314,nESPEC,DATOS!$E17314,nASIG,DATOS!$I17314,nEVAL,"EX")=0),0))))</f>
      </c>
      <c r="H17314">
        <f>IF(DATOS!$G17314&lt;&gt;"EX",0,--(COUNTIFS(nNIA,DATOS!$A17314,nCURSO,DATOS!$D17314,nESPEC,DATOS!$E17314,nASIG,DATOS!$I17314,nEVAL,"OR")=0))</f>
      </c>
      <c r="I17314">
        <f>IF(DATOS!$I17314="","",IFERROR(VLOOKUP(DATOS!$I17314,CONFIG_ASIGNATURAS!$B$2:$J$91,9,FALSE()),""))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IF(DATOS!$A17315="",0,IF(CONFIG_METADATA!$B$4&lt;&gt;"OR+EX",--(DATOS!$G17315=CONFIG_METADATA!$B$4),IF(DATOS!$G17315="EX",1,IF(DATOS!$G17315="OR",--(COUNTIFS(nNIA,DATOS!$A17315,nCURSO,DATOS!$D17315,nESPEC,DATOS!$E17315,nASIG,DATOS!$I17315,nEVAL,"EX")=0),0))))</f>
      </c>
      <c r="H17315">
        <f>IF(DATOS!$G17315&lt;&gt;"EX",0,--(COUNTIFS(nNIA,DATOS!$A17315,nCURSO,DATOS!$D17315,nESPEC,DATOS!$E17315,nASIG,DATOS!$I17315,nEVAL,"OR")=0))</f>
      </c>
      <c r="I17315">
        <f>IF(DATOS!$I17315="","",IFERROR(VLOOKUP(DATOS!$I17315,CONFIG_ASIGNATURAS!$B$2:$J$91,9,FALSE()),""))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IF(DATOS!$A17316="",0,IF(CONFIG_METADATA!$B$4&lt;&gt;"OR+EX",--(DATOS!$G17316=CONFIG_METADATA!$B$4),IF(DATOS!$G17316="EX",1,IF(DATOS!$G17316="OR",--(COUNTIFS(nNIA,DATOS!$A17316,nCURSO,DATOS!$D17316,nESPEC,DATOS!$E17316,nASIG,DATOS!$I17316,nEVAL,"EX")=0),0))))</f>
      </c>
      <c r="H17316">
        <f>IF(DATOS!$G17316&lt;&gt;"EX",0,--(COUNTIFS(nNIA,DATOS!$A17316,nCURSO,DATOS!$D17316,nESPEC,DATOS!$E17316,nASIG,DATOS!$I17316,nEVAL,"OR")=0))</f>
      </c>
      <c r="I17316">
        <f>IF(DATOS!$I17316="","",IFERROR(VLOOKUP(DATOS!$I17316,CONFIG_ASIGNATURAS!$B$2:$J$91,9,FALSE()),""))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IF(DATOS!$A17317="",0,IF(CONFIG_METADATA!$B$4&lt;&gt;"OR+EX",--(DATOS!$G17317=CONFIG_METADATA!$B$4),IF(DATOS!$G17317="EX",1,IF(DATOS!$G17317="OR",--(COUNTIFS(nNIA,DATOS!$A17317,nCURSO,DATOS!$D17317,nESPEC,DATOS!$E17317,nASIG,DATOS!$I17317,nEVAL,"EX")=0),0))))</f>
      </c>
      <c r="H17317">
        <f>IF(DATOS!$G17317&lt;&gt;"EX",0,--(COUNTIFS(nNIA,DATOS!$A17317,nCURSO,DATOS!$D17317,nESPEC,DATOS!$E17317,nASIG,DATOS!$I17317,nEVAL,"OR")=0))</f>
      </c>
      <c r="I17317">
        <f>IF(DATOS!$I17317="","",IFERROR(VLOOKUP(DATOS!$I17317,CONFIG_ASIGNATURAS!$B$2:$J$91,9,FALSE()),""))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IF(DATOS!$A17318="",0,IF(CONFIG_METADATA!$B$4&lt;&gt;"OR+EX",--(DATOS!$G17318=CONFIG_METADATA!$B$4),IF(DATOS!$G17318="EX",1,IF(DATOS!$G17318="OR",--(COUNTIFS(nNIA,DATOS!$A17318,nCURSO,DATOS!$D17318,nESPEC,DATOS!$E17318,nASIG,DATOS!$I17318,nEVAL,"EX")=0),0))))</f>
      </c>
      <c r="H17318">
        <f>IF(DATOS!$G17318&lt;&gt;"EX",0,--(COUNTIFS(nNIA,DATOS!$A17318,nCURSO,DATOS!$D17318,nESPEC,DATOS!$E17318,nASIG,DATOS!$I17318,nEVAL,"OR")=0))</f>
      </c>
      <c r="I17318">
        <f>IF(DATOS!$I17318="","",IFERROR(VLOOKUP(DATOS!$I17318,CONFIG_ASIGNATURAS!$B$2:$J$91,9,FALSE()),""))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IF(DATOS!$A17319="",0,IF(CONFIG_METADATA!$B$4&lt;&gt;"OR+EX",--(DATOS!$G17319=CONFIG_METADATA!$B$4),IF(DATOS!$G17319="EX",1,IF(DATOS!$G17319="OR",--(COUNTIFS(nNIA,DATOS!$A17319,nCURSO,DATOS!$D17319,nESPEC,DATOS!$E17319,nASIG,DATOS!$I17319,nEVAL,"EX")=0),0))))</f>
      </c>
      <c r="H17319">
        <f>IF(DATOS!$G17319&lt;&gt;"EX",0,--(COUNTIFS(nNIA,DATOS!$A17319,nCURSO,DATOS!$D17319,nESPEC,DATOS!$E17319,nASIG,DATOS!$I17319,nEVAL,"OR")=0))</f>
      </c>
      <c r="I17319">
        <f>IF(DATOS!$I17319="","",IFERROR(VLOOKUP(DATOS!$I17319,CONFIG_ASIGNATURAS!$B$2:$J$91,9,FALSE()),""))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IF(DATOS!$A17320="",0,IF(CONFIG_METADATA!$B$4&lt;&gt;"OR+EX",--(DATOS!$G17320=CONFIG_METADATA!$B$4),IF(DATOS!$G17320="EX",1,IF(DATOS!$G17320="OR",--(COUNTIFS(nNIA,DATOS!$A17320,nCURSO,DATOS!$D17320,nESPEC,DATOS!$E17320,nASIG,DATOS!$I17320,nEVAL,"EX")=0),0))))</f>
      </c>
      <c r="H17320">
        <f>IF(DATOS!$G17320&lt;&gt;"EX",0,--(COUNTIFS(nNIA,DATOS!$A17320,nCURSO,DATOS!$D17320,nESPEC,DATOS!$E17320,nASIG,DATOS!$I17320,nEVAL,"OR")=0))</f>
      </c>
      <c r="I17320">
        <f>IF(DATOS!$I17320="","",IFERROR(VLOOKUP(DATOS!$I17320,CONFIG_ASIGNATURAS!$B$2:$J$91,9,FALSE()),""))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IF(DATOS!$A17321="",0,IF(CONFIG_METADATA!$B$4&lt;&gt;"OR+EX",--(DATOS!$G17321=CONFIG_METADATA!$B$4),IF(DATOS!$G17321="EX",1,IF(DATOS!$G17321="OR",--(COUNTIFS(nNIA,DATOS!$A17321,nCURSO,DATOS!$D17321,nESPEC,DATOS!$E17321,nASIG,DATOS!$I17321,nEVAL,"EX")=0),0))))</f>
      </c>
      <c r="H17321">
        <f>IF(DATOS!$G17321&lt;&gt;"EX",0,--(COUNTIFS(nNIA,DATOS!$A17321,nCURSO,DATOS!$D17321,nESPEC,DATOS!$E17321,nASIG,DATOS!$I17321,nEVAL,"OR")=0))</f>
      </c>
      <c r="I17321">
        <f>IF(DATOS!$I17321="","",IFERROR(VLOOKUP(DATOS!$I17321,CONFIG_ASIGNATURAS!$B$2:$J$91,9,FALSE()),""))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IF(DATOS!$A17322="",0,IF(CONFIG_METADATA!$B$4&lt;&gt;"OR+EX",--(DATOS!$G17322=CONFIG_METADATA!$B$4),IF(DATOS!$G17322="EX",1,IF(DATOS!$G17322="OR",--(COUNTIFS(nNIA,DATOS!$A17322,nCURSO,DATOS!$D17322,nESPEC,DATOS!$E17322,nASIG,DATOS!$I17322,nEVAL,"EX")=0),0))))</f>
      </c>
      <c r="H17322">
        <f>IF(DATOS!$G17322&lt;&gt;"EX",0,--(COUNTIFS(nNIA,DATOS!$A17322,nCURSO,DATOS!$D17322,nESPEC,DATOS!$E17322,nASIG,DATOS!$I17322,nEVAL,"OR")=0))</f>
      </c>
      <c r="I17322">
        <f>IF(DATOS!$I17322="","",IFERROR(VLOOKUP(DATOS!$I17322,CONFIG_ASIGNATURAS!$B$2:$J$91,9,FALSE()),""))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IF(DATOS!$A17323="",0,IF(CONFIG_METADATA!$B$4&lt;&gt;"OR+EX",--(DATOS!$G17323=CONFIG_METADATA!$B$4),IF(DATOS!$G17323="EX",1,IF(DATOS!$G17323="OR",--(COUNTIFS(nNIA,DATOS!$A17323,nCURSO,DATOS!$D17323,nESPEC,DATOS!$E17323,nASIG,DATOS!$I17323,nEVAL,"EX")=0),0))))</f>
      </c>
      <c r="H17323">
        <f>IF(DATOS!$G17323&lt;&gt;"EX",0,--(COUNTIFS(nNIA,DATOS!$A17323,nCURSO,DATOS!$D17323,nESPEC,DATOS!$E17323,nASIG,DATOS!$I17323,nEVAL,"OR")=0))</f>
      </c>
      <c r="I17323">
        <f>IF(DATOS!$I17323="","",IFERROR(VLOOKUP(DATOS!$I17323,CONFIG_ASIGNATURAS!$B$2:$J$91,9,FALSE()),""))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IF(DATOS!$A17324="",0,IF(CONFIG_METADATA!$B$4&lt;&gt;"OR+EX",--(DATOS!$G17324=CONFIG_METADATA!$B$4),IF(DATOS!$G17324="EX",1,IF(DATOS!$G17324="OR",--(COUNTIFS(nNIA,DATOS!$A17324,nCURSO,DATOS!$D17324,nESPEC,DATOS!$E17324,nASIG,DATOS!$I17324,nEVAL,"EX")=0),0))))</f>
      </c>
      <c r="H17324">
        <f>IF(DATOS!$G17324&lt;&gt;"EX",0,--(COUNTIFS(nNIA,DATOS!$A17324,nCURSO,DATOS!$D17324,nESPEC,DATOS!$E17324,nASIG,DATOS!$I17324,nEVAL,"OR")=0))</f>
      </c>
      <c r="I17324">
        <f>IF(DATOS!$I17324="","",IFERROR(VLOOKUP(DATOS!$I17324,CONFIG_ASIGNATURAS!$B$2:$J$91,9,FALSE()),""))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IF(DATOS!$A17325="",0,IF(CONFIG_METADATA!$B$4&lt;&gt;"OR+EX",--(DATOS!$G17325=CONFIG_METADATA!$B$4),IF(DATOS!$G17325="EX",1,IF(DATOS!$G17325="OR",--(COUNTIFS(nNIA,DATOS!$A17325,nCURSO,DATOS!$D17325,nESPEC,DATOS!$E17325,nASIG,DATOS!$I17325,nEVAL,"EX")=0),0))))</f>
      </c>
      <c r="H17325">
        <f>IF(DATOS!$G17325&lt;&gt;"EX",0,--(COUNTIFS(nNIA,DATOS!$A17325,nCURSO,DATOS!$D17325,nESPEC,DATOS!$E17325,nASIG,DATOS!$I17325,nEVAL,"OR")=0))</f>
      </c>
      <c r="I17325">
        <f>IF(DATOS!$I17325="","",IFERROR(VLOOKUP(DATOS!$I17325,CONFIG_ASIGNATURAS!$B$2:$J$91,9,FALSE()),""))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IF(DATOS!$A17326="",0,IF(CONFIG_METADATA!$B$4&lt;&gt;"OR+EX",--(DATOS!$G17326=CONFIG_METADATA!$B$4),IF(DATOS!$G17326="EX",1,IF(DATOS!$G17326="OR",--(COUNTIFS(nNIA,DATOS!$A17326,nCURSO,DATOS!$D17326,nESPEC,DATOS!$E17326,nASIG,DATOS!$I17326,nEVAL,"EX")=0),0))))</f>
      </c>
      <c r="H17326">
        <f>IF(DATOS!$G17326&lt;&gt;"EX",0,--(COUNTIFS(nNIA,DATOS!$A17326,nCURSO,DATOS!$D17326,nESPEC,DATOS!$E17326,nASIG,DATOS!$I17326,nEVAL,"OR")=0))</f>
      </c>
      <c r="I17326">
        <f>IF(DATOS!$I17326="","",IFERROR(VLOOKUP(DATOS!$I17326,CONFIG_ASIGNATURAS!$B$2:$J$91,9,FALSE()),""))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IF(DATOS!$A17327="",0,IF(CONFIG_METADATA!$B$4&lt;&gt;"OR+EX",--(DATOS!$G17327=CONFIG_METADATA!$B$4),IF(DATOS!$G17327="EX",1,IF(DATOS!$G17327="OR",--(COUNTIFS(nNIA,DATOS!$A17327,nCURSO,DATOS!$D17327,nESPEC,DATOS!$E17327,nASIG,DATOS!$I17327,nEVAL,"EX")=0),0))))</f>
      </c>
      <c r="H17327">
        <f>IF(DATOS!$G17327&lt;&gt;"EX",0,--(COUNTIFS(nNIA,DATOS!$A17327,nCURSO,DATOS!$D17327,nESPEC,DATOS!$E17327,nASIG,DATOS!$I17327,nEVAL,"OR")=0))</f>
      </c>
      <c r="I17327">
        <f>IF(DATOS!$I17327="","",IFERROR(VLOOKUP(DATOS!$I17327,CONFIG_ASIGNATURAS!$B$2:$J$91,9,FALSE()),""))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IF(DATOS!$A17328="",0,IF(CONFIG_METADATA!$B$4&lt;&gt;"OR+EX",--(DATOS!$G17328=CONFIG_METADATA!$B$4),IF(DATOS!$G17328="EX",1,IF(DATOS!$G17328="OR",--(COUNTIFS(nNIA,DATOS!$A17328,nCURSO,DATOS!$D17328,nESPEC,DATOS!$E17328,nASIG,DATOS!$I17328,nEVAL,"EX")=0),0))))</f>
      </c>
      <c r="H17328">
        <f>IF(DATOS!$G17328&lt;&gt;"EX",0,--(COUNTIFS(nNIA,DATOS!$A17328,nCURSO,DATOS!$D17328,nESPEC,DATOS!$E17328,nASIG,DATOS!$I17328,nEVAL,"OR")=0))</f>
      </c>
      <c r="I17328">
        <f>IF(DATOS!$I17328="","",IFERROR(VLOOKUP(DATOS!$I17328,CONFIG_ASIGNATURAS!$B$2:$J$91,9,FALSE()),""))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IF(DATOS!$A17329="",0,IF(CONFIG_METADATA!$B$4&lt;&gt;"OR+EX",--(DATOS!$G17329=CONFIG_METADATA!$B$4),IF(DATOS!$G17329="EX",1,IF(DATOS!$G17329="OR",--(COUNTIFS(nNIA,DATOS!$A17329,nCURSO,DATOS!$D17329,nESPEC,DATOS!$E17329,nASIG,DATOS!$I17329,nEVAL,"EX")=0),0))))</f>
      </c>
      <c r="H17329">
        <f>IF(DATOS!$G17329&lt;&gt;"EX",0,--(COUNTIFS(nNIA,DATOS!$A17329,nCURSO,DATOS!$D17329,nESPEC,DATOS!$E17329,nASIG,DATOS!$I17329,nEVAL,"OR")=0))</f>
      </c>
      <c r="I17329">
        <f>IF(DATOS!$I17329="","",IFERROR(VLOOKUP(DATOS!$I17329,CONFIG_ASIGNATURAS!$B$2:$J$91,9,FALSE()),""))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IF(DATOS!$A17330="",0,IF(CONFIG_METADATA!$B$4&lt;&gt;"OR+EX",--(DATOS!$G17330=CONFIG_METADATA!$B$4),IF(DATOS!$G17330="EX",1,IF(DATOS!$G17330="OR",--(COUNTIFS(nNIA,DATOS!$A17330,nCURSO,DATOS!$D17330,nESPEC,DATOS!$E17330,nASIG,DATOS!$I17330,nEVAL,"EX")=0),0))))</f>
      </c>
      <c r="H17330">
        <f>IF(DATOS!$G17330&lt;&gt;"EX",0,--(COUNTIFS(nNIA,DATOS!$A17330,nCURSO,DATOS!$D17330,nESPEC,DATOS!$E17330,nASIG,DATOS!$I17330,nEVAL,"OR")=0))</f>
      </c>
      <c r="I17330">
        <f>IF(DATOS!$I17330="","",IFERROR(VLOOKUP(DATOS!$I17330,CONFIG_ASIGNATURAS!$B$2:$J$91,9,FALSE()),""))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IF(DATOS!$A17331="",0,IF(CONFIG_METADATA!$B$4&lt;&gt;"OR+EX",--(DATOS!$G17331=CONFIG_METADATA!$B$4),IF(DATOS!$G17331="EX",1,IF(DATOS!$G17331="OR",--(COUNTIFS(nNIA,DATOS!$A17331,nCURSO,DATOS!$D17331,nESPEC,DATOS!$E17331,nASIG,DATOS!$I17331,nEVAL,"EX")=0),0))))</f>
      </c>
      <c r="H17331">
        <f>IF(DATOS!$G17331&lt;&gt;"EX",0,--(COUNTIFS(nNIA,DATOS!$A17331,nCURSO,DATOS!$D17331,nESPEC,DATOS!$E17331,nASIG,DATOS!$I17331,nEVAL,"OR")=0))</f>
      </c>
      <c r="I17331">
        <f>IF(DATOS!$I17331="","",IFERROR(VLOOKUP(DATOS!$I17331,CONFIG_ASIGNATURAS!$B$2:$J$91,9,FALSE()),""))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IF(DATOS!$A17332="",0,IF(CONFIG_METADATA!$B$4&lt;&gt;"OR+EX",--(DATOS!$G17332=CONFIG_METADATA!$B$4),IF(DATOS!$G17332="EX",1,IF(DATOS!$G17332="OR",--(COUNTIFS(nNIA,DATOS!$A17332,nCURSO,DATOS!$D17332,nESPEC,DATOS!$E17332,nASIG,DATOS!$I17332,nEVAL,"EX")=0),0))))</f>
      </c>
      <c r="H17332">
        <f>IF(DATOS!$G17332&lt;&gt;"EX",0,--(COUNTIFS(nNIA,DATOS!$A17332,nCURSO,DATOS!$D17332,nESPEC,DATOS!$E17332,nASIG,DATOS!$I17332,nEVAL,"OR")=0))</f>
      </c>
      <c r="I17332">
        <f>IF(DATOS!$I17332="","",IFERROR(VLOOKUP(DATOS!$I17332,CONFIG_ASIGNATURAS!$B$2:$J$91,9,FALSE()),""))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IF(DATOS!$A17333="",0,IF(CONFIG_METADATA!$B$4&lt;&gt;"OR+EX",--(DATOS!$G17333=CONFIG_METADATA!$B$4),IF(DATOS!$G17333="EX",1,IF(DATOS!$G17333="OR",--(COUNTIFS(nNIA,DATOS!$A17333,nCURSO,DATOS!$D17333,nESPEC,DATOS!$E17333,nASIG,DATOS!$I17333,nEVAL,"EX")=0),0))))</f>
      </c>
      <c r="H17333">
        <f>IF(DATOS!$G17333&lt;&gt;"EX",0,--(COUNTIFS(nNIA,DATOS!$A17333,nCURSO,DATOS!$D17333,nESPEC,DATOS!$E17333,nASIG,DATOS!$I17333,nEVAL,"OR")=0))</f>
      </c>
      <c r="I17333">
        <f>IF(DATOS!$I17333="","",IFERROR(VLOOKUP(DATOS!$I17333,CONFIG_ASIGNATURAS!$B$2:$J$91,9,FALSE()),""))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IF(DATOS!$A17334="",0,IF(CONFIG_METADATA!$B$4&lt;&gt;"OR+EX",--(DATOS!$G17334=CONFIG_METADATA!$B$4),IF(DATOS!$G17334="EX",1,IF(DATOS!$G17334="OR",--(COUNTIFS(nNIA,DATOS!$A17334,nCURSO,DATOS!$D17334,nESPEC,DATOS!$E17334,nASIG,DATOS!$I17334,nEVAL,"EX")=0),0))))</f>
      </c>
      <c r="H17334">
        <f>IF(DATOS!$G17334&lt;&gt;"EX",0,--(COUNTIFS(nNIA,DATOS!$A17334,nCURSO,DATOS!$D17334,nESPEC,DATOS!$E17334,nASIG,DATOS!$I17334,nEVAL,"OR")=0))</f>
      </c>
      <c r="I17334">
        <f>IF(DATOS!$I17334="","",IFERROR(VLOOKUP(DATOS!$I17334,CONFIG_ASIGNATURAS!$B$2:$J$91,9,FALSE()),""))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IF(DATOS!$A17335="",0,IF(CONFIG_METADATA!$B$4&lt;&gt;"OR+EX",--(DATOS!$G17335=CONFIG_METADATA!$B$4),IF(DATOS!$G17335="EX",1,IF(DATOS!$G17335="OR",--(COUNTIFS(nNIA,DATOS!$A17335,nCURSO,DATOS!$D17335,nESPEC,DATOS!$E17335,nASIG,DATOS!$I17335,nEVAL,"EX")=0),0))))</f>
      </c>
      <c r="H17335">
        <f>IF(DATOS!$G17335&lt;&gt;"EX",0,--(COUNTIFS(nNIA,DATOS!$A17335,nCURSO,DATOS!$D17335,nESPEC,DATOS!$E17335,nASIG,DATOS!$I17335,nEVAL,"OR")=0))</f>
      </c>
      <c r="I17335">
        <f>IF(DATOS!$I17335="","",IFERROR(VLOOKUP(DATOS!$I17335,CONFIG_ASIGNATURAS!$B$2:$J$91,9,FALSE()),""))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IF(DATOS!$A17336="",0,IF(CONFIG_METADATA!$B$4&lt;&gt;"OR+EX",--(DATOS!$G17336=CONFIG_METADATA!$B$4),IF(DATOS!$G17336="EX",1,IF(DATOS!$G17336="OR",--(COUNTIFS(nNIA,DATOS!$A17336,nCURSO,DATOS!$D17336,nESPEC,DATOS!$E17336,nASIG,DATOS!$I17336,nEVAL,"EX")=0),0))))</f>
      </c>
      <c r="H17336">
        <f>IF(DATOS!$G17336&lt;&gt;"EX",0,--(COUNTIFS(nNIA,DATOS!$A17336,nCURSO,DATOS!$D17336,nESPEC,DATOS!$E17336,nASIG,DATOS!$I17336,nEVAL,"OR")=0))</f>
      </c>
      <c r="I17336">
        <f>IF(DATOS!$I17336="","",IFERROR(VLOOKUP(DATOS!$I17336,CONFIG_ASIGNATURAS!$B$2:$J$91,9,FALSE()),""))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IF(DATOS!$A17337="",0,IF(CONFIG_METADATA!$B$4&lt;&gt;"OR+EX",--(DATOS!$G17337=CONFIG_METADATA!$B$4),IF(DATOS!$G17337="EX",1,IF(DATOS!$G17337="OR",--(COUNTIFS(nNIA,DATOS!$A17337,nCURSO,DATOS!$D17337,nESPEC,DATOS!$E17337,nASIG,DATOS!$I17337,nEVAL,"EX")=0),0))))</f>
      </c>
      <c r="H17337">
        <f>IF(DATOS!$G17337&lt;&gt;"EX",0,--(COUNTIFS(nNIA,DATOS!$A17337,nCURSO,DATOS!$D17337,nESPEC,DATOS!$E17337,nASIG,DATOS!$I17337,nEVAL,"OR")=0))</f>
      </c>
      <c r="I17337">
        <f>IF(DATOS!$I17337="","",IFERROR(VLOOKUP(DATOS!$I17337,CONFIG_ASIGNATURAS!$B$2:$J$91,9,FALSE()),""))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IF(DATOS!$A17338="",0,IF(CONFIG_METADATA!$B$4&lt;&gt;"OR+EX",--(DATOS!$G17338=CONFIG_METADATA!$B$4),IF(DATOS!$G17338="EX",1,IF(DATOS!$G17338="OR",--(COUNTIFS(nNIA,DATOS!$A17338,nCURSO,DATOS!$D17338,nESPEC,DATOS!$E17338,nASIG,DATOS!$I17338,nEVAL,"EX")=0),0))))</f>
      </c>
      <c r="H17338">
        <f>IF(DATOS!$G17338&lt;&gt;"EX",0,--(COUNTIFS(nNIA,DATOS!$A17338,nCURSO,DATOS!$D17338,nESPEC,DATOS!$E17338,nASIG,DATOS!$I17338,nEVAL,"OR")=0))</f>
      </c>
      <c r="I17338">
        <f>IF(DATOS!$I17338="","",IFERROR(VLOOKUP(DATOS!$I17338,CONFIG_ASIGNATURAS!$B$2:$J$91,9,FALSE()),""))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IF(DATOS!$A17339="",0,IF(CONFIG_METADATA!$B$4&lt;&gt;"OR+EX",--(DATOS!$G17339=CONFIG_METADATA!$B$4),IF(DATOS!$G17339="EX",1,IF(DATOS!$G17339="OR",--(COUNTIFS(nNIA,DATOS!$A17339,nCURSO,DATOS!$D17339,nESPEC,DATOS!$E17339,nASIG,DATOS!$I17339,nEVAL,"EX")=0),0))))</f>
      </c>
      <c r="H17339">
        <f>IF(DATOS!$G17339&lt;&gt;"EX",0,--(COUNTIFS(nNIA,DATOS!$A17339,nCURSO,DATOS!$D17339,nESPEC,DATOS!$E17339,nASIG,DATOS!$I17339,nEVAL,"OR")=0))</f>
      </c>
      <c r="I17339">
        <f>IF(DATOS!$I17339="","",IFERROR(VLOOKUP(DATOS!$I17339,CONFIG_ASIGNATURAS!$B$2:$J$91,9,FALSE()),""))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IF(DATOS!$A17340="",0,IF(CONFIG_METADATA!$B$4&lt;&gt;"OR+EX",--(DATOS!$G17340=CONFIG_METADATA!$B$4),IF(DATOS!$G17340="EX",1,IF(DATOS!$G17340="OR",--(COUNTIFS(nNIA,DATOS!$A17340,nCURSO,DATOS!$D17340,nESPEC,DATOS!$E17340,nASIG,DATOS!$I17340,nEVAL,"EX")=0),0))))</f>
      </c>
      <c r="H17340">
        <f>IF(DATOS!$G17340&lt;&gt;"EX",0,--(COUNTIFS(nNIA,DATOS!$A17340,nCURSO,DATOS!$D17340,nESPEC,DATOS!$E17340,nASIG,DATOS!$I17340,nEVAL,"OR")=0))</f>
      </c>
      <c r="I17340">
        <f>IF(DATOS!$I17340="","",IFERROR(VLOOKUP(DATOS!$I17340,CONFIG_ASIGNATURAS!$B$2:$J$91,9,FALSE()),""))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IF(DATOS!$A17341="",0,IF(CONFIG_METADATA!$B$4&lt;&gt;"OR+EX",--(DATOS!$G17341=CONFIG_METADATA!$B$4),IF(DATOS!$G17341="EX",1,IF(DATOS!$G17341="OR",--(COUNTIFS(nNIA,DATOS!$A17341,nCURSO,DATOS!$D17341,nESPEC,DATOS!$E17341,nASIG,DATOS!$I17341,nEVAL,"EX")=0),0))))</f>
      </c>
      <c r="H17341">
        <f>IF(DATOS!$G17341&lt;&gt;"EX",0,--(COUNTIFS(nNIA,DATOS!$A17341,nCURSO,DATOS!$D17341,nESPEC,DATOS!$E17341,nASIG,DATOS!$I17341,nEVAL,"OR")=0))</f>
      </c>
      <c r="I17341">
        <f>IF(DATOS!$I17341="","",IFERROR(VLOOKUP(DATOS!$I17341,CONFIG_ASIGNATURAS!$B$2:$J$91,9,FALSE()),""))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IF(DATOS!$A17342="",0,IF(CONFIG_METADATA!$B$4&lt;&gt;"OR+EX",--(DATOS!$G17342=CONFIG_METADATA!$B$4),IF(DATOS!$G17342="EX",1,IF(DATOS!$G17342="OR",--(COUNTIFS(nNIA,DATOS!$A17342,nCURSO,DATOS!$D17342,nESPEC,DATOS!$E17342,nASIG,DATOS!$I17342,nEVAL,"EX")=0),0))))</f>
      </c>
      <c r="H17342">
        <f>IF(DATOS!$G17342&lt;&gt;"EX",0,--(COUNTIFS(nNIA,DATOS!$A17342,nCURSO,DATOS!$D17342,nESPEC,DATOS!$E17342,nASIG,DATOS!$I17342,nEVAL,"OR")=0))</f>
      </c>
      <c r="I17342">
        <f>IF(DATOS!$I17342="","",IFERROR(VLOOKUP(DATOS!$I17342,CONFIG_ASIGNATURAS!$B$2:$J$91,9,FALSE()),""))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IF(DATOS!$A17343="",0,IF(CONFIG_METADATA!$B$4&lt;&gt;"OR+EX",--(DATOS!$G17343=CONFIG_METADATA!$B$4),IF(DATOS!$G17343="EX",1,IF(DATOS!$G17343="OR",--(COUNTIFS(nNIA,DATOS!$A17343,nCURSO,DATOS!$D17343,nESPEC,DATOS!$E17343,nASIG,DATOS!$I17343,nEVAL,"EX")=0),0))))</f>
      </c>
      <c r="H17343">
        <f>IF(DATOS!$G17343&lt;&gt;"EX",0,--(COUNTIFS(nNIA,DATOS!$A17343,nCURSO,DATOS!$D17343,nESPEC,DATOS!$E17343,nASIG,DATOS!$I17343,nEVAL,"OR")=0))</f>
      </c>
      <c r="I17343">
        <f>IF(DATOS!$I17343="","",IFERROR(VLOOKUP(DATOS!$I17343,CONFIG_ASIGNATURAS!$B$2:$J$91,9,FALSE()),""))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IF(DATOS!$A17344="",0,IF(CONFIG_METADATA!$B$4&lt;&gt;"OR+EX",--(DATOS!$G17344=CONFIG_METADATA!$B$4),IF(DATOS!$G17344="EX",1,IF(DATOS!$G17344="OR",--(COUNTIFS(nNIA,DATOS!$A17344,nCURSO,DATOS!$D17344,nESPEC,DATOS!$E17344,nASIG,DATOS!$I17344,nEVAL,"EX")=0),0))))</f>
      </c>
      <c r="H17344">
        <f>IF(DATOS!$G17344&lt;&gt;"EX",0,--(COUNTIFS(nNIA,DATOS!$A17344,nCURSO,DATOS!$D17344,nESPEC,DATOS!$E17344,nASIG,DATOS!$I17344,nEVAL,"OR")=0))</f>
      </c>
      <c r="I17344">
        <f>IF(DATOS!$I17344="","",IFERROR(VLOOKUP(DATOS!$I17344,CONFIG_ASIGNATURAS!$B$2:$J$91,9,FALSE()),""))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IF(DATOS!$A17345="",0,IF(CONFIG_METADATA!$B$4&lt;&gt;"OR+EX",--(DATOS!$G17345=CONFIG_METADATA!$B$4),IF(DATOS!$G17345="EX",1,IF(DATOS!$G17345="OR",--(COUNTIFS(nNIA,DATOS!$A17345,nCURSO,DATOS!$D17345,nESPEC,DATOS!$E17345,nASIG,DATOS!$I17345,nEVAL,"EX")=0),0))))</f>
      </c>
      <c r="H17345">
        <f>IF(DATOS!$G17345&lt;&gt;"EX",0,--(COUNTIFS(nNIA,DATOS!$A17345,nCURSO,DATOS!$D17345,nESPEC,DATOS!$E17345,nASIG,DATOS!$I17345,nEVAL,"OR")=0))</f>
      </c>
      <c r="I17345">
        <f>IF(DATOS!$I17345="","",IFERROR(VLOOKUP(DATOS!$I17345,CONFIG_ASIGNATURAS!$B$2:$J$91,9,FALSE()),""))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IF(DATOS!$A17346="",0,IF(CONFIG_METADATA!$B$4&lt;&gt;"OR+EX",--(DATOS!$G17346=CONFIG_METADATA!$B$4),IF(DATOS!$G17346="EX",1,IF(DATOS!$G17346="OR",--(COUNTIFS(nNIA,DATOS!$A17346,nCURSO,DATOS!$D17346,nESPEC,DATOS!$E17346,nASIG,DATOS!$I17346,nEVAL,"EX")=0),0))))</f>
      </c>
      <c r="H17346">
        <f>IF(DATOS!$G17346&lt;&gt;"EX",0,--(COUNTIFS(nNIA,DATOS!$A17346,nCURSO,DATOS!$D17346,nESPEC,DATOS!$E17346,nASIG,DATOS!$I17346,nEVAL,"OR")=0))</f>
      </c>
      <c r="I17346">
        <f>IF(DATOS!$I17346="","",IFERROR(VLOOKUP(DATOS!$I17346,CONFIG_ASIGNATURAS!$B$2:$J$91,9,FALSE()),""))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IF(DATOS!$A17347="",0,IF(CONFIG_METADATA!$B$4&lt;&gt;"OR+EX",--(DATOS!$G17347=CONFIG_METADATA!$B$4),IF(DATOS!$G17347="EX",1,IF(DATOS!$G17347="OR",--(COUNTIFS(nNIA,DATOS!$A17347,nCURSO,DATOS!$D17347,nESPEC,DATOS!$E17347,nASIG,DATOS!$I17347,nEVAL,"EX")=0),0))))</f>
      </c>
      <c r="H17347">
        <f>IF(DATOS!$G17347&lt;&gt;"EX",0,--(COUNTIFS(nNIA,DATOS!$A17347,nCURSO,DATOS!$D17347,nESPEC,DATOS!$E17347,nASIG,DATOS!$I17347,nEVAL,"OR")=0))</f>
      </c>
      <c r="I17347">
        <f>IF(DATOS!$I17347="","",IFERROR(VLOOKUP(DATOS!$I17347,CONFIG_ASIGNATURAS!$B$2:$J$91,9,FALSE()),""))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IF(DATOS!$A17348="",0,IF(CONFIG_METADATA!$B$4&lt;&gt;"OR+EX",--(DATOS!$G17348=CONFIG_METADATA!$B$4),IF(DATOS!$G17348="EX",1,IF(DATOS!$G17348="OR",--(COUNTIFS(nNIA,DATOS!$A17348,nCURSO,DATOS!$D17348,nESPEC,DATOS!$E17348,nASIG,DATOS!$I17348,nEVAL,"EX")=0),0))))</f>
      </c>
      <c r="H17348">
        <f>IF(DATOS!$G17348&lt;&gt;"EX",0,--(COUNTIFS(nNIA,DATOS!$A17348,nCURSO,DATOS!$D17348,nESPEC,DATOS!$E17348,nASIG,DATOS!$I17348,nEVAL,"OR")=0))</f>
      </c>
      <c r="I17348">
        <f>IF(DATOS!$I17348="","",IFERROR(VLOOKUP(DATOS!$I17348,CONFIG_ASIGNATURAS!$B$2:$J$91,9,FALSE()),""))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IF(DATOS!$A17349="",0,IF(CONFIG_METADATA!$B$4&lt;&gt;"OR+EX",--(DATOS!$G17349=CONFIG_METADATA!$B$4),IF(DATOS!$G17349="EX",1,IF(DATOS!$G17349="OR",--(COUNTIFS(nNIA,DATOS!$A17349,nCURSO,DATOS!$D17349,nESPEC,DATOS!$E17349,nASIG,DATOS!$I17349,nEVAL,"EX")=0),0))))</f>
      </c>
      <c r="H17349">
        <f>IF(DATOS!$G17349&lt;&gt;"EX",0,--(COUNTIFS(nNIA,DATOS!$A17349,nCURSO,DATOS!$D17349,nESPEC,DATOS!$E17349,nASIG,DATOS!$I17349,nEVAL,"OR")=0))</f>
      </c>
      <c r="I17349">
        <f>IF(DATOS!$I17349="","",IFERROR(VLOOKUP(DATOS!$I17349,CONFIG_ASIGNATURAS!$B$2:$J$91,9,FALSE()),""))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IF(DATOS!$A17350="",0,IF(CONFIG_METADATA!$B$4&lt;&gt;"OR+EX",--(DATOS!$G17350=CONFIG_METADATA!$B$4),IF(DATOS!$G17350="EX",1,IF(DATOS!$G17350="OR",--(COUNTIFS(nNIA,DATOS!$A17350,nCURSO,DATOS!$D17350,nESPEC,DATOS!$E17350,nASIG,DATOS!$I17350,nEVAL,"EX")=0),0))))</f>
      </c>
      <c r="H17350">
        <f>IF(DATOS!$G17350&lt;&gt;"EX",0,--(COUNTIFS(nNIA,DATOS!$A17350,nCURSO,DATOS!$D17350,nESPEC,DATOS!$E17350,nASIG,DATOS!$I17350,nEVAL,"OR")=0))</f>
      </c>
      <c r="I17350">
        <f>IF(DATOS!$I17350="","",IFERROR(VLOOKUP(DATOS!$I17350,CONFIG_ASIGNATURAS!$B$2:$J$91,9,FALSE()),""))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IF(DATOS!$A17351="",0,IF(CONFIG_METADATA!$B$4&lt;&gt;"OR+EX",--(DATOS!$G17351=CONFIG_METADATA!$B$4),IF(DATOS!$G17351="EX",1,IF(DATOS!$G17351="OR",--(COUNTIFS(nNIA,DATOS!$A17351,nCURSO,DATOS!$D17351,nESPEC,DATOS!$E17351,nASIG,DATOS!$I17351,nEVAL,"EX")=0),0))))</f>
      </c>
      <c r="H17351">
        <f>IF(DATOS!$G17351&lt;&gt;"EX",0,--(COUNTIFS(nNIA,DATOS!$A17351,nCURSO,DATOS!$D17351,nESPEC,DATOS!$E17351,nASIG,DATOS!$I17351,nEVAL,"OR")=0))</f>
      </c>
      <c r="I17351">
        <f>IF(DATOS!$I17351="","",IFERROR(VLOOKUP(DATOS!$I17351,CONFIG_ASIGNATURAS!$B$2:$J$91,9,FALSE()),""))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IF(DATOS!$A17352="",0,IF(CONFIG_METADATA!$B$4&lt;&gt;"OR+EX",--(DATOS!$G17352=CONFIG_METADATA!$B$4),IF(DATOS!$G17352="EX",1,IF(DATOS!$G17352="OR",--(COUNTIFS(nNIA,DATOS!$A17352,nCURSO,DATOS!$D17352,nESPEC,DATOS!$E17352,nASIG,DATOS!$I17352,nEVAL,"EX")=0),0))))</f>
      </c>
      <c r="H17352">
        <f>IF(DATOS!$G17352&lt;&gt;"EX",0,--(COUNTIFS(nNIA,DATOS!$A17352,nCURSO,DATOS!$D17352,nESPEC,DATOS!$E17352,nASIG,DATOS!$I17352,nEVAL,"OR")=0))</f>
      </c>
      <c r="I17352">
        <f>IF(DATOS!$I17352="","",IFERROR(VLOOKUP(DATOS!$I17352,CONFIG_ASIGNATURAS!$B$2:$J$91,9,FALSE()),""))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IF(DATOS!$A17353="",0,IF(CONFIG_METADATA!$B$4&lt;&gt;"OR+EX",--(DATOS!$G17353=CONFIG_METADATA!$B$4),IF(DATOS!$G17353="EX",1,IF(DATOS!$G17353="OR",--(COUNTIFS(nNIA,DATOS!$A17353,nCURSO,DATOS!$D17353,nESPEC,DATOS!$E17353,nASIG,DATOS!$I17353,nEVAL,"EX")=0),0))))</f>
      </c>
      <c r="H17353">
        <f>IF(DATOS!$G17353&lt;&gt;"EX",0,--(COUNTIFS(nNIA,DATOS!$A17353,nCURSO,DATOS!$D17353,nESPEC,DATOS!$E17353,nASIG,DATOS!$I17353,nEVAL,"OR")=0))</f>
      </c>
      <c r="I17353">
        <f>IF(DATOS!$I17353="","",IFERROR(VLOOKUP(DATOS!$I17353,CONFIG_ASIGNATURAS!$B$2:$J$91,9,FALSE()),""))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IF(DATOS!$A17354="",0,IF(CONFIG_METADATA!$B$4&lt;&gt;"OR+EX",--(DATOS!$G17354=CONFIG_METADATA!$B$4),IF(DATOS!$G17354="EX",1,IF(DATOS!$G17354="OR",--(COUNTIFS(nNIA,DATOS!$A17354,nCURSO,DATOS!$D17354,nESPEC,DATOS!$E17354,nASIG,DATOS!$I17354,nEVAL,"EX")=0),0))))</f>
      </c>
      <c r="H17354">
        <f>IF(DATOS!$G17354&lt;&gt;"EX",0,--(COUNTIFS(nNIA,DATOS!$A17354,nCURSO,DATOS!$D17354,nESPEC,DATOS!$E17354,nASIG,DATOS!$I17354,nEVAL,"OR")=0))</f>
      </c>
      <c r="I17354">
        <f>IF(DATOS!$I17354="","",IFERROR(VLOOKUP(DATOS!$I17354,CONFIG_ASIGNATURAS!$B$2:$J$91,9,FALSE()),""))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IF(DATOS!$A17355="",0,IF(CONFIG_METADATA!$B$4&lt;&gt;"OR+EX",--(DATOS!$G17355=CONFIG_METADATA!$B$4),IF(DATOS!$G17355="EX",1,IF(DATOS!$G17355="OR",--(COUNTIFS(nNIA,DATOS!$A17355,nCURSO,DATOS!$D17355,nESPEC,DATOS!$E17355,nASIG,DATOS!$I17355,nEVAL,"EX")=0),0))))</f>
      </c>
      <c r="H17355">
        <f>IF(DATOS!$G17355&lt;&gt;"EX",0,--(COUNTIFS(nNIA,DATOS!$A17355,nCURSO,DATOS!$D17355,nESPEC,DATOS!$E17355,nASIG,DATOS!$I17355,nEVAL,"OR")=0))</f>
      </c>
      <c r="I17355">
        <f>IF(DATOS!$I17355="","",IFERROR(VLOOKUP(DATOS!$I17355,CONFIG_ASIGNATURAS!$B$2:$J$91,9,FALSE()),""))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IF(DATOS!$A17356="",0,IF(CONFIG_METADATA!$B$4&lt;&gt;"OR+EX",--(DATOS!$G17356=CONFIG_METADATA!$B$4),IF(DATOS!$G17356="EX",1,IF(DATOS!$G17356="OR",--(COUNTIFS(nNIA,DATOS!$A17356,nCURSO,DATOS!$D17356,nESPEC,DATOS!$E17356,nASIG,DATOS!$I17356,nEVAL,"EX")=0),0))))</f>
      </c>
      <c r="H17356">
        <f>IF(DATOS!$G17356&lt;&gt;"EX",0,--(COUNTIFS(nNIA,DATOS!$A17356,nCURSO,DATOS!$D17356,nESPEC,DATOS!$E17356,nASIG,DATOS!$I17356,nEVAL,"OR")=0))</f>
      </c>
      <c r="I17356">
        <f>IF(DATOS!$I17356="","",IFERROR(VLOOKUP(DATOS!$I17356,CONFIG_ASIGNATURAS!$B$2:$J$91,9,FALSE()),""))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IF(DATOS!$A17357="",0,IF(CONFIG_METADATA!$B$4&lt;&gt;"OR+EX",--(DATOS!$G17357=CONFIG_METADATA!$B$4),IF(DATOS!$G17357="EX",1,IF(DATOS!$G17357="OR",--(COUNTIFS(nNIA,DATOS!$A17357,nCURSO,DATOS!$D17357,nESPEC,DATOS!$E17357,nASIG,DATOS!$I17357,nEVAL,"EX")=0),0))))</f>
      </c>
      <c r="H17357">
        <f>IF(DATOS!$G17357&lt;&gt;"EX",0,--(COUNTIFS(nNIA,DATOS!$A17357,nCURSO,DATOS!$D17357,nESPEC,DATOS!$E17357,nASIG,DATOS!$I17357,nEVAL,"OR")=0))</f>
      </c>
      <c r="I17357">
        <f>IF(DATOS!$I17357="","",IFERROR(VLOOKUP(DATOS!$I17357,CONFIG_ASIGNATURAS!$B$2:$J$91,9,FALSE()),""))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IF(DATOS!$A17358="",0,IF(CONFIG_METADATA!$B$4&lt;&gt;"OR+EX",--(DATOS!$G17358=CONFIG_METADATA!$B$4),IF(DATOS!$G17358="EX",1,IF(DATOS!$G17358="OR",--(COUNTIFS(nNIA,DATOS!$A17358,nCURSO,DATOS!$D17358,nESPEC,DATOS!$E17358,nASIG,DATOS!$I17358,nEVAL,"EX")=0),0))))</f>
      </c>
      <c r="H17358">
        <f>IF(DATOS!$G17358&lt;&gt;"EX",0,--(COUNTIFS(nNIA,DATOS!$A17358,nCURSO,DATOS!$D17358,nESPEC,DATOS!$E17358,nASIG,DATOS!$I17358,nEVAL,"OR")=0))</f>
      </c>
      <c r="I17358">
        <f>IF(DATOS!$I17358="","",IFERROR(VLOOKUP(DATOS!$I17358,CONFIG_ASIGNATURAS!$B$2:$J$91,9,FALSE()),""))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IF(DATOS!$A17359="",0,IF(CONFIG_METADATA!$B$4&lt;&gt;"OR+EX",--(DATOS!$G17359=CONFIG_METADATA!$B$4),IF(DATOS!$G17359="EX",1,IF(DATOS!$G17359="OR",--(COUNTIFS(nNIA,DATOS!$A17359,nCURSO,DATOS!$D17359,nESPEC,DATOS!$E17359,nASIG,DATOS!$I17359,nEVAL,"EX")=0),0))))</f>
      </c>
      <c r="H17359">
        <f>IF(DATOS!$G17359&lt;&gt;"EX",0,--(COUNTIFS(nNIA,DATOS!$A17359,nCURSO,DATOS!$D17359,nESPEC,DATOS!$E17359,nASIG,DATOS!$I17359,nEVAL,"OR")=0))</f>
      </c>
      <c r="I17359">
        <f>IF(DATOS!$I17359="","",IFERROR(VLOOKUP(DATOS!$I17359,CONFIG_ASIGNATURAS!$B$2:$J$91,9,FALSE()),""))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IF(DATOS!$A17360="",0,IF(CONFIG_METADATA!$B$4&lt;&gt;"OR+EX",--(DATOS!$G17360=CONFIG_METADATA!$B$4),IF(DATOS!$G17360="EX",1,IF(DATOS!$G17360="OR",--(COUNTIFS(nNIA,DATOS!$A17360,nCURSO,DATOS!$D17360,nESPEC,DATOS!$E17360,nASIG,DATOS!$I17360,nEVAL,"EX")=0),0))))</f>
      </c>
      <c r="H17360">
        <f>IF(DATOS!$G17360&lt;&gt;"EX",0,--(COUNTIFS(nNIA,DATOS!$A17360,nCURSO,DATOS!$D17360,nESPEC,DATOS!$E17360,nASIG,DATOS!$I17360,nEVAL,"OR")=0))</f>
      </c>
      <c r="I17360">
        <f>IF(DATOS!$I17360="","",IFERROR(VLOOKUP(DATOS!$I17360,CONFIG_ASIGNATURAS!$B$2:$J$91,9,FALSE()),""))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IF(DATOS!$A17361="",0,IF(CONFIG_METADATA!$B$4&lt;&gt;"OR+EX",--(DATOS!$G17361=CONFIG_METADATA!$B$4),IF(DATOS!$G17361="EX",1,IF(DATOS!$G17361="OR",--(COUNTIFS(nNIA,DATOS!$A17361,nCURSO,DATOS!$D17361,nESPEC,DATOS!$E17361,nASIG,DATOS!$I17361,nEVAL,"EX")=0),0))))</f>
      </c>
      <c r="H17361">
        <f>IF(DATOS!$G17361&lt;&gt;"EX",0,--(COUNTIFS(nNIA,DATOS!$A17361,nCURSO,DATOS!$D17361,nESPEC,DATOS!$E17361,nASIG,DATOS!$I17361,nEVAL,"OR")=0))</f>
      </c>
      <c r="I17361">
        <f>IF(DATOS!$I17361="","",IFERROR(VLOOKUP(DATOS!$I17361,CONFIG_ASIGNATURAS!$B$2:$J$91,9,FALSE()),""))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IF(DATOS!$A17362="",0,IF(CONFIG_METADATA!$B$4&lt;&gt;"OR+EX",--(DATOS!$G17362=CONFIG_METADATA!$B$4),IF(DATOS!$G17362="EX",1,IF(DATOS!$G17362="OR",--(COUNTIFS(nNIA,DATOS!$A17362,nCURSO,DATOS!$D17362,nESPEC,DATOS!$E17362,nASIG,DATOS!$I17362,nEVAL,"EX")=0),0))))</f>
      </c>
      <c r="H17362">
        <f>IF(DATOS!$G17362&lt;&gt;"EX",0,--(COUNTIFS(nNIA,DATOS!$A17362,nCURSO,DATOS!$D17362,nESPEC,DATOS!$E17362,nASIG,DATOS!$I17362,nEVAL,"OR")=0))</f>
      </c>
      <c r="I17362">
        <f>IF(DATOS!$I17362="","",IFERROR(VLOOKUP(DATOS!$I17362,CONFIG_ASIGNATURAS!$B$2:$J$91,9,FALSE()),""))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IF(DATOS!$A17363="",0,IF(CONFIG_METADATA!$B$4&lt;&gt;"OR+EX",--(DATOS!$G17363=CONFIG_METADATA!$B$4),IF(DATOS!$G17363="EX",1,IF(DATOS!$G17363="OR",--(COUNTIFS(nNIA,DATOS!$A17363,nCURSO,DATOS!$D17363,nESPEC,DATOS!$E17363,nASIG,DATOS!$I17363,nEVAL,"EX")=0),0))))</f>
      </c>
      <c r="H17363">
        <f>IF(DATOS!$G17363&lt;&gt;"EX",0,--(COUNTIFS(nNIA,DATOS!$A17363,nCURSO,DATOS!$D17363,nESPEC,DATOS!$E17363,nASIG,DATOS!$I17363,nEVAL,"OR")=0))</f>
      </c>
      <c r="I17363">
        <f>IF(DATOS!$I17363="","",IFERROR(VLOOKUP(DATOS!$I17363,CONFIG_ASIGNATURAS!$B$2:$J$91,9,FALSE()),""))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IF(DATOS!$A17364="",0,IF(CONFIG_METADATA!$B$4&lt;&gt;"OR+EX",--(DATOS!$G17364=CONFIG_METADATA!$B$4),IF(DATOS!$G17364="EX",1,IF(DATOS!$G17364="OR",--(COUNTIFS(nNIA,DATOS!$A17364,nCURSO,DATOS!$D17364,nESPEC,DATOS!$E17364,nASIG,DATOS!$I17364,nEVAL,"EX")=0),0))))</f>
      </c>
      <c r="H17364">
        <f>IF(DATOS!$G17364&lt;&gt;"EX",0,--(COUNTIFS(nNIA,DATOS!$A17364,nCURSO,DATOS!$D17364,nESPEC,DATOS!$E17364,nASIG,DATOS!$I17364,nEVAL,"OR")=0))</f>
      </c>
      <c r="I17364">
        <f>IF(DATOS!$I17364="","",IFERROR(VLOOKUP(DATOS!$I17364,CONFIG_ASIGNATURAS!$B$2:$J$91,9,FALSE()),""))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IF(DATOS!$A17365="",0,IF(CONFIG_METADATA!$B$4&lt;&gt;"OR+EX",--(DATOS!$G17365=CONFIG_METADATA!$B$4),IF(DATOS!$G17365="EX",1,IF(DATOS!$G17365="OR",--(COUNTIFS(nNIA,DATOS!$A17365,nCURSO,DATOS!$D17365,nESPEC,DATOS!$E17365,nASIG,DATOS!$I17365,nEVAL,"EX")=0),0))))</f>
      </c>
      <c r="H17365">
        <f>IF(DATOS!$G17365&lt;&gt;"EX",0,--(COUNTIFS(nNIA,DATOS!$A17365,nCURSO,DATOS!$D17365,nESPEC,DATOS!$E17365,nASIG,DATOS!$I17365,nEVAL,"OR")=0))</f>
      </c>
      <c r="I17365">
        <f>IF(DATOS!$I17365="","",IFERROR(VLOOKUP(DATOS!$I17365,CONFIG_ASIGNATURAS!$B$2:$J$91,9,FALSE()),""))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IF(DATOS!$A17366="",0,IF(CONFIG_METADATA!$B$4&lt;&gt;"OR+EX",--(DATOS!$G17366=CONFIG_METADATA!$B$4),IF(DATOS!$G17366="EX",1,IF(DATOS!$G17366="OR",--(COUNTIFS(nNIA,DATOS!$A17366,nCURSO,DATOS!$D17366,nESPEC,DATOS!$E17366,nASIG,DATOS!$I17366,nEVAL,"EX")=0),0))))</f>
      </c>
      <c r="H17366">
        <f>IF(DATOS!$G17366&lt;&gt;"EX",0,--(COUNTIFS(nNIA,DATOS!$A17366,nCURSO,DATOS!$D17366,nESPEC,DATOS!$E17366,nASIG,DATOS!$I17366,nEVAL,"OR")=0))</f>
      </c>
      <c r="I17366">
        <f>IF(DATOS!$I17366="","",IFERROR(VLOOKUP(DATOS!$I17366,CONFIG_ASIGNATURAS!$B$2:$J$91,9,FALSE()),""))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IF(DATOS!$A17367="",0,IF(CONFIG_METADATA!$B$4&lt;&gt;"OR+EX",--(DATOS!$G17367=CONFIG_METADATA!$B$4),IF(DATOS!$G17367="EX",1,IF(DATOS!$G17367="OR",--(COUNTIFS(nNIA,DATOS!$A17367,nCURSO,DATOS!$D17367,nESPEC,DATOS!$E17367,nASIG,DATOS!$I17367,nEVAL,"EX")=0),0))))</f>
      </c>
      <c r="H17367">
        <f>IF(DATOS!$G17367&lt;&gt;"EX",0,--(COUNTIFS(nNIA,DATOS!$A17367,nCURSO,DATOS!$D17367,nESPEC,DATOS!$E17367,nASIG,DATOS!$I17367,nEVAL,"OR")=0))</f>
      </c>
      <c r="I17367">
        <f>IF(DATOS!$I17367="","",IFERROR(VLOOKUP(DATOS!$I17367,CONFIG_ASIGNATURAS!$B$2:$J$91,9,FALSE()),""))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IF(DATOS!$A17368="",0,IF(CONFIG_METADATA!$B$4&lt;&gt;"OR+EX",--(DATOS!$G17368=CONFIG_METADATA!$B$4),IF(DATOS!$G17368="EX",1,IF(DATOS!$G17368="OR",--(COUNTIFS(nNIA,DATOS!$A17368,nCURSO,DATOS!$D17368,nESPEC,DATOS!$E17368,nASIG,DATOS!$I17368,nEVAL,"EX")=0),0))))</f>
      </c>
      <c r="H17368">
        <f>IF(DATOS!$G17368&lt;&gt;"EX",0,--(COUNTIFS(nNIA,DATOS!$A17368,nCURSO,DATOS!$D17368,nESPEC,DATOS!$E17368,nASIG,DATOS!$I17368,nEVAL,"OR")=0))</f>
      </c>
      <c r="I17368">
        <f>IF(DATOS!$I17368="","",IFERROR(VLOOKUP(DATOS!$I17368,CONFIG_ASIGNATURAS!$B$2:$J$91,9,FALSE()),""))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IF(DATOS!$A17369="",0,IF(CONFIG_METADATA!$B$4&lt;&gt;"OR+EX",--(DATOS!$G17369=CONFIG_METADATA!$B$4),IF(DATOS!$G17369="EX",1,IF(DATOS!$G17369="OR",--(COUNTIFS(nNIA,DATOS!$A17369,nCURSO,DATOS!$D17369,nESPEC,DATOS!$E17369,nASIG,DATOS!$I17369,nEVAL,"EX")=0),0))))</f>
      </c>
      <c r="H17369">
        <f>IF(DATOS!$G17369&lt;&gt;"EX",0,--(COUNTIFS(nNIA,DATOS!$A17369,nCURSO,DATOS!$D17369,nESPEC,DATOS!$E17369,nASIG,DATOS!$I17369,nEVAL,"OR")=0))</f>
      </c>
      <c r="I17369">
        <f>IF(DATOS!$I17369="","",IFERROR(VLOOKUP(DATOS!$I17369,CONFIG_ASIGNATURAS!$B$2:$J$91,9,FALSE()),""))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IF(DATOS!$A17370="",0,IF(CONFIG_METADATA!$B$4&lt;&gt;"OR+EX",--(DATOS!$G17370=CONFIG_METADATA!$B$4),IF(DATOS!$G17370="EX",1,IF(DATOS!$G17370="OR",--(COUNTIFS(nNIA,DATOS!$A17370,nCURSO,DATOS!$D17370,nESPEC,DATOS!$E17370,nASIG,DATOS!$I17370,nEVAL,"EX")=0),0))))</f>
      </c>
      <c r="H17370">
        <f>IF(DATOS!$G17370&lt;&gt;"EX",0,--(COUNTIFS(nNIA,DATOS!$A17370,nCURSO,DATOS!$D17370,nESPEC,DATOS!$E17370,nASIG,DATOS!$I17370,nEVAL,"OR")=0))</f>
      </c>
      <c r="I17370">
        <f>IF(DATOS!$I17370="","",IFERROR(VLOOKUP(DATOS!$I17370,CONFIG_ASIGNATURAS!$B$2:$J$91,9,FALSE()),""))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IF(DATOS!$A17371="",0,IF(CONFIG_METADATA!$B$4&lt;&gt;"OR+EX",--(DATOS!$G17371=CONFIG_METADATA!$B$4),IF(DATOS!$G17371="EX",1,IF(DATOS!$G17371="OR",--(COUNTIFS(nNIA,DATOS!$A17371,nCURSO,DATOS!$D17371,nESPEC,DATOS!$E17371,nASIG,DATOS!$I17371,nEVAL,"EX")=0),0))))</f>
      </c>
      <c r="H17371">
        <f>IF(DATOS!$G17371&lt;&gt;"EX",0,--(COUNTIFS(nNIA,DATOS!$A17371,nCURSO,DATOS!$D17371,nESPEC,DATOS!$E17371,nASIG,DATOS!$I17371,nEVAL,"OR")=0))</f>
      </c>
      <c r="I17371">
        <f>IF(DATOS!$I17371="","",IFERROR(VLOOKUP(DATOS!$I17371,CONFIG_ASIGNATURAS!$B$2:$J$91,9,FALSE()),""))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IF(DATOS!$A17372="",0,IF(CONFIG_METADATA!$B$4&lt;&gt;"OR+EX",--(DATOS!$G17372=CONFIG_METADATA!$B$4),IF(DATOS!$G17372="EX",1,IF(DATOS!$G17372="OR",--(COUNTIFS(nNIA,DATOS!$A17372,nCURSO,DATOS!$D17372,nESPEC,DATOS!$E17372,nASIG,DATOS!$I17372,nEVAL,"EX")=0),0))))</f>
      </c>
      <c r="H17372">
        <f>IF(DATOS!$G17372&lt;&gt;"EX",0,--(COUNTIFS(nNIA,DATOS!$A17372,nCURSO,DATOS!$D17372,nESPEC,DATOS!$E17372,nASIG,DATOS!$I17372,nEVAL,"OR")=0))</f>
      </c>
      <c r="I17372">
        <f>IF(DATOS!$I17372="","",IFERROR(VLOOKUP(DATOS!$I17372,CONFIG_ASIGNATURAS!$B$2:$J$91,9,FALSE()),""))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IF(DATOS!$A17373="",0,IF(CONFIG_METADATA!$B$4&lt;&gt;"OR+EX",--(DATOS!$G17373=CONFIG_METADATA!$B$4),IF(DATOS!$G17373="EX",1,IF(DATOS!$G17373="OR",--(COUNTIFS(nNIA,DATOS!$A17373,nCURSO,DATOS!$D17373,nESPEC,DATOS!$E17373,nASIG,DATOS!$I17373,nEVAL,"EX")=0),0))))</f>
      </c>
      <c r="H17373">
        <f>IF(DATOS!$G17373&lt;&gt;"EX",0,--(COUNTIFS(nNIA,DATOS!$A17373,nCURSO,DATOS!$D17373,nESPEC,DATOS!$E17373,nASIG,DATOS!$I17373,nEVAL,"OR")=0))</f>
      </c>
      <c r="I17373">
        <f>IF(DATOS!$I17373="","",IFERROR(VLOOKUP(DATOS!$I17373,CONFIG_ASIGNATURAS!$B$2:$J$91,9,FALSE()),""))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IF(DATOS!$A17374="",0,IF(CONFIG_METADATA!$B$4&lt;&gt;"OR+EX",--(DATOS!$G17374=CONFIG_METADATA!$B$4),IF(DATOS!$G17374="EX",1,IF(DATOS!$G17374="OR",--(COUNTIFS(nNIA,DATOS!$A17374,nCURSO,DATOS!$D17374,nESPEC,DATOS!$E17374,nASIG,DATOS!$I17374,nEVAL,"EX")=0),0))))</f>
      </c>
      <c r="H17374">
        <f>IF(DATOS!$G17374&lt;&gt;"EX",0,--(COUNTIFS(nNIA,DATOS!$A17374,nCURSO,DATOS!$D17374,nESPEC,DATOS!$E17374,nASIG,DATOS!$I17374,nEVAL,"OR")=0))</f>
      </c>
      <c r="I17374">
        <f>IF(DATOS!$I17374="","",IFERROR(VLOOKUP(DATOS!$I17374,CONFIG_ASIGNATURAS!$B$2:$J$91,9,FALSE()),""))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IF(DATOS!$A17375="",0,IF(CONFIG_METADATA!$B$4&lt;&gt;"OR+EX",--(DATOS!$G17375=CONFIG_METADATA!$B$4),IF(DATOS!$G17375="EX",1,IF(DATOS!$G17375="OR",--(COUNTIFS(nNIA,DATOS!$A17375,nCURSO,DATOS!$D17375,nESPEC,DATOS!$E17375,nASIG,DATOS!$I17375,nEVAL,"EX")=0),0))))</f>
      </c>
      <c r="H17375">
        <f>IF(DATOS!$G17375&lt;&gt;"EX",0,--(COUNTIFS(nNIA,DATOS!$A17375,nCURSO,DATOS!$D17375,nESPEC,DATOS!$E17375,nASIG,DATOS!$I17375,nEVAL,"OR")=0))</f>
      </c>
      <c r="I17375">
        <f>IF(DATOS!$I17375="","",IFERROR(VLOOKUP(DATOS!$I17375,CONFIG_ASIGNATURAS!$B$2:$J$91,9,FALSE()),""))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IF(DATOS!$A17376="",0,IF(CONFIG_METADATA!$B$4&lt;&gt;"OR+EX",--(DATOS!$G17376=CONFIG_METADATA!$B$4),IF(DATOS!$G17376="EX",1,IF(DATOS!$G17376="OR",--(COUNTIFS(nNIA,DATOS!$A17376,nCURSO,DATOS!$D17376,nESPEC,DATOS!$E17376,nASIG,DATOS!$I17376,nEVAL,"EX")=0),0))))</f>
      </c>
      <c r="H17376">
        <f>IF(DATOS!$G17376&lt;&gt;"EX",0,--(COUNTIFS(nNIA,DATOS!$A17376,nCURSO,DATOS!$D17376,nESPEC,DATOS!$E17376,nASIG,DATOS!$I17376,nEVAL,"OR")=0))</f>
      </c>
      <c r="I17376">
        <f>IF(DATOS!$I17376="","",IFERROR(VLOOKUP(DATOS!$I17376,CONFIG_ASIGNATURAS!$B$2:$J$91,9,FALSE()),""))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IF(DATOS!$A17377="",0,IF(CONFIG_METADATA!$B$4&lt;&gt;"OR+EX",--(DATOS!$G17377=CONFIG_METADATA!$B$4),IF(DATOS!$G17377="EX",1,IF(DATOS!$G17377="OR",--(COUNTIFS(nNIA,DATOS!$A17377,nCURSO,DATOS!$D17377,nESPEC,DATOS!$E17377,nASIG,DATOS!$I17377,nEVAL,"EX")=0),0))))</f>
      </c>
      <c r="H17377">
        <f>IF(DATOS!$G17377&lt;&gt;"EX",0,--(COUNTIFS(nNIA,DATOS!$A17377,nCURSO,DATOS!$D17377,nESPEC,DATOS!$E17377,nASIG,DATOS!$I17377,nEVAL,"OR")=0))</f>
      </c>
      <c r="I17377">
        <f>IF(DATOS!$I17377="","",IFERROR(VLOOKUP(DATOS!$I17377,CONFIG_ASIGNATURAS!$B$2:$J$91,9,FALSE()),""))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IF(DATOS!$A17378="",0,IF(CONFIG_METADATA!$B$4&lt;&gt;"OR+EX",--(DATOS!$G17378=CONFIG_METADATA!$B$4),IF(DATOS!$G17378="EX",1,IF(DATOS!$G17378="OR",--(COUNTIFS(nNIA,DATOS!$A17378,nCURSO,DATOS!$D17378,nESPEC,DATOS!$E17378,nASIG,DATOS!$I17378,nEVAL,"EX")=0),0))))</f>
      </c>
      <c r="H17378">
        <f>IF(DATOS!$G17378&lt;&gt;"EX",0,--(COUNTIFS(nNIA,DATOS!$A17378,nCURSO,DATOS!$D17378,nESPEC,DATOS!$E17378,nASIG,DATOS!$I17378,nEVAL,"OR")=0))</f>
      </c>
      <c r="I17378">
        <f>IF(DATOS!$I17378="","",IFERROR(VLOOKUP(DATOS!$I17378,CONFIG_ASIGNATURAS!$B$2:$J$91,9,FALSE()),""))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IF(DATOS!$A17379="",0,IF(CONFIG_METADATA!$B$4&lt;&gt;"OR+EX",--(DATOS!$G17379=CONFIG_METADATA!$B$4),IF(DATOS!$G17379="EX",1,IF(DATOS!$G17379="OR",--(COUNTIFS(nNIA,DATOS!$A17379,nCURSO,DATOS!$D17379,nESPEC,DATOS!$E17379,nASIG,DATOS!$I17379,nEVAL,"EX")=0),0))))</f>
      </c>
      <c r="H17379">
        <f>IF(DATOS!$G17379&lt;&gt;"EX",0,--(COUNTIFS(nNIA,DATOS!$A17379,nCURSO,DATOS!$D17379,nESPEC,DATOS!$E17379,nASIG,DATOS!$I17379,nEVAL,"OR")=0))</f>
      </c>
      <c r="I17379">
        <f>IF(DATOS!$I17379="","",IFERROR(VLOOKUP(DATOS!$I17379,CONFIG_ASIGNATURAS!$B$2:$J$91,9,FALSE()),""))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IF(DATOS!$A17380="",0,IF(CONFIG_METADATA!$B$4&lt;&gt;"OR+EX",--(DATOS!$G17380=CONFIG_METADATA!$B$4),IF(DATOS!$G17380="EX",1,IF(DATOS!$G17380="OR",--(COUNTIFS(nNIA,DATOS!$A17380,nCURSO,DATOS!$D17380,nESPEC,DATOS!$E17380,nASIG,DATOS!$I17380,nEVAL,"EX")=0),0))))</f>
      </c>
      <c r="H17380">
        <f>IF(DATOS!$G17380&lt;&gt;"EX",0,--(COUNTIFS(nNIA,DATOS!$A17380,nCURSO,DATOS!$D17380,nESPEC,DATOS!$E17380,nASIG,DATOS!$I17380,nEVAL,"OR")=0))</f>
      </c>
      <c r="I17380">
        <f>IF(DATOS!$I17380="","",IFERROR(VLOOKUP(DATOS!$I17380,CONFIG_ASIGNATURAS!$B$2:$J$91,9,FALSE()),""))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IF(DATOS!$A17381="",0,IF(CONFIG_METADATA!$B$4&lt;&gt;"OR+EX",--(DATOS!$G17381=CONFIG_METADATA!$B$4),IF(DATOS!$G17381="EX",1,IF(DATOS!$G17381="OR",--(COUNTIFS(nNIA,DATOS!$A17381,nCURSO,DATOS!$D17381,nESPEC,DATOS!$E17381,nASIG,DATOS!$I17381,nEVAL,"EX")=0),0))))</f>
      </c>
      <c r="H17381">
        <f>IF(DATOS!$G17381&lt;&gt;"EX",0,--(COUNTIFS(nNIA,DATOS!$A17381,nCURSO,DATOS!$D17381,nESPEC,DATOS!$E17381,nASIG,DATOS!$I17381,nEVAL,"OR")=0))</f>
      </c>
      <c r="I17381">
        <f>IF(DATOS!$I17381="","",IFERROR(VLOOKUP(DATOS!$I17381,CONFIG_ASIGNATURAS!$B$2:$J$91,9,FALSE()),""))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IF(DATOS!$A17382="",0,IF(CONFIG_METADATA!$B$4&lt;&gt;"OR+EX",--(DATOS!$G17382=CONFIG_METADATA!$B$4),IF(DATOS!$G17382="EX",1,IF(DATOS!$G17382="OR",--(COUNTIFS(nNIA,DATOS!$A17382,nCURSO,DATOS!$D17382,nESPEC,DATOS!$E17382,nASIG,DATOS!$I17382,nEVAL,"EX")=0),0))))</f>
      </c>
      <c r="H17382">
        <f>IF(DATOS!$G17382&lt;&gt;"EX",0,--(COUNTIFS(nNIA,DATOS!$A17382,nCURSO,DATOS!$D17382,nESPEC,DATOS!$E17382,nASIG,DATOS!$I17382,nEVAL,"OR")=0))</f>
      </c>
      <c r="I17382">
        <f>IF(DATOS!$I17382="","",IFERROR(VLOOKUP(DATOS!$I17382,CONFIG_ASIGNATURAS!$B$2:$J$91,9,FALSE()),""))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IF(DATOS!$A17383="",0,IF(CONFIG_METADATA!$B$4&lt;&gt;"OR+EX",--(DATOS!$G17383=CONFIG_METADATA!$B$4),IF(DATOS!$G17383="EX",1,IF(DATOS!$G17383="OR",--(COUNTIFS(nNIA,DATOS!$A17383,nCURSO,DATOS!$D17383,nESPEC,DATOS!$E17383,nASIG,DATOS!$I17383,nEVAL,"EX")=0),0))))</f>
      </c>
      <c r="H17383">
        <f>IF(DATOS!$G17383&lt;&gt;"EX",0,--(COUNTIFS(nNIA,DATOS!$A17383,nCURSO,DATOS!$D17383,nESPEC,DATOS!$E17383,nASIG,DATOS!$I17383,nEVAL,"OR")=0))</f>
      </c>
      <c r="I17383">
        <f>IF(DATOS!$I17383="","",IFERROR(VLOOKUP(DATOS!$I17383,CONFIG_ASIGNATURAS!$B$2:$J$91,9,FALSE()),""))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IF(DATOS!$A17384="",0,IF(CONFIG_METADATA!$B$4&lt;&gt;"OR+EX",--(DATOS!$G17384=CONFIG_METADATA!$B$4),IF(DATOS!$G17384="EX",1,IF(DATOS!$G17384="OR",--(COUNTIFS(nNIA,DATOS!$A17384,nCURSO,DATOS!$D17384,nESPEC,DATOS!$E17384,nASIG,DATOS!$I17384,nEVAL,"EX")=0),0))))</f>
      </c>
      <c r="H17384">
        <f>IF(DATOS!$G17384&lt;&gt;"EX",0,--(COUNTIFS(nNIA,DATOS!$A17384,nCURSO,DATOS!$D17384,nESPEC,DATOS!$E17384,nASIG,DATOS!$I17384,nEVAL,"OR")=0))</f>
      </c>
      <c r="I17384">
        <f>IF(DATOS!$I17384="","",IFERROR(VLOOKUP(DATOS!$I17384,CONFIG_ASIGNATURAS!$B$2:$J$91,9,FALSE()),""))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IF(DATOS!$A17385="",0,IF(CONFIG_METADATA!$B$4&lt;&gt;"OR+EX",--(DATOS!$G17385=CONFIG_METADATA!$B$4),IF(DATOS!$G17385="EX",1,IF(DATOS!$G17385="OR",--(COUNTIFS(nNIA,DATOS!$A17385,nCURSO,DATOS!$D17385,nESPEC,DATOS!$E17385,nASIG,DATOS!$I17385,nEVAL,"EX")=0),0))))</f>
      </c>
      <c r="H17385">
        <f>IF(DATOS!$G17385&lt;&gt;"EX",0,--(COUNTIFS(nNIA,DATOS!$A17385,nCURSO,DATOS!$D17385,nESPEC,DATOS!$E17385,nASIG,DATOS!$I17385,nEVAL,"OR")=0))</f>
      </c>
      <c r="I17385">
        <f>IF(DATOS!$I17385="","",IFERROR(VLOOKUP(DATOS!$I17385,CONFIG_ASIGNATURAS!$B$2:$J$91,9,FALSE()),""))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IF(DATOS!$A17386="",0,IF(CONFIG_METADATA!$B$4&lt;&gt;"OR+EX",--(DATOS!$G17386=CONFIG_METADATA!$B$4),IF(DATOS!$G17386="EX",1,IF(DATOS!$G17386="OR",--(COUNTIFS(nNIA,DATOS!$A17386,nCURSO,DATOS!$D17386,nESPEC,DATOS!$E17386,nASIG,DATOS!$I17386,nEVAL,"EX")=0),0))))</f>
      </c>
      <c r="H17386">
        <f>IF(DATOS!$G17386&lt;&gt;"EX",0,--(COUNTIFS(nNIA,DATOS!$A17386,nCURSO,DATOS!$D17386,nESPEC,DATOS!$E17386,nASIG,DATOS!$I17386,nEVAL,"OR")=0))</f>
      </c>
      <c r="I17386">
        <f>IF(DATOS!$I17386="","",IFERROR(VLOOKUP(DATOS!$I17386,CONFIG_ASIGNATURAS!$B$2:$J$91,9,FALSE()),""))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IF(DATOS!$A17387="",0,IF(CONFIG_METADATA!$B$4&lt;&gt;"OR+EX",--(DATOS!$G17387=CONFIG_METADATA!$B$4),IF(DATOS!$G17387="EX",1,IF(DATOS!$G17387="OR",--(COUNTIFS(nNIA,DATOS!$A17387,nCURSO,DATOS!$D17387,nESPEC,DATOS!$E17387,nASIG,DATOS!$I17387,nEVAL,"EX")=0),0))))</f>
      </c>
      <c r="H17387">
        <f>IF(DATOS!$G17387&lt;&gt;"EX",0,--(COUNTIFS(nNIA,DATOS!$A17387,nCURSO,DATOS!$D17387,nESPEC,DATOS!$E17387,nASIG,DATOS!$I17387,nEVAL,"OR")=0))</f>
      </c>
      <c r="I17387">
        <f>IF(DATOS!$I17387="","",IFERROR(VLOOKUP(DATOS!$I17387,CONFIG_ASIGNATURAS!$B$2:$J$91,9,FALSE()),""))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IF(DATOS!$A17388="",0,IF(CONFIG_METADATA!$B$4&lt;&gt;"OR+EX",--(DATOS!$G17388=CONFIG_METADATA!$B$4),IF(DATOS!$G17388="EX",1,IF(DATOS!$G17388="OR",--(COUNTIFS(nNIA,DATOS!$A17388,nCURSO,DATOS!$D17388,nESPEC,DATOS!$E17388,nASIG,DATOS!$I17388,nEVAL,"EX")=0),0))))</f>
      </c>
      <c r="H17388">
        <f>IF(DATOS!$G17388&lt;&gt;"EX",0,--(COUNTIFS(nNIA,DATOS!$A17388,nCURSO,DATOS!$D17388,nESPEC,DATOS!$E17388,nASIG,DATOS!$I17388,nEVAL,"OR")=0))</f>
      </c>
      <c r="I17388">
        <f>IF(DATOS!$I17388="","",IFERROR(VLOOKUP(DATOS!$I17388,CONFIG_ASIGNATURAS!$B$2:$J$91,9,FALSE()),""))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IF(DATOS!$A17389="",0,IF(CONFIG_METADATA!$B$4&lt;&gt;"OR+EX",--(DATOS!$G17389=CONFIG_METADATA!$B$4),IF(DATOS!$G17389="EX",1,IF(DATOS!$G17389="OR",--(COUNTIFS(nNIA,DATOS!$A17389,nCURSO,DATOS!$D17389,nESPEC,DATOS!$E17389,nASIG,DATOS!$I17389,nEVAL,"EX")=0),0))))</f>
      </c>
      <c r="H17389">
        <f>IF(DATOS!$G17389&lt;&gt;"EX",0,--(COUNTIFS(nNIA,DATOS!$A17389,nCURSO,DATOS!$D17389,nESPEC,DATOS!$E17389,nASIG,DATOS!$I17389,nEVAL,"OR")=0))</f>
      </c>
      <c r="I17389">
        <f>IF(DATOS!$I17389="","",IFERROR(VLOOKUP(DATOS!$I17389,CONFIG_ASIGNATURAS!$B$2:$J$91,9,FALSE()),""))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IF(DATOS!$A17390="",0,IF(CONFIG_METADATA!$B$4&lt;&gt;"OR+EX",--(DATOS!$G17390=CONFIG_METADATA!$B$4),IF(DATOS!$G17390="EX",1,IF(DATOS!$G17390="OR",--(COUNTIFS(nNIA,DATOS!$A17390,nCURSO,DATOS!$D17390,nESPEC,DATOS!$E17390,nASIG,DATOS!$I17390,nEVAL,"EX")=0),0))))</f>
      </c>
      <c r="H17390">
        <f>IF(DATOS!$G17390&lt;&gt;"EX",0,--(COUNTIFS(nNIA,DATOS!$A17390,nCURSO,DATOS!$D17390,nESPEC,DATOS!$E17390,nASIG,DATOS!$I17390,nEVAL,"OR")=0))</f>
      </c>
      <c r="I17390">
        <f>IF(DATOS!$I17390="","",IFERROR(VLOOKUP(DATOS!$I17390,CONFIG_ASIGNATURAS!$B$2:$J$91,9,FALSE()),""))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IF(DATOS!$A17391="",0,IF(CONFIG_METADATA!$B$4&lt;&gt;"OR+EX",--(DATOS!$G17391=CONFIG_METADATA!$B$4),IF(DATOS!$G17391="EX",1,IF(DATOS!$G17391="OR",--(COUNTIFS(nNIA,DATOS!$A17391,nCURSO,DATOS!$D17391,nESPEC,DATOS!$E17391,nASIG,DATOS!$I17391,nEVAL,"EX")=0),0))))</f>
      </c>
      <c r="H17391">
        <f>IF(DATOS!$G17391&lt;&gt;"EX",0,--(COUNTIFS(nNIA,DATOS!$A17391,nCURSO,DATOS!$D17391,nESPEC,DATOS!$E17391,nASIG,DATOS!$I17391,nEVAL,"OR")=0))</f>
      </c>
      <c r="I17391">
        <f>IF(DATOS!$I17391="","",IFERROR(VLOOKUP(DATOS!$I17391,CONFIG_ASIGNATURAS!$B$2:$J$91,9,FALSE()),""))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IF(DATOS!$A17392="",0,IF(CONFIG_METADATA!$B$4&lt;&gt;"OR+EX",--(DATOS!$G17392=CONFIG_METADATA!$B$4),IF(DATOS!$G17392="EX",1,IF(DATOS!$G17392="OR",--(COUNTIFS(nNIA,DATOS!$A17392,nCURSO,DATOS!$D17392,nESPEC,DATOS!$E17392,nASIG,DATOS!$I17392,nEVAL,"EX")=0),0))))</f>
      </c>
      <c r="H17392">
        <f>IF(DATOS!$G17392&lt;&gt;"EX",0,--(COUNTIFS(nNIA,DATOS!$A17392,nCURSO,DATOS!$D17392,nESPEC,DATOS!$E17392,nASIG,DATOS!$I17392,nEVAL,"OR")=0))</f>
      </c>
      <c r="I17392">
        <f>IF(DATOS!$I17392="","",IFERROR(VLOOKUP(DATOS!$I17392,CONFIG_ASIGNATURAS!$B$2:$J$91,9,FALSE()),""))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IF(DATOS!$A17393="",0,IF(CONFIG_METADATA!$B$4&lt;&gt;"OR+EX",--(DATOS!$G17393=CONFIG_METADATA!$B$4),IF(DATOS!$G17393="EX",1,IF(DATOS!$G17393="OR",--(COUNTIFS(nNIA,DATOS!$A17393,nCURSO,DATOS!$D17393,nESPEC,DATOS!$E17393,nASIG,DATOS!$I17393,nEVAL,"EX")=0),0))))</f>
      </c>
      <c r="H17393">
        <f>IF(DATOS!$G17393&lt;&gt;"EX",0,--(COUNTIFS(nNIA,DATOS!$A17393,nCURSO,DATOS!$D17393,nESPEC,DATOS!$E17393,nASIG,DATOS!$I17393,nEVAL,"OR")=0))</f>
      </c>
      <c r="I17393">
        <f>IF(DATOS!$I17393="","",IFERROR(VLOOKUP(DATOS!$I17393,CONFIG_ASIGNATURAS!$B$2:$J$91,9,FALSE()),""))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IF(DATOS!$A17394="",0,IF(CONFIG_METADATA!$B$4&lt;&gt;"OR+EX",--(DATOS!$G17394=CONFIG_METADATA!$B$4),IF(DATOS!$G17394="EX",1,IF(DATOS!$G17394="OR",--(COUNTIFS(nNIA,DATOS!$A17394,nCURSO,DATOS!$D17394,nESPEC,DATOS!$E17394,nASIG,DATOS!$I17394,nEVAL,"EX")=0),0))))</f>
      </c>
      <c r="H17394">
        <f>IF(DATOS!$G17394&lt;&gt;"EX",0,--(COUNTIFS(nNIA,DATOS!$A17394,nCURSO,DATOS!$D17394,nESPEC,DATOS!$E17394,nASIG,DATOS!$I17394,nEVAL,"OR")=0))</f>
      </c>
      <c r="I17394">
        <f>IF(DATOS!$I17394="","",IFERROR(VLOOKUP(DATOS!$I17394,CONFIG_ASIGNATURAS!$B$2:$J$91,9,FALSE()),""))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IF(DATOS!$A17395="",0,IF(CONFIG_METADATA!$B$4&lt;&gt;"OR+EX",--(DATOS!$G17395=CONFIG_METADATA!$B$4),IF(DATOS!$G17395="EX",1,IF(DATOS!$G17395="OR",--(COUNTIFS(nNIA,DATOS!$A17395,nCURSO,DATOS!$D17395,nESPEC,DATOS!$E17395,nASIG,DATOS!$I17395,nEVAL,"EX")=0),0))))</f>
      </c>
      <c r="H17395">
        <f>IF(DATOS!$G17395&lt;&gt;"EX",0,--(COUNTIFS(nNIA,DATOS!$A17395,nCURSO,DATOS!$D17395,nESPEC,DATOS!$E17395,nASIG,DATOS!$I17395,nEVAL,"OR")=0))</f>
      </c>
      <c r="I17395">
        <f>IF(DATOS!$I17395="","",IFERROR(VLOOKUP(DATOS!$I17395,CONFIG_ASIGNATURAS!$B$2:$J$91,9,FALSE()),""))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IF(DATOS!$A17396="",0,IF(CONFIG_METADATA!$B$4&lt;&gt;"OR+EX",--(DATOS!$G17396=CONFIG_METADATA!$B$4),IF(DATOS!$G17396="EX",1,IF(DATOS!$G17396="OR",--(COUNTIFS(nNIA,DATOS!$A17396,nCURSO,DATOS!$D17396,nESPEC,DATOS!$E17396,nASIG,DATOS!$I17396,nEVAL,"EX")=0),0))))</f>
      </c>
      <c r="H17396">
        <f>IF(DATOS!$G17396&lt;&gt;"EX",0,--(COUNTIFS(nNIA,DATOS!$A17396,nCURSO,DATOS!$D17396,nESPEC,DATOS!$E17396,nASIG,DATOS!$I17396,nEVAL,"OR")=0))</f>
      </c>
      <c r="I17396">
        <f>IF(DATOS!$I17396="","",IFERROR(VLOOKUP(DATOS!$I17396,CONFIG_ASIGNATURAS!$B$2:$J$91,9,FALSE()),""))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IF(DATOS!$A17397="",0,IF(CONFIG_METADATA!$B$4&lt;&gt;"OR+EX",--(DATOS!$G17397=CONFIG_METADATA!$B$4),IF(DATOS!$G17397="EX",1,IF(DATOS!$G17397="OR",--(COUNTIFS(nNIA,DATOS!$A17397,nCURSO,DATOS!$D17397,nESPEC,DATOS!$E17397,nASIG,DATOS!$I17397,nEVAL,"EX")=0),0))))</f>
      </c>
      <c r="H17397">
        <f>IF(DATOS!$G17397&lt;&gt;"EX",0,--(COUNTIFS(nNIA,DATOS!$A17397,nCURSO,DATOS!$D17397,nESPEC,DATOS!$E17397,nASIG,DATOS!$I17397,nEVAL,"OR")=0))</f>
      </c>
      <c r="I17397">
        <f>IF(DATOS!$I17397="","",IFERROR(VLOOKUP(DATOS!$I17397,CONFIG_ASIGNATURAS!$B$2:$J$91,9,FALSE()),""))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IF(DATOS!$A17398="",0,IF(CONFIG_METADATA!$B$4&lt;&gt;"OR+EX",--(DATOS!$G17398=CONFIG_METADATA!$B$4),IF(DATOS!$G17398="EX",1,IF(DATOS!$G17398="OR",--(COUNTIFS(nNIA,DATOS!$A17398,nCURSO,DATOS!$D17398,nESPEC,DATOS!$E17398,nASIG,DATOS!$I17398,nEVAL,"EX")=0),0))))</f>
      </c>
      <c r="H17398">
        <f>IF(DATOS!$G17398&lt;&gt;"EX",0,--(COUNTIFS(nNIA,DATOS!$A17398,nCURSO,DATOS!$D17398,nESPEC,DATOS!$E17398,nASIG,DATOS!$I17398,nEVAL,"OR")=0))</f>
      </c>
      <c r="I17398">
        <f>IF(DATOS!$I17398="","",IFERROR(VLOOKUP(DATOS!$I17398,CONFIG_ASIGNATURAS!$B$2:$J$91,9,FALSE()),""))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IF(DATOS!$A17399="",0,IF(CONFIG_METADATA!$B$4&lt;&gt;"OR+EX",--(DATOS!$G17399=CONFIG_METADATA!$B$4),IF(DATOS!$G17399="EX",1,IF(DATOS!$G17399="OR",--(COUNTIFS(nNIA,DATOS!$A17399,nCURSO,DATOS!$D17399,nESPEC,DATOS!$E17399,nASIG,DATOS!$I17399,nEVAL,"EX")=0),0))))</f>
      </c>
      <c r="H17399">
        <f>IF(DATOS!$G17399&lt;&gt;"EX",0,--(COUNTIFS(nNIA,DATOS!$A17399,nCURSO,DATOS!$D17399,nESPEC,DATOS!$E17399,nASIG,DATOS!$I17399,nEVAL,"OR")=0))</f>
      </c>
      <c r="I17399">
        <f>IF(DATOS!$I17399="","",IFERROR(VLOOKUP(DATOS!$I17399,CONFIG_ASIGNATURAS!$B$2:$J$91,9,FALSE()),""))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IF(DATOS!$A17400="",0,IF(CONFIG_METADATA!$B$4&lt;&gt;"OR+EX",--(DATOS!$G17400=CONFIG_METADATA!$B$4),IF(DATOS!$G17400="EX",1,IF(DATOS!$G17400="OR",--(COUNTIFS(nNIA,DATOS!$A17400,nCURSO,DATOS!$D17400,nESPEC,DATOS!$E17400,nASIG,DATOS!$I17400,nEVAL,"EX")=0),0))))</f>
      </c>
      <c r="H17400">
        <f>IF(DATOS!$G17400&lt;&gt;"EX",0,--(COUNTIFS(nNIA,DATOS!$A17400,nCURSO,DATOS!$D17400,nESPEC,DATOS!$E17400,nASIG,DATOS!$I17400,nEVAL,"OR")=0))</f>
      </c>
      <c r="I17400">
        <f>IF(DATOS!$I17400="","",IFERROR(VLOOKUP(DATOS!$I17400,CONFIG_ASIGNATURAS!$B$2:$J$91,9,FALSE()),""))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IF(DATOS!$A17401="",0,IF(CONFIG_METADATA!$B$4&lt;&gt;"OR+EX",--(DATOS!$G17401=CONFIG_METADATA!$B$4),IF(DATOS!$G17401="EX",1,IF(DATOS!$G17401="OR",--(COUNTIFS(nNIA,DATOS!$A17401,nCURSO,DATOS!$D17401,nESPEC,DATOS!$E17401,nASIG,DATOS!$I17401,nEVAL,"EX")=0),0))))</f>
      </c>
      <c r="H17401">
        <f>IF(DATOS!$G17401&lt;&gt;"EX",0,--(COUNTIFS(nNIA,DATOS!$A17401,nCURSO,DATOS!$D17401,nESPEC,DATOS!$E17401,nASIG,DATOS!$I17401,nEVAL,"OR")=0))</f>
      </c>
      <c r="I17401">
        <f>IF(DATOS!$I17401="","",IFERROR(VLOOKUP(DATOS!$I17401,CONFIG_ASIGNATURAS!$B$2:$J$91,9,FALSE()),""))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IF(DATOS!$A17402="",0,IF(CONFIG_METADATA!$B$4&lt;&gt;"OR+EX",--(DATOS!$G17402=CONFIG_METADATA!$B$4),IF(DATOS!$G17402="EX",1,IF(DATOS!$G17402="OR",--(COUNTIFS(nNIA,DATOS!$A17402,nCURSO,DATOS!$D17402,nESPEC,DATOS!$E17402,nASIG,DATOS!$I17402,nEVAL,"EX")=0),0))))</f>
      </c>
      <c r="H17402">
        <f>IF(DATOS!$G17402&lt;&gt;"EX",0,--(COUNTIFS(nNIA,DATOS!$A17402,nCURSO,DATOS!$D17402,nESPEC,DATOS!$E17402,nASIG,DATOS!$I17402,nEVAL,"OR")=0))</f>
      </c>
      <c r="I17402">
        <f>IF(DATOS!$I17402="","",IFERROR(VLOOKUP(DATOS!$I17402,CONFIG_ASIGNATURAS!$B$2:$J$91,9,FALSE()),""))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IF(DATOS!$A17403="",0,IF(CONFIG_METADATA!$B$4&lt;&gt;"OR+EX",--(DATOS!$G17403=CONFIG_METADATA!$B$4),IF(DATOS!$G17403="EX",1,IF(DATOS!$G17403="OR",--(COUNTIFS(nNIA,DATOS!$A17403,nCURSO,DATOS!$D17403,nESPEC,DATOS!$E17403,nASIG,DATOS!$I17403,nEVAL,"EX")=0),0))))</f>
      </c>
      <c r="H17403">
        <f>IF(DATOS!$G17403&lt;&gt;"EX",0,--(COUNTIFS(nNIA,DATOS!$A17403,nCURSO,DATOS!$D17403,nESPEC,DATOS!$E17403,nASIG,DATOS!$I17403,nEVAL,"OR")=0))</f>
      </c>
      <c r="I17403">
        <f>IF(DATOS!$I17403="","",IFERROR(VLOOKUP(DATOS!$I17403,CONFIG_ASIGNATURAS!$B$2:$J$91,9,FALSE()),""))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IF(DATOS!$A17404="",0,IF(CONFIG_METADATA!$B$4&lt;&gt;"OR+EX",--(DATOS!$G17404=CONFIG_METADATA!$B$4),IF(DATOS!$G17404="EX",1,IF(DATOS!$G17404="OR",--(COUNTIFS(nNIA,DATOS!$A17404,nCURSO,DATOS!$D17404,nESPEC,DATOS!$E17404,nASIG,DATOS!$I17404,nEVAL,"EX")=0),0))))</f>
      </c>
      <c r="H17404">
        <f>IF(DATOS!$G17404&lt;&gt;"EX",0,--(COUNTIFS(nNIA,DATOS!$A17404,nCURSO,DATOS!$D17404,nESPEC,DATOS!$E17404,nASIG,DATOS!$I17404,nEVAL,"OR")=0))</f>
      </c>
      <c r="I17404">
        <f>IF(DATOS!$I17404="","",IFERROR(VLOOKUP(DATOS!$I17404,CONFIG_ASIGNATURAS!$B$2:$J$91,9,FALSE()),""))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IF(DATOS!$A17405="",0,IF(CONFIG_METADATA!$B$4&lt;&gt;"OR+EX",--(DATOS!$G17405=CONFIG_METADATA!$B$4),IF(DATOS!$G17405="EX",1,IF(DATOS!$G17405="OR",--(COUNTIFS(nNIA,DATOS!$A17405,nCURSO,DATOS!$D17405,nESPEC,DATOS!$E17405,nASIG,DATOS!$I17405,nEVAL,"EX")=0),0))))</f>
      </c>
      <c r="H17405">
        <f>IF(DATOS!$G17405&lt;&gt;"EX",0,--(COUNTIFS(nNIA,DATOS!$A17405,nCURSO,DATOS!$D17405,nESPEC,DATOS!$E17405,nASIG,DATOS!$I17405,nEVAL,"OR")=0))</f>
      </c>
      <c r="I17405">
        <f>IF(DATOS!$I17405="","",IFERROR(VLOOKUP(DATOS!$I17405,CONFIG_ASIGNATURAS!$B$2:$J$91,9,FALSE()),""))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IF(DATOS!$A17406="",0,IF(CONFIG_METADATA!$B$4&lt;&gt;"OR+EX",--(DATOS!$G17406=CONFIG_METADATA!$B$4),IF(DATOS!$G17406="EX",1,IF(DATOS!$G17406="OR",--(COUNTIFS(nNIA,DATOS!$A17406,nCURSO,DATOS!$D17406,nESPEC,DATOS!$E17406,nASIG,DATOS!$I17406,nEVAL,"EX")=0),0))))</f>
      </c>
      <c r="H17406">
        <f>IF(DATOS!$G17406&lt;&gt;"EX",0,--(COUNTIFS(nNIA,DATOS!$A17406,nCURSO,DATOS!$D17406,nESPEC,DATOS!$E17406,nASIG,DATOS!$I17406,nEVAL,"OR")=0))</f>
      </c>
      <c r="I17406">
        <f>IF(DATOS!$I17406="","",IFERROR(VLOOKUP(DATOS!$I17406,CONFIG_ASIGNATURAS!$B$2:$J$91,9,FALSE()),""))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IF(DATOS!$A17407="",0,IF(CONFIG_METADATA!$B$4&lt;&gt;"OR+EX",--(DATOS!$G17407=CONFIG_METADATA!$B$4),IF(DATOS!$G17407="EX",1,IF(DATOS!$G17407="OR",--(COUNTIFS(nNIA,DATOS!$A17407,nCURSO,DATOS!$D17407,nESPEC,DATOS!$E17407,nASIG,DATOS!$I17407,nEVAL,"EX")=0),0))))</f>
      </c>
      <c r="H17407">
        <f>IF(DATOS!$G17407&lt;&gt;"EX",0,--(COUNTIFS(nNIA,DATOS!$A17407,nCURSO,DATOS!$D17407,nESPEC,DATOS!$E17407,nASIG,DATOS!$I17407,nEVAL,"OR")=0))</f>
      </c>
      <c r="I17407">
        <f>IF(DATOS!$I17407="","",IFERROR(VLOOKUP(DATOS!$I17407,CONFIG_ASIGNATURAS!$B$2:$J$91,9,FALSE()),""))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IF(DATOS!$A17408="",0,IF(CONFIG_METADATA!$B$4&lt;&gt;"OR+EX",--(DATOS!$G17408=CONFIG_METADATA!$B$4),IF(DATOS!$G17408="EX",1,IF(DATOS!$G17408="OR",--(COUNTIFS(nNIA,DATOS!$A17408,nCURSO,DATOS!$D17408,nESPEC,DATOS!$E17408,nASIG,DATOS!$I17408,nEVAL,"EX")=0),0))))</f>
      </c>
      <c r="H17408">
        <f>IF(DATOS!$G17408&lt;&gt;"EX",0,--(COUNTIFS(nNIA,DATOS!$A17408,nCURSO,DATOS!$D17408,nESPEC,DATOS!$E17408,nASIG,DATOS!$I17408,nEVAL,"OR")=0))</f>
      </c>
      <c r="I17408">
        <f>IF(DATOS!$I17408="","",IFERROR(VLOOKUP(DATOS!$I17408,CONFIG_ASIGNATURAS!$B$2:$J$91,9,FALSE()),""))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IF(DATOS!$A17409="",0,IF(CONFIG_METADATA!$B$4&lt;&gt;"OR+EX",--(DATOS!$G17409=CONFIG_METADATA!$B$4),IF(DATOS!$G17409="EX",1,IF(DATOS!$G17409="OR",--(COUNTIFS(nNIA,DATOS!$A17409,nCURSO,DATOS!$D17409,nESPEC,DATOS!$E17409,nASIG,DATOS!$I17409,nEVAL,"EX")=0),0))))</f>
      </c>
      <c r="H17409">
        <f>IF(DATOS!$G17409&lt;&gt;"EX",0,--(COUNTIFS(nNIA,DATOS!$A17409,nCURSO,DATOS!$D17409,nESPEC,DATOS!$E17409,nASIG,DATOS!$I17409,nEVAL,"OR")=0))</f>
      </c>
      <c r="I17409">
        <f>IF(DATOS!$I17409="","",IFERROR(VLOOKUP(DATOS!$I17409,CONFIG_ASIGNATURAS!$B$2:$J$91,9,FALSE()),""))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IF(DATOS!$A17410="",0,IF(CONFIG_METADATA!$B$4&lt;&gt;"OR+EX",--(DATOS!$G17410=CONFIG_METADATA!$B$4),IF(DATOS!$G17410="EX",1,IF(DATOS!$G17410="OR",--(COUNTIFS(nNIA,DATOS!$A17410,nCURSO,DATOS!$D17410,nESPEC,DATOS!$E17410,nASIG,DATOS!$I17410,nEVAL,"EX")=0),0))))</f>
      </c>
      <c r="H17410">
        <f>IF(DATOS!$G17410&lt;&gt;"EX",0,--(COUNTIFS(nNIA,DATOS!$A17410,nCURSO,DATOS!$D17410,nESPEC,DATOS!$E17410,nASIG,DATOS!$I17410,nEVAL,"OR")=0))</f>
      </c>
      <c r="I17410">
        <f>IF(DATOS!$I17410="","",IFERROR(VLOOKUP(DATOS!$I17410,CONFIG_ASIGNATURAS!$B$2:$J$91,9,FALSE()),""))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IF(DATOS!$A17411="",0,IF(CONFIG_METADATA!$B$4&lt;&gt;"OR+EX",--(DATOS!$G17411=CONFIG_METADATA!$B$4),IF(DATOS!$G17411="EX",1,IF(DATOS!$G17411="OR",--(COUNTIFS(nNIA,DATOS!$A17411,nCURSO,DATOS!$D17411,nESPEC,DATOS!$E17411,nASIG,DATOS!$I17411,nEVAL,"EX")=0),0))))</f>
      </c>
      <c r="H17411">
        <f>IF(DATOS!$G17411&lt;&gt;"EX",0,--(COUNTIFS(nNIA,DATOS!$A17411,nCURSO,DATOS!$D17411,nESPEC,DATOS!$E17411,nASIG,DATOS!$I17411,nEVAL,"OR")=0))</f>
      </c>
      <c r="I17411">
        <f>IF(DATOS!$I17411="","",IFERROR(VLOOKUP(DATOS!$I17411,CONFIG_ASIGNATURAS!$B$2:$J$91,9,FALSE()),""))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IF(DATOS!$A17412="",0,IF(CONFIG_METADATA!$B$4&lt;&gt;"OR+EX",--(DATOS!$G17412=CONFIG_METADATA!$B$4),IF(DATOS!$G17412="EX",1,IF(DATOS!$G17412="OR",--(COUNTIFS(nNIA,DATOS!$A17412,nCURSO,DATOS!$D17412,nESPEC,DATOS!$E17412,nASIG,DATOS!$I17412,nEVAL,"EX")=0),0))))</f>
      </c>
      <c r="H17412">
        <f>IF(DATOS!$G17412&lt;&gt;"EX",0,--(COUNTIFS(nNIA,DATOS!$A17412,nCURSO,DATOS!$D17412,nESPEC,DATOS!$E17412,nASIG,DATOS!$I17412,nEVAL,"OR")=0))</f>
      </c>
      <c r="I17412">
        <f>IF(DATOS!$I17412="","",IFERROR(VLOOKUP(DATOS!$I17412,CONFIG_ASIGNATURAS!$B$2:$J$91,9,FALSE()),""))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IF(DATOS!$A17413="",0,IF(CONFIG_METADATA!$B$4&lt;&gt;"OR+EX",--(DATOS!$G17413=CONFIG_METADATA!$B$4),IF(DATOS!$G17413="EX",1,IF(DATOS!$G17413="OR",--(COUNTIFS(nNIA,DATOS!$A17413,nCURSO,DATOS!$D17413,nESPEC,DATOS!$E17413,nASIG,DATOS!$I17413,nEVAL,"EX")=0),0))))</f>
      </c>
      <c r="H17413">
        <f>IF(DATOS!$G17413&lt;&gt;"EX",0,--(COUNTIFS(nNIA,DATOS!$A17413,nCURSO,DATOS!$D17413,nESPEC,DATOS!$E17413,nASIG,DATOS!$I17413,nEVAL,"OR")=0))</f>
      </c>
      <c r="I17413">
        <f>IF(DATOS!$I17413="","",IFERROR(VLOOKUP(DATOS!$I17413,CONFIG_ASIGNATURAS!$B$2:$J$91,9,FALSE()),""))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IF(DATOS!$A17414="",0,IF(CONFIG_METADATA!$B$4&lt;&gt;"OR+EX",--(DATOS!$G17414=CONFIG_METADATA!$B$4),IF(DATOS!$G17414="EX",1,IF(DATOS!$G17414="OR",--(COUNTIFS(nNIA,DATOS!$A17414,nCURSO,DATOS!$D17414,nESPEC,DATOS!$E17414,nASIG,DATOS!$I17414,nEVAL,"EX")=0),0))))</f>
      </c>
      <c r="H17414">
        <f>IF(DATOS!$G17414&lt;&gt;"EX",0,--(COUNTIFS(nNIA,DATOS!$A17414,nCURSO,DATOS!$D17414,nESPEC,DATOS!$E17414,nASIG,DATOS!$I17414,nEVAL,"OR")=0))</f>
      </c>
      <c r="I17414">
        <f>IF(DATOS!$I17414="","",IFERROR(VLOOKUP(DATOS!$I17414,CONFIG_ASIGNATURAS!$B$2:$J$91,9,FALSE()),""))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IF(DATOS!$A17415="",0,IF(CONFIG_METADATA!$B$4&lt;&gt;"OR+EX",--(DATOS!$G17415=CONFIG_METADATA!$B$4),IF(DATOS!$G17415="EX",1,IF(DATOS!$G17415="OR",--(COUNTIFS(nNIA,DATOS!$A17415,nCURSO,DATOS!$D17415,nESPEC,DATOS!$E17415,nASIG,DATOS!$I17415,nEVAL,"EX")=0),0))))</f>
      </c>
      <c r="H17415">
        <f>IF(DATOS!$G17415&lt;&gt;"EX",0,--(COUNTIFS(nNIA,DATOS!$A17415,nCURSO,DATOS!$D17415,nESPEC,DATOS!$E17415,nASIG,DATOS!$I17415,nEVAL,"OR")=0))</f>
      </c>
      <c r="I17415">
        <f>IF(DATOS!$I17415="","",IFERROR(VLOOKUP(DATOS!$I17415,CONFIG_ASIGNATURAS!$B$2:$J$91,9,FALSE()),""))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IF(DATOS!$A17416="",0,IF(CONFIG_METADATA!$B$4&lt;&gt;"OR+EX",--(DATOS!$G17416=CONFIG_METADATA!$B$4),IF(DATOS!$G17416="EX",1,IF(DATOS!$G17416="OR",--(COUNTIFS(nNIA,DATOS!$A17416,nCURSO,DATOS!$D17416,nESPEC,DATOS!$E17416,nASIG,DATOS!$I17416,nEVAL,"EX")=0),0))))</f>
      </c>
      <c r="H17416">
        <f>IF(DATOS!$G17416&lt;&gt;"EX",0,--(COUNTIFS(nNIA,DATOS!$A17416,nCURSO,DATOS!$D17416,nESPEC,DATOS!$E17416,nASIG,DATOS!$I17416,nEVAL,"OR")=0))</f>
      </c>
      <c r="I17416">
        <f>IF(DATOS!$I17416="","",IFERROR(VLOOKUP(DATOS!$I17416,CONFIG_ASIGNATURAS!$B$2:$J$91,9,FALSE()),""))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IF(DATOS!$A17417="",0,IF(CONFIG_METADATA!$B$4&lt;&gt;"OR+EX",--(DATOS!$G17417=CONFIG_METADATA!$B$4),IF(DATOS!$G17417="EX",1,IF(DATOS!$G17417="OR",--(COUNTIFS(nNIA,DATOS!$A17417,nCURSO,DATOS!$D17417,nESPEC,DATOS!$E17417,nASIG,DATOS!$I17417,nEVAL,"EX")=0),0))))</f>
      </c>
      <c r="H17417">
        <f>IF(DATOS!$G17417&lt;&gt;"EX",0,--(COUNTIFS(nNIA,DATOS!$A17417,nCURSO,DATOS!$D17417,nESPEC,DATOS!$E17417,nASIG,DATOS!$I17417,nEVAL,"OR")=0))</f>
      </c>
      <c r="I17417">
        <f>IF(DATOS!$I17417="","",IFERROR(VLOOKUP(DATOS!$I17417,CONFIG_ASIGNATURAS!$B$2:$J$91,9,FALSE()),""))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IF(DATOS!$A17418="",0,IF(CONFIG_METADATA!$B$4&lt;&gt;"OR+EX",--(DATOS!$G17418=CONFIG_METADATA!$B$4),IF(DATOS!$G17418="EX",1,IF(DATOS!$G17418="OR",--(COUNTIFS(nNIA,DATOS!$A17418,nCURSO,DATOS!$D17418,nESPEC,DATOS!$E17418,nASIG,DATOS!$I17418,nEVAL,"EX")=0),0))))</f>
      </c>
      <c r="H17418">
        <f>IF(DATOS!$G17418&lt;&gt;"EX",0,--(COUNTIFS(nNIA,DATOS!$A17418,nCURSO,DATOS!$D17418,nESPEC,DATOS!$E17418,nASIG,DATOS!$I17418,nEVAL,"OR")=0))</f>
      </c>
      <c r="I17418">
        <f>IF(DATOS!$I17418="","",IFERROR(VLOOKUP(DATOS!$I17418,CONFIG_ASIGNATURAS!$B$2:$J$91,9,FALSE()),""))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IF(DATOS!$A17419="",0,IF(CONFIG_METADATA!$B$4&lt;&gt;"OR+EX",--(DATOS!$G17419=CONFIG_METADATA!$B$4),IF(DATOS!$G17419="EX",1,IF(DATOS!$G17419="OR",--(COUNTIFS(nNIA,DATOS!$A17419,nCURSO,DATOS!$D17419,nESPEC,DATOS!$E17419,nASIG,DATOS!$I17419,nEVAL,"EX")=0),0))))</f>
      </c>
      <c r="H17419">
        <f>IF(DATOS!$G17419&lt;&gt;"EX",0,--(COUNTIFS(nNIA,DATOS!$A17419,nCURSO,DATOS!$D17419,nESPEC,DATOS!$E17419,nASIG,DATOS!$I17419,nEVAL,"OR")=0))</f>
      </c>
      <c r="I17419">
        <f>IF(DATOS!$I17419="","",IFERROR(VLOOKUP(DATOS!$I17419,CONFIG_ASIGNATURAS!$B$2:$J$91,9,FALSE()),""))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IF(DATOS!$A17420="",0,IF(CONFIG_METADATA!$B$4&lt;&gt;"OR+EX",--(DATOS!$G17420=CONFIG_METADATA!$B$4),IF(DATOS!$G17420="EX",1,IF(DATOS!$G17420="OR",--(COUNTIFS(nNIA,DATOS!$A17420,nCURSO,DATOS!$D17420,nESPEC,DATOS!$E17420,nASIG,DATOS!$I17420,nEVAL,"EX")=0),0))))</f>
      </c>
      <c r="H17420">
        <f>IF(DATOS!$G17420&lt;&gt;"EX",0,--(COUNTIFS(nNIA,DATOS!$A17420,nCURSO,DATOS!$D17420,nESPEC,DATOS!$E17420,nASIG,DATOS!$I17420,nEVAL,"OR")=0))</f>
      </c>
      <c r="I17420">
        <f>IF(DATOS!$I17420="","",IFERROR(VLOOKUP(DATOS!$I17420,CONFIG_ASIGNATURAS!$B$2:$J$91,9,FALSE()),""))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IF(DATOS!$A17421="",0,IF(CONFIG_METADATA!$B$4&lt;&gt;"OR+EX",--(DATOS!$G17421=CONFIG_METADATA!$B$4),IF(DATOS!$G17421="EX",1,IF(DATOS!$G17421="OR",--(COUNTIFS(nNIA,DATOS!$A17421,nCURSO,DATOS!$D17421,nESPEC,DATOS!$E17421,nASIG,DATOS!$I17421,nEVAL,"EX")=0),0))))</f>
      </c>
      <c r="H17421">
        <f>IF(DATOS!$G17421&lt;&gt;"EX",0,--(COUNTIFS(nNIA,DATOS!$A17421,nCURSO,DATOS!$D17421,nESPEC,DATOS!$E17421,nASIG,DATOS!$I17421,nEVAL,"OR")=0))</f>
      </c>
      <c r="I17421">
        <f>IF(DATOS!$I17421="","",IFERROR(VLOOKUP(DATOS!$I17421,CONFIG_ASIGNATURAS!$B$2:$J$91,9,FALSE()),""))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IF(DATOS!$A17422="",0,IF(CONFIG_METADATA!$B$4&lt;&gt;"OR+EX",--(DATOS!$G17422=CONFIG_METADATA!$B$4),IF(DATOS!$G17422="EX",1,IF(DATOS!$G17422="OR",--(COUNTIFS(nNIA,DATOS!$A17422,nCURSO,DATOS!$D17422,nESPEC,DATOS!$E17422,nASIG,DATOS!$I17422,nEVAL,"EX")=0),0))))</f>
      </c>
      <c r="H17422">
        <f>IF(DATOS!$G17422&lt;&gt;"EX",0,--(COUNTIFS(nNIA,DATOS!$A17422,nCURSO,DATOS!$D17422,nESPEC,DATOS!$E17422,nASIG,DATOS!$I17422,nEVAL,"OR")=0))</f>
      </c>
      <c r="I17422">
        <f>IF(DATOS!$I17422="","",IFERROR(VLOOKUP(DATOS!$I17422,CONFIG_ASIGNATURAS!$B$2:$J$91,9,FALSE()),""))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IF(DATOS!$A17423="",0,IF(CONFIG_METADATA!$B$4&lt;&gt;"OR+EX",--(DATOS!$G17423=CONFIG_METADATA!$B$4),IF(DATOS!$G17423="EX",1,IF(DATOS!$G17423="OR",--(COUNTIFS(nNIA,DATOS!$A17423,nCURSO,DATOS!$D17423,nESPEC,DATOS!$E17423,nASIG,DATOS!$I17423,nEVAL,"EX")=0),0))))</f>
      </c>
      <c r="H17423">
        <f>IF(DATOS!$G17423&lt;&gt;"EX",0,--(COUNTIFS(nNIA,DATOS!$A17423,nCURSO,DATOS!$D17423,nESPEC,DATOS!$E17423,nASIG,DATOS!$I17423,nEVAL,"OR")=0))</f>
      </c>
      <c r="I17423">
        <f>IF(DATOS!$I17423="","",IFERROR(VLOOKUP(DATOS!$I17423,CONFIG_ASIGNATURAS!$B$2:$J$91,9,FALSE()),""))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IF(DATOS!$A17424="",0,IF(CONFIG_METADATA!$B$4&lt;&gt;"OR+EX",--(DATOS!$G17424=CONFIG_METADATA!$B$4),IF(DATOS!$G17424="EX",1,IF(DATOS!$G17424="OR",--(COUNTIFS(nNIA,DATOS!$A17424,nCURSO,DATOS!$D17424,nESPEC,DATOS!$E17424,nASIG,DATOS!$I17424,nEVAL,"EX")=0),0))))</f>
      </c>
      <c r="H17424">
        <f>IF(DATOS!$G17424&lt;&gt;"EX",0,--(COUNTIFS(nNIA,DATOS!$A17424,nCURSO,DATOS!$D17424,nESPEC,DATOS!$E17424,nASIG,DATOS!$I17424,nEVAL,"OR")=0))</f>
      </c>
      <c r="I17424">
        <f>IF(DATOS!$I17424="","",IFERROR(VLOOKUP(DATOS!$I17424,CONFIG_ASIGNATURAS!$B$2:$J$91,9,FALSE()),""))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IF(DATOS!$A17425="",0,IF(CONFIG_METADATA!$B$4&lt;&gt;"OR+EX",--(DATOS!$G17425=CONFIG_METADATA!$B$4),IF(DATOS!$G17425="EX",1,IF(DATOS!$G17425="OR",--(COUNTIFS(nNIA,DATOS!$A17425,nCURSO,DATOS!$D17425,nESPEC,DATOS!$E17425,nASIG,DATOS!$I17425,nEVAL,"EX")=0),0))))</f>
      </c>
      <c r="H17425">
        <f>IF(DATOS!$G17425&lt;&gt;"EX",0,--(COUNTIFS(nNIA,DATOS!$A17425,nCURSO,DATOS!$D17425,nESPEC,DATOS!$E17425,nASIG,DATOS!$I17425,nEVAL,"OR")=0))</f>
      </c>
      <c r="I17425">
        <f>IF(DATOS!$I17425="","",IFERROR(VLOOKUP(DATOS!$I17425,CONFIG_ASIGNATURAS!$B$2:$J$91,9,FALSE()),""))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IF(DATOS!$A17426="",0,IF(CONFIG_METADATA!$B$4&lt;&gt;"OR+EX",--(DATOS!$G17426=CONFIG_METADATA!$B$4),IF(DATOS!$G17426="EX",1,IF(DATOS!$G17426="OR",--(COUNTIFS(nNIA,DATOS!$A17426,nCURSO,DATOS!$D17426,nESPEC,DATOS!$E17426,nASIG,DATOS!$I17426,nEVAL,"EX")=0),0))))</f>
      </c>
      <c r="H17426">
        <f>IF(DATOS!$G17426&lt;&gt;"EX",0,--(COUNTIFS(nNIA,DATOS!$A17426,nCURSO,DATOS!$D17426,nESPEC,DATOS!$E17426,nASIG,DATOS!$I17426,nEVAL,"OR")=0))</f>
      </c>
      <c r="I17426">
        <f>IF(DATOS!$I17426="","",IFERROR(VLOOKUP(DATOS!$I17426,CONFIG_ASIGNATURAS!$B$2:$J$91,9,FALSE()),""))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IF(DATOS!$A17427="",0,IF(CONFIG_METADATA!$B$4&lt;&gt;"OR+EX",--(DATOS!$G17427=CONFIG_METADATA!$B$4),IF(DATOS!$G17427="EX",1,IF(DATOS!$G17427="OR",--(COUNTIFS(nNIA,DATOS!$A17427,nCURSO,DATOS!$D17427,nESPEC,DATOS!$E17427,nASIG,DATOS!$I17427,nEVAL,"EX")=0),0))))</f>
      </c>
      <c r="H17427">
        <f>IF(DATOS!$G17427&lt;&gt;"EX",0,--(COUNTIFS(nNIA,DATOS!$A17427,nCURSO,DATOS!$D17427,nESPEC,DATOS!$E17427,nASIG,DATOS!$I17427,nEVAL,"OR")=0))</f>
      </c>
      <c r="I17427">
        <f>IF(DATOS!$I17427="","",IFERROR(VLOOKUP(DATOS!$I17427,CONFIG_ASIGNATURAS!$B$2:$J$91,9,FALSE()),""))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IF(DATOS!$A17428="",0,IF(CONFIG_METADATA!$B$4&lt;&gt;"OR+EX",--(DATOS!$G17428=CONFIG_METADATA!$B$4),IF(DATOS!$G17428="EX",1,IF(DATOS!$G17428="OR",--(COUNTIFS(nNIA,DATOS!$A17428,nCURSO,DATOS!$D17428,nESPEC,DATOS!$E17428,nASIG,DATOS!$I17428,nEVAL,"EX")=0),0))))</f>
      </c>
      <c r="H17428">
        <f>IF(DATOS!$G17428&lt;&gt;"EX",0,--(COUNTIFS(nNIA,DATOS!$A17428,nCURSO,DATOS!$D17428,nESPEC,DATOS!$E17428,nASIG,DATOS!$I17428,nEVAL,"OR")=0))</f>
      </c>
      <c r="I17428">
        <f>IF(DATOS!$I17428="","",IFERROR(VLOOKUP(DATOS!$I17428,CONFIG_ASIGNATURAS!$B$2:$J$91,9,FALSE()),""))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IF(DATOS!$A17429="",0,IF(CONFIG_METADATA!$B$4&lt;&gt;"OR+EX",--(DATOS!$G17429=CONFIG_METADATA!$B$4),IF(DATOS!$G17429="EX",1,IF(DATOS!$G17429="OR",--(COUNTIFS(nNIA,DATOS!$A17429,nCURSO,DATOS!$D17429,nESPEC,DATOS!$E17429,nASIG,DATOS!$I17429,nEVAL,"EX")=0),0))))</f>
      </c>
      <c r="H17429">
        <f>IF(DATOS!$G17429&lt;&gt;"EX",0,--(COUNTIFS(nNIA,DATOS!$A17429,nCURSO,DATOS!$D17429,nESPEC,DATOS!$E17429,nASIG,DATOS!$I17429,nEVAL,"OR")=0))</f>
      </c>
      <c r="I17429">
        <f>IF(DATOS!$I17429="","",IFERROR(VLOOKUP(DATOS!$I17429,CONFIG_ASIGNATURAS!$B$2:$J$91,9,FALSE()),""))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IF(DATOS!$A17430="",0,IF(CONFIG_METADATA!$B$4&lt;&gt;"OR+EX",--(DATOS!$G17430=CONFIG_METADATA!$B$4),IF(DATOS!$G17430="EX",1,IF(DATOS!$G17430="OR",--(COUNTIFS(nNIA,DATOS!$A17430,nCURSO,DATOS!$D17430,nESPEC,DATOS!$E17430,nASIG,DATOS!$I17430,nEVAL,"EX")=0),0))))</f>
      </c>
      <c r="H17430">
        <f>IF(DATOS!$G17430&lt;&gt;"EX",0,--(COUNTIFS(nNIA,DATOS!$A17430,nCURSO,DATOS!$D17430,nESPEC,DATOS!$E17430,nASIG,DATOS!$I17430,nEVAL,"OR")=0))</f>
      </c>
      <c r="I17430">
        <f>IF(DATOS!$I17430="","",IFERROR(VLOOKUP(DATOS!$I17430,CONFIG_ASIGNATURAS!$B$2:$J$91,9,FALSE()),""))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IF(DATOS!$A17431="",0,IF(CONFIG_METADATA!$B$4&lt;&gt;"OR+EX",--(DATOS!$G17431=CONFIG_METADATA!$B$4),IF(DATOS!$G17431="EX",1,IF(DATOS!$G17431="OR",--(COUNTIFS(nNIA,DATOS!$A17431,nCURSO,DATOS!$D17431,nESPEC,DATOS!$E17431,nASIG,DATOS!$I17431,nEVAL,"EX")=0),0))))</f>
      </c>
      <c r="H17431">
        <f>IF(DATOS!$G17431&lt;&gt;"EX",0,--(COUNTIFS(nNIA,DATOS!$A17431,nCURSO,DATOS!$D17431,nESPEC,DATOS!$E17431,nASIG,DATOS!$I17431,nEVAL,"OR")=0))</f>
      </c>
      <c r="I17431">
        <f>IF(DATOS!$I17431="","",IFERROR(VLOOKUP(DATOS!$I17431,CONFIG_ASIGNATURAS!$B$2:$J$91,9,FALSE()),""))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IF(DATOS!$A17432="",0,IF(CONFIG_METADATA!$B$4&lt;&gt;"OR+EX",--(DATOS!$G17432=CONFIG_METADATA!$B$4),IF(DATOS!$G17432="EX",1,IF(DATOS!$G17432="OR",--(COUNTIFS(nNIA,DATOS!$A17432,nCURSO,DATOS!$D17432,nESPEC,DATOS!$E17432,nASIG,DATOS!$I17432,nEVAL,"EX")=0),0))))</f>
      </c>
      <c r="H17432">
        <f>IF(DATOS!$G17432&lt;&gt;"EX",0,--(COUNTIFS(nNIA,DATOS!$A17432,nCURSO,DATOS!$D17432,nESPEC,DATOS!$E17432,nASIG,DATOS!$I17432,nEVAL,"OR")=0))</f>
      </c>
      <c r="I17432">
        <f>IF(DATOS!$I17432="","",IFERROR(VLOOKUP(DATOS!$I17432,CONFIG_ASIGNATURAS!$B$2:$J$91,9,FALSE()),""))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IF(DATOS!$A17433="",0,IF(CONFIG_METADATA!$B$4&lt;&gt;"OR+EX",--(DATOS!$G17433=CONFIG_METADATA!$B$4),IF(DATOS!$G17433="EX",1,IF(DATOS!$G17433="OR",--(COUNTIFS(nNIA,DATOS!$A17433,nCURSO,DATOS!$D17433,nESPEC,DATOS!$E17433,nASIG,DATOS!$I17433,nEVAL,"EX")=0),0))))</f>
      </c>
      <c r="H17433">
        <f>IF(DATOS!$G17433&lt;&gt;"EX",0,--(COUNTIFS(nNIA,DATOS!$A17433,nCURSO,DATOS!$D17433,nESPEC,DATOS!$E17433,nASIG,DATOS!$I17433,nEVAL,"OR")=0))</f>
      </c>
      <c r="I17433">
        <f>IF(DATOS!$I17433="","",IFERROR(VLOOKUP(DATOS!$I17433,CONFIG_ASIGNATURAS!$B$2:$J$91,9,FALSE()),""))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IF(DATOS!$A17434="",0,IF(CONFIG_METADATA!$B$4&lt;&gt;"OR+EX",--(DATOS!$G17434=CONFIG_METADATA!$B$4),IF(DATOS!$G17434="EX",1,IF(DATOS!$G17434="OR",--(COUNTIFS(nNIA,DATOS!$A17434,nCURSO,DATOS!$D17434,nESPEC,DATOS!$E17434,nASIG,DATOS!$I17434,nEVAL,"EX")=0),0))))</f>
      </c>
      <c r="H17434">
        <f>IF(DATOS!$G17434&lt;&gt;"EX",0,--(COUNTIFS(nNIA,DATOS!$A17434,nCURSO,DATOS!$D17434,nESPEC,DATOS!$E17434,nASIG,DATOS!$I17434,nEVAL,"OR")=0))</f>
      </c>
      <c r="I17434">
        <f>IF(DATOS!$I17434="","",IFERROR(VLOOKUP(DATOS!$I17434,CONFIG_ASIGNATURAS!$B$2:$J$91,9,FALSE()),""))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IF(DATOS!$A17435="",0,IF(CONFIG_METADATA!$B$4&lt;&gt;"OR+EX",--(DATOS!$G17435=CONFIG_METADATA!$B$4),IF(DATOS!$G17435="EX",1,IF(DATOS!$G17435="OR",--(COUNTIFS(nNIA,DATOS!$A17435,nCURSO,DATOS!$D17435,nESPEC,DATOS!$E17435,nASIG,DATOS!$I17435,nEVAL,"EX")=0),0))))</f>
      </c>
      <c r="H17435">
        <f>IF(DATOS!$G17435&lt;&gt;"EX",0,--(COUNTIFS(nNIA,DATOS!$A17435,nCURSO,DATOS!$D17435,nESPEC,DATOS!$E17435,nASIG,DATOS!$I17435,nEVAL,"OR")=0))</f>
      </c>
      <c r="I17435">
        <f>IF(DATOS!$I17435="","",IFERROR(VLOOKUP(DATOS!$I17435,CONFIG_ASIGNATURAS!$B$2:$J$91,9,FALSE()),""))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IF(DATOS!$A17436="",0,IF(CONFIG_METADATA!$B$4&lt;&gt;"OR+EX",--(DATOS!$G17436=CONFIG_METADATA!$B$4),IF(DATOS!$G17436="EX",1,IF(DATOS!$G17436="OR",--(COUNTIFS(nNIA,DATOS!$A17436,nCURSO,DATOS!$D17436,nESPEC,DATOS!$E17436,nASIG,DATOS!$I17436,nEVAL,"EX")=0),0))))</f>
      </c>
      <c r="H17436">
        <f>IF(DATOS!$G17436&lt;&gt;"EX",0,--(COUNTIFS(nNIA,DATOS!$A17436,nCURSO,DATOS!$D17436,nESPEC,DATOS!$E17436,nASIG,DATOS!$I17436,nEVAL,"OR")=0))</f>
      </c>
      <c r="I17436">
        <f>IF(DATOS!$I17436="","",IFERROR(VLOOKUP(DATOS!$I17436,CONFIG_ASIGNATURAS!$B$2:$J$91,9,FALSE()),""))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IF(DATOS!$A17437="",0,IF(CONFIG_METADATA!$B$4&lt;&gt;"OR+EX",--(DATOS!$G17437=CONFIG_METADATA!$B$4),IF(DATOS!$G17437="EX",1,IF(DATOS!$G17437="OR",--(COUNTIFS(nNIA,DATOS!$A17437,nCURSO,DATOS!$D17437,nESPEC,DATOS!$E17437,nASIG,DATOS!$I17437,nEVAL,"EX")=0),0))))</f>
      </c>
      <c r="H17437">
        <f>IF(DATOS!$G17437&lt;&gt;"EX",0,--(COUNTIFS(nNIA,DATOS!$A17437,nCURSO,DATOS!$D17437,nESPEC,DATOS!$E17437,nASIG,DATOS!$I17437,nEVAL,"OR")=0))</f>
      </c>
      <c r="I17437">
        <f>IF(DATOS!$I17437="","",IFERROR(VLOOKUP(DATOS!$I17437,CONFIG_ASIGNATURAS!$B$2:$J$91,9,FALSE()),""))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IF(DATOS!$A17438="",0,IF(CONFIG_METADATA!$B$4&lt;&gt;"OR+EX",--(DATOS!$G17438=CONFIG_METADATA!$B$4),IF(DATOS!$G17438="EX",1,IF(DATOS!$G17438="OR",--(COUNTIFS(nNIA,DATOS!$A17438,nCURSO,DATOS!$D17438,nESPEC,DATOS!$E17438,nASIG,DATOS!$I17438,nEVAL,"EX")=0),0))))</f>
      </c>
      <c r="H17438">
        <f>IF(DATOS!$G17438&lt;&gt;"EX",0,--(COUNTIFS(nNIA,DATOS!$A17438,nCURSO,DATOS!$D17438,nESPEC,DATOS!$E17438,nASIG,DATOS!$I17438,nEVAL,"OR")=0))</f>
      </c>
      <c r="I17438">
        <f>IF(DATOS!$I17438="","",IFERROR(VLOOKUP(DATOS!$I17438,CONFIG_ASIGNATURAS!$B$2:$J$91,9,FALSE()),""))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IF(DATOS!$A17439="",0,IF(CONFIG_METADATA!$B$4&lt;&gt;"OR+EX",--(DATOS!$G17439=CONFIG_METADATA!$B$4),IF(DATOS!$G17439="EX",1,IF(DATOS!$G17439="OR",--(COUNTIFS(nNIA,DATOS!$A17439,nCURSO,DATOS!$D17439,nESPEC,DATOS!$E17439,nASIG,DATOS!$I17439,nEVAL,"EX")=0),0))))</f>
      </c>
      <c r="H17439">
        <f>IF(DATOS!$G17439&lt;&gt;"EX",0,--(COUNTIFS(nNIA,DATOS!$A17439,nCURSO,DATOS!$D17439,nESPEC,DATOS!$E17439,nASIG,DATOS!$I17439,nEVAL,"OR")=0))</f>
      </c>
      <c r="I17439">
        <f>IF(DATOS!$I17439="","",IFERROR(VLOOKUP(DATOS!$I17439,CONFIG_ASIGNATURAS!$B$2:$J$91,9,FALSE()),""))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IF(DATOS!$A17440="",0,IF(CONFIG_METADATA!$B$4&lt;&gt;"OR+EX",--(DATOS!$G17440=CONFIG_METADATA!$B$4),IF(DATOS!$G17440="EX",1,IF(DATOS!$G17440="OR",--(COUNTIFS(nNIA,DATOS!$A17440,nCURSO,DATOS!$D17440,nESPEC,DATOS!$E17440,nASIG,DATOS!$I17440,nEVAL,"EX")=0),0))))</f>
      </c>
      <c r="H17440">
        <f>IF(DATOS!$G17440&lt;&gt;"EX",0,--(COUNTIFS(nNIA,DATOS!$A17440,nCURSO,DATOS!$D17440,nESPEC,DATOS!$E17440,nASIG,DATOS!$I17440,nEVAL,"OR")=0))</f>
      </c>
      <c r="I17440">
        <f>IF(DATOS!$I17440="","",IFERROR(VLOOKUP(DATOS!$I17440,CONFIG_ASIGNATURAS!$B$2:$J$91,9,FALSE()),""))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IF(DATOS!$A17441="",0,IF(CONFIG_METADATA!$B$4&lt;&gt;"OR+EX",--(DATOS!$G17441=CONFIG_METADATA!$B$4),IF(DATOS!$G17441="EX",1,IF(DATOS!$G17441="OR",--(COUNTIFS(nNIA,DATOS!$A17441,nCURSO,DATOS!$D17441,nESPEC,DATOS!$E17441,nASIG,DATOS!$I17441,nEVAL,"EX")=0),0))))</f>
      </c>
      <c r="H17441">
        <f>IF(DATOS!$G17441&lt;&gt;"EX",0,--(COUNTIFS(nNIA,DATOS!$A17441,nCURSO,DATOS!$D17441,nESPEC,DATOS!$E17441,nASIG,DATOS!$I17441,nEVAL,"OR")=0))</f>
      </c>
      <c r="I17441">
        <f>IF(DATOS!$I17441="","",IFERROR(VLOOKUP(DATOS!$I17441,CONFIG_ASIGNATURAS!$B$2:$J$91,9,FALSE()),""))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IF(DATOS!$A17442="",0,IF(CONFIG_METADATA!$B$4&lt;&gt;"OR+EX",--(DATOS!$G17442=CONFIG_METADATA!$B$4),IF(DATOS!$G17442="EX",1,IF(DATOS!$G17442="OR",--(COUNTIFS(nNIA,DATOS!$A17442,nCURSO,DATOS!$D17442,nESPEC,DATOS!$E17442,nASIG,DATOS!$I17442,nEVAL,"EX")=0),0))))</f>
      </c>
      <c r="H17442">
        <f>IF(DATOS!$G17442&lt;&gt;"EX",0,--(COUNTIFS(nNIA,DATOS!$A17442,nCURSO,DATOS!$D17442,nESPEC,DATOS!$E17442,nASIG,DATOS!$I17442,nEVAL,"OR")=0))</f>
      </c>
      <c r="I17442">
        <f>IF(DATOS!$I17442="","",IFERROR(VLOOKUP(DATOS!$I17442,CONFIG_ASIGNATURAS!$B$2:$J$91,9,FALSE()),""))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IF(DATOS!$A17443="",0,IF(CONFIG_METADATA!$B$4&lt;&gt;"OR+EX",--(DATOS!$G17443=CONFIG_METADATA!$B$4),IF(DATOS!$G17443="EX",1,IF(DATOS!$G17443="OR",--(COUNTIFS(nNIA,DATOS!$A17443,nCURSO,DATOS!$D17443,nESPEC,DATOS!$E17443,nASIG,DATOS!$I17443,nEVAL,"EX")=0),0))))</f>
      </c>
      <c r="H17443">
        <f>IF(DATOS!$G17443&lt;&gt;"EX",0,--(COUNTIFS(nNIA,DATOS!$A17443,nCURSO,DATOS!$D17443,nESPEC,DATOS!$E17443,nASIG,DATOS!$I17443,nEVAL,"OR")=0))</f>
      </c>
      <c r="I17443">
        <f>IF(DATOS!$I17443="","",IFERROR(VLOOKUP(DATOS!$I17443,CONFIG_ASIGNATURAS!$B$2:$J$91,9,FALSE()),""))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IF(DATOS!$A17444="",0,IF(CONFIG_METADATA!$B$4&lt;&gt;"OR+EX",--(DATOS!$G17444=CONFIG_METADATA!$B$4),IF(DATOS!$G17444="EX",1,IF(DATOS!$G17444="OR",--(COUNTIFS(nNIA,DATOS!$A17444,nCURSO,DATOS!$D17444,nESPEC,DATOS!$E17444,nASIG,DATOS!$I17444,nEVAL,"EX")=0),0))))</f>
      </c>
      <c r="H17444">
        <f>IF(DATOS!$G17444&lt;&gt;"EX",0,--(COUNTIFS(nNIA,DATOS!$A17444,nCURSO,DATOS!$D17444,nESPEC,DATOS!$E17444,nASIG,DATOS!$I17444,nEVAL,"OR")=0))</f>
      </c>
      <c r="I17444">
        <f>IF(DATOS!$I17444="","",IFERROR(VLOOKUP(DATOS!$I17444,CONFIG_ASIGNATURAS!$B$2:$J$91,9,FALSE()),""))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IF(DATOS!$A17445="",0,IF(CONFIG_METADATA!$B$4&lt;&gt;"OR+EX",--(DATOS!$G17445=CONFIG_METADATA!$B$4),IF(DATOS!$G17445="EX",1,IF(DATOS!$G17445="OR",--(COUNTIFS(nNIA,DATOS!$A17445,nCURSO,DATOS!$D17445,nESPEC,DATOS!$E17445,nASIG,DATOS!$I17445,nEVAL,"EX")=0),0))))</f>
      </c>
      <c r="H17445">
        <f>IF(DATOS!$G17445&lt;&gt;"EX",0,--(COUNTIFS(nNIA,DATOS!$A17445,nCURSO,DATOS!$D17445,nESPEC,DATOS!$E17445,nASIG,DATOS!$I17445,nEVAL,"OR")=0))</f>
      </c>
      <c r="I17445">
        <f>IF(DATOS!$I17445="","",IFERROR(VLOOKUP(DATOS!$I17445,CONFIG_ASIGNATURAS!$B$2:$J$91,9,FALSE()),""))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IF(DATOS!$A17446="",0,IF(CONFIG_METADATA!$B$4&lt;&gt;"OR+EX",--(DATOS!$G17446=CONFIG_METADATA!$B$4),IF(DATOS!$G17446="EX",1,IF(DATOS!$G17446="OR",--(COUNTIFS(nNIA,DATOS!$A17446,nCURSO,DATOS!$D17446,nESPEC,DATOS!$E17446,nASIG,DATOS!$I17446,nEVAL,"EX")=0),0))))</f>
      </c>
      <c r="H17446">
        <f>IF(DATOS!$G17446&lt;&gt;"EX",0,--(COUNTIFS(nNIA,DATOS!$A17446,nCURSO,DATOS!$D17446,nESPEC,DATOS!$E17446,nASIG,DATOS!$I17446,nEVAL,"OR")=0))</f>
      </c>
      <c r="I17446">
        <f>IF(DATOS!$I17446="","",IFERROR(VLOOKUP(DATOS!$I17446,CONFIG_ASIGNATURAS!$B$2:$J$91,9,FALSE()),""))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IF(DATOS!$A17447="",0,IF(CONFIG_METADATA!$B$4&lt;&gt;"OR+EX",--(DATOS!$G17447=CONFIG_METADATA!$B$4),IF(DATOS!$G17447="EX",1,IF(DATOS!$G17447="OR",--(COUNTIFS(nNIA,DATOS!$A17447,nCURSO,DATOS!$D17447,nESPEC,DATOS!$E17447,nASIG,DATOS!$I17447,nEVAL,"EX")=0),0))))</f>
      </c>
      <c r="H17447">
        <f>IF(DATOS!$G17447&lt;&gt;"EX",0,--(COUNTIFS(nNIA,DATOS!$A17447,nCURSO,DATOS!$D17447,nESPEC,DATOS!$E17447,nASIG,DATOS!$I17447,nEVAL,"OR")=0))</f>
      </c>
      <c r="I17447">
        <f>IF(DATOS!$I17447="","",IFERROR(VLOOKUP(DATOS!$I17447,CONFIG_ASIGNATURAS!$B$2:$J$91,9,FALSE()),""))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IF(DATOS!$A17448="",0,IF(CONFIG_METADATA!$B$4&lt;&gt;"OR+EX",--(DATOS!$G17448=CONFIG_METADATA!$B$4),IF(DATOS!$G17448="EX",1,IF(DATOS!$G17448="OR",--(COUNTIFS(nNIA,DATOS!$A17448,nCURSO,DATOS!$D17448,nESPEC,DATOS!$E17448,nASIG,DATOS!$I17448,nEVAL,"EX")=0),0))))</f>
      </c>
      <c r="H17448">
        <f>IF(DATOS!$G17448&lt;&gt;"EX",0,--(COUNTIFS(nNIA,DATOS!$A17448,nCURSO,DATOS!$D17448,nESPEC,DATOS!$E17448,nASIG,DATOS!$I17448,nEVAL,"OR")=0))</f>
      </c>
      <c r="I17448">
        <f>IF(DATOS!$I17448="","",IFERROR(VLOOKUP(DATOS!$I17448,CONFIG_ASIGNATURAS!$B$2:$J$91,9,FALSE()),""))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IF(DATOS!$A17449="",0,IF(CONFIG_METADATA!$B$4&lt;&gt;"OR+EX",--(DATOS!$G17449=CONFIG_METADATA!$B$4),IF(DATOS!$G17449="EX",1,IF(DATOS!$G17449="OR",--(COUNTIFS(nNIA,DATOS!$A17449,nCURSO,DATOS!$D17449,nESPEC,DATOS!$E17449,nASIG,DATOS!$I17449,nEVAL,"EX")=0),0))))</f>
      </c>
      <c r="H17449">
        <f>IF(DATOS!$G17449&lt;&gt;"EX",0,--(COUNTIFS(nNIA,DATOS!$A17449,nCURSO,DATOS!$D17449,nESPEC,DATOS!$E17449,nASIG,DATOS!$I17449,nEVAL,"OR")=0))</f>
      </c>
      <c r="I17449">
        <f>IF(DATOS!$I17449="","",IFERROR(VLOOKUP(DATOS!$I17449,CONFIG_ASIGNATURAS!$B$2:$J$91,9,FALSE()),""))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IF(DATOS!$A17450="",0,IF(CONFIG_METADATA!$B$4&lt;&gt;"OR+EX",--(DATOS!$G17450=CONFIG_METADATA!$B$4),IF(DATOS!$G17450="EX",1,IF(DATOS!$G17450="OR",--(COUNTIFS(nNIA,DATOS!$A17450,nCURSO,DATOS!$D17450,nESPEC,DATOS!$E17450,nASIG,DATOS!$I17450,nEVAL,"EX")=0),0))))</f>
      </c>
      <c r="H17450">
        <f>IF(DATOS!$G17450&lt;&gt;"EX",0,--(COUNTIFS(nNIA,DATOS!$A17450,nCURSO,DATOS!$D17450,nESPEC,DATOS!$E17450,nASIG,DATOS!$I17450,nEVAL,"OR")=0))</f>
      </c>
      <c r="I17450">
        <f>IF(DATOS!$I17450="","",IFERROR(VLOOKUP(DATOS!$I17450,CONFIG_ASIGNATURAS!$B$2:$J$91,9,FALSE()),""))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IF(DATOS!$A17451="",0,IF(CONFIG_METADATA!$B$4&lt;&gt;"OR+EX",--(DATOS!$G17451=CONFIG_METADATA!$B$4),IF(DATOS!$G17451="EX",1,IF(DATOS!$G17451="OR",--(COUNTIFS(nNIA,DATOS!$A17451,nCURSO,DATOS!$D17451,nESPEC,DATOS!$E17451,nASIG,DATOS!$I17451,nEVAL,"EX")=0),0))))</f>
      </c>
      <c r="H17451">
        <f>IF(DATOS!$G17451&lt;&gt;"EX",0,--(COUNTIFS(nNIA,DATOS!$A17451,nCURSO,DATOS!$D17451,nESPEC,DATOS!$E17451,nASIG,DATOS!$I17451,nEVAL,"OR")=0))</f>
      </c>
      <c r="I17451">
        <f>IF(DATOS!$I17451="","",IFERROR(VLOOKUP(DATOS!$I17451,CONFIG_ASIGNATURAS!$B$2:$J$91,9,FALSE()),""))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IF(DATOS!$A17452="",0,IF(CONFIG_METADATA!$B$4&lt;&gt;"OR+EX",--(DATOS!$G17452=CONFIG_METADATA!$B$4),IF(DATOS!$G17452="EX",1,IF(DATOS!$G17452="OR",--(COUNTIFS(nNIA,DATOS!$A17452,nCURSO,DATOS!$D17452,nESPEC,DATOS!$E17452,nASIG,DATOS!$I17452,nEVAL,"EX")=0),0))))</f>
      </c>
      <c r="H17452">
        <f>IF(DATOS!$G17452&lt;&gt;"EX",0,--(COUNTIFS(nNIA,DATOS!$A17452,nCURSO,DATOS!$D17452,nESPEC,DATOS!$E17452,nASIG,DATOS!$I17452,nEVAL,"OR")=0))</f>
      </c>
      <c r="I17452">
        <f>IF(DATOS!$I17452="","",IFERROR(VLOOKUP(DATOS!$I17452,CONFIG_ASIGNATURAS!$B$2:$J$91,9,FALSE()),""))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IF(DATOS!$A17453="",0,IF(CONFIG_METADATA!$B$4&lt;&gt;"OR+EX",--(DATOS!$G17453=CONFIG_METADATA!$B$4),IF(DATOS!$G17453="EX",1,IF(DATOS!$G17453="OR",--(COUNTIFS(nNIA,DATOS!$A17453,nCURSO,DATOS!$D17453,nESPEC,DATOS!$E17453,nASIG,DATOS!$I17453,nEVAL,"EX")=0),0))))</f>
      </c>
      <c r="H17453">
        <f>IF(DATOS!$G17453&lt;&gt;"EX",0,--(COUNTIFS(nNIA,DATOS!$A17453,nCURSO,DATOS!$D17453,nESPEC,DATOS!$E17453,nASIG,DATOS!$I17453,nEVAL,"OR")=0))</f>
      </c>
      <c r="I17453">
        <f>IF(DATOS!$I17453="","",IFERROR(VLOOKUP(DATOS!$I17453,CONFIG_ASIGNATURAS!$B$2:$J$91,9,FALSE()),""))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IF(DATOS!$A17454="",0,IF(CONFIG_METADATA!$B$4&lt;&gt;"OR+EX",--(DATOS!$G17454=CONFIG_METADATA!$B$4),IF(DATOS!$G17454="EX",1,IF(DATOS!$G17454="OR",--(COUNTIFS(nNIA,DATOS!$A17454,nCURSO,DATOS!$D17454,nESPEC,DATOS!$E17454,nASIG,DATOS!$I17454,nEVAL,"EX")=0),0))))</f>
      </c>
      <c r="H17454">
        <f>IF(DATOS!$G17454&lt;&gt;"EX",0,--(COUNTIFS(nNIA,DATOS!$A17454,nCURSO,DATOS!$D17454,nESPEC,DATOS!$E17454,nASIG,DATOS!$I17454,nEVAL,"OR")=0))</f>
      </c>
      <c r="I17454">
        <f>IF(DATOS!$I17454="","",IFERROR(VLOOKUP(DATOS!$I17454,CONFIG_ASIGNATURAS!$B$2:$J$91,9,FALSE()),""))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IF(DATOS!$A17455="",0,IF(CONFIG_METADATA!$B$4&lt;&gt;"OR+EX",--(DATOS!$G17455=CONFIG_METADATA!$B$4),IF(DATOS!$G17455="EX",1,IF(DATOS!$G17455="OR",--(COUNTIFS(nNIA,DATOS!$A17455,nCURSO,DATOS!$D17455,nESPEC,DATOS!$E17455,nASIG,DATOS!$I17455,nEVAL,"EX")=0),0))))</f>
      </c>
      <c r="H17455">
        <f>IF(DATOS!$G17455&lt;&gt;"EX",0,--(COUNTIFS(nNIA,DATOS!$A17455,nCURSO,DATOS!$D17455,nESPEC,DATOS!$E17455,nASIG,DATOS!$I17455,nEVAL,"OR")=0))</f>
      </c>
      <c r="I17455">
        <f>IF(DATOS!$I17455="","",IFERROR(VLOOKUP(DATOS!$I17455,CONFIG_ASIGNATURAS!$B$2:$J$91,9,FALSE()),""))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IF(DATOS!$A17456="",0,IF(CONFIG_METADATA!$B$4&lt;&gt;"OR+EX",--(DATOS!$G17456=CONFIG_METADATA!$B$4),IF(DATOS!$G17456="EX",1,IF(DATOS!$G17456="OR",--(COUNTIFS(nNIA,DATOS!$A17456,nCURSO,DATOS!$D17456,nESPEC,DATOS!$E17456,nASIG,DATOS!$I17456,nEVAL,"EX")=0),0))))</f>
      </c>
      <c r="H17456">
        <f>IF(DATOS!$G17456&lt;&gt;"EX",0,--(COUNTIFS(nNIA,DATOS!$A17456,nCURSO,DATOS!$D17456,nESPEC,DATOS!$E17456,nASIG,DATOS!$I17456,nEVAL,"OR")=0))</f>
      </c>
      <c r="I17456">
        <f>IF(DATOS!$I17456="","",IFERROR(VLOOKUP(DATOS!$I17456,CONFIG_ASIGNATURAS!$B$2:$J$91,9,FALSE()),""))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IF(DATOS!$A17457="",0,IF(CONFIG_METADATA!$B$4&lt;&gt;"OR+EX",--(DATOS!$G17457=CONFIG_METADATA!$B$4),IF(DATOS!$G17457="EX",1,IF(DATOS!$G17457="OR",--(COUNTIFS(nNIA,DATOS!$A17457,nCURSO,DATOS!$D17457,nESPEC,DATOS!$E17457,nASIG,DATOS!$I17457,nEVAL,"EX")=0),0))))</f>
      </c>
      <c r="H17457">
        <f>IF(DATOS!$G17457&lt;&gt;"EX",0,--(COUNTIFS(nNIA,DATOS!$A17457,nCURSO,DATOS!$D17457,nESPEC,DATOS!$E17457,nASIG,DATOS!$I17457,nEVAL,"OR")=0))</f>
      </c>
      <c r="I17457">
        <f>IF(DATOS!$I17457="","",IFERROR(VLOOKUP(DATOS!$I17457,CONFIG_ASIGNATURAS!$B$2:$J$91,9,FALSE()),""))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IF(DATOS!$A17458="",0,IF(CONFIG_METADATA!$B$4&lt;&gt;"OR+EX",--(DATOS!$G17458=CONFIG_METADATA!$B$4),IF(DATOS!$G17458="EX",1,IF(DATOS!$G17458="OR",--(COUNTIFS(nNIA,DATOS!$A17458,nCURSO,DATOS!$D17458,nESPEC,DATOS!$E17458,nASIG,DATOS!$I17458,nEVAL,"EX")=0),0))))</f>
      </c>
      <c r="H17458">
        <f>IF(DATOS!$G17458&lt;&gt;"EX",0,--(COUNTIFS(nNIA,DATOS!$A17458,nCURSO,DATOS!$D17458,nESPEC,DATOS!$E17458,nASIG,DATOS!$I17458,nEVAL,"OR")=0))</f>
      </c>
      <c r="I17458">
        <f>IF(DATOS!$I17458="","",IFERROR(VLOOKUP(DATOS!$I17458,CONFIG_ASIGNATURAS!$B$2:$J$91,9,FALSE()),""))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IF(DATOS!$A17459="",0,IF(CONFIG_METADATA!$B$4&lt;&gt;"OR+EX",--(DATOS!$G17459=CONFIG_METADATA!$B$4),IF(DATOS!$G17459="EX",1,IF(DATOS!$G17459="OR",--(COUNTIFS(nNIA,DATOS!$A17459,nCURSO,DATOS!$D17459,nESPEC,DATOS!$E17459,nASIG,DATOS!$I17459,nEVAL,"EX")=0),0))))</f>
      </c>
      <c r="H17459">
        <f>IF(DATOS!$G17459&lt;&gt;"EX",0,--(COUNTIFS(nNIA,DATOS!$A17459,nCURSO,DATOS!$D17459,nESPEC,DATOS!$E17459,nASIG,DATOS!$I17459,nEVAL,"OR")=0))</f>
      </c>
      <c r="I17459">
        <f>IF(DATOS!$I17459="","",IFERROR(VLOOKUP(DATOS!$I17459,CONFIG_ASIGNATURAS!$B$2:$J$91,9,FALSE()),""))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IF(DATOS!$A17460="",0,IF(CONFIG_METADATA!$B$4&lt;&gt;"OR+EX",--(DATOS!$G17460=CONFIG_METADATA!$B$4),IF(DATOS!$G17460="EX",1,IF(DATOS!$G17460="OR",--(COUNTIFS(nNIA,DATOS!$A17460,nCURSO,DATOS!$D17460,nESPEC,DATOS!$E17460,nASIG,DATOS!$I17460,nEVAL,"EX")=0),0))))</f>
      </c>
      <c r="H17460">
        <f>IF(DATOS!$G17460&lt;&gt;"EX",0,--(COUNTIFS(nNIA,DATOS!$A17460,nCURSO,DATOS!$D17460,nESPEC,DATOS!$E17460,nASIG,DATOS!$I17460,nEVAL,"OR")=0))</f>
      </c>
      <c r="I17460">
        <f>IF(DATOS!$I17460="","",IFERROR(VLOOKUP(DATOS!$I17460,CONFIG_ASIGNATURAS!$B$2:$J$91,9,FALSE()),""))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IF(DATOS!$A17461="",0,IF(CONFIG_METADATA!$B$4&lt;&gt;"OR+EX",--(DATOS!$G17461=CONFIG_METADATA!$B$4),IF(DATOS!$G17461="EX",1,IF(DATOS!$G17461="OR",--(COUNTIFS(nNIA,DATOS!$A17461,nCURSO,DATOS!$D17461,nESPEC,DATOS!$E17461,nASIG,DATOS!$I17461,nEVAL,"EX")=0),0))))</f>
      </c>
      <c r="H17461">
        <f>IF(DATOS!$G17461&lt;&gt;"EX",0,--(COUNTIFS(nNIA,DATOS!$A17461,nCURSO,DATOS!$D17461,nESPEC,DATOS!$E17461,nASIG,DATOS!$I17461,nEVAL,"OR")=0))</f>
      </c>
      <c r="I17461">
        <f>IF(DATOS!$I17461="","",IFERROR(VLOOKUP(DATOS!$I17461,CONFIG_ASIGNATURAS!$B$2:$J$91,9,FALSE()),""))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IF(DATOS!$A17462="",0,IF(CONFIG_METADATA!$B$4&lt;&gt;"OR+EX",--(DATOS!$G17462=CONFIG_METADATA!$B$4),IF(DATOS!$G17462="EX",1,IF(DATOS!$G17462="OR",--(COUNTIFS(nNIA,DATOS!$A17462,nCURSO,DATOS!$D17462,nESPEC,DATOS!$E17462,nASIG,DATOS!$I17462,nEVAL,"EX")=0),0))))</f>
      </c>
      <c r="H17462">
        <f>IF(DATOS!$G17462&lt;&gt;"EX",0,--(COUNTIFS(nNIA,DATOS!$A17462,nCURSO,DATOS!$D17462,nESPEC,DATOS!$E17462,nASIG,DATOS!$I17462,nEVAL,"OR")=0))</f>
      </c>
      <c r="I17462">
        <f>IF(DATOS!$I17462="","",IFERROR(VLOOKUP(DATOS!$I17462,CONFIG_ASIGNATURAS!$B$2:$J$91,9,FALSE()),""))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IF(DATOS!$A17463="",0,IF(CONFIG_METADATA!$B$4&lt;&gt;"OR+EX",--(DATOS!$G17463=CONFIG_METADATA!$B$4),IF(DATOS!$G17463="EX",1,IF(DATOS!$G17463="OR",--(COUNTIFS(nNIA,DATOS!$A17463,nCURSO,DATOS!$D17463,nESPEC,DATOS!$E17463,nASIG,DATOS!$I17463,nEVAL,"EX")=0),0))))</f>
      </c>
      <c r="H17463">
        <f>IF(DATOS!$G17463&lt;&gt;"EX",0,--(COUNTIFS(nNIA,DATOS!$A17463,nCURSO,DATOS!$D17463,nESPEC,DATOS!$E17463,nASIG,DATOS!$I17463,nEVAL,"OR")=0))</f>
      </c>
      <c r="I17463">
        <f>IF(DATOS!$I17463="","",IFERROR(VLOOKUP(DATOS!$I17463,CONFIG_ASIGNATURAS!$B$2:$J$91,9,FALSE()),""))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IF(DATOS!$A17464="",0,IF(CONFIG_METADATA!$B$4&lt;&gt;"OR+EX",--(DATOS!$G17464=CONFIG_METADATA!$B$4),IF(DATOS!$G17464="EX",1,IF(DATOS!$G17464="OR",--(COUNTIFS(nNIA,DATOS!$A17464,nCURSO,DATOS!$D17464,nESPEC,DATOS!$E17464,nASIG,DATOS!$I17464,nEVAL,"EX")=0),0))))</f>
      </c>
      <c r="H17464">
        <f>IF(DATOS!$G17464&lt;&gt;"EX",0,--(COUNTIFS(nNIA,DATOS!$A17464,nCURSO,DATOS!$D17464,nESPEC,DATOS!$E17464,nASIG,DATOS!$I17464,nEVAL,"OR")=0))</f>
      </c>
      <c r="I17464">
        <f>IF(DATOS!$I17464="","",IFERROR(VLOOKUP(DATOS!$I17464,CONFIG_ASIGNATURAS!$B$2:$J$91,9,FALSE()),""))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IF(DATOS!$A17465="",0,IF(CONFIG_METADATA!$B$4&lt;&gt;"OR+EX",--(DATOS!$G17465=CONFIG_METADATA!$B$4),IF(DATOS!$G17465="EX",1,IF(DATOS!$G17465="OR",--(COUNTIFS(nNIA,DATOS!$A17465,nCURSO,DATOS!$D17465,nESPEC,DATOS!$E17465,nASIG,DATOS!$I17465,nEVAL,"EX")=0),0))))</f>
      </c>
      <c r="H17465">
        <f>IF(DATOS!$G17465&lt;&gt;"EX",0,--(COUNTIFS(nNIA,DATOS!$A17465,nCURSO,DATOS!$D17465,nESPEC,DATOS!$E17465,nASIG,DATOS!$I17465,nEVAL,"OR")=0))</f>
      </c>
      <c r="I17465">
        <f>IF(DATOS!$I17465="","",IFERROR(VLOOKUP(DATOS!$I17465,CONFIG_ASIGNATURAS!$B$2:$J$91,9,FALSE()),""))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IF(DATOS!$A17466="",0,IF(CONFIG_METADATA!$B$4&lt;&gt;"OR+EX",--(DATOS!$G17466=CONFIG_METADATA!$B$4),IF(DATOS!$G17466="EX",1,IF(DATOS!$G17466="OR",--(COUNTIFS(nNIA,DATOS!$A17466,nCURSO,DATOS!$D17466,nESPEC,DATOS!$E17466,nASIG,DATOS!$I17466,nEVAL,"EX")=0),0))))</f>
      </c>
      <c r="H17466">
        <f>IF(DATOS!$G17466&lt;&gt;"EX",0,--(COUNTIFS(nNIA,DATOS!$A17466,nCURSO,DATOS!$D17466,nESPEC,DATOS!$E17466,nASIG,DATOS!$I17466,nEVAL,"OR")=0))</f>
      </c>
      <c r="I17466">
        <f>IF(DATOS!$I17466="","",IFERROR(VLOOKUP(DATOS!$I17466,CONFIG_ASIGNATURAS!$B$2:$J$91,9,FALSE()),""))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IF(DATOS!$A17467="",0,IF(CONFIG_METADATA!$B$4&lt;&gt;"OR+EX",--(DATOS!$G17467=CONFIG_METADATA!$B$4),IF(DATOS!$G17467="EX",1,IF(DATOS!$G17467="OR",--(COUNTIFS(nNIA,DATOS!$A17467,nCURSO,DATOS!$D17467,nESPEC,DATOS!$E17467,nASIG,DATOS!$I17467,nEVAL,"EX")=0),0))))</f>
      </c>
      <c r="H17467">
        <f>IF(DATOS!$G17467&lt;&gt;"EX",0,--(COUNTIFS(nNIA,DATOS!$A17467,nCURSO,DATOS!$D17467,nESPEC,DATOS!$E17467,nASIG,DATOS!$I17467,nEVAL,"OR")=0))</f>
      </c>
      <c r="I17467">
        <f>IF(DATOS!$I17467="","",IFERROR(VLOOKUP(DATOS!$I17467,CONFIG_ASIGNATURAS!$B$2:$J$91,9,FALSE()),""))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IF(DATOS!$A17468="",0,IF(CONFIG_METADATA!$B$4&lt;&gt;"OR+EX",--(DATOS!$G17468=CONFIG_METADATA!$B$4),IF(DATOS!$G17468="EX",1,IF(DATOS!$G17468="OR",--(COUNTIFS(nNIA,DATOS!$A17468,nCURSO,DATOS!$D17468,nESPEC,DATOS!$E17468,nASIG,DATOS!$I17468,nEVAL,"EX")=0),0))))</f>
      </c>
      <c r="H17468">
        <f>IF(DATOS!$G17468&lt;&gt;"EX",0,--(COUNTIFS(nNIA,DATOS!$A17468,nCURSO,DATOS!$D17468,nESPEC,DATOS!$E17468,nASIG,DATOS!$I17468,nEVAL,"OR")=0))</f>
      </c>
      <c r="I17468">
        <f>IF(DATOS!$I17468="","",IFERROR(VLOOKUP(DATOS!$I17468,CONFIG_ASIGNATURAS!$B$2:$J$91,9,FALSE()),""))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IF(DATOS!$A17469="",0,IF(CONFIG_METADATA!$B$4&lt;&gt;"OR+EX",--(DATOS!$G17469=CONFIG_METADATA!$B$4),IF(DATOS!$G17469="EX",1,IF(DATOS!$G17469="OR",--(COUNTIFS(nNIA,DATOS!$A17469,nCURSO,DATOS!$D17469,nESPEC,DATOS!$E17469,nASIG,DATOS!$I17469,nEVAL,"EX")=0),0))))</f>
      </c>
      <c r="H17469">
        <f>IF(DATOS!$G17469&lt;&gt;"EX",0,--(COUNTIFS(nNIA,DATOS!$A17469,nCURSO,DATOS!$D17469,nESPEC,DATOS!$E17469,nASIG,DATOS!$I17469,nEVAL,"OR")=0))</f>
      </c>
      <c r="I17469">
        <f>IF(DATOS!$I17469="","",IFERROR(VLOOKUP(DATOS!$I17469,CONFIG_ASIGNATURAS!$B$2:$J$91,9,FALSE()),""))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IF(DATOS!$A17470="",0,IF(CONFIG_METADATA!$B$4&lt;&gt;"OR+EX",--(DATOS!$G17470=CONFIG_METADATA!$B$4),IF(DATOS!$G17470="EX",1,IF(DATOS!$G17470="OR",--(COUNTIFS(nNIA,DATOS!$A17470,nCURSO,DATOS!$D17470,nESPEC,DATOS!$E17470,nASIG,DATOS!$I17470,nEVAL,"EX")=0),0))))</f>
      </c>
      <c r="H17470">
        <f>IF(DATOS!$G17470&lt;&gt;"EX",0,--(COUNTIFS(nNIA,DATOS!$A17470,nCURSO,DATOS!$D17470,nESPEC,DATOS!$E17470,nASIG,DATOS!$I17470,nEVAL,"OR")=0))</f>
      </c>
      <c r="I17470">
        <f>IF(DATOS!$I17470="","",IFERROR(VLOOKUP(DATOS!$I17470,CONFIG_ASIGNATURAS!$B$2:$J$91,9,FALSE()),""))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IF(DATOS!$A17471="",0,IF(CONFIG_METADATA!$B$4&lt;&gt;"OR+EX",--(DATOS!$G17471=CONFIG_METADATA!$B$4),IF(DATOS!$G17471="EX",1,IF(DATOS!$G17471="OR",--(COUNTIFS(nNIA,DATOS!$A17471,nCURSO,DATOS!$D17471,nESPEC,DATOS!$E17471,nASIG,DATOS!$I17471,nEVAL,"EX")=0),0))))</f>
      </c>
      <c r="H17471">
        <f>IF(DATOS!$G17471&lt;&gt;"EX",0,--(COUNTIFS(nNIA,DATOS!$A17471,nCURSO,DATOS!$D17471,nESPEC,DATOS!$E17471,nASIG,DATOS!$I17471,nEVAL,"OR")=0))</f>
      </c>
      <c r="I17471">
        <f>IF(DATOS!$I17471="","",IFERROR(VLOOKUP(DATOS!$I17471,CONFIG_ASIGNATURAS!$B$2:$J$91,9,FALSE()),""))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IF(DATOS!$A17472="",0,IF(CONFIG_METADATA!$B$4&lt;&gt;"OR+EX",--(DATOS!$G17472=CONFIG_METADATA!$B$4),IF(DATOS!$G17472="EX",1,IF(DATOS!$G17472="OR",--(COUNTIFS(nNIA,DATOS!$A17472,nCURSO,DATOS!$D17472,nESPEC,DATOS!$E17472,nASIG,DATOS!$I17472,nEVAL,"EX")=0),0))))</f>
      </c>
      <c r="H17472">
        <f>IF(DATOS!$G17472&lt;&gt;"EX",0,--(COUNTIFS(nNIA,DATOS!$A17472,nCURSO,DATOS!$D17472,nESPEC,DATOS!$E17472,nASIG,DATOS!$I17472,nEVAL,"OR")=0))</f>
      </c>
      <c r="I17472">
        <f>IF(DATOS!$I17472="","",IFERROR(VLOOKUP(DATOS!$I17472,CONFIG_ASIGNATURAS!$B$2:$J$91,9,FALSE()),""))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IF(DATOS!$A17473="",0,IF(CONFIG_METADATA!$B$4&lt;&gt;"OR+EX",--(DATOS!$G17473=CONFIG_METADATA!$B$4),IF(DATOS!$G17473="EX",1,IF(DATOS!$G17473="OR",--(COUNTIFS(nNIA,DATOS!$A17473,nCURSO,DATOS!$D17473,nESPEC,DATOS!$E17473,nASIG,DATOS!$I17473,nEVAL,"EX")=0),0))))</f>
      </c>
      <c r="H17473">
        <f>IF(DATOS!$G17473&lt;&gt;"EX",0,--(COUNTIFS(nNIA,DATOS!$A17473,nCURSO,DATOS!$D17473,nESPEC,DATOS!$E17473,nASIG,DATOS!$I17473,nEVAL,"OR")=0))</f>
      </c>
      <c r="I17473">
        <f>IF(DATOS!$I17473="","",IFERROR(VLOOKUP(DATOS!$I17473,CONFIG_ASIGNATURAS!$B$2:$J$91,9,FALSE()),""))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IF(DATOS!$A17474="",0,IF(CONFIG_METADATA!$B$4&lt;&gt;"OR+EX",--(DATOS!$G17474=CONFIG_METADATA!$B$4),IF(DATOS!$G17474="EX",1,IF(DATOS!$G17474="OR",--(COUNTIFS(nNIA,DATOS!$A17474,nCURSO,DATOS!$D17474,nESPEC,DATOS!$E17474,nASIG,DATOS!$I17474,nEVAL,"EX")=0),0))))</f>
      </c>
      <c r="H17474">
        <f>IF(DATOS!$G17474&lt;&gt;"EX",0,--(COUNTIFS(nNIA,DATOS!$A17474,nCURSO,DATOS!$D17474,nESPEC,DATOS!$E17474,nASIG,DATOS!$I17474,nEVAL,"OR")=0))</f>
      </c>
      <c r="I17474">
        <f>IF(DATOS!$I17474="","",IFERROR(VLOOKUP(DATOS!$I17474,CONFIG_ASIGNATURAS!$B$2:$J$91,9,FALSE()),""))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IF(DATOS!$A17475="",0,IF(CONFIG_METADATA!$B$4&lt;&gt;"OR+EX",--(DATOS!$G17475=CONFIG_METADATA!$B$4),IF(DATOS!$G17475="EX",1,IF(DATOS!$G17475="OR",--(COUNTIFS(nNIA,DATOS!$A17475,nCURSO,DATOS!$D17475,nESPEC,DATOS!$E17475,nASIG,DATOS!$I17475,nEVAL,"EX")=0),0))))</f>
      </c>
      <c r="H17475">
        <f>IF(DATOS!$G17475&lt;&gt;"EX",0,--(COUNTIFS(nNIA,DATOS!$A17475,nCURSO,DATOS!$D17475,nESPEC,DATOS!$E17475,nASIG,DATOS!$I17475,nEVAL,"OR")=0))</f>
      </c>
      <c r="I17475">
        <f>IF(DATOS!$I17475="","",IFERROR(VLOOKUP(DATOS!$I17475,CONFIG_ASIGNATURAS!$B$2:$J$91,9,FALSE()),""))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IF(DATOS!$A17476="",0,IF(CONFIG_METADATA!$B$4&lt;&gt;"OR+EX",--(DATOS!$G17476=CONFIG_METADATA!$B$4),IF(DATOS!$G17476="EX",1,IF(DATOS!$G17476="OR",--(COUNTIFS(nNIA,DATOS!$A17476,nCURSO,DATOS!$D17476,nESPEC,DATOS!$E17476,nASIG,DATOS!$I17476,nEVAL,"EX")=0),0))))</f>
      </c>
      <c r="H17476">
        <f>IF(DATOS!$G17476&lt;&gt;"EX",0,--(COUNTIFS(nNIA,DATOS!$A17476,nCURSO,DATOS!$D17476,nESPEC,DATOS!$E17476,nASIG,DATOS!$I17476,nEVAL,"OR")=0))</f>
      </c>
      <c r="I17476">
        <f>IF(DATOS!$I17476="","",IFERROR(VLOOKUP(DATOS!$I17476,CONFIG_ASIGNATURAS!$B$2:$J$91,9,FALSE()),""))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IF(DATOS!$A17477="",0,IF(CONFIG_METADATA!$B$4&lt;&gt;"OR+EX",--(DATOS!$G17477=CONFIG_METADATA!$B$4),IF(DATOS!$G17477="EX",1,IF(DATOS!$G17477="OR",--(COUNTIFS(nNIA,DATOS!$A17477,nCURSO,DATOS!$D17477,nESPEC,DATOS!$E17477,nASIG,DATOS!$I17477,nEVAL,"EX")=0),0))))</f>
      </c>
      <c r="H17477">
        <f>IF(DATOS!$G17477&lt;&gt;"EX",0,--(COUNTIFS(nNIA,DATOS!$A17477,nCURSO,DATOS!$D17477,nESPEC,DATOS!$E17477,nASIG,DATOS!$I17477,nEVAL,"OR")=0))</f>
      </c>
      <c r="I17477">
        <f>IF(DATOS!$I17477="","",IFERROR(VLOOKUP(DATOS!$I17477,CONFIG_ASIGNATURAS!$B$2:$J$91,9,FALSE()),""))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IF(DATOS!$A17478="",0,IF(CONFIG_METADATA!$B$4&lt;&gt;"OR+EX",--(DATOS!$G17478=CONFIG_METADATA!$B$4),IF(DATOS!$G17478="EX",1,IF(DATOS!$G17478="OR",--(COUNTIFS(nNIA,DATOS!$A17478,nCURSO,DATOS!$D17478,nESPEC,DATOS!$E17478,nASIG,DATOS!$I17478,nEVAL,"EX")=0),0))))</f>
      </c>
      <c r="H17478">
        <f>IF(DATOS!$G17478&lt;&gt;"EX",0,--(COUNTIFS(nNIA,DATOS!$A17478,nCURSO,DATOS!$D17478,nESPEC,DATOS!$E17478,nASIG,DATOS!$I17478,nEVAL,"OR")=0))</f>
      </c>
      <c r="I17478">
        <f>IF(DATOS!$I17478="","",IFERROR(VLOOKUP(DATOS!$I17478,CONFIG_ASIGNATURAS!$B$2:$J$91,9,FALSE()),""))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IF(DATOS!$A17479="",0,IF(CONFIG_METADATA!$B$4&lt;&gt;"OR+EX",--(DATOS!$G17479=CONFIG_METADATA!$B$4),IF(DATOS!$G17479="EX",1,IF(DATOS!$G17479="OR",--(COUNTIFS(nNIA,DATOS!$A17479,nCURSO,DATOS!$D17479,nESPEC,DATOS!$E17479,nASIG,DATOS!$I17479,nEVAL,"EX")=0),0))))</f>
      </c>
      <c r="H17479">
        <f>IF(DATOS!$G17479&lt;&gt;"EX",0,--(COUNTIFS(nNIA,DATOS!$A17479,nCURSO,DATOS!$D17479,nESPEC,DATOS!$E17479,nASIG,DATOS!$I17479,nEVAL,"OR")=0))</f>
      </c>
      <c r="I17479">
        <f>IF(DATOS!$I17479="","",IFERROR(VLOOKUP(DATOS!$I17479,CONFIG_ASIGNATURAS!$B$2:$J$91,9,FALSE()),""))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IF(DATOS!$A17480="",0,IF(CONFIG_METADATA!$B$4&lt;&gt;"OR+EX",--(DATOS!$G17480=CONFIG_METADATA!$B$4),IF(DATOS!$G17480="EX",1,IF(DATOS!$G17480="OR",--(COUNTIFS(nNIA,DATOS!$A17480,nCURSO,DATOS!$D17480,nESPEC,DATOS!$E17480,nASIG,DATOS!$I17480,nEVAL,"EX")=0),0))))</f>
      </c>
      <c r="H17480">
        <f>IF(DATOS!$G17480&lt;&gt;"EX",0,--(COUNTIFS(nNIA,DATOS!$A17480,nCURSO,DATOS!$D17480,nESPEC,DATOS!$E17480,nASIG,DATOS!$I17480,nEVAL,"OR")=0))</f>
      </c>
      <c r="I17480">
        <f>IF(DATOS!$I17480="","",IFERROR(VLOOKUP(DATOS!$I17480,CONFIG_ASIGNATURAS!$B$2:$J$91,9,FALSE()),""))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IF(DATOS!$A17481="",0,IF(CONFIG_METADATA!$B$4&lt;&gt;"OR+EX",--(DATOS!$G17481=CONFIG_METADATA!$B$4),IF(DATOS!$G17481="EX",1,IF(DATOS!$G17481="OR",--(COUNTIFS(nNIA,DATOS!$A17481,nCURSO,DATOS!$D17481,nESPEC,DATOS!$E17481,nASIG,DATOS!$I17481,nEVAL,"EX")=0),0))))</f>
      </c>
      <c r="H17481">
        <f>IF(DATOS!$G17481&lt;&gt;"EX",0,--(COUNTIFS(nNIA,DATOS!$A17481,nCURSO,DATOS!$D17481,nESPEC,DATOS!$E17481,nASIG,DATOS!$I17481,nEVAL,"OR")=0))</f>
      </c>
      <c r="I17481">
        <f>IF(DATOS!$I17481="","",IFERROR(VLOOKUP(DATOS!$I17481,CONFIG_ASIGNATURAS!$B$2:$J$91,9,FALSE()),""))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IF(DATOS!$A17482="",0,IF(CONFIG_METADATA!$B$4&lt;&gt;"OR+EX",--(DATOS!$G17482=CONFIG_METADATA!$B$4),IF(DATOS!$G17482="EX",1,IF(DATOS!$G17482="OR",--(COUNTIFS(nNIA,DATOS!$A17482,nCURSO,DATOS!$D17482,nESPEC,DATOS!$E17482,nASIG,DATOS!$I17482,nEVAL,"EX")=0),0))))</f>
      </c>
      <c r="H17482">
        <f>IF(DATOS!$G17482&lt;&gt;"EX",0,--(COUNTIFS(nNIA,DATOS!$A17482,nCURSO,DATOS!$D17482,nESPEC,DATOS!$E17482,nASIG,DATOS!$I17482,nEVAL,"OR")=0))</f>
      </c>
      <c r="I17482">
        <f>IF(DATOS!$I17482="","",IFERROR(VLOOKUP(DATOS!$I17482,CONFIG_ASIGNATURAS!$B$2:$J$91,9,FALSE()),""))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IF(DATOS!$A17483="",0,IF(CONFIG_METADATA!$B$4&lt;&gt;"OR+EX",--(DATOS!$G17483=CONFIG_METADATA!$B$4),IF(DATOS!$G17483="EX",1,IF(DATOS!$G17483="OR",--(COUNTIFS(nNIA,DATOS!$A17483,nCURSO,DATOS!$D17483,nESPEC,DATOS!$E17483,nASIG,DATOS!$I17483,nEVAL,"EX")=0),0))))</f>
      </c>
      <c r="H17483">
        <f>IF(DATOS!$G17483&lt;&gt;"EX",0,--(COUNTIFS(nNIA,DATOS!$A17483,nCURSO,DATOS!$D17483,nESPEC,DATOS!$E17483,nASIG,DATOS!$I17483,nEVAL,"OR")=0))</f>
      </c>
      <c r="I17483">
        <f>IF(DATOS!$I17483="","",IFERROR(VLOOKUP(DATOS!$I17483,CONFIG_ASIGNATURAS!$B$2:$J$91,9,FALSE()),""))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IF(DATOS!$A17484="",0,IF(CONFIG_METADATA!$B$4&lt;&gt;"OR+EX",--(DATOS!$G17484=CONFIG_METADATA!$B$4),IF(DATOS!$G17484="EX",1,IF(DATOS!$G17484="OR",--(COUNTIFS(nNIA,DATOS!$A17484,nCURSO,DATOS!$D17484,nESPEC,DATOS!$E17484,nASIG,DATOS!$I17484,nEVAL,"EX")=0),0))))</f>
      </c>
      <c r="H17484">
        <f>IF(DATOS!$G17484&lt;&gt;"EX",0,--(COUNTIFS(nNIA,DATOS!$A17484,nCURSO,DATOS!$D17484,nESPEC,DATOS!$E17484,nASIG,DATOS!$I17484,nEVAL,"OR")=0))</f>
      </c>
      <c r="I17484">
        <f>IF(DATOS!$I17484="","",IFERROR(VLOOKUP(DATOS!$I17484,CONFIG_ASIGNATURAS!$B$2:$J$91,9,FALSE()),""))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IF(DATOS!$A17485="",0,IF(CONFIG_METADATA!$B$4&lt;&gt;"OR+EX",--(DATOS!$G17485=CONFIG_METADATA!$B$4),IF(DATOS!$G17485="EX",1,IF(DATOS!$G17485="OR",--(COUNTIFS(nNIA,DATOS!$A17485,nCURSO,DATOS!$D17485,nESPEC,DATOS!$E17485,nASIG,DATOS!$I17485,nEVAL,"EX")=0),0))))</f>
      </c>
      <c r="H17485">
        <f>IF(DATOS!$G17485&lt;&gt;"EX",0,--(COUNTIFS(nNIA,DATOS!$A17485,nCURSO,DATOS!$D17485,nESPEC,DATOS!$E17485,nASIG,DATOS!$I17485,nEVAL,"OR")=0))</f>
      </c>
      <c r="I17485">
        <f>IF(DATOS!$I17485="","",IFERROR(VLOOKUP(DATOS!$I17485,CONFIG_ASIGNATURAS!$B$2:$J$91,9,FALSE()),""))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IF(DATOS!$A17486="",0,IF(CONFIG_METADATA!$B$4&lt;&gt;"OR+EX",--(DATOS!$G17486=CONFIG_METADATA!$B$4),IF(DATOS!$G17486="EX",1,IF(DATOS!$G17486="OR",--(COUNTIFS(nNIA,DATOS!$A17486,nCURSO,DATOS!$D17486,nESPEC,DATOS!$E17486,nASIG,DATOS!$I17486,nEVAL,"EX")=0),0))))</f>
      </c>
      <c r="H17486">
        <f>IF(DATOS!$G17486&lt;&gt;"EX",0,--(COUNTIFS(nNIA,DATOS!$A17486,nCURSO,DATOS!$D17486,nESPEC,DATOS!$E17486,nASIG,DATOS!$I17486,nEVAL,"OR")=0))</f>
      </c>
      <c r="I17486">
        <f>IF(DATOS!$I17486="","",IFERROR(VLOOKUP(DATOS!$I17486,CONFIG_ASIGNATURAS!$B$2:$J$91,9,FALSE()),""))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IF(DATOS!$A17487="",0,IF(CONFIG_METADATA!$B$4&lt;&gt;"OR+EX",--(DATOS!$G17487=CONFIG_METADATA!$B$4),IF(DATOS!$G17487="EX",1,IF(DATOS!$G17487="OR",--(COUNTIFS(nNIA,DATOS!$A17487,nCURSO,DATOS!$D17487,nESPEC,DATOS!$E17487,nASIG,DATOS!$I17487,nEVAL,"EX")=0),0))))</f>
      </c>
      <c r="H17487">
        <f>IF(DATOS!$G17487&lt;&gt;"EX",0,--(COUNTIFS(nNIA,DATOS!$A17487,nCURSO,DATOS!$D17487,nESPEC,DATOS!$E17487,nASIG,DATOS!$I17487,nEVAL,"OR")=0))</f>
      </c>
      <c r="I17487">
        <f>IF(DATOS!$I17487="","",IFERROR(VLOOKUP(DATOS!$I17487,CONFIG_ASIGNATURAS!$B$2:$J$91,9,FALSE()),""))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IF(DATOS!$A17488="",0,IF(CONFIG_METADATA!$B$4&lt;&gt;"OR+EX",--(DATOS!$G17488=CONFIG_METADATA!$B$4),IF(DATOS!$G17488="EX",1,IF(DATOS!$G17488="OR",--(COUNTIFS(nNIA,DATOS!$A17488,nCURSO,DATOS!$D17488,nESPEC,DATOS!$E17488,nASIG,DATOS!$I17488,nEVAL,"EX")=0),0))))</f>
      </c>
      <c r="H17488">
        <f>IF(DATOS!$G17488&lt;&gt;"EX",0,--(COUNTIFS(nNIA,DATOS!$A17488,nCURSO,DATOS!$D17488,nESPEC,DATOS!$E17488,nASIG,DATOS!$I17488,nEVAL,"OR")=0))</f>
      </c>
      <c r="I17488">
        <f>IF(DATOS!$I17488="","",IFERROR(VLOOKUP(DATOS!$I17488,CONFIG_ASIGNATURAS!$B$2:$J$91,9,FALSE()),""))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IF(DATOS!$A17489="",0,IF(CONFIG_METADATA!$B$4&lt;&gt;"OR+EX",--(DATOS!$G17489=CONFIG_METADATA!$B$4),IF(DATOS!$G17489="EX",1,IF(DATOS!$G17489="OR",--(COUNTIFS(nNIA,DATOS!$A17489,nCURSO,DATOS!$D17489,nESPEC,DATOS!$E17489,nASIG,DATOS!$I17489,nEVAL,"EX")=0),0))))</f>
      </c>
      <c r="H17489">
        <f>IF(DATOS!$G17489&lt;&gt;"EX",0,--(COUNTIFS(nNIA,DATOS!$A17489,nCURSO,DATOS!$D17489,nESPEC,DATOS!$E17489,nASIG,DATOS!$I17489,nEVAL,"OR")=0))</f>
      </c>
      <c r="I17489">
        <f>IF(DATOS!$I17489="","",IFERROR(VLOOKUP(DATOS!$I17489,CONFIG_ASIGNATURAS!$B$2:$J$91,9,FALSE()),""))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IF(DATOS!$A17490="",0,IF(CONFIG_METADATA!$B$4&lt;&gt;"OR+EX",--(DATOS!$G17490=CONFIG_METADATA!$B$4),IF(DATOS!$G17490="EX",1,IF(DATOS!$G17490="OR",--(COUNTIFS(nNIA,DATOS!$A17490,nCURSO,DATOS!$D17490,nESPEC,DATOS!$E17490,nASIG,DATOS!$I17490,nEVAL,"EX")=0),0))))</f>
      </c>
      <c r="H17490">
        <f>IF(DATOS!$G17490&lt;&gt;"EX",0,--(COUNTIFS(nNIA,DATOS!$A17490,nCURSO,DATOS!$D17490,nESPEC,DATOS!$E17490,nASIG,DATOS!$I17490,nEVAL,"OR")=0))</f>
      </c>
      <c r="I17490">
        <f>IF(DATOS!$I17490="","",IFERROR(VLOOKUP(DATOS!$I17490,CONFIG_ASIGNATURAS!$B$2:$J$91,9,FALSE()),""))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IF(DATOS!$A17491="",0,IF(CONFIG_METADATA!$B$4&lt;&gt;"OR+EX",--(DATOS!$G17491=CONFIG_METADATA!$B$4),IF(DATOS!$G17491="EX",1,IF(DATOS!$G17491="OR",--(COUNTIFS(nNIA,DATOS!$A17491,nCURSO,DATOS!$D17491,nESPEC,DATOS!$E17491,nASIG,DATOS!$I17491,nEVAL,"EX")=0),0))))</f>
      </c>
      <c r="H17491">
        <f>IF(DATOS!$G17491&lt;&gt;"EX",0,--(COUNTIFS(nNIA,DATOS!$A17491,nCURSO,DATOS!$D17491,nESPEC,DATOS!$E17491,nASIG,DATOS!$I17491,nEVAL,"OR")=0))</f>
      </c>
      <c r="I17491">
        <f>IF(DATOS!$I17491="","",IFERROR(VLOOKUP(DATOS!$I17491,CONFIG_ASIGNATURAS!$B$2:$J$91,9,FALSE()),""))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IF(DATOS!$A17492="",0,IF(CONFIG_METADATA!$B$4&lt;&gt;"OR+EX",--(DATOS!$G17492=CONFIG_METADATA!$B$4),IF(DATOS!$G17492="EX",1,IF(DATOS!$G17492="OR",--(COUNTIFS(nNIA,DATOS!$A17492,nCURSO,DATOS!$D17492,nESPEC,DATOS!$E17492,nASIG,DATOS!$I17492,nEVAL,"EX")=0),0))))</f>
      </c>
      <c r="H17492">
        <f>IF(DATOS!$G17492&lt;&gt;"EX",0,--(COUNTIFS(nNIA,DATOS!$A17492,nCURSO,DATOS!$D17492,nESPEC,DATOS!$E17492,nASIG,DATOS!$I17492,nEVAL,"OR")=0))</f>
      </c>
      <c r="I17492">
        <f>IF(DATOS!$I17492="","",IFERROR(VLOOKUP(DATOS!$I17492,CONFIG_ASIGNATURAS!$B$2:$J$91,9,FALSE()),""))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IF(DATOS!$A17493="",0,IF(CONFIG_METADATA!$B$4&lt;&gt;"OR+EX",--(DATOS!$G17493=CONFIG_METADATA!$B$4),IF(DATOS!$G17493="EX",1,IF(DATOS!$G17493="OR",--(COUNTIFS(nNIA,DATOS!$A17493,nCURSO,DATOS!$D17493,nESPEC,DATOS!$E17493,nASIG,DATOS!$I17493,nEVAL,"EX")=0),0))))</f>
      </c>
      <c r="H17493">
        <f>IF(DATOS!$G17493&lt;&gt;"EX",0,--(COUNTIFS(nNIA,DATOS!$A17493,nCURSO,DATOS!$D17493,nESPEC,DATOS!$E17493,nASIG,DATOS!$I17493,nEVAL,"OR")=0))</f>
      </c>
      <c r="I17493">
        <f>IF(DATOS!$I17493="","",IFERROR(VLOOKUP(DATOS!$I17493,CONFIG_ASIGNATURAS!$B$2:$J$91,9,FALSE()),""))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IF(DATOS!$A17494="",0,IF(CONFIG_METADATA!$B$4&lt;&gt;"OR+EX",--(DATOS!$G17494=CONFIG_METADATA!$B$4),IF(DATOS!$G17494="EX",1,IF(DATOS!$G17494="OR",--(COUNTIFS(nNIA,DATOS!$A17494,nCURSO,DATOS!$D17494,nESPEC,DATOS!$E17494,nASIG,DATOS!$I17494,nEVAL,"EX")=0),0))))</f>
      </c>
      <c r="H17494">
        <f>IF(DATOS!$G17494&lt;&gt;"EX",0,--(COUNTIFS(nNIA,DATOS!$A17494,nCURSO,DATOS!$D17494,nESPEC,DATOS!$E17494,nASIG,DATOS!$I17494,nEVAL,"OR")=0))</f>
      </c>
      <c r="I17494">
        <f>IF(DATOS!$I17494="","",IFERROR(VLOOKUP(DATOS!$I17494,CONFIG_ASIGNATURAS!$B$2:$J$91,9,FALSE()),""))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IF(DATOS!$A17495="",0,IF(CONFIG_METADATA!$B$4&lt;&gt;"OR+EX",--(DATOS!$G17495=CONFIG_METADATA!$B$4),IF(DATOS!$G17495="EX",1,IF(DATOS!$G17495="OR",--(COUNTIFS(nNIA,DATOS!$A17495,nCURSO,DATOS!$D17495,nESPEC,DATOS!$E17495,nASIG,DATOS!$I17495,nEVAL,"EX")=0),0))))</f>
      </c>
      <c r="H17495">
        <f>IF(DATOS!$G17495&lt;&gt;"EX",0,--(COUNTIFS(nNIA,DATOS!$A17495,nCURSO,DATOS!$D17495,nESPEC,DATOS!$E17495,nASIG,DATOS!$I17495,nEVAL,"OR")=0))</f>
      </c>
      <c r="I17495">
        <f>IF(DATOS!$I17495="","",IFERROR(VLOOKUP(DATOS!$I17495,CONFIG_ASIGNATURAS!$B$2:$J$91,9,FALSE()),""))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IF(DATOS!$A17496="",0,IF(CONFIG_METADATA!$B$4&lt;&gt;"OR+EX",--(DATOS!$G17496=CONFIG_METADATA!$B$4),IF(DATOS!$G17496="EX",1,IF(DATOS!$G17496="OR",--(COUNTIFS(nNIA,DATOS!$A17496,nCURSO,DATOS!$D17496,nESPEC,DATOS!$E17496,nASIG,DATOS!$I17496,nEVAL,"EX")=0),0))))</f>
      </c>
      <c r="H17496">
        <f>IF(DATOS!$G17496&lt;&gt;"EX",0,--(COUNTIFS(nNIA,DATOS!$A17496,nCURSO,DATOS!$D17496,nESPEC,DATOS!$E17496,nASIG,DATOS!$I17496,nEVAL,"OR")=0))</f>
      </c>
      <c r="I17496">
        <f>IF(DATOS!$I17496="","",IFERROR(VLOOKUP(DATOS!$I17496,CONFIG_ASIGNATURAS!$B$2:$J$91,9,FALSE()),""))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IF(DATOS!$A17497="",0,IF(CONFIG_METADATA!$B$4&lt;&gt;"OR+EX",--(DATOS!$G17497=CONFIG_METADATA!$B$4),IF(DATOS!$G17497="EX",1,IF(DATOS!$G17497="OR",--(COUNTIFS(nNIA,DATOS!$A17497,nCURSO,DATOS!$D17497,nESPEC,DATOS!$E17497,nASIG,DATOS!$I17497,nEVAL,"EX")=0),0))))</f>
      </c>
      <c r="H17497">
        <f>IF(DATOS!$G17497&lt;&gt;"EX",0,--(COUNTIFS(nNIA,DATOS!$A17497,nCURSO,DATOS!$D17497,nESPEC,DATOS!$E17497,nASIG,DATOS!$I17497,nEVAL,"OR")=0))</f>
      </c>
      <c r="I17497">
        <f>IF(DATOS!$I17497="","",IFERROR(VLOOKUP(DATOS!$I17497,CONFIG_ASIGNATURAS!$B$2:$J$91,9,FALSE()),""))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IF(DATOS!$A17498="",0,IF(CONFIG_METADATA!$B$4&lt;&gt;"OR+EX",--(DATOS!$G17498=CONFIG_METADATA!$B$4),IF(DATOS!$G17498="EX",1,IF(DATOS!$G17498="OR",--(COUNTIFS(nNIA,DATOS!$A17498,nCURSO,DATOS!$D17498,nESPEC,DATOS!$E17498,nASIG,DATOS!$I17498,nEVAL,"EX")=0),0))))</f>
      </c>
      <c r="H17498">
        <f>IF(DATOS!$G17498&lt;&gt;"EX",0,--(COUNTIFS(nNIA,DATOS!$A17498,nCURSO,DATOS!$D17498,nESPEC,DATOS!$E17498,nASIG,DATOS!$I17498,nEVAL,"OR")=0))</f>
      </c>
      <c r="I17498">
        <f>IF(DATOS!$I17498="","",IFERROR(VLOOKUP(DATOS!$I17498,CONFIG_ASIGNATURAS!$B$2:$J$91,9,FALSE()),""))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IF(DATOS!$A17499="",0,IF(CONFIG_METADATA!$B$4&lt;&gt;"OR+EX",--(DATOS!$G17499=CONFIG_METADATA!$B$4),IF(DATOS!$G17499="EX",1,IF(DATOS!$G17499="OR",--(COUNTIFS(nNIA,DATOS!$A17499,nCURSO,DATOS!$D17499,nESPEC,DATOS!$E17499,nASIG,DATOS!$I17499,nEVAL,"EX")=0),0))))</f>
      </c>
      <c r="H17499">
        <f>IF(DATOS!$G17499&lt;&gt;"EX",0,--(COUNTIFS(nNIA,DATOS!$A17499,nCURSO,DATOS!$D17499,nESPEC,DATOS!$E17499,nASIG,DATOS!$I17499,nEVAL,"OR")=0))</f>
      </c>
      <c r="I17499">
        <f>IF(DATOS!$I17499="","",IFERROR(VLOOKUP(DATOS!$I17499,CONFIG_ASIGNATURAS!$B$2:$J$91,9,FALSE()),""))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IF(DATOS!$A17500="",0,IF(CONFIG_METADATA!$B$4&lt;&gt;"OR+EX",--(DATOS!$G17500=CONFIG_METADATA!$B$4),IF(DATOS!$G17500="EX",1,IF(DATOS!$G17500="OR",--(COUNTIFS(nNIA,DATOS!$A17500,nCURSO,DATOS!$D17500,nESPEC,DATOS!$E17500,nASIG,DATOS!$I17500,nEVAL,"EX")=0),0))))</f>
      </c>
      <c r="H17500">
        <f>IF(DATOS!$G17500&lt;&gt;"EX",0,--(COUNTIFS(nNIA,DATOS!$A17500,nCURSO,DATOS!$D17500,nESPEC,DATOS!$E17500,nASIG,DATOS!$I17500,nEVAL,"OR")=0))</f>
      </c>
      <c r="I17500">
        <f>IF(DATOS!$I17500="","",IFERROR(VLOOKUP(DATOS!$I17500,CONFIG_ASIGNATURAS!$B$2:$J$91,9,FALSE()),""))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IF(DATOS!$A17501="",0,IF(CONFIG_METADATA!$B$4&lt;&gt;"OR+EX",--(DATOS!$G17501=CONFIG_METADATA!$B$4),IF(DATOS!$G17501="EX",1,IF(DATOS!$G17501="OR",--(COUNTIFS(nNIA,DATOS!$A17501,nCURSO,DATOS!$D17501,nESPEC,DATOS!$E17501,nASIG,DATOS!$I17501,nEVAL,"EX")=0),0))))</f>
      </c>
      <c r="H17501">
        <f>IF(DATOS!$G17501&lt;&gt;"EX",0,--(COUNTIFS(nNIA,DATOS!$A17501,nCURSO,DATOS!$D17501,nESPEC,DATOS!$E17501,nASIG,DATOS!$I17501,nEVAL,"OR")=0))</f>
      </c>
      <c r="I17501">
        <f>IF(DATOS!$I17501="","",IFERROR(VLOOKUP(DATOS!$I17501,CONFIG_ASIGNATURAS!$B$2:$J$91,9,FALSE()),""))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IF(DATOS!$A17502="",0,IF(CONFIG_METADATA!$B$4&lt;&gt;"OR+EX",--(DATOS!$G17502=CONFIG_METADATA!$B$4),IF(DATOS!$G17502="EX",1,IF(DATOS!$G17502="OR",--(COUNTIFS(nNIA,DATOS!$A17502,nCURSO,DATOS!$D17502,nESPEC,DATOS!$E17502,nASIG,DATOS!$I17502,nEVAL,"EX")=0),0))))</f>
      </c>
      <c r="H17502">
        <f>IF(DATOS!$G17502&lt;&gt;"EX",0,--(COUNTIFS(nNIA,DATOS!$A17502,nCURSO,DATOS!$D17502,nESPEC,DATOS!$E17502,nASIG,DATOS!$I17502,nEVAL,"OR")=0))</f>
      </c>
      <c r="I17502">
        <f>IF(DATOS!$I17502="","",IFERROR(VLOOKUP(DATOS!$I17502,CONFIG_ASIGNATURAS!$B$2:$J$91,9,FALSE()),""))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IF(DATOS!$A17503="",0,IF(CONFIG_METADATA!$B$4&lt;&gt;"OR+EX",--(DATOS!$G17503=CONFIG_METADATA!$B$4),IF(DATOS!$G17503="EX",1,IF(DATOS!$G17503="OR",--(COUNTIFS(nNIA,DATOS!$A17503,nCURSO,DATOS!$D17503,nESPEC,DATOS!$E17503,nASIG,DATOS!$I17503,nEVAL,"EX")=0),0))))</f>
      </c>
      <c r="H17503">
        <f>IF(DATOS!$G17503&lt;&gt;"EX",0,--(COUNTIFS(nNIA,DATOS!$A17503,nCURSO,DATOS!$D17503,nESPEC,DATOS!$E17503,nASIG,DATOS!$I17503,nEVAL,"OR")=0))</f>
      </c>
      <c r="I17503">
        <f>IF(DATOS!$I17503="","",IFERROR(VLOOKUP(DATOS!$I17503,CONFIG_ASIGNATURAS!$B$2:$J$91,9,FALSE()),""))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IF(DATOS!$A17504="",0,IF(CONFIG_METADATA!$B$4&lt;&gt;"OR+EX",--(DATOS!$G17504=CONFIG_METADATA!$B$4),IF(DATOS!$G17504="EX",1,IF(DATOS!$G17504="OR",--(COUNTIFS(nNIA,DATOS!$A17504,nCURSO,DATOS!$D17504,nESPEC,DATOS!$E17504,nASIG,DATOS!$I17504,nEVAL,"EX")=0),0))))</f>
      </c>
      <c r="H17504">
        <f>IF(DATOS!$G17504&lt;&gt;"EX",0,--(COUNTIFS(nNIA,DATOS!$A17504,nCURSO,DATOS!$D17504,nESPEC,DATOS!$E17504,nASIG,DATOS!$I17504,nEVAL,"OR")=0))</f>
      </c>
      <c r="I17504">
        <f>IF(DATOS!$I17504="","",IFERROR(VLOOKUP(DATOS!$I17504,CONFIG_ASIGNATURAS!$B$2:$J$91,9,FALSE()),""))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IF(DATOS!$A17505="",0,IF(CONFIG_METADATA!$B$4&lt;&gt;"OR+EX",--(DATOS!$G17505=CONFIG_METADATA!$B$4),IF(DATOS!$G17505="EX",1,IF(DATOS!$G17505="OR",--(COUNTIFS(nNIA,DATOS!$A17505,nCURSO,DATOS!$D17505,nESPEC,DATOS!$E17505,nASIG,DATOS!$I17505,nEVAL,"EX")=0),0))))</f>
      </c>
      <c r="H17505">
        <f>IF(DATOS!$G17505&lt;&gt;"EX",0,--(COUNTIFS(nNIA,DATOS!$A17505,nCURSO,DATOS!$D17505,nESPEC,DATOS!$E17505,nASIG,DATOS!$I17505,nEVAL,"OR")=0))</f>
      </c>
      <c r="I17505">
        <f>IF(DATOS!$I17505="","",IFERROR(VLOOKUP(DATOS!$I17505,CONFIG_ASIGNATURAS!$B$2:$J$91,9,FALSE()),""))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IF(DATOS!$A17506="",0,IF(CONFIG_METADATA!$B$4&lt;&gt;"OR+EX",--(DATOS!$G17506=CONFIG_METADATA!$B$4),IF(DATOS!$G17506="EX",1,IF(DATOS!$G17506="OR",--(COUNTIFS(nNIA,DATOS!$A17506,nCURSO,DATOS!$D17506,nESPEC,DATOS!$E17506,nASIG,DATOS!$I17506,nEVAL,"EX")=0),0))))</f>
      </c>
      <c r="H17506">
        <f>IF(DATOS!$G17506&lt;&gt;"EX",0,--(COUNTIFS(nNIA,DATOS!$A17506,nCURSO,DATOS!$D17506,nESPEC,DATOS!$E17506,nASIG,DATOS!$I17506,nEVAL,"OR")=0))</f>
      </c>
      <c r="I17506">
        <f>IF(DATOS!$I17506="","",IFERROR(VLOOKUP(DATOS!$I17506,CONFIG_ASIGNATURAS!$B$2:$J$91,9,FALSE()),""))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IF(DATOS!$A17507="",0,IF(CONFIG_METADATA!$B$4&lt;&gt;"OR+EX",--(DATOS!$G17507=CONFIG_METADATA!$B$4),IF(DATOS!$G17507="EX",1,IF(DATOS!$G17507="OR",--(COUNTIFS(nNIA,DATOS!$A17507,nCURSO,DATOS!$D17507,nESPEC,DATOS!$E17507,nASIG,DATOS!$I17507,nEVAL,"EX")=0),0))))</f>
      </c>
      <c r="H17507">
        <f>IF(DATOS!$G17507&lt;&gt;"EX",0,--(COUNTIFS(nNIA,DATOS!$A17507,nCURSO,DATOS!$D17507,nESPEC,DATOS!$E17507,nASIG,DATOS!$I17507,nEVAL,"OR")=0))</f>
      </c>
      <c r="I17507">
        <f>IF(DATOS!$I17507="","",IFERROR(VLOOKUP(DATOS!$I17507,CONFIG_ASIGNATURAS!$B$2:$J$91,9,FALSE()),""))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IF(DATOS!$A17508="",0,IF(CONFIG_METADATA!$B$4&lt;&gt;"OR+EX",--(DATOS!$G17508=CONFIG_METADATA!$B$4),IF(DATOS!$G17508="EX",1,IF(DATOS!$G17508="OR",--(COUNTIFS(nNIA,DATOS!$A17508,nCURSO,DATOS!$D17508,nESPEC,DATOS!$E17508,nASIG,DATOS!$I17508,nEVAL,"EX")=0),0))))</f>
      </c>
      <c r="H17508">
        <f>IF(DATOS!$G17508&lt;&gt;"EX",0,--(COUNTIFS(nNIA,DATOS!$A17508,nCURSO,DATOS!$D17508,nESPEC,DATOS!$E17508,nASIG,DATOS!$I17508,nEVAL,"OR")=0))</f>
      </c>
      <c r="I17508">
        <f>IF(DATOS!$I17508="","",IFERROR(VLOOKUP(DATOS!$I17508,CONFIG_ASIGNATURAS!$B$2:$J$91,9,FALSE()),""))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IF(DATOS!$A17509="",0,IF(CONFIG_METADATA!$B$4&lt;&gt;"OR+EX",--(DATOS!$G17509=CONFIG_METADATA!$B$4),IF(DATOS!$G17509="EX",1,IF(DATOS!$G17509="OR",--(COUNTIFS(nNIA,DATOS!$A17509,nCURSO,DATOS!$D17509,nESPEC,DATOS!$E17509,nASIG,DATOS!$I17509,nEVAL,"EX")=0),0))))</f>
      </c>
      <c r="H17509">
        <f>IF(DATOS!$G17509&lt;&gt;"EX",0,--(COUNTIFS(nNIA,DATOS!$A17509,nCURSO,DATOS!$D17509,nESPEC,DATOS!$E17509,nASIG,DATOS!$I17509,nEVAL,"OR")=0))</f>
      </c>
      <c r="I17509">
        <f>IF(DATOS!$I17509="","",IFERROR(VLOOKUP(DATOS!$I17509,CONFIG_ASIGNATURAS!$B$2:$J$91,9,FALSE()),""))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IF(DATOS!$A17510="",0,IF(CONFIG_METADATA!$B$4&lt;&gt;"OR+EX",--(DATOS!$G17510=CONFIG_METADATA!$B$4),IF(DATOS!$G17510="EX",1,IF(DATOS!$G17510="OR",--(COUNTIFS(nNIA,DATOS!$A17510,nCURSO,DATOS!$D17510,nESPEC,DATOS!$E17510,nASIG,DATOS!$I17510,nEVAL,"EX")=0),0))))</f>
      </c>
      <c r="H17510">
        <f>IF(DATOS!$G17510&lt;&gt;"EX",0,--(COUNTIFS(nNIA,DATOS!$A17510,nCURSO,DATOS!$D17510,nESPEC,DATOS!$E17510,nASIG,DATOS!$I17510,nEVAL,"OR")=0))</f>
      </c>
      <c r="I17510">
        <f>IF(DATOS!$I17510="","",IFERROR(VLOOKUP(DATOS!$I17510,CONFIG_ASIGNATURAS!$B$2:$J$91,9,FALSE()),""))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IF(DATOS!$A17511="",0,IF(CONFIG_METADATA!$B$4&lt;&gt;"OR+EX",--(DATOS!$G17511=CONFIG_METADATA!$B$4),IF(DATOS!$G17511="EX",1,IF(DATOS!$G17511="OR",--(COUNTIFS(nNIA,DATOS!$A17511,nCURSO,DATOS!$D17511,nESPEC,DATOS!$E17511,nASIG,DATOS!$I17511,nEVAL,"EX")=0),0))))</f>
      </c>
      <c r="H17511">
        <f>IF(DATOS!$G17511&lt;&gt;"EX",0,--(COUNTIFS(nNIA,DATOS!$A17511,nCURSO,DATOS!$D17511,nESPEC,DATOS!$E17511,nASIG,DATOS!$I17511,nEVAL,"OR")=0))</f>
      </c>
      <c r="I17511">
        <f>IF(DATOS!$I17511="","",IFERROR(VLOOKUP(DATOS!$I17511,CONFIG_ASIGNATURAS!$B$2:$J$91,9,FALSE()),""))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IF(DATOS!$A17512="",0,IF(CONFIG_METADATA!$B$4&lt;&gt;"OR+EX",--(DATOS!$G17512=CONFIG_METADATA!$B$4),IF(DATOS!$G17512="EX",1,IF(DATOS!$G17512="OR",--(COUNTIFS(nNIA,DATOS!$A17512,nCURSO,DATOS!$D17512,nESPEC,DATOS!$E17512,nASIG,DATOS!$I17512,nEVAL,"EX")=0),0))))</f>
      </c>
      <c r="H17512">
        <f>IF(DATOS!$G17512&lt;&gt;"EX",0,--(COUNTIFS(nNIA,DATOS!$A17512,nCURSO,DATOS!$D17512,nESPEC,DATOS!$E17512,nASIG,DATOS!$I17512,nEVAL,"OR")=0))</f>
      </c>
      <c r="I17512">
        <f>IF(DATOS!$I17512="","",IFERROR(VLOOKUP(DATOS!$I17512,CONFIG_ASIGNATURAS!$B$2:$J$91,9,FALSE()),""))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IF(DATOS!$A17513="",0,IF(CONFIG_METADATA!$B$4&lt;&gt;"OR+EX",--(DATOS!$G17513=CONFIG_METADATA!$B$4),IF(DATOS!$G17513="EX",1,IF(DATOS!$G17513="OR",--(COUNTIFS(nNIA,DATOS!$A17513,nCURSO,DATOS!$D17513,nESPEC,DATOS!$E17513,nASIG,DATOS!$I17513,nEVAL,"EX")=0),0))))</f>
      </c>
      <c r="H17513">
        <f>IF(DATOS!$G17513&lt;&gt;"EX",0,--(COUNTIFS(nNIA,DATOS!$A17513,nCURSO,DATOS!$D17513,nESPEC,DATOS!$E17513,nASIG,DATOS!$I17513,nEVAL,"OR")=0))</f>
      </c>
      <c r="I17513">
        <f>IF(DATOS!$I17513="","",IFERROR(VLOOKUP(DATOS!$I17513,CONFIG_ASIGNATURAS!$B$2:$J$91,9,FALSE()),""))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IF(DATOS!$A17514="",0,IF(CONFIG_METADATA!$B$4&lt;&gt;"OR+EX",--(DATOS!$G17514=CONFIG_METADATA!$B$4),IF(DATOS!$G17514="EX",1,IF(DATOS!$G17514="OR",--(COUNTIFS(nNIA,DATOS!$A17514,nCURSO,DATOS!$D17514,nESPEC,DATOS!$E17514,nASIG,DATOS!$I17514,nEVAL,"EX")=0),0))))</f>
      </c>
      <c r="H17514">
        <f>IF(DATOS!$G17514&lt;&gt;"EX",0,--(COUNTIFS(nNIA,DATOS!$A17514,nCURSO,DATOS!$D17514,nESPEC,DATOS!$E17514,nASIG,DATOS!$I17514,nEVAL,"OR")=0))</f>
      </c>
      <c r="I17514">
        <f>IF(DATOS!$I17514="","",IFERROR(VLOOKUP(DATOS!$I17514,CONFIG_ASIGNATURAS!$B$2:$J$91,9,FALSE()),""))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IF(DATOS!$A17515="",0,IF(CONFIG_METADATA!$B$4&lt;&gt;"OR+EX",--(DATOS!$G17515=CONFIG_METADATA!$B$4),IF(DATOS!$G17515="EX",1,IF(DATOS!$G17515="OR",--(COUNTIFS(nNIA,DATOS!$A17515,nCURSO,DATOS!$D17515,nESPEC,DATOS!$E17515,nASIG,DATOS!$I17515,nEVAL,"EX")=0),0))))</f>
      </c>
      <c r="H17515">
        <f>IF(DATOS!$G17515&lt;&gt;"EX",0,--(COUNTIFS(nNIA,DATOS!$A17515,nCURSO,DATOS!$D17515,nESPEC,DATOS!$E17515,nASIG,DATOS!$I17515,nEVAL,"OR")=0))</f>
      </c>
      <c r="I17515">
        <f>IF(DATOS!$I17515="","",IFERROR(VLOOKUP(DATOS!$I17515,CONFIG_ASIGNATURAS!$B$2:$J$91,9,FALSE()),""))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IF(DATOS!$A17516="",0,IF(CONFIG_METADATA!$B$4&lt;&gt;"OR+EX",--(DATOS!$G17516=CONFIG_METADATA!$B$4),IF(DATOS!$G17516="EX",1,IF(DATOS!$G17516="OR",--(COUNTIFS(nNIA,DATOS!$A17516,nCURSO,DATOS!$D17516,nESPEC,DATOS!$E17516,nASIG,DATOS!$I17516,nEVAL,"EX")=0),0))))</f>
      </c>
      <c r="H17516">
        <f>IF(DATOS!$G17516&lt;&gt;"EX",0,--(COUNTIFS(nNIA,DATOS!$A17516,nCURSO,DATOS!$D17516,nESPEC,DATOS!$E17516,nASIG,DATOS!$I17516,nEVAL,"OR")=0))</f>
      </c>
      <c r="I17516">
        <f>IF(DATOS!$I17516="","",IFERROR(VLOOKUP(DATOS!$I17516,CONFIG_ASIGNATURAS!$B$2:$J$91,9,FALSE()),""))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IF(DATOS!$A17517="",0,IF(CONFIG_METADATA!$B$4&lt;&gt;"OR+EX",--(DATOS!$G17517=CONFIG_METADATA!$B$4),IF(DATOS!$G17517="EX",1,IF(DATOS!$G17517="OR",--(COUNTIFS(nNIA,DATOS!$A17517,nCURSO,DATOS!$D17517,nESPEC,DATOS!$E17517,nASIG,DATOS!$I17517,nEVAL,"EX")=0),0))))</f>
      </c>
      <c r="H17517">
        <f>IF(DATOS!$G17517&lt;&gt;"EX",0,--(COUNTIFS(nNIA,DATOS!$A17517,nCURSO,DATOS!$D17517,nESPEC,DATOS!$E17517,nASIG,DATOS!$I17517,nEVAL,"OR")=0))</f>
      </c>
      <c r="I17517">
        <f>IF(DATOS!$I17517="","",IFERROR(VLOOKUP(DATOS!$I17517,CONFIG_ASIGNATURAS!$B$2:$J$91,9,FALSE()),""))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IF(DATOS!$A17518="",0,IF(CONFIG_METADATA!$B$4&lt;&gt;"OR+EX",--(DATOS!$G17518=CONFIG_METADATA!$B$4),IF(DATOS!$G17518="EX",1,IF(DATOS!$G17518="OR",--(COUNTIFS(nNIA,DATOS!$A17518,nCURSO,DATOS!$D17518,nESPEC,DATOS!$E17518,nASIG,DATOS!$I17518,nEVAL,"EX")=0),0))))</f>
      </c>
      <c r="H17518">
        <f>IF(DATOS!$G17518&lt;&gt;"EX",0,--(COUNTIFS(nNIA,DATOS!$A17518,nCURSO,DATOS!$D17518,nESPEC,DATOS!$E17518,nASIG,DATOS!$I17518,nEVAL,"OR")=0))</f>
      </c>
      <c r="I17518">
        <f>IF(DATOS!$I17518="","",IFERROR(VLOOKUP(DATOS!$I17518,CONFIG_ASIGNATURAS!$B$2:$J$91,9,FALSE()),""))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IF(DATOS!$A17519="",0,IF(CONFIG_METADATA!$B$4&lt;&gt;"OR+EX",--(DATOS!$G17519=CONFIG_METADATA!$B$4),IF(DATOS!$G17519="EX",1,IF(DATOS!$G17519="OR",--(COUNTIFS(nNIA,DATOS!$A17519,nCURSO,DATOS!$D17519,nESPEC,DATOS!$E17519,nASIG,DATOS!$I17519,nEVAL,"EX")=0),0))))</f>
      </c>
      <c r="H17519">
        <f>IF(DATOS!$G17519&lt;&gt;"EX",0,--(COUNTIFS(nNIA,DATOS!$A17519,nCURSO,DATOS!$D17519,nESPEC,DATOS!$E17519,nASIG,DATOS!$I17519,nEVAL,"OR")=0))</f>
      </c>
      <c r="I17519">
        <f>IF(DATOS!$I17519="","",IFERROR(VLOOKUP(DATOS!$I17519,CONFIG_ASIGNATURAS!$B$2:$J$91,9,FALSE()),""))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IF(DATOS!$A17520="",0,IF(CONFIG_METADATA!$B$4&lt;&gt;"OR+EX",--(DATOS!$G17520=CONFIG_METADATA!$B$4),IF(DATOS!$G17520="EX",1,IF(DATOS!$G17520="OR",--(COUNTIFS(nNIA,DATOS!$A17520,nCURSO,DATOS!$D17520,nESPEC,DATOS!$E17520,nASIG,DATOS!$I17520,nEVAL,"EX")=0),0))))</f>
      </c>
      <c r="H17520">
        <f>IF(DATOS!$G17520&lt;&gt;"EX",0,--(COUNTIFS(nNIA,DATOS!$A17520,nCURSO,DATOS!$D17520,nESPEC,DATOS!$E17520,nASIG,DATOS!$I17520,nEVAL,"OR")=0))</f>
      </c>
      <c r="I17520">
        <f>IF(DATOS!$I17520="","",IFERROR(VLOOKUP(DATOS!$I17520,CONFIG_ASIGNATURAS!$B$2:$J$91,9,FALSE()),""))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IF(DATOS!$A17521="",0,IF(CONFIG_METADATA!$B$4&lt;&gt;"OR+EX",--(DATOS!$G17521=CONFIG_METADATA!$B$4),IF(DATOS!$G17521="EX",1,IF(DATOS!$G17521="OR",--(COUNTIFS(nNIA,DATOS!$A17521,nCURSO,DATOS!$D17521,nESPEC,DATOS!$E17521,nASIG,DATOS!$I17521,nEVAL,"EX")=0),0))))</f>
      </c>
      <c r="H17521">
        <f>IF(DATOS!$G17521&lt;&gt;"EX",0,--(COUNTIFS(nNIA,DATOS!$A17521,nCURSO,DATOS!$D17521,nESPEC,DATOS!$E17521,nASIG,DATOS!$I17521,nEVAL,"OR")=0))</f>
      </c>
      <c r="I17521">
        <f>IF(DATOS!$I17521="","",IFERROR(VLOOKUP(DATOS!$I17521,CONFIG_ASIGNATURAS!$B$2:$J$91,9,FALSE()),""))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IF(DATOS!$A17522="",0,IF(CONFIG_METADATA!$B$4&lt;&gt;"OR+EX",--(DATOS!$G17522=CONFIG_METADATA!$B$4),IF(DATOS!$G17522="EX",1,IF(DATOS!$G17522="OR",--(COUNTIFS(nNIA,DATOS!$A17522,nCURSO,DATOS!$D17522,nESPEC,DATOS!$E17522,nASIG,DATOS!$I17522,nEVAL,"EX")=0),0))))</f>
      </c>
      <c r="H17522">
        <f>IF(DATOS!$G17522&lt;&gt;"EX",0,--(COUNTIFS(nNIA,DATOS!$A17522,nCURSO,DATOS!$D17522,nESPEC,DATOS!$E17522,nASIG,DATOS!$I17522,nEVAL,"OR")=0))</f>
      </c>
      <c r="I17522">
        <f>IF(DATOS!$I17522="","",IFERROR(VLOOKUP(DATOS!$I17522,CONFIG_ASIGNATURAS!$B$2:$J$91,9,FALSE()),""))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IF(DATOS!$A17523="",0,IF(CONFIG_METADATA!$B$4&lt;&gt;"OR+EX",--(DATOS!$G17523=CONFIG_METADATA!$B$4),IF(DATOS!$G17523="EX",1,IF(DATOS!$G17523="OR",--(COUNTIFS(nNIA,DATOS!$A17523,nCURSO,DATOS!$D17523,nESPEC,DATOS!$E17523,nASIG,DATOS!$I17523,nEVAL,"EX")=0),0))))</f>
      </c>
      <c r="H17523">
        <f>IF(DATOS!$G17523&lt;&gt;"EX",0,--(COUNTIFS(nNIA,DATOS!$A17523,nCURSO,DATOS!$D17523,nESPEC,DATOS!$E17523,nASIG,DATOS!$I17523,nEVAL,"OR")=0))</f>
      </c>
      <c r="I17523">
        <f>IF(DATOS!$I17523="","",IFERROR(VLOOKUP(DATOS!$I17523,CONFIG_ASIGNATURAS!$B$2:$J$91,9,FALSE()),""))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IF(DATOS!$A17524="",0,IF(CONFIG_METADATA!$B$4&lt;&gt;"OR+EX",--(DATOS!$G17524=CONFIG_METADATA!$B$4),IF(DATOS!$G17524="EX",1,IF(DATOS!$G17524="OR",--(COUNTIFS(nNIA,DATOS!$A17524,nCURSO,DATOS!$D17524,nESPEC,DATOS!$E17524,nASIG,DATOS!$I17524,nEVAL,"EX")=0),0))))</f>
      </c>
      <c r="H17524">
        <f>IF(DATOS!$G17524&lt;&gt;"EX",0,--(COUNTIFS(nNIA,DATOS!$A17524,nCURSO,DATOS!$D17524,nESPEC,DATOS!$E17524,nASIG,DATOS!$I17524,nEVAL,"OR")=0))</f>
      </c>
      <c r="I17524">
        <f>IF(DATOS!$I17524="","",IFERROR(VLOOKUP(DATOS!$I17524,CONFIG_ASIGNATURAS!$B$2:$J$91,9,FALSE()),""))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IF(DATOS!$A17525="",0,IF(CONFIG_METADATA!$B$4&lt;&gt;"OR+EX",--(DATOS!$G17525=CONFIG_METADATA!$B$4),IF(DATOS!$G17525="EX",1,IF(DATOS!$G17525="OR",--(COUNTIFS(nNIA,DATOS!$A17525,nCURSO,DATOS!$D17525,nESPEC,DATOS!$E17525,nASIG,DATOS!$I17525,nEVAL,"EX")=0),0))))</f>
      </c>
      <c r="H17525">
        <f>IF(DATOS!$G17525&lt;&gt;"EX",0,--(COUNTIFS(nNIA,DATOS!$A17525,nCURSO,DATOS!$D17525,nESPEC,DATOS!$E17525,nASIG,DATOS!$I17525,nEVAL,"OR")=0))</f>
      </c>
      <c r="I17525">
        <f>IF(DATOS!$I17525="","",IFERROR(VLOOKUP(DATOS!$I17525,CONFIG_ASIGNATURAS!$B$2:$J$91,9,FALSE()),""))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IF(DATOS!$A17526="",0,IF(CONFIG_METADATA!$B$4&lt;&gt;"OR+EX",--(DATOS!$G17526=CONFIG_METADATA!$B$4),IF(DATOS!$G17526="EX",1,IF(DATOS!$G17526="OR",--(COUNTIFS(nNIA,DATOS!$A17526,nCURSO,DATOS!$D17526,nESPEC,DATOS!$E17526,nASIG,DATOS!$I17526,nEVAL,"EX")=0),0))))</f>
      </c>
      <c r="H17526">
        <f>IF(DATOS!$G17526&lt;&gt;"EX",0,--(COUNTIFS(nNIA,DATOS!$A17526,nCURSO,DATOS!$D17526,nESPEC,DATOS!$E17526,nASIG,DATOS!$I17526,nEVAL,"OR")=0))</f>
      </c>
      <c r="I17526">
        <f>IF(DATOS!$I17526="","",IFERROR(VLOOKUP(DATOS!$I17526,CONFIG_ASIGNATURAS!$B$2:$J$91,9,FALSE()),""))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IF(DATOS!$A17527="",0,IF(CONFIG_METADATA!$B$4&lt;&gt;"OR+EX",--(DATOS!$G17527=CONFIG_METADATA!$B$4),IF(DATOS!$G17527="EX",1,IF(DATOS!$G17527="OR",--(COUNTIFS(nNIA,DATOS!$A17527,nCURSO,DATOS!$D17527,nESPEC,DATOS!$E17527,nASIG,DATOS!$I17527,nEVAL,"EX")=0),0))))</f>
      </c>
      <c r="H17527">
        <f>IF(DATOS!$G17527&lt;&gt;"EX",0,--(COUNTIFS(nNIA,DATOS!$A17527,nCURSO,DATOS!$D17527,nESPEC,DATOS!$E17527,nASIG,DATOS!$I17527,nEVAL,"OR")=0))</f>
      </c>
      <c r="I17527">
        <f>IF(DATOS!$I17527="","",IFERROR(VLOOKUP(DATOS!$I17527,CONFIG_ASIGNATURAS!$B$2:$J$91,9,FALSE()),""))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IF(DATOS!$A17528="",0,IF(CONFIG_METADATA!$B$4&lt;&gt;"OR+EX",--(DATOS!$G17528=CONFIG_METADATA!$B$4),IF(DATOS!$G17528="EX",1,IF(DATOS!$G17528="OR",--(COUNTIFS(nNIA,DATOS!$A17528,nCURSO,DATOS!$D17528,nESPEC,DATOS!$E17528,nASIG,DATOS!$I17528,nEVAL,"EX")=0),0))))</f>
      </c>
      <c r="H17528">
        <f>IF(DATOS!$G17528&lt;&gt;"EX",0,--(COUNTIFS(nNIA,DATOS!$A17528,nCURSO,DATOS!$D17528,nESPEC,DATOS!$E17528,nASIG,DATOS!$I17528,nEVAL,"OR")=0))</f>
      </c>
      <c r="I17528">
        <f>IF(DATOS!$I17528="","",IFERROR(VLOOKUP(DATOS!$I17528,CONFIG_ASIGNATURAS!$B$2:$J$91,9,FALSE()),""))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IF(DATOS!$A17529="",0,IF(CONFIG_METADATA!$B$4&lt;&gt;"OR+EX",--(DATOS!$G17529=CONFIG_METADATA!$B$4),IF(DATOS!$G17529="EX",1,IF(DATOS!$G17529="OR",--(COUNTIFS(nNIA,DATOS!$A17529,nCURSO,DATOS!$D17529,nESPEC,DATOS!$E17529,nASIG,DATOS!$I17529,nEVAL,"EX")=0),0))))</f>
      </c>
      <c r="H17529">
        <f>IF(DATOS!$G17529&lt;&gt;"EX",0,--(COUNTIFS(nNIA,DATOS!$A17529,nCURSO,DATOS!$D17529,nESPEC,DATOS!$E17529,nASIG,DATOS!$I17529,nEVAL,"OR")=0))</f>
      </c>
      <c r="I17529">
        <f>IF(DATOS!$I17529="","",IFERROR(VLOOKUP(DATOS!$I17529,CONFIG_ASIGNATURAS!$B$2:$J$91,9,FALSE()),""))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IF(DATOS!$A17530="",0,IF(CONFIG_METADATA!$B$4&lt;&gt;"OR+EX",--(DATOS!$G17530=CONFIG_METADATA!$B$4),IF(DATOS!$G17530="EX",1,IF(DATOS!$G17530="OR",--(COUNTIFS(nNIA,DATOS!$A17530,nCURSO,DATOS!$D17530,nESPEC,DATOS!$E17530,nASIG,DATOS!$I17530,nEVAL,"EX")=0),0))))</f>
      </c>
      <c r="H17530">
        <f>IF(DATOS!$G17530&lt;&gt;"EX",0,--(COUNTIFS(nNIA,DATOS!$A17530,nCURSO,DATOS!$D17530,nESPEC,DATOS!$E17530,nASIG,DATOS!$I17530,nEVAL,"OR")=0))</f>
      </c>
      <c r="I17530">
        <f>IF(DATOS!$I17530="","",IFERROR(VLOOKUP(DATOS!$I17530,CONFIG_ASIGNATURAS!$B$2:$J$91,9,FALSE()),""))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IF(DATOS!$A17531="",0,IF(CONFIG_METADATA!$B$4&lt;&gt;"OR+EX",--(DATOS!$G17531=CONFIG_METADATA!$B$4),IF(DATOS!$G17531="EX",1,IF(DATOS!$G17531="OR",--(COUNTIFS(nNIA,DATOS!$A17531,nCURSO,DATOS!$D17531,nESPEC,DATOS!$E17531,nASIG,DATOS!$I17531,nEVAL,"EX")=0),0))))</f>
      </c>
      <c r="H17531">
        <f>IF(DATOS!$G17531&lt;&gt;"EX",0,--(COUNTIFS(nNIA,DATOS!$A17531,nCURSO,DATOS!$D17531,nESPEC,DATOS!$E17531,nASIG,DATOS!$I17531,nEVAL,"OR")=0))</f>
      </c>
      <c r="I17531">
        <f>IF(DATOS!$I17531="","",IFERROR(VLOOKUP(DATOS!$I17531,CONFIG_ASIGNATURAS!$B$2:$J$91,9,FALSE()),""))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IF(DATOS!$A17532="",0,IF(CONFIG_METADATA!$B$4&lt;&gt;"OR+EX",--(DATOS!$G17532=CONFIG_METADATA!$B$4),IF(DATOS!$G17532="EX",1,IF(DATOS!$G17532="OR",--(COUNTIFS(nNIA,DATOS!$A17532,nCURSO,DATOS!$D17532,nESPEC,DATOS!$E17532,nASIG,DATOS!$I17532,nEVAL,"EX")=0),0))))</f>
      </c>
      <c r="H17532">
        <f>IF(DATOS!$G17532&lt;&gt;"EX",0,--(COUNTIFS(nNIA,DATOS!$A17532,nCURSO,DATOS!$D17532,nESPEC,DATOS!$E17532,nASIG,DATOS!$I17532,nEVAL,"OR")=0))</f>
      </c>
      <c r="I17532">
        <f>IF(DATOS!$I17532="","",IFERROR(VLOOKUP(DATOS!$I17532,CONFIG_ASIGNATURAS!$B$2:$J$91,9,FALSE()),""))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IF(DATOS!$A17533="",0,IF(CONFIG_METADATA!$B$4&lt;&gt;"OR+EX",--(DATOS!$G17533=CONFIG_METADATA!$B$4),IF(DATOS!$G17533="EX",1,IF(DATOS!$G17533="OR",--(COUNTIFS(nNIA,DATOS!$A17533,nCURSO,DATOS!$D17533,nESPEC,DATOS!$E17533,nASIG,DATOS!$I17533,nEVAL,"EX")=0),0))))</f>
      </c>
      <c r="H17533">
        <f>IF(DATOS!$G17533&lt;&gt;"EX",0,--(COUNTIFS(nNIA,DATOS!$A17533,nCURSO,DATOS!$D17533,nESPEC,DATOS!$E17533,nASIG,DATOS!$I17533,nEVAL,"OR")=0))</f>
      </c>
      <c r="I17533">
        <f>IF(DATOS!$I17533="","",IFERROR(VLOOKUP(DATOS!$I17533,CONFIG_ASIGNATURAS!$B$2:$J$91,9,FALSE()),""))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IF(DATOS!$A17534="",0,IF(CONFIG_METADATA!$B$4&lt;&gt;"OR+EX",--(DATOS!$G17534=CONFIG_METADATA!$B$4),IF(DATOS!$G17534="EX",1,IF(DATOS!$G17534="OR",--(COUNTIFS(nNIA,DATOS!$A17534,nCURSO,DATOS!$D17534,nESPEC,DATOS!$E17534,nASIG,DATOS!$I17534,nEVAL,"EX")=0),0))))</f>
      </c>
      <c r="H17534">
        <f>IF(DATOS!$G17534&lt;&gt;"EX",0,--(COUNTIFS(nNIA,DATOS!$A17534,nCURSO,DATOS!$D17534,nESPEC,DATOS!$E17534,nASIG,DATOS!$I17534,nEVAL,"OR")=0))</f>
      </c>
      <c r="I17534">
        <f>IF(DATOS!$I17534="","",IFERROR(VLOOKUP(DATOS!$I17534,CONFIG_ASIGNATURAS!$B$2:$J$91,9,FALSE()),""))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IF(DATOS!$A17535="",0,IF(CONFIG_METADATA!$B$4&lt;&gt;"OR+EX",--(DATOS!$G17535=CONFIG_METADATA!$B$4),IF(DATOS!$G17535="EX",1,IF(DATOS!$G17535="OR",--(COUNTIFS(nNIA,DATOS!$A17535,nCURSO,DATOS!$D17535,nESPEC,DATOS!$E17535,nASIG,DATOS!$I17535,nEVAL,"EX")=0),0))))</f>
      </c>
      <c r="H17535">
        <f>IF(DATOS!$G17535&lt;&gt;"EX",0,--(COUNTIFS(nNIA,DATOS!$A17535,nCURSO,DATOS!$D17535,nESPEC,DATOS!$E17535,nASIG,DATOS!$I17535,nEVAL,"OR")=0))</f>
      </c>
      <c r="I17535">
        <f>IF(DATOS!$I17535="","",IFERROR(VLOOKUP(DATOS!$I17535,CONFIG_ASIGNATURAS!$B$2:$J$91,9,FALSE()),""))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IF(DATOS!$A17536="",0,IF(CONFIG_METADATA!$B$4&lt;&gt;"OR+EX",--(DATOS!$G17536=CONFIG_METADATA!$B$4),IF(DATOS!$G17536="EX",1,IF(DATOS!$G17536="OR",--(COUNTIFS(nNIA,DATOS!$A17536,nCURSO,DATOS!$D17536,nESPEC,DATOS!$E17536,nASIG,DATOS!$I17536,nEVAL,"EX")=0),0))))</f>
      </c>
      <c r="H17536">
        <f>IF(DATOS!$G17536&lt;&gt;"EX",0,--(COUNTIFS(nNIA,DATOS!$A17536,nCURSO,DATOS!$D17536,nESPEC,DATOS!$E17536,nASIG,DATOS!$I17536,nEVAL,"OR")=0))</f>
      </c>
      <c r="I17536">
        <f>IF(DATOS!$I17536="","",IFERROR(VLOOKUP(DATOS!$I17536,CONFIG_ASIGNATURAS!$B$2:$J$91,9,FALSE()),""))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IF(DATOS!$A17537="",0,IF(CONFIG_METADATA!$B$4&lt;&gt;"OR+EX",--(DATOS!$G17537=CONFIG_METADATA!$B$4),IF(DATOS!$G17537="EX",1,IF(DATOS!$G17537="OR",--(COUNTIFS(nNIA,DATOS!$A17537,nCURSO,DATOS!$D17537,nESPEC,DATOS!$E17537,nASIG,DATOS!$I17537,nEVAL,"EX")=0),0))))</f>
      </c>
      <c r="H17537">
        <f>IF(DATOS!$G17537&lt;&gt;"EX",0,--(COUNTIFS(nNIA,DATOS!$A17537,nCURSO,DATOS!$D17537,nESPEC,DATOS!$E17537,nASIG,DATOS!$I17537,nEVAL,"OR")=0))</f>
      </c>
      <c r="I17537">
        <f>IF(DATOS!$I17537="","",IFERROR(VLOOKUP(DATOS!$I17537,CONFIG_ASIGNATURAS!$B$2:$J$91,9,FALSE()),""))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IF(DATOS!$A17538="",0,IF(CONFIG_METADATA!$B$4&lt;&gt;"OR+EX",--(DATOS!$G17538=CONFIG_METADATA!$B$4),IF(DATOS!$G17538="EX",1,IF(DATOS!$G17538="OR",--(COUNTIFS(nNIA,DATOS!$A17538,nCURSO,DATOS!$D17538,nESPEC,DATOS!$E17538,nASIG,DATOS!$I17538,nEVAL,"EX")=0),0))))</f>
      </c>
      <c r="H17538">
        <f>IF(DATOS!$G17538&lt;&gt;"EX",0,--(COUNTIFS(nNIA,DATOS!$A17538,nCURSO,DATOS!$D17538,nESPEC,DATOS!$E17538,nASIG,DATOS!$I17538,nEVAL,"OR")=0))</f>
      </c>
      <c r="I17538">
        <f>IF(DATOS!$I17538="","",IFERROR(VLOOKUP(DATOS!$I17538,CONFIG_ASIGNATURAS!$B$2:$J$91,9,FALSE()),""))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IF(DATOS!$A17539="",0,IF(CONFIG_METADATA!$B$4&lt;&gt;"OR+EX",--(DATOS!$G17539=CONFIG_METADATA!$B$4),IF(DATOS!$G17539="EX",1,IF(DATOS!$G17539="OR",--(COUNTIFS(nNIA,DATOS!$A17539,nCURSO,DATOS!$D17539,nESPEC,DATOS!$E17539,nASIG,DATOS!$I17539,nEVAL,"EX")=0),0))))</f>
      </c>
      <c r="H17539">
        <f>IF(DATOS!$G17539&lt;&gt;"EX",0,--(COUNTIFS(nNIA,DATOS!$A17539,nCURSO,DATOS!$D17539,nESPEC,DATOS!$E17539,nASIG,DATOS!$I17539,nEVAL,"OR")=0))</f>
      </c>
      <c r="I17539">
        <f>IF(DATOS!$I17539="","",IFERROR(VLOOKUP(DATOS!$I17539,CONFIG_ASIGNATURAS!$B$2:$J$91,9,FALSE()),""))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IF(DATOS!$A17540="",0,IF(CONFIG_METADATA!$B$4&lt;&gt;"OR+EX",--(DATOS!$G17540=CONFIG_METADATA!$B$4),IF(DATOS!$G17540="EX",1,IF(DATOS!$G17540="OR",--(COUNTIFS(nNIA,DATOS!$A17540,nCURSO,DATOS!$D17540,nESPEC,DATOS!$E17540,nASIG,DATOS!$I17540,nEVAL,"EX")=0),0))))</f>
      </c>
      <c r="H17540">
        <f>IF(DATOS!$G17540&lt;&gt;"EX",0,--(COUNTIFS(nNIA,DATOS!$A17540,nCURSO,DATOS!$D17540,nESPEC,DATOS!$E17540,nASIG,DATOS!$I17540,nEVAL,"OR")=0))</f>
      </c>
      <c r="I17540">
        <f>IF(DATOS!$I17540="","",IFERROR(VLOOKUP(DATOS!$I17540,CONFIG_ASIGNATURAS!$B$2:$J$91,9,FALSE()),""))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IF(DATOS!$A17541="",0,IF(CONFIG_METADATA!$B$4&lt;&gt;"OR+EX",--(DATOS!$G17541=CONFIG_METADATA!$B$4),IF(DATOS!$G17541="EX",1,IF(DATOS!$G17541="OR",--(COUNTIFS(nNIA,DATOS!$A17541,nCURSO,DATOS!$D17541,nESPEC,DATOS!$E17541,nASIG,DATOS!$I17541,nEVAL,"EX")=0),0))))</f>
      </c>
      <c r="H17541">
        <f>IF(DATOS!$G17541&lt;&gt;"EX",0,--(COUNTIFS(nNIA,DATOS!$A17541,nCURSO,DATOS!$D17541,nESPEC,DATOS!$E17541,nASIG,DATOS!$I17541,nEVAL,"OR")=0))</f>
      </c>
      <c r="I17541">
        <f>IF(DATOS!$I17541="","",IFERROR(VLOOKUP(DATOS!$I17541,CONFIG_ASIGNATURAS!$B$2:$J$91,9,FALSE()),""))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IF(DATOS!$A17542="",0,IF(CONFIG_METADATA!$B$4&lt;&gt;"OR+EX",--(DATOS!$G17542=CONFIG_METADATA!$B$4),IF(DATOS!$G17542="EX",1,IF(DATOS!$G17542="OR",--(COUNTIFS(nNIA,DATOS!$A17542,nCURSO,DATOS!$D17542,nESPEC,DATOS!$E17542,nASIG,DATOS!$I17542,nEVAL,"EX")=0),0))))</f>
      </c>
      <c r="H17542">
        <f>IF(DATOS!$G17542&lt;&gt;"EX",0,--(COUNTIFS(nNIA,DATOS!$A17542,nCURSO,DATOS!$D17542,nESPEC,DATOS!$E17542,nASIG,DATOS!$I17542,nEVAL,"OR")=0))</f>
      </c>
      <c r="I17542">
        <f>IF(DATOS!$I17542="","",IFERROR(VLOOKUP(DATOS!$I17542,CONFIG_ASIGNATURAS!$B$2:$J$91,9,FALSE()),""))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IF(DATOS!$A17543="",0,IF(CONFIG_METADATA!$B$4&lt;&gt;"OR+EX",--(DATOS!$G17543=CONFIG_METADATA!$B$4),IF(DATOS!$G17543="EX",1,IF(DATOS!$G17543="OR",--(COUNTIFS(nNIA,DATOS!$A17543,nCURSO,DATOS!$D17543,nESPEC,DATOS!$E17543,nASIG,DATOS!$I17543,nEVAL,"EX")=0),0))))</f>
      </c>
      <c r="H17543">
        <f>IF(DATOS!$G17543&lt;&gt;"EX",0,--(COUNTIFS(nNIA,DATOS!$A17543,nCURSO,DATOS!$D17543,nESPEC,DATOS!$E17543,nASIG,DATOS!$I17543,nEVAL,"OR")=0))</f>
      </c>
      <c r="I17543">
        <f>IF(DATOS!$I17543="","",IFERROR(VLOOKUP(DATOS!$I17543,CONFIG_ASIGNATURAS!$B$2:$J$91,9,FALSE()),""))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IF(DATOS!$A17544="",0,IF(CONFIG_METADATA!$B$4&lt;&gt;"OR+EX",--(DATOS!$G17544=CONFIG_METADATA!$B$4),IF(DATOS!$G17544="EX",1,IF(DATOS!$G17544="OR",--(COUNTIFS(nNIA,DATOS!$A17544,nCURSO,DATOS!$D17544,nESPEC,DATOS!$E17544,nASIG,DATOS!$I17544,nEVAL,"EX")=0),0))))</f>
      </c>
      <c r="H17544">
        <f>IF(DATOS!$G17544&lt;&gt;"EX",0,--(COUNTIFS(nNIA,DATOS!$A17544,nCURSO,DATOS!$D17544,nESPEC,DATOS!$E17544,nASIG,DATOS!$I17544,nEVAL,"OR")=0))</f>
      </c>
      <c r="I17544">
        <f>IF(DATOS!$I17544="","",IFERROR(VLOOKUP(DATOS!$I17544,CONFIG_ASIGNATURAS!$B$2:$J$91,9,FALSE()),""))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IF(DATOS!$A17545="",0,IF(CONFIG_METADATA!$B$4&lt;&gt;"OR+EX",--(DATOS!$G17545=CONFIG_METADATA!$B$4),IF(DATOS!$G17545="EX",1,IF(DATOS!$G17545="OR",--(COUNTIFS(nNIA,DATOS!$A17545,nCURSO,DATOS!$D17545,nESPEC,DATOS!$E17545,nASIG,DATOS!$I17545,nEVAL,"EX")=0),0))))</f>
      </c>
      <c r="H17545">
        <f>IF(DATOS!$G17545&lt;&gt;"EX",0,--(COUNTIFS(nNIA,DATOS!$A17545,nCURSO,DATOS!$D17545,nESPEC,DATOS!$E17545,nASIG,DATOS!$I17545,nEVAL,"OR")=0))</f>
      </c>
      <c r="I17545">
        <f>IF(DATOS!$I17545="","",IFERROR(VLOOKUP(DATOS!$I17545,CONFIG_ASIGNATURAS!$B$2:$J$91,9,FALSE()),""))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IF(DATOS!$A17546="",0,IF(CONFIG_METADATA!$B$4&lt;&gt;"OR+EX",--(DATOS!$G17546=CONFIG_METADATA!$B$4),IF(DATOS!$G17546="EX",1,IF(DATOS!$G17546="OR",--(COUNTIFS(nNIA,DATOS!$A17546,nCURSO,DATOS!$D17546,nESPEC,DATOS!$E17546,nASIG,DATOS!$I17546,nEVAL,"EX")=0),0))))</f>
      </c>
      <c r="H17546">
        <f>IF(DATOS!$G17546&lt;&gt;"EX",0,--(COUNTIFS(nNIA,DATOS!$A17546,nCURSO,DATOS!$D17546,nESPEC,DATOS!$E17546,nASIG,DATOS!$I17546,nEVAL,"OR")=0))</f>
      </c>
      <c r="I17546">
        <f>IF(DATOS!$I17546="","",IFERROR(VLOOKUP(DATOS!$I17546,CONFIG_ASIGNATURAS!$B$2:$J$91,9,FALSE()),""))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IF(DATOS!$A17547="",0,IF(CONFIG_METADATA!$B$4&lt;&gt;"OR+EX",--(DATOS!$G17547=CONFIG_METADATA!$B$4),IF(DATOS!$G17547="EX",1,IF(DATOS!$G17547="OR",--(COUNTIFS(nNIA,DATOS!$A17547,nCURSO,DATOS!$D17547,nESPEC,DATOS!$E17547,nASIG,DATOS!$I17547,nEVAL,"EX")=0),0))))</f>
      </c>
      <c r="H17547">
        <f>IF(DATOS!$G17547&lt;&gt;"EX",0,--(COUNTIFS(nNIA,DATOS!$A17547,nCURSO,DATOS!$D17547,nESPEC,DATOS!$E17547,nASIG,DATOS!$I17547,nEVAL,"OR")=0))</f>
      </c>
      <c r="I17547">
        <f>IF(DATOS!$I17547="","",IFERROR(VLOOKUP(DATOS!$I17547,CONFIG_ASIGNATURAS!$B$2:$J$91,9,FALSE()),""))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IF(DATOS!$A17548="",0,IF(CONFIG_METADATA!$B$4&lt;&gt;"OR+EX",--(DATOS!$G17548=CONFIG_METADATA!$B$4),IF(DATOS!$G17548="EX",1,IF(DATOS!$G17548="OR",--(COUNTIFS(nNIA,DATOS!$A17548,nCURSO,DATOS!$D17548,nESPEC,DATOS!$E17548,nASIG,DATOS!$I17548,nEVAL,"EX")=0),0))))</f>
      </c>
      <c r="H17548">
        <f>IF(DATOS!$G17548&lt;&gt;"EX",0,--(COUNTIFS(nNIA,DATOS!$A17548,nCURSO,DATOS!$D17548,nESPEC,DATOS!$E17548,nASIG,DATOS!$I17548,nEVAL,"OR")=0))</f>
      </c>
      <c r="I17548">
        <f>IF(DATOS!$I17548="","",IFERROR(VLOOKUP(DATOS!$I17548,CONFIG_ASIGNATURAS!$B$2:$J$91,9,FALSE()),""))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IF(DATOS!$A17549="",0,IF(CONFIG_METADATA!$B$4&lt;&gt;"OR+EX",--(DATOS!$G17549=CONFIG_METADATA!$B$4),IF(DATOS!$G17549="EX",1,IF(DATOS!$G17549="OR",--(COUNTIFS(nNIA,DATOS!$A17549,nCURSO,DATOS!$D17549,nESPEC,DATOS!$E17549,nASIG,DATOS!$I17549,nEVAL,"EX")=0),0))))</f>
      </c>
      <c r="H17549">
        <f>IF(DATOS!$G17549&lt;&gt;"EX",0,--(COUNTIFS(nNIA,DATOS!$A17549,nCURSO,DATOS!$D17549,nESPEC,DATOS!$E17549,nASIG,DATOS!$I17549,nEVAL,"OR")=0))</f>
      </c>
      <c r="I17549">
        <f>IF(DATOS!$I17549="","",IFERROR(VLOOKUP(DATOS!$I17549,CONFIG_ASIGNATURAS!$B$2:$J$91,9,FALSE()),""))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IF(DATOS!$A17550="",0,IF(CONFIG_METADATA!$B$4&lt;&gt;"OR+EX",--(DATOS!$G17550=CONFIG_METADATA!$B$4),IF(DATOS!$G17550="EX",1,IF(DATOS!$G17550="OR",--(COUNTIFS(nNIA,DATOS!$A17550,nCURSO,DATOS!$D17550,nESPEC,DATOS!$E17550,nASIG,DATOS!$I17550,nEVAL,"EX")=0),0))))</f>
      </c>
      <c r="H17550">
        <f>IF(DATOS!$G17550&lt;&gt;"EX",0,--(COUNTIFS(nNIA,DATOS!$A17550,nCURSO,DATOS!$D17550,nESPEC,DATOS!$E17550,nASIG,DATOS!$I17550,nEVAL,"OR")=0))</f>
      </c>
      <c r="I17550">
        <f>IF(DATOS!$I17550="","",IFERROR(VLOOKUP(DATOS!$I17550,CONFIG_ASIGNATURAS!$B$2:$J$91,9,FALSE()),""))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IF(DATOS!$A17551="",0,IF(CONFIG_METADATA!$B$4&lt;&gt;"OR+EX",--(DATOS!$G17551=CONFIG_METADATA!$B$4),IF(DATOS!$G17551="EX",1,IF(DATOS!$G17551="OR",--(COUNTIFS(nNIA,DATOS!$A17551,nCURSO,DATOS!$D17551,nESPEC,DATOS!$E17551,nASIG,DATOS!$I17551,nEVAL,"EX")=0),0))))</f>
      </c>
      <c r="H17551">
        <f>IF(DATOS!$G17551&lt;&gt;"EX",0,--(COUNTIFS(nNIA,DATOS!$A17551,nCURSO,DATOS!$D17551,nESPEC,DATOS!$E17551,nASIG,DATOS!$I17551,nEVAL,"OR")=0))</f>
      </c>
      <c r="I17551">
        <f>IF(DATOS!$I17551="","",IFERROR(VLOOKUP(DATOS!$I17551,CONFIG_ASIGNATURAS!$B$2:$J$91,9,FALSE()),""))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IF(DATOS!$A17552="",0,IF(CONFIG_METADATA!$B$4&lt;&gt;"OR+EX",--(DATOS!$G17552=CONFIG_METADATA!$B$4),IF(DATOS!$G17552="EX",1,IF(DATOS!$G17552="OR",--(COUNTIFS(nNIA,DATOS!$A17552,nCURSO,DATOS!$D17552,nESPEC,DATOS!$E17552,nASIG,DATOS!$I17552,nEVAL,"EX")=0),0))))</f>
      </c>
      <c r="H17552">
        <f>IF(DATOS!$G17552&lt;&gt;"EX",0,--(COUNTIFS(nNIA,DATOS!$A17552,nCURSO,DATOS!$D17552,nESPEC,DATOS!$E17552,nASIG,DATOS!$I17552,nEVAL,"OR")=0))</f>
      </c>
      <c r="I17552">
        <f>IF(DATOS!$I17552="","",IFERROR(VLOOKUP(DATOS!$I17552,CONFIG_ASIGNATURAS!$B$2:$J$91,9,FALSE()),""))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IF(DATOS!$A17553="",0,IF(CONFIG_METADATA!$B$4&lt;&gt;"OR+EX",--(DATOS!$G17553=CONFIG_METADATA!$B$4),IF(DATOS!$G17553="EX",1,IF(DATOS!$G17553="OR",--(COUNTIFS(nNIA,DATOS!$A17553,nCURSO,DATOS!$D17553,nESPEC,DATOS!$E17553,nASIG,DATOS!$I17553,nEVAL,"EX")=0),0))))</f>
      </c>
      <c r="H17553">
        <f>IF(DATOS!$G17553&lt;&gt;"EX",0,--(COUNTIFS(nNIA,DATOS!$A17553,nCURSO,DATOS!$D17553,nESPEC,DATOS!$E17553,nASIG,DATOS!$I17553,nEVAL,"OR")=0))</f>
      </c>
      <c r="I17553">
        <f>IF(DATOS!$I17553="","",IFERROR(VLOOKUP(DATOS!$I17553,CONFIG_ASIGNATURAS!$B$2:$J$91,9,FALSE()),""))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IF(DATOS!$A17554="",0,IF(CONFIG_METADATA!$B$4&lt;&gt;"OR+EX",--(DATOS!$G17554=CONFIG_METADATA!$B$4),IF(DATOS!$G17554="EX",1,IF(DATOS!$G17554="OR",--(COUNTIFS(nNIA,DATOS!$A17554,nCURSO,DATOS!$D17554,nESPEC,DATOS!$E17554,nASIG,DATOS!$I17554,nEVAL,"EX")=0),0))))</f>
      </c>
      <c r="H17554">
        <f>IF(DATOS!$G17554&lt;&gt;"EX",0,--(COUNTIFS(nNIA,DATOS!$A17554,nCURSO,DATOS!$D17554,nESPEC,DATOS!$E17554,nASIG,DATOS!$I17554,nEVAL,"OR")=0))</f>
      </c>
      <c r="I17554">
        <f>IF(DATOS!$I17554="","",IFERROR(VLOOKUP(DATOS!$I17554,CONFIG_ASIGNATURAS!$B$2:$J$91,9,FALSE()),""))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IF(DATOS!$A17555="",0,IF(CONFIG_METADATA!$B$4&lt;&gt;"OR+EX",--(DATOS!$G17555=CONFIG_METADATA!$B$4),IF(DATOS!$G17555="EX",1,IF(DATOS!$G17555="OR",--(COUNTIFS(nNIA,DATOS!$A17555,nCURSO,DATOS!$D17555,nESPEC,DATOS!$E17555,nASIG,DATOS!$I17555,nEVAL,"EX")=0),0))))</f>
      </c>
      <c r="H17555">
        <f>IF(DATOS!$G17555&lt;&gt;"EX",0,--(COUNTIFS(nNIA,DATOS!$A17555,nCURSO,DATOS!$D17555,nESPEC,DATOS!$E17555,nASIG,DATOS!$I17555,nEVAL,"OR")=0))</f>
      </c>
      <c r="I17555">
        <f>IF(DATOS!$I17555="","",IFERROR(VLOOKUP(DATOS!$I17555,CONFIG_ASIGNATURAS!$B$2:$J$91,9,FALSE()),""))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IF(DATOS!$A17556="",0,IF(CONFIG_METADATA!$B$4&lt;&gt;"OR+EX",--(DATOS!$G17556=CONFIG_METADATA!$B$4),IF(DATOS!$G17556="EX",1,IF(DATOS!$G17556="OR",--(COUNTIFS(nNIA,DATOS!$A17556,nCURSO,DATOS!$D17556,nESPEC,DATOS!$E17556,nASIG,DATOS!$I17556,nEVAL,"EX")=0),0))))</f>
      </c>
      <c r="H17556">
        <f>IF(DATOS!$G17556&lt;&gt;"EX",0,--(COUNTIFS(nNIA,DATOS!$A17556,nCURSO,DATOS!$D17556,nESPEC,DATOS!$E17556,nASIG,DATOS!$I17556,nEVAL,"OR")=0))</f>
      </c>
      <c r="I17556">
        <f>IF(DATOS!$I17556="","",IFERROR(VLOOKUP(DATOS!$I17556,CONFIG_ASIGNATURAS!$B$2:$J$91,9,FALSE()),""))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IF(DATOS!$A17557="",0,IF(CONFIG_METADATA!$B$4&lt;&gt;"OR+EX",--(DATOS!$G17557=CONFIG_METADATA!$B$4),IF(DATOS!$G17557="EX",1,IF(DATOS!$G17557="OR",--(COUNTIFS(nNIA,DATOS!$A17557,nCURSO,DATOS!$D17557,nESPEC,DATOS!$E17557,nASIG,DATOS!$I17557,nEVAL,"EX")=0),0))))</f>
      </c>
      <c r="H17557">
        <f>IF(DATOS!$G17557&lt;&gt;"EX",0,--(COUNTIFS(nNIA,DATOS!$A17557,nCURSO,DATOS!$D17557,nESPEC,DATOS!$E17557,nASIG,DATOS!$I17557,nEVAL,"OR")=0))</f>
      </c>
      <c r="I17557">
        <f>IF(DATOS!$I17557="","",IFERROR(VLOOKUP(DATOS!$I17557,CONFIG_ASIGNATURAS!$B$2:$J$91,9,FALSE()),""))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IF(DATOS!$A17558="",0,IF(CONFIG_METADATA!$B$4&lt;&gt;"OR+EX",--(DATOS!$G17558=CONFIG_METADATA!$B$4),IF(DATOS!$G17558="EX",1,IF(DATOS!$G17558="OR",--(COUNTIFS(nNIA,DATOS!$A17558,nCURSO,DATOS!$D17558,nESPEC,DATOS!$E17558,nASIG,DATOS!$I17558,nEVAL,"EX")=0),0))))</f>
      </c>
      <c r="H17558">
        <f>IF(DATOS!$G17558&lt;&gt;"EX",0,--(COUNTIFS(nNIA,DATOS!$A17558,nCURSO,DATOS!$D17558,nESPEC,DATOS!$E17558,nASIG,DATOS!$I17558,nEVAL,"OR")=0))</f>
      </c>
      <c r="I17558">
        <f>IF(DATOS!$I17558="","",IFERROR(VLOOKUP(DATOS!$I17558,CONFIG_ASIGNATURAS!$B$2:$J$91,9,FALSE()),""))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IF(DATOS!$A17559="",0,IF(CONFIG_METADATA!$B$4&lt;&gt;"OR+EX",--(DATOS!$G17559=CONFIG_METADATA!$B$4),IF(DATOS!$G17559="EX",1,IF(DATOS!$G17559="OR",--(COUNTIFS(nNIA,DATOS!$A17559,nCURSO,DATOS!$D17559,nESPEC,DATOS!$E17559,nASIG,DATOS!$I17559,nEVAL,"EX")=0),0))))</f>
      </c>
      <c r="H17559">
        <f>IF(DATOS!$G17559&lt;&gt;"EX",0,--(COUNTIFS(nNIA,DATOS!$A17559,nCURSO,DATOS!$D17559,nESPEC,DATOS!$E17559,nASIG,DATOS!$I17559,nEVAL,"OR")=0))</f>
      </c>
      <c r="I17559">
        <f>IF(DATOS!$I17559="","",IFERROR(VLOOKUP(DATOS!$I17559,CONFIG_ASIGNATURAS!$B$2:$J$91,9,FALSE()),""))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IF(DATOS!$A17560="",0,IF(CONFIG_METADATA!$B$4&lt;&gt;"OR+EX",--(DATOS!$G17560=CONFIG_METADATA!$B$4),IF(DATOS!$G17560="EX",1,IF(DATOS!$G17560="OR",--(COUNTIFS(nNIA,DATOS!$A17560,nCURSO,DATOS!$D17560,nESPEC,DATOS!$E17560,nASIG,DATOS!$I17560,nEVAL,"EX")=0),0))))</f>
      </c>
      <c r="H17560">
        <f>IF(DATOS!$G17560&lt;&gt;"EX",0,--(COUNTIFS(nNIA,DATOS!$A17560,nCURSO,DATOS!$D17560,nESPEC,DATOS!$E17560,nASIG,DATOS!$I17560,nEVAL,"OR")=0))</f>
      </c>
      <c r="I17560">
        <f>IF(DATOS!$I17560="","",IFERROR(VLOOKUP(DATOS!$I17560,CONFIG_ASIGNATURAS!$B$2:$J$91,9,FALSE()),""))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IF(DATOS!$A17561="",0,IF(CONFIG_METADATA!$B$4&lt;&gt;"OR+EX",--(DATOS!$G17561=CONFIG_METADATA!$B$4),IF(DATOS!$G17561="EX",1,IF(DATOS!$G17561="OR",--(COUNTIFS(nNIA,DATOS!$A17561,nCURSO,DATOS!$D17561,nESPEC,DATOS!$E17561,nASIG,DATOS!$I17561,nEVAL,"EX")=0),0))))</f>
      </c>
      <c r="H17561">
        <f>IF(DATOS!$G17561&lt;&gt;"EX",0,--(COUNTIFS(nNIA,DATOS!$A17561,nCURSO,DATOS!$D17561,nESPEC,DATOS!$E17561,nASIG,DATOS!$I17561,nEVAL,"OR")=0))</f>
      </c>
      <c r="I17561">
        <f>IF(DATOS!$I17561="","",IFERROR(VLOOKUP(DATOS!$I17561,CONFIG_ASIGNATURAS!$B$2:$J$91,9,FALSE()),""))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IF(DATOS!$A17562="",0,IF(CONFIG_METADATA!$B$4&lt;&gt;"OR+EX",--(DATOS!$G17562=CONFIG_METADATA!$B$4),IF(DATOS!$G17562="EX",1,IF(DATOS!$G17562="OR",--(COUNTIFS(nNIA,DATOS!$A17562,nCURSO,DATOS!$D17562,nESPEC,DATOS!$E17562,nASIG,DATOS!$I17562,nEVAL,"EX")=0),0))))</f>
      </c>
      <c r="H17562">
        <f>IF(DATOS!$G17562&lt;&gt;"EX",0,--(COUNTIFS(nNIA,DATOS!$A17562,nCURSO,DATOS!$D17562,nESPEC,DATOS!$E17562,nASIG,DATOS!$I17562,nEVAL,"OR")=0))</f>
      </c>
      <c r="I17562">
        <f>IF(DATOS!$I17562="","",IFERROR(VLOOKUP(DATOS!$I17562,CONFIG_ASIGNATURAS!$B$2:$J$91,9,FALSE()),""))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IF(DATOS!$A17563="",0,IF(CONFIG_METADATA!$B$4&lt;&gt;"OR+EX",--(DATOS!$G17563=CONFIG_METADATA!$B$4),IF(DATOS!$G17563="EX",1,IF(DATOS!$G17563="OR",--(COUNTIFS(nNIA,DATOS!$A17563,nCURSO,DATOS!$D17563,nESPEC,DATOS!$E17563,nASIG,DATOS!$I17563,nEVAL,"EX")=0),0))))</f>
      </c>
      <c r="H17563">
        <f>IF(DATOS!$G17563&lt;&gt;"EX",0,--(COUNTIFS(nNIA,DATOS!$A17563,nCURSO,DATOS!$D17563,nESPEC,DATOS!$E17563,nASIG,DATOS!$I17563,nEVAL,"OR")=0))</f>
      </c>
      <c r="I17563">
        <f>IF(DATOS!$I17563="","",IFERROR(VLOOKUP(DATOS!$I17563,CONFIG_ASIGNATURAS!$B$2:$J$91,9,FALSE()),""))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IF(DATOS!$A17564="",0,IF(CONFIG_METADATA!$B$4&lt;&gt;"OR+EX",--(DATOS!$G17564=CONFIG_METADATA!$B$4),IF(DATOS!$G17564="EX",1,IF(DATOS!$G17564="OR",--(COUNTIFS(nNIA,DATOS!$A17564,nCURSO,DATOS!$D17564,nESPEC,DATOS!$E17564,nASIG,DATOS!$I17564,nEVAL,"EX")=0),0))))</f>
      </c>
      <c r="H17564">
        <f>IF(DATOS!$G17564&lt;&gt;"EX",0,--(COUNTIFS(nNIA,DATOS!$A17564,nCURSO,DATOS!$D17564,nESPEC,DATOS!$E17564,nASIG,DATOS!$I17564,nEVAL,"OR")=0))</f>
      </c>
      <c r="I17564">
        <f>IF(DATOS!$I17564="","",IFERROR(VLOOKUP(DATOS!$I17564,CONFIG_ASIGNATURAS!$B$2:$J$91,9,FALSE()),""))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IF(DATOS!$A17565="",0,IF(CONFIG_METADATA!$B$4&lt;&gt;"OR+EX",--(DATOS!$G17565=CONFIG_METADATA!$B$4),IF(DATOS!$G17565="EX",1,IF(DATOS!$G17565="OR",--(COUNTIFS(nNIA,DATOS!$A17565,nCURSO,DATOS!$D17565,nESPEC,DATOS!$E17565,nASIG,DATOS!$I17565,nEVAL,"EX")=0),0))))</f>
      </c>
      <c r="H17565">
        <f>IF(DATOS!$G17565&lt;&gt;"EX",0,--(COUNTIFS(nNIA,DATOS!$A17565,nCURSO,DATOS!$D17565,nESPEC,DATOS!$E17565,nASIG,DATOS!$I17565,nEVAL,"OR")=0))</f>
      </c>
      <c r="I17565">
        <f>IF(DATOS!$I17565="","",IFERROR(VLOOKUP(DATOS!$I17565,CONFIG_ASIGNATURAS!$B$2:$J$91,9,FALSE()),""))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IF(DATOS!$A17566="",0,IF(CONFIG_METADATA!$B$4&lt;&gt;"OR+EX",--(DATOS!$G17566=CONFIG_METADATA!$B$4),IF(DATOS!$G17566="EX",1,IF(DATOS!$G17566="OR",--(COUNTIFS(nNIA,DATOS!$A17566,nCURSO,DATOS!$D17566,nESPEC,DATOS!$E17566,nASIG,DATOS!$I17566,nEVAL,"EX")=0),0))))</f>
      </c>
      <c r="H17566">
        <f>IF(DATOS!$G17566&lt;&gt;"EX",0,--(COUNTIFS(nNIA,DATOS!$A17566,nCURSO,DATOS!$D17566,nESPEC,DATOS!$E17566,nASIG,DATOS!$I17566,nEVAL,"OR")=0))</f>
      </c>
      <c r="I17566">
        <f>IF(DATOS!$I17566="","",IFERROR(VLOOKUP(DATOS!$I17566,CONFIG_ASIGNATURAS!$B$2:$J$91,9,FALSE()),""))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IF(DATOS!$A17567="",0,IF(CONFIG_METADATA!$B$4&lt;&gt;"OR+EX",--(DATOS!$G17567=CONFIG_METADATA!$B$4),IF(DATOS!$G17567="EX",1,IF(DATOS!$G17567="OR",--(COUNTIFS(nNIA,DATOS!$A17567,nCURSO,DATOS!$D17567,nESPEC,DATOS!$E17567,nASIG,DATOS!$I17567,nEVAL,"EX")=0),0))))</f>
      </c>
      <c r="H17567">
        <f>IF(DATOS!$G17567&lt;&gt;"EX",0,--(COUNTIFS(nNIA,DATOS!$A17567,nCURSO,DATOS!$D17567,nESPEC,DATOS!$E17567,nASIG,DATOS!$I17567,nEVAL,"OR")=0))</f>
      </c>
      <c r="I17567">
        <f>IF(DATOS!$I17567="","",IFERROR(VLOOKUP(DATOS!$I17567,CONFIG_ASIGNATURAS!$B$2:$J$91,9,FALSE()),""))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IF(DATOS!$A17568="",0,IF(CONFIG_METADATA!$B$4&lt;&gt;"OR+EX",--(DATOS!$G17568=CONFIG_METADATA!$B$4),IF(DATOS!$G17568="EX",1,IF(DATOS!$G17568="OR",--(COUNTIFS(nNIA,DATOS!$A17568,nCURSO,DATOS!$D17568,nESPEC,DATOS!$E17568,nASIG,DATOS!$I17568,nEVAL,"EX")=0),0))))</f>
      </c>
      <c r="H17568">
        <f>IF(DATOS!$G17568&lt;&gt;"EX",0,--(COUNTIFS(nNIA,DATOS!$A17568,nCURSO,DATOS!$D17568,nESPEC,DATOS!$E17568,nASIG,DATOS!$I17568,nEVAL,"OR")=0))</f>
      </c>
      <c r="I17568">
        <f>IF(DATOS!$I17568="","",IFERROR(VLOOKUP(DATOS!$I17568,CONFIG_ASIGNATURAS!$B$2:$J$91,9,FALSE()),""))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IF(DATOS!$A17569="",0,IF(CONFIG_METADATA!$B$4&lt;&gt;"OR+EX",--(DATOS!$G17569=CONFIG_METADATA!$B$4),IF(DATOS!$G17569="EX",1,IF(DATOS!$G17569="OR",--(COUNTIFS(nNIA,DATOS!$A17569,nCURSO,DATOS!$D17569,nESPEC,DATOS!$E17569,nASIG,DATOS!$I17569,nEVAL,"EX")=0),0))))</f>
      </c>
      <c r="H17569">
        <f>IF(DATOS!$G17569&lt;&gt;"EX",0,--(COUNTIFS(nNIA,DATOS!$A17569,nCURSO,DATOS!$D17569,nESPEC,DATOS!$E17569,nASIG,DATOS!$I17569,nEVAL,"OR")=0))</f>
      </c>
      <c r="I17569">
        <f>IF(DATOS!$I17569="","",IFERROR(VLOOKUP(DATOS!$I17569,CONFIG_ASIGNATURAS!$B$2:$J$91,9,FALSE()),""))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IF(DATOS!$A17570="",0,IF(CONFIG_METADATA!$B$4&lt;&gt;"OR+EX",--(DATOS!$G17570=CONFIG_METADATA!$B$4),IF(DATOS!$G17570="EX",1,IF(DATOS!$G17570="OR",--(COUNTIFS(nNIA,DATOS!$A17570,nCURSO,DATOS!$D17570,nESPEC,DATOS!$E17570,nASIG,DATOS!$I17570,nEVAL,"EX")=0),0))))</f>
      </c>
      <c r="H17570">
        <f>IF(DATOS!$G17570&lt;&gt;"EX",0,--(COUNTIFS(nNIA,DATOS!$A17570,nCURSO,DATOS!$D17570,nESPEC,DATOS!$E17570,nASIG,DATOS!$I17570,nEVAL,"OR")=0))</f>
      </c>
      <c r="I17570">
        <f>IF(DATOS!$I17570="","",IFERROR(VLOOKUP(DATOS!$I17570,CONFIG_ASIGNATURAS!$B$2:$J$91,9,FALSE()),""))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IF(DATOS!$A17571="",0,IF(CONFIG_METADATA!$B$4&lt;&gt;"OR+EX",--(DATOS!$G17571=CONFIG_METADATA!$B$4),IF(DATOS!$G17571="EX",1,IF(DATOS!$G17571="OR",--(COUNTIFS(nNIA,DATOS!$A17571,nCURSO,DATOS!$D17571,nESPEC,DATOS!$E17571,nASIG,DATOS!$I17571,nEVAL,"EX")=0),0))))</f>
      </c>
      <c r="H17571">
        <f>IF(DATOS!$G17571&lt;&gt;"EX",0,--(COUNTIFS(nNIA,DATOS!$A17571,nCURSO,DATOS!$D17571,nESPEC,DATOS!$E17571,nASIG,DATOS!$I17571,nEVAL,"OR")=0))</f>
      </c>
      <c r="I17571">
        <f>IF(DATOS!$I17571="","",IFERROR(VLOOKUP(DATOS!$I17571,CONFIG_ASIGNATURAS!$B$2:$J$91,9,FALSE()),""))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IF(DATOS!$A17572="",0,IF(CONFIG_METADATA!$B$4&lt;&gt;"OR+EX",--(DATOS!$G17572=CONFIG_METADATA!$B$4),IF(DATOS!$G17572="EX",1,IF(DATOS!$G17572="OR",--(COUNTIFS(nNIA,DATOS!$A17572,nCURSO,DATOS!$D17572,nESPEC,DATOS!$E17572,nASIG,DATOS!$I17572,nEVAL,"EX")=0),0))))</f>
      </c>
      <c r="H17572">
        <f>IF(DATOS!$G17572&lt;&gt;"EX",0,--(COUNTIFS(nNIA,DATOS!$A17572,nCURSO,DATOS!$D17572,nESPEC,DATOS!$E17572,nASIG,DATOS!$I17572,nEVAL,"OR")=0))</f>
      </c>
      <c r="I17572">
        <f>IF(DATOS!$I17572="","",IFERROR(VLOOKUP(DATOS!$I17572,CONFIG_ASIGNATURAS!$B$2:$J$91,9,FALSE()),""))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IF(DATOS!$A17573="",0,IF(CONFIG_METADATA!$B$4&lt;&gt;"OR+EX",--(DATOS!$G17573=CONFIG_METADATA!$B$4),IF(DATOS!$G17573="EX",1,IF(DATOS!$G17573="OR",--(COUNTIFS(nNIA,DATOS!$A17573,nCURSO,DATOS!$D17573,nESPEC,DATOS!$E17573,nASIG,DATOS!$I17573,nEVAL,"EX")=0),0))))</f>
      </c>
      <c r="H17573">
        <f>IF(DATOS!$G17573&lt;&gt;"EX",0,--(COUNTIFS(nNIA,DATOS!$A17573,nCURSO,DATOS!$D17573,nESPEC,DATOS!$E17573,nASIG,DATOS!$I17573,nEVAL,"OR")=0))</f>
      </c>
      <c r="I17573">
        <f>IF(DATOS!$I17573="","",IFERROR(VLOOKUP(DATOS!$I17573,CONFIG_ASIGNATURAS!$B$2:$J$91,9,FALSE()),""))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IF(DATOS!$A17574="",0,IF(CONFIG_METADATA!$B$4&lt;&gt;"OR+EX",--(DATOS!$G17574=CONFIG_METADATA!$B$4),IF(DATOS!$G17574="EX",1,IF(DATOS!$G17574="OR",--(COUNTIFS(nNIA,DATOS!$A17574,nCURSO,DATOS!$D17574,nESPEC,DATOS!$E17574,nASIG,DATOS!$I17574,nEVAL,"EX")=0),0))))</f>
      </c>
      <c r="H17574">
        <f>IF(DATOS!$G17574&lt;&gt;"EX",0,--(COUNTIFS(nNIA,DATOS!$A17574,nCURSO,DATOS!$D17574,nESPEC,DATOS!$E17574,nASIG,DATOS!$I17574,nEVAL,"OR")=0))</f>
      </c>
      <c r="I17574">
        <f>IF(DATOS!$I17574="","",IFERROR(VLOOKUP(DATOS!$I17574,CONFIG_ASIGNATURAS!$B$2:$J$91,9,FALSE()),""))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IF(DATOS!$A17575="",0,IF(CONFIG_METADATA!$B$4&lt;&gt;"OR+EX",--(DATOS!$G17575=CONFIG_METADATA!$B$4),IF(DATOS!$G17575="EX",1,IF(DATOS!$G17575="OR",--(COUNTIFS(nNIA,DATOS!$A17575,nCURSO,DATOS!$D17575,nESPEC,DATOS!$E17575,nASIG,DATOS!$I17575,nEVAL,"EX")=0),0))))</f>
      </c>
      <c r="H17575">
        <f>IF(DATOS!$G17575&lt;&gt;"EX",0,--(COUNTIFS(nNIA,DATOS!$A17575,nCURSO,DATOS!$D17575,nESPEC,DATOS!$E17575,nASIG,DATOS!$I17575,nEVAL,"OR")=0))</f>
      </c>
      <c r="I17575">
        <f>IF(DATOS!$I17575="","",IFERROR(VLOOKUP(DATOS!$I17575,CONFIG_ASIGNATURAS!$B$2:$J$91,9,FALSE()),""))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IF(DATOS!$A17576="",0,IF(CONFIG_METADATA!$B$4&lt;&gt;"OR+EX",--(DATOS!$G17576=CONFIG_METADATA!$B$4),IF(DATOS!$G17576="EX",1,IF(DATOS!$G17576="OR",--(COUNTIFS(nNIA,DATOS!$A17576,nCURSO,DATOS!$D17576,nESPEC,DATOS!$E17576,nASIG,DATOS!$I17576,nEVAL,"EX")=0),0))))</f>
      </c>
      <c r="H17576">
        <f>IF(DATOS!$G17576&lt;&gt;"EX",0,--(COUNTIFS(nNIA,DATOS!$A17576,nCURSO,DATOS!$D17576,nESPEC,DATOS!$E17576,nASIG,DATOS!$I17576,nEVAL,"OR")=0))</f>
      </c>
      <c r="I17576">
        <f>IF(DATOS!$I17576="","",IFERROR(VLOOKUP(DATOS!$I17576,CONFIG_ASIGNATURAS!$B$2:$J$91,9,FALSE()),""))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IF(DATOS!$A17577="",0,IF(CONFIG_METADATA!$B$4&lt;&gt;"OR+EX",--(DATOS!$G17577=CONFIG_METADATA!$B$4),IF(DATOS!$G17577="EX",1,IF(DATOS!$G17577="OR",--(COUNTIFS(nNIA,DATOS!$A17577,nCURSO,DATOS!$D17577,nESPEC,DATOS!$E17577,nASIG,DATOS!$I17577,nEVAL,"EX")=0),0))))</f>
      </c>
      <c r="H17577">
        <f>IF(DATOS!$G17577&lt;&gt;"EX",0,--(COUNTIFS(nNIA,DATOS!$A17577,nCURSO,DATOS!$D17577,nESPEC,DATOS!$E17577,nASIG,DATOS!$I17577,nEVAL,"OR")=0))</f>
      </c>
      <c r="I17577">
        <f>IF(DATOS!$I17577="","",IFERROR(VLOOKUP(DATOS!$I17577,CONFIG_ASIGNATURAS!$B$2:$J$91,9,FALSE()),""))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IF(DATOS!$A17578="",0,IF(CONFIG_METADATA!$B$4&lt;&gt;"OR+EX",--(DATOS!$G17578=CONFIG_METADATA!$B$4),IF(DATOS!$G17578="EX",1,IF(DATOS!$G17578="OR",--(COUNTIFS(nNIA,DATOS!$A17578,nCURSO,DATOS!$D17578,nESPEC,DATOS!$E17578,nASIG,DATOS!$I17578,nEVAL,"EX")=0),0))))</f>
      </c>
      <c r="H17578">
        <f>IF(DATOS!$G17578&lt;&gt;"EX",0,--(COUNTIFS(nNIA,DATOS!$A17578,nCURSO,DATOS!$D17578,nESPEC,DATOS!$E17578,nASIG,DATOS!$I17578,nEVAL,"OR")=0))</f>
      </c>
      <c r="I17578">
        <f>IF(DATOS!$I17578="","",IFERROR(VLOOKUP(DATOS!$I17578,CONFIG_ASIGNATURAS!$B$2:$J$91,9,FALSE()),""))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IF(DATOS!$A17579="",0,IF(CONFIG_METADATA!$B$4&lt;&gt;"OR+EX",--(DATOS!$G17579=CONFIG_METADATA!$B$4),IF(DATOS!$G17579="EX",1,IF(DATOS!$G17579="OR",--(COUNTIFS(nNIA,DATOS!$A17579,nCURSO,DATOS!$D17579,nESPEC,DATOS!$E17579,nASIG,DATOS!$I17579,nEVAL,"EX")=0),0))))</f>
      </c>
      <c r="H17579">
        <f>IF(DATOS!$G17579&lt;&gt;"EX",0,--(COUNTIFS(nNIA,DATOS!$A17579,nCURSO,DATOS!$D17579,nESPEC,DATOS!$E17579,nASIG,DATOS!$I17579,nEVAL,"OR")=0))</f>
      </c>
      <c r="I17579">
        <f>IF(DATOS!$I17579="","",IFERROR(VLOOKUP(DATOS!$I17579,CONFIG_ASIGNATURAS!$B$2:$J$91,9,FALSE()),""))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IF(DATOS!$A17580="",0,IF(CONFIG_METADATA!$B$4&lt;&gt;"OR+EX",--(DATOS!$G17580=CONFIG_METADATA!$B$4),IF(DATOS!$G17580="EX",1,IF(DATOS!$G17580="OR",--(COUNTIFS(nNIA,DATOS!$A17580,nCURSO,DATOS!$D17580,nESPEC,DATOS!$E17580,nASIG,DATOS!$I17580,nEVAL,"EX")=0),0))))</f>
      </c>
      <c r="H17580">
        <f>IF(DATOS!$G17580&lt;&gt;"EX",0,--(COUNTIFS(nNIA,DATOS!$A17580,nCURSO,DATOS!$D17580,nESPEC,DATOS!$E17580,nASIG,DATOS!$I17580,nEVAL,"OR")=0))</f>
      </c>
      <c r="I17580">
        <f>IF(DATOS!$I17580="","",IFERROR(VLOOKUP(DATOS!$I17580,CONFIG_ASIGNATURAS!$B$2:$J$91,9,FALSE()),""))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IF(DATOS!$A17581="",0,IF(CONFIG_METADATA!$B$4&lt;&gt;"OR+EX",--(DATOS!$G17581=CONFIG_METADATA!$B$4),IF(DATOS!$G17581="EX",1,IF(DATOS!$G17581="OR",--(COUNTIFS(nNIA,DATOS!$A17581,nCURSO,DATOS!$D17581,nESPEC,DATOS!$E17581,nASIG,DATOS!$I17581,nEVAL,"EX")=0),0))))</f>
      </c>
      <c r="H17581">
        <f>IF(DATOS!$G17581&lt;&gt;"EX",0,--(COUNTIFS(nNIA,DATOS!$A17581,nCURSO,DATOS!$D17581,nESPEC,DATOS!$E17581,nASIG,DATOS!$I17581,nEVAL,"OR")=0))</f>
      </c>
      <c r="I17581">
        <f>IF(DATOS!$I17581="","",IFERROR(VLOOKUP(DATOS!$I17581,CONFIG_ASIGNATURAS!$B$2:$J$91,9,FALSE()),""))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IF(DATOS!$A17582="",0,IF(CONFIG_METADATA!$B$4&lt;&gt;"OR+EX",--(DATOS!$G17582=CONFIG_METADATA!$B$4),IF(DATOS!$G17582="EX",1,IF(DATOS!$G17582="OR",--(COUNTIFS(nNIA,DATOS!$A17582,nCURSO,DATOS!$D17582,nESPEC,DATOS!$E17582,nASIG,DATOS!$I17582,nEVAL,"EX")=0),0))))</f>
      </c>
      <c r="H17582">
        <f>IF(DATOS!$G17582&lt;&gt;"EX",0,--(COUNTIFS(nNIA,DATOS!$A17582,nCURSO,DATOS!$D17582,nESPEC,DATOS!$E17582,nASIG,DATOS!$I17582,nEVAL,"OR")=0))</f>
      </c>
      <c r="I17582">
        <f>IF(DATOS!$I17582="","",IFERROR(VLOOKUP(DATOS!$I17582,CONFIG_ASIGNATURAS!$B$2:$J$91,9,FALSE()),""))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IF(DATOS!$A17583="",0,IF(CONFIG_METADATA!$B$4&lt;&gt;"OR+EX",--(DATOS!$G17583=CONFIG_METADATA!$B$4),IF(DATOS!$G17583="EX",1,IF(DATOS!$G17583="OR",--(COUNTIFS(nNIA,DATOS!$A17583,nCURSO,DATOS!$D17583,nESPEC,DATOS!$E17583,nASIG,DATOS!$I17583,nEVAL,"EX")=0),0))))</f>
      </c>
      <c r="H17583">
        <f>IF(DATOS!$G17583&lt;&gt;"EX",0,--(COUNTIFS(nNIA,DATOS!$A17583,nCURSO,DATOS!$D17583,nESPEC,DATOS!$E17583,nASIG,DATOS!$I17583,nEVAL,"OR")=0))</f>
      </c>
      <c r="I17583">
        <f>IF(DATOS!$I17583="","",IFERROR(VLOOKUP(DATOS!$I17583,CONFIG_ASIGNATURAS!$B$2:$J$91,9,FALSE()),""))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IF(DATOS!$A17584="",0,IF(CONFIG_METADATA!$B$4&lt;&gt;"OR+EX",--(DATOS!$G17584=CONFIG_METADATA!$B$4),IF(DATOS!$G17584="EX",1,IF(DATOS!$G17584="OR",--(COUNTIFS(nNIA,DATOS!$A17584,nCURSO,DATOS!$D17584,nESPEC,DATOS!$E17584,nASIG,DATOS!$I17584,nEVAL,"EX")=0),0))))</f>
      </c>
      <c r="H17584">
        <f>IF(DATOS!$G17584&lt;&gt;"EX",0,--(COUNTIFS(nNIA,DATOS!$A17584,nCURSO,DATOS!$D17584,nESPEC,DATOS!$E17584,nASIG,DATOS!$I17584,nEVAL,"OR")=0))</f>
      </c>
      <c r="I17584">
        <f>IF(DATOS!$I17584="","",IFERROR(VLOOKUP(DATOS!$I17584,CONFIG_ASIGNATURAS!$B$2:$J$91,9,FALSE()),""))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IF(DATOS!$A17585="",0,IF(CONFIG_METADATA!$B$4&lt;&gt;"OR+EX",--(DATOS!$G17585=CONFIG_METADATA!$B$4),IF(DATOS!$G17585="EX",1,IF(DATOS!$G17585="OR",--(COUNTIFS(nNIA,DATOS!$A17585,nCURSO,DATOS!$D17585,nESPEC,DATOS!$E17585,nASIG,DATOS!$I17585,nEVAL,"EX")=0),0))))</f>
      </c>
      <c r="H17585">
        <f>IF(DATOS!$G17585&lt;&gt;"EX",0,--(COUNTIFS(nNIA,DATOS!$A17585,nCURSO,DATOS!$D17585,nESPEC,DATOS!$E17585,nASIG,DATOS!$I17585,nEVAL,"OR")=0))</f>
      </c>
      <c r="I17585">
        <f>IF(DATOS!$I17585="","",IFERROR(VLOOKUP(DATOS!$I17585,CONFIG_ASIGNATURAS!$B$2:$J$91,9,FALSE()),""))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IF(DATOS!$A17586="",0,IF(CONFIG_METADATA!$B$4&lt;&gt;"OR+EX",--(DATOS!$G17586=CONFIG_METADATA!$B$4),IF(DATOS!$G17586="EX",1,IF(DATOS!$G17586="OR",--(COUNTIFS(nNIA,DATOS!$A17586,nCURSO,DATOS!$D17586,nESPEC,DATOS!$E17586,nASIG,DATOS!$I17586,nEVAL,"EX")=0),0))))</f>
      </c>
      <c r="H17586">
        <f>IF(DATOS!$G17586&lt;&gt;"EX",0,--(COUNTIFS(nNIA,DATOS!$A17586,nCURSO,DATOS!$D17586,nESPEC,DATOS!$E17586,nASIG,DATOS!$I17586,nEVAL,"OR")=0))</f>
      </c>
      <c r="I17586">
        <f>IF(DATOS!$I17586="","",IFERROR(VLOOKUP(DATOS!$I17586,CONFIG_ASIGNATURAS!$B$2:$J$91,9,FALSE()),""))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IF(DATOS!$A17587="",0,IF(CONFIG_METADATA!$B$4&lt;&gt;"OR+EX",--(DATOS!$G17587=CONFIG_METADATA!$B$4),IF(DATOS!$G17587="EX",1,IF(DATOS!$G17587="OR",--(COUNTIFS(nNIA,DATOS!$A17587,nCURSO,DATOS!$D17587,nESPEC,DATOS!$E17587,nASIG,DATOS!$I17587,nEVAL,"EX")=0),0))))</f>
      </c>
      <c r="H17587">
        <f>IF(DATOS!$G17587&lt;&gt;"EX",0,--(COUNTIFS(nNIA,DATOS!$A17587,nCURSO,DATOS!$D17587,nESPEC,DATOS!$E17587,nASIG,DATOS!$I17587,nEVAL,"OR")=0))</f>
      </c>
      <c r="I17587">
        <f>IF(DATOS!$I17587="","",IFERROR(VLOOKUP(DATOS!$I17587,CONFIG_ASIGNATURAS!$B$2:$J$91,9,FALSE()),""))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IF(DATOS!$A17588="",0,IF(CONFIG_METADATA!$B$4&lt;&gt;"OR+EX",--(DATOS!$G17588=CONFIG_METADATA!$B$4),IF(DATOS!$G17588="EX",1,IF(DATOS!$G17588="OR",--(COUNTIFS(nNIA,DATOS!$A17588,nCURSO,DATOS!$D17588,nESPEC,DATOS!$E17588,nASIG,DATOS!$I17588,nEVAL,"EX")=0),0))))</f>
      </c>
      <c r="H17588">
        <f>IF(DATOS!$G17588&lt;&gt;"EX",0,--(COUNTIFS(nNIA,DATOS!$A17588,nCURSO,DATOS!$D17588,nESPEC,DATOS!$E17588,nASIG,DATOS!$I17588,nEVAL,"OR")=0))</f>
      </c>
      <c r="I17588">
        <f>IF(DATOS!$I17588="","",IFERROR(VLOOKUP(DATOS!$I17588,CONFIG_ASIGNATURAS!$B$2:$J$91,9,FALSE()),""))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IF(DATOS!$A17589="",0,IF(CONFIG_METADATA!$B$4&lt;&gt;"OR+EX",--(DATOS!$G17589=CONFIG_METADATA!$B$4),IF(DATOS!$G17589="EX",1,IF(DATOS!$G17589="OR",--(COUNTIFS(nNIA,DATOS!$A17589,nCURSO,DATOS!$D17589,nESPEC,DATOS!$E17589,nASIG,DATOS!$I17589,nEVAL,"EX")=0),0))))</f>
      </c>
      <c r="H17589">
        <f>IF(DATOS!$G17589&lt;&gt;"EX",0,--(COUNTIFS(nNIA,DATOS!$A17589,nCURSO,DATOS!$D17589,nESPEC,DATOS!$E17589,nASIG,DATOS!$I17589,nEVAL,"OR")=0))</f>
      </c>
      <c r="I17589">
        <f>IF(DATOS!$I17589="","",IFERROR(VLOOKUP(DATOS!$I17589,CONFIG_ASIGNATURAS!$B$2:$J$91,9,FALSE()),""))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IF(DATOS!$A17590="",0,IF(CONFIG_METADATA!$B$4&lt;&gt;"OR+EX",--(DATOS!$G17590=CONFIG_METADATA!$B$4),IF(DATOS!$G17590="EX",1,IF(DATOS!$G17590="OR",--(COUNTIFS(nNIA,DATOS!$A17590,nCURSO,DATOS!$D17590,nESPEC,DATOS!$E17590,nASIG,DATOS!$I17590,nEVAL,"EX")=0),0))))</f>
      </c>
      <c r="H17590">
        <f>IF(DATOS!$G17590&lt;&gt;"EX",0,--(COUNTIFS(nNIA,DATOS!$A17590,nCURSO,DATOS!$D17590,nESPEC,DATOS!$E17590,nASIG,DATOS!$I17590,nEVAL,"OR")=0))</f>
      </c>
      <c r="I17590">
        <f>IF(DATOS!$I17590="","",IFERROR(VLOOKUP(DATOS!$I17590,CONFIG_ASIGNATURAS!$B$2:$J$91,9,FALSE()),""))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IF(DATOS!$A17591="",0,IF(CONFIG_METADATA!$B$4&lt;&gt;"OR+EX",--(DATOS!$G17591=CONFIG_METADATA!$B$4),IF(DATOS!$G17591="EX",1,IF(DATOS!$G17591="OR",--(COUNTIFS(nNIA,DATOS!$A17591,nCURSO,DATOS!$D17591,nESPEC,DATOS!$E17591,nASIG,DATOS!$I17591,nEVAL,"EX")=0),0))))</f>
      </c>
      <c r="H17591">
        <f>IF(DATOS!$G17591&lt;&gt;"EX",0,--(COUNTIFS(nNIA,DATOS!$A17591,nCURSO,DATOS!$D17591,nESPEC,DATOS!$E17591,nASIG,DATOS!$I17591,nEVAL,"OR")=0))</f>
      </c>
      <c r="I17591">
        <f>IF(DATOS!$I17591="","",IFERROR(VLOOKUP(DATOS!$I17591,CONFIG_ASIGNATURAS!$B$2:$J$91,9,FALSE()),""))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IF(DATOS!$A17592="",0,IF(CONFIG_METADATA!$B$4&lt;&gt;"OR+EX",--(DATOS!$G17592=CONFIG_METADATA!$B$4),IF(DATOS!$G17592="EX",1,IF(DATOS!$G17592="OR",--(COUNTIFS(nNIA,DATOS!$A17592,nCURSO,DATOS!$D17592,nESPEC,DATOS!$E17592,nASIG,DATOS!$I17592,nEVAL,"EX")=0),0))))</f>
      </c>
      <c r="H17592">
        <f>IF(DATOS!$G17592&lt;&gt;"EX",0,--(COUNTIFS(nNIA,DATOS!$A17592,nCURSO,DATOS!$D17592,nESPEC,DATOS!$E17592,nASIG,DATOS!$I17592,nEVAL,"OR")=0))</f>
      </c>
      <c r="I17592">
        <f>IF(DATOS!$I17592="","",IFERROR(VLOOKUP(DATOS!$I17592,CONFIG_ASIGNATURAS!$B$2:$J$91,9,FALSE()),""))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IF(DATOS!$A17593="",0,IF(CONFIG_METADATA!$B$4&lt;&gt;"OR+EX",--(DATOS!$G17593=CONFIG_METADATA!$B$4),IF(DATOS!$G17593="EX",1,IF(DATOS!$G17593="OR",--(COUNTIFS(nNIA,DATOS!$A17593,nCURSO,DATOS!$D17593,nESPEC,DATOS!$E17593,nASIG,DATOS!$I17593,nEVAL,"EX")=0),0))))</f>
      </c>
      <c r="H17593">
        <f>IF(DATOS!$G17593&lt;&gt;"EX",0,--(COUNTIFS(nNIA,DATOS!$A17593,nCURSO,DATOS!$D17593,nESPEC,DATOS!$E17593,nASIG,DATOS!$I17593,nEVAL,"OR")=0))</f>
      </c>
      <c r="I17593">
        <f>IF(DATOS!$I17593="","",IFERROR(VLOOKUP(DATOS!$I17593,CONFIG_ASIGNATURAS!$B$2:$J$91,9,FALSE()),""))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IF(DATOS!$A17594="",0,IF(CONFIG_METADATA!$B$4&lt;&gt;"OR+EX",--(DATOS!$G17594=CONFIG_METADATA!$B$4),IF(DATOS!$G17594="EX",1,IF(DATOS!$G17594="OR",--(COUNTIFS(nNIA,DATOS!$A17594,nCURSO,DATOS!$D17594,nESPEC,DATOS!$E17594,nASIG,DATOS!$I17594,nEVAL,"EX")=0),0))))</f>
      </c>
      <c r="H17594">
        <f>IF(DATOS!$G17594&lt;&gt;"EX",0,--(COUNTIFS(nNIA,DATOS!$A17594,nCURSO,DATOS!$D17594,nESPEC,DATOS!$E17594,nASIG,DATOS!$I17594,nEVAL,"OR")=0))</f>
      </c>
      <c r="I17594">
        <f>IF(DATOS!$I17594="","",IFERROR(VLOOKUP(DATOS!$I17594,CONFIG_ASIGNATURAS!$B$2:$J$91,9,FALSE()),""))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IF(DATOS!$A17595="",0,IF(CONFIG_METADATA!$B$4&lt;&gt;"OR+EX",--(DATOS!$G17595=CONFIG_METADATA!$B$4),IF(DATOS!$G17595="EX",1,IF(DATOS!$G17595="OR",--(COUNTIFS(nNIA,DATOS!$A17595,nCURSO,DATOS!$D17595,nESPEC,DATOS!$E17595,nASIG,DATOS!$I17595,nEVAL,"EX")=0),0))))</f>
      </c>
      <c r="H17595">
        <f>IF(DATOS!$G17595&lt;&gt;"EX",0,--(COUNTIFS(nNIA,DATOS!$A17595,nCURSO,DATOS!$D17595,nESPEC,DATOS!$E17595,nASIG,DATOS!$I17595,nEVAL,"OR")=0))</f>
      </c>
      <c r="I17595">
        <f>IF(DATOS!$I17595="","",IFERROR(VLOOKUP(DATOS!$I17595,CONFIG_ASIGNATURAS!$B$2:$J$91,9,FALSE()),""))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IF(DATOS!$A17596="",0,IF(CONFIG_METADATA!$B$4&lt;&gt;"OR+EX",--(DATOS!$G17596=CONFIG_METADATA!$B$4),IF(DATOS!$G17596="EX",1,IF(DATOS!$G17596="OR",--(COUNTIFS(nNIA,DATOS!$A17596,nCURSO,DATOS!$D17596,nESPEC,DATOS!$E17596,nASIG,DATOS!$I17596,nEVAL,"EX")=0),0))))</f>
      </c>
      <c r="H17596">
        <f>IF(DATOS!$G17596&lt;&gt;"EX",0,--(COUNTIFS(nNIA,DATOS!$A17596,nCURSO,DATOS!$D17596,nESPEC,DATOS!$E17596,nASIG,DATOS!$I17596,nEVAL,"OR")=0))</f>
      </c>
      <c r="I17596">
        <f>IF(DATOS!$I17596="","",IFERROR(VLOOKUP(DATOS!$I17596,CONFIG_ASIGNATURAS!$B$2:$J$91,9,FALSE()),""))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IF(DATOS!$A17597="",0,IF(CONFIG_METADATA!$B$4&lt;&gt;"OR+EX",--(DATOS!$G17597=CONFIG_METADATA!$B$4),IF(DATOS!$G17597="EX",1,IF(DATOS!$G17597="OR",--(COUNTIFS(nNIA,DATOS!$A17597,nCURSO,DATOS!$D17597,nESPEC,DATOS!$E17597,nASIG,DATOS!$I17597,nEVAL,"EX")=0),0))))</f>
      </c>
      <c r="H17597">
        <f>IF(DATOS!$G17597&lt;&gt;"EX",0,--(COUNTIFS(nNIA,DATOS!$A17597,nCURSO,DATOS!$D17597,nESPEC,DATOS!$E17597,nASIG,DATOS!$I17597,nEVAL,"OR")=0))</f>
      </c>
      <c r="I17597">
        <f>IF(DATOS!$I17597="","",IFERROR(VLOOKUP(DATOS!$I17597,CONFIG_ASIGNATURAS!$B$2:$J$91,9,FALSE()),""))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IF(DATOS!$A17598="",0,IF(CONFIG_METADATA!$B$4&lt;&gt;"OR+EX",--(DATOS!$G17598=CONFIG_METADATA!$B$4),IF(DATOS!$G17598="EX",1,IF(DATOS!$G17598="OR",--(COUNTIFS(nNIA,DATOS!$A17598,nCURSO,DATOS!$D17598,nESPEC,DATOS!$E17598,nASIG,DATOS!$I17598,nEVAL,"EX")=0),0))))</f>
      </c>
      <c r="H17598">
        <f>IF(DATOS!$G17598&lt;&gt;"EX",0,--(COUNTIFS(nNIA,DATOS!$A17598,nCURSO,DATOS!$D17598,nESPEC,DATOS!$E17598,nASIG,DATOS!$I17598,nEVAL,"OR")=0))</f>
      </c>
      <c r="I17598">
        <f>IF(DATOS!$I17598="","",IFERROR(VLOOKUP(DATOS!$I17598,CONFIG_ASIGNATURAS!$B$2:$J$91,9,FALSE()),""))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IF(DATOS!$A17599="",0,IF(CONFIG_METADATA!$B$4&lt;&gt;"OR+EX",--(DATOS!$G17599=CONFIG_METADATA!$B$4),IF(DATOS!$G17599="EX",1,IF(DATOS!$G17599="OR",--(COUNTIFS(nNIA,DATOS!$A17599,nCURSO,DATOS!$D17599,nESPEC,DATOS!$E17599,nASIG,DATOS!$I17599,nEVAL,"EX")=0),0))))</f>
      </c>
      <c r="H17599">
        <f>IF(DATOS!$G17599&lt;&gt;"EX",0,--(COUNTIFS(nNIA,DATOS!$A17599,nCURSO,DATOS!$D17599,nESPEC,DATOS!$E17599,nASIG,DATOS!$I17599,nEVAL,"OR")=0))</f>
      </c>
      <c r="I17599">
        <f>IF(DATOS!$I17599="","",IFERROR(VLOOKUP(DATOS!$I17599,CONFIG_ASIGNATURAS!$B$2:$J$91,9,FALSE()),""))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IF(DATOS!$A17600="",0,IF(CONFIG_METADATA!$B$4&lt;&gt;"OR+EX",--(DATOS!$G17600=CONFIG_METADATA!$B$4),IF(DATOS!$G17600="EX",1,IF(DATOS!$G17600="OR",--(COUNTIFS(nNIA,DATOS!$A17600,nCURSO,DATOS!$D17600,nESPEC,DATOS!$E17600,nASIG,DATOS!$I17600,nEVAL,"EX")=0),0))))</f>
      </c>
      <c r="H17600">
        <f>IF(DATOS!$G17600&lt;&gt;"EX",0,--(COUNTIFS(nNIA,DATOS!$A17600,nCURSO,DATOS!$D17600,nESPEC,DATOS!$E17600,nASIG,DATOS!$I17600,nEVAL,"OR")=0))</f>
      </c>
      <c r="I17600">
        <f>IF(DATOS!$I17600="","",IFERROR(VLOOKUP(DATOS!$I17600,CONFIG_ASIGNATURAS!$B$2:$J$91,9,FALSE()),""))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IF(DATOS!$A17601="",0,IF(CONFIG_METADATA!$B$4&lt;&gt;"OR+EX",--(DATOS!$G17601=CONFIG_METADATA!$B$4),IF(DATOS!$G17601="EX",1,IF(DATOS!$G17601="OR",--(COUNTIFS(nNIA,DATOS!$A17601,nCURSO,DATOS!$D17601,nESPEC,DATOS!$E17601,nASIG,DATOS!$I17601,nEVAL,"EX")=0),0))))</f>
      </c>
      <c r="H17601">
        <f>IF(DATOS!$G17601&lt;&gt;"EX",0,--(COUNTIFS(nNIA,DATOS!$A17601,nCURSO,DATOS!$D17601,nESPEC,DATOS!$E17601,nASIG,DATOS!$I17601,nEVAL,"OR")=0))</f>
      </c>
      <c r="I17601">
        <f>IF(DATOS!$I17601="","",IFERROR(VLOOKUP(DATOS!$I17601,CONFIG_ASIGNATURAS!$B$2:$J$91,9,FALSE()),""))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IF(DATOS!$A17602="",0,IF(CONFIG_METADATA!$B$4&lt;&gt;"OR+EX",--(DATOS!$G17602=CONFIG_METADATA!$B$4),IF(DATOS!$G17602="EX",1,IF(DATOS!$G17602="OR",--(COUNTIFS(nNIA,DATOS!$A17602,nCURSO,DATOS!$D17602,nESPEC,DATOS!$E17602,nASIG,DATOS!$I17602,nEVAL,"EX")=0),0))))</f>
      </c>
      <c r="H17602">
        <f>IF(DATOS!$G17602&lt;&gt;"EX",0,--(COUNTIFS(nNIA,DATOS!$A17602,nCURSO,DATOS!$D17602,nESPEC,DATOS!$E17602,nASIG,DATOS!$I17602,nEVAL,"OR")=0))</f>
      </c>
      <c r="I17602">
        <f>IF(DATOS!$I17602="","",IFERROR(VLOOKUP(DATOS!$I17602,CONFIG_ASIGNATURAS!$B$2:$J$91,9,FALSE()),""))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IF(DATOS!$A17603="",0,IF(CONFIG_METADATA!$B$4&lt;&gt;"OR+EX",--(DATOS!$G17603=CONFIG_METADATA!$B$4),IF(DATOS!$G17603="EX",1,IF(DATOS!$G17603="OR",--(COUNTIFS(nNIA,DATOS!$A17603,nCURSO,DATOS!$D17603,nESPEC,DATOS!$E17603,nASIG,DATOS!$I17603,nEVAL,"EX")=0),0))))</f>
      </c>
      <c r="H17603">
        <f>IF(DATOS!$G17603&lt;&gt;"EX",0,--(COUNTIFS(nNIA,DATOS!$A17603,nCURSO,DATOS!$D17603,nESPEC,DATOS!$E17603,nASIG,DATOS!$I17603,nEVAL,"OR")=0))</f>
      </c>
      <c r="I17603">
        <f>IF(DATOS!$I17603="","",IFERROR(VLOOKUP(DATOS!$I17603,CONFIG_ASIGNATURAS!$B$2:$J$91,9,FALSE()),""))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IF(DATOS!$A17604="",0,IF(CONFIG_METADATA!$B$4&lt;&gt;"OR+EX",--(DATOS!$G17604=CONFIG_METADATA!$B$4),IF(DATOS!$G17604="EX",1,IF(DATOS!$G17604="OR",--(COUNTIFS(nNIA,DATOS!$A17604,nCURSO,DATOS!$D17604,nESPEC,DATOS!$E17604,nASIG,DATOS!$I17604,nEVAL,"EX")=0),0))))</f>
      </c>
      <c r="H17604">
        <f>IF(DATOS!$G17604&lt;&gt;"EX",0,--(COUNTIFS(nNIA,DATOS!$A17604,nCURSO,DATOS!$D17604,nESPEC,DATOS!$E17604,nASIG,DATOS!$I17604,nEVAL,"OR")=0))</f>
      </c>
      <c r="I17604">
        <f>IF(DATOS!$I17604="","",IFERROR(VLOOKUP(DATOS!$I17604,CONFIG_ASIGNATURAS!$B$2:$J$91,9,FALSE()),""))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IF(DATOS!$A17605="",0,IF(CONFIG_METADATA!$B$4&lt;&gt;"OR+EX",--(DATOS!$G17605=CONFIG_METADATA!$B$4),IF(DATOS!$G17605="EX",1,IF(DATOS!$G17605="OR",--(COUNTIFS(nNIA,DATOS!$A17605,nCURSO,DATOS!$D17605,nESPEC,DATOS!$E17605,nASIG,DATOS!$I17605,nEVAL,"EX")=0),0))))</f>
      </c>
      <c r="H17605">
        <f>IF(DATOS!$G17605&lt;&gt;"EX",0,--(COUNTIFS(nNIA,DATOS!$A17605,nCURSO,DATOS!$D17605,nESPEC,DATOS!$E17605,nASIG,DATOS!$I17605,nEVAL,"OR")=0))</f>
      </c>
      <c r="I17605">
        <f>IF(DATOS!$I17605="","",IFERROR(VLOOKUP(DATOS!$I17605,CONFIG_ASIGNATURAS!$B$2:$J$91,9,FALSE()),""))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IF(DATOS!$A17606="",0,IF(CONFIG_METADATA!$B$4&lt;&gt;"OR+EX",--(DATOS!$G17606=CONFIG_METADATA!$B$4),IF(DATOS!$G17606="EX",1,IF(DATOS!$G17606="OR",--(COUNTIFS(nNIA,DATOS!$A17606,nCURSO,DATOS!$D17606,nESPEC,DATOS!$E17606,nASIG,DATOS!$I17606,nEVAL,"EX")=0),0))))</f>
      </c>
      <c r="H17606">
        <f>IF(DATOS!$G17606&lt;&gt;"EX",0,--(COUNTIFS(nNIA,DATOS!$A17606,nCURSO,DATOS!$D17606,nESPEC,DATOS!$E17606,nASIG,DATOS!$I17606,nEVAL,"OR")=0))</f>
      </c>
      <c r="I17606">
        <f>IF(DATOS!$I17606="","",IFERROR(VLOOKUP(DATOS!$I17606,CONFIG_ASIGNATURAS!$B$2:$J$91,9,FALSE()),""))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IF(DATOS!$A17607="",0,IF(CONFIG_METADATA!$B$4&lt;&gt;"OR+EX",--(DATOS!$G17607=CONFIG_METADATA!$B$4),IF(DATOS!$G17607="EX",1,IF(DATOS!$G17607="OR",--(COUNTIFS(nNIA,DATOS!$A17607,nCURSO,DATOS!$D17607,nESPEC,DATOS!$E17607,nASIG,DATOS!$I17607,nEVAL,"EX")=0),0))))</f>
      </c>
      <c r="H17607">
        <f>IF(DATOS!$G17607&lt;&gt;"EX",0,--(COUNTIFS(nNIA,DATOS!$A17607,nCURSO,DATOS!$D17607,nESPEC,DATOS!$E17607,nASIG,DATOS!$I17607,nEVAL,"OR")=0))</f>
      </c>
      <c r="I17607">
        <f>IF(DATOS!$I17607="","",IFERROR(VLOOKUP(DATOS!$I17607,CONFIG_ASIGNATURAS!$B$2:$J$91,9,FALSE()),""))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IF(DATOS!$A17608="",0,IF(CONFIG_METADATA!$B$4&lt;&gt;"OR+EX",--(DATOS!$G17608=CONFIG_METADATA!$B$4),IF(DATOS!$G17608="EX",1,IF(DATOS!$G17608="OR",--(COUNTIFS(nNIA,DATOS!$A17608,nCURSO,DATOS!$D17608,nESPEC,DATOS!$E17608,nASIG,DATOS!$I17608,nEVAL,"EX")=0),0))))</f>
      </c>
      <c r="H17608">
        <f>IF(DATOS!$G17608&lt;&gt;"EX",0,--(COUNTIFS(nNIA,DATOS!$A17608,nCURSO,DATOS!$D17608,nESPEC,DATOS!$E17608,nASIG,DATOS!$I17608,nEVAL,"OR")=0))</f>
      </c>
      <c r="I17608">
        <f>IF(DATOS!$I17608="","",IFERROR(VLOOKUP(DATOS!$I17608,CONFIG_ASIGNATURAS!$B$2:$J$91,9,FALSE()),""))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IF(DATOS!$A17609="",0,IF(CONFIG_METADATA!$B$4&lt;&gt;"OR+EX",--(DATOS!$G17609=CONFIG_METADATA!$B$4),IF(DATOS!$G17609="EX",1,IF(DATOS!$G17609="OR",--(COUNTIFS(nNIA,DATOS!$A17609,nCURSO,DATOS!$D17609,nESPEC,DATOS!$E17609,nASIG,DATOS!$I17609,nEVAL,"EX")=0),0))))</f>
      </c>
      <c r="H17609">
        <f>IF(DATOS!$G17609&lt;&gt;"EX",0,--(COUNTIFS(nNIA,DATOS!$A17609,nCURSO,DATOS!$D17609,nESPEC,DATOS!$E17609,nASIG,DATOS!$I17609,nEVAL,"OR")=0))</f>
      </c>
      <c r="I17609">
        <f>IF(DATOS!$I17609="","",IFERROR(VLOOKUP(DATOS!$I17609,CONFIG_ASIGNATURAS!$B$2:$J$91,9,FALSE()),""))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IF(DATOS!$A17610="",0,IF(CONFIG_METADATA!$B$4&lt;&gt;"OR+EX",--(DATOS!$G17610=CONFIG_METADATA!$B$4),IF(DATOS!$G17610="EX",1,IF(DATOS!$G17610="OR",--(COUNTIFS(nNIA,DATOS!$A17610,nCURSO,DATOS!$D17610,nESPEC,DATOS!$E17610,nASIG,DATOS!$I17610,nEVAL,"EX")=0),0))))</f>
      </c>
      <c r="H17610">
        <f>IF(DATOS!$G17610&lt;&gt;"EX",0,--(COUNTIFS(nNIA,DATOS!$A17610,nCURSO,DATOS!$D17610,nESPEC,DATOS!$E17610,nASIG,DATOS!$I17610,nEVAL,"OR")=0))</f>
      </c>
      <c r="I17610">
        <f>IF(DATOS!$I17610="","",IFERROR(VLOOKUP(DATOS!$I17610,CONFIG_ASIGNATURAS!$B$2:$J$91,9,FALSE()),""))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IF(DATOS!$A17611="",0,IF(CONFIG_METADATA!$B$4&lt;&gt;"OR+EX",--(DATOS!$G17611=CONFIG_METADATA!$B$4),IF(DATOS!$G17611="EX",1,IF(DATOS!$G17611="OR",--(COUNTIFS(nNIA,DATOS!$A17611,nCURSO,DATOS!$D17611,nESPEC,DATOS!$E17611,nASIG,DATOS!$I17611,nEVAL,"EX")=0),0))))</f>
      </c>
      <c r="H17611">
        <f>IF(DATOS!$G17611&lt;&gt;"EX",0,--(COUNTIFS(nNIA,DATOS!$A17611,nCURSO,DATOS!$D17611,nESPEC,DATOS!$E17611,nASIG,DATOS!$I17611,nEVAL,"OR")=0))</f>
      </c>
      <c r="I17611">
        <f>IF(DATOS!$I17611="","",IFERROR(VLOOKUP(DATOS!$I17611,CONFIG_ASIGNATURAS!$B$2:$J$91,9,FALSE()),""))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IF(DATOS!$A17612="",0,IF(CONFIG_METADATA!$B$4&lt;&gt;"OR+EX",--(DATOS!$G17612=CONFIG_METADATA!$B$4),IF(DATOS!$G17612="EX",1,IF(DATOS!$G17612="OR",--(COUNTIFS(nNIA,DATOS!$A17612,nCURSO,DATOS!$D17612,nESPEC,DATOS!$E17612,nASIG,DATOS!$I17612,nEVAL,"EX")=0),0))))</f>
      </c>
      <c r="H17612">
        <f>IF(DATOS!$G17612&lt;&gt;"EX",0,--(COUNTIFS(nNIA,DATOS!$A17612,nCURSO,DATOS!$D17612,nESPEC,DATOS!$E17612,nASIG,DATOS!$I17612,nEVAL,"OR")=0))</f>
      </c>
      <c r="I17612">
        <f>IF(DATOS!$I17612="","",IFERROR(VLOOKUP(DATOS!$I17612,CONFIG_ASIGNATURAS!$B$2:$J$91,9,FALSE()),""))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IF(DATOS!$A17613="",0,IF(CONFIG_METADATA!$B$4&lt;&gt;"OR+EX",--(DATOS!$G17613=CONFIG_METADATA!$B$4),IF(DATOS!$G17613="EX",1,IF(DATOS!$G17613="OR",--(COUNTIFS(nNIA,DATOS!$A17613,nCURSO,DATOS!$D17613,nESPEC,DATOS!$E17613,nASIG,DATOS!$I17613,nEVAL,"EX")=0),0))))</f>
      </c>
      <c r="H17613">
        <f>IF(DATOS!$G17613&lt;&gt;"EX",0,--(COUNTIFS(nNIA,DATOS!$A17613,nCURSO,DATOS!$D17613,nESPEC,DATOS!$E17613,nASIG,DATOS!$I17613,nEVAL,"OR")=0))</f>
      </c>
      <c r="I17613">
        <f>IF(DATOS!$I17613="","",IFERROR(VLOOKUP(DATOS!$I17613,CONFIG_ASIGNATURAS!$B$2:$J$91,9,FALSE()),""))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IF(DATOS!$A17614="",0,IF(CONFIG_METADATA!$B$4&lt;&gt;"OR+EX",--(DATOS!$G17614=CONFIG_METADATA!$B$4),IF(DATOS!$G17614="EX",1,IF(DATOS!$G17614="OR",--(COUNTIFS(nNIA,DATOS!$A17614,nCURSO,DATOS!$D17614,nESPEC,DATOS!$E17614,nASIG,DATOS!$I17614,nEVAL,"EX")=0),0))))</f>
      </c>
      <c r="H17614">
        <f>IF(DATOS!$G17614&lt;&gt;"EX",0,--(COUNTIFS(nNIA,DATOS!$A17614,nCURSO,DATOS!$D17614,nESPEC,DATOS!$E17614,nASIG,DATOS!$I17614,nEVAL,"OR")=0))</f>
      </c>
      <c r="I17614">
        <f>IF(DATOS!$I17614="","",IFERROR(VLOOKUP(DATOS!$I17614,CONFIG_ASIGNATURAS!$B$2:$J$91,9,FALSE()),""))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IF(DATOS!$A17615="",0,IF(CONFIG_METADATA!$B$4&lt;&gt;"OR+EX",--(DATOS!$G17615=CONFIG_METADATA!$B$4),IF(DATOS!$G17615="EX",1,IF(DATOS!$G17615="OR",--(COUNTIFS(nNIA,DATOS!$A17615,nCURSO,DATOS!$D17615,nESPEC,DATOS!$E17615,nASIG,DATOS!$I17615,nEVAL,"EX")=0),0))))</f>
      </c>
      <c r="H17615">
        <f>IF(DATOS!$G17615&lt;&gt;"EX",0,--(COUNTIFS(nNIA,DATOS!$A17615,nCURSO,DATOS!$D17615,nESPEC,DATOS!$E17615,nASIG,DATOS!$I17615,nEVAL,"OR")=0))</f>
      </c>
      <c r="I17615">
        <f>IF(DATOS!$I17615="","",IFERROR(VLOOKUP(DATOS!$I17615,CONFIG_ASIGNATURAS!$B$2:$J$91,9,FALSE()),""))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IF(DATOS!$A17616="",0,IF(CONFIG_METADATA!$B$4&lt;&gt;"OR+EX",--(DATOS!$G17616=CONFIG_METADATA!$B$4),IF(DATOS!$G17616="EX",1,IF(DATOS!$G17616="OR",--(COUNTIFS(nNIA,DATOS!$A17616,nCURSO,DATOS!$D17616,nESPEC,DATOS!$E17616,nASIG,DATOS!$I17616,nEVAL,"EX")=0),0))))</f>
      </c>
      <c r="H17616">
        <f>IF(DATOS!$G17616&lt;&gt;"EX",0,--(COUNTIFS(nNIA,DATOS!$A17616,nCURSO,DATOS!$D17616,nESPEC,DATOS!$E17616,nASIG,DATOS!$I17616,nEVAL,"OR")=0))</f>
      </c>
      <c r="I17616">
        <f>IF(DATOS!$I17616="","",IFERROR(VLOOKUP(DATOS!$I17616,CONFIG_ASIGNATURAS!$B$2:$J$91,9,FALSE()),""))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IF(DATOS!$A17617="",0,IF(CONFIG_METADATA!$B$4&lt;&gt;"OR+EX",--(DATOS!$G17617=CONFIG_METADATA!$B$4),IF(DATOS!$G17617="EX",1,IF(DATOS!$G17617="OR",--(COUNTIFS(nNIA,DATOS!$A17617,nCURSO,DATOS!$D17617,nESPEC,DATOS!$E17617,nASIG,DATOS!$I17617,nEVAL,"EX")=0),0))))</f>
      </c>
      <c r="H17617">
        <f>IF(DATOS!$G17617&lt;&gt;"EX",0,--(COUNTIFS(nNIA,DATOS!$A17617,nCURSO,DATOS!$D17617,nESPEC,DATOS!$E17617,nASIG,DATOS!$I17617,nEVAL,"OR")=0))</f>
      </c>
      <c r="I17617">
        <f>IF(DATOS!$I17617="","",IFERROR(VLOOKUP(DATOS!$I17617,CONFIG_ASIGNATURAS!$B$2:$J$91,9,FALSE()),""))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IF(DATOS!$A17618="",0,IF(CONFIG_METADATA!$B$4&lt;&gt;"OR+EX",--(DATOS!$G17618=CONFIG_METADATA!$B$4),IF(DATOS!$G17618="EX",1,IF(DATOS!$G17618="OR",--(COUNTIFS(nNIA,DATOS!$A17618,nCURSO,DATOS!$D17618,nESPEC,DATOS!$E17618,nASIG,DATOS!$I17618,nEVAL,"EX")=0),0))))</f>
      </c>
      <c r="H17618">
        <f>IF(DATOS!$G17618&lt;&gt;"EX",0,--(COUNTIFS(nNIA,DATOS!$A17618,nCURSO,DATOS!$D17618,nESPEC,DATOS!$E17618,nASIG,DATOS!$I17618,nEVAL,"OR")=0))</f>
      </c>
      <c r="I17618">
        <f>IF(DATOS!$I17618="","",IFERROR(VLOOKUP(DATOS!$I17618,CONFIG_ASIGNATURAS!$B$2:$J$91,9,FALSE()),""))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IF(DATOS!$A17619="",0,IF(CONFIG_METADATA!$B$4&lt;&gt;"OR+EX",--(DATOS!$G17619=CONFIG_METADATA!$B$4),IF(DATOS!$G17619="EX",1,IF(DATOS!$G17619="OR",--(COUNTIFS(nNIA,DATOS!$A17619,nCURSO,DATOS!$D17619,nESPEC,DATOS!$E17619,nASIG,DATOS!$I17619,nEVAL,"EX")=0),0))))</f>
      </c>
      <c r="H17619">
        <f>IF(DATOS!$G17619&lt;&gt;"EX",0,--(COUNTIFS(nNIA,DATOS!$A17619,nCURSO,DATOS!$D17619,nESPEC,DATOS!$E17619,nASIG,DATOS!$I17619,nEVAL,"OR")=0))</f>
      </c>
      <c r="I17619">
        <f>IF(DATOS!$I17619="","",IFERROR(VLOOKUP(DATOS!$I17619,CONFIG_ASIGNATURAS!$B$2:$J$91,9,FALSE()),""))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IF(DATOS!$A17620="",0,IF(CONFIG_METADATA!$B$4&lt;&gt;"OR+EX",--(DATOS!$G17620=CONFIG_METADATA!$B$4),IF(DATOS!$G17620="EX",1,IF(DATOS!$G17620="OR",--(COUNTIFS(nNIA,DATOS!$A17620,nCURSO,DATOS!$D17620,nESPEC,DATOS!$E17620,nASIG,DATOS!$I17620,nEVAL,"EX")=0),0))))</f>
      </c>
      <c r="H17620">
        <f>IF(DATOS!$G17620&lt;&gt;"EX",0,--(COUNTIFS(nNIA,DATOS!$A17620,nCURSO,DATOS!$D17620,nESPEC,DATOS!$E17620,nASIG,DATOS!$I17620,nEVAL,"OR")=0))</f>
      </c>
      <c r="I17620">
        <f>IF(DATOS!$I17620="","",IFERROR(VLOOKUP(DATOS!$I17620,CONFIG_ASIGNATURAS!$B$2:$J$91,9,FALSE()),""))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IF(DATOS!$A17621="",0,IF(CONFIG_METADATA!$B$4&lt;&gt;"OR+EX",--(DATOS!$G17621=CONFIG_METADATA!$B$4),IF(DATOS!$G17621="EX",1,IF(DATOS!$G17621="OR",--(COUNTIFS(nNIA,DATOS!$A17621,nCURSO,DATOS!$D17621,nESPEC,DATOS!$E17621,nASIG,DATOS!$I17621,nEVAL,"EX")=0),0))))</f>
      </c>
      <c r="H17621">
        <f>IF(DATOS!$G17621&lt;&gt;"EX",0,--(COUNTIFS(nNIA,DATOS!$A17621,nCURSO,DATOS!$D17621,nESPEC,DATOS!$E17621,nASIG,DATOS!$I17621,nEVAL,"OR")=0))</f>
      </c>
      <c r="I17621">
        <f>IF(DATOS!$I17621="","",IFERROR(VLOOKUP(DATOS!$I17621,CONFIG_ASIGNATURAS!$B$2:$J$91,9,FALSE()),""))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IF(DATOS!$A17622="",0,IF(CONFIG_METADATA!$B$4&lt;&gt;"OR+EX",--(DATOS!$G17622=CONFIG_METADATA!$B$4),IF(DATOS!$G17622="EX",1,IF(DATOS!$G17622="OR",--(COUNTIFS(nNIA,DATOS!$A17622,nCURSO,DATOS!$D17622,nESPEC,DATOS!$E17622,nASIG,DATOS!$I17622,nEVAL,"EX")=0),0))))</f>
      </c>
      <c r="H17622">
        <f>IF(DATOS!$G17622&lt;&gt;"EX",0,--(COUNTIFS(nNIA,DATOS!$A17622,nCURSO,DATOS!$D17622,nESPEC,DATOS!$E17622,nASIG,DATOS!$I17622,nEVAL,"OR")=0))</f>
      </c>
      <c r="I17622">
        <f>IF(DATOS!$I17622="","",IFERROR(VLOOKUP(DATOS!$I17622,CONFIG_ASIGNATURAS!$B$2:$J$91,9,FALSE()),""))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IF(DATOS!$A17623="",0,IF(CONFIG_METADATA!$B$4&lt;&gt;"OR+EX",--(DATOS!$G17623=CONFIG_METADATA!$B$4),IF(DATOS!$G17623="EX",1,IF(DATOS!$G17623="OR",--(COUNTIFS(nNIA,DATOS!$A17623,nCURSO,DATOS!$D17623,nESPEC,DATOS!$E17623,nASIG,DATOS!$I17623,nEVAL,"EX")=0),0))))</f>
      </c>
      <c r="H17623">
        <f>IF(DATOS!$G17623&lt;&gt;"EX",0,--(COUNTIFS(nNIA,DATOS!$A17623,nCURSO,DATOS!$D17623,nESPEC,DATOS!$E17623,nASIG,DATOS!$I17623,nEVAL,"OR")=0))</f>
      </c>
      <c r="I17623">
        <f>IF(DATOS!$I17623="","",IFERROR(VLOOKUP(DATOS!$I17623,CONFIG_ASIGNATURAS!$B$2:$J$91,9,FALSE()),""))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IF(DATOS!$A17624="",0,IF(CONFIG_METADATA!$B$4&lt;&gt;"OR+EX",--(DATOS!$G17624=CONFIG_METADATA!$B$4),IF(DATOS!$G17624="EX",1,IF(DATOS!$G17624="OR",--(COUNTIFS(nNIA,DATOS!$A17624,nCURSO,DATOS!$D17624,nESPEC,DATOS!$E17624,nASIG,DATOS!$I17624,nEVAL,"EX")=0),0))))</f>
      </c>
      <c r="H17624">
        <f>IF(DATOS!$G17624&lt;&gt;"EX",0,--(COUNTIFS(nNIA,DATOS!$A17624,nCURSO,DATOS!$D17624,nESPEC,DATOS!$E17624,nASIG,DATOS!$I17624,nEVAL,"OR")=0))</f>
      </c>
      <c r="I17624">
        <f>IF(DATOS!$I17624="","",IFERROR(VLOOKUP(DATOS!$I17624,CONFIG_ASIGNATURAS!$B$2:$J$91,9,FALSE()),""))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IF(DATOS!$A17625="",0,IF(CONFIG_METADATA!$B$4&lt;&gt;"OR+EX",--(DATOS!$G17625=CONFIG_METADATA!$B$4),IF(DATOS!$G17625="EX",1,IF(DATOS!$G17625="OR",--(COUNTIFS(nNIA,DATOS!$A17625,nCURSO,DATOS!$D17625,nESPEC,DATOS!$E17625,nASIG,DATOS!$I17625,nEVAL,"EX")=0),0))))</f>
      </c>
      <c r="H17625">
        <f>IF(DATOS!$G17625&lt;&gt;"EX",0,--(COUNTIFS(nNIA,DATOS!$A17625,nCURSO,DATOS!$D17625,nESPEC,DATOS!$E17625,nASIG,DATOS!$I17625,nEVAL,"OR")=0))</f>
      </c>
      <c r="I17625">
        <f>IF(DATOS!$I17625="","",IFERROR(VLOOKUP(DATOS!$I17625,CONFIG_ASIGNATURAS!$B$2:$J$91,9,FALSE()),""))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IF(DATOS!$A17626="",0,IF(CONFIG_METADATA!$B$4&lt;&gt;"OR+EX",--(DATOS!$G17626=CONFIG_METADATA!$B$4),IF(DATOS!$G17626="EX",1,IF(DATOS!$G17626="OR",--(COUNTIFS(nNIA,DATOS!$A17626,nCURSO,DATOS!$D17626,nESPEC,DATOS!$E17626,nASIG,DATOS!$I17626,nEVAL,"EX")=0),0))))</f>
      </c>
      <c r="H17626">
        <f>IF(DATOS!$G17626&lt;&gt;"EX",0,--(COUNTIFS(nNIA,DATOS!$A17626,nCURSO,DATOS!$D17626,nESPEC,DATOS!$E17626,nASIG,DATOS!$I17626,nEVAL,"OR")=0))</f>
      </c>
      <c r="I17626">
        <f>IF(DATOS!$I17626="","",IFERROR(VLOOKUP(DATOS!$I17626,CONFIG_ASIGNATURAS!$B$2:$J$91,9,FALSE()),""))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IF(DATOS!$A17627="",0,IF(CONFIG_METADATA!$B$4&lt;&gt;"OR+EX",--(DATOS!$G17627=CONFIG_METADATA!$B$4),IF(DATOS!$G17627="EX",1,IF(DATOS!$G17627="OR",--(COUNTIFS(nNIA,DATOS!$A17627,nCURSO,DATOS!$D17627,nESPEC,DATOS!$E17627,nASIG,DATOS!$I17627,nEVAL,"EX")=0),0))))</f>
      </c>
      <c r="H17627">
        <f>IF(DATOS!$G17627&lt;&gt;"EX",0,--(COUNTIFS(nNIA,DATOS!$A17627,nCURSO,DATOS!$D17627,nESPEC,DATOS!$E17627,nASIG,DATOS!$I17627,nEVAL,"OR")=0))</f>
      </c>
      <c r="I17627">
        <f>IF(DATOS!$I17627="","",IFERROR(VLOOKUP(DATOS!$I17627,CONFIG_ASIGNATURAS!$B$2:$J$91,9,FALSE()),""))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IF(DATOS!$A17628="",0,IF(CONFIG_METADATA!$B$4&lt;&gt;"OR+EX",--(DATOS!$G17628=CONFIG_METADATA!$B$4),IF(DATOS!$G17628="EX",1,IF(DATOS!$G17628="OR",--(COUNTIFS(nNIA,DATOS!$A17628,nCURSO,DATOS!$D17628,nESPEC,DATOS!$E17628,nASIG,DATOS!$I17628,nEVAL,"EX")=0),0))))</f>
      </c>
      <c r="H17628">
        <f>IF(DATOS!$G17628&lt;&gt;"EX",0,--(COUNTIFS(nNIA,DATOS!$A17628,nCURSO,DATOS!$D17628,nESPEC,DATOS!$E17628,nASIG,DATOS!$I17628,nEVAL,"OR")=0))</f>
      </c>
      <c r="I17628">
        <f>IF(DATOS!$I17628="","",IFERROR(VLOOKUP(DATOS!$I17628,CONFIG_ASIGNATURAS!$B$2:$J$91,9,FALSE()),""))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IF(DATOS!$A17629="",0,IF(CONFIG_METADATA!$B$4&lt;&gt;"OR+EX",--(DATOS!$G17629=CONFIG_METADATA!$B$4),IF(DATOS!$G17629="EX",1,IF(DATOS!$G17629="OR",--(COUNTIFS(nNIA,DATOS!$A17629,nCURSO,DATOS!$D17629,nESPEC,DATOS!$E17629,nASIG,DATOS!$I17629,nEVAL,"EX")=0),0))))</f>
      </c>
      <c r="H17629">
        <f>IF(DATOS!$G17629&lt;&gt;"EX",0,--(COUNTIFS(nNIA,DATOS!$A17629,nCURSO,DATOS!$D17629,nESPEC,DATOS!$E17629,nASIG,DATOS!$I17629,nEVAL,"OR")=0))</f>
      </c>
      <c r="I17629">
        <f>IF(DATOS!$I17629="","",IFERROR(VLOOKUP(DATOS!$I17629,CONFIG_ASIGNATURAS!$B$2:$J$91,9,FALSE()),""))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IF(DATOS!$A17630="",0,IF(CONFIG_METADATA!$B$4&lt;&gt;"OR+EX",--(DATOS!$G17630=CONFIG_METADATA!$B$4),IF(DATOS!$G17630="EX",1,IF(DATOS!$G17630="OR",--(COUNTIFS(nNIA,DATOS!$A17630,nCURSO,DATOS!$D17630,nESPEC,DATOS!$E17630,nASIG,DATOS!$I17630,nEVAL,"EX")=0),0))))</f>
      </c>
      <c r="H17630">
        <f>IF(DATOS!$G17630&lt;&gt;"EX",0,--(COUNTIFS(nNIA,DATOS!$A17630,nCURSO,DATOS!$D17630,nESPEC,DATOS!$E17630,nASIG,DATOS!$I17630,nEVAL,"OR")=0))</f>
      </c>
      <c r="I17630">
        <f>IF(DATOS!$I17630="","",IFERROR(VLOOKUP(DATOS!$I17630,CONFIG_ASIGNATURAS!$B$2:$J$91,9,FALSE()),""))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IF(DATOS!$A17631="",0,IF(CONFIG_METADATA!$B$4&lt;&gt;"OR+EX",--(DATOS!$G17631=CONFIG_METADATA!$B$4),IF(DATOS!$G17631="EX",1,IF(DATOS!$G17631="OR",--(COUNTIFS(nNIA,DATOS!$A17631,nCURSO,DATOS!$D17631,nESPEC,DATOS!$E17631,nASIG,DATOS!$I17631,nEVAL,"EX")=0),0))))</f>
      </c>
      <c r="H17631">
        <f>IF(DATOS!$G17631&lt;&gt;"EX",0,--(COUNTIFS(nNIA,DATOS!$A17631,nCURSO,DATOS!$D17631,nESPEC,DATOS!$E17631,nASIG,DATOS!$I17631,nEVAL,"OR")=0))</f>
      </c>
      <c r="I17631">
        <f>IF(DATOS!$I17631="","",IFERROR(VLOOKUP(DATOS!$I17631,CONFIG_ASIGNATURAS!$B$2:$J$91,9,FALSE()),""))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IF(DATOS!$A17632="",0,IF(CONFIG_METADATA!$B$4&lt;&gt;"OR+EX",--(DATOS!$G17632=CONFIG_METADATA!$B$4),IF(DATOS!$G17632="EX",1,IF(DATOS!$G17632="OR",--(COUNTIFS(nNIA,DATOS!$A17632,nCURSO,DATOS!$D17632,nESPEC,DATOS!$E17632,nASIG,DATOS!$I17632,nEVAL,"EX")=0),0))))</f>
      </c>
      <c r="H17632">
        <f>IF(DATOS!$G17632&lt;&gt;"EX",0,--(COUNTIFS(nNIA,DATOS!$A17632,nCURSO,DATOS!$D17632,nESPEC,DATOS!$E17632,nASIG,DATOS!$I17632,nEVAL,"OR")=0))</f>
      </c>
      <c r="I17632">
        <f>IF(DATOS!$I17632="","",IFERROR(VLOOKUP(DATOS!$I17632,CONFIG_ASIGNATURAS!$B$2:$J$91,9,FALSE()),""))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IF(DATOS!$A17633="",0,IF(CONFIG_METADATA!$B$4&lt;&gt;"OR+EX",--(DATOS!$G17633=CONFIG_METADATA!$B$4),IF(DATOS!$G17633="EX",1,IF(DATOS!$G17633="OR",--(COUNTIFS(nNIA,DATOS!$A17633,nCURSO,DATOS!$D17633,nESPEC,DATOS!$E17633,nASIG,DATOS!$I17633,nEVAL,"EX")=0),0))))</f>
      </c>
      <c r="H17633">
        <f>IF(DATOS!$G17633&lt;&gt;"EX",0,--(COUNTIFS(nNIA,DATOS!$A17633,nCURSO,DATOS!$D17633,nESPEC,DATOS!$E17633,nASIG,DATOS!$I17633,nEVAL,"OR")=0))</f>
      </c>
      <c r="I17633">
        <f>IF(DATOS!$I17633="","",IFERROR(VLOOKUP(DATOS!$I17633,CONFIG_ASIGNATURAS!$B$2:$J$91,9,FALSE()),""))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IF(DATOS!$A17634="",0,IF(CONFIG_METADATA!$B$4&lt;&gt;"OR+EX",--(DATOS!$G17634=CONFIG_METADATA!$B$4),IF(DATOS!$G17634="EX",1,IF(DATOS!$G17634="OR",--(COUNTIFS(nNIA,DATOS!$A17634,nCURSO,DATOS!$D17634,nESPEC,DATOS!$E17634,nASIG,DATOS!$I17634,nEVAL,"EX")=0),0))))</f>
      </c>
      <c r="H17634">
        <f>IF(DATOS!$G17634&lt;&gt;"EX",0,--(COUNTIFS(nNIA,DATOS!$A17634,nCURSO,DATOS!$D17634,nESPEC,DATOS!$E17634,nASIG,DATOS!$I17634,nEVAL,"OR")=0))</f>
      </c>
      <c r="I17634">
        <f>IF(DATOS!$I17634="","",IFERROR(VLOOKUP(DATOS!$I17634,CONFIG_ASIGNATURAS!$B$2:$J$91,9,FALSE()),""))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IF(DATOS!$A17635="",0,IF(CONFIG_METADATA!$B$4&lt;&gt;"OR+EX",--(DATOS!$G17635=CONFIG_METADATA!$B$4),IF(DATOS!$G17635="EX",1,IF(DATOS!$G17635="OR",--(COUNTIFS(nNIA,DATOS!$A17635,nCURSO,DATOS!$D17635,nESPEC,DATOS!$E17635,nASIG,DATOS!$I17635,nEVAL,"EX")=0),0))))</f>
      </c>
      <c r="H17635">
        <f>IF(DATOS!$G17635&lt;&gt;"EX",0,--(COUNTIFS(nNIA,DATOS!$A17635,nCURSO,DATOS!$D17635,nESPEC,DATOS!$E17635,nASIG,DATOS!$I17635,nEVAL,"OR")=0))</f>
      </c>
      <c r="I17635">
        <f>IF(DATOS!$I17635="","",IFERROR(VLOOKUP(DATOS!$I17635,CONFIG_ASIGNATURAS!$B$2:$J$91,9,FALSE()),""))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IF(DATOS!$A17636="",0,IF(CONFIG_METADATA!$B$4&lt;&gt;"OR+EX",--(DATOS!$G17636=CONFIG_METADATA!$B$4),IF(DATOS!$G17636="EX",1,IF(DATOS!$G17636="OR",--(COUNTIFS(nNIA,DATOS!$A17636,nCURSO,DATOS!$D17636,nESPEC,DATOS!$E17636,nASIG,DATOS!$I17636,nEVAL,"EX")=0),0))))</f>
      </c>
      <c r="H17636">
        <f>IF(DATOS!$G17636&lt;&gt;"EX",0,--(COUNTIFS(nNIA,DATOS!$A17636,nCURSO,DATOS!$D17636,nESPEC,DATOS!$E17636,nASIG,DATOS!$I17636,nEVAL,"OR")=0))</f>
      </c>
      <c r="I17636">
        <f>IF(DATOS!$I17636="","",IFERROR(VLOOKUP(DATOS!$I17636,CONFIG_ASIGNATURAS!$B$2:$J$91,9,FALSE()),""))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IF(DATOS!$A17637="",0,IF(CONFIG_METADATA!$B$4&lt;&gt;"OR+EX",--(DATOS!$G17637=CONFIG_METADATA!$B$4),IF(DATOS!$G17637="EX",1,IF(DATOS!$G17637="OR",--(COUNTIFS(nNIA,DATOS!$A17637,nCURSO,DATOS!$D17637,nESPEC,DATOS!$E17637,nASIG,DATOS!$I17637,nEVAL,"EX")=0),0))))</f>
      </c>
      <c r="H17637">
        <f>IF(DATOS!$G17637&lt;&gt;"EX",0,--(COUNTIFS(nNIA,DATOS!$A17637,nCURSO,DATOS!$D17637,nESPEC,DATOS!$E17637,nASIG,DATOS!$I17637,nEVAL,"OR")=0))</f>
      </c>
      <c r="I17637">
        <f>IF(DATOS!$I17637="","",IFERROR(VLOOKUP(DATOS!$I17637,CONFIG_ASIGNATURAS!$B$2:$J$91,9,FALSE()),""))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IF(DATOS!$A17638="",0,IF(CONFIG_METADATA!$B$4&lt;&gt;"OR+EX",--(DATOS!$G17638=CONFIG_METADATA!$B$4),IF(DATOS!$G17638="EX",1,IF(DATOS!$G17638="OR",--(COUNTIFS(nNIA,DATOS!$A17638,nCURSO,DATOS!$D17638,nESPEC,DATOS!$E17638,nASIG,DATOS!$I17638,nEVAL,"EX")=0),0))))</f>
      </c>
      <c r="H17638">
        <f>IF(DATOS!$G17638&lt;&gt;"EX",0,--(COUNTIFS(nNIA,DATOS!$A17638,nCURSO,DATOS!$D17638,nESPEC,DATOS!$E17638,nASIG,DATOS!$I17638,nEVAL,"OR")=0))</f>
      </c>
      <c r="I17638">
        <f>IF(DATOS!$I17638="","",IFERROR(VLOOKUP(DATOS!$I17638,CONFIG_ASIGNATURAS!$B$2:$J$91,9,FALSE()),""))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IF(DATOS!$A17639="",0,IF(CONFIG_METADATA!$B$4&lt;&gt;"OR+EX",--(DATOS!$G17639=CONFIG_METADATA!$B$4),IF(DATOS!$G17639="EX",1,IF(DATOS!$G17639="OR",--(COUNTIFS(nNIA,DATOS!$A17639,nCURSO,DATOS!$D17639,nESPEC,DATOS!$E17639,nASIG,DATOS!$I17639,nEVAL,"EX")=0),0))))</f>
      </c>
      <c r="H17639">
        <f>IF(DATOS!$G17639&lt;&gt;"EX",0,--(COUNTIFS(nNIA,DATOS!$A17639,nCURSO,DATOS!$D17639,nESPEC,DATOS!$E17639,nASIG,DATOS!$I17639,nEVAL,"OR")=0))</f>
      </c>
      <c r="I17639">
        <f>IF(DATOS!$I17639="","",IFERROR(VLOOKUP(DATOS!$I17639,CONFIG_ASIGNATURAS!$B$2:$J$91,9,FALSE()),""))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IF(DATOS!$A17640="",0,IF(CONFIG_METADATA!$B$4&lt;&gt;"OR+EX",--(DATOS!$G17640=CONFIG_METADATA!$B$4),IF(DATOS!$G17640="EX",1,IF(DATOS!$G17640="OR",--(COUNTIFS(nNIA,DATOS!$A17640,nCURSO,DATOS!$D17640,nESPEC,DATOS!$E17640,nASIG,DATOS!$I17640,nEVAL,"EX")=0),0))))</f>
      </c>
      <c r="H17640">
        <f>IF(DATOS!$G17640&lt;&gt;"EX",0,--(COUNTIFS(nNIA,DATOS!$A17640,nCURSO,DATOS!$D17640,nESPEC,DATOS!$E17640,nASIG,DATOS!$I17640,nEVAL,"OR")=0))</f>
      </c>
      <c r="I17640">
        <f>IF(DATOS!$I17640="","",IFERROR(VLOOKUP(DATOS!$I17640,CONFIG_ASIGNATURAS!$B$2:$J$91,9,FALSE()),""))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IF(DATOS!$A17641="",0,IF(CONFIG_METADATA!$B$4&lt;&gt;"OR+EX",--(DATOS!$G17641=CONFIG_METADATA!$B$4),IF(DATOS!$G17641="EX",1,IF(DATOS!$G17641="OR",--(COUNTIFS(nNIA,DATOS!$A17641,nCURSO,DATOS!$D17641,nESPEC,DATOS!$E17641,nASIG,DATOS!$I17641,nEVAL,"EX")=0),0))))</f>
      </c>
      <c r="H17641">
        <f>IF(DATOS!$G17641&lt;&gt;"EX",0,--(COUNTIFS(nNIA,DATOS!$A17641,nCURSO,DATOS!$D17641,nESPEC,DATOS!$E17641,nASIG,DATOS!$I17641,nEVAL,"OR")=0))</f>
      </c>
      <c r="I17641">
        <f>IF(DATOS!$I17641="","",IFERROR(VLOOKUP(DATOS!$I17641,CONFIG_ASIGNATURAS!$B$2:$J$91,9,FALSE()),""))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IF(DATOS!$A17642="",0,IF(CONFIG_METADATA!$B$4&lt;&gt;"OR+EX",--(DATOS!$G17642=CONFIG_METADATA!$B$4),IF(DATOS!$G17642="EX",1,IF(DATOS!$G17642="OR",--(COUNTIFS(nNIA,DATOS!$A17642,nCURSO,DATOS!$D17642,nESPEC,DATOS!$E17642,nASIG,DATOS!$I17642,nEVAL,"EX")=0),0))))</f>
      </c>
      <c r="H17642">
        <f>IF(DATOS!$G17642&lt;&gt;"EX",0,--(COUNTIFS(nNIA,DATOS!$A17642,nCURSO,DATOS!$D17642,nESPEC,DATOS!$E17642,nASIG,DATOS!$I17642,nEVAL,"OR")=0))</f>
      </c>
      <c r="I17642">
        <f>IF(DATOS!$I17642="","",IFERROR(VLOOKUP(DATOS!$I17642,CONFIG_ASIGNATURAS!$B$2:$J$91,9,FALSE()),""))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IF(DATOS!$A17643="",0,IF(CONFIG_METADATA!$B$4&lt;&gt;"OR+EX",--(DATOS!$G17643=CONFIG_METADATA!$B$4),IF(DATOS!$G17643="EX",1,IF(DATOS!$G17643="OR",--(COUNTIFS(nNIA,DATOS!$A17643,nCURSO,DATOS!$D17643,nESPEC,DATOS!$E17643,nASIG,DATOS!$I17643,nEVAL,"EX")=0),0))))</f>
      </c>
      <c r="H17643">
        <f>IF(DATOS!$G17643&lt;&gt;"EX",0,--(COUNTIFS(nNIA,DATOS!$A17643,nCURSO,DATOS!$D17643,nESPEC,DATOS!$E17643,nASIG,DATOS!$I17643,nEVAL,"OR")=0))</f>
      </c>
      <c r="I17643">
        <f>IF(DATOS!$I17643="","",IFERROR(VLOOKUP(DATOS!$I17643,CONFIG_ASIGNATURAS!$B$2:$J$91,9,FALSE()),""))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IF(DATOS!$A17644="",0,IF(CONFIG_METADATA!$B$4&lt;&gt;"OR+EX",--(DATOS!$G17644=CONFIG_METADATA!$B$4),IF(DATOS!$G17644="EX",1,IF(DATOS!$G17644="OR",--(COUNTIFS(nNIA,DATOS!$A17644,nCURSO,DATOS!$D17644,nESPEC,DATOS!$E17644,nASIG,DATOS!$I17644,nEVAL,"EX")=0),0))))</f>
      </c>
      <c r="H17644">
        <f>IF(DATOS!$G17644&lt;&gt;"EX",0,--(COUNTIFS(nNIA,DATOS!$A17644,nCURSO,DATOS!$D17644,nESPEC,DATOS!$E17644,nASIG,DATOS!$I17644,nEVAL,"OR")=0))</f>
      </c>
      <c r="I17644">
        <f>IF(DATOS!$I17644="","",IFERROR(VLOOKUP(DATOS!$I17644,CONFIG_ASIGNATURAS!$B$2:$J$91,9,FALSE()),""))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IF(DATOS!$A17645="",0,IF(CONFIG_METADATA!$B$4&lt;&gt;"OR+EX",--(DATOS!$G17645=CONFIG_METADATA!$B$4),IF(DATOS!$G17645="EX",1,IF(DATOS!$G17645="OR",--(COUNTIFS(nNIA,DATOS!$A17645,nCURSO,DATOS!$D17645,nESPEC,DATOS!$E17645,nASIG,DATOS!$I17645,nEVAL,"EX")=0),0))))</f>
      </c>
      <c r="H17645">
        <f>IF(DATOS!$G17645&lt;&gt;"EX",0,--(COUNTIFS(nNIA,DATOS!$A17645,nCURSO,DATOS!$D17645,nESPEC,DATOS!$E17645,nASIG,DATOS!$I17645,nEVAL,"OR")=0))</f>
      </c>
      <c r="I17645">
        <f>IF(DATOS!$I17645="","",IFERROR(VLOOKUP(DATOS!$I17645,CONFIG_ASIGNATURAS!$B$2:$J$91,9,FALSE()),""))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IF(DATOS!$A17646="",0,IF(CONFIG_METADATA!$B$4&lt;&gt;"OR+EX",--(DATOS!$G17646=CONFIG_METADATA!$B$4),IF(DATOS!$G17646="EX",1,IF(DATOS!$G17646="OR",--(COUNTIFS(nNIA,DATOS!$A17646,nCURSO,DATOS!$D17646,nESPEC,DATOS!$E17646,nASIG,DATOS!$I17646,nEVAL,"EX")=0),0))))</f>
      </c>
      <c r="H17646">
        <f>IF(DATOS!$G17646&lt;&gt;"EX",0,--(COUNTIFS(nNIA,DATOS!$A17646,nCURSO,DATOS!$D17646,nESPEC,DATOS!$E17646,nASIG,DATOS!$I17646,nEVAL,"OR")=0))</f>
      </c>
      <c r="I17646">
        <f>IF(DATOS!$I17646="","",IFERROR(VLOOKUP(DATOS!$I17646,CONFIG_ASIGNATURAS!$B$2:$J$91,9,FALSE()),""))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IF(DATOS!$A17647="",0,IF(CONFIG_METADATA!$B$4&lt;&gt;"OR+EX",--(DATOS!$G17647=CONFIG_METADATA!$B$4),IF(DATOS!$G17647="EX",1,IF(DATOS!$G17647="OR",--(COUNTIFS(nNIA,DATOS!$A17647,nCURSO,DATOS!$D17647,nESPEC,DATOS!$E17647,nASIG,DATOS!$I17647,nEVAL,"EX")=0),0))))</f>
      </c>
      <c r="H17647">
        <f>IF(DATOS!$G17647&lt;&gt;"EX",0,--(COUNTIFS(nNIA,DATOS!$A17647,nCURSO,DATOS!$D17647,nESPEC,DATOS!$E17647,nASIG,DATOS!$I17647,nEVAL,"OR")=0))</f>
      </c>
      <c r="I17647">
        <f>IF(DATOS!$I17647="","",IFERROR(VLOOKUP(DATOS!$I17647,CONFIG_ASIGNATURAS!$B$2:$J$91,9,FALSE()),""))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IF(DATOS!$A17648="",0,IF(CONFIG_METADATA!$B$4&lt;&gt;"OR+EX",--(DATOS!$G17648=CONFIG_METADATA!$B$4),IF(DATOS!$G17648="EX",1,IF(DATOS!$G17648="OR",--(COUNTIFS(nNIA,DATOS!$A17648,nCURSO,DATOS!$D17648,nESPEC,DATOS!$E17648,nASIG,DATOS!$I17648,nEVAL,"EX")=0),0))))</f>
      </c>
      <c r="H17648">
        <f>IF(DATOS!$G17648&lt;&gt;"EX",0,--(COUNTIFS(nNIA,DATOS!$A17648,nCURSO,DATOS!$D17648,nESPEC,DATOS!$E17648,nASIG,DATOS!$I17648,nEVAL,"OR")=0))</f>
      </c>
      <c r="I17648">
        <f>IF(DATOS!$I17648="","",IFERROR(VLOOKUP(DATOS!$I17648,CONFIG_ASIGNATURAS!$B$2:$J$91,9,FALSE()),""))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IF(DATOS!$A17649="",0,IF(CONFIG_METADATA!$B$4&lt;&gt;"OR+EX",--(DATOS!$G17649=CONFIG_METADATA!$B$4),IF(DATOS!$G17649="EX",1,IF(DATOS!$G17649="OR",--(COUNTIFS(nNIA,DATOS!$A17649,nCURSO,DATOS!$D17649,nESPEC,DATOS!$E17649,nASIG,DATOS!$I17649,nEVAL,"EX")=0),0))))</f>
      </c>
      <c r="H17649">
        <f>IF(DATOS!$G17649&lt;&gt;"EX",0,--(COUNTIFS(nNIA,DATOS!$A17649,nCURSO,DATOS!$D17649,nESPEC,DATOS!$E17649,nASIG,DATOS!$I17649,nEVAL,"OR")=0))</f>
      </c>
      <c r="I17649">
        <f>IF(DATOS!$I17649="","",IFERROR(VLOOKUP(DATOS!$I17649,CONFIG_ASIGNATURAS!$B$2:$J$91,9,FALSE()),""))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IF(DATOS!$A17650="",0,IF(CONFIG_METADATA!$B$4&lt;&gt;"OR+EX",--(DATOS!$G17650=CONFIG_METADATA!$B$4),IF(DATOS!$G17650="EX",1,IF(DATOS!$G17650="OR",--(COUNTIFS(nNIA,DATOS!$A17650,nCURSO,DATOS!$D17650,nESPEC,DATOS!$E17650,nASIG,DATOS!$I17650,nEVAL,"EX")=0),0))))</f>
      </c>
      <c r="H17650">
        <f>IF(DATOS!$G17650&lt;&gt;"EX",0,--(COUNTIFS(nNIA,DATOS!$A17650,nCURSO,DATOS!$D17650,nESPEC,DATOS!$E17650,nASIG,DATOS!$I17650,nEVAL,"OR")=0))</f>
      </c>
      <c r="I17650">
        <f>IF(DATOS!$I17650="","",IFERROR(VLOOKUP(DATOS!$I17650,CONFIG_ASIGNATURAS!$B$2:$J$91,9,FALSE()),""))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IF(DATOS!$A17651="",0,IF(CONFIG_METADATA!$B$4&lt;&gt;"OR+EX",--(DATOS!$G17651=CONFIG_METADATA!$B$4),IF(DATOS!$G17651="EX",1,IF(DATOS!$G17651="OR",--(COUNTIFS(nNIA,DATOS!$A17651,nCURSO,DATOS!$D17651,nESPEC,DATOS!$E17651,nASIG,DATOS!$I17651,nEVAL,"EX")=0),0))))</f>
      </c>
      <c r="H17651">
        <f>IF(DATOS!$G17651&lt;&gt;"EX",0,--(COUNTIFS(nNIA,DATOS!$A17651,nCURSO,DATOS!$D17651,nESPEC,DATOS!$E17651,nASIG,DATOS!$I17651,nEVAL,"OR")=0))</f>
      </c>
      <c r="I17651">
        <f>IF(DATOS!$I17651="","",IFERROR(VLOOKUP(DATOS!$I17651,CONFIG_ASIGNATURAS!$B$2:$J$91,9,FALSE()),""))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IF(DATOS!$A17652="",0,IF(CONFIG_METADATA!$B$4&lt;&gt;"OR+EX",--(DATOS!$G17652=CONFIG_METADATA!$B$4),IF(DATOS!$G17652="EX",1,IF(DATOS!$G17652="OR",--(COUNTIFS(nNIA,DATOS!$A17652,nCURSO,DATOS!$D17652,nESPEC,DATOS!$E17652,nASIG,DATOS!$I17652,nEVAL,"EX")=0),0))))</f>
      </c>
      <c r="H17652">
        <f>IF(DATOS!$G17652&lt;&gt;"EX",0,--(COUNTIFS(nNIA,DATOS!$A17652,nCURSO,DATOS!$D17652,nESPEC,DATOS!$E17652,nASIG,DATOS!$I17652,nEVAL,"OR")=0))</f>
      </c>
      <c r="I17652">
        <f>IF(DATOS!$I17652="","",IFERROR(VLOOKUP(DATOS!$I17652,CONFIG_ASIGNATURAS!$B$2:$J$91,9,FALSE()),""))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IF(DATOS!$A17653="",0,IF(CONFIG_METADATA!$B$4&lt;&gt;"OR+EX",--(DATOS!$G17653=CONFIG_METADATA!$B$4),IF(DATOS!$G17653="EX",1,IF(DATOS!$G17653="OR",--(COUNTIFS(nNIA,DATOS!$A17653,nCURSO,DATOS!$D17653,nESPEC,DATOS!$E17653,nASIG,DATOS!$I17653,nEVAL,"EX")=0),0))))</f>
      </c>
      <c r="H17653">
        <f>IF(DATOS!$G17653&lt;&gt;"EX",0,--(COUNTIFS(nNIA,DATOS!$A17653,nCURSO,DATOS!$D17653,nESPEC,DATOS!$E17653,nASIG,DATOS!$I17653,nEVAL,"OR")=0))</f>
      </c>
      <c r="I17653">
        <f>IF(DATOS!$I17653="","",IFERROR(VLOOKUP(DATOS!$I17653,CONFIG_ASIGNATURAS!$B$2:$J$91,9,FALSE()),""))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IF(DATOS!$A17654="",0,IF(CONFIG_METADATA!$B$4&lt;&gt;"OR+EX",--(DATOS!$G17654=CONFIG_METADATA!$B$4),IF(DATOS!$G17654="EX",1,IF(DATOS!$G17654="OR",--(COUNTIFS(nNIA,DATOS!$A17654,nCURSO,DATOS!$D17654,nESPEC,DATOS!$E17654,nASIG,DATOS!$I17654,nEVAL,"EX")=0),0))))</f>
      </c>
      <c r="H17654">
        <f>IF(DATOS!$G17654&lt;&gt;"EX",0,--(COUNTIFS(nNIA,DATOS!$A17654,nCURSO,DATOS!$D17654,nESPEC,DATOS!$E17654,nASIG,DATOS!$I17654,nEVAL,"OR")=0))</f>
      </c>
      <c r="I17654">
        <f>IF(DATOS!$I17654="","",IFERROR(VLOOKUP(DATOS!$I17654,CONFIG_ASIGNATURAS!$B$2:$J$91,9,FALSE()),""))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IF(DATOS!$A17655="",0,IF(CONFIG_METADATA!$B$4&lt;&gt;"OR+EX",--(DATOS!$G17655=CONFIG_METADATA!$B$4),IF(DATOS!$G17655="EX",1,IF(DATOS!$G17655="OR",--(COUNTIFS(nNIA,DATOS!$A17655,nCURSO,DATOS!$D17655,nESPEC,DATOS!$E17655,nASIG,DATOS!$I17655,nEVAL,"EX")=0),0))))</f>
      </c>
      <c r="H17655">
        <f>IF(DATOS!$G17655&lt;&gt;"EX",0,--(COUNTIFS(nNIA,DATOS!$A17655,nCURSO,DATOS!$D17655,nESPEC,DATOS!$E17655,nASIG,DATOS!$I17655,nEVAL,"OR")=0))</f>
      </c>
      <c r="I17655">
        <f>IF(DATOS!$I17655="","",IFERROR(VLOOKUP(DATOS!$I17655,CONFIG_ASIGNATURAS!$B$2:$J$91,9,FALSE()),""))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IF(DATOS!$A17656="",0,IF(CONFIG_METADATA!$B$4&lt;&gt;"OR+EX",--(DATOS!$G17656=CONFIG_METADATA!$B$4),IF(DATOS!$G17656="EX",1,IF(DATOS!$G17656="OR",--(COUNTIFS(nNIA,DATOS!$A17656,nCURSO,DATOS!$D17656,nESPEC,DATOS!$E17656,nASIG,DATOS!$I17656,nEVAL,"EX")=0),0))))</f>
      </c>
      <c r="H17656">
        <f>IF(DATOS!$G17656&lt;&gt;"EX",0,--(COUNTIFS(nNIA,DATOS!$A17656,nCURSO,DATOS!$D17656,nESPEC,DATOS!$E17656,nASIG,DATOS!$I17656,nEVAL,"OR")=0))</f>
      </c>
      <c r="I17656">
        <f>IF(DATOS!$I17656="","",IFERROR(VLOOKUP(DATOS!$I17656,CONFIG_ASIGNATURAS!$B$2:$J$91,9,FALSE()),""))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IF(DATOS!$A17657="",0,IF(CONFIG_METADATA!$B$4&lt;&gt;"OR+EX",--(DATOS!$G17657=CONFIG_METADATA!$B$4),IF(DATOS!$G17657="EX",1,IF(DATOS!$G17657="OR",--(COUNTIFS(nNIA,DATOS!$A17657,nCURSO,DATOS!$D17657,nESPEC,DATOS!$E17657,nASIG,DATOS!$I17657,nEVAL,"EX")=0),0))))</f>
      </c>
      <c r="H17657">
        <f>IF(DATOS!$G17657&lt;&gt;"EX",0,--(COUNTIFS(nNIA,DATOS!$A17657,nCURSO,DATOS!$D17657,nESPEC,DATOS!$E17657,nASIG,DATOS!$I17657,nEVAL,"OR")=0))</f>
      </c>
      <c r="I17657">
        <f>IF(DATOS!$I17657="","",IFERROR(VLOOKUP(DATOS!$I17657,CONFIG_ASIGNATURAS!$B$2:$J$91,9,FALSE()),""))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IF(DATOS!$A17658="",0,IF(CONFIG_METADATA!$B$4&lt;&gt;"OR+EX",--(DATOS!$G17658=CONFIG_METADATA!$B$4),IF(DATOS!$G17658="EX",1,IF(DATOS!$G17658="OR",--(COUNTIFS(nNIA,DATOS!$A17658,nCURSO,DATOS!$D17658,nESPEC,DATOS!$E17658,nASIG,DATOS!$I17658,nEVAL,"EX")=0),0))))</f>
      </c>
      <c r="H17658">
        <f>IF(DATOS!$G17658&lt;&gt;"EX",0,--(COUNTIFS(nNIA,DATOS!$A17658,nCURSO,DATOS!$D17658,nESPEC,DATOS!$E17658,nASIG,DATOS!$I17658,nEVAL,"OR")=0))</f>
      </c>
      <c r="I17658">
        <f>IF(DATOS!$I17658="","",IFERROR(VLOOKUP(DATOS!$I17658,CONFIG_ASIGNATURAS!$B$2:$J$91,9,FALSE()),""))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IF(DATOS!$A17659="",0,IF(CONFIG_METADATA!$B$4&lt;&gt;"OR+EX",--(DATOS!$G17659=CONFIG_METADATA!$B$4),IF(DATOS!$G17659="EX",1,IF(DATOS!$G17659="OR",--(COUNTIFS(nNIA,DATOS!$A17659,nCURSO,DATOS!$D17659,nESPEC,DATOS!$E17659,nASIG,DATOS!$I17659,nEVAL,"EX")=0),0))))</f>
      </c>
      <c r="H17659">
        <f>IF(DATOS!$G17659&lt;&gt;"EX",0,--(COUNTIFS(nNIA,DATOS!$A17659,nCURSO,DATOS!$D17659,nESPEC,DATOS!$E17659,nASIG,DATOS!$I17659,nEVAL,"OR")=0))</f>
      </c>
      <c r="I17659">
        <f>IF(DATOS!$I17659="","",IFERROR(VLOOKUP(DATOS!$I17659,CONFIG_ASIGNATURAS!$B$2:$J$91,9,FALSE()),""))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IF(DATOS!$A17660="",0,IF(CONFIG_METADATA!$B$4&lt;&gt;"OR+EX",--(DATOS!$G17660=CONFIG_METADATA!$B$4),IF(DATOS!$G17660="EX",1,IF(DATOS!$G17660="OR",--(COUNTIFS(nNIA,DATOS!$A17660,nCURSO,DATOS!$D17660,nESPEC,DATOS!$E17660,nASIG,DATOS!$I17660,nEVAL,"EX")=0),0))))</f>
      </c>
      <c r="H17660">
        <f>IF(DATOS!$G17660&lt;&gt;"EX",0,--(COUNTIFS(nNIA,DATOS!$A17660,nCURSO,DATOS!$D17660,nESPEC,DATOS!$E17660,nASIG,DATOS!$I17660,nEVAL,"OR")=0))</f>
      </c>
      <c r="I17660">
        <f>IF(DATOS!$I17660="","",IFERROR(VLOOKUP(DATOS!$I17660,CONFIG_ASIGNATURAS!$B$2:$J$91,9,FALSE()),""))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IF(DATOS!$A17661="",0,IF(CONFIG_METADATA!$B$4&lt;&gt;"OR+EX",--(DATOS!$G17661=CONFIG_METADATA!$B$4),IF(DATOS!$G17661="EX",1,IF(DATOS!$G17661="OR",--(COUNTIFS(nNIA,DATOS!$A17661,nCURSO,DATOS!$D17661,nESPEC,DATOS!$E17661,nASIG,DATOS!$I17661,nEVAL,"EX")=0),0))))</f>
      </c>
      <c r="H17661">
        <f>IF(DATOS!$G17661&lt;&gt;"EX",0,--(COUNTIFS(nNIA,DATOS!$A17661,nCURSO,DATOS!$D17661,nESPEC,DATOS!$E17661,nASIG,DATOS!$I17661,nEVAL,"OR")=0))</f>
      </c>
      <c r="I17661">
        <f>IF(DATOS!$I17661="","",IFERROR(VLOOKUP(DATOS!$I17661,CONFIG_ASIGNATURAS!$B$2:$J$91,9,FALSE()),""))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IF(DATOS!$A17662="",0,IF(CONFIG_METADATA!$B$4&lt;&gt;"OR+EX",--(DATOS!$G17662=CONFIG_METADATA!$B$4),IF(DATOS!$G17662="EX",1,IF(DATOS!$G17662="OR",--(COUNTIFS(nNIA,DATOS!$A17662,nCURSO,DATOS!$D17662,nESPEC,DATOS!$E17662,nASIG,DATOS!$I17662,nEVAL,"EX")=0),0))))</f>
      </c>
      <c r="H17662">
        <f>IF(DATOS!$G17662&lt;&gt;"EX",0,--(COUNTIFS(nNIA,DATOS!$A17662,nCURSO,DATOS!$D17662,nESPEC,DATOS!$E17662,nASIG,DATOS!$I17662,nEVAL,"OR")=0))</f>
      </c>
      <c r="I17662">
        <f>IF(DATOS!$I17662="","",IFERROR(VLOOKUP(DATOS!$I17662,CONFIG_ASIGNATURAS!$B$2:$J$91,9,FALSE()),""))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IF(DATOS!$A17663="",0,IF(CONFIG_METADATA!$B$4&lt;&gt;"OR+EX",--(DATOS!$G17663=CONFIG_METADATA!$B$4),IF(DATOS!$G17663="EX",1,IF(DATOS!$G17663="OR",--(COUNTIFS(nNIA,DATOS!$A17663,nCURSO,DATOS!$D17663,nESPEC,DATOS!$E17663,nASIG,DATOS!$I17663,nEVAL,"EX")=0),0))))</f>
      </c>
      <c r="H17663">
        <f>IF(DATOS!$G17663&lt;&gt;"EX",0,--(COUNTIFS(nNIA,DATOS!$A17663,nCURSO,DATOS!$D17663,nESPEC,DATOS!$E17663,nASIG,DATOS!$I17663,nEVAL,"OR")=0))</f>
      </c>
      <c r="I17663">
        <f>IF(DATOS!$I17663="","",IFERROR(VLOOKUP(DATOS!$I17663,CONFIG_ASIGNATURAS!$B$2:$J$91,9,FALSE()),""))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IF(DATOS!$A17664="",0,IF(CONFIG_METADATA!$B$4&lt;&gt;"OR+EX",--(DATOS!$G17664=CONFIG_METADATA!$B$4),IF(DATOS!$G17664="EX",1,IF(DATOS!$G17664="OR",--(COUNTIFS(nNIA,DATOS!$A17664,nCURSO,DATOS!$D17664,nESPEC,DATOS!$E17664,nASIG,DATOS!$I17664,nEVAL,"EX")=0),0))))</f>
      </c>
      <c r="H17664">
        <f>IF(DATOS!$G17664&lt;&gt;"EX",0,--(COUNTIFS(nNIA,DATOS!$A17664,nCURSO,DATOS!$D17664,nESPEC,DATOS!$E17664,nASIG,DATOS!$I17664,nEVAL,"OR")=0))</f>
      </c>
      <c r="I17664">
        <f>IF(DATOS!$I17664="","",IFERROR(VLOOKUP(DATOS!$I17664,CONFIG_ASIGNATURAS!$B$2:$J$91,9,FALSE()),""))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IF(DATOS!$A17665="",0,IF(CONFIG_METADATA!$B$4&lt;&gt;"OR+EX",--(DATOS!$G17665=CONFIG_METADATA!$B$4),IF(DATOS!$G17665="EX",1,IF(DATOS!$G17665="OR",--(COUNTIFS(nNIA,DATOS!$A17665,nCURSO,DATOS!$D17665,nESPEC,DATOS!$E17665,nASIG,DATOS!$I17665,nEVAL,"EX")=0),0))))</f>
      </c>
      <c r="H17665">
        <f>IF(DATOS!$G17665&lt;&gt;"EX",0,--(COUNTIFS(nNIA,DATOS!$A17665,nCURSO,DATOS!$D17665,nESPEC,DATOS!$E17665,nASIG,DATOS!$I17665,nEVAL,"OR")=0))</f>
      </c>
      <c r="I17665">
        <f>IF(DATOS!$I17665="","",IFERROR(VLOOKUP(DATOS!$I17665,CONFIG_ASIGNATURAS!$B$2:$J$91,9,FALSE()),""))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IF(DATOS!$A17666="",0,IF(CONFIG_METADATA!$B$4&lt;&gt;"OR+EX",--(DATOS!$G17666=CONFIG_METADATA!$B$4),IF(DATOS!$G17666="EX",1,IF(DATOS!$G17666="OR",--(COUNTIFS(nNIA,DATOS!$A17666,nCURSO,DATOS!$D17666,nESPEC,DATOS!$E17666,nASIG,DATOS!$I17666,nEVAL,"EX")=0),0))))</f>
      </c>
      <c r="H17666">
        <f>IF(DATOS!$G17666&lt;&gt;"EX",0,--(COUNTIFS(nNIA,DATOS!$A17666,nCURSO,DATOS!$D17666,nESPEC,DATOS!$E17666,nASIG,DATOS!$I17666,nEVAL,"OR")=0))</f>
      </c>
      <c r="I17666">
        <f>IF(DATOS!$I17666="","",IFERROR(VLOOKUP(DATOS!$I17666,CONFIG_ASIGNATURAS!$B$2:$J$91,9,FALSE()),""))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IF(DATOS!$A17667="",0,IF(CONFIG_METADATA!$B$4&lt;&gt;"OR+EX",--(DATOS!$G17667=CONFIG_METADATA!$B$4),IF(DATOS!$G17667="EX",1,IF(DATOS!$G17667="OR",--(COUNTIFS(nNIA,DATOS!$A17667,nCURSO,DATOS!$D17667,nESPEC,DATOS!$E17667,nASIG,DATOS!$I17667,nEVAL,"EX")=0),0))))</f>
      </c>
      <c r="H17667">
        <f>IF(DATOS!$G17667&lt;&gt;"EX",0,--(COUNTIFS(nNIA,DATOS!$A17667,nCURSO,DATOS!$D17667,nESPEC,DATOS!$E17667,nASIG,DATOS!$I17667,nEVAL,"OR")=0))</f>
      </c>
      <c r="I17667">
        <f>IF(DATOS!$I17667="","",IFERROR(VLOOKUP(DATOS!$I17667,CONFIG_ASIGNATURAS!$B$2:$J$91,9,FALSE()),""))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IF(DATOS!$A17668="",0,IF(CONFIG_METADATA!$B$4&lt;&gt;"OR+EX",--(DATOS!$G17668=CONFIG_METADATA!$B$4),IF(DATOS!$G17668="EX",1,IF(DATOS!$G17668="OR",--(COUNTIFS(nNIA,DATOS!$A17668,nCURSO,DATOS!$D17668,nESPEC,DATOS!$E17668,nASIG,DATOS!$I17668,nEVAL,"EX")=0),0))))</f>
      </c>
      <c r="H17668">
        <f>IF(DATOS!$G17668&lt;&gt;"EX",0,--(COUNTIFS(nNIA,DATOS!$A17668,nCURSO,DATOS!$D17668,nESPEC,DATOS!$E17668,nASIG,DATOS!$I17668,nEVAL,"OR")=0))</f>
      </c>
      <c r="I17668">
        <f>IF(DATOS!$I17668="","",IFERROR(VLOOKUP(DATOS!$I17668,CONFIG_ASIGNATURAS!$B$2:$J$91,9,FALSE()),""))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IF(DATOS!$A17669="",0,IF(CONFIG_METADATA!$B$4&lt;&gt;"OR+EX",--(DATOS!$G17669=CONFIG_METADATA!$B$4),IF(DATOS!$G17669="EX",1,IF(DATOS!$G17669="OR",--(COUNTIFS(nNIA,DATOS!$A17669,nCURSO,DATOS!$D17669,nESPEC,DATOS!$E17669,nASIG,DATOS!$I17669,nEVAL,"EX")=0),0))))</f>
      </c>
      <c r="H17669">
        <f>IF(DATOS!$G17669&lt;&gt;"EX",0,--(COUNTIFS(nNIA,DATOS!$A17669,nCURSO,DATOS!$D17669,nESPEC,DATOS!$E17669,nASIG,DATOS!$I17669,nEVAL,"OR")=0))</f>
      </c>
      <c r="I17669">
        <f>IF(DATOS!$I17669="","",IFERROR(VLOOKUP(DATOS!$I17669,CONFIG_ASIGNATURAS!$B$2:$J$91,9,FALSE()),""))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IF(DATOS!$A17670="",0,IF(CONFIG_METADATA!$B$4&lt;&gt;"OR+EX",--(DATOS!$G17670=CONFIG_METADATA!$B$4),IF(DATOS!$G17670="EX",1,IF(DATOS!$G17670="OR",--(COUNTIFS(nNIA,DATOS!$A17670,nCURSO,DATOS!$D17670,nESPEC,DATOS!$E17670,nASIG,DATOS!$I17670,nEVAL,"EX")=0),0))))</f>
      </c>
      <c r="H17670">
        <f>IF(DATOS!$G17670&lt;&gt;"EX",0,--(COUNTIFS(nNIA,DATOS!$A17670,nCURSO,DATOS!$D17670,nESPEC,DATOS!$E17670,nASIG,DATOS!$I17670,nEVAL,"OR")=0))</f>
      </c>
      <c r="I17670">
        <f>IF(DATOS!$I17670="","",IFERROR(VLOOKUP(DATOS!$I17670,CONFIG_ASIGNATURAS!$B$2:$J$91,9,FALSE()),""))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IF(DATOS!$A17671="",0,IF(CONFIG_METADATA!$B$4&lt;&gt;"OR+EX",--(DATOS!$G17671=CONFIG_METADATA!$B$4),IF(DATOS!$G17671="EX",1,IF(DATOS!$G17671="OR",--(COUNTIFS(nNIA,DATOS!$A17671,nCURSO,DATOS!$D17671,nESPEC,DATOS!$E17671,nASIG,DATOS!$I17671,nEVAL,"EX")=0),0))))</f>
      </c>
      <c r="H17671">
        <f>IF(DATOS!$G17671&lt;&gt;"EX",0,--(COUNTIFS(nNIA,DATOS!$A17671,nCURSO,DATOS!$D17671,nESPEC,DATOS!$E17671,nASIG,DATOS!$I17671,nEVAL,"OR")=0))</f>
      </c>
      <c r="I17671">
        <f>IF(DATOS!$I17671="","",IFERROR(VLOOKUP(DATOS!$I17671,CONFIG_ASIGNATURAS!$B$2:$J$91,9,FALSE()),""))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IF(DATOS!$A17672="",0,IF(CONFIG_METADATA!$B$4&lt;&gt;"OR+EX",--(DATOS!$G17672=CONFIG_METADATA!$B$4),IF(DATOS!$G17672="EX",1,IF(DATOS!$G17672="OR",--(COUNTIFS(nNIA,DATOS!$A17672,nCURSO,DATOS!$D17672,nESPEC,DATOS!$E17672,nASIG,DATOS!$I17672,nEVAL,"EX")=0),0))))</f>
      </c>
      <c r="H17672">
        <f>IF(DATOS!$G17672&lt;&gt;"EX",0,--(COUNTIFS(nNIA,DATOS!$A17672,nCURSO,DATOS!$D17672,nESPEC,DATOS!$E17672,nASIG,DATOS!$I17672,nEVAL,"OR")=0))</f>
      </c>
      <c r="I17672">
        <f>IF(DATOS!$I17672="","",IFERROR(VLOOKUP(DATOS!$I17672,CONFIG_ASIGNATURAS!$B$2:$J$91,9,FALSE()),""))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IF(DATOS!$A17673="",0,IF(CONFIG_METADATA!$B$4&lt;&gt;"OR+EX",--(DATOS!$G17673=CONFIG_METADATA!$B$4),IF(DATOS!$G17673="EX",1,IF(DATOS!$G17673="OR",--(COUNTIFS(nNIA,DATOS!$A17673,nCURSO,DATOS!$D17673,nESPEC,DATOS!$E17673,nASIG,DATOS!$I17673,nEVAL,"EX")=0),0))))</f>
      </c>
      <c r="H17673">
        <f>IF(DATOS!$G17673&lt;&gt;"EX",0,--(COUNTIFS(nNIA,DATOS!$A17673,nCURSO,DATOS!$D17673,nESPEC,DATOS!$E17673,nASIG,DATOS!$I17673,nEVAL,"OR")=0))</f>
      </c>
      <c r="I17673">
        <f>IF(DATOS!$I17673="","",IFERROR(VLOOKUP(DATOS!$I17673,CONFIG_ASIGNATURAS!$B$2:$J$91,9,FALSE()),""))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IF(DATOS!$A17674="",0,IF(CONFIG_METADATA!$B$4&lt;&gt;"OR+EX",--(DATOS!$G17674=CONFIG_METADATA!$B$4),IF(DATOS!$G17674="EX",1,IF(DATOS!$G17674="OR",--(COUNTIFS(nNIA,DATOS!$A17674,nCURSO,DATOS!$D17674,nESPEC,DATOS!$E17674,nASIG,DATOS!$I17674,nEVAL,"EX")=0),0))))</f>
      </c>
      <c r="H17674">
        <f>IF(DATOS!$G17674&lt;&gt;"EX",0,--(COUNTIFS(nNIA,DATOS!$A17674,nCURSO,DATOS!$D17674,nESPEC,DATOS!$E17674,nASIG,DATOS!$I17674,nEVAL,"OR")=0))</f>
      </c>
      <c r="I17674">
        <f>IF(DATOS!$I17674="","",IFERROR(VLOOKUP(DATOS!$I17674,CONFIG_ASIGNATURAS!$B$2:$J$91,9,FALSE()),""))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IF(DATOS!$A17675="",0,IF(CONFIG_METADATA!$B$4&lt;&gt;"OR+EX",--(DATOS!$G17675=CONFIG_METADATA!$B$4),IF(DATOS!$G17675="EX",1,IF(DATOS!$G17675="OR",--(COUNTIFS(nNIA,DATOS!$A17675,nCURSO,DATOS!$D17675,nESPEC,DATOS!$E17675,nASIG,DATOS!$I17675,nEVAL,"EX")=0),0))))</f>
      </c>
      <c r="H17675">
        <f>IF(DATOS!$G17675&lt;&gt;"EX",0,--(COUNTIFS(nNIA,DATOS!$A17675,nCURSO,DATOS!$D17675,nESPEC,DATOS!$E17675,nASIG,DATOS!$I17675,nEVAL,"OR")=0))</f>
      </c>
      <c r="I17675">
        <f>IF(DATOS!$I17675="","",IFERROR(VLOOKUP(DATOS!$I17675,CONFIG_ASIGNATURAS!$B$2:$J$91,9,FALSE()),""))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IF(DATOS!$A17676="",0,IF(CONFIG_METADATA!$B$4&lt;&gt;"OR+EX",--(DATOS!$G17676=CONFIG_METADATA!$B$4),IF(DATOS!$G17676="EX",1,IF(DATOS!$G17676="OR",--(COUNTIFS(nNIA,DATOS!$A17676,nCURSO,DATOS!$D17676,nESPEC,DATOS!$E17676,nASIG,DATOS!$I17676,nEVAL,"EX")=0),0))))</f>
      </c>
      <c r="H17676">
        <f>IF(DATOS!$G17676&lt;&gt;"EX",0,--(COUNTIFS(nNIA,DATOS!$A17676,nCURSO,DATOS!$D17676,nESPEC,DATOS!$E17676,nASIG,DATOS!$I17676,nEVAL,"OR")=0))</f>
      </c>
      <c r="I17676">
        <f>IF(DATOS!$I17676="","",IFERROR(VLOOKUP(DATOS!$I17676,CONFIG_ASIGNATURAS!$B$2:$J$91,9,FALSE()),""))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IF(DATOS!$A17677="",0,IF(CONFIG_METADATA!$B$4&lt;&gt;"OR+EX",--(DATOS!$G17677=CONFIG_METADATA!$B$4),IF(DATOS!$G17677="EX",1,IF(DATOS!$G17677="OR",--(COUNTIFS(nNIA,DATOS!$A17677,nCURSO,DATOS!$D17677,nESPEC,DATOS!$E17677,nASIG,DATOS!$I17677,nEVAL,"EX")=0),0))))</f>
      </c>
      <c r="H17677">
        <f>IF(DATOS!$G17677&lt;&gt;"EX",0,--(COUNTIFS(nNIA,DATOS!$A17677,nCURSO,DATOS!$D17677,nESPEC,DATOS!$E17677,nASIG,DATOS!$I17677,nEVAL,"OR")=0))</f>
      </c>
      <c r="I17677">
        <f>IF(DATOS!$I17677="","",IFERROR(VLOOKUP(DATOS!$I17677,CONFIG_ASIGNATURAS!$B$2:$J$91,9,FALSE()),""))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IF(DATOS!$A17678="",0,IF(CONFIG_METADATA!$B$4&lt;&gt;"OR+EX",--(DATOS!$G17678=CONFIG_METADATA!$B$4),IF(DATOS!$G17678="EX",1,IF(DATOS!$G17678="OR",--(COUNTIFS(nNIA,DATOS!$A17678,nCURSO,DATOS!$D17678,nESPEC,DATOS!$E17678,nASIG,DATOS!$I17678,nEVAL,"EX")=0),0))))</f>
      </c>
      <c r="H17678">
        <f>IF(DATOS!$G17678&lt;&gt;"EX",0,--(COUNTIFS(nNIA,DATOS!$A17678,nCURSO,DATOS!$D17678,nESPEC,DATOS!$E17678,nASIG,DATOS!$I17678,nEVAL,"OR")=0))</f>
      </c>
      <c r="I17678">
        <f>IF(DATOS!$I17678="","",IFERROR(VLOOKUP(DATOS!$I17678,CONFIG_ASIGNATURAS!$B$2:$J$91,9,FALSE()),""))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IF(DATOS!$A17679="",0,IF(CONFIG_METADATA!$B$4&lt;&gt;"OR+EX",--(DATOS!$G17679=CONFIG_METADATA!$B$4),IF(DATOS!$G17679="EX",1,IF(DATOS!$G17679="OR",--(COUNTIFS(nNIA,DATOS!$A17679,nCURSO,DATOS!$D17679,nESPEC,DATOS!$E17679,nASIG,DATOS!$I17679,nEVAL,"EX")=0),0))))</f>
      </c>
      <c r="H17679">
        <f>IF(DATOS!$G17679&lt;&gt;"EX",0,--(COUNTIFS(nNIA,DATOS!$A17679,nCURSO,DATOS!$D17679,nESPEC,DATOS!$E17679,nASIG,DATOS!$I17679,nEVAL,"OR")=0))</f>
      </c>
      <c r="I17679">
        <f>IF(DATOS!$I17679="","",IFERROR(VLOOKUP(DATOS!$I17679,CONFIG_ASIGNATURAS!$B$2:$J$91,9,FALSE()),""))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IF(DATOS!$A17680="",0,IF(CONFIG_METADATA!$B$4&lt;&gt;"OR+EX",--(DATOS!$G17680=CONFIG_METADATA!$B$4),IF(DATOS!$G17680="EX",1,IF(DATOS!$G17680="OR",--(COUNTIFS(nNIA,DATOS!$A17680,nCURSO,DATOS!$D17680,nESPEC,DATOS!$E17680,nASIG,DATOS!$I17680,nEVAL,"EX")=0),0))))</f>
      </c>
      <c r="H17680">
        <f>IF(DATOS!$G17680&lt;&gt;"EX",0,--(COUNTIFS(nNIA,DATOS!$A17680,nCURSO,DATOS!$D17680,nESPEC,DATOS!$E17680,nASIG,DATOS!$I17680,nEVAL,"OR")=0))</f>
      </c>
      <c r="I17680">
        <f>IF(DATOS!$I17680="","",IFERROR(VLOOKUP(DATOS!$I17680,CONFIG_ASIGNATURAS!$B$2:$J$91,9,FALSE()),""))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IF(DATOS!$A17681="",0,IF(CONFIG_METADATA!$B$4&lt;&gt;"OR+EX",--(DATOS!$G17681=CONFIG_METADATA!$B$4),IF(DATOS!$G17681="EX",1,IF(DATOS!$G17681="OR",--(COUNTIFS(nNIA,DATOS!$A17681,nCURSO,DATOS!$D17681,nESPEC,DATOS!$E17681,nASIG,DATOS!$I17681,nEVAL,"EX")=0),0))))</f>
      </c>
      <c r="H17681">
        <f>IF(DATOS!$G17681&lt;&gt;"EX",0,--(COUNTIFS(nNIA,DATOS!$A17681,nCURSO,DATOS!$D17681,nESPEC,DATOS!$E17681,nASIG,DATOS!$I17681,nEVAL,"OR")=0))</f>
      </c>
      <c r="I17681">
        <f>IF(DATOS!$I17681="","",IFERROR(VLOOKUP(DATOS!$I17681,CONFIG_ASIGNATURAS!$B$2:$J$91,9,FALSE()),""))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IF(DATOS!$A17682="",0,IF(CONFIG_METADATA!$B$4&lt;&gt;"OR+EX",--(DATOS!$G17682=CONFIG_METADATA!$B$4),IF(DATOS!$G17682="EX",1,IF(DATOS!$G17682="OR",--(COUNTIFS(nNIA,DATOS!$A17682,nCURSO,DATOS!$D17682,nESPEC,DATOS!$E17682,nASIG,DATOS!$I17682,nEVAL,"EX")=0),0))))</f>
      </c>
      <c r="H17682">
        <f>IF(DATOS!$G17682&lt;&gt;"EX",0,--(COUNTIFS(nNIA,DATOS!$A17682,nCURSO,DATOS!$D17682,nESPEC,DATOS!$E17682,nASIG,DATOS!$I17682,nEVAL,"OR")=0))</f>
      </c>
      <c r="I17682">
        <f>IF(DATOS!$I17682="","",IFERROR(VLOOKUP(DATOS!$I17682,CONFIG_ASIGNATURAS!$B$2:$J$91,9,FALSE()),""))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IF(DATOS!$A17683="",0,IF(CONFIG_METADATA!$B$4&lt;&gt;"OR+EX",--(DATOS!$G17683=CONFIG_METADATA!$B$4),IF(DATOS!$G17683="EX",1,IF(DATOS!$G17683="OR",--(COUNTIFS(nNIA,DATOS!$A17683,nCURSO,DATOS!$D17683,nESPEC,DATOS!$E17683,nASIG,DATOS!$I17683,nEVAL,"EX")=0),0))))</f>
      </c>
      <c r="H17683">
        <f>IF(DATOS!$G17683&lt;&gt;"EX",0,--(COUNTIFS(nNIA,DATOS!$A17683,nCURSO,DATOS!$D17683,nESPEC,DATOS!$E17683,nASIG,DATOS!$I17683,nEVAL,"OR")=0))</f>
      </c>
      <c r="I17683">
        <f>IF(DATOS!$I17683="","",IFERROR(VLOOKUP(DATOS!$I17683,CONFIG_ASIGNATURAS!$B$2:$J$91,9,FALSE()),""))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IF(DATOS!$A17684="",0,IF(CONFIG_METADATA!$B$4&lt;&gt;"OR+EX",--(DATOS!$G17684=CONFIG_METADATA!$B$4),IF(DATOS!$G17684="EX",1,IF(DATOS!$G17684="OR",--(COUNTIFS(nNIA,DATOS!$A17684,nCURSO,DATOS!$D17684,nESPEC,DATOS!$E17684,nASIG,DATOS!$I17684,nEVAL,"EX")=0),0))))</f>
      </c>
      <c r="H17684">
        <f>IF(DATOS!$G17684&lt;&gt;"EX",0,--(COUNTIFS(nNIA,DATOS!$A17684,nCURSO,DATOS!$D17684,nESPEC,DATOS!$E17684,nASIG,DATOS!$I17684,nEVAL,"OR")=0))</f>
      </c>
      <c r="I17684">
        <f>IF(DATOS!$I17684="","",IFERROR(VLOOKUP(DATOS!$I17684,CONFIG_ASIGNATURAS!$B$2:$J$91,9,FALSE()),""))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IF(DATOS!$A17685="",0,IF(CONFIG_METADATA!$B$4&lt;&gt;"OR+EX",--(DATOS!$G17685=CONFIG_METADATA!$B$4),IF(DATOS!$G17685="EX",1,IF(DATOS!$G17685="OR",--(COUNTIFS(nNIA,DATOS!$A17685,nCURSO,DATOS!$D17685,nESPEC,DATOS!$E17685,nASIG,DATOS!$I17685,nEVAL,"EX")=0),0))))</f>
      </c>
      <c r="H17685">
        <f>IF(DATOS!$G17685&lt;&gt;"EX",0,--(COUNTIFS(nNIA,DATOS!$A17685,nCURSO,DATOS!$D17685,nESPEC,DATOS!$E17685,nASIG,DATOS!$I17685,nEVAL,"OR")=0))</f>
      </c>
      <c r="I17685">
        <f>IF(DATOS!$I17685="","",IFERROR(VLOOKUP(DATOS!$I17685,CONFIG_ASIGNATURAS!$B$2:$J$91,9,FALSE()),""))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IF(DATOS!$A17686="",0,IF(CONFIG_METADATA!$B$4&lt;&gt;"OR+EX",--(DATOS!$G17686=CONFIG_METADATA!$B$4),IF(DATOS!$G17686="EX",1,IF(DATOS!$G17686="OR",--(COUNTIFS(nNIA,DATOS!$A17686,nCURSO,DATOS!$D17686,nESPEC,DATOS!$E17686,nASIG,DATOS!$I17686,nEVAL,"EX")=0),0))))</f>
      </c>
      <c r="H17686">
        <f>IF(DATOS!$G17686&lt;&gt;"EX",0,--(COUNTIFS(nNIA,DATOS!$A17686,nCURSO,DATOS!$D17686,nESPEC,DATOS!$E17686,nASIG,DATOS!$I17686,nEVAL,"OR")=0))</f>
      </c>
      <c r="I17686">
        <f>IF(DATOS!$I17686="","",IFERROR(VLOOKUP(DATOS!$I17686,CONFIG_ASIGNATURAS!$B$2:$J$91,9,FALSE()),""))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IF(DATOS!$A17687="",0,IF(CONFIG_METADATA!$B$4&lt;&gt;"OR+EX",--(DATOS!$G17687=CONFIG_METADATA!$B$4),IF(DATOS!$G17687="EX",1,IF(DATOS!$G17687="OR",--(COUNTIFS(nNIA,DATOS!$A17687,nCURSO,DATOS!$D17687,nESPEC,DATOS!$E17687,nASIG,DATOS!$I17687,nEVAL,"EX")=0),0))))</f>
      </c>
      <c r="H17687">
        <f>IF(DATOS!$G17687&lt;&gt;"EX",0,--(COUNTIFS(nNIA,DATOS!$A17687,nCURSO,DATOS!$D17687,nESPEC,DATOS!$E17687,nASIG,DATOS!$I17687,nEVAL,"OR")=0))</f>
      </c>
      <c r="I17687">
        <f>IF(DATOS!$I17687="","",IFERROR(VLOOKUP(DATOS!$I17687,CONFIG_ASIGNATURAS!$B$2:$J$91,9,FALSE()),""))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IF(DATOS!$A17688="",0,IF(CONFIG_METADATA!$B$4&lt;&gt;"OR+EX",--(DATOS!$G17688=CONFIG_METADATA!$B$4),IF(DATOS!$G17688="EX",1,IF(DATOS!$G17688="OR",--(COUNTIFS(nNIA,DATOS!$A17688,nCURSO,DATOS!$D17688,nESPEC,DATOS!$E17688,nASIG,DATOS!$I17688,nEVAL,"EX")=0),0))))</f>
      </c>
      <c r="H17688">
        <f>IF(DATOS!$G17688&lt;&gt;"EX",0,--(COUNTIFS(nNIA,DATOS!$A17688,nCURSO,DATOS!$D17688,nESPEC,DATOS!$E17688,nASIG,DATOS!$I17688,nEVAL,"OR")=0))</f>
      </c>
      <c r="I17688">
        <f>IF(DATOS!$I17688="","",IFERROR(VLOOKUP(DATOS!$I17688,CONFIG_ASIGNATURAS!$B$2:$J$91,9,FALSE()),""))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IF(DATOS!$A17689="",0,IF(CONFIG_METADATA!$B$4&lt;&gt;"OR+EX",--(DATOS!$G17689=CONFIG_METADATA!$B$4),IF(DATOS!$G17689="EX",1,IF(DATOS!$G17689="OR",--(COUNTIFS(nNIA,DATOS!$A17689,nCURSO,DATOS!$D17689,nESPEC,DATOS!$E17689,nASIG,DATOS!$I17689,nEVAL,"EX")=0),0))))</f>
      </c>
      <c r="H17689">
        <f>IF(DATOS!$G17689&lt;&gt;"EX",0,--(COUNTIFS(nNIA,DATOS!$A17689,nCURSO,DATOS!$D17689,nESPEC,DATOS!$E17689,nASIG,DATOS!$I17689,nEVAL,"OR")=0))</f>
      </c>
      <c r="I17689">
        <f>IF(DATOS!$I17689="","",IFERROR(VLOOKUP(DATOS!$I17689,CONFIG_ASIGNATURAS!$B$2:$J$91,9,FALSE()),""))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IF(DATOS!$A17690="",0,IF(CONFIG_METADATA!$B$4&lt;&gt;"OR+EX",--(DATOS!$G17690=CONFIG_METADATA!$B$4),IF(DATOS!$G17690="EX",1,IF(DATOS!$G17690="OR",--(COUNTIFS(nNIA,DATOS!$A17690,nCURSO,DATOS!$D17690,nESPEC,DATOS!$E17690,nASIG,DATOS!$I17690,nEVAL,"EX")=0),0))))</f>
      </c>
      <c r="H17690">
        <f>IF(DATOS!$G17690&lt;&gt;"EX",0,--(COUNTIFS(nNIA,DATOS!$A17690,nCURSO,DATOS!$D17690,nESPEC,DATOS!$E17690,nASIG,DATOS!$I17690,nEVAL,"OR")=0))</f>
      </c>
      <c r="I17690">
        <f>IF(DATOS!$I17690="","",IFERROR(VLOOKUP(DATOS!$I17690,CONFIG_ASIGNATURAS!$B$2:$J$91,9,FALSE()),""))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IF(DATOS!$A17691="",0,IF(CONFIG_METADATA!$B$4&lt;&gt;"OR+EX",--(DATOS!$G17691=CONFIG_METADATA!$B$4),IF(DATOS!$G17691="EX",1,IF(DATOS!$G17691="OR",--(COUNTIFS(nNIA,DATOS!$A17691,nCURSO,DATOS!$D17691,nESPEC,DATOS!$E17691,nASIG,DATOS!$I17691,nEVAL,"EX")=0),0))))</f>
      </c>
      <c r="H17691">
        <f>IF(DATOS!$G17691&lt;&gt;"EX",0,--(COUNTIFS(nNIA,DATOS!$A17691,nCURSO,DATOS!$D17691,nESPEC,DATOS!$E17691,nASIG,DATOS!$I17691,nEVAL,"OR")=0))</f>
      </c>
      <c r="I17691">
        <f>IF(DATOS!$I17691="","",IFERROR(VLOOKUP(DATOS!$I17691,CONFIG_ASIGNATURAS!$B$2:$J$91,9,FALSE()),""))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IF(DATOS!$A17692="",0,IF(CONFIG_METADATA!$B$4&lt;&gt;"OR+EX",--(DATOS!$G17692=CONFIG_METADATA!$B$4),IF(DATOS!$G17692="EX",1,IF(DATOS!$G17692="OR",--(COUNTIFS(nNIA,DATOS!$A17692,nCURSO,DATOS!$D17692,nESPEC,DATOS!$E17692,nASIG,DATOS!$I17692,nEVAL,"EX")=0),0))))</f>
      </c>
      <c r="H17692">
        <f>IF(DATOS!$G17692&lt;&gt;"EX",0,--(COUNTIFS(nNIA,DATOS!$A17692,nCURSO,DATOS!$D17692,nESPEC,DATOS!$E17692,nASIG,DATOS!$I17692,nEVAL,"OR")=0))</f>
      </c>
      <c r="I17692">
        <f>IF(DATOS!$I17692="","",IFERROR(VLOOKUP(DATOS!$I17692,CONFIG_ASIGNATURAS!$B$2:$J$91,9,FALSE()),""))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IF(DATOS!$A17693="",0,IF(CONFIG_METADATA!$B$4&lt;&gt;"OR+EX",--(DATOS!$G17693=CONFIG_METADATA!$B$4),IF(DATOS!$G17693="EX",1,IF(DATOS!$G17693="OR",--(COUNTIFS(nNIA,DATOS!$A17693,nCURSO,DATOS!$D17693,nESPEC,DATOS!$E17693,nASIG,DATOS!$I17693,nEVAL,"EX")=0),0))))</f>
      </c>
      <c r="H17693">
        <f>IF(DATOS!$G17693&lt;&gt;"EX",0,--(COUNTIFS(nNIA,DATOS!$A17693,nCURSO,DATOS!$D17693,nESPEC,DATOS!$E17693,nASIG,DATOS!$I17693,nEVAL,"OR")=0))</f>
      </c>
      <c r="I17693">
        <f>IF(DATOS!$I17693="","",IFERROR(VLOOKUP(DATOS!$I17693,CONFIG_ASIGNATURAS!$B$2:$J$91,9,FALSE()),""))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IF(DATOS!$A17694="",0,IF(CONFIG_METADATA!$B$4&lt;&gt;"OR+EX",--(DATOS!$G17694=CONFIG_METADATA!$B$4),IF(DATOS!$G17694="EX",1,IF(DATOS!$G17694="OR",--(COUNTIFS(nNIA,DATOS!$A17694,nCURSO,DATOS!$D17694,nESPEC,DATOS!$E17694,nASIG,DATOS!$I17694,nEVAL,"EX")=0),0))))</f>
      </c>
      <c r="H17694">
        <f>IF(DATOS!$G17694&lt;&gt;"EX",0,--(COUNTIFS(nNIA,DATOS!$A17694,nCURSO,DATOS!$D17694,nESPEC,DATOS!$E17694,nASIG,DATOS!$I17694,nEVAL,"OR")=0))</f>
      </c>
      <c r="I17694">
        <f>IF(DATOS!$I17694="","",IFERROR(VLOOKUP(DATOS!$I17694,CONFIG_ASIGNATURAS!$B$2:$J$91,9,FALSE()),""))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IF(DATOS!$A17695="",0,IF(CONFIG_METADATA!$B$4&lt;&gt;"OR+EX",--(DATOS!$G17695=CONFIG_METADATA!$B$4),IF(DATOS!$G17695="EX",1,IF(DATOS!$G17695="OR",--(COUNTIFS(nNIA,DATOS!$A17695,nCURSO,DATOS!$D17695,nESPEC,DATOS!$E17695,nASIG,DATOS!$I17695,nEVAL,"EX")=0),0))))</f>
      </c>
      <c r="H17695">
        <f>IF(DATOS!$G17695&lt;&gt;"EX",0,--(COUNTIFS(nNIA,DATOS!$A17695,nCURSO,DATOS!$D17695,nESPEC,DATOS!$E17695,nASIG,DATOS!$I17695,nEVAL,"OR")=0))</f>
      </c>
      <c r="I17695">
        <f>IF(DATOS!$I17695="","",IFERROR(VLOOKUP(DATOS!$I17695,CONFIG_ASIGNATURAS!$B$2:$J$91,9,FALSE()),""))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IF(DATOS!$A17696="",0,IF(CONFIG_METADATA!$B$4&lt;&gt;"OR+EX",--(DATOS!$G17696=CONFIG_METADATA!$B$4),IF(DATOS!$G17696="EX",1,IF(DATOS!$G17696="OR",--(COUNTIFS(nNIA,DATOS!$A17696,nCURSO,DATOS!$D17696,nESPEC,DATOS!$E17696,nASIG,DATOS!$I17696,nEVAL,"EX")=0),0))))</f>
      </c>
      <c r="H17696">
        <f>IF(DATOS!$G17696&lt;&gt;"EX",0,--(COUNTIFS(nNIA,DATOS!$A17696,nCURSO,DATOS!$D17696,nESPEC,DATOS!$E17696,nASIG,DATOS!$I17696,nEVAL,"OR")=0))</f>
      </c>
      <c r="I17696">
        <f>IF(DATOS!$I17696="","",IFERROR(VLOOKUP(DATOS!$I17696,CONFIG_ASIGNATURAS!$B$2:$J$91,9,FALSE()),""))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IF(DATOS!$A17697="",0,IF(CONFIG_METADATA!$B$4&lt;&gt;"OR+EX",--(DATOS!$G17697=CONFIG_METADATA!$B$4),IF(DATOS!$G17697="EX",1,IF(DATOS!$G17697="OR",--(COUNTIFS(nNIA,DATOS!$A17697,nCURSO,DATOS!$D17697,nESPEC,DATOS!$E17697,nASIG,DATOS!$I17697,nEVAL,"EX")=0),0))))</f>
      </c>
      <c r="H17697">
        <f>IF(DATOS!$G17697&lt;&gt;"EX",0,--(COUNTIFS(nNIA,DATOS!$A17697,nCURSO,DATOS!$D17697,nESPEC,DATOS!$E17697,nASIG,DATOS!$I17697,nEVAL,"OR")=0))</f>
      </c>
      <c r="I17697">
        <f>IF(DATOS!$I17697="","",IFERROR(VLOOKUP(DATOS!$I17697,CONFIG_ASIGNATURAS!$B$2:$J$91,9,FALSE()),""))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IF(DATOS!$A17698="",0,IF(CONFIG_METADATA!$B$4&lt;&gt;"OR+EX",--(DATOS!$G17698=CONFIG_METADATA!$B$4),IF(DATOS!$G17698="EX",1,IF(DATOS!$G17698="OR",--(COUNTIFS(nNIA,DATOS!$A17698,nCURSO,DATOS!$D17698,nESPEC,DATOS!$E17698,nASIG,DATOS!$I17698,nEVAL,"EX")=0),0))))</f>
      </c>
      <c r="H17698">
        <f>IF(DATOS!$G17698&lt;&gt;"EX",0,--(COUNTIFS(nNIA,DATOS!$A17698,nCURSO,DATOS!$D17698,nESPEC,DATOS!$E17698,nASIG,DATOS!$I17698,nEVAL,"OR")=0))</f>
      </c>
      <c r="I17698">
        <f>IF(DATOS!$I17698="","",IFERROR(VLOOKUP(DATOS!$I17698,CONFIG_ASIGNATURAS!$B$2:$J$91,9,FALSE()),""))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IF(DATOS!$A17699="",0,IF(CONFIG_METADATA!$B$4&lt;&gt;"OR+EX",--(DATOS!$G17699=CONFIG_METADATA!$B$4),IF(DATOS!$G17699="EX",1,IF(DATOS!$G17699="OR",--(COUNTIFS(nNIA,DATOS!$A17699,nCURSO,DATOS!$D17699,nESPEC,DATOS!$E17699,nASIG,DATOS!$I17699,nEVAL,"EX")=0),0))))</f>
      </c>
      <c r="H17699">
        <f>IF(DATOS!$G17699&lt;&gt;"EX",0,--(COUNTIFS(nNIA,DATOS!$A17699,nCURSO,DATOS!$D17699,nESPEC,DATOS!$E17699,nASIG,DATOS!$I17699,nEVAL,"OR")=0))</f>
      </c>
      <c r="I17699">
        <f>IF(DATOS!$I17699="","",IFERROR(VLOOKUP(DATOS!$I17699,CONFIG_ASIGNATURAS!$B$2:$J$91,9,FALSE()),""))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IF(DATOS!$A17700="",0,IF(CONFIG_METADATA!$B$4&lt;&gt;"OR+EX",--(DATOS!$G17700=CONFIG_METADATA!$B$4),IF(DATOS!$G17700="EX",1,IF(DATOS!$G17700="OR",--(COUNTIFS(nNIA,DATOS!$A17700,nCURSO,DATOS!$D17700,nESPEC,DATOS!$E17700,nASIG,DATOS!$I17700,nEVAL,"EX")=0),0))))</f>
      </c>
      <c r="H17700">
        <f>IF(DATOS!$G17700&lt;&gt;"EX",0,--(COUNTIFS(nNIA,DATOS!$A17700,nCURSO,DATOS!$D17700,nESPEC,DATOS!$E17700,nASIG,DATOS!$I17700,nEVAL,"OR")=0))</f>
      </c>
      <c r="I17700">
        <f>IF(DATOS!$I17700="","",IFERROR(VLOOKUP(DATOS!$I17700,CONFIG_ASIGNATURAS!$B$2:$J$91,9,FALSE()),""))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IF(DATOS!$A17701="",0,IF(CONFIG_METADATA!$B$4&lt;&gt;"OR+EX",--(DATOS!$G17701=CONFIG_METADATA!$B$4),IF(DATOS!$G17701="EX",1,IF(DATOS!$G17701="OR",--(COUNTIFS(nNIA,DATOS!$A17701,nCURSO,DATOS!$D17701,nESPEC,DATOS!$E17701,nASIG,DATOS!$I17701,nEVAL,"EX")=0),0))))</f>
      </c>
      <c r="H17701">
        <f>IF(DATOS!$G17701&lt;&gt;"EX",0,--(COUNTIFS(nNIA,DATOS!$A17701,nCURSO,DATOS!$D17701,nESPEC,DATOS!$E17701,nASIG,DATOS!$I17701,nEVAL,"OR")=0))</f>
      </c>
      <c r="I17701">
        <f>IF(DATOS!$I17701="","",IFERROR(VLOOKUP(DATOS!$I17701,CONFIG_ASIGNATURAS!$B$2:$J$91,9,FALSE()),""))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IF(DATOS!$A17702="",0,IF(CONFIG_METADATA!$B$4&lt;&gt;"OR+EX",--(DATOS!$G17702=CONFIG_METADATA!$B$4),IF(DATOS!$G17702="EX",1,IF(DATOS!$G17702="OR",--(COUNTIFS(nNIA,DATOS!$A17702,nCURSO,DATOS!$D17702,nESPEC,DATOS!$E17702,nASIG,DATOS!$I17702,nEVAL,"EX")=0),0))))</f>
      </c>
      <c r="H17702">
        <f>IF(DATOS!$G17702&lt;&gt;"EX",0,--(COUNTIFS(nNIA,DATOS!$A17702,nCURSO,DATOS!$D17702,nESPEC,DATOS!$E17702,nASIG,DATOS!$I17702,nEVAL,"OR")=0))</f>
      </c>
      <c r="I17702">
        <f>IF(DATOS!$I17702="","",IFERROR(VLOOKUP(DATOS!$I17702,CONFIG_ASIGNATURAS!$B$2:$J$91,9,FALSE()),""))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IF(DATOS!$A17703="",0,IF(CONFIG_METADATA!$B$4&lt;&gt;"OR+EX",--(DATOS!$G17703=CONFIG_METADATA!$B$4),IF(DATOS!$G17703="EX",1,IF(DATOS!$G17703="OR",--(COUNTIFS(nNIA,DATOS!$A17703,nCURSO,DATOS!$D17703,nESPEC,DATOS!$E17703,nASIG,DATOS!$I17703,nEVAL,"EX")=0),0))))</f>
      </c>
      <c r="H17703">
        <f>IF(DATOS!$G17703&lt;&gt;"EX",0,--(COUNTIFS(nNIA,DATOS!$A17703,nCURSO,DATOS!$D17703,nESPEC,DATOS!$E17703,nASIG,DATOS!$I17703,nEVAL,"OR")=0))</f>
      </c>
      <c r="I17703">
        <f>IF(DATOS!$I17703="","",IFERROR(VLOOKUP(DATOS!$I17703,CONFIG_ASIGNATURAS!$B$2:$J$91,9,FALSE()),""))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IF(DATOS!$A17704="",0,IF(CONFIG_METADATA!$B$4&lt;&gt;"OR+EX",--(DATOS!$G17704=CONFIG_METADATA!$B$4),IF(DATOS!$G17704="EX",1,IF(DATOS!$G17704="OR",--(COUNTIFS(nNIA,DATOS!$A17704,nCURSO,DATOS!$D17704,nESPEC,DATOS!$E17704,nASIG,DATOS!$I17704,nEVAL,"EX")=0),0))))</f>
      </c>
      <c r="H17704">
        <f>IF(DATOS!$G17704&lt;&gt;"EX",0,--(COUNTIFS(nNIA,DATOS!$A17704,nCURSO,DATOS!$D17704,nESPEC,DATOS!$E17704,nASIG,DATOS!$I17704,nEVAL,"OR")=0))</f>
      </c>
      <c r="I17704">
        <f>IF(DATOS!$I17704="","",IFERROR(VLOOKUP(DATOS!$I17704,CONFIG_ASIGNATURAS!$B$2:$J$91,9,FALSE()),""))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IF(DATOS!$A17705="",0,IF(CONFIG_METADATA!$B$4&lt;&gt;"OR+EX",--(DATOS!$G17705=CONFIG_METADATA!$B$4),IF(DATOS!$G17705="EX",1,IF(DATOS!$G17705="OR",--(COUNTIFS(nNIA,DATOS!$A17705,nCURSO,DATOS!$D17705,nESPEC,DATOS!$E17705,nASIG,DATOS!$I17705,nEVAL,"EX")=0),0))))</f>
      </c>
      <c r="H17705">
        <f>IF(DATOS!$G17705&lt;&gt;"EX",0,--(COUNTIFS(nNIA,DATOS!$A17705,nCURSO,DATOS!$D17705,nESPEC,DATOS!$E17705,nASIG,DATOS!$I17705,nEVAL,"OR")=0))</f>
      </c>
      <c r="I17705">
        <f>IF(DATOS!$I17705="","",IFERROR(VLOOKUP(DATOS!$I17705,CONFIG_ASIGNATURAS!$B$2:$J$91,9,FALSE()),""))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IF(DATOS!$A17706="",0,IF(CONFIG_METADATA!$B$4&lt;&gt;"OR+EX",--(DATOS!$G17706=CONFIG_METADATA!$B$4),IF(DATOS!$G17706="EX",1,IF(DATOS!$G17706="OR",--(COUNTIFS(nNIA,DATOS!$A17706,nCURSO,DATOS!$D17706,nESPEC,DATOS!$E17706,nASIG,DATOS!$I17706,nEVAL,"EX")=0),0))))</f>
      </c>
      <c r="H17706">
        <f>IF(DATOS!$G17706&lt;&gt;"EX",0,--(COUNTIFS(nNIA,DATOS!$A17706,nCURSO,DATOS!$D17706,nESPEC,DATOS!$E17706,nASIG,DATOS!$I17706,nEVAL,"OR")=0))</f>
      </c>
      <c r="I17706">
        <f>IF(DATOS!$I17706="","",IFERROR(VLOOKUP(DATOS!$I17706,CONFIG_ASIGNATURAS!$B$2:$J$91,9,FALSE()),""))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IF(DATOS!$A17707="",0,IF(CONFIG_METADATA!$B$4&lt;&gt;"OR+EX",--(DATOS!$G17707=CONFIG_METADATA!$B$4),IF(DATOS!$G17707="EX",1,IF(DATOS!$G17707="OR",--(COUNTIFS(nNIA,DATOS!$A17707,nCURSO,DATOS!$D17707,nESPEC,DATOS!$E17707,nASIG,DATOS!$I17707,nEVAL,"EX")=0),0))))</f>
      </c>
      <c r="H17707">
        <f>IF(DATOS!$G17707&lt;&gt;"EX",0,--(COUNTIFS(nNIA,DATOS!$A17707,nCURSO,DATOS!$D17707,nESPEC,DATOS!$E17707,nASIG,DATOS!$I17707,nEVAL,"OR")=0))</f>
      </c>
      <c r="I17707">
        <f>IF(DATOS!$I17707="","",IFERROR(VLOOKUP(DATOS!$I17707,CONFIG_ASIGNATURAS!$B$2:$J$91,9,FALSE()),""))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IF(DATOS!$A17708="",0,IF(CONFIG_METADATA!$B$4&lt;&gt;"OR+EX",--(DATOS!$G17708=CONFIG_METADATA!$B$4),IF(DATOS!$G17708="EX",1,IF(DATOS!$G17708="OR",--(COUNTIFS(nNIA,DATOS!$A17708,nCURSO,DATOS!$D17708,nESPEC,DATOS!$E17708,nASIG,DATOS!$I17708,nEVAL,"EX")=0),0))))</f>
      </c>
      <c r="H17708">
        <f>IF(DATOS!$G17708&lt;&gt;"EX",0,--(COUNTIFS(nNIA,DATOS!$A17708,nCURSO,DATOS!$D17708,nESPEC,DATOS!$E17708,nASIG,DATOS!$I17708,nEVAL,"OR")=0))</f>
      </c>
      <c r="I17708">
        <f>IF(DATOS!$I17708="","",IFERROR(VLOOKUP(DATOS!$I17708,CONFIG_ASIGNATURAS!$B$2:$J$91,9,FALSE()),""))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IF(DATOS!$A17709="",0,IF(CONFIG_METADATA!$B$4&lt;&gt;"OR+EX",--(DATOS!$G17709=CONFIG_METADATA!$B$4),IF(DATOS!$G17709="EX",1,IF(DATOS!$G17709="OR",--(COUNTIFS(nNIA,DATOS!$A17709,nCURSO,DATOS!$D17709,nESPEC,DATOS!$E17709,nASIG,DATOS!$I17709,nEVAL,"EX")=0),0))))</f>
      </c>
      <c r="H17709">
        <f>IF(DATOS!$G17709&lt;&gt;"EX",0,--(COUNTIFS(nNIA,DATOS!$A17709,nCURSO,DATOS!$D17709,nESPEC,DATOS!$E17709,nASIG,DATOS!$I17709,nEVAL,"OR")=0))</f>
      </c>
      <c r="I17709">
        <f>IF(DATOS!$I17709="","",IFERROR(VLOOKUP(DATOS!$I17709,CONFIG_ASIGNATURAS!$B$2:$J$91,9,FALSE()),""))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IF(DATOS!$A17710="",0,IF(CONFIG_METADATA!$B$4&lt;&gt;"OR+EX",--(DATOS!$G17710=CONFIG_METADATA!$B$4),IF(DATOS!$G17710="EX",1,IF(DATOS!$G17710="OR",--(COUNTIFS(nNIA,DATOS!$A17710,nCURSO,DATOS!$D17710,nESPEC,DATOS!$E17710,nASIG,DATOS!$I17710,nEVAL,"EX")=0),0))))</f>
      </c>
      <c r="H17710">
        <f>IF(DATOS!$G17710&lt;&gt;"EX",0,--(COUNTIFS(nNIA,DATOS!$A17710,nCURSO,DATOS!$D17710,nESPEC,DATOS!$E17710,nASIG,DATOS!$I17710,nEVAL,"OR")=0))</f>
      </c>
      <c r="I17710">
        <f>IF(DATOS!$I17710="","",IFERROR(VLOOKUP(DATOS!$I17710,CONFIG_ASIGNATURAS!$B$2:$J$91,9,FALSE()),""))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IF(DATOS!$A17711="",0,IF(CONFIG_METADATA!$B$4&lt;&gt;"OR+EX",--(DATOS!$G17711=CONFIG_METADATA!$B$4),IF(DATOS!$G17711="EX",1,IF(DATOS!$G17711="OR",--(COUNTIFS(nNIA,DATOS!$A17711,nCURSO,DATOS!$D17711,nESPEC,DATOS!$E17711,nASIG,DATOS!$I17711,nEVAL,"EX")=0),0))))</f>
      </c>
      <c r="H17711">
        <f>IF(DATOS!$G17711&lt;&gt;"EX",0,--(COUNTIFS(nNIA,DATOS!$A17711,nCURSO,DATOS!$D17711,nESPEC,DATOS!$E17711,nASIG,DATOS!$I17711,nEVAL,"OR")=0))</f>
      </c>
      <c r="I17711">
        <f>IF(DATOS!$I17711="","",IFERROR(VLOOKUP(DATOS!$I17711,CONFIG_ASIGNATURAS!$B$2:$J$91,9,FALSE()),""))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IF(DATOS!$A17712="",0,IF(CONFIG_METADATA!$B$4&lt;&gt;"OR+EX",--(DATOS!$G17712=CONFIG_METADATA!$B$4),IF(DATOS!$G17712="EX",1,IF(DATOS!$G17712="OR",--(COUNTIFS(nNIA,DATOS!$A17712,nCURSO,DATOS!$D17712,nESPEC,DATOS!$E17712,nASIG,DATOS!$I17712,nEVAL,"EX")=0),0))))</f>
      </c>
      <c r="H17712">
        <f>IF(DATOS!$G17712&lt;&gt;"EX",0,--(COUNTIFS(nNIA,DATOS!$A17712,nCURSO,DATOS!$D17712,nESPEC,DATOS!$E17712,nASIG,DATOS!$I17712,nEVAL,"OR")=0))</f>
      </c>
      <c r="I17712">
        <f>IF(DATOS!$I17712="","",IFERROR(VLOOKUP(DATOS!$I17712,CONFIG_ASIGNATURAS!$B$2:$J$91,9,FALSE()),""))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IF(DATOS!$A17713="",0,IF(CONFIG_METADATA!$B$4&lt;&gt;"OR+EX",--(DATOS!$G17713=CONFIG_METADATA!$B$4),IF(DATOS!$G17713="EX",1,IF(DATOS!$G17713="OR",--(COUNTIFS(nNIA,DATOS!$A17713,nCURSO,DATOS!$D17713,nESPEC,DATOS!$E17713,nASIG,DATOS!$I17713,nEVAL,"EX")=0),0))))</f>
      </c>
      <c r="H17713">
        <f>IF(DATOS!$G17713&lt;&gt;"EX",0,--(COUNTIFS(nNIA,DATOS!$A17713,nCURSO,DATOS!$D17713,nESPEC,DATOS!$E17713,nASIG,DATOS!$I17713,nEVAL,"OR")=0))</f>
      </c>
      <c r="I17713">
        <f>IF(DATOS!$I17713="","",IFERROR(VLOOKUP(DATOS!$I17713,CONFIG_ASIGNATURAS!$B$2:$J$91,9,FALSE()),""))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IF(DATOS!$A17714="",0,IF(CONFIG_METADATA!$B$4&lt;&gt;"OR+EX",--(DATOS!$G17714=CONFIG_METADATA!$B$4),IF(DATOS!$G17714="EX",1,IF(DATOS!$G17714="OR",--(COUNTIFS(nNIA,DATOS!$A17714,nCURSO,DATOS!$D17714,nESPEC,DATOS!$E17714,nASIG,DATOS!$I17714,nEVAL,"EX")=0),0))))</f>
      </c>
      <c r="H17714">
        <f>IF(DATOS!$G17714&lt;&gt;"EX",0,--(COUNTIFS(nNIA,DATOS!$A17714,nCURSO,DATOS!$D17714,nESPEC,DATOS!$E17714,nASIG,DATOS!$I17714,nEVAL,"OR")=0))</f>
      </c>
      <c r="I17714">
        <f>IF(DATOS!$I17714="","",IFERROR(VLOOKUP(DATOS!$I17714,CONFIG_ASIGNATURAS!$B$2:$J$91,9,FALSE()),""))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IF(DATOS!$A17715="",0,IF(CONFIG_METADATA!$B$4&lt;&gt;"OR+EX",--(DATOS!$G17715=CONFIG_METADATA!$B$4),IF(DATOS!$G17715="EX",1,IF(DATOS!$G17715="OR",--(COUNTIFS(nNIA,DATOS!$A17715,nCURSO,DATOS!$D17715,nESPEC,DATOS!$E17715,nASIG,DATOS!$I17715,nEVAL,"EX")=0),0))))</f>
      </c>
      <c r="H17715">
        <f>IF(DATOS!$G17715&lt;&gt;"EX",0,--(COUNTIFS(nNIA,DATOS!$A17715,nCURSO,DATOS!$D17715,nESPEC,DATOS!$E17715,nASIG,DATOS!$I17715,nEVAL,"OR")=0))</f>
      </c>
      <c r="I17715">
        <f>IF(DATOS!$I17715="","",IFERROR(VLOOKUP(DATOS!$I17715,CONFIG_ASIGNATURAS!$B$2:$J$91,9,FALSE()),""))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IF(DATOS!$A17716="",0,IF(CONFIG_METADATA!$B$4&lt;&gt;"OR+EX",--(DATOS!$G17716=CONFIG_METADATA!$B$4),IF(DATOS!$G17716="EX",1,IF(DATOS!$G17716="OR",--(COUNTIFS(nNIA,DATOS!$A17716,nCURSO,DATOS!$D17716,nESPEC,DATOS!$E17716,nASIG,DATOS!$I17716,nEVAL,"EX")=0),0))))</f>
      </c>
      <c r="H17716">
        <f>IF(DATOS!$G17716&lt;&gt;"EX",0,--(COUNTIFS(nNIA,DATOS!$A17716,nCURSO,DATOS!$D17716,nESPEC,DATOS!$E17716,nASIG,DATOS!$I17716,nEVAL,"OR")=0))</f>
      </c>
      <c r="I17716">
        <f>IF(DATOS!$I17716="","",IFERROR(VLOOKUP(DATOS!$I17716,CONFIG_ASIGNATURAS!$B$2:$J$91,9,FALSE()),""))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IF(DATOS!$A17717="",0,IF(CONFIG_METADATA!$B$4&lt;&gt;"OR+EX",--(DATOS!$G17717=CONFIG_METADATA!$B$4),IF(DATOS!$G17717="EX",1,IF(DATOS!$G17717="OR",--(COUNTIFS(nNIA,DATOS!$A17717,nCURSO,DATOS!$D17717,nESPEC,DATOS!$E17717,nASIG,DATOS!$I17717,nEVAL,"EX")=0),0))))</f>
      </c>
      <c r="H17717">
        <f>IF(DATOS!$G17717&lt;&gt;"EX",0,--(COUNTIFS(nNIA,DATOS!$A17717,nCURSO,DATOS!$D17717,nESPEC,DATOS!$E17717,nASIG,DATOS!$I17717,nEVAL,"OR")=0))</f>
      </c>
      <c r="I17717">
        <f>IF(DATOS!$I17717="","",IFERROR(VLOOKUP(DATOS!$I17717,CONFIG_ASIGNATURAS!$B$2:$J$91,9,FALSE()),""))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IF(DATOS!$A17718="",0,IF(CONFIG_METADATA!$B$4&lt;&gt;"OR+EX",--(DATOS!$G17718=CONFIG_METADATA!$B$4),IF(DATOS!$G17718="EX",1,IF(DATOS!$G17718="OR",--(COUNTIFS(nNIA,DATOS!$A17718,nCURSO,DATOS!$D17718,nESPEC,DATOS!$E17718,nASIG,DATOS!$I17718,nEVAL,"EX")=0),0))))</f>
      </c>
      <c r="H17718">
        <f>IF(DATOS!$G17718&lt;&gt;"EX",0,--(COUNTIFS(nNIA,DATOS!$A17718,nCURSO,DATOS!$D17718,nESPEC,DATOS!$E17718,nASIG,DATOS!$I17718,nEVAL,"OR")=0))</f>
      </c>
      <c r="I17718">
        <f>IF(DATOS!$I17718="","",IFERROR(VLOOKUP(DATOS!$I17718,CONFIG_ASIGNATURAS!$B$2:$J$91,9,FALSE()),""))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IF(DATOS!$A17719="",0,IF(CONFIG_METADATA!$B$4&lt;&gt;"OR+EX",--(DATOS!$G17719=CONFIG_METADATA!$B$4),IF(DATOS!$G17719="EX",1,IF(DATOS!$G17719="OR",--(COUNTIFS(nNIA,DATOS!$A17719,nCURSO,DATOS!$D17719,nESPEC,DATOS!$E17719,nASIG,DATOS!$I17719,nEVAL,"EX")=0),0))))</f>
      </c>
      <c r="H17719">
        <f>IF(DATOS!$G17719&lt;&gt;"EX",0,--(COUNTIFS(nNIA,DATOS!$A17719,nCURSO,DATOS!$D17719,nESPEC,DATOS!$E17719,nASIG,DATOS!$I17719,nEVAL,"OR")=0))</f>
      </c>
      <c r="I17719">
        <f>IF(DATOS!$I17719="","",IFERROR(VLOOKUP(DATOS!$I17719,CONFIG_ASIGNATURAS!$B$2:$J$91,9,FALSE()),""))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IF(DATOS!$A17720="",0,IF(CONFIG_METADATA!$B$4&lt;&gt;"OR+EX",--(DATOS!$G17720=CONFIG_METADATA!$B$4),IF(DATOS!$G17720="EX",1,IF(DATOS!$G17720="OR",--(COUNTIFS(nNIA,DATOS!$A17720,nCURSO,DATOS!$D17720,nESPEC,DATOS!$E17720,nASIG,DATOS!$I17720,nEVAL,"EX")=0),0))))</f>
      </c>
      <c r="H17720">
        <f>IF(DATOS!$G17720&lt;&gt;"EX",0,--(COUNTIFS(nNIA,DATOS!$A17720,nCURSO,DATOS!$D17720,nESPEC,DATOS!$E17720,nASIG,DATOS!$I17720,nEVAL,"OR")=0))</f>
      </c>
      <c r="I17720">
        <f>IF(DATOS!$I17720="","",IFERROR(VLOOKUP(DATOS!$I17720,CONFIG_ASIGNATURAS!$B$2:$J$91,9,FALSE()),""))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IF(DATOS!$A17721="",0,IF(CONFIG_METADATA!$B$4&lt;&gt;"OR+EX",--(DATOS!$G17721=CONFIG_METADATA!$B$4),IF(DATOS!$G17721="EX",1,IF(DATOS!$G17721="OR",--(COUNTIFS(nNIA,DATOS!$A17721,nCURSO,DATOS!$D17721,nESPEC,DATOS!$E17721,nASIG,DATOS!$I17721,nEVAL,"EX")=0),0))))</f>
      </c>
      <c r="H17721">
        <f>IF(DATOS!$G17721&lt;&gt;"EX",0,--(COUNTIFS(nNIA,DATOS!$A17721,nCURSO,DATOS!$D17721,nESPEC,DATOS!$E17721,nASIG,DATOS!$I17721,nEVAL,"OR")=0))</f>
      </c>
      <c r="I17721">
        <f>IF(DATOS!$I17721="","",IFERROR(VLOOKUP(DATOS!$I17721,CONFIG_ASIGNATURAS!$B$2:$J$91,9,FALSE()),""))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IF(DATOS!$A17722="",0,IF(CONFIG_METADATA!$B$4&lt;&gt;"OR+EX",--(DATOS!$G17722=CONFIG_METADATA!$B$4),IF(DATOS!$G17722="EX",1,IF(DATOS!$G17722="OR",--(COUNTIFS(nNIA,DATOS!$A17722,nCURSO,DATOS!$D17722,nESPEC,DATOS!$E17722,nASIG,DATOS!$I17722,nEVAL,"EX")=0),0))))</f>
      </c>
      <c r="H17722">
        <f>IF(DATOS!$G17722&lt;&gt;"EX",0,--(COUNTIFS(nNIA,DATOS!$A17722,nCURSO,DATOS!$D17722,nESPEC,DATOS!$E17722,nASIG,DATOS!$I17722,nEVAL,"OR")=0))</f>
      </c>
      <c r="I17722">
        <f>IF(DATOS!$I17722="","",IFERROR(VLOOKUP(DATOS!$I17722,CONFIG_ASIGNATURAS!$B$2:$J$91,9,FALSE()),""))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IF(DATOS!$A17723="",0,IF(CONFIG_METADATA!$B$4&lt;&gt;"OR+EX",--(DATOS!$G17723=CONFIG_METADATA!$B$4),IF(DATOS!$G17723="EX",1,IF(DATOS!$G17723="OR",--(COUNTIFS(nNIA,DATOS!$A17723,nCURSO,DATOS!$D17723,nESPEC,DATOS!$E17723,nASIG,DATOS!$I17723,nEVAL,"EX")=0),0))))</f>
      </c>
      <c r="H17723">
        <f>IF(DATOS!$G17723&lt;&gt;"EX",0,--(COUNTIFS(nNIA,DATOS!$A17723,nCURSO,DATOS!$D17723,nESPEC,DATOS!$E17723,nASIG,DATOS!$I17723,nEVAL,"OR")=0))</f>
      </c>
      <c r="I17723">
        <f>IF(DATOS!$I17723="","",IFERROR(VLOOKUP(DATOS!$I17723,CONFIG_ASIGNATURAS!$B$2:$J$91,9,FALSE()),""))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IF(DATOS!$A17724="",0,IF(CONFIG_METADATA!$B$4&lt;&gt;"OR+EX",--(DATOS!$G17724=CONFIG_METADATA!$B$4),IF(DATOS!$G17724="EX",1,IF(DATOS!$G17724="OR",--(COUNTIFS(nNIA,DATOS!$A17724,nCURSO,DATOS!$D17724,nESPEC,DATOS!$E17724,nASIG,DATOS!$I17724,nEVAL,"EX")=0),0))))</f>
      </c>
      <c r="H17724">
        <f>IF(DATOS!$G17724&lt;&gt;"EX",0,--(COUNTIFS(nNIA,DATOS!$A17724,nCURSO,DATOS!$D17724,nESPEC,DATOS!$E17724,nASIG,DATOS!$I17724,nEVAL,"OR")=0))</f>
      </c>
      <c r="I17724">
        <f>IF(DATOS!$I17724="","",IFERROR(VLOOKUP(DATOS!$I17724,CONFIG_ASIGNATURAS!$B$2:$J$91,9,FALSE()),""))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IF(DATOS!$A17725="",0,IF(CONFIG_METADATA!$B$4&lt;&gt;"OR+EX",--(DATOS!$G17725=CONFIG_METADATA!$B$4),IF(DATOS!$G17725="EX",1,IF(DATOS!$G17725="OR",--(COUNTIFS(nNIA,DATOS!$A17725,nCURSO,DATOS!$D17725,nESPEC,DATOS!$E17725,nASIG,DATOS!$I17725,nEVAL,"EX")=0),0))))</f>
      </c>
      <c r="H17725">
        <f>IF(DATOS!$G17725&lt;&gt;"EX",0,--(COUNTIFS(nNIA,DATOS!$A17725,nCURSO,DATOS!$D17725,nESPEC,DATOS!$E17725,nASIG,DATOS!$I17725,nEVAL,"OR")=0))</f>
      </c>
      <c r="I17725">
        <f>IF(DATOS!$I17725="","",IFERROR(VLOOKUP(DATOS!$I17725,CONFIG_ASIGNATURAS!$B$2:$J$91,9,FALSE()),""))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IF(DATOS!$A17726="",0,IF(CONFIG_METADATA!$B$4&lt;&gt;"OR+EX",--(DATOS!$G17726=CONFIG_METADATA!$B$4),IF(DATOS!$G17726="EX",1,IF(DATOS!$G17726="OR",--(COUNTIFS(nNIA,DATOS!$A17726,nCURSO,DATOS!$D17726,nESPEC,DATOS!$E17726,nASIG,DATOS!$I17726,nEVAL,"EX")=0),0))))</f>
      </c>
      <c r="H17726">
        <f>IF(DATOS!$G17726&lt;&gt;"EX",0,--(COUNTIFS(nNIA,DATOS!$A17726,nCURSO,DATOS!$D17726,nESPEC,DATOS!$E17726,nASIG,DATOS!$I17726,nEVAL,"OR")=0))</f>
      </c>
      <c r="I17726">
        <f>IF(DATOS!$I17726="","",IFERROR(VLOOKUP(DATOS!$I17726,CONFIG_ASIGNATURAS!$B$2:$J$91,9,FALSE()),""))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IF(DATOS!$A17727="",0,IF(CONFIG_METADATA!$B$4&lt;&gt;"OR+EX",--(DATOS!$G17727=CONFIG_METADATA!$B$4),IF(DATOS!$G17727="EX",1,IF(DATOS!$G17727="OR",--(COUNTIFS(nNIA,DATOS!$A17727,nCURSO,DATOS!$D17727,nESPEC,DATOS!$E17727,nASIG,DATOS!$I17727,nEVAL,"EX")=0),0))))</f>
      </c>
      <c r="H17727">
        <f>IF(DATOS!$G17727&lt;&gt;"EX",0,--(COUNTIFS(nNIA,DATOS!$A17727,nCURSO,DATOS!$D17727,nESPEC,DATOS!$E17727,nASIG,DATOS!$I17727,nEVAL,"OR")=0))</f>
      </c>
      <c r="I17727">
        <f>IF(DATOS!$I17727="","",IFERROR(VLOOKUP(DATOS!$I17727,CONFIG_ASIGNATURAS!$B$2:$J$91,9,FALSE()),""))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IF(DATOS!$A17728="",0,IF(CONFIG_METADATA!$B$4&lt;&gt;"OR+EX",--(DATOS!$G17728=CONFIG_METADATA!$B$4),IF(DATOS!$G17728="EX",1,IF(DATOS!$G17728="OR",--(COUNTIFS(nNIA,DATOS!$A17728,nCURSO,DATOS!$D17728,nESPEC,DATOS!$E17728,nASIG,DATOS!$I17728,nEVAL,"EX")=0),0))))</f>
      </c>
      <c r="H17728">
        <f>IF(DATOS!$G17728&lt;&gt;"EX",0,--(COUNTIFS(nNIA,DATOS!$A17728,nCURSO,DATOS!$D17728,nESPEC,DATOS!$E17728,nASIG,DATOS!$I17728,nEVAL,"OR")=0))</f>
      </c>
      <c r="I17728">
        <f>IF(DATOS!$I17728="","",IFERROR(VLOOKUP(DATOS!$I17728,CONFIG_ASIGNATURAS!$B$2:$J$91,9,FALSE()),""))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IF(DATOS!$A17729="",0,IF(CONFIG_METADATA!$B$4&lt;&gt;"OR+EX",--(DATOS!$G17729=CONFIG_METADATA!$B$4),IF(DATOS!$G17729="EX",1,IF(DATOS!$G17729="OR",--(COUNTIFS(nNIA,DATOS!$A17729,nCURSO,DATOS!$D17729,nESPEC,DATOS!$E17729,nASIG,DATOS!$I17729,nEVAL,"EX")=0),0))))</f>
      </c>
      <c r="H17729">
        <f>IF(DATOS!$G17729&lt;&gt;"EX",0,--(COUNTIFS(nNIA,DATOS!$A17729,nCURSO,DATOS!$D17729,nESPEC,DATOS!$E17729,nASIG,DATOS!$I17729,nEVAL,"OR")=0))</f>
      </c>
      <c r="I17729">
        <f>IF(DATOS!$I17729="","",IFERROR(VLOOKUP(DATOS!$I17729,CONFIG_ASIGNATURAS!$B$2:$J$91,9,FALSE()),""))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IF(DATOS!$A17730="",0,IF(CONFIG_METADATA!$B$4&lt;&gt;"OR+EX",--(DATOS!$G17730=CONFIG_METADATA!$B$4),IF(DATOS!$G17730="EX",1,IF(DATOS!$G17730="OR",--(COUNTIFS(nNIA,DATOS!$A17730,nCURSO,DATOS!$D17730,nESPEC,DATOS!$E17730,nASIG,DATOS!$I17730,nEVAL,"EX")=0),0))))</f>
      </c>
      <c r="H17730">
        <f>IF(DATOS!$G17730&lt;&gt;"EX",0,--(COUNTIFS(nNIA,DATOS!$A17730,nCURSO,DATOS!$D17730,nESPEC,DATOS!$E17730,nASIG,DATOS!$I17730,nEVAL,"OR")=0))</f>
      </c>
      <c r="I17730">
        <f>IF(DATOS!$I17730="","",IFERROR(VLOOKUP(DATOS!$I17730,CONFIG_ASIGNATURAS!$B$2:$J$91,9,FALSE()),""))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IF(DATOS!$A17731="",0,IF(CONFIG_METADATA!$B$4&lt;&gt;"OR+EX",--(DATOS!$G17731=CONFIG_METADATA!$B$4),IF(DATOS!$G17731="EX",1,IF(DATOS!$G17731="OR",--(COUNTIFS(nNIA,DATOS!$A17731,nCURSO,DATOS!$D17731,nESPEC,DATOS!$E17731,nASIG,DATOS!$I17731,nEVAL,"EX")=0),0))))</f>
      </c>
      <c r="H17731">
        <f>IF(DATOS!$G17731&lt;&gt;"EX",0,--(COUNTIFS(nNIA,DATOS!$A17731,nCURSO,DATOS!$D17731,nESPEC,DATOS!$E17731,nASIG,DATOS!$I17731,nEVAL,"OR")=0))</f>
      </c>
      <c r="I17731">
        <f>IF(DATOS!$I17731="","",IFERROR(VLOOKUP(DATOS!$I17731,CONFIG_ASIGNATURAS!$B$2:$J$91,9,FALSE()),""))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IF(DATOS!$A17732="",0,IF(CONFIG_METADATA!$B$4&lt;&gt;"OR+EX",--(DATOS!$G17732=CONFIG_METADATA!$B$4),IF(DATOS!$G17732="EX",1,IF(DATOS!$G17732="OR",--(COUNTIFS(nNIA,DATOS!$A17732,nCURSO,DATOS!$D17732,nESPEC,DATOS!$E17732,nASIG,DATOS!$I17732,nEVAL,"EX")=0),0))))</f>
      </c>
      <c r="H17732">
        <f>IF(DATOS!$G17732&lt;&gt;"EX",0,--(COUNTIFS(nNIA,DATOS!$A17732,nCURSO,DATOS!$D17732,nESPEC,DATOS!$E17732,nASIG,DATOS!$I17732,nEVAL,"OR")=0))</f>
      </c>
      <c r="I17732">
        <f>IF(DATOS!$I17732="","",IFERROR(VLOOKUP(DATOS!$I17732,CONFIG_ASIGNATURAS!$B$2:$J$91,9,FALSE()),""))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IF(DATOS!$A17733="",0,IF(CONFIG_METADATA!$B$4&lt;&gt;"OR+EX",--(DATOS!$G17733=CONFIG_METADATA!$B$4),IF(DATOS!$G17733="EX",1,IF(DATOS!$G17733="OR",--(COUNTIFS(nNIA,DATOS!$A17733,nCURSO,DATOS!$D17733,nESPEC,DATOS!$E17733,nASIG,DATOS!$I17733,nEVAL,"EX")=0),0))))</f>
      </c>
      <c r="H17733">
        <f>IF(DATOS!$G17733&lt;&gt;"EX",0,--(COUNTIFS(nNIA,DATOS!$A17733,nCURSO,DATOS!$D17733,nESPEC,DATOS!$E17733,nASIG,DATOS!$I17733,nEVAL,"OR")=0))</f>
      </c>
      <c r="I17733">
        <f>IF(DATOS!$I17733="","",IFERROR(VLOOKUP(DATOS!$I17733,CONFIG_ASIGNATURAS!$B$2:$J$91,9,FALSE()),""))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IF(DATOS!$A17734="",0,IF(CONFIG_METADATA!$B$4&lt;&gt;"OR+EX",--(DATOS!$G17734=CONFIG_METADATA!$B$4),IF(DATOS!$G17734="EX",1,IF(DATOS!$G17734="OR",--(COUNTIFS(nNIA,DATOS!$A17734,nCURSO,DATOS!$D17734,nESPEC,DATOS!$E17734,nASIG,DATOS!$I17734,nEVAL,"EX")=0),0))))</f>
      </c>
      <c r="H17734">
        <f>IF(DATOS!$G17734&lt;&gt;"EX",0,--(COUNTIFS(nNIA,DATOS!$A17734,nCURSO,DATOS!$D17734,nESPEC,DATOS!$E17734,nASIG,DATOS!$I17734,nEVAL,"OR")=0))</f>
      </c>
      <c r="I17734">
        <f>IF(DATOS!$I17734="","",IFERROR(VLOOKUP(DATOS!$I17734,CONFIG_ASIGNATURAS!$B$2:$J$91,9,FALSE()),""))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IF(DATOS!$A17735="",0,IF(CONFIG_METADATA!$B$4&lt;&gt;"OR+EX",--(DATOS!$G17735=CONFIG_METADATA!$B$4),IF(DATOS!$G17735="EX",1,IF(DATOS!$G17735="OR",--(COUNTIFS(nNIA,DATOS!$A17735,nCURSO,DATOS!$D17735,nESPEC,DATOS!$E17735,nASIG,DATOS!$I17735,nEVAL,"EX")=0),0))))</f>
      </c>
      <c r="H17735">
        <f>IF(DATOS!$G17735&lt;&gt;"EX",0,--(COUNTIFS(nNIA,DATOS!$A17735,nCURSO,DATOS!$D17735,nESPEC,DATOS!$E17735,nASIG,DATOS!$I17735,nEVAL,"OR")=0))</f>
      </c>
      <c r="I17735">
        <f>IF(DATOS!$I17735="","",IFERROR(VLOOKUP(DATOS!$I17735,CONFIG_ASIGNATURAS!$B$2:$J$91,9,FALSE()),""))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IF(DATOS!$A17736="",0,IF(CONFIG_METADATA!$B$4&lt;&gt;"OR+EX",--(DATOS!$G17736=CONFIG_METADATA!$B$4),IF(DATOS!$G17736="EX",1,IF(DATOS!$G17736="OR",--(COUNTIFS(nNIA,DATOS!$A17736,nCURSO,DATOS!$D17736,nESPEC,DATOS!$E17736,nASIG,DATOS!$I17736,nEVAL,"EX")=0),0))))</f>
      </c>
      <c r="H17736">
        <f>IF(DATOS!$G17736&lt;&gt;"EX",0,--(COUNTIFS(nNIA,DATOS!$A17736,nCURSO,DATOS!$D17736,nESPEC,DATOS!$E17736,nASIG,DATOS!$I17736,nEVAL,"OR")=0))</f>
      </c>
      <c r="I17736">
        <f>IF(DATOS!$I17736="","",IFERROR(VLOOKUP(DATOS!$I17736,CONFIG_ASIGNATURAS!$B$2:$J$91,9,FALSE()),""))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IF(DATOS!$A17737="",0,IF(CONFIG_METADATA!$B$4&lt;&gt;"OR+EX",--(DATOS!$G17737=CONFIG_METADATA!$B$4),IF(DATOS!$G17737="EX",1,IF(DATOS!$G17737="OR",--(COUNTIFS(nNIA,DATOS!$A17737,nCURSO,DATOS!$D17737,nESPEC,DATOS!$E17737,nASIG,DATOS!$I17737,nEVAL,"EX")=0),0))))</f>
      </c>
      <c r="H17737">
        <f>IF(DATOS!$G17737&lt;&gt;"EX",0,--(COUNTIFS(nNIA,DATOS!$A17737,nCURSO,DATOS!$D17737,nESPEC,DATOS!$E17737,nASIG,DATOS!$I17737,nEVAL,"OR")=0))</f>
      </c>
      <c r="I17737">
        <f>IF(DATOS!$I17737="","",IFERROR(VLOOKUP(DATOS!$I17737,CONFIG_ASIGNATURAS!$B$2:$J$91,9,FALSE()),""))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IF(DATOS!$A17738="",0,IF(CONFIG_METADATA!$B$4&lt;&gt;"OR+EX",--(DATOS!$G17738=CONFIG_METADATA!$B$4),IF(DATOS!$G17738="EX",1,IF(DATOS!$G17738="OR",--(COUNTIFS(nNIA,DATOS!$A17738,nCURSO,DATOS!$D17738,nESPEC,DATOS!$E17738,nASIG,DATOS!$I17738,nEVAL,"EX")=0),0))))</f>
      </c>
      <c r="H17738">
        <f>IF(DATOS!$G17738&lt;&gt;"EX",0,--(COUNTIFS(nNIA,DATOS!$A17738,nCURSO,DATOS!$D17738,nESPEC,DATOS!$E17738,nASIG,DATOS!$I17738,nEVAL,"OR")=0))</f>
      </c>
      <c r="I17738">
        <f>IF(DATOS!$I17738="","",IFERROR(VLOOKUP(DATOS!$I17738,CONFIG_ASIGNATURAS!$B$2:$J$91,9,FALSE()),""))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IF(DATOS!$A17739="",0,IF(CONFIG_METADATA!$B$4&lt;&gt;"OR+EX",--(DATOS!$G17739=CONFIG_METADATA!$B$4),IF(DATOS!$G17739="EX",1,IF(DATOS!$G17739="OR",--(COUNTIFS(nNIA,DATOS!$A17739,nCURSO,DATOS!$D17739,nESPEC,DATOS!$E17739,nASIG,DATOS!$I17739,nEVAL,"EX")=0),0))))</f>
      </c>
      <c r="H17739">
        <f>IF(DATOS!$G17739&lt;&gt;"EX",0,--(COUNTIFS(nNIA,DATOS!$A17739,nCURSO,DATOS!$D17739,nESPEC,DATOS!$E17739,nASIG,DATOS!$I17739,nEVAL,"OR")=0))</f>
      </c>
      <c r="I17739">
        <f>IF(DATOS!$I17739="","",IFERROR(VLOOKUP(DATOS!$I17739,CONFIG_ASIGNATURAS!$B$2:$J$91,9,FALSE()),""))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IF(DATOS!$A17740="",0,IF(CONFIG_METADATA!$B$4&lt;&gt;"OR+EX",--(DATOS!$G17740=CONFIG_METADATA!$B$4),IF(DATOS!$G17740="EX",1,IF(DATOS!$G17740="OR",--(COUNTIFS(nNIA,DATOS!$A17740,nCURSO,DATOS!$D17740,nESPEC,DATOS!$E17740,nASIG,DATOS!$I17740,nEVAL,"EX")=0),0))))</f>
      </c>
      <c r="H17740">
        <f>IF(DATOS!$G17740&lt;&gt;"EX",0,--(COUNTIFS(nNIA,DATOS!$A17740,nCURSO,DATOS!$D17740,nESPEC,DATOS!$E17740,nASIG,DATOS!$I17740,nEVAL,"OR")=0))</f>
      </c>
      <c r="I17740">
        <f>IF(DATOS!$I17740="","",IFERROR(VLOOKUP(DATOS!$I17740,CONFIG_ASIGNATURAS!$B$2:$J$91,9,FALSE()),""))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IF(DATOS!$A17741="",0,IF(CONFIG_METADATA!$B$4&lt;&gt;"OR+EX",--(DATOS!$G17741=CONFIG_METADATA!$B$4),IF(DATOS!$G17741="EX",1,IF(DATOS!$G17741="OR",--(COUNTIFS(nNIA,DATOS!$A17741,nCURSO,DATOS!$D17741,nESPEC,DATOS!$E17741,nASIG,DATOS!$I17741,nEVAL,"EX")=0),0))))</f>
      </c>
      <c r="H17741">
        <f>IF(DATOS!$G17741&lt;&gt;"EX",0,--(COUNTIFS(nNIA,DATOS!$A17741,nCURSO,DATOS!$D17741,nESPEC,DATOS!$E17741,nASIG,DATOS!$I17741,nEVAL,"OR")=0))</f>
      </c>
      <c r="I17741">
        <f>IF(DATOS!$I17741="","",IFERROR(VLOOKUP(DATOS!$I17741,CONFIG_ASIGNATURAS!$B$2:$J$91,9,FALSE()),""))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IF(DATOS!$A17742="",0,IF(CONFIG_METADATA!$B$4&lt;&gt;"OR+EX",--(DATOS!$G17742=CONFIG_METADATA!$B$4),IF(DATOS!$G17742="EX",1,IF(DATOS!$G17742="OR",--(COUNTIFS(nNIA,DATOS!$A17742,nCURSO,DATOS!$D17742,nESPEC,DATOS!$E17742,nASIG,DATOS!$I17742,nEVAL,"EX")=0),0))))</f>
      </c>
      <c r="H17742">
        <f>IF(DATOS!$G17742&lt;&gt;"EX",0,--(COUNTIFS(nNIA,DATOS!$A17742,nCURSO,DATOS!$D17742,nESPEC,DATOS!$E17742,nASIG,DATOS!$I17742,nEVAL,"OR")=0))</f>
      </c>
      <c r="I17742">
        <f>IF(DATOS!$I17742="","",IFERROR(VLOOKUP(DATOS!$I17742,CONFIG_ASIGNATURAS!$B$2:$J$91,9,FALSE()),""))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IF(DATOS!$A17743="",0,IF(CONFIG_METADATA!$B$4&lt;&gt;"OR+EX",--(DATOS!$G17743=CONFIG_METADATA!$B$4),IF(DATOS!$G17743="EX",1,IF(DATOS!$G17743="OR",--(COUNTIFS(nNIA,DATOS!$A17743,nCURSO,DATOS!$D17743,nESPEC,DATOS!$E17743,nASIG,DATOS!$I17743,nEVAL,"EX")=0),0))))</f>
      </c>
      <c r="H17743">
        <f>IF(DATOS!$G17743&lt;&gt;"EX",0,--(COUNTIFS(nNIA,DATOS!$A17743,nCURSO,DATOS!$D17743,nESPEC,DATOS!$E17743,nASIG,DATOS!$I17743,nEVAL,"OR")=0))</f>
      </c>
      <c r="I17743">
        <f>IF(DATOS!$I17743="","",IFERROR(VLOOKUP(DATOS!$I17743,CONFIG_ASIGNATURAS!$B$2:$J$91,9,FALSE()),""))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IF(DATOS!$A17744="",0,IF(CONFIG_METADATA!$B$4&lt;&gt;"OR+EX",--(DATOS!$G17744=CONFIG_METADATA!$B$4),IF(DATOS!$G17744="EX",1,IF(DATOS!$G17744="OR",--(COUNTIFS(nNIA,DATOS!$A17744,nCURSO,DATOS!$D17744,nESPEC,DATOS!$E17744,nASIG,DATOS!$I17744,nEVAL,"EX")=0),0))))</f>
      </c>
      <c r="H17744">
        <f>IF(DATOS!$G17744&lt;&gt;"EX",0,--(COUNTIFS(nNIA,DATOS!$A17744,nCURSO,DATOS!$D17744,nESPEC,DATOS!$E17744,nASIG,DATOS!$I17744,nEVAL,"OR")=0))</f>
      </c>
      <c r="I17744">
        <f>IF(DATOS!$I17744="","",IFERROR(VLOOKUP(DATOS!$I17744,CONFIG_ASIGNATURAS!$B$2:$J$91,9,FALSE()),""))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IF(DATOS!$A17745="",0,IF(CONFIG_METADATA!$B$4&lt;&gt;"OR+EX",--(DATOS!$G17745=CONFIG_METADATA!$B$4),IF(DATOS!$G17745="EX",1,IF(DATOS!$G17745="OR",--(COUNTIFS(nNIA,DATOS!$A17745,nCURSO,DATOS!$D17745,nESPEC,DATOS!$E17745,nASIG,DATOS!$I17745,nEVAL,"EX")=0),0))))</f>
      </c>
      <c r="H17745">
        <f>IF(DATOS!$G17745&lt;&gt;"EX",0,--(COUNTIFS(nNIA,DATOS!$A17745,nCURSO,DATOS!$D17745,nESPEC,DATOS!$E17745,nASIG,DATOS!$I17745,nEVAL,"OR")=0))</f>
      </c>
      <c r="I17745">
        <f>IF(DATOS!$I17745="","",IFERROR(VLOOKUP(DATOS!$I17745,CONFIG_ASIGNATURAS!$B$2:$J$91,9,FALSE()),""))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IF(DATOS!$A17746="",0,IF(CONFIG_METADATA!$B$4&lt;&gt;"OR+EX",--(DATOS!$G17746=CONFIG_METADATA!$B$4),IF(DATOS!$G17746="EX",1,IF(DATOS!$G17746="OR",--(COUNTIFS(nNIA,DATOS!$A17746,nCURSO,DATOS!$D17746,nESPEC,DATOS!$E17746,nASIG,DATOS!$I17746,nEVAL,"EX")=0),0))))</f>
      </c>
      <c r="H17746">
        <f>IF(DATOS!$G17746&lt;&gt;"EX",0,--(COUNTIFS(nNIA,DATOS!$A17746,nCURSO,DATOS!$D17746,nESPEC,DATOS!$E17746,nASIG,DATOS!$I17746,nEVAL,"OR")=0))</f>
      </c>
      <c r="I17746">
        <f>IF(DATOS!$I17746="","",IFERROR(VLOOKUP(DATOS!$I17746,CONFIG_ASIGNATURAS!$B$2:$J$91,9,FALSE()),""))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IF(DATOS!$A17747="",0,IF(CONFIG_METADATA!$B$4&lt;&gt;"OR+EX",--(DATOS!$G17747=CONFIG_METADATA!$B$4),IF(DATOS!$G17747="EX",1,IF(DATOS!$G17747="OR",--(COUNTIFS(nNIA,DATOS!$A17747,nCURSO,DATOS!$D17747,nESPEC,DATOS!$E17747,nASIG,DATOS!$I17747,nEVAL,"EX")=0),0))))</f>
      </c>
      <c r="H17747">
        <f>IF(DATOS!$G17747&lt;&gt;"EX",0,--(COUNTIFS(nNIA,DATOS!$A17747,nCURSO,DATOS!$D17747,nESPEC,DATOS!$E17747,nASIG,DATOS!$I17747,nEVAL,"OR")=0))</f>
      </c>
      <c r="I17747">
        <f>IF(DATOS!$I17747="","",IFERROR(VLOOKUP(DATOS!$I17747,CONFIG_ASIGNATURAS!$B$2:$J$91,9,FALSE()),""))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IF(DATOS!$A17748="",0,IF(CONFIG_METADATA!$B$4&lt;&gt;"OR+EX",--(DATOS!$G17748=CONFIG_METADATA!$B$4),IF(DATOS!$G17748="EX",1,IF(DATOS!$G17748="OR",--(COUNTIFS(nNIA,DATOS!$A17748,nCURSO,DATOS!$D17748,nESPEC,DATOS!$E17748,nASIG,DATOS!$I17748,nEVAL,"EX")=0),0))))</f>
      </c>
      <c r="H17748">
        <f>IF(DATOS!$G17748&lt;&gt;"EX",0,--(COUNTIFS(nNIA,DATOS!$A17748,nCURSO,DATOS!$D17748,nESPEC,DATOS!$E17748,nASIG,DATOS!$I17748,nEVAL,"OR")=0))</f>
      </c>
      <c r="I17748">
        <f>IF(DATOS!$I17748="","",IFERROR(VLOOKUP(DATOS!$I17748,CONFIG_ASIGNATURAS!$B$2:$J$91,9,FALSE()),""))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IF(DATOS!$A17749="",0,IF(CONFIG_METADATA!$B$4&lt;&gt;"OR+EX",--(DATOS!$G17749=CONFIG_METADATA!$B$4),IF(DATOS!$G17749="EX",1,IF(DATOS!$G17749="OR",--(COUNTIFS(nNIA,DATOS!$A17749,nCURSO,DATOS!$D17749,nESPEC,DATOS!$E17749,nASIG,DATOS!$I17749,nEVAL,"EX")=0),0))))</f>
      </c>
      <c r="H17749">
        <f>IF(DATOS!$G17749&lt;&gt;"EX",0,--(COUNTIFS(nNIA,DATOS!$A17749,nCURSO,DATOS!$D17749,nESPEC,DATOS!$E17749,nASIG,DATOS!$I17749,nEVAL,"OR")=0))</f>
      </c>
      <c r="I17749">
        <f>IF(DATOS!$I17749="","",IFERROR(VLOOKUP(DATOS!$I17749,CONFIG_ASIGNATURAS!$B$2:$J$91,9,FALSE()),""))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IF(DATOS!$A17750="",0,IF(CONFIG_METADATA!$B$4&lt;&gt;"OR+EX",--(DATOS!$G17750=CONFIG_METADATA!$B$4),IF(DATOS!$G17750="EX",1,IF(DATOS!$G17750="OR",--(COUNTIFS(nNIA,DATOS!$A17750,nCURSO,DATOS!$D17750,nESPEC,DATOS!$E17750,nASIG,DATOS!$I17750,nEVAL,"EX")=0),0))))</f>
      </c>
      <c r="H17750">
        <f>IF(DATOS!$G17750&lt;&gt;"EX",0,--(COUNTIFS(nNIA,DATOS!$A17750,nCURSO,DATOS!$D17750,nESPEC,DATOS!$E17750,nASIG,DATOS!$I17750,nEVAL,"OR")=0))</f>
      </c>
      <c r="I17750">
        <f>IF(DATOS!$I17750="","",IFERROR(VLOOKUP(DATOS!$I17750,CONFIG_ASIGNATURAS!$B$2:$J$91,9,FALSE()),""))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IF(DATOS!$A17751="",0,IF(CONFIG_METADATA!$B$4&lt;&gt;"OR+EX",--(DATOS!$G17751=CONFIG_METADATA!$B$4),IF(DATOS!$G17751="EX",1,IF(DATOS!$G17751="OR",--(COUNTIFS(nNIA,DATOS!$A17751,nCURSO,DATOS!$D17751,nESPEC,DATOS!$E17751,nASIG,DATOS!$I17751,nEVAL,"EX")=0),0))))</f>
      </c>
      <c r="H17751">
        <f>IF(DATOS!$G17751&lt;&gt;"EX",0,--(COUNTIFS(nNIA,DATOS!$A17751,nCURSO,DATOS!$D17751,nESPEC,DATOS!$E17751,nASIG,DATOS!$I17751,nEVAL,"OR")=0))</f>
      </c>
      <c r="I17751">
        <f>IF(DATOS!$I17751="","",IFERROR(VLOOKUP(DATOS!$I17751,CONFIG_ASIGNATURAS!$B$2:$J$91,9,FALSE()),""))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IF(DATOS!$A17752="",0,IF(CONFIG_METADATA!$B$4&lt;&gt;"OR+EX",--(DATOS!$G17752=CONFIG_METADATA!$B$4),IF(DATOS!$G17752="EX",1,IF(DATOS!$G17752="OR",--(COUNTIFS(nNIA,DATOS!$A17752,nCURSO,DATOS!$D17752,nESPEC,DATOS!$E17752,nASIG,DATOS!$I17752,nEVAL,"EX")=0),0))))</f>
      </c>
      <c r="H17752">
        <f>IF(DATOS!$G17752&lt;&gt;"EX",0,--(COUNTIFS(nNIA,DATOS!$A17752,nCURSO,DATOS!$D17752,nESPEC,DATOS!$E17752,nASIG,DATOS!$I17752,nEVAL,"OR")=0))</f>
      </c>
      <c r="I17752">
        <f>IF(DATOS!$I17752="","",IFERROR(VLOOKUP(DATOS!$I17752,CONFIG_ASIGNATURAS!$B$2:$J$91,9,FALSE()),""))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IF(DATOS!$A17753="",0,IF(CONFIG_METADATA!$B$4&lt;&gt;"OR+EX",--(DATOS!$G17753=CONFIG_METADATA!$B$4),IF(DATOS!$G17753="EX",1,IF(DATOS!$G17753="OR",--(COUNTIFS(nNIA,DATOS!$A17753,nCURSO,DATOS!$D17753,nESPEC,DATOS!$E17753,nASIG,DATOS!$I17753,nEVAL,"EX")=0),0))))</f>
      </c>
      <c r="H17753">
        <f>IF(DATOS!$G17753&lt;&gt;"EX",0,--(COUNTIFS(nNIA,DATOS!$A17753,nCURSO,DATOS!$D17753,nESPEC,DATOS!$E17753,nASIG,DATOS!$I17753,nEVAL,"OR")=0))</f>
      </c>
      <c r="I17753">
        <f>IF(DATOS!$I17753="","",IFERROR(VLOOKUP(DATOS!$I17753,CONFIG_ASIGNATURAS!$B$2:$J$91,9,FALSE()),""))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IF(DATOS!$A17754="",0,IF(CONFIG_METADATA!$B$4&lt;&gt;"OR+EX",--(DATOS!$G17754=CONFIG_METADATA!$B$4),IF(DATOS!$G17754="EX",1,IF(DATOS!$G17754="OR",--(COUNTIFS(nNIA,DATOS!$A17754,nCURSO,DATOS!$D17754,nESPEC,DATOS!$E17754,nASIG,DATOS!$I17754,nEVAL,"EX")=0),0))))</f>
      </c>
      <c r="H17754">
        <f>IF(DATOS!$G17754&lt;&gt;"EX",0,--(COUNTIFS(nNIA,DATOS!$A17754,nCURSO,DATOS!$D17754,nESPEC,DATOS!$E17754,nASIG,DATOS!$I17754,nEVAL,"OR")=0))</f>
      </c>
      <c r="I17754">
        <f>IF(DATOS!$I17754="","",IFERROR(VLOOKUP(DATOS!$I17754,CONFIG_ASIGNATURAS!$B$2:$J$91,9,FALSE()),""))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IF(DATOS!$A17755="",0,IF(CONFIG_METADATA!$B$4&lt;&gt;"OR+EX",--(DATOS!$G17755=CONFIG_METADATA!$B$4),IF(DATOS!$G17755="EX",1,IF(DATOS!$G17755="OR",--(COUNTIFS(nNIA,DATOS!$A17755,nCURSO,DATOS!$D17755,nESPEC,DATOS!$E17755,nASIG,DATOS!$I17755,nEVAL,"EX")=0),0))))</f>
      </c>
      <c r="H17755">
        <f>IF(DATOS!$G17755&lt;&gt;"EX",0,--(COUNTIFS(nNIA,DATOS!$A17755,nCURSO,DATOS!$D17755,nESPEC,DATOS!$E17755,nASIG,DATOS!$I17755,nEVAL,"OR")=0))</f>
      </c>
      <c r="I17755">
        <f>IF(DATOS!$I17755="","",IFERROR(VLOOKUP(DATOS!$I17755,CONFIG_ASIGNATURAS!$B$2:$J$91,9,FALSE()),""))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IF(DATOS!$A17756="",0,IF(CONFIG_METADATA!$B$4&lt;&gt;"OR+EX",--(DATOS!$G17756=CONFIG_METADATA!$B$4),IF(DATOS!$G17756="EX",1,IF(DATOS!$G17756="OR",--(COUNTIFS(nNIA,DATOS!$A17756,nCURSO,DATOS!$D17756,nESPEC,DATOS!$E17756,nASIG,DATOS!$I17756,nEVAL,"EX")=0),0))))</f>
      </c>
      <c r="H17756">
        <f>IF(DATOS!$G17756&lt;&gt;"EX",0,--(COUNTIFS(nNIA,DATOS!$A17756,nCURSO,DATOS!$D17756,nESPEC,DATOS!$E17756,nASIG,DATOS!$I17756,nEVAL,"OR")=0))</f>
      </c>
      <c r="I17756">
        <f>IF(DATOS!$I17756="","",IFERROR(VLOOKUP(DATOS!$I17756,CONFIG_ASIGNATURAS!$B$2:$J$91,9,FALSE()),""))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IF(DATOS!$A17757="",0,IF(CONFIG_METADATA!$B$4&lt;&gt;"OR+EX",--(DATOS!$G17757=CONFIG_METADATA!$B$4),IF(DATOS!$G17757="EX",1,IF(DATOS!$G17757="OR",--(COUNTIFS(nNIA,DATOS!$A17757,nCURSO,DATOS!$D17757,nESPEC,DATOS!$E17757,nASIG,DATOS!$I17757,nEVAL,"EX")=0),0))))</f>
      </c>
      <c r="H17757">
        <f>IF(DATOS!$G17757&lt;&gt;"EX",0,--(COUNTIFS(nNIA,DATOS!$A17757,nCURSO,DATOS!$D17757,nESPEC,DATOS!$E17757,nASIG,DATOS!$I17757,nEVAL,"OR")=0))</f>
      </c>
      <c r="I17757">
        <f>IF(DATOS!$I17757="","",IFERROR(VLOOKUP(DATOS!$I17757,CONFIG_ASIGNATURAS!$B$2:$J$91,9,FALSE()),""))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IF(DATOS!$A17758="",0,IF(CONFIG_METADATA!$B$4&lt;&gt;"OR+EX",--(DATOS!$G17758=CONFIG_METADATA!$B$4),IF(DATOS!$G17758="EX",1,IF(DATOS!$G17758="OR",--(COUNTIFS(nNIA,DATOS!$A17758,nCURSO,DATOS!$D17758,nESPEC,DATOS!$E17758,nASIG,DATOS!$I17758,nEVAL,"EX")=0),0))))</f>
      </c>
      <c r="H17758">
        <f>IF(DATOS!$G17758&lt;&gt;"EX",0,--(COUNTIFS(nNIA,DATOS!$A17758,nCURSO,DATOS!$D17758,nESPEC,DATOS!$E17758,nASIG,DATOS!$I17758,nEVAL,"OR")=0))</f>
      </c>
      <c r="I17758">
        <f>IF(DATOS!$I17758="","",IFERROR(VLOOKUP(DATOS!$I17758,CONFIG_ASIGNATURAS!$B$2:$J$91,9,FALSE()),""))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IF(DATOS!$A17759="",0,IF(CONFIG_METADATA!$B$4&lt;&gt;"OR+EX",--(DATOS!$G17759=CONFIG_METADATA!$B$4),IF(DATOS!$G17759="EX",1,IF(DATOS!$G17759="OR",--(COUNTIFS(nNIA,DATOS!$A17759,nCURSO,DATOS!$D17759,nESPEC,DATOS!$E17759,nASIG,DATOS!$I17759,nEVAL,"EX")=0),0))))</f>
      </c>
      <c r="H17759">
        <f>IF(DATOS!$G17759&lt;&gt;"EX",0,--(COUNTIFS(nNIA,DATOS!$A17759,nCURSO,DATOS!$D17759,nESPEC,DATOS!$E17759,nASIG,DATOS!$I17759,nEVAL,"OR")=0))</f>
      </c>
      <c r="I17759">
        <f>IF(DATOS!$I17759="","",IFERROR(VLOOKUP(DATOS!$I17759,CONFIG_ASIGNATURAS!$B$2:$J$91,9,FALSE()),""))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IF(DATOS!$A17760="",0,IF(CONFIG_METADATA!$B$4&lt;&gt;"OR+EX",--(DATOS!$G17760=CONFIG_METADATA!$B$4),IF(DATOS!$G17760="EX",1,IF(DATOS!$G17760="OR",--(COUNTIFS(nNIA,DATOS!$A17760,nCURSO,DATOS!$D17760,nESPEC,DATOS!$E17760,nASIG,DATOS!$I17760,nEVAL,"EX")=0),0))))</f>
      </c>
      <c r="H17760">
        <f>IF(DATOS!$G17760&lt;&gt;"EX",0,--(COUNTIFS(nNIA,DATOS!$A17760,nCURSO,DATOS!$D17760,nESPEC,DATOS!$E17760,nASIG,DATOS!$I17760,nEVAL,"OR")=0))</f>
      </c>
      <c r="I17760">
        <f>IF(DATOS!$I17760="","",IFERROR(VLOOKUP(DATOS!$I17760,CONFIG_ASIGNATURAS!$B$2:$J$91,9,FALSE()),""))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IF(DATOS!$A17761="",0,IF(CONFIG_METADATA!$B$4&lt;&gt;"OR+EX",--(DATOS!$G17761=CONFIG_METADATA!$B$4),IF(DATOS!$G17761="EX",1,IF(DATOS!$G17761="OR",--(COUNTIFS(nNIA,DATOS!$A17761,nCURSO,DATOS!$D17761,nESPEC,DATOS!$E17761,nASIG,DATOS!$I17761,nEVAL,"EX")=0),0))))</f>
      </c>
      <c r="H17761">
        <f>IF(DATOS!$G17761&lt;&gt;"EX",0,--(COUNTIFS(nNIA,DATOS!$A17761,nCURSO,DATOS!$D17761,nESPEC,DATOS!$E17761,nASIG,DATOS!$I17761,nEVAL,"OR")=0))</f>
      </c>
      <c r="I17761">
        <f>IF(DATOS!$I17761="","",IFERROR(VLOOKUP(DATOS!$I17761,CONFIG_ASIGNATURAS!$B$2:$J$91,9,FALSE()),""))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IF(DATOS!$A17762="",0,IF(CONFIG_METADATA!$B$4&lt;&gt;"OR+EX",--(DATOS!$G17762=CONFIG_METADATA!$B$4),IF(DATOS!$G17762="EX",1,IF(DATOS!$G17762="OR",--(COUNTIFS(nNIA,DATOS!$A17762,nCURSO,DATOS!$D17762,nESPEC,DATOS!$E17762,nASIG,DATOS!$I17762,nEVAL,"EX")=0),0))))</f>
      </c>
      <c r="H17762">
        <f>IF(DATOS!$G17762&lt;&gt;"EX",0,--(COUNTIFS(nNIA,DATOS!$A17762,nCURSO,DATOS!$D17762,nESPEC,DATOS!$E17762,nASIG,DATOS!$I17762,nEVAL,"OR")=0))</f>
      </c>
      <c r="I17762">
        <f>IF(DATOS!$I17762="","",IFERROR(VLOOKUP(DATOS!$I17762,CONFIG_ASIGNATURAS!$B$2:$J$91,9,FALSE()),""))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IF(DATOS!$A17763="",0,IF(CONFIG_METADATA!$B$4&lt;&gt;"OR+EX",--(DATOS!$G17763=CONFIG_METADATA!$B$4),IF(DATOS!$G17763="EX",1,IF(DATOS!$G17763="OR",--(COUNTIFS(nNIA,DATOS!$A17763,nCURSO,DATOS!$D17763,nESPEC,DATOS!$E17763,nASIG,DATOS!$I17763,nEVAL,"EX")=0),0))))</f>
      </c>
      <c r="H17763">
        <f>IF(DATOS!$G17763&lt;&gt;"EX",0,--(COUNTIFS(nNIA,DATOS!$A17763,nCURSO,DATOS!$D17763,nESPEC,DATOS!$E17763,nASIG,DATOS!$I17763,nEVAL,"OR")=0))</f>
      </c>
      <c r="I17763">
        <f>IF(DATOS!$I17763="","",IFERROR(VLOOKUP(DATOS!$I17763,CONFIG_ASIGNATURAS!$B$2:$J$91,9,FALSE()),""))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IF(DATOS!$A17764="",0,IF(CONFIG_METADATA!$B$4&lt;&gt;"OR+EX",--(DATOS!$G17764=CONFIG_METADATA!$B$4),IF(DATOS!$G17764="EX",1,IF(DATOS!$G17764="OR",--(COUNTIFS(nNIA,DATOS!$A17764,nCURSO,DATOS!$D17764,nESPEC,DATOS!$E17764,nASIG,DATOS!$I17764,nEVAL,"EX")=0),0))))</f>
      </c>
      <c r="H17764">
        <f>IF(DATOS!$G17764&lt;&gt;"EX",0,--(COUNTIFS(nNIA,DATOS!$A17764,nCURSO,DATOS!$D17764,nESPEC,DATOS!$E17764,nASIG,DATOS!$I17764,nEVAL,"OR")=0))</f>
      </c>
      <c r="I17764">
        <f>IF(DATOS!$I17764="","",IFERROR(VLOOKUP(DATOS!$I17764,CONFIG_ASIGNATURAS!$B$2:$J$91,9,FALSE()),""))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IF(DATOS!$A17765="",0,IF(CONFIG_METADATA!$B$4&lt;&gt;"OR+EX",--(DATOS!$G17765=CONFIG_METADATA!$B$4),IF(DATOS!$G17765="EX",1,IF(DATOS!$G17765="OR",--(COUNTIFS(nNIA,DATOS!$A17765,nCURSO,DATOS!$D17765,nESPEC,DATOS!$E17765,nASIG,DATOS!$I17765,nEVAL,"EX")=0),0))))</f>
      </c>
      <c r="H17765">
        <f>IF(DATOS!$G17765&lt;&gt;"EX",0,--(COUNTIFS(nNIA,DATOS!$A17765,nCURSO,DATOS!$D17765,nESPEC,DATOS!$E17765,nASIG,DATOS!$I17765,nEVAL,"OR")=0))</f>
      </c>
      <c r="I17765">
        <f>IF(DATOS!$I17765="","",IFERROR(VLOOKUP(DATOS!$I17765,CONFIG_ASIGNATURAS!$B$2:$J$91,9,FALSE()),""))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IF(DATOS!$A17766="",0,IF(CONFIG_METADATA!$B$4&lt;&gt;"OR+EX",--(DATOS!$G17766=CONFIG_METADATA!$B$4),IF(DATOS!$G17766="EX",1,IF(DATOS!$G17766="OR",--(COUNTIFS(nNIA,DATOS!$A17766,nCURSO,DATOS!$D17766,nESPEC,DATOS!$E17766,nASIG,DATOS!$I17766,nEVAL,"EX")=0),0))))</f>
      </c>
      <c r="H17766">
        <f>IF(DATOS!$G17766&lt;&gt;"EX",0,--(COUNTIFS(nNIA,DATOS!$A17766,nCURSO,DATOS!$D17766,nESPEC,DATOS!$E17766,nASIG,DATOS!$I17766,nEVAL,"OR")=0))</f>
      </c>
      <c r="I17766">
        <f>IF(DATOS!$I17766="","",IFERROR(VLOOKUP(DATOS!$I17766,CONFIG_ASIGNATURAS!$B$2:$J$91,9,FALSE()),""))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IF(DATOS!$A17767="",0,IF(CONFIG_METADATA!$B$4&lt;&gt;"OR+EX",--(DATOS!$G17767=CONFIG_METADATA!$B$4),IF(DATOS!$G17767="EX",1,IF(DATOS!$G17767="OR",--(COUNTIFS(nNIA,DATOS!$A17767,nCURSO,DATOS!$D17767,nESPEC,DATOS!$E17767,nASIG,DATOS!$I17767,nEVAL,"EX")=0),0))))</f>
      </c>
      <c r="H17767">
        <f>IF(DATOS!$G17767&lt;&gt;"EX",0,--(COUNTIFS(nNIA,DATOS!$A17767,nCURSO,DATOS!$D17767,nESPEC,DATOS!$E17767,nASIG,DATOS!$I17767,nEVAL,"OR")=0))</f>
      </c>
      <c r="I17767">
        <f>IF(DATOS!$I17767="","",IFERROR(VLOOKUP(DATOS!$I17767,CONFIG_ASIGNATURAS!$B$2:$J$91,9,FALSE()),""))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IF(DATOS!$A17768="",0,IF(CONFIG_METADATA!$B$4&lt;&gt;"OR+EX",--(DATOS!$G17768=CONFIG_METADATA!$B$4),IF(DATOS!$G17768="EX",1,IF(DATOS!$G17768="OR",--(COUNTIFS(nNIA,DATOS!$A17768,nCURSO,DATOS!$D17768,nESPEC,DATOS!$E17768,nASIG,DATOS!$I17768,nEVAL,"EX")=0),0))))</f>
      </c>
      <c r="H17768">
        <f>IF(DATOS!$G17768&lt;&gt;"EX",0,--(COUNTIFS(nNIA,DATOS!$A17768,nCURSO,DATOS!$D17768,nESPEC,DATOS!$E17768,nASIG,DATOS!$I17768,nEVAL,"OR")=0))</f>
      </c>
      <c r="I17768">
        <f>IF(DATOS!$I17768="","",IFERROR(VLOOKUP(DATOS!$I17768,CONFIG_ASIGNATURAS!$B$2:$J$91,9,FALSE()),""))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IF(DATOS!$A17769="",0,IF(CONFIG_METADATA!$B$4&lt;&gt;"OR+EX",--(DATOS!$G17769=CONFIG_METADATA!$B$4),IF(DATOS!$G17769="EX",1,IF(DATOS!$G17769="OR",--(COUNTIFS(nNIA,DATOS!$A17769,nCURSO,DATOS!$D17769,nESPEC,DATOS!$E17769,nASIG,DATOS!$I17769,nEVAL,"EX")=0),0))))</f>
      </c>
      <c r="H17769">
        <f>IF(DATOS!$G17769&lt;&gt;"EX",0,--(COUNTIFS(nNIA,DATOS!$A17769,nCURSO,DATOS!$D17769,nESPEC,DATOS!$E17769,nASIG,DATOS!$I17769,nEVAL,"OR")=0))</f>
      </c>
      <c r="I17769">
        <f>IF(DATOS!$I17769="","",IFERROR(VLOOKUP(DATOS!$I17769,CONFIG_ASIGNATURAS!$B$2:$J$91,9,FALSE()),""))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IF(DATOS!$A17770="",0,IF(CONFIG_METADATA!$B$4&lt;&gt;"OR+EX",--(DATOS!$G17770=CONFIG_METADATA!$B$4),IF(DATOS!$G17770="EX",1,IF(DATOS!$G17770="OR",--(COUNTIFS(nNIA,DATOS!$A17770,nCURSO,DATOS!$D17770,nESPEC,DATOS!$E17770,nASIG,DATOS!$I17770,nEVAL,"EX")=0),0))))</f>
      </c>
      <c r="H17770">
        <f>IF(DATOS!$G17770&lt;&gt;"EX",0,--(COUNTIFS(nNIA,DATOS!$A17770,nCURSO,DATOS!$D17770,nESPEC,DATOS!$E17770,nASIG,DATOS!$I17770,nEVAL,"OR")=0))</f>
      </c>
      <c r="I17770">
        <f>IF(DATOS!$I17770="","",IFERROR(VLOOKUP(DATOS!$I17770,CONFIG_ASIGNATURAS!$B$2:$J$91,9,FALSE()),""))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IF(DATOS!$A17771="",0,IF(CONFIG_METADATA!$B$4&lt;&gt;"OR+EX",--(DATOS!$G17771=CONFIG_METADATA!$B$4),IF(DATOS!$G17771="EX",1,IF(DATOS!$G17771="OR",--(COUNTIFS(nNIA,DATOS!$A17771,nCURSO,DATOS!$D17771,nESPEC,DATOS!$E17771,nASIG,DATOS!$I17771,nEVAL,"EX")=0),0))))</f>
      </c>
      <c r="H17771">
        <f>IF(DATOS!$G17771&lt;&gt;"EX",0,--(COUNTIFS(nNIA,DATOS!$A17771,nCURSO,DATOS!$D17771,nESPEC,DATOS!$E17771,nASIG,DATOS!$I17771,nEVAL,"OR")=0))</f>
      </c>
      <c r="I17771">
        <f>IF(DATOS!$I17771="","",IFERROR(VLOOKUP(DATOS!$I17771,CONFIG_ASIGNATURAS!$B$2:$J$91,9,FALSE()),""))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IF(DATOS!$A17772="",0,IF(CONFIG_METADATA!$B$4&lt;&gt;"OR+EX",--(DATOS!$G17772=CONFIG_METADATA!$B$4),IF(DATOS!$G17772="EX",1,IF(DATOS!$G17772="OR",--(COUNTIFS(nNIA,DATOS!$A17772,nCURSO,DATOS!$D17772,nESPEC,DATOS!$E17772,nASIG,DATOS!$I17772,nEVAL,"EX")=0),0))))</f>
      </c>
      <c r="H17772">
        <f>IF(DATOS!$G17772&lt;&gt;"EX",0,--(COUNTIFS(nNIA,DATOS!$A17772,nCURSO,DATOS!$D17772,nESPEC,DATOS!$E17772,nASIG,DATOS!$I17772,nEVAL,"OR")=0))</f>
      </c>
      <c r="I17772">
        <f>IF(DATOS!$I17772="","",IFERROR(VLOOKUP(DATOS!$I17772,CONFIG_ASIGNATURAS!$B$2:$J$91,9,FALSE()),""))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IF(DATOS!$A17773="",0,IF(CONFIG_METADATA!$B$4&lt;&gt;"OR+EX",--(DATOS!$G17773=CONFIG_METADATA!$B$4),IF(DATOS!$G17773="EX",1,IF(DATOS!$G17773="OR",--(COUNTIFS(nNIA,DATOS!$A17773,nCURSO,DATOS!$D17773,nESPEC,DATOS!$E17773,nASIG,DATOS!$I17773,nEVAL,"EX")=0),0))))</f>
      </c>
      <c r="H17773">
        <f>IF(DATOS!$G17773&lt;&gt;"EX",0,--(COUNTIFS(nNIA,DATOS!$A17773,nCURSO,DATOS!$D17773,nESPEC,DATOS!$E17773,nASIG,DATOS!$I17773,nEVAL,"OR")=0))</f>
      </c>
      <c r="I17773">
        <f>IF(DATOS!$I17773="","",IFERROR(VLOOKUP(DATOS!$I17773,CONFIG_ASIGNATURAS!$B$2:$J$91,9,FALSE()),""))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IF(DATOS!$A17774="",0,IF(CONFIG_METADATA!$B$4&lt;&gt;"OR+EX",--(DATOS!$G17774=CONFIG_METADATA!$B$4),IF(DATOS!$G17774="EX",1,IF(DATOS!$G17774="OR",--(COUNTIFS(nNIA,DATOS!$A17774,nCURSO,DATOS!$D17774,nESPEC,DATOS!$E17774,nASIG,DATOS!$I17774,nEVAL,"EX")=0),0))))</f>
      </c>
      <c r="H17774">
        <f>IF(DATOS!$G17774&lt;&gt;"EX",0,--(COUNTIFS(nNIA,DATOS!$A17774,nCURSO,DATOS!$D17774,nESPEC,DATOS!$E17774,nASIG,DATOS!$I17774,nEVAL,"OR")=0))</f>
      </c>
      <c r="I17774">
        <f>IF(DATOS!$I17774="","",IFERROR(VLOOKUP(DATOS!$I17774,CONFIG_ASIGNATURAS!$B$2:$J$91,9,FALSE()),""))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IF(DATOS!$A17775="",0,IF(CONFIG_METADATA!$B$4&lt;&gt;"OR+EX",--(DATOS!$G17775=CONFIG_METADATA!$B$4),IF(DATOS!$G17775="EX",1,IF(DATOS!$G17775="OR",--(COUNTIFS(nNIA,DATOS!$A17775,nCURSO,DATOS!$D17775,nESPEC,DATOS!$E17775,nASIG,DATOS!$I17775,nEVAL,"EX")=0),0))))</f>
      </c>
      <c r="H17775">
        <f>IF(DATOS!$G17775&lt;&gt;"EX",0,--(COUNTIFS(nNIA,DATOS!$A17775,nCURSO,DATOS!$D17775,nESPEC,DATOS!$E17775,nASIG,DATOS!$I17775,nEVAL,"OR")=0))</f>
      </c>
      <c r="I17775">
        <f>IF(DATOS!$I17775="","",IFERROR(VLOOKUP(DATOS!$I17775,CONFIG_ASIGNATURAS!$B$2:$J$91,9,FALSE()),""))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IF(DATOS!$A17776="",0,IF(CONFIG_METADATA!$B$4&lt;&gt;"OR+EX",--(DATOS!$G17776=CONFIG_METADATA!$B$4),IF(DATOS!$G17776="EX",1,IF(DATOS!$G17776="OR",--(COUNTIFS(nNIA,DATOS!$A17776,nCURSO,DATOS!$D17776,nESPEC,DATOS!$E17776,nASIG,DATOS!$I17776,nEVAL,"EX")=0),0))))</f>
      </c>
      <c r="H17776">
        <f>IF(DATOS!$G17776&lt;&gt;"EX",0,--(COUNTIFS(nNIA,DATOS!$A17776,nCURSO,DATOS!$D17776,nESPEC,DATOS!$E17776,nASIG,DATOS!$I17776,nEVAL,"OR")=0))</f>
      </c>
      <c r="I17776">
        <f>IF(DATOS!$I17776="","",IFERROR(VLOOKUP(DATOS!$I17776,CONFIG_ASIGNATURAS!$B$2:$J$91,9,FALSE()),""))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IF(DATOS!$A17777="",0,IF(CONFIG_METADATA!$B$4&lt;&gt;"OR+EX",--(DATOS!$G17777=CONFIG_METADATA!$B$4),IF(DATOS!$G17777="EX",1,IF(DATOS!$G17777="OR",--(COUNTIFS(nNIA,DATOS!$A17777,nCURSO,DATOS!$D17777,nESPEC,DATOS!$E17777,nASIG,DATOS!$I17777,nEVAL,"EX")=0),0))))</f>
      </c>
      <c r="H17777">
        <f>IF(DATOS!$G17777&lt;&gt;"EX",0,--(COUNTIFS(nNIA,DATOS!$A17777,nCURSO,DATOS!$D17777,nESPEC,DATOS!$E17777,nASIG,DATOS!$I17777,nEVAL,"OR")=0))</f>
      </c>
      <c r="I17777">
        <f>IF(DATOS!$I17777="","",IFERROR(VLOOKUP(DATOS!$I17777,CONFIG_ASIGNATURAS!$B$2:$J$91,9,FALSE()),""))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IF(DATOS!$A17778="",0,IF(CONFIG_METADATA!$B$4&lt;&gt;"OR+EX",--(DATOS!$G17778=CONFIG_METADATA!$B$4),IF(DATOS!$G17778="EX",1,IF(DATOS!$G17778="OR",--(COUNTIFS(nNIA,DATOS!$A17778,nCURSO,DATOS!$D17778,nESPEC,DATOS!$E17778,nASIG,DATOS!$I17778,nEVAL,"EX")=0),0))))</f>
      </c>
      <c r="H17778">
        <f>IF(DATOS!$G17778&lt;&gt;"EX",0,--(COUNTIFS(nNIA,DATOS!$A17778,nCURSO,DATOS!$D17778,nESPEC,DATOS!$E17778,nASIG,DATOS!$I17778,nEVAL,"OR")=0))</f>
      </c>
      <c r="I17778">
        <f>IF(DATOS!$I17778="","",IFERROR(VLOOKUP(DATOS!$I17778,CONFIG_ASIGNATURAS!$B$2:$J$91,9,FALSE()),""))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IF(DATOS!$A17779="",0,IF(CONFIG_METADATA!$B$4&lt;&gt;"OR+EX",--(DATOS!$G17779=CONFIG_METADATA!$B$4),IF(DATOS!$G17779="EX",1,IF(DATOS!$G17779="OR",--(COUNTIFS(nNIA,DATOS!$A17779,nCURSO,DATOS!$D17779,nESPEC,DATOS!$E17779,nASIG,DATOS!$I17779,nEVAL,"EX")=0),0))))</f>
      </c>
      <c r="H17779">
        <f>IF(DATOS!$G17779&lt;&gt;"EX",0,--(COUNTIFS(nNIA,DATOS!$A17779,nCURSO,DATOS!$D17779,nESPEC,DATOS!$E17779,nASIG,DATOS!$I17779,nEVAL,"OR")=0))</f>
      </c>
      <c r="I17779">
        <f>IF(DATOS!$I17779="","",IFERROR(VLOOKUP(DATOS!$I17779,CONFIG_ASIGNATURAS!$B$2:$J$91,9,FALSE()),""))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IF(DATOS!$A17780="",0,IF(CONFIG_METADATA!$B$4&lt;&gt;"OR+EX",--(DATOS!$G17780=CONFIG_METADATA!$B$4),IF(DATOS!$G17780="EX",1,IF(DATOS!$G17780="OR",--(COUNTIFS(nNIA,DATOS!$A17780,nCURSO,DATOS!$D17780,nESPEC,DATOS!$E17780,nASIG,DATOS!$I17780,nEVAL,"EX")=0),0))))</f>
      </c>
      <c r="H17780">
        <f>IF(DATOS!$G17780&lt;&gt;"EX",0,--(COUNTIFS(nNIA,DATOS!$A17780,nCURSO,DATOS!$D17780,nESPEC,DATOS!$E17780,nASIG,DATOS!$I17780,nEVAL,"OR")=0))</f>
      </c>
      <c r="I17780">
        <f>IF(DATOS!$I17780="","",IFERROR(VLOOKUP(DATOS!$I17780,CONFIG_ASIGNATURAS!$B$2:$J$91,9,FALSE()),""))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IF(DATOS!$A17781="",0,IF(CONFIG_METADATA!$B$4&lt;&gt;"OR+EX",--(DATOS!$G17781=CONFIG_METADATA!$B$4),IF(DATOS!$G17781="EX",1,IF(DATOS!$G17781="OR",--(COUNTIFS(nNIA,DATOS!$A17781,nCURSO,DATOS!$D17781,nESPEC,DATOS!$E17781,nASIG,DATOS!$I17781,nEVAL,"EX")=0),0))))</f>
      </c>
      <c r="H17781">
        <f>IF(DATOS!$G17781&lt;&gt;"EX",0,--(COUNTIFS(nNIA,DATOS!$A17781,nCURSO,DATOS!$D17781,nESPEC,DATOS!$E17781,nASIG,DATOS!$I17781,nEVAL,"OR")=0))</f>
      </c>
      <c r="I17781">
        <f>IF(DATOS!$I17781="","",IFERROR(VLOOKUP(DATOS!$I17781,CONFIG_ASIGNATURAS!$B$2:$J$91,9,FALSE()),""))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IF(DATOS!$A17782="",0,IF(CONFIG_METADATA!$B$4&lt;&gt;"OR+EX",--(DATOS!$G17782=CONFIG_METADATA!$B$4),IF(DATOS!$G17782="EX",1,IF(DATOS!$G17782="OR",--(COUNTIFS(nNIA,DATOS!$A17782,nCURSO,DATOS!$D17782,nESPEC,DATOS!$E17782,nASIG,DATOS!$I17782,nEVAL,"EX")=0),0))))</f>
      </c>
      <c r="H17782">
        <f>IF(DATOS!$G17782&lt;&gt;"EX",0,--(COUNTIFS(nNIA,DATOS!$A17782,nCURSO,DATOS!$D17782,nESPEC,DATOS!$E17782,nASIG,DATOS!$I17782,nEVAL,"OR")=0))</f>
      </c>
      <c r="I17782">
        <f>IF(DATOS!$I17782="","",IFERROR(VLOOKUP(DATOS!$I17782,CONFIG_ASIGNATURAS!$B$2:$J$91,9,FALSE()),""))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IF(DATOS!$A17783="",0,IF(CONFIG_METADATA!$B$4&lt;&gt;"OR+EX",--(DATOS!$G17783=CONFIG_METADATA!$B$4),IF(DATOS!$G17783="EX",1,IF(DATOS!$G17783="OR",--(COUNTIFS(nNIA,DATOS!$A17783,nCURSO,DATOS!$D17783,nESPEC,DATOS!$E17783,nASIG,DATOS!$I17783,nEVAL,"EX")=0),0))))</f>
      </c>
      <c r="H17783">
        <f>IF(DATOS!$G17783&lt;&gt;"EX",0,--(COUNTIFS(nNIA,DATOS!$A17783,nCURSO,DATOS!$D17783,nESPEC,DATOS!$E17783,nASIG,DATOS!$I17783,nEVAL,"OR")=0))</f>
      </c>
      <c r="I17783">
        <f>IF(DATOS!$I17783="","",IFERROR(VLOOKUP(DATOS!$I17783,CONFIG_ASIGNATURAS!$B$2:$J$91,9,FALSE()),""))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IF(DATOS!$A17784="",0,IF(CONFIG_METADATA!$B$4&lt;&gt;"OR+EX",--(DATOS!$G17784=CONFIG_METADATA!$B$4),IF(DATOS!$G17784="EX",1,IF(DATOS!$G17784="OR",--(COUNTIFS(nNIA,DATOS!$A17784,nCURSO,DATOS!$D17784,nESPEC,DATOS!$E17784,nASIG,DATOS!$I17784,nEVAL,"EX")=0),0))))</f>
      </c>
      <c r="H17784">
        <f>IF(DATOS!$G17784&lt;&gt;"EX",0,--(COUNTIFS(nNIA,DATOS!$A17784,nCURSO,DATOS!$D17784,nESPEC,DATOS!$E17784,nASIG,DATOS!$I17784,nEVAL,"OR")=0))</f>
      </c>
      <c r="I17784">
        <f>IF(DATOS!$I17784="","",IFERROR(VLOOKUP(DATOS!$I17784,CONFIG_ASIGNATURAS!$B$2:$J$91,9,FALSE()),""))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IF(DATOS!$A17785="",0,IF(CONFIG_METADATA!$B$4&lt;&gt;"OR+EX",--(DATOS!$G17785=CONFIG_METADATA!$B$4),IF(DATOS!$G17785="EX",1,IF(DATOS!$G17785="OR",--(COUNTIFS(nNIA,DATOS!$A17785,nCURSO,DATOS!$D17785,nESPEC,DATOS!$E17785,nASIG,DATOS!$I17785,nEVAL,"EX")=0),0))))</f>
      </c>
      <c r="H17785">
        <f>IF(DATOS!$G17785&lt;&gt;"EX",0,--(COUNTIFS(nNIA,DATOS!$A17785,nCURSO,DATOS!$D17785,nESPEC,DATOS!$E17785,nASIG,DATOS!$I17785,nEVAL,"OR")=0))</f>
      </c>
      <c r="I17785">
        <f>IF(DATOS!$I17785="","",IFERROR(VLOOKUP(DATOS!$I17785,CONFIG_ASIGNATURAS!$B$2:$J$91,9,FALSE()),""))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IF(DATOS!$A17786="",0,IF(CONFIG_METADATA!$B$4&lt;&gt;"OR+EX",--(DATOS!$G17786=CONFIG_METADATA!$B$4),IF(DATOS!$G17786="EX",1,IF(DATOS!$G17786="OR",--(COUNTIFS(nNIA,DATOS!$A17786,nCURSO,DATOS!$D17786,nESPEC,DATOS!$E17786,nASIG,DATOS!$I17786,nEVAL,"EX")=0),0))))</f>
      </c>
      <c r="H17786">
        <f>IF(DATOS!$G17786&lt;&gt;"EX",0,--(COUNTIFS(nNIA,DATOS!$A17786,nCURSO,DATOS!$D17786,nESPEC,DATOS!$E17786,nASIG,DATOS!$I17786,nEVAL,"OR")=0))</f>
      </c>
      <c r="I17786">
        <f>IF(DATOS!$I17786="","",IFERROR(VLOOKUP(DATOS!$I17786,CONFIG_ASIGNATURAS!$B$2:$J$91,9,FALSE()),""))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IF(DATOS!$A17787="",0,IF(CONFIG_METADATA!$B$4&lt;&gt;"OR+EX",--(DATOS!$G17787=CONFIG_METADATA!$B$4),IF(DATOS!$G17787="EX",1,IF(DATOS!$G17787="OR",--(COUNTIFS(nNIA,DATOS!$A17787,nCURSO,DATOS!$D17787,nESPEC,DATOS!$E17787,nASIG,DATOS!$I17787,nEVAL,"EX")=0),0))))</f>
      </c>
      <c r="H17787">
        <f>IF(DATOS!$G17787&lt;&gt;"EX",0,--(COUNTIFS(nNIA,DATOS!$A17787,nCURSO,DATOS!$D17787,nESPEC,DATOS!$E17787,nASIG,DATOS!$I17787,nEVAL,"OR")=0))</f>
      </c>
      <c r="I17787">
        <f>IF(DATOS!$I17787="","",IFERROR(VLOOKUP(DATOS!$I17787,CONFIG_ASIGNATURAS!$B$2:$J$91,9,FALSE()),""))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IF(DATOS!$A17788="",0,IF(CONFIG_METADATA!$B$4&lt;&gt;"OR+EX",--(DATOS!$G17788=CONFIG_METADATA!$B$4),IF(DATOS!$G17788="EX",1,IF(DATOS!$G17788="OR",--(COUNTIFS(nNIA,DATOS!$A17788,nCURSO,DATOS!$D17788,nESPEC,DATOS!$E17788,nASIG,DATOS!$I17788,nEVAL,"EX")=0),0))))</f>
      </c>
      <c r="H17788">
        <f>IF(DATOS!$G17788&lt;&gt;"EX",0,--(COUNTIFS(nNIA,DATOS!$A17788,nCURSO,DATOS!$D17788,nESPEC,DATOS!$E17788,nASIG,DATOS!$I17788,nEVAL,"OR")=0))</f>
      </c>
      <c r="I17788">
        <f>IF(DATOS!$I17788="","",IFERROR(VLOOKUP(DATOS!$I17788,CONFIG_ASIGNATURAS!$B$2:$J$91,9,FALSE()),""))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IF(DATOS!$A17789="",0,IF(CONFIG_METADATA!$B$4&lt;&gt;"OR+EX",--(DATOS!$G17789=CONFIG_METADATA!$B$4),IF(DATOS!$G17789="EX",1,IF(DATOS!$G17789="OR",--(COUNTIFS(nNIA,DATOS!$A17789,nCURSO,DATOS!$D17789,nESPEC,DATOS!$E17789,nASIG,DATOS!$I17789,nEVAL,"EX")=0),0))))</f>
      </c>
      <c r="H17789">
        <f>IF(DATOS!$G17789&lt;&gt;"EX",0,--(COUNTIFS(nNIA,DATOS!$A17789,nCURSO,DATOS!$D17789,nESPEC,DATOS!$E17789,nASIG,DATOS!$I17789,nEVAL,"OR")=0))</f>
      </c>
      <c r="I17789">
        <f>IF(DATOS!$I17789="","",IFERROR(VLOOKUP(DATOS!$I17789,CONFIG_ASIGNATURAS!$B$2:$J$91,9,FALSE()),""))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IF(DATOS!$A17790="",0,IF(CONFIG_METADATA!$B$4&lt;&gt;"OR+EX",--(DATOS!$G17790=CONFIG_METADATA!$B$4),IF(DATOS!$G17790="EX",1,IF(DATOS!$G17790="OR",--(COUNTIFS(nNIA,DATOS!$A17790,nCURSO,DATOS!$D17790,nESPEC,DATOS!$E17790,nASIG,DATOS!$I17790,nEVAL,"EX")=0),0))))</f>
      </c>
      <c r="H17790">
        <f>IF(DATOS!$G17790&lt;&gt;"EX",0,--(COUNTIFS(nNIA,DATOS!$A17790,nCURSO,DATOS!$D17790,nESPEC,DATOS!$E17790,nASIG,DATOS!$I17790,nEVAL,"OR")=0))</f>
      </c>
      <c r="I17790">
        <f>IF(DATOS!$I17790="","",IFERROR(VLOOKUP(DATOS!$I17790,CONFIG_ASIGNATURAS!$B$2:$J$91,9,FALSE()),""))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IF(DATOS!$A17791="",0,IF(CONFIG_METADATA!$B$4&lt;&gt;"OR+EX",--(DATOS!$G17791=CONFIG_METADATA!$B$4),IF(DATOS!$G17791="EX",1,IF(DATOS!$G17791="OR",--(COUNTIFS(nNIA,DATOS!$A17791,nCURSO,DATOS!$D17791,nESPEC,DATOS!$E17791,nASIG,DATOS!$I17791,nEVAL,"EX")=0),0))))</f>
      </c>
      <c r="H17791">
        <f>IF(DATOS!$G17791&lt;&gt;"EX",0,--(COUNTIFS(nNIA,DATOS!$A17791,nCURSO,DATOS!$D17791,nESPEC,DATOS!$E17791,nASIG,DATOS!$I17791,nEVAL,"OR")=0))</f>
      </c>
      <c r="I17791">
        <f>IF(DATOS!$I17791="","",IFERROR(VLOOKUP(DATOS!$I17791,CONFIG_ASIGNATURAS!$B$2:$J$91,9,FALSE()),""))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IF(DATOS!$A17792="",0,IF(CONFIG_METADATA!$B$4&lt;&gt;"OR+EX",--(DATOS!$G17792=CONFIG_METADATA!$B$4),IF(DATOS!$G17792="EX",1,IF(DATOS!$G17792="OR",--(COUNTIFS(nNIA,DATOS!$A17792,nCURSO,DATOS!$D17792,nESPEC,DATOS!$E17792,nASIG,DATOS!$I17792,nEVAL,"EX")=0),0))))</f>
      </c>
      <c r="H17792">
        <f>IF(DATOS!$G17792&lt;&gt;"EX",0,--(COUNTIFS(nNIA,DATOS!$A17792,nCURSO,DATOS!$D17792,nESPEC,DATOS!$E17792,nASIG,DATOS!$I17792,nEVAL,"OR")=0))</f>
      </c>
      <c r="I17792">
        <f>IF(DATOS!$I17792="","",IFERROR(VLOOKUP(DATOS!$I17792,CONFIG_ASIGNATURAS!$B$2:$J$91,9,FALSE()),""))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IF(DATOS!$A17793="",0,IF(CONFIG_METADATA!$B$4&lt;&gt;"OR+EX",--(DATOS!$G17793=CONFIG_METADATA!$B$4),IF(DATOS!$G17793="EX",1,IF(DATOS!$G17793="OR",--(COUNTIFS(nNIA,DATOS!$A17793,nCURSO,DATOS!$D17793,nESPEC,DATOS!$E17793,nASIG,DATOS!$I17793,nEVAL,"EX")=0),0))))</f>
      </c>
      <c r="H17793">
        <f>IF(DATOS!$G17793&lt;&gt;"EX",0,--(COUNTIFS(nNIA,DATOS!$A17793,nCURSO,DATOS!$D17793,nESPEC,DATOS!$E17793,nASIG,DATOS!$I17793,nEVAL,"OR")=0))</f>
      </c>
      <c r="I17793">
        <f>IF(DATOS!$I17793="","",IFERROR(VLOOKUP(DATOS!$I17793,CONFIG_ASIGNATURAS!$B$2:$J$91,9,FALSE()),""))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IF(DATOS!$A17794="",0,IF(CONFIG_METADATA!$B$4&lt;&gt;"OR+EX",--(DATOS!$G17794=CONFIG_METADATA!$B$4),IF(DATOS!$G17794="EX",1,IF(DATOS!$G17794="OR",--(COUNTIFS(nNIA,DATOS!$A17794,nCURSO,DATOS!$D17794,nESPEC,DATOS!$E17794,nASIG,DATOS!$I17794,nEVAL,"EX")=0),0))))</f>
      </c>
      <c r="H17794">
        <f>IF(DATOS!$G17794&lt;&gt;"EX",0,--(COUNTIFS(nNIA,DATOS!$A17794,nCURSO,DATOS!$D17794,nESPEC,DATOS!$E17794,nASIG,DATOS!$I17794,nEVAL,"OR")=0))</f>
      </c>
      <c r="I17794">
        <f>IF(DATOS!$I17794="","",IFERROR(VLOOKUP(DATOS!$I17794,CONFIG_ASIGNATURAS!$B$2:$J$91,9,FALSE()),""))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IF(DATOS!$A17795="",0,IF(CONFIG_METADATA!$B$4&lt;&gt;"OR+EX",--(DATOS!$G17795=CONFIG_METADATA!$B$4),IF(DATOS!$G17795="EX",1,IF(DATOS!$G17795="OR",--(COUNTIFS(nNIA,DATOS!$A17795,nCURSO,DATOS!$D17795,nESPEC,DATOS!$E17795,nASIG,DATOS!$I17795,nEVAL,"EX")=0),0))))</f>
      </c>
      <c r="H17795">
        <f>IF(DATOS!$G17795&lt;&gt;"EX",0,--(COUNTIFS(nNIA,DATOS!$A17795,nCURSO,DATOS!$D17795,nESPEC,DATOS!$E17795,nASIG,DATOS!$I17795,nEVAL,"OR")=0))</f>
      </c>
      <c r="I17795">
        <f>IF(DATOS!$I17795="","",IFERROR(VLOOKUP(DATOS!$I17795,CONFIG_ASIGNATURAS!$B$2:$J$91,9,FALSE()),""))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IF(DATOS!$A17796="",0,IF(CONFIG_METADATA!$B$4&lt;&gt;"OR+EX",--(DATOS!$G17796=CONFIG_METADATA!$B$4),IF(DATOS!$G17796="EX",1,IF(DATOS!$G17796="OR",--(COUNTIFS(nNIA,DATOS!$A17796,nCURSO,DATOS!$D17796,nESPEC,DATOS!$E17796,nASIG,DATOS!$I17796,nEVAL,"EX")=0),0))))</f>
      </c>
      <c r="H17796">
        <f>IF(DATOS!$G17796&lt;&gt;"EX",0,--(COUNTIFS(nNIA,DATOS!$A17796,nCURSO,DATOS!$D17796,nESPEC,DATOS!$E17796,nASIG,DATOS!$I17796,nEVAL,"OR")=0))</f>
      </c>
      <c r="I17796">
        <f>IF(DATOS!$I17796="","",IFERROR(VLOOKUP(DATOS!$I17796,CONFIG_ASIGNATURAS!$B$2:$J$91,9,FALSE()),""))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IF(DATOS!$A17797="",0,IF(CONFIG_METADATA!$B$4&lt;&gt;"OR+EX",--(DATOS!$G17797=CONFIG_METADATA!$B$4),IF(DATOS!$G17797="EX",1,IF(DATOS!$G17797="OR",--(COUNTIFS(nNIA,DATOS!$A17797,nCURSO,DATOS!$D17797,nESPEC,DATOS!$E17797,nASIG,DATOS!$I17797,nEVAL,"EX")=0),0))))</f>
      </c>
      <c r="H17797">
        <f>IF(DATOS!$G17797&lt;&gt;"EX",0,--(COUNTIFS(nNIA,DATOS!$A17797,nCURSO,DATOS!$D17797,nESPEC,DATOS!$E17797,nASIG,DATOS!$I17797,nEVAL,"OR")=0))</f>
      </c>
      <c r="I17797">
        <f>IF(DATOS!$I17797="","",IFERROR(VLOOKUP(DATOS!$I17797,CONFIG_ASIGNATURAS!$B$2:$J$91,9,FALSE()),""))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IF(DATOS!$A17798="",0,IF(CONFIG_METADATA!$B$4&lt;&gt;"OR+EX",--(DATOS!$G17798=CONFIG_METADATA!$B$4),IF(DATOS!$G17798="EX",1,IF(DATOS!$G17798="OR",--(COUNTIFS(nNIA,DATOS!$A17798,nCURSO,DATOS!$D17798,nESPEC,DATOS!$E17798,nASIG,DATOS!$I17798,nEVAL,"EX")=0),0))))</f>
      </c>
      <c r="H17798">
        <f>IF(DATOS!$G17798&lt;&gt;"EX",0,--(COUNTIFS(nNIA,DATOS!$A17798,nCURSO,DATOS!$D17798,nESPEC,DATOS!$E17798,nASIG,DATOS!$I17798,nEVAL,"OR")=0))</f>
      </c>
      <c r="I17798">
        <f>IF(DATOS!$I17798="","",IFERROR(VLOOKUP(DATOS!$I17798,CONFIG_ASIGNATURAS!$B$2:$J$91,9,FALSE()),""))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IF(DATOS!$A17799="",0,IF(CONFIG_METADATA!$B$4&lt;&gt;"OR+EX",--(DATOS!$G17799=CONFIG_METADATA!$B$4),IF(DATOS!$G17799="EX",1,IF(DATOS!$G17799="OR",--(COUNTIFS(nNIA,DATOS!$A17799,nCURSO,DATOS!$D17799,nESPEC,DATOS!$E17799,nASIG,DATOS!$I17799,nEVAL,"EX")=0),0))))</f>
      </c>
      <c r="H17799">
        <f>IF(DATOS!$G17799&lt;&gt;"EX",0,--(COUNTIFS(nNIA,DATOS!$A17799,nCURSO,DATOS!$D17799,nESPEC,DATOS!$E17799,nASIG,DATOS!$I17799,nEVAL,"OR")=0))</f>
      </c>
      <c r="I17799">
        <f>IF(DATOS!$I17799="","",IFERROR(VLOOKUP(DATOS!$I17799,CONFIG_ASIGNATURAS!$B$2:$J$91,9,FALSE()),""))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IF(DATOS!$A17800="",0,IF(CONFIG_METADATA!$B$4&lt;&gt;"OR+EX",--(DATOS!$G17800=CONFIG_METADATA!$B$4),IF(DATOS!$G17800="EX",1,IF(DATOS!$G17800="OR",--(COUNTIFS(nNIA,DATOS!$A17800,nCURSO,DATOS!$D17800,nESPEC,DATOS!$E17800,nASIG,DATOS!$I17800,nEVAL,"EX")=0),0))))</f>
      </c>
      <c r="H17800">
        <f>IF(DATOS!$G17800&lt;&gt;"EX",0,--(COUNTIFS(nNIA,DATOS!$A17800,nCURSO,DATOS!$D17800,nESPEC,DATOS!$E17800,nASIG,DATOS!$I17800,nEVAL,"OR")=0))</f>
      </c>
      <c r="I17800">
        <f>IF(DATOS!$I17800="","",IFERROR(VLOOKUP(DATOS!$I17800,CONFIG_ASIGNATURAS!$B$2:$J$91,9,FALSE()),""))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IF(DATOS!$A17801="",0,IF(CONFIG_METADATA!$B$4&lt;&gt;"OR+EX",--(DATOS!$G17801=CONFIG_METADATA!$B$4),IF(DATOS!$G17801="EX",1,IF(DATOS!$G17801="OR",--(COUNTIFS(nNIA,DATOS!$A17801,nCURSO,DATOS!$D17801,nESPEC,DATOS!$E17801,nASIG,DATOS!$I17801,nEVAL,"EX")=0),0))))</f>
      </c>
      <c r="H17801">
        <f>IF(DATOS!$G17801&lt;&gt;"EX",0,--(COUNTIFS(nNIA,DATOS!$A17801,nCURSO,DATOS!$D17801,nESPEC,DATOS!$E17801,nASIG,DATOS!$I17801,nEVAL,"OR")=0))</f>
      </c>
      <c r="I17801">
        <f>IF(DATOS!$I17801="","",IFERROR(VLOOKUP(DATOS!$I17801,CONFIG_ASIGNATURAS!$B$2:$J$91,9,FALSE()),""))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IF(DATOS!$A17802="",0,IF(CONFIG_METADATA!$B$4&lt;&gt;"OR+EX",--(DATOS!$G17802=CONFIG_METADATA!$B$4),IF(DATOS!$G17802="EX",1,IF(DATOS!$G17802="OR",--(COUNTIFS(nNIA,DATOS!$A17802,nCURSO,DATOS!$D17802,nESPEC,DATOS!$E17802,nASIG,DATOS!$I17802,nEVAL,"EX")=0),0))))</f>
      </c>
      <c r="H17802">
        <f>IF(DATOS!$G17802&lt;&gt;"EX",0,--(COUNTIFS(nNIA,DATOS!$A17802,nCURSO,DATOS!$D17802,nESPEC,DATOS!$E17802,nASIG,DATOS!$I17802,nEVAL,"OR")=0))</f>
      </c>
      <c r="I17802">
        <f>IF(DATOS!$I17802="","",IFERROR(VLOOKUP(DATOS!$I17802,CONFIG_ASIGNATURAS!$B$2:$J$91,9,FALSE()),""))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IF(DATOS!$A17803="",0,IF(CONFIG_METADATA!$B$4&lt;&gt;"OR+EX",--(DATOS!$G17803=CONFIG_METADATA!$B$4),IF(DATOS!$G17803="EX",1,IF(DATOS!$G17803="OR",--(COUNTIFS(nNIA,DATOS!$A17803,nCURSO,DATOS!$D17803,nESPEC,DATOS!$E17803,nASIG,DATOS!$I17803,nEVAL,"EX")=0),0))))</f>
      </c>
      <c r="H17803">
        <f>IF(DATOS!$G17803&lt;&gt;"EX",0,--(COUNTIFS(nNIA,DATOS!$A17803,nCURSO,DATOS!$D17803,nESPEC,DATOS!$E17803,nASIG,DATOS!$I17803,nEVAL,"OR")=0))</f>
      </c>
      <c r="I17803">
        <f>IF(DATOS!$I17803="","",IFERROR(VLOOKUP(DATOS!$I17803,CONFIG_ASIGNATURAS!$B$2:$J$91,9,FALSE()),""))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IF(DATOS!$A17804="",0,IF(CONFIG_METADATA!$B$4&lt;&gt;"OR+EX",--(DATOS!$G17804=CONFIG_METADATA!$B$4),IF(DATOS!$G17804="EX",1,IF(DATOS!$G17804="OR",--(COUNTIFS(nNIA,DATOS!$A17804,nCURSO,DATOS!$D17804,nESPEC,DATOS!$E17804,nASIG,DATOS!$I17804,nEVAL,"EX")=0),0))))</f>
      </c>
      <c r="H17804">
        <f>IF(DATOS!$G17804&lt;&gt;"EX",0,--(COUNTIFS(nNIA,DATOS!$A17804,nCURSO,DATOS!$D17804,nESPEC,DATOS!$E17804,nASIG,DATOS!$I17804,nEVAL,"OR")=0))</f>
      </c>
      <c r="I17804">
        <f>IF(DATOS!$I17804="","",IFERROR(VLOOKUP(DATOS!$I17804,CONFIG_ASIGNATURAS!$B$2:$J$91,9,FALSE()),""))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IF(DATOS!$A17805="",0,IF(CONFIG_METADATA!$B$4&lt;&gt;"OR+EX",--(DATOS!$G17805=CONFIG_METADATA!$B$4),IF(DATOS!$G17805="EX",1,IF(DATOS!$G17805="OR",--(COUNTIFS(nNIA,DATOS!$A17805,nCURSO,DATOS!$D17805,nESPEC,DATOS!$E17805,nASIG,DATOS!$I17805,nEVAL,"EX")=0),0))))</f>
      </c>
      <c r="H17805">
        <f>IF(DATOS!$G17805&lt;&gt;"EX",0,--(COUNTIFS(nNIA,DATOS!$A17805,nCURSO,DATOS!$D17805,nESPEC,DATOS!$E17805,nASIG,DATOS!$I17805,nEVAL,"OR")=0))</f>
      </c>
      <c r="I17805">
        <f>IF(DATOS!$I17805="","",IFERROR(VLOOKUP(DATOS!$I17805,CONFIG_ASIGNATURAS!$B$2:$J$91,9,FALSE()),""))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IF(DATOS!$A17806="",0,IF(CONFIG_METADATA!$B$4&lt;&gt;"OR+EX",--(DATOS!$G17806=CONFIG_METADATA!$B$4),IF(DATOS!$G17806="EX",1,IF(DATOS!$G17806="OR",--(COUNTIFS(nNIA,DATOS!$A17806,nCURSO,DATOS!$D17806,nESPEC,DATOS!$E17806,nASIG,DATOS!$I17806,nEVAL,"EX")=0),0))))</f>
      </c>
      <c r="H17806">
        <f>IF(DATOS!$G17806&lt;&gt;"EX",0,--(COUNTIFS(nNIA,DATOS!$A17806,nCURSO,DATOS!$D17806,nESPEC,DATOS!$E17806,nASIG,DATOS!$I17806,nEVAL,"OR")=0))</f>
      </c>
      <c r="I17806">
        <f>IF(DATOS!$I17806="","",IFERROR(VLOOKUP(DATOS!$I17806,CONFIG_ASIGNATURAS!$B$2:$J$91,9,FALSE()),""))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IF(DATOS!$A17807="",0,IF(CONFIG_METADATA!$B$4&lt;&gt;"OR+EX",--(DATOS!$G17807=CONFIG_METADATA!$B$4),IF(DATOS!$G17807="EX",1,IF(DATOS!$G17807="OR",--(COUNTIFS(nNIA,DATOS!$A17807,nCURSO,DATOS!$D17807,nESPEC,DATOS!$E17807,nASIG,DATOS!$I17807,nEVAL,"EX")=0),0))))</f>
      </c>
      <c r="H17807">
        <f>IF(DATOS!$G17807&lt;&gt;"EX",0,--(COUNTIFS(nNIA,DATOS!$A17807,nCURSO,DATOS!$D17807,nESPEC,DATOS!$E17807,nASIG,DATOS!$I17807,nEVAL,"OR")=0))</f>
      </c>
      <c r="I17807">
        <f>IF(DATOS!$I17807="","",IFERROR(VLOOKUP(DATOS!$I17807,CONFIG_ASIGNATURAS!$B$2:$J$91,9,FALSE()),""))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IF(DATOS!$A17808="",0,IF(CONFIG_METADATA!$B$4&lt;&gt;"OR+EX",--(DATOS!$G17808=CONFIG_METADATA!$B$4),IF(DATOS!$G17808="EX",1,IF(DATOS!$G17808="OR",--(COUNTIFS(nNIA,DATOS!$A17808,nCURSO,DATOS!$D17808,nESPEC,DATOS!$E17808,nASIG,DATOS!$I17808,nEVAL,"EX")=0),0))))</f>
      </c>
      <c r="H17808">
        <f>IF(DATOS!$G17808&lt;&gt;"EX",0,--(COUNTIFS(nNIA,DATOS!$A17808,nCURSO,DATOS!$D17808,nESPEC,DATOS!$E17808,nASIG,DATOS!$I17808,nEVAL,"OR")=0))</f>
      </c>
      <c r="I17808">
        <f>IF(DATOS!$I17808="","",IFERROR(VLOOKUP(DATOS!$I17808,CONFIG_ASIGNATURAS!$B$2:$J$91,9,FALSE()),""))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IF(DATOS!$A17809="",0,IF(CONFIG_METADATA!$B$4&lt;&gt;"OR+EX",--(DATOS!$G17809=CONFIG_METADATA!$B$4),IF(DATOS!$G17809="EX",1,IF(DATOS!$G17809="OR",--(COUNTIFS(nNIA,DATOS!$A17809,nCURSO,DATOS!$D17809,nESPEC,DATOS!$E17809,nASIG,DATOS!$I17809,nEVAL,"EX")=0),0))))</f>
      </c>
      <c r="H17809">
        <f>IF(DATOS!$G17809&lt;&gt;"EX",0,--(COUNTIFS(nNIA,DATOS!$A17809,nCURSO,DATOS!$D17809,nESPEC,DATOS!$E17809,nASIG,DATOS!$I17809,nEVAL,"OR")=0))</f>
      </c>
      <c r="I17809">
        <f>IF(DATOS!$I17809="","",IFERROR(VLOOKUP(DATOS!$I17809,CONFIG_ASIGNATURAS!$B$2:$J$91,9,FALSE()),""))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IF(DATOS!$A17810="",0,IF(CONFIG_METADATA!$B$4&lt;&gt;"OR+EX",--(DATOS!$G17810=CONFIG_METADATA!$B$4),IF(DATOS!$G17810="EX",1,IF(DATOS!$G17810="OR",--(COUNTIFS(nNIA,DATOS!$A17810,nCURSO,DATOS!$D17810,nESPEC,DATOS!$E17810,nASIG,DATOS!$I17810,nEVAL,"EX")=0),0))))</f>
      </c>
      <c r="H17810">
        <f>IF(DATOS!$G17810&lt;&gt;"EX",0,--(COUNTIFS(nNIA,DATOS!$A17810,nCURSO,DATOS!$D17810,nESPEC,DATOS!$E17810,nASIG,DATOS!$I17810,nEVAL,"OR")=0))</f>
      </c>
      <c r="I17810">
        <f>IF(DATOS!$I17810="","",IFERROR(VLOOKUP(DATOS!$I17810,CONFIG_ASIGNATURAS!$B$2:$J$91,9,FALSE()),""))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IF(DATOS!$A17811="",0,IF(CONFIG_METADATA!$B$4&lt;&gt;"OR+EX",--(DATOS!$G17811=CONFIG_METADATA!$B$4),IF(DATOS!$G17811="EX",1,IF(DATOS!$G17811="OR",--(COUNTIFS(nNIA,DATOS!$A17811,nCURSO,DATOS!$D17811,nESPEC,DATOS!$E17811,nASIG,DATOS!$I17811,nEVAL,"EX")=0),0))))</f>
      </c>
      <c r="H17811">
        <f>IF(DATOS!$G17811&lt;&gt;"EX",0,--(COUNTIFS(nNIA,DATOS!$A17811,nCURSO,DATOS!$D17811,nESPEC,DATOS!$E17811,nASIG,DATOS!$I17811,nEVAL,"OR")=0))</f>
      </c>
      <c r="I17811">
        <f>IF(DATOS!$I17811="","",IFERROR(VLOOKUP(DATOS!$I17811,CONFIG_ASIGNATURAS!$B$2:$J$91,9,FALSE()),""))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IF(DATOS!$A17812="",0,IF(CONFIG_METADATA!$B$4&lt;&gt;"OR+EX",--(DATOS!$G17812=CONFIG_METADATA!$B$4),IF(DATOS!$G17812="EX",1,IF(DATOS!$G17812="OR",--(COUNTIFS(nNIA,DATOS!$A17812,nCURSO,DATOS!$D17812,nESPEC,DATOS!$E17812,nASIG,DATOS!$I17812,nEVAL,"EX")=0),0))))</f>
      </c>
      <c r="H17812">
        <f>IF(DATOS!$G17812&lt;&gt;"EX",0,--(COUNTIFS(nNIA,DATOS!$A17812,nCURSO,DATOS!$D17812,nESPEC,DATOS!$E17812,nASIG,DATOS!$I17812,nEVAL,"OR")=0))</f>
      </c>
      <c r="I17812">
        <f>IF(DATOS!$I17812="","",IFERROR(VLOOKUP(DATOS!$I17812,CONFIG_ASIGNATURAS!$B$2:$J$91,9,FALSE()),""))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IF(DATOS!$A17813="",0,IF(CONFIG_METADATA!$B$4&lt;&gt;"OR+EX",--(DATOS!$G17813=CONFIG_METADATA!$B$4),IF(DATOS!$G17813="EX",1,IF(DATOS!$G17813="OR",--(COUNTIFS(nNIA,DATOS!$A17813,nCURSO,DATOS!$D17813,nESPEC,DATOS!$E17813,nASIG,DATOS!$I17813,nEVAL,"EX")=0),0))))</f>
      </c>
      <c r="H17813">
        <f>IF(DATOS!$G17813&lt;&gt;"EX",0,--(COUNTIFS(nNIA,DATOS!$A17813,nCURSO,DATOS!$D17813,nESPEC,DATOS!$E17813,nASIG,DATOS!$I17813,nEVAL,"OR")=0))</f>
      </c>
      <c r="I17813">
        <f>IF(DATOS!$I17813="","",IFERROR(VLOOKUP(DATOS!$I17813,CONFIG_ASIGNATURAS!$B$2:$J$91,9,FALSE()),""))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IF(DATOS!$A17814="",0,IF(CONFIG_METADATA!$B$4&lt;&gt;"OR+EX",--(DATOS!$G17814=CONFIG_METADATA!$B$4),IF(DATOS!$G17814="EX",1,IF(DATOS!$G17814="OR",--(COUNTIFS(nNIA,DATOS!$A17814,nCURSO,DATOS!$D17814,nESPEC,DATOS!$E17814,nASIG,DATOS!$I17814,nEVAL,"EX")=0),0))))</f>
      </c>
      <c r="H17814">
        <f>IF(DATOS!$G17814&lt;&gt;"EX",0,--(COUNTIFS(nNIA,DATOS!$A17814,nCURSO,DATOS!$D17814,nESPEC,DATOS!$E17814,nASIG,DATOS!$I17814,nEVAL,"OR")=0))</f>
      </c>
      <c r="I17814">
        <f>IF(DATOS!$I17814="","",IFERROR(VLOOKUP(DATOS!$I17814,CONFIG_ASIGNATURAS!$B$2:$J$91,9,FALSE()),""))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IF(DATOS!$A17815="",0,IF(CONFIG_METADATA!$B$4&lt;&gt;"OR+EX",--(DATOS!$G17815=CONFIG_METADATA!$B$4),IF(DATOS!$G17815="EX",1,IF(DATOS!$G17815="OR",--(COUNTIFS(nNIA,DATOS!$A17815,nCURSO,DATOS!$D17815,nESPEC,DATOS!$E17815,nASIG,DATOS!$I17815,nEVAL,"EX")=0),0))))</f>
      </c>
      <c r="H17815">
        <f>IF(DATOS!$G17815&lt;&gt;"EX",0,--(COUNTIFS(nNIA,DATOS!$A17815,nCURSO,DATOS!$D17815,nESPEC,DATOS!$E17815,nASIG,DATOS!$I17815,nEVAL,"OR")=0))</f>
      </c>
      <c r="I17815">
        <f>IF(DATOS!$I17815="","",IFERROR(VLOOKUP(DATOS!$I17815,CONFIG_ASIGNATURAS!$B$2:$J$91,9,FALSE()),""))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IF(DATOS!$A17816="",0,IF(CONFIG_METADATA!$B$4&lt;&gt;"OR+EX",--(DATOS!$G17816=CONFIG_METADATA!$B$4),IF(DATOS!$G17816="EX",1,IF(DATOS!$G17816="OR",--(COUNTIFS(nNIA,DATOS!$A17816,nCURSO,DATOS!$D17816,nESPEC,DATOS!$E17816,nASIG,DATOS!$I17816,nEVAL,"EX")=0),0))))</f>
      </c>
      <c r="H17816">
        <f>IF(DATOS!$G17816&lt;&gt;"EX",0,--(COUNTIFS(nNIA,DATOS!$A17816,nCURSO,DATOS!$D17816,nESPEC,DATOS!$E17816,nASIG,DATOS!$I17816,nEVAL,"OR")=0))</f>
      </c>
      <c r="I17816">
        <f>IF(DATOS!$I17816="","",IFERROR(VLOOKUP(DATOS!$I17816,CONFIG_ASIGNATURAS!$B$2:$J$91,9,FALSE()),""))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IF(DATOS!$A17817="",0,IF(CONFIG_METADATA!$B$4&lt;&gt;"OR+EX",--(DATOS!$G17817=CONFIG_METADATA!$B$4),IF(DATOS!$G17817="EX",1,IF(DATOS!$G17817="OR",--(COUNTIFS(nNIA,DATOS!$A17817,nCURSO,DATOS!$D17817,nESPEC,DATOS!$E17817,nASIG,DATOS!$I17817,nEVAL,"EX")=0),0))))</f>
      </c>
      <c r="H17817">
        <f>IF(DATOS!$G17817&lt;&gt;"EX",0,--(COUNTIFS(nNIA,DATOS!$A17817,nCURSO,DATOS!$D17817,nESPEC,DATOS!$E17817,nASIG,DATOS!$I17817,nEVAL,"OR")=0))</f>
      </c>
      <c r="I17817">
        <f>IF(DATOS!$I17817="","",IFERROR(VLOOKUP(DATOS!$I17817,CONFIG_ASIGNATURAS!$B$2:$J$91,9,FALSE()),""))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IF(DATOS!$A17818="",0,IF(CONFIG_METADATA!$B$4&lt;&gt;"OR+EX",--(DATOS!$G17818=CONFIG_METADATA!$B$4),IF(DATOS!$G17818="EX",1,IF(DATOS!$G17818="OR",--(COUNTIFS(nNIA,DATOS!$A17818,nCURSO,DATOS!$D17818,nESPEC,DATOS!$E17818,nASIG,DATOS!$I17818,nEVAL,"EX")=0),0))))</f>
      </c>
      <c r="H17818">
        <f>IF(DATOS!$G17818&lt;&gt;"EX",0,--(COUNTIFS(nNIA,DATOS!$A17818,nCURSO,DATOS!$D17818,nESPEC,DATOS!$E17818,nASIG,DATOS!$I17818,nEVAL,"OR")=0))</f>
      </c>
      <c r="I17818">
        <f>IF(DATOS!$I17818="","",IFERROR(VLOOKUP(DATOS!$I17818,CONFIG_ASIGNATURAS!$B$2:$J$91,9,FALSE()),""))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IF(DATOS!$A17819="",0,IF(CONFIG_METADATA!$B$4&lt;&gt;"OR+EX",--(DATOS!$G17819=CONFIG_METADATA!$B$4),IF(DATOS!$G17819="EX",1,IF(DATOS!$G17819="OR",--(COUNTIFS(nNIA,DATOS!$A17819,nCURSO,DATOS!$D17819,nESPEC,DATOS!$E17819,nASIG,DATOS!$I17819,nEVAL,"EX")=0),0))))</f>
      </c>
      <c r="H17819">
        <f>IF(DATOS!$G17819&lt;&gt;"EX",0,--(COUNTIFS(nNIA,DATOS!$A17819,nCURSO,DATOS!$D17819,nESPEC,DATOS!$E17819,nASIG,DATOS!$I17819,nEVAL,"OR")=0))</f>
      </c>
      <c r="I17819">
        <f>IF(DATOS!$I17819="","",IFERROR(VLOOKUP(DATOS!$I17819,CONFIG_ASIGNATURAS!$B$2:$J$91,9,FALSE()),""))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IF(DATOS!$A17820="",0,IF(CONFIG_METADATA!$B$4&lt;&gt;"OR+EX",--(DATOS!$G17820=CONFIG_METADATA!$B$4),IF(DATOS!$G17820="EX",1,IF(DATOS!$G17820="OR",--(COUNTIFS(nNIA,DATOS!$A17820,nCURSO,DATOS!$D17820,nESPEC,DATOS!$E17820,nASIG,DATOS!$I17820,nEVAL,"EX")=0),0))))</f>
      </c>
      <c r="H17820">
        <f>IF(DATOS!$G17820&lt;&gt;"EX",0,--(COUNTIFS(nNIA,DATOS!$A17820,nCURSO,DATOS!$D17820,nESPEC,DATOS!$E17820,nASIG,DATOS!$I17820,nEVAL,"OR")=0))</f>
      </c>
      <c r="I17820">
        <f>IF(DATOS!$I17820="","",IFERROR(VLOOKUP(DATOS!$I17820,CONFIG_ASIGNATURAS!$B$2:$J$91,9,FALSE()),""))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IF(DATOS!$A17821="",0,IF(CONFIG_METADATA!$B$4&lt;&gt;"OR+EX",--(DATOS!$G17821=CONFIG_METADATA!$B$4),IF(DATOS!$G17821="EX",1,IF(DATOS!$G17821="OR",--(COUNTIFS(nNIA,DATOS!$A17821,nCURSO,DATOS!$D17821,nESPEC,DATOS!$E17821,nASIG,DATOS!$I17821,nEVAL,"EX")=0),0))))</f>
      </c>
      <c r="H17821">
        <f>IF(DATOS!$G17821&lt;&gt;"EX",0,--(COUNTIFS(nNIA,DATOS!$A17821,nCURSO,DATOS!$D17821,nESPEC,DATOS!$E17821,nASIG,DATOS!$I17821,nEVAL,"OR")=0))</f>
      </c>
      <c r="I17821">
        <f>IF(DATOS!$I17821="","",IFERROR(VLOOKUP(DATOS!$I17821,CONFIG_ASIGNATURAS!$B$2:$J$91,9,FALSE()),""))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IF(DATOS!$A17822="",0,IF(CONFIG_METADATA!$B$4&lt;&gt;"OR+EX",--(DATOS!$G17822=CONFIG_METADATA!$B$4),IF(DATOS!$G17822="EX",1,IF(DATOS!$G17822="OR",--(COUNTIFS(nNIA,DATOS!$A17822,nCURSO,DATOS!$D17822,nESPEC,DATOS!$E17822,nASIG,DATOS!$I17822,nEVAL,"EX")=0),0))))</f>
      </c>
      <c r="H17822">
        <f>IF(DATOS!$G17822&lt;&gt;"EX",0,--(COUNTIFS(nNIA,DATOS!$A17822,nCURSO,DATOS!$D17822,nESPEC,DATOS!$E17822,nASIG,DATOS!$I17822,nEVAL,"OR")=0))</f>
      </c>
      <c r="I17822">
        <f>IF(DATOS!$I17822="","",IFERROR(VLOOKUP(DATOS!$I17822,CONFIG_ASIGNATURAS!$B$2:$J$91,9,FALSE()),""))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IF(DATOS!$A17823="",0,IF(CONFIG_METADATA!$B$4&lt;&gt;"OR+EX",--(DATOS!$G17823=CONFIG_METADATA!$B$4),IF(DATOS!$G17823="EX",1,IF(DATOS!$G17823="OR",--(COUNTIFS(nNIA,DATOS!$A17823,nCURSO,DATOS!$D17823,nESPEC,DATOS!$E17823,nASIG,DATOS!$I17823,nEVAL,"EX")=0),0))))</f>
      </c>
      <c r="H17823">
        <f>IF(DATOS!$G17823&lt;&gt;"EX",0,--(COUNTIFS(nNIA,DATOS!$A17823,nCURSO,DATOS!$D17823,nESPEC,DATOS!$E17823,nASIG,DATOS!$I17823,nEVAL,"OR")=0))</f>
      </c>
      <c r="I17823">
        <f>IF(DATOS!$I17823="","",IFERROR(VLOOKUP(DATOS!$I17823,CONFIG_ASIGNATURAS!$B$2:$J$91,9,FALSE()),""))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IF(DATOS!$A17824="",0,IF(CONFIG_METADATA!$B$4&lt;&gt;"OR+EX",--(DATOS!$G17824=CONFIG_METADATA!$B$4),IF(DATOS!$G17824="EX",1,IF(DATOS!$G17824="OR",--(COUNTIFS(nNIA,DATOS!$A17824,nCURSO,DATOS!$D17824,nESPEC,DATOS!$E17824,nASIG,DATOS!$I17824,nEVAL,"EX")=0),0))))</f>
      </c>
      <c r="H17824">
        <f>IF(DATOS!$G17824&lt;&gt;"EX",0,--(COUNTIFS(nNIA,DATOS!$A17824,nCURSO,DATOS!$D17824,nESPEC,DATOS!$E17824,nASIG,DATOS!$I17824,nEVAL,"OR")=0))</f>
      </c>
      <c r="I17824">
        <f>IF(DATOS!$I17824="","",IFERROR(VLOOKUP(DATOS!$I17824,CONFIG_ASIGNATURAS!$B$2:$J$91,9,FALSE()),""))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IF(DATOS!$A17825="",0,IF(CONFIG_METADATA!$B$4&lt;&gt;"OR+EX",--(DATOS!$G17825=CONFIG_METADATA!$B$4),IF(DATOS!$G17825="EX",1,IF(DATOS!$G17825="OR",--(COUNTIFS(nNIA,DATOS!$A17825,nCURSO,DATOS!$D17825,nESPEC,DATOS!$E17825,nASIG,DATOS!$I17825,nEVAL,"EX")=0),0))))</f>
      </c>
      <c r="H17825">
        <f>IF(DATOS!$G17825&lt;&gt;"EX",0,--(COUNTIFS(nNIA,DATOS!$A17825,nCURSO,DATOS!$D17825,nESPEC,DATOS!$E17825,nASIG,DATOS!$I17825,nEVAL,"OR")=0))</f>
      </c>
      <c r="I17825">
        <f>IF(DATOS!$I17825="","",IFERROR(VLOOKUP(DATOS!$I17825,CONFIG_ASIGNATURAS!$B$2:$J$91,9,FALSE()),""))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IF(DATOS!$A17826="",0,IF(CONFIG_METADATA!$B$4&lt;&gt;"OR+EX",--(DATOS!$G17826=CONFIG_METADATA!$B$4),IF(DATOS!$G17826="EX",1,IF(DATOS!$G17826="OR",--(COUNTIFS(nNIA,DATOS!$A17826,nCURSO,DATOS!$D17826,nESPEC,DATOS!$E17826,nASIG,DATOS!$I17826,nEVAL,"EX")=0),0))))</f>
      </c>
      <c r="H17826">
        <f>IF(DATOS!$G17826&lt;&gt;"EX",0,--(COUNTIFS(nNIA,DATOS!$A17826,nCURSO,DATOS!$D17826,nESPEC,DATOS!$E17826,nASIG,DATOS!$I17826,nEVAL,"OR")=0))</f>
      </c>
      <c r="I17826">
        <f>IF(DATOS!$I17826="","",IFERROR(VLOOKUP(DATOS!$I17826,CONFIG_ASIGNATURAS!$B$2:$J$91,9,FALSE()),""))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IF(DATOS!$A17827="",0,IF(CONFIG_METADATA!$B$4&lt;&gt;"OR+EX",--(DATOS!$G17827=CONFIG_METADATA!$B$4),IF(DATOS!$G17827="EX",1,IF(DATOS!$G17827="OR",--(COUNTIFS(nNIA,DATOS!$A17827,nCURSO,DATOS!$D17827,nESPEC,DATOS!$E17827,nASIG,DATOS!$I17827,nEVAL,"EX")=0),0))))</f>
      </c>
      <c r="H17827">
        <f>IF(DATOS!$G17827&lt;&gt;"EX",0,--(COUNTIFS(nNIA,DATOS!$A17827,nCURSO,DATOS!$D17827,nESPEC,DATOS!$E17827,nASIG,DATOS!$I17827,nEVAL,"OR")=0))</f>
      </c>
      <c r="I17827">
        <f>IF(DATOS!$I17827="","",IFERROR(VLOOKUP(DATOS!$I17827,CONFIG_ASIGNATURAS!$B$2:$J$91,9,FALSE()),""))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IF(DATOS!$A17828="",0,IF(CONFIG_METADATA!$B$4&lt;&gt;"OR+EX",--(DATOS!$G17828=CONFIG_METADATA!$B$4),IF(DATOS!$G17828="EX",1,IF(DATOS!$G17828="OR",--(COUNTIFS(nNIA,DATOS!$A17828,nCURSO,DATOS!$D17828,nESPEC,DATOS!$E17828,nASIG,DATOS!$I17828,nEVAL,"EX")=0),0))))</f>
      </c>
      <c r="H17828">
        <f>IF(DATOS!$G17828&lt;&gt;"EX",0,--(COUNTIFS(nNIA,DATOS!$A17828,nCURSO,DATOS!$D17828,nESPEC,DATOS!$E17828,nASIG,DATOS!$I17828,nEVAL,"OR")=0))</f>
      </c>
      <c r="I17828">
        <f>IF(DATOS!$I17828="","",IFERROR(VLOOKUP(DATOS!$I17828,CONFIG_ASIGNATURAS!$B$2:$J$91,9,FALSE()),""))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IF(DATOS!$A17829="",0,IF(CONFIG_METADATA!$B$4&lt;&gt;"OR+EX",--(DATOS!$G17829=CONFIG_METADATA!$B$4),IF(DATOS!$G17829="EX",1,IF(DATOS!$G17829="OR",--(COUNTIFS(nNIA,DATOS!$A17829,nCURSO,DATOS!$D17829,nESPEC,DATOS!$E17829,nASIG,DATOS!$I17829,nEVAL,"EX")=0),0))))</f>
      </c>
      <c r="H17829">
        <f>IF(DATOS!$G17829&lt;&gt;"EX",0,--(COUNTIFS(nNIA,DATOS!$A17829,nCURSO,DATOS!$D17829,nESPEC,DATOS!$E17829,nASIG,DATOS!$I17829,nEVAL,"OR")=0))</f>
      </c>
      <c r="I17829">
        <f>IF(DATOS!$I17829="","",IFERROR(VLOOKUP(DATOS!$I17829,CONFIG_ASIGNATURAS!$B$2:$J$91,9,FALSE()),""))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IF(DATOS!$A17830="",0,IF(CONFIG_METADATA!$B$4&lt;&gt;"OR+EX",--(DATOS!$G17830=CONFIG_METADATA!$B$4),IF(DATOS!$G17830="EX",1,IF(DATOS!$G17830="OR",--(COUNTIFS(nNIA,DATOS!$A17830,nCURSO,DATOS!$D17830,nESPEC,DATOS!$E17830,nASIG,DATOS!$I17830,nEVAL,"EX")=0),0))))</f>
      </c>
      <c r="H17830">
        <f>IF(DATOS!$G17830&lt;&gt;"EX",0,--(COUNTIFS(nNIA,DATOS!$A17830,nCURSO,DATOS!$D17830,nESPEC,DATOS!$E17830,nASIG,DATOS!$I17830,nEVAL,"OR")=0))</f>
      </c>
      <c r="I17830">
        <f>IF(DATOS!$I17830="","",IFERROR(VLOOKUP(DATOS!$I17830,CONFIG_ASIGNATURAS!$B$2:$J$91,9,FALSE()),""))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IF(DATOS!$A17831="",0,IF(CONFIG_METADATA!$B$4&lt;&gt;"OR+EX",--(DATOS!$G17831=CONFIG_METADATA!$B$4),IF(DATOS!$G17831="EX",1,IF(DATOS!$G17831="OR",--(COUNTIFS(nNIA,DATOS!$A17831,nCURSO,DATOS!$D17831,nESPEC,DATOS!$E17831,nASIG,DATOS!$I17831,nEVAL,"EX")=0),0))))</f>
      </c>
      <c r="H17831">
        <f>IF(DATOS!$G17831&lt;&gt;"EX",0,--(COUNTIFS(nNIA,DATOS!$A17831,nCURSO,DATOS!$D17831,nESPEC,DATOS!$E17831,nASIG,DATOS!$I17831,nEVAL,"OR")=0))</f>
      </c>
      <c r="I17831">
        <f>IF(DATOS!$I17831="","",IFERROR(VLOOKUP(DATOS!$I17831,CONFIG_ASIGNATURAS!$B$2:$J$91,9,FALSE()),""))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IF(DATOS!$A17832="",0,IF(CONFIG_METADATA!$B$4&lt;&gt;"OR+EX",--(DATOS!$G17832=CONFIG_METADATA!$B$4),IF(DATOS!$G17832="EX",1,IF(DATOS!$G17832="OR",--(COUNTIFS(nNIA,DATOS!$A17832,nCURSO,DATOS!$D17832,nESPEC,DATOS!$E17832,nASIG,DATOS!$I17832,nEVAL,"EX")=0),0))))</f>
      </c>
      <c r="H17832">
        <f>IF(DATOS!$G17832&lt;&gt;"EX",0,--(COUNTIFS(nNIA,DATOS!$A17832,nCURSO,DATOS!$D17832,nESPEC,DATOS!$E17832,nASIG,DATOS!$I17832,nEVAL,"OR")=0))</f>
      </c>
      <c r="I17832">
        <f>IF(DATOS!$I17832="","",IFERROR(VLOOKUP(DATOS!$I17832,CONFIG_ASIGNATURAS!$B$2:$J$91,9,FALSE()),""))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IF(DATOS!$A17833="",0,IF(CONFIG_METADATA!$B$4&lt;&gt;"OR+EX",--(DATOS!$G17833=CONFIG_METADATA!$B$4),IF(DATOS!$G17833="EX",1,IF(DATOS!$G17833="OR",--(COUNTIFS(nNIA,DATOS!$A17833,nCURSO,DATOS!$D17833,nESPEC,DATOS!$E17833,nASIG,DATOS!$I17833,nEVAL,"EX")=0),0))))</f>
      </c>
      <c r="H17833">
        <f>IF(DATOS!$G17833&lt;&gt;"EX",0,--(COUNTIFS(nNIA,DATOS!$A17833,nCURSO,DATOS!$D17833,nESPEC,DATOS!$E17833,nASIG,DATOS!$I17833,nEVAL,"OR")=0))</f>
      </c>
      <c r="I17833">
        <f>IF(DATOS!$I17833="","",IFERROR(VLOOKUP(DATOS!$I17833,CONFIG_ASIGNATURAS!$B$2:$J$91,9,FALSE()),""))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IF(DATOS!$A17834="",0,IF(CONFIG_METADATA!$B$4&lt;&gt;"OR+EX",--(DATOS!$G17834=CONFIG_METADATA!$B$4),IF(DATOS!$G17834="EX",1,IF(DATOS!$G17834="OR",--(COUNTIFS(nNIA,DATOS!$A17834,nCURSO,DATOS!$D17834,nESPEC,DATOS!$E17834,nASIG,DATOS!$I17834,nEVAL,"EX")=0),0))))</f>
      </c>
      <c r="H17834">
        <f>IF(DATOS!$G17834&lt;&gt;"EX",0,--(COUNTIFS(nNIA,DATOS!$A17834,nCURSO,DATOS!$D17834,nESPEC,DATOS!$E17834,nASIG,DATOS!$I17834,nEVAL,"OR")=0))</f>
      </c>
      <c r="I17834">
        <f>IF(DATOS!$I17834="","",IFERROR(VLOOKUP(DATOS!$I17834,CONFIG_ASIGNATURAS!$B$2:$J$91,9,FALSE()),""))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IF(DATOS!$A17835="",0,IF(CONFIG_METADATA!$B$4&lt;&gt;"OR+EX",--(DATOS!$G17835=CONFIG_METADATA!$B$4),IF(DATOS!$G17835="EX",1,IF(DATOS!$G17835="OR",--(COUNTIFS(nNIA,DATOS!$A17835,nCURSO,DATOS!$D17835,nESPEC,DATOS!$E17835,nASIG,DATOS!$I17835,nEVAL,"EX")=0),0))))</f>
      </c>
      <c r="H17835">
        <f>IF(DATOS!$G17835&lt;&gt;"EX",0,--(COUNTIFS(nNIA,DATOS!$A17835,nCURSO,DATOS!$D17835,nESPEC,DATOS!$E17835,nASIG,DATOS!$I17835,nEVAL,"OR")=0))</f>
      </c>
      <c r="I17835">
        <f>IF(DATOS!$I17835="","",IFERROR(VLOOKUP(DATOS!$I17835,CONFIG_ASIGNATURAS!$B$2:$J$91,9,FALSE()),""))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IF(DATOS!$A17836="",0,IF(CONFIG_METADATA!$B$4&lt;&gt;"OR+EX",--(DATOS!$G17836=CONFIG_METADATA!$B$4),IF(DATOS!$G17836="EX",1,IF(DATOS!$G17836="OR",--(COUNTIFS(nNIA,DATOS!$A17836,nCURSO,DATOS!$D17836,nESPEC,DATOS!$E17836,nASIG,DATOS!$I17836,nEVAL,"EX")=0),0))))</f>
      </c>
      <c r="H17836">
        <f>IF(DATOS!$G17836&lt;&gt;"EX",0,--(COUNTIFS(nNIA,DATOS!$A17836,nCURSO,DATOS!$D17836,nESPEC,DATOS!$E17836,nASIG,DATOS!$I17836,nEVAL,"OR")=0))</f>
      </c>
      <c r="I17836">
        <f>IF(DATOS!$I17836="","",IFERROR(VLOOKUP(DATOS!$I17836,CONFIG_ASIGNATURAS!$B$2:$J$91,9,FALSE()),""))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IF(DATOS!$A17837="",0,IF(CONFIG_METADATA!$B$4&lt;&gt;"OR+EX",--(DATOS!$G17837=CONFIG_METADATA!$B$4),IF(DATOS!$G17837="EX",1,IF(DATOS!$G17837="OR",--(COUNTIFS(nNIA,DATOS!$A17837,nCURSO,DATOS!$D17837,nESPEC,DATOS!$E17837,nASIG,DATOS!$I17837,nEVAL,"EX")=0),0))))</f>
      </c>
      <c r="H17837">
        <f>IF(DATOS!$G17837&lt;&gt;"EX",0,--(COUNTIFS(nNIA,DATOS!$A17837,nCURSO,DATOS!$D17837,nESPEC,DATOS!$E17837,nASIG,DATOS!$I17837,nEVAL,"OR")=0))</f>
      </c>
      <c r="I17837">
        <f>IF(DATOS!$I17837="","",IFERROR(VLOOKUP(DATOS!$I17837,CONFIG_ASIGNATURAS!$B$2:$J$91,9,FALSE()),""))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IF(DATOS!$A17838="",0,IF(CONFIG_METADATA!$B$4&lt;&gt;"OR+EX",--(DATOS!$G17838=CONFIG_METADATA!$B$4),IF(DATOS!$G17838="EX",1,IF(DATOS!$G17838="OR",--(COUNTIFS(nNIA,DATOS!$A17838,nCURSO,DATOS!$D17838,nESPEC,DATOS!$E17838,nASIG,DATOS!$I17838,nEVAL,"EX")=0),0))))</f>
      </c>
      <c r="H17838">
        <f>IF(DATOS!$G17838&lt;&gt;"EX",0,--(COUNTIFS(nNIA,DATOS!$A17838,nCURSO,DATOS!$D17838,nESPEC,DATOS!$E17838,nASIG,DATOS!$I17838,nEVAL,"OR")=0))</f>
      </c>
      <c r="I17838">
        <f>IF(DATOS!$I17838="","",IFERROR(VLOOKUP(DATOS!$I17838,CONFIG_ASIGNATURAS!$B$2:$J$91,9,FALSE()),""))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IF(DATOS!$A17839="",0,IF(CONFIG_METADATA!$B$4&lt;&gt;"OR+EX",--(DATOS!$G17839=CONFIG_METADATA!$B$4),IF(DATOS!$G17839="EX",1,IF(DATOS!$G17839="OR",--(COUNTIFS(nNIA,DATOS!$A17839,nCURSO,DATOS!$D17839,nESPEC,DATOS!$E17839,nASIG,DATOS!$I17839,nEVAL,"EX")=0),0))))</f>
      </c>
      <c r="H17839">
        <f>IF(DATOS!$G17839&lt;&gt;"EX",0,--(COUNTIFS(nNIA,DATOS!$A17839,nCURSO,DATOS!$D17839,nESPEC,DATOS!$E17839,nASIG,DATOS!$I17839,nEVAL,"OR")=0))</f>
      </c>
      <c r="I17839">
        <f>IF(DATOS!$I17839="","",IFERROR(VLOOKUP(DATOS!$I17839,CONFIG_ASIGNATURAS!$B$2:$J$91,9,FALSE()),""))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IF(DATOS!$A17840="",0,IF(CONFIG_METADATA!$B$4&lt;&gt;"OR+EX",--(DATOS!$G17840=CONFIG_METADATA!$B$4),IF(DATOS!$G17840="EX",1,IF(DATOS!$G17840="OR",--(COUNTIFS(nNIA,DATOS!$A17840,nCURSO,DATOS!$D17840,nESPEC,DATOS!$E17840,nASIG,DATOS!$I17840,nEVAL,"EX")=0),0))))</f>
      </c>
      <c r="H17840">
        <f>IF(DATOS!$G17840&lt;&gt;"EX",0,--(COUNTIFS(nNIA,DATOS!$A17840,nCURSO,DATOS!$D17840,nESPEC,DATOS!$E17840,nASIG,DATOS!$I17840,nEVAL,"OR")=0))</f>
      </c>
      <c r="I17840">
        <f>IF(DATOS!$I17840="","",IFERROR(VLOOKUP(DATOS!$I17840,CONFIG_ASIGNATURAS!$B$2:$J$91,9,FALSE()),""))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IF(DATOS!$A17841="",0,IF(CONFIG_METADATA!$B$4&lt;&gt;"OR+EX",--(DATOS!$G17841=CONFIG_METADATA!$B$4),IF(DATOS!$G17841="EX",1,IF(DATOS!$G17841="OR",--(COUNTIFS(nNIA,DATOS!$A17841,nCURSO,DATOS!$D17841,nESPEC,DATOS!$E17841,nASIG,DATOS!$I17841,nEVAL,"EX")=0),0))))</f>
      </c>
      <c r="H17841">
        <f>IF(DATOS!$G17841&lt;&gt;"EX",0,--(COUNTIFS(nNIA,DATOS!$A17841,nCURSO,DATOS!$D17841,nESPEC,DATOS!$E17841,nASIG,DATOS!$I17841,nEVAL,"OR")=0))</f>
      </c>
      <c r="I17841">
        <f>IF(DATOS!$I17841="","",IFERROR(VLOOKUP(DATOS!$I17841,CONFIG_ASIGNATURAS!$B$2:$J$91,9,FALSE()),""))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IF(DATOS!$A17842="",0,IF(CONFIG_METADATA!$B$4&lt;&gt;"OR+EX",--(DATOS!$G17842=CONFIG_METADATA!$B$4),IF(DATOS!$G17842="EX",1,IF(DATOS!$G17842="OR",--(COUNTIFS(nNIA,DATOS!$A17842,nCURSO,DATOS!$D17842,nESPEC,DATOS!$E17842,nASIG,DATOS!$I17842,nEVAL,"EX")=0),0))))</f>
      </c>
      <c r="H17842">
        <f>IF(DATOS!$G17842&lt;&gt;"EX",0,--(COUNTIFS(nNIA,DATOS!$A17842,nCURSO,DATOS!$D17842,nESPEC,DATOS!$E17842,nASIG,DATOS!$I17842,nEVAL,"OR")=0))</f>
      </c>
      <c r="I17842">
        <f>IF(DATOS!$I17842="","",IFERROR(VLOOKUP(DATOS!$I17842,CONFIG_ASIGNATURAS!$B$2:$J$91,9,FALSE()),""))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IF(DATOS!$A17843="",0,IF(CONFIG_METADATA!$B$4&lt;&gt;"OR+EX",--(DATOS!$G17843=CONFIG_METADATA!$B$4),IF(DATOS!$G17843="EX",1,IF(DATOS!$G17843="OR",--(COUNTIFS(nNIA,DATOS!$A17843,nCURSO,DATOS!$D17843,nESPEC,DATOS!$E17843,nASIG,DATOS!$I17843,nEVAL,"EX")=0),0))))</f>
      </c>
      <c r="H17843">
        <f>IF(DATOS!$G17843&lt;&gt;"EX",0,--(COUNTIFS(nNIA,DATOS!$A17843,nCURSO,DATOS!$D17843,nESPEC,DATOS!$E17843,nASIG,DATOS!$I17843,nEVAL,"OR")=0))</f>
      </c>
      <c r="I17843">
        <f>IF(DATOS!$I17843="","",IFERROR(VLOOKUP(DATOS!$I17843,CONFIG_ASIGNATURAS!$B$2:$J$91,9,FALSE()),""))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IF(DATOS!$A17844="",0,IF(CONFIG_METADATA!$B$4&lt;&gt;"OR+EX",--(DATOS!$G17844=CONFIG_METADATA!$B$4),IF(DATOS!$G17844="EX",1,IF(DATOS!$G17844="OR",--(COUNTIFS(nNIA,DATOS!$A17844,nCURSO,DATOS!$D17844,nESPEC,DATOS!$E17844,nASIG,DATOS!$I17844,nEVAL,"EX")=0),0))))</f>
      </c>
      <c r="H17844">
        <f>IF(DATOS!$G17844&lt;&gt;"EX",0,--(COUNTIFS(nNIA,DATOS!$A17844,nCURSO,DATOS!$D17844,nESPEC,DATOS!$E17844,nASIG,DATOS!$I17844,nEVAL,"OR")=0))</f>
      </c>
      <c r="I17844">
        <f>IF(DATOS!$I17844="","",IFERROR(VLOOKUP(DATOS!$I17844,CONFIG_ASIGNATURAS!$B$2:$J$91,9,FALSE()),""))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IF(DATOS!$A17845="",0,IF(CONFIG_METADATA!$B$4&lt;&gt;"OR+EX",--(DATOS!$G17845=CONFIG_METADATA!$B$4),IF(DATOS!$G17845="EX",1,IF(DATOS!$G17845="OR",--(COUNTIFS(nNIA,DATOS!$A17845,nCURSO,DATOS!$D17845,nESPEC,DATOS!$E17845,nASIG,DATOS!$I17845,nEVAL,"EX")=0),0))))</f>
      </c>
      <c r="H17845">
        <f>IF(DATOS!$G17845&lt;&gt;"EX",0,--(COUNTIFS(nNIA,DATOS!$A17845,nCURSO,DATOS!$D17845,nESPEC,DATOS!$E17845,nASIG,DATOS!$I17845,nEVAL,"OR")=0))</f>
      </c>
      <c r="I17845">
        <f>IF(DATOS!$I17845="","",IFERROR(VLOOKUP(DATOS!$I17845,CONFIG_ASIGNATURAS!$B$2:$J$91,9,FALSE()),""))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IF(DATOS!$A17846="",0,IF(CONFIG_METADATA!$B$4&lt;&gt;"OR+EX",--(DATOS!$G17846=CONFIG_METADATA!$B$4),IF(DATOS!$G17846="EX",1,IF(DATOS!$G17846="OR",--(COUNTIFS(nNIA,DATOS!$A17846,nCURSO,DATOS!$D17846,nESPEC,DATOS!$E17846,nASIG,DATOS!$I17846,nEVAL,"EX")=0),0))))</f>
      </c>
      <c r="H17846">
        <f>IF(DATOS!$G17846&lt;&gt;"EX",0,--(COUNTIFS(nNIA,DATOS!$A17846,nCURSO,DATOS!$D17846,nESPEC,DATOS!$E17846,nASIG,DATOS!$I17846,nEVAL,"OR")=0))</f>
      </c>
      <c r="I17846">
        <f>IF(DATOS!$I17846="","",IFERROR(VLOOKUP(DATOS!$I17846,CONFIG_ASIGNATURAS!$B$2:$J$91,9,FALSE()),""))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IF(DATOS!$A17847="",0,IF(CONFIG_METADATA!$B$4&lt;&gt;"OR+EX",--(DATOS!$G17847=CONFIG_METADATA!$B$4),IF(DATOS!$G17847="EX",1,IF(DATOS!$G17847="OR",--(COUNTIFS(nNIA,DATOS!$A17847,nCURSO,DATOS!$D17847,nESPEC,DATOS!$E17847,nASIG,DATOS!$I17847,nEVAL,"EX")=0),0))))</f>
      </c>
      <c r="H17847">
        <f>IF(DATOS!$G17847&lt;&gt;"EX",0,--(COUNTIFS(nNIA,DATOS!$A17847,nCURSO,DATOS!$D17847,nESPEC,DATOS!$E17847,nASIG,DATOS!$I17847,nEVAL,"OR")=0))</f>
      </c>
      <c r="I17847">
        <f>IF(DATOS!$I17847="","",IFERROR(VLOOKUP(DATOS!$I17847,CONFIG_ASIGNATURAS!$B$2:$J$91,9,FALSE()),""))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IF(DATOS!$A17848="",0,IF(CONFIG_METADATA!$B$4&lt;&gt;"OR+EX",--(DATOS!$G17848=CONFIG_METADATA!$B$4),IF(DATOS!$G17848="EX",1,IF(DATOS!$G17848="OR",--(COUNTIFS(nNIA,DATOS!$A17848,nCURSO,DATOS!$D17848,nESPEC,DATOS!$E17848,nASIG,DATOS!$I17848,nEVAL,"EX")=0),0))))</f>
      </c>
      <c r="H17848">
        <f>IF(DATOS!$G17848&lt;&gt;"EX",0,--(COUNTIFS(nNIA,DATOS!$A17848,nCURSO,DATOS!$D17848,nESPEC,DATOS!$E17848,nASIG,DATOS!$I17848,nEVAL,"OR")=0))</f>
      </c>
      <c r="I17848">
        <f>IF(DATOS!$I17848="","",IFERROR(VLOOKUP(DATOS!$I17848,CONFIG_ASIGNATURAS!$B$2:$J$91,9,FALSE()),""))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IF(DATOS!$A17849="",0,IF(CONFIG_METADATA!$B$4&lt;&gt;"OR+EX",--(DATOS!$G17849=CONFIG_METADATA!$B$4),IF(DATOS!$G17849="EX",1,IF(DATOS!$G17849="OR",--(COUNTIFS(nNIA,DATOS!$A17849,nCURSO,DATOS!$D17849,nESPEC,DATOS!$E17849,nASIG,DATOS!$I17849,nEVAL,"EX")=0),0))))</f>
      </c>
      <c r="H17849">
        <f>IF(DATOS!$G17849&lt;&gt;"EX",0,--(COUNTIFS(nNIA,DATOS!$A17849,nCURSO,DATOS!$D17849,nESPEC,DATOS!$E17849,nASIG,DATOS!$I17849,nEVAL,"OR")=0))</f>
      </c>
      <c r="I17849">
        <f>IF(DATOS!$I17849="","",IFERROR(VLOOKUP(DATOS!$I17849,CONFIG_ASIGNATURAS!$B$2:$J$91,9,FALSE()),""))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IF(DATOS!$A17850="",0,IF(CONFIG_METADATA!$B$4&lt;&gt;"OR+EX",--(DATOS!$G17850=CONFIG_METADATA!$B$4),IF(DATOS!$G17850="EX",1,IF(DATOS!$G17850="OR",--(COUNTIFS(nNIA,DATOS!$A17850,nCURSO,DATOS!$D17850,nESPEC,DATOS!$E17850,nASIG,DATOS!$I17850,nEVAL,"EX")=0),0))))</f>
      </c>
      <c r="H17850">
        <f>IF(DATOS!$G17850&lt;&gt;"EX",0,--(COUNTIFS(nNIA,DATOS!$A17850,nCURSO,DATOS!$D17850,nESPEC,DATOS!$E17850,nASIG,DATOS!$I17850,nEVAL,"OR")=0))</f>
      </c>
      <c r="I17850">
        <f>IF(DATOS!$I17850="","",IFERROR(VLOOKUP(DATOS!$I17850,CONFIG_ASIGNATURAS!$B$2:$J$91,9,FALSE()),""))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IF(DATOS!$A17851="",0,IF(CONFIG_METADATA!$B$4&lt;&gt;"OR+EX",--(DATOS!$G17851=CONFIG_METADATA!$B$4),IF(DATOS!$G17851="EX",1,IF(DATOS!$G17851="OR",--(COUNTIFS(nNIA,DATOS!$A17851,nCURSO,DATOS!$D17851,nESPEC,DATOS!$E17851,nASIG,DATOS!$I17851,nEVAL,"EX")=0),0))))</f>
      </c>
      <c r="H17851">
        <f>IF(DATOS!$G17851&lt;&gt;"EX",0,--(COUNTIFS(nNIA,DATOS!$A17851,nCURSO,DATOS!$D17851,nESPEC,DATOS!$E17851,nASIG,DATOS!$I17851,nEVAL,"OR")=0))</f>
      </c>
      <c r="I17851">
        <f>IF(DATOS!$I17851="","",IFERROR(VLOOKUP(DATOS!$I17851,CONFIG_ASIGNATURAS!$B$2:$J$91,9,FALSE()),""))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IF(DATOS!$A17852="",0,IF(CONFIG_METADATA!$B$4&lt;&gt;"OR+EX",--(DATOS!$G17852=CONFIG_METADATA!$B$4),IF(DATOS!$G17852="EX",1,IF(DATOS!$G17852="OR",--(COUNTIFS(nNIA,DATOS!$A17852,nCURSO,DATOS!$D17852,nESPEC,DATOS!$E17852,nASIG,DATOS!$I17852,nEVAL,"EX")=0),0))))</f>
      </c>
      <c r="H17852">
        <f>IF(DATOS!$G17852&lt;&gt;"EX",0,--(COUNTIFS(nNIA,DATOS!$A17852,nCURSO,DATOS!$D17852,nESPEC,DATOS!$E17852,nASIG,DATOS!$I17852,nEVAL,"OR")=0))</f>
      </c>
      <c r="I17852">
        <f>IF(DATOS!$I17852="","",IFERROR(VLOOKUP(DATOS!$I17852,CONFIG_ASIGNATURAS!$B$2:$J$91,9,FALSE()),""))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IF(DATOS!$A17853="",0,IF(CONFIG_METADATA!$B$4&lt;&gt;"OR+EX",--(DATOS!$G17853=CONFIG_METADATA!$B$4),IF(DATOS!$G17853="EX",1,IF(DATOS!$G17853="OR",--(COUNTIFS(nNIA,DATOS!$A17853,nCURSO,DATOS!$D17853,nESPEC,DATOS!$E17853,nASIG,DATOS!$I17853,nEVAL,"EX")=0),0))))</f>
      </c>
      <c r="H17853">
        <f>IF(DATOS!$G17853&lt;&gt;"EX",0,--(COUNTIFS(nNIA,DATOS!$A17853,nCURSO,DATOS!$D17853,nESPEC,DATOS!$E17853,nASIG,DATOS!$I17853,nEVAL,"OR")=0))</f>
      </c>
      <c r="I17853">
        <f>IF(DATOS!$I17853="","",IFERROR(VLOOKUP(DATOS!$I17853,CONFIG_ASIGNATURAS!$B$2:$J$91,9,FALSE()),""))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IF(DATOS!$A17854="",0,IF(CONFIG_METADATA!$B$4&lt;&gt;"OR+EX",--(DATOS!$G17854=CONFIG_METADATA!$B$4),IF(DATOS!$G17854="EX",1,IF(DATOS!$G17854="OR",--(COUNTIFS(nNIA,DATOS!$A17854,nCURSO,DATOS!$D17854,nESPEC,DATOS!$E17854,nASIG,DATOS!$I17854,nEVAL,"EX")=0),0))))</f>
      </c>
      <c r="H17854">
        <f>IF(DATOS!$G17854&lt;&gt;"EX",0,--(COUNTIFS(nNIA,DATOS!$A17854,nCURSO,DATOS!$D17854,nESPEC,DATOS!$E17854,nASIG,DATOS!$I17854,nEVAL,"OR")=0))</f>
      </c>
      <c r="I17854">
        <f>IF(DATOS!$I17854="","",IFERROR(VLOOKUP(DATOS!$I17854,CONFIG_ASIGNATURAS!$B$2:$J$91,9,FALSE()),""))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IF(DATOS!$A17855="",0,IF(CONFIG_METADATA!$B$4&lt;&gt;"OR+EX",--(DATOS!$G17855=CONFIG_METADATA!$B$4),IF(DATOS!$G17855="EX",1,IF(DATOS!$G17855="OR",--(COUNTIFS(nNIA,DATOS!$A17855,nCURSO,DATOS!$D17855,nESPEC,DATOS!$E17855,nASIG,DATOS!$I17855,nEVAL,"EX")=0),0))))</f>
      </c>
      <c r="H17855">
        <f>IF(DATOS!$G17855&lt;&gt;"EX",0,--(COUNTIFS(nNIA,DATOS!$A17855,nCURSO,DATOS!$D17855,nESPEC,DATOS!$E17855,nASIG,DATOS!$I17855,nEVAL,"OR")=0))</f>
      </c>
      <c r="I17855">
        <f>IF(DATOS!$I17855="","",IFERROR(VLOOKUP(DATOS!$I17855,CONFIG_ASIGNATURAS!$B$2:$J$91,9,FALSE()),""))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IF(DATOS!$A17856="",0,IF(CONFIG_METADATA!$B$4&lt;&gt;"OR+EX",--(DATOS!$G17856=CONFIG_METADATA!$B$4),IF(DATOS!$G17856="EX",1,IF(DATOS!$G17856="OR",--(COUNTIFS(nNIA,DATOS!$A17856,nCURSO,DATOS!$D17856,nESPEC,DATOS!$E17856,nASIG,DATOS!$I17856,nEVAL,"EX")=0),0))))</f>
      </c>
      <c r="H17856">
        <f>IF(DATOS!$G17856&lt;&gt;"EX",0,--(COUNTIFS(nNIA,DATOS!$A17856,nCURSO,DATOS!$D17856,nESPEC,DATOS!$E17856,nASIG,DATOS!$I17856,nEVAL,"OR")=0))</f>
      </c>
      <c r="I17856">
        <f>IF(DATOS!$I17856="","",IFERROR(VLOOKUP(DATOS!$I17856,CONFIG_ASIGNATURAS!$B$2:$J$91,9,FALSE()),""))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IF(DATOS!$A17857="",0,IF(CONFIG_METADATA!$B$4&lt;&gt;"OR+EX",--(DATOS!$G17857=CONFIG_METADATA!$B$4),IF(DATOS!$G17857="EX",1,IF(DATOS!$G17857="OR",--(COUNTIFS(nNIA,DATOS!$A17857,nCURSO,DATOS!$D17857,nESPEC,DATOS!$E17857,nASIG,DATOS!$I17857,nEVAL,"EX")=0),0))))</f>
      </c>
      <c r="H17857">
        <f>IF(DATOS!$G17857&lt;&gt;"EX",0,--(COUNTIFS(nNIA,DATOS!$A17857,nCURSO,DATOS!$D17857,nESPEC,DATOS!$E17857,nASIG,DATOS!$I17857,nEVAL,"OR")=0))</f>
      </c>
      <c r="I17857">
        <f>IF(DATOS!$I17857="","",IFERROR(VLOOKUP(DATOS!$I17857,CONFIG_ASIGNATURAS!$B$2:$J$91,9,FALSE()),""))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IF(DATOS!$A17858="",0,IF(CONFIG_METADATA!$B$4&lt;&gt;"OR+EX",--(DATOS!$G17858=CONFIG_METADATA!$B$4),IF(DATOS!$G17858="EX",1,IF(DATOS!$G17858="OR",--(COUNTIFS(nNIA,DATOS!$A17858,nCURSO,DATOS!$D17858,nESPEC,DATOS!$E17858,nASIG,DATOS!$I17858,nEVAL,"EX")=0),0))))</f>
      </c>
      <c r="H17858">
        <f>IF(DATOS!$G17858&lt;&gt;"EX",0,--(COUNTIFS(nNIA,DATOS!$A17858,nCURSO,DATOS!$D17858,nESPEC,DATOS!$E17858,nASIG,DATOS!$I17858,nEVAL,"OR")=0))</f>
      </c>
      <c r="I17858">
        <f>IF(DATOS!$I17858="","",IFERROR(VLOOKUP(DATOS!$I17858,CONFIG_ASIGNATURAS!$B$2:$J$91,9,FALSE()),""))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IF(DATOS!$A17859="",0,IF(CONFIG_METADATA!$B$4&lt;&gt;"OR+EX",--(DATOS!$G17859=CONFIG_METADATA!$B$4),IF(DATOS!$G17859="EX",1,IF(DATOS!$G17859="OR",--(COUNTIFS(nNIA,DATOS!$A17859,nCURSO,DATOS!$D17859,nESPEC,DATOS!$E17859,nASIG,DATOS!$I17859,nEVAL,"EX")=0),0))))</f>
      </c>
      <c r="H17859">
        <f>IF(DATOS!$G17859&lt;&gt;"EX",0,--(COUNTIFS(nNIA,DATOS!$A17859,nCURSO,DATOS!$D17859,nESPEC,DATOS!$E17859,nASIG,DATOS!$I17859,nEVAL,"OR")=0))</f>
      </c>
      <c r="I17859">
        <f>IF(DATOS!$I17859="","",IFERROR(VLOOKUP(DATOS!$I17859,CONFIG_ASIGNATURAS!$B$2:$J$91,9,FALSE()),""))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IF(DATOS!$A17860="",0,IF(CONFIG_METADATA!$B$4&lt;&gt;"OR+EX",--(DATOS!$G17860=CONFIG_METADATA!$B$4),IF(DATOS!$G17860="EX",1,IF(DATOS!$G17860="OR",--(COUNTIFS(nNIA,DATOS!$A17860,nCURSO,DATOS!$D17860,nESPEC,DATOS!$E17860,nASIG,DATOS!$I17860,nEVAL,"EX")=0),0))))</f>
      </c>
      <c r="H17860">
        <f>IF(DATOS!$G17860&lt;&gt;"EX",0,--(COUNTIFS(nNIA,DATOS!$A17860,nCURSO,DATOS!$D17860,nESPEC,DATOS!$E17860,nASIG,DATOS!$I17860,nEVAL,"OR")=0))</f>
      </c>
      <c r="I17860">
        <f>IF(DATOS!$I17860="","",IFERROR(VLOOKUP(DATOS!$I17860,CONFIG_ASIGNATURAS!$B$2:$J$91,9,FALSE()),""))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IF(DATOS!$A17861="",0,IF(CONFIG_METADATA!$B$4&lt;&gt;"OR+EX",--(DATOS!$G17861=CONFIG_METADATA!$B$4),IF(DATOS!$G17861="EX",1,IF(DATOS!$G17861="OR",--(COUNTIFS(nNIA,DATOS!$A17861,nCURSO,DATOS!$D17861,nESPEC,DATOS!$E17861,nASIG,DATOS!$I17861,nEVAL,"EX")=0),0))))</f>
      </c>
      <c r="H17861">
        <f>IF(DATOS!$G17861&lt;&gt;"EX",0,--(COUNTIFS(nNIA,DATOS!$A17861,nCURSO,DATOS!$D17861,nESPEC,DATOS!$E17861,nASIG,DATOS!$I17861,nEVAL,"OR")=0))</f>
      </c>
      <c r="I17861">
        <f>IF(DATOS!$I17861="","",IFERROR(VLOOKUP(DATOS!$I17861,CONFIG_ASIGNATURAS!$B$2:$J$91,9,FALSE()),""))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IF(DATOS!$A17862="",0,IF(CONFIG_METADATA!$B$4&lt;&gt;"OR+EX",--(DATOS!$G17862=CONFIG_METADATA!$B$4),IF(DATOS!$G17862="EX",1,IF(DATOS!$G17862="OR",--(COUNTIFS(nNIA,DATOS!$A17862,nCURSO,DATOS!$D17862,nESPEC,DATOS!$E17862,nASIG,DATOS!$I17862,nEVAL,"EX")=0),0))))</f>
      </c>
      <c r="H17862">
        <f>IF(DATOS!$G17862&lt;&gt;"EX",0,--(COUNTIFS(nNIA,DATOS!$A17862,nCURSO,DATOS!$D17862,nESPEC,DATOS!$E17862,nASIG,DATOS!$I17862,nEVAL,"OR")=0))</f>
      </c>
      <c r="I17862">
        <f>IF(DATOS!$I17862="","",IFERROR(VLOOKUP(DATOS!$I17862,CONFIG_ASIGNATURAS!$B$2:$J$91,9,FALSE()),""))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IF(DATOS!$A17863="",0,IF(CONFIG_METADATA!$B$4&lt;&gt;"OR+EX",--(DATOS!$G17863=CONFIG_METADATA!$B$4),IF(DATOS!$G17863="EX",1,IF(DATOS!$G17863="OR",--(COUNTIFS(nNIA,DATOS!$A17863,nCURSO,DATOS!$D17863,nESPEC,DATOS!$E17863,nASIG,DATOS!$I17863,nEVAL,"EX")=0),0))))</f>
      </c>
      <c r="H17863">
        <f>IF(DATOS!$G17863&lt;&gt;"EX",0,--(COUNTIFS(nNIA,DATOS!$A17863,nCURSO,DATOS!$D17863,nESPEC,DATOS!$E17863,nASIG,DATOS!$I17863,nEVAL,"OR")=0))</f>
      </c>
      <c r="I17863">
        <f>IF(DATOS!$I17863="","",IFERROR(VLOOKUP(DATOS!$I17863,CONFIG_ASIGNATURAS!$B$2:$J$91,9,FALSE()),""))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IF(DATOS!$A17864="",0,IF(CONFIG_METADATA!$B$4&lt;&gt;"OR+EX",--(DATOS!$G17864=CONFIG_METADATA!$B$4),IF(DATOS!$G17864="EX",1,IF(DATOS!$G17864="OR",--(COUNTIFS(nNIA,DATOS!$A17864,nCURSO,DATOS!$D17864,nESPEC,DATOS!$E17864,nASIG,DATOS!$I17864,nEVAL,"EX")=0),0))))</f>
      </c>
      <c r="H17864">
        <f>IF(DATOS!$G17864&lt;&gt;"EX",0,--(COUNTIFS(nNIA,DATOS!$A17864,nCURSO,DATOS!$D17864,nESPEC,DATOS!$E17864,nASIG,DATOS!$I17864,nEVAL,"OR")=0))</f>
      </c>
      <c r="I17864">
        <f>IF(DATOS!$I17864="","",IFERROR(VLOOKUP(DATOS!$I17864,CONFIG_ASIGNATURAS!$B$2:$J$91,9,FALSE()),""))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IF(DATOS!$A17865="",0,IF(CONFIG_METADATA!$B$4&lt;&gt;"OR+EX",--(DATOS!$G17865=CONFIG_METADATA!$B$4),IF(DATOS!$G17865="EX",1,IF(DATOS!$G17865="OR",--(COUNTIFS(nNIA,DATOS!$A17865,nCURSO,DATOS!$D17865,nESPEC,DATOS!$E17865,nASIG,DATOS!$I17865,nEVAL,"EX")=0),0))))</f>
      </c>
      <c r="H17865">
        <f>IF(DATOS!$G17865&lt;&gt;"EX",0,--(COUNTIFS(nNIA,DATOS!$A17865,nCURSO,DATOS!$D17865,nESPEC,DATOS!$E17865,nASIG,DATOS!$I17865,nEVAL,"OR")=0))</f>
      </c>
      <c r="I17865">
        <f>IF(DATOS!$I17865="","",IFERROR(VLOOKUP(DATOS!$I17865,CONFIG_ASIGNATURAS!$B$2:$J$91,9,FALSE()),""))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IF(DATOS!$A17866="",0,IF(CONFIG_METADATA!$B$4&lt;&gt;"OR+EX",--(DATOS!$G17866=CONFIG_METADATA!$B$4),IF(DATOS!$G17866="EX",1,IF(DATOS!$G17866="OR",--(COUNTIFS(nNIA,DATOS!$A17866,nCURSO,DATOS!$D17866,nESPEC,DATOS!$E17866,nASIG,DATOS!$I17866,nEVAL,"EX")=0),0))))</f>
      </c>
      <c r="H17866">
        <f>IF(DATOS!$G17866&lt;&gt;"EX",0,--(COUNTIFS(nNIA,DATOS!$A17866,nCURSO,DATOS!$D17866,nESPEC,DATOS!$E17866,nASIG,DATOS!$I17866,nEVAL,"OR")=0))</f>
      </c>
      <c r="I17866">
        <f>IF(DATOS!$I17866="","",IFERROR(VLOOKUP(DATOS!$I17866,CONFIG_ASIGNATURAS!$B$2:$J$91,9,FALSE()),""))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IF(DATOS!$A17867="",0,IF(CONFIG_METADATA!$B$4&lt;&gt;"OR+EX",--(DATOS!$G17867=CONFIG_METADATA!$B$4),IF(DATOS!$G17867="EX",1,IF(DATOS!$G17867="OR",--(COUNTIFS(nNIA,DATOS!$A17867,nCURSO,DATOS!$D17867,nESPEC,DATOS!$E17867,nASIG,DATOS!$I17867,nEVAL,"EX")=0),0))))</f>
      </c>
      <c r="H17867">
        <f>IF(DATOS!$G17867&lt;&gt;"EX",0,--(COUNTIFS(nNIA,DATOS!$A17867,nCURSO,DATOS!$D17867,nESPEC,DATOS!$E17867,nASIG,DATOS!$I17867,nEVAL,"OR")=0))</f>
      </c>
      <c r="I17867">
        <f>IF(DATOS!$I17867="","",IFERROR(VLOOKUP(DATOS!$I17867,CONFIG_ASIGNATURAS!$B$2:$J$91,9,FALSE()),""))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IF(DATOS!$A17868="",0,IF(CONFIG_METADATA!$B$4&lt;&gt;"OR+EX",--(DATOS!$G17868=CONFIG_METADATA!$B$4),IF(DATOS!$G17868="EX",1,IF(DATOS!$G17868="OR",--(COUNTIFS(nNIA,DATOS!$A17868,nCURSO,DATOS!$D17868,nESPEC,DATOS!$E17868,nASIG,DATOS!$I17868,nEVAL,"EX")=0),0))))</f>
      </c>
      <c r="H17868">
        <f>IF(DATOS!$G17868&lt;&gt;"EX",0,--(COUNTIFS(nNIA,DATOS!$A17868,nCURSO,DATOS!$D17868,nESPEC,DATOS!$E17868,nASIG,DATOS!$I17868,nEVAL,"OR")=0))</f>
      </c>
      <c r="I17868">
        <f>IF(DATOS!$I17868="","",IFERROR(VLOOKUP(DATOS!$I17868,CONFIG_ASIGNATURAS!$B$2:$J$91,9,FALSE()),""))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IF(DATOS!$A17869="",0,IF(CONFIG_METADATA!$B$4&lt;&gt;"OR+EX",--(DATOS!$G17869=CONFIG_METADATA!$B$4),IF(DATOS!$G17869="EX",1,IF(DATOS!$G17869="OR",--(COUNTIFS(nNIA,DATOS!$A17869,nCURSO,DATOS!$D17869,nESPEC,DATOS!$E17869,nASIG,DATOS!$I17869,nEVAL,"EX")=0),0))))</f>
      </c>
      <c r="H17869">
        <f>IF(DATOS!$G17869&lt;&gt;"EX",0,--(COUNTIFS(nNIA,DATOS!$A17869,nCURSO,DATOS!$D17869,nESPEC,DATOS!$E17869,nASIG,DATOS!$I17869,nEVAL,"OR")=0))</f>
      </c>
      <c r="I17869">
        <f>IF(DATOS!$I17869="","",IFERROR(VLOOKUP(DATOS!$I17869,CONFIG_ASIGNATURAS!$B$2:$J$91,9,FALSE()),""))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IF(DATOS!$A17870="",0,IF(CONFIG_METADATA!$B$4&lt;&gt;"OR+EX",--(DATOS!$G17870=CONFIG_METADATA!$B$4),IF(DATOS!$G17870="EX",1,IF(DATOS!$G17870="OR",--(COUNTIFS(nNIA,DATOS!$A17870,nCURSO,DATOS!$D17870,nESPEC,DATOS!$E17870,nASIG,DATOS!$I17870,nEVAL,"EX")=0),0))))</f>
      </c>
      <c r="H17870">
        <f>IF(DATOS!$G17870&lt;&gt;"EX",0,--(COUNTIFS(nNIA,DATOS!$A17870,nCURSO,DATOS!$D17870,nESPEC,DATOS!$E17870,nASIG,DATOS!$I17870,nEVAL,"OR")=0))</f>
      </c>
      <c r="I17870">
        <f>IF(DATOS!$I17870="","",IFERROR(VLOOKUP(DATOS!$I17870,CONFIG_ASIGNATURAS!$B$2:$J$91,9,FALSE()),""))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IF(DATOS!$A17871="",0,IF(CONFIG_METADATA!$B$4&lt;&gt;"OR+EX",--(DATOS!$G17871=CONFIG_METADATA!$B$4),IF(DATOS!$G17871="EX",1,IF(DATOS!$G17871="OR",--(COUNTIFS(nNIA,DATOS!$A17871,nCURSO,DATOS!$D17871,nESPEC,DATOS!$E17871,nASIG,DATOS!$I17871,nEVAL,"EX")=0),0))))</f>
      </c>
      <c r="H17871">
        <f>IF(DATOS!$G17871&lt;&gt;"EX",0,--(COUNTIFS(nNIA,DATOS!$A17871,nCURSO,DATOS!$D17871,nESPEC,DATOS!$E17871,nASIG,DATOS!$I17871,nEVAL,"OR")=0))</f>
      </c>
      <c r="I17871">
        <f>IF(DATOS!$I17871="","",IFERROR(VLOOKUP(DATOS!$I17871,CONFIG_ASIGNATURAS!$B$2:$J$91,9,FALSE()),""))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IF(DATOS!$A17872="",0,IF(CONFIG_METADATA!$B$4&lt;&gt;"OR+EX",--(DATOS!$G17872=CONFIG_METADATA!$B$4),IF(DATOS!$G17872="EX",1,IF(DATOS!$G17872="OR",--(COUNTIFS(nNIA,DATOS!$A17872,nCURSO,DATOS!$D17872,nESPEC,DATOS!$E17872,nASIG,DATOS!$I17872,nEVAL,"EX")=0),0))))</f>
      </c>
      <c r="H17872">
        <f>IF(DATOS!$G17872&lt;&gt;"EX",0,--(COUNTIFS(nNIA,DATOS!$A17872,nCURSO,DATOS!$D17872,nESPEC,DATOS!$E17872,nASIG,DATOS!$I17872,nEVAL,"OR")=0))</f>
      </c>
      <c r="I17872">
        <f>IF(DATOS!$I17872="","",IFERROR(VLOOKUP(DATOS!$I17872,CONFIG_ASIGNATURAS!$B$2:$J$91,9,FALSE()),""))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IF(DATOS!$A17873="",0,IF(CONFIG_METADATA!$B$4&lt;&gt;"OR+EX",--(DATOS!$G17873=CONFIG_METADATA!$B$4),IF(DATOS!$G17873="EX",1,IF(DATOS!$G17873="OR",--(COUNTIFS(nNIA,DATOS!$A17873,nCURSO,DATOS!$D17873,nESPEC,DATOS!$E17873,nASIG,DATOS!$I17873,nEVAL,"EX")=0),0))))</f>
      </c>
      <c r="H17873">
        <f>IF(DATOS!$G17873&lt;&gt;"EX",0,--(COUNTIFS(nNIA,DATOS!$A17873,nCURSO,DATOS!$D17873,nESPEC,DATOS!$E17873,nASIG,DATOS!$I17873,nEVAL,"OR")=0))</f>
      </c>
      <c r="I17873">
        <f>IF(DATOS!$I17873="","",IFERROR(VLOOKUP(DATOS!$I17873,CONFIG_ASIGNATURAS!$B$2:$J$91,9,FALSE()),""))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IF(DATOS!$A17874="",0,IF(CONFIG_METADATA!$B$4&lt;&gt;"OR+EX",--(DATOS!$G17874=CONFIG_METADATA!$B$4),IF(DATOS!$G17874="EX",1,IF(DATOS!$G17874="OR",--(COUNTIFS(nNIA,DATOS!$A17874,nCURSO,DATOS!$D17874,nESPEC,DATOS!$E17874,nASIG,DATOS!$I17874,nEVAL,"EX")=0),0))))</f>
      </c>
      <c r="H17874">
        <f>IF(DATOS!$G17874&lt;&gt;"EX",0,--(COUNTIFS(nNIA,DATOS!$A17874,nCURSO,DATOS!$D17874,nESPEC,DATOS!$E17874,nASIG,DATOS!$I17874,nEVAL,"OR")=0))</f>
      </c>
      <c r="I17874">
        <f>IF(DATOS!$I17874="","",IFERROR(VLOOKUP(DATOS!$I17874,CONFIG_ASIGNATURAS!$B$2:$J$91,9,FALSE()),""))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IF(DATOS!$A17875="",0,IF(CONFIG_METADATA!$B$4&lt;&gt;"OR+EX",--(DATOS!$G17875=CONFIG_METADATA!$B$4),IF(DATOS!$G17875="EX",1,IF(DATOS!$G17875="OR",--(COUNTIFS(nNIA,DATOS!$A17875,nCURSO,DATOS!$D17875,nESPEC,DATOS!$E17875,nASIG,DATOS!$I17875,nEVAL,"EX")=0),0))))</f>
      </c>
      <c r="H17875">
        <f>IF(DATOS!$G17875&lt;&gt;"EX",0,--(COUNTIFS(nNIA,DATOS!$A17875,nCURSO,DATOS!$D17875,nESPEC,DATOS!$E17875,nASIG,DATOS!$I17875,nEVAL,"OR")=0))</f>
      </c>
      <c r="I17875">
        <f>IF(DATOS!$I17875="","",IFERROR(VLOOKUP(DATOS!$I17875,CONFIG_ASIGNATURAS!$B$2:$J$91,9,FALSE()),""))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IF(DATOS!$A17876="",0,IF(CONFIG_METADATA!$B$4&lt;&gt;"OR+EX",--(DATOS!$G17876=CONFIG_METADATA!$B$4),IF(DATOS!$G17876="EX",1,IF(DATOS!$G17876="OR",--(COUNTIFS(nNIA,DATOS!$A17876,nCURSO,DATOS!$D17876,nESPEC,DATOS!$E17876,nASIG,DATOS!$I17876,nEVAL,"EX")=0),0))))</f>
      </c>
      <c r="H17876">
        <f>IF(DATOS!$G17876&lt;&gt;"EX",0,--(COUNTIFS(nNIA,DATOS!$A17876,nCURSO,DATOS!$D17876,nESPEC,DATOS!$E17876,nASIG,DATOS!$I17876,nEVAL,"OR")=0))</f>
      </c>
      <c r="I17876">
        <f>IF(DATOS!$I17876="","",IFERROR(VLOOKUP(DATOS!$I17876,CONFIG_ASIGNATURAS!$B$2:$J$91,9,FALSE()),""))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IF(DATOS!$A17877="",0,IF(CONFIG_METADATA!$B$4&lt;&gt;"OR+EX",--(DATOS!$G17877=CONFIG_METADATA!$B$4),IF(DATOS!$G17877="EX",1,IF(DATOS!$G17877="OR",--(COUNTIFS(nNIA,DATOS!$A17877,nCURSO,DATOS!$D17877,nESPEC,DATOS!$E17877,nASIG,DATOS!$I17877,nEVAL,"EX")=0),0))))</f>
      </c>
      <c r="H17877">
        <f>IF(DATOS!$G17877&lt;&gt;"EX",0,--(COUNTIFS(nNIA,DATOS!$A17877,nCURSO,DATOS!$D17877,nESPEC,DATOS!$E17877,nASIG,DATOS!$I17877,nEVAL,"OR")=0))</f>
      </c>
      <c r="I17877">
        <f>IF(DATOS!$I17877="","",IFERROR(VLOOKUP(DATOS!$I17877,CONFIG_ASIGNATURAS!$B$2:$J$91,9,FALSE()),""))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IF(DATOS!$A17878="",0,IF(CONFIG_METADATA!$B$4&lt;&gt;"OR+EX",--(DATOS!$G17878=CONFIG_METADATA!$B$4),IF(DATOS!$G17878="EX",1,IF(DATOS!$G17878="OR",--(COUNTIFS(nNIA,DATOS!$A17878,nCURSO,DATOS!$D17878,nESPEC,DATOS!$E17878,nASIG,DATOS!$I17878,nEVAL,"EX")=0),0))))</f>
      </c>
      <c r="H17878">
        <f>IF(DATOS!$G17878&lt;&gt;"EX",0,--(COUNTIFS(nNIA,DATOS!$A17878,nCURSO,DATOS!$D17878,nESPEC,DATOS!$E17878,nASIG,DATOS!$I17878,nEVAL,"OR")=0))</f>
      </c>
      <c r="I17878">
        <f>IF(DATOS!$I17878="","",IFERROR(VLOOKUP(DATOS!$I17878,CONFIG_ASIGNATURAS!$B$2:$J$91,9,FALSE()),""))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IF(DATOS!$A17879="",0,IF(CONFIG_METADATA!$B$4&lt;&gt;"OR+EX",--(DATOS!$G17879=CONFIG_METADATA!$B$4),IF(DATOS!$G17879="EX",1,IF(DATOS!$G17879="OR",--(COUNTIFS(nNIA,DATOS!$A17879,nCURSO,DATOS!$D17879,nESPEC,DATOS!$E17879,nASIG,DATOS!$I17879,nEVAL,"EX")=0),0))))</f>
      </c>
      <c r="H17879">
        <f>IF(DATOS!$G17879&lt;&gt;"EX",0,--(COUNTIFS(nNIA,DATOS!$A17879,nCURSO,DATOS!$D17879,nESPEC,DATOS!$E17879,nASIG,DATOS!$I17879,nEVAL,"OR")=0))</f>
      </c>
      <c r="I17879">
        <f>IF(DATOS!$I17879="","",IFERROR(VLOOKUP(DATOS!$I17879,CONFIG_ASIGNATURAS!$B$2:$J$91,9,FALSE()),""))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IF(DATOS!$A17880="",0,IF(CONFIG_METADATA!$B$4&lt;&gt;"OR+EX",--(DATOS!$G17880=CONFIG_METADATA!$B$4),IF(DATOS!$G17880="EX",1,IF(DATOS!$G17880="OR",--(COUNTIFS(nNIA,DATOS!$A17880,nCURSO,DATOS!$D17880,nESPEC,DATOS!$E17880,nASIG,DATOS!$I17880,nEVAL,"EX")=0),0))))</f>
      </c>
      <c r="H17880">
        <f>IF(DATOS!$G17880&lt;&gt;"EX",0,--(COUNTIFS(nNIA,DATOS!$A17880,nCURSO,DATOS!$D17880,nESPEC,DATOS!$E17880,nASIG,DATOS!$I17880,nEVAL,"OR")=0))</f>
      </c>
      <c r="I17880">
        <f>IF(DATOS!$I17880="","",IFERROR(VLOOKUP(DATOS!$I17880,CONFIG_ASIGNATURAS!$B$2:$J$91,9,FALSE()),""))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IF(DATOS!$A17881="",0,IF(CONFIG_METADATA!$B$4&lt;&gt;"OR+EX",--(DATOS!$G17881=CONFIG_METADATA!$B$4),IF(DATOS!$G17881="EX",1,IF(DATOS!$G17881="OR",--(COUNTIFS(nNIA,DATOS!$A17881,nCURSO,DATOS!$D17881,nESPEC,DATOS!$E17881,nASIG,DATOS!$I17881,nEVAL,"EX")=0),0))))</f>
      </c>
      <c r="H17881">
        <f>IF(DATOS!$G17881&lt;&gt;"EX",0,--(COUNTIFS(nNIA,DATOS!$A17881,nCURSO,DATOS!$D17881,nESPEC,DATOS!$E17881,nASIG,DATOS!$I17881,nEVAL,"OR")=0))</f>
      </c>
      <c r="I17881">
        <f>IF(DATOS!$I17881="","",IFERROR(VLOOKUP(DATOS!$I17881,CONFIG_ASIGNATURAS!$B$2:$J$91,9,FALSE()),""))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IF(DATOS!$A17882="",0,IF(CONFIG_METADATA!$B$4&lt;&gt;"OR+EX",--(DATOS!$G17882=CONFIG_METADATA!$B$4),IF(DATOS!$G17882="EX",1,IF(DATOS!$G17882="OR",--(COUNTIFS(nNIA,DATOS!$A17882,nCURSO,DATOS!$D17882,nESPEC,DATOS!$E17882,nASIG,DATOS!$I17882,nEVAL,"EX")=0),0))))</f>
      </c>
      <c r="H17882">
        <f>IF(DATOS!$G17882&lt;&gt;"EX",0,--(COUNTIFS(nNIA,DATOS!$A17882,nCURSO,DATOS!$D17882,nESPEC,DATOS!$E17882,nASIG,DATOS!$I17882,nEVAL,"OR")=0))</f>
      </c>
      <c r="I17882">
        <f>IF(DATOS!$I17882="","",IFERROR(VLOOKUP(DATOS!$I17882,CONFIG_ASIGNATURAS!$B$2:$J$91,9,FALSE()),""))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IF(DATOS!$A17883="",0,IF(CONFIG_METADATA!$B$4&lt;&gt;"OR+EX",--(DATOS!$G17883=CONFIG_METADATA!$B$4),IF(DATOS!$G17883="EX",1,IF(DATOS!$G17883="OR",--(COUNTIFS(nNIA,DATOS!$A17883,nCURSO,DATOS!$D17883,nESPEC,DATOS!$E17883,nASIG,DATOS!$I17883,nEVAL,"EX")=0),0))))</f>
      </c>
      <c r="H17883">
        <f>IF(DATOS!$G17883&lt;&gt;"EX",0,--(COUNTIFS(nNIA,DATOS!$A17883,nCURSO,DATOS!$D17883,nESPEC,DATOS!$E17883,nASIG,DATOS!$I17883,nEVAL,"OR")=0))</f>
      </c>
      <c r="I17883">
        <f>IF(DATOS!$I17883="","",IFERROR(VLOOKUP(DATOS!$I17883,CONFIG_ASIGNATURAS!$B$2:$J$91,9,FALSE()),""))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IF(DATOS!$A17884="",0,IF(CONFIG_METADATA!$B$4&lt;&gt;"OR+EX",--(DATOS!$G17884=CONFIG_METADATA!$B$4),IF(DATOS!$G17884="EX",1,IF(DATOS!$G17884="OR",--(COUNTIFS(nNIA,DATOS!$A17884,nCURSO,DATOS!$D17884,nESPEC,DATOS!$E17884,nASIG,DATOS!$I17884,nEVAL,"EX")=0),0))))</f>
      </c>
      <c r="H17884">
        <f>IF(DATOS!$G17884&lt;&gt;"EX",0,--(COUNTIFS(nNIA,DATOS!$A17884,nCURSO,DATOS!$D17884,nESPEC,DATOS!$E17884,nASIG,DATOS!$I17884,nEVAL,"OR")=0))</f>
      </c>
      <c r="I17884">
        <f>IF(DATOS!$I17884="","",IFERROR(VLOOKUP(DATOS!$I17884,CONFIG_ASIGNATURAS!$B$2:$J$91,9,FALSE()),""))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IF(DATOS!$A17885="",0,IF(CONFIG_METADATA!$B$4&lt;&gt;"OR+EX",--(DATOS!$G17885=CONFIG_METADATA!$B$4),IF(DATOS!$G17885="EX",1,IF(DATOS!$G17885="OR",--(COUNTIFS(nNIA,DATOS!$A17885,nCURSO,DATOS!$D17885,nESPEC,DATOS!$E17885,nASIG,DATOS!$I17885,nEVAL,"EX")=0),0))))</f>
      </c>
      <c r="H17885">
        <f>IF(DATOS!$G17885&lt;&gt;"EX",0,--(COUNTIFS(nNIA,DATOS!$A17885,nCURSO,DATOS!$D17885,nESPEC,DATOS!$E17885,nASIG,DATOS!$I17885,nEVAL,"OR")=0))</f>
      </c>
      <c r="I17885">
        <f>IF(DATOS!$I17885="","",IFERROR(VLOOKUP(DATOS!$I17885,CONFIG_ASIGNATURAS!$B$2:$J$91,9,FALSE()),""))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IF(DATOS!$A17886="",0,IF(CONFIG_METADATA!$B$4&lt;&gt;"OR+EX",--(DATOS!$G17886=CONFIG_METADATA!$B$4),IF(DATOS!$G17886="EX",1,IF(DATOS!$G17886="OR",--(COUNTIFS(nNIA,DATOS!$A17886,nCURSO,DATOS!$D17886,nESPEC,DATOS!$E17886,nASIG,DATOS!$I17886,nEVAL,"EX")=0),0))))</f>
      </c>
      <c r="H17886">
        <f>IF(DATOS!$G17886&lt;&gt;"EX",0,--(COUNTIFS(nNIA,DATOS!$A17886,nCURSO,DATOS!$D17886,nESPEC,DATOS!$E17886,nASIG,DATOS!$I17886,nEVAL,"OR")=0))</f>
      </c>
      <c r="I17886">
        <f>IF(DATOS!$I17886="","",IFERROR(VLOOKUP(DATOS!$I17886,CONFIG_ASIGNATURAS!$B$2:$J$91,9,FALSE()),""))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IF(DATOS!$A17887="",0,IF(CONFIG_METADATA!$B$4&lt;&gt;"OR+EX",--(DATOS!$G17887=CONFIG_METADATA!$B$4),IF(DATOS!$G17887="EX",1,IF(DATOS!$G17887="OR",--(COUNTIFS(nNIA,DATOS!$A17887,nCURSO,DATOS!$D17887,nESPEC,DATOS!$E17887,nASIG,DATOS!$I17887,nEVAL,"EX")=0),0))))</f>
      </c>
      <c r="H17887">
        <f>IF(DATOS!$G17887&lt;&gt;"EX",0,--(COUNTIFS(nNIA,DATOS!$A17887,nCURSO,DATOS!$D17887,nESPEC,DATOS!$E17887,nASIG,DATOS!$I17887,nEVAL,"OR")=0))</f>
      </c>
      <c r="I17887">
        <f>IF(DATOS!$I17887="","",IFERROR(VLOOKUP(DATOS!$I17887,CONFIG_ASIGNATURAS!$B$2:$J$91,9,FALSE()),""))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IF(DATOS!$A17888="",0,IF(CONFIG_METADATA!$B$4&lt;&gt;"OR+EX",--(DATOS!$G17888=CONFIG_METADATA!$B$4),IF(DATOS!$G17888="EX",1,IF(DATOS!$G17888="OR",--(COUNTIFS(nNIA,DATOS!$A17888,nCURSO,DATOS!$D17888,nESPEC,DATOS!$E17888,nASIG,DATOS!$I17888,nEVAL,"EX")=0),0))))</f>
      </c>
      <c r="H17888">
        <f>IF(DATOS!$G17888&lt;&gt;"EX",0,--(COUNTIFS(nNIA,DATOS!$A17888,nCURSO,DATOS!$D17888,nESPEC,DATOS!$E17888,nASIG,DATOS!$I17888,nEVAL,"OR")=0))</f>
      </c>
      <c r="I17888">
        <f>IF(DATOS!$I17888="","",IFERROR(VLOOKUP(DATOS!$I17888,CONFIG_ASIGNATURAS!$B$2:$J$91,9,FALSE()),""))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IF(DATOS!$A17889="",0,IF(CONFIG_METADATA!$B$4&lt;&gt;"OR+EX",--(DATOS!$G17889=CONFIG_METADATA!$B$4),IF(DATOS!$G17889="EX",1,IF(DATOS!$G17889="OR",--(COUNTIFS(nNIA,DATOS!$A17889,nCURSO,DATOS!$D17889,nESPEC,DATOS!$E17889,nASIG,DATOS!$I17889,nEVAL,"EX")=0),0))))</f>
      </c>
      <c r="H17889">
        <f>IF(DATOS!$G17889&lt;&gt;"EX",0,--(COUNTIFS(nNIA,DATOS!$A17889,nCURSO,DATOS!$D17889,nESPEC,DATOS!$E17889,nASIG,DATOS!$I17889,nEVAL,"OR")=0))</f>
      </c>
      <c r="I17889">
        <f>IF(DATOS!$I17889="","",IFERROR(VLOOKUP(DATOS!$I17889,CONFIG_ASIGNATURAS!$B$2:$J$91,9,FALSE()),""))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IF(DATOS!$A17890="",0,IF(CONFIG_METADATA!$B$4&lt;&gt;"OR+EX",--(DATOS!$G17890=CONFIG_METADATA!$B$4),IF(DATOS!$G17890="EX",1,IF(DATOS!$G17890="OR",--(COUNTIFS(nNIA,DATOS!$A17890,nCURSO,DATOS!$D17890,nESPEC,DATOS!$E17890,nASIG,DATOS!$I17890,nEVAL,"EX")=0),0))))</f>
      </c>
      <c r="H17890">
        <f>IF(DATOS!$G17890&lt;&gt;"EX",0,--(COUNTIFS(nNIA,DATOS!$A17890,nCURSO,DATOS!$D17890,nESPEC,DATOS!$E17890,nASIG,DATOS!$I17890,nEVAL,"OR")=0))</f>
      </c>
      <c r="I17890">
        <f>IF(DATOS!$I17890="","",IFERROR(VLOOKUP(DATOS!$I17890,CONFIG_ASIGNATURAS!$B$2:$J$91,9,FALSE()),""))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IF(DATOS!$A17891="",0,IF(CONFIG_METADATA!$B$4&lt;&gt;"OR+EX",--(DATOS!$G17891=CONFIG_METADATA!$B$4),IF(DATOS!$G17891="EX",1,IF(DATOS!$G17891="OR",--(COUNTIFS(nNIA,DATOS!$A17891,nCURSO,DATOS!$D17891,nESPEC,DATOS!$E17891,nASIG,DATOS!$I17891,nEVAL,"EX")=0),0))))</f>
      </c>
      <c r="H17891">
        <f>IF(DATOS!$G17891&lt;&gt;"EX",0,--(COUNTIFS(nNIA,DATOS!$A17891,nCURSO,DATOS!$D17891,nESPEC,DATOS!$E17891,nASIG,DATOS!$I17891,nEVAL,"OR")=0))</f>
      </c>
      <c r="I17891">
        <f>IF(DATOS!$I17891="","",IFERROR(VLOOKUP(DATOS!$I17891,CONFIG_ASIGNATURAS!$B$2:$J$91,9,FALSE()),""))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IF(DATOS!$A17892="",0,IF(CONFIG_METADATA!$B$4&lt;&gt;"OR+EX",--(DATOS!$G17892=CONFIG_METADATA!$B$4),IF(DATOS!$G17892="EX",1,IF(DATOS!$G17892="OR",--(COUNTIFS(nNIA,DATOS!$A17892,nCURSO,DATOS!$D17892,nESPEC,DATOS!$E17892,nASIG,DATOS!$I17892,nEVAL,"EX")=0),0))))</f>
      </c>
      <c r="H17892">
        <f>IF(DATOS!$G17892&lt;&gt;"EX",0,--(COUNTIFS(nNIA,DATOS!$A17892,nCURSO,DATOS!$D17892,nESPEC,DATOS!$E17892,nASIG,DATOS!$I17892,nEVAL,"OR")=0))</f>
      </c>
      <c r="I17892">
        <f>IF(DATOS!$I17892="","",IFERROR(VLOOKUP(DATOS!$I17892,CONFIG_ASIGNATURAS!$B$2:$J$91,9,FALSE()),""))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IF(DATOS!$A17893="",0,IF(CONFIG_METADATA!$B$4&lt;&gt;"OR+EX",--(DATOS!$G17893=CONFIG_METADATA!$B$4),IF(DATOS!$G17893="EX",1,IF(DATOS!$G17893="OR",--(COUNTIFS(nNIA,DATOS!$A17893,nCURSO,DATOS!$D17893,nESPEC,DATOS!$E17893,nASIG,DATOS!$I17893,nEVAL,"EX")=0),0))))</f>
      </c>
      <c r="H17893">
        <f>IF(DATOS!$G17893&lt;&gt;"EX",0,--(COUNTIFS(nNIA,DATOS!$A17893,nCURSO,DATOS!$D17893,nESPEC,DATOS!$E17893,nASIG,DATOS!$I17893,nEVAL,"OR")=0))</f>
      </c>
      <c r="I17893">
        <f>IF(DATOS!$I17893="","",IFERROR(VLOOKUP(DATOS!$I17893,CONFIG_ASIGNATURAS!$B$2:$J$91,9,FALSE()),""))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IF(DATOS!$A17894="",0,IF(CONFIG_METADATA!$B$4&lt;&gt;"OR+EX",--(DATOS!$G17894=CONFIG_METADATA!$B$4),IF(DATOS!$G17894="EX",1,IF(DATOS!$G17894="OR",--(COUNTIFS(nNIA,DATOS!$A17894,nCURSO,DATOS!$D17894,nESPEC,DATOS!$E17894,nASIG,DATOS!$I17894,nEVAL,"EX")=0),0))))</f>
      </c>
      <c r="H17894">
        <f>IF(DATOS!$G17894&lt;&gt;"EX",0,--(COUNTIFS(nNIA,DATOS!$A17894,nCURSO,DATOS!$D17894,nESPEC,DATOS!$E17894,nASIG,DATOS!$I17894,nEVAL,"OR")=0))</f>
      </c>
      <c r="I17894">
        <f>IF(DATOS!$I17894="","",IFERROR(VLOOKUP(DATOS!$I17894,CONFIG_ASIGNATURAS!$B$2:$J$91,9,FALSE()),""))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IF(DATOS!$A17895="",0,IF(CONFIG_METADATA!$B$4&lt;&gt;"OR+EX",--(DATOS!$G17895=CONFIG_METADATA!$B$4),IF(DATOS!$G17895="EX",1,IF(DATOS!$G17895="OR",--(COUNTIFS(nNIA,DATOS!$A17895,nCURSO,DATOS!$D17895,nESPEC,DATOS!$E17895,nASIG,DATOS!$I17895,nEVAL,"EX")=0),0))))</f>
      </c>
      <c r="H17895">
        <f>IF(DATOS!$G17895&lt;&gt;"EX",0,--(COUNTIFS(nNIA,DATOS!$A17895,nCURSO,DATOS!$D17895,nESPEC,DATOS!$E17895,nASIG,DATOS!$I17895,nEVAL,"OR")=0))</f>
      </c>
      <c r="I17895">
        <f>IF(DATOS!$I17895="","",IFERROR(VLOOKUP(DATOS!$I17895,CONFIG_ASIGNATURAS!$B$2:$J$91,9,FALSE()),""))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IF(DATOS!$A17896="",0,IF(CONFIG_METADATA!$B$4&lt;&gt;"OR+EX",--(DATOS!$G17896=CONFIG_METADATA!$B$4),IF(DATOS!$G17896="EX",1,IF(DATOS!$G17896="OR",--(COUNTIFS(nNIA,DATOS!$A17896,nCURSO,DATOS!$D17896,nESPEC,DATOS!$E17896,nASIG,DATOS!$I17896,nEVAL,"EX")=0),0))))</f>
      </c>
      <c r="H17896">
        <f>IF(DATOS!$G17896&lt;&gt;"EX",0,--(COUNTIFS(nNIA,DATOS!$A17896,nCURSO,DATOS!$D17896,nESPEC,DATOS!$E17896,nASIG,DATOS!$I17896,nEVAL,"OR")=0))</f>
      </c>
      <c r="I17896">
        <f>IF(DATOS!$I17896="","",IFERROR(VLOOKUP(DATOS!$I17896,CONFIG_ASIGNATURAS!$B$2:$J$91,9,FALSE()),""))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IF(DATOS!$A17897="",0,IF(CONFIG_METADATA!$B$4&lt;&gt;"OR+EX",--(DATOS!$G17897=CONFIG_METADATA!$B$4),IF(DATOS!$G17897="EX",1,IF(DATOS!$G17897="OR",--(COUNTIFS(nNIA,DATOS!$A17897,nCURSO,DATOS!$D17897,nESPEC,DATOS!$E17897,nASIG,DATOS!$I17897,nEVAL,"EX")=0),0))))</f>
      </c>
      <c r="H17897">
        <f>IF(DATOS!$G17897&lt;&gt;"EX",0,--(COUNTIFS(nNIA,DATOS!$A17897,nCURSO,DATOS!$D17897,nESPEC,DATOS!$E17897,nASIG,DATOS!$I17897,nEVAL,"OR")=0))</f>
      </c>
      <c r="I17897">
        <f>IF(DATOS!$I17897="","",IFERROR(VLOOKUP(DATOS!$I17897,CONFIG_ASIGNATURAS!$B$2:$J$91,9,FALSE()),""))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IF(DATOS!$A17898="",0,IF(CONFIG_METADATA!$B$4&lt;&gt;"OR+EX",--(DATOS!$G17898=CONFIG_METADATA!$B$4),IF(DATOS!$G17898="EX",1,IF(DATOS!$G17898="OR",--(COUNTIFS(nNIA,DATOS!$A17898,nCURSO,DATOS!$D17898,nESPEC,DATOS!$E17898,nASIG,DATOS!$I17898,nEVAL,"EX")=0),0))))</f>
      </c>
      <c r="H17898">
        <f>IF(DATOS!$G17898&lt;&gt;"EX",0,--(COUNTIFS(nNIA,DATOS!$A17898,nCURSO,DATOS!$D17898,nESPEC,DATOS!$E17898,nASIG,DATOS!$I17898,nEVAL,"OR")=0))</f>
      </c>
      <c r="I17898">
        <f>IF(DATOS!$I17898="","",IFERROR(VLOOKUP(DATOS!$I17898,CONFIG_ASIGNATURAS!$B$2:$J$91,9,FALSE()),""))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IF(DATOS!$A17899="",0,IF(CONFIG_METADATA!$B$4&lt;&gt;"OR+EX",--(DATOS!$G17899=CONFIG_METADATA!$B$4),IF(DATOS!$G17899="EX",1,IF(DATOS!$G17899="OR",--(COUNTIFS(nNIA,DATOS!$A17899,nCURSO,DATOS!$D17899,nESPEC,DATOS!$E17899,nASIG,DATOS!$I17899,nEVAL,"EX")=0),0))))</f>
      </c>
      <c r="H17899">
        <f>IF(DATOS!$G17899&lt;&gt;"EX",0,--(COUNTIFS(nNIA,DATOS!$A17899,nCURSO,DATOS!$D17899,nESPEC,DATOS!$E17899,nASIG,DATOS!$I17899,nEVAL,"OR")=0))</f>
      </c>
      <c r="I17899">
        <f>IF(DATOS!$I17899="","",IFERROR(VLOOKUP(DATOS!$I17899,CONFIG_ASIGNATURAS!$B$2:$J$91,9,FALSE()),""))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IF(DATOS!$A17900="",0,IF(CONFIG_METADATA!$B$4&lt;&gt;"OR+EX",--(DATOS!$G17900=CONFIG_METADATA!$B$4),IF(DATOS!$G17900="EX",1,IF(DATOS!$G17900="OR",--(COUNTIFS(nNIA,DATOS!$A17900,nCURSO,DATOS!$D17900,nESPEC,DATOS!$E17900,nASIG,DATOS!$I17900,nEVAL,"EX")=0),0))))</f>
      </c>
      <c r="H17900">
        <f>IF(DATOS!$G17900&lt;&gt;"EX",0,--(COUNTIFS(nNIA,DATOS!$A17900,nCURSO,DATOS!$D17900,nESPEC,DATOS!$E17900,nASIG,DATOS!$I17900,nEVAL,"OR")=0))</f>
      </c>
      <c r="I17900">
        <f>IF(DATOS!$I17900="","",IFERROR(VLOOKUP(DATOS!$I17900,CONFIG_ASIGNATURAS!$B$2:$J$91,9,FALSE()),""))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IF(DATOS!$A17901="",0,IF(CONFIG_METADATA!$B$4&lt;&gt;"OR+EX",--(DATOS!$G17901=CONFIG_METADATA!$B$4),IF(DATOS!$G17901="EX",1,IF(DATOS!$G17901="OR",--(COUNTIFS(nNIA,DATOS!$A17901,nCURSO,DATOS!$D17901,nESPEC,DATOS!$E17901,nASIG,DATOS!$I17901,nEVAL,"EX")=0),0))))</f>
      </c>
      <c r="H17901">
        <f>IF(DATOS!$G17901&lt;&gt;"EX",0,--(COUNTIFS(nNIA,DATOS!$A17901,nCURSO,DATOS!$D17901,nESPEC,DATOS!$E17901,nASIG,DATOS!$I17901,nEVAL,"OR")=0))</f>
      </c>
      <c r="I17901">
        <f>IF(DATOS!$I17901="","",IFERROR(VLOOKUP(DATOS!$I17901,CONFIG_ASIGNATURAS!$B$2:$J$91,9,FALSE()),""))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IF(DATOS!$A17902="",0,IF(CONFIG_METADATA!$B$4&lt;&gt;"OR+EX",--(DATOS!$G17902=CONFIG_METADATA!$B$4),IF(DATOS!$G17902="EX",1,IF(DATOS!$G17902="OR",--(COUNTIFS(nNIA,DATOS!$A17902,nCURSO,DATOS!$D17902,nESPEC,DATOS!$E17902,nASIG,DATOS!$I17902,nEVAL,"EX")=0),0))))</f>
      </c>
      <c r="H17902">
        <f>IF(DATOS!$G17902&lt;&gt;"EX",0,--(COUNTIFS(nNIA,DATOS!$A17902,nCURSO,DATOS!$D17902,nESPEC,DATOS!$E17902,nASIG,DATOS!$I17902,nEVAL,"OR")=0))</f>
      </c>
      <c r="I17902">
        <f>IF(DATOS!$I17902="","",IFERROR(VLOOKUP(DATOS!$I17902,CONFIG_ASIGNATURAS!$B$2:$J$91,9,FALSE()),""))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IF(DATOS!$A17903="",0,IF(CONFIG_METADATA!$B$4&lt;&gt;"OR+EX",--(DATOS!$G17903=CONFIG_METADATA!$B$4),IF(DATOS!$G17903="EX",1,IF(DATOS!$G17903="OR",--(COUNTIFS(nNIA,DATOS!$A17903,nCURSO,DATOS!$D17903,nESPEC,DATOS!$E17903,nASIG,DATOS!$I17903,nEVAL,"EX")=0),0))))</f>
      </c>
      <c r="H17903">
        <f>IF(DATOS!$G17903&lt;&gt;"EX",0,--(COUNTIFS(nNIA,DATOS!$A17903,nCURSO,DATOS!$D17903,nESPEC,DATOS!$E17903,nASIG,DATOS!$I17903,nEVAL,"OR")=0))</f>
      </c>
      <c r="I17903">
        <f>IF(DATOS!$I17903="","",IFERROR(VLOOKUP(DATOS!$I17903,CONFIG_ASIGNATURAS!$B$2:$J$91,9,FALSE()),""))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IF(DATOS!$A17904="",0,IF(CONFIG_METADATA!$B$4&lt;&gt;"OR+EX",--(DATOS!$G17904=CONFIG_METADATA!$B$4),IF(DATOS!$G17904="EX",1,IF(DATOS!$G17904="OR",--(COUNTIFS(nNIA,DATOS!$A17904,nCURSO,DATOS!$D17904,nESPEC,DATOS!$E17904,nASIG,DATOS!$I17904,nEVAL,"EX")=0),0))))</f>
      </c>
      <c r="H17904">
        <f>IF(DATOS!$G17904&lt;&gt;"EX",0,--(COUNTIFS(nNIA,DATOS!$A17904,nCURSO,DATOS!$D17904,nESPEC,DATOS!$E17904,nASIG,DATOS!$I17904,nEVAL,"OR")=0))</f>
      </c>
      <c r="I17904">
        <f>IF(DATOS!$I17904="","",IFERROR(VLOOKUP(DATOS!$I17904,CONFIG_ASIGNATURAS!$B$2:$J$91,9,FALSE()),""))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IF(DATOS!$A17905="",0,IF(CONFIG_METADATA!$B$4&lt;&gt;"OR+EX",--(DATOS!$G17905=CONFIG_METADATA!$B$4),IF(DATOS!$G17905="EX",1,IF(DATOS!$G17905="OR",--(COUNTIFS(nNIA,DATOS!$A17905,nCURSO,DATOS!$D17905,nESPEC,DATOS!$E17905,nASIG,DATOS!$I17905,nEVAL,"EX")=0),0))))</f>
      </c>
      <c r="H17905">
        <f>IF(DATOS!$G17905&lt;&gt;"EX",0,--(COUNTIFS(nNIA,DATOS!$A17905,nCURSO,DATOS!$D17905,nESPEC,DATOS!$E17905,nASIG,DATOS!$I17905,nEVAL,"OR")=0))</f>
      </c>
      <c r="I17905">
        <f>IF(DATOS!$I17905="","",IFERROR(VLOOKUP(DATOS!$I17905,CONFIG_ASIGNATURAS!$B$2:$J$91,9,FALSE()),""))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IF(DATOS!$A17906="",0,IF(CONFIG_METADATA!$B$4&lt;&gt;"OR+EX",--(DATOS!$G17906=CONFIG_METADATA!$B$4),IF(DATOS!$G17906="EX",1,IF(DATOS!$G17906="OR",--(COUNTIFS(nNIA,DATOS!$A17906,nCURSO,DATOS!$D17906,nESPEC,DATOS!$E17906,nASIG,DATOS!$I17906,nEVAL,"EX")=0),0))))</f>
      </c>
      <c r="H17906">
        <f>IF(DATOS!$G17906&lt;&gt;"EX",0,--(COUNTIFS(nNIA,DATOS!$A17906,nCURSO,DATOS!$D17906,nESPEC,DATOS!$E17906,nASIG,DATOS!$I17906,nEVAL,"OR")=0))</f>
      </c>
      <c r="I17906">
        <f>IF(DATOS!$I17906="","",IFERROR(VLOOKUP(DATOS!$I17906,CONFIG_ASIGNATURAS!$B$2:$J$91,9,FALSE()),""))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IF(DATOS!$A17907="",0,IF(CONFIG_METADATA!$B$4&lt;&gt;"OR+EX",--(DATOS!$G17907=CONFIG_METADATA!$B$4),IF(DATOS!$G17907="EX",1,IF(DATOS!$G17907="OR",--(COUNTIFS(nNIA,DATOS!$A17907,nCURSO,DATOS!$D17907,nESPEC,DATOS!$E17907,nASIG,DATOS!$I17907,nEVAL,"EX")=0),0))))</f>
      </c>
      <c r="H17907">
        <f>IF(DATOS!$G17907&lt;&gt;"EX",0,--(COUNTIFS(nNIA,DATOS!$A17907,nCURSO,DATOS!$D17907,nESPEC,DATOS!$E17907,nASIG,DATOS!$I17907,nEVAL,"OR")=0))</f>
      </c>
      <c r="I17907">
        <f>IF(DATOS!$I17907="","",IFERROR(VLOOKUP(DATOS!$I17907,CONFIG_ASIGNATURAS!$B$2:$J$91,9,FALSE()),""))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IF(DATOS!$A17908="",0,IF(CONFIG_METADATA!$B$4&lt;&gt;"OR+EX",--(DATOS!$G17908=CONFIG_METADATA!$B$4),IF(DATOS!$G17908="EX",1,IF(DATOS!$G17908="OR",--(COUNTIFS(nNIA,DATOS!$A17908,nCURSO,DATOS!$D17908,nESPEC,DATOS!$E17908,nASIG,DATOS!$I17908,nEVAL,"EX")=0),0))))</f>
      </c>
      <c r="H17908">
        <f>IF(DATOS!$G17908&lt;&gt;"EX",0,--(COUNTIFS(nNIA,DATOS!$A17908,nCURSO,DATOS!$D17908,nESPEC,DATOS!$E17908,nASIG,DATOS!$I17908,nEVAL,"OR")=0))</f>
      </c>
      <c r="I17908">
        <f>IF(DATOS!$I17908="","",IFERROR(VLOOKUP(DATOS!$I17908,CONFIG_ASIGNATURAS!$B$2:$J$91,9,FALSE()),""))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IF(DATOS!$A17909="",0,IF(CONFIG_METADATA!$B$4&lt;&gt;"OR+EX",--(DATOS!$G17909=CONFIG_METADATA!$B$4),IF(DATOS!$G17909="EX",1,IF(DATOS!$G17909="OR",--(COUNTIFS(nNIA,DATOS!$A17909,nCURSO,DATOS!$D17909,nESPEC,DATOS!$E17909,nASIG,DATOS!$I17909,nEVAL,"EX")=0),0))))</f>
      </c>
      <c r="H17909">
        <f>IF(DATOS!$G17909&lt;&gt;"EX",0,--(COUNTIFS(nNIA,DATOS!$A17909,nCURSO,DATOS!$D17909,nESPEC,DATOS!$E17909,nASIG,DATOS!$I17909,nEVAL,"OR")=0))</f>
      </c>
      <c r="I17909">
        <f>IF(DATOS!$I17909="","",IFERROR(VLOOKUP(DATOS!$I17909,CONFIG_ASIGNATURAS!$B$2:$J$91,9,FALSE()),""))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IF(DATOS!$A17910="",0,IF(CONFIG_METADATA!$B$4&lt;&gt;"OR+EX",--(DATOS!$G17910=CONFIG_METADATA!$B$4),IF(DATOS!$G17910="EX",1,IF(DATOS!$G17910="OR",--(COUNTIFS(nNIA,DATOS!$A17910,nCURSO,DATOS!$D17910,nESPEC,DATOS!$E17910,nASIG,DATOS!$I17910,nEVAL,"EX")=0),0))))</f>
      </c>
      <c r="H17910">
        <f>IF(DATOS!$G17910&lt;&gt;"EX",0,--(COUNTIFS(nNIA,DATOS!$A17910,nCURSO,DATOS!$D17910,nESPEC,DATOS!$E17910,nASIG,DATOS!$I17910,nEVAL,"OR")=0))</f>
      </c>
      <c r="I17910">
        <f>IF(DATOS!$I17910="","",IFERROR(VLOOKUP(DATOS!$I17910,CONFIG_ASIGNATURAS!$B$2:$J$91,9,FALSE()),""))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IF(DATOS!$A17911="",0,IF(CONFIG_METADATA!$B$4&lt;&gt;"OR+EX",--(DATOS!$G17911=CONFIG_METADATA!$B$4),IF(DATOS!$G17911="EX",1,IF(DATOS!$G17911="OR",--(COUNTIFS(nNIA,DATOS!$A17911,nCURSO,DATOS!$D17911,nESPEC,DATOS!$E17911,nASIG,DATOS!$I17911,nEVAL,"EX")=0),0))))</f>
      </c>
      <c r="H17911">
        <f>IF(DATOS!$G17911&lt;&gt;"EX",0,--(COUNTIFS(nNIA,DATOS!$A17911,nCURSO,DATOS!$D17911,nESPEC,DATOS!$E17911,nASIG,DATOS!$I17911,nEVAL,"OR")=0))</f>
      </c>
      <c r="I17911">
        <f>IF(DATOS!$I17911="","",IFERROR(VLOOKUP(DATOS!$I17911,CONFIG_ASIGNATURAS!$B$2:$J$91,9,FALSE()),""))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IF(DATOS!$A17912="",0,IF(CONFIG_METADATA!$B$4&lt;&gt;"OR+EX",--(DATOS!$G17912=CONFIG_METADATA!$B$4),IF(DATOS!$G17912="EX",1,IF(DATOS!$G17912="OR",--(COUNTIFS(nNIA,DATOS!$A17912,nCURSO,DATOS!$D17912,nESPEC,DATOS!$E17912,nASIG,DATOS!$I17912,nEVAL,"EX")=0),0))))</f>
      </c>
      <c r="H17912">
        <f>IF(DATOS!$G17912&lt;&gt;"EX",0,--(COUNTIFS(nNIA,DATOS!$A17912,nCURSO,DATOS!$D17912,nESPEC,DATOS!$E17912,nASIG,DATOS!$I17912,nEVAL,"OR")=0))</f>
      </c>
      <c r="I17912">
        <f>IF(DATOS!$I17912="","",IFERROR(VLOOKUP(DATOS!$I17912,CONFIG_ASIGNATURAS!$B$2:$J$91,9,FALSE()),""))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IF(DATOS!$A17913="",0,IF(CONFIG_METADATA!$B$4&lt;&gt;"OR+EX",--(DATOS!$G17913=CONFIG_METADATA!$B$4),IF(DATOS!$G17913="EX",1,IF(DATOS!$G17913="OR",--(COUNTIFS(nNIA,DATOS!$A17913,nCURSO,DATOS!$D17913,nESPEC,DATOS!$E17913,nASIG,DATOS!$I17913,nEVAL,"EX")=0),0))))</f>
      </c>
      <c r="H17913">
        <f>IF(DATOS!$G17913&lt;&gt;"EX",0,--(COUNTIFS(nNIA,DATOS!$A17913,nCURSO,DATOS!$D17913,nESPEC,DATOS!$E17913,nASIG,DATOS!$I17913,nEVAL,"OR")=0))</f>
      </c>
      <c r="I17913">
        <f>IF(DATOS!$I17913="","",IFERROR(VLOOKUP(DATOS!$I17913,CONFIG_ASIGNATURAS!$B$2:$J$91,9,FALSE()),""))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IF(DATOS!$A17914="",0,IF(CONFIG_METADATA!$B$4&lt;&gt;"OR+EX",--(DATOS!$G17914=CONFIG_METADATA!$B$4),IF(DATOS!$G17914="EX",1,IF(DATOS!$G17914="OR",--(COUNTIFS(nNIA,DATOS!$A17914,nCURSO,DATOS!$D17914,nESPEC,DATOS!$E17914,nASIG,DATOS!$I17914,nEVAL,"EX")=0),0))))</f>
      </c>
      <c r="H17914">
        <f>IF(DATOS!$G17914&lt;&gt;"EX",0,--(COUNTIFS(nNIA,DATOS!$A17914,nCURSO,DATOS!$D17914,nESPEC,DATOS!$E17914,nASIG,DATOS!$I17914,nEVAL,"OR")=0))</f>
      </c>
      <c r="I17914">
        <f>IF(DATOS!$I17914="","",IFERROR(VLOOKUP(DATOS!$I17914,CONFIG_ASIGNATURAS!$B$2:$J$91,9,FALSE()),""))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IF(DATOS!$A17915="",0,IF(CONFIG_METADATA!$B$4&lt;&gt;"OR+EX",--(DATOS!$G17915=CONFIG_METADATA!$B$4),IF(DATOS!$G17915="EX",1,IF(DATOS!$G17915="OR",--(COUNTIFS(nNIA,DATOS!$A17915,nCURSO,DATOS!$D17915,nESPEC,DATOS!$E17915,nASIG,DATOS!$I17915,nEVAL,"EX")=0),0))))</f>
      </c>
      <c r="H17915">
        <f>IF(DATOS!$G17915&lt;&gt;"EX",0,--(COUNTIFS(nNIA,DATOS!$A17915,nCURSO,DATOS!$D17915,nESPEC,DATOS!$E17915,nASIG,DATOS!$I17915,nEVAL,"OR")=0))</f>
      </c>
      <c r="I17915">
        <f>IF(DATOS!$I17915="","",IFERROR(VLOOKUP(DATOS!$I17915,CONFIG_ASIGNATURAS!$B$2:$J$91,9,FALSE()),""))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IF(DATOS!$A17916="",0,IF(CONFIG_METADATA!$B$4&lt;&gt;"OR+EX",--(DATOS!$G17916=CONFIG_METADATA!$B$4),IF(DATOS!$G17916="EX",1,IF(DATOS!$G17916="OR",--(COUNTIFS(nNIA,DATOS!$A17916,nCURSO,DATOS!$D17916,nESPEC,DATOS!$E17916,nASIG,DATOS!$I17916,nEVAL,"EX")=0),0))))</f>
      </c>
      <c r="H17916">
        <f>IF(DATOS!$G17916&lt;&gt;"EX",0,--(COUNTIFS(nNIA,DATOS!$A17916,nCURSO,DATOS!$D17916,nESPEC,DATOS!$E17916,nASIG,DATOS!$I17916,nEVAL,"OR")=0))</f>
      </c>
      <c r="I17916">
        <f>IF(DATOS!$I17916="","",IFERROR(VLOOKUP(DATOS!$I17916,CONFIG_ASIGNATURAS!$B$2:$J$91,9,FALSE()),""))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IF(DATOS!$A17917="",0,IF(CONFIG_METADATA!$B$4&lt;&gt;"OR+EX",--(DATOS!$G17917=CONFIG_METADATA!$B$4),IF(DATOS!$G17917="EX",1,IF(DATOS!$G17917="OR",--(COUNTIFS(nNIA,DATOS!$A17917,nCURSO,DATOS!$D17917,nESPEC,DATOS!$E17917,nASIG,DATOS!$I17917,nEVAL,"EX")=0),0))))</f>
      </c>
      <c r="H17917">
        <f>IF(DATOS!$G17917&lt;&gt;"EX",0,--(COUNTIFS(nNIA,DATOS!$A17917,nCURSO,DATOS!$D17917,nESPEC,DATOS!$E17917,nASIG,DATOS!$I17917,nEVAL,"OR")=0))</f>
      </c>
      <c r="I17917">
        <f>IF(DATOS!$I17917="","",IFERROR(VLOOKUP(DATOS!$I17917,CONFIG_ASIGNATURAS!$B$2:$J$91,9,FALSE()),""))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IF(DATOS!$A17918="",0,IF(CONFIG_METADATA!$B$4&lt;&gt;"OR+EX",--(DATOS!$G17918=CONFIG_METADATA!$B$4),IF(DATOS!$G17918="EX",1,IF(DATOS!$G17918="OR",--(COUNTIFS(nNIA,DATOS!$A17918,nCURSO,DATOS!$D17918,nESPEC,DATOS!$E17918,nASIG,DATOS!$I17918,nEVAL,"EX")=0),0))))</f>
      </c>
      <c r="H17918">
        <f>IF(DATOS!$G17918&lt;&gt;"EX",0,--(COUNTIFS(nNIA,DATOS!$A17918,nCURSO,DATOS!$D17918,nESPEC,DATOS!$E17918,nASIG,DATOS!$I17918,nEVAL,"OR")=0))</f>
      </c>
      <c r="I17918">
        <f>IF(DATOS!$I17918="","",IFERROR(VLOOKUP(DATOS!$I17918,CONFIG_ASIGNATURAS!$B$2:$J$91,9,FALSE()),""))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IF(DATOS!$A17919="",0,IF(CONFIG_METADATA!$B$4&lt;&gt;"OR+EX",--(DATOS!$G17919=CONFIG_METADATA!$B$4),IF(DATOS!$G17919="EX",1,IF(DATOS!$G17919="OR",--(COUNTIFS(nNIA,DATOS!$A17919,nCURSO,DATOS!$D17919,nESPEC,DATOS!$E17919,nASIG,DATOS!$I17919,nEVAL,"EX")=0),0))))</f>
      </c>
      <c r="H17919">
        <f>IF(DATOS!$G17919&lt;&gt;"EX",0,--(COUNTIFS(nNIA,DATOS!$A17919,nCURSO,DATOS!$D17919,nESPEC,DATOS!$E17919,nASIG,DATOS!$I17919,nEVAL,"OR")=0))</f>
      </c>
      <c r="I17919">
        <f>IF(DATOS!$I17919="","",IFERROR(VLOOKUP(DATOS!$I17919,CONFIG_ASIGNATURAS!$B$2:$J$91,9,FALSE()),""))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IF(DATOS!$A17920="",0,IF(CONFIG_METADATA!$B$4&lt;&gt;"OR+EX",--(DATOS!$G17920=CONFIG_METADATA!$B$4),IF(DATOS!$G17920="EX",1,IF(DATOS!$G17920="OR",--(COUNTIFS(nNIA,DATOS!$A17920,nCURSO,DATOS!$D17920,nESPEC,DATOS!$E17920,nASIG,DATOS!$I17920,nEVAL,"EX")=0),0))))</f>
      </c>
      <c r="H17920">
        <f>IF(DATOS!$G17920&lt;&gt;"EX",0,--(COUNTIFS(nNIA,DATOS!$A17920,nCURSO,DATOS!$D17920,nESPEC,DATOS!$E17920,nASIG,DATOS!$I17920,nEVAL,"OR")=0))</f>
      </c>
      <c r="I17920">
        <f>IF(DATOS!$I17920="","",IFERROR(VLOOKUP(DATOS!$I17920,CONFIG_ASIGNATURAS!$B$2:$J$91,9,FALSE()),""))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IF(DATOS!$A17921="",0,IF(CONFIG_METADATA!$B$4&lt;&gt;"OR+EX",--(DATOS!$G17921=CONFIG_METADATA!$B$4),IF(DATOS!$G17921="EX",1,IF(DATOS!$G17921="OR",--(COUNTIFS(nNIA,DATOS!$A17921,nCURSO,DATOS!$D17921,nESPEC,DATOS!$E17921,nASIG,DATOS!$I17921,nEVAL,"EX")=0),0))))</f>
      </c>
      <c r="H17921">
        <f>IF(DATOS!$G17921&lt;&gt;"EX",0,--(COUNTIFS(nNIA,DATOS!$A17921,nCURSO,DATOS!$D17921,nESPEC,DATOS!$E17921,nASIG,DATOS!$I17921,nEVAL,"OR")=0))</f>
      </c>
      <c r="I17921">
        <f>IF(DATOS!$I17921="","",IFERROR(VLOOKUP(DATOS!$I17921,CONFIG_ASIGNATURAS!$B$2:$J$91,9,FALSE()),""))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IF(DATOS!$A17922="",0,IF(CONFIG_METADATA!$B$4&lt;&gt;"OR+EX",--(DATOS!$G17922=CONFIG_METADATA!$B$4),IF(DATOS!$G17922="EX",1,IF(DATOS!$G17922="OR",--(COUNTIFS(nNIA,DATOS!$A17922,nCURSO,DATOS!$D17922,nESPEC,DATOS!$E17922,nASIG,DATOS!$I17922,nEVAL,"EX")=0),0))))</f>
      </c>
      <c r="H17922">
        <f>IF(DATOS!$G17922&lt;&gt;"EX",0,--(COUNTIFS(nNIA,DATOS!$A17922,nCURSO,DATOS!$D17922,nESPEC,DATOS!$E17922,nASIG,DATOS!$I17922,nEVAL,"OR")=0))</f>
      </c>
      <c r="I17922">
        <f>IF(DATOS!$I17922="","",IFERROR(VLOOKUP(DATOS!$I17922,CONFIG_ASIGNATURAS!$B$2:$J$91,9,FALSE()),""))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IF(DATOS!$A17923="",0,IF(CONFIG_METADATA!$B$4&lt;&gt;"OR+EX",--(DATOS!$G17923=CONFIG_METADATA!$B$4),IF(DATOS!$G17923="EX",1,IF(DATOS!$G17923="OR",--(COUNTIFS(nNIA,DATOS!$A17923,nCURSO,DATOS!$D17923,nESPEC,DATOS!$E17923,nASIG,DATOS!$I17923,nEVAL,"EX")=0),0))))</f>
      </c>
      <c r="H17923">
        <f>IF(DATOS!$G17923&lt;&gt;"EX",0,--(COUNTIFS(nNIA,DATOS!$A17923,nCURSO,DATOS!$D17923,nESPEC,DATOS!$E17923,nASIG,DATOS!$I17923,nEVAL,"OR")=0))</f>
      </c>
      <c r="I17923">
        <f>IF(DATOS!$I17923="","",IFERROR(VLOOKUP(DATOS!$I17923,CONFIG_ASIGNATURAS!$B$2:$J$91,9,FALSE()),""))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IF(DATOS!$A17924="",0,IF(CONFIG_METADATA!$B$4&lt;&gt;"OR+EX",--(DATOS!$G17924=CONFIG_METADATA!$B$4),IF(DATOS!$G17924="EX",1,IF(DATOS!$G17924="OR",--(COUNTIFS(nNIA,DATOS!$A17924,nCURSO,DATOS!$D17924,nESPEC,DATOS!$E17924,nASIG,DATOS!$I17924,nEVAL,"EX")=0),0))))</f>
      </c>
      <c r="H17924">
        <f>IF(DATOS!$G17924&lt;&gt;"EX",0,--(COUNTIFS(nNIA,DATOS!$A17924,nCURSO,DATOS!$D17924,nESPEC,DATOS!$E17924,nASIG,DATOS!$I17924,nEVAL,"OR")=0))</f>
      </c>
      <c r="I17924">
        <f>IF(DATOS!$I17924="","",IFERROR(VLOOKUP(DATOS!$I17924,CONFIG_ASIGNATURAS!$B$2:$J$91,9,FALSE()),""))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IF(DATOS!$A17925="",0,IF(CONFIG_METADATA!$B$4&lt;&gt;"OR+EX",--(DATOS!$G17925=CONFIG_METADATA!$B$4),IF(DATOS!$G17925="EX",1,IF(DATOS!$G17925="OR",--(COUNTIFS(nNIA,DATOS!$A17925,nCURSO,DATOS!$D17925,nESPEC,DATOS!$E17925,nASIG,DATOS!$I17925,nEVAL,"EX")=0),0))))</f>
      </c>
      <c r="H17925">
        <f>IF(DATOS!$G17925&lt;&gt;"EX",0,--(COUNTIFS(nNIA,DATOS!$A17925,nCURSO,DATOS!$D17925,nESPEC,DATOS!$E17925,nASIG,DATOS!$I17925,nEVAL,"OR")=0))</f>
      </c>
      <c r="I17925">
        <f>IF(DATOS!$I17925="","",IFERROR(VLOOKUP(DATOS!$I17925,CONFIG_ASIGNATURAS!$B$2:$J$91,9,FALSE()),""))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IF(DATOS!$A17926="",0,IF(CONFIG_METADATA!$B$4&lt;&gt;"OR+EX",--(DATOS!$G17926=CONFIG_METADATA!$B$4),IF(DATOS!$G17926="EX",1,IF(DATOS!$G17926="OR",--(COUNTIFS(nNIA,DATOS!$A17926,nCURSO,DATOS!$D17926,nESPEC,DATOS!$E17926,nASIG,DATOS!$I17926,nEVAL,"EX")=0),0))))</f>
      </c>
      <c r="H17926">
        <f>IF(DATOS!$G17926&lt;&gt;"EX",0,--(COUNTIFS(nNIA,DATOS!$A17926,nCURSO,DATOS!$D17926,nESPEC,DATOS!$E17926,nASIG,DATOS!$I17926,nEVAL,"OR")=0))</f>
      </c>
      <c r="I17926">
        <f>IF(DATOS!$I17926="","",IFERROR(VLOOKUP(DATOS!$I17926,CONFIG_ASIGNATURAS!$B$2:$J$91,9,FALSE()),""))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IF(DATOS!$A17927="",0,IF(CONFIG_METADATA!$B$4&lt;&gt;"OR+EX",--(DATOS!$G17927=CONFIG_METADATA!$B$4),IF(DATOS!$G17927="EX",1,IF(DATOS!$G17927="OR",--(COUNTIFS(nNIA,DATOS!$A17927,nCURSO,DATOS!$D17927,nESPEC,DATOS!$E17927,nASIG,DATOS!$I17927,nEVAL,"EX")=0),0))))</f>
      </c>
      <c r="H17927">
        <f>IF(DATOS!$G17927&lt;&gt;"EX",0,--(COUNTIFS(nNIA,DATOS!$A17927,nCURSO,DATOS!$D17927,nESPEC,DATOS!$E17927,nASIG,DATOS!$I17927,nEVAL,"OR")=0))</f>
      </c>
      <c r="I17927">
        <f>IF(DATOS!$I17927="","",IFERROR(VLOOKUP(DATOS!$I17927,CONFIG_ASIGNATURAS!$B$2:$J$91,9,FALSE()),""))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IF(DATOS!$A17928="",0,IF(CONFIG_METADATA!$B$4&lt;&gt;"OR+EX",--(DATOS!$G17928=CONFIG_METADATA!$B$4),IF(DATOS!$G17928="EX",1,IF(DATOS!$G17928="OR",--(COUNTIFS(nNIA,DATOS!$A17928,nCURSO,DATOS!$D17928,nESPEC,DATOS!$E17928,nASIG,DATOS!$I17928,nEVAL,"EX")=0),0))))</f>
      </c>
      <c r="H17928">
        <f>IF(DATOS!$G17928&lt;&gt;"EX",0,--(COUNTIFS(nNIA,DATOS!$A17928,nCURSO,DATOS!$D17928,nESPEC,DATOS!$E17928,nASIG,DATOS!$I17928,nEVAL,"OR")=0))</f>
      </c>
      <c r="I17928">
        <f>IF(DATOS!$I17928="","",IFERROR(VLOOKUP(DATOS!$I17928,CONFIG_ASIGNATURAS!$B$2:$J$91,9,FALSE()),""))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IF(DATOS!$A17929="",0,IF(CONFIG_METADATA!$B$4&lt;&gt;"OR+EX",--(DATOS!$G17929=CONFIG_METADATA!$B$4),IF(DATOS!$G17929="EX",1,IF(DATOS!$G17929="OR",--(COUNTIFS(nNIA,DATOS!$A17929,nCURSO,DATOS!$D17929,nESPEC,DATOS!$E17929,nASIG,DATOS!$I17929,nEVAL,"EX")=0),0))))</f>
      </c>
      <c r="H17929">
        <f>IF(DATOS!$G17929&lt;&gt;"EX",0,--(COUNTIFS(nNIA,DATOS!$A17929,nCURSO,DATOS!$D17929,nESPEC,DATOS!$E17929,nASIG,DATOS!$I17929,nEVAL,"OR")=0))</f>
      </c>
      <c r="I17929">
        <f>IF(DATOS!$I17929="","",IFERROR(VLOOKUP(DATOS!$I17929,CONFIG_ASIGNATURAS!$B$2:$J$91,9,FALSE()),""))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IF(DATOS!$A17930="",0,IF(CONFIG_METADATA!$B$4&lt;&gt;"OR+EX",--(DATOS!$G17930=CONFIG_METADATA!$B$4),IF(DATOS!$G17930="EX",1,IF(DATOS!$G17930="OR",--(COUNTIFS(nNIA,DATOS!$A17930,nCURSO,DATOS!$D17930,nESPEC,DATOS!$E17930,nASIG,DATOS!$I17930,nEVAL,"EX")=0),0))))</f>
      </c>
      <c r="H17930">
        <f>IF(DATOS!$G17930&lt;&gt;"EX",0,--(COUNTIFS(nNIA,DATOS!$A17930,nCURSO,DATOS!$D17930,nESPEC,DATOS!$E17930,nASIG,DATOS!$I17930,nEVAL,"OR")=0))</f>
      </c>
      <c r="I17930">
        <f>IF(DATOS!$I17930="","",IFERROR(VLOOKUP(DATOS!$I17930,CONFIG_ASIGNATURAS!$B$2:$J$91,9,FALSE()),""))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IF(DATOS!$A17931="",0,IF(CONFIG_METADATA!$B$4&lt;&gt;"OR+EX",--(DATOS!$G17931=CONFIG_METADATA!$B$4),IF(DATOS!$G17931="EX",1,IF(DATOS!$G17931="OR",--(COUNTIFS(nNIA,DATOS!$A17931,nCURSO,DATOS!$D17931,nESPEC,DATOS!$E17931,nASIG,DATOS!$I17931,nEVAL,"EX")=0),0))))</f>
      </c>
      <c r="H17931">
        <f>IF(DATOS!$G17931&lt;&gt;"EX",0,--(COUNTIFS(nNIA,DATOS!$A17931,nCURSO,DATOS!$D17931,nESPEC,DATOS!$E17931,nASIG,DATOS!$I17931,nEVAL,"OR")=0))</f>
      </c>
      <c r="I17931">
        <f>IF(DATOS!$I17931="","",IFERROR(VLOOKUP(DATOS!$I17931,CONFIG_ASIGNATURAS!$B$2:$J$91,9,FALSE()),""))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IF(DATOS!$A17932="",0,IF(CONFIG_METADATA!$B$4&lt;&gt;"OR+EX",--(DATOS!$G17932=CONFIG_METADATA!$B$4),IF(DATOS!$G17932="EX",1,IF(DATOS!$G17932="OR",--(COUNTIFS(nNIA,DATOS!$A17932,nCURSO,DATOS!$D17932,nESPEC,DATOS!$E17932,nASIG,DATOS!$I17932,nEVAL,"EX")=0),0))))</f>
      </c>
      <c r="H17932">
        <f>IF(DATOS!$G17932&lt;&gt;"EX",0,--(COUNTIFS(nNIA,DATOS!$A17932,nCURSO,DATOS!$D17932,nESPEC,DATOS!$E17932,nASIG,DATOS!$I17932,nEVAL,"OR")=0))</f>
      </c>
      <c r="I17932">
        <f>IF(DATOS!$I17932="","",IFERROR(VLOOKUP(DATOS!$I17932,CONFIG_ASIGNATURAS!$B$2:$J$91,9,FALSE()),""))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IF(DATOS!$A17933="",0,IF(CONFIG_METADATA!$B$4&lt;&gt;"OR+EX",--(DATOS!$G17933=CONFIG_METADATA!$B$4),IF(DATOS!$G17933="EX",1,IF(DATOS!$G17933="OR",--(COUNTIFS(nNIA,DATOS!$A17933,nCURSO,DATOS!$D17933,nESPEC,DATOS!$E17933,nASIG,DATOS!$I17933,nEVAL,"EX")=0),0))))</f>
      </c>
      <c r="H17933">
        <f>IF(DATOS!$G17933&lt;&gt;"EX",0,--(COUNTIFS(nNIA,DATOS!$A17933,nCURSO,DATOS!$D17933,nESPEC,DATOS!$E17933,nASIG,DATOS!$I17933,nEVAL,"OR")=0))</f>
      </c>
      <c r="I17933">
        <f>IF(DATOS!$I17933="","",IFERROR(VLOOKUP(DATOS!$I17933,CONFIG_ASIGNATURAS!$B$2:$J$91,9,FALSE()),""))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IF(DATOS!$A17934="",0,IF(CONFIG_METADATA!$B$4&lt;&gt;"OR+EX",--(DATOS!$G17934=CONFIG_METADATA!$B$4),IF(DATOS!$G17934="EX",1,IF(DATOS!$G17934="OR",--(COUNTIFS(nNIA,DATOS!$A17934,nCURSO,DATOS!$D17934,nESPEC,DATOS!$E17934,nASIG,DATOS!$I17934,nEVAL,"EX")=0),0))))</f>
      </c>
      <c r="H17934">
        <f>IF(DATOS!$G17934&lt;&gt;"EX",0,--(COUNTIFS(nNIA,DATOS!$A17934,nCURSO,DATOS!$D17934,nESPEC,DATOS!$E17934,nASIG,DATOS!$I17934,nEVAL,"OR")=0))</f>
      </c>
      <c r="I17934">
        <f>IF(DATOS!$I17934="","",IFERROR(VLOOKUP(DATOS!$I17934,CONFIG_ASIGNATURAS!$B$2:$J$91,9,FALSE()),""))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IF(DATOS!$A17935="",0,IF(CONFIG_METADATA!$B$4&lt;&gt;"OR+EX",--(DATOS!$G17935=CONFIG_METADATA!$B$4),IF(DATOS!$G17935="EX",1,IF(DATOS!$G17935="OR",--(COUNTIFS(nNIA,DATOS!$A17935,nCURSO,DATOS!$D17935,nESPEC,DATOS!$E17935,nASIG,DATOS!$I17935,nEVAL,"EX")=0),0))))</f>
      </c>
      <c r="H17935">
        <f>IF(DATOS!$G17935&lt;&gt;"EX",0,--(COUNTIFS(nNIA,DATOS!$A17935,nCURSO,DATOS!$D17935,nESPEC,DATOS!$E17935,nASIG,DATOS!$I17935,nEVAL,"OR")=0))</f>
      </c>
      <c r="I17935">
        <f>IF(DATOS!$I17935="","",IFERROR(VLOOKUP(DATOS!$I17935,CONFIG_ASIGNATURAS!$B$2:$J$91,9,FALSE()),""))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IF(DATOS!$A17936="",0,IF(CONFIG_METADATA!$B$4&lt;&gt;"OR+EX",--(DATOS!$G17936=CONFIG_METADATA!$B$4),IF(DATOS!$G17936="EX",1,IF(DATOS!$G17936="OR",--(COUNTIFS(nNIA,DATOS!$A17936,nCURSO,DATOS!$D17936,nESPEC,DATOS!$E17936,nASIG,DATOS!$I17936,nEVAL,"EX")=0),0))))</f>
      </c>
      <c r="H17936">
        <f>IF(DATOS!$G17936&lt;&gt;"EX",0,--(COUNTIFS(nNIA,DATOS!$A17936,nCURSO,DATOS!$D17936,nESPEC,DATOS!$E17936,nASIG,DATOS!$I17936,nEVAL,"OR")=0))</f>
      </c>
      <c r="I17936">
        <f>IF(DATOS!$I17936="","",IFERROR(VLOOKUP(DATOS!$I17936,CONFIG_ASIGNATURAS!$B$2:$J$91,9,FALSE()),""))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IF(DATOS!$A17937="",0,IF(CONFIG_METADATA!$B$4&lt;&gt;"OR+EX",--(DATOS!$G17937=CONFIG_METADATA!$B$4),IF(DATOS!$G17937="EX",1,IF(DATOS!$G17937="OR",--(COUNTIFS(nNIA,DATOS!$A17937,nCURSO,DATOS!$D17937,nESPEC,DATOS!$E17937,nASIG,DATOS!$I17937,nEVAL,"EX")=0),0))))</f>
      </c>
      <c r="H17937">
        <f>IF(DATOS!$G17937&lt;&gt;"EX",0,--(COUNTIFS(nNIA,DATOS!$A17937,nCURSO,DATOS!$D17937,nESPEC,DATOS!$E17937,nASIG,DATOS!$I17937,nEVAL,"OR")=0))</f>
      </c>
      <c r="I17937">
        <f>IF(DATOS!$I17937="","",IFERROR(VLOOKUP(DATOS!$I17937,CONFIG_ASIGNATURAS!$B$2:$J$91,9,FALSE()),""))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IF(DATOS!$A17938="",0,IF(CONFIG_METADATA!$B$4&lt;&gt;"OR+EX",--(DATOS!$G17938=CONFIG_METADATA!$B$4),IF(DATOS!$G17938="EX",1,IF(DATOS!$G17938="OR",--(COUNTIFS(nNIA,DATOS!$A17938,nCURSO,DATOS!$D17938,nESPEC,DATOS!$E17938,nASIG,DATOS!$I17938,nEVAL,"EX")=0),0))))</f>
      </c>
      <c r="H17938">
        <f>IF(DATOS!$G17938&lt;&gt;"EX",0,--(COUNTIFS(nNIA,DATOS!$A17938,nCURSO,DATOS!$D17938,nESPEC,DATOS!$E17938,nASIG,DATOS!$I17938,nEVAL,"OR")=0))</f>
      </c>
      <c r="I17938">
        <f>IF(DATOS!$I17938="","",IFERROR(VLOOKUP(DATOS!$I17938,CONFIG_ASIGNATURAS!$B$2:$J$91,9,FALSE()),""))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IF(DATOS!$A17939="",0,IF(CONFIG_METADATA!$B$4&lt;&gt;"OR+EX",--(DATOS!$G17939=CONFIG_METADATA!$B$4),IF(DATOS!$G17939="EX",1,IF(DATOS!$G17939="OR",--(COUNTIFS(nNIA,DATOS!$A17939,nCURSO,DATOS!$D17939,nESPEC,DATOS!$E17939,nASIG,DATOS!$I17939,nEVAL,"EX")=0),0))))</f>
      </c>
      <c r="H17939">
        <f>IF(DATOS!$G17939&lt;&gt;"EX",0,--(COUNTIFS(nNIA,DATOS!$A17939,nCURSO,DATOS!$D17939,nESPEC,DATOS!$E17939,nASIG,DATOS!$I17939,nEVAL,"OR")=0))</f>
      </c>
      <c r="I17939">
        <f>IF(DATOS!$I17939="","",IFERROR(VLOOKUP(DATOS!$I17939,CONFIG_ASIGNATURAS!$B$2:$J$91,9,FALSE()),""))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IF(DATOS!$A17940="",0,IF(CONFIG_METADATA!$B$4&lt;&gt;"OR+EX",--(DATOS!$G17940=CONFIG_METADATA!$B$4),IF(DATOS!$G17940="EX",1,IF(DATOS!$G17940="OR",--(COUNTIFS(nNIA,DATOS!$A17940,nCURSO,DATOS!$D17940,nESPEC,DATOS!$E17940,nASIG,DATOS!$I17940,nEVAL,"EX")=0),0))))</f>
      </c>
      <c r="H17940">
        <f>IF(DATOS!$G17940&lt;&gt;"EX",0,--(COUNTIFS(nNIA,DATOS!$A17940,nCURSO,DATOS!$D17940,nESPEC,DATOS!$E17940,nASIG,DATOS!$I17940,nEVAL,"OR")=0))</f>
      </c>
      <c r="I17940">
        <f>IF(DATOS!$I17940="","",IFERROR(VLOOKUP(DATOS!$I17940,CONFIG_ASIGNATURAS!$B$2:$J$91,9,FALSE()),""))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IF(DATOS!$A17941="",0,IF(CONFIG_METADATA!$B$4&lt;&gt;"OR+EX",--(DATOS!$G17941=CONFIG_METADATA!$B$4),IF(DATOS!$G17941="EX",1,IF(DATOS!$G17941="OR",--(COUNTIFS(nNIA,DATOS!$A17941,nCURSO,DATOS!$D17941,nESPEC,DATOS!$E17941,nASIG,DATOS!$I17941,nEVAL,"EX")=0),0))))</f>
      </c>
      <c r="H17941">
        <f>IF(DATOS!$G17941&lt;&gt;"EX",0,--(COUNTIFS(nNIA,DATOS!$A17941,nCURSO,DATOS!$D17941,nESPEC,DATOS!$E17941,nASIG,DATOS!$I17941,nEVAL,"OR")=0))</f>
      </c>
      <c r="I17941">
        <f>IF(DATOS!$I17941="","",IFERROR(VLOOKUP(DATOS!$I17941,CONFIG_ASIGNATURAS!$B$2:$J$91,9,FALSE()),""))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IF(DATOS!$A17942="",0,IF(CONFIG_METADATA!$B$4&lt;&gt;"OR+EX",--(DATOS!$G17942=CONFIG_METADATA!$B$4),IF(DATOS!$G17942="EX",1,IF(DATOS!$G17942="OR",--(COUNTIFS(nNIA,DATOS!$A17942,nCURSO,DATOS!$D17942,nESPEC,DATOS!$E17942,nASIG,DATOS!$I17942,nEVAL,"EX")=0),0))))</f>
      </c>
      <c r="H17942">
        <f>IF(DATOS!$G17942&lt;&gt;"EX",0,--(COUNTIFS(nNIA,DATOS!$A17942,nCURSO,DATOS!$D17942,nESPEC,DATOS!$E17942,nASIG,DATOS!$I17942,nEVAL,"OR")=0))</f>
      </c>
      <c r="I17942">
        <f>IF(DATOS!$I17942="","",IFERROR(VLOOKUP(DATOS!$I17942,CONFIG_ASIGNATURAS!$B$2:$J$91,9,FALSE()),""))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IF(DATOS!$A17943="",0,IF(CONFIG_METADATA!$B$4&lt;&gt;"OR+EX",--(DATOS!$G17943=CONFIG_METADATA!$B$4),IF(DATOS!$G17943="EX",1,IF(DATOS!$G17943="OR",--(COUNTIFS(nNIA,DATOS!$A17943,nCURSO,DATOS!$D17943,nESPEC,DATOS!$E17943,nASIG,DATOS!$I17943,nEVAL,"EX")=0),0))))</f>
      </c>
      <c r="H17943">
        <f>IF(DATOS!$G17943&lt;&gt;"EX",0,--(COUNTIFS(nNIA,DATOS!$A17943,nCURSO,DATOS!$D17943,nESPEC,DATOS!$E17943,nASIG,DATOS!$I17943,nEVAL,"OR")=0))</f>
      </c>
      <c r="I17943">
        <f>IF(DATOS!$I17943="","",IFERROR(VLOOKUP(DATOS!$I17943,CONFIG_ASIGNATURAS!$B$2:$J$91,9,FALSE()),""))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IF(DATOS!$A17944="",0,IF(CONFIG_METADATA!$B$4&lt;&gt;"OR+EX",--(DATOS!$G17944=CONFIG_METADATA!$B$4),IF(DATOS!$G17944="EX",1,IF(DATOS!$G17944="OR",--(COUNTIFS(nNIA,DATOS!$A17944,nCURSO,DATOS!$D17944,nESPEC,DATOS!$E17944,nASIG,DATOS!$I17944,nEVAL,"EX")=0),0))))</f>
      </c>
      <c r="H17944">
        <f>IF(DATOS!$G17944&lt;&gt;"EX",0,--(COUNTIFS(nNIA,DATOS!$A17944,nCURSO,DATOS!$D17944,nESPEC,DATOS!$E17944,nASIG,DATOS!$I17944,nEVAL,"OR")=0))</f>
      </c>
      <c r="I17944">
        <f>IF(DATOS!$I17944="","",IFERROR(VLOOKUP(DATOS!$I17944,CONFIG_ASIGNATURAS!$B$2:$J$91,9,FALSE()),""))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IF(DATOS!$A17945="",0,IF(CONFIG_METADATA!$B$4&lt;&gt;"OR+EX",--(DATOS!$G17945=CONFIG_METADATA!$B$4),IF(DATOS!$G17945="EX",1,IF(DATOS!$G17945="OR",--(COUNTIFS(nNIA,DATOS!$A17945,nCURSO,DATOS!$D17945,nESPEC,DATOS!$E17945,nASIG,DATOS!$I17945,nEVAL,"EX")=0),0))))</f>
      </c>
      <c r="H17945">
        <f>IF(DATOS!$G17945&lt;&gt;"EX",0,--(COUNTIFS(nNIA,DATOS!$A17945,nCURSO,DATOS!$D17945,nESPEC,DATOS!$E17945,nASIG,DATOS!$I17945,nEVAL,"OR")=0))</f>
      </c>
      <c r="I17945">
        <f>IF(DATOS!$I17945="","",IFERROR(VLOOKUP(DATOS!$I17945,CONFIG_ASIGNATURAS!$B$2:$J$91,9,FALSE()),""))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IF(DATOS!$A17946="",0,IF(CONFIG_METADATA!$B$4&lt;&gt;"OR+EX",--(DATOS!$G17946=CONFIG_METADATA!$B$4),IF(DATOS!$G17946="EX",1,IF(DATOS!$G17946="OR",--(COUNTIFS(nNIA,DATOS!$A17946,nCURSO,DATOS!$D17946,nESPEC,DATOS!$E17946,nASIG,DATOS!$I17946,nEVAL,"EX")=0),0))))</f>
      </c>
      <c r="H17946">
        <f>IF(DATOS!$G17946&lt;&gt;"EX",0,--(COUNTIFS(nNIA,DATOS!$A17946,nCURSO,DATOS!$D17946,nESPEC,DATOS!$E17946,nASIG,DATOS!$I17946,nEVAL,"OR")=0))</f>
      </c>
      <c r="I17946">
        <f>IF(DATOS!$I17946="","",IFERROR(VLOOKUP(DATOS!$I17946,CONFIG_ASIGNATURAS!$B$2:$J$91,9,FALSE()),""))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IF(DATOS!$A17947="",0,IF(CONFIG_METADATA!$B$4&lt;&gt;"OR+EX",--(DATOS!$G17947=CONFIG_METADATA!$B$4),IF(DATOS!$G17947="EX",1,IF(DATOS!$G17947="OR",--(COUNTIFS(nNIA,DATOS!$A17947,nCURSO,DATOS!$D17947,nESPEC,DATOS!$E17947,nASIG,DATOS!$I17947,nEVAL,"EX")=0),0))))</f>
      </c>
      <c r="H17947">
        <f>IF(DATOS!$G17947&lt;&gt;"EX",0,--(COUNTIFS(nNIA,DATOS!$A17947,nCURSO,DATOS!$D17947,nESPEC,DATOS!$E17947,nASIG,DATOS!$I17947,nEVAL,"OR")=0))</f>
      </c>
      <c r="I17947">
        <f>IF(DATOS!$I17947="","",IFERROR(VLOOKUP(DATOS!$I17947,CONFIG_ASIGNATURAS!$B$2:$J$91,9,FALSE()),""))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IF(DATOS!$A17948="",0,IF(CONFIG_METADATA!$B$4&lt;&gt;"OR+EX",--(DATOS!$G17948=CONFIG_METADATA!$B$4),IF(DATOS!$G17948="EX",1,IF(DATOS!$G17948="OR",--(COUNTIFS(nNIA,DATOS!$A17948,nCURSO,DATOS!$D17948,nESPEC,DATOS!$E17948,nASIG,DATOS!$I17948,nEVAL,"EX")=0),0))))</f>
      </c>
      <c r="H17948">
        <f>IF(DATOS!$G17948&lt;&gt;"EX",0,--(COUNTIFS(nNIA,DATOS!$A17948,nCURSO,DATOS!$D17948,nESPEC,DATOS!$E17948,nASIG,DATOS!$I17948,nEVAL,"OR")=0))</f>
      </c>
      <c r="I17948">
        <f>IF(DATOS!$I17948="","",IFERROR(VLOOKUP(DATOS!$I17948,CONFIG_ASIGNATURAS!$B$2:$J$91,9,FALSE()),""))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IF(DATOS!$A17949="",0,IF(CONFIG_METADATA!$B$4&lt;&gt;"OR+EX",--(DATOS!$G17949=CONFIG_METADATA!$B$4),IF(DATOS!$G17949="EX",1,IF(DATOS!$G17949="OR",--(COUNTIFS(nNIA,DATOS!$A17949,nCURSO,DATOS!$D17949,nESPEC,DATOS!$E17949,nASIG,DATOS!$I17949,nEVAL,"EX")=0),0))))</f>
      </c>
      <c r="H17949">
        <f>IF(DATOS!$G17949&lt;&gt;"EX",0,--(COUNTIFS(nNIA,DATOS!$A17949,nCURSO,DATOS!$D17949,nESPEC,DATOS!$E17949,nASIG,DATOS!$I17949,nEVAL,"OR")=0))</f>
      </c>
      <c r="I17949">
        <f>IF(DATOS!$I17949="","",IFERROR(VLOOKUP(DATOS!$I17949,CONFIG_ASIGNATURAS!$B$2:$J$91,9,FALSE()),""))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IF(DATOS!$A17950="",0,IF(CONFIG_METADATA!$B$4&lt;&gt;"OR+EX",--(DATOS!$G17950=CONFIG_METADATA!$B$4),IF(DATOS!$G17950="EX",1,IF(DATOS!$G17950="OR",--(COUNTIFS(nNIA,DATOS!$A17950,nCURSO,DATOS!$D17950,nESPEC,DATOS!$E17950,nASIG,DATOS!$I17950,nEVAL,"EX")=0),0))))</f>
      </c>
      <c r="H17950">
        <f>IF(DATOS!$G17950&lt;&gt;"EX",0,--(COUNTIFS(nNIA,DATOS!$A17950,nCURSO,DATOS!$D17950,nESPEC,DATOS!$E17950,nASIG,DATOS!$I17950,nEVAL,"OR")=0))</f>
      </c>
      <c r="I17950">
        <f>IF(DATOS!$I17950="","",IFERROR(VLOOKUP(DATOS!$I17950,CONFIG_ASIGNATURAS!$B$2:$J$91,9,FALSE()),""))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IF(DATOS!$A17951="",0,IF(CONFIG_METADATA!$B$4&lt;&gt;"OR+EX",--(DATOS!$G17951=CONFIG_METADATA!$B$4),IF(DATOS!$G17951="EX",1,IF(DATOS!$G17951="OR",--(COUNTIFS(nNIA,DATOS!$A17951,nCURSO,DATOS!$D17951,nESPEC,DATOS!$E17951,nASIG,DATOS!$I17951,nEVAL,"EX")=0),0))))</f>
      </c>
      <c r="H17951">
        <f>IF(DATOS!$G17951&lt;&gt;"EX",0,--(COUNTIFS(nNIA,DATOS!$A17951,nCURSO,DATOS!$D17951,nESPEC,DATOS!$E17951,nASIG,DATOS!$I17951,nEVAL,"OR")=0))</f>
      </c>
      <c r="I17951">
        <f>IF(DATOS!$I17951="","",IFERROR(VLOOKUP(DATOS!$I17951,CONFIG_ASIGNATURAS!$B$2:$J$91,9,FALSE()),""))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IF(DATOS!$A17952="",0,IF(CONFIG_METADATA!$B$4&lt;&gt;"OR+EX",--(DATOS!$G17952=CONFIG_METADATA!$B$4),IF(DATOS!$G17952="EX",1,IF(DATOS!$G17952="OR",--(COUNTIFS(nNIA,DATOS!$A17952,nCURSO,DATOS!$D17952,nESPEC,DATOS!$E17952,nASIG,DATOS!$I17952,nEVAL,"EX")=0),0))))</f>
      </c>
      <c r="H17952">
        <f>IF(DATOS!$G17952&lt;&gt;"EX",0,--(COUNTIFS(nNIA,DATOS!$A17952,nCURSO,DATOS!$D17952,nESPEC,DATOS!$E17952,nASIG,DATOS!$I17952,nEVAL,"OR")=0))</f>
      </c>
      <c r="I17952">
        <f>IF(DATOS!$I17952="","",IFERROR(VLOOKUP(DATOS!$I17952,CONFIG_ASIGNATURAS!$B$2:$J$91,9,FALSE()),""))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IF(DATOS!$A17953="",0,IF(CONFIG_METADATA!$B$4&lt;&gt;"OR+EX",--(DATOS!$G17953=CONFIG_METADATA!$B$4),IF(DATOS!$G17953="EX",1,IF(DATOS!$G17953="OR",--(COUNTIFS(nNIA,DATOS!$A17953,nCURSO,DATOS!$D17953,nESPEC,DATOS!$E17953,nASIG,DATOS!$I17953,nEVAL,"EX")=0),0))))</f>
      </c>
      <c r="H17953">
        <f>IF(DATOS!$G17953&lt;&gt;"EX",0,--(COUNTIFS(nNIA,DATOS!$A17953,nCURSO,DATOS!$D17953,nESPEC,DATOS!$E17953,nASIG,DATOS!$I17953,nEVAL,"OR")=0))</f>
      </c>
      <c r="I17953">
        <f>IF(DATOS!$I17953="","",IFERROR(VLOOKUP(DATOS!$I17953,CONFIG_ASIGNATURAS!$B$2:$J$91,9,FALSE()),""))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IF(DATOS!$A17954="",0,IF(CONFIG_METADATA!$B$4&lt;&gt;"OR+EX",--(DATOS!$G17954=CONFIG_METADATA!$B$4),IF(DATOS!$G17954="EX",1,IF(DATOS!$G17954="OR",--(COUNTIFS(nNIA,DATOS!$A17954,nCURSO,DATOS!$D17954,nESPEC,DATOS!$E17954,nASIG,DATOS!$I17954,nEVAL,"EX")=0),0))))</f>
      </c>
      <c r="H17954">
        <f>IF(DATOS!$G17954&lt;&gt;"EX",0,--(COUNTIFS(nNIA,DATOS!$A17954,nCURSO,DATOS!$D17954,nESPEC,DATOS!$E17954,nASIG,DATOS!$I17954,nEVAL,"OR")=0))</f>
      </c>
      <c r="I17954">
        <f>IF(DATOS!$I17954="","",IFERROR(VLOOKUP(DATOS!$I17954,CONFIG_ASIGNATURAS!$B$2:$J$91,9,FALSE()),""))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IF(DATOS!$A17955="",0,IF(CONFIG_METADATA!$B$4&lt;&gt;"OR+EX",--(DATOS!$G17955=CONFIG_METADATA!$B$4),IF(DATOS!$G17955="EX",1,IF(DATOS!$G17955="OR",--(COUNTIFS(nNIA,DATOS!$A17955,nCURSO,DATOS!$D17955,nESPEC,DATOS!$E17955,nASIG,DATOS!$I17955,nEVAL,"EX")=0),0))))</f>
      </c>
      <c r="H17955">
        <f>IF(DATOS!$G17955&lt;&gt;"EX",0,--(COUNTIFS(nNIA,DATOS!$A17955,nCURSO,DATOS!$D17955,nESPEC,DATOS!$E17955,nASIG,DATOS!$I17955,nEVAL,"OR")=0))</f>
      </c>
      <c r="I17955">
        <f>IF(DATOS!$I17955="","",IFERROR(VLOOKUP(DATOS!$I17955,CONFIG_ASIGNATURAS!$B$2:$J$91,9,FALSE()),""))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IF(DATOS!$A17956="",0,IF(CONFIG_METADATA!$B$4&lt;&gt;"OR+EX",--(DATOS!$G17956=CONFIG_METADATA!$B$4),IF(DATOS!$G17956="EX",1,IF(DATOS!$G17956="OR",--(COUNTIFS(nNIA,DATOS!$A17956,nCURSO,DATOS!$D17956,nESPEC,DATOS!$E17956,nASIG,DATOS!$I17956,nEVAL,"EX")=0),0))))</f>
      </c>
      <c r="H17956">
        <f>IF(DATOS!$G17956&lt;&gt;"EX",0,--(COUNTIFS(nNIA,DATOS!$A17956,nCURSO,DATOS!$D17956,nESPEC,DATOS!$E17956,nASIG,DATOS!$I17956,nEVAL,"OR")=0))</f>
      </c>
      <c r="I17956">
        <f>IF(DATOS!$I17956="","",IFERROR(VLOOKUP(DATOS!$I17956,CONFIG_ASIGNATURAS!$B$2:$J$91,9,FALSE()),""))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IF(DATOS!$A17957="",0,IF(CONFIG_METADATA!$B$4&lt;&gt;"OR+EX",--(DATOS!$G17957=CONFIG_METADATA!$B$4),IF(DATOS!$G17957="EX",1,IF(DATOS!$G17957="OR",--(COUNTIFS(nNIA,DATOS!$A17957,nCURSO,DATOS!$D17957,nESPEC,DATOS!$E17957,nASIG,DATOS!$I17957,nEVAL,"EX")=0),0))))</f>
      </c>
      <c r="H17957">
        <f>IF(DATOS!$G17957&lt;&gt;"EX",0,--(COUNTIFS(nNIA,DATOS!$A17957,nCURSO,DATOS!$D17957,nESPEC,DATOS!$E17957,nASIG,DATOS!$I17957,nEVAL,"OR")=0))</f>
      </c>
      <c r="I17957">
        <f>IF(DATOS!$I17957="","",IFERROR(VLOOKUP(DATOS!$I17957,CONFIG_ASIGNATURAS!$B$2:$J$91,9,FALSE()),""))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IF(DATOS!$A17958="",0,IF(CONFIG_METADATA!$B$4&lt;&gt;"OR+EX",--(DATOS!$G17958=CONFIG_METADATA!$B$4),IF(DATOS!$G17958="EX",1,IF(DATOS!$G17958="OR",--(COUNTIFS(nNIA,DATOS!$A17958,nCURSO,DATOS!$D17958,nESPEC,DATOS!$E17958,nASIG,DATOS!$I17958,nEVAL,"EX")=0),0))))</f>
      </c>
      <c r="H17958">
        <f>IF(DATOS!$G17958&lt;&gt;"EX",0,--(COUNTIFS(nNIA,DATOS!$A17958,nCURSO,DATOS!$D17958,nESPEC,DATOS!$E17958,nASIG,DATOS!$I17958,nEVAL,"OR")=0))</f>
      </c>
      <c r="I17958">
        <f>IF(DATOS!$I17958="","",IFERROR(VLOOKUP(DATOS!$I17958,CONFIG_ASIGNATURAS!$B$2:$J$91,9,FALSE()),""))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IF(DATOS!$A17959="",0,IF(CONFIG_METADATA!$B$4&lt;&gt;"OR+EX",--(DATOS!$G17959=CONFIG_METADATA!$B$4),IF(DATOS!$G17959="EX",1,IF(DATOS!$G17959="OR",--(COUNTIFS(nNIA,DATOS!$A17959,nCURSO,DATOS!$D17959,nESPEC,DATOS!$E17959,nASIG,DATOS!$I17959,nEVAL,"EX")=0),0))))</f>
      </c>
      <c r="H17959">
        <f>IF(DATOS!$G17959&lt;&gt;"EX",0,--(COUNTIFS(nNIA,DATOS!$A17959,nCURSO,DATOS!$D17959,nESPEC,DATOS!$E17959,nASIG,DATOS!$I17959,nEVAL,"OR")=0))</f>
      </c>
      <c r="I17959">
        <f>IF(DATOS!$I17959="","",IFERROR(VLOOKUP(DATOS!$I17959,CONFIG_ASIGNATURAS!$B$2:$J$91,9,FALSE()),""))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IF(DATOS!$A17960="",0,IF(CONFIG_METADATA!$B$4&lt;&gt;"OR+EX",--(DATOS!$G17960=CONFIG_METADATA!$B$4),IF(DATOS!$G17960="EX",1,IF(DATOS!$G17960="OR",--(COUNTIFS(nNIA,DATOS!$A17960,nCURSO,DATOS!$D17960,nESPEC,DATOS!$E17960,nASIG,DATOS!$I17960,nEVAL,"EX")=0),0))))</f>
      </c>
      <c r="H17960">
        <f>IF(DATOS!$G17960&lt;&gt;"EX",0,--(COUNTIFS(nNIA,DATOS!$A17960,nCURSO,DATOS!$D17960,nESPEC,DATOS!$E17960,nASIG,DATOS!$I17960,nEVAL,"OR")=0))</f>
      </c>
      <c r="I17960">
        <f>IF(DATOS!$I17960="","",IFERROR(VLOOKUP(DATOS!$I17960,CONFIG_ASIGNATURAS!$B$2:$J$91,9,FALSE()),""))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IF(DATOS!$A17961="",0,IF(CONFIG_METADATA!$B$4&lt;&gt;"OR+EX",--(DATOS!$G17961=CONFIG_METADATA!$B$4),IF(DATOS!$G17961="EX",1,IF(DATOS!$G17961="OR",--(COUNTIFS(nNIA,DATOS!$A17961,nCURSO,DATOS!$D17961,nESPEC,DATOS!$E17961,nASIG,DATOS!$I17961,nEVAL,"EX")=0),0))))</f>
      </c>
      <c r="H17961">
        <f>IF(DATOS!$G17961&lt;&gt;"EX",0,--(COUNTIFS(nNIA,DATOS!$A17961,nCURSO,DATOS!$D17961,nESPEC,DATOS!$E17961,nASIG,DATOS!$I17961,nEVAL,"OR")=0))</f>
      </c>
      <c r="I17961">
        <f>IF(DATOS!$I17961="","",IFERROR(VLOOKUP(DATOS!$I17961,CONFIG_ASIGNATURAS!$B$2:$J$91,9,FALSE()),""))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IF(DATOS!$A17962="",0,IF(CONFIG_METADATA!$B$4&lt;&gt;"OR+EX",--(DATOS!$G17962=CONFIG_METADATA!$B$4),IF(DATOS!$G17962="EX",1,IF(DATOS!$G17962="OR",--(COUNTIFS(nNIA,DATOS!$A17962,nCURSO,DATOS!$D17962,nESPEC,DATOS!$E17962,nASIG,DATOS!$I17962,nEVAL,"EX")=0),0))))</f>
      </c>
      <c r="H17962">
        <f>IF(DATOS!$G17962&lt;&gt;"EX",0,--(COUNTIFS(nNIA,DATOS!$A17962,nCURSO,DATOS!$D17962,nESPEC,DATOS!$E17962,nASIG,DATOS!$I17962,nEVAL,"OR")=0))</f>
      </c>
      <c r="I17962">
        <f>IF(DATOS!$I17962="","",IFERROR(VLOOKUP(DATOS!$I17962,CONFIG_ASIGNATURAS!$B$2:$J$91,9,FALSE()),""))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IF(DATOS!$A17963="",0,IF(CONFIG_METADATA!$B$4&lt;&gt;"OR+EX",--(DATOS!$G17963=CONFIG_METADATA!$B$4),IF(DATOS!$G17963="EX",1,IF(DATOS!$G17963="OR",--(COUNTIFS(nNIA,DATOS!$A17963,nCURSO,DATOS!$D17963,nESPEC,DATOS!$E17963,nASIG,DATOS!$I17963,nEVAL,"EX")=0),0))))</f>
      </c>
      <c r="H17963">
        <f>IF(DATOS!$G17963&lt;&gt;"EX",0,--(COUNTIFS(nNIA,DATOS!$A17963,nCURSO,DATOS!$D17963,nESPEC,DATOS!$E17963,nASIG,DATOS!$I17963,nEVAL,"OR")=0))</f>
      </c>
      <c r="I17963">
        <f>IF(DATOS!$I17963="","",IFERROR(VLOOKUP(DATOS!$I17963,CONFIG_ASIGNATURAS!$B$2:$J$91,9,FALSE()),""))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IF(DATOS!$A17964="",0,IF(CONFIG_METADATA!$B$4&lt;&gt;"OR+EX",--(DATOS!$G17964=CONFIG_METADATA!$B$4),IF(DATOS!$G17964="EX",1,IF(DATOS!$G17964="OR",--(COUNTIFS(nNIA,DATOS!$A17964,nCURSO,DATOS!$D17964,nESPEC,DATOS!$E17964,nASIG,DATOS!$I17964,nEVAL,"EX")=0),0))))</f>
      </c>
      <c r="H17964">
        <f>IF(DATOS!$G17964&lt;&gt;"EX",0,--(COUNTIFS(nNIA,DATOS!$A17964,nCURSO,DATOS!$D17964,nESPEC,DATOS!$E17964,nASIG,DATOS!$I17964,nEVAL,"OR")=0))</f>
      </c>
      <c r="I17964">
        <f>IF(DATOS!$I17964="","",IFERROR(VLOOKUP(DATOS!$I17964,CONFIG_ASIGNATURAS!$B$2:$J$91,9,FALSE()),""))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IF(DATOS!$A17965="",0,IF(CONFIG_METADATA!$B$4&lt;&gt;"OR+EX",--(DATOS!$G17965=CONFIG_METADATA!$B$4),IF(DATOS!$G17965="EX",1,IF(DATOS!$G17965="OR",--(COUNTIFS(nNIA,DATOS!$A17965,nCURSO,DATOS!$D17965,nESPEC,DATOS!$E17965,nASIG,DATOS!$I17965,nEVAL,"EX")=0),0))))</f>
      </c>
      <c r="H17965">
        <f>IF(DATOS!$G17965&lt;&gt;"EX",0,--(COUNTIFS(nNIA,DATOS!$A17965,nCURSO,DATOS!$D17965,nESPEC,DATOS!$E17965,nASIG,DATOS!$I17965,nEVAL,"OR")=0))</f>
      </c>
      <c r="I17965">
        <f>IF(DATOS!$I17965="","",IFERROR(VLOOKUP(DATOS!$I17965,CONFIG_ASIGNATURAS!$B$2:$J$91,9,FALSE()),""))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IF(DATOS!$A17966="",0,IF(CONFIG_METADATA!$B$4&lt;&gt;"OR+EX",--(DATOS!$G17966=CONFIG_METADATA!$B$4),IF(DATOS!$G17966="EX",1,IF(DATOS!$G17966="OR",--(COUNTIFS(nNIA,DATOS!$A17966,nCURSO,DATOS!$D17966,nESPEC,DATOS!$E17966,nASIG,DATOS!$I17966,nEVAL,"EX")=0),0))))</f>
      </c>
      <c r="H17966">
        <f>IF(DATOS!$G17966&lt;&gt;"EX",0,--(COUNTIFS(nNIA,DATOS!$A17966,nCURSO,DATOS!$D17966,nESPEC,DATOS!$E17966,nASIG,DATOS!$I17966,nEVAL,"OR")=0))</f>
      </c>
      <c r="I17966">
        <f>IF(DATOS!$I17966="","",IFERROR(VLOOKUP(DATOS!$I17966,CONFIG_ASIGNATURAS!$B$2:$J$91,9,FALSE()),""))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IF(DATOS!$A17967="",0,IF(CONFIG_METADATA!$B$4&lt;&gt;"OR+EX",--(DATOS!$G17967=CONFIG_METADATA!$B$4),IF(DATOS!$G17967="EX",1,IF(DATOS!$G17967="OR",--(COUNTIFS(nNIA,DATOS!$A17967,nCURSO,DATOS!$D17967,nESPEC,DATOS!$E17967,nASIG,DATOS!$I17967,nEVAL,"EX")=0),0))))</f>
      </c>
      <c r="H17967">
        <f>IF(DATOS!$G17967&lt;&gt;"EX",0,--(COUNTIFS(nNIA,DATOS!$A17967,nCURSO,DATOS!$D17967,nESPEC,DATOS!$E17967,nASIG,DATOS!$I17967,nEVAL,"OR")=0))</f>
      </c>
      <c r="I17967">
        <f>IF(DATOS!$I17967="","",IFERROR(VLOOKUP(DATOS!$I17967,CONFIG_ASIGNATURAS!$B$2:$J$91,9,FALSE()),""))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IF(DATOS!$A17968="",0,IF(CONFIG_METADATA!$B$4&lt;&gt;"OR+EX",--(DATOS!$G17968=CONFIG_METADATA!$B$4),IF(DATOS!$G17968="EX",1,IF(DATOS!$G17968="OR",--(COUNTIFS(nNIA,DATOS!$A17968,nCURSO,DATOS!$D17968,nESPEC,DATOS!$E17968,nASIG,DATOS!$I17968,nEVAL,"EX")=0),0))))</f>
      </c>
      <c r="H17968">
        <f>IF(DATOS!$G17968&lt;&gt;"EX",0,--(COUNTIFS(nNIA,DATOS!$A17968,nCURSO,DATOS!$D17968,nESPEC,DATOS!$E17968,nASIG,DATOS!$I17968,nEVAL,"OR")=0))</f>
      </c>
      <c r="I17968">
        <f>IF(DATOS!$I17968="","",IFERROR(VLOOKUP(DATOS!$I17968,CONFIG_ASIGNATURAS!$B$2:$J$91,9,FALSE()),""))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IF(DATOS!$A17969="",0,IF(CONFIG_METADATA!$B$4&lt;&gt;"OR+EX",--(DATOS!$G17969=CONFIG_METADATA!$B$4),IF(DATOS!$G17969="EX",1,IF(DATOS!$G17969="OR",--(COUNTIFS(nNIA,DATOS!$A17969,nCURSO,DATOS!$D17969,nESPEC,DATOS!$E17969,nASIG,DATOS!$I17969,nEVAL,"EX")=0),0))))</f>
      </c>
      <c r="H17969">
        <f>IF(DATOS!$G17969&lt;&gt;"EX",0,--(COUNTIFS(nNIA,DATOS!$A17969,nCURSO,DATOS!$D17969,nESPEC,DATOS!$E17969,nASIG,DATOS!$I17969,nEVAL,"OR")=0))</f>
      </c>
      <c r="I17969">
        <f>IF(DATOS!$I17969="","",IFERROR(VLOOKUP(DATOS!$I17969,CONFIG_ASIGNATURAS!$B$2:$J$91,9,FALSE()),""))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IF(DATOS!$A17970="",0,IF(CONFIG_METADATA!$B$4&lt;&gt;"OR+EX",--(DATOS!$G17970=CONFIG_METADATA!$B$4),IF(DATOS!$G17970="EX",1,IF(DATOS!$G17970="OR",--(COUNTIFS(nNIA,DATOS!$A17970,nCURSO,DATOS!$D17970,nESPEC,DATOS!$E17970,nASIG,DATOS!$I17970,nEVAL,"EX")=0),0))))</f>
      </c>
      <c r="H17970">
        <f>IF(DATOS!$G17970&lt;&gt;"EX",0,--(COUNTIFS(nNIA,DATOS!$A17970,nCURSO,DATOS!$D17970,nESPEC,DATOS!$E17970,nASIG,DATOS!$I17970,nEVAL,"OR")=0))</f>
      </c>
      <c r="I17970">
        <f>IF(DATOS!$I17970="","",IFERROR(VLOOKUP(DATOS!$I17970,CONFIG_ASIGNATURAS!$B$2:$J$91,9,FALSE()),""))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IF(DATOS!$A17971="",0,IF(CONFIG_METADATA!$B$4&lt;&gt;"OR+EX",--(DATOS!$G17971=CONFIG_METADATA!$B$4),IF(DATOS!$G17971="EX",1,IF(DATOS!$G17971="OR",--(COUNTIFS(nNIA,DATOS!$A17971,nCURSO,DATOS!$D17971,nESPEC,DATOS!$E17971,nASIG,DATOS!$I17971,nEVAL,"EX")=0),0))))</f>
      </c>
      <c r="H17971">
        <f>IF(DATOS!$G17971&lt;&gt;"EX",0,--(COUNTIFS(nNIA,DATOS!$A17971,nCURSO,DATOS!$D17971,nESPEC,DATOS!$E17971,nASIG,DATOS!$I17971,nEVAL,"OR")=0))</f>
      </c>
      <c r="I17971">
        <f>IF(DATOS!$I17971="","",IFERROR(VLOOKUP(DATOS!$I17971,CONFIG_ASIGNATURAS!$B$2:$J$91,9,FALSE()),""))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IF(DATOS!$A17972="",0,IF(CONFIG_METADATA!$B$4&lt;&gt;"OR+EX",--(DATOS!$G17972=CONFIG_METADATA!$B$4),IF(DATOS!$G17972="EX",1,IF(DATOS!$G17972="OR",--(COUNTIFS(nNIA,DATOS!$A17972,nCURSO,DATOS!$D17972,nESPEC,DATOS!$E17972,nASIG,DATOS!$I17972,nEVAL,"EX")=0),0))))</f>
      </c>
      <c r="H17972">
        <f>IF(DATOS!$G17972&lt;&gt;"EX",0,--(COUNTIFS(nNIA,DATOS!$A17972,nCURSO,DATOS!$D17972,nESPEC,DATOS!$E17972,nASIG,DATOS!$I17972,nEVAL,"OR")=0))</f>
      </c>
      <c r="I17972">
        <f>IF(DATOS!$I17972="","",IFERROR(VLOOKUP(DATOS!$I17972,CONFIG_ASIGNATURAS!$B$2:$J$91,9,FALSE()),""))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IF(DATOS!$A17973="",0,IF(CONFIG_METADATA!$B$4&lt;&gt;"OR+EX",--(DATOS!$G17973=CONFIG_METADATA!$B$4),IF(DATOS!$G17973="EX",1,IF(DATOS!$G17973="OR",--(COUNTIFS(nNIA,DATOS!$A17973,nCURSO,DATOS!$D17973,nESPEC,DATOS!$E17973,nASIG,DATOS!$I17973,nEVAL,"EX")=0),0))))</f>
      </c>
      <c r="H17973">
        <f>IF(DATOS!$G17973&lt;&gt;"EX",0,--(COUNTIFS(nNIA,DATOS!$A17973,nCURSO,DATOS!$D17973,nESPEC,DATOS!$E17973,nASIG,DATOS!$I17973,nEVAL,"OR")=0))</f>
      </c>
      <c r="I17973">
        <f>IF(DATOS!$I17973="","",IFERROR(VLOOKUP(DATOS!$I17973,CONFIG_ASIGNATURAS!$B$2:$J$91,9,FALSE()),""))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IF(DATOS!$A17974="",0,IF(CONFIG_METADATA!$B$4&lt;&gt;"OR+EX",--(DATOS!$G17974=CONFIG_METADATA!$B$4),IF(DATOS!$G17974="EX",1,IF(DATOS!$G17974="OR",--(COUNTIFS(nNIA,DATOS!$A17974,nCURSO,DATOS!$D17974,nESPEC,DATOS!$E17974,nASIG,DATOS!$I17974,nEVAL,"EX")=0),0))))</f>
      </c>
      <c r="H17974">
        <f>IF(DATOS!$G17974&lt;&gt;"EX",0,--(COUNTIFS(nNIA,DATOS!$A17974,nCURSO,DATOS!$D17974,nESPEC,DATOS!$E17974,nASIG,DATOS!$I17974,nEVAL,"OR")=0))</f>
      </c>
      <c r="I17974">
        <f>IF(DATOS!$I17974="","",IFERROR(VLOOKUP(DATOS!$I17974,CONFIG_ASIGNATURAS!$B$2:$J$91,9,FALSE()),""))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IF(DATOS!$A17975="",0,IF(CONFIG_METADATA!$B$4&lt;&gt;"OR+EX",--(DATOS!$G17975=CONFIG_METADATA!$B$4),IF(DATOS!$G17975="EX",1,IF(DATOS!$G17975="OR",--(COUNTIFS(nNIA,DATOS!$A17975,nCURSO,DATOS!$D17975,nESPEC,DATOS!$E17975,nASIG,DATOS!$I17975,nEVAL,"EX")=0),0))))</f>
      </c>
      <c r="H17975">
        <f>IF(DATOS!$G17975&lt;&gt;"EX",0,--(COUNTIFS(nNIA,DATOS!$A17975,nCURSO,DATOS!$D17975,nESPEC,DATOS!$E17975,nASIG,DATOS!$I17975,nEVAL,"OR")=0))</f>
      </c>
      <c r="I17975">
        <f>IF(DATOS!$I17975="","",IFERROR(VLOOKUP(DATOS!$I17975,CONFIG_ASIGNATURAS!$B$2:$J$91,9,FALSE()),""))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IF(DATOS!$A17976="",0,IF(CONFIG_METADATA!$B$4&lt;&gt;"OR+EX",--(DATOS!$G17976=CONFIG_METADATA!$B$4),IF(DATOS!$G17976="EX",1,IF(DATOS!$G17976="OR",--(COUNTIFS(nNIA,DATOS!$A17976,nCURSO,DATOS!$D17976,nESPEC,DATOS!$E17976,nASIG,DATOS!$I17976,nEVAL,"EX")=0),0))))</f>
      </c>
      <c r="H17976">
        <f>IF(DATOS!$G17976&lt;&gt;"EX",0,--(COUNTIFS(nNIA,DATOS!$A17976,nCURSO,DATOS!$D17976,nESPEC,DATOS!$E17976,nASIG,DATOS!$I17976,nEVAL,"OR")=0))</f>
      </c>
      <c r="I17976">
        <f>IF(DATOS!$I17976="","",IFERROR(VLOOKUP(DATOS!$I17976,CONFIG_ASIGNATURAS!$B$2:$J$91,9,FALSE()),""))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IF(DATOS!$A17977="",0,IF(CONFIG_METADATA!$B$4&lt;&gt;"OR+EX",--(DATOS!$G17977=CONFIG_METADATA!$B$4),IF(DATOS!$G17977="EX",1,IF(DATOS!$G17977="OR",--(COUNTIFS(nNIA,DATOS!$A17977,nCURSO,DATOS!$D17977,nESPEC,DATOS!$E17977,nASIG,DATOS!$I17977,nEVAL,"EX")=0),0))))</f>
      </c>
      <c r="H17977">
        <f>IF(DATOS!$G17977&lt;&gt;"EX",0,--(COUNTIFS(nNIA,DATOS!$A17977,nCURSO,DATOS!$D17977,nESPEC,DATOS!$E17977,nASIG,DATOS!$I17977,nEVAL,"OR")=0))</f>
      </c>
      <c r="I17977">
        <f>IF(DATOS!$I17977="","",IFERROR(VLOOKUP(DATOS!$I17977,CONFIG_ASIGNATURAS!$B$2:$J$91,9,FALSE()),""))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IF(DATOS!$A17978="",0,IF(CONFIG_METADATA!$B$4&lt;&gt;"OR+EX",--(DATOS!$G17978=CONFIG_METADATA!$B$4),IF(DATOS!$G17978="EX",1,IF(DATOS!$G17978="OR",--(COUNTIFS(nNIA,DATOS!$A17978,nCURSO,DATOS!$D17978,nESPEC,DATOS!$E17978,nASIG,DATOS!$I17978,nEVAL,"EX")=0),0))))</f>
      </c>
      <c r="H17978">
        <f>IF(DATOS!$G17978&lt;&gt;"EX",0,--(COUNTIFS(nNIA,DATOS!$A17978,nCURSO,DATOS!$D17978,nESPEC,DATOS!$E17978,nASIG,DATOS!$I17978,nEVAL,"OR")=0))</f>
      </c>
      <c r="I17978">
        <f>IF(DATOS!$I17978="","",IFERROR(VLOOKUP(DATOS!$I17978,CONFIG_ASIGNATURAS!$B$2:$J$91,9,FALSE()),""))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IF(DATOS!$A17979="",0,IF(CONFIG_METADATA!$B$4&lt;&gt;"OR+EX",--(DATOS!$G17979=CONFIG_METADATA!$B$4),IF(DATOS!$G17979="EX",1,IF(DATOS!$G17979="OR",--(COUNTIFS(nNIA,DATOS!$A17979,nCURSO,DATOS!$D17979,nESPEC,DATOS!$E17979,nASIG,DATOS!$I17979,nEVAL,"EX")=0),0))))</f>
      </c>
      <c r="H17979">
        <f>IF(DATOS!$G17979&lt;&gt;"EX",0,--(COUNTIFS(nNIA,DATOS!$A17979,nCURSO,DATOS!$D17979,nESPEC,DATOS!$E17979,nASIG,DATOS!$I17979,nEVAL,"OR")=0))</f>
      </c>
      <c r="I17979">
        <f>IF(DATOS!$I17979="","",IFERROR(VLOOKUP(DATOS!$I17979,CONFIG_ASIGNATURAS!$B$2:$J$91,9,FALSE()),""))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IF(DATOS!$A17980="",0,IF(CONFIG_METADATA!$B$4&lt;&gt;"OR+EX",--(DATOS!$G17980=CONFIG_METADATA!$B$4),IF(DATOS!$G17980="EX",1,IF(DATOS!$G17980="OR",--(COUNTIFS(nNIA,DATOS!$A17980,nCURSO,DATOS!$D17980,nESPEC,DATOS!$E17980,nASIG,DATOS!$I17980,nEVAL,"EX")=0),0))))</f>
      </c>
      <c r="H17980">
        <f>IF(DATOS!$G17980&lt;&gt;"EX",0,--(COUNTIFS(nNIA,DATOS!$A17980,nCURSO,DATOS!$D17980,nESPEC,DATOS!$E17980,nASIG,DATOS!$I17980,nEVAL,"OR")=0))</f>
      </c>
      <c r="I17980">
        <f>IF(DATOS!$I17980="","",IFERROR(VLOOKUP(DATOS!$I17980,CONFIG_ASIGNATURAS!$B$2:$J$91,9,FALSE()),""))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IF(DATOS!$A17981="",0,IF(CONFIG_METADATA!$B$4&lt;&gt;"OR+EX",--(DATOS!$G17981=CONFIG_METADATA!$B$4),IF(DATOS!$G17981="EX",1,IF(DATOS!$G17981="OR",--(COUNTIFS(nNIA,DATOS!$A17981,nCURSO,DATOS!$D17981,nESPEC,DATOS!$E17981,nASIG,DATOS!$I17981,nEVAL,"EX")=0),0))))</f>
      </c>
      <c r="H17981">
        <f>IF(DATOS!$G17981&lt;&gt;"EX",0,--(COUNTIFS(nNIA,DATOS!$A17981,nCURSO,DATOS!$D17981,nESPEC,DATOS!$E17981,nASIG,DATOS!$I17981,nEVAL,"OR")=0))</f>
      </c>
      <c r="I17981">
        <f>IF(DATOS!$I17981="","",IFERROR(VLOOKUP(DATOS!$I17981,CONFIG_ASIGNATURAS!$B$2:$J$91,9,FALSE()),""))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IF(DATOS!$A17982="",0,IF(CONFIG_METADATA!$B$4&lt;&gt;"OR+EX",--(DATOS!$G17982=CONFIG_METADATA!$B$4),IF(DATOS!$G17982="EX",1,IF(DATOS!$G17982="OR",--(COUNTIFS(nNIA,DATOS!$A17982,nCURSO,DATOS!$D17982,nESPEC,DATOS!$E17982,nASIG,DATOS!$I17982,nEVAL,"EX")=0),0))))</f>
      </c>
      <c r="H17982">
        <f>IF(DATOS!$G17982&lt;&gt;"EX",0,--(COUNTIFS(nNIA,DATOS!$A17982,nCURSO,DATOS!$D17982,nESPEC,DATOS!$E17982,nASIG,DATOS!$I17982,nEVAL,"OR")=0))</f>
      </c>
      <c r="I17982">
        <f>IF(DATOS!$I17982="","",IFERROR(VLOOKUP(DATOS!$I17982,CONFIG_ASIGNATURAS!$B$2:$J$91,9,FALSE()),""))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IF(DATOS!$A17983="",0,IF(CONFIG_METADATA!$B$4&lt;&gt;"OR+EX",--(DATOS!$G17983=CONFIG_METADATA!$B$4),IF(DATOS!$G17983="EX",1,IF(DATOS!$G17983="OR",--(COUNTIFS(nNIA,DATOS!$A17983,nCURSO,DATOS!$D17983,nESPEC,DATOS!$E17983,nASIG,DATOS!$I17983,nEVAL,"EX")=0),0))))</f>
      </c>
      <c r="H17983">
        <f>IF(DATOS!$G17983&lt;&gt;"EX",0,--(COUNTIFS(nNIA,DATOS!$A17983,nCURSO,DATOS!$D17983,nESPEC,DATOS!$E17983,nASIG,DATOS!$I17983,nEVAL,"OR")=0))</f>
      </c>
      <c r="I17983">
        <f>IF(DATOS!$I17983="","",IFERROR(VLOOKUP(DATOS!$I17983,CONFIG_ASIGNATURAS!$B$2:$J$91,9,FALSE()),""))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IF(DATOS!$A17984="",0,IF(CONFIG_METADATA!$B$4&lt;&gt;"OR+EX",--(DATOS!$G17984=CONFIG_METADATA!$B$4),IF(DATOS!$G17984="EX",1,IF(DATOS!$G17984="OR",--(COUNTIFS(nNIA,DATOS!$A17984,nCURSO,DATOS!$D17984,nESPEC,DATOS!$E17984,nASIG,DATOS!$I17984,nEVAL,"EX")=0),0))))</f>
      </c>
      <c r="H17984">
        <f>IF(DATOS!$G17984&lt;&gt;"EX",0,--(COUNTIFS(nNIA,DATOS!$A17984,nCURSO,DATOS!$D17984,nESPEC,DATOS!$E17984,nASIG,DATOS!$I17984,nEVAL,"OR")=0))</f>
      </c>
      <c r="I17984">
        <f>IF(DATOS!$I17984="","",IFERROR(VLOOKUP(DATOS!$I17984,CONFIG_ASIGNATURAS!$B$2:$J$91,9,FALSE()),""))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IF(DATOS!$A17985="",0,IF(CONFIG_METADATA!$B$4&lt;&gt;"OR+EX",--(DATOS!$G17985=CONFIG_METADATA!$B$4),IF(DATOS!$G17985="EX",1,IF(DATOS!$G17985="OR",--(COUNTIFS(nNIA,DATOS!$A17985,nCURSO,DATOS!$D17985,nESPEC,DATOS!$E17985,nASIG,DATOS!$I17985,nEVAL,"EX")=0),0))))</f>
      </c>
      <c r="H17985">
        <f>IF(DATOS!$G17985&lt;&gt;"EX",0,--(COUNTIFS(nNIA,DATOS!$A17985,nCURSO,DATOS!$D17985,nESPEC,DATOS!$E17985,nASIG,DATOS!$I17985,nEVAL,"OR")=0))</f>
      </c>
      <c r="I17985">
        <f>IF(DATOS!$I17985="","",IFERROR(VLOOKUP(DATOS!$I17985,CONFIG_ASIGNATURAS!$B$2:$J$91,9,FALSE()),""))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IF(DATOS!$A17986="",0,IF(CONFIG_METADATA!$B$4&lt;&gt;"OR+EX",--(DATOS!$G17986=CONFIG_METADATA!$B$4),IF(DATOS!$G17986="EX",1,IF(DATOS!$G17986="OR",--(COUNTIFS(nNIA,DATOS!$A17986,nCURSO,DATOS!$D17986,nESPEC,DATOS!$E17986,nASIG,DATOS!$I17986,nEVAL,"EX")=0),0))))</f>
      </c>
      <c r="H17986">
        <f>IF(DATOS!$G17986&lt;&gt;"EX",0,--(COUNTIFS(nNIA,DATOS!$A17986,nCURSO,DATOS!$D17986,nESPEC,DATOS!$E17986,nASIG,DATOS!$I17986,nEVAL,"OR")=0))</f>
      </c>
      <c r="I17986">
        <f>IF(DATOS!$I17986="","",IFERROR(VLOOKUP(DATOS!$I17986,CONFIG_ASIGNATURAS!$B$2:$J$91,9,FALSE()),""))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IF(DATOS!$A17987="",0,IF(CONFIG_METADATA!$B$4&lt;&gt;"OR+EX",--(DATOS!$G17987=CONFIG_METADATA!$B$4),IF(DATOS!$G17987="EX",1,IF(DATOS!$G17987="OR",--(COUNTIFS(nNIA,DATOS!$A17987,nCURSO,DATOS!$D17987,nESPEC,DATOS!$E17987,nASIG,DATOS!$I17987,nEVAL,"EX")=0),0))))</f>
      </c>
      <c r="H17987">
        <f>IF(DATOS!$G17987&lt;&gt;"EX",0,--(COUNTIFS(nNIA,DATOS!$A17987,nCURSO,DATOS!$D17987,nESPEC,DATOS!$E17987,nASIG,DATOS!$I17987,nEVAL,"OR")=0))</f>
      </c>
      <c r="I17987">
        <f>IF(DATOS!$I17987="","",IFERROR(VLOOKUP(DATOS!$I17987,CONFIG_ASIGNATURAS!$B$2:$J$91,9,FALSE()),""))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IF(DATOS!$A17988="",0,IF(CONFIG_METADATA!$B$4&lt;&gt;"OR+EX",--(DATOS!$G17988=CONFIG_METADATA!$B$4),IF(DATOS!$G17988="EX",1,IF(DATOS!$G17988="OR",--(COUNTIFS(nNIA,DATOS!$A17988,nCURSO,DATOS!$D17988,nESPEC,DATOS!$E17988,nASIG,DATOS!$I17988,nEVAL,"EX")=0),0))))</f>
      </c>
      <c r="H17988">
        <f>IF(DATOS!$G17988&lt;&gt;"EX",0,--(COUNTIFS(nNIA,DATOS!$A17988,nCURSO,DATOS!$D17988,nESPEC,DATOS!$E17988,nASIG,DATOS!$I17988,nEVAL,"OR")=0))</f>
      </c>
      <c r="I17988">
        <f>IF(DATOS!$I17988="","",IFERROR(VLOOKUP(DATOS!$I17988,CONFIG_ASIGNATURAS!$B$2:$J$91,9,FALSE()),""))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IF(DATOS!$A17989="",0,IF(CONFIG_METADATA!$B$4&lt;&gt;"OR+EX",--(DATOS!$G17989=CONFIG_METADATA!$B$4),IF(DATOS!$G17989="EX",1,IF(DATOS!$G17989="OR",--(COUNTIFS(nNIA,DATOS!$A17989,nCURSO,DATOS!$D17989,nESPEC,DATOS!$E17989,nASIG,DATOS!$I17989,nEVAL,"EX")=0),0))))</f>
      </c>
      <c r="H17989">
        <f>IF(DATOS!$G17989&lt;&gt;"EX",0,--(COUNTIFS(nNIA,DATOS!$A17989,nCURSO,DATOS!$D17989,nESPEC,DATOS!$E17989,nASIG,DATOS!$I17989,nEVAL,"OR")=0))</f>
      </c>
      <c r="I17989">
        <f>IF(DATOS!$I17989="","",IFERROR(VLOOKUP(DATOS!$I17989,CONFIG_ASIGNATURAS!$B$2:$J$91,9,FALSE()),""))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IF(DATOS!$A17990="",0,IF(CONFIG_METADATA!$B$4&lt;&gt;"OR+EX",--(DATOS!$G17990=CONFIG_METADATA!$B$4),IF(DATOS!$G17990="EX",1,IF(DATOS!$G17990="OR",--(COUNTIFS(nNIA,DATOS!$A17990,nCURSO,DATOS!$D17990,nESPEC,DATOS!$E17990,nASIG,DATOS!$I17990,nEVAL,"EX")=0),0))))</f>
      </c>
      <c r="H17990">
        <f>IF(DATOS!$G17990&lt;&gt;"EX",0,--(COUNTIFS(nNIA,DATOS!$A17990,nCURSO,DATOS!$D17990,nESPEC,DATOS!$E17990,nASIG,DATOS!$I17990,nEVAL,"OR")=0))</f>
      </c>
      <c r="I17990">
        <f>IF(DATOS!$I17990="","",IFERROR(VLOOKUP(DATOS!$I17990,CONFIG_ASIGNATURAS!$B$2:$J$91,9,FALSE()),""))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IF(DATOS!$A17991="",0,IF(CONFIG_METADATA!$B$4&lt;&gt;"OR+EX",--(DATOS!$G17991=CONFIG_METADATA!$B$4),IF(DATOS!$G17991="EX",1,IF(DATOS!$G17991="OR",--(COUNTIFS(nNIA,DATOS!$A17991,nCURSO,DATOS!$D17991,nESPEC,DATOS!$E17991,nASIG,DATOS!$I17991,nEVAL,"EX")=0),0))))</f>
      </c>
      <c r="H17991">
        <f>IF(DATOS!$G17991&lt;&gt;"EX",0,--(COUNTIFS(nNIA,DATOS!$A17991,nCURSO,DATOS!$D17991,nESPEC,DATOS!$E17991,nASIG,DATOS!$I17991,nEVAL,"OR")=0))</f>
      </c>
      <c r="I17991">
        <f>IF(DATOS!$I17991="","",IFERROR(VLOOKUP(DATOS!$I17991,CONFIG_ASIGNATURAS!$B$2:$J$91,9,FALSE()),""))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IF(DATOS!$A17992="",0,IF(CONFIG_METADATA!$B$4&lt;&gt;"OR+EX",--(DATOS!$G17992=CONFIG_METADATA!$B$4),IF(DATOS!$G17992="EX",1,IF(DATOS!$G17992="OR",--(COUNTIFS(nNIA,DATOS!$A17992,nCURSO,DATOS!$D17992,nESPEC,DATOS!$E17992,nASIG,DATOS!$I17992,nEVAL,"EX")=0),0))))</f>
      </c>
      <c r="H17992">
        <f>IF(DATOS!$G17992&lt;&gt;"EX",0,--(COUNTIFS(nNIA,DATOS!$A17992,nCURSO,DATOS!$D17992,nESPEC,DATOS!$E17992,nASIG,DATOS!$I17992,nEVAL,"OR")=0))</f>
      </c>
      <c r="I17992">
        <f>IF(DATOS!$I17992="","",IFERROR(VLOOKUP(DATOS!$I17992,CONFIG_ASIGNATURAS!$B$2:$J$91,9,FALSE()),""))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IF(DATOS!$A17993="",0,IF(CONFIG_METADATA!$B$4&lt;&gt;"OR+EX",--(DATOS!$G17993=CONFIG_METADATA!$B$4),IF(DATOS!$G17993="EX",1,IF(DATOS!$G17993="OR",--(COUNTIFS(nNIA,DATOS!$A17993,nCURSO,DATOS!$D17993,nESPEC,DATOS!$E17993,nASIG,DATOS!$I17993,nEVAL,"EX")=0),0))))</f>
      </c>
      <c r="H17993">
        <f>IF(DATOS!$G17993&lt;&gt;"EX",0,--(COUNTIFS(nNIA,DATOS!$A17993,nCURSO,DATOS!$D17993,nESPEC,DATOS!$E17993,nASIG,DATOS!$I17993,nEVAL,"OR")=0))</f>
      </c>
      <c r="I17993">
        <f>IF(DATOS!$I17993="","",IFERROR(VLOOKUP(DATOS!$I17993,CONFIG_ASIGNATURAS!$B$2:$J$91,9,FALSE()),""))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IF(DATOS!$A17994="",0,IF(CONFIG_METADATA!$B$4&lt;&gt;"OR+EX",--(DATOS!$G17994=CONFIG_METADATA!$B$4),IF(DATOS!$G17994="EX",1,IF(DATOS!$G17994="OR",--(COUNTIFS(nNIA,DATOS!$A17994,nCURSO,DATOS!$D17994,nESPEC,DATOS!$E17994,nASIG,DATOS!$I17994,nEVAL,"EX")=0),0))))</f>
      </c>
      <c r="H17994">
        <f>IF(DATOS!$G17994&lt;&gt;"EX",0,--(COUNTIFS(nNIA,DATOS!$A17994,nCURSO,DATOS!$D17994,nESPEC,DATOS!$E17994,nASIG,DATOS!$I17994,nEVAL,"OR")=0))</f>
      </c>
      <c r="I17994">
        <f>IF(DATOS!$I17994="","",IFERROR(VLOOKUP(DATOS!$I17994,CONFIG_ASIGNATURAS!$B$2:$J$91,9,FALSE()),""))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IF(DATOS!$A17995="",0,IF(CONFIG_METADATA!$B$4&lt;&gt;"OR+EX",--(DATOS!$G17995=CONFIG_METADATA!$B$4),IF(DATOS!$G17995="EX",1,IF(DATOS!$G17995="OR",--(COUNTIFS(nNIA,DATOS!$A17995,nCURSO,DATOS!$D17995,nESPEC,DATOS!$E17995,nASIG,DATOS!$I17995,nEVAL,"EX")=0),0))))</f>
      </c>
      <c r="H17995">
        <f>IF(DATOS!$G17995&lt;&gt;"EX",0,--(COUNTIFS(nNIA,DATOS!$A17995,nCURSO,DATOS!$D17995,nESPEC,DATOS!$E17995,nASIG,DATOS!$I17995,nEVAL,"OR")=0))</f>
      </c>
      <c r="I17995">
        <f>IF(DATOS!$I17995="","",IFERROR(VLOOKUP(DATOS!$I17995,CONFIG_ASIGNATURAS!$B$2:$J$91,9,FALSE()),""))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IF(DATOS!$A17996="",0,IF(CONFIG_METADATA!$B$4&lt;&gt;"OR+EX",--(DATOS!$G17996=CONFIG_METADATA!$B$4),IF(DATOS!$G17996="EX",1,IF(DATOS!$G17996="OR",--(COUNTIFS(nNIA,DATOS!$A17996,nCURSO,DATOS!$D17996,nESPEC,DATOS!$E17996,nASIG,DATOS!$I17996,nEVAL,"EX")=0),0))))</f>
      </c>
      <c r="H17996">
        <f>IF(DATOS!$G17996&lt;&gt;"EX",0,--(COUNTIFS(nNIA,DATOS!$A17996,nCURSO,DATOS!$D17996,nESPEC,DATOS!$E17996,nASIG,DATOS!$I17996,nEVAL,"OR")=0))</f>
      </c>
      <c r="I17996">
        <f>IF(DATOS!$I17996="","",IFERROR(VLOOKUP(DATOS!$I17996,CONFIG_ASIGNATURAS!$B$2:$J$91,9,FALSE()),""))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IF(DATOS!$A17997="",0,IF(CONFIG_METADATA!$B$4&lt;&gt;"OR+EX",--(DATOS!$G17997=CONFIG_METADATA!$B$4),IF(DATOS!$G17997="EX",1,IF(DATOS!$G17997="OR",--(COUNTIFS(nNIA,DATOS!$A17997,nCURSO,DATOS!$D17997,nESPEC,DATOS!$E17997,nASIG,DATOS!$I17997,nEVAL,"EX")=0),0))))</f>
      </c>
      <c r="H17997">
        <f>IF(DATOS!$G17997&lt;&gt;"EX",0,--(COUNTIFS(nNIA,DATOS!$A17997,nCURSO,DATOS!$D17997,nESPEC,DATOS!$E17997,nASIG,DATOS!$I17997,nEVAL,"OR")=0))</f>
      </c>
      <c r="I17997">
        <f>IF(DATOS!$I17997="","",IFERROR(VLOOKUP(DATOS!$I17997,CONFIG_ASIGNATURAS!$B$2:$J$91,9,FALSE()),""))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IF(DATOS!$A17998="",0,IF(CONFIG_METADATA!$B$4&lt;&gt;"OR+EX",--(DATOS!$G17998=CONFIG_METADATA!$B$4),IF(DATOS!$G17998="EX",1,IF(DATOS!$G17998="OR",--(COUNTIFS(nNIA,DATOS!$A17998,nCURSO,DATOS!$D17998,nESPEC,DATOS!$E17998,nASIG,DATOS!$I17998,nEVAL,"EX")=0),0))))</f>
      </c>
      <c r="H17998">
        <f>IF(DATOS!$G17998&lt;&gt;"EX",0,--(COUNTIFS(nNIA,DATOS!$A17998,nCURSO,DATOS!$D17998,nESPEC,DATOS!$E17998,nASIG,DATOS!$I17998,nEVAL,"OR")=0))</f>
      </c>
      <c r="I17998">
        <f>IF(DATOS!$I17998="","",IFERROR(VLOOKUP(DATOS!$I17998,CONFIG_ASIGNATURAS!$B$2:$J$91,9,FALSE()),""))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IF(DATOS!$A17999="",0,IF(CONFIG_METADATA!$B$4&lt;&gt;"OR+EX",--(DATOS!$G17999=CONFIG_METADATA!$B$4),IF(DATOS!$G17999="EX",1,IF(DATOS!$G17999="OR",--(COUNTIFS(nNIA,DATOS!$A17999,nCURSO,DATOS!$D17999,nESPEC,DATOS!$E17999,nASIG,DATOS!$I17999,nEVAL,"EX")=0),0))))</f>
      </c>
      <c r="H17999">
        <f>IF(DATOS!$G17999&lt;&gt;"EX",0,--(COUNTIFS(nNIA,DATOS!$A17999,nCURSO,DATOS!$D17999,nESPEC,DATOS!$E17999,nASIG,DATOS!$I17999,nEVAL,"OR")=0))</f>
      </c>
      <c r="I17999">
        <f>IF(DATOS!$I17999="","",IFERROR(VLOOKUP(DATOS!$I17999,CONFIG_ASIGNATURAS!$B$2:$J$91,9,FALSE()),""))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IF(DATOS!$A18000="",0,IF(CONFIG_METADATA!$B$4&lt;&gt;"OR+EX",--(DATOS!$G18000=CONFIG_METADATA!$B$4),IF(DATOS!$G18000="EX",1,IF(DATOS!$G18000="OR",--(COUNTIFS(nNIA,DATOS!$A18000,nCURSO,DATOS!$D18000,nESPEC,DATOS!$E18000,nASIG,DATOS!$I18000,nEVAL,"EX")=0),0))))</f>
      </c>
      <c r="H18000">
        <f>IF(DATOS!$G18000&lt;&gt;"EX",0,--(COUNTIFS(nNIA,DATOS!$A18000,nCURSO,DATOS!$D18000,nESPEC,DATOS!$E18000,nASIG,DATOS!$I18000,nEVAL,"OR")=0))</f>
      </c>
      <c r="I18000">
        <f>IF(DATOS!$I18000="","",IFERROR(VLOOKUP(DATOS!$I18000,CONFIG_ASIGNATURAS!$B$2:$J$91,9,FALSE()),""))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IF(DATOS!$A18001="",0,IF(CONFIG_METADATA!$B$4&lt;&gt;"OR+EX",--(DATOS!$G18001=CONFIG_METADATA!$B$4),IF(DATOS!$G18001="EX",1,IF(DATOS!$G18001="OR",--(COUNTIFS(nNIA,DATOS!$A18001,nCURSO,DATOS!$D18001,nESPEC,DATOS!$E18001,nASIG,DATOS!$I18001,nEVAL,"EX")=0),0))))</f>
      </c>
      <c r="H18001">
        <f>IF(DATOS!$G18001&lt;&gt;"EX",0,--(COUNTIFS(nNIA,DATOS!$A18001,nCURSO,DATOS!$D18001,nESPEC,DATOS!$E18001,nASIG,DATOS!$I18001,nEVAL,"OR")=0))</f>
      </c>
      <c r="I18001">
        <f>IF(DATOS!$I18001="","",IFERROR(VLOOKUP(DATOS!$I18001,CONFIG_ASIGNATURAS!$B$2:$J$91,9,FALSE()),""))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IF(DATOS!$A18002="",0,IF(CONFIG_METADATA!$B$4&lt;&gt;"OR+EX",--(DATOS!$G18002=CONFIG_METADATA!$B$4),IF(DATOS!$G18002="EX",1,IF(DATOS!$G18002="OR",--(COUNTIFS(nNIA,DATOS!$A18002,nCURSO,DATOS!$D18002,nESPEC,DATOS!$E18002,nASIG,DATOS!$I18002,nEVAL,"EX")=0),0))))</f>
      </c>
      <c r="H18002">
        <f>IF(DATOS!$G18002&lt;&gt;"EX",0,--(COUNTIFS(nNIA,DATOS!$A18002,nCURSO,DATOS!$D18002,nESPEC,DATOS!$E18002,nASIG,DATOS!$I18002,nEVAL,"OR")=0))</f>
      </c>
      <c r="I18002">
        <f>IF(DATOS!$I18002="","",IFERROR(VLOOKUP(DATOS!$I18002,CONFIG_ASIGNATURAS!$B$2:$J$91,9,FALSE()),""))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IF(DATOS!$A18003="",0,IF(CONFIG_METADATA!$B$4&lt;&gt;"OR+EX",--(DATOS!$G18003=CONFIG_METADATA!$B$4),IF(DATOS!$G18003="EX",1,IF(DATOS!$G18003="OR",--(COUNTIFS(nNIA,DATOS!$A18003,nCURSO,DATOS!$D18003,nESPEC,DATOS!$E18003,nASIG,DATOS!$I18003,nEVAL,"EX")=0),0))))</f>
      </c>
      <c r="H18003">
        <f>IF(DATOS!$G18003&lt;&gt;"EX",0,--(COUNTIFS(nNIA,DATOS!$A18003,nCURSO,DATOS!$D18003,nESPEC,DATOS!$E18003,nASIG,DATOS!$I18003,nEVAL,"OR")=0))</f>
      </c>
      <c r="I18003">
        <f>IF(DATOS!$I18003="","",IFERROR(VLOOKUP(DATOS!$I18003,CONFIG_ASIGNATURAS!$B$2:$J$91,9,FALSE()),""))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IF(DATOS!$A18004="",0,IF(CONFIG_METADATA!$B$4&lt;&gt;"OR+EX",--(DATOS!$G18004=CONFIG_METADATA!$B$4),IF(DATOS!$G18004="EX",1,IF(DATOS!$G18004="OR",--(COUNTIFS(nNIA,DATOS!$A18004,nCURSO,DATOS!$D18004,nESPEC,DATOS!$E18004,nASIG,DATOS!$I18004,nEVAL,"EX")=0),0))))</f>
      </c>
      <c r="H18004">
        <f>IF(DATOS!$G18004&lt;&gt;"EX",0,--(COUNTIFS(nNIA,DATOS!$A18004,nCURSO,DATOS!$D18004,nESPEC,DATOS!$E18004,nASIG,DATOS!$I18004,nEVAL,"OR")=0))</f>
      </c>
      <c r="I18004">
        <f>IF(DATOS!$I18004="","",IFERROR(VLOOKUP(DATOS!$I18004,CONFIG_ASIGNATURAS!$B$2:$J$91,9,FALSE()),""))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IF(DATOS!$A18005="",0,IF(CONFIG_METADATA!$B$4&lt;&gt;"OR+EX",--(DATOS!$G18005=CONFIG_METADATA!$B$4),IF(DATOS!$G18005="EX",1,IF(DATOS!$G18005="OR",--(COUNTIFS(nNIA,DATOS!$A18005,nCURSO,DATOS!$D18005,nESPEC,DATOS!$E18005,nASIG,DATOS!$I18005,nEVAL,"EX")=0),0))))</f>
      </c>
      <c r="H18005">
        <f>IF(DATOS!$G18005&lt;&gt;"EX",0,--(COUNTIFS(nNIA,DATOS!$A18005,nCURSO,DATOS!$D18005,nESPEC,DATOS!$E18005,nASIG,DATOS!$I18005,nEVAL,"OR")=0))</f>
      </c>
      <c r="I18005">
        <f>IF(DATOS!$I18005="","",IFERROR(VLOOKUP(DATOS!$I18005,CONFIG_ASIGNATURAS!$B$2:$J$91,9,FALSE()),""))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IF(DATOS!$A18006="",0,IF(CONFIG_METADATA!$B$4&lt;&gt;"OR+EX",--(DATOS!$G18006=CONFIG_METADATA!$B$4),IF(DATOS!$G18006="EX",1,IF(DATOS!$G18006="OR",--(COUNTIFS(nNIA,DATOS!$A18006,nCURSO,DATOS!$D18006,nESPEC,DATOS!$E18006,nASIG,DATOS!$I18006,nEVAL,"EX")=0),0))))</f>
      </c>
      <c r="H18006">
        <f>IF(DATOS!$G18006&lt;&gt;"EX",0,--(COUNTIFS(nNIA,DATOS!$A18006,nCURSO,DATOS!$D18006,nESPEC,DATOS!$E18006,nASIG,DATOS!$I18006,nEVAL,"OR")=0))</f>
      </c>
      <c r="I18006">
        <f>IF(DATOS!$I18006="","",IFERROR(VLOOKUP(DATOS!$I18006,CONFIG_ASIGNATURAS!$B$2:$J$91,9,FALSE()),""))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IF(DATOS!$A18007="",0,IF(CONFIG_METADATA!$B$4&lt;&gt;"OR+EX",--(DATOS!$G18007=CONFIG_METADATA!$B$4),IF(DATOS!$G18007="EX",1,IF(DATOS!$G18007="OR",--(COUNTIFS(nNIA,DATOS!$A18007,nCURSO,DATOS!$D18007,nESPEC,DATOS!$E18007,nASIG,DATOS!$I18007,nEVAL,"EX")=0),0))))</f>
      </c>
      <c r="H18007">
        <f>IF(DATOS!$G18007&lt;&gt;"EX",0,--(COUNTIFS(nNIA,DATOS!$A18007,nCURSO,DATOS!$D18007,nESPEC,DATOS!$E18007,nASIG,DATOS!$I18007,nEVAL,"OR")=0))</f>
      </c>
      <c r="I18007">
        <f>IF(DATOS!$I18007="","",IFERROR(VLOOKUP(DATOS!$I18007,CONFIG_ASIGNATURAS!$B$2:$J$91,9,FALSE()),""))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IF(DATOS!$A18008="",0,IF(CONFIG_METADATA!$B$4&lt;&gt;"OR+EX",--(DATOS!$G18008=CONFIG_METADATA!$B$4),IF(DATOS!$G18008="EX",1,IF(DATOS!$G18008="OR",--(COUNTIFS(nNIA,DATOS!$A18008,nCURSO,DATOS!$D18008,nESPEC,DATOS!$E18008,nASIG,DATOS!$I18008,nEVAL,"EX")=0),0))))</f>
      </c>
      <c r="H18008">
        <f>IF(DATOS!$G18008&lt;&gt;"EX",0,--(COUNTIFS(nNIA,DATOS!$A18008,nCURSO,DATOS!$D18008,nESPEC,DATOS!$E18008,nASIG,DATOS!$I18008,nEVAL,"OR")=0))</f>
      </c>
      <c r="I18008">
        <f>IF(DATOS!$I18008="","",IFERROR(VLOOKUP(DATOS!$I18008,CONFIG_ASIGNATURAS!$B$2:$J$91,9,FALSE()),""))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IF(DATOS!$A18009="",0,IF(CONFIG_METADATA!$B$4&lt;&gt;"OR+EX",--(DATOS!$G18009=CONFIG_METADATA!$B$4),IF(DATOS!$G18009="EX",1,IF(DATOS!$G18009="OR",--(COUNTIFS(nNIA,DATOS!$A18009,nCURSO,DATOS!$D18009,nESPEC,DATOS!$E18009,nASIG,DATOS!$I18009,nEVAL,"EX")=0),0))))</f>
      </c>
      <c r="H18009">
        <f>IF(DATOS!$G18009&lt;&gt;"EX",0,--(COUNTIFS(nNIA,DATOS!$A18009,nCURSO,DATOS!$D18009,nESPEC,DATOS!$E18009,nASIG,DATOS!$I18009,nEVAL,"OR")=0))</f>
      </c>
      <c r="I18009">
        <f>IF(DATOS!$I18009="","",IFERROR(VLOOKUP(DATOS!$I18009,CONFIG_ASIGNATURAS!$B$2:$J$91,9,FALSE()),""))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IF(DATOS!$A18010="",0,IF(CONFIG_METADATA!$B$4&lt;&gt;"OR+EX",--(DATOS!$G18010=CONFIG_METADATA!$B$4),IF(DATOS!$G18010="EX",1,IF(DATOS!$G18010="OR",--(COUNTIFS(nNIA,DATOS!$A18010,nCURSO,DATOS!$D18010,nESPEC,DATOS!$E18010,nASIG,DATOS!$I18010,nEVAL,"EX")=0),0))))</f>
      </c>
      <c r="H18010">
        <f>IF(DATOS!$G18010&lt;&gt;"EX",0,--(COUNTIFS(nNIA,DATOS!$A18010,nCURSO,DATOS!$D18010,nESPEC,DATOS!$E18010,nASIG,DATOS!$I18010,nEVAL,"OR")=0))</f>
      </c>
      <c r="I18010">
        <f>IF(DATOS!$I18010="","",IFERROR(VLOOKUP(DATOS!$I18010,CONFIG_ASIGNATURAS!$B$2:$J$91,9,FALSE()),""))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IF(DATOS!$A18011="",0,IF(CONFIG_METADATA!$B$4&lt;&gt;"OR+EX",--(DATOS!$G18011=CONFIG_METADATA!$B$4),IF(DATOS!$G18011="EX",1,IF(DATOS!$G18011="OR",--(COUNTIFS(nNIA,DATOS!$A18011,nCURSO,DATOS!$D18011,nESPEC,DATOS!$E18011,nASIG,DATOS!$I18011,nEVAL,"EX")=0),0))))</f>
      </c>
      <c r="H18011">
        <f>IF(DATOS!$G18011&lt;&gt;"EX",0,--(COUNTIFS(nNIA,DATOS!$A18011,nCURSO,DATOS!$D18011,nESPEC,DATOS!$E18011,nASIG,DATOS!$I18011,nEVAL,"OR")=0))</f>
      </c>
      <c r="I18011">
        <f>IF(DATOS!$I18011="","",IFERROR(VLOOKUP(DATOS!$I18011,CONFIG_ASIGNATURAS!$B$2:$J$91,9,FALSE()),""))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IF(DATOS!$A18012="",0,IF(CONFIG_METADATA!$B$4&lt;&gt;"OR+EX",--(DATOS!$G18012=CONFIG_METADATA!$B$4),IF(DATOS!$G18012="EX",1,IF(DATOS!$G18012="OR",--(COUNTIFS(nNIA,DATOS!$A18012,nCURSO,DATOS!$D18012,nESPEC,DATOS!$E18012,nASIG,DATOS!$I18012,nEVAL,"EX")=0),0))))</f>
      </c>
      <c r="H18012">
        <f>IF(DATOS!$G18012&lt;&gt;"EX",0,--(COUNTIFS(nNIA,DATOS!$A18012,nCURSO,DATOS!$D18012,nESPEC,DATOS!$E18012,nASIG,DATOS!$I18012,nEVAL,"OR")=0))</f>
      </c>
      <c r="I18012">
        <f>IF(DATOS!$I18012="","",IFERROR(VLOOKUP(DATOS!$I18012,CONFIG_ASIGNATURAS!$B$2:$J$91,9,FALSE()),""))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IF(DATOS!$A18013="",0,IF(CONFIG_METADATA!$B$4&lt;&gt;"OR+EX",--(DATOS!$G18013=CONFIG_METADATA!$B$4),IF(DATOS!$G18013="EX",1,IF(DATOS!$G18013="OR",--(COUNTIFS(nNIA,DATOS!$A18013,nCURSO,DATOS!$D18013,nESPEC,DATOS!$E18013,nASIG,DATOS!$I18013,nEVAL,"EX")=0),0))))</f>
      </c>
      <c r="H18013">
        <f>IF(DATOS!$G18013&lt;&gt;"EX",0,--(COUNTIFS(nNIA,DATOS!$A18013,nCURSO,DATOS!$D18013,nESPEC,DATOS!$E18013,nASIG,DATOS!$I18013,nEVAL,"OR")=0))</f>
      </c>
      <c r="I18013">
        <f>IF(DATOS!$I18013="","",IFERROR(VLOOKUP(DATOS!$I18013,CONFIG_ASIGNATURAS!$B$2:$J$91,9,FALSE()),""))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IF(DATOS!$A18014="",0,IF(CONFIG_METADATA!$B$4&lt;&gt;"OR+EX",--(DATOS!$G18014=CONFIG_METADATA!$B$4),IF(DATOS!$G18014="EX",1,IF(DATOS!$G18014="OR",--(COUNTIFS(nNIA,DATOS!$A18014,nCURSO,DATOS!$D18014,nESPEC,DATOS!$E18014,nASIG,DATOS!$I18014,nEVAL,"EX")=0),0))))</f>
      </c>
      <c r="H18014">
        <f>IF(DATOS!$G18014&lt;&gt;"EX",0,--(COUNTIFS(nNIA,DATOS!$A18014,nCURSO,DATOS!$D18014,nESPEC,DATOS!$E18014,nASIG,DATOS!$I18014,nEVAL,"OR")=0))</f>
      </c>
      <c r="I18014">
        <f>IF(DATOS!$I18014="","",IFERROR(VLOOKUP(DATOS!$I18014,CONFIG_ASIGNATURAS!$B$2:$J$91,9,FALSE()),""))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IF(DATOS!$A18015="",0,IF(CONFIG_METADATA!$B$4&lt;&gt;"OR+EX",--(DATOS!$G18015=CONFIG_METADATA!$B$4),IF(DATOS!$G18015="EX",1,IF(DATOS!$G18015="OR",--(COUNTIFS(nNIA,DATOS!$A18015,nCURSO,DATOS!$D18015,nESPEC,DATOS!$E18015,nASIG,DATOS!$I18015,nEVAL,"EX")=0),0))))</f>
      </c>
      <c r="H18015">
        <f>IF(DATOS!$G18015&lt;&gt;"EX",0,--(COUNTIFS(nNIA,DATOS!$A18015,nCURSO,DATOS!$D18015,nESPEC,DATOS!$E18015,nASIG,DATOS!$I18015,nEVAL,"OR")=0))</f>
      </c>
      <c r="I18015">
        <f>IF(DATOS!$I18015="","",IFERROR(VLOOKUP(DATOS!$I18015,CONFIG_ASIGNATURAS!$B$2:$J$91,9,FALSE()),""))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IF(DATOS!$A18016="",0,IF(CONFIG_METADATA!$B$4&lt;&gt;"OR+EX",--(DATOS!$G18016=CONFIG_METADATA!$B$4),IF(DATOS!$G18016="EX",1,IF(DATOS!$G18016="OR",--(COUNTIFS(nNIA,DATOS!$A18016,nCURSO,DATOS!$D18016,nESPEC,DATOS!$E18016,nASIG,DATOS!$I18016,nEVAL,"EX")=0),0))))</f>
      </c>
      <c r="H18016">
        <f>IF(DATOS!$G18016&lt;&gt;"EX",0,--(COUNTIFS(nNIA,DATOS!$A18016,nCURSO,DATOS!$D18016,nESPEC,DATOS!$E18016,nASIG,DATOS!$I18016,nEVAL,"OR")=0))</f>
      </c>
      <c r="I18016">
        <f>IF(DATOS!$I18016="","",IFERROR(VLOOKUP(DATOS!$I18016,CONFIG_ASIGNATURAS!$B$2:$J$91,9,FALSE()),""))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IF(DATOS!$A18017="",0,IF(CONFIG_METADATA!$B$4&lt;&gt;"OR+EX",--(DATOS!$G18017=CONFIG_METADATA!$B$4),IF(DATOS!$G18017="EX",1,IF(DATOS!$G18017="OR",--(COUNTIFS(nNIA,DATOS!$A18017,nCURSO,DATOS!$D18017,nESPEC,DATOS!$E18017,nASIG,DATOS!$I18017,nEVAL,"EX")=0),0))))</f>
      </c>
      <c r="H18017">
        <f>IF(DATOS!$G18017&lt;&gt;"EX",0,--(COUNTIFS(nNIA,DATOS!$A18017,nCURSO,DATOS!$D18017,nESPEC,DATOS!$E18017,nASIG,DATOS!$I18017,nEVAL,"OR")=0))</f>
      </c>
      <c r="I18017">
        <f>IF(DATOS!$I18017="","",IFERROR(VLOOKUP(DATOS!$I18017,CONFIG_ASIGNATURAS!$B$2:$J$91,9,FALSE()),""))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IF(DATOS!$A18018="",0,IF(CONFIG_METADATA!$B$4&lt;&gt;"OR+EX",--(DATOS!$G18018=CONFIG_METADATA!$B$4),IF(DATOS!$G18018="EX",1,IF(DATOS!$G18018="OR",--(COUNTIFS(nNIA,DATOS!$A18018,nCURSO,DATOS!$D18018,nESPEC,DATOS!$E18018,nASIG,DATOS!$I18018,nEVAL,"EX")=0),0))))</f>
      </c>
      <c r="H18018">
        <f>IF(DATOS!$G18018&lt;&gt;"EX",0,--(COUNTIFS(nNIA,DATOS!$A18018,nCURSO,DATOS!$D18018,nESPEC,DATOS!$E18018,nASIG,DATOS!$I18018,nEVAL,"OR")=0))</f>
      </c>
      <c r="I18018">
        <f>IF(DATOS!$I18018="","",IFERROR(VLOOKUP(DATOS!$I18018,CONFIG_ASIGNATURAS!$B$2:$J$91,9,FALSE()),""))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IF(DATOS!$A18019="",0,IF(CONFIG_METADATA!$B$4&lt;&gt;"OR+EX",--(DATOS!$G18019=CONFIG_METADATA!$B$4),IF(DATOS!$G18019="EX",1,IF(DATOS!$G18019="OR",--(COUNTIFS(nNIA,DATOS!$A18019,nCURSO,DATOS!$D18019,nESPEC,DATOS!$E18019,nASIG,DATOS!$I18019,nEVAL,"EX")=0),0))))</f>
      </c>
      <c r="H18019">
        <f>IF(DATOS!$G18019&lt;&gt;"EX",0,--(COUNTIFS(nNIA,DATOS!$A18019,nCURSO,DATOS!$D18019,nESPEC,DATOS!$E18019,nASIG,DATOS!$I18019,nEVAL,"OR")=0))</f>
      </c>
      <c r="I18019">
        <f>IF(DATOS!$I18019="","",IFERROR(VLOOKUP(DATOS!$I18019,CONFIG_ASIGNATURAS!$B$2:$J$91,9,FALSE()),""))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IF(DATOS!$A18020="",0,IF(CONFIG_METADATA!$B$4&lt;&gt;"OR+EX",--(DATOS!$G18020=CONFIG_METADATA!$B$4),IF(DATOS!$G18020="EX",1,IF(DATOS!$G18020="OR",--(COUNTIFS(nNIA,DATOS!$A18020,nCURSO,DATOS!$D18020,nESPEC,DATOS!$E18020,nASIG,DATOS!$I18020,nEVAL,"EX")=0),0))))</f>
      </c>
      <c r="H18020">
        <f>IF(DATOS!$G18020&lt;&gt;"EX",0,--(COUNTIFS(nNIA,DATOS!$A18020,nCURSO,DATOS!$D18020,nESPEC,DATOS!$E18020,nASIG,DATOS!$I18020,nEVAL,"OR")=0))</f>
      </c>
      <c r="I18020">
        <f>IF(DATOS!$I18020="","",IFERROR(VLOOKUP(DATOS!$I18020,CONFIG_ASIGNATURAS!$B$2:$J$91,9,FALSE()),""))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IF(DATOS!$A18021="",0,IF(CONFIG_METADATA!$B$4&lt;&gt;"OR+EX",--(DATOS!$G18021=CONFIG_METADATA!$B$4),IF(DATOS!$G18021="EX",1,IF(DATOS!$G18021="OR",--(COUNTIFS(nNIA,DATOS!$A18021,nCURSO,DATOS!$D18021,nESPEC,DATOS!$E18021,nASIG,DATOS!$I18021,nEVAL,"EX")=0),0))))</f>
      </c>
      <c r="H18021">
        <f>IF(DATOS!$G18021&lt;&gt;"EX",0,--(COUNTIFS(nNIA,DATOS!$A18021,nCURSO,DATOS!$D18021,nESPEC,DATOS!$E18021,nASIG,DATOS!$I18021,nEVAL,"OR")=0))</f>
      </c>
      <c r="I18021">
        <f>IF(DATOS!$I18021="","",IFERROR(VLOOKUP(DATOS!$I18021,CONFIG_ASIGNATURAS!$B$2:$J$91,9,FALSE()),""))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IF(DATOS!$A18022="",0,IF(CONFIG_METADATA!$B$4&lt;&gt;"OR+EX",--(DATOS!$G18022=CONFIG_METADATA!$B$4),IF(DATOS!$G18022="EX",1,IF(DATOS!$G18022="OR",--(COUNTIFS(nNIA,DATOS!$A18022,nCURSO,DATOS!$D18022,nESPEC,DATOS!$E18022,nASIG,DATOS!$I18022,nEVAL,"EX")=0),0))))</f>
      </c>
      <c r="H18022">
        <f>IF(DATOS!$G18022&lt;&gt;"EX",0,--(COUNTIFS(nNIA,DATOS!$A18022,nCURSO,DATOS!$D18022,nESPEC,DATOS!$E18022,nASIG,DATOS!$I18022,nEVAL,"OR")=0))</f>
      </c>
      <c r="I18022">
        <f>IF(DATOS!$I18022="","",IFERROR(VLOOKUP(DATOS!$I18022,CONFIG_ASIGNATURAS!$B$2:$J$91,9,FALSE()),""))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IF(DATOS!$A18023="",0,IF(CONFIG_METADATA!$B$4&lt;&gt;"OR+EX",--(DATOS!$G18023=CONFIG_METADATA!$B$4),IF(DATOS!$G18023="EX",1,IF(DATOS!$G18023="OR",--(COUNTIFS(nNIA,DATOS!$A18023,nCURSO,DATOS!$D18023,nESPEC,DATOS!$E18023,nASIG,DATOS!$I18023,nEVAL,"EX")=0),0))))</f>
      </c>
      <c r="H18023">
        <f>IF(DATOS!$G18023&lt;&gt;"EX",0,--(COUNTIFS(nNIA,DATOS!$A18023,nCURSO,DATOS!$D18023,nESPEC,DATOS!$E18023,nASIG,DATOS!$I18023,nEVAL,"OR")=0))</f>
      </c>
      <c r="I18023">
        <f>IF(DATOS!$I18023="","",IFERROR(VLOOKUP(DATOS!$I18023,CONFIG_ASIGNATURAS!$B$2:$J$91,9,FALSE()),""))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IF(DATOS!$A18024="",0,IF(CONFIG_METADATA!$B$4&lt;&gt;"OR+EX",--(DATOS!$G18024=CONFIG_METADATA!$B$4),IF(DATOS!$G18024="EX",1,IF(DATOS!$G18024="OR",--(COUNTIFS(nNIA,DATOS!$A18024,nCURSO,DATOS!$D18024,nESPEC,DATOS!$E18024,nASIG,DATOS!$I18024,nEVAL,"EX")=0),0))))</f>
      </c>
      <c r="H18024">
        <f>IF(DATOS!$G18024&lt;&gt;"EX",0,--(COUNTIFS(nNIA,DATOS!$A18024,nCURSO,DATOS!$D18024,nESPEC,DATOS!$E18024,nASIG,DATOS!$I18024,nEVAL,"OR")=0))</f>
      </c>
      <c r="I18024">
        <f>IF(DATOS!$I18024="","",IFERROR(VLOOKUP(DATOS!$I18024,CONFIG_ASIGNATURAS!$B$2:$J$91,9,FALSE()),""))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IF(DATOS!$A18025="",0,IF(CONFIG_METADATA!$B$4&lt;&gt;"OR+EX",--(DATOS!$G18025=CONFIG_METADATA!$B$4),IF(DATOS!$G18025="EX",1,IF(DATOS!$G18025="OR",--(COUNTIFS(nNIA,DATOS!$A18025,nCURSO,DATOS!$D18025,nESPEC,DATOS!$E18025,nASIG,DATOS!$I18025,nEVAL,"EX")=0),0))))</f>
      </c>
      <c r="H18025">
        <f>IF(DATOS!$G18025&lt;&gt;"EX",0,--(COUNTIFS(nNIA,DATOS!$A18025,nCURSO,DATOS!$D18025,nESPEC,DATOS!$E18025,nASIG,DATOS!$I18025,nEVAL,"OR")=0))</f>
      </c>
      <c r="I18025">
        <f>IF(DATOS!$I18025="","",IFERROR(VLOOKUP(DATOS!$I18025,CONFIG_ASIGNATURAS!$B$2:$J$91,9,FALSE()),""))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IF(DATOS!$A18026="",0,IF(CONFIG_METADATA!$B$4&lt;&gt;"OR+EX",--(DATOS!$G18026=CONFIG_METADATA!$B$4),IF(DATOS!$G18026="EX",1,IF(DATOS!$G18026="OR",--(COUNTIFS(nNIA,DATOS!$A18026,nCURSO,DATOS!$D18026,nESPEC,DATOS!$E18026,nASIG,DATOS!$I18026,nEVAL,"EX")=0),0))))</f>
      </c>
      <c r="H18026">
        <f>IF(DATOS!$G18026&lt;&gt;"EX",0,--(COUNTIFS(nNIA,DATOS!$A18026,nCURSO,DATOS!$D18026,nESPEC,DATOS!$E18026,nASIG,DATOS!$I18026,nEVAL,"OR")=0))</f>
      </c>
      <c r="I18026">
        <f>IF(DATOS!$I18026="","",IFERROR(VLOOKUP(DATOS!$I18026,CONFIG_ASIGNATURAS!$B$2:$J$91,9,FALSE()),""))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IF(DATOS!$A18027="",0,IF(CONFIG_METADATA!$B$4&lt;&gt;"OR+EX",--(DATOS!$G18027=CONFIG_METADATA!$B$4),IF(DATOS!$G18027="EX",1,IF(DATOS!$G18027="OR",--(COUNTIFS(nNIA,DATOS!$A18027,nCURSO,DATOS!$D18027,nESPEC,DATOS!$E18027,nASIG,DATOS!$I18027,nEVAL,"EX")=0),0))))</f>
      </c>
      <c r="H18027">
        <f>IF(DATOS!$G18027&lt;&gt;"EX",0,--(COUNTIFS(nNIA,DATOS!$A18027,nCURSO,DATOS!$D18027,nESPEC,DATOS!$E18027,nASIG,DATOS!$I18027,nEVAL,"OR")=0))</f>
      </c>
      <c r="I18027">
        <f>IF(DATOS!$I18027="","",IFERROR(VLOOKUP(DATOS!$I18027,CONFIG_ASIGNATURAS!$B$2:$J$91,9,FALSE()),""))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IF(DATOS!$A18028="",0,IF(CONFIG_METADATA!$B$4&lt;&gt;"OR+EX",--(DATOS!$G18028=CONFIG_METADATA!$B$4),IF(DATOS!$G18028="EX",1,IF(DATOS!$G18028="OR",--(COUNTIFS(nNIA,DATOS!$A18028,nCURSO,DATOS!$D18028,nESPEC,DATOS!$E18028,nASIG,DATOS!$I18028,nEVAL,"EX")=0),0))))</f>
      </c>
      <c r="H18028">
        <f>IF(DATOS!$G18028&lt;&gt;"EX",0,--(COUNTIFS(nNIA,DATOS!$A18028,nCURSO,DATOS!$D18028,nESPEC,DATOS!$E18028,nASIG,DATOS!$I18028,nEVAL,"OR")=0))</f>
      </c>
      <c r="I18028">
        <f>IF(DATOS!$I18028="","",IFERROR(VLOOKUP(DATOS!$I18028,CONFIG_ASIGNATURAS!$B$2:$J$91,9,FALSE()),""))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IF(DATOS!$A18029="",0,IF(CONFIG_METADATA!$B$4&lt;&gt;"OR+EX",--(DATOS!$G18029=CONFIG_METADATA!$B$4),IF(DATOS!$G18029="EX",1,IF(DATOS!$G18029="OR",--(COUNTIFS(nNIA,DATOS!$A18029,nCURSO,DATOS!$D18029,nESPEC,DATOS!$E18029,nASIG,DATOS!$I18029,nEVAL,"EX")=0),0))))</f>
      </c>
      <c r="H18029">
        <f>IF(DATOS!$G18029&lt;&gt;"EX",0,--(COUNTIFS(nNIA,DATOS!$A18029,nCURSO,DATOS!$D18029,nESPEC,DATOS!$E18029,nASIG,DATOS!$I18029,nEVAL,"OR")=0))</f>
      </c>
      <c r="I18029">
        <f>IF(DATOS!$I18029="","",IFERROR(VLOOKUP(DATOS!$I18029,CONFIG_ASIGNATURAS!$B$2:$J$91,9,FALSE()),""))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IF(DATOS!$A18030="",0,IF(CONFIG_METADATA!$B$4&lt;&gt;"OR+EX",--(DATOS!$G18030=CONFIG_METADATA!$B$4),IF(DATOS!$G18030="EX",1,IF(DATOS!$G18030="OR",--(COUNTIFS(nNIA,DATOS!$A18030,nCURSO,DATOS!$D18030,nESPEC,DATOS!$E18030,nASIG,DATOS!$I18030,nEVAL,"EX")=0),0))))</f>
      </c>
      <c r="H18030">
        <f>IF(DATOS!$G18030&lt;&gt;"EX",0,--(COUNTIFS(nNIA,DATOS!$A18030,nCURSO,DATOS!$D18030,nESPEC,DATOS!$E18030,nASIG,DATOS!$I18030,nEVAL,"OR")=0))</f>
      </c>
      <c r="I18030">
        <f>IF(DATOS!$I18030="","",IFERROR(VLOOKUP(DATOS!$I18030,CONFIG_ASIGNATURAS!$B$2:$J$91,9,FALSE()),""))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IF(DATOS!$A18031="",0,IF(CONFIG_METADATA!$B$4&lt;&gt;"OR+EX",--(DATOS!$G18031=CONFIG_METADATA!$B$4),IF(DATOS!$G18031="EX",1,IF(DATOS!$G18031="OR",--(COUNTIFS(nNIA,DATOS!$A18031,nCURSO,DATOS!$D18031,nESPEC,DATOS!$E18031,nASIG,DATOS!$I18031,nEVAL,"EX")=0),0))))</f>
      </c>
      <c r="H18031">
        <f>IF(DATOS!$G18031&lt;&gt;"EX",0,--(COUNTIFS(nNIA,DATOS!$A18031,nCURSO,DATOS!$D18031,nESPEC,DATOS!$E18031,nASIG,DATOS!$I18031,nEVAL,"OR")=0))</f>
      </c>
      <c r="I18031">
        <f>IF(DATOS!$I18031="","",IFERROR(VLOOKUP(DATOS!$I18031,CONFIG_ASIGNATURAS!$B$2:$J$91,9,FALSE()),""))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IF(DATOS!$A18032="",0,IF(CONFIG_METADATA!$B$4&lt;&gt;"OR+EX",--(DATOS!$G18032=CONFIG_METADATA!$B$4),IF(DATOS!$G18032="EX",1,IF(DATOS!$G18032="OR",--(COUNTIFS(nNIA,DATOS!$A18032,nCURSO,DATOS!$D18032,nESPEC,DATOS!$E18032,nASIG,DATOS!$I18032,nEVAL,"EX")=0),0))))</f>
      </c>
      <c r="H18032">
        <f>IF(DATOS!$G18032&lt;&gt;"EX",0,--(COUNTIFS(nNIA,DATOS!$A18032,nCURSO,DATOS!$D18032,nESPEC,DATOS!$E18032,nASIG,DATOS!$I18032,nEVAL,"OR")=0))</f>
      </c>
      <c r="I18032">
        <f>IF(DATOS!$I18032="","",IFERROR(VLOOKUP(DATOS!$I18032,CONFIG_ASIGNATURAS!$B$2:$J$91,9,FALSE()),""))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IF(DATOS!$A18033="",0,IF(CONFIG_METADATA!$B$4&lt;&gt;"OR+EX",--(DATOS!$G18033=CONFIG_METADATA!$B$4),IF(DATOS!$G18033="EX",1,IF(DATOS!$G18033="OR",--(COUNTIFS(nNIA,DATOS!$A18033,nCURSO,DATOS!$D18033,nESPEC,DATOS!$E18033,nASIG,DATOS!$I18033,nEVAL,"EX")=0),0))))</f>
      </c>
      <c r="H18033">
        <f>IF(DATOS!$G18033&lt;&gt;"EX",0,--(COUNTIFS(nNIA,DATOS!$A18033,nCURSO,DATOS!$D18033,nESPEC,DATOS!$E18033,nASIG,DATOS!$I18033,nEVAL,"OR")=0))</f>
      </c>
      <c r="I18033">
        <f>IF(DATOS!$I18033="","",IFERROR(VLOOKUP(DATOS!$I18033,CONFIG_ASIGNATURAS!$B$2:$J$91,9,FALSE()),""))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IF(DATOS!$A18034="",0,IF(CONFIG_METADATA!$B$4&lt;&gt;"OR+EX",--(DATOS!$G18034=CONFIG_METADATA!$B$4),IF(DATOS!$G18034="EX",1,IF(DATOS!$G18034="OR",--(COUNTIFS(nNIA,DATOS!$A18034,nCURSO,DATOS!$D18034,nESPEC,DATOS!$E18034,nASIG,DATOS!$I18034,nEVAL,"EX")=0),0))))</f>
      </c>
      <c r="H18034">
        <f>IF(DATOS!$G18034&lt;&gt;"EX",0,--(COUNTIFS(nNIA,DATOS!$A18034,nCURSO,DATOS!$D18034,nESPEC,DATOS!$E18034,nASIG,DATOS!$I18034,nEVAL,"OR")=0))</f>
      </c>
      <c r="I18034">
        <f>IF(DATOS!$I18034="","",IFERROR(VLOOKUP(DATOS!$I18034,CONFIG_ASIGNATURAS!$B$2:$J$91,9,FALSE()),""))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IF(DATOS!$A18035="",0,IF(CONFIG_METADATA!$B$4&lt;&gt;"OR+EX",--(DATOS!$G18035=CONFIG_METADATA!$B$4),IF(DATOS!$G18035="EX",1,IF(DATOS!$G18035="OR",--(COUNTIFS(nNIA,DATOS!$A18035,nCURSO,DATOS!$D18035,nESPEC,DATOS!$E18035,nASIG,DATOS!$I18035,nEVAL,"EX")=0),0))))</f>
      </c>
      <c r="H18035">
        <f>IF(DATOS!$G18035&lt;&gt;"EX",0,--(COUNTIFS(nNIA,DATOS!$A18035,nCURSO,DATOS!$D18035,nESPEC,DATOS!$E18035,nASIG,DATOS!$I18035,nEVAL,"OR")=0))</f>
      </c>
      <c r="I18035">
        <f>IF(DATOS!$I18035="","",IFERROR(VLOOKUP(DATOS!$I18035,CONFIG_ASIGNATURAS!$B$2:$J$91,9,FALSE()),""))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IF(DATOS!$A18036="",0,IF(CONFIG_METADATA!$B$4&lt;&gt;"OR+EX",--(DATOS!$G18036=CONFIG_METADATA!$B$4),IF(DATOS!$G18036="EX",1,IF(DATOS!$G18036="OR",--(COUNTIFS(nNIA,DATOS!$A18036,nCURSO,DATOS!$D18036,nESPEC,DATOS!$E18036,nASIG,DATOS!$I18036,nEVAL,"EX")=0),0))))</f>
      </c>
      <c r="H18036">
        <f>IF(DATOS!$G18036&lt;&gt;"EX",0,--(COUNTIFS(nNIA,DATOS!$A18036,nCURSO,DATOS!$D18036,nESPEC,DATOS!$E18036,nASIG,DATOS!$I18036,nEVAL,"OR")=0))</f>
      </c>
      <c r="I18036">
        <f>IF(DATOS!$I18036="","",IFERROR(VLOOKUP(DATOS!$I18036,CONFIG_ASIGNATURAS!$B$2:$J$91,9,FALSE()),""))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IF(DATOS!$A18037="",0,IF(CONFIG_METADATA!$B$4&lt;&gt;"OR+EX",--(DATOS!$G18037=CONFIG_METADATA!$B$4),IF(DATOS!$G18037="EX",1,IF(DATOS!$G18037="OR",--(COUNTIFS(nNIA,DATOS!$A18037,nCURSO,DATOS!$D18037,nESPEC,DATOS!$E18037,nASIG,DATOS!$I18037,nEVAL,"EX")=0),0))))</f>
      </c>
      <c r="H18037">
        <f>IF(DATOS!$G18037&lt;&gt;"EX",0,--(COUNTIFS(nNIA,DATOS!$A18037,nCURSO,DATOS!$D18037,nESPEC,DATOS!$E18037,nASIG,DATOS!$I18037,nEVAL,"OR")=0))</f>
      </c>
      <c r="I18037">
        <f>IF(DATOS!$I18037="","",IFERROR(VLOOKUP(DATOS!$I18037,CONFIG_ASIGNATURAS!$B$2:$J$91,9,FALSE()),""))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IF(DATOS!$A18038="",0,IF(CONFIG_METADATA!$B$4&lt;&gt;"OR+EX",--(DATOS!$G18038=CONFIG_METADATA!$B$4),IF(DATOS!$G18038="EX",1,IF(DATOS!$G18038="OR",--(COUNTIFS(nNIA,DATOS!$A18038,nCURSO,DATOS!$D18038,nESPEC,DATOS!$E18038,nASIG,DATOS!$I18038,nEVAL,"EX")=0),0))))</f>
      </c>
      <c r="H18038">
        <f>IF(DATOS!$G18038&lt;&gt;"EX",0,--(COUNTIFS(nNIA,DATOS!$A18038,nCURSO,DATOS!$D18038,nESPEC,DATOS!$E18038,nASIG,DATOS!$I18038,nEVAL,"OR")=0))</f>
      </c>
      <c r="I18038">
        <f>IF(DATOS!$I18038="","",IFERROR(VLOOKUP(DATOS!$I18038,CONFIG_ASIGNATURAS!$B$2:$J$91,9,FALSE()),""))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IF(DATOS!$A18039="",0,IF(CONFIG_METADATA!$B$4&lt;&gt;"OR+EX",--(DATOS!$G18039=CONFIG_METADATA!$B$4),IF(DATOS!$G18039="EX",1,IF(DATOS!$G18039="OR",--(COUNTIFS(nNIA,DATOS!$A18039,nCURSO,DATOS!$D18039,nESPEC,DATOS!$E18039,nASIG,DATOS!$I18039,nEVAL,"EX")=0),0))))</f>
      </c>
      <c r="H18039">
        <f>IF(DATOS!$G18039&lt;&gt;"EX",0,--(COUNTIFS(nNIA,DATOS!$A18039,nCURSO,DATOS!$D18039,nESPEC,DATOS!$E18039,nASIG,DATOS!$I18039,nEVAL,"OR")=0))</f>
      </c>
      <c r="I18039">
        <f>IF(DATOS!$I18039="","",IFERROR(VLOOKUP(DATOS!$I18039,CONFIG_ASIGNATURAS!$B$2:$J$91,9,FALSE()),""))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IF(DATOS!$A18040="",0,IF(CONFIG_METADATA!$B$4&lt;&gt;"OR+EX",--(DATOS!$G18040=CONFIG_METADATA!$B$4),IF(DATOS!$G18040="EX",1,IF(DATOS!$G18040="OR",--(COUNTIFS(nNIA,DATOS!$A18040,nCURSO,DATOS!$D18040,nESPEC,DATOS!$E18040,nASIG,DATOS!$I18040,nEVAL,"EX")=0),0))))</f>
      </c>
      <c r="H18040">
        <f>IF(DATOS!$G18040&lt;&gt;"EX",0,--(COUNTIFS(nNIA,DATOS!$A18040,nCURSO,DATOS!$D18040,nESPEC,DATOS!$E18040,nASIG,DATOS!$I18040,nEVAL,"OR")=0))</f>
      </c>
      <c r="I18040">
        <f>IF(DATOS!$I18040="","",IFERROR(VLOOKUP(DATOS!$I18040,CONFIG_ASIGNATURAS!$B$2:$J$91,9,FALSE()),""))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IF(DATOS!$A18041="",0,IF(CONFIG_METADATA!$B$4&lt;&gt;"OR+EX",--(DATOS!$G18041=CONFIG_METADATA!$B$4),IF(DATOS!$G18041="EX",1,IF(DATOS!$G18041="OR",--(COUNTIFS(nNIA,DATOS!$A18041,nCURSO,DATOS!$D18041,nESPEC,DATOS!$E18041,nASIG,DATOS!$I18041,nEVAL,"EX")=0),0))))</f>
      </c>
      <c r="H18041">
        <f>IF(DATOS!$G18041&lt;&gt;"EX",0,--(COUNTIFS(nNIA,DATOS!$A18041,nCURSO,DATOS!$D18041,nESPEC,DATOS!$E18041,nASIG,DATOS!$I18041,nEVAL,"OR")=0))</f>
      </c>
      <c r="I18041">
        <f>IF(DATOS!$I18041="","",IFERROR(VLOOKUP(DATOS!$I18041,CONFIG_ASIGNATURAS!$B$2:$J$91,9,FALSE()),""))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IF(DATOS!$A18042="",0,IF(CONFIG_METADATA!$B$4&lt;&gt;"OR+EX",--(DATOS!$G18042=CONFIG_METADATA!$B$4),IF(DATOS!$G18042="EX",1,IF(DATOS!$G18042="OR",--(COUNTIFS(nNIA,DATOS!$A18042,nCURSO,DATOS!$D18042,nESPEC,DATOS!$E18042,nASIG,DATOS!$I18042,nEVAL,"EX")=0),0))))</f>
      </c>
      <c r="H18042">
        <f>IF(DATOS!$G18042&lt;&gt;"EX",0,--(COUNTIFS(nNIA,DATOS!$A18042,nCURSO,DATOS!$D18042,nESPEC,DATOS!$E18042,nASIG,DATOS!$I18042,nEVAL,"OR")=0))</f>
      </c>
      <c r="I18042">
        <f>IF(DATOS!$I18042="","",IFERROR(VLOOKUP(DATOS!$I18042,CONFIG_ASIGNATURAS!$B$2:$J$91,9,FALSE()),""))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IF(DATOS!$A18043="",0,IF(CONFIG_METADATA!$B$4&lt;&gt;"OR+EX",--(DATOS!$G18043=CONFIG_METADATA!$B$4),IF(DATOS!$G18043="EX",1,IF(DATOS!$G18043="OR",--(COUNTIFS(nNIA,DATOS!$A18043,nCURSO,DATOS!$D18043,nESPEC,DATOS!$E18043,nASIG,DATOS!$I18043,nEVAL,"EX")=0),0))))</f>
      </c>
      <c r="H18043">
        <f>IF(DATOS!$G18043&lt;&gt;"EX",0,--(COUNTIFS(nNIA,DATOS!$A18043,nCURSO,DATOS!$D18043,nESPEC,DATOS!$E18043,nASIG,DATOS!$I18043,nEVAL,"OR")=0))</f>
      </c>
      <c r="I18043">
        <f>IF(DATOS!$I18043="","",IFERROR(VLOOKUP(DATOS!$I18043,CONFIG_ASIGNATURAS!$B$2:$J$91,9,FALSE()),""))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IF(DATOS!$A18044="",0,IF(CONFIG_METADATA!$B$4&lt;&gt;"OR+EX",--(DATOS!$G18044=CONFIG_METADATA!$B$4),IF(DATOS!$G18044="EX",1,IF(DATOS!$G18044="OR",--(COUNTIFS(nNIA,DATOS!$A18044,nCURSO,DATOS!$D18044,nESPEC,DATOS!$E18044,nASIG,DATOS!$I18044,nEVAL,"EX")=0),0))))</f>
      </c>
      <c r="H18044">
        <f>IF(DATOS!$G18044&lt;&gt;"EX",0,--(COUNTIFS(nNIA,DATOS!$A18044,nCURSO,DATOS!$D18044,nESPEC,DATOS!$E18044,nASIG,DATOS!$I18044,nEVAL,"OR")=0))</f>
      </c>
      <c r="I18044">
        <f>IF(DATOS!$I18044="","",IFERROR(VLOOKUP(DATOS!$I18044,CONFIG_ASIGNATURAS!$B$2:$J$91,9,FALSE()),""))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IF(DATOS!$A18045="",0,IF(CONFIG_METADATA!$B$4&lt;&gt;"OR+EX",--(DATOS!$G18045=CONFIG_METADATA!$B$4),IF(DATOS!$G18045="EX",1,IF(DATOS!$G18045="OR",--(COUNTIFS(nNIA,DATOS!$A18045,nCURSO,DATOS!$D18045,nESPEC,DATOS!$E18045,nASIG,DATOS!$I18045,nEVAL,"EX")=0),0))))</f>
      </c>
      <c r="H18045">
        <f>IF(DATOS!$G18045&lt;&gt;"EX",0,--(COUNTIFS(nNIA,DATOS!$A18045,nCURSO,DATOS!$D18045,nESPEC,DATOS!$E18045,nASIG,DATOS!$I18045,nEVAL,"OR")=0))</f>
      </c>
      <c r="I18045">
        <f>IF(DATOS!$I18045="","",IFERROR(VLOOKUP(DATOS!$I18045,CONFIG_ASIGNATURAS!$B$2:$J$91,9,FALSE()),""))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IF(DATOS!$A18046="",0,IF(CONFIG_METADATA!$B$4&lt;&gt;"OR+EX",--(DATOS!$G18046=CONFIG_METADATA!$B$4),IF(DATOS!$G18046="EX",1,IF(DATOS!$G18046="OR",--(COUNTIFS(nNIA,DATOS!$A18046,nCURSO,DATOS!$D18046,nESPEC,DATOS!$E18046,nASIG,DATOS!$I18046,nEVAL,"EX")=0),0))))</f>
      </c>
      <c r="H18046">
        <f>IF(DATOS!$G18046&lt;&gt;"EX",0,--(COUNTIFS(nNIA,DATOS!$A18046,nCURSO,DATOS!$D18046,nESPEC,DATOS!$E18046,nASIG,DATOS!$I18046,nEVAL,"OR")=0))</f>
      </c>
      <c r="I18046">
        <f>IF(DATOS!$I18046="","",IFERROR(VLOOKUP(DATOS!$I18046,CONFIG_ASIGNATURAS!$B$2:$J$91,9,FALSE()),""))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IF(DATOS!$A18047="",0,IF(CONFIG_METADATA!$B$4&lt;&gt;"OR+EX",--(DATOS!$G18047=CONFIG_METADATA!$B$4),IF(DATOS!$G18047="EX",1,IF(DATOS!$G18047="OR",--(COUNTIFS(nNIA,DATOS!$A18047,nCURSO,DATOS!$D18047,nESPEC,DATOS!$E18047,nASIG,DATOS!$I18047,nEVAL,"EX")=0),0))))</f>
      </c>
      <c r="H18047">
        <f>IF(DATOS!$G18047&lt;&gt;"EX",0,--(COUNTIFS(nNIA,DATOS!$A18047,nCURSO,DATOS!$D18047,nESPEC,DATOS!$E18047,nASIG,DATOS!$I18047,nEVAL,"OR")=0))</f>
      </c>
      <c r="I18047">
        <f>IF(DATOS!$I18047="","",IFERROR(VLOOKUP(DATOS!$I18047,CONFIG_ASIGNATURAS!$B$2:$J$91,9,FALSE()),""))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IF(DATOS!$A18048="",0,IF(CONFIG_METADATA!$B$4&lt;&gt;"OR+EX",--(DATOS!$G18048=CONFIG_METADATA!$B$4),IF(DATOS!$G18048="EX",1,IF(DATOS!$G18048="OR",--(COUNTIFS(nNIA,DATOS!$A18048,nCURSO,DATOS!$D18048,nESPEC,DATOS!$E18048,nASIG,DATOS!$I18048,nEVAL,"EX")=0),0))))</f>
      </c>
      <c r="H18048">
        <f>IF(DATOS!$G18048&lt;&gt;"EX",0,--(COUNTIFS(nNIA,DATOS!$A18048,nCURSO,DATOS!$D18048,nESPEC,DATOS!$E18048,nASIG,DATOS!$I18048,nEVAL,"OR")=0))</f>
      </c>
      <c r="I18048">
        <f>IF(DATOS!$I18048="","",IFERROR(VLOOKUP(DATOS!$I18048,CONFIG_ASIGNATURAS!$B$2:$J$91,9,FALSE()),""))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IF(DATOS!$A18049="",0,IF(CONFIG_METADATA!$B$4&lt;&gt;"OR+EX",--(DATOS!$G18049=CONFIG_METADATA!$B$4),IF(DATOS!$G18049="EX",1,IF(DATOS!$G18049="OR",--(COUNTIFS(nNIA,DATOS!$A18049,nCURSO,DATOS!$D18049,nESPEC,DATOS!$E18049,nASIG,DATOS!$I18049,nEVAL,"EX")=0),0))))</f>
      </c>
      <c r="H18049">
        <f>IF(DATOS!$G18049&lt;&gt;"EX",0,--(COUNTIFS(nNIA,DATOS!$A18049,nCURSO,DATOS!$D18049,nESPEC,DATOS!$E18049,nASIG,DATOS!$I18049,nEVAL,"OR")=0))</f>
      </c>
      <c r="I18049">
        <f>IF(DATOS!$I18049="","",IFERROR(VLOOKUP(DATOS!$I18049,CONFIG_ASIGNATURAS!$B$2:$J$91,9,FALSE()),""))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IF(DATOS!$A18050="",0,IF(CONFIG_METADATA!$B$4&lt;&gt;"OR+EX",--(DATOS!$G18050=CONFIG_METADATA!$B$4),IF(DATOS!$G18050="EX",1,IF(DATOS!$G18050="OR",--(COUNTIFS(nNIA,DATOS!$A18050,nCURSO,DATOS!$D18050,nESPEC,DATOS!$E18050,nASIG,DATOS!$I18050,nEVAL,"EX")=0),0))))</f>
      </c>
      <c r="H18050">
        <f>IF(DATOS!$G18050&lt;&gt;"EX",0,--(COUNTIFS(nNIA,DATOS!$A18050,nCURSO,DATOS!$D18050,nESPEC,DATOS!$E18050,nASIG,DATOS!$I18050,nEVAL,"OR")=0))</f>
      </c>
      <c r="I18050">
        <f>IF(DATOS!$I18050="","",IFERROR(VLOOKUP(DATOS!$I18050,CONFIG_ASIGNATURAS!$B$2:$J$91,9,FALSE()),""))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IF(DATOS!$A18051="",0,IF(CONFIG_METADATA!$B$4&lt;&gt;"OR+EX",--(DATOS!$G18051=CONFIG_METADATA!$B$4),IF(DATOS!$G18051="EX",1,IF(DATOS!$G18051="OR",--(COUNTIFS(nNIA,DATOS!$A18051,nCURSO,DATOS!$D18051,nESPEC,DATOS!$E18051,nASIG,DATOS!$I18051,nEVAL,"EX")=0),0))))</f>
      </c>
      <c r="H18051">
        <f>IF(DATOS!$G18051&lt;&gt;"EX",0,--(COUNTIFS(nNIA,DATOS!$A18051,nCURSO,DATOS!$D18051,nESPEC,DATOS!$E18051,nASIG,DATOS!$I18051,nEVAL,"OR")=0))</f>
      </c>
      <c r="I18051">
        <f>IF(DATOS!$I18051="","",IFERROR(VLOOKUP(DATOS!$I18051,CONFIG_ASIGNATURAS!$B$2:$J$91,9,FALSE()),""))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IF(DATOS!$A18052="",0,IF(CONFIG_METADATA!$B$4&lt;&gt;"OR+EX",--(DATOS!$G18052=CONFIG_METADATA!$B$4),IF(DATOS!$G18052="EX",1,IF(DATOS!$G18052="OR",--(COUNTIFS(nNIA,DATOS!$A18052,nCURSO,DATOS!$D18052,nESPEC,DATOS!$E18052,nASIG,DATOS!$I18052,nEVAL,"EX")=0),0))))</f>
      </c>
      <c r="H18052">
        <f>IF(DATOS!$G18052&lt;&gt;"EX",0,--(COUNTIFS(nNIA,DATOS!$A18052,nCURSO,DATOS!$D18052,nESPEC,DATOS!$E18052,nASIG,DATOS!$I18052,nEVAL,"OR")=0))</f>
      </c>
      <c r="I18052">
        <f>IF(DATOS!$I18052="","",IFERROR(VLOOKUP(DATOS!$I18052,CONFIG_ASIGNATURAS!$B$2:$J$91,9,FALSE()),""))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IF(DATOS!$A18053="",0,IF(CONFIG_METADATA!$B$4&lt;&gt;"OR+EX",--(DATOS!$G18053=CONFIG_METADATA!$B$4),IF(DATOS!$G18053="EX",1,IF(DATOS!$G18053="OR",--(COUNTIFS(nNIA,DATOS!$A18053,nCURSO,DATOS!$D18053,nESPEC,DATOS!$E18053,nASIG,DATOS!$I18053,nEVAL,"EX")=0),0))))</f>
      </c>
      <c r="H18053">
        <f>IF(DATOS!$G18053&lt;&gt;"EX",0,--(COUNTIFS(nNIA,DATOS!$A18053,nCURSO,DATOS!$D18053,nESPEC,DATOS!$E18053,nASIG,DATOS!$I18053,nEVAL,"OR")=0))</f>
      </c>
      <c r="I18053">
        <f>IF(DATOS!$I18053="","",IFERROR(VLOOKUP(DATOS!$I18053,CONFIG_ASIGNATURAS!$B$2:$J$91,9,FALSE()),""))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IF(DATOS!$A18054="",0,IF(CONFIG_METADATA!$B$4&lt;&gt;"OR+EX",--(DATOS!$G18054=CONFIG_METADATA!$B$4),IF(DATOS!$G18054="EX",1,IF(DATOS!$G18054="OR",--(COUNTIFS(nNIA,DATOS!$A18054,nCURSO,DATOS!$D18054,nESPEC,DATOS!$E18054,nASIG,DATOS!$I18054,nEVAL,"EX")=0),0))))</f>
      </c>
      <c r="H18054">
        <f>IF(DATOS!$G18054&lt;&gt;"EX",0,--(COUNTIFS(nNIA,DATOS!$A18054,nCURSO,DATOS!$D18054,nESPEC,DATOS!$E18054,nASIG,DATOS!$I18054,nEVAL,"OR")=0))</f>
      </c>
      <c r="I18054">
        <f>IF(DATOS!$I18054="","",IFERROR(VLOOKUP(DATOS!$I18054,CONFIG_ASIGNATURAS!$B$2:$J$91,9,FALSE()),""))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IF(DATOS!$A18055="",0,IF(CONFIG_METADATA!$B$4&lt;&gt;"OR+EX",--(DATOS!$G18055=CONFIG_METADATA!$B$4),IF(DATOS!$G18055="EX",1,IF(DATOS!$G18055="OR",--(COUNTIFS(nNIA,DATOS!$A18055,nCURSO,DATOS!$D18055,nESPEC,DATOS!$E18055,nASIG,DATOS!$I18055,nEVAL,"EX")=0),0))))</f>
      </c>
      <c r="H18055">
        <f>IF(DATOS!$G18055&lt;&gt;"EX",0,--(COUNTIFS(nNIA,DATOS!$A18055,nCURSO,DATOS!$D18055,nESPEC,DATOS!$E18055,nASIG,DATOS!$I18055,nEVAL,"OR")=0))</f>
      </c>
      <c r="I18055">
        <f>IF(DATOS!$I18055="","",IFERROR(VLOOKUP(DATOS!$I18055,CONFIG_ASIGNATURAS!$B$2:$J$91,9,FALSE()),""))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IF(DATOS!$A18056="",0,IF(CONFIG_METADATA!$B$4&lt;&gt;"OR+EX",--(DATOS!$G18056=CONFIG_METADATA!$B$4),IF(DATOS!$G18056="EX",1,IF(DATOS!$G18056="OR",--(COUNTIFS(nNIA,DATOS!$A18056,nCURSO,DATOS!$D18056,nESPEC,DATOS!$E18056,nASIG,DATOS!$I18056,nEVAL,"EX")=0),0))))</f>
      </c>
      <c r="H18056">
        <f>IF(DATOS!$G18056&lt;&gt;"EX",0,--(COUNTIFS(nNIA,DATOS!$A18056,nCURSO,DATOS!$D18056,nESPEC,DATOS!$E18056,nASIG,DATOS!$I18056,nEVAL,"OR")=0))</f>
      </c>
      <c r="I18056">
        <f>IF(DATOS!$I18056="","",IFERROR(VLOOKUP(DATOS!$I18056,CONFIG_ASIGNATURAS!$B$2:$J$91,9,FALSE()),""))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IF(DATOS!$A18057="",0,IF(CONFIG_METADATA!$B$4&lt;&gt;"OR+EX",--(DATOS!$G18057=CONFIG_METADATA!$B$4),IF(DATOS!$G18057="EX",1,IF(DATOS!$G18057="OR",--(COUNTIFS(nNIA,DATOS!$A18057,nCURSO,DATOS!$D18057,nESPEC,DATOS!$E18057,nASIG,DATOS!$I18057,nEVAL,"EX")=0),0))))</f>
      </c>
      <c r="H18057">
        <f>IF(DATOS!$G18057&lt;&gt;"EX",0,--(COUNTIFS(nNIA,DATOS!$A18057,nCURSO,DATOS!$D18057,nESPEC,DATOS!$E18057,nASIG,DATOS!$I18057,nEVAL,"OR")=0))</f>
      </c>
      <c r="I18057">
        <f>IF(DATOS!$I18057="","",IFERROR(VLOOKUP(DATOS!$I18057,CONFIG_ASIGNATURAS!$B$2:$J$91,9,FALSE()),""))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IF(DATOS!$A18058="",0,IF(CONFIG_METADATA!$B$4&lt;&gt;"OR+EX",--(DATOS!$G18058=CONFIG_METADATA!$B$4),IF(DATOS!$G18058="EX",1,IF(DATOS!$G18058="OR",--(COUNTIFS(nNIA,DATOS!$A18058,nCURSO,DATOS!$D18058,nESPEC,DATOS!$E18058,nASIG,DATOS!$I18058,nEVAL,"EX")=0),0))))</f>
      </c>
      <c r="H18058">
        <f>IF(DATOS!$G18058&lt;&gt;"EX",0,--(COUNTIFS(nNIA,DATOS!$A18058,nCURSO,DATOS!$D18058,nESPEC,DATOS!$E18058,nASIG,DATOS!$I18058,nEVAL,"OR")=0))</f>
      </c>
      <c r="I18058">
        <f>IF(DATOS!$I18058="","",IFERROR(VLOOKUP(DATOS!$I18058,CONFIG_ASIGNATURAS!$B$2:$J$91,9,FALSE()),""))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IF(DATOS!$A18059="",0,IF(CONFIG_METADATA!$B$4&lt;&gt;"OR+EX",--(DATOS!$G18059=CONFIG_METADATA!$B$4),IF(DATOS!$G18059="EX",1,IF(DATOS!$G18059="OR",--(COUNTIFS(nNIA,DATOS!$A18059,nCURSO,DATOS!$D18059,nESPEC,DATOS!$E18059,nASIG,DATOS!$I18059,nEVAL,"EX")=0),0))))</f>
      </c>
      <c r="H18059">
        <f>IF(DATOS!$G18059&lt;&gt;"EX",0,--(COUNTIFS(nNIA,DATOS!$A18059,nCURSO,DATOS!$D18059,nESPEC,DATOS!$E18059,nASIG,DATOS!$I18059,nEVAL,"OR")=0))</f>
      </c>
      <c r="I18059">
        <f>IF(DATOS!$I18059="","",IFERROR(VLOOKUP(DATOS!$I18059,CONFIG_ASIGNATURAS!$B$2:$J$91,9,FALSE()),""))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IF(DATOS!$A18060="",0,IF(CONFIG_METADATA!$B$4&lt;&gt;"OR+EX",--(DATOS!$G18060=CONFIG_METADATA!$B$4),IF(DATOS!$G18060="EX",1,IF(DATOS!$G18060="OR",--(COUNTIFS(nNIA,DATOS!$A18060,nCURSO,DATOS!$D18060,nESPEC,DATOS!$E18060,nASIG,DATOS!$I18060,nEVAL,"EX")=0),0))))</f>
      </c>
      <c r="H18060">
        <f>IF(DATOS!$G18060&lt;&gt;"EX",0,--(COUNTIFS(nNIA,DATOS!$A18060,nCURSO,DATOS!$D18060,nESPEC,DATOS!$E18060,nASIG,DATOS!$I18060,nEVAL,"OR")=0))</f>
      </c>
      <c r="I18060">
        <f>IF(DATOS!$I18060="","",IFERROR(VLOOKUP(DATOS!$I18060,CONFIG_ASIGNATURAS!$B$2:$J$91,9,FALSE()),""))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IF(DATOS!$A18061="",0,IF(CONFIG_METADATA!$B$4&lt;&gt;"OR+EX",--(DATOS!$G18061=CONFIG_METADATA!$B$4),IF(DATOS!$G18061="EX",1,IF(DATOS!$G18061="OR",--(COUNTIFS(nNIA,DATOS!$A18061,nCURSO,DATOS!$D18061,nESPEC,DATOS!$E18061,nASIG,DATOS!$I18061,nEVAL,"EX")=0),0))))</f>
      </c>
      <c r="H18061">
        <f>IF(DATOS!$G18061&lt;&gt;"EX",0,--(COUNTIFS(nNIA,DATOS!$A18061,nCURSO,DATOS!$D18061,nESPEC,DATOS!$E18061,nASIG,DATOS!$I18061,nEVAL,"OR")=0))</f>
      </c>
      <c r="I18061">
        <f>IF(DATOS!$I18061="","",IFERROR(VLOOKUP(DATOS!$I18061,CONFIG_ASIGNATURAS!$B$2:$J$91,9,FALSE()),""))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IF(DATOS!$A18062="",0,IF(CONFIG_METADATA!$B$4&lt;&gt;"OR+EX",--(DATOS!$G18062=CONFIG_METADATA!$B$4),IF(DATOS!$G18062="EX",1,IF(DATOS!$G18062="OR",--(COUNTIFS(nNIA,DATOS!$A18062,nCURSO,DATOS!$D18062,nESPEC,DATOS!$E18062,nASIG,DATOS!$I18062,nEVAL,"EX")=0),0))))</f>
      </c>
      <c r="H18062">
        <f>IF(DATOS!$G18062&lt;&gt;"EX",0,--(COUNTIFS(nNIA,DATOS!$A18062,nCURSO,DATOS!$D18062,nESPEC,DATOS!$E18062,nASIG,DATOS!$I18062,nEVAL,"OR")=0))</f>
      </c>
      <c r="I18062">
        <f>IF(DATOS!$I18062="","",IFERROR(VLOOKUP(DATOS!$I18062,CONFIG_ASIGNATURAS!$B$2:$J$91,9,FALSE()),""))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IF(DATOS!$A18063="",0,IF(CONFIG_METADATA!$B$4&lt;&gt;"OR+EX",--(DATOS!$G18063=CONFIG_METADATA!$B$4),IF(DATOS!$G18063="EX",1,IF(DATOS!$G18063="OR",--(COUNTIFS(nNIA,DATOS!$A18063,nCURSO,DATOS!$D18063,nESPEC,DATOS!$E18063,nASIG,DATOS!$I18063,nEVAL,"EX")=0),0))))</f>
      </c>
      <c r="H18063">
        <f>IF(DATOS!$G18063&lt;&gt;"EX",0,--(COUNTIFS(nNIA,DATOS!$A18063,nCURSO,DATOS!$D18063,nESPEC,DATOS!$E18063,nASIG,DATOS!$I18063,nEVAL,"OR")=0))</f>
      </c>
      <c r="I18063">
        <f>IF(DATOS!$I18063="","",IFERROR(VLOOKUP(DATOS!$I18063,CONFIG_ASIGNATURAS!$B$2:$J$91,9,FALSE()),""))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IF(DATOS!$A18064="",0,IF(CONFIG_METADATA!$B$4&lt;&gt;"OR+EX",--(DATOS!$G18064=CONFIG_METADATA!$B$4),IF(DATOS!$G18064="EX",1,IF(DATOS!$G18064="OR",--(COUNTIFS(nNIA,DATOS!$A18064,nCURSO,DATOS!$D18064,nESPEC,DATOS!$E18064,nASIG,DATOS!$I18064,nEVAL,"EX")=0),0))))</f>
      </c>
      <c r="H18064">
        <f>IF(DATOS!$G18064&lt;&gt;"EX",0,--(COUNTIFS(nNIA,DATOS!$A18064,nCURSO,DATOS!$D18064,nESPEC,DATOS!$E18064,nASIG,DATOS!$I18064,nEVAL,"OR")=0))</f>
      </c>
      <c r="I18064">
        <f>IF(DATOS!$I18064="","",IFERROR(VLOOKUP(DATOS!$I18064,CONFIG_ASIGNATURAS!$B$2:$J$91,9,FALSE()),""))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IF(DATOS!$A18065="",0,IF(CONFIG_METADATA!$B$4&lt;&gt;"OR+EX",--(DATOS!$G18065=CONFIG_METADATA!$B$4),IF(DATOS!$G18065="EX",1,IF(DATOS!$G18065="OR",--(COUNTIFS(nNIA,DATOS!$A18065,nCURSO,DATOS!$D18065,nESPEC,DATOS!$E18065,nASIG,DATOS!$I18065,nEVAL,"EX")=0),0))))</f>
      </c>
      <c r="H18065">
        <f>IF(DATOS!$G18065&lt;&gt;"EX",0,--(COUNTIFS(nNIA,DATOS!$A18065,nCURSO,DATOS!$D18065,nESPEC,DATOS!$E18065,nASIG,DATOS!$I18065,nEVAL,"OR")=0))</f>
      </c>
      <c r="I18065">
        <f>IF(DATOS!$I18065="","",IFERROR(VLOOKUP(DATOS!$I18065,CONFIG_ASIGNATURAS!$B$2:$J$91,9,FALSE()),""))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IF(DATOS!$A18066="",0,IF(CONFIG_METADATA!$B$4&lt;&gt;"OR+EX",--(DATOS!$G18066=CONFIG_METADATA!$B$4),IF(DATOS!$G18066="EX",1,IF(DATOS!$G18066="OR",--(COUNTIFS(nNIA,DATOS!$A18066,nCURSO,DATOS!$D18066,nESPEC,DATOS!$E18066,nASIG,DATOS!$I18066,nEVAL,"EX")=0),0))))</f>
      </c>
      <c r="H18066">
        <f>IF(DATOS!$G18066&lt;&gt;"EX",0,--(COUNTIFS(nNIA,DATOS!$A18066,nCURSO,DATOS!$D18066,nESPEC,DATOS!$E18066,nASIG,DATOS!$I18066,nEVAL,"OR")=0))</f>
      </c>
      <c r="I18066">
        <f>IF(DATOS!$I18066="","",IFERROR(VLOOKUP(DATOS!$I18066,CONFIG_ASIGNATURAS!$B$2:$J$91,9,FALSE()),""))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IF(DATOS!$A18067="",0,IF(CONFIG_METADATA!$B$4&lt;&gt;"OR+EX",--(DATOS!$G18067=CONFIG_METADATA!$B$4),IF(DATOS!$G18067="EX",1,IF(DATOS!$G18067="OR",--(COUNTIFS(nNIA,DATOS!$A18067,nCURSO,DATOS!$D18067,nESPEC,DATOS!$E18067,nASIG,DATOS!$I18067,nEVAL,"EX")=0),0))))</f>
      </c>
      <c r="H18067">
        <f>IF(DATOS!$G18067&lt;&gt;"EX",0,--(COUNTIFS(nNIA,DATOS!$A18067,nCURSO,DATOS!$D18067,nESPEC,DATOS!$E18067,nASIG,DATOS!$I18067,nEVAL,"OR")=0))</f>
      </c>
      <c r="I18067">
        <f>IF(DATOS!$I18067="","",IFERROR(VLOOKUP(DATOS!$I18067,CONFIG_ASIGNATURAS!$B$2:$J$91,9,FALSE()),""))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IF(DATOS!$A18068="",0,IF(CONFIG_METADATA!$B$4&lt;&gt;"OR+EX",--(DATOS!$G18068=CONFIG_METADATA!$B$4),IF(DATOS!$G18068="EX",1,IF(DATOS!$G18068="OR",--(COUNTIFS(nNIA,DATOS!$A18068,nCURSO,DATOS!$D18068,nESPEC,DATOS!$E18068,nASIG,DATOS!$I18068,nEVAL,"EX")=0),0))))</f>
      </c>
      <c r="H18068">
        <f>IF(DATOS!$G18068&lt;&gt;"EX",0,--(COUNTIFS(nNIA,DATOS!$A18068,nCURSO,DATOS!$D18068,nESPEC,DATOS!$E18068,nASIG,DATOS!$I18068,nEVAL,"OR")=0))</f>
      </c>
      <c r="I18068">
        <f>IF(DATOS!$I18068="","",IFERROR(VLOOKUP(DATOS!$I18068,CONFIG_ASIGNATURAS!$B$2:$J$91,9,FALSE()),""))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IF(DATOS!$A18069="",0,IF(CONFIG_METADATA!$B$4&lt;&gt;"OR+EX",--(DATOS!$G18069=CONFIG_METADATA!$B$4),IF(DATOS!$G18069="EX",1,IF(DATOS!$G18069="OR",--(COUNTIFS(nNIA,DATOS!$A18069,nCURSO,DATOS!$D18069,nESPEC,DATOS!$E18069,nASIG,DATOS!$I18069,nEVAL,"EX")=0),0))))</f>
      </c>
      <c r="H18069">
        <f>IF(DATOS!$G18069&lt;&gt;"EX",0,--(COUNTIFS(nNIA,DATOS!$A18069,nCURSO,DATOS!$D18069,nESPEC,DATOS!$E18069,nASIG,DATOS!$I18069,nEVAL,"OR")=0))</f>
      </c>
      <c r="I18069">
        <f>IF(DATOS!$I18069="","",IFERROR(VLOOKUP(DATOS!$I18069,CONFIG_ASIGNATURAS!$B$2:$J$91,9,FALSE()),""))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IF(DATOS!$A18070="",0,IF(CONFIG_METADATA!$B$4&lt;&gt;"OR+EX",--(DATOS!$G18070=CONFIG_METADATA!$B$4),IF(DATOS!$G18070="EX",1,IF(DATOS!$G18070="OR",--(COUNTIFS(nNIA,DATOS!$A18070,nCURSO,DATOS!$D18070,nESPEC,DATOS!$E18070,nASIG,DATOS!$I18070,nEVAL,"EX")=0),0))))</f>
      </c>
      <c r="H18070">
        <f>IF(DATOS!$G18070&lt;&gt;"EX",0,--(COUNTIFS(nNIA,DATOS!$A18070,nCURSO,DATOS!$D18070,nESPEC,DATOS!$E18070,nASIG,DATOS!$I18070,nEVAL,"OR")=0))</f>
      </c>
      <c r="I18070">
        <f>IF(DATOS!$I18070="","",IFERROR(VLOOKUP(DATOS!$I18070,CONFIG_ASIGNATURAS!$B$2:$J$91,9,FALSE()),""))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IF(DATOS!$A18071="",0,IF(CONFIG_METADATA!$B$4&lt;&gt;"OR+EX",--(DATOS!$G18071=CONFIG_METADATA!$B$4),IF(DATOS!$G18071="EX",1,IF(DATOS!$G18071="OR",--(COUNTIFS(nNIA,DATOS!$A18071,nCURSO,DATOS!$D18071,nESPEC,DATOS!$E18071,nASIG,DATOS!$I18071,nEVAL,"EX")=0),0))))</f>
      </c>
      <c r="H18071">
        <f>IF(DATOS!$G18071&lt;&gt;"EX",0,--(COUNTIFS(nNIA,DATOS!$A18071,nCURSO,DATOS!$D18071,nESPEC,DATOS!$E18071,nASIG,DATOS!$I18071,nEVAL,"OR")=0))</f>
      </c>
      <c r="I18071">
        <f>IF(DATOS!$I18071="","",IFERROR(VLOOKUP(DATOS!$I18071,CONFIG_ASIGNATURAS!$B$2:$J$91,9,FALSE()),""))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IF(DATOS!$A18072="",0,IF(CONFIG_METADATA!$B$4&lt;&gt;"OR+EX",--(DATOS!$G18072=CONFIG_METADATA!$B$4),IF(DATOS!$G18072="EX",1,IF(DATOS!$G18072="OR",--(COUNTIFS(nNIA,DATOS!$A18072,nCURSO,DATOS!$D18072,nESPEC,DATOS!$E18072,nASIG,DATOS!$I18072,nEVAL,"EX")=0),0))))</f>
      </c>
      <c r="H18072">
        <f>IF(DATOS!$G18072&lt;&gt;"EX",0,--(COUNTIFS(nNIA,DATOS!$A18072,nCURSO,DATOS!$D18072,nESPEC,DATOS!$E18072,nASIG,DATOS!$I18072,nEVAL,"OR")=0))</f>
      </c>
      <c r="I18072">
        <f>IF(DATOS!$I18072="","",IFERROR(VLOOKUP(DATOS!$I18072,CONFIG_ASIGNATURAS!$B$2:$J$91,9,FALSE()),""))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IF(DATOS!$A18073="",0,IF(CONFIG_METADATA!$B$4&lt;&gt;"OR+EX",--(DATOS!$G18073=CONFIG_METADATA!$B$4),IF(DATOS!$G18073="EX",1,IF(DATOS!$G18073="OR",--(COUNTIFS(nNIA,DATOS!$A18073,nCURSO,DATOS!$D18073,nESPEC,DATOS!$E18073,nASIG,DATOS!$I18073,nEVAL,"EX")=0),0))))</f>
      </c>
      <c r="H18073">
        <f>IF(DATOS!$G18073&lt;&gt;"EX",0,--(COUNTIFS(nNIA,DATOS!$A18073,nCURSO,DATOS!$D18073,nESPEC,DATOS!$E18073,nASIG,DATOS!$I18073,nEVAL,"OR")=0))</f>
      </c>
      <c r="I18073">
        <f>IF(DATOS!$I18073="","",IFERROR(VLOOKUP(DATOS!$I18073,CONFIG_ASIGNATURAS!$B$2:$J$91,9,FALSE()),""))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IF(DATOS!$A18074="",0,IF(CONFIG_METADATA!$B$4&lt;&gt;"OR+EX",--(DATOS!$G18074=CONFIG_METADATA!$B$4),IF(DATOS!$G18074="EX",1,IF(DATOS!$G18074="OR",--(COUNTIFS(nNIA,DATOS!$A18074,nCURSO,DATOS!$D18074,nESPEC,DATOS!$E18074,nASIG,DATOS!$I18074,nEVAL,"EX")=0),0))))</f>
      </c>
      <c r="H18074">
        <f>IF(DATOS!$G18074&lt;&gt;"EX",0,--(COUNTIFS(nNIA,DATOS!$A18074,nCURSO,DATOS!$D18074,nESPEC,DATOS!$E18074,nASIG,DATOS!$I18074,nEVAL,"OR")=0))</f>
      </c>
      <c r="I18074">
        <f>IF(DATOS!$I18074="","",IFERROR(VLOOKUP(DATOS!$I18074,CONFIG_ASIGNATURAS!$B$2:$J$91,9,FALSE()),""))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IF(DATOS!$A18075="",0,IF(CONFIG_METADATA!$B$4&lt;&gt;"OR+EX",--(DATOS!$G18075=CONFIG_METADATA!$B$4),IF(DATOS!$G18075="EX",1,IF(DATOS!$G18075="OR",--(COUNTIFS(nNIA,DATOS!$A18075,nCURSO,DATOS!$D18075,nESPEC,DATOS!$E18075,nASIG,DATOS!$I18075,nEVAL,"EX")=0),0))))</f>
      </c>
      <c r="H18075">
        <f>IF(DATOS!$G18075&lt;&gt;"EX",0,--(COUNTIFS(nNIA,DATOS!$A18075,nCURSO,DATOS!$D18075,nESPEC,DATOS!$E18075,nASIG,DATOS!$I18075,nEVAL,"OR")=0))</f>
      </c>
      <c r="I18075">
        <f>IF(DATOS!$I18075="","",IFERROR(VLOOKUP(DATOS!$I18075,CONFIG_ASIGNATURAS!$B$2:$J$91,9,FALSE()),""))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IF(DATOS!$A18076="",0,IF(CONFIG_METADATA!$B$4&lt;&gt;"OR+EX",--(DATOS!$G18076=CONFIG_METADATA!$B$4),IF(DATOS!$G18076="EX",1,IF(DATOS!$G18076="OR",--(COUNTIFS(nNIA,DATOS!$A18076,nCURSO,DATOS!$D18076,nESPEC,DATOS!$E18076,nASIG,DATOS!$I18076,nEVAL,"EX")=0),0))))</f>
      </c>
      <c r="H18076">
        <f>IF(DATOS!$G18076&lt;&gt;"EX",0,--(COUNTIFS(nNIA,DATOS!$A18076,nCURSO,DATOS!$D18076,nESPEC,DATOS!$E18076,nASIG,DATOS!$I18076,nEVAL,"OR")=0))</f>
      </c>
      <c r="I18076">
        <f>IF(DATOS!$I18076="","",IFERROR(VLOOKUP(DATOS!$I18076,CONFIG_ASIGNATURAS!$B$2:$J$91,9,FALSE()),""))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IF(DATOS!$A18077="",0,IF(CONFIG_METADATA!$B$4&lt;&gt;"OR+EX",--(DATOS!$G18077=CONFIG_METADATA!$B$4),IF(DATOS!$G18077="EX",1,IF(DATOS!$G18077="OR",--(COUNTIFS(nNIA,DATOS!$A18077,nCURSO,DATOS!$D18077,nESPEC,DATOS!$E18077,nASIG,DATOS!$I18077,nEVAL,"EX")=0),0))))</f>
      </c>
      <c r="H18077">
        <f>IF(DATOS!$G18077&lt;&gt;"EX",0,--(COUNTIFS(nNIA,DATOS!$A18077,nCURSO,DATOS!$D18077,nESPEC,DATOS!$E18077,nASIG,DATOS!$I18077,nEVAL,"OR")=0))</f>
      </c>
      <c r="I18077">
        <f>IF(DATOS!$I18077="","",IFERROR(VLOOKUP(DATOS!$I18077,CONFIG_ASIGNATURAS!$B$2:$J$91,9,FALSE()),""))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IF(DATOS!$A18078="",0,IF(CONFIG_METADATA!$B$4&lt;&gt;"OR+EX",--(DATOS!$G18078=CONFIG_METADATA!$B$4),IF(DATOS!$G18078="EX",1,IF(DATOS!$G18078="OR",--(COUNTIFS(nNIA,DATOS!$A18078,nCURSO,DATOS!$D18078,nESPEC,DATOS!$E18078,nASIG,DATOS!$I18078,nEVAL,"EX")=0),0))))</f>
      </c>
      <c r="H18078">
        <f>IF(DATOS!$G18078&lt;&gt;"EX",0,--(COUNTIFS(nNIA,DATOS!$A18078,nCURSO,DATOS!$D18078,nESPEC,DATOS!$E18078,nASIG,DATOS!$I18078,nEVAL,"OR")=0))</f>
      </c>
      <c r="I18078">
        <f>IF(DATOS!$I18078="","",IFERROR(VLOOKUP(DATOS!$I18078,CONFIG_ASIGNATURAS!$B$2:$J$91,9,FALSE()),""))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IF(DATOS!$A18079="",0,IF(CONFIG_METADATA!$B$4&lt;&gt;"OR+EX",--(DATOS!$G18079=CONFIG_METADATA!$B$4),IF(DATOS!$G18079="EX",1,IF(DATOS!$G18079="OR",--(COUNTIFS(nNIA,DATOS!$A18079,nCURSO,DATOS!$D18079,nESPEC,DATOS!$E18079,nASIG,DATOS!$I18079,nEVAL,"EX")=0),0))))</f>
      </c>
      <c r="H18079">
        <f>IF(DATOS!$G18079&lt;&gt;"EX",0,--(COUNTIFS(nNIA,DATOS!$A18079,nCURSO,DATOS!$D18079,nESPEC,DATOS!$E18079,nASIG,DATOS!$I18079,nEVAL,"OR")=0))</f>
      </c>
      <c r="I18079">
        <f>IF(DATOS!$I18079="","",IFERROR(VLOOKUP(DATOS!$I18079,CONFIG_ASIGNATURAS!$B$2:$J$91,9,FALSE()),""))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IF(DATOS!$A18080="",0,IF(CONFIG_METADATA!$B$4&lt;&gt;"OR+EX",--(DATOS!$G18080=CONFIG_METADATA!$B$4),IF(DATOS!$G18080="EX",1,IF(DATOS!$G18080="OR",--(COUNTIFS(nNIA,DATOS!$A18080,nCURSO,DATOS!$D18080,nESPEC,DATOS!$E18080,nASIG,DATOS!$I18080,nEVAL,"EX")=0),0))))</f>
      </c>
      <c r="H18080">
        <f>IF(DATOS!$G18080&lt;&gt;"EX",0,--(COUNTIFS(nNIA,DATOS!$A18080,nCURSO,DATOS!$D18080,nESPEC,DATOS!$E18080,nASIG,DATOS!$I18080,nEVAL,"OR")=0))</f>
      </c>
      <c r="I18080">
        <f>IF(DATOS!$I18080="","",IFERROR(VLOOKUP(DATOS!$I18080,CONFIG_ASIGNATURAS!$B$2:$J$91,9,FALSE()),""))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IF(DATOS!$A18081="",0,IF(CONFIG_METADATA!$B$4&lt;&gt;"OR+EX",--(DATOS!$G18081=CONFIG_METADATA!$B$4),IF(DATOS!$G18081="EX",1,IF(DATOS!$G18081="OR",--(COUNTIFS(nNIA,DATOS!$A18081,nCURSO,DATOS!$D18081,nESPEC,DATOS!$E18081,nASIG,DATOS!$I18081,nEVAL,"EX")=0),0))))</f>
      </c>
      <c r="H18081">
        <f>IF(DATOS!$G18081&lt;&gt;"EX",0,--(COUNTIFS(nNIA,DATOS!$A18081,nCURSO,DATOS!$D18081,nESPEC,DATOS!$E18081,nASIG,DATOS!$I18081,nEVAL,"OR")=0))</f>
      </c>
      <c r="I18081">
        <f>IF(DATOS!$I18081="","",IFERROR(VLOOKUP(DATOS!$I18081,CONFIG_ASIGNATURAS!$B$2:$J$91,9,FALSE()),""))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IF(DATOS!$A18082="",0,IF(CONFIG_METADATA!$B$4&lt;&gt;"OR+EX",--(DATOS!$G18082=CONFIG_METADATA!$B$4),IF(DATOS!$G18082="EX",1,IF(DATOS!$G18082="OR",--(COUNTIFS(nNIA,DATOS!$A18082,nCURSO,DATOS!$D18082,nESPEC,DATOS!$E18082,nASIG,DATOS!$I18082,nEVAL,"EX")=0),0))))</f>
      </c>
      <c r="H18082">
        <f>IF(DATOS!$G18082&lt;&gt;"EX",0,--(COUNTIFS(nNIA,DATOS!$A18082,nCURSO,DATOS!$D18082,nESPEC,DATOS!$E18082,nASIG,DATOS!$I18082,nEVAL,"OR")=0))</f>
      </c>
      <c r="I18082">
        <f>IF(DATOS!$I18082="","",IFERROR(VLOOKUP(DATOS!$I18082,CONFIG_ASIGNATURAS!$B$2:$J$91,9,FALSE()),""))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IF(DATOS!$A18083="",0,IF(CONFIG_METADATA!$B$4&lt;&gt;"OR+EX",--(DATOS!$G18083=CONFIG_METADATA!$B$4),IF(DATOS!$G18083="EX",1,IF(DATOS!$G18083="OR",--(COUNTIFS(nNIA,DATOS!$A18083,nCURSO,DATOS!$D18083,nESPEC,DATOS!$E18083,nASIG,DATOS!$I18083,nEVAL,"EX")=0),0))))</f>
      </c>
      <c r="H18083">
        <f>IF(DATOS!$G18083&lt;&gt;"EX",0,--(COUNTIFS(nNIA,DATOS!$A18083,nCURSO,DATOS!$D18083,nESPEC,DATOS!$E18083,nASIG,DATOS!$I18083,nEVAL,"OR")=0))</f>
      </c>
      <c r="I18083">
        <f>IF(DATOS!$I18083="","",IFERROR(VLOOKUP(DATOS!$I18083,CONFIG_ASIGNATURAS!$B$2:$J$91,9,FALSE()),""))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IF(DATOS!$A18084="",0,IF(CONFIG_METADATA!$B$4&lt;&gt;"OR+EX",--(DATOS!$G18084=CONFIG_METADATA!$B$4),IF(DATOS!$G18084="EX",1,IF(DATOS!$G18084="OR",--(COUNTIFS(nNIA,DATOS!$A18084,nCURSO,DATOS!$D18084,nESPEC,DATOS!$E18084,nASIG,DATOS!$I18084,nEVAL,"EX")=0),0))))</f>
      </c>
      <c r="H18084">
        <f>IF(DATOS!$G18084&lt;&gt;"EX",0,--(COUNTIFS(nNIA,DATOS!$A18084,nCURSO,DATOS!$D18084,nESPEC,DATOS!$E18084,nASIG,DATOS!$I18084,nEVAL,"OR")=0))</f>
      </c>
      <c r="I18084">
        <f>IF(DATOS!$I18084="","",IFERROR(VLOOKUP(DATOS!$I18084,CONFIG_ASIGNATURAS!$B$2:$J$91,9,FALSE()),""))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IF(DATOS!$A18085="",0,IF(CONFIG_METADATA!$B$4&lt;&gt;"OR+EX",--(DATOS!$G18085=CONFIG_METADATA!$B$4),IF(DATOS!$G18085="EX",1,IF(DATOS!$G18085="OR",--(COUNTIFS(nNIA,DATOS!$A18085,nCURSO,DATOS!$D18085,nESPEC,DATOS!$E18085,nASIG,DATOS!$I18085,nEVAL,"EX")=0),0))))</f>
      </c>
      <c r="H18085">
        <f>IF(DATOS!$G18085&lt;&gt;"EX",0,--(COUNTIFS(nNIA,DATOS!$A18085,nCURSO,DATOS!$D18085,nESPEC,DATOS!$E18085,nASIG,DATOS!$I18085,nEVAL,"OR")=0))</f>
      </c>
      <c r="I18085">
        <f>IF(DATOS!$I18085="","",IFERROR(VLOOKUP(DATOS!$I18085,CONFIG_ASIGNATURAS!$B$2:$J$91,9,FALSE()),""))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IF(DATOS!$A18086="",0,IF(CONFIG_METADATA!$B$4&lt;&gt;"OR+EX",--(DATOS!$G18086=CONFIG_METADATA!$B$4),IF(DATOS!$G18086="EX",1,IF(DATOS!$G18086="OR",--(COUNTIFS(nNIA,DATOS!$A18086,nCURSO,DATOS!$D18086,nESPEC,DATOS!$E18086,nASIG,DATOS!$I18086,nEVAL,"EX")=0),0))))</f>
      </c>
      <c r="H18086">
        <f>IF(DATOS!$G18086&lt;&gt;"EX",0,--(COUNTIFS(nNIA,DATOS!$A18086,nCURSO,DATOS!$D18086,nESPEC,DATOS!$E18086,nASIG,DATOS!$I18086,nEVAL,"OR")=0))</f>
      </c>
      <c r="I18086">
        <f>IF(DATOS!$I18086="","",IFERROR(VLOOKUP(DATOS!$I18086,CONFIG_ASIGNATURAS!$B$2:$J$91,9,FALSE()),""))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IF(DATOS!$A18087="",0,IF(CONFIG_METADATA!$B$4&lt;&gt;"OR+EX",--(DATOS!$G18087=CONFIG_METADATA!$B$4),IF(DATOS!$G18087="EX",1,IF(DATOS!$G18087="OR",--(COUNTIFS(nNIA,DATOS!$A18087,nCURSO,DATOS!$D18087,nESPEC,DATOS!$E18087,nASIG,DATOS!$I18087,nEVAL,"EX")=0),0))))</f>
      </c>
      <c r="H18087">
        <f>IF(DATOS!$G18087&lt;&gt;"EX",0,--(COUNTIFS(nNIA,DATOS!$A18087,nCURSO,DATOS!$D18087,nESPEC,DATOS!$E18087,nASIG,DATOS!$I18087,nEVAL,"OR")=0))</f>
      </c>
      <c r="I18087">
        <f>IF(DATOS!$I18087="","",IFERROR(VLOOKUP(DATOS!$I18087,CONFIG_ASIGNATURAS!$B$2:$J$91,9,FALSE()),""))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IF(DATOS!$A18088="",0,IF(CONFIG_METADATA!$B$4&lt;&gt;"OR+EX",--(DATOS!$G18088=CONFIG_METADATA!$B$4),IF(DATOS!$G18088="EX",1,IF(DATOS!$G18088="OR",--(COUNTIFS(nNIA,DATOS!$A18088,nCURSO,DATOS!$D18088,nESPEC,DATOS!$E18088,nASIG,DATOS!$I18088,nEVAL,"EX")=0),0))))</f>
      </c>
      <c r="H18088">
        <f>IF(DATOS!$G18088&lt;&gt;"EX",0,--(COUNTIFS(nNIA,DATOS!$A18088,nCURSO,DATOS!$D18088,nESPEC,DATOS!$E18088,nASIG,DATOS!$I18088,nEVAL,"OR")=0))</f>
      </c>
      <c r="I18088">
        <f>IF(DATOS!$I18088="","",IFERROR(VLOOKUP(DATOS!$I18088,CONFIG_ASIGNATURAS!$B$2:$J$91,9,FALSE()),""))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IF(DATOS!$A18089="",0,IF(CONFIG_METADATA!$B$4&lt;&gt;"OR+EX",--(DATOS!$G18089=CONFIG_METADATA!$B$4),IF(DATOS!$G18089="EX",1,IF(DATOS!$G18089="OR",--(COUNTIFS(nNIA,DATOS!$A18089,nCURSO,DATOS!$D18089,nESPEC,DATOS!$E18089,nASIG,DATOS!$I18089,nEVAL,"EX")=0),0))))</f>
      </c>
      <c r="H18089">
        <f>IF(DATOS!$G18089&lt;&gt;"EX",0,--(COUNTIFS(nNIA,DATOS!$A18089,nCURSO,DATOS!$D18089,nESPEC,DATOS!$E18089,nASIG,DATOS!$I18089,nEVAL,"OR")=0))</f>
      </c>
      <c r="I18089">
        <f>IF(DATOS!$I18089="","",IFERROR(VLOOKUP(DATOS!$I18089,CONFIG_ASIGNATURAS!$B$2:$J$91,9,FALSE()),""))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IF(DATOS!$A18090="",0,IF(CONFIG_METADATA!$B$4&lt;&gt;"OR+EX",--(DATOS!$G18090=CONFIG_METADATA!$B$4),IF(DATOS!$G18090="EX",1,IF(DATOS!$G18090="OR",--(COUNTIFS(nNIA,DATOS!$A18090,nCURSO,DATOS!$D18090,nESPEC,DATOS!$E18090,nASIG,DATOS!$I18090,nEVAL,"EX")=0),0))))</f>
      </c>
      <c r="H18090">
        <f>IF(DATOS!$G18090&lt;&gt;"EX",0,--(COUNTIFS(nNIA,DATOS!$A18090,nCURSO,DATOS!$D18090,nESPEC,DATOS!$E18090,nASIG,DATOS!$I18090,nEVAL,"OR")=0))</f>
      </c>
      <c r="I18090">
        <f>IF(DATOS!$I18090="","",IFERROR(VLOOKUP(DATOS!$I18090,CONFIG_ASIGNATURAS!$B$2:$J$91,9,FALSE()),""))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IF(DATOS!$A18091="",0,IF(CONFIG_METADATA!$B$4&lt;&gt;"OR+EX",--(DATOS!$G18091=CONFIG_METADATA!$B$4),IF(DATOS!$G18091="EX",1,IF(DATOS!$G18091="OR",--(COUNTIFS(nNIA,DATOS!$A18091,nCURSO,DATOS!$D18091,nESPEC,DATOS!$E18091,nASIG,DATOS!$I18091,nEVAL,"EX")=0),0))))</f>
      </c>
      <c r="H18091">
        <f>IF(DATOS!$G18091&lt;&gt;"EX",0,--(COUNTIFS(nNIA,DATOS!$A18091,nCURSO,DATOS!$D18091,nESPEC,DATOS!$E18091,nASIG,DATOS!$I18091,nEVAL,"OR")=0))</f>
      </c>
      <c r="I18091">
        <f>IF(DATOS!$I18091="","",IFERROR(VLOOKUP(DATOS!$I18091,CONFIG_ASIGNATURAS!$B$2:$J$91,9,FALSE()),""))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IF(DATOS!$A18092="",0,IF(CONFIG_METADATA!$B$4&lt;&gt;"OR+EX",--(DATOS!$G18092=CONFIG_METADATA!$B$4),IF(DATOS!$G18092="EX",1,IF(DATOS!$G18092="OR",--(COUNTIFS(nNIA,DATOS!$A18092,nCURSO,DATOS!$D18092,nESPEC,DATOS!$E18092,nASIG,DATOS!$I18092,nEVAL,"EX")=0),0))))</f>
      </c>
      <c r="H18092">
        <f>IF(DATOS!$G18092&lt;&gt;"EX",0,--(COUNTIFS(nNIA,DATOS!$A18092,nCURSO,DATOS!$D18092,nESPEC,DATOS!$E18092,nASIG,DATOS!$I18092,nEVAL,"OR")=0))</f>
      </c>
      <c r="I18092">
        <f>IF(DATOS!$I18092="","",IFERROR(VLOOKUP(DATOS!$I18092,CONFIG_ASIGNATURAS!$B$2:$J$91,9,FALSE()),""))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IF(DATOS!$A18093="",0,IF(CONFIG_METADATA!$B$4&lt;&gt;"OR+EX",--(DATOS!$G18093=CONFIG_METADATA!$B$4),IF(DATOS!$G18093="EX",1,IF(DATOS!$G18093="OR",--(COUNTIFS(nNIA,DATOS!$A18093,nCURSO,DATOS!$D18093,nESPEC,DATOS!$E18093,nASIG,DATOS!$I18093,nEVAL,"EX")=0),0))))</f>
      </c>
      <c r="H18093">
        <f>IF(DATOS!$G18093&lt;&gt;"EX",0,--(COUNTIFS(nNIA,DATOS!$A18093,nCURSO,DATOS!$D18093,nESPEC,DATOS!$E18093,nASIG,DATOS!$I18093,nEVAL,"OR")=0))</f>
      </c>
      <c r="I18093">
        <f>IF(DATOS!$I18093="","",IFERROR(VLOOKUP(DATOS!$I18093,CONFIG_ASIGNATURAS!$B$2:$J$91,9,FALSE()),""))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IF(DATOS!$A18094="",0,IF(CONFIG_METADATA!$B$4&lt;&gt;"OR+EX",--(DATOS!$G18094=CONFIG_METADATA!$B$4),IF(DATOS!$G18094="EX",1,IF(DATOS!$G18094="OR",--(COUNTIFS(nNIA,DATOS!$A18094,nCURSO,DATOS!$D18094,nESPEC,DATOS!$E18094,nASIG,DATOS!$I18094,nEVAL,"EX")=0),0))))</f>
      </c>
      <c r="H18094">
        <f>IF(DATOS!$G18094&lt;&gt;"EX",0,--(COUNTIFS(nNIA,DATOS!$A18094,nCURSO,DATOS!$D18094,nESPEC,DATOS!$E18094,nASIG,DATOS!$I18094,nEVAL,"OR")=0))</f>
      </c>
      <c r="I18094">
        <f>IF(DATOS!$I18094="","",IFERROR(VLOOKUP(DATOS!$I18094,CONFIG_ASIGNATURAS!$B$2:$J$91,9,FALSE()),""))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IF(DATOS!$A18095="",0,IF(CONFIG_METADATA!$B$4&lt;&gt;"OR+EX",--(DATOS!$G18095=CONFIG_METADATA!$B$4),IF(DATOS!$G18095="EX",1,IF(DATOS!$G18095="OR",--(COUNTIFS(nNIA,DATOS!$A18095,nCURSO,DATOS!$D18095,nESPEC,DATOS!$E18095,nASIG,DATOS!$I18095,nEVAL,"EX")=0),0))))</f>
      </c>
      <c r="H18095">
        <f>IF(DATOS!$G18095&lt;&gt;"EX",0,--(COUNTIFS(nNIA,DATOS!$A18095,nCURSO,DATOS!$D18095,nESPEC,DATOS!$E18095,nASIG,DATOS!$I18095,nEVAL,"OR")=0))</f>
      </c>
      <c r="I18095">
        <f>IF(DATOS!$I18095="","",IFERROR(VLOOKUP(DATOS!$I18095,CONFIG_ASIGNATURAS!$B$2:$J$91,9,FALSE()),""))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IF(DATOS!$A18096="",0,IF(CONFIG_METADATA!$B$4&lt;&gt;"OR+EX",--(DATOS!$G18096=CONFIG_METADATA!$B$4),IF(DATOS!$G18096="EX",1,IF(DATOS!$G18096="OR",--(COUNTIFS(nNIA,DATOS!$A18096,nCURSO,DATOS!$D18096,nESPEC,DATOS!$E18096,nASIG,DATOS!$I18096,nEVAL,"EX")=0),0))))</f>
      </c>
      <c r="H18096">
        <f>IF(DATOS!$G18096&lt;&gt;"EX",0,--(COUNTIFS(nNIA,DATOS!$A18096,nCURSO,DATOS!$D18096,nESPEC,DATOS!$E18096,nASIG,DATOS!$I18096,nEVAL,"OR")=0))</f>
      </c>
      <c r="I18096">
        <f>IF(DATOS!$I18096="","",IFERROR(VLOOKUP(DATOS!$I18096,CONFIG_ASIGNATURAS!$B$2:$J$91,9,FALSE()),""))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IF(DATOS!$A18097="",0,IF(CONFIG_METADATA!$B$4&lt;&gt;"OR+EX",--(DATOS!$G18097=CONFIG_METADATA!$B$4),IF(DATOS!$G18097="EX",1,IF(DATOS!$G18097="OR",--(COUNTIFS(nNIA,DATOS!$A18097,nCURSO,DATOS!$D18097,nESPEC,DATOS!$E18097,nASIG,DATOS!$I18097,nEVAL,"EX")=0),0))))</f>
      </c>
      <c r="H18097">
        <f>IF(DATOS!$G18097&lt;&gt;"EX",0,--(COUNTIFS(nNIA,DATOS!$A18097,nCURSO,DATOS!$D18097,nESPEC,DATOS!$E18097,nASIG,DATOS!$I18097,nEVAL,"OR")=0))</f>
      </c>
      <c r="I18097">
        <f>IF(DATOS!$I18097="","",IFERROR(VLOOKUP(DATOS!$I18097,CONFIG_ASIGNATURAS!$B$2:$J$91,9,FALSE()),""))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IF(DATOS!$A18098="",0,IF(CONFIG_METADATA!$B$4&lt;&gt;"OR+EX",--(DATOS!$G18098=CONFIG_METADATA!$B$4),IF(DATOS!$G18098="EX",1,IF(DATOS!$G18098="OR",--(COUNTIFS(nNIA,DATOS!$A18098,nCURSO,DATOS!$D18098,nESPEC,DATOS!$E18098,nASIG,DATOS!$I18098,nEVAL,"EX")=0),0))))</f>
      </c>
      <c r="H18098">
        <f>IF(DATOS!$G18098&lt;&gt;"EX",0,--(COUNTIFS(nNIA,DATOS!$A18098,nCURSO,DATOS!$D18098,nESPEC,DATOS!$E18098,nASIG,DATOS!$I18098,nEVAL,"OR")=0))</f>
      </c>
      <c r="I18098">
        <f>IF(DATOS!$I18098="","",IFERROR(VLOOKUP(DATOS!$I18098,CONFIG_ASIGNATURAS!$B$2:$J$91,9,FALSE()),""))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IF(DATOS!$A18099="",0,IF(CONFIG_METADATA!$B$4&lt;&gt;"OR+EX",--(DATOS!$G18099=CONFIG_METADATA!$B$4),IF(DATOS!$G18099="EX",1,IF(DATOS!$G18099="OR",--(COUNTIFS(nNIA,DATOS!$A18099,nCURSO,DATOS!$D18099,nESPEC,DATOS!$E18099,nASIG,DATOS!$I18099,nEVAL,"EX")=0),0))))</f>
      </c>
      <c r="H18099">
        <f>IF(DATOS!$G18099&lt;&gt;"EX",0,--(COUNTIFS(nNIA,DATOS!$A18099,nCURSO,DATOS!$D18099,nESPEC,DATOS!$E18099,nASIG,DATOS!$I18099,nEVAL,"OR")=0))</f>
      </c>
      <c r="I18099">
        <f>IF(DATOS!$I18099="","",IFERROR(VLOOKUP(DATOS!$I18099,CONFIG_ASIGNATURAS!$B$2:$J$91,9,FALSE()),""))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IF(DATOS!$A18100="",0,IF(CONFIG_METADATA!$B$4&lt;&gt;"OR+EX",--(DATOS!$G18100=CONFIG_METADATA!$B$4),IF(DATOS!$G18100="EX",1,IF(DATOS!$G18100="OR",--(COUNTIFS(nNIA,DATOS!$A18100,nCURSO,DATOS!$D18100,nESPEC,DATOS!$E18100,nASIG,DATOS!$I18100,nEVAL,"EX")=0),0))))</f>
      </c>
      <c r="H18100">
        <f>IF(DATOS!$G18100&lt;&gt;"EX",0,--(COUNTIFS(nNIA,DATOS!$A18100,nCURSO,DATOS!$D18100,nESPEC,DATOS!$E18100,nASIG,DATOS!$I18100,nEVAL,"OR")=0))</f>
      </c>
      <c r="I18100">
        <f>IF(DATOS!$I18100="","",IFERROR(VLOOKUP(DATOS!$I18100,CONFIG_ASIGNATURAS!$B$2:$J$91,9,FALSE()),""))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IF(DATOS!$A18101="",0,IF(CONFIG_METADATA!$B$4&lt;&gt;"OR+EX",--(DATOS!$G18101=CONFIG_METADATA!$B$4),IF(DATOS!$G18101="EX",1,IF(DATOS!$G18101="OR",--(COUNTIFS(nNIA,DATOS!$A18101,nCURSO,DATOS!$D18101,nESPEC,DATOS!$E18101,nASIG,DATOS!$I18101,nEVAL,"EX")=0),0))))</f>
      </c>
      <c r="H18101">
        <f>IF(DATOS!$G18101&lt;&gt;"EX",0,--(COUNTIFS(nNIA,DATOS!$A18101,nCURSO,DATOS!$D18101,nESPEC,DATOS!$E18101,nASIG,DATOS!$I18101,nEVAL,"OR")=0))</f>
      </c>
      <c r="I18101">
        <f>IF(DATOS!$I18101="","",IFERROR(VLOOKUP(DATOS!$I18101,CONFIG_ASIGNATURAS!$B$2:$J$91,9,FALSE()),""))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IF(DATOS!$A18102="",0,IF(CONFIG_METADATA!$B$4&lt;&gt;"OR+EX",--(DATOS!$G18102=CONFIG_METADATA!$B$4),IF(DATOS!$G18102="EX",1,IF(DATOS!$G18102="OR",--(COUNTIFS(nNIA,DATOS!$A18102,nCURSO,DATOS!$D18102,nESPEC,DATOS!$E18102,nASIG,DATOS!$I18102,nEVAL,"EX")=0),0))))</f>
      </c>
      <c r="H18102">
        <f>IF(DATOS!$G18102&lt;&gt;"EX",0,--(COUNTIFS(nNIA,DATOS!$A18102,nCURSO,DATOS!$D18102,nESPEC,DATOS!$E18102,nASIG,DATOS!$I18102,nEVAL,"OR")=0))</f>
      </c>
      <c r="I18102">
        <f>IF(DATOS!$I18102="","",IFERROR(VLOOKUP(DATOS!$I18102,CONFIG_ASIGNATURAS!$B$2:$J$91,9,FALSE()),""))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IF(DATOS!$A18103="",0,IF(CONFIG_METADATA!$B$4&lt;&gt;"OR+EX",--(DATOS!$G18103=CONFIG_METADATA!$B$4),IF(DATOS!$G18103="EX",1,IF(DATOS!$G18103="OR",--(COUNTIFS(nNIA,DATOS!$A18103,nCURSO,DATOS!$D18103,nESPEC,DATOS!$E18103,nASIG,DATOS!$I18103,nEVAL,"EX")=0),0))))</f>
      </c>
      <c r="H18103">
        <f>IF(DATOS!$G18103&lt;&gt;"EX",0,--(COUNTIFS(nNIA,DATOS!$A18103,nCURSO,DATOS!$D18103,nESPEC,DATOS!$E18103,nASIG,DATOS!$I18103,nEVAL,"OR")=0))</f>
      </c>
      <c r="I18103">
        <f>IF(DATOS!$I18103="","",IFERROR(VLOOKUP(DATOS!$I18103,CONFIG_ASIGNATURAS!$B$2:$J$91,9,FALSE()),""))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IF(DATOS!$A18104="",0,IF(CONFIG_METADATA!$B$4&lt;&gt;"OR+EX",--(DATOS!$G18104=CONFIG_METADATA!$B$4),IF(DATOS!$G18104="EX",1,IF(DATOS!$G18104="OR",--(COUNTIFS(nNIA,DATOS!$A18104,nCURSO,DATOS!$D18104,nESPEC,DATOS!$E18104,nASIG,DATOS!$I18104,nEVAL,"EX")=0),0))))</f>
      </c>
      <c r="H18104">
        <f>IF(DATOS!$G18104&lt;&gt;"EX",0,--(COUNTIFS(nNIA,DATOS!$A18104,nCURSO,DATOS!$D18104,nESPEC,DATOS!$E18104,nASIG,DATOS!$I18104,nEVAL,"OR")=0))</f>
      </c>
      <c r="I18104">
        <f>IF(DATOS!$I18104="","",IFERROR(VLOOKUP(DATOS!$I18104,CONFIG_ASIGNATURAS!$B$2:$J$91,9,FALSE()),""))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IF(DATOS!$A18105="",0,IF(CONFIG_METADATA!$B$4&lt;&gt;"OR+EX",--(DATOS!$G18105=CONFIG_METADATA!$B$4),IF(DATOS!$G18105="EX",1,IF(DATOS!$G18105="OR",--(COUNTIFS(nNIA,DATOS!$A18105,nCURSO,DATOS!$D18105,nESPEC,DATOS!$E18105,nASIG,DATOS!$I18105,nEVAL,"EX")=0),0))))</f>
      </c>
      <c r="H18105">
        <f>IF(DATOS!$G18105&lt;&gt;"EX",0,--(COUNTIFS(nNIA,DATOS!$A18105,nCURSO,DATOS!$D18105,nESPEC,DATOS!$E18105,nASIG,DATOS!$I18105,nEVAL,"OR")=0))</f>
      </c>
      <c r="I18105">
        <f>IF(DATOS!$I18105="","",IFERROR(VLOOKUP(DATOS!$I18105,CONFIG_ASIGNATURAS!$B$2:$J$91,9,FALSE()),""))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IF(DATOS!$A18106="",0,IF(CONFIG_METADATA!$B$4&lt;&gt;"OR+EX",--(DATOS!$G18106=CONFIG_METADATA!$B$4),IF(DATOS!$G18106="EX",1,IF(DATOS!$G18106="OR",--(COUNTIFS(nNIA,DATOS!$A18106,nCURSO,DATOS!$D18106,nESPEC,DATOS!$E18106,nASIG,DATOS!$I18106,nEVAL,"EX")=0),0))))</f>
      </c>
      <c r="H18106">
        <f>IF(DATOS!$G18106&lt;&gt;"EX",0,--(COUNTIFS(nNIA,DATOS!$A18106,nCURSO,DATOS!$D18106,nESPEC,DATOS!$E18106,nASIG,DATOS!$I18106,nEVAL,"OR")=0))</f>
      </c>
      <c r="I18106">
        <f>IF(DATOS!$I18106="","",IFERROR(VLOOKUP(DATOS!$I18106,CONFIG_ASIGNATURAS!$B$2:$J$91,9,FALSE()),""))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IF(DATOS!$A18107="",0,IF(CONFIG_METADATA!$B$4&lt;&gt;"OR+EX",--(DATOS!$G18107=CONFIG_METADATA!$B$4),IF(DATOS!$G18107="EX",1,IF(DATOS!$G18107="OR",--(COUNTIFS(nNIA,DATOS!$A18107,nCURSO,DATOS!$D18107,nESPEC,DATOS!$E18107,nASIG,DATOS!$I18107,nEVAL,"EX")=0),0))))</f>
      </c>
      <c r="H18107">
        <f>IF(DATOS!$G18107&lt;&gt;"EX",0,--(COUNTIFS(nNIA,DATOS!$A18107,nCURSO,DATOS!$D18107,nESPEC,DATOS!$E18107,nASIG,DATOS!$I18107,nEVAL,"OR")=0))</f>
      </c>
      <c r="I18107">
        <f>IF(DATOS!$I18107="","",IFERROR(VLOOKUP(DATOS!$I18107,CONFIG_ASIGNATURAS!$B$2:$J$91,9,FALSE()),""))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IF(DATOS!$A18108="",0,IF(CONFIG_METADATA!$B$4&lt;&gt;"OR+EX",--(DATOS!$G18108=CONFIG_METADATA!$B$4),IF(DATOS!$G18108="EX",1,IF(DATOS!$G18108="OR",--(COUNTIFS(nNIA,DATOS!$A18108,nCURSO,DATOS!$D18108,nESPEC,DATOS!$E18108,nASIG,DATOS!$I18108,nEVAL,"EX")=0),0))))</f>
      </c>
      <c r="H18108">
        <f>IF(DATOS!$G18108&lt;&gt;"EX",0,--(COUNTIFS(nNIA,DATOS!$A18108,nCURSO,DATOS!$D18108,nESPEC,DATOS!$E18108,nASIG,DATOS!$I18108,nEVAL,"OR")=0))</f>
      </c>
      <c r="I18108">
        <f>IF(DATOS!$I18108="","",IFERROR(VLOOKUP(DATOS!$I18108,CONFIG_ASIGNATURAS!$B$2:$J$91,9,FALSE()),""))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IF(DATOS!$A18109="",0,IF(CONFIG_METADATA!$B$4&lt;&gt;"OR+EX",--(DATOS!$G18109=CONFIG_METADATA!$B$4),IF(DATOS!$G18109="EX",1,IF(DATOS!$G18109="OR",--(COUNTIFS(nNIA,DATOS!$A18109,nCURSO,DATOS!$D18109,nESPEC,DATOS!$E18109,nASIG,DATOS!$I18109,nEVAL,"EX")=0),0))))</f>
      </c>
      <c r="H18109">
        <f>IF(DATOS!$G18109&lt;&gt;"EX",0,--(COUNTIFS(nNIA,DATOS!$A18109,nCURSO,DATOS!$D18109,nESPEC,DATOS!$E18109,nASIG,DATOS!$I18109,nEVAL,"OR")=0))</f>
      </c>
      <c r="I18109">
        <f>IF(DATOS!$I18109="","",IFERROR(VLOOKUP(DATOS!$I18109,CONFIG_ASIGNATURAS!$B$2:$J$91,9,FALSE()),""))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IF(DATOS!$A18110="",0,IF(CONFIG_METADATA!$B$4&lt;&gt;"OR+EX",--(DATOS!$G18110=CONFIG_METADATA!$B$4),IF(DATOS!$G18110="EX",1,IF(DATOS!$G18110="OR",--(COUNTIFS(nNIA,DATOS!$A18110,nCURSO,DATOS!$D18110,nESPEC,DATOS!$E18110,nASIG,DATOS!$I18110,nEVAL,"EX")=0),0))))</f>
      </c>
      <c r="H18110">
        <f>IF(DATOS!$G18110&lt;&gt;"EX",0,--(COUNTIFS(nNIA,DATOS!$A18110,nCURSO,DATOS!$D18110,nESPEC,DATOS!$E18110,nASIG,DATOS!$I18110,nEVAL,"OR")=0))</f>
      </c>
      <c r="I18110">
        <f>IF(DATOS!$I18110="","",IFERROR(VLOOKUP(DATOS!$I18110,CONFIG_ASIGNATURAS!$B$2:$J$91,9,FALSE()),""))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IF(DATOS!$A18111="",0,IF(CONFIG_METADATA!$B$4&lt;&gt;"OR+EX",--(DATOS!$G18111=CONFIG_METADATA!$B$4),IF(DATOS!$G18111="EX",1,IF(DATOS!$G18111="OR",--(COUNTIFS(nNIA,DATOS!$A18111,nCURSO,DATOS!$D18111,nESPEC,DATOS!$E18111,nASIG,DATOS!$I18111,nEVAL,"EX")=0),0))))</f>
      </c>
      <c r="H18111">
        <f>IF(DATOS!$G18111&lt;&gt;"EX",0,--(COUNTIFS(nNIA,DATOS!$A18111,nCURSO,DATOS!$D18111,nESPEC,DATOS!$E18111,nASIG,DATOS!$I18111,nEVAL,"OR")=0))</f>
      </c>
      <c r="I18111">
        <f>IF(DATOS!$I18111="","",IFERROR(VLOOKUP(DATOS!$I18111,CONFIG_ASIGNATURAS!$B$2:$J$91,9,FALSE()),""))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IF(DATOS!$A18112="",0,IF(CONFIG_METADATA!$B$4&lt;&gt;"OR+EX",--(DATOS!$G18112=CONFIG_METADATA!$B$4),IF(DATOS!$G18112="EX",1,IF(DATOS!$G18112="OR",--(COUNTIFS(nNIA,DATOS!$A18112,nCURSO,DATOS!$D18112,nESPEC,DATOS!$E18112,nASIG,DATOS!$I18112,nEVAL,"EX")=0),0))))</f>
      </c>
      <c r="H18112">
        <f>IF(DATOS!$G18112&lt;&gt;"EX",0,--(COUNTIFS(nNIA,DATOS!$A18112,nCURSO,DATOS!$D18112,nESPEC,DATOS!$E18112,nASIG,DATOS!$I18112,nEVAL,"OR")=0))</f>
      </c>
      <c r="I18112">
        <f>IF(DATOS!$I18112="","",IFERROR(VLOOKUP(DATOS!$I18112,CONFIG_ASIGNATURAS!$B$2:$J$91,9,FALSE()),""))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IF(DATOS!$A18113="",0,IF(CONFIG_METADATA!$B$4&lt;&gt;"OR+EX",--(DATOS!$G18113=CONFIG_METADATA!$B$4),IF(DATOS!$G18113="EX",1,IF(DATOS!$G18113="OR",--(COUNTIFS(nNIA,DATOS!$A18113,nCURSO,DATOS!$D18113,nESPEC,DATOS!$E18113,nASIG,DATOS!$I18113,nEVAL,"EX")=0),0))))</f>
      </c>
      <c r="H18113">
        <f>IF(DATOS!$G18113&lt;&gt;"EX",0,--(COUNTIFS(nNIA,DATOS!$A18113,nCURSO,DATOS!$D18113,nESPEC,DATOS!$E18113,nASIG,DATOS!$I18113,nEVAL,"OR")=0))</f>
      </c>
      <c r="I18113">
        <f>IF(DATOS!$I18113="","",IFERROR(VLOOKUP(DATOS!$I18113,CONFIG_ASIGNATURAS!$B$2:$J$91,9,FALSE()),""))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IF(DATOS!$A18114="",0,IF(CONFIG_METADATA!$B$4&lt;&gt;"OR+EX",--(DATOS!$G18114=CONFIG_METADATA!$B$4),IF(DATOS!$G18114="EX",1,IF(DATOS!$G18114="OR",--(COUNTIFS(nNIA,DATOS!$A18114,nCURSO,DATOS!$D18114,nESPEC,DATOS!$E18114,nASIG,DATOS!$I18114,nEVAL,"EX")=0),0))))</f>
      </c>
      <c r="H18114">
        <f>IF(DATOS!$G18114&lt;&gt;"EX",0,--(COUNTIFS(nNIA,DATOS!$A18114,nCURSO,DATOS!$D18114,nESPEC,DATOS!$E18114,nASIG,DATOS!$I18114,nEVAL,"OR")=0))</f>
      </c>
      <c r="I18114">
        <f>IF(DATOS!$I18114="","",IFERROR(VLOOKUP(DATOS!$I18114,CONFIG_ASIGNATURAS!$B$2:$J$91,9,FALSE()),""))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IF(DATOS!$A18115="",0,IF(CONFIG_METADATA!$B$4&lt;&gt;"OR+EX",--(DATOS!$G18115=CONFIG_METADATA!$B$4),IF(DATOS!$G18115="EX",1,IF(DATOS!$G18115="OR",--(COUNTIFS(nNIA,DATOS!$A18115,nCURSO,DATOS!$D18115,nESPEC,DATOS!$E18115,nASIG,DATOS!$I18115,nEVAL,"EX")=0),0))))</f>
      </c>
      <c r="H18115">
        <f>IF(DATOS!$G18115&lt;&gt;"EX",0,--(COUNTIFS(nNIA,DATOS!$A18115,nCURSO,DATOS!$D18115,nESPEC,DATOS!$E18115,nASIG,DATOS!$I18115,nEVAL,"OR")=0))</f>
      </c>
      <c r="I18115">
        <f>IF(DATOS!$I18115="","",IFERROR(VLOOKUP(DATOS!$I18115,CONFIG_ASIGNATURAS!$B$2:$J$91,9,FALSE()),""))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IF(DATOS!$A18116="",0,IF(CONFIG_METADATA!$B$4&lt;&gt;"OR+EX",--(DATOS!$G18116=CONFIG_METADATA!$B$4),IF(DATOS!$G18116="EX",1,IF(DATOS!$G18116="OR",--(COUNTIFS(nNIA,DATOS!$A18116,nCURSO,DATOS!$D18116,nESPEC,DATOS!$E18116,nASIG,DATOS!$I18116,nEVAL,"EX")=0),0))))</f>
      </c>
      <c r="H18116">
        <f>IF(DATOS!$G18116&lt;&gt;"EX",0,--(COUNTIFS(nNIA,DATOS!$A18116,nCURSO,DATOS!$D18116,nESPEC,DATOS!$E18116,nASIG,DATOS!$I18116,nEVAL,"OR")=0))</f>
      </c>
      <c r="I18116">
        <f>IF(DATOS!$I18116="","",IFERROR(VLOOKUP(DATOS!$I18116,CONFIG_ASIGNATURAS!$B$2:$J$91,9,FALSE()),""))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IF(DATOS!$A18117="",0,IF(CONFIG_METADATA!$B$4&lt;&gt;"OR+EX",--(DATOS!$G18117=CONFIG_METADATA!$B$4),IF(DATOS!$G18117="EX",1,IF(DATOS!$G18117="OR",--(COUNTIFS(nNIA,DATOS!$A18117,nCURSO,DATOS!$D18117,nESPEC,DATOS!$E18117,nASIG,DATOS!$I18117,nEVAL,"EX")=0),0))))</f>
      </c>
      <c r="H18117">
        <f>IF(DATOS!$G18117&lt;&gt;"EX",0,--(COUNTIFS(nNIA,DATOS!$A18117,nCURSO,DATOS!$D18117,nESPEC,DATOS!$E18117,nASIG,DATOS!$I18117,nEVAL,"OR")=0))</f>
      </c>
      <c r="I18117">
        <f>IF(DATOS!$I18117="","",IFERROR(VLOOKUP(DATOS!$I18117,CONFIG_ASIGNATURAS!$B$2:$J$91,9,FALSE()),""))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IF(DATOS!$A18118="",0,IF(CONFIG_METADATA!$B$4&lt;&gt;"OR+EX",--(DATOS!$G18118=CONFIG_METADATA!$B$4),IF(DATOS!$G18118="EX",1,IF(DATOS!$G18118="OR",--(COUNTIFS(nNIA,DATOS!$A18118,nCURSO,DATOS!$D18118,nESPEC,DATOS!$E18118,nASIG,DATOS!$I18118,nEVAL,"EX")=0),0))))</f>
      </c>
      <c r="H18118">
        <f>IF(DATOS!$G18118&lt;&gt;"EX",0,--(COUNTIFS(nNIA,DATOS!$A18118,nCURSO,DATOS!$D18118,nESPEC,DATOS!$E18118,nASIG,DATOS!$I18118,nEVAL,"OR")=0))</f>
      </c>
      <c r="I18118">
        <f>IF(DATOS!$I18118="","",IFERROR(VLOOKUP(DATOS!$I18118,CONFIG_ASIGNATURAS!$B$2:$J$91,9,FALSE()),""))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IF(DATOS!$A18119="",0,IF(CONFIG_METADATA!$B$4&lt;&gt;"OR+EX",--(DATOS!$G18119=CONFIG_METADATA!$B$4),IF(DATOS!$G18119="EX",1,IF(DATOS!$G18119="OR",--(COUNTIFS(nNIA,DATOS!$A18119,nCURSO,DATOS!$D18119,nESPEC,DATOS!$E18119,nASIG,DATOS!$I18119,nEVAL,"EX")=0),0))))</f>
      </c>
      <c r="H18119">
        <f>IF(DATOS!$G18119&lt;&gt;"EX",0,--(COUNTIFS(nNIA,DATOS!$A18119,nCURSO,DATOS!$D18119,nESPEC,DATOS!$E18119,nASIG,DATOS!$I18119,nEVAL,"OR")=0))</f>
      </c>
      <c r="I18119">
        <f>IF(DATOS!$I18119="","",IFERROR(VLOOKUP(DATOS!$I18119,CONFIG_ASIGNATURAS!$B$2:$J$91,9,FALSE()),""))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IF(DATOS!$A18120="",0,IF(CONFIG_METADATA!$B$4&lt;&gt;"OR+EX",--(DATOS!$G18120=CONFIG_METADATA!$B$4),IF(DATOS!$G18120="EX",1,IF(DATOS!$G18120="OR",--(COUNTIFS(nNIA,DATOS!$A18120,nCURSO,DATOS!$D18120,nESPEC,DATOS!$E18120,nASIG,DATOS!$I18120,nEVAL,"EX")=0),0))))</f>
      </c>
      <c r="H18120">
        <f>IF(DATOS!$G18120&lt;&gt;"EX",0,--(COUNTIFS(nNIA,DATOS!$A18120,nCURSO,DATOS!$D18120,nESPEC,DATOS!$E18120,nASIG,DATOS!$I18120,nEVAL,"OR")=0))</f>
      </c>
      <c r="I18120">
        <f>IF(DATOS!$I18120="","",IFERROR(VLOOKUP(DATOS!$I18120,CONFIG_ASIGNATURAS!$B$2:$J$91,9,FALSE()),""))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IF(DATOS!$A18121="",0,IF(CONFIG_METADATA!$B$4&lt;&gt;"OR+EX",--(DATOS!$G18121=CONFIG_METADATA!$B$4),IF(DATOS!$G18121="EX",1,IF(DATOS!$G18121="OR",--(COUNTIFS(nNIA,DATOS!$A18121,nCURSO,DATOS!$D18121,nESPEC,DATOS!$E18121,nASIG,DATOS!$I18121,nEVAL,"EX")=0),0))))</f>
      </c>
      <c r="H18121">
        <f>IF(DATOS!$G18121&lt;&gt;"EX",0,--(COUNTIFS(nNIA,DATOS!$A18121,nCURSO,DATOS!$D18121,nESPEC,DATOS!$E18121,nASIG,DATOS!$I18121,nEVAL,"OR")=0))</f>
      </c>
      <c r="I18121">
        <f>IF(DATOS!$I18121="","",IFERROR(VLOOKUP(DATOS!$I18121,CONFIG_ASIGNATURAS!$B$2:$J$91,9,FALSE()),""))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IF(DATOS!$A18122="",0,IF(CONFIG_METADATA!$B$4&lt;&gt;"OR+EX",--(DATOS!$G18122=CONFIG_METADATA!$B$4),IF(DATOS!$G18122="EX",1,IF(DATOS!$G18122="OR",--(COUNTIFS(nNIA,DATOS!$A18122,nCURSO,DATOS!$D18122,nESPEC,DATOS!$E18122,nASIG,DATOS!$I18122,nEVAL,"EX")=0),0))))</f>
      </c>
      <c r="H18122">
        <f>IF(DATOS!$G18122&lt;&gt;"EX",0,--(COUNTIFS(nNIA,DATOS!$A18122,nCURSO,DATOS!$D18122,nESPEC,DATOS!$E18122,nASIG,DATOS!$I18122,nEVAL,"OR")=0))</f>
      </c>
      <c r="I18122">
        <f>IF(DATOS!$I18122="","",IFERROR(VLOOKUP(DATOS!$I18122,CONFIG_ASIGNATURAS!$B$2:$J$91,9,FALSE()),""))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IF(DATOS!$A18123="",0,IF(CONFIG_METADATA!$B$4&lt;&gt;"OR+EX",--(DATOS!$G18123=CONFIG_METADATA!$B$4),IF(DATOS!$G18123="EX",1,IF(DATOS!$G18123="OR",--(COUNTIFS(nNIA,DATOS!$A18123,nCURSO,DATOS!$D18123,nESPEC,DATOS!$E18123,nASIG,DATOS!$I18123,nEVAL,"EX")=0),0))))</f>
      </c>
      <c r="H18123">
        <f>IF(DATOS!$G18123&lt;&gt;"EX",0,--(COUNTIFS(nNIA,DATOS!$A18123,nCURSO,DATOS!$D18123,nESPEC,DATOS!$E18123,nASIG,DATOS!$I18123,nEVAL,"OR")=0))</f>
      </c>
      <c r="I18123">
        <f>IF(DATOS!$I18123="","",IFERROR(VLOOKUP(DATOS!$I18123,CONFIG_ASIGNATURAS!$B$2:$J$91,9,FALSE()),""))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IF(DATOS!$A18124="",0,IF(CONFIG_METADATA!$B$4&lt;&gt;"OR+EX",--(DATOS!$G18124=CONFIG_METADATA!$B$4),IF(DATOS!$G18124="EX",1,IF(DATOS!$G18124="OR",--(COUNTIFS(nNIA,DATOS!$A18124,nCURSO,DATOS!$D18124,nESPEC,DATOS!$E18124,nASIG,DATOS!$I18124,nEVAL,"EX")=0),0))))</f>
      </c>
      <c r="H18124">
        <f>IF(DATOS!$G18124&lt;&gt;"EX",0,--(COUNTIFS(nNIA,DATOS!$A18124,nCURSO,DATOS!$D18124,nESPEC,DATOS!$E18124,nASIG,DATOS!$I18124,nEVAL,"OR")=0))</f>
      </c>
      <c r="I18124">
        <f>IF(DATOS!$I18124="","",IFERROR(VLOOKUP(DATOS!$I18124,CONFIG_ASIGNATURAS!$B$2:$J$91,9,FALSE()),""))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IF(DATOS!$A18125="",0,IF(CONFIG_METADATA!$B$4&lt;&gt;"OR+EX",--(DATOS!$G18125=CONFIG_METADATA!$B$4),IF(DATOS!$G18125="EX",1,IF(DATOS!$G18125="OR",--(COUNTIFS(nNIA,DATOS!$A18125,nCURSO,DATOS!$D18125,nESPEC,DATOS!$E18125,nASIG,DATOS!$I18125,nEVAL,"EX")=0),0))))</f>
      </c>
      <c r="H18125">
        <f>IF(DATOS!$G18125&lt;&gt;"EX",0,--(COUNTIFS(nNIA,DATOS!$A18125,nCURSO,DATOS!$D18125,nESPEC,DATOS!$E18125,nASIG,DATOS!$I18125,nEVAL,"OR")=0))</f>
      </c>
      <c r="I18125">
        <f>IF(DATOS!$I18125="","",IFERROR(VLOOKUP(DATOS!$I18125,CONFIG_ASIGNATURAS!$B$2:$J$91,9,FALSE()),""))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IF(DATOS!$A18126="",0,IF(CONFIG_METADATA!$B$4&lt;&gt;"OR+EX",--(DATOS!$G18126=CONFIG_METADATA!$B$4),IF(DATOS!$G18126="EX",1,IF(DATOS!$G18126="OR",--(COUNTIFS(nNIA,DATOS!$A18126,nCURSO,DATOS!$D18126,nESPEC,DATOS!$E18126,nASIG,DATOS!$I18126,nEVAL,"EX")=0),0))))</f>
      </c>
      <c r="H18126">
        <f>IF(DATOS!$G18126&lt;&gt;"EX",0,--(COUNTIFS(nNIA,DATOS!$A18126,nCURSO,DATOS!$D18126,nESPEC,DATOS!$E18126,nASIG,DATOS!$I18126,nEVAL,"OR")=0))</f>
      </c>
      <c r="I18126">
        <f>IF(DATOS!$I18126="","",IFERROR(VLOOKUP(DATOS!$I18126,CONFIG_ASIGNATURAS!$B$2:$J$91,9,FALSE()),""))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IF(DATOS!$A18127="",0,IF(CONFIG_METADATA!$B$4&lt;&gt;"OR+EX",--(DATOS!$G18127=CONFIG_METADATA!$B$4),IF(DATOS!$G18127="EX",1,IF(DATOS!$G18127="OR",--(COUNTIFS(nNIA,DATOS!$A18127,nCURSO,DATOS!$D18127,nESPEC,DATOS!$E18127,nASIG,DATOS!$I18127,nEVAL,"EX")=0),0))))</f>
      </c>
      <c r="H18127">
        <f>IF(DATOS!$G18127&lt;&gt;"EX",0,--(COUNTIFS(nNIA,DATOS!$A18127,nCURSO,DATOS!$D18127,nESPEC,DATOS!$E18127,nASIG,DATOS!$I18127,nEVAL,"OR")=0))</f>
      </c>
      <c r="I18127">
        <f>IF(DATOS!$I18127="","",IFERROR(VLOOKUP(DATOS!$I18127,CONFIG_ASIGNATURAS!$B$2:$J$91,9,FALSE()),""))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IF(DATOS!$A18128="",0,IF(CONFIG_METADATA!$B$4&lt;&gt;"OR+EX",--(DATOS!$G18128=CONFIG_METADATA!$B$4),IF(DATOS!$G18128="EX",1,IF(DATOS!$G18128="OR",--(COUNTIFS(nNIA,DATOS!$A18128,nCURSO,DATOS!$D18128,nESPEC,DATOS!$E18128,nASIG,DATOS!$I18128,nEVAL,"EX")=0),0))))</f>
      </c>
      <c r="H18128">
        <f>IF(DATOS!$G18128&lt;&gt;"EX",0,--(COUNTIFS(nNIA,DATOS!$A18128,nCURSO,DATOS!$D18128,nESPEC,DATOS!$E18128,nASIG,DATOS!$I18128,nEVAL,"OR")=0))</f>
      </c>
      <c r="I18128">
        <f>IF(DATOS!$I18128="","",IFERROR(VLOOKUP(DATOS!$I18128,CONFIG_ASIGNATURAS!$B$2:$J$91,9,FALSE()),""))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IF(DATOS!$A18129="",0,IF(CONFIG_METADATA!$B$4&lt;&gt;"OR+EX",--(DATOS!$G18129=CONFIG_METADATA!$B$4),IF(DATOS!$G18129="EX",1,IF(DATOS!$G18129="OR",--(COUNTIFS(nNIA,DATOS!$A18129,nCURSO,DATOS!$D18129,nESPEC,DATOS!$E18129,nASIG,DATOS!$I18129,nEVAL,"EX")=0),0))))</f>
      </c>
      <c r="H18129">
        <f>IF(DATOS!$G18129&lt;&gt;"EX",0,--(COUNTIFS(nNIA,DATOS!$A18129,nCURSO,DATOS!$D18129,nESPEC,DATOS!$E18129,nASIG,DATOS!$I18129,nEVAL,"OR")=0))</f>
      </c>
      <c r="I18129">
        <f>IF(DATOS!$I18129="","",IFERROR(VLOOKUP(DATOS!$I18129,CONFIG_ASIGNATURAS!$B$2:$J$91,9,FALSE()),""))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IF(DATOS!$A18130="",0,IF(CONFIG_METADATA!$B$4&lt;&gt;"OR+EX",--(DATOS!$G18130=CONFIG_METADATA!$B$4),IF(DATOS!$G18130="EX",1,IF(DATOS!$G18130="OR",--(COUNTIFS(nNIA,DATOS!$A18130,nCURSO,DATOS!$D18130,nESPEC,DATOS!$E18130,nASIG,DATOS!$I18130,nEVAL,"EX")=0),0))))</f>
      </c>
      <c r="H18130">
        <f>IF(DATOS!$G18130&lt;&gt;"EX",0,--(COUNTIFS(nNIA,DATOS!$A18130,nCURSO,DATOS!$D18130,nESPEC,DATOS!$E18130,nASIG,DATOS!$I18130,nEVAL,"OR")=0))</f>
      </c>
      <c r="I18130">
        <f>IF(DATOS!$I18130="","",IFERROR(VLOOKUP(DATOS!$I18130,CONFIG_ASIGNATURAS!$B$2:$J$91,9,FALSE()),""))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IF(DATOS!$A18131="",0,IF(CONFIG_METADATA!$B$4&lt;&gt;"OR+EX",--(DATOS!$G18131=CONFIG_METADATA!$B$4),IF(DATOS!$G18131="EX",1,IF(DATOS!$G18131="OR",--(COUNTIFS(nNIA,DATOS!$A18131,nCURSO,DATOS!$D18131,nESPEC,DATOS!$E18131,nASIG,DATOS!$I18131,nEVAL,"EX")=0),0))))</f>
      </c>
      <c r="H18131">
        <f>IF(DATOS!$G18131&lt;&gt;"EX",0,--(COUNTIFS(nNIA,DATOS!$A18131,nCURSO,DATOS!$D18131,nESPEC,DATOS!$E18131,nASIG,DATOS!$I18131,nEVAL,"OR")=0))</f>
      </c>
      <c r="I18131">
        <f>IF(DATOS!$I18131="","",IFERROR(VLOOKUP(DATOS!$I18131,CONFIG_ASIGNATURAS!$B$2:$J$91,9,FALSE()),""))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IF(DATOS!$A18132="",0,IF(CONFIG_METADATA!$B$4&lt;&gt;"OR+EX",--(DATOS!$G18132=CONFIG_METADATA!$B$4),IF(DATOS!$G18132="EX",1,IF(DATOS!$G18132="OR",--(COUNTIFS(nNIA,DATOS!$A18132,nCURSO,DATOS!$D18132,nESPEC,DATOS!$E18132,nASIG,DATOS!$I18132,nEVAL,"EX")=0),0))))</f>
      </c>
      <c r="H18132">
        <f>IF(DATOS!$G18132&lt;&gt;"EX",0,--(COUNTIFS(nNIA,DATOS!$A18132,nCURSO,DATOS!$D18132,nESPEC,DATOS!$E18132,nASIG,DATOS!$I18132,nEVAL,"OR")=0))</f>
      </c>
      <c r="I18132">
        <f>IF(DATOS!$I18132="","",IFERROR(VLOOKUP(DATOS!$I18132,CONFIG_ASIGNATURAS!$B$2:$J$91,9,FALSE()),""))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IF(DATOS!$A18133="",0,IF(CONFIG_METADATA!$B$4&lt;&gt;"OR+EX",--(DATOS!$G18133=CONFIG_METADATA!$B$4),IF(DATOS!$G18133="EX",1,IF(DATOS!$G18133="OR",--(COUNTIFS(nNIA,DATOS!$A18133,nCURSO,DATOS!$D18133,nESPEC,DATOS!$E18133,nASIG,DATOS!$I18133,nEVAL,"EX")=0),0))))</f>
      </c>
      <c r="H18133">
        <f>IF(DATOS!$G18133&lt;&gt;"EX",0,--(COUNTIFS(nNIA,DATOS!$A18133,nCURSO,DATOS!$D18133,nESPEC,DATOS!$E18133,nASIG,DATOS!$I18133,nEVAL,"OR")=0))</f>
      </c>
      <c r="I18133">
        <f>IF(DATOS!$I18133="","",IFERROR(VLOOKUP(DATOS!$I18133,CONFIG_ASIGNATURAS!$B$2:$J$91,9,FALSE()),""))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IF(DATOS!$A18134="",0,IF(CONFIG_METADATA!$B$4&lt;&gt;"OR+EX",--(DATOS!$G18134=CONFIG_METADATA!$B$4),IF(DATOS!$G18134="EX",1,IF(DATOS!$G18134="OR",--(COUNTIFS(nNIA,DATOS!$A18134,nCURSO,DATOS!$D18134,nESPEC,DATOS!$E18134,nASIG,DATOS!$I18134,nEVAL,"EX")=0),0))))</f>
      </c>
      <c r="H18134">
        <f>IF(DATOS!$G18134&lt;&gt;"EX",0,--(COUNTIFS(nNIA,DATOS!$A18134,nCURSO,DATOS!$D18134,nESPEC,DATOS!$E18134,nASIG,DATOS!$I18134,nEVAL,"OR")=0))</f>
      </c>
      <c r="I18134">
        <f>IF(DATOS!$I18134="","",IFERROR(VLOOKUP(DATOS!$I18134,CONFIG_ASIGNATURAS!$B$2:$J$91,9,FALSE()),""))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IF(DATOS!$A18135="",0,IF(CONFIG_METADATA!$B$4&lt;&gt;"OR+EX",--(DATOS!$G18135=CONFIG_METADATA!$B$4),IF(DATOS!$G18135="EX",1,IF(DATOS!$G18135="OR",--(COUNTIFS(nNIA,DATOS!$A18135,nCURSO,DATOS!$D18135,nESPEC,DATOS!$E18135,nASIG,DATOS!$I18135,nEVAL,"EX")=0),0))))</f>
      </c>
      <c r="H18135">
        <f>IF(DATOS!$G18135&lt;&gt;"EX",0,--(COUNTIFS(nNIA,DATOS!$A18135,nCURSO,DATOS!$D18135,nESPEC,DATOS!$E18135,nASIG,DATOS!$I18135,nEVAL,"OR")=0))</f>
      </c>
      <c r="I18135">
        <f>IF(DATOS!$I18135="","",IFERROR(VLOOKUP(DATOS!$I18135,CONFIG_ASIGNATURAS!$B$2:$J$91,9,FALSE()),""))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IF(DATOS!$A18136="",0,IF(CONFIG_METADATA!$B$4&lt;&gt;"OR+EX",--(DATOS!$G18136=CONFIG_METADATA!$B$4),IF(DATOS!$G18136="EX",1,IF(DATOS!$G18136="OR",--(COUNTIFS(nNIA,DATOS!$A18136,nCURSO,DATOS!$D18136,nESPEC,DATOS!$E18136,nASIG,DATOS!$I18136,nEVAL,"EX")=0),0))))</f>
      </c>
      <c r="H18136">
        <f>IF(DATOS!$G18136&lt;&gt;"EX",0,--(COUNTIFS(nNIA,DATOS!$A18136,nCURSO,DATOS!$D18136,nESPEC,DATOS!$E18136,nASIG,DATOS!$I18136,nEVAL,"OR")=0))</f>
      </c>
      <c r="I18136">
        <f>IF(DATOS!$I18136="","",IFERROR(VLOOKUP(DATOS!$I18136,CONFIG_ASIGNATURAS!$B$2:$J$91,9,FALSE()),""))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IF(DATOS!$A18137="",0,IF(CONFIG_METADATA!$B$4&lt;&gt;"OR+EX",--(DATOS!$G18137=CONFIG_METADATA!$B$4),IF(DATOS!$G18137="EX",1,IF(DATOS!$G18137="OR",--(COUNTIFS(nNIA,DATOS!$A18137,nCURSO,DATOS!$D18137,nESPEC,DATOS!$E18137,nASIG,DATOS!$I18137,nEVAL,"EX")=0),0))))</f>
      </c>
      <c r="H18137">
        <f>IF(DATOS!$G18137&lt;&gt;"EX",0,--(COUNTIFS(nNIA,DATOS!$A18137,nCURSO,DATOS!$D18137,nESPEC,DATOS!$E18137,nASIG,DATOS!$I18137,nEVAL,"OR")=0))</f>
      </c>
      <c r="I18137">
        <f>IF(DATOS!$I18137="","",IFERROR(VLOOKUP(DATOS!$I18137,CONFIG_ASIGNATURAS!$B$2:$J$91,9,FALSE()),""))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IF(DATOS!$A18138="",0,IF(CONFIG_METADATA!$B$4&lt;&gt;"OR+EX",--(DATOS!$G18138=CONFIG_METADATA!$B$4),IF(DATOS!$G18138="EX",1,IF(DATOS!$G18138="OR",--(COUNTIFS(nNIA,DATOS!$A18138,nCURSO,DATOS!$D18138,nESPEC,DATOS!$E18138,nASIG,DATOS!$I18138,nEVAL,"EX")=0),0))))</f>
      </c>
      <c r="H18138">
        <f>IF(DATOS!$G18138&lt;&gt;"EX",0,--(COUNTIFS(nNIA,DATOS!$A18138,nCURSO,DATOS!$D18138,nESPEC,DATOS!$E18138,nASIG,DATOS!$I18138,nEVAL,"OR")=0))</f>
      </c>
      <c r="I18138">
        <f>IF(DATOS!$I18138="","",IFERROR(VLOOKUP(DATOS!$I18138,CONFIG_ASIGNATURAS!$B$2:$J$91,9,FALSE()),""))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IF(DATOS!$A18139="",0,IF(CONFIG_METADATA!$B$4&lt;&gt;"OR+EX",--(DATOS!$G18139=CONFIG_METADATA!$B$4),IF(DATOS!$G18139="EX",1,IF(DATOS!$G18139="OR",--(COUNTIFS(nNIA,DATOS!$A18139,nCURSO,DATOS!$D18139,nESPEC,DATOS!$E18139,nASIG,DATOS!$I18139,nEVAL,"EX")=0),0))))</f>
      </c>
      <c r="H18139">
        <f>IF(DATOS!$G18139&lt;&gt;"EX",0,--(COUNTIFS(nNIA,DATOS!$A18139,nCURSO,DATOS!$D18139,nESPEC,DATOS!$E18139,nASIG,DATOS!$I18139,nEVAL,"OR")=0))</f>
      </c>
      <c r="I18139">
        <f>IF(DATOS!$I18139="","",IFERROR(VLOOKUP(DATOS!$I18139,CONFIG_ASIGNATURAS!$B$2:$J$91,9,FALSE()),""))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IF(DATOS!$A18140="",0,IF(CONFIG_METADATA!$B$4&lt;&gt;"OR+EX",--(DATOS!$G18140=CONFIG_METADATA!$B$4),IF(DATOS!$G18140="EX",1,IF(DATOS!$G18140="OR",--(COUNTIFS(nNIA,DATOS!$A18140,nCURSO,DATOS!$D18140,nESPEC,DATOS!$E18140,nASIG,DATOS!$I18140,nEVAL,"EX")=0),0))))</f>
      </c>
      <c r="H18140">
        <f>IF(DATOS!$G18140&lt;&gt;"EX",0,--(COUNTIFS(nNIA,DATOS!$A18140,nCURSO,DATOS!$D18140,nESPEC,DATOS!$E18140,nASIG,DATOS!$I18140,nEVAL,"OR")=0))</f>
      </c>
      <c r="I18140">
        <f>IF(DATOS!$I18140="","",IFERROR(VLOOKUP(DATOS!$I18140,CONFIG_ASIGNATURAS!$B$2:$J$91,9,FALSE()),""))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IF(DATOS!$A18141="",0,IF(CONFIG_METADATA!$B$4&lt;&gt;"OR+EX",--(DATOS!$G18141=CONFIG_METADATA!$B$4),IF(DATOS!$G18141="EX",1,IF(DATOS!$G18141="OR",--(COUNTIFS(nNIA,DATOS!$A18141,nCURSO,DATOS!$D18141,nESPEC,DATOS!$E18141,nASIG,DATOS!$I18141,nEVAL,"EX")=0),0))))</f>
      </c>
      <c r="H18141">
        <f>IF(DATOS!$G18141&lt;&gt;"EX",0,--(COUNTIFS(nNIA,DATOS!$A18141,nCURSO,DATOS!$D18141,nESPEC,DATOS!$E18141,nASIG,DATOS!$I18141,nEVAL,"OR")=0))</f>
      </c>
      <c r="I18141">
        <f>IF(DATOS!$I18141="","",IFERROR(VLOOKUP(DATOS!$I18141,CONFIG_ASIGNATURAS!$B$2:$J$91,9,FALSE()),""))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IF(DATOS!$A18142="",0,IF(CONFIG_METADATA!$B$4&lt;&gt;"OR+EX",--(DATOS!$G18142=CONFIG_METADATA!$B$4),IF(DATOS!$G18142="EX",1,IF(DATOS!$G18142="OR",--(COUNTIFS(nNIA,DATOS!$A18142,nCURSO,DATOS!$D18142,nESPEC,DATOS!$E18142,nASIG,DATOS!$I18142,nEVAL,"EX")=0),0))))</f>
      </c>
      <c r="H18142">
        <f>IF(DATOS!$G18142&lt;&gt;"EX",0,--(COUNTIFS(nNIA,DATOS!$A18142,nCURSO,DATOS!$D18142,nESPEC,DATOS!$E18142,nASIG,DATOS!$I18142,nEVAL,"OR")=0))</f>
      </c>
      <c r="I18142">
        <f>IF(DATOS!$I18142="","",IFERROR(VLOOKUP(DATOS!$I18142,CONFIG_ASIGNATURAS!$B$2:$J$91,9,FALSE()),""))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IF(DATOS!$A18143="",0,IF(CONFIG_METADATA!$B$4&lt;&gt;"OR+EX",--(DATOS!$G18143=CONFIG_METADATA!$B$4),IF(DATOS!$G18143="EX",1,IF(DATOS!$G18143="OR",--(COUNTIFS(nNIA,DATOS!$A18143,nCURSO,DATOS!$D18143,nESPEC,DATOS!$E18143,nASIG,DATOS!$I18143,nEVAL,"EX")=0),0))))</f>
      </c>
      <c r="H18143">
        <f>IF(DATOS!$G18143&lt;&gt;"EX",0,--(COUNTIFS(nNIA,DATOS!$A18143,nCURSO,DATOS!$D18143,nESPEC,DATOS!$E18143,nASIG,DATOS!$I18143,nEVAL,"OR")=0))</f>
      </c>
      <c r="I18143">
        <f>IF(DATOS!$I18143="","",IFERROR(VLOOKUP(DATOS!$I18143,CONFIG_ASIGNATURAS!$B$2:$J$91,9,FALSE()),""))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IF(DATOS!$A18144="",0,IF(CONFIG_METADATA!$B$4&lt;&gt;"OR+EX",--(DATOS!$G18144=CONFIG_METADATA!$B$4),IF(DATOS!$G18144="EX",1,IF(DATOS!$G18144="OR",--(COUNTIFS(nNIA,DATOS!$A18144,nCURSO,DATOS!$D18144,nESPEC,DATOS!$E18144,nASIG,DATOS!$I18144,nEVAL,"EX")=0),0))))</f>
      </c>
      <c r="H18144">
        <f>IF(DATOS!$G18144&lt;&gt;"EX",0,--(COUNTIFS(nNIA,DATOS!$A18144,nCURSO,DATOS!$D18144,nESPEC,DATOS!$E18144,nASIG,DATOS!$I18144,nEVAL,"OR")=0))</f>
      </c>
      <c r="I18144">
        <f>IF(DATOS!$I18144="","",IFERROR(VLOOKUP(DATOS!$I18144,CONFIG_ASIGNATURAS!$B$2:$J$91,9,FALSE()),""))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IF(DATOS!$A18145="",0,IF(CONFIG_METADATA!$B$4&lt;&gt;"OR+EX",--(DATOS!$G18145=CONFIG_METADATA!$B$4),IF(DATOS!$G18145="EX",1,IF(DATOS!$G18145="OR",--(COUNTIFS(nNIA,DATOS!$A18145,nCURSO,DATOS!$D18145,nESPEC,DATOS!$E18145,nASIG,DATOS!$I18145,nEVAL,"EX")=0),0))))</f>
      </c>
      <c r="H18145">
        <f>IF(DATOS!$G18145&lt;&gt;"EX",0,--(COUNTIFS(nNIA,DATOS!$A18145,nCURSO,DATOS!$D18145,nESPEC,DATOS!$E18145,nASIG,DATOS!$I18145,nEVAL,"OR")=0))</f>
      </c>
      <c r="I18145">
        <f>IF(DATOS!$I18145="","",IFERROR(VLOOKUP(DATOS!$I18145,CONFIG_ASIGNATURAS!$B$2:$J$91,9,FALSE()),""))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IF(DATOS!$A18146="",0,IF(CONFIG_METADATA!$B$4&lt;&gt;"OR+EX",--(DATOS!$G18146=CONFIG_METADATA!$B$4),IF(DATOS!$G18146="EX",1,IF(DATOS!$G18146="OR",--(COUNTIFS(nNIA,DATOS!$A18146,nCURSO,DATOS!$D18146,nESPEC,DATOS!$E18146,nASIG,DATOS!$I18146,nEVAL,"EX")=0),0))))</f>
      </c>
      <c r="H18146">
        <f>IF(DATOS!$G18146&lt;&gt;"EX",0,--(COUNTIFS(nNIA,DATOS!$A18146,nCURSO,DATOS!$D18146,nESPEC,DATOS!$E18146,nASIG,DATOS!$I18146,nEVAL,"OR")=0))</f>
      </c>
      <c r="I18146">
        <f>IF(DATOS!$I18146="","",IFERROR(VLOOKUP(DATOS!$I18146,CONFIG_ASIGNATURAS!$B$2:$J$91,9,FALSE()),""))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IF(DATOS!$A18147="",0,IF(CONFIG_METADATA!$B$4&lt;&gt;"OR+EX",--(DATOS!$G18147=CONFIG_METADATA!$B$4),IF(DATOS!$G18147="EX",1,IF(DATOS!$G18147="OR",--(COUNTIFS(nNIA,DATOS!$A18147,nCURSO,DATOS!$D18147,nESPEC,DATOS!$E18147,nASIG,DATOS!$I18147,nEVAL,"EX")=0),0))))</f>
      </c>
      <c r="H18147">
        <f>IF(DATOS!$G18147&lt;&gt;"EX",0,--(COUNTIFS(nNIA,DATOS!$A18147,nCURSO,DATOS!$D18147,nESPEC,DATOS!$E18147,nASIG,DATOS!$I18147,nEVAL,"OR")=0))</f>
      </c>
      <c r="I18147">
        <f>IF(DATOS!$I18147="","",IFERROR(VLOOKUP(DATOS!$I18147,CONFIG_ASIGNATURAS!$B$2:$J$91,9,FALSE()),""))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IF(DATOS!$A18148="",0,IF(CONFIG_METADATA!$B$4&lt;&gt;"OR+EX",--(DATOS!$G18148=CONFIG_METADATA!$B$4),IF(DATOS!$G18148="EX",1,IF(DATOS!$G18148="OR",--(COUNTIFS(nNIA,DATOS!$A18148,nCURSO,DATOS!$D18148,nESPEC,DATOS!$E18148,nASIG,DATOS!$I18148,nEVAL,"EX")=0),0))))</f>
      </c>
      <c r="H18148">
        <f>IF(DATOS!$G18148&lt;&gt;"EX",0,--(COUNTIFS(nNIA,DATOS!$A18148,nCURSO,DATOS!$D18148,nESPEC,DATOS!$E18148,nASIG,DATOS!$I18148,nEVAL,"OR")=0))</f>
      </c>
      <c r="I18148">
        <f>IF(DATOS!$I18148="","",IFERROR(VLOOKUP(DATOS!$I18148,CONFIG_ASIGNATURAS!$B$2:$J$91,9,FALSE()),""))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IF(DATOS!$A18149="",0,IF(CONFIG_METADATA!$B$4&lt;&gt;"OR+EX",--(DATOS!$G18149=CONFIG_METADATA!$B$4),IF(DATOS!$G18149="EX",1,IF(DATOS!$G18149="OR",--(COUNTIFS(nNIA,DATOS!$A18149,nCURSO,DATOS!$D18149,nESPEC,DATOS!$E18149,nASIG,DATOS!$I18149,nEVAL,"EX")=0),0))))</f>
      </c>
      <c r="H18149">
        <f>IF(DATOS!$G18149&lt;&gt;"EX",0,--(COUNTIFS(nNIA,DATOS!$A18149,nCURSO,DATOS!$D18149,nESPEC,DATOS!$E18149,nASIG,DATOS!$I18149,nEVAL,"OR")=0))</f>
      </c>
      <c r="I18149">
        <f>IF(DATOS!$I18149="","",IFERROR(VLOOKUP(DATOS!$I18149,CONFIG_ASIGNATURAS!$B$2:$J$91,9,FALSE()),""))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IF(DATOS!$A18150="",0,IF(CONFIG_METADATA!$B$4&lt;&gt;"OR+EX",--(DATOS!$G18150=CONFIG_METADATA!$B$4),IF(DATOS!$G18150="EX",1,IF(DATOS!$G18150="OR",--(COUNTIFS(nNIA,DATOS!$A18150,nCURSO,DATOS!$D18150,nESPEC,DATOS!$E18150,nASIG,DATOS!$I18150,nEVAL,"EX")=0),0))))</f>
      </c>
      <c r="H18150">
        <f>IF(DATOS!$G18150&lt;&gt;"EX",0,--(COUNTIFS(nNIA,DATOS!$A18150,nCURSO,DATOS!$D18150,nESPEC,DATOS!$E18150,nASIG,DATOS!$I18150,nEVAL,"OR")=0))</f>
      </c>
      <c r="I18150">
        <f>IF(DATOS!$I18150="","",IFERROR(VLOOKUP(DATOS!$I18150,CONFIG_ASIGNATURAS!$B$2:$J$91,9,FALSE()),""))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IF(DATOS!$A18151="",0,IF(CONFIG_METADATA!$B$4&lt;&gt;"OR+EX",--(DATOS!$G18151=CONFIG_METADATA!$B$4),IF(DATOS!$G18151="EX",1,IF(DATOS!$G18151="OR",--(COUNTIFS(nNIA,DATOS!$A18151,nCURSO,DATOS!$D18151,nESPEC,DATOS!$E18151,nASIG,DATOS!$I18151,nEVAL,"EX")=0),0))))</f>
      </c>
      <c r="H18151">
        <f>IF(DATOS!$G18151&lt;&gt;"EX",0,--(COUNTIFS(nNIA,DATOS!$A18151,nCURSO,DATOS!$D18151,nESPEC,DATOS!$E18151,nASIG,DATOS!$I18151,nEVAL,"OR")=0))</f>
      </c>
      <c r="I18151">
        <f>IF(DATOS!$I18151="","",IFERROR(VLOOKUP(DATOS!$I18151,CONFIG_ASIGNATURAS!$B$2:$J$91,9,FALSE()),""))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IF(DATOS!$A18152="",0,IF(CONFIG_METADATA!$B$4&lt;&gt;"OR+EX",--(DATOS!$G18152=CONFIG_METADATA!$B$4),IF(DATOS!$G18152="EX",1,IF(DATOS!$G18152="OR",--(COUNTIFS(nNIA,DATOS!$A18152,nCURSO,DATOS!$D18152,nESPEC,DATOS!$E18152,nASIG,DATOS!$I18152,nEVAL,"EX")=0),0))))</f>
      </c>
      <c r="H18152">
        <f>IF(DATOS!$G18152&lt;&gt;"EX",0,--(COUNTIFS(nNIA,DATOS!$A18152,nCURSO,DATOS!$D18152,nESPEC,DATOS!$E18152,nASIG,DATOS!$I18152,nEVAL,"OR")=0))</f>
      </c>
      <c r="I18152">
        <f>IF(DATOS!$I18152="","",IFERROR(VLOOKUP(DATOS!$I18152,CONFIG_ASIGNATURAS!$B$2:$J$91,9,FALSE()),""))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IF(DATOS!$A18153="",0,IF(CONFIG_METADATA!$B$4&lt;&gt;"OR+EX",--(DATOS!$G18153=CONFIG_METADATA!$B$4),IF(DATOS!$G18153="EX",1,IF(DATOS!$G18153="OR",--(COUNTIFS(nNIA,DATOS!$A18153,nCURSO,DATOS!$D18153,nESPEC,DATOS!$E18153,nASIG,DATOS!$I18153,nEVAL,"EX")=0),0))))</f>
      </c>
      <c r="H18153">
        <f>IF(DATOS!$G18153&lt;&gt;"EX",0,--(COUNTIFS(nNIA,DATOS!$A18153,nCURSO,DATOS!$D18153,nESPEC,DATOS!$E18153,nASIG,DATOS!$I18153,nEVAL,"OR")=0))</f>
      </c>
      <c r="I18153">
        <f>IF(DATOS!$I18153="","",IFERROR(VLOOKUP(DATOS!$I18153,CONFIG_ASIGNATURAS!$B$2:$J$91,9,FALSE()),""))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IF(DATOS!$A18154="",0,IF(CONFIG_METADATA!$B$4&lt;&gt;"OR+EX",--(DATOS!$G18154=CONFIG_METADATA!$B$4),IF(DATOS!$G18154="EX",1,IF(DATOS!$G18154="OR",--(COUNTIFS(nNIA,DATOS!$A18154,nCURSO,DATOS!$D18154,nESPEC,DATOS!$E18154,nASIG,DATOS!$I18154,nEVAL,"EX")=0),0))))</f>
      </c>
      <c r="H18154">
        <f>IF(DATOS!$G18154&lt;&gt;"EX",0,--(COUNTIFS(nNIA,DATOS!$A18154,nCURSO,DATOS!$D18154,nESPEC,DATOS!$E18154,nASIG,DATOS!$I18154,nEVAL,"OR")=0))</f>
      </c>
      <c r="I18154">
        <f>IF(DATOS!$I18154="","",IFERROR(VLOOKUP(DATOS!$I18154,CONFIG_ASIGNATURAS!$B$2:$J$91,9,FALSE()),""))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IF(DATOS!$A18155="",0,IF(CONFIG_METADATA!$B$4&lt;&gt;"OR+EX",--(DATOS!$G18155=CONFIG_METADATA!$B$4),IF(DATOS!$G18155="EX",1,IF(DATOS!$G18155="OR",--(COUNTIFS(nNIA,DATOS!$A18155,nCURSO,DATOS!$D18155,nESPEC,DATOS!$E18155,nASIG,DATOS!$I18155,nEVAL,"EX")=0),0))))</f>
      </c>
      <c r="H18155">
        <f>IF(DATOS!$G18155&lt;&gt;"EX",0,--(COUNTIFS(nNIA,DATOS!$A18155,nCURSO,DATOS!$D18155,nESPEC,DATOS!$E18155,nASIG,DATOS!$I18155,nEVAL,"OR")=0))</f>
      </c>
      <c r="I18155">
        <f>IF(DATOS!$I18155="","",IFERROR(VLOOKUP(DATOS!$I18155,CONFIG_ASIGNATURAS!$B$2:$J$91,9,FALSE()),""))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IF(DATOS!$A18156="",0,IF(CONFIG_METADATA!$B$4&lt;&gt;"OR+EX",--(DATOS!$G18156=CONFIG_METADATA!$B$4),IF(DATOS!$G18156="EX",1,IF(DATOS!$G18156="OR",--(COUNTIFS(nNIA,DATOS!$A18156,nCURSO,DATOS!$D18156,nESPEC,DATOS!$E18156,nASIG,DATOS!$I18156,nEVAL,"EX")=0),0))))</f>
      </c>
      <c r="H18156">
        <f>IF(DATOS!$G18156&lt;&gt;"EX",0,--(COUNTIFS(nNIA,DATOS!$A18156,nCURSO,DATOS!$D18156,nESPEC,DATOS!$E18156,nASIG,DATOS!$I18156,nEVAL,"OR")=0))</f>
      </c>
      <c r="I18156">
        <f>IF(DATOS!$I18156="","",IFERROR(VLOOKUP(DATOS!$I18156,CONFIG_ASIGNATURAS!$B$2:$J$91,9,FALSE()),""))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IF(DATOS!$A18157="",0,IF(CONFIG_METADATA!$B$4&lt;&gt;"OR+EX",--(DATOS!$G18157=CONFIG_METADATA!$B$4),IF(DATOS!$G18157="EX",1,IF(DATOS!$G18157="OR",--(COUNTIFS(nNIA,DATOS!$A18157,nCURSO,DATOS!$D18157,nESPEC,DATOS!$E18157,nASIG,DATOS!$I18157,nEVAL,"EX")=0),0))))</f>
      </c>
      <c r="H18157">
        <f>IF(DATOS!$G18157&lt;&gt;"EX",0,--(COUNTIFS(nNIA,DATOS!$A18157,nCURSO,DATOS!$D18157,nESPEC,DATOS!$E18157,nASIG,DATOS!$I18157,nEVAL,"OR")=0))</f>
      </c>
      <c r="I18157">
        <f>IF(DATOS!$I18157="","",IFERROR(VLOOKUP(DATOS!$I18157,CONFIG_ASIGNATURAS!$B$2:$J$91,9,FALSE()),""))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IF(DATOS!$A18158="",0,IF(CONFIG_METADATA!$B$4&lt;&gt;"OR+EX",--(DATOS!$G18158=CONFIG_METADATA!$B$4),IF(DATOS!$G18158="EX",1,IF(DATOS!$G18158="OR",--(COUNTIFS(nNIA,DATOS!$A18158,nCURSO,DATOS!$D18158,nESPEC,DATOS!$E18158,nASIG,DATOS!$I18158,nEVAL,"EX")=0),0))))</f>
      </c>
      <c r="H18158">
        <f>IF(DATOS!$G18158&lt;&gt;"EX",0,--(COUNTIFS(nNIA,DATOS!$A18158,nCURSO,DATOS!$D18158,nESPEC,DATOS!$E18158,nASIG,DATOS!$I18158,nEVAL,"OR")=0))</f>
      </c>
      <c r="I18158">
        <f>IF(DATOS!$I18158="","",IFERROR(VLOOKUP(DATOS!$I18158,CONFIG_ASIGNATURAS!$B$2:$J$91,9,FALSE()),""))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IF(DATOS!$A18159="",0,IF(CONFIG_METADATA!$B$4&lt;&gt;"OR+EX",--(DATOS!$G18159=CONFIG_METADATA!$B$4),IF(DATOS!$G18159="EX",1,IF(DATOS!$G18159="OR",--(COUNTIFS(nNIA,DATOS!$A18159,nCURSO,DATOS!$D18159,nESPEC,DATOS!$E18159,nASIG,DATOS!$I18159,nEVAL,"EX")=0),0))))</f>
      </c>
      <c r="H18159">
        <f>IF(DATOS!$G18159&lt;&gt;"EX",0,--(COUNTIFS(nNIA,DATOS!$A18159,nCURSO,DATOS!$D18159,nESPEC,DATOS!$E18159,nASIG,DATOS!$I18159,nEVAL,"OR")=0))</f>
      </c>
      <c r="I18159">
        <f>IF(DATOS!$I18159="","",IFERROR(VLOOKUP(DATOS!$I18159,CONFIG_ASIGNATURAS!$B$2:$J$91,9,FALSE()),""))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IF(DATOS!$A18160="",0,IF(CONFIG_METADATA!$B$4&lt;&gt;"OR+EX",--(DATOS!$G18160=CONFIG_METADATA!$B$4),IF(DATOS!$G18160="EX",1,IF(DATOS!$G18160="OR",--(COUNTIFS(nNIA,DATOS!$A18160,nCURSO,DATOS!$D18160,nESPEC,DATOS!$E18160,nASIG,DATOS!$I18160,nEVAL,"EX")=0),0))))</f>
      </c>
      <c r="H18160">
        <f>IF(DATOS!$G18160&lt;&gt;"EX",0,--(COUNTIFS(nNIA,DATOS!$A18160,nCURSO,DATOS!$D18160,nESPEC,DATOS!$E18160,nASIG,DATOS!$I18160,nEVAL,"OR")=0))</f>
      </c>
      <c r="I18160">
        <f>IF(DATOS!$I18160="","",IFERROR(VLOOKUP(DATOS!$I18160,CONFIG_ASIGNATURAS!$B$2:$J$91,9,FALSE()),""))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IF(DATOS!$A18161="",0,IF(CONFIG_METADATA!$B$4&lt;&gt;"OR+EX",--(DATOS!$G18161=CONFIG_METADATA!$B$4),IF(DATOS!$G18161="EX",1,IF(DATOS!$G18161="OR",--(COUNTIFS(nNIA,DATOS!$A18161,nCURSO,DATOS!$D18161,nESPEC,DATOS!$E18161,nASIG,DATOS!$I18161,nEVAL,"EX")=0),0))))</f>
      </c>
      <c r="H18161">
        <f>IF(DATOS!$G18161&lt;&gt;"EX",0,--(COUNTIFS(nNIA,DATOS!$A18161,nCURSO,DATOS!$D18161,nESPEC,DATOS!$E18161,nASIG,DATOS!$I18161,nEVAL,"OR")=0))</f>
      </c>
      <c r="I18161">
        <f>IF(DATOS!$I18161="","",IFERROR(VLOOKUP(DATOS!$I18161,CONFIG_ASIGNATURAS!$B$2:$J$91,9,FALSE()),""))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IF(DATOS!$A18162="",0,IF(CONFIG_METADATA!$B$4&lt;&gt;"OR+EX",--(DATOS!$G18162=CONFIG_METADATA!$B$4),IF(DATOS!$G18162="EX",1,IF(DATOS!$G18162="OR",--(COUNTIFS(nNIA,DATOS!$A18162,nCURSO,DATOS!$D18162,nESPEC,DATOS!$E18162,nASIG,DATOS!$I18162,nEVAL,"EX")=0),0))))</f>
      </c>
      <c r="H18162">
        <f>IF(DATOS!$G18162&lt;&gt;"EX",0,--(COUNTIFS(nNIA,DATOS!$A18162,nCURSO,DATOS!$D18162,nESPEC,DATOS!$E18162,nASIG,DATOS!$I18162,nEVAL,"OR")=0))</f>
      </c>
      <c r="I18162">
        <f>IF(DATOS!$I18162="","",IFERROR(VLOOKUP(DATOS!$I18162,CONFIG_ASIGNATURAS!$B$2:$J$91,9,FALSE()),""))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IF(DATOS!$A18163="",0,IF(CONFIG_METADATA!$B$4&lt;&gt;"OR+EX",--(DATOS!$G18163=CONFIG_METADATA!$B$4),IF(DATOS!$G18163="EX",1,IF(DATOS!$G18163="OR",--(COUNTIFS(nNIA,DATOS!$A18163,nCURSO,DATOS!$D18163,nESPEC,DATOS!$E18163,nASIG,DATOS!$I18163,nEVAL,"EX")=0),0))))</f>
      </c>
      <c r="H18163">
        <f>IF(DATOS!$G18163&lt;&gt;"EX",0,--(COUNTIFS(nNIA,DATOS!$A18163,nCURSO,DATOS!$D18163,nESPEC,DATOS!$E18163,nASIG,DATOS!$I18163,nEVAL,"OR")=0))</f>
      </c>
      <c r="I18163">
        <f>IF(DATOS!$I18163="","",IFERROR(VLOOKUP(DATOS!$I18163,CONFIG_ASIGNATURAS!$B$2:$J$91,9,FALSE()),""))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IF(DATOS!$A18164="",0,IF(CONFIG_METADATA!$B$4&lt;&gt;"OR+EX",--(DATOS!$G18164=CONFIG_METADATA!$B$4),IF(DATOS!$G18164="EX",1,IF(DATOS!$G18164="OR",--(COUNTIFS(nNIA,DATOS!$A18164,nCURSO,DATOS!$D18164,nESPEC,DATOS!$E18164,nASIG,DATOS!$I18164,nEVAL,"EX")=0),0))))</f>
      </c>
      <c r="H18164">
        <f>IF(DATOS!$G18164&lt;&gt;"EX",0,--(COUNTIFS(nNIA,DATOS!$A18164,nCURSO,DATOS!$D18164,nESPEC,DATOS!$E18164,nASIG,DATOS!$I18164,nEVAL,"OR")=0))</f>
      </c>
      <c r="I18164">
        <f>IF(DATOS!$I18164="","",IFERROR(VLOOKUP(DATOS!$I18164,CONFIG_ASIGNATURAS!$B$2:$J$91,9,FALSE()),""))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IF(DATOS!$A18165="",0,IF(CONFIG_METADATA!$B$4&lt;&gt;"OR+EX",--(DATOS!$G18165=CONFIG_METADATA!$B$4),IF(DATOS!$G18165="EX",1,IF(DATOS!$G18165="OR",--(COUNTIFS(nNIA,DATOS!$A18165,nCURSO,DATOS!$D18165,nESPEC,DATOS!$E18165,nASIG,DATOS!$I18165,nEVAL,"EX")=0),0))))</f>
      </c>
      <c r="H18165">
        <f>IF(DATOS!$G18165&lt;&gt;"EX",0,--(COUNTIFS(nNIA,DATOS!$A18165,nCURSO,DATOS!$D18165,nESPEC,DATOS!$E18165,nASIG,DATOS!$I18165,nEVAL,"OR")=0))</f>
      </c>
      <c r="I18165">
        <f>IF(DATOS!$I18165="","",IFERROR(VLOOKUP(DATOS!$I18165,CONFIG_ASIGNATURAS!$B$2:$J$91,9,FALSE()),""))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IF(DATOS!$A18166="",0,IF(CONFIG_METADATA!$B$4&lt;&gt;"OR+EX",--(DATOS!$G18166=CONFIG_METADATA!$B$4),IF(DATOS!$G18166="EX",1,IF(DATOS!$G18166="OR",--(COUNTIFS(nNIA,DATOS!$A18166,nCURSO,DATOS!$D18166,nESPEC,DATOS!$E18166,nASIG,DATOS!$I18166,nEVAL,"EX")=0),0))))</f>
      </c>
      <c r="H18166">
        <f>IF(DATOS!$G18166&lt;&gt;"EX",0,--(COUNTIFS(nNIA,DATOS!$A18166,nCURSO,DATOS!$D18166,nESPEC,DATOS!$E18166,nASIG,DATOS!$I18166,nEVAL,"OR")=0))</f>
      </c>
      <c r="I18166">
        <f>IF(DATOS!$I18166="","",IFERROR(VLOOKUP(DATOS!$I18166,CONFIG_ASIGNATURAS!$B$2:$J$91,9,FALSE()),""))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IF(DATOS!$A18167="",0,IF(CONFIG_METADATA!$B$4&lt;&gt;"OR+EX",--(DATOS!$G18167=CONFIG_METADATA!$B$4),IF(DATOS!$G18167="EX",1,IF(DATOS!$G18167="OR",--(COUNTIFS(nNIA,DATOS!$A18167,nCURSO,DATOS!$D18167,nESPEC,DATOS!$E18167,nASIG,DATOS!$I18167,nEVAL,"EX")=0),0))))</f>
      </c>
      <c r="H18167">
        <f>IF(DATOS!$G18167&lt;&gt;"EX",0,--(COUNTIFS(nNIA,DATOS!$A18167,nCURSO,DATOS!$D18167,nESPEC,DATOS!$E18167,nASIG,DATOS!$I18167,nEVAL,"OR")=0))</f>
      </c>
      <c r="I18167">
        <f>IF(DATOS!$I18167="","",IFERROR(VLOOKUP(DATOS!$I18167,CONFIG_ASIGNATURAS!$B$2:$J$91,9,FALSE()),""))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IF(DATOS!$A18168="",0,IF(CONFIG_METADATA!$B$4&lt;&gt;"OR+EX",--(DATOS!$G18168=CONFIG_METADATA!$B$4),IF(DATOS!$G18168="EX",1,IF(DATOS!$G18168="OR",--(COUNTIFS(nNIA,DATOS!$A18168,nCURSO,DATOS!$D18168,nESPEC,DATOS!$E18168,nASIG,DATOS!$I18168,nEVAL,"EX")=0),0))))</f>
      </c>
      <c r="H18168">
        <f>IF(DATOS!$G18168&lt;&gt;"EX",0,--(COUNTIFS(nNIA,DATOS!$A18168,nCURSO,DATOS!$D18168,nESPEC,DATOS!$E18168,nASIG,DATOS!$I18168,nEVAL,"OR")=0))</f>
      </c>
      <c r="I18168">
        <f>IF(DATOS!$I18168="","",IFERROR(VLOOKUP(DATOS!$I18168,CONFIG_ASIGNATURAS!$B$2:$J$91,9,FALSE()),""))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IF(DATOS!$A18169="",0,IF(CONFIG_METADATA!$B$4&lt;&gt;"OR+EX",--(DATOS!$G18169=CONFIG_METADATA!$B$4),IF(DATOS!$G18169="EX",1,IF(DATOS!$G18169="OR",--(COUNTIFS(nNIA,DATOS!$A18169,nCURSO,DATOS!$D18169,nESPEC,DATOS!$E18169,nASIG,DATOS!$I18169,nEVAL,"EX")=0),0))))</f>
      </c>
      <c r="H18169">
        <f>IF(DATOS!$G18169&lt;&gt;"EX",0,--(COUNTIFS(nNIA,DATOS!$A18169,nCURSO,DATOS!$D18169,nESPEC,DATOS!$E18169,nASIG,DATOS!$I18169,nEVAL,"OR")=0))</f>
      </c>
      <c r="I18169">
        <f>IF(DATOS!$I18169="","",IFERROR(VLOOKUP(DATOS!$I18169,CONFIG_ASIGNATURAS!$B$2:$J$91,9,FALSE()),""))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IF(DATOS!$A18170="",0,IF(CONFIG_METADATA!$B$4&lt;&gt;"OR+EX",--(DATOS!$G18170=CONFIG_METADATA!$B$4),IF(DATOS!$G18170="EX",1,IF(DATOS!$G18170="OR",--(COUNTIFS(nNIA,DATOS!$A18170,nCURSO,DATOS!$D18170,nESPEC,DATOS!$E18170,nASIG,DATOS!$I18170,nEVAL,"EX")=0),0))))</f>
      </c>
      <c r="H18170">
        <f>IF(DATOS!$G18170&lt;&gt;"EX",0,--(COUNTIFS(nNIA,DATOS!$A18170,nCURSO,DATOS!$D18170,nESPEC,DATOS!$E18170,nASIG,DATOS!$I18170,nEVAL,"OR")=0))</f>
      </c>
      <c r="I18170">
        <f>IF(DATOS!$I18170="","",IFERROR(VLOOKUP(DATOS!$I18170,CONFIG_ASIGNATURAS!$B$2:$J$91,9,FALSE()),""))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IF(DATOS!$A18171="",0,IF(CONFIG_METADATA!$B$4&lt;&gt;"OR+EX",--(DATOS!$G18171=CONFIG_METADATA!$B$4),IF(DATOS!$G18171="EX",1,IF(DATOS!$G18171="OR",--(COUNTIFS(nNIA,DATOS!$A18171,nCURSO,DATOS!$D18171,nESPEC,DATOS!$E18171,nASIG,DATOS!$I18171,nEVAL,"EX")=0),0))))</f>
      </c>
      <c r="H18171">
        <f>IF(DATOS!$G18171&lt;&gt;"EX",0,--(COUNTIFS(nNIA,DATOS!$A18171,nCURSO,DATOS!$D18171,nESPEC,DATOS!$E18171,nASIG,DATOS!$I18171,nEVAL,"OR")=0))</f>
      </c>
      <c r="I18171">
        <f>IF(DATOS!$I18171="","",IFERROR(VLOOKUP(DATOS!$I18171,CONFIG_ASIGNATURAS!$B$2:$J$91,9,FALSE()),""))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IF(DATOS!$A18172="",0,IF(CONFIG_METADATA!$B$4&lt;&gt;"OR+EX",--(DATOS!$G18172=CONFIG_METADATA!$B$4),IF(DATOS!$G18172="EX",1,IF(DATOS!$G18172="OR",--(COUNTIFS(nNIA,DATOS!$A18172,nCURSO,DATOS!$D18172,nESPEC,DATOS!$E18172,nASIG,DATOS!$I18172,nEVAL,"EX")=0),0))))</f>
      </c>
      <c r="H18172">
        <f>IF(DATOS!$G18172&lt;&gt;"EX",0,--(COUNTIFS(nNIA,DATOS!$A18172,nCURSO,DATOS!$D18172,nESPEC,DATOS!$E18172,nASIG,DATOS!$I18172,nEVAL,"OR")=0))</f>
      </c>
      <c r="I18172">
        <f>IF(DATOS!$I18172="","",IFERROR(VLOOKUP(DATOS!$I18172,CONFIG_ASIGNATURAS!$B$2:$J$91,9,FALSE()),""))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IF(DATOS!$A18173="",0,IF(CONFIG_METADATA!$B$4&lt;&gt;"OR+EX",--(DATOS!$G18173=CONFIG_METADATA!$B$4),IF(DATOS!$G18173="EX",1,IF(DATOS!$G18173="OR",--(COUNTIFS(nNIA,DATOS!$A18173,nCURSO,DATOS!$D18173,nESPEC,DATOS!$E18173,nASIG,DATOS!$I18173,nEVAL,"EX")=0),0))))</f>
      </c>
      <c r="H18173">
        <f>IF(DATOS!$G18173&lt;&gt;"EX",0,--(COUNTIFS(nNIA,DATOS!$A18173,nCURSO,DATOS!$D18173,nESPEC,DATOS!$E18173,nASIG,DATOS!$I18173,nEVAL,"OR")=0))</f>
      </c>
      <c r="I18173">
        <f>IF(DATOS!$I18173="","",IFERROR(VLOOKUP(DATOS!$I18173,CONFIG_ASIGNATURAS!$B$2:$J$91,9,FALSE()),""))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IF(DATOS!$A18174="",0,IF(CONFIG_METADATA!$B$4&lt;&gt;"OR+EX",--(DATOS!$G18174=CONFIG_METADATA!$B$4),IF(DATOS!$G18174="EX",1,IF(DATOS!$G18174="OR",--(COUNTIFS(nNIA,DATOS!$A18174,nCURSO,DATOS!$D18174,nESPEC,DATOS!$E18174,nASIG,DATOS!$I18174,nEVAL,"EX")=0),0))))</f>
      </c>
      <c r="H18174">
        <f>IF(DATOS!$G18174&lt;&gt;"EX",0,--(COUNTIFS(nNIA,DATOS!$A18174,nCURSO,DATOS!$D18174,nESPEC,DATOS!$E18174,nASIG,DATOS!$I18174,nEVAL,"OR")=0))</f>
      </c>
      <c r="I18174">
        <f>IF(DATOS!$I18174="","",IFERROR(VLOOKUP(DATOS!$I18174,CONFIG_ASIGNATURAS!$B$2:$J$91,9,FALSE()),""))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IF(DATOS!$A18175="",0,IF(CONFIG_METADATA!$B$4&lt;&gt;"OR+EX",--(DATOS!$G18175=CONFIG_METADATA!$B$4),IF(DATOS!$G18175="EX",1,IF(DATOS!$G18175="OR",--(COUNTIFS(nNIA,DATOS!$A18175,nCURSO,DATOS!$D18175,nESPEC,DATOS!$E18175,nASIG,DATOS!$I18175,nEVAL,"EX")=0),0))))</f>
      </c>
      <c r="H18175">
        <f>IF(DATOS!$G18175&lt;&gt;"EX",0,--(COUNTIFS(nNIA,DATOS!$A18175,nCURSO,DATOS!$D18175,nESPEC,DATOS!$E18175,nASIG,DATOS!$I18175,nEVAL,"OR")=0))</f>
      </c>
      <c r="I18175">
        <f>IF(DATOS!$I18175="","",IFERROR(VLOOKUP(DATOS!$I18175,CONFIG_ASIGNATURAS!$B$2:$J$91,9,FALSE()),""))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IF(DATOS!$A18176="",0,IF(CONFIG_METADATA!$B$4&lt;&gt;"OR+EX",--(DATOS!$G18176=CONFIG_METADATA!$B$4),IF(DATOS!$G18176="EX",1,IF(DATOS!$G18176="OR",--(COUNTIFS(nNIA,DATOS!$A18176,nCURSO,DATOS!$D18176,nESPEC,DATOS!$E18176,nASIG,DATOS!$I18176,nEVAL,"EX")=0),0))))</f>
      </c>
      <c r="H18176">
        <f>IF(DATOS!$G18176&lt;&gt;"EX",0,--(COUNTIFS(nNIA,DATOS!$A18176,nCURSO,DATOS!$D18176,nESPEC,DATOS!$E18176,nASIG,DATOS!$I18176,nEVAL,"OR")=0))</f>
      </c>
      <c r="I18176">
        <f>IF(DATOS!$I18176="","",IFERROR(VLOOKUP(DATOS!$I18176,CONFIG_ASIGNATURAS!$B$2:$J$91,9,FALSE()),""))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IF(DATOS!$A18177="",0,IF(CONFIG_METADATA!$B$4&lt;&gt;"OR+EX",--(DATOS!$G18177=CONFIG_METADATA!$B$4),IF(DATOS!$G18177="EX",1,IF(DATOS!$G18177="OR",--(COUNTIFS(nNIA,DATOS!$A18177,nCURSO,DATOS!$D18177,nESPEC,DATOS!$E18177,nASIG,DATOS!$I18177,nEVAL,"EX")=0),0))))</f>
      </c>
      <c r="H18177">
        <f>IF(DATOS!$G18177&lt;&gt;"EX",0,--(COUNTIFS(nNIA,DATOS!$A18177,nCURSO,DATOS!$D18177,nESPEC,DATOS!$E18177,nASIG,DATOS!$I18177,nEVAL,"OR")=0))</f>
      </c>
      <c r="I18177">
        <f>IF(DATOS!$I18177="","",IFERROR(VLOOKUP(DATOS!$I18177,CONFIG_ASIGNATURAS!$B$2:$J$91,9,FALSE()),""))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IF(DATOS!$A18178="",0,IF(CONFIG_METADATA!$B$4&lt;&gt;"OR+EX",--(DATOS!$G18178=CONFIG_METADATA!$B$4),IF(DATOS!$G18178="EX",1,IF(DATOS!$G18178="OR",--(COUNTIFS(nNIA,DATOS!$A18178,nCURSO,DATOS!$D18178,nESPEC,DATOS!$E18178,nASIG,DATOS!$I18178,nEVAL,"EX")=0),0))))</f>
      </c>
      <c r="H18178">
        <f>IF(DATOS!$G18178&lt;&gt;"EX",0,--(COUNTIFS(nNIA,DATOS!$A18178,nCURSO,DATOS!$D18178,nESPEC,DATOS!$E18178,nASIG,DATOS!$I18178,nEVAL,"OR")=0))</f>
      </c>
      <c r="I18178">
        <f>IF(DATOS!$I18178="","",IFERROR(VLOOKUP(DATOS!$I18178,CONFIG_ASIGNATURAS!$B$2:$J$91,9,FALSE()),""))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IF(DATOS!$A18179="",0,IF(CONFIG_METADATA!$B$4&lt;&gt;"OR+EX",--(DATOS!$G18179=CONFIG_METADATA!$B$4),IF(DATOS!$G18179="EX",1,IF(DATOS!$G18179="OR",--(COUNTIFS(nNIA,DATOS!$A18179,nCURSO,DATOS!$D18179,nESPEC,DATOS!$E18179,nASIG,DATOS!$I18179,nEVAL,"EX")=0),0))))</f>
      </c>
      <c r="H18179">
        <f>IF(DATOS!$G18179&lt;&gt;"EX",0,--(COUNTIFS(nNIA,DATOS!$A18179,nCURSO,DATOS!$D18179,nESPEC,DATOS!$E18179,nASIG,DATOS!$I18179,nEVAL,"OR")=0))</f>
      </c>
      <c r="I18179">
        <f>IF(DATOS!$I18179="","",IFERROR(VLOOKUP(DATOS!$I18179,CONFIG_ASIGNATURAS!$B$2:$J$91,9,FALSE()),""))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IF(DATOS!$A18180="",0,IF(CONFIG_METADATA!$B$4&lt;&gt;"OR+EX",--(DATOS!$G18180=CONFIG_METADATA!$B$4),IF(DATOS!$G18180="EX",1,IF(DATOS!$G18180="OR",--(COUNTIFS(nNIA,DATOS!$A18180,nCURSO,DATOS!$D18180,nESPEC,DATOS!$E18180,nASIG,DATOS!$I18180,nEVAL,"EX")=0),0))))</f>
      </c>
      <c r="H18180">
        <f>IF(DATOS!$G18180&lt;&gt;"EX",0,--(COUNTIFS(nNIA,DATOS!$A18180,nCURSO,DATOS!$D18180,nESPEC,DATOS!$E18180,nASIG,DATOS!$I18180,nEVAL,"OR")=0))</f>
      </c>
      <c r="I18180">
        <f>IF(DATOS!$I18180="","",IFERROR(VLOOKUP(DATOS!$I18180,CONFIG_ASIGNATURAS!$B$2:$J$91,9,FALSE()),""))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IF(DATOS!$A18181="",0,IF(CONFIG_METADATA!$B$4&lt;&gt;"OR+EX",--(DATOS!$G18181=CONFIG_METADATA!$B$4),IF(DATOS!$G18181="EX",1,IF(DATOS!$G18181="OR",--(COUNTIFS(nNIA,DATOS!$A18181,nCURSO,DATOS!$D18181,nESPEC,DATOS!$E18181,nASIG,DATOS!$I18181,nEVAL,"EX")=0),0))))</f>
      </c>
      <c r="H18181">
        <f>IF(DATOS!$G18181&lt;&gt;"EX",0,--(COUNTIFS(nNIA,DATOS!$A18181,nCURSO,DATOS!$D18181,nESPEC,DATOS!$E18181,nASIG,DATOS!$I18181,nEVAL,"OR")=0))</f>
      </c>
      <c r="I18181">
        <f>IF(DATOS!$I18181="","",IFERROR(VLOOKUP(DATOS!$I18181,CONFIG_ASIGNATURAS!$B$2:$J$91,9,FALSE()),""))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IF(DATOS!$A18182="",0,IF(CONFIG_METADATA!$B$4&lt;&gt;"OR+EX",--(DATOS!$G18182=CONFIG_METADATA!$B$4),IF(DATOS!$G18182="EX",1,IF(DATOS!$G18182="OR",--(COUNTIFS(nNIA,DATOS!$A18182,nCURSO,DATOS!$D18182,nESPEC,DATOS!$E18182,nASIG,DATOS!$I18182,nEVAL,"EX")=0),0))))</f>
      </c>
      <c r="H18182">
        <f>IF(DATOS!$G18182&lt;&gt;"EX",0,--(COUNTIFS(nNIA,DATOS!$A18182,nCURSO,DATOS!$D18182,nESPEC,DATOS!$E18182,nASIG,DATOS!$I18182,nEVAL,"OR")=0))</f>
      </c>
      <c r="I18182">
        <f>IF(DATOS!$I18182="","",IFERROR(VLOOKUP(DATOS!$I18182,CONFIG_ASIGNATURAS!$B$2:$J$91,9,FALSE()),""))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IF(DATOS!$A18183="",0,IF(CONFIG_METADATA!$B$4&lt;&gt;"OR+EX",--(DATOS!$G18183=CONFIG_METADATA!$B$4),IF(DATOS!$G18183="EX",1,IF(DATOS!$G18183="OR",--(COUNTIFS(nNIA,DATOS!$A18183,nCURSO,DATOS!$D18183,nESPEC,DATOS!$E18183,nASIG,DATOS!$I18183,nEVAL,"EX")=0),0))))</f>
      </c>
      <c r="H18183">
        <f>IF(DATOS!$G18183&lt;&gt;"EX",0,--(COUNTIFS(nNIA,DATOS!$A18183,nCURSO,DATOS!$D18183,nESPEC,DATOS!$E18183,nASIG,DATOS!$I18183,nEVAL,"OR")=0))</f>
      </c>
      <c r="I18183">
        <f>IF(DATOS!$I18183="","",IFERROR(VLOOKUP(DATOS!$I18183,CONFIG_ASIGNATURAS!$B$2:$J$91,9,FALSE()),""))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IF(DATOS!$A18184="",0,IF(CONFIG_METADATA!$B$4&lt;&gt;"OR+EX",--(DATOS!$G18184=CONFIG_METADATA!$B$4),IF(DATOS!$G18184="EX",1,IF(DATOS!$G18184="OR",--(COUNTIFS(nNIA,DATOS!$A18184,nCURSO,DATOS!$D18184,nESPEC,DATOS!$E18184,nASIG,DATOS!$I18184,nEVAL,"EX")=0),0))))</f>
      </c>
      <c r="H18184">
        <f>IF(DATOS!$G18184&lt;&gt;"EX",0,--(COUNTIFS(nNIA,DATOS!$A18184,nCURSO,DATOS!$D18184,nESPEC,DATOS!$E18184,nASIG,DATOS!$I18184,nEVAL,"OR")=0))</f>
      </c>
      <c r="I18184">
        <f>IF(DATOS!$I18184="","",IFERROR(VLOOKUP(DATOS!$I18184,CONFIG_ASIGNATURAS!$B$2:$J$91,9,FALSE()),""))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IF(DATOS!$A18185="",0,IF(CONFIG_METADATA!$B$4&lt;&gt;"OR+EX",--(DATOS!$G18185=CONFIG_METADATA!$B$4),IF(DATOS!$G18185="EX",1,IF(DATOS!$G18185="OR",--(COUNTIFS(nNIA,DATOS!$A18185,nCURSO,DATOS!$D18185,nESPEC,DATOS!$E18185,nASIG,DATOS!$I18185,nEVAL,"EX")=0),0))))</f>
      </c>
      <c r="H18185">
        <f>IF(DATOS!$G18185&lt;&gt;"EX",0,--(COUNTIFS(nNIA,DATOS!$A18185,nCURSO,DATOS!$D18185,nESPEC,DATOS!$E18185,nASIG,DATOS!$I18185,nEVAL,"OR")=0))</f>
      </c>
      <c r="I18185">
        <f>IF(DATOS!$I18185="","",IFERROR(VLOOKUP(DATOS!$I18185,CONFIG_ASIGNATURAS!$B$2:$J$91,9,FALSE()),""))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IF(DATOS!$A18186="",0,IF(CONFIG_METADATA!$B$4&lt;&gt;"OR+EX",--(DATOS!$G18186=CONFIG_METADATA!$B$4),IF(DATOS!$G18186="EX",1,IF(DATOS!$G18186="OR",--(COUNTIFS(nNIA,DATOS!$A18186,nCURSO,DATOS!$D18186,nESPEC,DATOS!$E18186,nASIG,DATOS!$I18186,nEVAL,"EX")=0),0))))</f>
      </c>
      <c r="H18186">
        <f>IF(DATOS!$G18186&lt;&gt;"EX",0,--(COUNTIFS(nNIA,DATOS!$A18186,nCURSO,DATOS!$D18186,nESPEC,DATOS!$E18186,nASIG,DATOS!$I18186,nEVAL,"OR")=0))</f>
      </c>
      <c r="I18186">
        <f>IF(DATOS!$I18186="","",IFERROR(VLOOKUP(DATOS!$I18186,CONFIG_ASIGNATURAS!$B$2:$J$91,9,FALSE()),""))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IF(DATOS!$A18187="",0,IF(CONFIG_METADATA!$B$4&lt;&gt;"OR+EX",--(DATOS!$G18187=CONFIG_METADATA!$B$4),IF(DATOS!$G18187="EX",1,IF(DATOS!$G18187="OR",--(COUNTIFS(nNIA,DATOS!$A18187,nCURSO,DATOS!$D18187,nESPEC,DATOS!$E18187,nASIG,DATOS!$I18187,nEVAL,"EX")=0),0))))</f>
      </c>
      <c r="H18187">
        <f>IF(DATOS!$G18187&lt;&gt;"EX",0,--(COUNTIFS(nNIA,DATOS!$A18187,nCURSO,DATOS!$D18187,nESPEC,DATOS!$E18187,nASIG,DATOS!$I18187,nEVAL,"OR")=0))</f>
      </c>
      <c r="I18187">
        <f>IF(DATOS!$I18187="","",IFERROR(VLOOKUP(DATOS!$I18187,CONFIG_ASIGNATURAS!$B$2:$J$91,9,FALSE()),""))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IF(DATOS!$A18188="",0,IF(CONFIG_METADATA!$B$4&lt;&gt;"OR+EX",--(DATOS!$G18188=CONFIG_METADATA!$B$4),IF(DATOS!$G18188="EX",1,IF(DATOS!$G18188="OR",--(COUNTIFS(nNIA,DATOS!$A18188,nCURSO,DATOS!$D18188,nESPEC,DATOS!$E18188,nASIG,DATOS!$I18188,nEVAL,"EX")=0),0))))</f>
      </c>
      <c r="H18188">
        <f>IF(DATOS!$G18188&lt;&gt;"EX",0,--(COUNTIFS(nNIA,DATOS!$A18188,nCURSO,DATOS!$D18188,nESPEC,DATOS!$E18188,nASIG,DATOS!$I18188,nEVAL,"OR")=0))</f>
      </c>
      <c r="I18188">
        <f>IF(DATOS!$I18188="","",IFERROR(VLOOKUP(DATOS!$I18188,CONFIG_ASIGNATURAS!$B$2:$J$91,9,FALSE()),""))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IF(DATOS!$A18189="",0,IF(CONFIG_METADATA!$B$4&lt;&gt;"OR+EX",--(DATOS!$G18189=CONFIG_METADATA!$B$4),IF(DATOS!$G18189="EX",1,IF(DATOS!$G18189="OR",--(COUNTIFS(nNIA,DATOS!$A18189,nCURSO,DATOS!$D18189,nESPEC,DATOS!$E18189,nASIG,DATOS!$I18189,nEVAL,"EX")=0),0))))</f>
      </c>
      <c r="H18189">
        <f>IF(DATOS!$G18189&lt;&gt;"EX",0,--(COUNTIFS(nNIA,DATOS!$A18189,nCURSO,DATOS!$D18189,nESPEC,DATOS!$E18189,nASIG,DATOS!$I18189,nEVAL,"OR")=0))</f>
      </c>
      <c r="I18189">
        <f>IF(DATOS!$I18189="","",IFERROR(VLOOKUP(DATOS!$I18189,CONFIG_ASIGNATURAS!$B$2:$J$91,9,FALSE()),""))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IF(DATOS!$A18190="",0,IF(CONFIG_METADATA!$B$4&lt;&gt;"OR+EX",--(DATOS!$G18190=CONFIG_METADATA!$B$4),IF(DATOS!$G18190="EX",1,IF(DATOS!$G18190="OR",--(COUNTIFS(nNIA,DATOS!$A18190,nCURSO,DATOS!$D18190,nESPEC,DATOS!$E18190,nASIG,DATOS!$I18190,nEVAL,"EX")=0),0))))</f>
      </c>
      <c r="H18190">
        <f>IF(DATOS!$G18190&lt;&gt;"EX",0,--(COUNTIFS(nNIA,DATOS!$A18190,nCURSO,DATOS!$D18190,nESPEC,DATOS!$E18190,nASIG,DATOS!$I18190,nEVAL,"OR")=0))</f>
      </c>
      <c r="I18190">
        <f>IF(DATOS!$I18190="","",IFERROR(VLOOKUP(DATOS!$I18190,CONFIG_ASIGNATURAS!$B$2:$J$91,9,FALSE()),""))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IF(DATOS!$A18191="",0,IF(CONFIG_METADATA!$B$4&lt;&gt;"OR+EX",--(DATOS!$G18191=CONFIG_METADATA!$B$4),IF(DATOS!$G18191="EX",1,IF(DATOS!$G18191="OR",--(COUNTIFS(nNIA,DATOS!$A18191,nCURSO,DATOS!$D18191,nESPEC,DATOS!$E18191,nASIG,DATOS!$I18191,nEVAL,"EX")=0),0))))</f>
      </c>
      <c r="H18191">
        <f>IF(DATOS!$G18191&lt;&gt;"EX",0,--(COUNTIFS(nNIA,DATOS!$A18191,nCURSO,DATOS!$D18191,nESPEC,DATOS!$E18191,nASIG,DATOS!$I18191,nEVAL,"OR")=0))</f>
      </c>
      <c r="I18191">
        <f>IF(DATOS!$I18191="","",IFERROR(VLOOKUP(DATOS!$I18191,CONFIG_ASIGNATURAS!$B$2:$J$91,9,FALSE()),""))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IF(DATOS!$A18192="",0,IF(CONFIG_METADATA!$B$4&lt;&gt;"OR+EX",--(DATOS!$G18192=CONFIG_METADATA!$B$4),IF(DATOS!$G18192="EX",1,IF(DATOS!$G18192="OR",--(COUNTIFS(nNIA,DATOS!$A18192,nCURSO,DATOS!$D18192,nESPEC,DATOS!$E18192,nASIG,DATOS!$I18192,nEVAL,"EX")=0),0))))</f>
      </c>
      <c r="H18192">
        <f>IF(DATOS!$G18192&lt;&gt;"EX",0,--(COUNTIFS(nNIA,DATOS!$A18192,nCURSO,DATOS!$D18192,nESPEC,DATOS!$E18192,nASIG,DATOS!$I18192,nEVAL,"OR")=0))</f>
      </c>
      <c r="I18192">
        <f>IF(DATOS!$I18192="","",IFERROR(VLOOKUP(DATOS!$I18192,CONFIG_ASIGNATURAS!$B$2:$J$91,9,FALSE()),""))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IF(DATOS!$A18193="",0,IF(CONFIG_METADATA!$B$4&lt;&gt;"OR+EX",--(DATOS!$G18193=CONFIG_METADATA!$B$4),IF(DATOS!$G18193="EX",1,IF(DATOS!$G18193="OR",--(COUNTIFS(nNIA,DATOS!$A18193,nCURSO,DATOS!$D18193,nESPEC,DATOS!$E18193,nASIG,DATOS!$I18193,nEVAL,"EX")=0),0))))</f>
      </c>
      <c r="H18193">
        <f>IF(DATOS!$G18193&lt;&gt;"EX",0,--(COUNTIFS(nNIA,DATOS!$A18193,nCURSO,DATOS!$D18193,nESPEC,DATOS!$E18193,nASIG,DATOS!$I18193,nEVAL,"OR")=0))</f>
      </c>
      <c r="I18193">
        <f>IF(DATOS!$I18193="","",IFERROR(VLOOKUP(DATOS!$I18193,CONFIG_ASIGNATURAS!$B$2:$J$91,9,FALSE()),""))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IF(DATOS!$A18194="",0,IF(CONFIG_METADATA!$B$4&lt;&gt;"OR+EX",--(DATOS!$G18194=CONFIG_METADATA!$B$4),IF(DATOS!$G18194="EX",1,IF(DATOS!$G18194="OR",--(COUNTIFS(nNIA,DATOS!$A18194,nCURSO,DATOS!$D18194,nESPEC,DATOS!$E18194,nASIG,DATOS!$I18194,nEVAL,"EX")=0),0))))</f>
      </c>
      <c r="H18194">
        <f>IF(DATOS!$G18194&lt;&gt;"EX",0,--(COUNTIFS(nNIA,DATOS!$A18194,nCURSO,DATOS!$D18194,nESPEC,DATOS!$E18194,nASIG,DATOS!$I18194,nEVAL,"OR")=0))</f>
      </c>
      <c r="I18194">
        <f>IF(DATOS!$I18194="","",IFERROR(VLOOKUP(DATOS!$I18194,CONFIG_ASIGNATURAS!$B$2:$J$91,9,FALSE()),""))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IF(DATOS!$A18195="",0,IF(CONFIG_METADATA!$B$4&lt;&gt;"OR+EX",--(DATOS!$G18195=CONFIG_METADATA!$B$4),IF(DATOS!$G18195="EX",1,IF(DATOS!$G18195="OR",--(COUNTIFS(nNIA,DATOS!$A18195,nCURSO,DATOS!$D18195,nESPEC,DATOS!$E18195,nASIG,DATOS!$I18195,nEVAL,"EX")=0),0))))</f>
      </c>
      <c r="H18195">
        <f>IF(DATOS!$G18195&lt;&gt;"EX",0,--(COUNTIFS(nNIA,DATOS!$A18195,nCURSO,DATOS!$D18195,nESPEC,DATOS!$E18195,nASIG,DATOS!$I18195,nEVAL,"OR")=0))</f>
      </c>
      <c r="I18195">
        <f>IF(DATOS!$I18195="","",IFERROR(VLOOKUP(DATOS!$I18195,CONFIG_ASIGNATURAS!$B$2:$J$91,9,FALSE()),""))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IF(DATOS!$A18196="",0,IF(CONFIG_METADATA!$B$4&lt;&gt;"OR+EX",--(DATOS!$G18196=CONFIG_METADATA!$B$4),IF(DATOS!$G18196="EX",1,IF(DATOS!$G18196="OR",--(COUNTIFS(nNIA,DATOS!$A18196,nCURSO,DATOS!$D18196,nESPEC,DATOS!$E18196,nASIG,DATOS!$I18196,nEVAL,"EX")=0),0))))</f>
      </c>
      <c r="H18196">
        <f>IF(DATOS!$G18196&lt;&gt;"EX",0,--(COUNTIFS(nNIA,DATOS!$A18196,nCURSO,DATOS!$D18196,nESPEC,DATOS!$E18196,nASIG,DATOS!$I18196,nEVAL,"OR")=0))</f>
      </c>
      <c r="I18196">
        <f>IF(DATOS!$I18196="","",IFERROR(VLOOKUP(DATOS!$I18196,CONFIG_ASIGNATURAS!$B$2:$J$91,9,FALSE()),""))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IF(DATOS!$A18197="",0,IF(CONFIG_METADATA!$B$4&lt;&gt;"OR+EX",--(DATOS!$G18197=CONFIG_METADATA!$B$4),IF(DATOS!$G18197="EX",1,IF(DATOS!$G18197="OR",--(COUNTIFS(nNIA,DATOS!$A18197,nCURSO,DATOS!$D18197,nESPEC,DATOS!$E18197,nASIG,DATOS!$I18197,nEVAL,"EX")=0),0))))</f>
      </c>
      <c r="H18197">
        <f>IF(DATOS!$G18197&lt;&gt;"EX",0,--(COUNTIFS(nNIA,DATOS!$A18197,nCURSO,DATOS!$D18197,nESPEC,DATOS!$E18197,nASIG,DATOS!$I18197,nEVAL,"OR")=0))</f>
      </c>
      <c r="I18197">
        <f>IF(DATOS!$I18197="","",IFERROR(VLOOKUP(DATOS!$I18197,CONFIG_ASIGNATURAS!$B$2:$J$91,9,FALSE()),""))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IF(DATOS!$A18198="",0,IF(CONFIG_METADATA!$B$4&lt;&gt;"OR+EX",--(DATOS!$G18198=CONFIG_METADATA!$B$4),IF(DATOS!$G18198="EX",1,IF(DATOS!$G18198="OR",--(COUNTIFS(nNIA,DATOS!$A18198,nCURSO,DATOS!$D18198,nESPEC,DATOS!$E18198,nASIG,DATOS!$I18198,nEVAL,"EX")=0),0))))</f>
      </c>
      <c r="H18198">
        <f>IF(DATOS!$G18198&lt;&gt;"EX",0,--(COUNTIFS(nNIA,DATOS!$A18198,nCURSO,DATOS!$D18198,nESPEC,DATOS!$E18198,nASIG,DATOS!$I18198,nEVAL,"OR")=0))</f>
      </c>
      <c r="I18198">
        <f>IF(DATOS!$I18198="","",IFERROR(VLOOKUP(DATOS!$I18198,CONFIG_ASIGNATURAS!$B$2:$J$91,9,FALSE()),""))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IF(DATOS!$A18199="",0,IF(CONFIG_METADATA!$B$4&lt;&gt;"OR+EX",--(DATOS!$G18199=CONFIG_METADATA!$B$4),IF(DATOS!$G18199="EX",1,IF(DATOS!$G18199="OR",--(COUNTIFS(nNIA,DATOS!$A18199,nCURSO,DATOS!$D18199,nESPEC,DATOS!$E18199,nASIG,DATOS!$I18199,nEVAL,"EX")=0),0))))</f>
      </c>
      <c r="H18199">
        <f>IF(DATOS!$G18199&lt;&gt;"EX",0,--(COUNTIFS(nNIA,DATOS!$A18199,nCURSO,DATOS!$D18199,nESPEC,DATOS!$E18199,nASIG,DATOS!$I18199,nEVAL,"OR")=0))</f>
      </c>
      <c r="I18199">
        <f>IF(DATOS!$I18199="","",IFERROR(VLOOKUP(DATOS!$I18199,CONFIG_ASIGNATURAS!$B$2:$J$91,9,FALSE()),""))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IF(DATOS!$A18200="",0,IF(CONFIG_METADATA!$B$4&lt;&gt;"OR+EX",--(DATOS!$G18200=CONFIG_METADATA!$B$4),IF(DATOS!$G18200="EX",1,IF(DATOS!$G18200="OR",--(COUNTIFS(nNIA,DATOS!$A18200,nCURSO,DATOS!$D18200,nESPEC,DATOS!$E18200,nASIG,DATOS!$I18200,nEVAL,"EX")=0),0))))</f>
      </c>
      <c r="H18200">
        <f>IF(DATOS!$G18200&lt;&gt;"EX",0,--(COUNTIFS(nNIA,DATOS!$A18200,nCURSO,DATOS!$D18200,nESPEC,DATOS!$E18200,nASIG,DATOS!$I18200,nEVAL,"OR")=0))</f>
      </c>
      <c r="I18200">
        <f>IF(DATOS!$I18200="","",IFERROR(VLOOKUP(DATOS!$I18200,CONFIG_ASIGNATURAS!$B$2:$J$91,9,FALSE()),""))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IF(DATOS!$A18201="",0,IF(CONFIG_METADATA!$B$4&lt;&gt;"OR+EX",--(DATOS!$G18201=CONFIG_METADATA!$B$4),IF(DATOS!$G18201="EX",1,IF(DATOS!$G18201="OR",--(COUNTIFS(nNIA,DATOS!$A18201,nCURSO,DATOS!$D18201,nESPEC,DATOS!$E18201,nASIG,DATOS!$I18201,nEVAL,"EX")=0),0))))</f>
      </c>
      <c r="H18201">
        <f>IF(DATOS!$G18201&lt;&gt;"EX",0,--(COUNTIFS(nNIA,DATOS!$A18201,nCURSO,DATOS!$D18201,nESPEC,DATOS!$E18201,nASIG,DATOS!$I18201,nEVAL,"OR")=0))</f>
      </c>
      <c r="I18201">
        <f>IF(DATOS!$I18201="","",IFERROR(VLOOKUP(DATOS!$I18201,CONFIG_ASIGNATURAS!$B$2:$J$91,9,FALSE()),""))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IF(DATOS!$A18202="",0,IF(CONFIG_METADATA!$B$4&lt;&gt;"OR+EX",--(DATOS!$G18202=CONFIG_METADATA!$B$4),IF(DATOS!$G18202="EX",1,IF(DATOS!$G18202="OR",--(COUNTIFS(nNIA,DATOS!$A18202,nCURSO,DATOS!$D18202,nESPEC,DATOS!$E18202,nASIG,DATOS!$I18202,nEVAL,"EX")=0),0))))</f>
      </c>
      <c r="H18202">
        <f>IF(DATOS!$G18202&lt;&gt;"EX",0,--(COUNTIFS(nNIA,DATOS!$A18202,nCURSO,DATOS!$D18202,nESPEC,DATOS!$E18202,nASIG,DATOS!$I18202,nEVAL,"OR")=0))</f>
      </c>
      <c r="I18202">
        <f>IF(DATOS!$I18202="","",IFERROR(VLOOKUP(DATOS!$I18202,CONFIG_ASIGNATURAS!$B$2:$J$91,9,FALSE()),""))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IF(DATOS!$A18203="",0,IF(CONFIG_METADATA!$B$4&lt;&gt;"OR+EX",--(DATOS!$G18203=CONFIG_METADATA!$B$4),IF(DATOS!$G18203="EX",1,IF(DATOS!$G18203="OR",--(COUNTIFS(nNIA,DATOS!$A18203,nCURSO,DATOS!$D18203,nESPEC,DATOS!$E18203,nASIG,DATOS!$I18203,nEVAL,"EX")=0),0))))</f>
      </c>
      <c r="H18203">
        <f>IF(DATOS!$G18203&lt;&gt;"EX",0,--(COUNTIFS(nNIA,DATOS!$A18203,nCURSO,DATOS!$D18203,nESPEC,DATOS!$E18203,nASIG,DATOS!$I18203,nEVAL,"OR")=0))</f>
      </c>
      <c r="I18203">
        <f>IF(DATOS!$I18203="","",IFERROR(VLOOKUP(DATOS!$I18203,CONFIG_ASIGNATURAS!$B$2:$J$91,9,FALSE()),""))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IF(DATOS!$A18204="",0,IF(CONFIG_METADATA!$B$4&lt;&gt;"OR+EX",--(DATOS!$G18204=CONFIG_METADATA!$B$4),IF(DATOS!$G18204="EX",1,IF(DATOS!$G18204="OR",--(COUNTIFS(nNIA,DATOS!$A18204,nCURSO,DATOS!$D18204,nESPEC,DATOS!$E18204,nASIG,DATOS!$I18204,nEVAL,"EX")=0),0))))</f>
      </c>
      <c r="H18204">
        <f>IF(DATOS!$G18204&lt;&gt;"EX",0,--(COUNTIFS(nNIA,DATOS!$A18204,nCURSO,DATOS!$D18204,nESPEC,DATOS!$E18204,nASIG,DATOS!$I18204,nEVAL,"OR")=0))</f>
      </c>
      <c r="I18204">
        <f>IF(DATOS!$I18204="","",IFERROR(VLOOKUP(DATOS!$I18204,CONFIG_ASIGNATURAS!$B$2:$J$91,9,FALSE()),""))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IF(DATOS!$A18205="",0,IF(CONFIG_METADATA!$B$4&lt;&gt;"OR+EX",--(DATOS!$G18205=CONFIG_METADATA!$B$4),IF(DATOS!$G18205="EX",1,IF(DATOS!$G18205="OR",--(COUNTIFS(nNIA,DATOS!$A18205,nCURSO,DATOS!$D18205,nESPEC,DATOS!$E18205,nASIG,DATOS!$I18205,nEVAL,"EX")=0),0))))</f>
      </c>
      <c r="H18205">
        <f>IF(DATOS!$G18205&lt;&gt;"EX",0,--(COUNTIFS(nNIA,DATOS!$A18205,nCURSO,DATOS!$D18205,nESPEC,DATOS!$E18205,nASIG,DATOS!$I18205,nEVAL,"OR")=0))</f>
      </c>
      <c r="I18205">
        <f>IF(DATOS!$I18205="","",IFERROR(VLOOKUP(DATOS!$I18205,CONFIG_ASIGNATURAS!$B$2:$J$91,9,FALSE()),""))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IF(DATOS!$A18206="",0,IF(CONFIG_METADATA!$B$4&lt;&gt;"OR+EX",--(DATOS!$G18206=CONFIG_METADATA!$B$4),IF(DATOS!$G18206="EX",1,IF(DATOS!$G18206="OR",--(COUNTIFS(nNIA,DATOS!$A18206,nCURSO,DATOS!$D18206,nESPEC,DATOS!$E18206,nASIG,DATOS!$I18206,nEVAL,"EX")=0),0))))</f>
      </c>
      <c r="H18206">
        <f>IF(DATOS!$G18206&lt;&gt;"EX",0,--(COUNTIFS(nNIA,DATOS!$A18206,nCURSO,DATOS!$D18206,nESPEC,DATOS!$E18206,nASIG,DATOS!$I18206,nEVAL,"OR")=0))</f>
      </c>
      <c r="I18206">
        <f>IF(DATOS!$I18206="","",IFERROR(VLOOKUP(DATOS!$I18206,CONFIG_ASIGNATURAS!$B$2:$J$91,9,FALSE()),""))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IF(DATOS!$A18207="",0,IF(CONFIG_METADATA!$B$4&lt;&gt;"OR+EX",--(DATOS!$G18207=CONFIG_METADATA!$B$4),IF(DATOS!$G18207="EX",1,IF(DATOS!$G18207="OR",--(COUNTIFS(nNIA,DATOS!$A18207,nCURSO,DATOS!$D18207,nESPEC,DATOS!$E18207,nASIG,DATOS!$I18207,nEVAL,"EX")=0),0))))</f>
      </c>
      <c r="H18207">
        <f>IF(DATOS!$G18207&lt;&gt;"EX",0,--(COUNTIFS(nNIA,DATOS!$A18207,nCURSO,DATOS!$D18207,nESPEC,DATOS!$E18207,nASIG,DATOS!$I18207,nEVAL,"OR")=0))</f>
      </c>
      <c r="I18207">
        <f>IF(DATOS!$I18207="","",IFERROR(VLOOKUP(DATOS!$I18207,CONFIG_ASIGNATURAS!$B$2:$J$91,9,FALSE()),""))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IF(DATOS!$A18208="",0,IF(CONFIG_METADATA!$B$4&lt;&gt;"OR+EX",--(DATOS!$G18208=CONFIG_METADATA!$B$4),IF(DATOS!$G18208="EX",1,IF(DATOS!$G18208="OR",--(COUNTIFS(nNIA,DATOS!$A18208,nCURSO,DATOS!$D18208,nESPEC,DATOS!$E18208,nASIG,DATOS!$I18208,nEVAL,"EX")=0),0))))</f>
      </c>
      <c r="H18208">
        <f>IF(DATOS!$G18208&lt;&gt;"EX",0,--(COUNTIFS(nNIA,DATOS!$A18208,nCURSO,DATOS!$D18208,nESPEC,DATOS!$E18208,nASIG,DATOS!$I18208,nEVAL,"OR")=0))</f>
      </c>
      <c r="I18208">
        <f>IF(DATOS!$I18208="","",IFERROR(VLOOKUP(DATOS!$I18208,CONFIG_ASIGNATURAS!$B$2:$J$91,9,FALSE()),""))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IF(DATOS!$A18209="",0,IF(CONFIG_METADATA!$B$4&lt;&gt;"OR+EX",--(DATOS!$G18209=CONFIG_METADATA!$B$4),IF(DATOS!$G18209="EX",1,IF(DATOS!$G18209="OR",--(COUNTIFS(nNIA,DATOS!$A18209,nCURSO,DATOS!$D18209,nESPEC,DATOS!$E18209,nASIG,DATOS!$I18209,nEVAL,"EX")=0),0))))</f>
      </c>
      <c r="H18209">
        <f>IF(DATOS!$G18209&lt;&gt;"EX",0,--(COUNTIFS(nNIA,DATOS!$A18209,nCURSO,DATOS!$D18209,nESPEC,DATOS!$E18209,nASIG,DATOS!$I18209,nEVAL,"OR")=0))</f>
      </c>
      <c r="I18209">
        <f>IF(DATOS!$I18209="","",IFERROR(VLOOKUP(DATOS!$I18209,CONFIG_ASIGNATURAS!$B$2:$J$91,9,FALSE()),""))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IF(DATOS!$A18210="",0,IF(CONFIG_METADATA!$B$4&lt;&gt;"OR+EX",--(DATOS!$G18210=CONFIG_METADATA!$B$4),IF(DATOS!$G18210="EX",1,IF(DATOS!$G18210="OR",--(COUNTIFS(nNIA,DATOS!$A18210,nCURSO,DATOS!$D18210,nESPEC,DATOS!$E18210,nASIG,DATOS!$I18210,nEVAL,"EX")=0),0))))</f>
      </c>
      <c r="H18210">
        <f>IF(DATOS!$G18210&lt;&gt;"EX",0,--(COUNTIFS(nNIA,DATOS!$A18210,nCURSO,DATOS!$D18210,nESPEC,DATOS!$E18210,nASIG,DATOS!$I18210,nEVAL,"OR")=0))</f>
      </c>
      <c r="I18210">
        <f>IF(DATOS!$I18210="","",IFERROR(VLOOKUP(DATOS!$I18210,CONFIG_ASIGNATURAS!$B$2:$J$91,9,FALSE()),""))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IF(DATOS!$A18211="",0,IF(CONFIG_METADATA!$B$4&lt;&gt;"OR+EX",--(DATOS!$G18211=CONFIG_METADATA!$B$4),IF(DATOS!$G18211="EX",1,IF(DATOS!$G18211="OR",--(COUNTIFS(nNIA,DATOS!$A18211,nCURSO,DATOS!$D18211,nESPEC,DATOS!$E18211,nASIG,DATOS!$I18211,nEVAL,"EX")=0),0))))</f>
      </c>
      <c r="H18211">
        <f>IF(DATOS!$G18211&lt;&gt;"EX",0,--(COUNTIFS(nNIA,DATOS!$A18211,nCURSO,DATOS!$D18211,nESPEC,DATOS!$E18211,nASIG,DATOS!$I18211,nEVAL,"OR")=0))</f>
      </c>
      <c r="I18211">
        <f>IF(DATOS!$I18211="","",IFERROR(VLOOKUP(DATOS!$I18211,CONFIG_ASIGNATURAS!$B$2:$J$91,9,FALSE()),""))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IF(DATOS!$A18212="",0,IF(CONFIG_METADATA!$B$4&lt;&gt;"OR+EX",--(DATOS!$G18212=CONFIG_METADATA!$B$4),IF(DATOS!$G18212="EX",1,IF(DATOS!$G18212="OR",--(COUNTIFS(nNIA,DATOS!$A18212,nCURSO,DATOS!$D18212,nESPEC,DATOS!$E18212,nASIG,DATOS!$I18212,nEVAL,"EX")=0),0))))</f>
      </c>
      <c r="H18212">
        <f>IF(DATOS!$G18212&lt;&gt;"EX",0,--(COUNTIFS(nNIA,DATOS!$A18212,nCURSO,DATOS!$D18212,nESPEC,DATOS!$E18212,nASIG,DATOS!$I18212,nEVAL,"OR")=0))</f>
      </c>
      <c r="I18212">
        <f>IF(DATOS!$I18212="","",IFERROR(VLOOKUP(DATOS!$I18212,CONFIG_ASIGNATURAS!$B$2:$J$91,9,FALSE()),""))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IF(DATOS!$A18213="",0,IF(CONFIG_METADATA!$B$4&lt;&gt;"OR+EX",--(DATOS!$G18213=CONFIG_METADATA!$B$4),IF(DATOS!$G18213="EX",1,IF(DATOS!$G18213="OR",--(COUNTIFS(nNIA,DATOS!$A18213,nCURSO,DATOS!$D18213,nESPEC,DATOS!$E18213,nASIG,DATOS!$I18213,nEVAL,"EX")=0),0))))</f>
      </c>
      <c r="H18213">
        <f>IF(DATOS!$G18213&lt;&gt;"EX",0,--(COUNTIFS(nNIA,DATOS!$A18213,nCURSO,DATOS!$D18213,nESPEC,DATOS!$E18213,nASIG,DATOS!$I18213,nEVAL,"OR")=0))</f>
      </c>
      <c r="I18213">
        <f>IF(DATOS!$I18213="","",IFERROR(VLOOKUP(DATOS!$I18213,CONFIG_ASIGNATURAS!$B$2:$J$91,9,FALSE()),""))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IF(DATOS!$A18214="",0,IF(CONFIG_METADATA!$B$4&lt;&gt;"OR+EX",--(DATOS!$G18214=CONFIG_METADATA!$B$4),IF(DATOS!$G18214="EX",1,IF(DATOS!$G18214="OR",--(COUNTIFS(nNIA,DATOS!$A18214,nCURSO,DATOS!$D18214,nESPEC,DATOS!$E18214,nASIG,DATOS!$I18214,nEVAL,"EX")=0),0))))</f>
      </c>
      <c r="H18214">
        <f>IF(DATOS!$G18214&lt;&gt;"EX",0,--(COUNTIFS(nNIA,DATOS!$A18214,nCURSO,DATOS!$D18214,nESPEC,DATOS!$E18214,nASIG,DATOS!$I18214,nEVAL,"OR")=0))</f>
      </c>
      <c r="I18214">
        <f>IF(DATOS!$I18214="","",IFERROR(VLOOKUP(DATOS!$I18214,CONFIG_ASIGNATURAS!$B$2:$J$91,9,FALSE()),""))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IF(DATOS!$A18215="",0,IF(CONFIG_METADATA!$B$4&lt;&gt;"OR+EX",--(DATOS!$G18215=CONFIG_METADATA!$B$4),IF(DATOS!$G18215="EX",1,IF(DATOS!$G18215="OR",--(COUNTIFS(nNIA,DATOS!$A18215,nCURSO,DATOS!$D18215,nESPEC,DATOS!$E18215,nASIG,DATOS!$I18215,nEVAL,"EX")=0),0))))</f>
      </c>
      <c r="H18215">
        <f>IF(DATOS!$G18215&lt;&gt;"EX",0,--(COUNTIFS(nNIA,DATOS!$A18215,nCURSO,DATOS!$D18215,nESPEC,DATOS!$E18215,nASIG,DATOS!$I18215,nEVAL,"OR")=0))</f>
      </c>
      <c r="I18215">
        <f>IF(DATOS!$I18215="","",IFERROR(VLOOKUP(DATOS!$I18215,CONFIG_ASIGNATURAS!$B$2:$J$91,9,FALSE()),""))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IF(DATOS!$A18216="",0,IF(CONFIG_METADATA!$B$4&lt;&gt;"OR+EX",--(DATOS!$G18216=CONFIG_METADATA!$B$4),IF(DATOS!$G18216="EX",1,IF(DATOS!$G18216="OR",--(COUNTIFS(nNIA,DATOS!$A18216,nCURSO,DATOS!$D18216,nESPEC,DATOS!$E18216,nASIG,DATOS!$I18216,nEVAL,"EX")=0),0))))</f>
      </c>
      <c r="H18216">
        <f>IF(DATOS!$G18216&lt;&gt;"EX",0,--(COUNTIFS(nNIA,DATOS!$A18216,nCURSO,DATOS!$D18216,nESPEC,DATOS!$E18216,nASIG,DATOS!$I18216,nEVAL,"OR")=0))</f>
      </c>
      <c r="I18216">
        <f>IF(DATOS!$I18216="","",IFERROR(VLOOKUP(DATOS!$I18216,CONFIG_ASIGNATURAS!$B$2:$J$91,9,FALSE()),""))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IF(DATOS!$A18217="",0,IF(CONFIG_METADATA!$B$4&lt;&gt;"OR+EX",--(DATOS!$G18217=CONFIG_METADATA!$B$4),IF(DATOS!$G18217="EX",1,IF(DATOS!$G18217="OR",--(COUNTIFS(nNIA,DATOS!$A18217,nCURSO,DATOS!$D18217,nESPEC,DATOS!$E18217,nASIG,DATOS!$I18217,nEVAL,"EX")=0),0))))</f>
      </c>
      <c r="H18217">
        <f>IF(DATOS!$G18217&lt;&gt;"EX",0,--(COUNTIFS(nNIA,DATOS!$A18217,nCURSO,DATOS!$D18217,nESPEC,DATOS!$E18217,nASIG,DATOS!$I18217,nEVAL,"OR")=0))</f>
      </c>
      <c r="I18217">
        <f>IF(DATOS!$I18217="","",IFERROR(VLOOKUP(DATOS!$I18217,CONFIG_ASIGNATURAS!$B$2:$J$91,9,FALSE()),""))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IF(DATOS!$A18218="",0,IF(CONFIG_METADATA!$B$4&lt;&gt;"OR+EX",--(DATOS!$G18218=CONFIG_METADATA!$B$4),IF(DATOS!$G18218="EX",1,IF(DATOS!$G18218="OR",--(COUNTIFS(nNIA,DATOS!$A18218,nCURSO,DATOS!$D18218,nESPEC,DATOS!$E18218,nASIG,DATOS!$I18218,nEVAL,"EX")=0),0))))</f>
      </c>
      <c r="H18218">
        <f>IF(DATOS!$G18218&lt;&gt;"EX",0,--(COUNTIFS(nNIA,DATOS!$A18218,nCURSO,DATOS!$D18218,nESPEC,DATOS!$E18218,nASIG,DATOS!$I18218,nEVAL,"OR")=0))</f>
      </c>
      <c r="I18218">
        <f>IF(DATOS!$I18218="","",IFERROR(VLOOKUP(DATOS!$I18218,CONFIG_ASIGNATURAS!$B$2:$J$91,9,FALSE()),""))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IF(DATOS!$A18219="",0,IF(CONFIG_METADATA!$B$4&lt;&gt;"OR+EX",--(DATOS!$G18219=CONFIG_METADATA!$B$4),IF(DATOS!$G18219="EX",1,IF(DATOS!$G18219="OR",--(COUNTIFS(nNIA,DATOS!$A18219,nCURSO,DATOS!$D18219,nESPEC,DATOS!$E18219,nASIG,DATOS!$I18219,nEVAL,"EX")=0),0))))</f>
      </c>
      <c r="H18219">
        <f>IF(DATOS!$G18219&lt;&gt;"EX",0,--(COUNTIFS(nNIA,DATOS!$A18219,nCURSO,DATOS!$D18219,nESPEC,DATOS!$E18219,nASIG,DATOS!$I18219,nEVAL,"OR")=0))</f>
      </c>
      <c r="I18219">
        <f>IF(DATOS!$I18219="","",IFERROR(VLOOKUP(DATOS!$I18219,CONFIG_ASIGNATURAS!$B$2:$J$91,9,FALSE()),""))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IF(DATOS!$A18220="",0,IF(CONFIG_METADATA!$B$4&lt;&gt;"OR+EX",--(DATOS!$G18220=CONFIG_METADATA!$B$4),IF(DATOS!$G18220="EX",1,IF(DATOS!$G18220="OR",--(COUNTIFS(nNIA,DATOS!$A18220,nCURSO,DATOS!$D18220,nESPEC,DATOS!$E18220,nASIG,DATOS!$I18220,nEVAL,"EX")=0),0))))</f>
      </c>
      <c r="H18220">
        <f>IF(DATOS!$G18220&lt;&gt;"EX",0,--(COUNTIFS(nNIA,DATOS!$A18220,nCURSO,DATOS!$D18220,nESPEC,DATOS!$E18220,nASIG,DATOS!$I18220,nEVAL,"OR")=0))</f>
      </c>
      <c r="I18220">
        <f>IF(DATOS!$I18220="","",IFERROR(VLOOKUP(DATOS!$I18220,CONFIG_ASIGNATURAS!$B$2:$J$91,9,FALSE()),""))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IF(DATOS!$A18221="",0,IF(CONFIG_METADATA!$B$4&lt;&gt;"OR+EX",--(DATOS!$G18221=CONFIG_METADATA!$B$4),IF(DATOS!$G18221="EX",1,IF(DATOS!$G18221="OR",--(COUNTIFS(nNIA,DATOS!$A18221,nCURSO,DATOS!$D18221,nESPEC,DATOS!$E18221,nASIG,DATOS!$I18221,nEVAL,"EX")=0),0))))</f>
      </c>
      <c r="H18221">
        <f>IF(DATOS!$G18221&lt;&gt;"EX",0,--(COUNTIFS(nNIA,DATOS!$A18221,nCURSO,DATOS!$D18221,nESPEC,DATOS!$E18221,nASIG,DATOS!$I18221,nEVAL,"OR")=0))</f>
      </c>
      <c r="I18221">
        <f>IF(DATOS!$I18221="","",IFERROR(VLOOKUP(DATOS!$I18221,CONFIG_ASIGNATURAS!$B$2:$J$91,9,FALSE()),""))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IF(DATOS!$A18222="",0,IF(CONFIG_METADATA!$B$4&lt;&gt;"OR+EX",--(DATOS!$G18222=CONFIG_METADATA!$B$4),IF(DATOS!$G18222="EX",1,IF(DATOS!$G18222="OR",--(COUNTIFS(nNIA,DATOS!$A18222,nCURSO,DATOS!$D18222,nESPEC,DATOS!$E18222,nASIG,DATOS!$I18222,nEVAL,"EX")=0),0))))</f>
      </c>
      <c r="H18222">
        <f>IF(DATOS!$G18222&lt;&gt;"EX",0,--(COUNTIFS(nNIA,DATOS!$A18222,nCURSO,DATOS!$D18222,nESPEC,DATOS!$E18222,nASIG,DATOS!$I18222,nEVAL,"OR")=0))</f>
      </c>
      <c r="I18222">
        <f>IF(DATOS!$I18222="","",IFERROR(VLOOKUP(DATOS!$I18222,CONFIG_ASIGNATURAS!$B$2:$J$91,9,FALSE()),""))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IF(DATOS!$A18223="",0,IF(CONFIG_METADATA!$B$4&lt;&gt;"OR+EX",--(DATOS!$G18223=CONFIG_METADATA!$B$4),IF(DATOS!$G18223="EX",1,IF(DATOS!$G18223="OR",--(COUNTIFS(nNIA,DATOS!$A18223,nCURSO,DATOS!$D18223,nESPEC,DATOS!$E18223,nASIG,DATOS!$I18223,nEVAL,"EX")=0),0))))</f>
      </c>
      <c r="H18223">
        <f>IF(DATOS!$G18223&lt;&gt;"EX",0,--(COUNTIFS(nNIA,DATOS!$A18223,nCURSO,DATOS!$D18223,nESPEC,DATOS!$E18223,nASIG,DATOS!$I18223,nEVAL,"OR")=0))</f>
      </c>
      <c r="I18223">
        <f>IF(DATOS!$I18223="","",IFERROR(VLOOKUP(DATOS!$I18223,CONFIG_ASIGNATURAS!$B$2:$J$91,9,FALSE()),""))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IF(DATOS!$A18224="",0,IF(CONFIG_METADATA!$B$4&lt;&gt;"OR+EX",--(DATOS!$G18224=CONFIG_METADATA!$B$4),IF(DATOS!$G18224="EX",1,IF(DATOS!$G18224="OR",--(COUNTIFS(nNIA,DATOS!$A18224,nCURSO,DATOS!$D18224,nESPEC,DATOS!$E18224,nASIG,DATOS!$I18224,nEVAL,"EX")=0),0))))</f>
      </c>
      <c r="H18224">
        <f>IF(DATOS!$G18224&lt;&gt;"EX",0,--(COUNTIFS(nNIA,DATOS!$A18224,nCURSO,DATOS!$D18224,nESPEC,DATOS!$E18224,nASIG,DATOS!$I18224,nEVAL,"OR")=0))</f>
      </c>
      <c r="I18224">
        <f>IF(DATOS!$I18224="","",IFERROR(VLOOKUP(DATOS!$I18224,CONFIG_ASIGNATURAS!$B$2:$J$91,9,FALSE()),""))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IF(DATOS!$A18225="",0,IF(CONFIG_METADATA!$B$4&lt;&gt;"OR+EX",--(DATOS!$G18225=CONFIG_METADATA!$B$4),IF(DATOS!$G18225="EX",1,IF(DATOS!$G18225="OR",--(COUNTIFS(nNIA,DATOS!$A18225,nCURSO,DATOS!$D18225,nESPEC,DATOS!$E18225,nASIG,DATOS!$I18225,nEVAL,"EX")=0),0))))</f>
      </c>
      <c r="H18225">
        <f>IF(DATOS!$G18225&lt;&gt;"EX",0,--(COUNTIFS(nNIA,DATOS!$A18225,nCURSO,DATOS!$D18225,nESPEC,DATOS!$E18225,nASIG,DATOS!$I18225,nEVAL,"OR")=0))</f>
      </c>
      <c r="I18225">
        <f>IF(DATOS!$I18225="","",IFERROR(VLOOKUP(DATOS!$I18225,CONFIG_ASIGNATURAS!$B$2:$J$91,9,FALSE()),""))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IF(DATOS!$A18226="",0,IF(CONFIG_METADATA!$B$4&lt;&gt;"OR+EX",--(DATOS!$G18226=CONFIG_METADATA!$B$4),IF(DATOS!$G18226="EX",1,IF(DATOS!$G18226="OR",--(COUNTIFS(nNIA,DATOS!$A18226,nCURSO,DATOS!$D18226,nESPEC,DATOS!$E18226,nASIG,DATOS!$I18226,nEVAL,"EX")=0),0))))</f>
      </c>
      <c r="H18226">
        <f>IF(DATOS!$G18226&lt;&gt;"EX",0,--(COUNTIFS(nNIA,DATOS!$A18226,nCURSO,DATOS!$D18226,nESPEC,DATOS!$E18226,nASIG,DATOS!$I18226,nEVAL,"OR")=0))</f>
      </c>
      <c r="I18226">
        <f>IF(DATOS!$I18226="","",IFERROR(VLOOKUP(DATOS!$I18226,CONFIG_ASIGNATURAS!$B$2:$J$91,9,FALSE()),""))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IF(DATOS!$A18227="",0,IF(CONFIG_METADATA!$B$4&lt;&gt;"OR+EX",--(DATOS!$G18227=CONFIG_METADATA!$B$4),IF(DATOS!$G18227="EX",1,IF(DATOS!$G18227="OR",--(COUNTIFS(nNIA,DATOS!$A18227,nCURSO,DATOS!$D18227,nESPEC,DATOS!$E18227,nASIG,DATOS!$I18227,nEVAL,"EX")=0),0))))</f>
      </c>
      <c r="H18227">
        <f>IF(DATOS!$G18227&lt;&gt;"EX",0,--(COUNTIFS(nNIA,DATOS!$A18227,nCURSO,DATOS!$D18227,nESPEC,DATOS!$E18227,nASIG,DATOS!$I18227,nEVAL,"OR")=0))</f>
      </c>
      <c r="I18227">
        <f>IF(DATOS!$I18227="","",IFERROR(VLOOKUP(DATOS!$I18227,CONFIG_ASIGNATURAS!$B$2:$J$91,9,FALSE()),""))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IF(DATOS!$A18228="",0,IF(CONFIG_METADATA!$B$4&lt;&gt;"OR+EX",--(DATOS!$G18228=CONFIG_METADATA!$B$4),IF(DATOS!$G18228="EX",1,IF(DATOS!$G18228="OR",--(COUNTIFS(nNIA,DATOS!$A18228,nCURSO,DATOS!$D18228,nESPEC,DATOS!$E18228,nASIG,DATOS!$I18228,nEVAL,"EX")=0),0))))</f>
      </c>
      <c r="H18228">
        <f>IF(DATOS!$G18228&lt;&gt;"EX",0,--(COUNTIFS(nNIA,DATOS!$A18228,nCURSO,DATOS!$D18228,nESPEC,DATOS!$E18228,nASIG,DATOS!$I18228,nEVAL,"OR")=0))</f>
      </c>
      <c r="I18228">
        <f>IF(DATOS!$I18228="","",IFERROR(VLOOKUP(DATOS!$I18228,CONFIG_ASIGNATURAS!$B$2:$J$91,9,FALSE()),""))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IF(DATOS!$A18229="",0,IF(CONFIG_METADATA!$B$4&lt;&gt;"OR+EX",--(DATOS!$G18229=CONFIG_METADATA!$B$4),IF(DATOS!$G18229="EX",1,IF(DATOS!$G18229="OR",--(COUNTIFS(nNIA,DATOS!$A18229,nCURSO,DATOS!$D18229,nESPEC,DATOS!$E18229,nASIG,DATOS!$I18229,nEVAL,"EX")=0),0))))</f>
      </c>
      <c r="H18229">
        <f>IF(DATOS!$G18229&lt;&gt;"EX",0,--(COUNTIFS(nNIA,DATOS!$A18229,nCURSO,DATOS!$D18229,nESPEC,DATOS!$E18229,nASIG,DATOS!$I18229,nEVAL,"OR")=0))</f>
      </c>
      <c r="I18229">
        <f>IF(DATOS!$I18229="","",IFERROR(VLOOKUP(DATOS!$I18229,CONFIG_ASIGNATURAS!$B$2:$J$91,9,FALSE()),""))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IF(DATOS!$A18230="",0,IF(CONFIG_METADATA!$B$4&lt;&gt;"OR+EX",--(DATOS!$G18230=CONFIG_METADATA!$B$4),IF(DATOS!$G18230="EX",1,IF(DATOS!$G18230="OR",--(COUNTIFS(nNIA,DATOS!$A18230,nCURSO,DATOS!$D18230,nESPEC,DATOS!$E18230,nASIG,DATOS!$I18230,nEVAL,"EX")=0),0))))</f>
      </c>
      <c r="H18230">
        <f>IF(DATOS!$G18230&lt;&gt;"EX",0,--(COUNTIFS(nNIA,DATOS!$A18230,nCURSO,DATOS!$D18230,nESPEC,DATOS!$E18230,nASIG,DATOS!$I18230,nEVAL,"OR")=0))</f>
      </c>
      <c r="I18230">
        <f>IF(DATOS!$I18230="","",IFERROR(VLOOKUP(DATOS!$I18230,CONFIG_ASIGNATURAS!$B$2:$J$91,9,FALSE()),""))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IF(DATOS!$A18231="",0,IF(CONFIG_METADATA!$B$4&lt;&gt;"OR+EX",--(DATOS!$G18231=CONFIG_METADATA!$B$4),IF(DATOS!$G18231="EX",1,IF(DATOS!$G18231="OR",--(COUNTIFS(nNIA,DATOS!$A18231,nCURSO,DATOS!$D18231,nESPEC,DATOS!$E18231,nASIG,DATOS!$I18231,nEVAL,"EX")=0),0))))</f>
      </c>
      <c r="H18231">
        <f>IF(DATOS!$G18231&lt;&gt;"EX",0,--(COUNTIFS(nNIA,DATOS!$A18231,nCURSO,DATOS!$D18231,nESPEC,DATOS!$E18231,nASIG,DATOS!$I18231,nEVAL,"OR")=0))</f>
      </c>
      <c r="I18231">
        <f>IF(DATOS!$I18231="","",IFERROR(VLOOKUP(DATOS!$I18231,CONFIG_ASIGNATURAS!$B$2:$J$91,9,FALSE()),""))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IF(DATOS!$A18232="",0,IF(CONFIG_METADATA!$B$4&lt;&gt;"OR+EX",--(DATOS!$G18232=CONFIG_METADATA!$B$4),IF(DATOS!$G18232="EX",1,IF(DATOS!$G18232="OR",--(COUNTIFS(nNIA,DATOS!$A18232,nCURSO,DATOS!$D18232,nESPEC,DATOS!$E18232,nASIG,DATOS!$I18232,nEVAL,"EX")=0),0))))</f>
      </c>
      <c r="H18232">
        <f>IF(DATOS!$G18232&lt;&gt;"EX",0,--(COUNTIFS(nNIA,DATOS!$A18232,nCURSO,DATOS!$D18232,nESPEC,DATOS!$E18232,nASIG,DATOS!$I18232,nEVAL,"OR")=0))</f>
      </c>
      <c r="I18232">
        <f>IF(DATOS!$I18232="","",IFERROR(VLOOKUP(DATOS!$I18232,CONFIG_ASIGNATURAS!$B$2:$J$91,9,FALSE()),""))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IF(DATOS!$A18233="",0,IF(CONFIG_METADATA!$B$4&lt;&gt;"OR+EX",--(DATOS!$G18233=CONFIG_METADATA!$B$4),IF(DATOS!$G18233="EX",1,IF(DATOS!$G18233="OR",--(COUNTIFS(nNIA,DATOS!$A18233,nCURSO,DATOS!$D18233,nESPEC,DATOS!$E18233,nASIG,DATOS!$I18233,nEVAL,"EX")=0),0))))</f>
      </c>
      <c r="H18233">
        <f>IF(DATOS!$G18233&lt;&gt;"EX",0,--(COUNTIFS(nNIA,DATOS!$A18233,nCURSO,DATOS!$D18233,nESPEC,DATOS!$E18233,nASIG,DATOS!$I18233,nEVAL,"OR")=0))</f>
      </c>
      <c r="I18233">
        <f>IF(DATOS!$I18233="","",IFERROR(VLOOKUP(DATOS!$I18233,CONFIG_ASIGNATURAS!$B$2:$J$91,9,FALSE()),""))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IF(DATOS!$A18234="",0,IF(CONFIG_METADATA!$B$4&lt;&gt;"OR+EX",--(DATOS!$G18234=CONFIG_METADATA!$B$4),IF(DATOS!$G18234="EX",1,IF(DATOS!$G18234="OR",--(COUNTIFS(nNIA,DATOS!$A18234,nCURSO,DATOS!$D18234,nESPEC,DATOS!$E18234,nASIG,DATOS!$I18234,nEVAL,"EX")=0),0))))</f>
      </c>
      <c r="H18234">
        <f>IF(DATOS!$G18234&lt;&gt;"EX",0,--(COUNTIFS(nNIA,DATOS!$A18234,nCURSO,DATOS!$D18234,nESPEC,DATOS!$E18234,nASIG,DATOS!$I18234,nEVAL,"OR")=0))</f>
      </c>
      <c r="I18234">
        <f>IF(DATOS!$I18234="","",IFERROR(VLOOKUP(DATOS!$I18234,CONFIG_ASIGNATURAS!$B$2:$J$91,9,FALSE()),""))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IF(DATOS!$A18235="",0,IF(CONFIG_METADATA!$B$4&lt;&gt;"OR+EX",--(DATOS!$G18235=CONFIG_METADATA!$B$4),IF(DATOS!$G18235="EX",1,IF(DATOS!$G18235="OR",--(COUNTIFS(nNIA,DATOS!$A18235,nCURSO,DATOS!$D18235,nESPEC,DATOS!$E18235,nASIG,DATOS!$I18235,nEVAL,"EX")=0),0))))</f>
      </c>
      <c r="H18235">
        <f>IF(DATOS!$G18235&lt;&gt;"EX",0,--(COUNTIFS(nNIA,DATOS!$A18235,nCURSO,DATOS!$D18235,nESPEC,DATOS!$E18235,nASIG,DATOS!$I18235,nEVAL,"OR")=0))</f>
      </c>
      <c r="I18235">
        <f>IF(DATOS!$I18235="","",IFERROR(VLOOKUP(DATOS!$I18235,CONFIG_ASIGNATURAS!$B$2:$J$91,9,FALSE()),""))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IF(DATOS!$A18236="",0,IF(CONFIG_METADATA!$B$4&lt;&gt;"OR+EX",--(DATOS!$G18236=CONFIG_METADATA!$B$4),IF(DATOS!$G18236="EX",1,IF(DATOS!$G18236="OR",--(COUNTIFS(nNIA,DATOS!$A18236,nCURSO,DATOS!$D18236,nESPEC,DATOS!$E18236,nASIG,DATOS!$I18236,nEVAL,"EX")=0),0))))</f>
      </c>
      <c r="H18236">
        <f>IF(DATOS!$G18236&lt;&gt;"EX",0,--(COUNTIFS(nNIA,DATOS!$A18236,nCURSO,DATOS!$D18236,nESPEC,DATOS!$E18236,nASIG,DATOS!$I18236,nEVAL,"OR")=0))</f>
      </c>
      <c r="I18236">
        <f>IF(DATOS!$I18236="","",IFERROR(VLOOKUP(DATOS!$I18236,CONFIG_ASIGNATURAS!$B$2:$J$91,9,FALSE()),""))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IF(DATOS!$A18237="",0,IF(CONFIG_METADATA!$B$4&lt;&gt;"OR+EX",--(DATOS!$G18237=CONFIG_METADATA!$B$4),IF(DATOS!$G18237="EX",1,IF(DATOS!$G18237="OR",--(COUNTIFS(nNIA,DATOS!$A18237,nCURSO,DATOS!$D18237,nESPEC,DATOS!$E18237,nASIG,DATOS!$I18237,nEVAL,"EX")=0),0))))</f>
      </c>
      <c r="H18237">
        <f>IF(DATOS!$G18237&lt;&gt;"EX",0,--(COUNTIFS(nNIA,DATOS!$A18237,nCURSO,DATOS!$D18237,nESPEC,DATOS!$E18237,nASIG,DATOS!$I18237,nEVAL,"OR")=0))</f>
      </c>
      <c r="I18237">
        <f>IF(DATOS!$I18237="","",IFERROR(VLOOKUP(DATOS!$I18237,CONFIG_ASIGNATURAS!$B$2:$J$91,9,FALSE()),""))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IF(DATOS!$A18238="",0,IF(CONFIG_METADATA!$B$4&lt;&gt;"OR+EX",--(DATOS!$G18238=CONFIG_METADATA!$B$4),IF(DATOS!$G18238="EX",1,IF(DATOS!$G18238="OR",--(COUNTIFS(nNIA,DATOS!$A18238,nCURSO,DATOS!$D18238,nESPEC,DATOS!$E18238,nASIG,DATOS!$I18238,nEVAL,"EX")=0),0))))</f>
      </c>
      <c r="H18238">
        <f>IF(DATOS!$G18238&lt;&gt;"EX",0,--(COUNTIFS(nNIA,DATOS!$A18238,nCURSO,DATOS!$D18238,nESPEC,DATOS!$E18238,nASIG,DATOS!$I18238,nEVAL,"OR")=0))</f>
      </c>
      <c r="I18238">
        <f>IF(DATOS!$I18238="","",IFERROR(VLOOKUP(DATOS!$I18238,CONFIG_ASIGNATURAS!$B$2:$J$91,9,FALSE()),""))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IF(DATOS!$A18239="",0,IF(CONFIG_METADATA!$B$4&lt;&gt;"OR+EX",--(DATOS!$G18239=CONFIG_METADATA!$B$4),IF(DATOS!$G18239="EX",1,IF(DATOS!$G18239="OR",--(COUNTIFS(nNIA,DATOS!$A18239,nCURSO,DATOS!$D18239,nESPEC,DATOS!$E18239,nASIG,DATOS!$I18239,nEVAL,"EX")=0),0))))</f>
      </c>
      <c r="H18239">
        <f>IF(DATOS!$G18239&lt;&gt;"EX",0,--(COUNTIFS(nNIA,DATOS!$A18239,nCURSO,DATOS!$D18239,nESPEC,DATOS!$E18239,nASIG,DATOS!$I18239,nEVAL,"OR")=0))</f>
      </c>
      <c r="I18239">
        <f>IF(DATOS!$I18239="","",IFERROR(VLOOKUP(DATOS!$I18239,CONFIG_ASIGNATURAS!$B$2:$J$91,9,FALSE()),""))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IF(DATOS!$A18240="",0,IF(CONFIG_METADATA!$B$4&lt;&gt;"OR+EX",--(DATOS!$G18240=CONFIG_METADATA!$B$4),IF(DATOS!$G18240="EX",1,IF(DATOS!$G18240="OR",--(COUNTIFS(nNIA,DATOS!$A18240,nCURSO,DATOS!$D18240,nESPEC,DATOS!$E18240,nASIG,DATOS!$I18240,nEVAL,"EX")=0),0))))</f>
      </c>
      <c r="H18240">
        <f>IF(DATOS!$G18240&lt;&gt;"EX",0,--(COUNTIFS(nNIA,DATOS!$A18240,nCURSO,DATOS!$D18240,nESPEC,DATOS!$E18240,nASIG,DATOS!$I18240,nEVAL,"OR")=0))</f>
      </c>
      <c r="I18240">
        <f>IF(DATOS!$I18240="","",IFERROR(VLOOKUP(DATOS!$I18240,CONFIG_ASIGNATURAS!$B$2:$J$91,9,FALSE()),""))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IF(DATOS!$A18241="",0,IF(CONFIG_METADATA!$B$4&lt;&gt;"OR+EX",--(DATOS!$G18241=CONFIG_METADATA!$B$4),IF(DATOS!$G18241="EX",1,IF(DATOS!$G18241="OR",--(COUNTIFS(nNIA,DATOS!$A18241,nCURSO,DATOS!$D18241,nESPEC,DATOS!$E18241,nASIG,DATOS!$I18241,nEVAL,"EX")=0),0))))</f>
      </c>
      <c r="H18241">
        <f>IF(DATOS!$G18241&lt;&gt;"EX",0,--(COUNTIFS(nNIA,DATOS!$A18241,nCURSO,DATOS!$D18241,nESPEC,DATOS!$E18241,nASIG,DATOS!$I18241,nEVAL,"OR")=0))</f>
      </c>
      <c r="I18241">
        <f>IF(DATOS!$I18241="","",IFERROR(VLOOKUP(DATOS!$I18241,CONFIG_ASIGNATURAS!$B$2:$J$91,9,FALSE()),""))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IF(DATOS!$A18242="",0,IF(CONFIG_METADATA!$B$4&lt;&gt;"OR+EX",--(DATOS!$G18242=CONFIG_METADATA!$B$4),IF(DATOS!$G18242="EX",1,IF(DATOS!$G18242="OR",--(COUNTIFS(nNIA,DATOS!$A18242,nCURSO,DATOS!$D18242,nESPEC,DATOS!$E18242,nASIG,DATOS!$I18242,nEVAL,"EX")=0),0))))</f>
      </c>
      <c r="H18242">
        <f>IF(DATOS!$G18242&lt;&gt;"EX",0,--(COUNTIFS(nNIA,DATOS!$A18242,nCURSO,DATOS!$D18242,nESPEC,DATOS!$E18242,nASIG,DATOS!$I18242,nEVAL,"OR")=0))</f>
      </c>
      <c r="I18242">
        <f>IF(DATOS!$I18242="","",IFERROR(VLOOKUP(DATOS!$I18242,CONFIG_ASIGNATURAS!$B$2:$J$91,9,FALSE()),""))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IF(DATOS!$A18243="",0,IF(CONFIG_METADATA!$B$4&lt;&gt;"OR+EX",--(DATOS!$G18243=CONFIG_METADATA!$B$4),IF(DATOS!$G18243="EX",1,IF(DATOS!$G18243="OR",--(COUNTIFS(nNIA,DATOS!$A18243,nCURSO,DATOS!$D18243,nESPEC,DATOS!$E18243,nASIG,DATOS!$I18243,nEVAL,"EX")=0),0))))</f>
      </c>
      <c r="H18243">
        <f>IF(DATOS!$G18243&lt;&gt;"EX",0,--(COUNTIFS(nNIA,DATOS!$A18243,nCURSO,DATOS!$D18243,nESPEC,DATOS!$E18243,nASIG,DATOS!$I18243,nEVAL,"OR")=0))</f>
      </c>
      <c r="I18243">
        <f>IF(DATOS!$I18243="","",IFERROR(VLOOKUP(DATOS!$I18243,CONFIG_ASIGNATURAS!$B$2:$J$91,9,FALSE()),""))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IF(DATOS!$A18244="",0,IF(CONFIG_METADATA!$B$4&lt;&gt;"OR+EX",--(DATOS!$G18244=CONFIG_METADATA!$B$4),IF(DATOS!$G18244="EX",1,IF(DATOS!$G18244="OR",--(COUNTIFS(nNIA,DATOS!$A18244,nCURSO,DATOS!$D18244,nESPEC,DATOS!$E18244,nASIG,DATOS!$I18244,nEVAL,"EX")=0),0))))</f>
      </c>
      <c r="H18244">
        <f>IF(DATOS!$G18244&lt;&gt;"EX",0,--(COUNTIFS(nNIA,DATOS!$A18244,nCURSO,DATOS!$D18244,nESPEC,DATOS!$E18244,nASIG,DATOS!$I18244,nEVAL,"OR")=0))</f>
      </c>
      <c r="I18244">
        <f>IF(DATOS!$I18244="","",IFERROR(VLOOKUP(DATOS!$I18244,CONFIG_ASIGNATURAS!$B$2:$J$91,9,FALSE()),""))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IF(DATOS!$A18245="",0,IF(CONFIG_METADATA!$B$4&lt;&gt;"OR+EX",--(DATOS!$G18245=CONFIG_METADATA!$B$4),IF(DATOS!$G18245="EX",1,IF(DATOS!$G18245="OR",--(COUNTIFS(nNIA,DATOS!$A18245,nCURSO,DATOS!$D18245,nESPEC,DATOS!$E18245,nASIG,DATOS!$I18245,nEVAL,"EX")=0),0))))</f>
      </c>
      <c r="H18245">
        <f>IF(DATOS!$G18245&lt;&gt;"EX",0,--(COUNTIFS(nNIA,DATOS!$A18245,nCURSO,DATOS!$D18245,nESPEC,DATOS!$E18245,nASIG,DATOS!$I18245,nEVAL,"OR")=0))</f>
      </c>
      <c r="I18245">
        <f>IF(DATOS!$I18245="","",IFERROR(VLOOKUP(DATOS!$I18245,CONFIG_ASIGNATURAS!$B$2:$J$91,9,FALSE()),""))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IF(DATOS!$A18246="",0,IF(CONFIG_METADATA!$B$4&lt;&gt;"OR+EX",--(DATOS!$G18246=CONFIG_METADATA!$B$4),IF(DATOS!$G18246="EX",1,IF(DATOS!$G18246="OR",--(COUNTIFS(nNIA,DATOS!$A18246,nCURSO,DATOS!$D18246,nESPEC,DATOS!$E18246,nASIG,DATOS!$I18246,nEVAL,"EX")=0),0))))</f>
      </c>
      <c r="H18246">
        <f>IF(DATOS!$G18246&lt;&gt;"EX",0,--(COUNTIFS(nNIA,DATOS!$A18246,nCURSO,DATOS!$D18246,nESPEC,DATOS!$E18246,nASIG,DATOS!$I18246,nEVAL,"OR")=0))</f>
      </c>
      <c r="I18246">
        <f>IF(DATOS!$I18246="","",IFERROR(VLOOKUP(DATOS!$I18246,CONFIG_ASIGNATURAS!$B$2:$J$91,9,FALSE()),""))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IF(DATOS!$A18247="",0,IF(CONFIG_METADATA!$B$4&lt;&gt;"OR+EX",--(DATOS!$G18247=CONFIG_METADATA!$B$4),IF(DATOS!$G18247="EX",1,IF(DATOS!$G18247="OR",--(COUNTIFS(nNIA,DATOS!$A18247,nCURSO,DATOS!$D18247,nESPEC,DATOS!$E18247,nASIG,DATOS!$I18247,nEVAL,"EX")=0),0))))</f>
      </c>
      <c r="H18247">
        <f>IF(DATOS!$G18247&lt;&gt;"EX",0,--(COUNTIFS(nNIA,DATOS!$A18247,nCURSO,DATOS!$D18247,nESPEC,DATOS!$E18247,nASIG,DATOS!$I18247,nEVAL,"OR")=0))</f>
      </c>
      <c r="I18247">
        <f>IF(DATOS!$I18247="","",IFERROR(VLOOKUP(DATOS!$I18247,CONFIG_ASIGNATURAS!$B$2:$J$91,9,FALSE()),""))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IF(DATOS!$A18248="",0,IF(CONFIG_METADATA!$B$4&lt;&gt;"OR+EX",--(DATOS!$G18248=CONFIG_METADATA!$B$4),IF(DATOS!$G18248="EX",1,IF(DATOS!$G18248="OR",--(COUNTIFS(nNIA,DATOS!$A18248,nCURSO,DATOS!$D18248,nESPEC,DATOS!$E18248,nASIG,DATOS!$I18248,nEVAL,"EX")=0),0))))</f>
      </c>
      <c r="H18248">
        <f>IF(DATOS!$G18248&lt;&gt;"EX",0,--(COUNTIFS(nNIA,DATOS!$A18248,nCURSO,DATOS!$D18248,nESPEC,DATOS!$E18248,nASIG,DATOS!$I18248,nEVAL,"OR")=0))</f>
      </c>
      <c r="I18248">
        <f>IF(DATOS!$I18248="","",IFERROR(VLOOKUP(DATOS!$I18248,CONFIG_ASIGNATURAS!$B$2:$J$91,9,FALSE()),""))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IF(DATOS!$A18249="",0,IF(CONFIG_METADATA!$B$4&lt;&gt;"OR+EX",--(DATOS!$G18249=CONFIG_METADATA!$B$4),IF(DATOS!$G18249="EX",1,IF(DATOS!$G18249="OR",--(COUNTIFS(nNIA,DATOS!$A18249,nCURSO,DATOS!$D18249,nESPEC,DATOS!$E18249,nASIG,DATOS!$I18249,nEVAL,"EX")=0),0))))</f>
      </c>
      <c r="H18249">
        <f>IF(DATOS!$G18249&lt;&gt;"EX",0,--(COUNTIFS(nNIA,DATOS!$A18249,nCURSO,DATOS!$D18249,nESPEC,DATOS!$E18249,nASIG,DATOS!$I18249,nEVAL,"OR")=0))</f>
      </c>
      <c r="I18249">
        <f>IF(DATOS!$I18249="","",IFERROR(VLOOKUP(DATOS!$I18249,CONFIG_ASIGNATURAS!$B$2:$J$91,9,FALSE()),""))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IF(DATOS!$A18250="",0,IF(CONFIG_METADATA!$B$4&lt;&gt;"OR+EX",--(DATOS!$G18250=CONFIG_METADATA!$B$4),IF(DATOS!$G18250="EX",1,IF(DATOS!$G18250="OR",--(COUNTIFS(nNIA,DATOS!$A18250,nCURSO,DATOS!$D18250,nESPEC,DATOS!$E18250,nASIG,DATOS!$I18250,nEVAL,"EX")=0),0))))</f>
      </c>
      <c r="H18250">
        <f>IF(DATOS!$G18250&lt;&gt;"EX",0,--(COUNTIFS(nNIA,DATOS!$A18250,nCURSO,DATOS!$D18250,nESPEC,DATOS!$E18250,nASIG,DATOS!$I18250,nEVAL,"OR")=0))</f>
      </c>
      <c r="I18250">
        <f>IF(DATOS!$I18250="","",IFERROR(VLOOKUP(DATOS!$I18250,CONFIG_ASIGNATURAS!$B$2:$J$91,9,FALSE()),""))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IF(DATOS!$A18251="",0,IF(CONFIG_METADATA!$B$4&lt;&gt;"OR+EX",--(DATOS!$G18251=CONFIG_METADATA!$B$4),IF(DATOS!$G18251="EX",1,IF(DATOS!$G18251="OR",--(COUNTIFS(nNIA,DATOS!$A18251,nCURSO,DATOS!$D18251,nESPEC,DATOS!$E18251,nASIG,DATOS!$I18251,nEVAL,"EX")=0),0))))</f>
      </c>
      <c r="H18251">
        <f>IF(DATOS!$G18251&lt;&gt;"EX",0,--(COUNTIFS(nNIA,DATOS!$A18251,nCURSO,DATOS!$D18251,nESPEC,DATOS!$E18251,nASIG,DATOS!$I18251,nEVAL,"OR")=0))</f>
      </c>
      <c r="I18251">
        <f>IF(DATOS!$I18251="","",IFERROR(VLOOKUP(DATOS!$I18251,CONFIG_ASIGNATURAS!$B$2:$J$91,9,FALSE()),""))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IF(DATOS!$A18252="",0,IF(CONFIG_METADATA!$B$4&lt;&gt;"OR+EX",--(DATOS!$G18252=CONFIG_METADATA!$B$4),IF(DATOS!$G18252="EX",1,IF(DATOS!$G18252="OR",--(COUNTIFS(nNIA,DATOS!$A18252,nCURSO,DATOS!$D18252,nESPEC,DATOS!$E18252,nASIG,DATOS!$I18252,nEVAL,"EX")=0),0))))</f>
      </c>
      <c r="H18252">
        <f>IF(DATOS!$G18252&lt;&gt;"EX",0,--(COUNTIFS(nNIA,DATOS!$A18252,nCURSO,DATOS!$D18252,nESPEC,DATOS!$E18252,nASIG,DATOS!$I18252,nEVAL,"OR")=0))</f>
      </c>
      <c r="I18252">
        <f>IF(DATOS!$I18252="","",IFERROR(VLOOKUP(DATOS!$I18252,CONFIG_ASIGNATURAS!$B$2:$J$91,9,FALSE()),""))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IF(DATOS!$A18253="",0,IF(CONFIG_METADATA!$B$4&lt;&gt;"OR+EX",--(DATOS!$G18253=CONFIG_METADATA!$B$4),IF(DATOS!$G18253="EX",1,IF(DATOS!$G18253="OR",--(COUNTIFS(nNIA,DATOS!$A18253,nCURSO,DATOS!$D18253,nESPEC,DATOS!$E18253,nASIG,DATOS!$I18253,nEVAL,"EX")=0),0))))</f>
      </c>
      <c r="H18253">
        <f>IF(DATOS!$G18253&lt;&gt;"EX",0,--(COUNTIFS(nNIA,DATOS!$A18253,nCURSO,DATOS!$D18253,nESPEC,DATOS!$E18253,nASIG,DATOS!$I18253,nEVAL,"OR")=0))</f>
      </c>
      <c r="I18253">
        <f>IF(DATOS!$I18253="","",IFERROR(VLOOKUP(DATOS!$I18253,CONFIG_ASIGNATURAS!$B$2:$J$91,9,FALSE()),""))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IF(DATOS!$A18254="",0,IF(CONFIG_METADATA!$B$4&lt;&gt;"OR+EX",--(DATOS!$G18254=CONFIG_METADATA!$B$4),IF(DATOS!$G18254="EX",1,IF(DATOS!$G18254="OR",--(COUNTIFS(nNIA,DATOS!$A18254,nCURSO,DATOS!$D18254,nESPEC,DATOS!$E18254,nASIG,DATOS!$I18254,nEVAL,"EX")=0),0))))</f>
      </c>
      <c r="H18254">
        <f>IF(DATOS!$G18254&lt;&gt;"EX",0,--(COUNTIFS(nNIA,DATOS!$A18254,nCURSO,DATOS!$D18254,nESPEC,DATOS!$E18254,nASIG,DATOS!$I18254,nEVAL,"OR")=0))</f>
      </c>
      <c r="I18254">
        <f>IF(DATOS!$I18254="","",IFERROR(VLOOKUP(DATOS!$I18254,CONFIG_ASIGNATURAS!$B$2:$J$91,9,FALSE()),""))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IF(DATOS!$A18255="",0,IF(CONFIG_METADATA!$B$4&lt;&gt;"OR+EX",--(DATOS!$G18255=CONFIG_METADATA!$B$4),IF(DATOS!$G18255="EX",1,IF(DATOS!$G18255="OR",--(COUNTIFS(nNIA,DATOS!$A18255,nCURSO,DATOS!$D18255,nESPEC,DATOS!$E18255,nASIG,DATOS!$I18255,nEVAL,"EX")=0),0))))</f>
      </c>
      <c r="H18255">
        <f>IF(DATOS!$G18255&lt;&gt;"EX",0,--(COUNTIFS(nNIA,DATOS!$A18255,nCURSO,DATOS!$D18255,nESPEC,DATOS!$E18255,nASIG,DATOS!$I18255,nEVAL,"OR")=0))</f>
      </c>
      <c r="I18255">
        <f>IF(DATOS!$I18255="","",IFERROR(VLOOKUP(DATOS!$I18255,CONFIG_ASIGNATURAS!$B$2:$J$91,9,FALSE()),""))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IF(DATOS!$A18256="",0,IF(CONFIG_METADATA!$B$4&lt;&gt;"OR+EX",--(DATOS!$G18256=CONFIG_METADATA!$B$4),IF(DATOS!$G18256="EX",1,IF(DATOS!$G18256="OR",--(COUNTIFS(nNIA,DATOS!$A18256,nCURSO,DATOS!$D18256,nESPEC,DATOS!$E18256,nASIG,DATOS!$I18256,nEVAL,"EX")=0),0))))</f>
      </c>
      <c r="H18256">
        <f>IF(DATOS!$G18256&lt;&gt;"EX",0,--(COUNTIFS(nNIA,DATOS!$A18256,nCURSO,DATOS!$D18256,nESPEC,DATOS!$E18256,nASIG,DATOS!$I18256,nEVAL,"OR")=0))</f>
      </c>
      <c r="I18256">
        <f>IF(DATOS!$I18256="","",IFERROR(VLOOKUP(DATOS!$I18256,CONFIG_ASIGNATURAS!$B$2:$J$91,9,FALSE()),""))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IF(DATOS!$A18257="",0,IF(CONFIG_METADATA!$B$4&lt;&gt;"OR+EX",--(DATOS!$G18257=CONFIG_METADATA!$B$4),IF(DATOS!$G18257="EX",1,IF(DATOS!$G18257="OR",--(COUNTIFS(nNIA,DATOS!$A18257,nCURSO,DATOS!$D18257,nESPEC,DATOS!$E18257,nASIG,DATOS!$I18257,nEVAL,"EX")=0),0))))</f>
      </c>
      <c r="H18257">
        <f>IF(DATOS!$G18257&lt;&gt;"EX",0,--(COUNTIFS(nNIA,DATOS!$A18257,nCURSO,DATOS!$D18257,nESPEC,DATOS!$E18257,nASIG,DATOS!$I18257,nEVAL,"OR")=0))</f>
      </c>
      <c r="I18257">
        <f>IF(DATOS!$I18257="","",IFERROR(VLOOKUP(DATOS!$I18257,CONFIG_ASIGNATURAS!$B$2:$J$91,9,FALSE()),""))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IF(DATOS!$A18258="",0,IF(CONFIG_METADATA!$B$4&lt;&gt;"OR+EX",--(DATOS!$G18258=CONFIG_METADATA!$B$4),IF(DATOS!$G18258="EX",1,IF(DATOS!$G18258="OR",--(COUNTIFS(nNIA,DATOS!$A18258,nCURSO,DATOS!$D18258,nESPEC,DATOS!$E18258,nASIG,DATOS!$I18258,nEVAL,"EX")=0),0))))</f>
      </c>
      <c r="H18258">
        <f>IF(DATOS!$G18258&lt;&gt;"EX",0,--(COUNTIFS(nNIA,DATOS!$A18258,nCURSO,DATOS!$D18258,nESPEC,DATOS!$E18258,nASIG,DATOS!$I18258,nEVAL,"OR")=0))</f>
      </c>
      <c r="I18258">
        <f>IF(DATOS!$I18258="","",IFERROR(VLOOKUP(DATOS!$I18258,CONFIG_ASIGNATURAS!$B$2:$J$91,9,FALSE()),""))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IF(DATOS!$A18259="",0,IF(CONFIG_METADATA!$B$4&lt;&gt;"OR+EX",--(DATOS!$G18259=CONFIG_METADATA!$B$4),IF(DATOS!$G18259="EX",1,IF(DATOS!$G18259="OR",--(COUNTIFS(nNIA,DATOS!$A18259,nCURSO,DATOS!$D18259,nESPEC,DATOS!$E18259,nASIG,DATOS!$I18259,nEVAL,"EX")=0),0))))</f>
      </c>
      <c r="H18259">
        <f>IF(DATOS!$G18259&lt;&gt;"EX",0,--(COUNTIFS(nNIA,DATOS!$A18259,nCURSO,DATOS!$D18259,nESPEC,DATOS!$E18259,nASIG,DATOS!$I18259,nEVAL,"OR")=0))</f>
      </c>
      <c r="I18259">
        <f>IF(DATOS!$I18259="","",IFERROR(VLOOKUP(DATOS!$I18259,CONFIG_ASIGNATURAS!$B$2:$J$91,9,FALSE()),""))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IF(DATOS!$A18260="",0,IF(CONFIG_METADATA!$B$4&lt;&gt;"OR+EX",--(DATOS!$G18260=CONFIG_METADATA!$B$4),IF(DATOS!$G18260="EX",1,IF(DATOS!$G18260="OR",--(COUNTIFS(nNIA,DATOS!$A18260,nCURSO,DATOS!$D18260,nESPEC,DATOS!$E18260,nASIG,DATOS!$I18260,nEVAL,"EX")=0),0))))</f>
      </c>
      <c r="H18260">
        <f>IF(DATOS!$G18260&lt;&gt;"EX",0,--(COUNTIFS(nNIA,DATOS!$A18260,nCURSO,DATOS!$D18260,nESPEC,DATOS!$E18260,nASIG,DATOS!$I18260,nEVAL,"OR")=0))</f>
      </c>
      <c r="I18260">
        <f>IF(DATOS!$I18260="","",IFERROR(VLOOKUP(DATOS!$I18260,CONFIG_ASIGNATURAS!$B$2:$J$91,9,FALSE()),""))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IF(DATOS!$A18261="",0,IF(CONFIG_METADATA!$B$4&lt;&gt;"OR+EX",--(DATOS!$G18261=CONFIG_METADATA!$B$4),IF(DATOS!$G18261="EX",1,IF(DATOS!$G18261="OR",--(COUNTIFS(nNIA,DATOS!$A18261,nCURSO,DATOS!$D18261,nESPEC,DATOS!$E18261,nASIG,DATOS!$I18261,nEVAL,"EX")=0),0))))</f>
      </c>
      <c r="H18261">
        <f>IF(DATOS!$G18261&lt;&gt;"EX",0,--(COUNTIFS(nNIA,DATOS!$A18261,nCURSO,DATOS!$D18261,nESPEC,DATOS!$E18261,nASIG,DATOS!$I18261,nEVAL,"OR")=0))</f>
      </c>
      <c r="I18261">
        <f>IF(DATOS!$I18261="","",IFERROR(VLOOKUP(DATOS!$I18261,CONFIG_ASIGNATURAS!$B$2:$J$91,9,FALSE()),""))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IF(DATOS!$A18262="",0,IF(CONFIG_METADATA!$B$4&lt;&gt;"OR+EX",--(DATOS!$G18262=CONFIG_METADATA!$B$4),IF(DATOS!$G18262="EX",1,IF(DATOS!$G18262="OR",--(COUNTIFS(nNIA,DATOS!$A18262,nCURSO,DATOS!$D18262,nESPEC,DATOS!$E18262,nASIG,DATOS!$I18262,nEVAL,"EX")=0),0))))</f>
      </c>
      <c r="H18262">
        <f>IF(DATOS!$G18262&lt;&gt;"EX",0,--(COUNTIFS(nNIA,DATOS!$A18262,nCURSO,DATOS!$D18262,nESPEC,DATOS!$E18262,nASIG,DATOS!$I18262,nEVAL,"OR")=0))</f>
      </c>
      <c r="I18262">
        <f>IF(DATOS!$I18262="","",IFERROR(VLOOKUP(DATOS!$I18262,CONFIG_ASIGNATURAS!$B$2:$J$91,9,FALSE()),""))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IF(DATOS!$A18263="",0,IF(CONFIG_METADATA!$B$4&lt;&gt;"OR+EX",--(DATOS!$G18263=CONFIG_METADATA!$B$4),IF(DATOS!$G18263="EX",1,IF(DATOS!$G18263="OR",--(COUNTIFS(nNIA,DATOS!$A18263,nCURSO,DATOS!$D18263,nESPEC,DATOS!$E18263,nASIG,DATOS!$I18263,nEVAL,"EX")=0),0))))</f>
      </c>
      <c r="H18263">
        <f>IF(DATOS!$G18263&lt;&gt;"EX",0,--(COUNTIFS(nNIA,DATOS!$A18263,nCURSO,DATOS!$D18263,nESPEC,DATOS!$E18263,nASIG,DATOS!$I18263,nEVAL,"OR")=0))</f>
      </c>
      <c r="I18263">
        <f>IF(DATOS!$I18263="","",IFERROR(VLOOKUP(DATOS!$I18263,CONFIG_ASIGNATURAS!$B$2:$J$91,9,FALSE()),""))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IF(DATOS!$A18264="",0,IF(CONFIG_METADATA!$B$4&lt;&gt;"OR+EX",--(DATOS!$G18264=CONFIG_METADATA!$B$4),IF(DATOS!$G18264="EX",1,IF(DATOS!$G18264="OR",--(COUNTIFS(nNIA,DATOS!$A18264,nCURSO,DATOS!$D18264,nESPEC,DATOS!$E18264,nASIG,DATOS!$I18264,nEVAL,"EX")=0),0))))</f>
      </c>
      <c r="H18264">
        <f>IF(DATOS!$G18264&lt;&gt;"EX",0,--(COUNTIFS(nNIA,DATOS!$A18264,nCURSO,DATOS!$D18264,nESPEC,DATOS!$E18264,nASIG,DATOS!$I18264,nEVAL,"OR")=0))</f>
      </c>
      <c r="I18264">
        <f>IF(DATOS!$I18264="","",IFERROR(VLOOKUP(DATOS!$I18264,CONFIG_ASIGNATURAS!$B$2:$J$91,9,FALSE()),""))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IF(DATOS!$A18265="",0,IF(CONFIG_METADATA!$B$4&lt;&gt;"OR+EX",--(DATOS!$G18265=CONFIG_METADATA!$B$4),IF(DATOS!$G18265="EX",1,IF(DATOS!$G18265="OR",--(COUNTIFS(nNIA,DATOS!$A18265,nCURSO,DATOS!$D18265,nESPEC,DATOS!$E18265,nASIG,DATOS!$I18265,nEVAL,"EX")=0),0))))</f>
      </c>
      <c r="H18265">
        <f>IF(DATOS!$G18265&lt;&gt;"EX",0,--(COUNTIFS(nNIA,DATOS!$A18265,nCURSO,DATOS!$D18265,nESPEC,DATOS!$E18265,nASIG,DATOS!$I18265,nEVAL,"OR")=0))</f>
      </c>
      <c r="I18265">
        <f>IF(DATOS!$I18265="","",IFERROR(VLOOKUP(DATOS!$I18265,CONFIG_ASIGNATURAS!$B$2:$J$91,9,FALSE()),""))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IF(DATOS!$A18266="",0,IF(CONFIG_METADATA!$B$4&lt;&gt;"OR+EX",--(DATOS!$G18266=CONFIG_METADATA!$B$4),IF(DATOS!$G18266="EX",1,IF(DATOS!$G18266="OR",--(COUNTIFS(nNIA,DATOS!$A18266,nCURSO,DATOS!$D18266,nESPEC,DATOS!$E18266,nASIG,DATOS!$I18266,nEVAL,"EX")=0),0))))</f>
      </c>
      <c r="H18266">
        <f>IF(DATOS!$G18266&lt;&gt;"EX",0,--(COUNTIFS(nNIA,DATOS!$A18266,nCURSO,DATOS!$D18266,nESPEC,DATOS!$E18266,nASIG,DATOS!$I18266,nEVAL,"OR")=0))</f>
      </c>
      <c r="I18266">
        <f>IF(DATOS!$I18266="","",IFERROR(VLOOKUP(DATOS!$I18266,CONFIG_ASIGNATURAS!$B$2:$J$91,9,FALSE()),""))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IF(DATOS!$A18267="",0,IF(CONFIG_METADATA!$B$4&lt;&gt;"OR+EX",--(DATOS!$G18267=CONFIG_METADATA!$B$4),IF(DATOS!$G18267="EX",1,IF(DATOS!$G18267="OR",--(COUNTIFS(nNIA,DATOS!$A18267,nCURSO,DATOS!$D18267,nESPEC,DATOS!$E18267,nASIG,DATOS!$I18267,nEVAL,"EX")=0),0))))</f>
      </c>
      <c r="H18267">
        <f>IF(DATOS!$G18267&lt;&gt;"EX",0,--(COUNTIFS(nNIA,DATOS!$A18267,nCURSO,DATOS!$D18267,nESPEC,DATOS!$E18267,nASIG,DATOS!$I18267,nEVAL,"OR")=0))</f>
      </c>
      <c r="I18267">
        <f>IF(DATOS!$I18267="","",IFERROR(VLOOKUP(DATOS!$I18267,CONFIG_ASIGNATURAS!$B$2:$J$91,9,FALSE()),""))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IF(DATOS!$A18268="",0,IF(CONFIG_METADATA!$B$4&lt;&gt;"OR+EX",--(DATOS!$G18268=CONFIG_METADATA!$B$4),IF(DATOS!$G18268="EX",1,IF(DATOS!$G18268="OR",--(COUNTIFS(nNIA,DATOS!$A18268,nCURSO,DATOS!$D18268,nESPEC,DATOS!$E18268,nASIG,DATOS!$I18268,nEVAL,"EX")=0),0))))</f>
      </c>
      <c r="H18268">
        <f>IF(DATOS!$G18268&lt;&gt;"EX",0,--(COUNTIFS(nNIA,DATOS!$A18268,nCURSO,DATOS!$D18268,nESPEC,DATOS!$E18268,nASIG,DATOS!$I18268,nEVAL,"OR")=0))</f>
      </c>
      <c r="I18268">
        <f>IF(DATOS!$I18268="","",IFERROR(VLOOKUP(DATOS!$I18268,CONFIG_ASIGNATURAS!$B$2:$J$91,9,FALSE()),""))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IF(DATOS!$A18269="",0,IF(CONFIG_METADATA!$B$4&lt;&gt;"OR+EX",--(DATOS!$G18269=CONFIG_METADATA!$B$4),IF(DATOS!$G18269="EX",1,IF(DATOS!$G18269="OR",--(COUNTIFS(nNIA,DATOS!$A18269,nCURSO,DATOS!$D18269,nESPEC,DATOS!$E18269,nASIG,DATOS!$I18269,nEVAL,"EX")=0),0))))</f>
      </c>
      <c r="H18269">
        <f>IF(DATOS!$G18269&lt;&gt;"EX",0,--(COUNTIFS(nNIA,DATOS!$A18269,nCURSO,DATOS!$D18269,nESPEC,DATOS!$E18269,nASIG,DATOS!$I18269,nEVAL,"OR")=0))</f>
      </c>
      <c r="I18269">
        <f>IF(DATOS!$I18269="","",IFERROR(VLOOKUP(DATOS!$I18269,CONFIG_ASIGNATURAS!$B$2:$J$91,9,FALSE()),""))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IF(DATOS!$A18270="",0,IF(CONFIG_METADATA!$B$4&lt;&gt;"OR+EX",--(DATOS!$G18270=CONFIG_METADATA!$B$4),IF(DATOS!$G18270="EX",1,IF(DATOS!$G18270="OR",--(COUNTIFS(nNIA,DATOS!$A18270,nCURSO,DATOS!$D18270,nESPEC,DATOS!$E18270,nASIG,DATOS!$I18270,nEVAL,"EX")=0),0))))</f>
      </c>
      <c r="H18270">
        <f>IF(DATOS!$G18270&lt;&gt;"EX",0,--(COUNTIFS(nNIA,DATOS!$A18270,nCURSO,DATOS!$D18270,nESPEC,DATOS!$E18270,nASIG,DATOS!$I18270,nEVAL,"OR")=0))</f>
      </c>
      <c r="I18270">
        <f>IF(DATOS!$I18270="","",IFERROR(VLOOKUP(DATOS!$I18270,CONFIG_ASIGNATURAS!$B$2:$J$91,9,FALSE()),""))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IF(DATOS!$A18271="",0,IF(CONFIG_METADATA!$B$4&lt;&gt;"OR+EX",--(DATOS!$G18271=CONFIG_METADATA!$B$4),IF(DATOS!$G18271="EX",1,IF(DATOS!$G18271="OR",--(COUNTIFS(nNIA,DATOS!$A18271,nCURSO,DATOS!$D18271,nESPEC,DATOS!$E18271,nASIG,DATOS!$I18271,nEVAL,"EX")=0),0))))</f>
      </c>
      <c r="H18271">
        <f>IF(DATOS!$G18271&lt;&gt;"EX",0,--(COUNTIFS(nNIA,DATOS!$A18271,nCURSO,DATOS!$D18271,nESPEC,DATOS!$E18271,nASIG,DATOS!$I18271,nEVAL,"OR")=0))</f>
      </c>
      <c r="I18271">
        <f>IF(DATOS!$I18271="","",IFERROR(VLOOKUP(DATOS!$I18271,CONFIG_ASIGNATURAS!$B$2:$J$91,9,FALSE()),""))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IF(DATOS!$A18272="",0,IF(CONFIG_METADATA!$B$4&lt;&gt;"OR+EX",--(DATOS!$G18272=CONFIG_METADATA!$B$4),IF(DATOS!$G18272="EX",1,IF(DATOS!$G18272="OR",--(COUNTIFS(nNIA,DATOS!$A18272,nCURSO,DATOS!$D18272,nESPEC,DATOS!$E18272,nASIG,DATOS!$I18272,nEVAL,"EX")=0),0))))</f>
      </c>
      <c r="H18272">
        <f>IF(DATOS!$G18272&lt;&gt;"EX",0,--(COUNTIFS(nNIA,DATOS!$A18272,nCURSO,DATOS!$D18272,nESPEC,DATOS!$E18272,nASIG,DATOS!$I18272,nEVAL,"OR")=0))</f>
      </c>
      <c r="I18272">
        <f>IF(DATOS!$I18272="","",IFERROR(VLOOKUP(DATOS!$I18272,CONFIG_ASIGNATURAS!$B$2:$J$91,9,FALSE()),""))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IF(DATOS!$A18273="",0,IF(CONFIG_METADATA!$B$4&lt;&gt;"OR+EX",--(DATOS!$G18273=CONFIG_METADATA!$B$4),IF(DATOS!$G18273="EX",1,IF(DATOS!$G18273="OR",--(COUNTIFS(nNIA,DATOS!$A18273,nCURSO,DATOS!$D18273,nESPEC,DATOS!$E18273,nASIG,DATOS!$I18273,nEVAL,"EX")=0),0))))</f>
      </c>
      <c r="H18273">
        <f>IF(DATOS!$G18273&lt;&gt;"EX",0,--(COUNTIFS(nNIA,DATOS!$A18273,nCURSO,DATOS!$D18273,nESPEC,DATOS!$E18273,nASIG,DATOS!$I18273,nEVAL,"OR")=0))</f>
      </c>
      <c r="I18273">
        <f>IF(DATOS!$I18273="","",IFERROR(VLOOKUP(DATOS!$I18273,CONFIG_ASIGNATURAS!$B$2:$J$91,9,FALSE()),""))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IF(DATOS!$A18274="",0,IF(CONFIG_METADATA!$B$4&lt;&gt;"OR+EX",--(DATOS!$G18274=CONFIG_METADATA!$B$4),IF(DATOS!$G18274="EX",1,IF(DATOS!$G18274="OR",--(COUNTIFS(nNIA,DATOS!$A18274,nCURSO,DATOS!$D18274,nESPEC,DATOS!$E18274,nASIG,DATOS!$I18274,nEVAL,"EX")=0),0))))</f>
      </c>
      <c r="H18274">
        <f>IF(DATOS!$G18274&lt;&gt;"EX",0,--(COUNTIFS(nNIA,DATOS!$A18274,nCURSO,DATOS!$D18274,nESPEC,DATOS!$E18274,nASIG,DATOS!$I18274,nEVAL,"OR")=0))</f>
      </c>
      <c r="I18274">
        <f>IF(DATOS!$I18274="","",IFERROR(VLOOKUP(DATOS!$I18274,CONFIG_ASIGNATURAS!$B$2:$J$91,9,FALSE()),""))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IF(DATOS!$A18275="",0,IF(CONFIG_METADATA!$B$4&lt;&gt;"OR+EX",--(DATOS!$G18275=CONFIG_METADATA!$B$4),IF(DATOS!$G18275="EX",1,IF(DATOS!$G18275="OR",--(COUNTIFS(nNIA,DATOS!$A18275,nCURSO,DATOS!$D18275,nESPEC,DATOS!$E18275,nASIG,DATOS!$I18275,nEVAL,"EX")=0),0))))</f>
      </c>
      <c r="H18275">
        <f>IF(DATOS!$G18275&lt;&gt;"EX",0,--(COUNTIFS(nNIA,DATOS!$A18275,nCURSO,DATOS!$D18275,nESPEC,DATOS!$E18275,nASIG,DATOS!$I18275,nEVAL,"OR")=0))</f>
      </c>
      <c r="I18275">
        <f>IF(DATOS!$I18275="","",IFERROR(VLOOKUP(DATOS!$I18275,CONFIG_ASIGNATURAS!$B$2:$J$91,9,FALSE()),""))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IF(DATOS!$A18276="",0,IF(CONFIG_METADATA!$B$4&lt;&gt;"OR+EX",--(DATOS!$G18276=CONFIG_METADATA!$B$4),IF(DATOS!$G18276="EX",1,IF(DATOS!$G18276="OR",--(COUNTIFS(nNIA,DATOS!$A18276,nCURSO,DATOS!$D18276,nESPEC,DATOS!$E18276,nASIG,DATOS!$I18276,nEVAL,"EX")=0),0))))</f>
      </c>
      <c r="H18276">
        <f>IF(DATOS!$G18276&lt;&gt;"EX",0,--(COUNTIFS(nNIA,DATOS!$A18276,nCURSO,DATOS!$D18276,nESPEC,DATOS!$E18276,nASIG,DATOS!$I18276,nEVAL,"OR")=0))</f>
      </c>
      <c r="I18276">
        <f>IF(DATOS!$I18276="","",IFERROR(VLOOKUP(DATOS!$I18276,CONFIG_ASIGNATURAS!$B$2:$J$91,9,FALSE()),""))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IF(DATOS!$A18277="",0,IF(CONFIG_METADATA!$B$4&lt;&gt;"OR+EX",--(DATOS!$G18277=CONFIG_METADATA!$B$4),IF(DATOS!$G18277="EX",1,IF(DATOS!$G18277="OR",--(COUNTIFS(nNIA,DATOS!$A18277,nCURSO,DATOS!$D18277,nESPEC,DATOS!$E18277,nASIG,DATOS!$I18277,nEVAL,"EX")=0),0))))</f>
      </c>
      <c r="H18277">
        <f>IF(DATOS!$G18277&lt;&gt;"EX",0,--(COUNTIFS(nNIA,DATOS!$A18277,nCURSO,DATOS!$D18277,nESPEC,DATOS!$E18277,nASIG,DATOS!$I18277,nEVAL,"OR")=0))</f>
      </c>
      <c r="I18277">
        <f>IF(DATOS!$I18277="","",IFERROR(VLOOKUP(DATOS!$I18277,CONFIG_ASIGNATURAS!$B$2:$J$91,9,FALSE()),""))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IF(DATOS!$A18278="",0,IF(CONFIG_METADATA!$B$4&lt;&gt;"OR+EX",--(DATOS!$G18278=CONFIG_METADATA!$B$4),IF(DATOS!$G18278="EX",1,IF(DATOS!$G18278="OR",--(COUNTIFS(nNIA,DATOS!$A18278,nCURSO,DATOS!$D18278,nESPEC,DATOS!$E18278,nASIG,DATOS!$I18278,nEVAL,"EX")=0),0))))</f>
      </c>
      <c r="H18278">
        <f>IF(DATOS!$G18278&lt;&gt;"EX",0,--(COUNTIFS(nNIA,DATOS!$A18278,nCURSO,DATOS!$D18278,nESPEC,DATOS!$E18278,nASIG,DATOS!$I18278,nEVAL,"OR")=0))</f>
      </c>
      <c r="I18278">
        <f>IF(DATOS!$I18278="","",IFERROR(VLOOKUP(DATOS!$I18278,CONFIG_ASIGNATURAS!$B$2:$J$91,9,FALSE()),""))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IF(DATOS!$A18279="",0,IF(CONFIG_METADATA!$B$4&lt;&gt;"OR+EX",--(DATOS!$G18279=CONFIG_METADATA!$B$4),IF(DATOS!$G18279="EX",1,IF(DATOS!$G18279="OR",--(COUNTIFS(nNIA,DATOS!$A18279,nCURSO,DATOS!$D18279,nESPEC,DATOS!$E18279,nASIG,DATOS!$I18279,nEVAL,"EX")=0),0))))</f>
      </c>
      <c r="H18279">
        <f>IF(DATOS!$G18279&lt;&gt;"EX",0,--(COUNTIFS(nNIA,DATOS!$A18279,nCURSO,DATOS!$D18279,nESPEC,DATOS!$E18279,nASIG,DATOS!$I18279,nEVAL,"OR")=0))</f>
      </c>
      <c r="I18279">
        <f>IF(DATOS!$I18279="","",IFERROR(VLOOKUP(DATOS!$I18279,CONFIG_ASIGNATURAS!$B$2:$J$91,9,FALSE()),""))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IF(DATOS!$A18280="",0,IF(CONFIG_METADATA!$B$4&lt;&gt;"OR+EX",--(DATOS!$G18280=CONFIG_METADATA!$B$4),IF(DATOS!$G18280="EX",1,IF(DATOS!$G18280="OR",--(COUNTIFS(nNIA,DATOS!$A18280,nCURSO,DATOS!$D18280,nESPEC,DATOS!$E18280,nASIG,DATOS!$I18280,nEVAL,"EX")=0),0))))</f>
      </c>
      <c r="H18280">
        <f>IF(DATOS!$G18280&lt;&gt;"EX",0,--(COUNTIFS(nNIA,DATOS!$A18280,nCURSO,DATOS!$D18280,nESPEC,DATOS!$E18280,nASIG,DATOS!$I18280,nEVAL,"OR")=0))</f>
      </c>
      <c r="I18280">
        <f>IF(DATOS!$I18280="","",IFERROR(VLOOKUP(DATOS!$I18280,CONFIG_ASIGNATURAS!$B$2:$J$91,9,FALSE()),""))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IF(DATOS!$A18281="",0,IF(CONFIG_METADATA!$B$4&lt;&gt;"OR+EX",--(DATOS!$G18281=CONFIG_METADATA!$B$4),IF(DATOS!$G18281="EX",1,IF(DATOS!$G18281="OR",--(COUNTIFS(nNIA,DATOS!$A18281,nCURSO,DATOS!$D18281,nESPEC,DATOS!$E18281,nASIG,DATOS!$I18281,nEVAL,"EX")=0),0))))</f>
      </c>
      <c r="H18281">
        <f>IF(DATOS!$G18281&lt;&gt;"EX",0,--(COUNTIFS(nNIA,DATOS!$A18281,nCURSO,DATOS!$D18281,nESPEC,DATOS!$E18281,nASIG,DATOS!$I18281,nEVAL,"OR")=0))</f>
      </c>
      <c r="I18281">
        <f>IF(DATOS!$I18281="","",IFERROR(VLOOKUP(DATOS!$I18281,CONFIG_ASIGNATURAS!$B$2:$J$91,9,FALSE()),""))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IF(DATOS!$A18282="",0,IF(CONFIG_METADATA!$B$4&lt;&gt;"OR+EX",--(DATOS!$G18282=CONFIG_METADATA!$B$4),IF(DATOS!$G18282="EX",1,IF(DATOS!$G18282="OR",--(COUNTIFS(nNIA,DATOS!$A18282,nCURSO,DATOS!$D18282,nESPEC,DATOS!$E18282,nASIG,DATOS!$I18282,nEVAL,"EX")=0),0))))</f>
      </c>
      <c r="H18282">
        <f>IF(DATOS!$G18282&lt;&gt;"EX",0,--(COUNTIFS(nNIA,DATOS!$A18282,nCURSO,DATOS!$D18282,nESPEC,DATOS!$E18282,nASIG,DATOS!$I18282,nEVAL,"OR")=0))</f>
      </c>
      <c r="I18282">
        <f>IF(DATOS!$I18282="","",IFERROR(VLOOKUP(DATOS!$I18282,CONFIG_ASIGNATURAS!$B$2:$J$91,9,FALSE()),""))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IF(DATOS!$A18283="",0,IF(CONFIG_METADATA!$B$4&lt;&gt;"OR+EX",--(DATOS!$G18283=CONFIG_METADATA!$B$4),IF(DATOS!$G18283="EX",1,IF(DATOS!$G18283="OR",--(COUNTIFS(nNIA,DATOS!$A18283,nCURSO,DATOS!$D18283,nESPEC,DATOS!$E18283,nASIG,DATOS!$I18283,nEVAL,"EX")=0),0))))</f>
      </c>
      <c r="H18283">
        <f>IF(DATOS!$G18283&lt;&gt;"EX",0,--(COUNTIFS(nNIA,DATOS!$A18283,nCURSO,DATOS!$D18283,nESPEC,DATOS!$E18283,nASIG,DATOS!$I18283,nEVAL,"OR")=0))</f>
      </c>
      <c r="I18283">
        <f>IF(DATOS!$I18283="","",IFERROR(VLOOKUP(DATOS!$I18283,CONFIG_ASIGNATURAS!$B$2:$J$91,9,FALSE()),""))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IF(DATOS!$A18284="",0,IF(CONFIG_METADATA!$B$4&lt;&gt;"OR+EX",--(DATOS!$G18284=CONFIG_METADATA!$B$4),IF(DATOS!$G18284="EX",1,IF(DATOS!$G18284="OR",--(COUNTIFS(nNIA,DATOS!$A18284,nCURSO,DATOS!$D18284,nESPEC,DATOS!$E18284,nASIG,DATOS!$I18284,nEVAL,"EX")=0),0))))</f>
      </c>
      <c r="H18284">
        <f>IF(DATOS!$G18284&lt;&gt;"EX",0,--(COUNTIFS(nNIA,DATOS!$A18284,nCURSO,DATOS!$D18284,nESPEC,DATOS!$E18284,nASIG,DATOS!$I18284,nEVAL,"OR")=0))</f>
      </c>
      <c r="I18284">
        <f>IF(DATOS!$I18284="","",IFERROR(VLOOKUP(DATOS!$I18284,CONFIG_ASIGNATURAS!$B$2:$J$91,9,FALSE()),""))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IF(DATOS!$A18285="",0,IF(CONFIG_METADATA!$B$4&lt;&gt;"OR+EX",--(DATOS!$G18285=CONFIG_METADATA!$B$4),IF(DATOS!$G18285="EX",1,IF(DATOS!$G18285="OR",--(COUNTIFS(nNIA,DATOS!$A18285,nCURSO,DATOS!$D18285,nESPEC,DATOS!$E18285,nASIG,DATOS!$I18285,nEVAL,"EX")=0),0))))</f>
      </c>
      <c r="H18285">
        <f>IF(DATOS!$G18285&lt;&gt;"EX",0,--(COUNTIFS(nNIA,DATOS!$A18285,nCURSO,DATOS!$D18285,nESPEC,DATOS!$E18285,nASIG,DATOS!$I18285,nEVAL,"OR")=0))</f>
      </c>
      <c r="I18285">
        <f>IF(DATOS!$I18285="","",IFERROR(VLOOKUP(DATOS!$I18285,CONFIG_ASIGNATURAS!$B$2:$J$91,9,FALSE()),""))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IF(DATOS!$A18286="",0,IF(CONFIG_METADATA!$B$4&lt;&gt;"OR+EX",--(DATOS!$G18286=CONFIG_METADATA!$B$4),IF(DATOS!$G18286="EX",1,IF(DATOS!$G18286="OR",--(COUNTIFS(nNIA,DATOS!$A18286,nCURSO,DATOS!$D18286,nESPEC,DATOS!$E18286,nASIG,DATOS!$I18286,nEVAL,"EX")=0),0))))</f>
      </c>
      <c r="H18286">
        <f>IF(DATOS!$G18286&lt;&gt;"EX",0,--(COUNTIFS(nNIA,DATOS!$A18286,nCURSO,DATOS!$D18286,nESPEC,DATOS!$E18286,nASIG,DATOS!$I18286,nEVAL,"OR")=0))</f>
      </c>
      <c r="I18286">
        <f>IF(DATOS!$I18286="","",IFERROR(VLOOKUP(DATOS!$I18286,CONFIG_ASIGNATURAS!$B$2:$J$91,9,FALSE()),""))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IF(DATOS!$A18287="",0,IF(CONFIG_METADATA!$B$4&lt;&gt;"OR+EX",--(DATOS!$G18287=CONFIG_METADATA!$B$4),IF(DATOS!$G18287="EX",1,IF(DATOS!$G18287="OR",--(COUNTIFS(nNIA,DATOS!$A18287,nCURSO,DATOS!$D18287,nESPEC,DATOS!$E18287,nASIG,DATOS!$I18287,nEVAL,"EX")=0),0))))</f>
      </c>
      <c r="H18287">
        <f>IF(DATOS!$G18287&lt;&gt;"EX",0,--(COUNTIFS(nNIA,DATOS!$A18287,nCURSO,DATOS!$D18287,nESPEC,DATOS!$E18287,nASIG,DATOS!$I18287,nEVAL,"OR")=0))</f>
      </c>
      <c r="I18287">
        <f>IF(DATOS!$I18287="","",IFERROR(VLOOKUP(DATOS!$I18287,CONFIG_ASIGNATURAS!$B$2:$J$91,9,FALSE()),""))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IF(DATOS!$A18288="",0,IF(CONFIG_METADATA!$B$4&lt;&gt;"OR+EX",--(DATOS!$G18288=CONFIG_METADATA!$B$4),IF(DATOS!$G18288="EX",1,IF(DATOS!$G18288="OR",--(COUNTIFS(nNIA,DATOS!$A18288,nCURSO,DATOS!$D18288,nESPEC,DATOS!$E18288,nASIG,DATOS!$I18288,nEVAL,"EX")=0),0))))</f>
      </c>
      <c r="H18288">
        <f>IF(DATOS!$G18288&lt;&gt;"EX",0,--(COUNTIFS(nNIA,DATOS!$A18288,nCURSO,DATOS!$D18288,nESPEC,DATOS!$E18288,nASIG,DATOS!$I18288,nEVAL,"OR")=0))</f>
      </c>
      <c r="I18288">
        <f>IF(DATOS!$I18288="","",IFERROR(VLOOKUP(DATOS!$I18288,CONFIG_ASIGNATURAS!$B$2:$J$91,9,FALSE()),""))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IF(DATOS!$A18289="",0,IF(CONFIG_METADATA!$B$4&lt;&gt;"OR+EX",--(DATOS!$G18289=CONFIG_METADATA!$B$4),IF(DATOS!$G18289="EX",1,IF(DATOS!$G18289="OR",--(COUNTIFS(nNIA,DATOS!$A18289,nCURSO,DATOS!$D18289,nESPEC,DATOS!$E18289,nASIG,DATOS!$I18289,nEVAL,"EX")=0),0))))</f>
      </c>
      <c r="H18289">
        <f>IF(DATOS!$G18289&lt;&gt;"EX",0,--(COUNTIFS(nNIA,DATOS!$A18289,nCURSO,DATOS!$D18289,nESPEC,DATOS!$E18289,nASIG,DATOS!$I18289,nEVAL,"OR")=0))</f>
      </c>
      <c r="I18289">
        <f>IF(DATOS!$I18289="","",IFERROR(VLOOKUP(DATOS!$I18289,CONFIG_ASIGNATURAS!$B$2:$J$91,9,FALSE()),""))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IF(DATOS!$A18290="",0,IF(CONFIG_METADATA!$B$4&lt;&gt;"OR+EX",--(DATOS!$G18290=CONFIG_METADATA!$B$4),IF(DATOS!$G18290="EX",1,IF(DATOS!$G18290="OR",--(COUNTIFS(nNIA,DATOS!$A18290,nCURSO,DATOS!$D18290,nESPEC,DATOS!$E18290,nASIG,DATOS!$I18290,nEVAL,"EX")=0),0))))</f>
      </c>
      <c r="H18290">
        <f>IF(DATOS!$G18290&lt;&gt;"EX",0,--(COUNTIFS(nNIA,DATOS!$A18290,nCURSO,DATOS!$D18290,nESPEC,DATOS!$E18290,nASIG,DATOS!$I18290,nEVAL,"OR")=0))</f>
      </c>
      <c r="I18290">
        <f>IF(DATOS!$I18290="","",IFERROR(VLOOKUP(DATOS!$I18290,CONFIG_ASIGNATURAS!$B$2:$J$91,9,FALSE()),""))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IF(DATOS!$A18291="",0,IF(CONFIG_METADATA!$B$4&lt;&gt;"OR+EX",--(DATOS!$G18291=CONFIG_METADATA!$B$4),IF(DATOS!$G18291="EX",1,IF(DATOS!$G18291="OR",--(COUNTIFS(nNIA,DATOS!$A18291,nCURSO,DATOS!$D18291,nESPEC,DATOS!$E18291,nASIG,DATOS!$I18291,nEVAL,"EX")=0),0))))</f>
      </c>
      <c r="H18291">
        <f>IF(DATOS!$G18291&lt;&gt;"EX",0,--(COUNTIFS(nNIA,DATOS!$A18291,nCURSO,DATOS!$D18291,nESPEC,DATOS!$E18291,nASIG,DATOS!$I18291,nEVAL,"OR")=0))</f>
      </c>
      <c r="I18291">
        <f>IF(DATOS!$I18291="","",IFERROR(VLOOKUP(DATOS!$I18291,CONFIG_ASIGNATURAS!$B$2:$J$91,9,FALSE()),""))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IF(DATOS!$A18292="",0,IF(CONFIG_METADATA!$B$4&lt;&gt;"OR+EX",--(DATOS!$G18292=CONFIG_METADATA!$B$4),IF(DATOS!$G18292="EX",1,IF(DATOS!$G18292="OR",--(COUNTIFS(nNIA,DATOS!$A18292,nCURSO,DATOS!$D18292,nESPEC,DATOS!$E18292,nASIG,DATOS!$I18292,nEVAL,"EX")=0),0))))</f>
      </c>
      <c r="H18292">
        <f>IF(DATOS!$G18292&lt;&gt;"EX",0,--(COUNTIFS(nNIA,DATOS!$A18292,nCURSO,DATOS!$D18292,nESPEC,DATOS!$E18292,nASIG,DATOS!$I18292,nEVAL,"OR")=0))</f>
      </c>
      <c r="I18292">
        <f>IF(DATOS!$I18292="","",IFERROR(VLOOKUP(DATOS!$I18292,CONFIG_ASIGNATURAS!$B$2:$J$91,9,FALSE()),""))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IF(DATOS!$A18293="",0,IF(CONFIG_METADATA!$B$4&lt;&gt;"OR+EX",--(DATOS!$G18293=CONFIG_METADATA!$B$4),IF(DATOS!$G18293="EX",1,IF(DATOS!$G18293="OR",--(COUNTIFS(nNIA,DATOS!$A18293,nCURSO,DATOS!$D18293,nESPEC,DATOS!$E18293,nASIG,DATOS!$I18293,nEVAL,"EX")=0),0))))</f>
      </c>
      <c r="H18293">
        <f>IF(DATOS!$G18293&lt;&gt;"EX",0,--(COUNTIFS(nNIA,DATOS!$A18293,nCURSO,DATOS!$D18293,nESPEC,DATOS!$E18293,nASIG,DATOS!$I18293,nEVAL,"OR")=0))</f>
      </c>
      <c r="I18293">
        <f>IF(DATOS!$I18293="","",IFERROR(VLOOKUP(DATOS!$I18293,CONFIG_ASIGNATURAS!$B$2:$J$91,9,FALSE()),""))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IF(DATOS!$A18294="",0,IF(CONFIG_METADATA!$B$4&lt;&gt;"OR+EX",--(DATOS!$G18294=CONFIG_METADATA!$B$4),IF(DATOS!$G18294="EX",1,IF(DATOS!$G18294="OR",--(COUNTIFS(nNIA,DATOS!$A18294,nCURSO,DATOS!$D18294,nESPEC,DATOS!$E18294,nASIG,DATOS!$I18294,nEVAL,"EX")=0),0))))</f>
      </c>
      <c r="H18294">
        <f>IF(DATOS!$G18294&lt;&gt;"EX",0,--(COUNTIFS(nNIA,DATOS!$A18294,nCURSO,DATOS!$D18294,nESPEC,DATOS!$E18294,nASIG,DATOS!$I18294,nEVAL,"OR")=0))</f>
      </c>
      <c r="I18294">
        <f>IF(DATOS!$I18294="","",IFERROR(VLOOKUP(DATOS!$I18294,CONFIG_ASIGNATURAS!$B$2:$J$91,9,FALSE()),""))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IF(DATOS!$A18295="",0,IF(CONFIG_METADATA!$B$4&lt;&gt;"OR+EX",--(DATOS!$G18295=CONFIG_METADATA!$B$4),IF(DATOS!$G18295="EX",1,IF(DATOS!$G18295="OR",--(COUNTIFS(nNIA,DATOS!$A18295,nCURSO,DATOS!$D18295,nESPEC,DATOS!$E18295,nASIG,DATOS!$I18295,nEVAL,"EX")=0),0))))</f>
      </c>
      <c r="H18295">
        <f>IF(DATOS!$G18295&lt;&gt;"EX",0,--(COUNTIFS(nNIA,DATOS!$A18295,nCURSO,DATOS!$D18295,nESPEC,DATOS!$E18295,nASIG,DATOS!$I18295,nEVAL,"OR")=0))</f>
      </c>
      <c r="I18295">
        <f>IF(DATOS!$I18295="","",IFERROR(VLOOKUP(DATOS!$I18295,CONFIG_ASIGNATURAS!$B$2:$J$91,9,FALSE()),""))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IF(DATOS!$A18296="",0,IF(CONFIG_METADATA!$B$4&lt;&gt;"OR+EX",--(DATOS!$G18296=CONFIG_METADATA!$B$4),IF(DATOS!$G18296="EX",1,IF(DATOS!$G18296="OR",--(COUNTIFS(nNIA,DATOS!$A18296,nCURSO,DATOS!$D18296,nESPEC,DATOS!$E18296,nASIG,DATOS!$I18296,nEVAL,"EX")=0),0))))</f>
      </c>
      <c r="H18296">
        <f>IF(DATOS!$G18296&lt;&gt;"EX",0,--(COUNTIFS(nNIA,DATOS!$A18296,nCURSO,DATOS!$D18296,nESPEC,DATOS!$E18296,nASIG,DATOS!$I18296,nEVAL,"OR")=0))</f>
      </c>
      <c r="I18296">
        <f>IF(DATOS!$I18296="","",IFERROR(VLOOKUP(DATOS!$I18296,CONFIG_ASIGNATURAS!$B$2:$J$91,9,FALSE()),""))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IF(DATOS!$A18297="",0,IF(CONFIG_METADATA!$B$4&lt;&gt;"OR+EX",--(DATOS!$G18297=CONFIG_METADATA!$B$4),IF(DATOS!$G18297="EX",1,IF(DATOS!$G18297="OR",--(COUNTIFS(nNIA,DATOS!$A18297,nCURSO,DATOS!$D18297,nESPEC,DATOS!$E18297,nASIG,DATOS!$I18297,nEVAL,"EX")=0),0))))</f>
      </c>
      <c r="H18297">
        <f>IF(DATOS!$G18297&lt;&gt;"EX",0,--(COUNTIFS(nNIA,DATOS!$A18297,nCURSO,DATOS!$D18297,nESPEC,DATOS!$E18297,nASIG,DATOS!$I18297,nEVAL,"OR")=0))</f>
      </c>
      <c r="I18297">
        <f>IF(DATOS!$I18297="","",IFERROR(VLOOKUP(DATOS!$I18297,CONFIG_ASIGNATURAS!$B$2:$J$91,9,FALSE()),""))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IF(DATOS!$A18298="",0,IF(CONFIG_METADATA!$B$4&lt;&gt;"OR+EX",--(DATOS!$G18298=CONFIG_METADATA!$B$4),IF(DATOS!$G18298="EX",1,IF(DATOS!$G18298="OR",--(COUNTIFS(nNIA,DATOS!$A18298,nCURSO,DATOS!$D18298,nESPEC,DATOS!$E18298,nASIG,DATOS!$I18298,nEVAL,"EX")=0),0))))</f>
      </c>
      <c r="H18298">
        <f>IF(DATOS!$G18298&lt;&gt;"EX",0,--(COUNTIFS(nNIA,DATOS!$A18298,nCURSO,DATOS!$D18298,nESPEC,DATOS!$E18298,nASIG,DATOS!$I18298,nEVAL,"OR")=0))</f>
      </c>
      <c r="I18298">
        <f>IF(DATOS!$I18298="","",IFERROR(VLOOKUP(DATOS!$I18298,CONFIG_ASIGNATURAS!$B$2:$J$91,9,FALSE()),""))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IF(DATOS!$A18299="",0,IF(CONFIG_METADATA!$B$4&lt;&gt;"OR+EX",--(DATOS!$G18299=CONFIG_METADATA!$B$4),IF(DATOS!$G18299="EX",1,IF(DATOS!$G18299="OR",--(COUNTIFS(nNIA,DATOS!$A18299,nCURSO,DATOS!$D18299,nESPEC,DATOS!$E18299,nASIG,DATOS!$I18299,nEVAL,"EX")=0),0))))</f>
      </c>
      <c r="H18299">
        <f>IF(DATOS!$G18299&lt;&gt;"EX",0,--(COUNTIFS(nNIA,DATOS!$A18299,nCURSO,DATOS!$D18299,nESPEC,DATOS!$E18299,nASIG,DATOS!$I18299,nEVAL,"OR")=0))</f>
      </c>
      <c r="I18299">
        <f>IF(DATOS!$I18299="","",IFERROR(VLOOKUP(DATOS!$I18299,CONFIG_ASIGNATURAS!$B$2:$J$91,9,FALSE()),""))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IF(DATOS!$A18300="",0,IF(CONFIG_METADATA!$B$4&lt;&gt;"OR+EX",--(DATOS!$G18300=CONFIG_METADATA!$B$4),IF(DATOS!$G18300="EX",1,IF(DATOS!$G18300="OR",--(COUNTIFS(nNIA,DATOS!$A18300,nCURSO,DATOS!$D18300,nESPEC,DATOS!$E18300,nASIG,DATOS!$I18300,nEVAL,"EX")=0),0))))</f>
      </c>
      <c r="H18300">
        <f>IF(DATOS!$G18300&lt;&gt;"EX",0,--(COUNTIFS(nNIA,DATOS!$A18300,nCURSO,DATOS!$D18300,nESPEC,DATOS!$E18300,nASIG,DATOS!$I18300,nEVAL,"OR")=0))</f>
      </c>
      <c r="I18300">
        <f>IF(DATOS!$I18300="","",IFERROR(VLOOKUP(DATOS!$I18300,CONFIG_ASIGNATURAS!$B$2:$J$91,9,FALSE()),""))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IF(DATOS!$A18301="",0,IF(CONFIG_METADATA!$B$4&lt;&gt;"OR+EX",--(DATOS!$G18301=CONFIG_METADATA!$B$4),IF(DATOS!$G18301="EX",1,IF(DATOS!$G18301="OR",--(COUNTIFS(nNIA,DATOS!$A18301,nCURSO,DATOS!$D18301,nESPEC,DATOS!$E18301,nASIG,DATOS!$I18301,nEVAL,"EX")=0),0))))</f>
      </c>
      <c r="H18301">
        <f>IF(DATOS!$G18301&lt;&gt;"EX",0,--(COUNTIFS(nNIA,DATOS!$A18301,nCURSO,DATOS!$D18301,nESPEC,DATOS!$E18301,nASIG,DATOS!$I18301,nEVAL,"OR")=0))</f>
      </c>
      <c r="I18301">
        <f>IF(DATOS!$I18301="","",IFERROR(VLOOKUP(DATOS!$I18301,CONFIG_ASIGNATURAS!$B$2:$J$91,9,FALSE()),""))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IF(DATOS!$A18302="",0,IF(CONFIG_METADATA!$B$4&lt;&gt;"OR+EX",--(DATOS!$G18302=CONFIG_METADATA!$B$4),IF(DATOS!$G18302="EX",1,IF(DATOS!$G18302="OR",--(COUNTIFS(nNIA,DATOS!$A18302,nCURSO,DATOS!$D18302,nESPEC,DATOS!$E18302,nASIG,DATOS!$I18302,nEVAL,"EX")=0),0))))</f>
      </c>
      <c r="H18302">
        <f>IF(DATOS!$G18302&lt;&gt;"EX",0,--(COUNTIFS(nNIA,DATOS!$A18302,nCURSO,DATOS!$D18302,nESPEC,DATOS!$E18302,nASIG,DATOS!$I18302,nEVAL,"OR")=0))</f>
      </c>
      <c r="I18302">
        <f>IF(DATOS!$I18302="","",IFERROR(VLOOKUP(DATOS!$I18302,CONFIG_ASIGNATURAS!$B$2:$J$91,9,FALSE()),""))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IF(DATOS!$A18303="",0,IF(CONFIG_METADATA!$B$4&lt;&gt;"OR+EX",--(DATOS!$G18303=CONFIG_METADATA!$B$4),IF(DATOS!$G18303="EX",1,IF(DATOS!$G18303="OR",--(COUNTIFS(nNIA,DATOS!$A18303,nCURSO,DATOS!$D18303,nESPEC,DATOS!$E18303,nASIG,DATOS!$I18303,nEVAL,"EX")=0),0))))</f>
      </c>
      <c r="H18303">
        <f>IF(DATOS!$G18303&lt;&gt;"EX",0,--(COUNTIFS(nNIA,DATOS!$A18303,nCURSO,DATOS!$D18303,nESPEC,DATOS!$E18303,nASIG,DATOS!$I18303,nEVAL,"OR")=0))</f>
      </c>
      <c r="I18303">
        <f>IF(DATOS!$I18303="","",IFERROR(VLOOKUP(DATOS!$I18303,CONFIG_ASIGNATURAS!$B$2:$J$91,9,FALSE()),""))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IF(DATOS!$A18304="",0,IF(CONFIG_METADATA!$B$4&lt;&gt;"OR+EX",--(DATOS!$G18304=CONFIG_METADATA!$B$4),IF(DATOS!$G18304="EX",1,IF(DATOS!$G18304="OR",--(COUNTIFS(nNIA,DATOS!$A18304,nCURSO,DATOS!$D18304,nESPEC,DATOS!$E18304,nASIG,DATOS!$I18304,nEVAL,"EX")=0),0))))</f>
      </c>
      <c r="H18304">
        <f>IF(DATOS!$G18304&lt;&gt;"EX",0,--(COUNTIFS(nNIA,DATOS!$A18304,nCURSO,DATOS!$D18304,nESPEC,DATOS!$E18304,nASIG,DATOS!$I18304,nEVAL,"OR")=0))</f>
      </c>
      <c r="I18304">
        <f>IF(DATOS!$I18304="","",IFERROR(VLOOKUP(DATOS!$I18304,CONFIG_ASIGNATURAS!$B$2:$J$91,9,FALSE()),""))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IF(DATOS!$A18305="",0,IF(CONFIG_METADATA!$B$4&lt;&gt;"OR+EX",--(DATOS!$G18305=CONFIG_METADATA!$B$4),IF(DATOS!$G18305="EX",1,IF(DATOS!$G18305="OR",--(COUNTIFS(nNIA,DATOS!$A18305,nCURSO,DATOS!$D18305,nESPEC,DATOS!$E18305,nASIG,DATOS!$I18305,nEVAL,"EX")=0),0))))</f>
      </c>
      <c r="H18305">
        <f>IF(DATOS!$G18305&lt;&gt;"EX",0,--(COUNTIFS(nNIA,DATOS!$A18305,nCURSO,DATOS!$D18305,nESPEC,DATOS!$E18305,nASIG,DATOS!$I18305,nEVAL,"OR")=0))</f>
      </c>
      <c r="I18305">
        <f>IF(DATOS!$I18305="","",IFERROR(VLOOKUP(DATOS!$I18305,CONFIG_ASIGNATURAS!$B$2:$J$91,9,FALSE()),""))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IF(DATOS!$A18306="",0,IF(CONFIG_METADATA!$B$4&lt;&gt;"OR+EX",--(DATOS!$G18306=CONFIG_METADATA!$B$4),IF(DATOS!$G18306="EX",1,IF(DATOS!$G18306="OR",--(COUNTIFS(nNIA,DATOS!$A18306,nCURSO,DATOS!$D18306,nESPEC,DATOS!$E18306,nASIG,DATOS!$I18306,nEVAL,"EX")=0),0))))</f>
      </c>
      <c r="H18306">
        <f>IF(DATOS!$G18306&lt;&gt;"EX",0,--(COUNTIFS(nNIA,DATOS!$A18306,nCURSO,DATOS!$D18306,nESPEC,DATOS!$E18306,nASIG,DATOS!$I18306,nEVAL,"OR")=0))</f>
      </c>
      <c r="I18306">
        <f>IF(DATOS!$I18306="","",IFERROR(VLOOKUP(DATOS!$I18306,CONFIG_ASIGNATURAS!$B$2:$J$91,9,FALSE()),""))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IF(DATOS!$A18307="",0,IF(CONFIG_METADATA!$B$4&lt;&gt;"OR+EX",--(DATOS!$G18307=CONFIG_METADATA!$B$4),IF(DATOS!$G18307="EX",1,IF(DATOS!$G18307="OR",--(COUNTIFS(nNIA,DATOS!$A18307,nCURSO,DATOS!$D18307,nESPEC,DATOS!$E18307,nASIG,DATOS!$I18307,nEVAL,"EX")=0),0))))</f>
      </c>
      <c r="H18307">
        <f>IF(DATOS!$G18307&lt;&gt;"EX",0,--(COUNTIFS(nNIA,DATOS!$A18307,nCURSO,DATOS!$D18307,nESPEC,DATOS!$E18307,nASIG,DATOS!$I18307,nEVAL,"OR")=0))</f>
      </c>
      <c r="I18307">
        <f>IF(DATOS!$I18307="","",IFERROR(VLOOKUP(DATOS!$I18307,CONFIG_ASIGNATURAS!$B$2:$J$91,9,FALSE()),""))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IF(DATOS!$A18308="",0,IF(CONFIG_METADATA!$B$4&lt;&gt;"OR+EX",--(DATOS!$G18308=CONFIG_METADATA!$B$4),IF(DATOS!$G18308="EX",1,IF(DATOS!$G18308="OR",--(COUNTIFS(nNIA,DATOS!$A18308,nCURSO,DATOS!$D18308,nESPEC,DATOS!$E18308,nASIG,DATOS!$I18308,nEVAL,"EX")=0),0))))</f>
      </c>
      <c r="H18308">
        <f>IF(DATOS!$G18308&lt;&gt;"EX",0,--(COUNTIFS(nNIA,DATOS!$A18308,nCURSO,DATOS!$D18308,nESPEC,DATOS!$E18308,nASIG,DATOS!$I18308,nEVAL,"OR")=0))</f>
      </c>
      <c r="I18308">
        <f>IF(DATOS!$I18308="","",IFERROR(VLOOKUP(DATOS!$I18308,CONFIG_ASIGNATURAS!$B$2:$J$91,9,FALSE()),""))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IF(DATOS!$A18309="",0,IF(CONFIG_METADATA!$B$4&lt;&gt;"OR+EX",--(DATOS!$G18309=CONFIG_METADATA!$B$4),IF(DATOS!$G18309="EX",1,IF(DATOS!$G18309="OR",--(COUNTIFS(nNIA,DATOS!$A18309,nCURSO,DATOS!$D18309,nESPEC,DATOS!$E18309,nASIG,DATOS!$I18309,nEVAL,"EX")=0),0))))</f>
      </c>
      <c r="H18309">
        <f>IF(DATOS!$G18309&lt;&gt;"EX",0,--(COUNTIFS(nNIA,DATOS!$A18309,nCURSO,DATOS!$D18309,nESPEC,DATOS!$E18309,nASIG,DATOS!$I18309,nEVAL,"OR")=0))</f>
      </c>
      <c r="I18309">
        <f>IF(DATOS!$I18309="","",IFERROR(VLOOKUP(DATOS!$I18309,CONFIG_ASIGNATURAS!$B$2:$J$91,9,FALSE()),""))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IF(DATOS!$A18310="",0,IF(CONFIG_METADATA!$B$4&lt;&gt;"OR+EX",--(DATOS!$G18310=CONFIG_METADATA!$B$4),IF(DATOS!$G18310="EX",1,IF(DATOS!$G18310="OR",--(COUNTIFS(nNIA,DATOS!$A18310,nCURSO,DATOS!$D18310,nESPEC,DATOS!$E18310,nASIG,DATOS!$I18310,nEVAL,"EX")=0),0))))</f>
      </c>
      <c r="H18310">
        <f>IF(DATOS!$G18310&lt;&gt;"EX",0,--(COUNTIFS(nNIA,DATOS!$A18310,nCURSO,DATOS!$D18310,nESPEC,DATOS!$E18310,nASIG,DATOS!$I18310,nEVAL,"OR")=0))</f>
      </c>
      <c r="I18310">
        <f>IF(DATOS!$I18310="","",IFERROR(VLOOKUP(DATOS!$I18310,CONFIG_ASIGNATURAS!$B$2:$J$91,9,FALSE()),""))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IF(DATOS!$A18311="",0,IF(CONFIG_METADATA!$B$4&lt;&gt;"OR+EX",--(DATOS!$G18311=CONFIG_METADATA!$B$4),IF(DATOS!$G18311="EX",1,IF(DATOS!$G18311="OR",--(COUNTIFS(nNIA,DATOS!$A18311,nCURSO,DATOS!$D18311,nESPEC,DATOS!$E18311,nASIG,DATOS!$I18311,nEVAL,"EX")=0),0))))</f>
      </c>
      <c r="H18311">
        <f>IF(DATOS!$G18311&lt;&gt;"EX",0,--(COUNTIFS(nNIA,DATOS!$A18311,nCURSO,DATOS!$D18311,nESPEC,DATOS!$E18311,nASIG,DATOS!$I18311,nEVAL,"OR")=0))</f>
      </c>
      <c r="I18311">
        <f>IF(DATOS!$I18311="","",IFERROR(VLOOKUP(DATOS!$I18311,CONFIG_ASIGNATURAS!$B$2:$J$91,9,FALSE()),""))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IF(DATOS!$A18312="",0,IF(CONFIG_METADATA!$B$4&lt;&gt;"OR+EX",--(DATOS!$G18312=CONFIG_METADATA!$B$4),IF(DATOS!$G18312="EX",1,IF(DATOS!$G18312="OR",--(COUNTIFS(nNIA,DATOS!$A18312,nCURSO,DATOS!$D18312,nESPEC,DATOS!$E18312,nASIG,DATOS!$I18312,nEVAL,"EX")=0),0))))</f>
      </c>
      <c r="H18312">
        <f>IF(DATOS!$G18312&lt;&gt;"EX",0,--(COUNTIFS(nNIA,DATOS!$A18312,nCURSO,DATOS!$D18312,nESPEC,DATOS!$E18312,nASIG,DATOS!$I18312,nEVAL,"OR")=0))</f>
      </c>
      <c r="I18312">
        <f>IF(DATOS!$I18312="","",IFERROR(VLOOKUP(DATOS!$I18312,CONFIG_ASIGNATURAS!$B$2:$J$91,9,FALSE()),""))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IF(DATOS!$A18313="",0,IF(CONFIG_METADATA!$B$4&lt;&gt;"OR+EX",--(DATOS!$G18313=CONFIG_METADATA!$B$4),IF(DATOS!$G18313="EX",1,IF(DATOS!$G18313="OR",--(COUNTIFS(nNIA,DATOS!$A18313,nCURSO,DATOS!$D18313,nESPEC,DATOS!$E18313,nASIG,DATOS!$I18313,nEVAL,"EX")=0),0))))</f>
      </c>
      <c r="H18313">
        <f>IF(DATOS!$G18313&lt;&gt;"EX",0,--(COUNTIFS(nNIA,DATOS!$A18313,nCURSO,DATOS!$D18313,nESPEC,DATOS!$E18313,nASIG,DATOS!$I18313,nEVAL,"OR")=0))</f>
      </c>
      <c r="I18313">
        <f>IF(DATOS!$I18313="","",IFERROR(VLOOKUP(DATOS!$I18313,CONFIG_ASIGNATURAS!$B$2:$J$91,9,FALSE()),""))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IF(DATOS!$A18314="",0,IF(CONFIG_METADATA!$B$4&lt;&gt;"OR+EX",--(DATOS!$G18314=CONFIG_METADATA!$B$4),IF(DATOS!$G18314="EX",1,IF(DATOS!$G18314="OR",--(COUNTIFS(nNIA,DATOS!$A18314,nCURSO,DATOS!$D18314,nESPEC,DATOS!$E18314,nASIG,DATOS!$I18314,nEVAL,"EX")=0),0))))</f>
      </c>
      <c r="H18314">
        <f>IF(DATOS!$G18314&lt;&gt;"EX",0,--(COUNTIFS(nNIA,DATOS!$A18314,nCURSO,DATOS!$D18314,nESPEC,DATOS!$E18314,nASIG,DATOS!$I18314,nEVAL,"OR")=0))</f>
      </c>
      <c r="I18314">
        <f>IF(DATOS!$I18314="","",IFERROR(VLOOKUP(DATOS!$I18314,CONFIG_ASIGNATURAS!$B$2:$J$91,9,FALSE()),""))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IF(DATOS!$A18315="",0,IF(CONFIG_METADATA!$B$4&lt;&gt;"OR+EX",--(DATOS!$G18315=CONFIG_METADATA!$B$4),IF(DATOS!$G18315="EX",1,IF(DATOS!$G18315="OR",--(COUNTIFS(nNIA,DATOS!$A18315,nCURSO,DATOS!$D18315,nESPEC,DATOS!$E18315,nASIG,DATOS!$I18315,nEVAL,"EX")=0),0))))</f>
      </c>
      <c r="H18315">
        <f>IF(DATOS!$G18315&lt;&gt;"EX",0,--(COUNTIFS(nNIA,DATOS!$A18315,nCURSO,DATOS!$D18315,nESPEC,DATOS!$E18315,nASIG,DATOS!$I18315,nEVAL,"OR")=0))</f>
      </c>
      <c r="I18315">
        <f>IF(DATOS!$I18315="","",IFERROR(VLOOKUP(DATOS!$I18315,CONFIG_ASIGNATURAS!$B$2:$J$91,9,FALSE()),""))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IF(DATOS!$A18316="",0,IF(CONFIG_METADATA!$B$4&lt;&gt;"OR+EX",--(DATOS!$G18316=CONFIG_METADATA!$B$4),IF(DATOS!$G18316="EX",1,IF(DATOS!$G18316="OR",--(COUNTIFS(nNIA,DATOS!$A18316,nCURSO,DATOS!$D18316,nESPEC,DATOS!$E18316,nASIG,DATOS!$I18316,nEVAL,"EX")=0),0))))</f>
      </c>
      <c r="H18316">
        <f>IF(DATOS!$G18316&lt;&gt;"EX",0,--(COUNTIFS(nNIA,DATOS!$A18316,nCURSO,DATOS!$D18316,nESPEC,DATOS!$E18316,nASIG,DATOS!$I18316,nEVAL,"OR")=0))</f>
      </c>
      <c r="I18316">
        <f>IF(DATOS!$I18316="","",IFERROR(VLOOKUP(DATOS!$I18316,CONFIG_ASIGNATURAS!$B$2:$J$91,9,FALSE()),""))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IF(DATOS!$A18317="",0,IF(CONFIG_METADATA!$B$4&lt;&gt;"OR+EX",--(DATOS!$G18317=CONFIG_METADATA!$B$4),IF(DATOS!$G18317="EX",1,IF(DATOS!$G18317="OR",--(COUNTIFS(nNIA,DATOS!$A18317,nCURSO,DATOS!$D18317,nESPEC,DATOS!$E18317,nASIG,DATOS!$I18317,nEVAL,"EX")=0),0))))</f>
      </c>
      <c r="H18317">
        <f>IF(DATOS!$G18317&lt;&gt;"EX",0,--(COUNTIFS(nNIA,DATOS!$A18317,nCURSO,DATOS!$D18317,nESPEC,DATOS!$E18317,nASIG,DATOS!$I18317,nEVAL,"OR")=0))</f>
      </c>
      <c r="I18317">
        <f>IF(DATOS!$I18317="","",IFERROR(VLOOKUP(DATOS!$I18317,CONFIG_ASIGNATURAS!$B$2:$J$91,9,FALSE()),""))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IF(DATOS!$A18318="",0,IF(CONFIG_METADATA!$B$4&lt;&gt;"OR+EX",--(DATOS!$G18318=CONFIG_METADATA!$B$4),IF(DATOS!$G18318="EX",1,IF(DATOS!$G18318="OR",--(COUNTIFS(nNIA,DATOS!$A18318,nCURSO,DATOS!$D18318,nESPEC,DATOS!$E18318,nASIG,DATOS!$I18318,nEVAL,"EX")=0),0))))</f>
      </c>
      <c r="H18318">
        <f>IF(DATOS!$G18318&lt;&gt;"EX",0,--(COUNTIFS(nNIA,DATOS!$A18318,nCURSO,DATOS!$D18318,nESPEC,DATOS!$E18318,nASIG,DATOS!$I18318,nEVAL,"OR")=0))</f>
      </c>
      <c r="I18318">
        <f>IF(DATOS!$I18318="","",IFERROR(VLOOKUP(DATOS!$I18318,CONFIG_ASIGNATURAS!$B$2:$J$91,9,FALSE()),""))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IF(DATOS!$A18319="",0,IF(CONFIG_METADATA!$B$4&lt;&gt;"OR+EX",--(DATOS!$G18319=CONFIG_METADATA!$B$4),IF(DATOS!$G18319="EX",1,IF(DATOS!$G18319="OR",--(COUNTIFS(nNIA,DATOS!$A18319,nCURSO,DATOS!$D18319,nESPEC,DATOS!$E18319,nASIG,DATOS!$I18319,nEVAL,"EX")=0),0))))</f>
      </c>
      <c r="H18319">
        <f>IF(DATOS!$G18319&lt;&gt;"EX",0,--(COUNTIFS(nNIA,DATOS!$A18319,nCURSO,DATOS!$D18319,nESPEC,DATOS!$E18319,nASIG,DATOS!$I18319,nEVAL,"OR")=0))</f>
      </c>
      <c r="I18319">
        <f>IF(DATOS!$I18319="","",IFERROR(VLOOKUP(DATOS!$I18319,CONFIG_ASIGNATURAS!$B$2:$J$91,9,FALSE()),""))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IF(DATOS!$A18320="",0,IF(CONFIG_METADATA!$B$4&lt;&gt;"OR+EX",--(DATOS!$G18320=CONFIG_METADATA!$B$4),IF(DATOS!$G18320="EX",1,IF(DATOS!$G18320="OR",--(COUNTIFS(nNIA,DATOS!$A18320,nCURSO,DATOS!$D18320,nESPEC,DATOS!$E18320,nASIG,DATOS!$I18320,nEVAL,"EX")=0),0))))</f>
      </c>
      <c r="H18320">
        <f>IF(DATOS!$G18320&lt;&gt;"EX",0,--(COUNTIFS(nNIA,DATOS!$A18320,nCURSO,DATOS!$D18320,nESPEC,DATOS!$E18320,nASIG,DATOS!$I18320,nEVAL,"OR")=0))</f>
      </c>
      <c r="I18320">
        <f>IF(DATOS!$I18320="","",IFERROR(VLOOKUP(DATOS!$I18320,CONFIG_ASIGNATURAS!$B$2:$J$91,9,FALSE()),""))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IF(DATOS!$A18321="",0,IF(CONFIG_METADATA!$B$4&lt;&gt;"OR+EX",--(DATOS!$G18321=CONFIG_METADATA!$B$4),IF(DATOS!$G18321="EX",1,IF(DATOS!$G18321="OR",--(COUNTIFS(nNIA,DATOS!$A18321,nCURSO,DATOS!$D18321,nESPEC,DATOS!$E18321,nASIG,DATOS!$I18321,nEVAL,"EX")=0),0))))</f>
      </c>
      <c r="H18321">
        <f>IF(DATOS!$G18321&lt;&gt;"EX",0,--(COUNTIFS(nNIA,DATOS!$A18321,nCURSO,DATOS!$D18321,nESPEC,DATOS!$E18321,nASIG,DATOS!$I18321,nEVAL,"OR")=0))</f>
      </c>
      <c r="I18321">
        <f>IF(DATOS!$I18321="","",IFERROR(VLOOKUP(DATOS!$I18321,CONFIG_ASIGNATURAS!$B$2:$J$91,9,FALSE()),""))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IF(DATOS!$A18322="",0,IF(CONFIG_METADATA!$B$4&lt;&gt;"OR+EX",--(DATOS!$G18322=CONFIG_METADATA!$B$4),IF(DATOS!$G18322="EX",1,IF(DATOS!$G18322="OR",--(COUNTIFS(nNIA,DATOS!$A18322,nCURSO,DATOS!$D18322,nESPEC,DATOS!$E18322,nASIG,DATOS!$I18322,nEVAL,"EX")=0),0))))</f>
      </c>
      <c r="H18322">
        <f>IF(DATOS!$G18322&lt;&gt;"EX",0,--(COUNTIFS(nNIA,DATOS!$A18322,nCURSO,DATOS!$D18322,nESPEC,DATOS!$E18322,nASIG,DATOS!$I18322,nEVAL,"OR")=0))</f>
      </c>
      <c r="I18322">
        <f>IF(DATOS!$I18322="","",IFERROR(VLOOKUP(DATOS!$I18322,CONFIG_ASIGNATURAS!$B$2:$J$91,9,FALSE()),""))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IF(DATOS!$A18323="",0,IF(CONFIG_METADATA!$B$4&lt;&gt;"OR+EX",--(DATOS!$G18323=CONFIG_METADATA!$B$4),IF(DATOS!$G18323="EX",1,IF(DATOS!$G18323="OR",--(COUNTIFS(nNIA,DATOS!$A18323,nCURSO,DATOS!$D18323,nESPEC,DATOS!$E18323,nASIG,DATOS!$I18323,nEVAL,"EX")=0),0))))</f>
      </c>
      <c r="H18323">
        <f>IF(DATOS!$G18323&lt;&gt;"EX",0,--(COUNTIFS(nNIA,DATOS!$A18323,nCURSO,DATOS!$D18323,nESPEC,DATOS!$E18323,nASIG,DATOS!$I18323,nEVAL,"OR")=0))</f>
      </c>
      <c r="I18323">
        <f>IF(DATOS!$I18323="","",IFERROR(VLOOKUP(DATOS!$I18323,CONFIG_ASIGNATURAS!$B$2:$J$91,9,FALSE()),""))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IF(DATOS!$A18324="",0,IF(CONFIG_METADATA!$B$4&lt;&gt;"OR+EX",--(DATOS!$G18324=CONFIG_METADATA!$B$4),IF(DATOS!$G18324="EX",1,IF(DATOS!$G18324="OR",--(COUNTIFS(nNIA,DATOS!$A18324,nCURSO,DATOS!$D18324,nESPEC,DATOS!$E18324,nASIG,DATOS!$I18324,nEVAL,"EX")=0),0))))</f>
      </c>
      <c r="H18324">
        <f>IF(DATOS!$G18324&lt;&gt;"EX",0,--(COUNTIFS(nNIA,DATOS!$A18324,nCURSO,DATOS!$D18324,nESPEC,DATOS!$E18324,nASIG,DATOS!$I18324,nEVAL,"OR")=0))</f>
      </c>
      <c r="I18324">
        <f>IF(DATOS!$I18324="","",IFERROR(VLOOKUP(DATOS!$I18324,CONFIG_ASIGNATURAS!$B$2:$J$91,9,FALSE()),""))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IF(DATOS!$A18325="",0,IF(CONFIG_METADATA!$B$4&lt;&gt;"OR+EX",--(DATOS!$G18325=CONFIG_METADATA!$B$4),IF(DATOS!$G18325="EX",1,IF(DATOS!$G18325="OR",--(COUNTIFS(nNIA,DATOS!$A18325,nCURSO,DATOS!$D18325,nESPEC,DATOS!$E18325,nASIG,DATOS!$I18325,nEVAL,"EX")=0),0))))</f>
      </c>
      <c r="H18325">
        <f>IF(DATOS!$G18325&lt;&gt;"EX",0,--(COUNTIFS(nNIA,DATOS!$A18325,nCURSO,DATOS!$D18325,nESPEC,DATOS!$E18325,nASIG,DATOS!$I18325,nEVAL,"OR")=0))</f>
      </c>
      <c r="I18325">
        <f>IF(DATOS!$I18325="","",IFERROR(VLOOKUP(DATOS!$I18325,CONFIG_ASIGNATURAS!$B$2:$J$91,9,FALSE()),""))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IF(DATOS!$A18326="",0,IF(CONFIG_METADATA!$B$4&lt;&gt;"OR+EX",--(DATOS!$G18326=CONFIG_METADATA!$B$4),IF(DATOS!$G18326="EX",1,IF(DATOS!$G18326="OR",--(COUNTIFS(nNIA,DATOS!$A18326,nCURSO,DATOS!$D18326,nESPEC,DATOS!$E18326,nASIG,DATOS!$I18326,nEVAL,"EX")=0),0))))</f>
      </c>
      <c r="H18326">
        <f>IF(DATOS!$G18326&lt;&gt;"EX",0,--(COUNTIFS(nNIA,DATOS!$A18326,nCURSO,DATOS!$D18326,nESPEC,DATOS!$E18326,nASIG,DATOS!$I18326,nEVAL,"OR")=0))</f>
      </c>
      <c r="I18326">
        <f>IF(DATOS!$I18326="","",IFERROR(VLOOKUP(DATOS!$I18326,CONFIG_ASIGNATURAS!$B$2:$J$91,9,FALSE()),""))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IF(DATOS!$A18327="",0,IF(CONFIG_METADATA!$B$4&lt;&gt;"OR+EX",--(DATOS!$G18327=CONFIG_METADATA!$B$4),IF(DATOS!$G18327="EX",1,IF(DATOS!$G18327="OR",--(COUNTIFS(nNIA,DATOS!$A18327,nCURSO,DATOS!$D18327,nESPEC,DATOS!$E18327,nASIG,DATOS!$I18327,nEVAL,"EX")=0),0))))</f>
      </c>
      <c r="H18327">
        <f>IF(DATOS!$G18327&lt;&gt;"EX",0,--(COUNTIFS(nNIA,DATOS!$A18327,nCURSO,DATOS!$D18327,nESPEC,DATOS!$E18327,nASIG,DATOS!$I18327,nEVAL,"OR")=0))</f>
      </c>
      <c r="I18327">
        <f>IF(DATOS!$I18327="","",IFERROR(VLOOKUP(DATOS!$I18327,CONFIG_ASIGNATURAS!$B$2:$J$91,9,FALSE()),""))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IF(DATOS!$A18328="",0,IF(CONFIG_METADATA!$B$4&lt;&gt;"OR+EX",--(DATOS!$G18328=CONFIG_METADATA!$B$4),IF(DATOS!$G18328="EX",1,IF(DATOS!$G18328="OR",--(COUNTIFS(nNIA,DATOS!$A18328,nCURSO,DATOS!$D18328,nESPEC,DATOS!$E18328,nASIG,DATOS!$I18328,nEVAL,"EX")=0),0))))</f>
      </c>
      <c r="H18328">
        <f>IF(DATOS!$G18328&lt;&gt;"EX",0,--(COUNTIFS(nNIA,DATOS!$A18328,nCURSO,DATOS!$D18328,nESPEC,DATOS!$E18328,nASIG,DATOS!$I18328,nEVAL,"OR")=0))</f>
      </c>
      <c r="I18328">
        <f>IF(DATOS!$I18328="","",IFERROR(VLOOKUP(DATOS!$I18328,CONFIG_ASIGNATURAS!$B$2:$J$91,9,FALSE()),""))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IF(DATOS!$A18329="",0,IF(CONFIG_METADATA!$B$4&lt;&gt;"OR+EX",--(DATOS!$G18329=CONFIG_METADATA!$B$4),IF(DATOS!$G18329="EX",1,IF(DATOS!$G18329="OR",--(COUNTIFS(nNIA,DATOS!$A18329,nCURSO,DATOS!$D18329,nESPEC,DATOS!$E18329,nASIG,DATOS!$I18329,nEVAL,"EX")=0),0))))</f>
      </c>
      <c r="H18329">
        <f>IF(DATOS!$G18329&lt;&gt;"EX",0,--(COUNTIFS(nNIA,DATOS!$A18329,nCURSO,DATOS!$D18329,nESPEC,DATOS!$E18329,nASIG,DATOS!$I18329,nEVAL,"OR")=0))</f>
      </c>
      <c r="I18329">
        <f>IF(DATOS!$I18329="","",IFERROR(VLOOKUP(DATOS!$I18329,CONFIG_ASIGNATURAS!$B$2:$J$91,9,FALSE()),""))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IF(DATOS!$A18330="",0,IF(CONFIG_METADATA!$B$4&lt;&gt;"OR+EX",--(DATOS!$G18330=CONFIG_METADATA!$B$4),IF(DATOS!$G18330="EX",1,IF(DATOS!$G18330="OR",--(COUNTIFS(nNIA,DATOS!$A18330,nCURSO,DATOS!$D18330,nESPEC,DATOS!$E18330,nASIG,DATOS!$I18330,nEVAL,"EX")=0),0))))</f>
      </c>
      <c r="H18330">
        <f>IF(DATOS!$G18330&lt;&gt;"EX",0,--(COUNTIFS(nNIA,DATOS!$A18330,nCURSO,DATOS!$D18330,nESPEC,DATOS!$E18330,nASIG,DATOS!$I18330,nEVAL,"OR")=0))</f>
      </c>
      <c r="I18330">
        <f>IF(DATOS!$I18330="","",IFERROR(VLOOKUP(DATOS!$I18330,CONFIG_ASIGNATURAS!$B$2:$J$91,9,FALSE()),""))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IF(DATOS!$A18331="",0,IF(CONFIG_METADATA!$B$4&lt;&gt;"OR+EX",--(DATOS!$G18331=CONFIG_METADATA!$B$4),IF(DATOS!$G18331="EX",1,IF(DATOS!$G18331="OR",--(COUNTIFS(nNIA,DATOS!$A18331,nCURSO,DATOS!$D18331,nESPEC,DATOS!$E18331,nASIG,DATOS!$I18331,nEVAL,"EX")=0),0))))</f>
      </c>
      <c r="H18331">
        <f>IF(DATOS!$G18331&lt;&gt;"EX",0,--(COUNTIFS(nNIA,DATOS!$A18331,nCURSO,DATOS!$D18331,nESPEC,DATOS!$E18331,nASIG,DATOS!$I18331,nEVAL,"OR")=0))</f>
      </c>
      <c r="I18331">
        <f>IF(DATOS!$I18331="","",IFERROR(VLOOKUP(DATOS!$I18331,CONFIG_ASIGNATURAS!$B$2:$J$91,9,FALSE()),""))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IF(DATOS!$A18332="",0,IF(CONFIG_METADATA!$B$4&lt;&gt;"OR+EX",--(DATOS!$G18332=CONFIG_METADATA!$B$4),IF(DATOS!$G18332="EX",1,IF(DATOS!$G18332="OR",--(COUNTIFS(nNIA,DATOS!$A18332,nCURSO,DATOS!$D18332,nESPEC,DATOS!$E18332,nASIG,DATOS!$I18332,nEVAL,"EX")=0),0))))</f>
      </c>
      <c r="H18332">
        <f>IF(DATOS!$G18332&lt;&gt;"EX",0,--(COUNTIFS(nNIA,DATOS!$A18332,nCURSO,DATOS!$D18332,nESPEC,DATOS!$E18332,nASIG,DATOS!$I18332,nEVAL,"OR")=0))</f>
      </c>
      <c r="I18332">
        <f>IF(DATOS!$I18332="","",IFERROR(VLOOKUP(DATOS!$I18332,CONFIG_ASIGNATURAS!$B$2:$J$91,9,FALSE()),""))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IF(DATOS!$A18333="",0,IF(CONFIG_METADATA!$B$4&lt;&gt;"OR+EX",--(DATOS!$G18333=CONFIG_METADATA!$B$4),IF(DATOS!$G18333="EX",1,IF(DATOS!$G18333="OR",--(COUNTIFS(nNIA,DATOS!$A18333,nCURSO,DATOS!$D18333,nESPEC,DATOS!$E18333,nASIG,DATOS!$I18333,nEVAL,"EX")=0),0))))</f>
      </c>
      <c r="H18333">
        <f>IF(DATOS!$G18333&lt;&gt;"EX",0,--(COUNTIFS(nNIA,DATOS!$A18333,nCURSO,DATOS!$D18333,nESPEC,DATOS!$E18333,nASIG,DATOS!$I18333,nEVAL,"OR")=0))</f>
      </c>
      <c r="I18333">
        <f>IF(DATOS!$I18333="","",IFERROR(VLOOKUP(DATOS!$I18333,CONFIG_ASIGNATURAS!$B$2:$J$91,9,FALSE()),""))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IF(DATOS!$A18334="",0,IF(CONFIG_METADATA!$B$4&lt;&gt;"OR+EX",--(DATOS!$G18334=CONFIG_METADATA!$B$4),IF(DATOS!$G18334="EX",1,IF(DATOS!$G18334="OR",--(COUNTIFS(nNIA,DATOS!$A18334,nCURSO,DATOS!$D18334,nESPEC,DATOS!$E18334,nASIG,DATOS!$I18334,nEVAL,"EX")=0),0))))</f>
      </c>
      <c r="H18334">
        <f>IF(DATOS!$G18334&lt;&gt;"EX",0,--(COUNTIFS(nNIA,DATOS!$A18334,nCURSO,DATOS!$D18334,nESPEC,DATOS!$E18334,nASIG,DATOS!$I18334,nEVAL,"OR")=0))</f>
      </c>
      <c r="I18334">
        <f>IF(DATOS!$I18334="","",IFERROR(VLOOKUP(DATOS!$I18334,CONFIG_ASIGNATURAS!$B$2:$J$91,9,FALSE()),""))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IF(DATOS!$A18335="",0,IF(CONFIG_METADATA!$B$4&lt;&gt;"OR+EX",--(DATOS!$G18335=CONFIG_METADATA!$B$4),IF(DATOS!$G18335="EX",1,IF(DATOS!$G18335="OR",--(COUNTIFS(nNIA,DATOS!$A18335,nCURSO,DATOS!$D18335,nESPEC,DATOS!$E18335,nASIG,DATOS!$I18335,nEVAL,"EX")=0),0))))</f>
      </c>
      <c r="H18335">
        <f>IF(DATOS!$G18335&lt;&gt;"EX",0,--(COUNTIFS(nNIA,DATOS!$A18335,nCURSO,DATOS!$D18335,nESPEC,DATOS!$E18335,nASIG,DATOS!$I18335,nEVAL,"OR")=0))</f>
      </c>
      <c r="I18335">
        <f>IF(DATOS!$I18335="","",IFERROR(VLOOKUP(DATOS!$I18335,CONFIG_ASIGNATURAS!$B$2:$J$91,9,FALSE()),""))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IF(DATOS!$A18336="",0,IF(CONFIG_METADATA!$B$4&lt;&gt;"OR+EX",--(DATOS!$G18336=CONFIG_METADATA!$B$4),IF(DATOS!$G18336="EX",1,IF(DATOS!$G18336="OR",--(COUNTIFS(nNIA,DATOS!$A18336,nCURSO,DATOS!$D18336,nESPEC,DATOS!$E18336,nASIG,DATOS!$I18336,nEVAL,"EX")=0),0))))</f>
      </c>
      <c r="H18336">
        <f>IF(DATOS!$G18336&lt;&gt;"EX",0,--(COUNTIFS(nNIA,DATOS!$A18336,nCURSO,DATOS!$D18336,nESPEC,DATOS!$E18336,nASIG,DATOS!$I18336,nEVAL,"OR")=0))</f>
      </c>
      <c r="I18336">
        <f>IF(DATOS!$I18336="","",IFERROR(VLOOKUP(DATOS!$I18336,CONFIG_ASIGNATURAS!$B$2:$J$91,9,FALSE()),""))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IF(DATOS!$A18337="",0,IF(CONFIG_METADATA!$B$4&lt;&gt;"OR+EX",--(DATOS!$G18337=CONFIG_METADATA!$B$4),IF(DATOS!$G18337="EX",1,IF(DATOS!$G18337="OR",--(COUNTIFS(nNIA,DATOS!$A18337,nCURSO,DATOS!$D18337,nESPEC,DATOS!$E18337,nASIG,DATOS!$I18337,nEVAL,"EX")=0),0))))</f>
      </c>
      <c r="H18337">
        <f>IF(DATOS!$G18337&lt;&gt;"EX",0,--(COUNTIFS(nNIA,DATOS!$A18337,nCURSO,DATOS!$D18337,nESPEC,DATOS!$E18337,nASIG,DATOS!$I18337,nEVAL,"OR")=0))</f>
      </c>
      <c r="I18337">
        <f>IF(DATOS!$I18337="","",IFERROR(VLOOKUP(DATOS!$I18337,CONFIG_ASIGNATURAS!$B$2:$J$91,9,FALSE()),""))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IF(DATOS!$A18338="",0,IF(CONFIG_METADATA!$B$4&lt;&gt;"OR+EX",--(DATOS!$G18338=CONFIG_METADATA!$B$4),IF(DATOS!$G18338="EX",1,IF(DATOS!$G18338="OR",--(COUNTIFS(nNIA,DATOS!$A18338,nCURSO,DATOS!$D18338,nESPEC,DATOS!$E18338,nASIG,DATOS!$I18338,nEVAL,"EX")=0),0))))</f>
      </c>
      <c r="H18338">
        <f>IF(DATOS!$G18338&lt;&gt;"EX",0,--(COUNTIFS(nNIA,DATOS!$A18338,nCURSO,DATOS!$D18338,nESPEC,DATOS!$E18338,nASIG,DATOS!$I18338,nEVAL,"OR")=0))</f>
      </c>
      <c r="I18338">
        <f>IF(DATOS!$I18338="","",IFERROR(VLOOKUP(DATOS!$I18338,CONFIG_ASIGNATURAS!$B$2:$J$91,9,FALSE()),""))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IF(DATOS!$A18339="",0,IF(CONFIG_METADATA!$B$4&lt;&gt;"OR+EX",--(DATOS!$G18339=CONFIG_METADATA!$B$4),IF(DATOS!$G18339="EX",1,IF(DATOS!$G18339="OR",--(COUNTIFS(nNIA,DATOS!$A18339,nCURSO,DATOS!$D18339,nESPEC,DATOS!$E18339,nASIG,DATOS!$I18339,nEVAL,"EX")=0),0))))</f>
      </c>
      <c r="H18339">
        <f>IF(DATOS!$G18339&lt;&gt;"EX",0,--(COUNTIFS(nNIA,DATOS!$A18339,nCURSO,DATOS!$D18339,nESPEC,DATOS!$E18339,nASIG,DATOS!$I18339,nEVAL,"OR")=0))</f>
      </c>
      <c r="I18339">
        <f>IF(DATOS!$I18339="","",IFERROR(VLOOKUP(DATOS!$I18339,CONFIG_ASIGNATURAS!$B$2:$J$91,9,FALSE()),""))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IF(DATOS!$A18340="",0,IF(CONFIG_METADATA!$B$4&lt;&gt;"OR+EX",--(DATOS!$G18340=CONFIG_METADATA!$B$4),IF(DATOS!$G18340="EX",1,IF(DATOS!$G18340="OR",--(COUNTIFS(nNIA,DATOS!$A18340,nCURSO,DATOS!$D18340,nESPEC,DATOS!$E18340,nASIG,DATOS!$I18340,nEVAL,"EX")=0),0))))</f>
      </c>
      <c r="H18340">
        <f>IF(DATOS!$G18340&lt;&gt;"EX",0,--(COUNTIFS(nNIA,DATOS!$A18340,nCURSO,DATOS!$D18340,nESPEC,DATOS!$E18340,nASIG,DATOS!$I18340,nEVAL,"OR")=0))</f>
      </c>
      <c r="I18340">
        <f>IF(DATOS!$I18340="","",IFERROR(VLOOKUP(DATOS!$I18340,CONFIG_ASIGNATURAS!$B$2:$J$91,9,FALSE()),""))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IF(DATOS!$A18341="",0,IF(CONFIG_METADATA!$B$4&lt;&gt;"OR+EX",--(DATOS!$G18341=CONFIG_METADATA!$B$4),IF(DATOS!$G18341="EX",1,IF(DATOS!$G18341="OR",--(COUNTIFS(nNIA,DATOS!$A18341,nCURSO,DATOS!$D18341,nESPEC,DATOS!$E18341,nASIG,DATOS!$I18341,nEVAL,"EX")=0),0))))</f>
      </c>
      <c r="H18341">
        <f>IF(DATOS!$G18341&lt;&gt;"EX",0,--(COUNTIFS(nNIA,DATOS!$A18341,nCURSO,DATOS!$D18341,nESPEC,DATOS!$E18341,nASIG,DATOS!$I18341,nEVAL,"OR")=0))</f>
      </c>
      <c r="I18341">
        <f>IF(DATOS!$I18341="","",IFERROR(VLOOKUP(DATOS!$I18341,CONFIG_ASIGNATURAS!$B$2:$J$91,9,FALSE()),""))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IF(DATOS!$A18342="",0,IF(CONFIG_METADATA!$B$4&lt;&gt;"OR+EX",--(DATOS!$G18342=CONFIG_METADATA!$B$4),IF(DATOS!$G18342="EX",1,IF(DATOS!$G18342="OR",--(COUNTIFS(nNIA,DATOS!$A18342,nCURSO,DATOS!$D18342,nESPEC,DATOS!$E18342,nASIG,DATOS!$I18342,nEVAL,"EX")=0),0))))</f>
      </c>
      <c r="H18342">
        <f>IF(DATOS!$G18342&lt;&gt;"EX",0,--(COUNTIFS(nNIA,DATOS!$A18342,nCURSO,DATOS!$D18342,nESPEC,DATOS!$E18342,nASIG,DATOS!$I18342,nEVAL,"OR")=0))</f>
      </c>
      <c r="I18342">
        <f>IF(DATOS!$I18342="","",IFERROR(VLOOKUP(DATOS!$I18342,CONFIG_ASIGNATURAS!$B$2:$J$91,9,FALSE()),""))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IF(DATOS!$A18343="",0,IF(CONFIG_METADATA!$B$4&lt;&gt;"OR+EX",--(DATOS!$G18343=CONFIG_METADATA!$B$4),IF(DATOS!$G18343="EX",1,IF(DATOS!$G18343="OR",--(COUNTIFS(nNIA,DATOS!$A18343,nCURSO,DATOS!$D18343,nESPEC,DATOS!$E18343,nASIG,DATOS!$I18343,nEVAL,"EX")=0),0))))</f>
      </c>
      <c r="H18343">
        <f>IF(DATOS!$G18343&lt;&gt;"EX",0,--(COUNTIFS(nNIA,DATOS!$A18343,nCURSO,DATOS!$D18343,nESPEC,DATOS!$E18343,nASIG,DATOS!$I18343,nEVAL,"OR")=0))</f>
      </c>
      <c r="I18343">
        <f>IF(DATOS!$I18343="","",IFERROR(VLOOKUP(DATOS!$I18343,CONFIG_ASIGNATURAS!$B$2:$J$91,9,FALSE()),""))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IF(DATOS!$A18344="",0,IF(CONFIG_METADATA!$B$4&lt;&gt;"OR+EX",--(DATOS!$G18344=CONFIG_METADATA!$B$4),IF(DATOS!$G18344="EX",1,IF(DATOS!$G18344="OR",--(COUNTIFS(nNIA,DATOS!$A18344,nCURSO,DATOS!$D18344,nESPEC,DATOS!$E18344,nASIG,DATOS!$I18344,nEVAL,"EX")=0),0))))</f>
      </c>
      <c r="H18344">
        <f>IF(DATOS!$G18344&lt;&gt;"EX",0,--(COUNTIFS(nNIA,DATOS!$A18344,nCURSO,DATOS!$D18344,nESPEC,DATOS!$E18344,nASIG,DATOS!$I18344,nEVAL,"OR")=0))</f>
      </c>
      <c r="I18344">
        <f>IF(DATOS!$I18344="","",IFERROR(VLOOKUP(DATOS!$I18344,CONFIG_ASIGNATURAS!$B$2:$J$91,9,FALSE()),""))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IF(DATOS!$A18345="",0,IF(CONFIG_METADATA!$B$4&lt;&gt;"OR+EX",--(DATOS!$G18345=CONFIG_METADATA!$B$4),IF(DATOS!$G18345="EX",1,IF(DATOS!$G18345="OR",--(COUNTIFS(nNIA,DATOS!$A18345,nCURSO,DATOS!$D18345,nESPEC,DATOS!$E18345,nASIG,DATOS!$I18345,nEVAL,"EX")=0),0))))</f>
      </c>
      <c r="H18345">
        <f>IF(DATOS!$G18345&lt;&gt;"EX",0,--(COUNTIFS(nNIA,DATOS!$A18345,nCURSO,DATOS!$D18345,nESPEC,DATOS!$E18345,nASIG,DATOS!$I18345,nEVAL,"OR")=0))</f>
      </c>
      <c r="I18345">
        <f>IF(DATOS!$I18345="","",IFERROR(VLOOKUP(DATOS!$I18345,CONFIG_ASIGNATURAS!$B$2:$J$91,9,FALSE()),""))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IF(DATOS!$A18346="",0,IF(CONFIG_METADATA!$B$4&lt;&gt;"OR+EX",--(DATOS!$G18346=CONFIG_METADATA!$B$4),IF(DATOS!$G18346="EX",1,IF(DATOS!$G18346="OR",--(COUNTIFS(nNIA,DATOS!$A18346,nCURSO,DATOS!$D18346,nESPEC,DATOS!$E18346,nASIG,DATOS!$I18346,nEVAL,"EX")=0),0))))</f>
      </c>
      <c r="H18346">
        <f>IF(DATOS!$G18346&lt;&gt;"EX",0,--(COUNTIFS(nNIA,DATOS!$A18346,nCURSO,DATOS!$D18346,nESPEC,DATOS!$E18346,nASIG,DATOS!$I18346,nEVAL,"OR")=0))</f>
      </c>
      <c r="I18346">
        <f>IF(DATOS!$I18346="","",IFERROR(VLOOKUP(DATOS!$I18346,CONFIG_ASIGNATURAS!$B$2:$J$91,9,FALSE()),""))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IF(DATOS!$A18347="",0,IF(CONFIG_METADATA!$B$4&lt;&gt;"OR+EX",--(DATOS!$G18347=CONFIG_METADATA!$B$4),IF(DATOS!$G18347="EX",1,IF(DATOS!$G18347="OR",--(COUNTIFS(nNIA,DATOS!$A18347,nCURSO,DATOS!$D18347,nESPEC,DATOS!$E18347,nASIG,DATOS!$I18347,nEVAL,"EX")=0),0))))</f>
      </c>
      <c r="H18347">
        <f>IF(DATOS!$G18347&lt;&gt;"EX",0,--(COUNTIFS(nNIA,DATOS!$A18347,nCURSO,DATOS!$D18347,nESPEC,DATOS!$E18347,nASIG,DATOS!$I18347,nEVAL,"OR")=0))</f>
      </c>
      <c r="I18347">
        <f>IF(DATOS!$I18347="","",IFERROR(VLOOKUP(DATOS!$I18347,CONFIG_ASIGNATURAS!$B$2:$J$91,9,FALSE()),""))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IF(DATOS!$A18348="",0,IF(CONFIG_METADATA!$B$4&lt;&gt;"OR+EX",--(DATOS!$G18348=CONFIG_METADATA!$B$4),IF(DATOS!$G18348="EX",1,IF(DATOS!$G18348="OR",--(COUNTIFS(nNIA,DATOS!$A18348,nCURSO,DATOS!$D18348,nESPEC,DATOS!$E18348,nASIG,DATOS!$I18348,nEVAL,"EX")=0),0))))</f>
      </c>
      <c r="H18348">
        <f>IF(DATOS!$G18348&lt;&gt;"EX",0,--(COUNTIFS(nNIA,DATOS!$A18348,nCURSO,DATOS!$D18348,nESPEC,DATOS!$E18348,nASIG,DATOS!$I18348,nEVAL,"OR")=0))</f>
      </c>
      <c r="I18348">
        <f>IF(DATOS!$I18348="","",IFERROR(VLOOKUP(DATOS!$I18348,CONFIG_ASIGNATURAS!$B$2:$J$91,9,FALSE()),""))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IF(DATOS!$A18349="",0,IF(CONFIG_METADATA!$B$4&lt;&gt;"OR+EX",--(DATOS!$G18349=CONFIG_METADATA!$B$4),IF(DATOS!$G18349="EX",1,IF(DATOS!$G18349="OR",--(COUNTIFS(nNIA,DATOS!$A18349,nCURSO,DATOS!$D18349,nESPEC,DATOS!$E18349,nASIG,DATOS!$I18349,nEVAL,"EX")=0),0))))</f>
      </c>
      <c r="H18349">
        <f>IF(DATOS!$G18349&lt;&gt;"EX",0,--(COUNTIFS(nNIA,DATOS!$A18349,nCURSO,DATOS!$D18349,nESPEC,DATOS!$E18349,nASIG,DATOS!$I18349,nEVAL,"OR")=0))</f>
      </c>
      <c r="I18349">
        <f>IF(DATOS!$I18349="","",IFERROR(VLOOKUP(DATOS!$I18349,CONFIG_ASIGNATURAS!$B$2:$J$91,9,FALSE()),""))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IF(DATOS!$A18350="",0,IF(CONFIG_METADATA!$B$4&lt;&gt;"OR+EX",--(DATOS!$G18350=CONFIG_METADATA!$B$4),IF(DATOS!$G18350="EX",1,IF(DATOS!$G18350="OR",--(COUNTIFS(nNIA,DATOS!$A18350,nCURSO,DATOS!$D18350,nESPEC,DATOS!$E18350,nASIG,DATOS!$I18350,nEVAL,"EX")=0),0))))</f>
      </c>
      <c r="H18350">
        <f>IF(DATOS!$G18350&lt;&gt;"EX",0,--(COUNTIFS(nNIA,DATOS!$A18350,nCURSO,DATOS!$D18350,nESPEC,DATOS!$E18350,nASIG,DATOS!$I18350,nEVAL,"OR")=0))</f>
      </c>
      <c r="I18350">
        <f>IF(DATOS!$I18350="","",IFERROR(VLOOKUP(DATOS!$I18350,CONFIG_ASIGNATURAS!$B$2:$J$91,9,FALSE()),""))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IF(DATOS!$A18351="",0,IF(CONFIG_METADATA!$B$4&lt;&gt;"OR+EX",--(DATOS!$G18351=CONFIG_METADATA!$B$4),IF(DATOS!$G18351="EX",1,IF(DATOS!$G18351="OR",--(COUNTIFS(nNIA,DATOS!$A18351,nCURSO,DATOS!$D18351,nESPEC,DATOS!$E18351,nASIG,DATOS!$I18351,nEVAL,"EX")=0),0))))</f>
      </c>
      <c r="H18351">
        <f>IF(DATOS!$G18351&lt;&gt;"EX",0,--(COUNTIFS(nNIA,DATOS!$A18351,nCURSO,DATOS!$D18351,nESPEC,DATOS!$E18351,nASIG,DATOS!$I18351,nEVAL,"OR")=0))</f>
      </c>
      <c r="I18351">
        <f>IF(DATOS!$I18351="","",IFERROR(VLOOKUP(DATOS!$I18351,CONFIG_ASIGNATURAS!$B$2:$J$91,9,FALSE()),""))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IF(DATOS!$A18352="",0,IF(CONFIG_METADATA!$B$4&lt;&gt;"OR+EX",--(DATOS!$G18352=CONFIG_METADATA!$B$4),IF(DATOS!$G18352="EX",1,IF(DATOS!$G18352="OR",--(COUNTIFS(nNIA,DATOS!$A18352,nCURSO,DATOS!$D18352,nESPEC,DATOS!$E18352,nASIG,DATOS!$I18352,nEVAL,"EX")=0),0))))</f>
      </c>
      <c r="H18352">
        <f>IF(DATOS!$G18352&lt;&gt;"EX",0,--(COUNTIFS(nNIA,DATOS!$A18352,nCURSO,DATOS!$D18352,nESPEC,DATOS!$E18352,nASIG,DATOS!$I18352,nEVAL,"OR")=0))</f>
      </c>
      <c r="I18352">
        <f>IF(DATOS!$I18352="","",IFERROR(VLOOKUP(DATOS!$I18352,CONFIG_ASIGNATURAS!$B$2:$J$91,9,FALSE()),""))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IF(DATOS!$A18353="",0,IF(CONFIG_METADATA!$B$4&lt;&gt;"OR+EX",--(DATOS!$G18353=CONFIG_METADATA!$B$4),IF(DATOS!$G18353="EX",1,IF(DATOS!$G18353="OR",--(COUNTIFS(nNIA,DATOS!$A18353,nCURSO,DATOS!$D18353,nESPEC,DATOS!$E18353,nASIG,DATOS!$I18353,nEVAL,"EX")=0),0))))</f>
      </c>
      <c r="H18353">
        <f>IF(DATOS!$G18353&lt;&gt;"EX",0,--(COUNTIFS(nNIA,DATOS!$A18353,nCURSO,DATOS!$D18353,nESPEC,DATOS!$E18353,nASIG,DATOS!$I18353,nEVAL,"OR")=0))</f>
      </c>
      <c r="I18353">
        <f>IF(DATOS!$I18353="","",IFERROR(VLOOKUP(DATOS!$I18353,CONFIG_ASIGNATURAS!$B$2:$J$91,9,FALSE()),""))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IF(DATOS!$A18354="",0,IF(CONFIG_METADATA!$B$4&lt;&gt;"OR+EX",--(DATOS!$G18354=CONFIG_METADATA!$B$4),IF(DATOS!$G18354="EX",1,IF(DATOS!$G18354="OR",--(COUNTIFS(nNIA,DATOS!$A18354,nCURSO,DATOS!$D18354,nESPEC,DATOS!$E18354,nASIG,DATOS!$I18354,nEVAL,"EX")=0),0))))</f>
      </c>
      <c r="H18354">
        <f>IF(DATOS!$G18354&lt;&gt;"EX",0,--(COUNTIFS(nNIA,DATOS!$A18354,nCURSO,DATOS!$D18354,nESPEC,DATOS!$E18354,nASIG,DATOS!$I18354,nEVAL,"OR")=0))</f>
      </c>
      <c r="I18354">
        <f>IF(DATOS!$I18354="","",IFERROR(VLOOKUP(DATOS!$I18354,CONFIG_ASIGNATURAS!$B$2:$J$91,9,FALSE()),""))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IF(DATOS!$A18355="",0,IF(CONFIG_METADATA!$B$4&lt;&gt;"OR+EX",--(DATOS!$G18355=CONFIG_METADATA!$B$4),IF(DATOS!$G18355="EX",1,IF(DATOS!$G18355="OR",--(COUNTIFS(nNIA,DATOS!$A18355,nCURSO,DATOS!$D18355,nESPEC,DATOS!$E18355,nASIG,DATOS!$I18355,nEVAL,"EX")=0),0))))</f>
      </c>
      <c r="H18355">
        <f>IF(DATOS!$G18355&lt;&gt;"EX",0,--(COUNTIFS(nNIA,DATOS!$A18355,nCURSO,DATOS!$D18355,nESPEC,DATOS!$E18355,nASIG,DATOS!$I18355,nEVAL,"OR")=0))</f>
      </c>
      <c r="I18355">
        <f>IF(DATOS!$I18355="","",IFERROR(VLOOKUP(DATOS!$I18355,CONFIG_ASIGNATURAS!$B$2:$J$91,9,FALSE()),""))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IF(DATOS!$A18356="",0,IF(CONFIG_METADATA!$B$4&lt;&gt;"OR+EX",--(DATOS!$G18356=CONFIG_METADATA!$B$4),IF(DATOS!$G18356="EX",1,IF(DATOS!$G18356="OR",--(COUNTIFS(nNIA,DATOS!$A18356,nCURSO,DATOS!$D18356,nESPEC,DATOS!$E18356,nASIG,DATOS!$I18356,nEVAL,"EX")=0),0))))</f>
      </c>
      <c r="H18356">
        <f>IF(DATOS!$G18356&lt;&gt;"EX",0,--(COUNTIFS(nNIA,DATOS!$A18356,nCURSO,DATOS!$D18356,nESPEC,DATOS!$E18356,nASIG,DATOS!$I18356,nEVAL,"OR")=0))</f>
      </c>
      <c r="I18356">
        <f>IF(DATOS!$I18356="","",IFERROR(VLOOKUP(DATOS!$I18356,CONFIG_ASIGNATURAS!$B$2:$J$91,9,FALSE()),""))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IF(DATOS!$A18357="",0,IF(CONFIG_METADATA!$B$4&lt;&gt;"OR+EX",--(DATOS!$G18357=CONFIG_METADATA!$B$4),IF(DATOS!$G18357="EX",1,IF(DATOS!$G18357="OR",--(COUNTIFS(nNIA,DATOS!$A18357,nCURSO,DATOS!$D18357,nESPEC,DATOS!$E18357,nASIG,DATOS!$I18357,nEVAL,"EX")=0),0))))</f>
      </c>
      <c r="H18357">
        <f>IF(DATOS!$G18357&lt;&gt;"EX",0,--(COUNTIFS(nNIA,DATOS!$A18357,nCURSO,DATOS!$D18357,nESPEC,DATOS!$E18357,nASIG,DATOS!$I18357,nEVAL,"OR")=0))</f>
      </c>
      <c r="I18357">
        <f>IF(DATOS!$I18357="","",IFERROR(VLOOKUP(DATOS!$I18357,CONFIG_ASIGNATURAS!$B$2:$J$91,9,FALSE()),""))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IF(DATOS!$A18358="",0,IF(CONFIG_METADATA!$B$4&lt;&gt;"OR+EX",--(DATOS!$G18358=CONFIG_METADATA!$B$4),IF(DATOS!$G18358="EX",1,IF(DATOS!$G18358="OR",--(COUNTIFS(nNIA,DATOS!$A18358,nCURSO,DATOS!$D18358,nESPEC,DATOS!$E18358,nASIG,DATOS!$I18358,nEVAL,"EX")=0),0))))</f>
      </c>
      <c r="H18358">
        <f>IF(DATOS!$G18358&lt;&gt;"EX",0,--(COUNTIFS(nNIA,DATOS!$A18358,nCURSO,DATOS!$D18358,nESPEC,DATOS!$E18358,nASIG,DATOS!$I18358,nEVAL,"OR")=0))</f>
      </c>
      <c r="I18358">
        <f>IF(DATOS!$I18358="","",IFERROR(VLOOKUP(DATOS!$I18358,CONFIG_ASIGNATURAS!$B$2:$J$91,9,FALSE()),""))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IF(DATOS!$A18359="",0,IF(CONFIG_METADATA!$B$4&lt;&gt;"OR+EX",--(DATOS!$G18359=CONFIG_METADATA!$B$4),IF(DATOS!$G18359="EX",1,IF(DATOS!$G18359="OR",--(COUNTIFS(nNIA,DATOS!$A18359,nCURSO,DATOS!$D18359,nESPEC,DATOS!$E18359,nASIG,DATOS!$I18359,nEVAL,"EX")=0),0))))</f>
      </c>
      <c r="H18359">
        <f>IF(DATOS!$G18359&lt;&gt;"EX",0,--(COUNTIFS(nNIA,DATOS!$A18359,nCURSO,DATOS!$D18359,nESPEC,DATOS!$E18359,nASIG,DATOS!$I18359,nEVAL,"OR")=0))</f>
      </c>
      <c r="I18359">
        <f>IF(DATOS!$I18359="","",IFERROR(VLOOKUP(DATOS!$I18359,CONFIG_ASIGNATURAS!$B$2:$J$91,9,FALSE()),""))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IF(DATOS!$A18360="",0,IF(CONFIG_METADATA!$B$4&lt;&gt;"OR+EX",--(DATOS!$G18360=CONFIG_METADATA!$B$4),IF(DATOS!$G18360="EX",1,IF(DATOS!$G18360="OR",--(COUNTIFS(nNIA,DATOS!$A18360,nCURSO,DATOS!$D18360,nESPEC,DATOS!$E18360,nASIG,DATOS!$I18360,nEVAL,"EX")=0),0))))</f>
      </c>
      <c r="H18360">
        <f>IF(DATOS!$G18360&lt;&gt;"EX",0,--(COUNTIFS(nNIA,DATOS!$A18360,nCURSO,DATOS!$D18360,nESPEC,DATOS!$E18360,nASIG,DATOS!$I18360,nEVAL,"OR")=0))</f>
      </c>
      <c r="I18360">
        <f>IF(DATOS!$I18360="","",IFERROR(VLOOKUP(DATOS!$I18360,CONFIG_ASIGNATURAS!$B$2:$J$91,9,FALSE()),""))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IF(DATOS!$A18361="",0,IF(CONFIG_METADATA!$B$4&lt;&gt;"OR+EX",--(DATOS!$G18361=CONFIG_METADATA!$B$4),IF(DATOS!$G18361="EX",1,IF(DATOS!$G18361="OR",--(COUNTIFS(nNIA,DATOS!$A18361,nCURSO,DATOS!$D18361,nESPEC,DATOS!$E18361,nASIG,DATOS!$I18361,nEVAL,"EX")=0),0))))</f>
      </c>
      <c r="H18361">
        <f>IF(DATOS!$G18361&lt;&gt;"EX",0,--(COUNTIFS(nNIA,DATOS!$A18361,nCURSO,DATOS!$D18361,nESPEC,DATOS!$E18361,nASIG,DATOS!$I18361,nEVAL,"OR")=0))</f>
      </c>
      <c r="I18361">
        <f>IF(DATOS!$I18361="","",IFERROR(VLOOKUP(DATOS!$I18361,CONFIG_ASIGNATURAS!$B$2:$J$91,9,FALSE()),""))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IF(DATOS!$A18362="",0,IF(CONFIG_METADATA!$B$4&lt;&gt;"OR+EX",--(DATOS!$G18362=CONFIG_METADATA!$B$4),IF(DATOS!$G18362="EX",1,IF(DATOS!$G18362="OR",--(COUNTIFS(nNIA,DATOS!$A18362,nCURSO,DATOS!$D18362,nESPEC,DATOS!$E18362,nASIG,DATOS!$I18362,nEVAL,"EX")=0),0))))</f>
      </c>
      <c r="H18362">
        <f>IF(DATOS!$G18362&lt;&gt;"EX",0,--(COUNTIFS(nNIA,DATOS!$A18362,nCURSO,DATOS!$D18362,nESPEC,DATOS!$E18362,nASIG,DATOS!$I18362,nEVAL,"OR")=0))</f>
      </c>
      <c r="I18362">
        <f>IF(DATOS!$I18362="","",IFERROR(VLOOKUP(DATOS!$I18362,CONFIG_ASIGNATURAS!$B$2:$J$91,9,FALSE()),""))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IF(DATOS!$A18363="",0,IF(CONFIG_METADATA!$B$4&lt;&gt;"OR+EX",--(DATOS!$G18363=CONFIG_METADATA!$B$4),IF(DATOS!$G18363="EX",1,IF(DATOS!$G18363="OR",--(COUNTIFS(nNIA,DATOS!$A18363,nCURSO,DATOS!$D18363,nESPEC,DATOS!$E18363,nASIG,DATOS!$I18363,nEVAL,"EX")=0),0))))</f>
      </c>
      <c r="H18363">
        <f>IF(DATOS!$G18363&lt;&gt;"EX",0,--(COUNTIFS(nNIA,DATOS!$A18363,nCURSO,DATOS!$D18363,nESPEC,DATOS!$E18363,nASIG,DATOS!$I18363,nEVAL,"OR")=0))</f>
      </c>
      <c r="I18363">
        <f>IF(DATOS!$I18363="","",IFERROR(VLOOKUP(DATOS!$I18363,CONFIG_ASIGNATURAS!$B$2:$J$91,9,FALSE()),""))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IF(DATOS!$A18364="",0,IF(CONFIG_METADATA!$B$4&lt;&gt;"OR+EX",--(DATOS!$G18364=CONFIG_METADATA!$B$4),IF(DATOS!$G18364="EX",1,IF(DATOS!$G18364="OR",--(COUNTIFS(nNIA,DATOS!$A18364,nCURSO,DATOS!$D18364,nESPEC,DATOS!$E18364,nASIG,DATOS!$I18364,nEVAL,"EX")=0),0))))</f>
      </c>
      <c r="H18364">
        <f>IF(DATOS!$G18364&lt;&gt;"EX",0,--(COUNTIFS(nNIA,DATOS!$A18364,nCURSO,DATOS!$D18364,nESPEC,DATOS!$E18364,nASIG,DATOS!$I18364,nEVAL,"OR")=0))</f>
      </c>
      <c r="I18364">
        <f>IF(DATOS!$I18364="","",IFERROR(VLOOKUP(DATOS!$I18364,CONFIG_ASIGNATURAS!$B$2:$J$91,9,FALSE()),""))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IF(DATOS!$A18365="",0,IF(CONFIG_METADATA!$B$4&lt;&gt;"OR+EX",--(DATOS!$G18365=CONFIG_METADATA!$B$4),IF(DATOS!$G18365="EX",1,IF(DATOS!$G18365="OR",--(COUNTIFS(nNIA,DATOS!$A18365,nCURSO,DATOS!$D18365,nESPEC,DATOS!$E18365,nASIG,DATOS!$I18365,nEVAL,"EX")=0),0))))</f>
      </c>
      <c r="H18365">
        <f>IF(DATOS!$G18365&lt;&gt;"EX",0,--(COUNTIFS(nNIA,DATOS!$A18365,nCURSO,DATOS!$D18365,nESPEC,DATOS!$E18365,nASIG,DATOS!$I18365,nEVAL,"OR")=0))</f>
      </c>
      <c r="I18365">
        <f>IF(DATOS!$I18365="","",IFERROR(VLOOKUP(DATOS!$I18365,CONFIG_ASIGNATURAS!$B$2:$J$91,9,FALSE()),""))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IF(DATOS!$A18366="",0,IF(CONFIG_METADATA!$B$4&lt;&gt;"OR+EX",--(DATOS!$G18366=CONFIG_METADATA!$B$4),IF(DATOS!$G18366="EX",1,IF(DATOS!$G18366="OR",--(COUNTIFS(nNIA,DATOS!$A18366,nCURSO,DATOS!$D18366,nESPEC,DATOS!$E18366,nASIG,DATOS!$I18366,nEVAL,"EX")=0),0))))</f>
      </c>
      <c r="H18366">
        <f>IF(DATOS!$G18366&lt;&gt;"EX",0,--(COUNTIFS(nNIA,DATOS!$A18366,nCURSO,DATOS!$D18366,nESPEC,DATOS!$E18366,nASIG,DATOS!$I18366,nEVAL,"OR")=0))</f>
      </c>
      <c r="I18366">
        <f>IF(DATOS!$I18366="","",IFERROR(VLOOKUP(DATOS!$I18366,CONFIG_ASIGNATURAS!$B$2:$J$91,9,FALSE()),""))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IF(DATOS!$A18367="",0,IF(CONFIG_METADATA!$B$4&lt;&gt;"OR+EX",--(DATOS!$G18367=CONFIG_METADATA!$B$4),IF(DATOS!$G18367="EX",1,IF(DATOS!$G18367="OR",--(COUNTIFS(nNIA,DATOS!$A18367,nCURSO,DATOS!$D18367,nESPEC,DATOS!$E18367,nASIG,DATOS!$I18367,nEVAL,"EX")=0),0))))</f>
      </c>
      <c r="H18367">
        <f>IF(DATOS!$G18367&lt;&gt;"EX",0,--(COUNTIFS(nNIA,DATOS!$A18367,nCURSO,DATOS!$D18367,nESPEC,DATOS!$E18367,nASIG,DATOS!$I18367,nEVAL,"OR")=0))</f>
      </c>
      <c r="I18367">
        <f>IF(DATOS!$I18367="","",IFERROR(VLOOKUP(DATOS!$I18367,CONFIG_ASIGNATURAS!$B$2:$J$91,9,FALSE()),""))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IF(DATOS!$A18368="",0,IF(CONFIG_METADATA!$B$4&lt;&gt;"OR+EX",--(DATOS!$G18368=CONFIG_METADATA!$B$4),IF(DATOS!$G18368="EX",1,IF(DATOS!$G18368="OR",--(COUNTIFS(nNIA,DATOS!$A18368,nCURSO,DATOS!$D18368,nESPEC,DATOS!$E18368,nASIG,DATOS!$I18368,nEVAL,"EX")=0),0))))</f>
      </c>
      <c r="H18368">
        <f>IF(DATOS!$G18368&lt;&gt;"EX",0,--(COUNTIFS(nNIA,DATOS!$A18368,nCURSO,DATOS!$D18368,nESPEC,DATOS!$E18368,nASIG,DATOS!$I18368,nEVAL,"OR")=0))</f>
      </c>
      <c r="I18368">
        <f>IF(DATOS!$I18368="","",IFERROR(VLOOKUP(DATOS!$I18368,CONFIG_ASIGNATURAS!$B$2:$J$91,9,FALSE()),""))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IF(DATOS!$A18369="",0,IF(CONFIG_METADATA!$B$4&lt;&gt;"OR+EX",--(DATOS!$G18369=CONFIG_METADATA!$B$4),IF(DATOS!$G18369="EX",1,IF(DATOS!$G18369="OR",--(COUNTIFS(nNIA,DATOS!$A18369,nCURSO,DATOS!$D18369,nESPEC,DATOS!$E18369,nASIG,DATOS!$I18369,nEVAL,"EX")=0),0))))</f>
      </c>
      <c r="H18369">
        <f>IF(DATOS!$G18369&lt;&gt;"EX",0,--(COUNTIFS(nNIA,DATOS!$A18369,nCURSO,DATOS!$D18369,nESPEC,DATOS!$E18369,nASIG,DATOS!$I18369,nEVAL,"OR")=0))</f>
      </c>
      <c r="I18369">
        <f>IF(DATOS!$I18369="","",IFERROR(VLOOKUP(DATOS!$I18369,CONFIG_ASIGNATURAS!$B$2:$J$91,9,FALSE()),""))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IF(DATOS!$A18370="",0,IF(CONFIG_METADATA!$B$4&lt;&gt;"OR+EX",--(DATOS!$G18370=CONFIG_METADATA!$B$4),IF(DATOS!$G18370="EX",1,IF(DATOS!$G18370="OR",--(COUNTIFS(nNIA,DATOS!$A18370,nCURSO,DATOS!$D18370,nESPEC,DATOS!$E18370,nASIG,DATOS!$I18370,nEVAL,"EX")=0),0))))</f>
      </c>
      <c r="H18370">
        <f>IF(DATOS!$G18370&lt;&gt;"EX",0,--(COUNTIFS(nNIA,DATOS!$A18370,nCURSO,DATOS!$D18370,nESPEC,DATOS!$E18370,nASIG,DATOS!$I18370,nEVAL,"OR")=0))</f>
      </c>
      <c r="I18370">
        <f>IF(DATOS!$I18370="","",IFERROR(VLOOKUP(DATOS!$I18370,CONFIG_ASIGNATURAS!$B$2:$J$91,9,FALSE()),""))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IF(DATOS!$A18371="",0,IF(CONFIG_METADATA!$B$4&lt;&gt;"OR+EX",--(DATOS!$G18371=CONFIG_METADATA!$B$4),IF(DATOS!$G18371="EX",1,IF(DATOS!$G18371="OR",--(COUNTIFS(nNIA,DATOS!$A18371,nCURSO,DATOS!$D18371,nESPEC,DATOS!$E18371,nASIG,DATOS!$I18371,nEVAL,"EX")=0),0))))</f>
      </c>
      <c r="H18371">
        <f>IF(DATOS!$G18371&lt;&gt;"EX",0,--(COUNTIFS(nNIA,DATOS!$A18371,nCURSO,DATOS!$D18371,nESPEC,DATOS!$E18371,nASIG,DATOS!$I18371,nEVAL,"OR")=0))</f>
      </c>
      <c r="I18371">
        <f>IF(DATOS!$I18371="","",IFERROR(VLOOKUP(DATOS!$I18371,CONFIG_ASIGNATURAS!$B$2:$J$91,9,FALSE()),""))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IF(DATOS!$A18372="",0,IF(CONFIG_METADATA!$B$4&lt;&gt;"OR+EX",--(DATOS!$G18372=CONFIG_METADATA!$B$4),IF(DATOS!$G18372="EX",1,IF(DATOS!$G18372="OR",--(COUNTIFS(nNIA,DATOS!$A18372,nCURSO,DATOS!$D18372,nESPEC,DATOS!$E18372,nASIG,DATOS!$I18372,nEVAL,"EX")=0),0))))</f>
      </c>
      <c r="H18372">
        <f>IF(DATOS!$G18372&lt;&gt;"EX",0,--(COUNTIFS(nNIA,DATOS!$A18372,nCURSO,DATOS!$D18372,nESPEC,DATOS!$E18372,nASIG,DATOS!$I18372,nEVAL,"OR")=0))</f>
      </c>
      <c r="I18372">
        <f>IF(DATOS!$I18372="","",IFERROR(VLOOKUP(DATOS!$I18372,CONFIG_ASIGNATURAS!$B$2:$J$91,9,FALSE()),""))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IF(DATOS!$A18373="",0,IF(CONFIG_METADATA!$B$4&lt;&gt;"OR+EX",--(DATOS!$G18373=CONFIG_METADATA!$B$4),IF(DATOS!$G18373="EX",1,IF(DATOS!$G18373="OR",--(COUNTIFS(nNIA,DATOS!$A18373,nCURSO,DATOS!$D18373,nESPEC,DATOS!$E18373,nASIG,DATOS!$I18373,nEVAL,"EX")=0),0))))</f>
      </c>
      <c r="H18373">
        <f>IF(DATOS!$G18373&lt;&gt;"EX",0,--(COUNTIFS(nNIA,DATOS!$A18373,nCURSO,DATOS!$D18373,nESPEC,DATOS!$E18373,nASIG,DATOS!$I18373,nEVAL,"OR")=0))</f>
      </c>
      <c r="I18373">
        <f>IF(DATOS!$I18373="","",IFERROR(VLOOKUP(DATOS!$I18373,CONFIG_ASIGNATURAS!$B$2:$J$91,9,FALSE()),""))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IF(DATOS!$A18374="",0,IF(CONFIG_METADATA!$B$4&lt;&gt;"OR+EX",--(DATOS!$G18374=CONFIG_METADATA!$B$4),IF(DATOS!$G18374="EX",1,IF(DATOS!$G18374="OR",--(COUNTIFS(nNIA,DATOS!$A18374,nCURSO,DATOS!$D18374,nESPEC,DATOS!$E18374,nASIG,DATOS!$I18374,nEVAL,"EX")=0),0))))</f>
      </c>
      <c r="H18374">
        <f>IF(DATOS!$G18374&lt;&gt;"EX",0,--(COUNTIFS(nNIA,DATOS!$A18374,nCURSO,DATOS!$D18374,nESPEC,DATOS!$E18374,nASIG,DATOS!$I18374,nEVAL,"OR")=0))</f>
      </c>
      <c r="I18374">
        <f>IF(DATOS!$I18374="","",IFERROR(VLOOKUP(DATOS!$I18374,CONFIG_ASIGNATURAS!$B$2:$J$91,9,FALSE()),""))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IF(DATOS!$A18375="",0,IF(CONFIG_METADATA!$B$4&lt;&gt;"OR+EX",--(DATOS!$G18375=CONFIG_METADATA!$B$4),IF(DATOS!$G18375="EX",1,IF(DATOS!$G18375="OR",--(COUNTIFS(nNIA,DATOS!$A18375,nCURSO,DATOS!$D18375,nESPEC,DATOS!$E18375,nASIG,DATOS!$I18375,nEVAL,"EX")=0),0))))</f>
      </c>
      <c r="H18375">
        <f>IF(DATOS!$G18375&lt;&gt;"EX",0,--(COUNTIFS(nNIA,DATOS!$A18375,nCURSO,DATOS!$D18375,nESPEC,DATOS!$E18375,nASIG,DATOS!$I18375,nEVAL,"OR")=0))</f>
      </c>
      <c r="I18375">
        <f>IF(DATOS!$I18375="","",IFERROR(VLOOKUP(DATOS!$I18375,CONFIG_ASIGNATURAS!$B$2:$J$91,9,FALSE()),""))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IF(DATOS!$A18376="",0,IF(CONFIG_METADATA!$B$4&lt;&gt;"OR+EX",--(DATOS!$G18376=CONFIG_METADATA!$B$4),IF(DATOS!$G18376="EX",1,IF(DATOS!$G18376="OR",--(COUNTIFS(nNIA,DATOS!$A18376,nCURSO,DATOS!$D18376,nESPEC,DATOS!$E18376,nASIG,DATOS!$I18376,nEVAL,"EX")=0),0))))</f>
      </c>
      <c r="H18376">
        <f>IF(DATOS!$G18376&lt;&gt;"EX",0,--(COUNTIFS(nNIA,DATOS!$A18376,nCURSO,DATOS!$D18376,nESPEC,DATOS!$E18376,nASIG,DATOS!$I18376,nEVAL,"OR")=0))</f>
      </c>
      <c r="I18376">
        <f>IF(DATOS!$I18376="","",IFERROR(VLOOKUP(DATOS!$I18376,CONFIG_ASIGNATURAS!$B$2:$J$91,9,FALSE()),""))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IF(DATOS!$A18377="",0,IF(CONFIG_METADATA!$B$4&lt;&gt;"OR+EX",--(DATOS!$G18377=CONFIG_METADATA!$B$4),IF(DATOS!$G18377="EX",1,IF(DATOS!$G18377="OR",--(COUNTIFS(nNIA,DATOS!$A18377,nCURSO,DATOS!$D18377,nESPEC,DATOS!$E18377,nASIG,DATOS!$I18377,nEVAL,"EX")=0),0))))</f>
      </c>
      <c r="H18377">
        <f>IF(DATOS!$G18377&lt;&gt;"EX",0,--(COUNTIFS(nNIA,DATOS!$A18377,nCURSO,DATOS!$D18377,nESPEC,DATOS!$E18377,nASIG,DATOS!$I18377,nEVAL,"OR")=0))</f>
      </c>
      <c r="I18377">
        <f>IF(DATOS!$I18377="","",IFERROR(VLOOKUP(DATOS!$I18377,CONFIG_ASIGNATURAS!$B$2:$J$91,9,FALSE()),""))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IF(DATOS!$A18378="",0,IF(CONFIG_METADATA!$B$4&lt;&gt;"OR+EX",--(DATOS!$G18378=CONFIG_METADATA!$B$4),IF(DATOS!$G18378="EX",1,IF(DATOS!$G18378="OR",--(COUNTIFS(nNIA,DATOS!$A18378,nCURSO,DATOS!$D18378,nESPEC,DATOS!$E18378,nASIG,DATOS!$I18378,nEVAL,"EX")=0),0))))</f>
      </c>
      <c r="H18378">
        <f>IF(DATOS!$G18378&lt;&gt;"EX",0,--(COUNTIFS(nNIA,DATOS!$A18378,nCURSO,DATOS!$D18378,nESPEC,DATOS!$E18378,nASIG,DATOS!$I18378,nEVAL,"OR")=0))</f>
      </c>
      <c r="I18378">
        <f>IF(DATOS!$I18378="","",IFERROR(VLOOKUP(DATOS!$I18378,CONFIG_ASIGNATURAS!$B$2:$J$91,9,FALSE()),""))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IF(DATOS!$A18379="",0,IF(CONFIG_METADATA!$B$4&lt;&gt;"OR+EX",--(DATOS!$G18379=CONFIG_METADATA!$B$4),IF(DATOS!$G18379="EX",1,IF(DATOS!$G18379="OR",--(COUNTIFS(nNIA,DATOS!$A18379,nCURSO,DATOS!$D18379,nESPEC,DATOS!$E18379,nASIG,DATOS!$I18379,nEVAL,"EX")=0),0))))</f>
      </c>
      <c r="H18379">
        <f>IF(DATOS!$G18379&lt;&gt;"EX",0,--(COUNTIFS(nNIA,DATOS!$A18379,nCURSO,DATOS!$D18379,nESPEC,DATOS!$E18379,nASIG,DATOS!$I18379,nEVAL,"OR")=0))</f>
      </c>
      <c r="I18379">
        <f>IF(DATOS!$I18379="","",IFERROR(VLOOKUP(DATOS!$I18379,CONFIG_ASIGNATURAS!$B$2:$J$91,9,FALSE()),""))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IF(DATOS!$A18380="",0,IF(CONFIG_METADATA!$B$4&lt;&gt;"OR+EX",--(DATOS!$G18380=CONFIG_METADATA!$B$4),IF(DATOS!$G18380="EX",1,IF(DATOS!$G18380="OR",--(COUNTIFS(nNIA,DATOS!$A18380,nCURSO,DATOS!$D18380,nESPEC,DATOS!$E18380,nASIG,DATOS!$I18380,nEVAL,"EX")=0),0))))</f>
      </c>
      <c r="H18380">
        <f>IF(DATOS!$G18380&lt;&gt;"EX",0,--(COUNTIFS(nNIA,DATOS!$A18380,nCURSO,DATOS!$D18380,nESPEC,DATOS!$E18380,nASIG,DATOS!$I18380,nEVAL,"OR")=0))</f>
      </c>
      <c r="I18380">
        <f>IF(DATOS!$I18380="","",IFERROR(VLOOKUP(DATOS!$I18380,CONFIG_ASIGNATURAS!$B$2:$J$91,9,FALSE()),""))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IF(DATOS!$A18381="",0,IF(CONFIG_METADATA!$B$4&lt;&gt;"OR+EX",--(DATOS!$G18381=CONFIG_METADATA!$B$4),IF(DATOS!$G18381="EX",1,IF(DATOS!$G18381="OR",--(COUNTIFS(nNIA,DATOS!$A18381,nCURSO,DATOS!$D18381,nESPEC,DATOS!$E18381,nASIG,DATOS!$I18381,nEVAL,"EX")=0),0))))</f>
      </c>
      <c r="H18381">
        <f>IF(DATOS!$G18381&lt;&gt;"EX",0,--(COUNTIFS(nNIA,DATOS!$A18381,nCURSO,DATOS!$D18381,nESPEC,DATOS!$E18381,nASIG,DATOS!$I18381,nEVAL,"OR")=0))</f>
      </c>
      <c r="I18381">
        <f>IF(DATOS!$I18381="","",IFERROR(VLOOKUP(DATOS!$I18381,CONFIG_ASIGNATURAS!$B$2:$J$91,9,FALSE()),""))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IF(DATOS!$A18382="",0,IF(CONFIG_METADATA!$B$4&lt;&gt;"OR+EX",--(DATOS!$G18382=CONFIG_METADATA!$B$4),IF(DATOS!$G18382="EX",1,IF(DATOS!$G18382="OR",--(COUNTIFS(nNIA,DATOS!$A18382,nCURSO,DATOS!$D18382,nESPEC,DATOS!$E18382,nASIG,DATOS!$I18382,nEVAL,"EX")=0),0))))</f>
      </c>
      <c r="H18382">
        <f>IF(DATOS!$G18382&lt;&gt;"EX",0,--(COUNTIFS(nNIA,DATOS!$A18382,nCURSO,DATOS!$D18382,nESPEC,DATOS!$E18382,nASIG,DATOS!$I18382,nEVAL,"OR")=0))</f>
      </c>
      <c r="I18382">
        <f>IF(DATOS!$I18382="","",IFERROR(VLOOKUP(DATOS!$I18382,CONFIG_ASIGNATURAS!$B$2:$J$91,9,FALSE()),""))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IF(DATOS!$A18383="",0,IF(CONFIG_METADATA!$B$4&lt;&gt;"OR+EX",--(DATOS!$G18383=CONFIG_METADATA!$B$4),IF(DATOS!$G18383="EX",1,IF(DATOS!$G18383="OR",--(COUNTIFS(nNIA,DATOS!$A18383,nCURSO,DATOS!$D18383,nESPEC,DATOS!$E18383,nASIG,DATOS!$I18383,nEVAL,"EX")=0),0))))</f>
      </c>
      <c r="H18383">
        <f>IF(DATOS!$G18383&lt;&gt;"EX",0,--(COUNTIFS(nNIA,DATOS!$A18383,nCURSO,DATOS!$D18383,nESPEC,DATOS!$E18383,nASIG,DATOS!$I18383,nEVAL,"OR")=0))</f>
      </c>
      <c r="I18383">
        <f>IF(DATOS!$I18383="","",IFERROR(VLOOKUP(DATOS!$I18383,CONFIG_ASIGNATURAS!$B$2:$J$91,9,FALSE()),""))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IF(DATOS!$A18384="",0,IF(CONFIG_METADATA!$B$4&lt;&gt;"OR+EX",--(DATOS!$G18384=CONFIG_METADATA!$B$4),IF(DATOS!$G18384="EX",1,IF(DATOS!$G18384="OR",--(COUNTIFS(nNIA,DATOS!$A18384,nCURSO,DATOS!$D18384,nESPEC,DATOS!$E18384,nASIG,DATOS!$I18384,nEVAL,"EX")=0),0))))</f>
      </c>
      <c r="H18384">
        <f>IF(DATOS!$G18384&lt;&gt;"EX",0,--(COUNTIFS(nNIA,DATOS!$A18384,nCURSO,DATOS!$D18384,nESPEC,DATOS!$E18384,nASIG,DATOS!$I18384,nEVAL,"OR")=0))</f>
      </c>
      <c r="I18384">
        <f>IF(DATOS!$I18384="","",IFERROR(VLOOKUP(DATOS!$I18384,CONFIG_ASIGNATURAS!$B$2:$J$91,9,FALSE()),""))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IF(DATOS!$A18385="",0,IF(CONFIG_METADATA!$B$4&lt;&gt;"OR+EX",--(DATOS!$G18385=CONFIG_METADATA!$B$4),IF(DATOS!$G18385="EX",1,IF(DATOS!$G18385="OR",--(COUNTIFS(nNIA,DATOS!$A18385,nCURSO,DATOS!$D18385,nESPEC,DATOS!$E18385,nASIG,DATOS!$I18385,nEVAL,"EX")=0),0))))</f>
      </c>
      <c r="H18385">
        <f>IF(DATOS!$G18385&lt;&gt;"EX",0,--(COUNTIFS(nNIA,DATOS!$A18385,nCURSO,DATOS!$D18385,nESPEC,DATOS!$E18385,nASIG,DATOS!$I18385,nEVAL,"OR")=0))</f>
      </c>
      <c r="I18385">
        <f>IF(DATOS!$I18385="","",IFERROR(VLOOKUP(DATOS!$I18385,CONFIG_ASIGNATURAS!$B$2:$J$91,9,FALSE()),""))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IF(DATOS!$A18386="",0,IF(CONFIG_METADATA!$B$4&lt;&gt;"OR+EX",--(DATOS!$G18386=CONFIG_METADATA!$B$4),IF(DATOS!$G18386="EX",1,IF(DATOS!$G18386="OR",--(COUNTIFS(nNIA,DATOS!$A18386,nCURSO,DATOS!$D18386,nESPEC,DATOS!$E18386,nASIG,DATOS!$I18386,nEVAL,"EX")=0),0))))</f>
      </c>
      <c r="H18386">
        <f>IF(DATOS!$G18386&lt;&gt;"EX",0,--(COUNTIFS(nNIA,DATOS!$A18386,nCURSO,DATOS!$D18386,nESPEC,DATOS!$E18386,nASIG,DATOS!$I18386,nEVAL,"OR")=0))</f>
      </c>
      <c r="I18386">
        <f>IF(DATOS!$I18386="","",IFERROR(VLOOKUP(DATOS!$I18386,CONFIG_ASIGNATURAS!$B$2:$J$91,9,FALSE()),""))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IF(DATOS!$A18387="",0,IF(CONFIG_METADATA!$B$4&lt;&gt;"OR+EX",--(DATOS!$G18387=CONFIG_METADATA!$B$4),IF(DATOS!$G18387="EX",1,IF(DATOS!$G18387="OR",--(COUNTIFS(nNIA,DATOS!$A18387,nCURSO,DATOS!$D18387,nESPEC,DATOS!$E18387,nASIG,DATOS!$I18387,nEVAL,"EX")=0),0))))</f>
      </c>
      <c r="H18387">
        <f>IF(DATOS!$G18387&lt;&gt;"EX",0,--(COUNTIFS(nNIA,DATOS!$A18387,nCURSO,DATOS!$D18387,nESPEC,DATOS!$E18387,nASIG,DATOS!$I18387,nEVAL,"OR")=0))</f>
      </c>
      <c r="I18387">
        <f>IF(DATOS!$I18387="","",IFERROR(VLOOKUP(DATOS!$I18387,CONFIG_ASIGNATURAS!$B$2:$J$91,9,FALSE()),""))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IF(DATOS!$A18388="",0,IF(CONFIG_METADATA!$B$4&lt;&gt;"OR+EX",--(DATOS!$G18388=CONFIG_METADATA!$B$4),IF(DATOS!$G18388="EX",1,IF(DATOS!$G18388="OR",--(COUNTIFS(nNIA,DATOS!$A18388,nCURSO,DATOS!$D18388,nESPEC,DATOS!$E18388,nASIG,DATOS!$I18388,nEVAL,"EX")=0),0))))</f>
      </c>
      <c r="H18388">
        <f>IF(DATOS!$G18388&lt;&gt;"EX",0,--(COUNTIFS(nNIA,DATOS!$A18388,nCURSO,DATOS!$D18388,nESPEC,DATOS!$E18388,nASIG,DATOS!$I18388,nEVAL,"OR")=0))</f>
      </c>
      <c r="I18388">
        <f>IF(DATOS!$I18388="","",IFERROR(VLOOKUP(DATOS!$I18388,CONFIG_ASIGNATURAS!$B$2:$J$91,9,FALSE()),""))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IF(DATOS!$A18389="",0,IF(CONFIG_METADATA!$B$4&lt;&gt;"OR+EX",--(DATOS!$G18389=CONFIG_METADATA!$B$4),IF(DATOS!$G18389="EX",1,IF(DATOS!$G18389="OR",--(COUNTIFS(nNIA,DATOS!$A18389,nCURSO,DATOS!$D18389,nESPEC,DATOS!$E18389,nASIG,DATOS!$I18389,nEVAL,"EX")=0),0))))</f>
      </c>
      <c r="H18389">
        <f>IF(DATOS!$G18389&lt;&gt;"EX",0,--(COUNTIFS(nNIA,DATOS!$A18389,nCURSO,DATOS!$D18389,nESPEC,DATOS!$E18389,nASIG,DATOS!$I18389,nEVAL,"OR")=0))</f>
      </c>
      <c r="I18389">
        <f>IF(DATOS!$I18389="","",IFERROR(VLOOKUP(DATOS!$I18389,CONFIG_ASIGNATURAS!$B$2:$J$91,9,FALSE()),""))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IF(DATOS!$A18390="",0,IF(CONFIG_METADATA!$B$4&lt;&gt;"OR+EX",--(DATOS!$G18390=CONFIG_METADATA!$B$4),IF(DATOS!$G18390="EX",1,IF(DATOS!$G18390="OR",--(COUNTIFS(nNIA,DATOS!$A18390,nCURSO,DATOS!$D18390,nESPEC,DATOS!$E18390,nASIG,DATOS!$I18390,nEVAL,"EX")=0),0))))</f>
      </c>
      <c r="H18390">
        <f>IF(DATOS!$G18390&lt;&gt;"EX",0,--(COUNTIFS(nNIA,DATOS!$A18390,nCURSO,DATOS!$D18390,nESPEC,DATOS!$E18390,nASIG,DATOS!$I18390,nEVAL,"OR")=0))</f>
      </c>
      <c r="I18390">
        <f>IF(DATOS!$I18390="","",IFERROR(VLOOKUP(DATOS!$I18390,CONFIG_ASIGNATURAS!$B$2:$J$91,9,FALSE()),""))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IF(DATOS!$A18391="",0,IF(CONFIG_METADATA!$B$4&lt;&gt;"OR+EX",--(DATOS!$G18391=CONFIG_METADATA!$B$4),IF(DATOS!$G18391="EX",1,IF(DATOS!$G18391="OR",--(COUNTIFS(nNIA,DATOS!$A18391,nCURSO,DATOS!$D18391,nESPEC,DATOS!$E18391,nASIG,DATOS!$I18391,nEVAL,"EX")=0),0))))</f>
      </c>
      <c r="H18391">
        <f>IF(DATOS!$G18391&lt;&gt;"EX",0,--(COUNTIFS(nNIA,DATOS!$A18391,nCURSO,DATOS!$D18391,nESPEC,DATOS!$E18391,nASIG,DATOS!$I18391,nEVAL,"OR")=0))</f>
      </c>
      <c r="I18391">
        <f>IF(DATOS!$I18391="","",IFERROR(VLOOKUP(DATOS!$I18391,CONFIG_ASIGNATURAS!$B$2:$J$91,9,FALSE()),""))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IF(DATOS!$A18392="",0,IF(CONFIG_METADATA!$B$4&lt;&gt;"OR+EX",--(DATOS!$G18392=CONFIG_METADATA!$B$4),IF(DATOS!$G18392="EX",1,IF(DATOS!$G18392="OR",--(COUNTIFS(nNIA,DATOS!$A18392,nCURSO,DATOS!$D18392,nESPEC,DATOS!$E18392,nASIG,DATOS!$I18392,nEVAL,"EX")=0),0))))</f>
      </c>
      <c r="H18392">
        <f>IF(DATOS!$G18392&lt;&gt;"EX",0,--(COUNTIFS(nNIA,DATOS!$A18392,nCURSO,DATOS!$D18392,nESPEC,DATOS!$E18392,nASIG,DATOS!$I18392,nEVAL,"OR")=0))</f>
      </c>
      <c r="I18392">
        <f>IF(DATOS!$I18392="","",IFERROR(VLOOKUP(DATOS!$I18392,CONFIG_ASIGNATURAS!$B$2:$J$91,9,FALSE()),""))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IF(DATOS!$A18393="",0,IF(CONFIG_METADATA!$B$4&lt;&gt;"OR+EX",--(DATOS!$G18393=CONFIG_METADATA!$B$4),IF(DATOS!$G18393="EX",1,IF(DATOS!$G18393="OR",--(COUNTIFS(nNIA,DATOS!$A18393,nCURSO,DATOS!$D18393,nESPEC,DATOS!$E18393,nASIG,DATOS!$I18393,nEVAL,"EX")=0),0))))</f>
      </c>
      <c r="H18393">
        <f>IF(DATOS!$G18393&lt;&gt;"EX",0,--(COUNTIFS(nNIA,DATOS!$A18393,nCURSO,DATOS!$D18393,nESPEC,DATOS!$E18393,nASIG,DATOS!$I18393,nEVAL,"OR")=0))</f>
      </c>
      <c r="I18393">
        <f>IF(DATOS!$I18393="","",IFERROR(VLOOKUP(DATOS!$I18393,CONFIG_ASIGNATURAS!$B$2:$J$91,9,FALSE()),""))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IF(DATOS!$A18394="",0,IF(CONFIG_METADATA!$B$4&lt;&gt;"OR+EX",--(DATOS!$G18394=CONFIG_METADATA!$B$4),IF(DATOS!$G18394="EX",1,IF(DATOS!$G18394="OR",--(COUNTIFS(nNIA,DATOS!$A18394,nCURSO,DATOS!$D18394,nESPEC,DATOS!$E18394,nASIG,DATOS!$I18394,nEVAL,"EX")=0),0))))</f>
      </c>
      <c r="H18394">
        <f>IF(DATOS!$G18394&lt;&gt;"EX",0,--(COUNTIFS(nNIA,DATOS!$A18394,nCURSO,DATOS!$D18394,nESPEC,DATOS!$E18394,nASIG,DATOS!$I18394,nEVAL,"OR")=0))</f>
      </c>
      <c r="I18394">
        <f>IF(DATOS!$I18394="","",IFERROR(VLOOKUP(DATOS!$I18394,CONFIG_ASIGNATURAS!$B$2:$J$91,9,FALSE()),""))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IF(DATOS!$A18395="",0,IF(CONFIG_METADATA!$B$4&lt;&gt;"OR+EX",--(DATOS!$G18395=CONFIG_METADATA!$B$4),IF(DATOS!$G18395="EX",1,IF(DATOS!$G18395="OR",--(COUNTIFS(nNIA,DATOS!$A18395,nCURSO,DATOS!$D18395,nESPEC,DATOS!$E18395,nASIG,DATOS!$I18395,nEVAL,"EX")=0),0))))</f>
      </c>
      <c r="H18395">
        <f>IF(DATOS!$G18395&lt;&gt;"EX",0,--(COUNTIFS(nNIA,DATOS!$A18395,nCURSO,DATOS!$D18395,nESPEC,DATOS!$E18395,nASIG,DATOS!$I18395,nEVAL,"OR")=0))</f>
      </c>
      <c r="I18395">
        <f>IF(DATOS!$I18395="","",IFERROR(VLOOKUP(DATOS!$I18395,CONFIG_ASIGNATURAS!$B$2:$J$91,9,FALSE()),""))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IF(DATOS!$A18396="",0,IF(CONFIG_METADATA!$B$4&lt;&gt;"OR+EX",--(DATOS!$G18396=CONFIG_METADATA!$B$4),IF(DATOS!$G18396="EX",1,IF(DATOS!$G18396="OR",--(COUNTIFS(nNIA,DATOS!$A18396,nCURSO,DATOS!$D18396,nESPEC,DATOS!$E18396,nASIG,DATOS!$I18396,nEVAL,"EX")=0),0))))</f>
      </c>
      <c r="H18396">
        <f>IF(DATOS!$G18396&lt;&gt;"EX",0,--(COUNTIFS(nNIA,DATOS!$A18396,nCURSO,DATOS!$D18396,nESPEC,DATOS!$E18396,nASIG,DATOS!$I18396,nEVAL,"OR")=0))</f>
      </c>
      <c r="I18396">
        <f>IF(DATOS!$I18396="","",IFERROR(VLOOKUP(DATOS!$I18396,CONFIG_ASIGNATURAS!$B$2:$J$91,9,FALSE()),""))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IF(DATOS!$A18397="",0,IF(CONFIG_METADATA!$B$4&lt;&gt;"OR+EX",--(DATOS!$G18397=CONFIG_METADATA!$B$4),IF(DATOS!$G18397="EX",1,IF(DATOS!$G18397="OR",--(COUNTIFS(nNIA,DATOS!$A18397,nCURSO,DATOS!$D18397,nESPEC,DATOS!$E18397,nASIG,DATOS!$I18397,nEVAL,"EX")=0),0))))</f>
      </c>
      <c r="H18397">
        <f>IF(DATOS!$G18397&lt;&gt;"EX",0,--(COUNTIFS(nNIA,DATOS!$A18397,nCURSO,DATOS!$D18397,nESPEC,DATOS!$E18397,nASIG,DATOS!$I18397,nEVAL,"OR")=0))</f>
      </c>
      <c r="I18397">
        <f>IF(DATOS!$I18397="","",IFERROR(VLOOKUP(DATOS!$I18397,CONFIG_ASIGNATURAS!$B$2:$J$91,9,FALSE()),""))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IF(DATOS!$A18398="",0,IF(CONFIG_METADATA!$B$4&lt;&gt;"OR+EX",--(DATOS!$G18398=CONFIG_METADATA!$B$4),IF(DATOS!$G18398="EX",1,IF(DATOS!$G18398="OR",--(COUNTIFS(nNIA,DATOS!$A18398,nCURSO,DATOS!$D18398,nESPEC,DATOS!$E18398,nASIG,DATOS!$I18398,nEVAL,"EX")=0),0))))</f>
      </c>
      <c r="H18398">
        <f>IF(DATOS!$G18398&lt;&gt;"EX",0,--(COUNTIFS(nNIA,DATOS!$A18398,nCURSO,DATOS!$D18398,nESPEC,DATOS!$E18398,nASIG,DATOS!$I18398,nEVAL,"OR")=0))</f>
      </c>
      <c r="I18398">
        <f>IF(DATOS!$I18398="","",IFERROR(VLOOKUP(DATOS!$I18398,CONFIG_ASIGNATURAS!$B$2:$J$91,9,FALSE()),""))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IF(DATOS!$A18399="",0,IF(CONFIG_METADATA!$B$4&lt;&gt;"OR+EX",--(DATOS!$G18399=CONFIG_METADATA!$B$4),IF(DATOS!$G18399="EX",1,IF(DATOS!$G18399="OR",--(COUNTIFS(nNIA,DATOS!$A18399,nCURSO,DATOS!$D18399,nESPEC,DATOS!$E18399,nASIG,DATOS!$I18399,nEVAL,"EX")=0),0))))</f>
      </c>
      <c r="H18399">
        <f>IF(DATOS!$G18399&lt;&gt;"EX",0,--(COUNTIFS(nNIA,DATOS!$A18399,nCURSO,DATOS!$D18399,nESPEC,DATOS!$E18399,nASIG,DATOS!$I18399,nEVAL,"OR")=0))</f>
      </c>
      <c r="I18399">
        <f>IF(DATOS!$I18399="","",IFERROR(VLOOKUP(DATOS!$I18399,CONFIG_ASIGNATURAS!$B$2:$J$91,9,FALSE()),""))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IF(DATOS!$A18400="",0,IF(CONFIG_METADATA!$B$4&lt;&gt;"OR+EX",--(DATOS!$G18400=CONFIG_METADATA!$B$4),IF(DATOS!$G18400="EX",1,IF(DATOS!$G18400="OR",--(COUNTIFS(nNIA,DATOS!$A18400,nCURSO,DATOS!$D18400,nESPEC,DATOS!$E18400,nASIG,DATOS!$I18400,nEVAL,"EX")=0),0))))</f>
      </c>
      <c r="H18400">
        <f>IF(DATOS!$G18400&lt;&gt;"EX",0,--(COUNTIFS(nNIA,DATOS!$A18400,nCURSO,DATOS!$D18400,nESPEC,DATOS!$E18400,nASIG,DATOS!$I18400,nEVAL,"OR")=0))</f>
      </c>
      <c r="I18400">
        <f>IF(DATOS!$I18400="","",IFERROR(VLOOKUP(DATOS!$I18400,CONFIG_ASIGNATURAS!$B$2:$J$91,9,FALSE()),""))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IF(DATOS!$A18401="",0,IF(CONFIG_METADATA!$B$4&lt;&gt;"OR+EX",--(DATOS!$G18401=CONFIG_METADATA!$B$4),IF(DATOS!$G18401="EX",1,IF(DATOS!$G18401="OR",--(COUNTIFS(nNIA,DATOS!$A18401,nCURSO,DATOS!$D18401,nESPEC,DATOS!$E18401,nASIG,DATOS!$I18401,nEVAL,"EX")=0),0))))</f>
      </c>
      <c r="H18401">
        <f>IF(DATOS!$G18401&lt;&gt;"EX",0,--(COUNTIFS(nNIA,DATOS!$A18401,nCURSO,DATOS!$D18401,nESPEC,DATOS!$E18401,nASIG,DATOS!$I18401,nEVAL,"OR")=0))</f>
      </c>
      <c r="I18401">
        <f>IF(DATOS!$I18401="","",IFERROR(VLOOKUP(DATOS!$I18401,CONFIG_ASIGNATURAS!$B$2:$J$91,9,FALSE()),""))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IF(DATOS!$A18402="",0,IF(CONFIG_METADATA!$B$4&lt;&gt;"OR+EX",--(DATOS!$G18402=CONFIG_METADATA!$B$4),IF(DATOS!$G18402="EX",1,IF(DATOS!$G18402="OR",--(COUNTIFS(nNIA,DATOS!$A18402,nCURSO,DATOS!$D18402,nESPEC,DATOS!$E18402,nASIG,DATOS!$I18402,nEVAL,"EX")=0),0))))</f>
      </c>
      <c r="H18402">
        <f>IF(DATOS!$G18402&lt;&gt;"EX",0,--(COUNTIFS(nNIA,DATOS!$A18402,nCURSO,DATOS!$D18402,nESPEC,DATOS!$E18402,nASIG,DATOS!$I18402,nEVAL,"OR")=0))</f>
      </c>
      <c r="I18402">
        <f>IF(DATOS!$I18402="","",IFERROR(VLOOKUP(DATOS!$I18402,CONFIG_ASIGNATURAS!$B$2:$J$91,9,FALSE()),""))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IF(DATOS!$A18403="",0,IF(CONFIG_METADATA!$B$4&lt;&gt;"OR+EX",--(DATOS!$G18403=CONFIG_METADATA!$B$4),IF(DATOS!$G18403="EX",1,IF(DATOS!$G18403="OR",--(COUNTIFS(nNIA,DATOS!$A18403,nCURSO,DATOS!$D18403,nESPEC,DATOS!$E18403,nASIG,DATOS!$I18403,nEVAL,"EX")=0),0))))</f>
      </c>
      <c r="H18403">
        <f>IF(DATOS!$G18403&lt;&gt;"EX",0,--(COUNTIFS(nNIA,DATOS!$A18403,nCURSO,DATOS!$D18403,nESPEC,DATOS!$E18403,nASIG,DATOS!$I18403,nEVAL,"OR")=0))</f>
      </c>
      <c r="I18403">
        <f>IF(DATOS!$I18403="","",IFERROR(VLOOKUP(DATOS!$I18403,CONFIG_ASIGNATURAS!$B$2:$J$91,9,FALSE()),""))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IF(DATOS!$A18404="",0,IF(CONFIG_METADATA!$B$4&lt;&gt;"OR+EX",--(DATOS!$G18404=CONFIG_METADATA!$B$4),IF(DATOS!$G18404="EX",1,IF(DATOS!$G18404="OR",--(COUNTIFS(nNIA,DATOS!$A18404,nCURSO,DATOS!$D18404,nESPEC,DATOS!$E18404,nASIG,DATOS!$I18404,nEVAL,"EX")=0),0))))</f>
      </c>
      <c r="H18404">
        <f>IF(DATOS!$G18404&lt;&gt;"EX",0,--(COUNTIFS(nNIA,DATOS!$A18404,nCURSO,DATOS!$D18404,nESPEC,DATOS!$E18404,nASIG,DATOS!$I18404,nEVAL,"OR")=0))</f>
      </c>
      <c r="I18404">
        <f>IF(DATOS!$I18404="","",IFERROR(VLOOKUP(DATOS!$I18404,CONFIG_ASIGNATURAS!$B$2:$J$91,9,FALSE()),""))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IF(DATOS!$A18405="",0,IF(CONFIG_METADATA!$B$4&lt;&gt;"OR+EX",--(DATOS!$G18405=CONFIG_METADATA!$B$4),IF(DATOS!$G18405="EX",1,IF(DATOS!$G18405="OR",--(COUNTIFS(nNIA,DATOS!$A18405,nCURSO,DATOS!$D18405,nESPEC,DATOS!$E18405,nASIG,DATOS!$I18405,nEVAL,"EX")=0),0))))</f>
      </c>
      <c r="H18405">
        <f>IF(DATOS!$G18405&lt;&gt;"EX",0,--(COUNTIFS(nNIA,DATOS!$A18405,nCURSO,DATOS!$D18405,nESPEC,DATOS!$E18405,nASIG,DATOS!$I18405,nEVAL,"OR")=0))</f>
      </c>
      <c r="I18405">
        <f>IF(DATOS!$I18405="","",IFERROR(VLOOKUP(DATOS!$I18405,CONFIG_ASIGNATURAS!$B$2:$J$91,9,FALSE()),""))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IF(DATOS!$A18406="",0,IF(CONFIG_METADATA!$B$4&lt;&gt;"OR+EX",--(DATOS!$G18406=CONFIG_METADATA!$B$4),IF(DATOS!$G18406="EX",1,IF(DATOS!$G18406="OR",--(COUNTIFS(nNIA,DATOS!$A18406,nCURSO,DATOS!$D18406,nESPEC,DATOS!$E18406,nASIG,DATOS!$I18406,nEVAL,"EX")=0),0))))</f>
      </c>
      <c r="H18406">
        <f>IF(DATOS!$G18406&lt;&gt;"EX",0,--(COUNTIFS(nNIA,DATOS!$A18406,nCURSO,DATOS!$D18406,nESPEC,DATOS!$E18406,nASIG,DATOS!$I18406,nEVAL,"OR")=0))</f>
      </c>
      <c r="I18406">
        <f>IF(DATOS!$I18406="","",IFERROR(VLOOKUP(DATOS!$I18406,CONFIG_ASIGNATURAS!$B$2:$J$91,9,FALSE()),""))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IF(DATOS!$A18407="",0,IF(CONFIG_METADATA!$B$4&lt;&gt;"OR+EX",--(DATOS!$G18407=CONFIG_METADATA!$B$4),IF(DATOS!$G18407="EX",1,IF(DATOS!$G18407="OR",--(COUNTIFS(nNIA,DATOS!$A18407,nCURSO,DATOS!$D18407,nESPEC,DATOS!$E18407,nASIG,DATOS!$I18407,nEVAL,"EX")=0),0))))</f>
      </c>
      <c r="H18407">
        <f>IF(DATOS!$G18407&lt;&gt;"EX",0,--(COUNTIFS(nNIA,DATOS!$A18407,nCURSO,DATOS!$D18407,nESPEC,DATOS!$E18407,nASIG,DATOS!$I18407,nEVAL,"OR")=0))</f>
      </c>
      <c r="I18407">
        <f>IF(DATOS!$I18407="","",IFERROR(VLOOKUP(DATOS!$I18407,CONFIG_ASIGNATURAS!$B$2:$J$91,9,FALSE()),""))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IF(DATOS!$A18408="",0,IF(CONFIG_METADATA!$B$4&lt;&gt;"OR+EX",--(DATOS!$G18408=CONFIG_METADATA!$B$4),IF(DATOS!$G18408="EX",1,IF(DATOS!$G18408="OR",--(COUNTIFS(nNIA,DATOS!$A18408,nCURSO,DATOS!$D18408,nESPEC,DATOS!$E18408,nASIG,DATOS!$I18408,nEVAL,"EX")=0),0))))</f>
      </c>
      <c r="H18408">
        <f>IF(DATOS!$G18408&lt;&gt;"EX",0,--(COUNTIFS(nNIA,DATOS!$A18408,nCURSO,DATOS!$D18408,nESPEC,DATOS!$E18408,nASIG,DATOS!$I18408,nEVAL,"OR")=0))</f>
      </c>
      <c r="I18408">
        <f>IF(DATOS!$I18408="","",IFERROR(VLOOKUP(DATOS!$I18408,CONFIG_ASIGNATURAS!$B$2:$J$91,9,FALSE()),""))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IF(DATOS!$A18409="",0,IF(CONFIG_METADATA!$B$4&lt;&gt;"OR+EX",--(DATOS!$G18409=CONFIG_METADATA!$B$4),IF(DATOS!$G18409="EX",1,IF(DATOS!$G18409="OR",--(COUNTIFS(nNIA,DATOS!$A18409,nCURSO,DATOS!$D18409,nESPEC,DATOS!$E18409,nASIG,DATOS!$I18409,nEVAL,"EX")=0),0))))</f>
      </c>
      <c r="H18409">
        <f>IF(DATOS!$G18409&lt;&gt;"EX",0,--(COUNTIFS(nNIA,DATOS!$A18409,nCURSO,DATOS!$D18409,nESPEC,DATOS!$E18409,nASIG,DATOS!$I18409,nEVAL,"OR")=0))</f>
      </c>
      <c r="I18409">
        <f>IF(DATOS!$I18409="","",IFERROR(VLOOKUP(DATOS!$I18409,CONFIG_ASIGNATURAS!$B$2:$J$91,9,FALSE()),""))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IF(DATOS!$A18410="",0,IF(CONFIG_METADATA!$B$4&lt;&gt;"OR+EX",--(DATOS!$G18410=CONFIG_METADATA!$B$4),IF(DATOS!$G18410="EX",1,IF(DATOS!$G18410="OR",--(COUNTIFS(nNIA,DATOS!$A18410,nCURSO,DATOS!$D18410,nESPEC,DATOS!$E18410,nASIG,DATOS!$I18410,nEVAL,"EX")=0),0))))</f>
      </c>
      <c r="H18410">
        <f>IF(DATOS!$G18410&lt;&gt;"EX",0,--(COUNTIFS(nNIA,DATOS!$A18410,nCURSO,DATOS!$D18410,nESPEC,DATOS!$E18410,nASIG,DATOS!$I18410,nEVAL,"OR")=0))</f>
      </c>
      <c r="I18410">
        <f>IF(DATOS!$I18410="","",IFERROR(VLOOKUP(DATOS!$I18410,CONFIG_ASIGNATURAS!$B$2:$J$91,9,FALSE()),""))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IF(DATOS!$A18411="",0,IF(CONFIG_METADATA!$B$4&lt;&gt;"OR+EX",--(DATOS!$G18411=CONFIG_METADATA!$B$4),IF(DATOS!$G18411="EX",1,IF(DATOS!$G18411="OR",--(COUNTIFS(nNIA,DATOS!$A18411,nCURSO,DATOS!$D18411,nESPEC,DATOS!$E18411,nASIG,DATOS!$I18411,nEVAL,"EX")=0),0))))</f>
      </c>
      <c r="H18411">
        <f>IF(DATOS!$G18411&lt;&gt;"EX",0,--(COUNTIFS(nNIA,DATOS!$A18411,nCURSO,DATOS!$D18411,nESPEC,DATOS!$E18411,nASIG,DATOS!$I18411,nEVAL,"OR")=0))</f>
      </c>
      <c r="I18411">
        <f>IF(DATOS!$I18411="","",IFERROR(VLOOKUP(DATOS!$I18411,CONFIG_ASIGNATURAS!$B$2:$J$91,9,FALSE()),""))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IF(DATOS!$A18412="",0,IF(CONFIG_METADATA!$B$4&lt;&gt;"OR+EX",--(DATOS!$G18412=CONFIG_METADATA!$B$4),IF(DATOS!$G18412="EX",1,IF(DATOS!$G18412="OR",--(COUNTIFS(nNIA,DATOS!$A18412,nCURSO,DATOS!$D18412,nESPEC,DATOS!$E18412,nASIG,DATOS!$I18412,nEVAL,"EX")=0),0))))</f>
      </c>
      <c r="H18412">
        <f>IF(DATOS!$G18412&lt;&gt;"EX",0,--(COUNTIFS(nNIA,DATOS!$A18412,nCURSO,DATOS!$D18412,nESPEC,DATOS!$E18412,nASIG,DATOS!$I18412,nEVAL,"OR")=0))</f>
      </c>
      <c r="I18412">
        <f>IF(DATOS!$I18412="","",IFERROR(VLOOKUP(DATOS!$I18412,CONFIG_ASIGNATURAS!$B$2:$J$91,9,FALSE()),""))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IF(DATOS!$A18413="",0,IF(CONFIG_METADATA!$B$4&lt;&gt;"OR+EX",--(DATOS!$G18413=CONFIG_METADATA!$B$4),IF(DATOS!$G18413="EX",1,IF(DATOS!$G18413="OR",--(COUNTIFS(nNIA,DATOS!$A18413,nCURSO,DATOS!$D18413,nESPEC,DATOS!$E18413,nASIG,DATOS!$I18413,nEVAL,"EX")=0),0))))</f>
      </c>
      <c r="H18413">
        <f>IF(DATOS!$G18413&lt;&gt;"EX",0,--(COUNTIFS(nNIA,DATOS!$A18413,nCURSO,DATOS!$D18413,nESPEC,DATOS!$E18413,nASIG,DATOS!$I18413,nEVAL,"OR")=0))</f>
      </c>
      <c r="I18413">
        <f>IF(DATOS!$I18413="","",IFERROR(VLOOKUP(DATOS!$I18413,CONFIG_ASIGNATURAS!$B$2:$J$91,9,FALSE()),""))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IF(DATOS!$A18414="",0,IF(CONFIG_METADATA!$B$4&lt;&gt;"OR+EX",--(DATOS!$G18414=CONFIG_METADATA!$B$4),IF(DATOS!$G18414="EX",1,IF(DATOS!$G18414="OR",--(COUNTIFS(nNIA,DATOS!$A18414,nCURSO,DATOS!$D18414,nESPEC,DATOS!$E18414,nASIG,DATOS!$I18414,nEVAL,"EX")=0),0))))</f>
      </c>
      <c r="H18414">
        <f>IF(DATOS!$G18414&lt;&gt;"EX",0,--(COUNTIFS(nNIA,DATOS!$A18414,nCURSO,DATOS!$D18414,nESPEC,DATOS!$E18414,nASIG,DATOS!$I18414,nEVAL,"OR")=0))</f>
      </c>
      <c r="I18414">
        <f>IF(DATOS!$I18414="","",IFERROR(VLOOKUP(DATOS!$I18414,CONFIG_ASIGNATURAS!$B$2:$J$91,9,FALSE()),""))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IF(DATOS!$A18415="",0,IF(CONFIG_METADATA!$B$4&lt;&gt;"OR+EX",--(DATOS!$G18415=CONFIG_METADATA!$B$4),IF(DATOS!$G18415="EX",1,IF(DATOS!$G18415="OR",--(COUNTIFS(nNIA,DATOS!$A18415,nCURSO,DATOS!$D18415,nESPEC,DATOS!$E18415,nASIG,DATOS!$I18415,nEVAL,"EX")=0),0))))</f>
      </c>
      <c r="H18415">
        <f>IF(DATOS!$G18415&lt;&gt;"EX",0,--(COUNTIFS(nNIA,DATOS!$A18415,nCURSO,DATOS!$D18415,nESPEC,DATOS!$E18415,nASIG,DATOS!$I18415,nEVAL,"OR")=0))</f>
      </c>
      <c r="I18415">
        <f>IF(DATOS!$I18415="","",IFERROR(VLOOKUP(DATOS!$I18415,CONFIG_ASIGNATURAS!$B$2:$J$91,9,FALSE()),""))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IF(DATOS!$A18416="",0,IF(CONFIG_METADATA!$B$4&lt;&gt;"OR+EX",--(DATOS!$G18416=CONFIG_METADATA!$B$4),IF(DATOS!$G18416="EX",1,IF(DATOS!$G18416="OR",--(COUNTIFS(nNIA,DATOS!$A18416,nCURSO,DATOS!$D18416,nESPEC,DATOS!$E18416,nASIG,DATOS!$I18416,nEVAL,"EX")=0),0))))</f>
      </c>
      <c r="H18416">
        <f>IF(DATOS!$G18416&lt;&gt;"EX",0,--(COUNTIFS(nNIA,DATOS!$A18416,nCURSO,DATOS!$D18416,nESPEC,DATOS!$E18416,nASIG,DATOS!$I18416,nEVAL,"OR")=0))</f>
      </c>
      <c r="I18416">
        <f>IF(DATOS!$I18416="","",IFERROR(VLOOKUP(DATOS!$I18416,CONFIG_ASIGNATURAS!$B$2:$J$91,9,FALSE()),""))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IF(DATOS!$A18417="",0,IF(CONFIG_METADATA!$B$4&lt;&gt;"OR+EX",--(DATOS!$G18417=CONFIG_METADATA!$B$4),IF(DATOS!$G18417="EX",1,IF(DATOS!$G18417="OR",--(COUNTIFS(nNIA,DATOS!$A18417,nCURSO,DATOS!$D18417,nESPEC,DATOS!$E18417,nASIG,DATOS!$I18417,nEVAL,"EX")=0),0))))</f>
      </c>
      <c r="H18417">
        <f>IF(DATOS!$G18417&lt;&gt;"EX",0,--(COUNTIFS(nNIA,DATOS!$A18417,nCURSO,DATOS!$D18417,nESPEC,DATOS!$E18417,nASIG,DATOS!$I18417,nEVAL,"OR")=0))</f>
      </c>
      <c r="I18417">
        <f>IF(DATOS!$I18417="","",IFERROR(VLOOKUP(DATOS!$I18417,CONFIG_ASIGNATURAS!$B$2:$J$91,9,FALSE()),""))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IF(DATOS!$A18418="",0,IF(CONFIG_METADATA!$B$4&lt;&gt;"OR+EX",--(DATOS!$G18418=CONFIG_METADATA!$B$4),IF(DATOS!$G18418="EX",1,IF(DATOS!$G18418="OR",--(COUNTIFS(nNIA,DATOS!$A18418,nCURSO,DATOS!$D18418,nESPEC,DATOS!$E18418,nASIG,DATOS!$I18418,nEVAL,"EX")=0),0))))</f>
      </c>
      <c r="H18418">
        <f>IF(DATOS!$G18418&lt;&gt;"EX",0,--(COUNTIFS(nNIA,DATOS!$A18418,nCURSO,DATOS!$D18418,nESPEC,DATOS!$E18418,nASIG,DATOS!$I18418,nEVAL,"OR")=0))</f>
      </c>
      <c r="I18418">
        <f>IF(DATOS!$I18418="","",IFERROR(VLOOKUP(DATOS!$I18418,CONFIG_ASIGNATURAS!$B$2:$J$91,9,FALSE()),""))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IF(DATOS!$A18419="",0,IF(CONFIG_METADATA!$B$4&lt;&gt;"OR+EX",--(DATOS!$G18419=CONFIG_METADATA!$B$4),IF(DATOS!$G18419="EX",1,IF(DATOS!$G18419="OR",--(COUNTIFS(nNIA,DATOS!$A18419,nCURSO,DATOS!$D18419,nESPEC,DATOS!$E18419,nASIG,DATOS!$I18419,nEVAL,"EX")=0),0))))</f>
      </c>
      <c r="H18419">
        <f>IF(DATOS!$G18419&lt;&gt;"EX",0,--(COUNTIFS(nNIA,DATOS!$A18419,nCURSO,DATOS!$D18419,nESPEC,DATOS!$E18419,nASIG,DATOS!$I18419,nEVAL,"OR")=0))</f>
      </c>
      <c r="I18419">
        <f>IF(DATOS!$I18419="","",IFERROR(VLOOKUP(DATOS!$I18419,CONFIG_ASIGNATURAS!$B$2:$J$91,9,FALSE()),""))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IF(DATOS!$A18420="",0,IF(CONFIG_METADATA!$B$4&lt;&gt;"OR+EX",--(DATOS!$G18420=CONFIG_METADATA!$B$4),IF(DATOS!$G18420="EX",1,IF(DATOS!$G18420="OR",--(COUNTIFS(nNIA,DATOS!$A18420,nCURSO,DATOS!$D18420,nESPEC,DATOS!$E18420,nASIG,DATOS!$I18420,nEVAL,"EX")=0),0))))</f>
      </c>
      <c r="H18420">
        <f>IF(DATOS!$G18420&lt;&gt;"EX",0,--(COUNTIFS(nNIA,DATOS!$A18420,nCURSO,DATOS!$D18420,nESPEC,DATOS!$E18420,nASIG,DATOS!$I18420,nEVAL,"OR")=0))</f>
      </c>
      <c r="I18420">
        <f>IF(DATOS!$I18420="","",IFERROR(VLOOKUP(DATOS!$I18420,CONFIG_ASIGNATURAS!$B$2:$J$91,9,FALSE()),""))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IF(DATOS!$A18421="",0,IF(CONFIG_METADATA!$B$4&lt;&gt;"OR+EX",--(DATOS!$G18421=CONFIG_METADATA!$B$4),IF(DATOS!$G18421="EX",1,IF(DATOS!$G18421="OR",--(COUNTIFS(nNIA,DATOS!$A18421,nCURSO,DATOS!$D18421,nESPEC,DATOS!$E18421,nASIG,DATOS!$I18421,nEVAL,"EX")=0),0))))</f>
      </c>
      <c r="H18421">
        <f>IF(DATOS!$G18421&lt;&gt;"EX",0,--(COUNTIFS(nNIA,DATOS!$A18421,nCURSO,DATOS!$D18421,nESPEC,DATOS!$E18421,nASIG,DATOS!$I18421,nEVAL,"OR")=0))</f>
      </c>
      <c r="I18421">
        <f>IF(DATOS!$I18421="","",IFERROR(VLOOKUP(DATOS!$I18421,CONFIG_ASIGNATURAS!$B$2:$J$91,9,FALSE()),""))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IF(DATOS!$A18422="",0,IF(CONFIG_METADATA!$B$4&lt;&gt;"OR+EX",--(DATOS!$G18422=CONFIG_METADATA!$B$4),IF(DATOS!$G18422="EX",1,IF(DATOS!$G18422="OR",--(COUNTIFS(nNIA,DATOS!$A18422,nCURSO,DATOS!$D18422,nESPEC,DATOS!$E18422,nASIG,DATOS!$I18422,nEVAL,"EX")=0),0))))</f>
      </c>
      <c r="H18422">
        <f>IF(DATOS!$G18422&lt;&gt;"EX",0,--(COUNTIFS(nNIA,DATOS!$A18422,nCURSO,DATOS!$D18422,nESPEC,DATOS!$E18422,nASIG,DATOS!$I18422,nEVAL,"OR")=0))</f>
      </c>
      <c r="I18422">
        <f>IF(DATOS!$I18422="","",IFERROR(VLOOKUP(DATOS!$I18422,CONFIG_ASIGNATURAS!$B$2:$J$91,9,FALSE()),""))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IF(DATOS!$A18423="",0,IF(CONFIG_METADATA!$B$4&lt;&gt;"OR+EX",--(DATOS!$G18423=CONFIG_METADATA!$B$4),IF(DATOS!$G18423="EX",1,IF(DATOS!$G18423="OR",--(COUNTIFS(nNIA,DATOS!$A18423,nCURSO,DATOS!$D18423,nESPEC,DATOS!$E18423,nASIG,DATOS!$I18423,nEVAL,"EX")=0),0))))</f>
      </c>
      <c r="H18423">
        <f>IF(DATOS!$G18423&lt;&gt;"EX",0,--(COUNTIFS(nNIA,DATOS!$A18423,nCURSO,DATOS!$D18423,nESPEC,DATOS!$E18423,nASIG,DATOS!$I18423,nEVAL,"OR")=0))</f>
      </c>
      <c r="I18423">
        <f>IF(DATOS!$I18423="","",IFERROR(VLOOKUP(DATOS!$I18423,CONFIG_ASIGNATURAS!$B$2:$J$91,9,FALSE()),""))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IF(DATOS!$A18424="",0,IF(CONFIG_METADATA!$B$4&lt;&gt;"OR+EX",--(DATOS!$G18424=CONFIG_METADATA!$B$4),IF(DATOS!$G18424="EX",1,IF(DATOS!$G18424="OR",--(COUNTIFS(nNIA,DATOS!$A18424,nCURSO,DATOS!$D18424,nESPEC,DATOS!$E18424,nASIG,DATOS!$I18424,nEVAL,"EX")=0),0))))</f>
      </c>
      <c r="H18424">
        <f>IF(DATOS!$G18424&lt;&gt;"EX",0,--(COUNTIFS(nNIA,DATOS!$A18424,nCURSO,DATOS!$D18424,nESPEC,DATOS!$E18424,nASIG,DATOS!$I18424,nEVAL,"OR")=0))</f>
      </c>
      <c r="I18424">
        <f>IF(DATOS!$I18424="","",IFERROR(VLOOKUP(DATOS!$I18424,CONFIG_ASIGNATURAS!$B$2:$J$91,9,FALSE()),""))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IF(DATOS!$A18425="",0,IF(CONFIG_METADATA!$B$4&lt;&gt;"OR+EX",--(DATOS!$G18425=CONFIG_METADATA!$B$4),IF(DATOS!$G18425="EX",1,IF(DATOS!$G18425="OR",--(COUNTIFS(nNIA,DATOS!$A18425,nCURSO,DATOS!$D18425,nESPEC,DATOS!$E18425,nASIG,DATOS!$I18425,nEVAL,"EX")=0),0))))</f>
      </c>
      <c r="H18425">
        <f>IF(DATOS!$G18425&lt;&gt;"EX",0,--(COUNTIFS(nNIA,DATOS!$A18425,nCURSO,DATOS!$D18425,nESPEC,DATOS!$E18425,nASIG,DATOS!$I18425,nEVAL,"OR")=0))</f>
      </c>
      <c r="I18425">
        <f>IF(DATOS!$I18425="","",IFERROR(VLOOKUP(DATOS!$I18425,CONFIG_ASIGNATURAS!$B$2:$J$91,9,FALSE()),""))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IF(DATOS!$A18426="",0,IF(CONFIG_METADATA!$B$4&lt;&gt;"OR+EX",--(DATOS!$G18426=CONFIG_METADATA!$B$4),IF(DATOS!$G18426="EX",1,IF(DATOS!$G18426="OR",--(COUNTIFS(nNIA,DATOS!$A18426,nCURSO,DATOS!$D18426,nESPEC,DATOS!$E18426,nASIG,DATOS!$I18426,nEVAL,"EX")=0),0))))</f>
      </c>
      <c r="H18426">
        <f>IF(DATOS!$G18426&lt;&gt;"EX",0,--(COUNTIFS(nNIA,DATOS!$A18426,nCURSO,DATOS!$D18426,nESPEC,DATOS!$E18426,nASIG,DATOS!$I18426,nEVAL,"OR")=0))</f>
      </c>
      <c r="I18426">
        <f>IF(DATOS!$I18426="","",IFERROR(VLOOKUP(DATOS!$I18426,CONFIG_ASIGNATURAS!$B$2:$J$91,9,FALSE()),""))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IF(DATOS!$A18427="",0,IF(CONFIG_METADATA!$B$4&lt;&gt;"OR+EX",--(DATOS!$G18427=CONFIG_METADATA!$B$4),IF(DATOS!$G18427="EX",1,IF(DATOS!$G18427="OR",--(COUNTIFS(nNIA,DATOS!$A18427,nCURSO,DATOS!$D18427,nESPEC,DATOS!$E18427,nASIG,DATOS!$I18427,nEVAL,"EX")=0),0))))</f>
      </c>
      <c r="H18427">
        <f>IF(DATOS!$G18427&lt;&gt;"EX",0,--(COUNTIFS(nNIA,DATOS!$A18427,nCURSO,DATOS!$D18427,nESPEC,DATOS!$E18427,nASIG,DATOS!$I18427,nEVAL,"OR")=0))</f>
      </c>
      <c r="I18427">
        <f>IF(DATOS!$I18427="","",IFERROR(VLOOKUP(DATOS!$I18427,CONFIG_ASIGNATURAS!$B$2:$J$91,9,FALSE()),""))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IF(DATOS!$A18428="",0,IF(CONFIG_METADATA!$B$4&lt;&gt;"OR+EX",--(DATOS!$G18428=CONFIG_METADATA!$B$4),IF(DATOS!$G18428="EX",1,IF(DATOS!$G18428="OR",--(COUNTIFS(nNIA,DATOS!$A18428,nCURSO,DATOS!$D18428,nESPEC,DATOS!$E18428,nASIG,DATOS!$I18428,nEVAL,"EX")=0),0))))</f>
      </c>
      <c r="H18428">
        <f>IF(DATOS!$G18428&lt;&gt;"EX",0,--(COUNTIFS(nNIA,DATOS!$A18428,nCURSO,DATOS!$D18428,nESPEC,DATOS!$E18428,nASIG,DATOS!$I18428,nEVAL,"OR")=0))</f>
      </c>
      <c r="I18428">
        <f>IF(DATOS!$I18428="","",IFERROR(VLOOKUP(DATOS!$I18428,CONFIG_ASIGNATURAS!$B$2:$J$91,9,FALSE()),""))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IF(DATOS!$A18429="",0,IF(CONFIG_METADATA!$B$4&lt;&gt;"OR+EX",--(DATOS!$G18429=CONFIG_METADATA!$B$4),IF(DATOS!$G18429="EX",1,IF(DATOS!$G18429="OR",--(COUNTIFS(nNIA,DATOS!$A18429,nCURSO,DATOS!$D18429,nESPEC,DATOS!$E18429,nASIG,DATOS!$I18429,nEVAL,"EX")=0),0))))</f>
      </c>
      <c r="H18429">
        <f>IF(DATOS!$G18429&lt;&gt;"EX",0,--(COUNTIFS(nNIA,DATOS!$A18429,nCURSO,DATOS!$D18429,nESPEC,DATOS!$E18429,nASIG,DATOS!$I18429,nEVAL,"OR")=0))</f>
      </c>
      <c r="I18429">
        <f>IF(DATOS!$I18429="","",IFERROR(VLOOKUP(DATOS!$I18429,CONFIG_ASIGNATURAS!$B$2:$J$91,9,FALSE()),""))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IF(DATOS!$A18430="",0,IF(CONFIG_METADATA!$B$4&lt;&gt;"OR+EX",--(DATOS!$G18430=CONFIG_METADATA!$B$4),IF(DATOS!$G18430="EX",1,IF(DATOS!$G18430="OR",--(COUNTIFS(nNIA,DATOS!$A18430,nCURSO,DATOS!$D18430,nESPEC,DATOS!$E18430,nASIG,DATOS!$I18430,nEVAL,"EX")=0),0))))</f>
      </c>
      <c r="H18430">
        <f>IF(DATOS!$G18430&lt;&gt;"EX",0,--(COUNTIFS(nNIA,DATOS!$A18430,nCURSO,DATOS!$D18430,nESPEC,DATOS!$E18430,nASIG,DATOS!$I18430,nEVAL,"OR")=0))</f>
      </c>
      <c r="I18430">
        <f>IF(DATOS!$I18430="","",IFERROR(VLOOKUP(DATOS!$I18430,CONFIG_ASIGNATURAS!$B$2:$J$91,9,FALSE()),""))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IF(DATOS!$A18431="",0,IF(CONFIG_METADATA!$B$4&lt;&gt;"OR+EX",--(DATOS!$G18431=CONFIG_METADATA!$B$4),IF(DATOS!$G18431="EX",1,IF(DATOS!$G18431="OR",--(COUNTIFS(nNIA,DATOS!$A18431,nCURSO,DATOS!$D18431,nESPEC,DATOS!$E18431,nASIG,DATOS!$I18431,nEVAL,"EX")=0),0))))</f>
      </c>
      <c r="H18431">
        <f>IF(DATOS!$G18431&lt;&gt;"EX",0,--(COUNTIFS(nNIA,DATOS!$A18431,nCURSO,DATOS!$D18431,nESPEC,DATOS!$E18431,nASIG,DATOS!$I18431,nEVAL,"OR")=0))</f>
      </c>
      <c r="I18431">
        <f>IF(DATOS!$I18431="","",IFERROR(VLOOKUP(DATOS!$I18431,CONFIG_ASIGNATURAS!$B$2:$J$91,9,FALSE()),""))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IF(DATOS!$A18432="",0,IF(CONFIG_METADATA!$B$4&lt;&gt;"OR+EX",--(DATOS!$G18432=CONFIG_METADATA!$B$4),IF(DATOS!$G18432="EX",1,IF(DATOS!$G18432="OR",--(COUNTIFS(nNIA,DATOS!$A18432,nCURSO,DATOS!$D18432,nESPEC,DATOS!$E18432,nASIG,DATOS!$I18432,nEVAL,"EX")=0),0))))</f>
      </c>
      <c r="H18432">
        <f>IF(DATOS!$G18432&lt;&gt;"EX",0,--(COUNTIFS(nNIA,DATOS!$A18432,nCURSO,DATOS!$D18432,nESPEC,DATOS!$E18432,nASIG,DATOS!$I18432,nEVAL,"OR")=0))</f>
      </c>
      <c r="I18432">
        <f>IF(DATOS!$I18432="","",IFERROR(VLOOKUP(DATOS!$I18432,CONFIG_ASIGNATURAS!$B$2:$J$91,9,FALSE()),""))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IF(DATOS!$A18433="",0,IF(CONFIG_METADATA!$B$4&lt;&gt;"OR+EX",--(DATOS!$G18433=CONFIG_METADATA!$B$4),IF(DATOS!$G18433="EX",1,IF(DATOS!$G18433="OR",--(COUNTIFS(nNIA,DATOS!$A18433,nCURSO,DATOS!$D18433,nESPEC,DATOS!$E18433,nASIG,DATOS!$I18433,nEVAL,"EX")=0),0))))</f>
      </c>
      <c r="H18433">
        <f>IF(DATOS!$G18433&lt;&gt;"EX",0,--(COUNTIFS(nNIA,DATOS!$A18433,nCURSO,DATOS!$D18433,nESPEC,DATOS!$E18433,nASIG,DATOS!$I18433,nEVAL,"OR")=0))</f>
      </c>
      <c r="I18433">
        <f>IF(DATOS!$I18433="","",IFERROR(VLOOKUP(DATOS!$I18433,CONFIG_ASIGNATURAS!$B$2:$J$91,9,FALSE()),""))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IF(DATOS!$A18434="",0,IF(CONFIG_METADATA!$B$4&lt;&gt;"OR+EX",--(DATOS!$G18434=CONFIG_METADATA!$B$4),IF(DATOS!$G18434="EX",1,IF(DATOS!$G18434="OR",--(COUNTIFS(nNIA,DATOS!$A18434,nCURSO,DATOS!$D18434,nESPEC,DATOS!$E18434,nASIG,DATOS!$I18434,nEVAL,"EX")=0),0))))</f>
      </c>
      <c r="H18434">
        <f>IF(DATOS!$G18434&lt;&gt;"EX",0,--(COUNTIFS(nNIA,DATOS!$A18434,nCURSO,DATOS!$D18434,nESPEC,DATOS!$E18434,nASIG,DATOS!$I18434,nEVAL,"OR")=0))</f>
      </c>
      <c r="I18434">
        <f>IF(DATOS!$I18434="","",IFERROR(VLOOKUP(DATOS!$I18434,CONFIG_ASIGNATURAS!$B$2:$J$91,9,FALSE()),""))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IF(DATOS!$A18435="",0,IF(CONFIG_METADATA!$B$4&lt;&gt;"OR+EX",--(DATOS!$G18435=CONFIG_METADATA!$B$4),IF(DATOS!$G18435="EX",1,IF(DATOS!$G18435="OR",--(COUNTIFS(nNIA,DATOS!$A18435,nCURSO,DATOS!$D18435,nESPEC,DATOS!$E18435,nASIG,DATOS!$I18435,nEVAL,"EX")=0),0))))</f>
      </c>
      <c r="H18435">
        <f>IF(DATOS!$G18435&lt;&gt;"EX",0,--(COUNTIFS(nNIA,DATOS!$A18435,nCURSO,DATOS!$D18435,nESPEC,DATOS!$E18435,nASIG,DATOS!$I18435,nEVAL,"OR")=0))</f>
      </c>
      <c r="I18435">
        <f>IF(DATOS!$I18435="","",IFERROR(VLOOKUP(DATOS!$I18435,CONFIG_ASIGNATURAS!$B$2:$J$91,9,FALSE()),""))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IF(DATOS!$A18436="",0,IF(CONFIG_METADATA!$B$4&lt;&gt;"OR+EX",--(DATOS!$G18436=CONFIG_METADATA!$B$4),IF(DATOS!$G18436="EX",1,IF(DATOS!$G18436="OR",--(COUNTIFS(nNIA,DATOS!$A18436,nCURSO,DATOS!$D18436,nESPEC,DATOS!$E18436,nASIG,DATOS!$I18436,nEVAL,"EX")=0),0))))</f>
      </c>
      <c r="H18436">
        <f>IF(DATOS!$G18436&lt;&gt;"EX",0,--(COUNTIFS(nNIA,DATOS!$A18436,nCURSO,DATOS!$D18436,nESPEC,DATOS!$E18436,nASIG,DATOS!$I18436,nEVAL,"OR")=0))</f>
      </c>
      <c r="I18436">
        <f>IF(DATOS!$I18436="","",IFERROR(VLOOKUP(DATOS!$I18436,CONFIG_ASIGNATURAS!$B$2:$J$91,9,FALSE()),""))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IF(DATOS!$A18437="",0,IF(CONFIG_METADATA!$B$4&lt;&gt;"OR+EX",--(DATOS!$G18437=CONFIG_METADATA!$B$4),IF(DATOS!$G18437="EX",1,IF(DATOS!$G18437="OR",--(COUNTIFS(nNIA,DATOS!$A18437,nCURSO,DATOS!$D18437,nESPEC,DATOS!$E18437,nASIG,DATOS!$I18437,nEVAL,"EX")=0),0))))</f>
      </c>
      <c r="H18437">
        <f>IF(DATOS!$G18437&lt;&gt;"EX",0,--(COUNTIFS(nNIA,DATOS!$A18437,nCURSO,DATOS!$D18437,nESPEC,DATOS!$E18437,nASIG,DATOS!$I18437,nEVAL,"OR")=0))</f>
      </c>
      <c r="I18437">
        <f>IF(DATOS!$I18437="","",IFERROR(VLOOKUP(DATOS!$I18437,CONFIG_ASIGNATURAS!$B$2:$J$91,9,FALSE()),""))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IF(DATOS!$A18438="",0,IF(CONFIG_METADATA!$B$4&lt;&gt;"OR+EX",--(DATOS!$G18438=CONFIG_METADATA!$B$4),IF(DATOS!$G18438="EX",1,IF(DATOS!$G18438="OR",--(COUNTIFS(nNIA,DATOS!$A18438,nCURSO,DATOS!$D18438,nESPEC,DATOS!$E18438,nASIG,DATOS!$I18438,nEVAL,"EX")=0),0))))</f>
      </c>
      <c r="H18438">
        <f>IF(DATOS!$G18438&lt;&gt;"EX",0,--(COUNTIFS(nNIA,DATOS!$A18438,nCURSO,DATOS!$D18438,nESPEC,DATOS!$E18438,nASIG,DATOS!$I18438,nEVAL,"OR")=0))</f>
      </c>
      <c r="I18438">
        <f>IF(DATOS!$I18438="","",IFERROR(VLOOKUP(DATOS!$I18438,CONFIG_ASIGNATURAS!$B$2:$J$91,9,FALSE()),""))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IF(DATOS!$A18439="",0,IF(CONFIG_METADATA!$B$4&lt;&gt;"OR+EX",--(DATOS!$G18439=CONFIG_METADATA!$B$4),IF(DATOS!$G18439="EX",1,IF(DATOS!$G18439="OR",--(COUNTIFS(nNIA,DATOS!$A18439,nCURSO,DATOS!$D18439,nESPEC,DATOS!$E18439,nASIG,DATOS!$I18439,nEVAL,"EX")=0),0))))</f>
      </c>
      <c r="H18439">
        <f>IF(DATOS!$G18439&lt;&gt;"EX",0,--(COUNTIFS(nNIA,DATOS!$A18439,nCURSO,DATOS!$D18439,nESPEC,DATOS!$E18439,nASIG,DATOS!$I18439,nEVAL,"OR")=0))</f>
      </c>
      <c r="I18439">
        <f>IF(DATOS!$I18439="","",IFERROR(VLOOKUP(DATOS!$I18439,CONFIG_ASIGNATURAS!$B$2:$J$91,9,FALSE()),""))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IF(DATOS!$A18440="",0,IF(CONFIG_METADATA!$B$4&lt;&gt;"OR+EX",--(DATOS!$G18440=CONFIG_METADATA!$B$4),IF(DATOS!$G18440="EX",1,IF(DATOS!$G18440="OR",--(COUNTIFS(nNIA,DATOS!$A18440,nCURSO,DATOS!$D18440,nESPEC,DATOS!$E18440,nASIG,DATOS!$I18440,nEVAL,"EX")=0),0))))</f>
      </c>
      <c r="H18440">
        <f>IF(DATOS!$G18440&lt;&gt;"EX",0,--(COUNTIFS(nNIA,DATOS!$A18440,nCURSO,DATOS!$D18440,nESPEC,DATOS!$E18440,nASIG,DATOS!$I18440,nEVAL,"OR")=0))</f>
      </c>
      <c r="I18440">
        <f>IF(DATOS!$I18440="","",IFERROR(VLOOKUP(DATOS!$I18440,CONFIG_ASIGNATURAS!$B$2:$J$91,9,FALSE()),""))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IF(DATOS!$A18441="",0,IF(CONFIG_METADATA!$B$4&lt;&gt;"OR+EX",--(DATOS!$G18441=CONFIG_METADATA!$B$4),IF(DATOS!$G18441="EX",1,IF(DATOS!$G18441="OR",--(COUNTIFS(nNIA,DATOS!$A18441,nCURSO,DATOS!$D18441,nESPEC,DATOS!$E18441,nASIG,DATOS!$I18441,nEVAL,"EX")=0),0))))</f>
      </c>
      <c r="H18441">
        <f>IF(DATOS!$G18441&lt;&gt;"EX",0,--(COUNTIFS(nNIA,DATOS!$A18441,nCURSO,DATOS!$D18441,nESPEC,DATOS!$E18441,nASIG,DATOS!$I18441,nEVAL,"OR")=0))</f>
      </c>
      <c r="I18441">
        <f>IF(DATOS!$I18441="","",IFERROR(VLOOKUP(DATOS!$I18441,CONFIG_ASIGNATURAS!$B$2:$J$91,9,FALSE()),""))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IF(DATOS!$A18442="",0,IF(CONFIG_METADATA!$B$4&lt;&gt;"OR+EX",--(DATOS!$G18442=CONFIG_METADATA!$B$4),IF(DATOS!$G18442="EX",1,IF(DATOS!$G18442="OR",--(COUNTIFS(nNIA,DATOS!$A18442,nCURSO,DATOS!$D18442,nESPEC,DATOS!$E18442,nASIG,DATOS!$I18442,nEVAL,"EX")=0),0))))</f>
      </c>
      <c r="H18442">
        <f>IF(DATOS!$G18442&lt;&gt;"EX",0,--(COUNTIFS(nNIA,DATOS!$A18442,nCURSO,DATOS!$D18442,nESPEC,DATOS!$E18442,nASIG,DATOS!$I18442,nEVAL,"OR")=0))</f>
      </c>
      <c r="I18442">
        <f>IF(DATOS!$I18442="","",IFERROR(VLOOKUP(DATOS!$I18442,CONFIG_ASIGNATURAS!$B$2:$J$91,9,FALSE()),""))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IF(DATOS!$A18443="",0,IF(CONFIG_METADATA!$B$4&lt;&gt;"OR+EX",--(DATOS!$G18443=CONFIG_METADATA!$B$4),IF(DATOS!$G18443="EX",1,IF(DATOS!$G18443="OR",--(COUNTIFS(nNIA,DATOS!$A18443,nCURSO,DATOS!$D18443,nESPEC,DATOS!$E18443,nASIG,DATOS!$I18443,nEVAL,"EX")=0),0))))</f>
      </c>
      <c r="H18443">
        <f>IF(DATOS!$G18443&lt;&gt;"EX",0,--(COUNTIFS(nNIA,DATOS!$A18443,nCURSO,DATOS!$D18443,nESPEC,DATOS!$E18443,nASIG,DATOS!$I18443,nEVAL,"OR")=0))</f>
      </c>
      <c r="I18443">
        <f>IF(DATOS!$I18443="","",IFERROR(VLOOKUP(DATOS!$I18443,CONFIG_ASIGNATURAS!$B$2:$J$91,9,FALSE()),""))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IF(DATOS!$A18444="",0,IF(CONFIG_METADATA!$B$4&lt;&gt;"OR+EX",--(DATOS!$G18444=CONFIG_METADATA!$B$4),IF(DATOS!$G18444="EX",1,IF(DATOS!$G18444="OR",--(COUNTIFS(nNIA,DATOS!$A18444,nCURSO,DATOS!$D18444,nESPEC,DATOS!$E18444,nASIG,DATOS!$I18444,nEVAL,"EX")=0),0))))</f>
      </c>
      <c r="H18444">
        <f>IF(DATOS!$G18444&lt;&gt;"EX",0,--(COUNTIFS(nNIA,DATOS!$A18444,nCURSO,DATOS!$D18444,nESPEC,DATOS!$E18444,nASIG,DATOS!$I18444,nEVAL,"OR")=0))</f>
      </c>
      <c r="I18444">
        <f>IF(DATOS!$I18444="","",IFERROR(VLOOKUP(DATOS!$I18444,CONFIG_ASIGNATURAS!$B$2:$J$91,9,FALSE()),""))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IF(DATOS!$A18445="",0,IF(CONFIG_METADATA!$B$4&lt;&gt;"OR+EX",--(DATOS!$G18445=CONFIG_METADATA!$B$4),IF(DATOS!$G18445="EX",1,IF(DATOS!$G18445="OR",--(COUNTIFS(nNIA,DATOS!$A18445,nCURSO,DATOS!$D18445,nESPEC,DATOS!$E18445,nASIG,DATOS!$I18445,nEVAL,"EX")=0),0))))</f>
      </c>
      <c r="H18445">
        <f>IF(DATOS!$G18445&lt;&gt;"EX",0,--(COUNTIFS(nNIA,DATOS!$A18445,nCURSO,DATOS!$D18445,nESPEC,DATOS!$E18445,nASIG,DATOS!$I18445,nEVAL,"OR")=0))</f>
      </c>
      <c r="I18445">
        <f>IF(DATOS!$I18445="","",IFERROR(VLOOKUP(DATOS!$I18445,CONFIG_ASIGNATURAS!$B$2:$J$91,9,FALSE()),""))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IF(DATOS!$A18446="",0,IF(CONFIG_METADATA!$B$4&lt;&gt;"OR+EX",--(DATOS!$G18446=CONFIG_METADATA!$B$4),IF(DATOS!$G18446="EX",1,IF(DATOS!$G18446="OR",--(COUNTIFS(nNIA,DATOS!$A18446,nCURSO,DATOS!$D18446,nESPEC,DATOS!$E18446,nASIG,DATOS!$I18446,nEVAL,"EX")=0),0))))</f>
      </c>
      <c r="H18446">
        <f>IF(DATOS!$G18446&lt;&gt;"EX",0,--(COUNTIFS(nNIA,DATOS!$A18446,nCURSO,DATOS!$D18446,nESPEC,DATOS!$E18446,nASIG,DATOS!$I18446,nEVAL,"OR")=0))</f>
      </c>
      <c r="I18446">
        <f>IF(DATOS!$I18446="","",IFERROR(VLOOKUP(DATOS!$I18446,CONFIG_ASIGNATURAS!$B$2:$J$91,9,FALSE()),""))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IF(DATOS!$A18447="",0,IF(CONFIG_METADATA!$B$4&lt;&gt;"OR+EX",--(DATOS!$G18447=CONFIG_METADATA!$B$4),IF(DATOS!$G18447="EX",1,IF(DATOS!$G18447="OR",--(COUNTIFS(nNIA,DATOS!$A18447,nCURSO,DATOS!$D18447,nESPEC,DATOS!$E18447,nASIG,DATOS!$I18447,nEVAL,"EX")=0),0))))</f>
      </c>
      <c r="H18447">
        <f>IF(DATOS!$G18447&lt;&gt;"EX",0,--(COUNTIFS(nNIA,DATOS!$A18447,nCURSO,DATOS!$D18447,nESPEC,DATOS!$E18447,nASIG,DATOS!$I18447,nEVAL,"OR")=0))</f>
      </c>
      <c r="I18447">
        <f>IF(DATOS!$I18447="","",IFERROR(VLOOKUP(DATOS!$I18447,CONFIG_ASIGNATURAS!$B$2:$J$91,9,FALSE()),""))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IF(DATOS!$A18448="",0,IF(CONFIG_METADATA!$B$4&lt;&gt;"OR+EX",--(DATOS!$G18448=CONFIG_METADATA!$B$4),IF(DATOS!$G18448="EX",1,IF(DATOS!$G18448="OR",--(COUNTIFS(nNIA,DATOS!$A18448,nCURSO,DATOS!$D18448,nESPEC,DATOS!$E18448,nASIG,DATOS!$I18448,nEVAL,"EX")=0),0))))</f>
      </c>
      <c r="H18448">
        <f>IF(DATOS!$G18448&lt;&gt;"EX",0,--(COUNTIFS(nNIA,DATOS!$A18448,nCURSO,DATOS!$D18448,nESPEC,DATOS!$E18448,nASIG,DATOS!$I18448,nEVAL,"OR")=0))</f>
      </c>
      <c r="I18448">
        <f>IF(DATOS!$I18448="","",IFERROR(VLOOKUP(DATOS!$I18448,CONFIG_ASIGNATURAS!$B$2:$J$91,9,FALSE()),""))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IF(DATOS!$A18449="",0,IF(CONFIG_METADATA!$B$4&lt;&gt;"OR+EX",--(DATOS!$G18449=CONFIG_METADATA!$B$4),IF(DATOS!$G18449="EX",1,IF(DATOS!$G18449="OR",--(COUNTIFS(nNIA,DATOS!$A18449,nCURSO,DATOS!$D18449,nESPEC,DATOS!$E18449,nASIG,DATOS!$I18449,nEVAL,"EX")=0),0))))</f>
      </c>
      <c r="H18449">
        <f>IF(DATOS!$G18449&lt;&gt;"EX",0,--(COUNTIFS(nNIA,DATOS!$A18449,nCURSO,DATOS!$D18449,nESPEC,DATOS!$E18449,nASIG,DATOS!$I18449,nEVAL,"OR")=0))</f>
      </c>
      <c r="I18449">
        <f>IF(DATOS!$I18449="","",IFERROR(VLOOKUP(DATOS!$I18449,CONFIG_ASIGNATURAS!$B$2:$J$91,9,FALSE()),""))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IF(DATOS!$A18450="",0,IF(CONFIG_METADATA!$B$4&lt;&gt;"OR+EX",--(DATOS!$G18450=CONFIG_METADATA!$B$4),IF(DATOS!$G18450="EX",1,IF(DATOS!$G18450="OR",--(COUNTIFS(nNIA,DATOS!$A18450,nCURSO,DATOS!$D18450,nESPEC,DATOS!$E18450,nASIG,DATOS!$I18450,nEVAL,"EX")=0),0))))</f>
      </c>
      <c r="H18450">
        <f>IF(DATOS!$G18450&lt;&gt;"EX",0,--(COUNTIFS(nNIA,DATOS!$A18450,nCURSO,DATOS!$D18450,nESPEC,DATOS!$E18450,nASIG,DATOS!$I18450,nEVAL,"OR")=0))</f>
      </c>
      <c r="I18450">
        <f>IF(DATOS!$I18450="","",IFERROR(VLOOKUP(DATOS!$I18450,CONFIG_ASIGNATURAS!$B$2:$J$91,9,FALSE()),""))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IF(DATOS!$A18451="",0,IF(CONFIG_METADATA!$B$4&lt;&gt;"OR+EX",--(DATOS!$G18451=CONFIG_METADATA!$B$4),IF(DATOS!$G18451="EX",1,IF(DATOS!$G18451="OR",--(COUNTIFS(nNIA,DATOS!$A18451,nCURSO,DATOS!$D18451,nESPEC,DATOS!$E18451,nASIG,DATOS!$I18451,nEVAL,"EX")=0),0))))</f>
      </c>
      <c r="H18451">
        <f>IF(DATOS!$G18451&lt;&gt;"EX",0,--(COUNTIFS(nNIA,DATOS!$A18451,nCURSO,DATOS!$D18451,nESPEC,DATOS!$E18451,nASIG,DATOS!$I18451,nEVAL,"OR")=0))</f>
      </c>
      <c r="I18451">
        <f>IF(DATOS!$I18451="","",IFERROR(VLOOKUP(DATOS!$I18451,CONFIG_ASIGNATURAS!$B$2:$J$91,9,FALSE()),""))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IF(DATOS!$A18452="",0,IF(CONFIG_METADATA!$B$4&lt;&gt;"OR+EX",--(DATOS!$G18452=CONFIG_METADATA!$B$4),IF(DATOS!$G18452="EX",1,IF(DATOS!$G18452="OR",--(COUNTIFS(nNIA,DATOS!$A18452,nCURSO,DATOS!$D18452,nESPEC,DATOS!$E18452,nASIG,DATOS!$I18452,nEVAL,"EX")=0),0))))</f>
      </c>
      <c r="H18452">
        <f>IF(DATOS!$G18452&lt;&gt;"EX",0,--(COUNTIFS(nNIA,DATOS!$A18452,nCURSO,DATOS!$D18452,nESPEC,DATOS!$E18452,nASIG,DATOS!$I18452,nEVAL,"OR")=0))</f>
      </c>
      <c r="I18452">
        <f>IF(DATOS!$I18452="","",IFERROR(VLOOKUP(DATOS!$I18452,CONFIG_ASIGNATURAS!$B$2:$J$91,9,FALSE()),""))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IF(DATOS!$A18453="",0,IF(CONFIG_METADATA!$B$4&lt;&gt;"OR+EX",--(DATOS!$G18453=CONFIG_METADATA!$B$4),IF(DATOS!$G18453="EX",1,IF(DATOS!$G18453="OR",--(COUNTIFS(nNIA,DATOS!$A18453,nCURSO,DATOS!$D18453,nESPEC,DATOS!$E18453,nASIG,DATOS!$I18453,nEVAL,"EX")=0),0))))</f>
      </c>
      <c r="H18453">
        <f>IF(DATOS!$G18453&lt;&gt;"EX",0,--(COUNTIFS(nNIA,DATOS!$A18453,nCURSO,DATOS!$D18453,nESPEC,DATOS!$E18453,nASIG,DATOS!$I18453,nEVAL,"OR")=0))</f>
      </c>
      <c r="I18453">
        <f>IF(DATOS!$I18453="","",IFERROR(VLOOKUP(DATOS!$I18453,CONFIG_ASIGNATURAS!$B$2:$J$91,9,FALSE()),""))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IF(DATOS!$A18454="",0,IF(CONFIG_METADATA!$B$4&lt;&gt;"OR+EX",--(DATOS!$G18454=CONFIG_METADATA!$B$4),IF(DATOS!$G18454="EX",1,IF(DATOS!$G18454="OR",--(COUNTIFS(nNIA,DATOS!$A18454,nCURSO,DATOS!$D18454,nESPEC,DATOS!$E18454,nASIG,DATOS!$I18454,nEVAL,"EX")=0),0))))</f>
      </c>
      <c r="H18454">
        <f>IF(DATOS!$G18454&lt;&gt;"EX",0,--(COUNTIFS(nNIA,DATOS!$A18454,nCURSO,DATOS!$D18454,nESPEC,DATOS!$E18454,nASIG,DATOS!$I18454,nEVAL,"OR")=0))</f>
      </c>
      <c r="I18454">
        <f>IF(DATOS!$I18454="","",IFERROR(VLOOKUP(DATOS!$I18454,CONFIG_ASIGNATURAS!$B$2:$J$91,9,FALSE()),""))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IF(DATOS!$A18455="",0,IF(CONFIG_METADATA!$B$4&lt;&gt;"OR+EX",--(DATOS!$G18455=CONFIG_METADATA!$B$4),IF(DATOS!$G18455="EX",1,IF(DATOS!$G18455="OR",--(COUNTIFS(nNIA,DATOS!$A18455,nCURSO,DATOS!$D18455,nESPEC,DATOS!$E18455,nASIG,DATOS!$I18455,nEVAL,"EX")=0),0))))</f>
      </c>
      <c r="H18455">
        <f>IF(DATOS!$G18455&lt;&gt;"EX",0,--(COUNTIFS(nNIA,DATOS!$A18455,nCURSO,DATOS!$D18455,nESPEC,DATOS!$E18455,nASIG,DATOS!$I18455,nEVAL,"OR")=0))</f>
      </c>
      <c r="I18455">
        <f>IF(DATOS!$I18455="","",IFERROR(VLOOKUP(DATOS!$I18455,CONFIG_ASIGNATURAS!$B$2:$J$91,9,FALSE()),""))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IF(DATOS!$A18456="",0,IF(CONFIG_METADATA!$B$4&lt;&gt;"OR+EX",--(DATOS!$G18456=CONFIG_METADATA!$B$4),IF(DATOS!$G18456="EX",1,IF(DATOS!$G18456="OR",--(COUNTIFS(nNIA,DATOS!$A18456,nCURSO,DATOS!$D18456,nESPEC,DATOS!$E18456,nASIG,DATOS!$I18456,nEVAL,"EX")=0),0))))</f>
      </c>
      <c r="H18456">
        <f>IF(DATOS!$G18456&lt;&gt;"EX",0,--(COUNTIFS(nNIA,DATOS!$A18456,nCURSO,DATOS!$D18456,nESPEC,DATOS!$E18456,nASIG,DATOS!$I18456,nEVAL,"OR")=0))</f>
      </c>
      <c r="I18456">
        <f>IF(DATOS!$I18456="","",IFERROR(VLOOKUP(DATOS!$I18456,CONFIG_ASIGNATURAS!$B$2:$J$91,9,FALSE()),""))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IF(DATOS!$A18457="",0,IF(CONFIG_METADATA!$B$4&lt;&gt;"OR+EX",--(DATOS!$G18457=CONFIG_METADATA!$B$4),IF(DATOS!$G18457="EX",1,IF(DATOS!$G18457="OR",--(COUNTIFS(nNIA,DATOS!$A18457,nCURSO,DATOS!$D18457,nESPEC,DATOS!$E18457,nASIG,DATOS!$I18457,nEVAL,"EX")=0),0))))</f>
      </c>
      <c r="H18457">
        <f>IF(DATOS!$G18457&lt;&gt;"EX",0,--(COUNTIFS(nNIA,DATOS!$A18457,nCURSO,DATOS!$D18457,nESPEC,DATOS!$E18457,nASIG,DATOS!$I18457,nEVAL,"OR")=0))</f>
      </c>
      <c r="I18457">
        <f>IF(DATOS!$I18457="","",IFERROR(VLOOKUP(DATOS!$I18457,CONFIG_ASIGNATURAS!$B$2:$J$91,9,FALSE()),""))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IF(DATOS!$A18458="",0,IF(CONFIG_METADATA!$B$4&lt;&gt;"OR+EX",--(DATOS!$G18458=CONFIG_METADATA!$B$4),IF(DATOS!$G18458="EX",1,IF(DATOS!$G18458="OR",--(COUNTIFS(nNIA,DATOS!$A18458,nCURSO,DATOS!$D18458,nESPEC,DATOS!$E18458,nASIG,DATOS!$I18458,nEVAL,"EX")=0),0))))</f>
      </c>
      <c r="H18458">
        <f>IF(DATOS!$G18458&lt;&gt;"EX",0,--(COUNTIFS(nNIA,DATOS!$A18458,nCURSO,DATOS!$D18458,nESPEC,DATOS!$E18458,nASIG,DATOS!$I18458,nEVAL,"OR")=0))</f>
      </c>
      <c r="I18458">
        <f>IF(DATOS!$I18458="","",IFERROR(VLOOKUP(DATOS!$I18458,CONFIG_ASIGNATURAS!$B$2:$J$91,9,FALSE()),""))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IF(DATOS!$A18459="",0,IF(CONFIG_METADATA!$B$4&lt;&gt;"OR+EX",--(DATOS!$G18459=CONFIG_METADATA!$B$4),IF(DATOS!$G18459="EX",1,IF(DATOS!$G18459="OR",--(COUNTIFS(nNIA,DATOS!$A18459,nCURSO,DATOS!$D18459,nESPEC,DATOS!$E18459,nASIG,DATOS!$I18459,nEVAL,"EX")=0),0))))</f>
      </c>
      <c r="H18459">
        <f>IF(DATOS!$G18459&lt;&gt;"EX",0,--(COUNTIFS(nNIA,DATOS!$A18459,nCURSO,DATOS!$D18459,nESPEC,DATOS!$E18459,nASIG,DATOS!$I18459,nEVAL,"OR")=0))</f>
      </c>
      <c r="I18459">
        <f>IF(DATOS!$I18459="","",IFERROR(VLOOKUP(DATOS!$I18459,CONFIG_ASIGNATURAS!$B$2:$J$91,9,FALSE()),""))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IF(DATOS!$A18460="",0,IF(CONFIG_METADATA!$B$4&lt;&gt;"OR+EX",--(DATOS!$G18460=CONFIG_METADATA!$B$4),IF(DATOS!$G18460="EX",1,IF(DATOS!$G18460="OR",--(COUNTIFS(nNIA,DATOS!$A18460,nCURSO,DATOS!$D18460,nESPEC,DATOS!$E18460,nASIG,DATOS!$I18460,nEVAL,"EX")=0),0))))</f>
      </c>
      <c r="H18460">
        <f>IF(DATOS!$G18460&lt;&gt;"EX",0,--(COUNTIFS(nNIA,DATOS!$A18460,nCURSO,DATOS!$D18460,nESPEC,DATOS!$E18460,nASIG,DATOS!$I18460,nEVAL,"OR")=0))</f>
      </c>
      <c r="I18460">
        <f>IF(DATOS!$I18460="","",IFERROR(VLOOKUP(DATOS!$I18460,CONFIG_ASIGNATURAS!$B$2:$J$91,9,FALSE()),""))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IF(DATOS!$A18461="",0,IF(CONFIG_METADATA!$B$4&lt;&gt;"OR+EX",--(DATOS!$G18461=CONFIG_METADATA!$B$4),IF(DATOS!$G18461="EX",1,IF(DATOS!$G18461="OR",--(COUNTIFS(nNIA,DATOS!$A18461,nCURSO,DATOS!$D18461,nESPEC,DATOS!$E18461,nASIG,DATOS!$I18461,nEVAL,"EX")=0),0))))</f>
      </c>
      <c r="H18461">
        <f>IF(DATOS!$G18461&lt;&gt;"EX",0,--(COUNTIFS(nNIA,DATOS!$A18461,nCURSO,DATOS!$D18461,nESPEC,DATOS!$E18461,nASIG,DATOS!$I18461,nEVAL,"OR")=0))</f>
      </c>
      <c r="I18461">
        <f>IF(DATOS!$I18461="","",IFERROR(VLOOKUP(DATOS!$I18461,CONFIG_ASIGNATURAS!$B$2:$J$91,9,FALSE()),""))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IF(DATOS!$A18462="",0,IF(CONFIG_METADATA!$B$4&lt;&gt;"OR+EX",--(DATOS!$G18462=CONFIG_METADATA!$B$4),IF(DATOS!$G18462="EX",1,IF(DATOS!$G18462="OR",--(COUNTIFS(nNIA,DATOS!$A18462,nCURSO,DATOS!$D18462,nESPEC,DATOS!$E18462,nASIG,DATOS!$I18462,nEVAL,"EX")=0),0))))</f>
      </c>
      <c r="H18462">
        <f>IF(DATOS!$G18462&lt;&gt;"EX",0,--(COUNTIFS(nNIA,DATOS!$A18462,nCURSO,DATOS!$D18462,nESPEC,DATOS!$E18462,nASIG,DATOS!$I18462,nEVAL,"OR")=0))</f>
      </c>
      <c r="I18462">
        <f>IF(DATOS!$I18462="","",IFERROR(VLOOKUP(DATOS!$I18462,CONFIG_ASIGNATURAS!$B$2:$J$91,9,FALSE()),""))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IF(DATOS!$A18463="",0,IF(CONFIG_METADATA!$B$4&lt;&gt;"OR+EX",--(DATOS!$G18463=CONFIG_METADATA!$B$4),IF(DATOS!$G18463="EX",1,IF(DATOS!$G18463="OR",--(COUNTIFS(nNIA,DATOS!$A18463,nCURSO,DATOS!$D18463,nESPEC,DATOS!$E18463,nASIG,DATOS!$I18463,nEVAL,"EX")=0),0))))</f>
      </c>
      <c r="H18463">
        <f>IF(DATOS!$G18463&lt;&gt;"EX",0,--(COUNTIFS(nNIA,DATOS!$A18463,nCURSO,DATOS!$D18463,nESPEC,DATOS!$E18463,nASIG,DATOS!$I18463,nEVAL,"OR")=0))</f>
      </c>
      <c r="I18463">
        <f>IF(DATOS!$I18463="","",IFERROR(VLOOKUP(DATOS!$I18463,CONFIG_ASIGNATURAS!$B$2:$J$91,9,FALSE()),""))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IF(DATOS!$A18464="",0,IF(CONFIG_METADATA!$B$4&lt;&gt;"OR+EX",--(DATOS!$G18464=CONFIG_METADATA!$B$4),IF(DATOS!$G18464="EX",1,IF(DATOS!$G18464="OR",--(COUNTIFS(nNIA,DATOS!$A18464,nCURSO,DATOS!$D18464,nESPEC,DATOS!$E18464,nASIG,DATOS!$I18464,nEVAL,"EX")=0),0))))</f>
      </c>
      <c r="H18464">
        <f>IF(DATOS!$G18464&lt;&gt;"EX",0,--(COUNTIFS(nNIA,DATOS!$A18464,nCURSO,DATOS!$D18464,nESPEC,DATOS!$E18464,nASIG,DATOS!$I18464,nEVAL,"OR")=0))</f>
      </c>
      <c r="I18464">
        <f>IF(DATOS!$I18464="","",IFERROR(VLOOKUP(DATOS!$I18464,CONFIG_ASIGNATURAS!$B$2:$J$91,9,FALSE()),""))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IF(DATOS!$A18465="",0,IF(CONFIG_METADATA!$B$4&lt;&gt;"OR+EX",--(DATOS!$G18465=CONFIG_METADATA!$B$4),IF(DATOS!$G18465="EX",1,IF(DATOS!$G18465="OR",--(COUNTIFS(nNIA,DATOS!$A18465,nCURSO,DATOS!$D18465,nESPEC,DATOS!$E18465,nASIG,DATOS!$I18465,nEVAL,"EX")=0),0))))</f>
      </c>
      <c r="H18465">
        <f>IF(DATOS!$G18465&lt;&gt;"EX",0,--(COUNTIFS(nNIA,DATOS!$A18465,nCURSO,DATOS!$D18465,nESPEC,DATOS!$E18465,nASIG,DATOS!$I18465,nEVAL,"OR")=0))</f>
      </c>
      <c r="I18465">
        <f>IF(DATOS!$I18465="","",IFERROR(VLOOKUP(DATOS!$I18465,CONFIG_ASIGNATURAS!$B$2:$J$91,9,FALSE()),""))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IF(DATOS!$A18466="",0,IF(CONFIG_METADATA!$B$4&lt;&gt;"OR+EX",--(DATOS!$G18466=CONFIG_METADATA!$B$4),IF(DATOS!$G18466="EX",1,IF(DATOS!$G18466="OR",--(COUNTIFS(nNIA,DATOS!$A18466,nCURSO,DATOS!$D18466,nESPEC,DATOS!$E18466,nASIG,DATOS!$I18466,nEVAL,"EX")=0),0))))</f>
      </c>
      <c r="H18466">
        <f>IF(DATOS!$G18466&lt;&gt;"EX",0,--(COUNTIFS(nNIA,DATOS!$A18466,nCURSO,DATOS!$D18466,nESPEC,DATOS!$E18466,nASIG,DATOS!$I18466,nEVAL,"OR")=0))</f>
      </c>
      <c r="I18466">
        <f>IF(DATOS!$I18466="","",IFERROR(VLOOKUP(DATOS!$I18466,CONFIG_ASIGNATURAS!$B$2:$J$91,9,FALSE()),""))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IF(DATOS!$A18467="",0,IF(CONFIG_METADATA!$B$4&lt;&gt;"OR+EX",--(DATOS!$G18467=CONFIG_METADATA!$B$4),IF(DATOS!$G18467="EX",1,IF(DATOS!$G18467="OR",--(COUNTIFS(nNIA,DATOS!$A18467,nCURSO,DATOS!$D18467,nESPEC,DATOS!$E18467,nASIG,DATOS!$I18467,nEVAL,"EX")=0),0))))</f>
      </c>
      <c r="H18467">
        <f>IF(DATOS!$G18467&lt;&gt;"EX",0,--(COUNTIFS(nNIA,DATOS!$A18467,nCURSO,DATOS!$D18467,nESPEC,DATOS!$E18467,nASIG,DATOS!$I18467,nEVAL,"OR")=0))</f>
      </c>
      <c r="I18467">
        <f>IF(DATOS!$I18467="","",IFERROR(VLOOKUP(DATOS!$I18467,CONFIG_ASIGNATURAS!$B$2:$J$91,9,FALSE()),""))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IF(DATOS!$A18468="",0,IF(CONFIG_METADATA!$B$4&lt;&gt;"OR+EX",--(DATOS!$G18468=CONFIG_METADATA!$B$4),IF(DATOS!$G18468="EX",1,IF(DATOS!$G18468="OR",--(COUNTIFS(nNIA,DATOS!$A18468,nCURSO,DATOS!$D18468,nESPEC,DATOS!$E18468,nASIG,DATOS!$I18468,nEVAL,"EX")=0),0))))</f>
      </c>
      <c r="H18468">
        <f>IF(DATOS!$G18468&lt;&gt;"EX",0,--(COUNTIFS(nNIA,DATOS!$A18468,nCURSO,DATOS!$D18468,nESPEC,DATOS!$E18468,nASIG,DATOS!$I18468,nEVAL,"OR")=0))</f>
      </c>
      <c r="I18468">
        <f>IF(DATOS!$I18468="","",IFERROR(VLOOKUP(DATOS!$I18468,CONFIG_ASIGNATURAS!$B$2:$J$91,9,FALSE()),""))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IF(DATOS!$A18469="",0,IF(CONFIG_METADATA!$B$4&lt;&gt;"OR+EX",--(DATOS!$G18469=CONFIG_METADATA!$B$4),IF(DATOS!$G18469="EX",1,IF(DATOS!$G18469="OR",--(COUNTIFS(nNIA,DATOS!$A18469,nCURSO,DATOS!$D18469,nESPEC,DATOS!$E18469,nASIG,DATOS!$I18469,nEVAL,"EX")=0),0))))</f>
      </c>
      <c r="H18469">
        <f>IF(DATOS!$G18469&lt;&gt;"EX",0,--(COUNTIFS(nNIA,DATOS!$A18469,nCURSO,DATOS!$D18469,nESPEC,DATOS!$E18469,nASIG,DATOS!$I18469,nEVAL,"OR")=0))</f>
      </c>
      <c r="I18469">
        <f>IF(DATOS!$I18469="","",IFERROR(VLOOKUP(DATOS!$I18469,CONFIG_ASIGNATURAS!$B$2:$J$91,9,FALSE()),""))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IF(DATOS!$A18470="",0,IF(CONFIG_METADATA!$B$4&lt;&gt;"OR+EX",--(DATOS!$G18470=CONFIG_METADATA!$B$4),IF(DATOS!$G18470="EX",1,IF(DATOS!$G18470="OR",--(COUNTIFS(nNIA,DATOS!$A18470,nCURSO,DATOS!$D18470,nESPEC,DATOS!$E18470,nASIG,DATOS!$I18470,nEVAL,"EX")=0),0))))</f>
      </c>
      <c r="H18470">
        <f>IF(DATOS!$G18470&lt;&gt;"EX",0,--(COUNTIFS(nNIA,DATOS!$A18470,nCURSO,DATOS!$D18470,nESPEC,DATOS!$E18470,nASIG,DATOS!$I18470,nEVAL,"OR")=0))</f>
      </c>
      <c r="I18470">
        <f>IF(DATOS!$I18470="","",IFERROR(VLOOKUP(DATOS!$I18470,CONFIG_ASIGNATURAS!$B$2:$J$91,9,FALSE()),""))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IF(DATOS!$A18471="",0,IF(CONFIG_METADATA!$B$4&lt;&gt;"OR+EX",--(DATOS!$G18471=CONFIG_METADATA!$B$4),IF(DATOS!$G18471="EX",1,IF(DATOS!$G18471="OR",--(COUNTIFS(nNIA,DATOS!$A18471,nCURSO,DATOS!$D18471,nESPEC,DATOS!$E18471,nASIG,DATOS!$I18471,nEVAL,"EX")=0),0))))</f>
      </c>
      <c r="H18471">
        <f>IF(DATOS!$G18471&lt;&gt;"EX",0,--(COUNTIFS(nNIA,DATOS!$A18471,nCURSO,DATOS!$D18471,nESPEC,DATOS!$E18471,nASIG,DATOS!$I18471,nEVAL,"OR")=0))</f>
      </c>
      <c r="I18471">
        <f>IF(DATOS!$I18471="","",IFERROR(VLOOKUP(DATOS!$I18471,CONFIG_ASIGNATURAS!$B$2:$J$91,9,FALSE()),""))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IF(DATOS!$A18472="",0,IF(CONFIG_METADATA!$B$4&lt;&gt;"OR+EX",--(DATOS!$G18472=CONFIG_METADATA!$B$4),IF(DATOS!$G18472="EX",1,IF(DATOS!$G18472="OR",--(COUNTIFS(nNIA,DATOS!$A18472,nCURSO,DATOS!$D18472,nESPEC,DATOS!$E18472,nASIG,DATOS!$I18472,nEVAL,"EX")=0),0))))</f>
      </c>
      <c r="H18472">
        <f>IF(DATOS!$G18472&lt;&gt;"EX",0,--(COUNTIFS(nNIA,DATOS!$A18472,nCURSO,DATOS!$D18472,nESPEC,DATOS!$E18472,nASIG,DATOS!$I18472,nEVAL,"OR")=0))</f>
      </c>
      <c r="I18472">
        <f>IF(DATOS!$I18472="","",IFERROR(VLOOKUP(DATOS!$I18472,CONFIG_ASIGNATURAS!$B$2:$J$91,9,FALSE()),""))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IF(DATOS!$A18473="",0,IF(CONFIG_METADATA!$B$4&lt;&gt;"OR+EX",--(DATOS!$G18473=CONFIG_METADATA!$B$4),IF(DATOS!$G18473="EX",1,IF(DATOS!$G18473="OR",--(COUNTIFS(nNIA,DATOS!$A18473,nCURSO,DATOS!$D18473,nESPEC,DATOS!$E18473,nASIG,DATOS!$I18473,nEVAL,"EX")=0),0))))</f>
      </c>
      <c r="H18473">
        <f>IF(DATOS!$G18473&lt;&gt;"EX",0,--(COUNTIFS(nNIA,DATOS!$A18473,nCURSO,DATOS!$D18473,nESPEC,DATOS!$E18473,nASIG,DATOS!$I18473,nEVAL,"OR")=0))</f>
      </c>
      <c r="I18473">
        <f>IF(DATOS!$I18473="","",IFERROR(VLOOKUP(DATOS!$I18473,CONFIG_ASIGNATURAS!$B$2:$J$91,9,FALSE()),""))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IF(DATOS!$A18474="",0,IF(CONFIG_METADATA!$B$4&lt;&gt;"OR+EX",--(DATOS!$G18474=CONFIG_METADATA!$B$4),IF(DATOS!$G18474="EX",1,IF(DATOS!$G18474="OR",--(COUNTIFS(nNIA,DATOS!$A18474,nCURSO,DATOS!$D18474,nESPEC,DATOS!$E18474,nASIG,DATOS!$I18474,nEVAL,"EX")=0),0))))</f>
      </c>
      <c r="H18474">
        <f>IF(DATOS!$G18474&lt;&gt;"EX",0,--(COUNTIFS(nNIA,DATOS!$A18474,nCURSO,DATOS!$D18474,nESPEC,DATOS!$E18474,nASIG,DATOS!$I18474,nEVAL,"OR")=0))</f>
      </c>
      <c r="I18474">
        <f>IF(DATOS!$I18474="","",IFERROR(VLOOKUP(DATOS!$I18474,CONFIG_ASIGNATURAS!$B$2:$J$91,9,FALSE()),""))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IF(DATOS!$A18475="",0,IF(CONFIG_METADATA!$B$4&lt;&gt;"OR+EX",--(DATOS!$G18475=CONFIG_METADATA!$B$4),IF(DATOS!$G18475="EX",1,IF(DATOS!$G18475="OR",--(COUNTIFS(nNIA,DATOS!$A18475,nCURSO,DATOS!$D18475,nESPEC,DATOS!$E18475,nASIG,DATOS!$I18475,nEVAL,"EX")=0),0))))</f>
      </c>
      <c r="H18475">
        <f>IF(DATOS!$G18475&lt;&gt;"EX",0,--(COUNTIFS(nNIA,DATOS!$A18475,nCURSO,DATOS!$D18475,nESPEC,DATOS!$E18475,nASIG,DATOS!$I18475,nEVAL,"OR")=0))</f>
      </c>
      <c r="I18475">
        <f>IF(DATOS!$I18475="","",IFERROR(VLOOKUP(DATOS!$I18475,CONFIG_ASIGNATURAS!$B$2:$J$91,9,FALSE()),""))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IF(DATOS!$A18476="",0,IF(CONFIG_METADATA!$B$4&lt;&gt;"OR+EX",--(DATOS!$G18476=CONFIG_METADATA!$B$4),IF(DATOS!$G18476="EX",1,IF(DATOS!$G18476="OR",--(COUNTIFS(nNIA,DATOS!$A18476,nCURSO,DATOS!$D18476,nESPEC,DATOS!$E18476,nASIG,DATOS!$I18476,nEVAL,"EX")=0),0))))</f>
      </c>
      <c r="H18476">
        <f>IF(DATOS!$G18476&lt;&gt;"EX",0,--(COUNTIFS(nNIA,DATOS!$A18476,nCURSO,DATOS!$D18476,nESPEC,DATOS!$E18476,nASIG,DATOS!$I18476,nEVAL,"OR")=0))</f>
      </c>
      <c r="I18476">
        <f>IF(DATOS!$I18476="","",IFERROR(VLOOKUP(DATOS!$I18476,CONFIG_ASIGNATURAS!$B$2:$J$91,9,FALSE()),""))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IF(DATOS!$A18477="",0,IF(CONFIG_METADATA!$B$4&lt;&gt;"OR+EX",--(DATOS!$G18477=CONFIG_METADATA!$B$4),IF(DATOS!$G18477="EX",1,IF(DATOS!$G18477="OR",--(COUNTIFS(nNIA,DATOS!$A18477,nCURSO,DATOS!$D18477,nESPEC,DATOS!$E18477,nASIG,DATOS!$I18477,nEVAL,"EX")=0),0))))</f>
      </c>
      <c r="H18477">
        <f>IF(DATOS!$G18477&lt;&gt;"EX",0,--(COUNTIFS(nNIA,DATOS!$A18477,nCURSO,DATOS!$D18477,nESPEC,DATOS!$E18477,nASIG,DATOS!$I18477,nEVAL,"OR")=0))</f>
      </c>
      <c r="I18477">
        <f>IF(DATOS!$I18477="","",IFERROR(VLOOKUP(DATOS!$I18477,CONFIG_ASIGNATURAS!$B$2:$J$91,9,FALSE()),""))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IF(DATOS!$A18478="",0,IF(CONFIG_METADATA!$B$4&lt;&gt;"OR+EX",--(DATOS!$G18478=CONFIG_METADATA!$B$4),IF(DATOS!$G18478="EX",1,IF(DATOS!$G18478="OR",--(COUNTIFS(nNIA,DATOS!$A18478,nCURSO,DATOS!$D18478,nESPEC,DATOS!$E18478,nASIG,DATOS!$I18478,nEVAL,"EX")=0),0))))</f>
      </c>
      <c r="H18478">
        <f>IF(DATOS!$G18478&lt;&gt;"EX",0,--(COUNTIFS(nNIA,DATOS!$A18478,nCURSO,DATOS!$D18478,nESPEC,DATOS!$E18478,nASIG,DATOS!$I18478,nEVAL,"OR")=0))</f>
      </c>
      <c r="I18478">
        <f>IF(DATOS!$I18478="","",IFERROR(VLOOKUP(DATOS!$I18478,CONFIG_ASIGNATURAS!$B$2:$J$91,9,FALSE()),""))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IF(DATOS!$A18479="",0,IF(CONFIG_METADATA!$B$4&lt;&gt;"OR+EX",--(DATOS!$G18479=CONFIG_METADATA!$B$4),IF(DATOS!$G18479="EX",1,IF(DATOS!$G18479="OR",--(COUNTIFS(nNIA,DATOS!$A18479,nCURSO,DATOS!$D18479,nESPEC,DATOS!$E18479,nASIG,DATOS!$I18479,nEVAL,"EX")=0),0))))</f>
      </c>
      <c r="H18479">
        <f>IF(DATOS!$G18479&lt;&gt;"EX",0,--(COUNTIFS(nNIA,DATOS!$A18479,nCURSO,DATOS!$D18479,nESPEC,DATOS!$E18479,nASIG,DATOS!$I18479,nEVAL,"OR")=0))</f>
      </c>
      <c r="I18479">
        <f>IF(DATOS!$I18479="","",IFERROR(VLOOKUP(DATOS!$I18479,CONFIG_ASIGNATURAS!$B$2:$J$91,9,FALSE()),""))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IF(DATOS!$A18480="",0,IF(CONFIG_METADATA!$B$4&lt;&gt;"OR+EX",--(DATOS!$G18480=CONFIG_METADATA!$B$4),IF(DATOS!$G18480="EX",1,IF(DATOS!$G18480="OR",--(COUNTIFS(nNIA,DATOS!$A18480,nCURSO,DATOS!$D18480,nESPEC,DATOS!$E18480,nASIG,DATOS!$I18480,nEVAL,"EX")=0),0))))</f>
      </c>
      <c r="H18480">
        <f>IF(DATOS!$G18480&lt;&gt;"EX",0,--(COUNTIFS(nNIA,DATOS!$A18480,nCURSO,DATOS!$D18480,nESPEC,DATOS!$E18480,nASIG,DATOS!$I18480,nEVAL,"OR")=0))</f>
      </c>
      <c r="I18480">
        <f>IF(DATOS!$I18480="","",IFERROR(VLOOKUP(DATOS!$I18480,CONFIG_ASIGNATURAS!$B$2:$J$91,9,FALSE()),""))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IF(DATOS!$A18481="",0,IF(CONFIG_METADATA!$B$4&lt;&gt;"OR+EX",--(DATOS!$G18481=CONFIG_METADATA!$B$4),IF(DATOS!$G18481="EX",1,IF(DATOS!$G18481="OR",--(COUNTIFS(nNIA,DATOS!$A18481,nCURSO,DATOS!$D18481,nESPEC,DATOS!$E18481,nASIG,DATOS!$I18481,nEVAL,"EX")=0),0))))</f>
      </c>
      <c r="H18481">
        <f>IF(DATOS!$G18481&lt;&gt;"EX",0,--(COUNTIFS(nNIA,DATOS!$A18481,nCURSO,DATOS!$D18481,nESPEC,DATOS!$E18481,nASIG,DATOS!$I18481,nEVAL,"OR")=0))</f>
      </c>
      <c r="I18481">
        <f>IF(DATOS!$I18481="","",IFERROR(VLOOKUP(DATOS!$I18481,CONFIG_ASIGNATURAS!$B$2:$J$91,9,FALSE()),""))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IF(DATOS!$A18482="",0,IF(CONFIG_METADATA!$B$4&lt;&gt;"OR+EX",--(DATOS!$G18482=CONFIG_METADATA!$B$4),IF(DATOS!$G18482="EX",1,IF(DATOS!$G18482="OR",--(COUNTIFS(nNIA,DATOS!$A18482,nCURSO,DATOS!$D18482,nESPEC,DATOS!$E18482,nASIG,DATOS!$I18482,nEVAL,"EX")=0),0))))</f>
      </c>
      <c r="H18482">
        <f>IF(DATOS!$G18482&lt;&gt;"EX",0,--(COUNTIFS(nNIA,DATOS!$A18482,nCURSO,DATOS!$D18482,nESPEC,DATOS!$E18482,nASIG,DATOS!$I18482,nEVAL,"OR")=0))</f>
      </c>
      <c r="I18482">
        <f>IF(DATOS!$I18482="","",IFERROR(VLOOKUP(DATOS!$I18482,CONFIG_ASIGNATURAS!$B$2:$J$91,9,FALSE()),""))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IF(DATOS!$A18483="",0,IF(CONFIG_METADATA!$B$4&lt;&gt;"OR+EX",--(DATOS!$G18483=CONFIG_METADATA!$B$4),IF(DATOS!$G18483="EX",1,IF(DATOS!$G18483="OR",--(COUNTIFS(nNIA,DATOS!$A18483,nCURSO,DATOS!$D18483,nESPEC,DATOS!$E18483,nASIG,DATOS!$I18483,nEVAL,"EX")=0),0))))</f>
      </c>
      <c r="H18483">
        <f>IF(DATOS!$G18483&lt;&gt;"EX",0,--(COUNTIFS(nNIA,DATOS!$A18483,nCURSO,DATOS!$D18483,nESPEC,DATOS!$E18483,nASIG,DATOS!$I18483,nEVAL,"OR")=0))</f>
      </c>
      <c r="I18483">
        <f>IF(DATOS!$I18483="","",IFERROR(VLOOKUP(DATOS!$I18483,CONFIG_ASIGNATURAS!$B$2:$J$91,9,FALSE()),""))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IF(DATOS!$A18484="",0,IF(CONFIG_METADATA!$B$4&lt;&gt;"OR+EX",--(DATOS!$G18484=CONFIG_METADATA!$B$4),IF(DATOS!$G18484="EX",1,IF(DATOS!$G18484="OR",--(COUNTIFS(nNIA,DATOS!$A18484,nCURSO,DATOS!$D18484,nESPEC,DATOS!$E18484,nASIG,DATOS!$I18484,nEVAL,"EX")=0),0))))</f>
      </c>
      <c r="H18484">
        <f>IF(DATOS!$G18484&lt;&gt;"EX",0,--(COUNTIFS(nNIA,DATOS!$A18484,nCURSO,DATOS!$D18484,nESPEC,DATOS!$E18484,nASIG,DATOS!$I18484,nEVAL,"OR")=0))</f>
      </c>
      <c r="I18484">
        <f>IF(DATOS!$I18484="","",IFERROR(VLOOKUP(DATOS!$I18484,CONFIG_ASIGNATURAS!$B$2:$J$91,9,FALSE()),""))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IF(DATOS!$A18485="",0,IF(CONFIG_METADATA!$B$4&lt;&gt;"OR+EX",--(DATOS!$G18485=CONFIG_METADATA!$B$4),IF(DATOS!$G18485="EX",1,IF(DATOS!$G18485="OR",--(COUNTIFS(nNIA,DATOS!$A18485,nCURSO,DATOS!$D18485,nESPEC,DATOS!$E18485,nASIG,DATOS!$I18485,nEVAL,"EX")=0),0))))</f>
      </c>
      <c r="H18485">
        <f>IF(DATOS!$G18485&lt;&gt;"EX",0,--(COUNTIFS(nNIA,DATOS!$A18485,nCURSO,DATOS!$D18485,nESPEC,DATOS!$E18485,nASIG,DATOS!$I18485,nEVAL,"OR")=0))</f>
      </c>
      <c r="I18485">
        <f>IF(DATOS!$I18485="","",IFERROR(VLOOKUP(DATOS!$I18485,CONFIG_ASIGNATURAS!$B$2:$J$91,9,FALSE()),""))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IF(DATOS!$A18486="",0,IF(CONFIG_METADATA!$B$4&lt;&gt;"OR+EX",--(DATOS!$G18486=CONFIG_METADATA!$B$4),IF(DATOS!$G18486="EX",1,IF(DATOS!$G18486="OR",--(COUNTIFS(nNIA,DATOS!$A18486,nCURSO,DATOS!$D18486,nESPEC,DATOS!$E18486,nASIG,DATOS!$I18486,nEVAL,"EX")=0),0))))</f>
      </c>
      <c r="H18486">
        <f>IF(DATOS!$G18486&lt;&gt;"EX",0,--(COUNTIFS(nNIA,DATOS!$A18486,nCURSO,DATOS!$D18486,nESPEC,DATOS!$E18486,nASIG,DATOS!$I18486,nEVAL,"OR")=0))</f>
      </c>
      <c r="I18486">
        <f>IF(DATOS!$I18486="","",IFERROR(VLOOKUP(DATOS!$I18486,CONFIG_ASIGNATURAS!$B$2:$J$91,9,FALSE()),""))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IF(DATOS!$A18487="",0,IF(CONFIG_METADATA!$B$4&lt;&gt;"OR+EX",--(DATOS!$G18487=CONFIG_METADATA!$B$4),IF(DATOS!$G18487="EX",1,IF(DATOS!$G18487="OR",--(COUNTIFS(nNIA,DATOS!$A18487,nCURSO,DATOS!$D18487,nESPEC,DATOS!$E18487,nASIG,DATOS!$I18487,nEVAL,"EX")=0),0))))</f>
      </c>
      <c r="H18487">
        <f>IF(DATOS!$G18487&lt;&gt;"EX",0,--(COUNTIFS(nNIA,DATOS!$A18487,nCURSO,DATOS!$D18487,nESPEC,DATOS!$E18487,nASIG,DATOS!$I18487,nEVAL,"OR")=0))</f>
      </c>
      <c r="I18487">
        <f>IF(DATOS!$I18487="","",IFERROR(VLOOKUP(DATOS!$I18487,CONFIG_ASIGNATURAS!$B$2:$J$91,9,FALSE()),""))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IF(DATOS!$A18488="",0,IF(CONFIG_METADATA!$B$4&lt;&gt;"OR+EX",--(DATOS!$G18488=CONFIG_METADATA!$B$4),IF(DATOS!$G18488="EX",1,IF(DATOS!$G18488="OR",--(COUNTIFS(nNIA,DATOS!$A18488,nCURSO,DATOS!$D18488,nESPEC,DATOS!$E18488,nASIG,DATOS!$I18488,nEVAL,"EX")=0),0))))</f>
      </c>
      <c r="H18488">
        <f>IF(DATOS!$G18488&lt;&gt;"EX",0,--(COUNTIFS(nNIA,DATOS!$A18488,nCURSO,DATOS!$D18488,nESPEC,DATOS!$E18488,nASIG,DATOS!$I18488,nEVAL,"OR")=0))</f>
      </c>
      <c r="I18488">
        <f>IF(DATOS!$I18488="","",IFERROR(VLOOKUP(DATOS!$I18488,CONFIG_ASIGNATURAS!$B$2:$J$91,9,FALSE()),""))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IF(DATOS!$A18489="",0,IF(CONFIG_METADATA!$B$4&lt;&gt;"OR+EX",--(DATOS!$G18489=CONFIG_METADATA!$B$4),IF(DATOS!$G18489="EX",1,IF(DATOS!$G18489="OR",--(COUNTIFS(nNIA,DATOS!$A18489,nCURSO,DATOS!$D18489,nESPEC,DATOS!$E18489,nASIG,DATOS!$I18489,nEVAL,"EX")=0),0))))</f>
      </c>
      <c r="H18489">
        <f>IF(DATOS!$G18489&lt;&gt;"EX",0,--(COUNTIFS(nNIA,DATOS!$A18489,nCURSO,DATOS!$D18489,nESPEC,DATOS!$E18489,nASIG,DATOS!$I18489,nEVAL,"OR")=0))</f>
      </c>
      <c r="I18489">
        <f>IF(DATOS!$I18489="","",IFERROR(VLOOKUP(DATOS!$I18489,CONFIG_ASIGNATURAS!$B$2:$J$91,9,FALSE()),""))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IF(DATOS!$A18490="",0,IF(CONFIG_METADATA!$B$4&lt;&gt;"OR+EX",--(DATOS!$G18490=CONFIG_METADATA!$B$4),IF(DATOS!$G18490="EX",1,IF(DATOS!$G18490="OR",--(COUNTIFS(nNIA,DATOS!$A18490,nCURSO,DATOS!$D18490,nESPEC,DATOS!$E18490,nASIG,DATOS!$I18490,nEVAL,"EX")=0),0))))</f>
      </c>
      <c r="H18490">
        <f>IF(DATOS!$G18490&lt;&gt;"EX",0,--(COUNTIFS(nNIA,DATOS!$A18490,nCURSO,DATOS!$D18490,nESPEC,DATOS!$E18490,nASIG,DATOS!$I18490,nEVAL,"OR")=0))</f>
      </c>
      <c r="I18490">
        <f>IF(DATOS!$I18490="","",IFERROR(VLOOKUP(DATOS!$I18490,CONFIG_ASIGNATURAS!$B$2:$J$91,9,FALSE()),""))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IF(DATOS!$A18491="",0,IF(CONFIG_METADATA!$B$4&lt;&gt;"OR+EX",--(DATOS!$G18491=CONFIG_METADATA!$B$4),IF(DATOS!$G18491="EX",1,IF(DATOS!$G18491="OR",--(COUNTIFS(nNIA,DATOS!$A18491,nCURSO,DATOS!$D18491,nESPEC,DATOS!$E18491,nASIG,DATOS!$I18491,nEVAL,"EX")=0),0))))</f>
      </c>
      <c r="H18491">
        <f>IF(DATOS!$G18491&lt;&gt;"EX",0,--(COUNTIFS(nNIA,DATOS!$A18491,nCURSO,DATOS!$D18491,nESPEC,DATOS!$E18491,nASIG,DATOS!$I18491,nEVAL,"OR")=0))</f>
      </c>
      <c r="I18491">
        <f>IF(DATOS!$I18491="","",IFERROR(VLOOKUP(DATOS!$I18491,CONFIG_ASIGNATURAS!$B$2:$J$91,9,FALSE()),""))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IF(DATOS!$A18492="",0,IF(CONFIG_METADATA!$B$4&lt;&gt;"OR+EX",--(DATOS!$G18492=CONFIG_METADATA!$B$4),IF(DATOS!$G18492="EX",1,IF(DATOS!$G18492="OR",--(COUNTIFS(nNIA,DATOS!$A18492,nCURSO,DATOS!$D18492,nESPEC,DATOS!$E18492,nASIG,DATOS!$I18492,nEVAL,"EX")=0),0))))</f>
      </c>
      <c r="H18492">
        <f>IF(DATOS!$G18492&lt;&gt;"EX",0,--(COUNTIFS(nNIA,DATOS!$A18492,nCURSO,DATOS!$D18492,nESPEC,DATOS!$E18492,nASIG,DATOS!$I18492,nEVAL,"OR")=0))</f>
      </c>
      <c r="I18492">
        <f>IF(DATOS!$I18492="","",IFERROR(VLOOKUP(DATOS!$I18492,CONFIG_ASIGNATURAS!$B$2:$J$91,9,FALSE()),""))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IF(DATOS!$A18493="",0,IF(CONFIG_METADATA!$B$4&lt;&gt;"OR+EX",--(DATOS!$G18493=CONFIG_METADATA!$B$4),IF(DATOS!$G18493="EX",1,IF(DATOS!$G18493="OR",--(COUNTIFS(nNIA,DATOS!$A18493,nCURSO,DATOS!$D18493,nESPEC,DATOS!$E18493,nASIG,DATOS!$I18493,nEVAL,"EX")=0),0))))</f>
      </c>
      <c r="H18493">
        <f>IF(DATOS!$G18493&lt;&gt;"EX",0,--(COUNTIFS(nNIA,DATOS!$A18493,nCURSO,DATOS!$D18493,nESPEC,DATOS!$E18493,nASIG,DATOS!$I18493,nEVAL,"OR")=0))</f>
      </c>
      <c r="I18493">
        <f>IF(DATOS!$I18493="","",IFERROR(VLOOKUP(DATOS!$I18493,CONFIG_ASIGNATURAS!$B$2:$J$91,9,FALSE()),""))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IF(DATOS!$A18494="",0,IF(CONFIG_METADATA!$B$4&lt;&gt;"OR+EX",--(DATOS!$G18494=CONFIG_METADATA!$B$4),IF(DATOS!$G18494="EX",1,IF(DATOS!$G18494="OR",--(COUNTIFS(nNIA,DATOS!$A18494,nCURSO,DATOS!$D18494,nESPEC,DATOS!$E18494,nASIG,DATOS!$I18494,nEVAL,"EX")=0),0))))</f>
      </c>
      <c r="H18494">
        <f>IF(DATOS!$G18494&lt;&gt;"EX",0,--(COUNTIFS(nNIA,DATOS!$A18494,nCURSO,DATOS!$D18494,nESPEC,DATOS!$E18494,nASIG,DATOS!$I18494,nEVAL,"OR")=0))</f>
      </c>
      <c r="I18494">
        <f>IF(DATOS!$I18494="","",IFERROR(VLOOKUP(DATOS!$I18494,CONFIG_ASIGNATURAS!$B$2:$J$91,9,FALSE()),""))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IF(DATOS!$A18495="",0,IF(CONFIG_METADATA!$B$4&lt;&gt;"OR+EX",--(DATOS!$G18495=CONFIG_METADATA!$B$4),IF(DATOS!$G18495="EX",1,IF(DATOS!$G18495="OR",--(COUNTIFS(nNIA,DATOS!$A18495,nCURSO,DATOS!$D18495,nESPEC,DATOS!$E18495,nASIG,DATOS!$I18495,nEVAL,"EX")=0),0))))</f>
      </c>
      <c r="H18495">
        <f>IF(DATOS!$G18495&lt;&gt;"EX",0,--(COUNTIFS(nNIA,DATOS!$A18495,nCURSO,DATOS!$D18495,nESPEC,DATOS!$E18495,nASIG,DATOS!$I18495,nEVAL,"OR")=0))</f>
      </c>
      <c r="I18495">
        <f>IF(DATOS!$I18495="","",IFERROR(VLOOKUP(DATOS!$I18495,CONFIG_ASIGNATURAS!$B$2:$J$91,9,FALSE()),""))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IF(DATOS!$A18496="",0,IF(CONFIG_METADATA!$B$4&lt;&gt;"OR+EX",--(DATOS!$G18496=CONFIG_METADATA!$B$4),IF(DATOS!$G18496="EX",1,IF(DATOS!$G18496="OR",--(COUNTIFS(nNIA,DATOS!$A18496,nCURSO,DATOS!$D18496,nESPEC,DATOS!$E18496,nASIG,DATOS!$I18496,nEVAL,"EX")=0),0))))</f>
      </c>
      <c r="H18496">
        <f>IF(DATOS!$G18496&lt;&gt;"EX",0,--(COUNTIFS(nNIA,DATOS!$A18496,nCURSO,DATOS!$D18496,nESPEC,DATOS!$E18496,nASIG,DATOS!$I18496,nEVAL,"OR")=0))</f>
      </c>
      <c r="I18496">
        <f>IF(DATOS!$I18496="","",IFERROR(VLOOKUP(DATOS!$I18496,CONFIG_ASIGNATURAS!$B$2:$J$91,9,FALSE()),""))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IF(DATOS!$A18497="",0,IF(CONFIG_METADATA!$B$4&lt;&gt;"OR+EX",--(DATOS!$G18497=CONFIG_METADATA!$B$4),IF(DATOS!$G18497="EX",1,IF(DATOS!$G18497="OR",--(COUNTIFS(nNIA,DATOS!$A18497,nCURSO,DATOS!$D18497,nESPEC,DATOS!$E18497,nASIG,DATOS!$I18497,nEVAL,"EX")=0),0))))</f>
      </c>
      <c r="H18497">
        <f>IF(DATOS!$G18497&lt;&gt;"EX",0,--(COUNTIFS(nNIA,DATOS!$A18497,nCURSO,DATOS!$D18497,nESPEC,DATOS!$E18497,nASIG,DATOS!$I18497,nEVAL,"OR")=0))</f>
      </c>
      <c r="I18497">
        <f>IF(DATOS!$I18497="","",IFERROR(VLOOKUP(DATOS!$I18497,CONFIG_ASIGNATURAS!$B$2:$J$91,9,FALSE()),""))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IF(DATOS!$A18498="",0,IF(CONFIG_METADATA!$B$4&lt;&gt;"OR+EX",--(DATOS!$G18498=CONFIG_METADATA!$B$4),IF(DATOS!$G18498="EX",1,IF(DATOS!$G18498="OR",--(COUNTIFS(nNIA,DATOS!$A18498,nCURSO,DATOS!$D18498,nESPEC,DATOS!$E18498,nASIG,DATOS!$I18498,nEVAL,"EX")=0),0))))</f>
      </c>
      <c r="H18498">
        <f>IF(DATOS!$G18498&lt;&gt;"EX",0,--(COUNTIFS(nNIA,DATOS!$A18498,nCURSO,DATOS!$D18498,nESPEC,DATOS!$E18498,nASIG,DATOS!$I18498,nEVAL,"OR")=0))</f>
      </c>
      <c r="I18498">
        <f>IF(DATOS!$I18498="","",IFERROR(VLOOKUP(DATOS!$I18498,CONFIG_ASIGNATURAS!$B$2:$J$91,9,FALSE()),""))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IF(DATOS!$A18499="",0,IF(CONFIG_METADATA!$B$4&lt;&gt;"OR+EX",--(DATOS!$G18499=CONFIG_METADATA!$B$4),IF(DATOS!$G18499="EX",1,IF(DATOS!$G18499="OR",--(COUNTIFS(nNIA,DATOS!$A18499,nCURSO,DATOS!$D18499,nESPEC,DATOS!$E18499,nASIG,DATOS!$I18499,nEVAL,"EX")=0),0))))</f>
      </c>
      <c r="H18499">
        <f>IF(DATOS!$G18499&lt;&gt;"EX",0,--(COUNTIFS(nNIA,DATOS!$A18499,nCURSO,DATOS!$D18499,nESPEC,DATOS!$E18499,nASIG,DATOS!$I18499,nEVAL,"OR")=0))</f>
      </c>
      <c r="I18499">
        <f>IF(DATOS!$I18499="","",IFERROR(VLOOKUP(DATOS!$I18499,CONFIG_ASIGNATURAS!$B$2:$J$91,9,FALSE()),""))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IF(DATOS!$A18500="",0,IF(CONFIG_METADATA!$B$4&lt;&gt;"OR+EX",--(DATOS!$G18500=CONFIG_METADATA!$B$4),IF(DATOS!$G18500="EX",1,IF(DATOS!$G18500="OR",--(COUNTIFS(nNIA,DATOS!$A18500,nCURSO,DATOS!$D18500,nESPEC,DATOS!$E18500,nASIG,DATOS!$I18500,nEVAL,"EX")=0),0))))</f>
      </c>
      <c r="H18500">
        <f>IF(DATOS!$G18500&lt;&gt;"EX",0,--(COUNTIFS(nNIA,DATOS!$A18500,nCURSO,DATOS!$D18500,nESPEC,DATOS!$E18500,nASIG,DATOS!$I18500,nEVAL,"OR")=0))</f>
      </c>
      <c r="I18500">
        <f>IF(DATOS!$I18500="","",IFERROR(VLOOKUP(DATOS!$I18500,CONFIG_ASIGNATURAS!$B$2:$J$91,9,FALSE()),""))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IF(DATOS!$A18501="",0,IF(CONFIG_METADATA!$B$4&lt;&gt;"OR+EX",--(DATOS!$G18501=CONFIG_METADATA!$B$4),IF(DATOS!$G18501="EX",1,IF(DATOS!$G18501="OR",--(COUNTIFS(nNIA,DATOS!$A18501,nCURSO,DATOS!$D18501,nESPEC,DATOS!$E18501,nASIG,DATOS!$I18501,nEVAL,"EX")=0),0))))</f>
      </c>
      <c r="H18501">
        <f>IF(DATOS!$G18501&lt;&gt;"EX",0,--(COUNTIFS(nNIA,DATOS!$A18501,nCURSO,DATOS!$D18501,nESPEC,DATOS!$E18501,nASIG,DATOS!$I18501,nEVAL,"OR")=0))</f>
      </c>
      <c r="I18501">
        <f>IF(DATOS!$I18501="","",IFERROR(VLOOKUP(DATOS!$I18501,CONFIG_ASIGNATURAS!$B$2:$J$91,9,FALSE()),""))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IF(DATOS!$A18502="",0,IF(CONFIG_METADATA!$B$4&lt;&gt;"OR+EX",--(DATOS!$G18502=CONFIG_METADATA!$B$4),IF(DATOS!$G18502="EX",1,IF(DATOS!$G18502="OR",--(COUNTIFS(nNIA,DATOS!$A18502,nCURSO,DATOS!$D18502,nESPEC,DATOS!$E18502,nASIG,DATOS!$I18502,nEVAL,"EX")=0),0))))</f>
      </c>
      <c r="H18502">
        <f>IF(DATOS!$G18502&lt;&gt;"EX",0,--(COUNTIFS(nNIA,DATOS!$A18502,nCURSO,DATOS!$D18502,nESPEC,DATOS!$E18502,nASIG,DATOS!$I18502,nEVAL,"OR")=0))</f>
      </c>
      <c r="I18502">
        <f>IF(DATOS!$I18502="","",IFERROR(VLOOKUP(DATOS!$I18502,CONFIG_ASIGNATURAS!$B$2:$J$91,9,FALSE()),""))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IF(DATOS!$A18503="",0,IF(CONFIG_METADATA!$B$4&lt;&gt;"OR+EX",--(DATOS!$G18503=CONFIG_METADATA!$B$4),IF(DATOS!$G18503="EX",1,IF(DATOS!$G18503="OR",--(COUNTIFS(nNIA,DATOS!$A18503,nCURSO,DATOS!$D18503,nESPEC,DATOS!$E18503,nASIG,DATOS!$I18503,nEVAL,"EX")=0),0))))</f>
      </c>
      <c r="H18503">
        <f>IF(DATOS!$G18503&lt;&gt;"EX",0,--(COUNTIFS(nNIA,DATOS!$A18503,nCURSO,DATOS!$D18503,nESPEC,DATOS!$E18503,nASIG,DATOS!$I18503,nEVAL,"OR")=0))</f>
      </c>
      <c r="I18503">
        <f>IF(DATOS!$I18503="","",IFERROR(VLOOKUP(DATOS!$I18503,CONFIG_ASIGNATURAS!$B$2:$J$91,9,FALSE()),""))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IF(DATOS!$A18504="",0,IF(CONFIG_METADATA!$B$4&lt;&gt;"OR+EX",--(DATOS!$G18504=CONFIG_METADATA!$B$4),IF(DATOS!$G18504="EX",1,IF(DATOS!$G18504="OR",--(COUNTIFS(nNIA,DATOS!$A18504,nCURSO,DATOS!$D18504,nESPEC,DATOS!$E18504,nASIG,DATOS!$I18504,nEVAL,"EX")=0),0))))</f>
      </c>
      <c r="H18504">
        <f>IF(DATOS!$G18504&lt;&gt;"EX",0,--(COUNTIFS(nNIA,DATOS!$A18504,nCURSO,DATOS!$D18504,nESPEC,DATOS!$E18504,nASIG,DATOS!$I18504,nEVAL,"OR")=0))</f>
      </c>
      <c r="I18504">
        <f>IF(DATOS!$I18504="","",IFERROR(VLOOKUP(DATOS!$I18504,CONFIG_ASIGNATURAS!$B$2:$J$91,9,FALSE()),""))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IF(DATOS!$A18505="",0,IF(CONFIG_METADATA!$B$4&lt;&gt;"OR+EX",--(DATOS!$G18505=CONFIG_METADATA!$B$4),IF(DATOS!$G18505="EX",1,IF(DATOS!$G18505="OR",--(COUNTIFS(nNIA,DATOS!$A18505,nCURSO,DATOS!$D18505,nESPEC,DATOS!$E18505,nASIG,DATOS!$I18505,nEVAL,"EX")=0),0))))</f>
      </c>
      <c r="H18505">
        <f>IF(DATOS!$G18505&lt;&gt;"EX",0,--(COUNTIFS(nNIA,DATOS!$A18505,nCURSO,DATOS!$D18505,nESPEC,DATOS!$E18505,nASIG,DATOS!$I18505,nEVAL,"OR")=0))</f>
      </c>
      <c r="I18505">
        <f>IF(DATOS!$I18505="","",IFERROR(VLOOKUP(DATOS!$I18505,CONFIG_ASIGNATURAS!$B$2:$J$91,9,FALSE()),""))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IF(DATOS!$A18506="",0,IF(CONFIG_METADATA!$B$4&lt;&gt;"OR+EX",--(DATOS!$G18506=CONFIG_METADATA!$B$4),IF(DATOS!$G18506="EX",1,IF(DATOS!$G18506="OR",--(COUNTIFS(nNIA,DATOS!$A18506,nCURSO,DATOS!$D18506,nESPEC,DATOS!$E18506,nASIG,DATOS!$I18506,nEVAL,"EX")=0),0))))</f>
      </c>
      <c r="H18506">
        <f>IF(DATOS!$G18506&lt;&gt;"EX",0,--(COUNTIFS(nNIA,DATOS!$A18506,nCURSO,DATOS!$D18506,nESPEC,DATOS!$E18506,nASIG,DATOS!$I18506,nEVAL,"OR")=0))</f>
      </c>
      <c r="I18506">
        <f>IF(DATOS!$I18506="","",IFERROR(VLOOKUP(DATOS!$I18506,CONFIG_ASIGNATURAS!$B$2:$J$91,9,FALSE()),""))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IF(DATOS!$A18507="",0,IF(CONFIG_METADATA!$B$4&lt;&gt;"OR+EX",--(DATOS!$G18507=CONFIG_METADATA!$B$4),IF(DATOS!$G18507="EX",1,IF(DATOS!$G18507="OR",--(COUNTIFS(nNIA,DATOS!$A18507,nCURSO,DATOS!$D18507,nESPEC,DATOS!$E18507,nASIG,DATOS!$I18507,nEVAL,"EX")=0),0))))</f>
      </c>
      <c r="H18507">
        <f>IF(DATOS!$G18507&lt;&gt;"EX",0,--(COUNTIFS(nNIA,DATOS!$A18507,nCURSO,DATOS!$D18507,nESPEC,DATOS!$E18507,nASIG,DATOS!$I18507,nEVAL,"OR")=0))</f>
      </c>
      <c r="I18507">
        <f>IF(DATOS!$I18507="","",IFERROR(VLOOKUP(DATOS!$I18507,CONFIG_ASIGNATURAS!$B$2:$J$91,9,FALSE()),""))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IF(DATOS!$A18508="",0,IF(CONFIG_METADATA!$B$4&lt;&gt;"OR+EX",--(DATOS!$G18508=CONFIG_METADATA!$B$4),IF(DATOS!$G18508="EX",1,IF(DATOS!$G18508="OR",--(COUNTIFS(nNIA,DATOS!$A18508,nCURSO,DATOS!$D18508,nESPEC,DATOS!$E18508,nASIG,DATOS!$I18508,nEVAL,"EX")=0),0))))</f>
      </c>
      <c r="H18508">
        <f>IF(DATOS!$G18508&lt;&gt;"EX",0,--(COUNTIFS(nNIA,DATOS!$A18508,nCURSO,DATOS!$D18508,nESPEC,DATOS!$E18508,nASIG,DATOS!$I18508,nEVAL,"OR")=0))</f>
      </c>
      <c r="I18508">
        <f>IF(DATOS!$I18508="","",IFERROR(VLOOKUP(DATOS!$I18508,CONFIG_ASIGNATURAS!$B$2:$J$91,9,FALSE()),""))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IF(DATOS!$A18509="",0,IF(CONFIG_METADATA!$B$4&lt;&gt;"OR+EX",--(DATOS!$G18509=CONFIG_METADATA!$B$4),IF(DATOS!$G18509="EX",1,IF(DATOS!$G18509="OR",--(COUNTIFS(nNIA,DATOS!$A18509,nCURSO,DATOS!$D18509,nESPEC,DATOS!$E18509,nASIG,DATOS!$I18509,nEVAL,"EX")=0),0))))</f>
      </c>
      <c r="H18509">
        <f>IF(DATOS!$G18509&lt;&gt;"EX",0,--(COUNTIFS(nNIA,DATOS!$A18509,nCURSO,DATOS!$D18509,nESPEC,DATOS!$E18509,nASIG,DATOS!$I18509,nEVAL,"OR")=0))</f>
      </c>
      <c r="I18509">
        <f>IF(DATOS!$I18509="","",IFERROR(VLOOKUP(DATOS!$I18509,CONFIG_ASIGNATURAS!$B$2:$J$91,9,FALSE()),""))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IF(DATOS!$A18510="",0,IF(CONFIG_METADATA!$B$4&lt;&gt;"OR+EX",--(DATOS!$G18510=CONFIG_METADATA!$B$4),IF(DATOS!$G18510="EX",1,IF(DATOS!$G18510="OR",--(COUNTIFS(nNIA,DATOS!$A18510,nCURSO,DATOS!$D18510,nESPEC,DATOS!$E18510,nASIG,DATOS!$I18510,nEVAL,"EX")=0),0))))</f>
      </c>
      <c r="H18510">
        <f>IF(DATOS!$G18510&lt;&gt;"EX",0,--(COUNTIFS(nNIA,DATOS!$A18510,nCURSO,DATOS!$D18510,nESPEC,DATOS!$E18510,nASIG,DATOS!$I18510,nEVAL,"OR")=0))</f>
      </c>
      <c r="I18510">
        <f>IF(DATOS!$I18510="","",IFERROR(VLOOKUP(DATOS!$I18510,CONFIG_ASIGNATURAS!$B$2:$J$91,9,FALSE()),""))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IF(DATOS!$A18511="",0,IF(CONFIG_METADATA!$B$4&lt;&gt;"OR+EX",--(DATOS!$G18511=CONFIG_METADATA!$B$4),IF(DATOS!$G18511="EX",1,IF(DATOS!$G18511="OR",--(COUNTIFS(nNIA,DATOS!$A18511,nCURSO,DATOS!$D18511,nESPEC,DATOS!$E18511,nASIG,DATOS!$I18511,nEVAL,"EX")=0),0))))</f>
      </c>
      <c r="H18511">
        <f>IF(DATOS!$G18511&lt;&gt;"EX",0,--(COUNTIFS(nNIA,DATOS!$A18511,nCURSO,DATOS!$D18511,nESPEC,DATOS!$E18511,nASIG,DATOS!$I18511,nEVAL,"OR")=0))</f>
      </c>
      <c r="I18511">
        <f>IF(DATOS!$I18511="","",IFERROR(VLOOKUP(DATOS!$I18511,CONFIG_ASIGNATURAS!$B$2:$J$91,9,FALSE()),""))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IF(DATOS!$A18512="",0,IF(CONFIG_METADATA!$B$4&lt;&gt;"OR+EX",--(DATOS!$G18512=CONFIG_METADATA!$B$4),IF(DATOS!$G18512="EX",1,IF(DATOS!$G18512="OR",--(COUNTIFS(nNIA,DATOS!$A18512,nCURSO,DATOS!$D18512,nESPEC,DATOS!$E18512,nASIG,DATOS!$I18512,nEVAL,"EX")=0),0))))</f>
      </c>
      <c r="H18512">
        <f>IF(DATOS!$G18512&lt;&gt;"EX",0,--(COUNTIFS(nNIA,DATOS!$A18512,nCURSO,DATOS!$D18512,nESPEC,DATOS!$E18512,nASIG,DATOS!$I18512,nEVAL,"OR")=0))</f>
      </c>
      <c r="I18512">
        <f>IF(DATOS!$I18512="","",IFERROR(VLOOKUP(DATOS!$I18512,CONFIG_ASIGNATURAS!$B$2:$J$91,9,FALSE()),""))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IF(DATOS!$A18513="",0,IF(CONFIG_METADATA!$B$4&lt;&gt;"OR+EX",--(DATOS!$G18513=CONFIG_METADATA!$B$4),IF(DATOS!$G18513="EX",1,IF(DATOS!$G18513="OR",--(COUNTIFS(nNIA,DATOS!$A18513,nCURSO,DATOS!$D18513,nESPEC,DATOS!$E18513,nASIG,DATOS!$I18513,nEVAL,"EX")=0),0))))</f>
      </c>
      <c r="H18513">
        <f>IF(DATOS!$G18513&lt;&gt;"EX",0,--(COUNTIFS(nNIA,DATOS!$A18513,nCURSO,DATOS!$D18513,nESPEC,DATOS!$E18513,nASIG,DATOS!$I18513,nEVAL,"OR")=0))</f>
      </c>
      <c r="I18513">
        <f>IF(DATOS!$I18513="","",IFERROR(VLOOKUP(DATOS!$I18513,CONFIG_ASIGNATURAS!$B$2:$J$91,9,FALSE()),""))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IF(DATOS!$A18514="",0,IF(CONFIG_METADATA!$B$4&lt;&gt;"OR+EX",--(DATOS!$G18514=CONFIG_METADATA!$B$4),IF(DATOS!$G18514="EX",1,IF(DATOS!$G18514="OR",--(COUNTIFS(nNIA,DATOS!$A18514,nCURSO,DATOS!$D18514,nESPEC,DATOS!$E18514,nASIG,DATOS!$I18514,nEVAL,"EX")=0),0))))</f>
      </c>
      <c r="H18514">
        <f>IF(DATOS!$G18514&lt;&gt;"EX",0,--(COUNTIFS(nNIA,DATOS!$A18514,nCURSO,DATOS!$D18514,nESPEC,DATOS!$E18514,nASIG,DATOS!$I18514,nEVAL,"OR")=0))</f>
      </c>
      <c r="I18514">
        <f>IF(DATOS!$I18514="","",IFERROR(VLOOKUP(DATOS!$I18514,CONFIG_ASIGNATURAS!$B$2:$J$91,9,FALSE()),""))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IF(DATOS!$A18515="",0,IF(CONFIG_METADATA!$B$4&lt;&gt;"OR+EX",--(DATOS!$G18515=CONFIG_METADATA!$B$4),IF(DATOS!$G18515="EX",1,IF(DATOS!$G18515="OR",--(COUNTIFS(nNIA,DATOS!$A18515,nCURSO,DATOS!$D18515,nESPEC,DATOS!$E18515,nASIG,DATOS!$I18515,nEVAL,"EX")=0),0))))</f>
      </c>
      <c r="H18515">
        <f>IF(DATOS!$G18515&lt;&gt;"EX",0,--(COUNTIFS(nNIA,DATOS!$A18515,nCURSO,DATOS!$D18515,nESPEC,DATOS!$E18515,nASIG,DATOS!$I18515,nEVAL,"OR")=0))</f>
      </c>
      <c r="I18515">
        <f>IF(DATOS!$I18515="","",IFERROR(VLOOKUP(DATOS!$I18515,CONFIG_ASIGNATURAS!$B$2:$J$91,9,FALSE()),""))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IF(DATOS!$A18516="",0,IF(CONFIG_METADATA!$B$4&lt;&gt;"OR+EX",--(DATOS!$G18516=CONFIG_METADATA!$B$4),IF(DATOS!$G18516="EX",1,IF(DATOS!$G18516="OR",--(COUNTIFS(nNIA,DATOS!$A18516,nCURSO,DATOS!$D18516,nESPEC,DATOS!$E18516,nASIG,DATOS!$I18516,nEVAL,"EX")=0),0))))</f>
      </c>
      <c r="H18516">
        <f>IF(DATOS!$G18516&lt;&gt;"EX",0,--(COUNTIFS(nNIA,DATOS!$A18516,nCURSO,DATOS!$D18516,nESPEC,DATOS!$E18516,nASIG,DATOS!$I18516,nEVAL,"OR")=0))</f>
      </c>
      <c r="I18516">
        <f>IF(DATOS!$I18516="","",IFERROR(VLOOKUP(DATOS!$I18516,CONFIG_ASIGNATURAS!$B$2:$J$91,9,FALSE()),""))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IF(DATOS!$A18517="",0,IF(CONFIG_METADATA!$B$4&lt;&gt;"OR+EX",--(DATOS!$G18517=CONFIG_METADATA!$B$4),IF(DATOS!$G18517="EX",1,IF(DATOS!$G18517="OR",--(COUNTIFS(nNIA,DATOS!$A18517,nCURSO,DATOS!$D18517,nESPEC,DATOS!$E18517,nASIG,DATOS!$I18517,nEVAL,"EX")=0),0))))</f>
      </c>
      <c r="H18517">
        <f>IF(DATOS!$G18517&lt;&gt;"EX",0,--(COUNTIFS(nNIA,DATOS!$A18517,nCURSO,DATOS!$D18517,nESPEC,DATOS!$E18517,nASIG,DATOS!$I18517,nEVAL,"OR")=0))</f>
      </c>
      <c r="I18517">
        <f>IF(DATOS!$I18517="","",IFERROR(VLOOKUP(DATOS!$I18517,CONFIG_ASIGNATURAS!$B$2:$J$91,9,FALSE()),""))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IF(DATOS!$A18518="",0,IF(CONFIG_METADATA!$B$4&lt;&gt;"OR+EX",--(DATOS!$G18518=CONFIG_METADATA!$B$4),IF(DATOS!$G18518="EX",1,IF(DATOS!$G18518="OR",--(COUNTIFS(nNIA,DATOS!$A18518,nCURSO,DATOS!$D18518,nESPEC,DATOS!$E18518,nASIG,DATOS!$I18518,nEVAL,"EX")=0),0))))</f>
      </c>
      <c r="H18518">
        <f>IF(DATOS!$G18518&lt;&gt;"EX",0,--(COUNTIFS(nNIA,DATOS!$A18518,nCURSO,DATOS!$D18518,nESPEC,DATOS!$E18518,nASIG,DATOS!$I18518,nEVAL,"OR")=0))</f>
      </c>
      <c r="I18518">
        <f>IF(DATOS!$I18518="","",IFERROR(VLOOKUP(DATOS!$I18518,CONFIG_ASIGNATURAS!$B$2:$J$91,9,FALSE()),""))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IF(DATOS!$A18519="",0,IF(CONFIG_METADATA!$B$4&lt;&gt;"OR+EX",--(DATOS!$G18519=CONFIG_METADATA!$B$4),IF(DATOS!$G18519="EX",1,IF(DATOS!$G18519="OR",--(COUNTIFS(nNIA,DATOS!$A18519,nCURSO,DATOS!$D18519,nESPEC,DATOS!$E18519,nASIG,DATOS!$I18519,nEVAL,"EX")=0),0))))</f>
      </c>
      <c r="H18519">
        <f>IF(DATOS!$G18519&lt;&gt;"EX",0,--(COUNTIFS(nNIA,DATOS!$A18519,nCURSO,DATOS!$D18519,nESPEC,DATOS!$E18519,nASIG,DATOS!$I18519,nEVAL,"OR")=0))</f>
      </c>
      <c r="I18519">
        <f>IF(DATOS!$I18519="","",IFERROR(VLOOKUP(DATOS!$I18519,CONFIG_ASIGNATURAS!$B$2:$J$91,9,FALSE()),""))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IF(DATOS!$A18520="",0,IF(CONFIG_METADATA!$B$4&lt;&gt;"OR+EX",--(DATOS!$G18520=CONFIG_METADATA!$B$4),IF(DATOS!$G18520="EX",1,IF(DATOS!$G18520="OR",--(COUNTIFS(nNIA,DATOS!$A18520,nCURSO,DATOS!$D18520,nESPEC,DATOS!$E18520,nASIG,DATOS!$I18520,nEVAL,"EX")=0),0))))</f>
      </c>
      <c r="H18520">
        <f>IF(DATOS!$G18520&lt;&gt;"EX",0,--(COUNTIFS(nNIA,DATOS!$A18520,nCURSO,DATOS!$D18520,nESPEC,DATOS!$E18520,nASIG,DATOS!$I18520,nEVAL,"OR")=0))</f>
      </c>
      <c r="I18520">
        <f>IF(DATOS!$I18520="","",IFERROR(VLOOKUP(DATOS!$I18520,CONFIG_ASIGNATURAS!$B$2:$J$91,9,FALSE()),""))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IF(DATOS!$A18521="",0,IF(CONFIG_METADATA!$B$4&lt;&gt;"OR+EX",--(DATOS!$G18521=CONFIG_METADATA!$B$4),IF(DATOS!$G18521="EX",1,IF(DATOS!$G18521="OR",--(COUNTIFS(nNIA,DATOS!$A18521,nCURSO,DATOS!$D18521,nESPEC,DATOS!$E18521,nASIG,DATOS!$I18521,nEVAL,"EX")=0),0))))</f>
      </c>
      <c r="H18521">
        <f>IF(DATOS!$G18521&lt;&gt;"EX",0,--(COUNTIFS(nNIA,DATOS!$A18521,nCURSO,DATOS!$D18521,nESPEC,DATOS!$E18521,nASIG,DATOS!$I18521,nEVAL,"OR")=0))</f>
      </c>
      <c r="I18521">
        <f>IF(DATOS!$I18521="","",IFERROR(VLOOKUP(DATOS!$I18521,CONFIG_ASIGNATURAS!$B$2:$J$91,9,FALSE()),""))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IF(DATOS!$A18522="",0,IF(CONFIG_METADATA!$B$4&lt;&gt;"OR+EX",--(DATOS!$G18522=CONFIG_METADATA!$B$4),IF(DATOS!$G18522="EX",1,IF(DATOS!$G18522="OR",--(COUNTIFS(nNIA,DATOS!$A18522,nCURSO,DATOS!$D18522,nESPEC,DATOS!$E18522,nASIG,DATOS!$I18522,nEVAL,"EX")=0),0))))</f>
      </c>
      <c r="H18522">
        <f>IF(DATOS!$G18522&lt;&gt;"EX",0,--(COUNTIFS(nNIA,DATOS!$A18522,nCURSO,DATOS!$D18522,nESPEC,DATOS!$E18522,nASIG,DATOS!$I18522,nEVAL,"OR")=0))</f>
      </c>
      <c r="I18522">
        <f>IF(DATOS!$I18522="","",IFERROR(VLOOKUP(DATOS!$I18522,CONFIG_ASIGNATURAS!$B$2:$J$91,9,FALSE()),""))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IF(DATOS!$A18523="",0,IF(CONFIG_METADATA!$B$4&lt;&gt;"OR+EX",--(DATOS!$G18523=CONFIG_METADATA!$B$4),IF(DATOS!$G18523="EX",1,IF(DATOS!$G18523="OR",--(COUNTIFS(nNIA,DATOS!$A18523,nCURSO,DATOS!$D18523,nESPEC,DATOS!$E18523,nASIG,DATOS!$I18523,nEVAL,"EX")=0),0))))</f>
      </c>
      <c r="H18523">
        <f>IF(DATOS!$G18523&lt;&gt;"EX",0,--(COUNTIFS(nNIA,DATOS!$A18523,nCURSO,DATOS!$D18523,nESPEC,DATOS!$E18523,nASIG,DATOS!$I18523,nEVAL,"OR")=0))</f>
      </c>
      <c r="I18523">
        <f>IF(DATOS!$I18523="","",IFERROR(VLOOKUP(DATOS!$I18523,CONFIG_ASIGNATURAS!$B$2:$J$91,9,FALSE()),""))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IF(DATOS!$A18524="",0,IF(CONFIG_METADATA!$B$4&lt;&gt;"OR+EX",--(DATOS!$G18524=CONFIG_METADATA!$B$4),IF(DATOS!$G18524="EX",1,IF(DATOS!$G18524="OR",--(COUNTIFS(nNIA,DATOS!$A18524,nCURSO,DATOS!$D18524,nESPEC,DATOS!$E18524,nASIG,DATOS!$I18524,nEVAL,"EX")=0),0))))</f>
      </c>
      <c r="H18524">
        <f>IF(DATOS!$G18524&lt;&gt;"EX",0,--(COUNTIFS(nNIA,DATOS!$A18524,nCURSO,DATOS!$D18524,nESPEC,DATOS!$E18524,nASIG,DATOS!$I18524,nEVAL,"OR")=0))</f>
      </c>
      <c r="I18524">
        <f>IF(DATOS!$I18524="","",IFERROR(VLOOKUP(DATOS!$I18524,CONFIG_ASIGNATURAS!$B$2:$J$91,9,FALSE()),""))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IF(DATOS!$A18525="",0,IF(CONFIG_METADATA!$B$4&lt;&gt;"OR+EX",--(DATOS!$G18525=CONFIG_METADATA!$B$4),IF(DATOS!$G18525="EX",1,IF(DATOS!$G18525="OR",--(COUNTIFS(nNIA,DATOS!$A18525,nCURSO,DATOS!$D18525,nESPEC,DATOS!$E18525,nASIG,DATOS!$I18525,nEVAL,"EX")=0),0))))</f>
      </c>
      <c r="H18525">
        <f>IF(DATOS!$G18525&lt;&gt;"EX",0,--(COUNTIFS(nNIA,DATOS!$A18525,nCURSO,DATOS!$D18525,nESPEC,DATOS!$E18525,nASIG,DATOS!$I18525,nEVAL,"OR")=0))</f>
      </c>
      <c r="I18525">
        <f>IF(DATOS!$I18525="","",IFERROR(VLOOKUP(DATOS!$I18525,CONFIG_ASIGNATURAS!$B$2:$J$91,9,FALSE()),""))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IF(DATOS!$A18526="",0,IF(CONFIG_METADATA!$B$4&lt;&gt;"OR+EX",--(DATOS!$G18526=CONFIG_METADATA!$B$4),IF(DATOS!$G18526="EX",1,IF(DATOS!$G18526="OR",--(COUNTIFS(nNIA,DATOS!$A18526,nCURSO,DATOS!$D18526,nESPEC,DATOS!$E18526,nASIG,DATOS!$I18526,nEVAL,"EX")=0),0))))</f>
      </c>
      <c r="H18526">
        <f>IF(DATOS!$G18526&lt;&gt;"EX",0,--(COUNTIFS(nNIA,DATOS!$A18526,nCURSO,DATOS!$D18526,nESPEC,DATOS!$E18526,nASIG,DATOS!$I18526,nEVAL,"OR")=0))</f>
      </c>
      <c r="I18526">
        <f>IF(DATOS!$I18526="","",IFERROR(VLOOKUP(DATOS!$I18526,CONFIG_ASIGNATURAS!$B$2:$J$91,9,FALSE()),""))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IF(DATOS!$A18527="",0,IF(CONFIG_METADATA!$B$4&lt;&gt;"OR+EX",--(DATOS!$G18527=CONFIG_METADATA!$B$4),IF(DATOS!$G18527="EX",1,IF(DATOS!$G18527="OR",--(COUNTIFS(nNIA,DATOS!$A18527,nCURSO,DATOS!$D18527,nESPEC,DATOS!$E18527,nASIG,DATOS!$I18527,nEVAL,"EX")=0),0))))</f>
      </c>
      <c r="H18527">
        <f>IF(DATOS!$G18527&lt;&gt;"EX",0,--(COUNTIFS(nNIA,DATOS!$A18527,nCURSO,DATOS!$D18527,nESPEC,DATOS!$E18527,nASIG,DATOS!$I18527,nEVAL,"OR")=0))</f>
      </c>
      <c r="I18527">
        <f>IF(DATOS!$I18527="","",IFERROR(VLOOKUP(DATOS!$I18527,CONFIG_ASIGNATURAS!$B$2:$J$91,9,FALSE()),""))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IF(DATOS!$A18528="",0,IF(CONFIG_METADATA!$B$4&lt;&gt;"OR+EX",--(DATOS!$G18528=CONFIG_METADATA!$B$4),IF(DATOS!$G18528="EX",1,IF(DATOS!$G18528="OR",--(COUNTIFS(nNIA,DATOS!$A18528,nCURSO,DATOS!$D18528,nESPEC,DATOS!$E18528,nASIG,DATOS!$I18528,nEVAL,"EX")=0),0))))</f>
      </c>
      <c r="H18528">
        <f>IF(DATOS!$G18528&lt;&gt;"EX",0,--(COUNTIFS(nNIA,DATOS!$A18528,nCURSO,DATOS!$D18528,nESPEC,DATOS!$E18528,nASIG,DATOS!$I18528,nEVAL,"OR")=0))</f>
      </c>
      <c r="I18528">
        <f>IF(DATOS!$I18528="","",IFERROR(VLOOKUP(DATOS!$I18528,CONFIG_ASIGNATURAS!$B$2:$J$91,9,FALSE()),""))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IF(DATOS!$A18529="",0,IF(CONFIG_METADATA!$B$4&lt;&gt;"OR+EX",--(DATOS!$G18529=CONFIG_METADATA!$B$4),IF(DATOS!$G18529="EX",1,IF(DATOS!$G18529="OR",--(COUNTIFS(nNIA,DATOS!$A18529,nCURSO,DATOS!$D18529,nESPEC,DATOS!$E18529,nASIG,DATOS!$I18529,nEVAL,"EX")=0),0))))</f>
      </c>
      <c r="H18529">
        <f>IF(DATOS!$G18529&lt;&gt;"EX",0,--(COUNTIFS(nNIA,DATOS!$A18529,nCURSO,DATOS!$D18529,nESPEC,DATOS!$E18529,nASIG,DATOS!$I18529,nEVAL,"OR")=0))</f>
      </c>
      <c r="I18529">
        <f>IF(DATOS!$I18529="","",IFERROR(VLOOKUP(DATOS!$I18529,CONFIG_ASIGNATURAS!$B$2:$J$91,9,FALSE()),""))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IF(DATOS!$A18530="",0,IF(CONFIG_METADATA!$B$4&lt;&gt;"OR+EX",--(DATOS!$G18530=CONFIG_METADATA!$B$4),IF(DATOS!$G18530="EX",1,IF(DATOS!$G18530="OR",--(COUNTIFS(nNIA,DATOS!$A18530,nCURSO,DATOS!$D18530,nESPEC,DATOS!$E18530,nASIG,DATOS!$I18530,nEVAL,"EX")=0),0))))</f>
      </c>
      <c r="H18530">
        <f>IF(DATOS!$G18530&lt;&gt;"EX",0,--(COUNTIFS(nNIA,DATOS!$A18530,nCURSO,DATOS!$D18530,nESPEC,DATOS!$E18530,nASIG,DATOS!$I18530,nEVAL,"OR")=0))</f>
      </c>
      <c r="I18530">
        <f>IF(DATOS!$I18530="","",IFERROR(VLOOKUP(DATOS!$I18530,CONFIG_ASIGNATURAS!$B$2:$J$91,9,FALSE()),""))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IF(DATOS!$A18531="",0,IF(CONFIG_METADATA!$B$4&lt;&gt;"OR+EX",--(DATOS!$G18531=CONFIG_METADATA!$B$4),IF(DATOS!$G18531="EX",1,IF(DATOS!$G18531="OR",--(COUNTIFS(nNIA,DATOS!$A18531,nCURSO,DATOS!$D18531,nESPEC,DATOS!$E18531,nASIG,DATOS!$I18531,nEVAL,"EX")=0),0))))</f>
      </c>
      <c r="H18531">
        <f>IF(DATOS!$G18531&lt;&gt;"EX",0,--(COUNTIFS(nNIA,DATOS!$A18531,nCURSO,DATOS!$D18531,nESPEC,DATOS!$E18531,nASIG,DATOS!$I18531,nEVAL,"OR")=0))</f>
      </c>
      <c r="I18531">
        <f>IF(DATOS!$I18531="","",IFERROR(VLOOKUP(DATOS!$I18531,CONFIG_ASIGNATURAS!$B$2:$J$91,9,FALSE()),""))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IF(DATOS!$A18532="",0,IF(CONFIG_METADATA!$B$4&lt;&gt;"OR+EX",--(DATOS!$G18532=CONFIG_METADATA!$B$4),IF(DATOS!$G18532="EX",1,IF(DATOS!$G18532="OR",--(COUNTIFS(nNIA,DATOS!$A18532,nCURSO,DATOS!$D18532,nESPEC,DATOS!$E18532,nASIG,DATOS!$I18532,nEVAL,"EX")=0),0))))</f>
      </c>
      <c r="H18532">
        <f>IF(DATOS!$G18532&lt;&gt;"EX",0,--(COUNTIFS(nNIA,DATOS!$A18532,nCURSO,DATOS!$D18532,nESPEC,DATOS!$E18532,nASIG,DATOS!$I18532,nEVAL,"OR")=0))</f>
      </c>
      <c r="I18532">
        <f>IF(DATOS!$I18532="","",IFERROR(VLOOKUP(DATOS!$I18532,CONFIG_ASIGNATURAS!$B$2:$J$91,9,FALSE()),""))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IF(DATOS!$A18533="",0,IF(CONFIG_METADATA!$B$4&lt;&gt;"OR+EX",--(DATOS!$G18533=CONFIG_METADATA!$B$4),IF(DATOS!$G18533="EX",1,IF(DATOS!$G18533="OR",--(COUNTIFS(nNIA,DATOS!$A18533,nCURSO,DATOS!$D18533,nESPEC,DATOS!$E18533,nASIG,DATOS!$I18533,nEVAL,"EX")=0),0))))</f>
      </c>
      <c r="H18533">
        <f>IF(DATOS!$G18533&lt;&gt;"EX",0,--(COUNTIFS(nNIA,DATOS!$A18533,nCURSO,DATOS!$D18533,nESPEC,DATOS!$E18533,nASIG,DATOS!$I18533,nEVAL,"OR")=0))</f>
      </c>
      <c r="I18533">
        <f>IF(DATOS!$I18533="","",IFERROR(VLOOKUP(DATOS!$I18533,CONFIG_ASIGNATURAS!$B$2:$J$91,9,FALSE()),""))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IF(DATOS!$A18534="",0,IF(CONFIG_METADATA!$B$4&lt;&gt;"OR+EX",--(DATOS!$G18534=CONFIG_METADATA!$B$4),IF(DATOS!$G18534="EX",1,IF(DATOS!$G18534="OR",--(COUNTIFS(nNIA,DATOS!$A18534,nCURSO,DATOS!$D18534,nESPEC,DATOS!$E18534,nASIG,DATOS!$I18534,nEVAL,"EX")=0),0))))</f>
      </c>
      <c r="H18534">
        <f>IF(DATOS!$G18534&lt;&gt;"EX",0,--(COUNTIFS(nNIA,DATOS!$A18534,nCURSO,DATOS!$D18534,nESPEC,DATOS!$E18534,nASIG,DATOS!$I18534,nEVAL,"OR")=0))</f>
      </c>
      <c r="I18534">
        <f>IF(DATOS!$I18534="","",IFERROR(VLOOKUP(DATOS!$I18534,CONFIG_ASIGNATURAS!$B$2:$J$91,9,FALSE()),""))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IF(DATOS!$A18535="",0,IF(CONFIG_METADATA!$B$4&lt;&gt;"OR+EX",--(DATOS!$G18535=CONFIG_METADATA!$B$4),IF(DATOS!$G18535="EX",1,IF(DATOS!$G18535="OR",--(COUNTIFS(nNIA,DATOS!$A18535,nCURSO,DATOS!$D18535,nESPEC,DATOS!$E18535,nASIG,DATOS!$I18535,nEVAL,"EX")=0),0))))</f>
      </c>
      <c r="H18535">
        <f>IF(DATOS!$G18535&lt;&gt;"EX",0,--(COUNTIFS(nNIA,DATOS!$A18535,nCURSO,DATOS!$D18535,nESPEC,DATOS!$E18535,nASIG,DATOS!$I18535,nEVAL,"OR")=0))</f>
      </c>
      <c r="I18535">
        <f>IF(DATOS!$I18535="","",IFERROR(VLOOKUP(DATOS!$I18535,CONFIG_ASIGNATURAS!$B$2:$J$91,9,FALSE()),""))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IF(DATOS!$A18536="",0,IF(CONFIG_METADATA!$B$4&lt;&gt;"OR+EX",--(DATOS!$G18536=CONFIG_METADATA!$B$4),IF(DATOS!$G18536="EX",1,IF(DATOS!$G18536="OR",--(COUNTIFS(nNIA,DATOS!$A18536,nCURSO,DATOS!$D18536,nESPEC,DATOS!$E18536,nASIG,DATOS!$I18536,nEVAL,"EX")=0),0))))</f>
      </c>
      <c r="H18536">
        <f>IF(DATOS!$G18536&lt;&gt;"EX",0,--(COUNTIFS(nNIA,DATOS!$A18536,nCURSO,DATOS!$D18536,nESPEC,DATOS!$E18536,nASIG,DATOS!$I18536,nEVAL,"OR")=0))</f>
      </c>
      <c r="I18536">
        <f>IF(DATOS!$I18536="","",IFERROR(VLOOKUP(DATOS!$I18536,CONFIG_ASIGNATURAS!$B$2:$J$91,9,FALSE()),""))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IF(DATOS!$A18537="",0,IF(CONFIG_METADATA!$B$4&lt;&gt;"OR+EX",--(DATOS!$G18537=CONFIG_METADATA!$B$4),IF(DATOS!$G18537="EX",1,IF(DATOS!$G18537="OR",--(COUNTIFS(nNIA,DATOS!$A18537,nCURSO,DATOS!$D18537,nESPEC,DATOS!$E18537,nASIG,DATOS!$I18537,nEVAL,"EX")=0),0))))</f>
      </c>
      <c r="H18537">
        <f>IF(DATOS!$G18537&lt;&gt;"EX",0,--(COUNTIFS(nNIA,DATOS!$A18537,nCURSO,DATOS!$D18537,nESPEC,DATOS!$E18537,nASIG,DATOS!$I18537,nEVAL,"OR")=0))</f>
      </c>
      <c r="I18537">
        <f>IF(DATOS!$I18537="","",IFERROR(VLOOKUP(DATOS!$I18537,CONFIG_ASIGNATURAS!$B$2:$J$91,9,FALSE()),""))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IF(DATOS!$A18538="",0,IF(CONFIG_METADATA!$B$4&lt;&gt;"OR+EX",--(DATOS!$G18538=CONFIG_METADATA!$B$4),IF(DATOS!$G18538="EX",1,IF(DATOS!$G18538="OR",--(COUNTIFS(nNIA,DATOS!$A18538,nCURSO,DATOS!$D18538,nESPEC,DATOS!$E18538,nASIG,DATOS!$I18538,nEVAL,"EX")=0),0))))</f>
      </c>
      <c r="H18538">
        <f>IF(DATOS!$G18538&lt;&gt;"EX",0,--(COUNTIFS(nNIA,DATOS!$A18538,nCURSO,DATOS!$D18538,nESPEC,DATOS!$E18538,nASIG,DATOS!$I18538,nEVAL,"OR")=0))</f>
      </c>
      <c r="I18538">
        <f>IF(DATOS!$I18538="","",IFERROR(VLOOKUP(DATOS!$I18538,CONFIG_ASIGNATURAS!$B$2:$J$91,9,FALSE()),""))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IF(DATOS!$A18539="",0,IF(CONFIG_METADATA!$B$4&lt;&gt;"OR+EX",--(DATOS!$G18539=CONFIG_METADATA!$B$4),IF(DATOS!$G18539="EX",1,IF(DATOS!$G18539="OR",--(COUNTIFS(nNIA,DATOS!$A18539,nCURSO,DATOS!$D18539,nESPEC,DATOS!$E18539,nASIG,DATOS!$I18539,nEVAL,"EX")=0),0))))</f>
      </c>
      <c r="H18539">
        <f>IF(DATOS!$G18539&lt;&gt;"EX",0,--(COUNTIFS(nNIA,DATOS!$A18539,nCURSO,DATOS!$D18539,nESPEC,DATOS!$E18539,nASIG,DATOS!$I18539,nEVAL,"OR")=0))</f>
      </c>
      <c r="I18539">
        <f>IF(DATOS!$I18539="","",IFERROR(VLOOKUP(DATOS!$I18539,CONFIG_ASIGNATURAS!$B$2:$J$91,9,FALSE()),""))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IF(DATOS!$A18540="",0,IF(CONFIG_METADATA!$B$4&lt;&gt;"OR+EX",--(DATOS!$G18540=CONFIG_METADATA!$B$4),IF(DATOS!$G18540="EX",1,IF(DATOS!$G18540="OR",--(COUNTIFS(nNIA,DATOS!$A18540,nCURSO,DATOS!$D18540,nESPEC,DATOS!$E18540,nASIG,DATOS!$I18540,nEVAL,"EX")=0),0))))</f>
      </c>
      <c r="H18540">
        <f>IF(DATOS!$G18540&lt;&gt;"EX",0,--(COUNTIFS(nNIA,DATOS!$A18540,nCURSO,DATOS!$D18540,nESPEC,DATOS!$E18540,nASIG,DATOS!$I18540,nEVAL,"OR")=0))</f>
      </c>
      <c r="I18540">
        <f>IF(DATOS!$I18540="","",IFERROR(VLOOKUP(DATOS!$I18540,CONFIG_ASIGNATURAS!$B$2:$J$91,9,FALSE()),""))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IF(DATOS!$A18541="",0,IF(CONFIG_METADATA!$B$4&lt;&gt;"OR+EX",--(DATOS!$G18541=CONFIG_METADATA!$B$4),IF(DATOS!$G18541="EX",1,IF(DATOS!$G18541="OR",--(COUNTIFS(nNIA,DATOS!$A18541,nCURSO,DATOS!$D18541,nESPEC,DATOS!$E18541,nASIG,DATOS!$I18541,nEVAL,"EX")=0),0))))</f>
      </c>
      <c r="H18541">
        <f>IF(DATOS!$G18541&lt;&gt;"EX",0,--(COUNTIFS(nNIA,DATOS!$A18541,nCURSO,DATOS!$D18541,nESPEC,DATOS!$E18541,nASIG,DATOS!$I18541,nEVAL,"OR")=0))</f>
      </c>
      <c r="I18541">
        <f>IF(DATOS!$I18541="","",IFERROR(VLOOKUP(DATOS!$I18541,CONFIG_ASIGNATURAS!$B$2:$J$91,9,FALSE()),""))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IF(DATOS!$A18542="",0,IF(CONFIG_METADATA!$B$4&lt;&gt;"OR+EX",--(DATOS!$G18542=CONFIG_METADATA!$B$4),IF(DATOS!$G18542="EX",1,IF(DATOS!$G18542="OR",--(COUNTIFS(nNIA,DATOS!$A18542,nCURSO,DATOS!$D18542,nESPEC,DATOS!$E18542,nASIG,DATOS!$I18542,nEVAL,"EX")=0),0))))</f>
      </c>
      <c r="H18542">
        <f>IF(DATOS!$G18542&lt;&gt;"EX",0,--(COUNTIFS(nNIA,DATOS!$A18542,nCURSO,DATOS!$D18542,nESPEC,DATOS!$E18542,nASIG,DATOS!$I18542,nEVAL,"OR")=0))</f>
      </c>
      <c r="I18542">
        <f>IF(DATOS!$I18542="","",IFERROR(VLOOKUP(DATOS!$I18542,CONFIG_ASIGNATURAS!$B$2:$J$91,9,FALSE()),""))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IF(DATOS!$A18543="",0,IF(CONFIG_METADATA!$B$4&lt;&gt;"OR+EX",--(DATOS!$G18543=CONFIG_METADATA!$B$4),IF(DATOS!$G18543="EX",1,IF(DATOS!$G18543="OR",--(COUNTIFS(nNIA,DATOS!$A18543,nCURSO,DATOS!$D18543,nESPEC,DATOS!$E18543,nASIG,DATOS!$I18543,nEVAL,"EX")=0),0))))</f>
      </c>
      <c r="H18543">
        <f>IF(DATOS!$G18543&lt;&gt;"EX",0,--(COUNTIFS(nNIA,DATOS!$A18543,nCURSO,DATOS!$D18543,nESPEC,DATOS!$E18543,nASIG,DATOS!$I18543,nEVAL,"OR")=0))</f>
      </c>
      <c r="I18543">
        <f>IF(DATOS!$I18543="","",IFERROR(VLOOKUP(DATOS!$I18543,CONFIG_ASIGNATURAS!$B$2:$J$91,9,FALSE()),""))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IF(DATOS!$A18544="",0,IF(CONFIG_METADATA!$B$4&lt;&gt;"OR+EX",--(DATOS!$G18544=CONFIG_METADATA!$B$4),IF(DATOS!$G18544="EX",1,IF(DATOS!$G18544="OR",--(COUNTIFS(nNIA,DATOS!$A18544,nCURSO,DATOS!$D18544,nESPEC,DATOS!$E18544,nASIG,DATOS!$I18544,nEVAL,"EX")=0),0))))</f>
      </c>
      <c r="H18544">
        <f>IF(DATOS!$G18544&lt;&gt;"EX",0,--(COUNTIFS(nNIA,DATOS!$A18544,nCURSO,DATOS!$D18544,nESPEC,DATOS!$E18544,nASIG,DATOS!$I18544,nEVAL,"OR")=0))</f>
      </c>
      <c r="I18544">
        <f>IF(DATOS!$I18544="","",IFERROR(VLOOKUP(DATOS!$I18544,CONFIG_ASIGNATURAS!$B$2:$J$91,9,FALSE()),""))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IF(DATOS!$A18545="",0,IF(CONFIG_METADATA!$B$4&lt;&gt;"OR+EX",--(DATOS!$G18545=CONFIG_METADATA!$B$4),IF(DATOS!$G18545="EX",1,IF(DATOS!$G18545="OR",--(COUNTIFS(nNIA,DATOS!$A18545,nCURSO,DATOS!$D18545,nESPEC,DATOS!$E18545,nASIG,DATOS!$I18545,nEVAL,"EX")=0),0))))</f>
      </c>
      <c r="H18545">
        <f>IF(DATOS!$G18545&lt;&gt;"EX",0,--(COUNTIFS(nNIA,DATOS!$A18545,nCURSO,DATOS!$D18545,nESPEC,DATOS!$E18545,nASIG,DATOS!$I18545,nEVAL,"OR")=0))</f>
      </c>
      <c r="I18545">
        <f>IF(DATOS!$I18545="","",IFERROR(VLOOKUP(DATOS!$I18545,CONFIG_ASIGNATURAS!$B$2:$J$91,9,FALSE()),""))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IF(DATOS!$A18546="",0,IF(CONFIG_METADATA!$B$4&lt;&gt;"OR+EX",--(DATOS!$G18546=CONFIG_METADATA!$B$4),IF(DATOS!$G18546="EX",1,IF(DATOS!$G18546="OR",--(COUNTIFS(nNIA,DATOS!$A18546,nCURSO,DATOS!$D18546,nESPEC,DATOS!$E18546,nASIG,DATOS!$I18546,nEVAL,"EX")=0),0))))</f>
      </c>
      <c r="H18546">
        <f>IF(DATOS!$G18546&lt;&gt;"EX",0,--(COUNTIFS(nNIA,DATOS!$A18546,nCURSO,DATOS!$D18546,nESPEC,DATOS!$E18546,nASIG,DATOS!$I18546,nEVAL,"OR")=0))</f>
      </c>
      <c r="I18546">
        <f>IF(DATOS!$I18546="","",IFERROR(VLOOKUP(DATOS!$I18546,CONFIG_ASIGNATURAS!$B$2:$J$91,9,FALSE()),""))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IF(DATOS!$A18547="",0,IF(CONFIG_METADATA!$B$4&lt;&gt;"OR+EX",--(DATOS!$G18547=CONFIG_METADATA!$B$4),IF(DATOS!$G18547="EX",1,IF(DATOS!$G18547="OR",--(COUNTIFS(nNIA,DATOS!$A18547,nCURSO,DATOS!$D18547,nESPEC,DATOS!$E18547,nASIG,DATOS!$I18547,nEVAL,"EX")=0),0))))</f>
      </c>
      <c r="H18547">
        <f>IF(DATOS!$G18547&lt;&gt;"EX",0,--(COUNTIFS(nNIA,DATOS!$A18547,nCURSO,DATOS!$D18547,nESPEC,DATOS!$E18547,nASIG,DATOS!$I18547,nEVAL,"OR")=0))</f>
      </c>
      <c r="I18547">
        <f>IF(DATOS!$I18547="","",IFERROR(VLOOKUP(DATOS!$I18547,CONFIG_ASIGNATURAS!$B$2:$J$91,9,FALSE()),""))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IF(DATOS!$A18548="",0,IF(CONFIG_METADATA!$B$4&lt;&gt;"OR+EX",--(DATOS!$G18548=CONFIG_METADATA!$B$4),IF(DATOS!$G18548="EX",1,IF(DATOS!$G18548="OR",--(COUNTIFS(nNIA,DATOS!$A18548,nCURSO,DATOS!$D18548,nESPEC,DATOS!$E18548,nASIG,DATOS!$I18548,nEVAL,"EX")=0),0))))</f>
      </c>
      <c r="H18548">
        <f>IF(DATOS!$G18548&lt;&gt;"EX",0,--(COUNTIFS(nNIA,DATOS!$A18548,nCURSO,DATOS!$D18548,nESPEC,DATOS!$E18548,nASIG,DATOS!$I18548,nEVAL,"OR")=0))</f>
      </c>
      <c r="I18548">
        <f>IF(DATOS!$I18548="","",IFERROR(VLOOKUP(DATOS!$I18548,CONFIG_ASIGNATURAS!$B$2:$J$91,9,FALSE()),""))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IF(DATOS!$A18549="",0,IF(CONFIG_METADATA!$B$4&lt;&gt;"OR+EX",--(DATOS!$G18549=CONFIG_METADATA!$B$4),IF(DATOS!$G18549="EX",1,IF(DATOS!$G18549="OR",--(COUNTIFS(nNIA,DATOS!$A18549,nCURSO,DATOS!$D18549,nESPEC,DATOS!$E18549,nASIG,DATOS!$I18549,nEVAL,"EX")=0),0))))</f>
      </c>
      <c r="H18549">
        <f>IF(DATOS!$G18549&lt;&gt;"EX",0,--(COUNTIFS(nNIA,DATOS!$A18549,nCURSO,DATOS!$D18549,nESPEC,DATOS!$E18549,nASIG,DATOS!$I18549,nEVAL,"OR")=0))</f>
      </c>
      <c r="I18549">
        <f>IF(DATOS!$I18549="","",IFERROR(VLOOKUP(DATOS!$I18549,CONFIG_ASIGNATURAS!$B$2:$J$91,9,FALSE()),""))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IF(DATOS!$A18550="",0,IF(CONFIG_METADATA!$B$4&lt;&gt;"OR+EX",--(DATOS!$G18550=CONFIG_METADATA!$B$4),IF(DATOS!$G18550="EX",1,IF(DATOS!$G18550="OR",--(COUNTIFS(nNIA,DATOS!$A18550,nCURSO,DATOS!$D18550,nESPEC,DATOS!$E18550,nASIG,DATOS!$I18550,nEVAL,"EX")=0),0))))</f>
      </c>
      <c r="H18550">
        <f>IF(DATOS!$G18550&lt;&gt;"EX",0,--(COUNTIFS(nNIA,DATOS!$A18550,nCURSO,DATOS!$D18550,nESPEC,DATOS!$E18550,nASIG,DATOS!$I18550,nEVAL,"OR")=0))</f>
      </c>
      <c r="I18550">
        <f>IF(DATOS!$I18550="","",IFERROR(VLOOKUP(DATOS!$I18550,CONFIG_ASIGNATURAS!$B$2:$J$91,9,FALSE()),""))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IF(DATOS!$A18551="",0,IF(CONFIG_METADATA!$B$4&lt;&gt;"OR+EX",--(DATOS!$G18551=CONFIG_METADATA!$B$4),IF(DATOS!$G18551="EX",1,IF(DATOS!$G18551="OR",--(COUNTIFS(nNIA,DATOS!$A18551,nCURSO,DATOS!$D18551,nESPEC,DATOS!$E18551,nASIG,DATOS!$I18551,nEVAL,"EX")=0),0))))</f>
      </c>
      <c r="H18551">
        <f>IF(DATOS!$G18551&lt;&gt;"EX",0,--(COUNTIFS(nNIA,DATOS!$A18551,nCURSO,DATOS!$D18551,nESPEC,DATOS!$E18551,nASIG,DATOS!$I18551,nEVAL,"OR")=0))</f>
      </c>
      <c r="I18551">
        <f>IF(DATOS!$I18551="","",IFERROR(VLOOKUP(DATOS!$I18551,CONFIG_ASIGNATURAS!$B$2:$J$91,9,FALSE()),""))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IF(DATOS!$A18552="",0,IF(CONFIG_METADATA!$B$4&lt;&gt;"OR+EX",--(DATOS!$G18552=CONFIG_METADATA!$B$4),IF(DATOS!$G18552="EX",1,IF(DATOS!$G18552="OR",--(COUNTIFS(nNIA,DATOS!$A18552,nCURSO,DATOS!$D18552,nESPEC,DATOS!$E18552,nASIG,DATOS!$I18552,nEVAL,"EX")=0),0))))</f>
      </c>
      <c r="H18552">
        <f>IF(DATOS!$G18552&lt;&gt;"EX",0,--(COUNTIFS(nNIA,DATOS!$A18552,nCURSO,DATOS!$D18552,nESPEC,DATOS!$E18552,nASIG,DATOS!$I18552,nEVAL,"OR")=0))</f>
      </c>
      <c r="I18552">
        <f>IF(DATOS!$I18552="","",IFERROR(VLOOKUP(DATOS!$I18552,CONFIG_ASIGNATURAS!$B$2:$J$91,9,FALSE()),""))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IF(DATOS!$A18553="",0,IF(CONFIG_METADATA!$B$4&lt;&gt;"OR+EX",--(DATOS!$G18553=CONFIG_METADATA!$B$4),IF(DATOS!$G18553="EX",1,IF(DATOS!$G18553="OR",--(COUNTIFS(nNIA,DATOS!$A18553,nCURSO,DATOS!$D18553,nESPEC,DATOS!$E18553,nASIG,DATOS!$I18553,nEVAL,"EX")=0),0))))</f>
      </c>
      <c r="H18553">
        <f>IF(DATOS!$G18553&lt;&gt;"EX",0,--(COUNTIFS(nNIA,DATOS!$A18553,nCURSO,DATOS!$D18553,nESPEC,DATOS!$E18553,nASIG,DATOS!$I18553,nEVAL,"OR")=0))</f>
      </c>
      <c r="I18553">
        <f>IF(DATOS!$I18553="","",IFERROR(VLOOKUP(DATOS!$I18553,CONFIG_ASIGNATURAS!$B$2:$J$91,9,FALSE()),""))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IF(DATOS!$A18554="",0,IF(CONFIG_METADATA!$B$4&lt;&gt;"OR+EX",--(DATOS!$G18554=CONFIG_METADATA!$B$4),IF(DATOS!$G18554="EX",1,IF(DATOS!$G18554="OR",--(COUNTIFS(nNIA,DATOS!$A18554,nCURSO,DATOS!$D18554,nESPEC,DATOS!$E18554,nASIG,DATOS!$I18554,nEVAL,"EX")=0),0))))</f>
      </c>
      <c r="H18554">
        <f>IF(DATOS!$G18554&lt;&gt;"EX",0,--(COUNTIFS(nNIA,DATOS!$A18554,nCURSO,DATOS!$D18554,nESPEC,DATOS!$E18554,nASIG,DATOS!$I18554,nEVAL,"OR")=0))</f>
      </c>
      <c r="I18554">
        <f>IF(DATOS!$I18554="","",IFERROR(VLOOKUP(DATOS!$I18554,CONFIG_ASIGNATURAS!$B$2:$J$91,9,FALSE()),""))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IF(DATOS!$A18555="",0,IF(CONFIG_METADATA!$B$4&lt;&gt;"OR+EX",--(DATOS!$G18555=CONFIG_METADATA!$B$4),IF(DATOS!$G18555="EX",1,IF(DATOS!$G18555="OR",--(COUNTIFS(nNIA,DATOS!$A18555,nCURSO,DATOS!$D18555,nESPEC,DATOS!$E18555,nASIG,DATOS!$I18555,nEVAL,"EX")=0),0))))</f>
      </c>
      <c r="H18555">
        <f>IF(DATOS!$G18555&lt;&gt;"EX",0,--(COUNTIFS(nNIA,DATOS!$A18555,nCURSO,DATOS!$D18555,nESPEC,DATOS!$E18555,nASIG,DATOS!$I18555,nEVAL,"OR")=0))</f>
      </c>
      <c r="I18555">
        <f>IF(DATOS!$I18555="","",IFERROR(VLOOKUP(DATOS!$I18555,CONFIG_ASIGNATURAS!$B$2:$J$91,9,FALSE()),""))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IF(DATOS!$A18556="",0,IF(CONFIG_METADATA!$B$4&lt;&gt;"OR+EX",--(DATOS!$G18556=CONFIG_METADATA!$B$4),IF(DATOS!$G18556="EX",1,IF(DATOS!$G18556="OR",--(COUNTIFS(nNIA,DATOS!$A18556,nCURSO,DATOS!$D18556,nESPEC,DATOS!$E18556,nASIG,DATOS!$I18556,nEVAL,"EX")=0),0))))</f>
      </c>
      <c r="H18556">
        <f>IF(DATOS!$G18556&lt;&gt;"EX",0,--(COUNTIFS(nNIA,DATOS!$A18556,nCURSO,DATOS!$D18556,nESPEC,DATOS!$E18556,nASIG,DATOS!$I18556,nEVAL,"OR")=0))</f>
      </c>
      <c r="I18556">
        <f>IF(DATOS!$I18556="","",IFERROR(VLOOKUP(DATOS!$I18556,CONFIG_ASIGNATURAS!$B$2:$J$91,9,FALSE()),""))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IF(DATOS!$A18557="",0,IF(CONFIG_METADATA!$B$4&lt;&gt;"OR+EX",--(DATOS!$G18557=CONFIG_METADATA!$B$4),IF(DATOS!$G18557="EX",1,IF(DATOS!$G18557="OR",--(COUNTIFS(nNIA,DATOS!$A18557,nCURSO,DATOS!$D18557,nESPEC,DATOS!$E18557,nASIG,DATOS!$I18557,nEVAL,"EX")=0),0))))</f>
      </c>
      <c r="H18557">
        <f>IF(DATOS!$G18557&lt;&gt;"EX",0,--(COUNTIFS(nNIA,DATOS!$A18557,nCURSO,DATOS!$D18557,nESPEC,DATOS!$E18557,nASIG,DATOS!$I18557,nEVAL,"OR")=0))</f>
      </c>
      <c r="I18557">
        <f>IF(DATOS!$I18557="","",IFERROR(VLOOKUP(DATOS!$I18557,CONFIG_ASIGNATURAS!$B$2:$J$91,9,FALSE()),""))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IF(DATOS!$A18558="",0,IF(CONFIG_METADATA!$B$4&lt;&gt;"OR+EX",--(DATOS!$G18558=CONFIG_METADATA!$B$4),IF(DATOS!$G18558="EX",1,IF(DATOS!$G18558="OR",--(COUNTIFS(nNIA,DATOS!$A18558,nCURSO,DATOS!$D18558,nESPEC,DATOS!$E18558,nASIG,DATOS!$I18558,nEVAL,"EX")=0),0))))</f>
      </c>
      <c r="H18558">
        <f>IF(DATOS!$G18558&lt;&gt;"EX",0,--(COUNTIFS(nNIA,DATOS!$A18558,nCURSO,DATOS!$D18558,nESPEC,DATOS!$E18558,nASIG,DATOS!$I18558,nEVAL,"OR")=0))</f>
      </c>
      <c r="I18558">
        <f>IF(DATOS!$I18558="","",IFERROR(VLOOKUP(DATOS!$I18558,CONFIG_ASIGNATURAS!$B$2:$J$91,9,FALSE()),""))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IF(DATOS!$A18559="",0,IF(CONFIG_METADATA!$B$4&lt;&gt;"OR+EX",--(DATOS!$G18559=CONFIG_METADATA!$B$4),IF(DATOS!$G18559="EX",1,IF(DATOS!$G18559="OR",--(COUNTIFS(nNIA,DATOS!$A18559,nCURSO,DATOS!$D18559,nESPEC,DATOS!$E18559,nASIG,DATOS!$I18559,nEVAL,"EX")=0),0))))</f>
      </c>
      <c r="H18559">
        <f>IF(DATOS!$G18559&lt;&gt;"EX",0,--(COUNTIFS(nNIA,DATOS!$A18559,nCURSO,DATOS!$D18559,nESPEC,DATOS!$E18559,nASIG,DATOS!$I18559,nEVAL,"OR")=0))</f>
      </c>
      <c r="I18559">
        <f>IF(DATOS!$I18559="","",IFERROR(VLOOKUP(DATOS!$I18559,CONFIG_ASIGNATURAS!$B$2:$J$91,9,FALSE()),""))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IF(DATOS!$A18560="",0,IF(CONFIG_METADATA!$B$4&lt;&gt;"OR+EX",--(DATOS!$G18560=CONFIG_METADATA!$B$4),IF(DATOS!$G18560="EX",1,IF(DATOS!$G18560="OR",--(COUNTIFS(nNIA,DATOS!$A18560,nCURSO,DATOS!$D18560,nESPEC,DATOS!$E18560,nASIG,DATOS!$I18560,nEVAL,"EX")=0),0))))</f>
      </c>
      <c r="H18560">
        <f>IF(DATOS!$G18560&lt;&gt;"EX",0,--(COUNTIFS(nNIA,DATOS!$A18560,nCURSO,DATOS!$D18560,nESPEC,DATOS!$E18560,nASIG,DATOS!$I18560,nEVAL,"OR")=0))</f>
      </c>
      <c r="I18560">
        <f>IF(DATOS!$I18560="","",IFERROR(VLOOKUP(DATOS!$I18560,CONFIG_ASIGNATURAS!$B$2:$J$91,9,FALSE()),""))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IF(DATOS!$A18561="",0,IF(CONFIG_METADATA!$B$4&lt;&gt;"OR+EX",--(DATOS!$G18561=CONFIG_METADATA!$B$4),IF(DATOS!$G18561="EX",1,IF(DATOS!$G18561="OR",--(COUNTIFS(nNIA,DATOS!$A18561,nCURSO,DATOS!$D18561,nESPEC,DATOS!$E18561,nASIG,DATOS!$I18561,nEVAL,"EX")=0),0))))</f>
      </c>
      <c r="H18561">
        <f>IF(DATOS!$G18561&lt;&gt;"EX",0,--(COUNTIFS(nNIA,DATOS!$A18561,nCURSO,DATOS!$D18561,nESPEC,DATOS!$E18561,nASIG,DATOS!$I18561,nEVAL,"OR")=0))</f>
      </c>
      <c r="I18561">
        <f>IF(DATOS!$I18561="","",IFERROR(VLOOKUP(DATOS!$I18561,CONFIG_ASIGNATURAS!$B$2:$J$91,9,FALSE()),""))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IF(DATOS!$A18562="",0,IF(CONFIG_METADATA!$B$4&lt;&gt;"OR+EX",--(DATOS!$G18562=CONFIG_METADATA!$B$4),IF(DATOS!$G18562="EX",1,IF(DATOS!$G18562="OR",--(COUNTIFS(nNIA,DATOS!$A18562,nCURSO,DATOS!$D18562,nESPEC,DATOS!$E18562,nASIG,DATOS!$I18562,nEVAL,"EX")=0),0))))</f>
      </c>
      <c r="H18562">
        <f>IF(DATOS!$G18562&lt;&gt;"EX",0,--(COUNTIFS(nNIA,DATOS!$A18562,nCURSO,DATOS!$D18562,nESPEC,DATOS!$E18562,nASIG,DATOS!$I18562,nEVAL,"OR")=0))</f>
      </c>
      <c r="I18562">
        <f>IF(DATOS!$I18562="","",IFERROR(VLOOKUP(DATOS!$I18562,CONFIG_ASIGNATURAS!$B$2:$J$91,9,FALSE()),""))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IF(DATOS!$A18563="",0,IF(CONFIG_METADATA!$B$4&lt;&gt;"OR+EX",--(DATOS!$G18563=CONFIG_METADATA!$B$4),IF(DATOS!$G18563="EX",1,IF(DATOS!$G18563="OR",--(COUNTIFS(nNIA,DATOS!$A18563,nCURSO,DATOS!$D18563,nESPEC,DATOS!$E18563,nASIG,DATOS!$I18563,nEVAL,"EX")=0),0))))</f>
      </c>
      <c r="H18563">
        <f>IF(DATOS!$G18563&lt;&gt;"EX",0,--(COUNTIFS(nNIA,DATOS!$A18563,nCURSO,DATOS!$D18563,nESPEC,DATOS!$E18563,nASIG,DATOS!$I18563,nEVAL,"OR")=0))</f>
      </c>
      <c r="I18563">
        <f>IF(DATOS!$I18563="","",IFERROR(VLOOKUP(DATOS!$I18563,CONFIG_ASIGNATURAS!$B$2:$J$91,9,FALSE()),""))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IF(DATOS!$A18564="",0,IF(CONFIG_METADATA!$B$4&lt;&gt;"OR+EX",--(DATOS!$G18564=CONFIG_METADATA!$B$4),IF(DATOS!$G18564="EX",1,IF(DATOS!$G18564="OR",--(COUNTIFS(nNIA,DATOS!$A18564,nCURSO,DATOS!$D18564,nESPEC,DATOS!$E18564,nASIG,DATOS!$I18564,nEVAL,"EX")=0),0))))</f>
      </c>
      <c r="H18564">
        <f>IF(DATOS!$G18564&lt;&gt;"EX",0,--(COUNTIFS(nNIA,DATOS!$A18564,nCURSO,DATOS!$D18564,nESPEC,DATOS!$E18564,nASIG,DATOS!$I18564,nEVAL,"OR")=0))</f>
      </c>
      <c r="I18564">
        <f>IF(DATOS!$I18564="","",IFERROR(VLOOKUP(DATOS!$I18564,CONFIG_ASIGNATURAS!$B$2:$J$91,9,FALSE()),""))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IF(DATOS!$A18565="",0,IF(CONFIG_METADATA!$B$4&lt;&gt;"OR+EX",--(DATOS!$G18565=CONFIG_METADATA!$B$4),IF(DATOS!$G18565="EX",1,IF(DATOS!$G18565="OR",--(COUNTIFS(nNIA,DATOS!$A18565,nCURSO,DATOS!$D18565,nESPEC,DATOS!$E18565,nASIG,DATOS!$I18565,nEVAL,"EX")=0),0))))</f>
      </c>
      <c r="H18565">
        <f>IF(DATOS!$G18565&lt;&gt;"EX",0,--(COUNTIFS(nNIA,DATOS!$A18565,nCURSO,DATOS!$D18565,nESPEC,DATOS!$E18565,nASIG,DATOS!$I18565,nEVAL,"OR")=0))</f>
      </c>
      <c r="I18565">
        <f>IF(DATOS!$I18565="","",IFERROR(VLOOKUP(DATOS!$I18565,CONFIG_ASIGNATURAS!$B$2:$J$91,9,FALSE()),""))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IF(DATOS!$A18566="",0,IF(CONFIG_METADATA!$B$4&lt;&gt;"OR+EX",--(DATOS!$G18566=CONFIG_METADATA!$B$4),IF(DATOS!$G18566="EX",1,IF(DATOS!$G18566="OR",--(COUNTIFS(nNIA,DATOS!$A18566,nCURSO,DATOS!$D18566,nESPEC,DATOS!$E18566,nASIG,DATOS!$I18566,nEVAL,"EX")=0),0))))</f>
      </c>
      <c r="H18566">
        <f>IF(DATOS!$G18566&lt;&gt;"EX",0,--(COUNTIFS(nNIA,DATOS!$A18566,nCURSO,DATOS!$D18566,nESPEC,DATOS!$E18566,nASIG,DATOS!$I18566,nEVAL,"OR")=0))</f>
      </c>
      <c r="I18566">
        <f>IF(DATOS!$I18566="","",IFERROR(VLOOKUP(DATOS!$I18566,CONFIG_ASIGNATURAS!$B$2:$J$91,9,FALSE()),""))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IF(DATOS!$A18567="",0,IF(CONFIG_METADATA!$B$4&lt;&gt;"OR+EX",--(DATOS!$G18567=CONFIG_METADATA!$B$4),IF(DATOS!$G18567="EX",1,IF(DATOS!$G18567="OR",--(COUNTIFS(nNIA,DATOS!$A18567,nCURSO,DATOS!$D18567,nESPEC,DATOS!$E18567,nASIG,DATOS!$I18567,nEVAL,"EX")=0),0))))</f>
      </c>
      <c r="H18567">
        <f>IF(DATOS!$G18567&lt;&gt;"EX",0,--(COUNTIFS(nNIA,DATOS!$A18567,nCURSO,DATOS!$D18567,nESPEC,DATOS!$E18567,nASIG,DATOS!$I18567,nEVAL,"OR")=0))</f>
      </c>
      <c r="I18567">
        <f>IF(DATOS!$I18567="","",IFERROR(VLOOKUP(DATOS!$I18567,CONFIG_ASIGNATURAS!$B$2:$J$91,9,FALSE()),""))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IF(DATOS!$A18568="",0,IF(CONFIG_METADATA!$B$4&lt;&gt;"OR+EX",--(DATOS!$G18568=CONFIG_METADATA!$B$4),IF(DATOS!$G18568="EX",1,IF(DATOS!$G18568="OR",--(COUNTIFS(nNIA,DATOS!$A18568,nCURSO,DATOS!$D18568,nESPEC,DATOS!$E18568,nASIG,DATOS!$I18568,nEVAL,"EX")=0),0))))</f>
      </c>
      <c r="H18568">
        <f>IF(DATOS!$G18568&lt;&gt;"EX",0,--(COUNTIFS(nNIA,DATOS!$A18568,nCURSO,DATOS!$D18568,nESPEC,DATOS!$E18568,nASIG,DATOS!$I18568,nEVAL,"OR")=0))</f>
      </c>
      <c r="I18568">
        <f>IF(DATOS!$I18568="","",IFERROR(VLOOKUP(DATOS!$I18568,CONFIG_ASIGNATURAS!$B$2:$J$91,9,FALSE()),""))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IF(DATOS!$A18569="",0,IF(CONFIG_METADATA!$B$4&lt;&gt;"OR+EX",--(DATOS!$G18569=CONFIG_METADATA!$B$4),IF(DATOS!$G18569="EX",1,IF(DATOS!$G18569="OR",--(COUNTIFS(nNIA,DATOS!$A18569,nCURSO,DATOS!$D18569,nESPEC,DATOS!$E18569,nASIG,DATOS!$I18569,nEVAL,"EX")=0),0))))</f>
      </c>
      <c r="H18569">
        <f>IF(DATOS!$G18569&lt;&gt;"EX",0,--(COUNTIFS(nNIA,DATOS!$A18569,nCURSO,DATOS!$D18569,nESPEC,DATOS!$E18569,nASIG,DATOS!$I18569,nEVAL,"OR")=0))</f>
      </c>
      <c r="I18569">
        <f>IF(DATOS!$I18569="","",IFERROR(VLOOKUP(DATOS!$I18569,CONFIG_ASIGNATURAS!$B$2:$J$91,9,FALSE()),""))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IF(DATOS!$A18570="",0,IF(CONFIG_METADATA!$B$4&lt;&gt;"OR+EX",--(DATOS!$G18570=CONFIG_METADATA!$B$4),IF(DATOS!$G18570="EX",1,IF(DATOS!$G18570="OR",--(COUNTIFS(nNIA,DATOS!$A18570,nCURSO,DATOS!$D18570,nESPEC,DATOS!$E18570,nASIG,DATOS!$I18570,nEVAL,"EX")=0),0))))</f>
      </c>
      <c r="H18570">
        <f>IF(DATOS!$G18570&lt;&gt;"EX",0,--(COUNTIFS(nNIA,DATOS!$A18570,nCURSO,DATOS!$D18570,nESPEC,DATOS!$E18570,nASIG,DATOS!$I18570,nEVAL,"OR")=0))</f>
      </c>
      <c r="I18570">
        <f>IF(DATOS!$I18570="","",IFERROR(VLOOKUP(DATOS!$I18570,CONFIG_ASIGNATURAS!$B$2:$J$91,9,FALSE()),""))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IF(DATOS!$A18571="",0,IF(CONFIG_METADATA!$B$4&lt;&gt;"OR+EX",--(DATOS!$G18571=CONFIG_METADATA!$B$4),IF(DATOS!$G18571="EX",1,IF(DATOS!$G18571="OR",--(COUNTIFS(nNIA,DATOS!$A18571,nCURSO,DATOS!$D18571,nESPEC,DATOS!$E18571,nASIG,DATOS!$I18571,nEVAL,"EX")=0),0))))</f>
      </c>
      <c r="H18571">
        <f>IF(DATOS!$G18571&lt;&gt;"EX",0,--(COUNTIFS(nNIA,DATOS!$A18571,nCURSO,DATOS!$D18571,nESPEC,DATOS!$E18571,nASIG,DATOS!$I18571,nEVAL,"OR")=0))</f>
      </c>
      <c r="I18571">
        <f>IF(DATOS!$I18571="","",IFERROR(VLOOKUP(DATOS!$I18571,CONFIG_ASIGNATURAS!$B$2:$J$91,9,FALSE()),""))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IF(DATOS!$A18572="",0,IF(CONFIG_METADATA!$B$4&lt;&gt;"OR+EX",--(DATOS!$G18572=CONFIG_METADATA!$B$4),IF(DATOS!$G18572="EX",1,IF(DATOS!$G18572="OR",--(COUNTIFS(nNIA,DATOS!$A18572,nCURSO,DATOS!$D18572,nESPEC,DATOS!$E18572,nASIG,DATOS!$I18572,nEVAL,"EX")=0),0))))</f>
      </c>
      <c r="H18572">
        <f>IF(DATOS!$G18572&lt;&gt;"EX",0,--(COUNTIFS(nNIA,DATOS!$A18572,nCURSO,DATOS!$D18572,nESPEC,DATOS!$E18572,nASIG,DATOS!$I18572,nEVAL,"OR")=0))</f>
      </c>
      <c r="I18572">
        <f>IF(DATOS!$I18572="","",IFERROR(VLOOKUP(DATOS!$I18572,CONFIG_ASIGNATURAS!$B$2:$J$91,9,FALSE()),""))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IF(DATOS!$A18573="",0,IF(CONFIG_METADATA!$B$4&lt;&gt;"OR+EX",--(DATOS!$G18573=CONFIG_METADATA!$B$4),IF(DATOS!$G18573="EX",1,IF(DATOS!$G18573="OR",--(COUNTIFS(nNIA,DATOS!$A18573,nCURSO,DATOS!$D18573,nESPEC,DATOS!$E18573,nASIG,DATOS!$I18573,nEVAL,"EX")=0),0))))</f>
      </c>
      <c r="H18573">
        <f>IF(DATOS!$G18573&lt;&gt;"EX",0,--(COUNTIFS(nNIA,DATOS!$A18573,nCURSO,DATOS!$D18573,nESPEC,DATOS!$E18573,nASIG,DATOS!$I18573,nEVAL,"OR")=0))</f>
      </c>
      <c r="I18573">
        <f>IF(DATOS!$I18573="","",IFERROR(VLOOKUP(DATOS!$I18573,CONFIG_ASIGNATURAS!$B$2:$J$91,9,FALSE()),""))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IF(DATOS!$A18574="",0,IF(CONFIG_METADATA!$B$4&lt;&gt;"OR+EX",--(DATOS!$G18574=CONFIG_METADATA!$B$4),IF(DATOS!$G18574="EX",1,IF(DATOS!$G18574="OR",--(COUNTIFS(nNIA,DATOS!$A18574,nCURSO,DATOS!$D18574,nESPEC,DATOS!$E18574,nASIG,DATOS!$I18574,nEVAL,"EX")=0),0))))</f>
      </c>
      <c r="H18574">
        <f>IF(DATOS!$G18574&lt;&gt;"EX",0,--(COUNTIFS(nNIA,DATOS!$A18574,nCURSO,DATOS!$D18574,nESPEC,DATOS!$E18574,nASIG,DATOS!$I18574,nEVAL,"OR")=0))</f>
      </c>
      <c r="I18574">
        <f>IF(DATOS!$I18574="","",IFERROR(VLOOKUP(DATOS!$I18574,CONFIG_ASIGNATURAS!$B$2:$J$91,9,FALSE()),""))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IF(DATOS!$A18575="",0,IF(CONFIG_METADATA!$B$4&lt;&gt;"OR+EX",--(DATOS!$G18575=CONFIG_METADATA!$B$4),IF(DATOS!$G18575="EX",1,IF(DATOS!$G18575="OR",--(COUNTIFS(nNIA,DATOS!$A18575,nCURSO,DATOS!$D18575,nESPEC,DATOS!$E18575,nASIG,DATOS!$I18575,nEVAL,"EX")=0),0))))</f>
      </c>
      <c r="H18575">
        <f>IF(DATOS!$G18575&lt;&gt;"EX",0,--(COUNTIFS(nNIA,DATOS!$A18575,nCURSO,DATOS!$D18575,nESPEC,DATOS!$E18575,nASIG,DATOS!$I18575,nEVAL,"OR")=0))</f>
      </c>
      <c r="I18575">
        <f>IF(DATOS!$I18575="","",IFERROR(VLOOKUP(DATOS!$I18575,CONFIG_ASIGNATURAS!$B$2:$J$91,9,FALSE()),""))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IF(DATOS!$A18576="",0,IF(CONFIG_METADATA!$B$4&lt;&gt;"OR+EX",--(DATOS!$G18576=CONFIG_METADATA!$B$4),IF(DATOS!$G18576="EX",1,IF(DATOS!$G18576="OR",--(COUNTIFS(nNIA,DATOS!$A18576,nCURSO,DATOS!$D18576,nESPEC,DATOS!$E18576,nASIG,DATOS!$I18576,nEVAL,"EX")=0),0))))</f>
      </c>
      <c r="H18576">
        <f>IF(DATOS!$G18576&lt;&gt;"EX",0,--(COUNTIFS(nNIA,DATOS!$A18576,nCURSO,DATOS!$D18576,nESPEC,DATOS!$E18576,nASIG,DATOS!$I18576,nEVAL,"OR")=0))</f>
      </c>
      <c r="I18576">
        <f>IF(DATOS!$I18576="","",IFERROR(VLOOKUP(DATOS!$I18576,CONFIG_ASIGNATURAS!$B$2:$J$91,9,FALSE()),""))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IF(DATOS!$A18577="",0,IF(CONFIG_METADATA!$B$4&lt;&gt;"OR+EX",--(DATOS!$G18577=CONFIG_METADATA!$B$4),IF(DATOS!$G18577="EX",1,IF(DATOS!$G18577="OR",--(COUNTIFS(nNIA,DATOS!$A18577,nCURSO,DATOS!$D18577,nESPEC,DATOS!$E18577,nASIG,DATOS!$I18577,nEVAL,"EX")=0),0))))</f>
      </c>
      <c r="H18577">
        <f>IF(DATOS!$G18577&lt;&gt;"EX",0,--(COUNTIFS(nNIA,DATOS!$A18577,nCURSO,DATOS!$D18577,nESPEC,DATOS!$E18577,nASIG,DATOS!$I18577,nEVAL,"OR")=0))</f>
      </c>
      <c r="I18577">
        <f>IF(DATOS!$I18577="","",IFERROR(VLOOKUP(DATOS!$I18577,CONFIG_ASIGNATURAS!$B$2:$J$91,9,FALSE()),""))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IF(DATOS!$A18578="",0,IF(CONFIG_METADATA!$B$4&lt;&gt;"OR+EX",--(DATOS!$G18578=CONFIG_METADATA!$B$4),IF(DATOS!$G18578="EX",1,IF(DATOS!$G18578="OR",--(COUNTIFS(nNIA,DATOS!$A18578,nCURSO,DATOS!$D18578,nESPEC,DATOS!$E18578,nASIG,DATOS!$I18578,nEVAL,"EX")=0),0))))</f>
      </c>
      <c r="H18578">
        <f>IF(DATOS!$G18578&lt;&gt;"EX",0,--(COUNTIFS(nNIA,DATOS!$A18578,nCURSO,DATOS!$D18578,nESPEC,DATOS!$E18578,nASIG,DATOS!$I18578,nEVAL,"OR")=0))</f>
      </c>
      <c r="I18578">
        <f>IF(DATOS!$I18578="","",IFERROR(VLOOKUP(DATOS!$I18578,CONFIG_ASIGNATURAS!$B$2:$J$91,9,FALSE()),""))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IF(DATOS!$A18579="",0,IF(CONFIG_METADATA!$B$4&lt;&gt;"OR+EX",--(DATOS!$G18579=CONFIG_METADATA!$B$4),IF(DATOS!$G18579="EX",1,IF(DATOS!$G18579="OR",--(COUNTIFS(nNIA,DATOS!$A18579,nCURSO,DATOS!$D18579,nESPEC,DATOS!$E18579,nASIG,DATOS!$I18579,nEVAL,"EX")=0),0))))</f>
      </c>
      <c r="H18579">
        <f>IF(DATOS!$G18579&lt;&gt;"EX",0,--(COUNTIFS(nNIA,DATOS!$A18579,nCURSO,DATOS!$D18579,nESPEC,DATOS!$E18579,nASIG,DATOS!$I18579,nEVAL,"OR")=0))</f>
      </c>
      <c r="I18579">
        <f>IF(DATOS!$I18579="","",IFERROR(VLOOKUP(DATOS!$I18579,CONFIG_ASIGNATURAS!$B$2:$J$91,9,FALSE()),""))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IF(DATOS!$A18580="",0,IF(CONFIG_METADATA!$B$4&lt;&gt;"OR+EX",--(DATOS!$G18580=CONFIG_METADATA!$B$4),IF(DATOS!$G18580="EX",1,IF(DATOS!$G18580="OR",--(COUNTIFS(nNIA,DATOS!$A18580,nCURSO,DATOS!$D18580,nESPEC,DATOS!$E18580,nASIG,DATOS!$I18580,nEVAL,"EX")=0),0))))</f>
      </c>
      <c r="H18580">
        <f>IF(DATOS!$G18580&lt;&gt;"EX",0,--(COUNTIFS(nNIA,DATOS!$A18580,nCURSO,DATOS!$D18580,nESPEC,DATOS!$E18580,nASIG,DATOS!$I18580,nEVAL,"OR")=0))</f>
      </c>
      <c r="I18580">
        <f>IF(DATOS!$I18580="","",IFERROR(VLOOKUP(DATOS!$I18580,CONFIG_ASIGNATURAS!$B$2:$J$91,9,FALSE()),""))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IF(DATOS!$A18581="",0,IF(CONFIG_METADATA!$B$4&lt;&gt;"OR+EX",--(DATOS!$G18581=CONFIG_METADATA!$B$4),IF(DATOS!$G18581="EX",1,IF(DATOS!$G18581="OR",--(COUNTIFS(nNIA,DATOS!$A18581,nCURSO,DATOS!$D18581,nESPEC,DATOS!$E18581,nASIG,DATOS!$I18581,nEVAL,"EX")=0),0))))</f>
      </c>
      <c r="H18581">
        <f>IF(DATOS!$G18581&lt;&gt;"EX",0,--(COUNTIFS(nNIA,DATOS!$A18581,nCURSO,DATOS!$D18581,nESPEC,DATOS!$E18581,nASIG,DATOS!$I18581,nEVAL,"OR")=0))</f>
      </c>
      <c r="I18581">
        <f>IF(DATOS!$I18581="","",IFERROR(VLOOKUP(DATOS!$I18581,CONFIG_ASIGNATURAS!$B$2:$J$91,9,FALSE()),""))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IF(DATOS!$A18582="",0,IF(CONFIG_METADATA!$B$4&lt;&gt;"OR+EX",--(DATOS!$G18582=CONFIG_METADATA!$B$4),IF(DATOS!$G18582="EX",1,IF(DATOS!$G18582="OR",--(COUNTIFS(nNIA,DATOS!$A18582,nCURSO,DATOS!$D18582,nESPEC,DATOS!$E18582,nASIG,DATOS!$I18582,nEVAL,"EX")=0),0))))</f>
      </c>
      <c r="H18582">
        <f>IF(DATOS!$G18582&lt;&gt;"EX",0,--(COUNTIFS(nNIA,DATOS!$A18582,nCURSO,DATOS!$D18582,nESPEC,DATOS!$E18582,nASIG,DATOS!$I18582,nEVAL,"OR")=0))</f>
      </c>
      <c r="I18582">
        <f>IF(DATOS!$I18582="","",IFERROR(VLOOKUP(DATOS!$I18582,CONFIG_ASIGNATURAS!$B$2:$J$91,9,FALSE()),""))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IF(DATOS!$A18583="",0,IF(CONFIG_METADATA!$B$4&lt;&gt;"OR+EX",--(DATOS!$G18583=CONFIG_METADATA!$B$4),IF(DATOS!$G18583="EX",1,IF(DATOS!$G18583="OR",--(COUNTIFS(nNIA,DATOS!$A18583,nCURSO,DATOS!$D18583,nESPEC,DATOS!$E18583,nASIG,DATOS!$I18583,nEVAL,"EX")=0),0))))</f>
      </c>
      <c r="H18583">
        <f>IF(DATOS!$G18583&lt;&gt;"EX",0,--(COUNTIFS(nNIA,DATOS!$A18583,nCURSO,DATOS!$D18583,nESPEC,DATOS!$E18583,nASIG,DATOS!$I18583,nEVAL,"OR")=0))</f>
      </c>
      <c r="I18583">
        <f>IF(DATOS!$I18583="","",IFERROR(VLOOKUP(DATOS!$I18583,CONFIG_ASIGNATURAS!$B$2:$J$91,9,FALSE()),""))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IF(DATOS!$A18584="",0,IF(CONFIG_METADATA!$B$4&lt;&gt;"OR+EX",--(DATOS!$G18584=CONFIG_METADATA!$B$4),IF(DATOS!$G18584="EX",1,IF(DATOS!$G18584="OR",--(COUNTIFS(nNIA,DATOS!$A18584,nCURSO,DATOS!$D18584,nESPEC,DATOS!$E18584,nASIG,DATOS!$I18584,nEVAL,"EX")=0),0))))</f>
      </c>
      <c r="H18584">
        <f>IF(DATOS!$G18584&lt;&gt;"EX",0,--(COUNTIFS(nNIA,DATOS!$A18584,nCURSO,DATOS!$D18584,nESPEC,DATOS!$E18584,nASIG,DATOS!$I18584,nEVAL,"OR")=0))</f>
      </c>
      <c r="I18584">
        <f>IF(DATOS!$I18584="","",IFERROR(VLOOKUP(DATOS!$I18584,CONFIG_ASIGNATURAS!$B$2:$J$91,9,FALSE()),""))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IF(DATOS!$A18585="",0,IF(CONFIG_METADATA!$B$4&lt;&gt;"OR+EX",--(DATOS!$G18585=CONFIG_METADATA!$B$4),IF(DATOS!$G18585="EX",1,IF(DATOS!$G18585="OR",--(COUNTIFS(nNIA,DATOS!$A18585,nCURSO,DATOS!$D18585,nESPEC,DATOS!$E18585,nASIG,DATOS!$I18585,nEVAL,"EX")=0),0))))</f>
      </c>
      <c r="H18585">
        <f>IF(DATOS!$G18585&lt;&gt;"EX",0,--(COUNTIFS(nNIA,DATOS!$A18585,nCURSO,DATOS!$D18585,nESPEC,DATOS!$E18585,nASIG,DATOS!$I18585,nEVAL,"OR")=0))</f>
      </c>
      <c r="I18585">
        <f>IF(DATOS!$I18585="","",IFERROR(VLOOKUP(DATOS!$I18585,CONFIG_ASIGNATURAS!$B$2:$J$91,9,FALSE()),""))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IF(DATOS!$A18586="",0,IF(CONFIG_METADATA!$B$4&lt;&gt;"OR+EX",--(DATOS!$G18586=CONFIG_METADATA!$B$4),IF(DATOS!$G18586="EX",1,IF(DATOS!$G18586="OR",--(COUNTIFS(nNIA,DATOS!$A18586,nCURSO,DATOS!$D18586,nESPEC,DATOS!$E18586,nASIG,DATOS!$I18586,nEVAL,"EX")=0),0))))</f>
      </c>
      <c r="H18586">
        <f>IF(DATOS!$G18586&lt;&gt;"EX",0,--(COUNTIFS(nNIA,DATOS!$A18586,nCURSO,DATOS!$D18586,nESPEC,DATOS!$E18586,nASIG,DATOS!$I18586,nEVAL,"OR")=0))</f>
      </c>
      <c r="I18586">
        <f>IF(DATOS!$I18586="","",IFERROR(VLOOKUP(DATOS!$I18586,CONFIG_ASIGNATURAS!$B$2:$J$91,9,FALSE()),""))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IF(DATOS!$A18587="",0,IF(CONFIG_METADATA!$B$4&lt;&gt;"OR+EX",--(DATOS!$G18587=CONFIG_METADATA!$B$4),IF(DATOS!$G18587="EX",1,IF(DATOS!$G18587="OR",--(COUNTIFS(nNIA,DATOS!$A18587,nCURSO,DATOS!$D18587,nESPEC,DATOS!$E18587,nASIG,DATOS!$I18587,nEVAL,"EX")=0),0))))</f>
      </c>
      <c r="H18587">
        <f>IF(DATOS!$G18587&lt;&gt;"EX",0,--(COUNTIFS(nNIA,DATOS!$A18587,nCURSO,DATOS!$D18587,nESPEC,DATOS!$E18587,nASIG,DATOS!$I18587,nEVAL,"OR")=0))</f>
      </c>
      <c r="I18587">
        <f>IF(DATOS!$I18587="","",IFERROR(VLOOKUP(DATOS!$I18587,CONFIG_ASIGNATURAS!$B$2:$J$91,9,FALSE()),""))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IF(DATOS!$A18588="",0,IF(CONFIG_METADATA!$B$4&lt;&gt;"OR+EX",--(DATOS!$G18588=CONFIG_METADATA!$B$4),IF(DATOS!$G18588="EX",1,IF(DATOS!$G18588="OR",--(COUNTIFS(nNIA,DATOS!$A18588,nCURSO,DATOS!$D18588,nESPEC,DATOS!$E18588,nASIG,DATOS!$I18588,nEVAL,"EX")=0),0))))</f>
      </c>
      <c r="H18588">
        <f>IF(DATOS!$G18588&lt;&gt;"EX",0,--(COUNTIFS(nNIA,DATOS!$A18588,nCURSO,DATOS!$D18588,nESPEC,DATOS!$E18588,nASIG,DATOS!$I18588,nEVAL,"OR")=0))</f>
      </c>
      <c r="I18588">
        <f>IF(DATOS!$I18588="","",IFERROR(VLOOKUP(DATOS!$I18588,CONFIG_ASIGNATURAS!$B$2:$J$91,9,FALSE()),""))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IF(DATOS!$A18589="",0,IF(CONFIG_METADATA!$B$4&lt;&gt;"OR+EX",--(DATOS!$G18589=CONFIG_METADATA!$B$4),IF(DATOS!$G18589="EX",1,IF(DATOS!$G18589="OR",--(COUNTIFS(nNIA,DATOS!$A18589,nCURSO,DATOS!$D18589,nESPEC,DATOS!$E18589,nASIG,DATOS!$I18589,nEVAL,"EX")=0),0))))</f>
      </c>
      <c r="H18589">
        <f>IF(DATOS!$G18589&lt;&gt;"EX",0,--(COUNTIFS(nNIA,DATOS!$A18589,nCURSO,DATOS!$D18589,nESPEC,DATOS!$E18589,nASIG,DATOS!$I18589,nEVAL,"OR")=0))</f>
      </c>
      <c r="I18589">
        <f>IF(DATOS!$I18589="","",IFERROR(VLOOKUP(DATOS!$I18589,CONFIG_ASIGNATURAS!$B$2:$J$91,9,FALSE()),""))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IF(DATOS!$A18590="",0,IF(CONFIG_METADATA!$B$4&lt;&gt;"OR+EX",--(DATOS!$G18590=CONFIG_METADATA!$B$4),IF(DATOS!$G18590="EX",1,IF(DATOS!$G18590="OR",--(COUNTIFS(nNIA,DATOS!$A18590,nCURSO,DATOS!$D18590,nESPEC,DATOS!$E18590,nASIG,DATOS!$I18590,nEVAL,"EX")=0),0))))</f>
      </c>
      <c r="H18590">
        <f>IF(DATOS!$G18590&lt;&gt;"EX",0,--(COUNTIFS(nNIA,DATOS!$A18590,nCURSO,DATOS!$D18590,nESPEC,DATOS!$E18590,nASIG,DATOS!$I18590,nEVAL,"OR")=0))</f>
      </c>
      <c r="I18590">
        <f>IF(DATOS!$I18590="","",IFERROR(VLOOKUP(DATOS!$I18590,CONFIG_ASIGNATURAS!$B$2:$J$91,9,FALSE()),""))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IF(DATOS!$A18591="",0,IF(CONFIG_METADATA!$B$4&lt;&gt;"OR+EX",--(DATOS!$G18591=CONFIG_METADATA!$B$4),IF(DATOS!$G18591="EX",1,IF(DATOS!$G18591="OR",--(COUNTIFS(nNIA,DATOS!$A18591,nCURSO,DATOS!$D18591,nESPEC,DATOS!$E18591,nASIG,DATOS!$I18591,nEVAL,"EX")=0),0))))</f>
      </c>
      <c r="H18591">
        <f>IF(DATOS!$G18591&lt;&gt;"EX",0,--(COUNTIFS(nNIA,DATOS!$A18591,nCURSO,DATOS!$D18591,nESPEC,DATOS!$E18591,nASIG,DATOS!$I18591,nEVAL,"OR")=0))</f>
      </c>
      <c r="I18591">
        <f>IF(DATOS!$I18591="","",IFERROR(VLOOKUP(DATOS!$I18591,CONFIG_ASIGNATURAS!$B$2:$J$91,9,FALSE()),""))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IF(DATOS!$A18592="",0,IF(CONFIG_METADATA!$B$4&lt;&gt;"OR+EX",--(DATOS!$G18592=CONFIG_METADATA!$B$4),IF(DATOS!$G18592="EX",1,IF(DATOS!$G18592="OR",--(COUNTIFS(nNIA,DATOS!$A18592,nCURSO,DATOS!$D18592,nESPEC,DATOS!$E18592,nASIG,DATOS!$I18592,nEVAL,"EX")=0),0))))</f>
      </c>
      <c r="H18592">
        <f>IF(DATOS!$G18592&lt;&gt;"EX",0,--(COUNTIFS(nNIA,DATOS!$A18592,nCURSO,DATOS!$D18592,nESPEC,DATOS!$E18592,nASIG,DATOS!$I18592,nEVAL,"OR")=0))</f>
      </c>
      <c r="I18592">
        <f>IF(DATOS!$I18592="","",IFERROR(VLOOKUP(DATOS!$I18592,CONFIG_ASIGNATURAS!$B$2:$J$91,9,FALSE()),""))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IF(DATOS!$A18593="",0,IF(CONFIG_METADATA!$B$4&lt;&gt;"OR+EX",--(DATOS!$G18593=CONFIG_METADATA!$B$4),IF(DATOS!$G18593="EX",1,IF(DATOS!$G18593="OR",--(COUNTIFS(nNIA,DATOS!$A18593,nCURSO,DATOS!$D18593,nESPEC,DATOS!$E18593,nASIG,DATOS!$I18593,nEVAL,"EX")=0),0))))</f>
      </c>
      <c r="H18593">
        <f>IF(DATOS!$G18593&lt;&gt;"EX",0,--(COUNTIFS(nNIA,DATOS!$A18593,nCURSO,DATOS!$D18593,nESPEC,DATOS!$E18593,nASIG,DATOS!$I18593,nEVAL,"OR")=0))</f>
      </c>
      <c r="I18593">
        <f>IF(DATOS!$I18593="","",IFERROR(VLOOKUP(DATOS!$I18593,CONFIG_ASIGNATURAS!$B$2:$J$91,9,FALSE()),""))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IF(DATOS!$A18594="",0,IF(CONFIG_METADATA!$B$4&lt;&gt;"OR+EX",--(DATOS!$G18594=CONFIG_METADATA!$B$4),IF(DATOS!$G18594="EX",1,IF(DATOS!$G18594="OR",--(COUNTIFS(nNIA,DATOS!$A18594,nCURSO,DATOS!$D18594,nESPEC,DATOS!$E18594,nASIG,DATOS!$I18594,nEVAL,"EX")=0),0))))</f>
      </c>
      <c r="H18594">
        <f>IF(DATOS!$G18594&lt;&gt;"EX",0,--(COUNTIFS(nNIA,DATOS!$A18594,nCURSO,DATOS!$D18594,nESPEC,DATOS!$E18594,nASIG,DATOS!$I18594,nEVAL,"OR")=0))</f>
      </c>
      <c r="I18594">
        <f>IF(DATOS!$I18594="","",IFERROR(VLOOKUP(DATOS!$I18594,CONFIG_ASIGNATURAS!$B$2:$J$91,9,FALSE()),""))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IF(DATOS!$A18595="",0,IF(CONFIG_METADATA!$B$4&lt;&gt;"OR+EX",--(DATOS!$G18595=CONFIG_METADATA!$B$4),IF(DATOS!$G18595="EX",1,IF(DATOS!$G18595="OR",--(COUNTIFS(nNIA,DATOS!$A18595,nCURSO,DATOS!$D18595,nESPEC,DATOS!$E18595,nASIG,DATOS!$I18595,nEVAL,"EX")=0),0))))</f>
      </c>
      <c r="H18595">
        <f>IF(DATOS!$G18595&lt;&gt;"EX",0,--(COUNTIFS(nNIA,DATOS!$A18595,nCURSO,DATOS!$D18595,nESPEC,DATOS!$E18595,nASIG,DATOS!$I18595,nEVAL,"OR")=0))</f>
      </c>
      <c r="I18595">
        <f>IF(DATOS!$I18595="","",IFERROR(VLOOKUP(DATOS!$I18595,CONFIG_ASIGNATURAS!$B$2:$J$91,9,FALSE()),""))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IF(DATOS!$A18596="",0,IF(CONFIG_METADATA!$B$4&lt;&gt;"OR+EX",--(DATOS!$G18596=CONFIG_METADATA!$B$4),IF(DATOS!$G18596="EX",1,IF(DATOS!$G18596="OR",--(COUNTIFS(nNIA,DATOS!$A18596,nCURSO,DATOS!$D18596,nESPEC,DATOS!$E18596,nASIG,DATOS!$I18596,nEVAL,"EX")=0),0))))</f>
      </c>
      <c r="H18596">
        <f>IF(DATOS!$G18596&lt;&gt;"EX",0,--(COUNTIFS(nNIA,DATOS!$A18596,nCURSO,DATOS!$D18596,nESPEC,DATOS!$E18596,nASIG,DATOS!$I18596,nEVAL,"OR")=0))</f>
      </c>
      <c r="I18596">
        <f>IF(DATOS!$I18596="","",IFERROR(VLOOKUP(DATOS!$I18596,CONFIG_ASIGNATURAS!$B$2:$J$91,9,FALSE()),""))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IF(DATOS!$A18597="",0,IF(CONFIG_METADATA!$B$4&lt;&gt;"OR+EX",--(DATOS!$G18597=CONFIG_METADATA!$B$4),IF(DATOS!$G18597="EX",1,IF(DATOS!$G18597="OR",--(COUNTIFS(nNIA,DATOS!$A18597,nCURSO,DATOS!$D18597,nESPEC,DATOS!$E18597,nASIG,DATOS!$I18597,nEVAL,"EX")=0),0))))</f>
      </c>
      <c r="H18597">
        <f>IF(DATOS!$G18597&lt;&gt;"EX",0,--(COUNTIFS(nNIA,DATOS!$A18597,nCURSO,DATOS!$D18597,nESPEC,DATOS!$E18597,nASIG,DATOS!$I18597,nEVAL,"OR")=0))</f>
      </c>
      <c r="I18597">
        <f>IF(DATOS!$I18597="","",IFERROR(VLOOKUP(DATOS!$I18597,CONFIG_ASIGNATURAS!$B$2:$J$91,9,FALSE()),""))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IF(DATOS!$A18598="",0,IF(CONFIG_METADATA!$B$4&lt;&gt;"OR+EX",--(DATOS!$G18598=CONFIG_METADATA!$B$4),IF(DATOS!$G18598="EX",1,IF(DATOS!$G18598="OR",--(COUNTIFS(nNIA,DATOS!$A18598,nCURSO,DATOS!$D18598,nESPEC,DATOS!$E18598,nASIG,DATOS!$I18598,nEVAL,"EX")=0),0))))</f>
      </c>
      <c r="H18598">
        <f>IF(DATOS!$G18598&lt;&gt;"EX",0,--(COUNTIFS(nNIA,DATOS!$A18598,nCURSO,DATOS!$D18598,nESPEC,DATOS!$E18598,nASIG,DATOS!$I18598,nEVAL,"OR")=0))</f>
      </c>
      <c r="I18598">
        <f>IF(DATOS!$I18598="","",IFERROR(VLOOKUP(DATOS!$I18598,CONFIG_ASIGNATURAS!$B$2:$J$91,9,FALSE()),""))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IF(DATOS!$A18599="",0,IF(CONFIG_METADATA!$B$4&lt;&gt;"OR+EX",--(DATOS!$G18599=CONFIG_METADATA!$B$4),IF(DATOS!$G18599="EX",1,IF(DATOS!$G18599="OR",--(COUNTIFS(nNIA,DATOS!$A18599,nCURSO,DATOS!$D18599,nESPEC,DATOS!$E18599,nASIG,DATOS!$I18599,nEVAL,"EX")=0),0))))</f>
      </c>
      <c r="H18599">
        <f>IF(DATOS!$G18599&lt;&gt;"EX",0,--(COUNTIFS(nNIA,DATOS!$A18599,nCURSO,DATOS!$D18599,nESPEC,DATOS!$E18599,nASIG,DATOS!$I18599,nEVAL,"OR")=0))</f>
      </c>
      <c r="I18599">
        <f>IF(DATOS!$I18599="","",IFERROR(VLOOKUP(DATOS!$I18599,CONFIG_ASIGNATURAS!$B$2:$J$91,9,FALSE()),""))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IF(DATOS!$A18600="",0,IF(CONFIG_METADATA!$B$4&lt;&gt;"OR+EX",--(DATOS!$G18600=CONFIG_METADATA!$B$4),IF(DATOS!$G18600="EX",1,IF(DATOS!$G18600="OR",--(COUNTIFS(nNIA,DATOS!$A18600,nCURSO,DATOS!$D18600,nESPEC,DATOS!$E18600,nASIG,DATOS!$I18600,nEVAL,"EX")=0),0))))</f>
      </c>
      <c r="H18600">
        <f>IF(DATOS!$G18600&lt;&gt;"EX",0,--(COUNTIFS(nNIA,DATOS!$A18600,nCURSO,DATOS!$D18600,nESPEC,DATOS!$E18600,nASIG,DATOS!$I18600,nEVAL,"OR")=0))</f>
      </c>
      <c r="I18600">
        <f>IF(DATOS!$I18600="","",IFERROR(VLOOKUP(DATOS!$I18600,CONFIG_ASIGNATURAS!$B$2:$J$91,9,FALSE()),""))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IF(DATOS!$A18601="",0,IF(CONFIG_METADATA!$B$4&lt;&gt;"OR+EX",--(DATOS!$G18601=CONFIG_METADATA!$B$4),IF(DATOS!$G18601="EX",1,IF(DATOS!$G18601="OR",--(COUNTIFS(nNIA,DATOS!$A18601,nCURSO,DATOS!$D18601,nESPEC,DATOS!$E18601,nASIG,DATOS!$I18601,nEVAL,"EX")=0),0))))</f>
      </c>
      <c r="H18601">
        <f>IF(DATOS!$G18601&lt;&gt;"EX",0,--(COUNTIFS(nNIA,DATOS!$A18601,nCURSO,DATOS!$D18601,nESPEC,DATOS!$E18601,nASIG,DATOS!$I18601,nEVAL,"OR")=0))</f>
      </c>
      <c r="I18601">
        <f>IF(DATOS!$I18601="","",IFERROR(VLOOKUP(DATOS!$I18601,CONFIG_ASIGNATURAS!$B$2:$J$91,9,FALSE()),""))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IF(DATOS!$A18602="",0,IF(CONFIG_METADATA!$B$4&lt;&gt;"OR+EX",--(DATOS!$G18602=CONFIG_METADATA!$B$4),IF(DATOS!$G18602="EX",1,IF(DATOS!$G18602="OR",--(COUNTIFS(nNIA,DATOS!$A18602,nCURSO,DATOS!$D18602,nESPEC,DATOS!$E18602,nASIG,DATOS!$I18602,nEVAL,"EX")=0),0))))</f>
      </c>
      <c r="H18602">
        <f>IF(DATOS!$G18602&lt;&gt;"EX",0,--(COUNTIFS(nNIA,DATOS!$A18602,nCURSO,DATOS!$D18602,nESPEC,DATOS!$E18602,nASIG,DATOS!$I18602,nEVAL,"OR")=0))</f>
      </c>
      <c r="I18602">
        <f>IF(DATOS!$I18602="","",IFERROR(VLOOKUP(DATOS!$I18602,CONFIG_ASIGNATURAS!$B$2:$J$91,9,FALSE()),""))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IF(DATOS!$A18603="",0,IF(CONFIG_METADATA!$B$4&lt;&gt;"OR+EX",--(DATOS!$G18603=CONFIG_METADATA!$B$4),IF(DATOS!$G18603="EX",1,IF(DATOS!$G18603="OR",--(COUNTIFS(nNIA,DATOS!$A18603,nCURSO,DATOS!$D18603,nESPEC,DATOS!$E18603,nASIG,DATOS!$I18603,nEVAL,"EX")=0),0))))</f>
      </c>
      <c r="H18603">
        <f>IF(DATOS!$G18603&lt;&gt;"EX",0,--(COUNTIFS(nNIA,DATOS!$A18603,nCURSO,DATOS!$D18603,nESPEC,DATOS!$E18603,nASIG,DATOS!$I18603,nEVAL,"OR")=0))</f>
      </c>
      <c r="I18603">
        <f>IF(DATOS!$I18603="","",IFERROR(VLOOKUP(DATOS!$I18603,CONFIG_ASIGNATURAS!$B$2:$J$91,9,FALSE()),""))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IF(DATOS!$A18604="",0,IF(CONFIG_METADATA!$B$4&lt;&gt;"OR+EX",--(DATOS!$G18604=CONFIG_METADATA!$B$4),IF(DATOS!$G18604="EX",1,IF(DATOS!$G18604="OR",--(COUNTIFS(nNIA,DATOS!$A18604,nCURSO,DATOS!$D18604,nESPEC,DATOS!$E18604,nASIG,DATOS!$I18604,nEVAL,"EX")=0),0))))</f>
      </c>
      <c r="H18604">
        <f>IF(DATOS!$G18604&lt;&gt;"EX",0,--(COUNTIFS(nNIA,DATOS!$A18604,nCURSO,DATOS!$D18604,nESPEC,DATOS!$E18604,nASIG,DATOS!$I18604,nEVAL,"OR")=0))</f>
      </c>
      <c r="I18604">
        <f>IF(DATOS!$I18604="","",IFERROR(VLOOKUP(DATOS!$I18604,CONFIG_ASIGNATURAS!$B$2:$J$91,9,FALSE()),""))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IF(DATOS!$A18605="",0,IF(CONFIG_METADATA!$B$4&lt;&gt;"OR+EX",--(DATOS!$G18605=CONFIG_METADATA!$B$4),IF(DATOS!$G18605="EX",1,IF(DATOS!$G18605="OR",--(COUNTIFS(nNIA,DATOS!$A18605,nCURSO,DATOS!$D18605,nESPEC,DATOS!$E18605,nASIG,DATOS!$I18605,nEVAL,"EX")=0),0))))</f>
      </c>
      <c r="H18605">
        <f>IF(DATOS!$G18605&lt;&gt;"EX",0,--(COUNTIFS(nNIA,DATOS!$A18605,nCURSO,DATOS!$D18605,nESPEC,DATOS!$E18605,nASIG,DATOS!$I18605,nEVAL,"OR")=0))</f>
      </c>
      <c r="I18605">
        <f>IF(DATOS!$I18605="","",IFERROR(VLOOKUP(DATOS!$I18605,CONFIG_ASIGNATURAS!$B$2:$J$91,9,FALSE()),""))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IF(DATOS!$A18606="",0,IF(CONFIG_METADATA!$B$4&lt;&gt;"OR+EX",--(DATOS!$G18606=CONFIG_METADATA!$B$4),IF(DATOS!$G18606="EX",1,IF(DATOS!$G18606="OR",--(COUNTIFS(nNIA,DATOS!$A18606,nCURSO,DATOS!$D18606,nESPEC,DATOS!$E18606,nASIG,DATOS!$I18606,nEVAL,"EX")=0),0))))</f>
      </c>
      <c r="H18606">
        <f>IF(DATOS!$G18606&lt;&gt;"EX",0,--(COUNTIFS(nNIA,DATOS!$A18606,nCURSO,DATOS!$D18606,nESPEC,DATOS!$E18606,nASIG,DATOS!$I18606,nEVAL,"OR")=0))</f>
      </c>
      <c r="I18606">
        <f>IF(DATOS!$I18606="","",IFERROR(VLOOKUP(DATOS!$I18606,CONFIG_ASIGNATURAS!$B$2:$J$91,9,FALSE()),""))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IF(DATOS!$A18607="",0,IF(CONFIG_METADATA!$B$4&lt;&gt;"OR+EX",--(DATOS!$G18607=CONFIG_METADATA!$B$4),IF(DATOS!$G18607="EX",1,IF(DATOS!$G18607="OR",--(COUNTIFS(nNIA,DATOS!$A18607,nCURSO,DATOS!$D18607,nESPEC,DATOS!$E18607,nASIG,DATOS!$I18607,nEVAL,"EX")=0),0))))</f>
      </c>
      <c r="H18607">
        <f>IF(DATOS!$G18607&lt;&gt;"EX",0,--(COUNTIFS(nNIA,DATOS!$A18607,nCURSO,DATOS!$D18607,nESPEC,DATOS!$E18607,nASIG,DATOS!$I18607,nEVAL,"OR")=0))</f>
      </c>
      <c r="I18607">
        <f>IF(DATOS!$I18607="","",IFERROR(VLOOKUP(DATOS!$I18607,CONFIG_ASIGNATURAS!$B$2:$J$91,9,FALSE()),""))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IF(DATOS!$A18608="",0,IF(CONFIG_METADATA!$B$4&lt;&gt;"OR+EX",--(DATOS!$G18608=CONFIG_METADATA!$B$4),IF(DATOS!$G18608="EX",1,IF(DATOS!$G18608="OR",--(COUNTIFS(nNIA,DATOS!$A18608,nCURSO,DATOS!$D18608,nESPEC,DATOS!$E18608,nASIG,DATOS!$I18608,nEVAL,"EX")=0),0))))</f>
      </c>
      <c r="H18608">
        <f>IF(DATOS!$G18608&lt;&gt;"EX",0,--(COUNTIFS(nNIA,DATOS!$A18608,nCURSO,DATOS!$D18608,nESPEC,DATOS!$E18608,nASIG,DATOS!$I18608,nEVAL,"OR")=0))</f>
      </c>
      <c r="I18608">
        <f>IF(DATOS!$I18608="","",IFERROR(VLOOKUP(DATOS!$I18608,CONFIG_ASIGNATURAS!$B$2:$J$91,9,FALSE()),""))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IF(DATOS!$A18609="",0,IF(CONFIG_METADATA!$B$4&lt;&gt;"OR+EX",--(DATOS!$G18609=CONFIG_METADATA!$B$4),IF(DATOS!$G18609="EX",1,IF(DATOS!$G18609="OR",--(COUNTIFS(nNIA,DATOS!$A18609,nCURSO,DATOS!$D18609,nESPEC,DATOS!$E18609,nASIG,DATOS!$I18609,nEVAL,"EX")=0),0))))</f>
      </c>
      <c r="H18609">
        <f>IF(DATOS!$G18609&lt;&gt;"EX",0,--(COUNTIFS(nNIA,DATOS!$A18609,nCURSO,DATOS!$D18609,nESPEC,DATOS!$E18609,nASIG,DATOS!$I18609,nEVAL,"OR")=0))</f>
      </c>
      <c r="I18609">
        <f>IF(DATOS!$I18609="","",IFERROR(VLOOKUP(DATOS!$I18609,CONFIG_ASIGNATURAS!$B$2:$J$91,9,FALSE()),""))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IF(DATOS!$A18610="",0,IF(CONFIG_METADATA!$B$4&lt;&gt;"OR+EX",--(DATOS!$G18610=CONFIG_METADATA!$B$4),IF(DATOS!$G18610="EX",1,IF(DATOS!$G18610="OR",--(COUNTIFS(nNIA,DATOS!$A18610,nCURSO,DATOS!$D18610,nESPEC,DATOS!$E18610,nASIG,DATOS!$I18610,nEVAL,"EX")=0),0))))</f>
      </c>
      <c r="H18610">
        <f>IF(DATOS!$G18610&lt;&gt;"EX",0,--(COUNTIFS(nNIA,DATOS!$A18610,nCURSO,DATOS!$D18610,nESPEC,DATOS!$E18610,nASIG,DATOS!$I18610,nEVAL,"OR")=0))</f>
      </c>
      <c r="I18610">
        <f>IF(DATOS!$I18610="","",IFERROR(VLOOKUP(DATOS!$I18610,CONFIG_ASIGNATURAS!$B$2:$J$91,9,FALSE()),""))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IF(DATOS!$A18611="",0,IF(CONFIG_METADATA!$B$4&lt;&gt;"OR+EX",--(DATOS!$G18611=CONFIG_METADATA!$B$4),IF(DATOS!$G18611="EX",1,IF(DATOS!$G18611="OR",--(COUNTIFS(nNIA,DATOS!$A18611,nCURSO,DATOS!$D18611,nESPEC,DATOS!$E18611,nASIG,DATOS!$I18611,nEVAL,"EX")=0),0))))</f>
      </c>
      <c r="H18611">
        <f>IF(DATOS!$G18611&lt;&gt;"EX",0,--(COUNTIFS(nNIA,DATOS!$A18611,nCURSO,DATOS!$D18611,nESPEC,DATOS!$E18611,nASIG,DATOS!$I18611,nEVAL,"OR")=0))</f>
      </c>
      <c r="I18611">
        <f>IF(DATOS!$I18611="","",IFERROR(VLOOKUP(DATOS!$I18611,CONFIG_ASIGNATURAS!$B$2:$J$91,9,FALSE()),""))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IF(DATOS!$A18612="",0,IF(CONFIG_METADATA!$B$4&lt;&gt;"OR+EX",--(DATOS!$G18612=CONFIG_METADATA!$B$4),IF(DATOS!$G18612="EX",1,IF(DATOS!$G18612="OR",--(COUNTIFS(nNIA,DATOS!$A18612,nCURSO,DATOS!$D18612,nESPEC,DATOS!$E18612,nASIG,DATOS!$I18612,nEVAL,"EX")=0),0))))</f>
      </c>
      <c r="H18612">
        <f>IF(DATOS!$G18612&lt;&gt;"EX",0,--(COUNTIFS(nNIA,DATOS!$A18612,nCURSO,DATOS!$D18612,nESPEC,DATOS!$E18612,nASIG,DATOS!$I18612,nEVAL,"OR")=0))</f>
      </c>
      <c r="I18612">
        <f>IF(DATOS!$I18612="","",IFERROR(VLOOKUP(DATOS!$I18612,CONFIG_ASIGNATURAS!$B$2:$J$91,9,FALSE()),""))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IF(DATOS!$A18613="",0,IF(CONFIG_METADATA!$B$4&lt;&gt;"OR+EX",--(DATOS!$G18613=CONFIG_METADATA!$B$4),IF(DATOS!$G18613="EX",1,IF(DATOS!$G18613="OR",--(COUNTIFS(nNIA,DATOS!$A18613,nCURSO,DATOS!$D18613,nESPEC,DATOS!$E18613,nASIG,DATOS!$I18613,nEVAL,"EX")=0),0))))</f>
      </c>
      <c r="H18613">
        <f>IF(DATOS!$G18613&lt;&gt;"EX",0,--(COUNTIFS(nNIA,DATOS!$A18613,nCURSO,DATOS!$D18613,nESPEC,DATOS!$E18613,nASIG,DATOS!$I18613,nEVAL,"OR")=0))</f>
      </c>
      <c r="I18613">
        <f>IF(DATOS!$I18613="","",IFERROR(VLOOKUP(DATOS!$I18613,CONFIG_ASIGNATURAS!$B$2:$J$91,9,FALSE()),""))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IF(DATOS!$A18614="",0,IF(CONFIG_METADATA!$B$4&lt;&gt;"OR+EX",--(DATOS!$G18614=CONFIG_METADATA!$B$4),IF(DATOS!$G18614="EX",1,IF(DATOS!$G18614="OR",--(COUNTIFS(nNIA,DATOS!$A18614,nCURSO,DATOS!$D18614,nESPEC,DATOS!$E18614,nASIG,DATOS!$I18614,nEVAL,"EX")=0),0))))</f>
      </c>
      <c r="H18614">
        <f>IF(DATOS!$G18614&lt;&gt;"EX",0,--(COUNTIFS(nNIA,DATOS!$A18614,nCURSO,DATOS!$D18614,nESPEC,DATOS!$E18614,nASIG,DATOS!$I18614,nEVAL,"OR")=0))</f>
      </c>
      <c r="I18614">
        <f>IF(DATOS!$I18614="","",IFERROR(VLOOKUP(DATOS!$I18614,CONFIG_ASIGNATURAS!$B$2:$J$91,9,FALSE()),""))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IF(DATOS!$A18615="",0,IF(CONFIG_METADATA!$B$4&lt;&gt;"OR+EX",--(DATOS!$G18615=CONFIG_METADATA!$B$4),IF(DATOS!$G18615="EX",1,IF(DATOS!$G18615="OR",--(COUNTIFS(nNIA,DATOS!$A18615,nCURSO,DATOS!$D18615,nESPEC,DATOS!$E18615,nASIG,DATOS!$I18615,nEVAL,"EX")=0),0))))</f>
      </c>
      <c r="H18615">
        <f>IF(DATOS!$G18615&lt;&gt;"EX",0,--(COUNTIFS(nNIA,DATOS!$A18615,nCURSO,DATOS!$D18615,nESPEC,DATOS!$E18615,nASIG,DATOS!$I18615,nEVAL,"OR")=0))</f>
      </c>
      <c r="I18615">
        <f>IF(DATOS!$I18615="","",IFERROR(VLOOKUP(DATOS!$I18615,CONFIG_ASIGNATURAS!$B$2:$J$91,9,FALSE()),""))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IF(DATOS!$A18616="",0,IF(CONFIG_METADATA!$B$4&lt;&gt;"OR+EX",--(DATOS!$G18616=CONFIG_METADATA!$B$4),IF(DATOS!$G18616="EX",1,IF(DATOS!$G18616="OR",--(COUNTIFS(nNIA,DATOS!$A18616,nCURSO,DATOS!$D18616,nESPEC,DATOS!$E18616,nASIG,DATOS!$I18616,nEVAL,"EX")=0),0))))</f>
      </c>
      <c r="H18616">
        <f>IF(DATOS!$G18616&lt;&gt;"EX",0,--(COUNTIFS(nNIA,DATOS!$A18616,nCURSO,DATOS!$D18616,nESPEC,DATOS!$E18616,nASIG,DATOS!$I18616,nEVAL,"OR")=0))</f>
      </c>
      <c r="I18616">
        <f>IF(DATOS!$I18616="","",IFERROR(VLOOKUP(DATOS!$I18616,CONFIG_ASIGNATURAS!$B$2:$J$91,9,FALSE()),""))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IF(DATOS!$A18617="",0,IF(CONFIG_METADATA!$B$4&lt;&gt;"OR+EX",--(DATOS!$G18617=CONFIG_METADATA!$B$4),IF(DATOS!$G18617="EX",1,IF(DATOS!$G18617="OR",--(COUNTIFS(nNIA,DATOS!$A18617,nCURSO,DATOS!$D18617,nESPEC,DATOS!$E18617,nASIG,DATOS!$I18617,nEVAL,"EX")=0),0))))</f>
      </c>
      <c r="H18617">
        <f>IF(DATOS!$G18617&lt;&gt;"EX",0,--(COUNTIFS(nNIA,DATOS!$A18617,nCURSO,DATOS!$D18617,nESPEC,DATOS!$E18617,nASIG,DATOS!$I18617,nEVAL,"OR")=0))</f>
      </c>
      <c r="I18617">
        <f>IF(DATOS!$I18617="","",IFERROR(VLOOKUP(DATOS!$I18617,CONFIG_ASIGNATURAS!$B$2:$J$91,9,FALSE()),""))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IF(DATOS!$A18618="",0,IF(CONFIG_METADATA!$B$4&lt;&gt;"OR+EX",--(DATOS!$G18618=CONFIG_METADATA!$B$4),IF(DATOS!$G18618="EX",1,IF(DATOS!$G18618="OR",--(COUNTIFS(nNIA,DATOS!$A18618,nCURSO,DATOS!$D18618,nESPEC,DATOS!$E18618,nASIG,DATOS!$I18618,nEVAL,"EX")=0),0))))</f>
      </c>
      <c r="H18618">
        <f>IF(DATOS!$G18618&lt;&gt;"EX",0,--(COUNTIFS(nNIA,DATOS!$A18618,nCURSO,DATOS!$D18618,nESPEC,DATOS!$E18618,nASIG,DATOS!$I18618,nEVAL,"OR")=0))</f>
      </c>
      <c r="I18618">
        <f>IF(DATOS!$I18618="","",IFERROR(VLOOKUP(DATOS!$I18618,CONFIG_ASIGNATURAS!$B$2:$J$91,9,FALSE()),""))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IF(DATOS!$A18619="",0,IF(CONFIG_METADATA!$B$4&lt;&gt;"OR+EX",--(DATOS!$G18619=CONFIG_METADATA!$B$4),IF(DATOS!$G18619="EX",1,IF(DATOS!$G18619="OR",--(COUNTIFS(nNIA,DATOS!$A18619,nCURSO,DATOS!$D18619,nESPEC,DATOS!$E18619,nASIG,DATOS!$I18619,nEVAL,"EX")=0),0))))</f>
      </c>
      <c r="H18619">
        <f>IF(DATOS!$G18619&lt;&gt;"EX",0,--(COUNTIFS(nNIA,DATOS!$A18619,nCURSO,DATOS!$D18619,nESPEC,DATOS!$E18619,nASIG,DATOS!$I18619,nEVAL,"OR")=0))</f>
      </c>
      <c r="I18619">
        <f>IF(DATOS!$I18619="","",IFERROR(VLOOKUP(DATOS!$I18619,CONFIG_ASIGNATURAS!$B$2:$J$91,9,FALSE()),""))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IF(DATOS!$A18620="",0,IF(CONFIG_METADATA!$B$4&lt;&gt;"OR+EX",--(DATOS!$G18620=CONFIG_METADATA!$B$4),IF(DATOS!$G18620="EX",1,IF(DATOS!$G18620="OR",--(COUNTIFS(nNIA,DATOS!$A18620,nCURSO,DATOS!$D18620,nESPEC,DATOS!$E18620,nASIG,DATOS!$I18620,nEVAL,"EX")=0),0))))</f>
      </c>
      <c r="H18620">
        <f>IF(DATOS!$G18620&lt;&gt;"EX",0,--(COUNTIFS(nNIA,DATOS!$A18620,nCURSO,DATOS!$D18620,nESPEC,DATOS!$E18620,nASIG,DATOS!$I18620,nEVAL,"OR")=0))</f>
      </c>
      <c r="I18620">
        <f>IF(DATOS!$I18620="","",IFERROR(VLOOKUP(DATOS!$I18620,CONFIG_ASIGNATURAS!$B$2:$J$91,9,FALSE()),""))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IF(DATOS!$A18621="",0,IF(CONFIG_METADATA!$B$4&lt;&gt;"OR+EX",--(DATOS!$G18621=CONFIG_METADATA!$B$4),IF(DATOS!$G18621="EX",1,IF(DATOS!$G18621="OR",--(COUNTIFS(nNIA,DATOS!$A18621,nCURSO,DATOS!$D18621,nESPEC,DATOS!$E18621,nASIG,DATOS!$I18621,nEVAL,"EX")=0),0))))</f>
      </c>
      <c r="H18621">
        <f>IF(DATOS!$G18621&lt;&gt;"EX",0,--(COUNTIFS(nNIA,DATOS!$A18621,nCURSO,DATOS!$D18621,nESPEC,DATOS!$E18621,nASIG,DATOS!$I18621,nEVAL,"OR")=0))</f>
      </c>
      <c r="I18621">
        <f>IF(DATOS!$I18621="","",IFERROR(VLOOKUP(DATOS!$I18621,CONFIG_ASIGNATURAS!$B$2:$J$91,9,FALSE()),""))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IF(DATOS!$A18622="",0,IF(CONFIG_METADATA!$B$4&lt;&gt;"OR+EX",--(DATOS!$G18622=CONFIG_METADATA!$B$4),IF(DATOS!$G18622="EX",1,IF(DATOS!$G18622="OR",--(COUNTIFS(nNIA,DATOS!$A18622,nCURSO,DATOS!$D18622,nESPEC,DATOS!$E18622,nASIG,DATOS!$I18622,nEVAL,"EX")=0),0))))</f>
      </c>
      <c r="H18622">
        <f>IF(DATOS!$G18622&lt;&gt;"EX",0,--(COUNTIFS(nNIA,DATOS!$A18622,nCURSO,DATOS!$D18622,nESPEC,DATOS!$E18622,nASIG,DATOS!$I18622,nEVAL,"OR")=0))</f>
      </c>
      <c r="I18622">
        <f>IF(DATOS!$I18622="","",IFERROR(VLOOKUP(DATOS!$I18622,CONFIG_ASIGNATURAS!$B$2:$J$91,9,FALSE()),""))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IF(DATOS!$A18623="",0,IF(CONFIG_METADATA!$B$4&lt;&gt;"OR+EX",--(DATOS!$G18623=CONFIG_METADATA!$B$4),IF(DATOS!$G18623="EX",1,IF(DATOS!$G18623="OR",--(COUNTIFS(nNIA,DATOS!$A18623,nCURSO,DATOS!$D18623,nESPEC,DATOS!$E18623,nASIG,DATOS!$I18623,nEVAL,"EX")=0),0))))</f>
      </c>
      <c r="H18623">
        <f>IF(DATOS!$G18623&lt;&gt;"EX",0,--(COUNTIFS(nNIA,DATOS!$A18623,nCURSO,DATOS!$D18623,nESPEC,DATOS!$E18623,nASIG,DATOS!$I18623,nEVAL,"OR")=0))</f>
      </c>
      <c r="I18623">
        <f>IF(DATOS!$I18623="","",IFERROR(VLOOKUP(DATOS!$I18623,CONFIG_ASIGNATURAS!$B$2:$J$91,9,FALSE()),""))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IF(DATOS!$A18624="",0,IF(CONFIG_METADATA!$B$4&lt;&gt;"OR+EX",--(DATOS!$G18624=CONFIG_METADATA!$B$4),IF(DATOS!$G18624="EX",1,IF(DATOS!$G18624="OR",--(COUNTIFS(nNIA,DATOS!$A18624,nCURSO,DATOS!$D18624,nESPEC,DATOS!$E18624,nASIG,DATOS!$I18624,nEVAL,"EX")=0),0))))</f>
      </c>
      <c r="H18624">
        <f>IF(DATOS!$G18624&lt;&gt;"EX",0,--(COUNTIFS(nNIA,DATOS!$A18624,nCURSO,DATOS!$D18624,nESPEC,DATOS!$E18624,nASIG,DATOS!$I18624,nEVAL,"OR")=0))</f>
      </c>
      <c r="I18624">
        <f>IF(DATOS!$I18624="","",IFERROR(VLOOKUP(DATOS!$I18624,CONFIG_ASIGNATURAS!$B$2:$J$91,9,FALSE()),""))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IF(DATOS!$A18625="",0,IF(CONFIG_METADATA!$B$4&lt;&gt;"OR+EX",--(DATOS!$G18625=CONFIG_METADATA!$B$4),IF(DATOS!$G18625="EX",1,IF(DATOS!$G18625="OR",--(COUNTIFS(nNIA,DATOS!$A18625,nCURSO,DATOS!$D18625,nESPEC,DATOS!$E18625,nASIG,DATOS!$I18625,nEVAL,"EX")=0),0))))</f>
      </c>
      <c r="H18625">
        <f>IF(DATOS!$G18625&lt;&gt;"EX",0,--(COUNTIFS(nNIA,DATOS!$A18625,nCURSO,DATOS!$D18625,nESPEC,DATOS!$E18625,nASIG,DATOS!$I18625,nEVAL,"OR")=0))</f>
      </c>
      <c r="I18625">
        <f>IF(DATOS!$I18625="","",IFERROR(VLOOKUP(DATOS!$I18625,CONFIG_ASIGNATURAS!$B$2:$J$91,9,FALSE()),""))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IF(DATOS!$A18626="",0,IF(CONFIG_METADATA!$B$4&lt;&gt;"OR+EX",--(DATOS!$G18626=CONFIG_METADATA!$B$4),IF(DATOS!$G18626="EX",1,IF(DATOS!$G18626="OR",--(COUNTIFS(nNIA,DATOS!$A18626,nCURSO,DATOS!$D18626,nESPEC,DATOS!$E18626,nASIG,DATOS!$I18626,nEVAL,"EX")=0),0))))</f>
      </c>
      <c r="H18626">
        <f>IF(DATOS!$G18626&lt;&gt;"EX",0,--(COUNTIFS(nNIA,DATOS!$A18626,nCURSO,DATOS!$D18626,nESPEC,DATOS!$E18626,nASIG,DATOS!$I18626,nEVAL,"OR")=0))</f>
      </c>
      <c r="I18626">
        <f>IF(DATOS!$I18626="","",IFERROR(VLOOKUP(DATOS!$I18626,CONFIG_ASIGNATURAS!$B$2:$J$91,9,FALSE()),""))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IF(DATOS!$A18627="",0,IF(CONFIG_METADATA!$B$4&lt;&gt;"OR+EX",--(DATOS!$G18627=CONFIG_METADATA!$B$4),IF(DATOS!$G18627="EX",1,IF(DATOS!$G18627="OR",--(COUNTIFS(nNIA,DATOS!$A18627,nCURSO,DATOS!$D18627,nESPEC,DATOS!$E18627,nASIG,DATOS!$I18627,nEVAL,"EX")=0),0))))</f>
      </c>
      <c r="H18627">
        <f>IF(DATOS!$G18627&lt;&gt;"EX",0,--(COUNTIFS(nNIA,DATOS!$A18627,nCURSO,DATOS!$D18627,nESPEC,DATOS!$E18627,nASIG,DATOS!$I18627,nEVAL,"OR")=0))</f>
      </c>
      <c r="I18627">
        <f>IF(DATOS!$I18627="","",IFERROR(VLOOKUP(DATOS!$I18627,CONFIG_ASIGNATURAS!$B$2:$J$91,9,FALSE()),""))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IF(DATOS!$A18628="",0,IF(CONFIG_METADATA!$B$4&lt;&gt;"OR+EX",--(DATOS!$G18628=CONFIG_METADATA!$B$4),IF(DATOS!$G18628="EX",1,IF(DATOS!$G18628="OR",--(COUNTIFS(nNIA,DATOS!$A18628,nCURSO,DATOS!$D18628,nESPEC,DATOS!$E18628,nASIG,DATOS!$I18628,nEVAL,"EX")=0),0))))</f>
      </c>
      <c r="H18628">
        <f>IF(DATOS!$G18628&lt;&gt;"EX",0,--(COUNTIFS(nNIA,DATOS!$A18628,nCURSO,DATOS!$D18628,nESPEC,DATOS!$E18628,nASIG,DATOS!$I18628,nEVAL,"OR")=0))</f>
      </c>
      <c r="I18628">
        <f>IF(DATOS!$I18628="","",IFERROR(VLOOKUP(DATOS!$I18628,CONFIG_ASIGNATURAS!$B$2:$J$91,9,FALSE()),""))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IF(DATOS!$A18629="",0,IF(CONFIG_METADATA!$B$4&lt;&gt;"OR+EX",--(DATOS!$G18629=CONFIG_METADATA!$B$4),IF(DATOS!$G18629="EX",1,IF(DATOS!$G18629="OR",--(COUNTIFS(nNIA,DATOS!$A18629,nCURSO,DATOS!$D18629,nESPEC,DATOS!$E18629,nASIG,DATOS!$I18629,nEVAL,"EX")=0),0))))</f>
      </c>
      <c r="H18629">
        <f>IF(DATOS!$G18629&lt;&gt;"EX",0,--(COUNTIFS(nNIA,DATOS!$A18629,nCURSO,DATOS!$D18629,nESPEC,DATOS!$E18629,nASIG,DATOS!$I18629,nEVAL,"OR")=0))</f>
      </c>
      <c r="I18629">
        <f>IF(DATOS!$I18629="","",IFERROR(VLOOKUP(DATOS!$I18629,CONFIG_ASIGNATURAS!$B$2:$J$91,9,FALSE()),""))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IF(DATOS!$A18630="",0,IF(CONFIG_METADATA!$B$4&lt;&gt;"OR+EX",--(DATOS!$G18630=CONFIG_METADATA!$B$4),IF(DATOS!$G18630="EX",1,IF(DATOS!$G18630="OR",--(COUNTIFS(nNIA,DATOS!$A18630,nCURSO,DATOS!$D18630,nESPEC,DATOS!$E18630,nASIG,DATOS!$I18630,nEVAL,"EX")=0),0))))</f>
      </c>
      <c r="H18630">
        <f>IF(DATOS!$G18630&lt;&gt;"EX",0,--(COUNTIFS(nNIA,DATOS!$A18630,nCURSO,DATOS!$D18630,nESPEC,DATOS!$E18630,nASIG,DATOS!$I18630,nEVAL,"OR")=0))</f>
      </c>
      <c r="I18630">
        <f>IF(DATOS!$I18630="","",IFERROR(VLOOKUP(DATOS!$I18630,CONFIG_ASIGNATURAS!$B$2:$J$91,9,FALSE()),""))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IF(DATOS!$A18631="",0,IF(CONFIG_METADATA!$B$4&lt;&gt;"OR+EX",--(DATOS!$G18631=CONFIG_METADATA!$B$4),IF(DATOS!$G18631="EX",1,IF(DATOS!$G18631="OR",--(COUNTIFS(nNIA,DATOS!$A18631,nCURSO,DATOS!$D18631,nESPEC,DATOS!$E18631,nASIG,DATOS!$I18631,nEVAL,"EX")=0),0))))</f>
      </c>
      <c r="H18631">
        <f>IF(DATOS!$G18631&lt;&gt;"EX",0,--(COUNTIFS(nNIA,DATOS!$A18631,nCURSO,DATOS!$D18631,nESPEC,DATOS!$E18631,nASIG,DATOS!$I18631,nEVAL,"OR")=0))</f>
      </c>
      <c r="I18631">
        <f>IF(DATOS!$I18631="","",IFERROR(VLOOKUP(DATOS!$I18631,CONFIG_ASIGNATURAS!$B$2:$J$91,9,FALSE()),""))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IF(DATOS!$A18632="",0,IF(CONFIG_METADATA!$B$4&lt;&gt;"OR+EX",--(DATOS!$G18632=CONFIG_METADATA!$B$4),IF(DATOS!$G18632="EX",1,IF(DATOS!$G18632="OR",--(COUNTIFS(nNIA,DATOS!$A18632,nCURSO,DATOS!$D18632,nESPEC,DATOS!$E18632,nASIG,DATOS!$I18632,nEVAL,"EX")=0),0))))</f>
      </c>
      <c r="H18632">
        <f>IF(DATOS!$G18632&lt;&gt;"EX",0,--(COUNTIFS(nNIA,DATOS!$A18632,nCURSO,DATOS!$D18632,nESPEC,DATOS!$E18632,nASIG,DATOS!$I18632,nEVAL,"OR")=0))</f>
      </c>
      <c r="I18632">
        <f>IF(DATOS!$I18632="","",IFERROR(VLOOKUP(DATOS!$I18632,CONFIG_ASIGNATURAS!$B$2:$J$91,9,FALSE()),""))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IF(DATOS!$A18633="",0,IF(CONFIG_METADATA!$B$4&lt;&gt;"OR+EX",--(DATOS!$G18633=CONFIG_METADATA!$B$4),IF(DATOS!$G18633="EX",1,IF(DATOS!$G18633="OR",--(COUNTIFS(nNIA,DATOS!$A18633,nCURSO,DATOS!$D18633,nESPEC,DATOS!$E18633,nASIG,DATOS!$I18633,nEVAL,"EX")=0),0))))</f>
      </c>
      <c r="H18633">
        <f>IF(DATOS!$G18633&lt;&gt;"EX",0,--(COUNTIFS(nNIA,DATOS!$A18633,nCURSO,DATOS!$D18633,nESPEC,DATOS!$E18633,nASIG,DATOS!$I18633,nEVAL,"OR")=0))</f>
      </c>
      <c r="I18633">
        <f>IF(DATOS!$I18633="","",IFERROR(VLOOKUP(DATOS!$I18633,CONFIG_ASIGNATURAS!$B$2:$J$91,9,FALSE()),""))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IF(DATOS!$A18634="",0,IF(CONFIG_METADATA!$B$4&lt;&gt;"OR+EX",--(DATOS!$G18634=CONFIG_METADATA!$B$4),IF(DATOS!$G18634="EX",1,IF(DATOS!$G18634="OR",--(COUNTIFS(nNIA,DATOS!$A18634,nCURSO,DATOS!$D18634,nESPEC,DATOS!$E18634,nASIG,DATOS!$I18634,nEVAL,"EX")=0),0))))</f>
      </c>
      <c r="H18634">
        <f>IF(DATOS!$G18634&lt;&gt;"EX",0,--(COUNTIFS(nNIA,DATOS!$A18634,nCURSO,DATOS!$D18634,nESPEC,DATOS!$E18634,nASIG,DATOS!$I18634,nEVAL,"OR")=0))</f>
      </c>
      <c r="I18634">
        <f>IF(DATOS!$I18634="","",IFERROR(VLOOKUP(DATOS!$I18634,CONFIG_ASIGNATURAS!$B$2:$J$91,9,FALSE()),""))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IF(DATOS!$A18635="",0,IF(CONFIG_METADATA!$B$4&lt;&gt;"OR+EX",--(DATOS!$G18635=CONFIG_METADATA!$B$4),IF(DATOS!$G18635="EX",1,IF(DATOS!$G18635="OR",--(COUNTIFS(nNIA,DATOS!$A18635,nCURSO,DATOS!$D18635,nESPEC,DATOS!$E18635,nASIG,DATOS!$I18635,nEVAL,"EX")=0),0))))</f>
      </c>
      <c r="H18635">
        <f>IF(DATOS!$G18635&lt;&gt;"EX",0,--(COUNTIFS(nNIA,DATOS!$A18635,nCURSO,DATOS!$D18635,nESPEC,DATOS!$E18635,nASIG,DATOS!$I18635,nEVAL,"OR")=0))</f>
      </c>
      <c r="I18635">
        <f>IF(DATOS!$I18635="","",IFERROR(VLOOKUP(DATOS!$I18635,CONFIG_ASIGNATURAS!$B$2:$J$91,9,FALSE()),""))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IF(DATOS!$A18636="",0,IF(CONFIG_METADATA!$B$4&lt;&gt;"OR+EX",--(DATOS!$G18636=CONFIG_METADATA!$B$4),IF(DATOS!$G18636="EX",1,IF(DATOS!$G18636="OR",--(COUNTIFS(nNIA,DATOS!$A18636,nCURSO,DATOS!$D18636,nESPEC,DATOS!$E18636,nASIG,DATOS!$I18636,nEVAL,"EX")=0),0))))</f>
      </c>
      <c r="H18636">
        <f>IF(DATOS!$G18636&lt;&gt;"EX",0,--(COUNTIFS(nNIA,DATOS!$A18636,nCURSO,DATOS!$D18636,nESPEC,DATOS!$E18636,nASIG,DATOS!$I18636,nEVAL,"OR")=0))</f>
      </c>
      <c r="I18636">
        <f>IF(DATOS!$I18636="","",IFERROR(VLOOKUP(DATOS!$I18636,CONFIG_ASIGNATURAS!$B$2:$J$91,9,FALSE()),""))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IF(DATOS!$A18637="",0,IF(CONFIG_METADATA!$B$4&lt;&gt;"OR+EX",--(DATOS!$G18637=CONFIG_METADATA!$B$4),IF(DATOS!$G18637="EX",1,IF(DATOS!$G18637="OR",--(COUNTIFS(nNIA,DATOS!$A18637,nCURSO,DATOS!$D18637,nESPEC,DATOS!$E18637,nASIG,DATOS!$I18637,nEVAL,"EX")=0),0))))</f>
      </c>
      <c r="H18637">
        <f>IF(DATOS!$G18637&lt;&gt;"EX",0,--(COUNTIFS(nNIA,DATOS!$A18637,nCURSO,DATOS!$D18637,nESPEC,DATOS!$E18637,nASIG,DATOS!$I18637,nEVAL,"OR")=0))</f>
      </c>
      <c r="I18637">
        <f>IF(DATOS!$I18637="","",IFERROR(VLOOKUP(DATOS!$I18637,CONFIG_ASIGNATURAS!$B$2:$J$91,9,FALSE()),""))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IF(DATOS!$A18638="",0,IF(CONFIG_METADATA!$B$4&lt;&gt;"OR+EX",--(DATOS!$G18638=CONFIG_METADATA!$B$4),IF(DATOS!$G18638="EX",1,IF(DATOS!$G18638="OR",--(COUNTIFS(nNIA,DATOS!$A18638,nCURSO,DATOS!$D18638,nESPEC,DATOS!$E18638,nASIG,DATOS!$I18638,nEVAL,"EX")=0),0))))</f>
      </c>
      <c r="H18638">
        <f>IF(DATOS!$G18638&lt;&gt;"EX",0,--(COUNTIFS(nNIA,DATOS!$A18638,nCURSO,DATOS!$D18638,nESPEC,DATOS!$E18638,nASIG,DATOS!$I18638,nEVAL,"OR")=0))</f>
      </c>
      <c r="I18638">
        <f>IF(DATOS!$I18638="","",IFERROR(VLOOKUP(DATOS!$I18638,CONFIG_ASIGNATURAS!$B$2:$J$91,9,FALSE()),""))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IF(DATOS!$A18639="",0,IF(CONFIG_METADATA!$B$4&lt;&gt;"OR+EX",--(DATOS!$G18639=CONFIG_METADATA!$B$4),IF(DATOS!$G18639="EX",1,IF(DATOS!$G18639="OR",--(COUNTIFS(nNIA,DATOS!$A18639,nCURSO,DATOS!$D18639,nESPEC,DATOS!$E18639,nASIG,DATOS!$I18639,nEVAL,"EX")=0),0))))</f>
      </c>
      <c r="H18639">
        <f>IF(DATOS!$G18639&lt;&gt;"EX",0,--(COUNTIFS(nNIA,DATOS!$A18639,nCURSO,DATOS!$D18639,nESPEC,DATOS!$E18639,nASIG,DATOS!$I18639,nEVAL,"OR")=0))</f>
      </c>
      <c r="I18639">
        <f>IF(DATOS!$I18639="","",IFERROR(VLOOKUP(DATOS!$I18639,CONFIG_ASIGNATURAS!$B$2:$J$91,9,FALSE()),""))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IF(DATOS!$A18640="",0,IF(CONFIG_METADATA!$B$4&lt;&gt;"OR+EX",--(DATOS!$G18640=CONFIG_METADATA!$B$4),IF(DATOS!$G18640="EX",1,IF(DATOS!$G18640="OR",--(COUNTIFS(nNIA,DATOS!$A18640,nCURSO,DATOS!$D18640,nESPEC,DATOS!$E18640,nASIG,DATOS!$I18640,nEVAL,"EX")=0),0))))</f>
      </c>
      <c r="H18640">
        <f>IF(DATOS!$G18640&lt;&gt;"EX",0,--(COUNTIFS(nNIA,DATOS!$A18640,nCURSO,DATOS!$D18640,nESPEC,DATOS!$E18640,nASIG,DATOS!$I18640,nEVAL,"OR")=0))</f>
      </c>
      <c r="I18640">
        <f>IF(DATOS!$I18640="","",IFERROR(VLOOKUP(DATOS!$I18640,CONFIG_ASIGNATURAS!$B$2:$J$91,9,FALSE()),""))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IF(DATOS!$A18641="",0,IF(CONFIG_METADATA!$B$4&lt;&gt;"OR+EX",--(DATOS!$G18641=CONFIG_METADATA!$B$4),IF(DATOS!$G18641="EX",1,IF(DATOS!$G18641="OR",--(COUNTIFS(nNIA,DATOS!$A18641,nCURSO,DATOS!$D18641,nESPEC,DATOS!$E18641,nASIG,DATOS!$I18641,nEVAL,"EX")=0),0))))</f>
      </c>
      <c r="H18641">
        <f>IF(DATOS!$G18641&lt;&gt;"EX",0,--(COUNTIFS(nNIA,DATOS!$A18641,nCURSO,DATOS!$D18641,nESPEC,DATOS!$E18641,nASIG,DATOS!$I18641,nEVAL,"OR")=0))</f>
      </c>
      <c r="I18641">
        <f>IF(DATOS!$I18641="","",IFERROR(VLOOKUP(DATOS!$I18641,CONFIG_ASIGNATURAS!$B$2:$J$91,9,FALSE()),""))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IF(DATOS!$A18642="",0,IF(CONFIG_METADATA!$B$4&lt;&gt;"OR+EX",--(DATOS!$G18642=CONFIG_METADATA!$B$4),IF(DATOS!$G18642="EX",1,IF(DATOS!$G18642="OR",--(COUNTIFS(nNIA,DATOS!$A18642,nCURSO,DATOS!$D18642,nESPEC,DATOS!$E18642,nASIG,DATOS!$I18642,nEVAL,"EX")=0),0))))</f>
      </c>
      <c r="H18642">
        <f>IF(DATOS!$G18642&lt;&gt;"EX",0,--(COUNTIFS(nNIA,DATOS!$A18642,nCURSO,DATOS!$D18642,nESPEC,DATOS!$E18642,nASIG,DATOS!$I18642,nEVAL,"OR")=0))</f>
      </c>
      <c r="I18642">
        <f>IF(DATOS!$I18642="","",IFERROR(VLOOKUP(DATOS!$I18642,CONFIG_ASIGNATURAS!$B$2:$J$91,9,FALSE()),""))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IF(DATOS!$A18643="",0,IF(CONFIG_METADATA!$B$4&lt;&gt;"OR+EX",--(DATOS!$G18643=CONFIG_METADATA!$B$4),IF(DATOS!$G18643="EX",1,IF(DATOS!$G18643="OR",--(COUNTIFS(nNIA,DATOS!$A18643,nCURSO,DATOS!$D18643,nESPEC,DATOS!$E18643,nASIG,DATOS!$I18643,nEVAL,"EX")=0),0))))</f>
      </c>
      <c r="H18643">
        <f>IF(DATOS!$G18643&lt;&gt;"EX",0,--(COUNTIFS(nNIA,DATOS!$A18643,nCURSO,DATOS!$D18643,nESPEC,DATOS!$E18643,nASIG,DATOS!$I18643,nEVAL,"OR")=0))</f>
      </c>
      <c r="I18643">
        <f>IF(DATOS!$I18643="","",IFERROR(VLOOKUP(DATOS!$I18643,CONFIG_ASIGNATURAS!$B$2:$J$91,9,FALSE()),""))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IF(DATOS!$A18644="",0,IF(CONFIG_METADATA!$B$4&lt;&gt;"OR+EX",--(DATOS!$G18644=CONFIG_METADATA!$B$4),IF(DATOS!$G18644="EX",1,IF(DATOS!$G18644="OR",--(COUNTIFS(nNIA,DATOS!$A18644,nCURSO,DATOS!$D18644,nESPEC,DATOS!$E18644,nASIG,DATOS!$I18644,nEVAL,"EX")=0),0))))</f>
      </c>
      <c r="H18644">
        <f>IF(DATOS!$G18644&lt;&gt;"EX",0,--(COUNTIFS(nNIA,DATOS!$A18644,nCURSO,DATOS!$D18644,nESPEC,DATOS!$E18644,nASIG,DATOS!$I18644,nEVAL,"OR")=0))</f>
      </c>
      <c r="I18644">
        <f>IF(DATOS!$I18644="","",IFERROR(VLOOKUP(DATOS!$I18644,CONFIG_ASIGNATURAS!$B$2:$J$91,9,FALSE()),""))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IF(DATOS!$A18645="",0,IF(CONFIG_METADATA!$B$4&lt;&gt;"OR+EX",--(DATOS!$G18645=CONFIG_METADATA!$B$4),IF(DATOS!$G18645="EX",1,IF(DATOS!$G18645="OR",--(COUNTIFS(nNIA,DATOS!$A18645,nCURSO,DATOS!$D18645,nESPEC,DATOS!$E18645,nASIG,DATOS!$I18645,nEVAL,"EX")=0),0))))</f>
      </c>
      <c r="H18645">
        <f>IF(DATOS!$G18645&lt;&gt;"EX",0,--(COUNTIFS(nNIA,DATOS!$A18645,nCURSO,DATOS!$D18645,nESPEC,DATOS!$E18645,nASIG,DATOS!$I18645,nEVAL,"OR")=0))</f>
      </c>
      <c r="I18645">
        <f>IF(DATOS!$I18645="","",IFERROR(VLOOKUP(DATOS!$I18645,CONFIG_ASIGNATURAS!$B$2:$J$91,9,FALSE()),""))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IF(DATOS!$A18646="",0,IF(CONFIG_METADATA!$B$4&lt;&gt;"OR+EX",--(DATOS!$G18646=CONFIG_METADATA!$B$4),IF(DATOS!$G18646="EX",1,IF(DATOS!$G18646="OR",--(COUNTIFS(nNIA,DATOS!$A18646,nCURSO,DATOS!$D18646,nESPEC,DATOS!$E18646,nASIG,DATOS!$I18646,nEVAL,"EX")=0),0))))</f>
      </c>
      <c r="H18646">
        <f>IF(DATOS!$G18646&lt;&gt;"EX",0,--(COUNTIFS(nNIA,DATOS!$A18646,nCURSO,DATOS!$D18646,nESPEC,DATOS!$E18646,nASIG,DATOS!$I18646,nEVAL,"OR")=0))</f>
      </c>
      <c r="I18646">
        <f>IF(DATOS!$I18646="","",IFERROR(VLOOKUP(DATOS!$I18646,CONFIG_ASIGNATURAS!$B$2:$J$91,9,FALSE()),""))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IF(DATOS!$A18647="",0,IF(CONFIG_METADATA!$B$4&lt;&gt;"OR+EX",--(DATOS!$G18647=CONFIG_METADATA!$B$4),IF(DATOS!$G18647="EX",1,IF(DATOS!$G18647="OR",--(COUNTIFS(nNIA,DATOS!$A18647,nCURSO,DATOS!$D18647,nESPEC,DATOS!$E18647,nASIG,DATOS!$I18647,nEVAL,"EX")=0),0))))</f>
      </c>
      <c r="H18647">
        <f>IF(DATOS!$G18647&lt;&gt;"EX",0,--(COUNTIFS(nNIA,DATOS!$A18647,nCURSO,DATOS!$D18647,nESPEC,DATOS!$E18647,nASIG,DATOS!$I18647,nEVAL,"OR")=0))</f>
      </c>
      <c r="I18647">
        <f>IF(DATOS!$I18647="","",IFERROR(VLOOKUP(DATOS!$I18647,CONFIG_ASIGNATURAS!$B$2:$J$91,9,FALSE()),""))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IF(DATOS!$A18648="",0,IF(CONFIG_METADATA!$B$4&lt;&gt;"OR+EX",--(DATOS!$G18648=CONFIG_METADATA!$B$4),IF(DATOS!$G18648="EX",1,IF(DATOS!$G18648="OR",--(COUNTIFS(nNIA,DATOS!$A18648,nCURSO,DATOS!$D18648,nESPEC,DATOS!$E18648,nASIG,DATOS!$I18648,nEVAL,"EX")=0),0))))</f>
      </c>
      <c r="H18648">
        <f>IF(DATOS!$G18648&lt;&gt;"EX",0,--(COUNTIFS(nNIA,DATOS!$A18648,nCURSO,DATOS!$D18648,nESPEC,DATOS!$E18648,nASIG,DATOS!$I18648,nEVAL,"OR")=0))</f>
      </c>
      <c r="I18648">
        <f>IF(DATOS!$I18648="","",IFERROR(VLOOKUP(DATOS!$I18648,CONFIG_ASIGNATURAS!$B$2:$J$91,9,FALSE()),""))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IF(DATOS!$A18649="",0,IF(CONFIG_METADATA!$B$4&lt;&gt;"OR+EX",--(DATOS!$G18649=CONFIG_METADATA!$B$4),IF(DATOS!$G18649="EX",1,IF(DATOS!$G18649="OR",--(COUNTIFS(nNIA,DATOS!$A18649,nCURSO,DATOS!$D18649,nESPEC,DATOS!$E18649,nASIG,DATOS!$I18649,nEVAL,"EX")=0),0))))</f>
      </c>
      <c r="H18649">
        <f>IF(DATOS!$G18649&lt;&gt;"EX",0,--(COUNTIFS(nNIA,DATOS!$A18649,nCURSO,DATOS!$D18649,nESPEC,DATOS!$E18649,nASIG,DATOS!$I18649,nEVAL,"OR")=0))</f>
      </c>
      <c r="I18649">
        <f>IF(DATOS!$I18649="","",IFERROR(VLOOKUP(DATOS!$I18649,CONFIG_ASIGNATURAS!$B$2:$J$91,9,FALSE()),""))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IF(DATOS!$A18650="",0,IF(CONFIG_METADATA!$B$4&lt;&gt;"OR+EX",--(DATOS!$G18650=CONFIG_METADATA!$B$4),IF(DATOS!$G18650="EX",1,IF(DATOS!$G18650="OR",--(COUNTIFS(nNIA,DATOS!$A18650,nCURSO,DATOS!$D18650,nESPEC,DATOS!$E18650,nASIG,DATOS!$I18650,nEVAL,"EX")=0),0))))</f>
      </c>
      <c r="H18650">
        <f>IF(DATOS!$G18650&lt;&gt;"EX",0,--(COUNTIFS(nNIA,DATOS!$A18650,nCURSO,DATOS!$D18650,nESPEC,DATOS!$E18650,nASIG,DATOS!$I18650,nEVAL,"OR")=0))</f>
      </c>
      <c r="I18650">
        <f>IF(DATOS!$I18650="","",IFERROR(VLOOKUP(DATOS!$I18650,CONFIG_ASIGNATURAS!$B$2:$J$91,9,FALSE()),""))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IF(DATOS!$A18651="",0,IF(CONFIG_METADATA!$B$4&lt;&gt;"OR+EX",--(DATOS!$G18651=CONFIG_METADATA!$B$4),IF(DATOS!$G18651="EX",1,IF(DATOS!$G18651="OR",--(COUNTIFS(nNIA,DATOS!$A18651,nCURSO,DATOS!$D18651,nESPEC,DATOS!$E18651,nASIG,DATOS!$I18651,nEVAL,"EX")=0),0))))</f>
      </c>
      <c r="H18651">
        <f>IF(DATOS!$G18651&lt;&gt;"EX",0,--(COUNTIFS(nNIA,DATOS!$A18651,nCURSO,DATOS!$D18651,nESPEC,DATOS!$E18651,nASIG,DATOS!$I18651,nEVAL,"OR")=0))</f>
      </c>
      <c r="I18651">
        <f>IF(DATOS!$I18651="","",IFERROR(VLOOKUP(DATOS!$I18651,CONFIG_ASIGNATURAS!$B$2:$J$91,9,FALSE()),""))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IF(DATOS!$A18652="",0,IF(CONFIG_METADATA!$B$4&lt;&gt;"OR+EX",--(DATOS!$G18652=CONFIG_METADATA!$B$4),IF(DATOS!$G18652="EX",1,IF(DATOS!$G18652="OR",--(COUNTIFS(nNIA,DATOS!$A18652,nCURSO,DATOS!$D18652,nESPEC,DATOS!$E18652,nASIG,DATOS!$I18652,nEVAL,"EX")=0),0))))</f>
      </c>
      <c r="H18652">
        <f>IF(DATOS!$G18652&lt;&gt;"EX",0,--(COUNTIFS(nNIA,DATOS!$A18652,nCURSO,DATOS!$D18652,nESPEC,DATOS!$E18652,nASIG,DATOS!$I18652,nEVAL,"OR")=0))</f>
      </c>
      <c r="I18652">
        <f>IF(DATOS!$I18652="","",IFERROR(VLOOKUP(DATOS!$I18652,CONFIG_ASIGNATURAS!$B$2:$J$91,9,FALSE()),""))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IF(DATOS!$A18653="",0,IF(CONFIG_METADATA!$B$4&lt;&gt;"OR+EX",--(DATOS!$G18653=CONFIG_METADATA!$B$4),IF(DATOS!$G18653="EX",1,IF(DATOS!$G18653="OR",--(COUNTIFS(nNIA,DATOS!$A18653,nCURSO,DATOS!$D18653,nESPEC,DATOS!$E18653,nASIG,DATOS!$I18653,nEVAL,"EX")=0),0))))</f>
      </c>
      <c r="H18653">
        <f>IF(DATOS!$G18653&lt;&gt;"EX",0,--(COUNTIFS(nNIA,DATOS!$A18653,nCURSO,DATOS!$D18653,nESPEC,DATOS!$E18653,nASIG,DATOS!$I18653,nEVAL,"OR")=0))</f>
      </c>
      <c r="I18653">
        <f>IF(DATOS!$I18653="","",IFERROR(VLOOKUP(DATOS!$I18653,CONFIG_ASIGNATURAS!$B$2:$J$91,9,FALSE()),""))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IF(DATOS!$A18654="",0,IF(CONFIG_METADATA!$B$4&lt;&gt;"OR+EX",--(DATOS!$G18654=CONFIG_METADATA!$B$4),IF(DATOS!$G18654="EX",1,IF(DATOS!$G18654="OR",--(COUNTIFS(nNIA,DATOS!$A18654,nCURSO,DATOS!$D18654,nESPEC,DATOS!$E18654,nASIG,DATOS!$I18654,nEVAL,"EX")=0),0))))</f>
      </c>
      <c r="H18654">
        <f>IF(DATOS!$G18654&lt;&gt;"EX",0,--(COUNTIFS(nNIA,DATOS!$A18654,nCURSO,DATOS!$D18654,nESPEC,DATOS!$E18654,nASIG,DATOS!$I18654,nEVAL,"OR")=0))</f>
      </c>
      <c r="I18654">
        <f>IF(DATOS!$I18654="","",IFERROR(VLOOKUP(DATOS!$I18654,CONFIG_ASIGNATURAS!$B$2:$J$91,9,FALSE()),""))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IF(DATOS!$A18655="",0,IF(CONFIG_METADATA!$B$4&lt;&gt;"OR+EX",--(DATOS!$G18655=CONFIG_METADATA!$B$4),IF(DATOS!$G18655="EX",1,IF(DATOS!$G18655="OR",--(COUNTIFS(nNIA,DATOS!$A18655,nCURSO,DATOS!$D18655,nESPEC,DATOS!$E18655,nASIG,DATOS!$I18655,nEVAL,"EX")=0),0))))</f>
      </c>
      <c r="H18655">
        <f>IF(DATOS!$G18655&lt;&gt;"EX",0,--(COUNTIFS(nNIA,DATOS!$A18655,nCURSO,DATOS!$D18655,nESPEC,DATOS!$E18655,nASIG,DATOS!$I18655,nEVAL,"OR")=0))</f>
      </c>
      <c r="I18655">
        <f>IF(DATOS!$I18655="","",IFERROR(VLOOKUP(DATOS!$I18655,CONFIG_ASIGNATURAS!$B$2:$J$91,9,FALSE()),""))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IF(DATOS!$A18656="",0,IF(CONFIG_METADATA!$B$4&lt;&gt;"OR+EX",--(DATOS!$G18656=CONFIG_METADATA!$B$4),IF(DATOS!$G18656="EX",1,IF(DATOS!$G18656="OR",--(COUNTIFS(nNIA,DATOS!$A18656,nCURSO,DATOS!$D18656,nESPEC,DATOS!$E18656,nASIG,DATOS!$I18656,nEVAL,"EX")=0),0))))</f>
      </c>
      <c r="H18656">
        <f>IF(DATOS!$G18656&lt;&gt;"EX",0,--(COUNTIFS(nNIA,DATOS!$A18656,nCURSO,DATOS!$D18656,nESPEC,DATOS!$E18656,nASIG,DATOS!$I18656,nEVAL,"OR")=0))</f>
      </c>
      <c r="I18656">
        <f>IF(DATOS!$I18656="","",IFERROR(VLOOKUP(DATOS!$I18656,CONFIG_ASIGNATURAS!$B$2:$J$91,9,FALSE()),""))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IF(DATOS!$A18657="",0,IF(CONFIG_METADATA!$B$4&lt;&gt;"OR+EX",--(DATOS!$G18657=CONFIG_METADATA!$B$4),IF(DATOS!$G18657="EX",1,IF(DATOS!$G18657="OR",--(COUNTIFS(nNIA,DATOS!$A18657,nCURSO,DATOS!$D18657,nESPEC,DATOS!$E18657,nASIG,DATOS!$I18657,nEVAL,"EX")=0),0))))</f>
      </c>
      <c r="H18657">
        <f>IF(DATOS!$G18657&lt;&gt;"EX",0,--(COUNTIFS(nNIA,DATOS!$A18657,nCURSO,DATOS!$D18657,nESPEC,DATOS!$E18657,nASIG,DATOS!$I18657,nEVAL,"OR")=0))</f>
      </c>
      <c r="I18657">
        <f>IF(DATOS!$I18657="","",IFERROR(VLOOKUP(DATOS!$I18657,CONFIG_ASIGNATURAS!$B$2:$J$91,9,FALSE()),""))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IF(DATOS!$A18658="",0,IF(CONFIG_METADATA!$B$4&lt;&gt;"OR+EX",--(DATOS!$G18658=CONFIG_METADATA!$B$4),IF(DATOS!$G18658="EX",1,IF(DATOS!$G18658="OR",--(COUNTIFS(nNIA,DATOS!$A18658,nCURSO,DATOS!$D18658,nESPEC,DATOS!$E18658,nASIG,DATOS!$I18658,nEVAL,"EX")=0),0))))</f>
      </c>
      <c r="H18658">
        <f>IF(DATOS!$G18658&lt;&gt;"EX",0,--(COUNTIFS(nNIA,DATOS!$A18658,nCURSO,DATOS!$D18658,nESPEC,DATOS!$E18658,nASIG,DATOS!$I18658,nEVAL,"OR")=0))</f>
      </c>
      <c r="I18658">
        <f>IF(DATOS!$I18658="","",IFERROR(VLOOKUP(DATOS!$I18658,CONFIG_ASIGNATURAS!$B$2:$J$91,9,FALSE()),""))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IF(DATOS!$A18659="",0,IF(CONFIG_METADATA!$B$4&lt;&gt;"OR+EX",--(DATOS!$G18659=CONFIG_METADATA!$B$4),IF(DATOS!$G18659="EX",1,IF(DATOS!$G18659="OR",--(COUNTIFS(nNIA,DATOS!$A18659,nCURSO,DATOS!$D18659,nESPEC,DATOS!$E18659,nASIG,DATOS!$I18659,nEVAL,"EX")=0),0))))</f>
      </c>
      <c r="H18659">
        <f>IF(DATOS!$G18659&lt;&gt;"EX",0,--(COUNTIFS(nNIA,DATOS!$A18659,nCURSO,DATOS!$D18659,nESPEC,DATOS!$E18659,nASIG,DATOS!$I18659,nEVAL,"OR")=0))</f>
      </c>
      <c r="I18659">
        <f>IF(DATOS!$I18659="","",IFERROR(VLOOKUP(DATOS!$I18659,CONFIG_ASIGNATURAS!$B$2:$J$91,9,FALSE()),""))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IF(DATOS!$A18660="",0,IF(CONFIG_METADATA!$B$4&lt;&gt;"OR+EX",--(DATOS!$G18660=CONFIG_METADATA!$B$4),IF(DATOS!$G18660="EX",1,IF(DATOS!$G18660="OR",--(COUNTIFS(nNIA,DATOS!$A18660,nCURSO,DATOS!$D18660,nESPEC,DATOS!$E18660,nASIG,DATOS!$I18660,nEVAL,"EX")=0),0))))</f>
      </c>
      <c r="H18660">
        <f>IF(DATOS!$G18660&lt;&gt;"EX",0,--(COUNTIFS(nNIA,DATOS!$A18660,nCURSO,DATOS!$D18660,nESPEC,DATOS!$E18660,nASIG,DATOS!$I18660,nEVAL,"OR")=0))</f>
      </c>
      <c r="I18660">
        <f>IF(DATOS!$I18660="","",IFERROR(VLOOKUP(DATOS!$I18660,CONFIG_ASIGNATURAS!$B$2:$J$91,9,FALSE()),""))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IF(DATOS!$A18661="",0,IF(CONFIG_METADATA!$B$4&lt;&gt;"OR+EX",--(DATOS!$G18661=CONFIG_METADATA!$B$4),IF(DATOS!$G18661="EX",1,IF(DATOS!$G18661="OR",--(COUNTIFS(nNIA,DATOS!$A18661,nCURSO,DATOS!$D18661,nESPEC,DATOS!$E18661,nASIG,DATOS!$I18661,nEVAL,"EX")=0),0))))</f>
      </c>
      <c r="H18661">
        <f>IF(DATOS!$G18661&lt;&gt;"EX",0,--(COUNTIFS(nNIA,DATOS!$A18661,nCURSO,DATOS!$D18661,nESPEC,DATOS!$E18661,nASIG,DATOS!$I18661,nEVAL,"OR")=0))</f>
      </c>
      <c r="I18661">
        <f>IF(DATOS!$I18661="","",IFERROR(VLOOKUP(DATOS!$I18661,CONFIG_ASIGNATURAS!$B$2:$J$91,9,FALSE()),""))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IF(DATOS!$A18662="",0,IF(CONFIG_METADATA!$B$4&lt;&gt;"OR+EX",--(DATOS!$G18662=CONFIG_METADATA!$B$4),IF(DATOS!$G18662="EX",1,IF(DATOS!$G18662="OR",--(COUNTIFS(nNIA,DATOS!$A18662,nCURSO,DATOS!$D18662,nESPEC,DATOS!$E18662,nASIG,DATOS!$I18662,nEVAL,"EX")=0),0))))</f>
      </c>
      <c r="H18662">
        <f>IF(DATOS!$G18662&lt;&gt;"EX",0,--(COUNTIFS(nNIA,DATOS!$A18662,nCURSO,DATOS!$D18662,nESPEC,DATOS!$E18662,nASIG,DATOS!$I18662,nEVAL,"OR")=0))</f>
      </c>
      <c r="I18662">
        <f>IF(DATOS!$I18662="","",IFERROR(VLOOKUP(DATOS!$I18662,CONFIG_ASIGNATURAS!$B$2:$J$91,9,FALSE()),""))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IF(DATOS!$A18663="",0,IF(CONFIG_METADATA!$B$4&lt;&gt;"OR+EX",--(DATOS!$G18663=CONFIG_METADATA!$B$4),IF(DATOS!$G18663="EX",1,IF(DATOS!$G18663="OR",--(COUNTIFS(nNIA,DATOS!$A18663,nCURSO,DATOS!$D18663,nESPEC,DATOS!$E18663,nASIG,DATOS!$I18663,nEVAL,"EX")=0),0))))</f>
      </c>
      <c r="H18663">
        <f>IF(DATOS!$G18663&lt;&gt;"EX",0,--(COUNTIFS(nNIA,DATOS!$A18663,nCURSO,DATOS!$D18663,nESPEC,DATOS!$E18663,nASIG,DATOS!$I18663,nEVAL,"OR")=0))</f>
      </c>
      <c r="I18663">
        <f>IF(DATOS!$I18663="","",IFERROR(VLOOKUP(DATOS!$I18663,CONFIG_ASIGNATURAS!$B$2:$J$91,9,FALSE()),""))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IF(DATOS!$A18664="",0,IF(CONFIG_METADATA!$B$4&lt;&gt;"OR+EX",--(DATOS!$G18664=CONFIG_METADATA!$B$4),IF(DATOS!$G18664="EX",1,IF(DATOS!$G18664="OR",--(COUNTIFS(nNIA,DATOS!$A18664,nCURSO,DATOS!$D18664,nESPEC,DATOS!$E18664,nASIG,DATOS!$I18664,nEVAL,"EX")=0),0))))</f>
      </c>
      <c r="H18664">
        <f>IF(DATOS!$G18664&lt;&gt;"EX",0,--(COUNTIFS(nNIA,DATOS!$A18664,nCURSO,DATOS!$D18664,nESPEC,DATOS!$E18664,nASIG,DATOS!$I18664,nEVAL,"OR")=0))</f>
      </c>
      <c r="I18664">
        <f>IF(DATOS!$I18664="","",IFERROR(VLOOKUP(DATOS!$I18664,CONFIG_ASIGNATURAS!$B$2:$J$91,9,FALSE()),""))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IF(DATOS!$A18665="",0,IF(CONFIG_METADATA!$B$4&lt;&gt;"OR+EX",--(DATOS!$G18665=CONFIG_METADATA!$B$4),IF(DATOS!$G18665="EX",1,IF(DATOS!$G18665="OR",--(COUNTIFS(nNIA,DATOS!$A18665,nCURSO,DATOS!$D18665,nESPEC,DATOS!$E18665,nASIG,DATOS!$I18665,nEVAL,"EX")=0),0))))</f>
      </c>
      <c r="H18665">
        <f>IF(DATOS!$G18665&lt;&gt;"EX",0,--(COUNTIFS(nNIA,DATOS!$A18665,nCURSO,DATOS!$D18665,nESPEC,DATOS!$E18665,nASIG,DATOS!$I18665,nEVAL,"OR")=0))</f>
      </c>
      <c r="I18665">
        <f>IF(DATOS!$I18665="","",IFERROR(VLOOKUP(DATOS!$I18665,CONFIG_ASIGNATURAS!$B$2:$J$91,9,FALSE()),""))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IF(DATOS!$A18666="",0,IF(CONFIG_METADATA!$B$4&lt;&gt;"OR+EX",--(DATOS!$G18666=CONFIG_METADATA!$B$4),IF(DATOS!$G18666="EX",1,IF(DATOS!$G18666="OR",--(COUNTIFS(nNIA,DATOS!$A18666,nCURSO,DATOS!$D18666,nESPEC,DATOS!$E18666,nASIG,DATOS!$I18666,nEVAL,"EX")=0),0))))</f>
      </c>
      <c r="H18666">
        <f>IF(DATOS!$G18666&lt;&gt;"EX",0,--(COUNTIFS(nNIA,DATOS!$A18666,nCURSO,DATOS!$D18666,nESPEC,DATOS!$E18666,nASIG,DATOS!$I18666,nEVAL,"OR")=0))</f>
      </c>
      <c r="I18666">
        <f>IF(DATOS!$I18666="","",IFERROR(VLOOKUP(DATOS!$I18666,CONFIG_ASIGNATURAS!$B$2:$J$91,9,FALSE()),""))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IF(DATOS!$A18667="",0,IF(CONFIG_METADATA!$B$4&lt;&gt;"OR+EX",--(DATOS!$G18667=CONFIG_METADATA!$B$4),IF(DATOS!$G18667="EX",1,IF(DATOS!$G18667="OR",--(COUNTIFS(nNIA,DATOS!$A18667,nCURSO,DATOS!$D18667,nESPEC,DATOS!$E18667,nASIG,DATOS!$I18667,nEVAL,"EX")=0),0))))</f>
      </c>
      <c r="H18667">
        <f>IF(DATOS!$G18667&lt;&gt;"EX",0,--(COUNTIFS(nNIA,DATOS!$A18667,nCURSO,DATOS!$D18667,nESPEC,DATOS!$E18667,nASIG,DATOS!$I18667,nEVAL,"OR")=0))</f>
      </c>
      <c r="I18667">
        <f>IF(DATOS!$I18667="","",IFERROR(VLOOKUP(DATOS!$I18667,CONFIG_ASIGNATURAS!$B$2:$J$91,9,FALSE()),""))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IF(DATOS!$A18668="",0,IF(CONFIG_METADATA!$B$4&lt;&gt;"OR+EX",--(DATOS!$G18668=CONFIG_METADATA!$B$4),IF(DATOS!$G18668="EX",1,IF(DATOS!$G18668="OR",--(COUNTIFS(nNIA,DATOS!$A18668,nCURSO,DATOS!$D18668,nESPEC,DATOS!$E18668,nASIG,DATOS!$I18668,nEVAL,"EX")=0),0))))</f>
      </c>
      <c r="H18668">
        <f>IF(DATOS!$G18668&lt;&gt;"EX",0,--(COUNTIFS(nNIA,DATOS!$A18668,nCURSO,DATOS!$D18668,nESPEC,DATOS!$E18668,nASIG,DATOS!$I18668,nEVAL,"OR")=0))</f>
      </c>
      <c r="I18668">
        <f>IF(DATOS!$I18668="","",IFERROR(VLOOKUP(DATOS!$I18668,CONFIG_ASIGNATURAS!$B$2:$J$91,9,FALSE()),""))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IF(DATOS!$A18669="",0,IF(CONFIG_METADATA!$B$4&lt;&gt;"OR+EX",--(DATOS!$G18669=CONFIG_METADATA!$B$4),IF(DATOS!$G18669="EX",1,IF(DATOS!$G18669="OR",--(COUNTIFS(nNIA,DATOS!$A18669,nCURSO,DATOS!$D18669,nESPEC,DATOS!$E18669,nASIG,DATOS!$I18669,nEVAL,"EX")=0),0))))</f>
      </c>
      <c r="H18669">
        <f>IF(DATOS!$G18669&lt;&gt;"EX",0,--(COUNTIFS(nNIA,DATOS!$A18669,nCURSO,DATOS!$D18669,nESPEC,DATOS!$E18669,nASIG,DATOS!$I18669,nEVAL,"OR")=0))</f>
      </c>
      <c r="I18669">
        <f>IF(DATOS!$I18669="","",IFERROR(VLOOKUP(DATOS!$I18669,CONFIG_ASIGNATURAS!$B$2:$J$91,9,FALSE()),""))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IF(DATOS!$A18670="",0,IF(CONFIG_METADATA!$B$4&lt;&gt;"OR+EX",--(DATOS!$G18670=CONFIG_METADATA!$B$4),IF(DATOS!$G18670="EX",1,IF(DATOS!$G18670="OR",--(COUNTIFS(nNIA,DATOS!$A18670,nCURSO,DATOS!$D18670,nESPEC,DATOS!$E18670,nASIG,DATOS!$I18670,nEVAL,"EX")=0),0))))</f>
      </c>
      <c r="H18670">
        <f>IF(DATOS!$G18670&lt;&gt;"EX",0,--(COUNTIFS(nNIA,DATOS!$A18670,nCURSO,DATOS!$D18670,nESPEC,DATOS!$E18670,nASIG,DATOS!$I18670,nEVAL,"OR")=0))</f>
      </c>
      <c r="I18670">
        <f>IF(DATOS!$I18670="","",IFERROR(VLOOKUP(DATOS!$I18670,CONFIG_ASIGNATURAS!$B$2:$J$91,9,FALSE()),""))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IF(DATOS!$A18671="",0,IF(CONFIG_METADATA!$B$4&lt;&gt;"OR+EX",--(DATOS!$G18671=CONFIG_METADATA!$B$4),IF(DATOS!$G18671="EX",1,IF(DATOS!$G18671="OR",--(COUNTIFS(nNIA,DATOS!$A18671,nCURSO,DATOS!$D18671,nESPEC,DATOS!$E18671,nASIG,DATOS!$I18671,nEVAL,"EX")=0),0))))</f>
      </c>
      <c r="H18671">
        <f>IF(DATOS!$G18671&lt;&gt;"EX",0,--(COUNTIFS(nNIA,DATOS!$A18671,nCURSO,DATOS!$D18671,nESPEC,DATOS!$E18671,nASIG,DATOS!$I18671,nEVAL,"OR")=0))</f>
      </c>
      <c r="I18671">
        <f>IF(DATOS!$I18671="","",IFERROR(VLOOKUP(DATOS!$I18671,CONFIG_ASIGNATURAS!$B$2:$J$91,9,FALSE()),""))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IF(DATOS!$A18672="",0,IF(CONFIG_METADATA!$B$4&lt;&gt;"OR+EX",--(DATOS!$G18672=CONFIG_METADATA!$B$4),IF(DATOS!$G18672="EX",1,IF(DATOS!$G18672="OR",--(COUNTIFS(nNIA,DATOS!$A18672,nCURSO,DATOS!$D18672,nESPEC,DATOS!$E18672,nASIG,DATOS!$I18672,nEVAL,"EX")=0),0))))</f>
      </c>
      <c r="H18672">
        <f>IF(DATOS!$G18672&lt;&gt;"EX",0,--(COUNTIFS(nNIA,DATOS!$A18672,nCURSO,DATOS!$D18672,nESPEC,DATOS!$E18672,nASIG,DATOS!$I18672,nEVAL,"OR")=0))</f>
      </c>
      <c r="I18672">
        <f>IF(DATOS!$I18672="","",IFERROR(VLOOKUP(DATOS!$I18672,CONFIG_ASIGNATURAS!$B$2:$J$91,9,FALSE()),""))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IF(DATOS!$A18673="",0,IF(CONFIG_METADATA!$B$4&lt;&gt;"OR+EX",--(DATOS!$G18673=CONFIG_METADATA!$B$4),IF(DATOS!$G18673="EX",1,IF(DATOS!$G18673="OR",--(COUNTIFS(nNIA,DATOS!$A18673,nCURSO,DATOS!$D18673,nESPEC,DATOS!$E18673,nASIG,DATOS!$I18673,nEVAL,"EX")=0),0))))</f>
      </c>
      <c r="H18673">
        <f>IF(DATOS!$G18673&lt;&gt;"EX",0,--(COUNTIFS(nNIA,DATOS!$A18673,nCURSO,DATOS!$D18673,nESPEC,DATOS!$E18673,nASIG,DATOS!$I18673,nEVAL,"OR")=0))</f>
      </c>
      <c r="I18673">
        <f>IF(DATOS!$I18673="","",IFERROR(VLOOKUP(DATOS!$I18673,CONFIG_ASIGNATURAS!$B$2:$J$91,9,FALSE()),""))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IF(DATOS!$A18674="",0,IF(CONFIG_METADATA!$B$4&lt;&gt;"OR+EX",--(DATOS!$G18674=CONFIG_METADATA!$B$4),IF(DATOS!$G18674="EX",1,IF(DATOS!$G18674="OR",--(COUNTIFS(nNIA,DATOS!$A18674,nCURSO,DATOS!$D18674,nESPEC,DATOS!$E18674,nASIG,DATOS!$I18674,nEVAL,"EX")=0),0))))</f>
      </c>
      <c r="H18674">
        <f>IF(DATOS!$G18674&lt;&gt;"EX",0,--(COUNTIFS(nNIA,DATOS!$A18674,nCURSO,DATOS!$D18674,nESPEC,DATOS!$E18674,nASIG,DATOS!$I18674,nEVAL,"OR")=0))</f>
      </c>
      <c r="I18674">
        <f>IF(DATOS!$I18674="","",IFERROR(VLOOKUP(DATOS!$I18674,CONFIG_ASIGNATURAS!$B$2:$J$91,9,FALSE()),""))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IF(DATOS!$A18675="",0,IF(CONFIG_METADATA!$B$4&lt;&gt;"OR+EX",--(DATOS!$G18675=CONFIG_METADATA!$B$4),IF(DATOS!$G18675="EX",1,IF(DATOS!$G18675="OR",--(COUNTIFS(nNIA,DATOS!$A18675,nCURSO,DATOS!$D18675,nESPEC,DATOS!$E18675,nASIG,DATOS!$I18675,nEVAL,"EX")=0),0))))</f>
      </c>
      <c r="H18675">
        <f>IF(DATOS!$G18675&lt;&gt;"EX",0,--(COUNTIFS(nNIA,DATOS!$A18675,nCURSO,DATOS!$D18675,nESPEC,DATOS!$E18675,nASIG,DATOS!$I18675,nEVAL,"OR")=0))</f>
      </c>
      <c r="I18675">
        <f>IF(DATOS!$I18675="","",IFERROR(VLOOKUP(DATOS!$I18675,CONFIG_ASIGNATURAS!$B$2:$J$91,9,FALSE()),""))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IF(DATOS!$A18676="",0,IF(CONFIG_METADATA!$B$4&lt;&gt;"OR+EX",--(DATOS!$G18676=CONFIG_METADATA!$B$4),IF(DATOS!$G18676="EX",1,IF(DATOS!$G18676="OR",--(COUNTIFS(nNIA,DATOS!$A18676,nCURSO,DATOS!$D18676,nESPEC,DATOS!$E18676,nASIG,DATOS!$I18676,nEVAL,"EX")=0),0))))</f>
      </c>
      <c r="H18676">
        <f>IF(DATOS!$G18676&lt;&gt;"EX",0,--(COUNTIFS(nNIA,DATOS!$A18676,nCURSO,DATOS!$D18676,nESPEC,DATOS!$E18676,nASIG,DATOS!$I18676,nEVAL,"OR")=0))</f>
      </c>
      <c r="I18676">
        <f>IF(DATOS!$I18676="","",IFERROR(VLOOKUP(DATOS!$I18676,CONFIG_ASIGNATURAS!$B$2:$J$91,9,FALSE()),""))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IF(DATOS!$A18677="",0,IF(CONFIG_METADATA!$B$4&lt;&gt;"OR+EX",--(DATOS!$G18677=CONFIG_METADATA!$B$4),IF(DATOS!$G18677="EX",1,IF(DATOS!$G18677="OR",--(COUNTIFS(nNIA,DATOS!$A18677,nCURSO,DATOS!$D18677,nESPEC,DATOS!$E18677,nASIG,DATOS!$I18677,nEVAL,"EX")=0),0))))</f>
      </c>
      <c r="H18677">
        <f>IF(DATOS!$G18677&lt;&gt;"EX",0,--(COUNTIFS(nNIA,DATOS!$A18677,nCURSO,DATOS!$D18677,nESPEC,DATOS!$E18677,nASIG,DATOS!$I18677,nEVAL,"OR")=0))</f>
      </c>
      <c r="I18677">
        <f>IF(DATOS!$I18677="","",IFERROR(VLOOKUP(DATOS!$I18677,CONFIG_ASIGNATURAS!$B$2:$J$91,9,FALSE()),""))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IF(DATOS!$A18678="",0,IF(CONFIG_METADATA!$B$4&lt;&gt;"OR+EX",--(DATOS!$G18678=CONFIG_METADATA!$B$4),IF(DATOS!$G18678="EX",1,IF(DATOS!$G18678="OR",--(COUNTIFS(nNIA,DATOS!$A18678,nCURSO,DATOS!$D18678,nESPEC,DATOS!$E18678,nASIG,DATOS!$I18678,nEVAL,"EX")=0),0))))</f>
      </c>
      <c r="H18678">
        <f>IF(DATOS!$G18678&lt;&gt;"EX",0,--(COUNTIFS(nNIA,DATOS!$A18678,nCURSO,DATOS!$D18678,nESPEC,DATOS!$E18678,nASIG,DATOS!$I18678,nEVAL,"OR")=0))</f>
      </c>
      <c r="I18678">
        <f>IF(DATOS!$I18678="","",IFERROR(VLOOKUP(DATOS!$I18678,CONFIG_ASIGNATURAS!$B$2:$J$91,9,FALSE()),""))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IF(DATOS!$A18679="",0,IF(CONFIG_METADATA!$B$4&lt;&gt;"OR+EX",--(DATOS!$G18679=CONFIG_METADATA!$B$4),IF(DATOS!$G18679="EX",1,IF(DATOS!$G18679="OR",--(COUNTIFS(nNIA,DATOS!$A18679,nCURSO,DATOS!$D18679,nESPEC,DATOS!$E18679,nASIG,DATOS!$I18679,nEVAL,"EX")=0),0))))</f>
      </c>
      <c r="H18679">
        <f>IF(DATOS!$G18679&lt;&gt;"EX",0,--(COUNTIFS(nNIA,DATOS!$A18679,nCURSO,DATOS!$D18679,nESPEC,DATOS!$E18679,nASIG,DATOS!$I18679,nEVAL,"OR")=0))</f>
      </c>
      <c r="I18679">
        <f>IF(DATOS!$I18679="","",IFERROR(VLOOKUP(DATOS!$I18679,CONFIG_ASIGNATURAS!$B$2:$J$91,9,FALSE()),""))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IF(DATOS!$A18680="",0,IF(CONFIG_METADATA!$B$4&lt;&gt;"OR+EX",--(DATOS!$G18680=CONFIG_METADATA!$B$4),IF(DATOS!$G18680="EX",1,IF(DATOS!$G18680="OR",--(COUNTIFS(nNIA,DATOS!$A18680,nCURSO,DATOS!$D18680,nESPEC,DATOS!$E18680,nASIG,DATOS!$I18680,nEVAL,"EX")=0),0))))</f>
      </c>
      <c r="H18680">
        <f>IF(DATOS!$G18680&lt;&gt;"EX",0,--(COUNTIFS(nNIA,DATOS!$A18680,nCURSO,DATOS!$D18680,nESPEC,DATOS!$E18680,nASIG,DATOS!$I18680,nEVAL,"OR")=0))</f>
      </c>
      <c r="I18680">
        <f>IF(DATOS!$I18680="","",IFERROR(VLOOKUP(DATOS!$I18680,CONFIG_ASIGNATURAS!$B$2:$J$91,9,FALSE()),""))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IF(DATOS!$A18681="",0,IF(CONFIG_METADATA!$B$4&lt;&gt;"OR+EX",--(DATOS!$G18681=CONFIG_METADATA!$B$4),IF(DATOS!$G18681="EX",1,IF(DATOS!$G18681="OR",--(COUNTIFS(nNIA,DATOS!$A18681,nCURSO,DATOS!$D18681,nESPEC,DATOS!$E18681,nASIG,DATOS!$I18681,nEVAL,"EX")=0),0))))</f>
      </c>
      <c r="H18681">
        <f>IF(DATOS!$G18681&lt;&gt;"EX",0,--(COUNTIFS(nNIA,DATOS!$A18681,nCURSO,DATOS!$D18681,nESPEC,DATOS!$E18681,nASIG,DATOS!$I18681,nEVAL,"OR")=0))</f>
      </c>
      <c r="I18681">
        <f>IF(DATOS!$I18681="","",IFERROR(VLOOKUP(DATOS!$I18681,CONFIG_ASIGNATURAS!$B$2:$J$91,9,FALSE()),""))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IF(DATOS!$A18682="",0,IF(CONFIG_METADATA!$B$4&lt;&gt;"OR+EX",--(DATOS!$G18682=CONFIG_METADATA!$B$4),IF(DATOS!$G18682="EX",1,IF(DATOS!$G18682="OR",--(COUNTIFS(nNIA,DATOS!$A18682,nCURSO,DATOS!$D18682,nESPEC,DATOS!$E18682,nASIG,DATOS!$I18682,nEVAL,"EX")=0),0))))</f>
      </c>
      <c r="H18682">
        <f>IF(DATOS!$G18682&lt;&gt;"EX",0,--(COUNTIFS(nNIA,DATOS!$A18682,nCURSO,DATOS!$D18682,nESPEC,DATOS!$E18682,nASIG,DATOS!$I18682,nEVAL,"OR")=0))</f>
      </c>
      <c r="I18682">
        <f>IF(DATOS!$I18682="","",IFERROR(VLOOKUP(DATOS!$I18682,CONFIG_ASIGNATURAS!$B$2:$J$91,9,FALSE()),""))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IF(DATOS!$A18683="",0,IF(CONFIG_METADATA!$B$4&lt;&gt;"OR+EX",--(DATOS!$G18683=CONFIG_METADATA!$B$4),IF(DATOS!$G18683="EX",1,IF(DATOS!$G18683="OR",--(COUNTIFS(nNIA,DATOS!$A18683,nCURSO,DATOS!$D18683,nESPEC,DATOS!$E18683,nASIG,DATOS!$I18683,nEVAL,"EX")=0),0))))</f>
      </c>
      <c r="H18683">
        <f>IF(DATOS!$G18683&lt;&gt;"EX",0,--(COUNTIFS(nNIA,DATOS!$A18683,nCURSO,DATOS!$D18683,nESPEC,DATOS!$E18683,nASIG,DATOS!$I18683,nEVAL,"OR")=0))</f>
      </c>
      <c r="I18683">
        <f>IF(DATOS!$I18683="","",IFERROR(VLOOKUP(DATOS!$I18683,CONFIG_ASIGNATURAS!$B$2:$J$91,9,FALSE()),""))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IF(DATOS!$A18684="",0,IF(CONFIG_METADATA!$B$4&lt;&gt;"OR+EX",--(DATOS!$G18684=CONFIG_METADATA!$B$4),IF(DATOS!$G18684="EX",1,IF(DATOS!$G18684="OR",--(COUNTIFS(nNIA,DATOS!$A18684,nCURSO,DATOS!$D18684,nESPEC,DATOS!$E18684,nASIG,DATOS!$I18684,nEVAL,"EX")=0),0))))</f>
      </c>
      <c r="H18684">
        <f>IF(DATOS!$G18684&lt;&gt;"EX",0,--(COUNTIFS(nNIA,DATOS!$A18684,nCURSO,DATOS!$D18684,nESPEC,DATOS!$E18684,nASIG,DATOS!$I18684,nEVAL,"OR")=0))</f>
      </c>
      <c r="I18684">
        <f>IF(DATOS!$I18684="","",IFERROR(VLOOKUP(DATOS!$I18684,CONFIG_ASIGNATURAS!$B$2:$J$91,9,FALSE()),""))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IF(DATOS!$A18685="",0,IF(CONFIG_METADATA!$B$4&lt;&gt;"OR+EX",--(DATOS!$G18685=CONFIG_METADATA!$B$4),IF(DATOS!$G18685="EX",1,IF(DATOS!$G18685="OR",--(COUNTIFS(nNIA,DATOS!$A18685,nCURSO,DATOS!$D18685,nESPEC,DATOS!$E18685,nASIG,DATOS!$I18685,nEVAL,"EX")=0),0))))</f>
      </c>
      <c r="H18685">
        <f>IF(DATOS!$G18685&lt;&gt;"EX",0,--(COUNTIFS(nNIA,DATOS!$A18685,nCURSO,DATOS!$D18685,nESPEC,DATOS!$E18685,nASIG,DATOS!$I18685,nEVAL,"OR")=0))</f>
      </c>
      <c r="I18685">
        <f>IF(DATOS!$I18685="","",IFERROR(VLOOKUP(DATOS!$I18685,CONFIG_ASIGNATURAS!$B$2:$J$91,9,FALSE()),""))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IF(DATOS!$A18686="",0,IF(CONFIG_METADATA!$B$4&lt;&gt;"OR+EX",--(DATOS!$G18686=CONFIG_METADATA!$B$4),IF(DATOS!$G18686="EX",1,IF(DATOS!$G18686="OR",--(COUNTIFS(nNIA,DATOS!$A18686,nCURSO,DATOS!$D18686,nESPEC,DATOS!$E18686,nASIG,DATOS!$I18686,nEVAL,"EX")=0),0))))</f>
      </c>
      <c r="H18686">
        <f>IF(DATOS!$G18686&lt;&gt;"EX",0,--(COUNTIFS(nNIA,DATOS!$A18686,nCURSO,DATOS!$D18686,nESPEC,DATOS!$E18686,nASIG,DATOS!$I18686,nEVAL,"OR")=0))</f>
      </c>
      <c r="I18686">
        <f>IF(DATOS!$I18686="","",IFERROR(VLOOKUP(DATOS!$I18686,CONFIG_ASIGNATURAS!$B$2:$J$91,9,FALSE()),""))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IF(DATOS!$A18687="",0,IF(CONFIG_METADATA!$B$4&lt;&gt;"OR+EX",--(DATOS!$G18687=CONFIG_METADATA!$B$4),IF(DATOS!$G18687="EX",1,IF(DATOS!$G18687="OR",--(COUNTIFS(nNIA,DATOS!$A18687,nCURSO,DATOS!$D18687,nESPEC,DATOS!$E18687,nASIG,DATOS!$I18687,nEVAL,"EX")=0),0))))</f>
      </c>
      <c r="H18687">
        <f>IF(DATOS!$G18687&lt;&gt;"EX",0,--(COUNTIFS(nNIA,DATOS!$A18687,nCURSO,DATOS!$D18687,nESPEC,DATOS!$E18687,nASIG,DATOS!$I18687,nEVAL,"OR")=0))</f>
      </c>
      <c r="I18687">
        <f>IF(DATOS!$I18687="","",IFERROR(VLOOKUP(DATOS!$I18687,CONFIG_ASIGNATURAS!$B$2:$J$91,9,FALSE()),""))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IF(DATOS!$A18688="",0,IF(CONFIG_METADATA!$B$4&lt;&gt;"OR+EX",--(DATOS!$G18688=CONFIG_METADATA!$B$4),IF(DATOS!$G18688="EX",1,IF(DATOS!$G18688="OR",--(COUNTIFS(nNIA,DATOS!$A18688,nCURSO,DATOS!$D18688,nESPEC,DATOS!$E18688,nASIG,DATOS!$I18688,nEVAL,"EX")=0),0))))</f>
      </c>
      <c r="H18688">
        <f>IF(DATOS!$G18688&lt;&gt;"EX",0,--(COUNTIFS(nNIA,DATOS!$A18688,nCURSO,DATOS!$D18688,nESPEC,DATOS!$E18688,nASIG,DATOS!$I18688,nEVAL,"OR")=0))</f>
      </c>
      <c r="I18688">
        <f>IF(DATOS!$I18688="","",IFERROR(VLOOKUP(DATOS!$I18688,CONFIG_ASIGNATURAS!$B$2:$J$91,9,FALSE()),""))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IF(DATOS!$A18689="",0,IF(CONFIG_METADATA!$B$4&lt;&gt;"OR+EX",--(DATOS!$G18689=CONFIG_METADATA!$B$4),IF(DATOS!$G18689="EX",1,IF(DATOS!$G18689="OR",--(COUNTIFS(nNIA,DATOS!$A18689,nCURSO,DATOS!$D18689,nESPEC,DATOS!$E18689,nASIG,DATOS!$I18689,nEVAL,"EX")=0),0))))</f>
      </c>
      <c r="H18689">
        <f>IF(DATOS!$G18689&lt;&gt;"EX",0,--(COUNTIFS(nNIA,DATOS!$A18689,nCURSO,DATOS!$D18689,nESPEC,DATOS!$E18689,nASIG,DATOS!$I18689,nEVAL,"OR")=0))</f>
      </c>
      <c r="I18689">
        <f>IF(DATOS!$I18689="","",IFERROR(VLOOKUP(DATOS!$I18689,CONFIG_ASIGNATURAS!$B$2:$J$91,9,FALSE()),""))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IF(DATOS!$A18690="",0,IF(CONFIG_METADATA!$B$4&lt;&gt;"OR+EX",--(DATOS!$G18690=CONFIG_METADATA!$B$4),IF(DATOS!$G18690="EX",1,IF(DATOS!$G18690="OR",--(COUNTIFS(nNIA,DATOS!$A18690,nCURSO,DATOS!$D18690,nESPEC,DATOS!$E18690,nASIG,DATOS!$I18690,nEVAL,"EX")=0),0))))</f>
      </c>
      <c r="H18690">
        <f>IF(DATOS!$G18690&lt;&gt;"EX",0,--(COUNTIFS(nNIA,DATOS!$A18690,nCURSO,DATOS!$D18690,nESPEC,DATOS!$E18690,nASIG,DATOS!$I18690,nEVAL,"OR")=0))</f>
      </c>
      <c r="I18690">
        <f>IF(DATOS!$I18690="","",IFERROR(VLOOKUP(DATOS!$I18690,CONFIG_ASIGNATURAS!$B$2:$J$91,9,FALSE()),""))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IF(DATOS!$A18691="",0,IF(CONFIG_METADATA!$B$4&lt;&gt;"OR+EX",--(DATOS!$G18691=CONFIG_METADATA!$B$4),IF(DATOS!$G18691="EX",1,IF(DATOS!$G18691="OR",--(COUNTIFS(nNIA,DATOS!$A18691,nCURSO,DATOS!$D18691,nESPEC,DATOS!$E18691,nASIG,DATOS!$I18691,nEVAL,"EX")=0),0))))</f>
      </c>
      <c r="H18691">
        <f>IF(DATOS!$G18691&lt;&gt;"EX",0,--(COUNTIFS(nNIA,DATOS!$A18691,nCURSO,DATOS!$D18691,nESPEC,DATOS!$E18691,nASIG,DATOS!$I18691,nEVAL,"OR")=0))</f>
      </c>
      <c r="I18691">
        <f>IF(DATOS!$I18691="","",IFERROR(VLOOKUP(DATOS!$I18691,CONFIG_ASIGNATURAS!$B$2:$J$91,9,FALSE()),""))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IF(DATOS!$A18692="",0,IF(CONFIG_METADATA!$B$4&lt;&gt;"OR+EX",--(DATOS!$G18692=CONFIG_METADATA!$B$4),IF(DATOS!$G18692="EX",1,IF(DATOS!$G18692="OR",--(COUNTIFS(nNIA,DATOS!$A18692,nCURSO,DATOS!$D18692,nESPEC,DATOS!$E18692,nASIG,DATOS!$I18692,nEVAL,"EX")=0),0))))</f>
      </c>
      <c r="H18692">
        <f>IF(DATOS!$G18692&lt;&gt;"EX",0,--(COUNTIFS(nNIA,DATOS!$A18692,nCURSO,DATOS!$D18692,nESPEC,DATOS!$E18692,nASIG,DATOS!$I18692,nEVAL,"OR")=0))</f>
      </c>
      <c r="I18692">
        <f>IF(DATOS!$I18692="","",IFERROR(VLOOKUP(DATOS!$I18692,CONFIG_ASIGNATURAS!$B$2:$J$91,9,FALSE()),""))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IF(DATOS!$A18693="",0,IF(CONFIG_METADATA!$B$4&lt;&gt;"OR+EX",--(DATOS!$G18693=CONFIG_METADATA!$B$4),IF(DATOS!$G18693="EX",1,IF(DATOS!$G18693="OR",--(COUNTIFS(nNIA,DATOS!$A18693,nCURSO,DATOS!$D18693,nESPEC,DATOS!$E18693,nASIG,DATOS!$I18693,nEVAL,"EX")=0),0))))</f>
      </c>
      <c r="H18693">
        <f>IF(DATOS!$G18693&lt;&gt;"EX",0,--(COUNTIFS(nNIA,DATOS!$A18693,nCURSO,DATOS!$D18693,nESPEC,DATOS!$E18693,nASIG,DATOS!$I18693,nEVAL,"OR")=0))</f>
      </c>
      <c r="I18693">
        <f>IF(DATOS!$I18693="","",IFERROR(VLOOKUP(DATOS!$I18693,CONFIG_ASIGNATURAS!$B$2:$J$91,9,FALSE()),""))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IF(DATOS!$A18694="",0,IF(CONFIG_METADATA!$B$4&lt;&gt;"OR+EX",--(DATOS!$G18694=CONFIG_METADATA!$B$4),IF(DATOS!$G18694="EX",1,IF(DATOS!$G18694="OR",--(COUNTIFS(nNIA,DATOS!$A18694,nCURSO,DATOS!$D18694,nESPEC,DATOS!$E18694,nASIG,DATOS!$I18694,nEVAL,"EX")=0),0))))</f>
      </c>
      <c r="H18694">
        <f>IF(DATOS!$G18694&lt;&gt;"EX",0,--(COUNTIFS(nNIA,DATOS!$A18694,nCURSO,DATOS!$D18694,nESPEC,DATOS!$E18694,nASIG,DATOS!$I18694,nEVAL,"OR")=0))</f>
      </c>
      <c r="I18694">
        <f>IF(DATOS!$I18694="","",IFERROR(VLOOKUP(DATOS!$I18694,CONFIG_ASIGNATURAS!$B$2:$J$91,9,FALSE()),""))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IF(DATOS!$A18695="",0,IF(CONFIG_METADATA!$B$4&lt;&gt;"OR+EX",--(DATOS!$G18695=CONFIG_METADATA!$B$4),IF(DATOS!$G18695="EX",1,IF(DATOS!$G18695="OR",--(COUNTIFS(nNIA,DATOS!$A18695,nCURSO,DATOS!$D18695,nESPEC,DATOS!$E18695,nASIG,DATOS!$I18695,nEVAL,"EX")=0),0))))</f>
      </c>
      <c r="H18695">
        <f>IF(DATOS!$G18695&lt;&gt;"EX",0,--(COUNTIFS(nNIA,DATOS!$A18695,nCURSO,DATOS!$D18695,nESPEC,DATOS!$E18695,nASIG,DATOS!$I18695,nEVAL,"OR")=0))</f>
      </c>
      <c r="I18695">
        <f>IF(DATOS!$I18695="","",IFERROR(VLOOKUP(DATOS!$I18695,CONFIG_ASIGNATURAS!$B$2:$J$91,9,FALSE()),""))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IF(DATOS!$A18696="",0,IF(CONFIG_METADATA!$B$4&lt;&gt;"OR+EX",--(DATOS!$G18696=CONFIG_METADATA!$B$4),IF(DATOS!$G18696="EX",1,IF(DATOS!$G18696="OR",--(COUNTIFS(nNIA,DATOS!$A18696,nCURSO,DATOS!$D18696,nESPEC,DATOS!$E18696,nASIG,DATOS!$I18696,nEVAL,"EX")=0),0))))</f>
      </c>
      <c r="H18696">
        <f>IF(DATOS!$G18696&lt;&gt;"EX",0,--(COUNTIFS(nNIA,DATOS!$A18696,nCURSO,DATOS!$D18696,nESPEC,DATOS!$E18696,nASIG,DATOS!$I18696,nEVAL,"OR")=0))</f>
      </c>
      <c r="I18696">
        <f>IF(DATOS!$I18696="","",IFERROR(VLOOKUP(DATOS!$I18696,CONFIG_ASIGNATURAS!$B$2:$J$91,9,FALSE()),""))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IF(DATOS!$A18697="",0,IF(CONFIG_METADATA!$B$4&lt;&gt;"OR+EX",--(DATOS!$G18697=CONFIG_METADATA!$B$4),IF(DATOS!$G18697="EX",1,IF(DATOS!$G18697="OR",--(COUNTIFS(nNIA,DATOS!$A18697,nCURSO,DATOS!$D18697,nESPEC,DATOS!$E18697,nASIG,DATOS!$I18697,nEVAL,"EX")=0),0))))</f>
      </c>
      <c r="H18697">
        <f>IF(DATOS!$G18697&lt;&gt;"EX",0,--(COUNTIFS(nNIA,DATOS!$A18697,nCURSO,DATOS!$D18697,nESPEC,DATOS!$E18697,nASIG,DATOS!$I18697,nEVAL,"OR")=0))</f>
      </c>
      <c r="I18697">
        <f>IF(DATOS!$I18697="","",IFERROR(VLOOKUP(DATOS!$I18697,CONFIG_ASIGNATURAS!$B$2:$J$91,9,FALSE()),""))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IF(DATOS!$A18698="",0,IF(CONFIG_METADATA!$B$4&lt;&gt;"OR+EX",--(DATOS!$G18698=CONFIG_METADATA!$B$4),IF(DATOS!$G18698="EX",1,IF(DATOS!$G18698="OR",--(COUNTIFS(nNIA,DATOS!$A18698,nCURSO,DATOS!$D18698,nESPEC,DATOS!$E18698,nASIG,DATOS!$I18698,nEVAL,"EX")=0),0))))</f>
      </c>
      <c r="H18698">
        <f>IF(DATOS!$G18698&lt;&gt;"EX",0,--(COUNTIFS(nNIA,DATOS!$A18698,nCURSO,DATOS!$D18698,nESPEC,DATOS!$E18698,nASIG,DATOS!$I18698,nEVAL,"OR")=0))</f>
      </c>
      <c r="I18698">
        <f>IF(DATOS!$I18698="","",IFERROR(VLOOKUP(DATOS!$I18698,CONFIG_ASIGNATURAS!$B$2:$J$91,9,FALSE()),""))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IF(DATOS!$A18699="",0,IF(CONFIG_METADATA!$B$4&lt;&gt;"OR+EX",--(DATOS!$G18699=CONFIG_METADATA!$B$4),IF(DATOS!$G18699="EX",1,IF(DATOS!$G18699="OR",--(COUNTIFS(nNIA,DATOS!$A18699,nCURSO,DATOS!$D18699,nESPEC,DATOS!$E18699,nASIG,DATOS!$I18699,nEVAL,"EX")=0),0))))</f>
      </c>
      <c r="H18699">
        <f>IF(DATOS!$G18699&lt;&gt;"EX",0,--(COUNTIFS(nNIA,DATOS!$A18699,nCURSO,DATOS!$D18699,nESPEC,DATOS!$E18699,nASIG,DATOS!$I18699,nEVAL,"OR")=0))</f>
      </c>
      <c r="I18699">
        <f>IF(DATOS!$I18699="","",IFERROR(VLOOKUP(DATOS!$I18699,CONFIG_ASIGNATURAS!$B$2:$J$91,9,FALSE()),""))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IF(DATOS!$A18700="",0,IF(CONFIG_METADATA!$B$4&lt;&gt;"OR+EX",--(DATOS!$G18700=CONFIG_METADATA!$B$4),IF(DATOS!$G18700="EX",1,IF(DATOS!$G18700="OR",--(COUNTIFS(nNIA,DATOS!$A18700,nCURSO,DATOS!$D18700,nESPEC,DATOS!$E18700,nASIG,DATOS!$I18700,nEVAL,"EX")=0),0))))</f>
      </c>
      <c r="H18700">
        <f>IF(DATOS!$G18700&lt;&gt;"EX",0,--(COUNTIFS(nNIA,DATOS!$A18700,nCURSO,DATOS!$D18700,nESPEC,DATOS!$E18700,nASIG,DATOS!$I18700,nEVAL,"OR")=0))</f>
      </c>
      <c r="I18700">
        <f>IF(DATOS!$I18700="","",IFERROR(VLOOKUP(DATOS!$I18700,CONFIG_ASIGNATURAS!$B$2:$J$91,9,FALSE()),""))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IF(DATOS!$A18701="",0,IF(CONFIG_METADATA!$B$4&lt;&gt;"OR+EX",--(DATOS!$G18701=CONFIG_METADATA!$B$4),IF(DATOS!$G18701="EX",1,IF(DATOS!$G18701="OR",--(COUNTIFS(nNIA,DATOS!$A18701,nCURSO,DATOS!$D18701,nESPEC,DATOS!$E18701,nASIG,DATOS!$I18701,nEVAL,"EX")=0),0))))</f>
      </c>
      <c r="H18701">
        <f>IF(DATOS!$G18701&lt;&gt;"EX",0,--(COUNTIFS(nNIA,DATOS!$A18701,nCURSO,DATOS!$D18701,nESPEC,DATOS!$E18701,nASIG,DATOS!$I18701,nEVAL,"OR")=0))</f>
      </c>
      <c r="I18701">
        <f>IF(DATOS!$I18701="","",IFERROR(VLOOKUP(DATOS!$I18701,CONFIG_ASIGNATURAS!$B$2:$J$91,9,FALSE()),""))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IF(DATOS!$A18702="",0,IF(CONFIG_METADATA!$B$4&lt;&gt;"OR+EX",--(DATOS!$G18702=CONFIG_METADATA!$B$4),IF(DATOS!$G18702="EX",1,IF(DATOS!$G18702="OR",--(COUNTIFS(nNIA,DATOS!$A18702,nCURSO,DATOS!$D18702,nESPEC,DATOS!$E18702,nASIG,DATOS!$I18702,nEVAL,"EX")=0),0))))</f>
      </c>
      <c r="H18702">
        <f>IF(DATOS!$G18702&lt;&gt;"EX",0,--(COUNTIFS(nNIA,DATOS!$A18702,nCURSO,DATOS!$D18702,nESPEC,DATOS!$E18702,nASIG,DATOS!$I18702,nEVAL,"OR")=0))</f>
      </c>
      <c r="I18702">
        <f>IF(DATOS!$I18702="","",IFERROR(VLOOKUP(DATOS!$I18702,CONFIG_ASIGNATURAS!$B$2:$J$91,9,FALSE()),""))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IF(DATOS!$A18703="",0,IF(CONFIG_METADATA!$B$4&lt;&gt;"OR+EX",--(DATOS!$G18703=CONFIG_METADATA!$B$4),IF(DATOS!$G18703="EX",1,IF(DATOS!$G18703="OR",--(COUNTIFS(nNIA,DATOS!$A18703,nCURSO,DATOS!$D18703,nESPEC,DATOS!$E18703,nASIG,DATOS!$I18703,nEVAL,"EX")=0),0))))</f>
      </c>
      <c r="H18703">
        <f>IF(DATOS!$G18703&lt;&gt;"EX",0,--(COUNTIFS(nNIA,DATOS!$A18703,nCURSO,DATOS!$D18703,nESPEC,DATOS!$E18703,nASIG,DATOS!$I18703,nEVAL,"OR")=0))</f>
      </c>
      <c r="I18703">
        <f>IF(DATOS!$I18703="","",IFERROR(VLOOKUP(DATOS!$I18703,CONFIG_ASIGNATURAS!$B$2:$J$91,9,FALSE()),""))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IF(DATOS!$A18704="",0,IF(CONFIG_METADATA!$B$4&lt;&gt;"OR+EX",--(DATOS!$G18704=CONFIG_METADATA!$B$4),IF(DATOS!$G18704="EX",1,IF(DATOS!$G18704="OR",--(COUNTIFS(nNIA,DATOS!$A18704,nCURSO,DATOS!$D18704,nESPEC,DATOS!$E18704,nASIG,DATOS!$I18704,nEVAL,"EX")=0),0))))</f>
      </c>
      <c r="H18704">
        <f>IF(DATOS!$G18704&lt;&gt;"EX",0,--(COUNTIFS(nNIA,DATOS!$A18704,nCURSO,DATOS!$D18704,nESPEC,DATOS!$E18704,nASIG,DATOS!$I18704,nEVAL,"OR")=0))</f>
      </c>
      <c r="I18704">
        <f>IF(DATOS!$I18704="","",IFERROR(VLOOKUP(DATOS!$I18704,CONFIG_ASIGNATURAS!$B$2:$J$91,9,FALSE()),""))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IF(DATOS!$A18705="",0,IF(CONFIG_METADATA!$B$4&lt;&gt;"OR+EX",--(DATOS!$G18705=CONFIG_METADATA!$B$4),IF(DATOS!$G18705="EX",1,IF(DATOS!$G18705="OR",--(COUNTIFS(nNIA,DATOS!$A18705,nCURSO,DATOS!$D18705,nESPEC,DATOS!$E18705,nASIG,DATOS!$I18705,nEVAL,"EX")=0),0))))</f>
      </c>
      <c r="H18705">
        <f>IF(DATOS!$G18705&lt;&gt;"EX",0,--(COUNTIFS(nNIA,DATOS!$A18705,nCURSO,DATOS!$D18705,nESPEC,DATOS!$E18705,nASIG,DATOS!$I18705,nEVAL,"OR")=0))</f>
      </c>
      <c r="I18705">
        <f>IF(DATOS!$I18705="","",IFERROR(VLOOKUP(DATOS!$I18705,CONFIG_ASIGNATURAS!$B$2:$J$91,9,FALSE()),""))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IF(DATOS!$A18706="",0,IF(CONFIG_METADATA!$B$4&lt;&gt;"OR+EX",--(DATOS!$G18706=CONFIG_METADATA!$B$4),IF(DATOS!$G18706="EX",1,IF(DATOS!$G18706="OR",--(COUNTIFS(nNIA,DATOS!$A18706,nCURSO,DATOS!$D18706,nESPEC,DATOS!$E18706,nASIG,DATOS!$I18706,nEVAL,"EX")=0),0))))</f>
      </c>
      <c r="H18706">
        <f>IF(DATOS!$G18706&lt;&gt;"EX",0,--(COUNTIFS(nNIA,DATOS!$A18706,nCURSO,DATOS!$D18706,nESPEC,DATOS!$E18706,nASIG,DATOS!$I18706,nEVAL,"OR")=0))</f>
      </c>
      <c r="I18706">
        <f>IF(DATOS!$I18706="","",IFERROR(VLOOKUP(DATOS!$I18706,CONFIG_ASIGNATURAS!$B$2:$J$91,9,FALSE()),""))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IF(DATOS!$A18707="",0,IF(CONFIG_METADATA!$B$4&lt;&gt;"OR+EX",--(DATOS!$G18707=CONFIG_METADATA!$B$4),IF(DATOS!$G18707="EX",1,IF(DATOS!$G18707="OR",--(COUNTIFS(nNIA,DATOS!$A18707,nCURSO,DATOS!$D18707,nESPEC,DATOS!$E18707,nASIG,DATOS!$I18707,nEVAL,"EX")=0),0))))</f>
      </c>
      <c r="H18707">
        <f>IF(DATOS!$G18707&lt;&gt;"EX",0,--(COUNTIFS(nNIA,DATOS!$A18707,nCURSO,DATOS!$D18707,nESPEC,DATOS!$E18707,nASIG,DATOS!$I18707,nEVAL,"OR")=0))</f>
      </c>
      <c r="I18707">
        <f>IF(DATOS!$I18707="","",IFERROR(VLOOKUP(DATOS!$I18707,CONFIG_ASIGNATURAS!$B$2:$J$91,9,FALSE()),""))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IF(DATOS!$A18708="",0,IF(CONFIG_METADATA!$B$4&lt;&gt;"OR+EX",--(DATOS!$G18708=CONFIG_METADATA!$B$4),IF(DATOS!$G18708="EX",1,IF(DATOS!$G18708="OR",--(COUNTIFS(nNIA,DATOS!$A18708,nCURSO,DATOS!$D18708,nESPEC,DATOS!$E18708,nASIG,DATOS!$I18708,nEVAL,"EX")=0),0))))</f>
      </c>
      <c r="H18708">
        <f>IF(DATOS!$G18708&lt;&gt;"EX",0,--(COUNTIFS(nNIA,DATOS!$A18708,nCURSO,DATOS!$D18708,nESPEC,DATOS!$E18708,nASIG,DATOS!$I18708,nEVAL,"OR")=0))</f>
      </c>
      <c r="I18708">
        <f>IF(DATOS!$I18708="","",IFERROR(VLOOKUP(DATOS!$I18708,CONFIG_ASIGNATURAS!$B$2:$J$91,9,FALSE()),""))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IF(DATOS!$A18709="",0,IF(CONFIG_METADATA!$B$4&lt;&gt;"OR+EX",--(DATOS!$G18709=CONFIG_METADATA!$B$4),IF(DATOS!$G18709="EX",1,IF(DATOS!$G18709="OR",--(COUNTIFS(nNIA,DATOS!$A18709,nCURSO,DATOS!$D18709,nESPEC,DATOS!$E18709,nASIG,DATOS!$I18709,nEVAL,"EX")=0),0))))</f>
      </c>
      <c r="H18709">
        <f>IF(DATOS!$G18709&lt;&gt;"EX",0,--(COUNTIFS(nNIA,DATOS!$A18709,nCURSO,DATOS!$D18709,nESPEC,DATOS!$E18709,nASIG,DATOS!$I18709,nEVAL,"OR")=0))</f>
      </c>
      <c r="I18709">
        <f>IF(DATOS!$I18709="","",IFERROR(VLOOKUP(DATOS!$I18709,CONFIG_ASIGNATURAS!$B$2:$J$91,9,FALSE()),""))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IF(DATOS!$A18710="",0,IF(CONFIG_METADATA!$B$4&lt;&gt;"OR+EX",--(DATOS!$G18710=CONFIG_METADATA!$B$4),IF(DATOS!$G18710="EX",1,IF(DATOS!$G18710="OR",--(COUNTIFS(nNIA,DATOS!$A18710,nCURSO,DATOS!$D18710,nESPEC,DATOS!$E18710,nASIG,DATOS!$I18710,nEVAL,"EX")=0),0))))</f>
      </c>
      <c r="H18710">
        <f>IF(DATOS!$G18710&lt;&gt;"EX",0,--(COUNTIFS(nNIA,DATOS!$A18710,nCURSO,DATOS!$D18710,nESPEC,DATOS!$E18710,nASIG,DATOS!$I18710,nEVAL,"OR")=0))</f>
      </c>
      <c r="I18710">
        <f>IF(DATOS!$I18710="","",IFERROR(VLOOKUP(DATOS!$I18710,CONFIG_ASIGNATURAS!$B$2:$J$91,9,FALSE()),""))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IF(DATOS!$A18711="",0,IF(CONFIG_METADATA!$B$4&lt;&gt;"OR+EX",--(DATOS!$G18711=CONFIG_METADATA!$B$4),IF(DATOS!$G18711="EX",1,IF(DATOS!$G18711="OR",--(COUNTIFS(nNIA,DATOS!$A18711,nCURSO,DATOS!$D18711,nESPEC,DATOS!$E18711,nASIG,DATOS!$I18711,nEVAL,"EX")=0),0))))</f>
      </c>
      <c r="H18711">
        <f>IF(DATOS!$G18711&lt;&gt;"EX",0,--(COUNTIFS(nNIA,DATOS!$A18711,nCURSO,DATOS!$D18711,nESPEC,DATOS!$E18711,nASIG,DATOS!$I18711,nEVAL,"OR")=0))</f>
      </c>
      <c r="I18711">
        <f>IF(DATOS!$I18711="","",IFERROR(VLOOKUP(DATOS!$I18711,CONFIG_ASIGNATURAS!$B$2:$J$91,9,FALSE()),""))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IF(DATOS!$A18712="",0,IF(CONFIG_METADATA!$B$4&lt;&gt;"OR+EX",--(DATOS!$G18712=CONFIG_METADATA!$B$4),IF(DATOS!$G18712="EX",1,IF(DATOS!$G18712="OR",--(COUNTIFS(nNIA,DATOS!$A18712,nCURSO,DATOS!$D18712,nESPEC,DATOS!$E18712,nASIG,DATOS!$I18712,nEVAL,"EX")=0),0))))</f>
      </c>
      <c r="H18712">
        <f>IF(DATOS!$G18712&lt;&gt;"EX",0,--(COUNTIFS(nNIA,DATOS!$A18712,nCURSO,DATOS!$D18712,nESPEC,DATOS!$E18712,nASIG,DATOS!$I18712,nEVAL,"OR")=0))</f>
      </c>
      <c r="I18712">
        <f>IF(DATOS!$I18712="","",IFERROR(VLOOKUP(DATOS!$I18712,CONFIG_ASIGNATURAS!$B$2:$J$91,9,FALSE()),""))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IF(DATOS!$A18713="",0,IF(CONFIG_METADATA!$B$4&lt;&gt;"OR+EX",--(DATOS!$G18713=CONFIG_METADATA!$B$4),IF(DATOS!$G18713="EX",1,IF(DATOS!$G18713="OR",--(COUNTIFS(nNIA,DATOS!$A18713,nCURSO,DATOS!$D18713,nESPEC,DATOS!$E18713,nASIG,DATOS!$I18713,nEVAL,"EX")=0),0))))</f>
      </c>
      <c r="H18713">
        <f>IF(DATOS!$G18713&lt;&gt;"EX",0,--(COUNTIFS(nNIA,DATOS!$A18713,nCURSO,DATOS!$D18713,nESPEC,DATOS!$E18713,nASIG,DATOS!$I18713,nEVAL,"OR")=0))</f>
      </c>
      <c r="I18713">
        <f>IF(DATOS!$I18713="","",IFERROR(VLOOKUP(DATOS!$I18713,CONFIG_ASIGNATURAS!$B$2:$J$91,9,FALSE()),""))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IF(DATOS!$A18714="",0,IF(CONFIG_METADATA!$B$4&lt;&gt;"OR+EX",--(DATOS!$G18714=CONFIG_METADATA!$B$4),IF(DATOS!$G18714="EX",1,IF(DATOS!$G18714="OR",--(COUNTIFS(nNIA,DATOS!$A18714,nCURSO,DATOS!$D18714,nESPEC,DATOS!$E18714,nASIG,DATOS!$I18714,nEVAL,"EX")=0),0))))</f>
      </c>
      <c r="H18714">
        <f>IF(DATOS!$G18714&lt;&gt;"EX",0,--(COUNTIFS(nNIA,DATOS!$A18714,nCURSO,DATOS!$D18714,nESPEC,DATOS!$E18714,nASIG,DATOS!$I18714,nEVAL,"OR")=0))</f>
      </c>
      <c r="I18714">
        <f>IF(DATOS!$I18714="","",IFERROR(VLOOKUP(DATOS!$I18714,CONFIG_ASIGNATURAS!$B$2:$J$91,9,FALSE()),""))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IF(DATOS!$A18715="",0,IF(CONFIG_METADATA!$B$4&lt;&gt;"OR+EX",--(DATOS!$G18715=CONFIG_METADATA!$B$4),IF(DATOS!$G18715="EX",1,IF(DATOS!$G18715="OR",--(COUNTIFS(nNIA,DATOS!$A18715,nCURSO,DATOS!$D18715,nESPEC,DATOS!$E18715,nASIG,DATOS!$I18715,nEVAL,"EX")=0),0))))</f>
      </c>
      <c r="H18715">
        <f>IF(DATOS!$G18715&lt;&gt;"EX",0,--(COUNTIFS(nNIA,DATOS!$A18715,nCURSO,DATOS!$D18715,nESPEC,DATOS!$E18715,nASIG,DATOS!$I18715,nEVAL,"OR")=0))</f>
      </c>
      <c r="I18715">
        <f>IF(DATOS!$I18715="","",IFERROR(VLOOKUP(DATOS!$I18715,CONFIG_ASIGNATURAS!$B$2:$J$91,9,FALSE()),""))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IF(DATOS!$A18716="",0,IF(CONFIG_METADATA!$B$4&lt;&gt;"OR+EX",--(DATOS!$G18716=CONFIG_METADATA!$B$4),IF(DATOS!$G18716="EX",1,IF(DATOS!$G18716="OR",--(COUNTIFS(nNIA,DATOS!$A18716,nCURSO,DATOS!$D18716,nESPEC,DATOS!$E18716,nASIG,DATOS!$I18716,nEVAL,"EX")=0),0))))</f>
      </c>
      <c r="H18716">
        <f>IF(DATOS!$G18716&lt;&gt;"EX",0,--(COUNTIFS(nNIA,DATOS!$A18716,nCURSO,DATOS!$D18716,nESPEC,DATOS!$E18716,nASIG,DATOS!$I18716,nEVAL,"OR")=0))</f>
      </c>
      <c r="I18716">
        <f>IF(DATOS!$I18716="","",IFERROR(VLOOKUP(DATOS!$I18716,CONFIG_ASIGNATURAS!$B$2:$J$91,9,FALSE()),""))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IF(DATOS!$A18717="",0,IF(CONFIG_METADATA!$B$4&lt;&gt;"OR+EX",--(DATOS!$G18717=CONFIG_METADATA!$B$4),IF(DATOS!$G18717="EX",1,IF(DATOS!$G18717="OR",--(COUNTIFS(nNIA,DATOS!$A18717,nCURSO,DATOS!$D18717,nESPEC,DATOS!$E18717,nASIG,DATOS!$I18717,nEVAL,"EX")=0),0))))</f>
      </c>
      <c r="H18717">
        <f>IF(DATOS!$G18717&lt;&gt;"EX",0,--(COUNTIFS(nNIA,DATOS!$A18717,nCURSO,DATOS!$D18717,nESPEC,DATOS!$E18717,nASIG,DATOS!$I18717,nEVAL,"OR")=0))</f>
      </c>
      <c r="I18717">
        <f>IF(DATOS!$I18717="","",IFERROR(VLOOKUP(DATOS!$I18717,CONFIG_ASIGNATURAS!$B$2:$J$91,9,FALSE()),""))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IF(DATOS!$A18718="",0,IF(CONFIG_METADATA!$B$4&lt;&gt;"OR+EX",--(DATOS!$G18718=CONFIG_METADATA!$B$4),IF(DATOS!$G18718="EX",1,IF(DATOS!$G18718="OR",--(COUNTIFS(nNIA,DATOS!$A18718,nCURSO,DATOS!$D18718,nESPEC,DATOS!$E18718,nASIG,DATOS!$I18718,nEVAL,"EX")=0),0))))</f>
      </c>
      <c r="H18718">
        <f>IF(DATOS!$G18718&lt;&gt;"EX",0,--(COUNTIFS(nNIA,DATOS!$A18718,nCURSO,DATOS!$D18718,nESPEC,DATOS!$E18718,nASIG,DATOS!$I18718,nEVAL,"OR")=0))</f>
      </c>
      <c r="I18718">
        <f>IF(DATOS!$I18718="","",IFERROR(VLOOKUP(DATOS!$I18718,CONFIG_ASIGNATURAS!$B$2:$J$91,9,FALSE()),""))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IF(DATOS!$A18719="",0,IF(CONFIG_METADATA!$B$4&lt;&gt;"OR+EX",--(DATOS!$G18719=CONFIG_METADATA!$B$4),IF(DATOS!$G18719="EX",1,IF(DATOS!$G18719="OR",--(COUNTIFS(nNIA,DATOS!$A18719,nCURSO,DATOS!$D18719,nESPEC,DATOS!$E18719,nASIG,DATOS!$I18719,nEVAL,"EX")=0),0))))</f>
      </c>
      <c r="H18719">
        <f>IF(DATOS!$G18719&lt;&gt;"EX",0,--(COUNTIFS(nNIA,DATOS!$A18719,nCURSO,DATOS!$D18719,nESPEC,DATOS!$E18719,nASIG,DATOS!$I18719,nEVAL,"OR")=0))</f>
      </c>
      <c r="I18719">
        <f>IF(DATOS!$I18719="","",IFERROR(VLOOKUP(DATOS!$I18719,CONFIG_ASIGNATURAS!$B$2:$J$91,9,FALSE()),""))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IF(DATOS!$A18720="",0,IF(CONFIG_METADATA!$B$4&lt;&gt;"OR+EX",--(DATOS!$G18720=CONFIG_METADATA!$B$4),IF(DATOS!$G18720="EX",1,IF(DATOS!$G18720="OR",--(COUNTIFS(nNIA,DATOS!$A18720,nCURSO,DATOS!$D18720,nESPEC,DATOS!$E18720,nASIG,DATOS!$I18720,nEVAL,"EX")=0),0))))</f>
      </c>
      <c r="H18720">
        <f>IF(DATOS!$G18720&lt;&gt;"EX",0,--(COUNTIFS(nNIA,DATOS!$A18720,nCURSO,DATOS!$D18720,nESPEC,DATOS!$E18720,nASIG,DATOS!$I18720,nEVAL,"OR")=0))</f>
      </c>
      <c r="I18720">
        <f>IF(DATOS!$I18720="","",IFERROR(VLOOKUP(DATOS!$I18720,CONFIG_ASIGNATURAS!$B$2:$J$91,9,FALSE()),""))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IF(DATOS!$A18721="",0,IF(CONFIG_METADATA!$B$4&lt;&gt;"OR+EX",--(DATOS!$G18721=CONFIG_METADATA!$B$4),IF(DATOS!$G18721="EX",1,IF(DATOS!$G18721="OR",--(COUNTIFS(nNIA,DATOS!$A18721,nCURSO,DATOS!$D18721,nESPEC,DATOS!$E18721,nASIG,DATOS!$I18721,nEVAL,"EX")=0),0))))</f>
      </c>
      <c r="H18721">
        <f>IF(DATOS!$G18721&lt;&gt;"EX",0,--(COUNTIFS(nNIA,DATOS!$A18721,nCURSO,DATOS!$D18721,nESPEC,DATOS!$E18721,nASIG,DATOS!$I18721,nEVAL,"OR")=0))</f>
      </c>
      <c r="I18721">
        <f>IF(DATOS!$I18721="","",IFERROR(VLOOKUP(DATOS!$I18721,CONFIG_ASIGNATURAS!$B$2:$J$91,9,FALSE()),""))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IF(DATOS!$A18722="",0,IF(CONFIG_METADATA!$B$4&lt;&gt;"OR+EX",--(DATOS!$G18722=CONFIG_METADATA!$B$4),IF(DATOS!$G18722="EX",1,IF(DATOS!$G18722="OR",--(COUNTIFS(nNIA,DATOS!$A18722,nCURSO,DATOS!$D18722,nESPEC,DATOS!$E18722,nASIG,DATOS!$I18722,nEVAL,"EX")=0),0))))</f>
      </c>
      <c r="H18722">
        <f>IF(DATOS!$G18722&lt;&gt;"EX",0,--(COUNTIFS(nNIA,DATOS!$A18722,nCURSO,DATOS!$D18722,nESPEC,DATOS!$E18722,nASIG,DATOS!$I18722,nEVAL,"OR")=0))</f>
      </c>
      <c r="I18722">
        <f>IF(DATOS!$I18722="","",IFERROR(VLOOKUP(DATOS!$I18722,CONFIG_ASIGNATURAS!$B$2:$J$91,9,FALSE()),""))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IF(DATOS!$A18723="",0,IF(CONFIG_METADATA!$B$4&lt;&gt;"OR+EX",--(DATOS!$G18723=CONFIG_METADATA!$B$4),IF(DATOS!$G18723="EX",1,IF(DATOS!$G18723="OR",--(COUNTIFS(nNIA,DATOS!$A18723,nCURSO,DATOS!$D18723,nESPEC,DATOS!$E18723,nASIG,DATOS!$I18723,nEVAL,"EX")=0),0))))</f>
      </c>
      <c r="H18723">
        <f>IF(DATOS!$G18723&lt;&gt;"EX",0,--(COUNTIFS(nNIA,DATOS!$A18723,nCURSO,DATOS!$D18723,nESPEC,DATOS!$E18723,nASIG,DATOS!$I18723,nEVAL,"OR")=0))</f>
      </c>
      <c r="I18723">
        <f>IF(DATOS!$I18723="","",IFERROR(VLOOKUP(DATOS!$I18723,CONFIG_ASIGNATURAS!$B$2:$J$91,9,FALSE()),""))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IF(DATOS!$A18724="",0,IF(CONFIG_METADATA!$B$4&lt;&gt;"OR+EX",--(DATOS!$G18724=CONFIG_METADATA!$B$4),IF(DATOS!$G18724="EX",1,IF(DATOS!$G18724="OR",--(COUNTIFS(nNIA,DATOS!$A18724,nCURSO,DATOS!$D18724,nESPEC,DATOS!$E18724,nASIG,DATOS!$I18724,nEVAL,"EX")=0),0))))</f>
      </c>
      <c r="H18724">
        <f>IF(DATOS!$G18724&lt;&gt;"EX",0,--(COUNTIFS(nNIA,DATOS!$A18724,nCURSO,DATOS!$D18724,nESPEC,DATOS!$E18724,nASIG,DATOS!$I18724,nEVAL,"OR")=0))</f>
      </c>
      <c r="I18724">
        <f>IF(DATOS!$I18724="","",IFERROR(VLOOKUP(DATOS!$I18724,CONFIG_ASIGNATURAS!$B$2:$J$91,9,FALSE()),""))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IF(DATOS!$A18725="",0,IF(CONFIG_METADATA!$B$4&lt;&gt;"OR+EX",--(DATOS!$G18725=CONFIG_METADATA!$B$4),IF(DATOS!$G18725="EX",1,IF(DATOS!$G18725="OR",--(COUNTIFS(nNIA,DATOS!$A18725,nCURSO,DATOS!$D18725,nESPEC,DATOS!$E18725,nASIG,DATOS!$I18725,nEVAL,"EX")=0),0))))</f>
      </c>
      <c r="H18725">
        <f>IF(DATOS!$G18725&lt;&gt;"EX",0,--(COUNTIFS(nNIA,DATOS!$A18725,nCURSO,DATOS!$D18725,nESPEC,DATOS!$E18725,nASIG,DATOS!$I18725,nEVAL,"OR")=0))</f>
      </c>
      <c r="I18725">
        <f>IF(DATOS!$I18725="","",IFERROR(VLOOKUP(DATOS!$I18725,CONFIG_ASIGNATURAS!$B$2:$J$91,9,FALSE()),""))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IF(DATOS!$A18726="",0,IF(CONFIG_METADATA!$B$4&lt;&gt;"OR+EX",--(DATOS!$G18726=CONFIG_METADATA!$B$4),IF(DATOS!$G18726="EX",1,IF(DATOS!$G18726="OR",--(COUNTIFS(nNIA,DATOS!$A18726,nCURSO,DATOS!$D18726,nESPEC,DATOS!$E18726,nASIG,DATOS!$I18726,nEVAL,"EX")=0),0))))</f>
      </c>
      <c r="H18726">
        <f>IF(DATOS!$G18726&lt;&gt;"EX",0,--(COUNTIFS(nNIA,DATOS!$A18726,nCURSO,DATOS!$D18726,nESPEC,DATOS!$E18726,nASIG,DATOS!$I18726,nEVAL,"OR")=0))</f>
      </c>
      <c r="I18726">
        <f>IF(DATOS!$I18726="","",IFERROR(VLOOKUP(DATOS!$I18726,CONFIG_ASIGNATURAS!$B$2:$J$91,9,FALSE()),""))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IF(DATOS!$A18727="",0,IF(CONFIG_METADATA!$B$4&lt;&gt;"OR+EX",--(DATOS!$G18727=CONFIG_METADATA!$B$4),IF(DATOS!$G18727="EX",1,IF(DATOS!$G18727="OR",--(COUNTIFS(nNIA,DATOS!$A18727,nCURSO,DATOS!$D18727,nESPEC,DATOS!$E18727,nASIG,DATOS!$I18727,nEVAL,"EX")=0),0))))</f>
      </c>
      <c r="H18727">
        <f>IF(DATOS!$G18727&lt;&gt;"EX",0,--(COUNTIFS(nNIA,DATOS!$A18727,nCURSO,DATOS!$D18727,nESPEC,DATOS!$E18727,nASIG,DATOS!$I18727,nEVAL,"OR")=0))</f>
      </c>
      <c r="I18727">
        <f>IF(DATOS!$I18727="","",IFERROR(VLOOKUP(DATOS!$I18727,CONFIG_ASIGNATURAS!$B$2:$J$91,9,FALSE()),""))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IF(DATOS!$A18728="",0,IF(CONFIG_METADATA!$B$4&lt;&gt;"OR+EX",--(DATOS!$G18728=CONFIG_METADATA!$B$4),IF(DATOS!$G18728="EX",1,IF(DATOS!$G18728="OR",--(COUNTIFS(nNIA,DATOS!$A18728,nCURSO,DATOS!$D18728,nESPEC,DATOS!$E18728,nASIG,DATOS!$I18728,nEVAL,"EX")=0),0))))</f>
      </c>
      <c r="H18728">
        <f>IF(DATOS!$G18728&lt;&gt;"EX",0,--(COUNTIFS(nNIA,DATOS!$A18728,nCURSO,DATOS!$D18728,nESPEC,DATOS!$E18728,nASIG,DATOS!$I18728,nEVAL,"OR")=0))</f>
      </c>
      <c r="I18728">
        <f>IF(DATOS!$I18728="","",IFERROR(VLOOKUP(DATOS!$I18728,CONFIG_ASIGNATURAS!$B$2:$J$91,9,FALSE()),""))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IF(DATOS!$A18729="",0,IF(CONFIG_METADATA!$B$4&lt;&gt;"OR+EX",--(DATOS!$G18729=CONFIG_METADATA!$B$4),IF(DATOS!$G18729="EX",1,IF(DATOS!$G18729="OR",--(COUNTIFS(nNIA,DATOS!$A18729,nCURSO,DATOS!$D18729,nESPEC,DATOS!$E18729,nASIG,DATOS!$I18729,nEVAL,"EX")=0),0))))</f>
      </c>
      <c r="H18729">
        <f>IF(DATOS!$G18729&lt;&gt;"EX",0,--(COUNTIFS(nNIA,DATOS!$A18729,nCURSO,DATOS!$D18729,nESPEC,DATOS!$E18729,nASIG,DATOS!$I18729,nEVAL,"OR")=0))</f>
      </c>
      <c r="I18729">
        <f>IF(DATOS!$I18729="","",IFERROR(VLOOKUP(DATOS!$I18729,CONFIG_ASIGNATURAS!$B$2:$J$91,9,FALSE()),""))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IF(DATOS!$A18730="",0,IF(CONFIG_METADATA!$B$4&lt;&gt;"OR+EX",--(DATOS!$G18730=CONFIG_METADATA!$B$4),IF(DATOS!$G18730="EX",1,IF(DATOS!$G18730="OR",--(COUNTIFS(nNIA,DATOS!$A18730,nCURSO,DATOS!$D18730,nESPEC,DATOS!$E18730,nASIG,DATOS!$I18730,nEVAL,"EX")=0),0))))</f>
      </c>
      <c r="H18730">
        <f>IF(DATOS!$G18730&lt;&gt;"EX",0,--(COUNTIFS(nNIA,DATOS!$A18730,nCURSO,DATOS!$D18730,nESPEC,DATOS!$E18730,nASIG,DATOS!$I18730,nEVAL,"OR")=0))</f>
      </c>
      <c r="I18730">
        <f>IF(DATOS!$I18730="","",IFERROR(VLOOKUP(DATOS!$I18730,CONFIG_ASIGNATURAS!$B$2:$J$91,9,FALSE()),""))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IF(DATOS!$A18731="",0,IF(CONFIG_METADATA!$B$4&lt;&gt;"OR+EX",--(DATOS!$G18731=CONFIG_METADATA!$B$4),IF(DATOS!$G18731="EX",1,IF(DATOS!$G18731="OR",--(COUNTIFS(nNIA,DATOS!$A18731,nCURSO,DATOS!$D18731,nESPEC,DATOS!$E18731,nASIG,DATOS!$I18731,nEVAL,"EX")=0),0))))</f>
      </c>
      <c r="H18731">
        <f>IF(DATOS!$G18731&lt;&gt;"EX",0,--(COUNTIFS(nNIA,DATOS!$A18731,nCURSO,DATOS!$D18731,nESPEC,DATOS!$E18731,nASIG,DATOS!$I18731,nEVAL,"OR")=0))</f>
      </c>
      <c r="I18731">
        <f>IF(DATOS!$I18731="","",IFERROR(VLOOKUP(DATOS!$I18731,CONFIG_ASIGNATURAS!$B$2:$J$91,9,FALSE()),""))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IF(DATOS!$A18732="",0,IF(CONFIG_METADATA!$B$4&lt;&gt;"OR+EX",--(DATOS!$G18732=CONFIG_METADATA!$B$4),IF(DATOS!$G18732="EX",1,IF(DATOS!$G18732="OR",--(COUNTIFS(nNIA,DATOS!$A18732,nCURSO,DATOS!$D18732,nESPEC,DATOS!$E18732,nASIG,DATOS!$I18732,nEVAL,"EX")=0),0))))</f>
      </c>
      <c r="H18732">
        <f>IF(DATOS!$G18732&lt;&gt;"EX",0,--(COUNTIFS(nNIA,DATOS!$A18732,nCURSO,DATOS!$D18732,nESPEC,DATOS!$E18732,nASIG,DATOS!$I18732,nEVAL,"OR")=0))</f>
      </c>
      <c r="I18732">
        <f>IF(DATOS!$I18732="","",IFERROR(VLOOKUP(DATOS!$I18732,CONFIG_ASIGNATURAS!$B$2:$J$91,9,FALSE()),""))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IF(DATOS!$A18733="",0,IF(CONFIG_METADATA!$B$4&lt;&gt;"OR+EX",--(DATOS!$G18733=CONFIG_METADATA!$B$4),IF(DATOS!$G18733="EX",1,IF(DATOS!$G18733="OR",--(COUNTIFS(nNIA,DATOS!$A18733,nCURSO,DATOS!$D18733,nESPEC,DATOS!$E18733,nASIG,DATOS!$I18733,nEVAL,"EX")=0),0))))</f>
      </c>
      <c r="H18733">
        <f>IF(DATOS!$G18733&lt;&gt;"EX",0,--(COUNTIFS(nNIA,DATOS!$A18733,nCURSO,DATOS!$D18733,nESPEC,DATOS!$E18733,nASIG,DATOS!$I18733,nEVAL,"OR")=0))</f>
      </c>
      <c r="I18733">
        <f>IF(DATOS!$I18733="","",IFERROR(VLOOKUP(DATOS!$I18733,CONFIG_ASIGNATURAS!$B$2:$J$91,9,FALSE()),""))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IF(DATOS!$A18734="",0,IF(CONFIG_METADATA!$B$4&lt;&gt;"OR+EX",--(DATOS!$G18734=CONFIG_METADATA!$B$4),IF(DATOS!$G18734="EX",1,IF(DATOS!$G18734="OR",--(COUNTIFS(nNIA,DATOS!$A18734,nCURSO,DATOS!$D18734,nESPEC,DATOS!$E18734,nASIG,DATOS!$I18734,nEVAL,"EX")=0),0))))</f>
      </c>
      <c r="H18734">
        <f>IF(DATOS!$G18734&lt;&gt;"EX",0,--(COUNTIFS(nNIA,DATOS!$A18734,nCURSO,DATOS!$D18734,nESPEC,DATOS!$E18734,nASIG,DATOS!$I18734,nEVAL,"OR")=0))</f>
      </c>
      <c r="I18734">
        <f>IF(DATOS!$I18734="","",IFERROR(VLOOKUP(DATOS!$I18734,CONFIG_ASIGNATURAS!$B$2:$J$91,9,FALSE()),""))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IF(DATOS!$A18735="",0,IF(CONFIG_METADATA!$B$4&lt;&gt;"OR+EX",--(DATOS!$G18735=CONFIG_METADATA!$B$4),IF(DATOS!$G18735="EX",1,IF(DATOS!$G18735="OR",--(COUNTIFS(nNIA,DATOS!$A18735,nCURSO,DATOS!$D18735,nESPEC,DATOS!$E18735,nASIG,DATOS!$I18735,nEVAL,"EX")=0),0))))</f>
      </c>
      <c r="H18735">
        <f>IF(DATOS!$G18735&lt;&gt;"EX",0,--(COUNTIFS(nNIA,DATOS!$A18735,nCURSO,DATOS!$D18735,nESPEC,DATOS!$E18735,nASIG,DATOS!$I18735,nEVAL,"OR")=0))</f>
      </c>
      <c r="I18735">
        <f>IF(DATOS!$I18735="","",IFERROR(VLOOKUP(DATOS!$I18735,CONFIG_ASIGNATURAS!$B$2:$J$91,9,FALSE()),""))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IF(DATOS!$A18736="",0,IF(CONFIG_METADATA!$B$4&lt;&gt;"OR+EX",--(DATOS!$G18736=CONFIG_METADATA!$B$4),IF(DATOS!$G18736="EX",1,IF(DATOS!$G18736="OR",--(COUNTIFS(nNIA,DATOS!$A18736,nCURSO,DATOS!$D18736,nESPEC,DATOS!$E18736,nASIG,DATOS!$I18736,nEVAL,"EX")=0),0))))</f>
      </c>
      <c r="H18736">
        <f>IF(DATOS!$G18736&lt;&gt;"EX",0,--(COUNTIFS(nNIA,DATOS!$A18736,nCURSO,DATOS!$D18736,nESPEC,DATOS!$E18736,nASIG,DATOS!$I18736,nEVAL,"OR")=0))</f>
      </c>
      <c r="I18736">
        <f>IF(DATOS!$I18736="","",IFERROR(VLOOKUP(DATOS!$I18736,CONFIG_ASIGNATURAS!$B$2:$J$91,9,FALSE()),""))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IF(DATOS!$A18737="",0,IF(CONFIG_METADATA!$B$4&lt;&gt;"OR+EX",--(DATOS!$G18737=CONFIG_METADATA!$B$4),IF(DATOS!$G18737="EX",1,IF(DATOS!$G18737="OR",--(COUNTIFS(nNIA,DATOS!$A18737,nCURSO,DATOS!$D18737,nESPEC,DATOS!$E18737,nASIG,DATOS!$I18737,nEVAL,"EX")=0),0))))</f>
      </c>
      <c r="H18737">
        <f>IF(DATOS!$G18737&lt;&gt;"EX",0,--(COUNTIFS(nNIA,DATOS!$A18737,nCURSO,DATOS!$D18737,nESPEC,DATOS!$E18737,nASIG,DATOS!$I18737,nEVAL,"OR")=0))</f>
      </c>
      <c r="I18737">
        <f>IF(DATOS!$I18737="","",IFERROR(VLOOKUP(DATOS!$I18737,CONFIG_ASIGNATURAS!$B$2:$J$91,9,FALSE()),""))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IF(DATOS!$A18738="",0,IF(CONFIG_METADATA!$B$4&lt;&gt;"OR+EX",--(DATOS!$G18738=CONFIG_METADATA!$B$4),IF(DATOS!$G18738="EX",1,IF(DATOS!$G18738="OR",--(COUNTIFS(nNIA,DATOS!$A18738,nCURSO,DATOS!$D18738,nESPEC,DATOS!$E18738,nASIG,DATOS!$I18738,nEVAL,"EX")=0),0))))</f>
      </c>
      <c r="H18738">
        <f>IF(DATOS!$G18738&lt;&gt;"EX",0,--(COUNTIFS(nNIA,DATOS!$A18738,nCURSO,DATOS!$D18738,nESPEC,DATOS!$E18738,nASIG,DATOS!$I18738,nEVAL,"OR")=0))</f>
      </c>
      <c r="I18738">
        <f>IF(DATOS!$I18738="","",IFERROR(VLOOKUP(DATOS!$I18738,CONFIG_ASIGNATURAS!$B$2:$J$91,9,FALSE()),""))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IF(DATOS!$A18739="",0,IF(CONFIG_METADATA!$B$4&lt;&gt;"OR+EX",--(DATOS!$G18739=CONFIG_METADATA!$B$4),IF(DATOS!$G18739="EX",1,IF(DATOS!$G18739="OR",--(COUNTIFS(nNIA,DATOS!$A18739,nCURSO,DATOS!$D18739,nESPEC,DATOS!$E18739,nASIG,DATOS!$I18739,nEVAL,"EX")=0),0))))</f>
      </c>
      <c r="H18739">
        <f>IF(DATOS!$G18739&lt;&gt;"EX",0,--(COUNTIFS(nNIA,DATOS!$A18739,nCURSO,DATOS!$D18739,nESPEC,DATOS!$E18739,nASIG,DATOS!$I18739,nEVAL,"OR")=0))</f>
      </c>
      <c r="I18739">
        <f>IF(DATOS!$I18739="","",IFERROR(VLOOKUP(DATOS!$I18739,CONFIG_ASIGNATURAS!$B$2:$J$91,9,FALSE()),""))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IF(DATOS!$A18740="",0,IF(CONFIG_METADATA!$B$4&lt;&gt;"OR+EX",--(DATOS!$G18740=CONFIG_METADATA!$B$4),IF(DATOS!$G18740="EX",1,IF(DATOS!$G18740="OR",--(COUNTIFS(nNIA,DATOS!$A18740,nCURSO,DATOS!$D18740,nESPEC,DATOS!$E18740,nASIG,DATOS!$I18740,nEVAL,"EX")=0),0))))</f>
      </c>
      <c r="H18740">
        <f>IF(DATOS!$G18740&lt;&gt;"EX",0,--(COUNTIFS(nNIA,DATOS!$A18740,nCURSO,DATOS!$D18740,nESPEC,DATOS!$E18740,nASIG,DATOS!$I18740,nEVAL,"OR")=0))</f>
      </c>
      <c r="I18740">
        <f>IF(DATOS!$I18740="","",IFERROR(VLOOKUP(DATOS!$I18740,CONFIG_ASIGNATURAS!$B$2:$J$91,9,FALSE()),""))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IF(DATOS!$A18741="",0,IF(CONFIG_METADATA!$B$4&lt;&gt;"OR+EX",--(DATOS!$G18741=CONFIG_METADATA!$B$4),IF(DATOS!$G18741="EX",1,IF(DATOS!$G18741="OR",--(COUNTIFS(nNIA,DATOS!$A18741,nCURSO,DATOS!$D18741,nESPEC,DATOS!$E18741,nASIG,DATOS!$I18741,nEVAL,"EX")=0),0))))</f>
      </c>
      <c r="H18741">
        <f>IF(DATOS!$G18741&lt;&gt;"EX",0,--(COUNTIFS(nNIA,DATOS!$A18741,nCURSO,DATOS!$D18741,nESPEC,DATOS!$E18741,nASIG,DATOS!$I18741,nEVAL,"OR")=0))</f>
      </c>
      <c r="I18741">
        <f>IF(DATOS!$I18741="","",IFERROR(VLOOKUP(DATOS!$I18741,CONFIG_ASIGNATURAS!$B$2:$J$91,9,FALSE()),""))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IF(DATOS!$A18742="",0,IF(CONFIG_METADATA!$B$4&lt;&gt;"OR+EX",--(DATOS!$G18742=CONFIG_METADATA!$B$4),IF(DATOS!$G18742="EX",1,IF(DATOS!$G18742="OR",--(COUNTIFS(nNIA,DATOS!$A18742,nCURSO,DATOS!$D18742,nESPEC,DATOS!$E18742,nASIG,DATOS!$I18742,nEVAL,"EX")=0),0))))</f>
      </c>
      <c r="H18742">
        <f>IF(DATOS!$G18742&lt;&gt;"EX",0,--(COUNTIFS(nNIA,DATOS!$A18742,nCURSO,DATOS!$D18742,nESPEC,DATOS!$E18742,nASIG,DATOS!$I18742,nEVAL,"OR")=0))</f>
      </c>
      <c r="I18742">
        <f>IF(DATOS!$I18742="","",IFERROR(VLOOKUP(DATOS!$I18742,CONFIG_ASIGNATURAS!$B$2:$J$91,9,FALSE()),""))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IF(DATOS!$A18743="",0,IF(CONFIG_METADATA!$B$4&lt;&gt;"OR+EX",--(DATOS!$G18743=CONFIG_METADATA!$B$4),IF(DATOS!$G18743="EX",1,IF(DATOS!$G18743="OR",--(COUNTIFS(nNIA,DATOS!$A18743,nCURSO,DATOS!$D18743,nESPEC,DATOS!$E18743,nASIG,DATOS!$I18743,nEVAL,"EX")=0),0))))</f>
      </c>
      <c r="H18743">
        <f>IF(DATOS!$G18743&lt;&gt;"EX",0,--(COUNTIFS(nNIA,DATOS!$A18743,nCURSO,DATOS!$D18743,nESPEC,DATOS!$E18743,nASIG,DATOS!$I18743,nEVAL,"OR")=0))</f>
      </c>
      <c r="I18743">
        <f>IF(DATOS!$I18743="","",IFERROR(VLOOKUP(DATOS!$I18743,CONFIG_ASIGNATURAS!$B$2:$J$91,9,FALSE()),""))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IF(DATOS!$A18744="",0,IF(CONFIG_METADATA!$B$4&lt;&gt;"OR+EX",--(DATOS!$G18744=CONFIG_METADATA!$B$4),IF(DATOS!$G18744="EX",1,IF(DATOS!$G18744="OR",--(COUNTIFS(nNIA,DATOS!$A18744,nCURSO,DATOS!$D18744,nESPEC,DATOS!$E18744,nASIG,DATOS!$I18744,nEVAL,"EX")=0),0))))</f>
      </c>
      <c r="H18744">
        <f>IF(DATOS!$G18744&lt;&gt;"EX",0,--(COUNTIFS(nNIA,DATOS!$A18744,nCURSO,DATOS!$D18744,nESPEC,DATOS!$E18744,nASIG,DATOS!$I18744,nEVAL,"OR")=0))</f>
      </c>
      <c r="I18744">
        <f>IF(DATOS!$I18744="","",IFERROR(VLOOKUP(DATOS!$I18744,CONFIG_ASIGNATURAS!$B$2:$J$91,9,FALSE()),""))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IF(DATOS!$A18745="",0,IF(CONFIG_METADATA!$B$4&lt;&gt;"OR+EX",--(DATOS!$G18745=CONFIG_METADATA!$B$4),IF(DATOS!$G18745="EX",1,IF(DATOS!$G18745="OR",--(COUNTIFS(nNIA,DATOS!$A18745,nCURSO,DATOS!$D18745,nESPEC,DATOS!$E18745,nASIG,DATOS!$I18745,nEVAL,"EX")=0),0))))</f>
      </c>
      <c r="H18745">
        <f>IF(DATOS!$G18745&lt;&gt;"EX",0,--(COUNTIFS(nNIA,DATOS!$A18745,nCURSO,DATOS!$D18745,nESPEC,DATOS!$E18745,nASIG,DATOS!$I18745,nEVAL,"OR")=0))</f>
      </c>
      <c r="I18745">
        <f>IF(DATOS!$I18745="","",IFERROR(VLOOKUP(DATOS!$I18745,CONFIG_ASIGNATURAS!$B$2:$J$91,9,FALSE()),""))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IF(DATOS!$A18746="",0,IF(CONFIG_METADATA!$B$4&lt;&gt;"OR+EX",--(DATOS!$G18746=CONFIG_METADATA!$B$4),IF(DATOS!$G18746="EX",1,IF(DATOS!$G18746="OR",--(COUNTIFS(nNIA,DATOS!$A18746,nCURSO,DATOS!$D18746,nESPEC,DATOS!$E18746,nASIG,DATOS!$I18746,nEVAL,"EX")=0),0))))</f>
      </c>
      <c r="H18746">
        <f>IF(DATOS!$G18746&lt;&gt;"EX",0,--(COUNTIFS(nNIA,DATOS!$A18746,nCURSO,DATOS!$D18746,nESPEC,DATOS!$E18746,nASIG,DATOS!$I18746,nEVAL,"OR")=0))</f>
      </c>
      <c r="I18746">
        <f>IF(DATOS!$I18746="","",IFERROR(VLOOKUP(DATOS!$I18746,CONFIG_ASIGNATURAS!$B$2:$J$91,9,FALSE()),""))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IF(DATOS!$A18747="",0,IF(CONFIG_METADATA!$B$4&lt;&gt;"OR+EX",--(DATOS!$G18747=CONFIG_METADATA!$B$4),IF(DATOS!$G18747="EX",1,IF(DATOS!$G18747="OR",--(COUNTIFS(nNIA,DATOS!$A18747,nCURSO,DATOS!$D18747,nESPEC,DATOS!$E18747,nASIG,DATOS!$I18747,nEVAL,"EX")=0),0))))</f>
      </c>
      <c r="H18747">
        <f>IF(DATOS!$G18747&lt;&gt;"EX",0,--(COUNTIFS(nNIA,DATOS!$A18747,nCURSO,DATOS!$D18747,nESPEC,DATOS!$E18747,nASIG,DATOS!$I18747,nEVAL,"OR")=0))</f>
      </c>
      <c r="I18747">
        <f>IF(DATOS!$I18747="","",IFERROR(VLOOKUP(DATOS!$I18747,CONFIG_ASIGNATURAS!$B$2:$J$91,9,FALSE()),""))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IF(DATOS!$A18748="",0,IF(CONFIG_METADATA!$B$4&lt;&gt;"OR+EX",--(DATOS!$G18748=CONFIG_METADATA!$B$4),IF(DATOS!$G18748="EX",1,IF(DATOS!$G18748="OR",--(COUNTIFS(nNIA,DATOS!$A18748,nCURSO,DATOS!$D18748,nESPEC,DATOS!$E18748,nASIG,DATOS!$I18748,nEVAL,"EX")=0),0))))</f>
      </c>
      <c r="H18748">
        <f>IF(DATOS!$G18748&lt;&gt;"EX",0,--(COUNTIFS(nNIA,DATOS!$A18748,nCURSO,DATOS!$D18748,nESPEC,DATOS!$E18748,nASIG,DATOS!$I18748,nEVAL,"OR")=0))</f>
      </c>
      <c r="I18748">
        <f>IF(DATOS!$I18748="","",IFERROR(VLOOKUP(DATOS!$I18748,CONFIG_ASIGNATURAS!$B$2:$J$91,9,FALSE()),""))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IF(DATOS!$A18749="",0,IF(CONFIG_METADATA!$B$4&lt;&gt;"OR+EX",--(DATOS!$G18749=CONFIG_METADATA!$B$4),IF(DATOS!$G18749="EX",1,IF(DATOS!$G18749="OR",--(COUNTIFS(nNIA,DATOS!$A18749,nCURSO,DATOS!$D18749,nESPEC,DATOS!$E18749,nASIG,DATOS!$I18749,nEVAL,"EX")=0),0))))</f>
      </c>
      <c r="H18749">
        <f>IF(DATOS!$G18749&lt;&gt;"EX",0,--(COUNTIFS(nNIA,DATOS!$A18749,nCURSO,DATOS!$D18749,nESPEC,DATOS!$E18749,nASIG,DATOS!$I18749,nEVAL,"OR")=0))</f>
      </c>
      <c r="I18749">
        <f>IF(DATOS!$I18749="","",IFERROR(VLOOKUP(DATOS!$I18749,CONFIG_ASIGNATURAS!$B$2:$J$91,9,FALSE()),""))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IF(DATOS!$A18750="",0,IF(CONFIG_METADATA!$B$4&lt;&gt;"OR+EX",--(DATOS!$G18750=CONFIG_METADATA!$B$4),IF(DATOS!$G18750="EX",1,IF(DATOS!$G18750="OR",--(COUNTIFS(nNIA,DATOS!$A18750,nCURSO,DATOS!$D18750,nESPEC,DATOS!$E18750,nASIG,DATOS!$I18750,nEVAL,"EX")=0),0))))</f>
      </c>
      <c r="H18750">
        <f>IF(DATOS!$G18750&lt;&gt;"EX",0,--(COUNTIFS(nNIA,DATOS!$A18750,nCURSO,DATOS!$D18750,nESPEC,DATOS!$E18750,nASIG,DATOS!$I18750,nEVAL,"OR")=0))</f>
      </c>
      <c r="I18750">
        <f>IF(DATOS!$I18750="","",IFERROR(VLOOKUP(DATOS!$I18750,CONFIG_ASIGNATURAS!$B$2:$J$91,9,FALSE()),""))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IF(DATOS!$A18751="",0,IF(CONFIG_METADATA!$B$4&lt;&gt;"OR+EX",--(DATOS!$G18751=CONFIG_METADATA!$B$4),IF(DATOS!$G18751="EX",1,IF(DATOS!$G18751="OR",--(COUNTIFS(nNIA,DATOS!$A18751,nCURSO,DATOS!$D18751,nESPEC,DATOS!$E18751,nASIG,DATOS!$I18751,nEVAL,"EX")=0),0))))</f>
      </c>
      <c r="H18751">
        <f>IF(DATOS!$G18751&lt;&gt;"EX",0,--(COUNTIFS(nNIA,DATOS!$A18751,nCURSO,DATOS!$D18751,nESPEC,DATOS!$E18751,nASIG,DATOS!$I18751,nEVAL,"OR")=0))</f>
      </c>
      <c r="I18751">
        <f>IF(DATOS!$I18751="","",IFERROR(VLOOKUP(DATOS!$I18751,CONFIG_ASIGNATURAS!$B$2:$J$91,9,FALSE()),""))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IF(DATOS!$A18752="",0,IF(CONFIG_METADATA!$B$4&lt;&gt;"OR+EX",--(DATOS!$G18752=CONFIG_METADATA!$B$4),IF(DATOS!$G18752="EX",1,IF(DATOS!$G18752="OR",--(COUNTIFS(nNIA,DATOS!$A18752,nCURSO,DATOS!$D18752,nESPEC,DATOS!$E18752,nASIG,DATOS!$I18752,nEVAL,"EX")=0),0))))</f>
      </c>
      <c r="H18752">
        <f>IF(DATOS!$G18752&lt;&gt;"EX",0,--(COUNTIFS(nNIA,DATOS!$A18752,nCURSO,DATOS!$D18752,nESPEC,DATOS!$E18752,nASIG,DATOS!$I18752,nEVAL,"OR")=0))</f>
      </c>
      <c r="I18752">
        <f>IF(DATOS!$I18752="","",IFERROR(VLOOKUP(DATOS!$I18752,CONFIG_ASIGNATURAS!$B$2:$J$91,9,FALSE()),""))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IF(DATOS!$A18753="",0,IF(CONFIG_METADATA!$B$4&lt;&gt;"OR+EX",--(DATOS!$G18753=CONFIG_METADATA!$B$4),IF(DATOS!$G18753="EX",1,IF(DATOS!$G18753="OR",--(COUNTIFS(nNIA,DATOS!$A18753,nCURSO,DATOS!$D18753,nESPEC,DATOS!$E18753,nASIG,DATOS!$I18753,nEVAL,"EX")=0),0))))</f>
      </c>
      <c r="H18753">
        <f>IF(DATOS!$G18753&lt;&gt;"EX",0,--(COUNTIFS(nNIA,DATOS!$A18753,nCURSO,DATOS!$D18753,nESPEC,DATOS!$E18753,nASIG,DATOS!$I18753,nEVAL,"OR")=0))</f>
      </c>
      <c r="I18753">
        <f>IF(DATOS!$I18753="","",IFERROR(VLOOKUP(DATOS!$I18753,CONFIG_ASIGNATURAS!$B$2:$J$91,9,FALSE()),""))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IF(DATOS!$A18754="",0,IF(CONFIG_METADATA!$B$4&lt;&gt;"OR+EX",--(DATOS!$G18754=CONFIG_METADATA!$B$4),IF(DATOS!$G18754="EX",1,IF(DATOS!$G18754="OR",--(COUNTIFS(nNIA,DATOS!$A18754,nCURSO,DATOS!$D18754,nESPEC,DATOS!$E18754,nASIG,DATOS!$I18754,nEVAL,"EX")=0),0))))</f>
      </c>
      <c r="H18754">
        <f>IF(DATOS!$G18754&lt;&gt;"EX",0,--(COUNTIFS(nNIA,DATOS!$A18754,nCURSO,DATOS!$D18754,nESPEC,DATOS!$E18754,nASIG,DATOS!$I18754,nEVAL,"OR")=0))</f>
      </c>
      <c r="I18754">
        <f>IF(DATOS!$I18754="","",IFERROR(VLOOKUP(DATOS!$I18754,CONFIG_ASIGNATURAS!$B$2:$J$91,9,FALSE()),""))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IF(DATOS!$A18755="",0,IF(CONFIG_METADATA!$B$4&lt;&gt;"OR+EX",--(DATOS!$G18755=CONFIG_METADATA!$B$4),IF(DATOS!$G18755="EX",1,IF(DATOS!$G18755="OR",--(COUNTIFS(nNIA,DATOS!$A18755,nCURSO,DATOS!$D18755,nESPEC,DATOS!$E18755,nASIG,DATOS!$I18755,nEVAL,"EX")=0),0))))</f>
      </c>
      <c r="H18755">
        <f>IF(DATOS!$G18755&lt;&gt;"EX",0,--(COUNTIFS(nNIA,DATOS!$A18755,nCURSO,DATOS!$D18755,nESPEC,DATOS!$E18755,nASIG,DATOS!$I18755,nEVAL,"OR")=0))</f>
      </c>
      <c r="I18755">
        <f>IF(DATOS!$I18755="","",IFERROR(VLOOKUP(DATOS!$I18755,CONFIG_ASIGNATURAS!$B$2:$J$91,9,FALSE()),""))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IF(DATOS!$A18756="",0,IF(CONFIG_METADATA!$B$4&lt;&gt;"OR+EX",--(DATOS!$G18756=CONFIG_METADATA!$B$4),IF(DATOS!$G18756="EX",1,IF(DATOS!$G18756="OR",--(COUNTIFS(nNIA,DATOS!$A18756,nCURSO,DATOS!$D18756,nESPEC,DATOS!$E18756,nASIG,DATOS!$I18756,nEVAL,"EX")=0),0))))</f>
      </c>
      <c r="H18756">
        <f>IF(DATOS!$G18756&lt;&gt;"EX",0,--(COUNTIFS(nNIA,DATOS!$A18756,nCURSO,DATOS!$D18756,nESPEC,DATOS!$E18756,nASIG,DATOS!$I18756,nEVAL,"OR")=0))</f>
      </c>
      <c r="I18756">
        <f>IF(DATOS!$I18756="","",IFERROR(VLOOKUP(DATOS!$I18756,CONFIG_ASIGNATURAS!$B$2:$J$91,9,FALSE()),""))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IF(DATOS!$A18757="",0,IF(CONFIG_METADATA!$B$4&lt;&gt;"OR+EX",--(DATOS!$G18757=CONFIG_METADATA!$B$4),IF(DATOS!$G18757="EX",1,IF(DATOS!$G18757="OR",--(COUNTIFS(nNIA,DATOS!$A18757,nCURSO,DATOS!$D18757,nESPEC,DATOS!$E18757,nASIG,DATOS!$I18757,nEVAL,"EX")=0),0))))</f>
      </c>
      <c r="H18757">
        <f>IF(DATOS!$G18757&lt;&gt;"EX",0,--(COUNTIFS(nNIA,DATOS!$A18757,nCURSO,DATOS!$D18757,nESPEC,DATOS!$E18757,nASIG,DATOS!$I18757,nEVAL,"OR")=0))</f>
      </c>
      <c r="I18757">
        <f>IF(DATOS!$I18757="","",IFERROR(VLOOKUP(DATOS!$I18757,CONFIG_ASIGNATURAS!$B$2:$J$91,9,FALSE()),""))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IF(DATOS!$A18758="",0,IF(CONFIG_METADATA!$B$4&lt;&gt;"OR+EX",--(DATOS!$G18758=CONFIG_METADATA!$B$4),IF(DATOS!$G18758="EX",1,IF(DATOS!$G18758="OR",--(COUNTIFS(nNIA,DATOS!$A18758,nCURSO,DATOS!$D18758,nESPEC,DATOS!$E18758,nASIG,DATOS!$I18758,nEVAL,"EX")=0),0))))</f>
      </c>
      <c r="H18758">
        <f>IF(DATOS!$G18758&lt;&gt;"EX",0,--(COUNTIFS(nNIA,DATOS!$A18758,nCURSO,DATOS!$D18758,nESPEC,DATOS!$E18758,nASIG,DATOS!$I18758,nEVAL,"OR")=0))</f>
      </c>
      <c r="I18758">
        <f>IF(DATOS!$I18758="","",IFERROR(VLOOKUP(DATOS!$I18758,CONFIG_ASIGNATURAS!$B$2:$J$91,9,FALSE()),""))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IF(DATOS!$A18759="",0,IF(CONFIG_METADATA!$B$4&lt;&gt;"OR+EX",--(DATOS!$G18759=CONFIG_METADATA!$B$4),IF(DATOS!$G18759="EX",1,IF(DATOS!$G18759="OR",--(COUNTIFS(nNIA,DATOS!$A18759,nCURSO,DATOS!$D18759,nESPEC,DATOS!$E18759,nASIG,DATOS!$I18759,nEVAL,"EX")=0),0))))</f>
      </c>
      <c r="H18759">
        <f>IF(DATOS!$G18759&lt;&gt;"EX",0,--(COUNTIFS(nNIA,DATOS!$A18759,nCURSO,DATOS!$D18759,nESPEC,DATOS!$E18759,nASIG,DATOS!$I18759,nEVAL,"OR")=0))</f>
      </c>
      <c r="I18759">
        <f>IF(DATOS!$I18759="","",IFERROR(VLOOKUP(DATOS!$I18759,CONFIG_ASIGNATURAS!$B$2:$J$91,9,FALSE()),""))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IF(DATOS!$A18760="",0,IF(CONFIG_METADATA!$B$4&lt;&gt;"OR+EX",--(DATOS!$G18760=CONFIG_METADATA!$B$4),IF(DATOS!$G18760="EX",1,IF(DATOS!$G18760="OR",--(COUNTIFS(nNIA,DATOS!$A18760,nCURSO,DATOS!$D18760,nESPEC,DATOS!$E18760,nASIG,DATOS!$I18760,nEVAL,"EX")=0),0))))</f>
      </c>
      <c r="H18760">
        <f>IF(DATOS!$G18760&lt;&gt;"EX",0,--(COUNTIFS(nNIA,DATOS!$A18760,nCURSO,DATOS!$D18760,nESPEC,DATOS!$E18760,nASIG,DATOS!$I18760,nEVAL,"OR")=0))</f>
      </c>
      <c r="I18760">
        <f>IF(DATOS!$I18760="","",IFERROR(VLOOKUP(DATOS!$I18760,CONFIG_ASIGNATURAS!$B$2:$J$91,9,FALSE()),""))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IF(DATOS!$A18761="",0,IF(CONFIG_METADATA!$B$4&lt;&gt;"OR+EX",--(DATOS!$G18761=CONFIG_METADATA!$B$4),IF(DATOS!$G18761="EX",1,IF(DATOS!$G18761="OR",--(COUNTIFS(nNIA,DATOS!$A18761,nCURSO,DATOS!$D18761,nESPEC,DATOS!$E18761,nASIG,DATOS!$I18761,nEVAL,"EX")=0),0))))</f>
      </c>
      <c r="H18761">
        <f>IF(DATOS!$G18761&lt;&gt;"EX",0,--(COUNTIFS(nNIA,DATOS!$A18761,nCURSO,DATOS!$D18761,nESPEC,DATOS!$E18761,nASIG,DATOS!$I18761,nEVAL,"OR")=0))</f>
      </c>
      <c r="I18761">
        <f>IF(DATOS!$I18761="","",IFERROR(VLOOKUP(DATOS!$I18761,CONFIG_ASIGNATURAS!$B$2:$J$91,9,FALSE()),""))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IF(DATOS!$A18762="",0,IF(CONFIG_METADATA!$B$4&lt;&gt;"OR+EX",--(DATOS!$G18762=CONFIG_METADATA!$B$4),IF(DATOS!$G18762="EX",1,IF(DATOS!$G18762="OR",--(COUNTIFS(nNIA,DATOS!$A18762,nCURSO,DATOS!$D18762,nESPEC,DATOS!$E18762,nASIG,DATOS!$I18762,nEVAL,"EX")=0),0))))</f>
      </c>
      <c r="H18762">
        <f>IF(DATOS!$G18762&lt;&gt;"EX",0,--(COUNTIFS(nNIA,DATOS!$A18762,nCURSO,DATOS!$D18762,nESPEC,DATOS!$E18762,nASIG,DATOS!$I18762,nEVAL,"OR")=0))</f>
      </c>
      <c r="I18762">
        <f>IF(DATOS!$I18762="","",IFERROR(VLOOKUP(DATOS!$I18762,CONFIG_ASIGNATURAS!$B$2:$J$91,9,FALSE()),""))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IF(DATOS!$A18763="",0,IF(CONFIG_METADATA!$B$4&lt;&gt;"OR+EX",--(DATOS!$G18763=CONFIG_METADATA!$B$4),IF(DATOS!$G18763="EX",1,IF(DATOS!$G18763="OR",--(COUNTIFS(nNIA,DATOS!$A18763,nCURSO,DATOS!$D18763,nESPEC,DATOS!$E18763,nASIG,DATOS!$I18763,nEVAL,"EX")=0),0))))</f>
      </c>
      <c r="H18763">
        <f>IF(DATOS!$G18763&lt;&gt;"EX",0,--(COUNTIFS(nNIA,DATOS!$A18763,nCURSO,DATOS!$D18763,nESPEC,DATOS!$E18763,nASIG,DATOS!$I18763,nEVAL,"OR")=0))</f>
      </c>
      <c r="I18763">
        <f>IF(DATOS!$I18763="","",IFERROR(VLOOKUP(DATOS!$I18763,CONFIG_ASIGNATURAS!$B$2:$J$91,9,FALSE()),""))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IF(DATOS!$A18764="",0,IF(CONFIG_METADATA!$B$4&lt;&gt;"OR+EX",--(DATOS!$G18764=CONFIG_METADATA!$B$4),IF(DATOS!$G18764="EX",1,IF(DATOS!$G18764="OR",--(COUNTIFS(nNIA,DATOS!$A18764,nCURSO,DATOS!$D18764,nESPEC,DATOS!$E18764,nASIG,DATOS!$I18764,nEVAL,"EX")=0),0))))</f>
      </c>
      <c r="H18764">
        <f>IF(DATOS!$G18764&lt;&gt;"EX",0,--(COUNTIFS(nNIA,DATOS!$A18764,nCURSO,DATOS!$D18764,nESPEC,DATOS!$E18764,nASIG,DATOS!$I18764,nEVAL,"OR")=0))</f>
      </c>
      <c r="I18764">
        <f>IF(DATOS!$I18764="","",IFERROR(VLOOKUP(DATOS!$I18764,CONFIG_ASIGNATURAS!$B$2:$J$91,9,FALSE()),""))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IF(DATOS!$A18765="",0,IF(CONFIG_METADATA!$B$4&lt;&gt;"OR+EX",--(DATOS!$G18765=CONFIG_METADATA!$B$4),IF(DATOS!$G18765="EX",1,IF(DATOS!$G18765="OR",--(COUNTIFS(nNIA,DATOS!$A18765,nCURSO,DATOS!$D18765,nESPEC,DATOS!$E18765,nASIG,DATOS!$I18765,nEVAL,"EX")=0),0))))</f>
      </c>
      <c r="H18765">
        <f>IF(DATOS!$G18765&lt;&gt;"EX",0,--(COUNTIFS(nNIA,DATOS!$A18765,nCURSO,DATOS!$D18765,nESPEC,DATOS!$E18765,nASIG,DATOS!$I18765,nEVAL,"OR")=0))</f>
      </c>
      <c r="I18765">
        <f>IF(DATOS!$I18765="","",IFERROR(VLOOKUP(DATOS!$I18765,CONFIG_ASIGNATURAS!$B$2:$J$91,9,FALSE()),""))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IF(DATOS!$A18766="",0,IF(CONFIG_METADATA!$B$4&lt;&gt;"OR+EX",--(DATOS!$G18766=CONFIG_METADATA!$B$4),IF(DATOS!$G18766="EX",1,IF(DATOS!$G18766="OR",--(COUNTIFS(nNIA,DATOS!$A18766,nCURSO,DATOS!$D18766,nESPEC,DATOS!$E18766,nASIG,DATOS!$I18766,nEVAL,"EX")=0),0))))</f>
      </c>
      <c r="H18766">
        <f>IF(DATOS!$G18766&lt;&gt;"EX",0,--(COUNTIFS(nNIA,DATOS!$A18766,nCURSO,DATOS!$D18766,nESPEC,DATOS!$E18766,nASIG,DATOS!$I18766,nEVAL,"OR")=0))</f>
      </c>
      <c r="I18766">
        <f>IF(DATOS!$I18766="","",IFERROR(VLOOKUP(DATOS!$I18766,CONFIG_ASIGNATURAS!$B$2:$J$91,9,FALSE()),""))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IF(DATOS!$A18767="",0,IF(CONFIG_METADATA!$B$4&lt;&gt;"OR+EX",--(DATOS!$G18767=CONFIG_METADATA!$B$4),IF(DATOS!$G18767="EX",1,IF(DATOS!$G18767="OR",--(COUNTIFS(nNIA,DATOS!$A18767,nCURSO,DATOS!$D18767,nESPEC,DATOS!$E18767,nASIG,DATOS!$I18767,nEVAL,"EX")=0),0))))</f>
      </c>
      <c r="H18767">
        <f>IF(DATOS!$G18767&lt;&gt;"EX",0,--(COUNTIFS(nNIA,DATOS!$A18767,nCURSO,DATOS!$D18767,nESPEC,DATOS!$E18767,nASIG,DATOS!$I18767,nEVAL,"OR")=0))</f>
      </c>
      <c r="I18767">
        <f>IF(DATOS!$I18767="","",IFERROR(VLOOKUP(DATOS!$I18767,CONFIG_ASIGNATURAS!$B$2:$J$91,9,FALSE()),""))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IF(DATOS!$A18768="",0,IF(CONFIG_METADATA!$B$4&lt;&gt;"OR+EX",--(DATOS!$G18768=CONFIG_METADATA!$B$4),IF(DATOS!$G18768="EX",1,IF(DATOS!$G18768="OR",--(COUNTIFS(nNIA,DATOS!$A18768,nCURSO,DATOS!$D18768,nESPEC,DATOS!$E18768,nASIG,DATOS!$I18768,nEVAL,"EX")=0),0))))</f>
      </c>
      <c r="H18768">
        <f>IF(DATOS!$G18768&lt;&gt;"EX",0,--(COUNTIFS(nNIA,DATOS!$A18768,nCURSO,DATOS!$D18768,nESPEC,DATOS!$E18768,nASIG,DATOS!$I18768,nEVAL,"OR")=0))</f>
      </c>
      <c r="I18768">
        <f>IF(DATOS!$I18768="","",IFERROR(VLOOKUP(DATOS!$I18768,CONFIG_ASIGNATURAS!$B$2:$J$91,9,FALSE()),""))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IF(DATOS!$A18769="",0,IF(CONFIG_METADATA!$B$4&lt;&gt;"OR+EX",--(DATOS!$G18769=CONFIG_METADATA!$B$4),IF(DATOS!$G18769="EX",1,IF(DATOS!$G18769="OR",--(COUNTIFS(nNIA,DATOS!$A18769,nCURSO,DATOS!$D18769,nESPEC,DATOS!$E18769,nASIG,DATOS!$I18769,nEVAL,"EX")=0),0))))</f>
      </c>
      <c r="H18769">
        <f>IF(DATOS!$G18769&lt;&gt;"EX",0,--(COUNTIFS(nNIA,DATOS!$A18769,nCURSO,DATOS!$D18769,nESPEC,DATOS!$E18769,nASIG,DATOS!$I18769,nEVAL,"OR")=0))</f>
      </c>
      <c r="I18769">
        <f>IF(DATOS!$I18769="","",IFERROR(VLOOKUP(DATOS!$I18769,CONFIG_ASIGNATURAS!$B$2:$J$91,9,FALSE()),""))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IF(DATOS!$A18770="",0,IF(CONFIG_METADATA!$B$4&lt;&gt;"OR+EX",--(DATOS!$G18770=CONFIG_METADATA!$B$4),IF(DATOS!$G18770="EX",1,IF(DATOS!$G18770="OR",--(COUNTIFS(nNIA,DATOS!$A18770,nCURSO,DATOS!$D18770,nESPEC,DATOS!$E18770,nASIG,DATOS!$I18770,nEVAL,"EX")=0),0))))</f>
      </c>
      <c r="H18770">
        <f>IF(DATOS!$G18770&lt;&gt;"EX",0,--(COUNTIFS(nNIA,DATOS!$A18770,nCURSO,DATOS!$D18770,nESPEC,DATOS!$E18770,nASIG,DATOS!$I18770,nEVAL,"OR")=0))</f>
      </c>
      <c r="I18770">
        <f>IF(DATOS!$I18770="","",IFERROR(VLOOKUP(DATOS!$I18770,CONFIG_ASIGNATURAS!$B$2:$J$91,9,FALSE()),""))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IF(DATOS!$A18771="",0,IF(CONFIG_METADATA!$B$4&lt;&gt;"OR+EX",--(DATOS!$G18771=CONFIG_METADATA!$B$4),IF(DATOS!$G18771="EX",1,IF(DATOS!$G18771="OR",--(COUNTIFS(nNIA,DATOS!$A18771,nCURSO,DATOS!$D18771,nESPEC,DATOS!$E18771,nASIG,DATOS!$I18771,nEVAL,"EX")=0),0))))</f>
      </c>
      <c r="H18771">
        <f>IF(DATOS!$G18771&lt;&gt;"EX",0,--(COUNTIFS(nNIA,DATOS!$A18771,nCURSO,DATOS!$D18771,nESPEC,DATOS!$E18771,nASIG,DATOS!$I18771,nEVAL,"OR")=0))</f>
      </c>
      <c r="I18771">
        <f>IF(DATOS!$I18771="","",IFERROR(VLOOKUP(DATOS!$I18771,CONFIG_ASIGNATURAS!$B$2:$J$91,9,FALSE()),""))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IF(DATOS!$A18772="",0,IF(CONFIG_METADATA!$B$4&lt;&gt;"OR+EX",--(DATOS!$G18772=CONFIG_METADATA!$B$4),IF(DATOS!$G18772="EX",1,IF(DATOS!$G18772="OR",--(COUNTIFS(nNIA,DATOS!$A18772,nCURSO,DATOS!$D18772,nESPEC,DATOS!$E18772,nASIG,DATOS!$I18772,nEVAL,"EX")=0),0))))</f>
      </c>
      <c r="H18772">
        <f>IF(DATOS!$G18772&lt;&gt;"EX",0,--(COUNTIFS(nNIA,DATOS!$A18772,nCURSO,DATOS!$D18772,nESPEC,DATOS!$E18772,nASIG,DATOS!$I18772,nEVAL,"OR")=0))</f>
      </c>
      <c r="I18772">
        <f>IF(DATOS!$I18772="","",IFERROR(VLOOKUP(DATOS!$I18772,CONFIG_ASIGNATURAS!$B$2:$J$91,9,FALSE()),""))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IF(DATOS!$A18773="",0,IF(CONFIG_METADATA!$B$4&lt;&gt;"OR+EX",--(DATOS!$G18773=CONFIG_METADATA!$B$4),IF(DATOS!$G18773="EX",1,IF(DATOS!$G18773="OR",--(COUNTIFS(nNIA,DATOS!$A18773,nCURSO,DATOS!$D18773,nESPEC,DATOS!$E18773,nASIG,DATOS!$I18773,nEVAL,"EX")=0),0))))</f>
      </c>
      <c r="H18773">
        <f>IF(DATOS!$G18773&lt;&gt;"EX",0,--(COUNTIFS(nNIA,DATOS!$A18773,nCURSO,DATOS!$D18773,nESPEC,DATOS!$E18773,nASIG,DATOS!$I18773,nEVAL,"OR")=0))</f>
      </c>
      <c r="I18773">
        <f>IF(DATOS!$I18773="","",IFERROR(VLOOKUP(DATOS!$I18773,CONFIG_ASIGNATURAS!$B$2:$J$91,9,FALSE()),""))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IF(DATOS!$A18774="",0,IF(CONFIG_METADATA!$B$4&lt;&gt;"OR+EX",--(DATOS!$G18774=CONFIG_METADATA!$B$4),IF(DATOS!$G18774="EX",1,IF(DATOS!$G18774="OR",--(COUNTIFS(nNIA,DATOS!$A18774,nCURSO,DATOS!$D18774,nESPEC,DATOS!$E18774,nASIG,DATOS!$I18774,nEVAL,"EX")=0),0))))</f>
      </c>
      <c r="H18774">
        <f>IF(DATOS!$G18774&lt;&gt;"EX",0,--(COUNTIFS(nNIA,DATOS!$A18774,nCURSO,DATOS!$D18774,nESPEC,DATOS!$E18774,nASIG,DATOS!$I18774,nEVAL,"OR")=0))</f>
      </c>
      <c r="I18774">
        <f>IF(DATOS!$I18774="","",IFERROR(VLOOKUP(DATOS!$I18774,CONFIG_ASIGNATURAS!$B$2:$J$91,9,FALSE()),""))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IF(DATOS!$A18775="",0,IF(CONFIG_METADATA!$B$4&lt;&gt;"OR+EX",--(DATOS!$G18775=CONFIG_METADATA!$B$4),IF(DATOS!$G18775="EX",1,IF(DATOS!$G18775="OR",--(COUNTIFS(nNIA,DATOS!$A18775,nCURSO,DATOS!$D18775,nESPEC,DATOS!$E18775,nASIG,DATOS!$I18775,nEVAL,"EX")=0),0))))</f>
      </c>
      <c r="H18775">
        <f>IF(DATOS!$G18775&lt;&gt;"EX",0,--(COUNTIFS(nNIA,DATOS!$A18775,nCURSO,DATOS!$D18775,nESPEC,DATOS!$E18775,nASIG,DATOS!$I18775,nEVAL,"OR")=0))</f>
      </c>
      <c r="I18775">
        <f>IF(DATOS!$I18775="","",IFERROR(VLOOKUP(DATOS!$I18775,CONFIG_ASIGNATURAS!$B$2:$J$91,9,FALSE()),""))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IF(DATOS!$A18776="",0,IF(CONFIG_METADATA!$B$4&lt;&gt;"OR+EX",--(DATOS!$G18776=CONFIG_METADATA!$B$4),IF(DATOS!$G18776="EX",1,IF(DATOS!$G18776="OR",--(COUNTIFS(nNIA,DATOS!$A18776,nCURSO,DATOS!$D18776,nESPEC,DATOS!$E18776,nASIG,DATOS!$I18776,nEVAL,"EX")=0),0))))</f>
      </c>
      <c r="H18776">
        <f>IF(DATOS!$G18776&lt;&gt;"EX",0,--(COUNTIFS(nNIA,DATOS!$A18776,nCURSO,DATOS!$D18776,nESPEC,DATOS!$E18776,nASIG,DATOS!$I18776,nEVAL,"OR")=0))</f>
      </c>
      <c r="I18776">
        <f>IF(DATOS!$I18776="","",IFERROR(VLOOKUP(DATOS!$I18776,CONFIG_ASIGNATURAS!$B$2:$J$91,9,FALSE()),""))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IF(DATOS!$A18777="",0,IF(CONFIG_METADATA!$B$4&lt;&gt;"OR+EX",--(DATOS!$G18777=CONFIG_METADATA!$B$4),IF(DATOS!$G18777="EX",1,IF(DATOS!$G18777="OR",--(COUNTIFS(nNIA,DATOS!$A18777,nCURSO,DATOS!$D18777,nESPEC,DATOS!$E18777,nASIG,DATOS!$I18777,nEVAL,"EX")=0),0))))</f>
      </c>
      <c r="H18777">
        <f>IF(DATOS!$G18777&lt;&gt;"EX",0,--(COUNTIFS(nNIA,DATOS!$A18777,nCURSO,DATOS!$D18777,nESPEC,DATOS!$E18777,nASIG,DATOS!$I18777,nEVAL,"OR")=0))</f>
      </c>
      <c r="I18777">
        <f>IF(DATOS!$I18777="","",IFERROR(VLOOKUP(DATOS!$I18777,CONFIG_ASIGNATURAS!$B$2:$J$91,9,FALSE()),""))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IF(DATOS!$A18778="",0,IF(CONFIG_METADATA!$B$4&lt;&gt;"OR+EX",--(DATOS!$G18778=CONFIG_METADATA!$B$4),IF(DATOS!$G18778="EX",1,IF(DATOS!$G18778="OR",--(COUNTIFS(nNIA,DATOS!$A18778,nCURSO,DATOS!$D18778,nESPEC,DATOS!$E18778,nASIG,DATOS!$I18778,nEVAL,"EX")=0),0))))</f>
      </c>
      <c r="H18778">
        <f>IF(DATOS!$G18778&lt;&gt;"EX",0,--(COUNTIFS(nNIA,DATOS!$A18778,nCURSO,DATOS!$D18778,nESPEC,DATOS!$E18778,nASIG,DATOS!$I18778,nEVAL,"OR")=0))</f>
      </c>
      <c r="I18778">
        <f>IF(DATOS!$I18778="","",IFERROR(VLOOKUP(DATOS!$I18778,CONFIG_ASIGNATURAS!$B$2:$J$91,9,FALSE()),""))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IF(DATOS!$A18779="",0,IF(CONFIG_METADATA!$B$4&lt;&gt;"OR+EX",--(DATOS!$G18779=CONFIG_METADATA!$B$4),IF(DATOS!$G18779="EX",1,IF(DATOS!$G18779="OR",--(COUNTIFS(nNIA,DATOS!$A18779,nCURSO,DATOS!$D18779,nESPEC,DATOS!$E18779,nASIG,DATOS!$I18779,nEVAL,"EX")=0),0))))</f>
      </c>
      <c r="H18779">
        <f>IF(DATOS!$G18779&lt;&gt;"EX",0,--(COUNTIFS(nNIA,DATOS!$A18779,nCURSO,DATOS!$D18779,nESPEC,DATOS!$E18779,nASIG,DATOS!$I18779,nEVAL,"OR")=0))</f>
      </c>
      <c r="I18779">
        <f>IF(DATOS!$I18779="","",IFERROR(VLOOKUP(DATOS!$I18779,CONFIG_ASIGNATURAS!$B$2:$J$91,9,FALSE()),""))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IF(DATOS!$A18780="",0,IF(CONFIG_METADATA!$B$4&lt;&gt;"OR+EX",--(DATOS!$G18780=CONFIG_METADATA!$B$4),IF(DATOS!$G18780="EX",1,IF(DATOS!$G18780="OR",--(COUNTIFS(nNIA,DATOS!$A18780,nCURSO,DATOS!$D18780,nESPEC,DATOS!$E18780,nASIG,DATOS!$I18780,nEVAL,"EX")=0),0))))</f>
      </c>
      <c r="H18780">
        <f>IF(DATOS!$G18780&lt;&gt;"EX",0,--(COUNTIFS(nNIA,DATOS!$A18780,nCURSO,DATOS!$D18780,nESPEC,DATOS!$E18780,nASIG,DATOS!$I18780,nEVAL,"OR")=0))</f>
      </c>
      <c r="I18780">
        <f>IF(DATOS!$I18780="","",IFERROR(VLOOKUP(DATOS!$I18780,CONFIG_ASIGNATURAS!$B$2:$J$91,9,FALSE()),""))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IF(DATOS!$A18781="",0,IF(CONFIG_METADATA!$B$4&lt;&gt;"OR+EX",--(DATOS!$G18781=CONFIG_METADATA!$B$4),IF(DATOS!$G18781="EX",1,IF(DATOS!$G18781="OR",--(COUNTIFS(nNIA,DATOS!$A18781,nCURSO,DATOS!$D18781,nESPEC,DATOS!$E18781,nASIG,DATOS!$I18781,nEVAL,"EX")=0),0))))</f>
      </c>
      <c r="H18781">
        <f>IF(DATOS!$G18781&lt;&gt;"EX",0,--(COUNTIFS(nNIA,DATOS!$A18781,nCURSO,DATOS!$D18781,nESPEC,DATOS!$E18781,nASIG,DATOS!$I18781,nEVAL,"OR")=0))</f>
      </c>
      <c r="I18781">
        <f>IF(DATOS!$I18781="","",IFERROR(VLOOKUP(DATOS!$I18781,CONFIG_ASIGNATURAS!$B$2:$J$91,9,FALSE()),""))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IF(DATOS!$A18782="",0,IF(CONFIG_METADATA!$B$4&lt;&gt;"OR+EX",--(DATOS!$G18782=CONFIG_METADATA!$B$4),IF(DATOS!$G18782="EX",1,IF(DATOS!$G18782="OR",--(COUNTIFS(nNIA,DATOS!$A18782,nCURSO,DATOS!$D18782,nESPEC,DATOS!$E18782,nASIG,DATOS!$I18782,nEVAL,"EX")=0),0))))</f>
      </c>
      <c r="H18782">
        <f>IF(DATOS!$G18782&lt;&gt;"EX",0,--(COUNTIFS(nNIA,DATOS!$A18782,nCURSO,DATOS!$D18782,nESPEC,DATOS!$E18782,nASIG,DATOS!$I18782,nEVAL,"OR")=0))</f>
      </c>
      <c r="I18782">
        <f>IF(DATOS!$I18782="","",IFERROR(VLOOKUP(DATOS!$I18782,CONFIG_ASIGNATURAS!$B$2:$J$91,9,FALSE()),""))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IF(DATOS!$A18783="",0,IF(CONFIG_METADATA!$B$4&lt;&gt;"OR+EX",--(DATOS!$G18783=CONFIG_METADATA!$B$4),IF(DATOS!$G18783="EX",1,IF(DATOS!$G18783="OR",--(COUNTIFS(nNIA,DATOS!$A18783,nCURSO,DATOS!$D18783,nESPEC,DATOS!$E18783,nASIG,DATOS!$I18783,nEVAL,"EX")=0),0))))</f>
      </c>
      <c r="H18783">
        <f>IF(DATOS!$G18783&lt;&gt;"EX",0,--(COUNTIFS(nNIA,DATOS!$A18783,nCURSO,DATOS!$D18783,nESPEC,DATOS!$E18783,nASIG,DATOS!$I18783,nEVAL,"OR")=0))</f>
      </c>
      <c r="I18783">
        <f>IF(DATOS!$I18783="","",IFERROR(VLOOKUP(DATOS!$I18783,CONFIG_ASIGNATURAS!$B$2:$J$91,9,FALSE()),""))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IF(DATOS!$A18784="",0,IF(CONFIG_METADATA!$B$4&lt;&gt;"OR+EX",--(DATOS!$G18784=CONFIG_METADATA!$B$4),IF(DATOS!$G18784="EX",1,IF(DATOS!$G18784="OR",--(COUNTIFS(nNIA,DATOS!$A18784,nCURSO,DATOS!$D18784,nESPEC,DATOS!$E18784,nASIG,DATOS!$I18784,nEVAL,"EX")=0),0))))</f>
      </c>
      <c r="H18784">
        <f>IF(DATOS!$G18784&lt;&gt;"EX",0,--(COUNTIFS(nNIA,DATOS!$A18784,nCURSO,DATOS!$D18784,nESPEC,DATOS!$E18784,nASIG,DATOS!$I18784,nEVAL,"OR")=0))</f>
      </c>
      <c r="I18784">
        <f>IF(DATOS!$I18784="","",IFERROR(VLOOKUP(DATOS!$I18784,CONFIG_ASIGNATURAS!$B$2:$J$91,9,FALSE()),""))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IF(DATOS!$A18785="",0,IF(CONFIG_METADATA!$B$4&lt;&gt;"OR+EX",--(DATOS!$G18785=CONFIG_METADATA!$B$4),IF(DATOS!$G18785="EX",1,IF(DATOS!$G18785="OR",--(COUNTIFS(nNIA,DATOS!$A18785,nCURSO,DATOS!$D18785,nESPEC,DATOS!$E18785,nASIG,DATOS!$I18785,nEVAL,"EX")=0),0))))</f>
      </c>
      <c r="H18785">
        <f>IF(DATOS!$G18785&lt;&gt;"EX",0,--(COUNTIFS(nNIA,DATOS!$A18785,nCURSO,DATOS!$D18785,nESPEC,DATOS!$E18785,nASIG,DATOS!$I18785,nEVAL,"OR")=0))</f>
      </c>
      <c r="I18785">
        <f>IF(DATOS!$I18785="","",IFERROR(VLOOKUP(DATOS!$I18785,CONFIG_ASIGNATURAS!$B$2:$J$91,9,FALSE()),""))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IF(DATOS!$A18786="",0,IF(CONFIG_METADATA!$B$4&lt;&gt;"OR+EX",--(DATOS!$G18786=CONFIG_METADATA!$B$4),IF(DATOS!$G18786="EX",1,IF(DATOS!$G18786="OR",--(COUNTIFS(nNIA,DATOS!$A18786,nCURSO,DATOS!$D18786,nESPEC,DATOS!$E18786,nASIG,DATOS!$I18786,nEVAL,"EX")=0),0))))</f>
      </c>
      <c r="H18786">
        <f>IF(DATOS!$G18786&lt;&gt;"EX",0,--(COUNTIFS(nNIA,DATOS!$A18786,nCURSO,DATOS!$D18786,nESPEC,DATOS!$E18786,nASIG,DATOS!$I18786,nEVAL,"OR")=0))</f>
      </c>
      <c r="I18786">
        <f>IF(DATOS!$I18786="","",IFERROR(VLOOKUP(DATOS!$I18786,CONFIG_ASIGNATURAS!$B$2:$J$91,9,FALSE()),""))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IF(DATOS!$A18787="",0,IF(CONFIG_METADATA!$B$4&lt;&gt;"OR+EX",--(DATOS!$G18787=CONFIG_METADATA!$B$4),IF(DATOS!$G18787="EX",1,IF(DATOS!$G18787="OR",--(COUNTIFS(nNIA,DATOS!$A18787,nCURSO,DATOS!$D18787,nESPEC,DATOS!$E18787,nASIG,DATOS!$I18787,nEVAL,"EX")=0),0))))</f>
      </c>
      <c r="H18787">
        <f>IF(DATOS!$G18787&lt;&gt;"EX",0,--(COUNTIFS(nNIA,DATOS!$A18787,nCURSO,DATOS!$D18787,nESPEC,DATOS!$E18787,nASIG,DATOS!$I18787,nEVAL,"OR")=0))</f>
      </c>
      <c r="I18787">
        <f>IF(DATOS!$I18787="","",IFERROR(VLOOKUP(DATOS!$I18787,CONFIG_ASIGNATURAS!$B$2:$J$91,9,FALSE()),""))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IF(DATOS!$A18788="",0,IF(CONFIG_METADATA!$B$4&lt;&gt;"OR+EX",--(DATOS!$G18788=CONFIG_METADATA!$B$4),IF(DATOS!$G18788="EX",1,IF(DATOS!$G18788="OR",--(COUNTIFS(nNIA,DATOS!$A18788,nCURSO,DATOS!$D18788,nESPEC,DATOS!$E18788,nASIG,DATOS!$I18788,nEVAL,"EX")=0),0))))</f>
      </c>
      <c r="H18788">
        <f>IF(DATOS!$G18788&lt;&gt;"EX",0,--(COUNTIFS(nNIA,DATOS!$A18788,nCURSO,DATOS!$D18788,nESPEC,DATOS!$E18788,nASIG,DATOS!$I18788,nEVAL,"OR")=0))</f>
      </c>
      <c r="I18788">
        <f>IF(DATOS!$I18788="","",IFERROR(VLOOKUP(DATOS!$I18788,CONFIG_ASIGNATURAS!$B$2:$J$91,9,FALSE()),""))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IF(DATOS!$A18789="",0,IF(CONFIG_METADATA!$B$4&lt;&gt;"OR+EX",--(DATOS!$G18789=CONFIG_METADATA!$B$4),IF(DATOS!$G18789="EX",1,IF(DATOS!$G18789="OR",--(COUNTIFS(nNIA,DATOS!$A18789,nCURSO,DATOS!$D18789,nESPEC,DATOS!$E18789,nASIG,DATOS!$I18789,nEVAL,"EX")=0),0))))</f>
      </c>
      <c r="H18789">
        <f>IF(DATOS!$G18789&lt;&gt;"EX",0,--(COUNTIFS(nNIA,DATOS!$A18789,nCURSO,DATOS!$D18789,nESPEC,DATOS!$E18789,nASIG,DATOS!$I18789,nEVAL,"OR")=0))</f>
      </c>
      <c r="I18789">
        <f>IF(DATOS!$I18789="","",IFERROR(VLOOKUP(DATOS!$I18789,CONFIG_ASIGNATURAS!$B$2:$J$91,9,FALSE()),""))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IF(DATOS!$A18790="",0,IF(CONFIG_METADATA!$B$4&lt;&gt;"OR+EX",--(DATOS!$G18790=CONFIG_METADATA!$B$4),IF(DATOS!$G18790="EX",1,IF(DATOS!$G18790="OR",--(COUNTIFS(nNIA,DATOS!$A18790,nCURSO,DATOS!$D18790,nESPEC,DATOS!$E18790,nASIG,DATOS!$I18790,nEVAL,"EX")=0),0))))</f>
      </c>
      <c r="H18790">
        <f>IF(DATOS!$G18790&lt;&gt;"EX",0,--(COUNTIFS(nNIA,DATOS!$A18790,nCURSO,DATOS!$D18790,nESPEC,DATOS!$E18790,nASIG,DATOS!$I18790,nEVAL,"OR")=0))</f>
      </c>
      <c r="I18790">
        <f>IF(DATOS!$I18790="","",IFERROR(VLOOKUP(DATOS!$I18790,CONFIG_ASIGNATURAS!$B$2:$J$91,9,FALSE()),""))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IF(DATOS!$A18791="",0,IF(CONFIG_METADATA!$B$4&lt;&gt;"OR+EX",--(DATOS!$G18791=CONFIG_METADATA!$B$4),IF(DATOS!$G18791="EX",1,IF(DATOS!$G18791="OR",--(COUNTIFS(nNIA,DATOS!$A18791,nCURSO,DATOS!$D18791,nESPEC,DATOS!$E18791,nASIG,DATOS!$I18791,nEVAL,"EX")=0),0))))</f>
      </c>
      <c r="H18791">
        <f>IF(DATOS!$G18791&lt;&gt;"EX",0,--(COUNTIFS(nNIA,DATOS!$A18791,nCURSO,DATOS!$D18791,nESPEC,DATOS!$E18791,nASIG,DATOS!$I18791,nEVAL,"OR")=0))</f>
      </c>
      <c r="I18791">
        <f>IF(DATOS!$I18791="","",IFERROR(VLOOKUP(DATOS!$I18791,CONFIG_ASIGNATURAS!$B$2:$J$91,9,FALSE()),""))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IF(DATOS!$A18792="",0,IF(CONFIG_METADATA!$B$4&lt;&gt;"OR+EX",--(DATOS!$G18792=CONFIG_METADATA!$B$4),IF(DATOS!$G18792="EX",1,IF(DATOS!$G18792="OR",--(COUNTIFS(nNIA,DATOS!$A18792,nCURSO,DATOS!$D18792,nESPEC,DATOS!$E18792,nASIG,DATOS!$I18792,nEVAL,"EX")=0),0))))</f>
      </c>
      <c r="H18792">
        <f>IF(DATOS!$G18792&lt;&gt;"EX",0,--(COUNTIFS(nNIA,DATOS!$A18792,nCURSO,DATOS!$D18792,nESPEC,DATOS!$E18792,nASIG,DATOS!$I18792,nEVAL,"OR")=0))</f>
      </c>
      <c r="I18792">
        <f>IF(DATOS!$I18792="","",IFERROR(VLOOKUP(DATOS!$I18792,CONFIG_ASIGNATURAS!$B$2:$J$91,9,FALSE()),""))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IF(DATOS!$A18793="",0,IF(CONFIG_METADATA!$B$4&lt;&gt;"OR+EX",--(DATOS!$G18793=CONFIG_METADATA!$B$4),IF(DATOS!$G18793="EX",1,IF(DATOS!$G18793="OR",--(COUNTIFS(nNIA,DATOS!$A18793,nCURSO,DATOS!$D18793,nESPEC,DATOS!$E18793,nASIG,DATOS!$I18793,nEVAL,"EX")=0),0))))</f>
      </c>
      <c r="H18793">
        <f>IF(DATOS!$G18793&lt;&gt;"EX",0,--(COUNTIFS(nNIA,DATOS!$A18793,nCURSO,DATOS!$D18793,nESPEC,DATOS!$E18793,nASIG,DATOS!$I18793,nEVAL,"OR")=0))</f>
      </c>
      <c r="I18793">
        <f>IF(DATOS!$I18793="","",IFERROR(VLOOKUP(DATOS!$I18793,CONFIG_ASIGNATURAS!$B$2:$J$91,9,FALSE()),""))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IF(DATOS!$A18794="",0,IF(CONFIG_METADATA!$B$4&lt;&gt;"OR+EX",--(DATOS!$G18794=CONFIG_METADATA!$B$4),IF(DATOS!$G18794="EX",1,IF(DATOS!$G18794="OR",--(COUNTIFS(nNIA,DATOS!$A18794,nCURSO,DATOS!$D18794,nESPEC,DATOS!$E18794,nASIG,DATOS!$I18794,nEVAL,"EX")=0),0))))</f>
      </c>
      <c r="H18794">
        <f>IF(DATOS!$G18794&lt;&gt;"EX",0,--(COUNTIFS(nNIA,DATOS!$A18794,nCURSO,DATOS!$D18794,nESPEC,DATOS!$E18794,nASIG,DATOS!$I18794,nEVAL,"OR")=0))</f>
      </c>
      <c r="I18794">
        <f>IF(DATOS!$I18794="","",IFERROR(VLOOKUP(DATOS!$I18794,CONFIG_ASIGNATURAS!$B$2:$J$91,9,FALSE()),""))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IF(DATOS!$A18795="",0,IF(CONFIG_METADATA!$B$4&lt;&gt;"OR+EX",--(DATOS!$G18795=CONFIG_METADATA!$B$4),IF(DATOS!$G18795="EX",1,IF(DATOS!$G18795="OR",--(COUNTIFS(nNIA,DATOS!$A18795,nCURSO,DATOS!$D18795,nESPEC,DATOS!$E18795,nASIG,DATOS!$I18795,nEVAL,"EX")=0),0))))</f>
      </c>
      <c r="H18795">
        <f>IF(DATOS!$G18795&lt;&gt;"EX",0,--(COUNTIFS(nNIA,DATOS!$A18795,nCURSO,DATOS!$D18795,nESPEC,DATOS!$E18795,nASIG,DATOS!$I18795,nEVAL,"OR")=0))</f>
      </c>
      <c r="I18795">
        <f>IF(DATOS!$I18795="","",IFERROR(VLOOKUP(DATOS!$I18795,CONFIG_ASIGNATURAS!$B$2:$J$91,9,FALSE()),""))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IF(DATOS!$A18796="",0,IF(CONFIG_METADATA!$B$4&lt;&gt;"OR+EX",--(DATOS!$G18796=CONFIG_METADATA!$B$4),IF(DATOS!$G18796="EX",1,IF(DATOS!$G18796="OR",--(COUNTIFS(nNIA,DATOS!$A18796,nCURSO,DATOS!$D18796,nESPEC,DATOS!$E18796,nASIG,DATOS!$I18796,nEVAL,"EX")=0),0))))</f>
      </c>
      <c r="H18796">
        <f>IF(DATOS!$G18796&lt;&gt;"EX",0,--(COUNTIFS(nNIA,DATOS!$A18796,nCURSO,DATOS!$D18796,nESPEC,DATOS!$E18796,nASIG,DATOS!$I18796,nEVAL,"OR")=0))</f>
      </c>
      <c r="I18796">
        <f>IF(DATOS!$I18796="","",IFERROR(VLOOKUP(DATOS!$I18796,CONFIG_ASIGNATURAS!$B$2:$J$91,9,FALSE()),""))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IF(DATOS!$A18797="",0,IF(CONFIG_METADATA!$B$4&lt;&gt;"OR+EX",--(DATOS!$G18797=CONFIG_METADATA!$B$4),IF(DATOS!$G18797="EX",1,IF(DATOS!$G18797="OR",--(COUNTIFS(nNIA,DATOS!$A18797,nCURSO,DATOS!$D18797,nESPEC,DATOS!$E18797,nASIG,DATOS!$I18797,nEVAL,"EX")=0),0))))</f>
      </c>
      <c r="H18797">
        <f>IF(DATOS!$G18797&lt;&gt;"EX",0,--(COUNTIFS(nNIA,DATOS!$A18797,nCURSO,DATOS!$D18797,nESPEC,DATOS!$E18797,nASIG,DATOS!$I18797,nEVAL,"OR")=0))</f>
      </c>
      <c r="I18797">
        <f>IF(DATOS!$I18797="","",IFERROR(VLOOKUP(DATOS!$I18797,CONFIG_ASIGNATURAS!$B$2:$J$91,9,FALSE()),""))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IF(DATOS!$A18798="",0,IF(CONFIG_METADATA!$B$4&lt;&gt;"OR+EX",--(DATOS!$G18798=CONFIG_METADATA!$B$4),IF(DATOS!$G18798="EX",1,IF(DATOS!$G18798="OR",--(COUNTIFS(nNIA,DATOS!$A18798,nCURSO,DATOS!$D18798,nESPEC,DATOS!$E18798,nASIG,DATOS!$I18798,nEVAL,"EX")=0),0))))</f>
      </c>
      <c r="H18798">
        <f>IF(DATOS!$G18798&lt;&gt;"EX",0,--(COUNTIFS(nNIA,DATOS!$A18798,nCURSO,DATOS!$D18798,nESPEC,DATOS!$E18798,nASIG,DATOS!$I18798,nEVAL,"OR")=0))</f>
      </c>
      <c r="I18798">
        <f>IF(DATOS!$I18798="","",IFERROR(VLOOKUP(DATOS!$I18798,CONFIG_ASIGNATURAS!$B$2:$J$91,9,FALSE()),""))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IF(DATOS!$A18799="",0,IF(CONFIG_METADATA!$B$4&lt;&gt;"OR+EX",--(DATOS!$G18799=CONFIG_METADATA!$B$4),IF(DATOS!$G18799="EX",1,IF(DATOS!$G18799="OR",--(COUNTIFS(nNIA,DATOS!$A18799,nCURSO,DATOS!$D18799,nESPEC,DATOS!$E18799,nASIG,DATOS!$I18799,nEVAL,"EX")=0),0))))</f>
      </c>
      <c r="H18799">
        <f>IF(DATOS!$G18799&lt;&gt;"EX",0,--(COUNTIFS(nNIA,DATOS!$A18799,nCURSO,DATOS!$D18799,nESPEC,DATOS!$E18799,nASIG,DATOS!$I18799,nEVAL,"OR")=0))</f>
      </c>
      <c r="I18799">
        <f>IF(DATOS!$I18799="","",IFERROR(VLOOKUP(DATOS!$I18799,CONFIG_ASIGNATURAS!$B$2:$J$91,9,FALSE()),""))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IF(DATOS!$A18800="",0,IF(CONFIG_METADATA!$B$4&lt;&gt;"OR+EX",--(DATOS!$G18800=CONFIG_METADATA!$B$4),IF(DATOS!$G18800="EX",1,IF(DATOS!$G18800="OR",--(COUNTIFS(nNIA,DATOS!$A18800,nCURSO,DATOS!$D18800,nESPEC,DATOS!$E18800,nASIG,DATOS!$I18800,nEVAL,"EX")=0),0))))</f>
      </c>
      <c r="H18800">
        <f>IF(DATOS!$G18800&lt;&gt;"EX",0,--(COUNTIFS(nNIA,DATOS!$A18800,nCURSO,DATOS!$D18800,nESPEC,DATOS!$E18800,nASIG,DATOS!$I18800,nEVAL,"OR")=0))</f>
      </c>
      <c r="I18800">
        <f>IF(DATOS!$I18800="","",IFERROR(VLOOKUP(DATOS!$I18800,CONFIG_ASIGNATURAS!$B$2:$J$91,9,FALSE()),""))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IF(DATOS!$A18801="",0,IF(CONFIG_METADATA!$B$4&lt;&gt;"OR+EX",--(DATOS!$G18801=CONFIG_METADATA!$B$4),IF(DATOS!$G18801="EX",1,IF(DATOS!$G18801="OR",--(COUNTIFS(nNIA,DATOS!$A18801,nCURSO,DATOS!$D18801,nESPEC,DATOS!$E18801,nASIG,DATOS!$I18801,nEVAL,"EX")=0),0))))</f>
      </c>
      <c r="H18801">
        <f>IF(DATOS!$G18801&lt;&gt;"EX",0,--(COUNTIFS(nNIA,DATOS!$A18801,nCURSO,DATOS!$D18801,nESPEC,DATOS!$E18801,nASIG,DATOS!$I18801,nEVAL,"OR")=0))</f>
      </c>
      <c r="I18801">
        <f>IF(DATOS!$I18801="","",IFERROR(VLOOKUP(DATOS!$I18801,CONFIG_ASIGNATURAS!$B$2:$J$91,9,FALSE()),""))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IF(DATOS!$A18802="",0,IF(CONFIG_METADATA!$B$4&lt;&gt;"OR+EX",--(DATOS!$G18802=CONFIG_METADATA!$B$4),IF(DATOS!$G18802="EX",1,IF(DATOS!$G18802="OR",--(COUNTIFS(nNIA,DATOS!$A18802,nCURSO,DATOS!$D18802,nESPEC,DATOS!$E18802,nASIG,DATOS!$I18802,nEVAL,"EX")=0),0))))</f>
      </c>
      <c r="H18802">
        <f>IF(DATOS!$G18802&lt;&gt;"EX",0,--(COUNTIFS(nNIA,DATOS!$A18802,nCURSO,DATOS!$D18802,nESPEC,DATOS!$E18802,nASIG,DATOS!$I18802,nEVAL,"OR")=0))</f>
      </c>
      <c r="I18802">
        <f>IF(DATOS!$I18802="","",IFERROR(VLOOKUP(DATOS!$I18802,CONFIG_ASIGNATURAS!$B$2:$J$91,9,FALSE()),""))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IF(DATOS!$A18803="",0,IF(CONFIG_METADATA!$B$4&lt;&gt;"OR+EX",--(DATOS!$G18803=CONFIG_METADATA!$B$4),IF(DATOS!$G18803="EX",1,IF(DATOS!$G18803="OR",--(COUNTIFS(nNIA,DATOS!$A18803,nCURSO,DATOS!$D18803,nESPEC,DATOS!$E18803,nASIG,DATOS!$I18803,nEVAL,"EX")=0),0))))</f>
      </c>
      <c r="H18803">
        <f>IF(DATOS!$G18803&lt;&gt;"EX",0,--(COUNTIFS(nNIA,DATOS!$A18803,nCURSO,DATOS!$D18803,nESPEC,DATOS!$E18803,nASIG,DATOS!$I18803,nEVAL,"OR")=0))</f>
      </c>
      <c r="I18803">
        <f>IF(DATOS!$I18803="","",IFERROR(VLOOKUP(DATOS!$I18803,CONFIG_ASIGNATURAS!$B$2:$J$91,9,FALSE()),""))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IF(DATOS!$A18804="",0,IF(CONFIG_METADATA!$B$4&lt;&gt;"OR+EX",--(DATOS!$G18804=CONFIG_METADATA!$B$4),IF(DATOS!$G18804="EX",1,IF(DATOS!$G18804="OR",--(COUNTIFS(nNIA,DATOS!$A18804,nCURSO,DATOS!$D18804,nESPEC,DATOS!$E18804,nASIG,DATOS!$I18804,nEVAL,"EX")=0),0))))</f>
      </c>
      <c r="H18804">
        <f>IF(DATOS!$G18804&lt;&gt;"EX",0,--(COUNTIFS(nNIA,DATOS!$A18804,nCURSO,DATOS!$D18804,nESPEC,DATOS!$E18804,nASIG,DATOS!$I18804,nEVAL,"OR")=0))</f>
      </c>
      <c r="I18804">
        <f>IF(DATOS!$I18804="","",IFERROR(VLOOKUP(DATOS!$I18804,CONFIG_ASIGNATURAS!$B$2:$J$91,9,FALSE()),""))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IF(DATOS!$A18805="",0,IF(CONFIG_METADATA!$B$4&lt;&gt;"OR+EX",--(DATOS!$G18805=CONFIG_METADATA!$B$4),IF(DATOS!$G18805="EX",1,IF(DATOS!$G18805="OR",--(COUNTIFS(nNIA,DATOS!$A18805,nCURSO,DATOS!$D18805,nESPEC,DATOS!$E18805,nASIG,DATOS!$I18805,nEVAL,"EX")=0),0))))</f>
      </c>
      <c r="H18805">
        <f>IF(DATOS!$G18805&lt;&gt;"EX",0,--(COUNTIFS(nNIA,DATOS!$A18805,nCURSO,DATOS!$D18805,nESPEC,DATOS!$E18805,nASIG,DATOS!$I18805,nEVAL,"OR")=0))</f>
      </c>
      <c r="I18805">
        <f>IF(DATOS!$I18805="","",IFERROR(VLOOKUP(DATOS!$I18805,CONFIG_ASIGNATURAS!$B$2:$J$91,9,FALSE()),""))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IF(DATOS!$A18806="",0,IF(CONFIG_METADATA!$B$4&lt;&gt;"OR+EX",--(DATOS!$G18806=CONFIG_METADATA!$B$4),IF(DATOS!$G18806="EX",1,IF(DATOS!$G18806="OR",--(COUNTIFS(nNIA,DATOS!$A18806,nCURSO,DATOS!$D18806,nESPEC,DATOS!$E18806,nASIG,DATOS!$I18806,nEVAL,"EX")=0),0))))</f>
      </c>
      <c r="H18806">
        <f>IF(DATOS!$G18806&lt;&gt;"EX",0,--(COUNTIFS(nNIA,DATOS!$A18806,nCURSO,DATOS!$D18806,nESPEC,DATOS!$E18806,nASIG,DATOS!$I18806,nEVAL,"OR")=0))</f>
      </c>
      <c r="I18806">
        <f>IF(DATOS!$I18806="","",IFERROR(VLOOKUP(DATOS!$I18806,CONFIG_ASIGNATURAS!$B$2:$J$91,9,FALSE()),""))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IF(DATOS!$A18807="",0,IF(CONFIG_METADATA!$B$4&lt;&gt;"OR+EX",--(DATOS!$G18807=CONFIG_METADATA!$B$4),IF(DATOS!$G18807="EX",1,IF(DATOS!$G18807="OR",--(COUNTIFS(nNIA,DATOS!$A18807,nCURSO,DATOS!$D18807,nESPEC,DATOS!$E18807,nASIG,DATOS!$I18807,nEVAL,"EX")=0),0))))</f>
      </c>
      <c r="H18807">
        <f>IF(DATOS!$G18807&lt;&gt;"EX",0,--(COUNTIFS(nNIA,DATOS!$A18807,nCURSO,DATOS!$D18807,nESPEC,DATOS!$E18807,nASIG,DATOS!$I18807,nEVAL,"OR")=0))</f>
      </c>
      <c r="I18807">
        <f>IF(DATOS!$I18807="","",IFERROR(VLOOKUP(DATOS!$I18807,CONFIG_ASIGNATURAS!$B$2:$J$91,9,FALSE()),""))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IF(DATOS!$A18808="",0,IF(CONFIG_METADATA!$B$4&lt;&gt;"OR+EX",--(DATOS!$G18808=CONFIG_METADATA!$B$4),IF(DATOS!$G18808="EX",1,IF(DATOS!$G18808="OR",--(COUNTIFS(nNIA,DATOS!$A18808,nCURSO,DATOS!$D18808,nESPEC,DATOS!$E18808,nASIG,DATOS!$I18808,nEVAL,"EX")=0),0))))</f>
      </c>
      <c r="H18808">
        <f>IF(DATOS!$G18808&lt;&gt;"EX",0,--(COUNTIFS(nNIA,DATOS!$A18808,nCURSO,DATOS!$D18808,nESPEC,DATOS!$E18808,nASIG,DATOS!$I18808,nEVAL,"OR")=0))</f>
      </c>
      <c r="I18808">
        <f>IF(DATOS!$I18808="","",IFERROR(VLOOKUP(DATOS!$I18808,CONFIG_ASIGNATURAS!$B$2:$J$91,9,FALSE()),""))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IF(DATOS!$A18809="",0,IF(CONFIG_METADATA!$B$4&lt;&gt;"OR+EX",--(DATOS!$G18809=CONFIG_METADATA!$B$4),IF(DATOS!$G18809="EX",1,IF(DATOS!$G18809="OR",--(COUNTIFS(nNIA,DATOS!$A18809,nCURSO,DATOS!$D18809,nESPEC,DATOS!$E18809,nASIG,DATOS!$I18809,nEVAL,"EX")=0),0))))</f>
      </c>
      <c r="H18809">
        <f>IF(DATOS!$G18809&lt;&gt;"EX",0,--(COUNTIFS(nNIA,DATOS!$A18809,nCURSO,DATOS!$D18809,nESPEC,DATOS!$E18809,nASIG,DATOS!$I18809,nEVAL,"OR")=0))</f>
      </c>
      <c r="I18809">
        <f>IF(DATOS!$I18809="","",IFERROR(VLOOKUP(DATOS!$I18809,CONFIG_ASIGNATURAS!$B$2:$J$91,9,FALSE()),""))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IF(DATOS!$A18810="",0,IF(CONFIG_METADATA!$B$4&lt;&gt;"OR+EX",--(DATOS!$G18810=CONFIG_METADATA!$B$4),IF(DATOS!$G18810="EX",1,IF(DATOS!$G18810="OR",--(COUNTIFS(nNIA,DATOS!$A18810,nCURSO,DATOS!$D18810,nESPEC,DATOS!$E18810,nASIG,DATOS!$I18810,nEVAL,"EX")=0),0))))</f>
      </c>
      <c r="H18810">
        <f>IF(DATOS!$G18810&lt;&gt;"EX",0,--(COUNTIFS(nNIA,DATOS!$A18810,nCURSO,DATOS!$D18810,nESPEC,DATOS!$E18810,nASIG,DATOS!$I18810,nEVAL,"OR")=0))</f>
      </c>
      <c r="I18810">
        <f>IF(DATOS!$I18810="","",IFERROR(VLOOKUP(DATOS!$I18810,CONFIG_ASIGNATURAS!$B$2:$J$91,9,FALSE()),""))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IF(DATOS!$A18811="",0,IF(CONFIG_METADATA!$B$4&lt;&gt;"OR+EX",--(DATOS!$G18811=CONFIG_METADATA!$B$4),IF(DATOS!$G18811="EX",1,IF(DATOS!$G18811="OR",--(COUNTIFS(nNIA,DATOS!$A18811,nCURSO,DATOS!$D18811,nESPEC,DATOS!$E18811,nASIG,DATOS!$I18811,nEVAL,"EX")=0),0))))</f>
      </c>
      <c r="H18811">
        <f>IF(DATOS!$G18811&lt;&gt;"EX",0,--(COUNTIFS(nNIA,DATOS!$A18811,nCURSO,DATOS!$D18811,nESPEC,DATOS!$E18811,nASIG,DATOS!$I18811,nEVAL,"OR")=0))</f>
      </c>
      <c r="I18811">
        <f>IF(DATOS!$I18811="","",IFERROR(VLOOKUP(DATOS!$I18811,CONFIG_ASIGNATURAS!$B$2:$J$91,9,FALSE()),""))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IF(DATOS!$A18812="",0,IF(CONFIG_METADATA!$B$4&lt;&gt;"OR+EX",--(DATOS!$G18812=CONFIG_METADATA!$B$4),IF(DATOS!$G18812="EX",1,IF(DATOS!$G18812="OR",--(COUNTIFS(nNIA,DATOS!$A18812,nCURSO,DATOS!$D18812,nESPEC,DATOS!$E18812,nASIG,DATOS!$I18812,nEVAL,"EX")=0),0))))</f>
      </c>
      <c r="H18812">
        <f>IF(DATOS!$G18812&lt;&gt;"EX",0,--(COUNTIFS(nNIA,DATOS!$A18812,nCURSO,DATOS!$D18812,nESPEC,DATOS!$E18812,nASIG,DATOS!$I18812,nEVAL,"OR")=0))</f>
      </c>
      <c r="I18812">
        <f>IF(DATOS!$I18812="","",IFERROR(VLOOKUP(DATOS!$I18812,CONFIG_ASIGNATURAS!$B$2:$J$91,9,FALSE()),""))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IF(DATOS!$A18813="",0,IF(CONFIG_METADATA!$B$4&lt;&gt;"OR+EX",--(DATOS!$G18813=CONFIG_METADATA!$B$4),IF(DATOS!$G18813="EX",1,IF(DATOS!$G18813="OR",--(COUNTIFS(nNIA,DATOS!$A18813,nCURSO,DATOS!$D18813,nESPEC,DATOS!$E18813,nASIG,DATOS!$I18813,nEVAL,"EX")=0),0))))</f>
      </c>
      <c r="H18813">
        <f>IF(DATOS!$G18813&lt;&gt;"EX",0,--(COUNTIFS(nNIA,DATOS!$A18813,nCURSO,DATOS!$D18813,nESPEC,DATOS!$E18813,nASIG,DATOS!$I18813,nEVAL,"OR")=0))</f>
      </c>
      <c r="I18813">
        <f>IF(DATOS!$I18813="","",IFERROR(VLOOKUP(DATOS!$I18813,CONFIG_ASIGNATURAS!$B$2:$J$91,9,FALSE()),""))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IF(DATOS!$A18814="",0,IF(CONFIG_METADATA!$B$4&lt;&gt;"OR+EX",--(DATOS!$G18814=CONFIG_METADATA!$B$4),IF(DATOS!$G18814="EX",1,IF(DATOS!$G18814="OR",--(COUNTIFS(nNIA,DATOS!$A18814,nCURSO,DATOS!$D18814,nESPEC,DATOS!$E18814,nASIG,DATOS!$I18814,nEVAL,"EX")=0),0))))</f>
      </c>
      <c r="H18814">
        <f>IF(DATOS!$G18814&lt;&gt;"EX",0,--(COUNTIFS(nNIA,DATOS!$A18814,nCURSO,DATOS!$D18814,nESPEC,DATOS!$E18814,nASIG,DATOS!$I18814,nEVAL,"OR")=0))</f>
      </c>
      <c r="I18814">
        <f>IF(DATOS!$I18814="","",IFERROR(VLOOKUP(DATOS!$I18814,CONFIG_ASIGNATURAS!$B$2:$J$91,9,FALSE()),""))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IF(DATOS!$A18815="",0,IF(CONFIG_METADATA!$B$4&lt;&gt;"OR+EX",--(DATOS!$G18815=CONFIG_METADATA!$B$4),IF(DATOS!$G18815="EX",1,IF(DATOS!$G18815="OR",--(COUNTIFS(nNIA,DATOS!$A18815,nCURSO,DATOS!$D18815,nESPEC,DATOS!$E18815,nASIG,DATOS!$I18815,nEVAL,"EX")=0),0))))</f>
      </c>
      <c r="H18815">
        <f>IF(DATOS!$G18815&lt;&gt;"EX",0,--(COUNTIFS(nNIA,DATOS!$A18815,nCURSO,DATOS!$D18815,nESPEC,DATOS!$E18815,nASIG,DATOS!$I18815,nEVAL,"OR")=0))</f>
      </c>
      <c r="I18815">
        <f>IF(DATOS!$I18815="","",IFERROR(VLOOKUP(DATOS!$I18815,CONFIG_ASIGNATURAS!$B$2:$J$91,9,FALSE()),""))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IF(DATOS!$A18816="",0,IF(CONFIG_METADATA!$B$4&lt;&gt;"OR+EX",--(DATOS!$G18816=CONFIG_METADATA!$B$4),IF(DATOS!$G18816="EX",1,IF(DATOS!$G18816="OR",--(COUNTIFS(nNIA,DATOS!$A18816,nCURSO,DATOS!$D18816,nESPEC,DATOS!$E18816,nASIG,DATOS!$I18816,nEVAL,"EX")=0),0))))</f>
      </c>
      <c r="H18816">
        <f>IF(DATOS!$G18816&lt;&gt;"EX",0,--(COUNTIFS(nNIA,DATOS!$A18816,nCURSO,DATOS!$D18816,nESPEC,DATOS!$E18816,nASIG,DATOS!$I18816,nEVAL,"OR")=0))</f>
      </c>
      <c r="I18816">
        <f>IF(DATOS!$I18816="","",IFERROR(VLOOKUP(DATOS!$I18816,CONFIG_ASIGNATURAS!$B$2:$J$91,9,FALSE()),""))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IF(DATOS!$A18817="",0,IF(CONFIG_METADATA!$B$4&lt;&gt;"OR+EX",--(DATOS!$G18817=CONFIG_METADATA!$B$4),IF(DATOS!$G18817="EX",1,IF(DATOS!$G18817="OR",--(COUNTIFS(nNIA,DATOS!$A18817,nCURSO,DATOS!$D18817,nESPEC,DATOS!$E18817,nASIG,DATOS!$I18817,nEVAL,"EX")=0),0))))</f>
      </c>
      <c r="H18817">
        <f>IF(DATOS!$G18817&lt;&gt;"EX",0,--(COUNTIFS(nNIA,DATOS!$A18817,nCURSO,DATOS!$D18817,nESPEC,DATOS!$E18817,nASIG,DATOS!$I18817,nEVAL,"OR")=0))</f>
      </c>
      <c r="I18817">
        <f>IF(DATOS!$I18817="","",IFERROR(VLOOKUP(DATOS!$I18817,CONFIG_ASIGNATURAS!$B$2:$J$91,9,FALSE()),""))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IF(DATOS!$A18818="",0,IF(CONFIG_METADATA!$B$4&lt;&gt;"OR+EX",--(DATOS!$G18818=CONFIG_METADATA!$B$4),IF(DATOS!$G18818="EX",1,IF(DATOS!$G18818="OR",--(COUNTIFS(nNIA,DATOS!$A18818,nCURSO,DATOS!$D18818,nESPEC,DATOS!$E18818,nASIG,DATOS!$I18818,nEVAL,"EX")=0),0))))</f>
      </c>
      <c r="H18818">
        <f>IF(DATOS!$G18818&lt;&gt;"EX",0,--(COUNTIFS(nNIA,DATOS!$A18818,nCURSO,DATOS!$D18818,nESPEC,DATOS!$E18818,nASIG,DATOS!$I18818,nEVAL,"OR")=0))</f>
      </c>
      <c r="I18818">
        <f>IF(DATOS!$I18818="","",IFERROR(VLOOKUP(DATOS!$I18818,CONFIG_ASIGNATURAS!$B$2:$J$91,9,FALSE()),""))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IF(DATOS!$A18819="",0,IF(CONFIG_METADATA!$B$4&lt;&gt;"OR+EX",--(DATOS!$G18819=CONFIG_METADATA!$B$4),IF(DATOS!$G18819="EX",1,IF(DATOS!$G18819="OR",--(COUNTIFS(nNIA,DATOS!$A18819,nCURSO,DATOS!$D18819,nESPEC,DATOS!$E18819,nASIG,DATOS!$I18819,nEVAL,"EX")=0),0))))</f>
      </c>
      <c r="H18819">
        <f>IF(DATOS!$G18819&lt;&gt;"EX",0,--(COUNTIFS(nNIA,DATOS!$A18819,nCURSO,DATOS!$D18819,nESPEC,DATOS!$E18819,nASIG,DATOS!$I18819,nEVAL,"OR")=0))</f>
      </c>
      <c r="I18819">
        <f>IF(DATOS!$I18819="","",IFERROR(VLOOKUP(DATOS!$I18819,CONFIG_ASIGNATURAS!$B$2:$J$91,9,FALSE()),""))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IF(DATOS!$A18820="",0,IF(CONFIG_METADATA!$B$4&lt;&gt;"OR+EX",--(DATOS!$G18820=CONFIG_METADATA!$B$4),IF(DATOS!$G18820="EX",1,IF(DATOS!$G18820="OR",--(COUNTIFS(nNIA,DATOS!$A18820,nCURSO,DATOS!$D18820,nESPEC,DATOS!$E18820,nASIG,DATOS!$I18820,nEVAL,"EX")=0),0))))</f>
      </c>
      <c r="H18820">
        <f>IF(DATOS!$G18820&lt;&gt;"EX",0,--(COUNTIFS(nNIA,DATOS!$A18820,nCURSO,DATOS!$D18820,nESPEC,DATOS!$E18820,nASIG,DATOS!$I18820,nEVAL,"OR")=0))</f>
      </c>
      <c r="I18820">
        <f>IF(DATOS!$I18820="","",IFERROR(VLOOKUP(DATOS!$I18820,CONFIG_ASIGNATURAS!$B$2:$J$91,9,FALSE()),""))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IF(DATOS!$A18821="",0,IF(CONFIG_METADATA!$B$4&lt;&gt;"OR+EX",--(DATOS!$G18821=CONFIG_METADATA!$B$4),IF(DATOS!$G18821="EX",1,IF(DATOS!$G18821="OR",--(COUNTIFS(nNIA,DATOS!$A18821,nCURSO,DATOS!$D18821,nESPEC,DATOS!$E18821,nASIG,DATOS!$I18821,nEVAL,"EX")=0),0))))</f>
      </c>
      <c r="H18821">
        <f>IF(DATOS!$G18821&lt;&gt;"EX",0,--(COUNTIFS(nNIA,DATOS!$A18821,nCURSO,DATOS!$D18821,nESPEC,DATOS!$E18821,nASIG,DATOS!$I18821,nEVAL,"OR")=0))</f>
      </c>
      <c r="I18821">
        <f>IF(DATOS!$I18821="","",IFERROR(VLOOKUP(DATOS!$I18821,CONFIG_ASIGNATURAS!$B$2:$J$91,9,FALSE()),""))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IF(DATOS!$A18822="",0,IF(CONFIG_METADATA!$B$4&lt;&gt;"OR+EX",--(DATOS!$G18822=CONFIG_METADATA!$B$4),IF(DATOS!$G18822="EX",1,IF(DATOS!$G18822="OR",--(COUNTIFS(nNIA,DATOS!$A18822,nCURSO,DATOS!$D18822,nESPEC,DATOS!$E18822,nASIG,DATOS!$I18822,nEVAL,"EX")=0),0))))</f>
      </c>
      <c r="H18822">
        <f>IF(DATOS!$G18822&lt;&gt;"EX",0,--(COUNTIFS(nNIA,DATOS!$A18822,nCURSO,DATOS!$D18822,nESPEC,DATOS!$E18822,nASIG,DATOS!$I18822,nEVAL,"OR")=0))</f>
      </c>
      <c r="I18822">
        <f>IF(DATOS!$I18822="","",IFERROR(VLOOKUP(DATOS!$I18822,CONFIG_ASIGNATURAS!$B$2:$J$91,9,FALSE()),""))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IF(DATOS!$A18823="",0,IF(CONFIG_METADATA!$B$4&lt;&gt;"OR+EX",--(DATOS!$G18823=CONFIG_METADATA!$B$4),IF(DATOS!$G18823="EX",1,IF(DATOS!$G18823="OR",--(COUNTIFS(nNIA,DATOS!$A18823,nCURSO,DATOS!$D18823,nESPEC,DATOS!$E18823,nASIG,DATOS!$I18823,nEVAL,"EX")=0),0))))</f>
      </c>
      <c r="H18823">
        <f>IF(DATOS!$G18823&lt;&gt;"EX",0,--(COUNTIFS(nNIA,DATOS!$A18823,nCURSO,DATOS!$D18823,nESPEC,DATOS!$E18823,nASIG,DATOS!$I18823,nEVAL,"OR")=0))</f>
      </c>
      <c r="I18823">
        <f>IF(DATOS!$I18823="","",IFERROR(VLOOKUP(DATOS!$I18823,CONFIG_ASIGNATURAS!$B$2:$J$91,9,FALSE()),""))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IF(DATOS!$A18824="",0,IF(CONFIG_METADATA!$B$4&lt;&gt;"OR+EX",--(DATOS!$G18824=CONFIG_METADATA!$B$4),IF(DATOS!$G18824="EX",1,IF(DATOS!$G18824="OR",--(COUNTIFS(nNIA,DATOS!$A18824,nCURSO,DATOS!$D18824,nESPEC,DATOS!$E18824,nASIG,DATOS!$I18824,nEVAL,"EX")=0),0))))</f>
      </c>
      <c r="H18824">
        <f>IF(DATOS!$G18824&lt;&gt;"EX",0,--(COUNTIFS(nNIA,DATOS!$A18824,nCURSO,DATOS!$D18824,nESPEC,DATOS!$E18824,nASIG,DATOS!$I18824,nEVAL,"OR")=0))</f>
      </c>
      <c r="I18824">
        <f>IF(DATOS!$I18824="","",IFERROR(VLOOKUP(DATOS!$I18824,CONFIG_ASIGNATURAS!$B$2:$J$91,9,FALSE()),""))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IF(DATOS!$A18825="",0,IF(CONFIG_METADATA!$B$4&lt;&gt;"OR+EX",--(DATOS!$G18825=CONFIG_METADATA!$B$4),IF(DATOS!$G18825="EX",1,IF(DATOS!$G18825="OR",--(COUNTIFS(nNIA,DATOS!$A18825,nCURSO,DATOS!$D18825,nESPEC,DATOS!$E18825,nASIG,DATOS!$I18825,nEVAL,"EX")=0),0))))</f>
      </c>
      <c r="H18825">
        <f>IF(DATOS!$G18825&lt;&gt;"EX",0,--(COUNTIFS(nNIA,DATOS!$A18825,nCURSO,DATOS!$D18825,nESPEC,DATOS!$E18825,nASIG,DATOS!$I18825,nEVAL,"OR")=0))</f>
      </c>
      <c r="I18825">
        <f>IF(DATOS!$I18825="","",IFERROR(VLOOKUP(DATOS!$I18825,CONFIG_ASIGNATURAS!$B$2:$J$91,9,FALSE()),""))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IF(DATOS!$A18826="",0,IF(CONFIG_METADATA!$B$4&lt;&gt;"OR+EX",--(DATOS!$G18826=CONFIG_METADATA!$B$4),IF(DATOS!$G18826="EX",1,IF(DATOS!$G18826="OR",--(COUNTIFS(nNIA,DATOS!$A18826,nCURSO,DATOS!$D18826,nESPEC,DATOS!$E18826,nASIG,DATOS!$I18826,nEVAL,"EX")=0),0))))</f>
      </c>
      <c r="H18826">
        <f>IF(DATOS!$G18826&lt;&gt;"EX",0,--(COUNTIFS(nNIA,DATOS!$A18826,nCURSO,DATOS!$D18826,nESPEC,DATOS!$E18826,nASIG,DATOS!$I18826,nEVAL,"OR")=0))</f>
      </c>
      <c r="I18826">
        <f>IF(DATOS!$I18826="","",IFERROR(VLOOKUP(DATOS!$I18826,CONFIG_ASIGNATURAS!$B$2:$J$91,9,FALSE()),""))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IF(DATOS!$A18827="",0,IF(CONFIG_METADATA!$B$4&lt;&gt;"OR+EX",--(DATOS!$G18827=CONFIG_METADATA!$B$4),IF(DATOS!$G18827="EX",1,IF(DATOS!$G18827="OR",--(COUNTIFS(nNIA,DATOS!$A18827,nCURSO,DATOS!$D18827,nESPEC,DATOS!$E18827,nASIG,DATOS!$I18827,nEVAL,"EX")=0),0))))</f>
      </c>
      <c r="H18827">
        <f>IF(DATOS!$G18827&lt;&gt;"EX",0,--(COUNTIFS(nNIA,DATOS!$A18827,nCURSO,DATOS!$D18827,nESPEC,DATOS!$E18827,nASIG,DATOS!$I18827,nEVAL,"OR")=0))</f>
      </c>
      <c r="I18827">
        <f>IF(DATOS!$I18827="","",IFERROR(VLOOKUP(DATOS!$I18827,CONFIG_ASIGNATURAS!$B$2:$J$91,9,FALSE()),""))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IF(DATOS!$A18828="",0,IF(CONFIG_METADATA!$B$4&lt;&gt;"OR+EX",--(DATOS!$G18828=CONFIG_METADATA!$B$4),IF(DATOS!$G18828="EX",1,IF(DATOS!$G18828="OR",--(COUNTIFS(nNIA,DATOS!$A18828,nCURSO,DATOS!$D18828,nESPEC,DATOS!$E18828,nASIG,DATOS!$I18828,nEVAL,"EX")=0),0))))</f>
      </c>
      <c r="H18828">
        <f>IF(DATOS!$G18828&lt;&gt;"EX",0,--(COUNTIFS(nNIA,DATOS!$A18828,nCURSO,DATOS!$D18828,nESPEC,DATOS!$E18828,nASIG,DATOS!$I18828,nEVAL,"OR")=0))</f>
      </c>
      <c r="I18828">
        <f>IF(DATOS!$I18828="","",IFERROR(VLOOKUP(DATOS!$I18828,CONFIG_ASIGNATURAS!$B$2:$J$91,9,FALSE()),""))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IF(DATOS!$A18829="",0,IF(CONFIG_METADATA!$B$4&lt;&gt;"OR+EX",--(DATOS!$G18829=CONFIG_METADATA!$B$4),IF(DATOS!$G18829="EX",1,IF(DATOS!$G18829="OR",--(COUNTIFS(nNIA,DATOS!$A18829,nCURSO,DATOS!$D18829,nESPEC,DATOS!$E18829,nASIG,DATOS!$I18829,nEVAL,"EX")=0),0))))</f>
      </c>
      <c r="H18829">
        <f>IF(DATOS!$G18829&lt;&gt;"EX",0,--(COUNTIFS(nNIA,DATOS!$A18829,nCURSO,DATOS!$D18829,nESPEC,DATOS!$E18829,nASIG,DATOS!$I18829,nEVAL,"OR")=0))</f>
      </c>
      <c r="I18829">
        <f>IF(DATOS!$I18829="","",IFERROR(VLOOKUP(DATOS!$I18829,CONFIG_ASIGNATURAS!$B$2:$J$91,9,FALSE()),""))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IF(DATOS!$A18830="",0,IF(CONFIG_METADATA!$B$4&lt;&gt;"OR+EX",--(DATOS!$G18830=CONFIG_METADATA!$B$4),IF(DATOS!$G18830="EX",1,IF(DATOS!$G18830="OR",--(COUNTIFS(nNIA,DATOS!$A18830,nCURSO,DATOS!$D18830,nESPEC,DATOS!$E18830,nASIG,DATOS!$I18830,nEVAL,"EX")=0),0))))</f>
      </c>
      <c r="H18830">
        <f>IF(DATOS!$G18830&lt;&gt;"EX",0,--(COUNTIFS(nNIA,DATOS!$A18830,nCURSO,DATOS!$D18830,nESPEC,DATOS!$E18830,nASIG,DATOS!$I18830,nEVAL,"OR")=0))</f>
      </c>
      <c r="I18830">
        <f>IF(DATOS!$I18830="","",IFERROR(VLOOKUP(DATOS!$I18830,CONFIG_ASIGNATURAS!$B$2:$J$91,9,FALSE()),""))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IF(DATOS!$A18831="",0,IF(CONFIG_METADATA!$B$4&lt;&gt;"OR+EX",--(DATOS!$G18831=CONFIG_METADATA!$B$4),IF(DATOS!$G18831="EX",1,IF(DATOS!$G18831="OR",--(COUNTIFS(nNIA,DATOS!$A18831,nCURSO,DATOS!$D18831,nESPEC,DATOS!$E18831,nASIG,DATOS!$I18831,nEVAL,"EX")=0),0))))</f>
      </c>
      <c r="H18831">
        <f>IF(DATOS!$G18831&lt;&gt;"EX",0,--(COUNTIFS(nNIA,DATOS!$A18831,nCURSO,DATOS!$D18831,nESPEC,DATOS!$E18831,nASIG,DATOS!$I18831,nEVAL,"OR")=0))</f>
      </c>
      <c r="I18831">
        <f>IF(DATOS!$I18831="","",IFERROR(VLOOKUP(DATOS!$I18831,CONFIG_ASIGNATURAS!$B$2:$J$91,9,FALSE()),""))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IF(DATOS!$A18832="",0,IF(CONFIG_METADATA!$B$4&lt;&gt;"OR+EX",--(DATOS!$G18832=CONFIG_METADATA!$B$4),IF(DATOS!$G18832="EX",1,IF(DATOS!$G18832="OR",--(COUNTIFS(nNIA,DATOS!$A18832,nCURSO,DATOS!$D18832,nESPEC,DATOS!$E18832,nASIG,DATOS!$I18832,nEVAL,"EX")=0),0))))</f>
      </c>
      <c r="H18832">
        <f>IF(DATOS!$G18832&lt;&gt;"EX",0,--(COUNTIFS(nNIA,DATOS!$A18832,nCURSO,DATOS!$D18832,nESPEC,DATOS!$E18832,nASIG,DATOS!$I18832,nEVAL,"OR")=0))</f>
      </c>
      <c r="I18832">
        <f>IF(DATOS!$I18832="","",IFERROR(VLOOKUP(DATOS!$I18832,CONFIG_ASIGNATURAS!$B$2:$J$91,9,FALSE()),""))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IF(DATOS!$A18833="",0,IF(CONFIG_METADATA!$B$4&lt;&gt;"OR+EX",--(DATOS!$G18833=CONFIG_METADATA!$B$4),IF(DATOS!$G18833="EX",1,IF(DATOS!$G18833="OR",--(COUNTIFS(nNIA,DATOS!$A18833,nCURSO,DATOS!$D18833,nESPEC,DATOS!$E18833,nASIG,DATOS!$I18833,nEVAL,"EX")=0),0))))</f>
      </c>
      <c r="H18833">
        <f>IF(DATOS!$G18833&lt;&gt;"EX",0,--(COUNTIFS(nNIA,DATOS!$A18833,nCURSO,DATOS!$D18833,nESPEC,DATOS!$E18833,nASIG,DATOS!$I18833,nEVAL,"OR")=0))</f>
      </c>
      <c r="I18833">
        <f>IF(DATOS!$I18833="","",IFERROR(VLOOKUP(DATOS!$I18833,CONFIG_ASIGNATURAS!$B$2:$J$91,9,FALSE()),""))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IF(DATOS!$A18834="",0,IF(CONFIG_METADATA!$B$4&lt;&gt;"OR+EX",--(DATOS!$G18834=CONFIG_METADATA!$B$4),IF(DATOS!$G18834="EX",1,IF(DATOS!$G18834="OR",--(COUNTIFS(nNIA,DATOS!$A18834,nCURSO,DATOS!$D18834,nESPEC,DATOS!$E18834,nASIG,DATOS!$I18834,nEVAL,"EX")=0),0))))</f>
      </c>
      <c r="H18834">
        <f>IF(DATOS!$G18834&lt;&gt;"EX",0,--(COUNTIFS(nNIA,DATOS!$A18834,nCURSO,DATOS!$D18834,nESPEC,DATOS!$E18834,nASIG,DATOS!$I18834,nEVAL,"OR")=0))</f>
      </c>
      <c r="I18834">
        <f>IF(DATOS!$I18834="","",IFERROR(VLOOKUP(DATOS!$I18834,CONFIG_ASIGNATURAS!$B$2:$J$91,9,FALSE()),""))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IF(DATOS!$A18835="",0,IF(CONFIG_METADATA!$B$4&lt;&gt;"OR+EX",--(DATOS!$G18835=CONFIG_METADATA!$B$4),IF(DATOS!$G18835="EX",1,IF(DATOS!$G18835="OR",--(COUNTIFS(nNIA,DATOS!$A18835,nCURSO,DATOS!$D18835,nESPEC,DATOS!$E18835,nASIG,DATOS!$I18835,nEVAL,"EX")=0),0))))</f>
      </c>
      <c r="H18835">
        <f>IF(DATOS!$G18835&lt;&gt;"EX",0,--(COUNTIFS(nNIA,DATOS!$A18835,nCURSO,DATOS!$D18835,nESPEC,DATOS!$E18835,nASIG,DATOS!$I18835,nEVAL,"OR")=0))</f>
      </c>
      <c r="I18835">
        <f>IF(DATOS!$I18835="","",IFERROR(VLOOKUP(DATOS!$I18835,CONFIG_ASIGNATURAS!$B$2:$J$91,9,FALSE()),""))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IF(DATOS!$A18836="",0,IF(CONFIG_METADATA!$B$4&lt;&gt;"OR+EX",--(DATOS!$G18836=CONFIG_METADATA!$B$4),IF(DATOS!$G18836="EX",1,IF(DATOS!$G18836="OR",--(COUNTIFS(nNIA,DATOS!$A18836,nCURSO,DATOS!$D18836,nESPEC,DATOS!$E18836,nASIG,DATOS!$I18836,nEVAL,"EX")=0),0))))</f>
      </c>
      <c r="H18836">
        <f>IF(DATOS!$G18836&lt;&gt;"EX",0,--(COUNTIFS(nNIA,DATOS!$A18836,nCURSO,DATOS!$D18836,nESPEC,DATOS!$E18836,nASIG,DATOS!$I18836,nEVAL,"OR")=0))</f>
      </c>
      <c r="I18836">
        <f>IF(DATOS!$I18836="","",IFERROR(VLOOKUP(DATOS!$I18836,CONFIG_ASIGNATURAS!$B$2:$J$91,9,FALSE()),""))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IF(DATOS!$A18837="",0,IF(CONFIG_METADATA!$B$4&lt;&gt;"OR+EX",--(DATOS!$G18837=CONFIG_METADATA!$B$4),IF(DATOS!$G18837="EX",1,IF(DATOS!$G18837="OR",--(COUNTIFS(nNIA,DATOS!$A18837,nCURSO,DATOS!$D18837,nESPEC,DATOS!$E18837,nASIG,DATOS!$I18837,nEVAL,"EX")=0),0))))</f>
      </c>
      <c r="H18837">
        <f>IF(DATOS!$G18837&lt;&gt;"EX",0,--(COUNTIFS(nNIA,DATOS!$A18837,nCURSO,DATOS!$D18837,nESPEC,DATOS!$E18837,nASIG,DATOS!$I18837,nEVAL,"OR")=0))</f>
      </c>
      <c r="I18837">
        <f>IF(DATOS!$I18837="","",IFERROR(VLOOKUP(DATOS!$I18837,CONFIG_ASIGNATURAS!$B$2:$J$91,9,FALSE()),""))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IF(DATOS!$A18838="",0,IF(CONFIG_METADATA!$B$4&lt;&gt;"OR+EX",--(DATOS!$G18838=CONFIG_METADATA!$B$4),IF(DATOS!$G18838="EX",1,IF(DATOS!$G18838="OR",--(COUNTIFS(nNIA,DATOS!$A18838,nCURSO,DATOS!$D18838,nESPEC,DATOS!$E18838,nASIG,DATOS!$I18838,nEVAL,"EX")=0),0))))</f>
      </c>
      <c r="H18838">
        <f>IF(DATOS!$G18838&lt;&gt;"EX",0,--(COUNTIFS(nNIA,DATOS!$A18838,nCURSO,DATOS!$D18838,nESPEC,DATOS!$E18838,nASIG,DATOS!$I18838,nEVAL,"OR")=0))</f>
      </c>
      <c r="I18838">
        <f>IF(DATOS!$I18838="","",IFERROR(VLOOKUP(DATOS!$I18838,CONFIG_ASIGNATURAS!$B$2:$J$91,9,FALSE()),""))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IF(DATOS!$A18839="",0,IF(CONFIG_METADATA!$B$4&lt;&gt;"OR+EX",--(DATOS!$G18839=CONFIG_METADATA!$B$4),IF(DATOS!$G18839="EX",1,IF(DATOS!$G18839="OR",--(COUNTIFS(nNIA,DATOS!$A18839,nCURSO,DATOS!$D18839,nESPEC,DATOS!$E18839,nASIG,DATOS!$I18839,nEVAL,"EX")=0),0))))</f>
      </c>
      <c r="H18839">
        <f>IF(DATOS!$G18839&lt;&gt;"EX",0,--(COUNTIFS(nNIA,DATOS!$A18839,nCURSO,DATOS!$D18839,nESPEC,DATOS!$E18839,nASIG,DATOS!$I18839,nEVAL,"OR")=0))</f>
      </c>
      <c r="I18839">
        <f>IF(DATOS!$I18839="","",IFERROR(VLOOKUP(DATOS!$I18839,CONFIG_ASIGNATURAS!$B$2:$J$91,9,FALSE()),""))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IF(DATOS!$A18840="",0,IF(CONFIG_METADATA!$B$4&lt;&gt;"OR+EX",--(DATOS!$G18840=CONFIG_METADATA!$B$4),IF(DATOS!$G18840="EX",1,IF(DATOS!$G18840="OR",--(COUNTIFS(nNIA,DATOS!$A18840,nCURSO,DATOS!$D18840,nESPEC,DATOS!$E18840,nASIG,DATOS!$I18840,nEVAL,"EX")=0),0))))</f>
      </c>
      <c r="H18840">
        <f>IF(DATOS!$G18840&lt;&gt;"EX",0,--(COUNTIFS(nNIA,DATOS!$A18840,nCURSO,DATOS!$D18840,nESPEC,DATOS!$E18840,nASIG,DATOS!$I18840,nEVAL,"OR")=0))</f>
      </c>
      <c r="I18840">
        <f>IF(DATOS!$I18840="","",IFERROR(VLOOKUP(DATOS!$I18840,CONFIG_ASIGNATURAS!$B$2:$J$91,9,FALSE()),""))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IF(DATOS!$A18841="",0,IF(CONFIG_METADATA!$B$4&lt;&gt;"OR+EX",--(DATOS!$G18841=CONFIG_METADATA!$B$4),IF(DATOS!$G18841="EX",1,IF(DATOS!$G18841="OR",--(COUNTIFS(nNIA,DATOS!$A18841,nCURSO,DATOS!$D18841,nESPEC,DATOS!$E18841,nASIG,DATOS!$I18841,nEVAL,"EX")=0),0))))</f>
      </c>
      <c r="H18841">
        <f>IF(DATOS!$G18841&lt;&gt;"EX",0,--(COUNTIFS(nNIA,DATOS!$A18841,nCURSO,DATOS!$D18841,nESPEC,DATOS!$E18841,nASIG,DATOS!$I18841,nEVAL,"OR")=0))</f>
      </c>
      <c r="I18841">
        <f>IF(DATOS!$I18841="","",IFERROR(VLOOKUP(DATOS!$I18841,CONFIG_ASIGNATURAS!$B$2:$J$91,9,FALSE()),""))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IF(DATOS!$A18842="",0,IF(CONFIG_METADATA!$B$4&lt;&gt;"OR+EX",--(DATOS!$G18842=CONFIG_METADATA!$B$4),IF(DATOS!$G18842="EX",1,IF(DATOS!$G18842="OR",--(COUNTIFS(nNIA,DATOS!$A18842,nCURSO,DATOS!$D18842,nESPEC,DATOS!$E18842,nASIG,DATOS!$I18842,nEVAL,"EX")=0),0))))</f>
      </c>
      <c r="H18842">
        <f>IF(DATOS!$G18842&lt;&gt;"EX",0,--(COUNTIFS(nNIA,DATOS!$A18842,nCURSO,DATOS!$D18842,nESPEC,DATOS!$E18842,nASIG,DATOS!$I18842,nEVAL,"OR")=0))</f>
      </c>
      <c r="I18842">
        <f>IF(DATOS!$I18842="","",IFERROR(VLOOKUP(DATOS!$I18842,CONFIG_ASIGNATURAS!$B$2:$J$91,9,FALSE()),""))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IF(DATOS!$A18843="",0,IF(CONFIG_METADATA!$B$4&lt;&gt;"OR+EX",--(DATOS!$G18843=CONFIG_METADATA!$B$4),IF(DATOS!$G18843="EX",1,IF(DATOS!$G18843="OR",--(COUNTIFS(nNIA,DATOS!$A18843,nCURSO,DATOS!$D18843,nESPEC,DATOS!$E18843,nASIG,DATOS!$I18843,nEVAL,"EX")=0),0))))</f>
      </c>
      <c r="H18843">
        <f>IF(DATOS!$G18843&lt;&gt;"EX",0,--(COUNTIFS(nNIA,DATOS!$A18843,nCURSO,DATOS!$D18843,nESPEC,DATOS!$E18843,nASIG,DATOS!$I18843,nEVAL,"OR")=0))</f>
      </c>
      <c r="I18843">
        <f>IF(DATOS!$I18843="","",IFERROR(VLOOKUP(DATOS!$I18843,CONFIG_ASIGNATURAS!$B$2:$J$91,9,FALSE()),""))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IF(DATOS!$A18844="",0,IF(CONFIG_METADATA!$B$4&lt;&gt;"OR+EX",--(DATOS!$G18844=CONFIG_METADATA!$B$4),IF(DATOS!$G18844="EX",1,IF(DATOS!$G18844="OR",--(COUNTIFS(nNIA,DATOS!$A18844,nCURSO,DATOS!$D18844,nESPEC,DATOS!$E18844,nASIG,DATOS!$I18844,nEVAL,"EX")=0),0))))</f>
      </c>
      <c r="H18844">
        <f>IF(DATOS!$G18844&lt;&gt;"EX",0,--(COUNTIFS(nNIA,DATOS!$A18844,nCURSO,DATOS!$D18844,nESPEC,DATOS!$E18844,nASIG,DATOS!$I18844,nEVAL,"OR")=0))</f>
      </c>
      <c r="I18844">
        <f>IF(DATOS!$I18844="","",IFERROR(VLOOKUP(DATOS!$I18844,CONFIG_ASIGNATURAS!$B$2:$J$91,9,FALSE()),""))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IF(DATOS!$A18845="",0,IF(CONFIG_METADATA!$B$4&lt;&gt;"OR+EX",--(DATOS!$G18845=CONFIG_METADATA!$B$4),IF(DATOS!$G18845="EX",1,IF(DATOS!$G18845="OR",--(COUNTIFS(nNIA,DATOS!$A18845,nCURSO,DATOS!$D18845,nESPEC,DATOS!$E18845,nASIG,DATOS!$I18845,nEVAL,"EX")=0),0))))</f>
      </c>
      <c r="H18845">
        <f>IF(DATOS!$G18845&lt;&gt;"EX",0,--(COUNTIFS(nNIA,DATOS!$A18845,nCURSO,DATOS!$D18845,nESPEC,DATOS!$E18845,nASIG,DATOS!$I18845,nEVAL,"OR")=0))</f>
      </c>
      <c r="I18845">
        <f>IF(DATOS!$I18845="","",IFERROR(VLOOKUP(DATOS!$I18845,CONFIG_ASIGNATURAS!$B$2:$J$91,9,FALSE()),""))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IF(DATOS!$A18846="",0,IF(CONFIG_METADATA!$B$4&lt;&gt;"OR+EX",--(DATOS!$G18846=CONFIG_METADATA!$B$4),IF(DATOS!$G18846="EX",1,IF(DATOS!$G18846="OR",--(COUNTIFS(nNIA,DATOS!$A18846,nCURSO,DATOS!$D18846,nESPEC,DATOS!$E18846,nASIG,DATOS!$I18846,nEVAL,"EX")=0),0))))</f>
      </c>
      <c r="H18846">
        <f>IF(DATOS!$G18846&lt;&gt;"EX",0,--(COUNTIFS(nNIA,DATOS!$A18846,nCURSO,DATOS!$D18846,nESPEC,DATOS!$E18846,nASIG,DATOS!$I18846,nEVAL,"OR")=0))</f>
      </c>
      <c r="I18846">
        <f>IF(DATOS!$I18846="","",IFERROR(VLOOKUP(DATOS!$I18846,CONFIG_ASIGNATURAS!$B$2:$J$91,9,FALSE()),""))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IF(DATOS!$A18847="",0,IF(CONFIG_METADATA!$B$4&lt;&gt;"OR+EX",--(DATOS!$G18847=CONFIG_METADATA!$B$4),IF(DATOS!$G18847="EX",1,IF(DATOS!$G18847="OR",--(COUNTIFS(nNIA,DATOS!$A18847,nCURSO,DATOS!$D18847,nESPEC,DATOS!$E18847,nASIG,DATOS!$I18847,nEVAL,"EX")=0),0))))</f>
      </c>
      <c r="H18847">
        <f>IF(DATOS!$G18847&lt;&gt;"EX",0,--(COUNTIFS(nNIA,DATOS!$A18847,nCURSO,DATOS!$D18847,nESPEC,DATOS!$E18847,nASIG,DATOS!$I18847,nEVAL,"OR")=0))</f>
      </c>
      <c r="I18847">
        <f>IF(DATOS!$I18847="","",IFERROR(VLOOKUP(DATOS!$I18847,CONFIG_ASIGNATURAS!$B$2:$J$91,9,FALSE()),""))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IF(DATOS!$A18848="",0,IF(CONFIG_METADATA!$B$4&lt;&gt;"OR+EX",--(DATOS!$G18848=CONFIG_METADATA!$B$4),IF(DATOS!$G18848="EX",1,IF(DATOS!$G18848="OR",--(COUNTIFS(nNIA,DATOS!$A18848,nCURSO,DATOS!$D18848,nESPEC,DATOS!$E18848,nASIG,DATOS!$I18848,nEVAL,"EX")=0),0))))</f>
      </c>
      <c r="H18848">
        <f>IF(DATOS!$G18848&lt;&gt;"EX",0,--(COUNTIFS(nNIA,DATOS!$A18848,nCURSO,DATOS!$D18848,nESPEC,DATOS!$E18848,nASIG,DATOS!$I18848,nEVAL,"OR")=0))</f>
      </c>
      <c r="I18848">
        <f>IF(DATOS!$I18848="","",IFERROR(VLOOKUP(DATOS!$I18848,CONFIG_ASIGNATURAS!$B$2:$J$91,9,FALSE()),""))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IF(DATOS!$A18849="",0,IF(CONFIG_METADATA!$B$4&lt;&gt;"OR+EX",--(DATOS!$G18849=CONFIG_METADATA!$B$4),IF(DATOS!$G18849="EX",1,IF(DATOS!$G18849="OR",--(COUNTIFS(nNIA,DATOS!$A18849,nCURSO,DATOS!$D18849,nESPEC,DATOS!$E18849,nASIG,DATOS!$I18849,nEVAL,"EX")=0),0))))</f>
      </c>
      <c r="H18849">
        <f>IF(DATOS!$G18849&lt;&gt;"EX",0,--(COUNTIFS(nNIA,DATOS!$A18849,nCURSO,DATOS!$D18849,nESPEC,DATOS!$E18849,nASIG,DATOS!$I18849,nEVAL,"OR")=0))</f>
      </c>
      <c r="I18849">
        <f>IF(DATOS!$I18849="","",IFERROR(VLOOKUP(DATOS!$I18849,CONFIG_ASIGNATURAS!$B$2:$J$91,9,FALSE()),""))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IF(DATOS!$A18850="",0,IF(CONFIG_METADATA!$B$4&lt;&gt;"OR+EX",--(DATOS!$G18850=CONFIG_METADATA!$B$4),IF(DATOS!$G18850="EX",1,IF(DATOS!$G18850="OR",--(COUNTIFS(nNIA,DATOS!$A18850,nCURSO,DATOS!$D18850,nESPEC,DATOS!$E18850,nASIG,DATOS!$I18850,nEVAL,"EX")=0),0))))</f>
      </c>
      <c r="H18850">
        <f>IF(DATOS!$G18850&lt;&gt;"EX",0,--(COUNTIFS(nNIA,DATOS!$A18850,nCURSO,DATOS!$D18850,nESPEC,DATOS!$E18850,nASIG,DATOS!$I18850,nEVAL,"OR")=0))</f>
      </c>
      <c r="I18850">
        <f>IF(DATOS!$I18850="","",IFERROR(VLOOKUP(DATOS!$I18850,CONFIG_ASIGNATURAS!$B$2:$J$91,9,FALSE()),""))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IF(DATOS!$A18851="",0,IF(CONFIG_METADATA!$B$4&lt;&gt;"OR+EX",--(DATOS!$G18851=CONFIG_METADATA!$B$4),IF(DATOS!$G18851="EX",1,IF(DATOS!$G18851="OR",--(COUNTIFS(nNIA,DATOS!$A18851,nCURSO,DATOS!$D18851,nESPEC,DATOS!$E18851,nASIG,DATOS!$I18851,nEVAL,"EX")=0),0))))</f>
      </c>
      <c r="H18851">
        <f>IF(DATOS!$G18851&lt;&gt;"EX",0,--(COUNTIFS(nNIA,DATOS!$A18851,nCURSO,DATOS!$D18851,nESPEC,DATOS!$E18851,nASIG,DATOS!$I18851,nEVAL,"OR")=0))</f>
      </c>
      <c r="I18851">
        <f>IF(DATOS!$I18851="","",IFERROR(VLOOKUP(DATOS!$I18851,CONFIG_ASIGNATURAS!$B$2:$J$91,9,FALSE()),""))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IF(DATOS!$A18852="",0,IF(CONFIG_METADATA!$B$4&lt;&gt;"OR+EX",--(DATOS!$G18852=CONFIG_METADATA!$B$4),IF(DATOS!$G18852="EX",1,IF(DATOS!$G18852="OR",--(COUNTIFS(nNIA,DATOS!$A18852,nCURSO,DATOS!$D18852,nESPEC,DATOS!$E18852,nASIG,DATOS!$I18852,nEVAL,"EX")=0),0))))</f>
      </c>
      <c r="H18852">
        <f>IF(DATOS!$G18852&lt;&gt;"EX",0,--(COUNTIFS(nNIA,DATOS!$A18852,nCURSO,DATOS!$D18852,nESPEC,DATOS!$E18852,nASIG,DATOS!$I18852,nEVAL,"OR")=0))</f>
      </c>
      <c r="I18852">
        <f>IF(DATOS!$I18852="","",IFERROR(VLOOKUP(DATOS!$I18852,CONFIG_ASIGNATURAS!$B$2:$J$91,9,FALSE()),""))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IF(DATOS!$A18853="",0,IF(CONFIG_METADATA!$B$4&lt;&gt;"OR+EX",--(DATOS!$G18853=CONFIG_METADATA!$B$4),IF(DATOS!$G18853="EX",1,IF(DATOS!$G18853="OR",--(COUNTIFS(nNIA,DATOS!$A18853,nCURSO,DATOS!$D18853,nESPEC,DATOS!$E18853,nASIG,DATOS!$I18853,nEVAL,"EX")=0),0))))</f>
      </c>
      <c r="H18853">
        <f>IF(DATOS!$G18853&lt;&gt;"EX",0,--(COUNTIFS(nNIA,DATOS!$A18853,nCURSO,DATOS!$D18853,nESPEC,DATOS!$E18853,nASIG,DATOS!$I18853,nEVAL,"OR")=0))</f>
      </c>
      <c r="I18853">
        <f>IF(DATOS!$I18853="","",IFERROR(VLOOKUP(DATOS!$I18853,CONFIG_ASIGNATURAS!$B$2:$J$91,9,FALSE()),""))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IF(DATOS!$A18854="",0,IF(CONFIG_METADATA!$B$4&lt;&gt;"OR+EX",--(DATOS!$G18854=CONFIG_METADATA!$B$4),IF(DATOS!$G18854="EX",1,IF(DATOS!$G18854="OR",--(COUNTIFS(nNIA,DATOS!$A18854,nCURSO,DATOS!$D18854,nESPEC,DATOS!$E18854,nASIG,DATOS!$I18854,nEVAL,"EX")=0),0))))</f>
      </c>
      <c r="H18854">
        <f>IF(DATOS!$G18854&lt;&gt;"EX",0,--(COUNTIFS(nNIA,DATOS!$A18854,nCURSO,DATOS!$D18854,nESPEC,DATOS!$E18854,nASIG,DATOS!$I18854,nEVAL,"OR")=0))</f>
      </c>
      <c r="I18854">
        <f>IF(DATOS!$I18854="","",IFERROR(VLOOKUP(DATOS!$I18854,CONFIG_ASIGNATURAS!$B$2:$J$91,9,FALSE()),""))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IF(DATOS!$A18855="",0,IF(CONFIG_METADATA!$B$4&lt;&gt;"OR+EX",--(DATOS!$G18855=CONFIG_METADATA!$B$4),IF(DATOS!$G18855="EX",1,IF(DATOS!$G18855="OR",--(COUNTIFS(nNIA,DATOS!$A18855,nCURSO,DATOS!$D18855,nESPEC,DATOS!$E18855,nASIG,DATOS!$I18855,nEVAL,"EX")=0),0))))</f>
      </c>
      <c r="H18855">
        <f>IF(DATOS!$G18855&lt;&gt;"EX",0,--(COUNTIFS(nNIA,DATOS!$A18855,nCURSO,DATOS!$D18855,nESPEC,DATOS!$E18855,nASIG,DATOS!$I18855,nEVAL,"OR")=0))</f>
      </c>
      <c r="I18855">
        <f>IF(DATOS!$I18855="","",IFERROR(VLOOKUP(DATOS!$I18855,CONFIG_ASIGNATURAS!$B$2:$J$91,9,FALSE()),""))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IF(DATOS!$A18856="",0,IF(CONFIG_METADATA!$B$4&lt;&gt;"OR+EX",--(DATOS!$G18856=CONFIG_METADATA!$B$4),IF(DATOS!$G18856="EX",1,IF(DATOS!$G18856="OR",--(COUNTIFS(nNIA,DATOS!$A18856,nCURSO,DATOS!$D18856,nESPEC,DATOS!$E18856,nASIG,DATOS!$I18856,nEVAL,"EX")=0),0))))</f>
      </c>
      <c r="H18856">
        <f>IF(DATOS!$G18856&lt;&gt;"EX",0,--(COUNTIFS(nNIA,DATOS!$A18856,nCURSO,DATOS!$D18856,nESPEC,DATOS!$E18856,nASIG,DATOS!$I18856,nEVAL,"OR")=0))</f>
      </c>
      <c r="I18856">
        <f>IF(DATOS!$I18856="","",IFERROR(VLOOKUP(DATOS!$I18856,CONFIG_ASIGNATURAS!$B$2:$J$91,9,FALSE()),""))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IF(DATOS!$A18857="",0,IF(CONFIG_METADATA!$B$4&lt;&gt;"OR+EX",--(DATOS!$G18857=CONFIG_METADATA!$B$4),IF(DATOS!$G18857="EX",1,IF(DATOS!$G18857="OR",--(COUNTIFS(nNIA,DATOS!$A18857,nCURSO,DATOS!$D18857,nESPEC,DATOS!$E18857,nASIG,DATOS!$I18857,nEVAL,"EX")=0),0))))</f>
      </c>
      <c r="H18857">
        <f>IF(DATOS!$G18857&lt;&gt;"EX",0,--(COUNTIFS(nNIA,DATOS!$A18857,nCURSO,DATOS!$D18857,nESPEC,DATOS!$E18857,nASIG,DATOS!$I18857,nEVAL,"OR")=0))</f>
      </c>
      <c r="I18857">
        <f>IF(DATOS!$I18857="","",IFERROR(VLOOKUP(DATOS!$I18857,CONFIG_ASIGNATURAS!$B$2:$J$91,9,FALSE()),""))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IF(DATOS!$A18858="",0,IF(CONFIG_METADATA!$B$4&lt;&gt;"OR+EX",--(DATOS!$G18858=CONFIG_METADATA!$B$4),IF(DATOS!$G18858="EX",1,IF(DATOS!$G18858="OR",--(COUNTIFS(nNIA,DATOS!$A18858,nCURSO,DATOS!$D18858,nESPEC,DATOS!$E18858,nASIG,DATOS!$I18858,nEVAL,"EX")=0),0))))</f>
      </c>
      <c r="H18858">
        <f>IF(DATOS!$G18858&lt;&gt;"EX",0,--(COUNTIFS(nNIA,DATOS!$A18858,nCURSO,DATOS!$D18858,nESPEC,DATOS!$E18858,nASIG,DATOS!$I18858,nEVAL,"OR")=0))</f>
      </c>
      <c r="I18858">
        <f>IF(DATOS!$I18858="","",IFERROR(VLOOKUP(DATOS!$I18858,CONFIG_ASIGNATURAS!$B$2:$J$91,9,FALSE()),""))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IF(DATOS!$A18859="",0,IF(CONFIG_METADATA!$B$4&lt;&gt;"OR+EX",--(DATOS!$G18859=CONFIG_METADATA!$B$4),IF(DATOS!$G18859="EX",1,IF(DATOS!$G18859="OR",--(COUNTIFS(nNIA,DATOS!$A18859,nCURSO,DATOS!$D18859,nESPEC,DATOS!$E18859,nASIG,DATOS!$I18859,nEVAL,"EX")=0),0))))</f>
      </c>
      <c r="H18859">
        <f>IF(DATOS!$G18859&lt;&gt;"EX",0,--(COUNTIFS(nNIA,DATOS!$A18859,nCURSO,DATOS!$D18859,nESPEC,DATOS!$E18859,nASIG,DATOS!$I18859,nEVAL,"OR")=0))</f>
      </c>
      <c r="I18859">
        <f>IF(DATOS!$I18859="","",IFERROR(VLOOKUP(DATOS!$I18859,CONFIG_ASIGNATURAS!$B$2:$J$91,9,FALSE()),""))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IF(DATOS!$A18860="",0,IF(CONFIG_METADATA!$B$4&lt;&gt;"OR+EX",--(DATOS!$G18860=CONFIG_METADATA!$B$4),IF(DATOS!$G18860="EX",1,IF(DATOS!$G18860="OR",--(COUNTIFS(nNIA,DATOS!$A18860,nCURSO,DATOS!$D18860,nESPEC,DATOS!$E18860,nASIG,DATOS!$I18860,nEVAL,"EX")=0),0))))</f>
      </c>
      <c r="H18860">
        <f>IF(DATOS!$G18860&lt;&gt;"EX",0,--(COUNTIFS(nNIA,DATOS!$A18860,nCURSO,DATOS!$D18860,nESPEC,DATOS!$E18860,nASIG,DATOS!$I18860,nEVAL,"OR")=0))</f>
      </c>
      <c r="I18860">
        <f>IF(DATOS!$I18860="","",IFERROR(VLOOKUP(DATOS!$I18860,CONFIG_ASIGNATURAS!$B$2:$J$91,9,FALSE()),""))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IF(DATOS!$A18861="",0,IF(CONFIG_METADATA!$B$4&lt;&gt;"OR+EX",--(DATOS!$G18861=CONFIG_METADATA!$B$4),IF(DATOS!$G18861="EX",1,IF(DATOS!$G18861="OR",--(COUNTIFS(nNIA,DATOS!$A18861,nCURSO,DATOS!$D18861,nESPEC,DATOS!$E18861,nASIG,DATOS!$I18861,nEVAL,"EX")=0),0))))</f>
      </c>
      <c r="H18861">
        <f>IF(DATOS!$G18861&lt;&gt;"EX",0,--(COUNTIFS(nNIA,DATOS!$A18861,nCURSO,DATOS!$D18861,nESPEC,DATOS!$E18861,nASIG,DATOS!$I18861,nEVAL,"OR")=0))</f>
      </c>
      <c r="I18861">
        <f>IF(DATOS!$I18861="","",IFERROR(VLOOKUP(DATOS!$I18861,CONFIG_ASIGNATURAS!$B$2:$J$91,9,FALSE()),""))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IF(DATOS!$A18862="",0,IF(CONFIG_METADATA!$B$4&lt;&gt;"OR+EX",--(DATOS!$G18862=CONFIG_METADATA!$B$4),IF(DATOS!$G18862="EX",1,IF(DATOS!$G18862="OR",--(COUNTIFS(nNIA,DATOS!$A18862,nCURSO,DATOS!$D18862,nESPEC,DATOS!$E18862,nASIG,DATOS!$I18862,nEVAL,"EX")=0),0))))</f>
      </c>
      <c r="H18862">
        <f>IF(DATOS!$G18862&lt;&gt;"EX",0,--(COUNTIFS(nNIA,DATOS!$A18862,nCURSO,DATOS!$D18862,nESPEC,DATOS!$E18862,nASIG,DATOS!$I18862,nEVAL,"OR")=0))</f>
      </c>
      <c r="I18862">
        <f>IF(DATOS!$I18862="","",IFERROR(VLOOKUP(DATOS!$I18862,CONFIG_ASIGNATURAS!$B$2:$J$91,9,FALSE()),""))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IF(DATOS!$A18863="",0,IF(CONFIG_METADATA!$B$4&lt;&gt;"OR+EX",--(DATOS!$G18863=CONFIG_METADATA!$B$4),IF(DATOS!$G18863="EX",1,IF(DATOS!$G18863="OR",--(COUNTIFS(nNIA,DATOS!$A18863,nCURSO,DATOS!$D18863,nESPEC,DATOS!$E18863,nASIG,DATOS!$I18863,nEVAL,"EX")=0),0))))</f>
      </c>
      <c r="H18863">
        <f>IF(DATOS!$G18863&lt;&gt;"EX",0,--(COUNTIFS(nNIA,DATOS!$A18863,nCURSO,DATOS!$D18863,nESPEC,DATOS!$E18863,nASIG,DATOS!$I18863,nEVAL,"OR")=0))</f>
      </c>
      <c r="I18863">
        <f>IF(DATOS!$I18863="","",IFERROR(VLOOKUP(DATOS!$I18863,CONFIG_ASIGNATURAS!$B$2:$J$91,9,FALSE()),""))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IF(DATOS!$A18864="",0,IF(CONFIG_METADATA!$B$4&lt;&gt;"OR+EX",--(DATOS!$G18864=CONFIG_METADATA!$B$4),IF(DATOS!$G18864="EX",1,IF(DATOS!$G18864="OR",--(COUNTIFS(nNIA,DATOS!$A18864,nCURSO,DATOS!$D18864,nESPEC,DATOS!$E18864,nASIG,DATOS!$I18864,nEVAL,"EX")=0),0))))</f>
      </c>
      <c r="H18864">
        <f>IF(DATOS!$G18864&lt;&gt;"EX",0,--(COUNTIFS(nNIA,DATOS!$A18864,nCURSO,DATOS!$D18864,nESPEC,DATOS!$E18864,nASIG,DATOS!$I18864,nEVAL,"OR")=0))</f>
      </c>
      <c r="I18864">
        <f>IF(DATOS!$I18864="","",IFERROR(VLOOKUP(DATOS!$I18864,CONFIG_ASIGNATURAS!$B$2:$J$91,9,FALSE()),""))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IF(DATOS!$A18865="",0,IF(CONFIG_METADATA!$B$4&lt;&gt;"OR+EX",--(DATOS!$G18865=CONFIG_METADATA!$B$4),IF(DATOS!$G18865="EX",1,IF(DATOS!$G18865="OR",--(COUNTIFS(nNIA,DATOS!$A18865,nCURSO,DATOS!$D18865,nESPEC,DATOS!$E18865,nASIG,DATOS!$I18865,nEVAL,"EX")=0),0))))</f>
      </c>
      <c r="H18865">
        <f>IF(DATOS!$G18865&lt;&gt;"EX",0,--(COUNTIFS(nNIA,DATOS!$A18865,nCURSO,DATOS!$D18865,nESPEC,DATOS!$E18865,nASIG,DATOS!$I18865,nEVAL,"OR")=0))</f>
      </c>
      <c r="I18865">
        <f>IF(DATOS!$I18865="","",IFERROR(VLOOKUP(DATOS!$I18865,CONFIG_ASIGNATURAS!$B$2:$J$91,9,FALSE()),""))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IF(DATOS!$A18866="",0,IF(CONFIG_METADATA!$B$4&lt;&gt;"OR+EX",--(DATOS!$G18866=CONFIG_METADATA!$B$4),IF(DATOS!$G18866="EX",1,IF(DATOS!$G18866="OR",--(COUNTIFS(nNIA,DATOS!$A18866,nCURSO,DATOS!$D18866,nESPEC,DATOS!$E18866,nASIG,DATOS!$I18866,nEVAL,"EX")=0),0))))</f>
      </c>
      <c r="H18866">
        <f>IF(DATOS!$G18866&lt;&gt;"EX",0,--(COUNTIFS(nNIA,DATOS!$A18866,nCURSO,DATOS!$D18866,nESPEC,DATOS!$E18866,nASIG,DATOS!$I18866,nEVAL,"OR")=0))</f>
      </c>
      <c r="I18866">
        <f>IF(DATOS!$I18866="","",IFERROR(VLOOKUP(DATOS!$I18866,CONFIG_ASIGNATURAS!$B$2:$J$91,9,FALSE()),""))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IF(DATOS!$A18867="",0,IF(CONFIG_METADATA!$B$4&lt;&gt;"OR+EX",--(DATOS!$G18867=CONFIG_METADATA!$B$4),IF(DATOS!$G18867="EX",1,IF(DATOS!$G18867="OR",--(COUNTIFS(nNIA,DATOS!$A18867,nCURSO,DATOS!$D18867,nESPEC,DATOS!$E18867,nASIG,DATOS!$I18867,nEVAL,"EX")=0),0))))</f>
      </c>
      <c r="H18867">
        <f>IF(DATOS!$G18867&lt;&gt;"EX",0,--(COUNTIFS(nNIA,DATOS!$A18867,nCURSO,DATOS!$D18867,nESPEC,DATOS!$E18867,nASIG,DATOS!$I18867,nEVAL,"OR")=0))</f>
      </c>
      <c r="I18867">
        <f>IF(DATOS!$I18867="","",IFERROR(VLOOKUP(DATOS!$I18867,CONFIG_ASIGNATURAS!$B$2:$J$91,9,FALSE()),""))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IF(DATOS!$A18868="",0,IF(CONFIG_METADATA!$B$4&lt;&gt;"OR+EX",--(DATOS!$G18868=CONFIG_METADATA!$B$4),IF(DATOS!$G18868="EX",1,IF(DATOS!$G18868="OR",--(COUNTIFS(nNIA,DATOS!$A18868,nCURSO,DATOS!$D18868,nESPEC,DATOS!$E18868,nASIG,DATOS!$I18868,nEVAL,"EX")=0),0))))</f>
      </c>
      <c r="H18868">
        <f>IF(DATOS!$G18868&lt;&gt;"EX",0,--(COUNTIFS(nNIA,DATOS!$A18868,nCURSO,DATOS!$D18868,nESPEC,DATOS!$E18868,nASIG,DATOS!$I18868,nEVAL,"OR")=0))</f>
      </c>
      <c r="I18868">
        <f>IF(DATOS!$I18868="","",IFERROR(VLOOKUP(DATOS!$I18868,CONFIG_ASIGNATURAS!$B$2:$J$91,9,FALSE()),""))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IF(DATOS!$A18869="",0,IF(CONFIG_METADATA!$B$4&lt;&gt;"OR+EX",--(DATOS!$G18869=CONFIG_METADATA!$B$4),IF(DATOS!$G18869="EX",1,IF(DATOS!$G18869="OR",--(COUNTIFS(nNIA,DATOS!$A18869,nCURSO,DATOS!$D18869,nESPEC,DATOS!$E18869,nASIG,DATOS!$I18869,nEVAL,"EX")=0),0))))</f>
      </c>
      <c r="H18869">
        <f>IF(DATOS!$G18869&lt;&gt;"EX",0,--(COUNTIFS(nNIA,DATOS!$A18869,nCURSO,DATOS!$D18869,nESPEC,DATOS!$E18869,nASIG,DATOS!$I18869,nEVAL,"OR")=0))</f>
      </c>
      <c r="I18869">
        <f>IF(DATOS!$I18869="","",IFERROR(VLOOKUP(DATOS!$I18869,CONFIG_ASIGNATURAS!$B$2:$J$91,9,FALSE()),""))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IF(DATOS!$A18870="",0,IF(CONFIG_METADATA!$B$4&lt;&gt;"OR+EX",--(DATOS!$G18870=CONFIG_METADATA!$B$4),IF(DATOS!$G18870="EX",1,IF(DATOS!$G18870="OR",--(COUNTIFS(nNIA,DATOS!$A18870,nCURSO,DATOS!$D18870,nESPEC,DATOS!$E18870,nASIG,DATOS!$I18870,nEVAL,"EX")=0),0))))</f>
      </c>
      <c r="H18870">
        <f>IF(DATOS!$G18870&lt;&gt;"EX",0,--(COUNTIFS(nNIA,DATOS!$A18870,nCURSO,DATOS!$D18870,nESPEC,DATOS!$E18870,nASIG,DATOS!$I18870,nEVAL,"OR")=0))</f>
      </c>
      <c r="I18870">
        <f>IF(DATOS!$I18870="","",IFERROR(VLOOKUP(DATOS!$I18870,CONFIG_ASIGNATURAS!$B$2:$J$91,9,FALSE()),""))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IF(DATOS!$A18871="",0,IF(CONFIG_METADATA!$B$4&lt;&gt;"OR+EX",--(DATOS!$G18871=CONFIG_METADATA!$B$4),IF(DATOS!$G18871="EX",1,IF(DATOS!$G18871="OR",--(COUNTIFS(nNIA,DATOS!$A18871,nCURSO,DATOS!$D18871,nESPEC,DATOS!$E18871,nASIG,DATOS!$I18871,nEVAL,"EX")=0),0))))</f>
      </c>
      <c r="H18871">
        <f>IF(DATOS!$G18871&lt;&gt;"EX",0,--(COUNTIFS(nNIA,DATOS!$A18871,nCURSO,DATOS!$D18871,nESPEC,DATOS!$E18871,nASIG,DATOS!$I18871,nEVAL,"OR")=0))</f>
      </c>
      <c r="I18871">
        <f>IF(DATOS!$I18871="","",IFERROR(VLOOKUP(DATOS!$I18871,CONFIG_ASIGNATURAS!$B$2:$J$91,9,FALSE()),""))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IF(DATOS!$A18872="",0,IF(CONFIG_METADATA!$B$4&lt;&gt;"OR+EX",--(DATOS!$G18872=CONFIG_METADATA!$B$4),IF(DATOS!$G18872="EX",1,IF(DATOS!$G18872="OR",--(COUNTIFS(nNIA,DATOS!$A18872,nCURSO,DATOS!$D18872,nESPEC,DATOS!$E18872,nASIG,DATOS!$I18872,nEVAL,"EX")=0),0))))</f>
      </c>
      <c r="H18872">
        <f>IF(DATOS!$G18872&lt;&gt;"EX",0,--(COUNTIFS(nNIA,DATOS!$A18872,nCURSO,DATOS!$D18872,nESPEC,DATOS!$E18872,nASIG,DATOS!$I18872,nEVAL,"OR")=0))</f>
      </c>
      <c r="I18872">
        <f>IF(DATOS!$I18872="","",IFERROR(VLOOKUP(DATOS!$I18872,CONFIG_ASIGNATURAS!$B$2:$J$91,9,FALSE()),""))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IF(DATOS!$A18873="",0,IF(CONFIG_METADATA!$B$4&lt;&gt;"OR+EX",--(DATOS!$G18873=CONFIG_METADATA!$B$4),IF(DATOS!$G18873="EX",1,IF(DATOS!$G18873="OR",--(COUNTIFS(nNIA,DATOS!$A18873,nCURSO,DATOS!$D18873,nESPEC,DATOS!$E18873,nASIG,DATOS!$I18873,nEVAL,"EX")=0),0))))</f>
      </c>
      <c r="H18873">
        <f>IF(DATOS!$G18873&lt;&gt;"EX",0,--(COUNTIFS(nNIA,DATOS!$A18873,nCURSO,DATOS!$D18873,nESPEC,DATOS!$E18873,nASIG,DATOS!$I18873,nEVAL,"OR")=0))</f>
      </c>
      <c r="I18873">
        <f>IF(DATOS!$I18873="","",IFERROR(VLOOKUP(DATOS!$I18873,CONFIG_ASIGNATURAS!$B$2:$J$91,9,FALSE()),""))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IF(DATOS!$A18874="",0,IF(CONFIG_METADATA!$B$4&lt;&gt;"OR+EX",--(DATOS!$G18874=CONFIG_METADATA!$B$4),IF(DATOS!$G18874="EX",1,IF(DATOS!$G18874="OR",--(COUNTIFS(nNIA,DATOS!$A18874,nCURSO,DATOS!$D18874,nESPEC,DATOS!$E18874,nASIG,DATOS!$I18874,nEVAL,"EX")=0),0))))</f>
      </c>
      <c r="H18874">
        <f>IF(DATOS!$G18874&lt;&gt;"EX",0,--(COUNTIFS(nNIA,DATOS!$A18874,nCURSO,DATOS!$D18874,nESPEC,DATOS!$E18874,nASIG,DATOS!$I18874,nEVAL,"OR")=0))</f>
      </c>
      <c r="I18874">
        <f>IF(DATOS!$I18874="","",IFERROR(VLOOKUP(DATOS!$I18874,CONFIG_ASIGNATURAS!$B$2:$J$91,9,FALSE()),""))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IF(DATOS!$A18875="",0,IF(CONFIG_METADATA!$B$4&lt;&gt;"OR+EX",--(DATOS!$G18875=CONFIG_METADATA!$B$4),IF(DATOS!$G18875="EX",1,IF(DATOS!$G18875="OR",--(COUNTIFS(nNIA,DATOS!$A18875,nCURSO,DATOS!$D18875,nESPEC,DATOS!$E18875,nASIG,DATOS!$I18875,nEVAL,"EX")=0),0))))</f>
      </c>
      <c r="H18875">
        <f>IF(DATOS!$G18875&lt;&gt;"EX",0,--(COUNTIFS(nNIA,DATOS!$A18875,nCURSO,DATOS!$D18875,nESPEC,DATOS!$E18875,nASIG,DATOS!$I18875,nEVAL,"OR")=0))</f>
      </c>
      <c r="I18875">
        <f>IF(DATOS!$I18875="","",IFERROR(VLOOKUP(DATOS!$I18875,CONFIG_ASIGNATURAS!$B$2:$J$91,9,FALSE()),""))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IF(DATOS!$A18876="",0,IF(CONFIG_METADATA!$B$4&lt;&gt;"OR+EX",--(DATOS!$G18876=CONFIG_METADATA!$B$4),IF(DATOS!$G18876="EX",1,IF(DATOS!$G18876="OR",--(COUNTIFS(nNIA,DATOS!$A18876,nCURSO,DATOS!$D18876,nESPEC,DATOS!$E18876,nASIG,DATOS!$I18876,nEVAL,"EX")=0),0))))</f>
      </c>
      <c r="H18876">
        <f>IF(DATOS!$G18876&lt;&gt;"EX",0,--(COUNTIFS(nNIA,DATOS!$A18876,nCURSO,DATOS!$D18876,nESPEC,DATOS!$E18876,nASIG,DATOS!$I18876,nEVAL,"OR")=0))</f>
      </c>
      <c r="I18876">
        <f>IF(DATOS!$I18876="","",IFERROR(VLOOKUP(DATOS!$I18876,CONFIG_ASIGNATURAS!$B$2:$J$91,9,FALSE()),""))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IF(DATOS!$A18877="",0,IF(CONFIG_METADATA!$B$4&lt;&gt;"OR+EX",--(DATOS!$G18877=CONFIG_METADATA!$B$4),IF(DATOS!$G18877="EX",1,IF(DATOS!$G18877="OR",--(COUNTIFS(nNIA,DATOS!$A18877,nCURSO,DATOS!$D18877,nESPEC,DATOS!$E18877,nASIG,DATOS!$I18877,nEVAL,"EX")=0),0))))</f>
      </c>
      <c r="H18877">
        <f>IF(DATOS!$G18877&lt;&gt;"EX",0,--(COUNTIFS(nNIA,DATOS!$A18877,nCURSO,DATOS!$D18877,nESPEC,DATOS!$E18877,nASIG,DATOS!$I18877,nEVAL,"OR")=0))</f>
      </c>
      <c r="I18877">
        <f>IF(DATOS!$I18877="","",IFERROR(VLOOKUP(DATOS!$I18877,CONFIG_ASIGNATURAS!$B$2:$J$91,9,FALSE()),""))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IF(DATOS!$A18878="",0,IF(CONFIG_METADATA!$B$4&lt;&gt;"OR+EX",--(DATOS!$G18878=CONFIG_METADATA!$B$4),IF(DATOS!$G18878="EX",1,IF(DATOS!$G18878="OR",--(COUNTIFS(nNIA,DATOS!$A18878,nCURSO,DATOS!$D18878,nESPEC,DATOS!$E18878,nASIG,DATOS!$I18878,nEVAL,"EX")=0),0))))</f>
      </c>
      <c r="H18878">
        <f>IF(DATOS!$G18878&lt;&gt;"EX",0,--(COUNTIFS(nNIA,DATOS!$A18878,nCURSO,DATOS!$D18878,nESPEC,DATOS!$E18878,nASIG,DATOS!$I18878,nEVAL,"OR")=0))</f>
      </c>
      <c r="I18878">
        <f>IF(DATOS!$I18878="","",IFERROR(VLOOKUP(DATOS!$I18878,CONFIG_ASIGNATURAS!$B$2:$J$91,9,FALSE()),""))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IF(DATOS!$A18879="",0,IF(CONFIG_METADATA!$B$4&lt;&gt;"OR+EX",--(DATOS!$G18879=CONFIG_METADATA!$B$4),IF(DATOS!$G18879="EX",1,IF(DATOS!$G18879="OR",--(COUNTIFS(nNIA,DATOS!$A18879,nCURSO,DATOS!$D18879,nESPEC,DATOS!$E18879,nASIG,DATOS!$I18879,nEVAL,"EX")=0),0))))</f>
      </c>
      <c r="H18879">
        <f>IF(DATOS!$G18879&lt;&gt;"EX",0,--(COUNTIFS(nNIA,DATOS!$A18879,nCURSO,DATOS!$D18879,nESPEC,DATOS!$E18879,nASIG,DATOS!$I18879,nEVAL,"OR")=0))</f>
      </c>
      <c r="I18879">
        <f>IF(DATOS!$I18879="","",IFERROR(VLOOKUP(DATOS!$I18879,CONFIG_ASIGNATURAS!$B$2:$J$91,9,FALSE()),""))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IF(DATOS!$A18880="",0,IF(CONFIG_METADATA!$B$4&lt;&gt;"OR+EX",--(DATOS!$G18880=CONFIG_METADATA!$B$4),IF(DATOS!$G18880="EX",1,IF(DATOS!$G18880="OR",--(COUNTIFS(nNIA,DATOS!$A18880,nCURSO,DATOS!$D18880,nESPEC,DATOS!$E18880,nASIG,DATOS!$I18880,nEVAL,"EX")=0),0))))</f>
      </c>
      <c r="H18880">
        <f>IF(DATOS!$G18880&lt;&gt;"EX",0,--(COUNTIFS(nNIA,DATOS!$A18880,nCURSO,DATOS!$D18880,nESPEC,DATOS!$E18880,nASIG,DATOS!$I18880,nEVAL,"OR")=0))</f>
      </c>
      <c r="I18880">
        <f>IF(DATOS!$I18880="","",IFERROR(VLOOKUP(DATOS!$I18880,CONFIG_ASIGNATURAS!$B$2:$J$91,9,FALSE()),""))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IF(DATOS!$A18881="",0,IF(CONFIG_METADATA!$B$4&lt;&gt;"OR+EX",--(DATOS!$G18881=CONFIG_METADATA!$B$4),IF(DATOS!$G18881="EX",1,IF(DATOS!$G18881="OR",--(COUNTIFS(nNIA,DATOS!$A18881,nCURSO,DATOS!$D18881,nESPEC,DATOS!$E18881,nASIG,DATOS!$I18881,nEVAL,"EX")=0),0))))</f>
      </c>
      <c r="H18881">
        <f>IF(DATOS!$G18881&lt;&gt;"EX",0,--(COUNTIFS(nNIA,DATOS!$A18881,nCURSO,DATOS!$D18881,nESPEC,DATOS!$E18881,nASIG,DATOS!$I18881,nEVAL,"OR")=0))</f>
      </c>
      <c r="I18881">
        <f>IF(DATOS!$I18881="","",IFERROR(VLOOKUP(DATOS!$I18881,CONFIG_ASIGNATURAS!$B$2:$J$91,9,FALSE()),""))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IF(DATOS!$A18882="",0,IF(CONFIG_METADATA!$B$4&lt;&gt;"OR+EX",--(DATOS!$G18882=CONFIG_METADATA!$B$4),IF(DATOS!$G18882="EX",1,IF(DATOS!$G18882="OR",--(COUNTIFS(nNIA,DATOS!$A18882,nCURSO,DATOS!$D18882,nESPEC,DATOS!$E18882,nASIG,DATOS!$I18882,nEVAL,"EX")=0),0))))</f>
      </c>
      <c r="H18882">
        <f>IF(DATOS!$G18882&lt;&gt;"EX",0,--(COUNTIFS(nNIA,DATOS!$A18882,nCURSO,DATOS!$D18882,nESPEC,DATOS!$E18882,nASIG,DATOS!$I18882,nEVAL,"OR")=0))</f>
      </c>
      <c r="I18882">
        <f>IF(DATOS!$I18882="","",IFERROR(VLOOKUP(DATOS!$I18882,CONFIG_ASIGNATURAS!$B$2:$J$91,9,FALSE()),""))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IF(DATOS!$A18883="",0,IF(CONFIG_METADATA!$B$4&lt;&gt;"OR+EX",--(DATOS!$G18883=CONFIG_METADATA!$B$4),IF(DATOS!$G18883="EX",1,IF(DATOS!$G18883="OR",--(COUNTIFS(nNIA,DATOS!$A18883,nCURSO,DATOS!$D18883,nESPEC,DATOS!$E18883,nASIG,DATOS!$I18883,nEVAL,"EX")=0),0))))</f>
      </c>
      <c r="H18883">
        <f>IF(DATOS!$G18883&lt;&gt;"EX",0,--(COUNTIFS(nNIA,DATOS!$A18883,nCURSO,DATOS!$D18883,nESPEC,DATOS!$E18883,nASIG,DATOS!$I18883,nEVAL,"OR")=0))</f>
      </c>
      <c r="I18883">
        <f>IF(DATOS!$I18883="","",IFERROR(VLOOKUP(DATOS!$I18883,CONFIG_ASIGNATURAS!$B$2:$J$91,9,FALSE()),""))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IF(DATOS!$A18884="",0,IF(CONFIG_METADATA!$B$4&lt;&gt;"OR+EX",--(DATOS!$G18884=CONFIG_METADATA!$B$4),IF(DATOS!$G18884="EX",1,IF(DATOS!$G18884="OR",--(COUNTIFS(nNIA,DATOS!$A18884,nCURSO,DATOS!$D18884,nESPEC,DATOS!$E18884,nASIG,DATOS!$I18884,nEVAL,"EX")=0),0))))</f>
      </c>
      <c r="H18884">
        <f>IF(DATOS!$G18884&lt;&gt;"EX",0,--(COUNTIFS(nNIA,DATOS!$A18884,nCURSO,DATOS!$D18884,nESPEC,DATOS!$E18884,nASIG,DATOS!$I18884,nEVAL,"OR")=0))</f>
      </c>
      <c r="I18884">
        <f>IF(DATOS!$I18884="","",IFERROR(VLOOKUP(DATOS!$I18884,CONFIG_ASIGNATURAS!$B$2:$J$91,9,FALSE()),""))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IF(DATOS!$A18885="",0,IF(CONFIG_METADATA!$B$4&lt;&gt;"OR+EX",--(DATOS!$G18885=CONFIG_METADATA!$B$4),IF(DATOS!$G18885="EX",1,IF(DATOS!$G18885="OR",--(COUNTIFS(nNIA,DATOS!$A18885,nCURSO,DATOS!$D18885,nESPEC,DATOS!$E18885,nASIG,DATOS!$I18885,nEVAL,"EX")=0),0))))</f>
      </c>
      <c r="H18885">
        <f>IF(DATOS!$G18885&lt;&gt;"EX",0,--(COUNTIFS(nNIA,DATOS!$A18885,nCURSO,DATOS!$D18885,nESPEC,DATOS!$E18885,nASIG,DATOS!$I18885,nEVAL,"OR")=0))</f>
      </c>
      <c r="I18885">
        <f>IF(DATOS!$I18885="","",IFERROR(VLOOKUP(DATOS!$I18885,CONFIG_ASIGNATURAS!$B$2:$J$91,9,FALSE()),""))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IF(DATOS!$A18886="",0,IF(CONFIG_METADATA!$B$4&lt;&gt;"OR+EX",--(DATOS!$G18886=CONFIG_METADATA!$B$4),IF(DATOS!$G18886="EX",1,IF(DATOS!$G18886="OR",--(COUNTIFS(nNIA,DATOS!$A18886,nCURSO,DATOS!$D18886,nESPEC,DATOS!$E18886,nASIG,DATOS!$I18886,nEVAL,"EX")=0),0))))</f>
      </c>
      <c r="H18886">
        <f>IF(DATOS!$G18886&lt;&gt;"EX",0,--(COUNTIFS(nNIA,DATOS!$A18886,nCURSO,DATOS!$D18886,nESPEC,DATOS!$E18886,nASIG,DATOS!$I18886,nEVAL,"OR")=0))</f>
      </c>
      <c r="I18886">
        <f>IF(DATOS!$I18886="","",IFERROR(VLOOKUP(DATOS!$I18886,CONFIG_ASIGNATURAS!$B$2:$J$91,9,FALSE()),""))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IF(DATOS!$A18887="",0,IF(CONFIG_METADATA!$B$4&lt;&gt;"OR+EX",--(DATOS!$G18887=CONFIG_METADATA!$B$4),IF(DATOS!$G18887="EX",1,IF(DATOS!$G18887="OR",--(COUNTIFS(nNIA,DATOS!$A18887,nCURSO,DATOS!$D18887,nESPEC,DATOS!$E18887,nASIG,DATOS!$I18887,nEVAL,"EX")=0),0))))</f>
      </c>
      <c r="H18887">
        <f>IF(DATOS!$G18887&lt;&gt;"EX",0,--(COUNTIFS(nNIA,DATOS!$A18887,nCURSO,DATOS!$D18887,nESPEC,DATOS!$E18887,nASIG,DATOS!$I18887,nEVAL,"OR")=0))</f>
      </c>
      <c r="I18887">
        <f>IF(DATOS!$I18887="","",IFERROR(VLOOKUP(DATOS!$I18887,CONFIG_ASIGNATURAS!$B$2:$J$91,9,FALSE()),""))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IF(DATOS!$A18888="",0,IF(CONFIG_METADATA!$B$4&lt;&gt;"OR+EX",--(DATOS!$G18888=CONFIG_METADATA!$B$4),IF(DATOS!$G18888="EX",1,IF(DATOS!$G18888="OR",--(COUNTIFS(nNIA,DATOS!$A18888,nCURSO,DATOS!$D18888,nESPEC,DATOS!$E18888,nASIG,DATOS!$I18888,nEVAL,"EX")=0),0))))</f>
      </c>
      <c r="H18888">
        <f>IF(DATOS!$G18888&lt;&gt;"EX",0,--(COUNTIFS(nNIA,DATOS!$A18888,nCURSO,DATOS!$D18888,nESPEC,DATOS!$E18888,nASIG,DATOS!$I18888,nEVAL,"OR")=0))</f>
      </c>
      <c r="I18888">
        <f>IF(DATOS!$I18888="","",IFERROR(VLOOKUP(DATOS!$I18888,CONFIG_ASIGNATURAS!$B$2:$J$91,9,FALSE()),""))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IF(DATOS!$A18889="",0,IF(CONFIG_METADATA!$B$4&lt;&gt;"OR+EX",--(DATOS!$G18889=CONFIG_METADATA!$B$4),IF(DATOS!$G18889="EX",1,IF(DATOS!$G18889="OR",--(COUNTIFS(nNIA,DATOS!$A18889,nCURSO,DATOS!$D18889,nESPEC,DATOS!$E18889,nASIG,DATOS!$I18889,nEVAL,"EX")=0),0))))</f>
      </c>
      <c r="H18889">
        <f>IF(DATOS!$G18889&lt;&gt;"EX",0,--(COUNTIFS(nNIA,DATOS!$A18889,nCURSO,DATOS!$D18889,nESPEC,DATOS!$E18889,nASIG,DATOS!$I18889,nEVAL,"OR")=0))</f>
      </c>
      <c r="I18889">
        <f>IF(DATOS!$I18889="","",IFERROR(VLOOKUP(DATOS!$I18889,CONFIG_ASIGNATURAS!$B$2:$J$91,9,FALSE()),""))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IF(DATOS!$A18890="",0,IF(CONFIG_METADATA!$B$4&lt;&gt;"OR+EX",--(DATOS!$G18890=CONFIG_METADATA!$B$4),IF(DATOS!$G18890="EX",1,IF(DATOS!$G18890="OR",--(COUNTIFS(nNIA,DATOS!$A18890,nCURSO,DATOS!$D18890,nESPEC,DATOS!$E18890,nASIG,DATOS!$I18890,nEVAL,"EX")=0),0))))</f>
      </c>
      <c r="H18890">
        <f>IF(DATOS!$G18890&lt;&gt;"EX",0,--(COUNTIFS(nNIA,DATOS!$A18890,nCURSO,DATOS!$D18890,nESPEC,DATOS!$E18890,nASIG,DATOS!$I18890,nEVAL,"OR")=0))</f>
      </c>
      <c r="I18890">
        <f>IF(DATOS!$I18890="","",IFERROR(VLOOKUP(DATOS!$I18890,CONFIG_ASIGNATURAS!$B$2:$J$91,9,FALSE()),""))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IF(DATOS!$A18891="",0,IF(CONFIG_METADATA!$B$4&lt;&gt;"OR+EX",--(DATOS!$G18891=CONFIG_METADATA!$B$4),IF(DATOS!$G18891="EX",1,IF(DATOS!$G18891="OR",--(COUNTIFS(nNIA,DATOS!$A18891,nCURSO,DATOS!$D18891,nESPEC,DATOS!$E18891,nASIG,DATOS!$I18891,nEVAL,"EX")=0),0))))</f>
      </c>
      <c r="H18891">
        <f>IF(DATOS!$G18891&lt;&gt;"EX",0,--(COUNTIFS(nNIA,DATOS!$A18891,nCURSO,DATOS!$D18891,nESPEC,DATOS!$E18891,nASIG,DATOS!$I18891,nEVAL,"OR")=0))</f>
      </c>
      <c r="I18891">
        <f>IF(DATOS!$I18891="","",IFERROR(VLOOKUP(DATOS!$I18891,CONFIG_ASIGNATURAS!$B$2:$J$91,9,FALSE()),""))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IF(DATOS!$A18892="",0,IF(CONFIG_METADATA!$B$4&lt;&gt;"OR+EX",--(DATOS!$G18892=CONFIG_METADATA!$B$4),IF(DATOS!$G18892="EX",1,IF(DATOS!$G18892="OR",--(COUNTIFS(nNIA,DATOS!$A18892,nCURSO,DATOS!$D18892,nESPEC,DATOS!$E18892,nASIG,DATOS!$I18892,nEVAL,"EX")=0),0))))</f>
      </c>
      <c r="H18892">
        <f>IF(DATOS!$G18892&lt;&gt;"EX",0,--(COUNTIFS(nNIA,DATOS!$A18892,nCURSO,DATOS!$D18892,nESPEC,DATOS!$E18892,nASIG,DATOS!$I18892,nEVAL,"OR")=0))</f>
      </c>
      <c r="I18892">
        <f>IF(DATOS!$I18892="","",IFERROR(VLOOKUP(DATOS!$I18892,CONFIG_ASIGNATURAS!$B$2:$J$91,9,FALSE()),""))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IF(DATOS!$A18893="",0,IF(CONFIG_METADATA!$B$4&lt;&gt;"OR+EX",--(DATOS!$G18893=CONFIG_METADATA!$B$4),IF(DATOS!$G18893="EX",1,IF(DATOS!$G18893="OR",--(COUNTIFS(nNIA,DATOS!$A18893,nCURSO,DATOS!$D18893,nESPEC,DATOS!$E18893,nASIG,DATOS!$I18893,nEVAL,"EX")=0),0))))</f>
      </c>
      <c r="H18893">
        <f>IF(DATOS!$G18893&lt;&gt;"EX",0,--(COUNTIFS(nNIA,DATOS!$A18893,nCURSO,DATOS!$D18893,nESPEC,DATOS!$E18893,nASIG,DATOS!$I18893,nEVAL,"OR")=0))</f>
      </c>
      <c r="I18893">
        <f>IF(DATOS!$I18893="","",IFERROR(VLOOKUP(DATOS!$I18893,CONFIG_ASIGNATURAS!$B$2:$J$91,9,FALSE()),""))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IF(DATOS!$A18894="",0,IF(CONFIG_METADATA!$B$4&lt;&gt;"OR+EX",--(DATOS!$G18894=CONFIG_METADATA!$B$4),IF(DATOS!$G18894="EX",1,IF(DATOS!$G18894="OR",--(COUNTIFS(nNIA,DATOS!$A18894,nCURSO,DATOS!$D18894,nESPEC,DATOS!$E18894,nASIG,DATOS!$I18894,nEVAL,"EX")=0),0))))</f>
      </c>
      <c r="H18894">
        <f>IF(DATOS!$G18894&lt;&gt;"EX",0,--(COUNTIFS(nNIA,DATOS!$A18894,nCURSO,DATOS!$D18894,nESPEC,DATOS!$E18894,nASIG,DATOS!$I18894,nEVAL,"OR")=0))</f>
      </c>
      <c r="I18894">
        <f>IF(DATOS!$I18894="","",IFERROR(VLOOKUP(DATOS!$I18894,CONFIG_ASIGNATURAS!$B$2:$J$91,9,FALSE()),""))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IF(DATOS!$A18895="",0,IF(CONFIG_METADATA!$B$4&lt;&gt;"OR+EX",--(DATOS!$G18895=CONFIG_METADATA!$B$4),IF(DATOS!$G18895="EX",1,IF(DATOS!$G18895="OR",--(COUNTIFS(nNIA,DATOS!$A18895,nCURSO,DATOS!$D18895,nESPEC,DATOS!$E18895,nASIG,DATOS!$I18895,nEVAL,"EX")=0),0))))</f>
      </c>
      <c r="H18895">
        <f>IF(DATOS!$G18895&lt;&gt;"EX",0,--(COUNTIFS(nNIA,DATOS!$A18895,nCURSO,DATOS!$D18895,nESPEC,DATOS!$E18895,nASIG,DATOS!$I18895,nEVAL,"OR")=0))</f>
      </c>
      <c r="I18895">
        <f>IF(DATOS!$I18895="","",IFERROR(VLOOKUP(DATOS!$I18895,CONFIG_ASIGNATURAS!$B$2:$J$91,9,FALSE()),""))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IF(DATOS!$A18896="",0,IF(CONFIG_METADATA!$B$4&lt;&gt;"OR+EX",--(DATOS!$G18896=CONFIG_METADATA!$B$4),IF(DATOS!$G18896="EX",1,IF(DATOS!$G18896="OR",--(COUNTIFS(nNIA,DATOS!$A18896,nCURSO,DATOS!$D18896,nESPEC,DATOS!$E18896,nASIG,DATOS!$I18896,nEVAL,"EX")=0),0))))</f>
      </c>
      <c r="H18896">
        <f>IF(DATOS!$G18896&lt;&gt;"EX",0,--(COUNTIFS(nNIA,DATOS!$A18896,nCURSO,DATOS!$D18896,nESPEC,DATOS!$E18896,nASIG,DATOS!$I18896,nEVAL,"OR")=0))</f>
      </c>
      <c r="I18896">
        <f>IF(DATOS!$I18896="","",IFERROR(VLOOKUP(DATOS!$I18896,CONFIG_ASIGNATURAS!$B$2:$J$91,9,FALSE()),""))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IF(DATOS!$A18897="",0,IF(CONFIG_METADATA!$B$4&lt;&gt;"OR+EX",--(DATOS!$G18897=CONFIG_METADATA!$B$4),IF(DATOS!$G18897="EX",1,IF(DATOS!$G18897="OR",--(COUNTIFS(nNIA,DATOS!$A18897,nCURSO,DATOS!$D18897,nESPEC,DATOS!$E18897,nASIG,DATOS!$I18897,nEVAL,"EX")=0),0))))</f>
      </c>
      <c r="H18897">
        <f>IF(DATOS!$G18897&lt;&gt;"EX",0,--(COUNTIFS(nNIA,DATOS!$A18897,nCURSO,DATOS!$D18897,nESPEC,DATOS!$E18897,nASIG,DATOS!$I18897,nEVAL,"OR")=0))</f>
      </c>
      <c r="I18897">
        <f>IF(DATOS!$I18897="","",IFERROR(VLOOKUP(DATOS!$I18897,CONFIG_ASIGNATURAS!$B$2:$J$91,9,FALSE()),""))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IF(DATOS!$A18898="",0,IF(CONFIG_METADATA!$B$4&lt;&gt;"OR+EX",--(DATOS!$G18898=CONFIG_METADATA!$B$4),IF(DATOS!$G18898="EX",1,IF(DATOS!$G18898="OR",--(COUNTIFS(nNIA,DATOS!$A18898,nCURSO,DATOS!$D18898,nESPEC,DATOS!$E18898,nASIG,DATOS!$I18898,nEVAL,"EX")=0),0))))</f>
      </c>
      <c r="H18898">
        <f>IF(DATOS!$G18898&lt;&gt;"EX",0,--(COUNTIFS(nNIA,DATOS!$A18898,nCURSO,DATOS!$D18898,nESPEC,DATOS!$E18898,nASIG,DATOS!$I18898,nEVAL,"OR")=0))</f>
      </c>
      <c r="I18898">
        <f>IF(DATOS!$I18898="","",IFERROR(VLOOKUP(DATOS!$I18898,CONFIG_ASIGNATURAS!$B$2:$J$91,9,FALSE()),""))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IF(DATOS!$A18899="",0,IF(CONFIG_METADATA!$B$4&lt;&gt;"OR+EX",--(DATOS!$G18899=CONFIG_METADATA!$B$4),IF(DATOS!$G18899="EX",1,IF(DATOS!$G18899="OR",--(COUNTIFS(nNIA,DATOS!$A18899,nCURSO,DATOS!$D18899,nESPEC,DATOS!$E18899,nASIG,DATOS!$I18899,nEVAL,"EX")=0),0))))</f>
      </c>
      <c r="H18899">
        <f>IF(DATOS!$G18899&lt;&gt;"EX",0,--(COUNTIFS(nNIA,DATOS!$A18899,nCURSO,DATOS!$D18899,nESPEC,DATOS!$E18899,nASIG,DATOS!$I18899,nEVAL,"OR")=0))</f>
      </c>
      <c r="I18899">
        <f>IF(DATOS!$I18899="","",IFERROR(VLOOKUP(DATOS!$I18899,CONFIG_ASIGNATURAS!$B$2:$J$91,9,FALSE()),""))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IF(DATOS!$A18900="",0,IF(CONFIG_METADATA!$B$4&lt;&gt;"OR+EX",--(DATOS!$G18900=CONFIG_METADATA!$B$4),IF(DATOS!$G18900="EX",1,IF(DATOS!$G18900="OR",--(COUNTIFS(nNIA,DATOS!$A18900,nCURSO,DATOS!$D18900,nESPEC,DATOS!$E18900,nASIG,DATOS!$I18900,nEVAL,"EX")=0),0))))</f>
      </c>
      <c r="H18900">
        <f>IF(DATOS!$G18900&lt;&gt;"EX",0,--(COUNTIFS(nNIA,DATOS!$A18900,nCURSO,DATOS!$D18900,nESPEC,DATOS!$E18900,nASIG,DATOS!$I18900,nEVAL,"OR")=0))</f>
      </c>
      <c r="I18900">
        <f>IF(DATOS!$I18900="","",IFERROR(VLOOKUP(DATOS!$I18900,CONFIG_ASIGNATURAS!$B$2:$J$91,9,FALSE()),""))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IF(DATOS!$A18901="",0,IF(CONFIG_METADATA!$B$4&lt;&gt;"OR+EX",--(DATOS!$G18901=CONFIG_METADATA!$B$4),IF(DATOS!$G18901="EX",1,IF(DATOS!$G18901="OR",--(COUNTIFS(nNIA,DATOS!$A18901,nCURSO,DATOS!$D18901,nESPEC,DATOS!$E18901,nASIG,DATOS!$I18901,nEVAL,"EX")=0),0))))</f>
      </c>
      <c r="H18901">
        <f>IF(DATOS!$G18901&lt;&gt;"EX",0,--(COUNTIFS(nNIA,DATOS!$A18901,nCURSO,DATOS!$D18901,nESPEC,DATOS!$E18901,nASIG,DATOS!$I18901,nEVAL,"OR")=0))</f>
      </c>
      <c r="I18901">
        <f>IF(DATOS!$I18901="","",IFERROR(VLOOKUP(DATOS!$I18901,CONFIG_ASIGNATURAS!$B$2:$J$91,9,FALSE()),""))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IF(DATOS!$A18902="",0,IF(CONFIG_METADATA!$B$4&lt;&gt;"OR+EX",--(DATOS!$G18902=CONFIG_METADATA!$B$4),IF(DATOS!$G18902="EX",1,IF(DATOS!$G18902="OR",--(COUNTIFS(nNIA,DATOS!$A18902,nCURSO,DATOS!$D18902,nESPEC,DATOS!$E18902,nASIG,DATOS!$I18902,nEVAL,"EX")=0),0))))</f>
      </c>
      <c r="H18902">
        <f>IF(DATOS!$G18902&lt;&gt;"EX",0,--(COUNTIFS(nNIA,DATOS!$A18902,nCURSO,DATOS!$D18902,nESPEC,DATOS!$E18902,nASIG,DATOS!$I18902,nEVAL,"OR")=0))</f>
      </c>
      <c r="I18902">
        <f>IF(DATOS!$I18902="","",IFERROR(VLOOKUP(DATOS!$I18902,CONFIG_ASIGNATURAS!$B$2:$J$91,9,FALSE()),""))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IF(DATOS!$A18903="",0,IF(CONFIG_METADATA!$B$4&lt;&gt;"OR+EX",--(DATOS!$G18903=CONFIG_METADATA!$B$4),IF(DATOS!$G18903="EX",1,IF(DATOS!$G18903="OR",--(COUNTIFS(nNIA,DATOS!$A18903,nCURSO,DATOS!$D18903,nESPEC,DATOS!$E18903,nASIG,DATOS!$I18903,nEVAL,"EX")=0),0))))</f>
      </c>
      <c r="H18903">
        <f>IF(DATOS!$G18903&lt;&gt;"EX",0,--(COUNTIFS(nNIA,DATOS!$A18903,nCURSO,DATOS!$D18903,nESPEC,DATOS!$E18903,nASIG,DATOS!$I18903,nEVAL,"OR")=0))</f>
      </c>
      <c r="I18903">
        <f>IF(DATOS!$I18903="","",IFERROR(VLOOKUP(DATOS!$I18903,CONFIG_ASIGNATURAS!$B$2:$J$91,9,FALSE()),""))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IF(DATOS!$A18904="",0,IF(CONFIG_METADATA!$B$4&lt;&gt;"OR+EX",--(DATOS!$G18904=CONFIG_METADATA!$B$4),IF(DATOS!$G18904="EX",1,IF(DATOS!$G18904="OR",--(COUNTIFS(nNIA,DATOS!$A18904,nCURSO,DATOS!$D18904,nESPEC,DATOS!$E18904,nASIG,DATOS!$I18904,nEVAL,"EX")=0),0))))</f>
      </c>
      <c r="H18904">
        <f>IF(DATOS!$G18904&lt;&gt;"EX",0,--(COUNTIFS(nNIA,DATOS!$A18904,nCURSO,DATOS!$D18904,nESPEC,DATOS!$E18904,nASIG,DATOS!$I18904,nEVAL,"OR")=0))</f>
      </c>
      <c r="I18904">
        <f>IF(DATOS!$I18904="","",IFERROR(VLOOKUP(DATOS!$I18904,CONFIG_ASIGNATURAS!$B$2:$J$91,9,FALSE()),""))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IF(DATOS!$A18905="",0,IF(CONFIG_METADATA!$B$4&lt;&gt;"OR+EX",--(DATOS!$G18905=CONFIG_METADATA!$B$4),IF(DATOS!$G18905="EX",1,IF(DATOS!$G18905="OR",--(COUNTIFS(nNIA,DATOS!$A18905,nCURSO,DATOS!$D18905,nESPEC,DATOS!$E18905,nASIG,DATOS!$I18905,nEVAL,"EX")=0),0))))</f>
      </c>
      <c r="H18905">
        <f>IF(DATOS!$G18905&lt;&gt;"EX",0,--(COUNTIFS(nNIA,DATOS!$A18905,nCURSO,DATOS!$D18905,nESPEC,DATOS!$E18905,nASIG,DATOS!$I18905,nEVAL,"OR")=0))</f>
      </c>
      <c r="I18905">
        <f>IF(DATOS!$I18905="","",IFERROR(VLOOKUP(DATOS!$I18905,CONFIG_ASIGNATURAS!$B$2:$J$91,9,FALSE()),""))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IF(DATOS!$A18906="",0,IF(CONFIG_METADATA!$B$4&lt;&gt;"OR+EX",--(DATOS!$G18906=CONFIG_METADATA!$B$4),IF(DATOS!$G18906="EX",1,IF(DATOS!$G18906="OR",--(COUNTIFS(nNIA,DATOS!$A18906,nCURSO,DATOS!$D18906,nESPEC,DATOS!$E18906,nASIG,DATOS!$I18906,nEVAL,"EX")=0),0))))</f>
      </c>
      <c r="H18906">
        <f>IF(DATOS!$G18906&lt;&gt;"EX",0,--(COUNTIFS(nNIA,DATOS!$A18906,nCURSO,DATOS!$D18906,nESPEC,DATOS!$E18906,nASIG,DATOS!$I18906,nEVAL,"OR")=0))</f>
      </c>
      <c r="I18906">
        <f>IF(DATOS!$I18906="","",IFERROR(VLOOKUP(DATOS!$I18906,CONFIG_ASIGNATURAS!$B$2:$J$91,9,FALSE()),""))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IF(DATOS!$A18907="",0,IF(CONFIG_METADATA!$B$4&lt;&gt;"OR+EX",--(DATOS!$G18907=CONFIG_METADATA!$B$4),IF(DATOS!$G18907="EX",1,IF(DATOS!$G18907="OR",--(COUNTIFS(nNIA,DATOS!$A18907,nCURSO,DATOS!$D18907,nESPEC,DATOS!$E18907,nASIG,DATOS!$I18907,nEVAL,"EX")=0),0))))</f>
      </c>
      <c r="H18907">
        <f>IF(DATOS!$G18907&lt;&gt;"EX",0,--(COUNTIFS(nNIA,DATOS!$A18907,nCURSO,DATOS!$D18907,nESPEC,DATOS!$E18907,nASIG,DATOS!$I18907,nEVAL,"OR")=0))</f>
      </c>
      <c r="I18907">
        <f>IF(DATOS!$I18907="","",IFERROR(VLOOKUP(DATOS!$I18907,CONFIG_ASIGNATURAS!$B$2:$J$91,9,FALSE()),""))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IF(DATOS!$A18908="",0,IF(CONFIG_METADATA!$B$4&lt;&gt;"OR+EX",--(DATOS!$G18908=CONFIG_METADATA!$B$4),IF(DATOS!$G18908="EX",1,IF(DATOS!$G18908="OR",--(COUNTIFS(nNIA,DATOS!$A18908,nCURSO,DATOS!$D18908,nESPEC,DATOS!$E18908,nASIG,DATOS!$I18908,nEVAL,"EX")=0),0))))</f>
      </c>
      <c r="H18908">
        <f>IF(DATOS!$G18908&lt;&gt;"EX",0,--(COUNTIFS(nNIA,DATOS!$A18908,nCURSO,DATOS!$D18908,nESPEC,DATOS!$E18908,nASIG,DATOS!$I18908,nEVAL,"OR")=0))</f>
      </c>
      <c r="I18908">
        <f>IF(DATOS!$I18908="","",IFERROR(VLOOKUP(DATOS!$I18908,CONFIG_ASIGNATURAS!$B$2:$J$91,9,FALSE()),""))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IF(DATOS!$A18909="",0,IF(CONFIG_METADATA!$B$4&lt;&gt;"OR+EX",--(DATOS!$G18909=CONFIG_METADATA!$B$4),IF(DATOS!$G18909="EX",1,IF(DATOS!$G18909="OR",--(COUNTIFS(nNIA,DATOS!$A18909,nCURSO,DATOS!$D18909,nESPEC,DATOS!$E18909,nASIG,DATOS!$I18909,nEVAL,"EX")=0),0))))</f>
      </c>
      <c r="H18909">
        <f>IF(DATOS!$G18909&lt;&gt;"EX",0,--(COUNTIFS(nNIA,DATOS!$A18909,nCURSO,DATOS!$D18909,nESPEC,DATOS!$E18909,nASIG,DATOS!$I18909,nEVAL,"OR")=0))</f>
      </c>
      <c r="I18909">
        <f>IF(DATOS!$I18909="","",IFERROR(VLOOKUP(DATOS!$I18909,CONFIG_ASIGNATURAS!$B$2:$J$91,9,FALSE()),""))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IF(DATOS!$A18910="",0,IF(CONFIG_METADATA!$B$4&lt;&gt;"OR+EX",--(DATOS!$G18910=CONFIG_METADATA!$B$4),IF(DATOS!$G18910="EX",1,IF(DATOS!$G18910="OR",--(COUNTIFS(nNIA,DATOS!$A18910,nCURSO,DATOS!$D18910,nESPEC,DATOS!$E18910,nASIG,DATOS!$I18910,nEVAL,"EX")=0),0))))</f>
      </c>
      <c r="H18910">
        <f>IF(DATOS!$G18910&lt;&gt;"EX",0,--(COUNTIFS(nNIA,DATOS!$A18910,nCURSO,DATOS!$D18910,nESPEC,DATOS!$E18910,nASIG,DATOS!$I18910,nEVAL,"OR")=0))</f>
      </c>
      <c r="I18910">
        <f>IF(DATOS!$I18910="","",IFERROR(VLOOKUP(DATOS!$I18910,CONFIG_ASIGNATURAS!$B$2:$J$91,9,FALSE()),""))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IF(DATOS!$A18911="",0,IF(CONFIG_METADATA!$B$4&lt;&gt;"OR+EX",--(DATOS!$G18911=CONFIG_METADATA!$B$4),IF(DATOS!$G18911="EX",1,IF(DATOS!$G18911="OR",--(COUNTIFS(nNIA,DATOS!$A18911,nCURSO,DATOS!$D18911,nESPEC,DATOS!$E18911,nASIG,DATOS!$I18911,nEVAL,"EX")=0),0))))</f>
      </c>
      <c r="H18911">
        <f>IF(DATOS!$G18911&lt;&gt;"EX",0,--(COUNTIFS(nNIA,DATOS!$A18911,nCURSO,DATOS!$D18911,nESPEC,DATOS!$E18911,nASIG,DATOS!$I18911,nEVAL,"OR")=0))</f>
      </c>
      <c r="I18911">
        <f>IF(DATOS!$I18911="","",IFERROR(VLOOKUP(DATOS!$I18911,CONFIG_ASIGNATURAS!$B$2:$J$91,9,FALSE()),""))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IF(DATOS!$A18912="",0,IF(CONFIG_METADATA!$B$4&lt;&gt;"OR+EX",--(DATOS!$G18912=CONFIG_METADATA!$B$4),IF(DATOS!$G18912="EX",1,IF(DATOS!$G18912="OR",--(COUNTIFS(nNIA,DATOS!$A18912,nCURSO,DATOS!$D18912,nESPEC,DATOS!$E18912,nASIG,DATOS!$I18912,nEVAL,"EX")=0),0))))</f>
      </c>
      <c r="H18912">
        <f>IF(DATOS!$G18912&lt;&gt;"EX",0,--(COUNTIFS(nNIA,DATOS!$A18912,nCURSO,DATOS!$D18912,nESPEC,DATOS!$E18912,nASIG,DATOS!$I18912,nEVAL,"OR")=0))</f>
      </c>
      <c r="I18912">
        <f>IF(DATOS!$I18912="","",IFERROR(VLOOKUP(DATOS!$I18912,CONFIG_ASIGNATURAS!$B$2:$J$91,9,FALSE()),""))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IF(DATOS!$A18913="",0,IF(CONFIG_METADATA!$B$4&lt;&gt;"OR+EX",--(DATOS!$G18913=CONFIG_METADATA!$B$4),IF(DATOS!$G18913="EX",1,IF(DATOS!$G18913="OR",--(COUNTIFS(nNIA,DATOS!$A18913,nCURSO,DATOS!$D18913,nESPEC,DATOS!$E18913,nASIG,DATOS!$I18913,nEVAL,"EX")=0),0))))</f>
      </c>
      <c r="H18913">
        <f>IF(DATOS!$G18913&lt;&gt;"EX",0,--(COUNTIFS(nNIA,DATOS!$A18913,nCURSO,DATOS!$D18913,nESPEC,DATOS!$E18913,nASIG,DATOS!$I18913,nEVAL,"OR")=0))</f>
      </c>
      <c r="I18913">
        <f>IF(DATOS!$I18913="","",IFERROR(VLOOKUP(DATOS!$I18913,CONFIG_ASIGNATURAS!$B$2:$J$91,9,FALSE()),""))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IF(DATOS!$A18914="",0,IF(CONFIG_METADATA!$B$4&lt;&gt;"OR+EX",--(DATOS!$G18914=CONFIG_METADATA!$B$4),IF(DATOS!$G18914="EX",1,IF(DATOS!$G18914="OR",--(COUNTIFS(nNIA,DATOS!$A18914,nCURSO,DATOS!$D18914,nESPEC,DATOS!$E18914,nASIG,DATOS!$I18914,nEVAL,"EX")=0),0))))</f>
      </c>
      <c r="H18914">
        <f>IF(DATOS!$G18914&lt;&gt;"EX",0,--(COUNTIFS(nNIA,DATOS!$A18914,nCURSO,DATOS!$D18914,nESPEC,DATOS!$E18914,nASIG,DATOS!$I18914,nEVAL,"OR")=0))</f>
      </c>
      <c r="I18914">
        <f>IF(DATOS!$I18914="","",IFERROR(VLOOKUP(DATOS!$I18914,CONFIG_ASIGNATURAS!$B$2:$J$91,9,FALSE()),""))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IF(DATOS!$A18915="",0,IF(CONFIG_METADATA!$B$4&lt;&gt;"OR+EX",--(DATOS!$G18915=CONFIG_METADATA!$B$4),IF(DATOS!$G18915="EX",1,IF(DATOS!$G18915="OR",--(COUNTIFS(nNIA,DATOS!$A18915,nCURSO,DATOS!$D18915,nESPEC,DATOS!$E18915,nASIG,DATOS!$I18915,nEVAL,"EX")=0),0))))</f>
      </c>
      <c r="H18915">
        <f>IF(DATOS!$G18915&lt;&gt;"EX",0,--(COUNTIFS(nNIA,DATOS!$A18915,nCURSO,DATOS!$D18915,nESPEC,DATOS!$E18915,nASIG,DATOS!$I18915,nEVAL,"OR")=0))</f>
      </c>
      <c r="I18915">
        <f>IF(DATOS!$I18915="","",IFERROR(VLOOKUP(DATOS!$I18915,CONFIG_ASIGNATURAS!$B$2:$J$91,9,FALSE()),""))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IF(DATOS!$A18916="",0,IF(CONFIG_METADATA!$B$4&lt;&gt;"OR+EX",--(DATOS!$G18916=CONFIG_METADATA!$B$4),IF(DATOS!$G18916="EX",1,IF(DATOS!$G18916="OR",--(COUNTIFS(nNIA,DATOS!$A18916,nCURSO,DATOS!$D18916,nESPEC,DATOS!$E18916,nASIG,DATOS!$I18916,nEVAL,"EX")=0),0))))</f>
      </c>
      <c r="H18916">
        <f>IF(DATOS!$G18916&lt;&gt;"EX",0,--(COUNTIFS(nNIA,DATOS!$A18916,nCURSO,DATOS!$D18916,nESPEC,DATOS!$E18916,nASIG,DATOS!$I18916,nEVAL,"OR")=0))</f>
      </c>
      <c r="I18916">
        <f>IF(DATOS!$I18916="","",IFERROR(VLOOKUP(DATOS!$I18916,CONFIG_ASIGNATURAS!$B$2:$J$91,9,FALSE()),""))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IF(DATOS!$A18917="",0,IF(CONFIG_METADATA!$B$4&lt;&gt;"OR+EX",--(DATOS!$G18917=CONFIG_METADATA!$B$4),IF(DATOS!$G18917="EX",1,IF(DATOS!$G18917="OR",--(COUNTIFS(nNIA,DATOS!$A18917,nCURSO,DATOS!$D18917,nESPEC,DATOS!$E18917,nASIG,DATOS!$I18917,nEVAL,"EX")=0),0))))</f>
      </c>
      <c r="H18917">
        <f>IF(DATOS!$G18917&lt;&gt;"EX",0,--(COUNTIFS(nNIA,DATOS!$A18917,nCURSO,DATOS!$D18917,nESPEC,DATOS!$E18917,nASIG,DATOS!$I18917,nEVAL,"OR")=0))</f>
      </c>
      <c r="I18917">
        <f>IF(DATOS!$I18917="","",IFERROR(VLOOKUP(DATOS!$I18917,CONFIG_ASIGNATURAS!$B$2:$J$91,9,FALSE()),""))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IF(DATOS!$A18918="",0,IF(CONFIG_METADATA!$B$4&lt;&gt;"OR+EX",--(DATOS!$G18918=CONFIG_METADATA!$B$4),IF(DATOS!$G18918="EX",1,IF(DATOS!$G18918="OR",--(COUNTIFS(nNIA,DATOS!$A18918,nCURSO,DATOS!$D18918,nESPEC,DATOS!$E18918,nASIG,DATOS!$I18918,nEVAL,"EX")=0),0))))</f>
      </c>
      <c r="H18918">
        <f>IF(DATOS!$G18918&lt;&gt;"EX",0,--(COUNTIFS(nNIA,DATOS!$A18918,nCURSO,DATOS!$D18918,nESPEC,DATOS!$E18918,nASIG,DATOS!$I18918,nEVAL,"OR")=0))</f>
      </c>
      <c r="I18918">
        <f>IF(DATOS!$I18918="","",IFERROR(VLOOKUP(DATOS!$I18918,CONFIG_ASIGNATURAS!$B$2:$J$91,9,FALSE()),""))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IF(DATOS!$A18919="",0,IF(CONFIG_METADATA!$B$4&lt;&gt;"OR+EX",--(DATOS!$G18919=CONFIG_METADATA!$B$4),IF(DATOS!$G18919="EX",1,IF(DATOS!$G18919="OR",--(COUNTIFS(nNIA,DATOS!$A18919,nCURSO,DATOS!$D18919,nESPEC,DATOS!$E18919,nASIG,DATOS!$I18919,nEVAL,"EX")=0),0))))</f>
      </c>
      <c r="H18919">
        <f>IF(DATOS!$G18919&lt;&gt;"EX",0,--(COUNTIFS(nNIA,DATOS!$A18919,nCURSO,DATOS!$D18919,nESPEC,DATOS!$E18919,nASIG,DATOS!$I18919,nEVAL,"OR")=0))</f>
      </c>
      <c r="I18919">
        <f>IF(DATOS!$I18919="","",IFERROR(VLOOKUP(DATOS!$I18919,CONFIG_ASIGNATURAS!$B$2:$J$91,9,FALSE()),""))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IF(DATOS!$A18920="",0,IF(CONFIG_METADATA!$B$4&lt;&gt;"OR+EX",--(DATOS!$G18920=CONFIG_METADATA!$B$4),IF(DATOS!$G18920="EX",1,IF(DATOS!$G18920="OR",--(COUNTIFS(nNIA,DATOS!$A18920,nCURSO,DATOS!$D18920,nESPEC,DATOS!$E18920,nASIG,DATOS!$I18920,nEVAL,"EX")=0),0))))</f>
      </c>
      <c r="H18920">
        <f>IF(DATOS!$G18920&lt;&gt;"EX",0,--(COUNTIFS(nNIA,DATOS!$A18920,nCURSO,DATOS!$D18920,nESPEC,DATOS!$E18920,nASIG,DATOS!$I18920,nEVAL,"OR")=0))</f>
      </c>
      <c r="I18920">
        <f>IF(DATOS!$I18920="","",IFERROR(VLOOKUP(DATOS!$I18920,CONFIG_ASIGNATURAS!$B$2:$J$91,9,FALSE()),""))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IF(DATOS!$A18921="",0,IF(CONFIG_METADATA!$B$4&lt;&gt;"OR+EX",--(DATOS!$G18921=CONFIG_METADATA!$B$4),IF(DATOS!$G18921="EX",1,IF(DATOS!$G18921="OR",--(COUNTIFS(nNIA,DATOS!$A18921,nCURSO,DATOS!$D18921,nESPEC,DATOS!$E18921,nASIG,DATOS!$I18921,nEVAL,"EX")=0),0))))</f>
      </c>
      <c r="H18921">
        <f>IF(DATOS!$G18921&lt;&gt;"EX",0,--(COUNTIFS(nNIA,DATOS!$A18921,nCURSO,DATOS!$D18921,nESPEC,DATOS!$E18921,nASIG,DATOS!$I18921,nEVAL,"OR")=0))</f>
      </c>
      <c r="I18921">
        <f>IF(DATOS!$I18921="","",IFERROR(VLOOKUP(DATOS!$I18921,CONFIG_ASIGNATURAS!$B$2:$J$91,9,FALSE()),""))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IF(DATOS!$A18922="",0,IF(CONFIG_METADATA!$B$4&lt;&gt;"OR+EX",--(DATOS!$G18922=CONFIG_METADATA!$B$4),IF(DATOS!$G18922="EX",1,IF(DATOS!$G18922="OR",--(COUNTIFS(nNIA,DATOS!$A18922,nCURSO,DATOS!$D18922,nESPEC,DATOS!$E18922,nASIG,DATOS!$I18922,nEVAL,"EX")=0),0))))</f>
      </c>
      <c r="H18922">
        <f>IF(DATOS!$G18922&lt;&gt;"EX",0,--(COUNTIFS(nNIA,DATOS!$A18922,nCURSO,DATOS!$D18922,nESPEC,DATOS!$E18922,nASIG,DATOS!$I18922,nEVAL,"OR")=0))</f>
      </c>
      <c r="I18922">
        <f>IF(DATOS!$I18922="","",IFERROR(VLOOKUP(DATOS!$I18922,CONFIG_ASIGNATURAS!$B$2:$J$91,9,FALSE()),""))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IF(DATOS!$A18923="",0,IF(CONFIG_METADATA!$B$4&lt;&gt;"OR+EX",--(DATOS!$G18923=CONFIG_METADATA!$B$4),IF(DATOS!$G18923="EX",1,IF(DATOS!$G18923="OR",--(COUNTIFS(nNIA,DATOS!$A18923,nCURSO,DATOS!$D18923,nESPEC,DATOS!$E18923,nASIG,DATOS!$I18923,nEVAL,"EX")=0),0))))</f>
      </c>
      <c r="H18923">
        <f>IF(DATOS!$G18923&lt;&gt;"EX",0,--(COUNTIFS(nNIA,DATOS!$A18923,nCURSO,DATOS!$D18923,nESPEC,DATOS!$E18923,nASIG,DATOS!$I18923,nEVAL,"OR")=0))</f>
      </c>
      <c r="I18923">
        <f>IF(DATOS!$I18923="","",IFERROR(VLOOKUP(DATOS!$I18923,CONFIG_ASIGNATURAS!$B$2:$J$91,9,FALSE()),""))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IF(DATOS!$A18924="",0,IF(CONFIG_METADATA!$B$4&lt;&gt;"OR+EX",--(DATOS!$G18924=CONFIG_METADATA!$B$4),IF(DATOS!$G18924="EX",1,IF(DATOS!$G18924="OR",--(COUNTIFS(nNIA,DATOS!$A18924,nCURSO,DATOS!$D18924,nESPEC,DATOS!$E18924,nASIG,DATOS!$I18924,nEVAL,"EX")=0),0))))</f>
      </c>
      <c r="H18924">
        <f>IF(DATOS!$G18924&lt;&gt;"EX",0,--(COUNTIFS(nNIA,DATOS!$A18924,nCURSO,DATOS!$D18924,nESPEC,DATOS!$E18924,nASIG,DATOS!$I18924,nEVAL,"OR")=0))</f>
      </c>
      <c r="I18924">
        <f>IF(DATOS!$I18924="","",IFERROR(VLOOKUP(DATOS!$I18924,CONFIG_ASIGNATURAS!$B$2:$J$91,9,FALSE()),""))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IF(DATOS!$A18925="",0,IF(CONFIG_METADATA!$B$4&lt;&gt;"OR+EX",--(DATOS!$G18925=CONFIG_METADATA!$B$4),IF(DATOS!$G18925="EX",1,IF(DATOS!$G18925="OR",--(COUNTIFS(nNIA,DATOS!$A18925,nCURSO,DATOS!$D18925,nESPEC,DATOS!$E18925,nASIG,DATOS!$I18925,nEVAL,"EX")=0),0))))</f>
      </c>
      <c r="H18925">
        <f>IF(DATOS!$G18925&lt;&gt;"EX",0,--(COUNTIFS(nNIA,DATOS!$A18925,nCURSO,DATOS!$D18925,nESPEC,DATOS!$E18925,nASIG,DATOS!$I18925,nEVAL,"OR")=0))</f>
      </c>
      <c r="I18925">
        <f>IF(DATOS!$I18925="","",IFERROR(VLOOKUP(DATOS!$I18925,CONFIG_ASIGNATURAS!$B$2:$J$91,9,FALSE()),""))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IF(DATOS!$A18926="",0,IF(CONFIG_METADATA!$B$4&lt;&gt;"OR+EX",--(DATOS!$G18926=CONFIG_METADATA!$B$4),IF(DATOS!$G18926="EX",1,IF(DATOS!$G18926="OR",--(COUNTIFS(nNIA,DATOS!$A18926,nCURSO,DATOS!$D18926,nESPEC,DATOS!$E18926,nASIG,DATOS!$I18926,nEVAL,"EX")=0),0))))</f>
      </c>
      <c r="H18926">
        <f>IF(DATOS!$G18926&lt;&gt;"EX",0,--(COUNTIFS(nNIA,DATOS!$A18926,nCURSO,DATOS!$D18926,nESPEC,DATOS!$E18926,nASIG,DATOS!$I18926,nEVAL,"OR")=0))</f>
      </c>
      <c r="I18926">
        <f>IF(DATOS!$I18926="","",IFERROR(VLOOKUP(DATOS!$I18926,CONFIG_ASIGNATURAS!$B$2:$J$91,9,FALSE()),""))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IF(DATOS!$A18927="",0,IF(CONFIG_METADATA!$B$4&lt;&gt;"OR+EX",--(DATOS!$G18927=CONFIG_METADATA!$B$4),IF(DATOS!$G18927="EX",1,IF(DATOS!$G18927="OR",--(COUNTIFS(nNIA,DATOS!$A18927,nCURSO,DATOS!$D18927,nESPEC,DATOS!$E18927,nASIG,DATOS!$I18927,nEVAL,"EX")=0),0))))</f>
      </c>
      <c r="H18927">
        <f>IF(DATOS!$G18927&lt;&gt;"EX",0,--(COUNTIFS(nNIA,DATOS!$A18927,nCURSO,DATOS!$D18927,nESPEC,DATOS!$E18927,nASIG,DATOS!$I18927,nEVAL,"OR")=0))</f>
      </c>
      <c r="I18927">
        <f>IF(DATOS!$I18927="","",IFERROR(VLOOKUP(DATOS!$I18927,CONFIG_ASIGNATURAS!$B$2:$J$91,9,FALSE()),""))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IF(DATOS!$A18928="",0,IF(CONFIG_METADATA!$B$4&lt;&gt;"OR+EX",--(DATOS!$G18928=CONFIG_METADATA!$B$4),IF(DATOS!$G18928="EX",1,IF(DATOS!$G18928="OR",--(COUNTIFS(nNIA,DATOS!$A18928,nCURSO,DATOS!$D18928,nESPEC,DATOS!$E18928,nASIG,DATOS!$I18928,nEVAL,"EX")=0),0))))</f>
      </c>
      <c r="H18928">
        <f>IF(DATOS!$G18928&lt;&gt;"EX",0,--(COUNTIFS(nNIA,DATOS!$A18928,nCURSO,DATOS!$D18928,nESPEC,DATOS!$E18928,nASIG,DATOS!$I18928,nEVAL,"OR")=0))</f>
      </c>
      <c r="I18928">
        <f>IF(DATOS!$I18928="","",IFERROR(VLOOKUP(DATOS!$I18928,CONFIG_ASIGNATURAS!$B$2:$J$91,9,FALSE()),""))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IF(DATOS!$A18929="",0,IF(CONFIG_METADATA!$B$4&lt;&gt;"OR+EX",--(DATOS!$G18929=CONFIG_METADATA!$B$4),IF(DATOS!$G18929="EX",1,IF(DATOS!$G18929="OR",--(COUNTIFS(nNIA,DATOS!$A18929,nCURSO,DATOS!$D18929,nESPEC,DATOS!$E18929,nASIG,DATOS!$I18929,nEVAL,"EX")=0),0))))</f>
      </c>
      <c r="H18929">
        <f>IF(DATOS!$G18929&lt;&gt;"EX",0,--(COUNTIFS(nNIA,DATOS!$A18929,nCURSO,DATOS!$D18929,nESPEC,DATOS!$E18929,nASIG,DATOS!$I18929,nEVAL,"OR")=0))</f>
      </c>
      <c r="I18929">
        <f>IF(DATOS!$I18929="","",IFERROR(VLOOKUP(DATOS!$I18929,CONFIG_ASIGNATURAS!$B$2:$J$91,9,FALSE()),""))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IF(DATOS!$A18930="",0,IF(CONFIG_METADATA!$B$4&lt;&gt;"OR+EX",--(DATOS!$G18930=CONFIG_METADATA!$B$4),IF(DATOS!$G18930="EX",1,IF(DATOS!$G18930="OR",--(COUNTIFS(nNIA,DATOS!$A18930,nCURSO,DATOS!$D18930,nESPEC,DATOS!$E18930,nASIG,DATOS!$I18930,nEVAL,"EX")=0),0))))</f>
      </c>
      <c r="H18930">
        <f>IF(DATOS!$G18930&lt;&gt;"EX",0,--(COUNTIFS(nNIA,DATOS!$A18930,nCURSO,DATOS!$D18930,nESPEC,DATOS!$E18930,nASIG,DATOS!$I18930,nEVAL,"OR")=0))</f>
      </c>
      <c r="I18930">
        <f>IF(DATOS!$I18930="","",IFERROR(VLOOKUP(DATOS!$I18930,CONFIG_ASIGNATURAS!$B$2:$J$91,9,FALSE()),""))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IF(DATOS!$A18931="",0,IF(CONFIG_METADATA!$B$4&lt;&gt;"OR+EX",--(DATOS!$G18931=CONFIG_METADATA!$B$4),IF(DATOS!$G18931="EX",1,IF(DATOS!$G18931="OR",--(COUNTIFS(nNIA,DATOS!$A18931,nCURSO,DATOS!$D18931,nESPEC,DATOS!$E18931,nASIG,DATOS!$I18931,nEVAL,"EX")=0),0))))</f>
      </c>
      <c r="H18931">
        <f>IF(DATOS!$G18931&lt;&gt;"EX",0,--(COUNTIFS(nNIA,DATOS!$A18931,nCURSO,DATOS!$D18931,nESPEC,DATOS!$E18931,nASIG,DATOS!$I18931,nEVAL,"OR")=0))</f>
      </c>
      <c r="I18931">
        <f>IF(DATOS!$I18931="","",IFERROR(VLOOKUP(DATOS!$I18931,CONFIG_ASIGNATURAS!$B$2:$J$91,9,FALSE()),""))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IF(DATOS!$A18932="",0,IF(CONFIG_METADATA!$B$4&lt;&gt;"OR+EX",--(DATOS!$G18932=CONFIG_METADATA!$B$4),IF(DATOS!$G18932="EX",1,IF(DATOS!$G18932="OR",--(COUNTIFS(nNIA,DATOS!$A18932,nCURSO,DATOS!$D18932,nESPEC,DATOS!$E18932,nASIG,DATOS!$I18932,nEVAL,"EX")=0),0))))</f>
      </c>
      <c r="H18932">
        <f>IF(DATOS!$G18932&lt;&gt;"EX",0,--(COUNTIFS(nNIA,DATOS!$A18932,nCURSO,DATOS!$D18932,nESPEC,DATOS!$E18932,nASIG,DATOS!$I18932,nEVAL,"OR")=0))</f>
      </c>
      <c r="I18932">
        <f>IF(DATOS!$I18932="","",IFERROR(VLOOKUP(DATOS!$I18932,CONFIG_ASIGNATURAS!$B$2:$J$91,9,FALSE()),""))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IF(DATOS!$A18933="",0,IF(CONFIG_METADATA!$B$4&lt;&gt;"OR+EX",--(DATOS!$G18933=CONFIG_METADATA!$B$4),IF(DATOS!$G18933="EX",1,IF(DATOS!$G18933="OR",--(COUNTIFS(nNIA,DATOS!$A18933,nCURSO,DATOS!$D18933,nESPEC,DATOS!$E18933,nASIG,DATOS!$I18933,nEVAL,"EX")=0),0))))</f>
      </c>
      <c r="H18933">
        <f>IF(DATOS!$G18933&lt;&gt;"EX",0,--(COUNTIFS(nNIA,DATOS!$A18933,nCURSO,DATOS!$D18933,nESPEC,DATOS!$E18933,nASIG,DATOS!$I18933,nEVAL,"OR")=0))</f>
      </c>
      <c r="I18933">
        <f>IF(DATOS!$I18933="","",IFERROR(VLOOKUP(DATOS!$I18933,CONFIG_ASIGNATURAS!$B$2:$J$91,9,FALSE()),""))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IF(DATOS!$A18934="",0,IF(CONFIG_METADATA!$B$4&lt;&gt;"OR+EX",--(DATOS!$G18934=CONFIG_METADATA!$B$4),IF(DATOS!$G18934="EX",1,IF(DATOS!$G18934="OR",--(COUNTIFS(nNIA,DATOS!$A18934,nCURSO,DATOS!$D18934,nESPEC,DATOS!$E18934,nASIG,DATOS!$I18934,nEVAL,"EX")=0),0))))</f>
      </c>
      <c r="H18934">
        <f>IF(DATOS!$G18934&lt;&gt;"EX",0,--(COUNTIFS(nNIA,DATOS!$A18934,nCURSO,DATOS!$D18934,nESPEC,DATOS!$E18934,nASIG,DATOS!$I18934,nEVAL,"OR")=0))</f>
      </c>
      <c r="I18934">
        <f>IF(DATOS!$I18934="","",IFERROR(VLOOKUP(DATOS!$I18934,CONFIG_ASIGNATURAS!$B$2:$J$91,9,FALSE()),""))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IF(DATOS!$A18935="",0,IF(CONFIG_METADATA!$B$4&lt;&gt;"OR+EX",--(DATOS!$G18935=CONFIG_METADATA!$B$4),IF(DATOS!$G18935="EX",1,IF(DATOS!$G18935="OR",--(COUNTIFS(nNIA,DATOS!$A18935,nCURSO,DATOS!$D18935,nESPEC,DATOS!$E18935,nASIG,DATOS!$I18935,nEVAL,"EX")=0),0))))</f>
      </c>
      <c r="H18935">
        <f>IF(DATOS!$G18935&lt;&gt;"EX",0,--(COUNTIFS(nNIA,DATOS!$A18935,nCURSO,DATOS!$D18935,nESPEC,DATOS!$E18935,nASIG,DATOS!$I18935,nEVAL,"OR")=0))</f>
      </c>
      <c r="I18935">
        <f>IF(DATOS!$I18935="","",IFERROR(VLOOKUP(DATOS!$I18935,CONFIG_ASIGNATURAS!$B$2:$J$91,9,FALSE()),""))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IF(DATOS!$A18936="",0,IF(CONFIG_METADATA!$B$4&lt;&gt;"OR+EX",--(DATOS!$G18936=CONFIG_METADATA!$B$4),IF(DATOS!$G18936="EX",1,IF(DATOS!$G18936="OR",--(COUNTIFS(nNIA,DATOS!$A18936,nCURSO,DATOS!$D18936,nESPEC,DATOS!$E18936,nASIG,DATOS!$I18936,nEVAL,"EX")=0),0))))</f>
      </c>
      <c r="H18936">
        <f>IF(DATOS!$G18936&lt;&gt;"EX",0,--(COUNTIFS(nNIA,DATOS!$A18936,nCURSO,DATOS!$D18936,nESPEC,DATOS!$E18936,nASIG,DATOS!$I18936,nEVAL,"OR")=0))</f>
      </c>
      <c r="I18936">
        <f>IF(DATOS!$I18936="","",IFERROR(VLOOKUP(DATOS!$I18936,CONFIG_ASIGNATURAS!$B$2:$J$91,9,FALSE()),""))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IF(DATOS!$A18937="",0,IF(CONFIG_METADATA!$B$4&lt;&gt;"OR+EX",--(DATOS!$G18937=CONFIG_METADATA!$B$4),IF(DATOS!$G18937="EX",1,IF(DATOS!$G18937="OR",--(COUNTIFS(nNIA,DATOS!$A18937,nCURSO,DATOS!$D18937,nESPEC,DATOS!$E18937,nASIG,DATOS!$I18937,nEVAL,"EX")=0),0))))</f>
      </c>
      <c r="H18937">
        <f>IF(DATOS!$G18937&lt;&gt;"EX",0,--(COUNTIFS(nNIA,DATOS!$A18937,nCURSO,DATOS!$D18937,nESPEC,DATOS!$E18937,nASIG,DATOS!$I18937,nEVAL,"OR")=0))</f>
      </c>
      <c r="I18937">
        <f>IF(DATOS!$I18937="","",IFERROR(VLOOKUP(DATOS!$I18937,CONFIG_ASIGNATURAS!$B$2:$J$91,9,FALSE()),""))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IF(DATOS!$A18938="",0,IF(CONFIG_METADATA!$B$4&lt;&gt;"OR+EX",--(DATOS!$G18938=CONFIG_METADATA!$B$4),IF(DATOS!$G18938="EX",1,IF(DATOS!$G18938="OR",--(COUNTIFS(nNIA,DATOS!$A18938,nCURSO,DATOS!$D18938,nESPEC,DATOS!$E18938,nASIG,DATOS!$I18938,nEVAL,"EX")=0),0))))</f>
      </c>
      <c r="H18938">
        <f>IF(DATOS!$G18938&lt;&gt;"EX",0,--(COUNTIFS(nNIA,DATOS!$A18938,nCURSO,DATOS!$D18938,nESPEC,DATOS!$E18938,nASIG,DATOS!$I18938,nEVAL,"OR")=0))</f>
      </c>
      <c r="I18938">
        <f>IF(DATOS!$I18938="","",IFERROR(VLOOKUP(DATOS!$I18938,CONFIG_ASIGNATURAS!$B$2:$J$91,9,FALSE()),""))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IF(DATOS!$A18939="",0,IF(CONFIG_METADATA!$B$4&lt;&gt;"OR+EX",--(DATOS!$G18939=CONFIG_METADATA!$B$4),IF(DATOS!$G18939="EX",1,IF(DATOS!$G18939="OR",--(COUNTIFS(nNIA,DATOS!$A18939,nCURSO,DATOS!$D18939,nESPEC,DATOS!$E18939,nASIG,DATOS!$I18939,nEVAL,"EX")=0),0))))</f>
      </c>
      <c r="H18939">
        <f>IF(DATOS!$G18939&lt;&gt;"EX",0,--(COUNTIFS(nNIA,DATOS!$A18939,nCURSO,DATOS!$D18939,nESPEC,DATOS!$E18939,nASIG,DATOS!$I18939,nEVAL,"OR")=0))</f>
      </c>
      <c r="I18939">
        <f>IF(DATOS!$I18939="","",IFERROR(VLOOKUP(DATOS!$I18939,CONFIG_ASIGNATURAS!$B$2:$J$91,9,FALSE()),""))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IF(DATOS!$A18940="",0,IF(CONFIG_METADATA!$B$4&lt;&gt;"OR+EX",--(DATOS!$G18940=CONFIG_METADATA!$B$4),IF(DATOS!$G18940="EX",1,IF(DATOS!$G18940="OR",--(COUNTIFS(nNIA,DATOS!$A18940,nCURSO,DATOS!$D18940,nESPEC,DATOS!$E18940,nASIG,DATOS!$I18940,nEVAL,"EX")=0),0))))</f>
      </c>
      <c r="H18940">
        <f>IF(DATOS!$G18940&lt;&gt;"EX",0,--(COUNTIFS(nNIA,DATOS!$A18940,nCURSO,DATOS!$D18940,nESPEC,DATOS!$E18940,nASIG,DATOS!$I18940,nEVAL,"OR")=0))</f>
      </c>
      <c r="I18940">
        <f>IF(DATOS!$I18940="","",IFERROR(VLOOKUP(DATOS!$I18940,CONFIG_ASIGNATURAS!$B$2:$J$91,9,FALSE()),""))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IF(DATOS!$A18941="",0,IF(CONFIG_METADATA!$B$4&lt;&gt;"OR+EX",--(DATOS!$G18941=CONFIG_METADATA!$B$4),IF(DATOS!$G18941="EX",1,IF(DATOS!$G18941="OR",--(COUNTIFS(nNIA,DATOS!$A18941,nCURSO,DATOS!$D18941,nESPEC,DATOS!$E18941,nASIG,DATOS!$I18941,nEVAL,"EX")=0),0))))</f>
      </c>
      <c r="H18941">
        <f>IF(DATOS!$G18941&lt;&gt;"EX",0,--(COUNTIFS(nNIA,DATOS!$A18941,nCURSO,DATOS!$D18941,nESPEC,DATOS!$E18941,nASIG,DATOS!$I18941,nEVAL,"OR")=0))</f>
      </c>
      <c r="I18941">
        <f>IF(DATOS!$I18941="","",IFERROR(VLOOKUP(DATOS!$I18941,CONFIG_ASIGNATURAS!$B$2:$J$91,9,FALSE()),""))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IF(DATOS!$A18942="",0,IF(CONFIG_METADATA!$B$4&lt;&gt;"OR+EX",--(DATOS!$G18942=CONFIG_METADATA!$B$4),IF(DATOS!$G18942="EX",1,IF(DATOS!$G18942="OR",--(COUNTIFS(nNIA,DATOS!$A18942,nCURSO,DATOS!$D18942,nESPEC,DATOS!$E18942,nASIG,DATOS!$I18942,nEVAL,"EX")=0),0))))</f>
      </c>
      <c r="H18942">
        <f>IF(DATOS!$G18942&lt;&gt;"EX",0,--(COUNTIFS(nNIA,DATOS!$A18942,nCURSO,DATOS!$D18942,nESPEC,DATOS!$E18942,nASIG,DATOS!$I18942,nEVAL,"OR")=0))</f>
      </c>
      <c r="I18942">
        <f>IF(DATOS!$I18942="","",IFERROR(VLOOKUP(DATOS!$I18942,CONFIG_ASIGNATURAS!$B$2:$J$91,9,FALSE()),""))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IF(DATOS!$A18943="",0,IF(CONFIG_METADATA!$B$4&lt;&gt;"OR+EX",--(DATOS!$G18943=CONFIG_METADATA!$B$4),IF(DATOS!$G18943="EX",1,IF(DATOS!$G18943="OR",--(COUNTIFS(nNIA,DATOS!$A18943,nCURSO,DATOS!$D18943,nESPEC,DATOS!$E18943,nASIG,DATOS!$I18943,nEVAL,"EX")=0),0))))</f>
      </c>
      <c r="H18943">
        <f>IF(DATOS!$G18943&lt;&gt;"EX",0,--(COUNTIFS(nNIA,DATOS!$A18943,nCURSO,DATOS!$D18943,nESPEC,DATOS!$E18943,nASIG,DATOS!$I18943,nEVAL,"OR")=0))</f>
      </c>
      <c r="I18943">
        <f>IF(DATOS!$I18943="","",IFERROR(VLOOKUP(DATOS!$I18943,CONFIG_ASIGNATURAS!$B$2:$J$91,9,FALSE()),""))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IF(DATOS!$A18944="",0,IF(CONFIG_METADATA!$B$4&lt;&gt;"OR+EX",--(DATOS!$G18944=CONFIG_METADATA!$B$4),IF(DATOS!$G18944="EX",1,IF(DATOS!$G18944="OR",--(COUNTIFS(nNIA,DATOS!$A18944,nCURSO,DATOS!$D18944,nESPEC,DATOS!$E18944,nASIG,DATOS!$I18944,nEVAL,"EX")=0),0))))</f>
      </c>
      <c r="H18944">
        <f>IF(DATOS!$G18944&lt;&gt;"EX",0,--(COUNTIFS(nNIA,DATOS!$A18944,nCURSO,DATOS!$D18944,nESPEC,DATOS!$E18944,nASIG,DATOS!$I18944,nEVAL,"OR")=0))</f>
      </c>
      <c r="I18944">
        <f>IF(DATOS!$I18944="","",IFERROR(VLOOKUP(DATOS!$I18944,CONFIG_ASIGNATURAS!$B$2:$J$91,9,FALSE()),""))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IF(DATOS!$A18945="",0,IF(CONFIG_METADATA!$B$4&lt;&gt;"OR+EX",--(DATOS!$G18945=CONFIG_METADATA!$B$4),IF(DATOS!$G18945="EX",1,IF(DATOS!$G18945="OR",--(COUNTIFS(nNIA,DATOS!$A18945,nCURSO,DATOS!$D18945,nESPEC,DATOS!$E18945,nASIG,DATOS!$I18945,nEVAL,"EX")=0),0))))</f>
      </c>
      <c r="H18945">
        <f>IF(DATOS!$G18945&lt;&gt;"EX",0,--(COUNTIFS(nNIA,DATOS!$A18945,nCURSO,DATOS!$D18945,nESPEC,DATOS!$E18945,nASIG,DATOS!$I18945,nEVAL,"OR")=0))</f>
      </c>
      <c r="I18945">
        <f>IF(DATOS!$I18945="","",IFERROR(VLOOKUP(DATOS!$I18945,CONFIG_ASIGNATURAS!$B$2:$J$91,9,FALSE()),""))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IF(DATOS!$A18946="",0,IF(CONFIG_METADATA!$B$4&lt;&gt;"OR+EX",--(DATOS!$G18946=CONFIG_METADATA!$B$4),IF(DATOS!$G18946="EX",1,IF(DATOS!$G18946="OR",--(COUNTIFS(nNIA,DATOS!$A18946,nCURSO,DATOS!$D18946,nESPEC,DATOS!$E18946,nASIG,DATOS!$I18946,nEVAL,"EX")=0),0))))</f>
      </c>
      <c r="H18946">
        <f>IF(DATOS!$G18946&lt;&gt;"EX",0,--(COUNTIFS(nNIA,DATOS!$A18946,nCURSO,DATOS!$D18946,nESPEC,DATOS!$E18946,nASIG,DATOS!$I18946,nEVAL,"OR")=0))</f>
      </c>
      <c r="I18946">
        <f>IF(DATOS!$I18946="","",IFERROR(VLOOKUP(DATOS!$I18946,CONFIG_ASIGNATURAS!$B$2:$J$91,9,FALSE()),""))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IF(DATOS!$A18947="",0,IF(CONFIG_METADATA!$B$4&lt;&gt;"OR+EX",--(DATOS!$G18947=CONFIG_METADATA!$B$4),IF(DATOS!$G18947="EX",1,IF(DATOS!$G18947="OR",--(COUNTIFS(nNIA,DATOS!$A18947,nCURSO,DATOS!$D18947,nESPEC,DATOS!$E18947,nASIG,DATOS!$I18947,nEVAL,"EX")=0),0))))</f>
      </c>
      <c r="H18947">
        <f>IF(DATOS!$G18947&lt;&gt;"EX",0,--(COUNTIFS(nNIA,DATOS!$A18947,nCURSO,DATOS!$D18947,nESPEC,DATOS!$E18947,nASIG,DATOS!$I18947,nEVAL,"OR")=0))</f>
      </c>
      <c r="I18947">
        <f>IF(DATOS!$I18947="","",IFERROR(VLOOKUP(DATOS!$I18947,CONFIG_ASIGNATURAS!$B$2:$J$91,9,FALSE()),""))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IF(DATOS!$A18948="",0,IF(CONFIG_METADATA!$B$4&lt;&gt;"OR+EX",--(DATOS!$G18948=CONFIG_METADATA!$B$4),IF(DATOS!$G18948="EX",1,IF(DATOS!$G18948="OR",--(COUNTIFS(nNIA,DATOS!$A18948,nCURSO,DATOS!$D18948,nESPEC,DATOS!$E18948,nASIG,DATOS!$I18948,nEVAL,"EX")=0),0))))</f>
      </c>
      <c r="H18948">
        <f>IF(DATOS!$G18948&lt;&gt;"EX",0,--(COUNTIFS(nNIA,DATOS!$A18948,nCURSO,DATOS!$D18948,nESPEC,DATOS!$E18948,nASIG,DATOS!$I18948,nEVAL,"OR")=0))</f>
      </c>
      <c r="I18948">
        <f>IF(DATOS!$I18948="","",IFERROR(VLOOKUP(DATOS!$I18948,CONFIG_ASIGNATURAS!$B$2:$J$91,9,FALSE()),""))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IF(DATOS!$A18949="",0,IF(CONFIG_METADATA!$B$4&lt;&gt;"OR+EX",--(DATOS!$G18949=CONFIG_METADATA!$B$4),IF(DATOS!$G18949="EX",1,IF(DATOS!$G18949="OR",--(COUNTIFS(nNIA,DATOS!$A18949,nCURSO,DATOS!$D18949,nESPEC,DATOS!$E18949,nASIG,DATOS!$I18949,nEVAL,"EX")=0),0))))</f>
      </c>
      <c r="H18949">
        <f>IF(DATOS!$G18949&lt;&gt;"EX",0,--(COUNTIFS(nNIA,DATOS!$A18949,nCURSO,DATOS!$D18949,nESPEC,DATOS!$E18949,nASIG,DATOS!$I18949,nEVAL,"OR")=0))</f>
      </c>
      <c r="I18949">
        <f>IF(DATOS!$I18949="","",IFERROR(VLOOKUP(DATOS!$I18949,CONFIG_ASIGNATURAS!$B$2:$J$91,9,FALSE()),""))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IF(DATOS!$A18950="",0,IF(CONFIG_METADATA!$B$4&lt;&gt;"OR+EX",--(DATOS!$G18950=CONFIG_METADATA!$B$4),IF(DATOS!$G18950="EX",1,IF(DATOS!$G18950="OR",--(COUNTIFS(nNIA,DATOS!$A18950,nCURSO,DATOS!$D18950,nESPEC,DATOS!$E18950,nASIG,DATOS!$I18950,nEVAL,"EX")=0),0))))</f>
      </c>
      <c r="H18950">
        <f>IF(DATOS!$G18950&lt;&gt;"EX",0,--(COUNTIFS(nNIA,DATOS!$A18950,nCURSO,DATOS!$D18950,nESPEC,DATOS!$E18950,nASIG,DATOS!$I18950,nEVAL,"OR")=0))</f>
      </c>
      <c r="I18950">
        <f>IF(DATOS!$I18950="","",IFERROR(VLOOKUP(DATOS!$I18950,CONFIG_ASIGNATURAS!$B$2:$J$91,9,FALSE()),""))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IF(DATOS!$A18951="",0,IF(CONFIG_METADATA!$B$4&lt;&gt;"OR+EX",--(DATOS!$G18951=CONFIG_METADATA!$B$4),IF(DATOS!$G18951="EX",1,IF(DATOS!$G18951="OR",--(COUNTIFS(nNIA,DATOS!$A18951,nCURSO,DATOS!$D18951,nESPEC,DATOS!$E18951,nASIG,DATOS!$I18951,nEVAL,"EX")=0),0))))</f>
      </c>
      <c r="H18951">
        <f>IF(DATOS!$G18951&lt;&gt;"EX",0,--(COUNTIFS(nNIA,DATOS!$A18951,nCURSO,DATOS!$D18951,nESPEC,DATOS!$E18951,nASIG,DATOS!$I18951,nEVAL,"OR")=0))</f>
      </c>
      <c r="I18951">
        <f>IF(DATOS!$I18951="","",IFERROR(VLOOKUP(DATOS!$I18951,CONFIG_ASIGNATURAS!$B$2:$J$91,9,FALSE()),""))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IF(DATOS!$A18952="",0,IF(CONFIG_METADATA!$B$4&lt;&gt;"OR+EX",--(DATOS!$G18952=CONFIG_METADATA!$B$4),IF(DATOS!$G18952="EX",1,IF(DATOS!$G18952="OR",--(COUNTIFS(nNIA,DATOS!$A18952,nCURSO,DATOS!$D18952,nESPEC,DATOS!$E18952,nASIG,DATOS!$I18952,nEVAL,"EX")=0),0))))</f>
      </c>
      <c r="H18952">
        <f>IF(DATOS!$G18952&lt;&gt;"EX",0,--(COUNTIFS(nNIA,DATOS!$A18952,nCURSO,DATOS!$D18952,nESPEC,DATOS!$E18952,nASIG,DATOS!$I18952,nEVAL,"OR")=0))</f>
      </c>
      <c r="I18952">
        <f>IF(DATOS!$I18952="","",IFERROR(VLOOKUP(DATOS!$I18952,CONFIG_ASIGNATURAS!$B$2:$J$91,9,FALSE()),""))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IF(DATOS!$A18953="",0,IF(CONFIG_METADATA!$B$4&lt;&gt;"OR+EX",--(DATOS!$G18953=CONFIG_METADATA!$B$4),IF(DATOS!$G18953="EX",1,IF(DATOS!$G18953="OR",--(COUNTIFS(nNIA,DATOS!$A18953,nCURSO,DATOS!$D18953,nESPEC,DATOS!$E18953,nASIG,DATOS!$I18953,nEVAL,"EX")=0),0))))</f>
      </c>
      <c r="H18953">
        <f>IF(DATOS!$G18953&lt;&gt;"EX",0,--(COUNTIFS(nNIA,DATOS!$A18953,nCURSO,DATOS!$D18953,nESPEC,DATOS!$E18953,nASIG,DATOS!$I18953,nEVAL,"OR")=0))</f>
      </c>
      <c r="I18953">
        <f>IF(DATOS!$I18953="","",IFERROR(VLOOKUP(DATOS!$I18953,CONFIG_ASIGNATURAS!$B$2:$J$91,9,FALSE()),""))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IF(DATOS!$A18954="",0,IF(CONFIG_METADATA!$B$4&lt;&gt;"OR+EX",--(DATOS!$G18954=CONFIG_METADATA!$B$4),IF(DATOS!$G18954="EX",1,IF(DATOS!$G18954="OR",--(COUNTIFS(nNIA,DATOS!$A18954,nCURSO,DATOS!$D18954,nESPEC,DATOS!$E18954,nASIG,DATOS!$I18954,nEVAL,"EX")=0),0))))</f>
      </c>
      <c r="H18954">
        <f>IF(DATOS!$G18954&lt;&gt;"EX",0,--(COUNTIFS(nNIA,DATOS!$A18954,nCURSO,DATOS!$D18954,nESPEC,DATOS!$E18954,nASIG,DATOS!$I18954,nEVAL,"OR")=0))</f>
      </c>
      <c r="I18954">
        <f>IF(DATOS!$I18954="","",IFERROR(VLOOKUP(DATOS!$I18954,CONFIG_ASIGNATURAS!$B$2:$J$91,9,FALSE()),""))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IF(DATOS!$A18955="",0,IF(CONFIG_METADATA!$B$4&lt;&gt;"OR+EX",--(DATOS!$G18955=CONFIG_METADATA!$B$4),IF(DATOS!$G18955="EX",1,IF(DATOS!$G18955="OR",--(COUNTIFS(nNIA,DATOS!$A18955,nCURSO,DATOS!$D18955,nESPEC,DATOS!$E18955,nASIG,DATOS!$I18955,nEVAL,"EX")=0),0))))</f>
      </c>
      <c r="H18955">
        <f>IF(DATOS!$G18955&lt;&gt;"EX",0,--(COUNTIFS(nNIA,DATOS!$A18955,nCURSO,DATOS!$D18955,nESPEC,DATOS!$E18955,nASIG,DATOS!$I18955,nEVAL,"OR")=0))</f>
      </c>
      <c r="I18955">
        <f>IF(DATOS!$I18955="","",IFERROR(VLOOKUP(DATOS!$I18955,CONFIG_ASIGNATURAS!$B$2:$J$91,9,FALSE()),""))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IF(DATOS!$A18956="",0,IF(CONFIG_METADATA!$B$4&lt;&gt;"OR+EX",--(DATOS!$G18956=CONFIG_METADATA!$B$4),IF(DATOS!$G18956="EX",1,IF(DATOS!$G18956="OR",--(COUNTIFS(nNIA,DATOS!$A18956,nCURSO,DATOS!$D18956,nESPEC,DATOS!$E18956,nASIG,DATOS!$I18956,nEVAL,"EX")=0),0))))</f>
      </c>
      <c r="H18956">
        <f>IF(DATOS!$G18956&lt;&gt;"EX",0,--(COUNTIFS(nNIA,DATOS!$A18956,nCURSO,DATOS!$D18956,nESPEC,DATOS!$E18956,nASIG,DATOS!$I18956,nEVAL,"OR")=0))</f>
      </c>
      <c r="I18956">
        <f>IF(DATOS!$I18956="","",IFERROR(VLOOKUP(DATOS!$I18956,CONFIG_ASIGNATURAS!$B$2:$J$91,9,FALSE()),""))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IF(DATOS!$A18957="",0,IF(CONFIG_METADATA!$B$4&lt;&gt;"OR+EX",--(DATOS!$G18957=CONFIG_METADATA!$B$4),IF(DATOS!$G18957="EX",1,IF(DATOS!$G18957="OR",--(COUNTIFS(nNIA,DATOS!$A18957,nCURSO,DATOS!$D18957,nESPEC,DATOS!$E18957,nASIG,DATOS!$I18957,nEVAL,"EX")=0),0))))</f>
      </c>
      <c r="H18957">
        <f>IF(DATOS!$G18957&lt;&gt;"EX",0,--(COUNTIFS(nNIA,DATOS!$A18957,nCURSO,DATOS!$D18957,nESPEC,DATOS!$E18957,nASIG,DATOS!$I18957,nEVAL,"OR")=0))</f>
      </c>
      <c r="I18957">
        <f>IF(DATOS!$I18957="","",IFERROR(VLOOKUP(DATOS!$I18957,CONFIG_ASIGNATURAS!$B$2:$J$91,9,FALSE()),""))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IF(DATOS!$A18958="",0,IF(CONFIG_METADATA!$B$4&lt;&gt;"OR+EX",--(DATOS!$G18958=CONFIG_METADATA!$B$4),IF(DATOS!$G18958="EX",1,IF(DATOS!$G18958="OR",--(COUNTIFS(nNIA,DATOS!$A18958,nCURSO,DATOS!$D18958,nESPEC,DATOS!$E18958,nASIG,DATOS!$I18958,nEVAL,"EX")=0),0))))</f>
      </c>
      <c r="H18958">
        <f>IF(DATOS!$G18958&lt;&gt;"EX",0,--(COUNTIFS(nNIA,DATOS!$A18958,nCURSO,DATOS!$D18958,nESPEC,DATOS!$E18958,nASIG,DATOS!$I18958,nEVAL,"OR")=0))</f>
      </c>
      <c r="I18958">
        <f>IF(DATOS!$I18958="","",IFERROR(VLOOKUP(DATOS!$I18958,CONFIG_ASIGNATURAS!$B$2:$J$91,9,FALSE()),""))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IF(DATOS!$A18959="",0,IF(CONFIG_METADATA!$B$4&lt;&gt;"OR+EX",--(DATOS!$G18959=CONFIG_METADATA!$B$4),IF(DATOS!$G18959="EX",1,IF(DATOS!$G18959="OR",--(COUNTIFS(nNIA,DATOS!$A18959,nCURSO,DATOS!$D18959,nESPEC,DATOS!$E18959,nASIG,DATOS!$I18959,nEVAL,"EX")=0),0))))</f>
      </c>
      <c r="H18959">
        <f>IF(DATOS!$G18959&lt;&gt;"EX",0,--(COUNTIFS(nNIA,DATOS!$A18959,nCURSO,DATOS!$D18959,nESPEC,DATOS!$E18959,nASIG,DATOS!$I18959,nEVAL,"OR")=0))</f>
      </c>
      <c r="I18959">
        <f>IF(DATOS!$I18959="","",IFERROR(VLOOKUP(DATOS!$I18959,CONFIG_ASIGNATURAS!$B$2:$J$91,9,FALSE()),""))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IF(DATOS!$A18960="",0,IF(CONFIG_METADATA!$B$4&lt;&gt;"OR+EX",--(DATOS!$G18960=CONFIG_METADATA!$B$4),IF(DATOS!$G18960="EX",1,IF(DATOS!$G18960="OR",--(COUNTIFS(nNIA,DATOS!$A18960,nCURSO,DATOS!$D18960,nESPEC,DATOS!$E18960,nASIG,DATOS!$I18960,nEVAL,"EX")=0),0))))</f>
      </c>
      <c r="H18960">
        <f>IF(DATOS!$G18960&lt;&gt;"EX",0,--(COUNTIFS(nNIA,DATOS!$A18960,nCURSO,DATOS!$D18960,nESPEC,DATOS!$E18960,nASIG,DATOS!$I18960,nEVAL,"OR")=0))</f>
      </c>
      <c r="I18960">
        <f>IF(DATOS!$I18960="","",IFERROR(VLOOKUP(DATOS!$I18960,CONFIG_ASIGNATURAS!$B$2:$J$91,9,FALSE()),""))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IF(DATOS!$A18961="",0,IF(CONFIG_METADATA!$B$4&lt;&gt;"OR+EX",--(DATOS!$G18961=CONFIG_METADATA!$B$4),IF(DATOS!$G18961="EX",1,IF(DATOS!$G18961="OR",--(COUNTIFS(nNIA,DATOS!$A18961,nCURSO,DATOS!$D18961,nESPEC,DATOS!$E18961,nASIG,DATOS!$I18961,nEVAL,"EX")=0),0))))</f>
      </c>
      <c r="H18961">
        <f>IF(DATOS!$G18961&lt;&gt;"EX",0,--(COUNTIFS(nNIA,DATOS!$A18961,nCURSO,DATOS!$D18961,nESPEC,DATOS!$E18961,nASIG,DATOS!$I18961,nEVAL,"OR")=0))</f>
      </c>
      <c r="I18961">
        <f>IF(DATOS!$I18961="","",IFERROR(VLOOKUP(DATOS!$I18961,CONFIG_ASIGNATURAS!$B$2:$J$91,9,FALSE()),""))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IF(DATOS!$A18962="",0,IF(CONFIG_METADATA!$B$4&lt;&gt;"OR+EX",--(DATOS!$G18962=CONFIG_METADATA!$B$4),IF(DATOS!$G18962="EX",1,IF(DATOS!$G18962="OR",--(COUNTIFS(nNIA,DATOS!$A18962,nCURSO,DATOS!$D18962,nESPEC,DATOS!$E18962,nASIG,DATOS!$I18962,nEVAL,"EX")=0),0))))</f>
      </c>
      <c r="H18962">
        <f>IF(DATOS!$G18962&lt;&gt;"EX",0,--(COUNTIFS(nNIA,DATOS!$A18962,nCURSO,DATOS!$D18962,nESPEC,DATOS!$E18962,nASIG,DATOS!$I18962,nEVAL,"OR")=0))</f>
      </c>
      <c r="I18962">
        <f>IF(DATOS!$I18962="","",IFERROR(VLOOKUP(DATOS!$I18962,CONFIG_ASIGNATURAS!$B$2:$J$91,9,FALSE()),""))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IF(DATOS!$A18963="",0,IF(CONFIG_METADATA!$B$4&lt;&gt;"OR+EX",--(DATOS!$G18963=CONFIG_METADATA!$B$4),IF(DATOS!$G18963="EX",1,IF(DATOS!$G18963="OR",--(COUNTIFS(nNIA,DATOS!$A18963,nCURSO,DATOS!$D18963,nESPEC,DATOS!$E18963,nASIG,DATOS!$I18963,nEVAL,"EX")=0),0))))</f>
      </c>
      <c r="H18963">
        <f>IF(DATOS!$G18963&lt;&gt;"EX",0,--(COUNTIFS(nNIA,DATOS!$A18963,nCURSO,DATOS!$D18963,nESPEC,DATOS!$E18963,nASIG,DATOS!$I18963,nEVAL,"OR")=0))</f>
      </c>
      <c r="I18963">
        <f>IF(DATOS!$I18963="","",IFERROR(VLOOKUP(DATOS!$I18963,CONFIG_ASIGNATURAS!$B$2:$J$91,9,FALSE()),""))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IF(DATOS!$A18964="",0,IF(CONFIG_METADATA!$B$4&lt;&gt;"OR+EX",--(DATOS!$G18964=CONFIG_METADATA!$B$4),IF(DATOS!$G18964="EX",1,IF(DATOS!$G18964="OR",--(COUNTIFS(nNIA,DATOS!$A18964,nCURSO,DATOS!$D18964,nESPEC,DATOS!$E18964,nASIG,DATOS!$I18964,nEVAL,"EX")=0),0))))</f>
      </c>
      <c r="H18964">
        <f>IF(DATOS!$G18964&lt;&gt;"EX",0,--(COUNTIFS(nNIA,DATOS!$A18964,nCURSO,DATOS!$D18964,nESPEC,DATOS!$E18964,nASIG,DATOS!$I18964,nEVAL,"OR")=0))</f>
      </c>
      <c r="I18964">
        <f>IF(DATOS!$I18964="","",IFERROR(VLOOKUP(DATOS!$I18964,CONFIG_ASIGNATURAS!$B$2:$J$91,9,FALSE()),""))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IF(DATOS!$A18965="",0,IF(CONFIG_METADATA!$B$4&lt;&gt;"OR+EX",--(DATOS!$G18965=CONFIG_METADATA!$B$4),IF(DATOS!$G18965="EX",1,IF(DATOS!$G18965="OR",--(COUNTIFS(nNIA,DATOS!$A18965,nCURSO,DATOS!$D18965,nESPEC,DATOS!$E18965,nASIG,DATOS!$I18965,nEVAL,"EX")=0),0))))</f>
      </c>
      <c r="H18965">
        <f>IF(DATOS!$G18965&lt;&gt;"EX",0,--(COUNTIFS(nNIA,DATOS!$A18965,nCURSO,DATOS!$D18965,nESPEC,DATOS!$E18965,nASIG,DATOS!$I18965,nEVAL,"OR")=0))</f>
      </c>
      <c r="I18965">
        <f>IF(DATOS!$I18965="","",IFERROR(VLOOKUP(DATOS!$I18965,CONFIG_ASIGNATURAS!$B$2:$J$91,9,FALSE()),""))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IF(DATOS!$A18966="",0,IF(CONFIG_METADATA!$B$4&lt;&gt;"OR+EX",--(DATOS!$G18966=CONFIG_METADATA!$B$4),IF(DATOS!$G18966="EX",1,IF(DATOS!$G18966="OR",--(COUNTIFS(nNIA,DATOS!$A18966,nCURSO,DATOS!$D18966,nESPEC,DATOS!$E18966,nASIG,DATOS!$I18966,nEVAL,"EX")=0),0))))</f>
      </c>
      <c r="H18966">
        <f>IF(DATOS!$G18966&lt;&gt;"EX",0,--(COUNTIFS(nNIA,DATOS!$A18966,nCURSO,DATOS!$D18966,nESPEC,DATOS!$E18966,nASIG,DATOS!$I18966,nEVAL,"OR")=0))</f>
      </c>
      <c r="I18966">
        <f>IF(DATOS!$I18966="","",IFERROR(VLOOKUP(DATOS!$I18966,CONFIG_ASIGNATURAS!$B$2:$J$91,9,FALSE()),""))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IF(DATOS!$A18967="",0,IF(CONFIG_METADATA!$B$4&lt;&gt;"OR+EX",--(DATOS!$G18967=CONFIG_METADATA!$B$4),IF(DATOS!$G18967="EX",1,IF(DATOS!$G18967="OR",--(COUNTIFS(nNIA,DATOS!$A18967,nCURSO,DATOS!$D18967,nESPEC,DATOS!$E18967,nASIG,DATOS!$I18967,nEVAL,"EX")=0),0))))</f>
      </c>
      <c r="H18967">
        <f>IF(DATOS!$G18967&lt;&gt;"EX",0,--(COUNTIFS(nNIA,DATOS!$A18967,nCURSO,DATOS!$D18967,nESPEC,DATOS!$E18967,nASIG,DATOS!$I18967,nEVAL,"OR")=0))</f>
      </c>
      <c r="I18967">
        <f>IF(DATOS!$I18967="","",IFERROR(VLOOKUP(DATOS!$I18967,CONFIG_ASIGNATURAS!$B$2:$J$91,9,FALSE()),""))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IF(DATOS!$A18968="",0,IF(CONFIG_METADATA!$B$4&lt;&gt;"OR+EX",--(DATOS!$G18968=CONFIG_METADATA!$B$4),IF(DATOS!$G18968="EX",1,IF(DATOS!$G18968="OR",--(COUNTIFS(nNIA,DATOS!$A18968,nCURSO,DATOS!$D18968,nESPEC,DATOS!$E18968,nASIG,DATOS!$I18968,nEVAL,"EX")=0),0))))</f>
      </c>
      <c r="H18968">
        <f>IF(DATOS!$G18968&lt;&gt;"EX",0,--(COUNTIFS(nNIA,DATOS!$A18968,nCURSO,DATOS!$D18968,nESPEC,DATOS!$E18968,nASIG,DATOS!$I18968,nEVAL,"OR")=0))</f>
      </c>
      <c r="I18968">
        <f>IF(DATOS!$I18968="","",IFERROR(VLOOKUP(DATOS!$I18968,CONFIG_ASIGNATURAS!$B$2:$J$91,9,FALSE()),""))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IF(DATOS!$A18969="",0,IF(CONFIG_METADATA!$B$4&lt;&gt;"OR+EX",--(DATOS!$G18969=CONFIG_METADATA!$B$4),IF(DATOS!$G18969="EX",1,IF(DATOS!$G18969="OR",--(COUNTIFS(nNIA,DATOS!$A18969,nCURSO,DATOS!$D18969,nESPEC,DATOS!$E18969,nASIG,DATOS!$I18969,nEVAL,"EX")=0),0))))</f>
      </c>
      <c r="H18969">
        <f>IF(DATOS!$G18969&lt;&gt;"EX",0,--(COUNTIFS(nNIA,DATOS!$A18969,nCURSO,DATOS!$D18969,nESPEC,DATOS!$E18969,nASIG,DATOS!$I18969,nEVAL,"OR")=0))</f>
      </c>
      <c r="I18969">
        <f>IF(DATOS!$I18969="","",IFERROR(VLOOKUP(DATOS!$I18969,CONFIG_ASIGNATURAS!$B$2:$J$91,9,FALSE()),""))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IF(DATOS!$A18970="",0,IF(CONFIG_METADATA!$B$4&lt;&gt;"OR+EX",--(DATOS!$G18970=CONFIG_METADATA!$B$4),IF(DATOS!$G18970="EX",1,IF(DATOS!$G18970="OR",--(COUNTIFS(nNIA,DATOS!$A18970,nCURSO,DATOS!$D18970,nESPEC,DATOS!$E18970,nASIG,DATOS!$I18970,nEVAL,"EX")=0),0))))</f>
      </c>
      <c r="H18970">
        <f>IF(DATOS!$G18970&lt;&gt;"EX",0,--(COUNTIFS(nNIA,DATOS!$A18970,nCURSO,DATOS!$D18970,nESPEC,DATOS!$E18970,nASIG,DATOS!$I18970,nEVAL,"OR")=0))</f>
      </c>
      <c r="I18970">
        <f>IF(DATOS!$I18970="","",IFERROR(VLOOKUP(DATOS!$I18970,CONFIG_ASIGNATURAS!$B$2:$J$91,9,FALSE()),""))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IF(DATOS!$A18971="",0,IF(CONFIG_METADATA!$B$4&lt;&gt;"OR+EX",--(DATOS!$G18971=CONFIG_METADATA!$B$4),IF(DATOS!$G18971="EX",1,IF(DATOS!$G18971="OR",--(COUNTIFS(nNIA,DATOS!$A18971,nCURSO,DATOS!$D18971,nESPEC,DATOS!$E18971,nASIG,DATOS!$I18971,nEVAL,"EX")=0),0))))</f>
      </c>
      <c r="H18971">
        <f>IF(DATOS!$G18971&lt;&gt;"EX",0,--(COUNTIFS(nNIA,DATOS!$A18971,nCURSO,DATOS!$D18971,nESPEC,DATOS!$E18971,nASIG,DATOS!$I18971,nEVAL,"OR")=0))</f>
      </c>
      <c r="I18971">
        <f>IF(DATOS!$I18971="","",IFERROR(VLOOKUP(DATOS!$I18971,CONFIG_ASIGNATURAS!$B$2:$J$91,9,FALSE()),""))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IF(DATOS!$A18972="",0,IF(CONFIG_METADATA!$B$4&lt;&gt;"OR+EX",--(DATOS!$G18972=CONFIG_METADATA!$B$4),IF(DATOS!$G18972="EX",1,IF(DATOS!$G18972="OR",--(COUNTIFS(nNIA,DATOS!$A18972,nCURSO,DATOS!$D18972,nESPEC,DATOS!$E18972,nASIG,DATOS!$I18972,nEVAL,"EX")=0),0))))</f>
      </c>
      <c r="H18972">
        <f>IF(DATOS!$G18972&lt;&gt;"EX",0,--(COUNTIFS(nNIA,DATOS!$A18972,nCURSO,DATOS!$D18972,nESPEC,DATOS!$E18972,nASIG,DATOS!$I18972,nEVAL,"OR")=0))</f>
      </c>
      <c r="I18972">
        <f>IF(DATOS!$I18972="","",IFERROR(VLOOKUP(DATOS!$I18972,CONFIG_ASIGNATURAS!$B$2:$J$91,9,FALSE()),""))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IF(DATOS!$A18973="",0,IF(CONFIG_METADATA!$B$4&lt;&gt;"OR+EX",--(DATOS!$G18973=CONFIG_METADATA!$B$4),IF(DATOS!$G18973="EX",1,IF(DATOS!$G18973="OR",--(COUNTIFS(nNIA,DATOS!$A18973,nCURSO,DATOS!$D18973,nESPEC,DATOS!$E18973,nASIG,DATOS!$I18973,nEVAL,"EX")=0),0))))</f>
      </c>
      <c r="H18973">
        <f>IF(DATOS!$G18973&lt;&gt;"EX",0,--(COUNTIFS(nNIA,DATOS!$A18973,nCURSO,DATOS!$D18973,nESPEC,DATOS!$E18973,nASIG,DATOS!$I18973,nEVAL,"OR")=0))</f>
      </c>
      <c r="I18973">
        <f>IF(DATOS!$I18973="","",IFERROR(VLOOKUP(DATOS!$I18973,CONFIG_ASIGNATURAS!$B$2:$J$91,9,FALSE()),""))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IF(DATOS!$A18974="",0,IF(CONFIG_METADATA!$B$4&lt;&gt;"OR+EX",--(DATOS!$G18974=CONFIG_METADATA!$B$4),IF(DATOS!$G18974="EX",1,IF(DATOS!$G18974="OR",--(COUNTIFS(nNIA,DATOS!$A18974,nCURSO,DATOS!$D18974,nESPEC,DATOS!$E18974,nASIG,DATOS!$I18974,nEVAL,"EX")=0),0))))</f>
      </c>
      <c r="H18974">
        <f>IF(DATOS!$G18974&lt;&gt;"EX",0,--(COUNTIFS(nNIA,DATOS!$A18974,nCURSO,DATOS!$D18974,nESPEC,DATOS!$E18974,nASIG,DATOS!$I18974,nEVAL,"OR")=0))</f>
      </c>
      <c r="I18974">
        <f>IF(DATOS!$I18974="","",IFERROR(VLOOKUP(DATOS!$I18974,CONFIG_ASIGNATURAS!$B$2:$J$91,9,FALSE()),""))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IF(DATOS!$A18975="",0,IF(CONFIG_METADATA!$B$4&lt;&gt;"OR+EX",--(DATOS!$G18975=CONFIG_METADATA!$B$4),IF(DATOS!$G18975="EX",1,IF(DATOS!$G18975="OR",--(COUNTIFS(nNIA,DATOS!$A18975,nCURSO,DATOS!$D18975,nESPEC,DATOS!$E18975,nASIG,DATOS!$I18975,nEVAL,"EX")=0),0))))</f>
      </c>
      <c r="H18975">
        <f>IF(DATOS!$G18975&lt;&gt;"EX",0,--(COUNTIFS(nNIA,DATOS!$A18975,nCURSO,DATOS!$D18975,nESPEC,DATOS!$E18975,nASIG,DATOS!$I18975,nEVAL,"OR")=0))</f>
      </c>
      <c r="I18975">
        <f>IF(DATOS!$I18975="","",IFERROR(VLOOKUP(DATOS!$I18975,CONFIG_ASIGNATURAS!$B$2:$J$91,9,FALSE()),""))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IF(DATOS!$A18976="",0,IF(CONFIG_METADATA!$B$4&lt;&gt;"OR+EX",--(DATOS!$G18976=CONFIG_METADATA!$B$4),IF(DATOS!$G18976="EX",1,IF(DATOS!$G18976="OR",--(COUNTIFS(nNIA,DATOS!$A18976,nCURSO,DATOS!$D18976,nESPEC,DATOS!$E18976,nASIG,DATOS!$I18976,nEVAL,"EX")=0),0))))</f>
      </c>
      <c r="H18976">
        <f>IF(DATOS!$G18976&lt;&gt;"EX",0,--(COUNTIFS(nNIA,DATOS!$A18976,nCURSO,DATOS!$D18976,nESPEC,DATOS!$E18976,nASIG,DATOS!$I18976,nEVAL,"OR")=0))</f>
      </c>
      <c r="I18976">
        <f>IF(DATOS!$I18976="","",IFERROR(VLOOKUP(DATOS!$I18976,CONFIG_ASIGNATURAS!$B$2:$J$91,9,FALSE()),""))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IF(DATOS!$A18977="",0,IF(CONFIG_METADATA!$B$4&lt;&gt;"OR+EX",--(DATOS!$G18977=CONFIG_METADATA!$B$4),IF(DATOS!$G18977="EX",1,IF(DATOS!$G18977="OR",--(COUNTIFS(nNIA,DATOS!$A18977,nCURSO,DATOS!$D18977,nESPEC,DATOS!$E18977,nASIG,DATOS!$I18977,nEVAL,"EX")=0),0))))</f>
      </c>
      <c r="H18977">
        <f>IF(DATOS!$G18977&lt;&gt;"EX",0,--(COUNTIFS(nNIA,DATOS!$A18977,nCURSO,DATOS!$D18977,nESPEC,DATOS!$E18977,nASIG,DATOS!$I18977,nEVAL,"OR")=0))</f>
      </c>
      <c r="I18977">
        <f>IF(DATOS!$I18977="","",IFERROR(VLOOKUP(DATOS!$I18977,CONFIG_ASIGNATURAS!$B$2:$J$91,9,FALSE()),""))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IF(DATOS!$A18978="",0,IF(CONFIG_METADATA!$B$4&lt;&gt;"OR+EX",--(DATOS!$G18978=CONFIG_METADATA!$B$4),IF(DATOS!$G18978="EX",1,IF(DATOS!$G18978="OR",--(COUNTIFS(nNIA,DATOS!$A18978,nCURSO,DATOS!$D18978,nESPEC,DATOS!$E18978,nASIG,DATOS!$I18978,nEVAL,"EX")=0),0))))</f>
      </c>
      <c r="H18978">
        <f>IF(DATOS!$G18978&lt;&gt;"EX",0,--(COUNTIFS(nNIA,DATOS!$A18978,nCURSO,DATOS!$D18978,nESPEC,DATOS!$E18978,nASIG,DATOS!$I18978,nEVAL,"OR")=0))</f>
      </c>
      <c r="I18978">
        <f>IF(DATOS!$I18978="","",IFERROR(VLOOKUP(DATOS!$I18978,CONFIG_ASIGNATURAS!$B$2:$J$91,9,FALSE()),""))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IF(DATOS!$A18979="",0,IF(CONFIG_METADATA!$B$4&lt;&gt;"OR+EX",--(DATOS!$G18979=CONFIG_METADATA!$B$4),IF(DATOS!$G18979="EX",1,IF(DATOS!$G18979="OR",--(COUNTIFS(nNIA,DATOS!$A18979,nCURSO,DATOS!$D18979,nESPEC,DATOS!$E18979,nASIG,DATOS!$I18979,nEVAL,"EX")=0),0))))</f>
      </c>
      <c r="H18979">
        <f>IF(DATOS!$G18979&lt;&gt;"EX",0,--(COUNTIFS(nNIA,DATOS!$A18979,nCURSO,DATOS!$D18979,nESPEC,DATOS!$E18979,nASIG,DATOS!$I18979,nEVAL,"OR")=0))</f>
      </c>
      <c r="I18979">
        <f>IF(DATOS!$I18979="","",IFERROR(VLOOKUP(DATOS!$I18979,CONFIG_ASIGNATURAS!$B$2:$J$91,9,FALSE()),""))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IF(DATOS!$A18980="",0,IF(CONFIG_METADATA!$B$4&lt;&gt;"OR+EX",--(DATOS!$G18980=CONFIG_METADATA!$B$4),IF(DATOS!$G18980="EX",1,IF(DATOS!$G18980="OR",--(COUNTIFS(nNIA,DATOS!$A18980,nCURSO,DATOS!$D18980,nESPEC,DATOS!$E18980,nASIG,DATOS!$I18980,nEVAL,"EX")=0),0))))</f>
      </c>
      <c r="H18980">
        <f>IF(DATOS!$G18980&lt;&gt;"EX",0,--(COUNTIFS(nNIA,DATOS!$A18980,nCURSO,DATOS!$D18980,nESPEC,DATOS!$E18980,nASIG,DATOS!$I18980,nEVAL,"OR")=0))</f>
      </c>
      <c r="I18980">
        <f>IF(DATOS!$I18980="","",IFERROR(VLOOKUP(DATOS!$I18980,CONFIG_ASIGNATURAS!$B$2:$J$91,9,FALSE()),""))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IF(DATOS!$A18981="",0,IF(CONFIG_METADATA!$B$4&lt;&gt;"OR+EX",--(DATOS!$G18981=CONFIG_METADATA!$B$4),IF(DATOS!$G18981="EX",1,IF(DATOS!$G18981="OR",--(COUNTIFS(nNIA,DATOS!$A18981,nCURSO,DATOS!$D18981,nESPEC,DATOS!$E18981,nASIG,DATOS!$I18981,nEVAL,"EX")=0),0))))</f>
      </c>
      <c r="H18981">
        <f>IF(DATOS!$G18981&lt;&gt;"EX",0,--(COUNTIFS(nNIA,DATOS!$A18981,nCURSO,DATOS!$D18981,nESPEC,DATOS!$E18981,nASIG,DATOS!$I18981,nEVAL,"OR")=0))</f>
      </c>
      <c r="I18981">
        <f>IF(DATOS!$I18981="","",IFERROR(VLOOKUP(DATOS!$I18981,CONFIG_ASIGNATURAS!$B$2:$J$91,9,FALSE()),""))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IF(DATOS!$A18982="",0,IF(CONFIG_METADATA!$B$4&lt;&gt;"OR+EX",--(DATOS!$G18982=CONFIG_METADATA!$B$4),IF(DATOS!$G18982="EX",1,IF(DATOS!$G18982="OR",--(COUNTIFS(nNIA,DATOS!$A18982,nCURSO,DATOS!$D18982,nESPEC,DATOS!$E18982,nASIG,DATOS!$I18982,nEVAL,"EX")=0),0))))</f>
      </c>
      <c r="H18982">
        <f>IF(DATOS!$G18982&lt;&gt;"EX",0,--(COUNTIFS(nNIA,DATOS!$A18982,nCURSO,DATOS!$D18982,nESPEC,DATOS!$E18982,nASIG,DATOS!$I18982,nEVAL,"OR")=0))</f>
      </c>
      <c r="I18982">
        <f>IF(DATOS!$I18982="","",IFERROR(VLOOKUP(DATOS!$I18982,CONFIG_ASIGNATURAS!$B$2:$J$91,9,FALSE()),""))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IF(DATOS!$A18983="",0,IF(CONFIG_METADATA!$B$4&lt;&gt;"OR+EX",--(DATOS!$G18983=CONFIG_METADATA!$B$4),IF(DATOS!$G18983="EX",1,IF(DATOS!$G18983="OR",--(COUNTIFS(nNIA,DATOS!$A18983,nCURSO,DATOS!$D18983,nESPEC,DATOS!$E18983,nASIG,DATOS!$I18983,nEVAL,"EX")=0),0))))</f>
      </c>
      <c r="H18983">
        <f>IF(DATOS!$G18983&lt;&gt;"EX",0,--(COUNTIFS(nNIA,DATOS!$A18983,nCURSO,DATOS!$D18983,nESPEC,DATOS!$E18983,nASIG,DATOS!$I18983,nEVAL,"OR")=0))</f>
      </c>
      <c r="I18983">
        <f>IF(DATOS!$I18983="","",IFERROR(VLOOKUP(DATOS!$I18983,CONFIG_ASIGNATURAS!$B$2:$J$91,9,FALSE()),""))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IF(DATOS!$A18984="",0,IF(CONFIG_METADATA!$B$4&lt;&gt;"OR+EX",--(DATOS!$G18984=CONFIG_METADATA!$B$4),IF(DATOS!$G18984="EX",1,IF(DATOS!$G18984="OR",--(COUNTIFS(nNIA,DATOS!$A18984,nCURSO,DATOS!$D18984,nESPEC,DATOS!$E18984,nASIG,DATOS!$I18984,nEVAL,"EX")=0),0))))</f>
      </c>
      <c r="H18984">
        <f>IF(DATOS!$G18984&lt;&gt;"EX",0,--(COUNTIFS(nNIA,DATOS!$A18984,nCURSO,DATOS!$D18984,nESPEC,DATOS!$E18984,nASIG,DATOS!$I18984,nEVAL,"OR")=0))</f>
      </c>
      <c r="I18984">
        <f>IF(DATOS!$I18984="","",IFERROR(VLOOKUP(DATOS!$I18984,CONFIG_ASIGNATURAS!$B$2:$J$91,9,FALSE()),""))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IF(DATOS!$A18985="",0,IF(CONFIG_METADATA!$B$4&lt;&gt;"OR+EX",--(DATOS!$G18985=CONFIG_METADATA!$B$4),IF(DATOS!$G18985="EX",1,IF(DATOS!$G18985="OR",--(COUNTIFS(nNIA,DATOS!$A18985,nCURSO,DATOS!$D18985,nESPEC,DATOS!$E18985,nASIG,DATOS!$I18985,nEVAL,"EX")=0),0))))</f>
      </c>
      <c r="H18985">
        <f>IF(DATOS!$G18985&lt;&gt;"EX",0,--(COUNTIFS(nNIA,DATOS!$A18985,nCURSO,DATOS!$D18985,nESPEC,DATOS!$E18985,nASIG,DATOS!$I18985,nEVAL,"OR")=0))</f>
      </c>
      <c r="I18985">
        <f>IF(DATOS!$I18985="","",IFERROR(VLOOKUP(DATOS!$I18985,CONFIG_ASIGNATURAS!$B$2:$J$91,9,FALSE()),""))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IF(DATOS!$A18986="",0,IF(CONFIG_METADATA!$B$4&lt;&gt;"OR+EX",--(DATOS!$G18986=CONFIG_METADATA!$B$4),IF(DATOS!$G18986="EX",1,IF(DATOS!$G18986="OR",--(COUNTIFS(nNIA,DATOS!$A18986,nCURSO,DATOS!$D18986,nESPEC,DATOS!$E18986,nASIG,DATOS!$I18986,nEVAL,"EX")=0),0))))</f>
      </c>
      <c r="H18986">
        <f>IF(DATOS!$G18986&lt;&gt;"EX",0,--(COUNTIFS(nNIA,DATOS!$A18986,nCURSO,DATOS!$D18986,nESPEC,DATOS!$E18986,nASIG,DATOS!$I18986,nEVAL,"OR")=0))</f>
      </c>
      <c r="I18986">
        <f>IF(DATOS!$I18986="","",IFERROR(VLOOKUP(DATOS!$I18986,CONFIG_ASIGNATURAS!$B$2:$J$91,9,FALSE()),""))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IF(DATOS!$A18987="",0,IF(CONFIG_METADATA!$B$4&lt;&gt;"OR+EX",--(DATOS!$G18987=CONFIG_METADATA!$B$4),IF(DATOS!$G18987="EX",1,IF(DATOS!$G18987="OR",--(COUNTIFS(nNIA,DATOS!$A18987,nCURSO,DATOS!$D18987,nESPEC,DATOS!$E18987,nASIG,DATOS!$I18987,nEVAL,"EX")=0),0))))</f>
      </c>
      <c r="H18987">
        <f>IF(DATOS!$G18987&lt;&gt;"EX",0,--(COUNTIFS(nNIA,DATOS!$A18987,nCURSO,DATOS!$D18987,nESPEC,DATOS!$E18987,nASIG,DATOS!$I18987,nEVAL,"OR")=0))</f>
      </c>
      <c r="I18987">
        <f>IF(DATOS!$I18987="","",IFERROR(VLOOKUP(DATOS!$I18987,CONFIG_ASIGNATURAS!$B$2:$J$91,9,FALSE()),""))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IF(DATOS!$A18988="",0,IF(CONFIG_METADATA!$B$4&lt;&gt;"OR+EX",--(DATOS!$G18988=CONFIG_METADATA!$B$4),IF(DATOS!$G18988="EX",1,IF(DATOS!$G18988="OR",--(COUNTIFS(nNIA,DATOS!$A18988,nCURSO,DATOS!$D18988,nESPEC,DATOS!$E18988,nASIG,DATOS!$I18988,nEVAL,"EX")=0),0))))</f>
      </c>
      <c r="H18988">
        <f>IF(DATOS!$G18988&lt;&gt;"EX",0,--(COUNTIFS(nNIA,DATOS!$A18988,nCURSO,DATOS!$D18988,nESPEC,DATOS!$E18988,nASIG,DATOS!$I18988,nEVAL,"OR")=0))</f>
      </c>
      <c r="I18988">
        <f>IF(DATOS!$I18988="","",IFERROR(VLOOKUP(DATOS!$I18988,CONFIG_ASIGNATURAS!$B$2:$J$91,9,FALSE()),""))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IF(DATOS!$A18989="",0,IF(CONFIG_METADATA!$B$4&lt;&gt;"OR+EX",--(DATOS!$G18989=CONFIG_METADATA!$B$4),IF(DATOS!$G18989="EX",1,IF(DATOS!$G18989="OR",--(COUNTIFS(nNIA,DATOS!$A18989,nCURSO,DATOS!$D18989,nESPEC,DATOS!$E18989,nASIG,DATOS!$I18989,nEVAL,"EX")=0),0))))</f>
      </c>
      <c r="H18989">
        <f>IF(DATOS!$G18989&lt;&gt;"EX",0,--(COUNTIFS(nNIA,DATOS!$A18989,nCURSO,DATOS!$D18989,nESPEC,DATOS!$E18989,nASIG,DATOS!$I18989,nEVAL,"OR")=0))</f>
      </c>
      <c r="I18989">
        <f>IF(DATOS!$I18989="","",IFERROR(VLOOKUP(DATOS!$I18989,CONFIG_ASIGNATURAS!$B$2:$J$91,9,FALSE()),""))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IF(DATOS!$A18990="",0,IF(CONFIG_METADATA!$B$4&lt;&gt;"OR+EX",--(DATOS!$G18990=CONFIG_METADATA!$B$4),IF(DATOS!$G18990="EX",1,IF(DATOS!$G18990="OR",--(COUNTIFS(nNIA,DATOS!$A18990,nCURSO,DATOS!$D18990,nESPEC,DATOS!$E18990,nASIG,DATOS!$I18990,nEVAL,"EX")=0),0))))</f>
      </c>
      <c r="H18990">
        <f>IF(DATOS!$G18990&lt;&gt;"EX",0,--(COUNTIFS(nNIA,DATOS!$A18990,nCURSO,DATOS!$D18990,nESPEC,DATOS!$E18990,nASIG,DATOS!$I18990,nEVAL,"OR")=0))</f>
      </c>
      <c r="I18990">
        <f>IF(DATOS!$I18990="","",IFERROR(VLOOKUP(DATOS!$I18990,CONFIG_ASIGNATURAS!$B$2:$J$91,9,FALSE()),""))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IF(DATOS!$A18991="",0,IF(CONFIG_METADATA!$B$4&lt;&gt;"OR+EX",--(DATOS!$G18991=CONFIG_METADATA!$B$4),IF(DATOS!$G18991="EX",1,IF(DATOS!$G18991="OR",--(COUNTIFS(nNIA,DATOS!$A18991,nCURSO,DATOS!$D18991,nESPEC,DATOS!$E18991,nASIG,DATOS!$I18991,nEVAL,"EX")=0),0))))</f>
      </c>
      <c r="H18991">
        <f>IF(DATOS!$G18991&lt;&gt;"EX",0,--(COUNTIFS(nNIA,DATOS!$A18991,nCURSO,DATOS!$D18991,nESPEC,DATOS!$E18991,nASIG,DATOS!$I18991,nEVAL,"OR")=0))</f>
      </c>
      <c r="I18991">
        <f>IF(DATOS!$I18991="","",IFERROR(VLOOKUP(DATOS!$I18991,CONFIG_ASIGNATURAS!$B$2:$J$91,9,FALSE()),""))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IF(DATOS!$A18992="",0,IF(CONFIG_METADATA!$B$4&lt;&gt;"OR+EX",--(DATOS!$G18992=CONFIG_METADATA!$B$4),IF(DATOS!$G18992="EX",1,IF(DATOS!$G18992="OR",--(COUNTIFS(nNIA,DATOS!$A18992,nCURSO,DATOS!$D18992,nESPEC,DATOS!$E18992,nASIG,DATOS!$I18992,nEVAL,"EX")=0),0))))</f>
      </c>
      <c r="H18992">
        <f>IF(DATOS!$G18992&lt;&gt;"EX",0,--(COUNTIFS(nNIA,DATOS!$A18992,nCURSO,DATOS!$D18992,nESPEC,DATOS!$E18992,nASIG,DATOS!$I18992,nEVAL,"OR")=0))</f>
      </c>
      <c r="I18992">
        <f>IF(DATOS!$I18992="","",IFERROR(VLOOKUP(DATOS!$I18992,CONFIG_ASIGNATURAS!$B$2:$J$91,9,FALSE()),""))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IF(DATOS!$A18993="",0,IF(CONFIG_METADATA!$B$4&lt;&gt;"OR+EX",--(DATOS!$G18993=CONFIG_METADATA!$B$4),IF(DATOS!$G18993="EX",1,IF(DATOS!$G18993="OR",--(COUNTIFS(nNIA,DATOS!$A18993,nCURSO,DATOS!$D18993,nESPEC,DATOS!$E18993,nASIG,DATOS!$I18993,nEVAL,"EX")=0),0))))</f>
      </c>
      <c r="H18993">
        <f>IF(DATOS!$G18993&lt;&gt;"EX",0,--(COUNTIFS(nNIA,DATOS!$A18993,nCURSO,DATOS!$D18993,nESPEC,DATOS!$E18993,nASIG,DATOS!$I18993,nEVAL,"OR")=0))</f>
      </c>
      <c r="I18993">
        <f>IF(DATOS!$I18993="","",IFERROR(VLOOKUP(DATOS!$I18993,CONFIG_ASIGNATURAS!$B$2:$J$91,9,FALSE()),""))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IF(DATOS!$A18994="",0,IF(CONFIG_METADATA!$B$4&lt;&gt;"OR+EX",--(DATOS!$G18994=CONFIG_METADATA!$B$4),IF(DATOS!$G18994="EX",1,IF(DATOS!$G18994="OR",--(COUNTIFS(nNIA,DATOS!$A18994,nCURSO,DATOS!$D18994,nESPEC,DATOS!$E18994,nASIG,DATOS!$I18994,nEVAL,"EX")=0),0))))</f>
      </c>
      <c r="H18994">
        <f>IF(DATOS!$G18994&lt;&gt;"EX",0,--(COUNTIFS(nNIA,DATOS!$A18994,nCURSO,DATOS!$D18994,nESPEC,DATOS!$E18994,nASIG,DATOS!$I18994,nEVAL,"OR")=0))</f>
      </c>
      <c r="I18994">
        <f>IF(DATOS!$I18994="","",IFERROR(VLOOKUP(DATOS!$I18994,CONFIG_ASIGNATURAS!$B$2:$J$91,9,FALSE()),""))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IF(DATOS!$A18995="",0,IF(CONFIG_METADATA!$B$4&lt;&gt;"OR+EX",--(DATOS!$G18995=CONFIG_METADATA!$B$4),IF(DATOS!$G18995="EX",1,IF(DATOS!$G18995="OR",--(COUNTIFS(nNIA,DATOS!$A18995,nCURSO,DATOS!$D18995,nESPEC,DATOS!$E18995,nASIG,DATOS!$I18995,nEVAL,"EX")=0),0))))</f>
      </c>
      <c r="H18995">
        <f>IF(DATOS!$G18995&lt;&gt;"EX",0,--(COUNTIFS(nNIA,DATOS!$A18995,nCURSO,DATOS!$D18995,nESPEC,DATOS!$E18995,nASIG,DATOS!$I18995,nEVAL,"OR")=0))</f>
      </c>
      <c r="I18995">
        <f>IF(DATOS!$I18995="","",IFERROR(VLOOKUP(DATOS!$I18995,CONFIG_ASIGNATURAS!$B$2:$J$91,9,FALSE()),""))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IF(DATOS!$A18996="",0,IF(CONFIG_METADATA!$B$4&lt;&gt;"OR+EX",--(DATOS!$G18996=CONFIG_METADATA!$B$4),IF(DATOS!$G18996="EX",1,IF(DATOS!$G18996="OR",--(COUNTIFS(nNIA,DATOS!$A18996,nCURSO,DATOS!$D18996,nESPEC,DATOS!$E18996,nASIG,DATOS!$I18996,nEVAL,"EX")=0),0))))</f>
      </c>
      <c r="H18996">
        <f>IF(DATOS!$G18996&lt;&gt;"EX",0,--(COUNTIFS(nNIA,DATOS!$A18996,nCURSO,DATOS!$D18996,nESPEC,DATOS!$E18996,nASIG,DATOS!$I18996,nEVAL,"OR")=0))</f>
      </c>
      <c r="I18996">
        <f>IF(DATOS!$I18996="","",IFERROR(VLOOKUP(DATOS!$I18996,CONFIG_ASIGNATURAS!$B$2:$J$91,9,FALSE()),""))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IF(DATOS!$A18997="",0,IF(CONFIG_METADATA!$B$4&lt;&gt;"OR+EX",--(DATOS!$G18997=CONFIG_METADATA!$B$4),IF(DATOS!$G18997="EX",1,IF(DATOS!$G18997="OR",--(COUNTIFS(nNIA,DATOS!$A18997,nCURSO,DATOS!$D18997,nESPEC,DATOS!$E18997,nASIG,DATOS!$I18997,nEVAL,"EX")=0),0))))</f>
      </c>
      <c r="H18997">
        <f>IF(DATOS!$G18997&lt;&gt;"EX",0,--(COUNTIFS(nNIA,DATOS!$A18997,nCURSO,DATOS!$D18997,nESPEC,DATOS!$E18997,nASIG,DATOS!$I18997,nEVAL,"OR")=0))</f>
      </c>
      <c r="I18997">
        <f>IF(DATOS!$I18997="","",IFERROR(VLOOKUP(DATOS!$I18997,CONFIG_ASIGNATURAS!$B$2:$J$91,9,FALSE()),""))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IF(DATOS!$A18998="",0,IF(CONFIG_METADATA!$B$4&lt;&gt;"OR+EX",--(DATOS!$G18998=CONFIG_METADATA!$B$4),IF(DATOS!$G18998="EX",1,IF(DATOS!$G18998="OR",--(COUNTIFS(nNIA,DATOS!$A18998,nCURSO,DATOS!$D18998,nESPEC,DATOS!$E18998,nASIG,DATOS!$I18998,nEVAL,"EX")=0),0))))</f>
      </c>
      <c r="H18998">
        <f>IF(DATOS!$G18998&lt;&gt;"EX",0,--(COUNTIFS(nNIA,DATOS!$A18998,nCURSO,DATOS!$D18998,nESPEC,DATOS!$E18998,nASIG,DATOS!$I18998,nEVAL,"OR")=0))</f>
      </c>
      <c r="I18998">
        <f>IF(DATOS!$I18998="","",IFERROR(VLOOKUP(DATOS!$I18998,CONFIG_ASIGNATURAS!$B$2:$J$91,9,FALSE()),""))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IF(DATOS!$A18999="",0,IF(CONFIG_METADATA!$B$4&lt;&gt;"OR+EX",--(DATOS!$G18999=CONFIG_METADATA!$B$4),IF(DATOS!$G18999="EX",1,IF(DATOS!$G18999="OR",--(COUNTIFS(nNIA,DATOS!$A18999,nCURSO,DATOS!$D18999,nESPEC,DATOS!$E18999,nASIG,DATOS!$I18999,nEVAL,"EX")=0),0))))</f>
      </c>
      <c r="H18999">
        <f>IF(DATOS!$G18999&lt;&gt;"EX",0,--(COUNTIFS(nNIA,DATOS!$A18999,nCURSO,DATOS!$D18999,nESPEC,DATOS!$E18999,nASIG,DATOS!$I18999,nEVAL,"OR")=0))</f>
      </c>
      <c r="I18999">
        <f>IF(DATOS!$I18999="","",IFERROR(VLOOKUP(DATOS!$I18999,CONFIG_ASIGNATURAS!$B$2:$J$91,9,FALSE()),""))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IF(DATOS!$A19000="",0,IF(CONFIG_METADATA!$B$4&lt;&gt;"OR+EX",--(DATOS!$G19000=CONFIG_METADATA!$B$4),IF(DATOS!$G19000="EX",1,IF(DATOS!$G19000="OR",--(COUNTIFS(nNIA,DATOS!$A19000,nCURSO,DATOS!$D19000,nESPEC,DATOS!$E19000,nASIG,DATOS!$I19000,nEVAL,"EX")=0),0))))</f>
      </c>
      <c r="H19000">
        <f>IF(DATOS!$G19000&lt;&gt;"EX",0,--(COUNTIFS(nNIA,DATOS!$A19000,nCURSO,DATOS!$D19000,nESPEC,DATOS!$E19000,nASIG,DATOS!$I19000,nEVAL,"OR")=0))</f>
      </c>
      <c r="I19000">
        <f>IF(DATOS!$I19000="","",IFERROR(VLOOKUP(DATOS!$I19000,CONFIG_ASIGNATURAS!$B$2:$J$91,9,FALSE()),""))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IF(DATOS!$A19001="",0,IF(CONFIG_METADATA!$B$4&lt;&gt;"OR+EX",--(DATOS!$G19001=CONFIG_METADATA!$B$4),IF(DATOS!$G19001="EX",1,IF(DATOS!$G19001="OR",--(COUNTIFS(nNIA,DATOS!$A19001,nCURSO,DATOS!$D19001,nESPEC,DATOS!$E19001,nASIG,DATOS!$I19001,nEVAL,"EX")=0),0))))</f>
      </c>
      <c r="H19001">
        <f>IF(DATOS!$G19001&lt;&gt;"EX",0,--(COUNTIFS(nNIA,DATOS!$A19001,nCURSO,DATOS!$D19001,nESPEC,DATOS!$E19001,nASIG,DATOS!$I19001,nEVAL,"OR")=0))</f>
      </c>
      <c r="I19001">
        <f>IF(DATOS!$I19001="","",IFERROR(VLOOKUP(DATOS!$I19001,CONFIG_ASIGNATURAS!$B$2:$J$91,9,FALSE()),""))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IF(DATOS!$A19002="",0,IF(CONFIG_METADATA!$B$4&lt;&gt;"OR+EX",--(DATOS!$G19002=CONFIG_METADATA!$B$4),IF(DATOS!$G19002="EX",1,IF(DATOS!$G19002="OR",--(COUNTIFS(nNIA,DATOS!$A19002,nCURSO,DATOS!$D19002,nESPEC,DATOS!$E19002,nASIG,DATOS!$I19002,nEVAL,"EX")=0),0))))</f>
      </c>
      <c r="H19002">
        <f>IF(DATOS!$G19002&lt;&gt;"EX",0,--(COUNTIFS(nNIA,DATOS!$A19002,nCURSO,DATOS!$D19002,nESPEC,DATOS!$E19002,nASIG,DATOS!$I19002,nEVAL,"OR")=0))</f>
      </c>
      <c r="I19002">
        <f>IF(DATOS!$I19002="","",IFERROR(VLOOKUP(DATOS!$I19002,CONFIG_ASIGNATURAS!$B$2:$J$91,9,FALSE()),""))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IF(DATOS!$A19003="",0,IF(CONFIG_METADATA!$B$4&lt;&gt;"OR+EX",--(DATOS!$G19003=CONFIG_METADATA!$B$4),IF(DATOS!$G19003="EX",1,IF(DATOS!$G19003="OR",--(COUNTIFS(nNIA,DATOS!$A19003,nCURSO,DATOS!$D19003,nESPEC,DATOS!$E19003,nASIG,DATOS!$I19003,nEVAL,"EX")=0),0))))</f>
      </c>
      <c r="H19003">
        <f>IF(DATOS!$G19003&lt;&gt;"EX",0,--(COUNTIFS(nNIA,DATOS!$A19003,nCURSO,DATOS!$D19003,nESPEC,DATOS!$E19003,nASIG,DATOS!$I19003,nEVAL,"OR")=0))</f>
      </c>
      <c r="I19003">
        <f>IF(DATOS!$I19003="","",IFERROR(VLOOKUP(DATOS!$I19003,CONFIG_ASIGNATURAS!$B$2:$J$91,9,FALSE()),""))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IF(DATOS!$A19004="",0,IF(CONFIG_METADATA!$B$4&lt;&gt;"OR+EX",--(DATOS!$G19004=CONFIG_METADATA!$B$4),IF(DATOS!$G19004="EX",1,IF(DATOS!$G19004="OR",--(COUNTIFS(nNIA,DATOS!$A19004,nCURSO,DATOS!$D19004,nESPEC,DATOS!$E19004,nASIG,DATOS!$I19004,nEVAL,"EX")=0),0))))</f>
      </c>
      <c r="H19004">
        <f>IF(DATOS!$G19004&lt;&gt;"EX",0,--(COUNTIFS(nNIA,DATOS!$A19004,nCURSO,DATOS!$D19004,nESPEC,DATOS!$E19004,nASIG,DATOS!$I19004,nEVAL,"OR")=0))</f>
      </c>
      <c r="I19004">
        <f>IF(DATOS!$I19004="","",IFERROR(VLOOKUP(DATOS!$I19004,CONFIG_ASIGNATURAS!$B$2:$J$91,9,FALSE()),""))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IF(DATOS!$A19005="",0,IF(CONFIG_METADATA!$B$4&lt;&gt;"OR+EX",--(DATOS!$G19005=CONFIG_METADATA!$B$4),IF(DATOS!$G19005="EX",1,IF(DATOS!$G19005="OR",--(COUNTIFS(nNIA,DATOS!$A19005,nCURSO,DATOS!$D19005,nESPEC,DATOS!$E19005,nASIG,DATOS!$I19005,nEVAL,"EX")=0),0))))</f>
      </c>
      <c r="H19005">
        <f>IF(DATOS!$G19005&lt;&gt;"EX",0,--(COUNTIFS(nNIA,DATOS!$A19005,nCURSO,DATOS!$D19005,nESPEC,DATOS!$E19005,nASIG,DATOS!$I19005,nEVAL,"OR")=0))</f>
      </c>
      <c r="I19005">
        <f>IF(DATOS!$I19005="","",IFERROR(VLOOKUP(DATOS!$I19005,CONFIG_ASIGNATURAS!$B$2:$J$91,9,FALSE()),""))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IF(DATOS!$A19006="",0,IF(CONFIG_METADATA!$B$4&lt;&gt;"OR+EX",--(DATOS!$G19006=CONFIG_METADATA!$B$4),IF(DATOS!$G19006="EX",1,IF(DATOS!$G19006="OR",--(COUNTIFS(nNIA,DATOS!$A19006,nCURSO,DATOS!$D19006,nESPEC,DATOS!$E19006,nASIG,DATOS!$I19006,nEVAL,"EX")=0),0))))</f>
      </c>
      <c r="H19006">
        <f>IF(DATOS!$G19006&lt;&gt;"EX",0,--(COUNTIFS(nNIA,DATOS!$A19006,nCURSO,DATOS!$D19006,nESPEC,DATOS!$E19006,nASIG,DATOS!$I19006,nEVAL,"OR")=0))</f>
      </c>
      <c r="I19006">
        <f>IF(DATOS!$I19006="","",IFERROR(VLOOKUP(DATOS!$I19006,CONFIG_ASIGNATURAS!$B$2:$J$91,9,FALSE()),""))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IF(DATOS!$A19007="",0,IF(CONFIG_METADATA!$B$4&lt;&gt;"OR+EX",--(DATOS!$G19007=CONFIG_METADATA!$B$4),IF(DATOS!$G19007="EX",1,IF(DATOS!$G19007="OR",--(COUNTIFS(nNIA,DATOS!$A19007,nCURSO,DATOS!$D19007,nESPEC,DATOS!$E19007,nASIG,DATOS!$I19007,nEVAL,"EX")=0),0))))</f>
      </c>
      <c r="H19007">
        <f>IF(DATOS!$G19007&lt;&gt;"EX",0,--(COUNTIFS(nNIA,DATOS!$A19007,nCURSO,DATOS!$D19007,nESPEC,DATOS!$E19007,nASIG,DATOS!$I19007,nEVAL,"OR")=0))</f>
      </c>
      <c r="I19007">
        <f>IF(DATOS!$I19007="","",IFERROR(VLOOKUP(DATOS!$I19007,CONFIG_ASIGNATURAS!$B$2:$J$91,9,FALSE()),""))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IF(DATOS!$A19008="",0,IF(CONFIG_METADATA!$B$4&lt;&gt;"OR+EX",--(DATOS!$G19008=CONFIG_METADATA!$B$4),IF(DATOS!$G19008="EX",1,IF(DATOS!$G19008="OR",--(COUNTIFS(nNIA,DATOS!$A19008,nCURSO,DATOS!$D19008,nESPEC,DATOS!$E19008,nASIG,DATOS!$I19008,nEVAL,"EX")=0),0))))</f>
      </c>
      <c r="H19008">
        <f>IF(DATOS!$G19008&lt;&gt;"EX",0,--(COUNTIFS(nNIA,DATOS!$A19008,nCURSO,DATOS!$D19008,nESPEC,DATOS!$E19008,nASIG,DATOS!$I19008,nEVAL,"OR")=0))</f>
      </c>
      <c r="I19008">
        <f>IF(DATOS!$I19008="","",IFERROR(VLOOKUP(DATOS!$I19008,CONFIG_ASIGNATURAS!$B$2:$J$91,9,FALSE()),""))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IF(DATOS!$A19009="",0,IF(CONFIG_METADATA!$B$4&lt;&gt;"OR+EX",--(DATOS!$G19009=CONFIG_METADATA!$B$4),IF(DATOS!$G19009="EX",1,IF(DATOS!$G19009="OR",--(COUNTIFS(nNIA,DATOS!$A19009,nCURSO,DATOS!$D19009,nESPEC,DATOS!$E19009,nASIG,DATOS!$I19009,nEVAL,"EX")=0),0))))</f>
      </c>
      <c r="H19009">
        <f>IF(DATOS!$G19009&lt;&gt;"EX",0,--(COUNTIFS(nNIA,DATOS!$A19009,nCURSO,DATOS!$D19009,nESPEC,DATOS!$E19009,nASIG,DATOS!$I19009,nEVAL,"OR")=0))</f>
      </c>
      <c r="I19009">
        <f>IF(DATOS!$I19009="","",IFERROR(VLOOKUP(DATOS!$I19009,CONFIG_ASIGNATURAS!$B$2:$J$91,9,FALSE()),""))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IF(DATOS!$A19010="",0,IF(CONFIG_METADATA!$B$4&lt;&gt;"OR+EX",--(DATOS!$G19010=CONFIG_METADATA!$B$4),IF(DATOS!$G19010="EX",1,IF(DATOS!$G19010="OR",--(COUNTIFS(nNIA,DATOS!$A19010,nCURSO,DATOS!$D19010,nESPEC,DATOS!$E19010,nASIG,DATOS!$I19010,nEVAL,"EX")=0),0))))</f>
      </c>
      <c r="H19010">
        <f>IF(DATOS!$G19010&lt;&gt;"EX",0,--(COUNTIFS(nNIA,DATOS!$A19010,nCURSO,DATOS!$D19010,nESPEC,DATOS!$E19010,nASIG,DATOS!$I19010,nEVAL,"OR")=0))</f>
      </c>
      <c r="I19010">
        <f>IF(DATOS!$I19010="","",IFERROR(VLOOKUP(DATOS!$I19010,CONFIG_ASIGNATURAS!$B$2:$J$91,9,FALSE()),""))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IF(DATOS!$A19011="",0,IF(CONFIG_METADATA!$B$4&lt;&gt;"OR+EX",--(DATOS!$G19011=CONFIG_METADATA!$B$4),IF(DATOS!$G19011="EX",1,IF(DATOS!$G19011="OR",--(COUNTIFS(nNIA,DATOS!$A19011,nCURSO,DATOS!$D19011,nESPEC,DATOS!$E19011,nASIG,DATOS!$I19011,nEVAL,"EX")=0),0))))</f>
      </c>
      <c r="H19011">
        <f>IF(DATOS!$G19011&lt;&gt;"EX",0,--(COUNTIFS(nNIA,DATOS!$A19011,nCURSO,DATOS!$D19011,nESPEC,DATOS!$E19011,nASIG,DATOS!$I19011,nEVAL,"OR")=0))</f>
      </c>
      <c r="I19011">
        <f>IF(DATOS!$I19011="","",IFERROR(VLOOKUP(DATOS!$I19011,CONFIG_ASIGNATURAS!$B$2:$J$91,9,FALSE()),""))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IF(DATOS!$A19012="",0,IF(CONFIG_METADATA!$B$4&lt;&gt;"OR+EX",--(DATOS!$G19012=CONFIG_METADATA!$B$4),IF(DATOS!$G19012="EX",1,IF(DATOS!$G19012="OR",--(COUNTIFS(nNIA,DATOS!$A19012,nCURSO,DATOS!$D19012,nESPEC,DATOS!$E19012,nASIG,DATOS!$I19012,nEVAL,"EX")=0),0))))</f>
      </c>
      <c r="H19012">
        <f>IF(DATOS!$G19012&lt;&gt;"EX",0,--(COUNTIFS(nNIA,DATOS!$A19012,nCURSO,DATOS!$D19012,nESPEC,DATOS!$E19012,nASIG,DATOS!$I19012,nEVAL,"OR")=0))</f>
      </c>
      <c r="I19012">
        <f>IF(DATOS!$I19012="","",IFERROR(VLOOKUP(DATOS!$I19012,CONFIG_ASIGNATURAS!$B$2:$J$91,9,FALSE()),""))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IF(DATOS!$A19013="",0,IF(CONFIG_METADATA!$B$4&lt;&gt;"OR+EX",--(DATOS!$G19013=CONFIG_METADATA!$B$4),IF(DATOS!$G19013="EX",1,IF(DATOS!$G19013="OR",--(COUNTIFS(nNIA,DATOS!$A19013,nCURSO,DATOS!$D19013,nESPEC,DATOS!$E19013,nASIG,DATOS!$I19013,nEVAL,"EX")=0),0))))</f>
      </c>
      <c r="H19013">
        <f>IF(DATOS!$G19013&lt;&gt;"EX",0,--(COUNTIFS(nNIA,DATOS!$A19013,nCURSO,DATOS!$D19013,nESPEC,DATOS!$E19013,nASIG,DATOS!$I19013,nEVAL,"OR")=0))</f>
      </c>
      <c r="I19013">
        <f>IF(DATOS!$I19013="","",IFERROR(VLOOKUP(DATOS!$I19013,CONFIG_ASIGNATURAS!$B$2:$J$91,9,FALSE()),""))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IF(DATOS!$A19014="",0,IF(CONFIG_METADATA!$B$4&lt;&gt;"OR+EX",--(DATOS!$G19014=CONFIG_METADATA!$B$4),IF(DATOS!$G19014="EX",1,IF(DATOS!$G19014="OR",--(COUNTIFS(nNIA,DATOS!$A19014,nCURSO,DATOS!$D19014,nESPEC,DATOS!$E19014,nASIG,DATOS!$I19014,nEVAL,"EX")=0),0))))</f>
      </c>
      <c r="H19014">
        <f>IF(DATOS!$G19014&lt;&gt;"EX",0,--(COUNTIFS(nNIA,DATOS!$A19014,nCURSO,DATOS!$D19014,nESPEC,DATOS!$E19014,nASIG,DATOS!$I19014,nEVAL,"OR")=0))</f>
      </c>
      <c r="I19014">
        <f>IF(DATOS!$I19014="","",IFERROR(VLOOKUP(DATOS!$I19014,CONFIG_ASIGNATURAS!$B$2:$J$91,9,FALSE()),""))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IF(DATOS!$A19015="",0,IF(CONFIG_METADATA!$B$4&lt;&gt;"OR+EX",--(DATOS!$G19015=CONFIG_METADATA!$B$4),IF(DATOS!$G19015="EX",1,IF(DATOS!$G19015="OR",--(COUNTIFS(nNIA,DATOS!$A19015,nCURSO,DATOS!$D19015,nESPEC,DATOS!$E19015,nASIG,DATOS!$I19015,nEVAL,"EX")=0),0))))</f>
      </c>
      <c r="H19015">
        <f>IF(DATOS!$G19015&lt;&gt;"EX",0,--(COUNTIFS(nNIA,DATOS!$A19015,nCURSO,DATOS!$D19015,nESPEC,DATOS!$E19015,nASIG,DATOS!$I19015,nEVAL,"OR")=0))</f>
      </c>
      <c r="I19015">
        <f>IF(DATOS!$I19015="","",IFERROR(VLOOKUP(DATOS!$I19015,CONFIG_ASIGNATURAS!$B$2:$J$91,9,FALSE()),""))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IF(DATOS!$A19016="",0,IF(CONFIG_METADATA!$B$4&lt;&gt;"OR+EX",--(DATOS!$G19016=CONFIG_METADATA!$B$4),IF(DATOS!$G19016="EX",1,IF(DATOS!$G19016="OR",--(COUNTIFS(nNIA,DATOS!$A19016,nCURSO,DATOS!$D19016,nESPEC,DATOS!$E19016,nASIG,DATOS!$I19016,nEVAL,"EX")=0),0))))</f>
      </c>
      <c r="H19016">
        <f>IF(DATOS!$G19016&lt;&gt;"EX",0,--(COUNTIFS(nNIA,DATOS!$A19016,nCURSO,DATOS!$D19016,nESPEC,DATOS!$E19016,nASIG,DATOS!$I19016,nEVAL,"OR")=0))</f>
      </c>
      <c r="I19016">
        <f>IF(DATOS!$I19016="","",IFERROR(VLOOKUP(DATOS!$I19016,CONFIG_ASIGNATURAS!$B$2:$J$91,9,FALSE()),""))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IF(DATOS!$A19017="",0,IF(CONFIG_METADATA!$B$4&lt;&gt;"OR+EX",--(DATOS!$G19017=CONFIG_METADATA!$B$4),IF(DATOS!$G19017="EX",1,IF(DATOS!$G19017="OR",--(COUNTIFS(nNIA,DATOS!$A19017,nCURSO,DATOS!$D19017,nESPEC,DATOS!$E19017,nASIG,DATOS!$I19017,nEVAL,"EX")=0),0))))</f>
      </c>
      <c r="H19017">
        <f>IF(DATOS!$G19017&lt;&gt;"EX",0,--(COUNTIFS(nNIA,DATOS!$A19017,nCURSO,DATOS!$D19017,nESPEC,DATOS!$E19017,nASIG,DATOS!$I19017,nEVAL,"OR")=0))</f>
      </c>
      <c r="I19017">
        <f>IF(DATOS!$I19017="","",IFERROR(VLOOKUP(DATOS!$I19017,CONFIG_ASIGNATURAS!$B$2:$J$91,9,FALSE()),""))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IF(DATOS!$A19018="",0,IF(CONFIG_METADATA!$B$4&lt;&gt;"OR+EX",--(DATOS!$G19018=CONFIG_METADATA!$B$4),IF(DATOS!$G19018="EX",1,IF(DATOS!$G19018="OR",--(COUNTIFS(nNIA,DATOS!$A19018,nCURSO,DATOS!$D19018,nESPEC,DATOS!$E19018,nASIG,DATOS!$I19018,nEVAL,"EX")=0),0))))</f>
      </c>
      <c r="H19018">
        <f>IF(DATOS!$G19018&lt;&gt;"EX",0,--(COUNTIFS(nNIA,DATOS!$A19018,nCURSO,DATOS!$D19018,nESPEC,DATOS!$E19018,nASIG,DATOS!$I19018,nEVAL,"OR")=0))</f>
      </c>
      <c r="I19018">
        <f>IF(DATOS!$I19018="","",IFERROR(VLOOKUP(DATOS!$I19018,CONFIG_ASIGNATURAS!$B$2:$J$91,9,FALSE()),""))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IF(DATOS!$A19019="",0,IF(CONFIG_METADATA!$B$4&lt;&gt;"OR+EX",--(DATOS!$G19019=CONFIG_METADATA!$B$4),IF(DATOS!$G19019="EX",1,IF(DATOS!$G19019="OR",--(COUNTIFS(nNIA,DATOS!$A19019,nCURSO,DATOS!$D19019,nESPEC,DATOS!$E19019,nASIG,DATOS!$I19019,nEVAL,"EX")=0),0))))</f>
      </c>
      <c r="H19019">
        <f>IF(DATOS!$G19019&lt;&gt;"EX",0,--(COUNTIFS(nNIA,DATOS!$A19019,nCURSO,DATOS!$D19019,nESPEC,DATOS!$E19019,nASIG,DATOS!$I19019,nEVAL,"OR")=0))</f>
      </c>
      <c r="I19019">
        <f>IF(DATOS!$I19019="","",IFERROR(VLOOKUP(DATOS!$I19019,CONFIG_ASIGNATURAS!$B$2:$J$91,9,FALSE()),""))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IF(DATOS!$A19020="",0,IF(CONFIG_METADATA!$B$4&lt;&gt;"OR+EX",--(DATOS!$G19020=CONFIG_METADATA!$B$4),IF(DATOS!$G19020="EX",1,IF(DATOS!$G19020="OR",--(COUNTIFS(nNIA,DATOS!$A19020,nCURSO,DATOS!$D19020,nESPEC,DATOS!$E19020,nASIG,DATOS!$I19020,nEVAL,"EX")=0),0))))</f>
      </c>
      <c r="H19020">
        <f>IF(DATOS!$G19020&lt;&gt;"EX",0,--(COUNTIFS(nNIA,DATOS!$A19020,nCURSO,DATOS!$D19020,nESPEC,DATOS!$E19020,nASIG,DATOS!$I19020,nEVAL,"OR")=0))</f>
      </c>
      <c r="I19020">
        <f>IF(DATOS!$I19020="","",IFERROR(VLOOKUP(DATOS!$I19020,CONFIG_ASIGNATURAS!$B$2:$J$91,9,FALSE()),""))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IF(DATOS!$A19021="",0,IF(CONFIG_METADATA!$B$4&lt;&gt;"OR+EX",--(DATOS!$G19021=CONFIG_METADATA!$B$4),IF(DATOS!$G19021="EX",1,IF(DATOS!$G19021="OR",--(COUNTIFS(nNIA,DATOS!$A19021,nCURSO,DATOS!$D19021,nESPEC,DATOS!$E19021,nASIG,DATOS!$I19021,nEVAL,"EX")=0),0))))</f>
      </c>
      <c r="H19021">
        <f>IF(DATOS!$G19021&lt;&gt;"EX",0,--(COUNTIFS(nNIA,DATOS!$A19021,nCURSO,DATOS!$D19021,nESPEC,DATOS!$E19021,nASIG,DATOS!$I19021,nEVAL,"OR")=0))</f>
      </c>
      <c r="I19021">
        <f>IF(DATOS!$I19021="","",IFERROR(VLOOKUP(DATOS!$I19021,CONFIG_ASIGNATURAS!$B$2:$J$91,9,FALSE()),""))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IF(DATOS!$A19022="",0,IF(CONFIG_METADATA!$B$4&lt;&gt;"OR+EX",--(DATOS!$G19022=CONFIG_METADATA!$B$4),IF(DATOS!$G19022="EX",1,IF(DATOS!$G19022="OR",--(COUNTIFS(nNIA,DATOS!$A19022,nCURSO,DATOS!$D19022,nESPEC,DATOS!$E19022,nASIG,DATOS!$I19022,nEVAL,"EX")=0),0))))</f>
      </c>
      <c r="H19022">
        <f>IF(DATOS!$G19022&lt;&gt;"EX",0,--(COUNTIFS(nNIA,DATOS!$A19022,nCURSO,DATOS!$D19022,nESPEC,DATOS!$E19022,nASIG,DATOS!$I19022,nEVAL,"OR")=0))</f>
      </c>
      <c r="I19022">
        <f>IF(DATOS!$I19022="","",IFERROR(VLOOKUP(DATOS!$I19022,CONFIG_ASIGNATURAS!$B$2:$J$91,9,FALSE()),""))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IF(DATOS!$A19023="",0,IF(CONFIG_METADATA!$B$4&lt;&gt;"OR+EX",--(DATOS!$G19023=CONFIG_METADATA!$B$4),IF(DATOS!$G19023="EX",1,IF(DATOS!$G19023="OR",--(COUNTIFS(nNIA,DATOS!$A19023,nCURSO,DATOS!$D19023,nESPEC,DATOS!$E19023,nASIG,DATOS!$I19023,nEVAL,"EX")=0),0))))</f>
      </c>
      <c r="H19023">
        <f>IF(DATOS!$G19023&lt;&gt;"EX",0,--(COUNTIFS(nNIA,DATOS!$A19023,nCURSO,DATOS!$D19023,nESPEC,DATOS!$E19023,nASIG,DATOS!$I19023,nEVAL,"OR")=0))</f>
      </c>
      <c r="I19023">
        <f>IF(DATOS!$I19023="","",IFERROR(VLOOKUP(DATOS!$I19023,CONFIG_ASIGNATURAS!$B$2:$J$91,9,FALSE()),""))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IF(DATOS!$A19024="",0,IF(CONFIG_METADATA!$B$4&lt;&gt;"OR+EX",--(DATOS!$G19024=CONFIG_METADATA!$B$4),IF(DATOS!$G19024="EX",1,IF(DATOS!$G19024="OR",--(COUNTIFS(nNIA,DATOS!$A19024,nCURSO,DATOS!$D19024,nESPEC,DATOS!$E19024,nASIG,DATOS!$I19024,nEVAL,"EX")=0),0))))</f>
      </c>
      <c r="H19024">
        <f>IF(DATOS!$G19024&lt;&gt;"EX",0,--(COUNTIFS(nNIA,DATOS!$A19024,nCURSO,DATOS!$D19024,nESPEC,DATOS!$E19024,nASIG,DATOS!$I19024,nEVAL,"OR")=0))</f>
      </c>
      <c r="I19024">
        <f>IF(DATOS!$I19024="","",IFERROR(VLOOKUP(DATOS!$I19024,CONFIG_ASIGNATURAS!$B$2:$J$91,9,FALSE()),""))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IF(DATOS!$A19025="",0,IF(CONFIG_METADATA!$B$4&lt;&gt;"OR+EX",--(DATOS!$G19025=CONFIG_METADATA!$B$4),IF(DATOS!$G19025="EX",1,IF(DATOS!$G19025="OR",--(COUNTIFS(nNIA,DATOS!$A19025,nCURSO,DATOS!$D19025,nESPEC,DATOS!$E19025,nASIG,DATOS!$I19025,nEVAL,"EX")=0),0))))</f>
      </c>
      <c r="H19025">
        <f>IF(DATOS!$G19025&lt;&gt;"EX",0,--(COUNTIFS(nNIA,DATOS!$A19025,nCURSO,DATOS!$D19025,nESPEC,DATOS!$E19025,nASIG,DATOS!$I19025,nEVAL,"OR")=0))</f>
      </c>
      <c r="I19025">
        <f>IF(DATOS!$I19025="","",IFERROR(VLOOKUP(DATOS!$I19025,CONFIG_ASIGNATURAS!$B$2:$J$91,9,FALSE()),""))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IF(DATOS!$A19026="",0,IF(CONFIG_METADATA!$B$4&lt;&gt;"OR+EX",--(DATOS!$G19026=CONFIG_METADATA!$B$4),IF(DATOS!$G19026="EX",1,IF(DATOS!$G19026="OR",--(COUNTIFS(nNIA,DATOS!$A19026,nCURSO,DATOS!$D19026,nESPEC,DATOS!$E19026,nASIG,DATOS!$I19026,nEVAL,"EX")=0),0))))</f>
      </c>
      <c r="H19026">
        <f>IF(DATOS!$G19026&lt;&gt;"EX",0,--(COUNTIFS(nNIA,DATOS!$A19026,nCURSO,DATOS!$D19026,nESPEC,DATOS!$E19026,nASIG,DATOS!$I19026,nEVAL,"OR")=0))</f>
      </c>
      <c r="I19026">
        <f>IF(DATOS!$I19026="","",IFERROR(VLOOKUP(DATOS!$I19026,CONFIG_ASIGNATURAS!$B$2:$J$91,9,FALSE()),""))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IF(DATOS!$A19027="",0,IF(CONFIG_METADATA!$B$4&lt;&gt;"OR+EX",--(DATOS!$G19027=CONFIG_METADATA!$B$4),IF(DATOS!$G19027="EX",1,IF(DATOS!$G19027="OR",--(COUNTIFS(nNIA,DATOS!$A19027,nCURSO,DATOS!$D19027,nESPEC,DATOS!$E19027,nASIG,DATOS!$I19027,nEVAL,"EX")=0),0))))</f>
      </c>
      <c r="H19027">
        <f>IF(DATOS!$G19027&lt;&gt;"EX",0,--(COUNTIFS(nNIA,DATOS!$A19027,nCURSO,DATOS!$D19027,nESPEC,DATOS!$E19027,nASIG,DATOS!$I19027,nEVAL,"OR")=0))</f>
      </c>
      <c r="I19027">
        <f>IF(DATOS!$I19027="","",IFERROR(VLOOKUP(DATOS!$I19027,CONFIG_ASIGNATURAS!$B$2:$J$91,9,FALSE()),""))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IF(DATOS!$A19028="",0,IF(CONFIG_METADATA!$B$4&lt;&gt;"OR+EX",--(DATOS!$G19028=CONFIG_METADATA!$B$4),IF(DATOS!$G19028="EX",1,IF(DATOS!$G19028="OR",--(COUNTIFS(nNIA,DATOS!$A19028,nCURSO,DATOS!$D19028,nESPEC,DATOS!$E19028,nASIG,DATOS!$I19028,nEVAL,"EX")=0),0))))</f>
      </c>
      <c r="H19028">
        <f>IF(DATOS!$G19028&lt;&gt;"EX",0,--(COUNTIFS(nNIA,DATOS!$A19028,nCURSO,DATOS!$D19028,nESPEC,DATOS!$E19028,nASIG,DATOS!$I19028,nEVAL,"OR")=0))</f>
      </c>
      <c r="I19028">
        <f>IF(DATOS!$I19028="","",IFERROR(VLOOKUP(DATOS!$I19028,CONFIG_ASIGNATURAS!$B$2:$J$91,9,FALSE()),""))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IF(DATOS!$A19029="",0,IF(CONFIG_METADATA!$B$4&lt;&gt;"OR+EX",--(DATOS!$G19029=CONFIG_METADATA!$B$4),IF(DATOS!$G19029="EX",1,IF(DATOS!$G19029="OR",--(COUNTIFS(nNIA,DATOS!$A19029,nCURSO,DATOS!$D19029,nESPEC,DATOS!$E19029,nASIG,DATOS!$I19029,nEVAL,"EX")=0),0))))</f>
      </c>
      <c r="H19029">
        <f>IF(DATOS!$G19029&lt;&gt;"EX",0,--(COUNTIFS(nNIA,DATOS!$A19029,nCURSO,DATOS!$D19029,nESPEC,DATOS!$E19029,nASIG,DATOS!$I19029,nEVAL,"OR")=0))</f>
      </c>
      <c r="I19029">
        <f>IF(DATOS!$I19029="","",IFERROR(VLOOKUP(DATOS!$I19029,CONFIG_ASIGNATURAS!$B$2:$J$91,9,FALSE()),""))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IF(DATOS!$A19030="",0,IF(CONFIG_METADATA!$B$4&lt;&gt;"OR+EX",--(DATOS!$G19030=CONFIG_METADATA!$B$4),IF(DATOS!$G19030="EX",1,IF(DATOS!$G19030="OR",--(COUNTIFS(nNIA,DATOS!$A19030,nCURSO,DATOS!$D19030,nESPEC,DATOS!$E19030,nASIG,DATOS!$I19030,nEVAL,"EX")=0),0))))</f>
      </c>
      <c r="H19030">
        <f>IF(DATOS!$G19030&lt;&gt;"EX",0,--(COUNTIFS(nNIA,DATOS!$A19030,nCURSO,DATOS!$D19030,nESPEC,DATOS!$E19030,nASIG,DATOS!$I19030,nEVAL,"OR")=0))</f>
      </c>
      <c r="I19030">
        <f>IF(DATOS!$I19030="","",IFERROR(VLOOKUP(DATOS!$I19030,CONFIG_ASIGNATURAS!$B$2:$J$91,9,FALSE()),""))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IF(DATOS!$A19031="",0,IF(CONFIG_METADATA!$B$4&lt;&gt;"OR+EX",--(DATOS!$G19031=CONFIG_METADATA!$B$4),IF(DATOS!$G19031="EX",1,IF(DATOS!$G19031="OR",--(COUNTIFS(nNIA,DATOS!$A19031,nCURSO,DATOS!$D19031,nESPEC,DATOS!$E19031,nASIG,DATOS!$I19031,nEVAL,"EX")=0),0))))</f>
      </c>
      <c r="H19031">
        <f>IF(DATOS!$G19031&lt;&gt;"EX",0,--(COUNTIFS(nNIA,DATOS!$A19031,nCURSO,DATOS!$D19031,nESPEC,DATOS!$E19031,nASIG,DATOS!$I19031,nEVAL,"OR")=0))</f>
      </c>
      <c r="I19031">
        <f>IF(DATOS!$I19031="","",IFERROR(VLOOKUP(DATOS!$I19031,CONFIG_ASIGNATURAS!$B$2:$J$91,9,FALSE()),""))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IF(DATOS!$A19032="",0,IF(CONFIG_METADATA!$B$4&lt;&gt;"OR+EX",--(DATOS!$G19032=CONFIG_METADATA!$B$4),IF(DATOS!$G19032="EX",1,IF(DATOS!$G19032="OR",--(COUNTIFS(nNIA,DATOS!$A19032,nCURSO,DATOS!$D19032,nESPEC,DATOS!$E19032,nASIG,DATOS!$I19032,nEVAL,"EX")=0),0))))</f>
      </c>
      <c r="H19032">
        <f>IF(DATOS!$G19032&lt;&gt;"EX",0,--(COUNTIFS(nNIA,DATOS!$A19032,nCURSO,DATOS!$D19032,nESPEC,DATOS!$E19032,nASIG,DATOS!$I19032,nEVAL,"OR")=0))</f>
      </c>
      <c r="I19032">
        <f>IF(DATOS!$I19032="","",IFERROR(VLOOKUP(DATOS!$I19032,CONFIG_ASIGNATURAS!$B$2:$J$91,9,FALSE()),""))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IF(DATOS!$A19033="",0,IF(CONFIG_METADATA!$B$4&lt;&gt;"OR+EX",--(DATOS!$G19033=CONFIG_METADATA!$B$4),IF(DATOS!$G19033="EX",1,IF(DATOS!$G19033="OR",--(COUNTIFS(nNIA,DATOS!$A19033,nCURSO,DATOS!$D19033,nESPEC,DATOS!$E19033,nASIG,DATOS!$I19033,nEVAL,"EX")=0),0))))</f>
      </c>
      <c r="H19033">
        <f>IF(DATOS!$G19033&lt;&gt;"EX",0,--(COUNTIFS(nNIA,DATOS!$A19033,nCURSO,DATOS!$D19033,nESPEC,DATOS!$E19033,nASIG,DATOS!$I19033,nEVAL,"OR")=0))</f>
      </c>
      <c r="I19033">
        <f>IF(DATOS!$I19033="","",IFERROR(VLOOKUP(DATOS!$I19033,CONFIG_ASIGNATURAS!$B$2:$J$91,9,FALSE()),""))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IF(DATOS!$A19034="",0,IF(CONFIG_METADATA!$B$4&lt;&gt;"OR+EX",--(DATOS!$G19034=CONFIG_METADATA!$B$4),IF(DATOS!$G19034="EX",1,IF(DATOS!$G19034="OR",--(COUNTIFS(nNIA,DATOS!$A19034,nCURSO,DATOS!$D19034,nESPEC,DATOS!$E19034,nASIG,DATOS!$I19034,nEVAL,"EX")=0),0))))</f>
      </c>
      <c r="H19034">
        <f>IF(DATOS!$G19034&lt;&gt;"EX",0,--(COUNTIFS(nNIA,DATOS!$A19034,nCURSO,DATOS!$D19034,nESPEC,DATOS!$E19034,nASIG,DATOS!$I19034,nEVAL,"OR")=0))</f>
      </c>
      <c r="I19034">
        <f>IF(DATOS!$I19034="","",IFERROR(VLOOKUP(DATOS!$I19034,CONFIG_ASIGNATURAS!$B$2:$J$91,9,FALSE()),""))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IF(DATOS!$A19035="",0,IF(CONFIG_METADATA!$B$4&lt;&gt;"OR+EX",--(DATOS!$G19035=CONFIG_METADATA!$B$4),IF(DATOS!$G19035="EX",1,IF(DATOS!$G19035="OR",--(COUNTIFS(nNIA,DATOS!$A19035,nCURSO,DATOS!$D19035,nESPEC,DATOS!$E19035,nASIG,DATOS!$I19035,nEVAL,"EX")=0),0))))</f>
      </c>
      <c r="H19035">
        <f>IF(DATOS!$G19035&lt;&gt;"EX",0,--(COUNTIFS(nNIA,DATOS!$A19035,nCURSO,DATOS!$D19035,nESPEC,DATOS!$E19035,nASIG,DATOS!$I19035,nEVAL,"OR")=0))</f>
      </c>
      <c r="I19035">
        <f>IF(DATOS!$I19035="","",IFERROR(VLOOKUP(DATOS!$I19035,CONFIG_ASIGNATURAS!$B$2:$J$91,9,FALSE()),""))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IF(DATOS!$A19036="",0,IF(CONFIG_METADATA!$B$4&lt;&gt;"OR+EX",--(DATOS!$G19036=CONFIG_METADATA!$B$4),IF(DATOS!$G19036="EX",1,IF(DATOS!$G19036="OR",--(COUNTIFS(nNIA,DATOS!$A19036,nCURSO,DATOS!$D19036,nESPEC,DATOS!$E19036,nASIG,DATOS!$I19036,nEVAL,"EX")=0),0))))</f>
      </c>
      <c r="H19036">
        <f>IF(DATOS!$G19036&lt;&gt;"EX",0,--(COUNTIFS(nNIA,DATOS!$A19036,nCURSO,DATOS!$D19036,nESPEC,DATOS!$E19036,nASIG,DATOS!$I19036,nEVAL,"OR")=0))</f>
      </c>
      <c r="I19036">
        <f>IF(DATOS!$I19036="","",IFERROR(VLOOKUP(DATOS!$I19036,CONFIG_ASIGNATURAS!$B$2:$J$91,9,FALSE()),""))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IF(DATOS!$A19037="",0,IF(CONFIG_METADATA!$B$4&lt;&gt;"OR+EX",--(DATOS!$G19037=CONFIG_METADATA!$B$4),IF(DATOS!$G19037="EX",1,IF(DATOS!$G19037="OR",--(COUNTIFS(nNIA,DATOS!$A19037,nCURSO,DATOS!$D19037,nESPEC,DATOS!$E19037,nASIG,DATOS!$I19037,nEVAL,"EX")=0),0))))</f>
      </c>
      <c r="H19037">
        <f>IF(DATOS!$G19037&lt;&gt;"EX",0,--(COUNTIFS(nNIA,DATOS!$A19037,nCURSO,DATOS!$D19037,nESPEC,DATOS!$E19037,nASIG,DATOS!$I19037,nEVAL,"OR")=0))</f>
      </c>
      <c r="I19037">
        <f>IF(DATOS!$I19037="","",IFERROR(VLOOKUP(DATOS!$I19037,CONFIG_ASIGNATURAS!$B$2:$J$91,9,FALSE()),""))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IF(DATOS!$A19038="",0,IF(CONFIG_METADATA!$B$4&lt;&gt;"OR+EX",--(DATOS!$G19038=CONFIG_METADATA!$B$4),IF(DATOS!$G19038="EX",1,IF(DATOS!$G19038="OR",--(COUNTIFS(nNIA,DATOS!$A19038,nCURSO,DATOS!$D19038,nESPEC,DATOS!$E19038,nASIG,DATOS!$I19038,nEVAL,"EX")=0),0))))</f>
      </c>
      <c r="H19038">
        <f>IF(DATOS!$G19038&lt;&gt;"EX",0,--(COUNTIFS(nNIA,DATOS!$A19038,nCURSO,DATOS!$D19038,nESPEC,DATOS!$E19038,nASIG,DATOS!$I19038,nEVAL,"OR")=0))</f>
      </c>
      <c r="I19038">
        <f>IF(DATOS!$I19038="","",IFERROR(VLOOKUP(DATOS!$I19038,CONFIG_ASIGNATURAS!$B$2:$J$91,9,FALSE()),""))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IF(DATOS!$A19039="",0,IF(CONFIG_METADATA!$B$4&lt;&gt;"OR+EX",--(DATOS!$G19039=CONFIG_METADATA!$B$4),IF(DATOS!$G19039="EX",1,IF(DATOS!$G19039="OR",--(COUNTIFS(nNIA,DATOS!$A19039,nCURSO,DATOS!$D19039,nESPEC,DATOS!$E19039,nASIG,DATOS!$I19039,nEVAL,"EX")=0),0))))</f>
      </c>
      <c r="H19039">
        <f>IF(DATOS!$G19039&lt;&gt;"EX",0,--(COUNTIFS(nNIA,DATOS!$A19039,nCURSO,DATOS!$D19039,nESPEC,DATOS!$E19039,nASIG,DATOS!$I19039,nEVAL,"OR")=0))</f>
      </c>
      <c r="I19039">
        <f>IF(DATOS!$I19039="","",IFERROR(VLOOKUP(DATOS!$I19039,CONFIG_ASIGNATURAS!$B$2:$J$91,9,FALSE()),""))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IF(DATOS!$A19040="",0,IF(CONFIG_METADATA!$B$4&lt;&gt;"OR+EX",--(DATOS!$G19040=CONFIG_METADATA!$B$4),IF(DATOS!$G19040="EX",1,IF(DATOS!$G19040="OR",--(COUNTIFS(nNIA,DATOS!$A19040,nCURSO,DATOS!$D19040,nESPEC,DATOS!$E19040,nASIG,DATOS!$I19040,nEVAL,"EX")=0),0))))</f>
      </c>
      <c r="H19040">
        <f>IF(DATOS!$G19040&lt;&gt;"EX",0,--(COUNTIFS(nNIA,DATOS!$A19040,nCURSO,DATOS!$D19040,nESPEC,DATOS!$E19040,nASIG,DATOS!$I19040,nEVAL,"OR")=0))</f>
      </c>
      <c r="I19040">
        <f>IF(DATOS!$I19040="","",IFERROR(VLOOKUP(DATOS!$I19040,CONFIG_ASIGNATURAS!$B$2:$J$91,9,FALSE()),""))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IF(DATOS!$A19041="",0,IF(CONFIG_METADATA!$B$4&lt;&gt;"OR+EX",--(DATOS!$G19041=CONFIG_METADATA!$B$4),IF(DATOS!$G19041="EX",1,IF(DATOS!$G19041="OR",--(COUNTIFS(nNIA,DATOS!$A19041,nCURSO,DATOS!$D19041,nESPEC,DATOS!$E19041,nASIG,DATOS!$I19041,nEVAL,"EX")=0),0))))</f>
      </c>
      <c r="H19041">
        <f>IF(DATOS!$G19041&lt;&gt;"EX",0,--(COUNTIFS(nNIA,DATOS!$A19041,nCURSO,DATOS!$D19041,nESPEC,DATOS!$E19041,nASIG,DATOS!$I19041,nEVAL,"OR")=0))</f>
      </c>
      <c r="I19041">
        <f>IF(DATOS!$I19041="","",IFERROR(VLOOKUP(DATOS!$I19041,CONFIG_ASIGNATURAS!$B$2:$J$91,9,FALSE()),""))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IF(DATOS!$A19042="",0,IF(CONFIG_METADATA!$B$4&lt;&gt;"OR+EX",--(DATOS!$G19042=CONFIG_METADATA!$B$4),IF(DATOS!$G19042="EX",1,IF(DATOS!$G19042="OR",--(COUNTIFS(nNIA,DATOS!$A19042,nCURSO,DATOS!$D19042,nESPEC,DATOS!$E19042,nASIG,DATOS!$I19042,nEVAL,"EX")=0),0))))</f>
      </c>
      <c r="H19042">
        <f>IF(DATOS!$G19042&lt;&gt;"EX",0,--(COUNTIFS(nNIA,DATOS!$A19042,nCURSO,DATOS!$D19042,nESPEC,DATOS!$E19042,nASIG,DATOS!$I19042,nEVAL,"OR")=0))</f>
      </c>
      <c r="I19042">
        <f>IF(DATOS!$I19042="","",IFERROR(VLOOKUP(DATOS!$I19042,CONFIG_ASIGNATURAS!$B$2:$J$91,9,FALSE()),""))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IF(DATOS!$A19043="",0,IF(CONFIG_METADATA!$B$4&lt;&gt;"OR+EX",--(DATOS!$G19043=CONFIG_METADATA!$B$4),IF(DATOS!$G19043="EX",1,IF(DATOS!$G19043="OR",--(COUNTIFS(nNIA,DATOS!$A19043,nCURSO,DATOS!$D19043,nESPEC,DATOS!$E19043,nASIG,DATOS!$I19043,nEVAL,"EX")=0),0))))</f>
      </c>
      <c r="H19043">
        <f>IF(DATOS!$G19043&lt;&gt;"EX",0,--(COUNTIFS(nNIA,DATOS!$A19043,nCURSO,DATOS!$D19043,nESPEC,DATOS!$E19043,nASIG,DATOS!$I19043,nEVAL,"OR")=0))</f>
      </c>
      <c r="I19043">
        <f>IF(DATOS!$I19043="","",IFERROR(VLOOKUP(DATOS!$I19043,CONFIG_ASIGNATURAS!$B$2:$J$91,9,FALSE()),""))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IF(DATOS!$A19044="",0,IF(CONFIG_METADATA!$B$4&lt;&gt;"OR+EX",--(DATOS!$G19044=CONFIG_METADATA!$B$4),IF(DATOS!$G19044="EX",1,IF(DATOS!$G19044="OR",--(COUNTIFS(nNIA,DATOS!$A19044,nCURSO,DATOS!$D19044,nESPEC,DATOS!$E19044,nASIG,DATOS!$I19044,nEVAL,"EX")=0),0))))</f>
      </c>
      <c r="H19044">
        <f>IF(DATOS!$G19044&lt;&gt;"EX",0,--(COUNTIFS(nNIA,DATOS!$A19044,nCURSO,DATOS!$D19044,nESPEC,DATOS!$E19044,nASIG,DATOS!$I19044,nEVAL,"OR")=0))</f>
      </c>
      <c r="I19044">
        <f>IF(DATOS!$I19044="","",IFERROR(VLOOKUP(DATOS!$I19044,CONFIG_ASIGNATURAS!$B$2:$J$91,9,FALSE()),""))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IF(DATOS!$A19045="",0,IF(CONFIG_METADATA!$B$4&lt;&gt;"OR+EX",--(DATOS!$G19045=CONFIG_METADATA!$B$4),IF(DATOS!$G19045="EX",1,IF(DATOS!$G19045="OR",--(COUNTIFS(nNIA,DATOS!$A19045,nCURSO,DATOS!$D19045,nESPEC,DATOS!$E19045,nASIG,DATOS!$I19045,nEVAL,"EX")=0),0))))</f>
      </c>
      <c r="H19045">
        <f>IF(DATOS!$G19045&lt;&gt;"EX",0,--(COUNTIFS(nNIA,DATOS!$A19045,nCURSO,DATOS!$D19045,nESPEC,DATOS!$E19045,nASIG,DATOS!$I19045,nEVAL,"OR")=0))</f>
      </c>
      <c r="I19045">
        <f>IF(DATOS!$I19045="","",IFERROR(VLOOKUP(DATOS!$I19045,CONFIG_ASIGNATURAS!$B$2:$J$91,9,FALSE()),""))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IF(DATOS!$A19046="",0,IF(CONFIG_METADATA!$B$4&lt;&gt;"OR+EX",--(DATOS!$G19046=CONFIG_METADATA!$B$4),IF(DATOS!$G19046="EX",1,IF(DATOS!$G19046="OR",--(COUNTIFS(nNIA,DATOS!$A19046,nCURSO,DATOS!$D19046,nESPEC,DATOS!$E19046,nASIG,DATOS!$I19046,nEVAL,"EX")=0),0))))</f>
      </c>
      <c r="H19046">
        <f>IF(DATOS!$G19046&lt;&gt;"EX",0,--(COUNTIFS(nNIA,DATOS!$A19046,nCURSO,DATOS!$D19046,nESPEC,DATOS!$E19046,nASIG,DATOS!$I19046,nEVAL,"OR")=0))</f>
      </c>
      <c r="I19046">
        <f>IF(DATOS!$I19046="","",IFERROR(VLOOKUP(DATOS!$I19046,CONFIG_ASIGNATURAS!$B$2:$J$91,9,FALSE()),""))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IF(DATOS!$A19047="",0,IF(CONFIG_METADATA!$B$4&lt;&gt;"OR+EX",--(DATOS!$G19047=CONFIG_METADATA!$B$4),IF(DATOS!$G19047="EX",1,IF(DATOS!$G19047="OR",--(COUNTIFS(nNIA,DATOS!$A19047,nCURSO,DATOS!$D19047,nESPEC,DATOS!$E19047,nASIG,DATOS!$I19047,nEVAL,"EX")=0),0))))</f>
      </c>
      <c r="H19047">
        <f>IF(DATOS!$G19047&lt;&gt;"EX",0,--(COUNTIFS(nNIA,DATOS!$A19047,nCURSO,DATOS!$D19047,nESPEC,DATOS!$E19047,nASIG,DATOS!$I19047,nEVAL,"OR")=0))</f>
      </c>
      <c r="I19047">
        <f>IF(DATOS!$I19047="","",IFERROR(VLOOKUP(DATOS!$I19047,CONFIG_ASIGNATURAS!$B$2:$J$91,9,FALSE()),""))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IF(DATOS!$A19048="",0,IF(CONFIG_METADATA!$B$4&lt;&gt;"OR+EX",--(DATOS!$G19048=CONFIG_METADATA!$B$4),IF(DATOS!$G19048="EX",1,IF(DATOS!$G19048="OR",--(COUNTIFS(nNIA,DATOS!$A19048,nCURSO,DATOS!$D19048,nESPEC,DATOS!$E19048,nASIG,DATOS!$I19048,nEVAL,"EX")=0),0))))</f>
      </c>
      <c r="H19048">
        <f>IF(DATOS!$G19048&lt;&gt;"EX",0,--(COUNTIFS(nNIA,DATOS!$A19048,nCURSO,DATOS!$D19048,nESPEC,DATOS!$E19048,nASIG,DATOS!$I19048,nEVAL,"OR")=0))</f>
      </c>
      <c r="I19048">
        <f>IF(DATOS!$I19048="","",IFERROR(VLOOKUP(DATOS!$I19048,CONFIG_ASIGNATURAS!$B$2:$J$91,9,FALSE()),""))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IF(DATOS!$A19049="",0,IF(CONFIG_METADATA!$B$4&lt;&gt;"OR+EX",--(DATOS!$G19049=CONFIG_METADATA!$B$4),IF(DATOS!$G19049="EX",1,IF(DATOS!$G19049="OR",--(COUNTIFS(nNIA,DATOS!$A19049,nCURSO,DATOS!$D19049,nESPEC,DATOS!$E19049,nASIG,DATOS!$I19049,nEVAL,"EX")=0),0))))</f>
      </c>
      <c r="H19049">
        <f>IF(DATOS!$G19049&lt;&gt;"EX",0,--(COUNTIFS(nNIA,DATOS!$A19049,nCURSO,DATOS!$D19049,nESPEC,DATOS!$E19049,nASIG,DATOS!$I19049,nEVAL,"OR")=0))</f>
      </c>
      <c r="I19049">
        <f>IF(DATOS!$I19049="","",IFERROR(VLOOKUP(DATOS!$I19049,CONFIG_ASIGNATURAS!$B$2:$J$91,9,FALSE()),""))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IF(DATOS!$A19050="",0,IF(CONFIG_METADATA!$B$4&lt;&gt;"OR+EX",--(DATOS!$G19050=CONFIG_METADATA!$B$4),IF(DATOS!$G19050="EX",1,IF(DATOS!$G19050="OR",--(COUNTIFS(nNIA,DATOS!$A19050,nCURSO,DATOS!$D19050,nESPEC,DATOS!$E19050,nASIG,DATOS!$I19050,nEVAL,"EX")=0),0))))</f>
      </c>
      <c r="H19050">
        <f>IF(DATOS!$G19050&lt;&gt;"EX",0,--(COUNTIFS(nNIA,DATOS!$A19050,nCURSO,DATOS!$D19050,nESPEC,DATOS!$E19050,nASIG,DATOS!$I19050,nEVAL,"OR")=0))</f>
      </c>
      <c r="I19050">
        <f>IF(DATOS!$I19050="","",IFERROR(VLOOKUP(DATOS!$I19050,CONFIG_ASIGNATURAS!$B$2:$J$91,9,FALSE()),""))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IF(DATOS!$A19051="",0,IF(CONFIG_METADATA!$B$4&lt;&gt;"OR+EX",--(DATOS!$G19051=CONFIG_METADATA!$B$4),IF(DATOS!$G19051="EX",1,IF(DATOS!$G19051="OR",--(COUNTIFS(nNIA,DATOS!$A19051,nCURSO,DATOS!$D19051,nESPEC,DATOS!$E19051,nASIG,DATOS!$I19051,nEVAL,"EX")=0),0))))</f>
      </c>
      <c r="H19051">
        <f>IF(DATOS!$G19051&lt;&gt;"EX",0,--(COUNTIFS(nNIA,DATOS!$A19051,nCURSO,DATOS!$D19051,nESPEC,DATOS!$E19051,nASIG,DATOS!$I19051,nEVAL,"OR")=0))</f>
      </c>
      <c r="I19051">
        <f>IF(DATOS!$I19051="","",IFERROR(VLOOKUP(DATOS!$I19051,CONFIG_ASIGNATURAS!$B$2:$J$91,9,FALSE()),""))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IF(DATOS!$A19052="",0,IF(CONFIG_METADATA!$B$4&lt;&gt;"OR+EX",--(DATOS!$G19052=CONFIG_METADATA!$B$4),IF(DATOS!$G19052="EX",1,IF(DATOS!$G19052="OR",--(COUNTIFS(nNIA,DATOS!$A19052,nCURSO,DATOS!$D19052,nESPEC,DATOS!$E19052,nASIG,DATOS!$I19052,nEVAL,"EX")=0),0))))</f>
      </c>
      <c r="H19052">
        <f>IF(DATOS!$G19052&lt;&gt;"EX",0,--(COUNTIFS(nNIA,DATOS!$A19052,nCURSO,DATOS!$D19052,nESPEC,DATOS!$E19052,nASIG,DATOS!$I19052,nEVAL,"OR")=0))</f>
      </c>
      <c r="I19052">
        <f>IF(DATOS!$I19052="","",IFERROR(VLOOKUP(DATOS!$I19052,CONFIG_ASIGNATURAS!$B$2:$J$91,9,FALSE()),""))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IF(DATOS!$A19053="",0,IF(CONFIG_METADATA!$B$4&lt;&gt;"OR+EX",--(DATOS!$G19053=CONFIG_METADATA!$B$4),IF(DATOS!$G19053="EX",1,IF(DATOS!$G19053="OR",--(COUNTIFS(nNIA,DATOS!$A19053,nCURSO,DATOS!$D19053,nESPEC,DATOS!$E19053,nASIG,DATOS!$I19053,nEVAL,"EX")=0),0))))</f>
      </c>
      <c r="H19053">
        <f>IF(DATOS!$G19053&lt;&gt;"EX",0,--(COUNTIFS(nNIA,DATOS!$A19053,nCURSO,DATOS!$D19053,nESPEC,DATOS!$E19053,nASIG,DATOS!$I19053,nEVAL,"OR")=0))</f>
      </c>
      <c r="I19053">
        <f>IF(DATOS!$I19053="","",IFERROR(VLOOKUP(DATOS!$I19053,CONFIG_ASIGNATURAS!$B$2:$J$91,9,FALSE()),""))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IF(DATOS!$A19054="",0,IF(CONFIG_METADATA!$B$4&lt;&gt;"OR+EX",--(DATOS!$G19054=CONFIG_METADATA!$B$4),IF(DATOS!$G19054="EX",1,IF(DATOS!$G19054="OR",--(COUNTIFS(nNIA,DATOS!$A19054,nCURSO,DATOS!$D19054,nESPEC,DATOS!$E19054,nASIG,DATOS!$I19054,nEVAL,"EX")=0),0))))</f>
      </c>
      <c r="H19054">
        <f>IF(DATOS!$G19054&lt;&gt;"EX",0,--(COUNTIFS(nNIA,DATOS!$A19054,nCURSO,DATOS!$D19054,nESPEC,DATOS!$E19054,nASIG,DATOS!$I19054,nEVAL,"OR")=0))</f>
      </c>
      <c r="I19054">
        <f>IF(DATOS!$I19054="","",IFERROR(VLOOKUP(DATOS!$I19054,CONFIG_ASIGNATURAS!$B$2:$J$91,9,FALSE()),""))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IF(DATOS!$A19055="",0,IF(CONFIG_METADATA!$B$4&lt;&gt;"OR+EX",--(DATOS!$G19055=CONFIG_METADATA!$B$4),IF(DATOS!$G19055="EX",1,IF(DATOS!$G19055="OR",--(COUNTIFS(nNIA,DATOS!$A19055,nCURSO,DATOS!$D19055,nESPEC,DATOS!$E19055,nASIG,DATOS!$I19055,nEVAL,"EX")=0),0))))</f>
      </c>
      <c r="H19055">
        <f>IF(DATOS!$G19055&lt;&gt;"EX",0,--(COUNTIFS(nNIA,DATOS!$A19055,nCURSO,DATOS!$D19055,nESPEC,DATOS!$E19055,nASIG,DATOS!$I19055,nEVAL,"OR")=0))</f>
      </c>
      <c r="I19055">
        <f>IF(DATOS!$I19055="","",IFERROR(VLOOKUP(DATOS!$I19055,CONFIG_ASIGNATURAS!$B$2:$J$91,9,FALSE()),""))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IF(DATOS!$A19056="",0,IF(CONFIG_METADATA!$B$4&lt;&gt;"OR+EX",--(DATOS!$G19056=CONFIG_METADATA!$B$4),IF(DATOS!$G19056="EX",1,IF(DATOS!$G19056="OR",--(COUNTIFS(nNIA,DATOS!$A19056,nCURSO,DATOS!$D19056,nESPEC,DATOS!$E19056,nASIG,DATOS!$I19056,nEVAL,"EX")=0),0))))</f>
      </c>
      <c r="H19056">
        <f>IF(DATOS!$G19056&lt;&gt;"EX",0,--(COUNTIFS(nNIA,DATOS!$A19056,nCURSO,DATOS!$D19056,nESPEC,DATOS!$E19056,nASIG,DATOS!$I19056,nEVAL,"OR")=0))</f>
      </c>
      <c r="I19056">
        <f>IF(DATOS!$I19056="","",IFERROR(VLOOKUP(DATOS!$I19056,CONFIG_ASIGNATURAS!$B$2:$J$91,9,FALSE()),""))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IF(DATOS!$A19057="",0,IF(CONFIG_METADATA!$B$4&lt;&gt;"OR+EX",--(DATOS!$G19057=CONFIG_METADATA!$B$4),IF(DATOS!$G19057="EX",1,IF(DATOS!$G19057="OR",--(COUNTIFS(nNIA,DATOS!$A19057,nCURSO,DATOS!$D19057,nESPEC,DATOS!$E19057,nASIG,DATOS!$I19057,nEVAL,"EX")=0),0))))</f>
      </c>
      <c r="H19057">
        <f>IF(DATOS!$G19057&lt;&gt;"EX",0,--(COUNTIFS(nNIA,DATOS!$A19057,nCURSO,DATOS!$D19057,nESPEC,DATOS!$E19057,nASIG,DATOS!$I19057,nEVAL,"OR")=0))</f>
      </c>
      <c r="I19057">
        <f>IF(DATOS!$I19057="","",IFERROR(VLOOKUP(DATOS!$I19057,CONFIG_ASIGNATURAS!$B$2:$J$91,9,FALSE()),""))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IF(DATOS!$A19058="",0,IF(CONFIG_METADATA!$B$4&lt;&gt;"OR+EX",--(DATOS!$G19058=CONFIG_METADATA!$B$4),IF(DATOS!$G19058="EX",1,IF(DATOS!$G19058="OR",--(COUNTIFS(nNIA,DATOS!$A19058,nCURSO,DATOS!$D19058,nESPEC,DATOS!$E19058,nASIG,DATOS!$I19058,nEVAL,"EX")=0),0))))</f>
      </c>
      <c r="H19058">
        <f>IF(DATOS!$G19058&lt;&gt;"EX",0,--(COUNTIFS(nNIA,DATOS!$A19058,nCURSO,DATOS!$D19058,nESPEC,DATOS!$E19058,nASIG,DATOS!$I19058,nEVAL,"OR")=0))</f>
      </c>
      <c r="I19058">
        <f>IF(DATOS!$I19058="","",IFERROR(VLOOKUP(DATOS!$I19058,CONFIG_ASIGNATURAS!$B$2:$J$91,9,FALSE()),""))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IF(DATOS!$A19059="",0,IF(CONFIG_METADATA!$B$4&lt;&gt;"OR+EX",--(DATOS!$G19059=CONFIG_METADATA!$B$4),IF(DATOS!$G19059="EX",1,IF(DATOS!$G19059="OR",--(COUNTIFS(nNIA,DATOS!$A19059,nCURSO,DATOS!$D19059,nESPEC,DATOS!$E19059,nASIG,DATOS!$I19059,nEVAL,"EX")=0),0))))</f>
      </c>
      <c r="H19059">
        <f>IF(DATOS!$G19059&lt;&gt;"EX",0,--(COUNTIFS(nNIA,DATOS!$A19059,nCURSO,DATOS!$D19059,nESPEC,DATOS!$E19059,nASIG,DATOS!$I19059,nEVAL,"OR")=0))</f>
      </c>
      <c r="I19059">
        <f>IF(DATOS!$I19059="","",IFERROR(VLOOKUP(DATOS!$I19059,CONFIG_ASIGNATURAS!$B$2:$J$91,9,FALSE()),""))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IF(DATOS!$A19060="",0,IF(CONFIG_METADATA!$B$4&lt;&gt;"OR+EX",--(DATOS!$G19060=CONFIG_METADATA!$B$4),IF(DATOS!$G19060="EX",1,IF(DATOS!$G19060="OR",--(COUNTIFS(nNIA,DATOS!$A19060,nCURSO,DATOS!$D19060,nESPEC,DATOS!$E19060,nASIG,DATOS!$I19060,nEVAL,"EX")=0),0))))</f>
      </c>
      <c r="H19060">
        <f>IF(DATOS!$G19060&lt;&gt;"EX",0,--(COUNTIFS(nNIA,DATOS!$A19060,nCURSO,DATOS!$D19060,nESPEC,DATOS!$E19060,nASIG,DATOS!$I19060,nEVAL,"OR")=0))</f>
      </c>
      <c r="I19060">
        <f>IF(DATOS!$I19060="","",IFERROR(VLOOKUP(DATOS!$I19060,CONFIG_ASIGNATURAS!$B$2:$J$91,9,FALSE()),""))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IF(DATOS!$A19061="",0,IF(CONFIG_METADATA!$B$4&lt;&gt;"OR+EX",--(DATOS!$G19061=CONFIG_METADATA!$B$4),IF(DATOS!$G19061="EX",1,IF(DATOS!$G19061="OR",--(COUNTIFS(nNIA,DATOS!$A19061,nCURSO,DATOS!$D19061,nESPEC,DATOS!$E19061,nASIG,DATOS!$I19061,nEVAL,"EX")=0),0))))</f>
      </c>
      <c r="H19061">
        <f>IF(DATOS!$G19061&lt;&gt;"EX",0,--(COUNTIFS(nNIA,DATOS!$A19061,nCURSO,DATOS!$D19061,nESPEC,DATOS!$E19061,nASIG,DATOS!$I19061,nEVAL,"OR")=0))</f>
      </c>
      <c r="I19061">
        <f>IF(DATOS!$I19061="","",IFERROR(VLOOKUP(DATOS!$I19061,CONFIG_ASIGNATURAS!$B$2:$J$91,9,FALSE()),""))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IF(DATOS!$A19062="",0,IF(CONFIG_METADATA!$B$4&lt;&gt;"OR+EX",--(DATOS!$G19062=CONFIG_METADATA!$B$4),IF(DATOS!$G19062="EX",1,IF(DATOS!$G19062="OR",--(COUNTIFS(nNIA,DATOS!$A19062,nCURSO,DATOS!$D19062,nESPEC,DATOS!$E19062,nASIG,DATOS!$I19062,nEVAL,"EX")=0),0))))</f>
      </c>
      <c r="H19062">
        <f>IF(DATOS!$G19062&lt;&gt;"EX",0,--(COUNTIFS(nNIA,DATOS!$A19062,nCURSO,DATOS!$D19062,nESPEC,DATOS!$E19062,nASIG,DATOS!$I19062,nEVAL,"OR")=0))</f>
      </c>
      <c r="I19062">
        <f>IF(DATOS!$I19062="","",IFERROR(VLOOKUP(DATOS!$I19062,CONFIG_ASIGNATURAS!$B$2:$J$91,9,FALSE()),""))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IF(DATOS!$A19063="",0,IF(CONFIG_METADATA!$B$4&lt;&gt;"OR+EX",--(DATOS!$G19063=CONFIG_METADATA!$B$4),IF(DATOS!$G19063="EX",1,IF(DATOS!$G19063="OR",--(COUNTIFS(nNIA,DATOS!$A19063,nCURSO,DATOS!$D19063,nESPEC,DATOS!$E19063,nASIG,DATOS!$I19063,nEVAL,"EX")=0),0))))</f>
      </c>
      <c r="H19063">
        <f>IF(DATOS!$G19063&lt;&gt;"EX",0,--(COUNTIFS(nNIA,DATOS!$A19063,nCURSO,DATOS!$D19063,nESPEC,DATOS!$E19063,nASIG,DATOS!$I19063,nEVAL,"OR")=0))</f>
      </c>
      <c r="I19063">
        <f>IF(DATOS!$I19063="","",IFERROR(VLOOKUP(DATOS!$I19063,CONFIG_ASIGNATURAS!$B$2:$J$91,9,FALSE()),""))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IF(DATOS!$A19064="",0,IF(CONFIG_METADATA!$B$4&lt;&gt;"OR+EX",--(DATOS!$G19064=CONFIG_METADATA!$B$4),IF(DATOS!$G19064="EX",1,IF(DATOS!$G19064="OR",--(COUNTIFS(nNIA,DATOS!$A19064,nCURSO,DATOS!$D19064,nESPEC,DATOS!$E19064,nASIG,DATOS!$I19064,nEVAL,"EX")=0),0))))</f>
      </c>
      <c r="H19064">
        <f>IF(DATOS!$G19064&lt;&gt;"EX",0,--(COUNTIFS(nNIA,DATOS!$A19064,nCURSO,DATOS!$D19064,nESPEC,DATOS!$E19064,nASIG,DATOS!$I19064,nEVAL,"OR")=0))</f>
      </c>
      <c r="I19064">
        <f>IF(DATOS!$I19064="","",IFERROR(VLOOKUP(DATOS!$I19064,CONFIG_ASIGNATURAS!$B$2:$J$91,9,FALSE()),""))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IF(DATOS!$A19065="",0,IF(CONFIG_METADATA!$B$4&lt;&gt;"OR+EX",--(DATOS!$G19065=CONFIG_METADATA!$B$4),IF(DATOS!$G19065="EX",1,IF(DATOS!$G19065="OR",--(COUNTIFS(nNIA,DATOS!$A19065,nCURSO,DATOS!$D19065,nESPEC,DATOS!$E19065,nASIG,DATOS!$I19065,nEVAL,"EX")=0),0))))</f>
      </c>
      <c r="H19065">
        <f>IF(DATOS!$G19065&lt;&gt;"EX",0,--(COUNTIFS(nNIA,DATOS!$A19065,nCURSO,DATOS!$D19065,nESPEC,DATOS!$E19065,nASIG,DATOS!$I19065,nEVAL,"OR")=0))</f>
      </c>
      <c r="I19065">
        <f>IF(DATOS!$I19065="","",IFERROR(VLOOKUP(DATOS!$I19065,CONFIG_ASIGNATURAS!$B$2:$J$91,9,FALSE()),""))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IF(DATOS!$A19066="",0,IF(CONFIG_METADATA!$B$4&lt;&gt;"OR+EX",--(DATOS!$G19066=CONFIG_METADATA!$B$4),IF(DATOS!$G19066="EX",1,IF(DATOS!$G19066="OR",--(COUNTIFS(nNIA,DATOS!$A19066,nCURSO,DATOS!$D19066,nESPEC,DATOS!$E19066,nASIG,DATOS!$I19066,nEVAL,"EX")=0),0))))</f>
      </c>
      <c r="H19066">
        <f>IF(DATOS!$G19066&lt;&gt;"EX",0,--(COUNTIFS(nNIA,DATOS!$A19066,nCURSO,DATOS!$D19066,nESPEC,DATOS!$E19066,nASIG,DATOS!$I19066,nEVAL,"OR")=0))</f>
      </c>
      <c r="I19066">
        <f>IF(DATOS!$I19066="","",IFERROR(VLOOKUP(DATOS!$I19066,CONFIG_ASIGNATURAS!$B$2:$J$91,9,FALSE()),""))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IF(DATOS!$A19067="",0,IF(CONFIG_METADATA!$B$4&lt;&gt;"OR+EX",--(DATOS!$G19067=CONFIG_METADATA!$B$4),IF(DATOS!$G19067="EX",1,IF(DATOS!$G19067="OR",--(COUNTIFS(nNIA,DATOS!$A19067,nCURSO,DATOS!$D19067,nESPEC,DATOS!$E19067,nASIG,DATOS!$I19067,nEVAL,"EX")=0),0))))</f>
      </c>
      <c r="H19067">
        <f>IF(DATOS!$G19067&lt;&gt;"EX",0,--(COUNTIFS(nNIA,DATOS!$A19067,nCURSO,DATOS!$D19067,nESPEC,DATOS!$E19067,nASIG,DATOS!$I19067,nEVAL,"OR")=0))</f>
      </c>
      <c r="I19067">
        <f>IF(DATOS!$I19067="","",IFERROR(VLOOKUP(DATOS!$I19067,CONFIG_ASIGNATURAS!$B$2:$J$91,9,FALSE()),""))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IF(DATOS!$A19068="",0,IF(CONFIG_METADATA!$B$4&lt;&gt;"OR+EX",--(DATOS!$G19068=CONFIG_METADATA!$B$4),IF(DATOS!$G19068="EX",1,IF(DATOS!$G19068="OR",--(COUNTIFS(nNIA,DATOS!$A19068,nCURSO,DATOS!$D19068,nESPEC,DATOS!$E19068,nASIG,DATOS!$I19068,nEVAL,"EX")=0),0))))</f>
      </c>
      <c r="H19068">
        <f>IF(DATOS!$G19068&lt;&gt;"EX",0,--(COUNTIFS(nNIA,DATOS!$A19068,nCURSO,DATOS!$D19068,nESPEC,DATOS!$E19068,nASIG,DATOS!$I19068,nEVAL,"OR")=0))</f>
      </c>
      <c r="I19068">
        <f>IF(DATOS!$I19068="","",IFERROR(VLOOKUP(DATOS!$I19068,CONFIG_ASIGNATURAS!$B$2:$J$91,9,FALSE()),""))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IF(DATOS!$A19069="",0,IF(CONFIG_METADATA!$B$4&lt;&gt;"OR+EX",--(DATOS!$G19069=CONFIG_METADATA!$B$4),IF(DATOS!$G19069="EX",1,IF(DATOS!$G19069="OR",--(COUNTIFS(nNIA,DATOS!$A19069,nCURSO,DATOS!$D19069,nESPEC,DATOS!$E19069,nASIG,DATOS!$I19069,nEVAL,"EX")=0),0))))</f>
      </c>
      <c r="H19069">
        <f>IF(DATOS!$G19069&lt;&gt;"EX",0,--(COUNTIFS(nNIA,DATOS!$A19069,nCURSO,DATOS!$D19069,nESPEC,DATOS!$E19069,nASIG,DATOS!$I19069,nEVAL,"OR")=0))</f>
      </c>
      <c r="I19069">
        <f>IF(DATOS!$I19069="","",IFERROR(VLOOKUP(DATOS!$I19069,CONFIG_ASIGNATURAS!$B$2:$J$91,9,FALSE()),""))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IF(DATOS!$A19070="",0,IF(CONFIG_METADATA!$B$4&lt;&gt;"OR+EX",--(DATOS!$G19070=CONFIG_METADATA!$B$4),IF(DATOS!$G19070="EX",1,IF(DATOS!$G19070="OR",--(COUNTIFS(nNIA,DATOS!$A19070,nCURSO,DATOS!$D19070,nESPEC,DATOS!$E19070,nASIG,DATOS!$I19070,nEVAL,"EX")=0),0))))</f>
      </c>
      <c r="H19070">
        <f>IF(DATOS!$G19070&lt;&gt;"EX",0,--(COUNTIFS(nNIA,DATOS!$A19070,nCURSO,DATOS!$D19070,nESPEC,DATOS!$E19070,nASIG,DATOS!$I19070,nEVAL,"OR")=0))</f>
      </c>
      <c r="I19070">
        <f>IF(DATOS!$I19070="","",IFERROR(VLOOKUP(DATOS!$I19070,CONFIG_ASIGNATURAS!$B$2:$J$91,9,FALSE()),""))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IF(DATOS!$A19071="",0,IF(CONFIG_METADATA!$B$4&lt;&gt;"OR+EX",--(DATOS!$G19071=CONFIG_METADATA!$B$4),IF(DATOS!$G19071="EX",1,IF(DATOS!$G19071="OR",--(COUNTIFS(nNIA,DATOS!$A19071,nCURSO,DATOS!$D19071,nESPEC,DATOS!$E19071,nASIG,DATOS!$I19071,nEVAL,"EX")=0),0))))</f>
      </c>
      <c r="H19071">
        <f>IF(DATOS!$G19071&lt;&gt;"EX",0,--(COUNTIFS(nNIA,DATOS!$A19071,nCURSO,DATOS!$D19071,nESPEC,DATOS!$E19071,nASIG,DATOS!$I19071,nEVAL,"OR")=0))</f>
      </c>
      <c r="I19071">
        <f>IF(DATOS!$I19071="","",IFERROR(VLOOKUP(DATOS!$I19071,CONFIG_ASIGNATURAS!$B$2:$J$91,9,FALSE()),""))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IF(DATOS!$A19072="",0,IF(CONFIG_METADATA!$B$4&lt;&gt;"OR+EX",--(DATOS!$G19072=CONFIG_METADATA!$B$4),IF(DATOS!$G19072="EX",1,IF(DATOS!$G19072="OR",--(COUNTIFS(nNIA,DATOS!$A19072,nCURSO,DATOS!$D19072,nESPEC,DATOS!$E19072,nASIG,DATOS!$I19072,nEVAL,"EX")=0),0))))</f>
      </c>
      <c r="H19072">
        <f>IF(DATOS!$G19072&lt;&gt;"EX",0,--(COUNTIFS(nNIA,DATOS!$A19072,nCURSO,DATOS!$D19072,nESPEC,DATOS!$E19072,nASIG,DATOS!$I19072,nEVAL,"OR")=0))</f>
      </c>
      <c r="I19072">
        <f>IF(DATOS!$I19072="","",IFERROR(VLOOKUP(DATOS!$I19072,CONFIG_ASIGNATURAS!$B$2:$J$91,9,FALSE()),""))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IF(DATOS!$A19073="",0,IF(CONFIG_METADATA!$B$4&lt;&gt;"OR+EX",--(DATOS!$G19073=CONFIG_METADATA!$B$4),IF(DATOS!$G19073="EX",1,IF(DATOS!$G19073="OR",--(COUNTIFS(nNIA,DATOS!$A19073,nCURSO,DATOS!$D19073,nESPEC,DATOS!$E19073,nASIG,DATOS!$I19073,nEVAL,"EX")=0),0))))</f>
      </c>
      <c r="H19073">
        <f>IF(DATOS!$G19073&lt;&gt;"EX",0,--(COUNTIFS(nNIA,DATOS!$A19073,nCURSO,DATOS!$D19073,nESPEC,DATOS!$E19073,nASIG,DATOS!$I19073,nEVAL,"OR")=0))</f>
      </c>
      <c r="I19073">
        <f>IF(DATOS!$I19073="","",IFERROR(VLOOKUP(DATOS!$I19073,CONFIG_ASIGNATURAS!$B$2:$J$91,9,FALSE()),""))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IF(DATOS!$A19074="",0,IF(CONFIG_METADATA!$B$4&lt;&gt;"OR+EX",--(DATOS!$G19074=CONFIG_METADATA!$B$4),IF(DATOS!$G19074="EX",1,IF(DATOS!$G19074="OR",--(COUNTIFS(nNIA,DATOS!$A19074,nCURSO,DATOS!$D19074,nESPEC,DATOS!$E19074,nASIG,DATOS!$I19074,nEVAL,"EX")=0),0))))</f>
      </c>
      <c r="H19074">
        <f>IF(DATOS!$G19074&lt;&gt;"EX",0,--(COUNTIFS(nNIA,DATOS!$A19074,nCURSO,DATOS!$D19074,nESPEC,DATOS!$E19074,nASIG,DATOS!$I19074,nEVAL,"OR")=0))</f>
      </c>
      <c r="I19074">
        <f>IF(DATOS!$I19074="","",IFERROR(VLOOKUP(DATOS!$I19074,CONFIG_ASIGNATURAS!$B$2:$J$91,9,FALSE()),""))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IF(DATOS!$A19075="",0,IF(CONFIG_METADATA!$B$4&lt;&gt;"OR+EX",--(DATOS!$G19075=CONFIG_METADATA!$B$4),IF(DATOS!$G19075="EX",1,IF(DATOS!$G19075="OR",--(COUNTIFS(nNIA,DATOS!$A19075,nCURSO,DATOS!$D19075,nESPEC,DATOS!$E19075,nASIG,DATOS!$I19075,nEVAL,"EX")=0),0))))</f>
      </c>
      <c r="H19075">
        <f>IF(DATOS!$G19075&lt;&gt;"EX",0,--(COUNTIFS(nNIA,DATOS!$A19075,nCURSO,DATOS!$D19075,nESPEC,DATOS!$E19075,nASIG,DATOS!$I19075,nEVAL,"OR")=0))</f>
      </c>
      <c r="I19075">
        <f>IF(DATOS!$I19075="","",IFERROR(VLOOKUP(DATOS!$I19075,CONFIG_ASIGNATURAS!$B$2:$J$91,9,FALSE()),""))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IF(DATOS!$A19076="",0,IF(CONFIG_METADATA!$B$4&lt;&gt;"OR+EX",--(DATOS!$G19076=CONFIG_METADATA!$B$4),IF(DATOS!$G19076="EX",1,IF(DATOS!$G19076="OR",--(COUNTIFS(nNIA,DATOS!$A19076,nCURSO,DATOS!$D19076,nESPEC,DATOS!$E19076,nASIG,DATOS!$I19076,nEVAL,"EX")=0),0))))</f>
      </c>
      <c r="H19076">
        <f>IF(DATOS!$G19076&lt;&gt;"EX",0,--(COUNTIFS(nNIA,DATOS!$A19076,nCURSO,DATOS!$D19076,nESPEC,DATOS!$E19076,nASIG,DATOS!$I19076,nEVAL,"OR")=0))</f>
      </c>
      <c r="I19076">
        <f>IF(DATOS!$I19076="","",IFERROR(VLOOKUP(DATOS!$I19076,CONFIG_ASIGNATURAS!$B$2:$J$91,9,FALSE()),""))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IF(DATOS!$A19077="",0,IF(CONFIG_METADATA!$B$4&lt;&gt;"OR+EX",--(DATOS!$G19077=CONFIG_METADATA!$B$4),IF(DATOS!$G19077="EX",1,IF(DATOS!$G19077="OR",--(COUNTIFS(nNIA,DATOS!$A19077,nCURSO,DATOS!$D19077,nESPEC,DATOS!$E19077,nASIG,DATOS!$I19077,nEVAL,"EX")=0),0))))</f>
      </c>
      <c r="H19077">
        <f>IF(DATOS!$G19077&lt;&gt;"EX",0,--(COUNTIFS(nNIA,DATOS!$A19077,nCURSO,DATOS!$D19077,nESPEC,DATOS!$E19077,nASIG,DATOS!$I19077,nEVAL,"OR")=0))</f>
      </c>
      <c r="I19077">
        <f>IF(DATOS!$I19077="","",IFERROR(VLOOKUP(DATOS!$I19077,CONFIG_ASIGNATURAS!$B$2:$J$91,9,FALSE()),""))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IF(DATOS!$A19078="",0,IF(CONFIG_METADATA!$B$4&lt;&gt;"OR+EX",--(DATOS!$G19078=CONFIG_METADATA!$B$4),IF(DATOS!$G19078="EX",1,IF(DATOS!$G19078="OR",--(COUNTIFS(nNIA,DATOS!$A19078,nCURSO,DATOS!$D19078,nESPEC,DATOS!$E19078,nASIG,DATOS!$I19078,nEVAL,"EX")=0),0))))</f>
      </c>
      <c r="H19078">
        <f>IF(DATOS!$G19078&lt;&gt;"EX",0,--(COUNTIFS(nNIA,DATOS!$A19078,nCURSO,DATOS!$D19078,nESPEC,DATOS!$E19078,nASIG,DATOS!$I19078,nEVAL,"OR")=0))</f>
      </c>
      <c r="I19078">
        <f>IF(DATOS!$I19078="","",IFERROR(VLOOKUP(DATOS!$I19078,CONFIG_ASIGNATURAS!$B$2:$J$91,9,FALSE()),""))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IF(DATOS!$A19079="",0,IF(CONFIG_METADATA!$B$4&lt;&gt;"OR+EX",--(DATOS!$G19079=CONFIG_METADATA!$B$4),IF(DATOS!$G19079="EX",1,IF(DATOS!$G19079="OR",--(COUNTIFS(nNIA,DATOS!$A19079,nCURSO,DATOS!$D19079,nESPEC,DATOS!$E19079,nASIG,DATOS!$I19079,nEVAL,"EX")=0),0))))</f>
      </c>
      <c r="H19079">
        <f>IF(DATOS!$G19079&lt;&gt;"EX",0,--(COUNTIFS(nNIA,DATOS!$A19079,nCURSO,DATOS!$D19079,nESPEC,DATOS!$E19079,nASIG,DATOS!$I19079,nEVAL,"OR")=0))</f>
      </c>
      <c r="I19079">
        <f>IF(DATOS!$I19079="","",IFERROR(VLOOKUP(DATOS!$I19079,CONFIG_ASIGNATURAS!$B$2:$J$91,9,FALSE()),""))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IF(DATOS!$A19080="",0,IF(CONFIG_METADATA!$B$4&lt;&gt;"OR+EX",--(DATOS!$G19080=CONFIG_METADATA!$B$4),IF(DATOS!$G19080="EX",1,IF(DATOS!$G19080="OR",--(COUNTIFS(nNIA,DATOS!$A19080,nCURSO,DATOS!$D19080,nESPEC,DATOS!$E19080,nASIG,DATOS!$I19080,nEVAL,"EX")=0),0))))</f>
      </c>
      <c r="H19080">
        <f>IF(DATOS!$G19080&lt;&gt;"EX",0,--(COUNTIFS(nNIA,DATOS!$A19080,nCURSO,DATOS!$D19080,nESPEC,DATOS!$E19080,nASIG,DATOS!$I19080,nEVAL,"OR")=0))</f>
      </c>
      <c r="I19080">
        <f>IF(DATOS!$I19080="","",IFERROR(VLOOKUP(DATOS!$I19080,CONFIG_ASIGNATURAS!$B$2:$J$91,9,FALSE()),""))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IF(DATOS!$A19081="",0,IF(CONFIG_METADATA!$B$4&lt;&gt;"OR+EX",--(DATOS!$G19081=CONFIG_METADATA!$B$4),IF(DATOS!$G19081="EX",1,IF(DATOS!$G19081="OR",--(COUNTIFS(nNIA,DATOS!$A19081,nCURSO,DATOS!$D19081,nESPEC,DATOS!$E19081,nASIG,DATOS!$I19081,nEVAL,"EX")=0),0))))</f>
      </c>
      <c r="H19081">
        <f>IF(DATOS!$G19081&lt;&gt;"EX",0,--(COUNTIFS(nNIA,DATOS!$A19081,nCURSO,DATOS!$D19081,nESPEC,DATOS!$E19081,nASIG,DATOS!$I19081,nEVAL,"OR")=0))</f>
      </c>
      <c r="I19081">
        <f>IF(DATOS!$I19081="","",IFERROR(VLOOKUP(DATOS!$I19081,CONFIG_ASIGNATURAS!$B$2:$J$91,9,FALSE()),""))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IF(DATOS!$A19082="",0,IF(CONFIG_METADATA!$B$4&lt;&gt;"OR+EX",--(DATOS!$G19082=CONFIG_METADATA!$B$4),IF(DATOS!$G19082="EX",1,IF(DATOS!$G19082="OR",--(COUNTIFS(nNIA,DATOS!$A19082,nCURSO,DATOS!$D19082,nESPEC,DATOS!$E19082,nASIG,DATOS!$I19082,nEVAL,"EX")=0),0))))</f>
      </c>
      <c r="H19082">
        <f>IF(DATOS!$G19082&lt;&gt;"EX",0,--(COUNTIFS(nNIA,DATOS!$A19082,nCURSO,DATOS!$D19082,nESPEC,DATOS!$E19082,nASIG,DATOS!$I19082,nEVAL,"OR")=0))</f>
      </c>
      <c r="I19082">
        <f>IF(DATOS!$I19082="","",IFERROR(VLOOKUP(DATOS!$I19082,CONFIG_ASIGNATURAS!$B$2:$J$91,9,FALSE()),""))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IF(DATOS!$A19083="",0,IF(CONFIG_METADATA!$B$4&lt;&gt;"OR+EX",--(DATOS!$G19083=CONFIG_METADATA!$B$4),IF(DATOS!$G19083="EX",1,IF(DATOS!$G19083="OR",--(COUNTIFS(nNIA,DATOS!$A19083,nCURSO,DATOS!$D19083,nESPEC,DATOS!$E19083,nASIG,DATOS!$I19083,nEVAL,"EX")=0),0))))</f>
      </c>
      <c r="H19083">
        <f>IF(DATOS!$G19083&lt;&gt;"EX",0,--(COUNTIFS(nNIA,DATOS!$A19083,nCURSO,DATOS!$D19083,nESPEC,DATOS!$E19083,nASIG,DATOS!$I19083,nEVAL,"OR")=0))</f>
      </c>
      <c r="I19083">
        <f>IF(DATOS!$I19083="","",IFERROR(VLOOKUP(DATOS!$I19083,CONFIG_ASIGNATURAS!$B$2:$J$91,9,FALSE()),""))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IF(DATOS!$A19084="",0,IF(CONFIG_METADATA!$B$4&lt;&gt;"OR+EX",--(DATOS!$G19084=CONFIG_METADATA!$B$4),IF(DATOS!$G19084="EX",1,IF(DATOS!$G19084="OR",--(COUNTIFS(nNIA,DATOS!$A19084,nCURSO,DATOS!$D19084,nESPEC,DATOS!$E19084,nASIG,DATOS!$I19084,nEVAL,"EX")=0),0))))</f>
      </c>
      <c r="H19084">
        <f>IF(DATOS!$G19084&lt;&gt;"EX",0,--(COUNTIFS(nNIA,DATOS!$A19084,nCURSO,DATOS!$D19084,nESPEC,DATOS!$E19084,nASIG,DATOS!$I19084,nEVAL,"OR")=0))</f>
      </c>
      <c r="I19084">
        <f>IF(DATOS!$I19084="","",IFERROR(VLOOKUP(DATOS!$I19084,CONFIG_ASIGNATURAS!$B$2:$J$91,9,FALSE()),""))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IF(DATOS!$A19085="",0,IF(CONFIG_METADATA!$B$4&lt;&gt;"OR+EX",--(DATOS!$G19085=CONFIG_METADATA!$B$4),IF(DATOS!$G19085="EX",1,IF(DATOS!$G19085="OR",--(COUNTIFS(nNIA,DATOS!$A19085,nCURSO,DATOS!$D19085,nESPEC,DATOS!$E19085,nASIG,DATOS!$I19085,nEVAL,"EX")=0),0))))</f>
      </c>
      <c r="H19085">
        <f>IF(DATOS!$G19085&lt;&gt;"EX",0,--(COUNTIFS(nNIA,DATOS!$A19085,nCURSO,DATOS!$D19085,nESPEC,DATOS!$E19085,nASIG,DATOS!$I19085,nEVAL,"OR")=0))</f>
      </c>
      <c r="I19085">
        <f>IF(DATOS!$I19085="","",IFERROR(VLOOKUP(DATOS!$I19085,CONFIG_ASIGNATURAS!$B$2:$J$91,9,FALSE()),""))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IF(DATOS!$A19086="",0,IF(CONFIG_METADATA!$B$4&lt;&gt;"OR+EX",--(DATOS!$G19086=CONFIG_METADATA!$B$4),IF(DATOS!$G19086="EX",1,IF(DATOS!$G19086="OR",--(COUNTIFS(nNIA,DATOS!$A19086,nCURSO,DATOS!$D19086,nESPEC,DATOS!$E19086,nASIG,DATOS!$I19086,nEVAL,"EX")=0),0))))</f>
      </c>
      <c r="H19086">
        <f>IF(DATOS!$G19086&lt;&gt;"EX",0,--(COUNTIFS(nNIA,DATOS!$A19086,nCURSO,DATOS!$D19086,nESPEC,DATOS!$E19086,nASIG,DATOS!$I19086,nEVAL,"OR")=0))</f>
      </c>
      <c r="I19086">
        <f>IF(DATOS!$I19086="","",IFERROR(VLOOKUP(DATOS!$I19086,CONFIG_ASIGNATURAS!$B$2:$J$91,9,FALSE()),""))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IF(DATOS!$A19087="",0,IF(CONFIG_METADATA!$B$4&lt;&gt;"OR+EX",--(DATOS!$G19087=CONFIG_METADATA!$B$4),IF(DATOS!$G19087="EX",1,IF(DATOS!$G19087="OR",--(COUNTIFS(nNIA,DATOS!$A19087,nCURSO,DATOS!$D19087,nESPEC,DATOS!$E19087,nASIG,DATOS!$I19087,nEVAL,"EX")=0),0))))</f>
      </c>
      <c r="H19087">
        <f>IF(DATOS!$G19087&lt;&gt;"EX",0,--(COUNTIFS(nNIA,DATOS!$A19087,nCURSO,DATOS!$D19087,nESPEC,DATOS!$E19087,nASIG,DATOS!$I19087,nEVAL,"OR")=0))</f>
      </c>
      <c r="I19087">
        <f>IF(DATOS!$I19087="","",IFERROR(VLOOKUP(DATOS!$I19087,CONFIG_ASIGNATURAS!$B$2:$J$91,9,FALSE()),""))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IF(DATOS!$A19088="",0,IF(CONFIG_METADATA!$B$4&lt;&gt;"OR+EX",--(DATOS!$G19088=CONFIG_METADATA!$B$4),IF(DATOS!$G19088="EX",1,IF(DATOS!$G19088="OR",--(COUNTIFS(nNIA,DATOS!$A19088,nCURSO,DATOS!$D19088,nESPEC,DATOS!$E19088,nASIG,DATOS!$I19088,nEVAL,"EX")=0),0))))</f>
      </c>
      <c r="H19088">
        <f>IF(DATOS!$G19088&lt;&gt;"EX",0,--(COUNTIFS(nNIA,DATOS!$A19088,nCURSO,DATOS!$D19088,nESPEC,DATOS!$E19088,nASIG,DATOS!$I19088,nEVAL,"OR")=0))</f>
      </c>
      <c r="I19088">
        <f>IF(DATOS!$I19088="","",IFERROR(VLOOKUP(DATOS!$I19088,CONFIG_ASIGNATURAS!$B$2:$J$91,9,FALSE()),""))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IF(DATOS!$A19089="",0,IF(CONFIG_METADATA!$B$4&lt;&gt;"OR+EX",--(DATOS!$G19089=CONFIG_METADATA!$B$4),IF(DATOS!$G19089="EX",1,IF(DATOS!$G19089="OR",--(COUNTIFS(nNIA,DATOS!$A19089,nCURSO,DATOS!$D19089,nESPEC,DATOS!$E19089,nASIG,DATOS!$I19089,nEVAL,"EX")=0),0))))</f>
      </c>
      <c r="H19089">
        <f>IF(DATOS!$G19089&lt;&gt;"EX",0,--(COUNTIFS(nNIA,DATOS!$A19089,nCURSO,DATOS!$D19089,nESPEC,DATOS!$E19089,nASIG,DATOS!$I19089,nEVAL,"OR")=0))</f>
      </c>
      <c r="I19089">
        <f>IF(DATOS!$I19089="","",IFERROR(VLOOKUP(DATOS!$I19089,CONFIG_ASIGNATURAS!$B$2:$J$91,9,FALSE()),""))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IF(DATOS!$A19090="",0,IF(CONFIG_METADATA!$B$4&lt;&gt;"OR+EX",--(DATOS!$G19090=CONFIG_METADATA!$B$4),IF(DATOS!$G19090="EX",1,IF(DATOS!$G19090="OR",--(COUNTIFS(nNIA,DATOS!$A19090,nCURSO,DATOS!$D19090,nESPEC,DATOS!$E19090,nASIG,DATOS!$I19090,nEVAL,"EX")=0),0))))</f>
      </c>
      <c r="H19090">
        <f>IF(DATOS!$G19090&lt;&gt;"EX",0,--(COUNTIFS(nNIA,DATOS!$A19090,nCURSO,DATOS!$D19090,nESPEC,DATOS!$E19090,nASIG,DATOS!$I19090,nEVAL,"OR")=0))</f>
      </c>
      <c r="I19090">
        <f>IF(DATOS!$I19090="","",IFERROR(VLOOKUP(DATOS!$I19090,CONFIG_ASIGNATURAS!$B$2:$J$91,9,FALSE()),""))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IF(DATOS!$A19091="",0,IF(CONFIG_METADATA!$B$4&lt;&gt;"OR+EX",--(DATOS!$G19091=CONFIG_METADATA!$B$4),IF(DATOS!$G19091="EX",1,IF(DATOS!$G19091="OR",--(COUNTIFS(nNIA,DATOS!$A19091,nCURSO,DATOS!$D19091,nESPEC,DATOS!$E19091,nASIG,DATOS!$I19091,nEVAL,"EX")=0),0))))</f>
      </c>
      <c r="H19091">
        <f>IF(DATOS!$G19091&lt;&gt;"EX",0,--(COUNTIFS(nNIA,DATOS!$A19091,nCURSO,DATOS!$D19091,nESPEC,DATOS!$E19091,nASIG,DATOS!$I19091,nEVAL,"OR")=0))</f>
      </c>
      <c r="I19091">
        <f>IF(DATOS!$I19091="","",IFERROR(VLOOKUP(DATOS!$I19091,CONFIG_ASIGNATURAS!$B$2:$J$91,9,FALSE()),""))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IF(DATOS!$A19092="",0,IF(CONFIG_METADATA!$B$4&lt;&gt;"OR+EX",--(DATOS!$G19092=CONFIG_METADATA!$B$4),IF(DATOS!$G19092="EX",1,IF(DATOS!$G19092="OR",--(COUNTIFS(nNIA,DATOS!$A19092,nCURSO,DATOS!$D19092,nESPEC,DATOS!$E19092,nASIG,DATOS!$I19092,nEVAL,"EX")=0),0))))</f>
      </c>
      <c r="H19092">
        <f>IF(DATOS!$G19092&lt;&gt;"EX",0,--(COUNTIFS(nNIA,DATOS!$A19092,nCURSO,DATOS!$D19092,nESPEC,DATOS!$E19092,nASIG,DATOS!$I19092,nEVAL,"OR")=0))</f>
      </c>
      <c r="I19092">
        <f>IF(DATOS!$I19092="","",IFERROR(VLOOKUP(DATOS!$I19092,CONFIG_ASIGNATURAS!$B$2:$J$91,9,FALSE()),""))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IF(DATOS!$A19093="",0,IF(CONFIG_METADATA!$B$4&lt;&gt;"OR+EX",--(DATOS!$G19093=CONFIG_METADATA!$B$4),IF(DATOS!$G19093="EX",1,IF(DATOS!$G19093="OR",--(COUNTIFS(nNIA,DATOS!$A19093,nCURSO,DATOS!$D19093,nESPEC,DATOS!$E19093,nASIG,DATOS!$I19093,nEVAL,"EX")=0),0))))</f>
      </c>
      <c r="H19093">
        <f>IF(DATOS!$G19093&lt;&gt;"EX",0,--(COUNTIFS(nNIA,DATOS!$A19093,nCURSO,DATOS!$D19093,nESPEC,DATOS!$E19093,nASIG,DATOS!$I19093,nEVAL,"OR")=0))</f>
      </c>
      <c r="I19093">
        <f>IF(DATOS!$I19093="","",IFERROR(VLOOKUP(DATOS!$I19093,CONFIG_ASIGNATURAS!$B$2:$J$91,9,FALSE()),""))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IF(DATOS!$A19094="",0,IF(CONFIG_METADATA!$B$4&lt;&gt;"OR+EX",--(DATOS!$G19094=CONFIG_METADATA!$B$4),IF(DATOS!$G19094="EX",1,IF(DATOS!$G19094="OR",--(COUNTIFS(nNIA,DATOS!$A19094,nCURSO,DATOS!$D19094,nESPEC,DATOS!$E19094,nASIG,DATOS!$I19094,nEVAL,"EX")=0),0))))</f>
      </c>
      <c r="H19094">
        <f>IF(DATOS!$G19094&lt;&gt;"EX",0,--(COUNTIFS(nNIA,DATOS!$A19094,nCURSO,DATOS!$D19094,nESPEC,DATOS!$E19094,nASIG,DATOS!$I19094,nEVAL,"OR")=0))</f>
      </c>
      <c r="I19094">
        <f>IF(DATOS!$I19094="","",IFERROR(VLOOKUP(DATOS!$I19094,CONFIG_ASIGNATURAS!$B$2:$J$91,9,FALSE()),""))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IF(DATOS!$A19095="",0,IF(CONFIG_METADATA!$B$4&lt;&gt;"OR+EX",--(DATOS!$G19095=CONFIG_METADATA!$B$4),IF(DATOS!$G19095="EX",1,IF(DATOS!$G19095="OR",--(COUNTIFS(nNIA,DATOS!$A19095,nCURSO,DATOS!$D19095,nESPEC,DATOS!$E19095,nASIG,DATOS!$I19095,nEVAL,"EX")=0),0))))</f>
      </c>
      <c r="H19095">
        <f>IF(DATOS!$G19095&lt;&gt;"EX",0,--(COUNTIFS(nNIA,DATOS!$A19095,nCURSO,DATOS!$D19095,nESPEC,DATOS!$E19095,nASIG,DATOS!$I19095,nEVAL,"OR")=0))</f>
      </c>
      <c r="I19095">
        <f>IF(DATOS!$I19095="","",IFERROR(VLOOKUP(DATOS!$I19095,CONFIG_ASIGNATURAS!$B$2:$J$91,9,FALSE()),""))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IF(DATOS!$A19096="",0,IF(CONFIG_METADATA!$B$4&lt;&gt;"OR+EX",--(DATOS!$G19096=CONFIG_METADATA!$B$4),IF(DATOS!$G19096="EX",1,IF(DATOS!$G19096="OR",--(COUNTIFS(nNIA,DATOS!$A19096,nCURSO,DATOS!$D19096,nESPEC,DATOS!$E19096,nASIG,DATOS!$I19096,nEVAL,"EX")=0),0))))</f>
      </c>
      <c r="H19096">
        <f>IF(DATOS!$G19096&lt;&gt;"EX",0,--(COUNTIFS(nNIA,DATOS!$A19096,nCURSO,DATOS!$D19096,nESPEC,DATOS!$E19096,nASIG,DATOS!$I19096,nEVAL,"OR")=0))</f>
      </c>
      <c r="I19096">
        <f>IF(DATOS!$I19096="","",IFERROR(VLOOKUP(DATOS!$I19096,CONFIG_ASIGNATURAS!$B$2:$J$91,9,FALSE()),""))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IF(DATOS!$A19097="",0,IF(CONFIG_METADATA!$B$4&lt;&gt;"OR+EX",--(DATOS!$G19097=CONFIG_METADATA!$B$4),IF(DATOS!$G19097="EX",1,IF(DATOS!$G19097="OR",--(COUNTIFS(nNIA,DATOS!$A19097,nCURSO,DATOS!$D19097,nESPEC,DATOS!$E19097,nASIG,DATOS!$I19097,nEVAL,"EX")=0),0))))</f>
      </c>
      <c r="H19097">
        <f>IF(DATOS!$G19097&lt;&gt;"EX",0,--(COUNTIFS(nNIA,DATOS!$A19097,nCURSO,DATOS!$D19097,nESPEC,DATOS!$E19097,nASIG,DATOS!$I19097,nEVAL,"OR")=0))</f>
      </c>
      <c r="I19097">
        <f>IF(DATOS!$I19097="","",IFERROR(VLOOKUP(DATOS!$I19097,CONFIG_ASIGNATURAS!$B$2:$J$91,9,FALSE()),""))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IF(DATOS!$A19098="",0,IF(CONFIG_METADATA!$B$4&lt;&gt;"OR+EX",--(DATOS!$G19098=CONFIG_METADATA!$B$4),IF(DATOS!$G19098="EX",1,IF(DATOS!$G19098="OR",--(COUNTIFS(nNIA,DATOS!$A19098,nCURSO,DATOS!$D19098,nESPEC,DATOS!$E19098,nASIG,DATOS!$I19098,nEVAL,"EX")=0),0))))</f>
      </c>
      <c r="H19098">
        <f>IF(DATOS!$G19098&lt;&gt;"EX",0,--(COUNTIFS(nNIA,DATOS!$A19098,nCURSO,DATOS!$D19098,nESPEC,DATOS!$E19098,nASIG,DATOS!$I19098,nEVAL,"OR")=0))</f>
      </c>
      <c r="I19098">
        <f>IF(DATOS!$I19098="","",IFERROR(VLOOKUP(DATOS!$I19098,CONFIG_ASIGNATURAS!$B$2:$J$91,9,FALSE()),""))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IF(DATOS!$A19099="",0,IF(CONFIG_METADATA!$B$4&lt;&gt;"OR+EX",--(DATOS!$G19099=CONFIG_METADATA!$B$4),IF(DATOS!$G19099="EX",1,IF(DATOS!$G19099="OR",--(COUNTIFS(nNIA,DATOS!$A19099,nCURSO,DATOS!$D19099,nESPEC,DATOS!$E19099,nASIG,DATOS!$I19099,nEVAL,"EX")=0),0))))</f>
      </c>
      <c r="H19099">
        <f>IF(DATOS!$G19099&lt;&gt;"EX",0,--(COUNTIFS(nNIA,DATOS!$A19099,nCURSO,DATOS!$D19099,nESPEC,DATOS!$E19099,nASIG,DATOS!$I19099,nEVAL,"OR")=0))</f>
      </c>
      <c r="I19099">
        <f>IF(DATOS!$I19099="","",IFERROR(VLOOKUP(DATOS!$I19099,CONFIG_ASIGNATURAS!$B$2:$J$91,9,FALSE()),""))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IF(DATOS!$A19100="",0,IF(CONFIG_METADATA!$B$4&lt;&gt;"OR+EX",--(DATOS!$G19100=CONFIG_METADATA!$B$4),IF(DATOS!$G19100="EX",1,IF(DATOS!$G19100="OR",--(COUNTIFS(nNIA,DATOS!$A19100,nCURSO,DATOS!$D19100,nESPEC,DATOS!$E19100,nASIG,DATOS!$I19100,nEVAL,"EX")=0),0))))</f>
      </c>
      <c r="H19100">
        <f>IF(DATOS!$G19100&lt;&gt;"EX",0,--(COUNTIFS(nNIA,DATOS!$A19100,nCURSO,DATOS!$D19100,nESPEC,DATOS!$E19100,nASIG,DATOS!$I19100,nEVAL,"OR")=0))</f>
      </c>
      <c r="I19100">
        <f>IF(DATOS!$I19100="","",IFERROR(VLOOKUP(DATOS!$I19100,CONFIG_ASIGNATURAS!$B$2:$J$91,9,FALSE()),""))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IF(DATOS!$A19101="",0,IF(CONFIG_METADATA!$B$4&lt;&gt;"OR+EX",--(DATOS!$G19101=CONFIG_METADATA!$B$4),IF(DATOS!$G19101="EX",1,IF(DATOS!$G19101="OR",--(COUNTIFS(nNIA,DATOS!$A19101,nCURSO,DATOS!$D19101,nESPEC,DATOS!$E19101,nASIG,DATOS!$I19101,nEVAL,"EX")=0),0))))</f>
      </c>
      <c r="H19101">
        <f>IF(DATOS!$G19101&lt;&gt;"EX",0,--(COUNTIFS(nNIA,DATOS!$A19101,nCURSO,DATOS!$D19101,nESPEC,DATOS!$E19101,nASIG,DATOS!$I19101,nEVAL,"OR")=0))</f>
      </c>
      <c r="I19101">
        <f>IF(DATOS!$I19101="","",IFERROR(VLOOKUP(DATOS!$I19101,CONFIG_ASIGNATURAS!$B$2:$J$91,9,FALSE()),""))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IF(DATOS!$A19102="",0,IF(CONFIG_METADATA!$B$4&lt;&gt;"OR+EX",--(DATOS!$G19102=CONFIG_METADATA!$B$4),IF(DATOS!$G19102="EX",1,IF(DATOS!$G19102="OR",--(COUNTIFS(nNIA,DATOS!$A19102,nCURSO,DATOS!$D19102,nESPEC,DATOS!$E19102,nASIG,DATOS!$I19102,nEVAL,"EX")=0),0))))</f>
      </c>
      <c r="H19102">
        <f>IF(DATOS!$G19102&lt;&gt;"EX",0,--(COUNTIFS(nNIA,DATOS!$A19102,nCURSO,DATOS!$D19102,nESPEC,DATOS!$E19102,nASIG,DATOS!$I19102,nEVAL,"OR")=0))</f>
      </c>
      <c r="I19102">
        <f>IF(DATOS!$I19102="","",IFERROR(VLOOKUP(DATOS!$I19102,CONFIG_ASIGNATURAS!$B$2:$J$91,9,FALSE()),""))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IF(DATOS!$A19103="",0,IF(CONFIG_METADATA!$B$4&lt;&gt;"OR+EX",--(DATOS!$G19103=CONFIG_METADATA!$B$4),IF(DATOS!$G19103="EX",1,IF(DATOS!$G19103="OR",--(COUNTIFS(nNIA,DATOS!$A19103,nCURSO,DATOS!$D19103,nESPEC,DATOS!$E19103,nASIG,DATOS!$I19103,nEVAL,"EX")=0),0))))</f>
      </c>
      <c r="H19103">
        <f>IF(DATOS!$G19103&lt;&gt;"EX",0,--(COUNTIFS(nNIA,DATOS!$A19103,nCURSO,DATOS!$D19103,nESPEC,DATOS!$E19103,nASIG,DATOS!$I19103,nEVAL,"OR")=0))</f>
      </c>
      <c r="I19103">
        <f>IF(DATOS!$I19103="","",IFERROR(VLOOKUP(DATOS!$I19103,CONFIG_ASIGNATURAS!$B$2:$J$91,9,FALSE()),""))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IF(DATOS!$A19104="",0,IF(CONFIG_METADATA!$B$4&lt;&gt;"OR+EX",--(DATOS!$G19104=CONFIG_METADATA!$B$4),IF(DATOS!$G19104="EX",1,IF(DATOS!$G19104="OR",--(COUNTIFS(nNIA,DATOS!$A19104,nCURSO,DATOS!$D19104,nESPEC,DATOS!$E19104,nASIG,DATOS!$I19104,nEVAL,"EX")=0),0))))</f>
      </c>
      <c r="H19104">
        <f>IF(DATOS!$G19104&lt;&gt;"EX",0,--(COUNTIFS(nNIA,DATOS!$A19104,nCURSO,DATOS!$D19104,nESPEC,DATOS!$E19104,nASIG,DATOS!$I19104,nEVAL,"OR")=0))</f>
      </c>
      <c r="I19104">
        <f>IF(DATOS!$I19104="","",IFERROR(VLOOKUP(DATOS!$I19104,CONFIG_ASIGNATURAS!$B$2:$J$91,9,FALSE()),""))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IF(DATOS!$A19105="",0,IF(CONFIG_METADATA!$B$4&lt;&gt;"OR+EX",--(DATOS!$G19105=CONFIG_METADATA!$B$4),IF(DATOS!$G19105="EX",1,IF(DATOS!$G19105="OR",--(COUNTIFS(nNIA,DATOS!$A19105,nCURSO,DATOS!$D19105,nESPEC,DATOS!$E19105,nASIG,DATOS!$I19105,nEVAL,"EX")=0),0))))</f>
      </c>
      <c r="H19105">
        <f>IF(DATOS!$G19105&lt;&gt;"EX",0,--(COUNTIFS(nNIA,DATOS!$A19105,nCURSO,DATOS!$D19105,nESPEC,DATOS!$E19105,nASIG,DATOS!$I19105,nEVAL,"OR")=0))</f>
      </c>
      <c r="I19105">
        <f>IF(DATOS!$I19105="","",IFERROR(VLOOKUP(DATOS!$I19105,CONFIG_ASIGNATURAS!$B$2:$J$91,9,FALSE()),""))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IF(DATOS!$A19106="",0,IF(CONFIG_METADATA!$B$4&lt;&gt;"OR+EX",--(DATOS!$G19106=CONFIG_METADATA!$B$4),IF(DATOS!$G19106="EX",1,IF(DATOS!$G19106="OR",--(COUNTIFS(nNIA,DATOS!$A19106,nCURSO,DATOS!$D19106,nESPEC,DATOS!$E19106,nASIG,DATOS!$I19106,nEVAL,"EX")=0),0))))</f>
      </c>
      <c r="H19106">
        <f>IF(DATOS!$G19106&lt;&gt;"EX",0,--(COUNTIFS(nNIA,DATOS!$A19106,nCURSO,DATOS!$D19106,nESPEC,DATOS!$E19106,nASIG,DATOS!$I19106,nEVAL,"OR")=0))</f>
      </c>
      <c r="I19106">
        <f>IF(DATOS!$I19106="","",IFERROR(VLOOKUP(DATOS!$I19106,CONFIG_ASIGNATURAS!$B$2:$J$91,9,FALSE()),""))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IF(DATOS!$A19107="",0,IF(CONFIG_METADATA!$B$4&lt;&gt;"OR+EX",--(DATOS!$G19107=CONFIG_METADATA!$B$4),IF(DATOS!$G19107="EX",1,IF(DATOS!$G19107="OR",--(COUNTIFS(nNIA,DATOS!$A19107,nCURSO,DATOS!$D19107,nESPEC,DATOS!$E19107,nASIG,DATOS!$I19107,nEVAL,"EX")=0),0))))</f>
      </c>
      <c r="H19107">
        <f>IF(DATOS!$G19107&lt;&gt;"EX",0,--(COUNTIFS(nNIA,DATOS!$A19107,nCURSO,DATOS!$D19107,nESPEC,DATOS!$E19107,nASIG,DATOS!$I19107,nEVAL,"OR")=0))</f>
      </c>
      <c r="I19107">
        <f>IF(DATOS!$I19107="","",IFERROR(VLOOKUP(DATOS!$I19107,CONFIG_ASIGNATURAS!$B$2:$J$91,9,FALSE()),""))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IF(DATOS!$A19108="",0,IF(CONFIG_METADATA!$B$4&lt;&gt;"OR+EX",--(DATOS!$G19108=CONFIG_METADATA!$B$4),IF(DATOS!$G19108="EX",1,IF(DATOS!$G19108="OR",--(COUNTIFS(nNIA,DATOS!$A19108,nCURSO,DATOS!$D19108,nESPEC,DATOS!$E19108,nASIG,DATOS!$I19108,nEVAL,"EX")=0),0))))</f>
      </c>
      <c r="H19108">
        <f>IF(DATOS!$G19108&lt;&gt;"EX",0,--(COUNTIFS(nNIA,DATOS!$A19108,nCURSO,DATOS!$D19108,nESPEC,DATOS!$E19108,nASIG,DATOS!$I19108,nEVAL,"OR")=0))</f>
      </c>
      <c r="I19108">
        <f>IF(DATOS!$I19108="","",IFERROR(VLOOKUP(DATOS!$I19108,CONFIG_ASIGNATURAS!$B$2:$J$91,9,FALSE()),""))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IF(DATOS!$A19109="",0,IF(CONFIG_METADATA!$B$4&lt;&gt;"OR+EX",--(DATOS!$G19109=CONFIG_METADATA!$B$4),IF(DATOS!$G19109="EX",1,IF(DATOS!$G19109="OR",--(COUNTIFS(nNIA,DATOS!$A19109,nCURSO,DATOS!$D19109,nESPEC,DATOS!$E19109,nASIG,DATOS!$I19109,nEVAL,"EX")=0),0))))</f>
      </c>
      <c r="H19109">
        <f>IF(DATOS!$G19109&lt;&gt;"EX",0,--(COUNTIFS(nNIA,DATOS!$A19109,nCURSO,DATOS!$D19109,nESPEC,DATOS!$E19109,nASIG,DATOS!$I19109,nEVAL,"OR")=0))</f>
      </c>
      <c r="I19109">
        <f>IF(DATOS!$I19109="","",IFERROR(VLOOKUP(DATOS!$I19109,CONFIG_ASIGNATURAS!$B$2:$J$91,9,FALSE()),""))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IF(DATOS!$A19110="",0,IF(CONFIG_METADATA!$B$4&lt;&gt;"OR+EX",--(DATOS!$G19110=CONFIG_METADATA!$B$4),IF(DATOS!$G19110="EX",1,IF(DATOS!$G19110="OR",--(COUNTIFS(nNIA,DATOS!$A19110,nCURSO,DATOS!$D19110,nESPEC,DATOS!$E19110,nASIG,DATOS!$I19110,nEVAL,"EX")=0),0))))</f>
      </c>
      <c r="H19110">
        <f>IF(DATOS!$G19110&lt;&gt;"EX",0,--(COUNTIFS(nNIA,DATOS!$A19110,nCURSO,DATOS!$D19110,nESPEC,DATOS!$E19110,nASIG,DATOS!$I19110,nEVAL,"OR")=0))</f>
      </c>
      <c r="I19110">
        <f>IF(DATOS!$I19110="","",IFERROR(VLOOKUP(DATOS!$I19110,CONFIG_ASIGNATURAS!$B$2:$J$91,9,FALSE()),""))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IF(DATOS!$A19111="",0,IF(CONFIG_METADATA!$B$4&lt;&gt;"OR+EX",--(DATOS!$G19111=CONFIG_METADATA!$B$4),IF(DATOS!$G19111="EX",1,IF(DATOS!$G19111="OR",--(COUNTIFS(nNIA,DATOS!$A19111,nCURSO,DATOS!$D19111,nESPEC,DATOS!$E19111,nASIG,DATOS!$I19111,nEVAL,"EX")=0),0))))</f>
      </c>
      <c r="H19111">
        <f>IF(DATOS!$G19111&lt;&gt;"EX",0,--(COUNTIFS(nNIA,DATOS!$A19111,nCURSO,DATOS!$D19111,nESPEC,DATOS!$E19111,nASIG,DATOS!$I19111,nEVAL,"OR")=0))</f>
      </c>
      <c r="I19111">
        <f>IF(DATOS!$I19111="","",IFERROR(VLOOKUP(DATOS!$I19111,CONFIG_ASIGNATURAS!$B$2:$J$91,9,FALSE()),""))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IF(DATOS!$A19112="",0,IF(CONFIG_METADATA!$B$4&lt;&gt;"OR+EX",--(DATOS!$G19112=CONFIG_METADATA!$B$4),IF(DATOS!$G19112="EX",1,IF(DATOS!$G19112="OR",--(COUNTIFS(nNIA,DATOS!$A19112,nCURSO,DATOS!$D19112,nESPEC,DATOS!$E19112,nASIG,DATOS!$I19112,nEVAL,"EX")=0),0))))</f>
      </c>
      <c r="H19112">
        <f>IF(DATOS!$G19112&lt;&gt;"EX",0,--(COUNTIFS(nNIA,DATOS!$A19112,nCURSO,DATOS!$D19112,nESPEC,DATOS!$E19112,nASIG,DATOS!$I19112,nEVAL,"OR")=0))</f>
      </c>
      <c r="I19112">
        <f>IF(DATOS!$I19112="","",IFERROR(VLOOKUP(DATOS!$I19112,CONFIG_ASIGNATURAS!$B$2:$J$91,9,FALSE()),""))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IF(DATOS!$A19113="",0,IF(CONFIG_METADATA!$B$4&lt;&gt;"OR+EX",--(DATOS!$G19113=CONFIG_METADATA!$B$4),IF(DATOS!$G19113="EX",1,IF(DATOS!$G19113="OR",--(COUNTIFS(nNIA,DATOS!$A19113,nCURSO,DATOS!$D19113,nESPEC,DATOS!$E19113,nASIG,DATOS!$I19113,nEVAL,"EX")=0),0))))</f>
      </c>
      <c r="H19113">
        <f>IF(DATOS!$G19113&lt;&gt;"EX",0,--(COUNTIFS(nNIA,DATOS!$A19113,nCURSO,DATOS!$D19113,nESPEC,DATOS!$E19113,nASIG,DATOS!$I19113,nEVAL,"OR")=0))</f>
      </c>
      <c r="I19113">
        <f>IF(DATOS!$I19113="","",IFERROR(VLOOKUP(DATOS!$I19113,CONFIG_ASIGNATURAS!$B$2:$J$91,9,FALSE()),""))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IF(DATOS!$A19114="",0,IF(CONFIG_METADATA!$B$4&lt;&gt;"OR+EX",--(DATOS!$G19114=CONFIG_METADATA!$B$4),IF(DATOS!$G19114="EX",1,IF(DATOS!$G19114="OR",--(COUNTIFS(nNIA,DATOS!$A19114,nCURSO,DATOS!$D19114,nESPEC,DATOS!$E19114,nASIG,DATOS!$I19114,nEVAL,"EX")=0),0))))</f>
      </c>
      <c r="H19114">
        <f>IF(DATOS!$G19114&lt;&gt;"EX",0,--(COUNTIFS(nNIA,DATOS!$A19114,nCURSO,DATOS!$D19114,nESPEC,DATOS!$E19114,nASIG,DATOS!$I19114,nEVAL,"OR")=0))</f>
      </c>
      <c r="I19114">
        <f>IF(DATOS!$I19114="","",IFERROR(VLOOKUP(DATOS!$I19114,CONFIG_ASIGNATURAS!$B$2:$J$91,9,FALSE()),""))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IF(DATOS!$A19115="",0,IF(CONFIG_METADATA!$B$4&lt;&gt;"OR+EX",--(DATOS!$G19115=CONFIG_METADATA!$B$4),IF(DATOS!$G19115="EX",1,IF(DATOS!$G19115="OR",--(COUNTIFS(nNIA,DATOS!$A19115,nCURSO,DATOS!$D19115,nESPEC,DATOS!$E19115,nASIG,DATOS!$I19115,nEVAL,"EX")=0),0))))</f>
      </c>
      <c r="H19115">
        <f>IF(DATOS!$G19115&lt;&gt;"EX",0,--(COUNTIFS(nNIA,DATOS!$A19115,nCURSO,DATOS!$D19115,nESPEC,DATOS!$E19115,nASIG,DATOS!$I19115,nEVAL,"OR")=0))</f>
      </c>
      <c r="I19115">
        <f>IF(DATOS!$I19115="","",IFERROR(VLOOKUP(DATOS!$I19115,CONFIG_ASIGNATURAS!$B$2:$J$91,9,FALSE()),""))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IF(DATOS!$A19116="",0,IF(CONFIG_METADATA!$B$4&lt;&gt;"OR+EX",--(DATOS!$G19116=CONFIG_METADATA!$B$4),IF(DATOS!$G19116="EX",1,IF(DATOS!$G19116="OR",--(COUNTIFS(nNIA,DATOS!$A19116,nCURSO,DATOS!$D19116,nESPEC,DATOS!$E19116,nASIG,DATOS!$I19116,nEVAL,"EX")=0),0))))</f>
      </c>
      <c r="H19116">
        <f>IF(DATOS!$G19116&lt;&gt;"EX",0,--(COUNTIFS(nNIA,DATOS!$A19116,nCURSO,DATOS!$D19116,nESPEC,DATOS!$E19116,nASIG,DATOS!$I19116,nEVAL,"OR")=0))</f>
      </c>
      <c r="I19116">
        <f>IF(DATOS!$I19116="","",IFERROR(VLOOKUP(DATOS!$I19116,CONFIG_ASIGNATURAS!$B$2:$J$91,9,FALSE()),""))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IF(DATOS!$A19117="",0,IF(CONFIG_METADATA!$B$4&lt;&gt;"OR+EX",--(DATOS!$G19117=CONFIG_METADATA!$B$4),IF(DATOS!$G19117="EX",1,IF(DATOS!$G19117="OR",--(COUNTIFS(nNIA,DATOS!$A19117,nCURSO,DATOS!$D19117,nESPEC,DATOS!$E19117,nASIG,DATOS!$I19117,nEVAL,"EX")=0),0))))</f>
      </c>
      <c r="H19117">
        <f>IF(DATOS!$G19117&lt;&gt;"EX",0,--(COUNTIFS(nNIA,DATOS!$A19117,nCURSO,DATOS!$D19117,nESPEC,DATOS!$E19117,nASIG,DATOS!$I19117,nEVAL,"OR")=0))</f>
      </c>
      <c r="I19117">
        <f>IF(DATOS!$I19117="","",IFERROR(VLOOKUP(DATOS!$I19117,CONFIG_ASIGNATURAS!$B$2:$J$91,9,FALSE()),""))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IF(DATOS!$A19118="",0,IF(CONFIG_METADATA!$B$4&lt;&gt;"OR+EX",--(DATOS!$G19118=CONFIG_METADATA!$B$4),IF(DATOS!$G19118="EX",1,IF(DATOS!$G19118="OR",--(COUNTIFS(nNIA,DATOS!$A19118,nCURSO,DATOS!$D19118,nESPEC,DATOS!$E19118,nASIG,DATOS!$I19118,nEVAL,"EX")=0),0))))</f>
      </c>
      <c r="H19118">
        <f>IF(DATOS!$G19118&lt;&gt;"EX",0,--(COUNTIFS(nNIA,DATOS!$A19118,nCURSO,DATOS!$D19118,nESPEC,DATOS!$E19118,nASIG,DATOS!$I19118,nEVAL,"OR")=0))</f>
      </c>
      <c r="I19118">
        <f>IF(DATOS!$I19118="","",IFERROR(VLOOKUP(DATOS!$I19118,CONFIG_ASIGNATURAS!$B$2:$J$91,9,FALSE()),""))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IF(DATOS!$A19119="",0,IF(CONFIG_METADATA!$B$4&lt;&gt;"OR+EX",--(DATOS!$G19119=CONFIG_METADATA!$B$4),IF(DATOS!$G19119="EX",1,IF(DATOS!$G19119="OR",--(COUNTIFS(nNIA,DATOS!$A19119,nCURSO,DATOS!$D19119,nESPEC,DATOS!$E19119,nASIG,DATOS!$I19119,nEVAL,"EX")=0),0))))</f>
      </c>
      <c r="H19119">
        <f>IF(DATOS!$G19119&lt;&gt;"EX",0,--(COUNTIFS(nNIA,DATOS!$A19119,nCURSO,DATOS!$D19119,nESPEC,DATOS!$E19119,nASIG,DATOS!$I19119,nEVAL,"OR")=0))</f>
      </c>
      <c r="I19119">
        <f>IF(DATOS!$I19119="","",IFERROR(VLOOKUP(DATOS!$I19119,CONFIG_ASIGNATURAS!$B$2:$J$91,9,FALSE()),""))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IF(DATOS!$A19120="",0,IF(CONFIG_METADATA!$B$4&lt;&gt;"OR+EX",--(DATOS!$G19120=CONFIG_METADATA!$B$4),IF(DATOS!$G19120="EX",1,IF(DATOS!$G19120="OR",--(COUNTIFS(nNIA,DATOS!$A19120,nCURSO,DATOS!$D19120,nESPEC,DATOS!$E19120,nASIG,DATOS!$I19120,nEVAL,"EX")=0),0))))</f>
      </c>
      <c r="H19120">
        <f>IF(DATOS!$G19120&lt;&gt;"EX",0,--(COUNTIFS(nNIA,DATOS!$A19120,nCURSO,DATOS!$D19120,nESPEC,DATOS!$E19120,nASIG,DATOS!$I19120,nEVAL,"OR")=0))</f>
      </c>
      <c r="I19120">
        <f>IF(DATOS!$I19120="","",IFERROR(VLOOKUP(DATOS!$I19120,CONFIG_ASIGNATURAS!$B$2:$J$91,9,FALSE()),""))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IF(DATOS!$A19121="",0,IF(CONFIG_METADATA!$B$4&lt;&gt;"OR+EX",--(DATOS!$G19121=CONFIG_METADATA!$B$4),IF(DATOS!$G19121="EX",1,IF(DATOS!$G19121="OR",--(COUNTIFS(nNIA,DATOS!$A19121,nCURSO,DATOS!$D19121,nESPEC,DATOS!$E19121,nASIG,DATOS!$I19121,nEVAL,"EX")=0),0))))</f>
      </c>
      <c r="H19121">
        <f>IF(DATOS!$G19121&lt;&gt;"EX",0,--(COUNTIFS(nNIA,DATOS!$A19121,nCURSO,DATOS!$D19121,nESPEC,DATOS!$E19121,nASIG,DATOS!$I19121,nEVAL,"OR")=0))</f>
      </c>
      <c r="I19121">
        <f>IF(DATOS!$I19121="","",IFERROR(VLOOKUP(DATOS!$I19121,CONFIG_ASIGNATURAS!$B$2:$J$91,9,FALSE()),""))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IF(DATOS!$A19122="",0,IF(CONFIG_METADATA!$B$4&lt;&gt;"OR+EX",--(DATOS!$G19122=CONFIG_METADATA!$B$4),IF(DATOS!$G19122="EX",1,IF(DATOS!$G19122="OR",--(COUNTIFS(nNIA,DATOS!$A19122,nCURSO,DATOS!$D19122,nESPEC,DATOS!$E19122,nASIG,DATOS!$I19122,nEVAL,"EX")=0),0))))</f>
      </c>
      <c r="H19122">
        <f>IF(DATOS!$G19122&lt;&gt;"EX",0,--(COUNTIFS(nNIA,DATOS!$A19122,nCURSO,DATOS!$D19122,nESPEC,DATOS!$E19122,nASIG,DATOS!$I19122,nEVAL,"OR")=0))</f>
      </c>
      <c r="I19122">
        <f>IF(DATOS!$I19122="","",IFERROR(VLOOKUP(DATOS!$I19122,CONFIG_ASIGNATURAS!$B$2:$J$91,9,FALSE()),""))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IF(DATOS!$A19123="",0,IF(CONFIG_METADATA!$B$4&lt;&gt;"OR+EX",--(DATOS!$G19123=CONFIG_METADATA!$B$4),IF(DATOS!$G19123="EX",1,IF(DATOS!$G19123="OR",--(COUNTIFS(nNIA,DATOS!$A19123,nCURSO,DATOS!$D19123,nESPEC,DATOS!$E19123,nASIG,DATOS!$I19123,nEVAL,"EX")=0),0))))</f>
      </c>
      <c r="H19123">
        <f>IF(DATOS!$G19123&lt;&gt;"EX",0,--(COUNTIFS(nNIA,DATOS!$A19123,nCURSO,DATOS!$D19123,nESPEC,DATOS!$E19123,nASIG,DATOS!$I19123,nEVAL,"OR")=0))</f>
      </c>
      <c r="I19123">
        <f>IF(DATOS!$I19123="","",IFERROR(VLOOKUP(DATOS!$I19123,CONFIG_ASIGNATURAS!$B$2:$J$91,9,FALSE()),""))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IF(DATOS!$A19124="",0,IF(CONFIG_METADATA!$B$4&lt;&gt;"OR+EX",--(DATOS!$G19124=CONFIG_METADATA!$B$4),IF(DATOS!$G19124="EX",1,IF(DATOS!$G19124="OR",--(COUNTIFS(nNIA,DATOS!$A19124,nCURSO,DATOS!$D19124,nESPEC,DATOS!$E19124,nASIG,DATOS!$I19124,nEVAL,"EX")=0),0))))</f>
      </c>
      <c r="H19124">
        <f>IF(DATOS!$G19124&lt;&gt;"EX",0,--(COUNTIFS(nNIA,DATOS!$A19124,nCURSO,DATOS!$D19124,nESPEC,DATOS!$E19124,nASIG,DATOS!$I19124,nEVAL,"OR")=0))</f>
      </c>
      <c r="I19124">
        <f>IF(DATOS!$I19124="","",IFERROR(VLOOKUP(DATOS!$I19124,CONFIG_ASIGNATURAS!$B$2:$J$91,9,FALSE()),""))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IF(DATOS!$A19125="",0,IF(CONFIG_METADATA!$B$4&lt;&gt;"OR+EX",--(DATOS!$G19125=CONFIG_METADATA!$B$4),IF(DATOS!$G19125="EX",1,IF(DATOS!$G19125="OR",--(COUNTIFS(nNIA,DATOS!$A19125,nCURSO,DATOS!$D19125,nESPEC,DATOS!$E19125,nASIG,DATOS!$I19125,nEVAL,"EX")=0),0))))</f>
      </c>
      <c r="H19125">
        <f>IF(DATOS!$G19125&lt;&gt;"EX",0,--(COUNTIFS(nNIA,DATOS!$A19125,nCURSO,DATOS!$D19125,nESPEC,DATOS!$E19125,nASIG,DATOS!$I19125,nEVAL,"OR")=0))</f>
      </c>
      <c r="I19125">
        <f>IF(DATOS!$I19125="","",IFERROR(VLOOKUP(DATOS!$I19125,CONFIG_ASIGNATURAS!$B$2:$J$91,9,FALSE()),""))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IF(DATOS!$A19126="",0,IF(CONFIG_METADATA!$B$4&lt;&gt;"OR+EX",--(DATOS!$G19126=CONFIG_METADATA!$B$4),IF(DATOS!$G19126="EX",1,IF(DATOS!$G19126="OR",--(COUNTIFS(nNIA,DATOS!$A19126,nCURSO,DATOS!$D19126,nESPEC,DATOS!$E19126,nASIG,DATOS!$I19126,nEVAL,"EX")=0),0))))</f>
      </c>
      <c r="H19126">
        <f>IF(DATOS!$G19126&lt;&gt;"EX",0,--(COUNTIFS(nNIA,DATOS!$A19126,nCURSO,DATOS!$D19126,nESPEC,DATOS!$E19126,nASIG,DATOS!$I19126,nEVAL,"OR")=0))</f>
      </c>
      <c r="I19126">
        <f>IF(DATOS!$I19126="","",IFERROR(VLOOKUP(DATOS!$I19126,CONFIG_ASIGNATURAS!$B$2:$J$91,9,FALSE()),""))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IF(DATOS!$A19127="",0,IF(CONFIG_METADATA!$B$4&lt;&gt;"OR+EX",--(DATOS!$G19127=CONFIG_METADATA!$B$4),IF(DATOS!$G19127="EX",1,IF(DATOS!$G19127="OR",--(COUNTIFS(nNIA,DATOS!$A19127,nCURSO,DATOS!$D19127,nESPEC,DATOS!$E19127,nASIG,DATOS!$I19127,nEVAL,"EX")=0),0))))</f>
      </c>
      <c r="H19127">
        <f>IF(DATOS!$G19127&lt;&gt;"EX",0,--(COUNTIFS(nNIA,DATOS!$A19127,nCURSO,DATOS!$D19127,nESPEC,DATOS!$E19127,nASIG,DATOS!$I19127,nEVAL,"OR")=0))</f>
      </c>
      <c r="I19127">
        <f>IF(DATOS!$I19127="","",IFERROR(VLOOKUP(DATOS!$I19127,CONFIG_ASIGNATURAS!$B$2:$J$91,9,FALSE()),""))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IF(DATOS!$A19128="",0,IF(CONFIG_METADATA!$B$4&lt;&gt;"OR+EX",--(DATOS!$G19128=CONFIG_METADATA!$B$4),IF(DATOS!$G19128="EX",1,IF(DATOS!$G19128="OR",--(COUNTIFS(nNIA,DATOS!$A19128,nCURSO,DATOS!$D19128,nESPEC,DATOS!$E19128,nASIG,DATOS!$I19128,nEVAL,"EX")=0),0))))</f>
      </c>
      <c r="H19128">
        <f>IF(DATOS!$G19128&lt;&gt;"EX",0,--(COUNTIFS(nNIA,DATOS!$A19128,nCURSO,DATOS!$D19128,nESPEC,DATOS!$E19128,nASIG,DATOS!$I19128,nEVAL,"OR")=0))</f>
      </c>
      <c r="I19128">
        <f>IF(DATOS!$I19128="","",IFERROR(VLOOKUP(DATOS!$I19128,CONFIG_ASIGNATURAS!$B$2:$J$91,9,FALSE()),""))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IF(DATOS!$A19129="",0,IF(CONFIG_METADATA!$B$4&lt;&gt;"OR+EX",--(DATOS!$G19129=CONFIG_METADATA!$B$4),IF(DATOS!$G19129="EX",1,IF(DATOS!$G19129="OR",--(COUNTIFS(nNIA,DATOS!$A19129,nCURSO,DATOS!$D19129,nESPEC,DATOS!$E19129,nASIG,DATOS!$I19129,nEVAL,"EX")=0),0))))</f>
      </c>
      <c r="H19129">
        <f>IF(DATOS!$G19129&lt;&gt;"EX",0,--(COUNTIFS(nNIA,DATOS!$A19129,nCURSO,DATOS!$D19129,nESPEC,DATOS!$E19129,nASIG,DATOS!$I19129,nEVAL,"OR")=0))</f>
      </c>
      <c r="I19129">
        <f>IF(DATOS!$I19129="","",IFERROR(VLOOKUP(DATOS!$I19129,CONFIG_ASIGNATURAS!$B$2:$J$91,9,FALSE()),""))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IF(DATOS!$A19130="",0,IF(CONFIG_METADATA!$B$4&lt;&gt;"OR+EX",--(DATOS!$G19130=CONFIG_METADATA!$B$4),IF(DATOS!$G19130="EX",1,IF(DATOS!$G19130="OR",--(COUNTIFS(nNIA,DATOS!$A19130,nCURSO,DATOS!$D19130,nESPEC,DATOS!$E19130,nASIG,DATOS!$I19130,nEVAL,"EX")=0),0))))</f>
      </c>
      <c r="H19130">
        <f>IF(DATOS!$G19130&lt;&gt;"EX",0,--(COUNTIFS(nNIA,DATOS!$A19130,nCURSO,DATOS!$D19130,nESPEC,DATOS!$E19130,nASIG,DATOS!$I19130,nEVAL,"OR")=0))</f>
      </c>
      <c r="I19130">
        <f>IF(DATOS!$I19130="","",IFERROR(VLOOKUP(DATOS!$I19130,CONFIG_ASIGNATURAS!$B$2:$J$91,9,FALSE()),""))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IF(DATOS!$A19131="",0,IF(CONFIG_METADATA!$B$4&lt;&gt;"OR+EX",--(DATOS!$G19131=CONFIG_METADATA!$B$4),IF(DATOS!$G19131="EX",1,IF(DATOS!$G19131="OR",--(COUNTIFS(nNIA,DATOS!$A19131,nCURSO,DATOS!$D19131,nESPEC,DATOS!$E19131,nASIG,DATOS!$I19131,nEVAL,"EX")=0),0))))</f>
      </c>
      <c r="H19131">
        <f>IF(DATOS!$G19131&lt;&gt;"EX",0,--(COUNTIFS(nNIA,DATOS!$A19131,nCURSO,DATOS!$D19131,nESPEC,DATOS!$E19131,nASIG,DATOS!$I19131,nEVAL,"OR")=0))</f>
      </c>
      <c r="I19131">
        <f>IF(DATOS!$I19131="","",IFERROR(VLOOKUP(DATOS!$I19131,CONFIG_ASIGNATURAS!$B$2:$J$91,9,FALSE()),""))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IF(DATOS!$A19132="",0,IF(CONFIG_METADATA!$B$4&lt;&gt;"OR+EX",--(DATOS!$G19132=CONFIG_METADATA!$B$4),IF(DATOS!$G19132="EX",1,IF(DATOS!$G19132="OR",--(COUNTIFS(nNIA,DATOS!$A19132,nCURSO,DATOS!$D19132,nESPEC,DATOS!$E19132,nASIG,DATOS!$I19132,nEVAL,"EX")=0),0))))</f>
      </c>
      <c r="H19132">
        <f>IF(DATOS!$G19132&lt;&gt;"EX",0,--(COUNTIFS(nNIA,DATOS!$A19132,nCURSO,DATOS!$D19132,nESPEC,DATOS!$E19132,nASIG,DATOS!$I19132,nEVAL,"OR")=0))</f>
      </c>
      <c r="I19132">
        <f>IF(DATOS!$I19132="","",IFERROR(VLOOKUP(DATOS!$I19132,CONFIG_ASIGNATURAS!$B$2:$J$91,9,FALSE()),""))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IF(DATOS!$A19133="",0,IF(CONFIG_METADATA!$B$4&lt;&gt;"OR+EX",--(DATOS!$G19133=CONFIG_METADATA!$B$4),IF(DATOS!$G19133="EX",1,IF(DATOS!$G19133="OR",--(COUNTIFS(nNIA,DATOS!$A19133,nCURSO,DATOS!$D19133,nESPEC,DATOS!$E19133,nASIG,DATOS!$I19133,nEVAL,"EX")=0),0))))</f>
      </c>
      <c r="H19133">
        <f>IF(DATOS!$G19133&lt;&gt;"EX",0,--(COUNTIFS(nNIA,DATOS!$A19133,nCURSO,DATOS!$D19133,nESPEC,DATOS!$E19133,nASIG,DATOS!$I19133,nEVAL,"OR")=0))</f>
      </c>
      <c r="I19133">
        <f>IF(DATOS!$I19133="","",IFERROR(VLOOKUP(DATOS!$I19133,CONFIG_ASIGNATURAS!$B$2:$J$91,9,FALSE()),""))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IF(DATOS!$A19134="",0,IF(CONFIG_METADATA!$B$4&lt;&gt;"OR+EX",--(DATOS!$G19134=CONFIG_METADATA!$B$4),IF(DATOS!$G19134="EX",1,IF(DATOS!$G19134="OR",--(COUNTIFS(nNIA,DATOS!$A19134,nCURSO,DATOS!$D19134,nESPEC,DATOS!$E19134,nASIG,DATOS!$I19134,nEVAL,"EX")=0),0))))</f>
      </c>
      <c r="H19134">
        <f>IF(DATOS!$G19134&lt;&gt;"EX",0,--(COUNTIFS(nNIA,DATOS!$A19134,nCURSO,DATOS!$D19134,nESPEC,DATOS!$E19134,nASIG,DATOS!$I19134,nEVAL,"OR")=0))</f>
      </c>
      <c r="I19134">
        <f>IF(DATOS!$I19134="","",IFERROR(VLOOKUP(DATOS!$I19134,CONFIG_ASIGNATURAS!$B$2:$J$91,9,FALSE()),""))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IF(DATOS!$A19135="",0,IF(CONFIG_METADATA!$B$4&lt;&gt;"OR+EX",--(DATOS!$G19135=CONFIG_METADATA!$B$4),IF(DATOS!$G19135="EX",1,IF(DATOS!$G19135="OR",--(COUNTIFS(nNIA,DATOS!$A19135,nCURSO,DATOS!$D19135,nESPEC,DATOS!$E19135,nASIG,DATOS!$I19135,nEVAL,"EX")=0),0))))</f>
      </c>
      <c r="H19135">
        <f>IF(DATOS!$G19135&lt;&gt;"EX",0,--(COUNTIFS(nNIA,DATOS!$A19135,nCURSO,DATOS!$D19135,nESPEC,DATOS!$E19135,nASIG,DATOS!$I19135,nEVAL,"OR")=0))</f>
      </c>
      <c r="I19135">
        <f>IF(DATOS!$I19135="","",IFERROR(VLOOKUP(DATOS!$I19135,CONFIG_ASIGNATURAS!$B$2:$J$91,9,FALSE()),""))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IF(DATOS!$A19136="",0,IF(CONFIG_METADATA!$B$4&lt;&gt;"OR+EX",--(DATOS!$G19136=CONFIG_METADATA!$B$4),IF(DATOS!$G19136="EX",1,IF(DATOS!$G19136="OR",--(COUNTIFS(nNIA,DATOS!$A19136,nCURSO,DATOS!$D19136,nESPEC,DATOS!$E19136,nASIG,DATOS!$I19136,nEVAL,"EX")=0),0))))</f>
      </c>
      <c r="H19136">
        <f>IF(DATOS!$G19136&lt;&gt;"EX",0,--(COUNTIFS(nNIA,DATOS!$A19136,nCURSO,DATOS!$D19136,nESPEC,DATOS!$E19136,nASIG,DATOS!$I19136,nEVAL,"OR")=0))</f>
      </c>
      <c r="I19136">
        <f>IF(DATOS!$I19136="","",IFERROR(VLOOKUP(DATOS!$I19136,CONFIG_ASIGNATURAS!$B$2:$J$91,9,FALSE()),""))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IF(DATOS!$A19137="",0,IF(CONFIG_METADATA!$B$4&lt;&gt;"OR+EX",--(DATOS!$G19137=CONFIG_METADATA!$B$4),IF(DATOS!$G19137="EX",1,IF(DATOS!$G19137="OR",--(COUNTIFS(nNIA,DATOS!$A19137,nCURSO,DATOS!$D19137,nESPEC,DATOS!$E19137,nASIG,DATOS!$I19137,nEVAL,"EX")=0),0))))</f>
      </c>
      <c r="H19137">
        <f>IF(DATOS!$G19137&lt;&gt;"EX",0,--(COUNTIFS(nNIA,DATOS!$A19137,nCURSO,DATOS!$D19137,nESPEC,DATOS!$E19137,nASIG,DATOS!$I19137,nEVAL,"OR")=0))</f>
      </c>
      <c r="I19137">
        <f>IF(DATOS!$I19137="","",IFERROR(VLOOKUP(DATOS!$I19137,CONFIG_ASIGNATURAS!$B$2:$J$91,9,FALSE()),""))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IF(DATOS!$A19138="",0,IF(CONFIG_METADATA!$B$4&lt;&gt;"OR+EX",--(DATOS!$G19138=CONFIG_METADATA!$B$4),IF(DATOS!$G19138="EX",1,IF(DATOS!$G19138="OR",--(COUNTIFS(nNIA,DATOS!$A19138,nCURSO,DATOS!$D19138,nESPEC,DATOS!$E19138,nASIG,DATOS!$I19138,nEVAL,"EX")=0),0))))</f>
      </c>
      <c r="H19138">
        <f>IF(DATOS!$G19138&lt;&gt;"EX",0,--(COUNTIFS(nNIA,DATOS!$A19138,nCURSO,DATOS!$D19138,nESPEC,DATOS!$E19138,nASIG,DATOS!$I19138,nEVAL,"OR")=0))</f>
      </c>
      <c r="I19138">
        <f>IF(DATOS!$I19138="","",IFERROR(VLOOKUP(DATOS!$I19138,CONFIG_ASIGNATURAS!$B$2:$J$91,9,FALSE()),""))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IF(DATOS!$A19139="",0,IF(CONFIG_METADATA!$B$4&lt;&gt;"OR+EX",--(DATOS!$G19139=CONFIG_METADATA!$B$4),IF(DATOS!$G19139="EX",1,IF(DATOS!$G19139="OR",--(COUNTIFS(nNIA,DATOS!$A19139,nCURSO,DATOS!$D19139,nESPEC,DATOS!$E19139,nASIG,DATOS!$I19139,nEVAL,"EX")=0),0))))</f>
      </c>
      <c r="H19139">
        <f>IF(DATOS!$G19139&lt;&gt;"EX",0,--(COUNTIFS(nNIA,DATOS!$A19139,nCURSO,DATOS!$D19139,nESPEC,DATOS!$E19139,nASIG,DATOS!$I19139,nEVAL,"OR")=0))</f>
      </c>
      <c r="I19139">
        <f>IF(DATOS!$I19139="","",IFERROR(VLOOKUP(DATOS!$I19139,CONFIG_ASIGNATURAS!$B$2:$J$91,9,FALSE()),""))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IF(DATOS!$A19140="",0,IF(CONFIG_METADATA!$B$4&lt;&gt;"OR+EX",--(DATOS!$G19140=CONFIG_METADATA!$B$4),IF(DATOS!$G19140="EX",1,IF(DATOS!$G19140="OR",--(COUNTIFS(nNIA,DATOS!$A19140,nCURSO,DATOS!$D19140,nESPEC,DATOS!$E19140,nASIG,DATOS!$I19140,nEVAL,"EX")=0),0))))</f>
      </c>
      <c r="H19140">
        <f>IF(DATOS!$G19140&lt;&gt;"EX",0,--(COUNTIFS(nNIA,DATOS!$A19140,nCURSO,DATOS!$D19140,nESPEC,DATOS!$E19140,nASIG,DATOS!$I19140,nEVAL,"OR")=0))</f>
      </c>
      <c r="I19140">
        <f>IF(DATOS!$I19140="","",IFERROR(VLOOKUP(DATOS!$I19140,CONFIG_ASIGNATURAS!$B$2:$J$91,9,FALSE()),""))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IF(DATOS!$A19141="",0,IF(CONFIG_METADATA!$B$4&lt;&gt;"OR+EX",--(DATOS!$G19141=CONFIG_METADATA!$B$4),IF(DATOS!$G19141="EX",1,IF(DATOS!$G19141="OR",--(COUNTIFS(nNIA,DATOS!$A19141,nCURSO,DATOS!$D19141,nESPEC,DATOS!$E19141,nASIG,DATOS!$I19141,nEVAL,"EX")=0),0))))</f>
      </c>
      <c r="H19141">
        <f>IF(DATOS!$G19141&lt;&gt;"EX",0,--(COUNTIFS(nNIA,DATOS!$A19141,nCURSO,DATOS!$D19141,nESPEC,DATOS!$E19141,nASIG,DATOS!$I19141,nEVAL,"OR")=0))</f>
      </c>
      <c r="I19141">
        <f>IF(DATOS!$I19141="","",IFERROR(VLOOKUP(DATOS!$I19141,CONFIG_ASIGNATURAS!$B$2:$J$91,9,FALSE()),""))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IF(DATOS!$A19142="",0,IF(CONFIG_METADATA!$B$4&lt;&gt;"OR+EX",--(DATOS!$G19142=CONFIG_METADATA!$B$4),IF(DATOS!$G19142="EX",1,IF(DATOS!$G19142="OR",--(COUNTIFS(nNIA,DATOS!$A19142,nCURSO,DATOS!$D19142,nESPEC,DATOS!$E19142,nASIG,DATOS!$I19142,nEVAL,"EX")=0),0))))</f>
      </c>
      <c r="H19142">
        <f>IF(DATOS!$G19142&lt;&gt;"EX",0,--(COUNTIFS(nNIA,DATOS!$A19142,nCURSO,DATOS!$D19142,nESPEC,DATOS!$E19142,nASIG,DATOS!$I19142,nEVAL,"OR")=0))</f>
      </c>
      <c r="I19142">
        <f>IF(DATOS!$I19142="","",IFERROR(VLOOKUP(DATOS!$I19142,CONFIG_ASIGNATURAS!$B$2:$J$91,9,FALSE()),""))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IF(DATOS!$A19143="",0,IF(CONFIG_METADATA!$B$4&lt;&gt;"OR+EX",--(DATOS!$G19143=CONFIG_METADATA!$B$4),IF(DATOS!$G19143="EX",1,IF(DATOS!$G19143="OR",--(COUNTIFS(nNIA,DATOS!$A19143,nCURSO,DATOS!$D19143,nESPEC,DATOS!$E19143,nASIG,DATOS!$I19143,nEVAL,"EX")=0),0))))</f>
      </c>
      <c r="H19143">
        <f>IF(DATOS!$G19143&lt;&gt;"EX",0,--(COUNTIFS(nNIA,DATOS!$A19143,nCURSO,DATOS!$D19143,nESPEC,DATOS!$E19143,nASIG,DATOS!$I19143,nEVAL,"OR")=0))</f>
      </c>
      <c r="I19143">
        <f>IF(DATOS!$I19143="","",IFERROR(VLOOKUP(DATOS!$I19143,CONFIG_ASIGNATURAS!$B$2:$J$91,9,FALSE()),""))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IF(DATOS!$A19144="",0,IF(CONFIG_METADATA!$B$4&lt;&gt;"OR+EX",--(DATOS!$G19144=CONFIG_METADATA!$B$4),IF(DATOS!$G19144="EX",1,IF(DATOS!$G19144="OR",--(COUNTIFS(nNIA,DATOS!$A19144,nCURSO,DATOS!$D19144,nESPEC,DATOS!$E19144,nASIG,DATOS!$I19144,nEVAL,"EX")=0),0))))</f>
      </c>
      <c r="H19144">
        <f>IF(DATOS!$G19144&lt;&gt;"EX",0,--(COUNTIFS(nNIA,DATOS!$A19144,nCURSO,DATOS!$D19144,nESPEC,DATOS!$E19144,nASIG,DATOS!$I19144,nEVAL,"OR")=0))</f>
      </c>
      <c r="I19144">
        <f>IF(DATOS!$I19144="","",IFERROR(VLOOKUP(DATOS!$I19144,CONFIG_ASIGNATURAS!$B$2:$J$91,9,FALSE()),""))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IF(DATOS!$A19145="",0,IF(CONFIG_METADATA!$B$4&lt;&gt;"OR+EX",--(DATOS!$G19145=CONFIG_METADATA!$B$4),IF(DATOS!$G19145="EX",1,IF(DATOS!$G19145="OR",--(COUNTIFS(nNIA,DATOS!$A19145,nCURSO,DATOS!$D19145,nESPEC,DATOS!$E19145,nASIG,DATOS!$I19145,nEVAL,"EX")=0),0))))</f>
      </c>
      <c r="H19145">
        <f>IF(DATOS!$G19145&lt;&gt;"EX",0,--(COUNTIFS(nNIA,DATOS!$A19145,nCURSO,DATOS!$D19145,nESPEC,DATOS!$E19145,nASIG,DATOS!$I19145,nEVAL,"OR")=0))</f>
      </c>
      <c r="I19145">
        <f>IF(DATOS!$I19145="","",IFERROR(VLOOKUP(DATOS!$I19145,CONFIG_ASIGNATURAS!$B$2:$J$91,9,FALSE()),""))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IF(DATOS!$A19146="",0,IF(CONFIG_METADATA!$B$4&lt;&gt;"OR+EX",--(DATOS!$G19146=CONFIG_METADATA!$B$4),IF(DATOS!$G19146="EX",1,IF(DATOS!$G19146="OR",--(COUNTIFS(nNIA,DATOS!$A19146,nCURSO,DATOS!$D19146,nESPEC,DATOS!$E19146,nASIG,DATOS!$I19146,nEVAL,"EX")=0),0))))</f>
      </c>
      <c r="H19146">
        <f>IF(DATOS!$G19146&lt;&gt;"EX",0,--(COUNTIFS(nNIA,DATOS!$A19146,nCURSO,DATOS!$D19146,nESPEC,DATOS!$E19146,nASIG,DATOS!$I19146,nEVAL,"OR")=0))</f>
      </c>
      <c r="I19146">
        <f>IF(DATOS!$I19146="","",IFERROR(VLOOKUP(DATOS!$I19146,CONFIG_ASIGNATURAS!$B$2:$J$91,9,FALSE()),""))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IF(DATOS!$A19147="",0,IF(CONFIG_METADATA!$B$4&lt;&gt;"OR+EX",--(DATOS!$G19147=CONFIG_METADATA!$B$4),IF(DATOS!$G19147="EX",1,IF(DATOS!$G19147="OR",--(COUNTIFS(nNIA,DATOS!$A19147,nCURSO,DATOS!$D19147,nESPEC,DATOS!$E19147,nASIG,DATOS!$I19147,nEVAL,"EX")=0),0))))</f>
      </c>
      <c r="H19147">
        <f>IF(DATOS!$G19147&lt;&gt;"EX",0,--(COUNTIFS(nNIA,DATOS!$A19147,nCURSO,DATOS!$D19147,nESPEC,DATOS!$E19147,nASIG,DATOS!$I19147,nEVAL,"OR")=0))</f>
      </c>
      <c r="I19147">
        <f>IF(DATOS!$I19147="","",IFERROR(VLOOKUP(DATOS!$I19147,CONFIG_ASIGNATURAS!$B$2:$J$91,9,FALSE()),""))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IF(DATOS!$A19148="",0,IF(CONFIG_METADATA!$B$4&lt;&gt;"OR+EX",--(DATOS!$G19148=CONFIG_METADATA!$B$4),IF(DATOS!$G19148="EX",1,IF(DATOS!$G19148="OR",--(COUNTIFS(nNIA,DATOS!$A19148,nCURSO,DATOS!$D19148,nESPEC,DATOS!$E19148,nASIG,DATOS!$I19148,nEVAL,"EX")=0),0))))</f>
      </c>
      <c r="H19148">
        <f>IF(DATOS!$G19148&lt;&gt;"EX",0,--(COUNTIFS(nNIA,DATOS!$A19148,nCURSO,DATOS!$D19148,nESPEC,DATOS!$E19148,nASIG,DATOS!$I19148,nEVAL,"OR")=0))</f>
      </c>
      <c r="I19148">
        <f>IF(DATOS!$I19148="","",IFERROR(VLOOKUP(DATOS!$I19148,CONFIG_ASIGNATURAS!$B$2:$J$91,9,FALSE()),""))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IF(DATOS!$A19149="",0,IF(CONFIG_METADATA!$B$4&lt;&gt;"OR+EX",--(DATOS!$G19149=CONFIG_METADATA!$B$4),IF(DATOS!$G19149="EX",1,IF(DATOS!$G19149="OR",--(COUNTIFS(nNIA,DATOS!$A19149,nCURSO,DATOS!$D19149,nESPEC,DATOS!$E19149,nASIG,DATOS!$I19149,nEVAL,"EX")=0),0))))</f>
      </c>
      <c r="H19149">
        <f>IF(DATOS!$G19149&lt;&gt;"EX",0,--(COUNTIFS(nNIA,DATOS!$A19149,nCURSO,DATOS!$D19149,nESPEC,DATOS!$E19149,nASIG,DATOS!$I19149,nEVAL,"OR")=0))</f>
      </c>
      <c r="I19149">
        <f>IF(DATOS!$I19149="","",IFERROR(VLOOKUP(DATOS!$I19149,CONFIG_ASIGNATURAS!$B$2:$J$91,9,FALSE()),""))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IF(DATOS!$A19150="",0,IF(CONFIG_METADATA!$B$4&lt;&gt;"OR+EX",--(DATOS!$G19150=CONFIG_METADATA!$B$4),IF(DATOS!$G19150="EX",1,IF(DATOS!$G19150="OR",--(COUNTIFS(nNIA,DATOS!$A19150,nCURSO,DATOS!$D19150,nESPEC,DATOS!$E19150,nASIG,DATOS!$I19150,nEVAL,"EX")=0),0))))</f>
      </c>
      <c r="H19150">
        <f>IF(DATOS!$G19150&lt;&gt;"EX",0,--(COUNTIFS(nNIA,DATOS!$A19150,nCURSO,DATOS!$D19150,nESPEC,DATOS!$E19150,nASIG,DATOS!$I19150,nEVAL,"OR")=0))</f>
      </c>
      <c r="I19150">
        <f>IF(DATOS!$I19150="","",IFERROR(VLOOKUP(DATOS!$I19150,CONFIG_ASIGNATURAS!$B$2:$J$91,9,FALSE()),""))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IF(DATOS!$A19151="",0,IF(CONFIG_METADATA!$B$4&lt;&gt;"OR+EX",--(DATOS!$G19151=CONFIG_METADATA!$B$4),IF(DATOS!$G19151="EX",1,IF(DATOS!$G19151="OR",--(COUNTIFS(nNIA,DATOS!$A19151,nCURSO,DATOS!$D19151,nESPEC,DATOS!$E19151,nASIG,DATOS!$I19151,nEVAL,"EX")=0),0))))</f>
      </c>
      <c r="H19151">
        <f>IF(DATOS!$G19151&lt;&gt;"EX",0,--(COUNTIFS(nNIA,DATOS!$A19151,nCURSO,DATOS!$D19151,nESPEC,DATOS!$E19151,nASIG,DATOS!$I19151,nEVAL,"OR")=0))</f>
      </c>
      <c r="I19151">
        <f>IF(DATOS!$I19151="","",IFERROR(VLOOKUP(DATOS!$I19151,CONFIG_ASIGNATURAS!$B$2:$J$91,9,FALSE()),""))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IF(DATOS!$A19152="",0,IF(CONFIG_METADATA!$B$4&lt;&gt;"OR+EX",--(DATOS!$G19152=CONFIG_METADATA!$B$4),IF(DATOS!$G19152="EX",1,IF(DATOS!$G19152="OR",--(COUNTIFS(nNIA,DATOS!$A19152,nCURSO,DATOS!$D19152,nESPEC,DATOS!$E19152,nASIG,DATOS!$I19152,nEVAL,"EX")=0),0))))</f>
      </c>
      <c r="H19152">
        <f>IF(DATOS!$G19152&lt;&gt;"EX",0,--(COUNTIFS(nNIA,DATOS!$A19152,nCURSO,DATOS!$D19152,nESPEC,DATOS!$E19152,nASIG,DATOS!$I19152,nEVAL,"OR")=0))</f>
      </c>
      <c r="I19152">
        <f>IF(DATOS!$I19152="","",IFERROR(VLOOKUP(DATOS!$I19152,CONFIG_ASIGNATURAS!$B$2:$J$91,9,FALSE()),""))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IF(DATOS!$A19153="",0,IF(CONFIG_METADATA!$B$4&lt;&gt;"OR+EX",--(DATOS!$G19153=CONFIG_METADATA!$B$4),IF(DATOS!$G19153="EX",1,IF(DATOS!$G19153="OR",--(COUNTIFS(nNIA,DATOS!$A19153,nCURSO,DATOS!$D19153,nESPEC,DATOS!$E19153,nASIG,DATOS!$I19153,nEVAL,"EX")=0),0))))</f>
      </c>
      <c r="H19153">
        <f>IF(DATOS!$G19153&lt;&gt;"EX",0,--(COUNTIFS(nNIA,DATOS!$A19153,nCURSO,DATOS!$D19153,nESPEC,DATOS!$E19153,nASIG,DATOS!$I19153,nEVAL,"OR")=0))</f>
      </c>
      <c r="I19153">
        <f>IF(DATOS!$I19153="","",IFERROR(VLOOKUP(DATOS!$I19153,CONFIG_ASIGNATURAS!$B$2:$J$91,9,FALSE()),""))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IF(DATOS!$A19154="",0,IF(CONFIG_METADATA!$B$4&lt;&gt;"OR+EX",--(DATOS!$G19154=CONFIG_METADATA!$B$4),IF(DATOS!$G19154="EX",1,IF(DATOS!$G19154="OR",--(COUNTIFS(nNIA,DATOS!$A19154,nCURSO,DATOS!$D19154,nESPEC,DATOS!$E19154,nASIG,DATOS!$I19154,nEVAL,"EX")=0),0))))</f>
      </c>
      <c r="H19154">
        <f>IF(DATOS!$G19154&lt;&gt;"EX",0,--(COUNTIFS(nNIA,DATOS!$A19154,nCURSO,DATOS!$D19154,nESPEC,DATOS!$E19154,nASIG,DATOS!$I19154,nEVAL,"OR")=0))</f>
      </c>
      <c r="I19154">
        <f>IF(DATOS!$I19154="","",IFERROR(VLOOKUP(DATOS!$I19154,CONFIG_ASIGNATURAS!$B$2:$J$91,9,FALSE()),""))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IF(DATOS!$A19155="",0,IF(CONFIG_METADATA!$B$4&lt;&gt;"OR+EX",--(DATOS!$G19155=CONFIG_METADATA!$B$4),IF(DATOS!$G19155="EX",1,IF(DATOS!$G19155="OR",--(COUNTIFS(nNIA,DATOS!$A19155,nCURSO,DATOS!$D19155,nESPEC,DATOS!$E19155,nASIG,DATOS!$I19155,nEVAL,"EX")=0),0))))</f>
      </c>
      <c r="H19155">
        <f>IF(DATOS!$G19155&lt;&gt;"EX",0,--(COUNTIFS(nNIA,DATOS!$A19155,nCURSO,DATOS!$D19155,nESPEC,DATOS!$E19155,nASIG,DATOS!$I19155,nEVAL,"OR")=0))</f>
      </c>
      <c r="I19155">
        <f>IF(DATOS!$I19155="","",IFERROR(VLOOKUP(DATOS!$I19155,CONFIG_ASIGNATURAS!$B$2:$J$91,9,FALSE()),""))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IF(DATOS!$A19156="",0,IF(CONFIG_METADATA!$B$4&lt;&gt;"OR+EX",--(DATOS!$G19156=CONFIG_METADATA!$B$4),IF(DATOS!$G19156="EX",1,IF(DATOS!$G19156="OR",--(COUNTIFS(nNIA,DATOS!$A19156,nCURSO,DATOS!$D19156,nESPEC,DATOS!$E19156,nASIG,DATOS!$I19156,nEVAL,"EX")=0),0))))</f>
      </c>
      <c r="H19156">
        <f>IF(DATOS!$G19156&lt;&gt;"EX",0,--(COUNTIFS(nNIA,DATOS!$A19156,nCURSO,DATOS!$D19156,nESPEC,DATOS!$E19156,nASIG,DATOS!$I19156,nEVAL,"OR")=0))</f>
      </c>
      <c r="I19156">
        <f>IF(DATOS!$I19156="","",IFERROR(VLOOKUP(DATOS!$I19156,CONFIG_ASIGNATURAS!$B$2:$J$91,9,FALSE()),""))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IF(DATOS!$A19157="",0,IF(CONFIG_METADATA!$B$4&lt;&gt;"OR+EX",--(DATOS!$G19157=CONFIG_METADATA!$B$4),IF(DATOS!$G19157="EX",1,IF(DATOS!$G19157="OR",--(COUNTIFS(nNIA,DATOS!$A19157,nCURSO,DATOS!$D19157,nESPEC,DATOS!$E19157,nASIG,DATOS!$I19157,nEVAL,"EX")=0),0))))</f>
      </c>
      <c r="H19157">
        <f>IF(DATOS!$G19157&lt;&gt;"EX",0,--(COUNTIFS(nNIA,DATOS!$A19157,nCURSO,DATOS!$D19157,nESPEC,DATOS!$E19157,nASIG,DATOS!$I19157,nEVAL,"OR")=0))</f>
      </c>
      <c r="I19157">
        <f>IF(DATOS!$I19157="","",IFERROR(VLOOKUP(DATOS!$I19157,CONFIG_ASIGNATURAS!$B$2:$J$91,9,FALSE()),""))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IF(DATOS!$A19158="",0,IF(CONFIG_METADATA!$B$4&lt;&gt;"OR+EX",--(DATOS!$G19158=CONFIG_METADATA!$B$4),IF(DATOS!$G19158="EX",1,IF(DATOS!$G19158="OR",--(COUNTIFS(nNIA,DATOS!$A19158,nCURSO,DATOS!$D19158,nESPEC,DATOS!$E19158,nASIG,DATOS!$I19158,nEVAL,"EX")=0),0))))</f>
      </c>
      <c r="H19158">
        <f>IF(DATOS!$G19158&lt;&gt;"EX",0,--(COUNTIFS(nNIA,DATOS!$A19158,nCURSO,DATOS!$D19158,nESPEC,DATOS!$E19158,nASIG,DATOS!$I19158,nEVAL,"OR")=0))</f>
      </c>
      <c r="I19158">
        <f>IF(DATOS!$I19158="","",IFERROR(VLOOKUP(DATOS!$I19158,CONFIG_ASIGNATURAS!$B$2:$J$91,9,FALSE()),""))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IF(DATOS!$A19159="",0,IF(CONFIG_METADATA!$B$4&lt;&gt;"OR+EX",--(DATOS!$G19159=CONFIG_METADATA!$B$4),IF(DATOS!$G19159="EX",1,IF(DATOS!$G19159="OR",--(COUNTIFS(nNIA,DATOS!$A19159,nCURSO,DATOS!$D19159,nESPEC,DATOS!$E19159,nASIG,DATOS!$I19159,nEVAL,"EX")=0),0))))</f>
      </c>
      <c r="H19159">
        <f>IF(DATOS!$G19159&lt;&gt;"EX",0,--(COUNTIFS(nNIA,DATOS!$A19159,nCURSO,DATOS!$D19159,nESPEC,DATOS!$E19159,nASIG,DATOS!$I19159,nEVAL,"OR")=0))</f>
      </c>
      <c r="I19159">
        <f>IF(DATOS!$I19159="","",IFERROR(VLOOKUP(DATOS!$I19159,CONFIG_ASIGNATURAS!$B$2:$J$91,9,FALSE()),""))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IF(DATOS!$A19160="",0,IF(CONFIG_METADATA!$B$4&lt;&gt;"OR+EX",--(DATOS!$G19160=CONFIG_METADATA!$B$4),IF(DATOS!$G19160="EX",1,IF(DATOS!$G19160="OR",--(COUNTIFS(nNIA,DATOS!$A19160,nCURSO,DATOS!$D19160,nESPEC,DATOS!$E19160,nASIG,DATOS!$I19160,nEVAL,"EX")=0),0))))</f>
      </c>
      <c r="H19160">
        <f>IF(DATOS!$G19160&lt;&gt;"EX",0,--(COUNTIFS(nNIA,DATOS!$A19160,nCURSO,DATOS!$D19160,nESPEC,DATOS!$E19160,nASIG,DATOS!$I19160,nEVAL,"OR")=0))</f>
      </c>
      <c r="I19160">
        <f>IF(DATOS!$I19160="","",IFERROR(VLOOKUP(DATOS!$I19160,CONFIG_ASIGNATURAS!$B$2:$J$91,9,FALSE()),""))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IF(DATOS!$A19161="",0,IF(CONFIG_METADATA!$B$4&lt;&gt;"OR+EX",--(DATOS!$G19161=CONFIG_METADATA!$B$4),IF(DATOS!$G19161="EX",1,IF(DATOS!$G19161="OR",--(COUNTIFS(nNIA,DATOS!$A19161,nCURSO,DATOS!$D19161,nESPEC,DATOS!$E19161,nASIG,DATOS!$I19161,nEVAL,"EX")=0),0))))</f>
      </c>
      <c r="H19161">
        <f>IF(DATOS!$G19161&lt;&gt;"EX",0,--(COUNTIFS(nNIA,DATOS!$A19161,nCURSO,DATOS!$D19161,nESPEC,DATOS!$E19161,nASIG,DATOS!$I19161,nEVAL,"OR")=0))</f>
      </c>
      <c r="I19161">
        <f>IF(DATOS!$I19161="","",IFERROR(VLOOKUP(DATOS!$I19161,CONFIG_ASIGNATURAS!$B$2:$J$91,9,FALSE()),""))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IF(DATOS!$A19162="",0,IF(CONFIG_METADATA!$B$4&lt;&gt;"OR+EX",--(DATOS!$G19162=CONFIG_METADATA!$B$4),IF(DATOS!$G19162="EX",1,IF(DATOS!$G19162="OR",--(COUNTIFS(nNIA,DATOS!$A19162,nCURSO,DATOS!$D19162,nESPEC,DATOS!$E19162,nASIG,DATOS!$I19162,nEVAL,"EX")=0),0))))</f>
      </c>
      <c r="H19162">
        <f>IF(DATOS!$G19162&lt;&gt;"EX",0,--(COUNTIFS(nNIA,DATOS!$A19162,nCURSO,DATOS!$D19162,nESPEC,DATOS!$E19162,nASIG,DATOS!$I19162,nEVAL,"OR")=0))</f>
      </c>
      <c r="I19162">
        <f>IF(DATOS!$I19162="","",IFERROR(VLOOKUP(DATOS!$I19162,CONFIG_ASIGNATURAS!$B$2:$J$91,9,FALSE()),""))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IF(DATOS!$A19163="",0,IF(CONFIG_METADATA!$B$4&lt;&gt;"OR+EX",--(DATOS!$G19163=CONFIG_METADATA!$B$4),IF(DATOS!$G19163="EX",1,IF(DATOS!$G19163="OR",--(COUNTIFS(nNIA,DATOS!$A19163,nCURSO,DATOS!$D19163,nESPEC,DATOS!$E19163,nASIG,DATOS!$I19163,nEVAL,"EX")=0),0))))</f>
      </c>
      <c r="H19163">
        <f>IF(DATOS!$G19163&lt;&gt;"EX",0,--(COUNTIFS(nNIA,DATOS!$A19163,nCURSO,DATOS!$D19163,nESPEC,DATOS!$E19163,nASIG,DATOS!$I19163,nEVAL,"OR")=0))</f>
      </c>
      <c r="I19163">
        <f>IF(DATOS!$I19163="","",IFERROR(VLOOKUP(DATOS!$I19163,CONFIG_ASIGNATURAS!$B$2:$J$91,9,FALSE()),""))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IF(DATOS!$A19164="",0,IF(CONFIG_METADATA!$B$4&lt;&gt;"OR+EX",--(DATOS!$G19164=CONFIG_METADATA!$B$4),IF(DATOS!$G19164="EX",1,IF(DATOS!$G19164="OR",--(COUNTIFS(nNIA,DATOS!$A19164,nCURSO,DATOS!$D19164,nESPEC,DATOS!$E19164,nASIG,DATOS!$I19164,nEVAL,"EX")=0),0))))</f>
      </c>
      <c r="H19164">
        <f>IF(DATOS!$G19164&lt;&gt;"EX",0,--(COUNTIFS(nNIA,DATOS!$A19164,nCURSO,DATOS!$D19164,nESPEC,DATOS!$E19164,nASIG,DATOS!$I19164,nEVAL,"OR")=0))</f>
      </c>
      <c r="I19164">
        <f>IF(DATOS!$I19164="","",IFERROR(VLOOKUP(DATOS!$I19164,CONFIG_ASIGNATURAS!$B$2:$J$91,9,FALSE()),""))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IF(DATOS!$A19165="",0,IF(CONFIG_METADATA!$B$4&lt;&gt;"OR+EX",--(DATOS!$G19165=CONFIG_METADATA!$B$4),IF(DATOS!$G19165="EX",1,IF(DATOS!$G19165="OR",--(COUNTIFS(nNIA,DATOS!$A19165,nCURSO,DATOS!$D19165,nESPEC,DATOS!$E19165,nASIG,DATOS!$I19165,nEVAL,"EX")=0),0))))</f>
      </c>
      <c r="H19165">
        <f>IF(DATOS!$G19165&lt;&gt;"EX",0,--(COUNTIFS(nNIA,DATOS!$A19165,nCURSO,DATOS!$D19165,nESPEC,DATOS!$E19165,nASIG,DATOS!$I19165,nEVAL,"OR")=0))</f>
      </c>
      <c r="I19165">
        <f>IF(DATOS!$I19165="","",IFERROR(VLOOKUP(DATOS!$I19165,CONFIG_ASIGNATURAS!$B$2:$J$91,9,FALSE()),""))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IF(DATOS!$A19166="",0,IF(CONFIG_METADATA!$B$4&lt;&gt;"OR+EX",--(DATOS!$G19166=CONFIG_METADATA!$B$4),IF(DATOS!$G19166="EX",1,IF(DATOS!$G19166="OR",--(COUNTIFS(nNIA,DATOS!$A19166,nCURSO,DATOS!$D19166,nESPEC,DATOS!$E19166,nASIG,DATOS!$I19166,nEVAL,"EX")=0),0))))</f>
      </c>
      <c r="H19166">
        <f>IF(DATOS!$G19166&lt;&gt;"EX",0,--(COUNTIFS(nNIA,DATOS!$A19166,nCURSO,DATOS!$D19166,nESPEC,DATOS!$E19166,nASIG,DATOS!$I19166,nEVAL,"OR")=0))</f>
      </c>
      <c r="I19166">
        <f>IF(DATOS!$I19166="","",IFERROR(VLOOKUP(DATOS!$I19166,CONFIG_ASIGNATURAS!$B$2:$J$91,9,FALSE()),""))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IF(DATOS!$A19167="",0,IF(CONFIG_METADATA!$B$4&lt;&gt;"OR+EX",--(DATOS!$G19167=CONFIG_METADATA!$B$4),IF(DATOS!$G19167="EX",1,IF(DATOS!$G19167="OR",--(COUNTIFS(nNIA,DATOS!$A19167,nCURSO,DATOS!$D19167,nESPEC,DATOS!$E19167,nASIG,DATOS!$I19167,nEVAL,"EX")=0),0))))</f>
      </c>
      <c r="H19167">
        <f>IF(DATOS!$G19167&lt;&gt;"EX",0,--(COUNTIFS(nNIA,DATOS!$A19167,nCURSO,DATOS!$D19167,nESPEC,DATOS!$E19167,nASIG,DATOS!$I19167,nEVAL,"OR")=0))</f>
      </c>
      <c r="I19167">
        <f>IF(DATOS!$I19167="","",IFERROR(VLOOKUP(DATOS!$I19167,CONFIG_ASIGNATURAS!$B$2:$J$91,9,FALSE()),""))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IF(DATOS!$A19168="",0,IF(CONFIG_METADATA!$B$4&lt;&gt;"OR+EX",--(DATOS!$G19168=CONFIG_METADATA!$B$4),IF(DATOS!$G19168="EX",1,IF(DATOS!$G19168="OR",--(COUNTIFS(nNIA,DATOS!$A19168,nCURSO,DATOS!$D19168,nESPEC,DATOS!$E19168,nASIG,DATOS!$I19168,nEVAL,"EX")=0),0))))</f>
      </c>
      <c r="H19168">
        <f>IF(DATOS!$G19168&lt;&gt;"EX",0,--(COUNTIFS(nNIA,DATOS!$A19168,nCURSO,DATOS!$D19168,nESPEC,DATOS!$E19168,nASIG,DATOS!$I19168,nEVAL,"OR")=0))</f>
      </c>
      <c r="I19168">
        <f>IF(DATOS!$I19168="","",IFERROR(VLOOKUP(DATOS!$I19168,CONFIG_ASIGNATURAS!$B$2:$J$91,9,FALSE()),""))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IF(DATOS!$A19169="",0,IF(CONFIG_METADATA!$B$4&lt;&gt;"OR+EX",--(DATOS!$G19169=CONFIG_METADATA!$B$4),IF(DATOS!$G19169="EX",1,IF(DATOS!$G19169="OR",--(COUNTIFS(nNIA,DATOS!$A19169,nCURSO,DATOS!$D19169,nESPEC,DATOS!$E19169,nASIG,DATOS!$I19169,nEVAL,"EX")=0),0))))</f>
      </c>
      <c r="H19169">
        <f>IF(DATOS!$G19169&lt;&gt;"EX",0,--(COUNTIFS(nNIA,DATOS!$A19169,nCURSO,DATOS!$D19169,nESPEC,DATOS!$E19169,nASIG,DATOS!$I19169,nEVAL,"OR")=0))</f>
      </c>
      <c r="I19169">
        <f>IF(DATOS!$I19169="","",IFERROR(VLOOKUP(DATOS!$I19169,CONFIG_ASIGNATURAS!$B$2:$J$91,9,FALSE()),""))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IF(DATOS!$A19170="",0,IF(CONFIG_METADATA!$B$4&lt;&gt;"OR+EX",--(DATOS!$G19170=CONFIG_METADATA!$B$4),IF(DATOS!$G19170="EX",1,IF(DATOS!$G19170="OR",--(COUNTIFS(nNIA,DATOS!$A19170,nCURSO,DATOS!$D19170,nESPEC,DATOS!$E19170,nASIG,DATOS!$I19170,nEVAL,"EX")=0),0))))</f>
      </c>
      <c r="H19170">
        <f>IF(DATOS!$G19170&lt;&gt;"EX",0,--(COUNTIFS(nNIA,DATOS!$A19170,nCURSO,DATOS!$D19170,nESPEC,DATOS!$E19170,nASIG,DATOS!$I19170,nEVAL,"OR")=0))</f>
      </c>
      <c r="I19170">
        <f>IF(DATOS!$I19170="","",IFERROR(VLOOKUP(DATOS!$I19170,CONFIG_ASIGNATURAS!$B$2:$J$91,9,FALSE()),""))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IF(DATOS!$A19171="",0,IF(CONFIG_METADATA!$B$4&lt;&gt;"OR+EX",--(DATOS!$G19171=CONFIG_METADATA!$B$4),IF(DATOS!$G19171="EX",1,IF(DATOS!$G19171="OR",--(COUNTIFS(nNIA,DATOS!$A19171,nCURSO,DATOS!$D19171,nESPEC,DATOS!$E19171,nASIG,DATOS!$I19171,nEVAL,"EX")=0),0))))</f>
      </c>
      <c r="H19171">
        <f>IF(DATOS!$G19171&lt;&gt;"EX",0,--(COUNTIFS(nNIA,DATOS!$A19171,nCURSO,DATOS!$D19171,nESPEC,DATOS!$E19171,nASIG,DATOS!$I19171,nEVAL,"OR")=0))</f>
      </c>
      <c r="I19171">
        <f>IF(DATOS!$I19171="","",IFERROR(VLOOKUP(DATOS!$I19171,CONFIG_ASIGNATURAS!$B$2:$J$91,9,FALSE()),""))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IF(DATOS!$A19172="",0,IF(CONFIG_METADATA!$B$4&lt;&gt;"OR+EX",--(DATOS!$G19172=CONFIG_METADATA!$B$4),IF(DATOS!$G19172="EX",1,IF(DATOS!$G19172="OR",--(COUNTIFS(nNIA,DATOS!$A19172,nCURSO,DATOS!$D19172,nESPEC,DATOS!$E19172,nASIG,DATOS!$I19172,nEVAL,"EX")=0),0))))</f>
      </c>
      <c r="H19172">
        <f>IF(DATOS!$G19172&lt;&gt;"EX",0,--(COUNTIFS(nNIA,DATOS!$A19172,nCURSO,DATOS!$D19172,nESPEC,DATOS!$E19172,nASIG,DATOS!$I19172,nEVAL,"OR")=0))</f>
      </c>
      <c r="I19172">
        <f>IF(DATOS!$I19172="","",IFERROR(VLOOKUP(DATOS!$I19172,CONFIG_ASIGNATURAS!$B$2:$J$91,9,FALSE()),""))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IF(DATOS!$A19173="",0,IF(CONFIG_METADATA!$B$4&lt;&gt;"OR+EX",--(DATOS!$G19173=CONFIG_METADATA!$B$4),IF(DATOS!$G19173="EX",1,IF(DATOS!$G19173="OR",--(COUNTIFS(nNIA,DATOS!$A19173,nCURSO,DATOS!$D19173,nESPEC,DATOS!$E19173,nASIG,DATOS!$I19173,nEVAL,"EX")=0),0))))</f>
      </c>
      <c r="H19173">
        <f>IF(DATOS!$G19173&lt;&gt;"EX",0,--(COUNTIFS(nNIA,DATOS!$A19173,nCURSO,DATOS!$D19173,nESPEC,DATOS!$E19173,nASIG,DATOS!$I19173,nEVAL,"OR")=0))</f>
      </c>
      <c r="I19173">
        <f>IF(DATOS!$I19173="","",IFERROR(VLOOKUP(DATOS!$I19173,CONFIG_ASIGNATURAS!$B$2:$J$91,9,FALSE()),""))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IF(DATOS!$A19174="",0,IF(CONFIG_METADATA!$B$4&lt;&gt;"OR+EX",--(DATOS!$G19174=CONFIG_METADATA!$B$4),IF(DATOS!$G19174="EX",1,IF(DATOS!$G19174="OR",--(COUNTIFS(nNIA,DATOS!$A19174,nCURSO,DATOS!$D19174,nESPEC,DATOS!$E19174,nASIG,DATOS!$I19174,nEVAL,"EX")=0),0))))</f>
      </c>
      <c r="H19174">
        <f>IF(DATOS!$G19174&lt;&gt;"EX",0,--(COUNTIFS(nNIA,DATOS!$A19174,nCURSO,DATOS!$D19174,nESPEC,DATOS!$E19174,nASIG,DATOS!$I19174,nEVAL,"OR")=0))</f>
      </c>
      <c r="I19174">
        <f>IF(DATOS!$I19174="","",IFERROR(VLOOKUP(DATOS!$I19174,CONFIG_ASIGNATURAS!$B$2:$J$91,9,FALSE()),""))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IF(DATOS!$A19175="",0,IF(CONFIG_METADATA!$B$4&lt;&gt;"OR+EX",--(DATOS!$G19175=CONFIG_METADATA!$B$4),IF(DATOS!$G19175="EX",1,IF(DATOS!$G19175="OR",--(COUNTIFS(nNIA,DATOS!$A19175,nCURSO,DATOS!$D19175,nESPEC,DATOS!$E19175,nASIG,DATOS!$I19175,nEVAL,"EX")=0),0))))</f>
      </c>
      <c r="H19175">
        <f>IF(DATOS!$G19175&lt;&gt;"EX",0,--(COUNTIFS(nNIA,DATOS!$A19175,nCURSO,DATOS!$D19175,nESPEC,DATOS!$E19175,nASIG,DATOS!$I19175,nEVAL,"OR")=0))</f>
      </c>
      <c r="I19175">
        <f>IF(DATOS!$I19175="","",IFERROR(VLOOKUP(DATOS!$I19175,CONFIG_ASIGNATURAS!$B$2:$J$91,9,FALSE()),""))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IF(DATOS!$A19176="",0,IF(CONFIG_METADATA!$B$4&lt;&gt;"OR+EX",--(DATOS!$G19176=CONFIG_METADATA!$B$4),IF(DATOS!$G19176="EX",1,IF(DATOS!$G19176="OR",--(COUNTIFS(nNIA,DATOS!$A19176,nCURSO,DATOS!$D19176,nESPEC,DATOS!$E19176,nASIG,DATOS!$I19176,nEVAL,"EX")=0),0))))</f>
      </c>
      <c r="H19176">
        <f>IF(DATOS!$G19176&lt;&gt;"EX",0,--(COUNTIFS(nNIA,DATOS!$A19176,nCURSO,DATOS!$D19176,nESPEC,DATOS!$E19176,nASIG,DATOS!$I19176,nEVAL,"OR")=0))</f>
      </c>
      <c r="I19176">
        <f>IF(DATOS!$I19176="","",IFERROR(VLOOKUP(DATOS!$I19176,CONFIG_ASIGNATURAS!$B$2:$J$91,9,FALSE()),""))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IF(DATOS!$A19177="",0,IF(CONFIG_METADATA!$B$4&lt;&gt;"OR+EX",--(DATOS!$G19177=CONFIG_METADATA!$B$4),IF(DATOS!$G19177="EX",1,IF(DATOS!$G19177="OR",--(COUNTIFS(nNIA,DATOS!$A19177,nCURSO,DATOS!$D19177,nESPEC,DATOS!$E19177,nASIG,DATOS!$I19177,nEVAL,"EX")=0),0))))</f>
      </c>
      <c r="H19177">
        <f>IF(DATOS!$G19177&lt;&gt;"EX",0,--(COUNTIFS(nNIA,DATOS!$A19177,nCURSO,DATOS!$D19177,nESPEC,DATOS!$E19177,nASIG,DATOS!$I19177,nEVAL,"OR")=0))</f>
      </c>
      <c r="I19177">
        <f>IF(DATOS!$I19177="","",IFERROR(VLOOKUP(DATOS!$I19177,CONFIG_ASIGNATURAS!$B$2:$J$91,9,FALSE()),""))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IF(DATOS!$A19178="",0,IF(CONFIG_METADATA!$B$4&lt;&gt;"OR+EX",--(DATOS!$G19178=CONFIG_METADATA!$B$4),IF(DATOS!$G19178="EX",1,IF(DATOS!$G19178="OR",--(COUNTIFS(nNIA,DATOS!$A19178,nCURSO,DATOS!$D19178,nESPEC,DATOS!$E19178,nASIG,DATOS!$I19178,nEVAL,"EX")=0),0))))</f>
      </c>
      <c r="H19178">
        <f>IF(DATOS!$G19178&lt;&gt;"EX",0,--(COUNTIFS(nNIA,DATOS!$A19178,nCURSO,DATOS!$D19178,nESPEC,DATOS!$E19178,nASIG,DATOS!$I19178,nEVAL,"OR")=0))</f>
      </c>
      <c r="I19178">
        <f>IF(DATOS!$I19178="","",IFERROR(VLOOKUP(DATOS!$I19178,CONFIG_ASIGNATURAS!$B$2:$J$91,9,FALSE()),""))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IF(DATOS!$A19179="",0,IF(CONFIG_METADATA!$B$4&lt;&gt;"OR+EX",--(DATOS!$G19179=CONFIG_METADATA!$B$4),IF(DATOS!$G19179="EX",1,IF(DATOS!$G19179="OR",--(COUNTIFS(nNIA,DATOS!$A19179,nCURSO,DATOS!$D19179,nESPEC,DATOS!$E19179,nASIG,DATOS!$I19179,nEVAL,"EX")=0),0))))</f>
      </c>
      <c r="H19179">
        <f>IF(DATOS!$G19179&lt;&gt;"EX",0,--(COUNTIFS(nNIA,DATOS!$A19179,nCURSO,DATOS!$D19179,nESPEC,DATOS!$E19179,nASIG,DATOS!$I19179,nEVAL,"OR")=0))</f>
      </c>
      <c r="I19179">
        <f>IF(DATOS!$I19179="","",IFERROR(VLOOKUP(DATOS!$I19179,CONFIG_ASIGNATURAS!$B$2:$J$91,9,FALSE()),""))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IF(DATOS!$A19180="",0,IF(CONFIG_METADATA!$B$4&lt;&gt;"OR+EX",--(DATOS!$G19180=CONFIG_METADATA!$B$4),IF(DATOS!$G19180="EX",1,IF(DATOS!$G19180="OR",--(COUNTIFS(nNIA,DATOS!$A19180,nCURSO,DATOS!$D19180,nESPEC,DATOS!$E19180,nASIG,DATOS!$I19180,nEVAL,"EX")=0),0))))</f>
      </c>
      <c r="H19180">
        <f>IF(DATOS!$G19180&lt;&gt;"EX",0,--(COUNTIFS(nNIA,DATOS!$A19180,nCURSO,DATOS!$D19180,nESPEC,DATOS!$E19180,nASIG,DATOS!$I19180,nEVAL,"OR")=0))</f>
      </c>
      <c r="I19180">
        <f>IF(DATOS!$I19180="","",IFERROR(VLOOKUP(DATOS!$I19180,CONFIG_ASIGNATURAS!$B$2:$J$91,9,FALSE()),""))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IF(DATOS!$A19181="",0,IF(CONFIG_METADATA!$B$4&lt;&gt;"OR+EX",--(DATOS!$G19181=CONFIG_METADATA!$B$4),IF(DATOS!$G19181="EX",1,IF(DATOS!$G19181="OR",--(COUNTIFS(nNIA,DATOS!$A19181,nCURSO,DATOS!$D19181,nESPEC,DATOS!$E19181,nASIG,DATOS!$I19181,nEVAL,"EX")=0),0))))</f>
      </c>
      <c r="H19181">
        <f>IF(DATOS!$G19181&lt;&gt;"EX",0,--(COUNTIFS(nNIA,DATOS!$A19181,nCURSO,DATOS!$D19181,nESPEC,DATOS!$E19181,nASIG,DATOS!$I19181,nEVAL,"OR")=0))</f>
      </c>
      <c r="I19181">
        <f>IF(DATOS!$I19181="","",IFERROR(VLOOKUP(DATOS!$I19181,CONFIG_ASIGNATURAS!$B$2:$J$91,9,FALSE()),""))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IF(DATOS!$A19182="",0,IF(CONFIG_METADATA!$B$4&lt;&gt;"OR+EX",--(DATOS!$G19182=CONFIG_METADATA!$B$4),IF(DATOS!$G19182="EX",1,IF(DATOS!$G19182="OR",--(COUNTIFS(nNIA,DATOS!$A19182,nCURSO,DATOS!$D19182,nESPEC,DATOS!$E19182,nASIG,DATOS!$I19182,nEVAL,"EX")=0),0))))</f>
      </c>
      <c r="H19182">
        <f>IF(DATOS!$G19182&lt;&gt;"EX",0,--(COUNTIFS(nNIA,DATOS!$A19182,nCURSO,DATOS!$D19182,nESPEC,DATOS!$E19182,nASIG,DATOS!$I19182,nEVAL,"OR")=0))</f>
      </c>
      <c r="I19182">
        <f>IF(DATOS!$I19182="","",IFERROR(VLOOKUP(DATOS!$I19182,CONFIG_ASIGNATURAS!$B$2:$J$91,9,FALSE()),""))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IF(DATOS!$A19183="",0,IF(CONFIG_METADATA!$B$4&lt;&gt;"OR+EX",--(DATOS!$G19183=CONFIG_METADATA!$B$4),IF(DATOS!$G19183="EX",1,IF(DATOS!$G19183="OR",--(COUNTIFS(nNIA,DATOS!$A19183,nCURSO,DATOS!$D19183,nESPEC,DATOS!$E19183,nASIG,DATOS!$I19183,nEVAL,"EX")=0),0))))</f>
      </c>
      <c r="H19183">
        <f>IF(DATOS!$G19183&lt;&gt;"EX",0,--(COUNTIFS(nNIA,DATOS!$A19183,nCURSO,DATOS!$D19183,nESPEC,DATOS!$E19183,nASIG,DATOS!$I19183,nEVAL,"OR")=0))</f>
      </c>
      <c r="I19183">
        <f>IF(DATOS!$I19183="","",IFERROR(VLOOKUP(DATOS!$I19183,CONFIG_ASIGNATURAS!$B$2:$J$91,9,FALSE()),""))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IF(DATOS!$A19184="",0,IF(CONFIG_METADATA!$B$4&lt;&gt;"OR+EX",--(DATOS!$G19184=CONFIG_METADATA!$B$4),IF(DATOS!$G19184="EX",1,IF(DATOS!$G19184="OR",--(COUNTIFS(nNIA,DATOS!$A19184,nCURSO,DATOS!$D19184,nESPEC,DATOS!$E19184,nASIG,DATOS!$I19184,nEVAL,"EX")=0),0))))</f>
      </c>
      <c r="H19184">
        <f>IF(DATOS!$G19184&lt;&gt;"EX",0,--(COUNTIFS(nNIA,DATOS!$A19184,nCURSO,DATOS!$D19184,nESPEC,DATOS!$E19184,nASIG,DATOS!$I19184,nEVAL,"OR")=0))</f>
      </c>
      <c r="I19184">
        <f>IF(DATOS!$I19184="","",IFERROR(VLOOKUP(DATOS!$I19184,CONFIG_ASIGNATURAS!$B$2:$J$91,9,FALSE()),""))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IF(DATOS!$A19185="",0,IF(CONFIG_METADATA!$B$4&lt;&gt;"OR+EX",--(DATOS!$G19185=CONFIG_METADATA!$B$4),IF(DATOS!$G19185="EX",1,IF(DATOS!$G19185="OR",--(COUNTIFS(nNIA,DATOS!$A19185,nCURSO,DATOS!$D19185,nESPEC,DATOS!$E19185,nASIG,DATOS!$I19185,nEVAL,"EX")=0),0))))</f>
      </c>
      <c r="H19185">
        <f>IF(DATOS!$G19185&lt;&gt;"EX",0,--(COUNTIFS(nNIA,DATOS!$A19185,nCURSO,DATOS!$D19185,nESPEC,DATOS!$E19185,nASIG,DATOS!$I19185,nEVAL,"OR")=0))</f>
      </c>
      <c r="I19185">
        <f>IF(DATOS!$I19185="","",IFERROR(VLOOKUP(DATOS!$I19185,CONFIG_ASIGNATURAS!$B$2:$J$91,9,FALSE()),""))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IF(DATOS!$A19186="",0,IF(CONFIG_METADATA!$B$4&lt;&gt;"OR+EX",--(DATOS!$G19186=CONFIG_METADATA!$B$4),IF(DATOS!$G19186="EX",1,IF(DATOS!$G19186="OR",--(COUNTIFS(nNIA,DATOS!$A19186,nCURSO,DATOS!$D19186,nESPEC,DATOS!$E19186,nASIG,DATOS!$I19186,nEVAL,"EX")=0),0))))</f>
      </c>
      <c r="H19186">
        <f>IF(DATOS!$G19186&lt;&gt;"EX",0,--(COUNTIFS(nNIA,DATOS!$A19186,nCURSO,DATOS!$D19186,nESPEC,DATOS!$E19186,nASIG,DATOS!$I19186,nEVAL,"OR")=0))</f>
      </c>
      <c r="I19186">
        <f>IF(DATOS!$I19186="","",IFERROR(VLOOKUP(DATOS!$I19186,CONFIG_ASIGNATURAS!$B$2:$J$91,9,FALSE()),""))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IF(DATOS!$A19187="",0,IF(CONFIG_METADATA!$B$4&lt;&gt;"OR+EX",--(DATOS!$G19187=CONFIG_METADATA!$B$4),IF(DATOS!$G19187="EX",1,IF(DATOS!$G19187="OR",--(COUNTIFS(nNIA,DATOS!$A19187,nCURSO,DATOS!$D19187,nESPEC,DATOS!$E19187,nASIG,DATOS!$I19187,nEVAL,"EX")=0),0))))</f>
      </c>
      <c r="H19187">
        <f>IF(DATOS!$G19187&lt;&gt;"EX",0,--(COUNTIFS(nNIA,DATOS!$A19187,nCURSO,DATOS!$D19187,nESPEC,DATOS!$E19187,nASIG,DATOS!$I19187,nEVAL,"OR")=0))</f>
      </c>
      <c r="I19187">
        <f>IF(DATOS!$I19187="","",IFERROR(VLOOKUP(DATOS!$I19187,CONFIG_ASIGNATURAS!$B$2:$J$91,9,FALSE()),""))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IF(DATOS!$A19188="",0,IF(CONFIG_METADATA!$B$4&lt;&gt;"OR+EX",--(DATOS!$G19188=CONFIG_METADATA!$B$4),IF(DATOS!$G19188="EX",1,IF(DATOS!$G19188="OR",--(COUNTIFS(nNIA,DATOS!$A19188,nCURSO,DATOS!$D19188,nESPEC,DATOS!$E19188,nASIG,DATOS!$I19188,nEVAL,"EX")=0),0))))</f>
      </c>
      <c r="H19188">
        <f>IF(DATOS!$G19188&lt;&gt;"EX",0,--(COUNTIFS(nNIA,DATOS!$A19188,nCURSO,DATOS!$D19188,nESPEC,DATOS!$E19188,nASIG,DATOS!$I19188,nEVAL,"OR")=0))</f>
      </c>
      <c r="I19188">
        <f>IF(DATOS!$I19188="","",IFERROR(VLOOKUP(DATOS!$I19188,CONFIG_ASIGNATURAS!$B$2:$J$91,9,FALSE()),""))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IF(DATOS!$A19189="",0,IF(CONFIG_METADATA!$B$4&lt;&gt;"OR+EX",--(DATOS!$G19189=CONFIG_METADATA!$B$4),IF(DATOS!$G19189="EX",1,IF(DATOS!$G19189="OR",--(COUNTIFS(nNIA,DATOS!$A19189,nCURSO,DATOS!$D19189,nESPEC,DATOS!$E19189,nASIG,DATOS!$I19189,nEVAL,"EX")=0),0))))</f>
      </c>
      <c r="H19189">
        <f>IF(DATOS!$G19189&lt;&gt;"EX",0,--(COUNTIFS(nNIA,DATOS!$A19189,nCURSO,DATOS!$D19189,nESPEC,DATOS!$E19189,nASIG,DATOS!$I19189,nEVAL,"OR")=0))</f>
      </c>
      <c r="I19189">
        <f>IF(DATOS!$I19189="","",IFERROR(VLOOKUP(DATOS!$I19189,CONFIG_ASIGNATURAS!$B$2:$J$91,9,FALSE()),""))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IF(DATOS!$A19190="",0,IF(CONFIG_METADATA!$B$4&lt;&gt;"OR+EX",--(DATOS!$G19190=CONFIG_METADATA!$B$4),IF(DATOS!$G19190="EX",1,IF(DATOS!$G19190="OR",--(COUNTIFS(nNIA,DATOS!$A19190,nCURSO,DATOS!$D19190,nESPEC,DATOS!$E19190,nASIG,DATOS!$I19190,nEVAL,"EX")=0),0))))</f>
      </c>
      <c r="H19190">
        <f>IF(DATOS!$G19190&lt;&gt;"EX",0,--(COUNTIFS(nNIA,DATOS!$A19190,nCURSO,DATOS!$D19190,nESPEC,DATOS!$E19190,nASIG,DATOS!$I19190,nEVAL,"OR")=0))</f>
      </c>
      <c r="I19190">
        <f>IF(DATOS!$I19190="","",IFERROR(VLOOKUP(DATOS!$I19190,CONFIG_ASIGNATURAS!$B$2:$J$91,9,FALSE()),""))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IF(DATOS!$A19191="",0,IF(CONFIG_METADATA!$B$4&lt;&gt;"OR+EX",--(DATOS!$G19191=CONFIG_METADATA!$B$4),IF(DATOS!$G19191="EX",1,IF(DATOS!$G19191="OR",--(COUNTIFS(nNIA,DATOS!$A19191,nCURSO,DATOS!$D19191,nESPEC,DATOS!$E19191,nASIG,DATOS!$I19191,nEVAL,"EX")=0),0))))</f>
      </c>
      <c r="H19191">
        <f>IF(DATOS!$G19191&lt;&gt;"EX",0,--(COUNTIFS(nNIA,DATOS!$A19191,nCURSO,DATOS!$D19191,nESPEC,DATOS!$E19191,nASIG,DATOS!$I19191,nEVAL,"OR")=0))</f>
      </c>
      <c r="I19191">
        <f>IF(DATOS!$I19191="","",IFERROR(VLOOKUP(DATOS!$I19191,CONFIG_ASIGNATURAS!$B$2:$J$91,9,FALSE()),""))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IF(DATOS!$A19192="",0,IF(CONFIG_METADATA!$B$4&lt;&gt;"OR+EX",--(DATOS!$G19192=CONFIG_METADATA!$B$4),IF(DATOS!$G19192="EX",1,IF(DATOS!$G19192="OR",--(COUNTIFS(nNIA,DATOS!$A19192,nCURSO,DATOS!$D19192,nESPEC,DATOS!$E19192,nASIG,DATOS!$I19192,nEVAL,"EX")=0),0))))</f>
      </c>
      <c r="H19192">
        <f>IF(DATOS!$G19192&lt;&gt;"EX",0,--(COUNTIFS(nNIA,DATOS!$A19192,nCURSO,DATOS!$D19192,nESPEC,DATOS!$E19192,nASIG,DATOS!$I19192,nEVAL,"OR")=0))</f>
      </c>
      <c r="I19192">
        <f>IF(DATOS!$I19192="","",IFERROR(VLOOKUP(DATOS!$I19192,CONFIG_ASIGNATURAS!$B$2:$J$91,9,FALSE()),""))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IF(DATOS!$A19193="",0,IF(CONFIG_METADATA!$B$4&lt;&gt;"OR+EX",--(DATOS!$G19193=CONFIG_METADATA!$B$4),IF(DATOS!$G19193="EX",1,IF(DATOS!$G19193="OR",--(COUNTIFS(nNIA,DATOS!$A19193,nCURSO,DATOS!$D19193,nESPEC,DATOS!$E19193,nASIG,DATOS!$I19193,nEVAL,"EX")=0),0))))</f>
      </c>
      <c r="H19193">
        <f>IF(DATOS!$G19193&lt;&gt;"EX",0,--(COUNTIFS(nNIA,DATOS!$A19193,nCURSO,DATOS!$D19193,nESPEC,DATOS!$E19193,nASIG,DATOS!$I19193,nEVAL,"OR")=0))</f>
      </c>
      <c r="I19193">
        <f>IF(DATOS!$I19193="","",IFERROR(VLOOKUP(DATOS!$I19193,CONFIG_ASIGNATURAS!$B$2:$J$91,9,FALSE()),""))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IF(DATOS!$A19194="",0,IF(CONFIG_METADATA!$B$4&lt;&gt;"OR+EX",--(DATOS!$G19194=CONFIG_METADATA!$B$4),IF(DATOS!$G19194="EX",1,IF(DATOS!$G19194="OR",--(COUNTIFS(nNIA,DATOS!$A19194,nCURSO,DATOS!$D19194,nESPEC,DATOS!$E19194,nASIG,DATOS!$I19194,nEVAL,"EX")=0),0))))</f>
      </c>
      <c r="H19194">
        <f>IF(DATOS!$G19194&lt;&gt;"EX",0,--(COUNTIFS(nNIA,DATOS!$A19194,nCURSO,DATOS!$D19194,nESPEC,DATOS!$E19194,nASIG,DATOS!$I19194,nEVAL,"OR")=0))</f>
      </c>
      <c r="I19194">
        <f>IF(DATOS!$I19194="","",IFERROR(VLOOKUP(DATOS!$I19194,CONFIG_ASIGNATURAS!$B$2:$J$91,9,FALSE()),""))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IF(DATOS!$A19195="",0,IF(CONFIG_METADATA!$B$4&lt;&gt;"OR+EX",--(DATOS!$G19195=CONFIG_METADATA!$B$4),IF(DATOS!$G19195="EX",1,IF(DATOS!$G19195="OR",--(COUNTIFS(nNIA,DATOS!$A19195,nCURSO,DATOS!$D19195,nESPEC,DATOS!$E19195,nASIG,DATOS!$I19195,nEVAL,"EX")=0),0))))</f>
      </c>
      <c r="H19195">
        <f>IF(DATOS!$G19195&lt;&gt;"EX",0,--(COUNTIFS(nNIA,DATOS!$A19195,nCURSO,DATOS!$D19195,nESPEC,DATOS!$E19195,nASIG,DATOS!$I19195,nEVAL,"OR")=0))</f>
      </c>
      <c r="I19195">
        <f>IF(DATOS!$I19195="","",IFERROR(VLOOKUP(DATOS!$I19195,CONFIG_ASIGNATURAS!$B$2:$J$91,9,FALSE()),""))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IF(DATOS!$A19196="",0,IF(CONFIG_METADATA!$B$4&lt;&gt;"OR+EX",--(DATOS!$G19196=CONFIG_METADATA!$B$4),IF(DATOS!$G19196="EX",1,IF(DATOS!$G19196="OR",--(COUNTIFS(nNIA,DATOS!$A19196,nCURSO,DATOS!$D19196,nESPEC,DATOS!$E19196,nASIG,DATOS!$I19196,nEVAL,"EX")=0),0))))</f>
      </c>
      <c r="H19196">
        <f>IF(DATOS!$G19196&lt;&gt;"EX",0,--(COUNTIFS(nNIA,DATOS!$A19196,nCURSO,DATOS!$D19196,nESPEC,DATOS!$E19196,nASIG,DATOS!$I19196,nEVAL,"OR")=0))</f>
      </c>
      <c r="I19196">
        <f>IF(DATOS!$I19196="","",IFERROR(VLOOKUP(DATOS!$I19196,CONFIG_ASIGNATURAS!$B$2:$J$91,9,FALSE()),""))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IF(DATOS!$A19197="",0,IF(CONFIG_METADATA!$B$4&lt;&gt;"OR+EX",--(DATOS!$G19197=CONFIG_METADATA!$B$4),IF(DATOS!$G19197="EX",1,IF(DATOS!$G19197="OR",--(COUNTIFS(nNIA,DATOS!$A19197,nCURSO,DATOS!$D19197,nESPEC,DATOS!$E19197,nASIG,DATOS!$I19197,nEVAL,"EX")=0),0))))</f>
      </c>
      <c r="H19197">
        <f>IF(DATOS!$G19197&lt;&gt;"EX",0,--(COUNTIFS(nNIA,DATOS!$A19197,nCURSO,DATOS!$D19197,nESPEC,DATOS!$E19197,nASIG,DATOS!$I19197,nEVAL,"OR")=0))</f>
      </c>
      <c r="I19197">
        <f>IF(DATOS!$I19197="","",IFERROR(VLOOKUP(DATOS!$I19197,CONFIG_ASIGNATURAS!$B$2:$J$91,9,FALSE()),""))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IF(DATOS!$A19198="",0,IF(CONFIG_METADATA!$B$4&lt;&gt;"OR+EX",--(DATOS!$G19198=CONFIG_METADATA!$B$4),IF(DATOS!$G19198="EX",1,IF(DATOS!$G19198="OR",--(COUNTIFS(nNIA,DATOS!$A19198,nCURSO,DATOS!$D19198,nESPEC,DATOS!$E19198,nASIG,DATOS!$I19198,nEVAL,"EX")=0),0))))</f>
      </c>
      <c r="H19198">
        <f>IF(DATOS!$G19198&lt;&gt;"EX",0,--(COUNTIFS(nNIA,DATOS!$A19198,nCURSO,DATOS!$D19198,nESPEC,DATOS!$E19198,nASIG,DATOS!$I19198,nEVAL,"OR")=0))</f>
      </c>
      <c r="I19198">
        <f>IF(DATOS!$I19198="","",IFERROR(VLOOKUP(DATOS!$I19198,CONFIG_ASIGNATURAS!$B$2:$J$91,9,FALSE()),""))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IF(DATOS!$A19199="",0,IF(CONFIG_METADATA!$B$4&lt;&gt;"OR+EX",--(DATOS!$G19199=CONFIG_METADATA!$B$4),IF(DATOS!$G19199="EX",1,IF(DATOS!$G19199="OR",--(COUNTIFS(nNIA,DATOS!$A19199,nCURSO,DATOS!$D19199,nESPEC,DATOS!$E19199,nASIG,DATOS!$I19199,nEVAL,"EX")=0),0))))</f>
      </c>
      <c r="H19199">
        <f>IF(DATOS!$G19199&lt;&gt;"EX",0,--(COUNTIFS(nNIA,DATOS!$A19199,nCURSO,DATOS!$D19199,nESPEC,DATOS!$E19199,nASIG,DATOS!$I19199,nEVAL,"OR")=0))</f>
      </c>
      <c r="I19199">
        <f>IF(DATOS!$I19199="","",IFERROR(VLOOKUP(DATOS!$I19199,CONFIG_ASIGNATURAS!$B$2:$J$91,9,FALSE()),""))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IF(DATOS!$A19200="",0,IF(CONFIG_METADATA!$B$4&lt;&gt;"OR+EX",--(DATOS!$G19200=CONFIG_METADATA!$B$4),IF(DATOS!$G19200="EX",1,IF(DATOS!$G19200="OR",--(COUNTIFS(nNIA,DATOS!$A19200,nCURSO,DATOS!$D19200,nESPEC,DATOS!$E19200,nASIG,DATOS!$I19200,nEVAL,"EX")=0),0))))</f>
      </c>
      <c r="H19200">
        <f>IF(DATOS!$G19200&lt;&gt;"EX",0,--(COUNTIFS(nNIA,DATOS!$A19200,nCURSO,DATOS!$D19200,nESPEC,DATOS!$E19200,nASIG,DATOS!$I19200,nEVAL,"OR")=0))</f>
      </c>
      <c r="I19200">
        <f>IF(DATOS!$I19200="","",IFERROR(VLOOKUP(DATOS!$I19200,CONFIG_ASIGNATURAS!$B$2:$J$91,9,FALSE()),""))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IF(DATOS!$A19201="",0,IF(CONFIG_METADATA!$B$4&lt;&gt;"OR+EX",--(DATOS!$G19201=CONFIG_METADATA!$B$4),IF(DATOS!$G19201="EX",1,IF(DATOS!$G19201="OR",--(COUNTIFS(nNIA,DATOS!$A19201,nCURSO,DATOS!$D19201,nESPEC,DATOS!$E19201,nASIG,DATOS!$I19201,nEVAL,"EX")=0),0))))</f>
      </c>
      <c r="H19201">
        <f>IF(DATOS!$G19201&lt;&gt;"EX",0,--(COUNTIFS(nNIA,DATOS!$A19201,nCURSO,DATOS!$D19201,nESPEC,DATOS!$E19201,nASIG,DATOS!$I19201,nEVAL,"OR")=0))</f>
      </c>
      <c r="I19201">
        <f>IF(DATOS!$I19201="","",IFERROR(VLOOKUP(DATOS!$I19201,CONFIG_ASIGNATURAS!$B$2:$J$91,9,FALSE()),""))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IF(DATOS!$A19202="",0,IF(CONFIG_METADATA!$B$4&lt;&gt;"OR+EX",--(DATOS!$G19202=CONFIG_METADATA!$B$4),IF(DATOS!$G19202="EX",1,IF(DATOS!$G19202="OR",--(COUNTIFS(nNIA,DATOS!$A19202,nCURSO,DATOS!$D19202,nESPEC,DATOS!$E19202,nASIG,DATOS!$I19202,nEVAL,"EX")=0),0))))</f>
      </c>
      <c r="H19202">
        <f>IF(DATOS!$G19202&lt;&gt;"EX",0,--(COUNTIFS(nNIA,DATOS!$A19202,nCURSO,DATOS!$D19202,nESPEC,DATOS!$E19202,nASIG,DATOS!$I19202,nEVAL,"OR")=0))</f>
      </c>
      <c r="I19202">
        <f>IF(DATOS!$I19202="","",IFERROR(VLOOKUP(DATOS!$I19202,CONFIG_ASIGNATURAS!$B$2:$J$91,9,FALSE()),""))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IF(DATOS!$A19203="",0,IF(CONFIG_METADATA!$B$4&lt;&gt;"OR+EX",--(DATOS!$G19203=CONFIG_METADATA!$B$4),IF(DATOS!$G19203="EX",1,IF(DATOS!$G19203="OR",--(COUNTIFS(nNIA,DATOS!$A19203,nCURSO,DATOS!$D19203,nESPEC,DATOS!$E19203,nASIG,DATOS!$I19203,nEVAL,"EX")=0),0))))</f>
      </c>
      <c r="H19203">
        <f>IF(DATOS!$G19203&lt;&gt;"EX",0,--(COUNTIFS(nNIA,DATOS!$A19203,nCURSO,DATOS!$D19203,nESPEC,DATOS!$E19203,nASIG,DATOS!$I19203,nEVAL,"OR")=0))</f>
      </c>
      <c r="I19203">
        <f>IF(DATOS!$I19203="","",IFERROR(VLOOKUP(DATOS!$I19203,CONFIG_ASIGNATURAS!$B$2:$J$91,9,FALSE()),""))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IF(DATOS!$A19204="",0,IF(CONFIG_METADATA!$B$4&lt;&gt;"OR+EX",--(DATOS!$G19204=CONFIG_METADATA!$B$4),IF(DATOS!$G19204="EX",1,IF(DATOS!$G19204="OR",--(COUNTIFS(nNIA,DATOS!$A19204,nCURSO,DATOS!$D19204,nESPEC,DATOS!$E19204,nASIG,DATOS!$I19204,nEVAL,"EX")=0),0))))</f>
      </c>
      <c r="H19204">
        <f>IF(DATOS!$G19204&lt;&gt;"EX",0,--(COUNTIFS(nNIA,DATOS!$A19204,nCURSO,DATOS!$D19204,nESPEC,DATOS!$E19204,nASIG,DATOS!$I19204,nEVAL,"OR")=0))</f>
      </c>
      <c r="I19204">
        <f>IF(DATOS!$I19204="","",IFERROR(VLOOKUP(DATOS!$I19204,CONFIG_ASIGNATURAS!$B$2:$J$91,9,FALSE()),""))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IF(DATOS!$A19205="",0,IF(CONFIG_METADATA!$B$4&lt;&gt;"OR+EX",--(DATOS!$G19205=CONFIG_METADATA!$B$4),IF(DATOS!$G19205="EX",1,IF(DATOS!$G19205="OR",--(COUNTIFS(nNIA,DATOS!$A19205,nCURSO,DATOS!$D19205,nESPEC,DATOS!$E19205,nASIG,DATOS!$I19205,nEVAL,"EX")=0),0))))</f>
      </c>
      <c r="H19205">
        <f>IF(DATOS!$G19205&lt;&gt;"EX",0,--(COUNTIFS(nNIA,DATOS!$A19205,nCURSO,DATOS!$D19205,nESPEC,DATOS!$E19205,nASIG,DATOS!$I19205,nEVAL,"OR")=0))</f>
      </c>
      <c r="I19205">
        <f>IF(DATOS!$I19205="","",IFERROR(VLOOKUP(DATOS!$I19205,CONFIG_ASIGNATURAS!$B$2:$J$91,9,FALSE()),""))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IF(DATOS!$A19206="",0,IF(CONFIG_METADATA!$B$4&lt;&gt;"OR+EX",--(DATOS!$G19206=CONFIG_METADATA!$B$4),IF(DATOS!$G19206="EX",1,IF(DATOS!$G19206="OR",--(COUNTIFS(nNIA,DATOS!$A19206,nCURSO,DATOS!$D19206,nESPEC,DATOS!$E19206,nASIG,DATOS!$I19206,nEVAL,"EX")=0),0))))</f>
      </c>
      <c r="H19206">
        <f>IF(DATOS!$G19206&lt;&gt;"EX",0,--(COUNTIFS(nNIA,DATOS!$A19206,nCURSO,DATOS!$D19206,nESPEC,DATOS!$E19206,nASIG,DATOS!$I19206,nEVAL,"OR")=0))</f>
      </c>
      <c r="I19206">
        <f>IF(DATOS!$I19206="","",IFERROR(VLOOKUP(DATOS!$I19206,CONFIG_ASIGNATURAS!$B$2:$J$91,9,FALSE()),""))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IF(DATOS!$A19207="",0,IF(CONFIG_METADATA!$B$4&lt;&gt;"OR+EX",--(DATOS!$G19207=CONFIG_METADATA!$B$4),IF(DATOS!$G19207="EX",1,IF(DATOS!$G19207="OR",--(COUNTIFS(nNIA,DATOS!$A19207,nCURSO,DATOS!$D19207,nESPEC,DATOS!$E19207,nASIG,DATOS!$I19207,nEVAL,"EX")=0),0))))</f>
      </c>
      <c r="H19207">
        <f>IF(DATOS!$G19207&lt;&gt;"EX",0,--(COUNTIFS(nNIA,DATOS!$A19207,nCURSO,DATOS!$D19207,nESPEC,DATOS!$E19207,nASIG,DATOS!$I19207,nEVAL,"OR")=0))</f>
      </c>
      <c r="I19207">
        <f>IF(DATOS!$I19207="","",IFERROR(VLOOKUP(DATOS!$I19207,CONFIG_ASIGNATURAS!$B$2:$J$91,9,FALSE()),""))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IF(DATOS!$A19208="",0,IF(CONFIG_METADATA!$B$4&lt;&gt;"OR+EX",--(DATOS!$G19208=CONFIG_METADATA!$B$4),IF(DATOS!$G19208="EX",1,IF(DATOS!$G19208="OR",--(COUNTIFS(nNIA,DATOS!$A19208,nCURSO,DATOS!$D19208,nESPEC,DATOS!$E19208,nASIG,DATOS!$I19208,nEVAL,"EX")=0),0))))</f>
      </c>
      <c r="H19208">
        <f>IF(DATOS!$G19208&lt;&gt;"EX",0,--(COUNTIFS(nNIA,DATOS!$A19208,nCURSO,DATOS!$D19208,nESPEC,DATOS!$E19208,nASIG,DATOS!$I19208,nEVAL,"OR")=0))</f>
      </c>
      <c r="I19208">
        <f>IF(DATOS!$I19208="","",IFERROR(VLOOKUP(DATOS!$I19208,CONFIG_ASIGNATURAS!$B$2:$J$91,9,FALSE()),""))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IF(DATOS!$A19209="",0,IF(CONFIG_METADATA!$B$4&lt;&gt;"OR+EX",--(DATOS!$G19209=CONFIG_METADATA!$B$4),IF(DATOS!$G19209="EX",1,IF(DATOS!$G19209="OR",--(COUNTIFS(nNIA,DATOS!$A19209,nCURSO,DATOS!$D19209,nESPEC,DATOS!$E19209,nASIG,DATOS!$I19209,nEVAL,"EX")=0),0))))</f>
      </c>
      <c r="H19209">
        <f>IF(DATOS!$G19209&lt;&gt;"EX",0,--(COUNTIFS(nNIA,DATOS!$A19209,nCURSO,DATOS!$D19209,nESPEC,DATOS!$E19209,nASIG,DATOS!$I19209,nEVAL,"OR")=0))</f>
      </c>
      <c r="I19209">
        <f>IF(DATOS!$I19209="","",IFERROR(VLOOKUP(DATOS!$I19209,CONFIG_ASIGNATURAS!$B$2:$J$91,9,FALSE()),""))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IF(DATOS!$A19210="",0,IF(CONFIG_METADATA!$B$4&lt;&gt;"OR+EX",--(DATOS!$G19210=CONFIG_METADATA!$B$4),IF(DATOS!$G19210="EX",1,IF(DATOS!$G19210="OR",--(COUNTIFS(nNIA,DATOS!$A19210,nCURSO,DATOS!$D19210,nESPEC,DATOS!$E19210,nASIG,DATOS!$I19210,nEVAL,"EX")=0),0))))</f>
      </c>
      <c r="H19210">
        <f>IF(DATOS!$G19210&lt;&gt;"EX",0,--(COUNTIFS(nNIA,DATOS!$A19210,nCURSO,DATOS!$D19210,nESPEC,DATOS!$E19210,nASIG,DATOS!$I19210,nEVAL,"OR")=0))</f>
      </c>
      <c r="I19210">
        <f>IF(DATOS!$I19210="","",IFERROR(VLOOKUP(DATOS!$I19210,CONFIG_ASIGNATURAS!$B$2:$J$91,9,FALSE()),""))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IF(DATOS!$A19211="",0,IF(CONFIG_METADATA!$B$4&lt;&gt;"OR+EX",--(DATOS!$G19211=CONFIG_METADATA!$B$4),IF(DATOS!$G19211="EX",1,IF(DATOS!$G19211="OR",--(COUNTIFS(nNIA,DATOS!$A19211,nCURSO,DATOS!$D19211,nESPEC,DATOS!$E19211,nASIG,DATOS!$I19211,nEVAL,"EX")=0),0))))</f>
      </c>
      <c r="H19211">
        <f>IF(DATOS!$G19211&lt;&gt;"EX",0,--(COUNTIFS(nNIA,DATOS!$A19211,nCURSO,DATOS!$D19211,nESPEC,DATOS!$E19211,nASIG,DATOS!$I19211,nEVAL,"OR")=0))</f>
      </c>
      <c r="I19211">
        <f>IF(DATOS!$I19211="","",IFERROR(VLOOKUP(DATOS!$I19211,CONFIG_ASIGNATURAS!$B$2:$J$91,9,FALSE()),""))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IF(DATOS!$A19212="",0,IF(CONFIG_METADATA!$B$4&lt;&gt;"OR+EX",--(DATOS!$G19212=CONFIG_METADATA!$B$4),IF(DATOS!$G19212="EX",1,IF(DATOS!$G19212="OR",--(COUNTIFS(nNIA,DATOS!$A19212,nCURSO,DATOS!$D19212,nESPEC,DATOS!$E19212,nASIG,DATOS!$I19212,nEVAL,"EX")=0),0))))</f>
      </c>
      <c r="H19212">
        <f>IF(DATOS!$G19212&lt;&gt;"EX",0,--(COUNTIFS(nNIA,DATOS!$A19212,nCURSO,DATOS!$D19212,nESPEC,DATOS!$E19212,nASIG,DATOS!$I19212,nEVAL,"OR")=0))</f>
      </c>
      <c r="I19212">
        <f>IF(DATOS!$I19212="","",IFERROR(VLOOKUP(DATOS!$I19212,CONFIG_ASIGNATURAS!$B$2:$J$91,9,FALSE()),""))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IF(DATOS!$A19213="",0,IF(CONFIG_METADATA!$B$4&lt;&gt;"OR+EX",--(DATOS!$G19213=CONFIG_METADATA!$B$4),IF(DATOS!$G19213="EX",1,IF(DATOS!$G19213="OR",--(COUNTIFS(nNIA,DATOS!$A19213,nCURSO,DATOS!$D19213,nESPEC,DATOS!$E19213,nASIG,DATOS!$I19213,nEVAL,"EX")=0),0))))</f>
      </c>
      <c r="H19213">
        <f>IF(DATOS!$G19213&lt;&gt;"EX",0,--(COUNTIFS(nNIA,DATOS!$A19213,nCURSO,DATOS!$D19213,nESPEC,DATOS!$E19213,nASIG,DATOS!$I19213,nEVAL,"OR")=0))</f>
      </c>
      <c r="I19213">
        <f>IF(DATOS!$I19213="","",IFERROR(VLOOKUP(DATOS!$I19213,CONFIG_ASIGNATURAS!$B$2:$J$91,9,FALSE()),""))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IF(DATOS!$A19214="",0,IF(CONFIG_METADATA!$B$4&lt;&gt;"OR+EX",--(DATOS!$G19214=CONFIG_METADATA!$B$4),IF(DATOS!$G19214="EX",1,IF(DATOS!$G19214="OR",--(COUNTIFS(nNIA,DATOS!$A19214,nCURSO,DATOS!$D19214,nESPEC,DATOS!$E19214,nASIG,DATOS!$I19214,nEVAL,"EX")=0),0))))</f>
      </c>
      <c r="H19214">
        <f>IF(DATOS!$G19214&lt;&gt;"EX",0,--(COUNTIFS(nNIA,DATOS!$A19214,nCURSO,DATOS!$D19214,nESPEC,DATOS!$E19214,nASIG,DATOS!$I19214,nEVAL,"OR")=0))</f>
      </c>
      <c r="I19214">
        <f>IF(DATOS!$I19214="","",IFERROR(VLOOKUP(DATOS!$I19214,CONFIG_ASIGNATURAS!$B$2:$J$91,9,FALSE()),""))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IF(DATOS!$A19215="",0,IF(CONFIG_METADATA!$B$4&lt;&gt;"OR+EX",--(DATOS!$G19215=CONFIG_METADATA!$B$4),IF(DATOS!$G19215="EX",1,IF(DATOS!$G19215="OR",--(COUNTIFS(nNIA,DATOS!$A19215,nCURSO,DATOS!$D19215,nESPEC,DATOS!$E19215,nASIG,DATOS!$I19215,nEVAL,"EX")=0),0))))</f>
      </c>
      <c r="H19215">
        <f>IF(DATOS!$G19215&lt;&gt;"EX",0,--(COUNTIFS(nNIA,DATOS!$A19215,nCURSO,DATOS!$D19215,nESPEC,DATOS!$E19215,nASIG,DATOS!$I19215,nEVAL,"OR")=0))</f>
      </c>
      <c r="I19215">
        <f>IF(DATOS!$I19215="","",IFERROR(VLOOKUP(DATOS!$I19215,CONFIG_ASIGNATURAS!$B$2:$J$91,9,FALSE()),""))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IF(DATOS!$A19216="",0,IF(CONFIG_METADATA!$B$4&lt;&gt;"OR+EX",--(DATOS!$G19216=CONFIG_METADATA!$B$4),IF(DATOS!$G19216="EX",1,IF(DATOS!$G19216="OR",--(COUNTIFS(nNIA,DATOS!$A19216,nCURSO,DATOS!$D19216,nESPEC,DATOS!$E19216,nASIG,DATOS!$I19216,nEVAL,"EX")=0),0))))</f>
      </c>
      <c r="H19216">
        <f>IF(DATOS!$G19216&lt;&gt;"EX",0,--(COUNTIFS(nNIA,DATOS!$A19216,nCURSO,DATOS!$D19216,nESPEC,DATOS!$E19216,nASIG,DATOS!$I19216,nEVAL,"OR")=0))</f>
      </c>
      <c r="I19216">
        <f>IF(DATOS!$I19216="","",IFERROR(VLOOKUP(DATOS!$I19216,CONFIG_ASIGNATURAS!$B$2:$J$91,9,FALSE()),""))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IF(DATOS!$A19217="",0,IF(CONFIG_METADATA!$B$4&lt;&gt;"OR+EX",--(DATOS!$G19217=CONFIG_METADATA!$B$4),IF(DATOS!$G19217="EX",1,IF(DATOS!$G19217="OR",--(COUNTIFS(nNIA,DATOS!$A19217,nCURSO,DATOS!$D19217,nESPEC,DATOS!$E19217,nASIG,DATOS!$I19217,nEVAL,"EX")=0),0))))</f>
      </c>
      <c r="H19217">
        <f>IF(DATOS!$G19217&lt;&gt;"EX",0,--(COUNTIFS(nNIA,DATOS!$A19217,nCURSO,DATOS!$D19217,nESPEC,DATOS!$E19217,nASIG,DATOS!$I19217,nEVAL,"OR")=0))</f>
      </c>
      <c r="I19217">
        <f>IF(DATOS!$I19217="","",IFERROR(VLOOKUP(DATOS!$I19217,CONFIG_ASIGNATURAS!$B$2:$J$91,9,FALSE()),""))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IF(DATOS!$A19218="",0,IF(CONFIG_METADATA!$B$4&lt;&gt;"OR+EX",--(DATOS!$G19218=CONFIG_METADATA!$B$4),IF(DATOS!$G19218="EX",1,IF(DATOS!$G19218="OR",--(COUNTIFS(nNIA,DATOS!$A19218,nCURSO,DATOS!$D19218,nESPEC,DATOS!$E19218,nASIG,DATOS!$I19218,nEVAL,"EX")=0),0))))</f>
      </c>
      <c r="H19218">
        <f>IF(DATOS!$G19218&lt;&gt;"EX",0,--(COUNTIFS(nNIA,DATOS!$A19218,nCURSO,DATOS!$D19218,nESPEC,DATOS!$E19218,nASIG,DATOS!$I19218,nEVAL,"OR")=0))</f>
      </c>
      <c r="I19218">
        <f>IF(DATOS!$I19218="","",IFERROR(VLOOKUP(DATOS!$I19218,CONFIG_ASIGNATURAS!$B$2:$J$91,9,FALSE()),""))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IF(DATOS!$A19219="",0,IF(CONFIG_METADATA!$B$4&lt;&gt;"OR+EX",--(DATOS!$G19219=CONFIG_METADATA!$B$4),IF(DATOS!$G19219="EX",1,IF(DATOS!$G19219="OR",--(COUNTIFS(nNIA,DATOS!$A19219,nCURSO,DATOS!$D19219,nESPEC,DATOS!$E19219,nASIG,DATOS!$I19219,nEVAL,"EX")=0),0))))</f>
      </c>
      <c r="H19219">
        <f>IF(DATOS!$G19219&lt;&gt;"EX",0,--(COUNTIFS(nNIA,DATOS!$A19219,nCURSO,DATOS!$D19219,nESPEC,DATOS!$E19219,nASIG,DATOS!$I19219,nEVAL,"OR")=0))</f>
      </c>
      <c r="I19219">
        <f>IF(DATOS!$I19219="","",IFERROR(VLOOKUP(DATOS!$I19219,CONFIG_ASIGNATURAS!$B$2:$J$91,9,FALSE()),""))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IF(DATOS!$A19220="",0,IF(CONFIG_METADATA!$B$4&lt;&gt;"OR+EX",--(DATOS!$G19220=CONFIG_METADATA!$B$4),IF(DATOS!$G19220="EX",1,IF(DATOS!$G19220="OR",--(COUNTIFS(nNIA,DATOS!$A19220,nCURSO,DATOS!$D19220,nESPEC,DATOS!$E19220,nASIG,DATOS!$I19220,nEVAL,"EX")=0),0))))</f>
      </c>
      <c r="H19220">
        <f>IF(DATOS!$G19220&lt;&gt;"EX",0,--(COUNTIFS(nNIA,DATOS!$A19220,nCURSO,DATOS!$D19220,nESPEC,DATOS!$E19220,nASIG,DATOS!$I19220,nEVAL,"OR")=0))</f>
      </c>
      <c r="I19220">
        <f>IF(DATOS!$I19220="","",IFERROR(VLOOKUP(DATOS!$I19220,CONFIG_ASIGNATURAS!$B$2:$J$91,9,FALSE()),""))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IF(DATOS!$A19221="",0,IF(CONFIG_METADATA!$B$4&lt;&gt;"OR+EX",--(DATOS!$G19221=CONFIG_METADATA!$B$4),IF(DATOS!$G19221="EX",1,IF(DATOS!$G19221="OR",--(COUNTIFS(nNIA,DATOS!$A19221,nCURSO,DATOS!$D19221,nESPEC,DATOS!$E19221,nASIG,DATOS!$I19221,nEVAL,"EX")=0),0))))</f>
      </c>
      <c r="H19221">
        <f>IF(DATOS!$G19221&lt;&gt;"EX",0,--(COUNTIFS(nNIA,DATOS!$A19221,nCURSO,DATOS!$D19221,nESPEC,DATOS!$E19221,nASIG,DATOS!$I19221,nEVAL,"OR")=0))</f>
      </c>
      <c r="I19221">
        <f>IF(DATOS!$I19221="","",IFERROR(VLOOKUP(DATOS!$I19221,CONFIG_ASIGNATURAS!$B$2:$J$91,9,FALSE()),""))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IF(DATOS!$A19222="",0,IF(CONFIG_METADATA!$B$4&lt;&gt;"OR+EX",--(DATOS!$G19222=CONFIG_METADATA!$B$4),IF(DATOS!$G19222="EX",1,IF(DATOS!$G19222="OR",--(COUNTIFS(nNIA,DATOS!$A19222,nCURSO,DATOS!$D19222,nESPEC,DATOS!$E19222,nASIG,DATOS!$I19222,nEVAL,"EX")=0),0))))</f>
      </c>
      <c r="H19222">
        <f>IF(DATOS!$G19222&lt;&gt;"EX",0,--(COUNTIFS(nNIA,DATOS!$A19222,nCURSO,DATOS!$D19222,nESPEC,DATOS!$E19222,nASIG,DATOS!$I19222,nEVAL,"OR")=0))</f>
      </c>
      <c r="I19222">
        <f>IF(DATOS!$I19222="","",IFERROR(VLOOKUP(DATOS!$I19222,CONFIG_ASIGNATURAS!$B$2:$J$91,9,FALSE()),""))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IF(DATOS!$A19223="",0,IF(CONFIG_METADATA!$B$4&lt;&gt;"OR+EX",--(DATOS!$G19223=CONFIG_METADATA!$B$4),IF(DATOS!$G19223="EX",1,IF(DATOS!$G19223="OR",--(COUNTIFS(nNIA,DATOS!$A19223,nCURSO,DATOS!$D19223,nESPEC,DATOS!$E19223,nASIG,DATOS!$I19223,nEVAL,"EX")=0),0))))</f>
      </c>
      <c r="H19223">
        <f>IF(DATOS!$G19223&lt;&gt;"EX",0,--(COUNTIFS(nNIA,DATOS!$A19223,nCURSO,DATOS!$D19223,nESPEC,DATOS!$E19223,nASIG,DATOS!$I19223,nEVAL,"OR")=0))</f>
      </c>
      <c r="I19223">
        <f>IF(DATOS!$I19223="","",IFERROR(VLOOKUP(DATOS!$I19223,CONFIG_ASIGNATURAS!$B$2:$J$91,9,FALSE()),""))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IF(DATOS!$A19224="",0,IF(CONFIG_METADATA!$B$4&lt;&gt;"OR+EX",--(DATOS!$G19224=CONFIG_METADATA!$B$4),IF(DATOS!$G19224="EX",1,IF(DATOS!$G19224="OR",--(COUNTIFS(nNIA,DATOS!$A19224,nCURSO,DATOS!$D19224,nESPEC,DATOS!$E19224,nASIG,DATOS!$I19224,nEVAL,"EX")=0),0))))</f>
      </c>
      <c r="H19224">
        <f>IF(DATOS!$G19224&lt;&gt;"EX",0,--(COUNTIFS(nNIA,DATOS!$A19224,nCURSO,DATOS!$D19224,nESPEC,DATOS!$E19224,nASIG,DATOS!$I19224,nEVAL,"OR")=0))</f>
      </c>
      <c r="I19224">
        <f>IF(DATOS!$I19224="","",IFERROR(VLOOKUP(DATOS!$I19224,CONFIG_ASIGNATURAS!$B$2:$J$91,9,FALSE()),""))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IF(DATOS!$A19225="",0,IF(CONFIG_METADATA!$B$4&lt;&gt;"OR+EX",--(DATOS!$G19225=CONFIG_METADATA!$B$4),IF(DATOS!$G19225="EX",1,IF(DATOS!$G19225="OR",--(COUNTIFS(nNIA,DATOS!$A19225,nCURSO,DATOS!$D19225,nESPEC,DATOS!$E19225,nASIG,DATOS!$I19225,nEVAL,"EX")=0),0))))</f>
      </c>
      <c r="H19225">
        <f>IF(DATOS!$G19225&lt;&gt;"EX",0,--(COUNTIFS(nNIA,DATOS!$A19225,nCURSO,DATOS!$D19225,nESPEC,DATOS!$E19225,nASIG,DATOS!$I19225,nEVAL,"OR")=0))</f>
      </c>
      <c r="I19225">
        <f>IF(DATOS!$I19225="","",IFERROR(VLOOKUP(DATOS!$I19225,CONFIG_ASIGNATURAS!$B$2:$J$91,9,FALSE()),""))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IF(DATOS!$A19226="",0,IF(CONFIG_METADATA!$B$4&lt;&gt;"OR+EX",--(DATOS!$G19226=CONFIG_METADATA!$B$4),IF(DATOS!$G19226="EX",1,IF(DATOS!$G19226="OR",--(COUNTIFS(nNIA,DATOS!$A19226,nCURSO,DATOS!$D19226,nESPEC,DATOS!$E19226,nASIG,DATOS!$I19226,nEVAL,"EX")=0),0))))</f>
      </c>
      <c r="H19226">
        <f>IF(DATOS!$G19226&lt;&gt;"EX",0,--(COUNTIFS(nNIA,DATOS!$A19226,nCURSO,DATOS!$D19226,nESPEC,DATOS!$E19226,nASIG,DATOS!$I19226,nEVAL,"OR")=0))</f>
      </c>
      <c r="I19226">
        <f>IF(DATOS!$I19226="","",IFERROR(VLOOKUP(DATOS!$I19226,CONFIG_ASIGNATURAS!$B$2:$J$91,9,FALSE()),""))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IF(DATOS!$A19227="",0,IF(CONFIG_METADATA!$B$4&lt;&gt;"OR+EX",--(DATOS!$G19227=CONFIG_METADATA!$B$4),IF(DATOS!$G19227="EX",1,IF(DATOS!$G19227="OR",--(COUNTIFS(nNIA,DATOS!$A19227,nCURSO,DATOS!$D19227,nESPEC,DATOS!$E19227,nASIG,DATOS!$I19227,nEVAL,"EX")=0),0))))</f>
      </c>
      <c r="H19227">
        <f>IF(DATOS!$G19227&lt;&gt;"EX",0,--(COUNTIFS(nNIA,DATOS!$A19227,nCURSO,DATOS!$D19227,nESPEC,DATOS!$E19227,nASIG,DATOS!$I19227,nEVAL,"OR")=0))</f>
      </c>
      <c r="I19227">
        <f>IF(DATOS!$I19227="","",IFERROR(VLOOKUP(DATOS!$I19227,CONFIG_ASIGNATURAS!$B$2:$J$91,9,FALSE()),""))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IF(DATOS!$A19228="",0,IF(CONFIG_METADATA!$B$4&lt;&gt;"OR+EX",--(DATOS!$G19228=CONFIG_METADATA!$B$4),IF(DATOS!$G19228="EX",1,IF(DATOS!$G19228="OR",--(COUNTIFS(nNIA,DATOS!$A19228,nCURSO,DATOS!$D19228,nESPEC,DATOS!$E19228,nASIG,DATOS!$I19228,nEVAL,"EX")=0),0))))</f>
      </c>
      <c r="H19228">
        <f>IF(DATOS!$G19228&lt;&gt;"EX",0,--(COUNTIFS(nNIA,DATOS!$A19228,nCURSO,DATOS!$D19228,nESPEC,DATOS!$E19228,nASIG,DATOS!$I19228,nEVAL,"OR")=0))</f>
      </c>
      <c r="I19228">
        <f>IF(DATOS!$I19228="","",IFERROR(VLOOKUP(DATOS!$I19228,CONFIG_ASIGNATURAS!$B$2:$J$91,9,FALSE()),""))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IF(DATOS!$A19229="",0,IF(CONFIG_METADATA!$B$4&lt;&gt;"OR+EX",--(DATOS!$G19229=CONFIG_METADATA!$B$4),IF(DATOS!$G19229="EX",1,IF(DATOS!$G19229="OR",--(COUNTIFS(nNIA,DATOS!$A19229,nCURSO,DATOS!$D19229,nESPEC,DATOS!$E19229,nASIG,DATOS!$I19229,nEVAL,"EX")=0),0))))</f>
      </c>
      <c r="H19229">
        <f>IF(DATOS!$G19229&lt;&gt;"EX",0,--(COUNTIFS(nNIA,DATOS!$A19229,nCURSO,DATOS!$D19229,nESPEC,DATOS!$E19229,nASIG,DATOS!$I19229,nEVAL,"OR")=0))</f>
      </c>
      <c r="I19229">
        <f>IF(DATOS!$I19229="","",IFERROR(VLOOKUP(DATOS!$I19229,CONFIG_ASIGNATURAS!$B$2:$J$91,9,FALSE()),""))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IF(DATOS!$A19230="",0,IF(CONFIG_METADATA!$B$4&lt;&gt;"OR+EX",--(DATOS!$G19230=CONFIG_METADATA!$B$4),IF(DATOS!$G19230="EX",1,IF(DATOS!$G19230="OR",--(COUNTIFS(nNIA,DATOS!$A19230,nCURSO,DATOS!$D19230,nESPEC,DATOS!$E19230,nASIG,DATOS!$I19230,nEVAL,"EX")=0),0))))</f>
      </c>
      <c r="H19230">
        <f>IF(DATOS!$G19230&lt;&gt;"EX",0,--(COUNTIFS(nNIA,DATOS!$A19230,nCURSO,DATOS!$D19230,nESPEC,DATOS!$E19230,nASIG,DATOS!$I19230,nEVAL,"OR")=0))</f>
      </c>
      <c r="I19230">
        <f>IF(DATOS!$I19230="","",IFERROR(VLOOKUP(DATOS!$I19230,CONFIG_ASIGNATURAS!$B$2:$J$91,9,FALSE()),""))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IF(DATOS!$A19231="",0,IF(CONFIG_METADATA!$B$4&lt;&gt;"OR+EX",--(DATOS!$G19231=CONFIG_METADATA!$B$4),IF(DATOS!$G19231="EX",1,IF(DATOS!$G19231="OR",--(COUNTIFS(nNIA,DATOS!$A19231,nCURSO,DATOS!$D19231,nESPEC,DATOS!$E19231,nASIG,DATOS!$I19231,nEVAL,"EX")=0),0))))</f>
      </c>
      <c r="H19231">
        <f>IF(DATOS!$G19231&lt;&gt;"EX",0,--(COUNTIFS(nNIA,DATOS!$A19231,nCURSO,DATOS!$D19231,nESPEC,DATOS!$E19231,nASIG,DATOS!$I19231,nEVAL,"OR")=0))</f>
      </c>
      <c r="I19231">
        <f>IF(DATOS!$I19231="","",IFERROR(VLOOKUP(DATOS!$I19231,CONFIG_ASIGNATURAS!$B$2:$J$91,9,FALSE()),""))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IF(DATOS!$A19232="",0,IF(CONFIG_METADATA!$B$4&lt;&gt;"OR+EX",--(DATOS!$G19232=CONFIG_METADATA!$B$4),IF(DATOS!$G19232="EX",1,IF(DATOS!$G19232="OR",--(COUNTIFS(nNIA,DATOS!$A19232,nCURSO,DATOS!$D19232,nESPEC,DATOS!$E19232,nASIG,DATOS!$I19232,nEVAL,"EX")=0),0))))</f>
      </c>
      <c r="H19232">
        <f>IF(DATOS!$G19232&lt;&gt;"EX",0,--(COUNTIFS(nNIA,DATOS!$A19232,nCURSO,DATOS!$D19232,nESPEC,DATOS!$E19232,nASIG,DATOS!$I19232,nEVAL,"OR")=0))</f>
      </c>
      <c r="I19232">
        <f>IF(DATOS!$I19232="","",IFERROR(VLOOKUP(DATOS!$I19232,CONFIG_ASIGNATURAS!$B$2:$J$91,9,FALSE()),""))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IF(DATOS!$A19233="",0,IF(CONFIG_METADATA!$B$4&lt;&gt;"OR+EX",--(DATOS!$G19233=CONFIG_METADATA!$B$4),IF(DATOS!$G19233="EX",1,IF(DATOS!$G19233="OR",--(COUNTIFS(nNIA,DATOS!$A19233,nCURSO,DATOS!$D19233,nESPEC,DATOS!$E19233,nASIG,DATOS!$I19233,nEVAL,"EX")=0),0))))</f>
      </c>
      <c r="H19233">
        <f>IF(DATOS!$G19233&lt;&gt;"EX",0,--(COUNTIFS(nNIA,DATOS!$A19233,nCURSO,DATOS!$D19233,nESPEC,DATOS!$E19233,nASIG,DATOS!$I19233,nEVAL,"OR")=0))</f>
      </c>
      <c r="I19233">
        <f>IF(DATOS!$I19233="","",IFERROR(VLOOKUP(DATOS!$I19233,CONFIG_ASIGNATURAS!$B$2:$J$91,9,FALSE()),""))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IF(DATOS!$A19234="",0,IF(CONFIG_METADATA!$B$4&lt;&gt;"OR+EX",--(DATOS!$G19234=CONFIG_METADATA!$B$4),IF(DATOS!$G19234="EX",1,IF(DATOS!$G19234="OR",--(COUNTIFS(nNIA,DATOS!$A19234,nCURSO,DATOS!$D19234,nESPEC,DATOS!$E19234,nASIG,DATOS!$I19234,nEVAL,"EX")=0),0))))</f>
      </c>
      <c r="H19234">
        <f>IF(DATOS!$G19234&lt;&gt;"EX",0,--(COUNTIFS(nNIA,DATOS!$A19234,nCURSO,DATOS!$D19234,nESPEC,DATOS!$E19234,nASIG,DATOS!$I19234,nEVAL,"OR")=0))</f>
      </c>
      <c r="I19234">
        <f>IF(DATOS!$I19234="","",IFERROR(VLOOKUP(DATOS!$I19234,CONFIG_ASIGNATURAS!$B$2:$J$91,9,FALSE()),""))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IF(DATOS!$A19235="",0,IF(CONFIG_METADATA!$B$4&lt;&gt;"OR+EX",--(DATOS!$G19235=CONFIG_METADATA!$B$4),IF(DATOS!$G19235="EX",1,IF(DATOS!$G19235="OR",--(COUNTIFS(nNIA,DATOS!$A19235,nCURSO,DATOS!$D19235,nESPEC,DATOS!$E19235,nASIG,DATOS!$I19235,nEVAL,"EX")=0),0))))</f>
      </c>
      <c r="H19235">
        <f>IF(DATOS!$G19235&lt;&gt;"EX",0,--(COUNTIFS(nNIA,DATOS!$A19235,nCURSO,DATOS!$D19235,nESPEC,DATOS!$E19235,nASIG,DATOS!$I19235,nEVAL,"OR")=0))</f>
      </c>
      <c r="I19235">
        <f>IF(DATOS!$I19235="","",IFERROR(VLOOKUP(DATOS!$I19235,CONFIG_ASIGNATURAS!$B$2:$J$91,9,FALSE()),""))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IF(DATOS!$A19236="",0,IF(CONFIG_METADATA!$B$4&lt;&gt;"OR+EX",--(DATOS!$G19236=CONFIG_METADATA!$B$4),IF(DATOS!$G19236="EX",1,IF(DATOS!$G19236="OR",--(COUNTIFS(nNIA,DATOS!$A19236,nCURSO,DATOS!$D19236,nESPEC,DATOS!$E19236,nASIG,DATOS!$I19236,nEVAL,"EX")=0),0))))</f>
      </c>
      <c r="H19236">
        <f>IF(DATOS!$G19236&lt;&gt;"EX",0,--(COUNTIFS(nNIA,DATOS!$A19236,nCURSO,DATOS!$D19236,nESPEC,DATOS!$E19236,nASIG,DATOS!$I19236,nEVAL,"OR")=0))</f>
      </c>
      <c r="I19236">
        <f>IF(DATOS!$I19236="","",IFERROR(VLOOKUP(DATOS!$I19236,CONFIG_ASIGNATURAS!$B$2:$J$91,9,FALSE()),""))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IF(DATOS!$A19237="",0,IF(CONFIG_METADATA!$B$4&lt;&gt;"OR+EX",--(DATOS!$G19237=CONFIG_METADATA!$B$4),IF(DATOS!$G19237="EX",1,IF(DATOS!$G19237="OR",--(COUNTIFS(nNIA,DATOS!$A19237,nCURSO,DATOS!$D19237,nESPEC,DATOS!$E19237,nASIG,DATOS!$I19237,nEVAL,"EX")=0),0))))</f>
      </c>
      <c r="H19237">
        <f>IF(DATOS!$G19237&lt;&gt;"EX",0,--(COUNTIFS(nNIA,DATOS!$A19237,nCURSO,DATOS!$D19237,nESPEC,DATOS!$E19237,nASIG,DATOS!$I19237,nEVAL,"OR")=0))</f>
      </c>
      <c r="I19237">
        <f>IF(DATOS!$I19237="","",IFERROR(VLOOKUP(DATOS!$I19237,CONFIG_ASIGNATURAS!$B$2:$J$91,9,FALSE()),""))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IF(DATOS!$A19238="",0,IF(CONFIG_METADATA!$B$4&lt;&gt;"OR+EX",--(DATOS!$G19238=CONFIG_METADATA!$B$4),IF(DATOS!$G19238="EX",1,IF(DATOS!$G19238="OR",--(COUNTIFS(nNIA,DATOS!$A19238,nCURSO,DATOS!$D19238,nESPEC,DATOS!$E19238,nASIG,DATOS!$I19238,nEVAL,"EX")=0),0))))</f>
      </c>
      <c r="H19238">
        <f>IF(DATOS!$G19238&lt;&gt;"EX",0,--(COUNTIFS(nNIA,DATOS!$A19238,nCURSO,DATOS!$D19238,nESPEC,DATOS!$E19238,nASIG,DATOS!$I19238,nEVAL,"OR")=0))</f>
      </c>
      <c r="I19238">
        <f>IF(DATOS!$I19238="","",IFERROR(VLOOKUP(DATOS!$I19238,CONFIG_ASIGNATURAS!$B$2:$J$91,9,FALSE()),""))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IF(DATOS!$A19239="",0,IF(CONFIG_METADATA!$B$4&lt;&gt;"OR+EX",--(DATOS!$G19239=CONFIG_METADATA!$B$4),IF(DATOS!$G19239="EX",1,IF(DATOS!$G19239="OR",--(COUNTIFS(nNIA,DATOS!$A19239,nCURSO,DATOS!$D19239,nESPEC,DATOS!$E19239,nASIG,DATOS!$I19239,nEVAL,"EX")=0),0))))</f>
      </c>
      <c r="H19239">
        <f>IF(DATOS!$G19239&lt;&gt;"EX",0,--(COUNTIFS(nNIA,DATOS!$A19239,nCURSO,DATOS!$D19239,nESPEC,DATOS!$E19239,nASIG,DATOS!$I19239,nEVAL,"OR")=0))</f>
      </c>
      <c r="I19239">
        <f>IF(DATOS!$I19239="","",IFERROR(VLOOKUP(DATOS!$I19239,CONFIG_ASIGNATURAS!$B$2:$J$91,9,FALSE()),""))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IF(DATOS!$A19240="",0,IF(CONFIG_METADATA!$B$4&lt;&gt;"OR+EX",--(DATOS!$G19240=CONFIG_METADATA!$B$4),IF(DATOS!$G19240="EX",1,IF(DATOS!$G19240="OR",--(COUNTIFS(nNIA,DATOS!$A19240,nCURSO,DATOS!$D19240,nESPEC,DATOS!$E19240,nASIG,DATOS!$I19240,nEVAL,"EX")=0),0))))</f>
      </c>
      <c r="H19240">
        <f>IF(DATOS!$G19240&lt;&gt;"EX",0,--(COUNTIFS(nNIA,DATOS!$A19240,nCURSO,DATOS!$D19240,nESPEC,DATOS!$E19240,nASIG,DATOS!$I19240,nEVAL,"OR")=0))</f>
      </c>
      <c r="I19240">
        <f>IF(DATOS!$I19240="","",IFERROR(VLOOKUP(DATOS!$I19240,CONFIG_ASIGNATURAS!$B$2:$J$91,9,FALSE()),""))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IF(DATOS!$A19241="",0,IF(CONFIG_METADATA!$B$4&lt;&gt;"OR+EX",--(DATOS!$G19241=CONFIG_METADATA!$B$4),IF(DATOS!$G19241="EX",1,IF(DATOS!$G19241="OR",--(COUNTIFS(nNIA,DATOS!$A19241,nCURSO,DATOS!$D19241,nESPEC,DATOS!$E19241,nASIG,DATOS!$I19241,nEVAL,"EX")=0),0))))</f>
      </c>
      <c r="H19241">
        <f>IF(DATOS!$G19241&lt;&gt;"EX",0,--(COUNTIFS(nNIA,DATOS!$A19241,nCURSO,DATOS!$D19241,nESPEC,DATOS!$E19241,nASIG,DATOS!$I19241,nEVAL,"OR")=0))</f>
      </c>
      <c r="I19241">
        <f>IF(DATOS!$I19241="","",IFERROR(VLOOKUP(DATOS!$I19241,CONFIG_ASIGNATURAS!$B$2:$J$91,9,FALSE()),""))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IF(DATOS!$A19242="",0,IF(CONFIG_METADATA!$B$4&lt;&gt;"OR+EX",--(DATOS!$G19242=CONFIG_METADATA!$B$4),IF(DATOS!$G19242="EX",1,IF(DATOS!$G19242="OR",--(COUNTIFS(nNIA,DATOS!$A19242,nCURSO,DATOS!$D19242,nESPEC,DATOS!$E19242,nASIG,DATOS!$I19242,nEVAL,"EX")=0),0))))</f>
      </c>
      <c r="H19242">
        <f>IF(DATOS!$G19242&lt;&gt;"EX",0,--(COUNTIFS(nNIA,DATOS!$A19242,nCURSO,DATOS!$D19242,nESPEC,DATOS!$E19242,nASIG,DATOS!$I19242,nEVAL,"OR")=0))</f>
      </c>
      <c r="I19242">
        <f>IF(DATOS!$I19242="","",IFERROR(VLOOKUP(DATOS!$I19242,CONFIG_ASIGNATURAS!$B$2:$J$91,9,FALSE()),""))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IF(DATOS!$A19243="",0,IF(CONFIG_METADATA!$B$4&lt;&gt;"OR+EX",--(DATOS!$G19243=CONFIG_METADATA!$B$4),IF(DATOS!$G19243="EX",1,IF(DATOS!$G19243="OR",--(COUNTIFS(nNIA,DATOS!$A19243,nCURSO,DATOS!$D19243,nESPEC,DATOS!$E19243,nASIG,DATOS!$I19243,nEVAL,"EX")=0),0))))</f>
      </c>
      <c r="H19243">
        <f>IF(DATOS!$G19243&lt;&gt;"EX",0,--(COUNTIFS(nNIA,DATOS!$A19243,nCURSO,DATOS!$D19243,nESPEC,DATOS!$E19243,nASIG,DATOS!$I19243,nEVAL,"OR")=0))</f>
      </c>
      <c r="I19243">
        <f>IF(DATOS!$I19243="","",IFERROR(VLOOKUP(DATOS!$I19243,CONFIG_ASIGNATURAS!$B$2:$J$91,9,FALSE()),""))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IF(DATOS!$A19244="",0,IF(CONFIG_METADATA!$B$4&lt;&gt;"OR+EX",--(DATOS!$G19244=CONFIG_METADATA!$B$4),IF(DATOS!$G19244="EX",1,IF(DATOS!$G19244="OR",--(COUNTIFS(nNIA,DATOS!$A19244,nCURSO,DATOS!$D19244,nESPEC,DATOS!$E19244,nASIG,DATOS!$I19244,nEVAL,"EX")=0),0))))</f>
      </c>
      <c r="H19244">
        <f>IF(DATOS!$G19244&lt;&gt;"EX",0,--(COUNTIFS(nNIA,DATOS!$A19244,nCURSO,DATOS!$D19244,nESPEC,DATOS!$E19244,nASIG,DATOS!$I19244,nEVAL,"OR")=0))</f>
      </c>
      <c r="I19244">
        <f>IF(DATOS!$I19244="","",IFERROR(VLOOKUP(DATOS!$I19244,CONFIG_ASIGNATURAS!$B$2:$J$91,9,FALSE()),""))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IF(DATOS!$A19245="",0,IF(CONFIG_METADATA!$B$4&lt;&gt;"OR+EX",--(DATOS!$G19245=CONFIG_METADATA!$B$4),IF(DATOS!$G19245="EX",1,IF(DATOS!$G19245="OR",--(COUNTIFS(nNIA,DATOS!$A19245,nCURSO,DATOS!$D19245,nESPEC,DATOS!$E19245,nASIG,DATOS!$I19245,nEVAL,"EX")=0),0))))</f>
      </c>
      <c r="H19245">
        <f>IF(DATOS!$G19245&lt;&gt;"EX",0,--(COUNTIFS(nNIA,DATOS!$A19245,nCURSO,DATOS!$D19245,nESPEC,DATOS!$E19245,nASIG,DATOS!$I19245,nEVAL,"OR")=0))</f>
      </c>
      <c r="I19245">
        <f>IF(DATOS!$I19245="","",IFERROR(VLOOKUP(DATOS!$I19245,CONFIG_ASIGNATURAS!$B$2:$J$91,9,FALSE()),""))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IF(DATOS!$A19246="",0,IF(CONFIG_METADATA!$B$4&lt;&gt;"OR+EX",--(DATOS!$G19246=CONFIG_METADATA!$B$4),IF(DATOS!$G19246="EX",1,IF(DATOS!$G19246="OR",--(COUNTIFS(nNIA,DATOS!$A19246,nCURSO,DATOS!$D19246,nESPEC,DATOS!$E19246,nASIG,DATOS!$I19246,nEVAL,"EX")=0),0))))</f>
      </c>
      <c r="H19246">
        <f>IF(DATOS!$G19246&lt;&gt;"EX",0,--(COUNTIFS(nNIA,DATOS!$A19246,nCURSO,DATOS!$D19246,nESPEC,DATOS!$E19246,nASIG,DATOS!$I19246,nEVAL,"OR")=0))</f>
      </c>
      <c r="I19246">
        <f>IF(DATOS!$I19246="","",IFERROR(VLOOKUP(DATOS!$I19246,CONFIG_ASIGNATURAS!$B$2:$J$91,9,FALSE()),""))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IF(DATOS!$A19247="",0,IF(CONFIG_METADATA!$B$4&lt;&gt;"OR+EX",--(DATOS!$G19247=CONFIG_METADATA!$B$4),IF(DATOS!$G19247="EX",1,IF(DATOS!$G19247="OR",--(COUNTIFS(nNIA,DATOS!$A19247,nCURSO,DATOS!$D19247,nESPEC,DATOS!$E19247,nASIG,DATOS!$I19247,nEVAL,"EX")=0),0))))</f>
      </c>
      <c r="H19247">
        <f>IF(DATOS!$G19247&lt;&gt;"EX",0,--(COUNTIFS(nNIA,DATOS!$A19247,nCURSO,DATOS!$D19247,nESPEC,DATOS!$E19247,nASIG,DATOS!$I19247,nEVAL,"OR")=0))</f>
      </c>
      <c r="I19247">
        <f>IF(DATOS!$I19247="","",IFERROR(VLOOKUP(DATOS!$I19247,CONFIG_ASIGNATURAS!$B$2:$J$91,9,FALSE()),""))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IF(DATOS!$A19248="",0,IF(CONFIG_METADATA!$B$4&lt;&gt;"OR+EX",--(DATOS!$G19248=CONFIG_METADATA!$B$4),IF(DATOS!$G19248="EX",1,IF(DATOS!$G19248="OR",--(COUNTIFS(nNIA,DATOS!$A19248,nCURSO,DATOS!$D19248,nESPEC,DATOS!$E19248,nASIG,DATOS!$I19248,nEVAL,"EX")=0),0))))</f>
      </c>
      <c r="H19248">
        <f>IF(DATOS!$G19248&lt;&gt;"EX",0,--(COUNTIFS(nNIA,DATOS!$A19248,nCURSO,DATOS!$D19248,nESPEC,DATOS!$E19248,nASIG,DATOS!$I19248,nEVAL,"OR")=0))</f>
      </c>
      <c r="I19248">
        <f>IF(DATOS!$I19248="","",IFERROR(VLOOKUP(DATOS!$I19248,CONFIG_ASIGNATURAS!$B$2:$J$91,9,FALSE()),""))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IF(DATOS!$A19249="",0,IF(CONFIG_METADATA!$B$4&lt;&gt;"OR+EX",--(DATOS!$G19249=CONFIG_METADATA!$B$4),IF(DATOS!$G19249="EX",1,IF(DATOS!$G19249="OR",--(COUNTIFS(nNIA,DATOS!$A19249,nCURSO,DATOS!$D19249,nESPEC,DATOS!$E19249,nASIG,DATOS!$I19249,nEVAL,"EX")=0),0))))</f>
      </c>
      <c r="H19249">
        <f>IF(DATOS!$G19249&lt;&gt;"EX",0,--(COUNTIFS(nNIA,DATOS!$A19249,nCURSO,DATOS!$D19249,nESPEC,DATOS!$E19249,nASIG,DATOS!$I19249,nEVAL,"OR")=0))</f>
      </c>
      <c r="I19249">
        <f>IF(DATOS!$I19249="","",IFERROR(VLOOKUP(DATOS!$I19249,CONFIG_ASIGNATURAS!$B$2:$J$91,9,FALSE()),""))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IF(DATOS!$A19250="",0,IF(CONFIG_METADATA!$B$4&lt;&gt;"OR+EX",--(DATOS!$G19250=CONFIG_METADATA!$B$4),IF(DATOS!$G19250="EX",1,IF(DATOS!$G19250="OR",--(COUNTIFS(nNIA,DATOS!$A19250,nCURSO,DATOS!$D19250,nESPEC,DATOS!$E19250,nASIG,DATOS!$I19250,nEVAL,"EX")=0),0))))</f>
      </c>
      <c r="H19250">
        <f>IF(DATOS!$G19250&lt;&gt;"EX",0,--(COUNTIFS(nNIA,DATOS!$A19250,nCURSO,DATOS!$D19250,nESPEC,DATOS!$E19250,nASIG,DATOS!$I19250,nEVAL,"OR")=0))</f>
      </c>
      <c r="I19250">
        <f>IF(DATOS!$I19250="","",IFERROR(VLOOKUP(DATOS!$I19250,CONFIG_ASIGNATURAS!$B$2:$J$91,9,FALSE()),""))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IF(DATOS!$A19251="",0,IF(CONFIG_METADATA!$B$4&lt;&gt;"OR+EX",--(DATOS!$G19251=CONFIG_METADATA!$B$4),IF(DATOS!$G19251="EX",1,IF(DATOS!$G19251="OR",--(COUNTIFS(nNIA,DATOS!$A19251,nCURSO,DATOS!$D19251,nESPEC,DATOS!$E19251,nASIG,DATOS!$I19251,nEVAL,"EX")=0),0))))</f>
      </c>
      <c r="H19251">
        <f>IF(DATOS!$G19251&lt;&gt;"EX",0,--(COUNTIFS(nNIA,DATOS!$A19251,nCURSO,DATOS!$D19251,nESPEC,DATOS!$E19251,nASIG,DATOS!$I19251,nEVAL,"OR")=0))</f>
      </c>
      <c r="I19251">
        <f>IF(DATOS!$I19251="","",IFERROR(VLOOKUP(DATOS!$I19251,CONFIG_ASIGNATURAS!$B$2:$J$91,9,FALSE()),""))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IF(DATOS!$A19252="",0,IF(CONFIG_METADATA!$B$4&lt;&gt;"OR+EX",--(DATOS!$G19252=CONFIG_METADATA!$B$4),IF(DATOS!$G19252="EX",1,IF(DATOS!$G19252="OR",--(COUNTIFS(nNIA,DATOS!$A19252,nCURSO,DATOS!$D19252,nESPEC,DATOS!$E19252,nASIG,DATOS!$I19252,nEVAL,"EX")=0),0))))</f>
      </c>
      <c r="H19252">
        <f>IF(DATOS!$G19252&lt;&gt;"EX",0,--(COUNTIFS(nNIA,DATOS!$A19252,nCURSO,DATOS!$D19252,nESPEC,DATOS!$E19252,nASIG,DATOS!$I19252,nEVAL,"OR")=0))</f>
      </c>
      <c r="I19252">
        <f>IF(DATOS!$I19252="","",IFERROR(VLOOKUP(DATOS!$I19252,CONFIG_ASIGNATURAS!$B$2:$J$91,9,FALSE()),""))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IF(DATOS!$A19253="",0,IF(CONFIG_METADATA!$B$4&lt;&gt;"OR+EX",--(DATOS!$G19253=CONFIG_METADATA!$B$4),IF(DATOS!$G19253="EX",1,IF(DATOS!$G19253="OR",--(COUNTIFS(nNIA,DATOS!$A19253,nCURSO,DATOS!$D19253,nESPEC,DATOS!$E19253,nASIG,DATOS!$I19253,nEVAL,"EX")=0),0))))</f>
      </c>
      <c r="H19253">
        <f>IF(DATOS!$G19253&lt;&gt;"EX",0,--(COUNTIFS(nNIA,DATOS!$A19253,nCURSO,DATOS!$D19253,nESPEC,DATOS!$E19253,nASIG,DATOS!$I19253,nEVAL,"OR")=0))</f>
      </c>
      <c r="I19253">
        <f>IF(DATOS!$I19253="","",IFERROR(VLOOKUP(DATOS!$I19253,CONFIG_ASIGNATURAS!$B$2:$J$91,9,FALSE()),""))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IF(DATOS!$A19254="",0,IF(CONFIG_METADATA!$B$4&lt;&gt;"OR+EX",--(DATOS!$G19254=CONFIG_METADATA!$B$4),IF(DATOS!$G19254="EX",1,IF(DATOS!$G19254="OR",--(COUNTIFS(nNIA,DATOS!$A19254,nCURSO,DATOS!$D19254,nESPEC,DATOS!$E19254,nASIG,DATOS!$I19254,nEVAL,"EX")=0),0))))</f>
      </c>
      <c r="H19254">
        <f>IF(DATOS!$G19254&lt;&gt;"EX",0,--(COUNTIFS(nNIA,DATOS!$A19254,nCURSO,DATOS!$D19254,nESPEC,DATOS!$E19254,nASIG,DATOS!$I19254,nEVAL,"OR")=0))</f>
      </c>
      <c r="I19254">
        <f>IF(DATOS!$I19254="","",IFERROR(VLOOKUP(DATOS!$I19254,CONFIG_ASIGNATURAS!$B$2:$J$91,9,FALSE()),""))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IF(DATOS!$A19255="",0,IF(CONFIG_METADATA!$B$4&lt;&gt;"OR+EX",--(DATOS!$G19255=CONFIG_METADATA!$B$4),IF(DATOS!$G19255="EX",1,IF(DATOS!$G19255="OR",--(COUNTIFS(nNIA,DATOS!$A19255,nCURSO,DATOS!$D19255,nESPEC,DATOS!$E19255,nASIG,DATOS!$I19255,nEVAL,"EX")=0),0))))</f>
      </c>
      <c r="H19255">
        <f>IF(DATOS!$G19255&lt;&gt;"EX",0,--(COUNTIFS(nNIA,DATOS!$A19255,nCURSO,DATOS!$D19255,nESPEC,DATOS!$E19255,nASIG,DATOS!$I19255,nEVAL,"OR")=0))</f>
      </c>
      <c r="I19255">
        <f>IF(DATOS!$I19255="","",IFERROR(VLOOKUP(DATOS!$I19255,CONFIG_ASIGNATURAS!$B$2:$J$91,9,FALSE()),""))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IF(DATOS!$A19256="",0,IF(CONFIG_METADATA!$B$4&lt;&gt;"OR+EX",--(DATOS!$G19256=CONFIG_METADATA!$B$4),IF(DATOS!$G19256="EX",1,IF(DATOS!$G19256="OR",--(COUNTIFS(nNIA,DATOS!$A19256,nCURSO,DATOS!$D19256,nESPEC,DATOS!$E19256,nASIG,DATOS!$I19256,nEVAL,"EX")=0),0))))</f>
      </c>
      <c r="H19256">
        <f>IF(DATOS!$G19256&lt;&gt;"EX",0,--(COUNTIFS(nNIA,DATOS!$A19256,nCURSO,DATOS!$D19256,nESPEC,DATOS!$E19256,nASIG,DATOS!$I19256,nEVAL,"OR")=0))</f>
      </c>
      <c r="I19256">
        <f>IF(DATOS!$I19256="","",IFERROR(VLOOKUP(DATOS!$I19256,CONFIG_ASIGNATURAS!$B$2:$J$91,9,FALSE()),""))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IF(DATOS!$A19257="",0,IF(CONFIG_METADATA!$B$4&lt;&gt;"OR+EX",--(DATOS!$G19257=CONFIG_METADATA!$B$4),IF(DATOS!$G19257="EX",1,IF(DATOS!$G19257="OR",--(COUNTIFS(nNIA,DATOS!$A19257,nCURSO,DATOS!$D19257,nESPEC,DATOS!$E19257,nASIG,DATOS!$I19257,nEVAL,"EX")=0),0))))</f>
      </c>
      <c r="H19257">
        <f>IF(DATOS!$G19257&lt;&gt;"EX",0,--(COUNTIFS(nNIA,DATOS!$A19257,nCURSO,DATOS!$D19257,nESPEC,DATOS!$E19257,nASIG,DATOS!$I19257,nEVAL,"OR")=0))</f>
      </c>
      <c r="I19257">
        <f>IF(DATOS!$I19257="","",IFERROR(VLOOKUP(DATOS!$I19257,CONFIG_ASIGNATURAS!$B$2:$J$91,9,FALSE()),""))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IF(DATOS!$A19258="",0,IF(CONFIG_METADATA!$B$4&lt;&gt;"OR+EX",--(DATOS!$G19258=CONFIG_METADATA!$B$4),IF(DATOS!$G19258="EX",1,IF(DATOS!$G19258="OR",--(COUNTIFS(nNIA,DATOS!$A19258,nCURSO,DATOS!$D19258,nESPEC,DATOS!$E19258,nASIG,DATOS!$I19258,nEVAL,"EX")=0),0))))</f>
      </c>
      <c r="H19258">
        <f>IF(DATOS!$G19258&lt;&gt;"EX",0,--(COUNTIFS(nNIA,DATOS!$A19258,nCURSO,DATOS!$D19258,nESPEC,DATOS!$E19258,nASIG,DATOS!$I19258,nEVAL,"OR")=0))</f>
      </c>
      <c r="I19258">
        <f>IF(DATOS!$I19258="","",IFERROR(VLOOKUP(DATOS!$I19258,CONFIG_ASIGNATURAS!$B$2:$J$91,9,FALSE()),""))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IF(DATOS!$A19259="",0,IF(CONFIG_METADATA!$B$4&lt;&gt;"OR+EX",--(DATOS!$G19259=CONFIG_METADATA!$B$4),IF(DATOS!$G19259="EX",1,IF(DATOS!$G19259="OR",--(COUNTIFS(nNIA,DATOS!$A19259,nCURSO,DATOS!$D19259,nESPEC,DATOS!$E19259,nASIG,DATOS!$I19259,nEVAL,"EX")=0),0))))</f>
      </c>
      <c r="H19259">
        <f>IF(DATOS!$G19259&lt;&gt;"EX",0,--(COUNTIFS(nNIA,DATOS!$A19259,nCURSO,DATOS!$D19259,nESPEC,DATOS!$E19259,nASIG,DATOS!$I19259,nEVAL,"OR")=0))</f>
      </c>
      <c r="I19259">
        <f>IF(DATOS!$I19259="","",IFERROR(VLOOKUP(DATOS!$I19259,CONFIG_ASIGNATURAS!$B$2:$J$91,9,FALSE()),""))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IF(DATOS!$A19260="",0,IF(CONFIG_METADATA!$B$4&lt;&gt;"OR+EX",--(DATOS!$G19260=CONFIG_METADATA!$B$4),IF(DATOS!$G19260="EX",1,IF(DATOS!$G19260="OR",--(COUNTIFS(nNIA,DATOS!$A19260,nCURSO,DATOS!$D19260,nESPEC,DATOS!$E19260,nASIG,DATOS!$I19260,nEVAL,"EX")=0),0))))</f>
      </c>
      <c r="H19260">
        <f>IF(DATOS!$G19260&lt;&gt;"EX",0,--(COUNTIFS(nNIA,DATOS!$A19260,nCURSO,DATOS!$D19260,nESPEC,DATOS!$E19260,nASIG,DATOS!$I19260,nEVAL,"OR")=0))</f>
      </c>
      <c r="I19260">
        <f>IF(DATOS!$I19260="","",IFERROR(VLOOKUP(DATOS!$I19260,CONFIG_ASIGNATURAS!$B$2:$J$91,9,FALSE()),""))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IF(DATOS!$A19261="",0,IF(CONFIG_METADATA!$B$4&lt;&gt;"OR+EX",--(DATOS!$G19261=CONFIG_METADATA!$B$4),IF(DATOS!$G19261="EX",1,IF(DATOS!$G19261="OR",--(COUNTIFS(nNIA,DATOS!$A19261,nCURSO,DATOS!$D19261,nESPEC,DATOS!$E19261,nASIG,DATOS!$I19261,nEVAL,"EX")=0),0))))</f>
      </c>
      <c r="H19261">
        <f>IF(DATOS!$G19261&lt;&gt;"EX",0,--(COUNTIFS(nNIA,DATOS!$A19261,nCURSO,DATOS!$D19261,nESPEC,DATOS!$E19261,nASIG,DATOS!$I19261,nEVAL,"OR")=0))</f>
      </c>
      <c r="I19261">
        <f>IF(DATOS!$I19261="","",IFERROR(VLOOKUP(DATOS!$I19261,CONFIG_ASIGNATURAS!$B$2:$J$91,9,FALSE()),""))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IF(DATOS!$A19262="",0,IF(CONFIG_METADATA!$B$4&lt;&gt;"OR+EX",--(DATOS!$G19262=CONFIG_METADATA!$B$4),IF(DATOS!$G19262="EX",1,IF(DATOS!$G19262="OR",--(COUNTIFS(nNIA,DATOS!$A19262,nCURSO,DATOS!$D19262,nESPEC,DATOS!$E19262,nASIG,DATOS!$I19262,nEVAL,"EX")=0),0))))</f>
      </c>
      <c r="H19262">
        <f>IF(DATOS!$G19262&lt;&gt;"EX",0,--(COUNTIFS(nNIA,DATOS!$A19262,nCURSO,DATOS!$D19262,nESPEC,DATOS!$E19262,nASIG,DATOS!$I19262,nEVAL,"OR")=0))</f>
      </c>
      <c r="I19262">
        <f>IF(DATOS!$I19262="","",IFERROR(VLOOKUP(DATOS!$I19262,CONFIG_ASIGNATURAS!$B$2:$J$91,9,FALSE()),""))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IF(DATOS!$A19263="",0,IF(CONFIG_METADATA!$B$4&lt;&gt;"OR+EX",--(DATOS!$G19263=CONFIG_METADATA!$B$4),IF(DATOS!$G19263="EX",1,IF(DATOS!$G19263="OR",--(COUNTIFS(nNIA,DATOS!$A19263,nCURSO,DATOS!$D19263,nESPEC,DATOS!$E19263,nASIG,DATOS!$I19263,nEVAL,"EX")=0),0))))</f>
      </c>
      <c r="H19263">
        <f>IF(DATOS!$G19263&lt;&gt;"EX",0,--(COUNTIFS(nNIA,DATOS!$A19263,nCURSO,DATOS!$D19263,nESPEC,DATOS!$E19263,nASIG,DATOS!$I19263,nEVAL,"OR")=0))</f>
      </c>
      <c r="I19263">
        <f>IF(DATOS!$I19263="","",IFERROR(VLOOKUP(DATOS!$I19263,CONFIG_ASIGNATURAS!$B$2:$J$91,9,FALSE()),""))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IF(DATOS!$A19264="",0,IF(CONFIG_METADATA!$B$4&lt;&gt;"OR+EX",--(DATOS!$G19264=CONFIG_METADATA!$B$4),IF(DATOS!$G19264="EX",1,IF(DATOS!$G19264="OR",--(COUNTIFS(nNIA,DATOS!$A19264,nCURSO,DATOS!$D19264,nESPEC,DATOS!$E19264,nASIG,DATOS!$I19264,nEVAL,"EX")=0),0))))</f>
      </c>
      <c r="H19264">
        <f>IF(DATOS!$G19264&lt;&gt;"EX",0,--(COUNTIFS(nNIA,DATOS!$A19264,nCURSO,DATOS!$D19264,nESPEC,DATOS!$E19264,nASIG,DATOS!$I19264,nEVAL,"OR")=0))</f>
      </c>
      <c r="I19264">
        <f>IF(DATOS!$I19264="","",IFERROR(VLOOKUP(DATOS!$I19264,CONFIG_ASIGNATURAS!$B$2:$J$91,9,FALSE()),""))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IF(DATOS!$A19265="",0,IF(CONFIG_METADATA!$B$4&lt;&gt;"OR+EX",--(DATOS!$G19265=CONFIG_METADATA!$B$4),IF(DATOS!$G19265="EX",1,IF(DATOS!$G19265="OR",--(COUNTIFS(nNIA,DATOS!$A19265,nCURSO,DATOS!$D19265,nESPEC,DATOS!$E19265,nASIG,DATOS!$I19265,nEVAL,"EX")=0),0))))</f>
      </c>
      <c r="H19265">
        <f>IF(DATOS!$G19265&lt;&gt;"EX",0,--(COUNTIFS(nNIA,DATOS!$A19265,nCURSO,DATOS!$D19265,nESPEC,DATOS!$E19265,nASIG,DATOS!$I19265,nEVAL,"OR")=0))</f>
      </c>
      <c r="I19265">
        <f>IF(DATOS!$I19265="","",IFERROR(VLOOKUP(DATOS!$I19265,CONFIG_ASIGNATURAS!$B$2:$J$91,9,FALSE()),""))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IF(DATOS!$A19266="",0,IF(CONFIG_METADATA!$B$4&lt;&gt;"OR+EX",--(DATOS!$G19266=CONFIG_METADATA!$B$4),IF(DATOS!$G19266="EX",1,IF(DATOS!$G19266="OR",--(COUNTIFS(nNIA,DATOS!$A19266,nCURSO,DATOS!$D19266,nESPEC,DATOS!$E19266,nASIG,DATOS!$I19266,nEVAL,"EX")=0),0))))</f>
      </c>
      <c r="H19266">
        <f>IF(DATOS!$G19266&lt;&gt;"EX",0,--(COUNTIFS(nNIA,DATOS!$A19266,nCURSO,DATOS!$D19266,nESPEC,DATOS!$E19266,nASIG,DATOS!$I19266,nEVAL,"OR")=0))</f>
      </c>
      <c r="I19266">
        <f>IF(DATOS!$I19266="","",IFERROR(VLOOKUP(DATOS!$I19266,CONFIG_ASIGNATURAS!$B$2:$J$91,9,FALSE()),""))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IF(DATOS!$A19267="",0,IF(CONFIG_METADATA!$B$4&lt;&gt;"OR+EX",--(DATOS!$G19267=CONFIG_METADATA!$B$4),IF(DATOS!$G19267="EX",1,IF(DATOS!$G19267="OR",--(COUNTIFS(nNIA,DATOS!$A19267,nCURSO,DATOS!$D19267,nESPEC,DATOS!$E19267,nASIG,DATOS!$I19267,nEVAL,"EX")=0),0))))</f>
      </c>
      <c r="H19267">
        <f>IF(DATOS!$G19267&lt;&gt;"EX",0,--(COUNTIFS(nNIA,DATOS!$A19267,nCURSO,DATOS!$D19267,nESPEC,DATOS!$E19267,nASIG,DATOS!$I19267,nEVAL,"OR")=0))</f>
      </c>
      <c r="I19267">
        <f>IF(DATOS!$I19267="","",IFERROR(VLOOKUP(DATOS!$I19267,CONFIG_ASIGNATURAS!$B$2:$J$91,9,FALSE()),""))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IF(DATOS!$A19268="",0,IF(CONFIG_METADATA!$B$4&lt;&gt;"OR+EX",--(DATOS!$G19268=CONFIG_METADATA!$B$4),IF(DATOS!$G19268="EX",1,IF(DATOS!$G19268="OR",--(COUNTIFS(nNIA,DATOS!$A19268,nCURSO,DATOS!$D19268,nESPEC,DATOS!$E19268,nASIG,DATOS!$I19268,nEVAL,"EX")=0),0))))</f>
      </c>
      <c r="H19268">
        <f>IF(DATOS!$G19268&lt;&gt;"EX",0,--(COUNTIFS(nNIA,DATOS!$A19268,nCURSO,DATOS!$D19268,nESPEC,DATOS!$E19268,nASIG,DATOS!$I19268,nEVAL,"OR")=0))</f>
      </c>
      <c r="I19268">
        <f>IF(DATOS!$I19268="","",IFERROR(VLOOKUP(DATOS!$I19268,CONFIG_ASIGNATURAS!$B$2:$J$91,9,FALSE()),""))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IF(DATOS!$A19269="",0,IF(CONFIG_METADATA!$B$4&lt;&gt;"OR+EX",--(DATOS!$G19269=CONFIG_METADATA!$B$4),IF(DATOS!$G19269="EX",1,IF(DATOS!$G19269="OR",--(COUNTIFS(nNIA,DATOS!$A19269,nCURSO,DATOS!$D19269,nESPEC,DATOS!$E19269,nASIG,DATOS!$I19269,nEVAL,"EX")=0),0))))</f>
      </c>
      <c r="H19269">
        <f>IF(DATOS!$G19269&lt;&gt;"EX",0,--(COUNTIFS(nNIA,DATOS!$A19269,nCURSO,DATOS!$D19269,nESPEC,DATOS!$E19269,nASIG,DATOS!$I19269,nEVAL,"OR")=0))</f>
      </c>
      <c r="I19269">
        <f>IF(DATOS!$I19269="","",IFERROR(VLOOKUP(DATOS!$I19269,CONFIG_ASIGNATURAS!$B$2:$J$91,9,FALSE()),""))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IF(DATOS!$A19270="",0,IF(CONFIG_METADATA!$B$4&lt;&gt;"OR+EX",--(DATOS!$G19270=CONFIG_METADATA!$B$4),IF(DATOS!$G19270="EX",1,IF(DATOS!$G19270="OR",--(COUNTIFS(nNIA,DATOS!$A19270,nCURSO,DATOS!$D19270,nESPEC,DATOS!$E19270,nASIG,DATOS!$I19270,nEVAL,"EX")=0),0))))</f>
      </c>
      <c r="H19270">
        <f>IF(DATOS!$G19270&lt;&gt;"EX",0,--(COUNTIFS(nNIA,DATOS!$A19270,nCURSO,DATOS!$D19270,nESPEC,DATOS!$E19270,nASIG,DATOS!$I19270,nEVAL,"OR")=0))</f>
      </c>
      <c r="I19270">
        <f>IF(DATOS!$I19270="","",IFERROR(VLOOKUP(DATOS!$I19270,CONFIG_ASIGNATURAS!$B$2:$J$91,9,FALSE()),""))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IF(DATOS!$A19271="",0,IF(CONFIG_METADATA!$B$4&lt;&gt;"OR+EX",--(DATOS!$G19271=CONFIG_METADATA!$B$4),IF(DATOS!$G19271="EX",1,IF(DATOS!$G19271="OR",--(COUNTIFS(nNIA,DATOS!$A19271,nCURSO,DATOS!$D19271,nESPEC,DATOS!$E19271,nASIG,DATOS!$I19271,nEVAL,"EX")=0),0))))</f>
      </c>
      <c r="H19271">
        <f>IF(DATOS!$G19271&lt;&gt;"EX",0,--(COUNTIFS(nNIA,DATOS!$A19271,nCURSO,DATOS!$D19271,nESPEC,DATOS!$E19271,nASIG,DATOS!$I19271,nEVAL,"OR")=0))</f>
      </c>
      <c r="I19271">
        <f>IF(DATOS!$I19271="","",IFERROR(VLOOKUP(DATOS!$I19271,CONFIG_ASIGNATURAS!$B$2:$J$91,9,FALSE()),""))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IF(DATOS!$A19272="",0,IF(CONFIG_METADATA!$B$4&lt;&gt;"OR+EX",--(DATOS!$G19272=CONFIG_METADATA!$B$4),IF(DATOS!$G19272="EX",1,IF(DATOS!$G19272="OR",--(COUNTIFS(nNIA,DATOS!$A19272,nCURSO,DATOS!$D19272,nESPEC,DATOS!$E19272,nASIG,DATOS!$I19272,nEVAL,"EX")=0),0))))</f>
      </c>
      <c r="H19272">
        <f>IF(DATOS!$G19272&lt;&gt;"EX",0,--(COUNTIFS(nNIA,DATOS!$A19272,nCURSO,DATOS!$D19272,nESPEC,DATOS!$E19272,nASIG,DATOS!$I19272,nEVAL,"OR")=0))</f>
      </c>
      <c r="I19272">
        <f>IF(DATOS!$I19272="","",IFERROR(VLOOKUP(DATOS!$I19272,CONFIG_ASIGNATURAS!$B$2:$J$91,9,FALSE()),""))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IF(DATOS!$A19273="",0,IF(CONFIG_METADATA!$B$4&lt;&gt;"OR+EX",--(DATOS!$G19273=CONFIG_METADATA!$B$4),IF(DATOS!$G19273="EX",1,IF(DATOS!$G19273="OR",--(COUNTIFS(nNIA,DATOS!$A19273,nCURSO,DATOS!$D19273,nESPEC,DATOS!$E19273,nASIG,DATOS!$I19273,nEVAL,"EX")=0),0))))</f>
      </c>
      <c r="H19273">
        <f>IF(DATOS!$G19273&lt;&gt;"EX",0,--(COUNTIFS(nNIA,DATOS!$A19273,nCURSO,DATOS!$D19273,nESPEC,DATOS!$E19273,nASIG,DATOS!$I19273,nEVAL,"OR")=0))</f>
      </c>
      <c r="I19273">
        <f>IF(DATOS!$I19273="","",IFERROR(VLOOKUP(DATOS!$I19273,CONFIG_ASIGNATURAS!$B$2:$J$91,9,FALSE()),""))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IF(DATOS!$A19274="",0,IF(CONFIG_METADATA!$B$4&lt;&gt;"OR+EX",--(DATOS!$G19274=CONFIG_METADATA!$B$4),IF(DATOS!$G19274="EX",1,IF(DATOS!$G19274="OR",--(COUNTIFS(nNIA,DATOS!$A19274,nCURSO,DATOS!$D19274,nESPEC,DATOS!$E19274,nASIG,DATOS!$I19274,nEVAL,"EX")=0),0))))</f>
      </c>
      <c r="H19274">
        <f>IF(DATOS!$G19274&lt;&gt;"EX",0,--(COUNTIFS(nNIA,DATOS!$A19274,nCURSO,DATOS!$D19274,nESPEC,DATOS!$E19274,nASIG,DATOS!$I19274,nEVAL,"OR")=0))</f>
      </c>
      <c r="I19274">
        <f>IF(DATOS!$I19274="","",IFERROR(VLOOKUP(DATOS!$I19274,CONFIG_ASIGNATURAS!$B$2:$J$91,9,FALSE()),""))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IF(DATOS!$A19275="",0,IF(CONFIG_METADATA!$B$4&lt;&gt;"OR+EX",--(DATOS!$G19275=CONFIG_METADATA!$B$4),IF(DATOS!$G19275="EX",1,IF(DATOS!$G19275="OR",--(COUNTIFS(nNIA,DATOS!$A19275,nCURSO,DATOS!$D19275,nESPEC,DATOS!$E19275,nASIG,DATOS!$I19275,nEVAL,"EX")=0),0))))</f>
      </c>
      <c r="H19275">
        <f>IF(DATOS!$G19275&lt;&gt;"EX",0,--(COUNTIFS(nNIA,DATOS!$A19275,nCURSO,DATOS!$D19275,nESPEC,DATOS!$E19275,nASIG,DATOS!$I19275,nEVAL,"OR")=0))</f>
      </c>
      <c r="I19275">
        <f>IF(DATOS!$I19275="","",IFERROR(VLOOKUP(DATOS!$I19275,CONFIG_ASIGNATURAS!$B$2:$J$91,9,FALSE()),""))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IF(DATOS!$A19276="",0,IF(CONFIG_METADATA!$B$4&lt;&gt;"OR+EX",--(DATOS!$G19276=CONFIG_METADATA!$B$4),IF(DATOS!$G19276="EX",1,IF(DATOS!$G19276="OR",--(COUNTIFS(nNIA,DATOS!$A19276,nCURSO,DATOS!$D19276,nESPEC,DATOS!$E19276,nASIG,DATOS!$I19276,nEVAL,"EX")=0),0))))</f>
      </c>
      <c r="H19276">
        <f>IF(DATOS!$G19276&lt;&gt;"EX",0,--(COUNTIFS(nNIA,DATOS!$A19276,nCURSO,DATOS!$D19276,nESPEC,DATOS!$E19276,nASIG,DATOS!$I19276,nEVAL,"OR")=0))</f>
      </c>
      <c r="I19276">
        <f>IF(DATOS!$I19276="","",IFERROR(VLOOKUP(DATOS!$I19276,CONFIG_ASIGNATURAS!$B$2:$J$91,9,FALSE()),""))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IF(DATOS!$A19277="",0,IF(CONFIG_METADATA!$B$4&lt;&gt;"OR+EX",--(DATOS!$G19277=CONFIG_METADATA!$B$4),IF(DATOS!$G19277="EX",1,IF(DATOS!$G19277="OR",--(COUNTIFS(nNIA,DATOS!$A19277,nCURSO,DATOS!$D19277,nESPEC,DATOS!$E19277,nASIG,DATOS!$I19277,nEVAL,"EX")=0),0))))</f>
      </c>
      <c r="H19277">
        <f>IF(DATOS!$G19277&lt;&gt;"EX",0,--(COUNTIFS(nNIA,DATOS!$A19277,nCURSO,DATOS!$D19277,nESPEC,DATOS!$E19277,nASIG,DATOS!$I19277,nEVAL,"OR")=0))</f>
      </c>
      <c r="I19277">
        <f>IF(DATOS!$I19277="","",IFERROR(VLOOKUP(DATOS!$I19277,CONFIG_ASIGNATURAS!$B$2:$J$91,9,FALSE()),""))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IF(DATOS!$A19278="",0,IF(CONFIG_METADATA!$B$4&lt;&gt;"OR+EX",--(DATOS!$G19278=CONFIG_METADATA!$B$4),IF(DATOS!$G19278="EX",1,IF(DATOS!$G19278="OR",--(COUNTIFS(nNIA,DATOS!$A19278,nCURSO,DATOS!$D19278,nESPEC,DATOS!$E19278,nASIG,DATOS!$I19278,nEVAL,"EX")=0),0))))</f>
      </c>
      <c r="H19278">
        <f>IF(DATOS!$G19278&lt;&gt;"EX",0,--(COUNTIFS(nNIA,DATOS!$A19278,nCURSO,DATOS!$D19278,nESPEC,DATOS!$E19278,nASIG,DATOS!$I19278,nEVAL,"OR")=0))</f>
      </c>
      <c r="I19278">
        <f>IF(DATOS!$I19278="","",IFERROR(VLOOKUP(DATOS!$I19278,CONFIG_ASIGNATURAS!$B$2:$J$91,9,FALSE()),""))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IF(DATOS!$A19279="",0,IF(CONFIG_METADATA!$B$4&lt;&gt;"OR+EX",--(DATOS!$G19279=CONFIG_METADATA!$B$4),IF(DATOS!$G19279="EX",1,IF(DATOS!$G19279="OR",--(COUNTIFS(nNIA,DATOS!$A19279,nCURSO,DATOS!$D19279,nESPEC,DATOS!$E19279,nASIG,DATOS!$I19279,nEVAL,"EX")=0),0))))</f>
      </c>
      <c r="H19279">
        <f>IF(DATOS!$G19279&lt;&gt;"EX",0,--(COUNTIFS(nNIA,DATOS!$A19279,nCURSO,DATOS!$D19279,nESPEC,DATOS!$E19279,nASIG,DATOS!$I19279,nEVAL,"OR")=0))</f>
      </c>
      <c r="I19279">
        <f>IF(DATOS!$I19279="","",IFERROR(VLOOKUP(DATOS!$I19279,CONFIG_ASIGNATURAS!$B$2:$J$91,9,FALSE()),""))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IF(DATOS!$A19280="",0,IF(CONFIG_METADATA!$B$4&lt;&gt;"OR+EX",--(DATOS!$G19280=CONFIG_METADATA!$B$4),IF(DATOS!$G19280="EX",1,IF(DATOS!$G19280="OR",--(COUNTIFS(nNIA,DATOS!$A19280,nCURSO,DATOS!$D19280,nESPEC,DATOS!$E19280,nASIG,DATOS!$I19280,nEVAL,"EX")=0),0))))</f>
      </c>
      <c r="H19280">
        <f>IF(DATOS!$G19280&lt;&gt;"EX",0,--(COUNTIFS(nNIA,DATOS!$A19280,nCURSO,DATOS!$D19280,nESPEC,DATOS!$E19280,nASIG,DATOS!$I19280,nEVAL,"OR")=0))</f>
      </c>
      <c r="I19280">
        <f>IF(DATOS!$I19280="","",IFERROR(VLOOKUP(DATOS!$I19280,CONFIG_ASIGNATURAS!$B$2:$J$91,9,FALSE()),""))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IF(DATOS!$A19281="",0,IF(CONFIG_METADATA!$B$4&lt;&gt;"OR+EX",--(DATOS!$G19281=CONFIG_METADATA!$B$4),IF(DATOS!$G19281="EX",1,IF(DATOS!$G19281="OR",--(COUNTIFS(nNIA,DATOS!$A19281,nCURSO,DATOS!$D19281,nESPEC,DATOS!$E19281,nASIG,DATOS!$I19281,nEVAL,"EX")=0),0))))</f>
      </c>
      <c r="H19281">
        <f>IF(DATOS!$G19281&lt;&gt;"EX",0,--(COUNTIFS(nNIA,DATOS!$A19281,nCURSO,DATOS!$D19281,nESPEC,DATOS!$E19281,nASIG,DATOS!$I19281,nEVAL,"OR")=0))</f>
      </c>
      <c r="I19281">
        <f>IF(DATOS!$I19281="","",IFERROR(VLOOKUP(DATOS!$I19281,CONFIG_ASIGNATURAS!$B$2:$J$91,9,FALSE()),""))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IF(DATOS!$A19282="",0,IF(CONFIG_METADATA!$B$4&lt;&gt;"OR+EX",--(DATOS!$G19282=CONFIG_METADATA!$B$4),IF(DATOS!$G19282="EX",1,IF(DATOS!$G19282="OR",--(COUNTIFS(nNIA,DATOS!$A19282,nCURSO,DATOS!$D19282,nESPEC,DATOS!$E19282,nASIG,DATOS!$I19282,nEVAL,"EX")=0),0))))</f>
      </c>
      <c r="H19282">
        <f>IF(DATOS!$G19282&lt;&gt;"EX",0,--(COUNTIFS(nNIA,DATOS!$A19282,nCURSO,DATOS!$D19282,nESPEC,DATOS!$E19282,nASIG,DATOS!$I19282,nEVAL,"OR")=0))</f>
      </c>
      <c r="I19282">
        <f>IF(DATOS!$I19282="","",IFERROR(VLOOKUP(DATOS!$I19282,CONFIG_ASIGNATURAS!$B$2:$J$91,9,FALSE()),""))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IF(DATOS!$A19283="",0,IF(CONFIG_METADATA!$B$4&lt;&gt;"OR+EX",--(DATOS!$G19283=CONFIG_METADATA!$B$4),IF(DATOS!$G19283="EX",1,IF(DATOS!$G19283="OR",--(COUNTIFS(nNIA,DATOS!$A19283,nCURSO,DATOS!$D19283,nESPEC,DATOS!$E19283,nASIG,DATOS!$I19283,nEVAL,"EX")=0),0))))</f>
      </c>
      <c r="H19283">
        <f>IF(DATOS!$G19283&lt;&gt;"EX",0,--(COUNTIFS(nNIA,DATOS!$A19283,nCURSO,DATOS!$D19283,nESPEC,DATOS!$E19283,nASIG,DATOS!$I19283,nEVAL,"OR")=0))</f>
      </c>
      <c r="I19283">
        <f>IF(DATOS!$I19283="","",IFERROR(VLOOKUP(DATOS!$I19283,CONFIG_ASIGNATURAS!$B$2:$J$91,9,FALSE()),""))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IF(DATOS!$A19284="",0,IF(CONFIG_METADATA!$B$4&lt;&gt;"OR+EX",--(DATOS!$G19284=CONFIG_METADATA!$B$4),IF(DATOS!$G19284="EX",1,IF(DATOS!$G19284="OR",--(COUNTIFS(nNIA,DATOS!$A19284,nCURSO,DATOS!$D19284,nESPEC,DATOS!$E19284,nASIG,DATOS!$I19284,nEVAL,"EX")=0),0))))</f>
      </c>
      <c r="H19284">
        <f>IF(DATOS!$G19284&lt;&gt;"EX",0,--(COUNTIFS(nNIA,DATOS!$A19284,nCURSO,DATOS!$D19284,nESPEC,DATOS!$E19284,nASIG,DATOS!$I19284,nEVAL,"OR")=0))</f>
      </c>
      <c r="I19284">
        <f>IF(DATOS!$I19284="","",IFERROR(VLOOKUP(DATOS!$I19284,CONFIG_ASIGNATURAS!$B$2:$J$91,9,FALSE()),""))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IF(DATOS!$A19285="",0,IF(CONFIG_METADATA!$B$4&lt;&gt;"OR+EX",--(DATOS!$G19285=CONFIG_METADATA!$B$4),IF(DATOS!$G19285="EX",1,IF(DATOS!$G19285="OR",--(COUNTIFS(nNIA,DATOS!$A19285,nCURSO,DATOS!$D19285,nESPEC,DATOS!$E19285,nASIG,DATOS!$I19285,nEVAL,"EX")=0),0))))</f>
      </c>
      <c r="H19285">
        <f>IF(DATOS!$G19285&lt;&gt;"EX",0,--(COUNTIFS(nNIA,DATOS!$A19285,nCURSO,DATOS!$D19285,nESPEC,DATOS!$E19285,nASIG,DATOS!$I19285,nEVAL,"OR")=0))</f>
      </c>
      <c r="I19285">
        <f>IF(DATOS!$I19285="","",IFERROR(VLOOKUP(DATOS!$I19285,CONFIG_ASIGNATURAS!$B$2:$J$91,9,FALSE()),""))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IF(DATOS!$A19286="",0,IF(CONFIG_METADATA!$B$4&lt;&gt;"OR+EX",--(DATOS!$G19286=CONFIG_METADATA!$B$4),IF(DATOS!$G19286="EX",1,IF(DATOS!$G19286="OR",--(COUNTIFS(nNIA,DATOS!$A19286,nCURSO,DATOS!$D19286,nESPEC,DATOS!$E19286,nASIG,DATOS!$I19286,nEVAL,"EX")=0),0))))</f>
      </c>
      <c r="H19286">
        <f>IF(DATOS!$G19286&lt;&gt;"EX",0,--(COUNTIFS(nNIA,DATOS!$A19286,nCURSO,DATOS!$D19286,nESPEC,DATOS!$E19286,nASIG,DATOS!$I19286,nEVAL,"OR")=0))</f>
      </c>
      <c r="I19286">
        <f>IF(DATOS!$I19286="","",IFERROR(VLOOKUP(DATOS!$I19286,CONFIG_ASIGNATURAS!$B$2:$J$91,9,FALSE()),""))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IF(DATOS!$A19287="",0,IF(CONFIG_METADATA!$B$4&lt;&gt;"OR+EX",--(DATOS!$G19287=CONFIG_METADATA!$B$4),IF(DATOS!$G19287="EX",1,IF(DATOS!$G19287="OR",--(COUNTIFS(nNIA,DATOS!$A19287,nCURSO,DATOS!$D19287,nESPEC,DATOS!$E19287,nASIG,DATOS!$I19287,nEVAL,"EX")=0),0))))</f>
      </c>
      <c r="H19287">
        <f>IF(DATOS!$G19287&lt;&gt;"EX",0,--(COUNTIFS(nNIA,DATOS!$A19287,nCURSO,DATOS!$D19287,nESPEC,DATOS!$E19287,nASIG,DATOS!$I19287,nEVAL,"OR")=0))</f>
      </c>
      <c r="I19287">
        <f>IF(DATOS!$I19287="","",IFERROR(VLOOKUP(DATOS!$I19287,CONFIG_ASIGNATURAS!$B$2:$J$91,9,FALSE()),""))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IF(DATOS!$A19288="",0,IF(CONFIG_METADATA!$B$4&lt;&gt;"OR+EX",--(DATOS!$G19288=CONFIG_METADATA!$B$4),IF(DATOS!$G19288="EX",1,IF(DATOS!$G19288="OR",--(COUNTIFS(nNIA,DATOS!$A19288,nCURSO,DATOS!$D19288,nESPEC,DATOS!$E19288,nASIG,DATOS!$I19288,nEVAL,"EX")=0),0))))</f>
      </c>
      <c r="H19288">
        <f>IF(DATOS!$G19288&lt;&gt;"EX",0,--(COUNTIFS(nNIA,DATOS!$A19288,nCURSO,DATOS!$D19288,nESPEC,DATOS!$E19288,nASIG,DATOS!$I19288,nEVAL,"OR")=0))</f>
      </c>
      <c r="I19288">
        <f>IF(DATOS!$I19288="","",IFERROR(VLOOKUP(DATOS!$I19288,CONFIG_ASIGNATURAS!$B$2:$J$91,9,FALSE()),""))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IF(DATOS!$A19289="",0,IF(CONFIG_METADATA!$B$4&lt;&gt;"OR+EX",--(DATOS!$G19289=CONFIG_METADATA!$B$4),IF(DATOS!$G19289="EX",1,IF(DATOS!$G19289="OR",--(COUNTIFS(nNIA,DATOS!$A19289,nCURSO,DATOS!$D19289,nESPEC,DATOS!$E19289,nASIG,DATOS!$I19289,nEVAL,"EX")=0),0))))</f>
      </c>
      <c r="H19289">
        <f>IF(DATOS!$G19289&lt;&gt;"EX",0,--(COUNTIFS(nNIA,DATOS!$A19289,nCURSO,DATOS!$D19289,nESPEC,DATOS!$E19289,nASIG,DATOS!$I19289,nEVAL,"OR")=0))</f>
      </c>
      <c r="I19289">
        <f>IF(DATOS!$I19289="","",IFERROR(VLOOKUP(DATOS!$I19289,CONFIG_ASIGNATURAS!$B$2:$J$91,9,FALSE()),""))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IF(DATOS!$A19290="",0,IF(CONFIG_METADATA!$B$4&lt;&gt;"OR+EX",--(DATOS!$G19290=CONFIG_METADATA!$B$4),IF(DATOS!$G19290="EX",1,IF(DATOS!$G19290="OR",--(COUNTIFS(nNIA,DATOS!$A19290,nCURSO,DATOS!$D19290,nESPEC,DATOS!$E19290,nASIG,DATOS!$I19290,nEVAL,"EX")=0),0))))</f>
      </c>
      <c r="H19290">
        <f>IF(DATOS!$G19290&lt;&gt;"EX",0,--(COUNTIFS(nNIA,DATOS!$A19290,nCURSO,DATOS!$D19290,nESPEC,DATOS!$E19290,nASIG,DATOS!$I19290,nEVAL,"OR")=0))</f>
      </c>
      <c r="I19290">
        <f>IF(DATOS!$I19290="","",IFERROR(VLOOKUP(DATOS!$I19290,CONFIG_ASIGNATURAS!$B$2:$J$91,9,FALSE()),""))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IF(DATOS!$A19291="",0,IF(CONFIG_METADATA!$B$4&lt;&gt;"OR+EX",--(DATOS!$G19291=CONFIG_METADATA!$B$4),IF(DATOS!$G19291="EX",1,IF(DATOS!$G19291="OR",--(COUNTIFS(nNIA,DATOS!$A19291,nCURSO,DATOS!$D19291,nESPEC,DATOS!$E19291,nASIG,DATOS!$I19291,nEVAL,"EX")=0),0))))</f>
      </c>
      <c r="H19291">
        <f>IF(DATOS!$G19291&lt;&gt;"EX",0,--(COUNTIFS(nNIA,DATOS!$A19291,nCURSO,DATOS!$D19291,nESPEC,DATOS!$E19291,nASIG,DATOS!$I19291,nEVAL,"OR")=0))</f>
      </c>
      <c r="I19291">
        <f>IF(DATOS!$I19291="","",IFERROR(VLOOKUP(DATOS!$I19291,CONFIG_ASIGNATURAS!$B$2:$J$91,9,FALSE()),""))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IF(DATOS!$A19292="",0,IF(CONFIG_METADATA!$B$4&lt;&gt;"OR+EX",--(DATOS!$G19292=CONFIG_METADATA!$B$4),IF(DATOS!$G19292="EX",1,IF(DATOS!$G19292="OR",--(COUNTIFS(nNIA,DATOS!$A19292,nCURSO,DATOS!$D19292,nESPEC,DATOS!$E19292,nASIG,DATOS!$I19292,nEVAL,"EX")=0),0))))</f>
      </c>
      <c r="H19292">
        <f>IF(DATOS!$G19292&lt;&gt;"EX",0,--(COUNTIFS(nNIA,DATOS!$A19292,nCURSO,DATOS!$D19292,nESPEC,DATOS!$E19292,nASIG,DATOS!$I19292,nEVAL,"OR")=0))</f>
      </c>
      <c r="I19292">
        <f>IF(DATOS!$I19292="","",IFERROR(VLOOKUP(DATOS!$I19292,CONFIG_ASIGNATURAS!$B$2:$J$91,9,FALSE()),""))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IF(DATOS!$A19293="",0,IF(CONFIG_METADATA!$B$4&lt;&gt;"OR+EX",--(DATOS!$G19293=CONFIG_METADATA!$B$4),IF(DATOS!$G19293="EX",1,IF(DATOS!$G19293="OR",--(COUNTIFS(nNIA,DATOS!$A19293,nCURSO,DATOS!$D19293,nESPEC,DATOS!$E19293,nASIG,DATOS!$I19293,nEVAL,"EX")=0),0))))</f>
      </c>
      <c r="H19293">
        <f>IF(DATOS!$G19293&lt;&gt;"EX",0,--(COUNTIFS(nNIA,DATOS!$A19293,nCURSO,DATOS!$D19293,nESPEC,DATOS!$E19293,nASIG,DATOS!$I19293,nEVAL,"OR")=0))</f>
      </c>
      <c r="I19293">
        <f>IF(DATOS!$I19293="","",IFERROR(VLOOKUP(DATOS!$I19293,CONFIG_ASIGNATURAS!$B$2:$J$91,9,FALSE()),""))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IF(DATOS!$A19294="",0,IF(CONFIG_METADATA!$B$4&lt;&gt;"OR+EX",--(DATOS!$G19294=CONFIG_METADATA!$B$4),IF(DATOS!$G19294="EX",1,IF(DATOS!$G19294="OR",--(COUNTIFS(nNIA,DATOS!$A19294,nCURSO,DATOS!$D19294,nESPEC,DATOS!$E19294,nASIG,DATOS!$I19294,nEVAL,"EX")=0),0))))</f>
      </c>
      <c r="H19294">
        <f>IF(DATOS!$G19294&lt;&gt;"EX",0,--(COUNTIFS(nNIA,DATOS!$A19294,nCURSO,DATOS!$D19294,nESPEC,DATOS!$E19294,nASIG,DATOS!$I19294,nEVAL,"OR")=0))</f>
      </c>
      <c r="I19294">
        <f>IF(DATOS!$I19294="","",IFERROR(VLOOKUP(DATOS!$I19294,CONFIG_ASIGNATURAS!$B$2:$J$91,9,FALSE()),""))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IF(DATOS!$A19295="",0,IF(CONFIG_METADATA!$B$4&lt;&gt;"OR+EX",--(DATOS!$G19295=CONFIG_METADATA!$B$4),IF(DATOS!$G19295="EX",1,IF(DATOS!$G19295="OR",--(COUNTIFS(nNIA,DATOS!$A19295,nCURSO,DATOS!$D19295,nESPEC,DATOS!$E19295,nASIG,DATOS!$I19295,nEVAL,"EX")=0),0))))</f>
      </c>
      <c r="H19295">
        <f>IF(DATOS!$G19295&lt;&gt;"EX",0,--(COUNTIFS(nNIA,DATOS!$A19295,nCURSO,DATOS!$D19295,nESPEC,DATOS!$E19295,nASIG,DATOS!$I19295,nEVAL,"OR")=0))</f>
      </c>
      <c r="I19295">
        <f>IF(DATOS!$I19295="","",IFERROR(VLOOKUP(DATOS!$I19295,CONFIG_ASIGNATURAS!$B$2:$J$91,9,FALSE()),""))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IF(DATOS!$A19296="",0,IF(CONFIG_METADATA!$B$4&lt;&gt;"OR+EX",--(DATOS!$G19296=CONFIG_METADATA!$B$4),IF(DATOS!$G19296="EX",1,IF(DATOS!$G19296="OR",--(COUNTIFS(nNIA,DATOS!$A19296,nCURSO,DATOS!$D19296,nESPEC,DATOS!$E19296,nASIG,DATOS!$I19296,nEVAL,"EX")=0),0))))</f>
      </c>
      <c r="H19296">
        <f>IF(DATOS!$G19296&lt;&gt;"EX",0,--(COUNTIFS(nNIA,DATOS!$A19296,nCURSO,DATOS!$D19296,nESPEC,DATOS!$E19296,nASIG,DATOS!$I19296,nEVAL,"OR")=0))</f>
      </c>
      <c r="I19296">
        <f>IF(DATOS!$I19296="","",IFERROR(VLOOKUP(DATOS!$I19296,CONFIG_ASIGNATURAS!$B$2:$J$91,9,FALSE()),""))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IF(DATOS!$A19297="",0,IF(CONFIG_METADATA!$B$4&lt;&gt;"OR+EX",--(DATOS!$G19297=CONFIG_METADATA!$B$4),IF(DATOS!$G19297="EX",1,IF(DATOS!$G19297="OR",--(COUNTIFS(nNIA,DATOS!$A19297,nCURSO,DATOS!$D19297,nESPEC,DATOS!$E19297,nASIG,DATOS!$I19297,nEVAL,"EX")=0),0))))</f>
      </c>
      <c r="H19297">
        <f>IF(DATOS!$G19297&lt;&gt;"EX",0,--(COUNTIFS(nNIA,DATOS!$A19297,nCURSO,DATOS!$D19297,nESPEC,DATOS!$E19297,nASIG,DATOS!$I19297,nEVAL,"OR")=0))</f>
      </c>
      <c r="I19297">
        <f>IF(DATOS!$I19297="","",IFERROR(VLOOKUP(DATOS!$I19297,CONFIG_ASIGNATURAS!$B$2:$J$91,9,FALSE()),""))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IF(DATOS!$A19298="",0,IF(CONFIG_METADATA!$B$4&lt;&gt;"OR+EX",--(DATOS!$G19298=CONFIG_METADATA!$B$4),IF(DATOS!$G19298="EX",1,IF(DATOS!$G19298="OR",--(COUNTIFS(nNIA,DATOS!$A19298,nCURSO,DATOS!$D19298,nESPEC,DATOS!$E19298,nASIG,DATOS!$I19298,nEVAL,"EX")=0),0))))</f>
      </c>
      <c r="H19298">
        <f>IF(DATOS!$G19298&lt;&gt;"EX",0,--(COUNTIFS(nNIA,DATOS!$A19298,nCURSO,DATOS!$D19298,nESPEC,DATOS!$E19298,nASIG,DATOS!$I19298,nEVAL,"OR")=0))</f>
      </c>
      <c r="I19298">
        <f>IF(DATOS!$I19298="","",IFERROR(VLOOKUP(DATOS!$I19298,CONFIG_ASIGNATURAS!$B$2:$J$91,9,FALSE()),""))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IF(DATOS!$A19299="",0,IF(CONFIG_METADATA!$B$4&lt;&gt;"OR+EX",--(DATOS!$G19299=CONFIG_METADATA!$B$4),IF(DATOS!$G19299="EX",1,IF(DATOS!$G19299="OR",--(COUNTIFS(nNIA,DATOS!$A19299,nCURSO,DATOS!$D19299,nESPEC,DATOS!$E19299,nASIG,DATOS!$I19299,nEVAL,"EX")=0),0))))</f>
      </c>
      <c r="H19299">
        <f>IF(DATOS!$G19299&lt;&gt;"EX",0,--(COUNTIFS(nNIA,DATOS!$A19299,nCURSO,DATOS!$D19299,nESPEC,DATOS!$E19299,nASIG,DATOS!$I19299,nEVAL,"OR")=0))</f>
      </c>
      <c r="I19299">
        <f>IF(DATOS!$I19299="","",IFERROR(VLOOKUP(DATOS!$I19299,CONFIG_ASIGNATURAS!$B$2:$J$91,9,FALSE()),""))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IF(DATOS!$A19300="",0,IF(CONFIG_METADATA!$B$4&lt;&gt;"OR+EX",--(DATOS!$G19300=CONFIG_METADATA!$B$4),IF(DATOS!$G19300="EX",1,IF(DATOS!$G19300="OR",--(COUNTIFS(nNIA,DATOS!$A19300,nCURSO,DATOS!$D19300,nESPEC,DATOS!$E19300,nASIG,DATOS!$I19300,nEVAL,"EX")=0),0))))</f>
      </c>
      <c r="H19300">
        <f>IF(DATOS!$G19300&lt;&gt;"EX",0,--(COUNTIFS(nNIA,DATOS!$A19300,nCURSO,DATOS!$D19300,nESPEC,DATOS!$E19300,nASIG,DATOS!$I19300,nEVAL,"OR")=0))</f>
      </c>
      <c r="I19300">
        <f>IF(DATOS!$I19300="","",IFERROR(VLOOKUP(DATOS!$I19300,CONFIG_ASIGNATURAS!$B$2:$J$91,9,FALSE()),""))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IF(DATOS!$A19301="",0,IF(CONFIG_METADATA!$B$4&lt;&gt;"OR+EX",--(DATOS!$G19301=CONFIG_METADATA!$B$4),IF(DATOS!$G19301="EX",1,IF(DATOS!$G19301="OR",--(COUNTIFS(nNIA,DATOS!$A19301,nCURSO,DATOS!$D19301,nESPEC,DATOS!$E19301,nASIG,DATOS!$I19301,nEVAL,"EX")=0),0))))</f>
      </c>
      <c r="H19301">
        <f>IF(DATOS!$G19301&lt;&gt;"EX",0,--(COUNTIFS(nNIA,DATOS!$A19301,nCURSO,DATOS!$D19301,nESPEC,DATOS!$E19301,nASIG,DATOS!$I19301,nEVAL,"OR")=0))</f>
      </c>
      <c r="I19301">
        <f>IF(DATOS!$I19301="","",IFERROR(VLOOKUP(DATOS!$I19301,CONFIG_ASIGNATURAS!$B$2:$J$91,9,FALSE()),""))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IF(DATOS!$A19302="",0,IF(CONFIG_METADATA!$B$4&lt;&gt;"OR+EX",--(DATOS!$G19302=CONFIG_METADATA!$B$4),IF(DATOS!$G19302="EX",1,IF(DATOS!$G19302="OR",--(COUNTIFS(nNIA,DATOS!$A19302,nCURSO,DATOS!$D19302,nESPEC,DATOS!$E19302,nASIG,DATOS!$I19302,nEVAL,"EX")=0),0))))</f>
      </c>
      <c r="H19302">
        <f>IF(DATOS!$G19302&lt;&gt;"EX",0,--(COUNTIFS(nNIA,DATOS!$A19302,nCURSO,DATOS!$D19302,nESPEC,DATOS!$E19302,nASIG,DATOS!$I19302,nEVAL,"OR")=0))</f>
      </c>
      <c r="I19302">
        <f>IF(DATOS!$I19302="","",IFERROR(VLOOKUP(DATOS!$I19302,CONFIG_ASIGNATURAS!$B$2:$J$91,9,FALSE()),""))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IF(DATOS!$A19303="",0,IF(CONFIG_METADATA!$B$4&lt;&gt;"OR+EX",--(DATOS!$G19303=CONFIG_METADATA!$B$4),IF(DATOS!$G19303="EX",1,IF(DATOS!$G19303="OR",--(COUNTIFS(nNIA,DATOS!$A19303,nCURSO,DATOS!$D19303,nESPEC,DATOS!$E19303,nASIG,DATOS!$I19303,nEVAL,"EX")=0),0))))</f>
      </c>
      <c r="H19303">
        <f>IF(DATOS!$G19303&lt;&gt;"EX",0,--(COUNTIFS(nNIA,DATOS!$A19303,nCURSO,DATOS!$D19303,nESPEC,DATOS!$E19303,nASIG,DATOS!$I19303,nEVAL,"OR")=0))</f>
      </c>
      <c r="I19303">
        <f>IF(DATOS!$I19303="","",IFERROR(VLOOKUP(DATOS!$I19303,CONFIG_ASIGNATURAS!$B$2:$J$91,9,FALSE()),""))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IF(DATOS!$A19304="",0,IF(CONFIG_METADATA!$B$4&lt;&gt;"OR+EX",--(DATOS!$G19304=CONFIG_METADATA!$B$4),IF(DATOS!$G19304="EX",1,IF(DATOS!$G19304="OR",--(COUNTIFS(nNIA,DATOS!$A19304,nCURSO,DATOS!$D19304,nESPEC,DATOS!$E19304,nASIG,DATOS!$I19304,nEVAL,"EX")=0),0))))</f>
      </c>
      <c r="H19304">
        <f>IF(DATOS!$G19304&lt;&gt;"EX",0,--(COUNTIFS(nNIA,DATOS!$A19304,nCURSO,DATOS!$D19304,nESPEC,DATOS!$E19304,nASIG,DATOS!$I19304,nEVAL,"OR")=0))</f>
      </c>
      <c r="I19304">
        <f>IF(DATOS!$I19304="","",IFERROR(VLOOKUP(DATOS!$I19304,CONFIG_ASIGNATURAS!$B$2:$J$91,9,FALSE()),""))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IF(DATOS!$A19305="",0,IF(CONFIG_METADATA!$B$4&lt;&gt;"OR+EX",--(DATOS!$G19305=CONFIG_METADATA!$B$4),IF(DATOS!$G19305="EX",1,IF(DATOS!$G19305="OR",--(COUNTIFS(nNIA,DATOS!$A19305,nCURSO,DATOS!$D19305,nESPEC,DATOS!$E19305,nASIG,DATOS!$I19305,nEVAL,"EX")=0),0))))</f>
      </c>
      <c r="H19305">
        <f>IF(DATOS!$G19305&lt;&gt;"EX",0,--(COUNTIFS(nNIA,DATOS!$A19305,nCURSO,DATOS!$D19305,nESPEC,DATOS!$E19305,nASIG,DATOS!$I19305,nEVAL,"OR")=0))</f>
      </c>
      <c r="I19305">
        <f>IF(DATOS!$I19305="","",IFERROR(VLOOKUP(DATOS!$I19305,CONFIG_ASIGNATURAS!$B$2:$J$91,9,FALSE()),""))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IF(DATOS!$A19306="",0,IF(CONFIG_METADATA!$B$4&lt;&gt;"OR+EX",--(DATOS!$G19306=CONFIG_METADATA!$B$4),IF(DATOS!$G19306="EX",1,IF(DATOS!$G19306="OR",--(COUNTIFS(nNIA,DATOS!$A19306,nCURSO,DATOS!$D19306,nESPEC,DATOS!$E19306,nASIG,DATOS!$I19306,nEVAL,"EX")=0),0))))</f>
      </c>
      <c r="H19306">
        <f>IF(DATOS!$G19306&lt;&gt;"EX",0,--(COUNTIFS(nNIA,DATOS!$A19306,nCURSO,DATOS!$D19306,nESPEC,DATOS!$E19306,nASIG,DATOS!$I19306,nEVAL,"OR")=0))</f>
      </c>
      <c r="I19306">
        <f>IF(DATOS!$I19306="","",IFERROR(VLOOKUP(DATOS!$I19306,CONFIG_ASIGNATURAS!$B$2:$J$91,9,FALSE()),""))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IF(DATOS!$A19307="",0,IF(CONFIG_METADATA!$B$4&lt;&gt;"OR+EX",--(DATOS!$G19307=CONFIG_METADATA!$B$4),IF(DATOS!$G19307="EX",1,IF(DATOS!$G19307="OR",--(COUNTIFS(nNIA,DATOS!$A19307,nCURSO,DATOS!$D19307,nESPEC,DATOS!$E19307,nASIG,DATOS!$I19307,nEVAL,"EX")=0),0))))</f>
      </c>
      <c r="H19307">
        <f>IF(DATOS!$G19307&lt;&gt;"EX",0,--(COUNTIFS(nNIA,DATOS!$A19307,nCURSO,DATOS!$D19307,nESPEC,DATOS!$E19307,nASIG,DATOS!$I19307,nEVAL,"OR")=0))</f>
      </c>
      <c r="I19307">
        <f>IF(DATOS!$I19307="","",IFERROR(VLOOKUP(DATOS!$I19307,CONFIG_ASIGNATURAS!$B$2:$J$91,9,FALSE()),""))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IF(DATOS!$A19308="",0,IF(CONFIG_METADATA!$B$4&lt;&gt;"OR+EX",--(DATOS!$G19308=CONFIG_METADATA!$B$4),IF(DATOS!$G19308="EX",1,IF(DATOS!$G19308="OR",--(COUNTIFS(nNIA,DATOS!$A19308,nCURSO,DATOS!$D19308,nESPEC,DATOS!$E19308,nASIG,DATOS!$I19308,nEVAL,"EX")=0),0))))</f>
      </c>
      <c r="H19308">
        <f>IF(DATOS!$G19308&lt;&gt;"EX",0,--(COUNTIFS(nNIA,DATOS!$A19308,nCURSO,DATOS!$D19308,nESPEC,DATOS!$E19308,nASIG,DATOS!$I19308,nEVAL,"OR")=0))</f>
      </c>
      <c r="I19308">
        <f>IF(DATOS!$I19308="","",IFERROR(VLOOKUP(DATOS!$I19308,CONFIG_ASIGNATURAS!$B$2:$J$91,9,FALSE()),""))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IF(DATOS!$A19309="",0,IF(CONFIG_METADATA!$B$4&lt;&gt;"OR+EX",--(DATOS!$G19309=CONFIG_METADATA!$B$4),IF(DATOS!$G19309="EX",1,IF(DATOS!$G19309="OR",--(COUNTIFS(nNIA,DATOS!$A19309,nCURSO,DATOS!$D19309,nESPEC,DATOS!$E19309,nASIG,DATOS!$I19309,nEVAL,"EX")=0),0))))</f>
      </c>
      <c r="H19309">
        <f>IF(DATOS!$G19309&lt;&gt;"EX",0,--(COUNTIFS(nNIA,DATOS!$A19309,nCURSO,DATOS!$D19309,nESPEC,DATOS!$E19309,nASIG,DATOS!$I19309,nEVAL,"OR")=0))</f>
      </c>
      <c r="I19309">
        <f>IF(DATOS!$I19309="","",IFERROR(VLOOKUP(DATOS!$I19309,CONFIG_ASIGNATURAS!$B$2:$J$91,9,FALSE()),""))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IF(DATOS!$A19310="",0,IF(CONFIG_METADATA!$B$4&lt;&gt;"OR+EX",--(DATOS!$G19310=CONFIG_METADATA!$B$4),IF(DATOS!$G19310="EX",1,IF(DATOS!$G19310="OR",--(COUNTIFS(nNIA,DATOS!$A19310,nCURSO,DATOS!$D19310,nESPEC,DATOS!$E19310,nASIG,DATOS!$I19310,nEVAL,"EX")=0),0))))</f>
      </c>
      <c r="H19310">
        <f>IF(DATOS!$G19310&lt;&gt;"EX",0,--(COUNTIFS(nNIA,DATOS!$A19310,nCURSO,DATOS!$D19310,nESPEC,DATOS!$E19310,nASIG,DATOS!$I19310,nEVAL,"OR")=0))</f>
      </c>
      <c r="I19310">
        <f>IF(DATOS!$I19310="","",IFERROR(VLOOKUP(DATOS!$I19310,CONFIG_ASIGNATURAS!$B$2:$J$91,9,FALSE()),""))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IF(DATOS!$A19311="",0,IF(CONFIG_METADATA!$B$4&lt;&gt;"OR+EX",--(DATOS!$G19311=CONFIG_METADATA!$B$4),IF(DATOS!$G19311="EX",1,IF(DATOS!$G19311="OR",--(COUNTIFS(nNIA,DATOS!$A19311,nCURSO,DATOS!$D19311,nESPEC,DATOS!$E19311,nASIG,DATOS!$I19311,nEVAL,"EX")=0),0))))</f>
      </c>
      <c r="H19311">
        <f>IF(DATOS!$G19311&lt;&gt;"EX",0,--(COUNTIFS(nNIA,DATOS!$A19311,nCURSO,DATOS!$D19311,nESPEC,DATOS!$E19311,nASIG,DATOS!$I19311,nEVAL,"OR")=0))</f>
      </c>
      <c r="I19311">
        <f>IF(DATOS!$I19311="","",IFERROR(VLOOKUP(DATOS!$I19311,CONFIG_ASIGNATURAS!$B$2:$J$91,9,FALSE()),""))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IF(DATOS!$A19312="",0,IF(CONFIG_METADATA!$B$4&lt;&gt;"OR+EX",--(DATOS!$G19312=CONFIG_METADATA!$B$4),IF(DATOS!$G19312="EX",1,IF(DATOS!$G19312="OR",--(COUNTIFS(nNIA,DATOS!$A19312,nCURSO,DATOS!$D19312,nESPEC,DATOS!$E19312,nASIG,DATOS!$I19312,nEVAL,"EX")=0),0))))</f>
      </c>
      <c r="H19312">
        <f>IF(DATOS!$G19312&lt;&gt;"EX",0,--(COUNTIFS(nNIA,DATOS!$A19312,nCURSO,DATOS!$D19312,nESPEC,DATOS!$E19312,nASIG,DATOS!$I19312,nEVAL,"OR")=0))</f>
      </c>
      <c r="I19312">
        <f>IF(DATOS!$I19312="","",IFERROR(VLOOKUP(DATOS!$I19312,CONFIG_ASIGNATURAS!$B$2:$J$91,9,FALSE()),""))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IF(DATOS!$A19313="",0,IF(CONFIG_METADATA!$B$4&lt;&gt;"OR+EX",--(DATOS!$G19313=CONFIG_METADATA!$B$4),IF(DATOS!$G19313="EX",1,IF(DATOS!$G19313="OR",--(COUNTIFS(nNIA,DATOS!$A19313,nCURSO,DATOS!$D19313,nESPEC,DATOS!$E19313,nASIG,DATOS!$I19313,nEVAL,"EX")=0),0))))</f>
      </c>
      <c r="H19313">
        <f>IF(DATOS!$G19313&lt;&gt;"EX",0,--(COUNTIFS(nNIA,DATOS!$A19313,nCURSO,DATOS!$D19313,nESPEC,DATOS!$E19313,nASIG,DATOS!$I19313,nEVAL,"OR")=0))</f>
      </c>
      <c r="I19313">
        <f>IF(DATOS!$I19313="","",IFERROR(VLOOKUP(DATOS!$I19313,CONFIG_ASIGNATURAS!$B$2:$J$91,9,FALSE()),""))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IF(DATOS!$A19314="",0,IF(CONFIG_METADATA!$B$4&lt;&gt;"OR+EX",--(DATOS!$G19314=CONFIG_METADATA!$B$4),IF(DATOS!$G19314="EX",1,IF(DATOS!$G19314="OR",--(COUNTIFS(nNIA,DATOS!$A19314,nCURSO,DATOS!$D19314,nESPEC,DATOS!$E19314,nASIG,DATOS!$I19314,nEVAL,"EX")=0),0))))</f>
      </c>
      <c r="H19314">
        <f>IF(DATOS!$G19314&lt;&gt;"EX",0,--(COUNTIFS(nNIA,DATOS!$A19314,nCURSO,DATOS!$D19314,nESPEC,DATOS!$E19314,nASIG,DATOS!$I19314,nEVAL,"OR")=0))</f>
      </c>
      <c r="I19314">
        <f>IF(DATOS!$I19314="","",IFERROR(VLOOKUP(DATOS!$I19314,CONFIG_ASIGNATURAS!$B$2:$J$91,9,FALSE()),""))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IF(DATOS!$A19315="",0,IF(CONFIG_METADATA!$B$4&lt;&gt;"OR+EX",--(DATOS!$G19315=CONFIG_METADATA!$B$4),IF(DATOS!$G19315="EX",1,IF(DATOS!$G19315="OR",--(COUNTIFS(nNIA,DATOS!$A19315,nCURSO,DATOS!$D19315,nESPEC,DATOS!$E19315,nASIG,DATOS!$I19315,nEVAL,"EX")=0),0))))</f>
      </c>
      <c r="H19315">
        <f>IF(DATOS!$G19315&lt;&gt;"EX",0,--(COUNTIFS(nNIA,DATOS!$A19315,nCURSO,DATOS!$D19315,nESPEC,DATOS!$E19315,nASIG,DATOS!$I19315,nEVAL,"OR")=0))</f>
      </c>
      <c r="I19315">
        <f>IF(DATOS!$I19315="","",IFERROR(VLOOKUP(DATOS!$I19315,CONFIG_ASIGNATURAS!$B$2:$J$91,9,FALSE()),""))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IF(DATOS!$A19316="",0,IF(CONFIG_METADATA!$B$4&lt;&gt;"OR+EX",--(DATOS!$G19316=CONFIG_METADATA!$B$4),IF(DATOS!$G19316="EX",1,IF(DATOS!$G19316="OR",--(COUNTIFS(nNIA,DATOS!$A19316,nCURSO,DATOS!$D19316,nESPEC,DATOS!$E19316,nASIG,DATOS!$I19316,nEVAL,"EX")=0),0))))</f>
      </c>
      <c r="H19316">
        <f>IF(DATOS!$G19316&lt;&gt;"EX",0,--(COUNTIFS(nNIA,DATOS!$A19316,nCURSO,DATOS!$D19316,nESPEC,DATOS!$E19316,nASIG,DATOS!$I19316,nEVAL,"OR")=0))</f>
      </c>
      <c r="I19316">
        <f>IF(DATOS!$I19316="","",IFERROR(VLOOKUP(DATOS!$I19316,CONFIG_ASIGNATURAS!$B$2:$J$91,9,FALSE()),""))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IF(DATOS!$A19317="",0,IF(CONFIG_METADATA!$B$4&lt;&gt;"OR+EX",--(DATOS!$G19317=CONFIG_METADATA!$B$4),IF(DATOS!$G19317="EX",1,IF(DATOS!$G19317="OR",--(COUNTIFS(nNIA,DATOS!$A19317,nCURSO,DATOS!$D19317,nESPEC,DATOS!$E19317,nASIG,DATOS!$I19317,nEVAL,"EX")=0),0))))</f>
      </c>
      <c r="H19317">
        <f>IF(DATOS!$G19317&lt;&gt;"EX",0,--(COUNTIFS(nNIA,DATOS!$A19317,nCURSO,DATOS!$D19317,nESPEC,DATOS!$E19317,nASIG,DATOS!$I19317,nEVAL,"OR")=0))</f>
      </c>
      <c r="I19317">
        <f>IF(DATOS!$I19317="","",IFERROR(VLOOKUP(DATOS!$I19317,CONFIG_ASIGNATURAS!$B$2:$J$91,9,FALSE()),""))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IF(DATOS!$A19318="",0,IF(CONFIG_METADATA!$B$4&lt;&gt;"OR+EX",--(DATOS!$G19318=CONFIG_METADATA!$B$4),IF(DATOS!$G19318="EX",1,IF(DATOS!$G19318="OR",--(COUNTIFS(nNIA,DATOS!$A19318,nCURSO,DATOS!$D19318,nESPEC,DATOS!$E19318,nASIG,DATOS!$I19318,nEVAL,"EX")=0),0))))</f>
      </c>
      <c r="H19318">
        <f>IF(DATOS!$G19318&lt;&gt;"EX",0,--(COUNTIFS(nNIA,DATOS!$A19318,nCURSO,DATOS!$D19318,nESPEC,DATOS!$E19318,nASIG,DATOS!$I19318,nEVAL,"OR")=0))</f>
      </c>
      <c r="I19318">
        <f>IF(DATOS!$I19318="","",IFERROR(VLOOKUP(DATOS!$I19318,CONFIG_ASIGNATURAS!$B$2:$J$91,9,FALSE()),""))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IF(DATOS!$A19319="",0,IF(CONFIG_METADATA!$B$4&lt;&gt;"OR+EX",--(DATOS!$G19319=CONFIG_METADATA!$B$4),IF(DATOS!$G19319="EX",1,IF(DATOS!$G19319="OR",--(COUNTIFS(nNIA,DATOS!$A19319,nCURSO,DATOS!$D19319,nESPEC,DATOS!$E19319,nASIG,DATOS!$I19319,nEVAL,"EX")=0),0))))</f>
      </c>
      <c r="H19319">
        <f>IF(DATOS!$G19319&lt;&gt;"EX",0,--(COUNTIFS(nNIA,DATOS!$A19319,nCURSO,DATOS!$D19319,nESPEC,DATOS!$E19319,nASIG,DATOS!$I19319,nEVAL,"OR")=0))</f>
      </c>
      <c r="I19319">
        <f>IF(DATOS!$I19319="","",IFERROR(VLOOKUP(DATOS!$I19319,CONFIG_ASIGNATURAS!$B$2:$J$91,9,FALSE()),""))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IF(DATOS!$A19320="",0,IF(CONFIG_METADATA!$B$4&lt;&gt;"OR+EX",--(DATOS!$G19320=CONFIG_METADATA!$B$4),IF(DATOS!$G19320="EX",1,IF(DATOS!$G19320="OR",--(COUNTIFS(nNIA,DATOS!$A19320,nCURSO,DATOS!$D19320,nESPEC,DATOS!$E19320,nASIG,DATOS!$I19320,nEVAL,"EX")=0),0))))</f>
      </c>
      <c r="H19320">
        <f>IF(DATOS!$G19320&lt;&gt;"EX",0,--(COUNTIFS(nNIA,DATOS!$A19320,nCURSO,DATOS!$D19320,nESPEC,DATOS!$E19320,nASIG,DATOS!$I19320,nEVAL,"OR")=0))</f>
      </c>
      <c r="I19320">
        <f>IF(DATOS!$I19320="","",IFERROR(VLOOKUP(DATOS!$I19320,CONFIG_ASIGNATURAS!$B$2:$J$91,9,FALSE()),""))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IF(DATOS!$A19321="",0,IF(CONFIG_METADATA!$B$4&lt;&gt;"OR+EX",--(DATOS!$G19321=CONFIG_METADATA!$B$4),IF(DATOS!$G19321="EX",1,IF(DATOS!$G19321="OR",--(COUNTIFS(nNIA,DATOS!$A19321,nCURSO,DATOS!$D19321,nESPEC,DATOS!$E19321,nASIG,DATOS!$I19321,nEVAL,"EX")=0),0))))</f>
      </c>
      <c r="H19321">
        <f>IF(DATOS!$G19321&lt;&gt;"EX",0,--(COUNTIFS(nNIA,DATOS!$A19321,nCURSO,DATOS!$D19321,nESPEC,DATOS!$E19321,nASIG,DATOS!$I19321,nEVAL,"OR")=0))</f>
      </c>
      <c r="I19321">
        <f>IF(DATOS!$I19321="","",IFERROR(VLOOKUP(DATOS!$I19321,CONFIG_ASIGNATURAS!$B$2:$J$91,9,FALSE()),""))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IF(DATOS!$A19322="",0,IF(CONFIG_METADATA!$B$4&lt;&gt;"OR+EX",--(DATOS!$G19322=CONFIG_METADATA!$B$4),IF(DATOS!$G19322="EX",1,IF(DATOS!$G19322="OR",--(COUNTIFS(nNIA,DATOS!$A19322,nCURSO,DATOS!$D19322,nESPEC,DATOS!$E19322,nASIG,DATOS!$I19322,nEVAL,"EX")=0),0))))</f>
      </c>
      <c r="H19322">
        <f>IF(DATOS!$G19322&lt;&gt;"EX",0,--(COUNTIFS(nNIA,DATOS!$A19322,nCURSO,DATOS!$D19322,nESPEC,DATOS!$E19322,nASIG,DATOS!$I19322,nEVAL,"OR")=0))</f>
      </c>
      <c r="I19322">
        <f>IF(DATOS!$I19322="","",IFERROR(VLOOKUP(DATOS!$I19322,CONFIG_ASIGNATURAS!$B$2:$J$91,9,FALSE()),""))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IF(DATOS!$A19323="",0,IF(CONFIG_METADATA!$B$4&lt;&gt;"OR+EX",--(DATOS!$G19323=CONFIG_METADATA!$B$4),IF(DATOS!$G19323="EX",1,IF(DATOS!$G19323="OR",--(COUNTIFS(nNIA,DATOS!$A19323,nCURSO,DATOS!$D19323,nESPEC,DATOS!$E19323,nASIG,DATOS!$I19323,nEVAL,"EX")=0),0))))</f>
      </c>
      <c r="H19323">
        <f>IF(DATOS!$G19323&lt;&gt;"EX",0,--(COUNTIFS(nNIA,DATOS!$A19323,nCURSO,DATOS!$D19323,nESPEC,DATOS!$E19323,nASIG,DATOS!$I19323,nEVAL,"OR")=0))</f>
      </c>
      <c r="I19323">
        <f>IF(DATOS!$I19323="","",IFERROR(VLOOKUP(DATOS!$I19323,CONFIG_ASIGNATURAS!$B$2:$J$91,9,FALSE()),""))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IF(DATOS!$A19324="",0,IF(CONFIG_METADATA!$B$4&lt;&gt;"OR+EX",--(DATOS!$G19324=CONFIG_METADATA!$B$4),IF(DATOS!$G19324="EX",1,IF(DATOS!$G19324="OR",--(COUNTIFS(nNIA,DATOS!$A19324,nCURSO,DATOS!$D19324,nESPEC,DATOS!$E19324,nASIG,DATOS!$I19324,nEVAL,"EX")=0),0))))</f>
      </c>
      <c r="H19324">
        <f>IF(DATOS!$G19324&lt;&gt;"EX",0,--(COUNTIFS(nNIA,DATOS!$A19324,nCURSO,DATOS!$D19324,nESPEC,DATOS!$E19324,nASIG,DATOS!$I19324,nEVAL,"OR")=0))</f>
      </c>
      <c r="I19324">
        <f>IF(DATOS!$I19324="","",IFERROR(VLOOKUP(DATOS!$I19324,CONFIG_ASIGNATURAS!$B$2:$J$91,9,FALSE()),""))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IF(DATOS!$A19325="",0,IF(CONFIG_METADATA!$B$4&lt;&gt;"OR+EX",--(DATOS!$G19325=CONFIG_METADATA!$B$4),IF(DATOS!$G19325="EX",1,IF(DATOS!$G19325="OR",--(COUNTIFS(nNIA,DATOS!$A19325,nCURSO,DATOS!$D19325,nESPEC,DATOS!$E19325,nASIG,DATOS!$I19325,nEVAL,"EX")=0),0))))</f>
      </c>
      <c r="H19325">
        <f>IF(DATOS!$G19325&lt;&gt;"EX",0,--(COUNTIFS(nNIA,DATOS!$A19325,nCURSO,DATOS!$D19325,nESPEC,DATOS!$E19325,nASIG,DATOS!$I19325,nEVAL,"OR")=0))</f>
      </c>
      <c r="I19325">
        <f>IF(DATOS!$I19325="","",IFERROR(VLOOKUP(DATOS!$I19325,CONFIG_ASIGNATURAS!$B$2:$J$91,9,FALSE()),""))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IF(DATOS!$A19326="",0,IF(CONFIG_METADATA!$B$4&lt;&gt;"OR+EX",--(DATOS!$G19326=CONFIG_METADATA!$B$4),IF(DATOS!$G19326="EX",1,IF(DATOS!$G19326="OR",--(COUNTIFS(nNIA,DATOS!$A19326,nCURSO,DATOS!$D19326,nESPEC,DATOS!$E19326,nASIG,DATOS!$I19326,nEVAL,"EX")=0),0))))</f>
      </c>
      <c r="H19326">
        <f>IF(DATOS!$G19326&lt;&gt;"EX",0,--(COUNTIFS(nNIA,DATOS!$A19326,nCURSO,DATOS!$D19326,nESPEC,DATOS!$E19326,nASIG,DATOS!$I19326,nEVAL,"OR")=0))</f>
      </c>
      <c r="I19326">
        <f>IF(DATOS!$I19326="","",IFERROR(VLOOKUP(DATOS!$I19326,CONFIG_ASIGNATURAS!$B$2:$J$91,9,FALSE()),""))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IF(DATOS!$A19327="",0,IF(CONFIG_METADATA!$B$4&lt;&gt;"OR+EX",--(DATOS!$G19327=CONFIG_METADATA!$B$4),IF(DATOS!$G19327="EX",1,IF(DATOS!$G19327="OR",--(COUNTIFS(nNIA,DATOS!$A19327,nCURSO,DATOS!$D19327,nESPEC,DATOS!$E19327,nASIG,DATOS!$I19327,nEVAL,"EX")=0),0))))</f>
      </c>
      <c r="H19327">
        <f>IF(DATOS!$G19327&lt;&gt;"EX",0,--(COUNTIFS(nNIA,DATOS!$A19327,nCURSO,DATOS!$D19327,nESPEC,DATOS!$E19327,nASIG,DATOS!$I19327,nEVAL,"OR")=0))</f>
      </c>
      <c r="I19327">
        <f>IF(DATOS!$I19327="","",IFERROR(VLOOKUP(DATOS!$I19327,CONFIG_ASIGNATURAS!$B$2:$J$91,9,FALSE()),""))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IF(DATOS!$A19328="",0,IF(CONFIG_METADATA!$B$4&lt;&gt;"OR+EX",--(DATOS!$G19328=CONFIG_METADATA!$B$4),IF(DATOS!$G19328="EX",1,IF(DATOS!$G19328="OR",--(COUNTIFS(nNIA,DATOS!$A19328,nCURSO,DATOS!$D19328,nESPEC,DATOS!$E19328,nASIG,DATOS!$I19328,nEVAL,"EX")=0),0))))</f>
      </c>
      <c r="H19328">
        <f>IF(DATOS!$G19328&lt;&gt;"EX",0,--(COUNTIFS(nNIA,DATOS!$A19328,nCURSO,DATOS!$D19328,nESPEC,DATOS!$E19328,nASIG,DATOS!$I19328,nEVAL,"OR")=0))</f>
      </c>
      <c r="I19328">
        <f>IF(DATOS!$I19328="","",IFERROR(VLOOKUP(DATOS!$I19328,CONFIG_ASIGNATURAS!$B$2:$J$91,9,FALSE()),""))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IF(DATOS!$A19329="",0,IF(CONFIG_METADATA!$B$4&lt;&gt;"OR+EX",--(DATOS!$G19329=CONFIG_METADATA!$B$4),IF(DATOS!$G19329="EX",1,IF(DATOS!$G19329="OR",--(COUNTIFS(nNIA,DATOS!$A19329,nCURSO,DATOS!$D19329,nESPEC,DATOS!$E19329,nASIG,DATOS!$I19329,nEVAL,"EX")=0),0))))</f>
      </c>
      <c r="H19329">
        <f>IF(DATOS!$G19329&lt;&gt;"EX",0,--(COUNTIFS(nNIA,DATOS!$A19329,nCURSO,DATOS!$D19329,nESPEC,DATOS!$E19329,nASIG,DATOS!$I19329,nEVAL,"OR")=0))</f>
      </c>
      <c r="I19329">
        <f>IF(DATOS!$I19329="","",IFERROR(VLOOKUP(DATOS!$I19329,CONFIG_ASIGNATURAS!$B$2:$J$91,9,FALSE()),""))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IF(DATOS!$A19330="",0,IF(CONFIG_METADATA!$B$4&lt;&gt;"OR+EX",--(DATOS!$G19330=CONFIG_METADATA!$B$4),IF(DATOS!$G19330="EX",1,IF(DATOS!$G19330="OR",--(COUNTIFS(nNIA,DATOS!$A19330,nCURSO,DATOS!$D19330,nESPEC,DATOS!$E19330,nASIG,DATOS!$I19330,nEVAL,"EX")=0),0))))</f>
      </c>
      <c r="H19330">
        <f>IF(DATOS!$G19330&lt;&gt;"EX",0,--(COUNTIFS(nNIA,DATOS!$A19330,nCURSO,DATOS!$D19330,nESPEC,DATOS!$E19330,nASIG,DATOS!$I19330,nEVAL,"OR")=0))</f>
      </c>
      <c r="I19330">
        <f>IF(DATOS!$I19330="","",IFERROR(VLOOKUP(DATOS!$I19330,CONFIG_ASIGNATURAS!$B$2:$J$91,9,FALSE()),""))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IF(DATOS!$A19331="",0,IF(CONFIG_METADATA!$B$4&lt;&gt;"OR+EX",--(DATOS!$G19331=CONFIG_METADATA!$B$4),IF(DATOS!$G19331="EX",1,IF(DATOS!$G19331="OR",--(COUNTIFS(nNIA,DATOS!$A19331,nCURSO,DATOS!$D19331,nESPEC,DATOS!$E19331,nASIG,DATOS!$I19331,nEVAL,"EX")=0),0))))</f>
      </c>
      <c r="H19331">
        <f>IF(DATOS!$G19331&lt;&gt;"EX",0,--(COUNTIFS(nNIA,DATOS!$A19331,nCURSO,DATOS!$D19331,nESPEC,DATOS!$E19331,nASIG,DATOS!$I19331,nEVAL,"OR")=0))</f>
      </c>
      <c r="I19331">
        <f>IF(DATOS!$I19331="","",IFERROR(VLOOKUP(DATOS!$I19331,CONFIG_ASIGNATURAS!$B$2:$J$91,9,FALSE()),""))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IF(DATOS!$A19332="",0,IF(CONFIG_METADATA!$B$4&lt;&gt;"OR+EX",--(DATOS!$G19332=CONFIG_METADATA!$B$4),IF(DATOS!$G19332="EX",1,IF(DATOS!$G19332="OR",--(COUNTIFS(nNIA,DATOS!$A19332,nCURSO,DATOS!$D19332,nESPEC,DATOS!$E19332,nASIG,DATOS!$I19332,nEVAL,"EX")=0),0))))</f>
      </c>
      <c r="H19332">
        <f>IF(DATOS!$G19332&lt;&gt;"EX",0,--(COUNTIFS(nNIA,DATOS!$A19332,nCURSO,DATOS!$D19332,nESPEC,DATOS!$E19332,nASIG,DATOS!$I19332,nEVAL,"OR")=0))</f>
      </c>
      <c r="I19332">
        <f>IF(DATOS!$I19332="","",IFERROR(VLOOKUP(DATOS!$I19332,CONFIG_ASIGNATURAS!$B$2:$J$91,9,FALSE()),""))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IF(DATOS!$A19333="",0,IF(CONFIG_METADATA!$B$4&lt;&gt;"OR+EX",--(DATOS!$G19333=CONFIG_METADATA!$B$4),IF(DATOS!$G19333="EX",1,IF(DATOS!$G19333="OR",--(COUNTIFS(nNIA,DATOS!$A19333,nCURSO,DATOS!$D19333,nESPEC,DATOS!$E19333,nASIG,DATOS!$I19333,nEVAL,"EX")=0),0))))</f>
      </c>
      <c r="H19333">
        <f>IF(DATOS!$G19333&lt;&gt;"EX",0,--(COUNTIFS(nNIA,DATOS!$A19333,nCURSO,DATOS!$D19333,nESPEC,DATOS!$E19333,nASIG,DATOS!$I19333,nEVAL,"OR")=0))</f>
      </c>
      <c r="I19333">
        <f>IF(DATOS!$I19333="","",IFERROR(VLOOKUP(DATOS!$I19333,CONFIG_ASIGNATURAS!$B$2:$J$91,9,FALSE()),""))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IF(DATOS!$A19334="",0,IF(CONFIG_METADATA!$B$4&lt;&gt;"OR+EX",--(DATOS!$G19334=CONFIG_METADATA!$B$4),IF(DATOS!$G19334="EX",1,IF(DATOS!$G19334="OR",--(COUNTIFS(nNIA,DATOS!$A19334,nCURSO,DATOS!$D19334,nESPEC,DATOS!$E19334,nASIG,DATOS!$I19334,nEVAL,"EX")=0),0))))</f>
      </c>
      <c r="H19334">
        <f>IF(DATOS!$G19334&lt;&gt;"EX",0,--(COUNTIFS(nNIA,DATOS!$A19334,nCURSO,DATOS!$D19334,nESPEC,DATOS!$E19334,nASIG,DATOS!$I19334,nEVAL,"OR")=0))</f>
      </c>
      <c r="I19334">
        <f>IF(DATOS!$I19334="","",IFERROR(VLOOKUP(DATOS!$I19334,CONFIG_ASIGNATURAS!$B$2:$J$91,9,FALSE()),""))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IF(DATOS!$A19335="",0,IF(CONFIG_METADATA!$B$4&lt;&gt;"OR+EX",--(DATOS!$G19335=CONFIG_METADATA!$B$4),IF(DATOS!$G19335="EX",1,IF(DATOS!$G19335="OR",--(COUNTIFS(nNIA,DATOS!$A19335,nCURSO,DATOS!$D19335,nESPEC,DATOS!$E19335,nASIG,DATOS!$I19335,nEVAL,"EX")=0),0))))</f>
      </c>
      <c r="H19335">
        <f>IF(DATOS!$G19335&lt;&gt;"EX",0,--(COUNTIFS(nNIA,DATOS!$A19335,nCURSO,DATOS!$D19335,nESPEC,DATOS!$E19335,nASIG,DATOS!$I19335,nEVAL,"OR")=0))</f>
      </c>
      <c r="I19335">
        <f>IF(DATOS!$I19335="","",IFERROR(VLOOKUP(DATOS!$I19335,CONFIG_ASIGNATURAS!$B$2:$J$91,9,FALSE()),""))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IF(DATOS!$A19336="",0,IF(CONFIG_METADATA!$B$4&lt;&gt;"OR+EX",--(DATOS!$G19336=CONFIG_METADATA!$B$4),IF(DATOS!$G19336="EX",1,IF(DATOS!$G19336="OR",--(COUNTIFS(nNIA,DATOS!$A19336,nCURSO,DATOS!$D19336,nESPEC,DATOS!$E19336,nASIG,DATOS!$I19336,nEVAL,"EX")=0),0))))</f>
      </c>
      <c r="H19336">
        <f>IF(DATOS!$G19336&lt;&gt;"EX",0,--(COUNTIFS(nNIA,DATOS!$A19336,nCURSO,DATOS!$D19336,nESPEC,DATOS!$E19336,nASIG,DATOS!$I19336,nEVAL,"OR")=0))</f>
      </c>
      <c r="I19336">
        <f>IF(DATOS!$I19336="","",IFERROR(VLOOKUP(DATOS!$I19336,CONFIG_ASIGNATURAS!$B$2:$J$91,9,FALSE()),""))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IF(DATOS!$A19337="",0,IF(CONFIG_METADATA!$B$4&lt;&gt;"OR+EX",--(DATOS!$G19337=CONFIG_METADATA!$B$4),IF(DATOS!$G19337="EX",1,IF(DATOS!$G19337="OR",--(COUNTIFS(nNIA,DATOS!$A19337,nCURSO,DATOS!$D19337,nESPEC,DATOS!$E19337,nASIG,DATOS!$I19337,nEVAL,"EX")=0),0))))</f>
      </c>
      <c r="H19337">
        <f>IF(DATOS!$G19337&lt;&gt;"EX",0,--(COUNTIFS(nNIA,DATOS!$A19337,nCURSO,DATOS!$D19337,nESPEC,DATOS!$E19337,nASIG,DATOS!$I19337,nEVAL,"OR")=0))</f>
      </c>
      <c r="I19337">
        <f>IF(DATOS!$I19337="","",IFERROR(VLOOKUP(DATOS!$I19337,CONFIG_ASIGNATURAS!$B$2:$J$91,9,FALSE()),""))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IF(DATOS!$A19338="",0,IF(CONFIG_METADATA!$B$4&lt;&gt;"OR+EX",--(DATOS!$G19338=CONFIG_METADATA!$B$4),IF(DATOS!$G19338="EX",1,IF(DATOS!$G19338="OR",--(COUNTIFS(nNIA,DATOS!$A19338,nCURSO,DATOS!$D19338,nESPEC,DATOS!$E19338,nASIG,DATOS!$I19338,nEVAL,"EX")=0),0))))</f>
      </c>
      <c r="H19338">
        <f>IF(DATOS!$G19338&lt;&gt;"EX",0,--(COUNTIFS(nNIA,DATOS!$A19338,nCURSO,DATOS!$D19338,nESPEC,DATOS!$E19338,nASIG,DATOS!$I19338,nEVAL,"OR")=0))</f>
      </c>
      <c r="I19338">
        <f>IF(DATOS!$I19338="","",IFERROR(VLOOKUP(DATOS!$I19338,CONFIG_ASIGNATURAS!$B$2:$J$91,9,FALSE()),""))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IF(DATOS!$A19339="",0,IF(CONFIG_METADATA!$B$4&lt;&gt;"OR+EX",--(DATOS!$G19339=CONFIG_METADATA!$B$4),IF(DATOS!$G19339="EX",1,IF(DATOS!$G19339="OR",--(COUNTIFS(nNIA,DATOS!$A19339,nCURSO,DATOS!$D19339,nESPEC,DATOS!$E19339,nASIG,DATOS!$I19339,nEVAL,"EX")=0),0))))</f>
      </c>
      <c r="H19339">
        <f>IF(DATOS!$G19339&lt;&gt;"EX",0,--(COUNTIFS(nNIA,DATOS!$A19339,nCURSO,DATOS!$D19339,nESPEC,DATOS!$E19339,nASIG,DATOS!$I19339,nEVAL,"OR")=0))</f>
      </c>
      <c r="I19339">
        <f>IF(DATOS!$I19339="","",IFERROR(VLOOKUP(DATOS!$I19339,CONFIG_ASIGNATURAS!$B$2:$J$91,9,FALSE()),""))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IF(DATOS!$A19340="",0,IF(CONFIG_METADATA!$B$4&lt;&gt;"OR+EX",--(DATOS!$G19340=CONFIG_METADATA!$B$4),IF(DATOS!$G19340="EX",1,IF(DATOS!$G19340="OR",--(COUNTIFS(nNIA,DATOS!$A19340,nCURSO,DATOS!$D19340,nESPEC,DATOS!$E19340,nASIG,DATOS!$I19340,nEVAL,"EX")=0),0))))</f>
      </c>
      <c r="H19340">
        <f>IF(DATOS!$G19340&lt;&gt;"EX",0,--(COUNTIFS(nNIA,DATOS!$A19340,nCURSO,DATOS!$D19340,nESPEC,DATOS!$E19340,nASIG,DATOS!$I19340,nEVAL,"OR")=0))</f>
      </c>
      <c r="I19340">
        <f>IF(DATOS!$I19340="","",IFERROR(VLOOKUP(DATOS!$I19340,CONFIG_ASIGNATURAS!$B$2:$J$91,9,FALSE()),""))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IF(DATOS!$A19341="",0,IF(CONFIG_METADATA!$B$4&lt;&gt;"OR+EX",--(DATOS!$G19341=CONFIG_METADATA!$B$4),IF(DATOS!$G19341="EX",1,IF(DATOS!$G19341="OR",--(COUNTIFS(nNIA,DATOS!$A19341,nCURSO,DATOS!$D19341,nESPEC,DATOS!$E19341,nASIG,DATOS!$I19341,nEVAL,"EX")=0),0))))</f>
      </c>
      <c r="H19341">
        <f>IF(DATOS!$G19341&lt;&gt;"EX",0,--(COUNTIFS(nNIA,DATOS!$A19341,nCURSO,DATOS!$D19341,nESPEC,DATOS!$E19341,nASIG,DATOS!$I19341,nEVAL,"OR")=0))</f>
      </c>
      <c r="I19341">
        <f>IF(DATOS!$I19341="","",IFERROR(VLOOKUP(DATOS!$I19341,CONFIG_ASIGNATURAS!$B$2:$J$91,9,FALSE()),""))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IF(DATOS!$A19342="",0,IF(CONFIG_METADATA!$B$4&lt;&gt;"OR+EX",--(DATOS!$G19342=CONFIG_METADATA!$B$4),IF(DATOS!$G19342="EX",1,IF(DATOS!$G19342="OR",--(COUNTIFS(nNIA,DATOS!$A19342,nCURSO,DATOS!$D19342,nESPEC,DATOS!$E19342,nASIG,DATOS!$I19342,nEVAL,"EX")=0),0))))</f>
      </c>
      <c r="H19342">
        <f>IF(DATOS!$G19342&lt;&gt;"EX",0,--(COUNTIFS(nNIA,DATOS!$A19342,nCURSO,DATOS!$D19342,nESPEC,DATOS!$E19342,nASIG,DATOS!$I19342,nEVAL,"OR")=0))</f>
      </c>
      <c r="I19342">
        <f>IF(DATOS!$I19342="","",IFERROR(VLOOKUP(DATOS!$I19342,CONFIG_ASIGNATURAS!$B$2:$J$91,9,FALSE()),""))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IF(DATOS!$A19343="",0,IF(CONFIG_METADATA!$B$4&lt;&gt;"OR+EX",--(DATOS!$G19343=CONFIG_METADATA!$B$4),IF(DATOS!$G19343="EX",1,IF(DATOS!$G19343="OR",--(COUNTIFS(nNIA,DATOS!$A19343,nCURSO,DATOS!$D19343,nESPEC,DATOS!$E19343,nASIG,DATOS!$I19343,nEVAL,"EX")=0),0))))</f>
      </c>
      <c r="H19343">
        <f>IF(DATOS!$G19343&lt;&gt;"EX",0,--(COUNTIFS(nNIA,DATOS!$A19343,nCURSO,DATOS!$D19343,nESPEC,DATOS!$E19343,nASIG,DATOS!$I19343,nEVAL,"OR")=0))</f>
      </c>
      <c r="I19343">
        <f>IF(DATOS!$I19343="","",IFERROR(VLOOKUP(DATOS!$I19343,CONFIG_ASIGNATURAS!$B$2:$J$91,9,FALSE()),""))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IF(DATOS!$A19344="",0,IF(CONFIG_METADATA!$B$4&lt;&gt;"OR+EX",--(DATOS!$G19344=CONFIG_METADATA!$B$4),IF(DATOS!$G19344="EX",1,IF(DATOS!$G19344="OR",--(COUNTIFS(nNIA,DATOS!$A19344,nCURSO,DATOS!$D19344,nESPEC,DATOS!$E19344,nASIG,DATOS!$I19344,nEVAL,"EX")=0),0))))</f>
      </c>
      <c r="H19344">
        <f>IF(DATOS!$G19344&lt;&gt;"EX",0,--(COUNTIFS(nNIA,DATOS!$A19344,nCURSO,DATOS!$D19344,nESPEC,DATOS!$E19344,nASIG,DATOS!$I19344,nEVAL,"OR")=0))</f>
      </c>
      <c r="I19344">
        <f>IF(DATOS!$I19344="","",IFERROR(VLOOKUP(DATOS!$I19344,CONFIG_ASIGNATURAS!$B$2:$J$91,9,FALSE()),""))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IF(DATOS!$A19345="",0,IF(CONFIG_METADATA!$B$4&lt;&gt;"OR+EX",--(DATOS!$G19345=CONFIG_METADATA!$B$4),IF(DATOS!$G19345="EX",1,IF(DATOS!$G19345="OR",--(COUNTIFS(nNIA,DATOS!$A19345,nCURSO,DATOS!$D19345,nESPEC,DATOS!$E19345,nASIG,DATOS!$I19345,nEVAL,"EX")=0),0))))</f>
      </c>
      <c r="H19345">
        <f>IF(DATOS!$G19345&lt;&gt;"EX",0,--(COUNTIFS(nNIA,DATOS!$A19345,nCURSO,DATOS!$D19345,nESPEC,DATOS!$E19345,nASIG,DATOS!$I19345,nEVAL,"OR")=0))</f>
      </c>
      <c r="I19345">
        <f>IF(DATOS!$I19345="","",IFERROR(VLOOKUP(DATOS!$I19345,CONFIG_ASIGNATURAS!$B$2:$J$91,9,FALSE()),""))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IF(DATOS!$A19346="",0,IF(CONFIG_METADATA!$B$4&lt;&gt;"OR+EX",--(DATOS!$G19346=CONFIG_METADATA!$B$4),IF(DATOS!$G19346="EX",1,IF(DATOS!$G19346="OR",--(COUNTIFS(nNIA,DATOS!$A19346,nCURSO,DATOS!$D19346,nESPEC,DATOS!$E19346,nASIG,DATOS!$I19346,nEVAL,"EX")=0),0))))</f>
      </c>
      <c r="H19346">
        <f>IF(DATOS!$G19346&lt;&gt;"EX",0,--(COUNTIFS(nNIA,DATOS!$A19346,nCURSO,DATOS!$D19346,nESPEC,DATOS!$E19346,nASIG,DATOS!$I19346,nEVAL,"OR")=0))</f>
      </c>
      <c r="I19346">
        <f>IF(DATOS!$I19346="","",IFERROR(VLOOKUP(DATOS!$I19346,CONFIG_ASIGNATURAS!$B$2:$J$91,9,FALSE()),""))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IF(DATOS!$A19347="",0,IF(CONFIG_METADATA!$B$4&lt;&gt;"OR+EX",--(DATOS!$G19347=CONFIG_METADATA!$B$4),IF(DATOS!$G19347="EX",1,IF(DATOS!$G19347="OR",--(COUNTIFS(nNIA,DATOS!$A19347,nCURSO,DATOS!$D19347,nESPEC,DATOS!$E19347,nASIG,DATOS!$I19347,nEVAL,"EX")=0),0))))</f>
      </c>
      <c r="H19347">
        <f>IF(DATOS!$G19347&lt;&gt;"EX",0,--(COUNTIFS(nNIA,DATOS!$A19347,nCURSO,DATOS!$D19347,nESPEC,DATOS!$E19347,nASIG,DATOS!$I19347,nEVAL,"OR")=0))</f>
      </c>
      <c r="I19347">
        <f>IF(DATOS!$I19347="","",IFERROR(VLOOKUP(DATOS!$I19347,CONFIG_ASIGNATURAS!$B$2:$J$91,9,FALSE()),""))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IF(DATOS!$A19348="",0,IF(CONFIG_METADATA!$B$4&lt;&gt;"OR+EX",--(DATOS!$G19348=CONFIG_METADATA!$B$4),IF(DATOS!$G19348="EX",1,IF(DATOS!$G19348="OR",--(COUNTIFS(nNIA,DATOS!$A19348,nCURSO,DATOS!$D19348,nESPEC,DATOS!$E19348,nASIG,DATOS!$I19348,nEVAL,"EX")=0),0))))</f>
      </c>
      <c r="H19348">
        <f>IF(DATOS!$G19348&lt;&gt;"EX",0,--(COUNTIFS(nNIA,DATOS!$A19348,nCURSO,DATOS!$D19348,nESPEC,DATOS!$E19348,nASIG,DATOS!$I19348,nEVAL,"OR")=0))</f>
      </c>
      <c r="I19348">
        <f>IF(DATOS!$I19348="","",IFERROR(VLOOKUP(DATOS!$I19348,CONFIG_ASIGNATURAS!$B$2:$J$91,9,FALSE()),""))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IF(DATOS!$A19349="",0,IF(CONFIG_METADATA!$B$4&lt;&gt;"OR+EX",--(DATOS!$G19349=CONFIG_METADATA!$B$4),IF(DATOS!$G19349="EX",1,IF(DATOS!$G19349="OR",--(COUNTIFS(nNIA,DATOS!$A19349,nCURSO,DATOS!$D19349,nESPEC,DATOS!$E19349,nASIG,DATOS!$I19349,nEVAL,"EX")=0),0))))</f>
      </c>
      <c r="H19349">
        <f>IF(DATOS!$G19349&lt;&gt;"EX",0,--(COUNTIFS(nNIA,DATOS!$A19349,nCURSO,DATOS!$D19349,nESPEC,DATOS!$E19349,nASIG,DATOS!$I19349,nEVAL,"OR")=0))</f>
      </c>
      <c r="I19349">
        <f>IF(DATOS!$I19349="","",IFERROR(VLOOKUP(DATOS!$I19349,CONFIG_ASIGNATURAS!$B$2:$J$91,9,FALSE()),""))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IF(DATOS!$A19350="",0,IF(CONFIG_METADATA!$B$4&lt;&gt;"OR+EX",--(DATOS!$G19350=CONFIG_METADATA!$B$4),IF(DATOS!$G19350="EX",1,IF(DATOS!$G19350="OR",--(COUNTIFS(nNIA,DATOS!$A19350,nCURSO,DATOS!$D19350,nESPEC,DATOS!$E19350,nASIG,DATOS!$I19350,nEVAL,"EX")=0),0))))</f>
      </c>
      <c r="H19350">
        <f>IF(DATOS!$G19350&lt;&gt;"EX",0,--(COUNTIFS(nNIA,DATOS!$A19350,nCURSO,DATOS!$D19350,nESPEC,DATOS!$E19350,nASIG,DATOS!$I19350,nEVAL,"OR")=0))</f>
      </c>
      <c r="I19350">
        <f>IF(DATOS!$I19350="","",IFERROR(VLOOKUP(DATOS!$I19350,CONFIG_ASIGNATURAS!$B$2:$J$91,9,FALSE()),""))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IF(DATOS!$A19351="",0,IF(CONFIG_METADATA!$B$4&lt;&gt;"OR+EX",--(DATOS!$G19351=CONFIG_METADATA!$B$4),IF(DATOS!$G19351="EX",1,IF(DATOS!$G19351="OR",--(COUNTIFS(nNIA,DATOS!$A19351,nCURSO,DATOS!$D19351,nESPEC,DATOS!$E19351,nASIG,DATOS!$I19351,nEVAL,"EX")=0),0))))</f>
      </c>
      <c r="H19351">
        <f>IF(DATOS!$G19351&lt;&gt;"EX",0,--(COUNTIFS(nNIA,DATOS!$A19351,nCURSO,DATOS!$D19351,nESPEC,DATOS!$E19351,nASIG,DATOS!$I19351,nEVAL,"OR")=0))</f>
      </c>
      <c r="I19351">
        <f>IF(DATOS!$I19351="","",IFERROR(VLOOKUP(DATOS!$I19351,CONFIG_ASIGNATURAS!$B$2:$J$91,9,FALSE()),""))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IF(DATOS!$A19352="",0,IF(CONFIG_METADATA!$B$4&lt;&gt;"OR+EX",--(DATOS!$G19352=CONFIG_METADATA!$B$4),IF(DATOS!$G19352="EX",1,IF(DATOS!$G19352="OR",--(COUNTIFS(nNIA,DATOS!$A19352,nCURSO,DATOS!$D19352,nESPEC,DATOS!$E19352,nASIG,DATOS!$I19352,nEVAL,"EX")=0),0))))</f>
      </c>
      <c r="H19352">
        <f>IF(DATOS!$G19352&lt;&gt;"EX",0,--(COUNTIFS(nNIA,DATOS!$A19352,nCURSO,DATOS!$D19352,nESPEC,DATOS!$E19352,nASIG,DATOS!$I19352,nEVAL,"OR")=0))</f>
      </c>
      <c r="I19352">
        <f>IF(DATOS!$I19352="","",IFERROR(VLOOKUP(DATOS!$I19352,CONFIG_ASIGNATURAS!$B$2:$J$91,9,FALSE()),""))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IF(DATOS!$A19353="",0,IF(CONFIG_METADATA!$B$4&lt;&gt;"OR+EX",--(DATOS!$G19353=CONFIG_METADATA!$B$4),IF(DATOS!$G19353="EX",1,IF(DATOS!$G19353="OR",--(COUNTIFS(nNIA,DATOS!$A19353,nCURSO,DATOS!$D19353,nESPEC,DATOS!$E19353,nASIG,DATOS!$I19353,nEVAL,"EX")=0),0))))</f>
      </c>
      <c r="H19353">
        <f>IF(DATOS!$G19353&lt;&gt;"EX",0,--(COUNTIFS(nNIA,DATOS!$A19353,nCURSO,DATOS!$D19353,nESPEC,DATOS!$E19353,nASIG,DATOS!$I19353,nEVAL,"OR")=0))</f>
      </c>
      <c r="I19353">
        <f>IF(DATOS!$I19353="","",IFERROR(VLOOKUP(DATOS!$I19353,CONFIG_ASIGNATURAS!$B$2:$J$91,9,FALSE()),""))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IF(DATOS!$A19354="",0,IF(CONFIG_METADATA!$B$4&lt;&gt;"OR+EX",--(DATOS!$G19354=CONFIG_METADATA!$B$4),IF(DATOS!$G19354="EX",1,IF(DATOS!$G19354="OR",--(COUNTIFS(nNIA,DATOS!$A19354,nCURSO,DATOS!$D19354,nESPEC,DATOS!$E19354,nASIG,DATOS!$I19354,nEVAL,"EX")=0),0))))</f>
      </c>
      <c r="H19354">
        <f>IF(DATOS!$G19354&lt;&gt;"EX",0,--(COUNTIFS(nNIA,DATOS!$A19354,nCURSO,DATOS!$D19354,nESPEC,DATOS!$E19354,nASIG,DATOS!$I19354,nEVAL,"OR")=0))</f>
      </c>
      <c r="I19354">
        <f>IF(DATOS!$I19354="","",IFERROR(VLOOKUP(DATOS!$I19354,CONFIG_ASIGNATURAS!$B$2:$J$91,9,FALSE()),""))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IF(DATOS!$A19355="",0,IF(CONFIG_METADATA!$B$4&lt;&gt;"OR+EX",--(DATOS!$G19355=CONFIG_METADATA!$B$4),IF(DATOS!$G19355="EX",1,IF(DATOS!$G19355="OR",--(COUNTIFS(nNIA,DATOS!$A19355,nCURSO,DATOS!$D19355,nESPEC,DATOS!$E19355,nASIG,DATOS!$I19355,nEVAL,"EX")=0),0))))</f>
      </c>
      <c r="H19355">
        <f>IF(DATOS!$G19355&lt;&gt;"EX",0,--(COUNTIFS(nNIA,DATOS!$A19355,nCURSO,DATOS!$D19355,nESPEC,DATOS!$E19355,nASIG,DATOS!$I19355,nEVAL,"OR")=0))</f>
      </c>
      <c r="I19355">
        <f>IF(DATOS!$I19355="","",IFERROR(VLOOKUP(DATOS!$I19355,CONFIG_ASIGNATURAS!$B$2:$J$91,9,FALSE()),""))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IF(DATOS!$A19356="",0,IF(CONFIG_METADATA!$B$4&lt;&gt;"OR+EX",--(DATOS!$G19356=CONFIG_METADATA!$B$4),IF(DATOS!$G19356="EX",1,IF(DATOS!$G19356="OR",--(COUNTIFS(nNIA,DATOS!$A19356,nCURSO,DATOS!$D19356,nESPEC,DATOS!$E19356,nASIG,DATOS!$I19356,nEVAL,"EX")=0),0))))</f>
      </c>
      <c r="H19356">
        <f>IF(DATOS!$G19356&lt;&gt;"EX",0,--(COUNTIFS(nNIA,DATOS!$A19356,nCURSO,DATOS!$D19356,nESPEC,DATOS!$E19356,nASIG,DATOS!$I19356,nEVAL,"OR")=0))</f>
      </c>
      <c r="I19356">
        <f>IF(DATOS!$I19356="","",IFERROR(VLOOKUP(DATOS!$I19356,CONFIG_ASIGNATURAS!$B$2:$J$91,9,FALSE()),""))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IF(DATOS!$A19357="",0,IF(CONFIG_METADATA!$B$4&lt;&gt;"OR+EX",--(DATOS!$G19357=CONFIG_METADATA!$B$4),IF(DATOS!$G19357="EX",1,IF(DATOS!$G19357="OR",--(COUNTIFS(nNIA,DATOS!$A19357,nCURSO,DATOS!$D19357,nESPEC,DATOS!$E19357,nASIG,DATOS!$I19357,nEVAL,"EX")=0),0))))</f>
      </c>
      <c r="H19357">
        <f>IF(DATOS!$G19357&lt;&gt;"EX",0,--(COUNTIFS(nNIA,DATOS!$A19357,nCURSO,DATOS!$D19357,nESPEC,DATOS!$E19357,nASIG,DATOS!$I19357,nEVAL,"OR")=0))</f>
      </c>
      <c r="I19357">
        <f>IF(DATOS!$I19357="","",IFERROR(VLOOKUP(DATOS!$I19357,CONFIG_ASIGNATURAS!$B$2:$J$91,9,FALSE()),""))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IF(DATOS!$A19358="",0,IF(CONFIG_METADATA!$B$4&lt;&gt;"OR+EX",--(DATOS!$G19358=CONFIG_METADATA!$B$4),IF(DATOS!$G19358="EX",1,IF(DATOS!$G19358="OR",--(COUNTIFS(nNIA,DATOS!$A19358,nCURSO,DATOS!$D19358,nESPEC,DATOS!$E19358,nASIG,DATOS!$I19358,nEVAL,"EX")=0),0))))</f>
      </c>
      <c r="H19358">
        <f>IF(DATOS!$G19358&lt;&gt;"EX",0,--(COUNTIFS(nNIA,DATOS!$A19358,nCURSO,DATOS!$D19358,nESPEC,DATOS!$E19358,nASIG,DATOS!$I19358,nEVAL,"OR")=0))</f>
      </c>
      <c r="I19358">
        <f>IF(DATOS!$I19358="","",IFERROR(VLOOKUP(DATOS!$I19358,CONFIG_ASIGNATURAS!$B$2:$J$91,9,FALSE()),""))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IF(DATOS!$A19359="",0,IF(CONFIG_METADATA!$B$4&lt;&gt;"OR+EX",--(DATOS!$G19359=CONFIG_METADATA!$B$4),IF(DATOS!$G19359="EX",1,IF(DATOS!$G19359="OR",--(COUNTIFS(nNIA,DATOS!$A19359,nCURSO,DATOS!$D19359,nESPEC,DATOS!$E19359,nASIG,DATOS!$I19359,nEVAL,"EX")=0),0))))</f>
      </c>
      <c r="H19359">
        <f>IF(DATOS!$G19359&lt;&gt;"EX",0,--(COUNTIFS(nNIA,DATOS!$A19359,nCURSO,DATOS!$D19359,nESPEC,DATOS!$E19359,nASIG,DATOS!$I19359,nEVAL,"OR")=0))</f>
      </c>
      <c r="I19359">
        <f>IF(DATOS!$I19359="","",IFERROR(VLOOKUP(DATOS!$I19359,CONFIG_ASIGNATURAS!$B$2:$J$91,9,FALSE()),""))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IF(DATOS!$A19360="",0,IF(CONFIG_METADATA!$B$4&lt;&gt;"OR+EX",--(DATOS!$G19360=CONFIG_METADATA!$B$4),IF(DATOS!$G19360="EX",1,IF(DATOS!$G19360="OR",--(COUNTIFS(nNIA,DATOS!$A19360,nCURSO,DATOS!$D19360,nESPEC,DATOS!$E19360,nASIG,DATOS!$I19360,nEVAL,"EX")=0),0))))</f>
      </c>
      <c r="H19360">
        <f>IF(DATOS!$G19360&lt;&gt;"EX",0,--(COUNTIFS(nNIA,DATOS!$A19360,nCURSO,DATOS!$D19360,nESPEC,DATOS!$E19360,nASIG,DATOS!$I19360,nEVAL,"OR")=0))</f>
      </c>
      <c r="I19360">
        <f>IF(DATOS!$I19360="","",IFERROR(VLOOKUP(DATOS!$I19360,CONFIG_ASIGNATURAS!$B$2:$J$91,9,FALSE()),""))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IF(DATOS!$A19361="",0,IF(CONFIG_METADATA!$B$4&lt;&gt;"OR+EX",--(DATOS!$G19361=CONFIG_METADATA!$B$4),IF(DATOS!$G19361="EX",1,IF(DATOS!$G19361="OR",--(COUNTIFS(nNIA,DATOS!$A19361,nCURSO,DATOS!$D19361,nESPEC,DATOS!$E19361,nASIG,DATOS!$I19361,nEVAL,"EX")=0),0))))</f>
      </c>
      <c r="H19361">
        <f>IF(DATOS!$G19361&lt;&gt;"EX",0,--(COUNTIFS(nNIA,DATOS!$A19361,nCURSO,DATOS!$D19361,nESPEC,DATOS!$E19361,nASIG,DATOS!$I19361,nEVAL,"OR")=0))</f>
      </c>
      <c r="I19361">
        <f>IF(DATOS!$I19361="","",IFERROR(VLOOKUP(DATOS!$I19361,CONFIG_ASIGNATURAS!$B$2:$J$91,9,FALSE()),""))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IF(DATOS!$A19362="",0,IF(CONFIG_METADATA!$B$4&lt;&gt;"OR+EX",--(DATOS!$G19362=CONFIG_METADATA!$B$4),IF(DATOS!$G19362="EX",1,IF(DATOS!$G19362="OR",--(COUNTIFS(nNIA,DATOS!$A19362,nCURSO,DATOS!$D19362,nESPEC,DATOS!$E19362,nASIG,DATOS!$I19362,nEVAL,"EX")=0),0))))</f>
      </c>
      <c r="H19362">
        <f>IF(DATOS!$G19362&lt;&gt;"EX",0,--(COUNTIFS(nNIA,DATOS!$A19362,nCURSO,DATOS!$D19362,nESPEC,DATOS!$E19362,nASIG,DATOS!$I19362,nEVAL,"OR")=0))</f>
      </c>
      <c r="I19362">
        <f>IF(DATOS!$I19362="","",IFERROR(VLOOKUP(DATOS!$I19362,CONFIG_ASIGNATURAS!$B$2:$J$91,9,FALSE()),""))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IF(DATOS!$A19363="",0,IF(CONFIG_METADATA!$B$4&lt;&gt;"OR+EX",--(DATOS!$G19363=CONFIG_METADATA!$B$4),IF(DATOS!$G19363="EX",1,IF(DATOS!$G19363="OR",--(COUNTIFS(nNIA,DATOS!$A19363,nCURSO,DATOS!$D19363,nESPEC,DATOS!$E19363,nASIG,DATOS!$I19363,nEVAL,"EX")=0),0))))</f>
      </c>
      <c r="H19363">
        <f>IF(DATOS!$G19363&lt;&gt;"EX",0,--(COUNTIFS(nNIA,DATOS!$A19363,nCURSO,DATOS!$D19363,nESPEC,DATOS!$E19363,nASIG,DATOS!$I19363,nEVAL,"OR")=0))</f>
      </c>
      <c r="I19363">
        <f>IF(DATOS!$I19363="","",IFERROR(VLOOKUP(DATOS!$I19363,CONFIG_ASIGNATURAS!$B$2:$J$91,9,FALSE()),""))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IF(DATOS!$A19364="",0,IF(CONFIG_METADATA!$B$4&lt;&gt;"OR+EX",--(DATOS!$G19364=CONFIG_METADATA!$B$4),IF(DATOS!$G19364="EX",1,IF(DATOS!$G19364="OR",--(COUNTIFS(nNIA,DATOS!$A19364,nCURSO,DATOS!$D19364,nESPEC,DATOS!$E19364,nASIG,DATOS!$I19364,nEVAL,"EX")=0),0))))</f>
      </c>
      <c r="H19364">
        <f>IF(DATOS!$G19364&lt;&gt;"EX",0,--(COUNTIFS(nNIA,DATOS!$A19364,nCURSO,DATOS!$D19364,nESPEC,DATOS!$E19364,nASIG,DATOS!$I19364,nEVAL,"OR")=0))</f>
      </c>
      <c r="I19364">
        <f>IF(DATOS!$I19364="","",IFERROR(VLOOKUP(DATOS!$I19364,CONFIG_ASIGNATURAS!$B$2:$J$91,9,FALSE()),""))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IF(DATOS!$A19365="",0,IF(CONFIG_METADATA!$B$4&lt;&gt;"OR+EX",--(DATOS!$G19365=CONFIG_METADATA!$B$4),IF(DATOS!$G19365="EX",1,IF(DATOS!$G19365="OR",--(COUNTIFS(nNIA,DATOS!$A19365,nCURSO,DATOS!$D19365,nESPEC,DATOS!$E19365,nASIG,DATOS!$I19365,nEVAL,"EX")=0),0))))</f>
      </c>
      <c r="H19365">
        <f>IF(DATOS!$G19365&lt;&gt;"EX",0,--(COUNTIFS(nNIA,DATOS!$A19365,nCURSO,DATOS!$D19365,nESPEC,DATOS!$E19365,nASIG,DATOS!$I19365,nEVAL,"OR")=0))</f>
      </c>
      <c r="I19365">
        <f>IF(DATOS!$I19365="","",IFERROR(VLOOKUP(DATOS!$I19365,CONFIG_ASIGNATURAS!$B$2:$J$91,9,FALSE()),""))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IF(DATOS!$A19366="",0,IF(CONFIG_METADATA!$B$4&lt;&gt;"OR+EX",--(DATOS!$G19366=CONFIG_METADATA!$B$4),IF(DATOS!$G19366="EX",1,IF(DATOS!$G19366="OR",--(COUNTIFS(nNIA,DATOS!$A19366,nCURSO,DATOS!$D19366,nESPEC,DATOS!$E19366,nASIG,DATOS!$I19366,nEVAL,"EX")=0),0))))</f>
      </c>
      <c r="H19366">
        <f>IF(DATOS!$G19366&lt;&gt;"EX",0,--(COUNTIFS(nNIA,DATOS!$A19366,nCURSO,DATOS!$D19366,nESPEC,DATOS!$E19366,nASIG,DATOS!$I19366,nEVAL,"OR")=0))</f>
      </c>
      <c r="I19366">
        <f>IF(DATOS!$I19366="","",IFERROR(VLOOKUP(DATOS!$I19366,CONFIG_ASIGNATURAS!$B$2:$J$91,9,FALSE()),""))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IF(DATOS!$A19367="",0,IF(CONFIG_METADATA!$B$4&lt;&gt;"OR+EX",--(DATOS!$G19367=CONFIG_METADATA!$B$4),IF(DATOS!$G19367="EX",1,IF(DATOS!$G19367="OR",--(COUNTIFS(nNIA,DATOS!$A19367,nCURSO,DATOS!$D19367,nESPEC,DATOS!$E19367,nASIG,DATOS!$I19367,nEVAL,"EX")=0),0))))</f>
      </c>
      <c r="H19367">
        <f>IF(DATOS!$G19367&lt;&gt;"EX",0,--(COUNTIFS(nNIA,DATOS!$A19367,nCURSO,DATOS!$D19367,nESPEC,DATOS!$E19367,nASIG,DATOS!$I19367,nEVAL,"OR")=0))</f>
      </c>
      <c r="I19367">
        <f>IF(DATOS!$I19367="","",IFERROR(VLOOKUP(DATOS!$I19367,CONFIG_ASIGNATURAS!$B$2:$J$91,9,FALSE()),""))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IF(DATOS!$A19368="",0,IF(CONFIG_METADATA!$B$4&lt;&gt;"OR+EX",--(DATOS!$G19368=CONFIG_METADATA!$B$4),IF(DATOS!$G19368="EX",1,IF(DATOS!$G19368="OR",--(COUNTIFS(nNIA,DATOS!$A19368,nCURSO,DATOS!$D19368,nESPEC,DATOS!$E19368,nASIG,DATOS!$I19368,nEVAL,"EX")=0),0))))</f>
      </c>
      <c r="H19368">
        <f>IF(DATOS!$G19368&lt;&gt;"EX",0,--(COUNTIFS(nNIA,DATOS!$A19368,nCURSO,DATOS!$D19368,nESPEC,DATOS!$E19368,nASIG,DATOS!$I19368,nEVAL,"OR")=0))</f>
      </c>
      <c r="I19368">
        <f>IF(DATOS!$I19368="","",IFERROR(VLOOKUP(DATOS!$I19368,CONFIG_ASIGNATURAS!$B$2:$J$91,9,FALSE()),""))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IF(DATOS!$A19369="",0,IF(CONFIG_METADATA!$B$4&lt;&gt;"OR+EX",--(DATOS!$G19369=CONFIG_METADATA!$B$4),IF(DATOS!$G19369="EX",1,IF(DATOS!$G19369="OR",--(COUNTIFS(nNIA,DATOS!$A19369,nCURSO,DATOS!$D19369,nESPEC,DATOS!$E19369,nASIG,DATOS!$I19369,nEVAL,"EX")=0),0))))</f>
      </c>
      <c r="H19369">
        <f>IF(DATOS!$G19369&lt;&gt;"EX",0,--(COUNTIFS(nNIA,DATOS!$A19369,nCURSO,DATOS!$D19369,nESPEC,DATOS!$E19369,nASIG,DATOS!$I19369,nEVAL,"OR")=0))</f>
      </c>
      <c r="I19369">
        <f>IF(DATOS!$I19369="","",IFERROR(VLOOKUP(DATOS!$I19369,CONFIG_ASIGNATURAS!$B$2:$J$91,9,FALSE()),""))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IF(DATOS!$A19370="",0,IF(CONFIG_METADATA!$B$4&lt;&gt;"OR+EX",--(DATOS!$G19370=CONFIG_METADATA!$B$4),IF(DATOS!$G19370="EX",1,IF(DATOS!$G19370="OR",--(COUNTIFS(nNIA,DATOS!$A19370,nCURSO,DATOS!$D19370,nESPEC,DATOS!$E19370,nASIG,DATOS!$I19370,nEVAL,"EX")=0),0))))</f>
      </c>
      <c r="H19370">
        <f>IF(DATOS!$G19370&lt;&gt;"EX",0,--(COUNTIFS(nNIA,DATOS!$A19370,nCURSO,DATOS!$D19370,nESPEC,DATOS!$E19370,nASIG,DATOS!$I19370,nEVAL,"OR")=0))</f>
      </c>
      <c r="I19370">
        <f>IF(DATOS!$I19370="","",IFERROR(VLOOKUP(DATOS!$I19370,CONFIG_ASIGNATURAS!$B$2:$J$91,9,FALSE()),""))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IF(DATOS!$A19371="",0,IF(CONFIG_METADATA!$B$4&lt;&gt;"OR+EX",--(DATOS!$G19371=CONFIG_METADATA!$B$4),IF(DATOS!$G19371="EX",1,IF(DATOS!$G19371="OR",--(COUNTIFS(nNIA,DATOS!$A19371,nCURSO,DATOS!$D19371,nESPEC,DATOS!$E19371,nASIG,DATOS!$I19371,nEVAL,"EX")=0),0))))</f>
      </c>
      <c r="H19371">
        <f>IF(DATOS!$G19371&lt;&gt;"EX",0,--(COUNTIFS(nNIA,DATOS!$A19371,nCURSO,DATOS!$D19371,nESPEC,DATOS!$E19371,nASIG,DATOS!$I19371,nEVAL,"OR")=0))</f>
      </c>
      <c r="I19371">
        <f>IF(DATOS!$I19371="","",IFERROR(VLOOKUP(DATOS!$I19371,CONFIG_ASIGNATURAS!$B$2:$J$91,9,FALSE()),""))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IF(DATOS!$A19372="",0,IF(CONFIG_METADATA!$B$4&lt;&gt;"OR+EX",--(DATOS!$G19372=CONFIG_METADATA!$B$4),IF(DATOS!$G19372="EX",1,IF(DATOS!$G19372="OR",--(COUNTIFS(nNIA,DATOS!$A19372,nCURSO,DATOS!$D19372,nESPEC,DATOS!$E19372,nASIG,DATOS!$I19372,nEVAL,"EX")=0),0))))</f>
      </c>
      <c r="H19372">
        <f>IF(DATOS!$G19372&lt;&gt;"EX",0,--(COUNTIFS(nNIA,DATOS!$A19372,nCURSO,DATOS!$D19372,nESPEC,DATOS!$E19372,nASIG,DATOS!$I19372,nEVAL,"OR")=0))</f>
      </c>
      <c r="I19372">
        <f>IF(DATOS!$I19372="","",IFERROR(VLOOKUP(DATOS!$I19372,CONFIG_ASIGNATURAS!$B$2:$J$91,9,FALSE()),""))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IF(DATOS!$A19373="",0,IF(CONFIG_METADATA!$B$4&lt;&gt;"OR+EX",--(DATOS!$G19373=CONFIG_METADATA!$B$4),IF(DATOS!$G19373="EX",1,IF(DATOS!$G19373="OR",--(COUNTIFS(nNIA,DATOS!$A19373,nCURSO,DATOS!$D19373,nESPEC,DATOS!$E19373,nASIG,DATOS!$I19373,nEVAL,"EX")=0),0))))</f>
      </c>
      <c r="H19373">
        <f>IF(DATOS!$G19373&lt;&gt;"EX",0,--(COUNTIFS(nNIA,DATOS!$A19373,nCURSO,DATOS!$D19373,nESPEC,DATOS!$E19373,nASIG,DATOS!$I19373,nEVAL,"OR")=0))</f>
      </c>
      <c r="I19373">
        <f>IF(DATOS!$I19373="","",IFERROR(VLOOKUP(DATOS!$I19373,CONFIG_ASIGNATURAS!$B$2:$J$91,9,FALSE()),""))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IF(DATOS!$A19374="",0,IF(CONFIG_METADATA!$B$4&lt;&gt;"OR+EX",--(DATOS!$G19374=CONFIG_METADATA!$B$4),IF(DATOS!$G19374="EX",1,IF(DATOS!$G19374="OR",--(COUNTIFS(nNIA,DATOS!$A19374,nCURSO,DATOS!$D19374,nESPEC,DATOS!$E19374,nASIG,DATOS!$I19374,nEVAL,"EX")=0),0))))</f>
      </c>
      <c r="H19374">
        <f>IF(DATOS!$G19374&lt;&gt;"EX",0,--(COUNTIFS(nNIA,DATOS!$A19374,nCURSO,DATOS!$D19374,nESPEC,DATOS!$E19374,nASIG,DATOS!$I19374,nEVAL,"OR")=0))</f>
      </c>
      <c r="I19374">
        <f>IF(DATOS!$I19374="","",IFERROR(VLOOKUP(DATOS!$I19374,CONFIG_ASIGNATURAS!$B$2:$J$91,9,FALSE()),""))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IF(DATOS!$A19375="",0,IF(CONFIG_METADATA!$B$4&lt;&gt;"OR+EX",--(DATOS!$G19375=CONFIG_METADATA!$B$4),IF(DATOS!$G19375="EX",1,IF(DATOS!$G19375="OR",--(COUNTIFS(nNIA,DATOS!$A19375,nCURSO,DATOS!$D19375,nESPEC,DATOS!$E19375,nASIG,DATOS!$I19375,nEVAL,"EX")=0),0))))</f>
      </c>
      <c r="H19375">
        <f>IF(DATOS!$G19375&lt;&gt;"EX",0,--(COUNTIFS(nNIA,DATOS!$A19375,nCURSO,DATOS!$D19375,nESPEC,DATOS!$E19375,nASIG,DATOS!$I19375,nEVAL,"OR")=0))</f>
      </c>
      <c r="I19375">
        <f>IF(DATOS!$I19375="","",IFERROR(VLOOKUP(DATOS!$I19375,CONFIG_ASIGNATURAS!$B$2:$J$91,9,FALSE()),""))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IF(DATOS!$A19376="",0,IF(CONFIG_METADATA!$B$4&lt;&gt;"OR+EX",--(DATOS!$G19376=CONFIG_METADATA!$B$4),IF(DATOS!$G19376="EX",1,IF(DATOS!$G19376="OR",--(COUNTIFS(nNIA,DATOS!$A19376,nCURSO,DATOS!$D19376,nESPEC,DATOS!$E19376,nASIG,DATOS!$I19376,nEVAL,"EX")=0),0))))</f>
      </c>
      <c r="H19376">
        <f>IF(DATOS!$G19376&lt;&gt;"EX",0,--(COUNTIFS(nNIA,DATOS!$A19376,nCURSO,DATOS!$D19376,nESPEC,DATOS!$E19376,nASIG,DATOS!$I19376,nEVAL,"OR")=0))</f>
      </c>
      <c r="I19376">
        <f>IF(DATOS!$I19376="","",IFERROR(VLOOKUP(DATOS!$I19376,CONFIG_ASIGNATURAS!$B$2:$J$91,9,FALSE()),""))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IF(DATOS!$A19377="",0,IF(CONFIG_METADATA!$B$4&lt;&gt;"OR+EX",--(DATOS!$G19377=CONFIG_METADATA!$B$4),IF(DATOS!$G19377="EX",1,IF(DATOS!$G19377="OR",--(COUNTIFS(nNIA,DATOS!$A19377,nCURSO,DATOS!$D19377,nESPEC,DATOS!$E19377,nASIG,DATOS!$I19377,nEVAL,"EX")=0),0))))</f>
      </c>
      <c r="H19377">
        <f>IF(DATOS!$G19377&lt;&gt;"EX",0,--(COUNTIFS(nNIA,DATOS!$A19377,nCURSO,DATOS!$D19377,nESPEC,DATOS!$E19377,nASIG,DATOS!$I19377,nEVAL,"OR")=0))</f>
      </c>
      <c r="I19377">
        <f>IF(DATOS!$I19377="","",IFERROR(VLOOKUP(DATOS!$I19377,CONFIG_ASIGNATURAS!$B$2:$J$91,9,FALSE()),""))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IF(DATOS!$A19378="",0,IF(CONFIG_METADATA!$B$4&lt;&gt;"OR+EX",--(DATOS!$G19378=CONFIG_METADATA!$B$4),IF(DATOS!$G19378="EX",1,IF(DATOS!$G19378="OR",--(COUNTIFS(nNIA,DATOS!$A19378,nCURSO,DATOS!$D19378,nESPEC,DATOS!$E19378,nASIG,DATOS!$I19378,nEVAL,"EX")=0),0))))</f>
      </c>
      <c r="H19378">
        <f>IF(DATOS!$G19378&lt;&gt;"EX",0,--(COUNTIFS(nNIA,DATOS!$A19378,nCURSO,DATOS!$D19378,nESPEC,DATOS!$E19378,nASIG,DATOS!$I19378,nEVAL,"OR")=0))</f>
      </c>
      <c r="I19378">
        <f>IF(DATOS!$I19378="","",IFERROR(VLOOKUP(DATOS!$I19378,CONFIG_ASIGNATURAS!$B$2:$J$91,9,FALSE()),""))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IF(DATOS!$A19379="",0,IF(CONFIG_METADATA!$B$4&lt;&gt;"OR+EX",--(DATOS!$G19379=CONFIG_METADATA!$B$4),IF(DATOS!$G19379="EX",1,IF(DATOS!$G19379="OR",--(COUNTIFS(nNIA,DATOS!$A19379,nCURSO,DATOS!$D19379,nESPEC,DATOS!$E19379,nASIG,DATOS!$I19379,nEVAL,"EX")=0),0))))</f>
      </c>
      <c r="H19379">
        <f>IF(DATOS!$G19379&lt;&gt;"EX",0,--(COUNTIFS(nNIA,DATOS!$A19379,nCURSO,DATOS!$D19379,nESPEC,DATOS!$E19379,nASIG,DATOS!$I19379,nEVAL,"OR")=0))</f>
      </c>
      <c r="I19379">
        <f>IF(DATOS!$I19379="","",IFERROR(VLOOKUP(DATOS!$I19379,CONFIG_ASIGNATURAS!$B$2:$J$91,9,FALSE()),""))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IF(DATOS!$A19380="",0,IF(CONFIG_METADATA!$B$4&lt;&gt;"OR+EX",--(DATOS!$G19380=CONFIG_METADATA!$B$4),IF(DATOS!$G19380="EX",1,IF(DATOS!$G19380="OR",--(COUNTIFS(nNIA,DATOS!$A19380,nCURSO,DATOS!$D19380,nESPEC,DATOS!$E19380,nASIG,DATOS!$I19380,nEVAL,"EX")=0),0))))</f>
      </c>
      <c r="H19380">
        <f>IF(DATOS!$G19380&lt;&gt;"EX",0,--(COUNTIFS(nNIA,DATOS!$A19380,nCURSO,DATOS!$D19380,nESPEC,DATOS!$E19380,nASIG,DATOS!$I19380,nEVAL,"OR")=0))</f>
      </c>
      <c r="I19380">
        <f>IF(DATOS!$I19380="","",IFERROR(VLOOKUP(DATOS!$I19380,CONFIG_ASIGNATURAS!$B$2:$J$91,9,FALSE()),""))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IF(DATOS!$A19381="",0,IF(CONFIG_METADATA!$B$4&lt;&gt;"OR+EX",--(DATOS!$G19381=CONFIG_METADATA!$B$4),IF(DATOS!$G19381="EX",1,IF(DATOS!$G19381="OR",--(COUNTIFS(nNIA,DATOS!$A19381,nCURSO,DATOS!$D19381,nESPEC,DATOS!$E19381,nASIG,DATOS!$I19381,nEVAL,"EX")=0),0))))</f>
      </c>
      <c r="H19381">
        <f>IF(DATOS!$G19381&lt;&gt;"EX",0,--(COUNTIFS(nNIA,DATOS!$A19381,nCURSO,DATOS!$D19381,nESPEC,DATOS!$E19381,nASIG,DATOS!$I19381,nEVAL,"OR")=0))</f>
      </c>
      <c r="I19381">
        <f>IF(DATOS!$I19381="","",IFERROR(VLOOKUP(DATOS!$I19381,CONFIG_ASIGNATURAS!$B$2:$J$91,9,FALSE()),""))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IF(DATOS!$A19382="",0,IF(CONFIG_METADATA!$B$4&lt;&gt;"OR+EX",--(DATOS!$G19382=CONFIG_METADATA!$B$4),IF(DATOS!$G19382="EX",1,IF(DATOS!$G19382="OR",--(COUNTIFS(nNIA,DATOS!$A19382,nCURSO,DATOS!$D19382,nESPEC,DATOS!$E19382,nASIG,DATOS!$I19382,nEVAL,"EX")=0),0))))</f>
      </c>
      <c r="H19382">
        <f>IF(DATOS!$G19382&lt;&gt;"EX",0,--(COUNTIFS(nNIA,DATOS!$A19382,nCURSO,DATOS!$D19382,nESPEC,DATOS!$E19382,nASIG,DATOS!$I19382,nEVAL,"OR")=0))</f>
      </c>
      <c r="I19382">
        <f>IF(DATOS!$I19382="","",IFERROR(VLOOKUP(DATOS!$I19382,CONFIG_ASIGNATURAS!$B$2:$J$91,9,FALSE()),""))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IF(DATOS!$A19383="",0,IF(CONFIG_METADATA!$B$4&lt;&gt;"OR+EX",--(DATOS!$G19383=CONFIG_METADATA!$B$4),IF(DATOS!$G19383="EX",1,IF(DATOS!$G19383="OR",--(COUNTIFS(nNIA,DATOS!$A19383,nCURSO,DATOS!$D19383,nESPEC,DATOS!$E19383,nASIG,DATOS!$I19383,nEVAL,"EX")=0),0))))</f>
      </c>
      <c r="H19383">
        <f>IF(DATOS!$G19383&lt;&gt;"EX",0,--(COUNTIFS(nNIA,DATOS!$A19383,nCURSO,DATOS!$D19383,nESPEC,DATOS!$E19383,nASIG,DATOS!$I19383,nEVAL,"OR")=0))</f>
      </c>
      <c r="I19383">
        <f>IF(DATOS!$I19383="","",IFERROR(VLOOKUP(DATOS!$I19383,CONFIG_ASIGNATURAS!$B$2:$J$91,9,FALSE()),""))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IF(DATOS!$A19384="",0,IF(CONFIG_METADATA!$B$4&lt;&gt;"OR+EX",--(DATOS!$G19384=CONFIG_METADATA!$B$4),IF(DATOS!$G19384="EX",1,IF(DATOS!$G19384="OR",--(COUNTIFS(nNIA,DATOS!$A19384,nCURSO,DATOS!$D19384,nESPEC,DATOS!$E19384,nASIG,DATOS!$I19384,nEVAL,"EX")=0),0))))</f>
      </c>
      <c r="H19384">
        <f>IF(DATOS!$G19384&lt;&gt;"EX",0,--(COUNTIFS(nNIA,DATOS!$A19384,nCURSO,DATOS!$D19384,nESPEC,DATOS!$E19384,nASIG,DATOS!$I19384,nEVAL,"OR")=0))</f>
      </c>
      <c r="I19384">
        <f>IF(DATOS!$I19384="","",IFERROR(VLOOKUP(DATOS!$I19384,CONFIG_ASIGNATURAS!$B$2:$J$91,9,FALSE()),""))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IF(DATOS!$A19385="",0,IF(CONFIG_METADATA!$B$4&lt;&gt;"OR+EX",--(DATOS!$G19385=CONFIG_METADATA!$B$4),IF(DATOS!$G19385="EX",1,IF(DATOS!$G19385="OR",--(COUNTIFS(nNIA,DATOS!$A19385,nCURSO,DATOS!$D19385,nESPEC,DATOS!$E19385,nASIG,DATOS!$I19385,nEVAL,"EX")=0),0))))</f>
      </c>
      <c r="H19385">
        <f>IF(DATOS!$G19385&lt;&gt;"EX",0,--(COUNTIFS(nNIA,DATOS!$A19385,nCURSO,DATOS!$D19385,nESPEC,DATOS!$E19385,nASIG,DATOS!$I19385,nEVAL,"OR")=0))</f>
      </c>
      <c r="I19385">
        <f>IF(DATOS!$I19385="","",IFERROR(VLOOKUP(DATOS!$I19385,CONFIG_ASIGNATURAS!$B$2:$J$91,9,FALSE()),""))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IF(DATOS!$A19386="",0,IF(CONFIG_METADATA!$B$4&lt;&gt;"OR+EX",--(DATOS!$G19386=CONFIG_METADATA!$B$4),IF(DATOS!$G19386="EX",1,IF(DATOS!$G19386="OR",--(COUNTIFS(nNIA,DATOS!$A19386,nCURSO,DATOS!$D19386,nESPEC,DATOS!$E19386,nASIG,DATOS!$I19386,nEVAL,"EX")=0),0))))</f>
      </c>
      <c r="H19386">
        <f>IF(DATOS!$G19386&lt;&gt;"EX",0,--(COUNTIFS(nNIA,DATOS!$A19386,nCURSO,DATOS!$D19386,nESPEC,DATOS!$E19386,nASIG,DATOS!$I19386,nEVAL,"OR")=0))</f>
      </c>
      <c r="I19386">
        <f>IF(DATOS!$I19386="","",IFERROR(VLOOKUP(DATOS!$I19386,CONFIG_ASIGNATURAS!$B$2:$J$91,9,FALSE()),""))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IF(DATOS!$A19387="",0,IF(CONFIG_METADATA!$B$4&lt;&gt;"OR+EX",--(DATOS!$G19387=CONFIG_METADATA!$B$4),IF(DATOS!$G19387="EX",1,IF(DATOS!$G19387="OR",--(COUNTIFS(nNIA,DATOS!$A19387,nCURSO,DATOS!$D19387,nESPEC,DATOS!$E19387,nASIG,DATOS!$I19387,nEVAL,"EX")=0),0))))</f>
      </c>
      <c r="H19387">
        <f>IF(DATOS!$G19387&lt;&gt;"EX",0,--(COUNTIFS(nNIA,DATOS!$A19387,nCURSO,DATOS!$D19387,nESPEC,DATOS!$E19387,nASIG,DATOS!$I19387,nEVAL,"OR")=0))</f>
      </c>
      <c r="I19387">
        <f>IF(DATOS!$I19387="","",IFERROR(VLOOKUP(DATOS!$I19387,CONFIG_ASIGNATURAS!$B$2:$J$91,9,FALSE()),""))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IF(DATOS!$A19388="",0,IF(CONFIG_METADATA!$B$4&lt;&gt;"OR+EX",--(DATOS!$G19388=CONFIG_METADATA!$B$4),IF(DATOS!$G19388="EX",1,IF(DATOS!$G19388="OR",--(COUNTIFS(nNIA,DATOS!$A19388,nCURSO,DATOS!$D19388,nESPEC,DATOS!$E19388,nASIG,DATOS!$I19388,nEVAL,"EX")=0),0))))</f>
      </c>
      <c r="H19388">
        <f>IF(DATOS!$G19388&lt;&gt;"EX",0,--(COUNTIFS(nNIA,DATOS!$A19388,nCURSO,DATOS!$D19388,nESPEC,DATOS!$E19388,nASIG,DATOS!$I19388,nEVAL,"OR")=0))</f>
      </c>
      <c r="I19388">
        <f>IF(DATOS!$I19388="","",IFERROR(VLOOKUP(DATOS!$I19388,CONFIG_ASIGNATURAS!$B$2:$J$91,9,FALSE()),""))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IF(DATOS!$A19389="",0,IF(CONFIG_METADATA!$B$4&lt;&gt;"OR+EX",--(DATOS!$G19389=CONFIG_METADATA!$B$4),IF(DATOS!$G19389="EX",1,IF(DATOS!$G19389="OR",--(COUNTIFS(nNIA,DATOS!$A19389,nCURSO,DATOS!$D19389,nESPEC,DATOS!$E19389,nASIG,DATOS!$I19389,nEVAL,"EX")=0),0))))</f>
      </c>
      <c r="H19389">
        <f>IF(DATOS!$G19389&lt;&gt;"EX",0,--(COUNTIFS(nNIA,DATOS!$A19389,nCURSO,DATOS!$D19389,nESPEC,DATOS!$E19389,nASIG,DATOS!$I19389,nEVAL,"OR")=0))</f>
      </c>
      <c r="I19389">
        <f>IF(DATOS!$I19389="","",IFERROR(VLOOKUP(DATOS!$I19389,CONFIG_ASIGNATURAS!$B$2:$J$91,9,FALSE()),""))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IF(DATOS!$A19390="",0,IF(CONFIG_METADATA!$B$4&lt;&gt;"OR+EX",--(DATOS!$G19390=CONFIG_METADATA!$B$4),IF(DATOS!$G19390="EX",1,IF(DATOS!$G19390="OR",--(COUNTIFS(nNIA,DATOS!$A19390,nCURSO,DATOS!$D19390,nESPEC,DATOS!$E19390,nASIG,DATOS!$I19390,nEVAL,"EX")=0),0))))</f>
      </c>
      <c r="H19390">
        <f>IF(DATOS!$G19390&lt;&gt;"EX",0,--(COUNTIFS(nNIA,DATOS!$A19390,nCURSO,DATOS!$D19390,nESPEC,DATOS!$E19390,nASIG,DATOS!$I19390,nEVAL,"OR")=0))</f>
      </c>
      <c r="I19390">
        <f>IF(DATOS!$I19390="","",IFERROR(VLOOKUP(DATOS!$I19390,CONFIG_ASIGNATURAS!$B$2:$J$91,9,FALSE()),""))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IF(DATOS!$A19391="",0,IF(CONFIG_METADATA!$B$4&lt;&gt;"OR+EX",--(DATOS!$G19391=CONFIG_METADATA!$B$4),IF(DATOS!$G19391="EX",1,IF(DATOS!$G19391="OR",--(COUNTIFS(nNIA,DATOS!$A19391,nCURSO,DATOS!$D19391,nESPEC,DATOS!$E19391,nASIG,DATOS!$I19391,nEVAL,"EX")=0),0))))</f>
      </c>
      <c r="H19391">
        <f>IF(DATOS!$G19391&lt;&gt;"EX",0,--(COUNTIFS(nNIA,DATOS!$A19391,nCURSO,DATOS!$D19391,nESPEC,DATOS!$E19391,nASIG,DATOS!$I19391,nEVAL,"OR")=0))</f>
      </c>
      <c r="I19391">
        <f>IF(DATOS!$I19391="","",IFERROR(VLOOKUP(DATOS!$I19391,CONFIG_ASIGNATURAS!$B$2:$J$91,9,FALSE()),""))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IF(DATOS!$A19392="",0,IF(CONFIG_METADATA!$B$4&lt;&gt;"OR+EX",--(DATOS!$G19392=CONFIG_METADATA!$B$4),IF(DATOS!$G19392="EX",1,IF(DATOS!$G19392="OR",--(COUNTIFS(nNIA,DATOS!$A19392,nCURSO,DATOS!$D19392,nESPEC,DATOS!$E19392,nASIG,DATOS!$I19392,nEVAL,"EX")=0),0))))</f>
      </c>
      <c r="H19392">
        <f>IF(DATOS!$G19392&lt;&gt;"EX",0,--(COUNTIFS(nNIA,DATOS!$A19392,nCURSO,DATOS!$D19392,nESPEC,DATOS!$E19392,nASIG,DATOS!$I19392,nEVAL,"OR")=0))</f>
      </c>
      <c r="I19392">
        <f>IF(DATOS!$I19392="","",IFERROR(VLOOKUP(DATOS!$I19392,CONFIG_ASIGNATURAS!$B$2:$J$91,9,FALSE()),""))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IF(DATOS!$A19393="",0,IF(CONFIG_METADATA!$B$4&lt;&gt;"OR+EX",--(DATOS!$G19393=CONFIG_METADATA!$B$4),IF(DATOS!$G19393="EX",1,IF(DATOS!$G19393="OR",--(COUNTIFS(nNIA,DATOS!$A19393,nCURSO,DATOS!$D19393,nESPEC,DATOS!$E19393,nASIG,DATOS!$I19393,nEVAL,"EX")=0),0))))</f>
      </c>
      <c r="H19393">
        <f>IF(DATOS!$G19393&lt;&gt;"EX",0,--(COUNTIFS(nNIA,DATOS!$A19393,nCURSO,DATOS!$D19393,nESPEC,DATOS!$E19393,nASIG,DATOS!$I19393,nEVAL,"OR")=0))</f>
      </c>
      <c r="I19393">
        <f>IF(DATOS!$I19393="","",IFERROR(VLOOKUP(DATOS!$I19393,CONFIG_ASIGNATURAS!$B$2:$J$91,9,FALSE()),""))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IF(DATOS!$A19394="",0,IF(CONFIG_METADATA!$B$4&lt;&gt;"OR+EX",--(DATOS!$G19394=CONFIG_METADATA!$B$4),IF(DATOS!$G19394="EX",1,IF(DATOS!$G19394="OR",--(COUNTIFS(nNIA,DATOS!$A19394,nCURSO,DATOS!$D19394,nESPEC,DATOS!$E19394,nASIG,DATOS!$I19394,nEVAL,"EX")=0),0))))</f>
      </c>
      <c r="H19394">
        <f>IF(DATOS!$G19394&lt;&gt;"EX",0,--(COUNTIFS(nNIA,DATOS!$A19394,nCURSO,DATOS!$D19394,nESPEC,DATOS!$E19394,nASIG,DATOS!$I19394,nEVAL,"OR")=0))</f>
      </c>
      <c r="I19394">
        <f>IF(DATOS!$I19394="","",IFERROR(VLOOKUP(DATOS!$I19394,CONFIG_ASIGNATURAS!$B$2:$J$91,9,FALSE()),""))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IF(DATOS!$A19395="",0,IF(CONFIG_METADATA!$B$4&lt;&gt;"OR+EX",--(DATOS!$G19395=CONFIG_METADATA!$B$4),IF(DATOS!$G19395="EX",1,IF(DATOS!$G19395="OR",--(COUNTIFS(nNIA,DATOS!$A19395,nCURSO,DATOS!$D19395,nESPEC,DATOS!$E19395,nASIG,DATOS!$I19395,nEVAL,"EX")=0),0))))</f>
      </c>
      <c r="H19395">
        <f>IF(DATOS!$G19395&lt;&gt;"EX",0,--(COUNTIFS(nNIA,DATOS!$A19395,nCURSO,DATOS!$D19395,nESPEC,DATOS!$E19395,nASIG,DATOS!$I19395,nEVAL,"OR")=0))</f>
      </c>
      <c r="I19395">
        <f>IF(DATOS!$I19395="","",IFERROR(VLOOKUP(DATOS!$I19395,CONFIG_ASIGNATURAS!$B$2:$J$91,9,FALSE()),""))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IF(DATOS!$A19396="",0,IF(CONFIG_METADATA!$B$4&lt;&gt;"OR+EX",--(DATOS!$G19396=CONFIG_METADATA!$B$4),IF(DATOS!$G19396="EX",1,IF(DATOS!$G19396="OR",--(COUNTIFS(nNIA,DATOS!$A19396,nCURSO,DATOS!$D19396,nESPEC,DATOS!$E19396,nASIG,DATOS!$I19396,nEVAL,"EX")=0),0))))</f>
      </c>
      <c r="H19396">
        <f>IF(DATOS!$G19396&lt;&gt;"EX",0,--(COUNTIFS(nNIA,DATOS!$A19396,nCURSO,DATOS!$D19396,nESPEC,DATOS!$E19396,nASIG,DATOS!$I19396,nEVAL,"OR")=0))</f>
      </c>
      <c r="I19396">
        <f>IF(DATOS!$I19396="","",IFERROR(VLOOKUP(DATOS!$I19396,CONFIG_ASIGNATURAS!$B$2:$J$91,9,FALSE()),""))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IF(DATOS!$A19397="",0,IF(CONFIG_METADATA!$B$4&lt;&gt;"OR+EX",--(DATOS!$G19397=CONFIG_METADATA!$B$4),IF(DATOS!$G19397="EX",1,IF(DATOS!$G19397="OR",--(COUNTIFS(nNIA,DATOS!$A19397,nCURSO,DATOS!$D19397,nESPEC,DATOS!$E19397,nASIG,DATOS!$I19397,nEVAL,"EX")=0),0))))</f>
      </c>
      <c r="H19397">
        <f>IF(DATOS!$G19397&lt;&gt;"EX",0,--(COUNTIFS(nNIA,DATOS!$A19397,nCURSO,DATOS!$D19397,nESPEC,DATOS!$E19397,nASIG,DATOS!$I19397,nEVAL,"OR")=0))</f>
      </c>
      <c r="I19397">
        <f>IF(DATOS!$I19397="","",IFERROR(VLOOKUP(DATOS!$I19397,CONFIG_ASIGNATURAS!$B$2:$J$91,9,FALSE()),""))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IF(DATOS!$A19398="",0,IF(CONFIG_METADATA!$B$4&lt;&gt;"OR+EX",--(DATOS!$G19398=CONFIG_METADATA!$B$4),IF(DATOS!$G19398="EX",1,IF(DATOS!$G19398="OR",--(COUNTIFS(nNIA,DATOS!$A19398,nCURSO,DATOS!$D19398,nESPEC,DATOS!$E19398,nASIG,DATOS!$I19398,nEVAL,"EX")=0),0))))</f>
      </c>
      <c r="H19398">
        <f>IF(DATOS!$G19398&lt;&gt;"EX",0,--(COUNTIFS(nNIA,DATOS!$A19398,nCURSO,DATOS!$D19398,nESPEC,DATOS!$E19398,nASIG,DATOS!$I19398,nEVAL,"OR")=0))</f>
      </c>
      <c r="I19398">
        <f>IF(DATOS!$I19398="","",IFERROR(VLOOKUP(DATOS!$I19398,CONFIG_ASIGNATURAS!$B$2:$J$91,9,FALSE()),""))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IF(DATOS!$A19399="",0,IF(CONFIG_METADATA!$B$4&lt;&gt;"OR+EX",--(DATOS!$G19399=CONFIG_METADATA!$B$4),IF(DATOS!$G19399="EX",1,IF(DATOS!$G19399="OR",--(COUNTIFS(nNIA,DATOS!$A19399,nCURSO,DATOS!$D19399,nESPEC,DATOS!$E19399,nASIG,DATOS!$I19399,nEVAL,"EX")=0),0))))</f>
      </c>
      <c r="H19399">
        <f>IF(DATOS!$G19399&lt;&gt;"EX",0,--(COUNTIFS(nNIA,DATOS!$A19399,nCURSO,DATOS!$D19399,nESPEC,DATOS!$E19399,nASIG,DATOS!$I19399,nEVAL,"OR")=0))</f>
      </c>
      <c r="I19399">
        <f>IF(DATOS!$I19399="","",IFERROR(VLOOKUP(DATOS!$I19399,CONFIG_ASIGNATURAS!$B$2:$J$91,9,FALSE()),""))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IF(DATOS!$A19400="",0,IF(CONFIG_METADATA!$B$4&lt;&gt;"OR+EX",--(DATOS!$G19400=CONFIG_METADATA!$B$4),IF(DATOS!$G19400="EX",1,IF(DATOS!$G19400="OR",--(COUNTIFS(nNIA,DATOS!$A19400,nCURSO,DATOS!$D19400,nESPEC,DATOS!$E19400,nASIG,DATOS!$I19400,nEVAL,"EX")=0),0))))</f>
      </c>
      <c r="H19400">
        <f>IF(DATOS!$G19400&lt;&gt;"EX",0,--(COUNTIFS(nNIA,DATOS!$A19400,nCURSO,DATOS!$D19400,nESPEC,DATOS!$E19400,nASIG,DATOS!$I19400,nEVAL,"OR")=0))</f>
      </c>
      <c r="I19400">
        <f>IF(DATOS!$I19400="","",IFERROR(VLOOKUP(DATOS!$I19400,CONFIG_ASIGNATURAS!$B$2:$J$91,9,FALSE()),""))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IF(DATOS!$A19401="",0,IF(CONFIG_METADATA!$B$4&lt;&gt;"OR+EX",--(DATOS!$G19401=CONFIG_METADATA!$B$4),IF(DATOS!$G19401="EX",1,IF(DATOS!$G19401="OR",--(COUNTIFS(nNIA,DATOS!$A19401,nCURSO,DATOS!$D19401,nESPEC,DATOS!$E19401,nASIG,DATOS!$I19401,nEVAL,"EX")=0),0))))</f>
      </c>
      <c r="H19401">
        <f>IF(DATOS!$G19401&lt;&gt;"EX",0,--(COUNTIFS(nNIA,DATOS!$A19401,nCURSO,DATOS!$D19401,nESPEC,DATOS!$E19401,nASIG,DATOS!$I19401,nEVAL,"OR")=0))</f>
      </c>
      <c r="I19401">
        <f>IF(DATOS!$I19401="","",IFERROR(VLOOKUP(DATOS!$I19401,CONFIG_ASIGNATURAS!$B$2:$J$91,9,FALSE()),""))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IF(DATOS!$A19402="",0,IF(CONFIG_METADATA!$B$4&lt;&gt;"OR+EX",--(DATOS!$G19402=CONFIG_METADATA!$B$4),IF(DATOS!$G19402="EX",1,IF(DATOS!$G19402="OR",--(COUNTIFS(nNIA,DATOS!$A19402,nCURSO,DATOS!$D19402,nESPEC,DATOS!$E19402,nASIG,DATOS!$I19402,nEVAL,"EX")=0),0))))</f>
      </c>
      <c r="H19402">
        <f>IF(DATOS!$G19402&lt;&gt;"EX",0,--(COUNTIFS(nNIA,DATOS!$A19402,nCURSO,DATOS!$D19402,nESPEC,DATOS!$E19402,nASIG,DATOS!$I19402,nEVAL,"OR")=0))</f>
      </c>
      <c r="I19402">
        <f>IF(DATOS!$I19402="","",IFERROR(VLOOKUP(DATOS!$I19402,CONFIG_ASIGNATURAS!$B$2:$J$91,9,FALSE()),""))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IF(DATOS!$A19403="",0,IF(CONFIG_METADATA!$B$4&lt;&gt;"OR+EX",--(DATOS!$G19403=CONFIG_METADATA!$B$4),IF(DATOS!$G19403="EX",1,IF(DATOS!$G19403="OR",--(COUNTIFS(nNIA,DATOS!$A19403,nCURSO,DATOS!$D19403,nESPEC,DATOS!$E19403,nASIG,DATOS!$I19403,nEVAL,"EX")=0),0))))</f>
      </c>
      <c r="H19403">
        <f>IF(DATOS!$G19403&lt;&gt;"EX",0,--(COUNTIFS(nNIA,DATOS!$A19403,nCURSO,DATOS!$D19403,nESPEC,DATOS!$E19403,nASIG,DATOS!$I19403,nEVAL,"OR")=0))</f>
      </c>
      <c r="I19403">
        <f>IF(DATOS!$I19403="","",IFERROR(VLOOKUP(DATOS!$I19403,CONFIG_ASIGNATURAS!$B$2:$J$91,9,FALSE()),""))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IF(DATOS!$A19404="",0,IF(CONFIG_METADATA!$B$4&lt;&gt;"OR+EX",--(DATOS!$G19404=CONFIG_METADATA!$B$4),IF(DATOS!$G19404="EX",1,IF(DATOS!$G19404="OR",--(COUNTIFS(nNIA,DATOS!$A19404,nCURSO,DATOS!$D19404,nESPEC,DATOS!$E19404,nASIG,DATOS!$I19404,nEVAL,"EX")=0),0))))</f>
      </c>
      <c r="H19404">
        <f>IF(DATOS!$G19404&lt;&gt;"EX",0,--(COUNTIFS(nNIA,DATOS!$A19404,nCURSO,DATOS!$D19404,nESPEC,DATOS!$E19404,nASIG,DATOS!$I19404,nEVAL,"OR")=0))</f>
      </c>
      <c r="I19404">
        <f>IF(DATOS!$I19404="","",IFERROR(VLOOKUP(DATOS!$I19404,CONFIG_ASIGNATURAS!$B$2:$J$91,9,FALSE()),""))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IF(DATOS!$A19405="",0,IF(CONFIG_METADATA!$B$4&lt;&gt;"OR+EX",--(DATOS!$G19405=CONFIG_METADATA!$B$4),IF(DATOS!$G19405="EX",1,IF(DATOS!$G19405="OR",--(COUNTIFS(nNIA,DATOS!$A19405,nCURSO,DATOS!$D19405,nESPEC,DATOS!$E19405,nASIG,DATOS!$I19405,nEVAL,"EX")=0),0))))</f>
      </c>
      <c r="H19405">
        <f>IF(DATOS!$G19405&lt;&gt;"EX",0,--(COUNTIFS(nNIA,DATOS!$A19405,nCURSO,DATOS!$D19405,nESPEC,DATOS!$E19405,nASIG,DATOS!$I19405,nEVAL,"OR")=0))</f>
      </c>
      <c r="I19405">
        <f>IF(DATOS!$I19405="","",IFERROR(VLOOKUP(DATOS!$I19405,CONFIG_ASIGNATURAS!$B$2:$J$91,9,FALSE()),""))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IF(DATOS!$A19406="",0,IF(CONFIG_METADATA!$B$4&lt;&gt;"OR+EX",--(DATOS!$G19406=CONFIG_METADATA!$B$4),IF(DATOS!$G19406="EX",1,IF(DATOS!$G19406="OR",--(COUNTIFS(nNIA,DATOS!$A19406,nCURSO,DATOS!$D19406,nESPEC,DATOS!$E19406,nASIG,DATOS!$I19406,nEVAL,"EX")=0),0))))</f>
      </c>
      <c r="H19406">
        <f>IF(DATOS!$G19406&lt;&gt;"EX",0,--(COUNTIFS(nNIA,DATOS!$A19406,nCURSO,DATOS!$D19406,nESPEC,DATOS!$E19406,nASIG,DATOS!$I19406,nEVAL,"OR")=0))</f>
      </c>
      <c r="I19406">
        <f>IF(DATOS!$I19406="","",IFERROR(VLOOKUP(DATOS!$I19406,CONFIG_ASIGNATURAS!$B$2:$J$91,9,FALSE()),""))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IF(DATOS!$A19407="",0,IF(CONFIG_METADATA!$B$4&lt;&gt;"OR+EX",--(DATOS!$G19407=CONFIG_METADATA!$B$4),IF(DATOS!$G19407="EX",1,IF(DATOS!$G19407="OR",--(COUNTIFS(nNIA,DATOS!$A19407,nCURSO,DATOS!$D19407,nESPEC,DATOS!$E19407,nASIG,DATOS!$I19407,nEVAL,"EX")=0),0))))</f>
      </c>
      <c r="H19407">
        <f>IF(DATOS!$G19407&lt;&gt;"EX",0,--(COUNTIFS(nNIA,DATOS!$A19407,nCURSO,DATOS!$D19407,nESPEC,DATOS!$E19407,nASIG,DATOS!$I19407,nEVAL,"OR")=0))</f>
      </c>
      <c r="I19407">
        <f>IF(DATOS!$I19407="","",IFERROR(VLOOKUP(DATOS!$I19407,CONFIG_ASIGNATURAS!$B$2:$J$91,9,FALSE()),""))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IF(DATOS!$A19408="",0,IF(CONFIG_METADATA!$B$4&lt;&gt;"OR+EX",--(DATOS!$G19408=CONFIG_METADATA!$B$4),IF(DATOS!$G19408="EX",1,IF(DATOS!$G19408="OR",--(COUNTIFS(nNIA,DATOS!$A19408,nCURSO,DATOS!$D19408,nESPEC,DATOS!$E19408,nASIG,DATOS!$I19408,nEVAL,"EX")=0),0))))</f>
      </c>
      <c r="H19408">
        <f>IF(DATOS!$G19408&lt;&gt;"EX",0,--(COUNTIFS(nNIA,DATOS!$A19408,nCURSO,DATOS!$D19408,nESPEC,DATOS!$E19408,nASIG,DATOS!$I19408,nEVAL,"OR")=0))</f>
      </c>
      <c r="I19408">
        <f>IF(DATOS!$I19408="","",IFERROR(VLOOKUP(DATOS!$I19408,CONFIG_ASIGNATURAS!$B$2:$J$91,9,FALSE()),""))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IF(DATOS!$A19409="",0,IF(CONFIG_METADATA!$B$4&lt;&gt;"OR+EX",--(DATOS!$G19409=CONFIG_METADATA!$B$4),IF(DATOS!$G19409="EX",1,IF(DATOS!$G19409="OR",--(COUNTIFS(nNIA,DATOS!$A19409,nCURSO,DATOS!$D19409,nESPEC,DATOS!$E19409,nASIG,DATOS!$I19409,nEVAL,"EX")=0),0))))</f>
      </c>
      <c r="H19409">
        <f>IF(DATOS!$G19409&lt;&gt;"EX",0,--(COUNTIFS(nNIA,DATOS!$A19409,nCURSO,DATOS!$D19409,nESPEC,DATOS!$E19409,nASIG,DATOS!$I19409,nEVAL,"OR")=0))</f>
      </c>
      <c r="I19409">
        <f>IF(DATOS!$I19409="","",IFERROR(VLOOKUP(DATOS!$I19409,CONFIG_ASIGNATURAS!$B$2:$J$91,9,FALSE()),""))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IF(DATOS!$A19410="",0,IF(CONFIG_METADATA!$B$4&lt;&gt;"OR+EX",--(DATOS!$G19410=CONFIG_METADATA!$B$4),IF(DATOS!$G19410="EX",1,IF(DATOS!$G19410="OR",--(COUNTIFS(nNIA,DATOS!$A19410,nCURSO,DATOS!$D19410,nESPEC,DATOS!$E19410,nASIG,DATOS!$I19410,nEVAL,"EX")=0),0))))</f>
      </c>
      <c r="H19410">
        <f>IF(DATOS!$G19410&lt;&gt;"EX",0,--(COUNTIFS(nNIA,DATOS!$A19410,nCURSO,DATOS!$D19410,nESPEC,DATOS!$E19410,nASIG,DATOS!$I19410,nEVAL,"OR")=0))</f>
      </c>
      <c r="I19410">
        <f>IF(DATOS!$I19410="","",IFERROR(VLOOKUP(DATOS!$I19410,CONFIG_ASIGNATURAS!$B$2:$J$91,9,FALSE()),""))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IF(DATOS!$A19411="",0,IF(CONFIG_METADATA!$B$4&lt;&gt;"OR+EX",--(DATOS!$G19411=CONFIG_METADATA!$B$4),IF(DATOS!$G19411="EX",1,IF(DATOS!$G19411="OR",--(COUNTIFS(nNIA,DATOS!$A19411,nCURSO,DATOS!$D19411,nESPEC,DATOS!$E19411,nASIG,DATOS!$I19411,nEVAL,"EX")=0),0))))</f>
      </c>
      <c r="H19411">
        <f>IF(DATOS!$G19411&lt;&gt;"EX",0,--(COUNTIFS(nNIA,DATOS!$A19411,nCURSO,DATOS!$D19411,nESPEC,DATOS!$E19411,nASIG,DATOS!$I19411,nEVAL,"OR")=0))</f>
      </c>
      <c r="I19411">
        <f>IF(DATOS!$I19411="","",IFERROR(VLOOKUP(DATOS!$I19411,CONFIG_ASIGNATURAS!$B$2:$J$91,9,FALSE()),""))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IF(DATOS!$A19412="",0,IF(CONFIG_METADATA!$B$4&lt;&gt;"OR+EX",--(DATOS!$G19412=CONFIG_METADATA!$B$4),IF(DATOS!$G19412="EX",1,IF(DATOS!$G19412="OR",--(COUNTIFS(nNIA,DATOS!$A19412,nCURSO,DATOS!$D19412,nESPEC,DATOS!$E19412,nASIG,DATOS!$I19412,nEVAL,"EX")=0),0))))</f>
      </c>
      <c r="H19412">
        <f>IF(DATOS!$G19412&lt;&gt;"EX",0,--(COUNTIFS(nNIA,DATOS!$A19412,nCURSO,DATOS!$D19412,nESPEC,DATOS!$E19412,nASIG,DATOS!$I19412,nEVAL,"OR")=0))</f>
      </c>
      <c r="I19412">
        <f>IF(DATOS!$I19412="","",IFERROR(VLOOKUP(DATOS!$I19412,CONFIG_ASIGNATURAS!$B$2:$J$91,9,FALSE()),""))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IF(DATOS!$A19413="",0,IF(CONFIG_METADATA!$B$4&lt;&gt;"OR+EX",--(DATOS!$G19413=CONFIG_METADATA!$B$4),IF(DATOS!$G19413="EX",1,IF(DATOS!$G19413="OR",--(COUNTIFS(nNIA,DATOS!$A19413,nCURSO,DATOS!$D19413,nESPEC,DATOS!$E19413,nASIG,DATOS!$I19413,nEVAL,"EX")=0),0))))</f>
      </c>
      <c r="H19413">
        <f>IF(DATOS!$G19413&lt;&gt;"EX",0,--(COUNTIFS(nNIA,DATOS!$A19413,nCURSO,DATOS!$D19413,nESPEC,DATOS!$E19413,nASIG,DATOS!$I19413,nEVAL,"OR")=0))</f>
      </c>
      <c r="I19413">
        <f>IF(DATOS!$I19413="","",IFERROR(VLOOKUP(DATOS!$I19413,CONFIG_ASIGNATURAS!$B$2:$J$91,9,FALSE()),""))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IF(DATOS!$A19414="",0,IF(CONFIG_METADATA!$B$4&lt;&gt;"OR+EX",--(DATOS!$G19414=CONFIG_METADATA!$B$4),IF(DATOS!$G19414="EX",1,IF(DATOS!$G19414="OR",--(COUNTIFS(nNIA,DATOS!$A19414,nCURSO,DATOS!$D19414,nESPEC,DATOS!$E19414,nASIG,DATOS!$I19414,nEVAL,"EX")=0),0))))</f>
      </c>
      <c r="H19414">
        <f>IF(DATOS!$G19414&lt;&gt;"EX",0,--(COUNTIFS(nNIA,DATOS!$A19414,nCURSO,DATOS!$D19414,nESPEC,DATOS!$E19414,nASIG,DATOS!$I19414,nEVAL,"OR")=0))</f>
      </c>
      <c r="I19414">
        <f>IF(DATOS!$I19414="","",IFERROR(VLOOKUP(DATOS!$I19414,CONFIG_ASIGNATURAS!$B$2:$J$91,9,FALSE()),""))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IF(DATOS!$A19415="",0,IF(CONFIG_METADATA!$B$4&lt;&gt;"OR+EX",--(DATOS!$G19415=CONFIG_METADATA!$B$4),IF(DATOS!$G19415="EX",1,IF(DATOS!$G19415="OR",--(COUNTIFS(nNIA,DATOS!$A19415,nCURSO,DATOS!$D19415,nESPEC,DATOS!$E19415,nASIG,DATOS!$I19415,nEVAL,"EX")=0),0))))</f>
      </c>
      <c r="H19415">
        <f>IF(DATOS!$G19415&lt;&gt;"EX",0,--(COUNTIFS(nNIA,DATOS!$A19415,nCURSO,DATOS!$D19415,nESPEC,DATOS!$E19415,nASIG,DATOS!$I19415,nEVAL,"OR")=0))</f>
      </c>
      <c r="I19415">
        <f>IF(DATOS!$I19415="","",IFERROR(VLOOKUP(DATOS!$I19415,CONFIG_ASIGNATURAS!$B$2:$J$91,9,FALSE()),""))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IF(DATOS!$A19416="",0,IF(CONFIG_METADATA!$B$4&lt;&gt;"OR+EX",--(DATOS!$G19416=CONFIG_METADATA!$B$4),IF(DATOS!$G19416="EX",1,IF(DATOS!$G19416="OR",--(COUNTIFS(nNIA,DATOS!$A19416,nCURSO,DATOS!$D19416,nESPEC,DATOS!$E19416,nASIG,DATOS!$I19416,nEVAL,"EX")=0),0))))</f>
      </c>
      <c r="H19416">
        <f>IF(DATOS!$G19416&lt;&gt;"EX",0,--(COUNTIFS(nNIA,DATOS!$A19416,nCURSO,DATOS!$D19416,nESPEC,DATOS!$E19416,nASIG,DATOS!$I19416,nEVAL,"OR")=0))</f>
      </c>
      <c r="I19416">
        <f>IF(DATOS!$I19416="","",IFERROR(VLOOKUP(DATOS!$I19416,CONFIG_ASIGNATURAS!$B$2:$J$91,9,FALSE()),""))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IF(DATOS!$A19417="",0,IF(CONFIG_METADATA!$B$4&lt;&gt;"OR+EX",--(DATOS!$G19417=CONFIG_METADATA!$B$4),IF(DATOS!$G19417="EX",1,IF(DATOS!$G19417="OR",--(COUNTIFS(nNIA,DATOS!$A19417,nCURSO,DATOS!$D19417,nESPEC,DATOS!$E19417,nASIG,DATOS!$I19417,nEVAL,"EX")=0),0))))</f>
      </c>
      <c r="H19417">
        <f>IF(DATOS!$G19417&lt;&gt;"EX",0,--(COUNTIFS(nNIA,DATOS!$A19417,nCURSO,DATOS!$D19417,nESPEC,DATOS!$E19417,nASIG,DATOS!$I19417,nEVAL,"OR")=0))</f>
      </c>
      <c r="I19417">
        <f>IF(DATOS!$I19417="","",IFERROR(VLOOKUP(DATOS!$I19417,CONFIG_ASIGNATURAS!$B$2:$J$91,9,FALSE()),""))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IF(DATOS!$A19418="",0,IF(CONFIG_METADATA!$B$4&lt;&gt;"OR+EX",--(DATOS!$G19418=CONFIG_METADATA!$B$4),IF(DATOS!$G19418="EX",1,IF(DATOS!$G19418="OR",--(COUNTIFS(nNIA,DATOS!$A19418,nCURSO,DATOS!$D19418,nESPEC,DATOS!$E19418,nASIG,DATOS!$I19418,nEVAL,"EX")=0),0))))</f>
      </c>
      <c r="H19418">
        <f>IF(DATOS!$G19418&lt;&gt;"EX",0,--(COUNTIFS(nNIA,DATOS!$A19418,nCURSO,DATOS!$D19418,nESPEC,DATOS!$E19418,nASIG,DATOS!$I19418,nEVAL,"OR")=0))</f>
      </c>
      <c r="I19418">
        <f>IF(DATOS!$I19418="","",IFERROR(VLOOKUP(DATOS!$I19418,CONFIG_ASIGNATURAS!$B$2:$J$91,9,FALSE()),""))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IF(DATOS!$A19419="",0,IF(CONFIG_METADATA!$B$4&lt;&gt;"OR+EX",--(DATOS!$G19419=CONFIG_METADATA!$B$4),IF(DATOS!$G19419="EX",1,IF(DATOS!$G19419="OR",--(COUNTIFS(nNIA,DATOS!$A19419,nCURSO,DATOS!$D19419,nESPEC,DATOS!$E19419,nASIG,DATOS!$I19419,nEVAL,"EX")=0),0))))</f>
      </c>
      <c r="H19419">
        <f>IF(DATOS!$G19419&lt;&gt;"EX",0,--(COUNTIFS(nNIA,DATOS!$A19419,nCURSO,DATOS!$D19419,nESPEC,DATOS!$E19419,nASIG,DATOS!$I19419,nEVAL,"OR")=0))</f>
      </c>
      <c r="I19419">
        <f>IF(DATOS!$I19419="","",IFERROR(VLOOKUP(DATOS!$I19419,CONFIG_ASIGNATURAS!$B$2:$J$91,9,FALSE()),""))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IF(DATOS!$A19420="",0,IF(CONFIG_METADATA!$B$4&lt;&gt;"OR+EX",--(DATOS!$G19420=CONFIG_METADATA!$B$4),IF(DATOS!$G19420="EX",1,IF(DATOS!$G19420="OR",--(COUNTIFS(nNIA,DATOS!$A19420,nCURSO,DATOS!$D19420,nESPEC,DATOS!$E19420,nASIG,DATOS!$I19420,nEVAL,"EX")=0),0))))</f>
      </c>
      <c r="H19420">
        <f>IF(DATOS!$G19420&lt;&gt;"EX",0,--(COUNTIFS(nNIA,DATOS!$A19420,nCURSO,DATOS!$D19420,nESPEC,DATOS!$E19420,nASIG,DATOS!$I19420,nEVAL,"OR")=0))</f>
      </c>
      <c r="I19420">
        <f>IF(DATOS!$I19420="","",IFERROR(VLOOKUP(DATOS!$I19420,CONFIG_ASIGNATURAS!$B$2:$J$91,9,FALSE()),""))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IF(DATOS!$A19421="",0,IF(CONFIG_METADATA!$B$4&lt;&gt;"OR+EX",--(DATOS!$G19421=CONFIG_METADATA!$B$4),IF(DATOS!$G19421="EX",1,IF(DATOS!$G19421="OR",--(COUNTIFS(nNIA,DATOS!$A19421,nCURSO,DATOS!$D19421,nESPEC,DATOS!$E19421,nASIG,DATOS!$I19421,nEVAL,"EX")=0),0))))</f>
      </c>
      <c r="H19421">
        <f>IF(DATOS!$G19421&lt;&gt;"EX",0,--(COUNTIFS(nNIA,DATOS!$A19421,nCURSO,DATOS!$D19421,nESPEC,DATOS!$E19421,nASIG,DATOS!$I19421,nEVAL,"OR")=0))</f>
      </c>
      <c r="I19421">
        <f>IF(DATOS!$I19421="","",IFERROR(VLOOKUP(DATOS!$I19421,CONFIG_ASIGNATURAS!$B$2:$J$91,9,FALSE()),""))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IF(DATOS!$A19422="",0,IF(CONFIG_METADATA!$B$4&lt;&gt;"OR+EX",--(DATOS!$G19422=CONFIG_METADATA!$B$4),IF(DATOS!$G19422="EX",1,IF(DATOS!$G19422="OR",--(COUNTIFS(nNIA,DATOS!$A19422,nCURSO,DATOS!$D19422,nESPEC,DATOS!$E19422,nASIG,DATOS!$I19422,nEVAL,"EX")=0),0))))</f>
      </c>
      <c r="H19422">
        <f>IF(DATOS!$G19422&lt;&gt;"EX",0,--(COUNTIFS(nNIA,DATOS!$A19422,nCURSO,DATOS!$D19422,nESPEC,DATOS!$E19422,nASIG,DATOS!$I19422,nEVAL,"OR")=0))</f>
      </c>
      <c r="I19422">
        <f>IF(DATOS!$I19422="","",IFERROR(VLOOKUP(DATOS!$I19422,CONFIG_ASIGNATURAS!$B$2:$J$91,9,FALSE()),""))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IF(DATOS!$A19423="",0,IF(CONFIG_METADATA!$B$4&lt;&gt;"OR+EX",--(DATOS!$G19423=CONFIG_METADATA!$B$4),IF(DATOS!$G19423="EX",1,IF(DATOS!$G19423="OR",--(COUNTIFS(nNIA,DATOS!$A19423,nCURSO,DATOS!$D19423,nESPEC,DATOS!$E19423,nASIG,DATOS!$I19423,nEVAL,"EX")=0),0))))</f>
      </c>
      <c r="H19423">
        <f>IF(DATOS!$G19423&lt;&gt;"EX",0,--(COUNTIFS(nNIA,DATOS!$A19423,nCURSO,DATOS!$D19423,nESPEC,DATOS!$E19423,nASIG,DATOS!$I19423,nEVAL,"OR")=0))</f>
      </c>
      <c r="I19423">
        <f>IF(DATOS!$I19423="","",IFERROR(VLOOKUP(DATOS!$I19423,CONFIG_ASIGNATURAS!$B$2:$J$91,9,FALSE()),""))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IF(DATOS!$A19424="",0,IF(CONFIG_METADATA!$B$4&lt;&gt;"OR+EX",--(DATOS!$G19424=CONFIG_METADATA!$B$4),IF(DATOS!$G19424="EX",1,IF(DATOS!$G19424="OR",--(COUNTIFS(nNIA,DATOS!$A19424,nCURSO,DATOS!$D19424,nESPEC,DATOS!$E19424,nASIG,DATOS!$I19424,nEVAL,"EX")=0),0))))</f>
      </c>
      <c r="H19424">
        <f>IF(DATOS!$G19424&lt;&gt;"EX",0,--(COUNTIFS(nNIA,DATOS!$A19424,nCURSO,DATOS!$D19424,nESPEC,DATOS!$E19424,nASIG,DATOS!$I19424,nEVAL,"OR")=0))</f>
      </c>
      <c r="I19424">
        <f>IF(DATOS!$I19424="","",IFERROR(VLOOKUP(DATOS!$I19424,CONFIG_ASIGNATURAS!$B$2:$J$91,9,FALSE()),""))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IF(DATOS!$A19425="",0,IF(CONFIG_METADATA!$B$4&lt;&gt;"OR+EX",--(DATOS!$G19425=CONFIG_METADATA!$B$4),IF(DATOS!$G19425="EX",1,IF(DATOS!$G19425="OR",--(COUNTIFS(nNIA,DATOS!$A19425,nCURSO,DATOS!$D19425,nESPEC,DATOS!$E19425,nASIG,DATOS!$I19425,nEVAL,"EX")=0),0))))</f>
      </c>
      <c r="H19425">
        <f>IF(DATOS!$G19425&lt;&gt;"EX",0,--(COUNTIFS(nNIA,DATOS!$A19425,nCURSO,DATOS!$D19425,nESPEC,DATOS!$E19425,nASIG,DATOS!$I19425,nEVAL,"OR")=0))</f>
      </c>
      <c r="I19425">
        <f>IF(DATOS!$I19425="","",IFERROR(VLOOKUP(DATOS!$I19425,CONFIG_ASIGNATURAS!$B$2:$J$91,9,FALSE()),""))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IF(DATOS!$A19426="",0,IF(CONFIG_METADATA!$B$4&lt;&gt;"OR+EX",--(DATOS!$G19426=CONFIG_METADATA!$B$4),IF(DATOS!$G19426="EX",1,IF(DATOS!$G19426="OR",--(COUNTIFS(nNIA,DATOS!$A19426,nCURSO,DATOS!$D19426,nESPEC,DATOS!$E19426,nASIG,DATOS!$I19426,nEVAL,"EX")=0),0))))</f>
      </c>
      <c r="H19426">
        <f>IF(DATOS!$G19426&lt;&gt;"EX",0,--(COUNTIFS(nNIA,DATOS!$A19426,nCURSO,DATOS!$D19426,nESPEC,DATOS!$E19426,nASIG,DATOS!$I19426,nEVAL,"OR")=0))</f>
      </c>
      <c r="I19426">
        <f>IF(DATOS!$I19426="","",IFERROR(VLOOKUP(DATOS!$I19426,CONFIG_ASIGNATURAS!$B$2:$J$91,9,FALSE()),""))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IF(DATOS!$A19427="",0,IF(CONFIG_METADATA!$B$4&lt;&gt;"OR+EX",--(DATOS!$G19427=CONFIG_METADATA!$B$4),IF(DATOS!$G19427="EX",1,IF(DATOS!$G19427="OR",--(COUNTIFS(nNIA,DATOS!$A19427,nCURSO,DATOS!$D19427,nESPEC,DATOS!$E19427,nASIG,DATOS!$I19427,nEVAL,"EX")=0),0))))</f>
      </c>
      <c r="H19427">
        <f>IF(DATOS!$G19427&lt;&gt;"EX",0,--(COUNTIFS(nNIA,DATOS!$A19427,nCURSO,DATOS!$D19427,nESPEC,DATOS!$E19427,nASIG,DATOS!$I19427,nEVAL,"OR")=0))</f>
      </c>
      <c r="I19427">
        <f>IF(DATOS!$I19427="","",IFERROR(VLOOKUP(DATOS!$I19427,CONFIG_ASIGNATURAS!$B$2:$J$91,9,FALSE()),""))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IF(DATOS!$A19428="",0,IF(CONFIG_METADATA!$B$4&lt;&gt;"OR+EX",--(DATOS!$G19428=CONFIG_METADATA!$B$4),IF(DATOS!$G19428="EX",1,IF(DATOS!$G19428="OR",--(COUNTIFS(nNIA,DATOS!$A19428,nCURSO,DATOS!$D19428,nESPEC,DATOS!$E19428,nASIG,DATOS!$I19428,nEVAL,"EX")=0),0))))</f>
      </c>
      <c r="H19428">
        <f>IF(DATOS!$G19428&lt;&gt;"EX",0,--(COUNTIFS(nNIA,DATOS!$A19428,nCURSO,DATOS!$D19428,nESPEC,DATOS!$E19428,nASIG,DATOS!$I19428,nEVAL,"OR")=0))</f>
      </c>
      <c r="I19428">
        <f>IF(DATOS!$I19428="","",IFERROR(VLOOKUP(DATOS!$I19428,CONFIG_ASIGNATURAS!$B$2:$J$91,9,FALSE()),""))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IF(DATOS!$A19429="",0,IF(CONFIG_METADATA!$B$4&lt;&gt;"OR+EX",--(DATOS!$G19429=CONFIG_METADATA!$B$4),IF(DATOS!$G19429="EX",1,IF(DATOS!$G19429="OR",--(COUNTIFS(nNIA,DATOS!$A19429,nCURSO,DATOS!$D19429,nESPEC,DATOS!$E19429,nASIG,DATOS!$I19429,nEVAL,"EX")=0),0))))</f>
      </c>
      <c r="H19429">
        <f>IF(DATOS!$G19429&lt;&gt;"EX",0,--(COUNTIFS(nNIA,DATOS!$A19429,nCURSO,DATOS!$D19429,nESPEC,DATOS!$E19429,nASIG,DATOS!$I19429,nEVAL,"OR")=0))</f>
      </c>
      <c r="I19429">
        <f>IF(DATOS!$I19429="","",IFERROR(VLOOKUP(DATOS!$I19429,CONFIG_ASIGNATURAS!$B$2:$J$91,9,FALSE()),""))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IF(DATOS!$A19430="",0,IF(CONFIG_METADATA!$B$4&lt;&gt;"OR+EX",--(DATOS!$G19430=CONFIG_METADATA!$B$4),IF(DATOS!$G19430="EX",1,IF(DATOS!$G19430="OR",--(COUNTIFS(nNIA,DATOS!$A19430,nCURSO,DATOS!$D19430,nESPEC,DATOS!$E19430,nASIG,DATOS!$I19430,nEVAL,"EX")=0),0))))</f>
      </c>
      <c r="H19430">
        <f>IF(DATOS!$G19430&lt;&gt;"EX",0,--(COUNTIFS(nNIA,DATOS!$A19430,nCURSO,DATOS!$D19430,nESPEC,DATOS!$E19430,nASIG,DATOS!$I19430,nEVAL,"OR")=0))</f>
      </c>
      <c r="I19430">
        <f>IF(DATOS!$I19430="","",IFERROR(VLOOKUP(DATOS!$I19430,CONFIG_ASIGNATURAS!$B$2:$J$91,9,FALSE()),""))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IF(DATOS!$A19431="",0,IF(CONFIG_METADATA!$B$4&lt;&gt;"OR+EX",--(DATOS!$G19431=CONFIG_METADATA!$B$4),IF(DATOS!$G19431="EX",1,IF(DATOS!$G19431="OR",--(COUNTIFS(nNIA,DATOS!$A19431,nCURSO,DATOS!$D19431,nESPEC,DATOS!$E19431,nASIG,DATOS!$I19431,nEVAL,"EX")=0),0))))</f>
      </c>
      <c r="H19431">
        <f>IF(DATOS!$G19431&lt;&gt;"EX",0,--(COUNTIFS(nNIA,DATOS!$A19431,nCURSO,DATOS!$D19431,nESPEC,DATOS!$E19431,nASIG,DATOS!$I19431,nEVAL,"OR")=0))</f>
      </c>
      <c r="I19431">
        <f>IF(DATOS!$I19431="","",IFERROR(VLOOKUP(DATOS!$I19431,CONFIG_ASIGNATURAS!$B$2:$J$91,9,FALSE()),""))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IF(DATOS!$A19432="",0,IF(CONFIG_METADATA!$B$4&lt;&gt;"OR+EX",--(DATOS!$G19432=CONFIG_METADATA!$B$4),IF(DATOS!$G19432="EX",1,IF(DATOS!$G19432="OR",--(COUNTIFS(nNIA,DATOS!$A19432,nCURSO,DATOS!$D19432,nESPEC,DATOS!$E19432,nASIG,DATOS!$I19432,nEVAL,"EX")=0),0))))</f>
      </c>
      <c r="H19432">
        <f>IF(DATOS!$G19432&lt;&gt;"EX",0,--(COUNTIFS(nNIA,DATOS!$A19432,nCURSO,DATOS!$D19432,nESPEC,DATOS!$E19432,nASIG,DATOS!$I19432,nEVAL,"OR")=0))</f>
      </c>
      <c r="I19432">
        <f>IF(DATOS!$I19432="","",IFERROR(VLOOKUP(DATOS!$I19432,CONFIG_ASIGNATURAS!$B$2:$J$91,9,FALSE()),""))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IF(DATOS!$A19433="",0,IF(CONFIG_METADATA!$B$4&lt;&gt;"OR+EX",--(DATOS!$G19433=CONFIG_METADATA!$B$4),IF(DATOS!$G19433="EX",1,IF(DATOS!$G19433="OR",--(COUNTIFS(nNIA,DATOS!$A19433,nCURSO,DATOS!$D19433,nESPEC,DATOS!$E19433,nASIG,DATOS!$I19433,nEVAL,"EX")=0),0))))</f>
      </c>
      <c r="H19433">
        <f>IF(DATOS!$G19433&lt;&gt;"EX",0,--(COUNTIFS(nNIA,DATOS!$A19433,nCURSO,DATOS!$D19433,nESPEC,DATOS!$E19433,nASIG,DATOS!$I19433,nEVAL,"OR")=0))</f>
      </c>
      <c r="I19433">
        <f>IF(DATOS!$I19433="","",IFERROR(VLOOKUP(DATOS!$I19433,CONFIG_ASIGNATURAS!$B$2:$J$91,9,FALSE()),""))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IF(DATOS!$A19434="",0,IF(CONFIG_METADATA!$B$4&lt;&gt;"OR+EX",--(DATOS!$G19434=CONFIG_METADATA!$B$4),IF(DATOS!$G19434="EX",1,IF(DATOS!$G19434="OR",--(COUNTIFS(nNIA,DATOS!$A19434,nCURSO,DATOS!$D19434,nESPEC,DATOS!$E19434,nASIG,DATOS!$I19434,nEVAL,"EX")=0),0))))</f>
      </c>
      <c r="H19434">
        <f>IF(DATOS!$G19434&lt;&gt;"EX",0,--(COUNTIFS(nNIA,DATOS!$A19434,nCURSO,DATOS!$D19434,nESPEC,DATOS!$E19434,nASIG,DATOS!$I19434,nEVAL,"OR")=0))</f>
      </c>
      <c r="I19434">
        <f>IF(DATOS!$I19434="","",IFERROR(VLOOKUP(DATOS!$I19434,CONFIG_ASIGNATURAS!$B$2:$J$91,9,FALSE()),""))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IF(DATOS!$A19435="",0,IF(CONFIG_METADATA!$B$4&lt;&gt;"OR+EX",--(DATOS!$G19435=CONFIG_METADATA!$B$4),IF(DATOS!$G19435="EX",1,IF(DATOS!$G19435="OR",--(COUNTIFS(nNIA,DATOS!$A19435,nCURSO,DATOS!$D19435,nESPEC,DATOS!$E19435,nASIG,DATOS!$I19435,nEVAL,"EX")=0),0))))</f>
      </c>
      <c r="H19435">
        <f>IF(DATOS!$G19435&lt;&gt;"EX",0,--(COUNTIFS(nNIA,DATOS!$A19435,nCURSO,DATOS!$D19435,nESPEC,DATOS!$E19435,nASIG,DATOS!$I19435,nEVAL,"OR")=0))</f>
      </c>
      <c r="I19435">
        <f>IF(DATOS!$I19435="","",IFERROR(VLOOKUP(DATOS!$I19435,CONFIG_ASIGNATURAS!$B$2:$J$91,9,FALSE()),""))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IF(DATOS!$A19436="",0,IF(CONFIG_METADATA!$B$4&lt;&gt;"OR+EX",--(DATOS!$G19436=CONFIG_METADATA!$B$4),IF(DATOS!$G19436="EX",1,IF(DATOS!$G19436="OR",--(COUNTIFS(nNIA,DATOS!$A19436,nCURSO,DATOS!$D19436,nESPEC,DATOS!$E19436,nASIG,DATOS!$I19436,nEVAL,"EX")=0),0))))</f>
      </c>
      <c r="H19436">
        <f>IF(DATOS!$G19436&lt;&gt;"EX",0,--(COUNTIFS(nNIA,DATOS!$A19436,nCURSO,DATOS!$D19436,nESPEC,DATOS!$E19436,nASIG,DATOS!$I19436,nEVAL,"OR")=0))</f>
      </c>
      <c r="I19436">
        <f>IF(DATOS!$I19436="","",IFERROR(VLOOKUP(DATOS!$I19436,CONFIG_ASIGNATURAS!$B$2:$J$91,9,FALSE()),""))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IF(DATOS!$A19437="",0,IF(CONFIG_METADATA!$B$4&lt;&gt;"OR+EX",--(DATOS!$G19437=CONFIG_METADATA!$B$4),IF(DATOS!$G19437="EX",1,IF(DATOS!$G19437="OR",--(COUNTIFS(nNIA,DATOS!$A19437,nCURSO,DATOS!$D19437,nESPEC,DATOS!$E19437,nASIG,DATOS!$I19437,nEVAL,"EX")=0),0))))</f>
      </c>
      <c r="H19437">
        <f>IF(DATOS!$G19437&lt;&gt;"EX",0,--(COUNTIFS(nNIA,DATOS!$A19437,nCURSO,DATOS!$D19437,nESPEC,DATOS!$E19437,nASIG,DATOS!$I19437,nEVAL,"OR")=0))</f>
      </c>
      <c r="I19437">
        <f>IF(DATOS!$I19437="","",IFERROR(VLOOKUP(DATOS!$I19437,CONFIG_ASIGNATURAS!$B$2:$J$91,9,FALSE()),""))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IF(DATOS!$A19438="",0,IF(CONFIG_METADATA!$B$4&lt;&gt;"OR+EX",--(DATOS!$G19438=CONFIG_METADATA!$B$4),IF(DATOS!$G19438="EX",1,IF(DATOS!$G19438="OR",--(COUNTIFS(nNIA,DATOS!$A19438,nCURSO,DATOS!$D19438,nESPEC,DATOS!$E19438,nASIG,DATOS!$I19438,nEVAL,"EX")=0),0))))</f>
      </c>
      <c r="H19438">
        <f>IF(DATOS!$G19438&lt;&gt;"EX",0,--(COUNTIFS(nNIA,DATOS!$A19438,nCURSO,DATOS!$D19438,nESPEC,DATOS!$E19438,nASIG,DATOS!$I19438,nEVAL,"OR")=0))</f>
      </c>
      <c r="I19438">
        <f>IF(DATOS!$I19438="","",IFERROR(VLOOKUP(DATOS!$I19438,CONFIG_ASIGNATURAS!$B$2:$J$91,9,FALSE()),""))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IF(DATOS!$A19439="",0,IF(CONFIG_METADATA!$B$4&lt;&gt;"OR+EX",--(DATOS!$G19439=CONFIG_METADATA!$B$4),IF(DATOS!$G19439="EX",1,IF(DATOS!$G19439="OR",--(COUNTIFS(nNIA,DATOS!$A19439,nCURSO,DATOS!$D19439,nESPEC,DATOS!$E19439,nASIG,DATOS!$I19439,nEVAL,"EX")=0),0))))</f>
      </c>
      <c r="H19439">
        <f>IF(DATOS!$G19439&lt;&gt;"EX",0,--(COUNTIFS(nNIA,DATOS!$A19439,nCURSO,DATOS!$D19439,nESPEC,DATOS!$E19439,nASIG,DATOS!$I19439,nEVAL,"OR")=0))</f>
      </c>
      <c r="I19439">
        <f>IF(DATOS!$I19439="","",IFERROR(VLOOKUP(DATOS!$I19439,CONFIG_ASIGNATURAS!$B$2:$J$91,9,FALSE()),""))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IF(DATOS!$A19440="",0,IF(CONFIG_METADATA!$B$4&lt;&gt;"OR+EX",--(DATOS!$G19440=CONFIG_METADATA!$B$4),IF(DATOS!$G19440="EX",1,IF(DATOS!$G19440="OR",--(COUNTIFS(nNIA,DATOS!$A19440,nCURSO,DATOS!$D19440,nESPEC,DATOS!$E19440,nASIG,DATOS!$I19440,nEVAL,"EX")=0),0))))</f>
      </c>
      <c r="H19440">
        <f>IF(DATOS!$G19440&lt;&gt;"EX",0,--(COUNTIFS(nNIA,DATOS!$A19440,nCURSO,DATOS!$D19440,nESPEC,DATOS!$E19440,nASIG,DATOS!$I19440,nEVAL,"OR")=0))</f>
      </c>
      <c r="I19440">
        <f>IF(DATOS!$I19440="","",IFERROR(VLOOKUP(DATOS!$I19440,CONFIG_ASIGNATURAS!$B$2:$J$91,9,FALSE()),""))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IF(DATOS!$A19441="",0,IF(CONFIG_METADATA!$B$4&lt;&gt;"OR+EX",--(DATOS!$G19441=CONFIG_METADATA!$B$4),IF(DATOS!$G19441="EX",1,IF(DATOS!$G19441="OR",--(COUNTIFS(nNIA,DATOS!$A19441,nCURSO,DATOS!$D19441,nESPEC,DATOS!$E19441,nASIG,DATOS!$I19441,nEVAL,"EX")=0),0))))</f>
      </c>
      <c r="H19441">
        <f>IF(DATOS!$G19441&lt;&gt;"EX",0,--(COUNTIFS(nNIA,DATOS!$A19441,nCURSO,DATOS!$D19441,nESPEC,DATOS!$E19441,nASIG,DATOS!$I19441,nEVAL,"OR")=0))</f>
      </c>
      <c r="I19441">
        <f>IF(DATOS!$I19441="","",IFERROR(VLOOKUP(DATOS!$I19441,CONFIG_ASIGNATURAS!$B$2:$J$91,9,FALSE()),""))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IF(DATOS!$A19442="",0,IF(CONFIG_METADATA!$B$4&lt;&gt;"OR+EX",--(DATOS!$G19442=CONFIG_METADATA!$B$4),IF(DATOS!$G19442="EX",1,IF(DATOS!$G19442="OR",--(COUNTIFS(nNIA,DATOS!$A19442,nCURSO,DATOS!$D19442,nESPEC,DATOS!$E19442,nASIG,DATOS!$I19442,nEVAL,"EX")=0),0))))</f>
      </c>
      <c r="H19442">
        <f>IF(DATOS!$G19442&lt;&gt;"EX",0,--(COUNTIFS(nNIA,DATOS!$A19442,nCURSO,DATOS!$D19442,nESPEC,DATOS!$E19442,nASIG,DATOS!$I19442,nEVAL,"OR")=0))</f>
      </c>
      <c r="I19442">
        <f>IF(DATOS!$I19442="","",IFERROR(VLOOKUP(DATOS!$I19442,CONFIG_ASIGNATURAS!$B$2:$J$91,9,FALSE()),""))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IF(DATOS!$A19443="",0,IF(CONFIG_METADATA!$B$4&lt;&gt;"OR+EX",--(DATOS!$G19443=CONFIG_METADATA!$B$4),IF(DATOS!$G19443="EX",1,IF(DATOS!$G19443="OR",--(COUNTIFS(nNIA,DATOS!$A19443,nCURSO,DATOS!$D19443,nESPEC,DATOS!$E19443,nASIG,DATOS!$I19443,nEVAL,"EX")=0),0))))</f>
      </c>
      <c r="H19443">
        <f>IF(DATOS!$G19443&lt;&gt;"EX",0,--(COUNTIFS(nNIA,DATOS!$A19443,nCURSO,DATOS!$D19443,nESPEC,DATOS!$E19443,nASIG,DATOS!$I19443,nEVAL,"OR")=0))</f>
      </c>
      <c r="I19443">
        <f>IF(DATOS!$I19443="","",IFERROR(VLOOKUP(DATOS!$I19443,CONFIG_ASIGNATURAS!$B$2:$J$91,9,FALSE()),""))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IF(DATOS!$A19444="",0,IF(CONFIG_METADATA!$B$4&lt;&gt;"OR+EX",--(DATOS!$G19444=CONFIG_METADATA!$B$4),IF(DATOS!$G19444="EX",1,IF(DATOS!$G19444="OR",--(COUNTIFS(nNIA,DATOS!$A19444,nCURSO,DATOS!$D19444,nESPEC,DATOS!$E19444,nASIG,DATOS!$I19444,nEVAL,"EX")=0),0))))</f>
      </c>
      <c r="H19444">
        <f>IF(DATOS!$G19444&lt;&gt;"EX",0,--(COUNTIFS(nNIA,DATOS!$A19444,nCURSO,DATOS!$D19444,nESPEC,DATOS!$E19444,nASIG,DATOS!$I19444,nEVAL,"OR")=0))</f>
      </c>
      <c r="I19444">
        <f>IF(DATOS!$I19444="","",IFERROR(VLOOKUP(DATOS!$I19444,CONFIG_ASIGNATURAS!$B$2:$J$91,9,FALSE()),""))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IF(DATOS!$A19445="",0,IF(CONFIG_METADATA!$B$4&lt;&gt;"OR+EX",--(DATOS!$G19445=CONFIG_METADATA!$B$4),IF(DATOS!$G19445="EX",1,IF(DATOS!$G19445="OR",--(COUNTIFS(nNIA,DATOS!$A19445,nCURSO,DATOS!$D19445,nESPEC,DATOS!$E19445,nASIG,DATOS!$I19445,nEVAL,"EX")=0),0))))</f>
      </c>
      <c r="H19445">
        <f>IF(DATOS!$G19445&lt;&gt;"EX",0,--(COUNTIFS(nNIA,DATOS!$A19445,nCURSO,DATOS!$D19445,nESPEC,DATOS!$E19445,nASIG,DATOS!$I19445,nEVAL,"OR")=0))</f>
      </c>
      <c r="I19445">
        <f>IF(DATOS!$I19445="","",IFERROR(VLOOKUP(DATOS!$I19445,CONFIG_ASIGNATURAS!$B$2:$J$91,9,FALSE()),""))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IF(DATOS!$A19446="",0,IF(CONFIG_METADATA!$B$4&lt;&gt;"OR+EX",--(DATOS!$G19446=CONFIG_METADATA!$B$4),IF(DATOS!$G19446="EX",1,IF(DATOS!$G19446="OR",--(COUNTIFS(nNIA,DATOS!$A19446,nCURSO,DATOS!$D19446,nESPEC,DATOS!$E19446,nASIG,DATOS!$I19446,nEVAL,"EX")=0),0))))</f>
      </c>
      <c r="H19446">
        <f>IF(DATOS!$G19446&lt;&gt;"EX",0,--(COUNTIFS(nNIA,DATOS!$A19446,nCURSO,DATOS!$D19446,nESPEC,DATOS!$E19446,nASIG,DATOS!$I19446,nEVAL,"OR")=0))</f>
      </c>
      <c r="I19446">
        <f>IF(DATOS!$I19446="","",IFERROR(VLOOKUP(DATOS!$I19446,CONFIG_ASIGNATURAS!$B$2:$J$91,9,FALSE()),""))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IF(DATOS!$A19447="",0,IF(CONFIG_METADATA!$B$4&lt;&gt;"OR+EX",--(DATOS!$G19447=CONFIG_METADATA!$B$4),IF(DATOS!$G19447="EX",1,IF(DATOS!$G19447="OR",--(COUNTIFS(nNIA,DATOS!$A19447,nCURSO,DATOS!$D19447,nESPEC,DATOS!$E19447,nASIG,DATOS!$I19447,nEVAL,"EX")=0),0))))</f>
      </c>
      <c r="H19447">
        <f>IF(DATOS!$G19447&lt;&gt;"EX",0,--(COUNTIFS(nNIA,DATOS!$A19447,nCURSO,DATOS!$D19447,nESPEC,DATOS!$E19447,nASIG,DATOS!$I19447,nEVAL,"OR")=0))</f>
      </c>
      <c r="I19447">
        <f>IF(DATOS!$I19447="","",IFERROR(VLOOKUP(DATOS!$I19447,CONFIG_ASIGNATURAS!$B$2:$J$91,9,FALSE()),""))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IF(DATOS!$A19448="",0,IF(CONFIG_METADATA!$B$4&lt;&gt;"OR+EX",--(DATOS!$G19448=CONFIG_METADATA!$B$4),IF(DATOS!$G19448="EX",1,IF(DATOS!$G19448="OR",--(COUNTIFS(nNIA,DATOS!$A19448,nCURSO,DATOS!$D19448,nESPEC,DATOS!$E19448,nASIG,DATOS!$I19448,nEVAL,"EX")=0),0))))</f>
      </c>
      <c r="H19448">
        <f>IF(DATOS!$G19448&lt;&gt;"EX",0,--(COUNTIFS(nNIA,DATOS!$A19448,nCURSO,DATOS!$D19448,nESPEC,DATOS!$E19448,nASIG,DATOS!$I19448,nEVAL,"OR")=0))</f>
      </c>
      <c r="I19448">
        <f>IF(DATOS!$I19448="","",IFERROR(VLOOKUP(DATOS!$I19448,CONFIG_ASIGNATURAS!$B$2:$J$91,9,FALSE()),""))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IF(DATOS!$A19449="",0,IF(CONFIG_METADATA!$B$4&lt;&gt;"OR+EX",--(DATOS!$G19449=CONFIG_METADATA!$B$4),IF(DATOS!$G19449="EX",1,IF(DATOS!$G19449="OR",--(COUNTIFS(nNIA,DATOS!$A19449,nCURSO,DATOS!$D19449,nESPEC,DATOS!$E19449,nASIG,DATOS!$I19449,nEVAL,"EX")=0),0))))</f>
      </c>
      <c r="H19449">
        <f>IF(DATOS!$G19449&lt;&gt;"EX",0,--(COUNTIFS(nNIA,DATOS!$A19449,nCURSO,DATOS!$D19449,nESPEC,DATOS!$E19449,nASIG,DATOS!$I19449,nEVAL,"OR")=0))</f>
      </c>
      <c r="I19449">
        <f>IF(DATOS!$I19449="","",IFERROR(VLOOKUP(DATOS!$I19449,CONFIG_ASIGNATURAS!$B$2:$J$91,9,FALSE()),""))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IF(DATOS!$A19450="",0,IF(CONFIG_METADATA!$B$4&lt;&gt;"OR+EX",--(DATOS!$G19450=CONFIG_METADATA!$B$4),IF(DATOS!$G19450="EX",1,IF(DATOS!$G19450="OR",--(COUNTIFS(nNIA,DATOS!$A19450,nCURSO,DATOS!$D19450,nESPEC,DATOS!$E19450,nASIG,DATOS!$I19450,nEVAL,"EX")=0),0))))</f>
      </c>
      <c r="H19450">
        <f>IF(DATOS!$G19450&lt;&gt;"EX",0,--(COUNTIFS(nNIA,DATOS!$A19450,nCURSO,DATOS!$D19450,nESPEC,DATOS!$E19450,nASIG,DATOS!$I19450,nEVAL,"OR")=0))</f>
      </c>
      <c r="I19450">
        <f>IF(DATOS!$I19450="","",IFERROR(VLOOKUP(DATOS!$I19450,CONFIG_ASIGNATURAS!$B$2:$J$91,9,FALSE()),""))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IF(DATOS!$A19451="",0,IF(CONFIG_METADATA!$B$4&lt;&gt;"OR+EX",--(DATOS!$G19451=CONFIG_METADATA!$B$4),IF(DATOS!$G19451="EX",1,IF(DATOS!$G19451="OR",--(COUNTIFS(nNIA,DATOS!$A19451,nCURSO,DATOS!$D19451,nESPEC,DATOS!$E19451,nASIG,DATOS!$I19451,nEVAL,"EX")=0),0))))</f>
      </c>
      <c r="H19451">
        <f>IF(DATOS!$G19451&lt;&gt;"EX",0,--(COUNTIFS(nNIA,DATOS!$A19451,nCURSO,DATOS!$D19451,nESPEC,DATOS!$E19451,nASIG,DATOS!$I19451,nEVAL,"OR")=0))</f>
      </c>
      <c r="I19451">
        <f>IF(DATOS!$I19451="","",IFERROR(VLOOKUP(DATOS!$I19451,CONFIG_ASIGNATURAS!$B$2:$J$91,9,FALSE()),""))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IF(DATOS!$A19452="",0,IF(CONFIG_METADATA!$B$4&lt;&gt;"OR+EX",--(DATOS!$G19452=CONFIG_METADATA!$B$4),IF(DATOS!$G19452="EX",1,IF(DATOS!$G19452="OR",--(COUNTIFS(nNIA,DATOS!$A19452,nCURSO,DATOS!$D19452,nESPEC,DATOS!$E19452,nASIG,DATOS!$I19452,nEVAL,"EX")=0),0))))</f>
      </c>
      <c r="H19452">
        <f>IF(DATOS!$G19452&lt;&gt;"EX",0,--(COUNTIFS(nNIA,DATOS!$A19452,nCURSO,DATOS!$D19452,nESPEC,DATOS!$E19452,nASIG,DATOS!$I19452,nEVAL,"OR")=0))</f>
      </c>
      <c r="I19452">
        <f>IF(DATOS!$I19452="","",IFERROR(VLOOKUP(DATOS!$I19452,CONFIG_ASIGNATURAS!$B$2:$J$91,9,FALSE()),""))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IF(DATOS!$A19453="",0,IF(CONFIG_METADATA!$B$4&lt;&gt;"OR+EX",--(DATOS!$G19453=CONFIG_METADATA!$B$4),IF(DATOS!$G19453="EX",1,IF(DATOS!$G19453="OR",--(COUNTIFS(nNIA,DATOS!$A19453,nCURSO,DATOS!$D19453,nESPEC,DATOS!$E19453,nASIG,DATOS!$I19453,nEVAL,"EX")=0),0))))</f>
      </c>
      <c r="H19453">
        <f>IF(DATOS!$G19453&lt;&gt;"EX",0,--(COUNTIFS(nNIA,DATOS!$A19453,nCURSO,DATOS!$D19453,nESPEC,DATOS!$E19453,nASIG,DATOS!$I19453,nEVAL,"OR")=0))</f>
      </c>
      <c r="I19453">
        <f>IF(DATOS!$I19453="","",IFERROR(VLOOKUP(DATOS!$I19453,CONFIG_ASIGNATURAS!$B$2:$J$91,9,FALSE()),""))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IF(DATOS!$A19454="",0,IF(CONFIG_METADATA!$B$4&lt;&gt;"OR+EX",--(DATOS!$G19454=CONFIG_METADATA!$B$4),IF(DATOS!$G19454="EX",1,IF(DATOS!$G19454="OR",--(COUNTIFS(nNIA,DATOS!$A19454,nCURSO,DATOS!$D19454,nESPEC,DATOS!$E19454,nASIG,DATOS!$I19454,nEVAL,"EX")=0),0))))</f>
      </c>
      <c r="H19454">
        <f>IF(DATOS!$G19454&lt;&gt;"EX",0,--(COUNTIFS(nNIA,DATOS!$A19454,nCURSO,DATOS!$D19454,nESPEC,DATOS!$E19454,nASIG,DATOS!$I19454,nEVAL,"OR")=0))</f>
      </c>
      <c r="I19454">
        <f>IF(DATOS!$I19454="","",IFERROR(VLOOKUP(DATOS!$I19454,CONFIG_ASIGNATURAS!$B$2:$J$91,9,FALSE()),""))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IF(DATOS!$A19455="",0,IF(CONFIG_METADATA!$B$4&lt;&gt;"OR+EX",--(DATOS!$G19455=CONFIG_METADATA!$B$4),IF(DATOS!$G19455="EX",1,IF(DATOS!$G19455="OR",--(COUNTIFS(nNIA,DATOS!$A19455,nCURSO,DATOS!$D19455,nESPEC,DATOS!$E19455,nASIG,DATOS!$I19455,nEVAL,"EX")=0),0))))</f>
      </c>
      <c r="H19455">
        <f>IF(DATOS!$G19455&lt;&gt;"EX",0,--(COUNTIFS(nNIA,DATOS!$A19455,nCURSO,DATOS!$D19455,nESPEC,DATOS!$E19455,nASIG,DATOS!$I19455,nEVAL,"OR")=0))</f>
      </c>
      <c r="I19455">
        <f>IF(DATOS!$I19455="","",IFERROR(VLOOKUP(DATOS!$I19455,CONFIG_ASIGNATURAS!$B$2:$J$91,9,FALSE()),""))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IF(DATOS!$A19456="",0,IF(CONFIG_METADATA!$B$4&lt;&gt;"OR+EX",--(DATOS!$G19456=CONFIG_METADATA!$B$4),IF(DATOS!$G19456="EX",1,IF(DATOS!$G19456="OR",--(COUNTIFS(nNIA,DATOS!$A19456,nCURSO,DATOS!$D19456,nESPEC,DATOS!$E19456,nASIG,DATOS!$I19456,nEVAL,"EX")=0),0))))</f>
      </c>
      <c r="H19456">
        <f>IF(DATOS!$G19456&lt;&gt;"EX",0,--(COUNTIFS(nNIA,DATOS!$A19456,nCURSO,DATOS!$D19456,nESPEC,DATOS!$E19456,nASIG,DATOS!$I19456,nEVAL,"OR")=0))</f>
      </c>
      <c r="I19456">
        <f>IF(DATOS!$I19456="","",IFERROR(VLOOKUP(DATOS!$I19456,CONFIG_ASIGNATURAS!$B$2:$J$91,9,FALSE()),""))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IF(DATOS!$A19457="",0,IF(CONFIG_METADATA!$B$4&lt;&gt;"OR+EX",--(DATOS!$G19457=CONFIG_METADATA!$B$4),IF(DATOS!$G19457="EX",1,IF(DATOS!$G19457="OR",--(COUNTIFS(nNIA,DATOS!$A19457,nCURSO,DATOS!$D19457,nESPEC,DATOS!$E19457,nASIG,DATOS!$I19457,nEVAL,"EX")=0),0))))</f>
      </c>
      <c r="H19457">
        <f>IF(DATOS!$G19457&lt;&gt;"EX",0,--(COUNTIFS(nNIA,DATOS!$A19457,nCURSO,DATOS!$D19457,nESPEC,DATOS!$E19457,nASIG,DATOS!$I19457,nEVAL,"OR")=0))</f>
      </c>
      <c r="I19457">
        <f>IF(DATOS!$I19457="","",IFERROR(VLOOKUP(DATOS!$I19457,CONFIG_ASIGNATURAS!$B$2:$J$91,9,FALSE()),""))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IF(DATOS!$A19458="",0,IF(CONFIG_METADATA!$B$4&lt;&gt;"OR+EX",--(DATOS!$G19458=CONFIG_METADATA!$B$4),IF(DATOS!$G19458="EX",1,IF(DATOS!$G19458="OR",--(COUNTIFS(nNIA,DATOS!$A19458,nCURSO,DATOS!$D19458,nESPEC,DATOS!$E19458,nASIG,DATOS!$I19458,nEVAL,"EX")=0),0))))</f>
      </c>
      <c r="H19458">
        <f>IF(DATOS!$G19458&lt;&gt;"EX",0,--(COUNTIFS(nNIA,DATOS!$A19458,nCURSO,DATOS!$D19458,nESPEC,DATOS!$E19458,nASIG,DATOS!$I19458,nEVAL,"OR")=0))</f>
      </c>
      <c r="I19458">
        <f>IF(DATOS!$I19458="","",IFERROR(VLOOKUP(DATOS!$I19458,CONFIG_ASIGNATURAS!$B$2:$J$91,9,FALSE()),""))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IF(DATOS!$A19459="",0,IF(CONFIG_METADATA!$B$4&lt;&gt;"OR+EX",--(DATOS!$G19459=CONFIG_METADATA!$B$4),IF(DATOS!$G19459="EX",1,IF(DATOS!$G19459="OR",--(COUNTIFS(nNIA,DATOS!$A19459,nCURSO,DATOS!$D19459,nESPEC,DATOS!$E19459,nASIG,DATOS!$I19459,nEVAL,"EX")=0),0))))</f>
      </c>
      <c r="H19459">
        <f>IF(DATOS!$G19459&lt;&gt;"EX",0,--(COUNTIFS(nNIA,DATOS!$A19459,nCURSO,DATOS!$D19459,nESPEC,DATOS!$E19459,nASIG,DATOS!$I19459,nEVAL,"OR")=0))</f>
      </c>
      <c r="I19459">
        <f>IF(DATOS!$I19459="","",IFERROR(VLOOKUP(DATOS!$I19459,CONFIG_ASIGNATURAS!$B$2:$J$91,9,FALSE()),""))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IF(DATOS!$A19460="",0,IF(CONFIG_METADATA!$B$4&lt;&gt;"OR+EX",--(DATOS!$G19460=CONFIG_METADATA!$B$4),IF(DATOS!$G19460="EX",1,IF(DATOS!$G19460="OR",--(COUNTIFS(nNIA,DATOS!$A19460,nCURSO,DATOS!$D19460,nESPEC,DATOS!$E19460,nASIG,DATOS!$I19460,nEVAL,"EX")=0),0))))</f>
      </c>
      <c r="H19460">
        <f>IF(DATOS!$G19460&lt;&gt;"EX",0,--(COUNTIFS(nNIA,DATOS!$A19460,nCURSO,DATOS!$D19460,nESPEC,DATOS!$E19460,nASIG,DATOS!$I19460,nEVAL,"OR")=0))</f>
      </c>
      <c r="I19460">
        <f>IF(DATOS!$I19460="","",IFERROR(VLOOKUP(DATOS!$I19460,CONFIG_ASIGNATURAS!$B$2:$J$91,9,FALSE()),""))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IF(DATOS!$A19461="",0,IF(CONFIG_METADATA!$B$4&lt;&gt;"OR+EX",--(DATOS!$G19461=CONFIG_METADATA!$B$4),IF(DATOS!$G19461="EX",1,IF(DATOS!$G19461="OR",--(COUNTIFS(nNIA,DATOS!$A19461,nCURSO,DATOS!$D19461,nESPEC,DATOS!$E19461,nASIG,DATOS!$I19461,nEVAL,"EX")=0),0))))</f>
      </c>
      <c r="H19461">
        <f>IF(DATOS!$G19461&lt;&gt;"EX",0,--(COUNTIFS(nNIA,DATOS!$A19461,nCURSO,DATOS!$D19461,nESPEC,DATOS!$E19461,nASIG,DATOS!$I19461,nEVAL,"OR")=0))</f>
      </c>
      <c r="I19461">
        <f>IF(DATOS!$I19461="","",IFERROR(VLOOKUP(DATOS!$I19461,CONFIG_ASIGNATURAS!$B$2:$J$91,9,FALSE()),""))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IF(DATOS!$A19462="",0,IF(CONFIG_METADATA!$B$4&lt;&gt;"OR+EX",--(DATOS!$G19462=CONFIG_METADATA!$B$4),IF(DATOS!$G19462="EX",1,IF(DATOS!$G19462="OR",--(COUNTIFS(nNIA,DATOS!$A19462,nCURSO,DATOS!$D19462,nESPEC,DATOS!$E19462,nASIG,DATOS!$I19462,nEVAL,"EX")=0),0))))</f>
      </c>
      <c r="H19462">
        <f>IF(DATOS!$G19462&lt;&gt;"EX",0,--(COUNTIFS(nNIA,DATOS!$A19462,nCURSO,DATOS!$D19462,nESPEC,DATOS!$E19462,nASIG,DATOS!$I19462,nEVAL,"OR")=0))</f>
      </c>
      <c r="I19462">
        <f>IF(DATOS!$I19462="","",IFERROR(VLOOKUP(DATOS!$I19462,CONFIG_ASIGNATURAS!$B$2:$J$91,9,FALSE()),""))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IF(DATOS!$A19463="",0,IF(CONFIG_METADATA!$B$4&lt;&gt;"OR+EX",--(DATOS!$G19463=CONFIG_METADATA!$B$4),IF(DATOS!$G19463="EX",1,IF(DATOS!$G19463="OR",--(COUNTIFS(nNIA,DATOS!$A19463,nCURSO,DATOS!$D19463,nESPEC,DATOS!$E19463,nASIG,DATOS!$I19463,nEVAL,"EX")=0),0))))</f>
      </c>
      <c r="H19463">
        <f>IF(DATOS!$G19463&lt;&gt;"EX",0,--(COUNTIFS(nNIA,DATOS!$A19463,nCURSO,DATOS!$D19463,nESPEC,DATOS!$E19463,nASIG,DATOS!$I19463,nEVAL,"OR")=0))</f>
      </c>
      <c r="I19463">
        <f>IF(DATOS!$I19463="","",IFERROR(VLOOKUP(DATOS!$I19463,CONFIG_ASIGNATURAS!$B$2:$J$91,9,FALSE()),""))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IF(DATOS!$A19464="",0,IF(CONFIG_METADATA!$B$4&lt;&gt;"OR+EX",--(DATOS!$G19464=CONFIG_METADATA!$B$4),IF(DATOS!$G19464="EX",1,IF(DATOS!$G19464="OR",--(COUNTIFS(nNIA,DATOS!$A19464,nCURSO,DATOS!$D19464,nESPEC,DATOS!$E19464,nASIG,DATOS!$I19464,nEVAL,"EX")=0),0))))</f>
      </c>
      <c r="H19464">
        <f>IF(DATOS!$G19464&lt;&gt;"EX",0,--(COUNTIFS(nNIA,DATOS!$A19464,nCURSO,DATOS!$D19464,nESPEC,DATOS!$E19464,nASIG,DATOS!$I19464,nEVAL,"OR")=0))</f>
      </c>
      <c r="I19464">
        <f>IF(DATOS!$I19464="","",IFERROR(VLOOKUP(DATOS!$I19464,CONFIG_ASIGNATURAS!$B$2:$J$91,9,FALSE()),""))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IF(DATOS!$A19465="",0,IF(CONFIG_METADATA!$B$4&lt;&gt;"OR+EX",--(DATOS!$G19465=CONFIG_METADATA!$B$4),IF(DATOS!$G19465="EX",1,IF(DATOS!$G19465="OR",--(COUNTIFS(nNIA,DATOS!$A19465,nCURSO,DATOS!$D19465,nESPEC,DATOS!$E19465,nASIG,DATOS!$I19465,nEVAL,"EX")=0),0))))</f>
      </c>
      <c r="H19465">
        <f>IF(DATOS!$G19465&lt;&gt;"EX",0,--(COUNTIFS(nNIA,DATOS!$A19465,nCURSO,DATOS!$D19465,nESPEC,DATOS!$E19465,nASIG,DATOS!$I19465,nEVAL,"OR")=0))</f>
      </c>
      <c r="I19465">
        <f>IF(DATOS!$I19465="","",IFERROR(VLOOKUP(DATOS!$I19465,CONFIG_ASIGNATURAS!$B$2:$J$91,9,FALSE()),""))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IF(DATOS!$A19466="",0,IF(CONFIG_METADATA!$B$4&lt;&gt;"OR+EX",--(DATOS!$G19466=CONFIG_METADATA!$B$4),IF(DATOS!$G19466="EX",1,IF(DATOS!$G19466="OR",--(COUNTIFS(nNIA,DATOS!$A19466,nCURSO,DATOS!$D19466,nESPEC,DATOS!$E19466,nASIG,DATOS!$I19466,nEVAL,"EX")=0),0))))</f>
      </c>
      <c r="H19466">
        <f>IF(DATOS!$G19466&lt;&gt;"EX",0,--(COUNTIFS(nNIA,DATOS!$A19466,nCURSO,DATOS!$D19466,nESPEC,DATOS!$E19466,nASIG,DATOS!$I19466,nEVAL,"OR")=0))</f>
      </c>
      <c r="I19466">
        <f>IF(DATOS!$I19466="","",IFERROR(VLOOKUP(DATOS!$I19466,CONFIG_ASIGNATURAS!$B$2:$J$91,9,FALSE()),""))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IF(DATOS!$A19467="",0,IF(CONFIG_METADATA!$B$4&lt;&gt;"OR+EX",--(DATOS!$G19467=CONFIG_METADATA!$B$4),IF(DATOS!$G19467="EX",1,IF(DATOS!$G19467="OR",--(COUNTIFS(nNIA,DATOS!$A19467,nCURSO,DATOS!$D19467,nESPEC,DATOS!$E19467,nASIG,DATOS!$I19467,nEVAL,"EX")=0),0))))</f>
      </c>
      <c r="H19467">
        <f>IF(DATOS!$G19467&lt;&gt;"EX",0,--(COUNTIFS(nNIA,DATOS!$A19467,nCURSO,DATOS!$D19467,nESPEC,DATOS!$E19467,nASIG,DATOS!$I19467,nEVAL,"OR")=0))</f>
      </c>
      <c r="I19467">
        <f>IF(DATOS!$I19467="","",IFERROR(VLOOKUP(DATOS!$I19467,CONFIG_ASIGNATURAS!$B$2:$J$91,9,FALSE()),""))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IF(DATOS!$A19468="",0,IF(CONFIG_METADATA!$B$4&lt;&gt;"OR+EX",--(DATOS!$G19468=CONFIG_METADATA!$B$4),IF(DATOS!$G19468="EX",1,IF(DATOS!$G19468="OR",--(COUNTIFS(nNIA,DATOS!$A19468,nCURSO,DATOS!$D19468,nESPEC,DATOS!$E19468,nASIG,DATOS!$I19468,nEVAL,"EX")=0),0))))</f>
      </c>
      <c r="H19468">
        <f>IF(DATOS!$G19468&lt;&gt;"EX",0,--(COUNTIFS(nNIA,DATOS!$A19468,nCURSO,DATOS!$D19468,nESPEC,DATOS!$E19468,nASIG,DATOS!$I19468,nEVAL,"OR")=0))</f>
      </c>
      <c r="I19468">
        <f>IF(DATOS!$I19468="","",IFERROR(VLOOKUP(DATOS!$I19468,CONFIG_ASIGNATURAS!$B$2:$J$91,9,FALSE()),""))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IF(DATOS!$A19469="",0,IF(CONFIG_METADATA!$B$4&lt;&gt;"OR+EX",--(DATOS!$G19469=CONFIG_METADATA!$B$4),IF(DATOS!$G19469="EX",1,IF(DATOS!$G19469="OR",--(COUNTIFS(nNIA,DATOS!$A19469,nCURSO,DATOS!$D19469,nESPEC,DATOS!$E19469,nASIG,DATOS!$I19469,nEVAL,"EX")=0),0))))</f>
      </c>
      <c r="H19469">
        <f>IF(DATOS!$G19469&lt;&gt;"EX",0,--(COUNTIFS(nNIA,DATOS!$A19469,nCURSO,DATOS!$D19469,nESPEC,DATOS!$E19469,nASIG,DATOS!$I19469,nEVAL,"OR")=0))</f>
      </c>
      <c r="I19469">
        <f>IF(DATOS!$I19469="","",IFERROR(VLOOKUP(DATOS!$I19469,CONFIG_ASIGNATURAS!$B$2:$J$91,9,FALSE()),""))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IF(DATOS!$A19470="",0,IF(CONFIG_METADATA!$B$4&lt;&gt;"OR+EX",--(DATOS!$G19470=CONFIG_METADATA!$B$4),IF(DATOS!$G19470="EX",1,IF(DATOS!$G19470="OR",--(COUNTIFS(nNIA,DATOS!$A19470,nCURSO,DATOS!$D19470,nESPEC,DATOS!$E19470,nASIG,DATOS!$I19470,nEVAL,"EX")=0),0))))</f>
      </c>
      <c r="H19470">
        <f>IF(DATOS!$G19470&lt;&gt;"EX",0,--(COUNTIFS(nNIA,DATOS!$A19470,nCURSO,DATOS!$D19470,nESPEC,DATOS!$E19470,nASIG,DATOS!$I19470,nEVAL,"OR")=0))</f>
      </c>
      <c r="I19470">
        <f>IF(DATOS!$I19470="","",IFERROR(VLOOKUP(DATOS!$I19470,CONFIG_ASIGNATURAS!$B$2:$J$91,9,FALSE()),""))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IF(DATOS!$A19471="",0,IF(CONFIG_METADATA!$B$4&lt;&gt;"OR+EX",--(DATOS!$G19471=CONFIG_METADATA!$B$4),IF(DATOS!$G19471="EX",1,IF(DATOS!$G19471="OR",--(COUNTIFS(nNIA,DATOS!$A19471,nCURSO,DATOS!$D19471,nESPEC,DATOS!$E19471,nASIG,DATOS!$I19471,nEVAL,"EX")=0),0))))</f>
      </c>
      <c r="H19471">
        <f>IF(DATOS!$G19471&lt;&gt;"EX",0,--(COUNTIFS(nNIA,DATOS!$A19471,nCURSO,DATOS!$D19471,nESPEC,DATOS!$E19471,nASIG,DATOS!$I19471,nEVAL,"OR")=0))</f>
      </c>
      <c r="I19471">
        <f>IF(DATOS!$I19471="","",IFERROR(VLOOKUP(DATOS!$I19471,CONFIG_ASIGNATURAS!$B$2:$J$91,9,FALSE()),""))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IF(DATOS!$A19472="",0,IF(CONFIG_METADATA!$B$4&lt;&gt;"OR+EX",--(DATOS!$G19472=CONFIG_METADATA!$B$4),IF(DATOS!$G19472="EX",1,IF(DATOS!$G19472="OR",--(COUNTIFS(nNIA,DATOS!$A19472,nCURSO,DATOS!$D19472,nESPEC,DATOS!$E19472,nASIG,DATOS!$I19472,nEVAL,"EX")=0),0))))</f>
      </c>
      <c r="H19472">
        <f>IF(DATOS!$G19472&lt;&gt;"EX",0,--(COUNTIFS(nNIA,DATOS!$A19472,nCURSO,DATOS!$D19472,nESPEC,DATOS!$E19472,nASIG,DATOS!$I19472,nEVAL,"OR")=0))</f>
      </c>
      <c r="I19472">
        <f>IF(DATOS!$I19472="","",IFERROR(VLOOKUP(DATOS!$I19472,CONFIG_ASIGNATURAS!$B$2:$J$91,9,FALSE()),""))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IF(DATOS!$A19473="",0,IF(CONFIG_METADATA!$B$4&lt;&gt;"OR+EX",--(DATOS!$G19473=CONFIG_METADATA!$B$4),IF(DATOS!$G19473="EX",1,IF(DATOS!$G19473="OR",--(COUNTIFS(nNIA,DATOS!$A19473,nCURSO,DATOS!$D19473,nESPEC,DATOS!$E19473,nASIG,DATOS!$I19473,nEVAL,"EX")=0),0))))</f>
      </c>
      <c r="H19473">
        <f>IF(DATOS!$G19473&lt;&gt;"EX",0,--(COUNTIFS(nNIA,DATOS!$A19473,nCURSO,DATOS!$D19473,nESPEC,DATOS!$E19473,nASIG,DATOS!$I19473,nEVAL,"OR")=0))</f>
      </c>
      <c r="I19473">
        <f>IF(DATOS!$I19473="","",IFERROR(VLOOKUP(DATOS!$I19473,CONFIG_ASIGNATURAS!$B$2:$J$91,9,FALSE()),""))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IF(DATOS!$A19474="",0,IF(CONFIG_METADATA!$B$4&lt;&gt;"OR+EX",--(DATOS!$G19474=CONFIG_METADATA!$B$4),IF(DATOS!$G19474="EX",1,IF(DATOS!$G19474="OR",--(COUNTIFS(nNIA,DATOS!$A19474,nCURSO,DATOS!$D19474,nESPEC,DATOS!$E19474,nASIG,DATOS!$I19474,nEVAL,"EX")=0),0))))</f>
      </c>
      <c r="H19474">
        <f>IF(DATOS!$G19474&lt;&gt;"EX",0,--(COUNTIFS(nNIA,DATOS!$A19474,nCURSO,DATOS!$D19474,nESPEC,DATOS!$E19474,nASIG,DATOS!$I19474,nEVAL,"OR")=0))</f>
      </c>
      <c r="I19474">
        <f>IF(DATOS!$I19474="","",IFERROR(VLOOKUP(DATOS!$I19474,CONFIG_ASIGNATURAS!$B$2:$J$91,9,FALSE()),""))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IF(DATOS!$A19475="",0,IF(CONFIG_METADATA!$B$4&lt;&gt;"OR+EX",--(DATOS!$G19475=CONFIG_METADATA!$B$4),IF(DATOS!$G19475="EX",1,IF(DATOS!$G19475="OR",--(COUNTIFS(nNIA,DATOS!$A19475,nCURSO,DATOS!$D19475,nESPEC,DATOS!$E19475,nASIG,DATOS!$I19475,nEVAL,"EX")=0),0))))</f>
      </c>
      <c r="H19475">
        <f>IF(DATOS!$G19475&lt;&gt;"EX",0,--(COUNTIFS(nNIA,DATOS!$A19475,nCURSO,DATOS!$D19475,nESPEC,DATOS!$E19475,nASIG,DATOS!$I19475,nEVAL,"OR")=0))</f>
      </c>
      <c r="I19475">
        <f>IF(DATOS!$I19475="","",IFERROR(VLOOKUP(DATOS!$I19475,CONFIG_ASIGNATURAS!$B$2:$J$91,9,FALSE()),""))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IF(DATOS!$A19476="",0,IF(CONFIG_METADATA!$B$4&lt;&gt;"OR+EX",--(DATOS!$G19476=CONFIG_METADATA!$B$4),IF(DATOS!$G19476="EX",1,IF(DATOS!$G19476="OR",--(COUNTIFS(nNIA,DATOS!$A19476,nCURSO,DATOS!$D19476,nESPEC,DATOS!$E19476,nASIG,DATOS!$I19476,nEVAL,"EX")=0),0))))</f>
      </c>
      <c r="H19476">
        <f>IF(DATOS!$G19476&lt;&gt;"EX",0,--(COUNTIFS(nNIA,DATOS!$A19476,nCURSO,DATOS!$D19476,nESPEC,DATOS!$E19476,nASIG,DATOS!$I19476,nEVAL,"OR")=0))</f>
      </c>
      <c r="I19476">
        <f>IF(DATOS!$I19476="","",IFERROR(VLOOKUP(DATOS!$I19476,CONFIG_ASIGNATURAS!$B$2:$J$91,9,FALSE()),""))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IF(DATOS!$A19477="",0,IF(CONFIG_METADATA!$B$4&lt;&gt;"OR+EX",--(DATOS!$G19477=CONFIG_METADATA!$B$4),IF(DATOS!$G19477="EX",1,IF(DATOS!$G19477="OR",--(COUNTIFS(nNIA,DATOS!$A19477,nCURSO,DATOS!$D19477,nESPEC,DATOS!$E19477,nASIG,DATOS!$I19477,nEVAL,"EX")=0),0))))</f>
      </c>
      <c r="H19477">
        <f>IF(DATOS!$G19477&lt;&gt;"EX",0,--(COUNTIFS(nNIA,DATOS!$A19477,nCURSO,DATOS!$D19477,nESPEC,DATOS!$E19477,nASIG,DATOS!$I19477,nEVAL,"OR")=0))</f>
      </c>
      <c r="I19477">
        <f>IF(DATOS!$I19477="","",IFERROR(VLOOKUP(DATOS!$I19477,CONFIG_ASIGNATURAS!$B$2:$J$91,9,FALSE()),""))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IF(DATOS!$A19478="",0,IF(CONFIG_METADATA!$B$4&lt;&gt;"OR+EX",--(DATOS!$G19478=CONFIG_METADATA!$B$4),IF(DATOS!$G19478="EX",1,IF(DATOS!$G19478="OR",--(COUNTIFS(nNIA,DATOS!$A19478,nCURSO,DATOS!$D19478,nESPEC,DATOS!$E19478,nASIG,DATOS!$I19478,nEVAL,"EX")=0),0))))</f>
      </c>
      <c r="H19478">
        <f>IF(DATOS!$G19478&lt;&gt;"EX",0,--(COUNTIFS(nNIA,DATOS!$A19478,nCURSO,DATOS!$D19478,nESPEC,DATOS!$E19478,nASIG,DATOS!$I19478,nEVAL,"OR")=0))</f>
      </c>
      <c r="I19478">
        <f>IF(DATOS!$I19478="","",IFERROR(VLOOKUP(DATOS!$I19478,CONFIG_ASIGNATURAS!$B$2:$J$91,9,FALSE()),""))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IF(DATOS!$A19479="",0,IF(CONFIG_METADATA!$B$4&lt;&gt;"OR+EX",--(DATOS!$G19479=CONFIG_METADATA!$B$4),IF(DATOS!$G19479="EX",1,IF(DATOS!$G19479="OR",--(COUNTIFS(nNIA,DATOS!$A19479,nCURSO,DATOS!$D19479,nESPEC,DATOS!$E19479,nASIG,DATOS!$I19479,nEVAL,"EX")=0),0))))</f>
      </c>
      <c r="H19479">
        <f>IF(DATOS!$G19479&lt;&gt;"EX",0,--(COUNTIFS(nNIA,DATOS!$A19479,nCURSO,DATOS!$D19479,nESPEC,DATOS!$E19479,nASIG,DATOS!$I19479,nEVAL,"OR")=0))</f>
      </c>
      <c r="I19479">
        <f>IF(DATOS!$I19479="","",IFERROR(VLOOKUP(DATOS!$I19479,CONFIG_ASIGNATURAS!$B$2:$J$91,9,FALSE()),""))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IF(DATOS!$A19480="",0,IF(CONFIG_METADATA!$B$4&lt;&gt;"OR+EX",--(DATOS!$G19480=CONFIG_METADATA!$B$4),IF(DATOS!$G19480="EX",1,IF(DATOS!$G19480="OR",--(COUNTIFS(nNIA,DATOS!$A19480,nCURSO,DATOS!$D19480,nESPEC,DATOS!$E19480,nASIG,DATOS!$I19480,nEVAL,"EX")=0),0))))</f>
      </c>
      <c r="H19480">
        <f>IF(DATOS!$G19480&lt;&gt;"EX",0,--(COUNTIFS(nNIA,DATOS!$A19480,nCURSO,DATOS!$D19480,nESPEC,DATOS!$E19480,nASIG,DATOS!$I19480,nEVAL,"OR")=0))</f>
      </c>
      <c r="I19480">
        <f>IF(DATOS!$I19480="","",IFERROR(VLOOKUP(DATOS!$I19480,CONFIG_ASIGNATURAS!$B$2:$J$91,9,FALSE()),""))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IF(DATOS!$A19481="",0,IF(CONFIG_METADATA!$B$4&lt;&gt;"OR+EX",--(DATOS!$G19481=CONFIG_METADATA!$B$4),IF(DATOS!$G19481="EX",1,IF(DATOS!$G19481="OR",--(COUNTIFS(nNIA,DATOS!$A19481,nCURSO,DATOS!$D19481,nESPEC,DATOS!$E19481,nASIG,DATOS!$I19481,nEVAL,"EX")=0),0))))</f>
      </c>
      <c r="H19481">
        <f>IF(DATOS!$G19481&lt;&gt;"EX",0,--(COUNTIFS(nNIA,DATOS!$A19481,nCURSO,DATOS!$D19481,nESPEC,DATOS!$E19481,nASIG,DATOS!$I19481,nEVAL,"OR")=0))</f>
      </c>
      <c r="I19481">
        <f>IF(DATOS!$I19481="","",IFERROR(VLOOKUP(DATOS!$I19481,CONFIG_ASIGNATURAS!$B$2:$J$91,9,FALSE()),""))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IF(DATOS!$A19482="",0,IF(CONFIG_METADATA!$B$4&lt;&gt;"OR+EX",--(DATOS!$G19482=CONFIG_METADATA!$B$4),IF(DATOS!$G19482="EX",1,IF(DATOS!$G19482="OR",--(COUNTIFS(nNIA,DATOS!$A19482,nCURSO,DATOS!$D19482,nESPEC,DATOS!$E19482,nASIG,DATOS!$I19482,nEVAL,"EX")=0),0))))</f>
      </c>
      <c r="H19482">
        <f>IF(DATOS!$G19482&lt;&gt;"EX",0,--(COUNTIFS(nNIA,DATOS!$A19482,nCURSO,DATOS!$D19482,nESPEC,DATOS!$E19482,nASIG,DATOS!$I19482,nEVAL,"OR")=0))</f>
      </c>
      <c r="I19482">
        <f>IF(DATOS!$I19482="","",IFERROR(VLOOKUP(DATOS!$I19482,CONFIG_ASIGNATURAS!$B$2:$J$91,9,FALSE()),""))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IF(DATOS!$A19483="",0,IF(CONFIG_METADATA!$B$4&lt;&gt;"OR+EX",--(DATOS!$G19483=CONFIG_METADATA!$B$4),IF(DATOS!$G19483="EX",1,IF(DATOS!$G19483="OR",--(COUNTIFS(nNIA,DATOS!$A19483,nCURSO,DATOS!$D19483,nESPEC,DATOS!$E19483,nASIG,DATOS!$I19483,nEVAL,"EX")=0),0))))</f>
      </c>
      <c r="H19483">
        <f>IF(DATOS!$G19483&lt;&gt;"EX",0,--(COUNTIFS(nNIA,DATOS!$A19483,nCURSO,DATOS!$D19483,nESPEC,DATOS!$E19483,nASIG,DATOS!$I19483,nEVAL,"OR")=0))</f>
      </c>
      <c r="I19483">
        <f>IF(DATOS!$I19483="","",IFERROR(VLOOKUP(DATOS!$I19483,CONFIG_ASIGNATURAS!$B$2:$J$91,9,FALSE()),""))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IF(DATOS!$A19484="",0,IF(CONFIG_METADATA!$B$4&lt;&gt;"OR+EX",--(DATOS!$G19484=CONFIG_METADATA!$B$4),IF(DATOS!$G19484="EX",1,IF(DATOS!$G19484="OR",--(COUNTIFS(nNIA,DATOS!$A19484,nCURSO,DATOS!$D19484,nESPEC,DATOS!$E19484,nASIG,DATOS!$I19484,nEVAL,"EX")=0),0))))</f>
      </c>
      <c r="H19484">
        <f>IF(DATOS!$G19484&lt;&gt;"EX",0,--(COUNTIFS(nNIA,DATOS!$A19484,nCURSO,DATOS!$D19484,nESPEC,DATOS!$E19484,nASIG,DATOS!$I19484,nEVAL,"OR")=0))</f>
      </c>
      <c r="I19484">
        <f>IF(DATOS!$I19484="","",IFERROR(VLOOKUP(DATOS!$I19484,CONFIG_ASIGNATURAS!$B$2:$J$91,9,FALSE()),""))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IF(DATOS!$A19485="",0,IF(CONFIG_METADATA!$B$4&lt;&gt;"OR+EX",--(DATOS!$G19485=CONFIG_METADATA!$B$4),IF(DATOS!$G19485="EX",1,IF(DATOS!$G19485="OR",--(COUNTIFS(nNIA,DATOS!$A19485,nCURSO,DATOS!$D19485,nESPEC,DATOS!$E19485,nASIG,DATOS!$I19485,nEVAL,"EX")=0),0))))</f>
      </c>
      <c r="H19485">
        <f>IF(DATOS!$G19485&lt;&gt;"EX",0,--(COUNTIFS(nNIA,DATOS!$A19485,nCURSO,DATOS!$D19485,nESPEC,DATOS!$E19485,nASIG,DATOS!$I19485,nEVAL,"OR")=0))</f>
      </c>
      <c r="I19485">
        <f>IF(DATOS!$I19485="","",IFERROR(VLOOKUP(DATOS!$I19485,CONFIG_ASIGNATURAS!$B$2:$J$91,9,FALSE()),""))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IF(DATOS!$A19486="",0,IF(CONFIG_METADATA!$B$4&lt;&gt;"OR+EX",--(DATOS!$G19486=CONFIG_METADATA!$B$4),IF(DATOS!$G19486="EX",1,IF(DATOS!$G19486="OR",--(COUNTIFS(nNIA,DATOS!$A19486,nCURSO,DATOS!$D19486,nESPEC,DATOS!$E19486,nASIG,DATOS!$I19486,nEVAL,"EX")=0),0))))</f>
      </c>
      <c r="H19486">
        <f>IF(DATOS!$G19486&lt;&gt;"EX",0,--(COUNTIFS(nNIA,DATOS!$A19486,nCURSO,DATOS!$D19486,nESPEC,DATOS!$E19486,nASIG,DATOS!$I19486,nEVAL,"OR")=0))</f>
      </c>
      <c r="I19486">
        <f>IF(DATOS!$I19486="","",IFERROR(VLOOKUP(DATOS!$I19486,CONFIG_ASIGNATURAS!$B$2:$J$91,9,FALSE()),""))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IF(DATOS!$A19487="",0,IF(CONFIG_METADATA!$B$4&lt;&gt;"OR+EX",--(DATOS!$G19487=CONFIG_METADATA!$B$4),IF(DATOS!$G19487="EX",1,IF(DATOS!$G19487="OR",--(COUNTIFS(nNIA,DATOS!$A19487,nCURSO,DATOS!$D19487,nESPEC,DATOS!$E19487,nASIG,DATOS!$I19487,nEVAL,"EX")=0),0))))</f>
      </c>
      <c r="H19487">
        <f>IF(DATOS!$G19487&lt;&gt;"EX",0,--(COUNTIFS(nNIA,DATOS!$A19487,nCURSO,DATOS!$D19487,nESPEC,DATOS!$E19487,nASIG,DATOS!$I19487,nEVAL,"OR")=0))</f>
      </c>
      <c r="I19487">
        <f>IF(DATOS!$I19487="","",IFERROR(VLOOKUP(DATOS!$I19487,CONFIG_ASIGNATURAS!$B$2:$J$91,9,FALSE()),""))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IF(DATOS!$A19488="",0,IF(CONFIG_METADATA!$B$4&lt;&gt;"OR+EX",--(DATOS!$G19488=CONFIG_METADATA!$B$4),IF(DATOS!$G19488="EX",1,IF(DATOS!$G19488="OR",--(COUNTIFS(nNIA,DATOS!$A19488,nCURSO,DATOS!$D19488,nESPEC,DATOS!$E19488,nASIG,DATOS!$I19488,nEVAL,"EX")=0),0))))</f>
      </c>
      <c r="H19488">
        <f>IF(DATOS!$G19488&lt;&gt;"EX",0,--(COUNTIFS(nNIA,DATOS!$A19488,nCURSO,DATOS!$D19488,nESPEC,DATOS!$E19488,nASIG,DATOS!$I19488,nEVAL,"OR")=0))</f>
      </c>
      <c r="I19488">
        <f>IF(DATOS!$I19488="","",IFERROR(VLOOKUP(DATOS!$I19488,CONFIG_ASIGNATURAS!$B$2:$J$91,9,FALSE()),""))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IF(DATOS!$A19489="",0,IF(CONFIG_METADATA!$B$4&lt;&gt;"OR+EX",--(DATOS!$G19489=CONFIG_METADATA!$B$4),IF(DATOS!$G19489="EX",1,IF(DATOS!$G19489="OR",--(COUNTIFS(nNIA,DATOS!$A19489,nCURSO,DATOS!$D19489,nESPEC,DATOS!$E19489,nASIG,DATOS!$I19489,nEVAL,"EX")=0),0))))</f>
      </c>
      <c r="H19489">
        <f>IF(DATOS!$G19489&lt;&gt;"EX",0,--(COUNTIFS(nNIA,DATOS!$A19489,nCURSO,DATOS!$D19489,nESPEC,DATOS!$E19489,nASIG,DATOS!$I19489,nEVAL,"OR")=0))</f>
      </c>
      <c r="I19489">
        <f>IF(DATOS!$I19489="","",IFERROR(VLOOKUP(DATOS!$I19489,CONFIG_ASIGNATURAS!$B$2:$J$91,9,FALSE()),""))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IF(DATOS!$A19490="",0,IF(CONFIG_METADATA!$B$4&lt;&gt;"OR+EX",--(DATOS!$G19490=CONFIG_METADATA!$B$4),IF(DATOS!$G19490="EX",1,IF(DATOS!$G19490="OR",--(COUNTIFS(nNIA,DATOS!$A19490,nCURSO,DATOS!$D19490,nESPEC,DATOS!$E19490,nASIG,DATOS!$I19490,nEVAL,"EX")=0),0))))</f>
      </c>
      <c r="H19490">
        <f>IF(DATOS!$G19490&lt;&gt;"EX",0,--(COUNTIFS(nNIA,DATOS!$A19490,nCURSO,DATOS!$D19490,nESPEC,DATOS!$E19490,nASIG,DATOS!$I19490,nEVAL,"OR")=0))</f>
      </c>
      <c r="I19490">
        <f>IF(DATOS!$I19490="","",IFERROR(VLOOKUP(DATOS!$I19490,CONFIG_ASIGNATURAS!$B$2:$J$91,9,FALSE()),""))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IF(DATOS!$A19491="",0,IF(CONFIG_METADATA!$B$4&lt;&gt;"OR+EX",--(DATOS!$G19491=CONFIG_METADATA!$B$4),IF(DATOS!$G19491="EX",1,IF(DATOS!$G19491="OR",--(COUNTIFS(nNIA,DATOS!$A19491,nCURSO,DATOS!$D19491,nESPEC,DATOS!$E19491,nASIG,DATOS!$I19491,nEVAL,"EX")=0),0))))</f>
      </c>
      <c r="H19491">
        <f>IF(DATOS!$G19491&lt;&gt;"EX",0,--(COUNTIFS(nNIA,DATOS!$A19491,nCURSO,DATOS!$D19491,nESPEC,DATOS!$E19491,nASIG,DATOS!$I19491,nEVAL,"OR")=0))</f>
      </c>
      <c r="I19491">
        <f>IF(DATOS!$I19491="","",IFERROR(VLOOKUP(DATOS!$I19491,CONFIG_ASIGNATURAS!$B$2:$J$91,9,FALSE()),""))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IF(DATOS!$A19492="",0,IF(CONFIG_METADATA!$B$4&lt;&gt;"OR+EX",--(DATOS!$G19492=CONFIG_METADATA!$B$4),IF(DATOS!$G19492="EX",1,IF(DATOS!$G19492="OR",--(COUNTIFS(nNIA,DATOS!$A19492,nCURSO,DATOS!$D19492,nESPEC,DATOS!$E19492,nASIG,DATOS!$I19492,nEVAL,"EX")=0),0))))</f>
      </c>
      <c r="H19492">
        <f>IF(DATOS!$G19492&lt;&gt;"EX",0,--(COUNTIFS(nNIA,DATOS!$A19492,nCURSO,DATOS!$D19492,nESPEC,DATOS!$E19492,nASIG,DATOS!$I19492,nEVAL,"OR")=0))</f>
      </c>
      <c r="I19492">
        <f>IF(DATOS!$I19492="","",IFERROR(VLOOKUP(DATOS!$I19492,CONFIG_ASIGNATURAS!$B$2:$J$91,9,FALSE()),""))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IF(DATOS!$A19493="",0,IF(CONFIG_METADATA!$B$4&lt;&gt;"OR+EX",--(DATOS!$G19493=CONFIG_METADATA!$B$4),IF(DATOS!$G19493="EX",1,IF(DATOS!$G19493="OR",--(COUNTIFS(nNIA,DATOS!$A19493,nCURSO,DATOS!$D19493,nESPEC,DATOS!$E19493,nASIG,DATOS!$I19493,nEVAL,"EX")=0),0))))</f>
      </c>
      <c r="H19493">
        <f>IF(DATOS!$G19493&lt;&gt;"EX",0,--(COUNTIFS(nNIA,DATOS!$A19493,nCURSO,DATOS!$D19493,nESPEC,DATOS!$E19493,nASIG,DATOS!$I19493,nEVAL,"OR")=0))</f>
      </c>
      <c r="I19493">
        <f>IF(DATOS!$I19493="","",IFERROR(VLOOKUP(DATOS!$I19493,CONFIG_ASIGNATURAS!$B$2:$J$91,9,FALSE()),""))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IF(DATOS!$A19494="",0,IF(CONFIG_METADATA!$B$4&lt;&gt;"OR+EX",--(DATOS!$G19494=CONFIG_METADATA!$B$4),IF(DATOS!$G19494="EX",1,IF(DATOS!$G19494="OR",--(COUNTIFS(nNIA,DATOS!$A19494,nCURSO,DATOS!$D19494,nESPEC,DATOS!$E19494,nASIG,DATOS!$I19494,nEVAL,"EX")=0),0))))</f>
      </c>
      <c r="H19494">
        <f>IF(DATOS!$G19494&lt;&gt;"EX",0,--(COUNTIFS(nNIA,DATOS!$A19494,nCURSO,DATOS!$D19494,nESPEC,DATOS!$E19494,nASIG,DATOS!$I19494,nEVAL,"OR")=0))</f>
      </c>
      <c r="I19494">
        <f>IF(DATOS!$I19494="","",IFERROR(VLOOKUP(DATOS!$I19494,CONFIG_ASIGNATURAS!$B$2:$J$91,9,FALSE()),""))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IF(DATOS!$A19495="",0,IF(CONFIG_METADATA!$B$4&lt;&gt;"OR+EX",--(DATOS!$G19495=CONFIG_METADATA!$B$4),IF(DATOS!$G19495="EX",1,IF(DATOS!$G19495="OR",--(COUNTIFS(nNIA,DATOS!$A19495,nCURSO,DATOS!$D19495,nESPEC,DATOS!$E19495,nASIG,DATOS!$I19495,nEVAL,"EX")=0),0))))</f>
      </c>
      <c r="H19495">
        <f>IF(DATOS!$G19495&lt;&gt;"EX",0,--(COUNTIFS(nNIA,DATOS!$A19495,nCURSO,DATOS!$D19495,nESPEC,DATOS!$E19495,nASIG,DATOS!$I19495,nEVAL,"OR")=0))</f>
      </c>
      <c r="I19495">
        <f>IF(DATOS!$I19495="","",IFERROR(VLOOKUP(DATOS!$I19495,CONFIG_ASIGNATURAS!$B$2:$J$91,9,FALSE()),""))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IF(DATOS!$A19496="",0,IF(CONFIG_METADATA!$B$4&lt;&gt;"OR+EX",--(DATOS!$G19496=CONFIG_METADATA!$B$4),IF(DATOS!$G19496="EX",1,IF(DATOS!$G19496="OR",--(COUNTIFS(nNIA,DATOS!$A19496,nCURSO,DATOS!$D19496,nESPEC,DATOS!$E19496,nASIG,DATOS!$I19496,nEVAL,"EX")=0),0))))</f>
      </c>
      <c r="H19496">
        <f>IF(DATOS!$G19496&lt;&gt;"EX",0,--(COUNTIFS(nNIA,DATOS!$A19496,nCURSO,DATOS!$D19496,nESPEC,DATOS!$E19496,nASIG,DATOS!$I19496,nEVAL,"OR")=0))</f>
      </c>
      <c r="I19496">
        <f>IF(DATOS!$I19496="","",IFERROR(VLOOKUP(DATOS!$I19496,CONFIG_ASIGNATURAS!$B$2:$J$91,9,FALSE()),""))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IF(DATOS!$A19497="",0,IF(CONFIG_METADATA!$B$4&lt;&gt;"OR+EX",--(DATOS!$G19497=CONFIG_METADATA!$B$4),IF(DATOS!$G19497="EX",1,IF(DATOS!$G19497="OR",--(COUNTIFS(nNIA,DATOS!$A19497,nCURSO,DATOS!$D19497,nESPEC,DATOS!$E19497,nASIG,DATOS!$I19497,nEVAL,"EX")=0),0))))</f>
      </c>
      <c r="H19497">
        <f>IF(DATOS!$G19497&lt;&gt;"EX",0,--(COUNTIFS(nNIA,DATOS!$A19497,nCURSO,DATOS!$D19497,nESPEC,DATOS!$E19497,nASIG,DATOS!$I19497,nEVAL,"OR")=0))</f>
      </c>
      <c r="I19497">
        <f>IF(DATOS!$I19497="","",IFERROR(VLOOKUP(DATOS!$I19497,CONFIG_ASIGNATURAS!$B$2:$J$91,9,FALSE()),""))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IF(DATOS!$A19498="",0,IF(CONFIG_METADATA!$B$4&lt;&gt;"OR+EX",--(DATOS!$G19498=CONFIG_METADATA!$B$4),IF(DATOS!$G19498="EX",1,IF(DATOS!$G19498="OR",--(COUNTIFS(nNIA,DATOS!$A19498,nCURSO,DATOS!$D19498,nESPEC,DATOS!$E19498,nASIG,DATOS!$I19498,nEVAL,"EX")=0),0))))</f>
      </c>
      <c r="H19498">
        <f>IF(DATOS!$G19498&lt;&gt;"EX",0,--(COUNTIFS(nNIA,DATOS!$A19498,nCURSO,DATOS!$D19498,nESPEC,DATOS!$E19498,nASIG,DATOS!$I19498,nEVAL,"OR")=0))</f>
      </c>
      <c r="I19498">
        <f>IF(DATOS!$I19498="","",IFERROR(VLOOKUP(DATOS!$I19498,CONFIG_ASIGNATURAS!$B$2:$J$91,9,FALSE()),""))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IF(DATOS!$A19499="",0,IF(CONFIG_METADATA!$B$4&lt;&gt;"OR+EX",--(DATOS!$G19499=CONFIG_METADATA!$B$4),IF(DATOS!$G19499="EX",1,IF(DATOS!$G19499="OR",--(COUNTIFS(nNIA,DATOS!$A19499,nCURSO,DATOS!$D19499,nESPEC,DATOS!$E19499,nASIG,DATOS!$I19499,nEVAL,"EX")=0),0))))</f>
      </c>
      <c r="H19499">
        <f>IF(DATOS!$G19499&lt;&gt;"EX",0,--(COUNTIFS(nNIA,DATOS!$A19499,nCURSO,DATOS!$D19499,nESPEC,DATOS!$E19499,nASIG,DATOS!$I19499,nEVAL,"OR")=0))</f>
      </c>
      <c r="I19499">
        <f>IF(DATOS!$I19499="","",IFERROR(VLOOKUP(DATOS!$I19499,CONFIG_ASIGNATURAS!$B$2:$J$91,9,FALSE()),""))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IF(DATOS!$A19500="",0,IF(CONFIG_METADATA!$B$4&lt;&gt;"OR+EX",--(DATOS!$G19500=CONFIG_METADATA!$B$4),IF(DATOS!$G19500="EX",1,IF(DATOS!$G19500="OR",--(COUNTIFS(nNIA,DATOS!$A19500,nCURSO,DATOS!$D19500,nESPEC,DATOS!$E19500,nASIG,DATOS!$I19500,nEVAL,"EX")=0),0))))</f>
      </c>
      <c r="H19500">
        <f>IF(DATOS!$G19500&lt;&gt;"EX",0,--(COUNTIFS(nNIA,DATOS!$A19500,nCURSO,DATOS!$D19500,nESPEC,DATOS!$E19500,nASIG,DATOS!$I19500,nEVAL,"OR")=0))</f>
      </c>
      <c r="I19500">
        <f>IF(DATOS!$I19500="","",IFERROR(VLOOKUP(DATOS!$I19500,CONFIG_ASIGNATURAS!$B$2:$J$91,9,FALSE()),""))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IF(DATOS!$A19501="",0,IF(CONFIG_METADATA!$B$4&lt;&gt;"OR+EX",--(DATOS!$G19501=CONFIG_METADATA!$B$4),IF(DATOS!$G19501="EX",1,IF(DATOS!$G19501="OR",--(COUNTIFS(nNIA,DATOS!$A19501,nCURSO,DATOS!$D19501,nESPEC,DATOS!$E19501,nASIG,DATOS!$I19501,nEVAL,"EX")=0),0))))</f>
      </c>
      <c r="H19501">
        <f>IF(DATOS!$G19501&lt;&gt;"EX",0,--(COUNTIFS(nNIA,DATOS!$A19501,nCURSO,DATOS!$D19501,nESPEC,DATOS!$E19501,nASIG,DATOS!$I19501,nEVAL,"OR")=0))</f>
      </c>
      <c r="I19501">
        <f>IF(DATOS!$I19501="","",IFERROR(VLOOKUP(DATOS!$I19501,CONFIG_ASIGNATURAS!$B$2:$J$91,9,FALSE()),""))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IF(DATOS!$A19502="",0,IF(CONFIG_METADATA!$B$4&lt;&gt;"OR+EX",--(DATOS!$G19502=CONFIG_METADATA!$B$4),IF(DATOS!$G19502="EX",1,IF(DATOS!$G19502="OR",--(COUNTIFS(nNIA,DATOS!$A19502,nCURSO,DATOS!$D19502,nESPEC,DATOS!$E19502,nASIG,DATOS!$I19502,nEVAL,"EX")=0),0))))</f>
      </c>
      <c r="H19502">
        <f>IF(DATOS!$G19502&lt;&gt;"EX",0,--(COUNTIFS(nNIA,DATOS!$A19502,nCURSO,DATOS!$D19502,nESPEC,DATOS!$E19502,nASIG,DATOS!$I19502,nEVAL,"OR")=0))</f>
      </c>
      <c r="I19502">
        <f>IF(DATOS!$I19502="","",IFERROR(VLOOKUP(DATOS!$I19502,CONFIG_ASIGNATURAS!$B$2:$J$91,9,FALSE()),""))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IF(DATOS!$A19503="",0,IF(CONFIG_METADATA!$B$4&lt;&gt;"OR+EX",--(DATOS!$G19503=CONFIG_METADATA!$B$4),IF(DATOS!$G19503="EX",1,IF(DATOS!$G19503="OR",--(COUNTIFS(nNIA,DATOS!$A19503,nCURSO,DATOS!$D19503,nESPEC,DATOS!$E19503,nASIG,DATOS!$I19503,nEVAL,"EX")=0),0))))</f>
      </c>
      <c r="H19503">
        <f>IF(DATOS!$G19503&lt;&gt;"EX",0,--(COUNTIFS(nNIA,DATOS!$A19503,nCURSO,DATOS!$D19503,nESPEC,DATOS!$E19503,nASIG,DATOS!$I19503,nEVAL,"OR")=0))</f>
      </c>
      <c r="I19503">
        <f>IF(DATOS!$I19503="","",IFERROR(VLOOKUP(DATOS!$I19503,CONFIG_ASIGNATURAS!$B$2:$J$91,9,FALSE()),""))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IF(DATOS!$A19504="",0,IF(CONFIG_METADATA!$B$4&lt;&gt;"OR+EX",--(DATOS!$G19504=CONFIG_METADATA!$B$4),IF(DATOS!$G19504="EX",1,IF(DATOS!$G19504="OR",--(COUNTIFS(nNIA,DATOS!$A19504,nCURSO,DATOS!$D19504,nESPEC,DATOS!$E19504,nASIG,DATOS!$I19504,nEVAL,"EX")=0),0))))</f>
      </c>
      <c r="H19504">
        <f>IF(DATOS!$G19504&lt;&gt;"EX",0,--(COUNTIFS(nNIA,DATOS!$A19504,nCURSO,DATOS!$D19504,nESPEC,DATOS!$E19504,nASIG,DATOS!$I19504,nEVAL,"OR")=0))</f>
      </c>
      <c r="I19504">
        <f>IF(DATOS!$I19504="","",IFERROR(VLOOKUP(DATOS!$I19504,CONFIG_ASIGNATURAS!$B$2:$J$91,9,FALSE()),""))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IF(DATOS!$A19505="",0,IF(CONFIG_METADATA!$B$4&lt;&gt;"OR+EX",--(DATOS!$G19505=CONFIG_METADATA!$B$4),IF(DATOS!$G19505="EX",1,IF(DATOS!$G19505="OR",--(COUNTIFS(nNIA,DATOS!$A19505,nCURSO,DATOS!$D19505,nESPEC,DATOS!$E19505,nASIG,DATOS!$I19505,nEVAL,"EX")=0),0))))</f>
      </c>
      <c r="H19505">
        <f>IF(DATOS!$G19505&lt;&gt;"EX",0,--(COUNTIFS(nNIA,DATOS!$A19505,nCURSO,DATOS!$D19505,nESPEC,DATOS!$E19505,nASIG,DATOS!$I19505,nEVAL,"OR")=0))</f>
      </c>
      <c r="I19505">
        <f>IF(DATOS!$I19505="","",IFERROR(VLOOKUP(DATOS!$I19505,CONFIG_ASIGNATURAS!$B$2:$J$91,9,FALSE()),""))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IF(DATOS!$A19506="",0,IF(CONFIG_METADATA!$B$4&lt;&gt;"OR+EX",--(DATOS!$G19506=CONFIG_METADATA!$B$4),IF(DATOS!$G19506="EX",1,IF(DATOS!$G19506="OR",--(COUNTIFS(nNIA,DATOS!$A19506,nCURSO,DATOS!$D19506,nESPEC,DATOS!$E19506,nASIG,DATOS!$I19506,nEVAL,"EX")=0),0))))</f>
      </c>
      <c r="H19506">
        <f>IF(DATOS!$G19506&lt;&gt;"EX",0,--(COUNTIFS(nNIA,DATOS!$A19506,nCURSO,DATOS!$D19506,nESPEC,DATOS!$E19506,nASIG,DATOS!$I19506,nEVAL,"OR")=0))</f>
      </c>
      <c r="I19506">
        <f>IF(DATOS!$I19506="","",IFERROR(VLOOKUP(DATOS!$I19506,CONFIG_ASIGNATURAS!$B$2:$J$91,9,FALSE()),""))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IF(DATOS!$A19507="",0,IF(CONFIG_METADATA!$B$4&lt;&gt;"OR+EX",--(DATOS!$G19507=CONFIG_METADATA!$B$4),IF(DATOS!$G19507="EX",1,IF(DATOS!$G19507="OR",--(COUNTIFS(nNIA,DATOS!$A19507,nCURSO,DATOS!$D19507,nESPEC,DATOS!$E19507,nASIG,DATOS!$I19507,nEVAL,"EX")=0),0))))</f>
      </c>
      <c r="H19507">
        <f>IF(DATOS!$G19507&lt;&gt;"EX",0,--(COUNTIFS(nNIA,DATOS!$A19507,nCURSO,DATOS!$D19507,nESPEC,DATOS!$E19507,nASIG,DATOS!$I19507,nEVAL,"OR")=0))</f>
      </c>
      <c r="I19507">
        <f>IF(DATOS!$I19507="","",IFERROR(VLOOKUP(DATOS!$I19507,CONFIG_ASIGNATURAS!$B$2:$J$91,9,FALSE()),""))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IF(DATOS!$A19508="",0,IF(CONFIG_METADATA!$B$4&lt;&gt;"OR+EX",--(DATOS!$G19508=CONFIG_METADATA!$B$4),IF(DATOS!$G19508="EX",1,IF(DATOS!$G19508="OR",--(COUNTIFS(nNIA,DATOS!$A19508,nCURSO,DATOS!$D19508,nESPEC,DATOS!$E19508,nASIG,DATOS!$I19508,nEVAL,"EX")=0),0))))</f>
      </c>
      <c r="H19508">
        <f>IF(DATOS!$G19508&lt;&gt;"EX",0,--(COUNTIFS(nNIA,DATOS!$A19508,nCURSO,DATOS!$D19508,nESPEC,DATOS!$E19508,nASIG,DATOS!$I19508,nEVAL,"OR")=0))</f>
      </c>
      <c r="I19508">
        <f>IF(DATOS!$I19508="","",IFERROR(VLOOKUP(DATOS!$I19508,CONFIG_ASIGNATURAS!$B$2:$J$91,9,FALSE()),""))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IF(DATOS!$A19509="",0,IF(CONFIG_METADATA!$B$4&lt;&gt;"OR+EX",--(DATOS!$G19509=CONFIG_METADATA!$B$4),IF(DATOS!$G19509="EX",1,IF(DATOS!$G19509="OR",--(COUNTIFS(nNIA,DATOS!$A19509,nCURSO,DATOS!$D19509,nESPEC,DATOS!$E19509,nASIG,DATOS!$I19509,nEVAL,"EX")=0),0))))</f>
      </c>
      <c r="H19509">
        <f>IF(DATOS!$G19509&lt;&gt;"EX",0,--(COUNTIFS(nNIA,DATOS!$A19509,nCURSO,DATOS!$D19509,nESPEC,DATOS!$E19509,nASIG,DATOS!$I19509,nEVAL,"OR")=0))</f>
      </c>
      <c r="I19509">
        <f>IF(DATOS!$I19509="","",IFERROR(VLOOKUP(DATOS!$I19509,CONFIG_ASIGNATURAS!$B$2:$J$91,9,FALSE()),""))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IF(DATOS!$A19510="",0,IF(CONFIG_METADATA!$B$4&lt;&gt;"OR+EX",--(DATOS!$G19510=CONFIG_METADATA!$B$4),IF(DATOS!$G19510="EX",1,IF(DATOS!$G19510="OR",--(COUNTIFS(nNIA,DATOS!$A19510,nCURSO,DATOS!$D19510,nESPEC,DATOS!$E19510,nASIG,DATOS!$I19510,nEVAL,"EX")=0),0))))</f>
      </c>
      <c r="H19510">
        <f>IF(DATOS!$G19510&lt;&gt;"EX",0,--(COUNTIFS(nNIA,DATOS!$A19510,nCURSO,DATOS!$D19510,nESPEC,DATOS!$E19510,nASIG,DATOS!$I19510,nEVAL,"OR")=0))</f>
      </c>
      <c r="I19510">
        <f>IF(DATOS!$I19510="","",IFERROR(VLOOKUP(DATOS!$I19510,CONFIG_ASIGNATURAS!$B$2:$J$91,9,FALSE()),""))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IF(DATOS!$A19511="",0,IF(CONFIG_METADATA!$B$4&lt;&gt;"OR+EX",--(DATOS!$G19511=CONFIG_METADATA!$B$4),IF(DATOS!$G19511="EX",1,IF(DATOS!$G19511="OR",--(COUNTIFS(nNIA,DATOS!$A19511,nCURSO,DATOS!$D19511,nESPEC,DATOS!$E19511,nASIG,DATOS!$I19511,nEVAL,"EX")=0),0))))</f>
      </c>
      <c r="H19511">
        <f>IF(DATOS!$G19511&lt;&gt;"EX",0,--(COUNTIFS(nNIA,DATOS!$A19511,nCURSO,DATOS!$D19511,nESPEC,DATOS!$E19511,nASIG,DATOS!$I19511,nEVAL,"OR")=0))</f>
      </c>
      <c r="I19511">
        <f>IF(DATOS!$I19511="","",IFERROR(VLOOKUP(DATOS!$I19511,CONFIG_ASIGNATURAS!$B$2:$J$91,9,FALSE()),""))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IF(DATOS!$A19512="",0,IF(CONFIG_METADATA!$B$4&lt;&gt;"OR+EX",--(DATOS!$G19512=CONFIG_METADATA!$B$4),IF(DATOS!$G19512="EX",1,IF(DATOS!$G19512="OR",--(COUNTIFS(nNIA,DATOS!$A19512,nCURSO,DATOS!$D19512,nESPEC,DATOS!$E19512,nASIG,DATOS!$I19512,nEVAL,"EX")=0),0))))</f>
      </c>
      <c r="H19512">
        <f>IF(DATOS!$G19512&lt;&gt;"EX",0,--(COUNTIFS(nNIA,DATOS!$A19512,nCURSO,DATOS!$D19512,nESPEC,DATOS!$E19512,nASIG,DATOS!$I19512,nEVAL,"OR")=0))</f>
      </c>
      <c r="I19512">
        <f>IF(DATOS!$I19512="","",IFERROR(VLOOKUP(DATOS!$I19512,CONFIG_ASIGNATURAS!$B$2:$J$91,9,FALSE()),""))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IF(DATOS!$A19513="",0,IF(CONFIG_METADATA!$B$4&lt;&gt;"OR+EX",--(DATOS!$G19513=CONFIG_METADATA!$B$4),IF(DATOS!$G19513="EX",1,IF(DATOS!$G19513="OR",--(COUNTIFS(nNIA,DATOS!$A19513,nCURSO,DATOS!$D19513,nESPEC,DATOS!$E19513,nASIG,DATOS!$I19513,nEVAL,"EX")=0),0))))</f>
      </c>
      <c r="H19513">
        <f>IF(DATOS!$G19513&lt;&gt;"EX",0,--(COUNTIFS(nNIA,DATOS!$A19513,nCURSO,DATOS!$D19513,nESPEC,DATOS!$E19513,nASIG,DATOS!$I19513,nEVAL,"OR")=0))</f>
      </c>
      <c r="I19513">
        <f>IF(DATOS!$I19513="","",IFERROR(VLOOKUP(DATOS!$I19513,CONFIG_ASIGNATURAS!$B$2:$J$91,9,FALSE()),""))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IF(DATOS!$A19514="",0,IF(CONFIG_METADATA!$B$4&lt;&gt;"OR+EX",--(DATOS!$G19514=CONFIG_METADATA!$B$4),IF(DATOS!$G19514="EX",1,IF(DATOS!$G19514="OR",--(COUNTIFS(nNIA,DATOS!$A19514,nCURSO,DATOS!$D19514,nESPEC,DATOS!$E19514,nASIG,DATOS!$I19514,nEVAL,"EX")=0),0))))</f>
      </c>
      <c r="H19514">
        <f>IF(DATOS!$G19514&lt;&gt;"EX",0,--(COUNTIFS(nNIA,DATOS!$A19514,nCURSO,DATOS!$D19514,nESPEC,DATOS!$E19514,nASIG,DATOS!$I19514,nEVAL,"OR")=0))</f>
      </c>
      <c r="I19514">
        <f>IF(DATOS!$I19514="","",IFERROR(VLOOKUP(DATOS!$I19514,CONFIG_ASIGNATURAS!$B$2:$J$91,9,FALSE()),""))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IF(DATOS!$A19515="",0,IF(CONFIG_METADATA!$B$4&lt;&gt;"OR+EX",--(DATOS!$G19515=CONFIG_METADATA!$B$4),IF(DATOS!$G19515="EX",1,IF(DATOS!$G19515="OR",--(COUNTIFS(nNIA,DATOS!$A19515,nCURSO,DATOS!$D19515,nESPEC,DATOS!$E19515,nASIG,DATOS!$I19515,nEVAL,"EX")=0),0))))</f>
      </c>
      <c r="H19515">
        <f>IF(DATOS!$G19515&lt;&gt;"EX",0,--(COUNTIFS(nNIA,DATOS!$A19515,nCURSO,DATOS!$D19515,nESPEC,DATOS!$E19515,nASIG,DATOS!$I19515,nEVAL,"OR")=0))</f>
      </c>
      <c r="I19515">
        <f>IF(DATOS!$I19515="","",IFERROR(VLOOKUP(DATOS!$I19515,CONFIG_ASIGNATURAS!$B$2:$J$91,9,FALSE()),""))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IF(DATOS!$A19516="",0,IF(CONFIG_METADATA!$B$4&lt;&gt;"OR+EX",--(DATOS!$G19516=CONFIG_METADATA!$B$4),IF(DATOS!$G19516="EX",1,IF(DATOS!$G19516="OR",--(COUNTIFS(nNIA,DATOS!$A19516,nCURSO,DATOS!$D19516,nESPEC,DATOS!$E19516,nASIG,DATOS!$I19516,nEVAL,"EX")=0),0))))</f>
      </c>
      <c r="H19516">
        <f>IF(DATOS!$G19516&lt;&gt;"EX",0,--(COUNTIFS(nNIA,DATOS!$A19516,nCURSO,DATOS!$D19516,nESPEC,DATOS!$E19516,nASIG,DATOS!$I19516,nEVAL,"OR")=0))</f>
      </c>
      <c r="I19516">
        <f>IF(DATOS!$I19516="","",IFERROR(VLOOKUP(DATOS!$I19516,CONFIG_ASIGNATURAS!$B$2:$J$91,9,FALSE()),""))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IF(DATOS!$A19517="",0,IF(CONFIG_METADATA!$B$4&lt;&gt;"OR+EX",--(DATOS!$G19517=CONFIG_METADATA!$B$4),IF(DATOS!$G19517="EX",1,IF(DATOS!$G19517="OR",--(COUNTIFS(nNIA,DATOS!$A19517,nCURSO,DATOS!$D19517,nESPEC,DATOS!$E19517,nASIG,DATOS!$I19517,nEVAL,"EX")=0),0))))</f>
      </c>
      <c r="H19517">
        <f>IF(DATOS!$G19517&lt;&gt;"EX",0,--(COUNTIFS(nNIA,DATOS!$A19517,nCURSO,DATOS!$D19517,nESPEC,DATOS!$E19517,nASIG,DATOS!$I19517,nEVAL,"OR")=0))</f>
      </c>
      <c r="I19517">
        <f>IF(DATOS!$I19517="","",IFERROR(VLOOKUP(DATOS!$I19517,CONFIG_ASIGNATURAS!$B$2:$J$91,9,FALSE()),""))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IF(DATOS!$A19518="",0,IF(CONFIG_METADATA!$B$4&lt;&gt;"OR+EX",--(DATOS!$G19518=CONFIG_METADATA!$B$4),IF(DATOS!$G19518="EX",1,IF(DATOS!$G19518="OR",--(COUNTIFS(nNIA,DATOS!$A19518,nCURSO,DATOS!$D19518,nESPEC,DATOS!$E19518,nASIG,DATOS!$I19518,nEVAL,"EX")=0),0))))</f>
      </c>
      <c r="H19518">
        <f>IF(DATOS!$G19518&lt;&gt;"EX",0,--(COUNTIFS(nNIA,DATOS!$A19518,nCURSO,DATOS!$D19518,nESPEC,DATOS!$E19518,nASIG,DATOS!$I19518,nEVAL,"OR")=0))</f>
      </c>
      <c r="I19518">
        <f>IF(DATOS!$I19518="","",IFERROR(VLOOKUP(DATOS!$I19518,CONFIG_ASIGNATURAS!$B$2:$J$91,9,FALSE()),""))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IF(DATOS!$A19519="",0,IF(CONFIG_METADATA!$B$4&lt;&gt;"OR+EX",--(DATOS!$G19519=CONFIG_METADATA!$B$4),IF(DATOS!$G19519="EX",1,IF(DATOS!$G19519="OR",--(COUNTIFS(nNIA,DATOS!$A19519,nCURSO,DATOS!$D19519,nESPEC,DATOS!$E19519,nASIG,DATOS!$I19519,nEVAL,"EX")=0),0))))</f>
      </c>
      <c r="H19519">
        <f>IF(DATOS!$G19519&lt;&gt;"EX",0,--(COUNTIFS(nNIA,DATOS!$A19519,nCURSO,DATOS!$D19519,nESPEC,DATOS!$E19519,nASIG,DATOS!$I19519,nEVAL,"OR")=0))</f>
      </c>
      <c r="I19519">
        <f>IF(DATOS!$I19519="","",IFERROR(VLOOKUP(DATOS!$I19519,CONFIG_ASIGNATURAS!$B$2:$J$91,9,FALSE()),""))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IF(DATOS!$A19520="",0,IF(CONFIG_METADATA!$B$4&lt;&gt;"OR+EX",--(DATOS!$G19520=CONFIG_METADATA!$B$4),IF(DATOS!$G19520="EX",1,IF(DATOS!$G19520="OR",--(COUNTIFS(nNIA,DATOS!$A19520,nCURSO,DATOS!$D19520,nESPEC,DATOS!$E19520,nASIG,DATOS!$I19520,nEVAL,"EX")=0),0))))</f>
      </c>
      <c r="H19520">
        <f>IF(DATOS!$G19520&lt;&gt;"EX",0,--(COUNTIFS(nNIA,DATOS!$A19520,nCURSO,DATOS!$D19520,nESPEC,DATOS!$E19520,nASIG,DATOS!$I19520,nEVAL,"OR")=0))</f>
      </c>
      <c r="I19520">
        <f>IF(DATOS!$I19520="","",IFERROR(VLOOKUP(DATOS!$I19520,CONFIG_ASIGNATURAS!$B$2:$J$91,9,FALSE()),""))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IF(DATOS!$A19521="",0,IF(CONFIG_METADATA!$B$4&lt;&gt;"OR+EX",--(DATOS!$G19521=CONFIG_METADATA!$B$4),IF(DATOS!$G19521="EX",1,IF(DATOS!$G19521="OR",--(COUNTIFS(nNIA,DATOS!$A19521,nCURSO,DATOS!$D19521,nESPEC,DATOS!$E19521,nASIG,DATOS!$I19521,nEVAL,"EX")=0),0))))</f>
      </c>
      <c r="H19521">
        <f>IF(DATOS!$G19521&lt;&gt;"EX",0,--(COUNTIFS(nNIA,DATOS!$A19521,nCURSO,DATOS!$D19521,nESPEC,DATOS!$E19521,nASIG,DATOS!$I19521,nEVAL,"OR")=0))</f>
      </c>
      <c r="I19521">
        <f>IF(DATOS!$I19521="","",IFERROR(VLOOKUP(DATOS!$I19521,CONFIG_ASIGNATURAS!$B$2:$J$91,9,FALSE()),""))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IF(DATOS!$A19522="",0,IF(CONFIG_METADATA!$B$4&lt;&gt;"OR+EX",--(DATOS!$G19522=CONFIG_METADATA!$B$4),IF(DATOS!$G19522="EX",1,IF(DATOS!$G19522="OR",--(COUNTIFS(nNIA,DATOS!$A19522,nCURSO,DATOS!$D19522,nESPEC,DATOS!$E19522,nASIG,DATOS!$I19522,nEVAL,"EX")=0),0))))</f>
      </c>
      <c r="H19522">
        <f>IF(DATOS!$G19522&lt;&gt;"EX",0,--(COUNTIFS(nNIA,DATOS!$A19522,nCURSO,DATOS!$D19522,nESPEC,DATOS!$E19522,nASIG,DATOS!$I19522,nEVAL,"OR")=0))</f>
      </c>
      <c r="I19522">
        <f>IF(DATOS!$I19522="","",IFERROR(VLOOKUP(DATOS!$I19522,CONFIG_ASIGNATURAS!$B$2:$J$91,9,FALSE()),""))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IF(DATOS!$A19523="",0,IF(CONFIG_METADATA!$B$4&lt;&gt;"OR+EX",--(DATOS!$G19523=CONFIG_METADATA!$B$4),IF(DATOS!$G19523="EX",1,IF(DATOS!$G19523="OR",--(COUNTIFS(nNIA,DATOS!$A19523,nCURSO,DATOS!$D19523,nESPEC,DATOS!$E19523,nASIG,DATOS!$I19523,nEVAL,"EX")=0),0))))</f>
      </c>
      <c r="H19523">
        <f>IF(DATOS!$G19523&lt;&gt;"EX",0,--(COUNTIFS(nNIA,DATOS!$A19523,nCURSO,DATOS!$D19523,nESPEC,DATOS!$E19523,nASIG,DATOS!$I19523,nEVAL,"OR")=0))</f>
      </c>
      <c r="I19523">
        <f>IF(DATOS!$I19523="","",IFERROR(VLOOKUP(DATOS!$I19523,CONFIG_ASIGNATURAS!$B$2:$J$91,9,FALSE()),""))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IF(DATOS!$A19524="",0,IF(CONFIG_METADATA!$B$4&lt;&gt;"OR+EX",--(DATOS!$G19524=CONFIG_METADATA!$B$4),IF(DATOS!$G19524="EX",1,IF(DATOS!$G19524="OR",--(COUNTIFS(nNIA,DATOS!$A19524,nCURSO,DATOS!$D19524,nESPEC,DATOS!$E19524,nASIG,DATOS!$I19524,nEVAL,"EX")=0),0))))</f>
      </c>
      <c r="H19524">
        <f>IF(DATOS!$G19524&lt;&gt;"EX",0,--(COUNTIFS(nNIA,DATOS!$A19524,nCURSO,DATOS!$D19524,nESPEC,DATOS!$E19524,nASIG,DATOS!$I19524,nEVAL,"OR")=0))</f>
      </c>
      <c r="I19524">
        <f>IF(DATOS!$I19524="","",IFERROR(VLOOKUP(DATOS!$I19524,CONFIG_ASIGNATURAS!$B$2:$J$91,9,FALSE()),""))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IF(DATOS!$A19525="",0,IF(CONFIG_METADATA!$B$4&lt;&gt;"OR+EX",--(DATOS!$G19525=CONFIG_METADATA!$B$4),IF(DATOS!$G19525="EX",1,IF(DATOS!$G19525="OR",--(COUNTIFS(nNIA,DATOS!$A19525,nCURSO,DATOS!$D19525,nESPEC,DATOS!$E19525,nASIG,DATOS!$I19525,nEVAL,"EX")=0),0))))</f>
      </c>
      <c r="H19525">
        <f>IF(DATOS!$G19525&lt;&gt;"EX",0,--(COUNTIFS(nNIA,DATOS!$A19525,nCURSO,DATOS!$D19525,nESPEC,DATOS!$E19525,nASIG,DATOS!$I19525,nEVAL,"OR")=0))</f>
      </c>
      <c r="I19525">
        <f>IF(DATOS!$I19525="","",IFERROR(VLOOKUP(DATOS!$I19525,CONFIG_ASIGNATURAS!$B$2:$J$91,9,FALSE()),""))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IF(DATOS!$A19526="",0,IF(CONFIG_METADATA!$B$4&lt;&gt;"OR+EX",--(DATOS!$G19526=CONFIG_METADATA!$B$4),IF(DATOS!$G19526="EX",1,IF(DATOS!$G19526="OR",--(COUNTIFS(nNIA,DATOS!$A19526,nCURSO,DATOS!$D19526,nESPEC,DATOS!$E19526,nASIG,DATOS!$I19526,nEVAL,"EX")=0),0))))</f>
      </c>
      <c r="H19526">
        <f>IF(DATOS!$G19526&lt;&gt;"EX",0,--(COUNTIFS(nNIA,DATOS!$A19526,nCURSO,DATOS!$D19526,nESPEC,DATOS!$E19526,nASIG,DATOS!$I19526,nEVAL,"OR")=0))</f>
      </c>
      <c r="I19526">
        <f>IF(DATOS!$I19526="","",IFERROR(VLOOKUP(DATOS!$I19526,CONFIG_ASIGNATURAS!$B$2:$J$91,9,FALSE()),""))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IF(DATOS!$A19527="",0,IF(CONFIG_METADATA!$B$4&lt;&gt;"OR+EX",--(DATOS!$G19527=CONFIG_METADATA!$B$4),IF(DATOS!$G19527="EX",1,IF(DATOS!$G19527="OR",--(COUNTIFS(nNIA,DATOS!$A19527,nCURSO,DATOS!$D19527,nESPEC,DATOS!$E19527,nASIG,DATOS!$I19527,nEVAL,"EX")=0),0))))</f>
      </c>
      <c r="H19527">
        <f>IF(DATOS!$G19527&lt;&gt;"EX",0,--(COUNTIFS(nNIA,DATOS!$A19527,nCURSO,DATOS!$D19527,nESPEC,DATOS!$E19527,nASIG,DATOS!$I19527,nEVAL,"OR")=0))</f>
      </c>
      <c r="I19527">
        <f>IF(DATOS!$I19527="","",IFERROR(VLOOKUP(DATOS!$I19527,CONFIG_ASIGNATURAS!$B$2:$J$91,9,FALSE()),""))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IF(DATOS!$A19528="",0,IF(CONFIG_METADATA!$B$4&lt;&gt;"OR+EX",--(DATOS!$G19528=CONFIG_METADATA!$B$4),IF(DATOS!$G19528="EX",1,IF(DATOS!$G19528="OR",--(COUNTIFS(nNIA,DATOS!$A19528,nCURSO,DATOS!$D19528,nESPEC,DATOS!$E19528,nASIG,DATOS!$I19528,nEVAL,"EX")=0),0))))</f>
      </c>
      <c r="H19528">
        <f>IF(DATOS!$G19528&lt;&gt;"EX",0,--(COUNTIFS(nNIA,DATOS!$A19528,nCURSO,DATOS!$D19528,nESPEC,DATOS!$E19528,nASIG,DATOS!$I19528,nEVAL,"OR")=0))</f>
      </c>
      <c r="I19528">
        <f>IF(DATOS!$I19528="","",IFERROR(VLOOKUP(DATOS!$I19528,CONFIG_ASIGNATURAS!$B$2:$J$91,9,FALSE()),""))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IF(DATOS!$A19529="",0,IF(CONFIG_METADATA!$B$4&lt;&gt;"OR+EX",--(DATOS!$G19529=CONFIG_METADATA!$B$4),IF(DATOS!$G19529="EX",1,IF(DATOS!$G19529="OR",--(COUNTIFS(nNIA,DATOS!$A19529,nCURSO,DATOS!$D19529,nESPEC,DATOS!$E19529,nASIG,DATOS!$I19529,nEVAL,"EX")=0),0))))</f>
      </c>
      <c r="H19529">
        <f>IF(DATOS!$G19529&lt;&gt;"EX",0,--(COUNTIFS(nNIA,DATOS!$A19529,nCURSO,DATOS!$D19529,nESPEC,DATOS!$E19529,nASIG,DATOS!$I19529,nEVAL,"OR")=0))</f>
      </c>
      <c r="I19529">
        <f>IF(DATOS!$I19529="","",IFERROR(VLOOKUP(DATOS!$I19529,CONFIG_ASIGNATURAS!$B$2:$J$91,9,FALSE()),""))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IF(DATOS!$A19530="",0,IF(CONFIG_METADATA!$B$4&lt;&gt;"OR+EX",--(DATOS!$G19530=CONFIG_METADATA!$B$4),IF(DATOS!$G19530="EX",1,IF(DATOS!$G19530="OR",--(COUNTIFS(nNIA,DATOS!$A19530,nCURSO,DATOS!$D19530,nESPEC,DATOS!$E19530,nASIG,DATOS!$I19530,nEVAL,"EX")=0),0))))</f>
      </c>
      <c r="H19530">
        <f>IF(DATOS!$G19530&lt;&gt;"EX",0,--(COUNTIFS(nNIA,DATOS!$A19530,nCURSO,DATOS!$D19530,nESPEC,DATOS!$E19530,nASIG,DATOS!$I19530,nEVAL,"OR")=0))</f>
      </c>
      <c r="I19530">
        <f>IF(DATOS!$I19530="","",IFERROR(VLOOKUP(DATOS!$I19530,CONFIG_ASIGNATURAS!$B$2:$J$91,9,FALSE()),""))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IF(DATOS!$A19531="",0,IF(CONFIG_METADATA!$B$4&lt;&gt;"OR+EX",--(DATOS!$G19531=CONFIG_METADATA!$B$4),IF(DATOS!$G19531="EX",1,IF(DATOS!$G19531="OR",--(COUNTIFS(nNIA,DATOS!$A19531,nCURSO,DATOS!$D19531,nESPEC,DATOS!$E19531,nASIG,DATOS!$I19531,nEVAL,"EX")=0),0))))</f>
      </c>
      <c r="H19531">
        <f>IF(DATOS!$G19531&lt;&gt;"EX",0,--(COUNTIFS(nNIA,DATOS!$A19531,nCURSO,DATOS!$D19531,nESPEC,DATOS!$E19531,nASIG,DATOS!$I19531,nEVAL,"OR")=0))</f>
      </c>
      <c r="I19531">
        <f>IF(DATOS!$I19531="","",IFERROR(VLOOKUP(DATOS!$I19531,CONFIG_ASIGNATURAS!$B$2:$J$91,9,FALSE()),""))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IF(DATOS!$A19532="",0,IF(CONFIG_METADATA!$B$4&lt;&gt;"OR+EX",--(DATOS!$G19532=CONFIG_METADATA!$B$4),IF(DATOS!$G19532="EX",1,IF(DATOS!$G19532="OR",--(COUNTIFS(nNIA,DATOS!$A19532,nCURSO,DATOS!$D19532,nESPEC,DATOS!$E19532,nASIG,DATOS!$I19532,nEVAL,"EX")=0),0))))</f>
      </c>
      <c r="H19532">
        <f>IF(DATOS!$G19532&lt;&gt;"EX",0,--(COUNTIFS(nNIA,DATOS!$A19532,nCURSO,DATOS!$D19532,nESPEC,DATOS!$E19532,nASIG,DATOS!$I19532,nEVAL,"OR")=0))</f>
      </c>
      <c r="I19532">
        <f>IF(DATOS!$I19532="","",IFERROR(VLOOKUP(DATOS!$I19532,CONFIG_ASIGNATURAS!$B$2:$J$91,9,FALSE()),""))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IF(DATOS!$A19533="",0,IF(CONFIG_METADATA!$B$4&lt;&gt;"OR+EX",--(DATOS!$G19533=CONFIG_METADATA!$B$4),IF(DATOS!$G19533="EX",1,IF(DATOS!$G19533="OR",--(COUNTIFS(nNIA,DATOS!$A19533,nCURSO,DATOS!$D19533,nESPEC,DATOS!$E19533,nASIG,DATOS!$I19533,nEVAL,"EX")=0),0))))</f>
      </c>
      <c r="H19533">
        <f>IF(DATOS!$G19533&lt;&gt;"EX",0,--(COUNTIFS(nNIA,DATOS!$A19533,nCURSO,DATOS!$D19533,nESPEC,DATOS!$E19533,nASIG,DATOS!$I19533,nEVAL,"OR")=0))</f>
      </c>
      <c r="I19533">
        <f>IF(DATOS!$I19533="","",IFERROR(VLOOKUP(DATOS!$I19533,CONFIG_ASIGNATURAS!$B$2:$J$91,9,FALSE()),""))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IF(DATOS!$A19534="",0,IF(CONFIG_METADATA!$B$4&lt;&gt;"OR+EX",--(DATOS!$G19534=CONFIG_METADATA!$B$4),IF(DATOS!$G19534="EX",1,IF(DATOS!$G19534="OR",--(COUNTIFS(nNIA,DATOS!$A19534,nCURSO,DATOS!$D19534,nESPEC,DATOS!$E19534,nASIG,DATOS!$I19534,nEVAL,"EX")=0),0))))</f>
      </c>
      <c r="H19534">
        <f>IF(DATOS!$G19534&lt;&gt;"EX",0,--(COUNTIFS(nNIA,DATOS!$A19534,nCURSO,DATOS!$D19534,nESPEC,DATOS!$E19534,nASIG,DATOS!$I19534,nEVAL,"OR")=0))</f>
      </c>
      <c r="I19534">
        <f>IF(DATOS!$I19534="","",IFERROR(VLOOKUP(DATOS!$I19534,CONFIG_ASIGNATURAS!$B$2:$J$91,9,FALSE()),""))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IF(DATOS!$A19535="",0,IF(CONFIG_METADATA!$B$4&lt;&gt;"OR+EX",--(DATOS!$G19535=CONFIG_METADATA!$B$4),IF(DATOS!$G19535="EX",1,IF(DATOS!$G19535="OR",--(COUNTIFS(nNIA,DATOS!$A19535,nCURSO,DATOS!$D19535,nESPEC,DATOS!$E19535,nASIG,DATOS!$I19535,nEVAL,"EX")=0),0))))</f>
      </c>
      <c r="H19535">
        <f>IF(DATOS!$G19535&lt;&gt;"EX",0,--(COUNTIFS(nNIA,DATOS!$A19535,nCURSO,DATOS!$D19535,nESPEC,DATOS!$E19535,nASIG,DATOS!$I19535,nEVAL,"OR")=0))</f>
      </c>
      <c r="I19535">
        <f>IF(DATOS!$I19535="","",IFERROR(VLOOKUP(DATOS!$I19535,CONFIG_ASIGNATURAS!$B$2:$J$91,9,FALSE()),""))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IF(DATOS!$A19536="",0,IF(CONFIG_METADATA!$B$4&lt;&gt;"OR+EX",--(DATOS!$G19536=CONFIG_METADATA!$B$4),IF(DATOS!$G19536="EX",1,IF(DATOS!$G19536="OR",--(COUNTIFS(nNIA,DATOS!$A19536,nCURSO,DATOS!$D19536,nESPEC,DATOS!$E19536,nASIG,DATOS!$I19536,nEVAL,"EX")=0),0))))</f>
      </c>
      <c r="H19536">
        <f>IF(DATOS!$G19536&lt;&gt;"EX",0,--(COUNTIFS(nNIA,DATOS!$A19536,nCURSO,DATOS!$D19536,nESPEC,DATOS!$E19536,nASIG,DATOS!$I19536,nEVAL,"OR")=0))</f>
      </c>
      <c r="I19536">
        <f>IF(DATOS!$I19536="","",IFERROR(VLOOKUP(DATOS!$I19536,CONFIG_ASIGNATURAS!$B$2:$J$91,9,FALSE()),""))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IF(DATOS!$A19537="",0,IF(CONFIG_METADATA!$B$4&lt;&gt;"OR+EX",--(DATOS!$G19537=CONFIG_METADATA!$B$4),IF(DATOS!$G19537="EX",1,IF(DATOS!$G19537="OR",--(COUNTIFS(nNIA,DATOS!$A19537,nCURSO,DATOS!$D19537,nESPEC,DATOS!$E19537,nASIG,DATOS!$I19537,nEVAL,"EX")=0),0))))</f>
      </c>
      <c r="H19537">
        <f>IF(DATOS!$G19537&lt;&gt;"EX",0,--(COUNTIFS(nNIA,DATOS!$A19537,nCURSO,DATOS!$D19537,nESPEC,DATOS!$E19537,nASIG,DATOS!$I19537,nEVAL,"OR")=0))</f>
      </c>
      <c r="I19537">
        <f>IF(DATOS!$I19537="","",IFERROR(VLOOKUP(DATOS!$I19537,CONFIG_ASIGNATURAS!$B$2:$J$91,9,FALSE()),""))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IF(DATOS!$A19538="",0,IF(CONFIG_METADATA!$B$4&lt;&gt;"OR+EX",--(DATOS!$G19538=CONFIG_METADATA!$B$4),IF(DATOS!$G19538="EX",1,IF(DATOS!$G19538="OR",--(COUNTIFS(nNIA,DATOS!$A19538,nCURSO,DATOS!$D19538,nESPEC,DATOS!$E19538,nASIG,DATOS!$I19538,nEVAL,"EX")=0),0))))</f>
      </c>
      <c r="H19538">
        <f>IF(DATOS!$G19538&lt;&gt;"EX",0,--(COUNTIFS(nNIA,DATOS!$A19538,nCURSO,DATOS!$D19538,nESPEC,DATOS!$E19538,nASIG,DATOS!$I19538,nEVAL,"OR")=0))</f>
      </c>
      <c r="I19538">
        <f>IF(DATOS!$I19538="","",IFERROR(VLOOKUP(DATOS!$I19538,CONFIG_ASIGNATURAS!$B$2:$J$91,9,FALSE()),""))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IF(DATOS!$A19539="",0,IF(CONFIG_METADATA!$B$4&lt;&gt;"OR+EX",--(DATOS!$G19539=CONFIG_METADATA!$B$4),IF(DATOS!$G19539="EX",1,IF(DATOS!$G19539="OR",--(COUNTIFS(nNIA,DATOS!$A19539,nCURSO,DATOS!$D19539,nESPEC,DATOS!$E19539,nASIG,DATOS!$I19539,nEVAL,"EX")=0),0))))</f>
      </c>
      <c r="H19539">
        <f>IF(DATOS!$G19539&lt;&gt;"EX",0,--(COUNTIFS(nNIA,DATOS!$A19539,nCURSO,DATOS!$D19539,nESPEC,DATOS!$E19539,nASIG,DATOS!$I19539,nEVAL,"OR")=0))</f>
      </c>
      <c r="I19539">
        <f>IF(DATOS!$I19539="","",IFERROR(VLOOKUP(DATOS!$I19539,CONFIG_ASIGNATURAS!$B$2:$J$91,9,FALSE()),""))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IF(DATOS!$A19540="",0,IF(CONFIG_METADATA!$B$4&lt;&gt;"OR+EX",--(DATOS!$G19540=CONFIG_METADATA!$B$4),IF(DATOS!$G19540="EX",1,IF(DATOS!$G19540="OR",--(COUNTIFS(nNIA,DATOS!$A19540,nCURSO,DATOS!$D19540,nESPEC,DATOS!$E19540,nASIG,DATOS!$I19540,nEVAL,"EX")=0),0))))</f>
      </c>
      <c r="H19540">
        <f>IF(DATOS!$G19540&lt;&gt;"EX",0,--(COUNTIFS(nNIA,DATOS!$A19540,nCURSO,DATOS!$D19540,nESPEC,DATOS!$E19540,nASIG,DATOS!$I19540,nEVAL,"OR")=0))</f>
      </c>
      <c r="I19540">
        <f>IF(DATOS!$I19540="","",IFERROR(VLOOKUP(DATOS!$I19540,CONFIG_ASIGNATURAS!$B$2:$J$91,9,FALSE()),""))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IF(DATOS!$A19541="",0,IF(CONFIG_METADATA!$B$4&lt;&gt;"OR+EX",--(DATOS!$G19541=CONFIG_METADATA!$B$4),IF(DATOS!$G19541="EX",1,IF(DATOS!$G19541="OR",--(COUNTIFS(nNIA,DATOS!$A19541,nCURSO,DATOS!$D19541,nESPEC,DATOS!$E19541,nASIG,DATOS!$I19541,nEVAL,"EX")=0),0))))</f>
      </c>
      <c r="H19541">
        <f>IF(DATOS!$G19541&lt;&gt;"EX",0,--(COUNTIFS(nNIA,DATOS!$A19541,nCURSO,DATOS!$D19541,nESPEC,DATOS!$E19541,nASIG,DATOS!$I19541,nEVAL,"OR")=0))</f>
      </c>
      <c r="I19541">
        <f>IF(DATOS!$I19541="","",IFERROR(VLOOKUP(DATOS!$I19541,CONFIG_ASIGNATURAS!$B$2:$J$91,9,FALSE()),""))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IF(DATOS!$A19542="",0,IF(CONFIG_METADATA!$B$4&lt;&gt;"OR+EX",--(DATOS!$G19542=CONFIG_METADATA!$B$4),IF(DATOS!$G19542="EX",1,IF(DATOS!$G19542="OR",--(COUNTIFS(nNIA,DATOS!$A19542,nCURSO,DATOS!$D19542,nESPEC,DATOS!$E19542,nASIG,DATOS!$I19542,nEVAL,"EX")=0),0))))</f>
      </c>
      <c r="H19542">
        <f>IF(DATOS!$G19542&lt;&gt;"EX",0,--(COUNTIFS(nNIA,DATOS!$A19542,nCURSO,DATOS!$D19542,nESPEC,DATOS!$E19542,nASIG,DATOS!$I19542,nEVAL,"OR")=0))</f>
      </c>
      <c r="I19542">
        <f>IF(DATOS!$I19542="","",IFERROR(VLOOKUP(DATOS!$I19542,CONFIG_ASIGNATURAS!$B$2:$J$91,9,FALSE()),""))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IF(DATOS!$A19543="",0,IF(CONFIG_METADATA!$B$4&lt;&gt;"OR+EX",--(DATOS!$G19543=CONFIG_METADATA!$B$4),IF(DATOS!$G19543="EX",1,IF(DATOS!$G19543="OR",--(COUNTIFS(nNIA,DATOS!$A19543,nCURSO,DATOS!$D19543,nESPEC,DATOS!$E19543,nASIG,DATOS!$I19543,nEVAL,"EX")=0),0))))</f>
      </c>
      <c r="H19543">
        <f>IF(DATOS!$G19543&lt;&gt;"EX",0,--(COUNTIFS(nNIA,DATOS!$A19543,nCURSO,DATOS!$D19543,nESPEC,DATOS!$E19543,nASIG,DATOS!$I19543,nEVAL,"OR")=0))</f>
      </c>
      <c r="I19543">
        <f>IF(DATOS!$I19543="","",IFERROR(VLOOKUP(DATOS!$I19543,CONFIG_ASIGNATURAS!$B$2:$J$91,9,FALSE()),""))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IF(DATOS!$A19544="",0,IF(CONFIG_METADATA!$B$4&lt;&gt;"OR+EX",--(DATOS!$G19544=CONFIG_METADATA!$B$4),IF(DATOS!$G19544="EX",1,IF(DATOS!$G19544="OR",--(COUNTIFS(nNIA,DATOS!$A19544,nCURSO,DATOS!$D19544,nESPEC,DATOS!$E19544,nASIG,DATOS!$I19544,nEVAL,"EX")=0),0))))</f>
      </c>
      <c r="H19544">
        <f>IF(DATOS!$G19544&lt;&gt;"EX",0,--(COUNTIFS(nNIA,DATOS!$A19544,nCURSO,DATOS!$D19544,nESPEC,DATOS!$E19544,nASIG,DATOS!$I19544,nEVAL,"OR")=0))</f>
      </c>
      <c r="I19544">
        <f>IF(DATOS!$I19544="","",IFERROR(VLOOKUP(DATOS!$I19544,CONFIG_ASIGNATURAS!$B$2:$J$91,9,FALSE()),""))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IF(DATOS!$A19545="",0,IF(CONFIG_METADATA!$B$4&lt;&gt;"OR+EX",--(DATOS!$G19545=CONFIG_METADATA!$B$4),IF(DATOS!$G19545="EX",1,IF(DATOS!$G19545="OR",--(COUNTIFS(nNIA,DATOS!$A19545,nCURSO,DATOS!$D19545,nESPEC,DATOS!$E19545,nASIG,DATOS!$I19545,nEVAL,"EX")=0),0))))</f>
      </c>
      <c r="H19545">
        <f>IF(DATOS!$G19545&lt;&gt;"EX",0,--(COUNTIFS(nNIA,DATOS!$A19545,nCURSO,DATOS!$D19545,nESPEC,DATOS!$E19545,nASIG,DATOS!$I19545,nEVAL,"OR")=0))</f>
      </c>
      <c r="I19545">
        <f>IF(DATOS!$I19545="","",IFERROR(VLOOKUP(DATOS!$I19545,CONFIG_ASIGNATURAS!$B$2:$J$91,9,FALSE()),""))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IF(DATOS!$A19546="",0,IF(CONFIG_METADATA!$B$4&lt;&gt;"OR+EX",--(DATOS!$G19546=CONFIG_METADATA!$B$4),IF(DATOS!$G19546="EX",1,IF(DATOS!$G19546="OR",--(COUNTIFS(nNIA,DATOS!$A19546,nCURSO,DATOS!$D19546,nESPEC,DATOS!$E19546,nASIG,DATOS!$I19546,nEVAL,"EX")=0),0))))</f>
      </c>
      <c r="H19546">
        <f>IF(DATOS!$G19546&lt;&gt;"EX",0,--(COUNTIFS(nNIA,DATOS!$A19546,nCURSO,DATOS!$D19546,nESPEC,DATOS!$E19546,nASIG,DATOS!$I19546,nEVAL,"OR")=0))</f>
      </c>
      <c r="I19546">
        <f>IF(DATOS!$I19546="","",IFERROR(VLOOKUP(DATOS!$I19546,CONFIG_ASIGNATURAS!$B$2:$J$91,9,FALSE()),""))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IF(DATOS!$A19547="",0,IF(CONFIG_METADATA!$B$4&lt;&gt;"OR+EX",--(DATOS!$G19547=CONFIG_METADATA!$B$4),IF(DATOS!$G19547="EX",1,IF(DATOS!$G19547="OR",--(COUNTIFS(nNIA,DATOS!$A19547,nCURSO,DATOS!$D19547,nESPEC,DATOS!$E19547,nASIG,DATOS!$I19547,nEVAL,"EX")=0),0))))</f>
      </c>
      <c r="H19547">
        <f>IF(DATOS!$G19547&lt;&gt;"EX",0,--(COUNTIFS(nNIA,DATOS!$A19547,nCURSO,DATOS!$D19547,nESPEC,DATOS!$E19547,nASIG,DATOS!$I19547,nEVAL,"OR")=0))</f>
      </c>
      <c r="I19547">
        <f>IF(DATOS!$I19547="","",IFERROR(VLOOKUP(DATOS!$I19547,CONFIG_ASIGNATURAS!$B$2:$J$91,9,FALSE()),""))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IF(DATOS!$A19548="",0,IF(CONFIG_METADATA!$B$4&lt;&gt;"OR+EX",--(DATOS!$G19548=CONFIG_METADATA!$B$4),IF(DATOS!$G19548="EX",1,IF(DATOS!$G19548="OR",--(COUNTIFS(nNIA,DATOS!$A19548,nCURSO,DATOS!$D19548,nESPEC,DATOS!$E19548,nASIG,DATOS!$I19548,nEVAL,"EX")=0),0))))</f>
      </c>
      <c r="H19548">
        <f>IF(DATOS!$G19548&lt;&gt;"EX",0,--(COUNTIFS(nNIA,DATOS!$A19548,nCURSO,DATOS!$D19548,nESPEC,DATOS!$E19548,nASIG,DATOS!$I19548,nEVAL,"OR")=0))</f>
      </c>
      <c r="I19548">
        <f>IF(DATOS!$I19548="","",IFERROR(VLOOKUP(DATOS!$I19548,CONFIG_ASIGNATURAS!$B$2:$J$91,9,FALSE()),""))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IF(DATOS!$A19549="",0,IF(CONFIG_METADATA!$B$4&lt;&gt;"OR+EX",--(DATOS!$G19549=CONFIG_METADATA!$B$4),IF(DATOS!$G19549="EX",1,IF(DATOS!$G19549="OR",--(COUNTIFS(nNIA,DATOS!$A19549,nCURSO,DATOS!$D19549,nESPEC,DATOS!$E19549,nASIG,DATOS!$I19549,nEVAL,"EX")=0),0))))</f>
      </c>
      <c r="H19549">
        <f>IF(DATOS!$G19549&lt;&gt;"EX",0,--(COUNTIFS(nNIA,DATOS!$A19549,nCURSO,DATOS!$D19549,nESPEC,DATOS!$E19549,nASIG,DATOS!$I19549,nEVAL,"OR")=0))</f>
      </c>
      <c r="I19549">
        <f>IF(DATOS!$I19549="","",IFERROR(VLOOKUP(DATOS!$I19549,CONFIG_ASIGNATURAS!$B$2:$J$91,9,FALSE()),""))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IF(DATOS!$A19550="",0,IF(CONFIG_METADATA!$B$4&lt;&gt;"OR+EX",--(DATOS!$G19550=CONFIG_METADATA!$B$4),IF(DATOS!$G19550="EX",1,IF(DATOS!$G19550="OR",--(COUNTIFS(nNIA,DATOS!$A19550,nCURSO,DATOS!$D19550,nESPEC,DATOS!$E19550,nASIG,DATOS!$I19550,nEVAL,"EX")=0),0))))</f>
      </c>
      <c r="H19550">
        <f>IF(DATOS!$G19550&lt;&gt;"EX",0,--(COUNTIFS(nNIA,DATOS!$A19550,nCURSO,DATOS!$D19550,nESPEC,DATOS!$E19550,nASIG,DATOS!$I19550,nEVAL,"OR")=0))</f>
      </c>
      <c r="I19550">
        <f>IF(DATOS!$I19550="","",IFERROR(VLOOKUP(DATOS!$I19550,CONFIG_ASIGNATURAS!$B$2:$J$91,9,FALSE()),""))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IF(DATOS!$A19551="",0,IF(CONFIG_METADATA!$B$4&lt;&gt;"OR+EX",--(DATOS!$G19551=CONFIG_METADATA!$B$4),IF(DATOS!$G19551="EX",1,IF(DATOS!$G19551="OR",--(COUNTIFS(nNIA,DATOS!$A19551,nCURSO,DATOS!$D19551,nESPEC,DATOS!$E19551,nASIG,DATOS!$I19551,nEVAL,"EX")=0),0))))</f>
      </c>
      <c r="H19551">
        <f>IF(DATOS!$G19551&lt;&gt;"EX",0,--(COUNTIFS(nNIA,DATOS!$A19551,nCURSO,DATOS!$D19551,nESPEC,DATOS!$E19551,nASIG,DATOS!$I19551,nEVAL,"OR")=0))</f>
      </c>
      <c r="I19551">
        <f>IF(DATOS!$I19551="","",IFERROR(VLOOKUP(DATOS!$I19551,CONFIG_ASIGNATURAS!$B$2:$J$91,9,FALSE()),""))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IF(DATOS!$A19552="",0,IF(CONFIG_METADATA!$B$4&lt;&gt;"OR+EX",--(DATOS!$G19552=CONFIG_METADATA!$B$4),IF(DATOS!$G19552="EX",1,IF(DATOS!$G19552="OR",--(COUNTIFS(nNIA,DATOS!$A19552,nCURSO,DATOS!$D19552,nESPEC,DATOS!$E19552,nASIG,DATOS!$I19552,nEVAL,"EX")=0),0))))</f>
      </c>
      <c r="H19552">
        <f>IF(DATOS!$G19552&lt;&gt;"EX",0,--(COUNTIFS(nNIA,DATOS!$A19552,nCURSO,DATOS!$D19552,nESPEC,DATOS!$E19552,nASIG,DATOS!$I19552,nEVAL,"OR")=0))</f>
      </c>
      <c r="I19552">
        <f>IF(DATOS!$I19552="","",IFERROR(VLOOKUP(DATOS!$I19552,CONFIG_ASIGNATURAS!$B$2:$J$91,9,FALSE()),""))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IF(DATOS!$A19553="",0,IF(CONFIG_METADATA!$B$4&lt;&gt;"OR+EX",--(DATOS!$G19553=CONFIG_METADATA!$B$4),IF(DATOS!$G19553="EX",1,IF(DATOS!$G19553="OR",--(COUNTIFS(nNIA,DATOS!$A19553,nCURSO,DATOS!$D19553,nESPEC,DATOS!$E19553,nASIG,DATOS!$I19553,nEVAL,"EX")=0),0))))</f>
      </c>
      <c r="H19553">
        <f>IF(DATOS!$G19553&lt;&gt;"EX",0,--(COUNTIFS(nNIA,DATOS!$A19553,nCURSO,DATOS!$D19553,nESPEC,DATOS!$E19553,nASIG,DATOS!$I19553,nEVAL,"OR")=0))</f>
      </c>
      <c r="I19553">
        <f>IF(DATOS!$I19553="","",IFERROR(VLOOKUP(DATOS!$I19553,CONFIG_ASIGNATURAS!$B$2:$J$91,9,FALSE()),""))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IF(DATOS!$A19554="",0,IF(CONFIG_METADATA!$B$4&lt;&gt;"OR+EX",--(DATOS!$G19554=CONFIG_METADATA!$B$4),IF(DATOS!$G19554="EX",1,IF(DATOS!$G19554="OR",--(COUNTIFS(nNIA,DATOS!$A19554,nCURSO,DATOS!$D19554,nESPEC,DATOS!$E19554,nASIG,DATOS!$I19554,nEVAL,"EX")=0),0))))</f>
      </c>
      <c r="H19554">
        <f>IF(DATOS!$G19554&lt;&gt;"EX",0,--(COUNTIFS(nNIA,DATOS!$A19554,nCURSO,DATOS!$D19554,nESPEC,DATOS!$E19554,nASIG,DATOS!$I19554,nEVAL,"OR")=0))</f>
      </c>
      <c r="I19554">
        <f>IF(DATOS!$I19554="","",IFERROR(VLOOKUP(DATOS!$I19554,CONFIG_ASIGNATURAS!$B$2:$J$91,9,FALSE()),""))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IF(DATOS!$A19555="",0,IF(CONFIG_METADATA!$B$4&lt;&gt;"OR+EX",--(DATOS!$G19555=CONFIG_METADATA!$B$4),IF(DATOS!$G19555="EX",1,IF(DATOS!$G19555="OR",--(COUNTIFS(nNIA,DATOS!$A19555,nCURSO,DATOS!$D19555,nESPEC,DATOS!$E19555,nASIG,DATOS!$I19555,nEVAL,"EX")=0),0))))</f>
      </c>
      <c r="H19555">
        <f>IF(DATOS!$G19555&lt;&gt;"EX",0,--(COUNTIFS(nNIA,DATOS!$A19555,nCURSO,DATOS!$D19555,nESPEC,DATOS!$E19555,nASIG,DATOS!$I19555,nEVAL,"OR")=0))</f>
      </c>
      <c r="I19555">
        <f>IF(DATOS!$I19555="","",IFERROR(VLOOKUP(DATOS!$I19555,CONFIG_ASIGNATURAS!$B$2:$J$91,9,FALSE()),""))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IF(DATOS!$A19556="",0,IF(CONFIG_METADATA!$B$4&lt;&gt;"OR+EX",--(DATOS!$G19556=CONFIG_METADATA!$B$4),IF(DATOS!$G19556="EX",1,IF(DATOS!$G19556="OR",--(COUNTIFS(nNIA,DATOS!$A19556,nCURSO,DATOS!$D19556,nESPEC,DATOS!$E19556,nASIG,DATOS!$I19556,nEVAL,"EX")=0),0))))</f>
      </c>
      <c r="H19556">
        <f>IF(DATOS!$G19556&lt;&gt;"EX",0,--(COUNTIFS(nNIA,DATOS!$A19556,nCURSO,DATOS!$D19556,nESPEC,DATOS!$E19556,nASIG,DATOS!$I19556,nEVAL,"OR")=0))</f>
      </c>
      <c r="I19556">
        <f>IF(DATOS!$I19556="","",IFERROR(VLOOKUP(DATOS!$I19556,CONFIG_ASIGNATURAS!$B$2:$J$91,9,FALSE()),""))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IF(DATOS!$A19557="",0,IF(CONFIG_METADATA!$B$4&lt;&gt;"OR+EX",--(DATOS!$G19557=CONFIG_METADATA!$B$4),IF(DATOS!$G19557="EX",1,IF(DATOS!$G19557="OR",--(COUNTIFS(nNIA,DATOS!$A19557,nCURSO,DATOS!$D19557,nESPEC,DATOS!$E19557,nASIG,DATOS!$I19557,nEVAL,"EX")=0),0))))</f>
      </c>
      <c r="H19557">
        <f>IF(DATOS!$G19557&lt;&gt;"EX",0,--(COUNTIFS(nNIA,DATOS!$A19557,nCURSO,DATOS!$D19557,nESPEC,DATOS!$E19557,nASIG,DATOS!$I19557,nEVAL,"OR")=0))</f>
      </c>
      <c r="I19557">
        <f>IF(DATOS!$I19557="","",IFERROR(VLOOKUP(DATOS!$I19557,CONFIG_ASIGNATURAS!$B$2:$J$91,9,FALSE()),""))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IF(DATOS!$A19558="",0,IF(CONFIG_METADATA!$B$4&lt;&gt;"OR+EX",--(DATOS!$G19558=CONFIG_METADATA!$B$4),IF(DATOS!$G19558="EX",1,IF(DATOS!$G19558="OR",--(COUNTIFS(nNIA,DATOS!$A19558,nCURSO,DATOS!$D19558,nESPEC,DATOS!$E19558,nASIG,DATOS!$I19558,nEVAL,"EX")=0),0))))</f>
      </c>
      <c r="H19558">
        <f>IF(DATOS!$G19558&lt;&gt;"EX",0,--(COUNTIFS(nNIA,DATOS!$A19558,nCURSO,DATOS!$D19558,nESPEC,DATOS!$E19558,nASIG,DATOS!$I19558,nEVAL,"OR")=0))</f>
      </c>
      <c r="I19558">
        <f>IF(DATOS!$I19558="","",IFERROR(VLOOKUP(DATOS!$I19558,CONFIG_ASIGNATURAS!$B$2:$J$91,9,FALSE()),""))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IF(DATOS!$A19559="",0,IF(CONFIG_METADATA!$B$4&lt;&gt;"OR+EX",--(DATOS!$G19559=CONFIG_METADATA!$B$4),IF(DATOS!$G19559="EX",1,IF(DATOS!$G19559="OR",--(COUNTIFS(nNIA,DATOS!$A19559,nCURSO,DATOS!$D19559,nESPEC,DATOS!$E19559,nASIG,DATOS!$I19559,nEVAL,"EX")=0),0))))</f>
      </c>
      <c r="H19559">
        <f>IF(DATOS!$G19559&lt;&gt;"EX",0,--(COUNTIFS(nNIA,DATOS!$A19559,nCURSO,DATOS!$D19559,nESPEC,DATOS!$E19559,nASIG,DATOS!$I19559,nEVAL,"OR")=0))</f>
      </c>
      <c r="I19559">
        <f>IF(DATOS!$I19559="","",IFERROR(VLOOKUP(DATOS!$I19559,CONFIG_ASIGNATURAS!$B$2:$J$91,9,FALSE()),""))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IF(DATOS!$A19560="",0,IF(CONFIG_METADATA!$B$4&lt;&gt;"OR+EX",--(DATOS!$G19560=CONFIG_METADATA!$B$4),IF(DATOS!$G19560="EX",1,IF(DATOS!$G19560="OR",--(COUNTIFS(nNIA,DATOS!$A19560,nCURSO,DATOS!$D19560,nESPEC,DATOS!$E19560,nASIG,DATOS!$I19560,nEVAL,"EX")=0),0))))</f>
      </c>
      <c r="H19560">
        <f>IF(DATOS!$G19560&lt;&gt;"EX",0,--(COUNTIFS(nNIA,DATOS!$A19560,nCURSO,DATOS!$D19560,nESPEC,DATOS!$E19560,nASIG,DATOS!$I19560,nEVAL,"OR")=0))</f>
      </c>
      <c r="I19560">
        <f>IF(DATOS!$I19560="","",IFERROR(VLOOKUP(DATOS!$I19560,CONFIG_ASIGNATURAS!$B$2:$J$91,9,FALSE()),""))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IF(DATOS!$A19561="",0,IF(CONFIG_METADATA!$B$4&lt;&gt;"OR+EX",--(DATOS!$G19561=CONFIG_METADATA!$B$4),IF(DATOS!$G19561="EX",1,IF(DATOS!$G19561="OR",--(COUNTIFS(nNIA,DATOS!$A19561,nCURSO,DATOS!$D19561,nESPEC,DATOS!$E19561,nASIG,DATOS!$I19561,nEVAL,"EX")=0),0))))</f>
      </c>
      <c r="H19561">
        <f>IF(DATOS!$G19561&lt;&gt;"EX",0,--(COUNTIFS(nNIA,DATOS!$A19561,nCURSO,DATOS!$D19561,nESPEC,DATOS!$E19561,nASIG,DATOS!$I19561,nEVAL,"OR")=0))</f>
      </c>
      <c r="I19561">
        <f>IF(DATOS!$I19561="","",IFERROR(VLOOKUP(DATOS!$I19561,CONFIG_ASIGNATURAS!$B$2:$J$91,9,FALSE()),""))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IF(DATOS!$A19562="",0,IF(CONFIG_METADATA!$B$4&lt;&gt;"OR+EX",--(DATOS!$G19562=CONFIG_METADATA!$B$4),IF(DATOS!$G19562="EX",1,IF(DATOS!$G19562="OR",--(COUNTIFS(nNIA,DATOS!$A19562,nCURSO,DATOS!$D19562,nESPEC,DATOS!$E19562,nASIG,DATOS!$I19562,nEVAL,"EX")=0),0))))</f>
      </c>
      <c r="H19562">
        <f>IF(DATOS!$G19562&lt;&gt;"EX",0,--(COUNTIFS(nNIA,DATOS!$A19562,nCURSO,DATOS!$D19562,nESPEC,DATOS!$E19562,nASIG,DATOS!$I19562,nEVAL,"OR")=0))</f>
      </c>
      <c r="I19562">
        <f>IF(DATOS!$I19562="","",IFERROR(VLOOKUP(DATOS!$I19562,CONFIG_ASIGNATURAS!$B$2:$J$91,9,FALSE()),""))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IF(DATOS!$A19563="",0,IF(CONFIG_METADATA!$B$4&lt;&gt;"OR+EX",--(DATOS!$G19563=CONFIG_METADATA!$B$4),IF(DATOS!$G19563="EX",1,IF(DATOS!$G19563="OR",--(COUNTIFS(nNIA,DATOS!$A19563,nCURSO,DATOS!$D19563,nESPEC,DATOS!$E19563,nASIG,DATOS!$I19563,nEVAL,"EX")=0),0))))</f>
      </c>
      <c r="H19563">
        <f>IF(DATOS!$G19563&lt;&gt;"EX",0,--(COUNTIFS(nNIA,DATOS!$A19563,nCURSO,DATOS!$D19563,nESPEC,DATOS!$E19563,nASIG,DATOS!$I19563,nEVAL,"OR")=0))</f>
      </c>
      <c r="I19563">
        <f>IF(DATOS!$I19563="","",IFERROR(VLOOKUP(DATOS!$I19563,CONFIG_ASIGNATURAS!$B$2:$J$91,9,FALSE()),""))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IF(DATOS!$A19564="",0,IF(CONFIG_METADATA!$B$4&lt;&gt;"OR+EX",--(DATOS!$G19564=CONFIG_METADATA!$B$4),IF(DATOS!$G19564="EX",1,IF(DATOS!$G19564="OR",--(COUNTIFS(nNIA,DATOS!$A19564,nCURSO,DATOS!$D19564,nESPEC,DATOS!$E19564,nASIG,DATOS!$I19564,nEVAL,"EX")=0),0))))</f>
      </c>
      <c r="H19564">
        <f>IF(DATOS!$G19564&lt;&gt;"EX",0,--(COUNTIFS(nNIA,DATOS!$A19564,nCURSO,DATOS!$D19564,nESPEC,DATOS!$E19564,nASIG,DATOS!$I19564,nEVAL,"OR")=0))</f>
      </c>
      <c r="I19564">
        <f>IF(DATOS!$I19564="","",IFERROR(VLOOKUP(DATOS!$I19564,CONFIG_ASIGNATURAS!$B$2:$J$91,9,FALSE()),""))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IF(DATOS!$A19565="",0,IF(CONFIG_METADATA!$B$4&lt;&gt;"OR+EX",--(DATOS!$G19565=CONFIG_METADATA!$B$4),IF(DATOS!$G19565="EX",1,IF(DATOS!$G19565="OR",--(COUNTIFS(nNIA,DATOS!$A19565,nCURSO,DATOS!$D19565,nESPEC,DATOS!$E19565,nASIG,DATOS!$I19565,nEVAL,"EX")=0),0))))</f>
      </c>
      <c r="H19565">
        <f>IF(DATOS!$G19565&lt;&gt;"EX",0,--(COUNTIFS(nNIA,DATOS!$A19565,nCURSO,DATOS!$D19565,nESPEC,DATOS!$E19565,nASIG,DATOS!$I19565,nEVAL,"OR")=0))</f>
      </c>
      <c r="I19565">
        <f>IF(DATOS!$I19565="","",IFERROR(VLOOKUP(DATOS!$I19565,CONFIG_ASIGNATURAS!$B$2:$J$91,9,FALSE()),""))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IF(DATOS!$A19566="",0,IF(CONFIG_METADATA!$B$4&lt;&gt;"OR+EX",--(DATOS!$G19566=CONFIG_METADATA!$B$4),IF(DATOS!$G19566="EX",1,IF(DATOS!$G19566="OR",--(COUNTIFS(nNIA,DATOS!$A19566,nCURSO,DATOS!$D19566,nESPEC,DATOS!$E19566,nASIG,DATOS!$I19566,nEVAL,"EX")=0),0))))</f>
      </c>
      <c r="H19566">
        <f>IF(DATOS!$G19566&lt;&gt;"EX",0,--(COUNTIFS(nNIA,DATOS!$A19566,nCURSO,DATOS!$D19566,nESPEC,DATOS!$E19566,nASIG,DATOS!$I19566,nEVAL,"OR")=0))</f>
      </c>
      <c r="I19566">
        <f>IF(DATOS!$I19566="","",IFERROR(VLOOKUP(DATOS!$I19566,CONFIG_ASIGNATURAS!$B$2:$J$91,9,FALSE()),""))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IF(DATOS!$A19567="",0,IF(CONFIG_METADATA!$B$4&lt;&gt;"OR+EX",--(DATOS!$G19567=CONFIG_METADATA!$B$4),IF(DATOS!$G19567="EX",1,IF(DATOS!$G19567="OR",--(COUNTIFS(nNIA,DATOS!$A19567,nCURSO,DATOS!$D19567,nESPEC,DATOS!$E19567,nASIG,DATOS!$I19567,nEVAL,"EX")=0),0))))</f>
      </c>
      <c r="H19567">
        <f>IF(DATOS!$G19567&lt;&gt;"EX",0,--(COUNTIFS(nNIA,DATOS!$A19567,nCURSO,DATOS!$D19567,nESPEC,DATOS!$E19567,nASIG,DATOS!$I19567,nEVAL,"OR")=0))</f>
      </c>
      <c r="I19567">
        <f>IF(DATOS!$I19567="","",IFERROR(VLOOKUP(DATOS!$I19567,CONFIG_ASIGNATURAS!$B$2:$J$91,9,FALSE()),""))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IF(DATOS!$A19568="",0,IF(CONFIG_METADATA!$B$4&lt;&gt;"OR+EX",--(DATOS!$G19568=CONFIG_METADATA!$B$4),IF(DATOS!$G19568="EX",1,IF(DATOS!$G19568="OR",--(COUNTIFS(nNIA,DATOS!$A19568,nCURSO,DATOS!$D19568,nESPEC,DATOS!$E19568,nASIG,DATOS!$I19568,nEVAL,"EX")=0),0))))</f>
      </c>
      <c r="H19568">
        <f>IF(DATOS!$G19568&lt;&gt;"EX",0,--(COUNTIFS(nNIA,DATOS!$A19568,nCURSO,DATOS!$D19568,nESPEC,DATOS!$E19568,nASIG,DATOS!$I19568,nEVAL,"OR")=0))</f>
      </c>
      <c r="I19568">
        <f>IF(DATOS!$I19568="","",IFERROR(VLOOKUP(DATOS!$I19568,CONFIG_ASIGNATURAS!$B$2:$J$91,9,FALSE()),""))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IF(DATOS!$A19569="",0,IF(CONFIG_METADATA!$B$4&lt;&gt;"OR+EX",--(DATOS!$G19569=CONFIG_METADATA!$B$4),IF(DATOS!$G19569="EX",1,IF(DATOS!$G19569="OR",--(COUNTIFS(nNIA,DATOS!$A19569,nCURSO,DATOS!$D19569,nESPEC,DATOS!$E19569,nASIG,DATOS!$I19569,nEVAL,"EX")=0),0))))</f>
      </c>
      <c r="H19569">
        <f>IF(DATOS!$G19569&lt;&gt;"EX",0,--(COUNTIFS(nNIA,DATOS!$A19569,nCURSO,DATOS!$D19569,nESPEC,DATOS!$E19569,nASIG,DATOS!$I19569,nEVAL,"OR")=0))</f>
      </c>
      <c r="I19569">
        <f>IF(DATOS!$I19569="","",IFERROR(VLOOKUP(DATOS!$I19569,CONFIG_ASIGNATURAS!$B$2:$J$91,9,FALSE()),""))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IF(DATOS!$A19570="",0,IF(CONFIG_METADATA!$B$4&lt;&gt;"OR+EX",--(DATOS!$G19570=CONFIG_METADATA!$B$4),IF(DATOS!$G19570="EX",1,IF(DATOS!$G19570="OR",--(COUNTIFS(nNIA,DATOS!$A19570,nCURSO,DATOS!$D19570,nESPEC,DATOS!$E19570,nASIG,DATOS!$I19570,nEVAL,"EX")=0),0))))</f>
      </c>
      <c r="H19570">
        <f>IF(DATOS!$G19570&lt;&gt;"EX",0,--(COUNTIFS(nNIA,DATOS!$A19570,nCURSO,DATOS!$D19570,nESPEC,DATOS!$E19570,nASIG,DATOS!$I19570,nEVAL,"OR")=0))</f>
      </c>
      <c r="I19570">
        <f>IF(DATOS!$I19570="","",IFERROR(VLOOKUP(DATOS!$I19570,CONFIG_ASIGNATURAS!$B$2:$J$91,9,FALSE()),""))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IF(DATOS!$A19571="",0,IF(CONFIG_METADATA!$B$4&lt;&gt;"OR+EX",--(DATOS!$G19571=CONFIG_METADATA!$B$4),IF(DATOS!$G19571="EX",1,IF(DATOS!$G19571="OR",--(COUNTIFS(nNIA,DATOS!$A19571,nCURSO,DATOS!$D19571,nESPEC,DATOS!$E19571,nASIG,DATOS!$I19571,nEVAL,"EX")=0),0))))</f>
      </c>
      <c r="H19571">
        <f>IF(DATOS!$G19571&lt;&gt;"EX",0,--(COUNTIFS(nNIA,DATOS!$A19571,nCURSO,DATOS!$D19571,nESPEC,DATOS!$E19571,nASIG,DATOS!$I19571,nEVAL,"OR")=0))</f>
      </c>
      <c r="I19571">
        <f>IF(DATOS!$I19571="","",IFERROR(VLOOKUP(DATOS!$I19571,CONFIG_ASIGNATURAS!$B$2:$J$91,9,FALSE()),""))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IF(DATOS!$A19572="",0,IF(CONFIG_METADATA!$B$4&lt;&gt;"OR+EX",--(DATOS!$G19572=CONFIG_METADATA!$B$4),IF(DATOS!$G19572="EX",1,IF(DATOS!$G19572="OR",--(COUNTIFS(nNIA,DATOS!$A19572,nCURSO,DATOS!$D19572,nESPEC,DATOS!$E19572,nASIG,DATOS!$I19572,nEVAL,"EX")=0),0))))</f>
      </c>
      <c r="H19572">
        <f>IF(DATOS!$G19572&lt;&gt;"EX",0,--(COUNTIFS(nNIA,DATOS!$A19572,nCURSO,DATOS!$D19572,nESPEC,DATOS!$E19572,nASIG,DATOS!$I19572,nEVAL,"OR")=0))</f>
      </c>
      <c r="I19572">
        <f>IF(DATOS!$I19572="","",IFERROR(VLOOKUP(DATOS!$I19572,CONFIG_ASIGNATURAS!$B$2:$J$91,9,FALSE()),""))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IF(DATOS!$A19573="",0,IF(CONFIG_METADATA!$B$4&lt;&gt;"OR+EX",--(DATOS!$G19573=CONFIG_METADATA!$B$4),IF(DATOS!$G19573="EX",1,IF(DATOS!$G19573="OR",--(COUNTIFS(nNIA,DATOS!$A19573,nCURSO,DATOS!$D19573,nESPEC,DATOS!$E19573,nASIG,DATOS!$I19573,nEVAL,"EX")=0),0))))</f>
      </c>
      <c r="H19573">
        <f>IF(DATOS!$G19573&lt;&gt;"EX",0,--(COUNTIFS(nNIA,DATOS!$A19573,nCURSO,DATOS!$D19573,nESPEC,DATOS!$E19573,nASIG,DATOS!$I19573,nEVAL,"OR")=0))</f>
      </c>
      <c r="I19573">
        <f>IF(DATOS!$I19573="","",IFERROR(VLOOKUP(DATOS!$I19573,CONFIG_ASIGNATURAS!$B$2:$J$91,9,FALSE()),""))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IF(DATOS!$A19574="",0,IF(CONFIG_METADATA!$B$4&lt;&gt;"OR+EX",--(DATOS!$G19574=CONFIG_METADATA!$B$4),IF(DATOS!$G19574="EX",1,IF(DATOS!$G19574="OR",--(COUNTIFS(nNIA,DATOS!$A19574,nCURSO,DATOS!$D19574,nESPEC,DATOS!$E19574,nASIG,DATOS!$I19574,nEVAL,"EX")=0),0))))</f>
      </c>
      <c r="H19574">
        <f>IF(DATOS!$G19574&lt;&gt;"EX",0,--(COUNTIFS(nNIA,DATOS!$A19574,nCURSO,DATOS!$D19574,nESPEC,DATOS!$E19574,nASIG,DATOS!$I19574,nEVAL,"OR")=0))</f>
      </c>
      <c r="I19574">
        <f>IF(DATOS!$I19574="","",IFERROR(VLOOKUP(DATOS!$I19574,CONFIG_ASIGNATURAS!$B$2:$J$91,9,FALSE()),""))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IF(DATOS!$A19575="",0,IF(CONFIG_METADATA!$B$4&lt;&gt;"OR+EX",--(DATOS!$G19575=CONFIG_METADATA!$B$4),IF(DATOS!$G19575="EX",1,IF(DATOS!$G19575="OR",--(COUNTIFS(nNIA,DATOS!$A19575,nCURSO,DATOS!$D19575,nESPEC,DATOS!$E19575,nASIG,DATOS!$I19575,nEVAL,"EX")=0),0))))</f>
      </c>
      <c r="H19575">
        <f>IF(DATOS!$G19575&lt;&gt;"EX",0,--(COUNTIFS(nNIA,DATOS!$A19575,nCURSO,DATOS!$D19575,nESPEC,DATOS!$E19575,nASIG,DATOS!$I19575,nEVAL,"OR")=0))</f>
      </c>
      <c r="I19575">
        <f>IF(DATOS!$I19575="","",IFERROR(VLOOKUP(DATOS!$I19575,CONFIG_ASIGNATURAS!$B$2:$J$91,9,FALSE()),""))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IF(DATOS!$A19576="",0,IF(CONFIG_METADATA!$B$4&lt;&gt;"OR+EX",--(DATOS!$G19576=CONFIG_METADATA!$B$4),IF(DATOS!$G19576="EX",1,IF(DATOS!$G19576="OR",--(COUNTIFS(nNIA,DATOS!$A19576,nCURSO,DATOS!$D19576,nESPEC,DATOS!$E19576,nASIG,DATOS!$I19576,nEVAL,"EX")=0),0))))</f>
      </c>
      <c r="H19576">
        <f>IF(DATOS!$G19576&lt;&gt;"EX",0,--(COUNTIFS(nNIA,DATOS!$A19576,nCURSO,DATOS!$D19576,nESPEC,DATOS!$E19576,nASIG,DATOS!$I19576,nEVAL,"OR")=0))</f>
      </c>
      <c r="I19576">
        <f>IF(DATOS!$I19576="","",IFERROR(VLOOKUP(DATOS!$I19576,CONFIG_ASIGNATURAS!$B$2:$J$91,9,FALSE()),""))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IF(DATOS!$A19577="",0,IF(CONFIG_METADATA!$B$4&lt;&gt;"OR+EX",--(DATOS!$G19577=CONFIG_METADATA!$B$4),IF(DATOS!$G19577="EX",1,IF(DATOS!$G19577="OR",--(COUNTIFS(nNIA,DATOS!$A19577,nCURSO,DATOS!$D19577,nESPEC,DATOS!$E19577,nASIG,DATOS!$I19577,nEVAL,"EX")=0),0))))</f>
      </c>
      <c r="H19577">
        <f>IF(DATOS!$G19577&lt;&gt;"EX",0,--(COUNTIFS(nNIA,DATOS!$A19577,nCURSO,DATOS!$D19577,nESPEC,DATOS!$E19577,nASIG,DATOS!$I19577,nEVAL,"OR")=0))</f>
      </c>
      <c r="I19577">
        <f>IF(DATOS!$I19577="","",IFERROR(VLOOKUP(DATOS!$I19577,CONFIG_ASIGNATURAS!$B$2:$J$91,9,FALSE()),""))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IF(DATOS!$A19578="",0,IF(CONFIG_METADATA!$B$4&lt;&gt;"OR+EX",--(DATOS!$G19578=CONFIG_METADATA!$B$4),IF(DATOS!$G19578="EX",1,IF(DATOS!$G19578="OR",--(COUNTIFS(nNIA,DATOS!$A19578,nCURSO,DATOS!$D19578,nESPEC,DATOS!$E19578,nASIG,DATOS!$I19578,nEVAL,"EX")=0),0))))</f>
      </c>
      <c r="H19578">
        <f>IF(DATOS!$G19578&lt;&gt;"EX",0,--(COUNTIFS(nNIA,DATOS!$A19578,nCURSO,DATOS!$D19578,nESPEC,DATOS!$E19578,nASIG,DATOS!$I19578,nEVAL,"OR")=0))</f>
      </c>
      <c r="I19578">
        <f>IF(DATOS!$I19578="","",IFERROR(VLOOKUP(DATOS!$I19578,CONFIG_ASIGNATURAS!$B$2:$J$91,9,FALSE()),""))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IF(DATOS!$A19579="",0,IF(CONFIG_METADATA!$B$4&lt;&gt;"OR+EX",--(DATOS!$G19579=CONFIG_METADATA!$B$4),IF(DATOS!$G19579="EX",1,IF(DATOS!$G19579="OR",--(COUNTIFS(nNIA,DATOS!$A19579,nCURSO,DATOS!$D19579,nESPEC,DATOS!$E19579,nASIG,DATOS!$I19579,nEVAL,"EX")=0),0))))</f>
      </c>
      <c r="H19579">
        <f>IF(DATOS!$G19579&lt;&gt;"EX",0,--(COUNTIFS(nNIA,DATOS!$A19579,nCURSO,DATOS!$D19579,nESPEC,DATOS!$E19579,nASIG,DATOS!$I19579,nEVAL,"OR")=0))</f>
      </c>
      <c r="I19579">
        <f>IF(DATOS!$I19579="","",IFERROR(VLOOKUP(DATOS!$I19579,CONFIG_ASIGNATURAS!$B$2:$J$91,9,FALSE()),""))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IF(DATOS!$A19580="",0,IF(CONFIG_METADATA!$B$4&lt;&gt;"OR+EX",--(DATOS!$G19580=CONFIG_METADATA!$B$4),IF(DATOS!$G19580="EX",1,IF(DATOS!$G19580="OR",--(COUNTIFS(nNIA,DATOS!$A19580,nCURSO,DATOS!$D19580,nESPEC,DATOS!$E19580,nASIG,DATOS!$I19580,nEVAL,"EX")=0),0))))</f>
      </c>
      <c r="H19580">
        <f>IF(DATOS!$G19580&lt;&gt;"EX",0,--(COUNTIFS(nNIA,DATOS!$A19580,nCURSO,DATOS!$D19580,nESPEC,DATOS!$E19580,nASIG,DATOS!$I19580,nEVAL,"OR")=0))</f>
      </c>
      <c r="I19580">
        <f>IF(DATOS!$I19580="","",IFERROR(VLOOKUP(DATOS!$I19580,CONFIG_ASIGNATURAS!$B$2:$J$91,9,FALSE()),""))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IF(DATOS!$A19581="",0,IF(CONFIG_METADATA!$B$4&lt;&gt;"OR+EX",--(DATOS!$G19581=CONFIG_METADATA!$B$4),IF(DATOS!$G19581="EX",1,IF(DATOS!$G19581="OR",--(COUNTIFS(nNIA,DATOS!$A19581,nCURSO,DATOS!$D19581,nESPEC,DATOS!$E19581,nASIG,DATOS!$I19581,nEVAL,"EX")=0),0))))</f>
      </c>
      <c r="H19581">
        <f>IF(DATOS!$G19581&lt;&gt;"EX",0,--(COUNTIFS(nNIA,DATOS!$A19581,nCURSO,DATOS!$D19581,nESPEC,DATOS!$E19581,nASIG,DATOS!$I19581,nEVAL,"OR")=0))</f>
      </c>
      <c r="I19581">
        <f>IF(DATOS!$I19581="","",IFERROR(VLOOKUP(DATOS!$I19581,CONFIG_ASIGNATURAS!$B$2:$J$91,9,FALSE()),""))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IF(DATOS!$A19582="",0,IF(CONFIG_METADATA!$B$4&lt;&gt;"OR+EX",--(DATOS!$G19582=CONFIG_METADATA!$B$4),IF(DATOS!$G19582="EX",1,IF(DATOS!$G19582="OR",--(COUNTIFS(nNIA,DATOS!$A19582,nCURSO,DATOS!$D19582,nESPEC,DATOS!$E19582,nASIG,DATOS!$I19582,nEVAL,"EX")=0),0))))</f>
      </c>
      <c r="H19582">
        <f>IF(DATOS!$G19582&lt;&gt;"EX",0,--(COUNTIFS(nNIA,DATOS!$A19582,nCURSO,DATOS!$D19582,nESPEC,DATOS!$E19582,nASIG,DATOS!$I19582,nEVAL,"OR")=0))</f>
      </c>
      <c r="I19582">
        <f>IF(DATOS!$I19582="","",IFERROR(VLOOKUP(DATOS!$I19582,CONFIG_ASIGNATURAS!$B$2:$J$91,9,FALSE()),""))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IF(DATOS!$A19583="",0,IF(CONFIG_METADATA!$B$4&lt;&gt;"OR+EX",--(DATOS!$G19583=CONFIG_METADATA!$B$4),IF(DATOS!$G19583="EX",1,IF(DATOS!$G19583="OR",--(COUNTIFS(nNIA,DATOS!$A19583,nCURSO,DATOS!$D19583,nESPEC,DATOS!$E19583,nASIG,DATOS!$I19583,nEVAL,"EX")=0),0))))</f>
      </c>
      <c r="H19583">
        <f>IF(DATOS!$G19583&lt;&gt;"EX",0,--(COUNTIFS(nNIA,DATOS!$A19583,nCURSO,DATOS!$D19583,nESPEC,DATOS!$E19583,nASIG,DATOS!$I19583,nEVAL,"OR")=0))</f>
      </c>
      <c r="I19583">
        <f>IF(DATOS!$I19583="","",IFERROR(VLOOKUP(DATOS!$I19583,CONFIG_ASIGNATURAS!$B$2:$J$91,9,FALSE()),""))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IF(DATOS!$A19584="",0,IF(CONFIG_METADATA!$B$4&lt;&gt;"OR+EX",--(DATOS!$G19584=CONFIG_METADATA!$B$4),IF(DATOS!$G19584="EX",1,IF(DATOS!$G19584="OR",--(COUNTIFS(nNIA,DATOS!$A19584,nCURSO,DATOS!$D19584,nESPEC,DATOS!$E19584,nASIG,DATOS!$I19584,nEVAL,"EX")=0),0))))</f>
      </c>
      <c r="H19584">
        <f>IF(DATOS!$G19584&lt;&gt;"EX",0,--(COUNTIFS(nNIA,DATOS!$A19584,nCURSO,DATOS!$D19584,nESPEC,DATOS!$E19584,nASIG,DATOS!$I19584,nEVAL,"OR")=0))</f>
      </c>
      <c r="I19584">
        <f>IF(DATOS!$I19584="","",IFERROR(VLOOKUP(DATOS!$I19584,CONFIG_ASIGNATURAS!$B$2:$J$91,9,FALSE()),""))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IF(DATOS!$A19585="",0,IF(CONFIG_METADATA!$B$4&lt;&gt;"OR+EX",--(DATOS!$G19585=CONFIG_METADATA!$B$4),IF(DATOS!$G19585="EX",1,IF(DATOS!$G19585="OR",--(COUNTIFS(nNIA,DATOS!$A19585,nCURSO,DATOS!$D19585,nESPEC,DATOS!$E19585,nASIG,DATOS!$I19585,nEVAL,"EX")=0),0))))</f>
      </c>
      <c r="H19585">
        <f>IF(DATOS!$G19585&lt;&gt;"EX",0,--(COUNTIFS(nNIA,DATOS!$A19585,nCURSO,DATOS!$D19585,nESPEC,DATOS!$E19585,nASIG,DATOS!$I19585,nEVAL,"OR")=0))</f>
      </c>
      <c r="I19585">
        <f>IF(DATOS!$I19585="","",IFERROR(VLOOKUP(DATOS!$I19585,CONFIG_ASIGNATURAS!$B$2:$J$91,9,FALSE()),""))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IF(DATOS!$A19586="",0,IF(CONFIG_METADATA!$B$4&lt;&gt;"OR+EX",--(DATOS!$G19586=CONFIG_METADATA!$B$4),IF(DATOS!$G19586="EX",1,IF(DATOS!$G19586="OR",--(COUNTIFS(nNIA,DATOS!$A19586,nCURSO,DATOS!$D19586,nESPEC,DATOS!$E19586,nASIG,DATOS!$I19586,nEVAL,"EX")=0),0))))</f>
      </c>
      <c r="H19586">
        <f>IF(DATOS!$G19586&lt;&gt;"EX",0,--(COUNTIFS(nNIA,DATOS!$A19586,nCURSO,DATOS!$D19586,nESPEC,DATOS!$E19586,nASIG,DATOS!$I19586,nEVAL,"OR")=0))</f>
      </c>
      <c r="I19586">
        <f>IF(DATOS!$I19586="","",IFERROR(VLOOKUP(DATOS!$I19586,CONFIG_ASIGNATURAS!$B$2:$J$91,9,FALSE()),""))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IF(DATOS!$A19587="",0,IF(CONFIG_METADATA!$B$4&lt;&gt;"OR+EX",--(DATOS!$G19587=CONFIG_METADATA!$B$4),IF(DATOS!$G19587="EX",1,IF(DATOS!$G19587="OR",--(COUNTIFS(nNIA,DATOS!$A19587,nCURSO,DATOS!$D19587,nESPEC,DATOS!$E19587,nASIG,DATOS!$I19587,nEVAL,"EX")=0),0))))</f>
      </c>
      <c r="H19587">
        <f>IF(DATOS!$G19587&lt;&gt;"EX",0,--(COUNTIFS(nNIA,DATOS!$A19587,nCURSO,DATOS!$D19587,nESPEC,DATOS!$E19587,nASIG,DATOS!$I19587,nEVAL,"OR")=0))</f>
      </c>
      <c r="I19587">
        <f>IF(DATOS!$I19587="","",IFERROR(VLOOKUP(DATOS!$I19587,CONFIG_ASIGNATURAS!$B$2:$J$91,9,FALSE()),""))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IF(DATOS!$A19588="",0,IF(CONFIG_METADATA!$B$4&lt;&gt;"OR+EX",--(DATOS!$G19588=CONFIG_METADATA!$B$4),IF(DATOS!$G19588="EX",1,IF(DATOS!$G19588="OR",--(COUNTIFS(nNIA,DATOS!$A19588,nCURSO,DATOS!$D19588,nESPEC,DATOS!$E19588,nASIG,DATOS!$I19588,nEVAL,"EX")=0),0))))</f>
      </c>
      <c r="H19588">
        <f>IF(DATOS!$G19588&lt;&gt;"EX",0,--(COUNTIFS(nNIA,DATOS!$A19588,nCURSO,DATOS!$D19588,nESPEC,DATOS!$E19588,nASIG,DATOS!$I19588,nEVAL,"OR")=0))</f>
      </c>
      <c r="I19588">
        <f>IF(DATOS!$I19588="","",IFERROR(VLOOKUP(DATOS!$I19588,CONFIG_ASIGNATURAS!$B$2:$J$91,9,FALSE()),""))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IF(DATOS!$A19589="",0,IF(CONFIG_METADATA!$B$4&lt;&gt;"OR+EX",--(DATOS!$G19589=CONFIG_METADATA!$B$4),IF(DATOS!$G19589="EX",1,IF(DATOS!$G19589="OR",--(COUNTIFS(nNIA,DATOS!$A19589,nCURSO,DATOS!$D19589,nESPEC,DATOS!$E19589,nASIG,DATOS!$I19589,nEVAL,"EX")=0),0))))</f>
      </c>
      <c r="H19589">
        <f>IF(DATOS!$G19589&lt;&gt;"EX",0,--(COUNTIFS(nNIA,DATOS!$A19589,nCURSO,DATOS!$D19589,nESPEC,DATOS!$E19589,nASIG,DATOS!$I19589,nEVAL,"OR")=0))</f>
      </c>
      <c r="I19589">
        <f>IF(DATOS!$I19589="","",IFERROR(VLOOKUP(DATOS!$I19589,CONFIG_ASIGNATURAS!$B$2:$J$91,9,FALSE()),""))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IF(DATOS!$A19590="",0,IF(CONFIG_METADATA!$B$4&lt;&gt;"OR+EX",--(DATOS!$G19590=CONFIG_METADATA!$B$4),IF(DATOS!$G19590="EX",1,IF(DATOS!$G19590="OR",--(COUNTIFS(nNIA,DATOS!$A19590,nCURSO,DATOS!$D19590,nESPEC,DATOS!$E19590,nASIG,DATOS!$I19590,nEVAL,"EX")=0),0))))</f>
      </c>
      <c r="H19590">
        <f>IF(DATOS!$G19590&lt;&gt;"EX",0,--(COUNTIFS(nNIA,DATOS!$A19590,nCURSO,DATOS!$D19590,nESPEC,DATOS!$E19590,nASIG,DATOS!$I19590,nEVAL,"OR")=0))</f>
      </c>
      <c r="I19590">
        <f>IF(DATOS!$I19590="","",IFERROR(VLOOKUP(DATOS!$I19590,CONFIG_ASIGNATURAS!$B$2:$J$91,9,FALSE()),""))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IF(DATOS!$A19591="",0,IF(CONFIG_METADATA!$B$4&lt;&gt;"OR+EX",--(DATOS!$G19591=CONFIG_METADATA!$B$4),IF(DATOS!$G19591="EX",1,IF(DATOS!$G19591="OR",--(COUNTIFS(nNIA,DATOS!$A19591,nCURSO,DATOS!$D19591,nESPEC,DATOS!$E19591,nASIG,DATOS!$I19591,nEVAL,"EX")=0),0))))</f>
      </c>
      <c r="H19591">
        <f>IF(DATOS!$G19591&lt;&gt;"EX",0,--(COUNTIFS(nNIA,DATOS!$A19591,nCURSO,DATOS!$D19591,nESPEC,DATOS!$E19591,nASIG,DATOS!$I19591,nEVAL,"OR")=0))</f>
      </c>
      <c r="I19591">
        <f>IF(DATOS!$I19591="","",IFERROR(VLOOKUP(DATOS!$I19591,CONFIG_ASIGNATURAS!$B$2:$J$91,9,FALSE()),""))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IF(DATOS!$A19592="",0,IF(CONFIG_METADATA!$B$4&lt;&gt;"OR+EX",--(DATOS!$G19592=CONFIG_METADATA!$B$4),IF(DATOS!$G19592="EX",1,IF(DATOS!$G19592="OR",--(COUNTIFS(nNIA,DATOS!$A19592,nCURSO,DATOS!$D19592,nESPEC,DATOS!$E19592,nASIG,DATOS!$I19592,nEVAL,"EX")=0),0))))</f>
      </c>
      <c r="H19592">
        <f>IF(DATOS!$G19592&lt;&gt;"EX",0,--(COUNTIFS(nNIA,DATOS!$A19592,nCURSO,DATOS!$D19592,nESPEC,DATOS!$E19592,nASIG,DATOS!$I19592,nEVAL,"OR")=0))</f>
      </c>
      <c r="I19592">
        <f>IF(DATOS!$I19592="","",IFERROR(VLOOKUP(DATOS!$I19592,CONFIG_ASIGNATURAS!$B$2:$J$91,9,FALSE()),""))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IF(DATOS!$A19593="",0,IF(CONFIG_METADATA!$B$4&lt;&gt;"OR+EX",--(DATOS!$G19593=CONFIG_METADATA!$B$4),IF(DATOS!$G19593="EX",1,IF(DATOS!$G19593="OR",--(COUNTIFS(nNIA,DATOS!$A19593,nCURSO,DATOS!$D19593,nESPEC,DATOS!$E19593,nASIG,DATOS!$I19593,nEVAL,"EX")=0),0))))</f>
      </c>
      <c r="H19593">
        <f>IF(DATOS!$G19593&lt;&gt;"EX",0,--(COUNTIFS(nNIA,DATOS!$A19593,nCURSO,DATOS!$D19593,nESPEC,DATOS!$E19593,nASIG,DATOS!$I19593,nEVAL,"OR")=0))</f>
      </c>
      <c r="I19593">
        <f>IF(DATOS!$I19593="","",IFERROR(VLOOKUP(DATOS!$I19593,CONFIG_ASIGNATURAS!$B$2:$J$91,9,FALSE()),""))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IF(DATOS!$A19594="",0,IF(CONFIG_METADATA!$B$4&lt;&gt;"OR+EX",--(DATOS!$G19594=CONFIG_METADATA!$B$4),IF(DATOS!$G19594="EX",1,IF(DATOS!$G19594="OR",--(COUNTIFS(nNIA,DATOS!$A19594,nCURSO,DATOS!$D19594,nESPEC,DATOS!$E19594,nASIG,DATOS!$I19594,nEVAL,"EX")=0),0))))</f>
      </c>
      <c r="H19594">
        <f>IF(DATOS!$G19594&lt;&gt;"EX",0,--(COUNTIFS(nNIA,DATOS!$A19594,nCURSO,DATOS!$D19594,nESPEC,DATOS!$E19594,nASIG,DATOS!$I19594,nEVAL,"OR")=0))</f>
      </c>
      <c r="I19594">
        <f>IF(DATOS!$I19594="","",IFERROR(VLOOKUP(DATOS!$I19594,CONFIG_ASIGNATURAS!$B$2:$J$91,9,FALSE()),""))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IF(DATOS!$A19595="",0,IF(CONFIG_METADATA!$B$4&lt;&gt;"OR+EX",--(DATOS!$G19595=CONFIG_METADATA!$B$4),IF(DATOS!$G19595="EX",1,IF(DATOS!$G19595="OR",--(COUNTIFS(nNIA,DATOS!$A19595,nCURSO,DATOS!$D19595,nESPEC,DATOS!$E19595,nASIG,DATOS!$I19595,nEVAL,"EX")=0),0))))</f>
      </c>
      <c r="H19595">
        <f>IF(DATOS!$G19595&lt;&gt;"EX",0,--(COUNTIFS(nNIA,DATOS!$A19595,nCURSO,DATOS!$D19595,nESPEC,DATOS!$E19595,nASIG,DATOS!$I19595,nEVAL,"OR")=0))</f>
      </c>
      <c r="I19595">
        <f>IF(DATOS!$I19595="","",IFERROR(VLOOKUP(DATOS!$I19595,CONFIG_ASIGNATURAS!$B$2:$J$91,9,FALSE()),""))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IF(DATOS!$A19596="",0,IF(CONFIG_METADATA!$B$4&lt;&gt;"OR+EX",--(DATOS!$G19596=CONFIG_METADATA!$B$4),IF(DATOS!$G19596="EX",1,IF(DATOS!$G19596="OR",--(COUNTIFS(nNIA,DATOS!$A19596,nCURSO,DATOS!$D19596,nESPEC,DATOS!$E19596,nASIG,DATOS!$I19596,nEVAL,"EX")=0),0))))</f>
      </c>
      <c r="H19596">
        <f>IF(DATOS!$G19596&lt;&gt;"EX",0,--(COUNTIFS(nNIA,DATOS!$A19596,nCURSO,DATOS!$D19596,nESPEC,DATOS!$E19596,nASIG,DATOS!$I19596,nEVAL,"OR")=0))</f>
      </c>
      <c r="I19596">
        <f>IF(DATOS!$I19596="","",IFERROR(VLOOKUP(DATOS!$I19596,CONFIG_ASIGNATURAS!$B$2:$J$91,9,FALSE()),""))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IF(DATOS!$A19597="",0,IF(CONFIG_METADATA!$B$4&lt;&gt;"OR+EX",--(DATOS!$G19597=CONFIG_METADATA!$B$4),IF(DATOS!$G19597="EX",1,IF(DATOS!$G19597="OR",--(COUNTIFS(nNIA,DATOS!$A19597,nCURSO,DATOS!$D19597,nESPEC,DATOS!$E19597,nASIG,DATOS!$I19597,nEVAL,"EX")=0),0))))</f>
      </c>
      <c r="H19597">
        <f>IF(DATOS!$G19597&lt;&gt;"EX",0,--(COUNTIFS(nNIA,DATOS!$A19597,nCURSO,DATOS!$D19597,nESPEC,DATOS!$E19597,nASIG,DATOS!$I19597,nEVAL,"OR")=0))</f>
      </c>
      <c r="I19597">
        <f>IF(DATOS!$I19597="","",IFERROR(VLOOKUP(DATOS!$I19597,CONFIG_ASIGNATURAS!$B$2:$J$91,9,FALSE()),""))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IF(DATOS!$A19598="",0,IF(CONFIG_METADATA!$B$4&lt;&gt;"OR+EX",--(DATOS!$G19598=CONFIG_METADATA!$B$4),IF(DATOS!$G19598="EX",1,IF(DATOS!$G19598="OR",--(COUNTIFS(nNIA,DATOS!$A19598,nCURSO,DATOS!$D19598,nESPEC,DATOS!$E19598,nASIG,DATOS!$I19598,nEVAL,"EX")=0),0))))</f>
      </c>
      <c r="H19598">
        <f>IF(DATOS!$G19598&lt;&gt;"EX",0,--(COUNTIFS(nNIA,DATOS!$A19598,nCURSO,DATOS!$D19598,nESPEC,DATOS!$E19598,nASIG,DATOS!$I19598,nEVAL,"OR")=0))</f>
      </c>
      <c r="I19598">
        <f>IF(DATOS!$I19598="","",IFERROR(VLOOKUP(DATOS!$I19598,CONFIG_ASIGNATURAS!$B$2:$J$91,9,FALSE()),""))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IF(DATOS!$A19599="",0,IF(CONFIG_METADATA!$B$4&lt;&gt;"OR+EX",--(DATOS!$G19599=CONFIG_METADATA!$B$4),IF(DATOS!$G19599="EX",1,IF(DATOS!$G19599="OR",--(COUNTIFS(nNIA,DATOS!$A19599,nCURSO,DATOS!$D19599,nESPEC,DATOS!$E19599,nASIG,DATOS!$I19599,nEVAL,"EX")=0),0))))</f>
      </c>
      <c r="H19599">
        <f>IF(DATOS!$G19599&lt;&gt;"EX",0,--(COUNTIFS(nNIA,DATOS!$A19599,nCURSO,DATOS!$D19599,nESPEC,DATOS!$E19599,nASIG,DATOS!$I19599,nEVAL,"OR")=0))</f>
      </c>
      <c r="I19599">
        <f>IF(DATOS!$I19599="","",IFERROR(VLOOKUP(DATOS!$I19599,CONFIG_ASIGNATURAS!$B$2:$J$91,9,FALSE()),""))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IF(DATOS!$A19600="",0,IF(CONFIG_METADATA!$B$4&lt;&gt;"OR+EX",--(DATOS!$G19600=CONFIG_METADATA!$B$4),IF(DATOS!$G19600="EX",1,IF(DATOS!$G19600="OR",--(COUNTIFS(nNIA,DATOS!$A19600,nCURSO,DATOS!$D19600,nESPEC,DATOS!$E19600,nASIG,DATOS!$I19600,nEVAL,"EX")=0),0))))</f>
      </c>
      <c r="H19600">
        <f>IF(DATOS!$G19600&lt;&gt;"EX",0,--(COUNTIFS(nNIA,DATOS!$A19600,nCURSO,DATOS!$D19600,nESPEC,DATOS!$E19600,nASIG,DATOS!$I19600,nEVAL,"OR")=0))</f>
      </c>
      <c r="I19600">
        <f>IF(DATOS!$I19600="","",IFERROR(VLOOKUP(DATOS!$I19600,CONFIG_ASIGNATURAS!$B$2:$J$91,9,FALSE()),""))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IF(DATOS!$A19601="",0,IF(CONFIG_METADATA!$B$4&lt;&gt;"OR+EX",--(DATOS!$G19601=CONFIG_METADATA!$B$4),IF(DATOS!$G19601="EX",1,IF(DATOS!$G19601="OR",--(COUNTIFS(nNIA,DATOS!$A19601,nCURSO,DATOS!$D19601,nESPEC,DATOS!$E19601,nASIG,DATOS!$I19601,nEVAL,"EX")=0),0))))</f>
      </c>
      <c r="H19601">
        <f>IF(DATOS!$G19601&lt;&gt;"EX",0,--(COUNTIFS(nNIA,DATOS!$A19601,nCURSO,DATOS!$D19601,nESPEC,DATOS!$E19601,nASIG,DATOS!$I19601,nEVAL,"OR")=0))</f>
      </c>
      <c r="I19601">
        <f>IF(DATOS!$I19601="","",IFERROR(VLOOKUP(DATOS!$I19601,CONFIG_ASIGNATURAS!$B$2:$J$91,9,FALSE()),""))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IF(DATOS!$A19602="",0,IF(CONFIG_METADATA!$B$4&lt;&gt;"OR+EX",--(DATOS!$G19602=CONFIG_METADATA!$B$4),IF(DATOS!$G19602="EX",1,IF(DATOS!$G19602="OR",--(COUNTIFS(nNIA,DATOS!$A19602,nCURSO,DATOS!$D19602,nESPEC,DATOS!$E19602,nASIG,DATOS!$I19602,nEVAL,"EX")=0),0))))</f>
      </c>
      <c r="H19602">
        <f>IF(DATOS!$G19602&lt;&gt;"EX",0,--(COUNTIFS(nNIA,DATOS!$A19602,nCURSO,DATOS!$D19602,nESPEC,DATOS!$E19602,nASIG,DATOS!$I19602,nEVAL,"OR")=0))</f>
      </c>
      <c r="I19602">
        <f>IF(DATOS!$I19602="","",IFERROR(VLOOKUP(DATOS!$I19602,CONFIG_ASIGNATURAS!$B$2:$J$91,9,FALSE()),""))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IF(DATOS!$A19603="",0,IF(CONFIG_METADATA!$B$4&lt;&gt;"OR+EX",--(DATOS!$G19603=CONFIG_METADATA!$B$4),IF(DATOS!$G19603="EX",1,IF(DATOS!$G19603="OR",--(COUNTIFS(nNIA,DATOS!$A19603,nCURSO,DATOS!$D19603,nESPEC,DATOS!$E19603,nASIG,DATOS!$I19603,nEVAL,"EX")=0),0))))</f>
      </c>
      <c r="H19603">
        <f>IF(DATOS!$G19603&lt;&gt;"EX",0,--(COUNTIFS(nNIA,DATOS!$A19603,nCURSO,DATOS!$D19603,nESPEC,DATOS!$E19603,nASIG,DATOS!$I19603,nEVAL,"OR")=0))</f>
      </c>
      <c r="I19603">
        <f>IF(DATOS!$I19603="","",IFERROR(VLOOKUP(DATOS!$I19603,CONFIG_ASIGNATURAS!$B$2:$J$91,9,FALSE()),""))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IF(DATOS!$A19604="",0,IF(CONFIG_METADATA!$B$4&lt;&gt;"OR+EX",--(DATOS!$G19604=CONFIG_METADATA!$B$4),IF(DATOS!$G19604="EX",1,IF(DATOS!$G19604="OR",--(COUNTIFS(nNIA,DATOS!$A19604,nCURSO,DATOS!$D19604,nESPEC,DATOS!$E19604,nASIG,DATOS!$I19604,nEVAL,"EX")=0),0))))</f>
      </c>
      <c r="H19604">
        <f>IF(DATOS!$G19604&lt;&gt;"EX",0,--(COUNTIFS(nNIA,DATOS!$A19604,nCURSO,DATOS!$D19604,nESPEC,DATOS!$E19604,nASIG,DATOS!$I19604,nEVAL,"OR")=0))</f>
      </c>
      <c r="I19604">
        <f>IF(DATOS!$I19604="","",IFERROR(VLOOKUP(DATOS!$I19604,CONFIG_ASIGNATURAS!$B$2:$J$91,9,FALSE()),""))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IF(DATOS!$A19605="",0,IF(CONFIG_METADATA!$B$4&lt;&gt;"OR+EX",--(DATOS!$G19605=CONFIG_METADATA!$B$4),IF(DATOS!$G19605="EX",1,IF(DATOS!$G19605="OR",--(COUNTIFS(nNIA,DATOS!$A19605,nCURSO,DATOS!$D19605,nESPEC,DATOS!$E19605,nASIG,DATOS!$I19605,nEVAL,"EX")=0),0))))</f>
      </c>
      <c r="H19605">
        <f>IF(DATOS!$G19605&lt;&gt;"EX",0,--(COUNTIFS(nNIA,DATOS!$A19605,nCURSO,DATOS!$D19605,nESPEC,DATOS!$E19605,nASIG,DATOS!$I19605,nEVAL,"OR")=0))</f>
      </c>
      <c r="I19605">
        <f>IF(DATOS!$I19605="","",IFERROR(VLOOKUP(DATOS!$I19605,CONFIG_ASIGNATURAS!$B$2:$J$91,9,FALSE()),""))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IF(DATOS!$A19606="",0,IF(CONFIG_METADATA!$B$4&lt;&gt;"OR+EX",--(DATOS!$G19606=CONFIG_METADATA!$B$4),IF(DATOS!$G19606="EX",1,IF(DATOS!$G19606="OR",--(COUNTIFS(nNIA,DATOS!$A19606,nCURSO,DATOS!$D19606,nESPEC,DATOS!$E19606,nASIG,DATOS!$I19606,nEVAL,"EX")=0),0))))</f>
      </c>
      <c r="H19606">
        <f>IF(DATOS!$G19606&lt;&gt;"EX",0,--(COUNTIFS(nNIA,DATOS!$A19606,nCURSO,DATOS!$D19606,nESPEC,DATOS!$E19606,nASIG,DATOS!$I19606,nEVAL,"OR")=0))</f>
      </c>
      <c r="I19606">
        <f>IF(DATOS!$I19606="","",IFERROR(VLOOKUP(DATOS!$I19606,CONFIG_ASIGNATURAS!$B$2:$J$91,9,FALSE()),""))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IF(DATOS!$A19607="",0,IF(CONFIG_METADATA!$B$4&lt;&gt;"OR+EX",--(DATOS!$G19607=CONFIG_METADATA!$B$4),IF(DATOS!$G19607="EX",1,IF(DATOS!$G19607="OR",--(COUNTIFS(nNIA,DATOS!$A19607,nCURSO,DATOS!$D19607,nESPEC,DATOS!$E19607,nASIG,DATOS!$I19607,nEVAL,"EX")=0),0))))</f>
      </c>
      <c r="H19607">
        <f>IF(DATOS!$G19607&lt;&gt;"EX",0,--(COUNTIFS(nNIA,DATOS!$A19607,nCURSO,DATOS!$D19607,nESPEC,DATOS!$E19607,nASIG,DATOS!$I19607,nEVAL,"OR")=0))</f>
      </c>
      <c r="I19607">
        <f>IF(DATOS!$I19607="","",IFERROR(VLOOKUP(DATOS!$I19607,CONFIG_ASIGNATURAS!$B$2:$J$91,9,FALSE()),""))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IF(DATOS!$A19608="",0,IF(CONFIG_METADATA!$B$4&lt;&gt;"OR+EX",--(DATOS!$G19608=CONFIG_METADATA!$B$4),IF(DATOS!$G19608="EX",1,IF(DATOS!$G19608="OR",--(COUNTIFS(nNIA,DATOS!$A19608,nCURSO,DATOS!$D19608,nESPEC,DATOS!$E19608,nASIG,DATOS!$I19608,nEVAL,"EX")=0),0))))</f>
      </c>
      <c r="H19608">
        <f>IF(DATOS!$G19608&lt;&gt;"EX",0,--(COUNTIFS(nNIA,DATOS!$A19608,nCURSO,DATOS!$D19608,nESPEC,DATOS!$E19608,nASIG,DATOS!$I19608,nEVAL,"OR")=0))</f>
      </c>
      <c r="I19608">
        <f>IF(DATOS!$I19608="","",IFERROR(VLOOKUP(DATOS!$I19608,CONFIG_ASIGNATURAS!$B$2:$J$91,9,FALSE()),""))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IF(DATOS!$A19609="",0,IF(CONFIG_METADATA!$B$4&lt;&gt;"OR+EX",--(DATOS!$G19609=CONFIG_METADATA!$B$4),IF(DATOS!$G19609="EX",1,IF(DATOS!$G19609="OR",--(COUNTIFS(nNIA,DATOS!$A19609,nCURSO,DATOS!$D19609,nESPEC,DATOS!$E19609,nASIG,DATOS!$I19609,nEVAL,"EX")=0),0))))</f>
      </c>
      <c r="H19609">
        <f>IF(DATOS!$G19609&lt;&gt;"EX",0,--(COUNTIFS(nNIA,DATOS!$A19609,nCURSO,DATOS!$D19609,nESPEC,DATOS!$E19609,nASIG,DATOS!$I19609,nEVAL,"OR")=0))</f>
      </c>
      <c r="I19609">
        <f>IF(DATOS!$I19609="","",IFERROR(VLOOKUP(DATOS!$I19609,CONFIG_ASIGNATURAS!$B$2:$J$91,9,FALSE()),""))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IF(DATOS!$A19610="",0,IF(CONFIG_METADATA!$B$4&lt;&gt;"OR+EX",--(DATOS!$G19610=CONFIG_METADATA!$B$4),IF(DATOS!$G19610="EX",1,IF(DATOS!$G19610="OR",--(COUNTIFS(nNIA,DATOS!$A19610,nCURSO,DATOS!$D19610,nESPEC,DATOS!$E19610,nASIG,DATOS!$I19610,nEVAL,"EX")=0),0))))</f>
      </c>
      <c r="H19610">
        <f>IF(DATOS!$G19610&lt;&gt;"EX",0,--(COUNTIFS(nNIA,DATOS!$A19610,nCURSO,DATOS!$D19610,nESPEC,DATOS!$E19610,nASIG,DATOS!$I19610,nEVAL,"OR")=0))</f>
      </c>
      <c r="I19610">
        <f>IF(DATOS!$I19610="","",IFERROR(VLOOKUP(DATOS!$I19610,CONFIG_ASIGNATURAS!$B$2:$J$91,9,FALSE()),""))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IF(DATOS!$A19611="",0,IF(CONFIG_METADATA!$B$4&lt;&gt;"OR+EX",--(DATOS!$G19611=CONFIG_METADATA!$B$4),IF(DATOS!$G19611="EX",1,IF(DATOS!$G19611="OR",--(COUNTIFS(nNIA,DATOS!$A19611,nCURSO,DATOS!$D19611,nESPEC,DATOS!$E19611,nASIG,DATOS!$I19611,nEVAL,"EX")=0),0))))</f>
      </c>
      <c r="H19611">
        <f>IF(DATOS!$G19611&lt;&gt;"EX",0,--(COUNTIFS(nNIA,DATOS!$A19611,nCURSO,DATOS!$D19611,nESPEC,DATOS!$E19611,nASIG,DATOS!$I19611,nEVAL,"OR")=0))</f>
      </c>
      <c r="I19611">
        <f>IF(DATOS!$I19611="","",IFERROR(VLOOKUP(DATOS!$I19611,CONFIG_ASIGNATURAS!$B$2:$J$91,9,FALSE()),""))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IF(DATOS!$A19612="",0,IF(CONFIG_METADATA!$B$4&lt;&gt;"OR+EX",--(DATOS!$G19612=CONFIG_METADATA!$B$4),IF(DATOS!$G19612="EX",1,IF(DATOS!$G19612="OR",--(COUNTIFS(nNIA,DATOS!$A19612,nCURSO,DATOS!$D19612,nESPEC,DATOS!$E19612,nASIG,DATOS!$I19612,nEVAL,"EX")=0),0))))</f>
      </c>
      <c r="H19612">
        <f>IF(DATOS!$G19612&lt;&gt;"EX",0,--(COUNTIFS(nNIA,DATOS!$A19612,nCURSO,DATOS!$D19612,nESPEC,DATOS!$E19612,nASIG,DATOS!$I19612,nEVAL,"OR")=0))</f>
      </c>
      <c r="I19612">
        <f>IF(DATOS!$I19612="","",IFERROR(VLOOKUP(DATOS!$I19612,CONFIG_ASIGNATURAS!$B$2:$J$91,9,FALSE()),""))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IF(DATOS!$A19613="",0,IF(CONFIG_METADATA!$B$4&lt;&gt;"OR+EX",--(DATOS!$G19613=CONFIG_METADATA!$B$4),IF(DATOS!$G19613="EX",1,IF(DATOS!$G19613="OR",--(COUNTIFS(nNIA,DATOS!$A19613,nCURSO,DATOS!$D19613,nESPEC,DATOS!$E19613,nASIG,DATOS!$I19613,nEVAL,"EX")=0),0))))</f>
      </c>
      <c r="H19613">
        <f>IF(DATOS!$G19613&lt;&gt;"EX",0,--(COUNTIFS(nNIA,DATOS!$A19613,nCURSO,DATOS!$D19613,nESPEC,DATOS!$E19613,nASIG,DATOS!$I19613,nEVAL,"OR")=0))</f>
      </c>
      <c r="I19613">
        <f>IF(DATOS!$I19613="","",IFERROR(VLOOKUP(DATOS!$I19613,CONFIG_ASIGNATURAS!$B$2:$J$91,9,FALSE()),""))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IF(DATOS!$A19614="",0,IF(CONFIG_METADATA!$B$4&lt;&gt;"OR+EX",--(DATOS!$G19614=CONFIG_METADATA!$B$4),IF(DATOS!$G19614="EX",1,IF(DATOS!$G19614="OR",--(COUNTIFS(nNIA,DATOS!$A19614,nCURSO,DATOS!$D19614,nESPEC,DATOS!$E19614,nASIG,DATOS!$I19614,nEVAL,"EX")=0),0))))</f>
      </c>
      <c r="H19614">
        <f>IF(DATOS!$G19614&lt;&gt;"EX",0,--(COUNTIFS(nNIA,DATOS!$A19614,nCURSO,DATOS!$D19614,nESPEC,DATOS!$E19614,nASIG,DATOS!$I19614,nEVAL,"OR")=0))</f>
      </c>
      <c r="I19614">
        <f>IF(DATOS!$I19614="","",IFERROR(VLOOKUP(DATOS!$I19614,CONFIG_ASIGNATURAS!$B$2:$J$91,9,FALSE()),""))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IF(DATOS!$A19615="",0,IF(CONFIG_METADATA!$B$4&lt;&gt;"OR+EX",--(DATOS!$G19615=CONFIG_METADATA!$B$4),IF(DATOS!$G19615="EX",1,IF(DATOS!$G19615="OR",--(COUNTIFS(nNIA,DATOS!$A19615,nCURSO,DATOS!$D19615,nESPEC,DATOS!$E19615,nASIG,DATOS!$I19615,nEVAL,"EX")=0),0))))</f>
      </c>
      <c r="H19615">
        <f>IF(DATOS!$G19615&lt;&gt;"EX",0,--(COUNTIFS(nNIA,DATOS!$A19615,nCURSO,DATOS!$D19615,nESPEC,DATOS!$E19615,nASIG,DATOS!$I19615,nEVAL,"OR")=0))</f>
      </c>
      <c r="I19615">
        <f>IF(DATOS!$I19615="","",IFERROR(VLOOKUP(DATOS!$I19615,CONFIG_ASIGNATURAS!$B$2:$J$91,9,FALSE()),""))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IF(DATOS!$A19616="",0,IF(CONFIG_METADATA!$B$4&lt;&gt;"OR+EX",--(DATOS!$G19616=CONFIG_METADATA!$B$4),IF(DATOS!$G19616="EX",1,IF(DATOS!$G19616="OR",--(COUNTIFS(nNIA,DATOS!$A19616,nCURSO,DATOS!$D19616,nESPEC,DATOS!$E19616,nASIG,DATOS!$I19616,nEVAL,"EX")=0),0))))</f>
      </c>
      <c r="H19616">
        <f>IF(DATOS!$G19616&lt;&gt;"EX",0,--(COUNTIFS(nNIA,DATOS!$A19616,nCURSO,DATOS!$D19616,nESPEC,DATOS!$E19616,nASIG,DATOS!$I19616,nEVAL,"OR")=0))</f>
      </c>
      <c r="I19616">
        <f>IF(DATOS!$I19616="","",IFERROR(VLOOKUP(DATOS!$I19616,CONFIG_ASIGNATURAS!$B$2:$J$91,9,FALSE()),""))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IF(DATOS!$A19617="",0,IF(CONFIG_METADATA!$B$4&lt;&gt;"OR+EX",--(DATOS!$G19617=CONFIG_METADATA!$B$4),IF(DATOS!$G19617="EX",1,IF(DATOS!$G19617="OR",--(COUNTIFS(nNIA,DATOS!$A19617,nCURSO,DATOS!$D19617,nESPEC,DATOS!$E19617,nASIG,DATOS!$I19617,nEVAL,"EX")=0),0))))</f>
      </c>
      <c r="H19617">
        <f>IF(DATOS!$G19617&lt;&gt;"EX",0,--(COUNTIFS(nNIA,DATOS!$A19617,nCURSO,DATOS!$D19617,nESPEC,DATOS!$E19617,nASIG,DATOS!$I19617,nEVAL,"OR")=0))</f>
      </c>
      <c r="I19617">
        <f>IF(DATOS!$I19617="","",IFERROR(VLOOKUP(DATOS!$I19617,CONFIG_ASIGNATURAS!$B$2:$J$91,9,FALSE()),""))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IF(DATOS!$A19618="",0,IF(CONFIG_METADATA!$B$4&lt;&gt;"OR+EX",--(DATOS!$G19618=CONFIG_METADATA!$B$4),IF(DATOS!$G19618="EX",1,IF(DATOS!$G19618="OR",--(COUNTIFS(nNIA,DATOS!$A19618,nCURSO,DATOS!$D19618,nESPEC,DATOS!$E19618,nASIG,DATOS!$I19618,nEVAL,"EX")=0),0))))</f>
      </c>
      <c r="H19618">
        <f>IF(DATOS!$G19618&lt;&gt;"EX",0,--(COUNTIFS(nNIA,DATOS!$A19618,nCURSO,DATOS!$D19618,nESPEC,DATOS!$E19618,nASIG,DATOS!$I19618,nEVAL,"OR")=0))</f>
      </c>
      <c r="I19618">
        <f>IF(DATOS!$I19618="","",IFERROR(VLOOKUP(DATOS!$I19618,CONFIG_ASIGNATURAS!$B$2:$J$91,9,FALSE()),""))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IF(DATOS!$A19619="",0,IF(CONFIG_METADATA!$B$4&lt;&gt;"OR+EX",--(DATOS!$G19619=CONFIG_METADATA!$B$4),IF(DATOS!$G19619="EX",1,IF(DATOS!$G19619="OR",--(COUNTIFS(nNIA,DATOS!$A19619,nCURSO,DATOS!$D19619,nESPEC,DATOS!$E19619,nASIG,DATOS!$I19619,nEVAL,"EX")=0),0))))</f>
      </c>
      <c r="H19619">
        <f>IF(DATOS!$G19619&lt;&gt;"EX",0,--(COUNTIFS(nNIA,DATOS!$A19619,nCURSO,DATOS!$D19619,nESPEC,DATOS!$E19619,nASIG,DATOS!$I19619,nEVAL,"OR")=0))</f>
      </c>
      <c r="I19619">
        <f>IF(DATOS!$I19619="","",IFERROR(VLOOKUP(DATOS!$I19619,CONFIG_ASIGNATURAS!$B$2:$J$91,9,FALSE()),""))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IF(DATOS!$A19620="",0,IF(CONFIG_METADATA!$B$4&lt;&gt;"OR+EX",--(DATOS!$G19620=CONFIG_METADATA!$B$4),IF(DATOS!$G19620="EX",1,IF(DATOS!$G19620="OR",--(COUNTIFS(nNIA,DATOS!$A19620,nCURSO,DATOS!$D19620,nESPEC,DATOS!$E19620,nASIG,DATOS!$I19620,nEVAL,"EX")=0),0))))</f>
      </c>
      <c r="H19620">
        <f>IF(DATOS!$G19620&lt;&gt;"EX",0,--(COUNTIFS(nNIA,DATOS!$A19620,nCURSO,DATOS!$D19620,nESPEC,DATOS!$E19620,nASIG,DATOS!$I19620,nEVAL,"OR")=0))</f>
      </c>
      <c r="I19620">
        <f>IF(DATOS!$I19620="","",IFERROR(VLOOKUP(DATOS!$I19620,CONFIG_ASIGNATURAS!$B$2:$J$91,9,FALSE()),""))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IF(DATOS!$A19621="",0,IF(CONFIG_METADATA!$B$4&lt;&gt;"OR+EX",--(DATOS!$G19621=CONFIG_METADATA!$B$4),IF(DATOS!$G19621="EX",1,IF(DATOS!$G19621="OR",--(COUNTIFS(nNIA,DATOS!$A19621,nCURSO,DATOS!$D19621,nESPEC,DATOS!$E19621,nASIG,DATOS!$I19621,nEVAL,"EX")=0),0))))</f>
      </c>
      <c r="H19621">
        <f>IF(DATOS!$G19621&lt;&gt;"EX",0,--(COUNTIFS(nNIA,DATOS!$A19621,nCURSO,DATOS!$D19621,nESPEC,DATOS!$E19621,nASIG,DATOS!$I19621,nEVAL,"OR")=0))</f>
      </c>
      <c r="I19621">
        <f>IF(DATOS!$I19621="","",IFERROR(VLOOKUP(DATOS!$I19621,CONFIG_ASIGNATURAS!$B$2:$J$91,9,FALSE()),""))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IF(DATOS!$A19622="",0,IF(CONFIG_METADATA!$B$4&lt;&gt;"OR+EX",--(DATOS!$G19622=CONFIG_METADATA!$B$4),IF(DATOS!$G19622="EX",1,IF(DATOS!$G19622="OR",--(COUNTIFS(nNIA,DATOS!$A19622,nCURSO,DATOS!$D19622,nESPEC,DATOS!$E19622,nASIG,DATOS!$I19622,nEVAL,"EX")=0),0))))</f>
      </c>
      <c r="H19622">
        <f>IF(DATOS!$G19622&lt;&gt;"EX",0,--(COUNTIFS(nNIA,DATOS!$A19622,nCURSO,DATOS!$D19622,nESPEC,DATOS!$E19622,nASIG,DATOS!$I19622,nEVAL,"OR")=0))</f>
      </c>
      <c r="I19622">
        <f>IF(DATOS!$I19622="","",IFERROR(VLOOKUP(DATOS!$I19622,CONFIG_ASIGNATURAS!$B$2:$J$91,9,FALSE()),""))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IF(DATOS!$A19623="",0,IF(CONFIG_METADATA!$B$4&lt;&gt;"OR+EX",--(DATOS!$G19623=CONFIG_METADATA!$B$4),IF(DATOS!$G19623="EX",1,IF(DATOS!$G19623="OR",--(COUNTIFS(nNIA,DATOS!$A19623,nCURSO,DATOS!$D19623,nESPEC,DATOS!$E19623,nASIG,DATOS!$I19623,nEVAL,"EX")=0),0))))</f>
      </c>
      <c r="H19623">
        <f>IF(DATOS!$G19623&lt;&gt;"EX",0,--(COUNTIFS(nNIA,DATOS!$A19623,nCURSO,DATOS!$D19623,nESPEC,DATOS!$E19623,nASIG,DATOS!$I19623,nEVAL,"OR")=0))</f>
      </c>
      <c r="I19623">
        <f>IF(DATOS!$I19623="","",IFERROR(VLOOKUP(DATOS!$I19623,CONFIG_ASIGNATURAS!$B$2:$J$91,9,FALSE()),""))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IF(DATOS!$A19624="",0,IF(CONFIG_METADATA!$B$4&lt;&gt;"OR+EX",--(DATOS!$G19624=CONFIG_METADATA!$B$4),IF(DATOS!$G19624="EX",1,IF(DATOS!$G19624="OR",--(COUNTIFS(nNIA,DATOS!$A19624,nCURSO,DATOS!$D19624,nESPEC,DATOS!$E19624,nASIG,DATOS!$I19624,nEVAL,"EX")=0),0))))</f>
      </c>
      <c r="H19624">
        <f>IF(DATOS!$G19624&lt;&gt;"EX",0,--(COUNTIFS(nNIA,DATOS!$A19624,nCURSO,DATOS!$D19624,nESPEC,DATOS!$E19624,nASIG,DATOS!$I19624,nEVAL,"OR")=0))</f>
      </c>
      <c r="I19624">
        <f>IF(DATOS!$I19624="","",IFERROR(VLOOKUP(DATOS!$I19624,CONFIG_ASIGNATURAS!$B$2:$J$91,9,FALSE()),""))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IF(DATOS!$A19625="",0,IF(CONFIG_METADATA!$B$4&lt;&gt;"OR+EX",--(DATOS!$G19625=CONFIG_METADATA!$B$4),IF(DATOS!$G19625="EX",1,IF(DATOS!$G19625="OR",--(COUNTIFS(nNIA,DATOS!$A19625,nCURSO,DATOS!$D19625,nESPEC,DATOS!$E19625,nASIG,DATOS!$I19625,nEVAL,"EX")=0),0))))</f>
      </c>
      <c r="H19625">
        <f>IF(DATOS!$G19625&lt;&gt;"EX",0,--(COUNTIFS(nNIA,DATOS!$A19625,nCURSO,DATOS!$D19625,nESPEC,DATOS!$E19625,nASIG,DATOS!$I19625,nEVAL,"OR")=0))</f>
      </c>
      <c r="I19625">
        <f>IF(DATOS!$I19625="","",IFERROR(VLOOKUP(DATOS!$I19625,CONFIG_ASIGNATURAS!$B$2:$J$91,9,FALSE()),""))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IF(DATOS!$A19626="",0,IF(CONFIG_METADATA!$B$4&lt;&gt;"OR+EX",--(DATOS!$G19626=CONFIG_METADATA!$B$4),IF(DATOS!$G19626="EX",1,IF(DATOS!$G19626="OR",--(COUNTIFS(nNIA,DATOS!$A19626,nCURSO,DATOS!$D19626,nESPEC,DATOS!$E19626,nASIG,DATOS!$I19626,nEVAL,"EX")=0),0))))</f>
      </c>
      <c r="H19626">
        <f>IF(DATOS!$G19626&lt;&gt;"EX",0,--(COUNTIFS(nNIA,DATOS!$A19626,nCURSO,DATOS!$D19626,nESPEC,DATOS!$E19626,nASIG,DATOS!$I19626,nEVAL,"OR")=0))</f>
      </c>
      <c r="I19626">
        <f>IF(DATOS!$I19626="","",IFERROR(VLOOKUP(DATOS!$I19626,CONFIG_ASIGNATURAS!$B$2:$J$91,9,FALSE()),""))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IF(DATOS!$A19627="",0,IF(CONFIG_METADATA!$B$4&lt;&gt;"OR+EX",--(DATOS!$G19627=CONFIG_METADATA!$B$4),IF(DATOS!$G19627="EX",1,IF(DATOS!$G19627="OR",--(COUNTIFS(nNIA,DATOS!$A19627,nCURSO,DATOS!$D19627,nESPEC,DATOS!$E19627,nASIG,DATOS!$I19627,nEVAL,"EX")=0),0))))</f>
      </c>
      <c r="H19627">
        <f>IF(DATOS!$G19627&lt;&gt;"EX",0,--(COUNTIFS(nNIA,DATOS!$A19627,nCURSO,DATOS!$D19627,nESPEC,DATOS!$E19627,nASIG,DATOS!$I19627,nEVAL,"OR")=0))</f>
      </c>
      <c r="I19627">
        <f>IF(DATOS!$I19627="","",IFERROR(VLOOKUP(DATOS!$I19627,CONFIG_ASIGNATURAS!$B$2:$J$91,9,FALSE()),""))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IF(DATOS!$A19628="",0,IF(CONFIG_METADATA!$B$4&lt;&gt;"OR+EX",--(DATOS!$G19628=CONFIG_METADATA!$B$4),IF(DATOS!$G19628="EX",1,IF(DATOS!$G19628="OR",--(COUNTIFS(nNIA,DATOS!$A19628,nCURSO,DATOS!$D19628,nESPEC,DATOS!$E19628,nASIG,DATOS!$I19628,nEVAL,"EX")=0),0))))</f>
      </c>
      <c r="H19628">
        <f>IF(DATOS!$G19628&lt;&gt;"EX",0,--(COUNTIFS(nNIA,DATOS!$A19628,nCURSO,DATOS!$D19628,nESPEC,DATOS!$E19628,nASIG,DATOS!$I19628,nEVAL,"OR")=0))</f>
      </c>
      <c r="I19628">
        <f>IF(DATOS!$I19628="","",IFERROR(VLOOKUP(DATOS!$I19628,CONFIG_ASIGNATURAS!$B$2:$J$91,9,FALSE()),""))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IF(DATOS!$A19629="",0,IF(CONFIG_METADATA!$B$4&lt;&gt;"OR+EX",--(DATOS!$G19629=CONFIG_METADATA!$B$4),IF(DATOS!$G19629="EX",1,IF(DATOS!$G19629="OR",--(COUNTIFS(nNIA,DATOS!$A19629,nCURSO,DATOS!$D19629,nESPEC,DATOS!$E19629,nASIG,DATOS!$I19629,nEVAL,"EX")=0),0))))</f>
      </c>
      <c r="H19629">
        <f>IF(DATOS!$G19629&lt;&gt;"EX",0,--(COUNTIFS(nNIA,DATOS!$A19629,nCURSO,DATOS!$D19629,nESPEC,DATOS!$E19629,nASIG,DATOS!$I19629,nEVAL,"OR")=0))</f>
      </c>
      <c r="I19629">
        <f>IF(DATOS!$I19629="","",IFERROR(VLOOKUP(DATOS!$I19629,CONFIG_ASIGNATURAS!$B$2:$J$91,9,FALSE()),""))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IF(DATOS!$A19630="",0,IF(CONFIG_METADATA!$B$4&lt;&gt;"OR+EX",--(DATOS!$G19630=CONFIG_METADATA!$B$4),IF(DATOS!$G19630="EX",1,IF(DATOS!$G19630="OR",--(COUNTIFS(nNIA,DATOS!$A19630,nCURSO,DATOS!$D19630,nESPEC,DATOS!$E19630,nASIG,DATOS!$I19630,nEVAL,"EX")=0),0))))</f>
      </c>
      <c r="H19630">
        <f>IF(DATOS!$G19630&lt;&gt;"EX",0,--(COUNTIFS(nNIA,DATOS!$A19630,nCURSO,DATOS!$D19630,nESPEC,DATOS!$E19630,nASIG,DATOS!$I19630,nEVAL,"OR")=0))</f>
      </c>
      <c r="I19630">
        <f>IF(DATOS!$I19630="","",IFERROR(VLOOKUP(DATOS!$I19630,CONFIG_ASIGNATURAS!$B$2:$J$91,9,FALSE()),""))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IF(DATOS!$A19631="",0,IF(CONFIG_METADATA!$B$4&lt;&gt;"OR+EX",--(DATOS!$G19631=CONFIG_METADATA!$B$4),IF(DATOS!$G19631="EX",1,IF(DATOS!$G19631="OR",--(COUNTIFS(nNIA,DATOS!$A19631,nCURSO,DATOS!$D19631,nESPEC,DATOS!$E19631,nASIG,DATOS!$I19631,nEVAL,"EX")=0),0))))</f>
      </c>
      <c r="H19631">
        <f>IF(DATOS!$G19631&lt;&gt;"EX",0,--(COUNTIFS(nNIA,DATOS!$A19631,nCURSO,DATOS!$D19631,nESPEC,DATOS!$E19631,nASIG,DATOS!$I19631,nEVAL,"OR")=0))</f>
      </c>
      <c r="I19631">
        <f>IF(DATOS!$I19631="","",IFERROR(VLOOKUP(DATOS!$I19631,CONFIG_ASIGNATURAS!$B$2:$J$91,9,FALSE()),""))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IF(DATOS!$A19632="",0,IF(CONFIG_METADATA!$B$4&lt;&gt;"OR+EX",--(DATOS!$G19632=CONFIG_METADATA!$B$4),IF(DATOS!$G19632="EX",1,IF(DATOS!$G19632="OR",--(COUNTIFS(nNIA,DATOS!$A19632,nCURSO,DATOS!$D19632,nESPEC,DATOS!$E19632,nASIG,DATOS!$I19632,nEVAL,"EX")=0),0))))</f>
      </c>
      <c r="H19632">
        <f>IF(DATOS!$G19632&lt;&gt;"EX",0,--(COUNTIFS(nNIA,DATOS!$A19632,nCURSO,DATOS!$D19632,nESPEC,DATOS!$E19632,nASIG,DATOS!$I19632,nEVAL,"OR")=0))</f>
      </c>
      <c r="I19632">
        <f>IF(DATOS!$I19632="","",IFERROR(VLOOKUP(DATOS!$I19632,CONFIG_ASIGNATURAS!$B$2:$J$91,9,FALSE()),""))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IF(DATOS!$A19633="",0,IF(CONFIG_METADATA!$B$4&lt;&gt;"OR+EX",--(DATOS!$G19633=CONFIG_METADATA!$B$4),IF(DATOS!$G19633="EX",1,IF(DATOS!$G19633="OR",--(COUNTIFS(nNIA,DATOS!$A19633,nCURSO,DATOS!$D19633,nESPEC,DATOS!$E19633,nASIG,DATOS!$I19633,nEVAL,"EX")=0),0))))</f>
      </c>
      <c r="H19633">
        <f>IF(DATOS!$G19633&lt;&gt;"EX",0,--(COUNTIFS(nNIA,DATOS!$A19633,nCURSO,DATOS!$D19633,nESPEC,DATOS!$E19633,nASIG,DATOS!$I19633,nEVAL,"OR")=0))</f>
      </c>
      <c r="I19633">
        <f>IF(DATOS!$I19633="","",IFERROR(VLOOKUP(DATOS!$I19633,CONFIG_ASIGNATURAS!$B$2:$J$91,9,FALSE()),""))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IF(DATOS!$A19634="",0,IF(CONFIG_METADATA!$B$4&lt;&gt;"OR+EX",--(DATOS!$G19634=CONFIG_METADATA!$B$4),IF(DATOS!$G19634="EX",1,IF(DATOS!$G19634="OR",--(COUNTIFS(nNIA,DATOS!$A19634,nCURSO,DATOS!$D19634,nESPEC,DATOS!$E19634,nASIG,DATOS!$I19634,nEVAL,"EX")=0),0))))</f>
      </c>
      <c r="H19634">
        <f>IF(DATOS!$G19634&lt;&gt;"EX",0,--(COUNTIFS(nNIA,DATOS!$A19634,nCURSO,DATOS!$D19634,nESPEC,DATOS!$E19634,nASIG,DATOS!$I19634,nEVAL,"OR")=0))</f>
      </c>
      <c r="I19634">
        <f>IF(DATOS!$I19634="","",IFERROR(VLOOKUP(DATOS!$I19634,CONFIG_ASIGNATURAS!$B$2:$J$91,9,FALSE()),""))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IF(DATOS!$A19635="",0,IF(CONFIG_METADATA!$B$4&lt;&gt;"OR+EX",--(DATOS!$G19635=CONFIG_METADATA!$B$4),IF(DATOS!$G19635="EX",1,IF(DATOS!$G19635="OR",--(COUNTIFS(nNIA,DATOS!$A19635,nCURSO,DATOS!$D19635,nESPEC,DATOS!$E19635,nASIG,DATOS!$I19635,nEVAL,"EX")=0),0))))</f>
      </c>
      <c r="H19635">
        <f>IF(DATOS!$G19635&lt;&gt;"EX",0,--(COUNTIFS(nNIA,DATOS!$A19635,nCURSO,DATOS!$D19635,nESPEC,DATOS!$E19635,nASIG,DATOS!$I19635,nEVAL,"OR")=0))</f>
      </c>
      <c r="I19635">
        <f>IF(DATOS!$I19635="","",IFERROR(VLOOKUP(DATOS!$I19635,CONFIG_ASIGNATURAS!$B$2:$J$91,9,FALSE()),""))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IF(DATOS!$A19636="",0,IF(CONFIG_METADATA!$B$4&lt;&gt;"OR+EX",--(DATOS!$G19636=CONFIG_METADATA!$B$4),IF(DATOS!$G19636="EX",1,IF(DATOS!$G19636="OR",--(COUNTIFS(nNIA,DATOS!$A19636,nCURSO,DATOS!$D19636,nESPEC,DATOS!$E19636,nASIG,DATOS!$I19636,nEVAL,"EX")=0),0))))</f>
      </c>
      <c r="H19636">
        <f>IF(DATOS!$G19636&lt;&gt;"EX",0,--(COUNTIFS(nNIA,DATOS!$A19636,nCURSO,DATOS!$D19636,nESPEC,DATOS!$E19636,nASIG,DATOS!$I19636,nEVAL,"OR")=0))</f>
      </c>
      <c r="I19636">
        <f>IF(DATOS!$I19636="","",IFERROR(VLOOKUP(DATOS!$I19636,CONFIG_ASIGNATURAS!$B$2:$J$91,9,FALSE()),""))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IF(DATOS!$A19637="",0,IF(CONFIG_METADATA!$B$4&lt;&gt;"OR+EX",--(DATOS!$G19637=CONFIG_METADATA!$B$4),IF(DATOS!$G19637="EX",1,IF(DATOS!$G19637="OR",--(COUNTIFS(nNIA,DATOS!$A19637,nCURSO,DATOS!$D19637,nESPEC,DATOS!$E19637,nASIG,DATOS!$I19637,nEVAL,"EX")=0),0))))</f>
      </c>
      <c r="H19637">
        <f>IF(DATOS!$G19637&lt;&gt;"EX",0,--(COUNTIFS(nNIA,DATOS!$A19637,nCURSO,DATOS!$D19637,nESPEC,DATOS!$E19637,nASIG,DATOS!$I19637,nEVAL,"OR")=0))</f>
      </c>
      <c r="I19637">
        <f>IF(DATOS!$I19637="","",IFERROR(VLOOKUP(DATOS!$I19637,CONFIG_ASIGNATURAS!$B$2:$J$91,9,FALSE()),""))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IF(DATOS!$A19638="",0,IF(CONFIG_METADATA!$B$4&lt;&gt;"OR+EX",--(DATOS!$G19638=CONFIG_METADATA!$B$4),IF(DATOS!$G19638="EX",1,IF(DATOS!$G19638="OR",--(COUNTIFS(nNIA,DATOS!$A19638,nCURSO,DATOS!$D19638,nESPEC,DATOS!$E19638,nASIG,DATOS!$I19638,nEVAL,"EX")=0),0))))</f>
      </c>
      <c r="H19638">
        <f>IF(DATOS!$G19638&lt;&gt;"EX",0,--(COUNTIFS(nNIA,DATOS!$A19638,nCURSO,DATOS!$D19638,nESPEC,DATOS!$E19638,nASIG,DATOS!$I19638,nEVAL,"OR")=0))</f>
      </c>
      <c r="I19638">
        <f>IF(DATOS!$I19638="","",IFERROR(VLOOKUP(DATOS!$I19638,CONFIG_ASIGNATURAS!$B$2:$J$91,9,FALSE()),""))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IF(DATOS!$A19639="",0,IF(CONFIG_METADATA!$B$4&lt;&gt;"OR+EX",--(DATOS!$G19639=CONFIG_METADATA!$B$4),IF(DATOS!$G19639="EX",1,IF(DATOS!$G19639="OR",--(COUNTIFS(nNIA,DATOS!$A19639,nCURSO,DATOS!$D19639,nESPEC,DATOS!$E19639,nASIG,DATOS!$I19639,nEVAL,"EX")=0),0))))</f>
      </c>
      <c r="H19639">
        <f>IF(DATOS!$G19639&lt;&gt;"EX",0,--(COUNTIFS(nNIA,DATOS!$A19639,nCURSO,DATOS!$D19639,nESPEC,DATOS!$E19639,nASIG,DATOS!$I19639,nEVAL,"OR")=0))</f>
      </c>
      <c r="I19639">
        <f>IF(DATOS!$I19639="","",IFERROR(VLOOKUP(DATOS!$I19639,CONFIG_ASIGNATURAS!$B$2:$J$91,9,FALSE()),""))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IF(DATOS!$A19640="",0,IF(CONFIG_METADATA!$B$4&lt;&gt;"OR+EX",--(DATOS!$G19640=CONFIG_METADATA!$B$4),IF(DATOS!$G19640="EX",1,IF(DATOS!$G19640="OR",--(COUNTIFS(nNIA,DATOS!$A19640,nCURSO,DATOS!$D19640,nESPEC,DATOS!$E19640,nASIG,DATOS!$I19640,nEVAL,"EX")=0),0))))</f>
      </c>
      <c r="H19640">
        <f>IF(DATOS!$G19640&lt;&gt;"EX",0,--(COUNTIFS(nNIA,DATOS!$A19640,nCURSO,DATOS!$D19640,nESPEC,DATOS!$E19640,nASIG,DATOS!$I19640,nEVAL,"OR")=0))</f>
      </c>
      <c r="I19640">
        <f>IF(DATOS!$I19640="","",IFERROR(VLOOKUP(DATOS!$I19640,CONFIG_ASIGNATURAS!$B$2:$J$91,9,FALSE()),""))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IF(DATOS!$A19641="",0,IF(CONFIG_METADATA!$B$4&lt;&gt;"OR+EX",--(DATOS!$G19641=CONFIG_METADATA!$B$4),IF(DATOS!$G19641="EX",1,IF(DATOS!$G19641="OR",--(COUNTIFS(nNIA,DATOS!$A19641,nCURSO,DATOS!$D19641,nESPEC,DATOS!$E19641,nASIG,DATOS!$I19641,nEVAL,"EX")=0),0))))</f>
      </c>
      <c r="H19641">
        <f>IF(DATOS!$G19641&lt;&gt;"EX",0,--(COUNTIFS(nNIA,DATOS!$A19641,nCURSO,DATOS!$D19641,nESPEC,DATOS!$E19641,nASIG,DATOS!$I19641,nEVAL,"OR")=0))</f>
      </c>
      <c r="I19641">
        <f>IF(DATOS!$I19641="","",IFERROR(VLOOKUP(DATOS!$I19641,CONFIG_ASIGNATURAS!$B$2:$J$91,9,FALSE()),""))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IF(DATOS!$A19642="",0,IF(CONFIG_METADATA!$B$4&lt;&gt;"OR+EX",--(DATOS!$G19642=CONFIG_METADATA!$B$4),IF(DATOS!$G19642="EX",1,IF(DATOS!$G19642="OR",--(COUNTIFS(nNIA,DATOS!$A19642,nCURSO,DATOS!$D19642,nESPEC,DATOS!$E19642,nASIG,DATOS!$I19642,nEVAL,"EX")=0),0))))</f>
      </c>
      <c r="H19642">
        <f>IF(DATOS!$G19642&lt;&gt;"EX",0,--(COUNTIFS(nNIA,DATOS!$A19642,nCURSO,DATOS!$D19642,nESPEC,DATOS!$E19642,nASIG,DATOS!$I19642,nEVAL,"OR")=0))</f>
      </c>
      <c r="I19642">
        <f>IF(DATOS!$I19642="","",IFERROR(VLOOKUP(DATOS!$I19642,CONFIG_ASIGNATURAS!$B$2:$J$91,9,FALSE()),""))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IF(DATOS!$A19643="",0,IF(CONFIG_METADATA!$B$4&lt;&gt;"OR+EX",--(DATOS!$G19643=CONFIG_METADATA!$B$4),IF(DATOS!$G19643="EX",1,IF(DATOS!$G19643="OR",--(COUNTIFS(nNIA,DATOS!$A19643,nCURSO,DATOS!$D19643,nESPEC,DATOS!$E19643,nASIG,DATOS!$I19643,nEVAL,"EX")=0),0))))</f>
      </c>
      <c r="H19643">
        <f>IF(DATOS!$G19643&lt;&gt;"EX",0,--(COUNTIFS(nNIA,DATOS!$A19643,nCURSO,DATOS!$D19643,nESPEC,DATOS!$E19643,nASIG,DATOS!$I19643,nEVAL,"OR")=0))</f>
      </c>
      <c r="I19643">
        <f>IF(DATOS!$I19643="","",IFERROR(VLOOKUP(DATOS!$I19643,CONFIG_ASIGNATURAS!$B$2:$J$91,9,FALSE()),""))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IF(DATOS!$A19644="",0,IF(CONFIG_METADATA!$B$4&lt;&gt;"OR+EX",--(DATOS!$G19644=CONFIG_METADATA!$B$4),IF(DATOS!$G19644="EX",1,IF(DATOS!$G19644="OR",--(COUNTIFS(nNIA,DATOS!$A19644,nCURSO,DATOS!$D19644,nESPEC,DATOS!$E19644,nASIG,DATOS!$I19644,nEVAL,"EX")=0),0))))</f>
      </c>
      <c r="H19644">
        <f>IF(DATOS!$G19644&lt;&gt;"EX",0,--(COUNTIFS(nNIA,DATOS!$A19644,nCURSO,DATOS!$D19644,nESPEC,DATOS!$E19644,nASIG,DATOS!$I19644,nEVAL,"OR")=0))</f>
      </c>
      <c r="I19644">
        <f>IF(DATOS!$I19644="","",IFERROR(VLOOKUP(DATOS!$I19644,CONFIG_ASIGNATURAS!$B$2:$J$91,9,FALSE()),""))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IF(DATOS!$A19645="",0,IF(CONFIG_METADATA!$B$4&lt;&gt;"OR+EX",--(DATOS!$G19645=CONFIG_METADATA!$B$4),IF(DATOS!$G19645="EX",1,IF(DATOS!$G19645="OR",--(COUNTIFS(nNIA,DATOS!$A19645,nCURSO,DATOS!$D19645,nESPEC,DATOS!$E19645,nASIG,DATOS!$I19645,nEVAL,"EX")=0),0))))</f>
      </c>
      <c r="H19645">
        <f>IF(DATOS!$G19645&lt;&gt;"EX",0,--(COUNTIFS(nNIA,DATOS!$A19645,nCURSO,DATOS!$D19645,nESPEC,DATOS!$E19645,nASIG,DATOS!$I19645,nEVAL,"OR")=0))</f>
      </c>
      <c r="I19645">
        <f>IF(DATOS!$I19645="","",IFERROR(VLOOKUP(DATOS!$I19645,CONFIG_ASIGNATURAS!$B$2:$J$91,9,FALSE()),""))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IF(DATOS!$A19646="",0,IF(CONFIG_METADATA!$B$4&lt;&gt;"OR+EX",--(DATOS!$G19646=CONFIG_METADATA!$B$4),IF(DATOS!$G19646="EX",1,IF(DATOS!$G19646="OR",--(COUNTIFS(nNIA,DATOS!$A19646,nCURSO,DATOS!$D19646,nESPEC,DATOS!$E19646,nASIG,DATOS!$I19646,nEVAL,"EX")=0),0))))</f>
      </c>
      <c r="H19646">
        <f>IF(DATOS!$G19646&lt;&gt;"EX",0,--(COUNTIFS(nNIA,DATOS!$A19646,nCURSO,DATOS!$D19646,nESPEC,DATOS!$E19646,nASIG,DATOS!$I19646,nEVAL,"OR")=0))</f>
      </c>
      <c r="I19646">
        <f>IF(DATOS!$I19646="","",IFERROR(VLOOKUP(DATOS!$I19646,CONFIG_ASIGNATURAS!$B$2:$J$91,9,FALSE()),""))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IF(DATOS!$A19647="",0,IF(CONFIG_METADATA!$B$4&lt;&gt;"OR+EX",--(DATOS!$G19647=CONFIG_METADATA!$B$4),IF(DATOS!$G19647="EX",1,IF(DATOS!$G19647="OR",--(COUNTIFS(nNIA,DATOS!$A19647,nCURSO,DATOS!$D19647,nESPEC,DATOS!$E19647,nASIG,DATOS!$I19647,nEVAL,"EX")=0),0))))</f>
      </c>
      <c r="H19647">
        <f>IF(DATOS!$G19647&lt;&gt;"EX",0,--(COUNTIFS(nNIA,DATOS!$A19647,nCURSO,DATOS!$D19647,nESPEC,DATOS!$E19647,nASIG,DATOS!$I19647,nEVAL,"OR")=0))</f>
      </c>
      <c r="I19647">
        <f>IF(DATOS!$I19647="","",IFERROR(VLOOKUP(DATOS!$I19647,CONFIG_ASIGNATURAS!$B$2:$J$91,9,FALSE()),""))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IF(DATOS!$A19648="",0,IF(CONFIG_METADATA!$B$4&lt;&gt;"OR+EX",--(DATOS!$G19648=CONFIG_METADATA!$B$4),IF(DATOS!$G19648="EX",1,IF(DATOS!$G19648="OR",--(COUNTIFS(nNIA,DATOS!$A19648,nCURSO,DATOS!$D19648,nESPEC,DATOS!$E19648,nASIG,DATOS!$I19648,nEVAL,"EX")=0),0))))</f>
      </c>
      <c r="H19648">
        <f>IF(DATOS!$G19648&lt;&gt;"EX",0,--(COUNTIFS(nNIA,DATOS!$A19648,nCURSO,DATOS!$D19648,nESPEC,DATOS!$E19648,nASIG,DATOS!$I19648,nEVAL,"OR")=0))</f>
      </c>
      <c r="I19648">
        <f>IF(DATOS!$I19648="","",IFERROR(VLOOKUP(DATOS!$I19648,CONFIG_ASIGNATURAS!$B$2:$J$91,9,FALSE()),""))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IF(DATOS!$A19649="",0,IF(CONFIG_METADATA!$B$4&lt;&gt;"OR+EX",--(DATOS!$G19649=CONFIG_METADATA!$B$4),IF(DATOS!$G19649="EX",1,IF(DATOS!$G19649="OR",--(COUNTIFS(nNIA,DATOS!$A19649,nCURSO,DATOS!$D19649,nESPEC,DATOS!$E19649,nASIG,DATOS!$I19649,nEVAL,"EX")=0),0))))</f>
      </c>
      <c r="H19649">
        <f>IF(DATOS!$G19649&lt;&gt;"EX",0,--(COUNTIFS(nNIA,DATOS!$A19649,nCURSO,DATOS!$D19649,nESPEC,DATOS!$E19649,nASIG,DATOS!$I19649,nEVAL,"OR")=0))</f>
      </c>
      <c r="I19649">
        <f>IF(DATOS!$I19649="","",IFERROR(VLOOKUP(DATOS!$I19649,CONFIG_ASIGNATURAS!$B$2:$J$91,9,FALSE()),""))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IF(DATOS!$A19650="",0,IF(CONFIG_METADATA!$B$4&lt;&gt;"OR+EX",--(DATOS!$G19650=CONFIG_METADATA!$B$4),IF(DATOS!$G19650="EX",1,IF(DATOS!$G19650="OR",--(COUNTIFS(nNIA,DATOS!$A19650,nCURSO,DATOS!$D19650,nESPEC,DATOS!$E19650,nASIG,DATOS!$I19650,nEVAL,"EX")=0),0))))</f>
      </c>
      <c r="H19650">
        <f>IF(DATOS!$G19650&lt;&gt;"EX",0,--(COUNTIFS(nNIA,DATOS!$A19650,nCURSO,DATOS!$D19650,nESPEC,DATOS!$E19650,nASIG,DATOS!$I19650,nEVAL,"OR")=0))</f>
      </c>
      <c r="I19650">
        <f>IF(DATOS!$I19650="","",IFERROR(VLOOKUP(DATOS!$I19650,CONFIG_ASIGNATURAS!$B$2:$J$91,9,FALSE()),""))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IF(DATOS!$A19651="",0,IF(CONFIG_METADATA!$B$4&lt;&gt;"OR+EX",--(DATOS!$G19651=CONFIG_METADATA!$B$4),IF(DATOS!$G19651="EX",1,IF(DATOS!$G19651="OR",--(COUNTIFS(nNIA,DATOS!$A19651,nCURSO,DATOS!$D19651,nESPEC,DATOS!$E19651,nASIG,DATOS!$I19651,nEVAL,"EX")=0),0))))</f>
      </c>
      <c r="H19651">
        <f>IF(DATOS!$G19651&lt;&gt;"EX",0,--(COUNTIFS(nNIA,DATOS!$A19651,nCURSO,DATOS!$D19651,nESPEC,DATOS!$E19651,nASIG,DATOS!$I19651,nEVAL,"OR")=0))</f>
      </c>
      <c r="I19651">
        <f>IF(DATOS!$I19651="","",IFERROR(VLOOKUP(DATOS!$I19651,CONFIG_ASIGNATURAS!$B$2:$J$91,9,FALSE()),""))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IF(DATOS!$A19652="",0,IF(CONFIG_METADATA!$B$4&lt;&gt;"OR+EX",--(DATOS!$G19652=CONFIG_METADATA!$B$4),IF(DATOS!$G19652="EX",1,IF(DATOS!$G19652="OR",--(COUNTIFS(nNIA,DATOS!$A19652,nCURSO,DATOS!$D19652,nESPEC,DATOS!$E19652,nASIG,DATOS!$I19652,nEVAL,"EX")=0),0))))</f>
      </c>
      <c r="H19652">
        <f>IF(DATOS!$G19652&lt;&gt;"EX",0,--(COUNTIFS(nNIA,DATOS!$A19652,nCURSO,DATOS!$D19652,nESPEC,DATOS!$E19652,nASIG,DATOS!$I19652,nEVAL,"OR")=0))</f>
      </c>
      <c r="I19652">
        <f>IF(DATOS!$I19652="","",IFERROR(VLOOKUP(DATOS!$I19652,CONFIG_ASIGNATURAS!$B$2:$J$91,9,FALSE()),""))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IF(DATOS!$A19653="",0,IF(CONFIG_METADATA!$B$4&lt;&gt;"OR+EX",--(DATOS!$G19653=CONFIG_METADATA!$B$4),IF(DATOS!$G19653="EX",1,IF(DATOS!$G19653="OR",--(COUNTIFS(nNIA,DATOS!$A19653,nCURSO,DATOS!$D19653,nESPEC,DATOS!$E19653,nASIG,DATOS!$I19653,nEVAL,"EX")=0),0))))</f>
      </c>
      <c r="H19653">
        <f>IF(DATOS!$G19653&lt;&gt;"EX",0,--(COUNTIFS(nNIA,DATOS!$A19653,nCURSO,DATOS!$D19653,nESPEC,DATOS!$E19653,nASIG,DATOS!$I19653,nEVAL,"OR")=0))</f>
      </c>
      <c r="I19653">
        <f>IF(DATOS!$I19653="","",IFERROR(VLOOKUP(DATOS!$I19653,CONFIG_ASIGNATURAS!$B$2:$J$91,9,FALSE()),""))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IF(DATOS!$A19654="",0,IF(CONFIG_METADATA!$B$4&lt;&gt;"OR+EX",--(DATOS!$G19654=CONFIG_METADATA!$B$4),IF(DATOS!$G19654="EX",1,IF(DATOS!$G19654="OR",--(COUNTIFS(nNIA,DATOS!$A19654,nCURSO,DATOS!$D19654,nESPEC,DATOS!$E19654,nASIG,DATOS!$I19654,nEVAL,"EX")=0),0))))</f>
      </c>
      <c r="H19654">
        <f>IF(DATOS!$G19654&lt;&gt;"EX",0,--(COUNTIFS(nNIA,DATOS!$A19654,nCURSO,DATOS!$D19654,nESPEC,DATOS!$E19654,nASIG,DATOS!$I19654,nEVAL,"OR")=0))</f>
      </c>
      <c r="I19654">
        <f>IF(DATOS!$I19654="","",IFERROR(VLOOKUP(DATOS!$I19654,CONFIG_ASIGNATURAS!$B$2:$J$91,9,FALSE()),""))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IF(DATOS!$A19655="",0,IF(CONFIG_METADATA!$B$4&lt;&gt;"OR+EX",--(DATOS!$G19655=CONFIG_METADATA!$B$4),IF(DATOS!$G19655="EX",1,IF(DATOS!$G19655="OR",--(COUNTIFS(nNIA,DATOS!$A19655,nCURSO,DATOS!$D19655,nESPEC,DATOS!$E19655,nASIG,DATOS!$I19655,nEVAL,"EX")=0),0))))</f>
      </c>
      <c r="H19655">
        <f>IF(DATOS!$G19655&lt;&gt;"EX",0,--(COUNTIFS(nNIA,DATOS!$A19655,nCURSO,DATOS!$D19655,nESPEC,DATOS!$E19655,nASIG,DATOS!$I19655,nEVAL,"OR")=0))</f>
      </c>
      <c r="I19655">
        <f>IF(DATOS!$I19655="","",IFERROR(VLOOKUP(DATOS!$I19655,CONFIG_ASIGNATURAS!$B$2:$J$91,9,FALSE()),""))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IF(DATOS!$A19656="",0,IF(CONFIG_METADATA!$B$4&lt;&gt;"OR+EX",--(DATOS!$G19656=CONFIG_METADATA!$B$4),IF(DATOS!$G19656="EX",1,IF(DATOS!$G19656="OR",--(COUNTIFS(nNIA,DATOS!$A19656,nCURSO,DATOS!$D19656,nESPEC,DATOS!$E19656,nASIG,DATOS!$I19656,nEVAL,"EX")=0),0))))</f>
      </c>
      <c r="H19656">
        <f>IF(DATOS!$G19656&lt;&gt;"EX",0,--(COUNTIFS(nNIA,DATOS!$A19656,nCURSO,DATOS!$D19656,nESPEC,DATOS!$E19656,nASIG,DATOS!$I19656,nEVAL,"OR")=0))</f>
      </c>
      <c r="I19656">
        <f>IF(DATOS!$I19656="","",IFERROR(VLOOKUP(DATOS!$I19656,CONFIG_ASIGNATURAS!$B$2:$J$91,9,FALSE()),""))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IF(DATOS!$A19657="",0,IF(CONFIG_METADATA!$B$4&lt;&gt;"OR+EX",--(DATOS!$G19657=CONFIG_METADATA!$B$4),IF(DATOS!$G19657="EX",1,IF(DATOS!$G19657="OR",--(COUNTIFS(nNIA,DATOS!$A19657,nCURSO,DATOS!$D19657,nESPEC,DATOS!$E19657,nASIG,DATOS!$I19657,nEVAL,"EX")=0),0))))</f>
      </c>
      <c r="H19657">
        <f>IF(DATOS!$G19657&lt;&gt;"EX",0,--(COUNTIFS(nNIA,DATOS!$A19657,nCURSO,DATOS!$D19657,nESPEC,DATOS!$E19657,nASIG,DATOS!$I19657,nEVAL,"OR")=0))</f>
      </c>
      <c r="I19657">
        <f>IF(DATOS!$I19657="","",IFERROR(VLOOKUP(DATOS!$I19657,CONFIG_ASIGNATURAS!$B$2:$J$91,9,FALSE()),""))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IF(DATOS!$A19658="",0,IF(CONFIG_METADATA!$B$4&lt;&gt;"OR+EX",--(DATOS!$G19658=CONFIG_METADATA!$B$4),IF(DATOS!$G19658="EX",1,IF(DATOS!$G19658="OR",--(COUNTIFS(nNIA,DATOS!$A19658,nCURSO,DATOS!$D19658,nESPEC,DATOS!$E19658,nASIG,DATOS!$I19658,nEVAL,"EX")=0),0))))</f>
      </c>
      <c r="H19658">
        <f>IF(DATOS!$G19658&lt;&gt;"EX",0,--(COUNTIFS(nNIA,DATOS!$A19658,nCURSO,DATOS!$D19658,nESPEC,DATOS!$E19658,nASIG,DATOS!$I19658,nEVAL,"OR")=0))</f>
      </c>
      <c r="I19658">
        <f>IF(DATOS!$I19658="","",IFERROR(VLOOKUP(DATOS!$I19658,CONFIG_ASIGNATURAS!$B$2:$J$91,9,FALSE()),""))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IF(DATOS!$A19659="",0,IF(CONFIG_METADATA!$B$4&lt;&gt;"OR+EX",--(DATOS!$G19659=CONFIG_METADATA!$B$4),IF(DATOS!$G19659="EX",1,IF(DATOS!$G19659="OR",--(COUNTIFS(nNIA,DATOS!$A19659,nCURSO,DATOS!$D19659,nESPEC,DATOS!$E19659,nASIG,DATOS!$I19659,nEVAL,"EX")=0),0))))</f>
      </c>
      <c r="H19659">
        <f>IF(DATOS!$G19659&lt;&gt;"EX",0,--(COUNTIFS(nNIA,DATOS!$A19659,nCURSO,DATOS!$D19659,nESPEC,DATOS!$E19659,nASIG,DATOS!$I19659,nEVAL,"OR")=0))</f>
      </c>
      <c r="I19659">
        <f>IF(DATOS!$I19659="","",IFERROR(VLOOKUP(DATOS!$I19659,CONFIG_ASIGNATURAS!$B$2:$J$91,9,FALSE()),""))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IF(DATOS!$A19660="",0,IF(CONFIG_METADATA!$B$4&lt;&gt;"OR+EX",--(DATOS!$G19660=CONFIG_METADATA!$B$4),IF(DATOS!$G19660="EX",1,IF(DATOS!$G19660="OR",--(COUNTIFS(nNIA,DATOS!$A19660,nCURSO,DATOS!$D19660,nESPEC,DATOS!$E19660,nASIG,DATOS!$I19660,nEVAL,"EX")=0),0))))</f>
      </c>
      <c r="H19660">
        <f>IF(DATOS!$G19660&lt;&gt;"EX",0,--(COUNTIFS(nNIA,DATOS!$A19660,nCURSO,DATOS!$D19660,nESPEC,DATOS!$E19660,nASIG,DATOS!$I19660,nEVAL,"OR")=0))</f>
      </c>
      <c r="I19660">
        <f>IF(DATOS!$I19660="","",IFERROR(VLOOKUP(DATOS!$I19660,CONFIG_ASIGNATURAS!$B$2:$J$91,9,FALSE()),""))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IF(DATOS!$A19661="",0,IF(CONFIG_METADATA!$B$4&lt;&gt;"OR+EX",--(DATOS!$G19661=CONFIG_METADATA!$B$4),IF(DATOS!$G19661="EX",1,IF(DATOS!$G19661="OR",--(COUNTIFS(nNIA,DATOS!$A19661,nCURSO,DATOS!$D19661,nESPEC,DATOS!$E19661,nASIG,DATOS!$I19661,nEVAL,"EX")=0),0))))</f>
      </c>
      <c r="H19661">
        <f>IF(DATOS!$G19661&lt;&gt;"EX",0,--(COUNTIFS(nNIA,DATOS!$A19661,nCURSO,DATOS!$D19661,nESPEC,DATOS!$E19661,nASIG,DATOS!$I19661,nEVAL,"OR")=0))</f>
      </c>
      <c r="I19661">
        <f>IF(DATOS!$I19661="","",IFERROR(VLOOKUP(DATOS!$I19661,CONFIG_ASIGNATURAS!$B$2:$J$91,9,FALSE()),""))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IF(DATOS!$A19662="",0,IF(CONFIG_METADATA!$B$4&lt;&gt;"OR+EX",--(DATOS!$G19662=CONFIG_METADATA!$B$4),IF(DATOS!$G19662="EX",1,IF(DATOS!$G19662="OR",--(COUNTIFS(nNIA,DATOS!$A19662,nCURSO,DATOS!$D19662,nESPEC,DATOS!$E19662,nASIG,DATOS!$I19662,nEVAL,"EX")=0),0))))</f>
      </c>
      <c r="H19662">
        <f>IF(DATOS!$G19662&lt;&gt;"EX",0,--(COUNTIFS(nNIA,DATOS!$A19662,nCURSO,DATOS!$D19662,nESPEC,DATOS!$E19662,nASIG,DATOS!$I19662,nEVAL,"OR")=0))</f>
      </c>
      <c r="I19662">
        <f>IF(DATOS!$I19662="","",IFERROR(VLOOKUP(DATOS!$I19662,CONFIG_ASIGNATURAS!$B$2:$J$91,9,FALSE()),""))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IF(DATOS!$A19663="",0,IF(CONFIG_METADATA!$B$4&lt;&gt;"OR+EX",--(DATOS!$G19663=CONFIG_METADATA!$B$4),IF(DATOS!$G19663="EX",1,IF(DATOS!$G19663="OR",--(COUNTIFS(nNIA,DATOS!$A19663,nCURSO,DATOS!$D19663,nESPEC,DATOS!$E19663,nASIG,DATOS!$I19663,nEVAL,"EX")=0),0))))</f>
      </c>
      <c r="H19663">
        <f>IF(DATOS!$G19663&lt;&gt;"EX",0,--(COUNTIFS(nNIA,DATOS!$A19663,nCURSO,DATOS!$D19663,nESPEC,DATOS!$E19663,nASIG,DATOS!$I19663,nEVAL,"OR")=0))</f>
      </c>
      <c r="I19663">
        <f>IF(DATOS!$I19663="","",IFERROR(VLOOKUP(DATOS!$I19663,CONFIG_ASIGNATURAS!$B$2:$J$91,9,FALSE()),""))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IF(DATOS!$A19664="",0,IF(CONFIG_METADATA!$B$4&lt;&gt;"OR+EX",--(DATOS!$G19664=CONFIG_METADATA!$B$4),IF(DATOS!$G19664="EX",1,IF(DATOS!$G19664="OR",--(COUNTIFS(nNIA,DATOS!$A19664,nCURSO,DATOS!$D19664,nESPEC,DATOS!$E19664,nASIG,DATOS!$I19664,nEVAL,"EX")=0),0))))</f>
      </c>
      <c r="H19664">
        <f>IF(DATOS!$G19664&lt;&gt;"EX",0,--(COUNTIFS(nNIA,DATOS!$A19664,nCURSO,DATOS!$D19664,nESPEC,DATOS!$E19664,nASIG,DATOS!$I19664,nEVAL,"OR")=0))</f>
      </c>
      <c r="I19664">
        <f>IF(DATOS!$I19664="","",IFERROR(VLOOKUP(DATOS!$I19664,CONFIG_ASIGNATURAS!$B$2:$J$91,9,FALSE()),""))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IF(DATOS!$A19665="",0,IF(CONFIG_METADATA!$B$4&lt;&gt;"OR+EX",--(DATOS!$G19665=CONFIG_METADATA!$B$4),IF(DATOS!$G19665="EX",1,IF(DATOS!$G19665="OR",--(COUNTIFS(nNIA,DATOS!$A19665,nCURSO,DATOS!$D19665,nESPEC,DATOS!$E19665,nASIG,DATOS!$I19665,nEVAL,"EX")=0),0))))</f>
      </c>
      <c r="H19665">
        <f>IF(DATOS!$G19665&lt;&gt;"EX",0,--(COUNTIFS(nNIA,DATOS!$A19665,nCURSO,DATOS!$D19665,nESPEC,DATOS!$E19665,nASIG,DATOS!$I19665,nEVAL,"OR")=0))</f>
      </c>
      <c r="I19665">
        <f>IF(DATOS!$I19665="","",IFERROR(VLOOKUP(DATOS!$I19665,CONFIG_ASIGNATURAS!$B$2:$J$91,9,FALSE()),""))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IF(DATOS!$A19666="",0,IF(CONFIG_METADATA!$B$4&lt;&gt;"OR+EX",--(DATOS!$G19666=CONFIG_METADATA!$B$4),IF(DATOS!$G19666="EX",1,IF(DATOS!$G19666="OR",--(COUNTIFS(nNIA,DATOS!$A19666,nCURSO,DATOS!$D19666,nESPEC,DATOS!$E19666,nASIG,DATOS!$I19666,nEVAL,"EX")=0),0))))</f>
      </c>
      <c r="H19666">
        <f>IF(DATOS!$G19666&lt;&gt;"EX",0,--(COUNTIFS(nNIA,DATOS!$A19666,nCURSO,DATOS!$D19666,nESPEC,DATOS!$E19666,nASIG,DATOS!$I19666,nEVAL,"OR")=0))</f>
      </c>
      <c r="I19666">
        <f>IF(DATOS!$I19666="","",IFERROR(VLOOKUP(DATOS!$I19666,CONFIG_ASIGNATURAS!$B$2:$J$91,9,FALSE()),""))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IF(DATOS!$A19667="",0,IF(CONFIG_METADATA!$B$4&lt;&gt;"OR+EX",--(DATOS!$G19667=CONFIG_METADATA!$B$4),IF(DATOS!$G19667="EX",1,IF(DATOS!$G19667="OR",--(COUNTIFS(nNIA,DATOS!$A19667,nCURSO,DATOS!$D19667,nESPEC,DATOS!$E19667,nASIG,DATOS!$I19667,nEVAL,"EX")=0),0))))</f>
      </c>
      <c r="H19667">
        <f>IF(DATOS!$G19667&lt;&gt;"EX",0,--(COUNTIFS(nNIA,DATOS!$A19667,nCURSO,DATOS!$D19667,nESPEC,DATOS!$E19667,nASIG,DATOS!$I19667,nEVAL,"OR")=0))</f>
      </c>
      <c r="I19667">
        <f>IF(DATOS!$I19667="","",IFERROR(VLOOKUP(DATOS!$I19667,CONFIG_ASIGNATURAS!$B$2:$J$91,9,FALSE()),""))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IF(DATOS!$A19668="",0,IF(CONFIG_METADATA!$B$4&lt;&gt;"OR+EX",--(DATOS!$G19668=CONFIG_METADATA!$B$4),IF(DATOS!$G19668="EX",1,IF(DATOS!$G19668="OR",--(COUNTIFS(nNIA,DATOS!$A19668,nCURSO,DATOS!$D19668,nESPEC,DATOS!$E19668,nASIG,DATOS!$I19668,nEVAL,"EX")=0),0))))</f>
      </c>
      <c r="H19668">
        <f>IF(DATOS!$G19668&lt;&gt;"EX",0,--(COUNTIFS(nNIA,DATOS!$A19668,nCURSO,DATOS!$D19668,nESPEC,DATOS!$E19668,nASIG,DATOS!$I19668,nEVAL,"OR")=0))</f>
      </c>
      <c r="I19668">
        <f>IF(DATOS!$I19668="","",IFERROR(VLOOKUP(DATOS!$I19668,CONFIG_ASIGNATURAS!$B$2:$J$91,9,FALSE()),""))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IF(DATOS!$A19669="",0,IF(CONFIG_METADATA!$B$4&lt;&gt;"OR+EX",--(DATOS!$G19669=CONFIG_METADATA!$B$4),IF(DATOS!$G19669="EX",1,IF(DATOS!$G19669="OR",--(COUNTIFS(nNIA,DATOS!$A19669,nCURSO,DATOS!$D19669,nESPEC,DATOS!$E19669,nASIG,DATOS!$I19669,nEVAL,"EX")=0),0))))</f>
      </c>
      <c r="H19669">
        <f>IF(DATOS!$G19669&lt;&gt;"EX",0,--(COUNTIFS(nNIA,DATOS!$A19669,nCURSO,DATOS!$D19669,nESPEC,DATOS!$E19669,nASIG,DATOS!$I19669,nEVAL,"OR")=0))</f>
      </c>
      <c r="I19669">
        <f>IF(DATOS!$I19669="","",IFERROR(VLOOKUP(DATOS!$I19669,CONFIG_ASIGNATURAS!$B$2:$J$91,9,FALSE()),""))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IF(DATOS!$A19670="",0,IF(CONFIG_METADATA!$B$4&lt;&gt;"OR+EX",--(DATOS!$G19670=CONFIG_METADATA!$B$4),IF(DATOS!$G19670="EX",1,IF(DATOS!$G19670="OR",--(COUNTIFS(nNIA,DATOS!$A19670,nCURSO,DATOS!$D19670,nESPEC,DATOS!$E19670,nASIG,DATOS!$I19670,nEVAL,"EX")=0),0))))</f>
      </c>
      <c r="H19670">
        <f>IF(DATOS!$G19670&lt;&gt;"EX",0,--(COUNTIFS(nNIA,DATOS!$A19670,nCURSO,DATOS!$D19670,nESPEC,DATOS!$E19670,nASIG,DATOS!$I19670,nEVAL,"OR")=0))</f>
      </c>
      <c r="I19670">
        <f>IF(DATOS!$I19670="","",IFERROR(VLOOKUP(DATOS!$I19670,CONFIG_ASIGNATURAS!$B$2:$J$91,9,FALSE()),""))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IF(DATOS!$A19671="",0,IF(CONFIG_METADATA!$B$4&lt;&gt;"OR+EX",--(DATOS!$G19671=CONFIG_METADATA!$B$4),IF(DATOS!$G19671="EX",1,IF(DATOS!$G19671="OR",--(COUNTIFS(nNIA,DATOS!$A19671,nCURSO,DATOS!$D19671,nESPEC,DATOS!$E19671,nASIG,DATOS!$I19671,nEVAL,"EX")=0),0))))</f>
      </c>
      <c r="H19671">
        <f>IF(DATOS!$G19671&lt;&gt;"EX",0,--(COUNTIFS(nNIA,DATOS!$A19671,nCURSO,DATOS!$D19671,nESPEC,DATOS!$E19671,nASIG,DATOS!$I19671,nEVAL,"OR")=0))</f>
      </c>
      <c r="I19671">
        <f>IF(DATOS!$I19671="","",IFERROR(VLOOKUP(DATOS!$I19671,CONFIG_ASIGNATURAS!$B$2:$J$91,9,FALSE()),""))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IF(DATOS!$A19672="",0,IF(CONFIG_METADATA!$B$4&lt;&gt;"OR+EX",--(DATOS!$G19672=CONFIG_METADATA!$B$4),IF(DATOS!$G19672="EX",1,IF(DATOS!$G19672="OR",--(COUNTIFS(nNIA,DATOS!$A19672,nCURSO,DATOS!$D19672,nESPEC,DATOS!$E19672,nASIG,DATOS!$I19672,nEVAL,"EX")=0),0))))</f>
      </c>
      <c r="H19672">
        <f>IF(DATOS!$G19672&lt;&gt;"EX",0,--(COUNTIFS(nNIA,DATOS!$A19672,nCURSO,DATOS!$D19672,nESPEC,DATOS!$E19672,nASIG,DATOS!$I19672,nEVAL,"OR")=0))</f>
      </c>
      <c r="I19672">
        <f>IF(DATOS!$I19672="","",IFERROR(VLOOKUP(DATOS!$I19672,CONFIG_ASIGNATURAS!$B$2:$J$91,9,FALSE()),""))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IF(DATOS!$A19673="",0,IF(CONFIG_METADATA!$B$4&lt;&gt;"OR+EX",--(DATOS!$G19673=CONFIG_METADATA!$B$4),IF(DATOS!$G19673="EX",1,IF(DATOS!$G19673="OR",--(COUNTIFS(nNIA,DATOS!$A19673,nCURSO,DATOS!$D19673,nESPEC,DATOS!$E19673,nASIG,DATOS!$I19673,nEVAL,"EX")=0),0))))</f>
      </c>
      <c r="H19673">
        <f>IF(DATOS!$G19673&lt;&gt;"EX",0,--(COUNTIFS(nNIA,DATOS!$A19673,nCURSO,DATOS!$D19673,nESPEC,DATOS!$E19673,nASIG,DATOS!$I19673,nEVAL,"OR")=0))</f>
      </c>
      <c r="I19673">
        <f>IF(DATOS!$I19673="","",IFERROR(VLOOKUP(DATOS!$I19673,CONFIG_ASIGNATURAS!$B$2:$J$91,9,FALSE()),""))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IF(DATOS!$A19674="",0,IF(CONFIG_METADATA!$B$4&lt;&gt;"OR+EX",--(DATOS!$G19674=CONFIG_METADATA!$B$4),IF(DATOS!$G19674="EX",1,IF(DATOS!$G19674="OR",--(COUNTIFS(nNIA,DATOS!$A19674,nCURSO,DATOS!$D19674,nESPEC,DATOS!$E19674,nASIG,DATOS!$I19674,nEVAL,"EX")=0),0))))</f>
      </c>
      <c r="H19674">
        <f>IF(DATOS!$G19674&lt;&gt;"EX",0,--(COUNTIFS(nNIA,DATOS!$A19674,nCURSO,DATOS!$D19674,nESPEC,DATOS!$E19674,nASIG,DATOS!$I19674,nEVAL,"OR")=0))</f>
      </c>
      <c r="I19674">
        <f>IF(DATOS!$I19674="","",IFERROR(VLOOKUP(DATOS!$I19674,CONFIG_ASIGNATURAS!$B$2:$J$91,9,FALSE()),""))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IF(DATOS!$A19675="",0,IF(CONFIG_METADATA!$B$4&lt;&gt;"OR+EX",--(DATOS!$G19675=CONFIG_METADATA!$B$4),IF(DATOS!$G19675="EX",1,IF(DATOS!$G19675="OR",--(COUNTIFS(nNIA,DATOS!$A19675,nCURSO,DATOS!$D19675,nESPEC,DATOS!$E19675,nASIG,DATOS!$I19675,nEVAL,"EX")=0),0))))</f>
      </c>
      <c r="H19675">
        <f>IF(DATOS!$G19675&lt;&gt;"EX",0,--(COUNTIFS(nNIA,DATOS!$A19675,nCURSO,DATOS!$D19675,nESPEC,DATOS!$E19675,nASIG,DATOS!$I19675,nEVAL,"OR")=0))</f>
      </c>
      <c r="I19675">
        <f>IF(DATOS!$I19675="","",IFERROR(VLOOKUP(DATOS!$I19675,CONFIG_ASIGNATURAS!$B$2:$J$91,9,FALSE()),""))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IF(DATOS!$A19676="",0,IF(CONFIG_METADATA!$B$4&lt;&gt;"OR+EX",--(DATOS!$G19676=CONFIG_METADATA!$B$4),IF(DATOS!$G19676="EX",1,IF(DATOS!$G19676="OR",--(COUNTIFS(nNIA,DATOS!$A19676,nCURSO,DATOS!$D19676,nESPEC,DATOS!$E19676,nASIG,DATOS!$I19676,nEVAL,"EX")=0),0))))</f>
      </c>
      <c r="H19676">
        <f>IF(DATOS!$G19676&lt;&gt;"EX",0,--(COUNTIFS(nNIA,DATOS!$A19676,nCURSO,DATOS!$D19676,nESPEC,DATOS!$E19676,nASIG,DATOS!$I19676,nEVAL,"OR")=0))</f>
      </c>
      <c r="I19676">
        <f>IF(DATOS!$I19676="","",IFERROR(VLOOKUP(DATOS!$I19676,CONFIG_ASIGNATURAS!$B$2:$J$91,9,FALSE()),""))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IF(DATOS!$A19677="",0,IF(CONFIG_METADATA!$B$4&lt;&gt;"OR+EX",--(DATOS!$G19677=CONFIG_METADATA!$B$4),IF(DATOS!$G19677="EX",1,IF(DATOS!$G19677="OR",--(COUNTIFS(nNIA,DATOS!$A19677,nCURSO,DATOS!$D19677,nESPEC,DATOS!$E19677,nASIG,DATOS!$I19677,nEVAL,"EX")=0),0))))</f>
      </c>
      <c r="H19677">
        <f>IF(DATOS!$G19677&lt;&gt;"EX",0,--(COUNTIFS(nNIA,DATOS!$A19677,nCURSO,DATOS!$D19677,nESPEC,DATOS!$E19677,nASIG,DATOS!$I19677,nEVAL,"OR")=0))</f>
      </c>
      <c r="I19677">
        <f>IF(DATOS!$I19677="","",IFERROR(VLOOKUP(DATOS!$I19677,CONFIG_ASIGNATURAS!$B$2:$J$91,9,FALSE()),""))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IF(DATOS!$A19678="",0,IF(CONFIG_METADATA!$B$4&lt;&gt;"OR+EX",--(DATOS!$G19678=CONFIG_METADATA!$B$4),IF(DATOS!$G19678="EX",1,IF(DATOS!$G19678="OR",--(COUNTIFS(nNIA,DATOS!$A19678,nCURSO,DATOS!$D19678,nESPEC,DATOS!$E19678,nASIG,DATOS!$I19678,nEVAL,"EX")=0),0))))</f>
      </c>
      <c r="H19678">
        <f>IF(DATOS!$G19678&lt;&gt;"EX",0,--(COUNTIFS(nNIA,DATOS!$A19678,nCURSO,DATOS!$D19678,nESPEC,DATOS!$E19678,nASIG,DATOS!$I19678,nEVAL,"OR")=0))</f>
      </c>
      <c r="I19678">
        <f>IF(DATOS!$I19678="","",IFERROR(VLOOKUP(DATOS!$I19678,CONFIG_ASIGNATURAS!$B$2:$J$91,9,FALSE()),""))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IF(DATOS!$A19679="",0,IF(CONFIG_METADATA!$B$4&lt;&gt;"OR+EX",--(DATOS!$G19679=CONFIG_METADATA!$B$4),IF(DATOS!$G19679="EX",1,IF(DATOS!$G19679="OR",--(COUNTIFS(nNIA,DATOS!$A19679,nCURSO,DATOS!$D19679,nESPEC,DATOS!$E19679,nASIG,DATOS!$I19679,nEVAL,"EX")=0),0))))</f>
      </c>
      <c r="H19679">
        <f>IF(DATOS!$G19679&lt;&gt;"EX",0,--(COUNTIFS(nNIA,DATOS!$A19679,nCURSO,DATOS!$D19679,nESPEC,DATOS!$E19679,nASIG,DATOS!$I19679,nEVAL,"OR")=0))</f>
      </c>
      <c r="I19679">
        <f>IF(DATOS!$I19679="","",IFERROR(VLOOKUP(DATOS!$I19679,CONFIG_ASIGNATURAS!$B$2:$J$91,9,FALSE()),""))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IF(DATOS!$A19680="",0,IF(CONFIG_METADATA!$B$4&lt;&gt;"OR+EX",--(DATOS!$G19680=CONFIG_METADATA!$B$4),IF(DATOS!$G19680="EX",1,IF(DATOS!$G19680="OR",--(COUNTIFS(nNIA,DATOS!$A19680,nCURSO,DATOS!$D19680,nESPEC,DATOS!$E19680,nASIG,DATOS!$I19680,nEVAL,"EX")=0),0))))</f>
      </c>
      <c r="H19680">
        <f>IF(DATOS!$G19680&lt;&gt;"EX",0,--(COUNTIFS(nNIA,DATOS!$A19680,nCURSO,DATOS!$D19680,nESPEC,DATOS!$E19680,nASIG,DATOS!$I19680,nEVAL,"OR")=0))</f>
      </c>
      <c r="I19680">
        <f>IF(DATOS!$I19680="","",IFERROR(VLOOKUP(DATOS!$I19680,CONFIG_ASIGNATURAS!$B$2:$J$91,9,FALSE()),""))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IF(DATOS!$A19681="",0,IF(CONFIG_METADATA!$B$4&lt;&gt;"OR+EX",--(DATOS!$G19681=CONFIG_METADATA!$B$4),IF(DATOS!$G19681="EX",1,IF(DATOS!$G19681="OR",--(COUNTIFS(nNIA,DATOS!$A19681,nCURSO,DATOS!$D19681,nESPEC,DATOS!$E19681,nASIG,DATOS!$I19681,nEVAL,"EX")=0),0))))</f>
      </c>
      <c r="H19681">
        <f>IF(DATOS!$G19681&lt;&gt;"EX",0,--(COUNTIFS(nNIA,DATOS!$A19681,nCURSO,DATOS!$D19681,nESPEC,DATOS!$E19681,nASIG,DATOS!$I19681,nEVAL,"OR")=0))</f>
      </c>
      <c r="I19681">
        <f>IF(DATOS!$I19681="","",IFERROR(VLOOKUP(DATOS!$I19681,CONFIG_ASIGNATURAS!$B$2:$J$91,9,FALSE()),""))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IF(DATOS!$A19682="",0,IF(CONFIG_METADATA!$B$4&lt;&gt;"OR+EX",--(DATOS!$G19682=CONFIG_METADATA!$B$4),IF(DATOS!$G19682="EX",1,IF(DATOS!$G19682="OR",--(COUNTIFS(nNIA,DATOS!$A19682,nCURSO,DATOS!$D19682,nESPEC,DATOS!$E19682,nASIG,DATOS!$I19682,nEVAL,"EX")=0),0))))</f>
      </c>
      <c r="H19682">
        <f>IF(DATOS!$G19682&lt;&gt;"EX",0,--(COUNTIFS(nNIA,DATOS!$A19682,nCURSO,DATOS!$D19682,nESPEC,DATOS!$E19682,nASIG,DATOS!$I19682,nEVAL,"OR")=0))</f>
      </c>
      <c r="I19682">
        <f>IF(DATOS!$I19682="","",IFERROR(VLOOKUP(DATOS!$I19682,CONFIG_ASIGNATURAS!$B$2:$J$91,9,FALSE()),""))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IF(DATOS!$A19683="",0,IF(CONFIG_METADATA!$B$4&lt;&gt;"OR+EX",--(DATOS!$G19683=CONFIG_METADATA!$B$4),IF(DATOS!$G19683="EX",1,IF(DATOS!$G19683="OR",--(COUNTIFS(nNIA,DATOS!$A19683,nCURSO,DATOS!$D19683,nESPEC,DATOS!$E19683,nASIG,DATOS!$I19683,nEVAL,"EX")=0),0))))</f>
      </c>
      <c r="H19683">
        <f>IF(DATOS!$G19683&lt;&gt;"EX",0,--(COUNTIFS(nNIA,DATOS!$A19683,nCURSO,DATOS!$D19683,nESPEC,DATOS!$E19683,nASIG,DATOS!$I19683,nEVAL,"OR")=0))</f>
      </c>
      <c r="I19683">
        <f>IF(DATOS!$I19683="","",IFERROR(VLOOKUP(DATOS!$I19683,CONFIG_ASIGNATURAS!$B$2:$J$91,9,FALSE()),""))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IF(DATOS!$A19684="",0,IF(CONFIG_METADATA!$B$4&lt;&gt;"OR+EX",--(DATOS!$G19684=CONFIG_METADATA!$B$4),IF(DATOS!$G19684="EX",1,IF(DATOS!$G19684="OR",--(COUNTIFS(nNIA,DATOS!$A19684,nCURSO,DATOS!$D19684,nESPEC,DATOS!$E19684,nASIG,DATOS!$I19684,nEVAL,"EX")=0),0))))</f>
      </c>
      <c r="H19684">
        <f>IF(DATOS!$G19684&lt;&gt;"EX",0,--(COUNTIFS(nNIA,DATOS!$A19684,nCURSO,DATOS!$D19684,nESPEC,DATOS!$E19684,nASIG,DATOS!$I19684,nEVAL,"OR")=0))</f>
      </c>
      <c r="I19684">
        <f>IF(DATOS!$I19684="","",IFERROR(VLOOKUP(DATOS!$I19684,CONFIG_ASIGNATURAS!$B$2:$J$91,9,FALSE()),""))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IF(DATOS!$A19685="",0,IF(CONFIG_METADATA!$B$4&lt;&gt;"OR+EX",--(DATOS!$G19685=CONFIG_METADATA!$B$4),IF(DATOS!$G19685="EX",1,IF(DATOS!$G19685="OR",--(COUNTIFS(nNIA,DATOS!$A19685,nCURSO,DATOS!$D19685,nESPEC,DATOS!$E19685,nASIG,DATOS!$I19685,nEVAL,"EX")=0),0))))</f>
      </c>
      <c r="H19685">
        <f>IF(DATOS!$G19685&lt;&gt;"EX",0,--(COUNTIFS(nNIA,DATOS!$A19685,nCURSO,DATOS!$D19685,nESPEC,DATOS!$E19685,nASIG,DATOS!$I19685,nEVAL,"OR")=0))</f>
      </c>
      <c r="I19685">
        <f>IF(DATOS!$I19685="","",IFERROR(VLOOKUP(DATOS!$I19685,CONFIG_ASIGNATURAS!$B$2:$J$91,9,FALSE()),""))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IF(DATOS!$A19686="",0,IF(CONFIG_METADATA!$B$4&lt;&gt;"OR+EX",--(DATOS!$G19686=CONFIG_METADATA!$B$4),IF(DATOS!$G19686="EX",1,IF(DATOS!$G19686="OR",--(COUNTIFS(nNIA,DATOS!$A19686,nCURSO,DATOS!$D19686,nESPEC,DATOS!$E19686,nASIG,DATOS!$I19686,nEVAL,"EX")=0),0))))</f>
      </c>
      <c r="H19686">
        <f>IF(DATOS!$G19686&lt;&gt;"EX",0,--(COUNTIFS(nNIA,DATOS!$A19686,nCURSO,DATOS!$D19686,nESPEC,DATOS!$E19686,nASIG,DATOS!$I19686,nEVAL,"OR")=0))</f>
      </c>
      <c r="I19686">
        <f>IF(DATOS!$I19686="","",IFERROR(VLOOKUP(DATOS!$I19686,CONFIG_ASIGNATURAS!$B$2:$J$91,9,FALSE()),""))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IF(DATOS!$A19687="",0,IF(CONFIG_METADATA!$B$4&lt;&gt;"OR+EX",--(DATOS!$G19687=CONFIG_METADATA!$B$4),IF(DATOS!$G19687="EX",1,IF(DATOS!$G19687="OR",--(COUNTIFS(nNIA,DATOS!$A19687,nCURSO,DATOS!$D19687,nESPEC,DATOS!$E19687,nASIG,DATOS!$I19687,nEVAL,"EX")=0),0))))</f>
      </c>
      <c r="H19687">
        <f>IF(DATOS!$G19687&lt;&gt;"EX",0,--(COUNTIFS(nNIA,DATOS!$A19687,nCURSO,DATOS!$D19687,nESPEC,DATOS!$E19687,nASIG,DATOS!$I19687,nEVAL,"OR")=0))</f>
      </c>
      <c r="I19687">
        <f>IF(DATOS!$I19687="","",IFERROR(VLOOKUP(DATOS!$I19687,CONFIG_ASIGNATURAS!$B$2:$J$91,9,FALSE()),""))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IF(DATOS!$A19688="",0,IF(CONFIG_METADATA!$B$4&lt;&gt;"OR+EX",--(DATOS!$G19688=CONFIG_METADATA!$B$4),IF(DATOS!$G19688="EX",1,IF(DATOS!$G19688="OR",--(COUNTIFS(nNIA,DATOS!$A19688,nCURSO,DATOS!$D19688,nESPEC,DATOS!$E19688,nASIG,DATOS!$I19688,nEVAL,"EX")=0),0))))</f>
      </c>
      <c r="H19688">
        <f>IF(DATOS!$G19688&lt;&gt;"EX",0,--(COUNTIFS(nNIA,DATOS!$A19688,nCURSO,DATOS!$D19688,nESPEC,DATOS!$E19688,nASIG,DATOS!$I19688,nEVAL,"OR")=0))</f>
      </c>
      <c r="I19688">
        <f>IF(DATOS!$I19688="","",IFERROR(VLOOKUP(DATOS!$I19688,CONFIG_ASIGNATURAS!$B$2:$J$91,9,FALSE()),""))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IF(DATOS!$A19689="",0,IF(CONFIG_METADATA!$B$4&lt;&gt;"OR+EX",--(DATOS!$G19689=CONFIG_METADATA!$B$4),IF(DATOS!$G19689="EX",1,IF(DATOS!$G19689="OR",--(COUNTIFS(nNIA,DATOS!$A19689,nCURSO,DATOS!$D19689,nESPEC,DATOS!$E19689,nASIG,DATOS!$I19689,nEVAL,"EX")=0),0))))</f>
      </c>
      <c r="H19689">
        <f>IF(DATOS!$G19689&lt;&gt;"EX",0,--(COUNTIFS(nNIA,DATOS!$A19689,nCURSO,DATOS!$D19689,nESPEC,DATOS!$E19689,nASIG,DATOS!$I19689,nEVAL,"OR")=0))</f>
      </c>
      <c r="I19689">
        <f>IF(DATOS!$I19689="","",IFERROR(VLOOKUP(DATOS!$I19689,CONFIG_ASIGNATURAS!$B$2:$J$91,9,FALSE()),""))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IF(DATOS!$A19690="",0,IF(CONFIG_METADATA!$B$4&lt;&gt;"OR+EX",--(DATOS!$G19690=CONFIG_METADATA!$B$4),IF(DATOS!$G19690="EX",1,IF(DATOS!$G19690="OR",--(COUNTIFS(nNIA,DATOS!$A19690,nCURSO,DATOS!$D19690,nESPEC,DATOS!$E19690,nASIG,DATOS!$I19690,nEVAL,"EX")=0),0))))</f>
      </c>
      <c r="H19690">
        <f>IF(DATOS!$G19690&lt;&gt;"EX",0,--(COUNTIFS(nNIA,DATOS!$A19690,nCURSO,DATOS!$D19690,nESPEC,DATOS!$E19690,nASIG,DATOS!$I19690,nEVAL,"OR")=0))</f>
      </c>
      <c r="I19690">
        <f>IF(DATOS!$I19690="","",IFERROR(VLOOKUP(DATOS!$I19690,CONFIG_ASIGNATURAS!$B$2:$J$91,9,FALSE()),""))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IF(DATOS!$A19691="",0,IF(CONFIG_METADATA!$B$4&lt;&gt;"OR+EX",--(DATOS!$G19691=CONFIG_METADATA!$B$4),IF(DATOS!$G19691="EX",1,IF(DATOS!$G19691="OR",--(COUNTIFS(nNIA,DATOS!$A19691,nCURSO,DATOS!$D19691,nESPEC,DATOS!$E19691,nASIG,DATOS!$I19691,nEVAL,"EX")=0),0))))</f>
      </c>
      <c r="H19691">
        <f>IF(DATOS!$G19691&lt;&gt;"EX",0,--(COUNTIFS(nNIA,DATOS!$A19691,nCURSO,DATOS!$D19691,nESPEC,DATOS!$E19691,nASIG,DATOS!$I19691,nEVAL,"OR")=0))</f>
      </c>
      <c r="I19691">
        <f>IF(DATOS!$I19691="","",IFERROR(VLOOKUP(DATOS!$I19691,CONFIG_ASIGNATURAS!$B$2:$J$91,9,FALSE()),""))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IF(DATOS!$A19692="",0,IF(CONFIG_METADATA!$B$4&lt;&gt;"OR+EX",--(DATOS!$G19692=CONFIG_METADATA!$B$4),IF(DATOS!$G19692="EX",1,IF(DATOS!$G19692="OR",--(COUNTIFS(nNIA,DATOS!$A19692,nCURSO,DATOS!$D19692,nESPEC,DATOS!$E19692,nASIG,DATOS!$I19692,nEVAL,"EX")=0),0))))</f>
      </c>
      <c r="H19692">
        <f>IF(DATOS!$G19692&lt;&gt;"EX",0,--(COUNTIFS(nNIA,DATOS!$A19692,nCURSO,DATOS!$D19692,nESPEC,DATOS!$E19692,nASIG,DATOS!$I19692,nEVAL,"OR")=0))</f>
      </c>
      <c r="I19692">
        <f>IF(DATOS!$I19692="","",IFERROR(VLOOKUP(DATOS!$I19692,CONFIG_ASIGNATURAS!$B$2:$J$91,9,FALSE()),""))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IF(DATOS!$A19693="",0,IF(CONFIG_METADATA!$B$4&lt;&gt;"OR+EX",--(DATOS!$G19693=CONFIG_METADATA!$B$4),IF(DATOS!$G19693="EX",1,IF(DATOS!$G19693="OR",--(COUNTIFS(nNIA,DATOS!$A19693,nCURSO,DATOS!$D19693,nESPEC,DATOS!$E19693,nASIG,DATOS!$I19693,nEVAL,"EX")=0),0))))</f>
      </c>
      <c r="H19693">
        <f>IF(DATOS!$G19693&lt;&gt;"EX",0,--(COUNTIFS(nNIA,DATOS!$A19693,nCURSO,DATOS!$D19693,nESPEC,DATOS!$E19693,nASIG,DATOS!$I19693,nEVAL,"OR")=0))</f>
      </c>
      <c r="I19693">
        <f>IF(DATOS!$I19693="","",IFERROR(VLOOKUP(DATOS!$I19693,CONFIG_ASIGNATURAS!$B$2:$J$91,9,FALSE()),""))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IF(DATOS!$A19694="",0,IF(CONFIG_METADATA!$B$4&lt;&gt;"OR+EX",--(DATOS!$G19694=CONFIG_METADATA!$B$4),IF(DATOS!$G19694="EX",1,IF(DATOS!$G19694="OR",--(COUNTIFS(nNIA,DATOS!$A19694,nCURSO,DATOS!$D19694,nESPEC,DATOS!$E19694,nASIG,DATOS!$I19694,nEVAL,"EX")=0),0))))</f>
      </c>
      <c r="H19694">
        <f>IF(DATOS!$G19694&lt;&gt;"EX",0,--(COUNTIFS(nNIA,DATOS!$A19694,nCURSO,DATOS!$D19694,nESPEC,DATOS!$E19694,nASIG,DATOS!$I19694,nEVAL,"OR")=0))</f>
      </c>
      <c r="I19694">
        <f>IF(DATOS!$I19694="","",IFERROR(VLOOKUP(DATOS!$I19694,CONFIG_ASIGNATURAS!$B$2:$J$91,9,FALSE()),""))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IF(DATOS!$A19695="",0,IF(CONFIG_METADATA!$B$4&lt;&gt;"OR+EX",--(DATOS!$G19695=CONFIG_METADATA!$B$4),IF(DATOS!$G19695="EX",1,IF(DATOS!$G19695="OR",--(COUNTIFS(nNIA,DATOS!$A19695,nCURSO,DATOS!$D19695,nESPEC,DATOS!$E19695,nASIG,DATOS!$I19695,nEVAL,"EX")=0),0))))</f>
      </c>
      <c r="H19695">
        <f>IF(DATOS!$G19695&lt;&gt;"EX",0,--(COUNTIFS(nNIA,DATOS!$A19695,nCURSO,DATOS!$D19695,nESPEC,DATOS!$E19695,nASIG,DATOS!$I19695,nEVAL,"OR")=0))</f>
      </c>
      <c r="I19695">
        <f>IF(DATOS!$I19695="","",IFERROR(VLOOKUP(DATOS!$I19695,CONFIG_ASIGNATURAS!$B$2:$J$91,9,FALSE()),""))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IF(DATOS!$A19696="",0,IF(CONFIG_METADATA!$B$4&lt;&gt;"OR+EX",--(DATOS!$G19696=CONFIG_METADATA!$B$4),IF(DATOS!$G19696="EX",1,IF(DATOS!$G19696="OR",--(COUNTIFS(nNIA,DATOS!$A19696,nCURSO,DATOS!$D19696,nESPEC,DATOS!$E19696,nASIG,DATOS!$I19696,nEVAL,"EX")=0),0))))</f>
      </c>
      <c r="H19696">
        <f>IF(DATOS!$G19696&lt;&gt;"EX",0,--(COUNTIFS(nNIA,DATOS!$A19696,nCURSO,DATOS!$D19696,nESPEC,DATOS!$E19696,nASIG,DATOS!$I19696,nEVAL,"OR")=0))</f>
      </c>
      <c r="I19696">
        <f>IF(DATOS!$I19696="","",IFERROR(VLOOKUP(DATOS!$I19696,CONFIG_ASIGNATURAS!$B$2:$J$91,9,FALSE()),""))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IF(DATOS!$A19697="",0,IF(CONFIG_METADATA!$B$4&lt;&gt;"OR+EX",--(DATOS!$G19697=CONFIG_METADATA!$B$4),IF(DATOS!$G19697="EX",1,IF(DATOS!$G19697="OR",--(COUNTIFS(nNIA,DATOS!$A19697,nCURSO,DATOS!$D19697,nESPEC,DATOS!$E19697,nASIG,DATOS!$I19697,nEVAL,"EX")=0),0))))</f>
      </c>
      <c r="H19697">
        <f>IF(DATOS!$G19697&lt;&gt;"EX",0,--(COUNTIFS(nNIA,DATOS!$A19697,nCURSO,DATOS!$D19697,nESPEC,DATOS!$E19697,nASIG,DATOS!$I19697,nEVAL,"OR")=0))</f>
      </c>
      <c r="I19697">
        <f>IF(DATOS!$I19697="","",IFERROR(VLOOKUP(DATOS!$I19697,CONFIG_ASIGNATURAS!$B$2:$J$91,9,FALSE()),""))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IF(DATOS!$A19698="",0,IF(CONFIG_METADATA!$B$4&lt;&gt;"OR+EX",--(DATOS!$G19698=CONFIG_METADATA!$B$4),IF(DATOS!$G19698="EX",1,IF(DATOS!$G19698="OR",--(COUNTIFS(nNIA,DATOS!$A19698,nCURSO,DATOS!$D19698,nESPEC,DATOS!$E19698,nASIG,DATOS!$I19698,nEVAL,"EX")=0),0))))</f>
      </c>
      <c r="H19698">
        <f>IF(DATOS!$G19698&lt;&gt;"EX",0,--(COUNTIFS(nNIA,DATOS!$A19698,nCURSO,DATOS!$D19698,nESPEC,DATOS!$E19698,nASIG,DATOS!$I19698,nEVAL,"OR")=0))</f>
      </c>
      <c r="I19698">
        <f>IF(DATOS!$I19698="","",IFERROR(VLOOKUP(DATOS!$I19698,CONFIG_ASIGNATURAS!$B$2:$J$91,9,FALSE()),""))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IF(DATOS!$A19699="",0,IF(CONFIG_METADATA!$B$4&lt;&gt;"OR+EX",--(DATOS!$G19699=CONFIG_METADATA!$B$4),IF(DATOS!$G19699="EX",1,IF(DATOS!$G19699="OR",--(COUNTIFS(nNIA,DATOS!$A19699,nCURSO,DATOS!$D19699,nESPEC,DATOS!$E19699,nASIG,DATOS!$I19699,nEVAL,"EX")=0),0))))</f>
      </c>
      <c r="H19699">
        <f>IF(DATOS!$G19699&lt;&gt;"EX",0,--(COUNTIFS(nNIA,DATOS!$A19699,nCURSO,DATOS!$D19699,nESPEC,DATOS!$E19699,nASIG,DATOS!$I19699,nEVAL,"OR")=0))</f>
      </c>
      <c r="I19699">
        <f>IF(DATOS!$I19699="","",IFERROR(VLOOKUP(DATOS!$I19699,CONFIG_ASIGNATURAS!$B$2:$J$91,9,FALSE()),""))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IF(DATOS!$A19700="",0,IF(CONFIG_METADATA!$B$4&lt;&gt;"OR+EX",--(DATOS!$G19700=CONFIG_METADATA!$B$4),IF(DATOS!$G19700="EX",1,IF(DATOS!$G19700="OR",--(COUNTIFS(nNIA,DATOS!$A19700,nCURSO,DATOS!$D19700,nESPEC,DATOS!$E19700,nASIG,DATOS!$I19700,nEVAL,"EX")=0),0))))</f>
      </c>
      <c r="H19700">
        <f>IF(DATOS!$G19700&lt;&gt;"EX",0,--(COUNTIFS(nNIA,DATOS!$A19700,nCURSO,DATOS!$D19700,nESPEC,DATOS!$E19700,nASIG,DATOS!$I19700,nEVAL,"OR")=0))</f>
      </c>
      <c r="I19700">
        <f>IF(DATOS!$I19700="","",IFERROR(VLOOKUP(DATOS!$I19700,CONFIG_ASIGNATURAS!$B$2:$J$91,9,FALSE()),""))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IF(DATOS!$A19701="",0,IF(CONFIG_METADATA!$B$4&lt;&gt;"OR+EX",--(DATOS!$G19701=CONFIG_METADATA!$B$4),IF(DATOS!$G19701="EX",1,IF(DATOS!$G19701="OR",--(COUNTIFS(nNIA,DATOS!$A19701,nCURSO,DATOS!$D19701,nESPEC,DATOS!$E19701,nASIG,DATOS!$I19701,nEVAL,"EX")=0),0))))</f>
      </c>
      <c r="H19701">
        <f>IF(DATOS!$G19701&lt;&gt;"EX",0,--(COUNTIFS(nNIA,DATOS!$A19701,nCURSO,DATOS!$D19701,nESPEC,DATOS!$E19701,nASIG,DATOS!$I19701,nEVAL,"OR")=0))</f>
      </c>
      <c r="I19701">
        <f>IF(DATOS!$I19701="","",IFERROR(VLOOKUP(DATOS!$I19701,CONFIG_ASIGNATURAS!$B$2:$J$91,9,FALSE()),""))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IF(DATOS!$A19702="",0,IF(CONFIG_METADATA!$B$4&lt;&gt;"OR+EX",--(DATOS!$G19702=CONFIG_METADATA!$B$4),IF(DATOS!$G19702="EX",1,IF(DATOS!$G19702="OR",--(COUNTIFS(nNIA,DATOS!$A19702,nCURSO,DATOS!$D19702,nESPEC,DATOS!$E19702,nASIG,DATOS!$I19702,nEVAL,"EX")=0),0))))</f>
      </c>
      <c r="H19702">
        <f>IF(DATOS!$G19702&lt;&gt;"EX",0,--(COUNTIFS(nNIA,DATOS!$A19702,nCURSO,DATOS!$D19702,nESPEC,DATOS!$E19702,nASIG,DATOS!$I19702,nEVAL,"OR")=0))</f>
      </c>
      <c r="I19702">
        <f>IF(DATOS!$I19702="","",IFERROR(VLOOKUP(DATOS!$I19702,CONFIG_ASIGNATURAS!$B$2:$J$91,9,FALSE()),""))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IF(DATOS!$A19703="",0,IF(CONFIG_METADATA!$B$4&lt;&gt;"OR+EX",--(DATOS!$G19703=CONFIG_METADATA!$B$4),IF(DATOS!$G19703="EX",1,IF(DATOS!$G19703="OR",--(COUNTIFS(nNIA,DATOS!$A19703,nCURSO,DATOS!$D19703,nESPEC,DATOS!$E19703,nASIG,DATOS!$I19703,nEVAL,"EX")=0),0))))</f>
      </c>
      <c r="H19703">
        <f>IF(DATOS!$G19703&lt;&gt;"EX",0,--(COUNTIFS(nNIA,DATOS!$A19703,nCURSO,DATOS!$D19703,nESPEC,DATOS!$E19703,nASIG,DATOS!$I19703,nEVAL,"OR")=0))</f>
      </c>
      <c r="I19703">
        <f>IF(DATOS!$I19703="","",IFERROR(VLOOKUP(DATOS!$I19703,CONFIG_ASIGNATURAS!$B$2:$J$91,9,FALSE()),""))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IF(DATOS!$A19704="",0,IF(CONFIG_METADATA!$B$4&lt;&gt;"OR+EX",--(DATOS!$G19704=CONFIG_METADATA!$B$4),IF(DATOS!$G19704="EX",1,IF(DATOS!$G19704="OR",--(COUNTIFS(nNIA,DATOS!$A19704,nCURSO,DATOS!$D19704,nESPEC,DATOS!$E19704,nASIG,DATOS!$I19704,nEVAL,"EX")=0),0))))</f>
      </c>
      <c r="H19704">
        <f>IF(DATOS!$G19704&lt;&gt;"EX",0,--(COUNTIFS(nNIA,DATOS!$A19704,nCURSO,DATOS!$D19704,nESPEC,DATOS!$E19704,nASIG,DATOS!$I19704,nEVAL,"OR")=0))</f>
      </c>
      <c r="I19704">
        <f>IF(DATOS!$I19704="","",IFERROR(VLOOKUP(DATOS!$I19704,CONFIG_ASIGNATURAS!$B$2:$J$91,9,FALSE()),""))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IF(DATOS!$A19705="",0,IF(CONFIG_METADATA!$B$4&lt;&gt;"OR+EX",--(DATOS!$G19705=CONFIG_METADATA!$B$4),IF(DATOS!$G19705="EX",1,IF(DATOS!$G19705="OR",--(COUNTIFS(nNIA,DATOS!$A19705,nCURSO,DATOS!$D19705,nESPEC,DATOS!$E19705,nASIG,DATOS!$I19705,nEVAL,"EX")=0),0))))</f>
      </c>
      <c r="H19705">
        <f>IF(DATOS!$G19705&lt;&gt;"EX",0,--(COUNTIFS(nNIA,DATOS!$A19705,nCURSO,DATOS!$D19705,nESPEC,DATOS!$E19705,nASIG,DATOS!$I19705,nEVAL,"OR")=0))</f>
      </c>
      <c r="I19705">
        <f>IF(DATOS!$I19705="","",IFERROR(VLOOKUP(DATOS!$I19705,CONFIG_ASIGNATURAS!$B$2:$J$91,9,FALSE()),""))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IF(DATOS!$A19706="",0,IF(CONFIG_METADATA!$B$4&lt;&gt;"OR+EX",--(DATOS!$G19706=CONFIG_METADATA!$B$4),IF(DATOS!$G19706="EX",1,IF(DATOS!$G19706="OR",--(COUNTIFS(nNIA,DATOS!$A19706,nCURSO,DATOS!$D19706,nESPEC,DATOS!$E19706,nASIG,DATOS!$I19706,nEVAL,"EX")=0),0))))</f>
      </c>
      <c r="H19706">
        <f>IF(DATOS!$G19706&lt;&gt;"EX",0,--(COUNTIFS(nNIA,DATOS!$A19706,nCURSO,DATOS!$D19706,nESPEC,DATOS!$E19706,nASIG,DATOS!$I19706,nEVAL,"OR")=0))</f>
      </c>
      <c r="I19706">
        <f>IF(DATOS!$I19706="","",IFERROR(VLOOKUP(DATOS!$I19706,CONFIG_ASIGNATURAS!$B$2:$J$91,9,FALSE()),""))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IF(DATOS!$A19707="",0,IF(CONFIG_METADATA!$B$4&lt;&gt;"OR+EX",--(DATOS!$G19707=CONFIG_METADATA!$B$4),IF(DATOS!$G19707="EX",1,IF(DATOS!$G19707="OR",--(COUNTIFS(nNIA,DATOS!$A19707,nCURSO,DATOS!$D19707,nESPEC,DATOS!$E19707,nASIG,DATOS!$I19707,nEVAL,"EX")=0),0))))</f>
      </c>
      <c r="H19707">
        <f>IF(DATOS!$G19707&lt;&gt;"EX",0,--(COUNTIFS(nNIA,DATOS!$A19707,nCURSO,DATOS!$D19707,nESPEC,DATOS!$E19707,nASIG,DATOS!$I19707,nEVAL,"OR")=0))</f>
      </c>
      <c r="I19707">
        <f>IF(DATOS!$I19707="","",IFERROR(VLOOKUP(DATOS!$I19707,CONFIG_ASIGNATURAS!$B$2:$J$91,9,FALSE()),""))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IF(DATOS!$A19708="",0,IF(CONFIG_METADATA!$B$4&lt;&gt;"OR+EX",--(DATOS!$G19708=CONFIG_METADATA!$B$4),IF(DATOS!$G19708="EX",1,IF(DATOS!$G19708="OR",--(COUNTIFS(nNIA,DATOS!$A19708,nCURSO,DATOS!$D19708,nESPEC,DATOS!$E19708,nASIG,DATOS!$I19708,nEVAL,"EX")=0),0))))</f>
      </c>
      <c r="H19708">
        <f>IF(DATOS!$G19708&lt;&gt;"EX",0,--(COUNTIFS(nNIA,DATOS!$A19708,nCURSO,DATOS!$D19708,nESPEC,DATOS!$E19708,nASIG,DATOS!$I19708,nEVAL,"OR")=0))</f>
      </c>
      <c r="I19708">
        <f>IF(DATOS!$I19708="","",IFERROR(VLOOKUP(DATOS!$I19708,CONFIG_ASIGNATURAS!$B$2:$J$91,9,FALSE()),""))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IF(DATOS!$A19709="",0,IF(CONFIG_METADATA!$B$4&lt;&gt;"OR+EX",--(DATOS!$G19709=CONFIG_METADATA!$B$4),IF(DATOS!$G19709="EX",1,IF(DATOS!$G19709="OR",--(COUNTIFS(nNIA,DATOS!$A19709,nCURSO,DATOS!$D19709,nESPEC,DATOS!$E19709,nASIG,DATOS!$I19709,nEVAL,"EX")=0),0))))</f>
      </c>
      <c r="H19709">
        <f>IF(DATOS!$G19709&lt;&gt;"EX",0,--(COUNTIFS(nNIA,DATOS!$A19709,nCURSO,DATOS!$D19709,nESPEC,DATOS!$E19709,nASIG,DATOS!$I19709,nEVAL,"OR")=0))</f>
      </c>
      <c r="I19709">
        <f>IF(DATOS!$I19709="","",IFERROR(VLOOKUP(DATOS!$I19709,CONFIG_ASIGNATURAS!$B$2:$J$91,9,FALSE()),""))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IF(DATOS!$A19710="",0,IF(CONFIG_METADATA!$B$4&lt;&gt;"OR+EX",--(DATOS!$G19710=CONFIG_METADATA!$B$4),IF(DATOS!$G19710="EX",1,IF(DATOS!$G19710="OR",--(COUNTIFS(nNIA,DATOS!$A19710,nCURSO,DATOS!$D19710,nESPEC,DATOS!$E19710,nASIG,DATOS!$I19710,nEVAL,"EX")=0),0))))</f>
      </c>
      <c r="H19710">
        <f>IF(DATOS!$G19710&lt;&gt;"EX",0,--(COUNTIFS(nNIA,DATOS!$A19710,nCURSO,DATOS!$D19710,nESPEC,DATOS!$E19710,nASIG,DATOS!$I19710,nEVAL,"OR")=0))</f>
      </c>
      <c r="I19710">
        <f>IF(DATOS!$I19710="","",IFERROR(VLOOKUP(DATOS!$I19710,CONFIG_ASIGNATURAS!$B$2:$J$91,9,FALSE()),""))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IF(DATOS!$A19711="",0,IF(CONFIG_METADATA!$B$4&lt;&gt;"OR+EX",--(DATOS!$G19711=CONFIG_METADATA!$B$4),IF(DATOS!$G19711="EX",1,IF(DATOS!$G19711="OR",--(COUNTIFS(nNIA,DATOS!$A19711,nCURSO,DATOS!$D19711,nESPEC,DATOS!$E19711,nASIG,DATOS!$I19711,nEVAL,"EX")=0),0))))</f>
      </c>
      <c r="H19711">
        <f>IF(DATOS!$G19711&lt;&gt;"EX",0,--(COUNTIFS(nNIA,DATOS!$A19711,nCURSO,DATOS!$D19711,nESPEC,DATOS!$E19711,nASIG,DATOS!$I19711,nEVAL,"OR")=0))</f>
      </c>
      <c r="I19711">
        <f>IF(DATOS!$I19711="","",IFERROR(VLOOKUP(DATOS!$I19711,CONFIG_ASIGNATURAS!$B$2:$J$91,9,FALSE()),""))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IF(DATOS!$A19712="",0,IF(CONFIG_METADATA!$B$4&lt;&gt;"OR+EX",--(DATOS!$G19712=CONFIG_METADATA!$B$4),IF(DATOS!$G19712="EX",1,IF(DATOS!$G19712="OR",--(COUNTIFS(nNIA,DATOS!$A19712,nCURSO,DATOS!$D19712,nESPEC,DATOS!$E19712,nASIG,DATOS!$I19712,nEVAL,"EX")=0),0))))</f>
      </c>
      <c r="H19712">
        <f>IF(DATOS!$G19712&lt;&gt;"EX",0,--(COUNTIFS(nNIA,DATOS!$A19712,nCURSO,DATOS!$D19712,nESPEC,DATOS!$E19712,nASIG,DATOS!$I19712,nEVAL,"OR")=0))</f>
      </c>
      <c r="I19712">
        <f>IF(DATOS!$I19712="","",IFERROR(VLOOKUP(DATOS!$I19712,CONFIG_ASIGNATURAS!$B$2:$J$91,9,FALSE()),""))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IF(DATOS!$A19713="",0,IF(CONFIG_METADATA!$B$4&lt;&gt;"OR+EX",--(DATOS!$G19713=CONFIG_METADATA!$B$4),IF(DATOS!$G19713="EX",1,IF(DATOS!$G19713="OR",--(COUNTIFS(nNIA,DATOS!$A19713,nCURSO,DATOS!$D19713,nESPEC,DATOS!$E19713,nASIG,DATOS!$I19713,nEVAL,"EX")=0),0))))</f>
      </c>
      <c r="H19713">
        <f>IF(DATOS!$G19713&lt;&gt;"EX",0,--(COUNTIFS(nNIA,DATOS!$A19713,nCURSO,DATOS!$D19713,nESPEC,DATOS!$E19713,nASIG,DATOS!$I19713,nEVAL,"OR")=0))</f>
      </c>
      <c r="I19713">
        <f>IF(DATOS!$I19713="","",IFERROR(VLOOKUP(DATOS!$I19713,CONFIG_ASIGNATURAS!$B$2:$J$91,9,FALSE()),""))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IF(DATOS!$A19714="",0,IF(CONFIG_METADATA!$B$4&lt;&gt;"OR+EX",--(DATOS!$G19714=CONFIG_METADATA!$B$4),IF(DATOS!$G19714="EX",1,IF(DATOS!$G19714="OR",--(COUNTIFS(nNIA,DATOS!$A19714,nCURSO,DATOS!$D19714,nESPEC,DATOS!$E19714,nASIG,DATOS!$I19714,nEVAL,"EX")=0),0))))</f>
      </c>
      <c r="H19714">
        <f>IF(DATOS!$G19714&lt;&gt;"EX",0,--(COUNTIFS(nNIA,DATOS!$A19714,nCURSO,DATOS!$D19714,nESPEC,DATOS!$E19714,nASIG,DATOS!$I19714,nEVAL,"OR")=0))</f>
      </c>
      <c r="I19714">
        <f>IF(DATOS!$I19714="","",IFERROR(VLOOKUP(DATOS!$I19714,CONFIG_ASIGNATURAS!$B$2:$J$91,9,FALSE()),""))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IF(DATOS!$A19715="",0,IF(CONFIG_METADATA!$B$4&lt;&gt;"OR+EX",--(DATOS!$G19715=CONFIG_METADATA!$B$4),IF(DATOS!$G19715="EX",1,IF(DATOS!$G19715="OR",--(COUNTIFS(nNIA,DATOS!$A19715,nCURSO,DATOS!$D19715,nESPEC,DATOS!$E19715,nASIG,DATOS!$I19715,nEVAL,"EX")=0),0))))</f>
      </c>
      <c r="H19715">
        <f>IF(DATOS!$G19715&lt;&gt;"EX",0,--(COUNTIFS(nNIA,DATOS!$A19715,nCURSO,DATOS!$D19715,nESPEC,DATOS!$E19715,nASIG,DATOS!$I19715,nEVAL,"OR")=0))</f>
      </c>
      <c r="I19715">
        <f>IF(DATOS!$I19715="","",IFERROR(VLOOKUP(DATOS!$I19715,CONFIG_ASIGNATURAS!$B$2:$J$91,9,FALSE()),""))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IF(DATOS!$A19716="",0,IF(CONFIG_METADATA!$B$4&lt;&gt;"OR+EX",--(DATOS!$G19716=CONFIG_METADATA!$B$4),IF(DATOS!$G19716="EX",1,IF(DATOS!$G19716="OR",--(COUNTIFS(nNIA,DATOS!$A19716,nCURSO,DATOS!$D19716,nESPEC,DATOS!$E19716,nASIG,DATOS!$I19716,nEVAL,"EX")=0),0))))</f>
      </c>
      <c r="H19716">
        <f>IF(DATOS!$G19716&lt;&gt;"EX",0,--(COUNTIFS(nNIA,DATOS!$A19716,nCURSO,DATOS!$D19716,nESPEC,DATOS!$E19716,nASIG,DATOS!$I19716,nEVAL,"OR")=0))</f>
      </c>
      <c r="I19716">
        <f>IF(DATOS!$I19716="","",IFERROR(VLOOKUP(DATOS!$I19716,CONFIG_ASIGNATURAS!$B$2:$J$91,9,FALSE()),""))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IF(DATOS!$A19717="",0,IF(CONFIG_METADATA!$B$4&lt;&gt;"OR+EX",--(DATOS!$G19717=CONFIG_METADATA!$B$4),IF(DATOS!$G19717="EX",1,IF(DATOS!$G19717="OR",--(COUNTIFS(nNIA,DATOS!$A19717,nCURSO,DATOS!$D19717,nESPEC,DATOS!$E19717,nASIG,DATOS!$I19717,nEVAL,"EX")=0),0))))</f>
      </c>
      <c r="H19717">
        <f>IF(DATOS!$G19717&lt;&gt;"EX",0,--(COUNTIFS(nNIA,DATOS!$A19717,nCURSO,DATOS!$D19717,nESPEC,DATOS!$E19717,nASIG,DATOS!$I19717,nEVAL,"OR")=0))</f>
      </c>
      <c r="I19717">
        <f>IF(DATOS!$I19717="","",IFERROR(VLOOKUP(DATOS!$I19717,CONFIG_ASIGNATURAS!$B$2:$J$91,9,FALSE()),""))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IF(DATOS!$A19718="",0,IF(CONFIG_METADATA!$B$4&lt;&gt;"OR+EX",--(DATOS!$G19718=CONFIG_METADATA!$B$4),IF(DATOS!$G19718="EX",1,IF(DATOS!$G19718="OR",--(COUNTIFS(nNIA,DATOS!$A19718,nCURSO,DATOS!$D19718,nESPEC,DATOS!$E19718,nASIG,DATOS!$I19718,nEVAL,"EX")=0),0))))</f>
      </c>
      <c r="H19718">
        <f>IF(DATOS!$G19718&lt;&gt;"EX",0,--(COUNTIFS(nNIA,DATOS!$A19718,nCURSO,DATOS!$D19718,nESPEC,DATOS!$E19718,nASIG,DATOS!$I19718,nEVAL,"OR")=0))</f>
      </c>
      <c r="I19718">
        <f>IF(DATOS!$I19718="","",IFERROR(VLOOKUP(DATOS!$I19718,CONFIG_ASIGNATURAS!$B$2:$J$91,9,FALSE()),""))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IF(DATOS!$A19719="",0,IF(CONFIG_METADATA!$B$4&lt;&gt;"OR+EX",--(DATOS!$G19719=CONFIG_METADATA!$B$4),IF(DATOS!$G19719="EX",1,IF(DATOS!$G19719="OR",--(COUNTIFS(nNIA,DATOS!$A19719,nCURSO,DATOS!$D19719,nESPEC,DATOS!$E19719,nASIG,DATOS!$I19719,nEVAL,"EX")=0),0))))</f>
      </c>
      <c r="H19719">
        <f>IF(DATOS!$G19719&lt;&gt;"EX",0,--(COUNTIFS(nNIA,DATOS!$A19719,nCURSO,DATOS!$D19719,nESPEC,DATOS!$E19719,nASIG,DATOS!$I19719,nEVAL,"OR")=0))</f>
      </c>
      <c r="I19719">
        <f>IF(DATOS!$I19719="","",IFERROR(VLOOKUP(DATOS!$I19719,CONFIG_ASIGNATURAS!$B$2:$J$91,9,FALSE()),""))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IF(DATOS!$A19720="",0,IF(CONFIG_METADATA!$B$4&lt;&gt;"OR+EX",--(DATOS!$G19720=CONFIG_METADATA!$B$4),IF(DATOS!$G19720="EX",1,IF(DATOS!$G19720="OR",--(COUNTIFS(nNIA,DATOS!$A19720,nCURSO,DATOS!$D19720,nESPEC,DATOS!$E19720,nASIG,DATOS!$I19720,nEVAL,"EX")=0),0))))</f>
      </c>
      <c r="H19720">
        <f>IF(DATOS!$G19720&lt;&gt;"EX",0,--(COUNTIFS(nNIA,DATOS!$A19720,nCURSO,DATOS!$D19720,nESPEC,DATOS!$E19720,nASIG,DATOS!$I19720,nEVAL,"OR")=0))</f>
      </c>
      <c r="I19720">
        <f>IF(DATOS!$I19720="","",IFERROR(VLOOKUP(DATOS!$I19720,CONFIG_ASIGNATURAS!$B$2:$J$91,9,FALSE()),""))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IF(DATOS!$A19721="",0,IF(CONFIG_METADATA!$B$4&lt;&gt;"OR+EX",--(DATOS!$G19721=CONFIG_METADATA!$B$4),IF(DATOS!$G19721="EX",1,IF(DATOS!$G19721="OR",--(COUNTIFS(nNIA,DATOS!$A19721,nCURSO,DATOS!$D19721,nESPEC,DATOS!$E19721,nASIG,DATOS!$I19721,nEVAL,"EX")=0),0))))</f>
      </c>
      <c r="H19721">
        <f>IF(DATOS!$G19721&lt;&gt;"EX",0,--(COUNTIFS(nNIA,DATOS!$A19721,nCURSO,DATOS!$D19721,nESPEC,DATOS!$E19721,nASIG,DATOS!$I19721,nEVAL,"OR")=0))</f>
      </c>
      <c r="I19721">
        <f>IF(DATOS!$I19721="","",IFERROR(VLOOKUP(DATOS!$I19721,CONFIG_ASIGNATURAS!$B$2:$J$91,9,FALSE()),""))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IF(DATOS!$A19722="",0,IF(CONFIG_METADATA!$B$4&lt;&gt;"OR+EX",--(DATOS!$G19722=CONFIG_METADATA!$B$4),IF(DATOS!$G19722="EX",1,IF(DATOS!$G19722="OR",--(COUNTIFS(nNIA,DATOS!$A19722,nCURSO,DATOS!$D19722,nESPEC,DATOS!$E19722,nASIG,DATOS!$I19722,nEVAL,"EX")=0),0))))</f>
      </c>
      <c r="H19722">
        <f>IF(DATOS!$G19722&lt;&gt;"EX",0,--(COUNTIFS(nNIA,DATOS!$A19722,nCURSO,DATOS!$D19722,nESPEC,DATOS!$E19722,nASIG,DATOS!$I19722,nEVAL,"OR")=0))</f>
      </c>
      <c r="I19722">
        <f>IF(DATOS!$I19722="","",IFERROR(VLOOKUP(DATOS!$I19722,CONFIG_ASIGNATURAS!$B$2:$J$91,9,FALSE()),""))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IF(DATOS!$A19723="",0,IF(CONFIG_METADATA!$B$4&lt;&gt;"OR+EX",--(DATOS!$G19723=CONFIG_METADATA!$B$4),IF(DATOS!$G19723="EX",1,IF(DATOS!$G19723="OR",--(COUNTIFS(nNIA,DATOS!$A19723,nCURSO,DATOS!$D19723,nESPEC,DATOS!$E19723,nASIG,DATOS!$I19723,nEVAL,"EX")=0),0))))</f>
      </c>
      <c r="H19723">
        <f>IF(DATOS!$G19723&lt;&gt;"EX",0,--(COUNTIFS(nNIA,DATOS!$A19723,nCURSO,DATOS!$D19723,nESPEC,DATOS!$E19723,nASIG,DATOS!$I19723,nEVAL,"OR")=0))</f>
      </c>
      <c r="I19723">
        <f>IF(DATOS!$I19723="","",IFERROR(VLOOKUP(DATOS!$I19723,CONFIG_ASIGNATURAS!$B$2:$J$91,9,FALSE()),""))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IF(DATOS!$A19724="",0,IF(CONFIG_METADATA!$B$4&lt;&gt;"OR+EX",--(DATOS!$G19724=CONFIG_METADATA!$B$4),IF(DATOS!$G19724="EX",1,IF(DATOS!$G19724="OR",--(COUNTIFS(nNIA,DATOS!$A19724,nCURSO,DATOS!$D19724,nESPEC,DATOS!$E19724,nASIG,DATOS!$I19724,nEVAL,"EX")=0),0))))</f>
      </c>
      <c r="H19724">
        <f>IF(DATOS!$G19724&lt;&gt;"EX",0,--(COUNTIFS(nNIA,DATOS!$A19724,nCURSO,DATOS!$D19724,nESPEC,DATOS!$E19724,nASIG,DATOS!$I19724,nEVAL,"OR")=0))</f>
      </c>
      <c r="I19724">
        <f>IF(DATOS!$I19724="","",IFERROR(VLOOKUP(DATOS!$I19724,CONFIG_ASIGNATURAS!$B$2:$J$91,9,FALSE()),""))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IF(DATOS!$A19725="",0,IF(CONFIG_METADATA!$B$4&lt;&gt;"OR+EX",--(DATOS!$G19725=CONFIG_METADATA!$B$4),IF(DATOS!$G19725="EX",1,IF(DATOS!$G19725="OR",--(COUNTIFS(nNIA,DATOS!$A19725,nCURSO,DATOS!$D19725,nESPEC,DATOS!$E19725,nASIG,DATOS!$I19725,nEVAL,"EX")=0),0))))</f>
      </c>
      <c r="H19725">
        <f>IF(DATOS!$G19725&lt;&gt;"EX",0,--(COUNTIFS(nNIA,DATOS!$A19725,nCURSO,DATOS!$D19725,nESPEC,DATOS!$E19725,nASIG,DATOS!$I19725,nEVAL,"OR")=0))</f>
      </c>
      <c r="I19725">
        <f>IF(DATOS!$I19725="","",IFERROR(VLOOKUP(DATOS!$I19725,CONFIG_ASIGNATURAS!$B$2:$J$91,9,FALSE()),""))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IF(DATOS!$A19726="",0,IF(CONFIG_METADATA!$B$4&lt;&gt;"OR+EX",--(DATOS!$G19726=CONFIG_METADATA!$B$4),IF(DATOS!$G19726="EX",1,IF(DATOS!$G19726="OR",--(COUNTIFS(nNIA,DATOS!$A19726,nCURSO,DATOS!$D19726,nESPEC,DATOS!$E19726,nASIG,DATOS!$I19726,nEVAL,"EX")=0),0))))</f>
      </c>
      <c r="H19726">
        <f>IF(DATOS!$G19726&lt;&gt;"EX",0,--(COUNTIFS(nNIA,DATOS!$A19726,nCURSO,DATOS!$D19726,nESPEC,DATOS!$E19726,nASIG,DATOS!$I19726,nEVAL,"OR")=0))</f>
      </c>
      <c r="I19726">
        <f>IF(DATOS!$I19726="","",IFERROR(VLOOKUP(DATOS!$I19726,CONFIG_ASIGNATURAS!$B$2:$J$91,9,FALSE()),""))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IF(DATOS!$A19727="",0,IF(CONFIG_METADATA!$B$4&lt;&gt;"OR+EX",--(DATOS!$G19727=CONFIG_METADATA!$B$4),IF(DATOS!$G19727="EX",1,IF(DATOS!$G19727="OR",--(COUNTIFS(nNIA,DATOS!$A19727,nCURSO,DATOS!$D19727,nESPEC,DATOS!$E19727,nASIG,DATOS!$I19727,nEVAL,"EX")=0),0))))</f>
      </c>
      <c r="H19727">
        <f>IF(DATOS!$G19727&lt;&gt;"EX",0,--(COUNTIFS(nNIA,DATOS!$A19727,nCURSO,DATOS!$D19727,nESPEC,DATOS!$E19727,nASIG,DATOS!$I19727,nEVAL,"OR")=0))</f>
      </c>
      <c r="I19727">
        <f>IF(DATOS!$I19727="","",IFERROR(VLOOKUP(DATOS!$I19727,CONFIG_ASIGNATURAS!$B$2:$J$91,9,FALSE()),""))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IF(DATOS!$A19728="",0,IF(CONFIG_METADATA!$B$4&lt;&gt;"OR+EX",--(DATOS!$G19728=CONFIG_METADATA!$B$4),IF(DATOS!$G19728="EX",1,IF(DATOS!$G19728="OR",--(COUNTIFS(nNIA,DATOS!$A19728,nCURSO,DATOS!$D19728,nESPEC,DATOS!$E19728,nASIG,DATOS!$I19728,nEVAL,"EX")=0),0))))</f>
      </c>
      <c r="H19728">
        <f>IF(DATOS!$G19728&lt;&gt;"EX",0,--(COUNTIFS(nNIA,DATOS!$A19728,nCURSO,DATOS!$D19728,nESPEC,DATOS!$E19728,nASIG,DATOS!$I19728,nEVAL,"OR")=0))</f>
      </c>
      <c r="I19728">
        <f>IF(DATOS!$I19728="","",IFERROR(VLOOKUP(DATOS!$I19728,CONFIG_ASIGNATURAS!$B$2:$J$91,9,FALSE()),""))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IF(DATOS!$A19729="",0,IF(CONFIG_METADATA!$B$4&lt;&gt;"OR+EX",--(DATOS!$G19729=CONFIG_METADATA!$B$4),IF(DATOS!$G19729="EX",1,IF(DATOS!$G19729="OR",--(COUNTIFS(nNIA,DATOS!$A19729,nCURSO,DATOS!$D19729,nESPEC,DATOS!$E19729,nASIG,DATOS!$I19729,nEVAL,"EX")=0),0))))</f>
      </c>
      <c r="H19729">
        <f>IF(DATOS!$G19729&lt;&gt;"EX",0,--(COUNTIFS(nNIA,DATOS!$A19729,nCURSO,DATOS!$D19729,nESPEC,DATOS!$E19729,nASIG,DATOS!$I19729,nEVAL,"OR")=0))</f>
      </c>
      <c r="I19729">
        <f>IF(DATOS!$I19729="","",IFERROR(VLOOKUP(DATOS!$I19729,CONFIG_ASIGNATURAS!$B$2:$J$91,9,FALSE()),""))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IF(DATOS!$A19730="",0,IF(CONFIG_METADATA!$B$4&lt;&gt;"OR+EX",--(DATOS!$G19730=CONFIG_METADATA!$B$4),IF(DATOS!$G19730="EX",1,IF(DATOS!$G19730="OR",--(COUNTIFS(nNIA,DATOS!$A19730,nCURSO,DATOS!$D19730,nESPEC,DATOS!$E19730,nASIG,DATOS!$I19730,nEVAL,"EX")=0),0))))</f>
      </c>
      <c r="H19730">
        <f>IF(DATOS!$G19730&lt;&gt;"EX",0,--(COUNTIFS(nNIA,DATOS!$A19730,nCURSO,DATOS!$D19730,nESPEC,DATOS!$E19730,nASIG,DATOS!$I19730,nEVAL,"OR")=0))</f>
      </c>
      <c r="I19730">
        <f>IF(DATOS!$I19730="","",IFERROR(VLOOKUP(DATOS!$I19730,CONFIG_ASIGNATURAS!$B$2:$J$91,9,FALSE()),""))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IF(DATOS!$A19731="",0,IF(CONFIG_METADATA!$B$4&lt;&gt;"OR+EX",--(DATOS!$G19731=CONFIG_METADATA!$B$4),IF(DATOS!$G19731="EX",1,IF(DATOS!$G19731="OR",--(COUNTIFS(nNIA,DATOS!$A19731,nCURSO,DATOS!$D19731,nESPEC,DATOS!$E19731,nASIG,DATOS!$I19731,nEVAL,"EX")=0),0))))</f>
      </c>
      <c r="H19731">
        <f>IF(DATOS!$G19731&lt;&gt;"EX",0,--(COUNTIFS(nNIA,DATOS!$A19731,nCURSO,DATOS!$D19731,nESPEC,DATOS!$E19731,nASIG,DATOS!$I19731,nEVAL,"OR")=0))</f>
      </c>
      <c r="I19731">
        <f>IF(DATOS!$I19731="","",IFERROR(VLOOKUP(DATOS!$I19731,CONFIG_ASIGNATURAS!$B$2:$J$91,9,FALSE()),""))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IF(DATOS!$A19732="",0,IF(CONFIG_METADATA!$B$4&lt;&gt;"OR+EX",--(DATOS!$G19732=CONFIG_METADATA!$B$4),IF(DATOS!$G19732="EX",1,IF(DATOS!$G19732="OR",--(COUNTIFS(nNIA,DATOS!$A19732,nCURSO,DATOS!$D19732,nESPEC,DATOS!$E19732,nASIG,DATOS!$I19732,nEVAL,"EX")=0),0))))</f>
      </c>
      <c r="H19732">
        <f>IF(DATOS!$G19732&lt;&gt;"EX",0,--(COUNTIFS(nNIA,DATOS!$A19732,nCURSO,DATOS!$D19732,nESPEC,DATOS!$E19732,nASIG,DATOS!$I19732,nEVAL,"OR")=0))</f>
      </c>
      <c r="I19732">
        <f>IF(DATOS!$I19732="","",IFERROR(VLOOKUP(DATOS!$I19732,CONFIG_ASIGNATURAS!$B$2:$J$91,9,FALSE()),""))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IF(DATOS!$A19733="",0,IF(CONFIG_METADATA!$B$4&lt;&gt;"OR+EX",--(DATOS!$G19733=CONFIG_METADATA!$B$4),IF(DATOS!$G19733="EX",1,IF(DATOS!$G19733="OR",--(COUNTIFS(nNIA,DATOS!$A19733,nCURSO,DATOS!$D19733,nESPEC,DATOS!$E19733,nASIG,DATOS!$I19733,nEVAL,"EX")=0),0))))</f>
      </c>
      <c r="H19733">
        <f>IF(DATOS!$G19733&lt;&gt;"EX",0,--(COUNTIFS(nNIA,DATOS!$A19733,nCURSO,DATOS!$D19733,nESPEC,DATOS!$E19733,nASIG,DATOS!$I19733,nEVAL,"OR")=0))</f>
      </c>
      <c r="I19733">
        <f>IF(DATOS!$I19733="","",IFERROR(VLOOKUP(DATOS!$I19733,CONFIG_ASIGNATURAS!$B$2:$J$91,9,FALSE()),""))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IF(DATOS!$A19734="",0,IF(CONFIG_METADATA!$B$4&lt;&gt;"OR+EX",--(DATOS!$G19734=CONFIG_METADATA!$B$4),IF(DATOS!$G19734="EX",1,IF(DATOS!$G19734="OR",--(COUNTIFS(nNIA,DATOS!$A19734,nCURSO,DATOS!$D19734,nESPEC,DATOS!$E19734,nASIG,DATOS!$I19734,nEVAL,"EX")=0),0))))</f>
      </c>
      <c r="H19734">
        <f>IF(DATOS!$G19734&lt;&gt;"EX",0,--(COUNTIFS(nNIA,DATOS!$A19734,nCURSO,DATOS!$D19734,nESPEC,DATOS!$E19734,nASIG,DATOS!$I19734,nEVAL,"OR")=0))</f>
      </c>
      <c r="I19734">
        <f>IF(DATOS!$I19734="","",IFERROR(VLOOKUP(DATOS!$I19734,CONFIG_ASIGNATURAS!$B$2:$J$91,9,FALSE()),""))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IF(DATOS!$A19735="",0,IF(CONFIG_METADATA!$B$4&lt;&gt;"OR+EX",--(DATOS!$G19735=CONFIG_METADATA!$B$4),IF(DATOS!$G19735="EX",1,IF(DATOS!$G19735="OR",--(COUNTIFS(nNIA,DATOS!$A19735,nCURSO,DATOS!$D19735,nESPEC,DATOS!$E19735,nASIG,DATOS!$I19735,nEVAL,"EX")=0),0))))</f>
      </c>
      <c r="H19735">
        <f>IF(DATOS!$G19735&lt;&gt;"EX",0,--(COUNTIFS(nNIA,DATOS!$A19735,nCURSO,DATOS!$D19735,nESPEC,DATOS!$E19735,nASIG,DATOS!$I19735,nEVAL,"OR")=0))</f>
      </c>
      <c r="I19735">
        <f>IF(DATOS!$I19735="","",IFERROR(VLOOKUP(DATOS!$I19735,CONFIG_ASIGNATURAS!$B$2:$J$91,9,FALSE()),""))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IF(DATOS!$A19736="",0,IF(CONFIG_METADATA!$B$4&lt;&gt;"OR+EX",--(DATOS!$G19736=CONFIG_METADATA!$B$4),IF(DATOS!$G19736="EX",1,IF(DATOS!$G19736="OR",--(COUNTIFS(nNIA,DATOS!$A19736,nCURSO,DATOS!$D19736,nESPEC,DATOS!$E19736,nASIG,DATOS!$I19736,nEVAL,"EX")=0),0))))</f>
      </c>
      <c r="H19736">
        <f>IF(DATOS!$G19736&lt;&gt;"EX",0,--(COUNTIFS(nNIA,DATOS!$A19736,nCURSO,DATOS!$D19736,nESPEC,DATOS!$E19736,nASIG,DATOS!$I19736,nEVAL,"OR")=0))</f>
      </c>
      <c r="I19736">
        <f>IF(DATOS!$I19736="","",IFERROR(VLOOKUP(DATOS!$I19736,CONFIG_ASIGNATURAS!$B$2:$J$91,9,FALSE()),""))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IF(DATOS!$A19737="",0,IF(CONFIG_METADATA!$B$4&lt;&gt;"OR+EX",--(DATOS!$G19737=CONFIG_METADATA!$B$4),IF(DATOS!$G19737="EX",1,IF(DATOS!$G19737="OR",--(COUNTIFS(nNIA,DATOS!$A19737,nCURSO,DATOS!$D19737,nESPEC,DATOS!$E19737,nASIG,DATOS!$I19737,nEVAL,"EX")=0),0))))</f>
      </c>
      <c r="H19737">
        <f>IF(DATOS!$G19737&lt;&gt;"EX",0,--(COUNTIFS(nNIA,DATOS!$A19737,nCURSO,DATOS!$D19737,nESPEC,DATOS!$E19737,nASIG,DATOS!$I19737,nEVAL,"OR")=0))</f>
      </c>
      <c r="I19737">
        <f>IF(DATOS!$I19737="","",IFERROR(VLOOKUP(DATOS!$I19737,CONFIG_ASIGNATURAS!$B$2:$J$91,9,FALSE()),""))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IF(DATOS!$A19738="",0,IF(CONFIG_METADATA!$B$4&lt;&gt;"OR+EX",--(DATOS!$G19738=CONFIG_METADATA!$B$4),IF(DATOS!$G19738="EX",1,IF(DATOS!$G19738="OR",--(COUNTIFS(nNIA,DATOS!$A19738,nCURSO,DATOS!$D19738,nESPEC,DATOS!$E19738,nASIG,DATOS!$I19738,nEVAL,"EX")=0),0))))</f>
      </c>
      <c r="H19738">
        <f>IF(DATOS!$G19738&lt;&gt;"EX",0,--(COUNTIFS(nNIA,DATOS!$A19738,nCURSO,DATOS!$D19738,nESPEC,DATOS!$E19738,nASIG,DATOS!$I19738,nEVAL,"OR")=0))</f>
      </c>
      <c r="I19738">
        <f>IF(DATOS!$I19738="","",IFERROR(VLOOKUP(DATOS!$I19738,CONFIG_ASIGNATURAS!$B$2:$J$91,9,FALSE()),""))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IF(DATOS!$A19739="",0,IF(CONFIG_METADATA!$B$4&lt;&gt;"OR+EX",--(DATOS!$G19739=CONFIG_METADATA!$B$4),IF(DATOS!$G19739="EX",1,IF(DATOS!$G19739="OR",--(COUNTIFS(nNIA,DATOS!$A19739,nCURSO,DATOS!$D19739,nESPEC,DATOS!$E19739,nASIG,DATOS!$I19739,nEVAL,"EX")=0),0))))</f>
      </c>
      <c r="H19739">
        <f>IF(DATOS!$G19739&lt;&gt;"EX",0,--(COUNTIFS(nNIA,DATOS!$A19739,nCURSO,DATOS!$D19739,nESPEC,DATOS!$E19739,nASIG,DATOS!$I19739,nEVAL,"OR")=0))</f>
      </c>
      <c r="I19739">
        <f>IF(DATOS!$I19739="","",IFERROR(VLOOKUP(DATOS!$I19739,CONFIG_ASIGNATURAS!$B$2:$J$91,9,FALSE()),""))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IF(DATOS!$A19740="",0,IF(CONFIG_METADATA!$B$4&lt;&gt;"OR+EX",--(DATOS!$G19740=CONFIG_METADATA!$B$4),IF(DATOS!$G19740="EX",1,IF(DATOS!$G19740="OR",--(COUNTIFS(nNIA,DATOS!$A19740,nCURSO,DATOS!$D19740,nESPEC,DATOS!$E19740,nASIG,DATOS!$I19740,nEVAL,"EX")=0),0))))</f>
      </c>
      <c r="H19740">
        <f>IF(DATOS!$G19740&lt;&gt;"EX",0,--(COUNTIFS(nNIA,DATOS!$A19740,nCURSO,DATOS!$D19740,nESPEC,DATOS!$E19740,nASIG,DATOS!$I19740,nEVAL,"OR")=0))</f>
      </c>
      <c r="I19740">
        <f>IF(DATOS!$I19740="","",IFERROR(VLOOKUP(DATOS!$I19740,CONFIG_ASIGNATURAS!$B$2:$J$91,9,FALSE()),""))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IF(DATOS!$A19741="",0,IF(CONFIG_METADATA!$B$4&lt;&gt;"OR+EX",--(DATOS!$G19741=CONFIG_METADATA!$B$4),IF(DATOS!$G19741="EX",1,IF(DATOS!$G19741="OR",--(COUNTIFS(nNIA,DATOS!$A19741,nCURSO,DATOS!$D19741,nESPEC,DATOS!$E19741,nASIG,DATOS!$I19741,nEVAL,"EX")=0),0))))</f>
      </c>
      <c r="H19741">
        <f>IF(DATOS!$G19741&lt;&gt;"EX",0,--(COUNTIFS(nNIA,DATOS!$A19741,nCURSO,DATOS!$D19741,nESPEC,DATOS!$E19741,nASIG,DATOS!$I19741,nEVAL,"OR")=0))</f>
      </c>
      <c r="I19741">
        <f>IF(DATOS!$I19741="","",IFERROR(VLOOKUP(DATOS!$I19741,CONFIG_ASIGNATURAS!$B$2:$J$91,9,FALSE()),""))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IF(DATOS!$A19742="",0,IF(CONFIG_METADATA!$B$4&lt;&gt;"OR+EX",--(DATOS!$G19742=CONFIG_METADATA!$B$4),IF(DATOS!$G19742="EX",1,IF(DATOS!$G19742="OR",--(COUNTIFS(nNIA,DATOS!$A19742,nCURSO,DATOS!$D19742,nESPEC,DATOS!$E19742,nASIG,DATOS!$I19742,nEVAL,"EX")=0),0))))</f>
      </c>
      <c r="H19742">
        <f>IF(DATOS!$G19742&lt;&gt;"EX",0,--(COUNTIFS(nNIA,DATOS!$A19742,nCURSO,DATOS!$D19742,nESPEC,DATOS!$E19742,nASIG,DATOS!$I19742,nEVAL,"OR")=0))</f>
      </c>
      <c r="I19742">
        <f>IF(DATOS!$I19742="","",IFERROR(VLOOKUP(DATOS!$I19742,CONFIG_ASIGNATURAS!$B$2:$J$91,9,FALSE()),""))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IF(DATOS!$A19743="",0,IF(CONFIG_METADATA!$B$4&lt;&gt;"OR+EX",--(DATOS!$G19743=CONFIG_METADATA!$B$4),IF(DATOS!$G19743="EX",1,IF(DATOS!$G19743="OR",--(COUNTIFS(nNIA,DATOS!$A19743,nCURSO,DATOS!$D19743,nESPEC,DATOS!$E19743,nASIG,DATOS!$I19743,nEVAL,"EX")=0),0))))</f>
      </c>
      <c r="H19743">
        <f>IF(DATOS!$G19743&lt;&gt;"EX",0,--(COUNTIFS(nNIA,DATOS!$A19743,nCURSO,DATOS!$D19743,nESPEC,DATOS!$E19743,nASIG,DATOS!$I19743,nEVAL,"OR")=0))</f>
      </c>
      <c r="I19743">
        <f>IF(DATOS!$I19743="","",IFERROR(VLOOKUP(DATOS!$I19743,CONFIG_ASIGNATURAS!$B$2:$J$91,9,FALSE()),""))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IF(DATOS!$A19744="",0,IF(CONFIG_METADATA!$B$4&lt;&gt;"OR+EX",--(DATOS!$G19744=CONFIG_METADATA!$B$4),IF(DATOS!$G19744="EX",1,IF(DATOS!$G19744="OR",--(COUNTIFS(nNIA,DATOS!$A19744,nCURSO,DATOS!$D19744,nESPEC,DATOS!$E19744,nASIG,DATOS!$I19744,nEVAL,"EX")=0),0))))</f>
      </c>
      <c r="H19744">
        <f>IF(DATOS!$G19744&lt;&gt;"EX",0,--(COUNTIFS(nNIA,DATOS!$A19744,nCURSO,DATOS!$D19744,nESPEC,DATOS!$E19744,nASIG,DATOS!$I19744,nEVAL,"OR")=0))</f>
      </c>
      <c r="I19744">
        <f>IF(DATOS!$I19744="","",IFERROR(VLOOKUP(DATOS!$I19744,CONFIG_ASIGNATURAS!$B$2:$J$91,9,FALSE()),""))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IF(DATOS!$A19745="",0,IF(CONFIG_METADATA!$B$4&lt;&gt;"OR+EX",--(DATOS!$G19745=CONFIG_METADATA!$B$4),IF(DATOS!$G19745="EX",1,IF(DATOS!$G19745="OR",--(COUNTIFS(nNIA,DATOS!$A19745,nCURSO,DATOS!$D19745,nESPEC,DATOS!$E19745,nASIG,DATOS!$I19745,nEVAL,"EX")=0),0))))</f>
      </c>
      <c r="H19745">
        <f>IF(DATOS!$G19745&lt;&gt;"EX",0,--(COUNTIFS(nNIA,DATOS!$A19745,nCURSO,DATOS!$D19745,nESPEC,DATOS!$E19745,nASIG,DATOS!$I19745,nEVAL,"OR")=0))</f>
      </c>
      <c r="I19745">
        <f>IF(DATOS!$I19745="","",IFERROR(VLOOKUP(DATOS!$I19745,CONFIG_ASIGNATURAS!$B$2:$J$91,9,FALSE()),""))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IF(DATOS!$A19746="",0,IF(CONFIG_METADATA!$B$4&lt;&gt;"OR+EX",--(DATOS!$G19746=CONFIG_METADATA!$B$4),IF(DATOS!$G19746="EX",1,IF(DATOS!$G19746="OR",--(COUNTIFS(nNIA,DATOS!$A19746,nCURSO,DATOS!$D19746,nESPEC,DATOS!$E19746,nASIG,DATOS!$I19746,nEVAL,"EX")=0),0))))</f>
      </c>
      <c r="H19746">
        <f>IF(DATOS!$G19746&lt;&gt;"EX",0,--(COUNTIFS(nNIA,DATOS!$A19746,nCURSO,DATOS!$D19746,nESPEC,DATOS!$E19746,nASIG,DATOS!$I19746,nEVAL,"OR")=0))</f>
      </c>
      <c r="I19746">
        <f>IF(DATOS!$I19746="","",IFERROR(VLOOKUP(DATOS!$I19746,CONFIG_ASIGNATURAS!$B$2:$J$91,9,FALSE()),""))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IF(DATOS!$A19747="",0,IF(CONFIG_METADATA!$B$4&lt;&gt;"OR+EX",--(DATOS!$G19747=CONFIG_METADATA!$B$4),IF(DATOS!$G19747="EX",1,IF(DATOS!$G19747="OR",--(COUNTIFS(nNIA,DATOS!$A19747,nCURSO,DATOS!$D19747,nESPEC,DATOS!$E19747,nASIG,DATOS!$I19747,nEVAL,"EX")=0),0))))</f>
      </c>
      <c r="H19747">
        <f>IF(DATOS!$G19747&lt;&gt;"EX",0,--(COUNTIFS(nNIA,DATOS!$A19747,nCURSO,DATOS!$D19747,nESPEC,DATOS!$E19747,nASIG,DATOS!$I19747,nEVAL,"OR")=0))</f>
      </c>
      <c r="I19747">
        <f>IF(DATOS!$I19747="","",IFERROR(VLOOKUP(DATOS!$I19747,CONFIG_ASIGNATURAS!$B$2:$J$91,9,FALSE()),""))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IF(DATOS!$A19748="",0,IF(CONFIG_METADATA!$B$4&lt;&gt;"OR+EX",--(DATOS!$G19748=CONFIG_METADATA!$B$4),IF(DATOS!$G19748="EX",1,IF(DATOS!$G19748="OR",--(COUNTIFS(nNIA,DATOS!$A19748,nCURSO,DATOS!$D19748,nESPEC,DATOS!$E19748,nASIG,DATOS!$I19748,nEVAL,"EX")=0),0))))</f>
      </c>
      <c r="H19748">
        <f>IF(DATOS!$G19748&lt;&gt;"EX",0,--(COUNTIFS(nNIA,DATOS!$A19748,nCURSO,DATOS!$D19748,nESPEC,DATOS!$E19748,nASIG,DATOS!$I19748,nEVAL,"OR")=0))</f>
      </c>
      <c r="I19748">
        <f>IF(DATOS!$I19748="","",IFERROR(VLOOKUP(DATOS!$I19748,CONFIG_ASIGNATURAS!$B$2:$J$91,9,FALSE()),""))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IF(DATOS!$A19749="",0,IF(CONFIG_METADATA!$B$4&lt;&gt;"OR+EX",--(DATOS!$G19749=CONFIG_METADATA!$B$4),IF(DATOS!$G19749="EX",1,IF(DATOS!$G19749="OR",--(COUNTIFS(nNIA,DATOS!$A19749,nCURSO,DATOS!$D19749,nESPEC,DATOS!$E19749,nASIG,DATOS!$I19749,nEVAL,"EX")=0),0))))</f>
      </c>
      <c r="H19749">
        <f>IF(DATOS!$G19749&lt;&gt;"EX",0,--(COUNTIFS(nNIA,DATOS!$A19749,nCURSO,DATOS!$D19749,nESPEC,DATOS!$E19749,nASIG,DATOS!$I19749,nEVAL,"OR")=0))</f>
      </c>
      <c r="I19749">
        <f>IF(DATOS!$I19749="","",IFERROR(VLOOKUP(DATOS!$I19749,CONFIG_ASIGNATURAS!$B$2:$J$91,9,FALSE()),""))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IF(DATOS!$A19750="",0,IF(CONFIG_METADATA!$B$4&lt;&gt;"OR+EX",--(DATOS!$G19750=CONFIG_METADATA!$B$4),IF(DATOS!$G19750="EX",1,IF(DATOS!$G19750="OR",--(COUNTIFS(nNIA,DATOS!$A19750,nCURSO,DATOS!$D19750,nESPEC,DATOS!$E19750,nASIG,DATOS!$I19750,nEVAL,"EX")=0),0))))</f>
      </c>
      <c r="H19750">
        <f>IF(DATOS!$G19750&lt;&gt;"EX",0,--(COUNTIFS(nNIA,DATOS!$A19750,nCURSO,DATOS!$D19750,nESPEC,DATOS!$E19750,nASIG,DATOS!$I19750,nEVAL,"OR")=0))</f>
      </c>
      <c r="I19750">
        <f>IF(DATOS!$I19750="","",IFERROR(VLOOKUP(DATOS!$I19750,CONFIG_ASIGNATURAS!$B$2:$J$91,9,FALSE()),""))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IF(DATOS!$A19751="",0,IF(CONFIG_METADATA!$B$4&lt;&gt;"OR+EX",--(DATOS!$G19751=CONFIG_METADATA!$B$4),IF(DATOS!$G19751="EX",1,IF(DATOS!$G19751="OR",--(COUNTIFS(nNIA,DATOS!$A19751,nCURSO,DATOS!$D19751,nESPEC,DATOS!$E19751,nASIG,DATOS!$I19751,nEVAL,"EX")=0),0))))</f>
      </c>
      <c r="H19751">
        <f>IF(DATOS!$G19751&lt;&gt;"EX",0,--(COUNTIFS(nNIA,DATOS!$A19751,nCURSO,DATOS!$D19751,nESPEC,DATOS!$E19751,nASIG,DATOS!$I19751,nEVAL,"OR")=0))</f>
      </c>
      <c r="I19751">
        <f>IF(DATOS!$I19751="","",IFERROR(VLOOKUP(DATOS!$I19751,CONFIG_ASIGNATURAS!$B$2:$J$91,9,FALSE()),""))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IF(DATOS!$A19752="",0,IF(CONFIG_METADATA!$B$4&lt;&gt;"OR+EX",--(DATOS!$G19752=CONFIG_METADATA!$B$4),IF(DATOS!$G19752="EX",1,IF(DATOS!$G19752="OR",--(COUNTIFS(nNIA,DATOS!$A19752,nCURSO,DATOS!$D19752,nESPEC,DATOS!$E19752,nASIG,DATOS!$I19752,nEVAL,"EX")=0),0))))</f>
      </c>
      <c r="H19752">
        <f>IF(DATOS!$G19752&lt;&gt;"EX",0,--(COUNTIFS(nNIA,DATOS!$A19752,nCURSO,DATOS!$D19752,nESPEC,DATOS!$E19752,nASIG,DATOS!$I19752,nEVAL,"OR")=0))</f>
      </c>
      <c r="I19752">
        <f>IF(DATOS!$I19752="","",IFERROR(VLOOKUP(DATOS!$I19752,CONFIG_ASIGNATURAS!$B$2:$J$91,9,FALSE()),""))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IF(DATOS!$A19753="",0,IF(CONFIG_METADATA!$B$4&lt;&gt;"OR+EX",--(DATOS!$G19753=CONFIG_METADATA!$B$4),IF(DATOS!$G19753="EX",1,IF(DATOS!$G19753="OR",--(COUNTIFS(nNIA,DATOS!$A19753,nCURSO,DATOS!$D19753,nESPEC,DATOS!$E19753,nASIG,DATOS!$I19753,nEVAL,"EX")=0),0))))</f>
      </c>
      <c r="H19753">
        <f>IF(DATOS!$G19753&lt;&gt;"EX",0,--(COUNTIFS(nNIA,DATOS!$A19753,nCURSO,DATOS!$D19753,nESPEC,DATOS!$E19753,nASIG,DATOS!$I19753,nEVAL,"OR")=0))</f>
      </c>
      <c r="I19753">
        <f>IF(DATOS!$I19753="","",IFERROR(VLOOKUP(DATOS!$I19753,CONFIG_ASIGNATURAS!$B$2:$J$91,9,FALSE()),""))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IF(DATOS!$A19754="",0,IF(CONFIG_METADATA!$B$4&lt;&gt;"OR+EX",--(DATOS!$G19754=CONFIG_METADATA!$B$4),IF(DATOS!$G19754="EX",1,IF(DATOS!$G19754="OR",--(COUNTIFS(nNIA,DATOS!$A19754,nCURSO,DATOS!$D19754,nESPEC,DATOS!$E19754,nASIG,DATOS!$I19754,nEVAL,"EX")=0),0))))</f>
      </c>
      <c r="H19754">
        <f>IF(DATOS!$G19754&lt;&gt;"EX",0,--(COUNTIFS(nNIA,DATOS!$A19754,nCURSO,DATOS!$D19754,nESPEC,DATOS!$E19754,nASIG,DATOS!$I19754,nEVAL,"OR")=0))</f>
      </c>
      <c r="I19754">
        <f>IF(DATOS!$I19754="","",IFERROR(VLOOKUP(DATOS!$I19754,CONFIG_ASIGNATURAS!$B$2:$J$91,9,FALSE()),""))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IF(DATOS!$A19755="",0,IF(CONFIG_METADATA!$B$4&lt;&gt;"OR+EX",--(DATOS!$G19755=CONFIG_METADATA!$B$4),IF(DATOS!$G19755="EX",1,IF(DATOS!$G19755="OR",--(COUNTIFS(nNIA,DATOS!$A19755,nCURSO,DATOS!$D19755,nESPEC,DATOS!$E19755,nASIG,DATOS!$I19755,nEVAL,"EX")=0),0))))</f>
      </c>
      <c r="H19755">
        <f>IF(DATOS!$G19755&lt;&gt;"EX",0,--(COUNTIFS(nNIA,DATOS!$A19755,nCURSO,DATOS!$D19755,nESPEC,DATOS!$E19755,nASIG,DATOS!$I19755,nEVAL,"OR")=0))</f>
      </c>
      <c r="I19755">
        <f>IF(DATOS!$I19755="","",IFERROR(VLOOKUP(DATOS!$I19755,CONFIG_ASIGNATURAS!$B$2:$J$91,9,FALSE()),""))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IF(DATOS!$A19756="",0,IF(CONFIG_METADATA!$B$4&lt;&gt;"OR+EX",--(DATOS!$G19756=CONFIG_METADATA!$B$4),IF(DATOS!$G19756="EX",1,IF(DATOS!$G19756="OR",--(COUNTIFS(nNIA,DATOS!$A19756,nCURSO,DATOS!$D19756,nESPEC,DATOS!$E19756,nASIG,DATOS!$I19756,nEVAL,"EX")=0),0))))</f>
      </c>
      <c r="H19756">
        <f>IF(DATOS!$G19756&lt;&gt;"EX",0,--(COUNTIFS(nNIA,DATOS!$A19756,nCURSO,DATOS!$D19756,nESPEC,DATOS!$E19756,nASIG,DATOS!$I19756,nEVAL,"OR")=0))</f>
      </c>
      <c r="I19756">
        <f>IF(DATOS!$I19756="","",IFERROR(VLOOKUP(DATOS!$I19756,CONFIG_ASIGNATURAS!$B$2:$J$91,9,FALSE()),""))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IF(DATOS!$A19757="",0,IF(CONFIG_METADATA!$B$4&lt;&gt;"OR+EX",--(DATOS!$G19757=CONFIG_METADATA!$B$4),IF(DATOS!$G19757="EX",1,IF(DATOS!$G19757="OR",--(COUNTIFS(nNIA,DATOS!$A19757,nCURSO,DATOS!$D19757,nESPEC,DATOS!$E19757,nASIG,DATOS!$I19757,nEVAL,"EX")=0),0))))</f>
      </c>
      <c r="H19757">
        <f>IF(DATOS!$G19757&lt;&gt;"EX",0,--(COUNTIFS(nNIA,DATOS!$A19757,nCURSO,DATOS!$D19757,nESPEC,DATOS!$E19757,nASIG,DATOS!$I19757,nEVAL,"OR")=0))</f>
      </c>
      <c r="I19757">
        <f>IF(DATOS!$I19757="","",IFERROR(VLOOKUP(DATOS!$I19757,CONFIG_ASIGNATURAS!$B$2:$J$91,9,FALSE()),""))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IF(DATOS!$A19758="",0,IF(CONFIG_METADATA!$B$4&lt;&gt;"OR+EX",--(DATOS!$G19758=CONFIG_METADATA!$B$4),IF(DATOS!$G19758="EX",1,IF(DATOS!$G19758="OR",--(COUNTIFS(nNIA,DATOS!$A19758,nCURSO,DATOS!$D19758,nESPEC,DATOS!$E19758,nASIG,DATOS!$I19758,nEVAL,"EX")=0),0))))</f>
      </c>
      <c r="H19758">
        <f>IF(DATOS!$G19758&lt;&gt;"EX",0,--(COUNTIFS(nNIA,DATOS!$A19758,nCURSO,DATOS!$D19758,nESPEC,DATOS!$E19758,nASIG,DATOS!$I19758,nEVAL,"OR")=0))</f>
      </c>
      <c r="I19758">
        <f>IF(DATOS!$I19758="","",IFERROR(VLOOKUP(DATOS!$I19758,CONFIG_ASIGNATURAS!$B$2:$J$91,9,FALSE()),""))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IF(DATOS!$A19759="",0,IF(CONFIG_METADATA!$B$4&lt;&gt;"OR+EX",--(DATOS!$G19759=CONFIG_METADATA!$B$4),IF(DATOS!$G19759="EX",1,IF(DATOS!$G19759="OR",--(COUNTIFS(nNIA,DATOS!$A19759,nCURSO,DATOS!$D19759,nESPEC,DATOS!$E19759,nASIG,DATOS!$I19759,nEVAL,"EX")=0),0))))</f>
      </c>
      <c r="H19759">
        <f>IF(DATOS!$G19759&lt;&gt;"EX",0,--(COUNTIFS(nNIA,DATOS!$A19759,nCURSO,DATOS!$D19759,nESPEC,DATOS!$E19759,nASIG,DATOS!$I19759,nEVAL,"OR")=0))</f>
      </c>
      <c r="I19759">
        <f>IF(DATOS!$I19759="","",IFERROR(VLOOKUP(DATOS!$I19759,CONFIG_ASIGNATURAS!$B$2:$J$91,9,FALSE()),""))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IF(DATOS!$A19760="",0,IF(CONFIG_METADATA!$B$4&lt;&gt;"OR+EX",--(DATOS!$G19760=CONFIG_METADATA!$B$4),IF(DATOS!$G19760="EX",1,IF(DATOS!$G19760="OR",--(COUNTIFS(nNIA,DATOS!$A19760,nCURSO,DATOS!$D19760,nESPEC,DATOS!$E19760,nASIG,DATOS!$I19760,nEVAL,"EX")=0),0))))</f>
      </c>
      <c r="H19760">
        <f>IF(DATOS!$G19760&lt;&gt;"EX",0,--(COUNTIFS(nNIA,DATOS!$A19760,nCURSO,DATOS!$D19760,nESPEC,DATOS!$E19760,nASIG,DATOS!$I19760,nEVAL,"OR")=0))</f>
      </c>
      <c r="I19760">
        <f>IF(DATOS!$I19760="","",IFERROR(VLOOKUP(DATOS!$I19760,CONFIG_ASIGNATURAS!$B$2:$J$91,9,FALSE()),""))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IF(DATOS!$A19761="",0,IF(CONFIG_METADATA!$B$4&lt;&gt;"OR+EX",--(DATOS!$G19761=CONFIG_METADATA!$B$4),IF(DATOS!$G19761="EX",1,IF(DATOS!$G19761="OR",--(COUNTIFS(nNIA,DATOS!$A19761,nCURSO,DATOS!$D19761,nESPEC,DATOS!$E19761,nASIG,DATOS!$I19761,nEVAL,"EX")=0),0))))</f>
      </c>
      <c r="H19761">
        <f>IF(DATOS!$G19761&lt;&gt;"EX",0,--(COUNTIFS(nNIA,DATOS!$A19761,nCURSO,DATOS!$D19761,nESPEC,DATOS!$E19761,nASIG,DATOS!$I19761,nEVAL,"OR")=0))</f>
      </c>
      <c r="I19761">
        <f>IF(DATOS!$I19761="","",IFERROR(VLOOKUP(DATOS!$I19761,CONFIG_ASIGNATURAS!$B$2:$J$91,9,FALSE()),""))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IF(DATOS!$A19762="",0,IF(CONFIG_METADATA!$B$4&lt;&gt;"OR+EX",--(DATOS!$G19762=CONFIG_METADATA!$B$4),IF(DATOS!$G19762="EX",1,IF(DATOS!$G19762="OR",--(COUNTIFS(nNIA,DATOS!$A19762,nCURSO,DATOS!$D19762,nESPEC,DATOS!$E19762,nASIG,DATOS!$I19762,nEVAL,"EX")=0),0))))</f>
      </c>
      <c r="H19762">
        <f>IF(DATOS!$G19762&lt;&gt;"EX",0,--(COUNTIFS(nNIA,DATOS!$A19762,nCURSO,DATOS!$D19762,nESPEC,DATOS!$E19762,nASIG,DATOS!$I19762,nEVAL,"OR")=0))</f>
      </c>
      <c r="I19762">
        <f>IF(DATOS!$I19762="","",IFERROR(VLOOKUP(DATOS!$I19762,CONFIG_ASIGNATURAS!$B$2:$J$91,9,FALSE()),""))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IF(DATOS!$A19763="",0,IF(CONFIG_METADATA!$B$4&lt;&gt;"OR+EX",--(DATOS!$G19763=CONFIG_METADATA!$B$4),IF(DATOS!$G19763="EX",1,IF(DATOS!$G19763="OR",--(COUNTIFS(nNIA,DATOS!$A19763,nCURSO,DATOS!$D19763,nESPEC,DATOS!$E19763,nASIG,DATOS!$I19763,nEVAL,"EX")=0),0))))</f>
      </c>
      <c r="H19763">
        <f>IF(DATOS!$G19763&lt;&gt;"EX",0,--(COUNTIFS(nNIA,DATOS!$A19763,nCURSO,DATOS!$D19763,nESPEC,DATOS!$E19763,nASIG,DATOS!$I19763,nEVAL,"OR")=0))</f>
      </c>
      <c r="I19763">
        <f>IF(DATOS!$I19763="","",IFERROR(VLOOKUP(DATOS!$I19763,CONFIG_ASIGNATURAS!$B$2:$J$91,9,FALSE()),""))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IF(DATOS!$A19764="",0,IF(CONFIG_METADATA!$B$4&lt;&gt;"OR+EX",--(DATOS!$G19764=CONFIG_METADATA!$B$4),IF(DATOS!$G19764="EX",1,IF(DATOS!$G19764="OR",--(COUNTIFS(nNIA,DATOS!$A19764,nCURSO,DATOS!$D19764,nESPEC,DATOS!$E19764,nASIG,DATOS!$I19764,nEVAL,"EX")=0),0))))</f>
      </c>
      <c r="H19764">
        <f>IF(DATOS!$G19764&lt;&gt;"EX",0,--(COUNTIFS(nNIA,DATOS!$A19764,nCURSO,DATOS!$D19764,nESPEC,DATOS!$E19764,nASIG,DATOS!$I19764,nEVAL,"OR")=0))</f>
      </c>
      <c r="I19764">
        <f>IF(DATOS!$I19764="","",IFERROR(VLOOKUP(DATOS!$I19764,CONFIG_ASIGNATURAS!$B$2:$J$91,9,FALSE()),""))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IF(DATOS!$A19765="",0,IF(CONFIG_METADATA!$B$4&lt;&gt;"OR+EX",--(DATOS!$G19765=CONFIG_METADATA!$B$4),IF(DATOS!$G19765="EX",1,IF(DATOS!$G19765="OR",--(COUNTIFS(nNIA,DATOS!$A19765,nCURSO,DATOS!$D19765,nESPEC,DATOS!$E19765,nASIG,DATOS!$I19765,nEVAL,"EX")=0),0))))</f>
      </c>
      <c r="H19765">
        <f>IF(DATOS!$G19765&lt;&gt;"EX",0,--(COUNTIFS(nNIA,DATOS!$A19765,nCURSO,DATOS!$D19765,nESPEC,DATOS!$E19765,nASIG,DATOS!$I19765,nEVAL,"OR")=0))</f>
      </c>
      <c r="I19765">
        <f>IF(DATOS!$I19765="","",IFERROR(VLOOKUP(DATOS!$I19765,CONFIG_ASIGNATURAS!$B$2:$J$91,9,FALSE()),""))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IF(DATOS!$A19766="",0,IF(CONFIG_METADATA!$B$4&lt;&gt;"OR+EX",--(DATOS!$G19766=CONFIG_METADATA!$B$4),IF(DATOS!$G19766="EX",1,IF(DATOS!$G19766="OR",--(COUNTIFS(nNIA,DATOS!$A19766,nCURSO,DATOS!$D19766,nESPEC,DATOS!$E19766,nASIG,DATOS!$I19766,nEVAL,"EX")=0),0))))</f>
      </c>
      <c r="H19766">
        <f>IF(DATOS!$G19766&lt;&gt;"EX",0,--(COUNTIFS(nNIA,DATOS!$A19766,nCURSO,DATOS!$D19766,nESPEC,DATOS!$E19766,nASIG,DATOS!$I19766,nEVAL,"OR")=0))</f>
      </c>
      <c r="I19766">
        <f>IF(DATOS!$I19766="","",IFERROR(VLOOKUP(DATOS!$I19766,CONFIG_ASIGNATURAS!$B$2:$J$91,9,FALSE()),""))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IF(DATOS!$A19767="",0,IF(CONFIG_METADATA!$B$4&lt;&gt;"OR+EX",--(DATOS!$G19767=CONFIG_METADATA!$B$4),IF(DATOS!$G19767="EX",1,IF(DATOS!$G19767="OR",--(COUNTIFS(nNIA,DATOS!$A19767,nCURSO,DATOS!$D19767,nESPEC,DATOS!$E19767,nASIG,DATOS!$I19767,nEVAL,"EX")=0),0))))</f>
      </c>
      <c r="H19767">
        <f>IF(DATOS!$G19767&lt;&gt;"EX",0,--(COUNTIFS(nNIA,DATOS!$A19767,nCURSO,DATOS!$D19767,nESPEC,DATOS!$E19767,nASIG,DATOS!$I19767,nEVAL,"OR")=0))</f>
      </c>
      <c r="I19767">
        <f>IF(DATOS!$I19767="","",IFERROR(VLOOKUP(DATOS!$I19767,CONFIG_ASIGNATURAS!$B$2:$J$91,9,FALSE()),""))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IF(DATOS!$A19768="",0,IF(CONFIG_METADATA!$B$4&lt;&gt;"OR+EX",--(DATOS!$G19768=CONFIG_METADATA!$B$4),IF(DATOS!$G19768="EX",1,IF(DATOS!$G19768="OR",--(COUNTIFS(nNIA,DATOS!$A19768,nCURSO,DATOS!$D19768,nESPEC,DATOS!$E19768,nASIG,DATOS!$I19768,nEVAL,"EX")=0),0))))</f>
      </c>
      <c r="H19768">
        <f>IF(DATOS!$G19768&lt;&gt;"EX",0,--(COUNTIFS(nNIA,DATOS!$A19768,nCURSO,DATOS!$D19768,nESPEC,DATOS!$E19768,nASIG,DATOS!$I19768,nEVAL,"OR")=0))</f>
      </c>
      <c r="I19768">
        <f>IF(DATOS!$I19768="","",IFERROR(VLOOKUP(DATOS!$I19768,CONFIG_ASIGNATURAS!$B$2:$J$91,9,FALSE()),""))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IF(DATOS!$A19769="",0,IF(CONFIG_METADATA!$B$4&lt;&gt;"OR+EX",--(DATOS!$G19769=CONFIG_METADATA!$B$4),IF(DATOS!$G19769="EX",1,IF(DATOS!$G19769="OR",--(COUNTIFS(nNIA,DATOS!$A19769,nCURSO,DATOS!$D19769,nESPEC,DATOS!$E19769,nASIG,DATOS!$I19769,nEVAL,"EX")=0),0))))</f>
      </c>
      <c r="H19769">
        <f>IF(DATOS!$G19769&lt;&gt;"EX",0,--(COUNTIFS(nNIA,DATOS!$A19769,nCURSO,DATOS!$D19769,nESPEC,DATOS!$E19769,nASIG,DATOS!$I19769,nEVAL,"OR")=0))</f>
      </c>
      <c r="I19769">
        <f>IF(DATOS!$I19769="","",IFERROR(VLOOKUP(DATOS!$I19769,CONFIG_ASIGNATURAS!$B$2:$J$91,9,FALSE()),""))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IF(DATOS!$A19770="",0,IF(CONFIG_METADATA!$B$4&lt;&gt;"OR+EX",--(DATOS!$G19770=CONFIG_METADATA!$B$4),IF(DATOS!$G19770="EX",1,IF(DATOS!$G19770="OR",--(COUNTIFS(nNIA,DATOS!$A19770,nCURSO,DATOS!$D19770,nESPEC,DATOS!$E19770,nASIG,DATOS!$I19770,nEVAL,"EX")=0),0))))</f>
      </c>
      <c r="H19770">
        <f>IF(DATOS!$G19770&lt;&gt;"EX",0,--(COUNTIFS(nNIA,DATOS!$A19770,nCURSO,DATOS!$D19770,nESPEC,DATOS!$E19770,nASIG,DATOS!$I19770,nEVAL,"OR")=0))</f>
      </c>
      <c r="I19770">
        <f>IF(DATOS!$I19770="","",IFERROR(VLOOKUP(DATOS!$I19770,CONFIG_ASIGNATURAS!$B$2:$J$91,9,FALSE()),""))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IF(DATOS!$A19771="",0,IF(CONFIG_METADATA!$B$4&lt;&gt;"OR+EX",--(DATOS!$G19771=CONFIG_METADATA!$B$4),IF(DATOS!$G19771="EX",1,IF(DATOS!$G19771="OR",--(COUNTIFS(nNIA,DATOS!$A19771,nCURSO,DATOS!$D19771,nESPEC,DATOS!$E19771,nASIG,DATOS!$I19771,nEVAL,"EX")=0),0))))</f>
      </c>
      <c r="H19771">
        <f>IF(DATOS!$G19771&lt;&gt;"EX",0,--(COUNTIFS(nNIA,DATOS!$A19771,nCURSO,DATOS!$D19771,nESPEC,DATOS!$E19771,nASIG,DATOS!$I19771,nEVAL,"OR")=0))</f>
      </c>
      <c r="I19771">
        <f>IF(DATOS!$I19771="","",IFERROR(VLOOKUP(DATOS!$I19771,CONFIG_ASIGNATURAS!$B$2:$J$91,9,FALSE()),""))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IF(DATOS!$A19772="",0,IF(CONFIG_METADATA!$B$4&lt;&gt;"OR+EX",--(DATOS!$G19772=CONFIG_METADATA!$B$4),IF(DATOS!$G19772="EX",1,IF(DATOS!$G19772="OR",--(COUNTIFS(nNIA,DATOS!$A19772,nCURSO,DATOS!$D19772,nESPEC,DATOS!$E19772,nASIG,DATOS!$I19772,nEVAL,"EX")=0),0))))</f>
      </c>
      <c r="H19772">
        <f>IF(DATOS!$G19772&lt;&gt;"EX",0,--(COUNTIFS(nNIA,DATOS!$A19772,nCURSO,DATOS!$D19772,nESPEC,DATOS!$E19772,nASIG,DATOS!$I19772,nEVAL,"OR")=0))</f>
      </c>
      <c r="I19772">
        <f>IF(DATOS!$I19772="","",IFERROR(VLOOKUP(DATOS!$I19772,CONFIG_ASIGNATURAS!$B$2:$J$91,9,FALSE()),""))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IF(DATOS!$A19773="",0,IF(CONFIG_METADATA!$B$4&lt;&gt;"OR+EX",--(DATOS!$G19773=CONFIG_METADATA!$B$4),IF(DATOS!$G19773="EX",1,IF(DATOS!$G19773="OR",--(COUNTIFS(nNIA,DATOS!$A19773,nCURSO,DATOS!$D19773,nESPEC,DATOS!$E19773,nASIG,DATOS!$I19773,nEVAL,"EX")=0),0))))</f>
      </c>
      <c r="H19773">
        <f>IF(DATOS!$G19773&lt;&gt;"EX",0,--(COUNTIFS(nNIA,DATOS!$A19773,nCURSO,DATOS!$D19773,nESPEC,DATOS!$E19773,nASIG,DATOS!$I19773,nEVAL,"OR")=0))</f>
      </c>
      <c r="I19773">
        <f>IF(DATOS!$I19773="","",IFERROR(VLOOKUP(DATOS!$I19773,CONFIG_ASIGNATURAS!$B$2:$J$91,9,FALSE()),""))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IF(DATOS!$A19774="",0,IF(CONFIG_METADATA!$B$4&lt;&gt;"OR+EX",--(DATOS!$G19774=CONFIG_METADATA!$B$4),IF(DATOS!$G19774="EX",1,IF(DATOS!$G19774="OR",--(COUNTIFS(nNIA,DATOS!$A19774,nCURSO,DATOS!$D19774,nESPEC,DATOS!$E19774,nASIG,DATOS!$I19774,nEVAL,"EX")=0),0))))</f>
      </c>
      <c r="H19774">
        <f>IF(DATOS!$G19774&lt;&gt;"EX",0,--(COUNTIFS(nNIA,DATOS!$A19774,nCURSO,DATOS!$D19774,nESPEC,DATOS!$E19774,nASIG,DATOS!$I19774,nEVAL,"OR")=0))</f>
      </c>
      <c r="I19774">
        <f>IF(DATOS!$I19774="","",IFERROR(VLOOKUP(DATOS!$I19774,CONFIG_ASIGNATURAS!$B$2:$J$91,9,FALSE()),""))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IF(DATOS!$A19775="",0,IF(CONFIG_METADATA!$B$4&lt;&gt;"OR+EX",--(DATOS!$G19775=CONFIG_METADATA!$B$4),IF(DATOS!$G19775="EX",1,IF(DATOS!$G19775="OR",--(COUNTIFS(nNIA,DATOS!$A19775,nCURSO,DATOS!$D19775,nESPEC,DATOS!$E19775,nASIG,DATOS!$I19775,nEVAL,"EX")=0),0))))</f>
      </c>
      <c r="H19775">
        <f>IF(DATOS!$G19775&lt;&gt;"EX",0,--(COUNTIFS(nNIA,DATOS!$A19775,nCURSO,DATOS!$D19775,nESPEC,DATOS!$E19775,nASIG,DATOS!$I19775,nEVAL,"OR")=0))</f>
      </c>
      <c r="I19775">
        <f>IF(DATOS!$I19775="","",IFERROR(VLOOKUP(DATOS!$I19775,CONFIG_ASIGNATURAS!$B$2:$J$91,9,FALSE()),""))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IF(DATOS!$A19776="",0,IF(CONFIG_METADATA!$B$4&lt;&gt;"OR+EX",--(DATOS!$G19776=CONFIG_METADATA!$B$4),IF(DATOS!$G19776="EX",1,IF(DATOS!$G19776="OR",--(COUNTIFS(nNIA,DATOS!$A19776,nCURSO,DATOS!$D19776,nESPEC,DATOS!$E19776,nASIG,DATOS!$I19776,nEVAL,"EX")=0),0))))</f>
      </c>
      <c r="H19776">
        <f>IF(DATOS!$G19776&lt;&gt;"EX",0,--(COUNTIFS(nNIA,DATOS!$A19776,nCURSO,DATOS!$D19776,nESPEC,DATOS!$E19776,nASIG,DATOS!$I19776,nEVAL,"OR")=0))</f>
      </c>
      <c r="I19776">
        <f>IF(DATOS!$I19776="","",IFERROR(VLOOKUP(DATOS!$I19776,CONFIG_ASIGNATURAS!$B$2:$J$91,9,FALSE()),""))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IF(DATOS!$A19777="",0,IF(CONFIG_METADATA!$B$4&lt;&gt;"OR+EX",--(DATOS!$G19777=CONFIG_METADATA!$B$4),IF(DATOS!$G19777="EX",1,IF(DATOS!$G19777="OR",--(COUNTIFS(nNIA,DATOS!$A19777,nCURSO,DATOS!$D19777,nESPEC,DATOS!$E19777,nASIG,DATOS!$I19777,nEVAL,"EX")=0),0))))</f>
      </c>
      <c r="H19777">
        <f>IF(DATOS!$G19777&lt;&gt;"EX",0,--(COUNTIFS(nNIA,DATOS!$A19777,nCURSO,DATOS!$D19777,nESPEC,DATOS!$E19777,nASIG,DATOS!$I19777,nEVAL,"OR")=0))</f>
      </c>
      <c r="I19777">
        <f>IF(DATOS!$I19777="","",IFERROR(VLOOKUP(DATOS!$I19777,CONFIG_ASIGNATURAS!$B$2:$J$91,9,FALSE()),""))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IF(DATOS!$A19778="",0,IF(CONFIG_METADATA!$B$4&lt;&gt;"OR+EX",--(DATOS!$G19778=CONFIG_METADATA!$B$4),IF(DATOS!$G19778="EX",1,IF(DATOS!$G19778="OR",--(COUNTIFS(nNIA,DATOS!$A19778,nCURSO,DATOS!$D19778,nESPEC,DATOS!$E19778,nASIG,DATOS!$I19778,nEVAL,"EX")=0),0))))</f>
      </c>
      <c r="H19778">
        <f>IF(DATOS!$G19778&lt;&gt;"EX",0,--(COUNTIFS(nNIA,DATOS!$A19778,nCURSO,DATOS!$D19778,nESPEC,DATOS!$E19778,nASIG,DATOS!$I19778,nEVAL,"OR")=0))</f>
      </c>
      <c r="I19778">
        <f>IF(DATOS!$I19778="","",IFERROR(VLOOKUP(DATOS!$I19778,CONFIG_ASIGNATURAS!$B$2:$J$91,9,FALSE()),""))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IF(DATOS!$A19779="",0,IF(CONFIG_METADATA!$B$4&lt;&gt;"OR+EX",--(DATOS!$G19779=CONFIG_METADATA!$B$4),IF(DATOS!$G19779="EX",1,IF(DATOS!$G19779="OR",--(COUNTIFS(nNIA,DATOS!$A19779,nCURSO,DATOS!$D19779,nESPEC,DATOS!$E19779,nASIG,DATOS!$I19779,nEVAL,"EX")=0),0))))</f>
      </c>
      <c r="H19779">
        <f>IF(DATOS!$G19779&lt;&gt;"EX",0,--(COUNTIFS(nNIA,DATOS!$A19779,nCURSO,DATOS!$D19779,nESPEC,DATOS!$E19779,nASIG,DATOS!$I19779,nEVAL,"OR")=0))</f>
      </c>
      <c r="I19779">
        <f>IF(DATOS!$I19779="","",IFERROR(VLOOKUP(DATOS!$I19779,CONFIG_ASIGNATURAS!$B$2:$J$91,9,FALSE()),""))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IF(DATOS!$A19780="",0,IF(CONFIG_METADATA!$B$4&lt;&gt;"OR+EX",--(DATOS!$G19780=CONFIG_METADATA!$B$4),IF(DATOS!$G19780="EX",1,IF(DATOS!$G19780="OR",--(COUNTIFS(nNIA,DATOS!$A19780,nCURSO,DATOS!$D19780,nESPEC,DATOS!$E19780,nASIG,DATOS!$I19780,nEVAL,"EX")=0),0))))</f>
      </c>
      <c r="H19780">
        <f>IF(DATOS!$G19780&lt;&gt;"EX",0,--(COUNTIFS(nNIA,DATOS!$A19780,nCURSO,DATOS!$D19780,nESPEC,DATOS!$E19780,nASIG,DATOS!$I19780,nEVAL,"OR")=0))</f>
      </c>
      <c r="I19780">
        <f>IF(DATOS!$I19780="","",IFERROR(VLOOKUP(DATOS!$I19780,CONFIG_ASIGNATURAS!$B$2:$J$91,9,FALSE()),""))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IF(DATOS!$A19781="",0,IF(CONFIG_METADATA!$B$4&lt;&gt;"OR+EX",--(DATOS!$G19781=CONFIG_METADATA!$B$4),IF(DATOS!$G19781="EX",1,IF(DATOS!$G19781="OR",--(COUNTIFS(nNIA,DATOS!$A19781,nCURSO,DATOS!$D19781,nESPEC,DATOS!$E19781,nASIG,DATOS!$I19781,nEVAL,"EX")=0),0))))</f>
      </c>
      <c r="H19781">
        <f>IF(DATOS!$G19781&lt;&gt;"EX",0,--(COUNTIFS(nNIA,DATOS!$A19781,nCURSO,DATOS!$D19781,nESPEC,DATOS!$E19781,nASIG,DATOS!$I19781,nEVAL,"OR")=0))</f>
      </c>
      <c r="I19781">
        <f>IF(DATOS!$I19781="","",IFERROR(VLOOKUP(DATOS!$I19781,CONFIG_ASIGNATURAS!$B$2:$J$91,9,FALSE()),""))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IF(DATOS!$A19782="",0,IF(CONFIG_METADATA!$B$4&lt;&gt;"OR+EX",--(DATOS!$G19782=CONFIG_METADATA!$B$4),IF(DATOS!$G19782="EX",1,IF(DATOS!$G19782="OR",--(COUNTIFS(nNIA,DATOS!$A19782,nCURSO,DATOS!$D19782,nESPEC,DATOS!$E19782,nASIG,DATOS!$I19782,nEVAL,"EX")=0),0))))</f>
      </c>
      <c r="H19782">
        <f>IF(DATOS!$G19782&lt;&gt;"EX",0,--(COUNTIFS(nNIA,DATOS!$A19782,nCURSO,DATOS!$D19782,nESPEC,DATOS!$E19782,nASIG,DATOS!$I19782,nEVAL,"OR")=0))</f>
      </c>
      <c r="I19782">
        <f>IF(DATOS!$I19782="","",IFERROR(VLOOKUP(DATOS!$I19782,CONFIG_ASIGNATURAS!$B$2:$J$91,9,FALSE()),""))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IF(DATOS!$A19783="",0,IF(CONFIG_METADATA!$B$4&lt;&gt;"OR+EX",--(DATOS!$G19783=CONFIG_METADATA!$B$4),IF(DATOS!$G19783="EX",1,IF(DATOS!$G19783="OR",--(COUNTIFS(nNIA,DATOS!$A19783,nCURSO,DATOS!$D19783,nESPEC,DATOS!$E19783,nASIG,DATOS!$I19783,nEVAL,"EX")=0),0))))</f>
      </c>
      <c r="H19783">
        <f>IF(DATOS!$G19783&lt;&gt;"EX",0,--(COUNTIFS(nNIA,DATOS!$A19783,nCURSO,DATOS!$D19783,nESPEC,DATOS!$E19783,nASIG,DATOS!$I19783,nEVAL,"OR")=0))</f>
      </c>
      <c r="I19783">
        <f>IF(DATOS!$I19783="","",IFERROR(VLOOKUP(DATOS!$I19783,CONFIG_ASIGNATURAS!$B$2:$J$91,9,FALSE()),""))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IF(DATOS!$A19784="",0,IF(CONFIG_METADATA!$B$4&lt;&gt;"OR+EX",--(DATOS!$G19784=CONFIG_METADATA!$B$4),IF(DATOS!$G19784="EX",1,IF(DATOS!$G19784="OR",--(COUNTIFS(nNIA,DATOS!$A19784,nCURSO,DATOS!$D19784,nESPEC,DATOS!$E19784,nASIG,DATOS!$I19784,nEVAL,"EX")=0),0))))</f>
      </c>
      <c r="H19784">
        <f>IF(DATOS!$G19784&lt;&gt;"EX",0,--(COUNTIFS(nNIA,DATOS!$A19784,nCURSO,DATOS!$D19784,nESPEC,DATOS!$E19784,nASIG,DATOS!$I19784,nEVAL,"OR")=0))</f>
      </c>
      <c r="I19784">
        <f>IF(DATOS!$I19784="","",IFERROR(VLOOKUP(DATOS!$I19784,CONFIG_ASIGNATURAS!$B$2:$J$91,9,FALSE()),""))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IF(DATOS!$A19785="",0,IF(CONFIG_METADATA!$B$4&lt;&gt;"OR+EX",--(DATOS!$G19785=CONFIG_METADATA!$B$4),IF(DATOS!$G19785="EX",1,IF(DATOS!$G19785="OR",--(COUNTIFS(nNIA,DATOS!$A19785,nCURSO,DATOS!$D19785,nESPEC,DATOS!$E19785,nASIG,DATOS!$I19785,nEVAL,"EX")=0),0))))</f>
      </c>
      <c r="H19785">
        <f>IF(DATOS!$G19785&lt;&gt;"EX",0,--(COUNTIFS(nNIA,DATOS!$A19785,nCURSO,DATOS!$D19785,nESPEC,DATOS!$E19785,nASIG,DATOS!$I19785,nEVAL,"OR")=0))</f>
      </c>
      <c r="I19785">
        <f>IF(DATOS!$I19785="","",IFERROR(VLOOKUP(DATOS!$I19785,CONFIG_ASIGNATURAS!$B$2:$J$91,9,FALSE()),""))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IF(DATOS!$A19786="",0,IF(CONFIG_METADATA!$B$4&lt;&gt;"OR+EX",--(DATOS!$G19786=CONFIG_METADATA!$B$4),IF(DATOS!$G19786="EX",1,IF(DATOS!$G19786="OR",--(COUNTIFS(nNIA,DATOS!$A19786,nCURSO,DATOS!$D19786,nESPEC,DATOS!$E19786,nASIG,DATOS!$I19786,nEVAL,"EX")=0),0))))</f>
      </c>
      <c r="H19786">
        <f>IF(DATOS!$G19786&lt;&gt;"EX",0,--(COUNTIFS(nNIA,DATOS!$A19786,nCURSO,DATOS!$D19786,nESPEC,DATOS!$E19786,nASIG,DATOS!$I19786,nEVAL,"OR")=0))</f>
      </c>
      <c r="I19786">
        <f>IF(DATOS!$I19786="","",IFERROR(VLOOKUP(DATOS!$I19786,CONFIG_ASIGNATURAS!$B$2:$J$91,9,FALSE()),""))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IF(DATOS!$A19787="",0,IF(CONFIG_METADATA!$B$4&lt;&gt;"OR+EX",--(DATOS!$G19787=CONFIG_METADATA!$B$4),IF(DATOS!$G19787="EX",1,IF(DATOS!$G19787="OR",--(COUNTIFS(nNIA,DATOS!$A19787,nCURSO,DATOS!$D19787,nESPEC,DATOS!$E19787,nASIG,DATOS!$I19787,nEVAL,"EX")=0),0))))</f>
      </c>
      <c r="H19787">
        <f>IF(DATOS!$G19787&lt;&gt;"EX",0,--(COUNTIFS(nNIA,DATOS!$A19787,nCURSO,DATOS!$D19787,nESPEC,DATOS!$E19787,nASIG,DATOS!$I19787,nEVAL,"OR")=0))</f>
      </c>
      <c r="I19787">
        <f>IF(DATOS!$I19787="","",IFERROR(VLOOKUP(DATOS!$I19787,CONFIG_ASIGNATURAS!$B$2:$J$91,9,FALSE()),""))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IF(DATOS!$A19788="",0,IF(CONFIG_METADATA!$B$4&lt;&gt;"OR+EX",--(DATOS!$G19788=CONFIG_METADATA!$B$4),IF(DATOS!$G19788="EX",1,IF(DATOS!$G19788="OR",--(COUNTIFS(nNIA,DATOS!$A19788,nCURSO,DATOS!$D19788,nESPEC,DATOS!$E19788,nASIG,DATOS!$I19788,nEVAL,"EX")=0),0))))</f>
      </c>
      <c r="H19788">
        <f>IF(DATOS!$G19788&lt;&gt;"EX",0,--(COUNTIFS(nNIA,DATOS!$A19788,nCURSO,DATOS!$D19788,nESPEC,DATOS!$E19788,nASIG,DATOS!$I19788,nEVAL,"OR")=0))</f>
      </c>
      <c r="I19788">
        <f>IF(DATOS!$I19788="","",IFERROR(VLOOKUP(DATOS!$I19788,CONFIG_ASIGNATURAS!$B$2:$J$91,9,FALSE()),""))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IF(DATOS!$A19789="",0,IF(CONFIG_METADATA!$B$4&lt;&gt;"OR+EX",--(DATOS!$G19789=CONFIG_METADATA!$B$4),IF(DATOS!$G19789="EX",1,IF(DATOS!$G19789="OR",--(COUNTIFS(nNIA,DATOS!$A19789,nCURSO,DATOS!$D19789,nESPEC,DATOS!$E19789,nASIG,DATOS!$I19789,nEVAL,"EX")=0),0))))</f>
      </c>
      <c r="H19789">
        <f>IF(DATOS!$G19789&lt;&gt;"EX",0,--(COUNTIFS(nNIA,DATOS!$A19789,nCURSO,DATOS!$D19789,nESPEC,DATOS!$E19789,nASIG,DATOS!$I19789,nEVAL,"OR")=0))</f>
      </c>
      <c r="I19789">
        <f>IF(DATOS!$I19789="","",IFERROR(VLOOKUP(DATOS!$I19789,CONFIG_ASIGNATURAS!$B$2:$J$91,9,FALSE()),""))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IF(DATOS!$A19790="",0,IF(CONFIG_METADATA!$B$4&lt;&gt;"OR+EX",--(DATOS!$G19790=CONFIG_METADATA!$B$4),IF(DATOS!$G19790="EX",1,IF(DATOS!$G19790="OR",--(COUNTIFS(nNIA,DATOS!$A19790,nCURSO,DATOS!$D19790,nESPEC,DATOS!$E19790,nASIG,DATOS!$I19790,nEVAL,"EX")=0),0))))</f>
      </c>
      <c r="H19790">
        <f>IF(DATOS!$G19790&lt;&gt;"EX",0,--(COUNTIFS(nNIA,DATOS!$A19790,nCURSO,DATOS!$D19790,nESPEC,DATOS!$E19790,nASIG,DATOS!$I19790,nEVAL,"OR")=0))</f>
      </c>
      <c r="I19790">
        <f>IF(DATOS!$I19790="","",IFERROR(VLOOKUP(DATOS!$I19790,CONFIG_ASIGNATURAS!$B$2:$J$91,9,FALSE()),""))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IF(DATOS!$A19791="",0,IF(CONFIG_METADATA!$B$4&lt;&gt;"OR+EX",--(DATOS!$G19791=CONFIG_METADATA!$B$4),IF(DATOS!$G19791="EX",1,IF(DATOS!$G19791="OR",--(COUNTIFS(nNIA,DATOS!$A19791,nCURSO,DATOS!$D19791,nESPEC,DATOS!$E19791,nASIG,DATOS!$I19791,nEVAL,"EX")=0),0))))</f>
      </c>
      <c r="H19791">
        <f>IF(DATOS!$G19791&lt;&gt;"EX",0,--(COUNTIFS(nNIA,DATOS!$A19791,nCURSO,DATOS!$D19791,nESPEC,DATOS!$E19791,nASIG,DATOS!$I19791,nEVAL,"OR")=0))</f>
      </c>
      <c r="I19791">
        <f>IF(DATOS!$I19791="","",IFERROR(VLOOKUP(DATOS!$I19791,CONFIG_ASIGNATURAS!$B$2:$J$91,9,FALSE()),""))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IF(DATOS!$A19792="",0,IF(CONFIG_METADATA!$B$4&lt;&gt;"OR+EX",--(DATOS!$G19792=CONFIG_METADATA!$B$4),IF(DATOS!$G19792="EX",1,IF(DATOS!$G19792="OR",--(COUNTIFS(nNIA,DATOS!$A19792,nCURSO,DATOS!$D19792,nESPEC,DATOS!$E19792,nASIG,DATOS!$I19792,nEVAL,"EX")=0),0))))</f>
      </c>
      <c r="H19792">
        <f>IF(DATOS!$G19792&lt;&gt;"EX",0,--(COUNTIFS(nNIA,DATOS!$A19792,nCURSO,DATOS!$D19792,nESPEC,DATOS!$E19792,nASIG,DATOS!$I19792,nEVAL,"OR")=0))</f>
      </c>
      <c r="I19792">
        <f>IF(DATOS!$I19792="","",IFERROR(VLOOKUP(DATOS!$I19792,CONFIG_ASIGNATURAS!$B$2:$J$91,9,FALSE()),""))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IF(DATOS!$A19793="",0,IF(CONFIG_METADATA!$B$4&lt;&gt;"OR+EX",--(DATOS!$G19793=CONFIG_METADATA!$B$4),IF(DATOS!$G19793="EX",1,IF(DATOS!$G19793="OR",--(COUNTIFS(nNIA,DATOS!$A19793,nCURSO,DATOS!$D19793,nESPEC,DATOS!$E19793,nASIG,DATOS!$I19793,nEVAL,"EX")=0),0))))</f>
      </c>
      <c r="H19793">
        <f>IF(DATOS!$G19793&lt;&gt;"EX",0,--(COUNTIFS(nNIA,DATOS!$A19793,nCURSO,DATOS!$D19793,nESPEC,DATOS!$E19793,nASIG,DATOS!$I19793,nEVAL,"OR")=0))</f>
      </c>
      <c r="I19793">
        <f>IF(DATOS!$I19793="","",IFERROR(VLOOKUP(DATOS!$I19793,CONFIG_ASIGNATURAS!$B$2:$J$91,9,FALSE()),""))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IF(DATOS!$A19794="",0,IF(CONFIG_METADATA!$B$4&lt;&gt;"OR+EX",--(DATOS!$G19794=CONFIG_METADATA!$B$4),IF(DATOS!$G19794="EX",1,IF(DATOS!$G19794="OR",--(COUNTIFS(nNIA,DATOS!$A19794,nCURSO,DATOS!$D19794,nESPEC,DATOS!$E19794,nASIG,DATOS!$I19794,nEVAL,"EX")=0),0))))</f>
      </c>
      <c r="H19794">
        <f>IF(DATOS!$G19794&lt;&gt;"EX",0,--(COUNTIFS(nNIA,DATOS!$A19794,nCURSO,DATOS!$D19794,nESPEC,DATOS!$E19794,nASIG,DATOS!$I19794,nEVAL,"OR")=0))</f>
      </c>
      <c r="I19794">
        <f>IF(DATOS!$I19794="","",IFERROR(VLOOKUP(DATOS!$I19794,CONFIG_ASIGNATURAS!$B$2:$J$91,9,FALSE()),""))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IF(DATOS!$A19795="",0,IF(CONFIG_METADATA!$B$4&lt;&gt;"OR+EX",--(DATOS!$G19795=CONFIG_METADATA!$B$4),IF(DATOS!$G19795="EX",1,IF(DATOS!$G19795="OR",--(COUNTIFS(nNIA,DATOS!$A19795,nCURSO,DATOS!$D19795,nESPEC,DATOS!$E19795,nASIG,DATOS!$I19795,nEVAL,"EX")=0),0))))</f>
      </c>
      <c r="H19795">
        <f>IF(DATOS!$G19795&lt;&gt;"EX",0,--(COUNTIFS(nNIA,DATOS!$A19795,nCURSO,DATOS!$D19795,nESPEC,DATOS!$E19795,nASIG,DATOS!$I19795,nEVAL,"OR")=0))</f>
      </c>
      <c r="I19795">
        <f>IF(DATOS!$I19795="","",IFERROR(VLOOKUP(DATOS!$I19795,CONFIG_ASIGNATURAS!$B$2:$J$91,9,FALSE()),""))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IF(DATOS!$A19796="",0,IF(CONFIG_METADATA!$B$4&lt;&gt;"OR+EX",--(DATOS!$G19796=CONFIG_METADATA!$B$4),IF(DATOS!$G19796="EX",1,IF(DATOS!$G19796="OR",--(COUNTIFS(nNIA,DATOS!$A19796,nCURSO,DATOS!$D19796,nESPEC,DATOS!$E19796,nASIG,DATOS!$I19796,nEVAL,"EX")=0),0))))</f>
      </c>
      <c r="H19796">
        <f>IF(DATOS!$G19796&lt;&gt;"EX",0,--(COUNTIFS(nNIA,DATOS!$A19796,nCURSO,DATOS!$D19796,nESPEC,DATOS!$E19796,nASIG,DATOS!$I19796,nEVAL,"OR")=0))</f>
      </c>
      <c r="I19796">
        <f>IF(DATOS!$I19796="","",IFERROR(VLOOKUP(DATOS!$I19796,CONFIG_ASIGNATURAS!$B$2:$J$91,9,FALSE()),""))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IF(DATOS!$A19797="",0,IF(CONFIG_METADATA!$B$4&lt;&gt;"OR+EX",--(DATOS!$G19797=CONFIG_METADATA!$B$4),IF(DATOS!$G19797="EX",1,IF(DATOS!$G19797="OR",--(COUNTIFS(nNIA,DATOS!$A19797,nCURSO,DATOS!$D19797,nESPEC,DATOS!$E19797,nASIG,DATOS!$I19797,nEVAL,"EX")=0),0))))</f>
      </c>
      <c r="H19797">
        <f>IF(DATOS!$G19797&lt;&gt;"EX",0,--(COUNTIFS(nNIA,DATOS!$A19797,nCURSO,DATOS!$D19797,nESPEC,DATOS!$E19797,nASIG,DATOS!$I19797,nEVAL,"OR")=0))</f>
      </c>
      <c r="I19797">
        <f>IF(DATOS!$I19797="","",IFERROR(VLOOKUP(DATOS!$I19797,CONFIG_ASIGNATURAS!$B$2:$J$91,9,FALSE()),""))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IF(DATOS!$A19798="",0,IF(CONFIG_METADATA!$B$4&lt;&gt;"OR+EX",--(DATOS!$G19798=CONFIG_METADATA!$B$4),IF(DATOS!$G19798="EX",1,IF(DATOS!$G19798="OR",--(COUNTIFS(nNIA,DATOS!$A19798,nCURSO,DATOS!$D19798,nESPEC,DATOS!$E19798,nASIG,DATOS!$I19798,nEVAL,"EX")=0),0))))</f>
      </c>
      <c r="H19798">
        <f>IF(DATOS!$G19798&lt;&gt;"EX",0,--(COUNTIFS(nNIA,DATOS!$A19798,nCURSO,DATOS!$D19798,nESPEC,DATOS!$E19798,nASIG,DATOS!$I19798,nEVAL,"OR")=0))</f>
      </c>
      <c r="I19798">
        <f>IF(DATOS!$I19798="","",IFERROR(VLOOKUP(DATOS!$I19798,CONFIG_ASIGNATURAS!$B$2:$J$91,9,FALSE()),""))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IF(DATOS!$A19799="",0,IF(CONFIG_METADATA!$B$4&lt;&gt;"OR+EX",--(DATOS!$G19799=CONFIG_METADATA!$B$4),IF(DATOS!$G19799="EX",1,IF(DATOS!$G19799="OR",--(COUNTIFS(nNIA,DATOS!$A19799,nCURSO,DATOS!$D19799,nESPEC,DATOS!$E19799,nASIG,DATOS!$I19799,nEVAL,"EX")=0),0))))</f>
      </c>
      <c r="H19799">
        <f>IF(DATOS!$G19799&lt;&gt;"EX",0,--(COUNTIFS(nNIA,DATOS!$A19799,nCURSO,DATOS!$D19799,nESPEC,DATOS!$E19799,nASIG,DATOS!$I19799,nEVAL,"OR")=0))</f>
      </c>
      <c r="I19799">
        <f>IF(DATOS!$I19799="","",IFERROR(VLOOKUP(DATOS!$I19799,CONFIG_ASIGNATURAS!$B$2:$J$91,9,FALSE()),""))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IF(DATOS!$A19800="",0,IF(CONFIG_METADATA!$B$4&lt;&gt;"OR+EX",--(DATOS!$G19800=CONFIG_METADATA!$B$4),IF(DATOS!$G19800="EX",1,IF(DATOS!$G19800="OR",--(COUNTIFS(nNIA,DATOS!$A19800,nCURSO,DATOS!$D19800,nESPEC,DATOS!$E19800,nASIG,DATOS!$I19800,nEVAL,"EX")=0),0))))</f>
      </c>
      <c r="H19800">
        <f>IF(DATOS!$G19800&lt;&gt;"EX",0,--(COUNTIFS(nNIA,DATOS!$A19800,nCURSO,DATOS!$D19800,nESPEC,DATOS!$E19800,nASIG,DATOS!$I19800,nEVAL,"OR")=0))</f>
      </c>
      <c r="I19800">
        <f>IF(DATOS!$I19800="","",IFERROR(VLOOKUP(DATOS!$I19800,CONFIG_ASIGNATURAS!$B$2:$J$91,9,FALSE()),""))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IF(DATOS!$A19801="",0,IF(CONFIG_METADATA!$B$4&lt;&gt;"OR+EX",--(DATOS!$G19801=CONFIG_METADATA!$B$4),IF(DATOS!$G19801="EX",1,IF(DATOS!$G19801="OR",--(COUNTIFS(nNIA,DATOS!$A19801,nCURSO,DATOS!$D19801,nESPEC,DATOS!$E19801,nASIG,DATOS!$I19801,nEVAL,"EX")=0),0))))</f>
      </c>
      <c r="H19801">
        <f>IF(DATOS!$G19801&lt;&gt;"EX",0,--(COUNTIFS(nNIA,DATOS!$A19801,nCURSO,DATOS!$D19801,nESPEC,DATOS!$E19801,nASIG,DATOS!$I19801,nEVAL,"OR")=0))</f>
      </c>
      <c r="I19801">
        <f>IF(DATOS!$I19801="","",IFERROR(VLOOKUP(DATOS!$I19801,CONFIG_ASIGNATURAS!$B$2:$J$91,9,FALSE()),""))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IF(DATOS!$A19802="",0,IF(CONFIG_METADATA!$B$4&lt;&gt;"OR+EX",--(DATOS!$G19802=CONFIG_METADATA!$B$4),IF(DATOS!$G19802="EX",1,IF(DATOS!$G19802="OR",--(COUNTIFS(nNIA,DATOS!$A19802,nCURSO,DATOS!$D19802,nESPEC,DATOS!$E19802,nASIG,DATOS!$I19802,nEVAL,"EX")=0),0))))</f>
      </c>
      <c r="H19802">
        <f>IF(DATOS!$G19802&lt;&gt;"EX",0,--(COUNTIFS(nNIA,DATOS!$A19802,nCURSO,DATOS!$D19802,nESPEC,DATOS!$E19802,nASIG,DATOS!$I19802,nEVAL,"OR")=0))</f>
      </c>
      <c r="I19802">
        <f>IF(DATOS!$I19802="","",IFERROR(VLOOKUP(DATOS!$I19802,CONFIG_ASIGNATURAS!$B$2:$J$91,9,FALSE()),""))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IF(DATOS!$A19803="",0,IF(CONFIG_METADATA!$B$4&lt;&gt;"OR+EX",--(DATOS!$G19803=CONFIG_METADATA!$B$4),IF(DATOS!$G19803="EX",1,IF(DATOS!$G19803="OR",--(COUNTIFS(nNIA,DATOS!$A19803,nCURSO,DATOS!$D19803,nESPEC,DATOS!$E19803,nASIG,DATOS!$I19803,nEVAL,"EX")=0),0))))</f>
      </c>
      <c r="H19803">
        <f>IF(DATOS!$G19803&lt;&gt;"EX",0,--(COUNTIFS(nNIA,DATOS!$A19803,nCURSO,DATOS!$D19803,nESPEC,DATOS!$E19803,nASIG,DATOS!$I19803,nEVAL,"OR")=0))</f>
      </c>
      <c r="I19803">
        <f>IF(DATOS!$I19803="","",IFERROR(VLOOKUP(DATOS!$I19803,CONFIG_ASIGNATURAS!$B$2:$J$91,9,FALSE()),""))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IF(DATOS!$A19804="",0,IF(CONFIG_METADATA!$B$4&lt;&gt;"OR+EX",--(DATOS!$G19804=CONFIG_METADATA!$B$4),IF(DATOS!$G19804="EX",1,IF(DATOS!$G19804="OR",--(COUNTIFS(nNIA,DATOS!$A19804,nCURSO,DATOS!$D19804,nESPEC,DATOS!$E19804,nASIG,DATOS!$I19804,nEVAL,"EX")=0),0))))</f>
      </c>
      <c r="H19804">
        <f>IF(DATOS!$G19804&lt;&gt;"EX",0,--(COUNTIFS(nNIA,DATOS!$A19804,nCURSO,DATOS!$D19804,nESPEC,DATOS!$E19804,nASIG,DATOS!$I19804,nEVAL,"OR")=0))</f>
      </c>
      <c r="I19804">
        <f>IF(DATOS!$I19804="","",IFERROR(VLOOKUP(DATOS!$I19804,CONFIG_ASIGNATURAS!$B$2:$J$91,9,FALSE()),""))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IF(DATOS!$A19805="",0,IF(CONFIG_METADATA!$B$4&lt;&gt;"OR+EX",--(DATOS!$G19805=CONFIG_METADATA!$B$4),IF(DATOS!$G19805="EX",1,IF(DATOS!$G19805="OR",--(COUNTIFS(nNIA,DATOS!$A19805,nCURSO,DATOS!$D19805,nESPEC,DATOS!$E19805,nASIG,DATOS!$I19805,nEVAL,"EX")=0),0))))</f>
      </c>
      <c r="H19805">
        <f>IF(DATOS!$G19805&lt;&gt;"EX",0,--(COUNTIFS(nNIA,DATOS!$A19805,nCURSO,DATOS!$D19805,nESPEC,DATOS!$E19805,nASIG,DATOS!$I19805,nEVAL,"OR")=0))</f>
      </c>
      <c r="I19805">
        <f>IF(DATOS!$I19805="","",IFERROR(VLOOKUP(DATOS!$I19805,CONFIG_ASIGNATURAS!$B$2:$J$91,9,FALSE()),""))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IF(DATOS!$A19806="",0,IF(CONFIG_METADATA!$B$4&lt;&gt;"OR+EX",--(DATOS!$G19806=CONFIG_METADATA!$B$4),IF(DATOS!$G19806="EX",1,IF(DATOS!$G19806="OR",--(COUNTIFS(nNIA,DATOS!$A19806,nCURSO,DATOS!$D19806,nESPEC,DATOS!$E19806,nASIG,DATOS!$I19806,nEVAL,"EX")=0),0))))</f>
      </c>
      <c r="H19806">
        <f>IF(DATOS!$G19806&lt;&gt;"EX",0,--(COUNTIFS(nNIA,DATOS!$A19806,nCURSO,DATOS!$D19806,nESPEC,DATOS!$E19806,nASIG,DATOS!$I19806,nEVAL,"OR")=0))</f>
      </c>
      <c r="I19806">
        <f>IF(DATOS!$I19806="","",IFERROR(VLOOKUP(DATOS!$I19806,CONFIG_ASIGNATURAS!$B$2:$J$91,9,FALSE()),""))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IF(DATOS!$A19807="",0,IF(CONFIG_METADATA!$B$4&lt;&gt;"OR+EX",--(DATOS!$G19807=CONFIG_METADATA!$B$4),IF(DATOS!$G19807="EX",1,IF(DATOS!$G19807="OR",--(COUNTIFS(nNIA,DATOS!$A19807,nCURSO,DATOS!$D19807,nESPEC,DATOS!$E19807,nASIG,DATOS!$I19807,nEVAL,"EX")=0),0))))</f>
      </c>
      <c r="H19807">
        <f>IF(DATOS!$G19807&lt;&gt;"EX",0,--(COUNTIFS(nNIA,DATOS!$A19807,nCURSO,DATOS!$D19807,nESPEC,DATOS!$E19807,nASIG,DATOS!$I19807,nEVAL,"OR")=0))</f>
      </c>
      <c r="I19807">
        <f>IF(DATOS!$I19807="","",IFERROR(VLOOKUP(DATOS!$I19807,CONFIG_ASIGNATURAS!$B$2:$J$91,9,FALSE()),""))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IF(DATOS!$A19808="",0,IF(CONFIG_METADATA!$B$4&lt;&gt;"OR+EX",--(DATOS!$G19808=CONFIG_METADATA!$B$4),IF(DATOS!$G19808="EX",1,IF(DATOS!$G19808="OR",--(COUNTIFS(nNIA,DATOS!$A19808,nCURSO,DATOS!$D19808,nESPEC,DATOS!$E19808,nASIG,DATOS!$I19808,nEVAL,"EX")=0),0))))</f>
      </c>
      <c r="H19808">
        <f>IF(DATOS!$G19808&lt;&gt;"EX",0,--(COUNTIFS(nNIA,DATOS!$A19808,nCURSO,DATOS!$D19808,nESPEC,DATOS!$E19808,nASIG,DATOS!$I19808,nEVAL,"OR")=0))</f>
      </c>
      <c r="I19808">
        <f>IF(DATOS!$I19808="","",IFERROR(VLOOKUP(DATOS!$I19808,CONFIG_ASIGNATURAS!$B$2:$J$91,9,FALSE()),""))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IF(DATOS!$A19809="",0,IF(CONFIG_METADATA!$B$4&lt;&gt;"OR+EX",--(DATOS!$G19809=CONFIG_METADATA!$B$4),IF(DATOS!$G19809="EX",1,IF(DATOS!$G19809="OR",--(COUNTIFS(nNIA,DATOS!$A19809,nCURSO,DATOS!$D19809,nESPEC,DATOS!$E19809,nASIG,DATOS!$I19809,nEVAL,"EX")=0),0))))</f>
      </c>
      <c r="H19809">
        <f>IF(DATOS!$G19809&lt;&gt;"EX",0,--(COUNTIFS(nNIA,DATOS!$A19809,nCURSO,DATOS!$D19809,nESPEC,DATOS!$E19809,nASIG,DATOS!$I19809,nEVAL,"OR")=0))</f>
      </c>
      <c r="I19809">
        <f>IF(DATOS!$I19809="","",IFERROR(VLOOKUP(DATOS!$I19809,CONFIG_ASIGNATURAS!$B$2:$J$91,9,FALSE()),""))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IF(DATOS!$A19810="",0,IF(CONFIG_METADATA!$B$4&lt;&gt;"OR+EX",--(DATOS!$G19810=CONFIG_METADATA!$B$4),IF(DATOS!$G19810="EX",1,IF(DATOS!$G19810="OR",--(COUNTIFS(nNIA,DATOS!$A19810,nCURSO,DATOS!$D19810,nESPEC,DATOS!$E19810,nASIG,DATOS!$I19810,nEVAL,"EX")=0),0))))</f>
      </c>
      <c r="H19810">
        <f>IF(DATOS!$G19810&lt;&gt;"EX",0,--(COUNTIFS(nNIA,DATOS!$A19810,nCURSO,DATOS!$D19810,nESPEC,DATOS!$E19810,nASIG,DATOS!$I19810,nEVAL,"OR")=0))</f>
      </c>
      <c r="I19810">
        <f>IF(DATOS!$I19810="","",IFERROR(VLOOKUP(DATOS!$I19810,CONFIG_ASIGNATURAS!$B$2:$J$91,9,FALSE()),""))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IF(DATOS!$A19811="",0,IF(CONFIG_METADATA!$B$4&lt;&gt;"OR+EX",--(DATOS!$G19811=CONFIG_METADATA!$B$4),IF(DATOS!$G19811="EX",1,IF(DATOS!$G19811="OR",--(COUNTIFS(nNIA,DATOS!$A19811,nCURSO,DATOS!$D19811,nESPEC,DATOS!$E19811,nASIG,DATOS!$I19811,nEVAL,"EX")=0),0))))</f>
      </c>
      <c r="H19811">
        <f>IF(DATOS!$G19811&lt;&gt;"EX",0,--(COUNTIFS(nNIA,DATOS!$A19811,nCURSO,DATOS!$D19811,nESPEC,DATOS!$E19811,nASIG,DATOS!$I19811,nEVAL,"OR")=0))</f>
      </c>
      <c r="I19811">
        <f>IF(DATOS!$I19811="","",IFERROR(VLOOKUP(DATOS!$I19811,CONFIG_ASIGNATURAS!$B$2:$J$91,9,FALSE()),""))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IF(DATOS!$A19812="",0,IF(CONFIG_METADATA!$B$4&lt;&gt;"OR+EX",--(DATOS!$G19812=CONFIG_METADATA!$B$4),IF(DATOS!$G19812="EX",1,IF(DATOS!$G19812="OR",--(COUNTIFS(nNIA,DATOS!$A19812,nCURSO,DATOS!$D19812,nESPEC,DATOS!$E19812,nASIG,DATOS!$I19812,nEVAL,"EX")=0),0))))</f>
      </c>
      <c r="H19812">
        <f>IF(DATOS!$G19812&lt;&gt;"EX",0,--(COUNTIFS(nNIA,DATOS!$A19812,nCURSO,DATOS!$D19812,nESPEC,DATOS!$E19812,nASIG,DATOS!$I19812,nEVAL,"OR")=0))</f>
      </c>
      <c r="I19812">
        <f>IF(DATOS!$I19812="","",IFERROR(VLOOKUP(DATOS!$I19812,CONFIG_ASIGNATURAS!$B$2:$J$91,9,FALSE()),""))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IF(DATOS!$A19813="",0,IF(CONFIG_METADATA!$B$4&lt;&gt;"OR+EX",--(DATOS!$G19813=CONFIG_METADATA!$B$4),IF(DATOS!$G19813="EX",1,IF(DATOS!$G19813="OR",--(COUNTIFS(nNIA,DATOS!$A19813,nCURSO,DATOS!$D19813,nESPEC,DATOS!$E19813,nASIG,DATOS!$I19813,nEVAL,"EX")=0),0))))</f>
      </c>
      <c r="H19813">
        <f>IF(DATOS!$G19813&lt;&gt;"EX",0,--(COUNTIFS(nNIA,DATOS!$A19813,nCURSO,DATOS!$D19813,nESPEC,DATOS!$E19813,nASIG,DATOS!$I19813,nEVAL,"OR")=0))</f>
      </c>
      <c r="I19813">
        <f>IF(DATOS!$I19813="","",IFERROR(VLOOKUP(DATOS!$I19813,CONFIG_ASIGNATURAS!$B$2:$J$91,9,FALSE()),""))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IF(DATOS!$A19814="",0,IF(CONFIG_METADATA!$B$4&lt;&gt;"OR+EX",--(DATOS!$G19814=CONFIG_METADATA!$B$4),IF(DATOS!$G19814="EX",1,IF(DATOS!$G19814="OR",--(COUNTIFS(nNIA,DATOS!$A19814,nCURSO,DATOS!$D19814,nESPEC,DATOS!$E19814,nASIG,DATOS!$I19814,nEVAL,"EX")=0),0))))</f>
      </c>
      <c r="H19814">
        <f>IF(DATOS!$G19814&lt;&gt;"EX",0,--(COUNTIFS(nNIA,DATOS!$A19814,nCURSO,DATOS!$D19814,nESPEC,DATOS!$E19814,nASIG,DATOS!$I19814,nEVAL,"OR")=0))</f>
      </c>
      <c r="I19814">
        <f>IF(DATOS!$I19814="","",IFERROR(VLOOKUP(DATOS!$I19814,CONFIG_ASIGNATURAS!$B$2:$J$91,9,FALSE()),""))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IF(DATOS!$A19815="",0,IF(CONFIG_METADATA!$B$4&lt;&gt;"OR+EX",--(DATOS!$G19815=CONFIG_METADATA!$B$4),IF(DATOS!$G19815="EX",1,IF(DATOS!$G19815="OR",--(COUNTIFS(nNIA,DATOS!$A19815,nCURSO,DATOS!$D19815,nESPEC,DATOS!$E19815,nASIG,DATOS!$I19815,nEVAL,"EX")=0),0))))</f>
      </c>
      <c r="H19815">
        <f>IF(DATOS!$G19815&lt;&gt;"EX",0,--(COUNTIFS(nNIA,DATOS!$A19815,nCURSO,DATOS!$D19815,nESPEC,DATOS!$E19815,nASIG,DATOS!$I19815,nEVAL,"OR")=0))</f>
      </c>
      <c r="I19815">
        <f>IF(DATOS!$I19815="","",IFERROR(VLOOKUP(DATOS!$I19815,CONFIG_ASIGNATURAS!$B$2:$J$91,9,FALSE()),""))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IF(DATOS!$A19816="",0,IF(CONFIG_METADATA!$B$4&lt;&gt;"OR+EX",--(DATOS!$G19816=CONFIG_METADATA!$B$4),IF(DATOS!$G19816="EX",1,IF(DATOS!$G19816="OR",--(COUNTIFS(nNIA,DATOS!$A19816,nCURSO,DATOS!$D19816,nESPEC,DATOS!$E19816,nASIG,DATOS!$I19816,nEVAL,"EX")=0),0))))</f>
      </c>
      <c r="H19816">
        <f>IF(DATOS!$G19816&lt;&gt;"EX",0,--(COUNTIFS(nNIA,DATOS!$A19816,nCURSO,DATOS!$D19816,nESPEC,DATOS!$E19816,nASIG,DATOS!$I19816,nEVAL,"OR")=0))</f>
      </c>
      <c r="I19816">
        <f>IF(DATOS!$I19816="","",IFERROR(VLOOKUP(DATOS!$I19816,CONFIG_ASIGNATURAS!$B$2:$J$91,9,FALSE()),""))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IF(DATOS!$A19817="",0,IF(CONFIG_METADATA!$B$4&lt;&gt;"OR+EX",--(DATOS!$G19817=CONFIG_METADATA!$B$4),IF(DATOS!$G19817="EX",1,IF(DATOS!$G19817="OR",--(COUNTIFS(nNIA,DATOS!$A19817,nCURSO,DATOS!$D19817,nESPEC,DATOS!$E19817,nASIG,DATOS!$I19817,nEVAL,"EX")=0),0))))</f>
      </c>
      <c r="H19817">
        <f>IF(DATOS!$G19817&lt;&gt;"EX",0,--(COUNTIFS(nNIA,DATOS!$A19817,nCURSO,DATOS!$D19817,nESPEC,DATOS!$E19817,nASIG,DATOS!$I19817,nEVAL,"OR")=0))</f>
      </c>
      <c r="I19817">
        <f>IF(DATOS!$I19817="","",IFERROR(VLOOKUP(DATOS!$I19817,CONFIG_ASIGNATURAS!$B$2:$J$91,9,FALSE()),""))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IF(DATOS!$A19818="",0,IF(CONFIG_METADATA!$B$4&lt;&gt;"OR+EX",--(DATOS!$G19818=CONFIG_METADATA!$B$4),IF(DATOS!$G19818="EX",1,IF(DATOS!$G19818="OR",--(COUNTIFS(nNIA,DATOS!$A19818,nCURSO,DATOS!$D19818,nESPEC,DATOS!$E19818,nASIG,DATOS!$I19818,nEVAL,"EX")=0),0))))</f>
      </c>
      <c r="H19818">
        <f>IF(DATOS!$G19818&lt;&gt;"EX",0,--(COUNTIFS(nNIA,DATOS!$A19818,nCURSO,DATOS!$D19818,nESPEC,DATOS!$E19818,nASIG,DATOS!$I19818,nEVAL,"OR")=0))</f>
      </c>
      <c r="I19818">
        <f>IF(DATOS!$I19818="","",IFERROR(VLOOKUP(DATOS!$I19818,CONFIG_ASIGNATURAS!$B$2:$J$91,9,FALSE()),""))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IF(DATOS!$A19819="",0,IF(CONFIG_METADATA!$B$4&lt;&gt;"OR+EX",--(DATOS!$G19819=CONFIG_METADATA!$B$4),IF(DATOS!$G19819="EX",1,IF(DATOS!$G19819="OR",--(COUNTIFS(nNIA,DATOS!$A19819,nCURSO,DATOS!$D19819,nESPEC,DATOS!$E19819,nASIG,DATOS!$I19819,nEVAL,"EX")=0),0))))</f>
      </c>
      <c r="H19819">
        <f>IF(DATOS!$G19819&lt;&gt;"EX",0,--(COUNTIFS(nNIA,DATOS!$A19819,nCURSO,DATOS!$D19819,nESPEC,DATOS!$E19819,nASIG,DATOS!$I19819,nEVAL,"OR")=0))</f>
      </c>
      <c r="I19819">
        <f>IF(DATOS!$I19819="","",IFERROR(VLOOKUP(DATOS!$I19819,CONFIG_ASIGNATURAS!$B$2:$J$91,9,FALSE()),""))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IF(DATOS!$A19820="",0,IF(CONFIG_METADATA!$B$4&lt;&gt;"OR+EX",--(DATOS!$G19820=CONFIG_METADATA!$B$4),IF(DATOS!$G19820="EX",1,IF(DATOS!$G19820="OR",--(COUNTIFS(nNIA,DATOS!$A19820,nCURSO,DATOS!$D19820,nESPEC,DATOS!$E19820,nASIG,DATOS!$I19820,nEVAL,"EX")=0),0))))</f>
      </c>
      <c r="H19820">
        <f>IF(DATOS!$G19820&lt;&gt;"EX",0,--(COUNTIFS(nNIA,DATOS!$A19820,nCURSO,DATOS!$D19820,nESPEC,DATOS!$E19820,nASIG,DATOS!$I19820,nEVAL,"OR")=0))</f>
      </c>
      <c r="I19820">
        <f>IF(DATOS!$I19820="","",IFERROR(VLOOKUP(DATOS!$I19820,CONFIG_ASIGNATURAS!$B$2:$J$91,9,FALSE()),""))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IF(DATOS!$A19821="",0,IF(CONFIG_METADATA!$B$4&lt;&gt;"OR+EX",--(DATOS!$G19821=CONFIG_METADATA!$B$4),IF(DATOS!$G19821="EX",1,IF(DATOS!$G19821="OR",--(COUNTIFS(nNIA,DATOS!$A19821,nCURSO,DATOS!$D19821,nESPEC,DATOS!$E19821,nASIG,DATOS!$I19821,nEVAL,"EX")=0),0))))</f>
      </c>
      <c r="H19821">
        <f>IF(DATOS!$G19821&lt;&gt;"EX",0,--(COUNTIFS(nNIA,DATOS!$A19821,nCURSO,DATOS!$D19821,nESPEC,DATOS!$E19821,nASIG,DATOS!$I19821,nEVAL,"OR")=0))</f>
      </c>
      <c r="I19821">
        <f>IF(DATOS!$I19821="","",IFERROR(VLOOKUP(DATOS!$I19821,CONFIG_ASIGNATURAS!$B$2:$J$91,9,FALSE()),""))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IF(DATOS!$A19822="",0,IF(CONFIG_METADATA!$B$4&lt;&gt;"OR+EX",--(DATOS!$G19822=CONFIG_METADATA!$B$4),IF(DATOS!$G19822="EX",1,IF(DATOS!$G19822="OR",--(COUNTIFS(nNIA,DATOS!$A19822,nCURSO,DATOS!$D19822,nESPEC,DATOS!$E19822,nASIG,DATOS!$I19822,nEVAL,"EX")=0),0))))</f>
      </c>
      <c r="H19822">
        <f>IF(DATOS!$G19822&lt;&gt;"EX",0,--(COUNTIFS(nNIA,DATOS!$A19822,nCURSO,DATOS!$D19822,nESPEC,DATOS!$E19822,nASIG,DATOS!$I19822,nEVAL,"OR")=0))</f>
      </c>
      <c r="I19822">
        <f>IF(DATOS!$I19822="","",IFERROR(VLOOKUP(DATOS!$I19822,CONFIG_ASIGNATURAS!$B$2:$J$91,9,FALSE()),""))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IF(DATOS!$A19823="",0,IF(CONFIG_METADATA!$B$4&lt;&gt;"OR+EX",--(DATOS!$G19823=CONFIG_METADATA!$B$4),IF(DATOS!$G19823="EX",1,IF(DATOS!$G19823="OR",--(COUNTIFS(nNIA,DATOS!$A19823,nCURSO,DATOS!$D19823,nESPEC,DATOS!$E19823,nASIG,DATOS!$I19823,nEVAL,"EX")=0),0))))</f>
      </c>
      <c r="H19823">
        <f>IF(DATOS!$G19823&lt;&gt;"EX",0,--(COUNTIFS(nNIA,DATOS!$A19823,nCURSO,DATOS!$D19823,nESPEC,DATOS!$E19823,nASIG,DATOS!$I19823,nEVAL,"OR")=0))</f>
      </c>
      <c r="I19823">
        <f>IF(DATOS!$I19823="","",IFERROR(VLOOKUP(DATOS!$I19823,CONFIG_ASIGNATURAS!$B$2:$J$91,9,FALSE()),""))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IF(DATOS!$A19824="",0,IF(CONFIG_METADATA!$B$4&lt;&gt;"OR+EX",--(DATOS!$G19824=CONFIG_METADATA!$B$4),IF(DATOS!$G19824="EX",1,IF(DATOS!$G19824="OR",--(COUNTIFS(nNIA,DATOS!$A19824,nCURSO,DATOS!$D19824,nESPEC,DATOS!$E19824,nASIG,DATOS!$I19824,nEVAL,"EX")=0),0))))</f>
      </c>
      <c r="H19824">
        <f>IF(DATOS!$G19824&lt;&gt;"EX",0,--(COUNTIFS(nNIA,DATOS!$A19824,nCURSO,DATOS!$D19824,nESPEC,DATOS!$E19824,nASIG,DATOS!$I19824,nEVAL,"OR")=0))</f>
      </c>
      <c r="I19824">
        <f>IF(DATOS!$I19824="","",IFERROR(VLOOKUP(DATOS!$I19824,CONFIG_ASIGNATURAS!$B$2:$J$91,9,FALSE()),""))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IF(DATOS!$A19825="",0,IF(CONFIG_METADATA!$B$4&lt;&gt;"OR+EX",--(DATOS!$G19825=CONFIG_METADATA!$B$4),IF(DATOS!$G19825="EX",1,IF(DATOS!$G19825="OR",--(COUNTIFS(nNIA,DATOS!$A19825,nCURSO,DATOS!$D19825,nESPEC,DATOS!$E19825,nASIG,DATOS!$I19825,nEVAL,"EX")=0),0))))</f>
      </c>
      <c r="H19825">
        <f>IF(DATOS!$G19825&lt;&gt;"EX",0,--(COUNTIFS(nNIA,DATOS!$A19825,nCURSO,DATOS!$D19825,nESPEC,DATOS!$E19825,nASIG,DATOS!$I19825,nEVAL,"OR")=0))</f>
      </c>
      <c r="I19825">
        <f>IF(DATOS!$I19825="","",IFERROR(VLOOKUP(DATOS!$I19825,CONFIG_ASIGNATURAS!$B$2:$J$91,9,FALSE()),""))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IF(DATOS!$A19826="",0,IF(CONFIG_METADATA!$B$4&lt;&gt;"OR+EX",--(DATOS!$G19826=CONFIG_METADATA!$B$4),IF(DATOS!$G19826="EX",1,IF(DATOS!$G19826="OR",--(COUNTIFS(nNIA,DATOS!$A19826,nCURSO,DATOS!$D19826,nESPEC,DATOS!$E19826,nASIG,DATOS!$I19826,nEVAL,"EX")=0),0))))</f>
      </c>
      <c r="H19826">
        <f>IF(DATOS!$G19826&lt;&gt;"EX",0,--(COUNTIFS(nNIA,DATOS!$A19826,nCURSO,DATOS!$D19826,nESPEC,DATOS!$E19826,nASIG,DATOS!$I19826,nEVAL,"OR")=0))</f>
      </c>
      <c r="I19826">
        <f>IF(DATOS!$I19826="","",IFERROR(VLOOKUP(DATOS!$I19826,CONFIG_ASIGNATURAS!$B$2:$J$91,9,FALSE()),""))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IF(DATOS!$A19827="",0,IF(CONFIG_METADATA!$B$4&lt;&gt;"OR+EX",--(DATOS!$G19827=CONFIG_METADATA!$B$4),IF(DATOS!$G19827="EX",1,IF(DATOS!$G19827="OR",--(COUNTIFS(nNIA,DATOS!$A19827,nCURSO,DATOS!$D19827,nESPEC,DATOS!$E19827,nASIG,DATOS!$I19827,nEVAL,"EX")=0),0))))</f>
      </c>
      <c r="H19827">
        <f>IF(DATOS!$G19827&lt;&gt;"EX",0,--(COUNTIFS(nNIA,DATOS!$A19827,nCURSO,DATOS!$D19827,nESPEC,DATOS!$E19827,nASIG,DATOS!$I19827,nEVAL,"OR")=0))</f>
      </c>
      <c r="I19827">
        <f>IF(DATOS!$I19827="","",IFERROR(VLOOKUP(DATOS!$I19827,CONFIG_ASIGNATURAS!$B$2:$J$91,9,FALSE()),""))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IF(DATOS!$A19828="",0,IF(CONFIG_METADATA!$B$4&lt;&gt;"OR+EX",--(DATOS!$G19828=CONFIG_METADATA!$B$4),IF(DATOS!$G19828="EX",1,IF(DATOS!$G19828="OR",--(COUNTIFS(nNIA,DATOS!$A19828,nCURSO,DATOS!$D19828,nESPEC,DATOS!$E19828,nASIG,DATOS!$I19828,nEVAL,"EX")=0),0))))</f>
      </c>
      <c r="H19828">
        <f>IF(DATOS!$G19828&lt;&gt;"EX",0,--(COUNTIFS(nNIA,DATOS!$A19828,nCURSO,DATOS!$D19828,nESPEC,DATOS!$E19828,nASIG,DATOS!$I19828,nEVAL,"OR")=0))</f>
      </c>
      <c r="I19828">
        <f>IF(DATOS!$I19828="","",IFERROR(VLOOKUP(DATOS!$I19828,CONFIG_ASIGNATURAS!$B$2:$J$91,9,FALSE()),""))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IF(DATOS!$A19829="",0,IF(CONFIG_METADATA!$B$4&lt;&gt;"OR+EX",--(DATOS!$G19829=CONFIG_METADATA!$B$4),IF(DATOS!$G19829="EX",1,IF(DATOS!$G19829="OR",--(COUNTIFS(nNIA,DATOS!$A19829,nCURSO,DATOS!$D19829,nESPEC,DATOS!$E19829,nASIG,DATOS!$I19829,nEVAL,"EX")=0),0))))</f>
      </c>
      <c r="H19829">
        <f>IF(DATOS!$G19829&lt;&gt;"EX",0,--(COUNTIFS(nNIA,DATOS!$A19829,nCURSO,DATOS!$D19829,nESPEC,DATOS!$E19829,nASIG,DATOS!$I19829,nEVAL,"OR")=0))</f>
      </c>
      <c r="I19829">
        <f>IF(DATOS!$I19829="","",IFERROR(VLOOKUP(DATOS!$I19829,CONFIG_ASIGNATURAS!$B$2:$J$91,9,FALSE()),""))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IF(DATOS!$A19830="",0,IF(CONFIG_METADATA!$B$4&lt;&gt;"OR+EX",--(DATOS!$G19830=CONFIG_METADATA!$B$4),IF(DATOS!$G19830="EX",1,IF(DATOS!$G19830="OR",--(COUNTIFS(nNIA,DATOS!$A19830,nCURSO,DATOS!$D19830,nESPEC,DATOS!$E19830,nASIG,DATOS!$I19830,nEVAL,"EX")=0),0))))</f>
      </c>
      <c r="H19830">
        <f>IF(DATOS!$G19830&lt;&gt;"EX",0,--(COUNTIFS(nNIA,DATOS!$A19830,nCURSO,DATOS!$D19830,nESPEC,DATOS!$E19830,nASIG,DATOS!$I19830,nEVAL,"OR")=0))</f>
      </c>
      <c r="I19830">
        <f>IF(DATOS!$I19830="","",IFERROR(VLOOKUP(DATOS!$I19830,CONFIG_ASIGNATURAS!$B$2:$J$91,9,FALSE()),""))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IF(DATOS!$A19831="",0,IF(CONFIG_METADATA!$B$4&lt;&gt;"OR+EX",--(DATOS!$G19831=CONFIG_METADATA!$B$4),IF(DATOS!$G19831="EX",1,IF(DATOS!$G19831="OR",--(COUNTIFS(nNIA,DATOS!$A19831,nCURSO,DATOS!$D19831,nESPEC,DATOS!$E19831,nASIG,DATOS!$I19831,nEVAL,"EX")=0),0))))</f>
      </c>
      <c r="H19831">
        <f>IF(DATOS!$G19831&lt;&gt;"EX",0,--(COUNTIFS(nNIA,DATOS!$A19831,nCURSO,DATOS!$D19831,nESPEC,DATOS!$E19831,nASIG,DATOS!$I19831,nEVAL,"OR")=0))</f>
      </c>
      <c r="I19831">
        <f>IF(DATOS!$I19831="","",IFERROR(VLOOKUP(DATOS!$I19831,CONFIG_ASIGNATURAS!$B$2:$J$91,9,FALSE()),""))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IF(DATOS!$A19832="",0,IF(CONFIG_METADATA!$B$4&lt;&gt;"OR+EX",--(DATOS!$G19832=CONFIG_METADATA!$B$4),IF(DATOS!$G19832="EX",1,IF(DATOS!$G19832="OR",--(COUNTIFS(nNIA,DATOS!$A19832,nCURSO,DATOS!$D19832,nESPEC,DATOS!$E19832,nASIG,DATOS!$I19832,nEVAL,"EX")=0),0))))</f>
      </c>
      <c r="H19832">
        <f>IF(DATOS!$G19832&lt;&gt;"EX",0,--(COUNTIFS(nNIA,DATOS!$A19832,nCURSO,DATOS!$D19832,nESPEC,DATOS!$E19832,nASIG,DATOS!$I19832,nEVAL,"OR")=0))</f>
      </c>
      <c r="I19832">
        <f>IF(DATOS!$I19832="","",IFERROR(VLOOKUP(DATOS!$I19832,CONFIG_ASIGNATURAS!$B$2:$J$91,9,FALSE()),""))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IF(DATOS!$A19833="",0,IF(CONFIG_METADATA!$B$4&lt;&gt;"OR+EX",--(DATOS!$G19833=CONFIG_METADATA!$B$4),IF(DATOS!$G19833="EX",1,IF(DATOS!$G19833="OR",--(COUNTIFS(nNIA,DATOS!$A19833,nCURSO,DATOS!$D19833,nESPEC,DATOS!$E19833,nASIG,DATOS!$I19833,nEVAL,"EX")=0),0))))</f>
      </c>
      <c r="H19833">
        <f>IF(DATOS!$G19833&lt;&gt;"EX",0,--(COUNTIFS(nNIA,DATOS!$A19833,nCURSO,DATOS!$D19833,nESPEC,DATOS!$E19833,nASIG,DATOS!$I19833,nEVAL,"OR")=0))</f>
      </c>
      <c r="I19833">
        <f>IF(DATOS!$I19833="","",IFERROR(VLOOKUP(DATOS!$I19833,CONFIG_ASIGNATURAS!$B$2:$J$91,9,FALSE()),""))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IF(DATOS!$A19834="",0,IF(CONFIG_METADATA!$B$4&lt;&gt;"OR+EX",--(DATOS!$G19834=CONFIG_METADATA!$B$4),IF(DATOS!$G19834="EX",1,IF(DATOS!$G19834="OR",--(COUNTIFS(nNIA,DATOS!$A19834,nCURSO,DATOS!$D19834,nESPEC,DATOS!$E19834,nASIG,DATOS!$I19834,nEVAL,"EX")=0),0))))</f>
      </c>
      <c r="H19834">
        <f>IF(DATOS!$G19834&lt;&gt;"EX",0,--(COUNTIFS(nNIA,DATOS!$A19834,nCURSO,DATOS!$D19834,nESPEC,DATOS!$E19834,nASIG,DATOS!$I19834,nEVAL,"OR")=0))</f>
      </c>
      <c r="I19834">
        <f>IF(DATOS!$I19834="","",IFERROR(VLOOKUP(DATOS!$I19834,CONFIG_ASIGNATURAS!$B$2:$J$91,9,FALSE()),""))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IF(DATOS!$A19835="",0,IF(CONFIG_METADATA!$B$4&lt;&gt;"OR+EX",--(DATOS!$G19835=CONFIG_METADATA!$B$4),IF(DATOS!$G19835="EX",1,IF(DATOS!$G19835="OR",--(COUNTIFS(nNIA,DATOS!$A19835,nCURSO,DATOS!$D19835,nESPEC,DATOS!$E19835,nASIG,DATOS!$I19835,nEVAL,"EX")=0),0))))</f>
      </c>
      <c r="H19835">
        <f>IF(DATOS!$G19835&lt;&gt;"EX",0,--(COUNTIFS(nNIA,DATOS!$A19835,nCURSO,DATOS!$D19835,nESPEC,DATOS!$E19835,nASIG,DATOS!$I19835,nEVAL,"OR")=0))</f>
      </c>
      <c r="I19835">
        <f>IF(DATOS!$I19835="","",IFERROR(VLOOKUP(DATOS!$I19835,CONFIG_ASIGNATURAS!$B$2:$J$91,9,FALSE()),""))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IF(DATOS!$A19836="",0,IF(CONFIG_METADATA!$B$4&lt;&gt;"OR+EX",--(DATOS!$G19836=CONFIG_METADATA!$B$4),IF(DATOS!$G19836="EX",1,IF(DATOS!$G19836="OR",--(COUNTIFS(nNIA,DATOS!$A19836,nCURSO,DATOS!$D19836,nESPEC,DATOS!$E19836,nASIG,DATOS!$I19836,nEVAL,"EX")=0),0))))</f>
      </c>
      <c r="H19836">
        <f>IF(DATOS!$G19836&lt;&gt;"EX",0,--(COUNTIFS(nNIA,DATOS!$A19836,nCURSO,DATOS!$D19836,nESPEC,DATOS!$E19836,nASIG,DATOS!$I19836,nEVAL,"OR")=0))</f>
      </c>
      <c r="I19836">
        <f>IF(DATOS!$I19836="","",IFERROR(VLOOKUP(DATOS!$I19836,CONFIG_ASIGNATURAS!$B$2:$J$91,9,FALSE()),""))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IF(DATOS!$A19837="",0,IF(CONFIG_METADATA!$B$4&lt;&gt;"OR+EX",--(DATOS!$G19837=CONFIG_METADATA!$B$4),IF(DATOS!$G19837="EX",1,IF(DATOS!$G19837="OR",--(COUNTIFS(nNIA,DATOS!$A19837,nCURSO,DATOS!$D19837,nESPEC,DATOS!$E19837,nASIG,DATOS!$I19837,nEVAL,"EX")=0),0))))</f>
      </c>
      <c r="H19837">
        <f>IF(DATOS!$G19837&lt;&gt;"EX",0,--(COUNTIFS(nNIA,DATOS!$A19837,nCURSO,DATOS!$D19837,nESPEC,DATOS!$E19837,nASIG,DATOS!$I19837,nEVAL,"OR")=0))</f>
      </c>
      <c r="I19837">
        <f>IF(DATOS!$I19837="","",IFERROR(VLOOKUP(DATOS!$I19837,CONFIG_ASIGNATURAS!$B$2:$J$91,9,FALSE()),""))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IF(DATOS!$A19838="",0,IF(CONFIG_METADATA!$B$4&lt;&gt;"OR+EX",--(DATOS!$G19838=CONFIG_METADATA!$B$4),IF(DATOS!$G19838="EX",1,IF(DATOS!$G19838="OR",--(COUNTIFS(nNIA,DATOS!$A19838,nCURSO,DATOS!$D19838,nESPEC,DATOS!$E19838,nASIG,DATOS!$I19838,nEVAL,"EX")=0),0))))</f>
      </c>
      <c r="H19838">
        <f>IF(DATOS!$G19838&lt;&gt;"EX",0,--(COUNTIFS(nNIA,DATOS!$A19838,nCURSO,DATOS!$D19838,nESPEC,DATOS!$E19838,nASIG,DATOS!$I19838,nEVAL,"OR")=0))</f>
      </c>
      <c r="I19838">
        <f>IF(DATOS!$I19838="","",IFERROR(VLOOKUP(DATOS!$I19838,CONFIG_ASIGNATURAS!$B$2:$J$91,9,FALSE()),""))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IF(DATOS!$A19839="",0,IF(CONFIG_METADATA!$B$4&lt;&gt;"OR+EX",--(DATOS!$G19839=CONFIG_METADATA!$B$4),IF(DATOS!$G19839="EX",1,IF(DATOS!$G19839="OR",--(COUNTIFS(nNIA,DATOS!$A19839,nCURSO,DATOS!$D19839,nESPEC,DATOS!$E19839,nASIG,DATOS!$I19839,nEVAL,"EX")=0),0))))</f>
      </c>
      <c r="H19839">
        <f>IF(DATOS!$G19839&lt;&gt;"EX",0,--(COUNTIFS(nNIA,DATOS!$A19839,nCURSO,DATOS!$D19839,nESPEC,DATOS!$E19839,nASIG,DATOS!$I19839,nEVAL,"OR")=0))</f>
      </c>
      <c r="I19839">
        <f>IF(DATOS!$I19839="","",IFERROR(VLOOKUP(DATOS!$I19839,CONFIG_ASIGNATURAS!$B$2:$J$91,9,FALSE()),""))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IF(DATOS!$A19840="",0,IF(CONFIG_METADATA!$B$4&lt;&gt;"OR+EX",--(DATOS!$G19840=CONFIG_METADATA!$B$4),IF(DATOS!$G19840="EX",1,IF(DATOS!$G19840="OR",--(COUNTIFS(nNIA,DATOS!$A19840,nCURSO,DATOS!$D19840,nESPEC,DATOS!$E19840,nASIG,DATOS!$I19840,nEVAL,"EX")=0),0))))</f>
      </c>
      <c r="H19840">
        <f>IF(DATOS!$G19840&lt;&gt;"EX",0,--(COUNTIFS(nNIA,DATOS!$A19840,nCURSO,DATOS!$D19840,nESPEC,DATOS!$E19840,nASIG,DATOS!$I19840,nEVAL,"OR")=0))</f>
      </c>
      <c r="I19840">
        <f>IF(DATOS!$I19840="","",IFERROR(VLOOKUP(DATOS!$I19840,CONFIG_ASIGNATURAS!$B$2:$J$91,9,FALSE()),""))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IF(DATOS!$A19841="",0,IF(CONFIG_METADATA!$B$4&lt;&gt;"OR+EX",--(DATOS!$G19841=CONFIG_METADATA!$B$4),IF(DATOS!$G19841="EX",1,IF(DATOS!$G19841="OR",--(COUNTIFS(nNIA,DATOS!$A19841,nCURSO,DATOS!$D19841,nESPEC,DATOS!$E19841,nASIG,DATOS!$I19841,nEVAL,"EX")=0),0))))</f>
      </c>
      <c r="H19841">
        <f>IF(DATOS!$G19841&lt;&gt;"EX",0,--(COUNTIFS(nNIA,DATOS!$A19841,nCURSO,DATOS!$D19841,nESPEC,DATOS!$E19841,nASIG,DATOS!$I19841,nEVAL,"OR")=0))</f>
      </c>
      <c r="I19841">
        <f>IF(DATOS!$I19841="","",IFERROR(VLOOKUP(DATOS!$I19841,CONFIG_ASIGNATURAS!$B$2:$J$91,9,FALSE()),""))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IF(DATOS!$A19842="",0,IF(CONFIG_METADATA!$B$4&lt;&gt;"OR+EX",--(DATOS!$G19842=CONFIG_METADATA!$B$4),IF(DATOS!$G19842="EX",1,IF(DATOS!$G19842="OR",--(COUNTIFS(nNIA,DATOS!$A19842,nCURSO,DATOS!$D19842,nESPEC,DATOS!$E19842,nASIG,DATOS!$I19842,nEVAL,"EX")=0),0))))</f>
      </c>
      <c r="H19842">
        <f>IF(DATOS!$G19842&lt;&gt;"EX",0,--(COUNTIFS(nNIA,DATOS!$A19842,nCURSO,DATOS!$D19842,nESPEC,DATOS!$E19842,nASIG,DATOS!$I19842,nEVAL,"OR")=0))</f>
      </c>
      <c r="I19842">
        <f>IF(DATOS!$I19842="","",IFERROR(VLOOKUP(DATOS!$I19842,CONFIG_ASIGNATURAS!$B$2:$J$91,9,FALSE()),""))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IF(DATOS!$A19843="",0,IF(CONFIG_METADATA!$B$4&lt;&gt;"OR+EX",--(DATOS!$G19843=CONFIG_METADATA!$B$4),IF(DATOS!$G19843="EX",1,IF(DATOS!$G19843="OR",--(COUNTIFS(nNIA,DATOS!$A19843,nCURSO,DATOS!$D19843,nESPEC,DATOS!$E19843,nASIG,DATOS!$I19843,nEVAL,"EX")=0),0))))</f>
      </c>
      <c r="H19843">
        <f>IF(DATOS!$G19843&lt;&gt;"EX",0,--(COUNTIFS(nNIA,DATOS!$A19843,nCURSO,DATOS!$D19843,nESPEC,DATOS!$E19843,nASIG,DATOS!$I19843,nEVAL,"OR")=0))</f>
      </c>
      <c r="I19843">
        <f>IF(DATOS!$I19843="","",IFERROR(VLOOKUP(DATOS!$I19843,CONFIG_ASIGNATURAS!$B$2:$J$91,9,FALSE()),""))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IF(DATOS!$A19844="",0,IF(CONFIG_METADATA!$B$4&lt;&gt;"OR+EX",--(DATOS!$G19844=CONFIG_METADATA!$B$4),IF(DATOS!$G19844="EX",1,IF(DATOS!$G19844="OR",--(COUNTIFS(nNIA,DATOS!$A19844,nCURSO,DATOS!$D19844,nESPEC,DATOS!$E19844,nASIG,DATOS!$I19844,nEVAL,"EX")=0),0))))</f>
      </c>
      <c r="H19844">
        <f>IF(DATOS!$G19844&lt;&gt;"EX",0,--(COUNTIFS(nNIA,DATOS!$A19844,nCURSO,DATOS!$D19844,nESPEC,DATOS!$E19844,nASIG,DATOS!$I19844,nEVAL,"OR")=0))</f>
      </c>
      <c r="I19844">
        <f>IF(DATOS!$I19844="","",IFERROR(VLOOKUP(DATOS!$I19844,CONFIG_ASIGNATURAS!$B$2:$J$91,9,FALSE()),""))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IF(DATOS!$A19845="",0,IF(CONFIG_METADATA!$B$4&lt;&gt;"OR+EX",--(DATOS!$G19845=CONFIG_METADATA!$B$4),IF(DATOS!$G19845="EX",1,IF(DATOS!$G19845="OR",--(COUNTIFS(nNIA,DATOS!$A19845,nCURSO,DATOS!$D19845,nESPEC,DATOS!$E19845,nASIG,DATOS!$I19845,nEVAL,"EX")=0),0))))</f>
      </c>
      <c r="H19845">
        <f>IF(DATOS!$G19845&lt;&gt;"EX",0,--(COUNTIFS(nNIA,DATOS!$A19845,nCURSO,DATOS!$D19845,nESPEC,DATOS!$E19845,nASIG,DATOS!$I19845,nEVAL,"OR")=0))</f>
      </c>
      <c r="I19845">
        <f>IF(DATOS!$I19845="","",IFERROR(VLOOKUP(DATOS!$I19845,CONFIG_ASIGNATURAS!$B$2:$J$91,9,FALSE()),""))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IF(DATOS!$A19846="",0,IF(CONFIG_METADATA!$B$4&lt;&gt;"OR+EX",--(DATOS!$G19846=CONFIG_METADATA!$B$4),IF(DATOS!$G19846="EX",1,IF(DATOS!$G19846="OR",--(COUNTIFS(nNIA,DATOS!$A19846,nCURSO,DATOS!$D19846,nESPEC,DATOS!$E19846,nASIG,DATOS!$I19846,nEVAL,"EX")=0),0))))</f>
      </c>
      <c r="H19846">
        <f>IF(DATOS!$G19846&lt;&gt;"EX",0,--(COUNTIFS(nNIA,DATOS!$A19846,nCURSO,DATOS!$D19846,nESPEC,DATOS!$E19846,nASIG,DATOS!$I19846,nEVAL,"OR")=0))</f>
      </c>
      <c r="I19846">
        <f>IF(DATOS!$I19846="","",IFERROR(VLOOKUP(DATOS!$I19846,CONFIG_ASIGNATURAS!$B$2:$J$91,9,FALSE()),""))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IF(DATOS!$A19847="",0,IF(CONFIG_METADATA!$B$4&lt;&gt;"OR+EX",--(DATOS!$G19847=CONFIG_METADATA!$B$4),IF(DATOS!$G19847="EX",1,IF(DATOS!$G19847="OR",--(COUNTIFS(nNIA,DATOS!$A19847,nCURSO,DATOS!$D19847,nESPEC,DATOS!$E19847,nASIG,DATOS!$I19847,nEVAL,"EX")=0),0))))</f>
      </c>
      <c r="H19847">
        <f>IF(DATOS!$G19847&lt;&gt;"EX",0,--(COUNTIFS(nNIA,DATOS!$A19847,nCURSO,DATOS!$D19847,nESPEC,DATOS!$E19847,nASIG,DATOS!$I19847,nEVAL,"OR")=0))</f>
      </c>
      <c r="I19847">
        <f>IF(DATOS!$I19847="","",IFERROR(VLOOKUP(DATOS!$I19847,CONFIG_ASIGNATURAS!$B$2:$J$91,9,FALSE()),""))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IF(DATOS!$A19848="",0,IF(CONFIG_METADATA!$B$4&lt;&gt;"OR+EX",--(DATOS!$G19848=CONFIG_METADATA!$B$4),IF(DATOS!$G19848="EX",1,IF(DATOS!$G19848="OR",--(COUNTIFS(nNIA,DATOS!$A19848,nCURSO,DATOS!$D19848,nESPEC,DATOS!$E19848,nASIG,DATOS!$I19848,nEVAL,"EX")=0),0))))</f>
      </c>
      <c r="H19848">
        <f>IF(DATOS!$G19848&lt;&gt;"EX",0,--(COUNTIFS(nNIA,DATOS!$A19848,nCURSO,DATOS!$D19848,nESPEC,DATOS!$E19848,nASIG,DATOS!$I19848,nEVAL,"OR")=0))</f>
      </c>
      <c r="I19848">
        <f>IF(DATOS!$I19848="","",IFERROR(VLOOKUP(DATOS!$I19848,CONFIG_ASIGNATURAS!$B$2:$J$91,9,FALSE()),""))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IF(DATOS!$A19849="",0,IF(CONFIG_METADATA!$B$4&lt;&gt;"OR+EX",--(DATOS!$G19849=CONFIG_METADATA!$B$4),IF(DATOS!$G19849="EX",1,IF(DATOS!$G19849="OR",--(COUNTIFS(nNIA,DATOS!$A19849,nCURSO,DATOS!$D19849,nESPEC,DATOS!$E19849,nASIG,DATOS!$I19849,nEVAL,"EX")=0),0))))</f>
      </c>
      <c r="H19849">
        <f>IF(DATOS!$G19849&lt;&gt;"EX",0,--(COUNTIFS(nNIA,DATOS!$A19849,nCURSO,DATOS!$D19849,nESPEC,DATOS!$E19849,nASIG,DATOS!$I19849,nEVAL,"OR")=0))</f>
      </c>
      <c r="I19849">
        <f>IF(DATOS!$I19849="","",IFERROR(VLOOKUP(DATOS!$I19849,CONFIG_ASIGNATURAS!$B$2:$J$91,9,FALSE()),""))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IF(DATOS!$A19850="",0,IF(CONFIG_METADATA!$B$4&lt;&gt;"OR+EX",--(DATOS!$G19850=CONFIG_METADATA!$B$4),IF(DATOS!$G19850="EX",1,IF(DATOS!$G19850="OR",--(COUNTIFS(nNIA,DATOS!$A19850,nCURSO,DATOS!$D19850,nESPEC,DATOS!$E19850,nASIG,DATOS!$I19850,nEVAL,"EX")=0),0))))</f>
      </c>
      <c r="H19850">
        <f>IF(DATOS!$G19850&lt;&gt;"EX",0,--(COUNTIFS(nNIA,DATOS!$A19850,nCURSO,DATOS!$D19850,nESPEC,DATOS!$E19850,nASIG,DATOS!$I19850,nEVAL,"OR")=0))</f>
      </c>
      <c r="I19850">
        <f>IF(DATOS!$I19850="","",IFERROR(VLOOKUP(DATOS!$I19850,CONFIG_ASIGNATURAS!$B$2:$J$91,9,FALSE()),""))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IF(DATOS!$A19851="",0,IF(CONFIG_METADATA!$B$4&lt;&gt;"OR+EX",--(DATOS!$G19851=CONFIG_METADATA!$B$4),IF(DATOS!$G19851="EX",1,IF(DATOS!$G19851="OR",--(COUNTIFS(nNIA,DATOS!$A19851,nCURSO,DATOS!$D19851,nESPEC,DATOS!$E19851,nASIG,DATOS!$I19851,nEVAL,"EX")=0),0))))</f>
      </c>
      <c r="H19851">
        <f>IF(DATOS!$G19851&lt;&gt;"EX",0,--(COUNTIFS(nNIA,DATOS!$A19851,nCURSO,DATOS!$D19851,nESPEC,DATOS!$E19851,nASIG,DATOS!$I19851,nEVAL,"OR")=0))</f>
      </c>
      <c r="I19851">
        <f>IF(DATOS!$I19851="","",IFERROR(VLOOKUP(DATOS!$I19851,CONFIG_ASIGNATURAS!$B$2:$J$91,9,FALSE()),""))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IF(DATOS!$A19852="",0,IF(CONFIG_METADATA!$B$4&lt;&gt;"OR+EX",--(DATOS!$G19852=CONFIG_METADATA!$B$4),IF(DATOS!$G19852="EX",1,IF(DATOS!$G19852="OR",--(COUNTIFS(nNIA,DATOS!$A19852,nCURSO,DATOS!$D19852,nESPEC,DATOS!$E19852,nASIG,DATOS!$I19852,nEVAL,"EX")=0),0))))</f>
      </c>
      <c r="H19852">
        <f>IF(DATOS!$G19852&lt;&gt;"EX",0,--(COUNTIFS(nNIA,DATOS!$A19852,nCURSO,DATOS!$D19852,nESPEC,DATOS!$E19852,nASIG,DATOS!$I19852,nEVAL,"OR")=0))</f>
      </c>
      <c r="I19852">
        <f>IF(DATOS!$I19852="","",IFERROR(VLOOKUP(DATOS!$I19852,CONFIG_ASIGNATURAS!$B$2:$J$91,9,FALSE()),""))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IF(DATOS!$A19853="",0,IF(CONFIG_METADATA!$B$4&lt;&gt;"OR+EX",--(DATOS!$G19853=CONFIG_METADATA!$B$4),IF(DATOS!$G19853="EX",1,IF(DATOS!$G19853="OR",--(COUNTIFS(nNIA,DATOS!$A19853,nCURSO,DATOS!$D19853,nESPEC,DATOS!$E19853,nASIG,DATOS!$I19853,nEVAL,"EX")=0),0))))</f>
      </c>
      <c r="H19853">
        <f>IF(DATOS!$G19853&lt;&gt;"EX",0,--(COUNTIFS(nNIA,DATOS!$A19853,nCURSO,DATOS!$D19853,nESPEC,DATOS!$E19853,nASIG,DATOS!$I19853,nEVAL,"OR")=0))</f>
      </c>
      <c r="I19853">
        <f>IF(DATOS!$I19853="","",IFERROR(VLOOKUP(DATOS!$I19853,CONFIG_ASIGNATURAS!$B$2:$J$91,9,FALSE()),""))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IF(DATOS!$A19854="",0,IF(CONFIG_METADATA!$B$4&lt;&gt;"OR+EX",--(DATOS!$G19854=CONFIG_METADATA!$B$4),IF(DATOS!$G19854="EX",1,IF(DATOS!$G19854="OR",--(COUNTIFS(nNIA,DATOS!$A19854,nCURSO,DATOS!$D19854,nESPEC,DATOS!$E19854,nASIG,DATOS!$I19854,nEVAL,"EX")=0),0))))</f>
      </c>
      <c r="H19854">
        <f>IF(DATOS!$G19854&lt;&gt;"EX",0,--(COUNTIFS(nNIA,DATOS!$A19854,nCURSO,DATOS!$D19854,nESPEC,DATOS!$E19854,nASIG,DATOS!$I19854,nEVAL,"OR")=0))</f>
      </c>
      <c r="I19854">
        <f>IF(DATOS!$I19854="","",IFERROR(VLOOKUP(DATOS!$I19854,CONFIG_ASIGNATURAS!$B$2:$J$91,9,FALSE()),""))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IF(DATOS!$A19855="",0,IF(CONFIG_METADATA!$B$4&lt;&gt;"OR+EX",--(DATOS!$G19855=CONFIG_METADATA!$B$4),IF(DATOS!$G19855="EX",1,IF(DATOS!$G19855="OR",--(COUNTIFS(nNIA,DATOS!$A19855,nCURSO,DATOS!$D19855,nESPEC,DATOS!$E19855,nASIG,DATOS!$I19855,nEVAL,"EX")=0),0))))</f>
      </c>
      <c r="H19855">
        <f>IF(DATOS!$G19855&lt;&gt;"EX",0,--(COUNTIFS(nNIA,DATOS!$A19855,nCURSO,DATOS!$D19855,nESPEC,DATOS!$E19855,nASIG,DATOS!$I19855,nEVAL,"OR")=0))</f>
      </c>
      <c r="I19855">
        <f>IF(DATOS!$I19855="","",IFERROR(VLOOKUP(DATOS!$I19855,CONFIG_ASIGNATURAS!$B$2:$J$91,9,FALSE()),""))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IF(DATOS!$A19856="",0,IF(CONFIG_METADATA!$B$4&lt;&gt;"OR+EX",--(DATOS!$G19856=CONFIG_METADATA!$B$4),IF(DATOS!$G19856="EX",1,IF(DATOS!$G19856="OR",--(COUNTIFS(nNIA,DATOS!$A19856,nCURSO,DATOS!$D19856,nESPEC,DATOS!$E19856,nASIG,DATOS!$I19856,nEVAL,"EX")=0),0))))</f>
      </c>
      <c r="H19856">
        <f>IF(DATOS!$G19856&lt;&gt;"EX",0,--(COUNTIFS(nNIA,DATOS!$A19856,nCURSO,DATOS!$D19856,nESPEC,DATOS!$E19856,nASIG,DATOS!$I19856,nEVAL,"OR")=0))</f>
      </c>
      <c r="I19856">
        <f>IF(DATOS!$I19856="","",IFERROR(VLOOKUP(DATOS!$I19856,CONFIG_ASIGNATURAS!$B$2:$J$91,9,FALSE()),""))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IF(DATOS!$A19857="",0,IF(CONFIG_METADATA!$B$4&lt;&gt;"OR+EX",--(DATOS!$G19857=CONFIG_METADATA!$B$4),IF(DATOS!$G19857="EX",1,IF(DATOS!$G19857="OR",--(COUNTIFS(nNIA,DATOS!$A19857,nCURSO,DATOS!$D19857,nESPEC,DATOS!$E19857,nASIG,DATOS!$I19857,nEVAL,"EX")=0),0))))</f>
      </c>
      <c r="H19857">
        <f>IF(DATOS!$G19857&lt;&gt;"EX",0,--(COUNTIFS(nNIA,DATOS!$A19857,nCURSO,DATOS!$D19857,nESPEC,DATOS!$E19857,nASIG,DATOS!$I19857,nEVAL,"OR")=0))</f>
      </c>
      <c r="I19857">
        <f>IF(DATOS!$I19857="","",IFERROR(VLOOKUP(DATOS!$I19857,CONFIG_ASIGNATURAS!$B$2:$J$91,9,FALSE()),""))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IF(DATOS!$A19858="",0,IF(CONFIG_METADATA!$B$4&lt;&gt;"OR+EX",--(DATOS!$G19858=CONFIG_METADATA!$B$4),IF(DATOS!$G19858="EX",1,IF(DATOS!$G19858="OR",--(COUNTIFS(nNIA,DATOS!$A19858,nCURSO,DATOS!$D19858,nESPEC,DATOS!$E19858,nASIG,DATOS!$I19858,nEVAL,"EX")=0),0))))</f>
      </c>
      <c r="H19858">
        <f>IF(DATOS!$G19858&lt;&gt;"EX",0,--(COUNTIFS(nNIA,DATOS!$A19858,nCURSO,DATOS!$D19858,nESPEC,DATOS!$E19858,nASIG,DATOS!$I19858,nEVAL,"OR")=0))</f>
      </c>
      <c r="I19858">
        <f>IF(DATOS!$I19858="","",IFERROR(VLOOKUP(DATOS!$I19858,CONFIG_ASIGNATURAS!$B$2:$J$91,9,FALSE()),""))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IF(DATOS!$A19859="",0,IF(CONFIG_METADATA!$B$4&lt;&gt;"OR+EX",--(DATOS!$G19859=CONFIG_METADATA!$B$4),IF(DATOS!$G19859="EX",1,IF(DATOS!$G19859="OR",--(COUNTIFS(nNIA,DATOS!$A19859,nCURSO,DATOS!$D19859,nESPEC,DATOS!$E19859,nASIG,DATOS!$I19859,nEVAL,"EX")=0),0))))</f>
      </c>
      <c r="H19859">
        <f>IF(DATOS!$G19859&lt;&gt;"EX",0,--(COUNTIFS(nNIA,DATOS!$A19859,nCURSO,DATOS!$D19859,nESPEC,DATOS!$E19859,nASIG,DATOS!$I19859,nEVAL,"OR")=0))</f>
      </c>
      <c r="I19859">
        <f>IF(DATOS!$I19859="","",IFERROR(VLOOKUP(DATOS!$I19859,CONFIG_ASIGNATURAS!$B$2:$J$91,9,FALSE()),""))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IF(DATOS!$A19860="",0,IF(CONFIG_METADATA!$B$4&lt;&gt;"OR+EX",--(DATOS!$G19860=CONFIG_METADATA!$B$4),IF(DATOS!$G19860="EX",1,IF(DATOS!$G19860="OR",--(COUNTIFS(nNIA,DATOS!$A19860,nCURSO,DATOS!$D19860,nESPEC,DATOS!$E19860,nASIG,DATOS!$I19860,nEVAL,"EX")=0),0))))</f>
      </c>
      <c r="H19860">
        <f>IF(DATOS!$G19860&lt;&gt;"EX",0,--(COUNTIFS(nNIA,DATOS!$A19860,nCURSO,DATOS!$D19860,nESPEC,DATOS!$E19860,nASIG,DATOS!$I19860,nEVAL,"OR")=0))</f>
      </c>
      <c r="I19860">
        <f>IF(DATOS!$I19860="","",IFERROR(VLOOKUP(DATOS!$I19860,CONFIG_ASIGNATURAS!$B$2:$J$91,9,FALSE()),""))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IF(DATOS!$A19861="",0,IF(CONFIG_METADATA!$B$4&lt;&gt;"OR+EX",--(DATOS!$G19861=CONFIG_METADATA!$B$4),IF(DATOS!$G19861="EX",1,IF(DATOS!$G19861="OR",--(COUNTIFS(nNIA,DATOS!$A19861,nCURSO,DATOS!$D19861,nESPEC,DATOS!$E19861,nASIG,DATOS!$I19861,nEVAL,"EX")=0),0))))</f>
      </c>
      <c r="H19861">
        <f>IF(DATOS!$G19861&lt;&gt;"EX",0,--(COUNTIFS(nNIA,DATOS!$A19861,nCURSO,DATOS!$D19861,nESPEC,DATOS!$E19861,nASIG,DATOS!$I19861,nEVAL,"OR")=0))</f>
      </c>
      <c r="I19861">
        <f>IF(DATOS!$I19861="","",IFERROR(VLOOKUP(DATOS!$I19861,CONFIG_ASIGNATURAS!$B$2:$J$91,9,FALSE()),""))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IF(DATOS!$A19862="",0,IF(CONFIG_METADATA!$B$4&lt;&gt;"OR+EX",--(DATOS!$G19862=CONFIG_METADATA!$B$4),IF(DATOS!$G19862="EX",1,IF(DATOS!$G19862="OR",--(COUNTIFS(nNIA,DATOS!$A19862,nCURSO,DATOS!$D19862,nESPEC,DATOS!$E19862,nASIG,DATOS!$I19862,nEVAL,"EX")=0),0))))</f>
      </c>
      <c r="H19862">
        <f>IF(DATOS!$G19862&lt;&gt;"EX",0,--(COUNTIFS(nNIA,DATOS!$A19862,nCURSO,DATOS!$D19862,nESPEC,DATOS!$E19862,nASIG,DATOS!$I19862,nEVAL,"OR")=0))</f>
      </c>
      <c r="I19862">
        <f>IF(DATOS!$I19862="","",IFERROR(VLOOKUP(DATOS!$I19862,CONFIG_ASIGNATURAS!$B$2:$J$91,9,FALSE()),""))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IF(DATOS!$A19863="",0,IF(CONFIG_METADATA!$B$4&lt;&gt;"OR+EX",--(DATOS!$G19863=CONFIG_METADATA!$B$4),IF(DATOS!$G19863="EX",1,IF(DATOS!$G19863="OR",--(COUNTIFS(nNIA,DATOS!$A19863,nCURSO,DATOS!$D19863,nESPEC,DATOS!$E19863,nASIG,DATOS!$I19863,nEVAL,"EX")=0),0))))</f>
      </c>
      <c r="H19863">
        <f>IF(DATOS!$G19863&lt;&gt;"EX",0,--(COUNTIFS(nNIA,DATOS!$A19863,nCURSO,DATOS!$D19863,nESPEC,DATOS!$E19863,nASIG,DATOS!$I19863,nEVAL,"OR")=0))</f>
      </c>
      <c r="I19863">
        <f>IF(DATOS!$I19863="","",IFERROR(VLOOKUP(DATOS!$I19863,CONFIG_ASIGNATURAS!$B$2:$J$91,9,FALSE()),""))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IF(DATOS!$A19864="",0,IF(CONFIG_METADATA!$B$4&lt;&gt;"OR+EX",--(DATOS!$G19864=CONFIG_METADATA!$B$4),IF(DATOS!$G19864="EX",1,IF(DATOS!$G19864="OR",--(COUNTIFS(nNIA,DATOS!$A19864,nCURSO,DATOS!$D19864,nESPEC,DATOS!$E19864,nASIG,DATOS!$I19864,nEVAL,"EX")=0),0))))</f>
      </c>
      <c r="H19864">
        <f>IF(DATOS!$G19864&lt;&gt;"EX",0,--(COUNTIFS(nNIA,DATOS!$A19864,nCURSO,DATOS!$D19864,nESPEC,DATOS!$E19864,nASIG,DATOS!$I19864,nEVAL,"OR")=0))</f>
      </c>
      <c r="I19864">
        <f>IF(DATOS!$I19864="","",IFERROR(VLOOKUP(DATOS!$I19864,CONFIG_ASIGNATURAS!$B$2:$J$91,9,FALSE()),""))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IF(DATOS!$A19865="",0,IF(CONFIG_METADATA!$B$4&lt;&gt;"OR+EX",--(DATOS!$G19865=CONFIG_METADATA!$B$4),IF(DATOS!$G19865="EX",1,IF(DATOS!$G19865="OR",--(COUNTIFS(nNIA,DATOS!$A19865,nCURSO,DATOS!$D19865,nESPEC,DATOS!$E19865,nASIG,DATOS!$I19865,nEVAL,"EX")=0),0))))</f>
      </c>
      <c r="H19865">
        <f>IF(DATOS!$G19865&lt;&gt;"EX",0,--(COUNTIFS(nNIA,DATOS!$A19865,nCURSO,DATOS!$D19865,nESPEC,DATOS!$E19865,nASIG,DATOS!$I19865,nEVAL,"OR")=0))</f>
      </c>
      <c r="I19865">
        <f>IF(DATOS!$I19865="","",IFERROR(VLOOKUP(DATOS!$I19865,CONFIG_ASIGNATURAS!$B$2:$J$91,9,FALSE()),""))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IF(DATOS!$A19866="",0,IF(CONFIG_METADATA!$B$4&lt;&gt;"OR+EX",--(DATOS!$G19866=CONFIG_METADATA!$B$4),IF(DATOS!$G19866="EX",1,IF(DATOS!$G19866="OR",--(COUNTIFS(nNIA,DATOS!$A19866,nCURSO,DATOS!$D19866,nESPEC,DATOS!$E19866,nASIG,DATOS!$I19866,nEVAL,"EX")=0),0))))</f>
      </c>
      <c r="H19866">
        <f>IF(DATOS!$G19866&lt;&gt;"EX",0,--(COUNTIFS(nNIA,DATOS!$A19866,nCURSO,DATOS!$D19866,nESPEC,DATOS!$E19866,nASIG,DATOS!$I19866,nEVAL,"OR")=0))</f>
      </c>
      <c r="I19866">
        <f>IF(DATOS!$I19866="","",IFERROR(VLOOKUP(DATOS!$I19866,CONFIG_ASIGNATURAS!$B$2:$J$91,9,FALSE()),""))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IF(DATOS!$A19867="",0,IF(CONFIG_METADATA!$B$4&lt;&gt;"OR+EX",--(DATOS!$G19867=CONFIG_METADATA!$B$4),IF(DATOS!$G19867="EX",1,IF(DATOS!$G19867="OR",--(COUNTIFS(nNIA,DATOS!$A19867,nCURSO,DATOS!$D19867,nESPEC,DATOS!$E19867,nASIG,DATOS!$I19867,nEVAL,"EX")=0),0))))</f>
      </c>
      <c r="H19867">
        <f>IF(DATOS!$G19867&lt;&gt;"EX",0,--(COUNTIFS(nNIA,DATOS!$A19867,nCURSO,DATOS!$D19867,nESPEC,DATOS!$E19867,nASIG,DATOS!$I19867,nEVAL,"OR")=0))</f>
      </c>
      <c r="I19867">
        <f>IF(DATOS!$I19867="","",IFERROR(VLOOKUP(DATOS!$I19867,CONFIG_ASIGNATURAS!$B$2:$J$91,9,FALSE()),""))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IF(DATOS!$A19868="",0,IF(CONFIG_METADATA!$B$4&lt;&gt;"OR+EX",--(DATOS!$G19868=CONFIG_METADATA!$B$4),IF(DATOS!$G19868="EX",1,IF(DATOS!$G19868="OR",--(COUNTIFS(nNIA,DATOS!$A19868,nCURSO,DATOS!$D19868,nESPEC,DATOS!$E19868,nASIG,DATOS!$I19868,nEVAL,"EX")=0),0))))</f>
      </c>
      <c r="H19868">
        <f>IF(DATOS!$G19868&lt;&gt;"EX",0,--(COUNTIFS(nNIA,DATOS!$A19868,nCURSO,DATOS!$D19868,nESPEC,DATOS!$E19868,nASIG,DATOS!$I19868,nEVAL,"OR")=0))</f>
      </c>
      <c r="I19868">
        <f>IF(DATOS!$I19868="","",IFERROR(VLOOKUP(DATOS!$I19868,CONFIG_ASIGNATURAS!$B$2:$J$91,9,FALSE()),""))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IF(DATOS!$A19869="",0,IF(CONFIG_METADATA!$B$4&lt;&gt;"OR+EX",--(DATOS!$G19869=CONFIG_METADATA!$B$4),IF(DATOS!$G19869="EX",1,IF(DATOS!$G19869="OR",--(COUNTIFS(nNIA,DATOS!$A19869,nCURSO,DATOS!$D19869,nESPEC,DATOS!$E19869,nASIG,DATOS!$I19869,nEVAL,"EX")=0),0))))</f>
      </c>
      <c r="H19869">
        <f>IF(DATOS!$G19869&lt;&gt;"EX",0,--(COUNTIFS(nNIA,DATOS!$A19869,nCURSO,DATOS!$D19869,nESPEC,DATOS!$E19869,nASIG,DATOS!$I19869,nEVAL,"OR")=0))</f>
      </c>
      <c r="I19869">
        <f>IF(DATOS!$I19869="","",IFERROR(VLOOKUP(DATOS!$I19869,CONFIG_ASIGNATURAS!$B$2:$J$91,9,FALSE()),""))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IF(DATOS!$A19870="",0,IF(CONFIG_METADATA!$B$4&lt;&gt;"OR+EX",--(DATOS!$G19870=CONFIG_METADATA!$B$4),IF(DATOS!$G19870="EX",1,IF(DATOS!$G19870="OR",--(COUNTIFS(nNIA,DATOS!$A19870,nCURSO,DATOS!$D19870,nESPEC,DATOS!$E19870,nASIG,DATOS!$I19870,nEVAL,"EX")=0),0))))</f>
      </c>
      <c r="H19870">
        <f>IF(DATOS!$G19870&lt;&gt;"EX",0,--(COUNTIFS(nNIA,DATOS!$A19870,nCURSO,DATOS!$D19870,nESPEC,DATOS!$E19870,nASIG,DATOS!$I19870,nEVAL,"OR")=0))</f>
      </c>
      <c r="I19870">
        <f>IF(DATOS!$I19870="","",IFERROR(VLOOKUP(DATOS!$I19870,CONFIG_ASIGNATURAS!$B$2:$J$91,9,FALSE()),""))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IF(DATOS!$A19871="",0,IF(CONFIG_METADATA!$B$4&lt;&gt;"OR+EX",--(DATOS!$G19871=CONFIG_METADATA!$B$4),IF(DATOS!$G19871="EX",1,IF(DATOS!$G19871="OR",--(COUNTIFS(nNIA,DATOS!$A19871,nCURSO,DATOS!$D19871,nESPEC,DATOS!$E19871,nASIG,DATOS!$I19871,nEVAL,"EX")=0),0))))</f>
      </c>
      <c r="H19871">
        <f>IF(DATOS!$G19871&lt;&gt;"EX",0,--(COUNTIFS(nNIA,DATOS!$A19871,nCURSO,DATOS!$D19871,nESPEC,DATOS!$E19871,nASIG,DATOS!$I19871,nEVAL,"OR")=0))</f>
      </c>
      <c r="I19871">
        <f>IF(DATOS!$I19871="","",IFERROR(VLOOKUP(DATOS!$I19871,CONFIG_ASIGNATURAS!$B$2:$J$91,9,FALSE()),""))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IF(DATOS!$A19872="",0,IF(CONFIG_METADATA!$B$4&lt;&gt;"OR+EX",--(DATOS!$G19872=CONFIG_METADATA!$B$4),IF(DATOS!$G19872="EX",1,IF(DATOS!$G19872="OR",--(COUNTIFS(nNIA,DATOS!$A19872,nCURSO,DATOS!$D19872,nESPEC,DATOS!$E19872,nASIG,DATOS!$I19872,nEVAL,"EX")=0),0))))</f>
      </c>
      <c r="H19872">
        <f>IF(DATOS!$G19872&lt;&gt;"EX",0,--(COUNTIFS(nNIA,DATOS!$A19872,nCURSO,DATOS!$D19872,nESPEC,DATOS!$E19872,nASIG,DATOS!$I19872,nEVAL,"OR")=0))</f>
      </c>
      <c r="I19872">
        <f>IF(DATOS!$I19872="","",IFERROR(VLOOKUP(DATOS!$I19872,CONFIG_ASIGNATURAS!$B$2:$J$91,9,FALSE()),""))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IF(DATOS!$A19873="",0,IF(CONFIG_METADATA!$B$4&lt;&gt;"OR+EX",--(DATOS!$G19873=CONFIG_METADATA!$B$4),IF(DATOS!$G19873="EX",1,IF(DATOS!$G19873="OR",--(COUNTIFS(nNIA,DATOS!$A19873,nCURSO,DATOS!$D19873,nESPEC,DATOS!$E19873,nASIG,DATOS!$I19873,nEVAL,"EX")=0),0))))</f>
      </c>
      <c r="H19873">
        <f>IF(DATOS!$G19873&lt;&gt;"EX",0,--(COUNTIFS(nNIA,DATOS!$A19873,nCURSO,DATOS!$D19873,nESPEC,DATOS!$E19873,nASIG,DATOS!$I19873,nEVAL,"OR")=0))</f>
      </c>
      <c r="I19873">
        <f>IF(DATOS!$I19873="","",IFERROR(VLOOKUP(DATOS!$I19873,CONFIG_ASIGNATURAS!$B$2:$J$91,9,FALSE()),""))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IF(DATOS!$A19874="",0,IF(CONFIG_METADATA!$B$4&lt;&gt;"OR+EX",--(DATOS!$G19874=CONFIG_METADATA!$B$4),IF(DATOS!$G19874="EX",1,IF(DATOS!$G19874="OR",--(COUNTIFS(nNIA,DATOS!$A19874,nCURSO,DATOS!$D19874,nESPEC,DATOS!$E19874,nASIG,DATOS!$I19874,nEVAL,"EX")=0),0))))</f>
      </c>
      <c r="H19874">
        <f>IF(DATOS!$G19874&lt;&gt;"EX",0,--(COUNTIFS(nNIA,DATOS!$A19874,nCURSO,DATOS!$D19874,nESPEC,DATOS!$E19874,nASIG,DATOS!$I19874,nEVAL,"OR")=0))</f>
      </c>
      <c r="I19874">
        <f>IF(DATOS!$I19874="","",IFERROR(VLOOKUP(DATOS!$I19874,CONFIG_ASIGNATURAS!$B$2:$J$91,9,FALSE()),""))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IF(DATOS!$A19875="",0,IF(CONFIG_METADATA!$B$4&lt;&gt;"OR+EX",--(DATOS!$G19875=CONFIG_METADATA!$B$4),IF(DATOS!$G19875="EX",1,IF(DATOS!$G19875="OR",--(COUNTIFS(nNIA,DATOS!$A19875,nCURSO,DATOS!$D19875,nESPEC,DATOS!$E19875,nASIG,DATOS!$I19875,nEVAL,"EX")=0),0))))</f>
      </c>
      <c r="H19875">
        <f>IF(DATOS!$G19875&lt;&gt;"EX",0,--(COUNTIFS(nNIA,DATOS!$A19875,nCURSO,DATOS!$D19875,nESPEC,DATOS!$E19875,nASIG,DATOS!$I19875,nEVAL,"OR")=0))</f>
      </c>
      <c r="I19875">
        <f>IF(DATOS!$I19875="","",IFERROR(VLOOKUP(DATOS!$I19875,CONFIG_ASIGNATURAS!$B$2:$J$91,9,FALSE()),""))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IF(DATOS!$A19876="",0,IF(CONFIG_METADATA!$B$4&lt;&gt;"OR+EX",--(DATOS!$G19876=CONFIG_METADATA!$B$4),IF(DATOS!$G19876="EX",1,IF(DATOS!$G19876="OR",--(COUNTIFS(nNIA,DATOS!$A19876,nCURSO,DATOS!$D19876,nESPEC,DATOS!$E19876,nASIG,DATOS!$I19876,nEVAL,"EX")=0),0))))</f>
      </c>
      <c r="H19876">
        <f>IF(DATOS!$G19876&lt;&gt;"EX",0,--(COUNTIFS(nNIA,DATOS!$A19876,nCURSO,DATOS!$D19876,nESPEC,DATOS!$E19876,nASIG,DATOS!$I19876,nEVAL,"OR")=0))</f>
      </c>
      <c r="I19876">
        <f>IF(DATOS!$I19876="","",IFERROR(VLOOKUP(DATOS!$I19876,CONFIG_ASIGNATURAS!$B$2:$J$91,9,FALSE()),""))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IF(DATOS!$A19877="",0,IF(CONFIG_METADATA!$B$4&lt;&gt;"OR+EX",--(DATOS!$G19877=CONFIG_METADATA!$B$4),IF(DATOS!$G19877="EX",1,IF(DATOS!$G19877="OR",--(COUNTIFS(nNIA,DATOS!$A19877,nCURSO,DATOS!$D19877,nESPEC,DATOS!$E19877,nASIG,DATOS!$I19877,nEVAL,"EX")=0),0))))</f>
      </c>
      <c r="H19877">
        <f>IF(DATOS!$G19877&lt;&gt;"EX",0,--(COUNTIFS(nNIA,DATOS!$A19877,nCURSO,DATOS!$D19877,nESPEC,DATOS!$E19877,nASIG,DATOS!$I19877,nEVAL,"OR")=0))</f>
      </c>
      <c r="I19877">
        <f>IF(DATOS!$I19877="","",IFERROR(VLOOKUP(DATOS!$I19877,CONFIG_ASIGNATURAS!$B$2:$J$91,9,FALSE()),""))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IF(DATOS!$A19878="",0,IF(CONFIG_METADATA!$B$4&lt;&gt;"OR+EX",--(DATOS!$G19878=CONFIG_METADATA!$B$4),IF(DATOS!$G19878="EX",1,IF(DATOS!$G19878="OR",--(COUNTIFS(nNIA,DATOS!$A19878,nCURSO,DATOS!$D19878,nESPEC,DATOS!$E19878,nASIG,DATOS!$I19878,nEVAL,"EX")=0),0))))</f>
      </c>
      <c r="H19878">
        <f>IF(DATOS!$G19878&lt;&gt;"EX",0,--(COUNTIFS(nNIA,DATOS!$A19878,nCURSO,DATOS!$D19878,nESPEC,DATOS!$E19878,nASIG,DATOS!$I19878,nEVAL,"OR")=0))</f>
      </c>
      <c r="I19878">
        <f>IF(DATOS!$I19878="","",IFERROR(VLOOKUP(DATOS!$I19878,CONFIG_ASIGNATURAS!$B$2:$J$91,9,FALSE()),""))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IF(DATOS!$A19879="",0,IF(CONFIG_METADATA!$B$4&lt;&gt;"OR+EX",--(DATOS!$G19879=CONFIG_METADATA!$B$4),IF(DATOS!$G19879="EX",1,IF(DATOS!$G19879="OR",--(COUNTIFS(nNIA,DATOS!$A19879,nCURSO,DATOS!$D19879,nESPEC,DATOS!$E19879,nASIG,DATOS!$I19879,nEVAL,"EX")=0),0))))</f>
      </c>
      <c r="H19879">
        <f>IF(DATOS!$G19879&lt;&gt;"EX",0,--(COUNTIFS(nNIA,DATOS!$A19879,nCURSO,DATOS!$D19879,nESPEC,DATOS!$E19879,nASIG,DATOS!$I19879,nEVAL,"OR")=0))</f>
      </c>
      <c r="I19879">
        <f>IF(DATOS!$I19879="","",IFERROR(VLOOKUP(DATOS!$I19879,CONFIG_ASIGNATURAS!$B$2:$J$91,9,FALSE()),""))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IF(DATOS!$A19880="",0,IF(CONFIG_METADATA!$B$4&lt;&gt;"OR+EX",--(DATOS!$G19880=CONFIG_METADATA!$B$4),IF(DATOS!$G19880="EX",1,IF(DATOS!$G19880="OR",--(COUNTIFS(nNIA,DATOS!$A19880,nCURSO,DATOS!$D19880,nESPEC,DATOS!$E19880,nASIG,DATOS!$I19880,nEVAL,"EX")=0),0))))</f>
      </c>
      <c r="H19880">
        <f>IF(DATOS!$G19880&lt;&gt;"EX",0,--(COUNTIFS(nNIA,DATOS!$A19880,nCURSO,DATOS!$D19880,nESPEC,DATOS!$E19880,nASIG,DATOS!$I19880,nEVAL,"OR")=0))</f>
      </c>
      <c r="I19880">
        <f>IF(DATOS!$I19880="","",IFERROR(VLOOKUP(DATOS!$I19880,CONFIG_ASIGNATURAS!$B$2:$J$91,9,FALSE()),""))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IF(DATOS!$A19881="",0,IF(CONFIG_METADATA!$B$4&lt;&gt;"OR+EX",--(DATOS!$G19881=CONFIG_METADATA!$B$4),IF(DATOS!$G19881="EX",1,IF(DATOS!$G19881="OR",--(COUNTIFS(nNIA,DATOS!$A19881,nCURSO,DATOS!$D19881,nESPEC,DATOS!$E19881,nASIG,DATOS!$I19881,nEVAL,"EX")=0),0))))</f>
      </c>
      <c r="H19881">
        <f>IF(DATOS!$G19881&lt;&gt;"EX",0,--(COUNTIFS(nNIA,DATOS!$A19881,nCURSO,DATOS!$D19881,nESPEC,DATOS!$E19881,nASIG,DATOS!$I19881,nEVAL,"OR")=0))</f>
      </c>
      <c r="I19881">
        <f>IF(DATOS!$I19881="","",IFERROR(VLOOKUP(DATOS!$I19881,CONFIG_ASIGNATURAS!$B$2:$J$91,9,FALSE()),""))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IF(DATOS!$A19882="",0,IF(CONFIG_METADATA!$B$4&lt;&gt;"OR+EX",--(DATOS!$G19882=CONFIG_METADATA!$B$4),IF(DATOS!$G19882="EX",1,IF(DATOS!$G19882="OR",--(COUNTIFS(nNIA,DATOS!$A19882,nCURSO,DATOS!$D19882,nESPEC,DATOS!$E19882,nASIG,DATOS!$I19882,nEVAL,"EX")=0),0))))</f>
      </c>
      <c r="H19882">
        <f>IF(DATOS!$G19882&lt;&gt;"EX",0,--(COUNTIFS(nNIA,DATOS!$A19882,nCURSO,DATOS!$D19882,nESPEC,DATOS!$E19882,nASIG,DATOS!$I19882,nEVAL,"OR")=0))</f>
      </c>
      <c r="I19882">
        <f>IF(DATOS!$I19882="","",IFERROR(VLOOKUP(DATOS!$I19882,CONFIG_ASIGNATURAS!$B$2:$J$91,9,FALSE()),""))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IF(DATOS!$A19883="",0,IF(CONFIG_METADATA!$B$4&lt;&gt;"OR+EX",--(DATOS!$G19883=CONFIG_METADATA!$B$4),IF(DATOS!$G19883="EX",1,IF(DATOS!$G19883="OR",--(COUNTIFS(nNIA,DATOS!$A19883,nCURSO,DATOS!$D19883,nESPEC,DATOS!$E19883,nASIG,DATOS!$I19883,nEVAL,"EX")=0),0))))</f>
      </c>
      <c r="H19883">
        <f>IF(DATOS!$G19883&lt;&gt;"EX",0,--(COUNTIFS(nNIA,DATOS!$A19883,nCURSO,DATOS!$D19883,nESPEC,DATOS!$E19883,nASIG,DATOS!$I19883,nEVAL,"OR")=0))</f>
      </c>
      <c r="I19883">
        <f>IF(DATOS!$I19883="","",IFERROR(VLOOKUP(DATOS!$I19883,CONFIG_ASIGNATURAS!$B$2:$J$91,9,FALSE()),""))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IF(DATOS!$A19884="",0,IF(CONFIG_METADATA!$B$4&lt;&gt;"OR+EX",--(DATOS!$G19884=CONFIG_METADATA!$B$4),IF(DATOS!$G19884="EX",1,IF(DATOS!$G19884="OR",--(COUNTIFS(nNIA,DATOS!$A19884,nCURSO,DATOS!$D19884,nESPEC,DATOS!$E19884,nASIG,DATOS!$I19884,nEVAL,"EX")=0),0))))</f>
      </c>
      <c r="H19884">
        <f>IF(DATOS!$G19884&lt;&gt;"EX",0,--(COUNTIFS(nNIA,DATOS!$A19884,nCURSO,DATOS!$D19884,nESPEC,DATOS!$E19884,nASIG,DATOS!$I19884,nEVAL,"OR")=0))</f>
      </c>
      <c r="I19884">
        <f>IF(DATOS!$I19884="","",IFERROR(VLOOKUP(DATOS!$I19884,CONFIG_ASIGNATURAS!$B$2:$J$91,9,FALSE()),""))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IF(DATOS!$A19885="",0,IF(CONFIG_METADATA!$B$4&lt;&gt;"OR+EX",--(DATOS!$G19885=CONFIG_METADATA!$B$4),IF(DATOS!$G19885="EX",1,IF(DATOS!$G19885="OR",--(COUNTIFS(nNIA,DATOS!$A19885,nCURSO,DATOS!$D19885,nESPEC,DATOS!$E19885,nASIG,DATOS!$I19885,nEVAL,"EX")=0),0))))</f>
      </c>
      <c r="H19885">
        <f>IF(DATOS!$G19885&lt;&gt;"EX",0,--(COUNTIFS(nNIA,DATOS!$A19885,nCURSO,DATOS!$D19885,nESPEC,DATOS!$E19885,nASIG,DATOS!$I19885,nEVAL,"OR")=0))</f>
      </c>
      <c r="I19885">
        <f>IF(DATOS!$I19885="","",IFERROR(VLOOKUP(DATOS!$I19885,CONFIG_ASIGNATURAS!$B$2:$J$91,9,FALSE()),""))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IF(DATOS!$A19886="",0,IF(CONFIG_METADATA!$B$4&lt;&gt;"OR+EX",--(DATOS!$G19886=CONFIG_METADATA!$B$4),IF(DATOS!$G19886="EX",1,IF(DATOS!$G19886="OR",--(COUNTIFS(nNIA,DATOS!$A19886,nCURSO,DATOS!$D19886,nESPEC,DATOS!$E19886,nASIG,DATOS!$I19886,nEVAL,"EX")=0),0))))</f>
      </c>
      <c r="H19886">
        <f>IF(DATOS!$G19886&lt;&gt;"EX",0,--(COUNTIFS(nNIA,DATOS!$A19886,nCURSO,DATOS!$D19886,nESPEC,DATOS!$E19886,nASIG,DATOS!$I19886,nEVAL,"OR")=0))</f>
      </c>
      <c r="I19886">
        <f>IF(DATOS!$I19886="","",IFERROR(VLOOKUP(DATOS!$I19886,CONFIG_ASIGNATURAS!$B$2:$J$91,9,FALSE()),""))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IF(DATOS!$A19887="",0,IF(CONFIG_METADATA!$B$4&lt;&gt;"OR+EX",--(DATOS!$G19887=CONFIG_METADATA!$B$4),IF(DATOS!$G19887="EX",1,IF(DATOS!$G19887="OR",--(COUNTIFS(nNIA,DATOS!$A19887,nCURSO,DATOS!$D19887,nESPEC,DATOS!$E19887,nASIG,DATOS!$I19887,nEVAL,"EX")=0),0))))</f>
      </c>
      <c r="H19887">
        <f>IF(DATOS!$G19887&lt;&gt;"EX",0,--(COUNTIFS(nNIA,DATOS!$A19887,nCURSO,DATOS!$D19887,nESPEC,DATOS!$E19887,nASIG,DATOS!$I19887,nEVAL,"OR")=0))</f>
      </c>
      <c r="I19887">
        <f>IF(DATOS!$I19887="","",IFERROR(VLOOKUP(DATOS!$I19887,CONFIG_ASIGNATURAS!$B$2:$J$91,9,FALSE()),""))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IF(DATOS!$A19888="",0,IF(CONFIG_METADATA!$B$4&lt;&gt;"OR+EX",--(DATOS!$G19888=CONFIG_METADATA!$B$4),IF(DATOS!$G19888="EX",1,IF(DATOS!$G19888="OR",--(COUNTIFS(nNIA,DATOS!$A19888,nCURSO,DATOS!$D19888,nESPEC,DATOS!$E19888,nASIG,DATOS!$I19888,nEVAL,"EX")=0),0))))</f>
      </c>
      <c r="H19888">
        <f>IF(DATOS!$G19888&lt;&gt;"EX",0,--(COUNTIFS(nNIA,DATOS!$A19888,nCURSO,DATOS!$D19888,nESPEC,DATOS!$E19888,nASIG,DATOS!$I19888,nEVAL,"OR")=0))</f>
      </c>
      <c r="I19888">
        <f>IF(DATOS!$I19888="","",IFERROR(VLOOKUP(DATOS!$I19888,CONFIG_ASIGNATURAS!$B$2:$J$91,9,FALSE()),""))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IF(DATOS!$A19889="",0,IF(CONFIG_METADATA!$B$4&lt;&gt;"OR+EX",--(DATOS!$G19889=CONFIG_METADATA!$B$4),IF(DATOS!$G19889="EX",1,IF(DATOS!$G19889="OR",--(COUNTIFS(nNIA,DATOS!$A19889,nCURSO,DATOS!$D19889,nESPEC,DATOS!$E19889,nASIG,DATOS!$I19889,nEVAL,"EX")=0),0))))</f>
      </c>
      <c r="H19889">
        <f>IF(DATOS!$G19889&lt;&gt;"EX",0,--(COUNTIFS(nNIA,DATOS!$A19889,nCURSO,DATOS!$D19889,nESPEC,DATOS!$E19889,nASIG,DATOS!$I19889,nEVAL,"OR")=0))</f>
      </c>
      <c r="I19889">
        <f>IF(DATOS!$I19889="","",IFERROR(VLOOKUP(DATOS!$I19889,CONFIG_ASIGNATURAS!$B$2:$J$91,9,FALSE()),""))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IF(DATOS!$A19890="",0,IF(CONFIG_METADATA!$B$4&lt;&gt;"OR+EX",--(DATOS!$G19890=CONFIG_METADATA!$B$4),IF(DATOS!$G19890="EX",1,IF(DATOS!$G19890="OR",--(COUNTIFS(nNIA,DATOS!$A19890,nCURSO,DATOS!$D19890,nESPEC,DATOS!$E19890,nASIG,DATOS!$I19890,nEVAL,"EX")=0),0))))</f>
      </c>
      <c r="H19890">
        <f>IF(DATOS!$G19890&lt;&gt;"EX",0,--(COUNTIFS(nNIA,DATOS!$A19890,nCURSO,DATOS!$D19890,nESPEC,DATOS!$E19890,nASIG,DATOS!$I19890,nEVAL,"OR")=0))</f>
      </c>
      <c r="I19890">
        <f>IF(DATOS!$I19890="","",IFERROR(VLOOKUP(DATOS!$I19890,CONFIG_ASIGNATURAS!$B$2:$J$91,9,FALSE()),""))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IF(DATOS!$A19891="",0,IF(CONFIG_METADATA!$B$4&lt;&gt;"OR+EX",--(DATOS!$G19891=CONFIG_METADATA!$B$4),IF(DATOS!$G19891="EX",1,IF(DATOS!$G19891="OR",--(COUNTIFS(nNIA,DATOS!$A19891,nCURSO,DATOS!$D19891,nESPEC,DATOS!$E19891,nASIG,DATOS!$I19891,nEVAL,"EX")=0),0))))</f>
      </c>
      <c r="H19891">
        <f>IF(DATOS!$G19891&lt;&gt;"EX",0,--(COUNTIFS(nNIA,DATOS!$A19891,nCURSO,DATOS!$D19891,nESPEC,DATOS!$E19891,nASIG,DATOS!$I19891,nEVAL,"OR")=0))</f>
      </c>
      <c r="I19891">
        <f>IF(DATOS!$I19891="","",IFERROR(VLOOKUP(DATOS!$I19891,CONFIG_ASIGNATURAS!$B$2:$J$91,9,FALSE()),""))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IF(DATOS!$A19892="",0,IF(CONFIG_METADATA!$B$4&lt;&gt;"OR+EX",--(DATOS!$G19892=CONFIG_METADATA!$B$4),IF(DATOS!$G19892="EX",1,IF(DATOS!$G19892="OR",--(COUNTIFS(nNIA,DATOS!$A19892,nCURSO,DATOS!$D19892,nESPEC,DATOS!$E19892,nASIG,DATOS!$I19892,nEVAL,"EX")=0),0))))</f>
      </c>
      <c r="H19892">
        <f>IF(DATOS!$G19892&lt;&gt;"EX",0,--(COUNTIFS(nNIA,DATOS!$A19892,nCURSO,DATOS!$D19892,nESPEC,DATOS!$E19892,nASIG,DATOS!$I19892,nEVAL,"OR")=0))</f>
      </c>
      <c r="I19892">
        <f>IF(DATOS!$I19892="","",IFERROR(VLOOKUP(DATOS!$I19892,CONFIG_ASIGNATURAS!$B$2:$J$91,9,FALSE()),""))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IF(DATOS!$A19893="",0,IF(CONFIG_METADATA!$B$4&lt;&gt;"OR+EX",--(DATOS!$G19893=CONFIG_METADATA!$B$4),IF(DATOS!$G19893="EX",1,IF(DATOS!$G19893="OR",--(COUNTIFS(nNIA,DATOS!$A19893,nCURSO,DATOS!$D19893,nESPEC,DATOS!$E19893,nASIG,DATOS!$I19893,nEVAL,"EX")=0),0))))</f>
      </c>
      <c r="H19893">
        <f>IF(DATOS!$G19893&lt;&gt;"EX",0,--(COUNTIFS(nNIA,DATOS!$A19893,nCURSO,DATOS!$D19893,nESPEC,DATOS!$E19893,nASIG,DATOS!$I19893,nEVAL,"OR")=0))</f>
      </c>
      <c r="I19893">
        <f>IF(DATOS!$I19893="","",IFERROR(VLOOKUP(DATOS!$I19893,CONFIG_ASIGNATURAS!$B$2:$J$91,9,FALSE()),""))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IF(DATOS!$A19894="",0,IF(CONFIG_METADATA!$B$4&lt;&gt;"OR+EX",--(DATOS!$G19894=CONFIG_METADATA!$B$4),IF(DATOS!$G19894="EX",1,IF(DATOS!$G19894="OR",--(COUNTIFS(nNIA,DATOS!$A19894,nCURSO,DATOS!$D19894,nESPEC,DATOS!$E19894,nASIG,DATOS!$I19894,nEVAL,"EX")=0),0))))</f>
      </c>
      <c r="H19894">
        <f>IF(DATOS!$G19894&lt;&gt;"EX",0,--(COUNTIFS(nNIA,DATOS!$A19894,nCURSO,DATOS!$D19894,nESPEC,DATOS!$E19894,nASIG,DATOS!$I19894,nEVAL,"OR")=0))</f>
      </c>
      <c r="I19894">
        <f>IF(DATOS!$I19894="","",IFERROR(VLOOKUP(DATOS!$I19894,CONFIG_ASIGNATURAS!$B$2:$J$91,9,FALSE()),""))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IF(DATOS!$A19895="",0,IF(CONFIG_METADATA!$B$4&lt;&gt;"OR+EX",--(DATOS!$G19895=CONFIG_METADATA!$B$4),IF(DATOS!$G19895="EX",1,IF(DATOS!$G19895="OR",--(COUNTIFS(nNIA,DATOS!$A19895,nCURSO,DATOS!$D19895,nESPEC,DATOS!$E19895,nASIG,DATOS!$I19895,nEVAL,"EX")=0),0))))</f>
      </c>
      <c r="H19895">
        <f>IF(DATOS!$G19895&lt;&gt;"EX",0,--(COUNTIFS(nNIA,DATOS!$A19895,nCURSO,DATOS!$D19895,nESPEC,DATOS!$E19895,nASIG,DATOS!$I19895,nEVAL,"OR")=0))</f>
      </c>
      <c r="I19895">
        <f>IF(DATOS!$I19895="","",IFERROR(VLOOKUP(DATOS!$I19895,CONFIG_ASIGNATURAS!$B$2:$J$91,9,FALSE()),""))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IF(DATOS!$A19896="",0,IF(CONFIG_METADATA!$B$4&lt;&gt;"OR+EX",--(DATOS!$G19896=CONFIG_METADATA!$B$4),IF(DATOS!$G19896="EX",1,IF(DATOS!$G19896="OR",--(COUNTIFS(nNIA,DATOS!$A19896,nCURSO,DATOS!$D19896,nESPEC,DATOS!$E19896,nASIG,DATOS!$I19896,nEVAL,"EX")=0),0))))</f>
      </c>
      <c r="H19896">
        <f>IF(DATOS!$G19896&lt;&gt;"EX",0,--(COUNTIFS(nNIA,DATOS!$A19896,nCURSO,DATOS!$D19896,nESPEC,DATOS!$E19896,nASIG,DATOS!$I19896,nEVAL,"OR")=0))</f>
      </c>
      <c r="I19896">
        <f>IF(DATOS!$I19896="","",IFERROR(VLOOKUP(DATOS!$I19896,CONFIG_ASIGNATURAS!$B$2:$J$91,9,FALSE()),""))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IF(DATOS!$A19897="",0,IF(CONFIG_METADATA!$B$4&lt;&gt;"OR+EX",--(DATOS!$G19897=CONFIG_METADATA!$B$4),IF(DATOS!$G19897="EX",1,IF(DATOS!$G19897="OR",--(COUNTIFS(nNIA,DATOS!$A19897,nCURSO,DATOS!$D19897,nESPEC,DATOS!$E19897,nASIG,DATOS!$I19897,nEVAL,"EX")=0),0))))</f>
      </c>
      <c r="H19897">
        <f>IF(DATOS!$G19897&lt;&gt;"EX",0,--(COUNTIFS(nNIA,DATOS!$A19897,nCURSO,DATOS!$D19897,nESPEC,DATOS!$E19897,nASIG,DATOS!$I19897,nEVAL,"OR")=0))</f>
      </c>
      <c r="I19897">
        <f>IF(DATOS!$I19897="","",IFERROR(VLOOKUP(DATOS!$I19897,CONFIG_ASIGNATURAS!$B$2:$J$91,9,FALSE()),""))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IF(DATOS!$A19898="",0,IF(CONFIG_METADATA!$B$4&lt;&gt;"OR+EX",--(DATOS!$G19898=CONFIG_METADATA!$B$4),IF(DATOS!$G19898="EX",1,IF(DATOS!$G19898="OR",--(COUNTIFS(nNIA,DATOS!$A19898,nCURSO,DATOS!$D19898,nESPEC,DATOS!$E19898,nASIG,DATOS!$I19898,nEVAL,"EX")=0),0))))</f>
      </c>
      <c r="H19898">
        <f>IF(DATOS!$G19898&lt;&gt;"EX",0,--(COUNTIFS(nNIA,DATOS!$A19898,nCURSO,DATOS!$D19898,nESPEC,DATOS!$E19898,nASIG,DATOS!$I19898,nEVAL,"OR")=0))</f>
      </c>
      <c r="I19898">
        <f>IF(DATOS!$I19898="","",IFERROR(VLOOKUP(DATOS!$I19898,CONFIG_ASIGNATURAS!$B$2:$J$91,9,FALSE()),""))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IF(DATOS!$A19899="",0,IF(CONFIG_METADATA!$B$4&lt;&gt;"OR+EX",--(DATOS!$G19899=CONFIG_METADATA!$B$4),IF(DATOS!$G19899="EX",1,IF(DATOS!$G19899="OR",--(COUNTIFS(nNIA,DATOS!$A19899,nCURSO,DATOS!$D19899,nESPEC,DATOS!$E19899,nASIG,DATOS!$I19899,nEVAL,"EX")=0),0))))</f>
      </c>
      <c r="H19899">
        <f>IF(DATOS!$G19899&lt;&gt;"EX",0,--(COUNTIFS(nNIA,DATOS!$A19899,nCURSO,DATOS!$D19899,nESPEC,DATOS!$E19899,nASIG,DATOS!$I19899,nEVAL,"OR")=0))</f>
      </c>
      <c r="I19899">
        <f>IF(DATOS!$I19899="","",IFERROR(VLOOKUP(DATOS!$I19899,CONFIG_ASIGNATURAS!$B$2:$J$91,9,FALSE()),""))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IF(DATOS!$A19900="",0,IF(CONFIG_METADATA!$B$4&lt;&gt;"OR+EX",--(DATOS!$G19900=CONFIG_METADATA!$B$4),IF(DATOS!$G19900="EX",1,IF(DATOS!$G19900="OR",--(COUNTIFS(nNIA,DATOS!$A19900,nCURSO,DATOS!$D19900,nESPEC,DATOS!$E19900,nASIG,DATOS!$I19900,nEVAL,"EX")=0),0))))</f>
      </c>
      <c r="H19900">
        <f>IF(DATOS!$G19900&lt;&gt;"EX",0,--(COUNTIFS(nNIA,DATOS!$A19900,nCURSO,DATOS!$D19900,nESPEC,DATOS!$E19900,nASIG,DATOS!$I19900,nEVAL,"OR")=0))</f>
      </c>
      <c r="I19900">
        <f>IF(DATOS!$I19900="","",IFERROR(VLOOKUP(DATOS!$I19900,CONFIG_ASIGNATURAS!$B$2:$J$91,9,FALSE()),""))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IF(DATOS!$A19901="",0,IF(CONFIG_METADATA!$B$4&lt;&gt;"OR+EX",--(DATOS!$G19901=CONFIG_METADATA!$B$4),IF(DATOS!$G19901="EX",1,IF(DATOS!$G19901="OR",--(COUNTIFS(nNIA,DATOS!$A19901,nCURSO,DATOS!$D19901,nESPEC,DATOS!$E19901,nASIG,DATOS!$I19901,nEVAL,"EX")=0),0))))</f>
      </c>
      <c r="H19901">
        <f>IF(DATOS!$G19901&lt;&gt;"EX",0,--(COUNTIFS(nNIA,DATOS!$A19901,nCURSO,DATOS!$D19901,nESPEC,DATOS!$E19901,nASIG,DATOS!$I19901,nEVAL,"OR")=0))</f>
      </c>
      <c r="I19901">
        <f>IF(DATOS!$I19901="","",IFERROR(VLOOKUP(DATOS!$I19901,CONFIG_ASIGNATURAS!$B$2:$J$91,9,FALSE()),""))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IF(DATOS!$A19902="",0,IF(CONFIG_METADATA!$B$4&lt;&gt;"OR+EX",--(DATOS!$G19902=CONFIG_METADATA!$B$4),IF(DATOS!$G19902="EX",1,IF(DATOS!$G19902="OR",--(COUNTIFS(nNIA,DATOS!$A19902,nCURSO,DATOS!$D19902,nESPEC,DATOS!$E19902,nASIG,DATOS!$I19902,nEVAL,"EX")=0),0))))</f>
      </c>
      <c r="H19902">
        <f>IF(DATOS!$G19902&lt;&gt;"EX",0,--(COUNTIFS(nNIA,DATOS!$A19902,nCURSO,DATOS!$D19902,nESPEC,DATOS!$E19902,nASIG,DATOS!$I19902,nEVAL,"OR")=0))</f>
      </c>
      <c r="I19902">
        <f>IF(DATOS!$I19902="","",IFERROR(VLOOKUP(DATOS!$I19902,CONFIG_ASIGNATURAS!$B$2:$J$91,9,FALSE()),""))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IF(DATOS!$A19903="",0,IF(CONFIG_METADATA!$B$4&lt;&gt;"OR+EX",--(DATOS!$G19903=CONFIG_METADATA!$B$4),IF(DATOS!$G19903="EX",1,IF(DATOS!$G19903="OR",--(COUNTIFS(nNIA,DATOS!$A19903,nCURSO,DATOS!$D19903,nESPEC,DATOS!$E19903,nASIG,DATOS!$I19903,nEVAL,"EX")=0),0))))</f>
      </c>
      <c r="H19903">
        <f>IF(DATOS!$G19903&lt;&gt;"EX",0,--(COUNTIFS(nNIA,DATOS!$A19903,nCURSO,DATOS!$D19903,nESPEC,DATOS!$E19903,nASIG,DATOS!$I19903,nEVAL,"OR")=0))</f>
      </c>
      <c r="I19903">
        <f>IF(DATOS!$I19903="","",IFERROR(VLOOKUP(DATOS!$I19903,CONFIG_ASIGNATURAS!$B$2:$J$91,9,FALSE()),""))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IF(DATOS!$A19904="",0,IF(CONFIG_METADATA!$B$4&lt;&gt;"OR+EX",--(DATOS!$G19904=CONFIG_METADATA!$B$4),IF(DATOS!$G19904="EX",1,IF(DATOS!$G19904="OR",--(COUNTIFS(nNIA,DATOS!$A19904,nCURSO,DATOS!$D19904,nESPEC,DATOS!$E19904,nASIG,DATOS!$I19904,nEVAL,"EX")=0),0))))</f>
      </c>
      <c r="H19904">
        <f>IF(DATOS!$G19904&lt;&gt;"EX",0,--(COUNTIFS(nNIA,DATOS!$A19904,nCURSO,DATOS!$D19904,nESPEC,DATOS!$E19904,nASIG,DATOS!$I19904,nEVAL,"OR")=0))</f>
      </c>
      <c r="I19904">
        <f>IF(DATOS!$I19904="","",IFERROR(VLOOKUP(DATOS!$I19904,CONFIG_ASIGNATURAS!$B$2:$J$91,9,FALSE()),""))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IF(DATOS!$A19905="",0,IF(CONFIG_METADATA!$B$4&lt;&gt;"OR+EX",--(DATOS!$G19905=CONFIG_METADATA!$B$4),IF(DATOS!$G19905="EX",1,IF(DATOS!$G19905="OR",--(COUNTIFS(nNIA,DATOS!$A19905,nCURSO,DATOS!$D19905,nESPEC,DATOS!$E19905,nASIG,DATOS!$I19905,nEVAL,"EX")=0),0))))</f>
      </c>
      <c r="H19905">
        <f>IF(DATOS!$G19905&lt;&gt;"EX",0,--(COUNTIFS(nNIA,DATOS!$A19905,nCURSO,DATOS!$D19905,nESPEC,DATOS!$E19905,nASIG,DATOS!$I19905,nEVAL,"OR")=0))</f>
      </c>
      <c r="I19905">
        <f>IF(DATOS!$I19905="","",IFERROR(VLOOKUP(DATOS!$I19905,CONFIG_ASIGNATURAS!$B$2:$J$91,9,FALSE()),""))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IF(DATOS!$A19906="",0,IF(CONFIG_METADATA!$B$4&lt;&gt;"OR+EX",--(DATOS!$G19906=CONFIG_METADATA!$B$4),IF(DATOS!$G19906="EX",1,IF(DATOS!$G19906="OR",--(COUNTIFS(nNIA,DATOS!$A19906,nCURSO,DATOS!$D19906,nESPEC,DATOS!$E19906,nASIG,DATOS!$I19906,nEVAL,"EX")=0),0))))</f>
      </c>
      <c r="H19906">
        <f>IF(DATOS!$G19906&lt;&gt;"EX",0,--(COUNTIFS(nNIA,DATOS!$A19906,nCURSO,DATOS!$D19906,nESPEC,DATOS!$E19906,nASIG,DATOS!$I19906,nEVAL,"OR")=0))</f>
      </c>
      <c r="I19906">
        <f>IF(DATOS!$I19906="","",IFERROR(VLOOKUP(DATOS!$I19906,CONFIG_ASIGNATURAS!$B$2:$J$91,9,FALSE()),""))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IF(DATOS!$A19907="",0,IF(CONFIG_METADATA!$B$4&lt;&gt;"OR+EX",--(DATOS!$G19907=CONFIG_METADATA!$B$4),IF(DATOS!$G19907="EX",1,IF(DATOS!$G19907="OR",--(COUNTIFS(nNIA,DATOS!$A19907,nCURSO,DATOS!$D19907,nESPEC,DATOS!$E19907,nASIG,DATOS!$I19907,nEVAL,"EX")=0),0))))</f>
      </c>
      <c r="H19907">
        <f>IF(DATOS!$G19907&lt;&gt;"EX",0,--(COUNTIFS(nNIA,DATOS!$A19907,nCURSO,DATOS!$D19907,nESPEC,DATOS!$E19907,nASIG,DATOS!$I19907,nEVAL,"OR")=0))</f>
      </c>
      <c r="I19907">
        <f>IF(DATOS!$I19907="","",IFERROR(VLOOKUP(DATOS!$I19907,CONFIG_ASIGNATURAS!$B$2:$J$91,9,FALSE()),""))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IF(DATOS!$A19908="",0,IF(CONFIG_METADATA!$B$4&lt;&gt;"OR+EX",--(DATOS!$G19908=CONFIG_METADATA!$B$4),IF(DATOS!$G19908="EX",1,IF(DATOS!$G19908="OR",--(COUNTIFS(nNIA,DATOS!$A19908,nCURSO,DATOS!$D19908,nESPEC,DATOS!$E19908,nASIG,DATOS!$I19908,nEVAL,"EX")=0),0))))</f>
      </c>
      <c r="H19908">
        <f>IF(DATOS!$G19908&lt;&gt;"EX",0,--(COUNTIFS(nNIA,DATOS!$A19908,nCURSO,DATOS!$D19908,nESPEC,DATOS!$E19908,nASIG,DATOS!$I19908,nEVAL,"OR")=0))</f>
      </c>
      <c r="I19908">
        <f>IF(DATOS!$I19908="","",IFERROR(VLOOKUP(DATOS!$I19908,CONFIG_ASIGNATURAS!$B$2:$J$91,9,FALSE()),""))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IF(DATOS!$A19909="",0,IF(CONFIG_METADATA!$B$4&lt;&gt;"OR+EX",--(DATOS!$G19909=CONFIG_METADATA!$B$4),IF(DATOS!$G19909="EX",1,IF(DATOS!$G19909="OR",--(COUNTIFS(nNIA,DATOS!$A19909,nCURSO,DATOS!$D19909,nESPEC,DATOS!$E19909,nASIG,DATOS!$I19909,nEVAL,"EX")=0),0))))</f>
      </c>
      <c r="H19909">
        <f>IF(DATOS!$G19909&lt;&gt;"EX",0,--(COUNTIFS(nNIA,DATOS!$A19909,nCURSO,DATOS!$D19909,nESPEC,DATOS!$E19909,nASIG,DATOS!$I19909,nEVAL,"OR")=0))</f>
      </c>
      <c r="I19909">
        <f>IF(DATOS!$I19909="","",IFERROR(VLOOKUP(DATOS!$I19909,CONFIG_ASIGNATURAS!$B$2:$J$91,9,FALSE()),""))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IF(DATOS!$A19910="",0,IF(CONFIG_METADATA!$B$4&lt;&gt;"OR+EX",--(DATOS!$G19910=CONFIG_METADATA!$B$4),IF(DATOS!$G19910="EX",1,IF(DATOS!$G19910="OR",--(COUNTIFS(nNIA,DATOS!$A19910,nCURSO,DATOS!$D19910,nESPEC,DATOS!$E19910,nASIG,DATOS!$I19910,nEVAL,"EX")=0),0))))</f>
      </c>
      <c r="H19910">
        <f>IF(DATOS!$G19910&lt;&gt;"EX",0,--(COUNTIFS(nNIA,DATOS!$A19910,nCURSO,DATOS!$D19910,nESPEC,DATOS!$E19910,nASIG,DATOS!$I19910,nEVAL,"OR")=0))</f>
      </c>
      <c r="I19910">
        <f>IF(DATOS!$I19910="","",IFERROR(VLOOKUP(DATOS!$I19910,CONFIG_ASIGNATURAS!$B$2:$J$91,9,FALSE()),""))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IF(DATOS!$A19911="",0,IF(CONFIG_METADATA!$B$4&lt;&gt;"OR+EX",--(DATOS!$G19911=CONFIG_METADATA!$B$4),IF(DATOS!$G19911="EX",1,IF(DATOS!$G19911="OR",--(COUNTIFS(nNIA,DATOS!$A19911,nCURSO,DATOS!$D19911,nESPEC,DATOS!$E19911,nASIG,DATOS!$I19911,nEVAL,"EX")=0),0))))</f>
      </c>
      <c r="H19911">
        <f>IF(DATOS!$G19911&lt;&gt;"EX",0,--(COUNTIFS(nNIA,DATOS!$A19911,nCURSO,DATOS!$D19911,nESPEC,DATOS!$E19911,nASIG,DATOS!$I19911,nEVAL,"OR")=0))</f>
      </c>
      <c r="I19911">
        <f>IF(DATOS!$I19911="","",IFERROR(VLOOKUP(DATOS!$I19911,CONFIG_ASIGNATURAS!$B$2:$J$91,9,FALSE()),""))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IF(DATOS!$A19912="",0,IF(CONFIG_METADATA!$B$4&lt;&gt;"OR+EX",--(DATOS!$G19912=CONFIG_METADATA!$B$4),IF(DATOS!$G19912="EX",1,IF(DATOS!$G19912="OR",--(COUNTIFS(nNIA,DATOS!$A19912,nCURSO,DATOS!$D19912,nESPEC,DATOS!$E19912,nASIG,DATOS!$I19912,nEVAL,"EX")=0),0))))</f>
      </c>
      <c r="H19912">
        <f>IF(DATOS!$G19912&lt;&gt;"EX",0,--(COUNTIFS(nNIA,DATOS!$A19912,nCURSO,DATOS!$D19912,nESPEC,DATOS!$E19912,nASIG,DATOS!$I19912,nEVAL,"OR")=0))</f>
      </c>
      <c r="I19912">
        <f>IF(DATOS!$I19912="","",IFERROR(VLOOKUP(DATOS!$I19912,CONFIG_ASIGNATURAS!$B$2:$J$91,9,FALSE()),""))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IF(DATOS!$A19913="",0,IF(CONFIG_METADATA!$B$4&lt;&gt;"OR+EX",--(DATOS!$G19913=CONFIG_METADATA!$B$4),IF(DATOS!$G19913="EX",1,IF(DATOS!$G19913="OR",--(COUNTIFS(nNIA,DATOS!$A19913,nCURSO,DATOS!$D19913,nESPEC,DATOS!$E19913,nASIG,DATOS!$I19913,nEVAL,"EX")=0),0))))</f>
      </c>
      <c r="H19913">
        <f>IF(DATOS!$G19913&lt;&gt;"EX",0,--(COUNTIFS(nNIA,DATOS!$A19913,nCURSO,DATOS!$D19913,nESPEC,DATOS!$E19913,nASIG,DATOS!$I19913,nEVAL,"OR")=0))</f>
      </c>
      <c r="I19913">
        <f>IF(DATOS!$I19913="","",IFERROR(VLOOKUP(DATOS!$I19913,CONFIG_ASIGNATURAS!$B$2:$J$91,9,FALSE()),""))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IF(DATOS!$A19914="",0,IF(CONFIG_METADATA!$B$4&lt;&gt;"OR+EX",--(DATOS!$G19914=CONFIG_METADATA!$B$4),IF(DATOS!$G19914="EX",1,IF(DATOS!$G19914="OR",--(COUNTIFS(nNIA,DATOS!$A19914,nCURSO,DATOS!$D19914,nESPEC,DATOS!$E19914,nASIG,DATOS!$I19914,nEVAL,"EX")=0),0))))</f>
      </c>
      <c r="H19914">
        <f>IF(DATOS!$G19914&lt;&gt;"EX",0,--(COUNTIFS(nNIA,DATOS!$A19914,nCURSO,DATOS!$D19914,nESPEC,DATOS!$E19914,nASIG,DATOS!$I19914,nEVAL,"OR")=0))</f>
      </c>
      <c r="I19914">
        <f>IF(DATOS!$I19914="","",IFERROR(VLOOKUP(DATOS!$I19914,CONFIG_ASIGNATURAS!$B$2:$J$91,9,FALSE()),""))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IF(DATOS!$A19915="",0,IF(CONFIG_METADATA!$B$4&lt;&gt;"OR+EX",--(DATOS!$G19915=CONFIG_METADATA!$B$4),IF(DATOS!$G19915="EX",1,IF(DATOS!$G19915="OR",--(COUNTIFS(nNIA,DATOS!$A19915,nCURSO,DATOS!$D19915,nESPEC,DATOS!$E19915,nASIG,DATOS!$I19915,nEVAL,"EX")=0),0))))</f>
      </c>
      <c r="H19915">
        <f>IF(DATOS!$G19915&lt;&gt;"EX",0,--(COUNTIFS(nNIA,DATOS!$A19915,nCURSO,DATOS!$D19915,nESPEC,DATOS!$E19915,nASIG,DATOS!$I19915,nEVAL,"OR")=0))</f>
      </c>
      <c r="I19915">
        <f>IF(DATOS!$I19915="","",IFERROR(VLOOKUP(DATOS!$I19915,CONFIG_ASIGNATURAS!$B$2:$J$91,9,FALSE()),""))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IF(DATOS!$A19916="",0,IF(CONFIG_METADATA!$B$4&lt;&gt;"OR+EX",--(DATOS!$G19916=CONFIG_METADATA!$B$4),IF(DATOS!$G19916="EX",1,IF(DATOS!$G19916="OR",--(COUNTIFS(nNIA,DATOS!$A19916,nCURSO,DATOS!$D19916,nESPEC,DATOS!$E19916,nASIG,DATOS!$I19916,nEVAL,"EX")=0),0))))</f>
      </c>
      <c r="H19916">
        <f>IF(DATOS!$G19916&lt;&gt;"EX",0,--(COUNTIFS(nNIA,DATOS!$A19916,nCURSO,DATOS!$D19916,nESPEC,DATOS!$E19916,nASIG,DATOS!$I19916,nEVAL,"OR")=0))</f>
      </c>
      <c r="I19916">
        <f>IF(DATOS!$I19916="","",IFERROR(VLOOKUP(DATOS!$I19916,CONFIG_ASIGNATURAS!$B$2:$J$91,9,FALSE()),""))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IF(DATOS!$A19917="",0,IF(CONFIG_METADATA!$B$4&lt;&gt;"OR+EX",--(DATOS!$G19917=CONFIG_METADATA!$B$4),IF(DATOS!$G19917="EX",1,IF(DATOS!$G19917="OR",--(COUNTIFS(nNIA,DATOS!$A19917,nCURSO,DATOS!$D19917,nESPEC,DATOS!$E19917,nASIG,DATOS!$I19917,nEVAL,"EX")=0),0))))</f>
      </c>
      <c r="H19917">
        <f>IF(DATOS!$G19917&lt;&gt;"EX",0,--(COUNTIFS(nNIA,DATOS!$A19917,nCURSO,DATOS!$D19917,nESPEC,DATOS!$E19917,nASIG,DATOS!$I19917,nEVAL,"OR")=0))</f>
      </c>
      <c r="I19917">
        <f>IF(DATOS!$I19917="","",IFERROR(VLOOKUP(DATOS!$I19917,CONFIG_ASIGNATURAS!$B$2:$J$91,9,FALSE()),""))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IF(DATOS!$A19918="",0,IF(CONFIG_METADATA!$B$4&lt;&gt;"OR+EX",--(DATOS!$G19918=CONFIG_METADATA!$B$4),IF(DATOS!$G19918="EX",1,IF(DATOS!$G19918="OR",--(COUNTIFS(nNIA,DATOS!$A19918,nCURSO,DATOS!$D19918,nESPEC,DATOS!$E19918,nASIG,DATOS!$I19918,nEVAL,"EX")=0),0))))</f>
      </c>
      <c r="H19918">
        <f>IF(DATOS!$G19918&lt;&gt;"EX",0,--(COUNTIFS(nNIA,DATOS!$A19918,nCURSO,DATOS!$D19918,nESPEC,DATOS!$E19918,nASIG,DATOS!$I19918,nEVAL,"OR")=0))</f>
      </c>
      <c r="I19918">
        <f>IF(DATOS!$I19918="","",IFERROR(VLOOKUP(DATOS!$I19918,CONFIG_ASIGNATURAS!$B$2:$J$91,9,FALSE()),""))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IF(DATOS!$A19919="",0,IF(CONFIG_METADATA!$B$4&lt;&gt;"OR+EX",--(DATOS!$G19919=CONFIG_METADATA!$B$4),IF(DATOS!$G19919="EX",1,IF(DATOS!$G19919="OR",--(COUNTIFS(nNIA,DATOS!$A19919,nCURSO,DATOS!$D19919,nESPEC,DATOS!$E19919,nASIG,DATOS!$I19919,nEVAL,"EX")=0),0))))</f>
      </c>
      <c r="H19919">
        <f>IF(DATOS!$G19919&lt;&gt;"EX",0,--(COUNTIFS(nNIA,DATOS!$A19919,nCURSO,DATOS!$D19919,nESPEC,DATOS!$E19919,nASIG,DATOS!$I19919,nEVAL,"OR")=0))</f>
      </c>
      <c r="I19919">
        <f>IF(DATOS!$I19919="","",IFERROR(VLOOKUP(DATOS!$I19919,CONFIG_ASIGNATURAS!$B$2:$J$91,9,FALSE()),""))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IF(DATOS!$A19920="",0,IF(CONFIG_METADATA!$B$4&lt;&gt;"OR+EX",--(DATOS!$G19920=CONFIG_METADATA!$B$4),IF(DATOS!$G19920="EX",1,IF(DATOS!$G19920="OR",--(COUNTIFS(nNIA,DATOS!$A19920,nCURSO,DATOS!$D19920,nESPEC,DATOS!$E19920,nASIG,DATOS!$I19920,nEVAL,"EX")=0),0))))</f>
      </c>
      <c r="H19920">
        <f>IF(DATOS!$G19920&lt;&gt;"EX",0,--(COUNTIFS(nNIA,DATOS!$A19920,nCURSO,DATOS!$D19920,nESPEC,DATOS!$E19920,nASIG,DATOS!$I19920,nEVAL,"OR")=0))</f>
      </c>
      <c r="I19920">
        <f>IF(DATOS!$I19920="","",IFERROR(VLOOKUP(DATOS!$I19920,CONFIG_ASIGNATURAS!$B$2:$J$91,9,FALSE()),""))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IF(DATOS!$A19921="",0,IF(CONFIG_METADATA!$B$4&lt;&gt;"OR+EX",--(DATOS!$G19921=CONFIG_METADATA!$B$4),IF(DATOS!$G19921="EX",1,IF(DATOS!$G19921="OR",--(COUNTIFS(nNIA,DATOS!$A19921,nCURSO,DATOS!$D19921,nESPEC,DATOS!$E19921,nASIG,DATOS!$I19921,nEVAL,"EX")=0),0))))</f>
      </c>
      <c r="H19921">
        <f>IF(DATOS!$G19921&lt;&gt;"EX",0,--(COUNTIFS(nNIA,DATOS!$A19921,nCURSO,DATOS!$D19921,nESPEC,DATOS!$E19921,nASIG,DATOS!$I19921,nEVAL,"OR")=0))</f>
      </c>
      <c r="I19921">
        <f>IF(DATOS!$I19921="","",IFERROR(VLOOKUP(DATOS!$I19921,CONFIG_ASIGNATURAS!$B$2:$J$91,9,FALSE()),""))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IF(DATOS!$A19922="",0,IF(CONFIG_METADATA!$B$4&lt;&gt;"OR+EX",--(DATOS!$G19922=CONFIG_METADATA!$B$4),IF(DATOS!$G19922="EX",1,IF(DATOS!$G19922="OR",--(COUNTIFS(nNIA,DATOS!$A19922,nCURSO,DATOS!$D19922,nESPEC,DATOS!$E19922,nASIG,DATOS!$I19922,nEVAL,"EX")=0),0))))</f>
      </c>
      <c r="H19922">
        <f>IF(DATOS!$G19922&lt;&gt;"EX",0,--(COUNTIFS(nNIA,DATOS!$A19922,nCURSO,DATOS!$D19922,nESPEC,DATOS!$E19922,nASIG,DATOS!$I19922,nEVAL,"OR")=0))</f>
      </c>
      <c r="I19922">
        <f>IF(DATOS!$I19922="","",IFERROR(VLOOKUP(DATOS!$I19922,CONFIG_ASIGNATURAS!$B$2:$J$91,9,FALSE()),""))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IF(DATOS!$A19923="",0,IF(CONFIG_METADATA!$B$4&lt;&gt;"OR+EX",--(DATOS!$G19923=CONFIG_METADATA!$B$4),IF(DATOS!$G19923="EX",1,IF(DATOS!$G19923="OR",--(COUNTIFS(nNIA,DATOS!$A19923,nCURSO,DATOS!$D19923,nESPEC,DATOS!$E19923,nASIG,DATOS!$I19923,nEVAL,"EX")=0),0))))</f>
      </c>
      <c r="H19923">
        <f>IF(DATOS!$G19923&lt;&gt;"EX",0,--(COUNTIFS(nNIA,DATOS!$A19923,nCURSO,DATOS!$D19923,nESPEC,DATOS!$E19923,nASIG,DATOS!$I19923,nEVAL,"OR")=0))</f>
      </c>
      <c r="I19923">
        <f>IF(DATOS!$I19923="","",IFERROR(VLOOKUP(DATOS!$I19923,CONFIG_ASIGNATURAS!$B$2:$J$91,9,FALSE()),""))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IF(DATOS!$A19924="",0,IF(CONFIG_METADATA!$B$4&lt;&gt;"OR+EX",--(DATOS!$G19924=CONFIG_METADATA!$B$4),IF(DATOS!$G19924="EX",1,IF(DATOS!$G19924="OR",--(COUNTIFS(nNIA,DATOS!$A19924,nCURSO,DATOS!$D19924,nESPEC,DATOS!$E19924,nASIG,DATOS!$I19924,nEVAL,"EX")=0),0))))</f>
      </c>
      <c r="H19924">
        <f>IF(DATOS!$G19924&lt;&gt;"EX",0,--(COUNTIFS(nNIA,DATOS!$A19924,nCURSO,DATOS!$D19924,nESPEC,DATOS!$E19924,nASIG,DATOS!$I19924,nEVAL,"OR")=0))</f>
      </c>
      <c r="I19924">
        <f>IF(DATOS!$I19924="","",IFERROR(VLOOKUP(DATOS!$I19924,CONFIG_ASIGNATURAS!$B$2:$J$91,9,FALSE()),""))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IF(DATOS!$A19925="",0,IF(CONFIG_METADATA!$B$4&lt;&gt;"OR+EX",--(DATOS!$G19925=CONFIG_METADATA!$B$4),IF(DATOS!$G19925="EX",1,IF(DATOS!$G19925="OR",--(COUNTIFS(nNIA,DATOS!$A19925,nCURSO,DATOS!$D19925,nESPEC,DATOS!$E19925,nASIG,DATOS!$I19925,nEVAL,"EX")=0),0))))</f>
      </c>
      <c r="H19925">
        <f>IF(DATOS!$G19925&lt;&gt;"EX",0,--(COUNTIFS(nNIA,DATOS!$A19925,nCURSO,DATOS!$D19925,nESPEC,DATOS!$E19925,nASIG,DATOS!$I19925,nEVAL,"OR")=0))</f>
      </c>
      <c r="I19925">
        <f>IF(DATOS!$I19925="","",IFERROR(VLOOKUP(DATOS!$I19925,CONFIG_ASIGNATURAS!$B$2:$J$91,9,FALSE()),""))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IF(DATOS!$A19926="",0,IF(CONFIG_METADATA!$B$4&lt;&gt;"OR+EX",--(DATOS!$G19926=CONFIG_METADATA!$B$4),IF(DATOS!$G19926="EX",1,IF(DATOS!$G19926="OR",--(COUNTIFS(nNIA,DATOS!$A19926,nCURSO,DATOS!$D19926,nESPEC,DATOS!$E19926,nASIG,DATOS!$I19926,nEVAL,"EX")=0),0))))</f>
      </c>
      <c r="H19926">
        <f>IF(DATOS!$G19926&lt;&gt;"EX",0,--(COUNTIFS(nNIA,DATOS!$A19926,nCURSO,DATOS!$D19926,nESPEC,DATOS!$E19926,nASIG,DATOS!$I19926,nEVAL,"OR")=0))</f>
      </c>
      <c r="I19926">
        <f>IF(DATOS!$I19926="","",IFERROR(VLOOKUP(DATOS!$I19926,CONFIG_ASIGNATURAS!$B$2:$J$91,9,FALSE()),""))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IF(DATOS!$A19927="",0,IF(CONFIG_METADATA!$B$4&lt;&gt;"OR+EX",--(DATOS!$G19927=CONFIG_METADATA!$B$4),IF(DATOS!$G19927="EX",1,IF(DATOS!$G19927="OR",--(COUNTIFS(nNIA,DATOS!$A19927,nCURSO,DATOS!$D19927,nESPEC,DATOS!$E19927,nASIG,DATOS!$I19927,nEVAL,"EX")=0),0))))</f>
      </c>
      <c r="H19927">
        <f>IF(DATOS!$G19927&lt;&gt;"EX",0,--(COUNTIFS(nNIA,DATOS!$A19927,nCURSO,DATOS!$D19927,nESPEC,DATOS!$E19927,nASIG,DATOS!$I19927,nEVAL,"OR")=0))</f>
      </c>
      <c r="I19927">
        <f>IF(DATOS!$I19927="","",IFERROR(VLOOKUP(DATOS!$I19927,CONFIG_ASIGNATURAS!$B$2:$J$91,9,FALSE()),""))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IF(DATOS!$A19928="",0,IF(CONFIG_METADATA!$B$4&lt;&gt;"OR+EX",--(DATOS!$G19928=CONFIG_METADATA!$B$4),IF(DATOS!$G19928="EX",1,IF(DATOS!$G19928="OR",--(COUNTIFS(nNIA,DATOS!$A19928,nCURSO,DATOS!$D19928,nESPEC,DATOS!$E19928,nASIG,DATOS!$I19928,nEVAL,"EX")=0),0))))</f>
      </c>
      <c r="H19928">
        <f>IF(DATOS!$G19928&lt;&gt;"EX",0,--(COUNTIFS(nNIA,DATOS!$A19928,nCURSO,DATOS!$D19928,nESPEC,DATOS!$E19928,nASIG,DATOS!$I19928,nEVAL,"OR")=0))</f>
      </c>
      <c r="I19928">
        <f>IF(DATOS!$I19928="","",IFERROR(VLOOKUP(DATOS!$I19928,CONFIG_ASIGNATURAS!$B$2:$J$91,9,FALSE()),""))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IF(DATOS!$A19929="",0,IF(CONFIG_METADATA!$B$4&lt;&gt;"OR+EX",--(DATOS!$G19929=CONFIG_METADATA!$B$4),IF(DATOS!$G19929="EX",1,IF(DATOS!$G19929="OR",--(COUNTIFS(nNIA,DATOS!$A19929,nCURSO,DATOS!$D19929,nESPEC,DATOS!$E19929,nASIG,DATOS!$I19929,nEVAL,"EX")=0),0))))</f>
      </c>
      <c r="H19929">
        <f>IF(DATOS!$G19929&lt;&gt;"EX",0,--(COUNTIFS(nNIA,DATOS!$A19929,nCURSO,DATOS!$D19929,nESPEC,DATOS!$E19929,nASIG,DATOS!$I19929,nEVAL,"OR")=0))</f>
      </c>
      <c r="I19929">
        <f>IF(DATOS!$I19929="","",IFERROR(VLOOKUP(DATOS!$I19929,CONFIG_ASIGNATURAS!$B$2:$J$91,9,FALSE()),""))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IF(DATOS!$A19930="",0,IF(CONFIG_METADATA!$B$4&lt;&gt;"OR+EX",--(DATOS!$G19930=CONFIG_METADATA!$B$4),IF(DATOS!$G19930="EX",1,IF(DATOS!$G19930="OR",--(COUNTIFS(nNIA,DATOS!$A19930,nCURSO,DATOS!$D19930,nESPEC,DATOS!$E19930,nASIG,DATOS!$I19930,nEVAL,"EX")=0),0))))</f>
      </c>
      <c r="H19930">
        <f>IF(DATOS!$G19930&lt;&gt;"EX",0,--(COUNTIFS(nNIA,DATOS!$A19930,nCURSO,DATOS!$D19930,nESPEC,DATOS!$E19930,nASIG,DATOS!$I19930,nEVAL,"OR")=0))</f>
      </c>
      <c r="I19930">
        <f>IF(DATOS!$I19930="","",IFERROR(VLOOKUP(DATOS!$I19930,CONFIG_ASIGNATURAS!$B$2:$J$91,9,FALSE()),""))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IF(DATOS!$A19931="",0,IF(CONFIG_METADATA!$B$4&lt;&gt;"OR+EX",--(DATOS!$G19931=CONFIG_METADATA!$B$4),IF(DATOS!$G19931="EX",1,IF(DATOS!$G19931="OR",--(COUNTIFS(nNIA,DATOS!$A19931,nCURSO,DATOS!$D19931,nESPEC,DATOS!$E19931,nASIG,DATOS!$I19931,nEVAL,"EX")=0),0))))</f>
      </c>
      <c r="H19931">
        <f>IF(DATOS!$G19931&lt;&gt;"EX",0,--(COUNTIFS(nNIA,DATOS!$A19931,nCURSO,DATOS!$D19931,nESPEC,DATOS!$E19931,nASIG,DATOS!$I19931,nEVAL,"OR")=0))</f>
      </c>
      <c r="I19931">
        <f>IF(DATOS!$I19931="","",IFERROR(VLOOKUP(DATOS!$I19931,CONFIG_ASIGNATURAS!$B$2:$J$91,9,FALSE()),""))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IF(DATOS!$A19932="",0,IF(CONFIG_METADATA!$B$4&lt;&gt;"OR+EX",--(DATOS!$G19932=CONFIG_METADATA!$B$4),IF(DATOS!$G19932="EX",1,IF(DATOS!$G19932="OR",--(COUNTIFS(nNIA,DATOS!$A19932,nCURSO,DATOS!$D19932,nESPEC,DATOS!$E19932,nASIG,DATOS!$I19932,nEVAL,"EX")=0),0))))</f>
      </c>
      <c r="H19932">
        <f>IF(DATOS!$G19932&lt;&gt;"EX",0,--(COUNTIFS(nNIA,DATOS!$A19932,nCURSO,DATOS!$D19932,nESPEC,DATOS!$E19932,nASIG,DATOS!$I19932,nEVAL,"OR")=0))</f>
      </c>
      <c r="I19932">
        <f>IF(DATOS!$I19932="","",IFERROR(VLOOKUP(DATOS!$I19932,CONFIG_ASIGNATURAS!$B$2:$J$91,9,FALSE()),""))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IF(DATOS!$A19933="",0,IF(CONFIG_METADATA!$B$4&lt;&gt;"OR+EX",--(DATOS!$G19933=CONFIG_METADATA!$B$4),IF(DATOS!$G19933="EX",1,IF(DATOS!$G19933="OR",--(COUNTIFS(nNIA,DATOS!$A19933,nCURSO,DATOS!$D19933,nESPEC,DATOS!$E19933,nASIG,DATOS!$I19933,nEVAL,"EX")=0),0))))</f>
      </c>
      <c r="H19933">
        <f>IF(DATOS!$G19933&lt;&gt;"EX",0,--(COUNTIFS(nNIA,DATOS!$A19933,nCURSO,DATOS!$D19933,nESPEC,DATOS!$E19933,nASIG,DATOS!$I19933,nEVAL,"OR")=0))</f>
      </c>
      <c r="I19933">
        <f>IF(DATOS!$I19933="","",IFERROR(VLOOKUP(DATOS!$I19933,CONFIG_ASIGNATURAS!$B$2:$J$91,9,FALSE()),""))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IF(DATOS!$A19934="",0,IF(CONFIG_METADATA!$B$4&lt;&gt;"OR+EX",--(DATOS!$G19934=CONFIG_METADATA!$B$4),IF(DATOS!$G19934="EX",1,IF(DATOS!$G19934="OR",--(COUNTIFS(nNIA,DATOS!$A19934,nCURSO,DATOS!$D19934,nESPEC,DATOS!$E19934,nASIG,DATOS!$I19934,nEVAL,"EX")=0),0))))</f>
      </c>
      <c r="H19934">
        <f>IF(DATOS!$G19934&lt;&gt;"EX",0,--(COUNTIFS(nNIA,DATOS!$A19934,nCURSO,DATOS!$D19934,nESPEC,DATOS!$E19934,nASIG,DATOS!$I19934,nEVAL,"OR")=0))</f>
      </c>
      <c r="I19934">
        <f>IF(DATOS!$I19934="","",IFERROR(VLOOKUP(DATOS!$I19934,CONFIG_ASIGNATURAS!$B$2:$J$91,9,FALSE()),""))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IF(DATOS!$A19935="",0,IF(CONFIG_METADATA!$B$4&lt;&gt;"OR+EX",--(DATOS!$G19935=CONFIG_METADATA!$B$4),IF(DATOS!$G19935="EX",1,IF(DATOS!$G19935="OR",--(COUNTIFS(nNIA,DATOS!$A19935,nCURSO,DATOS!$D19935,nESPEC,DATOS!$E19935,nASIG,DATOS!$I19935,nEVAL,"EX")=0),0))))</f>
      </c>
      <c r="H19935">
        <f>IF(DATOS!$G19935&lt;&gt;"EX",0,--(COUNTIFS(nNIA,DATOS!$A19935,nCURSO,DATOS!$D19935,nESPEC,DATOS!$E19935,nASIG,DATOS!$I19935,nEVAL,"OR")=0))</f>
      </c>
      <c r="I19935">
        <f>IF(DATOS!$I19935="","",IFERROR(VLOOKUP(DATOS!$I19935,CONFIG_ASIGNATURAS!$B$2:$J$91,9,FALSE()),""))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IF(DATOS!$A19936="",0,IF(CONFIG_METADATA!$B$4&lt;&gt;"OR+EX",--(DATOS!$G19936=CONFIG_METADATA!$B$4),IF(DATOS!$G19936="EX",1,IF(DATOS!$G19936="OR",--(COUNTIFS(nNIA,DATOS!$A19936,nCURSO,DATOS!$D19936,nESPEC,DATOS!$E19936,nASIG,DATOS!$I19936,nEVAL,"EX")=0),0))))</f>
      </c>
      <c r="H19936">
        <f>IF(DATOS!$G19936&lt;&gt;"EX",0,--(COUNTIFS(nNIA,DATOS!$A19936,nCURSO,DATOS!$D19936,nESPEC,DATOS!$E19936,nASIG,DATOS!$I19936,nEVAL,"OR")=0))</f>
      </c>
      <c r="I19936">
        <f>IF(DATOS!$I19936="","",IFERROR(VLOOKUP(DATOS!$I19936,CONFIG_ASIGNATURAS!$B$2:$J$91,9,FALSE()),""))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IF(DATOS!$A19937="",0,IF(CONFIG_METADATA!$B$4&lt;&gt;"OR+EX",--(DATOS!$G19937=CONFIG_METADATA!$B$4),IF(DATOS!$G19937="EX",1,IF(DATOS!$G19937="OR",--(COUNTIFS(nNIA,DATOS!$A19937,nCURSO,DATOS!$D19937,nESPEC,DATOS!$E19937,nASIG,DATOS!$I19937,nEVAL,"EX")=0),0))))</f>
      </c>
      <c r="H19937">
        <f>IF(DATOS!$G19937&lt;&gt;"EX",0,--(COUNTIFS(nNIA,DATOS!$A19937,nCURSO,DATOS!$D19937,nESPEC,DATOS!$E19937,nASIG,DATOS!$I19937,nEVAL,"OR")=0))</f>
      </c>
      <c r="I19937">
        <f>IF(DATOS!$I19937="","",IFERROR(VLOOKUP(DATOS!$I19937,CONFIG_ASIGNATURAS!$B$2:$J$91,9,FALSE()),""))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IF(DATOS!$A19938="",0,IF(CONFIG_METADATA!$B$4&lt;&gt;"OR+EX",--(DATOS!$G19938=CONFIG_METADATA!$B$4),IF(DATOS!$G19938="EX",1,IF(DATOS!$G19938="OR",--(COUNTIFS(nNIA,DATOS!$A19938,nCURSO,DATOS!$D19938,nESPEC,DATOS!$E19938,nASIG,DATOS!$I19938,nEVAL,"EX")=0),0))))</f>
      </c>
      <c r="H19938">
        <f>IF(DATOS!$G19938&lt;&gt;"EX",0,--(COUNTIFS(nNIA,DATOS!$A19938,nCURSO,DATOS!$D19938,nESPEC,DATOS!$E19938,nASIG,DATOS!$I19938,nEVAL,"OR")=0))</f>
      </c>
      <c r="I19938">
        <f>IF(DATOS!$I19938="","",IFERROR(VLOOKUP(DATOS!$I19938,CONFIG_ASIGNATURAS!$B$2:$J$91,9,FALSE()),""))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IF(DATOS!$A19939="",0,IF(CONFIG_METADATA!$B$4&lt;&gt;"OR+EX",--(DATOS!$G19939=CONFIG_METADATA!$B$4),IF(DATOS!$G19939="EX",1,IF(DATOS!$G19939="OR",--(COUNTIFS(nNIA,DATOS!$A19939,nCURSO,DATOS!$D19939,nESPEC,DATOS!$E19939,nASIG,DATOS!$I19939,nEVAL,"EX")=0),0))))</f>
      </c>
      <c r="H19939">
        <f>IF(DATOS!$G19939&lt;&gt;"EX",0,--(COUNTIFS(nNIA,DATOS!$A19939,nCURSO,DATOS!$D19939,nESPEC,DATOS!$E19939,nASIG,DATOS!$I19939,nEVAL,"OR")=0))</f>
      </c>
      <c r="I19939">
        <f>IF(DATOS!$I19939="","",IFERROR(VLOOKUP(DATOS!$I19939,CONFIG_ASIGNATURAS!$B$2:$J$91,9,FALSE()),""))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IF(DATOS!$A19940="",0,IF(CONFIG_METADATA!$B$4&lt;&gt;"OR+EX",--(DATOS!$G19940=CONFIG_METADATA!$B$4),IF(DATOS!$G19940="EX",1,IF(DATOS!$G19940="OR",--(COUNTIFS(nNIA,DATOS!$A19940,nCURSO,DATOS!$D19940,nESPEC,DATOS!$E19940,nASIG,DATOS!$I19940,nEVAL,"EX")=0),0))))</f>
      </c>
      <c r="H19940">
        <f>IF(DATOS!$G19940&lt;&gt;"EX",0,--(COUNTIFS(nNIA,DATOS!$A19940,nCURSO,DATOS!$D19940,nESPEC,DATOS!$E19940,nASIG,DATOS!$I19940,nEVAL,"OR")=0))</f>
      </c>
      <c r="I19940">
        <f>IF(DATOS!$I19940="","",IFERROR(VLOOKUP(DATOS!$I19940,CONFIG_ASIGNATURAS!$B$2:$J$91,9,FALSE()),""))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IF(DATOS!$A19941="",0,IF(CONFIG_METADATA!$B$4&lt;&gt;"OR+EX",--(DATOS!$G19941=CONFIG_METADATA!$B$4),IF(DATOS!$G19941="EX",1,IF(DATOS!$G19941="OR",--(COUNTIFS(nNIA,DATOS!$A19941,nCURSO,DATOS!$D19941,nESPEC,DATOS!$E19941,nASIG,DATOS!$I19941,nEVAL,"EX")=0),0))))</f>
      </c>
      <c r="H19941">
        <f>IF(DATOS!$G19941&lt;&gt;"EX",0,--(COUNTIFS(nNIA,DATOS!$A19941,nCURSO,DATOS!$D19941,nESPEC,DATOS!$E19941,nASIG,DATOS!$I19941,nEVAL,"OR")=0))</f>
      </c>
      <c r="I19941">
        <f>IF(DATOS!$I19941="","",IFERROR(VLOOKUP(DATOS!$I19941,CONFIG_ASIGNATURAS!$B$2:$J$91,9,FALSE()),""))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IF(DATOS!$A19942="",0,IF(CONFIG_METADATA!$B$4&lt;&gt;"OR+EX",--(DATOS!$G19942=CONFIG_METADATA!$B$4),IF(DATOS!$G19942="EX",1,IF(DATOS!$G19942="OR",--(COUNTIFS(nNIA,DATOS!$A19942,nCURSO,DATOS!$D19942,nESPEC,DATOS!$E19942,nASIG,DATOS!$I19942,nEVAL,"EX")=0),0))))</f>
      </c>
      <c r="H19942">
        <f>IF(DATOS!$G19942&lt;&gt;"EX",0,--(COUNTIFS(nNIA,DATOS!$A19942,nCURSO,DATOS!$D19942,nESPEC,DATOS!$E19942,nASIG,DATOS!$I19942,nEVAL,"OR")=0))</f>
      </c>
      <c r="I19942">
        <f>IF(DATOS!$I19942="","",IFERROR(VLOOKUP(DATOS!$I19942,CONFIG_ASIGNATURAS!$B$2:$J$91,9,FALSE()),""))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IF(DATOS!$A19943="",0,IF(CONFIG_METADATA!$B$4&lt;&gt;"OR+EX",--(DATOS!$G19943=CONFIG_METADATA!$B$4),IF(DATOS!$G19943="EX",1,IF(DATOS!$G19943="OR",--(COUNTIFS(nNIA,DATOS!$A19943,nCURSO,DATOS!$D19943,nESPEC,DATOS!$E19943,nASIG,DATOS!$I19943,nEVAL,"EX")=0),0))))</f>
      </c>
      <c r="H19943">
        <f>IF(DATOS!$G19943&lt;&gt;"EX",0,--(COUNTIFS(nNIA,DATOS!$A19943,nCURSO,DATOS!$D19943,nESPEC,DATOS!$E19943,nASIG,DATOS!$I19943,nEVAL,"OR")=0))</f>
      </c>
      <c r="I19943">
        <f>IF(DATOS!$I19943="","",IFERROR(VLOOKUP(DATOS!$I19943,CONFIG_ASIGNATURAS!$B$2:$J$91,9,FALSE()),""))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IF(DATOS!$A19944="",0,IF(CONFIG_METADATA!$B$4&lt;&gt;"OR+EX",--(DATOS!$G19944=CONFIG_METADATA!$B$4),IF(DATOS!$G19944="EX",1,IF(DATOS!$G19944="OR",--(COUNTIFS(nNIA,DATOS!$A19944,nCURSO,DATOS!$D19944,nESPEC,DATOS!$E19944,nASIG,DATOS!$I19944,nEVAL,"EX")=0),0))))</f>
      </c>
      <c r="H19944">
        <f>IF(DATOS!$G19944&lt;&gt;"EX",0,--(COUNTIFS(nNIA,DATOS!$A19944,nCURSO,DATOS!$D19944,nESPEC,DATOS!$E19944,nASIG,DATOS!$I19944,nEVAL,"OR")=0))</f>
      </c>
      <c r="I19944">
        <f>IF(DATOS!$I19944="","",IFERROR(VLOOKUP(DATOS!$I19944,CONFIG_ASIGNATURAS!$B$2:$J$91,9,FALSE()),""))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IF(DATOS!$A19945="",0,IF(CONFIG_METADATA!$B$4&lt;&gt;"OR+EX",--(DATOS!$G19945=CONFIG_METADATA!$B$4),IF(DATOS!$G19945="EX",1,IF(DATOS!$G19945="OR",--(COUNTIFS(nNIA,DATOS!$A19945,nCURSO,DATOS!$D19945,nESPEC,DATOS!$E19945,nASIG,DATOS!$I19945,nEVAL,"EX")=0),0))))</f>
      </c>
      <c r="H19945">
        <f>IF(DATOS!$G19945&lt;&gt;"EX",0,--(COUNTIFS(nNIA,DATOS!$A19945,nCURSO,DATOS!$D19945,nESPEC,DATOS!$E19945,nASIG,DATOS!$I19945,nEVAL,"OR")=0))</f>
      </c>
      <c r="I19945">
        <f>IF(DATOS!$I19945="","",IFERROR(VLOOKUP(DATOS!$I19945,CONFIG_ASIGNATURAS!$B$2:$J$91,9,FALSE()),""))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IF(DATOS!$A19946="",0,IF(CONFIG_METADATA!$B$4&lt;&gt;"OR+EX",--(DATOS!$G19946=CONFIG_METADATA!$B$4),IF(DATOS!$G19946="EX",1,IF(DATOS!$G19946="OR",--(COUNTIFS(nNIA,DATOS!$A19946,nCURSO,DATOS!$D19946,nESPEC,DATOS!$E19946,nASIG,DATOS!$I19946,nEVAL,"EX")=0),0))))</f>
      </c>
      <c r="H19946">
        <f>IF(DATOS!$G19946&lt;&gt;"EX",0,--(COUNTIFS(nNIA,DATOS!$A19946,nCURSO,DATOS!$D19946,nESPEC,DATOS!$E19946,nASIG,DATOS!$I19946,nEVAL,"OR")=0))</f>
      </c>
      <c r="I19946">
        <f>IF(DATOS!$I19946="","",IFERROR(VLOOKUP(DATOS!$I19946,CONFIG_ASIGNATURAS!$B$2:$J$91,9,FALSE()),""))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IF(DATOS!$A19947="",0,IF(CONFIG_METADATA!$B$4&lt;&gt;"OR+EX",--(DATOS!$G19947=CONFIG_METADATA!$B$4),IF(DATOS!$G19947="EX",1,IF(DATOS!$G19947="OR",--(COUNTIFS(nNIA,DATOS!$A19947,nCURSO,DATOS!$D19947,nESPEC,DATOS!$E19947,nASIG,DATOS!$I19947,nEVAL,"EX")=0),0))))</f>
      </c>
      <c r="H19947">
        <f>IF(DATOS!$G19947&lt;&gt;"EX",0,--(COUNTIFS(nNIA,DATOS!$A19947,nCURSO,DATOS!$D19947,nESPEC,DATOS!$E19947,nASIG,DATOS!$I19947,nEVAL,"OR")=0))</f>
      </c>
      <c r="I19947">
        <f>IF(DATOS!$I19947="","",IFERROR(VLOOKUP(DATOS!$I19947,CONFIG_ASIGNATURAS!$B$2:$J$91,9,FALSE()),""))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IF(DATOS!$A19948="",0,IF(CONFIG_METADATA!$B$4&lt;&gt;"OR+EX",--(DATOS!$G19948=CONFIG_METADATA!$B$4),IF(DATOS!$G19948="EX",1,IF(DATOS!$G19948="OR",--(COUNTIFS(nNIA,DATOS!$A19948,nCURSO,DATOS!$D19948,nESPEC,DATOS!$E19948,nASIG,DATOS!$I19948,nEVAL,"EX")=0),0))))</f>
      </c>
      <c r="H19948">
        <f>IF(DATOS!$G19948&lt;&gt;"EX",0,--(COUNTIFS(nNIA,DATOS!$A19948,nCURSO,DATOS!$D19948,nESPEC,DATOS!$E19948,nASIG,DATOS!$I19948,nEVAL,"OR")=0))</f>
      </c>
      <c r="I19948">
        <f>IF(DATOS!$I19948="","",IFERROR(VLOOKUP(DATOS!$I19948,CONFIG_ASIGNATURAS!$B$2:$J$91,9,FALSE()),""))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IF(DATOS!$A19949="",0,IF(CONFIG_METADATA!$B$4&lt;&gt;"OR+EX",--(DATOS!$G19949=CONFIG_METADATA!$B$4),IF(DATOS!$G19949="EX",1,IF(DATOS!$G19949="OR",--(COUNTIFS(nNIA,DATOS!$A19949,nCURSO,DATOS!$D19949,nESPEC,DATOS!$E19949,nASIG,DATOS!$I19949,nEVAL,"EX")=0),0))))</f>
      </c>
      <c r="H19949">
        <f>IF(DATOS!$G19949&lt;&gt;"EX",0,--(COUNTIFS(nNIA,DATOS!$A19949,nCURSO,DATOS!$D19949,nESPEC,DATOS!$E19949,nASIG,DATOS!$I19949,nEVAL,"OR")=0))</f>
      </c>
      <c r="I19949">
        <f>IF(DATOS!$I19949="","",IFERROR(VLOOKUP(DATOS!$I19949,CONFIG_ASIGNATURAS!$B$2:$J$91,9,FALSE()),""))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IF(DATOS!$A19950="",0,IF(CONFIG_METADATA!$B$4&lt;&gt;"OR+EX",--(DATOS!$G19950=CONFIG_METADATA!$B$4),IF(DATOS!$G19950="EX",1,IF(DATOS!$G19950="OR",--(COUNTIFS(nNIA,DATOS!$A19950,nCURSO,DATOS!$D19950,nESPEC,DATOS!$E19950,nASIG,DATOS!$I19950,nEVAL,"EX")=0),0))))</f>
      </c>
      <c r="H19950">
        <f>IF(DATOS!$G19950&lt;&gt;"EX",0,--(COUNTIFS(nNIA,DATOS!$A19950,nCURSO,DATOS!$D19950,nESPEC,DATOS!$E19950,nASIG,DATOS!$I19950,nEVAL,"OR")=0))</f>
      </c>
      <c r="I19950">
        <f>IF(DATOS!$I19950="","",IFERROR(VLOOKUP(DATOS!$I19950,CONFIG_ASIGNATURAS!$B$2:$J$91,9,FALSE()),""))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IF(DATOS!$A19951="",0,IF(CONFIG_METADATA!$B$4&lt;&gt;"OR+EX",--(DATOS!$G19951=CONFIG_METADATA!$B$4),IF(DATOS!$G19951="EX",1,IF(DATOS!$G19951="OR",--(COUNTIFS(nNIA,DATOS!$A19951,nCURSO,DATOS!$D19951,nESPEC,DATOS!$E19951,nASIG,DATOS!$I19951,nEVAL,"EX")=0),0))))</f>
      </c>
      <c r="H19951">
        <f>IF(DATOS!$G19951&lt;&gt;"EX",0,--(COUNTIFS(nNIA,DATOS!$A19951,nCURSO,DATOS!$D19951,nESPEC,DATOS!$E19951,nASIG,DATOS!$I19951,nEVAL,"OR")=0))</f>
      </c>
      <c r="I19951">
        <f>IF(DATOS!$I19951="","",IFERROR(VLOOKUP(DATOS!$I19951,CONFIG_ASIGNATURAS!$B$2:$J$91,9,FALSE()),""))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IF(DATOS!$A19952="",0,IF(CONFIG_METADATA!$B$4&lt;&gt;"OR+EX",--(DATOS!$G19952=CONFIG_METADATA!$B$4),IF(DATOS!$G19952="EX",1,IF(DATOS!$G19952="OR",--(COUNTIFS(nNIA,DATOS!$A19952,nCURSO,DATOS!$D19952,nESPEC,DATOS!$E19952,nASIG,DATOS!$I19952,nEVAL,"EX")=0),0))))</f>
      </c>
      <c r="H19952">
        <f>IF(DATOS!$G19952&lt;&gt;"EX",0,--(COUNTIFS(nNIA,DATOS!$A19952,nCURSO,DATOS!$D19952,nESPEC,DATOS!$E19952,nASIG,DATOS!$I19952,nEVAL,"OR")=0))</f>
      </c>
      <c r="I19952">
        <f>IF(DATOS!$I19952="","",IFERROR(VLOOKUP(DATOS!$I19952,CONFIG_ASIGNATURAS!$B$2:$J$91,9,FALSE()),""))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IF(DATOS!$A19953="",0,IF(CONFIG_METADATA!$B$4&lt;&gt;"OR+EX",--(DATOS!$G19953=CONFIG_METADATA!$B$4),IF(DATOS!$G19953="EX",1,IF(DATOS!$G19953="OR",--(COUNTIFS(nNIA,DATOS!$A19953,nCURSO,DATOS!$D19953,nESPEC,DATOS!$E19953,nASIG,DATOS!$I19953,nEVAL,"EX")=0),0))))</f>
      </c>
      <c r="H19953">
        <f>IF(DATOS!$G19953&lt;&gt;"EX",0,--(COUNTIFS(nNIA,DATOS!$A19953,nCURSO,DATOS!$D19953,nESPEC,DATOS!$E19953,nASIG,DATOS!$I19953,nEVAL,"OR")=0))</f>
      </c>
      <c r="I19953">
        <f>IF(DATOS!$I19953="","",IFERROR(VLOOKUP(DATOS!$I19953,CONFIG_ASIGNATURAS!$B$2:$J$91,9,FALSE()),""))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IF(DATOS!$A19954="",0,IF(CONFIG_METADATA!$B$4&lt;&gt;"OR+EX",--(DATOS!$G19954=CONFIG_METADATA!$B$4),IF(DATOS!$G19954="EX",1,IF(DATOS!$G19954="OR",--(COUNTIFS(nNIA,DATOS!$A19954,nCURSO,DATOS!$D19954,nESPEC,DATOS!$E19954,nASIG,DATOS!$I19954,nEVAL,"EX")=0),0))))</f>
      </c>
      <c r="H19954">
        <f>IF(DATOS!$G19954&lt;&gt;"EX",0,--(COUNTIFS(nNIA,DATOS!$A19954,nCURSO,DATOS!$D19954,nESPEC,DATOS!$E19954,nASIG,DATOS!$I19954,nEVAL,"OR")=0))</f>
      </c>
      <c r="I19954">
        <f>IF(DATOS!$I19954="","",IFERROR(VLOOKUP(DATOS!$I19954,CONFIG_ASIGNATURAS!$B$2:$J$91,9,FALSE()),""))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IF(DATOS!$A19955="",0,IF(CONFIG_METADATA!$B$4&lt;&gt;"OR+EX",--(DATOS!$G19955=CONFIG_METADATA!$B$4),IF(DATOS!$G19955="EX",1,IF(DATOS!$G19955="OR",--(COUNTIFS(nNIA,DATOS!$A19955,nCURSO,DATOS!$D19955,nESPEC,DATOS!$E19955,nASIG,DATOS!$I19955,nEVAL,"EX")=0),0))))</f>
      </c>
      <c r="H19955">
        <f>IF(DATOS!$G19955&lt;&gt;"EX",0,--(COUNTIFS(nNIA,DATOS!$A19955,nCURSO,DATOS!$D19955,nESPEC,DATOS!$E19955,nASIG,DATOS!$I19955,nEVAL,"OR")=0))</f>
      </c>
      <c r="I19955">
        <f>IF(DATOS!$I19955="","",IFERROR(VLOOKUP(DATOS!$I19955,CONFIG_ASIGNATURAS!$B$2:$J$91,9,FALSE()),""))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IF(DATOS!$A19956="",0,IF(CONFIG_METADATA!$B$4&lt;&gt;"OR+EX",--(DATOS!$G19956=CONFIG_METADATA!$B$4),IF(DATOS!$G19956="EX",1,IF(DATOS!$G19956="OR",--(COUNTIFS(nNIA,DATOS!$A19956,nCURSO,DATOS!$D19956,nESPEC,DATOS!$E19956,nASIG,DATOS!$I19956,nEVAL,"EX")=0),0))))</f>
      </c>
      <c r="H19956">
        <f>IF(DATOS!$G19956&lt;&gt;"EX",0,--(COUNTIFS(nNIA,DATOS!$A19956,nCURSO,DATOS!$D19956,nESPEC,DATOS!$E19956,nASIG,DATOS!$I19956,nEVAL,"OR")=0))</f>
      </c>
      <c r="I19956">
        <f>IF(DATOS!$I19956="","",IFERROR(VLOOKUP(DATOS!$I19956,CONFIG_ASIGNATURAS!$B$2:$J$91,9,FALSE()),""))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IF(DATOS!$A19957="",0,IF(CONFIG_METADATA!$B$4&lt;&gt;"OR+EX",--(DATOS!$G19957=CONFIG_METADATA!$B$4),IF(DATOS!$G19957="EX",1,IF(DATOS!$G19957="OR",--(COUNTIFS(nNIA,DATOS!$A19957,nCURSO,DATOS!$D19957,nESPEC,DATOS!$E19957,nASIG,DATOS!$I19957,nEVAL,"EX")=0),0))))</f>
      </c>
      <c r="H19957">
        <f>IF(DATOS!$G19957&lt;&gt;"EX",0,--(COUNTIFS(nNIA,DATOS!$A19957,nCURSO,DATOS!$D19957,nESPEC,DATOS!$E19957,nASIG,DATOS!$I19957,nEVAL,"OR")=0))</f>
      </c>
      <c r="I19957">
        <f>IF(DATOS!$I19957="","",IFERROR(VLOOKUP(DATOS!$I19957,CONFIG_ASIGNATURAS!$B$2:$J$91,9,FALSE()),""))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IF(DATOS!$A19958="",0,IF(CONFIG_METADATA!$B$4&lt;&gt;"OR+EX",--(DATOS!$G19958=CONFIG_METADATA!$B$4),IF(DATOS!$G19958="EX",1,IF(DATOS!$G19958="OR",--(COUNTIFS(nNIA,DATOS!$A19958,nCURSO,DATOS!$D19958,nESPEC,DATOS!$E19958,nASIG,DATOS!$I19958,nEVAL,"EX")=0),0))))</f>
      </c>
      <c r="H19958">
        <f>IF(DATOS!$G19958&lt;&gt;"EX",0,--(COUNTIFS(nNIA,DATOS!$A19958,nCURSO,DATOS!$D19958,nESPEC,DATOS!$E19958,nASIG,DATOS!$I19958,nEVAL,"OR")=0))</f>
      </c>
      <c r="I19958">
        <f>IF(DATOS!$I19958="","",IFERROR(VLOOKUP(DATOS!$I19958,CONFIG_ASIGNATURAS!$B$2:$J$91,9,FALSE()),""))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IF(DATOS!$A19959="",0,IF(CONFIG_METADATA!$B$4&lt;&gt;"OR+EX",--(DATOS!$G19959=CONFIG_METADATA!$B$4),IF(DATOS!$G19959="EX",1,IF(DATOS!$G19959="OR",--(COUNTIFS(nNIA,DATOS!$A19959,nCURSO,DATOS!$D19959,nESPEC,DATOS!$E19959,nASIG,DATOS!$I19959,nEVAL,"EX")=0),0))))</f>
      </c>
      <c r="H19959">
        <f>IF(DATOS!$G19959&lt;&gt;"EX",0,--(COUNTIFS(nNIA,DATOS!$A19959,nCURSO,DATOS!$D19959,nESPEC,DATOS!$E19959,nASIG,DATOS!$I19959,nEVAL,"OR")=0))</f>
      </c>
      <c r="I19959">
        <f>IF(DATOS!$I19959="","",IFERROR(VLOOKUP(DATOS!$I19959,CONFIG_ASIGNATURAS!$B$2:$J$91,9,FALSE()),""))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IF(DATOS!$A19960="",0,IF(CONFIG_METADATA!$B$4&lt;&gt;"OR+EX",--(DATOS!$G19960=CONFIG_METADATA!$B$4),IF(DATOS!$G19960="EX",1,IF(DATOS!$G19960="OR",--(COUNTIFS(nNIA,DATOS!$A19960,nCURSO,DATOS!$D19960,nESPEC,DATOS!$E19960,nASIG,DATOS!$I19960,nEVAL,"EX")=0),0))))</f>
      </c>
      <c r="H19960">
        <f>IF(DATOS!$G19960&lt;&gt;"EX",0,--(COUNTIFS(nNIA,DATOS!$A19960,nCURSO,DATOS!$D19960,nESPEC,DATOS!$E19960,nASIG,DATOS!$I19960,nEVAL,"OR")=0))</f>
      </c>
      <c r="I19960">
        <f>IF(DATOS!$I19960="","",IFERROR(VLOOKUP(DATOS!$I19960,CONFIG_ASIGNATURAS!$B$2:$J$91,9,FALSE()),""))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IF(DATOS!$A19961="",0,IF(CONFIG_METADATA!$B$4&lt;&gt;"OR+EX",--(DATOS!$G19961=CONFIG_METADATA!$B$4),IF(DATOS!$G19961="EX",1,IF(DATOS!$G19961="OR",--(COUNTIFS(nNIA,DATOS!$A19961,nCURSO,DATOS!$D19961,nESPEC,DATOS!$E19961,nASIG,DATOS!$I19961,nEVAL,"EX")=0),0))))</f>
      </c>
      <c r="H19961">
        <f>IF(DATOS!$G19961&lt;&gt;"EX",0,--(COUNTIFS(nNIA,DATOS!$A19961,nCURSO,DATOS!$D19961,nESPEC,DATOS!$E19961,nASIG,DATOS!$I19961,nEVAL,"OR")=0))</f>
      </c>
      <c r="I19961">
        <f>IF(DATOS!$I19961="","",IFERROR(VLOOKUP(DATOS!$I19961,CONFIG_ASIGNATURAS!$B$2:$J$91,9,FALSE()),""))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IF(DATOS!$A19962="",0,IF(CONFIG_METADATA!$B$4&lt;&gt;"OR+EX",--(DATOS!$G19962=CONFIG_METADATA!$B$4),IF(DATOS!$G19962="EX",1,IF(DATOS!$G19962="OR",--(COUNTIFS(nNIA,DATOS!$A19962,nCURSO,DATOS!$D19962,nESPEC,DATOS!$E19962,nASIG,DATOS!$I19962,nEVAL,"EX")=0),0))))</f>
      </c>
      <c r="H19962">
        <f>IF(DATOS!$G19962&lt;&gt;"EX",0,--(COUNTIFS(nNIA,DATOS!$A19962,nCURSO,DATOS!$D19962,nESPEC,DATOS!$E19962,nASIG,DATOS!$I19962,nEVAL,"OR")=0))</f>
      </c>
      <c r="I19962">
        <f>IF(DATOS!$I19962="","",IFERROR(VLOOKUP(DATOS!$I19962,CONFIG_ASIGNATURAS!$B$2:$J$91,9,FALSE()),""))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IF(DATOS!$A19963="",0,IF(CONFIG_METADATA!$B$4&lt;&gt;"OR+EX",--(DATOS!$G19963=CONFIG_METADATA!$B$4),IF(DATOS!$G19963="EX",1,IF(DATOS!$G19963="OR",--(COUNTIFS(nNIA,DATOS!$A19963,nCURSO,DATOS!$D19963,nESPEC,DATOS!$E19963,nASIG,DATOS!$I19963,nEVAL,"EX")=0),0))))</f>
      </c>
      <c r="H19963">
        <f>IF(DATOS!$G19963&lt;&gt;"EX",0,--(COUNTIFS(nNIA,DATOS!$A19963,nCURSO,DATOS!$D19963,nESPEC,DATOS!$E19963,nASIG,DATOS!$I19963,nEVAL,"OR")=0))</f>
      </c>
      <c r="I19963">
        <f>IF(DATOS!$I19963="","",IFERROR(VLOOKUP(DATOS!$I19963,CONFIG_ASIGNATURAS!$B$2:$J$91,9,FALSE()),""))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IF(DATOS!$A19964="",0,IF(CONFIG_METADATA!$B$4&lt;&gt;"OR+EX",--(DATOS!$G19964=CONFIG_METADATA!$B$4),IF(DATOS!$G19964="EX",1,IF(DATOS!$G19964="OR",--(COUNTIFS(nNIA,DATOS!$A19964,nCURSO,DATOS!$D19964,nESPEC,DATOS!$E19964,nASIG,DATOS!$I19964,nEVAL,"EX")=0),0))))</f>
      </c>
      <c r="H19964">
        <f>IF(DATOS!$G19964&lt;&gt;"EX",0,--(COUNTIFS(nNIA,DATOS!$A19964,nCURSO,DATOS!$D19964,nESPEC,DATOS!$E19964,nASIG,DATOS!$I19964,nEVAL,"OR")=0))</f>
      </c>
      <c r="I19964">
        <f>IF(DATOS!$I19964="","",IFERROR(VLOOKUP(DATOS!$I19964,CONFIG_ASIGNATURAS!$B$2:$J$91,9,FALSE()),""))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IF(DATOS!$A19965="",0,IF(CONFIG_METADATA!$B$4&lt;&gt;"OR+EX",--(DATOS!$G19965=CONFIG_METADATA!$B$4),IF(DATOS!$G19965="EX",1,IF(DATOS!$G19965="OR",--(COUNTIFS(nNIA,DATOS!$A19965,nCURSO,DATOS!$D19965,nESPEC,DATOS!$E19965,nASIG,DATOS!$I19965,nEVAL,"EX")=0),0))))</f>
      </c>
      <c r="H19965">
        <f>IF(DATOS!$G19965&lt;&gt;"EX",0,--(COUNTIFS(nNIA,DATOS!$A19965,nCURSO,DATOS!$D19965,nESPEC,DATOS!$E19965,nASIG,DATOS!$I19965,nEVAL,"OR")=0))</f>
      </c>
      <c r="I19965">
        <f>IF(DATOS!$I19965="","",IFERROR(VLOOKUP(DATOS!$I19965,CONFIG_ASIGNATURAS!$B$2:$J$91,9,FALSE()),""))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IF(DATOS!$A19966="",0,IF(CONFIG_METADATA!$B$4&lt;&gt;"OR+EX",--(DATOS!$G19966=CONFIG_METADATA!$B$4),IF(DATOS!$G19966="EX",1,IF(DATOS!$G19966="OR",--(COUNTIFS(nNIA,DATOS!$A19966,nCURSO,DATOS!$D19966,nESPEC,DATOS!$E19966,nASIG,DATOS!$I19966,nEVAL,"EX")=0),0))))</f>
      </c>
      <c r="H19966">
        <f>IF(DATOS!$G19966&lt;&gt;"EX",0,--(COUNTIFS(nNIA,DATOS!$A19966,nCURSO,DATOS!$D19966,nESPEC,DATOS!$E19966,nASIG,DATOS!$I19966,nEVAL,"OR")=0))</f>
      </c>
      <c r="I19966">
        <f>IF(DATOS!$I19966="","",IFERROR(VLOOKUP(DATOS!$I19966,CONFIG_ASIGNATURAS!$B$2:$J$91,9,FALSE()),""))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IF(DATOS!$A19967="",0,IF(CONFIG_METADATA!$B$4&lt;&gt;"OR+EX",--(DATOS!$G19967=CONFIG_METADATA!$B$4),IF(DATOS!$G19967="EX",1,IF(DATOS!$G19967="OR",--(COUNTIFS(nNIA,DATOS!$A19967,nCURSO,DATOS!$D19967,nESPEC,DATOS!$E19967,nASIG,DATOS!$I19967,nEVAL,"EX")=0),0))))</f>
      </c>
      <c r="H19967">
        <f>IF(DATOS!$G19967&lt;&gt;"EX",0,--(COUNTIFS(nNIA,DATOS!$A19967,nCURSO,DATOS!$D19967,nESPEC,DATOS!$E19967,nASIG,DATOS!$I19967,nEVAL,"OR")=0))</f>
      </c>
      <c r="I19967">
        <f>IF(DATOS!$I19967="","",IFERROR(VLOOKUP(DATOS!$I19967,CONFIG_ASIGNATURAS!$B$2:$J$91,9,FALSE()),""))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IF(DATOS!$A19968="",0,IF(CONFIG_METADATA!$B$4&lt;&gt;"OR+EX",--(DATOS!$G19968=CONFIG_METADATA!$B$4),IF(DATOS!$G19968="EX",1,IF(DATOS!$G19968="OR",--(COUNTIFS(nNIA,DATOS!$A19968,nCURSO,DATOS!$D19968,nESPEC,DATOS!$E19968,nASIG,DATOS!$I19968,nEVAL,"EX")=0),0))))</f>
      </c>
      <c r="H19968">
        <f>IF(DATOS!$G19968&lt;&gt;"EX",0,--(COUNTIFS(nNIA,DATOS!$A19968,nCURSO,DATOS!$D19968,nESPEC,DATOS!$E19968,nASIG,DATOS!$I19968,nEVAL,"OR")=0))</f>
      </c>
      <c r="I19968">
        <f>IF(DATOS!$I19968="","",IFERROR(VLOOKUP(DATOS!$I19968,CONFIG_ASIGNATURAS!$B$2:$J$91,9,FALSE()),""))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IF(DATOS!$A19969="",0,IF(CONFIG_METADATA!$B$4&lt;&gt;"OR+EX",--(DATOS!$G19969=CONFIG_METADATA!$B$4),IF(DATOS!$G19969="EX",1,IF(DATOS!$G19969="OR",--(COUNTIFS(nNIA,DATOS!$A19969,nCURSO,DATOS!$D19969,nESPEC,DATOS!$E19969,nASIG,DATOS!$I19969,nEVAL,"EX")=0),0))))</f>
      </c>
      <c r="H19969">
        <f>IF(DATOS!$G19969&lt;&gt;"EX",0,--(COUNTIFS(nNIA,DATOS!$A19969,nCURSO,DATOS!$D19969,nESPEC,DATOS!$E19969,nASIG,DATOS!$I19969,nEVAL,"OR")=0))</f>
      </c>
      <c r="I19969">
        <f>IF(DATOS!$I19969="","",IFERROR(VLOOKUP(DATOS!$I19969,CONFIG_ASIGNATURAS!$B$2:$J$91,9,FALSE()),""))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IF(DATOS!$A19970="",0,IF(CONFIG_METADATA!$B$4&lt;&gt;"OR+EX",--(DATOS!$G19970=CONFIG_METADATA!$B$4),IF(DATOS!$G19970="EX",1,IF(DATOS!$G19970="OR",--(COUNTIFS(nNIA,DATOS!$A19970,nCURSO,DATOS!$D19970,nESPEC,DATOS!$E19970,nASIG,DATOS!$I19970,nEVAL,"EX")=0),0))))</f>
      </c>
      <c r="H19970">
        <f>IF(DATOS!$G19970&lt;&gt;"EX",0,--(COUNTIFS(nNIA,DATOS!$A19970,nCURSO,DATOS!$D19970,nESPEC,DATOS!$E19970,nASIG,DATOS!$I19970,nEVAL,"OR")=0))</f>
      </c>
      <c r="I19970">
        <f>IF(DATOS!$I19970="","",IFERROR(VLOOKUP(DATOS!$I19970,CONFIG_ASIGNATURAS!$B$2:$J$91,9,FALSE()),""))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IF(DATOS!$A19971="",0,IF(CONFIG_METADATA!$B$4&lt;&gt;"OR+EX",--(DATOS!$G19971=CONFIG_METADATA!$B$4),IF(DATOS!$G19971="EX",1,IF(DATOS!$G19971="OR",--(COUNTIFS(nNIA,DATOS!$A19971,nCURSO,DATOS!$D19971,nESPEC,DATOS!$E19971,nASIG,DATOS!$I19971,nEVAL,"EX")=0),0))))</f>
      </c>
      <c r="H19971">
        <f>IF(DATOS!$G19971&lt;&gt;"EX",0,--(COUNTIFS(nNIA,DATOS!$A19971,nCURSO,DATOS!$D19971,nESPEC,DATOS!$E19971,nASIG,DATOS!$I19971,nEVAL,"OR")=0))</f>
      </c>
      <c r="I19971">
        <f>IF(DATOS!$I19971="","",IFERROR(VLOOKUP(DATOS!$I19971,CONFIG_ASIGNATURAS!$B$2:$J$91,9,FALSE()),""))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IF(DATOS!$A19972="",0,IF(CONFIG_METADATA!$B$4&lt;&gt;"OR+EX",--(DATOS!$G19972=CONFIG_METADATA!$B$4),IF(DATOS!$G19972="EX",1,IF(DATOS!$G19972="OR",--(COUNTIFS(nNIA,DATOS!$A19972,nCURSO,DATOS!$D19972,nESPEC,DATOS!$E19972,nASIG,DATOS!$I19972,nEVAL,"EX")=0),0))))</f>
      </c>
      <c r="H19972">
        <f>IF(DATOS!$G19972&lt;&gt;"EX",0,--(COUNTIFS(nNIA,DATOS!$A19972,nCURSO,DATOS!$D19972,nESPEC,DATOS!$E19972,nASIG,DATOS!$I19972,nEVAL,"OR")=0))</f>
      </c>
      <c r="I19972">
        <f>IF(DATOS!$I19972="","",IFERROR(VLOOKUP(DATOS!$I19972,CONFIG_ASIGNATURAS!$B$2:$J$91,9,FALSE()),""))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IF(DATOS!$A19973="",0,IF(CONFIG_METADATA!$B$4&lt;&gt;"OR+EX",--(DATOS!$G19973=CONFIG_METADATA!$B$4),IF(DATOS!$G19973="EX",1,IF(DATOS!$G19973="OR",--(COUNTIFS(nNIA,DATOS!$A19973,nCURSO,DATOS!$D19973,nESPEC,DATOS!$E19973,nASIG,DATOS!$I19973,nEVAL,"EX")=0),0))))</f>
      </c>
      <c r="H19973">
        <f>IF(DATOS!$G19973&lt;&gt;"EX",0,--(COUNTIFS(nNIA,DATOS!$A19973,nCURSO,DATOS!$D19973,nESPEC,DATOS!$E19973,nASIG,DATOS!$I19973,nEVAL,"OR")=0))</f>
      </c>
      <c r="I19973">
        <f>IF(DATOS!$I19973="","",IFERROR(VLOOKUP(DATOS!$I19973,CONFIG_ASIGNATURAS!$B$2:$J$91,9,FALSE()),""))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IF(DATOS!$A19974="",0,IF(CONFIG_METADATA!$B$4&lt;&gt;"OR+EX",--(DATOS!$G19974=CONFIG_METADATA!$B$4),IF(DATOS!$G19974="EX",1,IF(DATOS!$G19974="OR",--(COUNTIFS(nNIA,DATOS!$A19974,nCURSO,DATOS!$D19974,nESPEC,DATOS!$E19974,nASIG,DATOS!$I19974,nEVAL,"EX")=0),0))))</f>
      </c>
      <c r="H19974">
        <f>IF(DATOS!$G19974&lt;&gt;"EX",0,--(COUNTIFS(nNIA,DATOS!$A19974,nCURSO,DATOS!$D19974,nESPEC,DATOS!$E19974,nASIG,DATOS!$I19974,nEVAL,"OR")=0))</f>
      </c>
      <c r="I19974">
        <f>IF(DATOS!$I19974="","",IFERROR(VLOOKUP(DATOS!$I19974,CONFIG_ASIGNATURAS!$B$2:$J$91,9,FALSE()),""))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IF(DATOS!$A19975="",0,IF(CONFIG_METADATA!$B$4&lt;&gt;"OR+EX",--(DATOS!$G19975=CONFIG_METADATA!$B$4),IF(DATOS!$G19975="EX",1,IF(DATOS!$G19975="OR",--(COUNTIFS(nNIA,DATOS!$A19975,nCURSO,DATOS!$D19975,nESPEC,DATOS!$E19975,nASIG,DATOS!$I19975,nEVAL,"EX")=0),0))))</f>
      </c>
      <c r="H19975">
        <f>IF(DATOS!$G19975&lt;&gt;"EX",0,--(COUNTIFS(nNIA,DATOS!$A19975,nCURSO,DATOS!$D19975,nESPEC,DATOS!$E19975,nASIG,DATOS!$I19975,nEVAL,"OR")=0))</f>
      </c>
      <c r="I19975">
        <f>IF(DATOS!$I19975="","",IFERROR(VLOOKUP(DATOS!$I19975,CONFIG_ASIGNATURAS!$B$2:$J$91,9,FALSE()),""))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IF(DATOS!$A19976="",0,IF(CONFIG_METADATA!$B$4&lt;&gt;"OR+EX",--(DATOS!$G19976=CONFIG_METADATA!$B$4),IF(DATOS!$G19976="EX",1,IF(DATOS!$G19976="OR",--(COUNTIFS(nNIA,DATOS!$A19976,nCURSO,DATOS!$D19976,nESPEC,DATOS!$E19976,nASIG,DATOS!$I19976,nEVAL,"EX")=0),0))))</f>
      </c>
      <c r="H19976">
        <f>IF(DATOS!$G19976&lt;&gt;"EX",0,--(COUNTIFS(nNIA,DATOS!$A19976,nCURSO,DATOS!$D19976,nESPEC,DATOS!$E19976,nASIG,DATOS!$I19976,nEVAL,"OR")=0))</f>
      </c>
      <c r="I19976">
        <f>IF(DATOS!$I19976="","",IFERROR(VLOOKUP(DATOS!$I19976,CONFIG_ASIGNATURAS!$B$2:$J$91,9,FALSE()),""))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IF(DATOS!$A19977="",0,IF(CONFIG_METADATA!$B$4&lt;&gt;"OR+EX",--(DATOS!$G19977=CONFIG_METADATA!$B$4),IF(DATOS!$G19977="EX",1,IF(DATOS!$G19977="OR",--(COUNTIFS(nNIA,DATOS!$A19977,nCURSO,DATOS!$D19977,nESPEC,DATOS!$E19977,nASIG,DATOS!$I19977,nEVAL,"EX")=0),0))))</f>
      </c>
      <c r="H19977">
        <f>IF(DATOS!$G19977&lt;&gt;"EX",0,--(COUNTIFS(nNIA,DATOS!$A19977,nCURSO,DATOS!$D19977,nESPEC,DATOS!$E19977,nASIG,DATOS!$I19977,nEVAL,"OR")=0))</f>
      </c>
      <c r="I19977">
        <f>IF(DATOS!$I19977="","",IFERROR(VLOOKUP(DATOS!$I19977,CONFIG_ASIGNATURAS!$B$2:$J$91,9,FALSE()),""))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IF(DATOS!$A19978="",0,IF(CONFIG_METADATA!$B$4&lt;&gt;"OR+EX",--(DATOS!$G19978=CONFIG_METADATA!$B$4),IF(DATOS!$G19978="EX",1,IF(DATOS!$G19978="OR",--(COUNTIFS(nNIA,DATOS!$A19978,nCURSO,DATOS!$D19978,nESPEC,DATOS!$E19978,nASIG,DATOS!$I19978,nEVAL,"EX")=0),0))))</f>
      </c>
      <c r="H19978">
        <f>IF(DATOS!$G19978&lt;&gt;"EX",0,--(COUNTIFS(nNIA,DATOS!$A19978,nCURSO,DATOS!$D19978,nESPEC,DATOS!$E19978,nASIG,DATOS!$I19978,nEVAL,"OR")=0))</f>
      </c>
      <c r="I19978">
        <f>IF(DATOS!$I19978="","",IFERROR(VLOOKUP(DATOS!$I19978,CONFIG_ASIGNATURAS!$B$2:$J$91,9,FALSE()),""))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IF(DATOS!$A19979="",0,IF(CONFIG_METADATA!$B$4&lt;&gt;"OR+EX",--(DATOS!$G19979=CONFIG_METADATA!$B$4),IF(DATOS!$G19979="EX",1,IF(DATOS!$G19979="OR",--(COUNTIFS(nNIA,DATOS!$A19979,nCURSO,DATOS!$D19979,nESPEC,DATOS!$E19979,nASIG,DATOS!$I19979,nEVAL,"EX")=0),0))))</f>
      </c>
      <c r="H19979">
        <f>IF(DATOS!$G19979&lt;&gt;"EX",0,--(COUNTIFS(nNIA,DATOS!$A19979,nCURSO,DATOS!$D19979,nESPEC,DATOS!$E19979,nASIG,DATOS!$I19979,nEVAL,"OR")=0))</f>
      </c>
      <c r="I19979">
        <f>IF(DATOS!$I19979="","",IFERROR(VLOOKUP(DATOS!$I19979,CONFIG_ASIGNATURAS!$B$2:$J$91,9,FALSE()),""))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IF(DATOS!$A19980="",0,IF(CONFIG_METADATA!$B$4&lt;&gt;"OR+EX",--(DATOS!$G19980=CONFIG_METADATA!$B$4),IF(DATOS!$G19980="EX",1,IF(DATOS!$G19980="OR",--(COUNTIFS(nNIA,DATOS!$A19980,nCURSO,DATOS!$D19980,nESPEC,DATOS!$E19980,nASIG,DATOS!$I19980,nEVAL,"EX")=0),0))))</f>
      </c>
      <c r="H19980">
        <f>IF(DATOS!$G19980&lt;&gt;"EX",0,--(COUNTIFS(nNIA,DATOS!$A19980,nCURSO,DATOS!$D19980,nESPEC,DATOS!$E19980,nASIG,DATOS!$I19980,nEVAL,"OR")=0))</f>
      </c>
      <c r="I19980">
        <f>IF(DATOS!$I19980="","",IFERROR(VLOOKUP(DATOS!$I19980,CONFIG_ASIGNATURAS!$B$2:$J$91,9,FALSE()),""))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IF(DATOS!$A19981="",0,IF(CONFIG_METADATA!$B$4&lt;&gt;"OR+EX",--(DATOS!$G19981=CONFIG_METADATA!$B$4),IF(DATOS!$G19981="EX",1,IF(DATOS!$G19981="OR",--(COUNTIFS(nNIA,DATOS!$A19981,nCURSO,DATOS!$D19981,nESPEC,DATOS!$E19981,nASIG,DATOS!$I19981,nEVAL,"EX")=0),0))))</f>
      </c>
      <c r="H19981">
        <f>IF(DATOS!$G19981&lt;&gt;"EX",0,--(COUNTIFS(nNIA,DATOS!$A19981,nCURSO,DATOS!$D19981,nESPEC,DATOS!$E19981,nASIG,DATOS!$I19981,nEVAL,"OR")=0))</f>
      </c>
      <c r="I19981">
        <f>IF(DATOS!$I19981="","",IFERROR(VLOOKUP(DATOS!$I19981,CONFIG_ASIGNATURAS!$B$2:$J$91,9,FALSE()),""))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IF(DATOS!$A19982="",0,IF(CONFIG_METADATA!$B$4&lt;&gt;"OR+EX",--(DATOS!$G19982=CONFIG_METADATA!$B$4),IF(DATOS!$G19982="EX",1,IF(DATOS!$G19982="OR",--(COUNTIFS(nNIA,DATOS!$A19982,nCURSO,DATOS!$D19982,nESPEC,DATOS!$E19982,nASIG,DATOS!$I19982,nEVAL,"EX")=0),0))))</f>
      </c>
      <c r="H19982">
        <f>IF(DATOS!$G19982&lt;&gt;"EX",0,--(COUNTIFS(nNIA,DATOS!$A19982,nCURSO,DATOS!$D19982,nESPEC,DATOS!$E19982,nASIG,DATOS!$I19982,nEVAL,"OR")=0))</f>
      </c>
      <c r="I19982">
        <f>IF(DATOS!$I19982="","",IFERROR(VLOOKUP(DATOS!$I19982,CONFIG_ASIGNATURAS!$B$2:$J$91,9,FALSE()),""))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IF(DATOS!$A19983="",0,IF(CONFIG_METADATA!$B$4&lt;&gt;"OR+EX",--(DATOS!$G19983=CONFIG_METADATA!$B$4),IF(DATOS!$G19983="EX",1,IF(DATOS!$G19983="OR",--(COUNTIFS(nNIA,DATOS!$A19983,nCURSO,DATOS!$D19983,nESPEC,DATOS!$E19983,nASIG,DATOS!$I19983,nEVAL,"EX")=0),0))))</f>
      </c>
      <c r="H19983">
        <f>IF(DATOS!$G19983&lt;&gt;"EX",0,--(COUNTIFS(nNIA,DATOS!$A19983,nCURSO,DATOS!$D19983,nESPEC,DATOS!$E19983,nASIG,DATOS!$I19983,nEVAL,"OR")=0))</f>
      </c>
      <c r="I19983">
        <f>IF(DATOS!$I19983="","",IFERROR(VLOOKUP(DATOS!$I19983,CONFIG_ASIGNATURAS!$B$2:$J$91,9,FALSE()),""))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IF(DATOS!$A19984="",0,IF(CONFIG_METADATA!$B$4&lt;&gt;"OR+EX",--(DATOS!$G19984=CONFIG_METADATA!$B$4),IF(DATOS!$G19984="EX",1,IF(DATOS!$G19984="OR",--(COUNTIFS(nNIA,DATOS!$A19984,nCURSO,DATOS!$D19984,nESPEC,DATOS!$E19984,nASIG,DATOS!$I19984,nEVAL,"EX")=0),0))))</f>
      </c>
      <c r="H19984">
        <f>IF(DATOS!$G19984&lt;&gt;"EX",0,--(COUNTIFS(nNIA,DATOS!$A19984,nCURSO,DATOS!$D19984,nESPEC,DATOS!$E19984,nASIG,DATOS!$I19984,nEVAL,"OR")=0))</f>
      </c>
      <c r="I19984">
        <f>IF(DATOS!$I19984="","",IFERROR(VLOOKUP(DATOS!$I19984,CONFIG_ASIGNATURAS!$B$2:$J$91,9,FALSE()),""))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IF(DATOS!$A19985="",0,IF(CONFIG_METADATA!$B$4&lt;&gt;"OR+EX",--(DATOS!$G19985=CONFIG_METADATA!$B$4),IF(DATOS!$G19985="EX",1,IF(DATOS!$G19985="OR",--(COUNTIFS(nNIA,DATOS!$A19985,nCURSO,DATOS!$D19985,nESPEC,DATOS!$E19985,nASIG,DATOS!$I19985,nEVAL,"EX")=0),0))))</f>
      </c>
      <c r="H19985">
        <f>IF(DATOS!$G19985&lt;&gt;"EX",0,--(COUNTIFS(nNIA,DATOS!$A19985,nCURSO,DATOS!$D19985,nESPEC,DATOS!$E19985,nASIG,DATOS!$I19985,nEVAL,"OR")=0))</f>
      </c>
      <c r="I19985">
        <f>IF(DATOS!$I19985="","",IFERROR(VLOOKUP(DATOS!$I19985,CONFIG_ASIGNATURAS!$B$2:$J$91,9,FALSE()),""))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IF(DATOS!$A19986="",0,IF(CONFIG_METADATA!$B$4&lt;&gt;"OR+EX",--(DATOS!$G19986=CONFIG_METADATA!$B$4),IF(DATOS!$G19986="EX",1,IF(DATOS!$G19986="OR",--(COUNTIFS(nNIA,DATOS!$A19986,nCURSO,DATOS!$D19986,nESPEC,DATOS!$E19986,nASIG,DATOS!$I19986,nEVAL,"EX")=0),0))))</f>
      </c>
      <c r="H19986">
        <f>IF(DATOS!$G19986&lt;&gt;"EX",0,--(COUNTIFS(nNIA,DATOS!$A19986,nCURSO,DATOS!$D19986,nESPEC,DATOS!$E19986,nASIG,DATOS!$I19986,nEVAL,"OR")=0))</f>
      </c>
      <c r="I19986">
        <f>IF(DATOS!$I19986="","",IFERROR(VLOOKUP(DATOS!$I19986,CONFIG_ASIGNATURAS!$B$2:$J$91,9,FALSE()),""))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IF(DATOS!$A19987="",0,IF(CONFIG_METADATA!$B$4&lt;&gt;"OR+EX",--(DATOS!$G19987=CONFIG_METADATA!$B$4),IF(DATOS!$G19987="EX",1,IF(DATOS!$G19987="OR",--(COUNTIFS(nNIA,DATOS!$A19987,nCURSO,DATOS!$D19987,nESPEC,DATOS!$E19987,nASIG,DATOS!$I19987,nEVAL,"EX")=0),0))))</f>
      </c>
      <c r="H19987">
        <f>IF(DATOS!$G19987&lt;&gt;"EX",0,--(COUNTIFS(nNIA,DATOS!$A19987,nCURSO,DATOS!$D19987,nESPEC,DATOS!$E19987,nASIG,DATOS!$I19987,nEVAL,"OR")=0))</f>
      </c>
      <c r="I19987">
        <f>IF(DATOS!$I19987="","",IFERROR(VLOOKUP(DATOS!$I19987,CONFIG_ASIGNATURAS!$B$2:$J$91,9,FALSE()),""))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IF(DATOS!$A19988="",0,IF(CONFIG_METADATA!$B$4&lt;&gt;"OR+EX",--(DATOS!$G19988=CONFIG_METADATA!$B$4),IF(DATOS!$G19988="EX",1,IF(DATOS!$G19988="OR",--(COUNTIFS(nNIA,DATOS!$A19988,nCURSO,DATOS!$D19988,nESPEC,DATOS!$E19988,nASIG,DATOS!$I19988,nEVAL,"EX")=0),0))))</f>
      </c>
      <c r="H19988">
        <f>IF(DATOS!$G19988&lt;&gt;"EX",0,--(COUNTIFS(nNIA,DATOS!$A19988,nCURSO,DATOS!$D19988,nESPEC,DATOS!$E19988,nASIG,DATOS!$I19988,nEVAL,"OR")=0))</f>
      </c>
      <c r="I19988">
        <f>IF(DATOS!$I19988="","",IFERROR(VLOOKUP(DATOS!$I19988,CONFIG_ASIGNATURAS!$B$2:$J$91,9,FALSE()),""))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IF(DATOS!$A19989="",0,IF(CONFIG_METADATA!$B$4&lt;&gt;"OR+EX",--(DATOS!$G19989=CONFIG_METADATA!$B$4),IF(DATOS!$G19989="EX",1,IF(DATOS!$G19989="OR",--(COUNTIFS(nNIA,DATOS!$A19989,nCURSO,DATOS!$D19989,nESPEC,DATOS!$E19989,nASIG,DATOS!$I19989,nEVAL,"EX")=0),0))))</f>
      </c>
      <c r="H19989">
        <f>IF(DATOS!$G19989&lt;&gt;"EX",0,--(COUNTIFS(nNIA,DATOS!$A19989,nCURSO,DATOS!$D19989,nESPEC,DATOS!$E19989,nASIG,DATOS!$I19989,nEVAL,"OR")=0))</f>
      </c>
      <c r="I19989">
        <f>IF(DATOS!$I19989="","",IFERROR(VLOOKUP(DATOS!$I19989,CONFIG_ASIGNATURAS!$B$2:$J$91,9,FALSE()),""))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IF(DATOS!$A19990="",0,IF(CONFIG_METADATA!$B$4&lt;&gt;"OR+EX",--(DATOS!$G19990=CONFIG_METADATA!$B$4),IF(DATOS!$G19990="EX",1,IF(DATOS!$G19990="OR",--(COUNTIFS(nNIA,DATOS!$A19990,nCURSO,DATOS!$D19990,nESPEC,DATOS!$E19990,nASIG,DATOS!$I19990,nEVAL,"EX")=0),0))))</f>
      </c>
      <c r="H19990">
        <f>IF(DATOS!$G19990&lt;&gt;"EX",0,--(COUNTIFS(nNIA,DATOS!$A19990,nCURSO,DATOS!$D19990,nESPEC,DATOS!$E19990,nASIG,DATOS!$I19990,nEVAL,"OR")=0))</f>
      </c>
      <c r="I19990">
        <f>IF(DATOS!$I19990="","",IFERROR(VLOOKUP(DATOS!$I19990,CONFIG_ASIGNATURAS!$B$2:$J$91,9,FALSE()),""))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IF(DATOS!$A19991="",0,IF(CONFIG_METADATA!$B$4&lt;&gt;"OR+EX",--(DATOS!$G19991=CONFIG_METADATA!$B$4),IF(DATOS!$G19991="EX",1,IF(DATOS!$G19991="OR",--(COUNTIFS(nNIA,DATOS!$A19991,nCURSO,DATOS!$D19991,nESPEC,DATOS!$E19991,nASIG,DATOS!$I19991,nEVAL,"EX")=0),0))))</f>
      </c>
      <c r="H19991">
        <f>IF(DATOS!$G19991&lt;&gt;"EX",0,--(COUNTIFS(nNIA,DATOS!$A19991,nCURSO,DATOS!$D19991,nESPEC,DATOS!$E19991,nASIG,DATOS!$I19991,nEVAL,"OR")=0))</f>
      </c>
      <c r="I19991">
        <f>IF(DATOS!$I19991="","",IFERROR(VLOOKUP(DATOS!$I19991,CONFIG_ASIGNATURAS!$B$2:$J$91,9,FALSE()),""))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IF(DATOS!$A19992="",0,IF(CONFIG_METADATA!$B$4&lt;&gt;"OR+EX",--(DATOS!$G19992=CONFIG_METADATA!$B$4),IF(DATOS!$G19992="EX",1,IF(DATOS!$G19992="OR",--(COUNTIFS(nNIA,DATOS!$A19992,nCURSO,DATOS!$D19992,nESPEC,DATOS!$E19992,nASIG,DATOS!$I19992,nEVAL,"EX")=0),0))))</f>
      </c>
      <c r="H19992">
        <f>IF(DATOS!$G19992&lt;&gt;"EX",0,--(COUNTIFS(nNIA,DATOS!$A19992,nCURSO,DATOS!$D19992,nESPEC,DATOS!$E19992,nASIG,DATOS!$I19992,nEVAL,"OR")=0))</f>
      </c>
      <c r="I19992">
        <f>IF(DATOS!$I19992="","",IFERROR(VLOOKUP(DATOS!$I19992,CONFIG_ASIGNATURAS!$B$2:$J$91,9,FALSE()),""))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IF(DATOS!$A19993="",0,IF(CONFIG_METADATA!$B$4&lt;&gt;"OR+EX",--(DATOS!$G19993=CONFIG_METADATA!$B$4),IF(DATOS!$G19993="EX",1,IF(DATOS!$G19993="OR",--(COUNTIFS(nNIA,DATOS!$A19993,nCURSO,DATOS!$D19993,nESPEC,DATOS!$E19993,nASIG,DATOS!$I19993,nEVAL,"EX")=0),0))))</f>
      </c>
      <c r="H19993">
        <f>IF(DATOS!$G19993&lt;&gt;"EX",0,--(COUNTIFS(nNIA,DATOS!$A19993,nCURSO,DATOS!$D19993,nESPEC,DATOS!$E19993,nASIG,DATOS!$I19993,nEVAL,"OR")=0))</f>
      </c>
      <c r="I19993">
        <f>IF(DATOS!$I19993="","",IFERROR(VLOOKUP(DATOS!$I19993,CONFIG_ASIGNATURAS!$B$2:$J$91,9,FALSE()),""))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IF(DATOS!$A19994="",0,IF(CONFIG_METADATA!$B$4&lt;&gt;"OR+EX",--(DATOS!$G19994=CONFIG_METADATA!$B$4),IF(DATOS!$G19994="EX",1,IF(DATOS!$G19994="OR",--(COUNTIFS(nNIA,DATOS!$A19994,nCURSO,DATOS!$D19994,nESPEC,DATOS!$E19994,nASIG,DATOS!$I19994,nEVAL,"EX")=0),0))))</f>
      </c>
      <c r="H19994">
        <f>IF(DATOS!$G19994&lt;&gt;"EX",0,--(COUNTIFS(nNIA,DATOS!$A19994,nCURSO,DATOS!$D19994,nESPEC,DATOS!$E19994,nASIG,DATOS!$I19994,nEVAL,"OR")=0))</f>
      </c>
      <c r="I19994">
        <f>IF(DATOS!$I19994="","",IFERROR(VLOOKUP(DATOS!$I19994,CONFIG_ASIGNATURAS!$B$2:$J$91,9,FALSE()),""))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IF(DATOS!$A19995="",0,IF(CONFIG_METADATA!$B$4&lt;&gt;"OR+EX",--(DATOS!$G19995=CONFIG_METADATA!$B$4),IF(DATOS!$G19995="EX",1,IF(DATOS!$G19995="OR",--(COUNTIFS(nNIA,DATOS!$A19995,nCURSO,DATOS!$D19995,nESPEC,DATOS!$E19995,nASIG,DATOS!$I19995,nEVAL,"EX")=0),0))))</f>
      </c>
      <c r="H19995">
        <f>IF(DATOS!$G19995&lt;&gt;"EX",0,--(COUNTIFS(nNIA,DATOS!$A19995,nCURSO,DATOS!$D19995,nESPEC,DATOS!$E19995,nASIG,DATOS!$I19995,nEVAL,"OR")=0))</f>
      </c>
      <c r="I19995">
        <f>IF(DATOS!$I19995="","",IFERROR(VLOOKUP(DATOS!$I19995,CONFIG_ASIGNATURAS!$B$2:$J$91,9,FALSE()),""))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IF(DATOS!$A19996="",0,IF(CONFIG_METADATA!$B$4&lt;&gt;"OR+EX",--(DATOS!$G19996=CONFIG_METADATA!$B$4),IF(DATOS!$G19996="EX",1,IF(DATOS!$G19996="OR",--(COUNTIFS(nNIA,DATOS!$A19996,nCURSO,DATOS!$D19996,nESPEC,DATOS!$E19996,nASIG,DATOS!$I19996,nEVAL,"EX")=0),0))))</f>
      </c>
      <c r="H19996">
        <f>IF(DATOS!$G19996&lt;&gt;"EX",0,--(COUNTIFS(nNIA,DATOS!$A19996,nCURSO,DATOS!$D19996,nESPEC,DATOS!$E19996,nASIG,DATOS!$I19996,nEVAL,"OR")=0))</f>
      </c>
      <c r="I19996">
        <f>IF(DATOS!$I19996="","",IFERROR(VLOOKUP(DATOS!$I19996,CONFIG_ASIGNATURAS!$B$2:$J$91,9,FALSE()),""))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IF(DATOS!$A19997="",0,IF(CONFIG_METADATA!$B$4&lt;&gt;"OR+EX",--(DATOS!$G19997=CONFIG_METADATA!$B$4),IF(DATOS!$G19997="EX",1,IF(DATOS!$G19997="OR",--(COUNTIFS(nNIA,DATOS!$A19997,nCURSO,DATOS!$D19997,nESPEC,DATOS!$E19997,nASIG,DATOS!$I19997,nEVAL,"EX")=0),0))))</f>
      </c>
      <c r="H19997">
        <f>IF(DATOS!$G19997&lt;&gt;"EX",0,--(COUNTIFS(nNIA,DATOS!$A19997,nCURSO,DATOS!$D19997,nESPEC,DATOS!$E19997,nASIG,DATOS!$I19997,nEVAL,"OR")=0))</f>
      </c>
      <c r="I19997">
        <f>IF(DATOS!$I19997="","",IFERROR(VLOOKUP(DATOS!$I19997,CONFIG_ASIGNATURAS!$B$2:$J$91,9,FALSE()),""))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IF(DATOS!$A19998="",0,IF(CONFIG_METADATA!$B$4&lt;&gt;"OR+EX",--(DATOS!$G19998=CONFIG_METADATA!$B$4),IF(DATOS!$G19998="EX",1,IF(DATOS!$G19998="OR",--(COUNTIFS(nNIA,DATOS!$A19998,nCURSO,DATOS!$D19998,nESPEC,DATOS!$E19998,nASIG,DATOS!$I19998,nEVAL,"EX")=0),0))))</f>
      </c>
      <c r="H19998">
        <f>IF(DATOS!$G19998&lt;&gt;"EX",0,--(COUNTIFS(nNIA,DATOS!$A19998,nCURSO,DATOS!$D19998,nESPEC,DATOS!$E19998,nASIG,DATOS!$I19998,nEVAL,"OR")=0))</f>
      </c>
      <c r="I19998">
        <f>IF(DATOS!$I19998="","",IFERROR(VLOOKUP(DATOS!$I19998,CONFIG_ASIGNATURAS!$B$2:$J$91,9,FALSE()),""))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IF(DATOS!$A19999="",0,IF(CONFIG_METADATA!$B$4&lt;&gt;"OR+EX",--(DATOS!$G19999=CONFIG_METADATA!$B$4),IF(DATOS!$G19999="EX",1,IF(DATOS!$G19999="OR",--(COUNTIFS(nNIA,DATOS!$A19999,nCURSO,DATOS!$D19999,nESPEC,DATOS!$E19999,nASIG,DATOS!$I19999,nEVAL,"EX")=0),0))))</f>
      </c>
      <c r="H19999">
        <f>IF(DATOS!$G19999&lt;&gt;"EX",0,--(COUNTIFS(nNIA,DATOS!$A19999,nCURSO,DATOS!$D19999,nESPEC,DATOS!$E19999,nASIG,DATOS!$I19999,nEVAL,"OR")=0))</f>
      </c>
      <c r="I19999">
        <f>IF(DATOS!$I19999="","",IFERROR(VLOOKUP(DATOS!$I19999,CONFIG_ASIGNATURAS!$B$2:$J$91,9,FALSE()),""))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IF(DATOS!$A20000="",0,IF(CONFIG_METADATA!$B$4&lt;&gt;"OR+EX",--(DATOS!$G20000=CONFIG_METADATA!$B$4),IF(DATOS!$G20000="EX",1,IF(DATOS!$G20000="OR",--(COUNTIFS(nNIA,DATOS!$A20000,nCURSO,DATOS!$D20000,nESPEC,DATOS!$E20000,nASIG,DATOS!$I20000,nEVAL,"EX")=0),0))))</f>
      </c>
      <c r="H20000">
        <f>IF(DATOS!$G20000&lt;&gt;"EX",0,--(COUNTIFS(nNIA,DATOS!$A20000,nCURSO,DATOS!$D20000,nESPEC,DATOS!$E20000,nASIG,DATOS!$I20000,nEVAL,"OR")=0))</f>
      </c>
      <c r="I20000">
        <f>IF(DATOS!$I20000="","",IFERROR(VLOOKUP(DATOS!$I20000,CONFIG_ASIGNATURAS!$B$2:$J$91,9,FALSE()),""))</f>
      </c>
    </row>
  </sheetData>
  <dataValidations count="2">
    <dataValidation type="custom" allowBlank="0" showInputMessage="1" showErrorMessage="1" errorTitle="CursoNoValido" error="Escríbelo como 25/26: dos cifras, barra, dos cifras." promptTitle="Curso académico" prompt="Formato 25/26." sqref="B3">
      <formula1>AND(LEN(B3)=5,MID(B3,3,1)="/",ISNUMBER(VALUE(LEFT(B3,2))),ISNUMBER(VALUE(RIGHT(B3,2))))</formula1>
    </dataValidation>
    <dataValidation type="list" allowBlank="0" showInputMessage="1" showErrorMessage="1" errorTitle="Evaluación no válida" error="Usa uno de estos códigos, tal como vienen en la columna Evaluación de DATOS: 1EV,2EV,3EV,OR,EX,OR+EX." promptTitle="Evaluación" prompt="El código tiene que coincidir EXACTAMENTE con lo que pone la columna Evaluación de la hoja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43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>
      <c r="A2" t="inlineStr">
        <is>
          <t xml:space="preserve">GLOBAL</t>
        </is>
      </c>
      <c r="B2" t="inlineStr">
        <is>
          <t xml:space="preserve">Total</t>
        </is>
      </c>
      <c r="C2" t="inlineStr">
        <is>
          <t xml:space="preserve">Total</t>
        </is>
      </c>
      <c r="D2">
        <f>SUMPRODUCT((nCUENTA=1)*1)</f>
        <v>0</v>
      </c>
      <c r="E2" s="10" t="str">
        <f>IFERROR(SUMPRODUCT((nCUENTA=1)*(nNOTA))/D2,"—")</f>
        <v>—</v>
      </c>
      <c r="F2" s="10" t="str" cm="1">
        <f t="array" ref="F2">IFERROR(_xlfn.STDEV.P(_xlfn._xlws.FILTER(nNOTA,nCUENTA=1)),"—")</f>
        <v>—</v>
      </c>
      <c r="G2" t="str" cm="1">
        <f t="array" ref="G2">IFERROR(_xlfn.MODE.SNGL(_xlfn._xlws.FILTER(nNOTA,nCUENTA=1)),"—")</f>
        <v>—</v>
      </c>
      <c r="H2" s="11" t="str">
        <f>IFERROR(SUMPRODUCT((nCUENTA=1)*(nAPTO="S"))/D2,"—")</f>
        <v>—</v>
      </c>
      <c r="I2" s="11" t="str">
        <f>IFERROR(SUMPRODUCT((nCUENTA=1)*(nAPTO="N"))/D2,"—")</f>
        <v>—</v>
      </c>
      <c r="J2" t="str" cm="1">
        <f t="array" ref="J2">IFERROR(_xlfn.MODE.SNGL(_xlfn._xlws.FILTER(nNOTA,(nCUENTA=1)*(nAPTO="S"))),"—")</f>
        <v>—</v>
      </c>
      <c r="K2" t="str" cm="1">
        <f t="array" ref="K2">IFERROR(_xlfn.MODE.SNGL(_xlfn._xlws.FILTER(nNOTA,(nCUENTA=1)*(nAPTO="N"))),"—")</f>
        <v>—</v>
      </c>
      <c r="L2">
        <f>SUMPRODUCT((nCUENTA=1)*(nNOTA=1))</f>
        <v>0</v>
      </c>
      <c r="M2">
        <f>SUMPRODUCT((nCUENTA=1)*(nNOTA=2))</f>
        <v>0</v>
      </c>
      <c r="N2">
        <f>SUMPRODUCT((nCUENTA=1)*(nNOTA=3))</f>
        <v>0</v>
      </c>
      <c r="O2">
        <f>SUMPRODUCT((nCUENTA=1)*(nNOTA=4))</f>
        <v>0</v>
      </c>
      <c r="P2">
        <f>SUMPRODUCT((nCUENTA=1)*(nNOTA=5))</f>
        <v>0</v>
      </c>
      <c r="Q2">
        <f>SUMPRODUCT((nCUENTA=1)*(nNOTA=6))</f>
        <v>0</v>
      </c>
      <c r="R2">
        <f>SUMPRODUCT((nCUENTA=1)*(nNOTA=7))</f>
        <v>0</v>
      </c>
      <c r="S2">
        <f>SUMPRODUCT((nCUENTA=1)*(nNOTA=8))</f>
        <v>0</v>
      </c>
      <c r="T2">
        <f>SUMPRODUCT((nCUENTA=1)*(nNOTA=9))</f>
        <v>0</v>
      </c>
      <c r="U2">
        <f>SUMPRODUCT((nCUENTA=1)*(nNOTA=10))</f>
        <v>0</v>
      </c>
    </row>
    <row r="3">
      <c r="A3" t="inlineStr">
        <is>
          <t xml:space="preserve">GLOBAL</t>
        </is>
      </c>
      <c r="B3" t="inlineStr">
        <is>
          <t xml:space="preserve">Total Especialidad</t>
        </is>
      </c>
      <c r="C3" t="inlineStr">
        <is>
          <t xml:space="preserve">TotalEsp</t>
        </is>
      </c>
      <c r="D3">
        <f>SUMPRODUCT((nCUENTA=1)*(nCLASE_I="E")*1)</f>
      </c>
      <c r="E3" s="10">
        <f>IFERROR(AVERAGE(IF((nCUENTA=1)*(nCLASE_I="E"),nNOTA)),"—")</f>
      </c>
      <c r="F3" s="10">
        <f>IFERROR(_xlfn.STDEV.P(IF((nCUENTA=1)*(nCLASE_I="E"),nNOTA)),"—")</f>
      </c>
      <c r="G3">
        <f>IFERROR(_xlfn.MODE.SNGL(IF((nCUENTA=1)*(nCLASE_I="E"),nNOTA)),"—")</f>
      </c>
      <c r="H3" s="11">
        <f>IFERROR(SUMPRODUCT((nCUENTA=1)*(nCLASE_I="E")*(nAPTO="S"))/SUMPRODUCT((nCUENTA=1)*(nCLASE_I="E")*1),"—")</f>
      </c>
      <c r="I3" s="11">
        <f>IFERROR(SUMPRODUCT((nCUENTA=1)*(nCLASE_I="E")*(nAPTO="N"))/SUMPRODUCT((nCUENTA=1)*(nCLASE_I="E")*1),"—")</f>
      </c>
      <c r="J3">
        <f>IFERROR(_xlfn.MODE.SNGL(IF((nCUENTA=1)*(nCLASE_I="E")*(nAPTO="S"),nNOTA)),"—")</f>
      </c>
      <c r="K3">
        <f>IFERROR(_xlfn.MODE.SNGL(IF((nCUENTA=1)*(nCLASE_I="E")*(nAPTO="N"),nNOTA)),"—")</f>
      </c>
      <c r="L3">
        <f>SUMPRODUCT((nCUENTA=1)*(nCLASE_I="E")*(nNOTA=1))</f>
      </c>
      <c r="M3">
        <f>SUMPRODUCT((nCUENTA=1)*(nCLASE_I="E")*(nNOTA=2))</f>
      </c>
      <c r="N3">
        <f>SUMPRODUCT((nCUENTA=1)*(nCLASE_I="E")*(nNOTA=3))</f>
      </c>
      <c r="O3">
        <f>SUMPRODUCT((nCUENTA=1)*(nCLASE_I="E")*(nNOTA=4))</f>
      </c>
      <c r="P3">
        <f>SUMPRODUCT((nCUENTA=1)*(nCLASE_I="E")*(nNOTA=5))</f>
      </c>
      <c r="Q3">
        <f>SUMPRODUCT((nCUENTA=1)*(nCLASE_I="E")*(nNOTA=6))</f>
      </c>
      <c r="R3">
        <f>SUMPRODUCT((nCUENTA=1)*(nCLASE_I="E")*(nNOTA=7))</f>
      </c>
      <c r="S3">
        <f>SUMPRODUCT((nCUENTA=1)*(nCLASE_I="E")*(nNOTA=8))</f>
      </c>
      <c r="T3">
        <f>SUMPRODUCT((nCUENTA=1)*(nCLASE_I="E")*(nNOTA=9))</f>
      </c>
      <c r="U3">
        <f>SUMPRODUCT((nCUENTA=1)*(nCLASE_I="E")*(nNOTA=10))</f>
      </c>
    </row>
    <row r="4">
      <c r="A4" t="inlineStr">
        <is>
          <t xml:space="preserve">GLOBAL</t>
        </is>
      </c>
      <c r="B4" t="inlineStr">
        <is>
          <t xml:space="preserve">Total No Especialidad</t>
        </is>
      </c>
      <c r="C4" t="inlineStr">
        <is>
          <t xml:space="preserve">TotalNoEsp</t>
        </is>
      </c>
      <c r="D4">
        <f>SUMPRODUCT((nCUENTA=1)*((nCLASE_I&lt;&gt;"")*(nCLASE_I&lt;&gt;"E"))*1)</f>
      </c>
      <c r="E4" s="10">
        <f>IFERROR(AVERAGE(IF((nCUENTA=1)*((nCLASE_I&lt;&gt;"")*(nCLASE_I&lt;&gt;"E")),nNOTA)),"—")</f>
      </c>
      <c r="F4" s="10">
        <f>IFERROR(_xlfn.STDEV.P(IF((nCUENTA=1)*((nCLASE_I&lt;&gt;"")*(nCLASE_I&lt;&gt;"E")),nNOTA)),"—")</f>
      </c>
      <c r="G4">
        <f>IFERROR(_xlfn.MODE.SNGL(IF((nCUENTA=1)*((nCLASE_I&lt;&gt;"")*(nCLASE_I&lt;&gt;"E")),nNOTA)),"—")</f>
      </c>
      <c r="H4" s="11">
        <f>IFERROR(SUMPRODUCT((nCUENTA=1)*((nCLASE_I&lt;&gt;"")*(nCLASE_I&lt;&gt;"E"))*(nAPTO="S"))/SUMPRODUCT((nCUENTA=1)*((nCLASE_I&lt;&gt;"")*(nCLASE_I&lt;&gt;"E"))*1),"—")</f>
      </c>
      <c r="I4" s="11">
        <f>IFERROR(SUMPRODUCT((nCUENTA=1)*((nCLASE_I&lt;&gt;"")*(nCLASE_I&lt;&gt;"E"))*(nAPTO="N"))/SUMPRODUCT((nCUENTA=1)*((nCLASE_I&lt;&gt;"")*(nCLASE_I&lt;&gt;"E"))*1),"—")</f>
      </c>
      <c r="J4">
        <f>IFERROR(_xlfn.MODE.SNGL(IF((nCUENTA=1)*((nCLASE_I&lt;&gt;"")*(nCLASE_I&lt;&gt;"E"))*(nAPTO="S"),nNOTA)),"—")</f>
      </c>
      <c r="K4">
        <f>IFERROR(_xlfn.MODE.SNGL(IF((nCUENTA=1)*((nCLASE_I&lt;&gt;"")*(nCLASE_I&lt;&gt;"E"))*(nAPTO="N"),nNOTA)),"—")</f>
      </c>
      <c r="L4">
        <f>SUMPRODUCT((nCUENTA=1)*((nCLASE_I&lt;&gt;"")*(nCLASE_I&lt;&gt;"E"))*(nNOTA=1))</f>
      </c>
      <c r="M4">
        <f>SUMPRODUCT((nCUENTA=1)*((nCLASE_I&lt;&gt;"")*(nCLASE_I&lt;&gt;"E"))*(nNOTA=2))</f>
      </c>
      <c r="N4">
        <f>SUMPRODUCT((nCUENTA=1)*((nCLASE_I&lt;&gt;"")*(nCLASE_I&lt;&gt;"E"))*(nNOTA=3))</f>
      </c>
      <c r="O4">
        <f>SUMPRODUCT((nCUENTA=1)*((nCLASE_I&lt;&gt;"")*(nCLASE_I&lt;&gt;"E"))*(nNOTA=4))</f>
      </c>
      <c r="P4">
        <f>SUMPRODUCT((nCUENTA=1)*((nCLASE_I&lt;&gt;"")*(nCLASE_I&lt;&gt;"E"))*(nNOTA=5))</f>
      </c>
      <c r="Q4">
        <f>SUMPRODUCT((nCUENTA=1)*((nCLASE_I&lt;&gt;"")*(nCLASE_I&lt;&gt;"E"))*(nNOTA=6))</f>
      </c>
      <c r="R4">
        <f>SUMPRODUCT((nCUENTA=1)*((nCLASE_I&lt;&gt;"")*(nCLASE_I&lt;&gt;"E"))*(nNOTA=7))</f>
      </c>
      <c r="S4">
        <f>SUMPRODUCT((nCUENTA=1)*((nCLASE_I&lt;&gt;"")*(nCLASE_I&lt;&gt;"E"))*(nNOTA=8))</f>
      </c>
      <c r="T4">
        <f>SUMPRODUCT((nCUENTA=1)*((nCLASE_I&lt;&gt;"")*(nCLASE_I&lt;&gt;"E"))*(nNOTA=9))</f>
      </c>
      <c r="U4">
        <f>SUMPRODUCT((nCUENTA=1)*((nCLASE_I&lt;&gt;"")*(nCLASE_I&lt;&gt;"E"))*(nNOTA=10))</f>
      </c>
    </row>
    <row r="5">
      <c r="A5" t="inlineStr">
        <is>
          <t xml:space="preserve">GLOBAL</t>
        </is>
      </c>
      <c r="B5" t="inlineStr">
        <is>
          <t xml:space="preserve">Teórica Troncal</t>
        </is>
      </c>
      <c r="C5" t="inlineStr">
        <is>
          <t xml:space="preserve">TeoricaTroncal</t>
        </is>
      </c>
      <c r="D5">
        <f>SUMPRODUCT((nCUENTA=1)*(nCLASE_I="NT")*1)</f>
      </c>
      <c r="E5" s="10">
        <f>IFERROR(AVERAGE(IF((nCUENTA=1)*(nCLASE_I="NT"),nNOTA)),"—")</f>
      </c>
      <c r="F5" s="10">
        <f>IFERROR(_xlfn.STDEV.P(IF((nCUENTA=1)*(nCLASE_I="NT"),nNOTA)),"—")</f>
      </c>
      <c r="G5">
        <f>IFERROR(_xlfn.MODE.SNGL(IF((nCUENTA=1)*(nCLASE_I="NT"),nNOTA)),"—")</f>
      </c>
      <c r="H5" s="11">
        <f>IFERROR(SUMPRODUCT((nCUENTA=1)*(nCLASE_I="NT")*(nAPTO="S"))/SUMPRODUCT((nCUENTA=1)*(nCLASE_I="NT")*1),"—")</f>
      </c>
      <c r="I5" s="11">
        <f>IFERROR(SUMPRODUCT((nCUENTA=1)*(nCLASE_I="NT")*(nAPTO="N"))/SUMPRODUCT((nCUENTA=1)*(nCLASE_I="NT")*1),"—")</f>
      </c>
      <c r="J5">
        <f>IFERROR(_xlfn.MODE.SNGL(IF((nCUENTA=1)*(nCLASE_I="NT")*(nAPTO="S"),nNOTA)),"—")</f>
      </c>
      <c r="K5">
        <f>IFERROR(_xlfn.MODE.SNGL(IF((nCUENTA=1)*(nCLASE_I="NT")*(nAPTO="N"),nNOTA)),"—")</f>
      </c>
      <c r="L5">
        <f>SUMPRODUCT((nCUENTA=1)*(nCLASE_I="NT")*(nNOTA=1))</f>
      </c>
      <c r="M5">
        <f>SUMPRODUCT((nCUENTA=1)*(nCLASE_I="NT")*(nNOTA=2))</f>
      </c>
      <c r="N5">
        <f>SUMPRODUCT((nCUENTA=1)*(nCLASE_I="NT")*(nNOTA=3))</f>
      </c>
      <c r="O5">
        <f>SUMPRODUCT((nCUENTA=1)*(nCLASE_I="NT")*(nNOTA=4))</f>
      </c>
      <c r="P5">
        <f>SUMPRODUCT((nCUENTA=1)*(nCLASE_I="NT")*(nNOTA=5))</f>
      </c>
      <c r="Q5">
        <f>SUMPRODUCT((nCUENTA=1)*(nCLASE_I="NT")*(nNOTA=6))</f>
      </c>
      <c r="R5">
        <f>SUMPRODUCT((nCUENTA=1)*(nCLASE_I="NT")*(nNOTA=7))</f>
      </c>
      <c r="S5">
        <f>SUMPRODUCT((nCUENTA=1)*(nCLASE_I="NT")*(nNOTA=8))</f>
      </c>
      <c r="T5">
        <f>SUMPRODUCT((nCUENTA=1)*(nCLASE_I="NT")*(nNOTA=9))</f>
      </c>
      <c r="U5">
        <f>SUMPRODUCT((nCUENTA=1)*(nCLASE_I="NT")*(nNOTA=10))</f>
      </c>
    </row>
    <row r="6">
      <c r="A6" t="inlineStr">
        <is>
          <t xml:space="preserve">GLOBAL</t>
        </is>
      </c>
      <c r="B6" cm="1">
        <f t="array" ref="B6">IFERROR(INDEX(_xlfn._xlws.FILTER(CONFIG_ASIGNATURAS!$B$2:$B$91,CONFIG_ASIGNATURAS!$G$2:$G$91="Sí"),1),"")</f>
      </c>
      <c r="C6">
        <f>IF(B6="","",IFERROR(VLOOKUP(B6,CONFIG_ASIGNATURAS!$B$2:$D$91,3,FALSE()),"Asignatura"))</f>
      </c>
      <c r="D6">
        <f>SUMPRODUCT((nCUENTA=1)*(nASIG=B6))</f>
        <v>0</v>
      </c>
      <c r="E6" s="10" t="str">
        <f>IFERROR(SUMPRODUCT((nCUENTA=1)*(nASIG=B6)*(nNOTA))/D6,"—")</f>
        <v>—</v>
      </c>
      <c r="F6" s="10" t="str" cm="1">
        <f t="array" ref="F6">IFERROR(_xlfn.STDEV.P(_xlfn._xlws.FILTER(nNOTA,(nCUENTA=1)*(nASIG=B6))),"—")</f>
        <v>—</v>
      </c>
      <c r="G6" t="str" cm="1">
        <f t="array" ref="G6">IFERROR(_xlfn.MODE.SNGL(_xlfn._xlws.FILTER(nNOTA,(nCUENTA=1)*(nASIG=B6))),"—")</f>
        <v>—</v>
      </c>
      <c r="H6" s="11" t="str">
        <f>IFERROR(SUMPRODUCT((nCUENTA=1)*(nASIG=B6)*(nAPTO="S"))/D6,"—")</f>
        <v>—</v>
      </c>
      <c r="I6" s="11" t="str">
        <f>IFERROR(SUMPRODUCT((nCUENTA=1)*(nASIG=B6)*(nAPTO="N"))/D6,"—")</f>
        <v>—</v>
      </c>
      <c r="J6" t="str" cm="1">
        <f t="array" ref="J6">IFERROR(_xlfn.MODE.SNGL(_xlfn._xlws.FILTER(nNOTA,(nCUENTA=1)*(nASIG=B6)*(nAPTO="S"))),"—")</f>
        <v>—</v>
      </c>
      <c r="K6" t="str" cm="1">
        <f t="array" ref="K6">IFERROR(_xlfn.MODE.SNGL(_xlfn._xlws.FILTER(nNOTA,(nCUENTA=1)*(nASIG=B6)*(nAPTO="N"))),"—")</f>
        <v>—</v>
      </c>
      <c r="L6">
        <f>SUMPRODUCT((nCUENTA=1)*(nASIG=B6)*(nNOTA=1))</f>
        <v>0</v>
      </c>
      <c r="M6">
        <f>SUMPRODUCT((nCUENTA=1)*(nASIG=B6)*(nNOTA=2))</f>
        <v>0</v>
      </c>
      <c r="N6">
        <f>SUMPRODUCT((nCUENTA=1)*(nASIG=B6)*(nNOTA=3))</f>
        <v>0</v>
      </c>
      <c r="O6">
        <f>SUMPRODUCT((nCUENTA=1)*(nASIG=B6)*(nNOTA=4))</f>
        <v>0</v>
      </c>
      <c r="P6">
        <f>SUMPRODUCT((nCUENTA=1)*(nASIG=B6)*(nNOTA=5))</f>
        <v>0</v>
      </c>
      <c r="Q6">
        <f>SUMPRODUCT((nCUENTA=1)*(nASIG=B6)*(nNOTA=6))</f>
        <v>0</v>
      </c>
      <c r="R6">
        <f>SUMPRODUCT((nCUENTA=1)*(nASIG=B6)*(nNOTA=7))</f>
        <v>0</v>
      </c>
      <c r="S6">
        <f>SUMPRODUCT((nCUENTA=1)*(nASIG=B6)*(nNOTA=8))</f>
        <v>0</v>
      </c>
      <c r="T6">
        <f>SUMPRODUCT((nCUENTA=1)*(nASIG=B6)*(nNOTA=9))</f>
        <v>0</v>
      </c>
      <c r="U6">
        <f>SUMPRODUCT((nCUENTA=1)*(nASIG=B6)*(nNOTA=10))</f>
        <v>0</v>
      </c>
    </row>
    <row r="7">
      <c r="A7" t="inlineStr">
        <is>
          <t xml:space="preserve">GLOBAL</t>
        </is>
      </c>
      <c r="B7" cm="1">
        <f t="array" ref="B7">IFERROR(INDEX(_xlfn._xlws.FILTER(CONFIG_ASIGNATURAS!$B$2:$B$91,CONFIG_ASIGNATURAS!$G$2:$G$91="Sí"),2),"")</f>
      </c>
      <c r="C7">
        <f>IF(B7="","",IFERROR(VLOOKUP(B7,CONFIG_ASIGNATURAS!$B$2:$D$91,3,FALSE()),"Asignatura"))</f>
      </c>
      <c r="D7">
        <f>SUMPRODUCT((nCUENTA=1)*(nASIG=B7))</f>
        <v>0</v>
      </c>
      <c r="E7" s="10" t="str">
        <f>IFERROR(SUMPRODUCT((nCUENTA=1)*(nASIG=B7)*(nNOTA))/D7,"—")</f>
        <v>—</v>
      </c>
      <c r="F7" s="10" t="str" cm="1">
        <f t="array" ref="F7">IFERROR(_xlfn.STDEV.P(_xlfn._xlws.FILTER(nNOTA,(nCUENTA=1)*(nASIG=B7))),"—")</f>
        <v>—</v>
      </c>
      <c r="G7" t="str" cm="1">
        <f t="array" ref="G7">IFERROR(_xlfn.MODE.SNGL(_xlfn._xlws.FILTER(nNOTA,(nCUENTA=1)*(nASIG=B7))),"—")</f>
        <v>—</v>
      </c>
      <c r="H7" s="11" t="str">
        <f>IFERROR(SUMPRODUCT((nCUENTA=1)*(nASIG=B7)*(nAPTO="S"))/D7,"—")</f>
        <v>—</v>
      </c>
      <c r="I7" s="11" t="str">
        <f>IFERROR(SUMPRODUCT((nCUENTA=1)*(nASIG=B7)*(nAPTO="N"))/D7,"—")</f>
        <v>—</v>
      </c>
      <c r="J7" t="str" cm="1">
        <f t="array" ref="J7">IFERROR(_xlfn.MODE.SNGL(_xlfn._xlws.FILTER(nNOTA,(nCUENTA=1)*(nASIG=B7)*(nAPTO="S"))),"—")</f>
        <v>—</v>
      </c>
      <c r="K7" t="str" cm="1">
        <f t="array" ref="K7">IFERROR(_xlfn.MODE.SNGL(_xlfn._xlws.FILTER(nNOTA,(nCUENTA=1)*(nASIG=B7)*(nAPTO="N"))),"—")</f>
        <v>—</v>
      </c>
      <c r="L7">
        <f>SUMPRODUCT((nCUENTA=1)*(nASIG=B7)*(nNOTA=1))</f>
        <v>0</v>
      </c>
      <c r="M7">
        <f>SUMPRODUCT((nCUENTA=1)*(nASIG=B7)*(nNOTA=2))</f>
        <v>0</v>
      </c>
      <c r="N7">
        <f>SUMPRODUCT((nCUENTA=1)*(nASIG=B7)*(nNOTA=3))</f>
        <v>0</v>
      </c>
      <c r="O7">
        <f>SUMPRODUCT((nCUENTA=1)*(nASIG=B7)*(nNOTA=4))</f>
        <v>0</v>
      </c>
      <c r="P7">
        <f>SUMPRODUCT((nCUENTA=1)*(nASIG=B7)*(nNOTA=5))</f>
        <v>0</v>
      </c>
      <c r="Q7">
        <f>SUMPRODUCT((nCUENTA=1)*(nASIG=B7)*(nNOTA=6))</f>
        <v>0</v>
      </c>
      <c r="R7">
        <f>SUMPRODUCT((nCUENTA=1)*(nASIG=B7)*(nNOTA=7))</f>
        <v>0</v>
      </c>
      <c r="S7">
        <f>SUMPRODUCT((nCUENTA=1)*(nASIG=B7)*(nNOTA=8))</f>
        <v>0</v>
      </c>
      <c r="T7">
        <f>SUMPRODUCT((nCUENTA=1)*(nASIG=B7)*(nNOTA=9))</f>
        <v>0</v>
      </c>
      <c r="U7">
        <f>SUMPRODUCT((nCUENTA=1)*(nASIG=B7)*(nNOTA=10))</f>
        <v>0</v>
      </c>
    </row>
    <row r="8">
      <c r="A8" t="inlineStr">
        <is>
          <t xml:space="preserve">GLOBAL</t>
        </is>
      </c>
      <c r="B8" cm="1">
        <f t="array" ref="B8">IFERROR(INDEX(_xlfn._xlws.FILTER(CONFIG_ASIGNATURAS!$B$2:$B$91,CONFIG_ASIGNATURAS!$G$2:$G$91="Sí"),3),"")</f>
      </c>
      <c r="C8">
        <f>IF(B8="","",IFERROR(VLOOKUP(B8,CONFIG_ASIGNATURAS!$B$2:$D$91,3,FALSE()),"Asignatura"))</f>
      </c>
      <c r="D8">
        <f>SUMPRODUCT((nCUENTA=1)*(nASIG=B8))</f>
        <v>0</v>
      </c>
      <c r="E8" s="10" t="str">
        <f>IFERROR(SUMPRODUCT((nCUENTA=1)*(nASIG=B8)*(nNOTA))/D8,"—")</f>
        <v>—</v>
      </c>
      <c r="F8" s="10" t="str" cm="1">
        <f t="array" ref="F8">IFERROR(_xlfn.STDEV.P(_xlfn._xlws.FILTER(nNOTA,(nCUENTA=1)*(nASIG=B8))),"—")</f>
        <v>—</v>
      </c>
      <c r="G8" t="str" cm="1">
        <f t="array" ref="G8">IFERROR(_xlfn.MODE.SNGL(_xlfn._xlws.FILTER(nNOTA,(nCUENTA=1)*(nASIG=B8))),"—")</f>
        <v>—</v>
      </c>
      <c r="H8" s="11" t="str">
        <f>IFERROR(SUMPRODUCT((nCUENTA=1)*(nASIG=B8)*(nAPTO="S"))/D8,"—")</f>
        <v>—</v>
      </c>
      <c r="I8" s="11" t="str">
        <f>IFERROR(SUMPRODUCT((nCUENTA=1)*(nASIG=B8)*(nAPTO="N"))/D8,"—")</f>
        <v>—</v>
      </c>
      <c r="J8" t="str" cm="1">
        <f t="array" ref="J8">IFERROR(_xlfn.MODE.SNGL(_xlfn._xlws.FILTER(nNOTA,(nCUENTA=1)*(nASIG=B8)*(nAPTO="S"))),"—")</f>
        <v>—</v>
      </c>
      <c r="K8" t="str" cm="1">
        <f t="array" ref="K8">IFERROR(_xlfn.MODE.SNGL(_xlfn._xlws.FILTER(nNOTA,(nCUENTA=1)*(nASIG=B8)*(nAPTO="N"))),"—")</f>
        <v>—</v>
      </c>
      <c r="L8">
        <f>SUMPRODUCT((nCUENTA=1)*(nASIG=B8)*(nNOTA=1))</f>
        <v>0</v>
      </c>
      <c r="M8">
        <f>SUMPRODUCT((nCUENTA=1)*(nASIG=B8)*(nNOTA=2))</f>
        <v>0</v>
      </c>
      <c r="N8">
        <f>SUMPRODUCT((nCUENTA=1)*(nASIG=B8)*(nNOTA=3))</f>
        <v>0</v>
      </c>
      <c r="O8">
        <f>SUMPRODUCT((nCUENTA=1)*(nASIG=B8)*(nNOTA=4))</f>
        <v>0</v>
      </c>
      <c r="P8">
        <f>SUMPRODUCT((nCUENTA=1)*(nASIG=B8)*(nNOTA=5))</f>
        <v>0</v>
      </c>
      <c r="Q8">
        <f>SUMPRODUCT((nCUENTA=1)*(nASIG=B8)*(nNOTA=6))</f>
        <v>0</v>
      </c>
      <c r="R8">
        <f>SUMPRODUCT((nCUENTA=1)*(nASIG=B8)*(nNOTA=7))</f>
        <v>0</v>
      </c>
      <c r="S8">
        <f>SUMPRODUCT((nCUENTA=1)*(nASIG=B8)*(nNOTA=8))</f>
        <v>0</v>
      </c>
      <c r="T8">
        <f>SUMPRODUCT((nCUENTA=1)*(nASIG=B8)*(nNOTA=9))</f>
        <v>0</v>
      </c>
      <c r="U8">
        <f>SUMPRODUCT((nCUENTA=1)*(nASIG=B8)*(nNOTA=10))</f>
        <v>0</v>
      </c>
    </row>
    <row r="9">
      <c r="A9" t="inlineStr">
        <is>
          <t xml:space="preserve">GLOBAL</t>
        </is>
      </c>
      <c r="B9" cm="1">
        <f t="array" ref="B9">IFERROR(INDEX(_xlfn._xlws.FILTER(CONFIG_ASIGNATURAS!$B$2:$B$91,CONFIG_ASIGNATURAS!$G$2:$G$91="Sí"),4),"")</f>
      </c>
      <c r="C9">
        <f>IF(B9="","",IFERROR(VLOOKUP(B9,CONFIG_ASIGNATURAS!$B$2:$D$91,3,FALSE()),"Asignatura"))</f>
      </c>
      <c r="D9">
        <f>SUMPRODUCT((nCUENTA=1)*(nASIG=B9))</f>
        <v>0</v>
      </c>
      <c r="E9" s="10" t="str">
        <f>IFERROR(SUMPRODUCT((nCUENTA=1)*(nASIG=B9)*(nNOTA))/D9,"—")</f>
        <v>—</v>
      </c>
      <c r="F9" s="10" t="str" cm="1">
        <f t="array" ref="F9">IFERROR(_xlfn.STDEV.P(_xlfn._xlws.FILTER(nNOTA,(nCUENTA=1)*(nASIG=B9))),"—")</f>
        <v>—</v>
      </c>
      <c r="G9" t="str" cm="1">
        <f t="array" ref="G9">IFERROR(_xlfn.MODE.SNGL(_xlfn._xlws.FILTER(nNOTA,(nCUENTA=1)*(nASIG=B9))),"—")</f>
        <v>—</v>
      </c>
      <c r="H9" s="11" t="str">
        <f>IFERROR(SUMPRODUCT((nCUENTA=1)*(nASIG=B9)*(nAPTO="S"))/D9,"—")</f>
        <v>—</v>
      </c>
      <c r="I9" s="11" t="str">
        <f>IFERROR(SUMPRODUCT((nCUENTA=1)*(nASIG=B9)*(nAPTO="N"))/D9,"—")</f>
        <v>—</v>
      </c>
      <c r="J9" t="str" cm="1">
        <f t="array" ref="J9">IFERROR(_xlfn.MODE.SNGL(_xlfn._xlws.FILTER(nNOTA,(nCUENTA=1)*(nASIG=B9)*(nAPTO="S"))),"—")</f>
        <v>—</v>
      </c>
      <c r="K9" t="str" cm="1">
        <f t="array" ref="K9">IFERROR(_xlfn.MODE.SNGL(_xlfn._xlws.FILTER(nNOTA,(nCUENTA=1)*(nASIG=B9)*(nAPTO="N"))),"—")</f>
        <v>—</v>
      </c>
      <c r="L9">
        <f>SUMPRODUCT((nCUENTA=1)*(nASIG=B9)*(nNOTA=1))</f>
        <v>0</v>
      </c>
      <c r="M9">
        <f>SUMPRODUCT((nCUENTA=1)*(nASIG=B9)*(nNOTA=2))</f>
        <v>0</v>
      </c>
      <c r="N9">
        <f>SUMPRODUCT((nCUENTA=1)*(nASIG=B9)*(nNOTA=3))</f>
        <v>0</v>
      </c>
      <c r="O9">
        <f>SUMPRODUCT((nCUENTA=1)*(nASIG=B9)*(nNOTA=4))</f>
        <v>0</v>
      </c>
      <c r="P9">
        <f>SUMPRODUCT((nCUENTA=1)*(nASIG=B9)*(nNOTA=5))</f>
        <v>0</v>
      </c>
      <c r="Q9">
        <f>SUMPRODUCT((nCUENTA=1)*(nASIG=B9)*(nNOTA=6))</f>
        <v>0</v>
      </c>
      <c r="R9">
        <f>SUMPRODUCT((nCUENTA=1)*(nASIG=B9)*(nNOTA=7))</f>
        <v>0</v>
      </c>
      <c r="S9">
        <f>SUMPRODUCT((nCUENTA=1)*(nASIG=B9)*(nNOTA=8))</f>
        <v>0</v>
      </c>
      <c r="T9">
        <f>SUMPRODUCT((nCUENTA=1)*(nASIG=B9)*(nNOTA=9))</f>
        <v>0</v>
      </c>
      <c r="U9">
        <f>SUMPRODUCT((nCUENTA=1)*(nASIG=B9)*(nNOTA=10))</f>
        <v>0</v>
      </c>
    </row>
    <row r="10">
      <c r="A10" t="inlineStr">
        <is>
          <t xml:space="preserve">GLOBAL</t>
        </is>
      </c>
      <c r="B10" cm="1">
        <f t="array" ref="B10">IFERROR(INDEX(_xlfn._xlws.FILTER(CONFIG_ASIGNATURAS!$B$2:$B$91,CONFIG_ASIGNATURAS!$G$2:$G$91="Sí"),5),"")</f>
      </c>
      <c r="C10">
        <f>IF(B10="","",IFERROR(VLOOKUP(B10,CONFIG_ASIGNATURAS!$B$2:$D$91,3,FALSE()),"Asignatura"))</f>
      </c>
      <c r="D10">
        <f>SUMPRODUCT((nCUENTA=1)*(nASIG=B10))</f>
        <v>0</v>
      </c>
      <c r="E10" s="10" t="str">
        <f>IFERROR(SUMPRODUCT((nCUENTA=1)*(nASIG=B10)*(nNOTA))/D10,"—")</f>
        <v>—</v>
      </c>
      <c r="F10" s="10" t="str" cm="1">
        <f t="array" ref="F10">IFERROR(_xlfn.STDEV.P(_xlfn._xlws.FILTER(nNOTA,(nCUENTA=1)*(nASIG=B10))),"—")</f>
        <v>—</v>
      </c>
      <c r="G10" t="str" cm="1">
        <f t="array" ref="G10">IFERROR(_xlfn.MODE.SNGL(_xlfn._xlws.FILTER(nNOTA,(nCUENTA=1)*(nASIG=B10))),"—")</f>
        <v>—</v>
      </c>
      <c r="H10" s="11" t="str">
        <f>IFERROR(SUMPRODUCT((nCUENTA=1)*(nASIG=B10)*(nAPTO="S"))/D10,"—")</f>
        <v>—</v>
      </c>
      <c r="I10" s="11" t="str">
        <f>IFERROR(SUMPRODUCT((nCUENTA=1)*(nASIG=B10)*(nAPTO="N"))/D10,"—")</f>
        <v>—</v>
      </c>
      <c r="J10" t="str" cm="1">
        <f t="array" ref="J10">IFERROR(_xlfn.MODE.SNGL(_xlfn._xlws.FILTER(nNOTA,(nCUENTA=1)*(nASIG=B10)*(nAPTO="S"))),"—")</f>
        <v>—</v>
      </c>
      <c r="K10" t="str" cm="1">
        <f t="array" ref="K10">IFERROR(_xlfn.MODE.SNGL(_xlfn._xlws.FILTER(nNOTA,(nCUENTA=1)*(nASIG=B10)*(nAPTO="N"))),"—")</f>
        <v>—</v>
      </c>
      <c r="L10">
        <f>SUMPRODUCT((nCUENTA=1)*(nASIG=B10)*(nNOTA=1))</f>
        <v>0</v>
      </c>
      <c r="M10">
        <f>SUMPRODUCT((nCUENTA=1)*(nASIG=B10)*(nNOTA=2))</f>
        <v>0</v>
      </c>
      <c r="N10">
        <f>SUMPRODUCT((nCUENTA=1)*(nASIG=B10)*(nNOTA=3))</f>
        <v>0</v>
      </c>
      <c r="O10">
        <f>SUMPRODUCT((nCUENTA=1)*(nASIG=B10)*(nNOTA=4))</f>
        <v>0</v>
      </c>
      <c r="P10">
        <f>SUMPRODUCT((nCUENTA=1)*(nASIG=B10)*(nNOTA=5))</f>
        <v>0</v>
      </c>
      <c r="Q10">
        <f>SUMPRODUCT((nCUENTA=1)*(nASIG=B10)*(nNOTA=6))</f>
        <v>0</v>
      </c>
      <c r="R10">
        <f>SUMPRODUCT((nCUENTA=1)*(nASIG=B10)*(nNOTA=7))</f>
        <v>0</v>
      </c>
      <c r="S10">
        <f>SUMPRODUCT((nCUENTA=1)*(nASIG=B10)*(nNOTA=8))</f>
        <v>0</v>
      </c>
      <c r="T10">
        <f>SUMPRODUCT((nCUENTA=1)*(nASIG=B10)*(nNOTA=9))</f>
        <v>0</v>
      </c>
      <c r="U10">
        <f>SUMPRODUCT((nCUENTA=1)*(nASIG=B10)*(nNOTA=10))</f>
        <v>0</v>
      </c>
    </row>
    <row r="11">
      <c r="A11" t="inlineStr">
        <is>
          <t xml:space="preserve">GLOBAL</t>
        </is>
      </c>
      <c r="B11" cm="1">
        <f t="array" ref="B11">IFERROR(INDEX(_xlfn._xlws.FILTER(CONFIG_ASIGNATURAS!$B$2:$B$91,CONFIG_ASIGNATURAS!$G$2:$G$91="Sí"),6),"")</f>
      </c>
      <c r="C11">
        <f>IF(B11="","",IFERROR(VLOOKUP(B11,CONFIG_ASIGNATURAS!$B$2:$D$91,3,FALSE()),"Asignatura"))</f>
      </c>
      <c r="D11">
        <f>SUMPRODUCT((nCUENTA=1)*(nASIG=B11))</f>
        <v>0</v>
      </c>
      <c r="E11" s="10" t="str">
        <f>IFERROR(SUMPRODUCT((nCUENTA=1)*(nASIG=B11)*(nNOTA))/D11,"—")</f>
        <v>—</v>
      </c>
      <c r="F11" s="10" t="str" cm="1">
        <f t="array" ref="F11">IFERROR(_xlfn.STDEV.P(_xlfn._xlws.FILTER(nNOTA,(nCUENTA=1)*(nASIG=B11))),"—")</f>
        <v>—</v>
      </c>
      <c r="G11" t="str" cm="1">
        <f t="array" ref="G11">IFERROR(_xlfn.MODE.SNGL(_xlfn._xlws.FILTER(nNOTA,(nCUENTA=1)*(nASIG=B11))),"—")</f>
        <v>—</v>
      </c>
      <c r="H11" s="11" t="str">
        <f>IFERROR(SUMPRODUCT((nCUENTA=1)*(nASIG=B11)*(nAPTO="S"))/D11,"—")</f>
        <v>—</v>
      </c>
      <c r="I11" s="11" t="str">
        <f>IFERROR(SUMPRODUCT((nCUENTA=1)*(nASIG=B11)*(nAPTO="N"))/D11,"—")</f>
        <v>—</v>
      </c>
      <c r="J11" t="str" cm="1">
        <f t="array" ref="J11">IFERROR(_xlfn.MODE.SNGL(_xlfn._xlws.FILTER(nNOTA,(nCUENTA=1)*(nASIG=B11)*(nAPTO="S"))),"—")</f>
        <v>—</v>
      </c>
      <c r="K11" t="str" cm="1">
        <f t="array" ref="K11">IFERROR(_xlfn.MODE.SNGL(_xlfn._xlws.FILTER(nNOTA,(nCUENTA=1)*(nASIG=B11)*(nAPTO="N"))),"—")</f>
        <v>—</v>
      </c>
      <c r="L11">
        <f>SUMPRODUCT((nCUENTA=1)*(nASIG=B11)*(nNOTA=1))</f>
        <v>0</v>
      </c>
      <c r="M11">
        <f>SUMPRODUCT((nCUENTA=1)*(nASIG=B11)*(nNOTA=2))</f>
        <v>0</v>
      </c>
      <c r="N11">
        <f>SUMPRODUCT((nCUENTA=1)*(nASIG=B11)*(nNOTA=3))</f>
        <v>0</v>
      </c>
      <c r="O11">
        <f>SUMPRODUCT((nCUENTA=1)*(nASIG=B11)*(nNOTA=4))</f>
        <v>0</v>
      </c>
      <c r="P11">
        <f>SUMPRODUCT((nCUENTA=1)*(nASIG=B11)*(nNOTA=5))</f>
        <v>0</v>
      </c>
      <c r="Q11">
        <f>SUMPRODUCT((nCUENTA=1)*(nASIG=B11)*(nNOTA=6))</f>
        <v>0</v>
      </c>
      <c r="R11">
        <f>SUMPRODUCT((nCUENTA=1)*(nASIG=B11)*(nNOTA=7))</f>
        <v>0</v>
      </c>
      <c r="S11">
        <f>SUMPRODUCT((nCUENTA=1)*(nASIG=B11)*(nNOTA=8))</f>
        <v>0</v>
      </c>
      <c r="T11">
        <f>SUMPRODUCT((nCUENTA=1)*(nASIG=B11)*(nNOTA=9))</f>
        <v>0</v>
      </c>
      <c r="U11">
        <f>SUMPRODUCT((nCUENTA=1)*(nASIG=B11)*(nNOTA=10))</f>
        <v>0</v>
      </c>
    </row>
    <row r="12">
      <c r="A12" t="inlineStr">
        <is>
          <t xml:space="preserve">GLOBAL</t>
        </is>
      </c>
      <c r="B12" cm="1">
        <f t="array" ref="B12">IFERROR(INDEX(_xlfn._xlws.FILTER(CONFIG_ASIGNATURAS!$B$2:$B$91,CONFIG_ASIGNATURAS!$G$2:$G$91="Sí"),7),"")</f>
      </c>
      <c r="C12">
        <f>IF(B12="","",IFERROR(VLOOKUP(B12,CONFIG_ASIGNATURAS!$B$2:$D$91,3,FALSE()),"Asignatura"))</f>
      </c>
      <c r="D12">
        <f>SUMPRODUCT((nCUENTA=1)*(nASIG=B12))</f>
        <v>0</v>
      </c>
      <c r="E12" s="10" t="str">
        <f>IFERROR(SUMPRODUCT((nCUENTA=1)*(nASIG=B12)*(nNOTA))/D12,"—")</f>
        <v>—</v>
      </c>
      <c r="F12" s="10" t="str" cm="1">
        <f t="array" ref="F12">IFERROR(_xlfn.STDEV.P(_xlfn._xlws.FILTER(nNOTA,(nCUENTA=1)*(nASIG=B12))),"—")</f>
        <v>—</v>
      </c>
      <c r="G12" t="str" cm="1">
        <f t="array" ref="G12">IFERROR(_xlfn.MODE.SNGL(_xlfn._xlws.FILTER(nNOTA,(nCUENTA=1)*(nASIG=B12))),"—")</f>
        <v>—</v>
      </c>
      <c r="H12" s="11" t="str">
        <f>IFERROR(SUMPRODUCT((nCUENTA=1)*(nASIG=B12)*(nAPTO="S"))/D12,"—")</f>
        <v>—</v>
      </c>
      <c r="I12" s="11" t="str">
        <f>IFERROR(SUMPRODUCT((nCUENTA=1)*(nASIG=B12)*(nAPTO="N"))/D12,"—")</f>
        <v>—</v>
      </c>
      <c r="J12" t="str" cm="1">
        <f t="array" ref="J12">IFERROR(_xlfn.MODE.SNGL(_xlfn._xlws.FILTER(nNOTA,(nCUENTA=1)*(nASIG=B12)*(nAPTO="S"))),"—")</f>
        <v>—</v>
      </c>
      <c r="K12" t="str" cm="1">
        <f t="array" ref="K12">IFERROR(_xlfn.MODE.SNGL(_xlfn._xlws.FILTER(nNOTA,(nCUENTA=1)*(nASIG=B12)*(nAPTO="N"))),"—")</f>
        <v>—</v>
      </c>
      <c r="L12">
        <f>SUMPRODUCT((nCUENTA=1)*(nASIG=B12)*(nNOTA=1))</f>
        <v>0</v>
      </c>
      <c r="M12">
        <f>SUMPRODUCT((nCUENTA=1)*(nASIG=B12)*(nNOTA=2))</f>
        <v>0</v>
      </c>
      <c r="N12">
        <f>SUMPRODUCT((nCUENTA=1)*(nASIG=B12)*(nNOTA=3))</f>
        <v>0</v>
      </c>
      <c r="O12">
        <f>SUMPRODUCT((nCUENTA=1)*(nASIG=B12)*(nNOTA=4))</f>
        <v>0</v>
      </c>
      <c r="P12">
        <f>SUMPRODUCT((nCUENTA=1)*(nASIG=B12)*(nNOTA=5))</f>
        <v>0</v>
      </c>
      <c r="Q12">
        <f>SUMPRODUCT((nCUENTA=1)*(nASIG=B12)*(nNOTA=6))</f>
        <v>0</v>
      </c>
      <c r="R12">
        <f>SUMPRODUCT((nCUENTA=1)*(nASIG=B12)*(nNOTA=7))</f>
        <v>0</v>
      </c>
      <c r="S12">
        <f>SUMPRODUCT((nCUENTA=1)*(nASIG=B12)*(nNOTA=8))</f>
        <v>0</v>
      </c>
      <c r="T12">
        <f>SUMPRODUCT((nCUENTA=1)*(nASIG=B12)*(nNOTA=9))</f>
        <v>0</v>
      </c>
      <c r="U12">
        <f>SUMPRODUCT((nCUENTA=1)*(nASIG=B12)*(nNOTA=10))</f>
        <v>0</v>
      </c>
    </row>
    <row r="13">
      <c r="A13" t="inlineStr">
        <is>
          <t xml:space="preserve">GLOBAL</t>
        </is>
      </c>
      <c r="B13" cm="1">
        <f t="array" ref="B13">IFERROR(INDEX(_xlfn._xlws.FILTER(CONFIG_ASIGNATURAS!$B$2:$B$91,CONFIG_ASIGNATURAS!$G$2:$G$91="Sí"),8),"")</f>
      </c>
      <c r="C13">
        <f>IF(B13="","",IFERROR(VLOOKUP(B13,CONFIG_ASIGNATURAS!$B$2:$D$91,3,FALSE()),"Asignatura"))</f>
      </c>
      <c r="D13">
        <f>SUMPRODUCT((nCUENTA=1)*(nASIG=B13))</f>
        <v>0</v>
      </c>
      <c r="E13" s="10" t="str">
        <f>IFERROR(SUMPRODUCT((nCUENTA=1)*(nASIG=B13)*(nNOTA))/D13,"—")</f>
        <v>—</v>
      </c>
      <c r="F13" s="10" t="str" cm="1">
        <f t="array" ref="F13">IFERROR(_xlfn.STDEV.P(_xlfn._xlws.FILTER(nNOTA,(nCUENTA=1)*(nASIG=B13))),"—")</f>
        <v>—</v>
      </c>
      <c r="G13" t="str" cm="1">
        <f t="array" ref="G13">IFERROR(_xlfn.MODE.SNGL(_xlfn._xlws.FILTER(nNOTA,(nCUENTA=1)*(nASIG=B13))),"—")</f>
        <v>—</v>
      </c>
      <c r="H13" s="11" t="str">
        <f>IFERROR(SUMPRODUCT((nCUENTA=1)*(nASIG=B13)*(nAPTO="S"))/D13,"—")</f>
        <v>—</v>
      </c>
      <c r="I13" s="11" t="str">
        <f>IFERROR(SUMPRODUCT((nCUENTA=1)*(nASIG=B13)*(nAPTO="N"))/D13,"—")</f>
        <v>—</v>
      </c>
      <c r="J13" t="str" cm="1">
        <f t="array" ref="J13">IFERROR(_xlfn.MODE.SNGL(_xlfn._xlws.FILTER(nNOTA,(nCUENTA=1)*(nASIG=B13)*(nAPTO="S"))),"—")</f>
        <v>—</v>
      </c>
      <c r="K13" t="str" cm="1">
        <f t="array" ref="K13">IFERROR(_xlfn.MODE.SNGL(_xlfn._xlws.FILTER(nNOTA,(nCUENTA=1)*(nASIG=B13)*(nAPTO="N"))),"—")</f>
        <v>—</v>
      </c>
      <c r="L13">
        <f>SUMPRODUCT((nCUENTA=1)*(nASIG=B13)*(nNOTA=1))</f>
        <v>0</v>
      </c>
      <c r="M13">
        <f>SUMPRODUCT((nCUENTA=1)*(nASIG=B13)*(nNOTA=2))</f>
        <v>0</v>
      </c>
      <c r="N13">
        <f>SUMPRODUCT((nCUENTA=1)*(nASIG=B13)*(nNOTA=3))</f>
        <v>0</v>
      </c>
      <c r="O13">
        <f>SUMPRODUCT((nCUENTA=1)*(nASIG=B13)*(nNOTA=4))</f>
        <v>0</v>
      </c>
      <c r="P13">
        <f>SUMPRODUCT((nCUENTA=1)*(nASIG=B13)*(nNOTA=5))</f>
        <v>0</v>
      </c>
      <c r="Q13">
        <f>SUMPRODUCT((nCUENTA=1)*(nASIG=B13)*(nNOTA=6))</f>
        <v>0</v>
      </c>
      <c r="R13">
        <f>SUMPRODUCT((nCUENTA=1)*(nASIG=B13)*(nNOTA=7))</f>
        <v>0</v>
      </c>
      <c r="S13">
        <f>SUMPRODUCT((nCUENTA=1)*(nASIG=B13)*(nNOTA=8))</f>
        <v>0</v>
      </c>
      <c r="T13">
        <f>SUMPRODUCT((nCUENTA=1)*(nASIG=B13)*(nNOTA=9))</f>
        <v>0</v>
      </c>
      <c r="U13">
        <f>SUMPRODUCT((nCUENTA=1)*(nASIG=B13)*(nNOTA=10))</f>
        <v>0</v>
      </c>
    </row>
    <row r="14">
      <c r="A14" t="inlineStr">
        <is>
          <t xml:space="preserve">GLOBAL</t>
        </is>
      </c>
      <c r="B14" cm="1">
        <f t="array" ref="B14">IFERROR(INDEX(_xlfn._xlws.FILTER(CONFIG_ASIGNATURAS!$B$2:$B$91,CONFIG_ASIGNATURAS!$G$2:$G$91="Sí"),9),"")</f>
      </c>
      <c r="C14">
        <f>IF(B14="","",IFERROR(VLOOKUP(B14,CONFIG_ASIGNATURAS!$B$2:$D$91,3,FALSE()),"Asignatura"))</f>
      </c>
      <c r="D14">
        <f>SUMPRODUCT((nCUENTA=1)*(nASIG=B14))</f>
        <v>0</v>
      </c>
      <c r="E14" s="10" t="str">
        <f>IFERROR(SUMPRODUCT((nCUENTA=1)*(nASIG=B14)*(nNOTA))/D14,"—")</f>
        <v>—</v>
      </c>
      <c r="F14" s="10" t="str" cm="1">
        <f t="array" ref="F14">IFERROR(_xlfn.STDEV.P(_xlfn._xlws.FILTER(nNOTA,(nCUENTA=1)*(nASIG=B14))),"—")</f>
        <v>—</v>
      </c>
      <c r="G14" t="str" cm="1">
        <f t="array" ref="G14">IFERROR(_xlfn.MODE.SNGL(_xlfn._xlws.FILTER(nNOTA,(nCUENTA=1)*(nASIG=B14))),"—")</f>
        <v>—</v>
      </c>
      <c r="H14" s="11" t="str">
        <f>IFERROR(SUMPRODUCT((nCUENTA=1)*(nASIG=B14)*(nAPTO="S"))/D14,"—")</f>
        <v>—</v>
      </c>
      <c r="I14" s="11" t="str">
        <f>IFERROR(SUMPRODUCT((nCUENTA=1)*(nASIG=B14)*(nAPTO="N"))/D14,"—")</f>
        <v>—</v>
      </c>
      <c r="J14" t="str" cm="1">
        <f t="array" ref="J14">IFERROR(_xlfn.MODE.SNGL(_xlfn._xlws.FILTER(nNOTA,(nCUENTA=1)*(nASIG=B14)*(nAPTO="S"))),"—")</f>
        <v>—</v>
      </c>
      <c r="K14" t="str" cm="1">
        <f t="array" ref="K14">IFERROR(_xlfn.MODE.SNGL(_xlfn._xlws.FILTER(nNOTA,(nCUENTA=1)*(nASIG=B14)*(nAPTO="N"))),"—")</f>
        <v>—</v>
      </c>
      <c r="L14">
        <f>SUMPRODUCT((nCUENTA=1)*(nASIG=B14)*(nNOTA=1))</f>
        <v>0</v>
      </c>
      <c r="M14">
        <f>SUMPRODUCT((nCUENTA=1)*(nASIG=B14)*(nNOTA=2))</f>
        <v>0</v>
      </c>
      <c r="N14">
        <f>SUMPRODUCT((nCUENTA=1)*(nASIG=B14)*(nNOTA=3))</f>
        <v>0</v>
      </c>
      <c r="O14">
        <f>SUMPRODUCT((nCUENTA=1)*(nASIG=B14)*(nNOTA=4))</f>
        <v>0</v>
      </c>
      <c r="P14">
        <f>SUMPRODUCT((nCUENTA=1)*(nASIG=B14)*(nNOTA=5))</f>
        <v>0</v>
      </c>
      <c r="Q14">
        <f>SUMPRODUCT((nCUENTA=1)*(nASIG=B14)*(nNOTA=6))</f>
        <v>0</v>
      </c>
      <c r="R14">
        <f>SUMPRODUCT((nCUENTA=1)*(nASIG=B14)*(nNOTA=7))</f>
        <v>0</v>
      </c>
      <c r="S14">
        <f>SUMPRODUCT((nCUENTA=1)*(nASIG=B14)*(nNOTA=8))</f>
        <v>0</v>
      </c>
      <c r="T14">
        <f>SUMPRODUCT((nCUENTA=1)*(nASIG=B14)*(nNOTA=9))</f>
        <v>0</v>
      </c>
      <c r="U14">
        <f>SUMPRODUCT((nCUENTA=1)*(nASIG=B14)*(nNOTA=10))</f>
        <v>0</v>
      </c>
    </row>
    <row r="15">
      <c r="A15" t="inlineStr">
        <is>
          <t xml:space="preserve">GLOBAL</t>
        </is>
      </c>
      <c r="B15" cm="1">
        <f t="array" ref="B15">IFERROR(INDEX(_xlfn._xlws.FILTER(CONFIG_ASIGNATURAS!$B$2:$B$91,CONFIG_ASIGNATURAS!$G$2:$G$91="Sí"),10),"")</f>
      </c>
      <c r="C15">
        <f>IF(B15="","",IFERROR(VLOOKUP(B15,CONFIG_ASIGNATURAS!$B$2:$D$91,3,FALSE()),"Asignatura"))</f>
      </c>
      <c r="D15">
        <f>SUMPRODUCT((nCUENTA=1)*(nASIG=B15))</f>
        <v>0</v>
      </c>
      <c r="E15" s="10" t="str">
        <f>IFERROR(SUMPRODUCT((nCUENTA=1)*(nASIG=B15)*(nNOTA))/D15,"—")</f>
        <v>—</v>
      </c>
      <c r="F15" s="10" t="str" cm="1">
        <f t="array" ref="F15">IFERROR(_xlfn.STDEV.P(_xlfn._xlws.FILTER(nNOTA,(nCUENTA=1)*(nASIG=B15))),"—")</f>
        <v>—</v>
      </c>
      <c r="G15" t="str" cm="1">
        <f t="array" ref="G15">IFERROR(_xlfn.MODE.SNGL(_xlfn._xlws.FILTER(nNOTA,(nCUENTA=1)*(nASIG=B15))),"—")</f>
        <v>—</v>
      </c>
      <c r="H15" s="11" t="str">
        <f>IFERROR(SUMPRODUCT((nCUENTA=1)*(nASIG=B15)*(nAPTO="S"))/D15,"—")</f>
        <v>—</v>
      </c>
      <c r="I15" s="11" t="str">
        <f>IFERROR(SUMPRODUCT((nCUENTA=1)*(nASIG=B15)*(nAPTO="N"))/D15,"—")</f>
        <v>—</v>
      </c>
      <c r="J15" t="str" cm="1">
        <f t="array" ref="J15">IFERROR(_xlfn.MODE.SNGL(_xlfn._xlws.FILTER(nNOTA,(nCUENTA=1)*(nASIG=B15)*(nAPTO="S"))),"—")</f>
        <v>—</v>
      </c>
      <c r="K15" t="str" cm="1">
        <f t="array" ref="K15">IFERROR(_xlfn.MODE.SNGL(_xlfn._xlws.FILTER(nNOTA,(nCUENTA=1)*(nASIG=B15)*(nAPTO="N"))),"—")</f>
        <v>—</v>
      </c>
      <c r="L15">
        <f>SUMPRODUCT((nCUENTA=1)*(nASIG=B15)*(nNOTA=1))</f>
        <v>0</v>
      </c>
      <c r="M15">
        <f>SUMPRODUCT((nCUENTA=1)*(nASIG=B15)*(nNOTA=2))</f>
        <v>0</v>
      </c>
      <c r="N15">
        <f>SUMPRODUCT((nCUENTA=1)*(nASIG=B15)*(nNOTA=3))</f>
        <v>0</v>
      </c>
      <c r="O15">
        <f>SUMPRODUCT((nCUENTA=1)*(nASIG=B15)*(nNOTA=4))</f>
        <v>0</v>
      </c>
      <c r="P15">
        <f>SUMPRODUCT((nCUENTA=1)*(nASIG=B15)*(nNOTA=5))</f>
        <v>0</v>
      </c>
      <c r="Q15">
        <f>SUMPRODUCT((nCUENTA=1)*(nASIG=B15)*(nNOTA=6))</f>
        <v>0</v>
      </c>
      <c r="R15">
        <f>SUMPRODUCT((nCUENTA=1)*(nASIG=B15)*(nNOTA=7))</f>
        <v>0</v>
      </c>
      <c r="S15">
        <f>SUMPRODUCT((nCUENTA=1)*(nASIG=B15)*(nNOTA=8))</f>
        <v>0</v>
      </c>
      <c r="T15">
        <f>SUMPRODUCT((nCUENTA=1)*(nASIG=B15)*(nNOTA=9))</f>
        <v>0</v>
      </c>
      <c r="U15">
        <f>SUMPRODUCT((nCUENTA=1)*(nASIG=B15)*(nNOTA=10))</f>
        <v>0</v>
      </c>
    </row>
    <row r="16">
      <c r="A16" t="inlineStr">
        <is>
          <t xml:space="preserve">GLOBAL</t>
        </is>
      </c>
      <c r="B16" cm="1">
        <f t="array" ref="B16">IFERROR(INDEX(_xlfn._xlws.FILTER(CONFIG_ASIGNATURAS!$B$2:$B$91,CONFIG_ASIGNATURAS!$G$2:$G$91="Sí"),11),"")</f>
      </c>
      <c r="C16">
        <f>IF(B16="","",IFERROR(VLOOKUP(B16,CONFIG_ASIGNATURAS!$B$2:$D$91,3,FALSE()),"Asignatura"))</f>
      </c>
      <c r="D16">
        <f>SUMPRODUCT((nCUENTA=1)*(nASIG=B16))</f>
        <v>0</v>
      </c>
      <c r="E16" s="10" t="str">
        <f>IFERROR(SUMPRODUCT((nCUENTA=1)*(nASIG=B16)*(nNOTA))/D16,"—")</f>
        <v>—</v>
      </c>
      <c r="F16" s="10" t="str" cm="1">
        <f t="array" ref="F16">IFERROR(_xlfn.STDEV.P(_xlfn._xlws.FILTER(nNOTA,(nCUENTA=1)*(nASIG=B16))),"—")</f>
        <v>—</v>
      </c>
      <c r="G16" t="str" cm="1">
        <f t="array" ref="G16">IFERROR(_xlfn.MODE.SNGL(_xlfn._xlws.FILTER(nNOTA,(nCUENTA=1)*(nASIG=B16))),"—")</f>
        <v>—</v>
      </c>
      <c r="H16" s="11" t="str">
        <f>IFERROR(SUMPRODUCT((nCUENTA=1)*(nASIG=B16)*(nAPTO="S"))/D16,"—")</f>
        <v>—</v>
      </c>
      <c r="I16" s="11" t="str">
        <f>IFERROR(SUMPRODUCT((nCUENTA=1)*(nASIG=B16)*(nAPTO="N"))/D16,"—")</f>
        <v>—</v>
      </c>
      <c r="J16" t="str" cm="1">
        <f t="array" ref="J16">IFERROR(_xlfn.MODE.SNGL(_xlfn._xlws.FILTER(nNOTA,(nCUENTA=1)*(nASIG=B16)*(nAPTO="S"))),"—")</f>
        <v>—</v>
      </c>
      <c r="K16" t="str" cm="1">
        <f t="array" ref="K16">IFERROR(_xlfn.MODE.SNGL(_xlfn._xlws.FILTER(nNOTA,(nCUENTA=1)*(nASIG=B16)*(nAPTO="N"))),"—")</f>
        <v>—</v>
      </c>
      <c r="L16">
        <f>SUMPRODUCT((nCUENTA=1)*(nASIG=B16)*(nNOTA=1))</f>
        <v>0</v>
      </c>
      <c r="M16">
        <f>SUMPRODUCT((nCUENTA=1)*(nASIG=B16)*(nNOTA=2))</f>
        <v>0</v>
      </c>
      <c r="N16">
        <f>SUMPRODUCT((nCUENTA=1)*(nASIG=B16)*(nNOTA=3))</f>
        <v>0</v>
      </c>
      <c r="O16">
        <f>SUMPRODUCT((nCUENTA=1)*(nASIG=B16)*(nNOTA=4))</f>
        <v>0</v>
      </c>
      <c r="P16">
        <f>SUMPRODUCT((nCUENTA=1)*(nASIG=B16)*(nNOTA=5))</f>
        <v>0</v>
      </c>
      <c r="Q16">
        <f>SUMPRODUCT((nCUENTA=1)*(nASIG=B16)*(nNOTA=6))</f>
        <v>0</v>
      </c>
      <c r="R16">
        <f>SUMPRODUCT((nCUENTA=1)*(nASIG=B16)*(nNOTA=7))</f>
        <v>0</v>
      </c>
      <c r="S16">
        <f>SUMPRODUCT((nCUENTA=1)*(nASIG=B16)*(nNOTA=8))</f>
        <v>0</v>
      </c>
      <c r="T16">
        <f>SUMPRODUCT((nCUENTA=1)*(nASIG=B16)*(nNOTA=9))</f>
        <v>0</v>
      </c>
      <c r="U16">
        <f>SUMPRODUCT((nCUENTA=1)*(nASIG=B16)*(nNOTA=10))</f>
        <v>0</v>
      </c>
    </row>
    <row r="17">
      <c r="A17" t="inlineStr">
        <is>
          <t xml:space="preserve">GLOBAL</t>
        </is>
      </c>
      <c r="B17" cm="1">
        <f t="array" ref="B17">IFERROR(INDEX(_xlfn._xlws.FILTER(CONFIG_ASIGNATURAS!$B$2:$B$91,CONFIG_ASIGNATURAS!$G$2:$G$91="Sí"),12),"")</f>
      </c>
      <c r="C17">
        <f>IF(B17="","",IFERROR(VLOOKUP(B17,CONFIG_ASIGNATURAS!$B$2:$D$91,3,FALSE()),"Asignatura"))</f>
      </c>
      <c r="D17">
        <f>SUMPRODUCT((nCUENTA=1)*(nASIG=B17))</f>
        <v>0</v>
      </c>
      <c r="E17" s="10" t="str">
        <f>IFERROR(SUMPRODUCT((nCUENTA=1)*(nASIG=B17)*(nNOTA))/D17,"—")</f>
        <v>—</v>
      </c>
      <c r="F17" s="10" t="str" cm="1">
        <f t="array" ref="F17">IFERROR(_xlfn.STDEV.P(_xlfn._xlws.FILTER(nNOTA,(nCUENTA=1)*(nASIG=B17))),"—")</f>
        <v>—</v>
      </c>
      <c r="G17" t="str" cm="1">
        <f t="array" ref="G17">IFERROR(_xlfn.MODE.SNGL(_xlfn._xlws.FILTER(nNOTA,(nCUENTA=1)*(nASIG=B17))),"—")</f>
        <v>—</v>
      </c>
      <c r="H17" s="11" t="str">
        <f>IFERROR(SUMPRODUCT((nCUENTA=1)*(nASIG=B17)*(nAPTO="S"))/D17,"—")</f>
        <v>—</v>
      </c>
      <c r="I17" s="11" t="str">
        <f>IFERROR(SUMPRODUCT((nCUENTA=1)*(nASIG=B17)*(nAPTO="N"))/D17,"—")</f>
        <v>—</v>
      </c>
      <c r="J17" t="str" cm="1">
        <f t="array" ref="J17">IFERROR(_xlfn.MODE.SNGL(_xlfn._xlws.FILTER(nNOTA,(nCUENTA=1)*(nASIG=B17)*(nAPTO="S"))),"—")</f>
        <v>—</v>
      </c>
      <c r="K17" t="str" cm="1">
        <f t="array" ref="K17">IFERROR(_xlfn.MODE.SNGL(_xlfn._xlws.FILTER(nNOTA,(nCUENTA=1)*(nASIG=B17)*(nAPTO="N"))),"—")</f>
        <v>—</v>
      </c>
      <c r="L17">
        <f>SUMPRODUCT((nCUENTA=1)*(nASIG=B17)*(nNOTA=1))</f>
        <v>0</v>
      </c>
      <c r="M17">
        <f>SUMPRODUCT((nCUENTA=1)*(nASIG=B17)*(nNOTA=2))</f>
        <v>0</v>
      </c>
      <c r="N17">
        <f>SUMPRODUCT((nCUENTA=1)*(nASIG=B17)*(nNOTA=3))</f>
        <v>0</v>
      </c>
      <c r="O17">
        <f>SUMPRODUCT((nCUENTA=1)*(nASIG=B17)*(nNOTA=4))</f>
        <v>0</v>
      </c>
      <c r="P17">
        <f>SUMPRODUCT((nCUENTA=1)*(nASIG=B17)*(nNOTA=5))</f>
        <v>0</v>
      </c>
      <c r="Q17">
        <f>SUMPRODUCT((nCUENTA=1)*(nASIG=B17)*(nNOTA=6))</f>
        <v>0</v>
      </c>
      <c r="R17">
        <f>SUMPRODUCT((nCUENTA=1)*(nASIG=B17)*(nNOTA=7))</f>
        <v>0</v>
      </c>
      <c r="S17">
        <f>SUMPRODUCT((nCUENTA=1)*(nASIG=B17)*(nNOTA=8))</f>
        <v>0</v>
      </c>
      <c r="T17">
        <f>SUMPRODUCT((nCUENTA=1)*(nASIG=B17)*(nNOTA=9))</f>
        <v>0</v>
      </c>
      <c r="U17">
        <f>SUMPRODUCT((nCUENTA=1)*(nASIG=B17)*(nNOTA=10))</f>
        <v>0</v>
      </c>
    </row>
    <row r="18">
      <c r="A18" t="inlineStr">
        <is>
          <t xml:space="preserve">GLOBAL</t>
        </is>
      </c>
      <c r="B18" cm="1">
        <f t="array" ref="B18">IFERROR(INDEX(_xlfn._xlws.FILTER(CONFIG_ASIGNATURAS!$B$2:$B$91,CONFIG_ASIGNATURAS!$G$2:$G$91="Sí"),13),"")</f>
      </c>
      <c r="C18">
        <f>IF(B18="","",IFERROR(VLOOKUP(B18,CONFIG_ASIGNATURAS!$B$2:$D$91,3,FALSE()),"Asignatura"))</f>
      </c>
      <c r="D18">
        <f>SUMPRODUCT((nCUENTA=1)*(nASIG=B18))</f>
        <v>0</v>
      </c>
      <c r="E18" s="10" t="str">
        <f>IFERROR(SUMPRODUCT((nCUENTA=1)*(nASIG=B18)*(nNOTA))/D18,"—")</f>
        <v>—</v>
      </c>
      <c r="F18" s="10" t="str" cm="1">
        <f t="array" ref="F18">IFERROR(_xlfn.STDEV.P(_xlfn._xlws.FILTER(nNOTA,(nCUENTA=1)*(nASIG=B18))),"—")</f>
        <v>—</v>
      </c>
      <c r="G18" t="str" cm="1">
        <f t="array" ref="G18">IFERROR(_xlfn.MODE.SNGL(_xlfn._xlws.FILTER(nNOTA,(nCUENTA=1)*(nASIG=B18))),"—")</f>
        <v>—</v>
      </c>
      <c r="H18" s="11" t="str">
        <f>IFERROR(SUMPRODUCT((nCUENTA=1)*(nASIG=B18)*(nAPTO="S"))/D18,"—")</f>
        <v>—</v>
      </c>
      <c r="I18" s="11" t="str">
        <f>IFERROR(SUMPRODUCT((nCUENTA=1)*(nASIG=B18)*(nAPTO="N"))/D18,"—")</f>
        <v>—</v>
      </c>
      <c r="J18" t="str" cm="1">
        <f t="array" ref="J18">IFERROR(_xlfn.MODE.SNGL(_xlfn._xlws.FILTER(nNOTA,(nCUENTA=1)*(nASIG=B18)*(nAPTO="S"))),"—")</f>
        <v>—</v>
      </c>
      <c r="K18" t="str" cm="1">
        <f t="array" ref="K18">IFERROR(_xlfn.MODE.SNGL(_xlfn._xlws.FILTER(nNOTA,(nCUENTA=1)*(nASIG=B18)*(nAPTO="N"))),"—")</f>
        <v>—</v>
      </c>
      <c r="L18">
        <f>SUMPRODUCT((nCUENTA=1)*(nASIG=B18)*(nNOTA=1))</f>
        <v>0</v>
      </c>
      <c r="M18">
        <f>SUMPRODUCT((nCUENTA=1)*(nASIG=B18)*(nNOTA=2))</f>
        <v>0</v>
      </c>
      <c r="N18">
        <f>SUMPRODUCT((nCUENTA=1)*(nASIG=B18)*(nNOTA=3))</f>
        <v>0</v>
      </c>
      <c r="O18">
        <f>SUMPRODUCT((nCUENTA=1)*(nASIG=B18)*(nNOTA=4))</f>
        <v>0</v>
      </c>
      <c r="P18">
        <f>SUMPRODUCT((nCUENTA=1)*(nASIG=B18)*(nNOTA=5))</f>
        <v>0</v>
      </c>
      <c r="Q18">
        <f>SUMPRODUCT((nCUENTA=1)*(nASIG=B18)*(nNOTA=6))</f>
        <v>0</v>
      </c>
      <c r="R18">
        <f>SUMPRODUCT((nCUENTA=1)*(nASIG=B18)*(nNOTA=7))</f>
        <v>0</v>
      </c>
      <c r="S18">
        <f>SUMPRODUCT((nCUENTA=1)*(nASIG=B18)*(nNOTA=8))</f>
        <v>0</v>
      </c>
      <c r="T18">
        <f>SUMPRODUCT((nCUENTA=1)*(nASIG=B18)*(nNOTA=9))</f>
        <v>0</v>
      </c>
      <c r="U18">
        <f>SUMPRODUCT((nCUENTA=1)*(nASIG=B18)*(nNOTA=10))</f>
        <v>0</v>
      </c>
    </row>
    <row r="19">
      <c r="A19" t="inlineStr">
        <is>
          <t xml:space="preserve">GLOBAL</t>
        </is>
      </c>
      <c r="B19" cm="1">
        <f t="array" ref="B19">IFERROR(INDEX(_xlfn._xlws.FILTER(CONFIG_ASIGNATURAS!$B$2:$B$91,CONFIG_ASIGNATURAS!$G$2:$G$91="Sí"),14),"")</f>
      </c>
      <c r="C19">
        <f>IF(B19="","",IFERROR(VLOOKUP(B19,CONFIG_ASIGNATURAS!$B$2:$D$91,3,FALSE()),"Asignatura"))</f>
      </c>
      <c r="D19">
        <f>SUMPRODUCT((nCUENTA=1)*(nASIG=B19))</f>
        <v>0</v>
      </c>
      <c r="E19" s="10" t="str">
        <f>IFERROR(SUMPRODUCT((nCUENTA=1)*(nASIG=B19)*(nNOTA))/D19,"—")</f>
        <v>—</v>
      </c>
      <c r="F19" s="10" t="str" cm="1">
        <f t="array" ref="F19">IFERROR(_xlfn.STDEV.P(_xlfn._xlws.FILTER(nNOTA,(nCUENTA=1)*(nASIG=B19))),"—")</f>
        <v>—</v>
      </c>
      <c r="G19" t="str" cm="1">
        <f t="array" ref="G19">IFERROR(_xlfn.MODE.SNGL(_xlfn._xlws.FILTER(nNOTA,(nCUENTA=1)*(nASIG=B19))),"—")</f>
        <v>—</v>
      </c>
      <c r="H19" s="11" t="str">
        <f>IFERROR(SUMPRODUCT((nCUENTA=1)*(nASIG=B19)*(nAPTO="S"))/D19,"—")</f>
        <v>—</v>
      </c>
      <c r="I19" s="11" t="str">
        <f>IFERROR(SUMPRODUCT((nCUENTA=1)*(nASIG=B19)*(nAPTO="N"))/D19,"—")</f>
        <v>—</v>
      </c>
      <c r="J19" t="str" cm="1">
        <f t="array" ref="J19">IFERROR(_xlfn.MODE.SNGL(_xlfn._xlws.FILTER(nNOTA,(nCUENTA=1)*(nASIG=B19)*(nAPTO="S"))),"—")</f>
        <v>—</v>
      </c>
      <c r="K19" t="str" cm="1">
        <f t="array" ref="K19">IFERROR(_xlfn.MODE.SNGL(_xlfn._xlws.FILTER(nNOTA,(nCUENTA=1)*(nASIG=B19)*(nAPTO="N"))),"—")</f>
        <v>—</v>
      </c>
      <c r="L19">
        <f>SUMPRODUCT((nCUENTA=1)*(nASIG=B19)*(nNOTA=1))</f>
        <v>0</v>
      </c>
      <c r="M19">
        <f>SUMPRODUCT((nCUENTA=1)*(nASIG=B19)*(nNOTA=2))</f>
        <v>0</v>
      </c>
      <c r="N19">
        <f>SUMPRODUCT((nCUENTA=1)*(nASIG=B19)*(nNOTA=3))</f>
        <v>0</v>
      </c>
      <c r="O19">
        <f>SUMPRODUCT((nCUENTA=1)*(nASIG=B19)*(nNOTA=4))</f>
        <v>0</v>
      </c>
      <c r="P19">
        <f>SUMPRODUCT((nCUENTA=1)*(nASIG=B19)*(nNOTA=5))</f>
        <v>0</v>
      </c>
      <c r="Q19">
        <f>SUMPRODUCT((nCUENTA=1)*(nASIG=B19)*(nNOTA=6))</f>
        <v>0</v>
      </c>
      <c r="R19">
        <f>SUMPRODUCT((nCUENTA=1)*(nASIG=B19)*(nNOTA=7))</f>
        <v>0</v>
      </c>
      <c r="S19">
        <f>SUMPRODUCT((nCUENTA=1)*(nASIG=B19)*(nNOTA=8))</f>
        <v>0</v>
      </c>
      <c r="T19">
        <f>SUMPRODUCT((nCUENTA=1)*(nASIG=B19)*(nNOTA=9))</f>
        <v>0</v>
      </c>
      <c r="U19">
        <f>SUMPRODUCT((nCUENTA=1)*(nASIG=B19)*(nNOTA=10))</f>
        <v>0</v>
      </c>
    </row>
    <row r="20">
      <c r="A20" t="inlineStr">
        <is>
          <t xml:space="preserve">GLOBAL</t>
        </is>
      </c>
      <c r="B20" cm="1">
        <f t="array" ref="B20">IFERROR(INDEX(_xlfn._xlws.FILTER(CONFIG_ASIGNATURAS!$B$2:$B$91,CONFIG_ASIGNATURAS!$G$2:$G$91="Sí"),15),"")</f>
      </c>
      <c r="C20">
        <f>IF(B20="","",IFERROR(VLOOKUP(B20,CONFIG_ASIGNATURAS!$B$2:$D$91,3,FALSE()),"Asignatura"))</f>
      </c>
      <c r="D20">
        <f>SUMPRODUCT((nCUENTA=1)*(nASIG=B20))</f>
        <v>0</v>
      </c>
      <c r="E20" s="10" t="str">
        <f>IFERROR(SUMPRODUCT((nCUENTA=1)*(nASIG=B20)*(nNOTA))/D20,"—")</f>
        <v>—</v>
      </c>
      <c r="F20" s="10" t="str" cm="1">
        <f t="array" ref="F20">IFERROR(_xlfn.STDEV.P(_xlfn._xlws.FILTER(nNOTA,(nCUENTA=1)*(nASIG=B20))),"—")</f>
        <v>—</v>
      </c>
      <c r="G20" t="str" cm="1">
        <f t="array" ref="G20">IFERROR(_xlfn.MODE.SNGL(_xlfn._xlws.FILTER(nNOTA,(nCUENTA=1)*(nASIG=B20))),"—")</f>
        <v>—</v>
      </c>
      <c r="H20" s="11" t="str">
        <f>IFERROR(SUMPRODUCT((nCUENTA=1)*(nASIG=B20)*(nAPTO="S"))/D20,"—")</f>
        <v>—</v>
      </c>
      <c r="I20" s="11" t="str">
        <f>IFERROR(SUMPRODUCT((nCUENTA=1)*(nASIG=B20)*(nAPTO="N"))/D20,"—")</f>
        <v>—</v>
      </c>
      <c r="J20" t="str" cm="1">
        <f t="array" ref="J20">IFERROR(_xlfn.MODE.SNGL(_xlfn._xlws.FILTER(nNOTA,(nCUENTA=1)*(nASIG=B20)*(nAPTO="S"))),"—")</f>
        <v>—</v>
      </c>
      <c r="K20" t="str" cm="1">
        <f t="array" ref="K20">IFERROR(_xlfn.MODE.SNGL(_xlfn._xlws.FILTER(nNOTA,(nCUENTA=1)*(nASIG=B20)*(nAPTO="N"))),"—")</f>
        <v>—</v>
      </c>
      <c r="L20">
        <f>SUMPRODUCT((nCUENTA=1)*(nASIG=B20)*(nNOTA=1))</f>
        <v>0</v>
      </c>
      <c r="M20">
        <f>SUMPRODUCT((nCUENTA=1)*(nASIG=B20)*(nNOTA=2))</f>
        <v>0</v>
      </c>
      <c r="N20">
        <f>SUMPRODUCT((nCUENTA=1)*(nASIG=B20)*(nNOTA=3))</f>
        <v>0</v>
      </c>
      <c r="O20">
        <f>SUMPRODUCT((nCUENTA=1)*(nASIG=B20)*(nNOTA=4))</f>
        <v>0</v>
      </c>
      <c r="P20">
        <f>SUMPRODUCT((nCUENTA=1)*(nASIG=B20)*(nNOTA=5))</f>
        <v>0</v>
      </c>
      <c r="Q20">
        <f>SUMPRODUCT((nCUENTA=1)*(nASIG=B20)*(nNOTA=6))</f>
        <v>0</v>
      </c>
      <c r="R20">
        <f>SUMPRODUCT((nCUENTA=1)*(nASIG=B20)*(nNOTA=7))</f>
        <v>0</v>
      </c>
      <c r="S20">
        <f>SUMPRODUCT((nCUENTA=1)*(nASIG=B20)*(nNOTA=8))</f>
        <v>0</v>
      </c>
      <c r="T20">
        <f>SUMPRODUCT((nCUENTA=1)*(nASIG=B20)*(nNOTA=9))</f>
        <v>0</v>
      </c>
      <c r="U20">
        <f>SUMPRODUCT((nCUENTA=1)*(nASIG=B20)*(nNOTA=10))</f>
        <v>0</v>
      </c>
    </row>
    <row r="21">
      <c r="A21" t="inlineStr">
        <is>
          <t xml:space="preserve">GLOBAL</t>
        </is>
      </c>
      <c r="B21" cm="1">
        <f t="array" ref="B21">IFERROR(INDEX(_xlfn._xlws.FILTER(CONFIG_ASIGNATURAS!$B$2:$B$91,CONFIG_ASIGNATURAS!$G$2:$G$91="Sí"),16),"")</f>
      </c>
      <c r="C21">
        <f>IF(B21="","",IFERROR(VLOOKUP(B21,CONFIG_ASIGNATURAS!$B$2:$D$91,3,FALSE()),"Asignatura"))</f>
      </c>
      <c r="D21">
        <f>SUMPRODUCT((nCUENTA=1)*(nASIG=B21))</f>
        <v>0</v>
      </c>
      <c r="E21" s="10" t="str">
        <f>IFERROR(SUMPRODUCT((nCUENTA=1)*(nASIG=B21)*(nNOTA))/D21,"—")</f>
        <v>—</v>
      </c>
      <c r="F21" s="10" t="str" cm="1">
        <f t="array" ref="F21">IFERROR(_xlfn.STDEV.P(_xlfn._xlws.FILTER(nNOTA,(nCUENTA=1)*(nASIG=B21))),"—")</f>
        <v>—</v>
      </c>
      <c r="G21" t="str" cm="1">
        <f t="array" ref="G21">IFERROR(_xlfn.MODE.SNGL(_xlfn._xlws.FILTER(nNOTA,(nCUENTA=1)*(nASIG=B21))),"—")</f>
        <v>—</v>
      </c>
      <c r="H21" s="11" t="str">
        <f>IFERROR(SUMPRODUCT((nCUENTA=1)*(nASIG=B21)*(nAPTO="S"))/D21,"—")</f>
        <v>—</v>
      </c>
      <c r="I21" s="11" t="str">
        <f>IFERROR(SUMPRODUCT((nCUENTA=1)*(nASIG=B21)*(nAPTO="N"))/D21,"—")</f>
        <v>—</v>
      </c>
      <c r="J21" t="str" cm="1">
        <f t="array" ref="J21">IFERROR(_xlfn.MODE.SNGL(_xlfn._xlws.FILTER(nNOTA,(nCUENTA=1)*(nASIG=B21)*(nAPTO="S"))),"—")</f>
        <v>—</v>
      </c>
      <c r="K21" t="str" cm="1">
        <f t="array" ref="K21">IFERROR(_xlfn.MODE.SNGL(_xlfn._xlws.FILTER(nNOTA,(nCUENTA=1)*(nASIG=B21)*(nAPTO="N"))),"—")</f>
        <v>—</v>
      </c>
      <c r="L21">
        <f>SUMPRODUCT((nCUENTA=1)*(nASIG=B21)*(nNOTA=1))</f>
        <v>0</v>
      </c>
      <c r="M21">
        <f>SUMPRODUCT((nCUENTA=1)*(nASIG=B21)*(nNOTA=2))</f>
        <v>0</v>
      </c>
      <c r="N21">
        <f>SUMPRODUCT((nCUENTA=1)*(nASIG=B21)*(nNOTA=3))</f>
        <v>0</v>
      </c>
      <c r="O21">
        <f>SUMPRODUCT((nCUENTA=1)*(nASIG=B21)*(nNOTA=4))</f>
        <v>0</v>
      </c>
      <c r="P21">
        <f>SUMPRODUCT((nCUENTA=1)*(nASIG=B21)*(nNOTA=5))</f>
        <v>0</v>
      </c>
      <c r="Q21">
        <f>SUMPRODUCT((nCUENTA=1)*(nASIG=B21)*(nNOTA=6))</f>
        <v>0</v>
      </c>
      <c r="R21">
        <f>SUMPRODUCT((nCUENTA=1)*(nASIG=B21)*(nNOTA=7))</f>
        <v>0</v>
      </c>
      <c r="S21">
        <f>SUMPRODUCT((nCUENTA=1)*(nASIG=B21)*(nNOTA=8))</f>
        <v>0</v>
      </c>
      <c r="T21">
        <f>SUMPRODUCT((nCUENTA=1)*(nASIG=B21)*(nNOTA=9))</f>
        <v>0</v>
      </c>
      <c r="U21">
        <f>SUMPRODUCT((nCUENTA=1)*(nASIG=B21)*(nNOTA=10))</f>
        <v>0</v>
      </c>
    </row>
    <row r="22">
      <c r="A22" t="inlineStr">
        <is>
          <t xml:space="preserve">GLOBAL</t>
        </is>
      </c>
      <c r="B22" cm="1">
        <f t="array" ref="B22">IFERROR(INDEX(_xlfn._xlws.FILTER(CONFIG_ASIGNATURAS!$B$2:$B$91,CONFIG_ASIGNATURAS!$G$2:$G$91="Sí"),17),"")</f>
      </c>
      <c r="C22">
        <f>IF(B22="","",IFERROR(VLOOKUP(B22,CONFIG_ASIGNATURAS!$B$2:$D$91,3,FALSE()),"Asignatura"))</f>
      </c>
      <c r="D22">
        <f>SUMPRODUCT((nCUENTA=1)*(nASIG=B22))</f>
        <v>0</v>
      </c>
      <c r="E22" s="10" t="str">
        <f>IFERROR(SUMPRODUCT((nCUENTA=1)*(nASIG=B22)*(nNOTA))/D22,"—")</f>
        <v>—</v>
      </c>
      <c r="F22" s="10" t="str" cm="1">
        <f t="array" ref="F22">IFERROR(_xlfn.STDEV.P(_xlfn._xlws.FILTER(nNOTA,(nCUENTA=1)*(nASIG=B22))),"—")</f>
        <v>—</v>
      </c>
      <c r="G22" t="str" cm="1">
        <f t="array" ref="G22">IFERROR(_xlfn.MODE.SNGL(_xlfn._xlws.FILTER(nNOTA,(nCUENTA=1)*(nASIG=B22))),"—")</f>
        <v>—</v>
      </c>
      <c r="H22" s="11" t="str">
        <f>IFERROR(SUMPRODUCT((nCUENTA=1)*(nASIG=B22)*(nAPTO="S"))/D22,"—")</f>
        <v>—</v>
      </c>
      <c r="I22" s="11" t="str">
        <f>IFERROR(SUMPRODUCT((nCUENTA=1)*(nASIG=B22)*(nAPTO="N"))/D22,"—")</f>
        <v>—</v>
      </c>
      <c r="J22" t="str" cm="1">
        <f t="array" ref="J22">IFERROR(_xlfn.MODE.SNGL(_xlfn._xlws.FILTER(nNOTA,(nCUENTA=1)*(nASIG=B22)*(nAPTO="S"))),"—")</f>
        <v>—</v>
      </c>
      <c r="K22" t="str" cm="1">
        <f t="array" ref="K22">IFERROR(_xlfn.MODE.SNGL(_xlfn._xlws.FILTER(nNOTA,(nCUENTA=1)*(nASIG=B22)*(nAPTO="N"))),"—")</f>
        <v>—</v>
      </c>
      <c r="L22">
        <f>SUMPRODUCT((nCUENTA=1)*(nASIG=B22)*(nNOTA=1))</f>
        <v>0</v>
      </c>
      <c r="M22">
        <f>SUMPRODUCT((nCUENTA=1)*(nASIG=B22)*(nNOTA=2))</f>
        <v>0</v>
      </c>
      <c r="N22">
        <f>SUMPRODUCT((nCUENTA=1)*(nASIG=B22)*(nNOTA=3))</f>
        <v>0</v>
      </c>
      <c r="O22">
        <f>SUMPRODUCT((nCUENTA=1)*(nASIG=B22)*(nNOTA=4))</f>
        <v>0</v>
      </c>
      <c r="P22">
        <f>SUMPRODUCT((nCUENTA=1)*(nASIG=B22)*(nNOTA=5))</f>
        <v>0</v>
      </c>
      <c r="Q22">
        <f>SUMPRODUCT((nCUENTA=1)*(nASIG=B22)*(nNOTA=6))</f>
        <v>0</v>
      </c>
      <c r="R22">
        <f>SUMPRODUCT((nCUENTA=1)*(nASIG=B22)*(nNOTA=7))</f>
        <v>0</v>
      </c>
      <c r="S22">
        <f>SUMPRODUCT((nCUENTA=1)*(nASIG=B22)*(nNOTA=8))</f>
        <v>0</v>
      </c>
      <c r="T22">
        <f>SUMPRODUCT((nCUENTA=1)*(nASIG=B22)*(nNOTA=9))</f>
        <v>0</v>
      </c>
      <c r="U22">
        <f>SUMPRODUCT((nCUENTA=1)*(nASIG=B22)*(nNOTA=10))</f>
        <v>0</v>
      </c>
    </row>
    <row r="23">
      <c r="A23" t="inlineStr">
        <is>
          <t xml:space="preserve">GLOBAL</t>
        </is>
      </c>
      <c r="B23" cm="1">
        <f t="array" ref="B23">IFERROR(INDEX(_xlfn._xlws.FILTER(CONFIG_ASIGNATURAS!$B$2:$B$91,CONFIG_ASIGNATURAS!$G$2:$G$91="Sí"),18),"")</f>
      </c>
      <c r="C23">
        <f>IF(B23="","",IFERROR(VLOOKUP(B23,CONFIG_ASIGNATURAS!$B$2:$D$91,3,FALSE()),"Asignatura"))</f>
      </c>
      <c r="D23">
        <f>SUMPRODUCT((nCUENTA=1)*(nASIG=B23))</f>
        <v>0</v>
      </c>
      <c r="E23" s="10" t="str">
        <f>IFERROR(SUMPRODUCT((nCUENTA=1)*(nASIG=B23)*(nNOTA))/D23,"—")</f>
        <v>—</v>
      </c>
      <c r="F23" s="10" t="str" cm="1">
        <f t="array" ref="F23">IFERROR(_xlfn.STDEV.P(_xlfn._xlws.FILTER(nNOTA,(nCUENTA=1)*(nASIG=B23))),"—")</f>
        <v>—</v>
      </c>
      <c r="G23" t="str" cm="1">
        <f t="array" ref="G23">IFERROR(_xlfn.MODE.SNGL(_xlfn._xlws.FILTER(nNOTA,(nCUENTA=1)*(nASIG=B23))),"—")</f>
        <v>—</v>
      </c>
      <c r="H23" s="11" t="str">
        <f>IFERROR(SUMPRODUCT((nCUENTA=1)*(nASIG=B23)*(nAPTO="S"))/D23,"—")</f>
        <v>—</v>
      </c>
      <c r="I23" s="11" t="str">
        <f>IFERROR(SUMPRODUCT((nCUENTA=1)*(nASIG=B23)*(nAPTO="N"))/D23,"—")</f>
        <v>—</v>
      </c>
      <c r="J23" t="str" cm="1">
        <f t="array" ref="J23">IFERROR(_xlfn.MODE.SNGL(_xlfn._xlws.FILTER(nNOTA,(nCUENTA=1)*(nASIG=B23)*(nAPTO="S"))),"—")</f>
        <v>—</v>
      </c>
      <c r="K23" t="str" cm="1">
        <f t="array" ref="K23">IFERROR(_xlfn.MODE.SNGL(_xlfn._xlws.FILTER(nNOTA,(nCUENTA=1)*(nASIG=B23)*(nAPTO="N"))),"—")</f>
        <v>—</v>
      </c>
      <c r="L23">
        <f>SUMPRODUCT((nCUENTA=1)*(nASIG=B23)*(nNOTA=1))</f>
        <v>0</v>
      </c>
      <c r="M23">
        <f>SUMPRODUCT((nCUENTA=1)*(nASIG=B23)*(nNOTA=2))</f>
        <v>0</v>
      </c>
      <c r="N23">
        <f>SUMPRODUCT((nCUENTA=1)*(nASIG=B23)*(nNOTA=3))</f>
        <v>0</v>
      </c>
      <c r="O23">
        <f>SUMPRODUCT((nCUENTA=1)*(nASIG=B23)*(nNOTA=4))</f>
        <v>0</v>
      </c>
      <c r="P23">
        <f>SUMPRODUCT((nCUENTA=1)*(nASIG=B23)*(nNOTA=5))</f>
        <v>0</v>
      </c>
      <c r="Q23">
        <f>SUMPRODUCT((nCUENTA=1)*(nASIG=B23)*(nNOTA=6))</f>
        <v>0</v>
      </c>
      <c r="R23">
        <f>SUMPRODUCT((nCUENTA=1)*(nASIG=B23)*(nNOTA=7))</f>
        <v>0</v>
      </c>
      <c r="S23">
        <f>SUMPRODUCT((nCUENTA=1)*(nASIG=B23)*(nNOTA=8))</f>
        <v>0</v>
      </c>
      <c r="T23">
        <f>SUMPRODUCT((nCUENTA=1)*(nASIG=B23)*(nNOTA=9))</f>
        <v>0</v>
      </c>
      <c r="U23">
        <f>SUMPRODUCT((nCUENTA=1)*(nASIG=B23)*(nNOTA=10))</f>
        <v>0</v>
      </c>
    </row>
    <row r="24">
      <c r="A24" t="inlineStr">
        <is>
          <t xml:space="preserve">GLOBAL</t>
        </is>
      </c>
      <c r="B24" cm="1">
        <f t="array" ref="B24">IFERROR(INDEX(_xlfn._xlws.FILTER(CONFIG_ASIGNATURAS!$B$2:$B$91,CONFIG_ASIGNATURAS!$G$2:$G$91="Sí"),19),"")</f>
      </c>
      <c r="C24">
        <f>IF(B24="","",IFERROR(VLOOKUP(B24,CONFIG_ASIGNATURAS!$B$2:$D$91,3,FALSE()),"Asignatura"))</f>
      </c>
      <c r="D24">
        <f>SUMPRODUCT((nCUENTA=1)*(nASIG=B24))</f>
        <v>0</v>
      </c>
      <c r="E24" s="10" t="str">
        <f>IFERROR(SUMPRODUCT((nCUENTA=1)*(nASIG=B24)*(nNOTA))/D24,"—")</f>
        <v>—</v>
      </c>
      <c r="F24" s="10" t="str" cm="1">
        <f t="array" ref="F24">IFERROR(_xlfn.STDEV.P(_xlfn._xlws.FILTER(nNOTA,(nCUENTA=1)*(nASIG=B24))),"—")</f>
        <v>—</v>
      </c>
      <c r="G24" t="str" cm="1">
        <f t="array" ref="G24">IFERROR(_xlfn.MODE.SNGL(_xlfn._xlws.FILTER(nNOTA,(nCUENTA=1)*(nASIG=B24))),"—")</f>
        <v>—</v>
      </c>
      <c r="H24" s="11" t="str">
        <f>IFERROR(SUMPRODUCT((nCUENTA=1)*(nASIG=B24)*(nAPTO="S"))/D24,"—")</f>
        <v>—</v>
      </c>
      <c r="I24" s="11" t="str">
        <f>IFERROR(SUMPRODUCT((nCUENTA=1)*(nASIG=B24)*(nAPTO="N"))/D24,"—")</f>
        <v>—</v>
      </c>
      <c r="J24" t="str" cm="1">
        <f t="array" ref="J24">IFERROR(_xlfn.MODE.SNGL(_xlfn._xlws.FILTER(nNOTA,(nCUENTA=1)*(nASIG=B24)*(nAPTO="S"))),"—")</f>
        <v>—</v>
      </c>
      <c r="K24" t="str" cm="1">
        <f t="array" ref="K24">IFERROR(_xlfn.MODE.SNGL(_xlfn._xlws.FILTER(nNOTA,(nCUENTA=1)*(nASIG=B24)*(nAPTO="N"))),"—")</f>
        <v>—</v>
      </c>
      <c r="L24">
        <f>SUMPRODUCT((nCUENTA=1)*(nASIG=B24)*(nNOTA=1))</f>
        <v>0</v>
      </c>
      <c r="M24">
        <f>SUMPRODUCT((nCUENTA=1)*(nASIG=B24)*(nNOTA=2))</f>
        <v>0</v>
      </c>
      <c r="N24">
        <f>SUMPRODUCT((nCUENTA=1)*(nASIG=B24)*(nNOTA=3))</f>
        <v>0</v>
      </c>
      <c r="O24">
        <f>SUMPRODUCT((nCUENTA=1)*(nASIG=B24)*(nNOTA=4))</f>
        <v>0</v>
      </c>
      <c r="P24">
        <f>SUMPRODUCT((nCUENTA=1)*(nASIG=B24)*(nNOTA=5))</f>
        <v>0</v>
      </c>
      <c r="Q24">
        <f>SUMPRODUCT((nCUENTA=1)*(nASIG=B24)*(nNOTA=6))</f>
        <v>0</v>
      </c>
      <c r="R24">
        <f>SUMPRODUCT((nCUENTA=1)*(nASIG=B24)*(nNOTA=7))</f>
        <v>0</v>
      </c>
      <c r="S24">
        <f>SUMPRODUCT((nCUENTA=1)*(nASIG=B24)*(nNOTA=8))</f>
        <v>0</v>
      </c>
      <c r="T24">
        <f>SUMPRODUCT((nCUENTA=1)*(nASIG=B24)*(nNOTA=9))</f>
        <v>0</v>
      </c>
      <c r="U24">
        <f>SUMPRODUCT((nCUENTA=1)*(nASIG=B24)*(nNOTA=10))</f>
        <v>0</v>
      </c>
    </row>
    <row r="25">
      <c r="A25" t="inlineStr">
        <is>
          <t xml:space="preserve">GLOBAL</t>
        </is>
      </c>
      <c r="B25" cm="1">
        <f t="array" ref="B25">IFERROR(INDEX(_xlfn._xlws.FILTER(CONFIG_ASIGNATURAS!$B$2:$B$91,CONFIG_ASIGNATURAS!$G$2:$G$91="Sí"),20),"")</f>
      </c>
      <c r="C25">
        <f>IF(B25="","",IFERROR(VLOOKUP(B25,CONFIG_ASIGNATURAS!$B$2:$D$91,3,FALSE()),"Asignatura"))</f>
      </c>
      <c r="D25">
        <f>SUMPRODUCT((nCUENTA=1)*(nASIG=B25))</f>
        <v>0</v>
      </c>
      <c r="E25" s="10" t="str">
        <f>IFERROR(SUMPRODUCT((nCUENTA=1)*(nASIG=B25)*(nNOTA))/D25,"—")</f>
        <v>—</v>
      </c>
      <c r="F25" s="10" t="str" cm="1">
        <f t="array" ref="F25">IFERROR(_xlfn.STDEV.P(_xlfn._xlws.FILTER(nNOTA,(nCUENTA=1)*(nASIG=B25))),"—")</f>
        <v>—</v>
      </c>
      <c r="G25" t="str" cm="1">
        <f t="array" ref="G25">IFERROR(_xlfn.MODE.SNGL(_xlfn._xlws.FILTER(nNOTA,(nCUENTA=1)*(nASIG=B25))),"—")</f>
        <v>—</v>
      </c>
      <c r="H25" s="11" t="str">
        <f>IFERROR(SUMPRODUCT((nCUENTA=1)*(nASIG=B25)*(nAPTO="S"))/D25,"—")</f>
        <v>—</v>
      </c>
      <c r="I25" s="11" t="str">
        <f>IFERROR(SUMPRODUCT((nCUENTA=1)*(nASIG=B25)*(nAPTO="N"))/D25,"—")</f>
        <v>—</v>
      </c>
      <c r="J25" t="str" cm="1">
        <f t="array" ref="J25">IFERROR(_xlfn.MODE.SNGL(_xlfn._xlws.FILTER(nNOTA,(nCUENTA=1)*(nASIG=B25)*(nAPTO="S"))),"—")</f>
        <v>—</v>
      </c>
      <c r="K25" t="str" cm="1">
        <f t="array" ref="K25">IFERROR(_xlfn.MODE.SNGL(_xlfn._xlws.FILTER(nNOTA,(nCUENTA=1)*(nASIG=B25)*(nAPTO="N"))),"—")</f>
        <v>—</v>
      </c>
      <c r="L25">
        <f>SUMPRODUCT((nCUENTA=1)*(nASIG=B25)*(nNOTA=1))</f>
        <v>0</v>
      </c>
      <c r="M25">
        <f>SUMPRODUCT((nCUENTA=1)*(nASIG=B25)*(nNOTA=2))</f>
        <v>0</v>
      </c>
      <c r="N25">
        <f>SUMPRODUCT((nCUENTA=1)*(nASIG=B25)*(nNOTA=3))</f>
        <v>0</v>
      </c>
      <c r="O25">
        <f>SUMPRODUCT((nCUENTA=1)*(nASIG=B25)*(nNOTA=4))</f>
        <v>0</v>
      </c>
      <c r="P25">
        <f>SUMPRODUCT((nCUENTA=1)*(nASIG=B25)*(nNOTA=5))</f>
        <v>0</v>
      </c>
      <c r="Q25">
        <f>SUMPRODUCT((nCUENTA=1)*(nASIG=B25)*(nNOTA=6))</f>
        <v>0</v>
      </c>
      <c r="R25">
        <f>SUMPRODUCT((nCUENTA=1)*(nASIG=B25)*(nNOTA=7))</f>
        <v>0</v>
      </c>
      <c r="S25">
        <f>SUMPRODUCT((nCUENTA=1)*(nASIG=B25)*(nNOTA=8))</f>
        <v>0</v>
      </c>
      <c r="T25">
        <f>SUMPRODUCT((nCUENTA=1)*(nASIG=B25)*(nNOTA=9))</f>
        <v>0</v>
      </c>
      <c r="U25">
        <f>SUMPRODUCT((nCUENTA=1)*(nASIG=B25)*(nNOTA=10))</f>
        <v>0</v>
      </c>
    </row>
    <row r="26">
      <c r="A26" t="inlineStr">
        <is>
          <t xml:space="preserve">GLOBAL</t>
        </is>
      </c>
      <c r="B26" cm="1">
        <f t="array" ref="B26">IFERROR(INDEX(_xlfn._xlws.FILTER(CONFIG_ASIGNATURAS!$B$2:$B$91,CONFIG_ASIGNATURAS!$G$2:$G$91="Sí"),21),"")</f>
      </c>
      <c r="C26">
        <f>IF(B26="","",IFERROR(VLOOKUP(B26,CONFIG_ASIGNATURAS!$B$2:$D$91,3,FALSE()),"Asignatura"))</f>
      </c>
      <c r="D26">
        <f>SUMPRODUCT((nCUENTA=1)*(nASIG=B26))</f>
        <v>0</v>
      </c>
      <c r="E26" s="10" t="str">
        <f>IFERROR(SUMPRODUCT((nCUENTA=1)*(nASIG=B26)*(nNOTA))/D26,"—")</f>
        <v>—</v>
      </c>
      <c r="F26" s="10" t="str" cm="1">
        <f t="array" ref="F26">IFERROR(_xlfn.STDEV.P(_xlfn._xlws.FILTER(nNOTA,(nCUENTA=1)*(nASIG=B26))),"—")</f>
        <v>—</v>
      </c>
      <c r="G26" t="str" cm="1">
        <f t="array" ref="G26">IFERROR(_xlfn.MODE.SNGL(_xlfn._xlws.FILTER(nNOTA,(nCUENTA=1)*(nASIG=B26))),"—")</f>
        <v>—</v>
      </c>
      <c r="H26" s="11" t="str">
        <f>IFERROR(SUMPRODUCT((nCUENTA=1)*(nASIG=B26)*(nAPTO="S"))/D26,"—")</f>
        <v>—</v>
      </c>
      <c r="I26" s="11" t="str">
        <f>IFERROR(SUMPRODUCT((nCUENTA=1)*(nASIG=B26)*(nAPTO="N"))/D26,"—")</f>
        <v>—</v>
      </c>
      <c r="J26" t="str" cm="1">
        <f t="array" ref="J26">IFERROR(_xlfn.MODE.SNGL(_xlfn._xlws.FILTER(nNOTA,(nCUENTA=1)*(nASIG=B26)*(nAPTO="S"))),"—")</f>
        <v>—</v>
      </c>
      <c r="K26" t="str" cm="1">
        <f t="array" ref="K26">IFERROR(_xlfn.MODE.SNGL(_xlfn._xlws.FILTER(nNOTA,(nCUENTA=1)*(nASIG=B26)*(nAPTO="N"))),"—")</f>
        <v>—</v>
      </c>
      <c r="L26">
        <f>SUMPRODUCT((nCUENTA=1)*(nASIG=B26)*(nNOTA=1))</f>
        <v>0</v>
      </c>
      <c r="M26">
        <f>SUMPRODUCT((nCUENTA=1)*(nASIG=B26)*(nNOTA=2))</f>
        <v>0</v>
      </c>
      <c r="N26">
        <f>SUMPRODUCT((nCUENTA=1)*(nASIG=B26)*(nNOTA=3))</f>
        <v>0</v>
      </c>
      <c r="O26">
        <f>SUMPRODUCT((nCUENTA=1)*(nASIG=B26)*(nNOTA=4))</f>
        <v>0</v>
      </c>
      <c r="P26">
        <f>SUMPRODUCT((nCUENTA=1)*(nASIG=B26)*(nNOTA=5))</f>
        <v>0</v>
      </c>
      <c r="Q26">
        <f>SUMPRODUCT((nCUENTA=1)*(nASIG=B26)*(nNOTA=6))</f>
        <v>0</v>
      </c>
      <c r="R26">
        <f>SUMPRODUCT((nCUENTA=1)*(nASIG=B26)*(nNOTA=7))</f>
        <v>0</v>
      </c>
      <c r="S26">
        <f>SUMPRODUCT((nCUENTA=1)*(nASIG=B26)*(nNOTA=8))</f>
        <v>0</v>
      </c>
      <c r="T26">
        <f>SUMPRODUCT((nCUENTA=1)*(nASIG=B26)*(nNOTA=9))</f>
        <v>0</v>
      </c>
      <c r="U26">
        <f>SUMPRODUCT((nCUENTA=1)*(nASIG=B26)*(nNOTA=10))</f>
        <v>0</v>
      </c>
    </row>
    <row r="27">
      <c r="A27" t="inlineStr">
        <is>
          <t xml:space="preserve">GLOBAL</t>
        </is>
      </c>
      <c r="B27" cm="1">
        <f t="array" ref="B27">IFERROR(INDEX(_xlfn._xlws.FILTER(CONFIG_ASIGNATURAS!$B$2:$B$91,CONFIG_ASIGNATURAS!$G$2:$G$91="Sí"),22),"")</f>
      </c>
      <c r="C27">
        <f>IF(B27="","",IFERROR(VLOOKUP(B27,CONFIG_ASIGNATURAS!$B$2:$D$91,3,FALSE()),"Asignatura"))</f>
      </c>
      <c r="D27">
        <f>SUMPRODUCT((nCUENTA=1)*(nASIG=B27))</f>
        <v>0</v>
      </c>
      <c r="E27" s="10" t="str">
        <f>IFERROR(SUMPRODUCT((nCUENTA=1)*(nASIG=B27)*(nNOTA))/D27,"—")</f>
        <v>—</v>
      </c>
      <c r="F27" s="10" t="str" cm="1">
        <f t="array" ref="F27">IFERROR(_xlfn.STDEV.P(_xlfn._xlws.FILTER(nNOTA,(nCUENTA=1)*(nASIG=B27))),"—")</f>
        <v>—</v>
      </c>
      <c r="G27" t="str" cm="1">
        <f t="array" ref="G27">IFERROR(_xlfn.MODE.SNGL(_xlfn._xlws.FILTER(nNOTA,(nCUENTA=1)*(nASIG=B27))),"—")</f>
        <v>—</v>
      </c>
      <c r="H27" s="11" t="str">
        <f>IFERROR(SUMPRODUCT((nCUENTA=1)*(nASIG=B27)*(nAPTO="S"))/D27,"—")</f>
        <v>—</v>
      </c>
      <c r="I27" s="11" t="str">
        <f>IFERROR(SUMPRODUCT((nCUENTA=1)*(nASIG=B27)*(nAPTO="N"))/D27,"—")</f>
        <v>—</v>
      </c>
      <c r="J27" t="str" cm="1">
        <f t="array" ref="J27">IFERROR(_xlfn.MODE.SNGL(_xlfn._xlws.FILTER(nNOTA,(nCUENTA=1)*(nASIG=B27)*(nAPTO="S"))),"—")</f>
        <v>—</v>
      </c>
      <c r="K27" t="str" cm="1">
        <f t="array" ref="K27">IFERROR(_xlfn.MODE.SNGL(_xlfn._xlws.FILTER(nNOTA,(nCUENTA=1)*(nASIG=B27)*(nAPTO="N"))),"—")</f>
        <v>—</v>
      </c>
      <c r="L27">
        <f>SUMPRODUCT((nCUENTA=1)*(nASIG=B27)*(nNOTA=1))</f>
        <v>0</v>
      </c>
      <c r="M27">
        <f>SUMPRODUCT((nCUENTA=1)*(nASIG=B27)*(nNOTA=2))</f>
        <v>0</v>
      </c>
      <c r="N27">
        <f>SUMPRODUCT((nCUENTA=1)*(nASIG=B27)*(nNOTA=3))</f>
        <v>0</v>
      </c>
      <c r="O27">
        <f>SUMPRODUCT((nCUENTA=1)*(nASIG=B27)*(nNOTA=4))</f>
        <v>0</v>
      </c>
      <c r="P27">
        <f>SUMPRODUCT((nCUENTA=1)*(nASIG=B27)*(nNOTA=5))</f>
        <v>0</v>
      </c>
      <c r="Q27">
        <f>SUMPRODUCT((nCUENTA=1)*(nASIG=B27)*(nNOTA=6))</f>
        <v>0</v>
      </c>
      <c r="R27">
        <f>SUMPRODUCT((nCUENTA=1)*(nASIG=B27)*(nNOTA=7))</f>
        <v>0</v>
      </c>
      <c r="S27">
        <f>SUMPRODUCT((nCUENTA=1)*(nASIG=B27)*(nNOTA=8))</f>
        <v>0</v>
      </c>
      <c r="T27">
        <f>SUMPRODUCT((nCUENTA=1)*(nASIG=B27)*(nNOTA=9))</f>
        <v>0</v>
      </c>
      <c r="U27">
        <f>SUMPRODUCT((nCUENTA=1)*(nASIG=B27)*(nNOTA=10))</f>
        <v>0</v>
      </c>
    </row>
    <row r="28">
      <c r="A28" t="inlineStr">
        <is>
          <t xml:space="preserve">GLOBAL</t>
        </is>
      </c>
      <c r="B28" cm="1">
        <f t="array" ref="B28">IFERROR(INDEX(_xlfn._xlws.FILTER(CONFIG_ASIGNATURAS!$B$2:$B$91,CONFIG_ASIGNATURAS!$G$2:$G$91="Sí"),23),"")</f>
      </c>
      <c r="C28">
        <f>IF(B28="","",IFERROR(VLOOKUP(B28,CONFIG_ASIGNATURAS!$B$2:$D$91,3,FALSE()),"Asignatura"))</f>
      </c>
      <c r="D28">
        <f>SUMPRODUCT((nCUENTA=1)*(nASIG=B28))</f>
        <v>0</v>
      </c>
      <c r="E28" s="10" t="str">
        <f>IFERROR(SUMPRODUCT((nCUENTA=1)*(nASIG=B28)*(nNOTA))/D28,"—")</f>
        <v>—</v>
      </c>
      <c r="F28" s="10" t="str" cm="1">
        <f t="array" ref="F28">IFERROR(_xlfn.STDEV.P(_xlfn._xlws.FILTER(nNOTA,(nCUENTA=1)*(nASIG=B28))),"—")</f>
        <v>—</v>
      </c>
      <c r="G28" t="str" cm="1">
        <f t="array" ref="G28">IFERROR(_xlfn.MODE.SNGL(_xlfn._xlws.FILTER(nNOTA,(nCUENTA=1)*(nASIG=B28))),"—")</f>
        <v>—</v>
      </c>
      <c r="H28" s="11" t="str">
        <f>IFERROR(SUMPRODUCT((nCUENTA=1)*(nASIG=B28)*(nAPTO="S"))/D28,"—")</f>
        <v>—</v>
      </c>
      <c r="I28" s="11" t="str">
        <f>IFERROR(SUMPRODUCT((nCUENTA=1)*(nASIG=B28)*(nAPTO="N"))/D28,"—")</f>
        <v>—</v>
      </c>
      <c r="J28" t="str" cm="1">
        <f t="array" ref="J28">IFERROR(_xlfn.MODE.SNGL(_xlfn._xlws.FILTER(nNOTA,(nCUENTA=1)*(nASIG=B28)*(nAPTO="S"))),"—")</f>
        <v>—</v>
      </c>
      <c r="K28" t="str" cm="1">
        <f t="array" ref="K28">IFERROR(_xlfn.MODE.SNGL(_xlfn._xlws.FILTER(nNOTA,(nCUENTA=1)*(nASIG=B28)*(nAPTO="N"))),"—")</f>
        <v>—</v>
      </c>
      <c r="L28">
        <f>SUMPRODUCT((nCUENTA=1)*(nASIG=B28)*(nNOTA=1))</f>
        <v>0</v>
      </c>
      <c r="M28">
        <f>SUMPRODUCT((nCUENTA=1)*(nASIG=B28)*(nNOTA=2))</f>
        <v>0</v>
      </c>
      <c r="N28">
        <f>SUMPRODUCT((nCUENTA=1)*(nASIG=B28)*(nNOTA=3))</f>
        <v>0</v>
      </c>
      <c r="O28">
        <f>SUMPRODUCT((nCUENTA=1)*(nASIG=B28)*(nNOTA=4))</f>
        <v>0</v>
      </c>
      <c r="P28">
        <f>SUMPRODUCT((nCUENTA=1)*(nASIG=B28)*(nNOTA=5))</f>
        <v>0</v>
      </c>
      <c r="Q28">
        <f>SUMPRODUCT((nCUENTA=1)*(nASIG=B28)*(nNOTA=6))</f>
        <v>0</v>
      </c>
      <c r="R28">
        <f>SUMPRODUCT((nCUENTA=1)*(nASIG=B28)*(nNOTA=7))</f>
        <v>0</v>
      </c>
      <c r="S28">
        <f>SUMPRODUCT((nCUENTA=1)*(nASIG=B28)*(nNOTA=8))</f>
        <v>0</v>
      </c>
      <c r="T28">
        <f>SUMPRODUCT((nCUENTA=1)*(nASIG=B28)*(nNOTA=9))</f>
        <v>0</v>
      </c>
      <c r="U28">
        <f>SUMPRODUCT((nCUENTA=1)*(nASIG=B28)*(nNOTA=10))</f>
        <v>0</v>
      </c>
    </row>
    <row r="29">
      <c r="A29" t="inlineStr">
        <is>
          <t xml:space="preserve">GLOBAL</t>
        </is>
      </c>
      <c r="B29" cm="1">
        <f t="array" ref="B29">IFERROR(INDEX(_xlfn._xlws.FILTER(CONFIG_ASIGNATURAS!$B$2:$B$91,CONFIG_ASIGNATURAS!$G$2:$G$91="Sí"),24),"")</f>
      </c>
      <c r="C29">
        <f>IF(B29="","",IFERROR(VLOOKUP(B29,CONFIG_ASIGNATURAS!$B$2:$D$91,3,FALSE()),"Asignatura"))</f>
      </c>
      <c r="D29">
        <f>SUMPRODUCT((nCUENTA=1)*(nASIG=B29))</f>
        <v>0</v>
      </c>
      <c r="E29" s="10" t="str">
        <f>IFERROR(SUMPRODUCT((nCUENTA=1)*(nASIG=B29)*(nNOTA))/D29,"—")</f>
        <v>—</v>
      </c>
      <c r="F29" s="10" t="str" cm="1">
        <f t="array" ref="F29">IFERROR(_xlfn.STDEV.P(_xlfn._xlws.FILTER(nNOTA,(nCUENTA=1)*(nASIG=B29))),"—")</f>
        <v>—</v>
      </c>
      <c r="G29" t="str" cm="1">
        <f t="array" ref="G29">IFERROR(_xlfn.MODE.SNGL(_xlfn._xlws.FILTER(nNOTA,(nCUENTA=1)*(nASIG=B29))),"—")</f>
        <v>—</v>
      </c>
      <c r="H29" s="11" t="str">
        <f>IFERROR(SUMPRODUCT((nCUENTA=1)*(nASIG=B29)*(nAPTO="S"))/D29,"—")</f>
        <v>—</v>
      </c>
      <c r="I29" s="11" t="str">
        <f>IFERROR(SUMPRODUCT((nCUENTA=1)*(nASIG=B29)*(nAPTO="N"))/D29,"—")</f>
        <v>—</v>
      </c>
      <c r="J29" t="str" cm="1">
        <f t="array" ref="J29">IFERROR(_xlfn.MODE.SNGL(_xlfn._xlws.FILTER(nNOTA,(nCUENTA=1)*(nASIG=B29)*(nAPTO="S"))),"—")</f>
        <v>—</v>
      </c>
      <c r="K29" t="str" cm="1">
        <f t="array" ref="K29">IFERROR(_xlfn.MODE.SNGL(_xlfn._xlws.FILTER(nNOTA,(nCUENTA=1)*(nASIG=B29)*(nAPTO="N"))),"—")</f>
        <v>—</v>
      </c>
      <c r="L29">
        <f>SUMPRODUCT((nCUENTA=1)*(nASIG=B29)*(nNOTA=1))</f>
        <v>0</v>
      </c>
      <c r="M29">
        <f>SUMPRODUCT((nCUENTA=1)*(nASIG=B29)*(nNOTA=2))</f>
        <v>0</v>
      </c>
      <c r="N29">
        <f>SUMPRODUCT((nCUENTA=1)*(nASIG=B29)*(nNOTA=3))</f>
        <v>0</v>
      </c>
      <c r="O29">
        <f>SUMPRODUCT((nCUENTA=1)*(nASIG=B29)*(nNOTA=4))</f>
        <v>0</v>
      </c>
      <c r="P29">
        <f>SUMPRODUCT((nCUENTA=1)*(nASIG=B29)*(nNOTA=5))</f>
        <v>0</v>
      </c>
      <c r="Q29">
        <f>SUMPRODUCT((nCUENTA=1)*(nASIG=B29)*(nNOTA=6))</f>
        <v>0</v>
      </c>
      <c r="R29">
        <f>SUMPRODUCT((nCUENTA=1)*(nASIG=B29)*(nNOTA=7))</f>
        <v>0</v>
      </c>
      <c r="S29">
        <f>SUMPRODUCT((nCUENTA=1)*(nASIG=B29)*(nNOTA=8))</f>
        <v>0</v>
      </c>
      <c r="T29">
        <f>SUMPRODUCT((nCUENTA=1)*(nASIG=B29)*(nNOTA=9))</f>
        <v>0</v>
      </c>
      <c r="U29">
        <f>SUMPRODUCT((nCUENTA=1)*(nASIG=B29)*(nNOTA=10))</f>
        <v>0</v>
      </c>
    </row>
    <row r="30">
      <c r="A30" t="inlineStr">
        <is>
          <t xml:space="preserve">GLOBAL</t>
        </is>
      </c>
      <c r="B30" cm="1">
        <f t="array" ref="B30">IFERROR(INDEX(_xlfn._xlws.FILTER(CONFIG_ASIGNATURAS!$B$2:$B$91,CONFIG_ASIGNATURAS!$G$2:$G$91="Sí"),25),"")</f>
      </c>
      <c r="C30">
        <f>IF(B30="","",IFERROR(VLOOKUP(B30,CONFIG_ASIGNATURAS!$B$2:$D$91,3,FALSE()),"Asignatura"))</f>
      </c>
      <c r="D30">
        <f>SUMPRODUCT((nCUENTA=1)*(nASIG=B30))</f>
        <v>0</v>
      </c>
      <c r="E30" s="10" t="str">
        <f>IFERROR(SUMPRODUCT((nCUENTA=1)*(nASIG=B30)*(nNOTA))/D30,"—")</f>
        <v>—</v>
      </c>
      <c r="F30" s="10" t="str" cm="1">
        <f t="array" ref="F30">IFERROR(_xlfn.STDEV.P(_xlfn._xlws.FILTER(nNOTA,(nCUENTA=1)*(nASIG=B30))),"—")</f>
        <v>—</v>
      </c>
      <c r="G30" t="str" cm="1">
        <f t="array" ref="G30">IFERROR(_xlfn.MODE.SNGL(_xlfn._xlws.FILTER(nNOTA,(nCUENTA=1)*(nASIG=B30))),"—")</f>
        <v>—</v>
      </c>
      <c r="H30" s="11" t="str">
        <f>IFERROR(SUMPRODUCT((nCUENTA=1)*(nASIG=B30)*(nAPTO="S"))/D30,"—")</f>
        <v>—</v>
      </c>
      <c r="I30" s="11" t="str">
        <f>IFERROR(SUMPRODUCT((nCUENTA=1)*(nASIG=B30)*(nAPTO="N"))/D30,"—")</f>
        <v>—</v>
      </c>
      <c r="J30" t="str" cm="1">
        <f t="array" ref="J30">IFERROR(_xlfn.MODE.SNGL(_xlfn._xlws.FILTER(nNOTA,(nCUENTA=1)*(nASIG=B30)*(nAPTO="S"))),"—")</f>
        <v>—</v>
      </c>
      <c r="K30" t="str" cm="1">
        <f t="array" ref="K30">IFERROR(_xlfn.MODE.SNGL(_xlfn._xlws.FILTER(nNOTA,(nCUENTA=1)*(nASIG=B30)*(nAPTO="N"))),"—")</f>
        <v>—</v>
      </c>
      <c r="L30">
        <f>SUMPRODUCT((nCUENTA=1)*(nASIG=B30)*(nNOTA=1))</f>
        <v>0</v>
      </c>
      <c r="M30">
        <f>SUMPRODUCT((nCUENTA=1)*(nASIG=B30)*(nNOTA=2))</f>
        <v>0</v>
      </c>
      <c r="N30">
        <f>SUMPRODUCT((nCUENTA=1)*(nASIG=B30)*(nNOTA=3))</f>
        <v>0</v>
      </c>
      <c r="O30">
        <f>SUMPRODUCT((nCUENTA=1)*(nASIG=B30)*(nNOTA=4))</f>
        <v>0</v>
      </c>
      <c r="P30">
        <f>SUMPRODUCT((nCUENTA=1)*(nASIG=B30)*(nNOTA=5))</f>
        <v>0</v>
      </c>
      <c r="Q30">
        <f>SUMPRODUCT((nCUENTA=1)*(nASIG=B30)*(nNOTA=6))</f>
        <v>0</v>
      </c>
      <c r="R30">
        <f>SUMPRODUCT((nCUENTA=1)*(nASIG=B30)*(nNOTA=7))</f>
        <v>0</v>
      </c>
      <c r="S30">
        <f>SUMPRODUCT((nCUENTA=1)*(nASIG=B30)*(nNOTA=8))</f>
        <v>0</v>
      </c>
      <c r="T30">
        <f>SUMPRODUCT((nCUENTA=1)*(nASIG=B30)*(nNOTA=9))</f>
        <v>0</v>
      </c>
      <c r="U30">
        <f>SUMPRODUCT((nCUENTA=1)*(nASIG=B30)*(nNOTA=10))</f>
        <v>0</v>
      </c>
    </row>
    <row r="31">
      <c r="A31" t="inlineStr">
        <is>
          <t xml:space="preserve">GLOBAL</t>
        </is>
      </c>
      <c r="B31" cm="1">
        <f t="array" ref="B31">IFERROR(INDEX(_xlfn._xlws.FILTER(CONFIG_ASIGNATURAS!$B$2:$B$91,CONFIG_ASIGNATURAS!$G$2:$G$91="Sí"),26),"")</f>
      </c>
      <c r="C31">
        <f>IF(B31="","",IFERROR(VLOOKUP(B31,CONFIG_ASIGNATURAS!$B$2:$D$91,3,FALSE()),"Asignatura"))</f>
      </c>
      <c r="D31">
        <f>SUMPRODUCT((nCUENTA=1)*(nASIG=B31))</f>
        <v>0</v>
      </c>
      <c r="E31" s="10" t="str">
        <f>IFERROR(SUMPRODUCT((nCUENTA=1)*(nASIG=B31)*(nNOTA))/D31,"—")</f>
        <v>—</v>
      </c>
      <c r="F31" s="10" t="str" cm="1">
        <f t="array" ref="F31">IFERROR(_xlfn.STDEV.P(_xlfn._xlws.FILTER(nNOTA,(nCUENTA=1)*(nASIG=B31))),"—")</f>
        <v>—</v>
      </c>
      <c r="G31" t="str" cm="1">
        <f t="array" ref="G31">IFERROR(_xlfn.MODE.SNGL(_xlfn._xlws.FILTER(nNOTA,(nCUENTA=1)*(nASIG=B31))),"—")</f>
        <v>—</v>
      </c>
      <c r="H31" s="11" t="str">
        <f>IFERROR(SUMPRODUCT((nCUENTA=1)*(nASIG=B31)*(nAPTO="S"))/D31,"—")</f>
        <v>—</v>
      </c>
      <c r="I31" s="11" t="str">
        <f>IFERROR(SUMPRODUCT((nCUENTA=1)*(nASIG=B31)*(nAPTO="N"))/D31,"—")</f>
        <v>—</v>
      </c>
      <c r="J31" t="str" cm="1">
        <f t="array" ref="J31">IFERROR(_xlfn.MODE.SNGL(_xlfn._xlws.FILTER(nNOTA,(nCUENTA=1)*(nASIG=B31)*(nAPTO="S"))),"—")</f>
        <v>—</v>
      </c>
      <c r="K31" t="str" cm="1">
        <f t="array" ref="K31">IFERROR(_xlfn.MODE.SNGL(_xlfn._xlws.FILTER(nNOTA,(nCUENTA=1)*(nASIG=B31)*(nAPTO="N"))),"—")</f>
        <v>—</v>
      </c>
      <c r="L31">
        <f>SUMPRODUCT((nCUENTA=1)*(nASIG=B31)*(nNOTA=1))</f>
        <v>0</v>
      </c>
      <c r="M31">
        <f>SUMPRODUCT((nCUENTA=1)*(nASIG=B31)*(nNOTA=2))</f>
        <v>0</v>
      </c>
      <c r="N31">
        <f>SUMPRODUCT((nCUENTA=1)*(nASIG=B31)*(nNOTA=3))</f>
        <v>0</v>
      </c>
      <c r="O31">
        <f>SUMPRODUCT((nCUENTA=1)*(nASIG=B31)*(nNOTA=4))</f>
        <v>0</v>
      </c>
      <c r="P31">
        <f>SUMPRODUCT((nCUENTA=1)*(nASIG=B31)*(nNOTA=5))</f>
        <v>0</v>
      </c>
      <c r="Q31">
        <f>SUMPRODUCT((nCUENTA=1)*(nASIG=B31)*(nNOTA=6))</f>
        <v>0</v>
      </c>
      <c r="R31">
        <f>SUMPRODUCT((nCUENTA=1)*(nASIG=B31)*(nNOTA=7))</f>
        <v>0</v>
      </c>
      <c r="S31">
        <f>SUMPRODUCT((nCUENTA=1)*(nASIG=B31)*(nNOTA=8))</f>
        <v>0</v>
      </c>
      <c r="T31">
        <f>SUMPRODUCT((nCUENTA=1)*(nASIG=B31)*(nNOTA=9))</f>
        <v>0</v>
      </c>
      <c r="U31">
        <f>SUMPRODUCT((nCUENTA=1)*(nASIG=B31)*(nNOTA=10))</f>
        <v>0</v>
      </c>
    </row>
    <row r="32">
      <c r="A32" t="inlineStr">
        <is>
          <t xml:space="preserve">GLOBAL</t>
        </is>
      </c>
      <c r="B32" cm="1">
        <f t="array" ref="B32">IFERROR(INDEX(_xlfn._xlws.FILTER(CONFIG_ASIGNATURAS!$B$2:$B$91,CONFIG_ASIGNATURAS!$G$2:$G$91="Sí"),27),"")</f>
      </c>
      <c r="C32">
        <f>IF(B32="","",IFERROR(VLOOKUP(B32,CONFIG_ASIGNATURAS!$B$2:$D$91,3,FALSE()),"Asignatura"))</f>
      </c>
      <c r="D32">
        <f>SUMPRODUCT((nCUENTA=1)*(nASIG=B32))</f>
        <v>0</v>
      </c>
      <c r="E32" s="10" t="str">
        <f>IFERROR(SUMPRODUCT((nCUENTA=1)*(nASIG=B32)*(nNOTA))/D32,"—")</f>
        <v>—</v>
      </c>
      <c r="F32" s="10" t="str" cm="1">
        <f t="array" ref="F32">IFERROR(_xlfn.STDEV.P(_xlfn._xlws.FILTER(nNOTA,(nCUENTA=1)*(nASIG=B32))),"—")</f>
        <v>—</v>
      </c>
      <c r="G32" t="str" cm="1">
        <f t="array" ref="G32">IFERROR(_xlfn.MODE.SNGL(_xlfn._xlws.FILTER(nNOTA,(nCUENTA=1)*(nASIG=B32))),"—")</f>
        <v>—</v>
      </c>
      <c r="H32" s="11" t="str">
        <f>IFERROR(SUMPRODUCT((nCUENTA=1)*(nASIG=B32)*(nAPTO="S"))/D32,"—")</f>
        <v>—</v>
      </c>
      <c r="I32" s="11" t="str">
        <f>IFERROR(SUMPRODUCT((nCUENTA=1)*(nASIG=B32)*(nAPTO="N"))/D32,"—")</f>
        <v>—</v>
      </c>
      <c r="J32" t="str" cm="1">
        <f t="array" ref="J32">IFERROR(_xlfn.MODE.SNGL(_xlfn._xlws.FILTER(nNOTA,(nCUENTA=1)*(nASIG=B32)*(nAPTO="S"))),"—")</f>
        <v>—</v>
      </c>
      <c r="K32" t="str" cm="1">
        <f t="array" ref="K32">IFERROR(_xlfn.MODE.SNGL(_xlfn._xlws.FILTER(nNOTA,(nCUENTA=1)*(nASIG=B32)*(nAPTO="N"))),"—")</f>
        <v>—</v>
      </c>
      <c r="L32">
        <f>SUMPRODUCT((nCUENTA=1)*(nASIG=B32)*(nNOTA=1))</f>
        <v>0</v>
      </c>
      <c r="M32">
        <f>SUMPRODUCT((nCUENTA=1)*(nASIG=B32)*(nNOTA=2))</f>
        <v>0</v>
      </c>
      <c r="N32">
        <f>SUMPRODUCT((nCUENTA=1)*(nASIG=B32)*(nNOTA=3))</f>
        <v>0</v>
      </c>
      <c r="O32">
        <f>SUMPRODUCT((nCUENTA=1)*(nASIG=B32)*(nNOTA=4))</f>
        <v>0</v>
      </c>
      <c r="P32">
        <f>SUMPRODUCT((nCUENTA=1)*(nASIG=B32)*(nNOTA=5))</f>
        <v>0</v>
      </c>
      <c r="Q32">
        <f>SUMPRODUCT((nCUENTA=1)*(nASIG=B32)*(nNOTA=6))</f>
        <v>0</v>
      </c>
      <c r="R32">
        <f>SUMPRODUCT((nCUENTA=1)*(nASIG=B32)*(nNOTA=7))</f>
        <v>0</v>
      </c>
      <c r="S32">
        <f>SUMPRODUCT((nCUENTA=1)*(nASIG=B32)*(nNOTA=8))</f>
        <v>0</v>
      </c>
      <c r="T32">
        <f>SUMPRODUCT((nCUENTA=1)*(nASIG=B32)*(nNOTA=9))</f>
        <v>0</v>
      </c>
      <c r="U32">
        <f>SUMPRODUCT((nCUENTA=1)*(nASIG=B32)*(nNOTA=10))</f>
        <v>0</v>
      </c>
    </row>
    <row r="33">
      <c r="A33" t="inlineStr">
        <is>
          <t xml:space="preserve">GLOBAL</t>
        </is>
      </c>
      <c r="B33" cm="1">
        <f t="array" ref="B33">IFERROR(INDEX(_xlfn._xlws.FILTER(CONFIG_ASIGNATURAS!$B$2:$B$91,CONFIG_ASIGNATURAS!$G$2:$G$91="Sí"),28),"")</f>
      </c>
      <c r="C33">
        <f>IF(B33="","",IFERROR(VLOOKUP(B33,CONFIG_ASIGNATURAS!$B$2:$D$91,3,FALSE()),"Asignatura"))</f>
      </c>
      <c r="D33">
        <f>SUMPRODUCT((nCUENTA=1)*(nASIG=B33))</f>
        <v>0</v>
      </c>
      <c r="E33" s="10" t="str">
        <f>IFERROR(SUMPRODUCT((nCUENTA=1)*(nASIG=B33)*(nNOTA))/D33,"—")</f>
        <v>—</v>
      </c>
      <c r="F33" s="10" t="str" cm="1">
        <f t="array" ref="F33">IFERROR(_xlfn.STDEV.P(_xlfn._xlws.FILTER(nNOTA,(nCUENTA=1)*(nASIG=B33))),"—")</f>
        <v>—</v>
      </c>
      <c r="G33" t="str" cm="1">
        <f t="array" ref="G33">IFERROR(_xlfn.MODE.SNGL(_xlfn._xlws.FILTER(nNOTA,(nCUENTA=1)*(nASIG=B33))),"—")</f>
        <v>—</v>
      </c>
      <c r="H33" s="11" t="str">
        <f>IFERROR(SUMPRODUCT((nCUENTA=1)*(nASIG=B33)*(nAPTO="S"))/D33,"—")</f>
        <v>—</v>
      </c>
      <c r="I33" s="11" t="str">
        <f>IFERROR(SUMPRODUCT((nCUENTA=1)*(nASIG=B33)*(nAPTO="N"))/D33,"—")</f>
        <v>—</v>
      </c>
      <c r="J33" t="str" cm="1">
        <f t="array" ref="J33">IFERROR(_xlfn.MODE.SNGL(_xlfn._xlws.FILTER(nNOTA,(nCUENTA=1)*(nASIG=B33)*(nAPTO="S"))),"—")</f>
        <v>—</v>
      </c>
      <c r="K33" t="str" cm="1">
        <f t="array" ref="K33">IFERROR(_xlfn.MODE.SNGL(_xlfn._xlws.FILTER(nNOTA,(nCUENTA=1)*(nASIG=B33)*(nAPTO="N"))),"—")</f>
        <v>—</v>
      </c>
      <c r="L33">
        <f>SUMPRODUCT((nCUENTA=1)*(nASIG=B33)*(nNOTA=1))</f>
        <v>0</v>
      </c>
      <c r="M33">
        <f>SUMPRODUCT((nCUENTA=1)*(nASIG=B33)*(nNOTA=2))</f>
        <v>0</v>
      </c>
      <c r="N33">
        <f>SUMPRODUCT((nCUENTA=1)*(nASIG=B33)*(nNOTA=3))</f>
        <v>0</v>
      </c>
      <c r="O33">
        <f>SUMPRODUCT((nCUENTA=1)*(nASIG=B33)*(nNOTA=4))</f>
        <v>0</v>
      </c>
      <c r="P33">
        <f>SUMPRODUCT((nCUENTA=1)*(nASIG=B33)*(nNOTA=5))</f>
        <v>0</v>
      </c>
      <c r="Q33">
        <f>SUMPRODUCT((nCUENTA=1)*(nASIG=B33)*(nNOTA=6))</f>
        <v>0</v>
      </c>
      <c r="R33">
        <f>SUMPRODUCT((nCUENTA=1)*(nASIG=B33)*(nNOTA=7))</f>
        <v>0</v>
      </c>
      <c r="S33">
        <f>SUMPRODUCT((nCUENTA=1)*(nASIG=B33)*(nNOTA=8))</f>
        <v>0</v>
      </c>
      <c r="T33">
        <f>SUMPRODUCT((nCUENTA=1)*(nASIG=B33)*(nNOTA=9))</f>
        <v>0</v>
      </c>
      <c r="U33">
        <f>SUMPRODUCT((nCUENTA=1)*(nASIG=B33)*(nNOTA=10))</f>
        <v>0</v>
      </c>
    </row>
    <row r="34">
      <c r="A34" t="inlineStr">
        <is>
          <t xml:space="preserve">GLOBAL</t>
        </is>
      </c>
      <c r="B34" cm="1">
        <f t="array" ref="B34">IFERROR(INDEX(_xlfn._xlws.FILTER(CONFIG_ASIGNATURAS!$B$2:$B$91,CONFIG_ASIGNATURAS!$G$2:$G$91="Sí"),29),"")</f>
      </c>
      <c r="C34">
        <f>IF(B34="","",IFERROR(VLOOKUP(B34,CONFIG_ASIGNATURAS!$B$2:$D$91,3,FALSE()),"Asignatura"))</f>
      </c>
      <c r="D34">
        <f>SUMPRODUCT((nCUENTA=1)*(nASIG=B34))</f>
        <v>0</v>
      </c>
      <c r="E34" s="10" t="str">
        <f>IFERROR(SUMPRODUCT((nCUENTA=1)*(nASIG=B34)*(nNOTA))/D34,"—")</f>
        <v>—</v>
      </c>
      <c r="F34" s="10" t="str" cm="1">
        <f t="array" ref="F34">IFERROR(_xlfn.STDEV.P(_xlfn._xlws.FILTER(nNOTA,(nCUENTA=1)*(nASIG=B34))),"—")</f>
        <v>—</v>
      </c>
      <c r="G34" t="str" cm="1">
        <f t="array" ref="G34">IFERROR(_xlfn.MODE.SNGL(_xlfn._xlws.FILTER(nNOTA,(nCUENTA=1)*(nASIG=B34))),"—")</f>
        <v>—</v>
      </c>
      <c r="H34" s="11" t="str">
        <f>IFERROR(SUMPRODUCT((nCUENTA=1)*(nASIG=B34)*(nAPTO="S"))/D34,"—")</f>
        <v>—</v>
      </c>
      <c r="I34" s="11" t="str">
        <f>IFERROR(SUMPRODUCT((nCUENTA=1)*(nASIG=B34)*(nAPTO="N"))/D34,"—")</f>
        <v>—</v>
      </c>
      <c r="J34" t="str" cm="1">
        <f t="array" ref="J34">IFERROR(_xlfn.MODE.SNGL(_xlfn._xlws.FILTER(nNOTA,(nCUENTA=1)*(nASIG=B34)*(nAPTO="S"))),"—")</f>
        <v>—</v>
      </c>
      <c r="K34" t="str" cm="1">
        <f t="array" ref="K34">IFERROR(_xlfn.MODE.SNGL(_xlfn._xlws.FILTER(nNOTA,(nCUENTA=1)*(nASIG=B34)*(nAPTO="N"))),"—")</f>
        <v>—</v>
      </c>
      <c r="L34">
        <f>SUMPRODUCT((nCUENTA=1)*(nASIG=B34)*(nNOTA=1))</f>
        <v>0</v>
      </c>
      <c r="M34">
        <f>SUMPRODUCT((nCUENTA=1)*(nASIG=B34)*(nNOTA=2))</f>
        <v>0</v>
      </c>
      <c r="N34">
        <f>SUMPRODUCT((nCUENTA=1)*(nASIG=B34)*(nNOTA=3))</f>
        <v>0</v>
      </c>
      <c r="O34">
        <f>SUMPRODUCT((nCUENTA=1)*(nASIG=B34)*(nNOTA=4))</f>
        <v>0</v>
      </c>
      <c r="P34">
        <f>SUMPRODUCT((nCUENTA=1)*(nASIG=B34)*(nNOTA=5))</f>
        <v>0</v>
      </c>
      <c r="Q34">
        <f>SUMPRODUCT((nCUENTA=1)*(nASIG=B34)*(nNOTA=6))</f>
        <v>0</v>
      </c>
      <c r="R34">
        <f>SUMPRODUCT((nCUENTA=1)*(nASIG=B34)*(nNOTA=7))</f>
        <v>0</v>
      </c>
      <c r="S34">
        <f>SUMPRODUCT((nCUENTA=1)*(nASIG=B34)*(nNOTA=8))</f>
        <v>0</v>
      </c>
      <c r="T34">
        <f>SUMPRODUCT((nCUENTA=1)*(nASIG=B34)*(nNOTA=9))</f>
        <v>0</v>
      </c>
      <c r="U34">
        <f>SUMPRODUCT((nCUENTA=1)*(nASIG=B34)*(nNOTA=10))</f>
        <v>0</v>
      </c>
    </row>
    <row r="35">
      <c r="A35" t="inlineStr">
        <is>
          <t xml:space="preserve">GLOBAL</t>
        </is>
      </c>
      <c r="B35" cm="1">
        <f t="array" ref="B35">IFERROR(INDEX(_xlfn._xlws.FILTER(CONFIG_ASIGNATURAS!$B$2:$B$91,CONFIG_ASIGNATURAS!$G$2:$G$91="Sí"),30),"")</f>
      </c>
      <c r="C35">
        <f>IF(B35="","",IFERROR(VLOOKUP(B35,CONFIG_ASIGNATURAS!$B$2:$D$91,3,FALSE()),"Asignatura"))</f>
      </c>
      <c r="D35">
        <f>SUMPRODUCT((nCUENTA=1)*(nASIG=B35))</f>
        <v>0</v>
      </c>
      <c r="E35" s="10" t="str">
        <f>IFERROR(SUMPRODUCT((nCUENTA=1)*(nASIG=B35)*(nNOTA))/D35,"—")</f>
        <v>—</v>
      </c>
      <c r="F35" s="10" t="str" cm="1">
        <f t="array" ref="F35">IFERROR(_xlfn.STDEV.P(_xlfn._xlws.FILTER(nNOTA,(nCUENTA=1)*(nASIG=B35))),"—")</f>
        <v>—</v>
      </c>
      <c r="G35" t="str" cm="1">
        <f t="array" ref="G35">IFERROR(_xlfn.MODE.SNGL(_xlfn._xlws.FILTER(nNOTA,(nCUENTA=1)*(nASIG=B35))),"—")</f>
        <v>—</v>
      </c>
      <c r="H35" s="11" t="str">
        <f>IFERROR(SUMPRODUCT((nCUENTA=1)*(nASIG=B35)*(nAPTO="S"))/D35,"—")</f>
        <v>—</v>
      </c>
      <c r="I35" s="11" t="str">
        <f>IFERROR(SUMPRODUCT((nCUENTA=1)*(nASIG=B35)*(nAPTO="N"))/D35,"—")</f>
        <v>—</v>
      </c>
      <c r="J35" t="str" cm="1">
        <f t="array" ref="J35">IFERROR(_xlfn.MODE.SNGL(_xlfn._xlws.FILTER(nNOTA,(nCUENTA=1)*(nASIG=B35)*(nAPTO="S"))),"—")</f>
        <v>—</v>
      </c>
      <c r="K35" t="str" cm="1">
        <f t="array" ref="K35">IFERROR(_xlfn.MODE.SNGL(_xlfn._xlws.FILTER(nNOTA,(nCUENTA=1)*(nASIG=B35)*(nAPTO="N"))),"—")</f>
        <v>—</v>
      </c>
      <c r="L35">
        <f>SUMPRODUCT((nCUENTA=1)*(nASIG=B35)*(nNOTA=1))</f>
        <v>0</v>
      </c>
      <c r="M35">
        <f>SUMPRODUCT((nCUENTA=1)*(nASIG=B35)*(nNOTA=2))</f>
        <v>0</v>
      </c>
      <c r="N35">
        <f>SUMPRODUCT((nCUENTA=1)*(nASIG=B35)*(nNOTA=3))</f>
        <v>0</v>
      </c>
      <c r="O35">
        <f>SUMPRODUCT((nCUENTA=1)*(nASIG=B35)*(nNOTA=4))</f>
        <v>0</v>
      </c>
      <c r="P35">
        <f>SUMPRODUCT((nCUENTA=1)*(nASIG=B35)*(nNOTA=5))</f>
        <v>0</v>
      </c>
      <c r="Q35">
        <f>SUMPRODUCT((nCUENTA=1)*(nASIG=B35)*(nNOTA=6))</f>
        <v>0</v>
      </c>
      <c r="R35">
        <f>SUMPRODUCT((nCUENTA=1)*(nASIG=B35)*(nNOTA=7))</f>
        <v>0</v>
      </c>
      <c r="S35">
        <f>SUMPRODUCT((nCUENTA=1)*(nASIG=B35)*(nNOTA=8))</f>
        <v>0</v>
      </c>
      <c r="T35">
        <f>SUMPRODUCT((nCUENTA=1)*(nASIG=B35)*(nNOTA=9))</f>
        <v>0</v>
      </c>
      <c r="U35">
        <f>SUMPRODUCT((nCUENTA=1)*(nASIG=B35)*(nNOTA=10))</f>
        <v>0</v>
      </c>
    </row>
    <row r="36">
      <c r="A36" t="inlineStr">
        <is>
          <t xml:space="preserve">GLOBAL</t>
        </is>
      </c>
      <c r="B36" cm="1">
        <f t="array" ref="B36">IFERROR(INDEX(_xlfn._xlws.FILTER(CONFIG_ASIGNATURAS!$B$2:$B$91,CONFIG_ASIGNATURAS!$G$2:$G$91="Sí"),31),"")</f>
      </c>
      <c r="C36">
        <f>IF(B36="","",IFERROR(VLOOKUP(B36,CONFIG_ASIGNATURAS!$B$2:$D$91,3,FALSE()),"Asignatura"))</f>
      </c>
      <c r="D36">
        <f>SUMPRODUCT((nCUENTA=1)*(nASIG=B36))</f>
        <v>0</v>
      </c>
      <c r="E36" s="10" t="str">
        <f>IFERROR(SUMPRODUCT((nCUENTA=1)*(nASIG=B36)*(nNOTA))/D36,"—")</f>
        <v>—</v>
      </c>
      <c r="F36" s="10" t="str" cm="1">
        <f t="array" ref="F36">IFERROR(_xlfn.STDEV.P(_xlfn._xlws.FILTER(nNOTA,(nCUENTA=1)*(nASIG=B36))),"—")</f>
        <v>—</v>
      </c>
      <c r="G36" t="str" cm="1">
        <f t="array" ref="G36">IFERROR(_xlfn.MODE.SNGL(_xlfn._xlws.FILTER(nNOTA,(nCUENTA=1)*(nASIG=B36))),"—")</f>
        <v>—</v>
      </c>
      <c r="H36" s="11" t="str">
        <f>IFERROR(SUMPRODUCT((nCUENTA=1)*(nASIG=B36)*(nAPTO="S"))/D36,"—")</f>
        <v>—</v>
      </c>
      <c r="I36" s="11" t="str">
        <f>IFERROR(SUMPRODUCT((nCUENTA=1)*(nASIG=B36)*(nAPTO="N"))/D36,"—")</f>
        <v>—</v>
      </c>
      <c r="J36" t="str" cm="1">
        <f t="array" ref="J36">IFERROR(_xlfn.MODE.SNGL(_xlfn._xlws.FILTER(nNOTA,(nCUENTA=1)*(nASIG=B36)*(nAPTO="S"))),"—")</f>
        <v>—</v>
      </c>
      <c r="K36" t="str" cm="1">
        <f t="array" ref="K36">IFERROR(_xlfn.MODE.SNGL(_xlfn._xlws.FILTER(nNOTA,(nCUENTA=1)*(nASIG=B36)*(nAPTO="N"))),"—")</f>
        <v>—</v>
      </c>
      <c r="L36">
        <f>SUMPRODUCT((nCUENTA=1)*(nASIG=B36)*(nNOTA=1))</f>
        <v>0</v>
      </c>
      <c r="M36">
        <f>SUMPRODUCT((nCUENTA=1)*(nASIG=B36)*(nNOTA=2))</f>
        <v>0</v>
      </c>
      <c r="N36">
        <f>SUMPRODUCT((nCUENTA=1)*(nASIG=B36)*(nNOTA=3))</f>
        <v>0</v>
      </c>
      <c r="O36">
        <f>SUMPRODUCT((nCUENTA=1)*(nASIG=B36)*(nNOTA=4))</f>
        <v>0</v>
      </c>
      <c r="P36">
        <f>SUMPRODUCT((nCUENTA=1)*(nASIG=B36)*(nNOTA=5))</f>
        <v>0</v>
      </c>
      <c r="Q36">
        <f>SUMPRODUCT((nCUENTA=1)*(nASIG=B36)*(nNOTA=6))</f>
        <v>0</v>
      </c>
      <c r="R36">
        <f>SUMPRODUCT((nCUENTA=1)*(nASIG=B36)*(nNOTA=7))</f>
        <v>0</v>
      </c>
      <c r="S36">
        <f>SUMPRODUCT((nCUENTA=1)*(nASIG=B36)*(nNOTA=8))</f>
        <v>0</v>
      </c>
      <c r="T36">
        <f>SUMPRODUCT((nCUENTA=1)*(nASIG=B36)*(nNOTA=9))</f>
        <v>0</v>
      </c>
      <c r="U36">
        <f>SUMPRODUCT((nCUENTA=1)*(nASIG=B36)*(nNOTA=10))</f>
        <v>0</v>
      </c>
    </row>
    <row r="37">
      <c r="A37" t="inlineStr">
        <is>
          <t xml:space="preserve">GLOBAL</t>
        </is>
      </c>
      <c r="B37" cm="1">
        <f t="array" ref="B37">IFERROR(INDEX(_xlfn._xlws.FILTER(CONFIG_ASIGNATURAS!$B$2:$B$91,CONFIG_ASIGNATURAS!$G$2:$G$91="Sí"),32),"")</f>
      </c>
      <c r="C37">
        <f>IF(B37="","",IFERROR(VLOOKUP(B37,CONFIG_ASIGNATURAS!$B$2:$D$91,3,FALSE()),"Asignatura"))</f>
      </c>
      <c r="D37">
        <f>SUMPRODUCT((nCUENTA=1)*(nASIG=B37))</f>
        <v>0</v>
      </c>
      <c r="E37" s="10" t="str">
        <f>IFERROR(SUMPRODUCT((nCUENTA=1)*(nASIG=B37)*(nNOTA))/D37,"—")</f>
        <v>—</v>
      </c>
      <c r="F37" s="10" t="str" cm="1">
        <f t="array" ref="F37">IFERROR(_xlfn.STDEV.P(_xlfn._xlws.FILTER(nNOTA,(nCUENTA=1)*(nASIG=B37))),"—")</f>
        <v>—</v>
      </c>
      <c r="G37" t="str" cm="1">
        <f t="array" ref="G37">IFERROR(_xlfn.MODE.SNGL(_xlfn._xlws.FILTER(nNOTA,(nCUENTA=1)*(nASIG=B37))),"—")</f>
        <v>—</v>
      </c>
      <c r="H37" s="11" t="str">
        <f>IFERROR(SUMPRODUCT((nCUENTA=1)*(nASIG=B37)*(nAPTO="S"))/D37,"—")</f>
        <v>—</v>
      </c>
      <c r="I37" s="11" t="str">
        <f>IFERROR(SUMPRODUCT((nCUENTA=1)*(nASIG=B37)*(nAPTO="N"))/D37,"—")</f>
        <v>—</v>
      </c>
      <c r="J37" t="str" cm="1">
        <f t="array" ref="J37">IFERROR(_xlfn.MODE.SNGL(_xlfn._xlws.FILTER(nNOTA,(nCUENTA=1)*(nASIG=B37)*(nAPTO="S"))),"—")</f>
        <v>—</v>
      </c>
      <c r="K37" t="str" cm="1">
        <f t="array" ref="K37">IFERROR(_xlfn.MODE.SNGL(_xlfn._xlws.FILTER(nNOTA,(nCUENTA=1)*(nASIG=B37)*(nAPTO="N"))),"—")</f>
        <v>—</v>
      </c>
      <c r="L37">
        <f>SUMPRODUCT((nCUENTA=1)*(nASIG=B37)*(nNOTA=1))</f>
        <v>0</v>
      </c>
      <c r="M37">
        <f>SUMPRODUCT((nCUENTA=1)*(nASIG=B37)*(nNOTA=2))</f>
        <v>0</v>
      </c>
      <c r="N37">
        <f>SUMPRODUCT((nCUENTA=1)*(nASIG=B37)*(nNOTA=3))</f>
        <v>0</v>
      </c>
      <c r="O37">
        <f>SUMPRODUCT((nCUENTA=1)*(nASIG=B37)*(nNOTA=4))</f>
        <v>0</v>
      </c>
      <c r="P37">
        <f>SUMPRODUCT((nCUENTA=1)*(nASIG=B37)*(nNOTA=5))</f>
        <v>0</v>
      </c>
      <c r="Q37">
        <f>SUMPRODUCT((nCUENTA=1)*(nASIG=B37)*(nNOTA=6))</f>
        <v>0</v>
      </c>
      <c r="R37">
        <f>SUMPRODUCT((nCUENTA=1)*(nASIG=B37)*(nNOTA=7))</f>
        <v>0</v>
      </c>
      <c r="S37">
        <f>SUMPRODUCT((nCUENTA=1)*(nASIG=B37)*(nNOTA=8))</f>
        <v>0</v>
      </c>
      <c r="T37">
        <f>SUMPRODUCT((nCUENTA=1)*(nASIG=B37)*(nNOTA=9))</f>
        <v>0</v>
      </c>
      <c r="U37">
        <f>SUMPRODUCT((nCUENTA=1)*(nASIG=B37)*(nNOTA=10))</f>
        <v>0</v>
      </c>
    </row>
    <row r="38">
      <c r="A38" t="inlineStr">
        <is>
          <t xml:space="preserve">GLOBAL</t>
        </is>
      </c>
      <c r="B38" cm="1">
        <f t="array" ref="B38">IFERROR(INDEX(_xlfn._xlws.FILTER(CONFIG_ASIGNATURAS!$B$2:$B$91,CONFIG_ASIGNATURAS!$G$2:$G$91="Sí"),33),"")</f>
      </c>
      <c r="C38">
        <f>IF(B38="","",IFERROR(VLOOKUP(B38,CONFIG_ASIGNATURAS!$B$2:$D$91,3,FALSE()),"Asignatura"))</f>
      </c>
      <c r="D38">
        <f>SUMPRODUCT((nCUENTA=1)*(nASIG=B38))</f>
        <v>0</v>
      </c>
      <c r="E38" s="10" t="str">
        <f>IFERROR(SUMPRODUCT((nCUENTA=1)*(nASIG=B38)*(nNOTA))/D38,"—")</f>
        <v>—</v>
      </c>
      <c r="F38" s="10" t="str" cm="1">
        <f t="array" ref="F38">IFERROR(_xlfn.STDEV.P(_xlfn._xlws.FILTER(nNOTA,(nCUENTA=1)*(nASIG=B38))),"—")</f>
        <v>—</v>
      </c>
      <c r="G38" t="str" cm="1">
        <f t="array" ref="G38">IFERROR(_xlfn.MODE.SNGL(_xlfn._xlws.FILTER(nNOTA,(nCUENTA=1)*(nASIG=B38))),"—")</f>
        <v>—</v>
      </c>
      <c r="H38" s="11" t="str">
        <f>IFERROR(SUMPRODUCT((nCUENTA=1)*(nASIG=B38)*(nAPTO="S"))/D38,"—")</f>
        <v>—</v>
      </c>
      <c r="I38" s="11" t="str">
        <f>IFERROR(SUMPRODUCT((nCUENTA=1)*(nASIG=B38)*(nAPTO="N"))/D38,"—")</f>
        <v>—</v>
      </c>
      <c r="J38" t="str" cm="1">
        <f t="array" ref="J38">IFERROR(_xlfn.MODE.SNGL(_xlfn._xlws.FILTER(nNOTA,(nCUENTA=1)*(nASIG=B38)*(nAPTO="S"))),"—")</f>
        <v>—</v>
      </c>
      <c r="K38" t="str" cm="1">
        <f t="array" ref="K38">IFERROR(_xlfn.MODE.SNGL(_xlfn._xlws.FILTER(nNOTA,(nCUENTA=1)*(nASIG=B38)*(nAPTO="N"))),"—")</f>
        <v>—</v>
      </c>
      <c r="L38">
        <f>SUMPRODUCT((nCUENTA=1)*(nASIG=B38)*(nNOTA=1))</f>
        <v>0</v>
      </c>
      <c r="M38">
        <f>SUMPRODUCT((nCUENTA=1)*(nASIG=B38)*(nNOTA=2))</f>
        <v>0</v>
      </c>
      <c r="N38">
        <f>SUMPRODUCT((nCUENTA=1)*(nASIG=B38)*(nNOTA=3))</f>
        <v>0</v>
      </c>
      <c r="O38">
        <f>SUMPRODUCT((nCUENTA=1)*(nASIG=B38)*(nNOTA=4))</f>
        <v>0</v>
      </c>
      <c r="P38">
        <f>SUMPRODUCT((nCUENTA=1)*(nASIG=B38)*(nNOTA=5))</f>
        <v>0</v>
      </c>
      <c r="Q38">
        <f>SUMPRODUCT((nCUENTA=1)*(nASIG=B38)*(nNOTA=6))</f>
        <v>0</v>
      </c>
      <c r="R38">
        <f>SUMPRODUCT((nCUENTA=1)*(nASIG=B38)*(nNOTA=7))</f>
        <v>0</v>
      </c>
      <c r="S38">
        <f>SUMPRODUCT((nCUENTA=1)*(nASIG=B38)*(nNOTA=8))</f>
        <v>0</v>
      </c>
      <c r="T38">
        <f>SUMPRODUCT((nCUENTA=1)*(nASIG=B38)*(nNOTA=9))</f>
        <v>0</v>
      </c>
      <c r="U38">
        <f>SUMPRODUCT((nCUENTA=1)*(nASIG=B38)*(nNOTA=10))</f>
        <v>0</v>
      </c>
    </row>
    <row r="39">
      <c r="A39" t="inlineStr">
        <is>
          <t xml:space="preserve">GLOBAL</t>
        </is>
      </c>
      <c r="B39" cm="1">
        <f t="array" ref="B39">IFERROR(INDEX(_xlfn._xlws.FILTER(CONFIG_ASIGNATURAS!$B$2:$B$91,CONFIG_ASIGNATURAS!$G$2:$G$91="Sí"),34),"")</f>
      </c>
      <c r="C39">
        <f>IF(B39="","",IFERROR(VLOOKUP(B39,CONFIG_ASIGNATURAS!$B$2:$D$91,3,FALSE()),"Asignatura"))</f>
      </c>
      <c r="D39">
        <f>SUMPRODUCT((nCUENTA=1)*(nASIG=B39))</f>
        <v>0</v>
      </c>
      <c r="E39" s="10" t="str">
        <f>IFERROR(SUMPRODUCT((nCUENTA=1)*(nASIG=B39)*(nNOTA))/D39,"—")</f>
        <v>—</v>
      </c>
      <c r="F39" s="10" t="str" cm="1">
        <f t="array" ref="F39">IFERROR(_xlfn.STDEV.P(_xlfn._xlws.FILTER(nNOTA,(nCUENTA=1)*(nASIG=B39))),"—")</f>
        <v>—</v>
      </c>
      <c r="G39" t="str" cm="1">
        <f t="array" ref="G39">IFERROR(_xlfn.MODE.SNGL(_xlfn._xlws.FILTER(nNOTA,(nCUENTA=1)*(nASIG=B39))),"—")</f>
        <v>—</v>
      </c>
      <c r="H39" s="11" t="str">
        <f>IFERROR(SUMPRODUCT((nCUENTA=1)*(nASIG=B39)*(nAPTO="S"))/D39,"—")</f>
        <v>—</v>
      </c>
      <c r="I39" s="11" t="str">
        <f>IFERROR(SUMPRODUCT((nCUENTA=1)*(nASIG=B39)*(nAPTO="N"))/D39,"—")</f>
        <v>—</v>
      </c>
      <c r="J39" t="str" cm="1">
        <f t="array" ref="J39">IFERROR(_xlfn.MODE.SNGL(_xlfn._xlws.FILTER(nNOTA,(nCUENTA=1)*(nASIG=B39)*(nAPTO="S"))),"—")</f>
        <v>—</v>
      </c>
      <c r="K39" t="str" cm="1">
        <f t="array" ref="K39">IFERROR(_xlfn.MODE.SNGL(_xlfn._xlws.FILTER(nNOTA,(nCUENTA=1)*(nASIG=B39)*(nAPTO="N"))),"—")</f>
        <v>—</v>
      </c>
      <c r="L39">
        <f>SUMPRODUCT((nCUENTA=1)*(nASIG=B39)*(nNOTA=1))</f>
        <v>0</v>
      </c>
      <c r="M39">
        <f>SUMPRODUCT((nCUENTA=1)*(nASIG=B39)*(nNOTA=2))</f>
        <v>0</v>
      </c>
      <c r="N39">
        <f>SUMPRODUCT((nCUENTA=1)*(nASIG=B39)*(nNOTA=3))</f>
        <v>0</v>
      </c>
      <c r="O39">
        <f>SUMPRODUCT((nCUENTA=1)*(nASIG=B39)*(nNOTA=4))</f>
        <v>0</v>
      </c>
      <c r="P39">
        <f>SUMPRODUCT((nCUENTA=1)*(nASIG=B39)*(nNOTA=5))</f>
        <v>0</v>
      </c>
      <c r="Q39">
        <f>SUMPRODUCT((nCUENTA=1)*(nASIG=B39)*(nNOTA=6))</f>
        <v>0</v>
      </c>
      <c r="R39">
        <f>SUMPRODUCT((nCUENTA=1)*(nASIG=B39)*(nNOTA=7))</f>
        <v>0</v>
      </c>
      <c r="S39">
        <f>SUMPRODUCT((nCUENTA=1)*(nASIG=B39)*(nNOTA=8))</f>
        <v>0</v>
      </c>
      <c r="T39">
        <f>SUMPRODUCT((nCUENTA=1)*(nASIG=B39)*(nNOTA=9))</f>
        <v>0</v>
      </c>
      <c r="U39">
        <f>SUMPRODUCT((nCUENTA=1)*(nASIG=B39)*(nNOTA=10))</f>
        <v>0</v>
      </c>
    </row>
    <row r="40">
      <c r="A40" t="inlineStr">
        <is>
          <t xml:space="preserve">GLOBAL</t>
        </is>
      </c>
      <c r="B40" cm="1">
        <f t="array" ref="B40">IFERROR(INDEX(_xlfn._xlws.FILTER(CONFIG_ASIGNATURAS!$B$2:$B$91,CONFIG_ASIGNATURAS!$G$2:$G$91="Sí"),35),"")</f>
      </c>
      <c r="C40">
        <f>IF(B40="","",IFERROR(VLOOKUP(B40,CONFIG_ASIGNATURAS!$B$2:$D$91,3,FALSE()),"Asignatura"))</f>
      </c>
      <c r="D40">
        <f>SUMPRODUCT((nCUENTA=1)*(nASIG=B40))</f>
        <v>0</v>
      </c>
      <c r="E40" s="10" t="str">
        <f>IFERROR(SUMPRODUCT((nCUENTA=1)*(nASIG=B40)*(nNOTA))/D40,"—")</f>
        <v>—</v>
      </c>
      <c r="F40" s="10" t="str" cm="1">
        <f t="array" ref="F40">IFERROR(_xlfn.STDEV.P(_xlfn._xlws.FILTER(nNOTA,(nCUENTA=1)*(nASIG=B40))),"—")</f>
        <v>—</v>
      </c>
      <c r="G40" t="str" cm="1">
        <f t="array" ref="G40">IFERROR(_xlfn.MODE.SNGL(_xlfn._xlws.FILTER(nNOTA,(nCUENTA=1)*(nASIG=B40))),"—")</f>
        <v>—</v>
      </c>
      <c r="H40" s="11" t="str">
        <f>IFERROR(SUMPRODUCT((nCUENTA=1)*(nASIG=B40)*(nAPTO="S"))/D40,"—")</f>
        <v>—</v>
      </c>
      <c r="I40" s="11" t="str">
        <f>IFERROR(SUMPRODUCT((nCUENTA=1)*(nASIG=B40)*(nAPTO="N"))/D40,"—")</f>
        <v>—</v>
      </c>
      <c r="J40" t="str" cm="1">
        <f t="array" ref="J40">IFERROR(_xlfn.MODE.SNGL(_xlfn._xlws.FILTER(nNOTA,(nCUENTA=1)*(nASIG=B40)*(nAPTO="S"))),"—")</f>
        <v>—</v>
      </c>
      <c r="K40" t="str" cm="1">
        <f t="array" ref="K40">IFERROR(_xlfn.MODE.SNGL(_xlfn._xlws.FILTER(nNOTA,(nCUENTA=1)*(nASIG=B40)*(nAPTO="N"))),"—")</f>
        <v>—</v>
      </c>
      <c r="L40">
        <f>SUMPRODUCT((nCUENTA=1)*(nASIG=B40)*(nNOTA=1))</f>
        <v>0</v>
      </c>
      <c r="M40">
        <f>SUMPRODUCT((nCUENTA=1)*(nASIG=B40)*(nNOTA=2))</f>
        <v>0</v>
      </c>
      <c r="N40">
        <f>SUMPRODUCT((nCUENTA=1)*(nASIG=B40)*(nNOTA=3))</f>
        <v>0</v>
      </c>
      <c r="O40">
        <f>SUMPRODUCT((nCUENTA=1)*(nASIG=B40)*(nNOTA=4))</f>
        <v>0</v>
      </c>
      <c r="P40">
        <f>SUMPRODUCT((nCUENTA=1)*(nASIG=B40)*(nNOTA=5))</f>
        <v>0</v>
      </c>
      <c r="Q40">
        <f>SUMPRODUCT((nCUENTA=1)*(nASIG=B40)*(nNOTA=6))</f>
        <v>0</v>
      </c>
      <c r="R40">
        <f>SUMPRODUCT((nCUENTA=1)*(nASIG=B40)*(nNOTA=7))</f>
        <v>0</v>
      </c>
      <c r="S40">
        <f>SUMPRODUCT((nCUENTA=1)*(nASIG=B40)*(nNOTA=8))</f>
        <v>0</v>
      </c>
      <c r="T40">
        <f>SUMPRODUCT((nCUENTA=1)*(nASIG=B40)*(nNOTA=9))</f>
        <v>0</v>
      </c>
      <c r="U40">
        <f>SUMPRODUCT((nCUENTA=1)*(nASIG=B40)*(nNOTA=10))</f>
        <v>0</v>
      </c>
    </row>
    <row r="41">
      <c r="A41" t="inlineStr">
        <is>
          <t xml:space="preserve">GLOBAL</t>
        </is>
      </c>
      <c r="B41" cm="1">
        <f t="array" ref="B41">IFERROR(INDEX(_xlfn._xlws.FILTER(CONFIG_ASIGNATURAS!$B$2:$B$91,CONFIG_ASIGNATURAS!$G$2:$G$91="Sí"),36),"")</f>
      </c>
      <c r="C41">
        <f>IF(B41="","",IFERROR(VLOOKUP(B41,CONFIG_ASIGNATURAS!$B$2:$D$91,3,FALSE()),"Asignatura"))</f>
      </c>
      <c r="D41">
        <f>SUMPRODUCT((nCUENTA=1)*(nASIG=B41))</f>
        <v>0</v>
      </c>
      <c r="E41" s="10" t="str">
        <f>IFERROR(SUMPRODUCT((nCUENTA=1)*(nASIG=B41)*(nNOTA))/D41,"—")</f>
        <v>—</v>
      </c>
      <c r="F41" s="10" t="str" cm="1">
        <f t="array" ref="F41">IFERROR(_xlfn.STDEV.P(_xlfn._xlws.FILTER(nNOTA,(nCUENTA=1)*(nASIG=B41))),"—")</f>
        <v>—</v>
      </c>
      <c r="G41" t="str" cm="1">
        <f t="array" ref="G41">IFERROR(_xlfn.MODE.SNGL(_xlfn._xlws.FILTER(nNOTA,(nCUENTA=1)*(nASIG=B41))),"—")</f>
        <v>—</v>
      </c>
      <c r="H41" s="11" t="str">
        <f>IFERROR(SUMPRODUCT((nCUENTA=1)*(nASIG=B41)*(nAPTO="S"))/D41,"—")</f>
        <v>—</v>
      </c>
      <c r="I41" s="11" t="str">
        <f>IFERROR(SUMPRODUCT((nCUENTA=1)*(nASIG=B41)*(nAPTO="N"))/D41,"—")</f>
        <v>—</v>
      </c>
      <c r="J41" t="str" cm="1">
        <f t="array" ref="J41">IFERROR(_xlfn.MODE.SNGL(_xlfn._xlws.FILTER(nNOTA,(nCUENTA=1)*(nASIG=B41)*(nAPTO="S"))),"—")</f>
        <v>—</v>
      </c>
      <c r="K41" t="str" cm="1">
        <f t="array" ref="K41">IFERROR(_xlfn.MODE.SNGL(_xlfn._xlws.FILTER(nNOTA,(nCUENTA=1)*(nASIG=B41)*(nAPTO="N"))),"—")</f>
        <v>—</v>
      </c>
      <c r="L41">
        <f>SUMPRODUCT((nCUENTA=1)*(nASIG=B41)*(nNOTA=1))</f>
        <v>0</v>
      </c>
      <c r="M41">
        <f>SUMPRODUCT((nCUENTA=1)*(nASIG=B41)*(nNOTA=2))</f>
        <v>0</v>
      </c>
      <c r="N41">
        <f>SUMPRODUCT((nCUENTA=1)*(nASIG=B41)*(nNOTA=3))</f>
        <v>0</v>
      </c>
      <c r="O41">
        <f>SUMPRODUCT((nCUENTA=1)*(nASIG=B41)*(nNOTA=4))</f>
        <v>0</v>
      </c>
      <c r="P41">
        <f>SUMPRODUCT((nCUENTA=1)*(nASIG=B41)*(nNOTA=5))</f>
        <v>0</v>
      </c>
      <c r="Q41">
        <f>SUMPRODUCT((nCUENTA=1)*(nASIG=B41)*(nNOTA=6))</f>
        <v>0</v>
      </c>
      <c r="R41">
        <f>SUMPRODUCT((nCUENTA=1)*(nASIG=B41)*(nNOTA=7))</f>
        <v>0</v>
      </c>
      <c r="S41">
        <f>SUMPRODUCT((nCUENTA=1)*(nASIG=B41)*(nNOTA=8))</f>
        <v>0</v>
      </c>
      <c r="T41">
        <f>SUMPRODUCT((nCUENTA=1)*(nASIG=B41)*(nNOTA=9))</f>
        <v>0</v>
      </c>
      <c r="U41">
        <f>SUMPRODUCT((nCUENTA=1)*(nASIG=B41)*(nNOTA=10))</f>
        <v>0</v>
      </c>
    </row>
    <row r="42">
      <c r="A42" t="inlineStr">
        <is>
          <t xml:space="preserve">GLOBAL</t>
        </is>
      </c>
      <c r="B42" cm="1">
        <f t="array" ref="B42">IFERROR(INDEX(_xlfn._xlws.FILTER(CONFIG_ASIGNATURAS!$B$2:$B$91,CONFIG_ASIGNATURAS!$G$2:$G$91="Sí"),37),"")</f>
      </c>
      <c r="C42">
        <f>IF(B42="","",IFERROR(VLOOKUP(B42,CONFIG_ASIGNATURAS!$B$2:$D$91,3,FALSE()),"Asignatura"))</f>
      </c>
      <c r="D42">
        <f>SUMPRODUCT((nCUENTA=1)*(nASIG=B42))</f>
        <v>0</v>
      </c>
      <c r="E42" s="10" t="str">
        <f>IFERROR(SUMPRODUCT((nCUENTA=1)*(nASIG=B42)*(nNOTA))/D42,"—")</f>
        <v>—</v>
      </c>
      <c r="F42" s="10" t="str" cm="1">
        <f t="array" ref="F42">IFERROR(_xlfn.STDEV.P(_xlfn._xlws.FILTER(nNOTA,(nCUENTA=1)*(nASIG=B42))),"—")</f>
        <v>—</v>
      </c>
      <c r="G42" t="str" cm="1">
        <f t="array" ref="G42">IFERROR(_xlfn.MODE.SNGL(_xlfn._xlws.FILTER(nNOTA,(nCUENTA=1)*(nASIG=B42))),"—")</f>
        <v>—</v>
      </c>
      <c r="H42" s="11" t="str">
        <f>IFERROR(SUMPRODUCT((nCUENTA=1)*(nASIG=B42)*(nAPTO="S"))/D42,"—")</f>
        <v>—</v>
      </c>
      <c r="I42" s="11" t="str">
        <f>IFERROR(SUMPRODUCT((nCUENTA=1)*(nASIG=B42)*(nAPTO="N"))/D42,"—")</f>
        <v>—</v>
      </c>
      <c r="J42" t="str" cm="1">
        <f t="array" ref="J42">IFERROR(_xlfn.MODE.SNGL(_xlfn._xlws.FILTER(nNOTA,(nCUENTA=1)*(nASIG=B42)*(nAPTO="S"))),"—")</f>
        <v>—</v>
      </c>
      <c r="K42" t="str" cm="1">
        <f t="array" ref="K42">IFERROR(_xlfn.MODE.SNGL(_xlfn._xlws.FILTER(nNOTA,(nCUENTA=1)*(nASIG=B42)*(nAPTO="N"))),"—")</f>
        <v>—</v>
      </c>
      <c r="L42">
        <f>SUMPRODUCT((nCUENTA=1)*(nASIG=B42)*(nNOTA=1))</f>
        <v>0</v>
      </c>
      <c r="M42">
        <f>SUMPRODUCT((nCUENTA=1)*(nASIG=B42)*(nNOTA=2))</f>
        <v>0</v>
      </c>
      <c r="N42">
        <f>SUMPRODUCT((nCUENTA=1)*(nASIG=B42)*(nNOTA=3))</f>
        <v>0</v>
      </c>
      <c r="O42">
        <f>SUMPRODUCT((nCUENTA=1)*(nASIG=B42)*(nNOTA=4))</f>
        <v>0</v>
      </c>
      <c r="P42">
        <f>SUMPRODUCT((nCUENTA=1)*(nASIG=B42)*(nNOTA=5))</f>
        <v>0</v>
      </c>
      <c r="Q42">
        <f>SUMPRODUCT((nCUENTA=1)*(nASIG=B42)*(nNOTA=6))</f>
        <v>0</v>
      </c>
      <c r="R42">
        <f>SUMPRODUCT((nCUENTA=1)*(nASIG=B42)*(nNOTA=7))</f>
        <v>0</v>
      </c>
      <c r="S42">
        <f>SUMPRODUCT((nCUENTA=1)*(nASIG=B42)*(nNOTA=8))</f>
        <v>0</v>
      </c>
      <c r="T42">
        <f>SUMPRODUCT((nCUENTA=1)*(nASIG=B42)*(nNOTA=9))</f>
        <v>0</v>
      </c>
      <c r="U42">
        <f>SUMPRODUCT((nCUENTA=1)*(nASIG=B42)*(nNOTA=10))</f>
        <v>0</v>
      </c>
    </row>
    <row r="43">
      <c r="A43" t="inlineStr">
        <is>
          <t xml:space="preserve">GLOBAL</t>
        </is>
      </c>
      <c r="B43" cm="1">
        <f t="array" ref="B43">IFERROR(INDEX(_xlfn._xlws.FILTER(CONFIG_ASIGNATURAS!$B$2:$B$91,CONFIG_ASIGNATURAS!$G$2:$G$91="Sí"),38),"")</f>
      </c>
      <c r="C43">
        <f>IF(B43="","",IFERROR(VLOOKUP(B43,CONFIG_ASIGNATURAS!$B$2:$D$91,3,FALSE()),"Asignatura"))</f>
      </c>
      <c r="D43">
        <f>SUMPRODUCT((nCUENTA=1)*(nASIG=B43))</f>
        <v>0</v>
      </c>
      <c r="E43" s="10" t="str">
        <f>IFERROR(SUMPRODUCT((nCUENTA=1)*(nASIG=B43)*(nNOTA))/D43,"—")</f>
        <v>—</v>
      </c>
      <c r="F43" s="10" t="str" cm="1">
        <f t="array" ref="F43">IFERROR(_xlfn.STDEV.P(_xlfn._xlws.FILTER(nNOTA,(nCUENTA=1)*(nASIG=B43))),"—")</f>
        <v>—</v>
      </c>
      <c r="G43" t="str" cm="1">
        <f t="array" ref="G43">IFERROR(_xlfn.MODE.SNGL(_xlfn._xlws.FILTER(nNOTA,(nCUENTA=1)*(nASIG=B43))),"—")</f>
        <v>—</v>
      </c>
      <c r="H43" s="11" t="str">
        <f>IFERROR(SUMPRODUCT((nCUENTA=1)*(nASIG=B43)*(nAPTO="S"))/D43,"—")</f>
        <v>—</v>
      </c>
      <c r="I43" s="11" t="str">
        <f>IFERROR(SUMPRODUCT((nCUENTA=1)*(nASIG=B43)*(nAPTO="N"))/D43,"—")</f>
        <v>—</v>
      </c>
      <c r="J43" t="str" cm="1">
        <f t="array" ref="J43">IFERROR(_xlfn.MODE.SNGL(_xlfn._xlws.FILTER(nNOTA,(nCUENTA=1)*(nASIG=B43)*(nAPTO="S"))),"—")</f>
        <v>—</v>
      </c>
      <c r="K43" t="str" cm="1">
        <f t="array" ref="K43">IFERROR(_xlfn.MODE.SNGL(_xlfn._xlws.FILTER(nNOTA,(nCUENTA=1)*(nASIG=B43)*(nAPTO="N"))),"—")</f>
        <v>—</v>
      </c>
      <c r="L43">
        <f>SUMPRODUCT((nCUENTA=1)*(nASIG=B43)*(nNOTA=1))</f>
        <v>0</v>
      </c>
      <c r="M43">
        <f>SUMPRODUCT((nCUENTA=1)*(nASIG=B43)*(nNOTA=2))</f>
        <v>0</v>
      </c>
      <c r="N43">
        <f>SUMPRODUCT((nCUENTA=1)*(nASIG=B43)*(nNOTA=3))</f>
        <v>0</v>
      </c>
      <c r="O43">
        <f>SUMPRODUCT((nCUENTA=1)*(nASIG=B43)*(nNOTA=4))</f>
        <v>0</v>
      </c>
      <c r="P43">
        <f>SUMPRODUCT((nCUENTA=1)*(nASIG=B43)*(nNOTA=5))</f>
        <v>0</v>
      </c>
      <c r="Q43">
        <f>SUMPRODUCT((nCUENTA=1)*(nASIG=B43)*(nNOTA=6))</f>
        <v>0</v>
      </c>
      <c r="R43">
        <f>SUMPRODUCT((nCUENTA=1)*(nASIG=B43)*(nNOTA=7))</f>
        <v>0</v>
      </c>
      <c r="S43">
        <f>SUMPRODUCT((nCUENTA=1)*(nASIG=B43)*(nNOTA=8))</f>
        <v>0</v>
      </c>
      <c r="T43">
        <f>SUMPRODUCT((nCUENTA=1)*(nASIG=B43)*(nNOTA=9))</f>
        <v>0</v>
      </c>
      <c r="U43">
        <f>SUMPRODUCT((nCUENTA=1)*(nASIG=B43)*(nNOTA=10))</f>
        <v>0</v>
      </c>
    </row>
    <row r="44">
      <c r="A44" t="inlineStr">
        <is>
          <t xml:space="preserve">GLOBAL</t>
        </is>
      </c>
      <c r="B44" cm="1">
        <f t="array" ref="B44">IFERROR(INDEX(_xlfn._xlws.FILTER(CONFIG_ASIGNATURAS!$B$2:$B$91,CONFIG_ASIGNATURAS!$G$2:$G$91="Sí"),39),"")</f>
      </c>
      <c r="C44">
        <f>IF(B44="","",IFERROR(VLOOKUP(B44,CONFIG_ASIGNATURAS!$B$2:$D$91,3,FALSE()),"Asignatura"))</f>
      </c>
      <c r="D44">
        <f>SUMPRODUCT((nCUENTA=1)*(nASIG=B44))</f>
        <v>0</v>
      </c>
      <c r="E44" s="10" t="str">
        <f>IFERROR(SUMPRODUCT((nCUENTA=1)*(nASIG=B44)*(nNOTA))/D44,"—")</f>
        <v>—</v>
      </c>
      <c r="F44" s="10" t="str" cm="1">
        <f t="array" ref="F44">IFERROR(_xlfn.STDEV.P(_xlfn._xlws.FILTER(nNOTA,(nCUENTA=1)*(nASIG=B44))),"—")</f>
        <v>—</v>
      </c>
      <c r="G44" t="str" cm="1">
        <f t="array" ref="G44">IFERROR(_xlfn.MODE.SNGL(_xlfn._xlws.FILTER(nNOTA,(nCUENTA=1)*(nASIG=B44))),"—")</f>
        <v>—</v>
      </c>
      <c r="H44" s="11" t="str">
        <f>IFERROR(SUMPRODUCT((nCUENTA=1)*(nASIG=B44)*(nAPTO="S"))/D44,"—")</f>
        <v>—</v>
      </c>
      <c r="I44" s="11" t="str">
        <f>IFERROR(SUMPRODUCT((nCUENTA=1)*(nASIG=B44)*(nAPTO="N"))/D44,"—")</f>
        <v>—</v>
      </c>
      <c r="J44" t="str" cm="1">
        <f t="array" ref="J44">IFERROR(_xlfn.MODE.SNGL(_xlfn._xlws.FILTER(nNOTA,(nCUENTA=1)*(nASIG=B44)*(nAPTO="S"))),"—")</f>
        <v>—</v>
      </c>
      <c r="K44" t="str" cm="1">
        <f t="array" ref="K44">IFERROR(_xlfn.MODE.SNGL(_xlfn._xlws.FILTER(nNOTA,(nCUENTA=1)*(nASIG=B44)*(nAPTO="N"))),"—")</f>
        <v>—</v>
      </c>
      <c r="L44">
        <f>SUMPRODUCT((nCUENTA=1)*(nASIG=B44)*(nNOTA=1))</f>
        <v>0</v>
      </c>
      <c r="M44">
        <f>SUMPRODUCT((nCUENTA=1)*(nASIG=B44)*(nNOTA=2))</f>
        <v>0</v>
      </c>
      <c r="N44">
        <f>SUMPRODUCT((nCUENTA=1)*(nASIG=B44)*(nNOTA=3))</f>
        <v>0</v>
      </c>
      <c r="O44">
        <f>SUMPRODUCT((nCUENTA=1)*(nASIG=B44)*(nNOTA=4))</f>
        <v>0</v>
      </c>
      <c r="P44">
        <f>SUMPRODUCT((nCUENTA=1)*(nASIG=B44)*(nNOTA=5))</f>
        <v>0</v>
      </c>
      <c r="Q44">
        <f>SUMPRODUCT((nCUENTA=1)*(nASIG=B44)*(nNOTA=6))</f>
        <v>0</v>
      </c>
      <c r="R44">
        <f>SUMPRODUCT((nCUENTA=1)*(nASIG=B44)*(nNOTA=7))</f>
        <v>0</v>
      </c>
      <c r="S44">
        <f>SUMPRODUCT((nCUENTA=1)*(nASIG=B44)*(nNOTA=8))</f>
        <v>0</v>
      </c>
      <c r="T44">
        <f>SUMPRODUCT((nCUENTA=1)*(nASIG=B44)*(nNOTA=9))</f>
        <v>0</v>
      </c>
      <c r="U44">
        <f>SUMPRODUCT((nCUENTA=1)*(nASIG=B44)*(nNOTA=10))</f>
        <v>0</v>
      </c>
    </row>
    <row r="45">
      <c r="A45" t="inlineStr">
        <is>
          <t xml:space="preserve">GLOBAL</t>
        </is>
      </c>
      <c r="B45" cm="1">
        <f t="array" ref="B45">IFERROR(INDEX(_xlfn._xlws.FILTER(CONFIG_ASIGNATURAS!$B$2:$B$91,CONFIG_ASIGNATURAS!$G$2:$G$91="Sí"),40),"")</f>
      </c>
      <c r="C45">
        <f>IF(B45="","",IFERROR(VLOOKUP(B45,CONFIG_ASIGNATURAS!$B$2:$D$91,3,FALSE()),"Asignatura"))</f>
      </c>
      <c r="D45">
        <f>SUMPRODUCT((nCUENTA=1)*(nASIG=B45))</f>
        <v>0</v>
      </c>
      <c r="E45" s="10" t="str">
        <f>IFERROR(SUMPRODUCT((nCUENTA=1)*(nASIG=B45)*(nNOTA))/D45,"—")</f>
        <v>—</v>
      </c>
      <c r="F45" s="10" t="str" cm="1">
        <f t="array" ref="F45">IFERROR(_xlfn.STDEV.P(_xlfn._xlws.FILTER(nNOTA,(nCUENTA=1)*(nASIG=B45))),"—")</f>
        <v>—</v>
      </c>
      <c r="G45" t="str" cm="1">
        <f t="array" ref="G45">IFERROR(_xlfn.MODE.SNGL(_xlfn._xlws.FILTER(nNOTA,(nCUENTA=1)*(nASIG=B45))),"—")</f>
        <v>—</v>
      </c>
      <c r="H45" s="11" t="str">
        <f>IFERROR(SUMPRODUCT((nCUENTA=1)*(nASIG=B45)*(nAPTO="S"))/D45,"—")</f>
        <v>—</v>
      </c>
      <c r="I45" s="11" t="str">
        <f>IFERROR(SUMPRODUCT((nCUENTA=1)*(nASIG=B45)*(nAPTO="N"))/D45,"—")</f>
        <v>—</v>
      </c>
      <c r="J45" t="str" cm="1">
        <f t="array" ref="J45">IFERROR(_xlfn.MODE.SNGL(_xlfn._xlws.FILTER(nNOTA,(nCUENTA=1)*(nASIG=B45)*(nAPTO="S"))),"—")</f>
        <v>—</v>
      </c>
      <c r="K45" t="str" cm="1">
        <f t="array" ref="K45">IFERROR(_xlfn.MODE.SNGL(_xlfn._xlws.FILTER(nNOTA,(nCUENTA=1)*(nASIG=B45)*(nAPTO="N"))),"—")</f>
        <v>—</v>
      </c>
      <c r="L45">
        <f>SUMPRODUCT((nCUENTA=1)*(nASIG=B45)*(nNOTA=1))</f>
        <v>0</v>
      </c>
      <c r="M45">
        <f>SUMPRODUCT((nCUENTA=1)*(nASIG=B45)*(nNOTA=2))</f>
        <v>0</v>
      </c>
      <c r="N45">
        <f>SUMPRODUCT((nCUENTA=1)*(nASIG=B45)*(nNOTA=3))</f>
        <v>0</v>
      </c>
      <c r="O45">
        <f>SUMPRODUCT((nCUENTA=1)*(nASIG=B45)*(nNOTA=4))</f>
        <v>0</v>
      </c>
      <c r="P45">
        <f>SUMPRODUCT((nCUENTA=1)*(nASIG=B45)*(nNOTA=5))</f>
        <v>0</v>
      </c>
      <c r="Q45">
        <f>SUMPRODUCT((nCUENTA=1)*(nASIG=B45)*(nNOTA=6))</f>
        <v>0</v>
      </c>
      <c r="R45">
        <f>SUMPRODUCT((nCUENTA=1)*(nASIG=B45)*(nNOTA=7))</f>
        <v>0</v>
      </c>
      <c r="S45">
        <f>SUMPRODUCT((nCUENTA=1)*(nASIG=B45)*(nNOTA=8))</f>
        <v>0</v>
      </c>
      <c r="T45">
        <f>SUMPRODUCT((nCUENTA=1)*(nASIG=B45)*(nNOTA=9))</f>
        <v>0</v>
      </c>
      <c r="U45">
        <f>SUMPRODUCT((nCUENTA=1)*(nASIG=B45)*(nNOTA=10))</f>
        <v>0</v>
      </c>
    </row>
    <row r="46">
      <c r="A46" t="inlineStr">
        <is>
          <t xml:space="preserve">GLOBAL</t>
        </is>
      </c>
      <c r="B46" cm="1">
        <f t="array" ref="B46">IFERROR(INDEX(_xlfn._xlws.FILTER(CONFIG_ASIGNATURAS!$B$2:$B$91,CONFIG_ASIGNATURAS!$G$2:$G$91="Sí"),41),"")</f>
      </c>
      <c r="C46">
        <f>IF(B46="","",IFERROR(VLOOKUP(B46,CONFIG_ASIGNATURAS!$B$2:$D$91,3,FALSE()),"Asignatura"))</f>
      </c>
      <c r="D46">
        <f>SUMPRODUCT((nCUENTA=1)*(nASIG=B46))</f>
        <v>0</v>
      </c>
      <c r="E46" s="10" t="str">
        <f>IFERROR(SUMPRODUCT((nCUENTA=1)*(nASIG=B46)*(nNOTA))/D46,"—")</f>
        <v>—</v>
      </c>
      <c r="F46" s="10" t="str" cm="1">
        <f t="array" ref="F46">IFERROR(_xlfn.STDEV.P(_xlfn._xlws.FILTER(nNOTA,(nCUENTA=1)*(nASIG=B46))),"—")</f>
        <v>—</v>
      </c>
      <c r="G46" t="str" cm="1">
        <f t="array" ref="G46">IFERROR(_xlfn.MODE.SNGL(_xlfn._xlws.FILTER(nNOTA,(nCUENTA=1)*(nASIG=B46))),"—")</f>
        <v>—</v>
      </c>
      <c r="H46" s="11" t="str">
        <f>IFERROR(SUMPRODUCT((nCUENTA=1)*(nASIG=B46)*(nAPTO="S"))/D46,"—")</f>
        <v>—</v>
      </c>
      <c r="I46" s="11" t="str">
        <f>IFERROR(SUMPRODUCT((nCUENTA=1)*(nASIG=B46)*(nAPTO="N"))/D46,"—")</f>
        <v>—</v>
      </c>
      <c r="J46" t="str" cm="1">
        <f t="array" ref="J46">IFERROR(_xlfn.MODE.SNGL(_xlfn._xlws.FILTER(nNOTA,(nCUENTA=1)*(nASIG=B46)*(nAPTO="S"))),"—")</f>
        <v>—</v>
      </c>
      <c r="K46" t="str" cm="1">
        <f t="array" ref="K46">IFERROR(_xlfn.MODE.SNGL(_xlfn._xlws.FILTER(nNOTA,(nCUENTA=1)*(nASIG=B46)*(nAPTO="N"))),"—")</f>
        <v>—</v>
      </c>
      <c r="L46">
        <f>SUMPRODUCT((nCUENTA=1)*(nASIG=B46)*(nNOTA=1))</f>
        <v>0</v>
      </c>
      <c r="M46">
        <f>SUMPRODUCT((nCUENTA=1)*(nASIG=B46)*(nNOTA=2))</f>
        <v>0</v>
      </c>
      <c r="N46">
        <f>SUMPRODUCT((nCUENTA=1)*(nASIG=B46)*(nNOTA=3))</f>
        <v>0</v>
      </c>
      <c r="O46">
        <f>SUMPRODUCT((nCUENTA=1)*(nASIG=B46)*(nNOTA=4))</f>
        <v>0</v>
      </c>
      <c r="P46">
        <f>SUMPRODUCT((nCUENTA=1)*(nASIG=B46)*(nNOTA=5))</f>
        <v>0</v>
      </c>
      <c r="Q46">
        <f>SUMPRODUCT((nCUENTA=1)*(nASIG=B46)*(nNOTA=6))</f>
        <v>0</v>
      </c>
      <c r="R46">
        <f>SUMPRODUCT((nCUENTA=1)*(nASIG=B46)*(nNOTA=7))</f>
        <v>0</v>
      </c>
      <c r="S46">
        <f>SUMPRODUCT((nCUENTA=1)*(nASIG=B46)*(nNOTA=8))</f>
        <v>0</v>
      </c>
      <c r="T46">
        <f>SUMPRODUCT((nCUENTA=1)*(nASIG=B46)*(nNOTA=9))</f>
        <v>0</v>
      </c>
      <c r="U46">
        <f>SUMPRODUCT((nCUENTA=1)*(nASIG=B46)*(nNOTA=10))</f>
        <v>0</v>
      </c>
    </row>
    <row r="47">
      <c r="A47" t="inlineStr">
        <is>
          <t xml:space="preserve">GLOBAL</t>
        </is>
      </c>
      <c r="B47" cm="1">
        <f t="array" ref="B47">IFERROR(INDEX(_xlfn._xlws.FILTER(CONFIG_ASIGNATURAS!$B$2:$B$91,CONFIG_ASIGNATURAS!$G$2:$G$91="Sí"),42),"")</f>
      </c>
      <c r="C47">
        <f>IF(B47="","",IFERROR(VLOOKUP(B47,CONFIG_ASIGNATURAS!$B$2:$D$91,3,FALSE()),"Asignatura"))</f>
      </c>
      <c r="D47">
        <f>SUMPRODUCT((nCUENTA=1)*(nASIG=B47))</f>
        <v>0</v>
      </c>
      <c r="E47" s="10" t="str">
        <f>IFERROR(SUMPRODUCT((nCUENTA=1)*(nASIG=B47)*(nNOTA))/D47,"—")</f>
        <v>—</v>
      </c>
      <c r="F47" s="10" t="str" cm="1">
        <f t="array" ref="F47">IFERROR(_xlfn.STDEV.P(_xlfn._xlws.FILTER(nNOTA,(nCUENTA=1)*(nASIG=B47))),"—")</f>
        <v>—</v>
      </c>
      <c r="G47" t="str" cm="1">
        <f t="array" ref="G47">IFERROR(_xlfn.MODE.SNGL(_xlfn._xlws.FILTER(nNOTA,(nCUENTA=1)*(nASIG=B47))),"—")</f>
        <v>—</v>
      </c>
      <c r="H47" s="11" t="str">
        <f>IFERROR(SUMPRODUCT((nCUENTA=1)*(nASIG=B47)*(nAPTO="S"))/D47,"—")</f>
        <v>—</v>
      </c>
      <c r="I47" s="11" t="str">
        <f>IFERROR(SUMPRODUCT((nCUENTA=1)*(nASIG=B47)*(nAPTO="N"))/D47,"—")</f>
        <v>—</v>
      </c>
      <c r="J47" t="str" cm="1">
        <f t="array" ref="J47">IFERROR(_xlfn.MODE.SNGL(_xlfn._xlws.FILTER(nNOTA,(nCUENTA=1)*(nASIG=B47)*(nAPTO="S"))),"—")</f>
        <v>—</v>
      </c>
      <c r="K47" t="str" cm="1">
        <f t="array" ref="K47">IFERROR(_xlfn.MODE.SNGL(_xlfn._xlws.FILTER(nNOTA,(nCUENTA=1)*(nASIG=B47)*(nAPTO="N"))),"—")</f>
        <v>—</v>
      </c>
      <c r="L47">
        <f>SUMPRODUCT((nCUENTA=1)*(nASIG=B47)*(nNOTA=1))</f>
        <v>0</v>
      </c>
      <c r="M47">
        <f>SUMPRODUCT((nCUENTA=1)*(nASIG=B47)*(nNOTA=2))</f>
        <v>0</v>
      </c>
      <c r="N47">
        <f>SUMPRODUCT((nCUENTA=1)*(nASIG=B47)*(nNOTA=3))</f>
        <v>0</v>
      </c>
      <c r="O47">
        <f>SUMPRODUCT((nCUENTA=1)*(nASIG=B47)*(nNOTA=4))</f>
        <v>0</v>
      </c>
      <c r="P47">
        <f>SUMPRODUCT((nCUENTA=1)*(nASIG=B47)*(nNOTA=5))</f>
        <v>0</v>
      </c>
      <c r="Q47">
        <f>SUMPRODUCT((nCUENTA=1)*(nASIG=B47)*(nNOTA=6))</f>
        <v>0</v>
      </c>
      <c r="R47">
        <f>SUMPRODUCT((nCUENTA=1)*(nASIG=B47)*(nNOTA=7))</f>
        <v>0</v>
      </c>
      <c r="S47">
        <f>SUMPRODUCT((nCUENTA=1)*(nASIG=B47)*(nNOTA=8))</f>
        <v>0</v>
      </c>
      <c r="T47">
        <f>SUMPRODUCT((nCUENTA=1)*(nASIG=B47)*(nNOTA=9))</f>
        <v>0</v>
      </c>
      <c r="U47">
        <f>SUMPRODUCT((nCUENTA=1)*(nASIG=B47)*(nNOTA=10))</f>
        <v>0</v>
      </c>
    </row>
    <row r="48">
      <c r="A48" t="inlineStr">
        <is>
          <t xml:space="preserve">GLOBAL</t>
        </is>
      </c>
      <c r="B48" cm="1">
        <f t="array" ref="B48">IFERROR(INDEX(_xlfn._xlws.FILTER(CONFIG_ASIGNATURAS!$B$2:$B$91,CONFIG_ASIGNATURAS!$G$2:$G$91="Sí"),43),"")</f>
      </c>
      <c r="C48">
        <f>IF(B48="","",IFERROR(VLOOKUP(B48,CONFIG_ASIGNATURAS!$B$2:$D$91,3,FALSE()),"Asignatura"))</f>
      </c>
      <c r="D48">
        <f>SUMPRODUCT((nCUENTA=1)*(nASIG=B48))</f>
        <v>0</v>
      </c>
      <c r="E48" s="10" t="str">
        <f>IFERROR(SUMPRODUCT((nCUENTA=1)*(nASIG=B48)*(nNOTA))/D48,"—")</f>
        <v>—</v>
      </c>
      <c r="F48" s="10" t="str" cm="1">
        <f t="array" ref="F48">IFERROR(_xlfn.STDEV.P(_xlfn._xlws.FILTER(nNOTA,(nCUENTA=1)*(nASIG=B48))),"—")</f>
        <v>—</v>
      </c>
      <c r="G48" t="str" cm="1">
        <f t="array" ref="G48">IFERROR(_xlfn.MODE.SNGL(_xlfn._xlws.FILTER(nNOTA,(nCUENTA=1)*(nASIG=B48))),"—")</f>
        <v>—</v>
      </c>
      <c r="H48" s="11" t="str">
        <f>IFERROR(SUMPRODUCT((nCUENTA=1)*(nASIG=B48)*(nAPTO="S"))/D48,"—")</f>
        <v>—</v>
      </c>
      <c r="I48" s="11" t="str">
        <f>IFERROR(SUMPRODUCT((nCUENTA=1)*(nASIG=B48)*(nAPTO="N"))/D48,"—")</f>
        <v>—</v>
      </c>
      <c r="J48" t="str" cm="1">
        <f t="array" ref="J48">IFERROR(_xlfn.MODE.SNGL(_xlfn._xlws.FILTER(nNOTA,(nCUENTA=1)*(nASIG=B48)*(nAPTO="S"))),"—")</f>
        <v>—</v>
      </c>
      <c r="K48" t="str" cm="1">
        <f t="array" ref="K48">IFERROR(_xlfn.MODE.SNGL(_xlfn._xlws.FILTER(nNOTA,(nCUENTA=1)*(nASIG=B48)*(nAPTO="N"))),"—")</f>
        <v>—</v>
      </c>
      <c r="L48">
        <f>SUMPRODUCT((nCUENTA=1)*(nASIG=B48)*(nNOTA=1))</f>
        <v>0</v>
      </c>
      <c r="M48">
        <f>SUMPRODUCT((nCUENTA=1)*(nASIG=B48)*(nNOTA=2))</f>
        <v>0</v>
      </c>
      <c r="N48">
        <f>SUMPRODUCT((nCUENTA=1)*(nASIG=B48)*(nNOTA=3))</f>
        <v>0</v>
      </c>
      <c r="O48">
        <f>SUMPRODUCT((nCUENTA=1)*(nASIG=B48)*(nNOTA=4))</f>
        <v>0</v>
      </c>
      <c r="P48">
        <f>SUMPRODUCT((nCUENTA=1)*(nASIG=B48)*(nNOTA=5))</f>
        <v>0</v>
      </c>
      <c r="Q48">
        <f>SUMPRODUCT((nCUENTA=1)*(nASIG=B48)*(nNOTA=6))</f>
        <v>0</v>
      </c>
      <c r="R48">
        <f>SUMPRODUCT((nCUENTA=1)*(nASIG=B48)*(nNOTA=7))</f>
        <v>0</v>
      </c>
      <c r="S48">
        <f>SUMPRODUCT((nCUENTA=1)*(nASIG=B48)*(nNOTA=8))</f>
        <v>0</v>
      </c>
      <c r="T48">
        <f>SUMPRODUCT((nCUENTA=1)*(nASIG=B48)*(nNOTA=9))</f>
        <v>0</v>
      </c>
      <c r="U48">
        <f>SUMPRODUCT((nCUENTA=1)*(nASIG=B48)*(nNOTA=10))</f>
        <v>0</v>
      </c>
    </row>
    <row r="49">
      <c r="A49" t="inlineStr">
        <is>
          <t xml:space="preserve">GLOBAL</t>
        </is>
      </c>
      <c r="B49" cm="1">
        <f t="array" ref="B49">IFERROR(INDEX(_xlfn._xlws.FILTER(CONFIG_ASIGNATURAS!$B$2:$B$91,CONFIG_ASIGNATURAS!$G$2:$G$91="Sí"),44),"")</f>
      </c>
      <c r="C49">
        <f>IF(B49="","",IFERROR(VLOOKUP(B49,CONFIG_ASIGNATURAS!$B$2:$D$91,3,FALSE()),"Asignatura"))</f>
      </c>
      <c r="D49">
        <f>SUMPRODUCT((nCUENTA=1)*(nASIG=B49))</f>
        <v>0</v>
      </c>
      <c r="E49" s="10" t="str">
        <f>IFERROR(SUMPRODUCT((nCUENTA=1)*(nASIG=B49)*(nNOTA))/D49,"—")</f>
        <v>—</v>
      </c>
      <c r="F49" s="10" t="str" cm="1">
        <f t="array" ref="F49">IFERROR(_xlfn.STDEV.P(_xlfn._xlws.FILTER(nNOTA,(nCUENTA=1)*(nASIG=B49))),"—")</f>
        <v>—</v>
      </c>
      <c r="G49" t="str" cm="1">
        <f t="array" ref="G49">IFERROR(_xlfn.MODE.SNGL(_xlfn._xlws.FILTER(nNOTA,(nCUENTA=1)*(nASIG=B49))),"—")</f>
        <v>—</v>
      </c>
      <c r="H49" s="11" t="str">
        <f>IFERROR(SUMPRODUCT((nCUENTA=1)*(nASIG=B49)*(nAPTO="S"))/D49,"—")</f>
        <v>—</v>
      </c>
      <c r="I49" s="11" t="str">
        <f>IFERROR(SUMPRODUCT((nCUENTA=1)*(nASIG=B49)*(nAPTO="N"))/D49,"—")</f>
        <v>—</v>
      </c>
      <c r="J49" t="str" cm="1">
        <f t="array" ref="J49">IFERROR(_xlfn.MODE.SNGL(_xlfn._xlws.FILTER(nNOTA,(nCUENTA=1)*(nASIG=B49)*(nAPTO="S"))),"—")</f>
        <v>—</v>
      </c>
      <c r="K49" t="str" cm="1">
        <f t="array" ref="K49">IFERROR(_xlfn.MODE.SNGL(_xlfn._xlws.FILTER(nNOTA,(nCUENTA=1)*(nASIG=B49)*(nAPTO="N"))),"—")</f>
        <v>—</v>
      </c>
      <c r="L49">
        <f>SUMPRODUCT((nCUENTA=1)*(nASIG=B49)*(nNOTA=1))</f>
        <v>0</v>
      </c>
      <c r="M49">
        <f>SUMPRODUCT((nCUENTA=1)*(nASIG=B49)*(nNOTA=2))</f>
        <v>0</v>
      </c>
      <c r="N49">
        <f>SUMPRODUCT((nCUENTA=1)*(nASIG=B49)*(nNOTA=3))</f>
        <v>0</v>
      </c>
      <c r="O49">
        <f>SUMPRODUCT((nCUENTA=1)*(nASIG=B49)*(nNOTA=4))</f>
        <v>0</v>
      </c>
      <c r="P49">
        <f>SUMPRODUCT((nCUENTA=1)*(nASIG=B49)*(nNOTA=5))</f>
        <v>0</v>
      </c>
      <c r="Q49">
        <f>SUMPRODUCT((nCUENTA=1)*(nASIG=B49)*(nNOTA=6))</f>
        <v>0</v>
      </c>
      <c r="R49">
        <f>SUMPRODUCT((nCUENTA=1)*(nASIG=B49)*(nNOTA=7))</f>
        <v>0</v>
      </c>
      <c r="S49">
        <f>SUMPRODUCT((nCUENTA=1)*(nASIG=B49)*(nNOTA=8))</f>
        <v>0</v>
      </c>
      <c r="T49">
        <f>SUMPRODUCT((nCUENTA=1)*(nASIG=B49)*(nNOTA=9))</f>
        <v>0</v>
      </c>
      <c r="U49">
        <f>SUMPRODUCT((nCUENTA=1)*(nASIG=B49)*(nNOTA=10))</f>
        <v>0</v>
      </c>
    </row>
    <row r="50">
      <c r="A50" t="inlineStr">
        <is>
          <t xml:space="preserve">GLOBAL</t>
        </is>
      </c>
      <c r="B50" cm="1">
        <f t="array" ref="B50">IFERROR(INDEX(_xlfn._xlws.FILTER(CONFIG_ASIGNATURAS!$B$2:$B$91,CONFIG_ASIGNATURAS!$G$2:$G$91="Sí"),45),"")</f>
      </c>
      <c r="C50">
        <f>IF(B50="","",IFERROR(VLOOKUP(B50,CONFIG_ASIGNATURAS!$B$2:$D$91,3,FALSE()),"Asignatura"))</f>
      </c>
      <c r="D50">
        <f>SUMPRODUCT((nCUENTA=1)*(nASIG=B50))</f>
        <v>0</v>
      </c>
      <c r="E50" s="10" t="str">
        <f>IFERROR(SUMPRODUCT((nCUENTA=1)*(nASIG=B50)*(nNOTA))/D50,"—")</f>
        <v>—</v>
      </c>
      <c r="F50" s="10" t="str" cm="1">
        <f t="array" ref="F50">IFERROR(_xlfn.STDEV.P(_xlfn._xlws.FILTER(nNOTA,(nCUENTA=1)*(nASIG=B50))),"—")</f>
        <v>—</v>
      </c>
      <c r="G50" t="str" cm="1">
        <f t="array" ref="G50">IFERROR(_xlfn.MODE.SNGL(_xlfn._xlws.FILTER(nNOTA,(nCUENTA=1)*(nASIG=B50))),"—")</f>
        <v>—</v>
      </c>
      <c r="H50" s="11" t="str">
        <f>IFERROR(SUMPRODUCT((nCUENTA=1)*(nASIG=B50)*(nAPTO="S"))/D50,"—")</f>
        <v>—</v>
      </c>
      <c r="I50" s="11" t="str">
        <f>IFERROR(SUMPRODUCT((nCUENTA=1)*(nASIG=B50)*(nAPTO="N"))/D50,"—")</f>
        <v>—</v>
      </c>
      <c r="J50" t="str" cm="1">
        <f t="array" ref="J50">IFERROR(_xlfn.MODE.SNGL(_xlfn._xlws.FILTER(nNOTA,(nCUENTA=1)*(nASIG=B50)*(nAPTO="S"))),"—")</f>
        <v>—</v>
      </c>
      <c r="K50" t="str" cm="1">
        <f t="array" ref="K50">IFERROR(_xlfn.MODE.SNGL(_xlfn._xlws.FILTER(nNOTA,(nCUENTA=1)*(nASIG=B50)*(nAPTO="N"))),"—")</f>
        <v>—</v>
      </c>
      <c r="L50">
        <f>SUMPRODUCT((nCUENTA=1)*(nASIG=B50)*(nNOTA=1))</f>
        <v>0</v>
      </c>
      <c r="M50">
        <f>SUMPRODUCT((nCUENTA=1)*(nASIG=B50)*(nNOTA=2))</f>
        <v>0</v>
      </c>
      <c r="N50">
        <f>SUMPRODUCT((nCUENTA=1)*(nASIG=B50)*(nNOTA=3))</f>
        <v>0</v>
      </c>
      <c r="O50">
        <f>SUMPRODUCT((nCUENTA=1)*(nASIG=B50)*(nNOTA=4))</f>
        <v>0</v>
      </c>
      <c r="P50">
        <f>SUMPRODUCT((nCUENTA=1)*(nASIG=B50)*(nNOTA=5))</f>
        <v>0</v>
      </c>
      <c r="Q50">
        <f>SUMPRODUCT((nCUENTA=1)*(nASIG=B50)*(nNOTA=6))</f>
        <v>0</v>
      </c>
      <c r="R50">
        <f>SUMPRODUCT((nCUENTA=1)*(nASIG=B50)*(nNOTA=7))</f>
        <v>0</v>
      </c>
      <c r="S50">
        <f>SUMPRODUCT((nCUENTA=1)*(nASIG=B50)*(nNOTA=8))</f>
        <v>0</v>
      </c>
      <c r="T50">
        <f>SUMPRODUCT((nCUENTA=1)*(nASIG=B50)*(nNOTA=9))</f>
        <v>0</v>
      </c>
      <c r="U50">
        <f>SUMPRODUCT((nCUENTA=1)*(nASIG=B50)*(nNOTA=10))</f>
        <v>0</v>
      </c>
    </row>
    <row r="51">
      <c r="A51" t="inlineStr">
        <is>
          <t xml:space="preserve">GLOBAL</t>
        </is>
      </c>
      <c r="B51" cm="1">
        <f t="array" ref="B51">IFERROR(INDEX(_xlfn._xlws.FILTER(CONFIG_ASIGNATURAS!$B$2:$B$91,CONFIG_ASIGNATURAS!$G$2:$G$91="Sí"),46),"")</f>
      </c>
      <c r="C51">
        <f>IF(B51="","",IFERROR(VLOOKUP(B51,CONFIG_ASIGNATURAS!$B$2:$D$91,3,FALSE()),"Asignatura"))</f>
      </c>
      <c r="D51">
        <f>SUMPRODUCT((nCUENTA=1)*(nASIG=B51))</f>
        <v>0</v>
      </c>
      <c r="E51" s="10" t="str">
        <f>IFERROR(SUMPRODUCT((nCUENTA=1)*(nASIG=B51)*(nNOTA))/D51,"—")</f>
        <v>—</v>
      </c>
      <c r="F51" s="10" t="str" cm="1">
        <f t="array" ref="F51">IFERROR(_xlfn.STDEV.P(_xlfn._xlws.FILTER(nNOTA,(nCUENTA=1)*(nASIG=B51))),"—")</f>
        <v>—</v>
      </c>
      <c r="G51" t="str" cm="1">
        <f t="array" ref="G51">IFERROR(_xlfn.MODE.SNGL(_xlfn._xlws.FILTER(nNOTA,(nCUENTA=1)*(nASIG=B51))),"—")</f>
        <v>—</v>
      </c>
      <c r="H51" s="11" t="str">
        <f>IFERROR(SUMPRODUCT((nCUENTA=1)*(nASIG=B51)*(nAPTO="S"))/D51,"—")</f>
        <v>—</v>
      </c>
      <c r="I51" s="11" t="str">
        <f>IFERROR(SUMPRODUCT((nCUENTA=1)*(nASIG=B51)*(nAPTO="N"))/D51,"—")</f>
        <v>—</v>
      </c>
      <c r="J51" t="str" cm="1">
        <f t="array" ref="J51">IFERROR(_xlfn.MODE.SNGL(_xlfn._xlws.FILTER(nNOTA,(nCUENTA=1)*(nASIG=B51)*(nAPTO="S"))),"—")</f>
        <v>—</v>
      </c>
      <c r="K51" t="str" cm="1">
        <f t="array" ref="K51">IFERROR(_xlfn.MODE.SNGL(_xlfn._xlws.FILTER(nNOTA,(nCUENTA=1)*(nASIG=B51)*(nAPTO="N"))),"—")</f>
        <v>—</v>
      </c>
      <c r="L51">
        <f>SUMPRODUCT((nCUENTA=1)*(nASIG=B51)*(nNOTA=1))</f>
        <v>0</v>
      </c>
      <c r="M51">
        <f>SUMPRODUCT((nCUENTA=1)*(nASIG=B51)*(nNOTA=2))</f>
        <v>0</v>
      </c>
      <c r="N51">
        <f>SUMPRODUCT((nCUENTA=1)*(nASIG=B51)*(nNOTA=3))</f>
        <v>0</v>
      </c>
      <c r="O51">
        <f>SUMPRODUCT((nCUENTA=1)*(nASIG=B51)*(nNOTA=4))</f>
        <v>0</v>
      </c>
      <c r="P51">
        <f>SUMPRODUCT((nCUENTA=1)*(nASIG=B51)*(nNOTA=5))</f>
        <v>0</v>
      </c>
      <c r="Q51">
        <f>SUMPRODUCT((nCUENTA=1)*(nASIG=B51)*(nNOTA=6))</f>
        <v>0</v>
      </c>
      <c r="R51">
        <f>SUMPRODUCT((nCUENTA=1)*(nASIG=B51)*(nNOTA=7))</f>
        <v>0</v>
      </c>
      <c r="S51">
        <f>SUMPRODUCT((nCUENTA=1)*(nASIG=B51)*(nNOTA=8))</f>
        <v>0</v>
      </c>
      <c r="T51">
        <f>SUMPRODUCT((nCUENTA=1)*(nASIG=B51)*(nNOTA=9))</f>
        <v>0</v>
      </c>
      <c r="U51">
        <f>SUMPRODUCT((nCUENTA=1)*(nASIG=B51)*(nNOTA=10))</f>
        <v>0</v>
      </c>
    </row>
    <row r="52">
      <c r="A52" t="inlineStr">
        <is>
          <t xml:space="preserve">GLOBAL</t>
        </is>
      </c>
      <c r="B52" cm="1">
        <f t="array" ref="B52">IFERROR(INDEX(_xlfn._xlws.FILTER(CONFIG_ASIGNATURAS!$B$2:$B$91,CONFIG_ASIGNATURAS!$G$2:$G$91="Sí"),47),"")</f>
      </c>
      <c r="C52">
        <f>IF(B52="","",IFERROR(VLOOKUP(B52,CONFIG_ASIGNATURAS!$B$2:$D$91,3,FALSE()),"Asignatura"))</f>
      </c>
      <c r="D52">
        <f>SUMPRODUCT((nCUENTA=1)*(nASIG=B52))</f>
        <v>0</v>
      </c>
      <c r="E52" s="10" t="str">
        <f>IFERROR(SUMPRODUCT((nCUENTA=1)*(nASIG=B52)*(nNOTA))/D52,"—")</f>
        <v>—</v>
      </c>
      <c r="F52" s="10" t="str" cm="1">
        <f t="array" ref="F52">IFERROR(_xlfn.STDEV.P(_xlfn._xlws.FILTER(nNOTA,(nCUENTA=1)*(nASIG=B52))),"—")</f>
        <v>—</v>
      </c>
      <c r="G52" t="str" cm="1">
        <f t="array" ref="G52">IFERROR(_xlfn.MODE.SNGL(_xlfn._xlws.FILTER(nNOTA,(nCUENTA=1)*(nASIG=B52))),"—")</f>
        <v>—</v>
      </c>
      <c r="H52" s="11" t="str">
        <f>IFERROR(SUMPRODUCT((nCUENTA=1)*(nASIG=B52)*(nAPTO="S"))/D52,"—")</f>
        <v>—</v>
      </c>
      <c r="I52" s="11" t="str">
        <f>IFERROR(SUMPRODUCT((nCUENTA=1)*(nASIG=B52)*(nAPTO="N"))/D52,"—")</f>
        <v>—</v>
      </c>
      <c r="J52" t="str" cm="1">
        <f t="array" ref="J52">IFERROR(_xlfn.MODE.SNGL(_xlfn._xlws.FILTER(nNOTA,(nCUENTA=1)*(nASIG=B52)*(nAPTO="S"))),"—")</f>
        <v>—</v>
      </c>
      <c r="K52" t="str" cm="1">
        <f t="array" ref="K52">IFERROR(_xlfn.MODE.SNGL(_xlfn._xlws.FILTER(nNOTA,(nCUENTA=1)*(nASIG=B52)*(nAPTO="N"))),"—")</f>
        <v>—</v>
      </c>
      <c r="L52">
        <f>SUMPRODUCT((nCUENTA=1)*(nASIG=B52)*(nNOTA=1))</f>
        <v>0</v>
      </c>
      <c r="M52">
        <f>SUMPRODUCT((nCUENTA=1)*(nASIG=B52)*(nNOTA=2))</f>
        <v>0</v>
      </c>
      <c r="N52">
        <f>SUMPRODUCT((nCUENTA=1)*(nASIG=B52)*(nNOTA=3))</f>
        <v>0</v>
      </c>
      <c r="O52">
        <f>SUMPRODUCT((nCUENTA=1)*(nASIG=B52)*(nNOTA=4))</f>
        <v>0</v>
      </c>
      <c r="P52">
        <f>SUMPRODUCT((nCUENTA=1)*(nASIG=B52)*(nNOTA=5))</f>
        <v>0</v>
      </c>
      <c r="Q52">
        <f>SUMPRODUCT((nCUENTA=1)*(nASIG=B52)*(nNOTA=6))</f>
        <v>0</v>
      </c>
      <c r="R52">
        <f>SUMPRODUCT((nCUENTA=1)*(nASIG=B52)*(nNOTA=7))</f>
        <v>0</v>
      </c>
      <c r="S52">
        <f>SUMPRODUCT((nCUENTA=1)*(nASIG=B52)*(nNOTA=8))</f>
        <v>0</v>
      </c>
      <c r="T52">
        <f>SUMPRODUCT((nCUENTA=1)*(nASIG=B52)*(nNOTA=9))</f>
        <v>0</v>
      </c>
      <c r="U52">
        <f>SUMPRODUCT((nCUENTA=1)*(nASIG=B52)*(nNOTA=10))</f>
        <v>0</v>
      </c>
    </row>
    <row r="53">
      <c r="A53" t="inlineStr">
        <is>
          <t xml:space="preserve">GLOBAL</t>
        </is>
      </c>
      <c r="B53" cm="1">
        <f t="array" ref="B53">IFERROR(INDEX(_xlfn._xlws.FILTER(CONFIG_ASIGNATURAS!$B$2:$B$91,CONFIG_ASIGNATURAS!$G$2:$G$91="Sí"),48),"")</f>
      </c>
      <c r="C53">
        <f>IF(B53="","",IFERROR(VLOOKUP(B53,CONFIG_ASIGNATURAS!$B$2:$D$91,3,FALSE()),"Asignatura"))</f>
      </c>
      <c r="D53">
        <f>SUMPRODUCT((nCUENTA=1)*(nASIG=B53))</f>
        <v>0</v>
      </c>
      <c r="E53" s="10" t="str">
        <f>IFERROR(SUMPRODUCT((nCUENTA=1)*(nASIG=B53)*(nNOTA))/D53,"—")</f>
        <v>—</v>
      </c>
      <c r="F53" s="10" t="str" cm="1">
        <f t="array" ref="F53">IFERROR(_xlfn.STDEV.P(_xlfn._xlws.FILTER(nNOTA,(nCUENTA=1)*(nASIG=B53))),"—")</f>
        <v>—</v>
      </c>
      <c r="G53" t="str" cm="1">
        <f t="array" ref="G53">IFERROR(_xlfn.MODE.SNGL(_xlfn._xlws.FILTER(nNOTA,(nCUENTA=1)*(nASIG=B53))),"—")</f>
        <v>—</v>
      </c>
      <c r="H53" s="11" t="str">
        <f>IFERROR(SUMPRODUCT((nCUENTA=1)*(nASIG=B53)*(nAPTO="S"))/D53,"—")</f>
        <v>—</v>
      </c>
      <c r="I53" s="11" t="str">
        <f>IFERROR(SUMPRODUCT((nCUENTA=1)*(nASIG=B53)*(nAPTO="N"))/D53,"—")</f>
        <v>—</v>
      </c>
      <c r="J53" t="str" cm="1">
        <f t="array" ref="J53">IFERROR(_xlfn.MODE.SNGL(_xlfn._xlws.FILTER(nNOTA,(nCUENTA=1)*(nASIG=B53)*(nAPTO="S"))),"—")</f>
        <v>—</v>
      </c>
      <c r="K53" t="str" cm="1">
        <f t="array" ref="K53">IFERROR(_xlfn.MODE.SNGL(_xlfn._xlws.FILTER(nNOTA,(nCUENTA=1)*(nASIG=B53)*(nAPTO="N"))),"—")</f>
        <v>—</v>
      </c>
      <c r="L53">
        <f>SUMPRODUCT((nCUENTA=1)*(nASIG=B53)*(nNOTA=1))</f>
        <v>0</v>
      </c>
      <c r="M53">
        <f>SUMPRODUCT((nCUENTA=1)*(nASIG=B53)*(nNOTA=2))</f>
        <v>0</v>
      </c>
      <c r="N53">
        <f>SUMPRODUCT((nCUENTA=1)*(nASIG=B53)*(nNOTA=3))</f>
        <v>0</v>
      </c>
      <c r="O53">
        <f>SUMPRODUCT((nCUENTA=1)*(nASIG=B53)*(nNOTA=4))</f>
        <v>0</v>
      </c>
      <c r="P53">
        <f>SUMPRODUCT((nCUENTA=1)*(nASIG=B53)*(nNOTA=5))</f>
        <v>0</v>
      </c>
      <c r="Q53">
        <f>SUMPRODUCT((nCUENTA=1)*(nASIG=B53)*(nNOTA=6))</f>
        <v>0</v>
      </c>
      <c r="R53">
        <f>SUMPRODUCT((nCUENTA=1)*(nASIG=B53)*(nNOTA=7))</f>
        <v>0</v>
      </c>
      <c r="S53">
        <f>SUMPRODUCT((nCUENTA=1)*(nASIG=B53)*(nNOTA=8))</f>
        <v>0</v>
      </c>
      <c r="T53">
        <f>SUMPRODUCT((nCUENTA=1)*(nASIG=B53)*(nNOTA=9))</f>
        <v>0</v>
      </c>
      <c r="U53">
        <f>SUMPRODUCT((nCUENTA=1)*(nASIG=B53)*(nNOTA=10))</f>
        <v>0</v>
      </c>
    </row>
    <row r="54">
      <c r="A54" t="inlineStr">
        <is>
          <t xml:space="preserve">GLOBAL</t>
        </is>
      </c>
      <c r="B54" cm="1">
        <f t="array" ref="B54">IFERROR(INDEX(_xlfn._xlws.FILTER(CONFIG_ASIGNATURAS!$B$2:$B$91,CONFIG_ASIGNATURAS!$G$2:$G$91="Sí"),49),"")</f>
      </c>
      <c r="C54">
        <f>IF(B54="","",IFERROR(VLOOKUP(B54,CONFIG_ASIGNATURAS!$B$2:$D$91,3,FALSE()),"Asignatura"))</f>
      </c>
      <c r="D54">
        <f>SUMPRODUCT((nCUENTA=1)*(nASIG=B54))</f>
        <v>0</v>
      </c>
      <c r="E54" s="10" t="str">
        <f>IFERROR(SUMPRODUCT((nCUENTA=1)*(nASIG=B54)*(nNOTA))/D54,"—")</f>
        <v>—</v>
      </c>
      <c r="F54" s="10" t="str" cm="1">
        <f t="array" ref="F54">IFERROR(_xlfn.STDEV.P(_xlfn._xlws.FILTER(nNOTA,(nCUENTA=1)*(nASIG=B54))),"—")</f>
        <v>—</v>
      </c>
      <c r="G54" t="str" cm="1">
        <f t="array" ref="G54">IFERROR(_xlfn.MODE.SNGL(_xlfn._xlws.FILTER(nNOTA,(nCUENTA=1)*(nASIG=B54))),"—")</f>
        <v>—</v>
      </c>
      <c r="H54" s="11" t="str">
        <f>IFERROR(SUMPRODUCT((nCUENTA=1)*(nASIG=B54)*(nAPTO="S"))/D54,"—")</f>
        <v>—</v>
      </c>
      <c r="I54" s="11" t="str">
        <f>IFERROR(SUMPRODUCT((nCUENTA=1)*(nASIG=B54)*(nAPTO="N"))/D54,"—")</f>
        <v>—</v>
      </c>
      <c r="J54" t="str" cm="1">
        <f t="array" ref="J54">IFERROR(_xlfn.MODE.SNGL(_xlfn._xlws.FILTER(nNOTA,(nCUENTA=1)*(nASIG=B54)*(nAPTO="S"))),"—")</f>
        <v>—</v>
      </c>
      <c r="K54" t="str" cm="1">
        <f t="array" ref="K54">IFERROR(_xlfn.MODE.SNGL(_xlfn._xlws.FILTER(nNOTA,(nCUENTA=1)*(nASIG=B54)*(nAPTO="N"))),"—")</f>
        <v>—</v>
      </c>
      <c r="L54">
        <f>SUMPRODUCT((nCUENTA=1)*(nASIG=B54)*(nNOTA=1))</f>
        <v>0</v>
      </c>
      <c r="M54">
        <f>SUMPRODUCT((nCUENTA=1)*(nASIG=B54)*(nNOTA=2))</f>
        <v>0</v>
      </c>
      <c r="N54">
        <f>SUMPRODUCT((nCUENTA=1)*(nASIG=B54)*(nNOTA=3))</f>
        <v>0</v>
      </c>
      <c r="O54">
        <f>SUMPRODUCT((nCUENTA=1)*(nASIG=B54)*(nNOTA=4))</f>
        <v>0</v>
      </c>
      <c r="P54">
        <f>SUMPRODUCT((nCUENTA=1)*(nASIG=B54)*(nNOTA=5))</f>
        <v>0</v>
      </c>
      <c r="Q54">
        <f>SUMPRODUCT((nCUENTA=1)*(nASIG=B54)*(nNOTA=6))</f>
        <v>0</v>
      </c>
      <c r="R54">
        <f>SUMPRODUCT((nCUENTA=1)*(nASIG=B54)*(nNOTA=7))</f>
        <v>0</v>
      </c>
      <c r="S54">
        <f>SUMPRODUCT((nCUENTA=1)*(nASIG=B54)*(nNOTA=8))</f>
        <v>0</v>
      </c>
      <c r="T54">
        <f>SUMPRODUCT((nCUENTA=1)*(nASIG=B54)*(nNOTA=9))</f>
        <v>0</v>
      </c>
      <c r="U54">
        <f>SUMPRODUCT((nCUENTA=1)*(nASIG=B54)*(nNOTA=10))</f>
        <v>0</v>
      </c>
    </row>
    <row r="55">
      <c r="A55" t="inlineStr">
        <is>
          <t xml:space="preserve">GLOBAL</t>
        </is>
      </c>
      <c r="B55" cm="1">
        <f t="array" ref="B55">IFERROR(INDEX(_xlfn._xlws.FILTER(CONFIG_ASIGNATURAS!$B$2:$B$91,CONFIG_ASIGNATURAS!$G$2:$G$91="Sí"),50),"")</f>
      </c>
      <c r="C55">
        <f>IF(B55="","",IFERROR(VLOOKUP(B55,CONFIG_ASIGNATURAS!$B$2:$D$91,3,FALSE()),"Asignatura"))</f>
      </c>
      <c r="D55">
        <f>SUMPRODUCT((nCUENTA=1)*(nASIG=B55))</f>
        <v>0</v>
      </c>
      <c r="E55" s="10" t="str">
        <f>IFERROR(SUMPRODUCT((nCUENTA=1)*(nASIG=B55)*(nNOTA))/D55,"—")</f>
        <v>—</v>
      </c>
      <c r="F55" s="10" t="str" cm="1">
        <f t="array" ref="F55">IFERROR(_xlfn.STDEV.P(_xlfn._xlws.FILTER(nNOTA,(nCUENTA=1)*(nASIG=B55))),"—")</f>
        <v>—</v>
      </c>
      <c r="G55" t="str" cm="1">
        <f t="array" ref="G55">IFERROR(_xlfn.MODE.SNGL(_xlfn._xlws.FILTER(nNOTA,(nCUENTA=1)*(nASIG=B55))),"—")</f>
        <v>—</v>
      </c>
      <c r="H55" s="11" t="str">
        <f>IFERROR(SUMPRODUCT((nCUENTA=1)*(nASIG=B55)*(nAPTO="S"))/D55,"—")</f>
        <v>—</v>
      </c>
      <c r="I55" s="11" t="str">
        <f>IFERROR(SUMPRODUCT((nCUENTA=1)*(nASIG=B55)*(nAPTO="N"))/D55,"—")</f>
        <v>—</v>
      </c>
      <c r="J55" t="str" cm="1">
        <f t="array" ref="J55">IFERROR(_xlfn.MODE.SNGL(_xlfn._xlws.FILTER(nNOTA,(nCUENTA=1)*(nASIG=B55)*(nAPTO="S"))),"—")</f>
        <v>—</v>
      </c>
      <c r="K55" t="str" cm="1">
        <f t="array" ref="K55">IFERROR(_xlfn.MODE.SNGL(_xlfn._xlws.FILTER(nNOTA,(nCUENTA=1)*(nASIG=B55)*(nAPTO="N"))),"—")</f>
        <v>—</v>
      </c>
      <c r="L55">
        <f>SUMPRODUCT((nCUENTA=1)*(nASIG=B55)*(nNOTA=1))</f>
        <v>0</v>
      </c>
      <c r="M55">
        <f>SUMPRODUCT((nCUENTA=1)*(nASIG=B55)*(nNOTA=2))</f>
        <v>0</v>
      </c>
      <c r="N55">
        <f>SUMPRODUCT((nCUENTA=1)*(nASIG=B55)*(nNOTA=3))</f>
        <v>0</v>
      </c>
      <c r="O55">
        <f>SUMPRODUCT((nCUENTA=1)*(nASIG=B55)*(nNOTA=4))</f>
        <v>0</v>
      </c>
      <c r="P55">
        <f>SUMPRODUCT((nCUENTA=1)*(nASIG=B55)*(nNOTA=5))</f>
        <v>0</v>
      </c>
      <c r="Q55">
        <f>SUMPRODUCT((nCUENTA=1)*(nASIG=B55)*(nNOTA=6))</f>
        <v>0</v>
      </c>
      <c r="R55">
        <f>SUMPRODUCT((nCUENTA=1)*(nASIG=B55)*(nNOTA=7))</f>
        <v>0</v>
      </c>
      <c r="S55">
        <f>SUMPRODUCT((nCUENTA=1)*(nASIG=B55)*(nNOTA=8))</f>
        <v>0</v>
      </c>
      <c r="T55">
        <f>SUMPRODUCT((nCUENTA=1)*(nASIG=B55)*(nNOTA=9))</f>
        <v>0</v>
      </c>
      <c r="U55">
        <f>SUMPRODUCT((nCUENTA=1)*(nASIG=B55)*(nNOTA=10))</f>
        <v>0</v>
      </c>
    </row>
    <row r="56">
      <c r="A56" t="inlineStr">
        <is>
          <t xml:space="preserve">GLOBAL</t>
        </is>
      </c>
      <c r="B56" cm="1">
        <f t="array" ref="B56">IFERROR(INDEX(_xlfn._xlws.FILTER(CONFIG_ASIGNATURAS!$B$2:$B$91,CONFIG_ASIGNATURAS!$G$2:$G$91="Sí"),51),"")</f>
      </c>
      <c r="C56">
        <f>IF(B56="","",IFERROR(VLOOKUP(B56,CONFIG_ASIGNATURAS!$B$2:$D$91,3,FALSE()),"Asignatura"))</f>
      </c>
      <c r="D56">
        <f>SUMPRODUCT((nCUENTA=1)*(nASIG=B56))</f>
        <v>0</v>
      </c>
      <c r="E56" s="10" t="str">
        <f>IFERROR(SUMPRODUCT((nCUENTA=1)*(nASIG=B56)*(nNOTA))/D56,"—")</f>
        <v>—</v>
      </c>
      <c r="F56" s="10" t="str" cm="1">
        <f t="array" ref="F56">IFERROR(_xlfn.STDEV.P(_xlfn._xlws.FILTER(nNOTA,(nCUENTA=1)*(nASIG=B56))),"—")</f>
        <v>—</v>
      </c>
      <c r="G56" t="str" cm="1">
        <f t="array" ref="G56">IFERROR(_xlfn.MODE.SNGL(_xlfn._xlws.FILTER(nNOTA,(nCUENTA=1)*(nASIG=B56))),"—")</f>
        <v>—</v>
      </c>
      <c r="H56" s="11" t="str">
        <f>IFERROR(SUMPRODUCT((nCUENTA=1)*(nASIG=B56)*(nAPTO="S"))/D56,"—")</f>
        <v>—</v>
      </c>
      <c r="I56" s="11" t="str">
        <f>IFERROR(SUMPRODUCT((nCUENTA=1)*(nASIG=B56)*(nAPTO="N"))/D56,"—")</f>
        <v>—</v>
      </c>
      <c r="J56" t="str" cm="1">
        <f t="array" ref="J56">IFERROR(_xlfn.MODE.SNGL(_xlfn._xlws.FILTER(nNOTA,(nCUENTA=1)*(nASIG=B56)*(nAPTO="S"))),"—")</f>
        <v>—</v>
      </c>
      <c r="K56" t="str" cm="1">
        <f t="array" ref="K56">IFERROR(_xlfn.MODE.SNGL(_xlfn._xlws.FILTER(nNOTA,(nCUENTA=1)*(nASIG=B56)*(nAPTO="N"))),"—")</f>
        <v>—</v>
      </c>
      <c r="L56">
        <f>SUMPRODUCT((nCUENTA=1)*(nASIG=B56)*(nNOTA=1))</f>
        <v>0</v>
      </c>
      <c r="M56">
        <f>SUMPRODUCT((nCUENTA=1)*(nASIG=B56)*(nNOTA=2))</f>
        <v>0</v>
      </c>
      <c r="N56">
        <f>SUMPRODUCT((nCUENTA=1)*(nASIG=B56)*(nNOTA=3))</f>
        <v>0</v>
      </c>
      <c r="O56">
        <f>SUMPRODUCT((nCUENTA=1)*(nASIG=B56)*(nNOTA=4))</f>
        <v>0</v>
      </c>
      <c r="P56">
        <f>SUMPRODUCT((nCUENTA=1)*(nASIG=B56)*(nNOTA=5))</f>
        <v>0</v>
      </c>
      <c r="Q56">
        <f>SUMPRODUCT((nCUENTA=1)*(nASIG=B56)*(nNOTA=6))</f>
        <v>0</v>
      </c>
      <c r="R56">
        <f>SUMPRODUCT((nCUENTA=1)*(nASIG=B56)*(nNOTA=7))</f>
        <v>0</v>
      </c>
      <c r="S56">
        <f>SUMPRODUCT((nCUENTA=1)*(nASIG=B56)*(nNOTA=8))</f>
        <v>0</v>
      </c>
      <c r="T56">
        <f>SUMPRODUCT((nCUENTA=1)*(nASIG=B56)*(nNOTA=9))</f>
        <v>0</v>
      </c>
      <c r="U56">
        <f>SUMPRODUCT((nCUENTA=1)*(nASIG=B56)*(nNOTA=10))</f>
        <v>0</v>
      </c>
    </row>
    <row r="57">
      <c r="A57" t="inlineStr">
        <is>
          <t xml:space="preserve">GLOBAL</t>
        </is>
      </c>
      <c r="B57" cm="1">
        <f t="array" ref="B57">IFERROR(INDEX(_xlfn._xlws.FILTER(CONFIG_ASIGNATURAS!$B$2:$B$91,CONFIG_ASIGNATURAS!$G$2:$G$91="Sí"),52),"")</f>
      </c>
      <c r="C57">
        <f>IF(B57="","",IFERROR(VLOOKUP(B57,CONFIG_ASIGNATURAS!$B$2:$D$91,3,FALSE()),"Asignatura"))</f>
      </c>
      <c r="D57">
        <f>SUMPRODUCT((nCUENTA=1)*(nASIG=B57))</f>
        <v>0</v>
      </c>
      <c r="E57" s="10" t="str">
        <f>IFERROR(SUMPRODUCT((nCUENTA=1)*(nASIG=B57)*(nNOTA))/D57,"—")</f>
        <v>—</v>
      </c>
      <c r="F57" s="10" t="str" cm="1">
        <f t="array" ref="F57">IFERROR(_xlfn.STDEV.P(_xlfn._xlws.FILTER(nNOTA,(nCUENTA=1)*(nASIG=B57))),"—")</f>
        <v>—</v>
      </c>
      <c r="G57" t="str" cm="1">
        <f t="array" ref="G57">IFERROR(_xlfn.MODE.SNGL(_xlfn._xlws.FILTER(nNOTA,(nCUENTA=1)*(nASIG=B57))),"—")</f>
        <v>—</v>
      </c>
      <c r="H57" s="11" t="str">
        <f>IFERROR(SUMPRODUCT((nCUENTA=1)*(nASIG=B57)*(nAPTO="S"))/D57,"—")</f>
        <v>—</v>
      </c>
      <c r="I57" s="11" t="str">
        <f>IFERROR(SUMPRODUCT((nCUENTA=1)*(nASIG=B57)*(nAPTO="N"))/D57,"—")</f>
        <v>—</v>
      </c>
      <c r="J57" t="str" cm="1">
        <f t="array" ref="J57">IFERROR(_xlfn.MODE.SNGL(_xlfn._xlws.FILTER(nNOTA,(nCUENTA=1)*(nASIG=B57)*(nAPTO="S"))),"—")</f>
        <v>—</v>
      </c>
      <c r="K57" t="str" cm="1">
        <f t="array" ref="K57">IFERROR(_xlfn.MODE.SNGL(_xlfn._xlws.FILTER(nNOTA,(nCUENTA=1)*(nASIG=B57)*(nAPTO="N"))),"—")</f>
        <v>—</v>
      </c>
      <c r="L57">
        <f>SUMPRODUCT((nCUENTA=1)*(nASIG=B57)*(nNOTA=1))</f>
        <v>0</v>
      </c>
      <c r="M57">
        <f>SUMPRODUCT((nCUENTA=1)*(nASIG=B57)*(nNOTA=2))</f>
        <v>0</v>
      </c>
      <c r="N57">
        <f>SUMPRODUCT((nCUENTA=1)*(nASIG=B57)*(nNOTA=3))</f>
        <v>0</v>
      </c>
      <c r="O57">
        <f>SUMPRODUCT((nCUENTA=1)*(nASIG=B57)*(nNOTA=4))</f>
        <v>0</v>
      </c>
      <c r="P57">
        <f>SUMPRODUCT((nCUENTA=1)*(nASIG=B57)*(nNOTA=5))</f>
        <v>0</v>
      </c>
      <c r="Q57">
        <f>SUMPRODUCT((nCUENTA=1)*(nASIG=B57)*(nNOTA=6))</f>
        <v>0</v>
      </c>
      <c r="R57">
        <f>SUMPRODUCT((nCUENTA=1)*(nASIG=B57)*(nNOTA=7))</f>
        <v>0</v>
      </c>
      <c r="S57">
        <f>SUMPRODUCT((nCUENTA=1)*(nASIG=B57)*(nNOTA=8))</f>
        <v>0</v>
      </c>
      <c r="T57">
        <f>SUMPRODUCT((nCUENTA=1)*(nASIG=B57)*(nNOTA=9))</f>
        <v>0</v>
      </c>
      <c r="U57">
        <f>SUMPRODUCT((nCUENTA=1)*(nASIG=B57)*(nNOTA=10))</f>
        <v>0</v>
      </c>
    </row>
    <row r="58">
      <c r="A58" t="inlineStr">
        <is>
          <t xml:space="preserve">GLOBAL</t>
        </is>
      </c>
      <c r="B58" cm="1">
        <f t="array" ref="B58">IFERROR(INDEX(_xlfn._xlws.FILTER(CONFIG_ASIGNATURAS!$B$2:$B$91,CONFIG_ASIGNATURAS!$G$2:$G$91="Sí"),53),"")</f>
      </c>
      <c r="C58">
        <f>IF(B58="","",IFERROR(VLOOKUP(B58,CONFIG_ASIGNATURAS!$B$2:$D$91,3,FALSE()),"Asignatura"))</f>
      </c>
      <c r="D58">
        <f>SUMPRODUCT((nCUENTA=1)*(nASIG=B58))</f>
        <v>0</v>
      </c>
      <c r="E58" s="10" t="str">
        <f>IFERROR(SUMPRODUCT((nCUENTA=1)*(nASIG=B58)*(nNOTA))/D58,"—")</f>
        <v>—</v>
      </c>
      <c r="F58" s="10" t="str" cm="1">
        <f t="array" ref="F58">IFERROR(_xlfn.STDEV.P(_xlfn._xlws.FILTER(nNOTA,(nCUENTA=1)*(nASIG=B58))),"—")</f>
        <v>—</v>
      </c>
      <c r="G58" t="str" cm="1">
        <f t="array" ref="G58">IFERROR(_xlfn.MODE.SNGL(_xlfn._xlws.FILTER(nNOTA,(nCUENTA=1)*(nASIG=B58))),"—")</f>
        <v>—</v>
      </c>
      <c r="H58" s="11" t="str">
        <f>IFERROR(SUMPRODUCT((nCUENTA=1)*(nASIG=B58)*(nAPTO="S"))/D58,"—")</f>
        <v>—</v>
      </c>
      <c r="I58" s="11" t="str">
        <f>IFERROR(SUMPRODUCT((nCUENTA=1)*(nASIG=B58)*(nAPTO="N"))/D58,"—")</f>
        <v>—</v>
      </c>
      <c r="J58" t="str" cm="1">
        <f t="array" ref="J58">IFERROR(_xlfn.MODE.SNGL(_xlfn._xlws.FILTER(nNOTA,(nCUENTA=1)*(nASIG=B58)*(nAPTO="S"))),"—")</f>
        <v>—</v>
      </c>
      <c r="K58" t="str" cm="1">
        <f t="array" ref="K58">IFERROR(_xlfn.MODE.SNGL(_xlfn._xlws.FILTER(nNOTA,(nCUENTA=1)*(nASIG=B58)*(nAPTO="N"))),"—")</f>
        <v>—</v>
      </c>
      <c r="L58">
        <f>SUMPRODUCT((nCUENTA=1)*(nASIG=B58)*(nNOTA=1))</f>
        <v>0</v>
      </c>
      <c r="M58">
        <f>SUMPRODUCT((nCUENTA=1)*(nASIG=B58)*(nNOTA=2))</f>
        <v>0</v>
      </c>
      <c r="N58">
        <f>SUMPRODUCT((nCUENTA=1)*(nASIG=B58)*(nNOTA=3))</f>
        <v>0</v>
      </c>
      <c r="O58">
        <f>SUMPRODUCT((nCUENTA=1)*(nASIG=B58)*(nNOTA=4))</f>
        <v>0</v>
      </c>
      <c r="P58">
        <f>SUMPRODUCT((nCUENTA=1)*(nASIG=B58)*(nNOTA=5))</f>
        <v>0</v>
      </c>
      <c r="Q58">
        <f>SUMPRODUCT((nCUENTA=1)*(nASIG=B58)*(nNOTA=6))</f>
        <v>0</v>
      </c>
      <c r="R58">
        <f>SUMPRODUCT((nCUENTA=1)*(nASIG=B58)*(nNOTA=7))</f>
        <v>0</v>
      </c>
      <c r="S58">
        <f>SUMPRODUCT((nCUENTA=1)*(nASIG=B58)*(nNOTA=8))</f>
        <v>0</v>
      </c>
      <c r="T58">
        <f>SUMPRODUCT((nCUENTA=1)*(nASIG=B58)*(nNOTA=9))</f>
        <v>0</v>
      </c>
      <c r="U58">
        <f>SUMPRODUCT((nCUENTA=1)*(nASIG=B58)*(nNOTA=10))</f>
        <v>0</v>
      </c>
    </row>
    <row r="59">
      <c r="A59" t="inlineStr">
        <is>
          <t xml:space="preserve">GLOBAL</t>
        </is>
      </c>
      <c r="B59" cm="1">
        <f t="array" ref="B59">IFERROR(INDEX(_xlfn._xlws.FILTER(CONFIG_ASIGNATURAS!$B$2:$B$91,CONFIG_ASIGNATURAS!$G$2:$G$91="Sí"),54),"")</f>
      </c>
      <c r="C59">
        <f>IF(B59="","",IFERROR(VLOOKUP(B59,CONFIG_ASIGNATURAS!$B$2:$D$91,3,FALSE()),"Asignatura"))</f>
      </c>
      <c r="D59">
        <f>SUMPRODUCT((nCUENTA=1)*(nASIG=B59))</f>
        <v>0</v>
      </c>
      <c r="E59" s="10" t="str">
        <f>IFERROR(SUMPRODUCT((nCUENTA=1)*(nASIG=B59)*(nNOTA))/D59,"—")</f>
        <v>—</v>
      </c>
      <c r="F59" s="10" t="str" cm="1">
        <f t="array" ref="F59">IFERROR(_xlfn.STDEV.P(_xlfn._xlws.FILTER(nNOTA,(nCUENTA=1)*(nASIG=B59))),"—")</f>
        <v>—</v>
      </c>
      <c r="G59" t="str" cm="1">
        <f t="array" ref="G59">IFERROR(_xlfn.MODE.SNGL(_xlfn._xlws.FILTER(nNOTA,(nCUENTA=1)*(nASIG=B59))),"—")</f>
        <v>—</v>
      </c>
      <c r="H59" s="11" t="str">
        <f>IFERROR(SUMPRODUCT((nCUENTA=1)*(nASIG=B59)*(nAPTO="S"))/D59,"—")</f>
        <v>—</v>
      </c>
      <c r="I59" s="11" t="str">
        <f>IFERROR(SUMPRODUCT((nCUENTA=1)*(nASIG=B59)*(nAPTO="N"))/D59,"—")</f>
        <v>—</v>
      </c>
      <c r="J59" t="str" cm="1">
        <f t="array" ref="J59">IFERROR(_xlfn.MODE.SNGL(_xlfn._xlws.FILTER(nNOTA,(nCUENTA=1)*(nASIG=B59)*(nAPTO="S"))),"—")</f>
        <v>—</v>
      </c>
      <c r="K59" t="str" cm="1">
        <f t="array" ref="K59">IFERROR(_xlfn.MODE.SNGL(_xlfn._xlws.FILTER(nNOTA,(nCUENTA=1)*(nASIG=B59)*(nAPTO="N"))),"—")</f>
        <v>—</v>
      </c>
      <c r="L59">
        <f>SUMPRODUCT((nCUENTA=1)*(nASIG=B59)*(nNOTA=1))</f>
        <v>0</v>
      </c>
      <c r="M59">
        <f>SUMPRODUCT((nCUENTA=1)*(nASIG=B59)*(nNOTA=2))</f>
        <v>0</v>
      </c>
      <c r="N59">
        <f>SUMPRODUCT((nCUENTA=1)*(nASIG=B59)*(nNOTA=3))</f>
        <v>0</v>
      </c>
      <c r="O59">
        <f>SUMPRODUCT((nCUENTA=1)*(nASIG=B59)*(nNOTA=4))</f>
        <v>0</v>
      </c>
      <c r="P59">
        <f>SUMPRODUCT((nCUENTA=1)*(nASIG=B59)*(nNOTA=5))</f>
        <v>0</v>
      </c>
      <c r="Q59">
        <f>SUMPRODUCT((nCUENTA=1)*(nASIG=B59)*(nNOTA=6))</f>
        <v>0</v>
      </c>
      <c r="R59">
        <f>SUMPRODUCT((nCUENTA=1)*(nASIG=B59)*(nNOTA=7))</f>
        <v>0</v>
      </c>
      <c r="S59">
        <f>SUMPRODUCT((nCUENTA=1)*(nASIG=B59)*(nNOTA=8))</f>
        <v>0</v>
      </c>
      <c r="T59">
        <f>SUMPRODUCT((nCUENTA=1)*(nASIG=B59)*(nNOTA=9))</f>
        <v>0</v>
      </c>
      <c r="U59">
        <f>SUMPRODUCT((nCUENTA=1)*(nASIG=B59)*(nNOTA=10))</f>
        <v>0</v>
      </c>
    </row>
    <row r="60">
      <c r="A60" t="inlineStr">
        <is>
          <t xml:space="preserve">GLOBAL</t>
        </is>
      </c>
      <c r="B60" cm="1">
        <f t="array" ref="B60">IFERROR(INDEX(_xlfn._xlws.FILTER(CONFIG_ASIGNATURAS!$B$2:$B$91,CONFIG_ASIGNATURAS!$G$2:$G$91="Sí"),55),"")</f>
      </c>
      <c r="C60">
        <f>IF(B60="","",IFERROR(VLOOKUP(B60,CONFIG_ASIGNATURAS!$B$2:$D$91,3,FALSE()),"Asignatura"))</f>
      </c>
      <c r="D60">
        <f>SUMPRODUCT((nCUENTA=1)*(nASIG=B60))</f>
        <v>0</v>
      </c>
      <c r="E60" s="10" t="str">
        <f>IFERROR(SUMPRODUCT((nCUENTA=1)*(nASIG=B60)*(nNOTA))/D60,"—")</f>
        <v>—</v>
      </c>
      <c r="F60" s="10" t="str" cm="1">
        <f t="array" ref="F60">IFERROR(_xlfn.STDEV.P(_xlfn._xlws.FILTER(nNOTA,(nCUENTA=1)*(nASIG=B60))),"—")</f>
        <v>—</v>
      </c>
      <c r="G60" t="str" cm="1">
        <f t="array" ref="G60">IFERROR(_xlfn.MODE.SNGL(_xlfn._xlws.FILTER(nNOTA,(nCUENTA=1)*(nASIG=B60))),"—")</f>
        <v>—</v>
      </c>
      <c r="H60" s="11" t="str">
        <f>IFERROR(SUMPRODUCT((nCUENTA=1)*(nASIG=B60)*(nAPTO="S"))/D60,"—")</f>
        <v>—</v>
      </c>
      <c r="I60" s="11" t="str">
        <f>IFERROR(SUMPRODUCT((nCUENTA=1)*(nASIG=B60)*(nAPTO="N"))/D60,"—")</f>
        <v>—</v>
      </c>
      <c r="J60" t="str" cm="1">
        <f t="array" ref="J60">IFERROR(_xlfn.MODE.SNGL(_xlfn._xlws.FILTER(nNOTA,(nCUENTA=1)*(nASIG=B60)*(nAPTO="S"))),"—")</f>
        <v>—</v>
      </c>
      <c r="K60" t="str" cm="1">
        <f t="array" ref="K60">IFERROR(_xlfn.MODE.SNGL(_xlfn._xlws.FILTER(nNOTA,(nCUENTA=1)*(nASIG=B60)*(nAPTO="N"))),"—")</f>
        <v>—</v>
      </c>
      <c r="L60">
        <f>SUMPRODUCT((nCUENTA=1)*(nASIG=B60)*(nNOTA=1))</f>
        <v>0</v>
      </c>
      <c r="M60">
        <f>SUMPRODUCT((nCUENTA=1)*(nASIG=B60)*(nNOTA=2))</f>
        <v>0</v>
      </c>
      <c r="N60">
        <f>SUMPRODUCT((nCUENTA=1)*(nASIG=B60)*(nNOTA=3))</f>
        <v>0</v>
      </c>
      <c r="O60">
        <f>SUMPRODUCT((nCUENTA=1)*(nASIG=B60)*(nNOTA=4))</f>
        <v>0</v>
      </c>
      <c r="P60">
        <f>SUMPRODUCT((nCUENTA=1)*(nASIG=B60)*(nNOTA=5))</f>
        <v>0</v>
      </c>
      <c r="Q60">
        <f>SUMPRODUCT((nCUENTA=1)*(nASIG=B60)*(nNOTA=6))</f>
        <v>0</v>
      </c>
      <c r="R60">
        <f>SUMPRODUCT((nCUENTA=1)*(nASIG=B60)*(nNOTA=7))</f>
        <v>0</v>
      </c>
      <c r="S60">
        <f>SUMPRODUCT((nCUENTA=1)*(nASIG=B60)*(nNOTA=8))</f>
        <v>0</v>
      </c>
      <c r="T60">
        <f>SUMPRODUCT((nCUENTA=1)*(nASIG=B60)*(nNOTA=9))</f>
        <v>0</v>
      </c>
      <c r="U60">
        <f>SUMPRODUCT((nCUENTA=1)*(nASIG=B60)*(nNOTA=10))</f>
        <v>0</v>
      </c>
    </row>
    <row r="61">
      <c r="A61" t="inlineStr">
        <is>
          <t xml:space="preserve">GLOBAL</t>
        </is>
      </c>
      <c r="B61" cm="1">
        <f t="array" ref="B61">IFERROR(INDEX(_xlfn._xlws.FILTER(CONFIG_ASIGNATURAS!$B$2:$B$91,CONFIG_ASIGNATURAS!$G$2:$G$91="Sí"),56),"")</f>
      </c>
      <c r="C61">
        <f>IF(B61="","",IFERROR(VLOOKUP(B61,CONFIG_ASIGNATURAS!$B$2:$D$91,3,FALSE()),"Asignatura"))</f>
      </c>
      <c r="D61">
        <f>SUMPRODUCT((nCUENTA=1)*(nASIG=B61))</f>
        <v>0</v>
      </c>
      <c r="E61" s="10" t="str">
        <f>IFERROR(SUMPRODUCT((nCUENTA=1)*(nASIG=B61)*(nNOTA))/D61,"—")</f>
        <v>—</v>
      </c>
      <c r="F61" s="10" t="str" cm="1">
        <f t="array" ref="F61">IFERROR(_xlfn.STDEV.P(_xlfn._xlws.FILTER(nNOTA,(nCUENTA=1)*(nASIG=B61))),"—")</f>
        <v>—</v>
      </c>
      <c r="G61" t="str" cm="1">
        <f t="array" ref="G61">IFERROR(_xlfn.MODE.SNGL(_xlfn._xlws.FILTER(nNOTA,(nCUENTA=1)*(nASIG=B61))),"—")</f>
        <v>—</v>
      </c>
      <c r="H61" s="11" t="str">
        <f>IFERROR(SUMPRODUCT((nCUENTA=1)*(nASIG=B61)*(nAPTO="S"))/D61,"—")</f>
        <v>—</v>
      </c>
      <c r="I61" s="11" t="str">
        <f>IFERROR(SUMPRODUCT((nCUENTA=1)*(nASIG=B61)*(nAPTO="N"))/D61,"—")</f>
        <v>—</v>
      </c>
      <c r="J61" t="str" cm="1">
        <f t="array" ref="J61">IFERROR(_xlfn.MODE.SNGL(_xlfn._xlws.FILTER(nNOTA,(nCUENTA=1)*(nASIG=B61)*(nAPTO="S"))),"—")</f>
        <v>—</v>
      </c>
      <c r="K61" t="str" cm="1">
        <f t="array" ref="K61">IFERROR(_xlfn.MODE.SNGL(_xlfn._xlws.FILTER(nNOTA,(nCUENTA=1)*(nASIG=B61)*(nAPTO="N"))),"—")</f>
        <v>—</v>
      </c>
      <c r="L61">
        <f>SUMPRODUCT((nCUENTA=1)*(nASIG=B61)*(nNOTA=1))</f>
        <v>0</v>
      </c>
      <c r="M61">
        <f>SUMPRODUCT((nCUENTA=1)*(nASIG=B61)*(nNOTA=2))</f>
        <v>0</v>
      </c>
      <c r="N61">
        <f>SUMPRODUCT((nCUENTA=1)*(nASIG=B61)*(nNOTA=3))</f>
        <v>0</v>
      </c>
      <c r="O61">
        <f>SUMPRODUCT((nCUENTA=1)*(nASIG=B61)*(nNOTA=4))</f>
        <v>0</v>
      </c>
      <c r="P61">
        <f>SUMPRODUCT((nCUENTA=1)*(nASIG=B61)*(nNOTA=5))</f>
        <v>0</v>
      </c>
      <c r="Q61">
        <f>SUMPRODUCT((nCUENTA=1)*(nASIG=B61)*(nNOTA=6))</f>
        <v>0</v>
      </c>
      <c r="R61">
        <f>SUMPRODUCT((nCUENTA=1)*(nASIG=B61)*(nNOTA=7))</f>
        <v>0</v>
      </c>
      <c r="S61">
        <f>SUMPRODUCT((nCUENTA=1)*(nASIG=B61)*(nNOTA=8))</f>
        <v>0</v>
      </c>
      <c r="T61">
        <f>SUMPRODUCT((nCUENTA=1)*(nASIG=B61)*(nNOTA=9))</f>
        <v>0</v>
      </c>
      <c r="U61">
        <f>SUMPRODUCT((nCUENTA=1)*(nASIG=B61)*(nNOTA=10))</f>
        <v>0</v>
      </c>
    </row>
    <row r="62">
      <c r="A62" t="inlineStr">
        <is>
          <t xml:space="preserve">GLOBAL</t>
        </is>
      </c>
      <c r="B62" cm="1">
        <f t="array" ref="B62">IFERROR(INDEX(_xlfn._xlws.FILTER(CONFIG_ASIGNATURAS!$B$2:$B$91,CONFIG_ASIGNATURAS!$G$2:$G$91="Sí"),57),"")</f>
      </c>
      <c r="C62">
        <f>IF(B62="","",IFERROR(VLOOKUP(B62,CONFIG_ASIGNATURAS!$B$2:$D$91,3,FALSE()),"Asignatura"))</f>
      </c>
      <c r="D62">
        <f>SUMPRODUCT((nCUENTA=1)*(nASIG=B62))</f>
        <v>0</v>
      </c>
      <c r="E62" s="10" t="str">
        <f>IFERROR(SUMPRODUCT((nCUENTA=1)*(nASIG=B62)*(nNOTA))/D62,"—")</f>
        <v>—</v>
      </c>
      <c r="F62" s="10" t="str" cm="1">
        <f t="array" ref="F62">IFERROR(_xlfn.STDEV.P(_xlfn._xlws.FILTER(nNOTA,(nCUENTA=1)*(nASIG=B62))),"—")</f>
        <v>—</v>
      </c>
      <c r="G62" t="str" cm="1">
        <f t="array" ref="G62">IFERROR(_xlfn.MODE.SNGL(_xlfn._xlws.FILTER(nNOTA,(nCUENTA=1)*(nASIG=B62))),"—")</f>
        <v>—</v>
      </c>
      <c r="H62" s="11" t="str">
        <f>IFERROR(SUMPRODUCT((nCUENTA=1)*(nASIG=B62)*(nAPTO="S"))/D62,"—")</f>
        <v>—</v>
      </c>
      <c r="I62" s="11" t="str">
        <f>IFERROR(SUMPRODUCT((nCUENTA=1)*(nASIG=B62)*(nAPTO="N"))/D62,"—")</f>
        <v>—</v>
      </c>
      <c r="J62" t="str" cm="1">
        <f t="array" ref="J62">IFERROR(_xlfn.MODE.SNGL(_xlfn._xlws.FILTER(nNOTA,(nCUENTA=1)*(nASIG=B62)*(nAPTO="S"))),"—")</f>
        <v>—</v>
      </c>
      <c r="K62" t="str" cm="1">
        <f t="array" ref="K62">IFERROR(_xlfn.MODE.SNGL(_xlfn._xlws.FILTER(nNOTA,(nCUENTA=1)*(nASIG=B62)*(nAPTO="N"))),"—")</f>
        <v>—</v>
      </c>
      <c r="L62">
        <f>SUMPRODUCT((nCUENTA=1)*(nASIG=B62)*(nNOTA=1))</f>
        <v>0</v>
      </c>
      <c r="M62">
        <f>SUMPRODUCT((nCUENTA=1)*(nASIG=B62)*(nNOTA=2))</f>
        <v>0</v>
      </c>
      <c r="N62">
        <f>SUMPRODUCT((nCUENTA=1)*(nASIG=B62)*(nNOTA=3))</f>
        <v>0</v>
      </c>
      <c r="O62">
        <f>SUMPRODUCT((nCUENTA=1)*(nASIG=B62)*(nNOTA=4))</f>
        <v>0</v>
      </c>
      <c r="P62">
        <f>SUMPRODUCT((nCUENTA=1)*(nASIG=B62)*(nNOTA=5))</f>
        <v>0</v>
      </c>
      <c r="Q62">
        <f>SUMPRODUCT((nCUENTA=1)*(nASIG=B62)*(nNOTA=6))</f>
        <v>0</v>
      </c>
      <c r="R62">
        <f>SUMPRODUCT((nCUENTA=1)*(nASIG=B62)*(nNOTA=7))</f>
        <v>0</v>
      </c>
      <c r="S62">
        <f>SUMPRODUCT((nCUENTA=1)*(nASIG=B62)*(nNOTA=8))</f>
        <v>0</v>
      </c>
      <c r="T62">
        <f>SUMPRODUCT((nCUENTA=1)*(nASIG=B62)*(nNOTA=9))</f>
        <v>0</v>
      </c>
      <c r="U62">
        <f>SUMPRODUCT((nCUENTA=1)*(nASIG=B62)*(nNOTA=10))</f>
        <v>0</v>
      </c>
    </row>
    <row r="63">
      <c r="A63" t="inlineStr">
        <is>
          <t xml:space="preserve">GLOBAL</t>
        </is>
      </c>
      <c r="B63" cm="1">
        <f t="array" ref="B63">IFERROR(INDEX(_xlfn._xlws.FILTER(CONFIG_ASIGNATURAS!$B$2:$B$91,CONFIG_ASIGNATURAS!$G$2:$G$91="Sí"),58),"")</f>
      </c>
      <c r="C63">
        <f>IF(B63="","",IFERROR(VLOOKUP(B63,CONFIG_ASIGNATURAS!$B$2:$D$91,3,FALSE()),"Asignatura"))</f>
      </c>
      <c r="D63">
        <f>SUMPRODUCT((nCUENTA=1)*(nASIG=B63))</f>
        <v>0</v>
      </c>
      <c r="E63" s="10" t="str">
        <f>IFERROR(SUMPRODUCT((nCUENTA=1)*(nASIG=B63)*(nNOTA))/D63,"—")</f>
        <v>—</v>
      </c>
      <c r="F63" s="10" t="str" cm="1">
        <f t="array" ref="F63">IFERROR(_xlfn.STDEV.P(_xlfn._xlws.FILTER(nNOTA,(nCUENTA=1)*(nASIG=B63))),"—")</f>
        <v>—</v>
      </c>
      <c r="G63" t="str" cm="1">
        <f t="array" ref="G63">IFERROR(_xlfn.MODE.SNGL(_xlfn._xlws.FILTER(nNOTA,(nCUENTA=1)*(nASIG=B63))),"—")</f>
        <v>—</v>
      </c>
      <c r="H63" s="11" t="str">
        <f>IFERROR(SUMPRODUCT((nCUENTA=1)*(nASIG=B63)*(nAPTO="S"))/D63,"—")</f>
        <v>—</v>
      </c>
      <c r="I63" s="11" t="str">
        <f>IFERROR(SUMPRODUCT((nCUENTA=1)*(nASIG=B63)*(nAPTO="N"))/D63,"—")</f>
        <v>—</v>
      </c>
      <c r="J63" t="str" cm="1">
        <f t="array" ref="J63">IFERROR(_xlfn.MODE.SNGL(_xlfn._xlws.FILTER(nNOTA,(nCUENTA=1)*(nASIG=B63)*(nAPTO="S"))),"—")</f>
        <v>—</v>
      </c>
      <c r="K63" t="str" cm="1">
        <f t="array" ref="K63">IFERROR(_xlfn.MODE.SNGL(_xlfn._xlws.FILTER(nNOTA,(nCUENTA=1)*(nASIG=B63)*(nAPTO="N"))),"—")</f>
        <v>—</v>
      </c>
      <c r="L63">
        <f>SUMPRODUCT((nCUENTA=1)*(nASIG=B63)*(nNOTA=1))</f>
        <v>0</v>
      </c>
      <c r="M63">
        <f>SUMPRODUCT((nCUENTA=1)*(nASIG=B63)*(nNOTA=2))</f>
        <v>0</v>
      </c>
      <c r="N63">
        <f>SUMPRODUCT((nCUENTA=1)*(nASIG=B63)*(nNOTA=3))</f>
        <v>0</v>
      </c>
      <c r="O63">
        <f>SUMPRODUCT((nCUENTA=1)*(nASIG=B63)*(nNOTA=4))</f>
        <v>0</v>
      </c>
      <c r="P63">
        <f>SUMPRODUCT((nCUENTA=1)*(nASIG=B63)*(nNOTA=5))</f>
        <v>0</v>
      </c>
      <c r="Q63">
        <f>SUMPRODUCT((nCUENTA=1)*(nASIG=B63)*(nNOTA=6))</f>
        <v>0</v>
      </c>
      <c r="R63">
        <f>SUMPRODUCT((nCUENTA=1)*(nASIG=B63)*(nNOTA=7))</f>
        <v>0</v>
      </c>
      <c r="S63">
        <f>SUMPRODUCT((nCUENTA=1)*(nASIG=B63)*(nNOTA=8))</f>
        <v>0</v>
      </c>
      <c r="T63">
        <f>SUMPRODUCT((nCUENTA=1)*(nASIG=B63)*(nNOTA=9))</f>
        <v>0</v>
      </c>
      <c r="U63">
        <f>SUMPRODUCT((nCUENTA=1)*(nASIG=B63)*(nNOTA=10))</f>
        <v>0</v>
      </c>
    </row>
    <row r="64">
      <c r="A64" t="inlineStr">
        <is>
          <t xml:space="preserve">GLOBAL</t>
        </is>
      </c>
      <c r="B64" cm="1">
        <f t="array" ref="B64">IFERROR(INDEX(_xlfn._xlws.FILTER(CONFIG_ASIGNATURAS!$B$2:$B$91,CONFIG_ASIGNATURAS!$G$2:$G$91="Sí"),59),"")</f>
      </c>
      <c r="C64">
        <f>IF(B64="","",IFERROR(VLOOKUP(B64,CONFIG_ASIGNATURAS!$B$2:$D$91,3,FALSE()),"Asignatura"))</f>
      </c>
      <c r="D64">
        <f>SUMPRODUCT((nCUENTA=1)*(nASIG=B64))</f>
        <v>0</v>
      </c>
      <c r="E64" s="10" t="str">
        <f>IFERROR(SUMPRODUCT((nCUENTA=1)*(nASIG=B64)*(nNOTA))/D64,"—")</f>
        <v>—</v>
      </c>
      <c r="F64" s="10" t="str" cm="1">
        <f t="array" ref="F64">IFERROR(_xlfn.STDEV.P(_xlfn._xlws.FILTER(nNOTA,(nCUENTA=1)*(nASIG=B64))),"—")</f>
        <v>—</v>
      </c>
      <c r="G64" t="str" cm="1">
        <f t="array" ref="G64">IFERROR(_xlfn.MODE.SNGL(_xlfn._xlws.FILTER(nNOTA,(nCUENTA=1)*(nASIG=B64))),"—")</f>
        <v>—</v>
      </c>
      <c r="H64" s="11" t="str">
        <f>IFERROR(SUMPRODUCT((nCUENTA=1)*(nASIG=B64)*(nAPTO="S"))/D64,"—")</f>
        <v>—</v>
      </c>
      <c r="I64" s="11" t="str">
        <f>IFERROR(SUMPRODUCT((nCUENTA=1)*(nASIG=B64)*(nAPTO="N"))/D64,"—")</f>
        <v>—</v>
      </c>
      <c r="J64" t="str" cm="1">
        <f t="array" ref="J64">IFERROR(_xlfn.MODE.SNGL(_xlfn._xlws.FILTER(nNOTA,(nCUENTA=1)*(nASIG=B64)*(nAPTO="S"))),"—")</f>
        <v>—</v>
      </c>
      <c r="K64" t="str" cm="1">
        <f t="array" ref="K64">IFERROR(_xlfn.MODE.SNGL(_xlfn._xlws.FILTER(nNOTA,(nCUENTA=1)*(nASIG=B64)*(nAPTO="N"))),"—")</f>
        <v>—</v>
      </c>
      <c r="L64">
        <f>SUMPRODUCT((nCUENTA=1)*(nASIG=B64)*(nNOTA=1))</f>
        <v>0</v>
      </c>
      <c r="M64">
        <f>SUMPRODUCT((nCUENTA=1)*(nASIG=B64)*(nNOTA=2))</f>
        <v>0</v>
      </c>
      <c r="N64">
        <f>SUMPRODUCT((nCUENTA=1)*(nASIG=B64)*(nNOTA=3))</f>
        <v>0</v>
      </c>
      <c r="O64">
        <f>SUMPRODUCT((nCUENTA=1)*(nASIG=B64)*(nNOTA=4))</f>
        <v>0</v>
      </c>
      <c r="P64">
        <f>SUMPRODUCT((nCUENTA=1)*(nASIG=B64)*(nNOTA=5))</f>
        <v>0</v>
      </c>
      <c r="Q64">
        <f>SUMPRODUCT((nCUENTA=1)*(nASIG=B64)*(nNOTA=6))</f>
        <v>0</v>
      </c>
      <c r="R64">
        <f>SUMPRODUCT((nCUENTA=1)*(nASIG=B64)*(nNOTA=7))</f>
        <v>0</v>
      </c>
      <c r="S64">
        <f>SUMPRODUCT((nCUENTA=1)*(nASIG=B64)*(nNOTA=8))</f>
        <v>0</v>
      </c>
      <c r="T64">
        <f>SUMPRODUCT((nCUENTA=1)*(nASIG=B64)*(nNOTA=9))</f>
        <v>0</v>
      </c>
      <c r="U64">
        <f>SUMPRODUCT((nCUENTA=1)*(nASIG=B64)*(nNOTA=10))</f>
        <v>0</v>
      </c>
    </row>
    <row r="65">
      <c r="A65" t="inlineStr">
        <is>
          <t xml:space="preserve">GLOBAL</t>
        </is>
      </c>
      <c r="B65" cm="1">
        <f t="array" ref="B65">IFERROR(INDEX(_xlfn._xlws.FILTER(CONFIG_ASIGNATURAS!$B$2:$B$91,CONFIG_ASIGNATURAS!$G$2:$G$91="Sí"),60),"")</f>
      </c>
      <c r="C65">
        <f>IF(B65="","",IFERROR(VLOOKUP(B65,CONFIG_ASIGNATURAS!$B$2:$D$91,3,FALSE()),"Asignatura"))</f>
      </c>
      <c r="D65">
        <f>SUMPRODUCT((nCUENTA=1)*(nASIG=B65))</f>
        <v>0</v>
      </c>
      <c r="E65" s="10" t="str">
        <f>IFERROR(SUMPRODUCT((nCUENTA=1)*(nASIG=B65)*(nNOTA))/D65,"—")</f>
        <v>—</v>
      </c>
      <c r="F65" s="10" t="str" cm="1">
        <f t="array" ref="F65">IFERROR(_xlfn.STDEV.P(_xlfn._xlws.FILTER(nNOTA,(nCUENTA=1)*(nASIG=B65))),"—")</f>
        <v>—</v>
      </c>
      <c r="G65" t="str" cm="1">
        <f t="array" ref="G65">IFERROR(_xlfn.MODE.SNGL(_xlfn._xlws.FILTER(nNOTA,(nCUENTA=1)*(nASIG=B65))),"—")</f>
        <v>—</v>
      </c>
      <c r="H65" s="11" t="str">
        <f>IFERROR(SUMPRODUCT((nCUENTA=1)*(nASIG=B65)*(nAPTO="S"))/D65,"—")</f>
        <v>—</v>
      </c>
      <c r="I65" s="11" t="str">
        <f>IFERROR(SUMPRODUCT((nCUENTA=1)*(nASIG=B65)*(nAPTO="N"))/D65,"—")</f>
        <v>—</v>
      </c>
      <c r="J65" t="str" cm="1">
        <f t="array" ref="J65">IFERROR(_xlfn.MODE.SNGL(_xlfn._xlws.FILTER(nNOTA,(nCUENTA=1)*(nASIG=B65)*(nAPTO="S"))),"—")</f>
        <v>—</v>
      </c>
      <c r="K65" t="str" cm="1">
        <f t="array" ref="K65">IFERROR(_xlfn.MODE.SNGL(_xlfn._xlws.FILTER(nNOTA,(nCUENTA=1)*(nASIG=B65)*(nAPTO="N"))),"—")</f>
        <v>—</v>
      </c>
      <c r="L65">
        <f>SUMPRODUCT((nCUENTA=1)*(nASIG=B65)*(nNOTA=1))</f>
        <v>0</v>
      </c>
      <c r="M65">
        <f>SUMPRODUCT((nCUENTA=1)*(nASIG=B65)*(nNOTA=2))</f>
        <v>0</v>
      </c>
      <c r="N65">
        <f>SUMPRODUCT((nCUENTA=1)*(nASIG=B65)*(nNOTA=3))</f>
        <v>0</v>
      </c>
      <c r="O65">
        <f>SUMPRODUCT((nCUENTA=1)*(nASIG=B65)*(nNOTA=4))</f>
        <v>0</v>
      </c>
      <c r="P65">
        <f>SUMPRODUCT((nCUENTA=1)*(nASIG=B65)*(nNOTA=5))</f>
        <v>0</v>
      </c>
      <c r="Q65">
        <f>SUMPRODUCT((nCUENTA=1)*(nASIG=B65)*(nNOTA=6))</f>
        <v>0</v>
      </c>
      <c r="R65">
        <f>SUMPRODUCT((nCUENTA=1)*(nASIG=B65)*(nNOTA=7))</f>
        <v>0</v>
      </c>
      <c r="S65">
        <f>SUMPRODUCT((nCUENTA=1)*(nASIG=B65)*(nNOTA=8))</f>
        <v>0</v>
      </c>
      <c r="T65">
        <f>SUMPRODUCT((nCUENTA=1)*(nASIG=B65)*(nNOTA=9))</f>
        <v>0</v>
      </c>
      <c r="U65">
        <f>SUMPRODUCT((nCUENTA=1)*(nASIG=B65)*(nNOTA=10))</f>
        <v>0</v>
      </c>
    </row>
    <row r="66">
      <c r="A66" t="inlineStr">
        <is>
          <t xml:space="preserve">1EPM</t>
        </is>
      </c>
      <c r="B66" t="inlineStr">
        <is>
          <t xml:space="preserve">Total</t>
        </is>
      </c>
      <c r="C66" t="inlineStr">
        <is>
          <t xml:space="preserve">Total</t>
        </is>
      </c>
      <c r="D66">
        <f>SUMPRODUCT((nCUENTA=1)*(nCURSO=A66))</f>
        <v>0</v>
      </c>
      <c r="E66" s="10" t="str">
        <f>IFERROR(SUMPRODUCT((nCUENTA=1)*(nCURSO=A66)*(nNOTA))/D66,"—")</f>
        <v>—</v>
      </c>
      <c r="F66" s="10" t="str" cm="1">
        <f t="array" ref="F66">IFERROR(_xlfn.STDEV.P(_xlfn._xlws.FILTER(nNOTA,(nCUENTA=1)*(nCURSO=A66))),"—")</f>
        <v>—</v>
      </c>
      <c r="G66" t="str" cm="1">
        <f t="array" ref="G66">IFERROR(_xlfn.MODE.SNGL(_xlfn._xlws.FILTER(nNOTA,(nCUENTA=1)*(nCURSO=A66))),"—")</f>
        <v>—</v>
      </c>
      <c r="H66" s="11" t="str">
        <f>IFERROR(SUMPRODUCT((nCUENTA=1)*(nCURSO=A66)*(nAPTO="S"))/D66,"—")</f>
        <v>—</v>
      </c>
      <c r="I66" s="11" t="str">
        <f>IFERROR(SUMPRODUCT((nCUENTA=1)*(nCURSO=A66)*(nAPTO="N"))/D66,"—")</f>
        <v>—</v>
      </c>
      <c r="J66" t="str" cm="1">
        <f t="array" ref="J66">IFERROR(_xlfn.MODE.SNGL(_xlfn._xlws.FILTER(nNOTA,(nCUENTA=1)*(nCURSO=A66)*(nAPTO="S"))),"—")</f>
        <v>—</v>
      </c>
      <c r="K66" t="str" cm="1">
        <f t="array" ref="K66">IFERROR(_xlfn.MODE.SNGL(_xlfn._xlws.FILTER(nNOTA,(nCUENTA=1)*(nCURSO=A66)*(nAPTO="N"))),"—")</f>
        <v>—</v>
      </c>
      <c r="L66">
        <f>SUMPRODUCT((nCUENTA=1)*(nCURSO=A66)*(nNOTA=1))</f>
        <v>0</v>
      </c>
      <c r="M66">
        <f>SUMPRODUCT((nCUENTA=1)*(nCURSO=A66)*(nNOTA=2))</f>
        <v>0</v>
      </c>
      <c r="N66">
        <f>SUMPRODUCT((nCUENTA=1)*(nCURSO=A66)*(nNOTA=3))</f>
        <v>0</v>
      </c>
      <c r="O66">
        <f>SUMPRODUCT((nCUENTA=1)*(nCURSO=A66)*(nNOTA=4))</f>
        <v>0</v>
      </c>
      <c r="P66">
        <f>SUMPRODUCT((nCUENTA=1)*(nCURSO=A66)*(nNOTA=5))</f>
        <v>0</v>
      </c>
      <c r="Q66">
        <f>SUMPRODUCT((nCUENTA=1)*(nCURSO=A66)*(nNOTA=6))</f>
        <v>0</v>
      </c>
      <c r="R66">
        <f>SUMPRODUCT((nCUENTA=1)*(nCURSO=A66)*(nNOTA=7))</f>
        <v>0</v>
      </c>
      <c r="S66">
        <f>SUMPRODUCT((nCUENTA=1)*(nCURSO=A66)*(nNOTA=8))</f>
        <v>0</v>
      </c>
      <c r="T66">
        <f>SUMPRODUCT((nCUENTA=1)*(nCURSO=A66)*(nNOTA=9))</f>
        <v>0</v>
      </c>
      <c r="U66">
        <f>SUMPRODUCT((nCUENTA=1)*(nCURSO=A66)*(nNOTA=10))</f>
        <v>0</v>
      </c>
    </row>
    <row r="67">
      <c r="A67" t="inlineStr">
        <is>
          <t xml:space="preserve">1EPM</t>
        </is>
      </c>
      <c r="B67" t="inlineStr">
        <is>
          <t xml:space="preserve">Total Especialidad</t>
        </is>
      </c>
      <c r="C67" t="inlineStr">
        <is>
          <t xml:space="preserve">TotalEsp</t>
        </is>
      </c>
      <c r="D67">
        <f>SUMPRODUCT((nCUENTA=1)*(nCURSO=A67)*(nCLASE_I="E")*1)</f>
      </c>
      <c r="E67" s="10">
        <f>IFERROR(AVERAGE(IF((nCUENTA=1)*(nCURSO=A67)*(nCLASE_I="E"),nNOTA)),"—")</f>
      </c>
      <c r="F67" s="10">
        <f>IFERROR(_xlfn.STDEV.P(IF((nCUENTA=1)*(nCURSO=A67)*(nCLASE_I="E"),nNOTA)),"—")</f>
      </c>
      <c r="G67">
        <f>IFERROR(_xlfn.MODE.SNGL(IF((nCUENTA=1)*(nCURSO=A67)*(nCLASE_I="E"),nNOTA)),"—")</f>
      </c>
      <c r="H67" s="11">
        <f>IFERROR(SUMPRODUCT((nCUENTA=1)*(nCURSO=A67)*(nCLASE_I="E")*(nAPTO="S"))/SUMPRODUCT((nCUENTA=1)*(nCURSO=A67)*(nCLASE_I="E")*1),"—")</f>
      </c>
      <c r="I67" s="11">
        <f>IFERROR(SUMPRODUCT((nCUENTA=1)*(nCURSO=A67)*(nCLASE_I="E")*(nAPTO="N"))/SUMPRODUCT((nCUENTA=1)*(nCURSO=A67)*(nCLASE_I="E")*1),"—")</f>
      </c>
      <c r="J67">
        <f>IFERROR(_xlfn.MODE.SNGL(IF((nCUENTA=1)*(nCURSO=A67)*(nCLASE_I="E")*(nAPTO="S"),nNOTA)),"—")</f>
      </c>
      <c r="K67">
        <f>IFERROR(_xlfn.MODE.SNGL(IF((nCUENTA=1)*(nCURSO=A67)*(nCLASE_I="E")*(nAPTO="N"),nNOTA)),"—")</f>
      </c>
      <c r="L67">
        <f>SUMPRODUCT((nCUENTA=1)*(nCURSO=A67)*(nCLASE_I="E")*(nNOTA=1))</f>
      </c>
      <c r="M67">
        <f>SUMPRODUCT((nCUENTA=1)*(nCURSO=A67)*(nCLASE_I="E")*(nNOTA=2))</f>
      </c>
      <c r="N67">
        <f>SUMPRODUCT((nCUENTA=1)*(nCURSO=A67)*(nCLASE_I="E")*(nNOTA=3))</f>
      </c>
      <c r="O67">
        <f>SUMPRODUCT((nCUENTA=1)*(nCURSO=A67)*(nCLASE_I="E")*(nNOTA=4))</f>
      </c>
      <c r="P67">
        <f>SUMPRODUCT((nCUENTA=1)*(nCURSO=A67)*(nCLASE_I="E")*(nNOTA=5))</f>
      </c>
      <c r="Q67">
        <f>SUMPRODUCT((nCUENTA=1)*(nCURSO=A67)*(nCLASE_I="E")*(nNOTA=6))</f>
      </c>
      <c r="R67">
        <f>SUMPRODUCT((nCUENTA=1)*(nCURSO=A67)*(nCLASE_I="E")*(nNOTA=7))</f>
      </c>
      <c r="S67">
        <f>SUMPRODUCT((nCUENTA=1)*(nCURSO=A67)*(nCLASE_I="E")*(nNOTA=8))</f>
      </c>
      <c r="T67">
        <f>SUMPRODUCT((nCUENTA=1)*(nCURSO=A67)*(nCLASE_I="E")*(nNOTA=9))</f>
      </c>
      <c r="U67">
        <f>SUMPRODUCT((nCUENTA=1)*(nCURSO=A67)*(nCLASE_I="E")*(nNOTA=10))</f>
      </c>
    </row>
    <row r="68">
      <c r="A68" t="inlineStr">
        <is>
          <t xml:space="preserve">1EPM</t>
        </is>
      </c>
      <c r="B68" t="inlineStr">
        <is>
          <t xml:space="preserve">Total No Especialidad</t>
        </is>
      </c>
      <c r="C68" t="inlineStr">
        <is>
          <t xml:space="preserve">TotalNoEsp</t>
        </is>
      </c>
      <c r="D68">
        <f>SUMPRODUCT((nCUENTA=1)*(nCURSO=A68)*((nCLASE_I&lt;&gt;"")*(nCLASE_I&lt;&gt;"E"))*1)</f>
      </c>
      <c r="E68" s="10">
        <f>IFERROR(AVERAGE(IF((nCUENTA=1)*(nCURSO=A68)*((nCLASE_I&lt;&gt;"")*(nCLASE_I&lt;&gt;"E")),nNOTA)),"—")</f>
      </c>
      <c r="F68" s="10">
        <f>IFERROR(_xlfn.STDEV.P(IF((nCUENTA=1)*(nCURSO=A68)*((nCLASE_I&lt;&gt;"")*(nCLASE_I&lt;&gt;"E")),nNOTA)),"—")</f>
      </c>
      <c r="G68">
        <f>IFERROR(_xlfn.MODE.SNGL(IF((nCUENTA=1)*(nCURSO=A68)*((nCLASE_I&lt;&gt;"")*(nCLASE_I&lt;&gt;"E")),nNOTA)),"—")</f>
      </c>
      <c r="H68" s="11">
        <f>IFERROR(SUMPRODUCT((nCUENTA=1)*(nCURSO=A68)*((nCLASE_I&lt;&gt;"")*(nCLASE_I&lt;&gt;"E"))*(nAPTO="S"))/SUMPRODUCT((nCUENTA=1)*(nCURSO=A68)*((nCLASE_I&lt;&gt;"")*(nCLASE_I&lt;&gt;"E"))*1),"—")</f>
      </c>
      <c r="I68" s="11">
        <f>IFERROR(SUMPRODUCT((nCUENTA=1)*(nCURSO=A68)*((nCLASE_I&lt;&gt;"")*(nCLASE_I&lt;&gt;"E"))*(nAPTO="N"))/SUMPRODUCT((nCUENTA=1)*(nCURSO=A68)*((nCLASE_I&lt;&gt;"")*(nCLASE_I&lt;&gt;"E"))*1),"—")</f>
      </c>
      <c r="J68">
        <f>IFERROR(_xlfn.MODE.SNGL(IF((nCUENTA=1)*(nCURSO=A68)*((nCLASE_I&lt;&gt;"")*(nCLASE_I&lt;&gt;"E"))*(nAPTO="S"),nNOTA)),"—")</f>
      </c>
      <c r="K68">
        <f>IFERROR(_xlfn.MODE.SNGL(IF((nCUENTA=1)*(nCURSO=A68)*((nCLASE_I&lt;&gt;"")*(nCLASE_I&lt;&gt;"E"))*(nAPTO="N"),nNOTA)),"—")</f>
      </c>
      <c r="L68">
        <f>SUMPRODUCT((nCUENTA=1)*(nCURSO=A68)*((nCLASE_I&lt;&gt;"")*(nCLASE_I&lt;&gt;"E"))*(nNOTA=1))</f>
      </c>
      <c r="M68">
        <f>SUMPRODUCT((nCUENTA=1)*(nCURSO=A68)*((nCLASE_I&lt;&gt;"")*(nCLASE_I&lt;&gt;"E"))*(nNOTA=2))</f>
      </c>
      <c r="N68">
        <f>SUMPRODUCT((nCUENTA=1)*(nCURSO=A68)*((nCLASE_I&lt;&gt;"")*(nCLASE_I&lt;&gt;"E"))*(nNOTA=3))</f>
      </c>
      <c r="O68">
        <f>SUMPRODUCT((nCUENTA=1)*(nCURSO=A68)*((nCLASE_I&lt;&gt;"")*(nCLASE_I&lt;&gt;"E"))*(nNOTA=4))</f>
      </c>
      <c r="P68">
        <f>SUMPRODUCT((nCUENTA=1)*(nCURSO=A68)*((nCLASE_I&lt;&gt;"")*(nCLASE_I&lt;&gt;"E"))*(nNOTA=5))</f>
      </c>
      <c r="Q68">
        <f>SUMPRODUCT((nCUENTA=1)*(nCURSO=A68)*((nCLASE_I&lt;&gt;"")*(nCLASE_I&lt;&gt;"E"))*(nNOTA=6))</f>
      </c>
      <c r="R68">
        <f>SUMPRODUCT((nCUENTA=1)*(nCURSO=A68)*((nCLASE_I&lt;&gt;"")*(nCLASE_I&lt;&gt;"E"))*(nNOTA=7))</f>
      </c>
      <c r="S68">
        <f>SUMPRODUCT((nCUENTA=1)*(nCURSO=A68)*((nCLASE_I&lt;&gt;"")*(nCLASE_I&lt;&gt;"E"))*(nNOTA=8))</f>
      </c>
      <c r="T68">
        <f>SUMPRODUCT((nCUENTA=1)*(nCURSO=A68)*((nCLASE_I&lt;&gt;"")*(nCLASE_I&lt;&gt;"E"))*(nNOTA=9))</f>
      </c>
      <c r="U68">
        <f>SUMPRODUCT((nCUENTA=1)*(nCURSO=A68)*((nCLASE_I&lt;&gt;"")*(nCLASE_I&lt;&gt;"E"))*(nNOTA=10))</f>
      </c>
    </row>
    <row r="69">
      <c r="A69" t="inlineStr">
        <is>
          <t xml:space="preserve">2EPM</t>
        </is>
      </c>
      <c r="B69" t="inlineStr">
        <is>
          <t xml:space="preserve">Total</t>
        </is>
      </c>
      <c r="C69" t="inlineStr">
        <is>
          <t xml:space="preserve">Total</t>
        </is>
      </c>
      <c r="D69">
        <f>SUMPRODUCT((nCUENTA=1)*(nCURSO=A69))</f>
        <v>0</v>
      </c>
      <c r="E69" s="10" t="str">
        <f>IFERROR(SUMPRODUCT((nCUENTA=1)*(nCURSO=A69)*(nNOTA))/D69,"—")</f>
        <v>—</v>
      </c>
      <c r="F69" s="10" t="str" cm="1">
        <f t="array" ref="F69">IFERROR(_xlfn.STDEV.P(_xlfn._xlws.FILTER(nNOTA,(nCUENTA=1)*(nCURSO=A69))),"—")</f>
        <v>—</v>
      </c>
      <c r="G69" t="str" cm="1">
        <f t="array" ref="G69">IFERROR(_xlfn.MODE.SNGL(_xlfn._xlws.FILTER(nNOTA,(nCUENTA=1)*(nCURSO=A69))),"—")</f>
        <v>—</v>
      </c>
      <c r="H69" s="11" t="str">
        <f>IFERROR(SUMPRODUCT((nCUENTA=1)*(nCURSO=A69)*(nAPTO="S"))/D69,"—")</f>
        <v>—</v>
      </c>
      <c r="I69" s="11" t="str">
        <f>IFERROR(SUMPRODUCT((nCUENTA=1)*(nCURSO=A69)*(nAPTO="N"))/D69,"—")</f>
        <v>—</v>
      </c>
      <c r="J69" t="str" cm="1">
        <f t="array" ref="J69">IFERROR(_xlfn.MODE.SNGL(_xlfn._xlws.FILTER(nNOTA,(nCUENTA=1)*(nCURSO=A69)*(nAPTO="S"))),"—")</f>
        <v>—</v>
      </c>
      <c r="K69" t="str" cm="1">
        <f t="array" ref="K69">IFERROR(_xlfn.MODE.SNGL(_xlfn._xlws.FILTER(nNOTA,(nCUENTA=1)*(nCURSO=A69)*(nAPTO="N"))),"—")</f>
        <v>—</v>
      </c>
      <c r="L69">
        <f>SUMPRODUCT((nCUENTA=1)*(nCURSO=A69)*(nNOTA=1))</f>
        <v>0</v>
      </c>
      <c r="M69">
        <f>SUMPRODUCT((nCUENTA=1)*(nCURSO=A69)*(nNOTA=2))</f>
        <v>0</v>
      </c>
      <c r="N69">
        <f>SUMPRODUCT((nCUENTA=1)*(nCURSO=A69)*(nNOTA=3))</f>
        <v>0</v>
      </c>
      <c r="O69">
        <f>SUMPRODUCT((nCUENTA=1)*(nCURSO=A69)*(nNOTA=4))</f>
        <v>0</v>
      </c>
      <c r="P69">
        <f>SUMPRODUCT((nCUENTA=1)*(nCURSO=A69)*(nNOTA=5))</f>
        <v>0</v>
      </c>
      <c r="Q69">
        <f>SUMPRODUCT((nCUENTA=1)*(nCURSO=A69)*(nNOTA=6))</f>
        <v>0</v>
      </c>
      <c r="R69">
        <f>SUMPRODUCT((nCUENTA=1)*(nCURSO=A69)*(nNOTA=7))</f>
        <v>0</v>
      </c>
      <c r="S69">
        <f>SUMPRODUCT((nCUENTA=1)*(nCURSO=A69)*(nNOTA=8))</f>
        <v>0</v>
      </c>
      <c r="T69">
        <f>SUMPRODUCT((nCUENTA=1)*(nCURSO=A69)*(nNOTA=9))</f>
        <v>0</v>
      </c>
      <c r="U69">
        <f>SUMPRODUCT((nCUENTA=1)*(nCURSO=A69)*(nNOTA=10))</f>
        <v>0</v>
      </c>
    </row>
    <row r="70">
      <c r="A70" t="inlineStr">
        <is>
          <t xml:space="preserve">2EPM</t>
        </is>
      </c>
      <c r="B70" t="inlineStr">
        <is>
          <t xml:space="preserve">Total Especialidad</t>
        </is>
      </c>
      <c r="C70" t="inlineStr">
        <is>
          <t xml:space="preserve">TotalEsp</t>
        </is>
      </c>
      <c r="D70">
        <f>SUMPRODUCT((nCUENTA=1)*(nCURSO=A70)*(nCLASE_I="E")*1)</f>
      </c>
      <c r="E70" s="10">
        <f>IFERROR(AVERAGE(IF((nCUENTA=1)*(nCURSO=A70)*(nCLASE_I="E"),nNOTA)),"—")</f>
      </c>
      <c r="F70" s="10">
        <f>IFERROR(_xlfn.STDEV.P(IF((nCUENTA=1)*(nCURSO=A70)*(nCLASE_I="E"),nNOTA)),"—")</f>
      </c>
      <c r="G70">
        <f>IFERROR(_xlfn.MODE.SNGL(IF((nCUENTA=1)*(nCURSO=A70)*(nCLASE_I="E"),nNOTA)),"—")</f>
      </c>
      <c r="H70" s="11">
        <f>IFERROR(SUMPRODUCT((nCUENTA=1)*(nCURSO=A70)*(nCLASE_I="E")*(nAPTO="S"))/SUMPRODUCT((nCUENTA=1)*(nCURSO=A70)*(nCLASE_I="E")*1),"—")</f>
      </c>
      <c r="I70" s="11">
        <f>IFERROR(SUMPRODUCT((nCUENTA=1)*(nCURSO=A70)*(nCLASE_I="E")*(nAPTO="N"))/SUMPRODUCT((nCUENTA=1)*(nCURSO=A70)*(nCLASE_I="E")*1),"—")</f>
      </c>
      <c r="J70">
        <f>IFERROR(_xlfn.MODE.SNGL(IF((nCUENTA=1)*(nCURSO=A70)*(nCLASE_I="E")*(nAPTO="S"),nNOTA)),"—")</f>
      </c>
      <c r="K70">
        <f>IFERROR(_xlfn.MODE.SNGL(IF((nCUENTA=1)*(nCURSO=A70)*(nCLASE_I="E")*(nAPTO="N"),nNOTA)),"—")</f>
      </c>
      <c r="L70">
        <f>SUMPRODUCT((nCUENTA=1)*(nCURSO=A70)*(nCLASE_I="E")*(nNOTA=1))</f>
      </c>
      <c r="M70">
        <f>SUMPRODUCT((nCUENTA=1)*(nCURSO=A70)*(nCLASE_I="E")*(nNOTA=2))</f>
      </c>
      <c r="N70">
        <f>SUMPRODUCT((nCUENTA=1)*(nCURSO=A70)*(nCLASE_I="E")*(nNOTA=3))</f>
      </c>
      <c r="O70">
        <f>SUMPRODUCT((nCUENTA=1)*(nCURSO=A70)*(nCLASE_I="E")*(nNOTA=4))</f>
      </c>
      <c r="P70">
        <f>SUMPRODUCT((nCUENTA=1)*(nCURSO=A70)*(nCLASE_I="E")*(nNOTA=5))</f>
      </c>
      <c r="Q70">
        <f>SUMPRODUCT((nCUENTA=1)*(nCURSO=A70)*(nCLASE_I="E")*(nNOTA=6))</f>
      </c>
      <c r="R70">
        <f>SUMPRODUCT((nCUENTA=1)*(nCURSO=A70)*(nCLASE_I="E")*(nNOTA=7))</f>
      </c>
      <c r="S70">
        <f>SUMPRODUCT((nCUENTA=1)*(nCURSO=A70)*(nCLASE_I="E")*(nNOTA=8))</f>
      </c>
      <c r="T70">
        <f>SUMPRODUCT((nCUENTA=1)*(nCURSO=A70)*(nCLASE_I="E")*(nNOTA=9))</f>
      </c>
      <c r="U70">
        <f>SUMPRODUCT((nCUENTA=1)*(nCURSO=A70)*(nCLASE_I="E")*(nNOTA=10))</f>
      </c>
    </row>
    <row r="71">
      <c r="A71" t="inlineStr">
        <is>
          <t xml:space="preserve">2EPM</t>
        </is>
      </c>
      <c r="B71" t="inlineStr">
        <is>
          <t xml:space="preserve">Total No Especialidad</t>
        </is>
      </c>
      <c r="C71" t="inlineStr">
        <is>
          <t xml:space="preserve">TotalNoEsp</t>
        </is>
      </c>
      <c r="D71">
        <f>SUMPRODUCT((nCUENTA=1)*(nCURSO=A71)*((nCLASE_I&lt;&gt;"")*(nCLASE_I&lt;&gt;"E"))*1)</f>
      </c>
      <c r="E71" s="10">
        <f>IFERROR(AVERAGE(IF((nCUENTA=1)*(nCURSO=A71)*((nCLASE_I&lt;&gt;"")*(nCLASE_I&lt;&gt;"E")),nNOTA)),"—")</f>
      </c>
      <c r="F71" s="10">
        <f>IFERROR(_xlfn.STDEV.P(IF((nCUENTA=1)*(nCURSO=A71)*((nCLASE_I&lt;&gt;"")*(nCLASE_I&lt;&gt;"E")),nNOTA)),"—")</f>
      </c>
      <c r="G71">
        <f>IFERROR(_xlfn.MODE.SNGL(IF((nCUENTA=1)*(nCURSO=A71)*((nCLASE_I&lt;&gt;"")*(nCLASE_I&lt;&gt;"E")),nNOTA)),"—")</f>
      </c>
      <c r="H71" s="11">
        <f>IFERROR(SUMPRODUCT((nCUENTA=1)*(nCURSO=A71)*((nCLASE_I&lt;&gt;"")*(nCLASE_I&lt;&gt;"E"))*(nAPTO="S"))/SUMPRODUCT((nCUENTA=1)*(nCURSO=A71)*((nCLASE_I&lt;&gt;"")*(nCLASE_I&lt;&gt;"E"))*1),"—")</f>
      </c>
      <c r="I71" s="11">
        <f>IFERROR(SUMPRODUCT((nCUENTA=1)*(nCURSO=A71)*((nCLASE_I&lt;&gt;"")*(nCLASE_I&lt;&gt;"E"))*(nAPTO="N"))/SUMPRODUCT((nCUENTA=1)*(nCURSO=A71)*((nCLASE_I&lt;&gt;"")*(nCLASE_I&lt;&gt;"E"))*1),"—")</f>
      </c>
      <c r="J71">
        <f>IFERROR(_xlfn.MODE.SNGL(IF((nCUENTA=1)*(nCURSO=A71)*((nCLASE_I&lt;&gt;"")*(nCLASE_I&lt;&gt;"E"))*(nAPTO="S"),nNOTA)),"—")</f>
      </c>
      <c r="K71">
        <f>IFERROR(_xlfn.MODE.SNGL(IF((nCUENTA=1)*(nCURSO=A71)*((nCLASE_I&lt;&gt;"")*(nCLASE_I&lt;&gt;"E"))*(nAPTO="N"),nNOTA)),"—")</f>
      </c>
      <c r="L71">
        <f>SUMPRODUCT((nCUENTA=1)*(nCURSO=A71)*((nCLASE_I&lt;&gt;"")*(nCLASE_I&lt;&gt;"E"))*(nNOTA=1))</f>
      </c>
      <c r="M71">
        <f>SUMPRODUCT((nCUENTA=1)*(nCURSO=A71)*((nCLASE_I&lt;&gt;"")*(nCLASE_I&lt;&gt;"E"))*(nNOTA=2))</f>
      </c>
      <c r="N71">
        <f>SUMPRODUCT((nCUENTA=1)*(nCURSO=A71)*((nCLASE_I&lt;&gt;"")*(nCLASE_I&lt;&gt;"E"))*(nNOTA=3))</f>
      </c>
      <c r="O71">
        <f>SUMPRODUCT((nCUENTA=1)*(nCURSO=A71)*((nCLASE_I&lt;&gt;"")*(nCLASE_I&lt;&gt;"E"))*(nNOTA=4))</f>
      </c>
      <c r="P71">
        <f>SUMPRODUCT((nCUENTA=1)*(nCURSO=A71)*((nCLASE_I&lt;&gt;"")*(nCLASE_I&lt;&gt;"E"))*(nNOTA=5))</f>
      </c>
      <c r="Q71">
        <f>SUMPRODUCT((nCUENTA=1)*(nCURSO=A71)*((nCLASE_I&lt;&gt;"")*(nCLASE_I&lt;&gt;"E"))*(nNOTA=6))</f>
      </c>
      <c r="R71">
        <f>SUMPRODUCT((nCUENTA=1)*(nCURSO=A71)*((nCLASE_I&lt;&gt;"")*(nCLASE_I&lt;&gt;"E"))*(nNOTA=7))</f>
      </c>
      <c r="S71">
        <f>SUMPRODUCT((nCUENTA=1)*(nCURSO=A71)*((nCLASE_I&lt;&gt;"")*(nCLASE_I&lt;&gt;"E"))*(nNOTA=8))</f>
      </c>
      <c r="T71">
        <f>SUMPRODUCT((nCUENTA=1)*(nCURSO=A71)*((nCLASE_I&lt;&gt;"")*(nCLASE_I&lt;&gt;"E"))*(nNOTA=9))</f>
      </c>
      <c r="U71">
        <f>SUMPRODUCT((nCUENTA=1)*(nCURSO=A71)*((nCLASE_I&lt;&gt;"")*(nCLASE_I&lt;&gt;"E"))*(nNOTA=10))</f>
      </c>
    </row>
    <row r="72">
      <c r="A72" t="inlineStr">
        <is>
          <t xml:space="preserve">3EPM</t>
        </is>
      </c>
      <c r="B72" t="inlineStr">
        <is>
          <t xml:space="preserve">Total</t>
        </is>
      </c>
      <c r="C72" t="inlineStr">
        <is>
          <t xml:space="preserve">Total</t>
        </is>
      </c>
      <c r="D72">
        <f>SUMPRODUCT((nCUENTA=1)*(nCURSO=A72))</f>
        <v>0</v>
      </c>
      <c r="E72" s="10" t="str">
        <f>IFERROR(SUMPRODUCT((nCUENTA=1)*(nCURSO=A72)*(nNOTA))/D72,"—")</f>
        <v>—</v>
      </c>
      <c r="F72" s="10" t="str" cm="1">
        <f t="array" ref="F72">IFERROR(_xlfn.STDEV.P(_xlfn._xlws.FILTER(nNOTA,(nCUENTA=1)*(nCURSO=A72))),"—")</f>
        <v>—</v>
      </c>
      <c r="G72" t="str" cm="1">
        <f t="array" ref="G72">IFERROR(_xlfn.MODE.SNGL(_xlfn._xlws.FILTER(nNOTA,(nCUENTA=1)*(nCURSO=A72))),"—")</f>
        <v>—</v>
      </c>
      <c r="H72" s="11" t="str">
        <f>IFERROR(SUMPRODUCT((nCUENTA=1)*(nCURSO=A72)*(nAPTO="S"))/D72,"—")</f>
        <v>—</v>
      </c>
      <c r="I72" s="11" t="str">
        <f>IFERROR(SUMPRODUCT((nCUENTA=1)*(nCURSO=A72)*(nAPTO="N"))/D72,"—")</f>
        <v>—</v>
      </c>
      <c r="J72" t="str" cm="1">
        <f t="array" ref="J72">IFERROR(_xlfn.MODE.SNGL(_xlfn._xlws.FILTER(nNOTA,(nCUENTA=1)*(nCURSO=A72)*(nAPTO="S"))),"—")</f>
        <v>—</v>
      </c>
      <c r="K72" t="str" cm="1">
        <f t="array" ref="K72">IFERROR(_xlfn.MODE.SNGL(_xlfn._xlws.FILTER(nNOTA,(nCUENTA=1)*(nCURSO=A72)*(nAPTO="N"))),"—")</f>
        <v>—</v>
      </c>
      <c r="L72">
        <f>SUMPRODUCT((nCUENTA=1)*(nCURSO=A72)*(nNOTA=1))</f>
        <v>0</v>
      </c>
      <c r="M72">
        <f>SUMPRODUCT((nCUENTA=1)*(nCURSO=A72)*(nNOTA=2))</f>
        <v>0</v>
      </c>
      <c r="N72">
        <f>SUMPRODUCT((nCUENTA=1)*(nCURSO=A72)*(nNOTA=3))</f>
        <v>0</v>
      </c>
      <c r="O72">
        <f>SUMPRODUCT((nCUENTA=1)*(nCURSO=A72)*(nNOTA=4))</f>
        <v>0</v>
      </c>
      <c r="P72">
        <f>SUMPRODUCT((nCUENTA=1)*(nCURSO=A72)*(nNOTA=5))</f>
        <v>0</v>
      </c>
      <c r="Q72">
        <f>SUMPRODUCT((nCUENTA=1)*(nCURSO=A72)*(nNOTA=6))</f>
        <v>0</v>
      </c>
      <c r="R72">
        <f>SUMPRODUCT((nCUENTA=1)*(nCURSO=A72)*(nNOTA=7))</f>
        <v>0</v>
      </c>
      <c r="S72">
        <f>SUMPRODUCT((nCUENTA=1)*(nCURSO=A72)*(nNOTA=8))</f>
        <v>0</v>
      </c>
      <c r="T72">
        <f>SUMPRODUCT((nCUENTA=1)*(nCURSO=A72)*(nNOTA=9))</f>
        <v>0</v>
      </c>
      <c r="U72">
        <f>SUMPRODUCT((nCUENTA=1)*(nCURSO=A72)*(nNOTA=10))</f>
        <v>0</v>
      </c>
    </row>
    <row r="73">
      <c r="A73" t="inlineStr">
        <is>
          <t xml:space="preserve">3EPM</t>
        </is>
      </c>
      <c r="B73" t="inlineStr">
        <is>
          <t xml:space="preserve">Total Especialidad</t>
        </is>
      </c>
      <c r="C73" t="inlineStr">
        <is>
          <t xml:space="preserve">TotalEsp</t>
        </is>
      </c>
      <c r="D73">
        <f>SUMPRODUCT((nCUENTA=1)*(nCURSO=A73)*(nCLASE_I="E")*1)</f>
      </c>
      <c r="E73" s="10">
        <f>IFERROR(AVERAGE(IF((nCUENTA=1)*(nCURSO=A73)*(nCLASE_I="E"),nNOTA)),"—")</f>
      </c>
      <c r="F73" s="10">
        <f>IFERROR(_xlfn.STDEV.P(IF((nCUENTA=1)*(nCURSO=A73)*(nCLASE_I="E"),nNOTA)),"—")</f>
      </c>
      <c r="G73">
        <f>IFERROR(_xlfn.MODE.SNGL(IF((nCUENTA=1)*(nCURSO=A73)*(nCLASE_I="E"),nNOTA)),"—")</f>
      </c>
      <c r="H73" s="11">
        <f>IFERROR(SUMPRODUCT((nCUENTA=1)*(nCURSO=A73)*(nCLASE_I="E")*(nAPTO="S"))/SUMPRODUCT((nCUENTA=1)*(nCURSO=A73)*(nCLASE_I="E")*1),"—")</f>
      </c>
      <c r="I73" s="11">
        <f>IFERROR(SUMPRODUCT((nCUENTA=1)*(nCURSO=A73)*(nCLASE_I="E")*(nAPTO="N"))/SUMPRODUCT((nCUENTA=1)*(nCURSO=A73)*(nCLASE_I="E")*1),"—")</f>
      </c>
      <c r="J73">
        <f>IFERROR(_xlfn.MODE.SNGL(IF((nCUENTA=1)*(nCURSO=A73)*(nCLASE_I="E")*(nAPTO="S"),nNOTA)),"—")</f>
      </c>
      <c r="K73">
        <f>IFERROR(_xlfn.MODE.SNGL(IF((nCUENTA=1)*(nCURSO=A73)*(nCLASE_I="E")*(nAPTO="N"),nNOTA)),"—")</f>
      </c>
      <c r="L73">
        <f>SUMPRODUCT((nCUENTA=1)*(nCURSO=A73)*(nCLASE_I="E")*(nNOTA=1))</f>
      </c>
      <c r="M73">
        <f>SUMPRODUCT((nCUENTA=1)*(nCURSO=A73)*(nCLASE_I="E")*(nNOTA=2))</f>
      </c>
      <c r="N73">
        <f>SUMPRODUCT((nCUENTA=1)*(nCURSO=A73)*(nCLASE_I="E")*(nNOTA=3))</f>
      </c>
      <c r="O73">
        <f>SUMPRODUCT((nCUENTA=1)*(nCURSO=A73)*(nCLASE_I="E")*(nNOTA=4))</f>
      </c>
      <c r="P73">
        <f>SUMPRODUCT((nCUENTA=1)*(nCURSO=A73)*(nCLASE_I="E")*(nNOTA=5))</f>
      </c>
      <c r="Q73">
        <f>SUMPRODUCT((nCUENTA=1)*(nCURSO=A73)*(nCLASE_I="E")*(nNOTA=6))</f>
      </c>
      <c r="R73">
        <f>SUMPRODUCT((nCUENTA=1)*(nCURSO=A73)*(nCLASE_I="E")*(nNOTA=7))</f>
      </c>
      <c r="S73">
        <f>SUMPRODUCT((nCUENTA=1)*(nCURSO=A73)*(nCLASE_I="E")*(nNOTA=8))</f>
      </c>
      <c r="T73">
        <f>SUMPRODUCT((nCUENTA=1)*(nCURSO=A73)*(nCLASE_I="E")*(nNOTA=9))</f>
      </c>
      <c r="U73">
        <f>SUMPRODUCT((nCUENTA=1)*(nCURSO=A73)*(nCLASE_I="E")*(nNOTA=10))</f>
      </c>
    </row>
    <row r="74">
      <c r="A74" t="inlineStr">
        <is>
          <t xml:space="preserve">3EPM</t>
        </is>
      </c>
      <c r="B74" t="inlineStr">
        <is>
          <t xml:space="preserve">Total No Especialidad</t>
        </is>
      </c>
      <c r="C74" t="inlineStr">
        <is>
          <t xml:space="preserve">TotalNoEsp</t>
        </is>
      </c>
      <c r="D74">
        <f>SUMPRODUCT((nCUENTA=1)*(nCURSO=A74)*((nCLASE_I&lt;&gt;"")*(nCLASE_I&lt;&gt;"E"))*1)</f>
      </c>
      <c r="E74" s="10">
        <f>IFERROR(AVERAGE(IF((nCUENTA=1)*(nCURSO=A74)*((nCLASE_I&lt;&gt;"")*(nCLASE_I&lt;&gt;"E")),nNOTA)),"—")</f>
      </c>
      <c r="F74" s="10">
        <f>IFERROR(_xlfn.STDEV.P(IF((nCUENTA=1)*(nCURSO=A74)*((nCLASE_I&lt;&gt;"")*(nCLASE_I&lt;&gt;"E")),nNOTA)),"—")</f>
      </c>
      <c r="G74">
        <f>IFERROR(_xlfn.MODE.SNGL(IF((nCUENTA=1)*(nCURSO=A74)*((nCLASE_I&lt;&gt;"")*(nCLASE_I&lt;&gt;"E")),nNOTA)),"—")</f>
      </c>
      <c r="H74" s="11">
        <f>IFERROR(SUMPRODUCT((nCUENTA=1)*(nCURSO=A74)*((nCLASE_I&lt;&gt;"")*(nCLASE_I&lt;&gt;"E"))*(nAPTO="S"))/SUMPRODUCT((nCUENTA=1)*(nCURSO=A74)*((nCLASE_I&lt;&gt;"")*(nCLASE_I&lt;&gt;"E"))*1),"—")</f>
      </c>
      <c r="I74" s="11">
        <f>IFERROR(SUMPRODUCT((nCUENTA=1)*(nCURSO=A74)*((nCLASE_I&lt;&gt;"")*(nCLASE_I&lt;&gt;"E"))*(nAPTO="N"))/SUMPRODUCT((nCUENTA=1)*(nCURSO=A74)*((nCLASE_I&lt;&gt;"")*(nCLASE_I&lt;&gt;"E"))*1),"—")</f>
      </c>
      <c r="J74">
        <f>IFERROR(_xlfn.MODE.SNGL(IF((nCUENTA=1)*(nCURSO=A74)*((nCLASE_I&lt;&gt;"")*(nCLASE_I&lt;&gt;"E"))*(nAPTO="S"),nNOTA)),"—")</f>
      </c>
      <c r="K74">
        <f>IFERROR(_xlfn.MODE.SNGL(IF((nCUENTA=1)*(nCURSO=A74)*((nCLASE_I&lt;&gt;"")*(nCLASE_I&lt;&gt;"E"))*(nAPTO="N"),nNOTA)),"—")</f>
      </c>
      <c r="L74">
        <f>SUMPRODUCT((nCUENTA=1)*(nCURSO=A74)*((nCLASE_I&lt;&gt;"")*(nCLASE_I&lt;&gt;"E"))*(nNOTA=1))</f>
      </c>
      <c r="M74">
        <f>SUMPRODUCT((nCUENTA=1)*(nCURSO=A74)*((nCLASE_I&lt;&gt;"")*(nCLASE_I&lt;&gt;"E"))*(nNOTA=2))</f>
      </c>
      <c r="N74">
        <f>SUMPRODUCT((nCUENTA=1)*(nCURSO=A74)*((nCLASE_I&lt;&gt;"")*(nCLASE_I&lt;&gt;"E"))*(nNOTA=3))</f>
      </c>
      <c r="O74">
        <f>SUMPRODUCT((nCUENTA=1)*(nCURSO=A74)*((nCLASE_I&lt;&gt;"")*(nCLASE_I&lt;&gt;"E"))*(nNOTA=4))</f>
      </c>
      <c r="P74">
        <f>SUMPRODUCT((nCUENTA=1)*(nCURSO=A74)*((nCLASE_I&lt;&gt;"")*(nCLASE_I&lt;&gt;"E"))*(nNOTA=5))</f>
      </c>
      <c r="Q74">
        <f>SUMPRODUCT((nCUENTA=1)*(nCURSO=A74)*((nCLASE_I&lt;&gt;"")*(nCLASE_I&lt;&gt;"E"))*(nNOTA=6))</f>
      </c>
      <c r="R74">
        <f>SUMPRODUCT((nCUENTA=1)*(nCURSO=A74)*((nCLASE_I&lt;&gt;"")*(nCLASE_I&lt;&gt;"E"))*(nNOTA=7))</f>
      </c>
      <c r="S74">
        <f>SUMPRODUCT((nCUENTA=1)*(nCURSO=A74)*((nCLASE_I&lt;&gt;"")*(nCLASE_I&lt;&gt;"E"))*(nNOTA=8))</f>
      </c>
      <c r="T74">
        <f>SUMPRODUCT((nCUENTA=1)*(nCURSO=A74)*((nCLASE_I&lt;&gt;"")*(nCLASE_I&lt;&gt;"E"))*(nNOTA=9))</f>
      </c>
      <c r="U74">
        <f>SUMPRODUCT((nCUENTA=1)*(nCURSO=A74)*((nCLASE_I&lt;&gt;"")*(nCLASE_I&lt;&gt;"E"))*(nNOTA=10))</f>
      </c>
    </row>
    <row r="75">
      <c r="A75" t="inlineStr">
        <is>
          <t xml:space="preserve">4EPM</t>
        </is>
      </c>
      <c r="B75" t="inlineStr">
        <is>
          <t xml:space="preserve">Total</t>
        </is>
      </c>
      <c r="C75" t="inlineStr">
        <is>
          <t xml:space="preserve">Total</t>
        </is>
      </c>
      <c r="D75">
        <f>SUMPRODUCT((nCUENTA=1)*(nCURSO=A75))</f>
        <v>0</v>
      </c>
      <c r="E75" s="10" t="str">
        <f>IFERROR(SUMPRODUCT((nCUENTA=1)*(nCURSO=A75)*(nNOTA))/D75,"—")</f>
        <v>—</v>
      </c>
      <c r="F75" s="10" t="str" cm="1">
        <f t="array" ref="F75">IFERROR(_xlfn.STDEV.P(_xlfn._xlws.FILTER(nNOTA,(nCUENTA=1)*(nCURSO=A75))),"—")</f>
        <v>—</v>
      </c>
      <c r="G75" t="str" cm="1">
        <f t="array" ref="G75">IFERROR(_xlfn.MODE.SNGL(_xlfn._xlws.FILTER(nNOTA,(nCUENTA=1)*(nCURSO=A75))),"—")</f>
        <v>—</v>
      </c>
      <c r="H75" s="11" t="str">
        <f>IFERROR(SUMPRODUCT((nCUENTA=1)*(nCURSO=A75)*(nAPTO="S"))/D75,"—")</f>
        <v>—</v>
      </c>
      <c r="I75" s="11" t="str">
        <f>IFERROR(SUMPRODUCT((nCUENTA=1)*(nCURSO=A75)*(nAPTO="N"))/D75,"—")</f>
        <v>—</v>
      </c>
      <c r="J75" t="str" cm="1">
        <f t="array" ref="J75">IFERROR(_xlfn.MODE.SNGL(_xlfn._xlws.FILTER(nNOTA,(nCUENTA=1)*(nCURSO=A75)*(nAPTO="S"))),"—")</f>
        <v>—</v>
      </c>
      <c r="K75" t="str" cm="1">
        <f t="array" ref="K75">IFERROR(_xlfn.MODE.SNGL(_xlfn._xlws.FILTER(nNOTA,(nCUENTA=1)*(nCURSO=A75)*(nAPTO="N"))),"—")</f>
        <v>—</v>
      </c>
      <c r="L75">
        <f>SUMPRODUCT((nCUENTA=1)*(nCURSO=A75)*(nNOTA=1))</f>
        <v>0</v>
      </c>
      <c r="M75">
        <f>SUMPRODUCT((nCUENTA=1)*(nCURSO=A75)*(nNOTA=2))</f>
        <v>0</v>
      </c>
      <c r="N75">
        <f>SUMPRODUCT((nCUENTA=1)*(nCURSO=A75)*(nNOTA=3))</f>
        <v>0</v>
      </c>
      <c r="O75">
        <f>SUMPRODUCT((nCUENTA=1)*(nCURSO=A75)*(nNOTA=4))</f>
        <v>0</v>
      </c>
      <c r="P75">
        <f>SUMPRODUCT((nCUENTA=1)*(nCURSO=A75)*(nNOTA=5))</f>
        <v>0</v>
      </c>
      <c r="Q75">
        <f>SUMPRODUCT((nCUENTA=1)*(nCURSO=A75)*(nNOTA=6))</f>
        <v>0</v>
      </c>
      <c r="R75">
        <f>SUMPRODUCT((nCUENTA=1)*(nCURSO=A75)*(nNOTA=7))</f>
        <v>0</v>
      </c>
      <c r="S75">
        <f>SUMPRODUCT((nCUENTA=1)*(nCURSO=A75)*(nNOTA=8))</f>
        <v>0</v>
      </c>
      <c r="T75">
        <f>SUMPRODUCT((nCUENTA=1)*(nCURSO=A75)*(nNOTA=9))</f>
        <v>0</v>
      </c>
      <c r="U75">
        <f>SUMPRODUCT((nCUENTA=1)*(nCURSO=A75)*(nNOTA=10))</f>
        <v>0</v>
      </c>
    </row>
    <row r="76">
      <c r="A76" t="inlineStr">
        <is>
          <t xml:space="preserve">4EPM</t>
        </is>
      </c>
      <c r="B76" t="inlineStr">
        <is>
          <t xml:space="preserve">Total Especialidad</t>
        </is>
      </c>
      <c r="C76" t="inlineStr">
        <is>
          <t xml:space="preserve">TotalEsp</t>
        </is>
      </c>
      <c r="D76">
        <f>SUMPRODUCT((nCUENTA=1)*(nCURSO=A76)*(nCLASE_I="E")*1)</f>
      </c>
      <c r="E76" s="10">
        <f>IFERROR(AVERAGE(IF((nCUENTA=1)*(nCURSO=A76)*(nCLASE_I="E"),nNOTA)),"—")</f>
      </c>
      <c r="F76" s="10">
        <f>IFERROR(_xlfn.STDEV.P(IF((nCUENTA=1)*(nCURSO=A76)*(nCLASE_I="E"),nNOTA)),"—")</f>
      </c>
      <c r="G76">
        <f>IFERROR(_xlfn.MODE.SNGL(IF((nCUENTA=1)*(nCURSO=A76)*(nCLASE_I="E"),nNOTA)),"—")</f>
      </c>
      <c r="H76" s="11">
        <f>IFERROR(SUMPRODUCT((nCUENTA=1)*(nCURSO=A76)*(nCLASE_I="E")*(nAPTO="S"))/SUMPRODUCT((nCUENTA=1)*(nCURSO=A76)*(nCLASE_I="E")*1),"—")</f>
      </c>
      <c r="I76" s="11">
        <f>IFERROR(SUMPRODUCT((nCUENTA=1)*(nCURSO=A76)*(nCLASE_I="E")*(nAPTO="N"))/SUMPRODUCT((nCUENTA=1)*(nCURSO=A76)*(nCLASE_I="E")*1),"—")</f>
      </c>
      <c r="J76">
        <f>IFERROR(_xlfn.MODE.SNGL(IF((nCUENTA=1)*(nCURSO=A76)*(nCLASE_I="E")*(nAPTO="S"),nNOTA)),"—")</f>
      </c>
      <c r="K76">
        <f>IFERROR(_xlfn.MODE.SNGL(IF((nCUENTA=1)*(nCURSO=A76)*(nCLASE_I="E")*(nAPTO="N"),nNOTA)),"—")</f>
      </c>
      <c r="L76">
        <f>SUMPRODUCT((nCUENTA=1)*(nCURSO=A76)*(nCLASE_I="E")*(nNOTA=1))</f>
      </c>
      <c r="M76">
        <f>SUMPRODUCT((nCUENTA=1)*(nCURSO=A76)*(nCLASE_I="E")*(nNOTA=2))</f>
      </c>
      <c r="N76">
        <f>SUMPRODUCT((nCUENTA=1)*(nCURSO=A76)*(nCLASE_I="E")*(nNOTA=3))</f>
      </c>
      <c r="O76">
        <f>SUMPRODUCT((nCUENTA=1)*(nCURSO=A76)*(nCLASE_I="E")*(nNOTA=4))</f>
      </c>
      <c r="P76">
        <f>SUMPRODUCT((nCUENTA=1)*(nCURSO=A76)*(nCLASE_I="E")*(nNOTA=5))</f>
      </c>
      <c r="Q76">
        <f>SUMPRODUCT((nCUENTA=1)*(nCURSO=A76)*(nCLASE_I="E")*(nNOTA=6))</f>
      </c>
      <c r="R76">
        <f>SUMPRODUCT((nCUENTA=1)*(nCURSO=A76)*(nCLASE_I="E")*(nNOTA=7))</f>
      </c>
      <c r="S76">
        <f>SUMPRODUCT((nCUENTA=1)*(nCURSO=A76)*(nCLASE_I="E")*(nNOTA=8))</f>
      </c>
      <c r="T76">
        <f>SUMPRODUCT((nCUENTA=1)*(nCURSO=A76)*(nCLASE_I="E")*(nNOTA=9))</f>
      </c>
      <c r="U76">
        <f>SUMPRODUCT((nCUENTA=1)*(nCURSO=A76)*(nCLASE_I="E")*(nNOTA=10))</f>
      </c>
    </row>
    <row r="77">
      <c r="A77" t="inlineStr">
        <is>
          <t xml:space="preserve">4EPM</t>
        </is>
      </c>
      <c r="B77" t="inlineStr">
        <is>
          <t xml:space="preserve">Total No Especialidad</t>
        </is>
      </c>
      <c r="C77" t="inlineStr">
        <is>
          <t xml:space="preserve">TotalNoEsp</t>
        </is>
      </c>
      <c r="D77">
        <f>SUMPRODUCT((nCUENTA=1)*(nCURSO=A77)*((nCLASE_I&lt;&gt;"")*(nCLASE_I&lt;&gt;"E"))*1)</f>
      </c>
      <c r="E77" s="10">
        <f>IFERROR(AVERAGE(IF((nCUENTA=1)*(nCURSO=A77)*((nCLASE_I&lt;&gt;"")*(nCLASE_I&lt;&gt;"E")),nNOTA)),"—")</f>
      </c>
      <c r="F77" s="10">
        <f>IFERROR(_xlfn.STDEV.P(IF((nCUENTA=1)*(nCURSO=A77)*((nCLASE_I&lt;&gt;"")*(nCLASE_I&lt;&gt;"E")),nNOTA)),"—")</f>
      </c>
      <c r="G77">
        <f>IFERROR(_xlfn.MODE.SNGL(IF((nCUENTA=1)*(nCURSO=A77)*((nCLASE_I&lt;&gt;"")*(nCLASE_I&lt;&gt;"E")),nNOTA)),"—")</f>
      </c>
      <c r="H77" s="11">
        <f>IFERROR(SUMPRODUCT((nCUENTA=1)*(nCURSO=A77)*((nCLASE_I&lt;&gt;"")*(nCLASE_I&lt;&gt;"E"))*(nAPTO="S"))/SUMPRODUCT((nCUENTA=1)*(nCURSO=A77)*((nCLASE_I&lt;&gt;"")*(nCLASE_I&lt;&gt;"E"))*1),"—")</f>
      </c>
      <c r="I77" s="11">
        <f>IFERROR(SUMPRODUCT((nCUENTA=1)*(nCURSO=A77)*((nCLASE_I&lt;&gt;"")*(nCLASE_I&lt;&gt;"E"))*(nAPTO="N"))/SUMPRODUCT((nCUENTA=1)*(nCURSO=A77)*((nCLASE_I&lt;&gt;"")*(nCLASE_I&lt;&gt;"E"))*1),"—")</f>
      </c>
      <c r="J77">
        <f>IFERROR(_xlfn.MODE.SNGL(IF((nCUENTA=1)*(nCURSO=A77)*((nCLASE_I&lt;&gt;"")*(nCLASE_I&lt;&gt;"E"))*(nAPTO="S"),nNOTA)),"—")</f>
      </c>
      <c r="K77">
        <f>IFERROR(_xlfn.MODE.SNGL(IF((nCUENTA=1)*(nCURSO=A77)*((nCLASE_I&lt;&gt;"")*(nCLASE_I&lt;&gt;"E"))*(nAPTO="N"),nNOTA)),"—")</f>
      </c>
      <c r="L77">
        <f>SUMPRODUCT((nCUENTA=1)*(nCURSO=A77)*((nCLASE_I&lt;&gt;"")*(nCLASE_I&lt;&gt;"E"))*(nNOTA=1))</f>
      </c>
      <c r="M77">
        <f>SUMPRODUCT((nCUENTA=1)*(nCURSO=A77)*((nCLASE_I&lt;&gt;"")*(nCLASE_I&lt;&gt;"E"))*(nNOTA=2))</f>
      </c>
      <c r="N77">
        <f>SUMPRODUCT((nCUENTA=1)*(nCURSO=A77)*((nCLASE_I&lt;&gt;"")*(nCLASE_I&lt;&gt;"E"))*(nNOTA=3))</f>
      </c>
      <c r="O77">
        <f>SUMPRODUCT((nCUENTA=1)*(nCURSO=A77)*((nCLASE_I&lt;&gt;"")*(nCLASE_I&lt;&gt;"E"))*(nNOTA=4))</f>
      </c>
      <c r="P77">
        <f>SUMPRODUCT((nCUENTA=1)*(nCURSO=A77)*((nCLASE_I&lt;&gt;"")*(nCLASE_I&lt;&gt;"E"))*(nNOTA=5))</f>
      </c>
      <c r="Q77">
        <f>SUMPRODUCT((nCUENTA=1)*(nCURSO=A77)*((nCLASE_I&lt;&gt;"")*(nCLASE_I&lt;&gt;"E"))*(nNOTA=6))</f>
      </c>
      <c r="R77">
        <f>SUMPRODUCT((nCUENTA=1)*(nCURSO=A77)*((nCLASE_I&lt;&gt;"")*(nCLASE_I&lt;&gt;"E"))*(nNOTA=7))</f>
      </c>
      <c r="S77">
        <f>SUMPRODUCT((nCUENTA=1)*(nCURSO=A77)*((nCLASE_I&lt;&gt;"")*(nCLASE_I&lt;&gt;"E"))*(nNOTA=8))</f>
      </c>
      <c r="T77">
        <f>SUMPRODUCT((nCUENTA=1)*(nCURSO=A77)*((nCLASE_I&lt;&gt;"")*(nCLASE_I&lt;&gt;"E"))*(nNOTA=9))</f>
      </c>
      <c r="U77">
        <f>SUMPRODUCT((nCUENTA=1)*(nCURSO=A77)*((nCLASE_I&lt;&gt;"")*(nCLASE_I&lt;&gt;"E"))*(nNOTA=10))</f>
      </c>
    </row>
    <row r="78">
      <c r="A78" t="inlineStr">
        <is>
          <t xml:space="preserve">5EPM</t>
        </is>
      </c>
      <c r="B78" t="inlineStr">
        <is>
          <t xml:space="preserve">Total</t>
        </is>
      </c>
      <c r="C78" t="inlineStr">
        <is>
          <t xml:space="preserve">Total</t>
        </is>
      </c>
      <c r="D78">
        <f>SUMPRODUCT((nCUENTA=1)*(nCURSO=A78))</f>
        <v>0</v>
      </c>
      <c r="E78" s="10" t="str">
        <f>IFERROR(SUMPRODUCT((nCUENTA=1)*(nCURSO=A78)*(nNOTA))/D78,"—")</f>
        <v>—</v>
      </c>
      <c r="F78" s="10" t="str" cm="1">
        <f t="array" ref="F78">IFERROR(_xlfn.STDEV.P(_xlfn._xlws.FILTER(nNOTA,(nCUENTA=1)*(nCURSO=A78))),"—")</f>
        <v>—</v>
      </c>
      <c r="G78" t="str" cm="1">
        <f t="array" ref="G78">IFERROR(_xlfn.MODE.SNGL(_xlfn._xlws.FILTER(nNOTA,(nCUENTA=1)*(nCURSO=A78))),"—")</f>
        <v>—</v>
      </c>
      <c r="H78" s="11" t="str">
        <f>IFERROR(SUMPRODUCT((nCUENTA=1)*(nCURSO=A78)*(nAPTO="S"))/D78,"—")</f>
        <v>—</v>
      </c>
      <c r="I78" s="11" t="str">
        <f>IFERROR(SUMPRODUCT((nCUENTA=1)*(nCURSO=A78)*(nAPTO="N"))/D78,"—")</f>
        <v>—</v>
      </c>
      <c r="J78" t="str" cm="1">
        <f t="array" ref="J78">IFERROR(_xlfn.MODE.SNGL(_xlfn._xlws.FILTER(nNOTA,(nCUENTA=1)*(nCURSO=A78)*(nAPTO="S"))),"—")</f>
        <v>—</v>
      </c>
      <c r="K78" t="str" cm="1">
        <f t="array" ref="K78">IFERROR(_xlfn.MODE.SNGL(_xlfn._xlws.FILTER(nNOTA,(nCUENTA=1)*(nCURSO=A78)*(nAPTO="N"))),"—")</f>
        <v>—</v>
      </c>
      <c r="L78">
        <f>SUMPRODUCT((nCUENTA=1)*(nCURSO=A78)*(nNOTA=1))</f>
        <v>0</v>
      </c>
      <c r="M78">
        <f>SUMPRODUCT((nCUENTA=1)*(nCURSO=A78)*(nNOTA=2))</f>
        <v>0</v>
      </c>
      <c r="N78">
        <f>SUMPRODUCT((nCUENTA=1)*(nCURSO=A78)*(nNOTA=3))</f>
        <v>0</v>
      </c>
      <c r="O78">
        <f>SUMPRODUCT((nCUENTA=1)*(nCURSO=A78)*(nNOTA=4))</f>
        <v>0</v>
      </c>
      <c r="P78">
        <f>SUMPRODUCT((nCUENTA=1)*(nCURSO=A78)*(nNOTA=5))</f>
        <v>0</v>
      </c>
      <c r="Q78">
        <f>SUMPRODUCT((nCUENTA=1)*(nCURSO=A78)*(nNOTA=6))</f>
        <v>0</v>
      </c>
      <c r="R78">
        <f>SUMPRODUCT((nCUENTA=1)*(nCURSO=A78)*(nNOTA=7))</f>
        <v>0</v>
      </c>
      <c r="S78">
        <f>SUMPRODUCT((nCUENTA=1)*(nCURSO=A78)*(nNOTA=8))</f>
        <v>0</v>
      </c>
      <c r="T78">
        <f>SUMPRODUCT((nCUENTA=1)*(nCURSO=A78)*(nNOTA=9))</f>
        <v>0</v>
      </c>
      <c r="U78">
        <f>SUMPRODUCT((nCUENTA=1)*(nCURSO=A78)*(nNOTA=10))</f>
        <v>0</v>
      </c>
    </row>
    <row r="79">
      <c r="A79" t="inlineStr">
        <is>
          <t xml:space="preserve">5EPM</t>
        </is>
      </c>
      <c r="B79" t="inlineStr">
        <is>
          <t xml:space="preserve">Total Especialidad</t>
        </is>
      </c>
      <c r="C79" t="inlineStr">
        <is>
          <t xml:space="preserve">TotalEsp</t>
        </is>
      </c>
      <c r="D79">
        <f>SUMPRODUCT((nCUENTA=1)*(nCURSO=A79)*(nCLASE_I="E")*1)</f>
      </c>
      <c r="E79" s="10">
        <f>IFERROR(AVERAGE(IF((nCUENTA=1)*(nCURSO=A79)*(nCLASE_I="E"),nNOTA)),"—")</f>
      </c>
      <c r="F79" s="10">
        <f>IFERROR(_xlfn.STDEV.P(IF((nCUENTA=1)*(nCURSO=A79)*(nCLASE_I="E"),nNOTA)),"—")</f>
      </c>
      <c r="G79">
        <f>IFERROR(_xlfn.MODE.SNGL(IF((nCUENTA=1)*(nCURSO=A79)*(nCLASE_I="E"),nNOTA)),"—")</f>
      </c>
      <c r="H79" s="11">
        <f>IFERROR(SUMPRODUCT((nCUENTA=1)*(nCURSO=A79)*(nCLASE_I="E")*(nAPTO="S"))/SUMPRODUCT((nCUENTA=1)*(nCURSO=A79)*(nCLASE_I="E")*1),"—")</f>
      </c>
      <c r="I79" s="11">
        <f>IFERROR(SUMPRODUCT((nCUENTA=1)*(nCURSO=A79)*(nCLASE_I="E")*(nAPTO="N"))/SUMPRODUCT((nCUENTA=1)*(nCURSO=A79)*(nCLASE_I="E")*1),"—")</f>
      </c>
      <c r="J79">
        <f>IFERROR(_xlfn.MODE.SNGL(IF((nCUENTA=1)*(nCURSO=A79)*(nCLASE_I="E")*(nAPTO="S"),nNOTA)),"—")</f>
      </c>
      <c r="K79">
        <f>IFERROR(_xlfn.MODE.SNGL(IF((nCUENTA=1)*(nCURSO=A79)*(nCLASE_I="E")*(nAPTO="N"),nNOTA)),"—")</f>
      </c>
      <c r="L79">
        <f>SUMPRODUCT((nCUENTA=1)*(nCURSO=A79)*(nCLASE_I="E")*(nNOTA=1))</f>
      </c>
      <c r="M79">
        <f>SUMPRODUCT((nCUENTA=1)*(nCURSO=A79)*(nCLASE_I="E")*(nNOTA=2))</f>
      </c>
      <c r="N79">
        <f>SUMPRODUCT((nCUENTA=1)*(nCURSO=A79)*(nCLASE_I="E")*(nNOTA=3))</f>
      </c>
      <c r="O79">
        <f>SUMPRODUCT((nCUENTA=1)*(nCURSO=A79)*(nCLASE_I="E")*(nNOTA=4))</f>
      </c>
      <c r="P79">
        <f>SUMPRODUCT((nCUENTA=1)*(nCURSO=A79)*(nCLASE_I="E")*(nNOTA=5))</f>
      </c>
      <c r="Q79">
        <f>SUMPRODUCT((nCUENTA=1)*(nCURSO=A79)*(nCLASE_I="E")*(nNOTA=6))</f>
      </c>
      <c r="R79">
        <f>SUMPRODUCT((nCUENTA=1)*(nCURSO=A79)*(nCLASE_I="E")*(nNOTA=7))</f>
      </c>
      <c r="S79">
        <f>SUMPRODUCT((nCUENTA=1)*(nCURSO=A79)*(nCLASE_I="E")*(nNOTA=8))</f>
      </c>
      <c r="T79">
        <f>SUMPRODUCT((nCUENTA=1)*(nCURSO=A79)*(nCLASE_I="E")*(nNOTA=9))</f>
      </c>
      <c r="U79">
        <f>SUMPRODUCT((nCUENTA=1)*(nCURSO=A79)*(nCLASE_I="E")*(nNOTA=10))</f>
      </c>
    </row>
    <row r="80">
      <c r="A80" t="inlineStr">
        <is>
          <t xml:space="preserve">5EPM</t>
        </is>
      </c>
      <c r="B80" t="inlineStr">
        <is>
          <t xml:space="preserve">Total No Especialidad</t>
        </is>
      </c>
      <c r="C80" t="inlineStr">
        <is>
          <t xml:space="preserve">TotalNoEsp</t>
        </is>
      </c>
      <c r="D80">
        <f>SUMPRODUCT((nCUENTA=1)*(nCURSO=A80)*((nCLASE_I&lt;&gt;"")*(nCLASE_I&lt;&gt;"E"))*1)</f>
      </c>
      <c r="E80" s="10">
        <f>IFERROR(AVERAGE(IF((nCUENTA=1)*(nCURSO=A80)*((nCLASE_I&lt;&gt;"")*(nCLASE_I&lt;&gt;"E")),nNOTA)),"—")</f>
      </c>
      <c r="F80" s="10">
        <f>IFERROR(_xlfn.STDEV.P(IF((nCUENTA=1)*(nCURSO=A80)*((nCLASE_I&lt;&gt;"")*(nCLASE_I&lt;&gt;"E")),nNOTA)),"—")</f>
      </c>
      <c r="G80">
        <f>IFERROR(_xlfn.MODE.SNGL(IF((nCUENTA=1)*(nCURSO=A80)*((nCLASE_I&lt;&gt;"")*(nCLASE_I&lt;&gt;"E")),nNOTA)),"—")</f>
      </c>
      <c r="H80" s="11">
        <f>IFERROR(SUMPRODUCT((nCUENTA=1)*(nCURSO=A80)*((nCLASE_I&lt;&gt;"")*(nCLASE_I&lt;&gt;"E"))*(nAPTO="S"))/SUMPRODUCT((nCUENTA=1)*(nCURSO=A80)*((nCLASE_I&lt;&gt;"")*(nCLASE_I&lt;&gt;"E"))*1),"—")</f>
      </c>
      <c r="I80" s="11">
        <f>IFERROR(SUMPRODUCT((nCUENTA=1)*(nCURSO=A80)*((nCLASE_I&lt;&gt;"")*(nCLASE_I&lt;&gt;"E"))*(nAPTO="N"))/SUMPRODUCT((nCUENTA=1)*(nCURSO=A80)*((nCLASE_I&lt;&gt;"")*(nCLASE_I&lt;&gt;"E"))*1),"—")</f>
      </c>
      <c r="J80">
        <f>IFERROR(_xlfn.MODE.SNGL(IF((nCUENTA=1)*(nCURSO=A80)*((nCLASE_I&lt;&gt;"")*(nCLASE_I&lt;&gt;"E"))*(nAPTO="S"),nNOTA)),"—")</f>
      </c>
      <c r="K80">
        <f>IFERROR(_xlfn.MODE.SNGL(IF((nCUENTA=1)*(nCURSO=A80)*((nCLASE_I&lt;&gt;"")*(nCLASE_I&lt;&gt;"E"))*(nAPTO="N"),nNOTA)),"—")</f>
      </c>
      <c r="L80">
        <f>SUMPRODUCT((nCUENTA=1)*(nCURSO=A80)*((nCLASE_I&lt;&gt;"")*(nCLASE_I&lt;&gt;"E"))*(nNOTA=1))</f>
      </c>
      <c r="M80">
        <f>SUMPRODUCT((nCUENTA=1)*(nCURSO=A80)*((nCLASE_I&lt;&gt;"")*(nCLASE_I&lt;&gt;"E"))*(nNOTA=2))</f>
      </c>
      <c r="N80">
        <f>SUMPRODUCT((nCUENTA=1)*(nCURSO=A80)*((nCLASE_I&lt;&gt;"")*(nCLASE_I&lt;&gt;"E"))*(nNOTA=3))</f>
      </c>
      <c r="O80">
        <f>SUMPRODUCT((nCUENTA=1)*(nCURSO=A80)*((nCLASE_I&lt;&gt;"")*(nCLASE_I&lt;&gt;"E"))*(nNOTA=4))</f>
      </c>
      <c r="P80">
        <f>SUMPRODUCT((nCUENTA=1)*(nCURSO=A80)*((nCLASE_I&lt;&gt;"")*(nCLASE_I&lt;&gt;"E"))*(nNOTA=5))</f>
      </c>
      <c r="Q80">
        <f>SUMPRODUCT((nCUENTA=1)*(nCURSO=A80)*((nCLASE_I&lt;&gt;"")*(nCLASE_I&lt;&gt;"E"))*(nNOTA=6))</f>
      </c>
      <c r="R80">
        <f>SUMPRODUCT((nCUENTA=1)*(nCURSO=A80)*((nCLASE_I&lt;&gt;"")*(nCLASE_I&lt;&gt;"E"))*(nNOTA=7))</f>
      </c>
      <c r="S80">
        <f>SUMPRODUCT((nCUENTA=1)*(nCURSO=A80)*((nCLASE_I&lt;&gt;"")*(nCLASE_I&lt;&gt;"E"))*(nNOTA=8))</f>
      </c>
      <c r="T80">
        <f>SUMPRODUCT((nCUENTA=1)*(nCURSO=A80)*((nCLASE_I&lt;&gt;"")*(nCLASE_I&lt;&gt;"E"))*(nNOTA=9))</f>
      </c>
      <c r="U80">
        <f>SUMPRODUCT((nCUENTA=1)*(nCURSO=A80)*((nCLASE_I&lt;&gt;"")*(nCLASE_I&lt;&gt;"E"))*(nNOTA=10))</f>
      </c>
    </row>
    <row r="81">
      <c r="A81" t="inlineStr">
        <is>
          <t xml:space="preserve">6EPM</t>
        </is>
      </c>
      <c r="B81" t="inlineStr">
        <is>
          <t xml:space="preserve">Total</t>
        </is>
      </c>
      <c r="C81" t="inlineStr">
        <is>
          <t xml:space="preserve">Total</t>
        </is>
      </c>
      <c r="D81">
        <f>SUMPRODUCT((nCUENTA=1)*(nCURSO=A81))</f>
        <v>0</v>
      </c>
      <c r="E81" s="10" t="str">
        <f>IFERROR(SUMPRODUCT((nCUENTA=1)*(nCURSO=A81)*(nNOTA))/D81,"—")</f>
        <v>—</v>
      </c>
      <c r="F81" s="10" t="str" cm="1">
        <f t="array" ref="F81">IFERROR(_xlfn.STDEV.P(_xlfn._xlws.FILTER(nNOTA,(nCUENTA=1)*(nCURSO=A81))),"—")</f>
        <v>—</v>
      </c>
      <c r="G81" t="str" cm="1">
        <f t="array" ref="G81">IFERROR(_xlfn.MODE.SNGL(_xlfn._xlws.FILTER(nNOTA,(nCUENTA=1)*(nCURSO=A81))),"—")</f>
        <v>—</v>
      </c>
      <c r="H81" s="11" t="str">
        <f>IFERROR(SUMPRODUCT((nCUENTA=1)*(nCURSO=A81)*(nAPTO="S"))/D81,"—")</f>
        <v>—</v>
      </c>
      <c r="I81" s="11" t="str">
        <f>IFERROR(SUMPRODUCT((nCUENTA=1)*(nCURSO=A81)*(nAPTO="N"))/D81,"—")</f>
        <v>—</v>
      </c>
      <c r="J81" t="str" cm="1">
        <f t="array" ref="J81">IFERROR(_xlfn.MODE.SNGL(_xlfn._xlws.FILTER(nNOTA,(nCUENTA=1)*(nCURSO=A81)*(nAPTO="S"))),"—")</f>
        <v>—</v>
      </c>
      <c r="K81" t="str" cm="1">
        <f t="array" ref="K81">IFERROR(_xlfn.MODE.SNGL(_xlfn._xlws.FILTER(nNOTA,(nCUENTA=1)*(nCURSO=A81)*(nAPTO="N"))),"—")</f>
        <v>—</v>
      </c>
      <c r="L81">
        <f>SUMPRODUCT((nCUENTA=1)*(nCURSO=A81)*(nNOTA=1))</f>
        <v>0</v>
      </c>
      <c r="M81">
        <f>SUMPRODUCT((nCUENTA=1)*(nCURSO=A81)*(nNOTA=2))</f>
        <v>0</v>
      </c>
      <c r="N81">
        <f>SUMPRODUCT((nCUENTA=1)*(nCURSO=A81)*(nNOTA=3))</f>
        <v>0</v>
      </c>
      <c r="O81">
        <f>SUMPRODUCT((nCUENTA=1)*(nCURSO=A81)*(nNOTA=4))</f>
        <v>0</v>
      </c>
      <c r="P81">
        <f>SUMPRODUCT((nCUENTA=1)*(nCURSO=A81)*(nNOTA=5))</f>
        <v>0</v>
      </c>
      <c r="Q81">
        <f>SUMPRODUCT((nCUENTA=1)*(nCURSO=A81)*(nNOTA=6))</f>
        <v>0</v>
      </c>
      <c r="R81">
        <f>SUMPRODUCT((nCUENTA=1)*(nCURSO=A81)*(nNOTA=7))</f>
        <v>0</v>
      </c>
      <c r="S81">
        <f>SUMPRODUCT((nCUENTA=1)*(nCURSO=A81)*(nNOTA=8))</f>
        <v>0</v>
      </c>
      <c r="T81">
        <f>SUMPRODUCT((nCUENTA=1)*(nCURSO=A81)*(nNOTA=9))</f>
        <v>0</v>
      </c>
      <c r="U81">
        <f>SUMPRODUCT((nCUENTA=1)*(nCURSO=A81)*(nNOTA=10))</f>
        <v>0</v>
      </c>
    </row>
    <row r="82">
      <c r="A82" t="inlineStr">
        <is>
          <t xml:space="preserve">6EPM</t>
        </is>
      </c>
      <c r="B82" t="inlineStr">
        <is>
          <t xml:space="preserve">Total Especialidad</t>
        </is>
      </c>
      <c r="C82" t="inlineStr">
        <is>
          <t xml:space="preserve">TotalEsp</t>
        </is>
      </c>
      <c r="D82">
        <f>SUMPRODUCT((nCUENTA=1)*(nCURSO=A82)*(nCLASE_I="E")*1)</f>
      </c>
      <c r="E82" s="10">
        <f>IFERROR(AVERAGE(IF((nCUENTA=1)*(nCURSO=A82)*(nCLASE_I="E"),nNOTA)),"—")</f>
      </c>
      <c r="F82" s="10">
        <f>IFERROR(_xlfn.STDEV.P(IF((nCUENTA=1)*(nCURSO=A82)*(nCLASE_I="E"),nNOTA)),"—")</f>
      </c>
      <c r="G82">
        <f>IFERROR(_xlfn.MODE.SNGL(IF((nCUENTA=1)*(nCURSO=A82)*(nCLASE_I="E"),nNOTA)),"—")</f>
      </c>
      <c r="H82" s="11">
        <f>IFERROR(SUMPRODUCT((nCUENTA=1)*(nCURSO=A82)*(nCLASE_I="E")*(nAPTO="S"))/SUMPRODUCT((nCUENTA=1)*(nCURSO=A82)*(nCLASE_I="E")*1),"—")</f>
      </c>
      <c r="I82" s="11">
        <f>IFERROR(SUMPRODUCT((nCUENTA=1)*(nCURSO=A82)*(nCLASE_I="E")*(nAPTO="N"))/SUMPRODUCT((nCUENTA=1)*(nCURSO=A82)*(nCLASE_I="E")*1),"—")</f>
      </c>
      <c r="J82">
        <f>IFERROR(_xlfn.MODE.SNGL(IF((nCUENTA=1)*(nCURSO=A82)*(nCLASE_I="E")*(nAPTO="S"),nNOTA)),"—")</f>
      </c>
      <c r="K82">
        <f>IFERROR(_xlfn.MODE.SNGL(IF((nCUENTA=1)*(nCURSO=A82)*(nCLASE_I="E")*(nAPTO="N"),nNOTA)),"—")</f>
      </c>
      <c r="L82">
        <f>SUMPRODUCT((nCUENTA=1)*(nCURSO=A82)*(nCLASE_I="E")*(nNOTA=1))</f>
      </c>
      <c r="M82">
        <f>SUMPRODUCT((nCUENTA=1)*(nCURSO=A82)*(nCLASE_I="E")*(nNOTA=2))</f>
      </c>
      <c r="N82">
        <f>SUMPRODUCT((nCUENTA=1)*(nCURSO=A82)*(nCLASE_I="E")*(nNOTA=3))</f>
      </c>
      <c r="O82">
        <f>SUMPRODUCT((nCUENTA=1)*(nCURSO=A82)*(nCLASE_I="E")*(nNOTA=4))</f>
      </c>
      <c r="P82">
        <f>SUMPRODUCT((nCUENTA=1)*(nCURSO=A82)*(nCLASE_I="E")*(nNOTA=5))</f>
      </c>
      <c r="Q82">
        <f>SUMPRODUCT((nCUENTA=1)*(nCURSO=A82)*(nCLASE_I="E")*(nNOTA=6))</f>
      </c>
      <c r="R82">
        <f>SUMPRODUCT((nCUENTA=1)*(nCURSO=A82)*(nCLASE_I="E")*(nNOTA=7))</f>
      </c>
      <c r="S82">
        <f>SUMPRODUCT((nCUENTA=1)*(nCURSO=A82)*(nCLASE_I="E")*(nNOTA=8))</f>
      </c>
      <c r="T82">
        <f>SUMPRODUCT((nCUENTA=1)*(nCURSO=A82)*(nCLASE_I="E")*(nNOTA=9))</f>
      </c>
      <c r="U82">
        <f>SUMPRODUCT((nCUENTA=1)*(nCURSO=A82)*(nCLASE_I="E")*(nNOTA=10))</f>
      </c>
    </row>
    <row r="83">
      <c r="A83" t="inlineStr">
        <is>
          <t xml:space="preserve">6EPM</t>
        </is>
      </c>
      <c r="B83" t="inlineStr">
        <is>
          <t xml:space="preserve">Total No Especialidad</t>
        </is>
      </c>
      <c r="C83" t="inlineStr">
        <is>
          <t xml:space="preserve">TotalNoEsp</t>
        </is>
      </c>
      <c r="D83">
        <f>SUMPRODUCT((nCUENTA=1)*(nCURSO=A83)*((nCLASE_I&lt;&gt;"")*(nCLASE_I&lt;&gt;"E"))*1)</f>
      </c>
      <c r="E83" s="10">
        <f>IFERROR(AVERAGE(IF((nCUENTA=1)*(nCURSO=A83)*((nCLASE_I&lt;&gt;"")*(nCLASE_I&lt;&gt;"E")),nNOTA)),"—")</f>
      </c>
      <c r="F83" s="10">
        <f>IFERROR(_xlfn.STDEV.P(IF((nCUENTA=1)*(nCURSO=A83)*((nCLASE_I&lt;&gt;"")*(nCLASE_I&lt;&gt;"E")),nNOTA)),"—")</f>
      </c>
      <c r="G83">
        <f>IFERROR(_xlfn.MODE.SNGL(IF((nCUENTA=1)*(nCURSO=A83)*((nCLASE_I&lt;&gt;"")*(nCLASE_I&lt;&gt;"E")),nNOTA)),"—")</f>
      </c>
      <c r="H83" s="11">
        <f>IFERROR(SUMPRODUCT((nCUENTA=1)*(nCURSO=A83)*((nCLASE_I&lt;&gt;"")*(nCLASE_I&lt;&gt;"E"))*(nAPTO="S"))/SUMPRODUCT((nCUENTA=1)*(nCURSO=A83)*((nCLASE_I&lt;&gt;"")*(nCLASE_I&lt;&gt;"E"))*1),"—")</f>
      </c>
      <c r="I83" s="11">
        <f>IFERROR(SUMPRODUCT((nCUENTA=1)*(nCURSO=A83)*((nCLASE_I&lt;&gt;"")*(nCLASE_I&lt;&gt;"E"))*(nAPTO="N"))/SUMPRODUCT((nCUENTA=1)*(nCURSO=A83)*((nCLASE_I&lt;&gt;"")*(nCLASE_I&lt;&gt;"E"))*1),"—")</f>
      </c>
      <c r="J83">
        <f>IFERROR(_xlfn.MODE.SNGL(IF((nCUENTA=1)*(nCURSO=A83)*((nCLASE_I&lt;&gt;"")*(nCLASE_I&lt;&gt;"E"))*(nAPTO="S"),nNOTA)),"—")</f>
      </c>
      <c r="K83">
        <f>IFERROR(_xlfn.MODE.SNGL(IF((nCUENTA=1)*(nCURSO=A83)*((nCLASE_I&lt;&gt;"")*(nCLASE_I&lt;&gt;"E"))*(nAPTO="N"),nNOTA)),"—")</f>
      </c>
      <c r="L83">
        <f>SUMPRODUCT((nCUENTA=1)*(nCURSO=A83)*((nCLASE_I&lt;&gt;"")*(nCLASE_I&lt;&gt;"E"))*(nNOTA=1))</f>
      </c>
      <c r="M83">
        <f>SUMPRODUCT((nCUENTA=1)*(nCURSO=A83)*((nCLASE_I&lt;&gt;"")*(nCLASE_I&lt;&gt;"E"))*(nNOTA=2))</f>
      </c>
      <c r="N83">
        <f>SUMPRODUCT((nCUENTA=1)*(nCURSO=A83)*((nCLASE_I&lt;&gt;"")*(nCLASE_I&lt;&gt;"E"))*(nNOTA=3))</f>
      </c>
      <c r="O83">
        <f>SUMPRODUCT((nCUENTA=1)*(nCURSO=A83)*((nCLASE_I&lt;&gt;"")*(nCLASE_I&lt;&gt;"E"))*(nNOTA=4))</f>
      </c>
      <c r="P83">
        <f>SUMPRODUCT((nCUENTA=1)*(nCURSO=A83)*((nCLASE_I&lt;&gt;"")*(nCLASE_I&lt;&gt;"E"))*(nNOTA=5))</f>
      </c>
      <c r="Q83">
        <f>SUMPRODUCT((nCUENTA=1)*(nCURSO=A83)*((nCLASE_I&lt;&gt;"")*(nCLASE_I&lt;&gt;"E"))*(nNOTA=6))</f>
      </c>
      <c r="R83">
        <f>SUMPRODUCT((nCUENTA=1)*(nCURSO=A83)*((nCLASE_I&lt;&gt;"")*(nCLASE_I&lt;&gt;"E"))*(nNOTA=7))</f>
      </c>
      <c r="S83">
        <f>SUMPRODUCT((nCUENTA=1)*(nCURSO=A83)*((nCLASE_I&lt;&gt;"")*(nCLASE_I&lt;&gt;"E"))*(nNOTA=8))</f>
      </c>
      <c r="T83">
        <f>SUMPRODUCT((nCUENTA=1)*(nCURSO=A83)*((nCLASE_I&lt;&gt;"")*(nCLASE_I&lt;&gt;"E"))*(nNOTA=9))</f>
      </c>
      <c r="U83">
        <f>SUMPRODUCT((nCUENTA=1)*(nCURSO=A83)*((nCLASE_I&lt;&gt;"")*(nCLASE_I&lt;&gt;"E"))*(nNOTA=10))</f>
      </c>
    </row>
    <row r="84">
      <c r="A84" t="inlineStr">
        <is>
          <t xml:space="preserve">1EPM</t>
        </is>
      </c>
      <c r="B84" cm="1">
        <f t="array" ref="B84">IFERROR(INDEX(_xlfn._xlws.FILTER(CONFIG_ASIGNATURAS!$B$2:$B$91,(CONFIG_ASIGNATURAS!$G$2:$G$91="Sí")*ISNUMBER(SEARCH("1EPM",CONFIG_ASIGNATURAS!$C$2:$C$91))),1),"")</f>
      </c>
      <c r="C84">
        <f>IF(B84="","",IFERROR(VLOOKUP(B84,CONFIG_ASIGNATURAS!$B$2:$D$91,3,FALSE()),"Asignatura"))</f>
      </c>
      <c r="D84">
        <f>SUMPRODUCT((nCUENTA=1)*(nCURSO=A84)*(nASIG=B84))</f>
        <v>0</v>
      </c>
      <c r="E84" s="10" t="str">
        <f>IFERROR(SUMPRODUCT((nCUENTA=1)*(nCURSO=A84)*(nASIG=B84)*(nNOTA))/D84,"—")</f>
        <v>—</v>
      </c>
      <c r="F84" s="10" t="str" cm="1">
        <f t="array" ref="F84">IFERROR(_xlfn.STDEV.P(_xlfn._xlws.FILTER(nNOTA,(nCUENTA=1)*(nCURSO=A84)*(nASIG=B84))),"—")</f>
        <v>—</v>
      </c>
      <c r="G84" t="str" cm="1">
        <f t="array" ref="G84">IFERROR(_xlfn.MODE.SNGL(_xlfn._xlws.FILTER(nNOTA,(nCUENTA=1)*(nCURSO=A84)*(nASIG=B84))),"—")</f>
        <v>—</v>
      </c>
      <c r="H84" s="11" t="str">
        <f>IFERROR(SUMPRODUCT((nCUENTA=1)*(nCURSO=A84)*(nASIG=B84)*(nAPTO="S"))/D84,"—")</f>
        <v>—</v>
      </c>
      <c r="I84" s="11" t="str">
        <f>IFERROR(SUMPRODUCT((nCUENTA=1)*(nCURSO=A84)*(nASIG=B84)*(nAPTO="N"))/D84,"—")</f>
        <v>—</v>
      </c>
      <c r="J84" t="str" cm="1">
        <f t="array" ref="J84">IFERROR(_xlfn.MODE.SNGL(_xlfn._xlws.FILTER(nNOTA,(nCUENTA=1)*(nCURSO=A84)*(nASIG=B84)*(nAPTO="S"))),"—")</f>
        <v>—</v>
      </c>
      <c r="K84" t="str" cm="1">
        <f t="array" ref="K84">IFERROR(_xlfn.MODE.SNGL(_xlfn._xlws.FILTER(nNOTA,(nCUENTA=1)*(nCURSO=A84)*(nASIG=B84)*(nAPTO="N"))),"—")</f>
        <v>—</v>
      </c>
      <c r="L84">
        <f>SUMPRODUCT((nCUENTA=1)*(nCURSO=A84)*(nASIG=B84)*(nNOTA=1))</f>
        <v>0</v>
      </c>
      <c r="M84">
        <f>SUMPRODUCT((nCUENTA=1)*(nCURSO=A84)*(nASIG=B84)*(nNOTA=2))</f>
        <v>0</v>
      </c>
      <c r="N84">
        <f>SUMPRODUCT((nCUENTA=1)*(nCURSO=A84)*(nASIG=B84)*(nNOTA=3))</f>
        <v>0</v>
      </c>
      <c r="O84">
        <f>SUMPRODUCT((nCUENTA=1)*(nCURSO=A84)*(nASIG=B84)*(nNOTA=4))</f>
        <v>0</v>
      </c>
      <c r="P84">
        <f>SUMPRODUCT((nCUENTA=1)*(nCURSO=A84)*(nASIG=B84)*(nNOTA=5))</f>
        <v>0</v>
      </c>
      <c r="Q84">
        <f>SUMPRODUCT((nCUENTA=1)*(nCURSO=A84)*(nASIG=B84)*(nNOTA=6))</f>
        <v>0</v>
      </c>
      <c r="R84">
        <f>SUMPRODUCT((nCUENTA=1)*(nCURSO=A84)*(nASIG=B84)*(nNOTA=7))</f>
        <v>0</v>
      </c>
      <c r="S84">
        <f>SUMPRODUCT((nCUENTA=1)*(nCURSO=A84)*(nASIG=B84)*(nNOTA=8))</f>
        <v>0</v>
      </c>
      <c r="T84">
        <f>SUMPRODUCT((nCUENTA=1)*(nCURSO=A84)*(nASIG=B84)*(nNOTA=9))</f>
        <v>0</v>
      </c>
      <c r="U84">
        <f>SUMPRODUCT((nCUENTA=1)*(nCURSO=A84)*(nASIG=B84)*(nNOTA=10))</f>
        <v>0</v>
      </c>
    </row>
    <row r="85">
      <c r="A85" t="inlineStr">
        <is>
          <t xml:space="preserve">1EPM</t>
        </is>
      </c>
      <c r="B85" cm="1">
        <f t="array" ref="B85">IFERROR(INDEX(_xlfn._xlws.FILTER(CONFIG_ASIGNATURAS!$B$2:$B$91,(CONFIG_ASIGNATURAS!$G$2:$G$91="Sí")*ISNUMBER(SEARCH("1EPM",CONFIG_ASIGNATURAS!$C$2:$C$91))),2),"")</f>
      </c>
      <c r="C85">
        <f>IF(B85="","",IFERROR(VLOOKUP(B85,CONFIG_ASIGNATURAS!$B$2:$D$91,3,FALSE()),"Asignatura"))</f>
      </c>
      <c r="D85">
        <f>SUMPRODUCT((nCUENTA=1)*(nCURSO=A85)*(nASIG=B85))</f>
        <v>0</v>
      </c>
      <c r="E85" s="10" t="str">
        <f>IFERROR(SUMPRODUCT((nCUENTA=1)*(nCURSO=A85)*(nASIG=B85)*(nNOTA))/D85,"—")</f>
        <v>—</v>
      </c>
      <c r="F85" s="10" t="str" cm="1">
        <f t="array" ref="F85">IFERROR(_xlfn.STDEV.P(_xlfn._xlws.FILTER(nNOTA,(nCUENTA=1)*(nCURSO=A85)*(nASIG=B85))),"—")</f>
        <v>—</v>
      </c>
      <c r="G85" t="str" cm="1">
        <f t="array" ref="G85">IFERROR(_xlfn.MODE.SNGL(_xlfn._xlws.FILTER(nNOTA,(nCUENTA=1)*(nCURSO=A85)*(nASIG=B85))),"—")</f>
        <v>—</v>
      </c>
      <c r="H85" s="11" t="str">
        <f>IFERROR(SUMPRODUCT((nCUENTA=1)*(nCURSO=A85)*(nASIG=B85)*(nAPTO="S"))/D85,"—")</f>
        <v>—</v>
      </c>
      <c r="I85" s="11" t="str">
        <f>IFERROR(SUMPRODUCT((nCUENTA=1)*(nCURSO=A85)*(nASIG=B85)*(nAPTO="N"))/D85,"—")</f>
        <v>—</v>
      </c>
      <c r="J85" t="str" cm="1">
        <f t="array" ref="J85">IFERROR(_xlfn.MODE.SNGL(_xlfn._xlws.FILTER(nNOTA,(nCUENTA=1)*(nCURSO=A85)*(nASIG=B85)*(nAPTO="S"))),"—")</f>
        <v>—</v>
      </c>
      <c r="K85" t="str" cm="1">
        <f t="array" ref="K85">IFERROR(_xlfn.MODE.SNGL(_xlfn._xlws.FILTER(nNOTA,(nCUENTA=1)*(nCURSO=A85)*(nASIG=B85)*(nAPTO="N"))),"—")</f>
        <v>—</v>
      </c>
      <c r="L85">
        <f>SUMPRODUCT((nCUENTA=1)*(nCURSO=A85)*(nASIG=B85)*(nNOTA=1))</f>
        <v>0</v>
      </c>
      <c r="M85">
        <f>SUMPRODUCT((nCUENTA=1)*(nCURSO=A85)*(nASIG=B85)*(nNOTA=2))</f>
        <v>0</v>
      </c>
      <c r="N85">
        <f>SUMPRODUCT((nCUENTA=1)*(nCURSO=A85)*(nASIG=B85)*(nNOTA=3))</f>
        <v>0</v>
      </c>
      <c r="O85">
        <f>SUMPRODUCT((nCUENTA=1)*(nCURSO=A85)*(nASIG=B85)*(nNOTA=4))</f>
        <v>0</v>
      </c>
      <c r="P85">
        <f>SUMPRODUCT((nCUENTA=1)*(nCURSO=A85)*(nASIG=B85)*(nNOTA=5))</f>
        <v>0</v>
      </c>
      <c r="Q85">
        <f>SUMPRODUCT((nCUENTA=1)*(nCURSO=A85)*(nASIG=B85)*(nNOTA=6))</f>
        <v>0</v>
      </c>
      <c r="R85">
        <f>SUMPRODUCT((nCUENTA=1)*(nCURSO=A85)*(nASIG=B85)*(nNOTA=7))</f>
        <v>0</v>
      </c>
      <c r="S85">
        <f>SUMPRODUCT((nCUENTA=1)*(nCURSO=A85)*(nASIG=B85)*(nNOTA=8))</f>
        <v>0</v>
      </c>
      <c r="T85">
        <f>SUMPRODUCT((nCUENTA=1)*(nCURSO=A85)*(nASIG=B85)*(nNOTA=9))</f>
        <v>0</v>
      </c>
      <c r="U85">
        <f>SUMPRODUCT((nCUENTA=1)*(nCURSO=A85)*(nASIG=B85)*(nNOTA=10))</f>
        <v>0</v>
      </c>
    </row>
    <row r="86">
      <c r="A86" t="inlineStr">
        <is>
          <t xml:space="preserve">1EPM</t>
        </is>
      </c>
      <c r="B86" cm="1">
        <f t="array" ref="B86">IFERROR(INDEX(_xlfn._xlws.FILTER(CONFIG_ASIGNATURAS!$B$2:$B$91,(CONFIG_ASIGNATURAS!$G$2:$G$91="Sí")*ISNUMBER(SEARCH("1EPM",CONFIG_ASIGNATURAS!$C$2:$C$91))),3),"")</f>
      </c>
      <c r="C86">
        <f>IF(B86="","",IFERROR(VLOOKUP(B86,CONFIG_ASIGNATURAS!$B$2:$D$91,3,FALSE()),"Asignatura"))</f>
      </c>
      <c r="D86">
        <f>SUMPRODUCT((nCUENTA=1)*(nCURSO=A86)*(nASIG=B86))</f>
        <v>0</v>
      </c>
      <c r="E86" s="10" t="str">
        <f>IFERROR(SUMPRODUCT((nCUENTA=1)*(nCURSO=A86)*(nASIG=B86)*(nNOTA))/D86,"—")</f>
        <v>—</v>
      </c>
      <c r="F86" s="10" t="str" cm="1">
        <f t="array" ref="F86">IFERROR(_xlfn.STDEV.P(_xlfn._xlws.FILTER(nNOTA,(nCUENTA=1)*(nCURSO=A86)*(nASIG=B86))),"—")</f>
        <v>—</v>
      </c>
      <c r="G86" t="str" cm="1">
        <f t="array" ref="G86">IFERROR(_xlfn.MODE.SNGL(_xlfn._xlws.FILTER(nNOTA,(nCUENTA=1)*(nCURSO=A86)*(nASIG=B86))),"—")</f>
        <v>—</v>
      </c>
      <c r="H86" s="11" t="str">
        <f>IFERROR(SUMPRODUCT((nCUENTA=1)*(nCURSO=A86)*(nASIG=B86)*(nAPTO="S"))/D86,"—")</f>
        <v>—</v>
      </c>
      <c r="I86" s="11" t="str">
        <f>IFERROR(SUMPRODUCT((nCUENTA=1)*(nCURSO=A86)*(nASIG=B86)*(nAPTO="N"))/D86,"—")</f>
        <v>—</v>
      </c>
      <c r="J86" t="str" cm="1">
        <f t="array" ref="J86">IFERROR(_xlfn.MODE.SNGL(_xlfn._xlws.FILTER(nNOTA,(nCUENTA=1)*(nCURSO=A86)*(nASIG=B86)*(nAPTO="S"))),"—")</f>
        <v>—</v>
      </c>
      <c r="K86" t="str" cm="1">
        <f t="array" ref="K86">IFERROR(_xlfn.MODE.SNGL(_xlfn._xlws.FILTER(nNOTA,(nCUENTA=1)*(nCURSO=A86)*(nASIG=B86)*(nAPTO="N"))),"—")</f>
        <v>—</v>
      </c>
      <c r="L86">
        <f>SUMPRODUCT((nCUENTA=1)*(nCURSO=A86)*(nASIG=B86)*(nNOTA=1))</f>
        <v>0</v>
      </c>
      <c r="M86">
        <f>SUMPRODUCT((nCUENTA=1)*(nCURSO=A86)*(nASIG=B86)*(nNOTA=2))</f>
        <v>0</v>
      </c>
      <c r="N86">
        <f>SUMPRODUCT((nCUENTA=1)*(nCURSO=A86)*(nASIG=B86)*(nNOTA=3))</f>
        <v>0</v>
      </c>
      <c r="O86">
        <f>SUMPRODUCT((nCUENTA=1)*(nCURSO=A86)*(nASIG=B86)*(nNOTA=4))</f>
        <v>0</v>
      </c>
      <c r="P86">
        <f>SUMPRODUCT((nCUENTA=1)*(nCURSO=A86)*(nASIG=B86)*(nNOTA=5))</f>
        <v>0</v>
      </c>
      <c r="Q86">
        <f>SUMPRODUCT((nCUENTA=1)*(nCURSO=A86)*(nASIG=B86)*(nNOTA=6))</f>
        <v>0</v>
      </c>
      <c r="R86">
        <f>SUMPRODUCT((nCUENTA=1)*(nCURSO=A86)*(nASIG=B86)*(nNOTA=7))</f>
        <v>0</v>
      </c>
      <c r="S86">
        <f>SUMPRODUCT((nCUENTA=1)*(nCURSO=A86)*(nASIG=B86)*(nNOTA=8))</f>
        <v>0</v>
      </c>
      <c r="T86">
        <f>SUMPRODUCT((nCUENTA=1)*(nCURSO=A86)*(nASIG=B86)*(nNOTA=9))</f>
        <v>0</v>
      </c>
      <c r="U86">
        <f>SUMPRODUCT((nCUENTA=1)*(nCURSO=A86)*(nASIG=B86)*(nNOTA=10))</f>
        <v>0</v>
      </c>
    </row>
    <row r="87">
      <c r="A87" t="inlineStr">
        <is>
          <t xml:space="preserve">1EPM</t>
        </is>
      </c>
      <c r="B87" cm="1">
        <f t="array" ref="B87">IFERROR(INDEX(_xlfn._xlws.FILTER(CONFIG_ASIGNATURAS!$B$2:$B$91,(CONFIG_ASIGNATURAS!$G$2:$G$91="Sí")*ISNUMBER(SEARCH("1EPM",CONFIG_ASIGNATURAS!$C$2:$C$91))),4),"")</f>
      </c>
      <c r="C87">
        <f>IF(B87="","",IFERROR(VLOOKUP(B87,CONFIG_ASIGNATURAS!$B$2:$D$91,3,FALSE()),"Asignatura"))</f>
      </c>
      <c r="D87">
        <f>SUMPRODUCT((nCUENTA=1)*(nCURSO=A87)*(nASIG=B87))</f>
        <v>0</v>
      </c>
      <c r="E87" s="10" t="str">
        <f>IFERROR(SUMPRODUCT((nCUENTA=1)*(nCURSO=A87)*(nASIG=B87)*(nNOTA))/D87,"—")</f>
        <v>—</v>
      </c>
      <c r="F87" s="10" t="str" cm="1">
        <f t="array" ref="F87">IFERROR(_xlfn.STDEV.P(_xlfn._xlws.FILTER(nNOTA,(nCUENTA=1)*(nCURSO=A87)*(nASIG=B87))),"—")</f>
        <v>—</v>
      </c>
      <c r="G87" t="str" cm="1">
        <f t="array" ref="G87">IFERROR(_xlfn.MODE.SNGL(_xlfn._xlws.FILTER(nNOTA,(nCUENTA=1)*(nCURSO=A87)*(nASIG=B87))),"—")</f>
        <v>—</v>
      </c>
      <c r="H87" s="11" t="str">
        <f>IFERROR(SUMPRODUCT((nCUENTA=1)*(nCURSO=A87)*(nASIG=B87)*(nAPTO="S"))/D87,"—")</f>
        <v>—</v>
      </c>
      <c r="I87" s="11" t="str">
        <f>IFERROR(SUMPRODUCT((nCUENTA=1)*(nCURSO=A87)*(nASIG=B87)*(nAPTO="N"))/D87,"—")</f>
        <v>—</v>
      </c>
      <c r="J87" t="str" cm="1">
        <f t="array" ref="J87">IFERROR(_xlfn.MODE.SNGL(_xlfn._xlws.FILTER(nNOTA,(nCUENTA=1)*(nCURSO=A87)*(nASIG=B87)*(nAPTO="S"))),"—")</f>
        <v>—</v>
      </c>
      <c r="K87" t="str" cm="1">
        <f t="array" ref="K87">IFERROR(_xlfn.MODE.SNGL(_xlfn._xlws.FILTER(nNOTA,(nCUENTA=1)*(nCURSO=A87)*(nASIG=B87)*(nAPTO="N"))),"—")</f>
        <v>—</v>
      </c>
      <c r="L87">
        <f>SUMPRODUCT((nCUENTA=1)*(nCURSO=A87)*(nASIG=B87)*(nNOTA=1))</f>
        <v>0</v>
      </c>
      <c r="M87">
        <f>SUMPRODUCT((nCUENTA=1)*(nCURSO=A87)*(nASIG=B87)*(nNOTA=2))</f>
        <v>0</v>
      </c>
      <c r="N87">
        <f>SUMPRODUCT((nCUENTA=1)*(nCURSO=A87)*(nASIG=B87)*(nNOTA=3))</f>
        <v>0</v>
      </c>
      <c r="O87">
        <f>SUMPRODUCT((nCUENTA=1)*(nCURSO=A87)*(nASIG=B87)*(nNOTA=4))</f>
        <v>0</v>
      </c>
      <c r="P87">
        <f>SUMPRODUCT((nCUENTA=1)*(nCURSO=A87)*(nASIG=B87)*(nNOTA=5))</f>
        <v>0</v>
      </c>
      <c r="Q87">
        <f>SUMPRODUCT((nCUENTA=1)*(nCURSO=A87)*(nASIG=B87)*(nNOTA=6))</f>
        <v>0</v>
      </c>
      <c r="R87">
        <f>SUMPRODUCT((nCUENTA=1)*(nCURSO=A87)*(nASIG=B87)*(nNOTA=7))</f>
        <v>0</v>
      </c>
      <c r="S87">
        <f>SUMPRODUCT((nCUENTA=1)*(nCURSO=A87)*(nASIG=B87)*(nNOTA=8))</f>
        <v>0</v>
      </c>
      <c r="T87">
        <f>SUMPRODUCT((nCUENTA=1)*(nCURSO=A87)*(nASIG=B87)*(nNOTA=9))</f>
        <v>0</v>
      </c>
      <c r="U87">
        <f>SUMPRODUCT((nCUENTA=1)*(nCURSO=A87)*(nASIG=B87)*(nNOTA=10))</f>
        <v>0</v>
      </c>
    </row>
    <row r="88">
      <c r="A88" t="inlineStr">
        <is>
          <t xml:space="preserve">1EPM</t>
        </is>
      </c>
      <c r="B88" cm="1">
        <f t="array" ref="B88">IFERROR(INDEX(_xlfn._xlws.FILTER(CONFIG_ASIGNATURAS!$B$2:$B$91,(CONFIG_ASIGNATURAS!$G$2:$G$91="Sí")*ISNUMBER(SEARCH("1EPM",CONFIG_ASIGNATURAS!$C$2:$C$91))),5),"")</f>
      </c>
      <c r="C88">
        <f>IF(B88="","",IFERROR(VLOOKUP(B88,CONFIG_ASIGNATURAS!$B$2:$D$91,3,FALSE()),"Asignatura"))</f>
      </c>
      <c r="D88">
        <f>SUMPRODUCT((nCUENTA=1)*(nCURSO=A88)*(nASIG=B88))</f>
        <v>0</v>
      </c>
      <c r="E88" s="10" t="str">
        <f>IFERROR(SUMPRODUCT((nCUENTA=1)*(nCURSO=A88)*(nASIG=B88)*(nNOTA))/D88,"—")</f>
        <v>—</v>
      </c>
      <c r="F88" s="10" t="str" cm="1">
        <f t="array" ref="F88">IFERROR(_xlfn.STDEV.P(_xlfn._xlws.FILTER(nNOTA,(nCUENTA=1)*(nCURSO=A88)*(nASIG=B88))),"—")</f>
        <v>—</v>
      </c>
      <c r="G88" t="str" cm="1">
        <f t="array" ref="G88">IFERROR(_xlfn.MODE.SNGL(_xlfn._xlws.FILTER(nNOTA,(nCUENTA=1)*(nCURSO=A88)*(nASIG=B88))),"—")</f>
        <v>—</v>
      </c>
      <c r="H88" s="11" t="str">
        <f>IFERROR(SUMPRODUCT((nCUENTA=1)*(nCURSO=A88)*(nASIG=B88)*(nAPTO="S"))/D88,"—")</f>
        <v>—</v>
      </c>
      <c r="I88" s="11" t="str">
        <f>IFERROR(SUMPRODUCT((nCUENTA=1)*(nCURSO=A88)*(nASIG=B88)*(nAPTO="N"))/D88,"—")</f>
        <v>—</v>
      </c>
      <c r="J88" t="str" cm="1">
        <f t="array" ref="J88">IFERROR(_xlfn.MODE.SNGL(_xlfn._xlws.FILTER(nNOTA,(nCUENTA=1)*(nCURSO=A88)*(nASIG=B88)*(nAPTO="S"))),"—")</f>
        <v>—</v>
      </c>
      <c r="K88" t="str" cm="1">
        <f t="array" ref="K88">IFERROR(_xlfn.MODE.SNGL(_xlfn._xlws.FILTER(nNOTA,(nCUENTA=1)*(nCURSO=A88)*(nASIG=B88)*(nAPTO="N"))),"—")</f>
        <v>—</v>
      </c>
      <c r="L88">
        <f>SUMPRODUCT((nCUENTA=1)*(nCURSO=A88)*(nASIG=B88)*(nNOTA=1))</f>
        <v>0</v>
      </c>
      <c r="M88">
        <f>SUMPRODUCT((nCUENTA=1)*(nCURSO=A88)*(nASIG=B88)*(nNOTA=2))</f>
        <v>0</v>
      </c>
      <c r="N88">
        <f>SUMPRODUCT((nCUENTA=1)*(nCURSO=A88)*(nASIG=B88)*(nNOTA=3))</f>
        <v>0</v>
      </c>
      <c r="O88">
        <f>SUMPRODUCT((nCUENTA=1)*(nCURSO=A88)*(nASIG=B88)*(nNOTA=4))</f>
        <v>0</v>
      </c>
      <c r="P88">
        <f>SUMPRODUCT((nCUENTA=1)*(nCURSO=A88)*(nASIG=B88)*(nNOTA=5))</f>
        <v>0</v>
      </c>
      <c r="Q88">
        <f>SUMPRODUCT((nCUENTA=1)*(nCURSO=A88)*(nASIG=B88)*(nNOTA=6))</f>
        <v>0</v>
      </c>
      <c r="R88">
        <f>SUMPRODUCT((nCUENTA=1)*(nCURSO=A88)*(nASIG=B88)*(nNOTA=7))</f>
        <v>0</v>
      </c>
      <c r="S88">
        <f>SUMPRODUCT((nCUENTA=1)*(nCURSO=A88)*(nASIG=B88)*(nNOTA=8))</f>
        <v>0</v>
      </c>
      <c r="T88">
        <f>SUMPRODUCT((nCUENTA=1)*(nCURSO=A88)*(nASIG=B88)*(nNOTA=9))</f>
        <v>0</v>
      </c>
      <c r="U88">
        <f>SUMPRODUCT((nCUENTA=1)*(nCURSO=A88)*(nASIG=B88)*(nNOTA=10))</f>
        <v>0</v>
      </c>
    </row>
    <row r="89">
      <c r="A89" t="inlineStr">
        <is>
          <t xml:space="preserve">1EPM</t>
        </is>
      </c>
      <c r="B89" cm="1">
        <f t="array" ref="B89">IFERROR(INDEX(_xlfn._xlws.FILTER(CONFIG_ASIGNATURAS!$B$2:$B$91,(CONFIG_ASIGNATURAS!$G$2:$G$91="Sí")*ISNUMBER(SEARCH("1EPM",CONFIG_ASIGNATURAS!$C$2:$C$91))),6),"")</f>
      </c>
      <c r="C89">
        <f>IF(B89="","",IFERROR(VLOOKUP(B89,CONFIG_ASIGNATURAS!$B$2:$D$91,3,FALSE()),"Asignatura"))</f>
      </c>
      <c r="D89">
        <f>SUMPRODUCT((nCUENTA=1)*(nCURSO=A89)*(nASIG=B89))</f>
        <v>0</v>
      </c>
      <c r="E89" s="10" t="str">
        <f>IFERROR(SUMPRODUCT((nCUENTA=1)*(nCURSO=A89)*(nASIG=B89)*(nNOTA))/D89,"—")</f>
        <v>—</v>
      </c>
      <c r="F89" s="10" t="str" cm="1">
        <f t="array" ref="F89">IFERROR(_xlfn.STDEV.P(_xlfn._xlws.FILTER(nNOTA,(nCUENTA=1)*(nCURSO=A89)*(nASIG=B89))),"—")</f>
        <v>—</v>
      </c>
      <c r="G89" t="str" cm="1">
        <f t="array" ref="G89">IFERROR(_xlfn.MODE.SNGL(_xlfn._xlws.FILTER(nNOTA,(nCUENTA=1)*(nCURSO=A89)*(nASIG=B89))),"—")</f>
        <v>—</v>
      </c>
      <c r="H89" s="11" t="str">
        <f>IFERROR(SUMPRODUCT((nCUENTA=1)*(nCURSO=A89)*(nASIG=B89)*(nAPTO="S"))/D89,"—")</f>
        <v>—</v>
      </c>
      <c r="I89" s="11" t="str">
        <f>IFERROR(SUMPRODUCT((nCUENTA=1)*(nCURSO=A89)*(nASIG=B89)*(nAPTO="N"))/D89,"—")</f>
        <v>—</v>
      </c>
      <c r="J89" t="str" cm="1">
        <f t="array" ref="J89">IFERROR(_xlfn.MODE.SNGL(_xlfn._xlws.FILTER(nNOTA,(nCUENTA=1)*(nCURSO=A89)*(nASIG=B89)*(nAPTO="S"))),"—")</f>
        <v>—</v>
      </c>
      <c r="K89" t="str" cm="1">
        <f t="array" ref="K89">IFERROR(_xlfn.MODE.SNGL(_xlfn._xlws.FILTER(nNOTA,(nCUENTA=1)*(nCURSO=A89)*(nASIG=B89)*(nAPTO="N"))),"—")</f>
        <v>—</v>
      </c>
      <c r="L89">
        <f>SUMPRODUCT((nCUENTA=1)*(nCURSO=A89)*(nASIG=B89)*(nNOTA=1))</f>
        <v>0</v>
      </c>
      <c r="M89">
        <f>SUMPRODUCT((nCUENTA=1)*(nCURSO=A89)*(nASIG=B89)*(nNOTA=2))</f>
        <v>0</v>
      </c>
      <c r="N89">
        <f>SUMPRODUCT((nCUENTA=1)*(nCURSO=A89)*(nASIG=B89)*(nNOTA=3))</f>
        <v>0</v>
      </c>
      <c r="O89">
        <f>SUMPRODUCT((nCUENTA=1)*(nCURSO=A89)*(nASIG=B89)*(nNOTA=4))</f>
        <v>0</v>
      </c>
      <c r="P89">
        <f>SUMPRODUCT((nCUENTA=1)*(nCURSO=A89)*(nASIG=B89)*(nNOTA=5))</f>
        <v>0</v>
      </c>
      <c r="Q89">
        <f>SUMPRODUCT((nCUENTA=1)*(nCURSO=A89)*(nASIG=B89)*(nNOTA=6))</f>
        <v>0</v>
      </c>
      <c r="R89">
        <f>SUMPRODUCT((nCUENTA=1)*(nCURSO=A89)*(nASIG=B89)*(nNOTA=7))</f>
        <v>0</v>
      </c>
      <c r="S89">
        <f>SUMPRODUCT((nCUENTA=1)*(nCURSO=A89)*(nASIG=B89)*(nNOTA=8))</f>
        <v>0</v>
      </c>
      <c r="T89">
        <f>SUMPRODUCT((nCUENTA=1)*(nCURSO=A89)*(nASIG=B89)*(nNOTA=9))</f>
        <v>0</v>
      </c>
      <c r="U89">
        <f>SUMPRODUCT((nCUENTA=1)*(nCURSO=A89)*(nASIG=B89)*(nNOTA=10))</f>
        <v>0</v>
      </c>
    </row>
    <row r="90">
      <c r="A90" t="inlineStr">
        <is>
          <t xml:space="preserve">1EPM</t>
        </is>
      </c>
      <c r="B90" cm="1">
        <f t="array" ref="B90">IFERROR(INDEX(_xlfn._xlws.FILTER(CONFIG_ASIGNATURAS!$B$2:$B$91,(CONFIG_ASIGNATURAS!$G$2:$G$91="Sí")*ISNUMBER(SEARCH("1EPM",CONFIG_ASIGNATURAS!$C$2:$C$91))),7),"")</f>
      </c>
      <c r="C90">
        <f>IF(B90="","",IFERROR(VLOOKUP(B90,CONFIG_ASIGNATURAS!$B$2:$D$91,3,FALSE()),"Asignatura"))</f>
      </c>
      <c r="D90">
        <f>SUMPRODUCT((nCUENTA=1)*(nCURSO=A90)*(nASIG=B90))</f>
        <v>0</v>
      </c>
      <c r="E90" s="10" t="str">
        <f>IFERROR(SUMPRODUCT((nCUENTA=1)*(nCURSO=A90)*(nASIG=B90)*(nNOTA))/D90,"—")</f>
        <v>—</v>
      </c>
      <c r="F90" s="10" t="str" cm="1">
        <f t="array" ref="F90">IFERROR(_xlfn.STDEV.P(_xlfn._xlws.FILTER(nNOTA,(nCUENTA=1)*(nCURSO=A90)*(nASIG=B90))),"—")</f>
        <v>—</v>
      </c>
      <c r="G90" t="str" cm="1">
        <f t="array" ref="G90">IFERROR(_xlfn.MODE.SNGL(_xlfn._xlws.FILTER(nNOTA,(nCUENTA=1)*(nCURSO=A90)*(nASIG=B90))),"—")</f>
        <v>—</v>
      </c>
      <c r="H90" s="11" t="str">
        <f>IFERROR(SUMPRODUCT((nCUENTA=1)*(nCURSO=A90)*(nASIG=B90)*(nAPTO="S"))/D90,"—")</f>
        <v>—</v>
      </c>
      <c r="I90" s="11" t="str">
        <f>IFERROR(SUMPRODUCT((nCUENTA=1)*(nCURSO=A90)*(nASIG=B90)*(nAPTO="N"))/D90,"—")</f>
        <v>—</v>
      </c>
      <c r="J90" t="str" cm="1">
        <f t="array" ref="J90">IFERROR(_xlfn.MODE.SNGL(_xlfn._xlws.FILTER(nNOTA,(nCUENTA=1)*(nCURSO=A90)*(nASIG=B90)*(nAPTO="S"))),"—")</f>
        <v>—</v>
      </c>
      <c r="K90" t="str" cm="1">
        <f t="array" ref="K90">IFERROR(_xlfn.MODE.SNGL(_xlfn._xlws.FILTER(nNOTA,(nCUENTA=1)*(nCURSO=A90)*(nASIG=B90)*(nAPTO="N"))),"—")</f>
        <v>—</v>
      </c>
      <c r="L90">
        <f>SUMPRODUCT((nCUENTA=1)*(nCURSO=A90)*(nASIG=B90)*(nNOTA=1))</f>
        <v>0</v>
      </c>
      <c r="M90">
        <f>SUMPRODUCT((nCUENTA=1)*(nCURSO=A90)*(nASIG=B90)*(nNOTA=2))</f>
        <v>0</v>
      </c>
      <c r="N90">
        <f>SUMPRODUCT((nCUENTA=1)*(nCURSO=A90)*(nASIG=B90)*(nNOTA=3))</f>
        <v>0</v>
      </c>
      <c r="O90">
        <f>SUMPRODUCT((nCUENTA=1)*(nCURSO=A90)*(nASIG=B90)*(nNOTA=4))</f>
        <v>0</v>
      </c>
      <c r="P90">
        <f>SUMPRODUCT((nCUENTA=1)*(nCURSO=A90)*(nASIG=B90)*(nNOTA=5))</f>
        <v>0</v>
      </c>
      <c r="Q90">
        <f>SUMPRODUCT((nCUENTA=1)*(nCURSO=A90)*(nASIG=B90)*(nNOTA=6))</f>
        <v>0</v>
      </c>
      <c r="R90">
        <f>SUMPRODUCT((nCUENTA=1)*(nCURSO=A90)*(nASIG=B90)*(nNOTA=7))</f>
        <v>0</v>
      </c>
      <c r="S90">
        <f>SUMPRODUCT((nCUENTA=1)*(nCURSO=A90)*(nASIG=B90)*(nNOTA=8))</f>
        <v>0</v>
      </c>
      <c r="T90">
        <f>SUMPRODUCT((nCUENTA=1)*(nCURSO=A90)*(nASIG=B90)*(nNOTA=9))</f>
        <v>0</v>
      </c>
      <c r="U90">
        <f>SUMPRODUCT((nCUENTA=1)*(nCURSO=A90)*(nASIG=B90)*(nNOTA=10))</f>
        <v>0</v>
      </c>
    </row>
    <row r="91">
      <c r="A91" t="inlineStr">
        <is>
          <t xml:space="preserve">1EPM</t>
        </is>
      </c>
      <c r="B91" cm="1">
        <f t="array" ref="B91">IFERROR(INDEX(_xlfn._xlws.FILTER(CONFIG_ASIGNATURAS!$B$2:$B$91,(CONFIG_ASIGNATURAS!$G$2:$G$91="Sí")*ISNUMBER(SEARCH("1EPM",CONFIG_ASIGNATURAS!$C$2:$C$91))),8),"")</f>
      </c>
      <c r="C91">
        <f>IF(B91="","",IFERROR(VLOOKUP(B91,CONFIG_ASIGNATURAS!$B$2:$D$91,3,FALSE()),"Asignatura"))</f>
      </c>
      <c r="D91">
        <f>SUMPRODUCT((nCUENTA=1)*(nCURSO=A91)*(nASIG=B91))</f>
        <v>0</v>
      </c>
      <c r="E91" s="10" t="str">
        <f>IFERROR(SUMPRODUCT((nCUENTA=1)*(nCURSO=A91)*(nASIG=B91)*(nNOTA))/D91,"—")</f>
        <v>—</v>
      </c>
      <c r="F91" s="10" t="str" cm="1">
        <f t="array" ref="F91">IFERROR(_xlfn.STDEV.P(_xlfn._xlws.FILTER(nNOTA,(nCUENTA=1)*(nCURSO=A91)*(nASIG=B91))),"—")</f>
        <v>—</v>
      </c>
      <c r="G91" t="str" cm="1">
        <f t="array" ref="G91">IFERROR(_xlfn.MODE.SNGL(_xlfn._xlws.FILTER(nNOTA,(nCUENTA=1)*(nCURSO=A91)*(nASIG=B91))),"—")</f>
        <v>—</v>
      </c>
      <c r="H91" s="11" t="str">
        <f>IFERROR(SUMPRODUCT((nCUENTA=1)*(nCURSO=A91)*(nASIG=B91)*(nAPTO="S"))/D91,"—")</f>
        <v>—</v>
      </c>
      <c r="I91" s="11" t="str">
        <f>IFERROR(SUMPRODUCT((nCUENTA=1)*(nCURSO=A91)*(nASIG=B91)*(nAPTO="N"))/D91,"—")</f>
        <v>—</v>
      </c>
      <c r="J91" t="str" cm="1">
        <f t="array" ref="J91">IFERROR(_xlfn.MODE.SNGL(_xlfn._xlws.FILTER(nNOTA,(nCUENTA=1)*(nCURSO=A91)*(nASIG=B91)*(nAPTO="S"))),"—")</f>
        <v>—</v>
      </c>
      <c r="K91" t="str" cm="1">
        <f t="array" ref="K91">IFERROR(_xlfn.MODE.SNGL(_xlfn._xlws.FILTER(nNOTA,(nCUENTA=1)*(nCURSO=A91)*(nASIG=B91)*(nAPTO="N"))),"—")</f>
        <v>—</v>
      </c>
      <c r="L91">
        <f>SUMPRODUCT((nCUENTA=1)*(nCURSO=A91)*(nASIG=B91)*(nNOTA=1))</f>
        <v>0</v>
      </c>
      <c r="M91">
        <f>SUMPRODUCT((nCUENTA=1)*(nCURSO=A91)*(nASIG=B91)*(nNOTA=2))</f>
        <v>0</v>
      </c>
      <c r="N91">
        <f>SUMPRODUCT((nCUENTA=1)*(nCURSO=A91)*(nASIG=B91)*(nNOTA=3))</f>
        <v>0</v>
      </c>
      <c r="O91">
        <f>SUMPRODUCT((nCUENTA=1)*(nCURSO=A91)*(nASIG=B91)*(nNOTA=4))</f>
        <v>0</v>
      </c>
      <c r="P91">
        <f>SUMPRODUCT((nCUENTA=1)*(nCURSO=A91)*(nASIG=B91)*(nNOTA=5))</f>
        <v>0</v>
      </c>
      <c r="Q91">
        <f>SUMPRODUCT((nCUENTA=1)*(nCURSO=A91)*(nASIG=B91)*(nNOTA=6))</f>
        <v>0</v>
      </c>
      <c r="R91">
        <f>SUMPRODUCT((nCUENTA=1)*(nCURSO=A91)*(nASIG=B91)*(nNOTA=7))</f>
        <v>0</v>
      </c>
      <c r="S91">
        <f>SUMPRODUCT((nCUENTA=1)*(nCURSO=A91)*(nASIG=B91)*(nNOTA=8))</f>
        <v>0</v>
      </c>
      <c r="T91">
        <f>SUMPRODUCT((nCUENTA=1)*(nCURSO=A91)*(nASIG=B91)*(nNOTA=9))</f>
        <v>0</v>
      </c>
      <c r="U91">
        <f>SUMPRODUCT((nCUENTA=1)*(nCURSO=A91)*(nASIG=B91)*(nNOTA=10))</f>
        <v>0</v>
      </c>
    </row>
    <row r="92">
      <c r="A92" t="inlineStr">
        <is>
          <t xml:space="preserve">1EPM</t>
        </is>
      </c>
      <c r="B92" cm="1">
        <f t="array" ref="B92">IFERROR(INDEX(_xlfn._xlws.FILTER(CONFIG_ASIGNATURAS!$B$2:$B$91,(CONFIG_ASIGNATURAS!$G$2:$G$91="Sí")*ISNUMBER(SEARCH("1EPM",CONFIG_ASIGNATURAS!$C$2:$C$91))),9),"")</f>
      </c>
      <c r="C92">
        <f>IF(B92="","",IFERROR(VLOOKUP(B92,CONFIG_ASIGNATURAS!$B$2:$D$91,3,FALSE()),"Asignatura"))</f>
      </c>
      <c r="D92">
        <f>SUMPRODUCT((nCUENTA=1)*(nCURSO=A92)*(nASIG=B92))</f>
        <v>0</v>
      </c>
      <c r="E92" s="10" t="str">
        <f>IFERROR(SUMPRODUCT((nCUENTA=1)*(nCURSO=A92)*(nASIG=B92)*(nNOTA))/D92,"—")</f>
        <v>—</v>
      </c>
      <c r="F92" s="10" t="str" cm="1">
        <f t="array" ref="F92">IFERROR(_xlfn.STDEV.P(_xlfn._xlws.FILTER(nNOTA,(nCUENTA=1)*(nCURSO=A92)*(nASIG=B92))),"—")</f>
        <v>—</v>
      </c>
      <c r="G92" t="str" cm="1">
        <f t="array" ref="G92">IFERROR(_xlfn.MODE.SNGL(_xlfn._xlws.FILTER(nNOTA,(nCUENTA=1)*(nCURSO=A92)*(nASIG=B92))),"—")</f>
        <v>—</v>
      </c>
      <c r="H92" s="11" t="str">
        <f>IFERROR(SUMPRODUCT((nCUENTA=1)*(nCURSO=A92)*(nASIG=B92)*(nAPTO="S"))/D92,"—")</f>
        <v>—</v>
      </c>
      <c r="I92" s="11" t="str">
        <f>IFERROR(SUMPRODUCT((nCUENTA=1)*(nCURSO=A92)*(nASIG=B92)*(nAPTO="N"))/D92,"—")</f>
        <v>—</v>
      </c>
      <c r="J92" t="str" cm="1">
        <f t="array" ref="J92">IFERROR(_xlfn.MODE.SNGL(_xlfn._xlws.FILTER(nNOTA,(nCUENTA=1)*(nCURSO=A92)*(nASIG=B92)*(nAPTO="S"))),"—")</f>
        <v>—</v>
      </c>
      <c r="K92" t="str" cm="1">
        <f t="array" ref="K92">IFERROR(_xlfn.MODE.SNGL(_xlfn._xlws.FILTER(nNOTA,(nCUENTA=1)*(nCURSO=A92)*(nASIG=B92)*(nAPTO="N"))),"—")</f>
        <v>—</v>
      </c>
      <c r="L92">
        <f>SUMPRODUCT((nCUENTA=1)*(nCURSO=A92)*(nASIG=B92)*(nNOTA=1))</f>
        <v>0</v>
      </c>
      <c r="M92">
        <f>SUMPRODUCT((nCUENTA=1)*(nCURSO=A92)*(nASIG=B92)*(nNOTA=2))</f>
        <v>0</v>
      </c>
      <c r="N92">
        <f>SUMPRODUCT((nCUENTA=1)*(nCURSO=A92)*(nASIG=B92)*(nNOTA=3))</f>
        <v>0</v>
      </c>
      <c r="O92">
        <f>SUMPRODUCT((nCUENTA=1)*(nCURSO=A92)*(nASIG=B92)*(nNOTA=4))</f>
        <v>0</v>
      </c>
      <c r="P92">
        <f>SUMPRODUCT((nCUENTA=1)*(nCURSO=A92)*(nASIG=B92)*(nNOTA=5))</f>
        <v>0</v>
      </c>
      <c r="Q92">
        <f>SUMPRODUCT((nCUENTA=1)*(nCURSO=A92)*(nASIG=B92)*(nNOTA=6))</f>
        <v>0</v>
      </c>
      <c r="R92">
        <f>SUMPRODUCT((nCUENTA=1)*(nCURSO=A92)*(nASIG=B92)*(nNOTA=7))</f>
        <v>0</v>
      </c>
      <c r="S92">
        <f>SUMPRODUCT((nCUENTA=1)*(nCURSO=A92)*(nASIG=B92)*(nNOTA=8))</f>
        <v>0</v>
      </c>
      <c r="T92">
        <f>SUMPRODUCT((nCUENTA=1)*(nCURSO=A92)*(nASIG=B92)*(nNOTA=9))</f>
        <v>0</v>
      </c>
      <c r="U92">
        <f>SUMPRODUCT((nCUENTA=1)*(nCURSO=A92)*(nASIG=B92)*(nNOTA=10))</f>
        <v>0</v>
      </c>
    </row>
    <row r="93">
      <c r="A93" t="inlineStr">
        <is>
          <t xml:space="preserve">1EPM</t>
        </is>
      </c>
      <c r="B93" cm="1">
        <f t="array" ref="B93">IFERROR(INDEX(_xlfn._xlws.FILTER(CONFIG_ASIGNATURAS!$B$2:$B$91,(CONFIG_ASIGNATURAS!$G$2:$G$91="Sí")*ISNUMBER(SEARCH("1EPM",CONFIG_ASIGNATURAS!$C$2:$C$91))),10),"")</f>
      </c>
      <c r="C93">
        <f>IF(B93="","",IFERROR(VLOOKUP(B93,CONFIG_ASIGNATURAS!$B$2:$D$91,3,FALSE()),"Asignatura"))</f>
      </c>
      <c r="D93">
        <f>SUMPRODUCT((nCUENTA=1)*(nCURSO=A93)*(nASIG=B93))</f>
        <v>0</v>
      </c>
      <c r="E93" s="10" t="str">
        <f>IFERROR(SUMPRODUCT((nCUENTA=1)*(nCURSO=A93)*(nASIG=B93)*(nNOTA))/D93,"—")</f>
        <v>—</v>
      </c>
      <c r="F93" s="10" t="str" cm="1">
        <f t="array" ref="F93">IFERROR(_xlfn.STDEV.P(_xlfn._xlws.FILTER(nNOTA,(nCUENTA=1)*(nCURSO=A93)*(nASIG=B93))),"—")</f>
        <v>—</v>
      </c>
      <c r="G93" t="str" cm="1">
        <f t="array" ref="G93">IFERROR(_xlfn.MODE.SNGL(_xlfn._xlws.FILTER(nNOTA,(nCUENTA=1)*(nCURSO=A93)*(nASIG=B93))),"—")</f>
        <v>—</v>
      </c>
      <c r="H93" s="11" t="str">
        <f>IFERROR(SUMPRODUCT((nCUENTA=1)*(nCURSO=A93)*(nASIG=B93)*(nAPTO="S"))/D93,"—")</f>
        <v>—</v>
      </c>
      <c r="I93" s="11" t="str">
        <f>IFERROR(SUMPRODUCT((nCUENTA=1)*(nCURSO=A93)*(nASIG=B93)*(nAPTO="N"))/D93,"—")</f>
        <v>—</v>
      </c>
      <c r="J93" t="str" cm="1">
        <f t="array" ref="J93">IFERROR(_xlfn.MODE.SNGL(_xlfn._xlws.FILTER(nNOTA,(nCUENTA=1)*(nCURSO=A93)*(nASIG=B93)*(nAPTO="S"))),"—")</f>
        <v>—</v>
      </c>
      <c r="K93" t="str" cm="1">
        <f t="array" ref="K93">IFERROR(_xlfn.MODE.SNGL(_xlfn._xlws.FILTER(nNOTA,(nCUENTA=1)*(nCURSO=A93)*(nASIG=B93)*(nAPTO="N"))),"—")</f>
        <v>—</v>
      </c>
      <c r="L93">
        <f>SUMPRODUCT((nCUENTA=1)*(nCURSO=A93)*(nASIG=B93)*(nNOTA=1))</f>
        <v>0</v>
      </c>
      <c r="M93">
        <f>SUMPRODUCT((nCUENTA=1)*(nCURSO=A93)*(nASIG=B93)*(nNOTA=2))</f>
        <v>0</v>
      </c>
      <c r="N93">
        <f>SUMPRODUCT((nCUENTA=1)*(nCURSO=A93)*(nASIG=B93)*(nNOTA=3))</f>
        <v>0</v>
      </c>
      <c r="O93">
        <f>SUMPRODUCT((nCUENTA=1)*(nCURSO=A93)*(nASIG=B93)*(nNOTA=4))</f>
        <v>0</v>
      </c>
      <c r="P93">
        <f>SUMPRODUCT((nCUENTA=1)*(nCURSO=A93)*(nASIG=B93)*(nNOTA=5))</f>
        <v>0</v>
      </c>
      <c r="Q93">
        <f>SUMPRODUCT((nCUENTA=1)*(nCURSO=A93)*(nASIG=B93)*(nNOTA=6))</f>
        <v>0</v>
      </c>
      <c r="R93">
        <f>SUMPRODUCT((nCUENTA=1)*(nCURSO=A93)*(nASIG=B93)*(nNOTA=7))</f>
        <v>0</v>
      </c>
      <c r="S93">
        <f>SUMPRODUCT((nCUENTA=1)*(nCURSO=A93)*(nASIG=B93)*(nNOTA=8))</f>
        <v>0</v>
      </c>
      <c r="T93">
        <f>SUMPRODUCT((nCUENTA=1)*(nCURSO=A93)*(nASIG=B93)*(nNOTA=9))</f>
        <v>0</v>
      </c>
      <c r="U93">
        <f>SUMPRODUCT((nCUENTA=1)*(nCURSO=A93)*(nASIG=B93)*(nNOTA=10))</f>
        <v>0</v>
      </c>
    </row>
    <row r="94">
      <c r="A94" t="inlineStr">
        <is>
          <t xml:space="preserve">1EPM</t>
        </is>
      </c>
      <c r="B94" cm="1">
        <f t="array" ref="B94">IFERROR(INDEX(_xlfn._xlws.FILTER(CONFIG_ASIGNATURAS!$B$2:$B$91,(CONFIG_ASIGNATURAS!$G$2:$G$91="Sí")*ISNUMBER(SEARCH("1EPM",CONFIG_ASIGNATURAS!$C$2:$C$91))),11),"")</f>
      </c>
      <c r="C94">
        <f>IF(B94="","",IFERROR(VLOOKUP(B94,CONFIG_ASIGNATURAS!$B$2:$D$91,3,FALSE()),"Asignatura"))</f>
      </c>
      <c r="D94">
        <f>SUMPRODUCT((nCUENTA=1)*(nCURSO=A94)*(nASIG=B94))</f>
        <v>0</v>
      </c>
      <c r="E94" s="10" t="str">
        <f>IFERROR(SUMPRODUCT((nCUENTA=1)*(nCURSO=A94)*(nASIG=B94)*(nNOTA))/D94,"—")</f>
        <v>—</v>
      </c>
      <c r="F94" s="10" t="str" cm="1">
        <f t="array" ref="F94">IFERROR(_xlfn.STDEV.P(_xlfn._xlws.FILTER(nNOTA,(nCUENTA=1)*(nCURSO=A94)*(nASIG=B94))),"—")</f>
        <v>—</v>
      </c>
      <c r="G94" t="str" cm="1">
        <f t="array" ref="G94">IFERROR(_xlfn.MODE.SNGL(_xlfn._xlws.FILTER(nNOTA,(nCUENTA=1)*(nCURSO=A94)*(nASIG=B94))),"—")</f>
        <v>—</v>
      </c>
      <c r="H94" s="11" t="str">
        <f>IFERROR(SUMPRODUCT((nCUENTA=1)*(nCURSO=A94)*(nASIG=B94)*(nAPTO="S"))/D94,"—")</f>
        <v>—</v>
      </c>
      <c r="I94" s="11" t="str">
        <f>IFERROR(SUMPRODUCT((nCUENTA=1)*(nCURSO=A94)*(nASIG=B94)*(nAPTO="N"))/D94,"—")</f>
        <v>—</v>
      </c>
      <c r="J94" t="str" cm="1">
        <f t="array" ref="J94">IFERROR(_xlfn.MODE.SNGL(_xlfn._xlws.FILTER(nNOTA,(nCUENTA=1)*(nCURSO=A94)*(nASIG=B94)*(nAPTO="S"))),"—")</f>
        <v>—</v>
      </c>
      <c r="K94" t="str" cm="1">
        <f t="array" ref="K94">IFERROR(_xlfn.MODE.SNGL(_xlfn._xlws.FILTER(nNOTA,(nCUENTA=1)*(nCURSO=A94)*(nASIG=B94)*(nAPTO="N"))),"—")</f>
        <v>—</v>
      </c>
      <c r="L94">
        <f>SUMPRODUCT((nCUENTA=1)*(nCURSO=A94)*(nASIG=B94)*(nNOTA=1))</f>
        <v>0</v>
      </c>
      <c r="M94">
        <f>SUMPRODUCT((nCUENTA=1)*(nCURSO=A94)*(nASIG=B94)*(nNOTA=2))</f>
        <v>0</v>
      </c>
      <c r="N94">
        <f>SUMPRODUCT((nCUENTA=1)*(nCURSO=A94)*(nASIG=B94)*(nNOTA=3))</f>
        <v>0</v>
      </c>
      <c r="O94">
        <f>SUMPRODUCT((nCUENTA=1)*(nCURSO=A94)*(nASIG=B94)*(nNOTA=4))</f>
        <v>0</v>
      </c>
      <c r="P94">
        <f>SUMPRODUCT((nCUENTA=1)*(nCURSO=A94)*(nASIG=B94)*(nNOTA=5))</f>
        <v>0</v>
      </c>
      <c r="Q94">
        <f>SUMPRODUCT((nCUENTA=1)*(nCURSO=A94)*(nASIG=B94)*(nNOTA=6))</f>
        <v>0</v>
      </c>
      <c r="R94">
        <f>SUMPRODUCT((nCUENTA=1)*(nCURSO=A94)*(nASIG=B94)*(nNOTA=7))</f>
        <v>0</v>
      </c>
      <c r="S94">
        <f>SUMPRODUCT((nCUENTA=1)*(nCURSO=A94)*(nASIG=B94)*(nNOTA=8))</f>
        <v>0</v>
      </c>
      <c r="T94">
        <f>SUMPRODUCT((nCUENTA=1)*(nCURSO=A94)*(nASIG=B94)*(nNOTA=9))</f>
        <v>0</v>
      </c>
      <c r="U94">
        <f>SUMPRODUCT((nCUENTA=1)*(nCURSO=A94)*(nASIG=B94)*(nNOTA=10))</f>
        <v>0</v>
      </c>
    </row>
    <row r="95">
      <c r="A95" t="inlineStr">
        <is>
          <t xml:space="preserve">1EPM</t>
        </is>
      </c>
      <c r="B95" cm="1">
        <f t="array" ref="B95">IFERROR(INDEX(_xlfn._xlws.FILTER(CONFIG_ASIGNATURAS!$B$2:$B$91,(CONFIG_ASIGNATURAS!$G$2:$G$91="Sí")*ISNUMBER(SEARCH("1EPM",CONFIG_ASIGNATURAS!$C$2:$C$91))),12),"")</f>
      </c>
      <c r="C95">
        <f>IF(B95="","",IFERROR(VLOOKUP(B95,CONFIG_ASIGNATURAS!$B$2:$D$91,3,FALSE()),"Asignatura"))</f>
      </c>
      <c r="D95">
        <f>SUMPRODUCT((nCUENTA=1)*(nCURSO=A95)*(nASIG=B95))</f>
        <v>0</v>
      </c>
      <c r="E95" s="10" t="str">
        <f>IFERROR(SUMPRODUCT((nCUENTA=1)*(nCURSO=A95)*(nASIG=B95)*(nNOTA))/D95,"—")</f>
        <v>—</v>
      </c>
      <c r="F95" s="10" t="str" cm="1">
        <f t="array" ref="F95">IFERROR(_xlfn.STDEV.P(_xlfn._xlws.FILTER(nNOTA,(nCUENTA=1)*(nCURSO=A95)*(nASIG=B95))),"—")</f>
        <v>—</v>
      </c>
      <c r="G95" t="str" cm="1">
        <f t="array" ref="G95">IFERROR(_xlfn.MODE.SNGL(_xlfn._xlws.FILTER(nNOTA,(nCUENTA=1)*(nCURSO=A95)*(nASIG=B95))),"—")</f>
        <v>—</v>
      </c>
      <c r="H95" s="11" t="str">
        <f>IFERROR(SUMPRODUCT((nCUENTA=1)*(nCURSO=A95)*(nASIG=B95)*(nAPTO="S"))/D95,"—")</f>
        <v>—</v>
      </c>
      <c r="I95" s="11" t="str">
        <f>IFERROR(SUMPRODUCT((nCUENTA=1)*(nCURSO=A95)*(nASIG=B95)*(nAPTO="N"))/D95,"—")</f>
        <v>—</v>
      </c>
      <c r="J95" t="str" cm="1">
        <f t="array" ref="J95">IFERROR(_xlfn.MODE.SNGL(_xlfn._xlws.FILTER(nNOTA,(nCUENTA=1)*(nCURSO=A95)*(nASIG=B95)*(nAPTO="S"))),"—")</f>
        <v>—</v>
      </c>
      <c r="K95" t="str" cm="1">
        <f t="array" ref="K95">IFERROR(_xlfn.MODE.SNGL(_xlfn._xlws.FILTER(nNOTA,(nCUENTA=1)*(nCURSO=A95)*(nASIG=B95)*(nAPTO="N"))),"—")</f>
        <v>—</v>
      </c>
      <c r="L95">
        <f>SUMPRODUCT((nCUENTA=1)*(nCURSO=A95)*(nASIG=B95)*(nNOTA=1))</f>
        <v>0</v>
      </c>
      <c r="M95">
        <f>SUMPRODUCT((nCUENTA=1)*(nCURSO=A95)*(nASIG=B95)*(nNOTA=2))</f>
        <v>0</v>
      </c>
      <c r="N95">
        <f>SUMPRODUCT((nCUENTA=1)*(nCURSO=A95)*(nASIG=B95)*(nNOTA=3))</f>
        <v>0</v>
      </c>
      <c r="O95">
        <f>SUMPRODUCT((nCUENTA=1)*(nCURSO=A95)*(nASIG=B95)*(nNOTA=4))</f>
        <v>0</v>
      </c>
      <c r="P95">
        <f>SUMPRODUCT((nCUENTA=1)*(nCURSO=A95)*(nASIG=B95)*(nNOTA=5))</f>
        <v>0</v>
      </c>
      <c r="Q95">
        <f>SUMPRODUCT((nCUENTA=1)*(nCURSO=A95)*(nASIG=B95)*(nNOTA=6))</f>
        <v>0</v>
      </c>
      <c r="R95">
        <f>SUMPRODUCT((nCUENTA=1)*(nCURSO=A95)*(nASIG=B95)*(nNOTA=7))</f>
        <v>0</v>
      </c>
      <c r="S95">
        <f>SUMPRODUCT((nCUENTA=1)*(nCURSO=A95)*(nASIG=B95)*(nNOTA=8))</f>
        <v>0</v>
      </c>
      <c r="T95">
        <f>SUMPRODUCT((nCUENTA=1)*(nCURSO=A95)*(nASIG=B95)*(nNOTA=9))</f>
        <v>0</v>
      </c>
      <c r="U95">
        <f>SUMPRODUCT((nCUENTA=1)*(nCURSO=A95)*(nASIG=B95)*(nNOTA=10))</f>
        <v>0</v>
      </c>
    </row>
    <row r="96">
      <c r="A96" t="inlineStr">
        <is>
          <t xml:space="preserve">1EPM</t>
        </is>
      </c>
      <c r="B96" cm="1">
        <f t="array" ref="B96">IFERROR(INDEX(_xlfn._xlws.FILTER(CONFIG_ASIGNATURAS!$B$2:$B$91,(CONFIG_ASIGNATURAS!$G$2:$G$91="Sí")*ISNUMBER(SEARCH("1EPM",CONFIG_ASIGNATURAS!$C$2:$C$91))),13),"")</f>
      </c>
      <c r="C96">
        <f>IF(B96="","",IFERROR(VLOOKUP(B96,CONFIG_ASIGNATURAS!$B$2:$D$91,3,FALSE()),"Asignatura"))</f>
      </c>
      <c r="D96">
        <f>SUMPRODUCT((nCUENTA=1)*(nCURSO=A96)*(nASIG=B96))</f>
        <v>0</v>
      </c>
      <c r="E96" s="10" t="str">
        <f>IFERROR(SUMPRODUCT((nCUENTA=1)*(nCURSO=A96)*(nASIG=B96)*(nNOTA))/D96,"—")</f>
        <v>—</v>
      </c>
      <c r="F96" s="10" t="str" cm="1">
        <f t="array" ref="F96">IFERROR(_xlfn.STDEV.P(_xlfn._xlws.FILTER(nNOTA,(nCUENTA=1)*(nCURSO=A96)*(nASIG=B96))),"—")</f>
        <v>—</v>
      </c>
      <c r="G96" t="str" cm="1">
        <f t="array" ref="G96">IFERROR(_xlfn.MODE.SNGL(_xlfn._xlws.FILTER(nNOTA,(nCUENTA=1)*(nCURSO=A96)*(nASIG=B96))),"—")</f>
        <v>—</v>
      </c>
      <c r="H96" s="11" t="str">
        <f>IFERROR(SUMPRODUCT((nCUENTA=1)*(nCURSO=A96)*(nASIG=B96)*(nAPTO="S"))/D96,"—")</f>
        <v>—</v>
      </c>
      <c r="I96" s="11" t="str">
        <f>IFERROR(SUMPRODUCT((nCUENTA=1)*(nCURSO=A96)*(nASIG=B96)*(nAPTO="N"))/D96,"—")</f>
        <v>—</v>
      </c>
      <c r="J96" t="str" cm="1">
        <f t="array" ref="J96">IFERROR(_xlfn.MODE.SNGL(_xlfn._xlws.FILTER(nNOTA,(nCUENTA=1)*(nCURSO=A96)*(nASIG=B96)*(nAPTO="S"))),"—")</f>
        <v>—</v>
      </c>
      <c r="K96" t="str" cm="1">
        <f t="array" ref="K96">IFERROR(_xlfn.MODE.SNGL(_xlfn._xlws.FILTER(nNOTA,(nCUENTA=1)*(nCURSO=A96)*(nASIG=B96)*(nAPTO="N"))),"—")</f>
        <v>—</v>
      </c>
      <c r="L96">
        <f>SUMPRODUCT((nCUENTA=1)*(nCURSO=A96)*(nASIG=B96)*(nNOTA=1))</f>
        <v>0</v>
      </c>
      <c r="M96">
        <f>SUMPRODUCT((nCUENTA=1)*(nCURSO=A96)*(nASIG=B96)*(nNOTA=2))</f>
        <v>0</v>
      </c>
      <c r="N96">
        <f>SUMPRODUCT((nCUENTA=1)*(nCURSO=A96)*(nASIG=B96)*(nNOTA=3))</f>
        <v>0</v>
      </c>
      <c r="O96">
        <f>SUMPRODUCT((nCUENTA=1)*(nCURSO=A96)*(nASIG=B96)*(nNOTA=4))</f>
        <v>0</v>
      </c>
      <c r="P96">
        <f>SUMPRODUCT((nCUENTA=1)*(nCURSO=A96)*(nASIG=B96)*(nNOTA=5))</f>
        <v>0</v>
      </c>
      <c r="Q96">
        <f>SUMPRODUCT((nCUENTA=1)*(nCURSO=A96)*(nASIG=B96)*(nNOTA=6))</f>
        <v>0</v>
      </c>
      <c r="R96">
        <f>SUMPRODUCT((nCUENTA=1)*(nCURSO=A96)*(nASIG=B96)*(nNOTA=7))</f>
        <v>0</v>
      </c>
      <c r="S96">
        <f>SUMPRODUCT((nCUENTA=1)*(nCURSO=A96)*(nASIG=B96)*(nNOTA=8))</f>
        <v>0</v>
      </c>
      <c r="T96">
        <f>SUMPRODUCT((nCUENTA=1)*(nCURSO=A96)*(nASIG=B96)*(nNOTA=9))</f>
        <v>0</v>
      </c>
      <c r="U96">
        <f>SUMPRODUCT((nCUENTA=1)*(nCURSO=A96)*(nASIG=B96)*(nNOTA=10))</f>
        <v>0</v>
      </c>
    </row>
    <row r="97">
      <c r="A97" t="inlineStr">
        <is>
          <t xml:space="preserve">1EPM</t>
        </is>
      </c>
      <c r="B97" cm="1">
        <f t="array" ref="B97">IFERROR(INDEX(_xlfn._xlws.FILTER(CONFIG_ASIGNATURAS!$B$2:$B$91,(CONFIG_ASIGNATURAS!$G$2:$G$91="Sí")*ISNUMBER(SEARCH("1EPM",CONFIG_ASIGNATURAS!$C$2:$C$91))),14),"")</f>
      </c>
      <c r="C97">
        <f>IF(B97="","",IFERROR(VLOOKUP(B97,CONFIG_ASIGNATURAS!$B$2:$D$91,3,FALSE()),"Asignatura"))</f>
      </c>
      <c r="D97">
        <f>SUMPRODUCT((nCUENTA=1)*(nCURSO=A97)*(nASIG=B97))</f>
        <v>0</v>
      </c>
      <c r="E97" s="10" t="str">
        <f>IFERROR(SUMPRODUCT((nCUENTA=1)*(nCURSO=A97)*(nASIG=B97)*(nNOTA))/D97,"—")</f>
        <v>—</v>
      </c>
      <c r="F97" s="10" t="str" cm="1">
        <f t="array" ref="F97">IFERROR(_xlfn.STDEV.P(_xlfn._xlws.FILTER(nNOTA,(nCUENTA=1)*(nCURSO=A97)*(nASIG=B97))),"—")</f>
        <v>—</v>
      </c>
      <c r="G97" t="str" cm="1">
        <f t="array" ref="G97">IFERROR(_xlfn.MODE.SNGL(_xlfn._xlws.FILTER(nNOTA,(nCUENTA=1)*(nCURSO=A97)*(nASIG=B97))),"—")</f>
        <v>—</v>
      </c>
      <c r="H97" s="11" t="str">
        <f>IFERROR(SUMPRODUCT((nCUENTA=1)*(nCURSO=A97)*(nASIG=B97)*(nAPTO="S"))/D97,"—")</f>
        <v>—</v>
      </c>
      <c r="I97" s="11" t="str">
        <f>IFERROR(SUMPRODUCT((nCUENTA=1)*(nCURSO=A97)*(nASIG=B97)*(nAPTO="N"))/D97,"—")</f>
        <v>—</v>
      </c>
      <c r="J97" t="str" cm="1">
        <f t="array" ref="J97">IFERROR(_xlfn.MODE.SNGL(_xlfn._xlws.FILTER(nNOTA,(nCUENTA=1)*(nCURSO=A97)*(nASIG=B97)*(nAPTO="S"))),"—")</f>
        <v>—</v>
      </c>
      <c r="K97" t="str" cm="1">
        <f t="array" ref="K97">IFERROR(_xlfn.MODE.SNGL(_xlfn._xlws.FILTER(nNOTA,(nCUENTA=1)*(nCURSO=A97)*(nASIG=B97)*(nAPTO="N"))),"—")</f>
        <v>—</v>
      </c>
      <c r="L97">
        <f>SUMPRODUCT((nCUENTA=1)*(nCURSO=A97)*(nASIG=B97)*(nNOTA=1))</f>
        <v>0</v>
      </c>
      <c r="M97">
        <f>SUMPRODUCT((nCUENTA=1)*(nCURSO=A97)*(nASIG=B97)*(nNOTA=2))</f>
        <v>0</v>
      </c>
      <c r="N97">
        <f>SUMPRODUCT((nCUENTA=1)*(nCURSO=A97)*(nASIG=B97)*(nNOTA=3))</f>
        <v>0</v>
      </c>
      <c r="O97">
        <f>SUMPRODUCT((nCUENTA=1)*(nCURSO=A97)*(nASIG=B97)*(nNOTA=4))</f>
        <v>0</v>
      </c>
      <c r="P97">
        <f>SUMPRODUCT((nCUENTA=1)*(nCURSO=A97)*(nASIG=B97)*(nNOTA=5))</f>
        <v>0</v>
      </c>
      <c r="Q97">
        <f>SUMPRODUCT((nCUENTA=1)*(nCURSO=A97)*(nASIG=B97)*(nNOTA=6))</f>
        <v>0</v>
      </c>
      <c r="R97">
        <f>SUMPRODUCT((nCUENTA=1)*(nCURSO=A97)*(nASIG=B97)*(nNOTA=7))</f>
        <v>0</v>
      </c>
      <c r="S97">
        <f>SUMPRODUCT((nCUENTA=1)*(nCURSO=A97)*(nASIG=B97)*(nNOTA=8))</f>
        <v>0</v>
      </c>
      <c r="T97">
        <f>SUMPRODUCT((nCUENTA=1)*(nCURSO=A97)*(nASIG=B97)*(nNOTA=9))</f>
        <v>0</v>
      </c>
      <c r="U97">
        <f>SUMPRODUCT((nCUENTA=1)*(nCURSO=A97)*(nASIG=B97)*(nNOTA=10))</f>
        <v>0</v>
      </c>
    </row>
    <row r="98">
      <c r="A98" t="inlineStr">
        <is>
          <t xml:space="preserve">1EPM</t>
        </is>
      </c>
      <c r="B98" cm="1">
        <f t="array" ref="B98">IFERROR(INDEX(_xlfn._xlws.FILTER(CONFIG_ASIGNATURAS!$B$2:$B$91,(CONFIG_ASIGNATURAS!$G$2:$G$91="Sí")*ISNUMBER(SEARCH("1EPM",CONFIG_ASIGNATURAS!$C$2:$C$91))),15),"")</f>
      </c>
      <c r="C98">
        <f>IF(B98="","",IFERROR(VLOOKUP(B98,CONFIG_ASIGNATURAS!$B$2:$D$91,3,FALSE()),"Asignatura"))</f>
      </c>
      <c r="D98">
        <f>SUMPRODUCT((nCUENTA=1)*(nCURSO=A98)*(nASIG=B98))</f>
        <v>0</v>
      </c>
      <c r="E98" s="10" t="str">
        <f>IFERROR(SUMPRODUCT((nCUENTA=1)*(nCURSO=A98)*(nASIG=B98)*(nNOTA))/D98,"—")</f>
        <v>—</v>
      </c>
      <c r="F98" s="10" t="str" cm="1">
        <f t="array" ref="F98">IFERROR(_xlfn.STDEV.P(_xlfn._xlws.FILTER(nNOTA,(nCUENTA=1)*(nCURSO=A98)*(nASIG=B98))),"—")</f>
        <v>—</v>
      </c>
      <c r="G98" t="str" cm="1">
        <f t="array" ref="G98">IFERROR(_xlfn.MODE.SNGL(_xlfn._xlws.FILTER(nNOTA,(nCUENTA=1)*(nCURSO=A98)*(nASIG=B98))),"—")</f>
        <v>—</v>
      </c>
      <c r="H98" s="11" t="str">
        <f>IFERROR(SUMPRODUCT((nCUENTA=1)*(nCURSO=A98)*(nASIG=B98)*(nAPTO="S"))/D98,"—")</f>
        <v>—</v>
      </c>
      <c r="I98" s="11" t="str">
        <f>IFERROR(SUMPRODUCT((nCUENTA=1)*(nCURSO=A98)*(nASIG=B98)*(nAPTO="N"))/D98,"—")</f>
        <v>—</v>
      </c>
      <c r="J98" t="str" cm="1">
        <f t="array" ref="J98">IFERROR(_xlfn.MODE.SNGL(_xlfn._xlws.FILTER(nNOTA,(nCUENTA=1)*(nCURSO=A98)*(nASIG=B98)*(nAPTO="S"))),"—")</f>
        <v>—</v>
      </c>
      <c r="K98" t="str" cm="1">
        <f t="array" ref="K98">IFERROR(_xlfn.MODE.SNGL(_xlfn._xlws.FILTER(nNOTA,(nCUENTA=1)*(nCURSO=A98)*(nASIG=B98)*(nAPTO="N"))),"—")</f>
        <v>—</v>
      </c>
      <c r="L98">
        <f>SUMPRODUCT((nCUENTA=1)*(nCURSO=A98)*(nASIG=B98)*(nNOTA=1))</f>
        <v>0</v>
      </c>
      <c r="M98">
        <f>SUMPRODUCT((nCUENTA=1)*(nCURSO=A98)*(nASIG=B98)*(nNOTA=2))</f>
        <v>0</v>
      </c>
      <c r="N98">
        <f>SUMPRODUCT((nCUENTA=1)*(nCURSO=A98)*(nASIG=B98)*(nNOTA=3))</f>
        <v>0</v>
      </c>
      <c r="O98">
        <f>SUMPRODUCT((nCUENTA=1)*(nCURSO=A98)*(nASIG=B98)*(nNOTA=4))</f>
        <v>0</v>
      </c>
      <c r="P98">
        <f>SUMPRODUCT((nCUENTA=1)*(nCURSO=A98)*(nASIG=B98)*(nNOTA=5))</f>
        <v>0</v>
      </c>
      <c r="Q98">
        <f>SUMPRODUCT((nCUENTA=1)*(nCURSO=A98)*(nASIG=B98)*(nNOTA=6))</f>
        <v>0</v>
      </c>
      <c r="R98">
        <f>SUMPRODUCT((nCUENTA=1)*(nCURSO=A98)*(nASIG=B98)*(nNOTA=7))</f>
        <v>0</v>
      </c>
      <c r="S98">
        <f>SUMPRODUCT((nCUENTA=1)*(nCURSO=A98)*(nASIG=B98)*(nNOTA=8))</f>
        <v>0</v>
      </c>
      <c r="T98">
        <f>SUMPRODUCT((nCUENTA=1)*(nCURSO=A98)*(nASIG=B98)*(nNOTA=9))</f>
        <v>0</v>
      </c>
      <c r="U98">
        <f>SUMPRODUCT((nCUENTA=1)*(nCURSO=A98)*(nASIG=B98)*(nNOTA=10))</f>
        <v>0</v>
      </c>
    </row>
    <row r="99">
      <c r="A99" t="inlineStr">
        <is>
          <t xml:space="preserve">1EPM</t>
        </is>
      </c>
      <c r="B99" cm="1">
        <f t="array" ref="B99">IFERROR(INDEX(_xlfn._xlws.FILTER(CONFIG_ASIGNATURAS!$B$2:$B$91,(CONFIG_ASIGNATURAS!$G$2:$G$91="Sí")*ISNUMBER(SEARCH("1EPM",CONFIG_ASIGNATURAS!$C$2:$C$91))),16),"")</f>
      </c>
      <c r="C99">
        <f>IF(B99="","",IFERROR(VLOOKUP(B99,CONFIG_ASIGNATURAS!$B$2:$D$91,3,FALSE()),"Asignatura"))</f>
      </c>
      <c r="D99">
        <f>SUMPRODUCT((nCUENTA=1)*(nCURSO=A99)*(nASIG=B99))</f>
        <v>0</v>
      </c>
      <c r="E99" s="10" t="str">
        <f>IFERROR(SUMPRODUCT((nCUENTA=1)*(nCURSO=A99)*(nASIG=B99)*(nNOTA))/D99,"—")</f>
        <v>—</v>
      </c>
      <c r="F99" s="10" t="str" cm="1">
        <f t="array" ref="F99">IFERROR(_xlfn.STDEV.P(_xlfn._xlws.FILTER(nNOTA,(nCUENTA=1)*(nCURSO=A99)*(nASIG=B99))),"—")</f>
        <v>—</v>
      </c>
      <c r="G99" t="str" cm="1">
        <f t="array" ref="G99">IFERROR(_xlfn.MODE.SNGL(_xlfn._xlws.FILTER(nNOTA,(nCUENTA=1)*(nCURSO=A99)*(nASIG=B99))),"—")</f>
        <v>—</v>
      </c>
      <c r="H99" s="11" t="str">
        <f>IFERROR(SUMPRODUCT((nCUENTA=1)*(nCURSO=A99)*(nASIG=B99)*(nAPTO="S"))/D99,"—")</f>
        <v>—</v>
      </c>
      <c r="I99" s="11" t="str">
        <f>IFERROR(SUMPRODUCT((nCUENTA=1)*(nCURSO=A99)*(nASIG=B99)*(nAPTO="N"))/D99,"—")</f>
        <v>—</v>
      </c>
      <c r="J99" t="str" cm="1">
        <f t="array" ref="J99">IFERROR(_xlfn.MODE.SNGL(_xlfn._xlws.FILTER(nNOTA,(nCUENTA=1)*(nCURSO=A99)*(nASIG=B99)*(nAPTO="S"))),"—")</f>
        <v>—</v>
      </c>
      <c r="K99" t="str" cm="1">
        <f t="array" ref="K99">IFERROR(_xlfn.MODE.SNGL(_xlfn._xlws.FILTER(nNOTA,(nCUENTA=1)*(nCURSO=A99)*(nASIG=B99)*(nAPTO="N"))),"—")</f>
        <v>—</v>
      </c>
      <c r="L99">
        <f>SUMPRODUCT((nCUENTA=1)*(nCURSO=A99)*(nASIG=B99)*(nNOTA=1))</f>
        <v>0</v>
      </c>
      <c r="M99">
        <f>SUMPRODUCT((nCUENTA=1)*(nCURSO=A99)*(nASIG=B99)*(nNOTA=2))</f>
        <v>0</v>
      </c>
      <c r="N99">
        <f>SUMPRODUCT((nCUENTA=1)*(nCURSO=A99)*(nASIG=B99)*(nNOTA=3))</f>
        <v>0</v>
      </c>
      <c r="O99">
        <f>SUMPRODUCT((nCUENTA=1)*(nCURSO=A99)*(nASIG=B99)*(nNOTA=4))</f>
        <v>0</v>
      </c>
      <c r="P99">
        <f>SUMPRODUCT((nCUENTA=1)*(nCURSO=A99)*(nASIG=B99)*(nNOTA=5))</f>
        <v>0</v>
      </c>
      <c r="Q99">
        <f>SUMPRODUCT((nCUENTA=1)*(nCURSO=A99)*(nASIG=B99)*(nNOTA=6))</f>
        <v>0</v>
      </c>
      <c r="R99">
        <f>SUMPRODUCT((nCUENTA=1)*(nCURSO=A99)*(nASIG=B99)*(nNOTA=7))</f>
        <v>0</v>
      </c>
      <c r="S99">
        <f>SUMPRODUCT((nCUENTA=1)*(nCURSO=A99)*(nASIG=B99)*(nNOTA=8))</f>
        <v>0</v>
      </c>
      <c r="T99">
        <f>SUMPRODUCT((nCUENTA=1)*(nCURSO=A99)*(nASIG=B99)*(nNOTA=9))</f>
        <v>0</v>
      </c>
      <c r="U99">
        <f>SUMPRODUCT((nCUENTA=1)*(nCURSO=A99)*(nASIG=B99)*(nNOTA=10))</f>
        <v>0</v>
      </c>
    </row>
    <row r="100">
      <c r="A100" t="inlineStr">
        <is>
          <t xml:space="preserve">1EPM</t>
        </is>
      </c>
      <c r="B100" cm="1">
        <f t="array" ref="B100">IFERROR(INDEX(_xlfn._xlws.FILTER(CONFIG_ASIGNATURAS!$B$2:$B$91,(CONFIG_ASIGNATURAS!$G$2:$G$91="Sí")*ISNUMBER(SEARCH("1EPM",CONFIG_ASIGNATURAS!$C$2:$C$91))),17),"")</f>
      </c>
      <c r="C100">
        <f>IF(B100="","",IFERROR(VLOOKUP(B100,CONFIG_ASIGNATURAS!$B$2:$D$91,3,FALSE()),"Asignatura"))</f>
      </c>
      <c r="D100">
        <f>SUMPRODUCT((nCUENTA=1)*(nCURSO=A100)*(nASIG=B100))</f>
        <v>0</v>
      </c>
      <c r="E100" s="10" t="str">
        <f>IFERROR(SUMPRODUCT((nCUENTA=1)*(nCURSO=A100)*(nASIG=B100)*(nNOTA))/D100,"—")</f>
        <v>—</v>
      </c>
      <c r="F100" s="10" t="str" cm="1">
        <f t="array" ref="F100">IFERROR(_xlfn.STDEV.P(_xlfn._xlws.FILTER(nNOTA,(nCUENTA=1)*(nCURSO=A100)*(nASIG=B100))),"—")</f>
        <v>—</v>
      </c>
      <c r="G100" t="str" cm="1">
        <f t="array" ref="G100">IFERROR(_xlfn.MODE.SNGL(_xlfn._xlws.FILTER(nNOTA,(nCUENTA=1)*(nCURSO=A100)*(nASIG=B100))),"—")</f>
        <v>—</v>
      </c>
      <c r="H100" s="11" t="str">
        <f>IFERROR(SUMPRODUCT((nCUENTA=1)*(nCURSO=A100)*(nASIG=B100)*(nAPTO="S"))/D100,"—")</f>
        <v>—</v>
      </c>
      <c r="I100" s="11" t="str">
        <f>IFERROR(SUMPRODUCT((nCUENTA=1)*(nCURSO=A100)*(nASIG=B100)*(nAPTO="N"))/D100,"—")</f>
        <v>—</v>
      </c>
      <c r="J100" t="str" cm="1">
        <f t="array" ref="J100">IFERROR(_xlfn.MODE.SNGL(_xlfn._xlws.FILTER(nNOTA,(nCUENTA=1)*(nCURSO=A100)*(nASIG=B100)*(nAPTO="S"))),"—")</f>
        <v>—</v>
      </c>
      <c r="K100" t="str" cm="1">
        <f t="array" ref="K100">IFERROR(_xlfn.MODE.SNGL(_xlfn._xlws.FILTER(nNOTA,(nCUENTA=1)*(nCURSO=A100)*(nASIG=B100)*(nAPTO="N"))),"—")</f>
        <v>—</v>
      </c>
      <c r="L100">
        <f>SUMPRODUCT((nCUENTA=1)*(nCURSO=A100)*(nASIG=B100)*(nNOTA=1))</f>
        <v>0</v>
      </c>
      <c r="M100">
        <f>SUMPRODUCT((nCUENTA=1)*(nCURSO=A100)*(nASIG=B100)*(nNOTA=2))</f>
        <v>0</v>
      </c>
      <c r="N100">
        <f>SUMPRODUCT((nCUENTA=1)*(nCURSO=A100)*(nASIG=B100)*(nNOTA=3))</f>
        <v>0</v>
      </c>
      <c r="O100">
        <f>SUMPRODUCT((nCUENTA=1)*(nCURSO=A100)*(nASIG=B100)*(nNOTA=4))</f>
        <v>0</v>
      </c>
      <c r="P100">
        <f>SUMPRODUCT((nCUENTA=1)*(nCURSO=A100)*(nASIG=B100)*(nNOTA=5))</f>
        <v>0</v>
      </c>
      <c r="Q100">
        <f>SUMPRODUCT((nCUENTA=1)*(nCURSO=A100)*(nASIG=B100)*(nNOTA=6))</f>
        <v>0</v>
      </c>
      <c r="R100">
        <f>SUMPRODUCT((nCUENTA=1)*(nCURSO=A100)*(nASIG=B100)*(nNOTA=7))</f>
        <v>0</v>
      </c>
      <c r="S100">
        <f>SUMPRODUCT((nCUENTA=1)*(nCURSO=A100)*(nASIG=B100)*(nNOTA=8))</f>
        <v>0</v>
      </c>
      <c r="T100">
        <f>SUMPRODUCT((nCUENTA=1)*(nCURSO=A100)*(nASIG=B100)*(nNOTA=9))</f>
        <v>0</v>
      </c>
      <c r="U100">
        <f>SUMPRODUCT((nCUENTA=1)*(nCURSO=A100)*(nASIG=B100)*(nNOTA=10))</f>
        <v>0</v>
      </c>
    </row>
    <row r="101">
      <c r="A101" t="inlineStr">
        <is>
          <t xml:space="preserve">1EPM</t>
        </is>
      </c>
      <c r="B101" cm="1">
        <f t="array" ref="B101">IFERROR(INDEX(_xlfn._xlws.FILTER(CONFIG_ASIGNATURAS!$B$2:$B$91,(CONFIG_ASIGNATURAS!$G$2:$G$91="Sí")*ISNUMBER(SEARCH("1EPM",CONFIG_ASIGNATURAS!$C$2:$C$91))),18),"")</f>
      </c>
      <c r="C101">
        <f>IF(B101="","",IFERROR(VLOOKUP(B101,CONFIG_ASIGNATURAS!$B$2:$D$91,3,FALSE()),"Asignatura"))</f>
      </c>
      <c r="D101">
        <f>SUMPRODUCT((nCUENTA=1)*(nCURSO=A101)*(nASIG=B101))</f>
        <v>0</v>
      </c>
      <c r="E101" s="10" t="str">
        <f>IFERROR(SUMPRODUCT((nCUENTA=1)*(nCURSO=A101)*(nASIG=B101)*(nNOTA))/D101,"—")</f>
        <v>—</v>
      </c>
      <c r="F101" s="10" t="str" cm="1">
        <f t="array" ref="F101">IFERROR(_xlfn.STDEV.P(_xlfn._xlws.FILTER(nNOTA,(nCUENTA=1)*(nCURSO=A101)*(nASIG=B101))),"—")</f>
        <v>—</v>
      </c>
      <c r="G101" t="str" cm="1">
        <f t="array" ref="G101">IFERROR(_xlfn.MODE.SNGL(_xlfn._xlws.FILTER(nNOTA,(nCUENTA=1)*(nCURSO=A101)*(nASIG=B101))),"—")</f>
        <v>—</v>
      </c>
      <c r="H101" s="11" t="str">
        <f>IFERROR(SUMPRODUCT((nCUENTA=1)*(nCURSO=A101)*(nASIG=B101)*(nAPTO="S"))/D101,"—")</f>
        <v>—</v>
      </c>
      <c r="I101" s="11" t="str">
        <f>IFERROR(SUMPRODUCT((nCUENTA=1)*(nCURSO=A101)*(nASIG=B101)*(nAPTO="N"))/D101,"—")</f>
        <v>—</v>
      </c>
      <c r="J101" t="str" cm="1">
        <f t="array" ref="J101">IFERROR(_xlfn.MODE.SNGL(_xlfn._xlws.FILTER(nNOTA,(nCUENTA=1)*(nCURSO=A101)*(nASIG=B101)*(nAPTO="S"))),"—")</f>
        <v>—</v>
      </c>
      <c r="K101" t="str" cm="1">
        <f t="array" ref="K101">IFERROR(_xlfn.MODE.SNGL(_xlfn._xlws.FILTER(nNOTA,(nCUENTA=1)*(nCURSO=A101)*(nASIG=B101)*(nAPTO="N"))),"—")</f>
        <v>—</v>
      </c>
      <c r="L101">
        <f>SUMPRODUCT((nCUENTA=1)*(nCURSO=A101)*(nASIG=B101)*(nNOTA=1))</f>
        <v>0</v>
      </c>
      <c r="M101">
        <f>SUMPRODUCT((nCUENTA=1)*(nCURSO=A101)*(nASIG=B101)*(nNOTA=2))</f>
        <v>0</v>
      </c>
      <c r="N101">
        <f>SUMPRODUCT((nCUENTA=1)*(nCURSO=A101)*(nASIG=B101)*(nNOTA=3))</f>
        <v>0</v>
      </c>
      <c r="O101">
        <f>SUMPRODUCT((nCUENTA=1)*(nCURSO=A101)*(nASIG=B101)*(nNOTA=4))</f>
        <v>0</v>
      </c>
      <c r="P101">
        <f>SUMPRODUCT((nCUENTA=1)*(nCURSO=A101)*(nASIG=B101)*(nNOTA=5))</f>
        <v>0</v>
      </c>
      <c r="Q101">
        <f>SUMPRODUCT((nCUENTA=1)*(nCURSO=A101)*(nASIG=B101)*(nNOTA=6))</f>
        <v>0</v>
      </c>
      <c r="R101">
        <f>SUMPRODUCT((nCUENTA=1)*(nCURSO=A101)*(nASIG=B101)*(nNOTA=7))</f>
        <v>0</v>
      </c>
      <c r="S101">
        <f>SUMPRODUCT((nCUENTA=1)*(nCURSO=A101)*(nASIG=B101)*(nNOTA=8))</f>
        <v>0</v>
      </c>
      <c r="T101">
        <f>SUMPRODUCT((nCUENTA=1)*(nCURSO=A101)*(nASIG=B101)*(nNOTA=9))</f>
        <v>0</v>
      </c>
      <c r="U101">
        <f>SUMPRODUCT((nCUENTA=1)*(nCURSO=A101)*(nASIG=B101)*(nNOTA=10))</f>
        <v>0</v>
      </c>
    </row>
    <row r="102">
      <c r="A102" t="inlineStr">
        <is>
          <t xml:space="preserve">1EPM</t>
        </is>
      </c>
      <c r="B102" cm="1">
        <f t="array" ref="B102">IFERROR(INDEX(_xlfn._xlws.FILTER(CONFIG_ASIGNATURAS!$B$2:$B$91,(CONFIG_ASIGNATURAS!$G$2:$G$91="Sí")*ISNUMBER(SEARCH("1EPM",CONFIG_ASIGNATURAS!$C$2:$C$91))),19),"")</f>
      </c>
      <c r="C102">
        <f>IF(B102="","",IFERROR(VLOOKUP(B102,CONFIG_ASIGNATURAS!$B$2:$D$91,3,FALSE()),"Asignatura"))</f>
      </c>
      <c r="D102">
        <f>SUMPRODUCT((nCUENTA=1)*(nCURSO=A102)*(nASIG=B102))</f>
        <v>0</v>
      </c>
      <c r="E102" s="10" t="str">
        <f>IFERROR(SUMPRODUCT((nCUENTA=1)*(nCURSO=A102)*(nASIG=B102)*(nNOTA))/D102,"—")</f>
        <v>—</v>
      </c>
      <c r="F102" s="10" t="str" cm="1">
        <f t="array" ref="F102">IFERROR(_xlfn.STDEV.P(_xlfn._xlws.FILTER(nNOTA,(nCUENTA=1)*(nCURSO=A102)*(nASIG=B102))),"—")</f>
        <v>—</v>
      </c>
      <c r="G102" t="str" cm="1">
        <f t="array" ref="G102">IFERROR(_xlfn.MODE.SNGL(_xlfn._xlws.FILTER(nNOTA,(nCUENTA=1)*(nCURSO=A102)*(nASIG=B102))),"—")</f>
        <v>—</v>
      </c>
      <c r="H102" s="11" t="str">
        <f>IFERROR(SUMPRODUCT((nCUENTA=1)*(nCURSO=A102)*(nASIG=B102)*(nAPTO="S"))/D102,"—")</f>
        <v>—</v>
      </c>
      <c r="I102" s="11" t="str">
        <f>IFERROR(SUMPRODUCT((nCUENTA=1)*(nCURSO=A102)*(nASIG=B102)*(nAPTO="N"))/D102,"—")</f>
        <v>—</v>
      </c>
      <c r="J102" t="str" cm="1">
        <f t="array" ref="J102">IFERROR(_xlfn.MODE.SNGL(_xlfn._xlws.FILTER(nNOTA,(nCUENTA=1)*(nCURSO=A102)*(nASIG=B102)*(nAPTO="S"))),"—")</f>
        <v>—</v>
      </c>
      <c r="K102" t="str" cm="1">
        <f t="array" ref="K102">IFERROR(_xlfn.MODE.SNGL(_xlfn._xlws.FILTER(nNOTA,(nCUENTA=1)*(nCURSO=A102)*(nASIG=B102)*(nAPTO="N"))),"—")</f>
        <v>—</v>
      </c>
      <c r="L102">
        <f>SUMPRODUCT((nCUENTA=1)*(nCURSO=A102)*(nASIG=B102)*(nNOTA=1))</f>
        <v>0</v>
      </c>
      <c r="M102">
        <f>SUMPRODUCT((nCUENTA=1)*(nCURSO=A102)*(nASIG=B102)*(nNOTA=2))</f>
        <v>0</v>
      </c>
      <c r="N102">
        <f>SUMPRODUCT((nCUENTA=1)*(nCURSO=A102)*(nASIG=B102)*(nNOTA=3))</f>
        <v>0</v>
      </c>
      <c r="O102">
        <f>SUMPRODUCT((nCUENTA=1)*(nCURSO=A102)*(nASIG=B102)*(nNOTA=4))</f>
        <v>0</v>
      </c>
      <c r="P102">
        <f>SUMPRODUCT((nCUENTA=1)*(nCURSO=A102)*(nASIG=B102)*(nNOTA=5))</f>
        <v>0</v>
      </c>
      <c r="Q102">
        <f>SUMPRODUCT((nCUENTA=1)*(nCURSO=A102)*(nASIG=B102)*(nNOTA=6))</f>
        <v>0</v>
      </c>
      <c r="R102">
        <f>SUMPRODUCT((nCUENTA=1)*(nCURSO=A102)*(nASIG=B102)*(nNOTA=7))</f>
        <v>0</v>
      </c>
      <c r="S102">
        <f>SUMPRODUCT((nCUENTA=1)*(nCURSO=A102)*(nASIG=B102)*(nNOTA=8))</f>
        <v>0</v>
      </c>
      <c r="T102">
        <f>SUMPRODUCT((nCUENTA=1)*(nCURSO=A102)*(nASIG=B102)*(nNOTA=9))</f>
        <v>0</v>
      </c>
      <c r="U102">
        <f>SUMPRODUCT((nCUENTA=1)*(nCURSO=A102)*(nASIG=B102)*(nNOTA=10))</f>
        <v>0</v>
      </c>
    </row>
    <row r="103">
      <c r="A103" t="inlineStr">
        <is>
          <t xml:space="preserve">1EPM</t>
        </is>
      </c>
      <c r="B103" cm="1">
        <f t="array" ref="B103">IFERROR(INDEX(_xlfn._xlws.FILTER(CONFIG_ASIGNATURAS!$B$2:$B$91,(CONFIG_ASIGNATURAS!$G$2:$G$91="Sí")*ISNUMBER(SEARCH("1EPM",CONFIG_ASIGNATURAS!$C$2:$C$91))),20),"")</f>
      </c>
      <c r="C103">
        <f>IF(B103="","",IFERROR(VLOOKUP(B103,CONFIG_ASIGNATURAS!$B$2:$D$91,3,FALSE()),"Asignatura"))</f>
      </c>
      <c r="D103">
        <f>SUMPRODUCT((nCUENTA=1)*(nCURSO=A103)*(nASIG=B103))</f>
        <v>0</v>
      </c>
      <c r="E103" s="10" t="str">
        <f>IFERROR(SUMPRODUCT((nCUENTA=1)*(nCURSO=A103)*(nASIG=B103)*(nNOTA))/D103,"—")</f>
        <v>—</v>
      </c>
      <c r="F103" s="10" t="str" cm="1">
        <f t="array" ref="F103">IFERROR(_xlfn.STDEV.P(_xlfn._xlws.FILTER(nNOTA,(nCUENTA=1)*(nCURSO=A103)*(nASIG=B103))),"—")</f>
        <v>—</v>
      </c>
      <c r="G103" t="str" cm="1">
        <f t="array" ref="G103">IFERROR(_xlfn.MODE.SNGL(_xlfn._xlws.FILTER(nNOTA,(nCUENTA=1)*(nCURSO=A103)*(nASIG=B103))),"—")</f>
        <v>—</v>
      </c>
      <c r="H103" s="11" t="str">
        <f>IFERROR(SUMPRODUCT((nCUENTA=1)*(nCURSO=A103)*(nASIG=B103)*(nAPTO="S"))/D103,"—")</f>
        <v>—</v>
      </c>
      <c r="I103" s="11" t="str">
        <f>IFERROR(SUMPRODUCT((nCUENTA=1)*(nCURSO=A103)*(nASIG=B103)*(nAPTO="N"))/D103,"—")</f>
        <v>—</v>
      </c>
      <c r="J103" t="str" cm="1">
        <f t="array" ref="J103">IFERROR(_xlfn.MODE.SNGL(_xlfn._xlws.FILTER(nNOTA,(nCUENTA=1)*(nCURSO=A103)*(nASIG=B103)*(nAPTO="S"))),"—")</f>
        <v>—</v>
      </c>
      <c r="K103" t="str" cm="1">
        <f t="array" ref="K103">IFERROR(_xlfn.MODE.SNGL(_xlfn._xlws.FILTER(nNOTA,(nCUENTA=1)*(nCURSO=A103)*(nASIG=B103)*(nAPTO="N"))),"—")</f>
        <v>—</v>
      </c>
      <c r="L103">
        <f>SUMPRODUCT((nCUENTA=1)*(nCURSO=A103)*(nASIG=B103)*(nNOTA=1))</f>
        <v>0</v>
      </c>
      <c r="M103">
        <f>SUMPRODUCT((nCUENTA=1)*(nCURSO=A103)*(nASIG=B103)*(nNOTA=2))</f>
        <v>0</v>
      </c>
      <c r="N103">
        <f>SUMPRODUCT((nCUENTA=1)*(nCURSO=A103)*(nASIG=B103)*(nNOTA=3))</f>
        <v>0</v>
      </c>
      <c r="O103">
        <f>SUMPRODUCT((nCUENTA=1)*(nCURSO=A103)*(nASIG=B103)*(nNOTA=4))</f>
        <v>0</v>
      </c>
      <c r="P103">
        <f>SUMPRODUCT((nCUENTA=1)*(nCURSO=A103)*(nASIG=B103)*(nNOTA=5))</f>
        <v>0</v>
      </c>
      <c r="Q103">
        <f>SUMPRODUCT((nCUENTA=1)*(nCURSO=A103)*(nASIG=B103)*(nNOTA=6))</f>
        <v>0</v>
      </c>
      <c r="R103">
        <f>SUMPRODUCT((nCUENTA=1)*(nCURSO=A103)*(nASIG=B103)*(nNOTA=7))</f>
        <v>0</v>
      </c>
      <c r="S103">
        <f>SUMPRODUCT((nCUENTA=1)*(nCURSO=A103)*(nASIG=B103)*(nNOTA=8))</f>
        <v>0</v>
      </c>
      <c r="T103">
        <f>SUMPRODUCT((nCUENTA=1)*(nCURSO=A103)*(nASIG=B103)*(nNOTA=9))</f>
        <v>0</v>
      </c>
      <c r="U103">
        <f>SUMPRODUCT((nCUENTA=1)*(nCURSO=A103)*(nASIG=B103)*(nNOTA=10))</f>
        <v>0</v>
      </c>
    </row>
    <row r="104">
      <c r="A104" t="inlineStr">
        <is>
          <t xml:space="preserve">1EPM</t>
        </is>
      </c>
      <c r="B104" cm="1">
        <f t="array" ref="B104">IFERROR(INDEX(_xlfn._xlws.FILTER(CONFIG_ASIGNATURAS!$B$2:$B$91,(CONFIG_ASIGNATURAS!$G$2:$G$91="Sí")*ISNUMBER(SEARCH("1EPM",CONFIG_ASIGNATURAS!$C$2:$C$91))),21),"")</f>
      </c>
      <c r="C104">
        <f>IF(B104="","",IFERROR(VLOOKUP(B104,CONFIG_ASIGNATURAS!$B$2:$D$91,3,FALSE()),"Asignatura"))</f>
      </c>
      <c r="D104">
        <f>SUMPRODUCT((nCUENTA=1)*(nCURSO=A104)*(nASIG=B104))</f>
        <v>0</v>
      </c>
      <c r="E104" s="10" t="str">
        <f>IFERROR(SUMPRODUCT((nCUENTA=1)*(nCURSO=A104)*(nASIG=B104)*(nNOTA))/D104,"—")</f>
        <v>—</v>
      </c>
      <c r="F104" s="10" t="str" cm="1">
        <f t="array" ref="F104">IFERROR(_xlfn.STDEV.P(_xlfn._xlws.FILTER(nNOTA,(nCUENTA=1)*(nCURSO=A104)*(nASIG=B104))),"—")</f>
        <v>—</v>
      </c>
      <c r="G104" t="str" cm="1">
        <f t="array" ref="G104">IFERROR(_xlfn.MODE.SNGL(_xlfn._xlws.FILTER(nNOTA,(nCUENTA=1)*(nCURSO=A104)*(nASIG=B104))),"—")</f>
        <v>—</v>
      </c>
      <c r="H104" s="11" t="str">
        <f>IFERROR(SUMPRODUCT((nCUENTA=1)*(nCURSO=A104)*(nASIG=B104)*(nAPTO="S"))/D104,"—")</f>
        <v>—</v>
      </c>
      <c r="I104" s="11" t="str">
        <f>IFERROR(SUMPRODUCT((nCUENTA=1)*(nCURSO=A104)*(nASIG=B104)*(nAPTO="N"))/D104,"—")</f>
        <v>—</v>
      </c>
      <c r="J104" t="str" cm="1">
        <f t="array" ref="J104">IFERROR(_xlfn.MODE.SNGL(_xlfn._xlws.FILTER(nNOTA,(nCUENTA=1)*(nCURSO=A104)*(nASIG=B104)*(nAPTO="S"))),"—")</f>
        <v>—</v>
      </c>
      <c r="K104" t="str" cm="1">
        <f t="array" ref="K104">IFERROR(_xlfn.MODE.SNGL(_xlfn._xlws.FILTER(nNOTA,(nCUENTA=1)*(nCURSO=A104)*(nASIG=B104)*(nAPTO="N"))),"—")</f>
        <v>—</v>
      </c>
      <c r="L104">
        <f>SUMPRODUCT((nCUENTA=1)*(nCURSO=A104)*(nASIG=B104)*(nNOTA=1))</f>
        <v>0</v>
      </c>
      <c r="M104">
        <f>SUMPRODUCT((nCUENTA=1)*(nCURSO=A104)*(nASIG=B104)*(nNOTA=2))</f>
        <v>0</v>
      </c>
      <c r="N104">
        <f>SUMPRODUCT((nCUENTA=1)*(nCURSO=A104)*(nASIG=B104)*(nNOTA=3))</f>
        <v>0</v>
      </c>
      <c r="O104">
        <f>SUMPRODUCT((nCUENTA=1)*(nCURSO=A104)*(nASIG=B104)*(nNOTA=4))</f>
        <v>0</v>
      </c>
      <c r="P104">
        <f>SUMPRODUCT((nCUENTA=1)*(nCURSO=A104)*(nASIG=B104)*(nNOTA=5))</f>
        <v>0</v>
      </c>
      <c r="Q104">
        <f>SUMPRODUCT((nCUENTA=1)*(nCURSO=A104)*(nASIG=B104)*(nNOTA=6))</f>
        <v>0</v>
      </c>
      <c r="R104">
        <f>SUMPRODUCT((nCUENTA=1)*(nCURSO=A104)*(nASIG=B104)*(nNOTA=7))</f>
        <v>0</v>
      </c>
      <c r="S104">
        <f>SUMPRODUCT((nCUENTA=1)*(nCURSO=A104)*(nASIG=B104)*(nNOTA=8))</f>
        <v>0</v>
      </c>
      <c r="T104">
        <f>SUMPRODUCT((nCUENTA=1)*(nCURSO=A104)*(nASIG=B104)*(nNOTA=9))</f>
        <v>0</v>
      </c>
      <c r="U104">
        <f>SUMPRODUCT((nCUENTA=1)*(nCURSO=A104)*(nASIG=B104)*(nNOTA=10))</f>
        <v>0</v>
      </c>
    </row>
    <row r="105">
      <c r="A105" t="inlineStr">
        <is>
          <t xml:space="preserve">1EPM</t>
        </is>
      </c>
      <c r="B105" cm="1">
        <f t="array" ref="B105">IFERROR(INDEX(_xlfn._xlws.FILTER(CONFIG_ASIGNATURAS!$B$2:$B$91,(CONFIG_ASIGNATURAS!$G$2:$G$91="Sí")*ISNUMBER(SEARCH("1EPM",CONFIG_ASIGNATURAS!$C$2:$C$91))),22),"")</f>
      </c>
      <c r="C105">
        <f>IF(B105="","",IFERROR(VLOOKUP(B105,CONFIG_ASIGNATURAS!$B$2:$D$91,3,FALSE()),"Asignatura"))</f>
      </c>
      <c r="D105">
        <f>SUMPRODUCT((nCUENTA=1)*(nCURSO=A105)*(nASIG=B105))</f>
        <v>0</v>
      </c>
      <c r="E105" s="10" t="str">
        <f>IFERROR(SUMPRODUCT((nCUENTA=1)*(nCURSO=A105)*(nASIG=B105)*(nNOTA))/D105,"—")</f>
        <v>—</v>
      </c>
      <c r="F105" s="10" t="str" cm="1">
        <f t="array" ref="F105">IFERROR(_xlfn.STDEV.P(_xlfn._xlws.FILTER(nNOTA,(nCUENTA=1)*(nCURSO=A105)*(nASIG=B105))),"—")</f>
        <v>—</v>
      </c>
      <c r="G105" t="str" cm="1">
        <f t="array" ref="G105">IFERROR(_xlfn.MODE.SNGL(_xlfn._xlws.FILTER(nNOTA,(nCUENTA=1)*(nCURSO=A105)*(nASIG=B105))),"—")</f>
        <v>—</v>
      </c>
      <c r="H105" s="11" t="str">
        <f>IFERROR(SUMPRODUCT((nCUENTA=1)*(nCURSO=A105)*(nASIG=B105)*(nAPTO="S"))/D105,"—")</f>
        <v>—</v>
      </c>
      <c r="I105" s="11" t="str">
        <f>IFERROR(SUMPRODUCT((nCUENTA=1)*(nCURSO=A105)*(nASIG=B105)*(nAPTO="N"))/D105,"—")</f>
        <v>—</v>
      </c>
      <c r="J105" t="str" cm="1">
        <f t="array" ref="J105">IFERROR(_xlfn.MODE.SNGL(_xlfn._xlws.FILTER(nNOTA,(nCUENTA=1)*(nCURSO=A105)*(nASIG=B105)*(nAPTO="S"))),"—")</f>
        <v>—</v>
      </c>
      <c r="K105" t="str" cm="1">
        <f t="array" ref="K105">IFERROR(_xlfn.MODE.SNGL(_xlfn._xlws.FILTER(nNOTA,(nCUENTA=1)*(nCURSO=A105)*(nASIG=B105)*(nAPTO="N"))),"—")</f>
        <v>—</v>
      </c>
      <c r="L105">
        <f>SUMPRODUCT((nCUENTA=1)*(nCURSO=A105)*(nASIG=B105)*(nNOTA=1))</f>
        <v>0</v>
      </c>
      <c r="M105">
        <f>SUMPRODUCT((nCUENTA=1)*(nCURSO=A105)*(nASIG=B105)*(nNOTA=2))</f>
        <v>0</v>
      </c>
      <c r="N105">
        <f>SUMPRODUCT((nCUENTA=1)*(nCURSO=A105)*(nASIG=B105)*(nNOTA=3))</f>
        <v>0</v>
      </c>
      <c r="O105">
        <f>SUMPRODUCT((nCUENTA=1)*(nCURSO=A105)*(nASIG=B105)*(nNOTA=4))</f>
        <v>0</v>
      </c>
      <c r="P105">
        <f>SUMPRODUCT((nCUENTA=1)*(nCURSO=A105)*(nASIG=B105)*(nNOTA=5))</f>
        <v>0</v>
      </c>
      <c r="Q105">
        <f>SUMPRODUCT((nCUENTA=1)*(nCURSO=A105)*(nASIG=B105)*(nNOTA=6))</f>
        <v>0</v>
      </c>
      <c r="R105">
        <f>SUMPRODUCT((nCUENTA=1)*(nCURSO=A105)*(nASIG=B105)*(nNOTA=7))</f>
        <v>0</v>
      </c>
      <c r="S105">
        <f>SUMPRODUCT((nCUENTA=1)*(nCURSO=A105)*(nASIG=B105)*(nNOTA=8))</f>
        <v>0</v>
      </c>
      <c r="T105">
        <f>SUMPRODUCT((nCUENTA=1)*(nCURSO=A105)*(nASIG=B105)*(nNOTA=9))</f>
        <v>0</v>
      </c>
      <c r="U105">
        <f>SUMPRODUCT((nCUENTA=1)*(nCURSO=A105)*(nASIG=B105)*(nNOTA=10))</f>
        <v>0</v>
      </c>
    </row>
    <row r="106">
      <c r="A106" t="inlineStr">
        <is>
          <t xml:space="preserve">1EPM</t>
        </is>
      </c>
      <c r="B106" cm="1">
        <f t="array" ref="B106">IFERROR(INDEX(_xlfn._xlws.FILTER(CONFIG_ASIGNATURAS!$B$2:$B$91,(CONFIG_ASIGNATURAS!$G$2:$G$91="Sí")*ISNUMBER(SEARCH("1EPM",CONFIG_ASIGNATURAS!$C$2:$C$91))),23),"")</f>
      </c>
      <c r="C106">
        <f>IF(B106="","",IFERROR(VLOOKUP(B106,CONFIG_ASIGNATURAS!$B$2:$D$91,3,FALSE()),"Asignatura"))</f>
      </c>
      <c r="D106">
        <f>SUMPRODUCT((nCUENTA=1)*(nCURSO=A106)*(nASIG=B106))</f>
        <v>0</v>
      </c>
      <c r="E106" s="10" t="str">
        <f>IFERROR(SUMPRODUCT((nCUENTA=1)*(nCURSO=A106)*(nASIG=B106)*(nNOTA))/D106,"—")</f>
        <v>—</v>
      </c>
      <c r="F106" s="10" t="str" cm="1">
        <f t="array" ref="F106">IFERROR(_xlfn.STDEV.P(_xlfn._xlws.FILTER(nNOTA,(nCUENTA=1)*(nCURSO=A106)*(nASIG=B106))),"—")</f>
        <v>—</v>
      </c>
      <c r="G106" t="str" cm="1">
        <f t="array" ref="G106">IFERROR(_xlfn.MODE.SNGL(_xlfn._xlws.FILTER(nNOTA,(nCUENTA=1)*(nCURSO=A106)*(nASIG=B106))),"—")</f>
        <v>—</v>
      </c>
      <c r="H106" s="11" t="str">
        <f>IFERROR(SUMPRODUCT((nCUENTA=1)*(nCURSO=A106)*(nASIG=B106)*(nAPTO="S"))/D106,"—")</f>
        <v>—</v>
      </c>
      <c r="I106" s="11" t="str">
        <f>IFERROR(SUMPRODUCT((nCUENTA=1)*(nCURSO=A106)*(nASIG=B106)*(nAPTO="N"))/D106,"—")</f>
        <v>—</v>
      </c>
      <c r="J106" t="str" cm="1">
        <f t="array" ref="J106">IFERROR(_xlfn.MODE.SNGL(_xlfn._xlws.FILTER(nNOTA,(nCUENTA=1)*(nCURSO=A106)*(nASIG=B106)*(nAPTO="S"))),"—")</f>
        <v>—</v>
      </c>
      <c r="K106" t="str" cm="1">
        <f t="array" ref="K106">IFERROR(_xlfn.MODE.SNGL(_xlfn._xlws.FILTER(nNOTA,(nCUENTA=1)*(nCURSO=A106)*(nASIG=B106)*(nAPTO="N"))),"—")</f>
        <v>—</v>
      </c>
      <c r="L106">
        <f>SUMPRODUCT((nCUENTA=1)*(nCURSO=A106)*(nASIG=B106)*(nNOTA=1))</f>
        <v>0</v>
      </c>
      <c r="M106">
        <f>SUMPRODUCT((nCUENTA=1)*(nCURSO=A106)*(nASIG=B106)*(nNOTA=2))</f>
        <v>0</v>
      </c>
      <c r="N106">
        <f>SUMPRODUCT((nCUENTA=1)*(nCURSO=A106)*(nASIG=B106)*(nNOTA=3))</f>
        <v>0</v>
      </c>
      <c r="O106">
        <f>SUMPRODUCT((nCUENTA=1)*(nCURSO=A106)*(nASIG=B106)*(nNOTA=4))</f>
        <v>0</v>
      </c>
      <c r="P106">
        <f>SUMPRODUCT((nCUENTA=1)*(nCURSO=A106)*(nASIG=B106)*(nNOTA=5))</f>
        <v>0</v>
      </c>
      <c r="Q106">
        <f>SUMPRODUCT((nCUENTA=1)*(nCURSO=A106)*(nASIG=B106)*(nNOTA=6))</f>
        <v>0</v>
      </c>
      <c r="R106">
        <f>SUMPRODUCT((nCUENTA=1)*(nCURSO=A106)*(nASIG=B106)*(nNOTA=7))</f>
        <v>0</v>
      </c>
      <c r="S106">
        <f>SUMPRODUCT((nCUENTA=1)*(nCURSO=A106)*(nASIG=B106)*(nNOTA=8))</f>
        <v>0</v>
      </c>
      <c r="T106">
        <f>SUMPRODUCT((nCUENTA=1)*(nCURSO=A106)*(nASIG=B106)*(nNOTA=9))</f>
        <v>0</v>
      </c>
      <c r="U106">
        <f>SUMPRODUCT((nCUENTA=1)*(nCURSO=A106)*(nASIG=B106)*(nNOTA=10))</f>
        <v>0</v>
      </c>
    </row>
    <row r="107">
      <c r="A107" t="inlineStr">
        <is>
          <t xml:space="preserve">1EPM</t>
        </is>
      </c>
      <c r="B107" cm="1">
        <f t="array" ref="B107">IFERROR(INDEX(_xlfn._xlws.FILTER(CONFIG_ASIGNATURAS!$B$2:$B$91,(CONFIG_ASIGNATURAS!$G$2:$G$91="Sí")*ISNUMBER(SEARCH("1EPM",CONFIG_ASIGNATURAS!$C$2:$C$91))),24),"")</f>
      </c>
      <c r="C107">
        <f>IF(B107="","",IFERROR(VLOOKUP(B107,CONFIG_ASIGNATURAS!$B$2:$D$91,3,FALSE()),"Asignatura"))</f>
      </c>
      <c r="D107">
        <f>SUMPRODUCT((nCUENTA=1)*(nCURSO=A107)*(nASIG=B107))</f>
        <v>0</v>
      </c>
      <c r="E107" s="10" t="str">
        <f>IFERROR(SUMPRODUCT((nCUENTA=1)*(nCURSO=A107)*(nASIG=B107)*(nNOTA))/D107,"—")</f>
        <v>—</v>
      </c>
      <c r="F107" s="10" t="str" cm="1">
        <f t="array" ref="F107">IFERROR(_xlfn.STDEV.P(_xlfn._xlws.FILTER(nNOTA,(nCUENTA=1)*(nCURSO=A107)*(nASIG=B107))),"—")</f>
        <v>—</v>
      </c>
      <c r="G107" t="str" cm="1">
        <f t="array" ref="G107">IFERROR(_xlfn.MODE.SNGL(_xlfn._xlws.FILTER(nNOTA,(nCUENTA=1)*(nCURSO=A107)*(nASIG=B107))),"—")</f>
        <v>—</v>
      </c>
      <c r="H107" s="11" t="str">
        <f>IFERROR(SUMPRODUCT((nCUENTA=1)*(nCURSO=A107)*(nASIG=B107)*(nAPTO="S"))/D107,"—")</f>
        <v>—</v>
      </c>
      <c r="I107" s="11" t="str">
        <f>IFERROR(SUMPRODUCT((nCUENTA=1)*(nCURSO=A107)*(nASIG=B107)*(nAPTO="N"))/D107,"—")</f>
        <v>—</v>
      </c>
      <c r="J107" t="str" cm="1">
        <f t="array" ref="J107">IFERROR(_xlfn.MODE.SNGL(_xlfn._xlws.FILTER(nNOTA,(nCUENTA=1)*(nCURSO=A107)*(nASIG=B107)*(nAPTO="S"))),"—")</f>
        <v>—</v>
      </c>
      <c r="K107" t="str" cm="1">
        <f t="array" ref="K107">IFERROR(_xlfn.MODE.SNGL(_xlfn._xlws.FILTER(nNOTA,(nCUENTA=1)*(nCURSO=A107)*(nASIG=B107)*(nAPTO="N"))),"—")</f>
        <v>—</v>
      </c>
      <c r="L107">
        <f>SUMPRODUCT((nCUENTA=1)*(nCURSO=A107)*(nASIG=B107)*(nNOTA=1))</f>
        <v>0</v>
      </c>
      <c r="M107">
        <f>SUMPRODUCT((nCUENTA=1)*(nCURSO=A107)*(nASIG=B107)*(nNOTA=2))</f>
        <v>0</v>
      </c>
      <c r="N107">
        <f>SUMPRODUCT((nCUENTA=1)*(nCURSO=A107)*(nASIG=B107)*(nNOTA=3))</f>
        <v>0</v>
      </c>
      <c r="O107">
        <f>SUMPRODUCT((nCUENTA=1)*(nCURSO=A107)*(nASIG=B107)*(nNOTA=4))</f>
        <v>0</v>
      </c>
      <c r="P107">
        <f>SUMPRODUCT((nCUENTA=1)*(nCURSO=A107)*(nASIG=B107)*(nNOTA=5))</f>
        <v>0</v>
      </c>
      <c r="Q107">
        <f>SUMPRODUCT((nCUENTA=1)*(nCURSO=A107)*(nASIG=B107)*(nNOTA=6))</f>
        <v>0</v>
      </c>
      <c r="R107">
        <f>SUMPRODUCT((nCUENTA=1)*(nCURSO=A107)*(nASIG=B107)*(nNOTA=7))</f>
        <v>0</v>
      </c>
      <c r="S107">
        <f>SUMPRODUCT((nCUENTA=1)*(nCURSO=A107)*(nASIG=B107)*(nNOTA=8))</f>
        <v>0</v>
      </c>
      <c r="T107">
        <f>SUMPRODUCT((nCUENTA=1)*(nCURSO=A107)*(nASIG=B107)*(nNOTA=9))</f>
        <v>0</v>
      </c>
      <c r="U107">
        <f>SUMPRODUCT((nCUENTA=1)*(nCURSO=A107)*(nASIG=B107)*(nNOTA=10))</f>
        <v>0</v>
      </c>
    </row>
    <row r="108">
      <c r="A108" t="inlineStr">
        <is>
          <t xml:space="preserve">1EPM</t>
        </is>
      </c>
      <c r="B108" cm="1">
        <f t="array" ref="B108">IFERROR(INDEX(_xlfn._xlws.FILTER(CONFIG_ASIGNATURAS!$B$2:$B$91,(CONFIG_ASIGNATURAS!$G$2:$G$91="Sí")*ISNUMBER(SEARCH("1EPM",CONFIG_ASIGNATURAS!$C$2:$C$91))),25),"")</f>
      </c>
      <c r="C108">
        <f>IF(B108="","",IFERROR(VLOOKUP(B108,CONFIG_ASIGNATURAS!$B$2:$D$91,3,FALSE()),"Asignatura"))</f>
      </c>
      <c r="D108">
        <f>SUMPRODUCT((nCUENTA=1)*(nCURSO=A108)*(nASIG=B108))</f>
        <v>0</v>
      </c>
      <c r="E108" s="10" t="str">
        <f>IFERROR(SUMPRODUCT((nCUENTA=1)*(nCURSO=A108)*(nASIG=B108)*(nNOTA))/D108,"—")</f>
        <v>—</v>
      </c>
      <c r="F108" s="10" t="str" cm="1">
        <f t="array" ref="F108">IFERROR(_xlfn.STDEV.P(_xlfn._xlws.FILTER(nNOTA,(nCUENTA=1)*(nCURSO=A108)*(nASIG=B108))),"—")</f>
        <v>—</v>
      </c>
      <c r="G108" t="str" cm="1">
        <f t="array" ref="G108">IFERROR(_xlfn.MODE.SNGL(_xlfn._xlws.FILTER(nNOTA,(nCUENTA=1)*(nCURSO=A108)*(nASIG=B108))),"—")</f>
        <v>—</v>
      </c>
      <c r="H108" s="11" t="str">
        <f>IFERROR(SUMPRODUCT((nCUENTA=1)*(nCURSO=A108)*(nASIG=B108)*(nAPTO="S"))/D108,"—")</f>
        <v>—</v>
      </c>
      <c r="I108" s="11" t="str">
        <f>IFERROR(SUMPRODUCT((nCUENTA=1)*(nCURSO=A108)*(nASIG=B108)*(nAPTO="N"))/D108,"—")</f>
        <v>—</v>
      </c>
      <c r="J108" t="str" cm="1">
        <f t="array" ref="J108">IFERROR(_xlfn.MODE.SNGL(_xlfn._xlws.FILTER(nNOTA,(nCUENTA=1)*(nCURSO=A108)*(nASIG=B108)*(nAPTO="S"))),"—")</f>
        <v>—</v>
      </c>
      <c r="K108" t="str" cm="1">
        <f t="array" ref="K108">IFERROR(_xlfn.MODE.SNGL(_xlfn._xlws.FILTER(nNOTA,(nCUENTA=1)*(nCURSO=A108)*(nASIG=B108)*(nAPTO="N"))),"—")</f>
        <v>—</v>
      </c>
      <c r="L108">
        <f>SUMPRODUCT((nCUENTA=1)*(nCURSO=A108)*(nASIG=B108)*(nNOTA=1))</f>
        <v>0</v>
      </c>
      <c r="M108">
        <f>SUMPRODUCT((nCUENTA=1)*(nCURSO=A108)*(nASIG=B108)*(nNOTA=2))</f>
        <v>0</v>
      </c>
      <c r="N108">
        <f>SUMPRODUCT((nCUENTA=1)*(nCURSO=A108)*(nASIG=B108)*(nNOTA=3))</f>
        <v>0</v>
      </c>
      <c r="O108">
        <f>SUMPRODUCT((nCUENTA=1)*(nCURSO=A108)*(nASIG=B108)*(nNOTA=4))</f>
        <v>0</v>
      </c>
      <c r="P108">
        <f>SUMPRODUCT((nCUENTA=1)*(nCURSO=A108)*(nASIG=B108)*(nNOTA=5))</f>
        <v>0</v>
      </c>
      <c r="Q108">
        <f>SUMPRODUCT((nCUENTA=1)*(nCURSO=A108)*(nASIG=B108)*(nNOTA=6))</f>
        <v>0</v>
      </c>
      <c r="R108">
        <f>SUMPRODUCT((nCUENTA=1)*(nCURSO=A108)*(nASIG=B108)*(nNOTA=7))</f>
        <v>0</v>
      </c>
      <c r="S108">
        <f>SUMPRODUCT((nCUENTA=1)*(nCURSO=A108)*(nASIG=B108)*(nNOTA=8))</f>
        <v>0</v>
      </c>
      <c r="T108">
        <f>SUMPRODUCT((nCUENTA=1)*(nCURSO=A108)*(nASIG=B108)*(nNOTA=9))</f>
        <v>0</v>
      </c>
      <c r="U108">
        <f>SUMPRODUCT((nCUENTA=1)*(nCURSO=A108)*(nASIG=B108)*(nNOTA=10))</f>
        <v>0</v>
      </c>
    </row>
    <row r="109">
      <c r="A109" t="inlineStr">
        <is>
          <t xml:space="preserve">1EPM</t>
        </is>
      </c>
      <c r="B109" cm="1">
        <f t="array" ref="B109">IFERROR(INDEX(_xlfn._xlws.FILTER(CONFIG_ASIGNATURAS!$B$2:$B$91,(CONFIG_ASIGNATURAS!$G$2:$G$91="Sí")*ISNUMBER(SEARCH("1EPM",CONFIG_ASIGNATURAS!$C$2:$C$91))),26),"")</f>
      </c>
      <c r="C109">
        <f>IF(B109="","",IFERROR(VLOOKUP(B109,CONFIG_ASIGNATURAS!$B$2:$D$91,3,FALSE()),"Asignatura"))</f>
      </c>
      <c r="D109">
        <f>SUMPRODUCT((nCUENTA=1)*(nCURSO=A109)*(nASIG=B109))</f>
        <v>0</v>
      </c>
      <c r="E109" s="10" t="str">
        <f>IFERROR(SUMPRODUCT((nCUENTA=1)*(nCURSO=A109)*(nASIG=B109)*(nNOTA))/D109,"—")</f>
        <v>—</v>
      </c>
      <c r="F109" s="10" t="str" cm="1">
        <f t="array" ref="F109">IFERROR(_xlfn.STDEV.P(_xlfn._xlws.FILTER(nNOTA,(nCUENTA=1)*(nCURSO=A109)*(nASIG=B109))),"—")</f>
        <v>—</v>
      </c>
      <c r="G109" t="str" cm="1">
        <f t="array" ref="G109">IFERROR(_xlfn.MODE.SNGL(_xlfn._xlws.FILTER(nNOTA,(nCUENTA=1)*(nCURSO=A109)*(nASIG=B109))),"—")</f>
        <v>—</v>
      </c>
      <c r="H109" s="11" t="str">
        <f>IFERROR(SUMPRODUCT((nCUENTA=1)*(nCURSO=A109)*(nASIG=B109)*(nAPTO="S"))/D109,"—")</f>
        <v>—</v>
      </c>
      <c r="I109" s="11" t="str">
        <f>IFERROR(SUMPRODUCT((nCUENTA=1)*(nCURSO=A109)*(nASIG=B109)*(nAPTO="N"))/D109,"—")</f>
        <v>—</v>
      </c>
      <c r="J109" t="str" cm="1">
        <f t="array" ref="J109">IFERROR(_xlfn.MODE.SNGL(_xlfn._xlws.FILTER(nNOTA,(nCUENTA=1)*(nCURSO=A109)*(nASIG=B109)*(nAPTO="S"))),"—")</f>
        <v>—</v>
      </c>
      <c r="K109" t="str" cm="1">
        <f t="array" ref="K109">IFERROR(_xlfn.MODE.SNGL(_xlfn._xlws.FILTER(nNOTA,(nCUENTA=1)*(nCURSO=A109)*(nASIG=B109)*(nAPTO="N"))),"—")</f>
        <v>—</v>
      </c>
      <c r="L109">
        <f>SUMPRODUCT((nCUENTA=1)*(nCURSO=A109)*(nASIG=B109)*(nNOTA=1))</f>
        <v>0</v>
      </c>
      <c r="M109">
        <f>SUMPRODUCT((nCUENTA=1)*(nCURSO=A109)*(nASIG=B109)*(nNOTA=2))</f>
        <v>0</v>
      </c>
      <c r="N109">
        <f>SUMPRODUCT((nCUENTA=1)*(nCURSO=A109)*(nASIG=B109)*(nNOTA=3))</f>
        <v>0</v>
      </c>
      <c r="O109">
        <f>SUMPRODUCT((nCUENTA=1)*(nCURSO=A109)*(nASIG=B109)*(nNOTA=4))</f>
        <v>0</v>
      </c>
      <c r="P109">
        <f>SUMPRODUCT((nCUENTA=1)*(nCURSO=A109)*(nASIG=B109)*(nNOTA=5))</f>
        <v>0</v>
      </c>
      <c r="Q109">
        <f>SUMPRODUCT((nCUENTA=1)*(nCURSO=A109)*(nASIG=B109)*(nNOTA=6))</f>
        <v>0</v>
      </c>
      <c r="R109">
        <f>SUMPRODUCT((nCUENTA=1)*(nCURSO=A109)*(nASIG=B109)*(nNOTA=7))</f>
        <v>0</v>
      </c>
      <c r="S109">
        <f>SUMPRODUCT((nCUENTA=1)*(nCURSO=A109)*(nASIG=B109)*(nNOTA=8))</f>
        <v>0</v>
      </c>
      <c r="T109">
        <f>SUMPRODUCT((nCUENTA=1)*(nCURSO=A109)*(nASIG=B109)*(nNOTA=9))</f>
        <v>0</v>
      </c>
      <c r="U109">
        <f>SUMPRODUCT((nCUENTA=1)*(nCURSO=A109)*(nASIG=B109)*(nNOTA=10))</f>
        <v>0</v>
      </c>
    </row>
    <row r="110">
      <c r="A110" t="inlineStr">
        <is>
          <t xml:space="preserve">1EPM</t>
        </is>
      </c>
      <c r="B110" cm="1">
        <f t="array" ref="B110">IFERROR(INDEX(_xlfn._xlws.FILTER(CONFIG_ASIGNATURAS!$B$2:$B$91,(CONFIG_ASIGNATURAS!$G$2:$G$91="Sí")*ISNUMBER(SEARCH("1EPM",CONFIG_ASIGNATURAS!$C$2:$C$91))),27),"")</f>
      </c>
      <c r="C110">
        <f>IF(B110="","",IFERROR(VLOOKUP(B110,CONFIG_ASIGNATURAS!$B$2:$D$91,3,FALSE()),"Asignatura"))</f>
      </c>
      <c r="D110">
        <f>SUMPRODUCT((nCUENTA=1)*(nCURSO=A110)*(nASIG=B110))</f>
        <v>0</v>
      </c>
      <c r="E110" s="10" t="str">
        <f>IFERROR(SUMPRODUCT((nCUENTA=1)*(nCURSO=A110)*(nASIG=B110)*(nNOTA))/D110,"—")</f>
        <v>—</v>
      </c>
      <c r="F110" s="10" t="str" cm="1">
        <f t="array" ref="F110">IFERROR(_xlfn.STDEV.P(_xlfn._xlws.FILTER(nNOTA,(nCUENTA=1)*(nCURSO=A110)*(nASIG=B110))),"—")</f>
        <v>—</v>
      </c>
      <c r="G110" t="str" cm="1">
        <f t="array" ref="G110">IFERROR(_xlfn.MODE.SNGL(_xlfn._xlws.FILTER(nNOTA,(nCUENTA=1)*(nCURSO=A110)*(nASIG=B110))),"—")</f>
        <v>—</v>
      </c>
      <c r="H110" s="11" t="str">
        <f>IFERROR(SUMPRODUCT((nCUENTA=1)*(nCURSO=A110)*(nASIG=B110)*(nAPTO="S"))/D110,"—")</f>
        <v>—</v>
      </c>
      <c r="I110" s="11" t="str">
        <f>IFERROR(SUMPRODUCT((nCUENTA=1)*(nCURSO=A110)*(nASIG=B110)*(nAPTO="N"))/D110,"—")</f>
        <v>—</v>
      </c>
      <c r="J110" t="str" cm="1">
        <f t="array" ref="J110">IFERROR(_xlfn.MODE.SNGL(_xlfn._xlws.FILTER(nNOTA,(nCUENTA=1)*(nCURSO=A110)*(nASIG=B110)*(nAPTO="S"))),"—")</f>
        <v>—</v>
      </c>
      <c r="K110" t="str" cm="1">
        <f t="array" ref="K110">IFERROR(_xlfn.MODE.SNGL(_xlfn._xlws.FILTER(nNOTA,(nCUENTA=1)*(nCURSO=A110)*(nASIG=B110)*(nAPTO="N"))),"—")</f>
        <v>—</v>
      </c>
      <c r="L110">
        <f>SUMPRODUCT((nCUENTA=1)*(nCURSO=A110)*(nASIG=B110)*(nNOTA=1))</f>
        <v>0</v>
      </c>
      <c r="M110">
        <f>SUMPRODUCT((nCUENTA=1)*(nCURSO=A110)*(nASIG=B110)*(nNOTA=2))</f>
        <v>0</v>
      </c>
      <c r="N110">
        <f>SUMPRODUCT((nCUENTA=1)*(nCURSO=A110)*(nASIG=B110)*(nNOTA=3))</f>
        <v>0</v>
      </c>
      <c r="O110">
        <f>SUMPRODUCT((nCUENTA=1)*(nCURSO=A110)*(nASIG=B110)*(nNOTA=4))</f>
        <v>0</v>
      </c>
      <c r="P110">
        <f>SUMPRODUCT((nCUENTA=1)*(nCURSO=A110)*(nASIG=B110)*(nNOTA=5))</f>
        <v>0</v>
      </c>
      <c r="Q110">
        <f>SUMPRODUCT((nCUENTA=1)*(nCURSO=A110)*(nASIG=B110)*(nNOTA=6))</f>
        <v>0</v>
      </c>
      <c r="R110">
        <f>SUMPRODUCT((nCUENTA=1)*(nCURSO=A110)*(nASIG=B110)*(nNOTA=7))</f>
        <v>0</v>
      </c>
      <c r="S110">
        <f>SUMPRODUCT((nCUENTA=1)*(nCURSO=A110)*(nASIG=B110)*(nNOTA=8))</f>
        <v>0</v>
      </c>
      <c r="T110">
        <f>SUMPRODUCT((nCUENTA=1)*(nCURSO=A110)*(nASIG=B110)*(nNOTA=9))</f>
        <v>0</v>
      </c>
      <c r="U110">
        <f>SUMPRODUCT((nCUENTA=1)*(nCURSO=A110)*(nASIG=B110)*(nNOTA=10))</f>
        <v>0</v>
      </c>
    </row>
    <row r="111">
      <c r="A111" t="inlineStr">
        <is>
          <t xml:space="preserve">1EPM</t>
        </is>
      </c>
      <c r="B111" cm="1">
        <f t="array" ref="B111">IFERROR(INDEX(_xlfn._xlws.FILTER(CONFIG_ASIGNATURAS!$B$2:$B$91,(CONFIG_ASIGNATURAS!$G$2:$G$91="Sí")*ISNUMBER(SEARCH("1EPM",CONFIG_ASIGNATURAS!$C$2:$C$91))),28),"")</f>
      </c>
      <c r="C111">
        <f>IF(B111="","",IFERROR(VLOOKUP(B111,CONFIG_ASIGNATURAS!$B$2:$D$91,3,FALSE()),"Asignatura"))</f>
      </c>
      <c r="D111">
        <f>SUMPRODUCT((nCUENTA=1)*(nCURSO=A111)*(nASIG=B111))</f>
        <v>0</v>
      </c>
      <c r="E111" s="10" t="str">
        <f>IFERROR(SUMPRODUCT((nCUENTA=1)*(nCURSO=A111)*(nASIG=B111)*(nNOTA))/D111,"—")</f>
        <v>—</v>
      </c>
      <c r="F111" s="10" t="str" cm="1">
        <f t="array" ref="F111">IFERROR(_xlfn.STDEV.P(_xlfn._xlws.FILTER(nNOTA,(nCUENTA=1)*(nCURSO=A111)*(nASIG=B111))),"—")</f>
        <v>—</v>
      </c>
      <c r="G111" t="str" cm="1">
        <f t="array" ref="G111">IFERROR(_xlfn.MODE.SNGL(_xlfn._xlws.FILTER(nNOTA,(nCUENTA=1)*(nCURSO=A111)*(nASIG=B111))),"—")</f>
        <v>—</v>
      </c>
      <c r="H111" s="11" t="str">
        <f>IFERROR(SUMPRODUCT((nCUENTA=1)*(nCURSO=A111)*(nASIG=B111)*(nAPTO="S"))/D111,"—")</f>
        <v>—</v>
      </c>
      <c r="I111" s="11" t="str">
        <f>IFERROR(SUMPRODUCT((nCUENTA=1)*(nCURSO=A111)*(nASIG=B111)*(nAPTO="N"))/D111,"—")</f>
        <v>—</v>
      </c>
      <c r="J111" t="str" cm="1">
        <f t="array" ref="J111">IFERROR(_xlfn.MODE.SNGL(_xlfn._xlws.FILTER(nNOTA,(nCUENTA=1)*(nCURSO=A111)*(nASIG=B111)*(nAPTO="S"))),"—")</f>
        <v>—</v>
      </c>
      <c r="K111" t="str" cm="1">
        <f t="array" ref="K111">IFERROR(_xlfn.MODE.SNGL(_xlfn._xlws.FILTER(nNOTA,(nCUENTA=1)*(nCURSO=A111)*(nASIG=B111)*(nAPTO="N"))),"—")</f>
        <v>—</v>
      </c>
      <c r="L111">
        <f>SUMPRODUCT((nCUENTA=1)*(nCURSO=A111)*(nASIG=B111)*(nNOTA=1))</f>
        <v>0</v>
      </c>
      <c r="M111">
        <f>SUMPRODUCT((nCUENTA=1)*(nCURSO=A111)*(nASIG=B111)*(nNOTA=2))</f>
        <v>0</v>
      </c>
      <c r="N111">
        <f>SUMPRODUCT((nCUENTA=1)*(nCURSO=A111)*(nASIG=B111)*(nNOTA=3))</f>
        <v>0</v>
      </c>
      <c r="O111">
        <f>SUMPRODUCT((nCUENTA=1)*(nCURSO=A111)*(nASIG=B111)*(nNOTA=4))</f>
        <v>0</v>
      </c>
      <c r="P111">
        <f>SUMPRODUCT((nCUENTA=1)*(nCURSO=A111)*(nASIG=B111)*(nNOTA=5))</f>
        <v>0</v>
      </c>
      <c r="Q111">
        <f>SUMPRODUCT((nCUENTA=1)*(nCURSO=A111)*(nASIG=B111)*(nNOTA=6))</f>
        <v>0</v>
      </c>
      <c r="R111">
        <f>SUMPRODUCT((nCUENTA=1)*(nCURSO=A111)*(nASIG=B111)*(nNOTA=7))</f>
        <v>0</v>
      </c>
      <c r="S111">
        <f>SUMPRODUCT((nCUENTA=1)*(nCURSO=A111)*(nASIG=B111)*(nNOTA=8))</f>
        <v>0</v>
      </c>
      <c r="T111">
        <f>SUMPRODUCT((nCUENTA=1)*(nCURSO=A111)*(nASIG=B111)*(nNOTA=9))</f>
        <v>0</v>
      </c>
      <c r="U111">
        <f>SUMPRODUCT((nCUENTA=1)*(nCURSO=A111)*(nASIG=B111)*(nNOTA=10))</f>
        <v>0</v>
      </c>
    </row>
    <row r="112">
      <c r="A112" t="inlineStr">
        <is>
          <t xml:space="preserve">1EPM</t>
        </is>
      </c>
      <c r="B112" cm="1">
        <f t="array" ref="B112">IFERROR(INDEX(_xlfn._xlws.FILTER(CONFIG_ASIGNATURAS!$B$2:$B$91,(CONFIG_ASIGNATURAS!$G$2:$G$91="Sí")*ISNUMBER(SEARCH("1EPM",CONFIG_ASIGNATURAS!$C$2:$C$91))),29),"")</f>
      </c>
      <c r="C112">
        <f>IF(B112="","",IFERROR(VLOOKUP(B112,CONFIG_ASIGNATURAS!$B$2:$D$91,3,FALSE()),"Asignatura"))</f>
      </c>
      <c r="D112">
        <f>SUMPRODUCT((nCUENTA=1)*(nCURSO=A112)*(nASIG=B112))</f>
        <v>0</v>
      </c>
      <c r="E112" s="10" t="str">
        <f>IFERROR(SUMPRODUCT((nCUENTA=1)*(nCURSO=A112)*(nASIG=B112)*(nNOTA))/D112,"—")</f>
        <v>—</v>
      </c>
      <c r="F112" s="10" t="str" cm="1">
        <f t="array" ref="F112">IFERROR(_xlfn.STDEV.P(_xlfn._xlws.FILTER(nNOTA,(nCUENTA=1)*(nCURSO=A112)*(nASIG=B112))),"—")</f>
        <v>—</v>
      </c>
      <c r="G112" t="str" cm="1">
        <f t="array" ref="G112">IFERROR(_xlfn.MODE.SNGL(_xlfn._xlws.FILTER(nNOTA,(nCUENTA=1)*(nCURSO=A112)*(nASIG=B112))),"—")</f>
        <v>—</v>
      </c>
      <c r="H112" s="11" t="str">
        <f>IFERROR(SUMPRODUCT((nCUENTA=1)*(nCURSO=A112)*(nASIG=B112)*(nAPTO="S"))/D112,"—")</f>
        <v>—</v>
      </c>
      <c r="I112" s="11" t="str">
        <f>IFERROR(SUMPRODUCT((nCUENTA=1)*(nCURSO=A112)*(nASIG=B112)*(nAPTO="N"))/D112,"—")</f>
        <v>—</v>
      </c>
      <c r="J112" t="str" cm="1">
        <f t="array" ref="J112">IFERROR(_xlfn.MODE.SNGL(_xlfn._xlws.FILTER(nNOTA,(nCUENTA=1)*(nCURSO=A112)*(nASIG=B112)*(nAPTO="S"))),"—")</f>
        <v>—</v>
      </c>
      <c r="K112" t="str" cm="1">
        <f t="array" ref="K112">IFERROR(_xlfn.MODE.SNGL(_xlfn._xlws.FILTER(nNOTA,(nCUENTA=1)*(nCURSO=A112)*(nASIG=B112)*(nAPTO="N"))),"—")</f>
        <v>—</v>
      </c>
      <c r="L112">
        <f>SUMPRODUCT((nCUENTA=1)*(nCURSO=A112)*(nASIG=B112)*(nNOTA=1))</f>
        <v>0</v>
      </c>
      <c r="M112">
        <f>SUMPRODUCT((nCUENTA=1)*(nCURSO=A112)*(nASIG=B112)*(nNOTA=2))</f>
        <v>0</v>
      </c>
      <c r="N112">
        <f>SUMPRODUCT((nCUENTA=1)*(nCURSO=A112)*(nASIG=B112)*(nNOTA=3))</f>
        <v>0</v>
      </c>
      <c r="O112">
        <f>SUMPRODUCT((nCUENTA=1)*(nCURSO=A112)*(nASIG=B112)*(nNOTA=4))</f>
        <v>0</v>
      </c>
      <c r="P112">
        <f>SUMPRODUCT((nCUENTA=1)*(nCURSO=A112)*(nASIG=B112)*(nNOTA=5))</f>
        <v>0</v>
      </c>
      <c r="Q112">
        <f>SUMPRODUCT((nCUENTA=1)*(nCURSO=A112)*(nASIG=B112)*(nNOTA=6))</f>
        <v>0</v>
      </c>
      <c r="R112">
        <f>SUMPRODUCT((nCUENTA=1)*(nCURSO=A112)*(nASIG=B112)*(nNOTA=7))</f>
        <v>0</v>
      </c>
      <c r="S112">
        <f>SUMPRODUCT((nCUENTA=1)*(nCURSO=A112)*(nASIG=B112)*(nNOTA=8))</f>
        <v>0</v>
      </c>
      <c r="T112">
        <f>SUMPRODUCT((nCUENTA=1)*(nCURSO=A112)*(nASIG=B112)*(nNOTA=9))</f>
        <v>0</v>
      </c>
      <c r="U112">
        <f>SUMPRODUCT((nCUENTA=1)*(nCURSO=A112)*(nASIG=B112)*(nNOTA=10))</f>
        <v>0</v>
      </c>
    </row>
    <row r="113">
      <c r="A113" t="inlineStr">
        <is>
          <t xml:space="preserve">1EPM</t>
        </is>
      </c>
      <c r="B113" cm="1">
        <f t="array" ref="B113">IFERROR(INDEX(_xlfn._xlws.FILTER(CONFIG_ASIGNATURAS!$B$2:$B$91,(CONFIG_ASIGNATURAS!$G$2:$G$91="Sí")*ISNUMBER(SEARCH("1EPM",CONFIG_ASIGNATURAS!$C$2:$C$91))),30),"")</f>
      </c>
      <c r="C113">
        <f>IF(B113="","",IFERROR(VLOOKUP(B113,CONFIG_ASIGNATURAS!$B$2:$D$91,3,FALSE()),"Asignatura"))</f>
      </c>
      <c r="D113">
        <f>SUMPRODUCT((nCUENTA=1)*(nCURSO=A113)*(nASIG=B113))</f>
        <v>0</v>
      </c>
      <c r="E113" s="10" t="str">
        <f>IFERROR(SUMPRODUCT((nCUENTA=1)*(nCURSO=A113)*(nASIG=B113)*(nNOTA))/D113,"—")</f>
        <v>—</v>
      </c>
      <c r="F113" s="10" t="str" cm="1">
        <f t="array" ref="F113">IFERROR(_xlfn.STDEV.P(_xlfn._xlws.FILTER(nNOTA,(nCUENTA=1)*(nCURSO=A113)*(nASIG=B113))),"—")</f>
        <v>—</v>
      </c>
      <c r="G113" t="str" cm="1">
        <f t="array" ref="G113">IFERROR(_xlfn.MODE.SNGL(_xlfn._xlws.FILTER(nNOTA,(nCUENTA=1)*(nCURSO=A113)*(nASIG=B113))),"—")</f>
        <v>—</v>
      </c>
      <c r="H113" s="11" t="str">
        <f>IFERROR(SUMPRODUCT((nCUENTA=1)*(nCURSO=A113)*(nASIG=B113)*(nAPTO="S"))/D113,"—")</f>
        <v>—</v>
      </c>
      <c r="I113" s="11" t="str">
        <f>IFERROR(SUMPRODUCT((nCUENTA=1)*(nCURSO=A113)*(nASIG=B113)*(nAPTO="N"))/D113,"—")</f>
        <v>—</v>
      </c>
      <c r="J113" t="str" cm="1">
        <f t="array" ref="J113">IFERROR(_xlfn.MODE.SNGL(_xlfn._xlws.FILTER(nNOTA,(nCUENTA=1)*(nCURSO=A113)*(nASIG=B113)*(nAPTO="S"))),"—")</f>
        <v>—</v>
      </c>
      <c r="K113" t="str" cm="1">
        <f t="array" ref="K113">IFERROR(_xlfn.MODE.SNGL(_xlfn._xlws.FILTER(nNOTA,(nCUENTA=1)*(nCURSO=A113)*(nASIG=B113)*(nAPTO="N"))),"—")</f>
        <v>—</v>
      </c>
      <c r="L113">
        <f>SUMPRODUCT((nCUENTA=1)*(nCURSO=A113)*(nASIG=B113)*(nNOTA=1))</f>
        <v>0</v>
      </c>
      <c r="M113">
        <f>SUMPRODUCT((nCUENTA=1)*(nCURSO=A113)*(nASIG=B113)*(nNOTA=2))</f>
        <v>0</v>
      </c>
      <c r="N113">
        <f>SUMPRODUCT((nCUENTA=1)*(nCURSO=A113)*(nASIG=B113)*(nNOTA=3))</f>
        <v>0</v>
      </c>
      <c r="O113">
        <f>SUMPRODUCT((nCUENTA=1)*(nCURSO=A113)*(nASIG=B113)*(nNOTA=4))</f>
        <v>0</v>
      </c>
      <c r="P113">
        <f>SUMPRODUCT((nCUENTA=1)*(nCURSO=A113)*(nASIG=B113)*(nNOTA=5))</f>
        <v>0</v>
      </c>
      <c r="Q113">
        <f>SUMPRODUCT((nCUENTA=1)*(nCURSO=A113)*(nASIG=B113)*(nNOTA=6))</f>
        <v>0</v>
      </c>
      <c r="R113">
        <f>SUMPRODUCT((nCUENTA=1)*(nCURSO=A113)*(nASIG=B113)*(nNOTA=7))</f>
        <v>0</v>
      </c>
      <c r="S113">
        <f>SUMPRODUCT((nCUENTA=1)*(nCURSO=A113)*(nASIG=B113)*(nNOTA=8))</f>
        <v>0</v>
      </c>
      <c r="T113">
        <f>SUMPRODUCT((nCUENTA=1)*(nCURSO=A113)*(nASIG=B113)*(nNOTA=9))</f>
        <v>0</v>
      </c>
      <c r="U113">
        <f>SUMPRODUCT((nCUENTA=1)*(nCURSO=A113)*(nASIG=B113)*(nNOTA=10))</f>
        <v>0</v>
      </c>
    </row>
    <row r="114">
      <c r="A114" t="inlineStr">
        <is>
          <t xml:space="preserve">1EPM</t>
        </is>
      </c>
      <c r="B114" cm="1">
        <f t="array" ref="B114">IFERROR(INDEX(_xlfn._xlws.FILTER(CONFIG_ASIGNATURAS!$B$2:$B$91,(CONFIG_ASIGNATURAS!$G$2:$G$91="Sí")*ISNUMBER(SEARCH("1EPM",CONFIG_ASIGNATURAS!$C$2:$C$91))),31),"")</f>
      </c>
      <c r="C114">
        <f>IF(B114="","",IFERROR(VLOOKUP(B114,CONFIG_ASIGNATURAS!$B$2:$D$91,3,FALSE()),"Asignatura"))</f>
      </c>
      <c r="D114">
        <f>SUMPRODUCT((nCUENTA=1)*(nCURSO=A114)*(nASIG=B114))</f>
        <v>0</v>
      </c>
      <c r="E114" s="10" t="str">
        <f>IFERROR(SUMPRODUCT((nCUENTA=1)*(nCURSO=A114)*(nASIG=B114)*(nNOTA))/D114,"—")</f>
        <v>—</v>
      </c>
      <c r="F114" s="10" t="str" cm="1">
        <f t="array" ref="F114">IFERROR(_xlfn.STDEV.P(_xlfn._xlws.FILTER(nNOTA,(nCUENTA=1)*(nCURSO=A114)*(nASIG=B114))),"—")</f>
        <v>—</v>
      </c>
      <c r="G114" t="str" cm="1">
        <f t="array" ref="G114">IFERROR(_xlfn.MODE.SNGL(_xlfn._xlws.FILTER(nNOTA,(nCUENTA=1)*(nCURSO=A114)*(nASIG=B114))),"—")</f>
        <v>—</v>
      </c>
      <c r="H114" s="11" t="str">
        <f>IFERROR(SUMPRODUCT((nCUENTA=1)*(nCURSO=A114)*(nASIG=B114)*(nAPTO="S"))/D114,"—")</f>
        <v>—</v>
      </c>
      <c r="I114" s="11" t="str">
        <f>IFERROR(SUMPRODUCT((nCUENTA=1)*(nCURSO=A114)*(nASIG=B114)*(nAPTO="N"))/D114,"—")</f>
        <v>—</v>
      </c>
      <c r="J114" t="str" cm="1">
        <f t="array" ref="J114">IFERROR(_xlfn.MODE.SNGL(_xlfn._xlws.FILTER(nNOTA,(nCUENTA=1)*(nCURSO=A114)*(nASIG=B114)*(nAPTO="S"))),"—")</f>
        <v>—</v>
      </c>
      <c r="K114" t="str" cm="1">
        <f t="array" ref="K114">IFERROR(_xlfn.MODE.SNGL(_xlfn._xlws.FILTER(nNOTA,(nCUENTA=1)*(nCURSO=A114)*(nASIG=B114)*(nAPTO="N"))),"—")</f>
        <v>—</v>
      </c>
      <c r="L114">
        <f>SUMPRODUCT((nCUENTA=1)*(nCURSO=A114)*(nASIG=B114)*(nNOTA=1))</f>
        <v>0</v>
      </c>
      <c r="M114">
        <f>SUMPRODUCT((nCUENTA=1)*(nCURSO=A114)*(nASIG=B114)*(nNOTA=2))</f>
        <v>0</v>
      </c>
      <c r="N114">
        <f>SUMPRODUCT((nCUENTA=1)*(nCURSO=A114)*(nASIG=B114)*(nNOTA=3))</f>
        <v>0</v>
      </c>
      <c r="O114">
        <f>SUMPRODUCT((nCUENTA=1)*(nCURSO=A114)*(nASIG=B114)*(nNOTA=4))</f>
        <v>0</v>
      </c>
      <c r="P114">
        <f>SUMPRODUCT((nCUENTA=1)*(nCURSO=A114)*(nASIG=B114)*(nNOTA=5))</f>
        <v>0</v>
      </c>
      <c r="Q114">
        <f>SUMPRODUCT((nCUENTA=1)*(nCURSO=A114)*(nASIG=B114)*(nNOTA=6))</f>
        <v>0</v>
      </c>
      <c r="R114">
        <f>SUMPRODUCT((nCUENTA=1)*(nCURSO=A114)*(nASIG=B114)*(nNOTA=7))</f>
        <v>0</v>
      </c>
      <c r="S114">
        <f>SUMPRODUCT((nCUENTA=1)*(nCURSO=A114)*(nASIG=B114)*(nNOTA=8))</f>
        <v>0</v>
      </c>
      <c r="T114">
        <f>SUMPRODUCT((nCUENTA=1)*(nCURSO=A114)*(nASIG=B114)*(nNOTA=9))</f>
        <v>0</v>
      </c>
      <c r="U114">
        <f>SUMPRODUCT((nCUENTA=1)*(nCURSO=A114)*(nASIG=B114)*(nNOTA=10))</f>
        <v>0</v>
      </c>
    </row>
    <row r="115">
      <c r="A115" t="inlineStr">
        <is>
          <t xml:space="preserve">1EPM</t>
        </is>
      </c>
      <c r="B115" cm="1">
        <f t="array" ref="B115">IFERROR(INDEX(_xlfn._xlws.FILTER(CONFIG_ASIGNATURAS!$B$2:$B$91,(CONFIG_ASIGNATURAS!$G$2:$G$91="Sí")*ISNUMBER(SEARCH("1EPM",CONFIG_ASIGNATURAS!$C$2:$C$91))),32),"")</f>
      </c>
      <c r="C115">
        <f>IF(B115="","",IFERROR(VLOOKUP(B115,CONFIG_ASIGNATURAS!$B$2:$D$91,3,FALSE()),"Asignatura"))</f>
      </c>
      <c r="D115">
        <f>SUMPRODUCT((nCUENTA=1)*(nCURSO=A115)*(nASIG=B115))</f>
        <v>0</v>
      </c>
      <c r="E115" s="10" t="str">
        <f>IFERROR(SUMPRODUCT((nCUENTA=1)*(nCURSO=A115)*(nASIG=B115)*(nNOTA))/D115,"—")</f>
        <v>—</v>
      </c>
      <c r="F115" s="10" t="str" cm="1">
        <f t="array" ref="F115">IFERROR(_xlfn.STDEV.P(_xlfn._xlws.FILTER(nNOTA,(nCUENTA=1)*(nCURSO=A115)*(nASIG=B115))),"—")</f>
        <v>—</v>
      </c>
      <c r="G115" t="str" cm="1">
        <f t="array" ref="G115">IFERROR(_xlfn.MODE.SNGL(_xlfn._xlws.FILTER(nNOTA,(nCUENTA=1)*(nCURSO=A115)*(nASIG=B115))),"—")</f>
        <v>—</v>
      </c>
      <c r="H115" s="11" t="str">
        <f>IFERROR(SUMPRODUCT((nCUENTA=1)*(nCURSO=A115)*(nASIG=B115)*(nAPTO="S"))/D115,"—")</f>
        <v>—</v>
      </c>
      <c r="I115" s="11" t="str">
        <f>IFERROR(SUMPRODUCT((nCUENTA=1)*(nCURSO=A115)*(nASIG=B115)*(nAPTO="N"))/D115,"—")</f>
        <v>—</v>
      </c>
      <c r="J115" t="str" cm="1">
        <f t="array" ref="J115">IFERROR(_xlfn.MODE.SNGL(_xlfn._xlws.FILTER(nNOTA,(nCUENTA=1)*(nCURSO=A115)*(nASIG=B115)*(nAPTO="S"))),"—")</f>
        <v>—</v>
      </c>
      <c r="K115" t="str" cm="1">
        <f t="array" ref="K115">IFERROR(_xlfn.MODE.SNGL(_xlfn._xlws.FILTER(nNOTA,(nCUENTA=1)*(nCURSO=A115)*(nASIG=B115)*(nAPTO="N"))),"—")</f>
        <v>—</v>
      </c>
      <c r="L115">
        <f>SUMPRODUCT((nCUENTA=1)*(nCURSO=A115)*(nASIG=B115)*(nNOTA=1))</f>
        <v>0</v>
      </c>
      <c r="M115">
        <f>SUMPRODUCT((nCUENTA=1)*(nCURSO=A115)*(nASIG=B115)*(nNOTA=2))</f>
        <v>0</v>
      </c>
      <c r="N115">
        <f>SUMPRODUCT((nCUENTA=1)*(nCURSO=A115)*(nASIG=B115)*(nNOTA=3))</f>
        <v>0</v>
      </c>
      <c r="O115">
        <f>SUMPRODUCT((nCUENTA=1)*(nCURSO=A115)*(nASIG=B115)*(nNOTA=4))</f>
        <v>0</v>
      </c>
      <c r="P115">
        <f>SUMPRODUCT((nCUENTA=1)*(nCURSO=A115)*(nASIG=B115)*(nNOTA=5))</f>
        <v>0</v>
      </c>
      <c r="Q115">
        <f>SUMPRODUCT((nCUENTA=1)*(nCURSO=A115)*(nASIG=B115)*(nNOTA=6))</f>
        <v>0</v>
      </c>
      <c r="R115">
        <f>SUMPRODUCT((nCUENTA=1)*(nCURSO=A115)*(nASIG=B115)*(nNOTA=7))</f>
        <v>0</v>
      </c>
      <c r="S115">
        <f>SUMPRODUCT((nCUENTA=1)*(nCURSO=A115)*(nASIG=B115)*(nNOTA=8))</f>
        <v>0</v>
      </c>
      <c r="T115">
        <f>SUMPRODUCT((nCUENTA=1)*(nCURSO=A115)*(nASIG=B115)*(nNOTA=9))</f>
        <v>0</v>
      </c>
      <c r="U115">
        <f>SUMPRODUCT((nCUENTA=1)*(nCURSO=A115)*(nASIG=B115)*(nNOTA=10))</f>
        <v>0</v>
      </c>
    </row>
    <row r="116">
      <c r="A116" t="inlineStr">
        <is>
          <t xml:space="preserve">1EPM</t>
        </is>
      </c>
      <c r="B116" cm="1">
        <f t="array" ref="B116">IFERROR(INDEX(_xlfn._xlws.FILTER(CONFIG_ASIGNATURAS!$B$2:$B$91,(CONFIG_ASIGNATURAS!$G$2:$G$91="Sí")*ISNUMBER(SEARCH("1EPM",CONFIG_ASIGNATURAS!$C$2:$C$91))),33),"")</f>
      </c>
      <c r="C116">
        <f>IF(B116="","",IFERROR(VLOOKUP(B116,CONFIG_ASIGNATURAS!$B$2:$D$91,3,FALSE()),"Asignatura"))</f>
      </c>
      <c r="D116">
        <f>SUMPRODUCT((nCUENTA=1)*(nCURSO=A116)*(nASIG=B116))</f>
        <v>0</v>
      </c>
      <c r="E116" s="10" t="str">
        <f>IFERROR(SUMPRODUCT((nCUENTA=1)*(nCURSO=A116)*(nASIG=B116)*(nNOTA))/D116,"—")</f>
        <v>—</v>
      </c>
      <c r="F116" s="10" t="str" cm="1">
        <f t="array" ref="F116">IFERROR(_xlfn.STDEV.P(_xlfn._xlws.FILTER(nNOTA,(nCUENTA=1)*(nCURSO=A116)*(nASIG=B116))),"—")</f>
        <v>—</v>
      </c>
      <c r="G116" t="str" cm="1">
        <f t="array" ref="G116">IFERROR(_xlfn.MODE.SNGL(_xlfn._xlws.FILTER(nNOTA,(nCUENTA=1)*(nCURSO=A116)*(nASIG=B116))),"—")</f>
        <v>—</v>
      </c>
      <c r="H116" s="11" t="str">
        <f>IFERROR(SUMPRODUCT((nCUENTA=1)*(nCURSO=A116)*(nASIG=B116)*(nAPTO="S"))/D116,"—")</f>
        <v>—</v>
      </c>
      <c r="I116" s="11" t="str">
        <f>IFERROR(SUMPRODUCT((nCUENTA=1)*(nCURSO=A116)*(nASIG=B116)*(nAPTO="N"))/D116,"—")</f>
        <v>—</v>
      </c>
      <c r="J116" t="str" cm="1">
        <f t="array" ref="J116">IFERROR(_xlfn.MODE.SNGL(_xlfn._xlws.FILTER(nNOTA,(nCUENTA=1)*(nCURSO=A116)*(nASIG=B116)*(nAPTO="S"))),"—")</f>
        <v>—</v>
      </c>
      <c r="K116" t="str" cm="1">
        <f t="array" ref="K116">IFERROR(_xlfn.MODE.SNGL(_xlfn._xlws.FILTER(nNOTA,(nCUENTA=1)*(nCURSO=A116)*(nASIG=B116)*(nAPTO="N"))),"—")</f>
        <v>—</v>
      </c>
      <c r="L116">
        <f>SUMPRODUCT((nCUENTA=1)*(nCURSO=A116)*(nASIG=B116)*(nNOTA=1))</f>
        <v>0</v>
      </c>
      <c r="M116">
        <f>SUMPRODUCT((nCUENTA=1)*(nCURSO=A116)*(nASIG=B116)*(nNOTA=2))</f>
        <v>0</v>
      </c>
      <c r="N116">
        <f>SUMPRODUCT((nCUENTA=1)*(nCURSO=A116)*(nASIG=B116)*(nNOTA=3))</f>
        <v>0</v>
      </c>
      <c r="O116">
        <f>SUMPRODUCT((nCUENTA=1)*(nCURSO=A116)*(nASIG=B116)*(nNOTA=4))</f>
        <v>0</v>
      </c>
      <c r="P116">
        <f>SUMPRODUCT((nCUENTA=1)*(nCURSO=A116)*(nASIG=B116)*(nNOTA=5))</f>
        <v>0</v>
      </c>
      <c r="Q116">
        <f>SUMPRODUCT((nCUENTA=1)*(nCURSO=A116)*(nASIG=B116)*(nNOTA=6))</f>
        <v>0</v>
      </c>
      <c r="R116">
        <f>SUMPRODUCT((nCUENTA=1)*(nCURSO=A116)*(nASIG=B116)*(nNOTA=7))</f>
        <v>0</v>
      </c>
      <c r="S116">
        <f>SUMPRODUCT((nCUENTA=1)*(nCURSO=A116)*(nASIG=B116)*(nNOTA=8))</f>
        <v>0</v>
      </c>
      <c r="T116">
        <f>SUMPRODUCT((nCUENTA=1)*(nCURSO=A116)*(nASIG=B116)*(nNOTA=9))</f>
        <v>0</v>
      </c>
      <c r="U116">
        <f>SUMPRODUCT((nCUENTA=1)*(nCURSO=A116)*(nASIG=B116)*(nNOTA=10))</f>
        <v>0</v>
      </c>
    </row>
    <row r="117">
      <c r="A117" t="inlineStr">
        <is>
          <t xml:space="preserve">1EPM</t>
        </is>
      </c>
      <c r="B117" cm="1">
        <f t="array" ref="B117">IFERROR(INDEX(_xlfn._xlws.FILTER(CONFIG_ASIGNATURAS!$B$2:$B$91,(CONFIG_ASIGNATURAS!$G$2:$G$91="Sí")*ISNUMBER(SEARCH("1EPM",CONFIG_ASIGNATURAS!$C$2:$C$91))),34),"")</f>
      </c>
      <c r="C117">
        <f>IF(B117="","",IFERROR(VLOOKUP(B117,CONFIG_ASIGNATURAS!$B$2:$D$91,3,FALSE()),"Asignatura"))</f>
      </c>
      <c r="D117">
        <f>SUMPRODUCT((nCUENTA=1)*(nCURSO=A117)*(nASIG=B117))</f>
        <v>0</v>
      </c>
      <c r="E117" s="10" t="str">
        <f>IFERROR(SUMPRODUCT((nCUENTA=1)*(nCURSO=A117)*(nASIG=B117)*(nNOTA))/D117,"—")</f>
        <v>—</v>
      </c>
      <c r="F117" s="10" t="str" cm="1">
        <f t="array" ref="F117">IFERROR(_xlfn.STDEV.P(_xlfn._xlws.FILTER(nNOTA,(nCUENTA=1)*(nCURSO=A117)*(nASIG=B117))),"—")</f>
        <v>—</v>
      </c>
      <c r="G117" t="str" cm="1">
        <f t="array" ref="G117">IFERROR(_xlfn.MODE.SNGL(_xlfn._xlws.FILTER(nNOTA,(nCUENTA=1)*(nCURSO=A117)*(nASIG=B117))),"—")</f>
        <v>—</v>
      </c>
      <c r="H117" s="11" t="str">
        <f>IFERROR(SUMPRODUCT((nCUENTA=1)*(nCURSO=A117)*(nASIG=B117)*(nAPTO="S"))/D117,"—")</f>
        <v>—</v>
      </c>
      <c r="I117" s="11" t="str">
        <f>IFERROR(SUMPRODUCT((nCUENTA=1)*(nCURSO=A117)*(nASIG=B117)*(nAPTO="N"))/D117,"—")</f>
        <v>—</v>
      </c>
      <c r="J117" t="str" cm="1">
        <f t="array" ref="J117">IFERROR(_xlfn.MODE.SNGL(_xlfn._xlws.FILTER(nNOTA,(nCUENTA=1)*(nCURSO=A117)*(nASIG=B117)*(nAPTO="S"))),"—")</f>
        <v>—</v>
      </c>
      <c r="K117" t="str" cm="1">
        <f t="array" ref="K117">IFERROR(_xlfn.MODE.SNGL(_xlfn._xlws.FILTER(nNOTA,(nCUENTA=1)*(nCURSO=A117)*(nASIG=B117)*(nAPTO="N"))),"—")</f>
        <v>—</v>
      </c>
      <c r="L117">
        <f>SUMPRODUCT((nCUENTA=1)*(nCURSO=A117)*(nASIG=B117)*(nNOTA=1))</f>
        <v>0</v>
      </c>
      <c r="M117">
        <f>SUMPRODUCT((nCUENTA=1)*(nCURSO=A117)*(nASIG=B117)*(nNOTA=2))</f>
        <v>0</v>
      </c>
      <c r="N117">
        <f>SUMPRODUCT((nCUENTA=1)*(nCURSO=A117)*(nASIG=B117)*(nNOTA=3))</f>
        <v>0</v>
      </c>
      <c r="O117">
        <f>SUMPRODUCT((nCUENTA=1)*(nCURSO=A117)*(nASIG=B117)*(nNOTA=4))</f>
        <v>0</v>
      </c>
      <c r="P117">
        <f>SUMPRODUCT((nCUENTA=1)*(nCURSO=A117)*(nASIG=B117)*(nNOTA=5))</f>
        <v>0</v>
      </c>
      <c r="Q117">
        <f>SUMPRODUCT((nCUENTA=1)*(nCURSO=A117)*(nASIG=B117)*(nNOTA=6))</f>
        <v>0</v>
      </c>
      <c r="R117">
        <f>SUMPRODUCT((nCUENTA=1)*(nCURSO=A117)*(nASIG=B117)*(nNOTA=7))</f>
        <v>0</v>
      </c>
      <c r="S117">
        <f>SUMPRODUCT((nCUENTA=1)*(nCURSO=A117)*(nASIG=B117)*(nNOTA=8))</f>
        <v>0</v>
      </c>
      <c r="T117">
        <f>SUMPRODUCT((nCUENTA=1)*(nCURSO=A117)*(nASIG=B117)*(nNOTA=9))</f>
        <v>0</v>
      </c>
      <c r="U117">
        <f>SUMPRODUCT((nCUENTA=1)*(nCURSO=A117)*(nASIG=B117)*(nNOTA=10))</f>
        <v>0</v>
      </c>
    </row>
    <row r="118">
      <c r="A118" t="inlineStr">
        <is>
          <t xml:space="preserve">1EPM</t>
        </is>
      </c>
      <c r="B118" cm="1">
        <f t="array" ref="B118">IFERROR(INDEX(_xlfn._xlws.FILTER(CONFIG_ASIGNATURAS!$B$2:$B$91,(CONFIG_ASIGNATURAS!$G$2:$G$91="Sí")*ISNUMBER(SEARCH("1EPM",CONFIG_ASIGNATURAS!$C$2:$C$91))),35),"")</f>
      </c>
      <c r="C118">
        <f>IF(B118="","",IFERROR(VLOOKUP(B118,CONFIG_ASIGNATURAS!$B$2:$D$91,3,FALSE()),"Asignatura"))</f>
      </c>
      <c r="D118">
        <f>SUMPRODUCT((nCUENTA=1)*(nCURSO=A118)*(nASIG=B118))</f>
        <v>0</v>
      </c>
      <c r="E118" s="10" t="str">
        <f>IFERROR(SUMPRODUCT((nCUENTA=1)*(nCURSO=A118)*(nASIG=B118)*(nNOTA))/D118,"—")</f>
        <v>—</v>
      </c>
      <c r="F118" s="10" t="str" cm="1">
        <f t="array" ref="F118">IFERROR(_xlfn.STDEV.P(_xlfn._xlws.FILTER(nNOTA,(nCUENTA=1)*(nCURSO=A118)*(nASIG=B118))),"—")</f>
        <v>—</v>
      </c>
      <c r="G118" t="str" cm="1">
        <f t="array" ref="G118">IFERROR(_xlfn.MODE.SNGL(_xlfn._xlws.FILTER(nNOTA,(nCUENTA=1)*(nCURSO=A118)*(nASIG=B118))),"—")</f>
        <v>—</v>
      </c>
      <c r="H118" s="11" t="str">
        <f>IFERROR(SUMPRODUCT((nCUENTA=1)*(nCURSO=A118)*(nASIG=B118)*(nAPTO="S"))/D118,"—")</f>
        <v>—</v>
      </c>
      <c r="I118" s="11" t="str">
        <f>IFERROR(SUMPRODUCT((nCUENTA=1)*(nCURSO=A118)*(nASIG=B118)*(nAPTO="N"))/D118,"—")</f>
        <v>—</v>
      </c>
      <c r="J118" t="str" cm="1">
        <f t="array" ref="J118">IFERROR(_xlfn.MODE.SNGL(_xlfn._xlws.FILTER(nNOTA,(nCUENTA=1)*(nCURSO=A118)*(nASIG=B118)*(nAPTO="S"))),"—")</f>
        <v>—</v>
      </c>
      <c r="K118" t="str" cm="1">
        <f t="array" ref="K118">IFERROR(_xlfn.MODE.SNGL(_xlfn._xlws.FILTER(nNOTA,(nCUENTA=1)*(nCURSO=A118)*(nASIG=B118)*(nAPTO="N"))),"—")</f>
        <v>—</v>
      </c>
      <c r="L118">
        <f>SUMPRODUCT((nCUENTA=1)*(nCURSO=A118)*(nASIG=B118)*(nNOTA=1))</f>
        <v>0</v>
      </c>
      <c r="M118">
        <f>SUMPRODUCT((nCUENTA=1)*(nCURSO=A118)*(nASIG=B118)*(nNOTA=2))</f>
        <v>0</v>
      </c>
      <c r="N118">
        <f>SUMPRODUCT((nCUENTA=1)*(nCURSO=A118)*(nASIG=B118)*(nNOTA=3))</f>
        <v>0</v>
      </c>
      <c r="O118">
        <f>SUMPRODUCT((nCUENTA=1)*(nCURSO=A118)*(nASIG=B118)*(nNOTA=4))</f>
        <v>0</v>
      </c>
      <c r="P118">
        <f>SUMPRODUCT((nCUENTA=1)*(nCURSO=A118)*(nASIG=B118)*(nNOTA=5))</f>
        <v>0</v>
      </c>
      <c r="Q118">
        <f>SUMPRODUCT((nCUENTA=1)*(nCURSO=A118)*(nASIG=B118)*(nNOTA=6))</f>
        <v>0</v>
      </c>
      <c r="R118">
        <f>SUMPRODUCT((nCUENTA=1)*(nCURSO=A118)*(nASIG=B118)*(nNOTA=7))</f>
        <v>0</v>
      </c>
      <c r="S118">
        <f>SUMPRODUCT((nCUENTA=1)*(nCURSO=A118)*(nASIG=B118)*(nNOTA=8))</f>
        <v>0</v>
      </c>
      <c r="T118">
        <f>SUMPRODUCT((nCUENTA=1)*(nCURSO=A118)*(nASIG=B118)*(nNOTA=9))</f>
        <v>0</v>
      </c>
      <c r="U118">
        <f>SUMPRODUCT((nCUENTA=1)*(nCURSO=A118)*(nASIG=B118)*(nNOTA=10))</f>
        <v>0</v>
      </c>
    </row>
    <row r="119">
      <c r="A119" t="inlineStr">
        <is>
          <t xml:space="preserve">1EPM</t>
        </is>
      </c>
      <c r="B119" cm="1">
        <f t="array" ref="B119">IFERROR(INDEX(_xlfn._xlws.FILTER(CONFIG_ASIGNATURAS!$B$2:$B$91,(CONFIG_ASIGNATURAS!$G$2:$G$91="Sí")*ISNUMBER(SEARCH("1EPM",CONFIG_ASIGNATURAS!$C$2:$C$91))),36),"")</f>
      </c>
      <c r="C119">
        <f>IF(B119="","",IFERROR(VLOOKUP(B119,CONFIG_ASIGNATURAS!$B$2:$D$91,3,FALSE()),"Asignatura"))</f>
      </c>
      <c r="D119">
        <f>SUMPRODUCT((nCUENTA=1)*(nCURSO=A119)*(nASIG=B119))</f>
        <v>0</v>
      </c>
      <c r="E119" s="10" t="str">
        <f>IFERROR(SUMPRODUCT((nCUENTA=1)*(nCURSO=A119)*(nASIG=B119)*(nNOTA))/D119,"—")</f>
        <v>—</v>
      </c>
      <c r="F119" s="10" t="str" cm="1">
        <f t="array" ref="F119">IFERROR(_xlfn.STDEV.P(_xlfn._xlws.FILTER(nNOTA,(nCUENTA=1)*(nCURSO=A119)*(nASIG=B119))),"—")</f>
        <v>—</v>
      </c>
      <c r="G119" t="str" cm="1">
        <f t="array" ref="G119">IFERROR(_xlfn.MODE.SNGL(_xlfn._xlws.FILTER(nNOTA,(nCUENTA=1)*(nCURSO=A119)*(nASIG=B119))),"—")</f>
        <v>—</v>
      </c>
      <c r="H119" s="11" t="str">
        <f>IFERROR(SUMPRODUCT((nCUENTA=1)*(nCURSO=A119)*(nASIG=B119)*(nAPTO="S"))/D119,"—")</f>
        <v>—</v>
      </c>
      <c r="I119" s="11" t="str">
        <f>IFERROR(SUMPRODUCT((nCUENTA=1)*(nCURSO=A119)*(nASIG=B119)*(nAPTO="N"))/D119,"—")</f>
        <v>—</v>
      </c>
      <c r="J119" t="str" cm="1">
        <f t="array" ref="J119">IFERROR(_xlfn.MODE.SNGL(_xlfn._xlws.FILTER(nNOTA,(nCUENTA=1)*(nCURSO=A119)*(nASIG=B119)*(nAPTO="S"))),"—")</f>
        <v>—</v>
      </c>
      <c r="K119" t="str" cm="1">
        <f t="array" ref="K119">IFERROR(_xlfn.MODE.SNGL(_xlfn._xlws.FILTER(nNOTA,(nCUENTA=1)*(nCURSO=A119)*(nASIG=B119)*(nAPTO="N"))),"—")</f>
        <v>—</v>
      </c>
      <c r="L119">
        <f>SUMPRODUCT((nCUENTA=1)*(nCURSO=A119)*(nASIG=B119)*(nNOTA=1))</f>
        <v>0</v>
      </c>
      <c r="M119">
        <f>SUMPRODUCT((nCUENTA=1)*(nCURSO=A119)*(nASIG=B119)*(nNOTA=2))</f>
        <v>0</v>
      </c>
      <c r="N119">
        <f>SUMPRODUCT((nCUENTA=1)*(nCURSO=A119)*(nASIG=B119)*(nNOTA=3))</f>
        <v>0</v>
      </c>
      <c r="O119">
        <f>SUMPRODUCT((nCUENTA=1)*(nCURSO=A119)*(nASIG=B119)*(nNOTA=4))</f>
        <v>0</v>
      </c>
      <c r="P119">
        <f>SUMPRODUCT((nCUENTA=1)*(nCURSO=A119)*(nASIG=B119)*(nNOTA=5))</f>
        <v>0</v>
      </c>
      <c r="Q119">
        <f>SUMPRODUCT((nCUENTA=1)*(nCURSO=A119)*(nASIG=B119)*(nNOTA=6))</f>
        <v>0</v>
      </c>
      <c r="R119">
        <f>SUMPRODUCT((nCUENTA=1)*(nCURSO=A119)*(nASIG=B119)*(nNOTA=7))</f>
        <v>0</v>
      </c>
      <c r="S119">
        <f>SUMPRODUCT((nCUENTA=1)*(nCURSO=A119)*(nASIG=B119)*(nNOTA=8))</f>
        <v>0</v>
      </c>
      <c r="T119">
        <f>SUMPRODUCT((nCUENTA=1)*(nCURSO=A119)*(nASIG=B119)*(nNOTA=9))</f>
        <v>0</v>
      </c>
      <c r="U119">
        <f>SUMPRODUCT((nCUENTA=1)*(nCURSO=A119)*(nASIG=B119)*(nNOTA=10))</f>
        <v>0</v>
      </c>
    </row>
    <row r="120">
      <c r="A120" t="inlineStr">
        <is>
          <t xml:space="preserve">1EPM</t>
        </is>
      </c>
      <c r="B120" cm="1">
        <f t="array" ref="B120">IFERROR(INDEX(_xlfn._xlws.FILTER(CONFIG_ASIGNATURAS!$B$2:$B$91,(CONFIG_ASIGNATURAS!$G$2:$G$91="Sí")*ISNUMBER(SEARCH("1EPM",CONFIG_ASIGNATURAS!$C$2:$C$91))),37),"")</f>
      </c>
      <c r="C120">
        <f>IF(B120="","",IFERROR(VLOOKUP(B120,CONFIG_ASIGNATURAS!$B$2:$D$91,3,FALSE()),"Asignatura"))</f>
      </c>
      <c r="D120">
        <f>SUMPRODUCT((nCUENTA=1)*(nCURSO=A120)*(nASIG=B120))</f>
        <v>0</v>
      </c>
      <c r="E120" s="10" t="str">
        <f>IFERROR(SUMPRODUCT((nCUENTA=1)*(nCURSO=A120)*(nASIG=B120)*(nNOTA))/D120,"—")</f>
        <v>—</v>
      </c>
      <c r="F120" s="10" t="str" cm="1">
        <f t="array" ref="F120">IFERROR(_xlfn.STDEV.P(_xlfn._xlws.FILTER(nNOTA,(nCUENTA=1)*(nCURSO=A120)*(nASIG=B120))),"—")</f>
        <v>—</v>
      </c>
      <c r="G120" t="str" cm="1">
        <f t="array" ref="G120">IFERROR(_xlfn.MODE.SNGL(_xlfn._xlws.FILTER(nNOTA,(nCUENTA=1)*(nCURSO=A120)*(nASIG=B120))),"—")</f>
        <v>—</v>
      </c>
      <c r="H120" s="11" t="str">
        <f>IFERROR(SUMPRODUCT((nCUENTA=1)*(nCURSO=A120)*(nASIG=B120)*(nAPTO="S"))/D120,"—")</f>
        <v>—</v>
      </c>
      <c r="I120" s="11" t="str">
        <f>IFERROR(SUMPRODUCT((nCUENTA=1)*(nCURSO=A120)*(nASIG=B120)*(nAPTO="N"))/D120,"—")</f>
        <v>—</v>
      </c>
      <c r="J120" t="str" cm="1">
        <f t="array" ref="J120">IFERROR(_xlfn.MODE.SNGL(_xlfn._xlws.FILTER(nNOTA,(nCUENTA=1)*(nCURSO=A120)*(nASIG=B120)*(nAPTO="S"))),"—")</f>
        <v>—</v>
      </c>
      <c r="K120" t="str" cm="1">
        <f t="array" ref="K120">IFERROR(_xlfn.MODE.SNGL(_xlfn._xlws.FILTER(nNOTA,(nCUENTA=1)*(nCURSO=A120)*(nASIG=B120)*(nAPTO="N"))),"—")</f>
        <v>—</v>
      </c>
      <c r="L120">
        <f>SUMPRODUCT((nCUENTA=1)*(nCURSO=A120)*(nASIG=B120)*(nNOTA=1))</f>
        <v>0</v>
      </c>
      <c r="M120">
        <f>SUMPRODUCT((nCUENTA=1)*(nCURSO=A120)*(nASIG=B120)*(nNOTA=2))</f>
        <v>0</v>
      </c>
      <c r="N120">
        <f>SUMPRODUCT((nCUENTA=1)*(nCURSO=A120)*(nASIG=B120)*(nNOTA=3))</f>
        <v>0</v>
      </c>
      <c r="O120">
        <f>SUMPRODUCT((nCUENTA=1)*(nCURSO=A120)*(nASIG=B120)*(nNOTA=4))</f>
        <v>0</v>
      </c>
      <c r="P120">
        <f>SUMPRODUCT((nCUENTA=1)*(nCURSO=A120)*(nASIG=B120)*(nNOTA=5))</f>
        <v>0</v>
      </c>
      <c r="Q120">
        <f>SUMPRODUCT((nCUENTA=1)*(nCURSO=A120)*(nASIG=B120)*(nNOTA=6))</f>
        <v>0</v>
      </c>
      <c r="R120">
        <f>SUMPRODUCT((nCUENTA=1)*(nCURSO=A120)*(nASIG=B120)*(nNOTA=7))</f>
        <v>0</v>
      </c>
      <c r="S120">
        <f>SUMPRODUCT((nCUENTA=1)*(nCURSO=A120)*(nASIG=B120)*(nNOTA=8))</f>
        <v>0</v>
      </c>
      <c r="T120">
        <f>SUMPRODUCT((nCUENTA=1)*(nCURSO=A120)*(nASIG=B120)*(nNOTA=9))</f>
        <v>0</v>
      </c>
      <c r="U120">
        <f>SUMPRODUCT((nCUENTA=1)*(nCURSO=A120)*(nASIG=B120)*(nNOTA=10))</f>
        <v>0</v>
      </c>
    </row>
    <row r="121">
      <c r="A121" t="inlineStr">
        <is>
          <t xml:space="preserve">1EPM</t>
        </is>
      </c>
      <c r="B121" cm="1">
        <f t="array" ref="B121">IFERROR(INDEX(_xlfn._xlws.FILTER(CONFIG_ASIGNATURAS!$B$2:$B$91,(CONFIG_ASIGNATURAS!$G$2:$G$91="Sí")*ISNUMBER(SEARCH("1EPM",CONFIG_ASIGNATURAS!$C$2:$C$91))),38),"")</f>
      </c>
      <c r="C121">
        <f>IF(B121="","",IFERROR(VLOOKUP(B121,CONFIG_ASIGNATURAS!$B$2:$D$91,3,FALSE()),"Asignatura"))</f>
      </c>
      <c r="D121">
        <f>SUMPRODUCT((nCUENTA=1)*(nCURSO=A121)*(nASIG=B121))</f>
        <v>0</v>
      </c>
      <c r="E121" s="10" t="str">
        <f>IFERROR(SUMPRODUCT((nCUENTA=1)*(nCURSO=A121)*(nASIG=B121)*(nNOTA))/D121,"—")</f>
        <v>—</v>
      </c>
      <c r="F121" s="10" t="str" cm="1">
        <f t="array" ref="F121">IFERROR(_xlfn.STDEV.P(_xlfn._xlws.FILTER(nNOTA,(nCUENTA=1)*(nCURSO=A121)*(nASIG=B121))),"—")</f>
        <v>—</v>
      </c>
      <c r="G121" t="str" cm="1">
        <f t="array" ref="G121">IFERROR(_xlfn.MODE.SNGL(_xlfn._xlws.FILTER(nNOTA,(nCUENTA=1)*(nCURSO=A121)*(nASIG=B121))),"—")</f>
        <v>—</v>
      </c>
      <c r="H121" s="11" t="str">
        <f>IFERROR(SUMPRODUCT((nCUENTA=1)*(nCURSO=A121)*(nASIG=B121)*(nAPTO="S"))/D121,"—")</f>
        <v>—</v>
      </c>
      <c r="I121" s="11" t="str">
        <f>IFERROR(SUMPRODUCT((nCUENTA=1)*(nCURSO=A121)*(nASIG=B121)*(nAPTO="N"))/D121,"—")</f>
        <v>—</v>
      </c>
      <c r="J121" t="str" cm="1">
        <f t="array" ref="J121">IFERROR(_xlfn.MODE.SNGL(_xlfn._xlws.FILTER(nNOTA,(nCUENTA=1)*(nCURSO=A121)*(nASIG=B121)*(nAPTO="S"))),"—")</f>
        <v>—</v>
      </c>
      <c r="K121" t="str" cm="1">
        <f t="array" ref="K121">IFERROR(_xlfn.MODE.SNGL(_xlfn._xlws.FILTER(nNOTA,(nCUENTA=1)*(nCURSO=A121)*(nASIG=B121)*(nAPTO="N"))),"—")</f>
        <v>—</v>
      </c>
      <c r="L121">
        <f>SUMPRODUCT((nCUENTA=1)*(nCURSO=A121)*(nASIG=B121)*(nNOTA=1))</f>
        <v>0</v>
      </c>
      <c r="M121">
        <f>SUMPRODUCT((nCUENTA=1)*(nCURSO=A121)*(nASIG=B121)*(nNOTA=2))</f>
        <v>0</v>
      </c>
      <c r="N121">
        <f>SUMPRODUCT((nCUENTA=1)*(nCURSO=A121)*(nASIG=B121)*(nNOTA=3))</f>
        <v>0</v>
      </c>
      <c r="O121">
        <f>SUMPRODUCT((nCUENTA=1)*(nCURSO=A121)*(nASIG=B121)*(nNOTA=4))</f>
        <v>0</v>
      </c>
      <c r="P121">
        <f>SUMPRODUCT((nCUENTA=1)*(nCURSO=A121)*(nASIG=B121)*(nNOTA=5))</f>
        <v>0</v>
      </c>
      <c r="Q121">
        <f>SUMPRODUCT((nCUENTA=1)*(nCURSO=A121)*(nASIG=B121)*(nNOTA=6))</f>
        <v>0</v>
      </c>
      <c r="R121">
        <f>SUMPRODUCT((nCUENTA=1)*(nCURSO=A121)*(nASIG=B121)*(nNOTA=7))</f>
        <v>0</v>
      </c>
      <c r="S121">
        <f>SUMPRODUCT((nCUENTA=1)*(nCURSO=A121)*(nASIG=B121)*(nNOTA=8))</f>
        <v>0</v>
      </c>
      <c r="T121">
        <f>SUMPRODUCT((nCUENTA=1)*(nCURSO=A121)*(nASIG=B121)*(nNOTA=9))</f>
        <v>0</v>
      </c>
      <c r="U121">
        <f>SUMPRODUCT((nCUENTA=1)*(nCURSO=A121)*(nASIG=B121)*(nNOTA=10))</f>
        <v>0</v>
      </c>
    </row>
    <row r="122">
      <c r="A122" t="inlineStr">
        <is>
          <t xml:space="preserve">1EPM</t>
        </is>
      </c>
      <c r="B122" cm="1">
        <f t="array" ref="B122">IFERROR(INDEX(_xlfn._xlws.FILTER(CONFIG_ASIGNATURAS!$B$2:$B$91,(CONFIG_ASIGNATURAS!$G$2:$G$91="Sí")*ISNUMBER(SEARCH("1EPM",CONFIG_ASIGNATURAS!$C$2:$C$91))),39),"")</f>
      </c>
      <c r="C122">
        <f>IF(B122="","",IFERROR(VLOOKUP(B122,CONFIG_ASIGNATURAS!$B$2:$D$91,3,FALSE()),"Asignatura"))</f>
      </c>
      <c r="D122">
        <f>SUMPRODUCT((nCUENTA=1)*(nCURSO=A122)*(nASIG=B122))</f>
        <v>0</v>
      </c>
      <c r="E122" s="10" t="str">
        <f>IFERROR(SUMPRODUCT((nCUENTA=1)*(nCURSO=A122)*(nASIG=B122)*(nNOTA))/D122,"—")</f>
        <v>—</v>
      </c>
      <c r="F122" s="10" t="str" cm="1">
        <f t="array" ref="F122">IFERROR(_xlfn.STDEV.P(_xlfn._xlws.FILTER(nNOTA,(nCUENTA=1)*(nCURSO=A122)*(nASIG=B122))),"—")</f>
        <v>—</v>
      </c>
      <c r="G122" t="str" cm="1">
        <f t="array" ref="G122">IFERROR(_xlfn.MODE.SNGL(_xlfn._xlws.FILTER(nNOTA,(nCUENTA=1)*(nCURSO=A122)*(nASIG=B122))),"—")</f>
        <v>—</v>
      </c>
      <c r="H122" s="11" t="str">
        <f>IFERROR(SUMPRODUCT((nCUENTA=1)*(nCURSO=A122)*(nASIG=B122)*(nAPTO="S"))/D122,"—")</f>
        <v>—</v>
      </c>
      <c r="I122" s="11" t="str">
        <f>IFERROR(SUMPRODUCT((nCUENTA=1)*(nCURSO=A122)*(nASIG=B122)*(nAPTO="N"))/D122,"—")</f>
        <v>—</v>
      </c>
      <c r="J122" t="str" cm="1">
        <f t="array" ref="J122">IFERROR(_xlfn.MODE.SNGL(_xlfn._xlws.FILTER(nNOTA,(nCUENTA=1)*(nCURSO=A122)*(nASIG=B122)*(nAPTO="S"))),"—")</f>
        <v>—</v>
      </c>
      <c r="K122" t="str" cm="1">
        <f t="array" ref="K122">IFERROR(_xlfn.MODE.SNGL(_xlfn._xlws.FILTER(nNOTA,(nCUENTA=1)*(nCURSO=A122)*(nASIG=B122)*(nAPTO="N"))),"—")</f>
        <v>—</v>
      </c>
      <c r="L122">
        <f>SUMPRODUCT((nCUENTA=1)*(nCURSO=A122)*(nASIG=B122)*(nNOTA=1))</f>
        <v>0</v>
      </c>
      <c r="M122">
        <f>SUMPRODUCT((nCUENTA=1)*(nCURSO=A122)*(nASIG=B122)*(nNOTA=2))</f>
        <v>0</v>
      </c>
      <c r="N122">
        <f>SUMPRODUCT((nCUENTA=1)*(nCURSO=A122)*(nASIG=B122)*(nNOTA=3))</f>
        <v>0</v>
      </c>
      <c r="O122">
        <f>SUMPRODUCT((nCUENTA=1)*(nCURSO=A122)*(nASIG=B122)*(nNOTA=4))</f>
        <v>0</v>
      </c>
      <c r="P122">
        <f>SUMPRODUCT((nCUENTA=1)*(nCURSO=A122)*(nASIG=B122)*(nNOTA=5))</f>
        <v>0</v>
      </c>
      <c r="Q122">
        <f>SUMPRODUCT((nCUENTA=1)*(nCURSO=A122)*(nASIG=B122)*(nNOTA=6))</f>
        <v>0</v>
      </c>
      <c r="R122">
        <f>SUMPRODUCT((nCUENTA=1)*(nCURSO=A122)*(nASIG=B122)*(nNOTA=7))</f>
        <v>0</v>
      </c>
      <c r="S122">
        <f>SUMPRODUCT((nCUENTA=1)*(nCURSO=A122)*(nASIG=B122)*(nNOTA=8))</f>
        <v>0</v>
      </c>
      <c r="T122">
        <f>SUMPRODUCT((nCUENTA=1)*(nCURSO=A122)*(nASIG=B122)*(nNOTA=9))</f>
        <v>0</v>
      </c>
      <c r="U122">
        <f>SUMPRODUCT((nCUENTA=1)*(nCURSO=A122)*(nASIG=B122)*(nNOTA=10))</f>
        <v>0</v>
      </c>
    </row>
    <row r="123">
      <c r="A123" t="inlineStr">
        <is>
          <t xml:space="preserve">1EPM</t>
        </is>
      </c>
      <c r="B123" cm="1">
        <f t="array" ref="B123">IFERROR(INDEX(_xlfn._xlws.FILTER(CONFIG_ASIGNATURAS!$B$2:$B$91,(CONFIG_ASIGNATURAS!$G$2:$G$91="Sí")*ISNUMBER(SEARCH("1EPM",CONFIG_ASIGNATURAS!$C$2:$C$91))),40),"")</f>
      </c>
      <c r="C123">
        <f>IF(B123="","",IFERROR(VLOOKUP(B123,CONFIG_ASIGNATURAS!$B$2:$D$91,3,FALSE()),"Asignatura"))</f>
      </c>
      <c r="D123">
        <f>SUMPRODUCT((nCUENTA=1)*(nCURSO=A123)*(nASIG=B123))</f>
        <v>0</v>
      </c>
      <c r="E123" s="10" t="str">
        <f>IFERROR(SUMPRODUCT((nCUENTA=1)*(nCURSO=A123)*(nASIG=B123)*(nNOTA))/D123,"—")</f>
        <v>—</v>
      </c>
      <c r="F123" s="10" t="str" cm="1">
        <f t="array" ref="F123">IFERROR(_xlfn.STDEV.P(_xlfn._xlws.FILTER(nNOTA,(nCUENTA=1)*(nCURSO=A123)*(nASIG=B123))),"—")</f>
        <v>—</v>
      </c>
      <c r="G123" t="str" cm="1">
        <f t="array" ref="G123">IFERROR(_xlfn.MODE.SNGL(_xlfn._xlws.FILTER(nNOTA,(nCUENTA=1)*(nCURSO=A123)*(nASIG=B123))),"—")</f>
        <v>—</v>
      </c>
      <c r="H123" s="11" t="str">
        <f>IFERROR(SUMPRODUCT((nCUENTA=1)*(nCURSO=A123)*(nASIG=B123)*(nAPTO="S"))/D123,"—")</f>
        <v>—</v>
      </c>
      <c r="I123" s="11" t="str">
        <f>IFERROR(SUMPRODUCT((nCUENTA=1)*(nCURSO=A123)*(nASIG=B123)*(nAPTO="N"))/D123,"—")</f>
        <v>—</v>
      </c>
      <c r="J123" t="str" cm="1">
        <f t="array" ref="J123">IFERROR(_xlfn.MODE.SNGL(_xlfn._xlws.FILTER(nNOTA,(nCUENTA=1)*(nCURSO=A123)*(nASIG=B123)*(nAPTO="S"))),"—")</f>
        <v>—</v>
      </c>
      <c r="K123" t="str" cm="1">
        <f t="array" ref="K123">IFERROR(_xlfn.MODE.SNGL(_xlfn._xlws.FILTER(nNOTA,(nCUENTA=1)*(nCURSO=A123)*(nASIG=B123)*(nAPTO="N"))),"—")</f>
        <v>—</v>
      </c>
      <c r="L123">
        <f>SUMPRODUCT((nCUENTA=1)*(nCURSO=A123)*(nASIG=B123)*(nNOTA=1))</f>
        <v>0</v>
      </c>
      <c r="M123">
        <f>SUMPRODUCT((nCUENTA=1)*(nCURSO=A123)*(nASIG=B123)*(nNOTA=2))</f>
        <v>0</v>
      </c>
      <c r="N123">
        <f>SUMPRODUCT((nCUENTA=1)*(nCURSO=A123)*(nASIG=B123)*(nNOTA=3))</f>
        <v>0</v>
      </c>
      <c r="O123">
        <f>SUMPRODUCT((nCUENTA=1)*(nCURSO=A123)*(nASIG=B123)*(nNOTA=4))</f>
        <v>0</v>
      </c>
      <c r="P123">
        <f>SUMPRODUCT((nCUENTA=1)*(nCURSO=A123)*(nASIG=B123)*(nNOTA=5))</f>
        <v>0</v>
      </c>
      <c r="Q123">
        <f>SUMPRODUCT((nCUENTA=1)*(nCURSO=A123)*(nASIG=B123)*(nNOTA=6))</f>
        <v>0</v>
      </c>
      <c r="R123">
        <f>SUMPRODUCT((nCUENTA=1)*(nCURSO=A123)*(nASIG=B123)*(nNOTA=7))</f>
        <v>0</v>
      </c>
      <c r="S123">
        <f>SUMPRODUCT((nCUENTA=1)*(nCURSO=A123)*(nASIG=B123)*(nNOTA=8))</f>
        <v>0</v>
      </c>
      <c r="T123">
        <f>SUMPRODUCT((nCUENTA=1)*(nCURSO=A123)*(nASIG=B123)*(nNOTA=9))</f>
        <v>0</v>
      </c>
      <c r="U123">
        <f>SUMPRODUCT((nCUENTA=1)*(nCURSO=A123)*(nASIG=B123)*(nNOTA=10))</f>
        <v>0</v>
      </c>
    </row>
    <row r="124">
      <c r="A124" t="inlineStr">
        <is>
          <t xml:space="preserve">1EPM</t>
        </is>
      </c>
      <c r="B124" cm="1">
        <f t="array" ref="B124">IFERROR(INDEX(_xlfn._xlws.FILTER(CONFIG_ASIGNATURAS!$B$2:$B$91,(CONFIG_ASIGNATURAS!$G$2:$G$91="Sí")*ISNUMBER(SEARCH("1EPM",CONFIG_ASIGNATURAS!$C$2:$C$91))),41),"")</f>
      </c>
      <c r="C124">
        <f>IF(B124="","",IFERROR(VLOOKUP(B124,CONFIG_ASIGNATURAS!$B$2:$D$91,3,FALSE()),"Asignatura"))</f>
      </c>
      <c r="D124">
        <f>SUMPRODUCT((nCUENTA=1)*(nCURSO=A124)*(nASIG=B124))</f>
        <v>0</v>
      </c>
      <c r="E124" s="10" t="str">
        <f>IFERROR(SUMPRODUCT((nCUENTA=1)*(nCURSO=A124)*(nASIG=B124)*(nNOTA))/D124,"—")</f>
        <v>—</v>
      </c>
      <c r="F124" s="10" t="str" cm="1">
        <f t="array" ref="F124">IFERROR(_xlfn.STDEV.P(_xlfn._xlws.FILTER(nNOTA,(nCUENTA=1)*(nCURSO=A124)*(nASIG=B124))),"—")</f>
        <v>—</v>
      </c>
      <c r="G124" t="str" cm="1">
        <f t="array" ref="G124">IFERROR(_xlfn.MODE.SNGL(_xlfn._xlws.FILTER(nNOTA,(nCUENTA=1)*(nCURSO=A124)*(nASIG=B124))),"—")</f>
        <v>—</v>
      </c>
      <c r="H124" s="11" t="str">
        <f>IFERROR(SUMPRODUCT((nCUENTA=1)*(nCURSO=A124)*(nASIG=B124)*(nAPTO="S"))/D124,"—")</f>
        <v>—</v>
      </c>
      <c r="I124" s="11" t="str">
        <f>IFERROR(SUMPRODUCT((nCUENTA=1)*(nCURSO=A124)*(nASIG=B124)*(nAPTO="N"))/D124,"—")</f>
        <v>—</v>
      </c>
      <c r="J124" t="str" cm="1">
        <f t="array" ref="J124">IFERROR(_xlfn.MODE.SNGL(_xlfn._xlws.FILTER(nNOTA,(nCUENTA=1)*(nCURSO=A124)*(nASIG=B124)*(nAPTO="S"))),"—")</f>
        <v>—</v>
      </c>
      <c r="K124" t="str" cm="1">
        <f t="array" ref="K124">IFERROR(_xlfn.MODE.SNGL(_xlfn._xlws.FILTER(nNOTA,(nCUENTA=1)*(nCURSO=A124)*(nASIG=B124)*(nAPTO="N"))),"—")</f>
        <v>—</v>
      </c>
      <c r="L124">
        <f>SUMPRODUCT((nCUENTA=1)*(nCURSO=A124)*(nASIG=B124)*(nNOTA=1))</f>
        <v>0</v>
      </c>
      <c r="M124">
        <f>SUMPRODUCT((nCUENTA=1)*(nCURSO=A124)*(nASIG=B124)*(nNOTA=2))</f>
        <v>0</v>
      </c>
      <c r="N124">
        <f>SUMPRODUCT((nCUENTA=1)*(nCURSO=A124)*(nASIG=B124)*(nNOTA=3))</f>
        <v>0</v>
      </c>
      <c r="O124">
        <f>SUMPRODUCT((nCUENTA=1)*(nCURSO=A124)*(nASIG=B124)*(nNOTA=4))</f>
        <v>0</v>
      </c>
      <c r="P124">
        <f>SUMPRODUCT((nCUENTA=1)*(nCURSO=A124)*(nASIG=B124)*(nNOTA=5))</f>
        <v>0</v>
      </c>
      <c r="Q124">
        <f>SUMPRODUCT((nCUENTA=1)*(nCURSO=A124)*(nASIG=B124)*(nNOTA=6))</f>
        <v>0</v>
      </c>
      <c r="R124">
        <f>SUMPRODUCT((nCUENTA=1)*(nCURSO=A124)*(nASIG=B124)*(nNOTA=7))</f>
        <v>0</v>
      </c>
      <c r="S124">
        <f>SUMPRODUCT((nCUENTA=1)*(nCURSO=A124)*(nASIG=B124)*(nNOTA=8))</f>
        <v>0</v>
      </c>
      <c r="T124">
        <f>SUMPRODUCT((nCUENTA=1)*(nCURSO=A124)*(nASIG=B124)*(nNOTA=9))</f>
        <v>0</v>
      </c>
      <c r="U124">
        <f>SUMPRODUCT((nCUENTA=1)*(nCURSO=A124)*(nASIG=B124)*(nNOTA=10))</f>
        <v>0</v>
      </c>
    </row>
    <row r="125">
      <c r="A125" t="inlineStr">
        <is>
          <t xml:space="preserve">1EPM</t>
        </is>
      </c>
      <c r="B125" cm="1">
        <f t="array" ref="B125">IFERROR(INDEX(_xlfn._xlws.FILTER(CONFIG_ASIGNATURAS!$B$2:$B$91,(CONFIG_ASIGNATURAS!$G$2:$G$91="Sí")*ISNUMBER(SEARCH("1EPM",CONFIG_ASIGNATURAS!$C$2:$C$91))),42),"")</f>
      </c>
      <c r="C125">
        <f>IF(B125="","",IFERROR(VLOOKUP(B125,CONFIG_ASIGNATURAS!$B$2:$D$91,3,FALSE()),"Asignatura"))</f>
      </c>
      <c r="D125">
        <f>SUMPRODUCT((nCUENTA=1)*(nCURSO=A125)*(nASIG=B125))</f>
        <v>0</v>
      </c>
      <c r="E125" s="10" t="str">
        <f>IFERROR(SUMPRODUCT((nCUENTA=1)*(nCURSO=A125)*(nASIG=B125)*(nNOTA))/D125,"—")</f>
        <v>—</v>
      </c>
      <c r="F125" s="10" t="str" cm="1">
        <f t="array" ref="F125">IFERROR(_xlfn.STDEV.P(_xlfn._xlws.FILTER(nNOTA,(nCUENTA=1)*(nCURSO=A125)*(nASIG=B125))),"—")</f>
        <v>—</v>
      </c>
      <c r="G125" t="str" cm="1">
        <f t="array" ref="G125">IFERROR(_xlfn.MODE.SNGL(_xlfn._xlws.FILTER(nNOTA,(nCUENTA=1)*(nCURSO=A125)*(nASIG=B125))),"—")</f>
        <v>—</v>
      </c>
      <c r="H125" s="11" t="str">
        <f>IFERROR(SUMPRODUCT((nCUENTA=1)*(nCURSO=A125)*(nASIG=B125)*(nAPTO="S"))/D125,"—")</f>
        <v>—</v>
      </c>
      <c r="I125" s="11" t="str">
        <f>IFERROR(SUMPRODUCT((nCUENTA=1)*(nCURSO=A125)*(nASIG=B125)*(nAPTO="N"))/D125,"—")</f>
        <v>—</v>
      </c>
      <c r="J125" t="str" cm="1">
        <f t="array" ref="J125">IFERROR(_xlfn.MODE.SNGL(_xlfn._xlws.FILTER(nNOTA,(nCUENTA=1)*(nCURSO=A125)*(nASIG=B125)*(nAPTO="S"))),"—")</f>
        <v>—</v>
      </c>
      <c r="K125" t="str" cm="1">
        <f t="array" ref="K125">IFERROR(_xlfn.MODE.SNGL(_xlfn._xlws.FILTER(nNOTA,(nCUENTA=1)*(nCURSO=A125)*(nASIG=B125)*(nAPTO="N"))),"—")</f>
        <v>—</v>
      </c>
      <c r="L125">
        <f>SUMPRODUCT((nCUENTA=1)*(nCURSO=A125)*(nASIG=B125)*(nNOTA=1))</f>
        <v>0</v>
      </c>
      <c r="M125">
        <f>SUMPRODUCT((nCUENTA=1)*(nCURSO=A125)*(nASIG=B125)*(nNOTA=2))</f>
        <v>0</v>
      </c>
      <c r="N125">
        <f>SUMPRODUCT((nCUENTA=1)*(nCURSO=A125)*(nASIG=B125)*(nNOTA=3))</f>
        <v>0</v>
      </c>
      <c r="O125">
        <f>SUMPRODUCT((nCUENTA=1)*(nCURSO=A125)*(nASIG=B125)*(nNOTA=4))</f>
        <v>0</v>
      </c>
      <c r="P125">
        <f>SUMPRODUCT((nCUENTA=1)*(nCURSO=A125)*(nASIG=B125)*(nNOTA=5))</f>
        <v>0</v>
      </c>
      <c r="Q125">
        <f>SUMPRODUCT((nCUENTA=1)*(nCURSO=A125)*(nASIG=B125)*(nNOTA=6))</f>
        <v>0</v>
      </c>
      <c r="R125">
        <f>SUMPRODUCT((nCUENTA=1)*(nCURSO=A125)*(nASIG=B125)*(nNOTA=7))</f>
        <v>0</v>
      </c>
      <c r="S125">
        <f>SUMPRODUCT((nCUENTA=1)*(nCURSO=A125)*(nASIG=B125)*(nNOTA=8))</f>
        <v>0</v>
      </c>
      <c r="T125">
        <f>SUMPRODUCT((nCUENTA=1)*(nCURSO=A125)*(nASIG=B125)*(nNOTA=9))</f>
        <v>0</v>
      </c>
      <c r="U125">
        <f>SUMPRODUCT((nCUENTA=1)*(nCURSO=A125)*(nASIG=B125)*(nNOTA=10))</f>
        <v>0</v>
      </c>
    </row>
    <row r="126">
      <c r="A126" t="inlineStr">
        <is>
          <t xml:space="preserve">1EPM</t>
        </is>
      </c>
      <c r="B126" cm="1">
        <f t="array" ref="B126">IFERROR(INDEX(_xlfn._xlws.FILTER(CONFIG_ASIGNATURAS!$B$2:$B$91,(CONFIG_ASIGNATURAS!$G$2:$G$91="Sí")*ISNUMBER(SEARCH("1EPM",CONFIG_ASIGNATURAS!$C$2:$C$91))),43),"")</f>
      </c>
      <c r="C126">
        <f>IF(B126="","",IFERROR(VLOOKUP(B126,CONFIG_ASIGNATURAS!$B$2:$D$91,3,FALSE()),"Asignatura"))</f>
      </c>
      <c r="D126">
        <f>SUMPRODUCT((nCUENTA=1)*(nCURSO=A126)*(nASIG=B126))</f>
        <v>0</v>
      </c>
      <c r="E126" s="10" t="str">
        <f>IFERROR(SUMPRODUCT((nCUENTA=1)*(nCURSO=A126)*(nASIG=B126)*(nNOTA))/D126,"—")</f>
        <v>—</v>
      </c>
      <c r="F126" s="10" t="str" cm="1">
        <f t="array" ref="F126">IFERROR(_xlfn.STDEV.P(_xlfn._xlws.FILTER(nNOTA,(nCUENTA=1)*(nCURSO=A126)*(nASIG=B126))),"—")</f>
        <v>—</v>
      </c>
      <c r="G126" t="str" cm="1">
        <f t="array" ref="G126">IFERROR(_xlfn.MODE.SNGL(_xlfn._xlws.FILTER(nNOTA,(nCUENTA=1)*(nCURSO=A126)*(nASIG=B126))),"—")</f>
        <v>—</v>
      </c>
      <c r="H126" s="11" t="str">
        <f>IFERROR(SUMPRODUCT((nCUENTA=1)*(nCURSO=A126)*(nASIG=B126)*(nAPTO="S"))/D126,"—")</f>
        <v>—</v>
      </c>
      <c r="I126" s="11" t="str">
        <f>IFERROR(SUMPRODUCT((nCUENTA=1)*(nCURSO=A126)*(nASIG=B126)*(nAPTO="N"))/D126,"—")</f>
        <v>—</v>
      </c>
      <c r="J126" t="str" cm="1">
        <f t="array" ref="J126">IFERROR(_xlfn.MODE.SNGL(_xlfn._xlws.FILTER(nNOTA,(nCUENTA=1)*(nCURSO=A126)*(nASIG=B126)*(nAPTO="S"))),"—")</f>
        <v>—</v>
      </c>
      <c r="K126" t="str" cm="1">
        <f t="array" ref="K126">IFERROR(_xlfn.MODE.SNGL(_xlfn._xlws.FILTER(nNOTA,(nCUENTA=1)*(nCURSO=A126)*(nASIG=B126)*(nAPTO="N"))),"—")</f>
        <v>—</v>
      </c>
      <c r="L126">
        <f>SUMPRODUCT((nCUENTA=1)*(nCURSO=A126)*(nASIG=B126)*(nNOTA=1))</f>
        <v>0</v>
      </c>
      <c r="M126">
        <f>SUMPRODUCT((nCUENTA=1)*(nCURSO=A126)*(nASIG=B126)*(nNOTA=2))</f>
        <v>0</v>
      </c>
      <c r="N126">
        <f>SUMPRODUCT((nCUENTA=1)*(nCURSO=A126)*(nASIG=B126)*(nNOTA=3))</f>
        <v>0</v>
      </c>
      <c r="O126">
        <f>SUMPRODUCT((nCUENTA=1)*(nCURSO=A126)*(nASIG=B126)*(nNOTA=4))</f>
        <v>0</v>
      </c>
      <c r="P126">
        <f>SUMPRODUCT((nCUENTA=1)*(nCURSO=A126)*(nASIG=B126)*(nNOTA=5))</f>
        <v>0</v>
      </c>
      <c r="Q126">
        <f>SUMPRODUCT((nCUENTA=1)*(nCURSO=A126)*(nASIG=B126)*(nNOTA=6))</f>
        <v>0</v>
      </c>
      <c r="R126">
        <f>SUMPRODUCT((nCUENTA=1)*(nCURSO=A126)*(nASIG=B126)*(nNOTA=7))</f>
        <v>0</v>
      </c>
      <c r="S126">
        <f>SUMPRODUCT((nCUENTA=1)*(nCURSO=A126)*(nASIG=B126)*(nNOTA=8))</f>
        <v>0</v>
      </c>
      <c r="T126">
        <f>SUMPRODUCT((nCUENTA=1)*(nCURSO=A126)*(nASIG=B126)*(nNOTA=9))</f>
        <v>0</v>
      </c>
      <c r="U126">
        <f>SUMPRODUCT((nCUENTA=1)*(nCURSO=A126)*(nASIG=B126)*(nNOTA=10))</f>
        <v>0</v>
      </c>
    </row>
    <row r="127">
      <c r="A127" t="inlineStr">
        <is>
          <t xml:space="preserve">1EPM</t>
        </is>
      </c>
      <c r="B127" cm="1">
        <f t="array" ref="B127">IFERROR(INDEX(_xlfn._xlws.FILTER(CONFIG_ASIGNATURAS!$B$2:$B$91,(CONFIG_ASIGNATURAS!$G$2:$G$91="Sí")*ISNUMBER(SEARCH("1EPM",CONFIG_ASIGNATURAS!$C$2:$C$91))),44),"")</f>
      </c>
      <c r="C127">
        <f>IF(B127="","",IFERROR(VLOOKUP(B127,CONFIG_ASIGNATURAS!$B$2:$D$91,3,FALSE()),"Asignatura"))</f>
      </c>
      <c r="D127">
        <f>SUMPRODUCT((nCUENTA=1)*(nCURSO=A127)*(nASIG=B127))</f>
        <v>0</v>
      </c>
      <c r="E127" s="10" t="str">
        <f>IFERROR(SUMPRODUCT((nCUENTA=1)*(nCURSO=A127)*(nASIG=B127)*(nNOTA))/D127,"—")</f>
        <v>—</v>
      </c>
      <c r="F127" s="10" t="str" cm="1">
        <f t="array" ref="F127">IFERROR(_xlfn.STDEV.P(_xlfn._xlws.FILTER(nNOTA,(nCUENTA=1)*(nCURSO=A127)*(nASIG=B127))),"—")</f>
        <v>—</v>
      </c>
      <c r="G127" t="str" cm="1">
        <f t="array" ref="G127">IFERROR(_xlfn.MODE.SNGL(_xlfn._xlws.FILTER(nNOTA,(nCUENTA=1)*(nCURSO=A127)*(nASIG=B127))),"—")</f>
        <v>—</v>
      </c>
      <c r="H127" s="11" t="str">
        <f>IFERROR(SUMPRODUCT((nCUENTA=1)*(nCURSO=A127)*(nASIG=B127)*(nAPTO="S"))/D127,"—")</f>
        <v>—</v>
      </c>
      <c r="I127" s="11" t="str">
        <f>IFERROR(SUMPRODUCT((nCUENTA=1)*(nCURSO=A127)*(nASIG=B127)*(nAPTO="N"))/D127,"—")</f>
        <v>—</v>
      </c>
      <c r="J127" t="str" cm="1">
        <f t="array" ref="J127">IFERROR(_xlfn.MODE.SNGL(_xlfn._xlws.FILTER(nNOTA,(nCUENTA=1)*(nCURSO=A127)*(nASIG=B127)*(nAPTO="S"))),"—")</f>
        <v>—</v>
      </c>
      <c r="K127" t="str" cm="1">
        <f t="array" ref="K127">IFERROR(_xlfn.MODE.SNGL(_xlfn._xlws.FILTER(nNOTA,(nCUENTA=1)*(nCURSO=A127)*(nASIG=B127)*(nAPTO="N"))),"—")</f>
        <v>—</v>
      </c>
      <c r="L127">
        <f>SUMPRODUCT((nCUENTA=1)*(nCURSO=A127)*(nASIG=B127)*(nNOTA=1))</f>
        <v>0</v>
      </c>
      <c r="M127">
        <f>SUMPRODUCT((nCUENTA=1)*(nCURSO=A127)*(nASIG=B127)*(nNOTA=2))</f>
        <v>0</v>
      </c>
      <c r="N127">
        <f>SUMPRODUCT((nCUENTA=1)*(nCURSO=A127)*(nASIG=B127)*(nNOTA=3))</f>
        <v>0</v>
      </c>
      <c r="O127">
        <f>SUMPRODUCT((nCUENTA=1)*(nCURSO=A127)*(nASIG=B127)*(nNOTA=4))</f>
        <v>0</v>
      </c>
      <c r="P127">
        <f>SUMPRODUCT((nCUENTA=1)*(nCURSO=A127)*(nASIG=B127)*(nNOTA=5))</f>
        <v>0</v>
      </c>
      <c r="Q127">
        <f>SUMPRODUCT((nCUENTA=1)*(nCURSO=A127)*(nASIG=B127)*(nNOTA=6))</f>
        <v>0</v>
      </c>
      <c r="R127">
        <f>SUMPRODUCT((nCUENTA=1)*(nCURSO=A127)*(nASIG=B127)*(nNOTA=7))</f>
        <v>0</v>
      </c>
      <c r="S127">
        <f>SUMPRODUCT((nCUENTA=1)*(nCURSO=A127)*(nASIG=B127)*(nNOTA=8))</f>
        <v>0</v>
      </c>
      <c r="T127">
        <f>SUMPRODUCT((nCUENTA=1)*(nCURSO=A127)*(nASIG=B127)*(nNOTA=9))</f>
        <v>0</v>
      </c>
      <c r="U127">
        <f>SUMPRODUCT((nCUENTA=1)*(nCURSO=A127)*(nASIG=B127)*(nNOTA=10))</f>
        <v>0</v>
      </c>
    </row>
    <row r="128">
      <c r="A128" t="inlineStr">
        <is>
          <t xml:space="preserve">1EPM</t>
        </is>
      </c>
      <c r="B128" cm="1">
        <f t="array" ref="B128">IFERROR(INDEX(_xlfn._xlws.FILTER(CONFIG_ASIGNATURAS!$B$2:$B$91,(CONFIG_ASIGNATURAS!$G$2:$G$91="Sí")*ISNUMBER(SEARCH("1EPM",CONFIG_ASIGNATURAS!$C$2:$C$91))),45),"")</f>
      </c>
      <c r="C128">
        <f>IF(B128="","",IFERROR(VLOOKUP(B128,CONFIG_ASIGNATURAS!$B$2:$D$91,3,FALSE()),"Asignatura"))</f>
      </c>
      <c r="D128">
        <f>SUMPRODUCT((nCUENTA=1)*(nCURSO=A128)*(nASIG=B128))</f>
        <v>0</v>
      </c>
      <c r="E128" s="10" t="str">
        <f>IFERROR(SUMPRODUCT((nCUENTA=1)*(nCURSO=A128)*(nASIG=B128)*(nNOTA))/D128,"—")</f>
        <v>—</v>
      </c>
      <c r="F128" s="10" t="str" cm="1">
        <f t="array" ref="F128">IFERROR(_xlfn.STDEV.P(_xlfn._xlws.FILTER(nNOTA,(nCUENTA=1)*(nCURSO=A128)*(nASIG=B128))),"—")</f>
        <v>—</v>
      </c>
      <c r="G128" t="str" cm="1">
        <f t="array" ref="G128">IFERROR(_xlfn.MODE.SNGL(_xlfn._xlws.FILTER(nNOTA,(nCUENTA=1)*(nCURSO=A128)*(nASIG=B128))),"—")</f>
        <v>—</v>
      </c>
      <c r="H128" s="11" t="str">
        <f>IFERROR(SUMPRODUCT((nCUENTA=1)*(nCURSO=A128)*(nASIG=B128)*(nAPTO="S"))/D128,"—")</f>
        <v>—</v>
      </c>
      <c r="I128" s="11" t="str">
        <f>IFERROR(SUMPRODUCT((nCUENTA=1)*(nCURSO=A128)*(nASIG=B128)*(nAPTO="N"))/D128,"—")</f>
        <v>—</v>
      </c>
      <c r="J128" t="str" cm="1">
        <f t="array" ref="J128">IFERROR(_xlfn.MODE.SNGL(_xlfn._xlws.FILTER(nNOTA,(nCUENTA=1)*(nCURSO=A128)*(nASIG=B128)*(nAPTO="S"))),"—")</f>
        <v>—</v>
      </c>
      <c r="K128" t="str" cm="1">
        <f t="array" ref="K128">IFERROR(_xlfn.MODE.SNGL(_xlfn._xlws.FILTER(nNOTA,(nCUENTA=1)*(nCURSO=A128)*(nASIG=B128)*(nAPTO="N"))),"—")</f>
        <v>—</v>
      </c>
      <c r="L128">
        <f>SUMPRODUCT((nCUENTA=1)*(nCURSO=A128)*(nASIG=B128)*(nNOTA=1))</f>
        <v>0</v>
      </c>
      <c r="M128">
        <f>SUMPRODUCT((nCUENTA=1)*(nCURSO=A128)*(nASIG=B128)*(nNOTA=2))</f>
        <v>0</v>
      </c>
      <c r="N128">
        <f>SUMPRODUCT((nCUENTA=1)*(nCURSO=A128)*(nASIG=B128)*(nNOTA=3))</f>
        <v>0</v>
      </c>
      <c r="O128">
        <f>SUMPRODUCT((nCUENTA=1)*(nCURSO=A128)*(nASIG=B128)*(nNOTA=4))</f>
        <v>0</v>
      </c>
      <c r="P128">
        <f>SUMPRODUCT((nCUENTA=1)*(nCURSO=A128)*(nASIG=B128)*(nNOTA=5))</f>
        <v>0</v>
      </c>
      <c r="Q128">
        <f>SUMPRODUCT((nCUENTA=1)*(nCURSO=A128)*(nASIG=B128)*(nNOTA=6))</f>
        <v>0</v>
      </c>
      <c r="R128">
        <f>SUMPRODUCT((nCUENTA=1)*(nCURSO=A128)*(nASIG=B128)*(nNOTA=7))</f>
        <v>0</v>
      </c>
      <c r="S128">
        <f>SUMPRODUCT((nCUENTA=1)*(nCURSO=A128)*(nASIG=B128)*(nNOTA=8))</f>
        <v>0</v>
      </c>
      <c r="T128">
        <f>SUMPRODUCT((nCUENTA=1)*(nCURSO=A128)*(nASIG=B128)*(nNOTA=9))</f>
        <v>0</v>
      </c>
      <c r="U128">
        <f>SUMPRODUCT((nCUENTA=1)*(nCURSO=A128)*(nASIG=B128)*(nNOTA=10))</f>
        <v>0</v>
      </c>
    </row>
    <row r="129">
      <c r="A129" t="inlineStr">
        <is>
          <t xml:space="preserve">1EPM</t>
        </is>
      </c>
      <c r="B129" cm="1">
        <f t="array" ref="B129">IFERROR(INDEX(_xlfn._xlws.FILTER(CONFIG_ASIGNATURAS!$B$2:$B$91,(CONFIG_ASIGNATURAS!$G$2:$G$91="Sí")*ISNUMBER(SEARCH("1EPM",CONFIG_ASIGNATURAS!$C$2:$C$91))),46),"")</f>
      </c>
      <c r="C129">
        <f>IF(B129="","",IFERROR(VLOOKUP(B129,CONFIG_ASIGNATURAS!$B$2:$D$91,3,FALSE()),"Asignatura"))</f>
      </c>
      <c r="D129">
        <f>SUMPRODUCT((nCUENTA=1)*(nCURSO=A129)*(nASIG=B129))</f>
        <v>0</v>
      </c>
      <c r="E129" s="10" t="str">
        <f>IFERROR(SUMPRODUCT((nCUENTA=1)*(nCURSO=A129)*(nASIG=B129)*(nNOTA))/D129,"—")</f>
        <v>—</v>
      </c>
      <c r="F129" s="10" t="str" cm="1">
        <f t="array" ref="F129">IFERROR(_xlfn.STDEV.P(_xlfn._xlws.FILTER(nNOTA,(nCUENTA=1)*(nCURSO=A129)*(nASIG=B129))),"—")</f>
        <v>—</v>
      </c>
      <c r="G129" t="str" cm="1">
        <f t="array" ref="G129">IFERROR(_xlfn.MODE.SNGL(_xlfn._xlws.FILTER(nNOTA,(nCUENTA=1)*(nCURSO=A129)*(nASIG=B129))),"—")</f>
        <v>—</v>
      </c>
      <c r="H129" s="11" t="str">
        <f>IFERROR(SUMPRODUCT((nCUENTA=1)*(nCURSO=A129)*(nASIG=B129)*(nAPTO="S"))/D129,"—")</f>
        <v>—</v>
      </c>
      <c r="I129" s="11" t="str">
        <f>IFERROR(SUMPRODUCT((nCUENTA=1)*(nCURSO=A129)*(nASIG=B129)*(nAPTO="N"))/D129,"—")</f>
        <v>—</v>
      </c>
      <c r="J129" t="str" cm="1">
        <f t="array" ref="J129">IFERROR(_xlfn.MODE.SNGL(_xlfn._xlws.FILTER(nNOTA,(nCUENTA=1)*(nCURSO=A129)*(nASIG=B129)*(nAPTO="S"))),"—")</f>
        <v>—</v>
      </c>
      <c r="K129" t="str" cm="1">
        <f t="array" ref="K129">IFERROR(_xlfn.MODE.SNGL(_xlfn._xlws.FILTER(nNOTA,(nCUENTA=1)*(nCURSO=A129)*(nASIG=B129)*(nAPTO="N"))),"—")</f>
        <v>—</v>
      </c>
      <c r="L129">
        <f>SUMPRODUCT((nCUENTA=1)*(nCURSO=A129)*(nASIG=B129)*(nNOTA=1))</f>
        <v>0</v>
      </c>
      <c r="M129">
        <f>SUMPRODUCT((nCUENTA=1)*(nCURSO=A129)*(nASIG=B129)*(nNOTA=2))</f>
        <v>0</v>
      </c>
      <c r="N129">
        <f>SUMPRODUCT((nCUENTA=1)*(nCURSO=A129)*(nASIG=B129)*(nNOTA=3))</f>
        <v>0</v>
      </c>
      <c r="O129">
        <f>SUMPRODUCT((nCUENTA=1)*(nCURSO=A129)*(nASIG=B129)*(nNOTA=4))</f>
        <v>0</v>
      </c>
      <c r="P129">
        <f>SUMPRODUCT((nCUENTA=1)*(nCURSO=A129)*(nASIG=B129)*(nNOTA=5))</f>
        <v>0</v>
      </c>
      <c r="Q129">
        <f>SUMPRODUCT((nCUENTA=1)*(nCURSO=A129)*(nASIG=B129)*(nNOTA=6))</f>
        <v>0</v>
      </c>
      <c r="R129">
        <f>SUMPRODUCT((nCUENTA=1)*(nCURSO=A129)*(nASIG=B129)*(nNOTA=7))</f>
        <v>0</v>
      </c>
      <c r="S129">
        <f>SUMPRODUCT((nCUENTA=1)*(nCURSO=A129)*(nASIG=B129)*(nNOTA=8))</f>
        <v>0</v>
      </c>
      <c r="T129">
        <f>SUMPRODUCT((nCUENTA=1)*(nCURSO=A129)*(nASIG=B129)*(nNOTA=9))</f>
        <v>0</v>
      </c>
      <c r="U129">
        <f>SUMPRODUCT((nCUENTA=1)*(nCURSO=A129)*(nASIG=B129)*(nNOTA=10))</f>
        <v>0</v>
      </c>
    </row>
    <row r="130">
      <c r="A130" t="inlineStr">
        <is>
          <t xml:space="preserve">1EPM</t>
        </is>
      </c>
      <c r="B130" cm="1">
        <f t="array" ref="B130">IFERROR(INDEX(_xlfn._xlws.FILTER(CONFIG_ASIGNATURAS!$B$2:$B$91,(CONFIG_ASIGNATURAS!$G$2:$G$91="Sí")*ISNUMBER(SEARCH("1EPM",CONFIG_ASIGNATURAS!$C$2:$C$91))),47),"")</f>
      </c>
      <c r="C130">
        <f>IF(B130="","",IFERROR(VLOOKUP(B130,CONFIG_ASIGNATURAS!$B$2:$D$91,3,FALSE()),"Asignatura"))</f>
      </c>
      <c r="D130">
        <f>SUMPRODUCT((nCUENTA=1)*(nCURSO=A130)*(nASIG=B130))</f>
        <v>0</v>
      </c>
      <c r="E130" s="10" t="str">
        <f>IFERROR(SUMPRODUCT((nCUENTA=1)*(nCURSO=A130)*(nASIG=B130)*(nNOTA))/D130,"—")</f>
        <v>—</v>
      </c>
      <c r="F130" s="10" t="str" cm="1">
        <f t="array" ref="F130">IFERROR(_xlfn.STDEV.P(_xlfn._xlws.FILTER(nNOTA,(nCUENTA=1)*(nCURSO=A130)*(nASIG=B130))),"—")</f>
        <v>—</v>
      </c>
      <c r="G130" t="str" cm="1">
        <f t="array" ref="G130">IFERROR(_xlfn.MODE.SNGL(_xlfn._xlws.FILTER(nNOTA,(nCUENTA=1)*(nCURSO=A130)*(nASIG=B130))),"—")</f>
        <v>—</v>
      </c>
      <c r="H130" s="11" t="str">
        <f>IFERROR(SUMPRODUCT((nCUENTA=1)*(nCURSO=A130)*(nASIG=B130)*(nAPTO="S"))/D130,"—")</f>
        <v>—</v>
      </c>
      <c r="I130" s="11" t="str">
        <f>IFERROR(SUMPRODUCT((nCUENTA=1)*(nCURSO=A130)*(nASIG=B130)*(nAPTO="N"))/D130,"—")</f>
        <v>—</v>
      </c>
      <c r="J130" t="str" cm="1">
        <f t="array" ref="J130">IFERROR(_xlfn.MODE.SNGL(_xlfn._xlws.FILTER(nNOTA,(nCUENTA=1)*(nCURSO=A130)*(nASIG=B130)*(nAPTO="S"))),"—")</f>
        <v>—</v>
      </c>
      <c r="K130" t="str" cm="1">
        <f t="array" ref="K130">IFERROR(_xlfn.MODE.SNGL(_xlfn._xlws.FILTER(nNOTA,(nCUENTA=1)*(nCURSO=A130)*(nASIG=B130)*(nAPTO="N"))),"—")</f>
        <v>—</v>
      </c>
      <c r="L130">
        <f>SUMPRODUCT((nCUENTA=1)*(nCURSO=A130)*(nASIG=B130)*(nNOTA=1))</f>
        <v>0</v>
      </c>
      <c r="M130">
        <f>SUMPRODUCT((nCUENTA=1)*(nCURSO=A130)*(nASIG=B130)*(nNOTA=2))</f>
        <v>0</v>
      </c>
      <c r="N130">
        <f>SUMPRODUCT((nCUENTA=1)*(nCURSO=A130)*(nASIG=B130)*(nNOTA=3))</f>
        <v>0</v>
      </c>
      <c r="O130">
        <f>SUMPRODUCT((nCUENTA=1)*(nCURSO=A130)*(nASIG=B130)*(nNOTA=4))</f>
        <v>0</v>
      </c>
      <c r="P130">
        <f>SUMPRODUCT((nCUENTA=1)*(nCURSO=A130)*(nASIG=B130)*(nNOTA=5))</f>
        <v>0</v>
      </c>
      <c r="Q130">
        <f>SUMPRODUCT((nCUENTA=1)*(nCURSO=A130)*(nASIG=B130)*(nNOTA=6))</f>
        <v>0</v>
      </c>
      <c r="R130">
        <f>SUMPRODUCT((nCUENTA=1)*(nCURSO=A130)*(nASIG=B130)*(nNOTA=7))</f>
        <v>0</v>
      </c>
      <c r="S130">
        <f>SUMPRODUCT((nCUENTA=1)*(nCURSO=A130)*(nASIG=B130)*(nNOTA=8))</f>
        <v>0</v>
      </c>
      <c r="T130">
        <f>SUMPRODUCT((nCUENTA=1)*(nCURSO=A130)*(nASIG=B130)*(nNOTA=9))</f>
        <v>0</v>
      </c>
      <c r="U130">
        <f>SUMPRODUCT((nCUENTA=1)*(nCURSO=A130)*(nASIG=B130)*(nNOTA=10))</f>
        <v>0</v>
      </c>
    </row>
    <row r="131">
      <c r="A131" t="inlineStr">
        <is>
          <t xml:space="preserve">1EPM</t>
        </is>
      </c>
      <c r="B131" cm="1">
        <f t="array" ref="B131">IFERROR(INDEX(_xlfn._xlws.FILTER(CONFIG_ASIGNATURAS!$B$2:$B$91,(CONFIG_ASIGNATURAS!$G$2:$G$91="Sí")*ISNUMBER(SEARCH("1EPM",CONFIG_ASIGNATURAS!$C$2:$C$91))),48),"")</f>
      </c>
      <c r="C131">
        <f>IF(B131="","",IFERROR(VLOOKUP(B131,CONFIG_ASIGNATURAS!$B$2:$D$91,3,FALSE()),"Asignatura"))</f>
      </c>
      <c r="D131">
        <f>SUMPRODUCT((nCUENTA=1)*(nCURSO=A131)*(nASIG=B131))</f>
        <v>0</v>
      </c>
      <c r="E131" s="10" t="str">
        <f>IFERROR(SUMPRODUCT((nCUENTA=1)*(nCURSO=A131)*(nASIG=B131)*(nNOTA))/D131,"—")</f>
        <v>—</v>
      </c>
      <c r="F131" s="10" t="str" cm="1">
        <f t="array" ref="F131">IFERROR(_xlfn.STDEV.P(_xlfn._xlws.FILTER(nNOTA,(nCUENTA=1)*(nCURSO=A131)*(nASIG=B131))),"—")</f>
        <v>—</v>
      </c>
      <c r="G131" t="str" cm="1">
        <f t="array" ref="G131">IFERROR(_xlfn.MODE.SNGL(_xlfn._xlws.FILTER(nNOTA,(nCUENTA=1)*(nCURSO=A131)*(nASIG=B131))),"—")</f>
        <v>—</v>
      </c>
      <c r="H131" s="11" t="str">
        <f>IFERROR(SUMPRODUCT((nCUENTA=1)*(nCURSO=A131)*(nASIG=B131)*(nAPTO="S"))/D131,"—")</f>
        <v>—</v>
      </c>
      <c r="I131" s="11" t="str">
        <f>IFERROR(SUMPRODUCT((nCUENTA=1)*(nCURSO=A131)*(nASIG=B131)*(nAPTO="N"))/D131,"—")</f>
        <v>—</v>
      </c>
      <c r="J131" t="str" cm="1">
        <f t="array" ref="J131">IFERROR(_xlfn.MODE.SNGL(_xlfn._xlws.FILTER(nNOTA,(nCUENTA=1)*(nCURSO=A131)*(nASIG=B131)*(nAPTO="S"))),"—")</f>
        <v>—</v>
      </c>
      <c r="K131" t="str" cm="1">
        <f t="array" ref="K131">IFERROR(_xlfn.MODE.SNGL(_xlfn._xlws.FILTER(nNOTA,(nCUENTA=1)*(nCURSO=A131)*(nASIG=B131)*(nAPTO="N"))),"—")</f>
        <v>—</v>
      </c>
      <c r="L131">
        <f>SUMPRODUCT((nCUENTA=1)*(nCURSO=A131)*(nASIG=B131)*(nNOTA=1))</f>
        <v>0</v>
      </c>
      <c r="M131">
        <f>SUMPRODUCT((nCUENTA=1)*(nCURSO=A131)*(nASIG=B131)*(nNOTA=2))</f>
        <v>0</v>
      </c>
      <c r="N131">
        <f>SUMPRODUCT((nCUENTA=1)*(nCURSO=A131)*(nASIG=B131)*(nNOTA=3))</f>
        <v>0</v>
      </c>
      <c r="O131">
        <f>SUMPRODUCT((nCUENTA=1)*(nCURSO=A131)*(nASIG=B131)*(nNOTA=4))</f>
        <v>0</v>
      </c>
      <c r="P131">
        <f>SUMPRODUCT((nCUENTA=1)*(nCURSO=A131)*(nASIG=B131)*(nNOTA=5))</f>
        <v>0</v>
      </c>
      <c r="Q131">
        <f>SUMPRODUCT((nCUENTA=1)*(nCURSO=A131)*(nASIG=B131)*(nNOTA=6))</f>
        <v>0</v>
      </c>
      <c r="R131">
        <f>SUMPRODUCT((nCUENTA=1)*(nCURSO=A131)*(nASIG=B131)*(nNOTA=7))</f>
        <v>0</v>
      </c>
      <c r="S131">
        <f>SUMPRODUCT((nCUENTA=1)*(nCURSO=A131)*(nASIG=B131)*(nNOTA=8))</f>
        <v>0</v>
      </c>
      <c r="T131">
        <f>SUMPRODUCT((nCUENTA=1)*(nCURSO=A131)*(nASIG=B131)*(nNOTA=9))</f>
        <v>0</v>
      </c>
      <c r="U131">
        <f>SUMPRODUCT((nCUENTA=1)*(nCURSO=A131)*(nASIG=B131)*(nNOTA=10))</f>
        <v>0</v>
      </c>
    </row>
    <row r="132">
      <c r="A132" t="inlineStr">
        <is>
          <t xml:space="preserve">1EPM</t>
        </is>
      </c>
      <c r="B132" cm="1">
        <f t="array" ref="B132">IFERROR(INDEX(_xlfn._xlws.FILTER(CONFIG_ASIGNATURAS!$B$2:$B$91,(CONFIG_ASIGNATURAS!$G$2:$G$91="Sí")*ISNUMBER(SEARCH("1EPM",CONFIG_ASIGNATURAS!$C$2:$C$91))),49),"")</f>
      </c>
      <c r="C132">
        <f>IF(B132="","",IFERROR(VLOOKUP(B132,CONFIG_ASIGNATURAS!$B$2:$D$91,3,FALSE()),"Asignatura"))</f>
      </c>
      <c r="D132">
        <f>SUMPRODUCT((nCUENTA=1)*(nCURSO=A132)*(nASIG=B132))</f>
        <v>0</v>
      </c>
      <c r="E132" s="10" t="str">
        <f>IFERROR(SUMPRODUCT((nCUENTA=1)*(nCURSO=A132)*(nASIG=B132)*(nNOTA))/D132,"—")</f>
        <v>—</v>
      </c>
      <c r="F132" s="10" t="str" cm="1">
        <f t="array" ref="F132">IFERROR(_xlfn.STDEV.P(_xlfn._xlws.FILTER(nNOTA,(nCUENTA=1)*(nCURSO=A132)*(nASIG=B132))),"—")</f>
        <v>—</v>
      </c>
      <c r="G132" t="str" cm="1">
        <f t="array" ref="G132">IFERROR(_xlfn.MODE.SNGL(_xlfn._xlws.FILTER(nNOTA,(nCUENTA=1)*(nCURSO=A132)*(nASIG=B132))),"—")</f>
        <v>—</v>
      </c>
      <c r="H132" s="11" t="str">
        <f>IFERROR(SUMPRODUCT((nCUENTA=1)*(nCURSO=A132)*(nASIG=B132)*(nAPTO="S"))/D132,"—")</f>
        <v>—</v>
      </c>
      <c r="I132" s="11" t="str">
        <f>IFERROR(SUMPRODUCT((nCUENTA=1)*(nCURSO=A132)*(nASIG=B132)*(nAPTO="N"))/D132,"—")</f>
        <v>—</v>
      </c>
      <c r="J132" t="str" cm="1">
        <f t="array" ref="J132">IFERROR(_xlfn.MODE.SNGL(_xlfn._xlws.FILTER(nNOTA,(nCUENTA=1)*(nCURSO=A132)*(nASIG=B132)*(nAPTO="S"))),"—")</f>
        <v>—</v>
      </c>
      <c r="K132" t="str" cm="1">
        <f t="array" ref="K132">IFERROR(_xlfn.MODE.SNGL(_xlfn._xlws.FILTER(nNOTA,(nCUENTA=1)*(nCURSO=A132)*(nASIG=B132)*(nAPTO="N"))),"—")</f>
        <v>—</v>
      </c>
      <c r="L132">
        <f>SUMPRODUCT((nCUENTA=1)*(nCURSO=A132)*(nASIG=B132)*(nNOTA=1))</f>
        <v>0</v>
      </c>
      <c r="M132">
        <f>SUMPRODUCT((nCUENTA=1)*(nCURSO=A132)*(nASIG=B132)*(nNOTA=2))</f>
        <v>0</v>
      </c>
      <c r="N132">
        <f>SUMPRODUCT((nCUENTA=1)*(nCURSO=A132)*(nASIG=B132)*(nNOTA=3))</f>
        <v>0</v>
      </c>
      <c r="O132">
        <f>SUMPRODUCT((nCUENTA=1)*(nCURSO=A132)*(nASIG=B132)*(nNOTA=4))</f>
        <v>0</v>
      </c>
      <c r="P132">
        <f>SUMPRODUCT((nCUENTA=1)*(nCURSO=A132)*(nASIG=B132)*(nNOTA=5))</f>
        <v>0</v>
      </c>
      <c r="Q132">
        <f>SUMPRODUCT((nCUENTA=1)*(nCURSO=A132)*(nASIG=B132)*(nNOTA=6))</f>
        <v>0</v>
      </c>
      <c r="R132">
        <f>SUMPRODUCT((nCUENTA=1)*(nCURSO=A132)*(nASIG=B132)*(nNOTA=7))</f>
        <v>0</v>
      </c>
      <c r="S132">
        <f>SUMPRODUCT((nCUENTA=1)*(nCURSO=A132)*(nASIG=B132)*(nNOTA=8))</f>
        <v>0</v>
      </c>
      <c r="T132">
        <f>SUMPRODUCT((nCUENTA=1)*(nCURSO=A132)*(nASIG=B132)*(nNOTA=9))</f>
        <v>0</v>
      </c>
      <c r="U132">
        <f>SUMPRODUCT((nCUENTA=1)*(nCURSO=A132)*(nASIG=B132)*(nNOTA=10))</f>
        <v>0</v>
      </c>
    </row>
    <row r="133">
      <c r="A133" t="inlineStr">
        <is>
          <t xml:space="preserve">1EPM</t>
        </is>
      </c>
      <c r="B133" cm="1">
        <f t="array" ref="B133">IFERROR(INDEX(_xlfn._xlws.FILTER(CONFIG_ASIGNATURAS!$B$2:$B$91,(CONFIG_ASIGNATURAS!$G$2:$G$91="Sí")*ISNUMBER(SEARCH("1EPM",CONFIG_ASIGNATURAS!$C$2:$C$91))),50),"")</f>
      </c>
      <c r="C133">
        <f>IF(B133="","",IFERROR(VLOOKUP(B133,CONFIG_ASIGNATURAS!$B$2:$D$91,3,FALSE()),"Asignatura"))</f>
      </c>
      <c r="D133">
        <f>SUMPRODUCT((nCUENTA=1)*(nCURSO=A133)*(nASIG=B133))</f>
        <v>0</v>
      </c>
      <c r="E133" s="10" t="str">
        <f>IFERROR(SUMPRODUCT((nCUENTA=1)*(nCURSO=A133)*(nASIG=B133)*(nNOTA))/D133,"—")</f>
        <v>—</v>
      </c>
      <c r="F133" s="10" t="str" cm="1">
        <f t="array" ref="F133">IFERROR(_xlfn.STDEV.P(_xlfn._xlws.FILTER(nNOTA,(nCUENTA=1)*(nCURSO=A133)*(nASIG=B133))),"—")</f>
        <v>—</v>
      </c>
      <c r="G133" t="str" cm="1">
        <f t="array" ref="G133">IFERROR(_xlfn.MODE.SNGL(_xlfn._xlws.FILTER(nNOTA,(nCUENTA=1)*(nCURSO=A133)*(nASIG=B133))),"—")</f>
        <v>—</v>
      </c>
      <c r="H133" s="11" t="str">
        <f>IFERROR(SUMPRODUCT((nCUENTA=1)*(nCURSO=A133)*(nASIG=B133)*(nAPTO="S"))/D133,"—")</f>
        <v>—</v>
      </c>
      <c r="I133" s="11" t="str">
        <f>IFERROR(SUMPRODUCT((nCUENTA=1)*(nCURSO=A133)*(nASIG=B133)*(nAPTO="N"))/D133,"—")</f>
        <v>—</v>
      </c>
      <c r="J133" t="str" cm="1">
        <f t="array" ref="J133">IFERROR(_xlfn.MODE.SNGL(_xlfn._xlws.FILTER(nNOTA,(nCUENTA=1)*(nCURSO=A133)*(nASIG=B133)*(nAPTO="S"))),"—")</f>
        <v>—</v>
      </c>
      <c r="K133" t="str" cm="1">
        <f t="array" ref="K133">IFERROR(_xlfn.MODE.SNGL(_xlfn._xlws.FILTER(nNOTA,(nCUENTA=1)*(nCURSO=A133)*(nASIG=B133)*(nAPTO="N"))),"—")</f>
        <v>—</v>
      </c>
      <c r="L133">
        <f>SUMPRODUCT((nCUENTA=1)*(nCURSO=A133)*(nASIG=B133)*(nNOTA=1))</f>
        <v>0</v>
      </c>
      <c r="M133">
        <f>SUMPRODUCT((nCUENTA=1)*(nCURSO=A133)*(nASIG=B133)*(nNOTA=2))</f>
        <v>0</v>
      </c>
      <c r="N133">
        <f>SUMPRODUCT((nCUENTA=1)*(nCURSO=A133)*(nASIG=B133)*(nNOTA=3))</f>
        <v>0</v>
      </c>
      <c r="O133">
        <f>SUMPRODUCT((nCUENTA=1)*(nCURSO=A133)*(nASIG=B133)*(nNOTA=4))</f>
        <v>0</v>
      </c>
      <c r="P133">
        <f>SUMPRODUCT((nCUENTA=1)*(nCURSO=A133)*(nASIG=B133)*(nNOTA=5))</f>
        <v>0</v>
      </c>
      <c r="Q133">
        <f>SUMPRODUCT((nCUENTA=1)*(nCURSO=A133)*(nASIG=B133)*(nNOTA=6))</f>
        <v>0</v>
      </c>
      <c r="R133">
        <f>SUMPRODUCT((nCUENTA=1)*(nCURSO=A133)*(nASIG=B133)*(nNOTA=7))</f>
        <v>0</v>
      </c>
      <c r="S133">
        <f>SUMPRODUCT((nCUENTA=1)*(nCURSO=A133)*(nASIG=B133)*(nNOTA=8))</f>
        <v>0</v>
      </c>
      <c r="T133">
        <f>SUMPRODUCT((nCUENTA=1)*(nCURSO=A133)*(nASIG=B133)*(nNOTA=9))</f>
        <v>0</v>
      </c>
      <c r="U133">
        <f>SUMPRODUCT((nCUENTA=1)*(nCURSO=A133)*(nASIG=B133)*(nNOTA=10))</f>
        <v>0</v>
      </c>
    </row>
    <row r="134">
      <c r="A134" t="inlineStr">
        <is>
          <t xml:space="preserve">1EPM</t>
        </is>
      </c>
      <c r="B134" cm="1">
        <f t="array" ref="B134">IFERROR(INDEX(_xlfn._xlws.FILTER(CONFIG_ASIGNATURAS!$B$2:$B$91,(CONFIG_ASIGNATURAS!$G$2:$G$91="Sí")*ISNUMBER(SEARCH("1EPM",CONFIG_ASIGNATURAS!$C$2:$C$91))),51),"")</f>
      </c>
      <c r="C134">
        <f>IF(B134="","",IFERROR(VLOOKUP(B134,CONFIG_ASIGNATURAS!$B$2:$D$91,3,FALSE()),"Asignatura"))</f>
      </c>
      <c r="D134">
        <f>SUMPRODUCT((nCUENTA=1)*(nCURSO=A134)*(nASIG=B134))</f>
        <v>0</v>
      </c>
      <c r="E134" s="10" t="str">
        <f>IFERROR(SUMPRODUCT((nCUENTA=1)*(nCURSO=A134)*(nASIG=B134)*(nNOTA))/D134,"—")</f>
        <v>—</v>
      </c>
      <c r="F134" s="10" t="str" cm="1">
        <f t="array" ref="F134">IFERROR(_xlfn.STDEV.P(_xlfn._xlws.FILTER(nNOTA,(nCUENTA=1)*(nCURSO=A134)*(nASIG=B134))),"—")</f>
        <v>—</v>
      </c>
      <c r="G134" t="str" cm="1">
        <f t="array" ref="G134">IFERROR(_xlfn.MODE.SNGL(_xlfn._xlws.FILTER(nNOTA,(nCUENTA=1)*(nCURSO=A134)*(nASIG=B134))),"—")</f>
        <v>—</v>
      </c>
      <c r="H134" s="11" t="str">
        <f>IFERROR(SUMPRODUCT((nCUENTA=1)*(nCURSO=A134)*(nASIG=B134)*(nAPTO="S"))/D134,"—")</f>
        <v>—</v>
      </c>
      <c r="I134" s="11" t="str">
        <f>IFERROR(SUMPRODUCT((nCUENTA=1)*(nCURSO=A134)*(nASIG=B134)*(nAPTO="N"))/D134,"—")</f>
        <v>—</v>
      </c>
      <c r="J134" t="str" cm="1">
        <f t="array" ref="J134">IFERROR(_xlfn.MODE.SNGL(_xlfn._xlws.FILTER(nNOTA,(nCUENTA=1)*(nCURSO=A134)*(nASIG=B134)*(nAPTO="S"))),"—")</f>
        <v>—</v>
      </c>
      <c r="K134" t="str" cm="1">
        <f t="array" ref="K134">IFERROR(_xlfn.MODE.SNGL(_xlfn._xlws.FILTER(nNOTA,(nCUENTA=1)*(nCURSO=A134)*(nASIG=B134)*(nAPTO="N"))),"—")</f>
        <v>—</v>
      </c>
      <c r="L134">
        <f>SUMPRODUCT((nCUENTA=1)*(nCURSO=A134)*(nASIG=B134)*(nNOTA=1))</f>
        <v>0</v>
      </c>
      <c r="M134">
        <f>SUMPRODUCT((nCUENTA=1)*(nCURSO=A134)*(nASIG=B134)*(nNOTA=2))</f>
        <v>0</v>
      </c>
      <c r="N134">
        <f>SUMPRODUCT((nCUENTA=1)*(nCURSO=A134)*(nASIG=B134)*(nNOTA=3))</f>
        <v>0</v>
      </c>
      <c r="O134">
        <f>SUMPRODUCT((nCUENTA=1)*(nCURSO=A134)*(nASIG=B134)*(nNOTA=4))</f>
        <v>0</v>
      </c>
      <c r="P134">
        <f>SUMPRODUCT((nCUENTA=1)*(nCURSO=A134)*(nASIG=B134)*(nNOTA=5))</f>
        <v>0</v>
      </c>
      <c r="Q134">
        <f>SUMPRODUCT((nCUENTA=1)*(nCURSO=A134)*(nASIG=B134)*(nNOTA=6))</f>
        <v>0</v>
      </c>
      <c r="R134">
        <f>SUMPRODUCT((nCUENTA=1)*(nCURSO=A134)*(nASIG=B134)*(nNOTA=7))</f>
        <v>0</v>
      </c>
      <c r="S134">
        <f>SUMPRODUCT((nCUENTA=1)*(nCURSO=A134)*(nASIG=B134)*(nNOTA=8))</f>
        <v>0</v>
      </c>
      <c r="T134">
        <f>SUMPRODUCT((nCUENTA=1)*(nCURSO=A134)*(nASIG=B134)*(nNOTA=9))</f>
        <v>0</v>
      </c>
      <c r="U134">
        <f>SUMPRODUCT((nCUENTA=1)*(nCURSO=A134)*(nASIG=B134)*(nNOTA=10))</f>
        <v>0</v>
      </c>
    </row>
    <row r="135">
      <c r="A135" t="inlineStr">
        <is>
          <t xml:space="preserve">1EPM</t>
        </is>
      </c>
      <c r="B135" cm="1">
        <f t="array" ref="B135">IFERROR(INDEX(_xlfn._xlws.FILTER(CONFIG_ASIGNATURAS!$B$2:$B$91,(CONFIG_ASIGNATURAS!$G$2:$G$91="Sí")*ISNUMBER(SEARCH("1EPM",CONFIG_ASIGNATURAS!$C$2:$C$91))),52),"")</f>
      </c>
      <c r="C135">
        <f>IF(B135="","",IFERROR(VLOOKUP(B135,CONFIG_ASIGNATURAS!$B$2:$D$91,3,FALSE()),"Asignatura"))</f>
      </c>
      <c r="D135">
        <f>SUMPRODUCT((nCUENTA=1)*(nCURSO=A135)*(nASIG=B135))</f>
        <v>0</v>
      </c>
      <c r="E135" s="10" t="str">
        <f>IFERROR(SUMPRODUCT((nCUENTA=1)*(nCURSO=A135)*(nASIG=B135)*(nNOTA))/D135,"—")</f>
        <v>—</v>
      </c>
      <c r="F135" s="10" t="str" cm="1">
        <f t="array" ref="F135">IFERROR(_xlfn.STDEV.P(_xlfn._xlws.FILTER(nNOTA,(nCUENTA=1)*(nCURSO=A135)*(nASIG=B135))),"—")</f>
        <v>—</v>
      </c>
      <c r="G135" t="str" cm="1">
        <f t="array" ref="G135">IFERROR(_xlfn.MODE.SNGL(_xlfn._xlws.FILTER(nNOTA,(nCUENTA=1)*(nCURSO=A135)*(nASIG=B135))),"—")</f>
        <v>—</v>
      </c>
      <c r="H135" s="11" t="str">
        <f>IFERROR(SUMPRODUCT((nCUENTA=1)*(nCURSO=A135)*(nASIG=B135)*(nAPTO="S"))/D135,"—")</f>
        <v>—</v>
      </c>
      <c r="I135" s="11" t="str">
        <f>IFERROR(SUMPRODUCT((nCUENTA=1)*(nCURSO=A135)*(nASIG=B135)*(nAPTO="N"))/D135,"—")</f>
        <v>—</v>
      </c>
      <c r="J135" t="str" cm="1">
        <f t="array" ref="J135">IFERROR(_xlfn.MODE.SNGL(_xlfn._xlws.FILTER(nNOTA,(nCUENTA=1)*(nCURSO=A135)*(nASIG=B135)*(nAPTO="S"))),"—")</f>
        <v>—</v>
      </c>
      <c r="K135" t="str" cm="1">
        <f t="array" ref="K135">IFERROR(_xlfn.MODE.SNGL(_xlfn._xlws.FILTER(nNOTA,(nCUENTA=1)*(nCURSO=A135)*(nASIG=B135)*(nAPTO="N"))),"—")</f>
        <v>—</v>
      </c>
      <c r="L135">
        <f>SUMPRODUCT((nCUENTA=1)*(nCURSO=A135)*(nASIG=B135)*(nNOTA=1))</f>
        <v>0</v>
      </c>
      <c r="M135">
        <f>SUMPRODUCT((nCUENTA=1)*(nCURSO=A135)*(nASIG=B135)*(nNOTA=2))</f>
        <v>0</v>
      </c>
      <c r="N135">
        <f>SUMPRODUCT((nCUENTA=1)*(nCURSO=A135)*(nASIG=B135)*(nNOTA=3))</f>
        <v>0</v>
      </c>
      <c r="O135">
        <f>SUMPRODUCT((nCUENTA=1)*(nCURSO=A135)*(nASIG=B135)*(nNOTA=4))</f>
        <v>0</v>
      </c>
      <c r="P135">
        <f>SUMPRODUCT((nCUENTA=1)*(nCURSO=A135)*(nASIG=B135)*(nNOTA=5))</f>
        <v>0</v>
      </c>
      <c r="Q135">
        <f>SUMPRODUCT((nCUENTA=1)*(nCURSO=A135)*(nASIG=B135)*(nNOTA=6))</f>
        <v>0</v>
      </c>
      <c r="R135">
        <f>SUMPRODUCT((nCUENTA=1)*(nCURSO=A135)*(nASIG=B135)*(nNOTA=7))</f>
        <v>0</v>
      </c>
      <c r="S135">
        <f>SUMPRODUCT((nCUENTA=1)*(nCURSO=A135)*(nASIG=B135)*(nNOTA=8))</f>
        <v>0</v>
      </c>
      <c r="T135">
        <f>SUMPRODUCT((nCUENTA=1)*(nCURSO=A135)*(nASIG=B135)*(nNOTA=9))</f>
        <v>0</v>
      </c>
      <c r="U135">
        <f>SUMPRODUCT((nCUENTA=1)*(nCURSO=A135)*(nASIG=B135)*(nNOTA=10))</f>
        <v>0</v>
      </c>
    </row>
    <row r="136">
      <c r="A136" t="inlineStr">
        <is>
          <t xml:space="preserve">1EPM</t>
        </is>
      </c>
      <c r="B136" cm="1">
        <f t="array" ref="B136">IFERROR(INDEX(_xlfn._xlws.FILTER(CONFIG_ASIGNATURAS!$B$2:$B$91,(CONFIG_ASIGNATURAS!$G$2:$G$91="Sí")*ISNUMBER(SEARCH("1EPM",CONFIG_ASIGNATURAS!$C$2:$C$91))),53),"")</f>
      </c>
      <c r="C136">
        <f>IF(B136="","",IFERROR(VLOOKUP(B136,CONFIG_ASIGNATURAS!$B$2:$D$91,3,FALSE()),"Asignatura"))</f>
      </c>
      <c r="D136">
        <f>SUMPRODUCT((nCUENTA=1)*(nCURSO=A136)*(nASIG=B136))</f>
        <v>0</v>
      </c>
      <c r="E136" s="10" t="str">
        <f>IFERROR(SUMPRODUCT((nCUENTA=1)*(nCURSO=A136)*(nASIG=B136)*(nNOTA))/D136,"—")</f>
        <v>—</v>
      </c>
      <c r="F136" s="10" t="str" cm="1">
        <f t="array" ref="F136">IFERROR(_xlfn.STDEV.P(_xlfn._xlws.FILTER(nNOTA,(nCUENTA=1)*(nCURSO=A136)*(nASIG=B136))),"—")</f>
        <v>—</v>
      </c>
      <c r="G136" t="str" cm="1">
        <f t="array" ref="G136">IFERROR(_xlfn.MODE.SNGL(_xlfn._xlws.FILTER(nNOTA,(nCUENTA=1)*(nCURSO=A136)*(nASIG=B136))),"—")</f>
        <v>—</v>
      </c>
      <c r="H136" s="11" t="str">
        <f>IFERROR(SUMPRODUCT((nCUENTA=1)*(nCURSO=A136)*(nASIG=B136)*(nAPTO="S"))/D136,"—")</f>
        <v>—</v>
      </c>
      <c r="I136" s="11" t="str">
        <f>IFERROR(SUMPRODUCT((nCUENTA=1)*(nCURSO=A136)*(nASIG=B136)*(nAPTO="N"))/D136,"—")</f>
        <v>—</v>
      </c>
      <c r="J136" t="str" cm="1">
        <f t="array" ref="J136">IFERROR(_xlfn.MODE.SNGL(_xlfn._xlws.FILTER(nNOTA,(nCUENTA=1)*(nCURSO=A136)*(nASIG=B136)*(nAPTO="S"))),"—")</f>
        <v>—</v>
      </c>
      <c r="K136" t="str" cm="1">
        <f t="array" ref="K136">IFERROR(_xlfn.MODE.SNGL(_xlfn._xlws.FILTER(nNOTA,(nCUENTA=1)*(nCURSO=A136)*(nASIG=B136)*(nAPTO="N"))),"—")</f>
        <v>—</v>
      </c>
      <c r="L136">
        <f>SUMPRODUCT((nCUENTA=1)*(nCURSO=A136)*(nASIG=B136)*(nNOTA=1))</f>
        <v>0</v>
      </c>
      <c r="M136">
        <f>SUMPRODUCT((nCUENTA=1)*(nCURSO=A136)*(nASIG=B136)*(nNOTA=2))</f>
        <v>0</v>
      </c>
      <c r="N136">
        <f>SUMPRODUCT((nCUENTA=1)*(nCURSO=A136)*(nASIG=B136)*(nNOTA=3))</f>
        <v>0</v>
      </c>
      <c r="O136">
        <f>SUMPRODUCT((nCUENTA=1)*(nCURSO=A136)*(nASIG=B136)*(nNOTA=4))</f>
        <v>0</v>
      </c>
      <c r="P136">
        <f>SUMPRODUCT((nCUENTA=1)*(nCURSO=A136)*(nASIG=B136)*(nNOTA=5))</f>
        <v>0</v>
      </c>
      <c r="Q136">
        <f>SUMPRODUCT((nCUENTA=1)*(nCURSO=A136)*(nASIG=B136)*(nNOTA=6))</f>
        <v>0</v>
      </c>
      <c r="R136">
        <f>SUMPRODUCT((nCUENTA=1)*(nCURSO=A136)*(nASIG=B136)*(nNOTA=7))</f>
        <v>0</v>
      </c>
      <c r="S136">
        <f>SUMPRODUCT((nCUENTA=1)*(nCURSO=A136)*(nASIG=B136)*(nNOTA=8))</f>
        <v>0</v>
      </c>
      <c r="T136">
        <f>SUMPRODUCT((nCUENTA=1)*(nCURSO=A136)*(nASIG=B136)*(nNOTA=9))</f>
        <v>0</v>
      </c>
      <c r="U136">
        <f>SUMPRODUCT((nCUENTA=1)*(nCURSO=A136)*(nASIG=B136)*(nNOTA=10))</f>
        <v>0</v>
      </c>
    </row>
    <row r="137">
      <c r="A137" t="inlineStr">
        <is>
          <t xml:space="preserve">1EPM</t>
        </is>
      </c>
      <c r="B137" cm="1">
        <f t="array" ref="B137">IFERROR(INDEX(_xlfn._xlws.FILTER(CONFIG_ASIGNATURAS!$B$2:$B$91,(CONFIG_ASIGNATURAS!$G$2:$G$91="Sí")*ISNUMBER(SEARCH("1EPM",CONFIG_ASIGNATURAS!$C$2:$C$91))),54),"")</f>
      </c>
      <c r="C137">
        <f>IF(B137="","",IFERROR(VLOOKUP(B137,CONFIG_ASIGNATURAS!$B$2:$D$91,3,FALSE()),"Asignatura"))</f>
      </c>
      <c r="D137">
        <f>SUMPRODUCT((nCUENTA=1)*(nCURSO=A137)*(nASIG=B137))</f>
        <v>0</v>
      </c>
      <c r="E137" s="10" t="str">
        <f>IFERROR(SUMPRODUCT((nCUENTA=1)*(nCURSO=A137)*(nASIG=B137)*(nNOTA))/D137,"—")</f>
        <v>—</v>
      </c>
      <c r="F137" s="10" t="str" cm="1">
        <f t="array" ref="F137">IFERROR(_xlfn.STDEV.P(_xlfn._xlws.FILTER(nNOTA,(nCUENTA=1)*(nCURSO=A137)*(nASIG=B137))),"—")</f>
        <v>—</v>
      </c>
      <c r="G137" t="str" cm="1">
        <f t="array" ref="G137">IFERROR(_xlfn.MODE.SNGL(_xlfn._xlws.FILTER(nNOTA,(nCUENTA=1)*(nCURSO=A137)*(nASIG=B137))),"—")</f>
        <v>—</v>
      </c>
      <c r="H137" s="11" t="str">
        <f>IFERROR(SUMPRODUCT((nCUENTA=1)*(nCURSO=A137)*(nASIG=B137)*(nAPTO="S"))/D137,"—")</f>
        <v>—</v>
      </c>
      <c r="I137" s="11" t="str">
        <f>IFERROR(SUMPRODUCT((nCUENTA=1)*(nCURSO=A137)*(nASIG=B137)*(nAPTO="N"))/D137,"—")</f>
        <v>—</v>
      </c>
      <c r="J137" t="str" cm="1">
        <f t="array" ref="J137">IFERROR(_xlfn.MODE.SNGL(_xlfn._xlws.FILTER(nNOTA,(nCUENTA=1)*(nCURSO=A137)*(nASIG=B137)*(nAPTO="S"))),"—")</f>
        <v>—</v>
      </c>
      <c r="K137" t="str" cm="1">
        <f t="array" ref="K137">IFERROR(_xlfn.MODE.SNGL(_xlfn._xlws.FILTER(nNOTA,(nCUENTA=1)*(nCURSO=A137)*(nASIG=B137)*(nAPTO="N"))),"—")</f>
        <v>—</v>
      </c>
      <c r="L137">
        <f>SUMPRODUCT((nCUENTA=1)*(nCURSO=A137)*(nASIG=B137)*(nNOTA=1))</f>
        <v>0</v>
      </c>
      <c r="M137">
        <f>SUMPRODUCT((nCUENTA=1)*(nCURSO=A137)*(nASIG=B137)*(nNOTA=2))</f>
        <v>0</v>
      </c>
      <c r="N137">
        <f>SUMPRODUCT((nCUENTA=1)*(nCURSO=A137)*(nASIG=B137)*(nNOTA=3))</f>
        <v>0</v>
      </c>
      <c r="O137">
        <f>SUMPRODUCT((nCUENTA=1)*(nCURSO=A137)*(nASIG=B137)*(nNOTA=4))</f>
        <v>0</v>
      </c>
      <c r="P137">
        <f>SUMPRODUCT((nCUENTA=1)*(nCURSO=A137)*(nASIG=B137)*(nNOTA=5))</f>
        <v>0</v>
      </c>
      <c r="Q137">
        <f>SUMPRODUCT((nCUENTA=1)*(nCURSO=A137)*(nASIG=B137)*(nNOTA=6))</f>
        <v>0</v>
      </c>
      <c r="R137">
        <f>SUMPRODUCT((nCUENTA=1)*(nCURSO=A137)*(nASIG=B137)*(nNOTA=7))</f>
        <v>0</v>
      </c>
      <c r="S137">
        <f>SUMPRODUCT((nCUENTA=1)*(nCURSO=A137)*(nASIG=B137)*(nNOTA=8))</f>
        <v>0</v>
      </c>
      <c r="T137">
        <f>SUMPRODUCT((nCUENTA=1)*(nCURSO=A137)*(nASIG=B137)*(nNOTA=9))</f>
        <v>0</v>
      </c>
      <c r="U137">
        <f>SUMPRODUCT((nCUENTA=1)*(nCURSO=A137)*(nASIG=B137)*(nNOTA=10))</f>
        <v>0</v>
      </c>
    </row>
    <row r="138">
      <c r="A138" t="inlineStr">
        <is>
          <t xml:space="preserve">1EPM</t>
        </is>
      </c>
      <c r="B138" cm="1">
        <f t="array" ref="B138">IFERROR(INDEX(_xlfn._xlws.FILTER(CONFIG_ASIGNATURAS!$B$2:$B$91,(CONFIG_ASIGNATURAS!$G$2:$G$91="Sí")*ISNUMBER(SEARCH("1EPM",CONFIG_ASIGNATURAS!$C$2:$C$91))),55),"")</f>
      </c>
      <c r="C138">
        <f>IF(B138="","",IFERROR(VLOOKUP(B138,CONFIG_ASIGNATURAS!$B$2:$D$91,3,FALSE()),"Asignatura"))</f>
      </c>
      <c r="D138">
        <f>SUMPRODUCT((nCUENTA=1)*(nCURSO=A138)*(nASIG=B138))</f>
        <v>0</v>
      </c>
      <c r="E138" s="10" t="str">
        <f>IFERROR(SUMPRODUCT((nCUENTA=1)*(nCURSO=A138)*(nASIG=B138)*(nNOTA))/D138,"—")</f>
        <v>—</v>
      </c>
      <c r="F138" s="10" t="str" cm="1">
        <f t="array" ref="F138">IFERROR(_xlfn.STDEV.P(_xlfn._xlws.FILTER(nNOTA,(nCUENTA=1)*(nCURSO=A138)*(nASIG=B138))),"—")</f>
        <v>—</v>
      </c>
      <c r="G138" t="str" cm="1">
        <f t="array" ref="G138">IFERROR(_xlfn.MODE.SNGL(_xlfn._xlws.FILTER(nNOTA,(nCUENTA=1)*(nCURSO=A138)*(nASIG=B138))),"—")</f>
        <v>—</v>
      </c>
      <c r="H138" s="11" t="str">
        <f>IFERROR(SUMPRODUCT((nCUENTA=1)*(nCURSO=A138)*(nASIG=B138)*(nAPTO="S"))/D138,"—")</f>
        <v>—</v>
      </c>
      <c r="I138" s="11" t="str">
        <f>IFERROR(SUMPRODUCT((nCUENTA=1)*(nCURSO=A138)*(nASIG=B138)*(nAPTO="N"))/D138,"—")</f>
        <v>—</v>
      </c>
      <c r="J138" t="str" cm="1">
        <f t="array" ref="J138">IFERROR(_xlfn.MODE.SNGL(_xlfn._xlws.FILTER(nNOTA,(nCUENTA=1)*(nCURSO=A138)*(nASIG=B138)*(nAPTO="S"))),"—")</f>
        <v>—</v>
      </c>
      <c r="K138" t="str" cm="1">
        <f t="array" ref="K138">IFERROR(_xlfn.MODE.SNGL(_xlfn._xlws.FILTER(nNOTA,(nCUENTA=1)*(nCURSO=A138)*(nASIG=B138)*(nAPTO="N"))),"—")</f>
        <v>—</v>
      </c>
      <c r="L138">
        <f>SUMPRODUCT((nCUENTA=1)*(nCURSO=A138)*(nASIG=B138)*(nNOTA=1))</f>
        <v>0</v>
      </c>
      <c r="M138">
        <f>SUMPRODUCT((nCUENTA=1)*(nCURSO=A138)*(nASIG=B138)*(nNOTA=2))</f>
        <v>0</v>
      </c>
      <c r="N138">
        <f>SUMPRODUCT((nCUENTA=1)*(nCURSO=A138)*(nASIG=B138)*(nNOTA=3))</f>
        <v>0</v>
      </c>
      <c r="O138">
        <f>SUMPRODUCT((nCUENTA=1)*(nCURSO=A138)*(nASIG=B138)*(nNOTA=4))</f>
        <v>0</v>
      </c>
      <c r="P138">
        <f>SUMPRODUCT((nCUENTA=1)*(nCURSO=A138)*(nASIG=B138)*(nNOTA=5))</f>
        <v>0</v>
      </c>
      <c r="Q138">
        <f>SUMPRODUCT((nCUENTA=1)*(nCURSO=A138)*(nASIG=B138)*(nNOTA=6))</f>
        <v>0</v>
      </c>
      <c r="R138">
        <f>SUMPRODUCT((nCUENTA=1)*(nCURSO=A138)*(nASIG=B138)*(nNOTA=7))</f>
        <v>0</v>
      </c>
      <c r="S138">
        <f>SUMPRODUCT((nCUENTA=1)*(nCURSO=A138)*(nASIG=B138)*(nNOTA=8))</f>
        <v>0</v>
      </c>
      <c r="T138">
        <f>SUMPRODUCT((nCUENTA=1)*(nCURSO=A138)*(nASIG=B138)*(nNOTA=9))</f>
        <v>0</v>
      </c>
      <c r="U138">
        <f>SUMPRODUCT((nCUENTA=1)*(nCURSO=A138)*(nASIG=B138)*(nNOTA=10))</f>
        <v>0</v>
      </c>
    </row>
    <row r="139">
      <c r="A139" t="inlineStr">
        <is>
          <t xml:space="preserve">1EPM</t>
        </is>
      </c>
      <c r="B139" cm="1">
        <f t="array" ref="B139">IFERROR(INDEX(_xlfn._xlws.FILTER(CONFIG_ASIGNATURAS!$B$2:$B$91,(CONFIG_ASIGNATURAS!$G$2:$G$91="Sí")*ISNUMBER(SEARCH("1EPM",CONFIG_ASIGNATURAS!$C$2:$C$91))),56),"")</f>
      </c>
      <c r="C139">
        <f>IF(B139="","",IFERROR(VLOOKUP(B139,CONFIG_ASIGNATURAS!$B$2:$D$91,3,FALSE()),"Asignatura"))</f>
      </c>
      <c r="D139">
        <f>SUMPRODUCT((nCUENTA=1)*(nCURSO=A139)*(nASIG=B139))</f>
        <v>0</v>
      </c>
      <c r="E139" s="10" t="str">
        <f>IFERROR(SUMPRODUCT((nCUENTA=1)*(nCURSO=A139)*(nASIG=B139)*(nNOTA))/D139,"—")</f>
        <v>—</v>
      </c>
      <c r="F139" s="10" t="str" cm="1">
        <f t="array" ref="F139">IFERROR(_xlfn.STDEV.P(_xlfn._xlws.FILTER(nNOTA,(nCUENTA=1)*(nCURSO=A139)*(nASIG=B139))),"—")</f>
        <v>—</v>
      </c>
      <c r="G139" t="str" cm="1">
        <f t="array" ref="G139">IFERROR(_xlfn.MODE.SNGL(_xlfn._xlws.FILTER(nNOTA,(nCUENTA=1)*(nCURSO=A139)*(nASIG=B139))),"—")</f>
        <v>—</v>
      </c>
      <c r="H139" s="11" t="str">
        <f>IFERROR(SUMPRODUCT((nCUENTA=1)*(nCURSO=A139)*(nASIG=B139)*(nAPTO="S"))/D139,"—")</f>
        <v>—</v>
      </c>
      <c r="I139" s="11" t="str">
        <f>IFERROR(SUMPRODUCT((nCUENTA=1)*(nCURSO=A139)*(nASIG=B139)*(nAPTO="N"))/D139,"—")</f>
        <v>—</v>
      </c>
      <c r="J139" t="str" cm="1">
        <f t="array" ref="J139">IFERROR(_xlfn.MODE.SNGL(_xlfn._xlws.FILTER(nNOTA,(nCUENTA=1)*(nCURSO=A139)*(nASIG=B139)*(nAPTO="S"))),"—")</f>
        <v>—</v>
      </c>
      <c r="K139" t="str" cm="1">
        <f t="array" ref="K139">IFERROR(_xlfn.MODE.SNGL(_xlfn._xlws.FILTER(nNOTA,(nCUENTA=1)*(nCURSO=A139)*(nASIG=B139)*(nAPTO="N"))),"—")</f>
        <v>—</v>
      </c>
      <c r="L139">
        <f>SUMPRODUCT((nCUENTA=1)*(nCURSO=A139)*(nASIG=B139)*(nNOTA=1))</f>
        <v>0</v>
      </c>
      <c r="M139">
        <f>SUMPRODUCT((nCUENTA=1)*(nCURSO=A139)*(nASIG=B139)*(nNOTA=2))</f>
        <v>0</v>
      </c>
      <c r="N139">
        <f>SUMPRODUCT((nCUENTA=1)*(nCURSO=A139)*(nASIG=B139)*(nNOTA=3))</f>
        <v>0</v>
      </c>
      <c r="O139">
        <f>SUMPRODUCT((nCUENTA=1)*(nCURSO=A139)*(nASIG=B139)*(nNOTA=4))</f>
        <v>0</v>
      </c>
      <c r="P139">
        <f>SUMPRODUCT((nCUENTA=1)*(nCURSO=A139)*(nASIG=B139)*(nNOTA=5))</f>
        <v>0</v>
      </c>
      <c r="Q139">
        <f>SUMPRODUCT((nCUENTA=1)*(nCURSO=A139)*(nASIG=B139)*(nNOTA=6))</f>
        <v>0</v>
      </c>
      <c r="R139">
        <f>SUMPRODUCT((nCUENTA=1)*(nCURSO=A139)*(nASIG=B139)*(nNOTA=7))</f>
        <v>0</v>
      </c>
      <c r="S139">
        <f>SUMPRODUCT((nCUENTA=1)*(nCURSO=A139)*(nASIG=B139)*(nNOTA=8))</f>
        <v>0</v>
      </c>
      <c r="T139">
        <f>SUMPRODUCT((nCUENTA=1)*(nCURSO=A139)*(nASIG=B139)*(nNOTA=9))</f>
        <v>0</v>
      </c>
      <c r="U139">
        <f>SUMPRODUCT((nCUENTA=1)*(nCURSO=A139)*(nASIG=B139)*(nNOTA=10))</f>
        <v>0</v>
      </c>
    </row>
    <row r="140">
      <c r="A140" t="inlineStr">
        <is>
          <t xml:space="preserve">1EPM</t>
        </is>
      </c>
      <c r="B140" cm="1">
        <f t="array" ref="B140">IFERROR(INDEX(_xlfn._xlws.FILTER(CONFIG_ASIGNATURAS!$B$2:$B$91,(CONFIG_ASIGNATURAS!$G$2:$G$91="Sí")*ISNUMBER(SEARCH("1EPM",CONFIG_ASIGNATURAS!$C$2:$C$91))),57),"")</f>
      </c>
      <c r="C140">
        <f>IF(B140="","",IFERROR(VLOOKUP(B140,CONFIG_ASIGNATURAS!$B$2:$D$91,3,FALSE()),"Asignatura"))</f>
      </c>
      <c r="D140">
        <f>SUMPRODUCT((nCUENTA=1)*(nCURSO=A140)*(nASIG=B140))</f>
        <v>0</v>
      </c>
      <c r="E140" s="10" t="str">
        <f>IFERROR(SUMPRODUCT((nCUENTA=1)*(nCURSO=A140)*(nASIG=B140)*(nNOTA))/D140,"—")</f>
        <v>—</v>
      </c>
      <c r="F140" s="10" t="str" cm="1">
        <f t="array" ref="F140">IFERROR(_xlfn.STDEV.P(_xlfn._xlws.FILTER(nNOTA,(nCUENTA=1)*(nCURSO=A140)*(nASIG=B140))),"—")</f>
        <v>—</v>
      </c>
      <c r="G140" t="str" cm="1">
        <f t="array" ref="G140">IFERROR(_xlfn.MODE.SNGL(_xlfn._xlws.FILTER(nNOTA,(nCUENTA=1)*(nCURSO=A140)*(nASIG=B140))),"—")</f>
        <v>—</v>
      </c>
      <c r="H140" s="11" t="str">
        <f>IFERROR(SUMPRODUCT((nCUENTA=1)*(nCURSO=A140)*(nASIG=B140)*(nAPTO="S"))/D140,"—")</f>
        <v>—</v>
      </c>
      <c r="I140" s="11" t="str">
        <f>IFERROR(SUMPRODUCT((nCUENTA=1)*(nCURSO=A140)*(nASIG=B140)*(nAPTO="N"))/D140,"—")</f>
        <v>—</v>
      </c>
      <c r="J140" t="str" cm="1">
        <f t="array" ref="J140">IFERROR(_xlfn.MODE.SNGL(_xlfn._xlws.FILTER(nNOTA,(nCUENTA=1)*(nCURSO=A140)*(nASIG=B140)*(nAPTO="S"))),"—")</f>
        <v>—</v>
      </c>
      <c r="K140" t="str" cm="1">
        <f t="array" ref="K140">IFERROR(_xlfn.MODE.SNGL(_xlfn._xlws.FILTER(nNOTA,(nCUENTA=1)*(nCURSO=A140)*(nASIG=B140)*(nAPTO="N"))),"—")</f>
        <v>—</v>
      </c>
      <c r="L140">
        <f>SUMPRODUCT((nCUENTA=1)*(nCURSO=A140)*(nASIG=B140)*(nNOTA=1))</f>
        <v>0</v>
      </c>
      <c r="M140">
        <f>SUMPRODUCT((nCUENTA=1)*(nCURSO=A140)*(nASIG=B140)*(nNOTA=2))</f>
        <v>0</v>
      </c>
      <c r="N140">
        <f>SUMPRODUCT((nCUENTA=1)*(nCURSO=A140)*(nASIG=B140)*(nNOTA=3))</f>
        <v>0</v>
      </c>
      <c r="O140">
        <f>SUMPRODUCT((nCUENTA=1)*(nCURSO=A140)*(nASIG=B140)*(nNOTA=4))</f>
        <v>0</v>
      </c>
      <c r="P140">
        <f>SUMPRODUCT((nCUENTA=1)*(nCURSO=A140)*(nASIG=B140)*(nNOTA=5))</f>
        <v>0</v>
      </c>
      <c r="Q140">
        <f>SUMPRODUCT((nCUENTA=1)*(nCURSO=A140)*(nASIG=B140)*(nNOTA=6))</f>
        <v>0</v>
      </c>
      <c r="R140">
        <f>SUMPRODUCT((nCUENTA=1)*(nCURSO=A140)*(nASIG=B140)*(nNOTA=7))</f>
        <v>0</v>
      </c>
      <c r="S140">
        <f>SUMPRODUCT((nCUENTA=1)*(nCURSO=A140)*(nASIG=B140)*(nNOTA=8))</f>
        <v>0</v>
      </c>
      <c r="T140">
        <f>SUMPRODUCT((nCUENTA=1)*(nCURSO=A140)*(nASIG=B140)*(nNOTA=9))</f>
        <v>0</v>
      </c>
      <c r="U140">
        <f>SUMPRODUCT((nCUENTA=1)*(nCURSO=A140)*(nASIG=B140)*(nNOTA=10))</f>
        <v>0</v>
      </c>
    </row>
    <row r="141">
      <c r="A141" t="inlineStr">
        <is>
          <t xml:space="preserve">1EPM</t>
        </is>
      </c>
      <c r="B141" cm="1">
        <f t="array" ref="B141">IFERROR(INDEX(_xlfn._xlws.FILTER(CONFIG_ASIGNATURAS!$B$2:$B$91,(CONFIG_ASIGNATURAS!$G$2:$G$91="Sí")*ISNUMBER(SEARCH("1EPM",CONFIG_ASIGNATURAS!$C$2:$C$91))),58),"")</f>
      </c>
      <c r="C141">
        <f>IF(B141="","",IFERROR(VLOOKUP(B141,CONFIG_ASIGNATURAS!$B$2:$D$91,3,FALSE()),"Asignatura"))</f>
      </c>
      <c r="D141">
        <f>SUMPRODUCT((nCUENTA=1)*(nCURSO=A141)*(nASIG=B141))</f>
        <v>0</v>
      </c>
      <c r="E141" s="10" t="str">
        <f>IFERROR(SUMPRODUCT((nCUENTA=1)*(nCURSO=A141)*(nASIG=B141)*(nNOTA))/D141,"—")</f>
        <v>—</v>
      </c>
      <c r="F141" s="10" t="str" cm="1">
        <f t="array" ref="F141">IFERROR(_xlfn.STDEV.P(_xlfn._xlws.FILTER(nNOTA,(nCUENTA=1)*(nCURSO=A141)*(nASIG=B141))),"—")</f>
        <v>—</v>
      </c>
      <c r="G141" t="str" cm="1">
        <f t="array" ref="G141">IFERROR(_xlfn.MODE.SNGL(_xlfn._xlws.FILTER(nNOTA,(nCUENTA=1)*(nCURSO=A141)*(nASIG=B141))),"—")</f>
        <v>—</v>
      </c>
      <c r="H141" s="11" t="str">
        <f>IFERROR(SUMPRODUCT((nCUENTA=1)*(nCURSO=A141)*(nASIG=B141)*(nAPTO="S"))/D141,"—")</f>
        <v>—</v>
      </c>
      <c r="I141" s="11" t="str">
        <f>IFERROR(SUMPRODUCT((nCUENTA=1)*(nCURSO=A141)*(nASIG=B141)*(nAPTO="N"))/D141,"—")</f>
        <v>—</v>
      </c>
      <c r="J141" t="str" cm="1">
        <f t="array" ref="J141">IFERROR(_xlfn.MODE.SNGL(_xlfn._xlws.FILTER(nNOTA,(nCUENTA=1)*(nCURSO=A141)*(nASIG=B141)*(nAPTO="S"))),"—")</f>
        <v>—</v>
      </c>
      <c r="K141" t="str" cm="1">
        <f t="array" ref="K141">IFERROR(_xlfn.MODE.SNGL(_xlfn._xlws.FILTER(nNOTA,(nCUENTA=1)*(nCURSO=A141)*(nASIG=B141)*(nAPTO="N"))),"—")</f>
        <v>—</v>
      </c>
      <c r="L141">
        <f>SUMPRODUCT((nCUENTA=1)*(nCURSO=A141)*(nASIG=B141)*(nNOTA=1))</f>
        <v>0</v>
      </c>
      <c r="M141">
        <f>SUMPRODUCT((nCUENTA=1)*(nCURSO=A141)*(nASIG=B141)*(nNOTA=2))</f>
        <v>0</v>
      </c>
      <c r="N141">
        <f>SUMPRODUCT((nCUENTA=1)*(nCURSO=A141)*(nASIG=B141)*(nNOTA=3))</f>
        <v>0</v>
      </c>
      <c r="O141">
        <f>SUMPRODUCT((nCUENTA=1)*(nCURSO=A141)*(nASIG=B141)*(nNOTA=4))</f>
        <v>0</v>
      </c>
      <c r="P141">
        <f>SUMPRODUCT((nCUENTA=1)*(nCURSO=A141)*(nASIG=B141)*(nNOTA=5))</f>
        <v>0</v>
      </c>
      <c r="Q141">
        <f>SUMPRODUCT((nCUENTA=1)*(nCURSO=A141)*(nASIG=B141)*(nNOTA=6))</f>
        <v>0</v>
      </c>
      <c r="R141">
        <f>SUMPRODUCT((nCUENTA=1)*(nCURSO=A141)*(nASIG=B141)*(nNOTA=7))</f>
        <v>0</v>
      </c>
      <c r="S141">
        <f>SUMPRODUCT((nCUENTA=1)*(nCURSO=A141)*(nASIG=B141)*(nNOTA=8))</f>
        <v>0</v>
      </c>
      <c r="T141">
        <f>SUMPRODUCT((nCUENTA=1)*(nCURSO=A141)*(nASIG=B141)*(nNOTA=9))</f>
        <v>0</v>
      </c>
      <c r="U141">
        <f>SUMPRODUCT((nCUENTA=1)*(nCURSO=A141)*(nASIG=B141)*(nNOTA=10))</f>
        <v>0</v>
      </c>
    </row>
    <row r="142">
      <c r="A142" t="inlineStr">
        <is>
          <t xml:space="preserve">1EPM</t>
        </is>
      </c>
      <c r="B142" cm="1">
        <f t="array" ref="B142">IFERROR(INDEX(_xlfn._xlws.FILTER(CONFIG_ASIGNATURAS!$B$2:$B$91,(CONFIG_ASIGNATURAS!$G$2:$G$91="Sí")*ISNUMBER(SEARCH("1EPM",CONFIG_ASIGNATURAS!$C$2:$C$91))),59),"")</f>
      </c>
      <c r="C142">
        <f>IF(B142="","",IFERROR(VLOOKUP(B142,CONFIG_ASIGNATURAS!$B$2:$D$91,3,FALSE()),"Asignatura"))</f>
      </c>
      <c r="D142">
        <f>SUMPRODUCT((nCUENTA=1)*(nCURSO=A142)*(nASIG=B142))</f>
        <v>0</v>
      </c>
      <c r="E142" s="10" t="str">
        <f>IFERROR(SUMPRODUCT((nCUENTA=1)*(nCURSO=A142)*(nASIG=B142)*(nNOTA))/D142,"—")</f>
        <v>—</v>
      </c>
      <c r="F142" s="10" t="str" cm="1">
        <f t="array" ref="F142">IFERROR(_xlfn.STDEV.P(_xlfn._xlws.FILTER(nNOTA,(nCUENTA=1)*(nCURSO=A142)*(nASIG=B142))),"—")</f>
        <v>—</v>
      </c>
      <c r="G142" t="str" cm="1">
        <f t="array" ref="G142">IFERROR(_xlfn.MODE.SNGL(_xlfn._xlws.FILTER(nNOTA,(nCUENTA=1)*(nCURSO=A142)*(nASIG=B142))),"—")</f>
        <v>—</v>
      </c>
      <c r="H142" s="11" t="str">
        <f>IFERROR(SUMPRODUCT((nCUENTA=1)*(nCURSO=A142)*(nASIG=B142)*(nAPTO="S"))/D142,"—")</f>
        <v>—</v>
      </c>
      <c r="I142" s="11" t="str">
        <f>IFERROR(SUMPRODUCT((nCUENTA=1)*(nCURSO=A142)*(nASIG=B142)*(nAPTO="N"))/D142,"—")</f>
        <v>—</v>
      </c>
      <c r="J142" t="str" cm="1">
        <f t="array" ref="J142">IFERROR(_xlfn.MODE.SNGL(_xlfn._xlws.FILTER(nNOTA,(nCUENTA=1)*(nCURSO=A142)*(nASIG=B142)*(nAPTO="S"))),"—")</f>
        <v>—</v>
      </c>
      <c r="K142" t="str" cm="1">
        <f t="array" ref="K142">IFERROR(_xlfn.MODE.SNGL(_xlfn._xlws.FILTER(nNOTA,(nCUENTA=1)*(nCURSO=A142)*(nASIG=B142)*(nAPTO="N"))),"—")</f>
        <v>—</v>
      </c>
      <c r="L142">
        <f>SUMPRODUCT((nCUENTA=1)*(nCURSO=A142)*(nASIG=B142)*(nNOTA=1))</f>
        <v>0</v>
      </c>
      <c r="M142">
        <f>SUMPRODUCT((nCUENTA=1)*(nCURSO=A142)*(nASIG=B142)*(nNOTA=2))</f>
        <v>0</v>
      </c>
      <c r="N142">
        <f>SUMPRODUCT((nCUENTA=1)*(nCURSO=A142)*(nASIG=B142)*(nNOTA=3))</f>
        <v>0</v>
      </c>
      <c r="O142">
        <f>SUMPRODUCT((nCUENTA=1)*(nCURSO=A142)*(nASIG=B142)*(nNOTA=4))</f>
        <v>0</v>
      </c>
      <c r="P142">
        <f>SUMPRODUCT((nCUENTA=1)*(nCURSO=A142)*(nASIG=B142)*(nNOTA=5))</f>
        <v>0</v>
      </c>
      <c r="Q142">
        <f>SUMPRODUCT((nCUENTA=1)*(nCURSO=A142)*(nASIG=B142)*(nNOTA=6))</f>
        <v>0</v>
      </c>
      <c r="R142">
        <f>SUMPRODUCT((nCUENTA=1)*(nCURSO=A142)*(nASIG=B142)*(nNOTA=7))</f>
        <v>0</v>
      </c>
      <c r="S142">
        <f>SUMPRODUCT((nCUENTA=1)*(nCURSO=A142)*(nASIG=B142)*(nNOTA=8))</f>
        <v>0</v>
      </c>
      <c r="T142">
        <f>SUMPRODUCT((nCUENTA=1)*(nCURSO=A142)*(nASIG=B142)*(nNOTA=9))</f>
        <v>0</v>
      </c>
      <c r="U142">
        <f>SUMPRODUCT((nCUENTA=1)*(nCURSO=A142)*(nASIG=B142)*(nNOTA=10))</f>
        <v>0</v>
      </c>
    </row>
    <row r="143">
      <c r="A143" t="inlineStr">
        <is>
          <t xml:space="preserve">1EPM</t>
        </is>
      </c>
      <c r="B143" cm="1">
        <f t="array" ref="B143">IFERROR(INDEX(_xlfn._xlws.FILTER(CONFIG_ASIGNATURAS!$B$2:$B$91,(CONFIG_ASIGNATURAS!$G$2:$G$91="Sí")*ISNUMBER(SEARCH("1EPM",CONFIG_ASIGNATURAS!$C$2:$C$91))),60),"")</f>
      </c>
      <c r="C143">
        <f>IF(B143="","",IFERROR(VLOOKUP(B143,CONFIG_ASIGNATURAS!$B$2:$D$91,3,FALSE()),"Asignatura"))</f>
      </c>
      <c r="D143">
        <f>SUMPRODUCT((nCUENTA=1)*(nCURSO=A143)*(nASIG=B143))</f>
        <v>0</v>
      </c>
      <c r="E143" s="10" t="str">
        <f>IFERROR(SUMPRODUCT((nCUENTA=1)*(nCURSO=A143)*(nASIG=B143)*(nNOTA))/D143,"—")</f>
        <v>—</v>
      </c>
      <c r="F143" s="10" t="str" cm="1">
        <f t="array" ref="F143">IFERROR(_xlfn.STDEV.P(_xlfn._xlws.FILTER(nNOTA,(nCUENTA=1)*(nCURSO=A143)*(nASIG=B143))),"—")</f>
        <v>—</v>
      </c>
      <c r="G143" t="str" cm="1">
        <f t="array" ref="G143">IFERROR(_xlfn.MODE.SNGL(_xlfn._xlws.FILTER(nNOTA,(nCUENTA=1)*(nCURSO=A143)*(nASIG=B143))),"—")</f>
        <v>—</v>
      </c>
      <c r="H143" s="11" t="str">
        <f>IFERROR(SUMPRODUCT((nCUENTA=1)*(nCURSO=A143)*(nASIG=B143)*(nAPTO="S"))/D143,"—")</f>
        <v>—</v>
      </c>
      <c r="I143" s="11" t="str">
        <f>IFERROR(SUMPRODUCT((nCUENTA=1)*(nCURSO=A143)*(nASIG=B143)*(nAPTO="N"))/D143,"—")</f>
        <v>—</v>
      </c>
      <c r="J143" t="str" cm="1">
        <f t="array" ref="J143">IFERROR(_xlfn.MODE.SNGL(_xlfn._xlws.FILTER(nNOTA,(nCUENTA=1)*(nCURSO=A143)*(nASIG=B143)*(nAPTO="S"))),"—")</f>
        <v>—</v>
      </c>
      <c r="K143" t="str" cm="1">
        <f t="array" ref="K143">IFERROR(_xlfn.MODE.SNGL(_xlfn._xlws.FILTER(nNOTA,(nCUENTA=1)*(nCURSO=A143)*(nASIG=B143)*(nAPTO="N"))),"—")</f>
        <v>—</v>
      </c>
      <c r="L143">
        <f>SUMPRODUCT((nCUENTA=1)*(nCURSO=A143)*(nASIG=B143)*(nNOTA=1))</f>
        <v>0</v>
      </c>
      <c r="M143">
        <f>SUMPRODUCT((nCUENTA=1)*(nCURSO=A143)*(nASIG=B143)*(nNOTA=2))</f>
        <v>0</v>
      </c>
      <c r="N143">
        <f>SUMPRODUCT((nCUENTA=1)*(nCURSO=A143)*(nASIG=B143)*(nNOTA=3))</f>
        <v>0</v>
      </c>
      <c r="O143">
        <f>SUMPRODUCT((nCUENTA=1)*(nCURSO=A143)*(nASIG=B143)*(nNOTA=4))</f>
        <v>0</v>
      </c>
      <c r="P143">
        <f>SUMPRODUCT((nCUENTA=1)*(nCURSO=A143)*(nASIG=B143)*(nNOTA=5))</f>
        <v>0</v>
      </c>
      <c r="Q143">
        <f>SUMPRODUCT((nCUENTA=1)*(nCURSO=A143)*(nASIG=B143)*(nNOTA=6))</f>
        <v>0</v>
      </c>
      <c r="R143">
        <f>SUMPRODUCT((nCUENTA=1)*(nCURSO=A143)*(nASIG=B143)*(nNOTA=7))</f>
        <v>0</v>
      </c>
      <c r="S143">
        <f>SUMPRODUCT((nCUENTA=1)*(nCURSO=A143)*(nASIG=B143)*(nNOTA=8))</f>
        <v>0</v>
      </c>
      <c r="T143">
        <f>SUMPRODUCT((nCUENTA=1)*(nCURSO=A143)*(nASIG=B143)*(nNOTA=9))</f>
        <v>0</v>
      </c>
      <c r="U143">
        <f>SUMPRODUCT((nCUENTA=1)*(nCURSO=A143)*(nASIG=B143)*(nNOTA=10))</f>
        <v>0</v>
      </c>
    </row>
    <row r="144">
      <c r="A144" t="inlineStr">
        <is>
          <t xml:space="preserve">2EPM</t>
        </is>
      </c>
      <c r="B144" cm="1">
        <f t="array" ref="B144">IFERROR(INDEX(_xlfn._xlws.FILTER(CONFIG_ASIGNATURAS!$B$2:$B$91,(CONFIG_ASIGNATURAS!$G$2:$G$91="Sí")*ISNUMBER(SEARCH("2EPM",CONFIG_ASIGNATURAS!$C$2:$C$91))),1),"")</f>
      </c>
      <c r="C144">
        <f>IF(B144="","",IFERROR(VLOOKUP(B144,CONFIG_ASIGNATURAS!$B$2:$D$91,3,FALSE()),"Asignatura"))</f>
      </c>
      <c r="D144">
        <f>SUMPRODUCT((nCUENTA=1)*(nCURSO=A144)*(nASIG=B144))</f>
        <v>0</v>
      </c>
      <c r="E144" s="10" t="str">
        <f>IFERROR(SUMPRODUCT((nCUENTA=1)*(nCURSO=A144)*(nASIG=B144)*(nNOTA))/D144,"—")</f>
        <v>—</v>
      </c>
      <c r="F144" s="10" t="str" cm="1">
        <f t="array" ref="F144">IFERROR(_xlfn.STDEV.P(_xlfn._xlws.FILTER(nNOTA,(nCUENTA=1)*(nCURSO=A144)*(nASIG=B144))),"—")</f>
        <v>—</v>
      </c>
      <c r="G144" t="str" cm="1">
        <f t="array" ref="G144">IFERROR(_xlfn.MODE.SNGL(_xlfn._xlws.FILTER(nNOTA,(nCUENTA=1)*(nCURSO=A144)*(nASIG=B144))),"—")</f>
        <v>—</v>
      </c>
      <c r="H144" s="11" t="str">
        <f>IFERROR(SUMPRODUCT((nCUENTA=1)*(nCURSO=A144)*(nASIG=B144)*(nAPTO="S"))/D144,"—")</f>
        <v>—</v>
      </c>
      <c r="I144" s="11" t="str">
        <f>IFERROR(SUMPRODUCT((nCUENTA=1)*(nCURSO=A144)*(nASIG=B144)*(nAPTO="N"))/D144,"—")</f>
        <v>—</v>
      </c>
      <c r="J144" t="str" cm="1">
        <f t="array" ref="J144">IFERROR(_xlfn.MODE.SNGL(_xlfn._xlws.FILTER(nNOTA,(nCUENTA=1)*(nCURSO=A144)*(nASIG=B144)*(nAPTO="S"))),"—")</f>
        <v>—</v>
      </c>
      <c r="K144" t="str" cm="1">
        <f t="array" ref="K144">IFERROR(_xlfn.MODE.SNGL(_xlfn._xlws.FILTER(nNOTA,(nCUENTA=1)*(nCURSO=A144)*(nASIG=B144)*(nAPTO="N"))),"—")</f>
        <v>—</v>
      </c>
      <c r="L144">
        <f>SUMPRODUCT((nCUENTA=1)*(nCURSO=A144)*(nASIG=B144)*(nNOTA=1))</f>
        <v>0</v>
      </c>
      <c r="M144">
        <f>SUMPRODUCT((nCUENTA=1)*(nCURSO=A144)*(nASIG=B144)*(nNOTA=2))</f>
        <v>0</v>
      </c>
      <c r="N144">
        <f>SUMPRODUCT((nCUENTA=1)*(nCURSO=A144)*(nASIG=B144)*(nNOTA=3))</f>
        <v>0</v>
      </c>
      <c r="O144">
        <f>SUMPRODUCT((nCUENTA=1)*(nCURSO=A144)*(nASIG=B144)*(nNOTA=4))</f>
        <v>0</v>
      </c>
      <c r="P144">
        <f>SUMPRODUCT((nCUENTA=1)*(nCURSO=A144)*(nASIG=B144)*(nNOTA=5))</f>
        <v>0</v>
      </c>
      <c r="Q144">
        <f>SUMPRODUCT((nCUENTA=1)*(nCURSO=A144)*(nASIG=B144)*(nNOTA=6))</f>
        <v>0</v>
      </c>
      <c r="R144">
        <f>SUMPRODUCT((nCUENTA=1)*(nCURSO=A144)*(nASIG=B144)*(nNOTA=7))</f>
        <v>0</v>
      </c>
      <c r="S144">
        <f>SUMPRODUCT((nCUENTA=1)*(nCURSO=A144)*(nASIG=B144)*(nNOTA=8))</f>
        <v>0</v>
      </c>
      <c r="T144">
        <f>SUMPRODUCT((nCUENTA=1)*(nCURSO=A144)*(nASIG=B144)*(nNOTA=9))</f>
        <v>0</v>
      </c>
      <c r="U144">
        <f>SUMPRODUCT((nCUENTA=1)*(nCURSO=A144)*(nASIG=B144)*(nNOTA=10))</f>
        <v>0</v>
      </c>
    </row>
    <row r="145">
      <c r="A145" t="inlineStr">
        <is>
          <t xml:space="preserve">2EPM</t>
        </is>
      </c>
      <c r="B145" cm="1">
        <f t="array" ref="B145">IFERROR(INDEX(_xlfn._xlws.FILTER(CONFIG_ASIGNATURAS!$B$2:$B$91,(CONFIG_ASIGNATURAS!$G$2:$G$91="Sí")*ISNUMBER(SEARCH("2EPM",CONFIG_ASIGNATURAS!$C$2:$C$91))),2),"")</f>
      </c>
      <c r="C145">
        <f>IF(B145="","",IFERROR(VLOOKUP(B145,CONFIG_ASIGNATURAS!$B$2:$D$91,3,FALSE()),"Asignatura"))</f>
      </c>
      <c r="D145">
        <f>SUMPRODUCT((nCUENTA=1)*(nCURSO=A145)*(nASIG=B145))</f>
        <v>0</v>
      </c>
      <c r="E145" s="10" t="str">
        <f>IFERROR(SUMPRODUCT((nCUENTA=1)*(nCURSO=A145)*(nASIG=B145)*(nNOTA))/D145,"—")</f>
        <v>—</v>
      </c>
      <c r="F145" s="10" t="str" cm="1">
        <f t="array" ref="F145">IFERROR(_xlfn.STDEV.P(_xlfn._xlws.FILTER(nNOTA,(nCUENTA=1)*(nCURSO=A145)*(nASIG=B145))),"—")</f>
        <v>—</v>
      </c>
      <c r="G145" t="str" cm="1">
        <f t="array" ref="G145">IFERROR(_xlfn.MODE.SNGL(_xlfn._xlws.FILTER(nNOTA,(nCUENTA=1)*(nCURSO=A145)*(nASIG=B145))),"—")</f>
        <v>—</v>
      </c>
      <c r="H145" s="11" t="str">
        <f>IFERROR(SUMPRODUCT((nCUENTA=1)*(nCURSO=A145)*(nASIG=B145)*(nAPTO="S"))/D145,"—")</f>
        <v>—</v>
      </c>
      <c r="I145" s="11" t="str">
        <f>IFERROR(SUMPRODUCT((nCUENTA=1)*(nCURSO=A145)*(nASIG=B145)*(nAPTO="N"))/D145,"—")</f>
        <v>—</v>
      </c>
      <c r="J145" t="str" cm="1">
        <f t="array" ref="J145">IFERROR(_xlfn.MODE.SNGL(_xlfn._xlws.FILTER(nNOTA,(nCUENTA=1)*(nCURSO=A145)*(nASIG=B145)*(nAPTO="S"))),"—")</f>
        <v>—</v>
      </c>
      <c r="K145" t="str" cm="1">
        <f t="array" ref="K145">IFERROR(_xlfn.MODE.SNGL(_xlfn._xlws.FILTER(nNOTA,(nCUENTA=1)*(nCURSO=A145)*(nASIG=B145)*(nAPTO="N"))),"—")</f>
        <v>—</v>
      </c>
      <c r="L145">
        <f>SUMPRODUCT((nCUENTA=1)*(nCURSO=A145)*(nASIG=B145)*(nNOTA=1))</f>
        <v>0</v>
      </c>
      <c r="M145">
        <f>SUMPRODUCT((nCUENTA=1)*(nCURSO=A145)*(nASIG=B145)*(nNOTA=2))</f>
        <v>0</v>
      </c>
      <c r="N145">
        <f>SUMPRODUCT((nCUENTA=1)*(nCURSO=A145)*(nASIG=B145)*(nNOTA=3))</f>
        <v>0</v>
      </c>
      <c r="O145">
        <f>SUMPRODUCT((nCUENTA=1)*(nCURSO=A145)*(nASIG=B145)*(nNOTA=4))</f>
        <v>0</v>
      </c>
      <c r="P145">
        <f>SUMPRODUCT((nCUENTA=1)*(nCURSO=A145)*(nASIG=B145)*(nNOTA=5))</f>
        <v>0</v>
      </c>
      <c r="Q145">
        <f>SUMPRODUCT((nCUENTA=1)*(nCURSO=A145)*(nASIG=B145)*(nNOTA=6))</f>
        <v>0</v>
      </c>
      <c r="R145">
        <f>SUMPRODUCT((nCUENTA=1)*(nCURSO=A145)*(nASIG=B145)*(nNOTA=7))</f>
        <v>0</v>
      </c>
      <c r="S145">
        <f>SUMPRODUCT((nCUENTA=1)*(nCURSO=A145)*(nASIG=B145)*(nNOTA=8))</f>
        <v>0</v>
      </c>
      <c r="T145">
        <f>SUMPRODUCT((nCUENTA=1)*(nCURSO=A145)*(nASIG=B145)*(nNOTA=9))</f>
        <v>0</v>
      </c>
      <c r="U145">
        <f>SUMPRODUCT((nCUENTA=1)*(nCURSO=A145)*(nASIG=B145)*(nNOTA=10))</f>
        <v>0</v>
      </c>
    </row>
    <row r="146">
      <c r="A146" t="inlineStr">
        <is>
          <t xml:space="preserve">2EPM</t>
        </is>
      </c>
      <c r="B146" cm="1">
        <f t="array" ref="B146">IFERROR(INDEX(_xlfn._xlws.FILTER(CONFIG_ASIGNATURAS!$B$2:$B$91,(CONFIG_ASIGNATURAS!$G$2:$G$91="Sí")*ISNUMBER(SEARCH("2EPM",CONFIG_ASIGNATURAS!$C$2:$C$91))),3),"")</f>
      </c>
      <c r="C146">
        <f>IF(B146="","",IFERROR(VLOOKUP(B146,CONFIG_ASIGNATURAS!$B$2:$D$91,3,FALSE()),"Asignatura"))</f>
      </c>
      <c r="D146">
        <f>SUMPRODUCT((nCUENTA=1)*(nCURSO=A146)*(nASIG=B146))</f>
        <v>0</v>
      </c>
      <c r="E146" s="10" t="str">
        <f>IFERROR(SUMPRODUCT((nCUENTA=1)*(nCURSO=A146)*(nASIG=B146)*(nNOTA))/D146,"—")</f>
        <v>—</v>
      </c>
      <c r="F146" s="10" t="str" cm="1">
        <f t="array" ref="F146">IFERROR(_xlfn.STDEV.P(_xlfn._xlws.FILTER(nNOTA,(nCUENTA=1)*(nCURSO=A146)*(nASIG=B146))),"—")</f>
        <v>—</v>
      </c>
      <c r="G146" t="str" cm="1">
        <f t="array" ref="G146">IFERROR(_xlfn.MODE.SNGL(_xlfn._xlws.FILTER(nNOTA,(nCUENTA=1)*(nCURSO=A146)*(nASIG=B146))),"—")</f>
        <v>—</v>
      </c>
      <c r="H146" s="11" t="str">
        <f>IFERROR(SUMPRODUCT((nCUENTA=1)*(nCURSO=A146)*(nASIG=B146)*(nAPTO="S"))/D146,"—")</f>
        <v>—</v>
      </c>
      <c r="I146" s="11" t="str">
        <f>IFERROR(SUMPRODUCT((nCUENTA=1)*(nCURSO=A146)*(nASIG=B146)*(nAPTO="N"))/D146,"—")</f>
        <v>—</v>
      </c>
      <c r="J146" t="str" cm="1">
        <f t="array" ref="J146">IFERROR(_xlfn.MODE.SNGL(_xlfn._xlws.FILTER(nNOTA,(nCUENTA=1)*(nCURSO=A146)*(nASIG=B146)*(nAPTO="S"))),"—")</f>
        <v>—</v>
      </c>
      <c r="K146" t="str" cm="1">
        <f t="array" ref="K146">IFERROR(_xlfn.MODE.SNGL(_xlfn._xlws.FILTER(nNOTA,(nCUENTA=1)*(nCURSO=A146)*(nASIG=B146)*(nAPTO="N"))),"—")</f>
        <v>—</v>
      </c>
      <c r="L146">
        <f>SUMPRODUCT((nCUENTA=1)*(nCURSO=A146)*(nASIG=B146)*(nNOTA=1))</f>
        <v>0</v>
      </c>
      <c r="M146">
        <f>SUMPRODUCT((nCUENTA=1)*(nCURSO=A146)*(nASIG=B146)*(nNOTA=2))</f>
        <v>0</v>
      </c>
      <c r="N146">
        <f>SUMPRODUCT((nCUENTA=1)*(nCURSO=A146)*(nASIG=B146)*(nNOTA=3))</f>
        <v>0</v>
      </c>
      <c r="O146">
        <f>SUMPRODUCT((nCUENTA=1)*(nCURSO=A146)*(nASIG=B146)*(nNOTA=4))</f>
        <v>0</v>
      </c>
      <c r="P146">
        <f>SUMPRODUCT((nCUENTA=1)*(nCURSO=A146)*(nASIG=B146)*(nNOTA=5))</f>
        <v>0</v>
      </c>
      <c r="Q146">
        <f>SUMPRODUCT((nCUENTA=1)*(nCURSO=A146)*(nASIG=B146)*(nNOTA=6))</f>
        <v>0</v>
      </c>
      <c r="R146">
        <f>SUMPRODUCT((nCUENTA=1)*(nCURSO=A146)*(nASIG=B146)*(nNOTA=7))</f>
        <v>0</v>
      </c>
      <c r="S146">
        <f>SUMPRODUCT((nCUENTA=1)*(nCURSO=A146)*(nASIG=B146)*(nNOTA=8))</f>
        <v>0</v>
      </c>
      <c r="T146">
        <f>SUMPRODUCT((nCUENTA=1)*(nCURSO=A146)*(nASIG=B146)*(nNOTA=9))</f>
        <v>0</v>
      </c>
      <c r="U146">
        <f>SUMPRODUCT((nCUENTA=1)*(nCURSO=A146)*(nASIG=B146)*(nNOTA=10))</f>
        <v>0</v>
      </c>
    </row>
    <row r="147">
      <c r="A147" t="inlineStr">
        <is>
          <t xml:space="preserve">2EPM</t>
        </is>
      </c>
      <c r="B147" cm="1">
        <f t="array" ref="B147">IFERROR(INDEX(_xlfn._xlws.FILTER(CONFIG_ASIGNATURAS!$B$2:$B$91,(CONFIG_ASIGNATURAS!$G$2:$G$91="Sí")*ISNUMBER(SEARCH("2EPM",CONFIG_ASIGNATURAS!$C$2:$C$91))),4),"")</f>
      </c>
      <c r="C147">
        <f>IF(B147="","",IFERROR(VLOOKUP(B147,CONFIG_ASIGNATURAS!$B$2:$D$91,3,FALSE()),"Asignatura"))</f>
      </c>
      <c r="D147">
        <f>SUMPRODUCT((nCUENTA=1)*(nCURSO=A147)*(nASIG=B147))</f>
        <v>0</v>
      </c>
      <c r="E147" s="10" t="str">
        <f>IFERROR(SUMPRODUCT((nCUENTA=1)*(nCURSO=A147)*(nASIG=B147)*(nNOTA))/D147,"—")</f>
        <v>—</v>
      </c>
      <c r="F147" s="10" t="str" cm="1">
        <f t="array" ref="F147">IFERROR(_xlfn.STDEV.P(_xlfn._xlws.FILTER(nNOTA,(nCUENTA=1)*(nCURSO=A147)*(nASIG=B147))),"—")</f>
        <v>—</v>
      </c>
      <c r="G147" t="str" cm="1">
        <f t="array" ref="G147">IFERROR(_xlfn.MODE.SNGL(_xlfn._xlws.FILTER(nNOTA,(nCUENTA=1)*(nCURSO=A147)*(nASIG=B147))),"—")</f>
        <v>—</v>
      </c>
      <c r="H147" s="11" t="str">
        <f>IFERROR(SUMPRODUCT((nCUENTA=1)*(nCURSO=A147)*(nASIG=B147)*(nAPTO="S"))/D147,"—")</f>
        <v>—</v>
      </c>
      <c r="I147" s="11" t="str">
        <f>IFERROR(SUMPRODUCT((nCUENTA=1)*(nCURSO=A147)*(nASIG=B147)*(nAPTO="N"))/D147,"—")</f>
        <v>—</v>
      </c>
      <c r="J147" t="str" cm="1">
        <f t="array" ref="J147">IFERROR(_xlfn.MODE.SNGL(_xlfn._xlws.FILTER(nNOTA,(nCUENTA=1)*(nCURSO=A147)*(nASIG=B147)*(nAPTO="S"))),"—")</f>
        <v>—</v>
      </c>
      <c r="K147" t="str" cm="1">
        <f t="array" ref="K147">IFERROR(_xlfn.MODE.SNGL(_xlfn._xlws.FILTER(nNOTA,(nCUENTA=1)*(nCURSO=A147)*(nASIG=B147)*(nAPTO="N"))),"—")</f>
        <v>—</v>
      </c>
      <c r="L147">
        <f>SUMPRODUCT((nCUENTA=1)*(nCURSO=A147)*(nASIG=B147)*(nNOTA=1))</f>
        <v>0</v>
      </c>
      <c r="M147">
        <f>SUMPRODUCT((nCUENTA=1)*(nCURSO=A147)*(nASIG=B147)*(nNOTA=2))</f>
        <v>0</v>
      </c>
      <c r="N147">
        <f>SUMPRODUCT((nCUENTA=1)*(nCURSO=A147)*(nASIG=B147)*(nNOTA=3))</f>
        <v>0</v>
      </c>
      <c r="O147">
        <f>SUMPRODUCT((nCUENTA=1)*(nCURSO=A147)*(nASIG=B147)*(nNOTA=4))</f>
        <v>0</v>
      </c>
      <c r="P147">
        <f>SUMPRODUCT((nCUENTA=1)*(nCURSO=A147)*(nASIG=B147)*(nNOTA=5))</f>
        <v>0</v>
      </c>
      <c r="Q147">
        <f>SUMPRODUCT((nCUENTA=1)*(nCURSO=A147)*(nASIG=B147)*(nNOTA=6))</f>
        <v>0</v>
      </c>
      <c r="R147">
        <f>SUMPRODUCT((nCUENTA=1)*(nCURSO=A147)*(nASIG=B147)*(nNOTA=7))</f>
        <v>0</v>
      </c>
      <c r="S147">
        <f>SUMPRODUCT((nCUENTA=1)*(nCURSO=A147)*(nASIG=B147)*(nNOTA=8))</f>
        <v>0</v>
      </c>
      <c r="T147">
        <f>SUMPRODUCT((nCUENTA=1)*(nCURSO=A147)*(nASIG=B147)*(nNOTA=9))</f>
        <v>0</v>
      </c>
      <c r="U147">
        <f>SUMPRODUCT((nCUENTA=1)*(nCURSO=A147)*(nASIG=B147)*(nNOTA=10))</f>
        <v>0</v>
      </c>
    </row>
    <row r="148">
      <c r="A148" t="inlineStr">
        <is>
          <t xml:space="preserve">2EPM</t>
        </is>
      </c>
      <c r="B148" cm="1">
        <f t="array" ref="B148">IFERROR(INDEX(_xlfn._xlws.FILTER(CONFIG_ASIGNATURAS!$B$2:$B$91,(CONFIG_ASIGNATURAS!$G$2:$G$91="Sí")*ISNUMBER(SEARCH("2EPM",CONFIG_ASIGNATURAS!$C$2:$C$91))),5),"")</f>
      </c>
      <c r="C148">
        <f>IF(B148="","",IFERROR(VLOOKUP(B148,CONFIG_ASIGNATURAS!$B$2:$D$91,3,FALSE()),"Asignatura"))</f>
      </c>
      <c r="D148">
        <f>SUMPRODUCT((nCUENTA=1)*(nCURSO=A148)*(nASIG=B148))</f>
        <v>0</v>
      </c>
      <c r="E148" s="10" t="str">
        <f>IFERROR(SUMPRODUCT((nCUENTA=1)*(nCURSO=A148)*(nASIG=B148)*(nNOTA))/D148,"—")</f>
        <v>—</v>
      </c>
      <c r="F148" s="10" t="str" cm="1">
        <f t="array" ref="F148">IFERROR(_xlfn.STDEV.P(_xlfn._xlws.FILTER(nNOTA,(nCUENTA=1)*(nCURSO=A148)*(nASIG=B148))),"—")</f>
        <v>—</v>
      </c>
      <c r="G148" t="str" cm="1">
        <f t="array" ref="G148">IFERROR(_xlfn.MODE.SNGL(_xlfn._xlws.FILTER(nNOTA,(nCUENTA=1)*(nCURSO=A148)*(nASIG=B148))),"—")</f>
        <v>—</v>
      </c>
      <c r="H148" s="11" t="str">
        <f>IFERROR(SUMPRODUCT((nCUENTA=1)*(nCURSO=A148)*(nASIG=B148)*(nAPTO="S"))/D148,"—")</f>
        <v>—</v>
      </c>
      <c r="I148" s="11" t="str">
        <f>IFERROR(SUMPRODUCT((nCUENTA=1)*(nCURSO=A148)*(nASIG=B148)*(nAPTO="N"))/D148,"—")</f>
        <v>—</v>
      </c>
      <c r="J148" t="str" cm="1">
        <f t="array" ref="J148">IFERROR(_xlfn.MODE.SNGL(_xlfn._xlws.FILTER(nNOTA,(nCUENTA=1)*(nCURSO=A148)*(nASIG=B148)*(nAPTO="S"))),"—")</f>
        <v>—</v>
      </c>
      <c r="K148" t="str" cm="1">
        <f t="array" ref="K148">IFERROR(_xlfn.MODE.SNGL(_xlfn._xlws.FILTER(nNOTA,(nCUENTA=1)*(nCURSO=A148)*(nASIG=B148)*(nAPTO="N"))),"—")</f>
        <v>—</v>
      </c>
      <c r="L148">
        <f>SUMPRODUCT((nCUENTA=1)*(nCURSO=A148)*(nASIG=B148)*(nNOTA=1))</f>
        <v>0</v>
      </c>
      <c r="M148">
        <f>SUMPRODUCT((nCUENTA=1)*(nCURSO=A148)*(nASIG=B148)*(nNOTA=2))</f>
        <v>0</v>
      </c>
      <c r="N148">
        <f>SUMPRODUCT((nCUENTA=1)*(nCURSO=A148)*(nASIG=B148)*(nNOTA=3))</f>
        <v>0</v>
      </c>
      <c r="O148">
        <f>SUMPRODUCT((nCUENTA=1)*(nCURSO=A148)*(nASIG=B148)*(nNOTA=4))</f>
        <v>0</v>
      </c>
      <c r="P148">
        <f>SUMPRODUCT((nCUENTA=1)*(nCURSO=A148)*(nASIG=B148)*(nNOTA=5))</f>
        <v>0</v>
      </c>
      <c r="Q148">
        <f>SUMPRODUCT((nCUENTA=1)*(nCURSO=A148)*(nASIG=B148)*(nNOTA=6))</f>
        <v>0</v>
      </c>
      <c r="R148">
        <f>SUMPRODUCT((nCUENTA=1)*(nCURSO=A148)*(nASIG=B148)*(nNOTA=7))</f>
        <v>0</v>
      </c>
      <c r="S148">
        <f>SUMPRODUCT((nCUENTA=1)*(nCURSO=A148)*(nASIG=B148)*(nNOTA=8))</f>
        <v>0</v>
      </c>
      <c r="T148">
        <f>SUMPRODUCT((nCUENTA=1)*(nCURSO=A148)*(nASIG=B148)*(nNOTA=9))</f>
        <v>0</v>
      </c>
      <c r="U148">
        <f>SUMPRODUCT((nCUENTA=1)*(nCURSO=A148)*(nASIG=B148)*(nNOTA=10))</f>
        <v>0</v>
      </c>
    </row>
    <row r="149">
      <c r="A149" t="inlineStr">
        <is>
          <t xml:space="preserve">2EPM</t>
        </is>
      </c>
      <c r="B149" cm="1">
        <f t="array" ref="B149">IFERROR(INDEX(_xlfn._xlws.FILTER(CONFIG_ASIGNATURAS!$B$2:$B$91,(CONFIG_ASIGNATURAS!$G$2:$G$91="Sí")*ISNUMBER(SEARCH("2EPM",CONFIG_ASIGNATURAS!$C$2:$C$91))),6),"")</f>
      </c>
      <c r="C149">
        <f>IF(B149="","",IFERROR(VLOOKUP(B149,CONFIG_ASIGNATURAS!$B$2:$D$91,3,FALSE()),"Asignatura"))</f>
      </c>
      <c r="D149">
        <f>SUMPRODUCT((nCUENTA=1)*(nCURSO=A149)*(nASIG=B149))</f>
        <v>0</v>
      </c>
      <c r="E149" s="10" t="str">
        <f>IFERROR(SUMPRODUCT((nCUENTA=1)*(nCURSO=A149)*(nASIG=B149)*(nNOTA))/D149,"—")</f>
        <v>—</v>
      </c>
      <c r="F149" s="10" t="str" cm="1">
        <f t="array" ref="F149">IFERROR(_xlfn.STDEV.P(_xlfn._xlws.FILTER(nNOTA,(nCUENTA=1)*(nCURSO=A149)*(nASIG=B149))),"—")</f>
        <v>—</v>
      </c>
      <c r="G149" t="str" cm="1">
        <f t="array" ref="G149">IFERROR(_xlfn.MODE.SNGL(_xlfn._xlws.FILTER(nNOTA,(nCUENTA=1)*(nCURSO=A149)*(nASIG=B149))),"—")</f>
        <v>—</v>
      </c>
      <c r="H149" s="11" t="str">
        <f>IFERROR(SUMPRODUCT((nCUENTA=1)*(nCURSO=A149)*(nASIG=B149)*(nAPTO="S"))/D149,"—")</f>
        <v>—</v>
      </c>
      <c r="I149" s="11" t="str">
        <f>IFERROR(SUMPRODUCT((nCUENTA=1)*(nCURSO=A149)*(nASIG=B149)*(nAPTO="N"))/D149,"—")</f>
        <v>—</v>
      </c>
      <c r="J149" t="str" cm="1">
        <f t="array" ref="J149">IFERROR(_xlfn.MODE.SNGL(_xlfn._xlws.FILTER(nNOTA,(nCUENTA=1)*(nCURSO=A149)*(nASIG=B149)*(nAPTO="S"))),"—")</f>
        <v>—</v>
      </c>
      <c r="K149" t="str" cm="1">
        <f t="array" ref="K149">IFERROR(_xlfn.MODE.SNGL(_xlfn._xlws.FILTER(nNOTA,(nCUENTA=1)*(nCURSO=A149)*(nASIG=B149)*(nAPTO="N"))),"—")</f>
        <v>—</v>
      </c>
      <c r="L149">
        <f>SUMPRODUCT((nCUENTA=1)*(nCURSO=A149)*(nASIG=B149)*(nNOTA=1))</f>
        <v>0</v>
      </c>
      <c r="M149">
        <f>SUMPRODUCT((nCUENTA=1)*(nCURSO=A149)*(nASIG=B149)*(nNOTA=2))</f>
        <v>0</v>
      </c>
      <c r="N149">
        <f>SUMPRODUCT((nCUENTA=1)*(nCURSO=A149)*(nASIG=B149)*(nNOTA=3))</f>
        <v>0</v>
      </c>
      <c r="O149">
        <f>SUMPRODUCT((nCUENTA=1)*(nCURSO=A149)*(nASIG=B149)*(nNOTA=4))</f>
        <v>0</v>
      </c>
      <c r="P149">
        <f>SUMPRODUCT((nCUENTA=1)*(nCURSO=A149)*(nASIG=B149)*(nNOTA=5))</f>
        <v>0</v>
      </c>
      <c r="Q149">
        <f>SUMPRODUCT((nCUENTA=1)*(nCURSO=A149)*(nASIG=B149)*(nNOTA=6))</f>
        <v>0</v>
      </c>
      <c r="R149">
        <f>SUMPRODUCT((nCUENTA=1)*(nCURSO=A149)*(nASIG=B149)*(nNOTA=7))</f>
        <v>0</v>
      </c>
      <c r="S149">
        <f>SUMPRODUCT((nCUENTA=1)*(nCURSO=A149)*(nASIG=B149)*(nNOTA=8))</f>
        <v>0</v>
      </c>
      <c r="T149">
        <f>SUMPRODUCT((nCUENTA=1)*(nCURSO=A149)*(nASIG=B149)*(nNOTA=9))</f>
        <v>0</v>
      </c>
      <c r="U149">
        <f>SUMPRODUCT((nCUENTA=1)*(nCURSO=A149)*(nASIG=B149)*(nNOTA=10))</f>
        <v>0</v>
      </c>
    </row>
    <row r="150">
      <c r="A150" t="inlineStr">
        <is>
          <t xml:space="preserve">2EPM</t>
        </is>
      </c>
      <c r="B150" cm="1">
        <f t="array" ref="B150">IFERROR(INDEX(_xlfn._xlws.FILTER(CONFIG_ASIGNATURAS!$B$2:$B$91,(CONFIG_ASIGNATURAS!$G$2:$G$91="Sí")*ISNUMBER(SEARCH("2EPM",CONFIG_ASIGNATURAS!$C$2:$C$91))),7),"")</f>
      </c>
      <c r="C150">
        <f>IF(B150="","",IFERROR(VLOOKUP(B150,CONFIG_ASIGNATURAS!$B$2:$D$91,3,FALSE()),"Asignatura"))</f>
      </c>
      <c r="D150">
        <f>SUMPRODUCT((nCUENTA=1)*(nCURSO=A150)*(nASIG=B150))</f>
        <v>0</v>
      </c>
      <c r="E150" s="10" t="str">
        <f>IFERROR(SUMPRODUCT((nCUENTA=1)*(nCURSO=A150)*(nASIG=B150)*(nNOTA))/D150,"—")</f>
        <v>—</v>
      </c>
      <c r="F150" s="10" t="str" cm="1">
        <f t="array" ref="F150">IFERROR(_xlfn.STDEV.P(_xlfn._xlws.FILTER(nNOTA,(nCUENTA=1)*(nCURSO=A150)*(nASIG=B150))),"—")</f>
        <v>—</v>
      </c>
      <c r="G150" t="str" cm="1">
        <f t="array" ref="G150">IFERROR(_xlfn.MODE.SNGL(_xlfn._xlws.FILTER(nNOTA,(nCUENTA=1)*(nCURSO=A150)*(nASIG=B150))),"—")</f>
        <v>—</v>
      </c>
      <c r="H150" s="11" t="str">
        <f>IFERROR(SUMPRODUCT((nCUENTA=1)*(nCURSO=A150)*(nASIG=B150)*(nAPTO="S"))/D150,"—")</f>
        <v>—</v>
      </c>
      <c r="I150" s="11" t="str">
        <f>IFERROR(SUMPRODUCT((nCUENTA=1)*(nCURSO=A150)*(nASIG=B150)*(nAPTO="N"))/D150,"—")</f>
        <v>—</v>
      </c>
      <c r="J150" t="str" cm="1">
        <f t="array" ref="J150">IFERROR(_xlfn.MODE.SNGL(_xlfn._xlws.FILTER(nNOTA,(nCUENTA=1)*(nCURSO=A150)*(nASIG=B150)*(nAPTO="S"))),"—")</f>
        <v>—</v>
      </c>
      <c r="K150" t="str" cm="1">
        <f t="array" ref="K150">IFERROR(_xlfn.MODE.SNGL(_xlfn._xlws.FILTER(nNOTA,(nCUENTA=1)*(nCURSO=A150)*(nASIG=B150)*(nAPTO="N"))),"—")</f>
        <v>—</v>
      </c>
      <c r="L150">
        <f>SUMPRODUCT((nCUENTA=1)*(nCURSO=A150)*(nASIG=B150)*(nNOTA=1))</f>
        <v>0</v>
      </c>
      <c r="M150">
        <f>SUMPRODUCT((nCUENTA=1)*(nCURSO=A150)*(nASIG=B150)*(nNOTA=2))</f>
        <v>0</v>
      </c>
      <c r="N150">
        <f>SUMPRODUCT((nCUENTA=1)*(nCURSO=A150)*(nASIG=B150)*(nNOTA=3))</f>
        <v>0</v>
      </c>
      <c r="O150">
        <f>SUMPRODUCT((nCUENTA=1)*(nCURSO=A150)*(nASIG=B150)*(nNOTA=4))</f>
        <v>0</v>
      </c>
      <c r="P150">
        <f>SUMPRODUCT((nCUENTA=1)*(nCURSO=A150)*(nASIG=B150)*(nNOTA=5))</f>
        <v>0</v>
      </c>
      <c r="Q150">
        <f>SUMPRODUCT((nCUENTA=1)*(nCURSO=A150)*(nASIG=B150)*(nNOTA=6))</f>
        <v>0</v>
      </c>
      <c r="R150">
        <f>SUMPRODUCT((nCUENTA=1)*(nCURSO=A150)*(nASIG=B150)*(nNOTA=7))</f>
        <v>0</v>
      </c>
      <c r="S150">
        <f>SUMPRODUCT((nCUENTA=1)*(nCURSO=A150)*(nASIG=B150)*(nNOTA=8))</f>
        <v>0</v>
      </c>
      <c r="T150">
        <f>SUMPRODUCT((nCUENTA=1)*(nCURSO=A150)*(nASIG=B150)*(nNOTA=9))</f>
        <v>0</v>
      </c>
      <c r="U150">
        <f>SUMPRODUCT((nCUENTA=1)*(nCURSO=A150)*(nASIG=B150)*(nNOTA=10))</f>
        <v>0</v>
      </c>
    </row>
    <row r="151">
      <c r="A151" t="inlineStr">
        <is>
          <t xml:space="preserve">2EPM</t>
        </is>
      </c>
      <c r="B151" cm="1">
        <f t="array" ref="B151">IFERROR(INDEX(_xlfn._xlws.FILTER(CONFIG_ASIGNATURAS!$B$2:$B$91,(CONFIG_ASIGNATURAS!$G$2:$G$91="Sí")*ISNUMBER(SEARCH("2EPM",CONFIG_ASIGNATURAS!$C$2:$C$91))),8),"")</f>
      </c>
      <c r="C151">
        <f>IF(B151="","",IFERROR(VLOOKUP(B151,CONFIG_ASIGNATURAS!$B$2:$D$91,3,FALSE()),"Asignatura"))</f>
      </c>
      <c r="D151">
        <f>SUMPRODUCT((nCUENTA=1)*(nCURSO=A151)*(nASIG=B151))</f>
        <v>0</v>
      </c>
      <c r="E151" s="10" t="str">
        <f>IFERROR(SUMPRODUCT((nCUENTA=1)*(nCURSO=A151)*(nASIG=B151)*(nNOTA))/D151,"—")</f>
        <v>—</v>
      </c>
      <c r="F151" s="10" t="str" cm="1">
        <f t="array" ref="F151">IFERROR(_xlfn.STDEV.P(_xlfn._xlws.FILTER(nNOTA,(nCUENTA=1)*(nCURSO=A151)*(nASIG=B151))),"—")</f>
        <v>—</v>
      </c>
      <c r="G151" t="str" cm="1">
        <f t="array" ref="G151">IFERROR(_xlfn.MODE.SNGL(_xlfn._xlws.FILTER(nNOTA,(nCUENTA=1)*(nCURSO=A151)*(nASIG=B151))),"—")</f>
        <v>—</v>
      </c>
      <c r="H151" s="11" t="str">
        <f>IFERROR(SUMPRODUCT((nCUENTA=1)*(nCURSO=A151)*(nASIG=B151)*(nAPTO="S"))/D151,"—")</f>
        <v>—</v>
      </c>
      <c r="I151" s="11" t="str">
        <f>IFERROR(SUMPRODUCT((nCUENTA=1)*(nCURSO=A151)*(nASIG=B151)*(nAPTO="N"))/D151,"—")</f>
        <v>—</v>
      </c>
      <c r="J151" t="str" cm="1">
        <f t="array" ref="J151">IFERROR(_xlfn.MODE.SNGL(_xlfn._xlws.FILTER(nNOTA,(nCUENTA=1)*(nCURSO=A151)*(nASIG=B151)*(nAPTO="S"))),"—")</f>
        <v>—</v>
      </c>
      <c r="K151" t="str" cm="1">
        <f t="array" ref="K151">IFERROR(_xlfn.MODE.SNGL(_xlfn._xlws.FILTER(nNOTA,(nCUENTA=1)*(nCURSO=A151)*(nASIG=B151)*(nAPTO="N"))),"—")</f>
        <v>—</v>
      </c>
      <c r="L151">
        <f>SUMPRODUCT((nCUENTA=1)*(nCURSO=A151)*(nASIG=B151)*(nNOTA=1))</f>
        <v>0</v>
      </c>
      <c r="M151">
        <f>SUMPRODUCT((nCUENTA=1)*(nCURSO=A151)*(nASIG=B151)*(nNOTA=2))</f>
        <v>0</v>
      </c>
      <c r="N151">
        <f>SUMPRODUCT((nCUENTA=1)*(nCURSO=A151)*(nASIG=B151)*(nNOTA=3))</f>
        <v>0</v>
      </c>
      <c r="O151">
        <f>SUMPRODUCT((nCUENTA=1)*(nCURSO=A151)*(nASIG=B151)*(nNOTA=4))</f>
        <v>0</v>
      </c>
      <c r="P151">
        <f>SUMPRODUCT((nCUENTA=1)*(nCURSO=A151)*(nASIG=B151)*(nNOTA=5))</f>
        <v>0</v>
      </c>
      <c r="Q151">
        <f>SUMPRODUCT((nCUENTA=1)*(nCURSO=A151)*(nASIG=B151)*(nNOTA=6))</f>
        <v>0</v>
      </c>
      <c r="R151">
        <f>SUMPRODUCT((nCUENTA=1)*(nCURSO=A151)*(nASIG=B151)*(nNOTA=7))</f>
        <v>0</v>
      </c>
      <c r="S151">
        <f>SUMPRODUCT((nCUENTA=1)*(nCURSO=A151)*(nASIG=B151)*(nNOTA=8))</f>
        <v>0</v>
      </c>
      <c r="T151">
        <f>SUMPRODUCT((nCUENTA=1)*(nCURSO=A151)*(nASIG=B151)*(nNOTA=9))</f>
        <v>0</v>
      </c>
      <c r="U151">
        <f>SUMPRODUCT((nCUENTA=1)*(nCURSO=A151)*(nASIG=B151)*(nNOTA=10))</f>
        <v>0</v>
      </c>
    </row>
    <row r="152">
      <c r="A152" t="inlineStr">
        <is>
          <t xml:space="preserve">2EPM</t>
        </is>
      </c>
      <c r="B152" cm="1">
        <f t="array" ref="B152">IFERROR(INDEX(_xlfn._xlws.FILTER(CONFIG_ASIGNATURAS!$B$2:$B$91,(CONFIG_ASIGNATURAS!$G$2:$G$91="Sí")*ISNUMBER(SEARCH("2EPM",CONFIG_ASIGNATURAS!$C$2:$C$91))),9),"")</f>
      </c>
      <c r="C152">
        <f>IF(B152="","",IFERROR(VLOOKUP(B152,CONFIG_ASIGNATURAS!$B$2:$D$91,3,FALSE()),"Asignatura"))</f>
      </c>
      <c r="D152">
        <f>SUMPRODUCT((nCUENTA=1)*(nCURSO=A152)*(nASIG=B152))</f>
        <v>0</v>
      </c>
      <c r="E152" s="10" t="str">
        <f>IFERROR(SUMPRODUCT((nCUENTA=1)*(nCURSO=A152)*(nASIG=B152)*(nNOTA))/D152,"—")</f>
        <v>—</v>
      </c>
      <c r="F152" s="10" t="str" cm="1">
        <f t="array" ref="F152">IFERROR(_xlfn.STDEV.P(_xlfn._xlws.FILTER(nNOTA,(nCUENTA=1)*(nCURSO=A152)*(nASIG=B152))),"—")</f>
        <v>—</v>
      </c>
      <c r="G152" t="str" cm="1">
        <f t="array" ref="G152">IFERROR(_xlfn.MODE.SNGL(_xlfn._xlws.FILTER(nNOTA,(nCUENTA=1)*(nCURSO=A152)*(nASIG=B152))),"—")</f>
        <v>—</v>
      </c>
      <c r="H152" s="11" t="str">
        <f>IFERROR(SUMPRODUCT((nCUENTA=1)*(nCURSO=A152)*(nASIG=B152)*(nAPTO="S"))/D152,"—")</f>
        <v>—</v>
      </c>
      <c r="I152" s="11" t="str">
        <f>IFERROR(SUMPRODUCT((nCUENTA=1)*(nCURSO=A152)*(nASIG=B152)*(nAPTO="N"))/D152,"—")</f>
        <v>—</v>
      </c>
      <c r="J152" t="str" cm="1">
        <f t="array" ref="J152">IFERROR(_xlfn.MODE.SNGL(_xlfn._xlws.FILTER(nNOTA,(nCUENTA=1)*(nCURSO=A152)*(nASIG=B152)*(nAPTO="S"))),"—")</f>
        <v>—</v>
      </c>
      <c r="K152" t="str" cm="1">
        <f t="array" ref="K152">IFERROR(_xlfn.MODE.SNGL(_xlfn._xlws.FILTER(nNOTA,(nCUENTA=1)*(nCURSO=A152)*(nASIG=B152)*(nAPTO="N"))),"—")</f>
        <v>—</v>
      </c>
      <c r="L152">
        <f>SUMPRODUCT((nCUENTA=1)*(nCURSO=A152)*(nASIG=B152)*(nNOTA=1))</f>
        <v>0</v>
      </c>
      <c r="M152">
        <f>SUMPRODUCT((nCUENTA=1)*(nCURSO=A152)*(nASIG=B152)*(nNOTA=2))</f>
        <v>0</v>
      </c>
      <c r="N152">
        <f>SUMPRODUCT((nCUENTA=1)*(nCURSO=A152)*(nASIG=B152)*(nNOTA=3))</f>
        <v>0</v>
      </c>
      <c r="O152">
        <f>SUMPRODUCT((nCUENTA=1)*(nCURSO=A152)*(nASIG=B152)*(nNOTA=4))</f>
        <v>0</v>
      </c>
      <c r="P152">
        <f>SUMPRODUCT((nCUENTA=1)*(nCURSO=A152)*(nASIG=B152)*(nNOTA=5))</f>
        <v>0</v>
      </c>
      <c r="Q152">
        <f>SUMPRODUCT((nCUENTA=1)*(nCURSO=A152)*(nASIG=B152)*(nNOTA=6))</f>
        <v>0</v>
      </c>
      <c r="R152">
        <f>SUMPRODUCT((nCUENTA=1)*(nCURSO=A152)*(nASIG=B152)*(nNOTA=7))</f>
        <v>0</v>
      </c>
      <c r="S152">
        <f>SUMPRODUCT((nCUENTA=1)*(nCURSO=A152)*(nASIG=B152)*(nNOTA=8))</f>
        <v>0</v>
      </c>
      <c r="T152">
        <f>SUMPRODUCT((nCUENTA=1)*(nCURSO=A152)*(nASIG=B152)*(nNOTA=9))</f>
        <v>0</v>
      </c>
      <c r="U152">
        <f>SUMPRODUCT((nCUENTA=1)*(nCURSO=A152)*(nASIG=B152)*(nNOTA=10))</f>
        <v>0</v>
      </c>
    </row>
    <row r="153">
      <c r="A153" t="inlineStr">
        <is>
          <t xml:space="preserve">2EPM</t>
        </is>
      </c>
      <c r="B153" cm="1">
        <f t="array" ref="B153">IFERROR(INDEX(_xlfn._xlws.FILTER(CONFIG_ASIGNATURAS!$B$2:$B$91,(CONFIG_ASIGNATURAS!$G$2:$G$91="Sí")*ISNUMBER(SEARCH("2EPM",CONFIG_ASIGNATURAS!$C$2:$C$91))),10),"")</f>
      </c>
      <c r="C153">
        <f>IF(B153="","",IFERROR(VLOOKUP(B153,CONFIG_ASIGNATURAS!$B$2:$D$91,3,FALSE()),"Asignatura"))</f>
      </c>
      <c r="D153">
        <f>SUMPRODUCT((nCUENTA=1)*(nCURSO=A153)*(nASIG=B153))</f>
        <v>0</v>
      </c>
      <c r="E153" s="10" t="str">
        <f>IFERROR(SUMPRODUCT((nCUENTA=1)*(nCURSO=A153)*(nASIG=B153)*(nNOTA))/D153,"—")</f>
        <v>—</v>
      </c>
      <c r="F153" s="10" t="str" cm="1">
        <f t="array" ref="F153">IFERROR(_xlfn.STDEV.P(_xlfn._xlws.FILTER(nNOTA,(nCUENTA=1)*(nCURSO=A153)*(nASIG=B153))),"—")</f>
        <v>—</v>
      </c>
      <c r="G153" t="str" cm="1">
        <f t="array" ref="G153">IFERROR(_xlfn.MODE.SNGL(_xlfn._xlws.FILTER(nNOTA,(nCUENTA=1)*(nCURSO=A153)*(nASIG=B153))),"—")</f>
        <v>—</v>
      </c>
      <c r="H153" s="11" t="str">
        <f>IFERROR(SUMPRODUCT((nCUENTA=1)*(nCURSO=A153)*(nASIG=B153)*(nAPTO="S"))/D153,"—")</f>
        <v>—</v>
      </c>
      <c r="I153" s="11" t="str">
        <f>IFERROR(SUMPRODUCT((nCUENTA=1)*(nCURSO=A153)*(nASIG=B153)*(nAPTO="N"))/D153,"—")</f>
        <v>—</v>
      </c>
      <c r="J153" t="str" cm="1">
        <f t="array" ref="J153">IFERROR(_xlfn.MODE.SNGL(_xlfn._xlws.FILTER(nNOTA,(nCUENTA=1)*(nCURSO=A153)*(nASIG=B153)*(nAPTO="S"))),"—")</f>
        <v>—</v>
      </c>
      <c r="K153" t="str" cm="1">
        <f t="array" ref="K153">IFERROR(_xlfn.MODE.SNGL(_xlfn._xlws.FILTER(nNOTA,(nCUENTA=1)*(nCURSO=A153)*(nASIG=B153)*(nAPTO="N"))),"—")</f>
        <v>—</v>
      </c>
      <c r="L153">
        <f>SUMPRODUCT((nCUENTA=1)*(nCURSO=A153)*(nASIG=B153)*(nNOTA=1))</f>
        <v>0</v>
      </c>
      <c r="M153">
        <f>SUMPRODUCT((nCUENTA=1)*(nCURSO=A153)*(nASIG=B153)*(nNOTA=2))</f>
        <v>0</v>
      </c>
      <c r="N153">
        <f>SUMPRODUCT((nCUENTA=1)*(nCURSO=A153)*(nASIG=B153)*(nNOTA=3))</f>
        <v>0</v>
      </c>
      <c r="O153">
        <f>SUMPRODUCT((nCUENTA=1)*(nCURSO=A153)*(nASIG=B153)*(nNOTA=4))</f>
        <v>0</v>
      </c>
      <c r="P153">
        <f>SUMPRODUCT((nCUENTA=1)*(nCURSO=A153)*(nASIG=B153)*(nNOTA=5))</f>
        <v>0</v>
      </c>
      <c r="Q153">
        <f>SUMPRODUCT((nCUENTA=1)*(nCURSO=A153)*(nASIG=B153)*(nNOTA=6))</f>
        <v>0</v>
      </c>
      <c r="R153">
        <f>SUMPRODUCT((nCUENTA=1)*(nCURSO=A153)*(nASIG=B153)*(nNOTA=7))</f>
        <v>0</v>
      </c>
      <c r="S153">
        <f>SUMPRODUCT((nCUENTA=1)*(nCURSO=A153)*(nASIG=B153)*(nNOTA=8))</f>
        <v>0</v>
      </c>
      <c r="T153">
        <f>SUMPRODUCT((nCUENTA=1)*(nCURSO=A153)*(nASIG=B153)*(nNOTA=9))</f>
        <v>0</v>
      </c>
      <c r="U153">
        <f>SUMPRODUCT((nCUENTA=1)*(nCURSO=A153)*(nASIG=B153)*(nNOTA=10))</f>
        <v>0</v>
      </c>
    </row>
    <row r="154">
      <c r="A154" t="inlineStr">
        <is>
          <t xml:space="preserve">2EPM</t>
        </is>
      </c>
      <c r="B154" cm="1">
        <f t="array" ref="B154">IFERROR(INDEX(_xlfn._xlws.FILTER(CONFIG_ASIGNATURAS!$B$2:$B$91,(CONFIG_ASIGNATURAS!$G$2:$G$91="Sí")*ISNUMBER(SEARCH("2EPM",CONFIG_ASIGNATURAS!$C$2:$C$91))),11),"")</f>
      </c>
      <c r="C154">
        <f>IF(B154="","",IFERROR(VLOOKUP(B154,CONFIG_ASIGNATURAS!$B$2:$D$91,3,FALSE()),"Asignatura"))</f>
      </c>
      <c r="D154">
        <f>SUMPRODUCT((nCUENTA=1)*(nCURSO=A154)*(nASIG=B154))</f>
        <v>0</v>
      </c>
      <c r="E154" s="10" t="str">
        <f>IFERROR(SUMPRODUCT((nCUENTA=1)*(nCURSO=A154)*(nASIG=B154)*(nNOTA))/D154,"—")</f>
        <v>—</v>
      </c>
      <c r="F154" s="10" t="str" cm="1">
        <f t="array" ref="F154">IFERROR(_xlfn.STDEV.P(_xlfn._xlws.FILTER(nNOTA,(nCUENTA=1)*(nCURSO=A154)*(nASIG=B154))),"—")</f>
        <v>—</v>
      </c>
      <c r="G154" t="str" cm="1">
        <f t="array" ref="G154">IFERROR(_xlfn.MODE.SNGL(_xlfn._xlws.FILTER(nNOTA,(nCUENTA=1)*(nCURSO=A154)*(nASIG=B154))),"—")</f>
        <v>—</v>
      </c>
      <c r="H154" s="11" t="str">
        <f>IFERROR(SUMPRODUCT((nCUENTA=1)*(nCURSO=A154)*(nASIG=B154)*(nAPTO="S"))/D154,"—")</f>
        <v>—</v>
      </c>
      <c r="I154" s="11" t="str">
        <f>IFERROR(SUMPRODUCT((nCUENTA=1)*(nCURSO=A154)*(nASIG=B154)*(nAPTO="N"))/D154,"—")</f>
        <v>—</v>
      </c>
      <c r="J154" t="str" cm="1">
        <f t="array" ref="J154">IFERROR(_xlfn.MODE.SNGL(_xlfn._xlws.FILTER(nNOTA,(nCUENTA=1)*(nCURSO=A154)*(nASIG=B154)*(nAPTO="S"))),"—")</f>
        <v>—</v>
      </c>
      <c r="K154" t="str" cm="1">
        <f t="array" ref="K154">IFERROR(_xlfn.MODE.SNGL(_xlfn._xlws.FILTER(nNOTA,(nCUENTA=1)*(nCURSO=A154)*(nASIG=B154)*(nAPTO="N"))),"—")</f>
        <v>—</v>
      </c>
      <c r="L154">
        <f>SUMPRODUCT((nCUENTA=1)*(nCURSO=A154)*(nASIG=B154)*(nNOTA=1))</f>
        <v>0</v>
      </c>
      <c r="M154">
        <f>SUMPRODUCT((nCUENTA=1)*(nCURSO=A154)*(nASIG=B154)*(nNOTA=2))</f>
        <v>0</v>
      </c>
      <c r="N154">
        <f>SUMPRODUCT((nCUENTA=1)*(nCURSO=A154)*(nASIG=B154)*(nNOTA=3))</f>
        <v>0</v>
      </c>
      <c r="O154">
        <f>SUMPRODUCT((nCUENTA=1)*(nCURSO=A154)*(nASIG=B154)*(nNOTA=4))</f>
        <v>0</v>
      </c>
      <c r="P154">
        <f>SUMPRODUCT((nCUENTA=1)*(nCURSO=A154)*(nASIG=B154)*(nNOTA=5))</f>
        <v>0</v>
      </c>
      <c r="Q154">
        <f>SUMPRODUCT((nCUENTA=1)*(nCURSO=A154)*(nASIG=B154)*(nNOTA=6))</f>
        <v>0</v>
      </c>
      <c r="R154">
        <f>SUMPRODUCT((nCUENTA=1)*(nCURSO=A154)*(nASIG=B154)*(nNOTA=7))</f>
        <v>0</v>
      </c>
      <c r="S154">
        <f>SUMPRODUCT((nCUENTA=1)*(nCURSO=A154)*(nASIG=B154)*(nNOTA=8))</f>
        <v>0</v>
      </c>
      <c r="T154">
        <f>SUMPRODUCT((nCUENTA=1)*(nCURSO=A154)*(nASIG=B154)*(nNOTA=9))</f>
        <v>0</v>
      </c>
      <c r="U154">
        <f>SUMPRODUCT((nCUENTA=1)*(nCURSO=A154)*(nASIG=B154)*(nNOTA=10))</f>
        <v>0</v>
      </c>
    </row>
    <row r="155">
      <c r="A155" t="inlineStr">
        <is>
          <t xml:space="preserve">2EPM</t>
        </is>
      </c>
      <c r="B155" cm="1">
        <f t="array" ref="B155">IFERROR(INDEX(_xlfn._xlws.FILTER(CONFIG_ASIGNATURAS!$B$2:$B$91,(CONFIG_ASIGNATURAS!$G$2:$G$91="Sí")*ISNUMBER(SEARCH("2EPM",CONFIG_ASIGNATURAS!$C$2:$C$91))),12),"")</f>
      </c>
      <c r="C155">
        <f>IF(B155="","",IFERROR(VLOOKUP(B155,CONFIG_ASIGNATURAS!$B$2:$D$91,3,FALSE()),"Asignatura"))</f>
      </c>
      <c r="D155">
        <f>SUMPRODUCT((nCUENTA=1)*(nCURSO=A155)*(nASIG=B155))</f>
        <v>0</v>
      </c>
      <c r="E155" s="10" t="str">
        <f>IFERROR(SUMPRODUCT((nCUENTA=1)*(nCURSO=A155)*(nASIG=B155)*(nNOTA))/D155,"—")</f>
        <v>—</v>
      </c>
      <c r="F155" s="10" t="str" cm="1">
        <f t="array" ref="F155">IFERROR(_xlfn.STDEV.P(_xlfn._xlws.FILTER(nNOTA,(nCUENTA=1)*(nCURSO=A155)*(nASIG=B155))),"—")</f>
        <v>—</v>
      </c>
      <c r="G155" t="str" cm="1">
        <f t="array" ref="G155">IFERROR(_xlfn.MODE.SNGL(_xlfn._xlws.FILTER(nNOTA,(nCUENTA=1)*(nCURSO=A155)*(nASIG=B155))),"—")</f>
        <v>—</v>
      </c>
      <c r="H155" s="11" t="str">
        <f>IFERROR(SUMPRODUCT((nCUENTA=1)*(nCURSO=A155)*(nASIG=B155)*(nAPTO="S"))/D155,"—")</f>
        <v>—</v>
      </c>
      <c r="I155" s="11" t="str">
        <f>IFERROR(SUMPRODUCT((nCUENTA=1)*(nCURSO=A155)*(nASIG=B155)*(nAPTO="N"))/D155,"—")</f>
        <v>—</v>
      </c>
      <c r="J155" t="str" cm="1">
        <f t="array" ref="J155">IFERROR(_xlfn.MODE.SNGL(_xlfn._xlws.FILTER(nNOTA,(nCUENTA=1)*(nCURSO=A155)*(nASIG=B155)*(nAPTO="S"))),"—")</f>
        <v>—</v>
      </c>
      <c r="K155" t="str" cm="1">
        <f t="array" ref="K155">IFERROR(_xlfn.MODE.SNGL(_xlfn._xlws.FILTER(nNOTA,(nCUENTA=1)*(nCURSO=A155)*(nASIG=B155)*(nAPTO="N"))),"—")</f>
        <v>—</v>
      </c>
      <c r="L155">
        <f>SUMPRODUCT((nCUENTA=1)*(nCURSO=A155)*(nASIG=B155)*(nNOTA=1))</f>
        <v>0</v>
      </c>
      <c r="M155">
        <f>SUMPRODUCT((nCUENTA=1)*(nCURSO=A155)*(nASIG=B155)*(nNOTA=2))</f>
        <v>0</v>
      </c>
      <c r="N155">
        <f>SUMPRODUCT((nCUENTA=1)*(nCURSO=A155)*(nASIG=B155)*(nNOTA=3))</f>
        <v>0</v>
      </c>
      <c r="O155">
        <f>SUMPRODUCT((nCUENTA=1)*(nCURSO=A155)*(nASIG=B155)*(nNOTA=4))</f>
        <v>0</v>
      </c>
      <c r="P155">
        <f>SUMPRODUCT((nCUENTA=1)*(nCURSO=A155)*(nASIG=B155)*(nNOTA=5))</f>
        <v>0</v>
      </c>
      <c r="Q155">
        <f>SUMPRODUCT((nCUENTA=1)*(nCURSO=A155)*(nASIG=B155)*(nNOTA=6))</f>
        <v>0</v>
      </c>
      <c r="R155">
        <f>SUMPRODUCT((nCUENTA=1)*(nCURSO=A155)*(nASIG=B155)*(nNOTA=7))</f>
        <v>0</v>
      </c>
      <c r="S155">
        <f>SUMPRODUCT((nCUENTA=1)*(nCURSO=A155)*(nASIG=B155)*(nNOTA=8))</f>
        <v>0</v>
      </c>
      <c r="T155">
        <f>SUMPRODUCT((nCUENTA=1)*(nCURSO=A155)*(nASIG=B155)*(nNOTA=9))</f>
        <v>0</v>
      </c>
      <c r="U155">
        <f>SUMPRODUCT((nCUENTA=1)*(nCURSO=A155)*(nASIG=B155)*(nNOTA=10))</f>
        <v>0</v>
      </c>
    </row>
    <row r="156">
      <c r="A156" t="inlineStr">
        <is>
          <t xml:space="preserve">2EPM</t>
        </is>
      </c>
      <c r="B156" cm="1">
        <f t="array" ref="B156">IFERROR(INDEX(_xlfn._xlws.FILTER(CONFIG_ASIGNATURAS!$B$2:$B$91,(CONFIG_ASIGNATURAS!$G$2:$G$91="Sí")*ISNUMBER(SEARCH("2EPM",CONFIG_ASIGNATURAS!$C$2:$C$91))),13),"")</f>
      </c>
      <c r="C156">
        <f>IF(B156="","",IFERROR(VLOOKUP(B156,CONFIG_ASIGNATURAS!$B$2:$D$91,3,FALSE()),"Asignatura"))</f>
      </c>
      <c r="D156">
        <f>SUMPRODUCT((nCUENTA=1)*(nCURSO=A156)*(nASIG=B156))</f>
        <v>0</v>
      </c>
      <c r="E156" s="10" t="str">
        <f>IFERROR(SUMPRODUCT((nCUENTA=1)*(nCURSO=A156)*(nASIG=B156)*(nNOTA))/D156,"—")</f>
        <v>—</v>
      </c>
      <c r="F156" s="10" t="str" cm="1">
        <f t="array" ref="F156">IFERROR(_xlfn.STDEV.P(_xlfn._xlws.FILTER(nNOTA,(nCUENTA=1)*(nCURSO=A156)*(nASIG=B156))),"—")</f>
        <v>—</v>
      </c>
      <c r="G156" t="str" cm="1">
        <f t="array" ref="G156">IFERROR(_xlfn.MODE.SNGL(_xlfn._xlws.FILTER(nNOTA,(nCUENTA=1)*(nCURSO=A156)*(nASIG=B156))),"—")</f>
        <v>—</v>
      </c>
      <c r="H156" s="11" t="str">
        <f>IFERROR(SUMPRODUCT((nCUENTA=1)*(nCURSO=A156)*(nASIG=B156)*(nAPTO="S"))/D156,"—")</f>
        <v>—</v>
      </c>
      <c r="I156" s="11" t="str">
        <f>IFERROR(SUMPRODUCT((nCUENTA=1)*(nCURSO=A156)*(nASIG=B156)*(nAPTO="N"))/D156,"—")</f>
        <v>—</v>
      </c>
      <c r="J156" t="str" cm="1">
        <f t="array" ref="J156">IFERROR(_xlfn.MODE.SNGL(_xlfn._xlws.FILTER(nNOTA,(nCUENTA=1)*(nCURSO=A156)*(nASIG=B156)*(nAPTO="S"))),"—")</f>
        <v>—</v>
      </c>
      <c r="K156" t="str" cm="1">
        <f t="array" ref="K156">IFERROR(_xlfn.MODE.SNGL(_xlfn._xlws.FILTER(nNOTA,(nCUENTA=1)*(nCURSO=A156)*(nASIG=B156)*(nAPTO="N"))),"—")</f>
        <v>—</v>
      </c>
      <c r="L156">
        <f>SUMPRODUCT((nCUENTA=1)*(nCURSO=A156)*(nASIG=B156)*(nNOTA=1))</f>
        <v>0</v>
      </c>
      <c r="M156">
        <f>SUMPRODUCT((nCUENTA=1)*(nCURSO=A156)*(nASIG=B156)*(nNOTA=2))</f>
        <v>0</v>
      </c>
      <c r="N156">
        <f>SUMPRODUCT((nCUENTA=1)*(nCURSO=A156)*(nASIG=B156)*(nNOTA=3))</f>
        <v>0</v>
      </c>
      <c r="O156">
        <f>SUMPRODUCT((nCUENTA=1)*(nCURSO=A156)*(nASIG=B156)*(nNOTA=4))</f>
        <v>0</v>
      </c>
      <c r="P156">
        <f>SUMPRODUCT((nCUENTA=1)*(nCURSO=A156)*(nASIG=B156)*(nNOTA=5))</f>
        <v>0</v>
      </c>
      <c r="Q156">
        <f>SUMPRODUCT((nCUENTA=1)*(nCURSO=A156)*(nASIG=B156)*(nNOTA=6))</f>
        <v>0</v>
      </c>
      <c r="R156">
        <f>SUMPRODUCT((nCUENTA=1)*(nCURSO=A156)*(nASIG=B156)*(nNOTA=7))</f>
        <v>0</v>
      </c>
      <c r="S156">
        <f>SUMPRODUCT((nCUENTA=1)*(nCURSO=A156)*(nASIG=B156)*(nNOTA=8))</f>
        <v>0</v>
      </c>
      <c r="T156">
        <f>SUMPRODUCT((nCUENTA=1)*(nCURSO=A156)*(nASIG=B156)*(nNOTA=9))</f>
        <v>0</v>
      </c>
      <c r="U156">
        <f>SUMPRODUCT((nCUENTA=1)*(nCURSO=A156)*(nASIG=B156)*(nNOTA=10))</f>
        <v>0</v>
      </c>
    </row>
    <row r="157">
      <c r="A157" t="inlineStr">
        <is>
          <t xml:space="preserve">2EPM</t>
        </is>
      </c>
      <c r="B157" cm="1">
        <f t="array" ref="B157">IFERROR(INDEX(_xlfn._xlws.FILTER(CONFIG_ASIGNATURAS!$B$2:$B$91,(CONFIG_ASIGNATURAS!$G$2:$G$91="Sí")*ISNUMBER(SEARCH("2EPM",CONFIG_ASIGNATURAS!$C$2:$C$91))),14),"")</f>
      </c>
      <c r="C157">
        <f>IF(B157="","",IFERROR(VLOOKUP(B157,CONFIG_ASIGNATURAS!$B$2:$D$91,3,FALSE()),"Asignatura"))</f>
      </c>
      <c r="D157">
        <f>SUMPRODUCT((nCUENTA=1)*(nCURSO=A157)*(nASIG=B157))</f>
        <v>0</v>
      </c>
      <c r="E157" s="10" t="str">
        <f>IFERROR(SUMPRODUCT((nCUENTA=1)*(nCURSO=A157)*(nASIG=B157)*(nNOTA))/D157,"—")</f>
        <v>—</v>
      </c>
      <c r="F157" s="10" t="str" cm="1">
        <f t="array" ref="F157">IFERROR(_xlfn.STDEV.P(_xlfn._xlws.FILTER(nNOTA,(nCUENTA=1)*(nCURSO=A157)*(nASIG=B157))),"—")</f>
        <v>—</v>
      </c>
      <c r="G157" t="str" cm="1">
        <f t="array" ref="G157">IFERROR(_xlfn.MODE.SNGL(_xlfn._xlws.FILTER(nNOTA,(nCUENTA=1)*(nCURSO=A157)*(nASIG=B157))),"—")</f>
        <v>—</v>
      </c>
      <c r="H157" s="11" t="str">
        <f>IFERROR(SUMPRODUCT((nCUENTA=1)*(nCURSO=A157)*(nASIG=B157)*(nAPTO="S"))/D157,"—")</f>
        <v>—</v>
      </c>
      <c r="I157" s="11" t="str">
        <f>IFERROR(SUMPRODUCT((nCUENTA=1)*(nCURSO=A157)*(nASIG=B157)*(nAPTO="N"))/D157,"—")</f>
        <v>—</v>
      </c>
      <c r="J157" t="str" cm="1">
        <f t="array" ref="J157">IFERROR(_xlfn.MODE.SNGL(_xlfn._xlws.FILTER(nNOTA,(nCUENTA=1)*(nCURSO=A157)*(nASIG=B157)*(nAPTO="S"))),"—")</f>
        <v>—</v>
      </c>
      <c r="K157" t="str" cm="1">
        <f t="array" ref="K157">IFERROR(_xlfn.MODE.SNGL(_xlfn._xlws.FILTER(nNOTA,(nCUENTA=1)*(nCURSO=A157)*(nASIG=B157)*(nAPTO="N"))),"—")</f>
        <v>—</v>
      </c>
      <c r="L157">
        <f>SUMPRODUCT((nCUENTA=1)*(nCURSO=A157)*(nASIG=B157)*(nNOTA=1))</f>
        <v>0</v>
      </c>
      <c r="M157">
        <f>SUMPRODUCT((nCUENTA=1)*(nCURSO=A157)*(nASIG=B157)*(nNOTA=2))</f>
        <v>0</v>
      </c>
      <c r="N157">
        <f>SUMPRODUCT((nCUENTA=1)*(nCURSO=A157)*(nASIG=B157)*(nNOTA=3))</f>
        <v>0</v>
      </c>
      <c r="O157">
        <f>SUMPRODUCT((nCUENTA=1)*(nCURSO=A157)*(nASIG=B157)*(nNOTA=4))</f>
        <v>0</v>
      </c>
      <c r="P157">
        <f>SUMPRODUCT((nCUENTA=1)*(nCURSO=A157)*(nASIG=B157)*(nNOTA=5))</f>
        <v>0</v>
      </c>
      <c r="Q157">
        <f>SUMPRODUCT((nCUENTA=1)*(nCURSO=A157)*(nASIG=B157)*(nNOTA=6))</f>
        <v>0</v>
      </c>
      <c r="R157">
        <f>SUMPRODUCT((nCUENTA=1)*(nCURSO=A157)*(nASIG=B157)*(nNOTA=7))</f>
        <v>0</v>
      </c>
      <c r="S157">
        <f>SUMPRODUCT((nCUENTA=1)*(nCURSO=A157)*(nASIG=B157)*(nNOTA=8))</f>
        <v>0</v>
      </c>
      <c r="T157">
        <f>SUMPRODUCT((nCUENTA=1)*(nCURSO=A157)*(nASIG=B157)*(nNOTA=9))</f>
        <v>0</v>
      </c>
      <c r="U157">
        <f>SUMPRODUCT((nCUENTA=1)*(nCURSO=A157)*(nASIG=B157)*(nNOTA=10))</f>
        <v>0</v>
      </c>
    </row>
    <row r="158">
      <c r="A158" t="inlineStr">
        <is>
          <t xml:space="preserve">2EPM</t>
        </is>
      </c>
      <c r="B158" cm="1">
        <f t="array" ref="B158">IFERROR(INDEX(_xlfn._xlws.FILTER(CONFIG_ASIGNATURAS!$B$2:$B$91,(CONFIG_ASIGNATURAS!$G$2:$G$91="Sí")*ISNUMBER(SEARCH("2EPM",CONFIG_ASIGNATURAS!$C$2:$C$91))),15),"")</f>
      </c>
      <c r="C158">
        <f>IF(B158="","",IFERROR(VLOOKUP(B158,CONFIG_ASIGNATURAS!$B$2:$D$91,3,FALSE()),"Asignatura"))</f>
      </c>
      <c r="D158">
        <f>SUMPRODUCT((nCUENTA=1)*(nCURSO=A158)*(nASIG=B158))</f>
        <v>0</v>
      </c>
      <c r="E158" s="10" t="str">
        <f>IFERROR(SUMPRODUCT((nCUENTA=1)*(nCURSO=A158)*(nASIG=B158)*(nNOTA))/D158,"—")</f>
        <v>—</v>
      </c>
      <c r="F158" s="10" t="str" cm="1">
        <f t="array" ref="F158">IFERROR(_xlfn.STDEV.P(_xlfn._xlws.FILTER(nNOTA,(nCUENTA=1)*(nCURSO=A158)*(nASIG=B158))),"—")</f>
        <v>—</v>
      </c>
      <c r="G158" t="str" cm="1">
        <f t="array" ref="G158">IFERROR(_xlfn.MODE.SNGL(_xlfn._xlws.FILTER(nNOTA,(nCUENTA=1)*(nCURSO=A158)*(nASIG=B158))),"—")</f>
        <v>—</v>
      </c>
      <c r="H158" s="11" t="str">
        <f>IFERROR(SUMPRODUCT((nCUENTA=1)*(nCURSO=A158)*(nASIG=B158)*(nAPTO="S"))/D158,"—")</f>
        <v>—</v>
      </c>
      <c r="I158" s="11" t="str">
        <f>IFERROR(SUMPRODUCT((nCUENTA=1)*(nCURSO=A158)*(nASIG=B158)*(nAPTO="N"))/D158,"—")</f>
        <v>—</v>
      </c>
      <c r="J158" t="str" cm="1">
        <f t="array" ref="J158">IFERROR(_xlfn.MODE.SNGL(_xlfn._xlws.FILTER(nNOTA,(nCUENTA=1)*(nCURSO=A158)*(nASIG=B158)*(nAPTO="S"))),"—")</f>
        <v>—</v>
      </c>
      <c r="K158" t="str" cm="1">
        <f t="array" ref="K158">IFERROR(_xlfn.MODE.SNGL(_xlfn._xlws.FILTER(nNOTA,(nCUENTA=1)*(nCURSO=A158)*(nASIG=B158)*(nAPTO="N"))),"—")</f>
        <v>—</v>
      </c>
      <c r="L158">
        <f>SUMPRODUCT((nCUENTA=1)*(nCURSO=A158)*(nASIG=B158)*(nNOTA=1))</f>
        <v>0</v>
      </c>
      <c r="M158">
        <f>SUMPRODUCT((nCUENTA=1)*(nCURSO=A158)*(nASIG=B158)*(nNOTA=2))</f>
        <v>0</v>
      </c>
      <c r="N158">
        <f>SUMPRODUCT((nCUENTA=1)*(nCURSO=A158)*(nASIG=B158)*(nNOTA=3))</f>
        <v>0</v>
      </c>
      <c r="O158">
        <f>SUMPRODUCT((nCUENTA=1)*(nCURSO=A158)*(nASIG=B158)*(nNOTA=4))</f>
        <v>0</v>
      </c>
      <c r="P158">
        <f>SUMPRODUCT((nCUENTA=1)*(nCURSO=A158)*(nASIG=B158)*(nNOTA=5))</f>
        <v>0</v>
      </c>
      <c r="Q158">
        <f>SUMPRODUCT((nCUENTA=1)*(nCURSO=A158)*(nASIG=B158)*(nNOTA=6))</f>
        <v>0</v>
      </c>
      <c r="R158">
        <f>SUMPRODUCT((nCUENTA=1)*(nCURSO=A158)*(nASIG=B158)*(nNOTA=7))</f>
        <v>0</v>
      </c>
      <c r="S158">
        <f>SUMPRODUCT((nCUENTA=1)*(nCURSO=A158)*(nASIG=B158)*(nNOTA=8))</f>
        <v>0</v>
      </c>
      <c r="T158">
        <f>SUMPRODUCT((nCUENTA=1)*(nCURSO=A158)*(nASIG=B158)*(nNOTA=9))</f>
        <v>0</v>
      </c>
      <c r="U158">
        <f>SUMPRODUCT((nCUENTA=1)*(nCURSO=A158)*(nASIG=B158)*(nNOTA=10))</f>
        <v>0</v>
      </c>
    </row>
    <row r="159">
      <c r="A159" t="inlineStr">
        <is>
          <t xml:space="preserve">2EPM</t>
        </is>
      </c>
      <c r="B159" cm="1">
        <f t="array" ref="B159">IFERROR(INDEX(_xlfn._xlws.FILTER(CONFIG_ASIGNATURAS!$B$2:$B$91,(CONFIG_ASIGNATURAS!$G$2:$G$91="Sí")*ISNUMBER(SEARCH("2EPM",CONFIG_ASIGNATURAS!$C$2:$C$91))),16),"")</f>
      </c>
      <c r="C159">
        <f>IF(B159="","",IFERROR(VLOOKUP(B159,CONFIG_ASIGNATURAS!$B$2:$D$91,3,FALSE()),"Asignatura"))</f>
      </c>
      <c r="D159">
        <f>SUMPRODUCT((nCUENTA=1)*(nCURSO=A159)*(nASIG=B159))</f>
        <v>0</v>
      </c>
      <c r="E159" s="10" t="str">
        <f>IFERROR(SUMPRODUCT((nCUENTA=1)*(nCURSO=A159)*(nASIG=B159)*(nNOTA))/D159,"—")</f>
        <v>—</v>
      </c>
      <c r="F159" s="10" t="str" cm="1">
        <f t="array" ref="F159">IFERROR(_xlfn.STDEV.P(_xlfn._xlws.FILTER(nNOTA,(nCUENTA=1)*(nCURSO=A159)*(nASIG=B159))),"—")</f>
        <v>—</v>
      </c>
      <c r="G159" t="str" cm="1">
        <f t="array" ref="G159">IFERROR(_xlfn.MODE.SNGL(_xlfn._xlws.FILTER(nNOTA,(nCUENTA=1)*(nCURSO=A159)*(nASIG=B159))),"—")</f>
        <v>—</v>
      </c>
      <c r="H159" s="11" t="str">
        <f>IFERROR(SUMPRODUCT((nCUENTA=1)*(nCURSO=A159)*(nASIG=B159)*(nAPTO="S"))/D159,"—")</f>
        <v>—</v>
      </c>
      <c r="I159" s="11" t="str">
        <f>IFERROR(SUMPRODUCT((nCUENTA=1)*(nCURSO=A159)*(nASIG=B159)*(nAPTO="N"))/D159,"—")</f>
        <v>—</v>
      </c>
      <c r="J159" t="str" cm="1">
        <f t="array" ref="J159">IFERROR(_xlfn.MODE.SNGL(_xlfn._xlws.FILTER(nNOTA,(nCUENTA=1)*(nCURSO=A159)*(nASIG=B159)*(nAPTO="S"))),"—")</f>
        <v>—</v>
      </c>
      <c r="K159" t="str" cm="1">
        <f t="array" ref="K159">IFERROR(_xlfn.MODE.SNGL(_xlfn._xlws.FILTER(nNOTA,(nCUENTA=1)*(nCURSO=A159)*(nASIG=B159)*(nAPTO="N"))),"—")</f>
        <v>—</v>
      </c>
      <c r="L159">
        <f>SUMPRODUCT((nCUENTA=1)*(nCURSO=A159)*(nASIG=B159)*(nNOTA=1))</f>
        <v>0</v>
      </c>
      <c r="M159">
        <f>SUMPRODUCT((nCUENTA=1)*(nCURSO=A159)*(nASIG=B159)*(nNOTA=2))</f>
        <v>0</v>
      </c>
      <c r="N159">
        <f>SUMPRODUCT((nCUENTA=1)*(nCURSO=A159)*(nASIG=B159)*(nNOTA=3))</f>
        <v>0</v>
      </c>
      <c r="O159">
        <f>SUMPRODUCT((nCUENTA=1)*(nCURSO=A159)*(nASIG=B159)*(nNOTA=4))</f>
        <v>0</v>
      </c>
      <c r="P159">
        <f>SUMPRODUCT((nCUENTA=1)*(nCURSO=A159)*(nASIG=B159)*(nNOTA=5))</f>
        <v>0</v>
      </c>
      <c r="Q159">
        <f>SUMPRODUCT((nCUENTA=1)*(nCURSO=A159)*(nASIG=B159)*(nNOTA=6))</f>
        <v>0</v>
      </c>
      <c r="R159">
        <f>SUMPRODUCT((nCUENTA=1)*(nCURSO=A159)*(nASIG=B159)*(nNOTA=7))</f>
        <v>0</v>
      </c>
      <c r="S159">
        <f>SUMPRODUCT((nCUENTA=1)*(nCURSO=A159)*(nASIG=B159)*(nNOTA=8))</f>
        <v>0</v>
      </c>
      <c r="T159">
        <f>SUMPRODUCT((nCUENTA=1)*(nCURSO=A159)*(nASIG=B159)*(nNOTA=9))</f>
        <v>0</v>
      </c>
      <c r="U159">
        <f>SUMPRODUCT((nCUENTA=1)*(nCURSO=A159)*(nASIG=B159)*(nNOTA=10))</f>
        <v>0</v>
      </c>
    </row>
    <row r="160">
      <c r="A160" t="inlineStr">
        <is>
          <t xml:space="preserve">2EPM</t>
        </is>
      </c>
      <c r="B160" cm="1">
        <f t="array" ref="B160">IFERROR(INDEX(_xlfn._xlws.FILTER(CONFIG_ASIGNATURAS!$B$2:$B$91,(CONFIG_ASIGNATURAS!$G$2:$G$91="Sí")*ISNUMBER(SEARCH("2EPM",CONFIG_ASIGNATURAS!$C$2:$C$91))),17),"")</f>
      </c>
      <c r="C160">
        <f>IF(B160="","",IFERROR(VLOOKUP(B160,CONFIG_ASIGNATURAS!$B$2:$D$91,3,FALSE()),"Asignatura"))</f>
      </c>
      <c r="D160">
        <f>SUMPRODUCT((nCUENTA=1)*(nCURSO=A160)*(nASIG=B160))</f>
        <v>0</v>
      </c>
      <c r="E160" s="10" t="str">
        <f>IFERROR(SUMPRODUCT((nCUENTA=1)*(nCURSO=A160)*(nASIG=B160)*(nNOTA))/D160,"—")</f>
        <v>—</v>
      </c>
      <c r="F160" s="10" t="str" cm="1">
        <f t="array" ref="F160">IFERROR(_xlfn.STDEV.P(_xlfn._xlws.FILTER(nNOTA,(nCUENTA=1)*(nCURSO=A160)*(nASIG=B160))),"—")</f>
        <v>—</v>
      </c>
      <c r="G160" t="str" cm="1">
        <f t="array" ref="G160">IFERROR(_xlfn.MODE.SNGL(_xlfn._xlws.FILTER(nNOTA,(nCUENTA=1)*(nCURSO=A160)*(nASIG=B160))),"—")</f>
        <v>—</v>
      </c>
      <c r="H160" s="11" t="str">
        <f>IFERROR(SUMPRODUCT((nCUENTA=1)*(nCURSO=A160)*(nASIG=B160)*(nAPTO="S"))/D160,"—")</f>
        <v>—</v>
      </c>
      <c r="I160" s="11" t="str">
        <f>IFERROR(SUMPRODUCT((nCUENTA=1)*(nCURSO=A160)*(nASIG=B160)*(nAPTO="N"))/D160,"—")</f>
        <v>—</v>
      </c>
      <c r="J160" t="str" cm="1">
        <f t="array" ref="J160">IFERROR(_xlfn.MODE.SNGL(_xlfn._xlws.FILTER(nNOTA,(nCUENTA=1)*(nCURSO=A160)*(nASIG=B160)*(nAPTO="S"))),"—")</f>
        <v>—</v>
      </c>
      <c r="K160" t="str" cm="1">
        <f t="array" ref="K160">IFERROR(_xlfn.MODE.SNGL(_xlfn._xlws.FILTER(nNOTA,(nCUENTA=1)*(nCURSO=A160)*(nASIG=B160)*(nAPTO="N"))),"—")</f>
        <v>—</v>
      </c>
      <c r="L160">
        <f>SUMPRODUCT((nCUENTA=1)*(nCURSO=A160)*(nASIG=B160)*(nNOTA=1))</f>
        <v>0</v>
      </c>
      <c r="M160">
        <f>SUMPRODUCT((nCUENTA=1)*(nCURSO=A160)*(nASIG=B160)*(nNOTA=2))</f>
        <v>0</v>
      </c>
      <c r="N160">
        <f>SUMPRODUCT((nCUENTA=1)*(nCURSO=A160)*(nASIG=B160)*(nNOTA=3))</f>
        <v>0</v>
      </c>
      <c r="O160">
        <f>SUMPRODUCT((nCUENTA=1)*(nCURSO=A160)*(nASIG=B160)*(nNOTA=4))</f>
        <v>0</v>
      </c>
      <c r="P160">
        <f>SUMPRODUCT((nCUENTA=1)*(nCURSO=A160)*(nASIG=B160)*(nNOTA=5))</f>
        <v>0</v>
      </c>
      <c r="Q160">
        <f>SUMPRODUCT((nCUENTA=1)*(nCURSO=A160)*(nASIG=B160)*(nNOTA=6))</f>
        <v>0</v>
      </c>
      <c r="R160">
        <f>SUMPRODUCT((nCUENTA=1)*(nCURSO=A160)*(nASIG=B160)*(nNOTA=7))</f>
        <v>0</v>
      </c>
      <c r="S160">
        <f>SUMPRODUCT((nCUENTA=1)*(nCURSO=A160)*(nASIG=B160)*(nNOTA=8))</f>
        <v>0</v>
      </c>
      <c r="T160">
        <f>SUMPRODUCT((nCUENTA=1)*(nCURSO=A160)*(nASIG=B160)*(nNOTA=9))</f>
        <v>0</v>
      </c>
      <c r="U160">
        <f>SUMPRODUCT((nCUENTA=1)*(nCURSO=A160)*(nASIG=B160)*(nNOTA=10))</f>
        <v>0</v>
      </c>
    </row>
    <row r="161">
      <c r="A161" t="inlineStr">
        <is>
          <t xml:space="preserve">2EPM</t>
        </is>
      </c>
      <c r="B161" cm="1">
        <f t="array" ref="B161">IFERROR(INDEX(_xlfn._xlws.FILTER(CONFIG_ASIGNATURAS!$B$2:$B$91,(CONFIG_ASIGNATURAS!$G$2:$G$91="Sí")*ISNUMBER(SEARCH("2EPM",CONFIG_ASIGNATURAS!$C$2:$C$91))),18),"")</f>
      </c>
      <c r="C161">
        <f>IF(B161="","",IFERROR(VLOOKUP(B161,CONFIG_ASIGNATURAS!$B$2:$D$91,3,FALSE()),"Asignatura"))</f>
      </c>
      <c r="D161">
        <f>SUMPRODUCT((nCUENTA=1)*(nCURSO=A161)*(nASIG=B161))</f>
        <v>0</v>
      </c>
      <c r="E161" s="10" t="str">
        <f>IFERROR(SUMPRODUCT((nCUENTA=1)*(nCURSO=A161)*(nASIG=B161)*(nNOTA))/D161,"—")</f>
        <v>—</v>
      </c>
      <c r="F161" s="10" t="str" cm="1">
        <f t="array" ref="F161">IFERROR(_xlfn.STDEV.P(_xlfn._xlws.FILTER(nNOTA,(nCUENTA=1)*(nCURSO=A161)*(nASIG=B161))),"—")</f>
        <v>—</v>
      </c>
      <c r="G161" t="str" cm="1">
        <f t="array" ref="G161">IFERROR(_xlfn.MODE.SNGL(_xlfn._xlws.FILTER(nNOTA,(nCUENTA=1)*(nCURSO=A161)*(nASIG=B161))),"—")</f>
        <v>—</v>
      </c>
      <c r="H161" s="11" t="str">
        <f>IFERROR(SUMPRODUCT((nCUENTA=1)*(nCURSO=A161)*(nASIG=B161)*(nAPTO="S"))/D161,"—")</f>
        <v>—</v>
      </c>
      <c r="I161" s="11" t="str">
        <f>IFERROR(SUMPRODUCT((nCUENTA=1)*(nCURSO=A161)*(nASIG=B161)*(nAPTO="N"))/D161,"—")</f>
        <v>—</v>
      </c>
      <c r="J161" t="str" cm="1">
        <f t="array" ref="J161">IFERROR(_xlfn.MODE.SNGL(_xlfn._xlws.FILTER(nNOTA,(nCUENTA=1)*(nCURSO=A161)*(nASIG=B161)*(nAPTO="S"))),"—")</f>
        <v>—</v>
      </c>
      <c r="K161" t="str" cm="1">
        <f t="array" ref="K161">IFERROR(_xlfn.MODE.SNGL(_xlfn._xlws.FILTER(nNOTA,(nCUENTA=1)*(nCURSO=A161)*(nASIG=B161)*(nAPTO="N"))),"—")</f>
        <v>—</v>
      </c>
      <c r="L161">
        <f>SUMPRODUCT((nCUENTA=1)*(nCURSO=A161)*(nASIG=B161)*(nNOTA=1))</f>
        <v>0</v>
      </c>
      <c r="M161">
        <f>SUMPRODUCT((nCUENTA=1)*(nCURSO=A161)*(nASIG=B161)*(nNOTA=2))</f>
        <v>0</v>
      </c>
      <c r="N161">
        <f>SUMPRODUCT((nCUENTA=1)*(nCURSO=A161)*(nASIG=B161)*(nNOTA=3))</f>
        <v>0</v>
      </c>
      <c r="O161">
        <f>SUMPRODUCT((nCUENTA=1)*(nCURSO=A161)*(nASIG=B161)*(nNOTA=4))</f>
        <v>0</v>
      </c>
      <c r="P161">
        <f>SUMPRODUCT((nCUENTA=1)*(nCURSO=A161)*(nASIG=B161)*(nNOTA=5))</f>
        <v>0</v>
      </c>
      <c r="Q161">
        <f>SUMPRODUCT((nCUENTA=1)*(nCURSO=A161)*(nASIG=B161)*(nNOTA=6))</f>
        <v>0</v>
      </c>
      <c r="R161">
        <f>SUMPRODUCT((nCUENTA=1)*(nCURSO=A161)*(nASIG=B161)*(nNOTA=7))</f>
        <v>0</v>
      </c>
      <c r="S161">
        <f>SUMPRODUCT((nCUENTA=1)*(nCURSO=A161)*(nASIG=B161)*(nNOTA=8))</f>
        <v>0</v>
      </c>
      <c r="T161">
        <f>SUMPRODUCT((nCUENTA=1)*(nCURSO=A161)*(nASIG=B161)*(nNOTA=9))</f>
        <v>0</v>
      </c>
      <c r="U161">
        <f>SUMPRODUCT((nCUENTA=1)*(nCURSO=A161)*(nASIG=B161)*(nNOTA=10))</f>
        <v>0</v>
      </c>
    </row>
    <row r="162">
      <c r="A162" t="inlineStr">
        <is>
          <t xml:space="preserve">2EPM</t>
        </is>
      </c>
      <c r="B162" cm="1">
        <f t="array" ref="B162">IFERROR(INDEX(_xlfn._xlws.FILTER(CONFIG_ASIGNATURAS!$B$2:$B$91,(CONFIG_ASIGNATURAS!$G$2:$G$91="Sí")*ISNUMBER(SEARCH("2EPM",CONFIG_ASIGNATURAS!$C$2:$C$91))),19),"")</f>
      </c>
      <c r="C162">
        <f>IF(B162="","",IFERROR(VLOOKUP(B162,CONFIG_ASIGNATURAS!$B$2:$D$91,3,FALSE()),"Asignatura"))</f>
      </c>
      <c r="D162">
        <f>SUMPRODUCT((nCUENTA=1)*(nCURSO=A162)*(nASIG=B162))</f>
        <v>0</v>
      </c>
      <c r="E162" s="10" t="str">
        <f>IFERROR(SUMPRODUCT((nCUENTA=1)*(nCURSO=A162)*(nASIG=B162)*(nNOTA))/D162,"—")</f>
        <v>—</v>
      </c>
      <c r="F162" s="10" t="str" cm="1">
        <f t="array" ref="F162">IFERROR(_xlfn.STDEV.P(_xlfn._xlws.FILTER(nNOTA,(nCUENTA=1)*(nCURSO=A162)*(nASIG=B162))),"—")</f>
        <v>—</v>
      </c>
      <c r="G162" t="str" cm="1">
        <f t="array" ref="G162">IFERROR(_xlfn.MODE.SNGL(_xlfn._xlws.FILTER(nNOTA,(nCUENTA=1)*(nCURSO=A162)*(nASIG=B162))),"—")</f>
        <v>—</v>
      </c>
      <c r="H162" s="11" t="str">
        <f>IFERROR(SUMPRODUCT((nCUENTA=1)*(nCURSO=A162)*(nASIG=B162)*(nAPTO="S"))/D162,"—")</f>
        <v>—</v>
      </c>
      <c r="I162" s="11" t="str">
        <f>IFERROR(SUMPRODUCT((nCUENTA=1)*(nCURSO=A162)*(nASIG=B162)*(nAPTO="N"))/D162,"—")</f>
        <v>—</v>
      </c>
      <c r="J162" t="str" cm="1">
        <f t="array" ref="J162">IFERROR(_xlfn.MODE.SNGL(_xlfn._xlws.FILTER(nNOTA,(nCUENTA=1)*(nCURSO=A162)*(nASIG=B162)*(nAPTO="S"))),"—")</f>
        <v>—</v>
      </c>
      <c r="K162" t="str" cm="1">
        <f t="array" ref="K162">IFERROR(_xlfn.MODE.SNGL(_xlfn._xlws.FILTER(nNOTA,(nCUENTA=1)*(nCURSO=A162)*(nASIG=B162)*(nAPTO="N"))),"—")</f>
        <v>—</v>
      </c>
      <c r="L162">
        <f>SUMPRODUCT((nCUENTA=1)*(nCURSO=A162)*(nASIG=B162)*(nNOTA=1))</f>
        <v>0</v>
      </c>
      <c r="M162">
        <f>SUMPRODUCT((nCUENTA=1)*(nCURSO=A162)*(nASIG=B162)*(nNOTA=2))</f>
        <v>0</v>
      </c>
      <c r="N162">
        <f>SUMPRODUCT((nCUENTA=1)*(nCURSO=A162)*(nASIG=B162)*(nNOTA=3))</f>
        <v>0</v>
      </c>
      <c r="O162">
        <f>SUMPRODUCT((nCUENTA=1)*(nCURSO=A162)*(nASIG=B162)*(nNOTA=4))</f>
        <v>0</v>
      </c>
      <c r="P162">
        <f>SUMPRODUCT((nCUENTA=1)*(nCURSO=A162)*(nASIG=B162)*(nNOTA=5))</f>
        <v>0</v>
      </c>
      <c r="Q162">
        <f>SUMPRODUCT((nCUENTA=1)*(nCURSO=A162)*(nASIG=B162)*(nNOTA=6))</f>
        <v>0</v>
      </c>
      <c r="R162">
        <f>SUMPRODUCT((nCUENTA=1)*(nCURSO=A162)*(nASIG=B162)*(nNOTA=7))</f>
        <v>0</v>
      </c>
      <c r="S162">
        <f>SUMPRODUCT((nCUENTA=1)*(nCURSO=A162)*(nASIG=B162)*(nNOTA=8))</f>
        <v>0</v>
      </c>
      <c r="T162">
        <f>SUMPRODUCT((nCUENTA=1)*(nCURSO=A162)*(nASIG=B162)*(nNOTA=9))</f>
        <v>0</v>
      </c>
      <c r="U162">
        <f>SUMPRODUCT((nCUENTA=1)*(nCURSO=A162)*(nASIG=B162)*(nNOTA=10))</f>
        <v>0</v>
      </c>
    </row>
    <row r="163">
      <c r="A163" t="inlineStr">
        <is>
          <t xml:space="preserve">2EPM</t>
        </is>
      </c>
      <c r="B163" cm="1">
        <f t="array" ref="B163">IFERROR(INDEX(_xlfn._xlws.FILTER(CONFIG_ASIGNATURAS!$B$2:$B$91,(CONFIG_ASIGNATURAS!$G$2:$G$91="Sí")*ISNUMBER(SEARCH("2EPM",CONFIG_ASIGNATURAS!$C$2:$C$91))),20),"")</f>
      </c>
      <c r="C163">
        <f>IF(B163="","",IFERROR(VLOOKUP(B163,CONFIG_ASIGNATURAS!$B$2:$D$91,3,FALSE()),"Asignatura"))</f>
      </c>
      <c r="D163">
        <f>SUMPRODUCT((nCUENTA=1)*(nCURSO=A163)*(nASIG=B163))</f>
        <v>0</v>
      </c>
      <c r="E163" s="10" t="str">
        <f>IFERROR(SUMPRODUCT((nCUENTA=1)*(nCURSO=A163)*(nASIG=B163)*(nNOTA))/D163,"—")</f>
        <v>—</v>
      </c>
      <c r="F163" s="10" t="str" cm="1">
        <f t="array" ref="F163">IFERROR(_xlfn.STDEV.P(_xlfn._xlws.FILTER(nNOTA,(nCUENTA=1)*(nCURSO=A163)*(nASIG=B163))),"—")</f>
        <v>—</v>
      </c>
      <c r="G163" t="str" cm="1">
        <f t="array" ref="G163">IFERROR(_xlfn.MODE.SNGL(_xlfn._xlws.FILTER(nNOTA,(nCUENTA=1)*(nCURSO=A163)*(nASIG=B163))),"—")</f>
        <v>—</v>
      </c>
      <c r="H163" s="11" t="str">
        <f>IFERROR(SUMPRODUCT((nCUENTA=1)*(nCURSO=A163)*(nASIG=B163)*(nAPTO="S"))/D163,"—")</f>
        <v>—</v>
      </c>
      <c r="I163" s="11" t="str">
        <f>IFERROR(SUMPRODUCT((nCUENTA=1)*(nCURSO=A163)*(nASIG=B163)*(nAPTO="N"))/D163,"—")</f>
        <v>—</v>
      </c>
      <c r="J163" t="str" cm="1">
        <f t="array" ref="J163">IFERROR(_xlfn.MODE.SNGL(_xlfn._xlws.FILTER(nNOTA,(nCUENTA=1)*(nCURSO=A163)*(nASIG=B163)*(nAPTO="S"))),"—")</f>
        <v>—</v>
      </c>
      <c r="K163" t="str" cm="1">
        <f t="array" ref="K163">IFERROR(_xlfn.MODE.SNGL(_xlfn._xlws.FILTER(nNOTA,(nCUENTA=1)*(nCURSO=A163)*(nASIG=B163)*(nAPTO="N"))),"—")</f>
        <v>—</v>
      </c>
      <c r="L163">
        <f>SUMPRODUCT((nCUENTA=1)*(nCURSO=A163)*(nASIG=B163)*(nNOTA=1))</f>
        <v>0</v>
      </c>
      <c r="M163">
        <f>SUMPRODUCT((nCUENTA=1)*(nCURSO=A163)*(nASIG=B163)*(nNOTA=2))</f>
        <v>0</v>
      </c>
      <c r="N163">
        <f>SUMPRODUCT((nCUENTA=1)*(nCURSO=A163)*(nASIG=B163)*(nNOTA=3))</f>
        <v>0</v>
      </c>
      <c r="O163">
        <f>SUMPRODUCT((nCUENTA=1)*(nCURSO=A163)*(nASIG=B163)*(nNOTA=4))</f>
        <v>0</v>
      </c>
      <c r="P163">
        <f>SUMPRODUCT((nCUENTA=1)*(nCURSO=A163)*(nASIG=B163)*(nNOTA=5))</f>
        <v>0</v>
      </c>
      <c r="Q163">
        <f>SUMPRODUCT((nCUENTA=1)*(nCURSO=A163)*(nASIG=B163)*(nNOTA=6))</f>
        <v>0</v>
      </c>
      <c r="R163">
        <f>SUMPRODUCT((nCUENTA=1)*(nCURSO=A163)*(nASIG=B163)*(nNOTA=7))</f>
        <v>0</v>
      </c>
      <c r="S163">
        <f>SUMPRODUCT((nCUENTA=1)*(nCURSO=A163)*(nASIG=B163)*(nNOTA=8))</f>
        <v>0</v>
      </c>
      <c r="T163">
        <f>SUMPRODUCT((nCUENTA=1)*(nCURSO=A163)*(nASIG=B163)*(nNOTA=9))</f>
        <v>0</v>
      </c>
      <c r="U163">
        <f>SUMPRODUCT((nCUENTA=1)*(nCURSO=A163)*(nASIG=B163)*(nNOTA=10))</f>
        <v>0</v>
      </c>
    </row>
    <row r="164">
      <c r="A164" t="inlineStr">
        <is>
          <t xml:space="preserve">2EPM</t>
        </is>
      </c>
      <c r="B164" cm="1">
        <f t="array" ref="B164">IFERROR(INDEX(_xlfn._xlws.FILTER(CONFIG_ASIGNATURAS!$B$2:$B$91,(CONFIG_ASIGNATURAS!$G$2:$G$91="Sí")*ISNUMBER(SEARCH("2EPM",CONFIG_ASIGNATURAS!$C$2:$C$91))),21),"")</f>
      </c>
      <c r="C164">
        <f>IF(B164="","",IFERROR(VLOOKUP(B164,CONFIG_ASIGNATURAS!$B$2:$D$91,3,FALSE()),"Asignatura"))</f>
      </c>
      <c r="D164">
        <f>SUMPRODUCT((nCUENTA=1)*(nCURSO=A164)*(nASIG=B164))</f>
        <v>0</v>
      </c>
      <c r="E164" s="10" t="str">
        <f>IFERROR(SUMPRODUCT((nCUENTA=1)*(nCURSO=A164)*(nASIG=B164)*(nNOTA))/D164,"—")</f>
        <v>—</v>
      </c>
      <c r="F164" s="10" t="str" cm="1">
        <f t="array" ref="F164">IFERROR(_xlfn.STDEV.P(_xlfn._xlws.FILTER(nNOTA,(nCUENTA=1)*(nCURSO=A164)*(nASIG=B164))),"—")</f>
        <v>—</v>
      </c>
      <c r="G164" t="str" cm="1">
        <f t="array" ref="G164">IFERROR(_xlfn.MODE.SNGL(_xlfn._xlws.FILTER(nNOTA,(nCUENTA=1)*(nCURSO=A164)*(nASIG=B164))),"—")</f>
        <v>—</v>
      </c>
      <c r="H164" s="11" t="str">
        <f>IFERROR(SUMPRODUCT((nCUENTA=1)*(nCURSO=A164)*(nASIG=B164)*(nAPTO="S"))/D164,"—")</f>
        <v>—</v>
      </c>
      <c r="I164" s="11" t="str">
        <f>IFERROR(SUMPRODUCT((nCUENTA=1)*(nCURSO=A164)*(nASIG=B164)*(nAPTO="N"))/D164,"—")</f>
        <v>—</v>
      </c>
      <c r="J164" t="str" cm="1">
        <f t="array" ref="J164">IFERROR(_xlfn.MODE.SNGL(_xlfn._xlws.FILTER(nNOTA,(nCUENTA=1)*(nCURSO=A164)*(nASIG=B164)*(nAPTO="S"))),"—")</f>
        <v>—</v>
      </c>
      <c r="K164" t="str" cm="1">
        <f t="array" ref="K164">IFERROR(_xlfn.MODE.SNGL(_xlfn._xlws.FILTER(nNOTA,(nCUENTA=1)*(nCURSO=A164)*(nASIG=B164)*(nAPTO="N"))),"—")</f>
        <v>—</v>
      </c>
      <c r="L164">
        <f>SUMPRODUCT((nCUENTA=1)*(nCURSO=A164)*(nASIG=B164)*(nNOTA=1))</f>
        <v>0</v>
      </c>
      <c r="M164">
        <f>SUMPRODUCT((nCUENTA=1)*(nCURSO=A164)*(nASIG=B164)*(nNOTA=2))</f>
        <v>0</v>
      </c>
      <c r="N164">
        <f>SUMPRODUCT((nCUENTA=1)*(nCURSO=A164)*(nASIG=B164)*(nNOTA=3))</f>
        <v>0</v>
      </c>
      <c r="O164">
        <f>SUMPRODUCT((nCUENTA=1)*(nCURSO=A164)*(nASIG=B164)*(nNOTA=4))</f>
        <v>0</v>
      </c>
      <c r="P164">
        <f>SUMPRODUCT((nCUENTA=1)*(nCURSO=A164)*(nASIG=B164)*(nNOTA=5))</f>
        <v>0</v>
      </c>
      <c r="Q164">
        <f>SUMPRODUCT((nCUENTA=1)*(nCURSO=A164)*(nASIG=B164)*(nNOTA=6))</f>
        <v>0</v>
      </c>
      <c r="R164">
        <f>SUMPRODUCT((nCUENTA=1)*(nCURSO=A164)*(nASIG=B164)*(nNOTA=7))</f>
        <v>0</v>
      </c>
      <c r="S164">
        <f>SUMPRODUCT((nCUENTA=1)*(nCURSO=A164)*(nASIG=B164)*(nNOTA=8))</f>
        <v>0</v>
      </c>
      <c r="T164">
        <f>SUMPRODUCT((nCUENTA=1)*(nCURSO=A164)*(nASIG=B164)*(nNOTA=9))</f>
        <v>0</v>
      </c>
      <c r="U164">
        <f>SUMPRODUCT((nCUENTA=1)*(nCURSO=A164)*(nASIG=B164)*(nNOTA=10))</f>
        <v>0</v>
      </c>
    </row>
    <row r="165">
      <c r="A165" t="inlineStr">
        <is>
          <t xml:space="preserve">2EPM</t>
        </is>
      </c>
      <c r="B165" cm="1">
        <f t="array" ref="B165">IFERROR(INDEX(_xlfn._xlws.FILTER(CONFIG_ASIGNATURAS!$B$2:$B$91,(CONFIG_ASIGNATURAS!$G$2:$G$91="Sí")*ISNUMBER(SEARCH("2EPM",CONFIG_ASIGNATURAS!$C$2:$C$91))),22),"")</f>
      </c>
      <c r="C165">
        <f>IF(B165="","",IFERROR(VLOOKUP(B165,CONFIG_ASIGNATURAS!$B$2:$D$91,3,FALSE()),"Asignatura"))</f>
      </c>
      <c r="D165">
        <f>SUMPRODUCT((nCUENTA=1)*(nCURSO=A165)*(nASIG=B165))</f>
        <v>0</v>
      </c>
      <c r="E165" s="10" t="str">
        <f>IFERROR(SUMPRODUCT((nCUENTA=1)*(nCURSO=A165)*(nASIG=B165)*(nNOTA))/D165,"—")</f>
        <v>—</v>
      </c>
      <c r="F165" s="10" t="str" cm="1">
        <f t="array" ref="F165">IFERROR(_xlfn.STDEV.P(_xlfn._xlws.FILTER(nNOTA,(nCUENTA=1)*(nCURSO=A165)*(nASIG=B165))),"—")</f>
        <v>—</v>
      </c>
      <c r="G165" t="str" cm="1">
        <f t="array" ref="G165">IFERROR(_xlfn.MODE.SNGL(_xlfn._xlws.FILTER(nNOTA,(nCUENTA=1)*(nCURSO=A165)*(nASIG=B165))),"—")</f>
        <v>—</v>
      </c>
      <c r="H165" s="11" t="str">
        <f>IFERROR(SUMPRODUCT((nCUENTA=1)*(nCURSO=A165)*(nASIG=B165)*(nAPTO="S"))/D165,"—")</f>
        <v>—</v>
      </c>
      <c r="I165" s="11" t="str">
        <f>IFERROR(SUMPRODUCT((nCUENTA=1)*(nCURSO=A165)*(nASIG=B165)*(nAPTO="N"))/D165,"—")</f>
        <v>—</v>
      </c>
      <c r="J165" t="str" cm="1">
        <f t="array" ref="J165">IFERROR(_xlfn.MODE.SNGL(_xlfn._xlws.FILTER(nNOTA,(nCUENTA=1)*(nCURSO=A165)*(nASIG=B165)*(nAPTO="S"))),"—")</f>
        <v>—</v>
      </c>
      <c r="K165" t="str" cm="1">
        <f t="array" ref="K165">IFERROR(_xlfn.MODE.SNGL(_xlfn._xlws.FILTER(nNOTA,(nCUENTA=1)*(nCURSO=A165)*(nASIG=B165)*(nAPTO="N"))),"—")</f>
        <v>—</v>
      </c>
      <c r="L165">
        <f>SUMPRODUCT((nCUENTA=1)*(nCURSO=A165)*(nASIG=B165)*(nNOTA=1))</f>
        <v>0</v>
      </c>
      <c r="M165">
        <f>SUMPRODUCT((nCUENTA=1)*(nCURSO=A165)*(nASIG=B165)*(nNOTA=2))</f>
        <v>0</v>
      </c>
      <c r="N165">
        <f>SUMPRODUCT((nCUENTA=1)*(nCURSO=A165)*(nASIG=B165)*(nNOTA=3))</f>
        <v>0</v>
      </c>
      <c r="O165">
        <f>SUMPRODUCT((nCUENTA=1)*(nCURSO=A165)*(nASIG=B165)*(nNOTA=4))</f>
        <v>0</v>
      </c>
      <c r="P165">
        <f>SUMPRODUCT((nCUENTA=1)*(nCURSO=A165)*(nASIG=B165)*(nNOTA=5))</f>
        <v>0</v>
      </c>
      <c r="Q165">
        <f>SUMPRODUCT((nCUENTA=1)*(nCURSO=A165)*(nASIG=B165)*(nNOTA=6))</f>
        <v>0</v>
      </c>
      <c r="R165">
        <f>SUMPRODUCT((nCUENTA=1)*(nCURSO=A165)*(nASIG=B165)*(nNOTA=7))</f>
        <v>0</v>
      </c>
      <c r="S165">
        <f>SUMPRODUCT((nCUENTA=1)*(nCURSO=A165)*(nASIG=B165)*(nNOTA=8))</f>
        <v>0</v>
      </c>
      <c r="T165">
        <f>SUMPRODUCT((nCUENTA=1)*(nCURSO=A165)*(nASIG=B165)*(nNOTA=9))</f>
        <v>0</v>
      </c>
      <c r="U165">
        <f>SUMPRODUCT((nCUENTA=1)*(nCURSO=A165)*(nASIG=B165)*(nNOTA=10))</f>
        <v>0</v>
      </c>
    </row>
    <row r="166">
      <c r="A166" t="inlineStr">
        <is>
          <t xml:space="preserve">2EPM</t>
        </is>
      </c>
      <c r="B166" cm="1">
        <f t="array" ref="B166">IFERROR(INDEX(_xlfn._xlws.FILTER(CONFIG_ASIGNATURAS!$B$2:$B$91,(CONFIG_ASIGNATURAS!$G$2:$G$91="Sí")*ISNUMBER(SEARCH("2EPM",CONFIG_ASIGNATURAS!$C$2:$C$91))),23),"")</f>
      </c>
      <c r="C166">
        <f>IF(B166="","",IFERROR(VLOOKUP(B166,CONFIG_ASIGNATURAS!$B$2:$D$91,3,FALSE()),"Asignatura"))</f>
      </c>
      <c r="D166">
        <f>SUMPRODUCT((nCUENTA=1)*(nCURSO=A166)*(nASIG=B166))</f>
        <v>0</v>
      </c>
      <c r="E166" s="10" t="str">
        <f>IFERROR(SUMPRODUCT((nCUENTA=1)*(nCURSO=A166)*(nASIG=B166)*(nNOTA))/D166,"—")</f>
        <v>—</v>
      </c>
      <c r="F166" s="10" t="str" cm="1">
        <f t="array" ref="F166">IFERROR(_xlfn.STDEV.P(_xlfn._xlws.FILTER(nNOTA,(nCUENTA=1)*(nCURSO=A166)*(nASIG=B166))),"—")</f>
        <v>—</v>
      </c>
      <c r="G166" t="str" cm="1">
        <f t="array" ref="G166">IFERROR(_xlfn.MODE.SNGL(_xlfn._xlws.FILTER(nNOTA,(nCUENTA=1)*(nCURSO=A166)*(nASIG=B166))),"—")</f>
        <v>—</v>
      </c>
      <c r="H166" s="11" t="str">
        <f>IFERROR(SUMPRODUCT((nCUENTA=1)*(nCURSO=A166)*(nASIG=B166)*(nAPTO="S"))/D166,"—")</f>
        <v>—</v>
      </c>
      <c r="I166" s="11" t="str">
        <f>IFERROR(SUMPRODUCT((nCUENTA=1)*(nCURSO=A166)*(nASIG=B166)*(nAPTO="N"))/D166,"—")</f>
        <v>—</v>
      </c>
      <c r="J166" t="str" cm="1">
        <f t="array" ref="J166">IFERROR(_xlfn.MODE.SNGL(_xlfn._xlws.FILTER(nNOTA,(nCUENTA=1)*(nCURSO=A166)*(nASIG=B166)*(nAPTO="S"))),"—")</f>
        <v>—</v>
      </c>
      <c r="K166" t="str" cm="1">
        <f t="array" ref="K166">IFERROR(_xlfn.MODE.SNGL(_xlfn._xlws.FILTER(nNOTA,(nCUENTA=1)*(nCURSO=A166)*(nASIG=B166)*(nAPTO="N"))),"—")</f>
        <v>—</v>
      </c>
      <c r="L166">
        <f>SUMPRODUCT((nCUENTA=1)*(nCURSO=A166)*(nASIG=B166)*(nNOTA=1))</f>
        <v>0</v>
      </c>
      <c r="M166">
        <f>SUMPRODUCT((nCUENTA=1)*(nCURSO=A166)*(nASIG=B166)*(nNOTA=2))</f>
        <v>0</v>
      </c>
      <c r="N166">
        <f>SUMPRODUCT((nCUENTA=1)*(nCURSO=A166)*(nASIG=B166)*(nNOTA=3))</f>
        <v>0</v>
      </c>
      <c r="O166">
        <f>SUMPRODUCT((nCUENTA=1)*(nCURSO=A166)*(nASIG=B166)*(nNOTA=4))</f>
        <v>0</v>
      </c>
      <c r="P166">
        <f>SUMPRODUCT((nCUENTA=1)*(nCURSO=A166)*(nASIG=B166)*(nNOTA=5))</f>
        <v>0</v>
      </c>
      <c r="Q166">
        <f>SUMPRODUCT((nCUENTA=1)*(nCURSO=A166)*(nASIG=B166)*(nNOTA=6))</f>
        <v>0</v>
      </c>
      <c r="R166">
        <f>SUMPRODUCT((nCUENTA=1)*(nCURSO=A166)*(nASIG=B166)*(nNOTA=7))</f>
        <v>0</v>
      </c>
      <c r="S166">
        <f>SUMPRODUCT((nCUENTA=1)*(nCURSO=A166)*(nASIG=B166)*(nNOTA=8))</f>
        <v>0</v>
      </c>
      <c r="T166">
        <f>SUMPRODUCT((nCUENTA=1)*(nCURSO=A166)*(nASIG=B166)*(nNOTA=9))</f>
        <v>0</v>
      </c>
      <c r="U166">
        <f>SUMPRODUCT((nCUENTA=1)*(nCURSO=A166)*(nASIG=B166)*(nNOTA=10))</f>
        <v>0</v>
      </c>
    </row>
    <row r="167">
      <c r="A167" t="inlineStr">
        <is>
          <t xml:space="preserve">2EPM</t>
        </is>
      </c>
      <c r="B167" cm="1">
        <f t="array" ref="B167">IFERROR(INDEX(_xlfn._xlws.FILTER(CONFIG_ASIGNATURAS!$B$2:$B$91,(CONFIG_ASIGNATURAS!$G$2:$G$91="Sí")*ISNUMBER(SEARCH("2EPM",CONFIG_ASIGNATURAS!$C$2:$C$91))),24),"")</f>
      </c>
      <c r="C167">
        <f>IF(B167="","",IFERROR(VLOOKUP(B167,CONFIG_ASIGNATURAS!$B$2:$D$91,3,FALSE()),"Asignatura"))</f>
      </c>
      <c r="D167">
        <f>SUMPRODUCT((nCUENTA=1)*(nCURSO=A167)*(nASIG=B167))</f>
        <v>0</v>
      </c>
      <c r="E167" s="10" t="str">
        <f>IFERROR(SUMPRODUCT((nCUENTA=1)*(nCURSO=A167)*(nASIG=B167)*(nNOTA))/D167,"—")</f>
        <v>—</v>
      </c>
      <c r="F167" s="10" t="str" cm="1">
        <f t="array" ref="F167">IFERROR(_xlfn.STDEV.P(_xlfn._xlws.FILTER(nNOTA,(nCUENTA=1)*(nCURSO=A167)*(nASIG=B167))),"—")</f>
        <v>—</v>
      </c>
      <c r="G167" t="str" cm="1">
        <f t="array" ref="G167">IFERROR(_xlfn.MODE.SNGL(_xlfn._xlws.FILTER(nNOTA,(nCUENTA=1)*(nCURSO=A167)*(nASIG=B167))),"—")</f>
        <v>—</v>
      </c>
      <c r="H167" s="11" t="str">
        <f>IFERROR(SUMPRODUCT((nCUENTA=1)*(nCURSO=A167)*(nASIG=B167)*(nAPTO="S"))/D167,"—")</f>
        <v>—</v>
      </c>
      <c r="I167" s="11" t="str">
        <f>IFERROR(SUMPRODUCT((nCUENTA=1)*(nCURSO=A167)*(nASIG=B167)*(nAPTO="N"))/D167,"—")</f>
        <v>—</v>
      </c>
      <c r="J167" t="str" cm="1">
        <f t="array" ref="J167">IFERROR(_xlfn.MODE.SNGL(_xlfn._xlws.FILTER(nNOTA,(nCUENTA=1)*(nCURSO=A167)*(nASIG=B167)*(nAPTO="S"))),"—")</f>
        <v>—</v>
      </c>
      <c r="K167" t="str" cm="1">
        <f t="array" ref="K167">IFERROR(_xlfn.MODE.SNGL(_xlfn._xlws.FILTER(nNOTA,(nCUENTA=1)*(nCURSO=A167)*(nASIG=B167)*(nAPTO="N"))),"—")</f>
        <v>—</v>
      </c>
      <c r="L167">
        <f>SUMPRODUCT((nCUENTA=1)*(nCURSO=A167)*(nASIG=B167)*(nNOTA=1))</f>
        <v>0</v>
      </c>
      <c r="M167">
        <f>SUMPRODUCT((nCUENTA=1)*(nCURSO=A167)*(nASIG=B167)*(nNOTA=2))</f>
        <v>0</v>
      </c>
      <c r="N167">
        <f>SUMPRODUCT((nCUENTA=1)*(nCURSO=A167)*(nASIG=B167)*(nNOTA=3))</f>
        <v>0</v>
      </c>
      <c r="O167">
        <f>SUMPRODUCT((nCUENTA=1)*(nCURSO=A167)*(nASIG=B167)*(nNOTA=4))</f>
        <v>0</v>
      </c>
      <c r="P167">
        <f>SUMPRODUCT((nCUENTA=1)*(nCURSO=A167)*(nASIG=B167)*(nNOTA=5))</f>
        <v>0</v>
      </c>
      <c r="Q167">
        <f>SUMPRODUCT((nCUENTA=1)*(nCURSO=A167)*(nASIG=B167)*(nNOTA=6))</f>
        <v>0</v>
      </c>
      <c r="R167">
        <f>SUMPRODUCT((nCUENTA=1)*(nCURSO=A167)*(nASIG=B167)*(nNOTA=7))</f>
        <v>0</v>
      </c>
      <c r="S167">
        <f>SUMPRODUCT((nCUENTA=1)*(nCURSO=A167)*(nASIG=B167)*(nNOTA=8))</f>
        <v>0</v>
      </c>
      <c r="T167">
        <f>SUMPRODUCT((nCUENTA=1)*(nCURSO=A167)*(nASIG=B167)*(nNOTA=9))</f>
        <v>0</v>
      </c>
      <c r="U167">
        <f>SUMPRODUCT((nCUENTA=1)*(nCURSO=A167)*(nASIG=B167)*(nNOTA=10))</f>
        <v>0</v>
      </c>
    </row>
    <row r="168">
      <c r="A168" t="inlineStr">
        <is>
          <t xml:space="preserve">2EPM</t>
        </is>
      </c>
      <c r="B168" cm="1">
        <f t="array" ref="B168">IFERROR(INDEX(_xlfn._xlws.FILTER(CONFIG_ASIGNATURAS!$B$2:$B$91,(CONFIG_ASIGNATURAS!$G$2:$G$91="Sí")*ISNUMBER(SEARCH("2EPM",CONFIG_ASIGNATURAS!$C$2:$C$91))),25),"")</f>
      </c>
      <c r="C168">
        <f>IF(B168="","",IFERROR(VLOOKUP(B168,CONFIG_ASIGNATURAS!$B$2:$D$91,3,FALSE()),"Asignatura"))</f>
      </c>
      <c r="D168">
        <f>SUMPRODUCT((nCUENTA=1)*(nCURSO=A168)*(nASIG=B168))</f>
        <v>0</v>
      </c>
      <c r="E168" s="10" t="str">
        <f>IFERROR(SUMPRODUCT((nCUENTA=1)*(nCURSO=A168)*(nASIG=B168)*(nNOTA))/D168,"—")</f>
        <v>—</v>
      </c>
      <c r="F168" s="10" t="str" cm="1">
        <f t="array" ref="F168">IFERROR(_xlfn.STDEV.P(_xlfn._xlws.FILTER(nNOTA,(nCUENTA=1)*(nCURSO=A168)*(nASIG=B168))),"—")</f>
        <v>—</v>
      </c>
      <c r="G168" t="str" cm="1">
        <f t="array" ref="G168">IFERROR(_xlfn.MODE.SNGL(_xlfn._xlws.FILTER(nNOTA,(nCUENTA=1)*(nCURSO=A168)*(nASIG=B168))),"—")</f>
        <v>—</v>
      </c>
      <c r="H168" s="11" t="str">
        <f>IFERROR(SUMPRODUCT((nCUENTA=1)*(nCURSO=A168)*(nASIG=B168)*(nAPTO="S"))/D168,"—")</f>
        <v>—</v>
      </c>
      <c r="I168" s="11" t="str">
        <f>IFERROR(SUMPRODUCT((nCUENTA=1)*(nCURSO=A168)*(nASIG=B168)*(nAPTO="N"))/D168,"—")</f>
        <v>—</v>
      </c>
      <c r="J168" t="str" cm="1">
        <f t="array" ref="J168">IFERROR(_xlfn.MODE.SNGL(_xlfn._xlws.FILTER(nNOTA,(nCUENTA=1)*(nCURSO=A168)*(nASIG=B168)*(nAPTO="S"))),"—")</f>
        <v>—</v>
      </c>
      <c r="K168" t="str" cm="1">
        <f t="array" ref="K168">IFERROR(_xlfn.MODE.SNGL(_xlfn._xlws.FILTER(nNOTA,(nCUENTA=1)*(nCURSO=A168)*(nASIG=B168)*(nAPTO="N"))),"—")</f>
        <v>—</v>
      </c>
      <c r="L168">
        <f>SUMPRODUCT((nCUENTA=1)*(nCURSO=A168)*(nASIG=B168)*(nNOTA=1))</f>
        <v>0</v>
      </c>
      <c r="M168">
        <f>SUMPRODUCT((nCUENTA=1)*(nCURSO=A168)*(nASIG=B168)*(nNOTA=2))</f>
        <v>0</v>
      </c>
      <c r="N168">
        <f>SUMPRODUCT((nCUENTA=1)*(nCURSO=A168)*(nASIG=B168)*(nNOTA=3))</f>
        <v>0</v>
      </c>
      <c r="O168">
        <f>SUMPRODUCT((nCUENTA=1)*(nCURSO=A168)*(nASIG=B168)*(nNOTA=4))</f>
        <v>0</v>
      </c>
      <c r="P168">
        <f>SUMPRODUCT((nCUENTA=1)*(nCURSO=A168)*(nASIG=B168)*(nNOTA=5))</f>
        <v>0</v>
      </c>
      <c r="Q168">
        <f>SUMPRODUCT((nCUENTA=1)*(nCURSO=A168)*(nASIG=B168)*(nNOTA=6))</f>
        <v>0</v>
      </c>
      <c r="R168">
        <f>SUMPRODUCT((nCUENTA=1)*(nCURSO=A168)*(nASIG=B168)*(nNOTA=7))</f>
        <v>0</v>
      </c>
      <c r="S168">
        <f>SUMPRODUCT((nCUENTA=1)*(nCURSO=A168)*(nASIG=B168)*(nNOTA=8))</f>
        <v>0</v>
      </c>
      <c r="T168">
        <f>SUMPRODUCT((nCUENTA=1)*(nCURSO=A168)*(nASIG=B168)*(nNOTA=9))</f>
        <v>0</v>
      </c>
      <c r="U168">
        <f>SUMPRODUCT((nCUENTA=1)*(nCURSO=A168)*(nASIG=B168)*(nNOTA=10))</f>
        <v>0</v>
      </c>
    </row>
    <row r="169">
      <c r="A169" t="inlineStr">
        <is>
          <t xml:space="preserve">2EPM</t>
        </is>
      </c>
      <c r="B169" cm="1">
        <f t="array" ref="B169">IFERROR(INDEX(_xlfn._xlws.FILTER(CONFIG_ASIGNATURAS!$B$2:$B$91,(CONFIG_ASIGNATURAS!$G$2:$G$91="Sí")*ISNUMBER(SEARCH("2EPM",CONFIG_ASIGNATURAS!$C$2:$C$91))),26),"")</f>
      </c>
      <c r="C169">
        <f>IF(B169="","",IFERROR(VLOOKUP(B169,CONFIG_ASIGNATURAS!$B$2:$D$91,3,FALSE()),"Asignatura"))</f>
      </c>
      <c r="D169">
        <f>SUMPRODUCT((nCUENTA=1)*(nCURSO=A169)*(nASIG=B169))</f>
        <v>0</v>
      </c>
      <c r="E169" s="10" t="str">
        <f>IFERROR(SUMPRODUCT((nCUENTA=1)*(nCURSO=A169)*(nASIG=B169)*(nNOTA))/D169,"—")</f>
        <v>—</v>
      </c>
      <c r="F169" s="10" t="str" cm="1">
        <f t="array" ref="F169">IFERROR(_xlfn.STDEV.P(_xlfn._xlws.FILTER(nNOTA,(nCUENTA=1)*(nCURSO=A169)*(nASIG=B169))),"—")</f>
        <v>—</v>
      </c>
      <c r="G169" t="str" cm="1">
        <f t="array" ref="G169">IFERROR(_xlfn.MODE.SNGL(_xlfn._xlws.FILTER(nNOTA,(nCUENTA=1)*(nCURSO=A169)*(nASIG=B169))),"—")</f>
        <v>—</v>
      </c>
      <c r="H169" s="11" t="str">
        <f>IFERROR(SUMPRODUCT((nCUENTA=1)*(nCURSO=A169)*(nASIG=B169)*(nAPTO="S"))/D169,"—")</f>
        <v>—</v>
      </c>
      <c r="I169" s="11" t="str">
        <f>IFERROR(SUMPRODUCT((nCUENTA=1)*(nCURSO=A169)*(nASIG=B169)*(nAPTO="N"))/D169,"—")</f>
        <v>—</v>
      </c>
      <c r="J169" t="str" cm="1">
        <f t="array" ref="J169">IFERROR(_xlfn.MODE.SNGL(_xlfn._xlws.FILTER(nNOTA,(nCUENTA=1)*(nCURSO=A169)*(nASIG=B169)*(nAPTO="S"))),"—")</f>
        <v>—</v>
      </c>
      <c r="K169" t="str" cm="1">
        <f t="array" ref="K169">IFERROR(_xlfn.MODE.SNGL(_xlfn._xlws.FILTER(nNOTA,(nCUENTA=1)*(nCURSO=A169)*(nASIG=B169)*(nAPTO="N"))),"—")</f>
        <v>—</v>
      </c>
      <c r="L169">
        <f>SUMPRODUCT((nCUENTA=1)*(nCURSO=A169)*(nASIG=B169)*(nNOTA=1))</f>
        <v>0</v>
      </c>
      <c r="M169">
        <f>SUMPRODUCT((nCUENTA=1)*(nCURSO=A169)*(nASIG=B169)*(nNOTA=2))</f>
        <v>0</v>
      </c>
      <c r="N169">
        <f>SUMPRODUCT((nCUENTA=1)*(nCURSO=A169)*(nASIG=B169)*(nNOTA=3))</f>
        <v>0</v>
      </c>
      <c r="O169">
        <f>SUMPRODUCT((nCUENTA=1)*(nCURSO=A169)*(nASIG=B169)*(nNOTA=4))</f>
        <v>0</v>
      </c>
      <c r="P169">
        <f>SUMPRODUCT((nCUENTA=1)*(nCURSO=A169)*(nASIG=B169)*(nNOTA=5))</f>
        <v>0</v>
      </c>
      <c r="Q169">
        <f>SUMPRODUCT((nCUENTA=1)*(nCURSO=A169)*(nASIG=B169)*(nNOTA=6))</f>
        <v>0</v>
      </c>
      <c r="R169">
        <f>SUMPRODUCT((nCUENTA=1)*(nCURSO=A169)*(nASIG=B169)*(nNOTA=7))</f>
        <v>0</v>
      </c>
      <c r="S169">
        <f>SUMPRODUCT((nCUENTA=1)*(nCURSO=A169)*(nASIG=B169)*(nNOTA=8))</f>
        <v>0</v>
      </c>
      <c r="T169">
        <f>SUMPRODUCT((nCUENTA=1)*(nCURSO=A169)*(nASIG=B169)*(nNOTA=9))</f>
        <v>0</v>
      </c>
      <c r="U169">
        <f>SUMPRODUCT((nCUENTA=1)*(nCURSO=A169)*(nASIG=B169)*(nNOTA=10))</f>
        <v>0</v>
      </c>
    </row>
    <row r="170">
      <c r="A170" t="inlineStr">
        <is>
          <t xml:space="preserve">2EPM</t>
        </is>
      </c>
      <c r="B170" cm="1">
        <f t="array" ref="B170">IFERROR(INDEX(_xlfn._xlws.FILTER(CONFIG_ASIGNATURAS!$B$2:$B$91,(CONFIG_ASIGNATURAS!$G$2:$G$91="Sí")*ISNUMBER(SEARCH("2EPM",CONFIG_ASIGNATURAS!$C$2:$C$91))),27),"")</f>
      </c>
      <c r="C170">
        <f>IF(B170="","",IFERROR(VLOOKUP(B170,CONFIG_ASIGNATURAS!$B$2:$D$91,3,FALSE()),"Asignatura"))</f>
      </c>
      <c r="D170">
        <f>SUMPRODUCT((nCUENTA=1)*(nCURSO=A170)*(nASIG=B170))</f>
        <v>0</v>
      </c>
      <c r="E170" s="10" t="str">
        <f>IFERROR(SUMPRODUCT((nCUENTA=1)*(nCURSO=A170)*(nASIG=B170)*(nNOTA))/D170,"—")</f>
        <v>—</v>
      </c>
      <c r="F170" s="10" t="str" cm="1">
        <f t="array" ref="F170">IFERROR(_xlfn.STDEV.P(_xlfn._xlws.FILTER(nNOTA,(nCUENTA=1)*(nCURSO=A170)*(nASIG=B170))),"—")</f>
        <v>—</v>
      </c>
      <c r="G170" t="str" cm="1">
        <f t="array" ref="G170">IFERROR(_xlfn.MODE.SNGL(_xlfn._xlws.FILTER(nNOTA,(nCUENTA=1)*(nCURSO=A170)*(nASIG=B170))),"—")</f>
        <v>—</v>
      </c>
      <c r="H170" s="11" t="str">
        <f>IFERROR(SUMPRODUCT((nCUENTA=1)*(nCURSO=A170)*(nASIG=B170)*(nAPTO="S"))/D170,"—")</f>
        <v>—</v>
      </c>
      <c r="I170" s="11" t="str">
        <f>IFERROR(SUMPRODUCT((nCUENTA=1)*(nCURSO=A170)*(nASIG=B170)*(nAPTO="N"))/D170,"—")</f>
        <v>—</v>
      </c>
      <c r="J170" t="str" cm="1">
        <f t="array" ref="J170">IFERROR(_xlfn.MODE.SNGL(_xlfn._xlws.FILTER(nNOTA,(nCUENTA=1)*(nCURSO=A170)*(nASIG=B170)*(nAPTO="S"))),"—")</f>
        <v>—</v>
      </c>
      <c r="K170" t="str" cm="1">
        <f t="array" ref="K170">IFERROR(_xlfn.MODE.SNGL(_xlfn._xlws.FILTER(nNOTA,(nCUENTA=1)*(nCURSO=A170)*(nASIG=B170)*(nAPTO="N"))),"—")</f>
        <v>—</v>
      </c>
      <c r="L170">
        <f>SUMPRODUCT((nCUENTA=1)*(nCURSO=A170)*(nASIG=B170)*(nNOTA=1))</f>
        <v>0</v>
      </c>
      <c r="M170">
        <f>SUMPRODUCT((nCUENTA=1)*(nCURSO=A170)*(nASIG=B170)*(nNOTA=2))</f>
        <v>0</v>
      </c>
      <c r="N170">
        <f>SUMPRODUCT((nCUENTA=1)*(nCURSO=A170)*(nASIG=B170)*(nNOTA=3))</f>
        <v>0</v>
      </c>
      <c r="O170">
        <f>SUMPRODUCT((nCUENTA=1)*(nCURSO=A170)*(nASIG=B170)*(nNOTA=4))</f>
        <v>0</v>
      </c>
      <c r="P170">
        <f>SUMPRODUCT((nCUENTA=1)*(nCURSO=A170)*(nASIG=B170)*(nNOTA=5))</f>
        <v>0</v>
      </c>
      <c r="Q170">
        <f>SUMPRODUCT((nCUENTA=1)*(nCURSO=A170)*(nASIG=B170)*(nNOTA=6))</f>
        <v>0</v>
      </c>
      <c r="R170">
        <f>SUMPRODUCT((nCUENTA=1)*(nCURSO=A170)*(nASIG=B170)*(nNOTA=7))</f>
        <v>0</v>
      </c>
      <c r="S170">
        <f>SUMPRODUCT((nCUENTA=1)*(nCURSO=A170)*(nASIG=B170)*(nNOTA=8))</f>
        <v>0</v>
      </c>
      <c r="T170">
        <f>SUMPRODUCT((nCUENTA=1)*(nCURSO=A170)*(nASIG=B170)*(nNOTA=9))</f>
        <v>0</v>
      </c>
      <c r="U170">
        <f>SUMPRODUCT((nCUENTA=1)*(nCURSO=A170)*(nASIG=B170)*(nNOTA=10))</f>
        <v>0</v>
      </c>
    </row>
    <row r="171">
      <c r="A171" t="inlineStr">
        <is>
          <t xml:space="preserve">2EPM</t>
        </is>
      </c>
      <c r="B171" cm="1">
        <f t="array" ref="B171">IFERROR(INDEX(_xlfn._xlws.FILTER(CONFIG_ASIGNATURAS!$B$2:$B$91,(CONFIG_ASIGNATURAS!$G$2:$G$91="Sí")*ISNUMBER(SEARCH("2EPM",CONFIG_ASIGNATURAS!$C$2:$C$91))),28),"")</f>
      </c>
      <c r="C171">
        <f>IF(B171="","",IFERROR(VLOOKUP(B171,CONFIG_ASIGNATURAS!$B$2:$D$91,3,FALSE()),"Asignatura"))</f>
      </c>
      <c r="D171">
        <f>SUMPRODUCT((nCUENTA=1)*(nCURSO=A171)*(nASIG=B171))</f>
        <v>0</v>
      </c>
      <c r="E171" s="10" t="str">
        <f>IFERROR(SUMPRODUCT((nCUENTA=1)*(nCURSO=A171)*(nASIG=B171)*(nNOTA))/D171,"—")</f>
        <v>—</v>
      </c>
      <c r="F171" s="10" t="str" cm="1">
        <f t="array" ref="F171">IFERROR(_xlfn.STDEV.P(_xlfn._xlws.FILTER(nNOTA,(nCUENTA=1)*(nCURSO=A171)*(nASIG=B171))),"—")</f>
        <v>—</v>
      </c>
      <c r="G171" t="str" cm="1">
        <f t="array" ref="G171">IFERROR(_xlfn.MODE.SNGL(_xlfn._xlws.FILTER(nNOTA,(nCUENTA=1)*(nCURSO=A171)*(nASIG=B171))),"—")</f>
        <v>—</v>
      </c>
      <c r="H171" s="11" t="str">
        <f>IFERROR(SUMPRODUCT((nCUENTA=1)*(nCURSO=A171)*(nASIG=B171)*(nAPTO="S"))/D171,"—")</f>
        <v>—</v>
      </c>
      <c r="I171" s="11" t="str">
        <f>IFERROR(SUMPRODUCT((nCUENTA=1)*(nCURSO=A171)*(nASIG=B171)*(nAPTO="N"))/D171,"—")</f>
        <v>—</v>
      </c>
      <c r="J171" t="str" cm="1">
        <f t="array" ref="J171">IFERROR(_xlfn.MODE.SNGL(_xlfn._xlws.FILTER(nNOTA,(nCUENTA=1)*(nCURSO=A171)*(nASIG=B171)*(nAPTO="S"))),"—")</f>
        <v>—</v>
      </c>
      <c r="K171" t="str" cm="1">
        <f t="array" ref="K171">IFERROR(_xlfn.MODE.SNGL(_xlfn._xlws.FILTER(nNOTA,(nCUENTA=1)*(nCURSO=A171)*(nASIG=B171)*(nAPTO="N"))),"—")</f>
        <v>—</v>
      </c>
      <c r="L171">
        <f>SUMPRODUCT((nCUENTA=1)*(nCURSO=A171)*(nASIG=B171)*(nNOTA=1))</f>
        <v>0</v>
      </c>
      <c r="M171">
        <f>SUMPRODUCT((nCUENTA=1)*(nCURSO=A171)*(nASIG=B171)*(nNOTA=2))</f>
        <v>0</v>
      </c>
      <c r="N171">
        <f>SUMPRODUCT((nCUENTA=1)*(nCURSO=A171)*(nASIG=B171)*(nNOTA=3))</f>
        <v>0</v>
      </c>
      <c r="O171">
        <f>SUMPRODUCT((nCUENTA=1)*(nCURSO=A171)*(nASIG=B171)*(nNOTA=4))</f>
        <v>0</v>
      </c>
      <c r="P171">
        <f>SUMPRODUCT((nCUENTA=1)*(nCURSO=A171)*(nASIG=B171)*(nNOTA=5))</f>
        <v>0</v>
      </c>
      <c r="Q171">
        <f>SUMPRODUCT((nCUENTA=1)*(nCURSO=A171)*(nASIG=B171)*(nNOTA=6))</f>
        <v>0</v>
      </c>
      <c r="R171">
        <f>SUMPRODUCT((nCUENTA=1)*(nCURSO=A171)*(nASIG=B171)*(nNOTA=7))</f>
        <v>0</v>
      </c>
      <c r="S171">
        <f>SUMPRODUCT((nCUENTA=1)*(nCURSO=A171)*(nASIG=B171)*(nNOTA=8))</f>
        <v>0</v>
      </c>
      <c r="T171">
        <f>SUMPRODUCT((nCUENTA=1)*(nCURSO=A171)*(nASIG=B171)*(nNOTA=9))</f>
        <v>0</v>
      </c>
      <c r="U171">
        <f>SUMPRODUCT((nCUENTA=1)*(nCURSO=A171)*(nASIG=B171)*(nNOTA=10))</f>
        <v>0</v>
      </c>
    </row>
    <row r="172">
      <c r="A172" t="inlineStr">
        <is>
          <t xml:space="preserve">2EPM</t>
        </is>
      </c>
      <c r="B172" cm="1">
        <f t="array" ref="B172">IFERROR(INDEX(_xlfn._xlws.FILTER(CONFIG_ASIGNATURAS!$B$2:$B$91,(CONFIG_ASIGNATURAS!$G$2:$G$91="Sí")*ISNUMBER(SEARCH("2EPM",CONFIG_ASIGNATURAS!$C$2:$C$91))),29),"")</f>
      </c>
      <c r="C172">
        <f>IF(B172="","",IFERROR(VLOOKUP(B172,CONFIG_ASIGNATURAS!$B$2:$D$91,3,FALSE()),"Asignatura"))</f>
      </c>
      <c r="D172">
        <f>SUMPRODUCT((nCUENTA=1)*(nCURSO=A172)*(nASIG=B172))</f>
        <v>0</v>
      </c>
      <c r="E172" s="10" t="str">
        <f>IFERROR(SUMPRODUCT((nCUENTA=1)*(nCURSO=A172)*(nASIG=B172)*(nNOTA))/D172,"—")</f>
        <v>—</v>
      </c>
      <c r="F172" s="10" t="str" cm="1">
        <f t="array" ref="F172">IFERROR(_xlfn.STDEV.P(_xlfn._xlws.FILTER(nNOTA,(nCUENTA=1)*(nCURSO=A172)*(nASIG=B172))),"—")</f>
        <v>—</v>
      </c>
      <c r="G172" t="str" cm="1">
        <f t="array" ref="G172">IFERROR(_xlfn.MODE.SNGL(_xlfn._xlws.FILTER(nNOTA,(nCUENTA=1)*(nCURSO=A172)*(nASIG=B172))),"—")</f>
        <v>—</v>
      </c>
      <c r="H172" s="11" t="str">
        <f>IFERROR(SUMPRODUCT((nCUENTA=1)*(nCURSO=A172)*(nASIG=B172)*(nAPTO="S"))/D172,"—")</f>
        <v>—</v>
      </c>
      <c r="I172" s="11" t="str">
        <f>IFERROR(SUMPRODUCT((nCUENTA=1)*(nCURSO=A172)*(nASIG=B172)*(nAPTO="N"))/D172,"—")</f>
        <v>—</v>
      </c>
      <c r="J172" t="str" cm="1">
        <f t="array" ref="J172">IFERROR(_xlfn.MODE.SNGL(_xlfn._xlws.FILTER(nNOTA,(nCUENTA=1)*(nCURSO=A172)*(nASIG=B172)*(nAPTO="S"))),"—")</f>
        <v>—</v>
      </c>
      <c r="K172" t="str" cm="1">
        <f t="array" ref="K172">IFERROR(_xlfn.MODE.SNGL(_xlfn._xlws.FILTER(nNOTA,(nCUENTA=1)*(nCURSO=A172)*(nASIG=B172)*(nAPTO="N"))),"—")</f>
        <v>—</v>
      </c>
      <c r="L172">
        <f>SUMPRODUCT((nCUENTA=1)*(nCURSO=A172)*(nASIG=B172)*(nNOTA=1))</f>
        <v>0</v>
      </c>
      <c r="M172">
        <f>SUMPRODUCT((nCUENTA=1)*(nCURSO=A172)*(nASIG=B172)*(nNOTA=2))</f>
        <v>0</v>
      </c>
      <c r="N172">
        <f>SUMPRODUCT((nCUENTA=1)*(nCURSO=A172)*(nASIG=B172)*(nNOTA=3))</f>
        <v>0</v>
      </c>
      <c r="O172">
        <f>SUMPRODUCT((nCUENTA=1)*(nCURSO=A172)*(nASIG=B172)*(nNOTA=4))</f>
        <v>0</v>
      </c>
      <c r="P172">
        <f>SUMPRODUCT((nCUENTA=1)*(nCURSO=A172)*(nASIG=B172)*(nNOTA=5))</f>
        <v>0</v>
      </c>
      <c r="Q172">
        <f>SUMPRODUCT((nCUENTA=1)*(nCURSO=A172)*(nASIG=B172)*(nNOTA=6))</f>
        <v>0</v>
      </c>
      <c r="R172">
        <f>SUMPRODUCT((nCUENTA=1)*(nCURSO=A172)*(nASIG=B172)*(nNOTA=7))</f>
        <v>0</v>
      </c>
      <c r="S172">
        <f>SUMPRODUCT((nCUENTA=1)*(nCURSO=A172)*(nASIG=B172)*(nNOTA=8))</f>
        <v>0</v>
      </c>
      <c r="T172">
        <f>SUMPRODUCT((nCUENTA=1)*(nCURSO=A172)*(nASIG=B172)*(nNOTA=9))</f>
        <v>0</v>
      </c>
      <c r="U172">
        <f>SUMPRODUCT((nCUENTA=1)*(nCURSO=A172)*(nASIG=B172)*(nNOTA=10))</f>
        <v>0</v>
      </c>
    </row>
    <row r="173">
      <c r="A173" t="inlineStr">
        <is>
          <t xml:space="preserve">2EPM</t>
        </is>
      </c>
      <c r="B173" cm="1">
        <f t="array" ref="B173">IFERROR(INDEX(_xlfn._xlws.FILTER(CONFIG_ASIGNATURAS!$B$2:$B$91,(CONFIG_ASIGNATURAS!$G$2:$G$91="Sí")*ISNUMBER(SEARCH("2EPM",CONFIG_ASIGNATURAS!$C$2:$C$91))),30),"")</f>
      </c>
      <c r="C173">
        <f>IF(B173="","",IFERROR(VLOOKUP(B173,CONFIG_ASIGNATURAS!$B$2:$D$91,3,FALSE()),"Asignatura"))</f>
      </c>
      <c r="D173">
        <f>SUMPRODUCT((nCUENTA=1)*(nCURSO=A173)*(nASIG=B173))</f>
        <v>0</v>
      </c>
      <c r="E173" s="10" t="str">
        <f>IFERROR(SUMPRODUCT((nCUENTA=1)*(nCURSO=A173)*(nASIG=B173)*(nNOTA))/D173,"—")</f>
        <v>—</v>
      </c>
      <c r="F173" s="10" t="str" cm="1">
        <f t="array" ref="F173">IFERROR(_xlfn.STDEV.P(_xlfn._xlws.FILTER(nNOTA,(nCUENTA=1)*(nCURSO=A173)*(nASIG=B173))),"—")</f>
        <v>—</v>
      </c>
      <c r="G173" t="str" cm="1">
        <f t="array" ref="G173">IFERROR(_xlfn.MODE.SNGL(_xlfn._xlws.FILTER(nNOTA,(nCUENTA=1)*(nCURSO=A173)*(nASIG=B173))),"—")</f>
        <v>—</v>
      </c>
      <c r="H173" s="11" t="str">
        <f>IFERROR(SUMPRODUCT((nCUENTA=1)*(nCURSO=A173)*(nASIG=B173)*(nAPTO="S"))/D173,"—")</f>
        <v>—</v>
      </c>
      <c r="I173" s="11" t="str">
        <f>IFERROR(SUMPRODUCT((nCUENTA=1)*(nCURSO=A173)*(nASIG=B173)*(nAPTO="N"))/D173,"—")</f>
        <v>—</v>
      </c>
      <c r="J173" t="str" cm="1">
        <f t="array" ref="J173">IFERROR(_xlfn.MODE.SNGL(_xlfn._xlws.FILTER(nNOTA,(nCUENTA=1)*(nCURSO=A173)*(nASIG=B173)*(nAPTO="S"))),"—")</f>
        <v>—</v>
      </c>
      <c r="K173" t="str" cm="1">
        <f t="array" ref="K173">IFERROR(_xlfn.MODE.SNGL(_xlfn._xlws.FILTER(nNOTA,(nCUENTA=1)*(nCURSO=A173)*(nASIG=B173)*(nAPTO="N"))),"—")</f>
        <v>—</v>
      </c>
      <c r="L173">
        <f>SUMPRODUCT((nCUENTA=1)*(nCURSO=A173)*(nASIG=B173)*(nNOTA=1))</f>
        <v>0</v>
      </c>
      <c r="M173">
        <f>SUMPRODUCT((nCUENTA=1)*(nCURSO=A173)*(nASIG=B173)*(nNOTA=2))</f>
        <v>0</v>
      </c>
      <c r="N173">
        <f>SUMPRODUCT((nCUENTA=1)*(nCURSO=A173)*(nASIG=B173)*(nNOTA=3))</f>
        <v>0</v>
      </c>
      <c r="O173">
        <f>SUMPRODUCT((nCUENTA=1)*(nCURSO=A173)*(nASIG=B173)*(nNOTA=4))</f>
        <v>0</v>
      </c>
      <c r="P173">
        <f>SUMPRODUCT((nCUENTA=1)*(nCURSO=A173)*(nASIG=B173)*(nNOTA=5))</f>
        <v>0</v>
      </c>
      <c r="Q173">
        <f>SUMPRODUCT((nCUENTA=1)*(nCURSO=A173)*(nASIG=B173)*(nNOTA=6))</f>
        <v>0</v>
      </c>
      <c r="R173">
        <f>SUMPRODUCT((nCUENTA=1)*(nCURSO=A173)*(nASIG=B173)*(nNOTA=7))</f>
        <v>0</v>
      </c>
      <c r="S173">
        <f>SUMPRODUCT((nCUENTA=1)*(nCURSO=A173)*(nASIG=B173)*(nNOTA=8))</f>
        <v>0</v>
      </c>
      <c r="T173">
        <f>SUMPRODUCT((nCUENTA=1)*(nCURSO=A173)*(nASIG=B173)*(nNOTA=9))</f>
        <v>0</v>
      </c>
      <c r="U173">
        <f>SUMPRODUCT((nCUENTA=1)*(nCURSO=A173)*(nASIG=B173)*(nNOTA=10))</f>
        <v>0</v>
      </c>
    </row>
    <row r="174">
      <c r="A174" t="inlineStr">
        <is>
          <t xml:space="preserve">2EPM</t>
        </is>
      </c>
      <c r="B174" cm="1">
        <f t="array" ref="B174">IFERROR(INDEX(_xlfn._xlws.FILTER(CONFIG_ASIGNATURAS!$B$2:$B$91,(CONFIG_ASIGNATURAS!$G$2:$G$91="Sí")*ISNUMBER(SEARCH("2EPM",CONFIG_ASIGNATURAS!$C$2:$C$91))),31),"")</f>
      </c>
      <c r="C174">
        <f>IF(B174="","",IFERROR(VLOOKUP(B174,CONFIG_ASIGNATURAS!$B$2:$D$91,3,FALSE()),"Asignatura"))</f>
      </c>
      <c r="D174">
        <f>SUMPRODUCT((nCUENTA=1)*(nCURSO=A174)*(nASIG=B174))</f>
        <v>0</v>
      </c>
      <c r="E174" s="10" t="str">
        <f>IFERROR(SUMPRODUCT((nCUENTA=1)*(nCURSO=A174)*(nASIG=B174)*(nNOTA))/D174,"—")</f>
        <v>—</v>
      </c>
      <c r="F174" s="10" t="str" cm="1">
        <f t="array" ref="F174">IFERROR(_xlfn.STDEV.P(_xlfn._xlws.FILTER(nNOTA,(nCUENTA=1)*(nCURSO=A174)*(nASIG=B174))),"—")</f>
        <v>—</v>
      </c>
      <c r="G174" t="str" cm="1">
        <f t="array" ref="G174">IFERROR(_xlfn.MODE.SNGL(_xlfn._xlws.FILTER(nNOTA,(nCUENTA=1)*(nCURSO=A174)*(nASIG=B174))),"—")</f>
        <v>—</v>
      </c>
      <c r="H174" s="11" t="str">
        <f>IFERROR(SUMPRODUCT((nCUENTA=1)*(nCURSO=A174)*(nASIG=B174)*(nAPTO="S"))/D174,"—")</f>
        <v>—</v>
      </c>
      <c r="I174" s="11" t="str">
        <f>IFERROR(SUMPRODUCT((nCUENTA=1)*(nCURSO=A174)*(nASIG=B174)*(nAPTO="N"))/D174,"—")</f>
        <v>—</v>
      </c>
      <c r="J174" t="str" cm="1">
        <f t="array" ref="J174">IFERROR(_xlfn.MODE.SNGL(_xlfn._xlws.FILTER(nNOTA,(nCUENTA=1)*(nCURSO=A174)*(nASIG=B174)*(nAPTO="S"))),"—")</f>
        <v>—</v>
      </c>
      <c r="K174" t="str" cm="1">
        <f t="array" ref="K174">IFERROR(_xlfn.MODE.SNGL(_xlfn._xlws.FILTER(nNOTA,(nCUENTA=1)*(nCURSO=A174)*(nASIG=B174)*(nAPTO="N"))),"—")</f>
        <v>—</v>
      </c>
      <c r="L174">
        <f>SUMPRODUCT((nCUENTA=1)*(nCURSO=A174)*(nASIG=B174)*(nNOTA=1))</f>
        <v>0</v>
      </c>
      <c r="M174">
        <f>SUMPRODUCT((nCUENTA=1)*(nCURSO=A174)*(nASIG=B174)*(nNOTA=2))</f>
        <v>0</v>
      </c>
      <c r="N174">
        <f>SUMPRODUCT((nCUENTA=1)*(nCURSO=A174)*(nASIG=B174)*(nNOTA=3))</f>
        <v>0</v>
      </c>
      <c r="O174">
        <f>SUMPRODUCT((nCUENTA=1)*(nCURSO=A174)*(nASIG=B174)*(nNOTA=4))</f>
        <v>0</v>
      </c>
      <c r="P174">
        <f>SUMPRODUCT((nCUENTA=1)*(nCURSO=A174)*(nASIG=B174)*(nNOTA=5))</f>
        <v>0</v>
      </c>
      <c r="Q174">
        <f>SUMPRODUCT((nCUENTA=1)*(nCURSO=A174)*(nASIG=B174)*(nNOTA=6))</f>
        <v>0</v>
      </c>
      <c r="R174">
        <f>SUMPRODUCT((nCUENTA=1)*(nCURSO=A174)*(nASIG=B174)*(nNOTA=7))</f>
        <v>0</v>
      </c>
      <c r="S174">
        <f>SUMPRODUCT((nCUENTA=1)*(nCURSO=A174)*(nASIG=B174)*(nNOTA=8))</f>
        <v>0</v>
      </c>
      <c r="T174">
        <f>SUMPRODUCT((nCUENTA=1)*(nCURSO=A174)*(nASIG=B174)*(nNOTA=9))</f>
        <v>0</v>
      </c>
      <c r="U174">
        <f>SUMPRODUCT((nCUENTA=1)*(nCURSO=A174)*(nASIG=B174)*(nNOTA=10))</f>
        <v>0</v>
      </c>
    </row>
    <row r="175">
      <c r="A175" t="inlineStr">
        <is>
          <t xml:space="preserve">2EPM</t>
        </is>
      </c>
      <c r="B175" cm="1">
        <f t="array" ref="B175">IFERROR(INDEX(_xlfn._xlws.FILTER(CONFIG_ASIGNATURAS!$B$2:$B$91,(CONFIG_ASIGNATURAS!$G$2:$G$91="Sí")*ISNUMBER(SEARCH("2EPM",CONFIG_ASIGNATURAS!$C$2:$C$91))),32),"")</f>
      </c>
      <c r="C175">
        <f>IF(B175="","",IFERROR(VLOOKUP(B175,CONFIG_ASIGNATURAS!$B$2:$D$91,3,FALSE()),"Asignatura"))</f>
      </c>
      <c r="D175">
        <f>SUMPRODUCT((nCUENTA=1)*(nCURSO=A175)*(nASIG=B175))</f>
        <v>0</v>
      </c>
      <c r="E175" s="10" t="str">
        <f>IFERROR(SUMPRODUCT((nCUENTA=1)*(nCURSO=A175)*(nASIG=B175)*(nNOTA))/D175,"—")</f>
        <v>—</v>
      </c>
      <c r="F175" s="10" t="str" cm="1">
        <f t="array" ref="F175">IFERROR(_xlfn.STDEV.P(_xlfn._xlws.FILTER(nNOTA,(nCUENTA=1)*(nCURSO=A175)*(nASIG=B175))),"—")</f>
        <v>—</v>
      </c>
      <c r="G175" t="str" cm="1">
        <f t="array" ref="G175">IFERROR(_xlfn.MODE.SNGL(_xlfn._xlws.FILTER(nNOTA,(nCUENTA=1)*(nCURSO=A175)*(nASIG=B175))),"—")</f>
        <v>—</v>
      </c>
      <c r="H175" s="11" t="str">
        <f>IFERROR(SUMPRODUCT((nCUENTA=1)*(nCURSO=A175)*(nASIG=B175)*(nAPTO="S"))/D175,"—")</f>
        <v>—</v>
      </c>
      <c r="I175" s="11" t="str">
        <f>IFERROR(SUMPRODUCT((nCUENTA=1)*(nCURSO=A175)*(nASIG=B175)*(nAPTO="N"))/D175,"—")</f>
        <v>—</v>
      </c>
      <c r="J175" t="str" cm="1">
        <f t="array" ref="J175">IFERROR(_xlfn.MODE.SNGL(_xlfn._xlws.FILTER(nNOTA,(nCUENTA=1)*(nCURSO=A175)*(nASIG=B175)*(nAPTO="S"))),"—")</f>
        <v>—</v>
      </c>
      <c r="K175" t="str" cm="1">
        <f t="array" ref="K175">IFERROR(_xlfn.MODE.SNGL(_xlfn._xlws.FILTER(nNOTA,(nCUENTA=1)*(nCURSO=A175)*(nASIG=B175)*(nAPTO="N"))),"—")</f>
        <v>—</v>
      </c>
      <c r="L175">
        <f>SUMPRODUCT((nCUENTA=1)*(nCURSO=A175)*(nASIG=B175)*(nNOTA=1))</f>
        <v>0</v>
      </c>
      <c r="M175">
        <f>SUMPRODUCT((nCUENTA=1)*(nCURSO=A175)*(nASIG=B175)*(nNOTA=2))</f>
        <v>0</v>
      </c>
      <c r="N175">
        <f>SUMPRODUCT((nCUENTA=1)*(nCURSO=A175)*(nASIG=B175)*(nNOTA=3))</f>
        <v>0</v>
      </c>
      <c r="O175">
        <f>SUMPRODUCT((nCUENTA=1)*(nCURSO=A175)*(nASIG=B175)*(nNOTA=4))</f>
        <v>0</v>
      </c>
      <c r="P175">
        <f>SUMPRODUCT((nCUENTA=1)*(nCURSO=A175)*(nASIG=B175)*(nNOTA=5))</f>
        <v>0</v>
      </c>
      <c r="Q175">
        <f>SUMPRODUCT((nCUENTA=1)*(nCURSO=A175)*(nASIG=B175)*(nNOTA=6))</f>
        <v>0</v>
      </c>
      <c r="R175">
        <f>SUMPRODUCT((nCUENTA=1)*(nCURSO=A175)*(nASIG=B175)*(nNOTA=7))</f>
        <v>0</v>
      </c>
      <c r="S175">
        <f>SUMPRODUCT((nCUENTA=1)*(nCURSO=A175)*(nASIG=B175)*(nNOTA=8))</f>
        <v>0</v>
      </c>
      <c r="T175">
        <f>SUMPRODUCT((nCUENTA=1)*(nCURSO=A175)*(nASIG=B175)*(nNOTA=9))</f>
        <v>0</v>
      </c>
      <c r="U175">
        <f>SUMPRODUCT((nCUENTA=1)*(nCURSO=A175)*(nASIG=B175)*(nNOTA=10))</f>
        <v>0</v>
      </c>
    </row>
    <row r="176">
      <c r="A176" t="inlineStr">
        <is>
          <t xml:space="preserve">2EPM</t>
        </is>
      </c>
      <c r="B176" cm="1">
        <f t="array" ref="B176">IFERROR(INDEX(_xlfn._xlws.FILTER(CONFIG_ASIGNATURAS!$B$2:$B$91,(CONFIG_ASIGNATURAS!$G$2:$G$91="Sí")*ISNUMBER(SEARCH("2EPM",CONFIG_ASIGNATURAS!$C$2:$C$91))),33),"")</f>
      </c>
      <c r="C176">
        <f>IF(B176="","",IFERROR(VLOOKUP(B176,CONFIG_ASIGNATURAS!$B$2:$D$91,3,FALSE()),"Asignatura"))</f>
      </c>
      <c r="D176">
        <f>SUMPRODUCT((nCUENTA=1)*(nCURSO=A176)*(nASIG=B176))</f>
        <v>0</v>
      </c>
      <c r="E176" s="10" t="str">
        <f>IFERROR(SUMPRODUCT((nCUENTA=1)*(nCURSO=A176)*(nASIG=B176)*(nNOTA))/D176,"—")</f>
        <v>—</v>
      </c>
      <c r="F176" s="10" t="str" cm="1">
        <f t="array" ref="F176">IFERROR(_xlfn.STDEV.P(_xlfn._xlws.FILTER(nNOTA,(nCUENTA=1)*(nCURSO=A176)*(nASIG=B176))),"—")</f>
        <v>—</v>
      </c>
      <c r="G176" t="str" cm="1">
        <f t="array" ref="G176">IFERROR(_xlfn.MODE.SNGL(_xlfn._xlws.FILTER(nNOTA,(nCUENTA=1)*(nCURSO=A176)*(nASIG=B176))),"—")</f>
        <v>—</v>
      </c>
      <c r="H176" s="11" t="str">
        <f>IFERROR(SUMPRODUCT((nCUENTA=1)*(nCURSO=A176)*(nASIG=B176)*(nAPTO="S"))/D176,"—")</f>
        <v>—</v>
      </c>
      <c r="I176" s="11" t="str">
        <f>IFERROR(SUMPRODUCT((nCUENTA=1)*(nCURSO=A176)*(nASIG=B176)*(nAPTO="N"))/D176,"—")</f>
        <v>—</v>
      </c>
      <c r="J176" t="str" cm="1">
        <f t="array" ref="J176">IFERROR(_xlfn.MODE.SNGL(_xlfn._xlws.FILTER(nNOTA,(nCUENTA=1)*(nCURSO=A176)*(nASIG=B176)*(nAPTO="S"))),"—")</f>
        <v>—</v>
      </c>
      <c r="K176" t="str" cm="1">
        <f t="array" ref="K176">IFERROR(_xlfn.MODE.SNGL(_xlfn._xlws.FILTER(nNOTA,(nCUENTA=1)*(nCURSO=A176)*(nASIG=B176)*(nAPTO="N"))),"—")</f>
        <v>—</v>
      </c>
      <c r="L176">
        <f>SUMPRODUCT((nCUENTA=1)*(nCURSO=A176)*(nASIG=B176)*(nNOTA=1))</f>
        <v>0</v>
      </c>
      <c r="M176">
        <f>SUMPRODUCT((nCUENTA=1)*(nCURSO=A176)*(nASIG=B176)*(nNOTA=2))</f>
        <v>0</v>
      </c>
      <c r="N176">
        <f>SUMPRODUCT((nCUENTA=1)*(nCURSO=A176)*(nASIG=B176)*(nNOTA=3))</f>
        <v>0</v>
      </c>
      <c r="O176">
        <f>SUMPRODUCT((nCUENTA=1)*(nCURSO=A176)*(nASIG=B176)*(nNOTA=4))</f>
        <v>0</v>
      </c>
      <c r="P176">
        <f>SUMPRODUCT((nCUENTA=1)*(nCURSO=A176)*(nASIG=B176)*(nNOTA=5))</f>
        <v>0</v>
      </c>
      <c r="Q176">
        <f>SUMPRODUCT((nCUENTA=1)*(nCURSO=A176)*(nASIG=B176)*(nNOTA=6))</f>
        <v>0</v>
      </c>
      <c r="R176">
        <f>SUMPRODUCT((nCUENTA=1)*(nCURSO=A176)*(nASIG=B176)*(nNOTA=7))</f>
        <v>0</v>
      </c>
      <c r="S176">
        <f>SUMPRODUCT((nCUENTA=1)*(nCURSO=A176)*(nASIG=B176)*(nNOTA=8))</f>
        <v>0</v>
      </c>
      <c r="T176">
        <f>SUMPRODUCT((nCUENTA=1)*(nCURSO=A176)*(nASIG=B176)*(nNOTA=9))</f>
        <v>0</v>
      </c>
      <c r="U176">
        <f>SUMPRODUCT((nCUENTA=1)*(nCURSO=A176)*(nASIG=B176)*(nNOTA=10))</f>
        <v>0</v>
      </c>
    </row>
    <row r="177">
      <c r="A177" t="inlineStr">
        <is>
          <t xml:space="preserve">2EPM</t>
        </is>
      </c>
      <c r="B177" cm="1">
        <f t="array" ref="B177">IFERROR(INDEX(_xlfn._xlws.FILTER(CONFIG_ASIGNATURAS!$B$2:$B$91,(CONFIG_ASIGNATURAS!$G$2:$G$91="Sí")*ISNUMBER(SEARCH("2EPM",CONFIG_ASIGNATURAS!$C$2:$C$91))),34),"")</f>
      </c>
      <c r="C177">
        <f>IF(B177="","",IFERROR(VLOOKUP(B177,CONFIG_ASIGNATURAS!$B$2:$D$91,3,FALSE()),"Asignatura"))</f>
      </c>
      <c r="D177">
        <f>SUMPRODUCT((nCUENTA=1)*(nCURSO=A177)*(nASIG=B177))</f>
        <v>0</v>
      </c>
      <c r="E177" s="10" t="str">
        <f>IFERROR(SUMPRODUCT((nCUENTA=1)*(nCURSO=A177)*(nASIG=B177)*(nNOTA))/D177,"—")</f>
        <v>—</v>
      </c>
      <c r="F177" s="10" t="str" cm="1">
        <f t="array" ref="F177">IFERROR(_xlfn.STDEV.P(_xlfn._xlws.FILTER(nNOTA,(nCUENTA=1)*(nCURSO=A177)*(nASIG=B177))),"—")</f>
        <v>—</v>
      </c>
      <c r="G177" t="str" cm="1">
        <f t="array" ref="G177">IFERROR(_xlfn.MODE.SNGL(_xlfn._xlws.FILTER(nNOTA,(nCUENTA=1)*(nCURSO=A177)*(nASIG=B177))),"—")</f>
        <v>—</v>
      </c>
      <c r="H177" s="11" t="str">
        <f>IFERROR(SUMPRODUCT((nCUENTA=1)*(nCURSO=A177)*(nASIG=B177)*(nAPTO="S"))/D177,"—")</f>
        <v>—</v>
      </c>
      <c r="I177" s="11" t="str">
        <f>IFERROR(SUMPRODUCT((nCUENTA=1)*(nCURSO=A177)*(nASIG=B177)*(nAPTO="N"))/D177,"—")</f>
        <v>—</v>
      </c>
      <c r="J177" t="str" cm="1">
        <f t="array" ref="J177">IFERROR(_xlfn.MODE.SNGL(_xlfn._xlws.FILTER(nNOTA,(nCUENTA=1)*(nCURSO=A177)*(nASIG=B177)*(nAPTO="S"))),"—")</f>
        <v>—</v>
      </c>
      <c r="K177" t="str" cm="1">
        <f t="array" ref="K177">IFERROR(_xlfn.MODE.SNGL(_xlfn._xlws.FILTER(nNOTA,(nCUENTA=1)*(nCURSO=A177)*(nASIG=B177)*(nAPTO="N"))),"—")</f>
        <v>—</v>
      </c>
      <c r="L177">
        <f>SUMPRODUCT((nCUENTA=1)*(nCURSO=A177)*(nASIG=B177)*(nNOTA=1))</f>
        <v>0</v>
      </c>
      <c r="M177">
        <f>SUMPRODUCT((nCUENTA=1)*(nCURSO=A177)*(nASIG=B177)*(nNOTA=2))</f>
        <v>0</v>
      </c>
      <c r="N177">
        <f>SUMPRODUCT((nCUENTA=1)*(nCURSO=A177)*(nASIG=B177)*(nNOTA=3))</f>
        <v>0</v>
      </c>
      <c r="O177">
        <f>SUMPRODUCT((nCUENTA=1)*(nCURSO=A177)*(nASIG=B177)*(nNOTA=4))</f>
        <v>0</v>
      </c>
      <c r="P177">
        <f>SUMPRODUCT((nCUENTA=1)*(nCURSO=A177)*(nASIG=B177)*(nNOTA=5))</f>
        <v>0</v>
      </c>
      <c r="Q177">
        <f>SUMPRODUCT((nCUENTA=1)*(nCURSO=A177)*(nASIG=B177)*(nNOTA=6))</f>
        <v>0</v>
      </c>
      <c r="R177">
        <f>SUMPRODUCT((nCUENTA=1)*(nCURSO=A177)*(nASIG=B177)*(nNOTA=7))</f>
        <v>0</v>
      </c>
      <c r="S177">
        <f>SUMPRODUCT((nCUENTA=1)*(nCURSO=A177)*(nASIG=B177)*(nNOTA=8))</f>
        <v>0</v>
      </c>
      <c r="T177">
        <f>SUMPRODUCT((nCUENTA=1)*(nCURSO=A177)*(nASIG=B177)*(nNOTA=9))</f>
        <v>0</v>
      </c>
      <c r="U177">
        <f>SUMPRODUCT((nCUENTA=1)*(nCURSO=A177)*(nASIG=B177)*(nNOTA=10))</f>
        <v>0</v>
      </c>
    </row>
    <row r="178">
      <c r="A178" t="inlineStr">
        <is>
          <t xml:space="preserve">2EPM</t>
        </is>
      </c>
      <c r="B178" cm="1">
        <f t="array" ref="B178">IFERROR(INDEX(_xlfn._xlws.FILTER(CONFIG_ASIGNATURAS!$B$2:$B$91,(CONFIG_ASIGNATURAS!$G$2:$G$91="Sí")*ISNUMBER(SEARCH("2EPM",CONFIG_ASIGNATURAS!$C$2:$C$91))),35),"")</f>
      </c>
      <c r="C178">
        <f>IF(B178="","",IFERROR(VLOOKUP(B178,CONFIG_ASIGNATURAS!$B$2:$D$91,3,FALSE()),"Asignatura"))</f>
      </c>
      <c r="D178">
        <f>SUMPRODUCT((nCUENTA=1)*(nCURSO=A178)*(nASIG=B178))</f>
        <v>0</v>
      </c>
      <c r="E178" s="10" t="str">
        <f>IFERROR(SUMPRODUCT((nCUENTA=1)*(nCURSO=A178)*(nASIG=B178)*(nNOTA))/D178,"—")</f>
        <v>—</v>
      </c>
      <c r="F178" s="10" t="str" cm="1">
        <f t="array" ref="F178">IFERROR(_xlfn.STDEV.P(_xlfn._xlws.FILTER(nNOTA,(nCUENTA=1)*(nCURSO=A178)*(nASIG=B178))),"—")</f>
        <v>—</v>
      </c>
      <c r="G178" t="str" cm="1">
        <f t="array" ref="G178">IFERROR(_xlfn.MODE.SNGL(_xlfn._xlws.FILTER(nNOTA,(nCUENTA=1)*(nCURSO=A178)*(nASIG=B178))),"—")</f>
        <v>—</v>
      </c>
      <c r="H178" s="11" t="str">
        <f>IFERROR(SUMPRODUCT((nCUENTA=1)*(nCURSO=A178)*(nASIG=B178)*(nAPTO="S"))/D178,"—")</f>
        <v>—</v>
      </c>
      <c r="I178" s="11" t="str">
        <f>IFERROR(SUMPRODUCT((nCUENTA=1)*(nCURSO=A178)*(nASIG=B178)*(nAPTO="N"))/D178,"—")</f>
        <v>—</v>
      </c>
      <c r="J178" t="str" cm="1">
        <f t="array" ref="J178">IFERROR(_xlfn.MODE.SNGL(_xlfn._xlws.FILTER(nNOTA,(nCUENTA=1)*(nCURSO=A178)*(nASIG=B178)*(nAPTO="S"))),"—")</f>
        <v>—</v>
      </c>
      <c r="K178" t="str" cm="1">
        <f t="array" ref="K178">IFERROR(_xlfn.MODE.SNGL(_xlfn._xlws.FILTER(nNOTA,(nCUENTA=1)*(nCURSO=A178)*(nASIG=B178)*(nAPTO="N"))),"—")</f>
        <v>—</v>
      </c>
      <c r="L178">
        <f>SUMPRODUCT((nCUENTA=1)*(nCURSO=A178)*(nASIG=B178)*(nNOTA=1))</f>
        <v>0</v>
      </c>
      <c r="M178">
        <f>SUMPRODUCT((nCUENTA=1)*(nCURSO=A178)*(nASIG=B178)*(nNOTA=2))</f>
        <v>0</v>
      </c>
      <c r="N178">
        <f>SUMPRODUCT((nCUENTA=1)*(nCURSO=A178)*(nASIG=B178)*(nNOTA=3))</f>
        <v>0</v>
      </c>
      <c r="O178">
        <f>SUMPRODUCT((nCUENTA=1)*(nCURSO=A178)*(nASIG=B178)*(nNOTA=4))</f>
        <v>0</v>
      </c>
      <c r="P178">
        <f>SUMPRODUCT((nCUENTA=1)*(nCURSO=A178)*(nASIG=B178)*(nNOTA=5))</f>
        <v>0</v>
      </c>
      <c r="Q178">
        <f>SUMPRODUCT((nCUENTA=1)*(nCURSO=A178)*(nASIG=B178)*(nNOTA=6))</f>
        <v>0</v>
      </c>
      <c r="R178">
        <f>SUMPRODUCT((nCUENTA=1)*(nCURSO=A178)*(nASIG=B178)*(nNOTA=7))</f>
        <v>0</v>
      </c>
      <c r="S178">
        <f>SUMPRODUCT((nCUENTA=1)*(nCURSO=A178)*(nASIG=B178)*(nNOTA=8))</f>
        <v>0</v>
      </c>
      <c r="T178">
        <f>SUMPRODUCT((nCUENTA=1)*(nCURSO=A178)*(nASIG=B178)*(nNOTA=9))</f>
        <v>0</v>
      </c>
      <c r="U178">
        <f>SUMPRODUCT((nCUENTA=1)*(nCURSO=A178)*(nASIG=B178)*(nNOTA=10))</f>
        <v>0</v>
      </c>
    </row>
    <row r="179">
      <c r="A179" t="inlineStr">
        <is>
          <t xml:space="preserve">2EPM</t>
        </is>
      </c>
      <c r="B179" cm="1">
        <f t="array" ref="B179">IFERROR(INDEX(_xlfn._xlws.FILTER(CONFIG_ASIGNATURAS!$B$2:$B$91,(CONFIG_ASIGNATURAS!$G$2:$G$91="Sí")*ISNUMBER(SEARCH("2EPM",CONFIG_ASIGNATURAS!$C$2:$C$91))),36),"")</f>
      </c>
      <c r="C179">
        <f>IF(B179="","",IFERROR(VLOOKUP(B179,CONFIG_ASIGNATURAS!$B$2:$D$91,3,FALSE()),"Asignatura"))</f>
      </c>
      <c r="D179">
        <f>SUMPRODUCT((nCUENTA=1)*(nCURSO=A179)*(nASIG=B179))</f>
        <v>0</v>
      </c>
      <c r="E179" s="10" t="str">
        <f>IFERROR(SUMPRODUCT((nCUENTA=1)*(nCURSO=A179)*(nASIG=B179)*(nNOTA))/D179,"—")</f>
        <v>—</v>
      </c>
      <c r="F179" s="10" t="str" cm="1">
        <f t="array" ref="F179">IFERROR(_xlfn.STDEV.P(_xlfn._xlws.FILTER(nNOTA,(nCUENTA=1)*(nCURSO=A179)*(nASIG=B179))),"—")</f>
        <v>—</v>
      </c>
      <c r="G179" t="str" cm="1">
        <f t="array" ref="G179">IFERROR(_xlfn.MODE.SNGL(_xlfn._xlws.FILTER(nNOTA,(nCUENTA=1)*(nCURSO=A179)*(nASIG=B179))),"—")</f>
        <v>—</v>
      </c>
      <c r="H179" s="11" t="str">
        <f>IFERROR(SUMPRODUCT((nCUENTA=1)*(nCURSO=A179)*(nASIG=B179)*(nAPTO="S"))/D179,"—")</f>
        <v>—</v>
      </c>
      <c r="I179" s="11" t="str">
        <f>IFERROR(SUMPRODUCT((nCUENTA=1)*(nCURSO=A179)*(nASIG=B179)*(nAPTO="N"))/D179,"—")</f>
        <v>—</v>
      </c>
      <c r="J179" t="str" cm="1">
        <f t="array" ref="J179">IFERROR(_xlfn.MODE.SNGL(_xlfn._xlws.FILTER(nNOTA,(nCUENTA=1)*(nCURSO=A179)*(nASIG=B179)*(nAPTO="S"))),"—")</f>
        <v>—</v>
      </c>
      <c r="K179" t="str" cm="1">
        <f t="array" ref="K179">IFERROR(_xlfn.MODE.SNGL(_xlfn._xlws.FILTER(nNOTA,(nCUENTA=1)*(nCURSO=A179)*(nASIG=B179)*(nAPTO="N"))),"—")</f>
        <v>—</v>
      </c>
      <c r="L179">
        <f>SUMPRODUCT((nCUENTA=1)*(nCURSO=A179)*(nASIG=B179)*(nNOTA=1))</f>
        <v>0</v>
      </c>
      <c r="M179">
        <f>SUMPRODUCT((nCUENTA=1)*(nCURSO=A179)*(nASIG=B179)*(nNOTA=2))</f>
        <v>0</v>
      </c>
      <c r="N179">
        <f>SUMPRODUCT((nCUENTA=1)*(nCURSO=A179)*(nASIG=B179)*(nNOTA=3))</f>
        <v>0</v>
      </c>
      <c r="O179">
        <f>SUMPRODUCT((nCUENTA=1)*(nCURSO=A179)*(nASIG=B179)*(nNOTA=4))</f>
        <v>0</v>
      </c>
      <c r="P179">
        <f>SUMPRODUCT((nCUENTA=1)*(nCURSO=A179)*(nASIG=B179)*(nNOTA=5))</f>
        <v>0</v>
      </c>
      <c r="Q179">
        <f>SUMPRODUCT((nCUENTA=1)*(nCURSO=A179)*(nASIG=B179)*(nNOTA=6))</f>
        <v>0</v>
      </c>
      <c r="R179">
        <f>SUMPRODUCT((nCUENTA=1)*(nCURSO=A179)*(nASIG=B179)*(nNOTA=7))</f>
        <v>0</v>
      </c>
      <c r="S179">
        <f>SUMPRODUCT((nCUENTA=1)*(nCURSO=A179)*(nASIG=B179)*(nNOTA=8))</f>
        <v>0</v>
      </c>
      <c r="T179">
        <f>SUMPRODUCT((nCUENTA=1)*(nCURSO=A179)*(nASIG=B179)*(nNOTA=9))</f>
        <v>0</v>
      </c>
      <c r="U179">
        <f>SUMPRODUCT((nCUENTA=1)*(nCURSO=A179)*(nASIG=B179)*(nNOTA=10))</f>
        <v>0</v>
      </c>
    </row>
    <row r="180">
      <c r="A180" t="inlineStr">
        <is>
          <t xml:space="preserve">2EPM</t>
        </is>
      </c>
      <c r="B180" cm="1">
        <f t="array" ref="B180">IFERROR(INDEX(_xlfn._xlws.FILTER(CONFIG_ASIGNATURAS!$B$2:$B$91,(CONFIG_ASIGNATURAS!$G$2:$G$91="Sí")*ISNUMBER(SEARCH("2EPM",CONFIG_ASIGNATURAS!$C$2:$C$91))),37),"")</f>
      </c>
      <c r="C180">
        <f>IF(B180="","",IFERROR(VLOOKUP(B180,CONFIG_ASIGNATURAS!$B$2:$D$91,3,FALSE()),"Asignatura"))</f>
      </c>
      <c r="D180">
        <f>SUMPRODUCT((nCUENTA=1)*(nCURSO=A180)*(nASIG=B180))</f>
        <v>0</v>
      </c>
      <c r="E180" s="10" t="str">
        <f>IFERROR(SUMPRODUCT((nCUENTA=1)*(nCURSO=A180)*(nASIG=B180)*(nNOTA))/D180,"—")</f>
        <v>—</v>
      </c>
      <c r="F180" s="10" t="str" cm="1">
        <f t="array" ref="F180">IFERROR(_xlfn.STDEV.P(_xlfn._xlws.FILTER(nNOTA,(nCUENTA=1)*(nCURSO=A180)*(nASIG=B180))),"—")</f>
        <v>—</v>
      </c>
      <c r="G180" t="str" cm="1">
        <f t="array" ref="G180">IFERROR(_xlfn.MODE.SNGL(_xlfn._xlws.FILTER(nNOTA,(nCUENTA=1)*(nCURSO=A180)*(nASIG=B180))),"—")</f>
        <v>—</v>
      </c>
      <c r="H180" s="11" t="str">
        <f>IFERROR(SUMPRODUCT((nCUENTA=1)*(nCURSO=A180)*(nASIG=B180)*(nAPTO="S"))/D180,"—")</f>
        <v>—</v>
      </c>
      <c r="I180" s="11" t="str">
        <f>IFERROR(SUMPRODUCT((nCUENTA=1)*(nCURSO=A180)*(nASIG=B180)*(nAPTO="N"))/D180,"—")</f>
        <v>—</v>
      </c>
      <c r="J180" t="str" cm="1">
        <f t="array" ref="J180">IFERROR(_xlfn.MODE.SNGL(_xlfn._xlws.FILTER(nNOTA,(nCUENTA=1)*(nCURSO=A180)*(nASIG=B180)*(nAPTO="S"))),"—")</f>
        <v>—</v>
      </c>
      <c r="K180" t="str" cm="1">
        <f t="array" ref="K180">IFERROR(_xlfn.MODE.SNGL(_xlfn._xlws.FILTER(nNOTA,(nCUENTA=1)*(nCURSO=A180)*(nASIG=B180)*(nAPTO="N"))),"—")</f>
        <v>—</v>
      </c>
      <c r="L180">
        <f>SUMPRODUCT((nCUENTA=1)*(nCURSO=A180)*(nASIG=B180)*(nNOTA=1))</f>
        <v>0</v>
      </c>
      <c r="M180">
        <f>SUMPRODUCT((nCUENTA=1)*(nCURSO=A180)*(nASIG=B180)*(nNOTA=2))</f>
        <v>0</v>
      </c>
      <c r="N180">
        <f>SUMPRODUCT((nCUENTA=1)*(nCURSO=A180)*(nASIG=B180)*(nNOTA=3))</f>
        <v>0</v>
      </c>
      <c r="O180">
        <f>SUMPRODUCT((nCUENTA=1)*(nCURSO=A180)*(nASIG=B180)*(nNOTA=4))</f>
        <v>0</v>
      </c>
      <c r="P180">
        <f>SUMPRODUCT((nCUENTA=1)*(nCURSO=A180)*(nASIG=B180)*(nNOTA=5))</f>
        <v>0</v>
      </c>
      <c r="Q180">
        <f>SUMPRODUCT((nCUENTA=1)*(nCURSO=A180)*(nASIG=B180)*(nNOTA=6))</f>
        <v>0</v>
      </c>
      <c r="R180">
        <f>SUMPRODUCT((nCUENTA=1)*(nCURSO=A180)*(nASIG=B180)*(nNOTA=7))</f>
        <v>0</v>
      </c>
      <c r="S180">
        <f>SUMPRODUCT((nCUENTA=1)*(nCURSO=A180)*(nASIG=B180)*(nNOTA=8))</f>
        <v>0</v>
      </c>
      <c r="T180">
        <f>SUMPRODUCT((nCUENTA=1)*(nCURSO=A180)*(nASIG=B180)*(nNOTA=9))</f>
        <v>0</v>
      </c>
      <c r="U180">
        <f>SUMPRODUCT((nCUENTA=1)*(nCURSO=A180)*(nASIG=B180)*(nNOTA=10))</f>
        <v>0</v>
      </c>
    </row>
    <row r="181">
      <c r="A181" t="inlineStr">
        <is>
          <t xml:space="preserve">2EPM</t>
        </is>
      </c>
      <c r="B181" cm="1">
        <f t="array" ref="B181">IFERROR(INDEX(_xlfn._xlws.FILTER(CONFIG_ASIGNATURAS!$B$2:$B$91,(CONFIG_ASIGNATURAS!$G$2:$G$91="Sí")*ISNUMBER(SEARCH("2EPM",CONFIG_ASIGNATURAS!$C$2:$C$91))),38),"")</f>
      </c>
      <c r="C181">
        <f>IF(B181="","",IFERROR(VLOOKUP(B181,CONFIG_ASIGNATURAS!$B$2:$D$91,3,FALSE()),"Asignatura"))</f>
      </c>
      <c r="D181">
        <f>SUMPRODUCT((nCUENTA=1)*(nCURSO=A181)*(nASIG=B181))</f>
        <v>0</v>
      </c>
      <c r="E181" s="10" t="str">
        <f>IFERROR(SUMPRODUCT((nCUENTA=1)*(nCURSO=A181)*(nASIG=B181)*(nNOTA))/D181,"—")</f>
        <v>—</v>
      </c>
      <c r="F181" s="10" t="str" cm="1">
        <f t="array" ref="F181">IFERROR(_xlfn.STDEV.P(_xlfn._xlws.FILTER(nNOTA,(nCUENTA=1)*(nCURSO=A181)*(nASIG=B181))),"—")</f>
        <v>—</v>
      </c>
      <c r="G181" t="str" cm="1">
        <f t="array" ref="G181">IFERROR(_xlfn.MODE.SNGL(_xlfn._xlws.FILTER(nNOTA,(nCUENTA=1)*(nCURSO=A181)*(nASIG=B181))),"—")</f>
        <v>—</v>
      </c>
      <c r="H181" s="11" t="str">
        <f>IFERROR(SUMPRODUCT((nCUENTA=1)*(nCURSO=A181)*(nASIG=B181)*(nAPTO="S"))/D181,"—")</f>
        <v>—</v>
      </c>
      <c r="I181" s="11" t="str">
        <f>IFERROR(SUMPRODUCT((nCUENTA=1)*(nCURSO=A181)*(nASIG=B181)*(nAPTO="N"))/D181,"—")</f>
        <v>—</v>
      </c>
      <c r="J181" t="str" cm="1">
        <f t="array" ref="J181">IFERROR(_xlfn.MODE.SNGL(_xlfn._xlws.FILTER(nNOTA,(nCUENTA=1)*(nCURSO=A181)*(nASIG=B181)*(nAPTO="S"))),"—")</f>
        <v>—</v>
      </c>
      <c r="K181" t="str" cm="1">
        <f t="array" ref="K181">IFERROR(_xlfn.MODE.SNGL(_xlfn._xlws.FILTER(nNOTA,(nCUENTA=1)*(nCURSO=A181)*(nASIG=B181)*(nAPTO="N"))),"—")</f>
        <v>—</v>
      </c>
      <c r="L181">
        <f>SUMPRODUCT((nCUENTA=1)*(nCURSO=A181)*(nASIG=B181)*(nNOTA=1))</f>
        <v>0</v>
      </c>
      <c r="M181">
        <f>SUMPRODUCT((nCUENTA=1)*(nCURSO=A181)*(nASIG=B181)*(nNOTA=2))</f>
        <v>0</v>
      </c>
      <c r="N181">
        <f>SUMPRODUCT((nCUENTA=1)*(nCURSO=A181)*(nASIG=B181)*(nNOTA=3))</f>
        <v>0</v>
      </c>
      <c r="O181">
        <f>SUMPRODUCT((nCUENTA=1)*(nCURSO=A181)*(nASIG=B181)*(nNOTA=4))</f>
        <v>0</v>
      </c>
      <c r="P181">
        <f>SUMPRODUCT((nCUENTA=1)*(nCURSO=A181)*(nASIG=B181)*(nNOTA=5))</f>
        <v>0</v>
      </c>
      <c r="Q181">
        <f>SUMPRODUCT((nCUENTA=1)*(nCURSO=A181)*(nASIG=B181)*(nNOTA=6))</f>
        <v>0</v>
      </c>
      <c r="R181">
        <f>SUMPRODUCT((nCUENTA=1)*(nCURSO=A181)*(nASIG=B181)*(nNOTA=7))</f>
        <v>0</v>
      </c>
      <c r="S181">
        <f>SUMPRODUCT((nCUENTA=1)*(nCURSO=A181)*(nASIG=B181)*(nNOTA=8))</f>
        <v>0</v>
      </c>
      <c r="T181">
        <f>SUMPRODUCT((nCUENTA=1)*(nCURSO=A181)*(nASIG=B181)*(nNOTA=9))</f>
        <v>0</v>
      </c>
      <c r="U181">
        <f>SUMPRODUCT((nCUENTA=1)*(nCURSO=A181)*(nASIG=B181)*(nNOTA=10))</f>
        <v>0</v>
      </c>
    </row>
    <row r="182">
      <c r="A182" t="inlineStr">
        <is>
          <t xml:space="preserve">2EPM</t>
        </is>
      </c>
      <c r="B182" cm="1">
        <f t="array" ref="B182">IFERROR(INDEX(_xlfn._xlws.FILTER(CONFIG_ASIGNATURAS!$B$2:$B$91,(CONFIG_ASIGNATURAS!$G$2:$G$91="Sí")*ISNUMBER(SEARCH("2EPM",CONFIG_ASIGNATURAS!$C$2:$C$91))),39),"")</f>
      </c>
      <c r="C182">
        <f>IF(B182="","",IFERROR(VLOOKUP(B182,CONFIG_ASIGNATURAS!$B$2:$D$91,3,FALSE()),"Asignatura"))</f>
      </c>
      <c r="D182">
        <f>SUMPRODUCT((nCUENTA=1)*(nCURSO=A182)*(nASIG=B182))</f>
        <v>0</v>
      </c>
      <c r="E182" s="10" t="str">
        <f>IFERROR(SUMPRODUCT((nCUENTA=1)*(nCURSO=A182)*(nASIG=B182)*(nNOTA))/D182,"—")</f>
        <v>—</v>
      </c>
      <c r="F182" s="10" t="str" cm="1">
        <f t="array" ref="F182">IFERROR(_xlfn.STDEV.P(_xlfn._xlws.FILTER(nNOTA,(nCUENTA=1)*(nCURSO=A182)*(nASIG=B182))),"—")</f>
        <v>—</v>
      </c>
      <c r="G182" t="str" cm="1">
        <f t="array" ref="G182">IFERROR(_xlfn.MODE.SNGL(_xlfn._xlws.FILTER(nNOTA,(nCUENTA=1)*(nCURSO=A182)*(nASIG=B182))),"—")</f>
        <v>—</v>
      </c>
      <c r="H182" s="11" t="str">
        <f>IFERROR(SUMPRODUCT((nCUENTA=1)*(nCURSO=A182)*(nASIG=B182)*(nAPTO="S"))/D182,"—")</f>
        <v>—</v>
      </c>
      <c r="I182" s="11" t="str">
        <f>IFERROR(SUMPRODUCT((nCUENTA=1)*(nCURSO=A182)*(nASIG=B182)*(nAPTO="N"))/D182,"—")</f>
        <v>—</v>
      </c>
      <c r="J182" t="str" cm="1">
        <f t="array" ref="J182">IFERROR(_xlfn.MODE.SNGL(_xlfn._xlws.FILTER(nNOTA,(nCUENTA=1)*(nCURSO=A182)*(nASIG=B182)*(nAPTO="S"))),"—")</f>
        <v>—</v>
      </c>
      <c r="K182" t="str" cm="1">
        <f t="array" ref="K182">IFERROR(_xlfn.MODE.SNGL(_xlfn._xlws.FILTER(nNOTA,(nCUENTA=1)*(nCURSO=A182)*(nASIG=B182)*(nAPTO="N"))),"—")</f>
        <v>—</v>
      </c>
      <c r="L182">
        <f>SUMPRODUCT((nCUENTA=1)*(nCURSO=A182)*(nASIG=B182)*(nNOTA=1))</f>
        <v>0</v>
      </c>
      <c r="M182">
        <f>SUMPRODUCT((nCUENTA=1)*(nCURSO=A182)*(nASIG=B182)*(nNOTA=2))</f>
        <v>0</v>
      </c>
      <c r="N182">
        <f>SUMPRODUCT((nCUENTA=1)*(nCURSO=A182)*(nASIG=B182)*(nNOTA=3))</f>
        <v>0</v>
      </c>
      <c r="O182">
        <f>SUMPRODUCT((nCUENTA=1)*(nCURSO=A182)*(nASIG=B182)*(nNOTA=4))</f>
        <v>0</v>
      </c>
      <c r="P182">
        <f>SUMPRODUCT((nCUENTA=1)*(nCURSO=A182)*(nASIG=B182)*(nNOTA=5))</f>
        <v>0</v>
      </c>
      <c r="Q182">
        <f>SUMPRODUCT((nCUENTA=1)*(nCURSO=A182)*(nASIG=B182)*(nNOTA=6))</f>
        <v>0</v>
      </c>
      <c r="R182">
        <f>SUMPRODUCT((nCUENTA=1)*(nCURSO=A182)*(nASIG=B182)*(nNOTA=7))</f>
        <v>0</v>
      </c>
      <c r="S182">
        <f>SUMPRODUCT((nCUENTA=1)*(nCURSO=A182)*(nASIG=B182)*(nNOTA=8))</f>
        <v>0</v>
      </c>
      <c r="T182">
        <f>SUMPRODUCT((nCUENTA=1)*(nCURSO=A182)*(nASIG=B182)*(nNOTA=9))</f>
        <v>0</v>
      </c>
      <c r="U182">
        <f>SUMPRODUCT((nCUENTA=1)*(nCURSO=A182)*(nASIG=B182)*(nNOTA=10))</f>
        <v>0</v>
      </c>
    </row>
    <row r="183">
      <c r="A183" t="inlineStr">
        <is>
          <t xml:space="preserve">2EPM</t>
        </is>
      </c>
      <c r="B183" cm="1">
        <f t="array" ref="B183">IFERROR(INDEX(_xlfn._xlws.FILTER(CONFIG_ASIGNATURAS!$B$2:$B$91,(CONFIG_ASIGNATURAS!$G$2:$G$91="Sí")*ISNUMBER(SEARCH("2EPM",CONFIG_ASIGNATURAS!$C$2:$C$91))),40),"")</f>
      </c>
      <c r="C183">
        <f>IF(B183="","",IFERROR(VLOOKUP(B183,CONFIG_ASIGNATURAS!$B$2:$D$91,3,FALSE()),"Asignatura"))</f>
      </c>
      <c r="D183">
        <f>SUMPRODUCT((nCUENTA=1)*(nCURSO=A183)*(nASIG=B183))</f>
        <v>0</v>
      </c>
      <c r="E183" s="10" t="str">
        <f>IFERROR(SUMPRODUCT((nCUENTA=1)*(nCURSO=A183)*(nASIG=B183)*(nNOTA))/D183,"—")</f>
        <v>—</v>
      </c>
      <c r="F183" s="10" t="str" cm="1">
        <f t="array" ref="F183">IFERROR(_xlfn.STDEV.P(_xlfn._xlws.FILTER(nNOTA,(nCUENTA=1)*(nCURSO=A183)*(nASIG=B183))),"—")</f>
        <v>—</v>
      </c>
      <c r="G183" t="str" cm="1">
        <f t="array" ref="G183">IFERROR(_xlfn.MODE.SNGL(_xlfn._xlws.FILTER(nNOTA,(nCUENTA=1)*(nCURSO=A183)*(nASIG=B183))),"—")</f>
        <v>—</v>
      </c>
      <c r="H183" s="11" t="str">
        <f>IFERROR(SUMPRODUCT((nCUENTA=1)*(nCURSO=A183)*(nASIG=B183)*(nAPTO="S"))/D183,"—")</f>
        <v>—</v>
      </c>
      <c r="I183" s="11" t="str">
        <f>IFERROR(SUMPRODUCT((nCUENTA=1)*(nCURSO=A183)*(nASIG=B183)*(nAPTO="N"))/D183,"—")</f>
        <v>—</v>
      </c>
      <c r="J183" t="str" cm="1">
        <f t="array" ref="J183">IFERROR(_xlfn.MODE.SNGL(_xlfn._xlws.FILTER(nNOTA,(nCUENTA=1)*(nCURSO=A183)*(nASIG=B183)*(nAPTO="S"))),"—")</f>
        <v>—</v>
      </c>
      <c r="K183" t="str" cm="1">
        <f t="array" ref="K183">IFERROR(_xlfn.MODE.SNGL(_xlfn._xlws.FILTER(nNOTA,(nCUENTA=1)*(nCURSO=A183)*(nASIG=B183)*(nAPTO="N"))),"—")</f>
        <v>—</v>
      </c>
      <c r="L183">
        <f>SUMPRODUCT((nCUENTA=1)*(nCURSO=A183)*(nASIG=B183)*(nNOTA=1))</f>
        <v>0</v>
      </c>
      <c r="M183">
        <f>SUMPRODUCT((nCUENTA=1)*(nCURSO=A183)*(nASIG=B183)*(nNOTA=2))</f>
        <v>0</v>
      </c>
      <c r="N183">
        <f>SUMPRODUCT((nCUENTA=1)*(nCURSO=A183)*(nASIG=B183)*(nNOTA=3))</f>
        <v>0</v>
      </c>
      <c r="O183">
        <f>SUMPRODUCT((nCUENTA=1)*(nCURSO=A183)*(nASIG=B183)*(nNOTA=4))</f>
        <v>0</v>
      </c>
      <c r="P183">
        <f>SUMPRODUCT((nCUENTA=1)*(nCURSO=A183)*(nASIG=B183)*(nNOTA=5))</f>
        <v>0</v>
      </c>
      <c r="Q183">
        <f>SUMPRODUCT((nCUENTA=1)*(nCURSO=A183)*(nASIG=B183)*(nNOTA=6))</f>
        <v>0</v>
      </c>
      <c r="R183">
        <f>SUMPRODUCT((nCUENTA=1)*(nCURSO=A183)*(nASIG=B183)*(nNOTA=7))</f>
        <v>0</v>
      </c>
      <c r="S183">
        <f>SUMPRODUCT((nCUENTA=1)*(nCURSO=A183)*(nASIG=B183)*(nNOTA=8))</f>
        <v>0</v>
      </c>
      <c r="T183">
        <f>SUMPRODUCT((nCUENTA=1)*(nCURSO=A183)*(nASIG=B183)*(nNOTA=9))</f>
        <v>0</v>
      </c>
      <c r="U183">
        <f>SUMPRODUCT((nCUENTA=1)*(nCURSO=A183)*(nASIG=B183)*(nNOTA=10))</f>
        <v>0</v>
      </c>
    </row>
    <row r="184">
      <c r="A184" t="inlineStr">
        <is>
          <t xml:space="preserve">2EPM</t>
        </is>
      </c>
      <c r="B184" cm="1">
        <f t="array" ref="B184">IFERROR(INDEX(_xlfn._xlws.FILTER(CONFIG_ASIGNATURAS!$B$2:$B$91,(CONFIG_ASIGNATURAS!$G$2:$G$91="Sí")*ISNUMBER(SEARCH("2EPM",CONFIG_ASIGNATURAS!$C$2:$C$91))),41),"")</f>
      </c>
      <c r="C184">
        <f>IF(B184="","",IFERROR(VLOOKUP(B184,CONFIG_ASIGNATURAS!$B$2:$D$91,3,FALSE()),"Asignatura"))</f>
      </c>
      <c r="D184">
        <f>SUMPRODUCT((nCUENTA=1)*(nCURSO=A184)*(nASIG=B184))</f>
        <v>0</v>
      </c>
      <c r="E184" s="10" t="str">
        <f>IFERROR(SUMPRODUCT((nCUENTA=1)*(nCURSO=A184)*(nASIG=B184)*(nNOTA))/D184,"—")</f>
        <v>—</v>
      </c>
      <c r="F184" s="10" t="str" cm="1">
        <f t="array" ref="F184">IFERROR(_xlfn.STDEV.P(_xlfn._xlws.FILTER(nNOTA,(nCUENTA=1)*(nCURSO=A184)*(nASIG=B184))),"—")</f>
        <v>—</v>
      </c>
      <c r="G184" t="str" cm="1">
        <f t="array" ref="G184">IFERROR(_xlfn.MODE.SNGL(_xlfn._xlws.FILTER(nNOTA,(nCUENTA=1)*(nCURSO=A184)*(nASIG=B184))),"—")</f>
        <v>—</v>
      </c>
      <c r="H184" s="11" t="str">
        <f>IFERROR(SUMPRODUCT((nCUENTA=1)*(nCURSO=A184)*(nASIG=B184)*(nAPTO="S"))/D184,"—")</f>
        <v>—</v>
      </c>
      <c r="I184" s="11" t="str">
        <f>IFERROR(SUMPRODUCT((nCUENTA=1)*(nCURSO=A184)*(nASIG=B184)*(nAPTO="N"))/D184,"—")</f>
        <v>—</v>
      </c>
      <c r="J184" t="str" cm="1">
        <f t="array" ref="J184">IFERROR(_xlfn.MODE.SNGL(_xlfn._xlws.FILTER(nNOTA,(nCUENTA=1)*(nCURSO=A184)*(nASIG=B184)*(nAPTO="S"))),"—")</f>
        <v>—</v>
      </c>
      <c r="K184" t="str" cm="1">
        <f t="array" ref="K184">IFERROR(_xlfn.MODE.SNGL(_xlfn._xlws.FILTER(nNOTA,(nCUENTA=1)*(nCURSO=A184)*(nASIG=B184)*(nAPTO="N"))),"—")</f>
        <v>—</v>
      </c>
      <c r="L184">
        <f>SUMPRODUCT((nCUENTA=1)*(nCURSO=A184)*(nASIG=B184)*(nNOTA=1))</f>
        <v>0</v>
      </c>
      <c r="M184">
        <f>SUMPRODUCT((nCUENTA=1)*(nCURSO=A184)*(nASIG=B184)*(nNOTA=2))</f>
        <v>0</v>
      </c>
      <c r="N184">
        <f>SUMPRODUCT((nCUENTA=1)*(nCURSO=A184)*(nASIG=B184)*(nNOTA=3))</f>
        <v>0</v>
      </c>
      <c r="O184">
        <f>SUMPRODUCT((nCUENTA=1)*(nCURSO=A184)*(nASIG=B184)*(nNOTA=4))</f>
        <v>0</v>
      </c>
      <c r="P184">
        <f>SUMPRODUCT((nCUENTA=1)*(nCURSO=A184)*(nASIG=B184)*(nNOTA=5))</f>
        <v>0</v>
      </c>
      <c r="Q184">
        <f>SUMPRODUCT((nCUENTA=1)*(nCURSO=A184)*(nASIG=B184)*(nNOTA=6))</f>
        <v>0</v>
      </c>
      <c r="R184">
        <f>SUMPRODUCT((nCUENTA=1)*(nCURSO=A184)*(nASIG=B184)*(nNOTA=7))</f>
        <v>0</v>
      </c>
      <c r="S184">
        <f>SUMPRODUCT((nCUENTA=1)*(nCURSO=A184)*(nASIG=B184)*(nNOTA=8))</f>
        <v>0</v>
      </c>
      <c r="T184">
        <f>SUMPRODUCT((nCUENTA=1)*(nCURSO=A184)*(nASIG=B184)*(nNOTA=9))</f>
        <v>0</v>
      </c>
      <c r="U184">
        <f>SUMPRODUCT((nCUENTA=1)*(nCURSO=A184)*(nASIG=B184)*(nNOTA=10))</f>
        <v>0</v>
      </c>
    </row>
    <row r="185">
      <c r="A185" t="inlineStr">
        <is>
          <t xml:space="preserve">2EPM</t>
        </is>
      </c>
      <c r="B185" cm="1">
        <f t="array" ref="B185">IFERROR(INDEX(_xlfn._xlws.FILTER(CONFIG_ASIGNATURAS!$B$2:$B$91,(CONFIG_ASIGNATURAS!$G$2:$G$91="Sí")*ISNUMBER(SEARCH("2EPM",CONFIG_ASIGNATURAS!$C$2:$C$91))),42),"")</f>
      </c>
      <c r="C185">
        <f>IF(B185="","",IFERROR(VLOOKUP(B185,CONFIG_ASIGNATURAS!$B$2:$D$91,3,FALSE()),"Asignatura"))</f>
      </c>
      <c r="D185">
        <f>SUMPRODUCT((nCUENTA=1)*(nCURSO=A185)*(nASIG=B185))</f>
        <v>0</v>
      </c>
      <c r="E185" s="10" t="str">
        <f>IFERROR(SUMPRODUCT((nCUENTA=1)*(nCURSO=A185)*(nASIG=B185)*(nNOTA))/D185,"—")</f>
        <v>—</v>
      </c>
      <c r="F185" s="10" t="str" cm="1">
        <f t="array" ref="F185">IFERROR(_xlfn.STDEV.P(_xlfn._xlws.FILTER(nNOTA,(nCUENTA=1)*(nCURSO=A185)*(nASIG=B185))),"—")</f>
        <v>—</v>
      </c>
      <c r="G185" t="str" cm="1">
        <f t="array" ref="G185">IFERROR(_xlfn.MODE.SNGL(_xlfn._xlws.FILTER(nNOTA,(nCUENTA=1)*(nCURSO=A185)*(nASIG=B185))),"—")</f>
        <v>—</v>
      </c>
      <c r="H185" s="11" t="str">
        <f>IFERROR(SUMPRODUCT((nCUENTA=1)*(nCURSO=A185)*(nASIG=B185)*(nAPTO="S"))/D185,"—")</f>
        <v>—</v>
      </c>
      <c r="I185" s="11" t="str">
        <f>IFERROR(SUMPRODUCT((nCUENTA=1)*(nCURSO=A185)*(nASIG=B185)*(nAPTO="N"))/D185,"—")</f>
        <v>—</v>
      </c>
      <c r="J185" t="str" cm="1">
        <f t="array" ref="J185">IFERROR(_xlfn.MODE.SNGL(_xlfn._xlws.FILTER(nNOTA,(nCUENTA=1)*(nCURSO=A185)*(nASIG=B185)*(nAPTO="S"))),"—")</f>
        <v>—</v>
      </c>
      <c r="K185" t="str" cm="1">
        <f t="array" ref="K185">IFERROR(_xlfn.MODE.SNGL(_xlfn._xlws.FILTER(nNOTA,(nCUENTA=1)*(nCURSO=A185)*(nASIG=B185)*(nAPTO="N"))),"—")</f>
        <v>—</v>
      </c>
      <c r="L185">
        <f>SUMPRODUCT((nCUENTA=1)*(nCURSO=A185)*(nASIG=B185)*(nNOTA=1))</f>
        <v>0</v>
      </c>
      <c r="M185">
        <f>SUMPRODUCT((nCUENTA=1)*(nCURSO=A185)*(nASIG=B185)*(nNOTA=2))</f>
        <v>0</v>
      </c>
      <c r="N185">
        <f>SUMPRODUCT((nCUENTA=1)*(nCURSO=A185)*(nASIG=B185)*(nNOTA=3))</f>
        <v>0</v>
      </c>
      <c r="O185">
        <f>SUMPRODUCT((nCUENTA=1)*(nCURSO=A185)*(nASIG=B185)*(nNOTA=4))</f>
        <v>0</v>
      </c>
      <c r="P185">
        <f>SUMPRODUCT((nCUENTA=1)*(nCURSO=A185)*(nASIG=B185)*(nNOTA=5))</f>
        <v>0</v>
      </c>
      <c r="Q185">
        <f>SUMPRODUCT((nCUENTA=1)*(nCURSO=A185)*(nASIG=B185)*(nNOTA=6))</f>
        <v>0</v>
      </c>
      <c r="R185">
        <f>SUMPRODUCT((nCUENTA=1)*(nCURSO=A185)*(nASIG=B185)*(nNOTA=7))</f>
        <v>0</v>
      </c>
      <c r="S185">
        <f>SUMPRODUCT((nCUENTA=1)*(nCURSO=A185)*(nASIG=B185)*(nNOTA=8))</f>
        <v>0</v>
      </c>
      <c r="T185">
        <f>SUMPRODUCT((nCUENTA=1)*(nCURSO=A185)*(nASIG=B185)*(nNOTA=9))</f>
        <v>0</v>
      </c>
      <c r="U185">
        <f>SUMPRODUCT((nCUENTA=1)*(nCURSO=A185)*(nASIG=B185)*(nNOTA=10))</f>
        <v>0</v>
      </c>
    </row>
    <row r="186">
      <c r="A186" t="inlineStr">
        <is>
          <t xml:space="preserve">2EPM</t>
        </is>
      </c>
      <c r="B186" cm="1">
        <f t="array" ref="B186">IFERROR(INDEX(_xlfn._xlws.FILTER(CONFIG_ASIGNATURAS!$B$2:$B$91,(CONFIG_ASIGNATURAS!$G$2:$G$91="Sí")*ISNUMBER(SEARCH("2EPM",CONFIG_ASIGNATURAS!$C$2:$C$91))),43),"")</f>
      </c>
      <c r="C186">
        <f>IF(B186="","",IFERROR(VLOOKUP(B186,CONFIG_ASIGNATURAS!$B$2:$D$91,3,FALSE()),"Asignatura"))</f>
      </c>
      <c r="D186">
        <f>SUMPRODUCT((nCUENTA=1)*(nCURSO=A186)*(nASIG=B186))</f>
        <v>0</v>
      </c>
      <c r="E186" s="10" t="str">
        <f>IFERROR(SUMPRODUCT((nCUENTA=1)*(nCURSO=A186)*(nASIG=B186)*(nNOTA))/D186,"—")</f>
        <v>—</v>
      </c>
      <c r="F186" s="10" t="str" cm="1">
        <f t="array" ref="F186">IFERROR(_xlfn.STDEV.P(_xlfn._xlws.FILTER(nNOTA,(nCUENTA=1)*(nCURSO=A186)*(nASIG=B186))),"—")</f>
        <v>—</v>
      </c>
      <c r="G186" t="str" cm="1">
        <f t="array" ref="G186">IFERROR(_xlfn.MODE.SNGL(_xlfn._xlws.FILTER(nNOTA,(nCUENTA=1)*(nCURSO=A186)*(nASIG=B186))),"—")</f>
        <v>—</v>
      </c>
      <c r="H186" s="11" t="str">
        <f>IFERROR(SUMPRODUCT((nCUENTA=1)*(nCURSO=A186)*(nASIG=B186)*(nAPTO="S"))/D186,"—")</f>
        <v>—</v>
      </c>
      <c r="I186" s="11" t="str">
        <f>IFERROR(SUMPRODUCT((nCUENTA=1)*(nCURSO=A186)*(nASIG=B186)*(nAPTO="N"))/D186,"—")</f>
        <v>—</v>
      </c>
      <c r="J186" t="str" cm="1">
        <f t="array" ref="J186">IFERROR(_xlfn.MODE.SNGL(_xlfn._xlws.FILTER(nNOTA,(nCUENTA=1)*(nCURSO=A186)*(nASIG=B186)*(nAPTO="S"))),"—")</f>
        <v>—</v>
      </c>
      <c r="K186" t="str" cm="1">
        <f t="array" ref="K186">IFERROR(_xlfn.MODE.SNGL(_xlfn._xlws.FILTER(nNOTA,(nCUENTA=1)*(nCURSO=A186)*(nASIG=B186)*(nAPTO="N"))),"—")</f>
        <v>—</v>
      </c>
      <c r="L186">
        <f>SUMPRODUCT((nCUENTA=1)*(nCURSO=A186)*(nASIG=B186)*(nNOTA=1))</f>
        <v>0</v>
      </c>
      <c r="M186">
        <f>SUMPRODUCT((nCUENTA=1)*(nCURSO=A186)*(nASIG=B186)*(nNOTA=2))</f>
        <v>0</v>
      </c>
      <c r="N186">
        <f>SUMPRODUCT((nCUENTA=1)*(nCURSO=A186)*(nASIG=B186)*(nNOTA=3))</f>
        <v>0</v>
      </c>
      <c r="O186">
        <f>SUMPRODUCT((nCUENTA=1)*(nCURSO=A186)*(nASIG=B186)*(nNOTA=4))</f>
        <v>0</v>
      </c>
      <c r="P186">
        <f>SUMPRODUCT((nCUENTA=1)*(nCURSO=A186)*(nASIG=B186)*(nNOTA=5))</f>
        <v>0</v>
      </c>
      <c r="Q186">
        <f>SUMPRODUCT((nCUENTA=1)*(nCURSO=A186)*(nASIG=B186)*(nNOTA=6))</f>
        <v>0</v>
      </c>
      <c r="R186">
        <f>SUMPRODUCT((nCUENTA=1)*(nCURSO=A186)*(nASIG=B186)*(nNOTA=7))</f>
        <v>0</v>
      </c>
      <c r="S186">
        <f>SUMPRODUCT((nCUENTA=1)*(nCURSO=A186)*(nASIG=B186)*(nNOTA=8))</f>
        <v>0</v>
      </c>
      <c r="T186">
        <f>SUMPRODUCT((nCUENTA=1)*(nCURSO=A186)*(nASIG=B186)*(nNOTA=9))</f>
        <v>0</v>
      </c>
      <c r="U186">
        <f>SUMPRODUCT((nCUENTA=1)*(nCURSO=A186)*(nASIG=B186)*(nNOTA=10))</f>
        <v>0</v>
      </c>
    </row>
    <row r="187">
      <c r="A187" t="inlineStr">
        <is>
          <t xml:space="preserve">2EPM</t>
        </is>
      </c>
      <c r="B187" cm="1">
        <f t="array" ref="B187">IFERROR(INDEX(_xlfn._xlws.FILTER(CONFIG_ASIGNATURAS!$B$2:$B$91,(CONFIG_ASIGNATURAS!$G$2:$G$91="Sí")*ISNUMBER(SEARCH("2EPM",CONFIG_ASIGNATURAS!$C$2:$C$91))),44),"")</f>
      </c>
      <c r="C187">
        <f>IF(B187="","",IFERROR(VLOOKUP(B187,CONFIG_ASIGNATURAS!$B$2:$D$91,3,FALSE()),"Asignatura"))</f>
      </c>
      <c r="D187">
        <f>SUMPRODUCT((nCUENTA=1)*(nCURSO=A187)*(nASIG=B187))</f>
        <v>0</v>
      </c>
      <c r="E187" s="10" t="str">
        <f>IFERROR(SUMPRODUCT((nCUENTA=1)*(nCURSO=A187)*(nASIG=B187)*(nNOTA))/D187,"—")</f>
        <v>—</v>
      </c>
      <c r="F187" s="10" t="str" cm="1">
        <f t="array" ref="F187">IFERROR(_xlfn.STDEV.P(_xlfn._xlws.FILTER(nNOTA,(nCUENTA=1)*(nCURSO=A187)*(nASIG=B187))),"—")</f>
        <v>—</v>
      </c>
      <c r="G187" t="str" cm="1">
        <f t="array" ref="G187">IFERROR(_xlfn.MODE.SNGL(_xlfn._xlws.FILTER(nNOTA,(nCUENTA=1)*(nCURSO=A187)*(nASIG=B187))),"—")</f>
        <v>—</v>
      </c>
      <c r="H187" s="11" t="str">
        <f>IFERROR(SUMPRODUCT((nCUENTA=1)*(nCURSO=A187)*(nASIG=B187)*(nAPTO="S"))/D187,"—")</f>
        <v>—</v>
      </c>
      <c r="I187" s="11" t="str">
        <f>IFERROR(SUMPRODUCT((nCUENTA=1)*(nCURSO=A187)*(nASIG=B187)*(nAPTO="N"))/D187,"—")</f>
        <v>—</v>
      </c>
      <c r="J187" t="str" cm="1">
        <f t="array" ref="J187">IFERROR(_xlfn.MODE.SNGL(_xlfn._xlws.FILTER(nNOTA,(nCUENTA=1)*(nCURSO=A187)*(nASIG=B187)*(nAPTO="S"))),"—")</f>
        <v>—</v>
      </c>
      <c r="K187" t="str" cm="1">
        <f t="array" ref="K187">IFERROR(_xlfn.MODE.SNGL(_xlfn._xlws.FILTER(nNOTA,(nCUENTA=1)*(nCURSO=A187)*(nASIG=B187)*(nAPTO="N"))),"—")</f>
        <v>—</v>
      </c>
      <c r="L187">
        <f>SUMPRODUCT((nCUENTA=1)*(nCURSO=A187)*(nASIG=B187)*(nNOTA=1))</f>
        <v>0</v>
      </c>
      <c r="M187">
        <f>SUMPRODUCT((nCUENTA=1)*(nCURSO=A187)*(nASIG=B187)*(nNOTA=2))</f>
        <v>0</v>
      </c>
      <c r="N187">
        <f>SUMPRODUCT((nCUENTA=1)*(nCURSO=A187)*(nASIG=B187)*(nNOTA=3))</f>
        <v>0</v>
      </c>
      <c r="O187">
        <f>SUMPRODUCT((nCUENTA=1)*(nCURSO=A187)*(nASIG=B187)*(nNOTA=4))</f>
        <v>0</v>
      </c>
      <c r="P187">
        <f>SUMPRODUCT((nCUENTA=1)*(nCURSO=A187)*(nASIG=B187)*(nNOTA=5))</f>
        <v>0</v>
      </c>
      <c r="Q187">
        <f>SUMPRODUCT((nCUENTA=1)*(nCURSO=A187)*(nASIG=B187)*(nNOTA=6))</f>
        <v>0</v>
      </c>
      <c r="R187">
        <f>SUMPRODUCT((nCUENTA=1)*(nCURSO=A187)*(nASIG=B187)*(nNOTA=7))</f>
        <v>0</v>
      </c>
      <c r="S187">
        <f>SUMPRODUCT((nCUENTA=1)*(nCURSO=A187)*(nASIG=B187)*(nNOTA=8))</f>
        <v>0</v>
      </c>
      <c r="T187">
        <f>SUMPRODUCT((nCUENTA=1)*(nCURSO=A187)*(nASIG=B187)*(nNOTA=9))</f>
        <v>0</v>
      </c>
      <c r="U187">
        <f>SUMPRODUCT((nCUENTA=1)*(nCURSO=A187)*(nASIG=B187)*(nNOTA=10))</f>
        <v>0</v>
      </c>
    </row>
    <row r="188">
      <c r="A188" t="inlineStr">
        <is>
          <t xml:space="preserve">2EPM</t>
        </is>
      </c>
      <c r="B188" cm="1">
        <f t="array" ref="B188">IFERROR(INDEX(_xlfn._xlws.FILTER(CONFIG_ASIGNATURAS!$B$2:$B$91,(CONFIG_ASIGNATURAS!$G$2:$G$91="Sí")*ISNUMBER(SEARCH("2EPM",CONFIG_ASIGNATURAS!$C$2:$C$91))),45),"")</f>
      </c>
      <c r="C188">
        <f>IF(B188="","",IFERROR(VLOOKUP(B188,CONFIG_ASIGNATURAS!$B$2:$D$91,3,FALSE()),"Asignatura"))</f>
      </c>
      <c r="D188">
        <f>SUMPRODUCT((nCUENTA=1)*(nCURSO=A188)*(nASIG=B188))</f>
        <v>0</v>
      </c>
      <c r="E188" s="10" t="str">
        <f>IFERROR(SUMPRODUCT((nCUENTA=1)*(nCURSO=A188)*(nASIG=B188)*(nNOTA))/D188,"—")</f>
        <v>—</v>
      </c>
      <c r="F188" s="10" t="str" cm="1">
        <f t="array" ref="F188">IFERROR(_xlfn.STDEV.P(_xlfn._xlws.FILTER(nNOTA,(nCUENTA=1)*(nCURSO=A188)*(nASIG=B188))),"—")</f>
        <v>—</v>
      </c>
      <c r="G188" t="str" cm="1">
        <f t="array" ref="G188">IFERROR(_xlfn.MODE.SNGL(_xlfn._xlws.FILTER(nNOTA,(nCUENTA=1)*(nCURSO=A188)*(nASIG=B188))),"—")</f>
        <v>—</v>
      </c>
      <c r="H188" s="11" t="str">
        <f>IFERROR(SUMPRODUCT((nCUENTA=1)*(nCURSO=A188)*(nASIG=B188)*(nAPTO="S"))/D188,"—")</f>
        <v>—</v>
      </c>
      <c r="I188" s="11" t="str">
        <f>IFERROR(SUMPRODUCT((nCUENTA=1)*(nCURSO=A188)*(nASIG=B188)*(nAPTO="N"))/D188,"—")</f>
        <v>—</v>
      </c>
      <c r="J188" t="str" cm="1">
        <f t="array" ref="J188">IFERROR(_xlfn.MODE.SNGL(_xlfn._xlws.FILTER(nNOTA,(nCUENTA=1)*(nCURSO=A188)*(nASIG=B188)*(nAPTO="S"))),"—")</f>
        <v>—</v>
      </c>
      <c r="K188" t="str" cm="1">
        <f t="array" ref="K188">IFERROR(_xlfn.MODE.SNGL(_xlfn._xlws.FILTER(nNOTA,(nCUENTA=1)*(nCURSO=A188)*(nASIG=B188)*(nAPTO="N"))),"—")</f>
        <v>—</v>
      </c>
      <c r="L188">
        <f>SUMPRODUCT((nCUENTA=1)*(nCURSO=A188)*(nASIG=B188)*(nNOTA=1))</f>
        <v>0</v>
      </c>
      <c r="M188">
        <f>SUMPRODUCT((nCUENTA=1)*(nCURSO=A188)*(nASIG=B188)*(nNOTA=2))</f>
        <v>0</v>
      </c>
      <c r="N188">
        <f>SUMPRODUCT((nCUENTA=1)*(nCURSO=A188)*(nASIG=B188)*(nNOTA=3))</f>
        <v>0</v>
      </c>
      <c r="O188">
        <f>SUMPRODUCT((nCUENTA=1)*(nCURSO=A188)*(nASIG=B188)*(nNOTA=4))</f>
        <v>0</v>
      </c>
      <c r="P188">
        <f>SUMPRODUCT((nCUENTA=1)*(nCURSO=A188)*(nASIG=B188)*(nNOTA=5))</f>
        <v>0</v>
      </c>
      <c r="Q188">
        <f>SUMPRODUCT((nCUENTA=1)*(nCURSO=A188)*(nASIG=B188)*(nNOTA=6))</f>
        <v>0</v>
      </c>
      <c r="R188">
        <f>SUMPRODUCT((nCUENTA=1)*(nCURSO=A188)*(nASIG=B188)*(nNOTA=7))</f>
        <v>0</v>
      </c>
      <c r="S188">
        <f>SUMPRODUCT((nCUENTA=1)*(nCURSO=A188)*(nASIG=B188)*(nNOTA=8))</f>
        <v>0</v>
      </c>
      <c r="T188">
        <f>SUMPRODUCT((nCUENTA=1)*(nCURSO=A188)*(nASIG=B188)*(nNOTA=9))</f>
        <v>0</v>
      </c>
      <c r="U188">
        <f>SUMPRODUCT((nCUENTA=1)*(nCURSO=A188)*(nASIG=B188)*(nNOTA=10))</f>
        <v>0</v>
      </c>
    </row>
    <row r="189">
      <c r="A189" t="inlineStr">
        <is>
          <t xml:space="preserve">2EPM</t>
        </is>
      </c>
      <c r="B189" cm="1">
        <f t="array" ref="B189">IFERROR(INDEX(_xlfn._xlws.FILTER(CONFIG_ASIGNATURAS!$B$2:$B$91,(CONFIG_ASIGNATURAS!$G$2:$G$91="Sí")*ISNUMBER(SEARCH("2EPM",CONFIG_ASIGNATURAS!$C$2:$C$91))),46),"")</f>
      </c>
      <c r="C189">
        <f>IF(B189="","",IFERROR(VLOOKUP(B189,CONFIG_ASIGNATURAS!$B$2:$D$91,3,FALSE()),"Asignatura"))</f>
      </c>
      <c r="D189">
        <f>SUMPRODUCT((nCUENTA=1)*(nCURSO=A189)*(nASIG=B189))</f>
        <v>0</v>
      </c>
      <c r="E189" s="10" t="str">
        <f>IFERROR(SUMPRODUCT((nCUENTA=1)*(nCURSO=A189)*(nASIG=B189)*(nNOTA))/D189,"—")</f>
        <v>—</v>
      </c>
      <c r="F189" s="10" t="str" cm="1">
        <f t="array" ref="F189">IFERROR(_xlfn.STDEV.P(_xlfn._xlws.FILTER(nNOTA,(nCUENTA=1)*(nCURSO=A189)*(nASIG=B189))),"—")</f>
        <v>—</v>
      </c>
      <c r="G189" t="str" cm="1">
        <f t="array" ref="G189">IFERROR(_xlfn.MODE.SNGL(_xlfn._xlws.FILTER(nNOTA,(nCUENTA=1)*(nCURSO=A189)*(nASIG=B189))),"—")</f>
        <v>—</v>
      </c>
      <c r="H189" s="11" t="str">
        <f>IFERROR(SUMPRODUCT((nCUENTA=1)*(nCURSO=A189)*(nASIG=B189)*(nAPTO="S"))/D189,"—")</f>
        <v>—</v>
      </c>
      <c r="I189" s="11" t="str">
        <f>IFERROR(SUMPRODUCT((nCUENTA=1)*(nCURSO=A189)*(nASIG=B189)*(nAPTO="N"))/D189,"—")</f>
        <v>—</v>
      </c>
      <c r="J189" t="str" cm="1">
        <f t="array" ref="J189">IFERROR(_xlfn.MODE.SNGL(_xlfn._xlws.FILTER(nNOTA,(nCUENTA=1)*(nCURSO=A189)*(nASIG=B189)*(nAPTO="S"))),"—")</f>
        <v>—</v>
      </c>
      <c r="K189" t="str" cm="1">
        <f t="array" ref="K189">IFERROR(_xlfn.MODE.SNGL(_xlfn._xlws.FILTER(nNOTA,(nCUENTA=1)*(nCURSO=A189)*(nASIG=B189)*(nAPTO="N"))),"—")</f>
        <v>—</v>
      </c>
      <c r="L189">
        <f>SUMPRODUCT((nCUENTA=1)*(nCURSO=A189)*(nASIG=B189)*(nNOTA=1))</f>
        <v>0</v>
      </c>
      <c r="M189">
        <f>SUMPRODUCT((nCUENTA=1)*(nCURSO=A189)*(nASIG=B189)*(nNOTA=2))</f>
        <v>0</v>
      </c>
      <c r="N189">
        <f>SUMPRODUCT((nCUENTA=1)*(nCURSO=A189)*(nASIG=B189)*(nNOTA=3))</f>
        <v>0</v>
      </c>
      <c r="O189">
        <f>SUMPRODUCT((nCUENTA=1)*(nCURSO=A189)*(nASIG=B189)*(nNOTA=4))</f>
        <v>0</v>
      </c>
      <c r="P189">
        <f>SUMPRODUCT((nCUENTA=1)*(nCURSO=A189)*(nASIG=B189)*(nNOTA=5))</f>
        <v>0</v>
      </c>
      <c r="Q189">
        <f>SUMPRODUCT((nCUENTA=1)*(nCURSO=A189)*(nASIG=B189)*(nNOTA=6))</f>
        <v>0</v>
      </c>
      <c r="R189">
        <f>SUMPRODUCT((nCUENTA=1)*(nCURSO=A189)*(nASIG=B189)*(nNOTA=7))</f>
        <v>0</v>
      </c>
      <c r="S189">
        <f>SUMPRODUCT((nCUENTA=1)*(nCURSO=A189)*(nASIG=B189)*(nNOTA=8))</f>
        <v>0</v>
      </c>
      <c r="T189">
        <f>SUMPRODUCT((nCUENTA=1)*(nCURSO=A189)*(nASIG=B189)*(nNOTA=9))</f>
        <v>0</v>
      </c>
      <c r="U189">
        <f>SUMPRODUCT((nCUENTA=1)*(nCURSO=A189)*(nASIG=B189)*(nNOTA=10))</f>
        <v>0</v>
      </c>
    </row>
    <row r="190">
      <c r="A190" t="inlineStr">
        <is>
          <t xml:space="preserve">2EPM</t>
        </is>
      </c>
      <c r="B190" cm="1">
        <f t="array" ref="B190">IFERROR(INDEX(_xlfn._xlws.FILTER(CONFIG_ASIGNATURAS!$B$2:$B$91,(CONFIG_ASIGNATURAS!$G$2:$G$91="Sí")*ISNUMBER(SEARCH("2EPM",CONFIG_ASIGNATURAS!$C$2:$C$91))),47),"")</f>
      </c>
      <c r="C190">
        <f>IF(B190="","",IFERROR(VLOOKUP(B190,CONFIG_ASIGNATURAS!$B$2:$D$91,3,FALSE()),"Asignatura"))</f>
      </c>
      <c r="D190">
        <f>SUMPRODUCT((nCUENTA=1)*(nCURSO=A190)*(nASIG=B190))</f>
        <v>0</v>
      </c>
      <c r="E190" s="10" t="str">
        <f>IFERROR(SUMPRODUCT((nCUENTA=1)*(nCURSO=A190)*(nASIG=B190)*(nNOTA))/D190,"—")</f>
        <v>—</v>
      </c>
      <c r="F190" s="10" t="str" cm="1">
        <f t="array" ref="F190">IFERROR(_xlfn.STDEV.P(_xlfn._xlws.FILTER(nNOTA,(nCUENTA=1)*(nCURSO=A190)*(nASIG=B190))),"—")</f>
        <v>—</v>
      </c>
      <c r="G190" t="str" cm="1">
        <f t="array" ref="G190">IFERROR(_xlfn.MODE.SNGL(_xlfn._xlws.FILTER(nNOTA,(nCUENTA=1)*(nCURSO=A190)*(nASIG=B190))),"—")</f>
        <v>—</v>
      </c>
      <c r="H190" s="11" t="str">
        <f>IFERROR(SUMPRODUCT((nCUENTA=1)*(nCURSO=A190)*(nASIG=B190)*(nAPTO="S"))/D190,"—")</f>
        <v>—</v>
      </c>
      <c r="I190" s="11" t="str">
        <f>IFERROR(SUMPRODUCT((nCUENTA=1)*(nCURSO=A190)*(nASIG=B190)*(nAPTO="N"))/D190,"—")</f>
        <v>—</v>
      </c>
      <c r="J190" t="str" cm="1">
        <f t="array" ref="J190">IFERROR(_xlfn.MODE.SNGL(_xlfn._xlws.FILTER(nNOTA,(nCUENTA=1)*(nCURSO=A190)*(nASIG=B190)*(nAPTO="S"))),"—")</f>
        <v>—</v>
      </c>
      <c r="K190" t="str" cm="1">
        <f t="array" ref="K190">IFERROR(_xlfn.MODE.SNGL(_xlfn._xlws.FILTER(nNOTA,(nCUENTA=1)*(nCURSO=A190)*(nASIG=B190)*(nAPTO="N"))),"—")</f>
        <v>—</v>
      </c>
      <c r="L190">
        <f>SUMPRODUCT((nCUENTA=1)*(nCURSO=A190)*(nASIG=B190)*(nNOTA=1))</f>
        <v>0</v>
      </c>
      <c r="M190">
        <f>SUMPRODUCT((nCUENTA=1)*(nCURSO=A190)*(nASIG=B190)*(nNOTA=2))</f>
        <v>0</v>
      </c>
      <c r="N190">
        <f>SUMPRODUCT((nCUENTA=1)*(nCURSO=A190)*(nASIG=B190)*(nNOTA=3))</f>
        <v>0</v>
      </c>
      <c r="O190">
        <f>SUMPRODUCT((nCUENTA=1)*(nCURSO=A190)*(nASIG=B190)*(nNOTA=4))</f>
        <v>0</v>
      </c>
      <c r="P190">
        <f>SUMPRODUCT((nCUENTA=1)*(nCURSO=A190)*(nASIG=B190)*(nNOTA=5))</f>
        <v>0</v>
      </c>
      <c r="Q190">
        <f>SUMPRODUCT((nCUENTA=1)*(nCURSO=A190)*(nASIG=B190)*(nNOTA=6))</f>
        <v>0</v>
      </c>
      <c r="R190">
        <f>SUMPRODUCT((nCUENTA=1)*(nCURSO=A190)*(nASIG=B190)*(nNOTA=7))</f>
        <v>0</v>
      </c>
      <c r="S190">
        <f>SUMPRODUCT((nCUENTA=1)*(nCURSO=A190)*(nASIG=B190)*(nNOTA=8))</f>
        <v>0</v>
      </c>
      <c r="T190">
        <f>SUMPRODUCT((nCUENTA=1)*(nCURSO=A190)*(nASIG=B190)*(nNOTA=9))</f>
        <v>0</v>
      </c>
      <c r="U190">
        <f>SUMPRODUCT((nCUENTA=1)*(nCURSO=A190)*(nASIG=B190)*(nNOTA=10))</f>
        <v>0</v>
      </c>
    </row>
    <row r="191">
      <c r="A191" t="inlineStr">
        <is>
          <t xml:space="preserve">2EPM</t>
        </is>
      </c>
      <c r="B191" cm="1">
        <f t="array" ref="B191">IFERROR(INDEX(_xlfn._xlws.FILTER(CONFIG_ASIGNATURAS!$B$2:$B$91,(CONFIG_ASIGNATURAS!$G$2:$G$91="Sí")*ISNUMBER(SEARCH("2EPM",CONFIG_ASIGNATURAS!$C$2:$C$91))),48),"")</f>
      </c>
      <c r="C191">
        <f>IF(B191="","",IFERROR(VLOOKUP(B191,CONFIG_ASIGNATURAS!$B$2:$D$91,3,FALSE()),"Asignatura"))</f>
      </c>
      <c r="D191">
        <f>SUMPRODUCT((nCUENTA=1)*(nCURSO=A191)*(nASIG=B191))</f>
        <v>0</v>
      </c>
      <c r="E191" s="10" t="str">
        <f>IFERROR(SUMPRODUCT((nCUENTA=1)*(nCURSO=A191)*(nASIG=B191)*(nNOTA))/D191,"—")</f>
        <v>—</v>
      </c>
      <c r="F191" s="10" t="str" cm="1">
        <f t="array" ref="F191">IFERROR(_xlfn.STDEV.P(_xlfn._xlws.FILTER(nNOTA,(nCUENTA=1)*(nCURSO=A191)*(nASIG=B191))),"—")</f>
        <v>—</v>
      </c>
      <c r="G191" t="str" cm="1">
        <f t="array" ref="G191">IFERROR(_xlfn.MODE.SNGL(_xlfn._xlws.FILTER(nNOTA,(nCUENTA=1)*(nCURSO=A191)*(nASIG=B191))),"—")</f>
        <v>—</v>
      </c>
      <c r="H191" s="11" t="str">
        <f>IFERROR(SUMPRODUCT((nCUENTA=1)*(nCURSO=A191)*(nASIG=B191)*(nAPTO="S"))/D191,"—")</f>
        <v>—</v>
      </c>
      <c r="I191" s="11" t="str">
        <f>IFERROR(SUMPRODUCT((nCUENTA=1)*(nCURSO=A191)*(nASIG=B191)*(nAPTO="N"))/D191,"—")</f>
        <v>—</v>
      </c>
      <c r="J191" t="str" cm="1">
        <f t="array" ref="J191">IFERROR(_xlfn.MODE.SNGL(_xlfn._xlws.FILTER(nNOTA,(nCUENTA=1)*(nCURSO=A191)*(nASIG=B191)*(nAPTO="S"))),"—")</f>
        <v>—</v>
      </c>
      <c r="K191" t="str" cm="1">
        <f t="array" ref="K191">IFERROR(_xlfn.MODE.SNGL(_xlfn._xlws.FILTER(nNOTA,(nCUENTA=1)*(nCURSO=A191)*(nASIG=B191)*(nAPTO="N"))),"—")</f>
        <v>—</v>
      </c>
      <c r="L191">
        <f>SUMPRODUCT((nCUENTA=1)*(nCURSO=A191)*(nASIG=B191)*(nNOTA=1))</f>
        <v>0</v>
      </c>
      <c r="M191">
        <f>SUMPRODUCT((nCUENTA=1)*(nCURSO=A191)*(nASIG=B191)*(nNOTA=2))</f>
        <v>0</v>
      </c>
      <c r="N191">
        <f>SUMPRODUCT((nCUENTA=1)*(nCURSO=A191)*(nASIG=B191)*(nNOTA=3))</f>
        <v>0</v>
      </c>
      <c r="O191">
        <f>SUMPRODUCT((nCUENTA=1)*(nCURSO=A191)*(nASIG=B191)*(nNOTA=4))</f>
        <v>0</v>
      </c>
      <c r="P191">
        <f>SUMPRODUCT((nCUENTA=1)*(nCURSO=A191)*(nASIG=B191)*(nNOTA=5))</f>
        <v>0</v>
      </c>
      <c r="Q191">
        <f>SUMPRODUCT((nCUENTA=1)*(nCURSO=A191)*(nASIG=B191)*(nNOTA=6))</f>
        <v>0</v>
      </c>
      <c r="R191">
        <f>SUMPRODUCT((nCUENTA=1)*(nCURSO=A191)*(nASIG=B191)*(nNOTA=7))</f>
        <v>0</v>
      </c>
      <c r="S191">
        <f>SUMPRODUCT((nCUENTA=1)*(nCURSO=A191)*(nASIG=B191)*(nNOTA=8))</f>
        <v>0</v>
      </c>
      <c r="T191">
        <f>SUMPRODUCT((nCUENTA=1)*(nCURSO=A191)*(nASIG=B191)*(nNOTA=9))</f>
        <v>0</v>
      </c>
      <c r="U191">
        <f>SUMPRODUCT((nCUENTA=1)*(nCURSO=A191)*(nASIG=B191)*(nNOTA=10))</f>
        <v>0</v>
      </c>
    </row>
    <row r="192">
      <c r="A192" t="inlineStr">
        <is>
          <t xml:space="preserve">2EPM</t>
        </is>
      </c>
      <c r="B192" cm="1">
        <f t="array" ref="B192">IFERROR(INDEX(_xlfn._xlws.FILTER(CONFIG_ASIGNATURAS!$B$2:$B$91,(CONFIG_ASIGNATURAS!$G$2:$G$91="Sí")*ISNUMBER(SEARCH("2EPM",CONFIG_ASIGNATURAS!$C$2:$C$91))),49),"")</f>
      </c>
      <c r="C192">
        <f>IF(B192="","",IFERROR(VLOOKUP(B192,CONFIG_ASIGNATURAS!$B$2:$D$91,3,FALSE()),"Asignatura"))</f>
      </c>
      <c r="D192">
        <f>SUMPRODUCT((nCUENTA=1)*(nCURSO=A192)*(nASIG=B192))</f>
        <v>0</v>
      </c>
      <c r="E192" s="10" t="str">
        <f>IFERROR(SUMPRODUCT((nCUENTA=1)*(nCURSO=A192)*(nASIG=B192)*(nNOTA))/D192,"—")</f>
        <v>—</v>
      </c>
      <c r="F192" s="10" t="str" cm="1">
        <f t="array" ref="F192">IFERROR(_xlfn.STDEV.P(_xlfn._xlws.FILTER(nNOTA,(nCUENTA=1)*(nCURSO=A192)*(nASIG=B192))),"—")</f>
        <v>—</v>
      </c>
      <c r="G192" t="str" cm="1">
        <f t="array" ref="G192">IFERROR(_xlfn.MODE.SNGL(_xlfn._xlws.FILTER(nNOTA,(nCUENTA=1)*(nCURSO=A192)*(nASIG=B192))),"—")</f>
        <v>—</v>
      </c>
      <c r="H192" s="11" t="str">
        <f>IFERROR(SUMPRODUCT((nCUENTA=1)*(nCURSO=A192)*(nASIG=B192)*(nAPTO="S"))/D192,"—")</f>
        <v>—</v>
      </c>
      <c r="I192" s="11" t="str">
        <f>IFERROR(SUMPRODUCT((nCUENTA=1)*(nCURSO=A192)*(nASIG=B192)*(nAPTO="N"))/D192,"—")</f>
        <v>—</v>
      </c>
      <c r="J192" t="str" cm="1">
        <f t="array" ref="J192">IFERROR(_xlfn.MODE.SNGL(_xlfn._xlws.FILTER(nNOTA,(nCUENTA=1)*(nCURSO=A192)*(nASIG=B192)*(nAPTO="S"))),"—")</f>
        <v>—</v>
      </c>
      <c r="K192" t="str" cm="1">
        <f t="array" ref="K192">IFERROR(_xlfn.MODE.SNGL(_xlfn._xlws.FILTER(nNOTA,(nCUENTA=1)*(nCURSO=A192)*(nASIG=B192)*(nAPTO="N"))),"—")</f>
        <v>—</v>
      </c>
      <c r="L192">
        <f>SUMPRODUCT((nCUENTA=1)*(nCURSO=A192)*(nASIG=B192)*(nNOTA=1))</f>
        <v>0</v>
      </c>
      <c r="M192">
        <f>SUMPRODUCT((nCUENTA=1)*(nCURSO=A192)*(nASIG=B192)*(nNOTA=2))</f>
        <v>0</v>
      </c>
      <c r="N192">
        <f>SUMPRODUCT((nCUENTA=1)*(nCURSO=A192)*(nASIG=B192)*(nNOTA=3))</f>
        <v>0</v>
      </c>
      <c r="O192">
        <f>SUMPRODUCT((nCUENTA=1)*(nCURSO=A192)*(nASIG=B192)*(nNOTA=4))</f>
        <v>0</v>
      </c>
      <c r="P192">
        <f>SUMPRODUCT((nCUENTA=1)*(nCURSO=A192)*(nASIG=B192)*(nNOTA=5))</f>
        <v>0</v>
      </c>
      <c r="Q192">
        <f>SUMPRODUCT((nCUENTA=1)*(nCURSO=A192)*(nASIG=B192)*(nNOTA=6))</f>
        <v>0</v>
      </c>
      <c r="R192">
        <f>SUMPRODUCT((nCUENTA=1)*(nCURSO=A192)*(nASIG=B192)*(nNOTA=7))</f>
        <v>0</v>
      </c>
      <c r="S192">
        <f>SUMPRODUCT((nCUENTA=1)*(nCURSO=A192)*(nASIG=B192)*(nNOTA=8))</f>
        <v>0</v>
      </c>
      <c r="T192">
        <f>SUMPRODUCT((nCUENTA=1)*(nCURSO=A192)*(nASIG=B192)*(nNOTA=9))</f>
        <v>0</v>
      </c>
      <c r="U192">
        <f>SUMPRODUCT((nCUENTA=1)*(nCURSO=A192)*(nASIG=B192)*(nNOTA=10))</f>
        <v>0</v>
      </c>
    </row>
    <row r="193">
      <c r="A193" t="inlineStr">
        <is>
          <t xml:space="preserve">2EPM</t>
        </is>
      </c>
      <c r="B193" cm="1">
        <f t="array" ref="B193">IFERROR(INDEX(_xlfn._xlws.FILTER(CONFIG_ASIGNATURAS!$B$2:$B$91,(CONFIG_ASIGNATURAS!$G$2:$G$91="Sí")*ISNUMBER(SEARCH("2EPM",CONFIG_ASIGNATURAS!$C$2:$C$91))),50),"")</f>
      </c>
      <c r="C193">
        <f>IF(B193="","",IFERROR(VLOOKUP(B193,CONFIG_ASIGNATURAS!$B$2:$D$91,3,FALSE()),"Asignatura"))</f>
      </c>
      <c r="D193">
        <f>SUMPRODUCT((nCUENTA=1)*(nCURSO=A193)*(nASIG=B193))</f>
        <v>0</v>
      </c>
      <c r="E193" s="10" t="str">
        <f>IFERROR(SUMPRODUCT((nCUENTA=1)*(nCURSO=A193)*(nASIG=B193)*(nNOTA))/D193,"—")</f>
        <v>—</v>
      </c>
      <c r="F193" s="10" t="str" cm="1">
        <f t="array" ref="F193">IFERROR(_xlfn.STDEV.P(_xlfn._xlws.FILTER(nNOTA,(nCUENTA=1)*(nCURSO=A193)*(nASIG=B193))),"—")</f>
        <v>—</v>
      </c>
      <c r="G193" t="str" cm="1">
        <f t="array" ref="G193">IFERROR(_xlfn.MODE.SNGL(_xlfn._xlws.FILTER(nNOTA,(nCUENTA=1)*(nCURSO=A193)*(nASIG=B193))),"—")</f>
        <v>—</v>
      </c>
      <c r="H193" s="11" t="str">
        <f>IFERROR(SUMPRODUCT((nCUENTA=1)*(nCURSO=A193)*(nASIG=B193)*(nAPTO="S"))/D193,"—")</f>
        <v>—</v>
      </c>
      <c r="I193" s="11" t="str">
        <f>IFERROR(SUMPRODUCT((nCUENTA=1)*(nCURSO=A193)*(nASIG=B193)*(nAPTO="N"))/D193,"—")</f>
        <v>—</v>
      </c>
      <c r="J193" t="str" cm="1">
        <f t="array" ref="J193">IFERROR(_xlfn.MODE.SNGL(_xlfn._xlws.FILTER(nNOTA,(nCUENTA=1)*(nCURSO=A193)*(nASIG=B193)*(nAPTO="S"))),"—")</f>
        <v>—</v>
      </c>
      <c r="K193" t="str" cm="1">
        <f t="array" ref="K193">IFERROR(_xlfn.MODE.SNGL(_xlfn._xlws.FILTER(nNOTA,(nCUENTA=1)*(nCURSO=A193)*(nASIG=B193)*(nAPTO="N"))),"—")</f>
        <v>—</v>
      </c>
      <c r="L193">
        <f>SUMPRODUCT((nCUENTA=1)*(nCURSO=A193)*(nASIG=B193)*(nNOTA=1))</f>
        <v>0</v>
      </c>
      <c r="M193">
        <f>SUMPRODUCT((nCUENTA=1)*(nCURSO=A193)*(nASIG=B193)*(nNOTA=2))</f>
        <v>0</v>
      </c>
      <c r="N193">
        <f>SUMPRODUCT((nCUENTA=1)*(nCURSO=A193)*(nASIG=B193)*(nNOTA=3))</f>
        <v>0</v>
      </c>
      <c r="O193">
        <f>SUMPRODUCT((nCUENTA=1)*(nCURSO=A193)*(nASIG=B193)*(nNOTA=4))</f>
        <v>0</v>
      </c>
      <c r="P193">
        <f>SUMPRODUCT((nCUENTA=1)*(nCURSO=A193)*(nASIG=B193)*(nNOTA=5))</f>
        <v>0</v>
      </c>
      <c r="Q193">
        <f>SUMPRODUCT((nCUENTA=1)*(nCURSO=A193)*(nASIG=B193)*(nNOTA=6))</f>
        <v>0</v>
      </c>
      <c r="R193">
        <f>SUMPRODUCT((nCUENTA=1)*(nCURSO=A193)*(nASIG=B193)*(nNOTA=7))</f>
        <v>0</v>
      </c>
      <c r="S193">
        <f>SUMPRODUCT((nCUENTA=1)*(nCURSO=A193)*(nASIG=B193)*(nNOTA=8))</f>
        <v>0</v>
      </c>
      <c r="T193">
        <f>SUMPRODUCT((nCUENTA=1)*(nCURSO=A193)*(nASIG=B193)*(nNOTA=9))</f>
        <v>0</v>
      </c>
      <c r="U193">
        <f>SUMPRODUCT((nCUENTA=1)*(nCURSO=A193)*(nASIG=B193)*(nNOTA=10))</f>
        <v>0</v>
      </c>
    </row>
    <row r="194">
      <c r="A194" t="inlineStr">
        <is>
          <t xml:space="preserve">2EPM</t>
        </is>
      </c>
      <c r="B194" cm="1">
        <f t="array" ref="B194">IFERROR(INDEX(_xlfn._xlws.FILTER(CONFIG_ASIGNATURAS!$B$2:$B$91,(CONFIG_ASIGNATURAS!$G$2:$G$91="Sí")*ISNUMBER(SEARCH("2EPM",CONFIG_ASIGNATURAS!$C$2:$C$91))),51),"")</f>
      </c>
      <c r="C194">
        <f>IF(B194="","",IFERROR(VLOOKUP(B194,CONFIG_ASIGNATURAS!$B$2:$D$91,3,FALSE()),"Asignatura"))</f>
      </c>
      <c r="D194">
        <f>SUMPRODUCT((nCUENTA=1)*(nCURSO=A194)*(nASIG=B194))</f>
        <v>0</v>
      </c>
      <c r="E194" s="10" t="str">
        <f>IFERROR(SUMPRODUCT((nCUENTA=1)*(nCURSO=A194)*(nASIG=B194)*(nNOTA))/D194,"—")</f>
        <v>—</v>
      </c>
      <c r="F194" s="10" t="str" cm="1">
        <f t="array" ref="F194">IFERROR(_xlfn.STDEV.P(_xlfn._xlws.FILTER(nNOTA,(nCUENTA=1)*(nCURSO=A194)*(nASIG=B194))),"—")</f>
        <v>—</v>
      </c>
      <c r="G194" t="str" cm="1">
        <f t="array" ref="G194">IFERROR(_xlfn.MODE.SNGL(_xlfn._xlws.FILTER(nNOTA,(nCUENTA=1)*(nCURSO=A194)*(nASIG=B194))),"—")</f>
        <v>—</v>
      </c>
      <c r="H194" s="11" t="str">
        <f>IFERROR(SUMPRODUCT((nCUENTA=1)*(nCURSO=A194)*(nASIG=B194)*(nAPTO="S"))/D194,"—")</f>
        <v>—</v>
      </c>
      <c r="I194" s="11" t="str">
        <f>IFERROR(SUMPRODUCT((nCUENTA=1)*(nCURSO=A194)*(nASIG=B194)*(nAPTO="N"))/D194,"—")</f>
        <v>—</v>
      </c>
      <c r="J194" t="str" cm="1">
        <f t="array" ref="J194">IFERROR(_xlfn.MODE.SNGL(_xlfn._xlws.FILTER(nNOTA,(nCUENTA=1)*(nCURSO=A194)*(nASIG=B194)*(nAPTO="S"))),"—")</f>
        <v>—</v>
      </c>
      <c r="K194" t="str" cm="1">
        <f t="array" ref="K194">IFERROR(_xlfn.MODE.SNGL(_xlfn._xlws.FILTER(nNOTA,(nCUENTA=1)*(nCURSO=A194)*(nASIG=B194)*(nAPTO="N"))),"—")</f>
        <v>—</v>
      </c>
      <c r="L194">
        <f>SUMPRODUCT((nCUENTA=1)*(nCURSO=A194)*(nASIG=B194)*(nNOTA=1))</f>
        <v>0</v>
      </c>
      <c r="M194">
        <f>SUMPRODUCT((nCUENTA=1)*(nCURSO=A194)*(nASIG=B194)*(nNOTA=2))</f>
        <v>0</v>
      </c>
      <c r="N194">
        <f>SUMPRODUCT((nCUENTA=1)*(nCURSO=A194)*(nASIG=B194)*(nNOTA=3))</f>
        <v>0</v>
      </c>
      <c r="O194">
        <f>SUMPRODUCT((nCUENTA=1)*(nCURSO=A194)*(nASIG=B194)*(nNOTA=4))</f>
        <v>0</v>
      </c>
      <c r="P194">
        <f>SUMPRODUCT((nCUENTA=1)*(nCURSO=A194)*(nASIG=B194)*(nNOTA=5))</f>
        <v>0</v>
      </c>
      <c r="Q194">
        <f>SUMPRODUCT((nCUENTA=1)*(nCURSO=A194)*(nASIG=B194)*(nNOTA=6))</f>
        <v>0</v>
      </c>
      <c r="R194">
        <f>SUMPRODUCT((nCUENTA=1)*(nCURSO=A194)*(nASIG=B194)*(nNOTA=7))</f>
        <v>0</v>
      </c>
      <c r="S194">
        <f>SUMPRODUCT((nCUENTA=1)*(nCURSO=A194)*(nASIG=B194)*(nNOTA=8))</f>
        <v>0</v>
      </c>
      <c r="T194">
        <f>SUMPRODUCT((nCUENTA=1)*(nCURSO=A194)*(nASIG=B194)*(nNOTA=9))</f>
        <v>0</v>
      </c>
      <c r="U194">
        <f>SUMPRODUCT((nCUENTA=1)*(nCURSO=A194)*(nASIG=B194)*(nNOTA=10))</f>
        <v>0</v>
      </c>
    </row>
    <row r="195">
      <c r="A195" t="inlineStr">
        <is>
          <t xml:space="preserve">2EPM</t>
        </is>
      </c>
      <c r="B195" cm="1">
        <f t="array" ref="B195">IFERROR(INDEX(_xlfn._xlws.FILTER(CONFIG_ASIGNATURAS!$B$2:$B$91,(CONFIG_ASIGNATURAS!$G$2:$G$91="Sí")*ISNUMBER(SEARCH("2EPM",CONFIG_ASIGNATURAS!$C$2:$C$91))),52),"")</f>
      </c>
      <c r="C195">
        <f>IF(B195="","",IFERROR(VLOOKUP(B195,CONFIG_ASIGNATURAS!$B$2:$D$91,3,FALSE()),"Asignatura"))</f>
      </c>
      <c r="D195">
        <f>SUMPRODUCT((nCUENTA=1)*(nCURSO=A195)*(nASIG=B195))</f>
        <v>0</v>
      </c>
      <c r="E195" s="10" t="str">
        <f>IFERROR(SUMPRODUCT((nCUENTA=1)*(nCURSO=A195)*(nASIG=B195)*(nNOTA))/D195,"—")</f>
        <v>—</v>
      </c>
      <c r="F195" s="10" t="str" cm="1">
        <f t="array" ref="F195">IFERROR(_xlfn.STDEV.P(_xlfn._xlws.FILTER(nNOTA,(nCUENTA=1)*(nCURSO=A195)*(nASIG=B195))),"—")</f>
        <v>—</v>
      </c>
      <c r="G195" t="str" cm="1">
        <f t="array" ref="G195">IFERROR(_xlfn.MODE.SNGL(_xlfn._xlws.FILTER(nNOTA,(nCUENTA=1)*(nCURSO=A195)*(nASIG=B195))),"—")</f>
        <v>—</v>
      </c>
      <c r="H195" s="11" t="str">
        <f>IFERROR(SUMPRODUCT((nCUENTA=1)*(nCURSO=A195)*(nASIG=B195)*(nAPTO="S"))/D195,"—")</f>
        <v>—</v>
      </c>
      <c r="I195" s="11" t="str">
        <f>IFERROR(SUMPRODUCT((nCUENTA=1)*(nCURSO=A195)*(nASIG=B195)*(nAPTO="N"))/D195,"—")</f>
        <v>—</v>
      </c>
      <c r="J195" t="str" cm="1">
        <f t="array" ref="J195">IFERROR(_xlfn.MODE.SNGL(_xlfn._xlws.FILTER(nNOTA,(nCUENTA=1)*(nCURSO=A195)*(nASIG=B195)*(nAPTO="S"))),"—")</f>
        <v>—</v>
      </c>
      <c r="K195" t="str" cm="1">
        <f t="array" ref="K195">IFERROR(_xlfn.MODE.SNGL(_xlfn._xlws.FILTER(nNOTA,(nCUENTA=1)*(nCURSO=A195)*(nASIG=B195)*(nAPTO="N"))),"—")</f>
        <v>—</v>
      </c>
      <c r="L195">
        <f>SUMPRODUCT((nCUENTA=1)*(nCURSO=A195)*(nASIG=B195)*(nNOTA=1))</f>
        <v>0</v>
      </c>
      <c r="M195">
        <f>SUMPRODUCT((nCUENTA=1)*(nCURSO=A195)*(nASIG=B195)*(nNOTA=2))</f>
        <v>0</v>
      </c>
      <c r="N195">
        <f>SUMPRODUCT((nCUENTA=1)*(nCURSO=A195)*(nASIG=B195)*(nNOTA=3))</f>
        <v>0</v>
      </c>
      <c r="O195">
        <f>SUMPRODUCT((nCUENTA=1)*(nCURSO=A195)*(nASIG=B195)*(nNOTA=4))</f>
        <v>0</v>
      </c>
      <c r="P195">
        <f>SUMPRODUCT((nCUENTA=1)*(nCURSO=A195)*(nASIG=B195)*(nNOTA=5))</f>
        <v>0</v>
      </c>
      <c r="Q195">
        <f>SUMPRODUCT((nCUENTA=1)*(nCURSO=A195)*(nASIG=B195)*(nNOTA=6))</f>
        <v>0</v>
      </c>
      <c r="R195">
        <f>SUMPRODUCT((nCUENTA=1)*(nCURSO=A195)*(nASIG=B195)*(nNOTA=7))</f>
        <v>0</v>
      </c>
      <c r="S195">
        <f>SUMPRODUCT((nCUENTA=1)*(nCURSO=A195)*(nASIG=B195)*(nNOTA=8))</f>
        <v>0</v>
      </c>
      <c r="T195">
        <f>SUMPRODUCT((nCUENTA=1)*(nCURSO=A195)*(nASIG=B195)*(nNOTA=9))</f>
        <v>0</v>
      </c>
      <c r="U195">
        <f>SUMPRODUCT((nCUENTA=1)*(nCURSO=A195)*(nASIG=B195)*(nNOTA=10))</f>
        <v>0</v>
      </c>
    </row>
    <row r="196">
      <c r="A196" t="inlineStr">
        <is>
          <t xml:space="preserve">2EPM</t>
        </is>
      </c>
      <c r="B196" cm="1">
        <f t="array" ref="B196">IFERROR(INDEX(_xlfn._xlws.FILTER(CONFIG_ASIGNATURAS!$B$2:$B$91,(CONFIG_ASIGNATURAS!$G$2:$G$91="Sí")*ISNUMBER(SEARCH("2EPM",CONFIG_ASIGNATURAS!$C$2:$C$91))),53),"")</f>
      </c>
      <c r="C196">
        <f>IF(B196="","",IFERROR(VLOOKUP(B196,CONFIG_ASIGNATURAS!$B$2:$D$91,3,FALSE()),"Asignatura"))</f>
      </c>
      <c r="D196">
        <f>SUMPRODUCT((nCUENTA=1)*(nCURSO=A196)*(nASIG=B196))</f>
        <v>0</v>
      </c>
      <c r="E196" s="10" t="str">
        <f>IFERROR(SUMPRODUCT((nCUENTA=1)*(nCURSO=A196)*(nASIG=B196)*(nNOTA))/D196,"—")</f>
        <v>—</v>
      </c>
      <c r="F196" s="10" t="str" cm="1">
        <f t="array" ref="F196">IFERROR(_xlfn.STDEV.P(_xlfn._xlws.FILTER(nNOTA,(nCUENTA=1)*(nCURSO=A196)*(nASIG=B196))),"—")</f>
        <v>—</v>
      </c>
      <c r="G196" t="str" cm="1">
        <f t="array" ref="G196">IFERROR(_xlfn.MODE.SNGL(_xlfn._xlws.FILTER(nNOTA,(nCUENTA=1)*(nCURSO=A196)*(nASIG=B196))),"—")</f>
        <v>—</v>
      </c>
      <c r="H196" s="11" t="str">
        <f>IFERROR(SUMPRODUCT((nCUENTA=1)*(nCURSO=A196)*(nASIG=B196)*(nAPTO="S"))/D196,"—")</f>
        <v>—</v>
      </c>
      <c r="I196" s="11" t="str">
        <f>IFERROR(SUMPRODUCT((nCUENTA=1)*(nCURSO=A196)*(nASIG=B196)*(nAPTO="N"))/D196,"—")</f>
        <v>—</v>
      </c>
      <c r="J196" t="str" cm="1">
        <f t="array" ref="J196">IFERROR(_xlfn.MODE.SNGL(_xlfn._xlws.FILTER(nNOTA,(nCUENTA=1)*(nCURSO=A196)*(nASIG=B196)*(nAPTO="S"))),"—")</f>
        <v>—</v>
      </c>
      <c r="K196" t="str" cm="1">
        <f t="array" ref="K196">IFERROR(_xlfn.MODE.SNGL(_xlfn._xlws.FILTER(nNOTA,(nCUENTA=1)*(nCURSO=A196)*(nASIG=B196)*(nAPTO="N"))),"—")</f>
        <v>—</v>
      </c>
      <c r="L196">
        <f>SUMPRODUCT((nCUENTA=1)*(nCURSO=A196)*(nASIG=B196)*(nNOTA=1))</f>
        <v>0</v>
      </c>
      <c r="M196">
        <f>SUMPRODUCT((nCUENTA=1)*(nCURSO=A196)*(nASIG=B196)*(nNOTA=2))</f>
        <v>0</v>
      </c>
      <c r="N196">
        <f>SUMPRODUCT((nCUENTA=1)*(nCURSO=A196)*(nASIG=B196)*(nNOTA=3))</f>
        <v>0</v>
      </c>
      <c r="O196">
        <f>SUMPRODUCT((nCUENTA=1)*(nCURSO=A196)*(nASIG=B196)*(nNOTA=4))</f>
        <v>0</v>
      </c>
      <c r="P196">
        <f>SUMPRODUCT((nCUENTA=1)*(nCURSO=A196)*(nASIG=B196)*(nNOTA=5))</f>
        <v>0</v>
      </c>
      <c r="Q196">
        <f>SUMPRODUCT((nCUENTA=1)*(nCURSO=A196)*(nASIG=B196)*(nNOTA=6))</f>
        <v>0</v>
      </c>
      <c r="R196">
        <f>SUMPRODUCT((nCUENTA=1)*(nCURSO=A196)*(nASIG=B196)*(nNOTA=7))</f>
        <v>0</v>
      </c>
      <c r="S196">
        <f>SUMPRODUCT((nCUENTA=1)*(nCURSO=A196)*(nASIG=B196)*(nNOTA=8))</f>
        <v>0</v>
      </c>
      <c r="T196">
        <f>SUMPRODUCT((nCUENTA=1)*(nCURSO=A196)*(nASIG=B196)*(nNOTA=9))</f>
        <v>0</v>
      </c>
      <c r="U196">
        <f>SUMPRODUCT((nCUENTA=1)*(nCURSO=A196)*(nASIG=B196)*(nNOTA=10))</f>
        <v>0</v>
      </c>
    </row>
    <row r="197">
      <c r="A197" t="inlineStr">
        <is>
          <t xml:space="preserve">2EPM</t>
        </is>
      </c>
      <c r="B197" cm="1">
        <f t="array" ref="B197">IFERROR(INDEX(_xlfn._xlws.FILTER(CONFIG_ASIGNATURAS!$B$2:$B$91,(CONFIG_ASIGNATURAS!$G$2:$G$91="Sí")*ISNUMBER(SEARCH("2EPM",CONFIG_ASIGNATURAS!$C$2:$C$91))),54),"")</f>
      </c>
      <c r="C197">
        <f>IF(B197="","",IFERROR(VLOOKUP(B197,CONFIG_ASIGNATURAS!$B$2:$D$91,3,FALSE()),"Asignatura"))</f>
      </c>
      <c r="D197">
        <f>SUMPRODUCT((nCUENTA=1)*(nCURSO=A197)*(nASIG=B197))</f>
        <v>0</v>
      </c>
      <c r="E197" s="10" t="str">
        <f>IFERROR(SUMPRODUCT((nCUENTA=1)*(nCURSO=A197)*(nASIG=B197)*(nNOTA))/D197,"—")</f>
        <v>—</v>
      </c>
      <c r="F197" s="10" t="str" cm="1">
        <f t="array" ref="F197">IFERROR(_xlfn.STDEV.P(_xlfn._xlws.FILTER(nNOTA,(nCUENTA=1)*(nCURSO=A197)*(nASIG=B197))),"—")</f>
        <v>—</v>
      </c>
      <c r="G197" t="str" cm="1">
        <f t="array" ref="G197">IFERROR(_xlfn.MODE.SNGL(_xlfn._xlws.FILTER(nNOTA,(nCUENTA=1)*(nCURSO=A197)*(nASIG=B197))),"—")</f>
        <v>—</v>
      </c>
      <c r="H197" s="11" t="str">
        <f>IFERROR(SUMPRODUCT((nCUENTA=1)*(nCURSO=A197)*(nASIG=B197)*(nAPTO="S"))/D197,"—")</f>
        <v>—</v>
      </c>
      <c r="I197" s="11" t="str">
        <f>IFERROR(SUMPRODUCT((nCUENTA=1)*(nCURSO=A197)*(nASIG=B197)*(nAPTO="N"))/D197,"—")</f>
        <v>—</v>
      </c>
      <c r="J197" t="str" cm="1">
        <f t="array" ref="J197">IFERROR(_xlfn.MODE.SNGL(_xlfn._xlws.FILTER(nNOTA,(nCUENTA=1)*(nCURSO=A197)*(nASIG=B197)*(nAPTO="S"))),"—")</f>
        <v>—</v>
      </c>
      <c r="K197" t="str" cm="1">
        <f t="array" ref="K197">IFERROR(_xlfn.MODE.SNGL(_xlfn._xlws.FILTER(nNOTA,(nCUENTA=1)*(nCURSO=A197)*(nASIG=B197)*(nAPTO="N"))),"—")</f>
        <v>—</v>
      </c>
      <c r="L197">
        <f>SUMPRODUCT((nCUENTA=1)*(nCURSO=A197)*(nASIG=B197)*(nNOTA=1))</f>
        <v>0</v>
      </c>
      <c r="M197">
        <f>SUMPRODUCT((nCUENTA=1)*(nCURSO=A197)*(nASIG=B197)*(nNOTA=2))</f>
        <v>0</v>
      </c>
      <c r="N197">
        <f>SUMPRODUCT((nCUENTA=1)*(nCURSO=A197)*(nASIG=B197)*(nNOTA=3))</f>
        <v>0</v>
      </c>
      <c r="O197">
        <f>SUMPRODUCT((nCUENTA=1)*(nCURSO=A197)*(nASIG=B197)*(nNOTA=4))</f>
        <v>0</v>
      </c>
      <c r="P197">
        <f>SUMPRODUCT((nCUENTA=1)*(nCURSO=A197)*(nASIG=B197)*(nNOTA=5))</f>
        <v>0</v>
      </c>
      <c r="Q197">
        <f>SUMPRODUCT((nCUENTA=1)*(nCURSO=A197)*(nASIG=B197)*(nNOTA=6))</f>
        <v>0</v>
      </c>
      <c r="R197">
        <f>SUMPRODUCT((nCUENTA=1)*(nCURSO=A197)*(nASIG=B197)*(nNOTA=7))</f>
        <v>0</v>
      </c>
      <c r="S197">
        <f>SUMPRODUCT((nCUENTA=1)*(nCURSO=A197)*(nASIG=B197)*(nNOTA=8))</f>
        <v>0</v>
      </c>
      <c r="T197">
        <f>SUMPRODUCT((nCUENTA=1)*(nCURSO=A197)*(nASIG=B197)*(nNOTA=9))</f>
        <v>0</v>
      </c>
      <c r="U197">
        <f>SUMPRODUCT((nCUENTA=1)*(nCURSO=A197)*(nASIG=B197)*(nNOTA=10))</f>
        <v>0</v>
      </c>
    </row>
    <row r="198">
      <c r="A198" t="inlineStr">
        <is>
          <t xml:space="preserve">2EPM</t>
        </is>
      </c>
      <c r="B198" cm="1">
        <f t="array" ref="B198">IFERROR(INDEX(_xlfn._xlws.FILTER(CONFIG_ASIGNATURAS!$B$2:$B$91,(CONFIG_ASIGNATURAS!$G$2:$G$91="Sí")*ISNUMBER(SEARCH("2EPM",CONFIG_ASIGNATURAS!$C$2:$C$91))),55),"")</f>
      </c>
      <c r="C198">
        <f>IF(B198="","",IFERROR(VLOOKUP(B198,CONFIG_ASIGNATURAS!$B$2:$D$91,3,FALSE()),"Asignatura"))</f>
      </c>
      <c r="D198">
        <f>SUMPRODUCT((nCUENTA=1)*(nCURSO=A198)*(nASIG=B198))</f>
        <v>0</v>
      </c>
      <c r="E198" s="10" t="str">
        <f>IFERROR(SUMPRODUCT((nCUENTA=1)*(nCURSO=A198)*(nASIG=B198)*(nNOTA))/D198,"—")</f>
        <v>—</v>
      </c>
      <c r="F198" s="10" t="str" cm="1">
        <f t="array" ref="F198">IFERROR(_xlfn.STDEV.P(_xlfn._xlws.FILTER(nNOTA,(nCUENTA=1)*(nCURSO=A198)*(nASIG=B198))),"—")</f>
        <v>—</v>
      </c>
      <c r="G198" t="str" cm="1">
        <f t="array" ref="G198">IFERROR(_xlfn.MODE.SNGL(_xlfn._xlws.FILTER(nNOTA,(nCUENTA=1)*(nCURSO=A198)*(nASIG=B198))),"—")</f>
        <v>—</v>
      </c>
      <c r="H198" s="11" t="str">
        <f>IFERROR(SUMPRODUCT((nCUENTA=1)*(nCURSO=A198)*(nASIG=B198)*(nAPTO="S"))/D198,"—")</f>
        <v>—</v>
      </c>
      <c r="I198" s="11" t="str">
        <f>IFERROR(SUMPRODUCT((nCUENTA=1)*(nCURSO=A198)*(nASIG=B198)*(nAPTO="N"))/D198,"—")</f>
        <v>—</v>
      </c>
      <c r="J198" t="str" cm="1">
        <f t="array" ref="J198">IFERROR(_xlfn.MODE.SNGL(_xlfn._xlws.FILTER(nNOTA,(nCUENTA=1)*(nCURSO=A198)*(nASIG=B198)*(nAPTO="S"))),"—")</f>
        <v>—</v>
      </c>
      <c r="K198" t="str" cm="1">
        <f t="array" ref="K198">IFERROR(_xlfn.MODE.SNGL(_xlfn._xlws.FILTER(nNOTA,(nCUENTA=1)*(nCURSO=A198)*(nASIG=B198)*(nAPTO="N"))),"—")</f>
        <v>—</v>
      </c>
      <c r="L198">
        <f>SUMPRODUCT((nCUENTA=1)*(nCURSO=A198)*(nASIG=B198)*(nNOTA=1))</f>
        <v>0</v>
      </c>
      <c r="M198">
        <f>SUMPRODUCT((nCUENTA=1)*(nCURSO=A198)*(nASIG=B198)*(nNOTA=2))</f>
        <v>0</v>
      </c>
      <c r="N198">
        <f>SUMPRODUCT((nCUENTA=1)*(nCURSO=A198)*(nASIG=B198)*(nNOTA=3))</f>
        <v>0</v>
      </c>
      <c r="O198">
        <f>SUMPRODUCT((nCUENTA=1)*(nCURSO=A198)*(nASIG=B198)*(nNOTA=4))</f>
        <v>0</v>
      </c>
      <c r="P198">
        <f>SUMPRODUCT((nCUENTA=1)*(nCURSO=A198)*(nASIG=B198)*(nNOTA=5))</f>
        <v>0</v>
      </c>
      <c r="Q198">
        <f>SUMPRODUCT((nCUENTA=1)*(nCURSO=A198)*(nASIG=B198)*(nNOTA=6))</f>
        <v>0</v>
      </c>
      <c r="R198">
        <f>SUMPRODUCT((nCUENTA=1)*(nCURSO=A198)*(nASIG=B198)*(nNOTA=7))</f>
        <v>0</v>
      </c>
      <c r="S198">
        <f>SUMPRODUCT((nCUENTA=1)*(nCURSO=A198)*(nASIG=B198)*(nNOTA=8))</f>
        <v>0</v>
      </c>
      <c r="T198">
        <f>SUMPRODUCT((nCUENTA=1)*(nCURSO=A198)*(nASIG=B198)*(nNOTA=9))</f>
        <v>0</v>
      </c>
      <c r="U198">
        <f>SUMPRODUCT((nCUENTA=1)*(nCURSO=A198)*(nASIG=B198)*(nNOTA=10))</f>
        <v>0</v>
      </c>
    </row>
    <row r="199">
      <c r="A199" t="inlineStr">
        <is>
          <t xml:space="preserve">2EPM</t>
        </is>
      </c>
      <c r="B199" cm="1">
        <f t="array" ref="B199">IFERROR(INDEX(_xlfn._xlws.FILTER(CONFIG_ASIGNATURAS!$B$2:$B$91,(CONFIG_ASIGNATURAS!$G$2:$G$91="Sí")*ISNUMBER(SEARCH("2EPM",CONFIG_ASIGNATURAS!$C$2:$C$91))),56),"")</f>
      </c>
      <c r="C199">
        <f>IF(B199="","",IFERROR(VLOOKUP(B199,CONFIG_ASIGNATURAS!$B$2:$D$91,3,FALSE()),"Asignatura"))</f>
      </c>
      <c r="D199">
        <f>SUMPRODUCT((nCUENTA=1)*(nCURSO=A199)*(nASIG=B199))</f>
        <v>0</v>
      </c>
      <c r="E199" s="10" t="str">
        <f>IFERROR(SUMPRODUCT((nCUENTA=1)*(nCURSO=A199)*(nASIG=B199)*(nNOTA))/D199,"—")</f>
        <v>—</v>
      </c>
      <c r="F199" s="10" t="str" cm="1">
        <f t="array" ref="F199">IFERROR(_xlfn.STDEV.P(_xlfn._xlws.FILTER(nNOTA,(nCUENTA=1)*(nCURSO=A199)*(nASIG=B199))),"—")</f>
        <v>—</v>
      </c>
      <c r="G199" t="str" cm="1">
        <f t="array" ref="G199">IFERROR(_xlfn.MODE.SNGL(_xlfn._xlws.FILTER(nNOTA,(nCUENTA=1)*(nCURSO=A199)*(nASIG=B199))),"—")</f>
        <v>—</v>
      </c>
      <c r="H199" s="11" t="str">
        <f>IFERROR(SUMPRODUCT((nCUENTA=1)*(nCURSO=A199)*(nASIG=B199)*(nAPTO="S"))/D199,"—")</f>
        <v>—</v>
      </c>
      <c r="I199" s="11" t="str">
        <f>IFERROR(SUMPRODUCT((nCUENTA=1)*(nCURSO=A199)*(nASIG=B199)*(nAPTO="N"))/D199,"—")</f>
        <v>—</v>
      </c>
      <c r="J199" t="str" cm="1">
        <f t="array" ref="J199">IFERROR(_xlfn.MODE.SNGL(_xlfn._xlws.FILTER(nNOTA,(nCUENTA=1)*(nCURSO=A199)*(nASIG=B199)*(nAPTO="S"))),"—")</f>
        <v>—</v>
      </c>
      <c r="K199" t="str" cm="1">
        <f t="array" ref="K199">IFERROR(_xlfn.MODE.SNGL(_xlfn._xlws.FILTER(nNOTA,(nCUENTA=1)*(nCURSO=A199)*(nASIG=B199)*(nAPTO="N"))),"—")</f>
        <v>—</v>
      </c>
      <c r="L199">
        <f>SUMPRODUCT((nCUENTA=1)*(nCURSO=A199)*(nASIG=B199)*(nNOTA=1))</f>
        <v>0</v>
      </c>
      <c r="M199">
        <f>SUMPRODUCT((nCUENTA=1)*(nCURSO=A199)*(nASIG=B199)*(nNOTA=2))</f>
        <v>0</v>
      </c>
      <c r="N199">
        <f>SUMPRODUCT((nCUENTA=1)*(nCURSO=A199)*(nASIG=B199)*(nNOTA=3))</f>
        <v>0</v>
      </c>
      <c r="O199">
        <f>SUMPRODUCT((nCUENTA=1)*(nCURSO=A199)*(nASIG=B199)*(nNOTA=4))</f>
        <v>0</v>
      </c>
      <c r="P199">
        <f>SUMPRODUCT((nCUENTA=1)*(nCURSO=A199)*(nASIG=B199)*(nNOTA=5))</f>
        <v>0</v>
      </c>
      <c r="Q199">
        <f>SUMPRODUCT((nCUENTA=1)*(nCURSO=A199)*(nASIG=B199)*(nNOTA=6))</f>
        <v>0</v>
      </c>
      <c r="R199">
        <f>SUMPRODUCT((nCUENTA=1)*(nCURSO=A199)*(nASIG=B199)*(nNOTA=7))</f>
        <v>0</v>
      </c>
      <c r="S199">
        <f>SUMPRODUCT((nCUENTA=1)*(nCURSO=A199)*(nASIG=B199)*(nNOTA=8))</f>
        <v>0</v>
      </c>
      <c r="T199">
        <f>SUMPRODUCT((nCUENTA=1)*(nCURSO=A199)*(nASIG=B199)*(nNOTA=9))</f>
        <v>0</v>
      </c>
      <c r="U199">
        <f>SUMPRODUCT((nCUENTA=1)*(nCURSO=A199)*(nASIG=B199)*(nNOTA=10))</f>
        <v>0</v>
      </c>
    </row>
    <row r="200">
      <c r="A200" t="inlineStr">
        <is>
          <t xml:space="preserve">2EPM</t>
        </is>
      </c>
      <c r="B200" cm="1">
        <f t="array" ref="B200">IFERROR(INDEX(_xlfn._xlws.FILTER(CONFIG_ASIGNATURAS!$B$2:$B$91,(CONFIG_ASIGNATURAS!$G$2:$G$91="Sí")*ISNUMBER(SEARCH("2EPM",CONFIG_ASIGNATURAS!$C$2:$C$91))),57),"")</f>
      </c>
      <c r="C200">
        <f>IF(B200="","",IFERROR(VLOOKUP(B200,CONFIG_ASIGNATURAS!$B$2:$D$91,3,FALSE()),"Asignatura"))</f>
      </c>
      <c r="D200">
        <f>SUMPRODUCT((nCUENTA=1)*(nCURSO=A200)*(nASIG=B200))</f>
        <v>0</v>
      </c>
      <c r="E200" s="10" t="str">
        <f>IFERROR(SUMPRODUCT((nCUENTA=1)*(nCURSO=A200)*(nASIG=B200)*(nNOTA))/D200,"—")</f>
        <v>—</v>
      </c>
      <c r="F200" s="10" t="str" cm="1">
        <f t="array" ref="F200">IFERROR(_xlfn.STDEV.P(_xlfn._xlws.FILTER(nNOTA,(nCUENTA=1)*(nCURSO=A200)*(nASIG=B200))),"—")</f>
        <v>—</v>
      </c>
      <c r="G200" t="str" cm="1">
        <f t="array" ref="G200">IFERROR(_xlfn.MODE.SNGL(_xlfn._xlws.FILTER(nNOTA,(nCUENTA=1)*(nCURSO=A200)*(nASIG=B200))),"—")</f>
        <v>—</v>
      </c>
      <c r="H200" s="11" t="str">
        <f>IFERROR(SUMPRODUCT((nCUENTA=1)*(nCURSO=A200)*(nASIG=B200)*(nAPTO="S"))/D200,"—")</f>
        <v>—</v>
      </c>
      <c r="I200" s="11" t="str">
        <f>IFERROR(SUMPRODUCT((nCUENTA=1)*(nCURSO=A200)*(nASIG=B200)*(nAPTO="N"))/D200,"—")</f>
        <v>—</v>
      </c>
      <c r="J200" t="str" cm="1">
        <f t="array" ref="J200">IFERROR(_xlfn.MODE.SNGL(_xlfn._xlws.FILTER(nNOTA,(nCUENTA=1)*(nCURSO=A200)*(nASIG=B200)*(nAPTO="S"))),"—")</f>
        <v>—</v>
      </c>
      <c r="K200" t="str" cm="1">
        <f t="array" ref="K200">IFERROR(_xlfn.MODE.SNGL(_xlfn._xlws.FILTER(nNOTA,(nCUENTA=1)*(nCURSO=A200)*(nASIG=B200)*(nAPTO="N"))),"—")</f>
        <v>—</v>
      </c>
      <c r="L200">
        <f>SUMPRODUCT((nCUENTA=1)*(nCURSO=A200)*(nASIG=B200)*(nNOTA=1))</f>
        <v>0</v>
      </c>
      <c r="M200">
        <f>SUMPRODUCT((nCUENTA=1)*(nCURSO=A200)*(nASIG=B200)*(nNOTA=2))</f>
        <v>0</v>
      </c>
      <c r="N200">
        <f>SUMPRODUCT((nCUENTA=1)*(nCURSO=A200)*(nASIG=B200)*(nNOTA=3))</f>
        <v>0</v>
      </c>
      <c r="O200">
        <f>SUMPRODUCT((nCUENTA=1)*(nCURSO=A200)*(nASIG=B200)*(nNOTA=4))</f>
        <v>0</v>
      </c>
      <c r="P200">
        <f>SUMPRODUCT((nCUENTA=1)*(nCURSO=A200)*(nASIG=B200)*(nNOTA=5))</f>
        <v>0</v>
      </c>
      <c r="Q200">
        <f>SUMPRODUCT((nCUENTA=1)*(nCURSO=A200)*(nASIG=B200)*(nNOTA=6))</f>
        <v>0</v>
      </c>
      <c r="R200">
        <f>SUMPRODUCT((nCUENTA=1)*(nCURSO=A200)*(nASIG=B200)*(nNOTA=7))</f>
        <v>0</v>
      </c>
      <c r="S200">
        <f>SUMPRODUCT((nCUENTA=1)*(nCURSO=A200)*(nASIG=B200)*(nNOTA=8))</f>
        <v>0</v>
      </c>
      <c r="T200">
        <f>SUMPRODUCT((nCUENTA=1)*(nCURSO=A200)*(nASIG=B200)*(nNOTA=9))</f>
        <v>0</v>
      </c>
      <c r="U200">
        <f>SUMPRODUCT((nCUENTA=1)*(nCURSO=A200)*(nASIG=B200)*(nNOTA=10))</f>
        <v>0</v>
      </c>
    </row>
    <row r="201">
      <c r="A201" t="inlineStr">
        <is>
          <t xml:space="preserve">2EPM</t>
        </is>
      </c>
      <c r="B201" cm="1">
        <f t="array" ref="B201">IFERROR(INDEX(_xlfn._xlws.FILTER(CONFIG_ASIGNATURAS!$B$2:$B$91,(CONFIG_ASIGNATURAS!$G$2:$G$91="Sí")*ISNUMBER(SEARCH("2EPM",CONFIG_ASIGNATURAS!$C$2:$C$91))),58),"")</f>
      </c>
      <c r="C201">
        <f>IF(B201="","",IFERROR(VLOOKUP(B201,CONFIG_ASIGNATURAS!$B$2:$D$91,3,FALSE()),"Asignatura"))</f>
      </c>
      <c r="D201">
        <f>SUMPRODUCT((nCUENTA=1)*(nCURSO=A201)*(nASIG=B201))</f>
        <v>0</v>
      </c>
      <c r="E201" s="10" t="str">
        <f>IFERROR(SUMPRODUCT((nCUENTA=1)*(nCURSO=A201)*(nASIG=B201)*(nNOTA))/D201,"—")</f>
        <v>—</v>
      </c>
      <c r="F201" s="10" t="str" cm="1">
        <f t="array" ref="F201">IFERROR(_xlfn.STDEV.P(_xlfn._xlws.FILTER(nNOTA,(nCUENTA=1)*(nCURSO=A201)*(nASIG=B201))),"—")</f>
        <v>—</v>
      </c>
      <c r="G201" t="str" cm="1">
        <f t="array" ref="G201">IFERROR(_xlfn.MODE.SNGL(_xlfn._xlws.FILTER(nNOTA,(nCUENTA=1)*(nCURSO=A201)*(nASIG=B201))),"—")</f>
        <v>—</v>
      </c>
      <c r="H201" s="11" t="str">
        <f>IFERROR(SUMPRODUCT((nCUENTA=1)*(nCURSO=A201)*(nASIG=B201)*(nAPTO="S"))/D201,"—")</f>
        <v>—</v>
      </c>
      <c r="I201" s="11" t="str">
        <f>IFERROR(SUMPRODUCT((nCUENTA=1)*(nCURSO=A201)*(nASIG=B201)*(nAPTO="N"))/D201,"—")</f>
        <v>—</v>
      </c>
      <c r="J201" t="str" cm="1">
        <f t="array" ref="J201">IFERROR(_xlfn.MODE.SNGL(_xlfn._xlws.FILTER(nNOTA,(nCUENTA=1)*(nCURSO=A201)*(nASIG=B201)*(nAPTO="S"))),"—")</f>
        <v>—</v>
      </c>
      <c r="K201" t="str" cm="1">
        <f t="array" ref="K201">IFERROR(_xlfn.MODE.SNGL(_xlfn._xlws.FILTER(nNOTA,(nCUENTA=1)*(nCURSO=A201)*(nASIG=B201)*(nAPTO="N"))),"—")</f>
        <v>—</v>
      </c>
      <c r="L201">
        <f>SUMPRODUCT((nCUENTA=1)*(nCURSO=A201)*(nASIG=B201)*(nNOTA=1))</f>
        <v>0</v>
      </c>
      <c r="M201">
        <f>SUMPRODUCT((nCUENTA=1)*(nCURSO=A201)*(nASIG=B201)*(nNOTA=2))</f>
        <v>0</v>
      </c>
      <c r="N201">
        <f>SUMPRODUCT((nCUENTA=1)*(nCURSO=A201)*(nASIG=B201)*(nNOTA=3))</f>
        <v>0</v>
      </c>
      <c r="O201">
        <f>SUMPRODUCT((nCUENTA=1)*(nCURSO=A201)*(nASIG=B201)*(nNOTA=4))</f>
        <v>0</v>
      </c>
      <c r="P201">
        <f>SUMPRODUCT((nCUENTA=1)*(nCURSO=A201)*(nASIG=B201)*(nNOTA=5))</f>
        <v>0</v>
      </c>
      <c r="Q201">
        <f>SUMPRODUCT((nCUENTA=1)*(nCURSO=A201)*(nASIG=B201)*(nNOTA=6))</f>
        <v>0</v>
      </c>
      <c r="R201">
        <f>SUMPRODUCT((nCUENTA=1)*(nCURSO=A201)*(nASIG=B201)*(nNOTA=7))</f>
        <v>0</v>
      </c>
      <c r="S201">
        <f>SUMPRODUCT((nCUENTA=1)*(nCURSO=A201)*(nASIG=B201)*(nNOTA=8))</f>
        <v>0</v>
      </c>
      <c r="T201">
        <f>SUMPRODUCT((nCUENTA=1)*(nCURSO=A201)*(nASIG=B201)*(nNOTA=9))</f>
        <v>0</v>
      </c>
      <c r="U201">
        <f>SUMPRODUCT((nCUENTA=1)*(nCURSO=A201)*(nASIG=B201)*(nNOTA=10))</f>
        <v>0</v>
      </c>
    </row>
    <row r="202">
      <c r="A202" t="inlineStr">
        <is>
          <t xml:space="preserve">2EPM</t>
        </is>
      </c>
      <c r="B202" cm="1">
        <f t="array" ref="B202">IFERROR(INDEX(_xlfn._xlws.FILTER(CONFIG_ASIGNATURAS!$B$2:$B$91,(CONFIG_ASIGNATURAS!$G$2:$G$91="Sí")*ISNUMBER(SEARCH("2EPM",CONFIG_ASIGNATURAS!$C$2:$C$91))),59),"")</f>
      </c>
      <c r="C202">
        <f>IF(B202="","",IFERROR(VLOOKUP(B202,CONFIG_ASIGNATURAS!$B$2:$D$91,3,FALSE()),"Asignatura"))</f>
      </c>
      <c r="D202">
        <f>SUMPRODUCT((nCUENTA=1)*(nCURSO=A202)*(nASIG=B202))</f>
        <v>0</v>
      </c>
      <c r="E202" s="10" t="str">
        <f>IFERROR(SUMPRODUCT((nCUENTA=1)*(nCURSO=A202)*(nASIG=B202)*(nNOTA))/D202,"—")</f>
        <v>—</v>
      </c>
      <c r="F202" s="10" t="str" cm="1">
        <f t="array" ref="F202">IFERROR(_xlfn.STDEV.P(_xlfn._xlws.FILTER(nNOTA,(nCUENTA=1)*(nCURSO=A202)*(nASIG=B202))),"—")</f>
        <v>—</v>
      </c>
      <c r="G202" t="str" cm="1">
        <f t="array" ref="G202">IFERROR(_xlfn.MODE.SNGL(_xlfn._xlws.FILTER(nNOTA,(nCUENTA=1)*(nCURSO=A202)*(nASIG=B202))),"—")</f>
        <v>—</v>
      </c>
      <c r="H202" s="11" t="str">
        <f>IFERROR(SUMPRODUCT((nCUENTA=1)*(nCURSO=A202)*(nASIG=B202)*(nAPTO="S"))/D202,"—")</f>
        <v>—</v>
      </c>
      <c r="I202" s="11" t="str">
        <f>IFERROR(SUMPRODUCT((nCUENTA=1)*(nCURSO=A202)*(nASIG=B202)*(nAPTO="N"))/D202,"—")</f>
        <v>—</v>
      </c>
      <c r="J202" t="str" cm="1">
        <f t="array" ref="J202">IFERROR(_xlfn.MODE.SNGL(_xlfn._xlws.FILTER(nNOTA,(nCUENTA=1)*(nCURSO=A202)*(nASIG=B202)*(nAPTO="S"))),"—")</f>
        <v>—</v>
      </c>
      <c r="K202" t="str" cm="1">
        <f t="array" ref="K202">IFERROR(_xlfn.MODE.SNGL(_xlfn._xlws.FILTER(nNOTA,(nCUENTA=1)*(nCURSO=A202)*(nASIG=B202)*(nAPTO="N"))),"—")</f>
        <v>—</v>
      </c>
      <c r="L202">
        <f>SUMPRODUCT((nCUENTA=1)*(nCURSO=A202)*(nASIG=B202)*(nNOTA=1))</f>
        <v>0</v>
      </c>
      <c r="M202">
        <f>SUMPRODUCT((nCUENTA=1)*(nCURSO=A202)*(nASIG=B202)*(nNOTA=2))</f>
        <v>0</v>
      </c>
      <c r="N202">
        <f>SUMPRODUCT((nCUENTA=1)*(nCURSO=A202)*(nASIG=B202)*(nNOTA=3))</f>
        <v>0</v>
      </c>
      <c r="O202">
        <f>SUMPRODUCT((nCUENTA=1)*(nCURSO=A202)*(nASIG=B202)*(nNOTA=4))</f>
        <v>0</v>
      </c>
      <c r="P202">
        <f>SUMPRODUCT((nCUENTA=1)*(nCURSO=A202)*(nASIG=B202)*(nNOTA=5))</f>
        <v>0</v>
      </c>
      <c r="Q202">
        <f>SUMPRODUCT((nCUENTA=1)*(nCURSO=A202)*(nASIG=B202)*(nNOTA=6))</f>
        <v>0</v>
      </c>
      <c r="R202">
        <f>SUMPRODUCT((nCUENTA=1)*(nCURSO=A202)*(nASIG=B202)*(nNOTA=7))</f>
        <v>0</v>
      </c>
      <c r="S202">
        <f>SUMPRODUCT((nCUENTA=1)*(nCURSO=A202)*(nASIG=B202)*(nNOTA=8))</f>
        <v>0</v>
      </c>
      <c r="T202">
        <f>SUMPRODUCT((nCUENTA=1)*(nCURSO=A202)*(nASIG=B202)*(nNOTA=9))</f>
        <v>0</v>
      </c>
      <c r="U202">
        <f>SUMPRODUCT((nCUENTA=1)*(nCURSO=A202)*(nASIG=B202)*(nNOTA=10))</f>
        <v>0</v>
      </c>
    </row>
    <row r="203">
      <c r="A203" t="inlineStr">
        <is>
          <t xml:space="preserve">2EPM</t>
        </is>
      </c>
      <c r="B203" cm="1">
        <f t="array" ref="B203">IFERROR(INDEX(_xlfn._xlws.FILTER(CONFIG_ASIGNATURAS!$B$2:$B$91,(CONFIG_ASIGNATURAS!$G$2:$G$91="Sí")*ISNUMBER(SEARCH("2EPM",CONFIG_ASIGNATURAS!$C$2:$C$91))),60),"")</f>
      </c>
      <c r="C203">
        <f>IF(B203="","",IFERROR(VLOOKUP(B203,CONFIG_ASIGNATURAS!$B$2:$D$91,3,FALSE()),"Asignatura"))</f>
      </c>
      <c r="D203">
        <f>SUMPRODUCT((nCUENTA=1)*(nCURSO=A203)*(nASIG=B203))</f>
        <v>0</v>
      </c>
      <c r="E203" s="10" t="str">
        <f>IFERROR(SUMPRODUCT((nCUENTA=1)*(nCURSO=A203)*(nASIG=B203)*(nNOTA))/D203,"—")</f>
        <v>—</v>
      </c>
      <c r="F203" s="10" t="str" cm="1">
        <f t="array" ref="F203">IFERROR(_xlfn.STDEV.P(_xlfn._xlws.FILTER(nNOTA,(nCUENTA=1)*(nCURSO=A203)*(nASIG=B203))),"—")</f>
        <v>—</v>
      </c>
      <c r="G203" t="str" cm="1">
        <f t="array" ref="G203">IFERROR(_xlfn.MODE.SNGL(_xlfn._xlws.FILTER(nNOTA,(nCUENTA=1)*(nCURSO=A203)*(nASIG=B203))),"—")</f>
        <v>—</v>
      </c>
      <c r="H203" s="11" t="str">
        <f>IFERROR(SUMPRODUCT((nCUENTA=1)*(nCURSO=A203)*(nASIG=B203)*(nAPTO="S"))/D203,"—")</f>
        <v>—</v>
      </c>
      <c r="I203" s="11" t="str">
        <f>IFERROR(SUMPRODUCT((nCUENTA=1)*(nCURSO=A203)*(nASIG=B203)*(nAPTO="N"))/D203,"—")</f>
        <v>—</v>
      </c>
      <c r="J203" t="str" cm="1">
        <f t="array" ref="J203">IFERROR(_xlfn.MODE.SNGL(_xlfn._xlws.FILTER(nNOTA,(nCUENTA=1)*(nCURSO=A203)*(nASIG=B203)*(nAPTO="S"))),"—")</f>
        <v>—</v>
      </c>
      <c r="K203" t="str" cm="1">
        <f t="array" ref="K203">IFERROR(_xlfn.MODE.SNGL(_xlfn._xlws.FILTER(nNOTA,(nCUENTA=1)*(nCURSO=A203)*(nASIG=B203)*(nAPTO="N"))),"—")</f>
        <v>—</v>
      </c>
      <c r="L203">
        <f>SUMPRODUCT((nCUENTA=1)*(nCURSO=A203)*(nASIG=B203)*(nNOTA=1))</f>
        <v>0</v>
      </c>
      <c r="M203">
        <f>SUMPRODUCT((nCUENTA=1)*(nCURSO=A203)*(nASIG=B203)*(nNOTA=2))</f>
        <v>0</v>
      </c>
      <c r="N203">
        <f>SUMPRODUCT((nCUENTA=1)*(nCURSO=A203)*(nASIG=B203)*(nNOTA=3))</f>
        <v>0</v>
      </c>
      <c r="O203">
        <f>SUMPRODUCT((nCUENTA=1)*(nCURSO=A203)*(nASIG=B203)*(nNOTA=4))</f>
        <v>0</v>
      </c>
      <c r="P203">
        <f>SUMPRODUCT((nCUENTA=1)*(nCURSO=A203)*(nASIG=B203)*(nNOTA=5))</f>
        <v>0</v>
      </c>
      <c r="Q203">
        <f>SUMPRODUCT((nCUENTA=1)*(nCURSO=A203)*(nASIG=B203)*(nNOTA=6))</f>
        <v>0</v>
      </c>
      <c r="R203">
        <f>SUMPRODUCT((nCUENTA=1)*(nCURSO=A203)*(nASIG=B203)*(nNOTA=7))</f>
        <v>0</v>
      </c>
      <c r="S203">
        <f>SUMPRODUCT((nCUENTA=1)*(nCURSO=A203)*(nASIG=B203)*(nNOTA=8))</f>
        <v>0</v>
      </c>
      <c r="T203">
        <f>SUMPRODUCT((nCUENTA=1)*(nCURSO=A203)*(nASIG=B203)*(nNOTA=9))</f>
        <v>0</v>
      </c>
      <c r="U203">
        <f>SUMPRODUCT((nCUENTA=1)*(nCURSO=A203)*(nASIG=B203)*(nNOTA=10))</f>
        <v>0</v>
      </c>
    </row>
    <row r="204">
      <c r="A204" t="inlineStr">
        <is>
          <t xml:space="preserve">3EPM</t>
        </is>
      </c>
      <c r="B204" cm="1">
        <f t="array" ref="B204">IFERROR(INDEX(_xlfn._xlws.FILTER(CONFIG_ASIGNATURAS!$B$2:$B$91,(CONFIG_ASIGNATURAS!$G$2:$G$91="Sí")*ISNUMBER(SEARCH("3EPM",CONFIG_ASIGNATURAS!$C$2:$C$91))),1),"")</f>
      </c>
      <c r="C204">
        <f>IF(B204="","",IFERROR(VLOOKUP(B204,CONFIG_ASIGNATURAS!$B$2:$D$91,3,FALSE()),"Asignatura"))</f>
      </c>
      <c r="D204">
        <f>SUMPRODUCT((nCUENTA=1)*(nCURSO=A204)*(nASIG=B204))</f>
        <v>0</v>
      </c>
      <c r="E204" s="10" t="str">
        <f>IFERROR(SUMPRODUCT((nCUENTA=1)*(nCURSO=A204)*(nASIG=B204)*(nNOTA))/D204,"—")</f>
        <v>—</v>
      </c>
      <c r="F204" s="10" t="str" cm="1">
        <f t="array" ref="F204">IFERROR(_xlfn.STDEV.P(_xlfn._xlws.FILTER(nNOTA,(nCUENTA=1)*(nCURSO=A204)*(nASIG=B204))),"—")</f>
        <v>—</v>
      </c>
      <c r="G204" t="str" cm="1">
        <f t="array" ref="G204">IFERROR(_xlfn.MODE.SNGL(_xlfn._xlws.FILTER(nNOTA,(nCUENTA=1)*(nCURSO=A204)*(nASIG=B204))),"—")</f>
        <v>—</v>
      </c>
      <c r="H204" s="11" t="str">
        <f>IFERROR(SUMPRODUCT((nCUENTA=1)*(nCURSO=A204)*(nASIG=B204)*(nAPTO="S"))/D204,"—")</f>
        <v>—</v>
      </c>
      <c r="I204" s="11" t="str">
        <f>IFERROR(SUMPRODUCT((nCUENTA=1)*(nCURSO=A204)*(nASIG=B204)*(nAPTO="N"))/D204,"—")</f>
        <v>—</v>
      </c>
      <c r="J204" t="str" cm="1">
        <f t="array" ref="J204">IFERROR(_xlfn.MODE.SNGL(_xlfn._xlws.FILTER(nNOTA,(nCUENTA=1)*(nCURSO=A204)*(nASIG=B204)*(nAPTO="S"))),"—")</f>
        <v>—</v>
      </c>
      <c r="K204" t="str" cm="1">
        <f t="array" ref="K204">IFERROR(_xlfn.MODE.SNGL(_xlfn._xlws.FILTER(nNOTA,(nCUENTA=1)*(nCURSO=A204)*(nASIG=B204)*(nAPTO="N"))),"—")</f>
        <v>—</v>
      </c>
      <c r="L204">
        <f>SUMPRODUCT((nCUENTA=1)*(nCURSO=A204)*(nASIG=B204)*(nNOTA=1))</f>
        <v>0</v>
      </c>
      <c r="M204">
        <f>SUMPRODUCT((nCUENTA=1)*(nCURSO=A204)*(nASIG=B204)*(nNOTA=2))</f>
        <v>0</v>
      </c>
      <c r="N204">
        <f>SUMPRODUCT((nCUENTA=1)*(nCURSO=A204)*(nASIG=B204)*(nNOTA=3))</f>
        <v>0</v>
      </c>
      <c r="O204">
        <f>SUMPRODUCT((nCUENTA=1)*(nCURSO=A204)*(nASIG=B204)*(nNOTA=4))</f>
        <v>0</v>
      </c>
      <c r="P204">
        <f>SUMPRODUCT((nCUENTA=1)*(nCURSO=A204)*(nASIG=B204)*(nNOTA=5))</f>
        <v>0</v>
      </c>
      <c r="Q204">
        <f>SUMPRODUCT((nCUENTA=1)*(nCURSO=A204)*(nASIG=B204)*(nNOTA=6))</f>
        <v>0</v>
      </c>
      <c r="R204">
        <f>SUMPRODUCT((nCUENTA=1)*(nCURSO=A204)*(nASIG=B204)*(nNOTA=7))</f>
        <v>0</v>
      </c>
      <c r="S204">
        <f>SUMPRODUCT((nCUENTA=1)*(nCURSO=A204)*(nASIG=B204)*(nNOTA=8))</f>
        <v>0</v>
      </c>
      <c r="T204">
        <f>SUMPRODUCT((nCUENTA=1)*(nCURSO=A204)*(nASIG=B204)*(nNOTA=9))</f>
        <v>0</v>
      </c>
      <c r="U204">
        <f>SUMPRODUCT((nCUENTA=1)*(nCURSO=A204)*(nASIG=B204)*(nNOTA=10))</f>
        <v>0</v>
      </c>
    </row>
    <row r="205">
      <c r="A205" t="inlineStr">
        <is>
          <t xml:space="preserve">3EPM</t>
        </is>
      </c>
      <c r="B205" cm="1">
        <f t="array" ref="B205">IFERROR(INDEX(_xlfn._xlws.FILTER(CONFIG_ASIGNATURAS!$B$2:$B$91,(CONFIG_ASIGNATURAS!$G$2:$G$91="Sí")*ISNUMBER(SEARCH("3EPM",CONFIG_ASIGNATURAS!$C$2:$C$91))),2),"")</f>
      </c>
      <c r="C205">
        <f>IF(B205="","",IFERROR(VLOOKUP(B205,CONFIG_ASIGNATURAS!$B$2:$D$91,3,FALSE()),"Asignatura"))</f>
      </c>
      <c r="D205">
        <f>SUMPRODUCT((nCUENTA=1)*(nCURSO=A205)*(nASIG=B205))</f>
        <v>0</v>
      </c>
      <c r="E205" s="10" t="str">
        <f>IFERROR(SUMPRODUCT((nCUENTA=1)*(nCURSO=A205)*(nASIG=B205)*(nNOTA))/D205,"—")</f>
        <v>—</v>
      </c>
      <c r="F205" s="10" t="str" cm="1">
        <f t="array" ref="F205">IFERROR(_xlfn.STDEV.P(_xlfn._xlws.FILTER(nNOTA,(nCUENTA=1)*(nCURSO=A205)*(nASIG=B205))),"—")</f>
        <v>—</v>
      </c>
      <c r="G205" t="str" cm="1">
        <f t="array" ref="G205">IFERROR(_xlfn.MODE.SNGL(_xlfn._xlws.FILTER(nNOTA,(nCUENTA=1)*(nCURSO=A205)*(nASIG=B205))),"—")</f>
        <v>—</v>
      </c>
      <c r="H205" s="11" t="str">
        <f>IFERROR(SUMPRODUCT((nCUENTA=1)*(nCURSO=A205)*(nASIG=B205)*(nAPTO="S"))/D205,"—")</f>
        <v>—</v>
      </c>
      <c r="I205" s="11" t="str">
        <f>IFERROR(SUMPRODUCT((nCUENTA=1)*(nCURSO=A205)*(nASIG=B205)*(nAPTO="N"))/D205,"—")</f>
        <v>—</v>
      </c>
      <c r="J205" t="str" cm="1">
        <f t="array" ref="J205">IFERROR(_xlfn.MODE.SNGL(_xlfn._xlws.FILTER(nNOTA,(nCUENTA=1)*(nCURSO=A205)*(nASIG=B205)*(nAPTO="S"))),"—")</f>
        <v>—</v>
      </c>
      <c r="K205" t="str" cm="1">
        <f t="array" ref="K205">IFERROR(_xlfn.MODE.SNGL(_xlfn._xlws.FILTER(nNOTA,(nCUENTA=1)*(nCURSO=A205)*(nASIG=B205)*(nAPTO="N"))),"—")</f>
        <v>—</v>
      </c>
      <c r="L205">
        <f>SUMPRODUCT((nCUENTA=1)*(nCURSO=A205)*(nASIG=B205)*(nNOTA=1))</f>
        <v>0</v>
      </c>
      <c r="M205">
        <f>SUMPRODUCT((nCUENTA=1)*(nCURSO=A205)*(nASIG=B205)*(nNOTA=2))</f>
        <v>0</v>
      </c>
      <c r="N205">
        <f>SUMPRODUCT((nCUENTA=1)*(nCURSO=A205)*(nASIG=B205)*(nNOTA=3))</f>
        <v>0</v>
      </c>
      <c r="O205">
        <f>SUMPRODUCT((nCUENTA=1)*(nCURSO=A205)*(nASIG=B205)*(nNOTA=4))</f>
        <v>0</v>
      </c>
      <c r="P205">
        <f>SUMPRODUCT((nCUENTA=1)*(nCURSO=A205)*(nASIG=B205)*(nNOTA=5))</f>
        <v>0</v>
      </c>
      <c r="Q205">
        <f>SUMPRODUCT((nCUENTA=1)*(nCURSO=A205)*(nASIG=B205)*(nNOTA=6))</f>
        <v>0</v>
      </c>
      <c r="R205">
        <f>SUMPRODUCT((nCUENTA=1)*(nCURSO=A205)*(nASIG=B205)*(nNOTA=7))</f>
        <v>0</v>
      </c>
      <c r="S205">
        <f>SUMPRODUCT((nCUENTA=1)*(nCURSO=A205)*(nASIG=B205)*(nNOTA=8))</f>
        <v>0</v>
      </c>
      <c r="T205">
        <f>SUMPRODUCT((nCUENTA=1)*(nCURSO=A205)*(nASIG=B205)*(nNOTA=9))</f>
        <v>0</v>
      </c>
      <c r="U205">
        <f>SUMPRODUCT((nCUENTA=1)*(nCURSO=A205)*(nASIG=B205)*(nNOTA=10))</f>
        <v>0</v>
      </c>
    </row>
    <row r="206">
      <c r="A206" t="inlineStr">
        <is>
          <t xml:space="preserve">3EPM</t>
        </is>
      </c>
      <c r="B206" cm="1">
        <f t="array" ref="B206">IFERROR(INDEX(_xlfn._xlws.FILTER(CONFIG_ASIGNATURAS!$B$2:$B$91,(CONFIG_ASIGNATURAS!$G$2:$G$91="Sí")*ISNUMBER(SEARCH("3EPM",CONFIG_ASIGNATURAS!$C$2:$C$91))),3),"")</f>
      </c>
      <c r="C206">
        <f>IF(B206="","",IFERROR(VLOOKUP(B206,CONFIG_ASIGNATURAS!$B$2:$D$91,3,FALSE()),"Asignatura"))</f>
      </c>
      <c r="D206">
        <f>SUMPRODUCT((nCUENTA=1)*(nCURSO=A206)*(nASIG=B206))</f>
        <v>0</v>
      </c>
      <c r="E206" s="10" t="str">
        <f>IFERROR(SUMPRODUCT((nCUENTA=1)*(nCURSO=A206)*(nASIG=B206)*(nNOTA))/D206,"—")</f>
        <v>—</v>
      </c>
      <c r="F206" s="10" t="str" cm="1">
        <f t="array" ref="F206">IFERROR(_xlfn.STDEV.P(_xlfn._xlws.FILTER(nNOTA,(nCUENTA=1)*(nCURSO=A206)*(nASIG=B206))),"—")</f>
        <v>—</v>
      </c>
      <c r="G206" t="str" cm="1">
        <f t="array" ref="G206">IFERROR(_xlfn.MODE.SNGL(_xlfn._xlws.FILTER(nNOTA,(nCUENTA=1)*(nCURSO=A206)*(nASIG=B206))),"—")</f>
        <v>—</v>
      </c>
      <c r="H206" s="11" t="str">
        <f>IFERROR(SUMPRODUCT((nCUENTA=1)*(nCURSO=A206)*(nASIG=B206)*(nAPTO="S"))/D206,"—")</f>
        <v>—</v>
      </c>
      <c r="I206" s="11" t="str">
        <f>IFERROR(SUMPRODUCT((nCUENTA=1)*(nCURSO=A206)*(nASIG=B206)*(nAPTO="N"))/D206,"—")</f>
        <v>—</v>
      </c>
      <c r="J206" t="str" cm="1">
        <f t="array" ref="J206">IFERROR(_xlfn.MODE.SNGL(_xlfn._xlws.FILTER(nNOTA,(nCUENTA=1)*(nCURSO=A206)*(nASIG=B206)*(nAPTO="S"))),"—")</f>
        <v>—</v>
      </c>
      <c r="K206" t="str" cm="1">
        <f t="array" ref="K206">IFERROR(_xlfn.MODE.SNGL(_xlfn._xlws.FILTER(nNOTA,(nCUENTA=1)*(nCURSO=A206)*(nASIG=B206)*(nAPTO="N"))),"—")</f>
        <v>—</v>
      </c>
      <c r="L206">
        <f>SUMPRODUCT((nCUENTA=1)*(nCURSO=A206)*(nASIG=B206)*(nNOTA=1))</f>
        <v>0</v>
      </c>
      <c r="M206">
        <f>SUMPRODUCT((nCUENTA=1)*(nCURSO=A206)*(nASIG=B206)*(nNOTA=2))</f>
        <v>0</v>
      </c>
      <c r="N206">
        <f>SUMPRODUCT((nCUENTA=1)*(nCURSO=A206)*(nASIG=B206)*(nNOTA=3))</f>
        <v>0</v>
      </c>
      <c r="O206">
        <f>SUMPRODUCT((nCUENTA=1)*(nCURSO=A206)*(nASIG=B206)*(nNOTA=4))</f>
        <v>0</v>
      </c>
      <c r="P206">
        <f>SUMPRODUCT((nCUENTA=1)*(nCURSO=A206)*(nASIG=B206)*(nNOTA=5))</f>
        <v>0</v>
      </c>
      <c r="Q206">
        <f>SUMPRODUCT((nCUENTA=1)*(nCURSO=A206)*(nASIG=B206)*(nNOTA=6))</f>
        <v>0</v>
      </c>
      <c r="R206">
        <f>SUMPRODUCT((nCUENTA=1)*(nCURSO=A206)*(nASIG=B206)*(nNOTA=7))</f>
        <v>0</v>
      </c>
      <c r="S206">
        <f>SUMPRODUCT((nCUENTA=1)*(nCURSO=A206)*(nASIG=B206)*(nNOTA=8))</f>
        <v>0</v>
      </c>
      <c r="T206">
        <f>SUMPRODUCT((nCUENTA=1)*(nCURSO=A206)*(nASIG=B206)*(nNOTA=9))</f>
        <v>0</v>
      </c>
      <c r="U206">
        <f>SUMPRODUCT((nCUENTA=1)*(nCURSO=A206)*(nASIG=B206)*(nNOTA=10))</f>
        <v>0</v>
      </c>
    </row>
    <row r="207">
      <c r="A207" t="inlineStr">
        <is>
          <t xml:space="preserve">3EPM</t>
        </is>
      </c>
      <c r="B207" cm="1">
        <f t="array" ref="B207">IFERROR(INDEX(_xlfn._xlws.FILTER(CONFIG_ASIGNATURAS!$B$2:$B$91,(CONFIG_ASIGNATURAS!$G$2:$G$91="Sí")*ISNUMBER(SEARCH("3EPM",CONFIG_ASIGNATURAS!$C$2:$C$91))),4),"")</f>
      </c>
      <c r="C207">
        <f>IF(B207="","",IFERROR(VLOOKUP(B207,CONFIG_ASIGNATURAS!$B$2:$D$91,3,FALSE()),"Asignatura"))</f>
      </c>
      <c r="D207">
        <f>SUMPRODUCT((nCUENTA=1)*(nCURSO=A207)*(nASIG=B207))</f>
        <v>0</v>
      </c>
      <c r="E207" s="10" t="str">
        <f>IFERROR(SUMPRODUCT((nCUENTA=1)*(nCURSO=A207)*(nASIG=B207)*(nNOTA))/D207,"—")</f>
        <v>—</v>
      </c>
      <c r="F207" s="10" t="str" cm="1">
        <f t="array" ref="F207">IFERROR(_xlfn.STDEV.P(_xlfn._xlws.FILTER(nNOTA,(nCUENTA=1)*(nCURSO=A207)*(nASIG=B207))),"—")</f>
        <v>—</v>
      </c>
      <c r="G207" t="str" cm="1">
        <f t="array" ref="G207">IFERROR(_xlfn.MODE.SNGL(_xlfn._xlws.FILTER(nNOTA,(nCUENTA=1)*(nCURSO=A207)*(nASIG=B207))),"—")</f>
        <v>—</v>
      </c>
      <c r="H207" s="11" t="str">
        <f>IFERROR(SUMPRODUCT((nCUENTA=1)*(nCURSO=A207)*(nASIG=B207)*(nAPTO="S"))/D207,"—")</f>
        <v>—</v>
      </c>
      <c r="I207" s="11" t="str">
        <f>IFERROR(SUMPRODUCT((nCUENTA=1)*(nCURSO=A207)*(nASIG=B207)*(nAPTO="N"))/D207,"—")</f>
        <v>—</v>
      </c>
      <c r="J207" t="str" cm="1">
        <f t="array" ref="J207">IFERROR(_xlfn.MODE.SNGL(_xlfn._xlws.FILTER(nNOTA,(nCUENTA=1)*(nCURSO=A207)*(nASIG=B207)*(nAPTO="S"))),"—")</f>
        <v>—</v>
      </c>
      <c r="K207" t="str" cm="1">
        <f t="array" ref="K207">IFERROR(_xlfn.MODE.SNGL(_xlfn._xlws.FILTER(nNOTA,(nCUENTA=1)*(nCURSO=A207)*(nASIG=B207)*(nAPTO="N"))),"—")</f>
        <v>—</v>
      </c>
      <c r="L207">
        <f>SUMPRODUCT((nCUENTA=1)*(nCURSO=A207)*(nASIG=B207)*(nNOTA=1))</f>
        <v>0</v>
      </c>
      <c r="M207">
        <f>SUMPRODUCT((nCUENTA=1)*(nCURSO=A207)*(nASIG=B207)*(nNOTA=2))</f>
        <v>0</v>
      </c>
      <c r="N207">
        <f>SUMPRODUCT((nCUENTA=1)*(nCURSO=A207)*(nASIG=B207)*(nNOTA=3))</f>
        <v>0</v>
      </c>
      <c r="O207">
        <f>SUMPRODUCT((nCUENTA=1)*(nCURSO=A207)*(nASIG=B207)*(nNOTA=4))</f>
        <v>0</v>
      </c>
      <c r="P207">
        <f>SUMPRODUCT((nCUENTA=1)*(nCURSO=A207)*(nASIG=B207)*(nNOTA=5))</f>
        <v>0</v>
      </c>
      <c r="Q207">
        <f>SUMPRODUCT((nCUENTA=1)*(nCURSO=A207)*(nASIG=B207)*(nNOTA=6))</f>
        <v>0</v>
      </c>
      <c r="R207">
        <f>SUMPRODUCT((nCUENTA=1)*(nCURSO=A207)*(nASIG=B207)*(nNOTA=7))</f>
        <v>0</v>
      </c>
      <c r="S207">
        <f>SUMPRODUCT((nCUENTA=1)*(nCURSO=A207)*(nASIG=B207)*(nNOTA=8))</f>
        <v>0</v>
      </c>
      <c r="T207">
        <f>SUMPRODUCT((nCUENTA=1)*(nCURSO=A207)*(nASIG=B207)*(nNOTA=9))</f>
        <v>0</v>
      </c>
      <c r="U207">
        <f>SUMPRODUCT((nCUENTA=1)*(nCURSO=A207)*(nASIG=B207)*(nNOTA=10))</f>
        <v>0</v>
      </c>
    </row>
    <row r="208">
      <c r="A208" t="inlineStr">
        <is>
          <t xml:space="preserve">3EPM</t>
        </is>
      </c>
      <c r="B208" cm="1">
        <f t="array" ref="B208">IFERROR(INDEX(_xlfn._xlws.FILTER(CONFIG_ASIGNATURAS!$B$2:$B$91,(CONFIG_ASIGNATURAS!$G$2:$G$91="Sí")*ISNUMBER(SEARCH("3EPM",CONFIG_ASIGNATURAS!$C$2:$C$91))),5),"")</f>
      </c>
      <c r="C208">
        <f>IF(B208="","",IFERROR(VLOOKUP(B208,CONFIG_ASIGNATURAS!$B$2:$D$91,3,FALSE()),"Asignatura"))</f>
      </c>
      <c r="D208">
        <f>SUMPRODUCT((nCUENTA=1)*(nCURSO=A208)*(nASIG=B208))</f>
        <v>0</v>
      </c>
      <c r="E208" s="10" t="str">
        <f>IFERROR(SUMPRODUCT((nCUENTA=1)*(nCURSO=A208)*(nASIG=B208)*(nNOTA))/D208,"—")</f>
        <v>—</v>
      </c>
      <c r="F208" s="10" t="str" cm="1">
        <f t="array" ref="F208">IFERROR(_xlfn.STDEV.P(_xlfn._xlws.FILTER(nNOTA,(nCUENTA=1)*(nCURSO=A208)*(nASIG=B208))),"—")</f>
        <v>—</v>
      </c>
      <c r="G208" t="str" cm="1">
        <f t="array" ref="G208">IFERROR(_xlfn.MODE.SNGL(_xlfn._xlws.FILTER(nNOTA,(nCUENTA=1)*(nCURSO=A208)*(nASIG=B208))),"—")</f>
        <v>—</v>
      </c>
      <c r="H208" s="11" t="str">
        <f>IFERROR(SUMPRODUCT((nCUENTA=1)*(nCURSO=A208)*(nASIG=B208)*(nAPTO="S"))/D208,"—")</f>
        <v>—</v>
      </c>
      <c r="I208" s="11" t="str">
        <f>IFERROR(SUMPRODUCT((nCUENTA=1)*(nCURSO=A208)*(nASIG=B208)*(nAPTO="N"))/D208,"—")</f>
        <v>—</v>
      </c>
      <c r="J208" t="str" cm="1">
        <f t="array" ref="J208">IFERROR(_xlfn.MODE.SNGL(_xlfn._xlws.FILTER(nNOTA,(nCUENTA=1)*(nCURSO=A208)*(nASIG=B208)*(nAPTO="S"))),"—")</f>
        <v>—</v>
      </c>
      <c r="K208" t="str" cm="1">
        <f t="array" ref="K208">IFERROR(_xlfn.MODE.SNGL(_xlfn._xlws.FILTER(nNOTA,(nCUENTA=1)*(nCURSO=A208)*(nASIG=B208)*(nAPTO="N"))),"—")</f>
        <v>—</v>
      </c>
      <c r="L208">
        <f>SUMPRODUCT((nCUENTA=1)*(nCURSO=A208)*(nASIG=B208)*(nNOTA=1))</f>
        <v>0</v>
      </c>
      <c r="M208">
        <f>SUMPRODUCT((nCUENTA=1)*(nCURSO=A208)*(nASIG=B208)*(nNOTA=2))</f>
        <v>0</v>
      </c>
      <c r="N208">
        <f>SUMPRODUCT((nCUENTA=1)*(nCURSO=A208)*(nASIG=B208)*(nNOTA=3))</f>
        <v>0</v>
      </c>
      <c r="O208">
        <f>SUMPRODUCT((nCUENTA=1)*(nCURSO=A208)*(nASIG=B208)*(nNOTA=4))</f>
        <v>0</v>
      </c>
      <c r="P208">
        <f>SUMPRODUCT((nCUENTA=1)*(nCURSO=A208)*(nASIG=B208)*(nNOTA=5))</f>
        <v>0</v>
      </c>
      <c r="Q208">
        <f>SUMPRODUCT((nCUENTA=1)*(nCURSO=A208)*(nASIG=B208)*(nNOTA=6))</f>
        <v>0</v>
      </c>
      <c r="R208">
        <f>SUMPRODUCT((nCUENTA=1)*(nCURSO=A208)*(nASIG=B208)*(nNOTA=7))</f>
        <v>0</v>
      </c>
      <c r="S208">
        <f>SUMPRODUCT((nCUENTA=1)*(nCURSO=A208)*(nASIG=B208)*(nNOTA=8))</f>
        <v>0</v>
      </c>
      <c r="T208">
        <f>SUMPRODUCT((nCUENTA=1)*(nCURSO=A208)*(nASIG=B208)*(nNOTA=9))</f>
        <v>0</v>
      </c>
      <c r="U208">
        <f>SUMPRODUCT((nCUENTA=1)*(nCURSO=A208)*(nASIG=B208)*(nNOTA=10))</f>
        <v>0</v>
      </c>
    </row>
    <row r="209">
      <c r="A209" t="inlineStr">
        <is>
          <t xml:space="preserve">3EPM</t>
        </is>
      </c>
      <c r="B209" cm="1">
        <f t="array" ref="B209">IFERROR(INDEX(_xlfn._xlws.FILTER(CONFIG_ASIGNATURAS!$B$2:$B$91,(CONFIG_ASIGNATURAS!$G$2:$G$91="Sí")*ISNUMBER(SEARCH("3EPM",CONFIG_ASIGNATURAS!$C$2:$C$91))),6),"")</f>
      </c>
      <c r="C209">
        <f>IF(B209="","",IFERROR(VLOOKUP(B209,CONFIG_ASIGNATURAS!$B$2:$D$91,3,FALSE()),"Asignatura"))</f>
      </c>
      <c r="D209">
        <f>SUMPRODUCT((nCUENTA=1)*(nCURSO=A209)*(nASIG=B209))</f>
        <v>0</v>
      </c>
      <c r="E209" s="10" t="str">
        <f>IFERROR(SUMPRODUCT((nCUENTA=1)*(nCURSO=A209)*(nASIG=B209)*(nNOTA))/D209,"—")</f>
        <v>—</v>
      </c>
      <c r="F209" s="10" t="str" cm="1">
        <f t="array" ref="F209">IFERROR(_xlfn.STDEV.P(_xlfn._xlws.FILTER(nNOTA,(nCUENTA=1)*(nCURSO=A209)*(nASIG=B209))),"—")</f>
        <v>—</v>
      </c>
      <c r="G209" t="str" cm="1">
        <f t="array" ref="G209">IFERROR(_xlfn.MODE.SNGL(_xlfn._xlws.FILTER(nNOTA,(nCUENTA=1)*(nCURSO=A209)*(nASIG=B209))),"—")</f>
        <v>—</v>
      </c>
      <c r="H209" s="11" t="str">
        <f>IFERROR(SUMPRODUCT((nCUENTA=1)*(nCURSO=A209)*(nASIG=B209)*(nAPTO="S"))/D209,"—")</f>
        <v>—</v>
      </c>
      <c r="I209" s="11" t="str">
        <f>IFERROR(SUMPRODUCT((nCUENTA=1)*(nCURSO=A209)*(nASIG=B209)*(nAPTO="N"))/D209,"—")</f>
        <v>—</v>
      </c>
      <c r="J209" t="str" cm="1">
        <f t="array" ref="J209">IFERROR(_xlfn.MODE.SNGL(_xlfn._xlws.FILTER(nNOTA,(nCUENTA=1)*(nCURSO=A209)*(nASIG=B209)*(nAPTO="S"))),"—")</f>
        <v>—</v>
      </c>
      <c r="K209" t="str" cm="1">
        <f t="array" ref="K209">IFERROR(_xlfn.MODE.SNGL(_xlfn._xlws.FILTER(nNOTA,(nCUENTA=1)*(nCURSO=A209)*(nASIG=B209)*(nAPTO="N"))),"—")</f>
        <v>—</v>
      </c>
      <c r="L209">
        <f>SUMPRODUCT((nCUENTA=1)*(nCURSO=A209)*(nASIG=B209)*(nNOTA=1))</f>
        <v>0</v>
      </c>
      <c r="M209">
        <f>SUMPRODUCT((nCUENTA=1)*(nCURSO=A209)*(nASIG=B209)*(nNOTA=2))</f>
        <v>0</v>
      </c>
      <c r="N209">
        <f>SUMPRODUCT((nCUENTA=1)*(nCURSO=A209)*(nASIG=B209)*(nNOTA=3))</f>
        <v>0</v>
      </c>
      <c r="O209">
        <f>SUMPRODUCT((nCUENTA=1)*(nCURSO=A209)*(nASIG=B209)*(nNOTA=4))</f>
        <v>0</v>
      </c>
      <c r="P209">
        <f>SUMPRODUCT((nCUENTA=1)*(nCURSO=A209)*(nASIG=B209)*(nNOTA=5))</f>
        <v>0</v>
      </c>
      <c r="Q209">
        <f>SUMPRODUCT((nCUENTA=1)*(nCURSO=A209)*(nASIG=B209)*(nNOTA=6))</f>
        <v>0</v>
      </c>
      <c r="R209">
        <f>SUMPRODUCT((nCUENTA=1)*(nCURSO=A209)*(nASIG=B209)*(nNOTA=7))</f>
        <v>0</v>
      </c>
      <c r="S209">
        <f>SUMPRODUCT((nCUENTA=1)*(nCURSO=A209)*(nASIG=B209)*(nNOTA=8))</f>
        <v>0</v>
      </c>
      <c r="T209">
        <f>SUMPRODUCT((nCUENTA=1)*(nCURSO=A209)*(nASIG=B209)*(nNOTA=9))</f>
        <v>0</v>
      </c>
      <c r="U209">
        <f>SUMPRODUCT((nCUENTA=1)*(nCURSO=A209)*(nASIG=B209)*(nNOTA=10))</f>
        <v>0</v>
      </c>
    </row>
    <row r="210">
      <c r="A210" t="inlineStr">
        <is>
          <t xml:space="preserve">3EPM</t>
        </is>
      </c>
      <c r="B210" cm="1">
        <f t="array" ref="B210">IFERROR(INDEX(_xlfn._xlws.FILTER(CONFIG_ASIGNATURAS!$B$2:$B$91,(CONFIG_ASIGNATURAS!$G$2:$G$91="Sí")*ISNUMBER(SEARCH("3EPM",CONFIG_ASIGNATURAS!$C$2:$C$91))),7),"")</f>
      </c>
      <c r="C210">
        <f>IF(B210="","",IFERROR(VLOOKUP(B210,CONFIG_ASIGNATURAS!$B$2:$D$91,3,FALSE()),"Asignatura"))</f>
      </c>
      <c r="D210">
        <f>SUMPRODUCT((nCUENTA=1)*(nCURSO=A210)*(nASIG=B210))</f>
        <v>0</v>
      </c>
      <c r="E210" s="10" t="str">
        <f>IFERROR(SUMPRODUCT((nCUENTA=1)*(nCURSO=A210)*(nASIG=B210)*(nNOTA))/D210,"—")</f>
        <v>—</v>
      </c>
      <c r="F210" s="10" t="str" cm="1">
        <f t="array" ref="F210">IFERROR(_xlfn.STDEV.P(_xlfn._xlws.FILTER(nNOTA,(nCUENTA=1)*(nCURSO=A210)*(nASIG=B210))),"—")</f>
        <v>—</v>
      </c>
      <c r="G210" t="str" cm="1">
        <f t="array" ref="G210">IFERROR(_xlfn.MODE.SNGL(_xlfn._xlws.FILTER(nNOTA,(nCUENTA=1)*(nCURSO=A210)*(nASIG=B210))),"—")</f>
        <v>—</v>
      </c>
      <c r="H210" s="11" t="str">
        <f>IFERROR(SUMPRODUCT((nCUENTA=1)*(nCURSO=A210)*(nASIG=B210)*(nAPTO="S"))/D210,"—")</f>
        <v>—</v>
      </c>
      <c r="I210" s="11" t="str">
        <f>IFERROR(SUMPRODUCT((nCUENTA=1)*(nCURSO=A210)*(nASIG=B210)*(nAPTO="N"))/D210,"—")</f>
        <v>—</v>
      </c>
      <c r="J210" t="str" cm="1">
        <f t="array" ref="J210">IFERROR(_xlfn.MODE.SNGL(_xlfn._xlws.FILTER(nNOTA,(nCUENTA=1)*(nCURSO=A210)*(nASIG=B210)*(nAPTO="S"))),"—")</f>
        <v>—</v>
      </c>
      <c r="K210" t="str" cm="1">
        <f t="array" ref="K210">IFERROR(_xlfn.MODE.SNGL(_xlfn._xlws.FILTER(nNOTA,(nCUENTA=1)*(nCURSO=A210)*(nASIG=B210)*(nAPTO="N"))),"—")</f>
        <v>—</v>
      </c>
      <c r="L210">
        <f>SUMPRODUCT((nCUENTA=1)*(nCURSO=A210)*(nASIG=B210)*(nNOTA=1))</f>
        <v>0</v>
      </c>
      <c r="M210">
        <f>SUMPRODUCT((nCUENTA=1)*(nCURSO=A210)*(nASIG=B210)*(nNOTA=2))</f>
        <v>0</v>
      </c>
      <c r="N210">
        <f>SUMPRODUCT((nCUENTA=1)*(nCURSO=A210)*(nASIG=B210)*(nNOTA=3))</f>
        <v>0</v>
      </c>
      <c r="O210">
        <f>SUMPRODUCT((nCUENTA=1)*(nCURSO=A210)*(nASIG=B210)*(nNOTA=4))</f>
        <v>0</v>
      </c>
      <c r="P210">
        <f>SUMPRODUCT((nCUENTA=1)*(nCURSO=A210)*(nASIG=B210)*(nNOTA=5))</f>
        <v>0</v>
      </c>
      <c r="Q210">
        <f>SUMPRODUCT((nCUENTA=1)*(nCURSO=A210)*(nASIG=B210)*(nNOTA=6))</f>
        <v>0</v>
      </c>
      <c r="R210">
        <f>SUMPRODUCT((nCUENTA=1)*(nCURSO=A210)*(nASIG=B210)*(nNOTA=7))</f>
        <v>0</v>
      </c>
      <c r="S210">
        <f>SUMPRODUCT((nCUENTA=1)*(nCURSO=A210)*(nASIG=B210)*(nNOTA=8))</f>
        <v>0</v>
      </c>
      <c r="T210">
        <f>SUMPRODUCT((nCUENTA=1)*(nCURSO=A210)*(nASIG=B210)*(nNOTA=9))</f>
        <v>0</v>
      </c>
      <c r="U210">
        <f>SUMPRODUCT((nCUENTA=1)*(nCURSO=A210)*(nASIG=B210)*(nNOTA=10))</f>
        <v>0</v>
      </c>
    </row>
    <row r="211">
      <c r="A211" t="inlineStr">
        <is>
          <t xml:space="preserve">3EPM</t>
        </is>
      </c>
      <c r="B211" cm="1">
        <f t="array" ref="B211">IFERROR(INDEX(_xlfn._xlws.FILTER(CONFIG_ASIGNATURAS!$B$2:$B$91,(CONFIG_ASIGNATURAS!$G$2:$G$91="Sí")*ISNUMBER(SEARCH("3EPM",CONFIG_ASIGNATURAS!$C$2:$C$91))),8),"")</f>
      </c>
      <c r="C211">
        <f>IF(B211="","",IFERROR(VLOOKUP(B211,CONFIG_ASIGNATURAS!$B$2:$D$91,3,FALSE()),"Asignatura"))</f>
      </c>
      <c r="D211">
        <f>SUMPRODUCT((nCUENTA=1)*(nCURSO=A211)*(nASIG=B211))</f>
        <v>0</v>
      </c>
      <c r="E211" s="10" t="str">
        <f>IFERROR(SUMPRODUCT((nCUENTA=1)*(nCURSO=A211)*(nASIG=B211)*(nNOTA))/D211,"—")</f>
        <v>—</v>
      </c>
      <c r="F211" s="10" t="str" cm="1">
        <f t="array" ref="F211">IFERROR(_xlfn.STDEV.P(_xlfn._xlws.FILTER(nNOTA,(nCUENTA=1)*(nCURSO=A211)*(nASIG=B211))),"—")</f>
        <v>—</v>
      </c>
      <c r="G211" t="str" cm="1">
        <f t="array" ref="G211">IFERROR(_xlfn.MODE.SNGL(_xlfn._xlws.FILTER(nNOTA,(nCUENTA=1)*(nCURSO=A211)*(nASIG=B211))),"—")</f>
        <v>—</v>
      </c>
      <c r="H211" s="11" t="str">
        <f>IFERROR(SUMPRODUCT((nCUENTA=1)*(nCURSO=A211)*(nASIG=B211)*(nAPTO="S"))/D211,"—")</f>
        <v>—</v>
      </c>
      <c r="I211" s="11" t="str">
        <f>IFERROR(SUMPRODUCT((nCUENTA=1)*(nCURSO=A211)*(nASIG=B211)*(nAPTO="N"))/D211,"—")</f>
        <v>—</v>
      </c>
      <c r="J211" t="str" cm="1">
        <f t="array" ref="J211">IFERROR(_xlfn.MODE.SNGL(_xlfn._xlws.FILTER(nNOTA,(nCUENTA=1)*(nCURSO=A211)*(nASIG=B211)*(nAPTO="S"))),"—")</f>
        <v>—</v>
      </c>
      <c r="K211" t="str" cm="1">
        <f t="array" ref="K211">IFERROR(_xlfn.MODE.SNGL(_xlfn._xlws.FILTER(nNOTA,(nCUENTA=1)*(nCURSO=A211)*(nASIG=B211)*(nAPTO="N"))),"—")</f>
        <v>—</v>
      </c>
      <c r="L211">
        <f>SUMPRODUCT((nCUENTA=1)*(nCURSO=A211)*(nASIG=B211)*(nNOTA=1))</f>
        <v>0</v>
      </c>
      <c r="M211">
        <f>SUMPRODUCT((nCUENTA=1)*(nCURSO=A211)*(nASIG=B211)*(nNOTA=2))</f>
        <v>0</v>
      </c>
      <c r="N211">
        <f>SUMPRODUCT((nCUENTA=1)*(nCURSO=A211)*(nASIG=B211)*(nNOTA=3))</f>
        <v>0</v>
      </c>
      <c r="O211">
        <f>SUMPRODUCT((nCUENTA=1)*(nCURSO=A211)*(nASIG=B211)*(nNOTA=4))</f>
        <v>0</v>
      </c>
      <c r="P211">
        <f>SUMPRODUCT((nCUENTA=1)*(nCURSO=A211)*(nASIG=B211)*(nNOTA=5))</f>
        <v>0</v>
      </c>
      <c r="Q211">
        <f>SUMPRODUCT((nCUENTA=1)*(nCURSO=A211)*(nASIG=B211)*(nNOTA=6))</f>
        <v>0</v>
      </c>
      <c r="R211">
        <f>SUMPRODUCT((nCUENTA=1)*(nCURSO=A211)*(nASIG=B211)*(nNOTA=7))</f>
        <v>0</v>
      </c>
      <c r="S211">
        <f>SUMPRODUCT((nCUENTA=1)*(nCURSO=A211)*(nASIG=B211)*(nNOTA=8))</f>
        <v>0</v>
      </c>
      <c r="T211">
        <f>SUMPRODUCT((nCUENTA=1)*(nCURSO=A211)*(nASIG=B211)*(nNOTA=9))</f>
        <v>0</v>
      </c>
      <c r="U211">
        <f>SUMPRODUCT((nCUENTA=1)*(nCURSO=A211)*(nASIG=B211)*(nNOTA=10))</f>
        <v>0</v>
      </c>
    </row>
    <row r="212">
      <c r="A212" t="inlineStr">
        <is>
          <t xml:space="preserve">3EPM</t>
        </is>
      </c>
      <c r="B212" cm="1">
        <f t="array" ref="B212">IFERROR(INDEX(_xlfn._xlws.FILTER(CONFIG_ASIGNATURAS!$B$2:$B$91,(CONFIG_ASIGNATURAS!$G$2:$G$91="Sí")*ISNUMBER(SEARCH("3EPM",CONFIG_ASIGNATURAS!$C$2:$C$91))),9),"")</f>
      </c>
      <c r="C212">
        <f>IF(B212="","",IFERROR(VLOOKUP(B212,CONFIG_ASIGNATURAS!$B$2:$D$91,3,FALSE()),"Asignatura"))</f>
      </c>
      <c r="D212">
        <f>SUMPRODUCT((nCUENTA=1)*(nCURSO=A212)*(nASIG=B212))</f>
        <v>0</v>
      </c>
      <c r="E212" s="10" t="str">
        <f>IFERROR(SUMPRODUCT((nCUENTA=1)*(nCURSO=A212)*(nASIG=B212)*(nNOTA))/D212,"—")</f>
        <v>—</v>
      </c>
      <c r="F212" s="10" t="str" cm="1">
        <f t="array" ref="F212">IFERROR(_xlfn.STDEV.P(_xlfn._xlws.FILTER(nNOTA,(nCUENTA=1)*(nCURSO=A212)*(nASIG=B212))),"—")</f>
        <v>—</v>
      </c>
      <c r="G212" t="str" cm="1">
        <f t="array" ref="G212">IFERROR(_xlfn.MODE.SNGL(_xlfn._xlws.FILTER(nNOTA,(nCUENTA=1)*(nCURSO=A212)*(nASIG=B212))),"—")</f>
        <v>—</v>
      </c>
      <c r="H212" s="11" t="str">
        <f>IFERROR(SUMPRODUCT((nCUENTA=1)*(nCURSO=A212)*(nASIG=B212)*(nAPTO="S"))/D212,"—")</f>
        <v>—</v>
      </c>
      <c r="I212" s="11" t="str">
        <f>IFERROR(SUMPRODUCT((nCUENTA=1)*(nCURSO=A212)*(nASIG=B212)*(nAPTO="N"))/D212,"—")</f>
        <v>—</v>
      </c>
      <c r="J212" t="str" cm="1">
        <f t="array" ref="J212">IFERROR(_xlfn.MODE.SNGL(_xlfn._xlws.FILTER(nNOTA,(nCUENTA=1)*(nCURSO=A212)*(nASIG=B212)*(nAPTO="S"))),"—")</f>
        <v>—</v>
      </c>
      <c r="K212" t="str" cm="1">
        <f t="array" ref="K212">IFERROR(_xlfn.MODE.SNGL(_xlfn._xlws.FILTER(nNOTA,(nCUENTA=1)*(nCURSO=A212)*(nASIG=B212)*(nAPTO="N"))),"—")</f>
        <v>—</v>
      </c>
      <c r="L212">
        <f>SUMPRODUCT((nCUENTA=1)*(nCURSO=A212)*(nASIG=B212)*(nNOTA=1))</f>
        <v>0</v>
      </c>
      <c r="M212">
        <f>SUMPRODUCT((nCUENTA=1)*(nCURSO=A212)*(nASIG=B212)*(nNOTA=2))</f>
        <v>0</v>
      </c>
      <c r="N212">
        <f>SUMPRODUCT((nCUENTA=1)*(nCURSO=A212)*(nASIG=B212)*(nNOTA=3))</f>
        <v>0</v>
      </c>
      <c r="O212">
        <f>SUMPRODUCT((nCUENTA=1)*(nCURSO=A212)*(nASIG=B212)*(nNOTA=4))</f>
        <v>0</v>
      </c>
      <c r="P212">
        <f>SUMPRODUCT((nCUENTA=1)*(nCURSO=A212)*(nASIG=B212)*(nNOTA=5))</f>
        <v>0</v>
      </c>
      <c r="Q212">
        <f>SUMPRODUCT((nCUENTA=1)*(nCURSO=A212)*(nASIG=B212)*(nNOTA=6))</f>
        <v>0</v>
      </c>
      <c r="R212">
        <f>SUMPRODUCT((nCUENTA=1)*(nCURSO=A212)*(nASIG=B212)*(nNOTA=7))</f>
        <v>0</v>
      </c>
      <c r="S212">
        <f>SUMPRODUCT((nCUENTA=1)*(nCURSO=A212)*(nASIG=B212)*(nNOTA=8))</f>
        <v>0</v>
      </c>
      <c r="T212">
        <f>SUMPRODUCT((nCUENTA=1)*(nCURSO=A212)*(nASIG=B212)*(nNOTA=9))</f>
        <v>0</v>
      </c>
      <c r="U212">
        <f>SUMPRODUCT((nCUENTA=1)*(nCURSO=A212)*(nASIG=B212)*(nNOTA=10))</f>
        <v>0</v>
      </c>
    </row>
    <row r="213">
      <c r="A213" t="inlineStr">
        <is>
          <t xml:space="preserve">3EPM</t>
        </is>
      </c>
      <c r="B213" cm="1">
        <f t="array" ref="B213">IFERROR(INDEX(_xlfn._xlws.FILTER(CONFIG_ASIGNATURAS!$B$2:$B$91,(CONFIG_ASIGNATURAS!$G$2:$G$91="Sí")*ISNUMBER(SEARCH("3EPM",CONFIG_ASIGNATURAS!$C$2:$C$91))),10),"")</f>
      </c>
      <c r="C213">
        <f>IF(B213="","",IFERROR(VLOOKUP(B213,CONFIG_ASIGNATURAS!$B$2:$D$91,3,FALSE()),"Asignatura"))</f>
      </c>
      <c r="D213">
        <f>SUMPRODUCT((nCUENTA=1)*(nCURSO=A213)*(nASIG=B213))</f>
        <v>0</v>
      </c>
      <c r="E213" s="10" t="str">
        <f>IFERROR(SUMPRODUCT((nCUENTA=1)*(nCURSO=A213)*(nASIG=B213)*(nNOTA))/D213,"—")</f>
        <v>—</v>
      </c>
      <c r="F213" s="10" t="str" cm="1">
        <f t="array" ref="F213">IFERROR(_xlfn.STDEV.P(_xlfn._xlws.FILTER(nNOTA,(nCUENTA=1)*(nCURSO=A213)*(nASIG=B213))),"—")</f>
        <v>—</v>
      </c>
      <c r="G213" t="str" cm="1">
        <f t="array" ref="G213">IFERROR(_xlfn.MODE.SNGL(_xlfn._xlws.FILTER(nNOTA,(nCUENTA=1)*(nCURSO=A213)*(nASIG=B213))),"—")</f>
        <v>—</v>
      </c>
      <c r="H213" s="11" t="str">
        <f>IFERROR(SUMPRODUCT((nCUENTA=1)*(nCURSO=A213)*(nASIG=B213)*(nAPTO="S"))/D213,"—")</f>
        <v>—</v>
      </c>
      <c r="I213" s="11" t="str">
        <f>IFERROR(SUMPRODUCT((nCUENTA=1)*(nCURSO=A213)*(nASIG=B213)*(nAPTO="N"))/D213,"—")</f>
        <v>—</v>
      </c>
      <c r="J213" t="str" cm="1">
        <f t="array" ref="J213">IFERROR(_xlfn.MODE.SNGL(_xlfn._xlws.FILTER(nNOTA,(nCUENTA=1)*(nCURSO=A213)*(nASIG=B213)*(nAPTO="S"))),"—")</f>
        <v>—</v>
      </c>
      <c r="K213" t="str" cm="1">
        <f t="array" ref="K213">IFERROR(_xlfn.MODE.SNGL(_xlfn._xlws.FILTER(nNOTA,(nCUENTA=1)*(nCURSO=A213)*(nASIG=B213)*(nAPTO="N"))),"—")</f>
        <v>—</v>
      </c>
      <c r="L213">
        <f>SUMPRODUCT((nCUENTA=1)*(nCURSO=A213)*(nASIG=B213)*(nNOTA=1))</f>
        <v>0</v>
      </c>
      <c r="M213">
        <f>SUMPRODUCT((nCUENTA=1)*(nCURSO=A213)*(nASIG=B213)*(nNOTA=2))</f>
        <v>0</v>
      </c>
      <c r="N213">
        <f>SUMPRODUCT((nCUENTA=1)*(nCURSO=A213)*(nASIG=B213)*(nNOTA=3))</f>
        <v>0</v>
      </c>
      <c r="O213">
        <f>SUMPRODUCT((nCUENTA=1)*(nCURSO=A213)*(nASIG=B213)*(nNOTA=4))</f>
        <v>0</v>
      </c>
      <c r="P213">
        <f>SUMPRODUCT((nCUENTA=1)*(nCURSO=A213)*(nASIG=B213)*(nNOTA=5))</f>
        <v>0</v>
      </c>
      <c r="Q213">
        <f>SUMPRODUCT((nCUENTA=1)*(nCURSO=A213)*(nASIG=B213)*(nNOTA=6))</f>
        <v>0</v>
      </c>
      <c r="R213">
        <f>SUMPRODUCT((nCUENTA=1)*(nCURSO=A213)*(nASIG=B213)*(nNOTA=7))</f>
        <v>0</v>
      </c>
      <c r="S213">
        <f>SUMPRODUCT((nCUENTA=1)*(nCURSO=A213)*(nASIG=B213)*(nNOTA=8))</f>
        <v>0</v>
      </c>
      <c r="T213">
        <f>SUMPRODUCT((nCUENTA=1)*(nCURSO=A213)*(nASIG=B213)*(nNOTA=9))</f>
        <v>0</v>
      </c>
      <c r="U213">
        <f>SUMPRODUCT((nCUENTA=1)*(nCURSO=A213)*(nASIG=B213)*(nNOTA=10))</f>
        <v>0</v>
      </c>
    </row>
    <row r="214">
      <c r="A214" t="inlineStr">
        <is>
          <t xml:space="preserve">3EPM</t>
        </is>
      </c>
      <c r="B214" cm="1">
        <f t="array" ref="B214">IFERROR(INDEX(_xlfn._xlws.FILTER(CONFIG_ASIGNATURAS!$B$2:$B$91,(CONFIG_ASIGNATURAS!$G$2:$G$91="Sí")*ISNUMBER(SEARCH("3EPM",CONFIG_ASIGNATURAS!$C$2:$C$91))),11),"")</f>
      </c>
      <c r="C214">
        <f>IF(B214="","",IFERROR(VLOOKUP(B214,CONFIG_ASIGNATURAS!$B$2:$D$91,3,FALSE()),"Asignatura"))</f>
      </c>
      <c r="D214">
        <f>SUMPRODUCT((nCUENTA=1)*(nCURSO=A214)*(nASIG=B214))</f>
        <v>0</v>
      </c>
      <c r="E214" s="10" t="str">
        <f>IFERROR(SUMPRODUCT((nCUENTA=1)*(nCURSO=A214)*(nASIG=B214)*(nNOTA))/D214,"—")</f>
        <v>—</v>
      </c>
      <c r="F214" s="10" t="str" cm="1">
        <f t="array" ref="F214">IFERROR(_xlfn.STDEV.P(_xlfn._xlws.FILTER(nNOTA,(nCUENTA=1)*(nCURSO=A214)*(nASIG=B214))),"—")</f>
        <v>—</v>
      </c>
      <c r="G214" t="str" cm="1">
        <f t="array" ref="G214">IFERROR(_xlfn.MODE.SNGL(_xlfn._xlws.FILTER(nNOTA,(nCUENTA=1)*(nCURSO=A214)*(nASIG=B214))),"—")</f>
        <v>—</v>
      </c>
      <c r="H214" s="11" t="str">
        <f>IFERROR(SUMPRODUCT((nCUENTA=1)*(nCURSO=A214)*(nASIG=B214)*(nAPTO="S"))/D214,"—")</f>
        <v>—</v>
      </c>
      <c r="I214" s="11" t="str">
        <f>IFERROR(SUMPRODUCT((nCUENTA=1)*(nCURSO=A214)*(nASIG=B214)*(nAPTO="N"))/D214,"—")</f>
        <v>—</v>
      </c>
      <c r="J214" t="str" cm="1">
        <f t="array" ref="J214">IFERROR(_xlfn.MODE.SNGL(_xlfn._xlws.FILTER(nNOTA,(nCUENTA=1)*(nCURSO=A214)*(nASIG=B214)*(nAPTO="S"))),"—")</f>
        <v>—</v>
      </c>
      <c r="K214" t="str" cm="1">
        <f t="array" ref="K214">IFERROR(_xlfn.MODE.SNGL(_xlfn._xlws.FILTER(nNOTA,(nCUENTA=1)*(nCURSO=A214)*(nASIG=B214)*(nAPTO="N"))),"—")</f>
        <v>—</v>
      </c>
      <c r="L214">
        <f>SUMPRODUCT((nCUENTA=1)*(nCURSO=A214)*(nASIG=B214)*(nNOTA=1))</f>
        <v>0</v>
      </c>
      <c r="M214">
        <f>SUMPRODUCT((nCUENTA=1)*(nCURSO=A214)*(nASIG=B214)*(nNOTA=2))</f>
        <v>0</v>
      </c>
      <c r="N214">
        <f>SUMPRODUCT((nCUENTA=1)*(nCURSO=A214)*(nASIG=B214)*(nNOTA=3))</f>
        <v>0</v>
      </c>
      <c r="O214">
        <f>SUMPRODUCT((nCUENTA=1)*(nCURSO=A214)*(nASIG=B214)*(nNOTA=4))</f>
        <v>0</v>
      </c>
      <c r="P214">
        <f>SUMPRODUCT((nCUENTA=1)*(nCURSO=A214)*(nASIG=B214)*(nNOTA=5))</f>
        <v>0</v>
      </c>
      <c r="Q214">
        <f>SUMPRODUCT((nCUENTA=1)*(nCURSO=A214)*(nASIG=B214)*(nNOTA=6))</f>
        <v>0</v>
      </c>
      <c r="R214">
        <f>SUMPRODUCT((nCUENTA=1)*(nCURSO=A214)*(nASIG=B214)*(nNOTA=7))</f>
        <v>0</v>
      </c>
      <c r="S214">
        <f>SUMPRODUCT((nCUENTA=1)*(nCURSO=A214)*(nASIG=B214)*(nNOTA=8))</f>
        <v>0</v>
      </c>
      <c r="T214">
        <f>SUMPRODUCT((nCUENTA=1)*(nCURSO=A214)*(nASIG=B214)*(nNOTA=9))</f>
        <v>0</v>
      </c>
      <c r="U214">
        <f>SUMPRODUCT((nCUENTA=1)*(nCURSO=A214)*(nASIG=B214)*(nNOTA=10))</f>
        <v>0</v>
      </c>
    </row>
    <row r="215">
      <c r="A215" t="inlineStr">
        <is>
          <t xml:space="preserve">3EPM</t>
        </is>
      </c>
      <c r="B215" cm="1">
        <f t="array" ref="B215">IFERROR(INDEX(_xlfn._xlws.FILTER(CONFIG_ASIGNATURAS!$B$2:$B$91,(CONFIG_ASIGNATURAS!$G$2:$G$91="Sí")*ISNUMBER(SEARCH("3EPM",CONFIG_ASIGNATURAS!$C$2:$C$91))),12),"")</f>
      </c>
      <c r="C215">
        <f>IF(B215="","",IFERROR(VLOOKUP(B215,CONFIG_ASIGNATURAS!$B$2:$D$91,3,FALSE()),"Asignatura"))</f>
      </c>
      <c r="D215">
        <f>SUMPRODUCT((nCUENTA=1)*(nCURSO=A215)*(nASIG=B215))</f>
        <v>0</v>
      </c>
      <c r="E215" s="10" t="str">
        <f>IFERROR(SUMPRODUCT((nCUENTA=1)*(nCURSO=A215)*(nASIG=B215)*(nNOTA))/D215,"—")</f>
        <v>—</v>
      </c>
      <c r="F215" s="10" t="str" cm="1">
        <f t="array" ref="F215">IFERROR(_xlfn.STDEV.P(_xlfn._xlws.FILTER(nNOTA,(nCUENTA=1)*(nCURSO=A215)*(nASIG=B215))),"—")</f>
        <v>—</v>
      </c>
      <c r="G215" t="str" cm="1">
        <f t="array" ref="G215">IFERROR(_xlfn.MODE.SNGL(_xlfn._xlws.FILTER(nNOTA,(nCUENTA=1)*(nCURSO=A215)*(nASIG=B215))),"—")</f>
        <v>—</v>
      </c>
      <c r="H215" s="11" t="str">
        <f>IFERROR(SUMPRODUCT((nCUENTA=1)*(nCURSO=A215)*(nASIG=B215)*(nAPTO="S"))/D215,"—")</f>
        <v>—</v>
      </c>
      <c r="I215" s="11" t="str">
        <f>IFERROR(SUMPRODUCT((nCUENTA=1)*(nCURSO=A215)*(nASIG=B215)*(nAPTO="N"))/D215,"—")</f>
        <v>—</v>
      </c>
      <c r="J215" t="str" cm="1">
        <f t="array" ref="J215">IFERROR(_xlfn.MODE.SNGL(_xlfn._xlws.FILTER(nNOTA,(nCUENTA=1)*(nCURSO=A215)*(nASIG=B215)*(nAPTO="S"))),"—")</f>
        <v>—</v>
      </c>
      <c r="K215" t="str" cm="1">
        <f t="array" ref="K215">IFERROR(_xlfn.MODE.SNGL(_xlfn._xlws.FILTER(nNOTA,(nCUENTA=1)*(nCURSO=A215)*(nASIG=B215)*(nAPTO="N"))),"—")</f>
        <v>—</v>
      </c>
      <c r="L215">
        <f>SUMPRODUCT((nCUENTA=1)*(nCURSO=A215)*(nASIG=B215)*(nNOTA=1))</f>
        <v>0</v>
      </c>
      <c r="M215">
        <f>SUMPRODUCT((nCUENTA=1)*(nCURSO=A215)*(nASIG=B215)*(nNOTA=2))</f>
        <v>0</v>
      </c>
      <c r="N215">
        <f>SUMPRODUCT((nCUENTA=1)*(nCURSO=A215)*(nASIG=B215)*(nNOTA=3))</f>
        <v>0</v>
      </c>
      <c r="O215">
        <f>SUMPRODUCT((nCUENTA=1)*(nCURSO=A215)*(nASIG=B215)*(nNOTA=4))</f>
        <v>0</v>
      </c>
      <c r="P215">
        <f>SUMPRODUCT((nCUENTA=1)*(nCURSO=A215)*(nASIG=B215)*(nNOTA=5))</f>
        <v>0</v>
      </c>
      <c r="Q215">
        <f>SUMPRODUCT((nCUENTA=1)*(nCURSO=A215)*(nASIG=B215)*(nNOTA=6))</f>
        <v>0</v>
      </c>
      <c r="R215">
        <f>SUMPRODUCT((nCUENTA=1)*(nCURSO=A215)*(nASIG=B215)*(nNOTA=7))</f>
        <v>0</v>
      </c>
      <c r="S215">
        <f>SUMPRODUCT((nCUENTA=1)*(nCURSO=A215)*(nASIG=B215)*(nNOTA=8))</f>
        <v>0</v>
      </c>
      <c r="T215">
        <f>SUMPRODUCT((nCUENTA=1)*(nCURSO=A215)*(nASIG=B215)*(nNOTA=9))</f>
        <v>0</v>
      </c>
      <c r="U215">
        <f>SUMPRODUCT((nCUENTA=1)*(nCURSO=A215)*(nASIG=B215)*(nNOTA=10))</f>
        <v>0</v>
      </c>
    </row>
    <row r="216">
      <c r="A216" t="inlineStr">
        <is>
          <t xml:space="preserve">3EPM</t>
        </is>
      </c>
      <c r="B216" cm="1">
        <f t="array" ref="B216">IFERROR(INDEX(_xlfn._xlws.FILTER(CONFIG_ASIGNATURAS!$B$2:$B$91,(CONFIG_ASIGNATURAS!$G$2:$G$91="Sí")*ISNUMBER(SEARCH("3EPM",CONFIG_ASIGNATURAS!$C$2:$C$91))),13),"")</f>
      </c>
      <c r="C216">
        <f>IF(B216="","",IFERROR(VLOOKUP(B216,CONFIG_ASIGNATURAS!$B$2:$D$91,3,FALSE()),"Asignatura"))</f>
      </c>
      <c r="D216">
        <f>SUMPRODUCT((nCUENTA=1)*(nCURSO=A216)*(nASIG=B216))</f>
        <v>0</v>
      </c>
      <c r="E216" s="10" t="str">
        <f>IFERROR(SUMPRODUCT((nCUENTA=1)*(nCURSO=A216)*(nASIG=B216)*(nNOTA))/D216,"—")</f>
        <v>—</v>
      </c>
      <c r="F216" s="10" t="str" cm="1">
        <f t="array" ref="F216">IFERROR(_xlfn.STDEV.P(_xlfn._xlws.FILTER(nNOTA,(nCUENTA=1)*(nCURSO=A216)*(nASIG=B216))),"—")</f>
        <v>—</v>
      </c>
      <c r="G216" t="str" cm="1">
        <f t="array" ref="G216">IFERROR(_xlfn.MODE.SNGL(_xlfn._xlws.FILTER(nNOTA,(nCUENTA=1)*(nCURSO=A216)*(nASIG=B216))),"—")</f>
        <v>—</v>
      </c>
      <c r="H216" s="11" t="str">
        <f>IFERROR(SUMPRODUCT((nCUENTA=1)*(nCURSO=A216)*(nASIG=B216)*(nAPTO="S"))/D216,"—")</f>
        <v>—</v>
      </c>
      <c r="I216" s="11" t="str">
        <f>IFERROR(SUMPRODUCT((nCUENTA=1)*(nCURSO=A216)*(nASIG=B216)*(nAPTO="N"))/D216,"—")</f>
        <v>—</v>
      </c>
      <c r="J216" t="str" cm="1">
        <f t="array" ref="J216">IFERROR(_xlfn.MODE.SNGL(_xlfn._xlws.FILTER(nNOTA,(nCUENTA=1)*(nCURSO=A216)*(nASIG=B216)*(nAPTO="S"))),"—")</f>
        <v>—</v>
      </c>
      <c r="K216" t="str" cm="1">
        <f t="array" ref="K216">IFERROR(_xlfn.MODE.SNGL(_xlfn._xlws.FILTER(nNOTA,(nCUENTA=1)*(nCURSO=A216)*(nASIG=B216)*(nAPTO="N"))),"—")</f>
        <v>—</v>
      </c>
      <c r="L216">
        <f>SUMPRODUCT((nCUENTA=1)*(nCURSO=A216)*(nASIG=B216)*(nNOTA=1))</f>
        <v>0</v>
      </c>
      <c r="M216">
        <f>SUMPRODUCT((nCUENTA=1)*(nCURSO=A216)*(nASIG=B216)*(nNOTA=2))</f>
        <v>0</v>
      </c>
      <c r="N216">
        <f>SUMPRODUCT((nCUENTA=1)*(nCURSO=A216)*(nASIG=B216)*(nNOTA=3))</f>
        <v>0</v>
      </c>
      <c r="O216">
        <f>SUMPRODUCT((nCUENTA=1)*(nCURSO=A216)*(nASIG=B216)*(nNOTA=4))</f>
        <v>0</v>
      </c>
      <c r="P216">
        <f>SUMPRODUCT((nCUENTA=1)*(nCURSO=A216)*(nASIG=B216)*(nNOTA=5))</f>
        <v>0</v>
      </c>
      <c r="Q216">
        <f>SUMPRODUCT((nCUENTA=1)*(nCURSO=A216)*(nASIG=B216)*(nNOTA=6))</f>
        <v>0</v>
      </c>
      <c r="R216">
        <f>SUMPRODUCT((nCUENTA=1)*(nCURSO=A216)*(nASIG=B216)*(nNOTA=7))</f>
        <v>0</v>
      </c>
      <c r="S216">
        <f>SUMPRODUCT((nCUENTA=1)*(nCURSO=A216)*(nASIG=B216)*(nNOTA=8))</f>
        <v>0</v>
      </c>
      <c r="T216">
        <f>SUMPRODUCT((nCUENTA=1)*(nCURSO=A216)*(nASIG=B216)*(nNOTA=9))</f>
        <v>0</v>
      </c>
      <c r="U216">
        <f>SUMPRODUCT((nCUENTA=1)*(nCURSO=A216)*(nASIG=B216)*(nNOTA=10))</f>
        <v>0</v>
      </c>
    </row>
    <row r="217">
      <c r="A217" t="inlineStr">
        <is>
          <t xml:space="preserve">3EPM</t>
        </is>
      </c>
      <c r="B217" cm="1">
        <f t="array" ref="B217">IFERROR(INDEX(_xlfn._xlws.FILTER(CONFIG_ASIGNATURAS!$B$2:$B$91,(CONFIG_ASIGNATURAS!$G$2:$G$91="Sí")*ISNUMBER(SEARCH("3EPM",CONFIG_ASIGNATURAS!$C$2:$C$91))),14),"")</f>
      </c>
      <c r="C217">
        <f>IF(B217="","",IFERROR(VLOOKUP(B217,CONFIG_ASIGNATURAS!$B$2:$D$91,3,FALSE()),"Asignatura"))</f>
      </c>
      <c r="D217">
        <f>SUMPRODUCT((nCUENTA=1)*(nCURSO=A217)*(nASIG=B217))</f>
        <v>0</v>
      </c>
      <c r="E217" s="10" t="str">
        <f>IFERROR(SUMPRODUCT((nCUENTA=1)*(nCURSO=A217)*(nASIG=B217)*(nNOTA))/D217,"—")</f>
        <v>—</v>
      </c>
      <c r="F217" s="10" t="str" cm="1">
        <f t="array" ref="F217">IFERROR(_xlfn.STDEV.P(_xlfn._xlws.FILTER(nNOTA,(nCUENTA=1)*(nCURSO=A217)*(nASIG=B217))),"—")</f>
        <v>—</v>
      </c>
      <c r="G217" t="str" cm="1">
        <f t="array" ref="G217">IFERROR(_xlfn.MODE.SNGL(_xlfn._xlws.FILTER(nNOTA,(nCUENTA=1)*(nCURSO=A217)*(nASIG=B217))),"—")</f>
        <v>—</v>
      </c>
      <c r="H217" s="11" t="str">
        <f>IFERROR(SUMPRODUCT((nCUENTA=1)*(nCURSO=A217)*(nASIG=B217)*(nAPTO="S"))/D217,"—")</f>
        <v>—</v>
      </c>
      <c r="I217" s="11" t="str">
        <f>IFERROR(SUMPRODUCT((nCUENTA=1)*(nCURSO=A217)*(nASIG=B217)*(nAPTO="N"))/D217,"—")</f>
        <v>—</v>
      </c>
      <c r="J217" t="str" cm="1">
        <f t="array" ref="J217">IFERROR(_xlfn.MODE.SNGL(_xlfn._xlws.FILTER(nNOTA,(nCUENTA=1)*(nCURSO=A217)*(nASIG=B217)*(nAPTO="S"))),"—")</f>
        <v>—</v>
      </c>
      <c r="K217" t="str" cm="1">
        <f t="array" ref="K217">IFERROR(_xlfn.MODE.SNGL(_xlfn._xlws.FILTER(nNOTA,(nCUENTA=1)*(nCURSO=A217)*(nASIG=B217)*(nAPTO="N"))),"—")</f>
        <v>—</v>
      </c>
      <c r="L217">
        <f>SUMPRODUCT((nCUENTA=1)*(nCURSO=A217)*(nASIG=B217)*(nNOTA=1))</f>
        <v>0</v>
      </c>
      <c r="M217">
        <f>SUMPRODUCT((nCUENTA=1)*(nCURSO=A217)*(nASIG=B217)*(nNOTA=2))</f>
        <v>0</v>
      </c>
      <c r="N217">
        <f>SUMPRODUCT((nCUENTA=1)*(nCURSO=A217)*(nASIG=B217)*(nNOTA=3))</f>
        <v>0</v>
      </c>
      <c r="O217">
        <f>SUMPRODUCT((nCUENTA=1)*(nCURSO=A217)*(nASIG=B217)*(nNOTA=4))</f>
        <v>0</v>
      </c>
      <c r="P217">
        <f>SUMPRODUCT((nCUENTA=1)*(nCURSO=A217)*(nASIG=B217)*(nNOTA=5))</f>
        <v>0</v>
      </c>
      <c r="Q217">
        <f>SUMPRODUCT((nCUENTA=1)*(nCURSO=A217)*(nASIG=B217)*(nNOTA=6))</f>
        <v>0</v>
      </c>
      <c r="R217">
        <f>SUMPRODUCT((nCUENTA=1)*(nCURSO=A217)*(nASIG=B217)*(nNOTA=7))</f>
        <v>0</v>
      </c>
      <c r="S217">
        <f>SUMPRODUCT((nCUENTA=1)*(nCURSO=A217)*(nASIG=B217)*(nNOTA=8))</f>
        <v>0</v>
      </c>
      <c r="T217">
        <f>SUMPRODUCT((nCUENTA=1)*(nCURSO=A217)*(nASIG=B217)*(nNOTA=9))</f>
        <v>0</v>
      </c>
      <c r="U217">
        <f>SUMPRODUCT((nCUENTA=1)*(nCURSO=A217)*(nASIG=B217)*(nNOTA=10))</f>
        <v>0</v>
      </c>
    </row>
    <row r="218">
      <c r="A218" t="inlineStr">
        <is>
          <t xml:space="preserve">3EPM</t>
        </is>
      </c>
      <c r="B218" cm="1">
        <f t="array" ref="B218">IFERROR(INDEX(_xlfn._xlws.FILTER(CONFIG_ASIGNATURAS!$B$2:$B$91,(CONFIG_ASIGNATURAS!$G$2:$G$91="Sí")*ISNUMBER(SEARCH("3EPM",CONFIG_ASIGNATURAS!$C$2:$C$91))),15),"")</f>
      </c>
      <c r="C218">
        <f>IF(B218="","",IFERROR(VLOOKUP(B218,CONFIG_ASIGNATURAS!$B$2:$D$91,3,FALSE()),"Asignatura"))</f>
      </c>
      <c r="D218">
        <f>SUMPRODUCT((nCUENTA=1)*(nCURSO=A218)*(nASIG=B218))</f>
        <v>0</v>
      </c>
      <c r="E218" s="10" t="str">
        <f>IFERROR(SUMPRODUCT((nCUENTA=1)*(nCURSO=A218)*(nASIG=B218)*(nNOTA))/D218,"—")</f>
        <v>—</v>
      </c>
      <c r="F218" s="10" t="str" cm="1">
        <f t="array" ref="F218">IFERROR(_xlfn.STDEV.P(_xlfn._xlws.FILTER(nNOTA,(nCUENTA=1)*(nCURSO=A218)*(nASIG=B218))),"—")</f>
        <v>—</v>
      </c>
      <c r="G218" t="str" cm="1">
        <f t="array" ref="G218">IFERROR(_xlfn.MODE.SNGL(_xlfn._xlws.FILTER(nNOTA,(nCUENTA=1)*(nCURSO=A218)*(nASIG=B218))),"—")</f>
        <v>—</v>
      </c>
      <c r="H218" s="11" t="str">
        <f>IFERROR(SUMPRODUCT((nCUENTA=1)*(nCURSO=A218)*(nASIG=B218)*(nAPTO="S"))/D218,"—")</f>
        <v>—</v>
      </c>
      <c r="I218" s="11" t="str">
        <f>IFERROR(SUMPRODUCT((nCUENTA=1)*(nCURSO=A218)*(nASIG=B218)*(nAPTO="N"))/D218,"—")</f>
        <v>—</v>
      </c>
      <c r="J218" t="str" cm="1">
        <f t="array" ref="J218">IFERROR(_xlfn.MODE.SNGL(_xlfn._xlws.FILTER(nNOTA,(nCUENTA=1)*(nCURSO=A218)*(nASIG=B218)*(nAPTO="S"))),"—")</f>
        <v>—</v>
      </c>
      <c r="K218" t="str" cm="1">
        <f t="array" ref="K218">IFERROR(_xlfn.MODE.SNGL(_xlfn._xlws.FILTER(nNOTA,(nCUENTA=1)*(nCURSO=A218)*(nASIG=B218)*(nAPTO="N"))),"—")</f>
        <v>—</v>
      </c>
      <c r="L218">
        <f>SUMPRODUCT((nCUENTA=1)*(nCURSO=A218)*(nASIG=B218)*(nNOTA=1))</f>
        <v>0</v>
      </c>
      <c r="M218">
        <f>SUMPRODUCT((nCUENTA=1)*(nCURSO=A218)*(nASIG=B218)*(nNOTA=2))</f>
        <v>0</v>
      </c>
      <c r="N218">
        <f>SUMPRODUCT((nCUENTA=1)*(nCURSO=A218)*(nASIG=B218)*(nNOTA=3))</f>
        <v>0</v>
      </c>
      <c r="O218">
        <f>SUMPRODUCT((nCUENTA=1)*(nCURSO=A218)*(nASIG=B218)*(nNOTA=4))</f>
        <v>0</v>
      </c>
      <c r="P218">
        <f>SUMPRODUCT((nCUENTA=1)*(nCURSO=A218)*(nASIG=B218)*(nNOTA=5))</f>
        <v>0</v>
      </c>
      <c r="Q218">
        <f>SUMPRODUCT((nCUENTA=1)*(nCURSO=A218)*(nASIG=B218)*(nNOTA=6))</f>
        <v>0</v>
      </c>
      <c r="R218">
        <f>SUMPRODUCT((nCUENTA=1)*(nCURSO=A218)*(nASIG=B218)*(nNOTA=7))</f>
        <v>0</v>
      </c>
      <c r="S218">
        <f>SUMPRODUCT((nCUENTA=1)*(nCURSO=A218)*(nASIG=B218)*(nNOTA=8))</f>
        <v>0</v>
      </c>
      <c r="T218">
        <f>SUMPRODUCT((nCUENTA=1)*(nCURSO=A218)*(nASIG=B218)*(nNOTA=9))</f>
        <v>0</v>
      </c>
      <c r="U218">
        <f>SUMPRODUCT((nCUENTA=1)*(nCURSO=A218)*(nASIG=B218)*(nNOTA=10))</f>
        <v>0</v>
      </c>
    </row>
    <row r="219">
      <c r="A219" t="inlineStr">
        <is>
          <t xml:space="preserve">3EPM</t>
        </is>
      </c>
      <c r="B219" cm="1">
        <f t="array" ref="B219">IFERROR(INDEX(_xlfn._xlws.FILTER(CONFIG_ASIGNATURAS!$B$2:$B$91,(CONFIG_ASIGNATURAS!$G$2:$G$91="Sí")*ISNUMBER(SEARCH("3EPM",CONFIG_ASIGNATURAS!$C$2:$C$91))),16),"")</f>
      </c>
      <c r="C219">
        <f>IF(B219="","",IFERROR(VLOOKUP(B219,CONFIG_ASIGNATURAS!$B$2:$D$91,3,FALSE()),"Asignatura"))</f>
      </c>
      <c r="D219">
        <f>SUMPRODUCT((nCUENTA=1)*(nCURSO=A219)*(nASIG=B219))</f>
        <v>0</v>
      </c>
      <c r="E219" s="10" t="str">
        <f>IFERROR(SUMPRODUCT((nCUENTA=1)*(nCURSO=A219)*(nASIG=B219)*(nNOTA))/D219,"—")</f>
        <v>—</v>
      </c>
      <c r="F219" s="10" t="str" cm="1">
        <f t="array" ref="F219">IFERROR(_xlfn.STDEV.P(_xlfn._xlws.FILTER(nNOTA,(nCUENTA=1)*(nCURSO=A219)*(nASIG=B219))),"—")</f>
        <v>—</v>
      </c>
      <c r="G219" t="str" cm="1">
        <f t="array" ref="G219">IFERROR(_xlfn.MODE.SNGL(_xlfn._xlws.FILTER(nNOTA,(nCUENTA=1)*(nCURSO=A219)*(nASIG=B219))),"—")</f>
        <v>—</v>
      </c>
      <c r="H219" s="11" t="str">
        <f>IFERROR(SUMPRODUCT((nCUENTA=1)*(nCURSO=A219)*(nASIG=B219)*(nAPTO="S"))/D219,"—")</f>
        <v>—</v>
      </c>
      <c r="I219" s="11" t="str">
        <f>IFERROR(SUMPRODUCT((nCUENTA=1)*(nCURSO=A219)*(nASIG=B219)*(nAPTO="N"))/D219,"—")</f>
        <v>—</v>
      </c>
      <c r="J219" t="str" cm="1">
        <f t="array" ref="J219">IFERROR(_xlfn.MODE.SNGL(_xlfn._xlws.FILTER(nNOTA,(nCUENTA=1)*(nCURSO=A219)*(nASIG=B219)*(nAPTO="S"))),"—")</f>
        <v>—</v>
      </c>
      <c r="K219" t="str" cm="1">
        <f t="array" ref="K219">IFERROR(_xlfn.MODE.SNGL(_xlfn._xlws.FILTER(nNOTA,(nCUENTA=1)*(nCURSO=A219)*(nASIG=B219)*(nAPTO="N"))),"—")</f>
        <v>—</v>
      </c>
      <c r="L219">
        <f>SUMPRODUCT((nCUENTA=1)*(nCURSO=A219)*(nASIG=B219)*(nNOTA=1))</f>
        <v>0</v>
      </c>
      <c r="M219">
        <f>SUMPRODUCT((nCUENTA=1)*(nCURSO=A219)*(nASIG=B219)*(nNOTA=2))</f>
        <v>0</v>
      </c>
      <c r="N219">
        <f>SUMPRODUCT((nCUENTA=1)*(nCURSO=A219)*(nASIG=B219)*(nNOTA=3))</f>
        <v>0</v>
      </c>
      <c r="O219">
        <f>SUMPRODUCT((nCUENTA=1)*(nCURSO=A219)*(nASIG=B219)*(nNOTA=4))</f>
        <v>0</v>
      </c>
      <c r="P219">
        <f>SUMPRODUCT((nCUENTA=1)*(nCURSO=A219)*(nASIG=B219)*(nNOTA=5))</f>
        <v>0</v>
      </c>
      <c r="Q219">
        <f>SUMPRODUCT((nCUENTA=1)*(nCURSO=A219)*(nASIG=B219)*(nNOTA=6))</f>
        <v>0</v>
      </c>
      <c r="R219">
        <f>SUMPRODUCT((nCUENTA=1)*(nCURSO=A219)*(nASIG=B219)*(nNOTA=7))</f>
        <v>0</v>
      </c>
      <c r="S219">
        <f>SUMPRODUCT((nCUENTA=1)*(nCURSO=A219)*(nASIG=B219)*(nNOTA=8))</f>
        <v>0</v>
      </c>
      <c r="T219">
        <f>SUMPRODUCT((nCUENTA=1)*(nCURSO=A219)*(nASIG=B219)*(nNOTA=9))</f>
        <v>0</v>
      </c>
      <c r="U219">
        <f>SUMPRODUCT((nCUENTA=1)*(nCURSO=A219)*(nASIG=B219)*(nNOTA=10))</f>
        <v>0</v>
      </c>
    </row>
    <row r="220">
      <c r="A220" t="inlineStr">
        <is>
          <t xml:space="preserve">3EPM</t>
        </is>
      </c>
      <c r="B220" cm="1">
        <f t="array" ref="B220">IFERROR(INDEX(_xlfn._xlws.FILTER(CONFIG_ASIGNATURAS!$B$2:$B$91,(CONFIG_ASIGNATURAS!$G$2:$G$91="Sí")*ISNUMBER(SEARCH("3EPM",CONFIG_ASIGNATURAS!$C$2:$C$91))),17),"")</f>
      </c>
      <c r="C220">
        <f>IF(B220="","",IFERROR(VLOOKUP(B220,CONFIG_ASIGNATURAS!$B$2:$D$91,3,FALSE()),"Asignatura"))</f>
      </c>
      <c r="D220">
        <f>SUMPRODUCT((nCUENTA=1)*(nCURSO=A220)*(nASIG=B220))</f>
        <v>0</v>
      </c>
      <c r="E220" s="10" t="str">
        <f>IFERROR(SUMPRODUCT((nCUENTA=1)*(nCURSO=A220)*(nASIG=B220)*(nNOTA))/D220,"—")</f>
        <v>—</v>
      </c>
      <c r="F220" s="10" t="str" cm="1">
        <f t="array" ref="F220">IFERROR(_xlfn.STDEV.P(_xlfn._xlws.FILTER(nNOTA,(nCUENTA=1)*(nCURSO=A220)*(nASIG=B220))),"—")</f>
        <v>—</v>
      </c>
      <c r="G220" t="str" cm="1">
        <f t="array" ref="G220">IFERROR(_xlfn.MODE.SNGL(_xlfn._xlws.FILTER(nNOTA,(nCUENTA=1)*(nCURSO=A220)*(nASIG=B220))),"—")</f>
        <v>—</v>
      </c>
      <c r="H220" s="11" t="str">
        <f>IFERROR(SUMPRODUCT((nCUENTA=1)*(nCURSO=A220)*(nASIG=B220)*(nAPTO="S"))/D220,"—")</f>
        <v>—</v>
      </c>
      <c r="I220" s="11" t="str">
        <f>IFERROR(SUMPRODUCT((nCUENTA=1)*(nCURSO=A220)*(nASIG=B220)*(nAPTO="N"))/D220,"—")</f>
        <v>—</v>
      </c>
      <c r="J220" t="str" cm="1">
        <f t="array" ref="J220">IFERROR(_xlfn.MODE.SNGL(_xlfn._xlws.FILTER(nNOTA,(nCUENTA=1)*(nCURSO=A220)*(nASIG=B220)*(nAPTO="S"))),"—")</f>
        <v>—</v>
      </c>
      <c r="K220" t="str" cm="1">
        <f t="array" ref="K220">IFERROR(_xlfn.MODE.SNGL(_xlfn._xlws.FILTER(nNOTA,(nCUENTA=1)*(nCURSO=A220)*(nASIG=B220)*(nAPTO="N"))),"—")</f>
        <v>—</v>
      </c>
      <c r="L220">
        <f>SUMPRODUCT((nCUENTA=1)*(nCURSO=A220)*(nASIG=B220)*(nNOTA=1))</f>
        <v>0</v>
      </c>
      <c r="M220">
        <f>SUMPRODUCT((nCUENTA=1)*(nCURSO=A220)*(nASIG=B220)*(nNOTA=2))</f>
        <v>0</v>
      </c>
      <c r="N220">
        <f>SUMPRODUCT((nCUENTA=1)*(nCURSO=A220)*(nASIG=B220)*(nNOTA=3))</f>
        <v>0</v>
      </c>
      <c r="O220">
        <f>SUMPRODUCT((nCUENTA=1)*(nCURSO=A220)*(nASIG=B220)*(nNOTA=4))</f>
        <v>0</v>
      </c>
      <c r="P220">
        <f>SUMPRODUCT((nCUENTA=1)*(nCURSO=A220)*(nASIG=B220)*(nNOTA=5))</f>
        <v>0</v>
      </c>
      <c r="Q220">
        <f>SUMPRODUCT((nCUENTA=1)*(nCURSO=A220)*(nASIG=B220)*(nNOTA=6))</f>
        <v>0</v>
      </c>
      <c r="R220">
        <f>SUMPRODUCT((nCUENTA=1)*(nCURSO=A220)*(nASIG=B220)*(nNOTA=7))</f>
        <v>0</v>
      </c>
      <c r="S220">
        <f>SUMPRODUCT((nCUENTA=1)*(nCURSO=A220)*(nASIG=B220)*(nNOTA=8))</f>
        <v>0</v>
      </c>
      <c r="T220">
        <f>SUMPRODUCT((nCUENTA=1)*(nCURSO=A220)*(nASIG=B220)*(nNOTA=9))</f>
        <v>0</v>
      </c>
      <c r="U220">
        <f>SUMPRODUCT((nCUENTA=1)*(nCURSO=A220)*(nASIG=B220)*(nNOTA=10))</f>
        <v>0</v>
      </c>
    </row>
    <row r="221">
      <c r="A221" t="inlineStr">
        <is>
          <t xml:space="preserve">3EPM</t>
        </is>
      </c>
      <c r="B221" cm="1">
        <f t="array" ref="B221">IFERROR(INDEX(_xlfn._xlws.FILTER(CONFIG_ASIGNATURAS!$B$2:$B$91,(CONFIG_ASIGNATURAS!$G$2:$G$91="Sí")*ISNUMBER(SEARCH("3EPM",CONFIG_ASIGNATURAS!$C$2:$C$91))),18),"")</f>
      </c>
      <c r="C221">
        <f>IF(B221="","",IFERROR(VLOOKUP(B221,CONFIG_ASIGNATURAS!$B$2:$D$91,3,FALSE()),"Asignatura"))</f>
      </c>
      <c r="D221">
        <f>SUMPRODUCT((nCUENTA=1)*(nCURSO=A221)*(nASIG=B221))</f>
        <v>0</v>
      </c>
      <c r="E221" s="10" t="str">
        <f>IFERROR(SUMPRODUCT((nCUENTA=1)*(nCURSO=A221)*(nASIG=B221)*(nNOTA))/D221,"—")</f>
        <v>—</v>
      </c>
      <c r="F221" s="10" t="str" cm="1">
        <f t="array" ref="F221">IFERROR(_xlfn.STDEV.P(_xlfn._xlws.FILTER(nNOTA,(nCUENTA=1)*(nCURSO=A221)*(nASIG=B221))),"—")</f>
        <v>—</v>
      </c>
      <c r="G221" t="str" cm="1">
        <f t="array" ref="G221">IFERROR(_xlfn.MODE.SNGL(_xlfn._xlws.FILTER(nNOTA,(nCUENTA=1)*(nCURSO=A221)*(nASIG=B221))),"—")</f>
        <v>—</v>
      </c>
      <c r="H221" s="11" t="str">
        <f>IFERROR(SUMPRODUCT((nCUENTA=1)*(nCURSO=A221)*(nASIG=B221)*(nAPTO="S"))/D221,"—")</f>
        <v>—</v>
      </c>
      <c r="I221" s="11" t="str">
        <f>IFERROR(SUMPRODUCT((nCUENTA=1)*(nCURSO=A221)*(nASIG=B221)*(nAPTO="N"))/D221,"—")</f>
        <v>—</v>
      </c>
      <c r="J221" t="str" cm="1">
        <f t="array" ref="J221">IFERROR(_xlfn.MODE.SNGL(_xlfn._xlws.FILTER(nNOTA,(nCUENTA=1)*(nCURSO=A221)*(nASIG=B221)*(nAPTO="S"))),"—")</f>
        <v>—</v>
      </c>
      <c r="K221" t="str" cm="1">
        <f t="array" ref="K221">IFERROR(_xlfn.MODE.SNGL(_xlfn._xlws.FILTER(nNOTA,(nCUENTA=1)*(nCURSO=A221)*(nASIG=B221)*(nAPTO="N"))),"—")</f>
        <v>—</v>
      </c>
      <c r="L221">
        <f>SUMPRODUCT((nCUENTA=1)*(nCURSO=A221)*(nASIG=B221)*(nNOTA=1))</f>
        <v>0</v>
      </c>
      <c r="M221">
        <f>SUMPRODUCT((nCUENTA=1)*(nCURSO=A221)*(nASIG=B221)*(nNOTA=2))</f>
        <v>0</v>
      </c>
      <c r="N221">
        <f>SUMPRODUCT((nCUENTA=1)*(nCURSO=A221)*(nASIG=B221)*(nNOTA=3))</f>
        <v>0</v>
      </c>
      <c r="O221">
        <f>SUMPRODUCT((nCUENTA=1)*(nCURSO=A221)*(nASIG=B221)*(nNOTA=4))</f>
        <v>0</v>
      </c>
      <c r="P221">
        <f>SUMPRODUCT((nCUENTA=1)*(nCURSO=A221)*(nASIG=B221)*(nNOTA=5))</f>
        <v>0</v>
      </c>
      <c r="Q221">
        <f>SUMPRODUCT((nCUENTA=1)*(nCURSO=A221)*(nASIG=B221)*(nNOTA=6))</f>
        <v>0</v>
      </c>
      <c r="R221">
        <f>SUMPRODUCT((nCUENTA=1)*(nCURSO=A221)*(nASIG=B221)*(nNOTA=7))</f>
        <v>0</v>
      </c>
      <c r="S221">
        <f>SUMPRODUCT((nCUENTA=1)*(nCURSO=A221)*(nASIG=B221)*(nNOTA=8))</f>
        <v>0</v>
      </c>
      <c r="T221">
        <f>SUMPRODUCT((nCUENTA=1)*(nCURSO=A221)*(nASIG=B221)*(nNOTA=9))</f>
        <v>0</v>
      </c>
      <c r="U221">
        <f>SUMPRODUCT((nCUENTA=1)*(nCURSO=A221)*(nASIG=B221)*(nNOTA=10))</f>
        <v>0</v>
      </c>
    </row>
    <row r="222">
      <c r="A222" t="inlineStr">
        <is>
          <t xml:space="preserve">3EPM</t>
        </is>
      </c>
      <c r="B222" cm="1">
        <f t="array" ref="B222">IFERROR(INDEX(_xlfn._xlws.FILTER(CONFIG_ASIGNATURAS!$B$2:$B$91,(CONFIG_ASIGNATURAS!$G$2:$G$91="Sí")*ISNUMBER(SEARCH("3EPM",CONFIG_ASIGNATURAS!$C$2:$C$91))),19),"")</f>
      </c>
      <c r="C222">
        <f>IF(B222="","",IFERROR(VLOOKUP(B222,CONFIG_ASIGNATURAS!$B$2:$D$91,3,FALSE()),"Asignatura"))</f>
      </c>
      <c r="D222">
        <f>SUMPRODUCT((nCUENTA=1)*(nCURSO=A222)*(nASIG=B222))</f>
        <v>0</v>
      </c>
      <c r="E222" s="10" t="str">
        <f>IFERROR(SUMPRODUCT((nCUENTA=1)*(nCURSO=A222)*(nASIG=B222)*(nNOTA))/D222,"—")</f>
        <v>—</v>
      </c>
      <c r="F222" s="10" t="str" cm="1">
        <f t="array" ref="F222">IFERROR(_xlfn.STDEV.P(_xlfn._xlws.FILTER(nNOTA,(nCUENTA=1)*(nCURSO=A222)*(nASIG=B222))),"—")</f>
        <v>—</v>
      </c>
      <c r="G222" t="str" cm="1">
        <f t="array" ref="G222">IFERROR(_xlfn.MODE.SNGL(_xlfn._xlws.FILTER(nNOTA,(nCUENTA=1)*(nCURSO=A222)*(nASIG=B222))),"—")</f>
        <v>—</v>
      </c>
      <c r="H222" s="11" t="str">
        <f>IFERROR(SUMPRODUCT((nCUENTA=1)*(nCURSO=A222)*(nASIG=B222)*(nAPTO="S"))/D222,"—")</f>
        <v>—</v>
      </c>
      <c r="I222" s="11" t="str">
        <f>IFERROR(SUMPRODUCT((nCUENTA=1)*(nCURSO=A222)*(nASIG=B222)*(nAPTO="N"))/D222,"—")</f>
        <v>—</v>
      </c>
      <c r="J222" t="str" cm="1">
        <f t="array" ref="J222">IFERROR(_xlfn.MODE.SNGL(_xlfn._xlws.FILTER(nNOTA,(nCUENTA=1)*(nCURSO=A222)*(nASIG=B222)*(nAPTO="S"))),"—")</f>
        <v>—</v>
      </c>
      <c r="K222" t="str" cm="1">
        <f t="array" ref="K222">IFERROR(_xlfn.MODE.SNGL(_xlfn._xlws.FILTER(nNOTA,(nCUENTA=1)*(nCURSO=A222)*(nASIG=B222)*(nAPTO="N"))),"—")</f>
        <v>—</v>
      </c>
      <c r="L222">
        <f>SUMPRODUCT((nCUENTA=1)*(nCURSO=A222)*(nASIG=B222)*(nNOTA=1))</f>
        <v>0</v>
      </c>
      <c r="M222">
        <f>SUMPRODUCT((nCUENTA=1)*(nCURSO=A222)*(nASIG=B222)*(nNOTA=2))</f>
        <v>0</v>
      </c>
      <c r="N222">
        <f>SUMPRODUCT((nCUENTA=1)*(nCURSO=A222)*(nASIG=B222)*(nNOTA=3))</f>
        <v>0</v>
      </c>
      <c r="O222">
        <f>SUMPRODUCT((nCUENTA=1)*(nCURSO=A222)*(nASIG=B222)*(nNOTA=4))</f>
        <v>0</v>
      </c>
      <c r="P222">
        <f>SUMPRODUCT((nCUENTA=1)*(nCURSO=A222)*(nASIG=B222)*(nNOTA=5))</f>
        <v>0</v>
      </c>
      <c r="Q222">
        <f>SUMPRODUCT((nCUENTA=1)*(nCURSO=A222)*(nASIG=B222)*(nNOTA=6))</f>
        <v>0</v>
      </c>
      <c r="R222">
        <f>SUMPRODUCT((nCUENTA=1)*(nCURSO=A222)*(nASIG=B222)*(nNOTA=7))</f>
        <v>0</v>
      </c>
      <c r="S222">
        <f>SUMPRODUCT((nCUENTA=1)*(nCURSO=A222)*(nASIG=B222)*(nNOTA=8))</f>
        <v>0</v>
      </c>
      <c r="T222">
        <f>SUMPRODUCT((nCUENTA=1)*(nCURSO=A222)*(nASIG=B222)*(nNOTA=9))</f>
        <v>0</v>
      </c>
      <c r="U222">
        <f>SUMPRODUCT((nCUENTA=1)*(nCURSO=A222)*(nASIG=B222)*(nNOTA=10))</f>
        <v>0</v>
      </c>
    </row>
    <row r="223">
      <c r="A223" t="inlineStr">
        <is>
          <t xml:space="preserve">3EPM</t>
        </is>
      </c>
      <c r="B223" cm="1">
        <f t="array" ref="B223">IFERROR(INDEX(_xlfn._xlws.FILTER(CONFIG_ASIGNATURAS!$B$2:$B$91,(CONFIG_ASIGNATURAS!$G$2:$G$91="Sí")*ISNUMBER(SEARCH("3EPM",CONFIG_ASIGNATURAS!$C$2:$C$91))),20),"")</f>
      </c>
      <c r="C223">
        <f>IF(B223="","",IFERROR(VLOOKUP(B223,CONFIG_ASIGNATURAS!$B$2:$D$91,3,FALSE()),"Asignatura"))</f>
      </c>
      <c r="D223">
        <f>SUMPRODUCT((nCUENTA=1)*(nCURSO=A223)*(nASIG=B223))</f>
        <v>0</v>
      </c>
      <c r="E223" s="10" t="str">
        <f>IFERROR(SUMPRODUCT((nCUENTA=1)*(nCURSO=A223)*(nASIG=B223)*(nNOTA))/D223,"—")</f>
        <v>—</v>
      </c>
      <c r="F223" s="10" t="str" cm="1">
        <f t="array" ref="F223">IFERROR(_xlfn.STDEV.P(_xlfn._xlws.FILTER(nNOTA,(nCUENTA=1)*(nCURSO=A223)*(nASIG=B223))),"—")</f>
        <v>—</v>
      </c>
      <c r="G223" t="str" cm="1">
        <f t="array" ref="G223">IFERROR(_xlfn.MODE.SNGL(_xlfn._xlws.FILTER(nNOTA,(nCUENTA=1)*(nCURSO=A223)*(nASIG=B223))),"—")</f>
        <v>—</v>
      </c>
      <c r="H223" s="11" t="str">
        <f>IFERROR(SUMPRODUCT((nCUENTA=1)*(nCURSO=A223)*(nASIG=B223)*(nAPTO="S"))/D223,"—")</f>
        <v>—</v>
      </c>
      <c r="I223" s="11" t="str">
        <f>IFERROR(SUMPRODUCT((nCUENTA=1)*(nCURSO=A223)*(nASIG=B223)*(nAPTO="N"))/D223,"—")</f>
        <v>—</v>
      </c>
      <c r="J223" t="str" cm="1">
        <f t="array" ref="J223">IFERROR(_xlfn.MODE.SNGL(_xlfn._xlws.FILTER(nNOTA,(nCUENTA=1)*(nCURSO=A223)*(nASIG=B223)*(nAPTO="S"))),"—")</f>
        <v>—</v>
      </c>
      <c r="K223" t="str" cm="1">
        <f t="array" ref="K223">IFERROR(_xlfn.MODE.SNGL(_xlfn._xlws.FILTER(nNOTA,(nCUENTA=1)*(nCURSO=A223)*(nASIG=B223)*(nAPTO="N"))),"—")</f>
        <v>—</v>
      </c>
      <c r="L223">
        <f>SUMPRODUCT((nCUENTA=1)*(nCURSO=A223)*(nASIG=B223)*(nNOTA=1))</f>
        <v>0</v>
      </c>
      <c r="M223">
        <f>SUMPRODUCT((nCUENTA=1)*(nCURSO=A223)*(nASIG=B223)*(nNOTA=2))</f>
        <v>0</v>
      </c>
      <c r="N223">
        <f>SUMPRODUCT((nCUENTA=1)*(nCURSO=A223)*(nASIG=B223)*(nNOTA=3))</f>
        <v>0</v>
      </c>
      <c r="O223">
        <f>SUMPRODUCT((nCUENTA=1)*(nCURSO=A223)*(nASIG=B223)*(nNOTA=4))</f>
        <v>0</v>
      </c>
      <c r="P223">
        <f>SUMPRODUCT((nCUENTA=1)*(nCURSO=A223)*(nASIG=B223)*(nNOTA=5))</f>
        <v>0</v>
      </c>
      <c r="Q223">
        <f>SUMPRODUCT((nCUENTA=1)*(nCURSO=A223)*(nASIG=B223)*(nNOTA=6))</f>
        <v>0</v>
      </c>
      <c r="R223">
        <f>SUMPRODUCT((nCUENTA=1)*(nCURSO=A223)*(nASIG=B223)*(nNOTA=7))</f>
        <v>0</v>
      </c>
      <c r="S223">
        <f>SUMPRODUCT((nCUENTA=1)*(nCURSO=A223)*(nASIG=B223)*(nNOTA=8))</f>
        <v>0</v>
      </c>
      <c r="T223">
        <f>SUMPRODUCT((nCUENTA=1)*(nCURSO=A223)*(nASIG=B223)*(nNOTA=9))</f>
        <v>0</v>
      </c>
      <c r="U223">
        <f>SUMPRODUCT((nCUENTA=1)*(nCURSO=A223)*(nASIG=B223)*(nNOTA=10))</f>
        <v>0</v>
      </c>
    </row>
    <row r="224">
      <c r="A224" t="inlineStr">
        <is>
          <t xml:space="preserve">3EPM</t>
        </is>
      </c>
      <c r="B224" cm="1">
        <f t="array" ref="B224">IFERROR(INDEX(_xlfn._xlws.FILTER(CONFIG_ASIGNATURAS!$B$2:$B$91,(CONFIG_ASIGNATURAS!$G$2:$G$91="Sí")*ISNUMBER(SEARCH("3EPM",CONFIG_ASIGNATURAS!$C$2:$C$91))),21),"")</f>
      </c>
      <c r="C224">
        <f>IF(B224="","",IFERROR(VLOOKUP(B224,CONFIG_ASIGNATURAS!$B$2:$D$91,3,FALSE()),"Asignatura"))</f>
      </c>
      <c r="D224">
        <f>SUMPRODUCT((nCUENTA=1)*(nCURSO=A224)*(nASIG=B224))</f>
        <v>0</v>
      </c>
      <c r="E224" s="10" t="str">
        <f>IFERROR(SUMPRODUCT((nCUENTA=1)*(nCURSO=A224)*(nASIG=B224)*(nNOTA))/D224,"—")</f>
        <v>—</v>
      </c>
      <c r="F224" s="10" t="str" cm="1">
        <f t="array" ref="F224">IFERROR(_xlfn.STDEV.P(_xlfn._xlws.FILTER(nNOTA,(nCUENTA=1)*(nCURSO=A224)*(nASIG=B224))),"—")</f>
        <v>—</v>
      </c>
      <c r="G224" t="str" cm="1">
        <f t="array" ref="G224">IFERROR(_xlfn.MODE.SNGL(_xlfn._xlws.FILTER(nNOTA,(nCUENTA=1)*(nCURSO=A224)*(nASIG=B224))),"—")</f>
        <v>—</v>
      </c>
      <c r="H224" s="11" t="str">
        <f>IFERROR(SUMPRODUCT((nCUENTA=1)*(nCURSO=A224)*(nASIG=B224)*(nAPTO="S"))/D224,"—")</f>
        <v>—</v>
      </c>
      <c r="I224" s="11" t="str">
        <f>IFERROR(SUMPRODUCT((nCUENTA=1)*(nCURSO=A224)*(nASIG=B224)*(nAPTO="N"))/D224,"—")</f>
        <v>—</v>
      </c>
      <c r="J224" t="str" cm="1">
        <f t="array" ref="J224">IFERROR(_xlfn.MODE.SNGL(_xlfn._xlws.FILTER(nNOTA,(nCUENTA=1)*(nCURSO=A224)*(nASIG=B224)*(nAPTO="S"))),"—")</f>
        <v>—</v>
      </c>
      <c r="K224" t="str" cm="1">
        <f t="array" ref="K224">IFERROR(_xlfn.MODE.SNGL(_xlfn._xlws.FILTER(nNOTA,(nCUENTA=1)*(nCURSO=A224)*(nASIG=B224)*(nAPTO="N"))),"—")</f>
        <v>—</v>
      </c>
      <c r="L224">
        <f>SUMPRODUCT((nCUENTA=1)*(nCURSO=A224)*(nASIG=B224)*(nNOTA=1))</f>
        <v>0</v>
      </c>
      <c r="M224">
        <f>SUMPRODUCT((nCUENTA=1)*(nCURSO=A224)*(nASIG=B224)*(nNOTA=2))</f>
        <v>0</v>
      </c>
      <c r="N224">
        <f>SUMPRODUCT((nCUENTA=1)*(nCURSO=A224)*(nASIG=B224)*(nNOTA=3))</f>
        <v>0</v>
      </c>
      <c r="O224">
        <f>SUMPRODUCT((nCUENTA=1)*(nCURSO=A224)*(nASIG=B224)*(nNOTA=4))</f>
        <v>0</v>
      </c>
      <c r="P224">
        <f>SUMPRODUCT((nCUENTA=1)*(nCURSO=A224)*(nASIG=B224)*(nNOTA=5))</f>
        <v>0</v>
      </c>
      <c r="Q224">
        <f>SUMPRODUCT((nCUENTA=1)*(nCURSO=A224)*(nASIG=B224)*(nNOTA=6))</f>
        <v>0</v>
      </c>
      <c r="R224">
        <f>SUMPRODUCT((nCUENTA=1)*(nCURSO=A224)*(nASIG=B224)*(nNOTA=7))</f>
        <v>0</v>
      </c>
      <c r="S224">
        <f>SUMPRODUCT((nCUENTA=1)*(nCURSO=A224)*(nASIG=B224)*(nNOTA=8))</f>
        <v>0</v>
      </c>
      <c r="T224">
        <f>SUMPRODUCT((nCUENTA=1)*(nCURSO=A224)*(nASIG=B224)*(nNOTA=9))</f>
        <v>0</v>
      </c>
      <c r="U224">
        <f>SUMPRODUCT((nCUENTA=1)*(nCURSO=A224)*(nASIG=B224)*(nNOTA=10))</f>
        <v>0</v>
      </c>
    </row>
    <row r="225">
      <c r="A225" t="inlineStr">
        <is>
          <t xml:space="preserve">3EPM</t>
        </is>
      </c>
      <c r="B225" cm="1">
        <f t="array" ref="B225">IFERROR(INDEX(_xlfn._xlws.FILTER(CONFIG_ASIGNATURAS!$B$2:$B$91,(CONFIG_ASIGNATURAS!$G$2:$G$91="Sí")*ISNUMBER(SEARCH("3EPM",CONFIG_ASIGNATURAS!$C$2:$C$91))),22),"")</f>
      </c>
      <c r="C225">
        <f>IF(B225="","",IFERROR(VLOOKUP(B225,CONFIG_ASIGNATURAS!$B$2:$D$91,3,FALSE()),"Asignatura"))</f>
      </c>
      <c r="D225">
        <f>SUMPRODUCT((nCUENTA=1)*(nCURSO=A225)*(nASIG=B225))</f>
        <v>0</v>
      </c>
      <c r="E225" s="10" t="str">
        <f>IFERROR(SUMPRODUCT((nCUENTA=1)*(nCURSO=A225)*(nASIG=B225)*(nNOTA))/D225,"—")</f>
        <v>—</v>
      </c>
      <c r="F225" s="10" t="str" cm="1">
        <f t="array" ref="F225">IFERROR(_xlfn.STDEV.P(_xlfn._xlws.FILTER(nNOTA,(nCUENTA=1)*(nCURSO=A225)*(nASIG=B225))),"—")</f>
        <v>—</v>
      </c>
      <c r="G225" t="str" cm="1">
        <f t="array" ref="G225">IFERROR(_xlfn.MODE.SNGL(_xlfn._xlws.FILTER(nNOTA,(nCUENTA=1)*(nCURSO=A225)*(nASIG=B225))),"—")</f>
        <v>—</v>
      </c>
      <c r="H225" s="11" t="str">
        <f>IFERROR(SUMPRODUCT((nCUENTA=1)*(nCURSO=A225)*(nASIG=B225)*(nAPTO="S"))/D225,"—")</f>
        <v>—</v>
      </c>
      <c r="I225" s="11" t="str">
        <f>IFERROR(SUMPRODUCT((nCUENTA=1)*(nCURSO=A225)*(nASIG=B225)*(nAPTO="N"))/D225,"—")</f>
        <v>—</v>
      </c>
      <c r="J225" t="str" cm="1">
        <f t="array" ref="J225">IFERROR(_xlfn.MODE.SNGL(_xlfn._xlws.FILTER(nNOTA,(nCUENTA=1)*(nCURSO=A225)*(nASIG=B225)*(nAPTO="S"))),"—")</f>
        <v>—</v>
      </c>
      <c r="K225" t="str" cm="1">
        <f t="array" ref="K225">IFERROR(_xlfn.MODE.SNGL(_xlfn._xlws.FILTER(nNOTA,(nCUENTA=1)*(nCURSO=A225)*(nASIG=B225)*(nAPTO="N"))),"—")</f>
        <v>—</v>
      </c>
      <c r="L225">
        <f>SUMPRODUCT((nCUENTA=1)*(nCURSO=A225)*(nASIG=B225)*(nNOTA=1))</f>
        <v>0</v>
      </c>
      <c r="M225">
        <f>SUMPRODUCT((nCUENTA=1)*(nCURSO=A225)*(nASIG=B225)*(nNOTA=2))</f>
        <v>0</v>
      </c>
      <c r="N225">
        <f>SUMPRODUCT((nCUENTA=1)*(nCURSO=A225)*(nASIG=B225)*(nNOTA=3))</f>
        <v>0</v>
      </c>
      <c r="O225">
        <f>SUMPRODUCT((nCUENTA=1)*(nCURSO=A225)*(nASIG=B225)*(nNOTA=4))</f>
        <v>0</v>
      </c>
      <c r="P225">
        <f>SUMPRODUCT((nCUENTA=1)*(nCURSO=A225)*(nASIG=B225)*(nNOTA=5))</f>
        <v>0</v>
      </c>
      <c r="Q225">
        <f>SUMPRODUCT((nCUENTA=1)*(nCURSO=A225)*(nASIG=B225)*(nNOTA=6))</f>
        <v>0</v>
      </c>
      <c r="R225">
        <f>SUMPRODUCT((nCUENTA=1)*(nCURSO=A225)*(nASIG=B225)*(nNOTA=7))</f>
        <v>0</v>
      </c>
      <c r="S225">
        <f>SUMPRODUCT((nCUENTA=1)*(nCURSO=A225)*(nASIG=B225)*(nNOTA=8))</f>
        <v>0</v>
      </c>
      <c r="T225">
        <f>SUMPRODUCT((nCUENTA=1)*(nCURSO=A225)*(nASIG=B225)*(nNOTA=9))</f>
        <v>0</v>
      </c>
      <c r="U225">
        <f>SUMPRODUCT((nCUENTA=1)*(nCURSO=A225)*(nASIG=B225)*(nNOTA=10))</f>
        <v>0</v>
      </c>
    </row>
    <row r="226">
      <c r="A226" t="inlineStr">
        <is>
          <t xml:space="preserve">3EPM</t>
        </is>
      </c>
      <c r="B226" cm="1">
        <f t="array" ref="B226">IFERROR(INDEX(_xlfn._xlws.FILTER(CONFIG_ASIGNATURAS!$B$2:$B$91,(CONFIG_ASIGNATURAS!$G$2:$G$91="Sí")*ISNUMBER(SEARCH("3EPM",CONFIG_ASIGNATURAS!$C$2:$C$91))),23),"")</f>
      </c>
      <c r="C226">
        <f>IF(B226="","",IFERROR(VLOOKUP(B226,CONFIG_ASIGNATURAS!$B$2:$D$91,3,FALSE()),"Asignatura"))</f>
      </c>
      <c r="D226">
        <f>SUMPRODUCT((nCUENTA=1)*(nCURSO=A226)*(nASIG=B226))</f>
        <v>0</v>
      </c>
      <c r="E226" s="10" t="str">
        <f>IFERROR(SUMPRODUCT((nCUENTA=1)*(nCURSO=A226)*(nASIG=B226)*(nNOTA))/D226,"—")</f>
        <v>—</v>
      </c>
      <c r="F226" s="10" t="str" cm="1">
        <f t="array" ref="F226">IFERROR(_xlfn.STDEV.P(_xlfn._xlws.FILTER(nNOTA,(nCUENTA=1)*(nCURSO=A226)*(nASIG=B226))),"—")</f>
        <v>—</v>
      </c>
      <c r="G226" t="str" cm="1">
        <f t="array" ref="G226">IFERROR(_xlfn.MODE.SNGL(_xlfn._xlws.FILTER(nNOTA,(nCUENTA=1)*(nCURSO=A226)*(nASIG=B226))),"—")</f>
        <v>—</v>
      </c>
      <c r="H226" s="11" t="str">
        <f>IFERROR(SUMPRODUCT((nCUENTA=1)*(nCURSO=A226)*(nASIG=B226)*(nAPTO="S"))/D226,"—")</f>
        <v>—</v>
      </c>
      <c r="I226" s="11" t="str">
        <f>IFERROR(SUMPRODUCT((nCUENTA=1)*(nCURSO=A226)*(nASIG=B226)*(nAPTO="N"))/D226,"—")</f>
        <v>—</v>
      </c>
      <c r="J226" t="str" cm="1">
        <f t="array" ref="J226">IFERROR(_xlfn.MODE.SNGL(_xlfn._xlws.FILTER(nNOTA,(nCUENTA=1)*(nCURSO=A226)*(nASIG=B226)*(nAPTO="S"))),"—")</f>
        <v>—</v>
      </c>
      <c r="K226" t="str" cm="1">
        <f t="array" ref="K226">IFERROR(_xlfn.MODE.SNGL(_xlfn._xlws.FILTER(nNOTA,(nCUENTA=1)*(nCURSO=A226)*(nASIG=B226)*(nAPTO="N"))),"—")</f>
        <v>—</v>
      </c>
      <c r="L226">
        <f>SUMPRODUCT((nCUENTA=1)*(nCURSO=A226)*(nASIG=B226)*(nNOTA=1))</f>
        <v>0</v>
      </c>
      <c r="M226">
        <f>SUMPRODUCT((nCUENTA=1)*(nCURSO=A226)*(nASIG=B226)*(nNOTA=2))</f>
        <v>0</v>
      </c>
      <c r="N226">
        <f>SUMPRODUCT((nCUENTA=1)*(nCURSO=A226)*(nASIG=B226)*(nNOTA=3))</f>
        <v>0</v>
      </c>
      <c r="O226">
        <f>SUMPRODUCT((nCUENTA=1)*(nCURSO=A226)*(nASIG=B226)*(nNOTA=4))</f>
        <v>0</v>
      </c>
      <c r="P226">
        <f>SUMPRODUCT((nCUENTA=1)*(nCURSO=A226)*(nASIG=B226)*(nNOTA=5))</f>
        <v>0</v>
      </c>
      <c r="Q226">
        <f>SUMPRODUCT((nCUENTA=1)*(nCURSO=A226)*(nASIG=B226)*(nNOTA=6))</f>
        <v>0</v>
      </c>
      <c r="R226">
        <f>SUMPRODUCT((nCUENTA=1)*(nCURSO=A226)*(nASIG=B226)*(nNOTA=7))</f>
        <v>0</v>
      </c>
      <c r="S226">
        <f>SUMPRODUCT((nCUENTA=1)*(nCURSO=A226)*(nASIG=B226)*(nNOTA=8))</f>
        <v>0</v>
      </c>
      <c r="T226">
        <f>SUMPRODUCT((nCUENTA=1)*(nCURSO=A226)*(nASIG=B226)*(nNOTA=9))</f>
        <v>0</v>
      </c>
      <c r="U226">
        <f>SUMPRODUCT((nCUENTA=1)*(nCURSO=A226)*(nASIG=B226)*(nNOTA=10))</f>
        <v>0</v>
      </c>
    </row>
    <row r="227">
      <c r="A227" t="inlineStr">
        <is>
          <t xml:space="preserve">3EPM</t>
        </is>
      </c>
      <c r="B227" cm="1">
        <f t="array" ref="B227">IFERROR(INDEX(_xlfn._xlws.FILTER(CONFIG_ASIGNATURAS!$B$2:$B$91,(CONFIG_ASIGNATURAS!$G$2:$G$91="Sí")*ISNUMBER(SEARCH("3EPM",CONFIG_ASIGNATURAS!$C$2:$C$91))),24),"")</f>
      </c>
      <c r="C227">
        <f>IF(B227="","",IFERROR(VLOOKUP(B227,CONFIG_ASIGNATURAS!$B$2:$D$91,3,FALSE()),"Asignatura"))</f>
      </c>
      <c r="D227">
        <f>SUMPRODUCT((nCUENTA=1)*(nCURSO=A227)*(nASIG=B227))</f>
        <v>0</v>
      </c>
      <c r="E227" s="10" t="str">
        <f>IFERROR(SUMPRODUCT((nCUENTA=1)*(nCURSO=A227)*(nASIG=B227)*(nNOTA))/D227,"—")</f>
        <v>—</v>
      </c>
      <c r="F227" s="10" t="str" cm="1">
        <f t="array" ref="F227">IFERROR(_xlfn.STDEV.P(_xlfn._xlws.FILTER(nNOTA,(nCUENTA=1)*(nCURSO=A227)*(nASIG=B227))),"—")</f>
        <v>—</v>
      </c>
      <c r="G227" t="str" cm="1">
        <f t="array" ref="G227">IFERROR(_xlfn.MODE.SNGL(_xlfn._xlws.FILTER(nNOTA,(nCUENTA=1)*(nCURSO=A227)*(nASIG=B227))),"—")</f>
        <v>—</v>
      </c>
      <c r="H227" s="11" t="str">
        <f>IFERROR(SUMPRODUCT((nCUENTA=1)*(nCURSO=A227)*(nASIG=B227)*(nAPTO="S"))/D227,"—")</f>
        <v>—</v>
      </c>
      <c r="I227" s="11" t="str">
        <f>IFERROR(SUMPRODUCT((nCUENTA=1)*(nCURSO=A227)*(nASIG=B227)*(nAPTO="N"))/D227,"—")</f>
        <v>—</v>
      </c>
      <c r="J227" t="str" cm="1">
        <f t="array" ref="J227">IFERROR(_xlfn.MODE.SNGL(_xlfn._xlws.FILTER(nNOTA,(nCUENTA=1)*(nCURSO=A227)*(nASIG=B227)*(nAPTO="S"))),"—")</f>
        <v>—</v>
      </c>
      <c r="K227" t="str" cm="1">
        <f t="array" ref="K227">IFERROR(_xlfn.MODE.SNGL(_xlfn._xlws.FILTER(nNOTA,(nCUENTA=1)*(nCURSO=A227)*(nASIG=B227)*(nAPTO="N"))),"—")</f>
        <v>—</v>
      </c>
      <c r="L227">
        <f>SUMPRODUCT((nCUENTA=1)*(nCURSO=A227)*(nASIG=B227)*(nNOTA=1))</f>
        <v>0</v>
      </c>
      <c r="M227">
        <f>SUMPRODUCT((nCUENTA=1)*(nCURSO=A227)*(nASIG=B227)*(nNOTA=2))</f>
        <v>0</v>
      </c>
      <c r="N227">
        <f>SUMPRODUCT((nCUENTA=1)*(nCURSO=A227)*(nASIG=B227)*(nNOTA=3))</f>
        <v>0</v>
      </c>
      <c r="O227">
        <f>SUMPRODUCT((nCUENTA=1)*(nCURSO=A227)*(nASIG=B227)*(nNOTA=4))</f>
        <v>0</v>
      </c>
      <c r="P227">
        <f>SUMPRODUCT((nCUENTA=1)*(nCURSO=A227)*(nASIG=B227)*(nNOTA=5))</f>
        <v>0</v>
      </c>
      <c r="Q227">
        <f>SUMPRODUCT((nCUENTA=1)*(nCURSO=A227)*(nASIG=B227)*(nNOTA=6))</f>
        <v>0</v>
      </c>
      <c r="R227">
        <f>SUMPRODUCT((nCUENTA=1)*(nCURSO=A227)*(nASIG=B227)*(nNOTA=7))</f>
        <v>0</v>
      </c>
      <c r="S227">
        <f>SUMPRODUCT((nCUENTA=1)*(nCURSO=A227)*(nASIG=B227)*(nNOTA=8))</f>
        <v>0</v>
      </c>
      <c r="T227">
        <f>SUMPRODUCT((nCUENTA=1)*(nCURSO=A227)*(nASIG=B227)*(nNOTA=9))</f>
        <v>0</v>
      </c>
      <c r="U227">
        <f>SUMPRODUCT((nCUENTA=1)*(nCURSO=A227)*(nASIG=B227)*(nNOTA=10))</f>
        <v>0</v>
      </c>
    </row>
    <row r="228">
      <c r="A228" t="inlineStr">
        <is>
          <t xml:space="preserve">3EPM</t>
        </is>
      </c>
      <c r="B228" cm="1">
        <f t="array" ref="B228">IFERROR(INDEX(_xlfn._xlws.FILTER(CONFIG_ASIGNATURAS!$B$2:$B$91,(CONFIG_ASIGNATURAS!$G$2:$G$91="Sí")*ISNUMBER(SEARCH("3EPM",CONFIG_ASIGNATURAS!$C$2:$C$91))),25),"")</f>
      </c>
      <c r="C228">
        <f>IF(B228="","",IFERROR(VLOOKUP(B228,CONFIG_ASIGNATURAS!$B$2:$D$91,3,FALSE()),"Asignatura"))</f>
      </c>
      <c r="D228">
        <f>SUMPRODUCT((nCUENTA=1)*(nCURSO=A228)*(nASIG=B228))</f>
        <v>0</v>
      </c>
      <c r="E228" s="10" t="str">
        <f>IFERROR(SUMPRODUCT((nCUENTA=1)*(nCURSO=A228)*(nASIG=B228)*(nNOTA))/D228,"—")</f>
        <v>—</v>
      </c>
      <c r="F228" s="10" t="str" cm="1">
        <f t="array" ref="F228">IFERROR(_xlfn.STDEV.P(_xlfn._xlws.FILTER(nNOTA,(nCUENTA=1)*(nCURSO=A228)*(nASIG=B228))),"—")</f>
        <v>—</v>
      </c>
      <c r="G228" t="str" cm="1">
        <f t="array" ref="G228">IFERROR(_xlfn.MODE.SNGL(_xlfn._xlws.FILTER(nNOTA,(nCUENTA=1)*(nCURSO=A228)*(nASIG=B228))),"—")</f>
        <v>—</v>
      </c>
      <c r="H228" s="11" t="str">
        <f>IFERROR(SUMPRODUCT((nCUENTA=1)*(nCURSO=A228)*(nASIG=B228)*(nAPTO="S"))/D228,"—")</f>
        <v>—</v>
      </c>
      <c r="I228" s="11" t="str">
        <f>IFERROR(SUMPRODUCT((nCUENTA=1)*(nCURSO=A228)*(nASIG=B228)*(nAPTO="N"))/D228,"—")</f>
        <v>—</v>
      </c>
      <c r="J228" t="str" cm="1">
        <f t="array" ref="J228">IFERROR(_xlfn.MODE.SNGL(_xlfn._xlws.FILTER(nNOTA,(nCUENTA=1)*(nCURSO=A228)*(nASIG=B228)*(nAPTO="S"))),"—")</f>
        <v>—</v>
      </c>
      <c r="K228" t="str" cm="1">
        <f t="array" ref="K228">IFERROR(_xlfn.MODE.SNGL(_xlfn._xlws.FILTER(nNOTA,(nCUENTA=1)*(nCURSO=A228)*(nASIG=B228)*(nAPTO="N"))),"—")</f>
        <v>—</v>
      </c>
      <c r="L228">
        <f>SUMPRODUCT((nCUENTA=1)*(nCURSO=A228)*(nASIG=B228)*(nNOTA=1))</f>
        <v>0</v>
      </c>
      <c r="M228">
        <f>SUMPRODUCT((nCUENTA=1)*(nCURSO=A228)*(nASIG=B228)*(nNOTA=2))</f>
        <v>0</v>
      </c>
      <c r="N228">
        <f>SUMPRODUCT((nCUENTA=1)*(nCURSO=A228)*(nASIG=B228)*(nNOTA=3))</f>
        <v>0</v>
      </c>
      <c r="O228">
        <f>SUMPRODUCT((nCUENTA=1)*(nCURSO=A228)*(nASIG=B228)*(nNOTA=4))</f>
        <v>0</v>
      </c>
      <c r="P228">
        <f>SUMPRODUCT((nCUENTA=1)*(nCURSO=A228)*(nASIG=B228)*(nNOTA=5))</f>
        <v>0</v>
      </c>
      <c r="Q228">
        <f>SUMPRODUCT((nCUENTA=1)*(nCURSO=A228)*(nASIG=B228)*(nNOTA=6))</f>
        <v>0</v>
      </c>
      <c r="R228">
        <f>SUMPRODUCT((nCUENTA=1)*(nCURSO=A228)*(nASIG=B228)*(nNOTA=7))</f>
        <v>0</v>
      </c>
      <c r="S228">
        <f>SUMPRODUCT((nCUENTA=1)*(nCURSO=A228)*(nASIG=B228)*(nNOTA=8))</f>
        <v>0</v>
      </c>
      <c r="T228">
        <f>SUMPRODUCT((nCUENTA=1)*(nCURSO=A228)*(nASIG=B228)*(nNOTA=9))</f>
        <v>0</v>
      </c>
      <c r="U228">
        <f>SUMPRODUCT((nCUENTA=1)*(nCURSO=A228)*(nASIG=B228)*(nNOTA=10))</f>
        <v>0</v>
      </c>
    </row>
    <row r="229">
      <c r="A229" t="inlineStr">
        <is>
          <t xml:space="preserve">3EPM</t>
        </is>
      </c>
      <c r="B229" cm="1">
        <f t="array" ref="B229">IFERROR(INDEX(_xlfn._xlws.FILTER(CONFIG_ASIGNATURAS!$B$2:$B$91,(CONFIG_ASIGNATURAS!$G$2:$G$91="Sí")*ISNUMBER(SEARCH("3EPM",CONFIG_ASIGNATURAS!$C$2:$C$91))),26),"")</f>
      </c>
      <c r="C229">
        <f>IF(B229="","",IFERROR(VLOOKUP(B229,CONFIG_ASIGNATURAS!$B$2:$D$91,3,FALSE()),"Asignatura"))</f>
      </c>
      <c r="D229">
        <f>SUMPRODUCT((nCUENTA=1)*(nCURSO=A229)*(nASIG=B229))</f>
        <v>0</v>
      </c>
      <c r="E229" s="10" t="str">
        <f>IFERROR(SUMPRODUCT((nCUENTA=1)*(nCURSO=A229)*(nASIG=B229)*(nNOTA))/D229,"—")</f>
        <v>—</v>
      </c>
      <c r="F229" s="10" t="str" cm="1">
        <f t="array" ref="F229">IFERROR(_xlfn.STDEV.P(_xlfn._xlws.FILTER(nNOTA,(nCUENTA=1)*(nCURSO=A229)*(nASIG=B229))),"—")</f>
        <v>—</v>
      </c>
      <c r="G229" t="str" cm="1">
        <f t="array" ref="G229">IFERROR(_xlfn.MODE.SNGL(_xlfn._xlws.FILTER(nNOTA,(nCUENTA=1)*(nCURSO=A229)*(nASIG=B229))),"—")</f>
        <v>—</v>
      </c>
      <c r="H229" s="11" t="str">
        <f>IFERROR(SUMPRODUCT((nCUENTA=1)*(nCURSO=A229)*(nASIG=B229)*(nAPTO="S"))/D229,"—")</f>
        <v>—</v>
      </c>
      <c r="I229" s="11" t="str">
        <f>IFERROR(SUMPRODUCT((nCUENTA=1)*(nCURSO=A229)*(nASIG=B229)*(nAPTO="N"))/D229,"—")</f>
        <v>—</v>
      </c>
      <c r="J229" t="str" cm="1">
        <f t="array" ref="J229">IFERROR(_xlfn.MODE.SNGL(_xlfn._xlws.FILTER(nNOTA,(nCUENTA=1)*(nCURSO=A229)*(nASIG=B229)*(nAPTO="S"))),"—")</f>
        <v>—</v>
      </c>
      <c r="K229" t="str" cm="1">
        <f t="array" ref="K229">IFERROR(_xlfn.MODE.SNGL(_xlfn._xlws.FILTER(nNOTA,(nCUENTA=1)*(nCURSO=A229)*(nASIG=B229)*(nAPTO="N"))),"—")</f>
        <v>—</v>
      </c>
      <c r="L229">
        <f>SUMPRODUCT((nCUENTA=1)*(nCURSO=A229)*(nASIG=B229)*(nNOTA=1))</f>
        <v>0</v>
      </c>
      <c r="M229">
        <f>SUMPRODUCT((nCUENTA=1)*(nCURSO=A229)*(nASIG=B229)*(nNOTA=2))</f>
        <v>0</v>
      </c>
      <c r="N229">
        <f>SUMPRODUCT((nCUENTA=1)*(nCURSO=A229)*(nASIG=B229)*(nNOTA=3))</f>
        <v>0</v>
      </c>
      <c r="O229">
        <f>SUMPRODUCT((nCUENTA=1)*(nCURSO=A229)*(nASIG=B229)*(nNOTA=4))</f>
        <v>0</v>
      </c>
      <c r="P229">
        <f>SUMPRODUCT((nCUENTA=1)*(nCURSO=A229)*(nASIG=B229)*(nNOTA=5))</f>
        <v>0</v>
      </c>
      <c r="Q229">
        <f>SUMPRODUCT((nCUENTA=1)*(nCURSO=A229)*(nASIG=B229)*(nNOTA=6))</f>
        <v>0</v>
      </c>
      <c r="R229">
        <f>SUMPRODUCT((nCUENTA=1)*(nCURSO=A229)*(nASIG=B229)*(nNOTA=7))</f>
        <v>0</v>
      </c>
      <c r="S229">
        <f>SUMPRODUCT((nCUENTA=1)*(nCURSO=A229)*(nASIG=B229)*(nNOTA=8))</f>
        <v>0</v>
      </c>
      <c r="T229">
        <f>SUMPRODUCT((nCUENTA=1)*(nCURSO=A229)*(nASIG=B229)*(nNOTA=9))</f>
        <v>0</v>
      </c>
      <c r="U229">
        <f>SUMPRODUCT((nCUENTA=1)*(nCURSO=A229)*(nASIG=B229)*(nNOTA=10))</f>
        <v>0</v>
      </c>
    </row>
    <row r="230">
      <c r="A230" t="inlineStr">
        <is>
          <t xml:space="preserve">3EPM</t>
        </is>
      </c>
      <c r="B230" cm="1">
        <f t="array" ref="B230">IFERROR(INDEX(_xlfn._xlws.FILTER(CONFIG_ASIGNATURAS!$B$2:$B$91,(CONFIG_ASIGNATURAS!$G$2:$G$91="Sí")*ISNUMBER(SEARCH("3EPM",CONFIG_ASIGNATURAS!$C$2:$C$91))),27),"")</f>
      </c>
      <c r="C230">
        <f>IF(B230="","",IFERROR(VLOOKUP(B230,CONFIG_ASIGNATURAS!$B$2:$D$91,3,FALSE()),"Asignatura"))</f>
      </c>
      <c r="D230">
        <f>SUMPRODUCT((nCUENTA=1)*(nCURSO=A230)*(nASIG=B230))</f>
        <v>0</v>
      </c>
      <c r="E230" s="10" t="str">
        <f>IFERROR(SUMPRODUCT((nCUENTA=1)*(nCURSO=A230)*(nASIG=B230)*(nNOTA))/D230,"—")</f>
        <v>—</v>
      </c>
      <c r="F230" s="10" t="str" cm="1">
        <f t="array" ref="F230">IFERROR(_xlfn.STDEV.P(_xlfn._xlws.FILTER(nNOTA,(nCUENTA=1)*(nCURSO=A230)*(nASIG=B230))),"—")</f>
        <v>—</v>
      </c>
      <c r="G230" t="str" cm="1">
        <f t="array" ref="G230">IFERROR(_xlfn.MODE.SNGL(_xlfn._xlws.FILTER(nNOTA,(nCUENTA=1)*(nCURSO=A230)*(nASIG=B230))),"—")</f>
        <v>—</v>
      </c>
      <c r="H230" s="11" t="str">
        <f>IFERROR(SUMPRODUCT((nCUENTA=1)*(nCURSO=A230)*(nASIG=B230)*(nAPTO="S"))/D230,"—")</f>
        <v>—</v>
      </c>
      <c r="I230" s="11" t="str">
        <f>IFERROR(SUMPRODUCT((nCUENTA=1)*(nCURSO=A230)*(nASIG=B230)*(nAPTO="N"))/D230,"—")</f>
        <v>—</v>
      </c>
      <c r="J230" t="str" cm="1">
        <f t="array" ref="J230">IFERROR(_xlfn.MODE.SNGL(_xlfn._xlws.FILTER(nNOTA,(nCUENTA=1)*(nCURSO=A230)*(nASIG=B230)*(nAPTO="S"))),"—")</f>
        <v>—</v>
      </c>
      <c r="K230" t="str" cm="1">
        <f t="array" ref="K230">IFERROR(_xlfn.MODE.SNGL(_xlfn._xlws.FILTER(nNOTA,(nCUENTA=1)*(nCURSO=A230)*(nASIG=B230)*(nAPTO="N"))),"—")</f>
        <v>—</v>
      </c>
      <c r="L230">
        <f>SUMPRODUCT((nCUENTA=1)*(nCURSO=A230)*(nASIG=B230)*(nNOTA=1))</f>
        <v>0</v>
      </c>
      <c r="M230">
        <f>SUMPRODUCT((nCUENTA=1)*(nCURSO=A230)*(nASIG=B230)*(nNOTA=2))</f>
        <v>0</v>
      </c>
      <c r="N230">
        <f>SUMPRODUCT((nCUENTA=1)*(nCURSO=A230)*(nASIG=B230)*(nNOTA=3))</f>
        <v>0</v>
      </c>
      <c r="O230">
        <f>SUMPRODUCT((nCUENTA=1)*(nCURSO=A230)*(nASIG=B230)*(nNOTA=4))</f>
        <v>0</v>
      </c>
      <c r="P230">
        <f>SUMPRODUCT((nCUENTA=1)*(nCURSO=A230)*(nASIG=B230)*(nNOTA=5))</f>
        <v>0</v>
      </c>
      <c r="Q230">
        <f>SUMPRODUCT((nCUENTA=1)*(nCURSO=A230)*(nASIG=B230)*(nNOTA=6))</f>
        <v>0</v>
      </c>
      <c r="R230">
        <f>SUMPRODUCT((nCUENTA=1)*(nCURSO=A230)*(nASIG=B230)*(nNOTA=7))</f>
        <v>0</v>
      </c>
      <c r="S230">
        <f>SUMPRODUCT((nCUENTA=1)*(nCURSO=A230)*(nASIG=B230)*(nNOTA=8))</f>
        <v>0</v>
      </c>
      <c r="T230">
        <f>SUMPRODUCT((nCUENTA=1)*(nCURSO=A230)*(nASIG=B230)*(nNOTA=9))</f>
        <v>0</v>
      </c>
      <c r="U230">
        <f>SUMPRODUCT((nCUENTA=1)*(nCURSO=A230)*(nASIG=B230)*(nNOTA=10))</f>
        <v>0</v>
      </c>
    </row>
    <row r="231">
      <c r="A231" t="inlineStr">
        <is>
          <t xml:space="preserve">3EPM</t>
        </is>
      </c>
      <c r="B231" cm="1">
        <f t="array" ref="B231">IFERROR(INDEX(_xlfn._xlws.FILTER(CONFIG_ASIGNATURAS!$B$2:$B$91,(CONFIG_ASIGNATURAS!$G$2:$G$91="Sí")*ISNUMBER(SEARCH("3EPM",CONFIG_ASIGNATURAS!$C$2:$C$91))),28),"")</f>
      </c>
      <c r="C231">
        <f>IF(B231="","",IFERROR(VLOOKUP(B231,CONFIG_ASIGNATURAS!$B$2:$D$91,3,FALSE()),"Asignatura"))</f>
      </c>
      <c r="D231">
        <f>SUMPRODUCT((nCUENTA=1)*(nCURSO=A231)*(nASIG=B231))</f>
        <v>0</v>
      </c>
      <c r="E231" s="10" t="str">
        <f>IFERROR(SUMPRODUCT((nCUENTA=1)*(nCURSO=A231)*(nASIG=B231)*(nNOTA))/D231,"—")</f>
        <v>—</v>
      </c>
      <c r="F231" s="10" t="str" cm="1">
        <f t="array" ref="F231">IFERROR(_xlfn.STDEV.P(_xlfn._xlws.FILTER(nNOTA,(nCUENTA=1)*(nCURSO=A231)*(nASIG=B231))),"—")</f>
        <v>—</v>
      </c>
      <c r="G231" t="str" cm="1">
        <f t="array" ref="G231">IFERROR(_xlfn.MODE.SNGL(_xlfn._xlws.FILTER(nNOTA,(nCUENTA=1)*(nCURSO=A231)*(nASIG=B231))),"—")</f>
        <v>—</v>
      </c>
      <c r="H231" s="11" t="str">
        <f>IFERROR(SUMPRODUCT((nCUENTA=1)*(nCURSO=A231)*(nASIG=B231)*(nAPTO="S"))/D231,"—")</f>
        <v>—</v>
      </c>
      <c r="I231" s="11" t="str">
        <f>IFERROR(SUMPRODUCT((nCUENTA=1)*(nCURSO=A231)*(nASIG=B231)*(nAPTO="N"))/D231,"—")</f>
        <v>—</v>
      </c>
      <c r="J231" t="str" cm="1">
        <f t="array" ref="J231">IFERROR(_xlfn.MODE.SNGL(_xlfn._xlws.FILTER(nNOTA,(nCUENTA=1)*(nCURSO=A231)*(nASIG=B231)*(nAPTO="S"))),"—")</f>
        <v>—</v>
      </c>
      <c r="K231" t="str" cm="1">
        <f t="array" ref="K231">IFERROR(_xlfn.MODE.SNGL(_xlfn._xlws.FILTER(nNOTA,(nCUENTA=1)*(nCURSO=A231)*(nASIG=B231)*(nAPTO="N"))),"—")</f>
        <v>—</v>
      </c>
      <c r="L231">
        <f>SUMPRODUCT((nCUENTA=1)*(nCURSO=A231)*(nASIG=B231)*(nNOTA=1))</f>
        <v>0</v>
      </c>
      <c r="M231">
        <f>SUMPRODUCT((nCUENTA=1)*(nCURSO=A231)*(nASIG=B231)*(nNOTA=2))</f>
        <v>0</v>
      </c>
      <c r="N231">
        <f>SUMPRODUCT((nCUENTA=1)*(nCURSO=A231)*(nASIG=B231)*(nNOTA=3))</f>
        <v>0</v>
      </c>
      <c r="O231">
        <f>SUMPRODUCT((nCUENTA=1)*(nCURSO=A231)*(nASIG=B231)*(nNOTA=4))</f>
        <v>0</v>
      </c>
      <c r="P231">
        <f>SUMPRODUCT((nCUENTA=1)*(nCURSO=A231)*(nASIG=B231)*(nNOTA=5))</f>
        <v>0</v>
      </c>
      <c r="Q231">
        <f>SUMPRODUCT((nCUENTA=1)*(nCURSO=A231)*(nASIG=B231)*(nNOTA=6))</f>
        <v>0</v>
      </c>
      <c r="R231">
        <f>SUMPRODUCT((nCUENTA=1)*(nCURSO=A231)*(nASIG=B231)*(nNOTA=7))</f>
        <v>0</v>
      </c>
      <c r="S231">
        <f>SUMPRODUCT((nCUENTA=1)*(nCURSO=A231)*(nASIG=B231)*(nNOTA=8))</f>
        <v>0</v>
      </c>
      <c r="T231">
        <f>SUMPRODUCT((nCUENTA=1)*(nCURSO=A231)*(nASIG=B231)*(nNOTA=9))</f>
        <v>0</v>
      </c>
      <c r="U231">
        <f>SUMPRODUCT((nCUENTA=1)*(nCURSO=A231)*(nASIG=B231)*(nNOTA=10))</f>
        <v>0</v>
      </c>
    </row>
    <row r="232">
      <c r="A232" t="inlineStr">
        <is>
          <t xml:space="preserve">3EPM</t>
        </is>
      </c>
      <c r="B232" cm="1">
        <f t="array" ref="B232">IFERROR(INDEX(_xlfn._xlws.FILTER(CONFIG_ASIGNATURAS!$B$2:$B$91,(CONFIG_ASIGNATURAS!$G$2:$G$91="Sí")*ISNUMBER(SEARCH("3EPM",CONFIG_ASIGNATURAS!$C$2:$C$91))),29),"")</f>
      </c>
      <c r="C232">
        <f>IF(B232="","",IFERROR(VLOOKUP(B232,CONFIG_ASIGNATURAS!$B$2:$D$91,3,FALSE()),"Asignatura"))</f>
      </c>
      <c r="D232">
        <f>SUMPRODUCT((nCUENTA=1)*(nCURSO=A232)*(nASIG=B232))</f>
        <v>0</v>
      </c>
      <c r="E232" s="10" t="str">
        <f>IFERROR(SUMPRODUCT((nCUENTA=1)*(nCURSO=A232)*(nASIG=B232)*(nNOTA))/D232,"—")</f>
        <v>—</v>
      </c>
      <c r="F232" s="10" t="str" cm="1">
        <f t="array" ref="F232">IFERROR(_xlfn.STDEV.P(_xlfn._xlws.FILTER(nNOTA,(nCUENTA=1)*(nCURSO=A232)*(nASIG=B232))),"—")</f>
        <v>—</v>
      </c>
      <c r="G232" t="str" cm="1">
        <f t="array" ref="G232">IFERROR(_xlfn.MODE.SNGL(_xlfn._xlws.FILTER(nNOTA,(nCUENTA=1)*(nCURSO=A232)*(nASIG=B232))),"—")</f>
        <v>—</v>
      </c>
      <c r="H232" s="11" t="str">
        <f>IFERROR(SUMPRODUCT((nCUENTA=1)*(nCURSO=A232)*(nASIG=B232)*(nAPTO="S"))/D232,"—")</f>
        <v>—</v>
      </c>
      <c r="I232" s="11" t="str">
        <f>IFERROR(SUMPRODUCT((nCUENTA=1)*(nCURSO=A232)*(nASIG=B232)*(nAPTO="N"))/D232,"—")</f>
        <v>—</v>
      </c>
      <c r="J232" t="str" cm="1">
        <f t="array" ref="J232">IFERROR(_xlfn.MODE.SNGL(_xlfn._xlws.FILTER(nNOTA,(nCUENTA=1)*(nCURSO=A232)*(nASIG=B232)*(nAPTO="S"))),"—")</f>
        <v>—</v>
      </c>
      <c r="K232" t="str" cm="1">
        <f t="array" ref="K232">IFERROR(_xlfn.MODE.SNGL(_xlfn._xlws.FILTER(nNOTA,(nCUENTA=1)*(nCURSO=A232)*(nASIG=B232)*(nAPTO="N"))),"—")</f>
        <v>—</v>
      </c>
      <c r="L232">
        <f>SUMPRODUCT((nCUENTA=1)*(nCURSO=A232)*(nASIG=B232)*(nNOTA=1))</f>
        <v>0</v>
      </c>
      <c r="M232">
        <f>SUMPRODUCT((nCUENTA=1)*(nCURSO=A232)*(nASIG=B232)*(nNOTA=2))</f>
        <v>0</v>
      </c>
      <c r="N232">
        <f>SUMPRODUCT((nCUENTA=1)*(nCURSO=A232)*(nASIG=B232)*(nNOTA=3))</f>
        <v>0</v>
      </c>
      <c r="O232">
        <f>SUMPRODUCT((nCUENTA=1)*(nCURSO=A232)*(nASIG=B232)*(nNOTA=4))</f>
        <v>0</v>
      </c>
      <c r="P232">
        <f>SUMPRODUCT((nCUENTA=1)*(nCURSO=A232)*(nASIG=B232)*(nNOTA=5))</f>
        <v>0</v>
      </c>
      <c r="Q232">
        <f>SUMPRODUCT((nCUENTA=1)*(nCURSO=A232)*(nASIG=B232)*(nNOTA=6))</f>
        <v>0</v>
      </c>
      <c r="R232">
        <f>SUMPRODUCT((nCUENTA=1)*(nCURSO=A232)*(nASIG=B232)*(nNOTA=7))</f>
        <v>0</v>
      </c>
      <c r="S232">
        <f>SUMPRODUCT((nCUENTA=1)*(nCURSO=A232)*(nASIG=B232)*(nNOTA=8))</f>
        <v>0</v>
      </c>
      <c r="T232">
        <f>SUMPRODUCT((nCUENTA=1)*(nCURSO=A232)*(nASIG=B232)*(nNOTA=9))</f>
        <v>0</v>
      </c>
      <c r="U232">
        <f>SUMPRODUCT((nCUENTA=1)*(nCURSO=A232)*(nASIG=B232)*(nNOTA=10))</f>
        <v>0</v>
      </c>
    </row>
    <row r="233">
      <c r="A233" t="inlineStr">
        <is>
          <t xml:space="preserve">3EPM</t>
        </is>
      </c>
      <c r="B233" cm="1">
        <f t="array" ref="B233">IFERROR(INDEX(_xlfn._xlws.FILTER(CONFIG_ASIGNATURAS!$B$2:$B$91,(CONFIG_ASIGNATURAS!$G$2:$G$91="Sí")*ISNUMBER(SEARCH("3EPM",CONFIG_ASIGNATURAS!$C$2:$C$91))),30),"")</f>
      </c>
      <c r="C233">
        <f>IF(B233="","",IFERROR(VLOOKUP(B233,CONFIG_ASIGNATURAS!$B$2:$D$91,3,FALSE()),"Asignatura"))</f>
      </c>
      <c r="D233">
        <f>SUMPRODUCT((nCUENTA=1)*(nCURSO=A233)*(nASIG=B233))</f>
        <v>0</v>
      </c>
      <c r="E233" s="10" t="str">
        <f>IFERROR(SUMPRODUCT((nCUENTA=1)*(nCURSO=A233)*(nASIG=B233)*(nNOTA))/D233,"—")</f>
        <v>—</v>
      </c>
      <c r="F233" s="10" t="str" cm="1">
        <f t="array" ref="F233">IFERROR(_xlfn.STDEV.P(_xlfn._xlws.FILTER(nNOTA,(nCUENTA=1)*(nCURSO=A233)*(nASIG=B233))),"—")</f>
        <v>—</v>
      </c>
      <c r="G233" t="str" cm="1">
        <f t="array" ref="G233">IFERROR(_xlfn.MODE.SNGL(_xlfn._xlws.FILTER(nNOTA,(nCUENTA=1)*(nCURSO=A233)*(nASIG=B233))),"—")</f>
        <v>—</v>
      </c>
      <c r="H233" s="11" t="str">
        <f>IFERROR(SUMPRODUCT((nCUENTA=1)*(nCURSO=A233)*(nASIG=B233)*(nAPTO="S"))/D233,"—")</f>
        <v>—</v>
      </c>
      <c r="I233" s="11" t="str">
        <f>IFERROR(SUMPRODUCT((nCUENTA=1)*(nCURSO=A233)*(nASIG=B233)*(nAPTO="N"))/D233,"—")</f>
        <v>—</v>
      </c>
      <c r="J233" t="str" cm="1">
        <f t="array" ref="J233">IFERROR(_xlfn.MODE.SNGL(_xlfn._xlws.FILTER(nNOTA,(nCUENTA=1)*(nCURSO=A233)*(nASIG=B233)*(nAPTO="S"))),"—")</f>
        <v>—</v>
      </c>
      <c r="K233" t="str" cm="1">
        <f t="array" ref="K233">IFERROR(_xlfn.MODE.SNGL(_xlfn._xlws.FILTER(nNOTA,(nCUENTA=1)*(nCURSO=A233)*(nASIG=B233)*(nAPTO="N"))),"—")</f>
        <v>—</v>
      </c>
      <c r="L233">
        <f>SUMPRODUCT((nCUENTA=1)*(nCURSO=A233)*(nASIG=B233)*(nNOTA=1))</f>
        <v>0</v>
      </c>
      <c r="M233">
        <f>SUMPRODUCT((nCUENTA=1)*(nCURSO=A233)*(nASIG=B233)*(nNOTA=2))</f>
        <v>0</v>
      </c>
      <c r="N233">
        <f>SUMPRODUCT((nCUENTA=1)*(nCURSO=A233)*(nASIG=B233)*(nNOTA=3))</f>
        <v>0</v>
      </c>
      <c r="O233">
        <f>SUMPRODUCT((nCUENTA=1)*(nCURSO=A233)*(nASIG=B233)*(nNOTA=4))</f>
        <v>0</v>
      </c>
      <c r="P233">
        <f>SUMPRODUCT((nCUENTA=1)*(nCURSO=A233)*(nASIG=B233)*(nNOTA=5))</f>
        <v>0</v>
      </c>
      <c r="Q233">
        <f>SUMPRODUCT((nCUENTA=1)*(nCURSO=A233)*(nASIG=B233)*(nNOTA=6))</f>
        <v>0</v>
      </c>
      <c r="R233">
        <f>SUMPRODUCT((nCUENTA=1)*(nCURSO=A233)*(nASIG=B233)*(nNOTA=7))</f>
        <v>0</v>
      </c>
      <c r="S233">
        <f>SUMPRODUCT((nCUENTA=1)*(nCURSO=A233)*(nASIG=B233)*(nNOTA=8))</f>
        <v>0</v>
      </c>
      <c r="T233">
        <f>SUMPRODUCT((nCUENTA=1)*(nCURSO=A233)*(nASIG=B233)*(nNOTA=9))</f>
        <v>0</v>
      </c>
      <c r="U233">
        <f>SUMPRODUCT((nCUENTA=1)*(nCURSO=A233)*(nASIG=B233)*(nNOTA=10))</f>
        <v>0</v>
      </c>
    </row>
    <row r="234">
      <c r="A234" t="inlineStr">
        <is>
          <t xml:space="preserve">3EPM</t>
        </is>
      </c>
      <c r="B234" cm="1">
        <f t="array" ref="B234">IFERROR(INDEX(_xlfn._xlws.FILTER(CONFIG_ASIGNATURAS!$B$2:$B$91,(CONFIG_ASIGNATURAS!$G$2:$G$91="Sí")*ISNUMBER(SEARCH("3EPM",CONFIG_ASIGNATURAS!$C$2:$C$91))),31),"")</f>
      </c>
      <c r="C234">
        <f>IF(B234="","",IFERROR(VLOOKUP(B234,CONFIG_ASIGNATURAS!$B$2:$D$91,3,FALSE()),"Asignatura"))</f>
      </c>
      <c r="D234">
        <f>SUMPRODUCT((nCUENTA=1)*(nCURSO=A234)*(nASIG=B234))</f>
        <v>0</v>
      </c>
      <c r="E234" s="10" t="str">
        <f>IFERROR(SUMPRODUCT((nCUENTA=1)*(nCURSO=A234)*(nASIG=B234)*(nNOTA))/D234,"—")</f>
        <v>—</v>
      </c>
      <c r="F234" s="10" t="str" cm="1">
        <f t="array" ref="F234">IFERROR(_xlfn.STDEV.P(_xlfn._xlws.FILTER(nNOTA,(nCUENTA=1)*(nCURSO=A234)*(nASIG=B234))),"—")</f>
        <v>—</v>
      </c>
      <c r="G234" t="str" cm="1">
        <f t="array" ref="G234">IFERROR(_xlfn.MODE.SNGL(_xlfn._xlws.FILTER(nNOTA,(nCUENTA=1)*(nCURSO=A234)*(nASIG=B234))),"—")</f>
        <v>—</v>
      </c>
      <c r="H234" s="11" t="str">
        <f>IFERROR(SUMPRODUCT((nCUENTA=1)*(nCURSO=A234)*(nASIG=B234)*(nAPTO="S"))/D234,"—")</f>
        <v>—</v>
      </c>
      <c r="I234" s="11" t="str">
        <f>IFERROR(SUMPRODUCT((nCUENTA=1)*(nCURSO=A234)*(nASIG=B234)*(nAPTO="N"))/D234,"—")</f>
        <v>—</v>
      </c>
      <c r="J234" t="str" cm="1">
        <f t="array" ref="J234">IFERROR(_xlfn.MODE.SNGL(_xlfn._xlws.FILTER(nNOTA,(nCUENTA=1)*(nCURSO=A234)*(nASIG=B234)*(nAPTO="S"))),"—")</f>
        <v>—</v>
      </c>
      <c r="K234" t="str" cm="1">
        <f t="array" ref="K234">IFERROR(_xlfn.MODE.SNGL(_xlfn._xlws.FILTER(nNOTA,(nCUENTA=1)*(nCURSO=A234)*(nASIG=B234)*(nAPTO="N"))),"—")</f>
        <v>—</v>
      </c>
      <c r="L234">
        <f>SUMPRODUCT((nCUENTA=1)*(nCURSO=A234)*(nASIG=B234)*(nNOTA=1))</f>
        <v>0</v>
      </c>
      <c r="M234">
        <f>SUMPRODUCT((nCUENTA=1)*(nCURSO=A234)*(nASIG=B234)*(nNOTA=2))</f>
        <v>0</v>
      </c>
      <c r="N234">
        <f>SUMPRODUCT((nCUENTA=1)*(nCURSO=A234)*(nASIG=B234)*(nNOTA=3))</f>
        <v>0</v>
      </c>
      <c r="O234">
        <f>SUMPRODUCT((nCUENTA=1)*(nCURSO=A234)*(nASIG=B234)*(nNOTA=4))</f>
        <v>0</v>
      </c>
      <c r="P234">
        <f>SUMPRODUCT((nCUENTA=1)*(nCURSO=A234)*(nASIG=B234)*(nNOTA=5))</f>
        <v>0</v>
      </c>
      <c r="Q234">
        <f>SUMPRODUCT((nCUENTA=1)*(nCURSO=A234)*(nASIG=B234)*(nNOTA=6))</f>
        <v>0</v>
      </c>
      <c r="R234">
        <f>SUMPRODUCT((nCUENTA=1)*(nCURSO=A234)*(nASIG=B234)*(nNOTA=7))</f>
        <v>0</v>
      </c>
      <c r="S234">
        <f>SUMPRODUCT((nCUENTA=1)*(nCURSO=A234)*(nASIG=B234)*(nNOTA=8))</f>
        <v>0</v>
      </c>
      <c r="T234">
        <f>SUMPRODUCT((nCUENTA=1)*(nCURSO=A234)*(nASIG=B234)*(nNOTA=9))</f>
        <v>0</v>
      </c>
      <c r="U234">
        <f>SUMPRODUCT((nCUENTA=1)*(nCURSO=A234)*(nASIG=B234)*(nNOTA=10))</f>
        <v>0</v>
      </c>
    </row>
    <row r="235">
      <c r="A235" t="inlineStr">
        <is>
          <t xml:space="preserve">3EPM</t>
        </is>
      </c>
      <c r="B235" cm="1">
        <f t="array" ref="B235">IFERROR(INDEX(_xlfn._xlws.FILTER(CONFIG_ASIGNATURAS!$B$2:$B$91,(CONFIG_ASIGNATURAS!$G$2:$G$91="Sí")*ISNUMBER(SEARCH("3EPM",CONFIG_ASIGNATURAS!$C$2:$C$91))),32),"")</f>
      </c>
      <c r="C235">
        <f>IF(B235="","",IFERROR(VLOOKUP(B235,CONFIG_ASIGNATURAS!$B$2:$D$91,3,FALSE()),"Asignatura"))</f>
      </c>
      <c r="D235">
        <f>SUMPRODUCT((nCUENTA=1)*(nCURSO=A235)*(nASIG=B235))</f>
        <v>0</v>
      </c>
      <c r="E235" s="10" t="str">
        <f>IFERROR(SUMPRODUCT((nCUENTA=1)*(nCURSO=A235)*(nASIG=B235)*(nNOTA))/D235,"—")</f>
        <v>—</v>
      </c>
      <c r="F235" s="10" t="str" cm="1">
        <f t="array" ref="F235">IFERROR(_xlfn.STDEV.P(_xlfn._xlws.FILTER(nNOTA,(nCUENTA=1)*(nCURSO=A235)*(nASIG=B235))),"—")</f>
        <v>—</v>
      </c>
      <c r="G235" t="str" cm="1">
        <f t="array" ref="G235">IFERROR(_xlfn.MODE.SNGL(_xlfn._xlws.FILTER(nNOTA,(nCUENTA=1)*(nCURSO=A235)*(nASIG=B235))),"—")</f>
        <v>—</v>
      </c>
      <c r="H235" s="11" t="str">
        <f>IFERROR(SUMPRODUCT((nCUENTA=1)*(nCURSO=A235)*(nASIG=B235)*(nAPTO="S"))/D235,"—")</f>
        <v>—</v>
      </c>
      <c r="I235" s="11" t="str">
        <f>IFERROR(SUMPRODUCT((nCUENTA=1)*(nCURSO=A235)*(nASIG=B235)*(nAPTO="N"))/D235,"—")</f>
        <v>—</v>
      </c>
      <c r="J235" t="str" cm="1">
        <f t="array" ref="J235">IFERROR(_xlfn.MODE.SNGL(_xlfn._xlws.FILTER(nNOTA,(nCUENTA=1)*(nCURSO=A235)*(nASIG=B235)*(nAPTO="S"))),"—")</f>
        <v>—</v>
      </c>
      <c r="K235" t="str" cm="1">
        <f t="array" ref="K235">IFERROR(_xlfn.MODE.SNGL(_xlfn._xlws.FILTER(nNOTA,(nCUENTA=1)*(nCURSO=A235)*(nASIG=B235)*(nAPTO="N"))),"—")</f>
        <v>—</v>
      </c>
      <c r="L235">
        <f>SUMPRODUCT((nCUENTA=1)*(nCURSO=A235)*(nASIG=B235)*(nNOTA=1))</f>
        <v>0</v>
      </c>
      <c r="M235">
        <f>SUMPRODUCT((nCUENTA=1)*(nCURSO=A235)*(nASIG=B235)*(nNOTA=2))</f>
        <v>0</v>
      </c>
      <c r="N235">
        <f>SUMPRODUCT((nCUENTA=1)*(nCURSO=A235)*(nASIG=B235)*(nNOTA=3))</f>
        <v>0</v>
      </c>
      <c r="O235">
        <f>SUMPRODUCT((nCUENTA=1)*(nCURSO=A235)*(nASIG=B235)*(nNOTA=4))</f>
        <v>0</v>
      </c>
      <c r="P235">
        <f>SUMPRODUCT((nCUENTA=1)*(nCURSO=A235)*(nASIG=B235)*(nNOTA=5))</f>
        <v>0</v>
      </c>
      <c r="Q235">
        <f>SUMPRODUCT((nCUENTA=1)*(nCURSO=A235)*(nASIG=B235)*(nNOTA=6))</f>
        <v>0</v>
      </c>
      <c r="R235">
        <f>SUMPRODUCT((nCUENTA=1)*(nCURSO=A235)*(nASIG=B235)*(nNOTA=7))</f>
        <v>0</v>
      </c>
      <c r="S235">
        <f>SUMPRODUCT((nCUENTA=1)*(nCURSO=A235)*(nASIG=B235)*(nNOTA=8))</f>
        <v>0</v>
      </c>
      <c r="T235">
        <f>SUMPRODUCT((nCUENTA=1)*(nCURSO=A235)*(nASIG=B235)*(nNOTA=9))</f>
        <v>0</v>
      </c>
      <c r="U235">
        <f>SUMPRODUCT((nCUENTA=1)*(nCURSO=A235)*(nASIG=B235)*(nNOTA=10))</f>
        <v>0</v>
      </c>
    </row>
    <row r="236">
      <c r="A236" t="inlineStr">
        <is>
          <t xml:space="preserve">3EPM</t>
        </is>
      </c>
      <c r="B236" cm="1">
        <f t="array" ref="B236">IFERROR(INDEX(_xlfn._xlws.FILTER(CONFIG_ASIGNATURAS!$B$2:$B$91,(CONFIG_ASIGNATURAS!$G$2:$G$91="Sí")*ISNUMBER(SEARCH("3EPM",CONFIG_ASIGNATURAS!$C$2:$C$91))),33),"")</f>
      </c>
      <c r="C236">
        <f>IF(B236="","",IFERROR(VLOOKUP(B236,CONFIG_ASIGNATURAS!$B$2:$D$91,3,FALSE()),"Asignatura"))</f>
      </c>
      <c r="D236">
        <f>SUMPRODUCT((nCUENTA=1)*(nCURSO=A236)*(nASIG=B236))</f>
        <v>0</v>
      </c>
      <c r="E236" s="10" t="str">
        <f>IFERROR(SUMPRODUCT((nCUENTA=1)*(nCURSO=A236)*(nASIG=B236)*(nNOTA))/D236,"—")</f>
        <v>—</v>
      </c>
      <c r="F236" s="10" t="str" cm="1">
        <f t="array" ref="F236">IFERROR(_xlfn.STDEV.P(_xlfn._xlws.FILTER(nNOTA,(nCUENTA=1)*(nCURSO=A236)*(nASIG=B236))),"—")</f>
        <v>—</v>
      </c>
      <c r="G236" t="str" cm="1">
        <f t="array" ref="G236">IFERROR(_xlfn.MODE.SNGL(_xlfn._xlws.FILTER(nNOTA,(nCUENTA=1)*(nCURSO=A236)*(nASIG=B236))),"—")</f>
        <v>—</v>
      </c>
      <c r="H236" s="11" t="str">
        <f>IFERROR(SUMPRODUCT((nCUENTA=1)*(nCURSO=A236)*(nASIG=B236)*(nAPTO="S"))/D236,"—")</f>
        <v>—</v>
      </c>
      <c r="I236" s="11" t="str">
        <f>IFERROR(SUMPRODUCT((nCUENTA=1)*(nCURSO=A236)*(nASIG=B236)*(nAPTO="N"))/D236,"—")</f>
        <v>—</v>
      </c>
      <c r="J236" t="str" cm="1">
        <f t="array" ref="J236">IFERROR(_xlfn.MODE.SNGL(_xlfn._xlws.FILTER(nNOTA,(nCUENTA=1)*(nCURSO=A236)*(nASIG=B236)*(nAPTO="S"))),"—")</f>
        <v>—</v>
      </c>
      <c r="K236" t="str" cm="1">
        <f t="array" ref="K236">IFERROR(_xlfn.MODE.SNGL(_xlfn._xlws.FILTER(nNOTA,(nCUENTA=1)*(nCURSO=A236)*(nASIG=B236)*(nAPTO="N"))),"—")</f>
        <v>—</v>
      </c>
      <c r="L236">
        <f>SUMPRODUCT((nCUENTA=1)*(nCURSO=A236)*(nASIG=B236)*(nNOTA=1))</f>
        <v>0</v>
      </c>
      <c r="M236">
        <f>SUMPRODUCT((nCUENTA=1)*(nCURSO=A236)*(nASIG=B236)*(nNOTA=2))</f>
        <v>0</v>
      </c>
      <c r="N236">
        <f>SUMPRODUCT((nCUENTA=1)*(nCURSO=A236)*(nASIG=B236)*(nNOTA=3))</f>
        <v>0</v>
      </c>
      <c r="O236">
        <f>SUMPRODUCT((nCUENTA=1)*(nCURSO=A236)*(nASIG=B236)*(nNOTA=4))</f>
        <v>0</v>
      </c>
      <c r="P236">
        <f>SUMPRODUCT((nCUENTA=1)*(nCURSO=A236)*(nASIG=B236)*(nNOTA=5))</f>
        <v>0</v>
      </c>
      <c r="Q236">
        <f>SUMPRODUCT((nCUENTA=1)*(nCURSO=A236)*(nASIG=B236)*(nNOTA=6))</f>
        <v>0</v>
      </c>
      <c r="R236">
        <f>SUMPRODUCT((nCUENTA=1)*(nCURSO=A236)*(nASIG=B236)*(nNOTA=7))</f>
        <v>0</v>
      </c>
      <c r="S236">
        <f>SUMPRODUCT((nCUENTA=1)*(nCURSO=A236)*(nASIG=B236)*(nNOTA=8))</f>
        <v>0</v>
      </c>
      <c r="T236">
        <f>SUMPRODUCT((nCUENTA=1)*(nCURSO=A236)*(nASIG=B236)*(nNOTA=9))</f>
        <v>0</v>
      </c>
      <c r="U236">
        <f>SUMPRODUCT((nCUENTA=1)*(nCURSO=A236)*(nASIG=B236)*(nNOTA=10))</f>
        <v>0</v>
      </c>
    </row>
    <row r="237">
      <c r="A237" t="inlineStr">
        <is>
          <t xml:space="preserve">3EPM</t>
        </is>
      </c>
      <c r="B237" cm="1">
        <f t="array" ref="B237">IFERROR(INDEX(_xlfn._xlws.FILTER(CONFIG_ASIGNATURAS!$B$2:$B$91,(CONFIG_ASIGNATURAS!$G$2:$G$91="Sí")*ISNUMBER(SEARCH("3EPM",CONFIG_ASIGNATURAS!$C$2:$C$91))),34),"")</f>
      </c>
      <c r="C237">
        <f>IF(B237="","",IFERROR(VLOOKUP(B237,CONFIG_ASIGNATURAS!$B$2:$D$91,3,FALSE()),"Asignatura"))</f>
      </c>
      <c r="D237">
        <f>SUMPRODUCT((nCUENTA=1)*(nCURSO=A237)*(nASIG=B237))</f>
        <v>0</v>
      </c>
      <c r="E237" s="10" t="str">
        <f>IFERROR(SUMPRODUCT((nCUENTA=1)*(nCURSO=A237)*(nASIG=B237)*(nNOTA))/D237,"—")</f>
        <v>—</v>
      </c>
      <c r="F237" s="10" t="str" cm="1">
        <f t="array" ref="F237">IFERROR(_xlfn.STDEV.P(_xlfn._xlws.FILTER(nNOTA,(nCUENTA=1)*(nCURSO=A237)*(nASIG=B237))),"—")</f>
        <v>—</v>
      </c>
      <c r="G237" t="str" cm="1">
        <f t="array" ref="G237">IFERROR(_xlfn.MODE.SNGL(_xlfn._xlws.FILTER(nNOTA,(nCUENTA=1)*(nCURSO=A237)*(nASIG=B237))),"—")</f>
        <v>—</v>
      </c>
      <c r="H237" s="11" t="str">
        <f>IFERROR(SUMPRODUCT((nCUENTA=1)*(nCURSO=A237)*(nASIG=B237)*(nAPTO="S"))/D237,"—")</f>
        <v>—</v>
      </c>
      <c r="I237" s="11" t="str">
        <f>IFERROR(SUMPRODUCT((nCUENTA=1)*(nCURSO=A237)*(nASIG=B237)*(nAPTO="N"))/D237,"—")</f>
        <v>—</v>
      </c>
      <c r="J237" t="str" cm="1">
        <f t="array" ref="J237">IFERROR(_xlfn.MODE.SNGL(_xlfn._xlws.FILTER(nNOTA,(nCUENTA=1)*(nCURSO=A237)*(nASIG=B237)*(nAPTO="S"))),"—")</f>
        <v>—</v>
      </c>
      <c r="K237" t="str" cm="1">
        <f t="array" ref="K237">IFERROR(_xlfn.MODE.SNGL(_xlfn._xlws.FILTER(nNOTA,(nCUENTA=1)*(nCURSO=A237)*(nASIG=B237)*(nAPTO="N"))),"—")</f>
        <v>—</v>
      </c>
      <c r="L237">
        <f>SUMPRODUCT((nCUENTA=1)*(nCURSO=A237)*(nASIG=B237)*(nNOTA=1))</f>
        <v>0</v>
      </c>
      <c r="M237">
        <f>SUMPRODUCT((nCUENTA=1)*(nCURSO=A237)*(nASIG=B237)*(nNOTA=2))</f>
        <v>0</v>
      </c>
      <c r="N237">
        <f>SUMPRODUCT((nCUENTA=1)*(nCURSO=A237)*(nASIG=B237)*(nNOTA=3))</f>
        <v>0</v>
      </c>
      <c r="O237">
        <f>SUMPRODUCT((nCUENTA=1)*(nCURSO=A237)*(nASIG=B237)*(nNOTA=4))</f>
        <v>0</v>
      </c>
      <c r="P237">
        <f>SUMPRODUCT((nCUENTA=1)*(nCURSO=A237)*(nASIG=B237)*(nNOTA=5))</f>
        <v>0</v>
      </c>
      <c r="Q237">
        <f>SUMPRODUCT((nCUENTA=1)*(nCURSO=A237)*(nASIG=B237)*(nNOTA=6))</f>
        <v>0</v>
      </c>
      <c r="R237">
        <f>SUMPRODUCT((nCUENTA=1)*(nCURSO=A237)*(nASIG=B237)*(nNOTA=7))</f>
        <v>0</v>
      </c>
      <c r="S237">
        <f>SUMPRODUCT((nCUENTA=1)*(nCURSO=A237)*(nASIG=B237)*(nNOTA=8))</f>
        <v>0</v>
      </c>
      <c r="T237">
        <f>SUMPRODUCT((nCUENTA=1)*(nCURSO=A237)*(nASIG=B237)*(nNOTA=9))</f>
        <v>0</v>
      </c>
      <c r="U237">
        <f>SUMPRODUCT((nCUENTA=1)*(nCURSO=A237)*(nASIG=B237)*(nNOTA=10))</f>
        <v>0</v>
      </c>
    </row>
    <row r="238">
      <c r="A238" t="inlineStr">
        <is>
          <t xml:space="preserve">3EPM</t>
        </is>
      </c>
      <c r="B238" cm="1">
        <f t="array" ref="B238">IFERROR(INDEX(_xlfn._xlws.FILTER(CONFIG_ASIGNATURAS!$B$2:$B$91,(CONFIG_ASIGNATURAS!$G$2:$G$91="Sí")*ISNUMBER(SEARCH("3EPM",CONFIG_ASIGNATURAS!$C$2:$C$91))),35),"")</f>
      </c>
      <c r="C238">
        <f>IF(B238="","",IFERROR(VLOOKUP(B238,CONFIG_ASIGNATURAS!$B$2:$D$91,3,FALSE()),"Asignatura"))</f>
      </c>
      <c r="D238">
        <f>SUMPRODUCT((nCUENTA=1)*(nCURSO=A238)*(nASIG=B238))</f>
        <v>0</v>
      </c>
      <c r="E238" s="10" t="str">
        <f>IFERROR(SUMPRODUCT((nCUENTA=1)*(nCURSO=A238)*(nASIG=B238)*(nNOTA))/D238,"—")</f>
        <v>—</v>
      </c>
      <c r="F238" s="10" t="str" cm="1">
        <f t="array" ref="F238">IFERROR(_xlfn.STDEV.P(_xlfn._xlws.FILTER(nNOTA,(nCUENTA=1)*(nCURSO=A238)*(nASIG=B238))),"—")</f>
        <v>—</v>
      </c>
      <c r="G238" t="str" cm="1">
        <f t="array" ref="G238">IFERROR(_xlfn.MODE.SNGL(_xlfn._xlws.FILTER(nNOTA,(nCUENTA=1)*(nCURSO=A238)*(nASIG=B238))),"—")</f>
        <v>—</v>
      </c>
      <c r="H238" s="11" t="str">
        <f>IFERROR(SUMPRODUCT((nCUENTA=1)*(nCURSO=A238)*(nASIG=B238)*(nAPTO="S"))/D238,"—")</f>
        <v>—</v>
      </c>
      <c r="I238" s="11" t="str">
        <f>IFERROR(SUMPRODUCT((nCUENTA=1)*(nCURSO=A238)*(nASIG=B238)*(nAPTO="N"))/D238,"—")</f>
        <v>—</v>
      </c>
      <c r="J238" t="str" cm="1">
        <f t="array" ref="J238">IFERROR(_xlfn.MODE.SNGL(_xlfn._xlws.FILTER(nNOTA,(nCUENTA=1)*(nCURSO=A238)*(nASIG=B238)*(nAPTO="S"))),"—")</f>
        <v>—</v>
      </c>
      <c r="K238" t="str" cm="1">
        <f t="array" ref="K238">IFERROR(_xlfn.MODE.SNGL(_xlfn._xlws.FILTER(nNOTA,(nCUENTA=1)*(nCURSO=A238)*(nASIG=B238)*(nAPTO="N"))),"—")</f>
        <v>—</v>
      </c>
      <c r="L238">
        <f>SUMPRODUCT((nCUENTA=1)*(nCURSO=A238)*(nASIG=B238)*(nNOTA=1))</f>
        <v>0</v>
      </c>
      <c r="M238">
        <f>SUMPRODUCT((nCUENTA=1)*(nCURSO=A238)*(nASIG=B238)*(nNOTA=2))</f>
        <v>0</v>
      </c>
      <c r="N238">
        <f>SUMPRODUCT((nCUENTA=1)*(nCURSO=A238)*(nASIG=B238)*(nNOTA=3))</f>
        <v>0</v>
      </c>
      <c r="O238">
        <f>SUMPRODUCT((nCUENTA=1)*(nCURSO=A238)*(nASIG=B238)*(nNOTA=4))</f>
        <v>0</v>
      </c>
      <c r="P238">
        <f>SUMPRODUCT((nCUENTA=1)*(nCURSO=A238)*(nASIG=B238)*(nNOTA=5))</f>
        <v>0</v>
      </c>
      <c r="Q238">
        <f>SUMPRODUCT((nCUENTA=1)*(nCURSO=A238)*(nASIG=B238)*(nNOTA=6))</f>
        <v>0</v>
      </c>
      <c r="R238">
        <f>SUMPRODUCT((nCUENTA=1)*(nCURSO=A238)*(nASIG=B238)*(nNOTA=7))</f>
        <v>0</v>
      </c>
      <c r="S238">
        <f>SUMPRODUCT((nCUENTA=1)*(nCURSO=A238)*(nASIG=B238)*(nNOTA=8))</f>
        <v>0</v>
      </c>
      <c r="T238">
        <f>SUMPRODUCT((nCUENTA=1)*(nCURSO=A238)*(nASIG=B238)*(nNOTA=9))</f>
        <v>0</v>
      </c>
      <c r="U238">
        <f>SUMPRODUCT((nCUENTA=1)*(nCURSO=A238)*(nASIG=B238)*(nNOTA=10))</f>
        <v>0</v>
      </c>
    </row>
    <row r="239">
      <c r="A239" t="inlineStr">
        <is>
          <t xml:space="preserve">3EPM</t>
        </is>
      </c>
      <c r="B239" cm="1">
        <f t="array" ref="B239">IFERROR(INDEX(_xlfn._xlws.FILTER(CONFIG_ASIGNATURAS!$B$2:$B$91,(CONFIG_ASIGNATURAS!$G$2:$G$91="Sí")*ISNUMBER(SEARCH("3EPM",CONFIG_ASIGNATURAS!$C$2:$C$91))),36),"")</f>
      </c>
      <c r="C239">
        <f>IF(B239="","",IFERROR(VLOOKUP(B239,CONFIG_ASIGNATURAS!$B$2:$D$91,3,FALSE()),"Asignatura"))</f>
      </c>
      <c r="D239">
        <f>SUMPRODUCT((nCUENTA=1)*(nCURSO=A239)*(nASIG=B239))</f>
        <v>0</v>
      </c>
      <c r="E239" s="10" t="str">
        <f>IFERROR(SUMPRODUCT((nCUENTA=1)*(nCURSO=A239)*(nASIG=B239)*(nNOTA))/D239,"—")</f>
        <v>—</v>
      </c>
      <c r="F239" s="10" t="str" cm="1">
        <f t="array" ref="F239">IFERROR(_xlfn.STDEV.P(_xlfn._xlws.FILTER(nNOTA,(nCUENTA=1)*(nCURSO=A239)*(nASIG=B239))),"—")</f>
        <v>—</v>
      </c>
      <c r="G239" t="str" cm="1">
        <f t="array" ref="G239">IFERROR(_xlfn.MODE.SNGL(_xlfn._xlws.FILTER(nNOTA,(nCUENTA=1)*(nCURSO=A239)*(nASIG=B239))),"—")</f>
        <v>—</v>
      </c>
      <c r="H239" s="11" t="str">
        <f>IFERROR(SUMPRODUCT((nCUENTA=1)*(nCURSO=A239)*(nASIG=B239)*(nAPTO="S"))/D239,"—")</f>
        <v>—</v>
      </c>
      <c r="I239" s="11" t="str">
        <f>IFERROR(SUMPRODUCT((nCUENTA=1)*(nCURSO=A239)*(nASIG=B239)*(nAPTO="N"))/D239,"—")</f>
        <v>—</v>
      </c>
      <c r="J239" t="str" cm="1">
        <f t="array" ref="J239">IFERROR(_xlfn.MODE.SNGL(_xlfn._xlws.FILTER(nNOTA,(nCUENTA=1)*(nCURSO=A239)*(nASIG=B239)*(nAPTO="S"))),"—")</f>
        <v>—</v>
      </c>
      <c r="K239" t="str" cm="1">
        <f t="array" ref="K239">IFERROR(_xlfn.MODE.SNGL(_xlfn._xlws.FILTER(nNOTA,(nCUENTA=1)*(nCURSO=A239)*(nASIG=B239)*(nAPTO="N"))),"—")</f>
        <v>—</v>
      </c>
      <c r="L239">
        <f>SUMPRODUCT((nCUENTA=1)*(nCURSO=A239)*(nASIG=B239)*(nNOTA=1))</f>
        <v>0</v>
      </c>
      <c r="M239">
        <f>SUMPRODUCT((nCUENTA=1)*(nCURSO=A239)*(nASIG=B239)*(nNOTA=2))</f>
        <v>0</v>
      </c>
      <c r="N239">
        <f>SUMPRODUCT((nCUENTA=1)*(nCURSO=A239)*(nASIG=B239)*(nNOTA=3))</f>
        <v>0</v>
      </c>
      <c r="O239">
        <f>SUMPRODUCT((nCUENTA=1)*(nCURSO=A239)*(nASIG=B239)*(nNOTA=4))</f>
        <v>0</v>
      </c>
      <c r="P239">
        <f>SUMPRODUCT((nCUENTA=1)*(nCURSO=A239)*(nASIG=B239)*(nNOTA=5))</f>
        <v>0</v>
      </c>
      <c r="Q239">
        <f>SUMPRODUCT((nCUENTA=1)*(nCURSO=A239)*(nASIG=B239)*(nNOTA=6))</f>
        <v>0</v>
      </c>
      <c r="R239">
        <f>SUMPRODUCT((nCUENTA=1)*(nCURSO=A239)*(nASIG=B239)*(nNOTA=7))</f>
        <v>0</v>
      </c>
      <c r="S239">
        <f>SUMPRODUCT((nCUENTA=1)*(nCURSO=A239)*(nASIG=B239)*(nNOTA=8))</f>
        <v>0</v>
      </c>
      <c r="T239">
        <f>SUMPRODUCT((nCUENTA=1)*(nCURSO=A239)*(nASIG=B239)*(nNOTA=9))</f>
        <v>0</v>
      </c>
      <c r="U239">
        <f>SUMPRODUCT((nCUENTA=1)*(nCURSO=A239)*(nASIG=B239)*(nNOTA=10))</f>
        <v>0</v>
      </c>
    </row>
    <row r="240">
      <c r="A240" t="inlineStr">
        <is>
          <t xml:space="preserve">3EPM</t>
        </is>
      </c>
      <c r="B240" cm="1">
        <f t="array" ref="B240">IFERROR(INDEX(_xlfn._xlws.FILTER(CONFIG_ASIGNATURAS!$B$2:$B$91,(CONFIG_ASIGNATURAS!$G$2:$G$91="Sí")*ISNUMBER(SEARCH("3EPM",CONFIG_ASIGNATURAS!$C$2:$C$91))),37),"")</f>
      </c>
      <c r="C240">
        <f>IF(B240="","",IFERROR(VLOOKUP(B240,CONFIG_ASIGNATURAS!$B$2:$D$91,3,FALSE()),"Asignatura"))</f>
      </c>
      <c r="D240">
        <f>SUMPRODUCT((nCUENTA=1)*(nCURSO=A240)*(nASIG=B240))</f>
        <v>0</v>
      </c>
      <c r="E240" s="10" t="str">
        <f>IFERROR(SUMPRODUCT((nCUENTA=1)*(nCURSO=A240)*(nASIG=B240)*(nNOTA))/D240,"—")</f>
        <v>—</v>
      </c>
      <c r="F240" s="10" t="str" cm="1">
        <f t="array" ref="F240">IFERROR(_xlfn.STDEV.P(_xlfn._xlws.FILTER(nNOTA,(nCUENTA=1)*(nCURSO=A240)*(nASIG=B240))),"—")</f>
        <v>—</v>
      </c>
      <c r="G240" t="str" cm="1">
        <f t="array" ref="G240">IFERROR(_xlfn.MODE.SNGL(_xlfn._xlws.FILTER(nNOTA,(nCUENTA=1)*(nCURSO=A240)*(nASIG=B240))),"—")</f>
        <v>—</v>
      </c>
      <c r="H240" s="11" t="str">
        <f>IFERROR(SUMPRODUCT((nCUENTA=1)*(nCURSO=A240)*(nASIG=B240)*(nAPTO="S"))/D240,"—")</f>
        <v>—</v>
      </c>
      <c r="I240" s="11" t="str">
        <f>IFERROR(SUMPRODUCT((nCUENTA=1)*(nCURSO=A240)*(nASIG=B240)*(nAPTO="N"))/D240,"—")</f>
        <v>—</v>
      </c>
      <c r="J240" t="str" cm="1">
        <f t="array" ref="J240">IFERROR(_xlfn.MODE.SNGL(_xlfn._xlws.FILTER(nNOTA,(nCUENTA=1)*(nCURSO=A240)*(nASIG=B240)*(nAPTO="S"))),"—")</f>
        <v>—</v>
      </c>
      <c r="K240" t="str" cm="1">
        <f t="array" ref="K240">IFERROR(_xlfn.MODE.SNGL(_xlfn._xlws.FILTER(nNOTA,(nCUENTA=1)*(nCURSO=A240)*(nASIG=B240)*(nAPTO="N"))),"—")</f>
        <v>—</v>
      </c>
      <c r="L240">
        <f>SUMPRODUCT((nCUENTA=1)*(nCURSO=A240)*(nASIG=B240)*(nNOTA=1))</f>
        <v>0</v>
      </c>
      <c r="M240">
        <f>SUMPRODUCT((nCUENTA=1)*(nCURSO=A240)*(nASIG=B240)*(nNOTA=2))</f>
        <v>0</v>
      </c>
      <c r="N240">
        <f>SUMPRODUCT((nCUENTA=1)*(nCURSO=A240)*(nASIG=B240)*(nNOTA=3))</f>
        <v>0</v>
      </c>
      <c r="O240">
        <f>SUMPRODUCT((nCUENTA=1)*(nCURSO=A240)*(nASIG=B240)*(nNOTA=4))</f>
        <v>0</v>
      </c>
      <c r="P240">
        <f>SUMPRODUCT((nCUENTA=1)*(nCURSO=A240)*(nASIG=B240)*(nNOTA=5))</f>
        <v>0</v>
      </c>
      <c r="Q240">
        <f>SUMPRODUCT((nCUENTA=1)*(nCURSO=A240)*(nASIG=B240)*(nNOTA=6))</f>
        <v>0</v>
      </c>
      <c r="R240">
        <f>SUMPRODUCT((nCUENTA=1)*(nCURSO=A240)*(nASIG=B240)*(nNOTA=7))</f>
        <v>0</v>
      </c>
      <c r="S240">
        <f>SUMPRODUCT((nCUENTA=1)*(nCURSO=A240)*(nASIG=B240)*(nNOTA=8))</f>
        <v>0</v>
      </c>
      <c r="T240">
        <f>SUMPRODUCT((nCUENTA=1)*(nCURSO=A240)*(nASIG=B240)*(nNOTA=9))</f>
        <v>0</v>
      </c>
      <c r="U240">
        <f>SUMPRODUCT((nCUENTA=1)*(nCURSO=A240)*(nASIG=B240)*(nNOTA=10))</f>
        <v>0</v>
      </c>
    </row>
    <row r="241">
      <c r="A241" t="inlineStr">
        <is>
          <t xml:space="preserve">3EPM</t>
        </is>
      </c>
      <c r="B241" cm="1">
        <f t="array" ref="B241">IFERROR(INDEX(_xlfn._xlws.FILTER(CONFIG_ASIGNATURAS!$B$2:$B$91,(CONFIG_ASIGNATURAS!$G$2:$G$91="Sí")*ISNUMBER(SEARCH("3EPM",CONFIG_ASIGNATURAS!$C$2:$C$91))),38),"")</f>
      </c>
      <c r="C241">
        <f>IF(B241="","",IFERROR(VLOOKUP(B241,CONFIG_ASIGNATURAS!$B$2:$D$91,3,FALSE()),"Asignatura"))</f>
      </c>
      <c r="D241">
        <f>SUMPRODUCT((nCUENTA=1)*(nCURSO=A241)*(nASIG=B241))</f>
        <v>0</v>
      </c>
      <c r="E241" s="10" t="str">
        <f>IFERROR(SUMPRODUCT((nCUENTA=1)*(nCURSO=A241)*(nASIG=B241)*(nNOTA))/D241,"—")</f>
        <v>—</v>
      </c>
      <c r="F241" s="10" t="str" cm="1">
        <f t="array" ref="F241">IFERROR(_xlfn.STDEV.P(_xlfn._xlws.FILTER(nNOTA,(nCUENTA=1)*(nCURSO=A241)*(nASIG=B241))),"—")</f>
        <v>—</v>
      </c>
      <c r="G241" t="str" cm="1">
        <f t="array" ref="G241">IFERROR(_xlfn.MODE.SNGL(_xlfn._xlws.FILTER(nNOTA,(nCUENTA=1)*(nCURSO=A241)*(nASIG=B241))),"—")</f>
        <v>—</v>
      </c>
      <c r="H241" s="11" t="str">
        <f>IFERROR(SUMPRODUCT((nCUENTA=1)*(nCURSO=A241)*(nASIG=B241)*(nAPTO="S"))/D241,"—")</f>
        <v>—</v>
      </c>
      <c r="I241" s="11" t="str">
        <f>IFERROR(SUMPRODUCT((nCUENTA=1)*(nCURSO=A241)*(nASIG=B241)*(nAPTO="N"))/D241,"—")</f>
        <v>—</v>
      </c>
      <c r="J241" t="str" cm="1">
        <f t="array" ref="J241">IFERROR(_xlfn.MODE.SNGL(_xlfn._xlws.FILTER(nNOTA,(nCUENTA=1)*(nCURSO=A241)*(nASIG=B241)*(nAPTO="S"))),"—")</f>
        <v>—</v>
      </c>
      <c r="K241" t="str" cm="1">
        <f t="array" ref="K241">IFERROR(_xlfn.MODE.SNGL(_xlfn._xlws.FILTER(nNOTA,(nCUENTA=1)*(nCURSO=A241)*(nASIG=B241)*(nAPTO="N"))),"—")</f>
        <v>—</v>
      </c>
      <c r="L241">
        <f>SUMPRODUCT((nCUENTA=1)*(nCURSO=A241)*(nASIG=B241)*(nNOTA=1))</f>
        <v>0</v>
      </c>
      <c r="M241">
        <f>SUMPRODUCT((nCUENTA=1)*(nCURSO=A241)*(nASIG=B241)*(nNOTA=2))</f>
        <v>0</v>
      </c>
      <c r="N241">
        <f>SUMPRODUCT((nCUENTA=1)*(nCURSO=A241)*(nASIG=B241)*(nNOTA=3))</f>
        <v>0</v>
      </c>
      <c r="O241">
        <f>SUMPRODUCT((nCUENTA=1)*(nCURSO=A241)*(nASIG=B241)*(nNOTA=4))</f>
        <v>0</v>
      </c>
      <c r="P241">
        <f>SUMPRODUCT((nCUENTA=1)*(nCURSO=A241)*(nASIG=B241)*(nNOTA=5))</f>
        <v>0</v>
      </c>
      <c r="Q241">
        <f>SUMPRODUCT((nCUENTA=1)*(nCURSO=A241)*(nASIG=B241)*(nNOTA=6))</f>
        <v>0</v>
      </c>
      <c r="R241">
        <f>SUMPRODUCT((nCUENTA=1)*(nCURSO=A241)*(nASIG=B241)*(nNOTA=7))</f>
        <v>0</v>
      </c>
      <c r="S241">
        <f>SUMPRODUCT((nCUENTA=1)*(nCURSO=A241)*(nASIG=B241)*(nNOTA=8))</f>
        <v>0</v>
      </c>
      <c r="T241">
        <f>SUMPRODUCT((nCUENTA=1)*(nCURSO=A241)*(nASIG=B241)*(nNOTA=9))</f>
        <v>0</v>
      </c>
      <c r="U241">
        <f>SUMPRODUCT((nCUENTA=1)*(nCURSO=A241)*(nASIG=B241)*(nNOTA=10))</f>
        <v>0</v>
      </c>
    </row>
    <row r="242">
      <c r="A242" t="inlineStr">
        <is>
          <t xml:space="preserve">3EPM</t>
        </is>
      </c>
      <c r="B242" cm="1">
        <f t="array" ref="B242">IFERROR(INDEX(_xlfn._xlws.FILTER(CONFIG_ASIGNATURAS!$B$2:$B$91,(CONFIG_ASIGNATURAS!$G$2:$G$91="Sí")*ISNUMBER(SEARCH("3EPM",CONFIG_ASIGNATURAS!$C$2:$C$91))),39),"")</f>
      </c>
      <c r="C242">
        <f>IF(B242="","",IFERROR(VLOOKUP(B242,CONFIG_ASIGNATURAS!$B$2:$D$91,3,FALSE()),"Asignatura"))</f>
      </c>
      <c r="D242">
        <f>SUMPRODUCT((nCUENTA=1)*(nCURSO=A242)*(nASIG=B242))</f>
        <v>0</v>
      </c>
      <c r="E242" s="10" t="str">
        <f>IFERROR(SUMPRODUCT((nCUENTA=1)*(nCURSO=A242)*(nASIG=B242)*(nNOTA))/D242,"—")</f>
        <v>—</v>
      </c>
      <c r="F242" s="10" t="str" cm="1">
        <f t="array" ref="F242">IFERROR(_xlfn.STDEV.P(_xlfn._xlws.FILTER(nNOTA,(nCUENTA=1)*(nCURSO=A242)*(nASIG=B242))),"—")</f>
        <v>—</v>
      </c>
      <c r="G242" t="str" cm="1">
        <f t="array" ref="G242">IFERROR(_xlfn.MODE.SNGL(_xlfn._xlws.FILTER(nNOTA,(nCUENTA=1)*(nCURSO=A242)*(nASIG=B242))),"—")</f>
        <v>—</v>
      </c>
      <c r="H242" s="11" t="str">
        <f>IFERROR(SUMPRODUCT((nCUENTA=1)*(nCURSO=A242)*(nASIG=B242)*(nAPTO="S"))/D242,"—")</f>
        <v>—</v>
      </c>
      <c r="I242" s="11" t="str">
        <f>IFERROR(SUMPRODUCT((nCUENTA=1)*(nCURSO=A242)*(nASIG=B242)*(nAPTO="N"))/D242,"—")</f>
        <v>—</v>
      </c>
      <c r="J242" t="str" cm="1">
        <f t="array" ref="J242">IFERROR(_xlfn.MODE.SNGL(_xlfn._xlws.FILTER(nNOTA,(nCUENTA=1)*(nCURSO=A242)*(nASIG=B242)*(nAPTO="S"))),"—")</f>
        <v>—</v>
      </c>
      <c r="K242" t="str" cm="1">
        <f t="array" ref="K242">IFERROR(_xlfn.MODE.SNGL(_xlfn._xlws.FILTER(nNOTA,(nCUENTA=1)*(nCURSO=A242)*(nASIG=B242)*(nAPTO="N"))),"—")</f>
        <v>—</v>
      </c>
      <c r="L242">
        <f>SUMPRODUCT((nCUENTA=1)*(nCURSO=A242)*(nASIG=B242)*(nNOTA=1))</f>
        <v>0</v>
      </c>
      <c r="M242">
        <f>SUMPRODUCT((nCUENTA=1)*(nCURSO=A242)*(nASIG=B242)*(nNOTA=2))</f>
        <v>0</v>
      </c>
      <c r="N242">
        <f>SUMPRODUCT((nCUENTA=1)*(nCURSO=A242)*(nASIG=B242)*(nNOTA=3))</f>
        <v>0</v>
      </c>
      <c r="O242">
        <f>SUMPRODUCT((nCUENTA=1)*(nCURSO=A242)*(nASIG=B242)*(nNOTA=4))</f>
        <v>0</v>
      </c>
      <c r="P242">
        <f>SUMPRODUCT((nCUENTA=1)*(nCURSO=A242)*(nASIG=B242)*(nNOTA=5))</f>
        <v>0</v>
      </c>
      <c r="Q242">
        <f>SUMPRODUCT((nCUENTA=1)*(nCURSO=A242)*(nASIG=B242)*(nNOTA=6))</f>
        <v>0</v>
      </c>
      <c r="R242">
        <f>SUMPRODUCT((nCUENTA=1)*(nCURSO=A242)*(nASIG=B242)*(nNOTA=7))</f>
        <v>0</v>
      </c>
      <c r="S242">
        <f>SUMPRODUCT((nCUENTA=1)*(nCURSO=A242)*(nASIG=B242)*(nNOTA=8))</f>
        <v>0</v>
      </c>
      <c r="T242">
        <f>SUMPRODUCT((nCUENTA=1)*(nCURSO=A242)*(nASIG=B242)*(nNOTA=9))</f>
        <v>0</v>
      </c>
      <c r="U242">
        <f>SUMPRODUCT((nCUENTA=1)*(nCURSO=A242)*(nASIG=B242)*(nNOTA=10))</f>
        <v>0</v>
      </c>
    </row>
    <row r="243">
      <c r="A243" t="inlineStr">
        <is>
          <t xml:space="preserve">3EPM</t>
        </is>
      </c>
      <c r="B243" cm="1">
        <f t="array" ref="B243">IFERROR(INDEX(_xlfn._xlws.FILTER(CONFIG_ASIGNATURAS!$B$2:$B$91,(CONFIG_ASIGNATURAS!$G$2:$G$91="Sí")*ISNUMBER(SEARCH("3EPM",CONFIG_ASIGNATURAS!$C$2:$C$91))),40),"")</f>
      </c>
      <c r="C243">
        <f>IF(B243="","",IFERROR(VLOOKUP(B243,CONFIG_ASIGNATURAS!$B$2:$D$91,3,FALSE()),"Asignatura"))</f>
      </c>
      <c r="D243">
        <f>SUMPRODUCT((nCUENTA=1)*(nCURSO=A243)*(nASIG=B243))</f>
        <v>0</v>
      </c>
      <c r="E243" s="10" t="str">
        <f>IFERROR(SUMPRODUCT((nCUENTA=1)*(nCURSO=A243)*(nASIG=B243)*(nNOTA))/D243,"—")</f>
        <v>—</v>
      </c>
      <c r="F243" s="10" t="str" cm="1">
        <f t="array" ref="F243">IFERROR(_xlfn.STDEV.P(_xlfn._xlws.FILTER(nNOTA,(nCUENTA=1)*(nCURSO=A243)*(nASIG=B243))),"—")</f>
        <v>—</v>
      </c>
      <c r="G243" t="str" cm="1">
        <f t="array" ref="G243">IFERROR(_xlfn.MODE.SNGL(_xlfn._xlws.FILTER(nNOTA,(nCUENTA=1)*(nCURSO=A243)*(nASIG=B243))),"—")</f>
        <v>—</v>
      </c>
      <c r="H243" s="11" t="str">
        <f>IFERROR(SUMPRODUCT((nCUENTA=1)*(nCURSO=A243)*(nASIG=B243)*(nAPTO="S"))/D243,"—")</f>
        <v>—</v>
      </c>
      <c r="I243" s="11" t="str">
        <f>IFERROR(SUMPRODUCT((nCUENTA=1)*(nCURSO=A243)*(nASIG=B243)*(nAPTO="N"))/D243,"—")</f>
        <v>—</v>
      </c>
      <c r="J243" t="str" cm="1">
        <f t="array" ref="J243">IFERROR(_xlfn.MODE.SNGL(_xlfn._xlws.FILTER(nNOTA,(nCUENTA=1)*(nCURSO=A243)*(nASIG=B243)*(nAPTO="S"))),"—")</f>
        <v>—</v>
      </c>
      <c r="K243" t="str" cm="1">
        <f t="array" ref="K243">IFERROR(_xlfn.MODE.SNGL(_xlfn._xlws.FILTER(nNOTA,(nCUENTA=1)*(nCURSO=A243)*(nASIG=B243)*(nAPTO="N"))),"—")</f>
        <v>—</v>
      </c>
      <c r="L243">
        <f>SUMPRODUCT((nCUENTA=1)*(nCURSO=A243)*(nASIG=B243)*(nNOTA=1))</f>
        <v>0</v>
      </c>
      <c r="M243">
        <f>SUMPRODUCT((nCUENTA=1)*(nCURSO=A243)*(nASIG=B243)*(nNOTA=2))</f>
        <v>0</v>
      </c>
      <c r="N243">
        <f>SUMPRODUCT((nCUENTA=1)*(nCURSO=A243)*(nASIG=B243)*(nNOTA=3))</f>
        <v>0</v>
      </c>
      <c r="O243">
        <f>SUMPRODUCT((nCUENTA=1)*(nCURSO=A243)*(nASIG=B243)*(nNOTA=4))</f>
        <v>0</v>
      </c>
      <c r="P243">
        <f>SUMPRODUCT((nCUENTA=1)*(nCURSO=A243)*(nASIG=B243)*(nNOTA=5))</f>
        <v>0</v>
      </c>
      <c r="Q243">
        <f>SUMPRODUCT((nCUENTA=1)*(nCURSO=A243)*(nASIG=B243)*(nNOTA=6))</f>
        <v>0</v>
      </c>
      <c r="R243">
        <f>SUMPRODUCT((nCUENTA=1)*(nCURSO=A243)*(nASIG=B243)*(nNOTA=7))</f>
        <v>0</v>
      </c>
      <c r="S243">
        <f>SUMPRODUCT((nCUENTA=1)*(nCURSO=A243)*(nASIG=B243)*(nNOTA=8))</f>
        <v>0</v>
      </c>
      <c r="T243">
        <f>SUMPRODUCT((nCUENTA=1)*(nCURSO=A243)*(nASIG=B243)*(nNOTA=9))</f>
        <v>0</v>
      </c>
      <c r="U243">
        <f>SUMPRODUCT((nCUENTA=1)*(nCURSO=A243)*(nASIG=B243)*(nNOTA=10))</f>
        <v>0</v>
      </c>
    </row>
    <row r="244">
      <c r="A244" t="inlineStr">
        <is>
          <t xml:space="preserve">3EPM</t>
        </is>
      </c>
      <c r="B244" cm="1">
        <f t="array" ref="B244">IFERROR(INDEX(_xlfn._xlws.FILTER(CONFIG_ASIGNATURAS!$B$2:$B$91,(CONFIG_ASIGNATURAS!$G$2:$G$91="Sí")*ISNUMBER(SEARCH("3EPM",CONFIG_ASIGNATURAS!$C$2:$C$91))),41),"")</f>
      </c>
      <c r="C244">
        <f>IF(B244="","",IFERROR(VLOOKUP(B244,CONFIG_ASIGNATURAS!$B$2:$D$91,3,FALSE()),"Asignatura"))</f>
      </c>
      <c r="D244">
        <f>SUMPRODUCT((nCUENTA=1)*(nCURSO=A244)*(nASIG=B244))</f>
        <v>0</v>
      </c>
      <c r="E244" s="10" t="str">
        <f>IFERROR(SUMPRODUCT((nCUENTA=1)*(nCURSO=A244)*(nASIG=B244)*(nNOTA))/D244,"—")</f>
        <v>—</v>
      </c>
      <c r="F244" s="10" t="str" cm="1">
        <f t="array" ref="F244">IFERROR(_xlfn.STDEV.P(_xlfn._xlws.FILTER(nNOTA,(nCUENTA=1)*(nCURSO=A244)*(nASIG=B244))),"—")</f>
        <v>—</v>
      </c>
      <c r="G244" t="str" cm="1">
        <f t="array" ref="G244">IFERROR(_xlfn.MODE.SNGL(_xlfn._xlws.FILTER(nNOTA,(nCUENTA=1)*(nCURSO=A244)*(nASIG=B244))),"—")</f>
        <v>—</v>
      </c>
      <c r="H244" s="11" t="str">
        <f>IFERROR(SUMPRODUCT((nCUENTA=1)*(nCURSO=A244)*(nASIG=B244)*(nAPTO="S"))/D244,"—")</f>
        <v>—</v>
      </c>
      <c r="I244" s="11" t="str">
        <f>IFERROR(SUMPRODUCT((nCUENTA=1)*(nCURSO=A244)*(nASIG=B244)*(nAPTO="N"))/D244,"—")</f>
        <v>—</v>
      </c>
      <c r="J244" t="str" cm="1">
        <f t="array" ref="J244">IFERROR(_xlfn.MODE.SNGL(_xlfn._xlws.FILTER(nNOTA,(nCUENTA=1)*(nCURSO=A244)*(nASIG=B244)*(nAPTO="S"))),"—")</f>
        <v>—</v>
      </c>
      <c r="K244" t="str" cm="1">
        <f t="array" ref="K244">IFERROR(_xlfn.MODE.SNGL(_xlfn._xlws.FILTER(nNOTA,(nCUENTA=1)*(nCURSO=A244)*(nASIG=B244)*(nAPTO="N"))),"—")</f>
        <v>—</v>
      </c>
      <c r="L244">
        <f>SUMPRODUCT((nCUENTA=1)*(nCURSO=A244)*(nASIG=B244)*(nNOTA=1))</f>
        <v>0</v>
      </c>
      <c r="M244">
        <f>SUMPRODUCT((nCUENTA=1)*(nCURSO=A244)*(nASIG=B244)*(nNOTA=2))</f>
        <v>0</v>
      </c>
      <c r="N244">
        <f>SUMPRODUCT((nCUENTA=1)*(nCURSO=A244)*(nASIG=B244)*(nNOTA=3))</f>
        <v>0</v>
      </c>
      <c r="O244">
        <f>SUMPRODUCT((nCUENTA=1)*(nCURSO=A244)*(nASIG=B244)*(nNOTA=4))</f>
        <v>0</v>
      </c>
      <c r="P244">
        <f>SUMPRODUCT((nCUENTA=1)*(nCURSO=A244)*(nASIG=B244)*(nNOTA=5))</f>
        <v>0</v>
      </c>
      <c r="Q244">
        <f>SUMPRODUCT((nCUENTA=1)*(nCURSO=A244)*(nASIG=B244)*(nNOTA=6))</f>
        <v>0</v>
      </c>
      <c r="R244">
        <f>SUMPRODUCT((nCUENTA=1)*(nCURSO=A244)*(nASIG=B244)*(nNOTA=7))</f>
        <v>0</v>
      </c>
      <c r="S244">
        <f>SUMPRODUCT((nCUENTA=1)*(nCURSO=A244)*(nASIG=B244)*(nNOTA=8))</f>
        <v>0</v>
      </c>
      <c r="T244">
        <f>SUMPRODUCT((nCUENTA=1)*(nCURSO=A244)*(nASIG=B244)*(nNOTA=9))</f>
        <v>0</v>
      </c>
      <c r="U244">
        <f>SUMPRODUCT((nCUENTA=1)*(nCURSO=A244)*(nASIG=B244)*(nNOTA=10))</f>
        <v>0</v>
      </c>
    </row>
    <row r="245">
      <c r="A245" t="inlineStr">
        <is>
          <t xml:space="preserve">3EPM</t>
        </is>
      </c>
      <c r="B245" cm="1">
        <f t="array" ref="B245">IFERROR(INDEX(_xlfn._xlws.FILTER(CONFIG_ASIGNATURAS!$B$2:$B$91,(CONFIG_ASIGNATURAS!$G$2:$G$91="Sí")*ISNUMBER(SEARCH("3EPM",CONFIG_ASIGNATURAS!$C$2:$C$91))),42),"")</f>
      </c>
      <c r="C245">
        <f>IF(B245="","",IFERROR(VLOOKUP(B245,CONFIG_ASIGNATURAS!$B$2:$D$91,3,FALSE()),"Asignatura"))</f>
      </c>
      <c r="D245">
        <f>SUMPRODUCT((nCUENTA=1)*(nCURSO=A245)*(nASIG=B245))</f>
        <v>0</v>
      </c>
      <c r="E245" s="10" t="str">
        <f>IFERROR(SUMPRODUCT((nCUENTA=1)*(nCURSO=A245)*(nASIG=B245)*(nNOTA))/D245,"—")</f>
        <v>—</v>
      </c>
      <c r="F245" s="10" t="str" cm="1">
        <f t="array" ref="F245">IFERROR(_xlfn.STDEV.P(_xlfn._xlws.FILTER(nNOTA,(nCUENTA=1)*(nCURSO=A245)*(nASIG=B245))),"—")</f>
        <v>—</v>
      </c>
      <c r="G245" t="str" cm="1">
        <f t="array" ref="G245">IFERROR(_xlfn.MODE.SNGL(_xlfn._xlws.FILTER(nNOTA,(nCUENTA=1)*(nCURSO=A245)*(nASIG=B245))),"—")</f>
        <v>—</v>
      </c>
      <c r="H245" s="11" t="str">
        <f>IFERROR(SUMPRODUCT((nCUENTA=1)*(nCURSO=A245)*(nASIG=B245)*(nAPTO="S"))/D245,"—")</f>
        <v>—</v>
      </c>
      <c r="I245" s="11" t="str">
        <f>IFERROR(SUMPRODUCT((nCUENTA=1)*(nCURSO=A245)*(nASIG=B245)*(nAPTO="N"))/D245,"—")</f>
        <v>—</v>
      </c>
      <c r="J245" t="str" cm="1">
        <f t="array" ref="J245">IFERROR(_xlfn.MODE.SNGL(_xlfn._xlws.FILTER(nNOTA,(nCUENTA=1)*(nCURSO=A245)*(nASIG=B245)*(nAPTO="S"))),"—")</f>
        <v>—</v>
      </c>
      <c r="K245" t="str" cm="1">
        <f t="array" ref="K245">IFERROR(_xlfn.MODE.SNGL(_xlfn._xlws.FILTER(nNOTA,(nCUENTA=1)*(nCURSO=A245)*(nASIG=B245)*(nAPTO="N"))),"—")</f>
        <v>—</v>
      </c>
      <c r="L245">
        <f>SUMPRODUCT((nCUENTA=1)*(nCURSO=A245)*(nASIG=B245)*(nNOTA=1))</f>
        <v>0</v>
      </c>
      <c r="M245">
        <f>SUMPRODUCT((nCUENTA=1)*(nCURSO=A245)*(nASIG=B245)*(nNOTA=2))</f>
        <v>0</v>
      </c>
      <c r="N245">
        <f>SUMPRODUCT((nCUENTA=1)*(nCURSO=A245)*(nASIG=B245)*(nNOTA=3))</f>
        <v>0</v>
      </c>
      <c r="O245">
        <f>SUMPRODUCT((nCUENTA=1)*(nCURSO=A245)*(nASIG=B245)*(nNOTA=4))</f>
        <v>0</v>
      </c>
      <c r="P245">
        <f>SUMPRODUCT((nCUENTA=1)*(nCURSO=A245)*(nASIG=B245)*(nNOTA=5))</f>
        <v>0</v>
      </c>
      <c r="Q245">
        <f>SUMPRODUCT((nCUENTA=1)*(nCURSO=A245)*(nASIG=B245)*(nNOTA=6))</f>
        <v>0</v>
      </c>
      <c r="R245">
        <f>SUMPRODUCT((nCUENTA=1)*(nCURSO=A245)*(nASIG=B245)*(nNOTA=7))</f>
        <v>0</v>
      </c>
      <c r="S245">
        <f>SUMPRODUCT((nCUENTA=1)*(nCURSO=A245)*(nASIG=B245)*(nNOTA=8))</f>
        <v>0</v>
      </c>
      <c r="T245">
        <f>SUMPRODUCT((nCUENTA=1)*(nCURSO=A245)*(nASIG=B245)*(nNOTA=9))</f>
        <v>0</v>
      </c>
      <c r="U245">
        <f>SUMPRODUCT((nCUENTA=1)*(nCURSO=A245)*(nASIG=B245)*(nNOTA=10))</f>
        <v>0</v>
      </c>
    </row>
    <row r="246">
      <c r="A246" t="inlineStr">
        <is>
          <t xml:space="preserve">3EPM</t>
        </is>
      </c>
      <c r="B246" cm="1">
        <f t="array" ref="B246">IFERROR(INDEX(_xlfn._xlws.FILTER(CONFIG_ASIGNATURAS!$B$2:$B$91,(CONFIG_ASIGNATURAS!$G$2:$G$91="Sí")*ISNUMBER(SEARCH("3EPM",CONFIG_ASIGNATURAS!$C$2:$C$91))),43),"")</f>
      </c>
      <c r="C246">
        <f>IF(B246="","",IFERROR(VLOOKUP(B246,CONFIG_ASIGNATURAS!$B$2:$D$91,3,FALSE()),"Asignatura"))</f>
      </c>
      <c r="D246">
        <f>SUMPRODUCT((nCUENTA=1)*(nCURSO=A246)*(nASIG=B246))</f>
        <v>0</v>
      </c>
      <c r="E246" s="10" t="str">
        <f>IFERROR(SUMPRODUCT((nCUENTA=1)*(nCURSO=A246)*(nASIG=B246)*(nNOTA))/D246,"—")</f>
        <v>—</v>
      </c>
      <c r="F246" s="10" t="str" cm="1">
        <f t="array" ref="F246">IFERROR(_xlfn.STDEV.P(_xlfn._xlws.FILTER(nNOTA,(nCUENTA=1)*(nCURSO=A246)*(nASIG=B246))),"—")</f>
        <v>—</v>
      </c>
      <c r="G246" t="str" cm="1">
        <f t="array" ref="G246">IFERROR(_xlfn.MODE.SNGL(_xlfn._xlws.FILTER(nNOTA,(nCUENTA=1)*(nCURSO=A246)*(nASIG=B246))),"—")</f>
        <v>—</v>
      </c>
      <c r="H246" s="11" t="str">
        <f>IFERROR(SUMPRODUCT((nCUENTA=1)*(nCURSO=A246)*(nASIG=B246)*(nAPTO="S"))/D246,"—")</f>
        <v>—</v>
      </c>
      <c r="I246" s="11" t="str">
        <f>IFERROR(SUMPRODUCT((nCUENTA=1)*(nCURSO=A246)*(nASIG=B246)*(nAPTO="N"))/D246,"—")</f>
        <v>—</v>
      </c>
      <c r="J246" t="str" cm="1">
        <f t="array" ref="J246">IFERROR(_xlfn.MODE.SNGL(_xlfn._xlws.FILTER(nNOTA,(nCUENTA=1)*(nCURSO=A246)*(nASIG=B246)*(nAPTO="S"))),"—")</f>
        <v>—</v>
      </c>
      <c r="K246" t="str" cm="1">
        <f t="array" ref="K246">IFERROR(_xlfn.MODE.SNGL(_xlfn._xlws.FILTER(nNOTA,(nCUENTA=1)*(nCURSO=A246)*(nASIG=B246)*(nAPTO="N"))),"—")</f>
        <v>—</v>
      </c>
      <c r="L246">
        <f>SUMPRODUCT((nCUENTA=1)*(nCURSO=A246)*(nASIG=B246)*(nNOTA=1))</f>
        <v>0</v>
      </c>
      <c r="M246">
        <f>SUMPRODUCT((nCUENTA=1)*(nCURSO=A246)*(nASIG=B246)*(nNOTA=2))</f>
        <v>0</v>
      </c>
      <c r="N246">
        <f>SUMPRODUCT((nCUENTA=1)*(nCURSO=A246)*(nASIG=B246)*(nNOTA=3))</f>
        <v>0</v>
      </c>
      <c r="O246">
        <f>SUMPRODUCT((nCUENTA=1)*(nCURSO=A246)*(nASIG=B246)*(nNOTA=4))</f>
        <v>0</v>
      </c>
      <c r="P246">
        <f>SUMPRODUCT((nCUENTA=1)*(nCURSO=A246)*(nASIG=B246)*(nNOTA=5))</f>
        <v>0</v>
      </c>
      <c r="Q246">
        <f>SUMPRODUCT((nCUENTA=1)*(nCURSO=A246)*(nASIG=B246)*(nNOTA=6))</f>
        <v>0</v>
      </c>
      <c r="R246">
        <f>SUMPRODUCT((nCUENTA=1)*(nCURSO=A246)*(nASIG=B246)*(nNOTA=7))</f>
        <v>0</v>
      </c>
      <c r="S246">
        <f>SUMPRODUCT((nCUENTA=1)*(nCURSO=A246)*(nASIG=B246)*(nNOTA=8))</f>
        <v>0</v>
      </c>
      <c r="T246">
        <f>SUMPRODUCT((nCUENTA=1)*(nCURSO=A246)*(nASIG=B246)*(nNOTA=9))</f>
        <v>0</v>
      </c>
      <c r="U246">
        <f>SUMPRODUCT((nCUENTA=1)*(nCURSO=A246)*(nASIG=B246)*(nNOTA=10))</f>
        <v>0</v>
      </c>
    </row>
    <row r="247">
      <c r="A247" t="inlineStr">
        <is>
          <t xml:space="preserve">3EPM</t>
        </is>
      </c>
      <c r="B247" cm="1">
        <f t="array" ref="B247">IFERROR(INDEX(_xlfn._xlws.FILTER(CONFIG_ASIGNATURAS!$B$2:$B$91,(CONFIG_ASIGNATURAS!$G$2:$G$91="Sí")*ISNUMBER(SEARCH("3EPM",CONFIG_ASIGNATURAS!$C$2:$C$91))),44),"")</f>
      </c>
      <c r="C247">
        <f>IF(B247="","",IFERROR(VLOOKUP(B247,CONFIG_ASIGNATURAS!$B$2:$D$91,3,FALSE()),"Asignatura"))</f>
      </c>
      <c r="D247">
        <f>SUMPRODUCT((nCUENTA=1)*(nCURSO=A247)*(nASIG=B247))</f>
        <v>0</v>
      </c>
      <c r="E247" s="10" t="str">
        <f>IFERROR(SUMPRODUCT((nCUENTA=1)*(nCURSO=A247)*(nASIG=B247)*(nNOTA))/D247,"—")</f>
        <v>—</v>
      </c>
      <c r="F247" s="10" t="str" cm="1">
        <f t="array" ref="F247">IFERROR(_xlfn.STDEV.P(_xlfn._xlws.FILTER(nNOTA,(nCUENTA=1)*(nCURSO=A247)*(nASIG=B247))),"—")</f>
        <v>—</v>
      </c>
      <c r="G247" t="str" cm="1">
        <f t="array" ref="G247">IFERROR(_xlfn.MODE.SNGL(_xlfn._xlws.FILTER(nNOTA,(nCUENTA=1)*(nCURSO=A247)*(nASIG=B247))),"—")</f>
        <v>—</v>
      </c>
      <c r="H247" s="11" t="str">
        <f>IFERROR(SUMPRODUCT((nCUENTA=1)*(nCURSO=A247)*(nASIG=B247)*(nAPTO="S"))/D247,"—")</f>
        <v>—</v>
      </c>
      <c r="I247" s="11" t="str">
        <f>IFERROR(SUMPRODUCT((nCUENTA=1)*(nCURSO=A247)*(nASIG=B247)*(nAPTO="N"))/D247,"—")</f>
        <v>—</v>
      </c>
      <c r="J247" t="str" cm="1">
        <f t="array" ref="J247">IFERROR(_xlfn.MODE.SNGL(_xlfn._xlws.FILTER(nNOTA,(nCUENTA=1)*(nCURSO=A247)*(nASIG=B247)*(nAPTO="S"))),"—")</f>
        <v>—</v>
      </c>
      <c r="K247" t="str" cm="1">
        <f t="array" ref="K247">IFERROR(_xlfn.MODE.SNGL(_xlfn._xlws.FILTER(nNOTA,(nCUENTA=1)*(nCURSO=A247)*(nASIG=B247)*(nAPTO="N"))),"—")</f>
        <v>—</v>
      </c>
      <c r="L247">
        <f>SUMPRODUCT((nCUENTA=1)*(nCURSO=A247)*(nASIG=B247)*(nNOTA=1))</f>
        <v>0</v>
      </c>
      <c r="M247">
        <f>SUMPRODUCT((nCUENTA=1)*(nCURSO=A247)*(nASIG=B247)*(nNOTA=2))</f>
        <v>0</v>
      </c>
      <c r="N247">
        <f>SUMPRODUCT((nCUENTA=1)*(nCURSO=A247)*(nASIG=B247)*(nNOTA=3))</f>
        <v>0</v>
      </c>
      <c r="O247">
        <f>SUMPRODUCT((nCUENTA=1)*(nCURSO=A247)*(nASIG=B247)*(nNOTA=4))</f>
        <v>0</v>
      </c>
      <c r="P247">
        <f>SUMPRODUCT((nCUENTA=1)*(nCURSO=A247)*(nASIG=B247)*(nNOTA=5))</f>
        <v>0</v>
      </c>
      <c r="Q247">
        <f>SUMPRODUCT((nCUENTA=1)*(nCURSO=A247)*(nASIG=B247)*(nNOTA=6))</f>
        <v>0</v>
      </c>
      <c r="R247">
        <f>SUMPRODUCT((nCUENTA=1)*(nCURSO=A247)*(nASIG=B247)*(nNOTA=7))</f>
        <v>0</v>
      </c>
      <c r="S247">
        <f>SUMPRODUCT((nCUENTA=1)*(nCURSO=A247)*(nASIG=B247)*(nNOTA=8))</f>
        <v>0</v>
      </c>
      <c r="T247">
        <f>SUMPRODUCT((nCUENTA=1)*(nCURSO=A247)*(nASIG=B247)*(nNOTA=9))</f>
        <v>0</v>
      </c>
      <c r="U247">
        <f>SUMPRODUCT((nCUENTA=1)*(nCURSO=A247)*(nASIG=B247)*(nNOTA=10))</f>
        <v>0</v>
      </c>
    </row>
    <row r="248">
      <c r="A248" t="inlineStr">
        <is>
          <t xml:space="preserve">3EPM</t>
        </is>
      </c>
      <c r="B248" cm="1">
        <f t="array" ref="B248">IFERROR(INDEX(_xlfn._xlws.FILTER(CONFIG_ASIGNATURAS!$B$2:$B$91,(CONFIG_ASIGNATURAS!$G$2:$G$91="Sí")*ISNUMBER(SEARCH("3EPM",CONFIG_ASIGNATURAS!$C$2:$C$91))),45),"")</f>
      </c>
      <c r="C248">
        <f>IF(B248="","",IFERROR(VLOOKUP(B248,CONFIG_ASIGNATURAS!$B$2:$D$91,3,FALSE()),"Asignatura"))</f>
      </c>
      <c r="D248">
        <f>SUMPRODUCT((nCUENTA=1)*(nCURSO=A248)*(nASIG=B248))</f>
        <v>0</v>
      </c>
      <c r="E248" s="10" t="str">
        <f>IFERROR(SUMPRODUCT((nCUENTA=1)*(nCURSO=A248)*(nASIG=B248)*(nNOTA))/D248,"—")</f>
        <v>—</v>
      </c>
      <c r="F248" s="10" t="str" cm="1">
        <f t="array" ref="F248">IFERROR(_xlfn.STDEV.P(_xlfn._xlws.FILTER(nNOTA,(nCUENTA=1)*(nCURSO=A248)*(nASIG=B248))),"—")</f>
        <v>—</v>
      </c>
      <c r="G248" t="str" cm="1">
        <f t="array" ref="G248">IFERROR(_xlfn.MODE.SNGL(_xlfn._xlws.FILTER(nNOTA,(nCUENTA=1)*(nCURSO=A248)*(nASIG=B248))),"—")</f>
        <v>—</v>
      </c>
      <c r="H248" s="11" t="str">
        <f>IFERROR(SUMPRODUCT((nCUENTA=1)*(nCURSO=A248)*(nASIG=B248)*(nAPTO="S"))/D248,"—")</f>
        <v>—</v>
      </c>
      <c r="I248" s="11" t="str">
        <f>IFERROR(SUMPRODUCT((nCUENTA=1)*(nCURSO=A248)*(nASIG=B248)*(nAPTO="N"))/D248,"—")</f>
        <v>—</v>
      </c>
      <c r="J248" t="str" cm="1">
        <f t="array" ref="J248">IFERROR(_xlfn.MODE.SNGL(_xlfn._xlws.FILTER(nNOTA,(nCUENTA=1)*(nCURSO=A248)*(nASIG=B248)*(nAPTO="S"))),"—")</f>
        <v>—</v>
      </c>
      <c r="K248" t="str" cm="1">
        <f t="array" ref="K248">IFERROR(_xlfn.MODE.SNGL(_xlfn._xlws.FILTER(nNOTA,(nCUENTA=1)*(nCURSO=A248)*(nASIG=B248)*(nAPTO="N"))),"—")</f>
        <v>—</v>
      </c>
      <c r="L248">
        <f>SUMPRODUCT((nCUENTA=1)*(nCURSO=A248)*(nASIG=B248)*(nNOTA=1))</f>
        <v>0</v>
      </c>
      <c r="M248">
        <f>SUMPRODUCT((nCUENTA=1)*(nCURSO=A248)*(nASIG=B248)*(nNOTA=2))</f>
        <v>0</v>
      </c>
      <c r="N248">
        <f>SUMPRODUCT((nCUENTA=1)*(nCURSO=A248)*(nASIG=B248)*(nNOTA=3))</f>
        <v>0</v>
      </c>
      <c r="O248">
        <f>SUMPRODUCT((nCUENTA=1)*(nCURSO=A248)*(nASIG=B248)*(nNOTA=4))</f>
        <v>0</v>
      </c>
      <c r="P248">
        <f>SUMPRODUCT((nCUENTA=1)*(nCURSO=A248)*(nASIG=B248)*(nNOTA=5))</f>
        <v>0</v>
      </c>
      <c r="Q248">
        <f>SUMPRODUCT((nCUENTA=1)*(nCURSO=A248)*(nASIG=B248)*(nNOTA=6))</f>
        <v>0</v>
      </c>
      <c r="R248">
        <f>SUMPRODUCT((nCUENTA=1)*(nCURSO=A248)*(nASIG=B248)*(nNOTA=7))</f>
        <v>0</v>
      </c>
      <c r="S248">
        <f>SUMPRODUCT((nCUENTA=1)*(nCURSO=A248)*(nASIG=B248)*(nNOTA=8))</f>
        <v>0</v>
      </c>
      <c r="T248">
        <f>SUMPRODUCT((nCUENTA=1)*(nCURSO=A248)*(nASIG=B248)*(nNOTA=9))</f>
        <v>0</v>
      </c>
      <c r="U248">
        <f>SUMPRODUCT((nCUENTA=1)*(nCURSO=A248)*(nASIG=B248)*(nNOTA=10))</f>
        <v>0</v>
      </c>
    </row>
    <row r="249">
      <c r="A249" t="inlineStr">
        <is>
          <t xml:space="preserve">3EPM</t>
        </is>
      </c>
      <c r="B249" cm="1">
        <f t="array" ref="B249">IFERROR(INDEX(_xlfn._xlws.FILTER(CONFIG_ASIGNATURAS!$B$2:$B$91,(CONFIG_ASIGNATURAS!$G$2:$G$91="Sí")*ISNUMBER(SEARCH("3EPM",CONFIG_ASIGNATURAS!$C$2:$C$91))),46),"")</f>
      </c>
      <c r="C249">
        <f>IF(B249="","",IFERROR(VLOOKUP(B249,CONFIG_ASIGNATURAS!$B$2:$D$91,3,FALSE()),"Asignatura"))</f>
      </c>
      <c r="D249">
        <f>SUMPRODUCT((nCUENTA=1)*(nCURSO=A249)*(nASIG=B249))</f>
        <v>0</v>
      </c>
      <c r="E249" s="10" t="str">
        <f>IFERROR(SUMPRODUCT((nCUENTA=1)*(nCURSO=A249)*(nASIG=B249)*(nNOTA))/D249,"—")</f>
        <v>—</v>
      </c>
      <c r="F249" s="10" t="str" cm="1">
        <f t="array" ref="F249">IFERROR(_xlfn.STDEV.P(_xlfn._xlws.FILTER(nNOTA,(nCUENTA=1)*(nCURSO=A249)*(nASIG=B249))),"—")</f>
        <v>—</v>
      </c>
      <c r="G249" t="str" cm="1">
        <f t="array" ref="G249">IFERROR(_xlfn.MODE.SNGL(_xlfn._xlws.FILTER(nNOTA,(nCUENTA=1)*(nCURSO=A249)*(nASIG=B249))),"—")</f>
        <v>—</v>
      </c>
      <c r="H249" s="11" t="str">
        <f>IFERROR(SUMPRODUCT((nCUENTA=1)*(nCURSO=A249)*(nASIG=B249)*(nAPTO="S"))/D249,"—")</f>
        <v>—</v>
      </c>
      <c r="I249" s="11" t="str">
        <f>IFERROR(SUMPRODUCT((nCUENTA=1)*(nCURSO=A249)*(nASIG=B249)*(nAPTO="N"))/D249,"—")</f>
        <v>—</v>
      </c>
      <c r="J249" t="str" cm="1">
        <f t="array" ref="J249">IFERROR(_xlfn.MODE.SNGL(_xlfn._xlws.FILTER(nNOTA,(nCUENTA=1)*(nCURSO=A249)*(nASIG=B249)*(nAPTO="S"))),"—")</f>
        <v>—</v>
      </c>
      <c r="K249" t="str" cm="1">
        <f t="array" ref="K249">IFERROR(_xlfn.MODE.SNGL(_xlfn._xlws.FILTER(nNOTA,(nCUENTA=1)*(nCURSO=A249)*(nASIG=B249)*(nAPTO="N"))),"—")</f>
        <v>—</v>
      </c>
      <c r="L249">
        <f>SUMPRODUCT((nCUENTA=1)*(nCURSO=A249)*(nASIG=B249)*(nNOTA=1))</f>
        <v>0</v>
      </c>
      <c r="M249">
        <f>SUMPRODUCT((nCUENTA=1)*(nCURSO=A249)*(nASIG=B249)*(nNOTA=2))</f>
        <v>0</v>
      </c>
      <c r="N249">
        <f>SUMPRODUCT((nCUENTA=1)*(nCURSO=A249)*(nASIG=B249)*(nNOTA=3))</f>
        <v>0</v>
      </c>
      <c r="O249">
        <f>SUMPRODUCT((nCUENTA=1)*(nCURSO=A249)*(nASIG=B249)*(nNOTA=4))</f>
        <v>0</v>
      </c>
      <c r="P249">
        <f>SUMPRODUCT((nCUENTA=1)*(nCURSO=A249)*(nASIG=B249)*(nNOTA=5))</f>
        <v>0</v>
      </c>
      <c r="Q249">
        <f>SUMPRODUCT((nCUENTA=1)*(nCURSO=A249)*(nASIG=B249)*(nNOTA=6))</f>
        <v>0</v>
      </c>
      <c r="R249">
        <f>SUMPRODUCT((nCUENTA=1)*(nCURSO=A249)*(nASIG=B249)*(nNOTA=7))</f>
        <v>0</v>
      </c>
      <c r="S249">
        <f>SUMPRODUCT((nCUENTA=1)*(nCURSO=A249)*(nASIG=B249)*(nNOTA=8))</f>
        <v>0</v>
      </c>
      <c r="T249">
        <f>SUMPRODUCT((nCUENTA=1)*(nCURSO=A249)*(nASIG=B249)*(nNOTA=9))</f>
        <v>0</v>
      </c>
      <c r="U249">
        <f>SUMPRODUCT((nCUENTA=1)*(nCURSO=A249)*(nASIG=B249)*(nNOTA=10))</f>
        <v>0</v>
      </c>
    </row>
    <row r="250">
      <c r="A250" t="inlineStr">
        <is>
          <t xml:space="preserve">3EPM</t>
        </is>
      </c>
      <c r="B250" cm="1">
        <f t="array" ref="B250">IFERROR(INDEX(_xlfn._xlws.FILTER(CONFIG_ASIGNATURAS!$B$2:$B$91,(CONFIG_ASIGNATURAS!$G$2:$G$91="Sí")*ISNUMBER(SEARCH("3EPM",CONFIG_ASIGNATURAS!$C$2:$C$91))),47),"")</f>
      </c>
      <c r="C250">
        <f>IF(B250="","",IFERROR(VLOOKUP(B250,CONFIG_ASIGNATURAS!$B$2:$D$91,3,FALSE()),"Asignatura"))</f>
      </c>
      <c r="D250">
        <f>SUMPRODUCT((nCUENTA=1)*(nCURSO=A250)*(nASIG=B250))</f>
        <v>0</v>
      </c>
      <c r="E250" s="10" t="str">
        <f>IFERROR(SUMPRODUCT((nCUENTA=1)*(nCURSO=A250)*(nASIG=B250)*(nNOTA))/D250,"—")</f>
        <v>—</v>
      </c>
      <c r="F250" s="10" t="str" cm="1">
        <f t="array" ref="F250">IFERROR(_xlfn.STDEV.P(_xlfn._xlws.FILTER(nNOTA,(nCUENTA=1)*(nCURSO=A250)*(nASIG=B250))),"—")</f>
        <v>—</v>
      </c>
      <c r="G250" t="str" cm="1">
        <f t="array" ref="G250">IFERROR(_xlfn.MODE.SNGL(_xlfn._xlws.FILTER(nNOTA,(nCUENTA=1)*(nCURSO=A250)*(nASIG=B250))),"—")</f>
        <v>—</v>
      </c>
      <c r="H250" s="11" t="str">
        <f>IFERROR(SUMPRODUCT((nCUENTA=1)*(nCURSO=A250)*(nASIG=B250)*(nAPTO="S"))/D250,"—")</f>
        <v>—</v>
      </c>
      <c r="I250" s="11" t="str">
        <f>IFERROR(SUMPRODUCT((nCUENTA=1)*(nCURSO=A250)*(nASIG=B250)*(nAPTO="N"))/D250,"—")</f>
        <v>—</v>
      </c>
      <c r="J250" t="str" cm="1">
        <f t="array" ref="J250">IFERROR(_xlfn.MODE.SNGL(_xlfn._xlws.FILTER(nNOTA,(nCUENTA=1)*(nCURSO=A250)*(nASIG=B250)*(nAPTO="S"))),"—")</f>
        <v>—</v>
      </c>
      <c r="K250" t="str" cm="1">
        <f t="array" ref="K250">IFERROR(_xlfn.MODE.SNGL(_xlfn._xlws.FILTER(nNOTA,(nCUENTA=1)*(nCURSO=A250)*(nASIG=B250)*(nAPTO="N"))),"—")</f>
        <v>—</v>
      </c>
      <c r="L250">
        <f>SUMPRODUCT((nCUENTA=1)*(nCURSO=A250)*(nASIG=B250)*(nNOTA=1))</f>
        <v>0</v>
      </c>
      <c r="M250">
        <f>SUMPRODUCT((nCUENTA=1)*(nCURSO=A250)*(nASIG=B250)*(nNOTA=2))</f>
        <v>0</v>
      </c>
      <c r="N250">
        <f>SUMPRODUCT((nCUENTA=1)*(nCURSO=A250)*(nASIG=B250)*(nNOTA=3))</f>
        <v>0</v>
      </c>
      <c r="O250">
        <f>SUMPRODUCT((nCUENTA=1)*(nCURSO=A250)*(nASIG=B250)*(nNOTA=4))</f>
        <v>0</v>
      </c>
      <c r="P250">
        <f>SUMPRODUCT((nCUENTA=1)*(nCURSO=A250)*(nASIG=B250)*(nNOTA=5))</f>
        <v>0</v>
      </c>
      <c r="Q250">
        <f>SUMPRODUCT((nCUENTA=1)*(nCURSO=A250)*(nASIG=B250)*(nNOTA=6))</f>
        <v>0</v>
      </c>
      <c r="R250">
        <f>SUMPRODUCT((nCUENTA=1)*(nCURSO=A250)*(nASIG=B250)*(nNOTA=7))</f>
        <v>0</v>
      </c>
      <c r="S250">
        <f>SUMPRODUCT((nCUENTA=1)*(nCURSO=A250)*(nASIG=B250)*(nNOTA=8))</f>
        <v>0</v>
      </c>
      <c r="T250">
        <f>SUMPRODUCT((nCUENTA=1)*(nCURSO=A250)*(nASIG=B250)*(nNOTA=9))</f>
        <v>0</v>
      </c>
      <c r="U250">
        <f>SUMPRODUCT((nCUENTA=1)*(nCURSO=A250)*(nASIG=B250)*(nNOTA=10))</f>
        <v>0</v>
      </c>
    </row>
    <row r="251">
      <c r="A251" t="inlineStr">
        <is>
          <t xml:space="preserve">3EPM</t>
        </is>
      </c>
      <c r="B251" cm="1">
        <f t="array" ref="B251">IFERROR(INDEX(_xlfn._xlws.FILTER(CONFIG_ASIGNATURAS!$B$2:$B$91,(CONFIG_ASIGNATURAS!$G$2:$G$91="Sí")*ISNUMBER(SEARCH("3EPM",CONFIG_ASIGNATURAS!$C$2:$C$91))),48),"")</f>
      </c>
      <c r="C251">
        <f>IF(B251="","",IFERROR(VLOOKUP(B251,CONFIG_ASIGNATURAS!$B$2:$D$91,3,FALSE()),"Asignatura"))</f>
      </c>
      <c r="D251">
        <f>SUMPRODUCT((nCUENTA=1)*(nCURSO=A251)*(nASIG=B251))</f>
        <v>0</v>
      </c>
      <c r="E251" s="10" t="str">
        <f>IFERROR(SUMPRODUCT((nCUENTA=1)*(nCURSO=A251)*(nASIG=B251)*(nNOTA))/D251,"—")</f>
        <v>—</v>
      </c>
      <c r="F251" s="10" t="str" cm="1">
        <f t="array" ref="F251">IFERROR(_xlfn.STDEV.P(_xlfn._xlws.FILTER(nNOTA,(nCUENTA=1)*(nCURSO=A251)*(nASIG=B251))),"—")</f>
        <v>—</v>
      </c>
      <c r="G251" t="str" cm="1">
        <f t="array" ref="G251">IFERROR(_xlfn.MODE.SNGL(_xlfn._xlws.FILTER(nNOTA,(nCUENTA=1)*(nCURSO=A251)*(nASIG=B251))),"—")</f>
        <v>—</v>
      </c>
      <c r="H251" s="11" t="str">
        <f>IFERROR(SUMPRODUCT((nCUENTA=1)*(nCURSO=A251)*(nASIG=B251)*(nAPTO="S"))/D251,"—")</f>
        <v>—</v>
      </c>
      <c r="I251" s="11" t="str">
        <f>IFERROR(SUMPRODUCT((nCUENTA=1)*(nCURSO=A251)*(nASIG=B251)*(nAPTO="N"))/D251,"—")</f>
        <v>—</v>
      </c>
      <c r="J251" t="str" cm="1">
        <f t="array" ref="J251">IFERROR(_xlfn.MODE.SNGL(_xlfn._xlws.FILTER(nNOTA,(nCUENTA=1)*(nCURSO=A251)*(nASIG=B251)*(nAPTO="S"))),"—")</f>
        <v>—</v>
      </c>
      <c r="K251" t="str" cm="1">
        <f t="array" ref="K251">IFERROR(_xlfn.MODE.SNGL(_xlfn._xlws.FILTER(nNOTA,(nCUENTA=1)*(nCURSO=A251)*(nASIG=B251)*(nAPTO="N"))),"—")</f>
        <v>—</v>
      </c>
      <c r="L251">
        <f>SUMPRODUCT((nCUENTA=1)*(nCURSO=A251)*(nASIG=B251)*(nNOTA=1))</f>
        <v>0</v>
      </c>
      <c r="M251">
        <f>SUMPRODUCT((nCUENTA=1)*(nCURSO=A251)*(nASIG=B251)*(nNOTA=2))</f>
        <v>0</v>
      </c>
      <c r="N251">
        <f>SUMPRODUCT((nCUENTA=1)*(nCURSO=A251)*(nASIG=B251)*(nNOTA=3))</f>
        <v>0</v>
      </c>
      <c r="O251">
        <f>SUMPRODUCT((nCUENTA=1)*(nCURSO=A251)*(nASIG=B251)*(nNOTA=4))</f>
        <v>0</v>
      </c>
      <c r="P251">
        <f>SUMPRODUCT((nCUENTA=1)*(nCURSO=A251)*(nASIG=B251)*(nNOTA=5))</f>
        <v>0</v>
      </c>
      <c r="Q251">
        <f>SUMPRODUCT((nCUENTA=1)*(nCURSO=A251)*(nASIG=B251)*(nNOTA=6))</f>
        <v>0</v>
      </c>
      <c r="R251">
        <f>SUMPRODUCT((nCUENTA=1)*(nCURSO=A251)*(nASIG=B251)*(nNOTA=7))</f>
        <v>0</v>
      </c>
      <c r="S251">
        <f>SUMPRODUCT((nCUENTA=1)*(nCURSO=A251)*(nASIG=B251)*(nNOTA=8))</f>
        <v>0</v>
      </c>
      <c r="T251">
        <f>SUMPRODUCT((nCUENTA=1)*(nCURSO=A251)*(nASIG=B251)*(nNOTA=9))</f>
        <v>0</v>
      </c>
      <c r="U251">
        <f>SUMPRODUCT((nCUENTA=1)*(nCURSO=A251)*(nASIG=B251)*(nNOTA=10))</f>
        <v>0</v>
      </c>
    </row>
    <row r="252">
      <c r="A252" t="inlineStr">
        <is>
          <t xml:space="preserve">3EPM</t>
        </is>
      </c>
      <c r="B252" cm="1">
        <f t="array" ref="B252">IFERROR(INDEX(_xlfn._xlws.FILTER(CONFIG_ASIGNATURAS!$B$2:$B$91,(CONFIG_ASIGNATURAS!$G$2:$G$91="Sí")*ISNUMBER(SEARCH("3EPM",CONFIG_ASIGNATURAS!$C$2:$C$91))),49),"")</f>
      </c>
      <c r="C252">
        <f>IF(B252="","",IFERROR(VLOOKUP(B252,CONFIG_ASIGNATURAS!$B$2:$D$91,3,FALSE()),"Asignatura"))</f>
      </c>
      <c r="D252">
        <f>SUMPRODUCT((nCUENTA=1)*(nCURSO=A252)*(nASIG=B252))</f>
        <v>0</v>
      </c>
      <c r="E252" s="10" t="str">
        <f>IFERROR(SUMPRODUCT((nCUENTA=1)*(nCURSO=A252)*(nASIG=B252)*(nNOTA))/D252,"—")</f>
        <v>—</v>
      </c>
      <c r="F252" s="10" t="str" cm="1">
        <f t="array" ref="F252">IFERROR(_xlfn.STDEV.P(_xlfn._xlws.FILTER(nNOTA,(nCUENTA=1)*(nCURSO=A252)*(nASIG=B252))),"—")</f>
        <v>—</v>
      </c>
      <c r="G252" t="str" cm="1">
        <f t="array" ref="G252">IFERROR(_xlfn.MODE.SNGL(_xlfn._xlws.FILTER(nNOTA,(nCUENTA=1)*(nCURSO=A252)*(nASIG=B252))),"—")</f>
        <v>—</v>
      </c>
      <c r="H252" s="11" t="str">
        <f>IFERROR(SUMPRODUCT((nCUENTA=1)*(nCURSO=A252)*(nASIG=B252)*(nAPTO="S"))/D252,"—")</f>
        <v>—</v>
      </c>
      <c r="I252" s="11" t="str">
        <f>IFERROR(SUMPRODUCT((nCUENTA=1)*(nCURSO=A252)*(nASIG=B252)*(nAPTO="N"))/D252,"—")</f>
        <v>—</v>
      </c>
      <c r="J252" t="str" cm="1">
        <f t="array" ref="J252">IFERROR(_xlfn.MODE.SNGL(_xlfn._xlws.FILTER(nNOTA,(nCUENTA=1)*(nCURSO=A252)*(nASIG=B252)*(nAPTO="S"))),"—")</f>
        <v>—</v>
      </c>
      <c r="K252" t="str" cm="1">
        <f t="array" ref="K252">IFERROR(_xlfn.MODE.SNGL(_xlfn._xlws.FILTER(nNOTA,(nCUENTA=1)*(nCURSO=A252)*(nASIG=B252)*(nAPTO="N"))),"—")</f>
        <v>—</v>
      </c>
      <c r="L252">
        <f>SUMPRODUCT((nCUENTA=1)*(nCURSO=A252)*(nASIG=B252)*(nNOTA=1))</f>
        <v>0</v>
      </c>
      <c r="M252">
        <f>SUMPRODUCT((nCUENTA=1)*(nCURSO=A252)*(nASIG=B252)*(nNOTA=2))</f>
        <v>0</v>
      </c>
      <c r="N252">
        <f>SUMPRODUCT((nCUENTA=1)*(nCURSO=A252)*(nASIG=B252)*(nNOTA=3))</f>
        <v>0</v>
      </c>
      <c r="O252">
        <f>SUMPRODUCT((nCUENTA=1)*(nCURSO=A252)*(nASIG=B252)*(nNOTA=4))</f>
        <v>0</v>
      </c>
      <c r="P252">
        <f>SUMPRODUCT((nCUENTA=1)*(nCURSO=A252)*(nASIG=B252)*(nNOTA=5))</f>
        <v>0</v>
      </c>
      <c r="Q252">
        <f>SUMPRODUCT((nCUENTA=1)*(nCURSO=A252)*(nASIG=B252)*(nNOTA=6))</f>
        <v>0</v>
      </c>
      <c r="R252">
        <f>SUMPRODUCT((nCUENTA=1)*(nCURSO=A252)*(nASIG=B252)*(nNOTA=7))</f>
        <v>0</v>
      </c>
      <c r="S252">
        <f>SUMPRODUCT((nCUENTA=1)*(nCURSO=A252)*(nASIG=B252)*(nNOTA=8))</f>
        <v>0</v>
      </c>
      <c r="T252">
        <f>SUMPRODUCT((nCUENTA=1)*(nCURSO=A252)*(nASIG=B252)*(nNOTA=9))</f>
        <v>0</v>
      </c>
      <c r="U252">
        <f>SUMPRODUCT((nCUENTA=1)*(nCURSO=A252)*(nASIG=B252)*(nNOTA=10))</f>
        <v>0</v>
      </c>
    </row>
    <row r="253">
      <c r="A253" t="inlineStr">
        <is>
          <t xml:space="preserve">3EPM</t>
        </is>
      </c>
      <c r="B253" cm="1">
        <f t="array" ref="B253">IFERROR(INDEX(_xlfn._xlws.FILTER(CONFIG_ASIGNATURAS!$B$2:$B$91,(CONFIG_ASIGNATURAS!$G$2:$G$91="Sí")*ISNUMBER(SEARCH("3EPM",CONFIG_ASIGNATURAS!$C$2:$C$91))),50),"")</f>
      </c>
      <c r="C253">
        <f>IF(B253="","",IFERROR(VLOOKUP(B253,CONFIG_ASIGNATURAS!$B$2:$D$91,3,FALSE()),"Asignatura"))</f>
      </c>
      <c r="D253">
        <f>SUMPRODUCT((nCUENTA=1)*(nCURSO=A253)*(nASIG=B253))</f>
        <v>0</v>
      </c>
      <c r="E253" s="10" t="str">
        <f>IFERROR(SUMPRODUCT((nCUENTA=1)*(nCURSO=A253)*(nASIG=B253)*(nNOTA))/D253,"—")</f>
        <v>—</v>
      </c>
      <c r="F253" s="10" t="str" cm="1">
        <f t="array" ref="F253">IFERROR(_xlfn.STDEV.P(_xlfn._xlws.FILTER(nNOTA,(nCUENTA=1)*(nCURSO=A253)*(nASIG=B253))),"—")</f>
        <v>—</v>
      </c>
      <c r="G253" t="str" cm="1">
        <f t="array" ref="G253">IFERROR(_xlfn.MODE.SNGL(_xlfn._xlws.FILTER(nNOTA,(nCUENTA=1)*(nCURSO=A253)*(nASIG=B253))),"—")</f>
        <v>—</v>
      </c>
      <c r="H253" s="11" t="str">
        <f>IFERROR(SUMPRODUCT((nCUENTA=1)*(nCURSO=A253)*(nASIG=B253)*(nAPTO="S"))/D253,"—")</f>
        <v>—</v>
      </c>
      <c r="I253" s="11" t="str">
        <f>IFERROR(SUMPRODUCT((nCUENTA=1)*(nCURSO=A253)*(nASIG=B253)*(nAPTO="N"))/D253,"—")</f>
        <v>—</v>
      </c>
      <c r="J253" t="str" cm="1">
        <f t="array" ref="J253">IFERROR(_xlfn.MODE.SNGL(_xlfn._xlws.FILTER(nNOTA,(nCUENTA=1)*(nCURSO=A253)*(nASIG=B253)*(nAPTO="S"))),"—")</f>
        <v>—</v>
      </c>
      <c r="K253" t="str" cm="1">
        <f t="array" ref="K253">IFERROR(_xlfn.MODE.SNGL(_xlfn._xlws.FILTER(nNOTA,(nCUENTA=1)*(nCURSO=A253)*(nASIG=B253)*(nAPTO="N"))),"—")</f>
        <v>—</v>
      </c>
      <c r="L253">
        <f>SUMPRODUCT((nCUENTA=1)*(nCURSO=A253)*(nASIG=B253)*(nNOTA=1))</f>
        <v>0</v>
      </c>
      <c r="M253">
        <f>SUMPRODUCT((nCUENTA=1)*(nCURSO=A253)*(nASIG=B253)*(nNOTA=2))</f>
        <v>0</v>
      </c>
      <c r="N253">
        <f>SUMPRODUCT((nCUENTA=1)*(nCURSO=A253)*(nASIG=B253)*(nNOTA=3))</f>
        <v>0</v>
      </c>
      <c r="O253">
        <f>SUMPRODUCT((nCUENTA=1)*(nCURSO=A253)*(nASIG=B253)*(nNOTA=4))</f>
        <v>0</v>
      </c>
      <c r="P253">
        <f>SUMPRODUCT((nCUENTA=1)*(nCURSO=A253)*(nASIG=B253)*(nNOTA=5))</f>
        <v>0</v>
      </c>
      <c r="Q253">
        <f>SUMPRODUCT((nCUENTA=1)*(nCURSO=A253)*(nASIG=B253)*(nNOTA=6))</f>
        <v>0</v>
      </c>
      <c r="R253">
        <f>SUMPRODUCT((nCUENTA=1)*(nCURSO=A253)*(nASIG=B253)*(nNOTA=7))</f>
        <v>0</v>
      </c>
      <c r="S253">
        <f>SUMPRODUCT((nCUENTA=1)*(nCURSO=A253)*(nASIG=B253)*(nNOTA=8))</f>
        <v>0</v>
      </c>
      <c r="T253">
        <f>SUMPRODUCT((nCUENTA=1)*(nCURSO=A253)*(nASIG=B253)*(nNOTA=9))</f>
        <v>0</v>
      </c>
      <c r="U253">
        <f>SUMPRODUCT((nCUENTA=1)*(nCURSO=A253)*(nASIG=B253)*(nNOTA=10))</f>
        <v>0</v>
      </c>
    </row>
    <row r="254">
      <c r="A254" t="inlineStr">
        <is>
          <t xml:space="preserve">3EPM</t>
        </is>
      </c>
      <c r="B254" cm="1">
        <f t="array" ref="B254">IFERROR(INDEX(_xlfn._xlws.FILTER(CONFIG_ASIGNATURAS!$B$2:$B$91,(CONFIG_ASIGNATURAS!$G$2:$G$91="Sí")*ISNUMBER(SEARCH("3EPM",CONFIG_ASIGNATURAS!$C$2:$C$91))),51),"")</f>
      </c>
      <c r="C254">
        <f>IF(B254="","",IFERROR(VLOOKUP(B254,CONFIG_ASIGNATURAS!$B$2:$D$91,3,FALSE()),"Asignatura"))</f>
      </c>
      <c r="D254">
        <f>SUMPRODUCT((nCUENTA=1)*(nCURSO=A254)*(nASIG=B254))</f>
        <v>0</v>
      </c>
      <c r="E254" s="10" t="str">
        <f>IFERROR(SUMPRODUCT((nCUENTA=1)*(nCURSO=A254)*(nASIG=B254)*(nNOTA))/D254,"—")</f>
        <v>—</v>
      </c>
      <c r="F254" s="10" t="str" cm="1">
        <f t="array" ref="F254">IFERROR(_xlfn.STDEV.P(_xlfn._xlws.FILTER(nNOTA,(nCUENTA=1)*(nCURSO=A254)*(nASIG=B254))),"—")</f>
        <v>—</v>
      </c>
      <c r="G254" t="str" cm="1">
        <f t="array" ref="G254">IFERROR(_xlfn.MODE.SNGL(_xlfn._xlws.FILTER(nNOTA,(nCUENTA=1)*(nCURSO=A254)*(nASIG=B254))),"—")</f>
        <v>—</v>
      </c>
      <c r="H254" s="11" t="str">
        <f>IFERROR(SUMPRODUCT((nCUENTA=1)*(nCURSO=A254)*(nASIG=B254)*(nAPTO="S"))/D254,"—")</f>
        <v>—</v>
      </c>
      <c r="I254" s="11" t="str">
        <f>IFERROR(SUMPRODUCT((nCUENTA=1)*(nCURSO=A254)*(nASIG=B254)*(nAPTO="N"))/D254,"—")</f>
        <v>—</v>
      </c>
      <c r="J254" t="str" cm="1">
        <f t="array" ref="J254">IFERROR(_xlfn.MODE.SNGL(_xlfn._xlws.FILTER(nNOTA,(nCUENTA=1)*(nCURSO=A254)*(nASIG=B254)*(nAPTO="S"))),"—")</f>
        <v>—</v>
      </c>
      <c r="K254" t="str" cm="1">
        <f t="array" ref="K254">IFERROR(_xlfn.MODE.SNGL(_xlfn._xlws.FILTER(nNOTA,(nCUENTA=1)*(nCURSO=A254)*(nASIG=B254)*(nAPTO="N"))),"—")</f>
        <v>—</v>
      </c>
      <c r="L254">
        <f>SUMPRODUCT((nCUENTA=1)*(nCURSO=A254)*(nASIG=B254)*(nNOTA=1))</f>
        <v>0</v>
      </c>
      <c r="M254">
        <f>SUMPRODUCT((nCUENTA=1)*(nCURSO=A254)*(nASIG=B254)*(nNOTA=2))</f>
        <v>0</v>
      </c>
      <c r="N254">
        <f>SUMPRODUCT((nCUENTA=1)*(nCURSO=A254)*(nASIG=B254)*(nNOTA=3))</f>
        <v>0</v>
      </c>
      <c r="O254">
        <f>SUMPRODUCT((nCUENTA=1)*(nCURSO=A254)*(nASIG=B254)*(nNOTA=4))</f>
        <v>0</v>
      </c>
      <c r="P254">
        <f>SUMPRODUCT((nCUENTA=1)*(nCURSO=A254)*(nASIG=B254)*(nNOTA=5))</f>
        <v>0</v>
      </c>
      <c r="Q254">
        <f>SUMPRODUCT((nCUENTA=1)*(nCURSO=A254)*(nASIG=B254)*(nNOTA=6))</f>
        <v>0</v>
      </c>
      <c r="R254">
        <f>SUMPRODUCT((nCUENTA=1)*(nCURSO=A254)*(nASIG=B254)*(nNOTA=7))</f>
        <v>0</v>
      </c>
      <c r="S254">
        <f>SUMPRODUCT((nCUENTA=1)*(nCURSO=A254)*(nASIG=B254)*(nNOTA=8))</f>
        <v>0</v>
      </c>
      <c r="T254">
        <f>SUMPRODUCT((nCUENTA=1)*(nCURSO=A254)*(nASIG=B254)*(nNOTA=9))</f>
        <v>0</v>
      </c>
      <c r="U254">
        <f>SUMPRODUCT((nCUENTA=1)*(nCURSO=A254)*(nASIG=B254)*(nNOTA=10))</f>
        <v>0</v>
      </c>
    </row>
    <row r="255">
      <c r="A255" t="inlineStr">
        <is>
          <t xml:space="preserve">3EPM</t>
        </is>
      </c>
      <c r="B255" cm="1">
        <f t="array" ref="B255">IFERROR(INDEX(_xlfn._xlws.FILTER(CONFIG_ASIGNATURAS!$B$2:$B$91,(CONFIG_ASIGNATURAS!$G$2:$G$91="Sí")*ISNUMBER(SEARCH("3EPM",CONFIG_ASIGNATURAS!$C$2:$C$91))),52),"")</f>
      </c>
      <c r="C255">
        <f>IF(B255="","",IFERROR(VLOOKUP(B255,CONFIG_ASIGNATURAS!$B$2:$D$91,3,FALSE()),"Asignatura"))</f>
      </c>
      <c r="D255">
        <f>SUMPRODUCT((nCUENTA=1)*(nCURSO=A255)*(nASIG=B255))</f>
        <v>0</v>
      </c>
      <c r="E255" s="10" t="str">
        <f>IFERROR(SUMPRODUCT((nCUENTA=1)*(nCURSO=A255)*(nASIG=B255)*(nNOTA))/D255,"—")</f>
        <v>—</v>
      </c>
      <c r="F255" s="10" t="str" cm="1">
        <f t="array" ref="F255">IFERROR(_xlfn.STDEV.P(_xlfn._xlws.FILTER(nNOTA,(nCUENTA=1)*(nCURSO=A255)*(nASIG=B255))),"—")</f>
        <v>—</v>
      </c>
      <c r="G255" t="str" cm="1">
        <f t="array" ref="G255">IFERROR(_xlfn.MODE.SNGL(_xlfn._xlws.FILTER(nNOTA,(nCUENTA=1)*(nCURSO=A255)*(nASIG=B255))),"—")</f>
        <v>—</v>
      </c>
      <c r="H255" s="11" t="str">
        <f>IFERROR(SUMPRODUCT((nCUENTA=1)*(nCURSO=A255)*(nASIG=B255)*(nAPTO="S"))/D255,"—")</f>
        <v>—</v>
      </c>
      <c r="I255" s="11" t="str">
        <f>IFERROR(SUMPRODUCT((nCUENTA=1)*(nCURSO=A255)*(nASIG=B255)*(nAPTO="N"))/D255,"—")</f>
        <v>—</v>
      </c>
      <c r="J255" t="str" cm="1">
        <f t="array" ref="J255">IFERROR(_xlfn.MODE.SNGL(_xlfn._xlws.FILTER(nNOTA,(nCUENTA=1)*(nCURSO=A255)*(nASIG=B255)*(nAPTO="S"))),"—")</f>
        <v>—</v>
      </c>
      <c r="K255" t="str" cm="1">
        <f t="array" ref="K255">IFERROR(_xlfn.MODE.SNGL(_xlfn._xlws.FILTER(nNOTA,(nCUENTA=1)*(nCURSO=A255)*(nASIG=B255)*(nAPTO="N"))),"—")</f>
        <v>—</v>
      </c>
      <c r="L255">
        <f>SUMPRODUCT((nCUENTA=1)*(nCURSO=A255)*(nASIG=B255)*(nNOTA=1))</f>
        <v>0</v>
      </c>
      <c r="M255">
        <f>SUMPRODUCT((nCUENTA=1)*(nCURSO=A255)*(nASIG=B255)*(nNOTA=2))</f>
        <v>0</v>
      </c>
      <c r="N255">
        <f>SUMPRODUCT((nCUENTA=1)*(nCURSO=A255)*(nASIG=B255)*(nNOTA=3))</f>
        <v>0</v>
      </c>
      <c r="O255">
        <f>SUMPRODUCT((nCUENTA=1)*(nCURSO=A255)*(nASIG=B255)*(nNOTA=4))</f>
        <v>0</v>
      </c>
      <c r="P255">
        <f>SUMPRODUCT((nCUENTA=1)*(nCURSO=A255)*(nASIG=B255)*(nNOTA=5))</f>
        <v>0</v>
      </c>
      <c r="Q255">
        <f>SUMPRODUCT((nCUENTA=1)*(nCURSO=A255)*(nASIG=B255)*(nNOTA=6))</f>
        <v>0</v>
      </c>
      <c r="R255">
        <f>SUMPRODUCT((nCUENTA=1)*(nCURSO=A255)*(nASIG=B255)*(nNOTA=7))</f>
        <v>0</v>
      </c>
      <c r="S255">
        <f>SUMPRODUCT((nCUENTA=1)*(nCURSO=A255)*(nASIG=B255)*(nNOTA=8))</f>
        <v>0</v>
      </c>
      <c r="T255">
        <f>SUMPRODUCT((nCUENTA=1)*(nCURSO=A255)*(nASIG=B255)*(nNOTA=9))</f>
        <v>0</v>
      </c>
      <c r="U255">
        <f>SUMPRODUCT((nCUENTA=1)*(nCURSO=A255)*(nASIG=B255)*(nNOTA=10))</f>
        <v>0</v>
      </c>
    </row>
    <row r="256">
      <c r="A256" t="inlineStr">
        <is>
          <t xml:space="preserve">3EPM</t>
        </is>
      </c>
      <c r="B256" cm="1">
        <f t="array" ref="B256">IFERROR(INDEX(_xlfn._xlws.FILTER(CONFIG_ASIGNATURAS!$B$2:$B$91,(CONFIG_ASIGNATURAS!$G$2:$G$91="Sí")*ISNUMBER(SEARCH("3EPM",CONFIG_ASIGNATURAS!$C$2:$C$91))),53),"")</f>
      </c>
      <c r="C256">
        <f>IF(B256="","",IFERROR(VLOOKUP(B256,CONFIG_ASIGNATURAS!$B$2:$D$91,3,FALSE()),"Asignatura"))</f>
      </c>
      <c r="D256">
        <f>SUMPRODUCT((nCUENTA=1)*(nCURSO=A256)*(nASIG=B256))</f>
        <v>0</v>
      </c>
      <c r="E256" s="10" t="str">
        <f>IFERROR(SUMPRODUCT((nCUENTA=1)*(nCURSO=A256)*(nASIG=B256)*(nNOTA))/D256,"—")</f>
        <v>—</v>
      </c>
      <c r="F256" s="10" t="str" cm="1">
        <f t="array" ref="F256">IFERROR(_xlfn.STDEV.P(_xlfn._xlws.FILTER(nNOTA,(nCUENTA=1)*(nCURSO=A256)*(nASIG=B256))),"—")</f>
        <v>—</v>
      </c>
      <c r="G256" t="str" cm="1">
        <f t="array" ref="G256">IFERROR(_xlfn.MODE.SNGL(_xlfn._xlws.FILTER(nNOTA,(nCUENTA=1)*(nCURSO=A256)*(nASIG=B256))),"—")</f>
        <v>—</v>
      </c>
      <c r="H256" s="11" t="str">
        <f>IFERROR(SUMPRODUCT((nCUENTA=1)*(nCURSO=A256)*(nASIG=B256)*(nAPTO="S"))/D256,"—")</f>
        <v>—</v>
      </c>
      <c r="I256" s="11" t="str">
        <f>IFERROR(SUMPRODUCT((nCUENTA=1)*(nCURSO=A256)*(nASIG=B256)*(nAPTO="N"))/D256,"—")</f>
        <v>—</v>
      </c>
      <c r="J256" t="str" cm="1">
        <f t="array" ref="J256">IFERROR(_xlfn.MODE.SNGL(_xlfn._xlws.FILTER(nNOTA,(nCUENTA=1)*(nCURSO=A256)*(nASIG=B256)*(nAPTO="S"))),"—")</f>
        <v>—</v>
      </c>
      <c r="K256" t="str" cm="1">
        <f t="array" ref="K256">IFERROR(_xlfn.MODE.SNGL(_xlfn._xlws.FILTER(nNOTA,(nCUENTA=1)*(nCURSO=A256)*(nASIG=B256)*(nAPTO="N"))),"—")</f>
        <v>—</v>
      </c>
      <c r="L256">
        <f>SUMPRODUCT((nCUENTA=1)*(nCURSO=A256)*(nASIG=B256)*(nNOTA=1))</f>
        <v>0</v>
      </c>
      <c r="M256">
        <f>SUMPRODUCT((nCUENTA=1)*(nCURSO=A256)*(nASIG=B256)*(nNOTA=2))</f>
        <v>0</v>
      </c>
      <c r="N256">
        <f>SUMPRODUCT((nCUENTA=1)*(nCURSO=A256)*(nASIG=B256)*(nNOTA=3))</f>
        <v>0</v>
      </c>
      <c r="O256">
        <f>SUMPRODUCT((nCUENTA=1)*(nCURSO=A256)*(nASIG=B256)*(nNOTA=4))</f>
        <v>0</v>
      </c>
      <c r="P256">
        <f>SUMPRODUCT((nCUENTA=1)*(nCURSO=A256)*(nASIG=B256)*(nNOTA=5))</f>
        <v>0</v>
      </c>
      <c r="Q256">
        <f>SUMPRODUCT((nCUENTA=1)*(nCURSO=A256)*(nASIG=B256)*(nNOTA=6))</f>
        <v>0</v>
      </c>
      <c r="R256">
        <f>SUMPRODUCT((nCUENTA=1)*(nCURSO=A256)*(nASIG=B256)*(nNOTA=7))</f>
        <v>0</v>
      </c>
      <c r="S256">
        <f>SUMPRODUCT((nCUENTA=1)*(nCURSO=A256)*(nASIG=B256)*(nNOTA=8))</f>
        <v>0</v>
      </c>
      <c r="T256">
        <f>SUMPRODUCT((nCUENTA=1)*(nCURSO=A256)*(nASIG=B256)*(nNOTA=9))</f>
        <v>0</v>
      </c>
      <c r="U256">
        <f>SUMPRODUCT((nCUENTA=1)*(nCURSO=A256)*(nASIG=B256)*(nNOTA=10))</f>
        <v>0</v>
      </c>
    </row>
    <row r="257">
      <c r="A257" t="inlineStr">
        <is>
          <t xml:space="preserve">3EPM</t>
        </is>
      </c>
      <c r="B257" cm="1">
        <f t="array" ref="B257">IFERROR(INDEX(_xlfn._xlws.FILTER(CONFIG_ASIGNATURAS!$B$2:$B$91,(CONFIG_ASIGNATURAS!$G$2:$G$91="Sí")*ISNUMBER(SEARCH("3EPM",CONFIG_ASIGNATURAS!$C$2:$C$91))),54),"")</f>
      </c>
      <c r="C257">
        <f>IF(B257="","",IFERROR(VLOOKUP(B257,CONFIG_ASIGNATURAS!$B$2:$D$91,3,FALSE()),"Asignatura"))</f>
      </c>
      <c r="D257">
        <f>SUMPRODUCT((nCUENTA=1)*(nCURSO=A257)*(nASIG=B257))</f>
        <v>0</v>
      </c>
      <c r="E257" s="10" t="str">
        <f>IFERROR(SUMPRODUCT((nCUENTA=1)*(nCURSO=A257)*(nASIG=B257)*(nNOTA))/D257,"—")</f>
        <v>—</v>
      </c>
      <c r="F257" s="10" t="str" cm="1">
        <f t="array" ref="F257">IFERROR(_xlfn.STDEV.P(_xlfn._xlws.FILTER(nNOTA,(nCUENTA=1)*(nCURSO=A257)*(nASIG=B257))),"—")</f>
        <v>—</v>
      </c>
      <c r="G257" t="str" cm="1">
        <f t="array" ref="G257">IFERROR(_xlfn.MODE.SNGL(_xlfn._xlws.FILTER(nNOTA,(nCUENTA=1)*(nCURSO=A257)*(nASIG=B257))),"—")</f>
        <v>—</v>
      </c>
      <c r="H257" s="11" t="str">
        <f>IFERROR(SUMPRODUCT((nCUENTA=1)*(nCURSO=A257)*(nASIG=B257)*(nAPTO="S"))/D257,"—")</f>
        <v>—</v>
      </c>
      <c r="I257" s="11" t="str">
        <f>IFERROR(SUMPRODUCT((nCUENTA=1)*(nCURSO=A257)*(nASIG=B257)*(nAPTO="N"))/D257,"—")</f>
        <v>—</v>
      </c>
      <c r="J257" t="str" cm="1">
        <f t="array" ref="J257">IFERROR(_xlfn.MODE.SNGL(_xlfn._xlws.FILTER(nNOTA,(nCUENTA=1)*(nCURSO=A257)*(nASIG=B257)*(nAPTO="S"))),"—")</f>
        <v>—</v>
      </c>
      <c r="K257" t="str" cm="1">
        <f t="array" ref="K257">IFERROR(_xlfn.MODE.SNGL(_xlfn._xlws.FILTER(nNOTA,(nCUENTA=1)*(nCURSO=A257)*(nASIG=B257)*(nAPTO="N"))),"—")</f>
        <v>—</v>
      </c>
      <c r="L257">
        <f>SUMPRODUCT((nCUENTA=1)*(nCURSO=A257)*(nASIG=B257)*(nNOTA=1))</f>
        <v>0</v>
      </c>
      <c r="M257">
        <f>SUMPRODUCT((nCUENTA=1)*(nCURSO=A257)*(nASIG=B257)*(nNOTA=2))</f>
        <v>0</v>
      </c>
      <c r="N257">
        <f>SUMPRODUCT((nCUENTA=1)*(nCURSO=A257)*(nASIG=B257)*(nNOTA=3))</f>
        <v>0</v>
      </c>
      <c r="O257">
        <f>SUMPRODUCT((nCUENTA=1)*(nCURSO=A257)*(nASIG=B257)*(nNOTA=4))</f>
        <v>0</v>
      </c>
      <c r="P257">
        <f>SUMPRODUCT((nCUENTA=1)*(nCURSO=A257)*(nASIG=B257)*(nNOTA=5))</f>
        <v>0</v>
      </c>
      <c r="Q257">
        <f>SUMPRODUCT((nCUENTA=1)*(nCURSO=A257)*(nASIG=B257)*(nNOTA=6))</f>
        <v>0</v>
      </c>
      <c r="R257">
        <f>SUMPRODUCT((nCUENTA=1)*(nCURSO=A257)*(nASIG=B257)*(nNOTA=7))</f>
        <v>0</v>
      </c>
      <c r="S257">
        <f>SUMPRODUCT((nCUENTA=1)*(nCURSO=A257)*(nASIG=B257)*(nNOTA=8))</f>
        <v>0</v>
      </c>
      <c r="T257">
        <f>SUMPRODUCT((nCUENTA=1)*(nCURSO=A257)*(nASIG=B257)*(nNOTA=9))</f>
        <v>0</v>
      </c>
      <c r="U257">
        <f>SUMPRODUCT((nCUENTA=1)*(nCURSO=A257)*(nASIG=B257)*(nNOTA=10))</f>
        <v>0</v>
      </c>
    </row>
    <row r="258">
      <c r="A258" t="inlineStr">
        <is>
          <t xml:space="preserve">3EPM</t>
        </is>
      </c>
      <c r="B258" cm="1">
        <f t="array" ref="B258">IFERROR(INDEX(_xlfn._xlws.FILTER(CONFIG_ASIGNATURAS!$B$2:$B$91,(CONFIG_ASIGNATURAS!$G$2:$G$91="Sí")*ISNUMBER(SEARCH("3EPM",CONFIG_ASIGNATURAS!$C$2:$C$91))),55),"")</f>
      </c>
      <c r="C258">
        <f>IF(B258="","",IFERROR(VLOOKUP(B258,CONFIG_ASIGNATURAS!$B$2:$D$91,3,FALSE()),"Asignatura"))</f>
      </c>
      <c r="D258">
        <f>SUMPRODUCT((nCUENTA=1)*(nCURSO=A258)*(nASIG=B258))</f>
        <v>0</v>
      </c>
      <c r="E258" s="10" t="str">
        <f>IFERROR(SUMPRODUCT((nCUENTA=1)*(nCURSO=A258)*(nASIG=B258)*(nNOTA))/D258,"—")</f>
        <v>—</v>
      </c>
      <c r="F258" s="10" t="str" cm="1">
        <f t="array" ref="F258">IFERROR(_xlfn.STDEV.P(_xlfn._xlws.FILTER(nNOTA,(nCUENTA=1)*(nCURSO=A258)*(nASIG=B258))),"—")</f>
        <v>—</v>
      </c>
      <c r="G258" t="str" cm="1">
        <f t="array" ref="G258">IFERROR(_xlfn.MODE.SNGL(_xlfn._xlws.FILTER(nNOTA,(nCUENTA=1)*(nCURSO=A258)*(nASIG=B258))),"—")</f>
        <v>—</v>
      </c>
      <c r="H258" s="11" t="str">
        <f>IFERROR(SUMPRODUCT((nCUENTA=1)*(nCURSO=A258)*(nASIG=B258)*(nAPTO="S"))/D258,"—")</f>
        <v>—</v>
      </c>
      <c r="I258" s="11" t="str">
        <f>IFERROR(SUMPRODUCT((nCUENTA=1)*(nCURSO=A258)*(nASIG=B258)*(nAPTO="N"))/D258,"—")</f>
        <v>—</v>
      </c>
      <c r="J258" t="str" cm="1">
        <f t="array" ref="J258">IFERROR(_xlfn.MODE.SNGL(_xlfn._xlws.FILTER(nNOTA,(nCUENTA=1)*(nCURSO=A258)*(nASIG=B258)*(nAPTO="S"))),"—")</f>
        <v>—</v>
      </c>
      <c r="K258" t="str" cm="1">
        <f t="array" ref="K258">IFERROR(_xlfn.MODE.SNGL(_xlfn._xlws.FILTER(nNOTA,(nCUENTA=1)*(nCURSO=A258)*(nASIG=B258)*(nAPTO="N"))),"—")</f>
        <v>—</v>
      </c>
      <c r="L258">
        <f>SUMPRODUCT((nCUENTA=1)*(nCURSO=A258)*(nASIG=B258)*(nNOTA=1))</f>
        <v>0</v>
      </c>
      <c r="M258">
        <f>SUMPRODUCT((nCUENTA=1)*(nCURSO=A258)*(nASIG=B258)*(nNOTA=2))</f>
        <v>0</v>
      </c>
      <c r="N258">
        <f>SUMPRODUCT((nCUENTA=1)*(nCURSO=A258)*(nASIG=B258)*(nNOTA=3))</f>
        <v>0</v>
      </c>
      <c r="O258">
        <f>SUMPRODUCT((nCUENTA=1)*(nCURSO=A258)*(nASIG=B258)*(nNOTA=4))</f>
        <v>0</v>
      </c>
      <c r="P258">
        <f>SUMPRODUCT((nCUENTA=1)*(nCURSO=A258)*(nASIG=B258)*(nNOTA=5))</f>
        <v>0</v>
      </c>
      <c r="Q258">
        <f>SUMPRODUCT((nCUENTA=1)*(nCURSO=A258)*(nASIG=B258)*(nNOTA=6))</f>
        <v>0</v>
      </c>
      <c r="R258">
        <f>SUMPRODUCT((nCUENTA=1)*(nCURSO=A258)*(nASIG=B258)*(nNOTA=7))</f>
        <v>0</v>
      </c>
      <c r="S258">
        <f>SUMPRODUCT((nCUENTA=1)*(nCURSO=A258)*(nASIG=B258)*(nNOTA=8))</f>
        <v>0</v>
      </c>
      <c r="T258">
        <f>SUMPRODUCT((nCUENTA=1)*(nCURSO=A258)*(nASIG=B258)*(nNOTA=9))</f>
        <v>0</v>
      </c>
      <c r="U258">
        <f>SUMPRODUCT((nCUENTA=1)*(nCURSO=A258)*(nASIG=B258)*(nNOTA=10))</f>
        <v>0</v>
      </c>
    </row>
    <row r="259">
      <c r="A259" t="inlineStr">
        <is>
          <t xml:space="preserve">3EPM</t>
        </is>
      </c>
      <c r="B259" cm="1">
        <f t="array" ref="B259">IFERROR(INDEX(_xlfn._xlws.FILTER(CONFIG_ASIGNATURAS!$B$2:$B$91,(CONFIG_ASIGNATURAS!$G$2:$G$91="Sí")*ISNUMBER(SEARCH("3EPM",CONFIG_ASIGNATURAS!$C$2:$C$91))),56),"")</f>
      </c>
      <c r="C259">
        <f>IF(B259="","",IFERROR(VLOOKUP(B259,CONFIG_ASIGNATURAS!$B$2:$D$91,3,FALSE()),"Asignatura"))</f>
      </c>
      <c r="D259">
        <f>SUMPRODUCT((nCUENTA=1)*(nCURSO=A259)*(nASIG=B259))</f>
        <v>0</v>
      </c>
      <c r="E259" s="10" t="str">
        <f>IFERROR(SUMPRODUCT((nCUENTA=1)*(nCURSO=A259)*(nASIG=B259)*(nNOTA))/D259,"—")</f>
        <v>—</v>
      </c>
      <c r="F259" s="10" t="str" cm="1">
        <f t="array" ref="F259">IFERROR(_xlfn.STDEV.P(_xlfn._xlws.FILTER(nNOTA,(nCUENTA=1)*(nCURSO=A259)*(nASIG=B259))),"—")</f>
        <v>—</v>
      </c>
      <c r="G259" t="str" cm="1">
        <f t="array" ref="G259">IFERROR(_xlfn.MODE.SNGL(_xlfn._xlws.FILTER(nNOTA,(nCUENTA=1)*(nCURSO=A259)*(nASIG=B259))),"—")</f>
        <v>—</v>
      </c>
      <c r="H259" s="11" t="str">
        <f>IFERROR(SUMPRODUCT((nCUENTA=1)*(nCURSO=A259)*(nASIG=B259)*(nAPTO="S"))/D259,"—")</f>
        <v>—</v>
      </c>
      <c r="I259" s="11" t="str">
        <f>IFERROR(SUMPRODUCT((nCUENTA=1)*(nCURSO=A259)*(nASIG=B259)*(nAPTO="N"))/D259,"—")</f>
        <v>—</v>
      </c>
      <c r="J259" t="str" cm="1">
        <f t="array" ref="J259">IFERROR(_xlfn.MODE.SNGL(_xlfn._xlws.FILTER(nNOTA,(nCUENTA=1)*(nCURSO=A259)*(nASIG=B259)*(nAPTO="S"))),"—")</f>
        <v>—</v>
      </c>
      <c r="K259" t="str" cm="1">
        <f t="array" ref="K259">IFERROR(_xlfn.MODE.SNGL(_xlfn._xlws.FILTER(nNOTA,(nCUENTA=1)*(nCURSO=A259)*(nASIG=B259)*(nAPTO="N"))),"—")</f>
        <v>—</v>
      </c>
      <c r="L259">
        <f>SUMPRODUCT((nCUENTA=1)*(nCURSO=A259)*(nASIG=B259)*(nNOTA=1))</f>
        <v>0</v>
      </c>
      <c r="M259">
        <f>SUMPRODUCT((nCUENTA=1)*(nCURSO=A259)*(nASIG=B259)*(nNOTA=2))</f>
        <v>0</v>
      </c>
      <c r="N259">
        <f>SUMPRODUCT((nCUENTA=1)*(nCURSO=A259)*(nASIG=B259)*(nNOTA=3))</f>
        <v>0</v>
      </c>
      <c r="O259">
        <f>SUMPRODUCT((nCUENTA=1)*(nCURSO=A259)*(nASIG=B259)*(nNOTA=4))</f>
        <v>0</v>
      </c>
      <c r="P259">
        <f>SUMPRODUCT((nCUENTA=1)*(nCURSO=A259)*(nASIG=B259)*(nNOTA=5))</f>
        <v>0</v>
      </c>
      <c r="Q259">
        <f>SUMPRODUCT((nCUENTA=1)*(nCURSO=A259)*(nASIG=B259)*(nNOTA=6))</f>
        <v>0</v>
      </c>
      <c r="R259">
        <f>SUMPRODUCT((nCUENTA=1)*(nCURSO=A259)*(nASIG=B259)*(nNOTA=7))</f>
        <v>0</v>
      </c>
      <c r="S259">
        <f>SUMPRODUCT((nCUENTA=1)*(nCURSO=A259)*(nASIG=B259)*(nNOTA=8))</f>
        <v>0</v>
      </c>
      <c r="T259">
        <f>SUMPRODUCT((nCUENTA=1)*(nCURSO=A259)*(nASIG=B259)*(nNOTA=9))</f>
        <v>0</v>
      </c>
      <c r="U259">
        <f>SUMPRODUCT((nCUENTA=1)*(nCURSO=A259)*(nASIG=B259)*(nNOTA=10))</f>
        <v>0</v>
      </c>
    </row>
    <row r="260">
      <c r="A260" t="inlineStr">
        <is>
          <t xml:space="preserve">3EPM</t>
        </is>
      </c>
      <c r="B260" cm="1">
        <f t="array" ref="B260">IFERROR(INDEX(_xlfn._xlws.FILTER(CONFIG_ASIGNATURAS!$B$2:$B$91,(CONFIG_ASIGNATURAS!$G$2:$G$91="Sí")*ISNUMBER(SEARCH("3EPM",CONFIG_ASIGNATURAS!$C$2:$C$91))),57),"")</f>
      </c>
      <c r="C260">
        <f>IF(B260="","",IFERROR(VLOOKUP(B260,CONFIG_ASIGNATURAS!$B$2:$D$91,3,FALSE()),"Asignatura"))</f>
      </c>
      <c r="D260">
        <f>SUMPRODUCT((nCUENTA=1)*(nCURSO=A260)*(nASIG=B260))</f>
        <v>0</v>
      </c>
      <c r="E260" s="10" t="str">
        <f>IFERROR(SUMPRODUCT((nCUENTA=1)*(nCURSO=A260)*(nASIG=B260)*(nNOTA))/D260,"—")</f>
        <v>—</v>
      </c>
      <c r="F260" s="10" t="str" cm="1">
        <f t="array" ref="F260">IFERROR(_xlfn.STDEV.P(_xlfn._xlws.FILTER(nNOTA,(nCUENTA=1)*(nCURSO=A260)*(nASIG=B260))),"—")</f>
        <v>—</v>
      </c>
      <c r="G260" t="str" cm="1">
        <f t="array" ref="G260">IFERROR(_xlfn.MODE.SNGL(_xlfn._xlws.FILTER(nNOTA,(nCUENTA=1)*(nCURSO=A260)*(nASIG=B260))),"—")</f>
        <v>—</v>
      </c>
      <c r="H260" s="11" t="str">
        <f>IFERROR(SUMPRODUCT((nCUENTA=1)*(nCURSO=A260)*(nASIG=B260)*(nAPTO="S"))/D260,"—")</f>
        <v>—</v>
      </c>
      <c r="I260" s="11" t="str">
        <f>IFERROR(SUMPRODUCT((nCUENTA=1)*(nCURSO=A260)*(nASIG=B260)*(nAPTO="N"))/D260,"—")</f>
        <v>—</v>
      </c>
      <c r="J260" t="str" cm="1">
        <f t="array" ref="J260">IFERROR(_xlfn.MODE.SNGL(_xlfn._xlws.FILTER(nNOTA,(nCUENTA=1)*(nCURSO=A260)*(nASIG=B260)*(nAPTO="S"))),"—")</f>
        <v>—</v>
      </c>
      <c r="K260" t="str" cm="1">
        <f t="array" ref="K260">IFERROR(_xlfn.MODE.SNGL(_xlfn._xlws.FILTER(nNOTA,(nCUENTA=1)*(nCURSO=A260)*(nASIG=B260)*(nAPTO="N"))),"—")</f>
        <v>—</v>
      </c>
      <c r="L260">
        <f>SUMPRODUCT((nCUENTA=1)*(nCURSO=A260)*(nASIG=B260)*(nNOTA=1))</f>
        <v>0</v>
      </c>
      <c r="M260">
        <f>SUMPRODUCT((nCUENTA=1)*(nCURSO=A260)*(nASIG=B260)*(nNOTA=2))</f>
        <v>0</v>
      </c>
      <c r="N260">
        <f>SUMPRODUCT((nCUENTA=1)*(nCURSO=A260)*(nASIG=B260)*(nNOTA=3))</f>
        <v>0</v>
      </c>
      <c r="O260">
        <f>SUMPRODUCT((nCUENTA=1)*(nCURSO=A260)*(nASIG=B260)*(nNOTA=4))</f>
        <v>0</v>
      </c>
      <c r="P260">
        <f>SUMPRODUCT((nCUENTA=1)*(nCURSO=A260)*(nASIG=B260)*(nNOTA=5))</f>
        <v>0</v>
      </c>
      <c r="Q260">
        <f>SUMPRODUCT((nCUENTA=1)*(nCURSO=A260)*(nASIG=B260)*(nNOTA=6))</f>
        <v>0</v>
      </c>
      <c r="R260">
        <f>SUMPRODUCT((nCUENTA=1)*(nCURSO=A260)*(nASIG=B260)*(nNOTA=7))</f>
        <v>0</v>
      </c>
      <c r="S260">
        <f>SUMPRODUCT((nCUENTA=1)*(nCURSO=A260)*(nASIG=B260)*(nNOTA=8))</f>
        <v>0</v>
      </c>
      <c r="T260">
        <f>SUMPRODUCT((nCUENTA=1)*(nCURSO=A260)*(nASIG=B260)*(nNOTA=9))</f>
        <v>0</v>
      </c>
      <c r="U260">
        <f>SUMPRODUCT((nCUENTA=1)*(nCURSO=A260)*(nASIG=B260)*(nNOTA=10))</f>
        <v>0</v>
      </c>
    </row>
    <row r="261">
      <c r="A261" t="inlineStr">
        <is>
          <t xml:space="preserve">3EPM</t>
        </is>
      </c>
      <c r="B261" cm="1">
        <f t="array" ref="B261">IFERROR(INDEX(_xlfn._xlws.FILTER(CONFIG_ASIGNATURAS!$B$2:$B$91,(CONFIG_ASIGNATURAS!$G$2:$G$91="Sí")*ISNUMBER(SEARCH("3EPM",CONFIG_ASIGNATURAS!$C$2:$C$91))),58),"")</f>
      </c>
      <c r="C261">
        <f>IF(B261="","",IFERROR(VLOOKUP(B261,CONFIG_ASIGNATURAS!$B$2:$D$91,3,FALSE()),"Asignatura"))</f>
      </c>
      <c r="D261">
        <f>SUMPRODUCT((nCUENTA=1)*(nCURSO=A261)*(nASIG=B261))</f>
        <v>0</v>
      </c>
      <c r="E261" s="10" t="str">
        <f>IFERROR(SUMPRODUCT((nCUENTA=1)*(nCURSO=A261)*(nASIG=B261)*(nNOTA))/D261,"—")</f>
        <v>—</v>
      </c>
      <c r="F261" s="10" t="str" cm="1">
        <f t="array" ref="F261">IFERROR(_xlfn.STDEV.P(_xlfn._xlws.FILTER(nNOTA,(nCUENTA=1)*(nCURSO=A261)*(nASIG=B261))),"—")</f>
        <v>—</v>
      </c>
      <c r="G261" t="str" cm="1">
        <f t="array" ref="G261">IFERROR(_xlfn.MODE.SNGL(_xlfn._xlws.FILTER(nNOTA,(nCUENTA=1)*(nCURSO=A261)*(nASIG=B261))),"—")</f>
        <v>—</v>
      </c>
      <c r="H261" s="11" t="str">
        <f>IFERROR(SUMPRODUCT((nCUENTA=1)*(nCURSO=A261)*(nASIG=B261)*(nAPTO="S"))/D261,"—")</f>
        <v>—</v>
      </c>
      <c r="I261" s="11" t="str">
        <f>IFERROR(SUMPRODUCT((nCUENTA=1)*(nCURSO=A261)*(nASIG=B261)*(nAPTO="N"))/D261,"—")</f>
        <v>—</v>
      </c>
      <c r="J261" t="str" cm="1">
        <f t="array" ref="J261">IFERROR(_xlfn.MODE.SNGL(_xlfn._xlws.FILTER(nNOTA,(nCUENTA=1)*(nCURSO=A261)*(nASIG=B261)*(nAPTO="S"))),"—")</f>
        <v>—</v>
      </c>
      <c r="K261" t="str" cm="1">
        <f t="array" ref="K261">IFERROR(_xlfn.MODE.SNGL(_xlfn._xlws.FILTER(nNOTA,(nCUENTA=1)*(nCURSO=A261)*(nASIG=B261)*(nAPTO="N"))),"—")</f>
        <v>—</v>
      </c>
      <c r="L261">
        <f>SUMPRODUCT((nCUENTA=1)*(nCURSO=A261)*(nASIG=B261)*(nNOTA=1))</f>
        <v>0</v>
      </c>
      <c r="M261">
        <f>SUMPRODUCT((nCUENTA=1)*(nCURSO=A261)*(nASIG=B261)*(nNOTA=2))</f>
        <v>0</v>
      </c>
      <c r="N261">
        <f>SUMPRODUCT((nCUENTA=1)*(nCURSO=A261)*(nASIG=B261)*(nNOTA=3))</f>
        <v>0</v>
      </c>
      <c r="O261">
        <f>SUMPRODUCT((nCUENTA=1)*(nCURSO=A261)*(nASIG=B261)*(nNOTA=4))</f>
        <v>0</v>
      </c>
      <c r="P261">
        <f>SUMPRODUCT((nCUENTA=1)*(nCURSO=A261)*(nASIG=B261)*(nNOTA=5))</f>
        <v>0</v>
      </c>
      <c r="Q261">
        <f>SUMPRODUCT((nCUENTA=1)*(nCURSO=A261)*(nASIG=B261)*(nNOTA=6))</f>
        <v>0</v>
      </c>
      <c r="R261">
        <f>SUMPRODUCT((nCUENTA=1)*(nCURSO=A261)*(nASIG=B261)*(nNOTA=7))</f>
        <v>0</v>
      </c>
      <c r="S261">
        <f>SUMPRODUCT((nCUENTA=1)*(nCURSO=A261)*(nASIG=B261)*(nNOTA=8))</f>
        <v>0</v>
      </c>
      <c r="T261">
        <f>SUMPRODUCT((nCUENTA=1)*(nCURSO=A261)*(nASIG=B261)*(nNOTA=9))</f>
        <v>0</v>
      </c>
      <c r="U261">
        <f>SUMPRODUCT((nCUENTA=1)*(nCURSO=A261)*(nASIG=B261)*(nNOTA=10))</f>
        <v>0</v>
      </c>
    </row>
    <row r="262">
      <c r="A262" t="inlineStr">
        <is>
          <t xml:space="preserve">3EPM</t>
        </is>
      </c>
      <c r="B262" cm="1">
        <f t="array" ref="B262">IFERROR(INDEX(_xlfn._xlws.FILTER(CONFIG_ASIGNATURAS!$B$2:$B$91,(CONFIG_ASIGNATURAS!$G$2:$G$91="Sí")*ISNUMBER(SEARCH("3EPM",CONFIG_ASIGNATURAS!$C$2:$C$91))),59),"")</f>
      </c>
      <c r="C262">
        <f>IF(B262="","",IFERROR(VLOOKUP(B262,CONFIG_ASIGNATURAS!$B$2:$D$91,3,FALSE()),"Asignatura"))</f>
      </c>
      <c r="D262">
        <f>SUMPRODUCT((nCUENTA=1)*(nCURSO=A262)*(nASIG=B262))</f>
        <v>0</v>
      </c>
      <c r="E262" s="10" t="str">
        <f>IFERROR(SUMPRODUCT((nCUENTA=1)*(nCURSO=A262)*(nASIG=B262)*(nNOTA))/D262,"—")</f>
        <v>—</v>
      </c>
      <c r="F262" s="10" t="str" cm="1">
        <f t="array" ref="F262">IFERROR(_xlfn.STDEV.P(_xlfn._xlws.FILTER(nNOTA,(nCUENTA=1)*(nCURSO=A262)*(nASIG=B262))),"—")</f>
        <v>—</v>
      </c>
      <c r="G262" t="str" cm="1">
        <f t="array" ref="G262">IFERROR(_xlfn.MODE.SNGL(_xlfn._xlws.FILTER(nNOTA,(nCUENTA=1)*(nCURSO=A262)*(nASIG=B262))),"—")</f>
        <v>—</v>
      </c>
      <c r="H262" s="11" t="str">
        <f>IFERROR(SUMPRODUCT((nCUENTA=1)*(nCURSO=A262)*(nASIG=B262)*(nAPTO="S"))/D262,"—")</f>
        <v>—</v>
      </c>
      <c r="I262" s="11" t="str">
        <f>IFERROR(SUMPRODUCT((nCUENTA=1)*(nCURSO=A262)*(nASIG=B262)*(nAPTO="N"))/D262,"—")</f>
        <v>—</v>
      </c>
      <c r="J262" t="str" cm="1">
        <f t="array" ref="J262">IFERROR(_xlfn.MODE.SNGL(_xlfn._xlws.FILTER(nNOTA,(nCUENTA=1)*(nCURSO=A262)*(nASIG=B262)*(nAPTO="S"))),"—")</f>
        <v>—</v>
      </c>
      <c r="K262" t="str" cm="1">
        <f t="array" ref="K262">IFERROR(_xlfn.MODE.SNGL(_xlfn._xlws.FILTER(nNOTA,(nCUENTA=1)*(nCURSO=A262)*(nASIG=B262)*(nAPTO="N"))),"—")</f>
        <v>—</v>
      </c>
      <c r="L262">
        <f>SUMPRODUCT((nCUENTA=1)*(nCURSO=A262)*(nASIG=B262)*(nNOTA=1))</f>
        <v>0</v>
      </c>
      <c r="M262">
        <f>SUMPRODUCT((nCUENTA=1)*(nCURSO=A262)*(nASIG=B262)*(nNOTA=2))</f>
        <v>0</v>
      </c>
      <c r="N262">
        <f>SUMPRODUCT((nCUENTA=1)*(nCURSO=A262)*(nASIG=B262)*(nNOTA=3))</f>
        <v>0</v>
      </c>
      <c r="O262">
        <f>SUMPRODUCT((nCUENTA=1)*(nCURSO=A262)*(nASIG=B262)*(nNOTA=4))</f>
        <v>0</v>
      </c>
      <c r="P262">
        <f>SUMPRODUCT((nCUENTA=1)*(nCURSO=A262)*(nASIG=B262)*(nNOTA=5))</f>
        <v>0</v>
      </c>
      <c r="Q262">
        <f>SUMPRODUCT((nCUENTA=1)*(nCURSO=A262)*(nASIG=B262)*(nNOTA=6))</f>
        <v>0</v>
      </c>
      <c r="R262">
        <f>SUMPRODUCT((nCUENTA=1)*(nCURSO=A262)*(nASIG=B262)*(nNOTA=7))</f>
        <v>0</v>
      </c>
      <c r="S262">
        <f>SUMPRODUCT((nCUENTA=1)*(nCURSO=A262)*(nASIG=B262)*(nNOTA=8))</f>
        <v>0</v>
      </c>
      <c r="T262">
        <f>SUMPRODUCT((nCUENTA=1)*(nCURSO=A262)*(nASIG=B262)*(nNOTA=9))</f>
        <v>0</v>
      </c>
      <c r="U262">
        <f>SUMPRODUCT((nCUENTA=1)*(nCURSO=A262)*(nASIG=B262)*(nNOTA=10))</f>
        <v>0</v>
      </c>
    </row>
    <row r="263">
      <c r="A263" t="inlineStr">
        <is>
          <t xml:space="preserve">3EPM</t>
        </is>
      </c>
      <c r="B263" cm="1">
        <f t="array" ref="B263">IFERROR(INDEX(_xlfn._xlws.FILTER(CONFIG_ASIGNATURAS!$B$2:$B$91,(CONFIG_ASIGNATURAS!$G$2:$G$91="Sí")*ISNUMBER(SEARCH("3EPM",CONFIG_ASIGNATURAS!$C$2:$C$91))),60),"")</f>
      </c>
      <c r="C263">
        <f>IF(B263="","",IFERROR(VLOOKUP(B263,CONFIG_ASIGNATURAS!$B$2:$D$91,3,FALSE()),"Asignatura"))</f>
      </c>
      <c r="D263">
        <f>SUMPRODUCT((nCUENTA=1)*(nCURSO=A263)*(nASIG=B263))</f>
        <v>0</v>
      </c>
      <c r="E263" s="10" t="str">
        <f>IFERROR(SUMPRODUCT((nCUENTA=1)*(nCURSO=A263)*(nASIG=B263)*(nNOTA))/D263,"—")</f>
        <v>—</v>
      </c>
      <c r="F263" s="10" t="str" cm="1">
        <f t="array" ref="F263">IFERROR(_xlfn.STDEV.P(_xlfn._xlws.FILTER(nNOTA,(nCUENTA=1)*(nCURSO=A263)*(nASIG=B263))),"—")</f>
        <v>—</v>
      </c>
      <c r="G263" t="str" cm="1">
        <f t="array" ref="G263">IFERROR(_xlfn.MODE.SNGL(_xlfn._xlws.FILTER(nNOTA,(nCUENTA=1)*(nCURSO=A263)*(nASIG=B263))),"—")</f>
        <v>—</v>
      </c>
      <c r="H263" s="11" t="str">
        <f>IFERROR(SUMPRODUCT((nCUENTA=1)*(nCURSO=A263)*(nASIG=B263)*(nAPTO="S"))/D263,"—")</f>
        <v>—</v>
      </c>
      <c r="I263" s="11" t="str">
        <f>IFERROR(SUMPRODUCT((nCUENTA=1)*(nCURSO=A263)*(nASIG=B263)*(nAPTO="N"))/D263,"—")</f>
        <v>—</v>
      </c>
      <c r="J263" t="str" cm="1">
        <f t="array" ref="J263">IFERROR(_xlfn.MODE.SNGL(_xlfn._xlws.FILTER(nNOTA,(nCUENTA=1)*(nCURSO=A263)*(nASIG=B263)*(nAPTO="S"))),"—")</f>
        <v>—</v>
      </c>
      <c r="K263" t="str" cm="1">
        <f t="array" ref="K263">IFERROR(_xlfn.MODE.SNGL(_xlfn._xlws.FILTER(nNOTA,(nCUENTA=1)*(nCURSO=A263)*(nASIG=B263)*(nAPTO="N"))),"—")</f>
        <v>—</v>
      </c>
      <c r="L263">
        <f>SUMPRODUCT((nCUENTA=1)*(nCURSO=A263)*(nASIG=B263)*(nNOTA=1))</f>
        <v>0</v>
      </c>
      <c r="M263">
        <f>SUMPRODUCT((nCUENTA=1)*(nCURSO=A263)*(nASIG=B263)*(nNOTA=2))</f>
        <v>0</v>
      </c>
      <c r="N263">
        <f>SUMPRODUCT((nCUENTA=1)*(nCURSO=A263)*(nASIG=B263)*(nNOTA=3))</f>
        <v>0</v>
      </c>
      <c r="O263">
        <f>SUMPRODUCT((nCUENTA=1)*(nCURSO=A263)*(nASIG=B263)*(nNOTA=4))</f>
        <v>0</v>
      </c>
      <c r="P263">
        <f>SUMPRODUCT((nCUENTA=1)*(nCURSO=A263)*(nASIG=B263)*(nNOTA=5))</f>
        <v>0</v>
      </c>
      <c r="Q263">
        <f>SUMPRODUCT((nCUENTA=1)*(nCURSO=A263)*(nASIG=B263)*(nNOTA=6))</f>
        <v>0</v>
      </c>
      <c r="R263">
        <f>SUMPRODUCT((nCUENTA=1)*(nCURSO=A263)*(nASIG=B263)*(nNOTA=7))</f>
        <v>0</v>
      </c>
      <c r="S263">
        <f>SUMPRODUCT((nCUENTA=1)*(nCURSO=A263)*(nASIG=B263)*(nNOTA=8))</f>
        <v>0</v>
      </c>
      <c r="T263">
        <f>SUMPRODUCT((nCUENTA=1)*(nCURSO=A263)*(nASIG=B263)*(nNOTA=9))</f>
        <v>0</v>
      </c>
      <c r="U263">
        <f>SUMPRODUCT((nCUENTA=1)*(nCURSO=A263)*(nASIG=B263)*(nNOTA=10))</f>
        <v>0</v>
      </c>
    </row>
    <row r="264">
      <c r="A264" t="inlineStr">
        <is>
          <t xml:space="preserve">4EPM</t>
        </is>
      </c>
      <c r="B264" cm="1">
        <f t="array" ref="B264">IFERROR(INDEX(_xlfn._xlws.FILTER(CONFIG_ASIGNATURAS!$B$2:$B$91,(CONFIG_ASIGNATURAS!$G$2:$G$91="Sí")*ISNUMBER(SEARCH("4EPM",CONFIG_ASIGNATURAS!$C$2:$C$91))),1),"")</f>
      </c>
      <c r="C264">
        <f>IF(B264="","",IFERROR(VLOOKUP(B264,CONFIG_ASIGNATURAS!$B$2:$D$91,3,FALSE()),"Asignatura"))</f>
      </c>
      <c r="D264">
        <f>SUMPRODUCT((nCUENTA=1)*(nCURSO=A264)*(nASIG=B264))</f>
        <v>0</v>
      </c>
      <c r="E264" s="10" t="str">
        <f>IFERROR(SUMPRODUCT((nCUENTA=1)*(nCURSO=A264)*(nASIG=B264)*(nNOTA))/D264,"—")</f>
        <v>—</v>
      </c>
      <c r="F264" s="10" t="str" cm="1">
        <f t="array" ref="F264">IFERROR(_xlfn.STDEV.P(_xlfn._xlws.FILTER(nNOTA,(nCUENTA=1)*(nCURSO=A264)*(nASIG=B264))),"—")</f>
        <v>—</v>
      </c>
      <c r="G264" t="str" cm="1">
        <f t="array" ref="G264">IFERROR(_xlfn.MODE.SNGL(_xlfn._xlws.FILTER(nNOTA,(nCUENTA=1)*(nCURSO=A264)*(nASIG=B264))),"—")</f>
        <v>—</v>
      </c>
      <c r="H264" s="11" t="str">
        <f>IFERROR(SUMPRODUCT((nCUENTA=1)*(nCURSO=A264)*(nASIG=B264)*(nAPTO="S"))/D264,"—")</f>
        <v>—</v>
      </c>
      <c r="I264" s="11" t="str">
        <f>IFERROR(SUMPRODUCT((nCUENTA=1)*(nCURSO=A264)*(nASIG=B264)*(nAPTO="N"))/D264,"—")</f>
        <v>—</v>
      </c>
      <c r="J264" t="str" cm="1">
        <f t="array" ref="J264">IFERROR(_xlfn.MODE.SNGL(_xlfn._xlws.FILTER(nNOTA,(nCUENTA=1)*(nCURSO=A264)*(nASIG=B264)*(nAPTO="S"))),"—")</f>
        <v>—</v>
      </c>
      <c r="K264" t="str" cm="1">
        <f t="array" ref="K264">IFERROR(_xlfn.MODE.SNGL(_xlfn._xlws.FILTER(nNOTA,(nCUENTA=1)*(nCURSO=A264)*(nASIG=B264)*(nAPTO="N"))),"—")</f>
        <v>—</v>
      </c>
      <c r="L264">
        <f>SUMPRODUCT((nCUENTA=1)*(nCURSO=A264)*(nASIG=B264)*(nNOTA=1))</f>
        <v>0</v>
      </c>
      <c r="M264">
        <f>SUMPRODUCT((nCUENTA=1)*(nCURSO=A264)*(nASIG=B264)*(nNOTA=2))</f>
        <v>0</v>
      </c>
      <c r="N264">
        <f>SUMPRODUCT((nCUENTA=1)*(nCURSO=A264)*(nASIG=B264)*(nNOTA=3))</f>
        <v>0</v>
      </c>
      <c r="O264">
        <f>SUMPRODUCT((nCUENTA=1)*(nCURSO=A264)*(nASIG=B264)*(nNOTA=4))</f>
        <v>0</v>
      </c>
      <c r="P264">
        <f>SUMPRODUCT((nCUENTA=1)*(nCURSO=A264)*(nASIG=B264)*(nNOTA=5))</f>
        <v>0</v>
      </c>
      <c r="Q264">
        <f>SUMPRODUCT((nCUENTA=1)*(nCURSO=A264)*(nASIG=B264)*(nNOTA=6))</f>
        <v>0</v>
      </c>
      <c r="R264">
        <f>SUMPRODUCT((nCUENTA=1)*(nCURSO=A264)*(nASIG=B264)*(nNOTA=7))</f>
        <v>0</v>
      </c>
      <c r="S264">
        <f>SUMPRODUCT((nCUENTA=1)*(nCURSO=A264)*(nASIG=B264)*(nNOTA=8))</f>
        <v>0</v>
      </c>
      <c r="T264">
        <f>SUMPRODUCT((nCUENTA=1)*(nCURSO=A264)*(nASIG=B264)*(nNOTA=9))</f>
        <v>0</v>
      </c>
      <c r="U264">
        <f>SUMPRODUCT((nCUENTA=1)*(nCURSO=A264)*(nASIG=B264)*(nNOTA=10))</f>
        <v>0</v>
      </c>
    </row>
    <row r="265">
      <c r="A265" t="inlineStr">
        <is>
          <t xml:space="preserve">4EPM</t>
        </is>
      </c>
      <c r="B265" cm="1">
        <f t="array" ref="B265">IFERROR(INDEX(_xlfn._xlws.FILTER(CONFIG_ASIGNATURAS!$B$2:$B$91,(CONFIG_ASIGNATURAS!$G$2:$G$91="Sí")*ISNUMBER(SEARCH("4EPM",CONFIG_ASIGNATURAS!$C$2:$C$91))),2),"")</f>
      </c>
      <c r="C265">
        <f>IF(B265="","",IFERROR(VLOOKUP(B265,CONFIG_ASIGNATURAS!$B$2:$D$91,3,FALSE()),"Asignatura"))</f>
      </c>
      <c r="D265">
        <f>SUMPRODUCT((nCUENTA=1)*(nCURSO=A265)*(nASIG=B265))</f>
        <v>0</v>
      </c>
      <c r="E265" s="10" t="str">
        <f>IFERROR(SUMPRODUCT((nCUENTA=1)*(nCURSO=A265)*(nASIG=B265)*(nNOTA))/D265,"—")</f>
        <v>—</v>
      </c>
      <c r="F265" s="10" t="str" cm="1">
        <f t="array" ref="F265">IFERROR(_xlfn.STDEV.P(_xlfn._xlws.FILTER(nNOTA,(nCUENTA=1)*(nCURSO=A265)*(nASIG=B265))),"—")</f>
        <v>—</v>
      </c>
      <c r="G265" t="str" cm="1">
        <f t="array" ref="G265">IFERROR(_xlfn.MODE.SNGL(_xlfn._xlws.FILTER(nNOTA,(nCUENTA=1)*(nCURSO=A265)*(nASIG=B265))),"—")</f>
        <v>—</v>
      </c>
      <c r="H265" s="11" t="str">
        <f>IFERROR(SUMPRODUCT((nCUENTA=1)*(nCURSO=A265)*(nASIG=B265)*(nAPTO="S"))/D265,"—")</f>
        <v>—</v>
      </c>
      <c r="I265" s="11" t="str">
        <f>IFERROR(SUMPRODUCT((nCUENTA=1)*(nCURSO=A265)*(nASIG=B265)*(nAPTO="N"))/D265,"—")</f>
        <v>—</v>
      </c>
      <c r="J265" t="str" cm="1">
        <f t="array" ref="J265">IFERROR(_xlfn.MODE.SNGL(_xlfn._xlws.FILTER(nNOTA,(nCUENTA=1)*(nCURSO=A265)*(nASIG=B265)*(nAPTO="S"))),"—")</f>
        <v>—</v>
      </c>
      <c r="K265" t="str" cm="1">
        <f t="array" ref="K265">IFERROR(_xlfn.MODE.SNGL(_xlfn._xlws.FILTER(nNOTA,(nCUENTA=1)*(nCURSO=A265)*(nASIG=B265)*(nAPTO="N"))),"—")</f>
        <v>—</v>
      </c>
      <c r="L265">
        <f>SUMPRODUCT((nCUENTA=1)*(nCURSO=A265)*(nASIG=B265)*(nNOTA=1))</f>
        <v>0</v>
      </c>
      <c r="M265">
        <f>SUMPRODUCT((nCUENTA=1)*(nCURSO=A265)*(nASIG=B265)*(nNOTA=2))</f>
        <v>0</v>
      </c>
      <c r="N265">
        <f>SUMPRODUCT((nCUENTA=1)*(nCURSO=A265)*(nASIG=B265)*(nNOTA=3))</f>
        <v>0</v>
      </c>
      <c r="O265">
        <f>SUMPRODUCT((nCUENTA=1)*(nCURSO=A265)*(nASIG=B265)*(nNOTA=4))</f>
        <v>0</v>
      </c>
      <c r="P265">
        <f>SUMPRODUCT((nCUENTA=1)*(nCURSO=A265)*(nASIG=B265)*(nNOTA=5))</f>
        <v>0</v>
      </c>
      <c r="Q265">
        <f>SUMPRODUCT((nCUENTA=1)*(nCURSO=A265)*(nASIG=B265)*(nNOTA=6))</f>
        <v>0</v>
      </c>
      <c r="R265">
        <f>SUMPRODUCT((nCUENTA=1)*(nCURSO=A265)*(nASIG=B265)*(nNOTA=7))</f>
        <v>0</v>
      </c>
      <c r="S265">
        <f>SUMPRODUCT((nCUENTA=1)*(nCURSO=A265)*(nASIG=B265)*(nNOTA=8))</f>
        <v>0</v>
      </c>
      <c r="T265">
        <f>SUMPRODUCT((nCUENTA=1)*(nCURSO=A265)*(nASIG=B265)*(nNOTA=9))</f>
        <v>0</v>
      </c>
      <c r="U265">
        <f>SUMPRODUCT((nCUENTA=1)*(nCURSO=A265)*(nASIG=B265)*(nNOTA=10))</f>
        <v>0</v>
      </c>
    </row>
    <row r="266">
      <c r="A266" t="inlineStr">
        <is>
          <t xml:space="preserve">4EPM</t>
        </is>
      </c>
      <c r="B266" cm="1">
        <f t="array" ref="B266">IFERROR(INDEX(_xlfn._xlws.FILTER(CONFIG_ASIGNATURAS!$B$2:$B$91,(CONFIG_ASIGNATURAS!$G$2:$G$91="Sí")*ISNUMBER(SEARCH("4EPM",CONFIG_ASIGNATURAS!$C$2:$C$91))),3),"")</f>
      </c>
      <c r="C266">
        <f>IF(B266="","",IFERROR(VLOOKUP(B266,CONFIG_ASIGNATURAS!$B$2:$D$91,3,FALSE()),"Asignatura"))</f>
      </c>
      <c r="D266">
        <f>SUMPRODUCT((nCUENTA=1)*(nCURSO=A266)*(nASIG=B266))</f>
        <v>0</v>
      </c>
      <c r="E266" s="10" t="str">
        <f>IFERROR(SUMPRODUCT((nCUENTA=1)*(nCURSO=A266)*(nASIG=B266)*(nNOTA))/D266,"—")</f>
        <v>—</v>
      </c>
      <c r="F266" s="10" t="str" cm="1">
        <f t="array" ref="F266">IFERROR(_xlfn.STDEV.P(_xlfn._xlws.FILTER(nNOTA,(nCUENTA=1)*(nCURSO=A266)*(nASIG=B266))),"—")</f>
        <v>—</v>
      </c>
      <c r="G266" t="str" cm="1">
        <f t="array" ref="G266">IFERROR(_xlfn.MODE.SNGL(_xlfn._xlws.FILTER(nNOTA,(nCUENTA=1)*(nCURSO=A266)*(nASIG=B266))),"—")</f>
        <v>—</v>
      </c>
      <c r="H266" s="11" t="str">
        <f>IFERROR(SUMPRODUCT((nCUENTA=1)*(nCURSO=A266)*(nASIG=B266)*(nAPTO="S"))/D266,"—")</f>
        <v>—</v>
      </c>
      <c r="I266" s="11" t="str">
        <f>IFERROR(SUMPRODUCT((nCUENTA=1)*(nCURSO=A266)*(nASIG=B266)*(nAPTO="N"))/D266,"—")</f>
        <v>—</v>
      </c>
      <c r="J266" t="str" cm="1">
        <f t="array" ref="J266">IFERROR(_xlfn.MODE.SNGL(_xlfn._xlws.FILTER(nNOTA,(nCUENTA=1)*(nCURSO=A266)*(nASIG=B266)*(nAPTO="S"))),"—")</f>
        <v>—</v>
      </c>
      <c r="K266" t="str" cm="1">
        <f t="array" ref="K266">IFERROR(_xlfn.MODE.SNGL(_xlfn._xlws.FILTER(nNOTA,(nCUENTA=1)*(nCURSO=A266)*(nASIG=B266)*(nAPTO="N"))),"—")</f>
        <v>—</v>
      </c>
      <c r="L266">
        <f>SUMPRODUCT((nCUENTA=1)*(nCURSO=A266)*(nASIG=B266)*(nNOTA=1))</f>
        <v>0</v>
      </c>
      <c r="M266">
        <f>SUMPRODUCT((nCUENTA=1)*(nCURSO=A266)*(nASIG=B266)*(nNOTA=2))</f>
        <v>0</v>
      </c>
      <c r="N266">
        <f>SUMPRODUCT((nCUENTA=1)*(nCURSO=A266)*(nASIG=B266)*(nNOTA=3))</f>
        <v>0</v>
      </c>
      <c r="O266">
        <f>SUMPRODUCT((nCUENTA=1)*(nCURSO=A266)*(nASIG=B266)*(nNOTA=4))</f>
        <v>0</v>
      </c>
      <c r="P266">
        <f>SUMPRODUCT((nCUENTA=1)*(nCURSO=A266)*(nASIG=B266)*(nNOTA=5))</f>
        <v>0</v>
      </c>
      <c r="Q266">
        <f>SUMPRODUCT((nCUENTA=1)*(nCURSO=A266)*(nASIG=B266)*(nNOTA=6))</f>
        <v>0</v>
      </c>
      <c r="R266">
        <f>SUMPRODUCT((nCUENTA=1)*(nCURSO=A266)*(nASIG=B266)*(nNOTA=7))</f>
        <v>0</v>
      </c>
      <c r="S266">
        <f>SUMPRODUCT((nCUENTA=1)*(nCURSO=A266)*(nASIG=B266)*(nNOTA=8))</f>
        <v>0</v>
      </c>
      <c r="T266">
        <f>SUMPRODUCT((nCUENTA=1)*(nCURSO=A266)*(nASIG=B266)*(nNOTA=9))</f>
        <v>0</v>
      </c>
      <c r="U266">
        <f>SUMPRODUCT((nCUENTA=1)*(nCURSO=A266)*(nASIG=B266)*(nNOTA=10))</f>
        <v>0</v>
      </c>
    </row>
    <row r="267">
      <c r="A267" t="inlineStr">
        <is>
          <t xml:space="preserve">4EPM</t>
        </is>
      </c>
      <c r="B267" cm="1">
        <f t="array" ref="B267">IFERROR(INDEX(_xlfn._xlws.FILTER(CONFIG_ASIGNATURAS!$B$2:$B$91,(CONFIG_ASIGNATURAS!$G$2:$G$91="Sí")*ISNUMBER(SEARCH("4EPM",CONFIG_ASIGNATURAS!$C$2:$C$91))),4),"")</f>
      </c>
      <c r="C267">
        <f>IF(B267="","",IFERROR(VLOOKUP(B267,CONFIG_ASIGNATURAS!$B$2:$D$91,3,FALSE()),"Asignatura"))</f>
      </c>
      <c r="D267">
        <f>SUMPRODUCT((nCUENTA=1)*(nCURSO=A267)*(nASIG=B267))</f>
        <v>0</v>
      </c>
      <c r="E267" s="10" t="str">
        <f>IFERROR(SUMPRODUCT((nCUENTA=1)*(nCURSO=A267)*(nASIG=B267)*(nNOTA))/D267,"—")</f>
        <v>—</v>
      </c>
      <c r="F267" s="10" t="str" cm="1">
        <f t="array" ref="F267">IFERROR(_xlfn.STDEV.P(_xlfn._xlws.FILTER(nNOTA,(nCUENTA=1)*(nCURSO=A267)*(nASIG=B267))),"—")</f>
        <v>—</v>
      </c>
      <c r="G267" t="str" cm="1">
        <f t="array" ref="G267">IFERROR(_xlfn.MODE.SNGL(_xlfn._xlws.FILTER(nNOTA,(nCUENTA=1)*(nCURSO=A267)*(nASIG=B267))),"—")</f>
        <v>—</v>
      </c>
      <c r="H267" s="11" t="str">
        <f>IFERROR(SUMPRODUCT((nCUENTA=1)*(nCURSO=A267)*(nASIG=B267)*(nAPTO="S"))/D267,"—")</f>
        <v>—</v>
      </c>
      <c r="I267" s="11" t="str">
        <f>IFERROR(SUMPRODUCT((nCUENTA=1)*(nCURSO=A267)*(nASIG=B267)*(nAPTO="N"))/D267,"—")</f>
        <v>—</v>
      </c>
      <c r="J267" t="str" cm="1">
        <f t="array" ref="J267">IFERROR(_xlfn.MODE.SNGL(_xlfn._xlws.FILTER(nNOTA,(nCUENTA=1)*(nCURSO=A267)*(nASIG=B267)*(nAPTO="S"))),"—")</f>
        <v>—</v>
      </c>
      <c r="K267" t="str" cm="1">
        <f t="array" ref="K267">IFERROR(_xlfn.MODE.SNGL(_xlfn._xlws.FILTER(nNOTA,(nCUENTA=1)*(nCURSO=A267)*(nASIG=B267)*(nAPTO="N"))),"—")</f>
        <v>—</v>
      </c>
      <c r="L267">
        <f>SUMPRODUCT((nCUENTA=1)*(nCURSO=A267)*(nASIG=B267)*(nNOTA=1))</f>
        <v>0</v>
      </c>
      <c r="M267">
        <f>SUMPRODUCT((nCUENTA=1)*(nCURSO=A267)*(nASIG=B267)*(nNOTA=2))</f>
        <v>0</v>
      </c>
      <c r="N267">
        <f>SUMPRODUCT((nCUENTA=1)*(nCURSO=A267)*(nASIG=B267)*(nNOTA=3))</f>
        <v>0</v>
      </c>
      <c r="O267">
        <f>SUMPRODUCT((nCUENTA=1)*(nCURSO=A267)*(nASIG=B267)*(nNOTA=4))</f>
        <v>0</v>
      </c>
      <c r="P267">
        <f>SUMPRODUCT((nCUENTA=1)*(nCURSO=A267)*(nASIG=B267)*(nNOTA=5))</f>
        <v>0</v>
      </c>
      <c r="Q267">
        <f>SUMPRODUCT((nCUENTA=1)*(nCURSO=A267)*(nASIG=B267)*(nNOTA=6))</f>
        <v>0</v>
      </c>
      <c r="R267">
        <f>SUMPRODUCT((nCUENTA=1)*(nCURSO=A267)*(nASIG=B267)*(nNOTA=7))</f>
        <v>0</v>
      </c>
      <c r="S267">
        <f>SUMPRODUCT((nCUENTA=1)*(nCURSO=A267)*(nASIG=B267)*(nNOTA=8))</f>
        <v>0</v>
      </c>
      <c r="T267">
        <f>SUMPRODUCT((nCUENTA=1)*(nCURSO=A267)*(nASIG=B267)*(nNOTA=9))</f>
        <v>0</v>
      </c>
      <c r="U267">
        <f>SUMPRODUCT((nCUENTA=1)*(nCURSO=A267)*(nASIG=B267)*(nNOTA=10))</f>
        <v>0</v>
      </c>
    </row>
    <row r="268">
      <c r="A268" t="inlineStr">
        <is>
          <t xml:space="preserve">4EPM</t>
        </is>
      </c>
      <c r="B268" cm="1">
        <f t="array" ref="B268">IFERROR(INDEX(_xlfn._xlws.FILTER(CONFIG_ASIGNATURAS!$B$2:$B$91,(CONFIG_ASIGNATURAS!$G$2:$G$91="Sí")*ISNUMBER(SEARCH("4EPM",CONFIG_ASIGNATURAS!$C$2:$C$91))),5),"")</f>
      </c>
      <c r="C268">
        <f>IF(B268="","",IFERROR(VLOOKUP(B268,CONFIG_ASIGNATURAS!$B$2:$D$91,3,FALSE()),"Asignatura"))</f>
      </c>
      <c r="D268">
        <f>SUMPRODUCT((nCUENTA=1)*(nCURSO=A268)*(nASIG=B268))</f>
        <v>0</v>
      </c>
      <c r="E268" s="10" t="str">
        <f>IFERROR(SUMPRODUCT((nCUENTA=1)*(nCURSO=A268)*(nASIG=B268)*(nNOTA))/D268,"—")</f>
        <v>—</v>
      </c>
      <c r="F268" s="10" t="str" cm="1">
        <f t="array" ref="F268">IFERROR(_xlfn.STDEV.P(_xlfn._xlws.FILTER(nNOTA,(nCUENTA=1)*(nCURSO=A268)*(nASIG=B268))),"—")</f>
        <v>—</v>
      </c>
      <c r="G268" t="str" cm="1">
        <f t="array" ref="G268">IFERROR(_xlfn.MODE.SNGL(_xlfn._xlws.FILTER(nNOTA,(nCUENTA=1)*(nCURSO=A268)*(nASIG=B268))),"—")</f>
        <v>—</v>
      </c>
      <c r="H268" s="11" t="str">
        <f>IFERROR(SUMPRODUCT((nCUENTA=1)*(nCURSO=A268)*(nASIG=B268)*(nAPTO="S"))/D268,"—")</f>
        <v>—</v>
      </c>
      <c r="I268" s="11" t="str">
        <f>IFERROR(SUMPRODUCT((nCUENTA=1)*(nCURSO=A268)*(nASIG=B268)*(nAPTO="N"))/D268,"—")</f>
        <v>—</v>
      </c>
      <c r="J268" t="str" cm="1">
        <f t="array" ref="J268">IFERROR(_xlfn.MODE.SNGL(_xlfn._xlws.FILTER(nNOTA,(nCUENTA=1)*(nCURSO=A268)*(nASIG=B268)*(nAPTO="S"))),"—")</f>
        <v>—</v>
      </c>
      <c r="K268" t="str" cm="1">
        <f t="array" ref="K268">IFERROR(_xlfn.MODE.SNGL(_xlfn._xlws.FILTER(nNOTA,(nCUENTA=1)*(nCURSO=A268)*(nASIG=B268)*(nAPTO="N"))),"—")</f>
        <v>—</v>
      </c>
      <c r="L268">
        <f>SUMPRODUCT((nCUENTA=1)*(nCURSO=A268)*(nASIG=B268)*(nNOTA=1))</f>
        <v>0</v>
      </c>
      <c r="M268">
        <f>SUMPRODUCT((nCUENTA=1)*(nCURSO=A268)*(nASIG=B268)*(nNOTA=2))</f>
        <v>0</v>
      </c>
      <c r="N268">
        <f>SUMPRODUCT((nCUENTA=1)*(nCURSO=A268)*(nASIG=B268)*(nNOTA=3))</f>
        <v>0</v>
      </c>
      <c r="O268">
        <f>SUMPRODUCT((nCUENTA=1)*(nCURSO=A268)*(nASIG=B268)*(nNOTA=4))</f>
        <v>0</v>
      </c>
      <c r="P268">
        <f>SUMPRODUCT((nCUENTA=1)*(nCURSO=A268)*(nASIG=B268)*(nNOTA=5))</f>
        <v>0</v>
      </c>
      <c r="Q268">
        <f>SUMPRODUCT((nCUENTA=1)*(nCURSO=A268)*(nASIG=B268)*(nNOTA=6))</f>
        <v>0</v>
      </c>
      <c r="R268">
        <f>SUMPRODUCT((nCUENTA=1)*(nCURSO=A268)*(nASIG=B268)*(nNOTA=7))</f>
        <v>0</v>
      </c>
      <c r="S268">
        <f>SUMPRODUCT((nCUENTA=1)*(nCURSO=A268)*(nASIG=B268)*(nNOTA=8))</f>
        <v>0</v>
      </c>
      <c r="T268">
        <f>SUMPRODUCT((nCUENTA=1)*(nCURSO=A268)*(nASIG=B268)*(nNOTA=9))</f>
        <v>0</v>
      </c>
      <c r="U268">
        <f>SUMPRODUCT((nCUENTA=1)*(nCURSO=A268)*(nASIG=B268)*(nNOTA=10))</f>
        <v>0</v>
      </c>
    </row>
    <row r="269">
      <c r="A269" t="inlineStr">
        <is>
          <t xml:space="preserve">4EPM</t>
        </is>
      </c>
      <c r="B269" cm="1">
        <f t="array" ref="B269">IFERROR(INDEX(_xlfn._xlws.FILTER(CONFIG_ASIGNATURAS!$B$2:$B$91,(CONFIG_ASIGNATURAS!$G$2:$G$91="Sí")*ISNUMBER(SEARCH("4EPM",CONFIG_ASIGNATURAS!$C$2:$C$91))),6),"")</f>
      </c>
      <c r="C269">
        <f>IF(B269="","",IFERROR(VLOOKUP(B269,CONFIG_ASIGNATURAS!$B$2:$D$91,3,FALSE()),"Asignatura"))</f>
      </c>
      <c r="D269">
        <f>SUMPRODUCT((nCUENTA=1)*(nCURSO=A269)*(nASIG=B269))</f>
        <v>0</v>
      </c>
      <c r="E269" s="10" t="str">
        <f>IFERROR(SUMPRODUCT((nCUENTA=1)*(nCURSO=A269)*(nASIG=B269)*(nNOTA))/D269,"—")</f>
        <v>—</v>
      </c>
      <c r="F269" s="10" t="str" cm="1">
        <f t="array" ref="F269">IFERROR(_xlfn.STDEV.P(_xlfn._xlws.FILTER(nNOTA,(nCUENTA=1)*(nCURSO=A269)*(nASIG=B269))),"—")</f>
        <v>—</v>
      </c>
      <c r="G269" t="str" cm="1">
        <f t="array" ref="G269">IFERROR(_xlfn.MODE.SNGL(_xlfn._xlws.FILTER(nNOTA,(nCUENTA=1)*(nCURSO=A269)*(nASIG=B269))),"—")</f>
        <v>—</v>
      </c>
      <c r="H269" s="11" t="str">
        <f>IFERROR(SUMPRODUCT((nCUENTA=1)*(nCURSO=A269)*(nASIG=B269)*(nAPTO="S"))/D269,"—")</f>
        <v>—</v>
      </c>
      <c r="I269" s="11" t="str">
        <f>IFERROR(SUMPRODUCT((nCUENTA=1)*(nCURSO=A269)*(nASIG=B269)*(nAPTO="N"))/D269,"—")</f>
        <v>—</v>
      </c>
      <c r="J269" t="str" cm="1">
        <f t="array" ref="J269">IFERROR(_xlfn.MODE.SNGL(_xlfn._xlws.FILTER(nNOTA,(nCUENTA=1)*(nCURSO=A269)*(nASIG=B269)*(nAPTO="S"))),"—")</f>
        <v>—</v>
      </c>
      <c r="K269" t="str" cm="1">
        <f t="array" ref="K269">IFERROR(_xlfn.MODE.SNGL(_xlfn._xlws.FILTER(nNOTA,(nCUENTA=1)*(nCURSO=A269)*(nASIG=B269)*(nAPTO="N"))),"—")</f>
        <v>—</v>
      </c>
      <c r="L269">
        <f>SUMPRODUCT((nCUENTA=1)*(nCURSO=A269)*(nASIG=B269)*(nNOTA=1))</f>
        <v>0</v>
      </c>
      <c r="M269">
        <f>SUMPRODUCT((nCUENTA=1)*(nCURSO=A269)*(nASIG=B269)*(nNOTA=2))</f>
        <v>0</v>
      </c>
      <c r="N269">
        <f>SUMPRODUCT((nCUENTA=1)*(nCURSO=A269)*(nASIG=B269)*(nNOTA=3))</f>
        <v>0</v>
      </c>
      <c r="O269">
        <f>SUMPRODUCT((nCUENTA=1)*(nCURSO=A269)*(nASIG=B269)*(nNOTA=4))</f>
        <v>0</v>
      </c>
      <c r="P269">
        <f>SUMPRODUCT((nCUENTA=1)*(nCURSO=A269)*(nASIG=B269)*(nNOTA=5))</f>
        <v>0</v>
      </c>
      <c r="Q269">
        <f>SUMPRODUCT((nCUENTA=1)*(nCURSO=A269)*(nASIG=B269)*(nNOTA=6))</f>
        <v>0</v>
      </c>
      <c r="R269">
        <f>SUMPRODUCT((nCUENTA=1)*(nCURSO=A269)*(nASIG=B269)*(nNOTA=7))</f>
        <v>0</v>
      </c>
      <c r="S269">
        <f>SUMPRODUCT((nCUENTA=1)*(nCURSO=A269)*(nASIG=B269)*(nNOTA=8))</f>
        <v>0</v>
      </c>
      <c r="T269">
        <f>SUMPRODUCT((nCUENTA=1)*(nCURSO=A269)*(nASIG=B269)*(nNOTA=9))</f>
        <v>0</v>
      </c>
      <c r="U269">
        <f>SUMPRODUCT((nCUENTA=1)*(nCURSO=A269)*(nASIG=B269)*(nNOTA=10))</f>
        <v>0</v>
      </c>
    </row>
    <row r="270">
      <c r="A270" t="inlineStr">
        <is>
          <t xml:space="preserve">4EPM</t>
        </is>
      </c>
      <c r="B270" cm="1">
        <f t="array" ref="B270">IFERROR(INDEX(_xlfn._xlws.FILTER(CONFIG_ASIGNATURAS!$B$2:$B$91,(CONFIG_ASIGNATURAS!$G$2:$G$91="Sí")*ISNUMBER(SEARCH("4EPM",CONFIG_ASIGNATURAS!$C$2:$C$91))),7),"")</f>
      </c>
      <c r="C270">
        <f>IF(B270="","",IFERROR(VLOOKUP(B270,CONFIG_ASIGNATURAS!$B$2:$D$91,3,FALSE()),"Asignatura"))</f>
      </c>
      <c r="D270">
        <f>SUMPRODUCT((nCUENTA=1)*(nCURSO=A270)*(nASIG=B270))</f>
        <v>0</v>
      </c>
      <c r="E270" s="10" t="str">
        <f>IFERROR(SUMPRODUCT((nCUENTA=1)*(nCURSO=A270)*(nASIG=B270)*(nNOTA))/D270,"—")</f>
        <v>—</v>
      </c>
      <c r="F270" s="10" t="str" cm="1">
        <f t="array" ref="F270">IFERROR(_xlfn.STDEV.P(_xlfn._xlws.FILTER(nNOTA,(nCUENTA=1)*(nCURSO=A270)*(nASIG=B270))),"—")</f>
        <v>—</v>
      </c>
      <c r="G270" t="str" cm="1">
        <f t="array" ref="G270">IFERROR(_xlfn.MODE.SNGL(_xlfn._xlws.FILTER(nNOTA,(nCUENTA=1)*(nCURSO=A270)*(nASIG=B270))),"—")</f>
        <v>—</v>
      </c>
      <c r="H270" s="11" t="str">
        <f>IFERROR(SUMPRODUCT((nCUENTA=1)*(nCURSO=A270)*(nASIG=B270)*(nAPTO="S"))/D270,"—")</f>
        <v>—</v>
      </c>
      <c r="I270" s="11" t="str">
        <f>IFERROR(SUMPRODUCT((nCUENTA=1)*(nCURSO=A270)*(nASIG=B270)*(nAPTO="N"))/D270,"—")</f>
        <v>—</v>
      </c>
      <c r="J270" t="str" cm="1">
        <f t="array" ref="J270">IFERROR(_xlfn.MODE.SNGL(_xlfn._xlws.FILTER(nNOTA,(nCUENTA=1)*(nCURSO=A270)*(nASIG=B270)*(nAPTO="S"))),"—")</f>
        <v>—</v>
      </c>
      <c r="K270" t="str" cm="1">
        <f t="array" ref="K270">IFERROR(_xlfn.MODE.SNGL(_xlfn._xlws.FILTER(nNOTA,(nCUENTA=1)*(nCURSO=A270)*(nASIG=B270)*(nAPTO="N"))),"—")</f>
        <v>—</v>
      </c>
      <c r="L270">
        <f>SUMPRODUCT((nCUENTA=1)*(nCURSO=A270)*(nASIG=B270)*(nNOTA=1))</f>
        <v>0</v>
      </c>
      <c r="M270">
        <f>SUMPRODUCT((nCUENTA=1)*(nCURSO=A270)*(nASIG=B270)*(nNOTA=2))</f>
        <v>0</v>
      </c>
      <c r="N270">
        <f>SUMPRODUCT((nCUENTA=1)*(nCURSO=A270)*(nASIG=B270)*(nNOTA=3))</f>
        <v>0</v>
      </c>
      <c r="O270">
        <f>SUMPRODUCT((nCUENTA=1)*(nCURSO=A270)*(nASIG=B270)*(nNOTA=4))</f>
        <v>0</v>
      </c>
      <c r="P270">
        <f>SUMPRODUCT((nCUENTA=1)*(nCURSO=A270)*(nASIG=B270)*(nNOTA=5))</f>
        <v>0</v>
      </c>
      <c r="Q270">
        <f>SUMPRODUCT((nCUENTA=1)*(nCURSO=A270)*(nASIG=B270)*(nNOTA=6))</f>
        <v>0</v>
      </c>
      <c r="R270">
        <f>SUMPRODUCT((nCUENTA=1)*(nCURSO=A270)*(nASIG=B270)*(nNOTA=7))</f>
        <v>0</v>
      </c>
      <c r="S270">
        <f>SUMPRODUCT((nCUENTA=1)*(nCURSO=A270)*(nASIG=B270)*(nNOTA=8))</f>
        <v>0</v>
      </c>
      <c r="T270">
        <f>SUMPRODUCT((nCUENTA=1)*(nCURSO=A270)*(nASIG=B270)*(nNOTA=9))</f>
        <v>0</v>
      </c>
      <c r="U270">
        <f>SUMPRODUCT((nCUENTA=1)*(nCURSO=A270)*(nASIG=B270)*(nNOTA=10))</f>
        <v>0</v>
      </c>
    </row>
    <row r="271">
      <c r="A271" t="inlineStr">
        <is>
          <t xml:space="preserve">4EPM</t>
        </is>
      </c>
      <c r="B271" cm="1">
        <f t="array" ref="B271">IFERROR(INDEX(_xlfn._xlws.FILTER(CONFIG_ASIGNATURAS!$B$2:$B$91,(CONFIG_ASIGNATURAS!$G$2:$G$91="Sí")*ISNUMBER(SEARCH("4EPM",CONFIG_ASIGNATURAS!$C$2:$C$91))),8),"")</f>
      </c>
      <c r="C271">
        <f>IF(B271="","",IFERROR(VLOOKUP(B271,CONFIG_ASIGNATURAS!$B$2:$D$91,3,FALSE()),"Asignatura"))</f>
      </c>
      <c r="D271">
        <f>SUMPRODUCT((nCUENTA=1)*(nCURSO=A271)*(nASIG=B271))</f>
        <v>0</v>
      </c>
      <c r="E271" s="10" t="str">
        <f>IFERROR(SUMPRODUCT((nCUENTA=1)*(nCURSO=A271)*(nASIG=B271)*(nNOTA))/D271,"—")</f>
        <v>—</v>
      </c>
      <c r="F271" s="10" t="str" cm="1">
        <f t="array" ref="F271">IFERROR(_xlfn.STDEV.P(_xlfn._xlws.FILTER(nNOTA,(nCUENTA=1)*(nCURSO=A271)*(nASIG=B271))),"—")</f>
        <v>—</v>
      </c>
      <c r="G271" t="str" cm="1">
        <f t="array" ref="G271">IFERROR(_xlfn.MODE.SNGL(_xlfn._xlws.FILTER(nNOTA,(nCUENTA=1)*(nCURSO=A271)*(nASIG=B271))),"—")</f>
        <v>—</v>
      </c>
      <c r="H271" s="11" t="str">
        <f>IFERROR(SUMPRODUCT((nCUENTA=1)*(nCURSO=A271)*(nASIG=B271)*(nAPTO="S"))/D271,"—")</f>
        <v>—</v>
      </c>
      <c r="I271" s="11" t="str">
        <f>IFERROR(SUMPRODUCT((nCUENTA=1)*(nCURSO=A271)*(nASIG=B271)*(nAPTO="N"))/D271,"—")</f>
        <v>—</v>
      </c>
      <c r="J271" t="str" cm="1">
        <f t="array" ref="J271">IFERROR(_xlfn.MODE.SNGL(_xlfn._xlws.FILTER(nNOTA,(nCUENTA=1)*(nCURSO=A271)*(nASIG=B271)*(nAPTO="S"))),"—")</f>
        <v>—</v>
      </c>
      <c r="K271" t="str" cm="1">
        <f t="array" ref="K271">IFERROR(_xlfn.MODE.SNGL(_xlfn._xlws.FILTER(nNOTA,(nCUENTA=1)*(nCURSO=A271)*(nASIG=B271)*(nAPTO="N"))),"—")</f>
        <v>—</v>
      </c>
      <c r="L271">
        <f>SUMPRODUCT((nCUENTA=1)*(nCURSO=A271)*(nASIG=B271)*(nNOTA=1))</f>
        <v>0</v>
      </c>
      <c r="M271">
        <f>SUMPRODUCT((nCUENTA=1)*(nCURSO=A271)*(nASIG=B271)*(nNOTA=2))</f>
        <v>0</v>
      </c>
      <c r="N271">
        <f>SUMPRODUCT((nCUENTA=1)*(nCURSO=A271)*(nASIG=B271)*(nNOTA=3))</f>
        <v>0</v>
      </c>
      <c r="O271">
        <f>SUMPRODUCT((nCUENTA=1)*(nCURSO=A271)*(nASIG=B271)*(nNOTA=4))</f>
        <v>0</v>
      </c>
      <c r="P271">
        <f>SUMPRODUCT((nCUENTA=1)*(nCURSO=A271)*(nASIG=B271)*(nNOTA=5))</f>
        <v>0</v>
      </c>
      <c r="Q271">
        <f>SUMPRODUCT((nCUENTA=1)*(nCURSO=A271)*(nASIG=B271)*(nNOTA=6))</f>
        <v>0</v>
      </c>
      <c r="R271">
        <f>SUMPRODUCT((nCUENTA=1)*(nCURSO=A271)*(nASIG=B271)*(nNOTA=7))</f>
        <v>0</v>
      </c>
      <c r="S271">
        <f>SUMPRODUCT((nCUENTA=1)*(nCURSO=A271)*(nASIG=B271)*(nNOTA=8))</f>
        <v>0</v>
      </c>
      <c r="T271">
        <f>SUMPRODUCT((nCUENTA=1)*(nCURSO=A271)*(nASIG=B271)*(nNOTA=9))</f>
        <v>0</v>
      </c>
      <c r="U271">
        <f>SUMPRODUCT((nCUENTA=1)*(nCURSO=A271)*(nASIG=B271)*(nNOTA=10))</f>
        <v>0</v>
      </c>
    </row>
    <row r="272">
      <c r="A272" t="inlineStr">
        <is>
          <t xml:space="preserve">4EPM</t>
        </is>
      </c>
      <c r="B272" cm="1">
        <f t="array" ref="B272">IFERROR(INDEX(_xlfn._xlws.FILTER(CONFIG_ASIGNATURAS!$B$2:$B$91,(CONFIG_ASIGNATURAS!$G$2:$G$91="Sí")*ISNUMBER(SEARCH("4EPM",CONFIG_ASIGNATURAS!$C$2:$C$91))),9),"")</f>
      </c>
      <c r="C272">
        <f>IF(B272="","",IFERROR(VLOOKUP(B272,CONFIG_ASIGNATURAS!$B$2:$D$91,3,FALSE()),"Asignatura"))</f>
      </c>
      <c r="D272">
        <f>SUMPRODUCT((nCUENTA=1)*(nCURSO=A272)*(nASIG=B272))</f>
        <v>0</v>
      </c>
      <c r="E272" s="10" t="str">
        <f>IFERROR(SUMPRODUCT((nCUENTA=1)*(nCURSO=A272)*(nASIG=B272)*(nNOTA))/D272,"—")</f>
        <v>—</v>
      </c>
      <c r="F272" s="10" t="str" cm="1">
        <f t="array" ref="F272">IFERROR(_xlfn.STDEV.P(_xlfn._xlws.FILTER(nNOTA,(nCUENTA=1)*(nCURSO=A272)*(nASIG=B272))),"—")</f>
        <v>—</v>
      </c>
      <c r="G272" t="str" cm="1">
        <f t="array" ref="G272">IFERROR(_xlfn.MODE.SNGL(_xlfn._xlws.FILTER(nNOTA,(nCUENTA=1)*(nCURSO=A272)*(nASIG=B272))),"—")</f>
        <v>—</v>
      </c>
      <c r="H272" s="11" t="str">
        <f>IFERROR(SUMPRODUCT((nCUENTA=1)*(nCURSO=A272)*(nASIG=B272)*(nAPTO="S"))/D272,"—")</f>
        <v>—</v>
      </c>
      <c r="I272" s="11" t="str">
        <f>IFERROR(SUMPRODUCT((nCUENTA=1)*(nCURSO=A272)*(nASIG=B272)*(nAPTO="N"))/D272,"—")</f>
        <v>—</v>
      </c>
      <c r="J272" t="str" cm="1">
        <f t="array" ref="J272">IFERROR(_xlfn.MODE.SNGL(_xlfn._xlws.FILTER(nNOTA,(nCUENTA=1)*(nCURSO=A272)*(nASIG=B272)*(nAPTO="S"))),"—")</f>
        <v>—</v>
      </c>
      <c r="K272" t="str" cm="1">
        <f t="array" ref="K272">IFERROR(_xlfn.MODE.SNGL(_xlfn._xlws.FILTER(nNOTA,(nCUENTA=1)*(nCURSO=A272)*(nASIG=B272)*(nAPTO="N"))),"—")</f>
        <v>—</v>
      </c>
      <c r="L272">
        <f>SUMPRODUCT((nCUENTA=1)*(nCURSO=A272)*(nASIG=B272)*(nNOTA=1))</f>
        <v>0</v>
      </c>
      <c r="M272">
        <f>SUMPRODUCT((nCUENTA=1)*(nCURSO=A272)*(nASIG=B272)*(nNOTA=2))</f>
        <v>0</v>
      </c>
      <c r="N272">
        <f>SUMPRODUCT((nCUENTA=1)*(nCURSO=A272)*(nASIG=B272)*(nNOTA=3))</f>
        <v>0</v>
      </c>
      <c r="O272">
        <f>SUMPRODUCT((nCUENTA=1)*(nCURSO=A272)*(nASIG=B272)*(nNOTA=4))</f>
        <v>0</v>
      </c>
      <c r="P272">
        <f>SUMPRODUCT((nCUENTA=1)*(nCURSO=A272)*(nASIG=B272)*(nNOTA=5))</f>
        <v>0</v>
      </c>
      <c r="Q272">
        <f>SUMPRODUCT((nCUENTA=1)*(nCURSO=A272)*(nASIG=B272)*(nNOTA=6))</f>
        <v>0</v>
      </c>
      <c r="R272">
        <f>SUMPRODUCT((nCUENTA=1)*(nCURSO=A272)*(nASIG=B272)*(nNOTA=7))</f>
        <v>0</v>
      </c>
      <c r="S272">
        <f>SUMPRODUCT((nCUENTA=1)*(nCURSO=A272)*(nASIG=B272)*(nNOTA=8))</f>
        <v>0</v>
      </c>
      <c r="T272">
        <f>SUMPRODUCT((nCUENTA=1)*(nCURSO=A272)*(nASIG=B272)*(nNOTA=9))</f>
        <v>0</v>
      </c>
      <c r="U272">
        <f>SUMPRODUCT((nCUENTA=1)*(nCURSO=A272)*(nASIG=B272)*(nNOTA=10))</f>
        <v>0</v>
      </c>
    </row>
    <row r="273">
      <c r="A273" t="inlineStr">
        <is>
          <t xml:space="preserve">4EPM</t>
        </is>
      </c>
      <c r="B273" cm="1">
        <f t="array" ref="B273">IFERROR(INDEX(_xlfn._xlws.FILTER(CONFIG_ASIGNATURAS!$B$2:$B$91,(CONFIG_ASIGNATURAS!$G$2:$G$91="Sí")*ISNUMBER(SEARCH("4EPM",CONFIG_ASIGNATURAS!$C$2:$C$91))),10),"")</f>
      </c>
      <c r="C273">
        <f>IF(B273="","",IFERROR(VLOOKUP(B273,CONFIG_ASIGNATURAS!$B$2:$D$91,3,FALSE()),"Asignatura"))</f>
      </c>
      <c r="D273">
        <f>SUMPRODUCT((nCUENTA=1)*(nCURSO=A273)*(nASIG=B273))</f>
        <v>0</v>
      </c>
      <c r="E273" s="10" t="str">
        <f>IFERROR(SUMPRODUCT((nCUENTA=1)*(nCURSO=A273)*(nASIG=B273)*(nNOTA))/D273,"—")</f>
        <v>—</v>
      </c>
      <c r="F273" s="10" t="str" cm="1">
        <f t="array" ref="F273">IFERROR(_xlfn.STDEV.P(_xlfn._xlws.FILTER(nNOTA,(nCUENTA=1)*(nCURSO=A273)*(nASIG=B273))),"—")</f>
        <v>—</v>
      </c>
      <c r="G273" t="str" cm="1">
        <f t="array" ref="G273">IFERROR(_xlfn.MODE.SNGL(_xlfn._xlws.FILTER(nNOTA,(nCUENTA=1)*(nCURSO=A273)*(nASIG=B273))),"—")</f>
        <v>—</v>
      </c>
      <c r="H273" s="11" t="str">
        <f>IFERROR(SUMPRODUCT((nCUENTA=1)*(nCURSO=A273)*(nASIG=B273)*(nAPTO="S"))/D273,"—")</f>
        <v>—</v>
      </c>
      <c r="I273" s="11" t="str">
        <f>IFERROR(SUMPRODUCT((nCUENTA=1)*(nCURSO=A273)*(nASIG=B273)*(nAPTO="N"))/D273,"—")</f>
        <v>—</v>
      </c>
      <c r="J273" t="str" cm="1">
        <f t="array" ref="J273">IFERROR(_xlfn.MODE.SNGL(_xlfn._xlws.FILTER(nNOTA,(nCUENTA=1)*(nCURSO=A273)*(nASIG=B273)*(nAPTO="S"))),"—")</f>
        <v>—</v>
      </c>
      <c r="K273" t="str" cm="1">
        <f t="array" ref="K273">IFERROR(_xlfn.MODE.SNGL(_xlfn._xlws.FILTER(nNOTA,(nCUENTA=1)*(nCURSO=A273)*(nASIG=B273)*(nAPTO="N"))),"—")</f>
        <v>—</v>
      </c>
      <c r="L273">
        <f>SUMPRODUCT((nCUENTA=1)*(nCURSO=A273)*(nASIG=B273)*(nNOTA=1))</f>
        <v>0</v>
      </c>
      <c r="M273">
        <f>SUMPRODUCT((nCUENTA=1)*(nCURSO=A273)*(nASIG=B273)*(nNOTA=2))</f>
        <v>0</v>
      </c>
      <c r="N273">
        <f>SUMPRODUCT((nCUENTA=1)*(nCURSO=A273)*(nASIG=B273)*(nNOTA=3))</f>
        <v>0</v>
      </c>
      <c r="O273">
        <f>SUMPRODUCT((nCUENTA=1)*(nCURSO=A273)*(nASIG=B273)*(nNOTA=4))</f>
        <v>0</v>
      </c>
      <c r="P273">
        <f>SUMPRODUCT((nCUENTA=1)*(nCURSO=A273)*(nASIG=B273)*(nNOTA=5))</f>
        <v>0</v>
      </c>
      <c r="Q273">
        <f>SUMPRODUCT((nCUENTA=1)*(nCURSO=A273)*(nASIG=B273)*(nNOTA=6))</f>
        <v>0</v>
      </c>
      <c r="R273">
        <f>SUMPRODUCT((nCUENTA=1)*(nCURSO=A273)*(nASIG=B273)*(nNOTA=7))</f>
        <v>0</v>
      </c>
      <c r="S273">
        <f>SUMPRODUCT((nCUENTA=1)*(nCURSO=A273)*(nASIG=B273)*(nNOTA=8))</f>
        <v>0</v>
      </c>
      <c r="T273">
        <f>SUMPRODUCT((nCUENTA=1)*(nCURSO=A273)*(nASIG=B273)*(nNOTA=9))</f>
        <v>0</v>
      </c>
      <c r="U273">
        <f>SUMPRODUCT((nCUENTA=1)*(nCURSO=A273)*(nASIG=B273)*(nNOTA=10))</f>
        <v>0</v>
      </c>
    </row>
    <row r="274">
      <c r="A274" t="inlineStr">
        <is>
          <t xml:space="preserve">4EPM</t>
        </is>
      </c>
      <c r="B274" cm="1">
        <f t="array" ref="B274">IFERROR(INDEX(_xlfn._xlws.FILTER(CONFIG_ASIGNATURAS!$B$2:$B$91,(CONFIG_ASIGNATURAS!$G$2:$G$91="Sí")*ISNUMBER(SEARCH("4EPM",CONFIG_ASIGNATURAS!$C$2:$C$91))),11),"")</f>
      </c>
      <c r="C274">
        <f>IF(B274="","",IFERROR(VLOOKUP(B274,CONFIG_ASIGNATURAS!$B$2:$D$91,3,FALSE()),"Asignatura"))</f>
      </c>
      <c r="D274">
        <f>SUMPRODUCT((nCUENTA=1)*(nCURSO=A274)*(nASIG=B274))</f>
        <v>0</v>
      </c>
      <c r="E274" s="10" t="str">
        <f>IFERROR(SUMPRODUCT((nCUENTA=1)*(nCURSO=A274)*(nASIG=B274)*(nNOTA))/D274,"—")</f>
        <v>—</v>
      </c>
      <c r="F274" s="10" t="str" cm="1">
        <f t="array" ref="F274">IFERROR(_xlfn.STDEV.P(_xlfn._xlws.FILTER(nNOTA,(nCUENTA=1)*(nCURSO=A274)*(nASIG=B274))),"—")</f>
        <v>—</v>
      </c>
      <c r="G274" t="str" cm="1">
        <f t="array" ref="G274">IFERROR(_xlfn.MODE.SNGL(_xlfn._xlws.FILTER(nNOTA,(nCUENTA=1)*(nCURSO=A274)*(nASIG=B274))),"—")</f>
        <v>—</v>
      </c>
      <c r="H274" s="11" t="str">
        <f>IFERROR(SUMPRODUCT((nCUENTA=1)*(nCURSO=A274)*(nASIG=B274)*(nAPTO="S"))/D274,"—")</f>
        <v>—</v>
      </c>
      <c r="I274" s="11" t="str">
        <f>IFERROR(SUMPRODUCT((nCUENTA=1)*(nCURSO=A274)*(nASIG=B274)*(nAPTO="N"))/D274,"—")</f>
        <v>—</v>
      </c>
      <c r="J274" t="str" cm="1">
        <f t="array" ref="J274">IFERROR(_xlfn.MODE.SNGL(_xlfn._xlws.FILTER(nNOTA,(nCUENTA=1)*(nCURSO=A274)*(nASIG=B274)*(nAPTO="S"))),"—")</f>
        <v>—</v>
      </c>
      <c r="K274" t="str" cm="1">
        <f t="array" ref="K274">IFERROR(_xlfn.MODE.SNGL(_xlfn._xlws.FILTER(nNOTA,(nCUENTA=1)*(nCURSO=A274)*(nASIG=B274)*(nAPTO="N"))),"—")</f>
        <v>—</v>
      </c>
      <c r="L274">
        <f>SUMPRODUCT((nCUENTA=1)*(nCURSO=A274)*(nASIG=B274)*(nNOTA=1))</f>
        <v>0</v>
      </c>
      <c r="M274">
        <f>SUMPRODUCT((nCUENTA=1)*(nCURSO=A274)*(nASIG=B274)*(nNOTA=2))</f>
        <v>0</v>
      </c>
      <c r="N274">
        <f>SUMPRODUCT((nCUENTA=1)*(nCURSO=A274)*(nASIG=B274)*(nNOTA=3))</f>
        <v>0</v>
      </c>
      <c r="O274">
        <f>SUMPRODUCT((nCUENTA=1)*(nCURSO=A274)*(nASIG=B274)*(nNOTA=4))</f>
        <v>0</v>
      </c>
      <c r="P274">
        <f>SUMPRODUCT((nCUENTA=1)*(nCURSO=A274)*(nASIG=B274)*(nNOTA=5))</f>
        <v>0</v>
      </c>
      <c r="Q274">
        <f>SUMPRODUCT((nCUENTA=1)*(nCURSO=A274)*(nASIG=B274)*(nNOTA=6))</f>
        <v>0</v>
      </c>
      <c r="R274">
        <f>SUMPRODUCT((nCUENTA=1)*(nCURSO=A274)*(nASIG=B274)*(nNOTA=7))</f>
        <v>0</v>
      </c>
      <c r="S274">
        <f>SUMPRODUCT((nCUENTA=1)*(nCURSO=A274)*(nASIG=B274)*(nNOTA=8))</f>
        <v>0</v>
      </c>
      <c r="T274">
        <f>SUMPRODUCT((nCUENTA=1)*(nCURSO=A274)*(nASIG=B274)*(nNOTA=9))</f>
        <v>0</v>
      </c>
      <c r="U274">
        <f>SUMPRODUCT((nCUENTA=1)*(nCURSO=A274)*(nASIG=B274)*(nNOTA=10))</f>
        <v>0</v>
      </c>
    </row>
    <row r="275">
      <c r="A275" t="inlineStr">
        <is>
          <t xml:space="preserve">4EPM</t>
        </is>
      </c>
      <c r="B275" cm="1">
        <f t="array" ref="B275">IFERROR(INDEX(_xlfn._xlws.FILTER(CONFIG_ASIGNATURAS!$B$2:$B$91,(CONFIG_ASIGNATURAS!$G$2:$G$91="Sí")*ISNUMBER(SEARCH("4EPM",CONFIG_ASIGNATURAS!$C$2:$C$91))),12),"")</f>
      </c>
      <c r="C275">
        <f>IF(B275="","",IFERROR(VLOOKUP(B275,CONFIG_ASIGNATURAS!$B$2:$D$91,3,FALSE()),"Asignatura"))</f>
      </c>
      <c r="D275">
        <f>SUMPRODUCT((nCUENTA=1)*(nCURSO=A275)*(nASIG=B275))</f>
        <v>0</v>
      </c>
      <c r="E275" s="10" t="str">
        <f>IFERROR(SUMPRODUCT((nCUENTA=1)*(nCURSO=A275)*(nASIG=B275)*(nNOTA))/D275,"—")</f>
        <v>—</v>
      </c>
      <c r="F275" s="10" t="str" cm="1">
        <f t="array" ref="F275">IFERROR(_xlfn.STDEV.P(_xlfn._xlws.FILTER(nNOTA,(nCUENTA=1)*(nCURSO=A275)*(nASIG=B275))),"—")</f>
        <v>—</v>
      </c>
      <c r="G275" t="str" cm="1">
        <f t="array" ref="G275">IFERROR(_xlfn.MODE.SNGL(_xlfn._xlws.FILTER(nNOTA,(nCUENTA=1)*(nCURSO=A275)*(nASIG=B275))),"—")</f>
        <v>—</v>
      </c>
      <c r="H275" s="11" t="str">
        <f>IFERROR(SUMPRODUCT((nCUENTA=1)*(nCURSO=A275)*(nASIG=B275)*(nAPTO="S"))/D275,"—")</f>
        <v>—</v>
      </c>
      <c r="I275" s="11" t="str">
        <f>IFERROR(SUMPRODUCT((nCUENTA=1)*(nCURSO=A275)*(nASIG=B275)*(nAPTO="N"))/D275,"—")</f>
        <v>—</v>
      </c>
      <c r="J275" t="str" cm="1">
        <f t="array" ref="J275">IFERROR(_xlfn.MODE.SNGL(_xlfn._xlws.FILTER(nNOTA,(nCUENTA=1)*(nCURSO=A275)*(nASIG=B275)*(nAPTO="S"))),"—")</f>
        <v>—</v>
      </c>
      <c r="K275" t="str" cm="1">
        <f t="array" ref="K275">IFERROR(_xlfn.MODE.SNGL(_xlfn._xlws.FILTER(nNOTA,(nCUENTA=1)*(nCURSO=A275)*(nASIG=B275)*(nAPTO="N"))),"—")</f>
        <v>—</v>
      </c>
      <c r="L275">
        <f>SUMPRODUCT((nCUENTA=1)*(nCURSO=A275)*(nASIG=B275)*(nNOTA=1))</f>
        <v>0</v>
      </c>
      <c r="M275">
        <f>SUMPRODUCT((nCUENTA=1)*(nCURSO=A275)*(nASIG=B275)*(nNOTA=2))</f>
        <v>0</v>
      </c>
      <c r="N275">
        <f>SUMPRODUCT((nCUENTA=1)*(nCURSO=A275)*(nASIG=B275)*(nNOTA=3))</f>
        <v>0</v>
      </c>
      <c r="O275">
        <f>SUMPRODUCT((nCUENTA=1)*(nCURSO=A275)*(nASIG=B275)*(nNOTA=4))</f>
        <v>0</v>
      </c>
      <c r="P275">
        <f>SUMPRODUCT((nCUENTA=1)*(nCURSO=A275)*(nASIG=B275)*(nNOTA=5))</f>
        <v>0</v>
      </c>
      <c r="Q275">
        <f>SUMPRODUCT((nCUENTA=1)*(nCURSO=A275)*(nASIG=B275)*(nNOTA=6))</f>
        <v>0</v>
      </c>
      <c r="R275">
        <f>SUMPRODUCT((nCUENTA=1)*(nCURSO=A275)*(nASIG=B275)*(nNOTA=7))</f>
        <v>0</v>
      </c>
      <c r="S275">
        <f>SUMPRODUCT((nCUENTA=1)*(nCURSO=A275)*(nASIG=B275)*(nNOTA=8))</f>
        <v>0</v>
      </c>
      <c r="T275">
        <f>SUMPRODUCT((nCUENTA=1)*(nCURSO=A275)*(nASIG=B275)*(nNOTA=9))</f>
        <v>0</v>
      </c>
      <c r="U275">
        <f>SUMPRODUCT((nCUENTA=1)*(nCURSO=A275)*(nASIG=B275)*(nNOTA=10))</f>
        <v>0</v>
      </c>
    </row>
    <row r="276">
      <c r="A276" t="inlineStr">
        <is>
          <t xml:space="preserve">4EPM</t>
        </is>
      </c>
      <c r="B276" cm="1">
        <f t="array" ref="B276">IFERROR(INDEX(_xlfn._xlws.FILTER(CONFIG_ASIGNATURAS!$B$2:$B$91,(CONFIG_ASIGNATURAS!$G$2:$G$91="Sí")*ISNUMBER(SEARCH("4EPM",CONFIG_ASIGNATURAS!$C$2:$C$91))),13),"")</f>
      </c>
      <c r="C276">
        <f>IF(B276="","",IFERROR(VLOOKUP(B276,CONFIG_ASIGNATURAS!$B$2:$D$91,3,FALSE()),"Asignatura"))</f>
      </c>
      <c r="D276">
        <f>SUMPRODUCT((nCUENTA=1)*(nCURSO=A276)*(nASIG=B276))</f>
        <v>0</v>
      </c>
      <c r="E276" s="10" t="str">
        <f>IFERROR(SUMPRODUCT((nCUENTA=1)*(nCURSO=A276)*(nASIG=B276)*(nNOTA))/D276,"—")</f>
        <v>—</v>
      </c>
      <c r="F276" s="10" t="str" cm="1">
        <f t="array" ref="F276">IFERROR(_xlfn.STDEV.P(_xlfn._xlws.FILTER(nNOTA,(nCUENTA=1)*(nCURSO=A276)*(nASIG=B276))),"—")</f>
        <v>—</v>
      </c>
      <c r="G276" t="str" cm="1">
        <f t="array" ref="G276">IFERROR(_xlfn.MODE.SNGL(_xlfn._xlws.FILTER(nNOTA,(nCUENTA=1)*(nCURSO=A276)*(nASIG=B276))),"—")</f>
        <v>—</v>
      </c>
      <c r="H276" s="11" t="str">
        <f>IFERROR(SUMPRODUCT((nCUENTA=1)*(nCURSO=A276)*(nASIG=B276)*(nAPTO="S"))/D276,"—")</f>
        <v>—</v>
      </c>
      <c r="I276" s="11" t="str">
        <f>IFERROR(SUMPRODUCT((nCUENTA=1)*(nCURSO=A276)*(nASIG=B276)*(nAPTO="N"))/D276,"—")</f>
        <v>—</v>
      </c>
      <c r="J276" t="str" cm="1">
        <f t="array" ref="J276">IFERROR(_xlfn.MODE.SNGL(_xlfn._xlws.FILTER(nNOTA,(nCUENTA=1)*(nCURSO=A276)*(nASIG=B276)*(nAPTO="S"))),"—")</f>
        <v>—</v>
      </c>
      <c r="K276" t="str" cm="1">
        <f t="array" ref="K276">IFERROR(_xlfn.MODE.SNGL(_xlfn._xlws.FILTER(nNOTA,(nCUENTA=1)*(nCURSO=A276)*(nASIG=B276)*(nAPTO="N"))),"—")</f>
        <v>—</v>
      </c>
      <c r="L276">
        <f>SUMPRODUCT((nCUENTA=1)*(nCURSO=A276)*(nASIG=B276)*(nNOTA=1))</f>
        <v>0</v>
      </c>
      <c r="M276">
        <f>SUMPRODUCT((nCUENTA=1)*(nCURSO=A276)*(nASIG=B276)*(nNOTA=2))</f>
        <v>0</v>
      </c>
      <c r="N276">
        <f>SUMPRODUCT((nCUENTA=1)*(nCURSO=A276)*(nASIG=B276)*(nNOTA=3))</f>
        <v>0</v>
      </c>
      <c r="O276">
        <f>SUMPRODUCT((nCUENTA=1)*(nCURSO=A276)*(nASIG=B276)*(nNOTA=4))</f>
        <v>0</v>
      </c>
      <c r="P276">
        <f>SUMPRODUCT((nCUENTA=1)*(nCURSO=A276)*(nASIG=B276)*(nNOTA=5))</f>
        <v>0</v>
      </c>
      <c r="Q276">
        <f>SUMPRODUCT((nCUENTA=1)*(nCURSO=A276)*(nASIG=B276)*(nNOTA=6))</f>
        <v>0</v>
      </c>
      <c r="R276">
        <f>SUMPRODUCT((nCUENTA=1)*(nCURSO=A276)*(nASIG=B276)*(nNOTA=7))</f>
        <v>0</v>
      </c>
      <c r="S276">
        <f>SUMPRODUCT((nCUENTA=1)*(nCURSO=A276)*(nASIG=B276)*(nNOTA=8))</f>
        <v>0</v>
      </c>
      <c r="T276">
        <f>SUMPRODUCT((nCUENTA=1)*(nCURSO=A276)*(nASIG=B276)*(nNOTA=9))</f>
        <v>0</v>
      </c>
      <c r="U276">
        <f>SUMPRODUCT((nCUENTA=1)*(nCURSO=A276)*(nASIG=B276)*(nNOTA=10))</f>
        <v>0</v>
      </c>
    </row>
    <row r="277">
      <c r="A277" t="inlineStr">
        <is>
          <t xml:space="preserve">4EPM</t>
        </is>
      </c>
      <c r="B277" cm="1">
        <f t="array" ref="B277">IFERROR(INDEX(_xlfn._xlws.FILTER(CONFIG_ASIGNATURAS!$B$2:$B$91,(CONFIG_ASIGNATURAS!$G$2:$G$91="Sí")*ISNUMBER(SEARCH("4EPM",CONFIG_ASIGNATURAS!$C$2:$C$91))),14),"")</f>
      </c>
      <c r="C277">
        <f>IF(B277="","",IFERROR(VLOOKUP(B277,CONFIG_ASIGNATURAS!$B$2:$D$91,3,FALSE()),"Asignatura"))</f>
      </c>
      <c r="D277">
        <f>SUMPRODUCT((nCUENTA=1)*(nCURSO=A277)*(nASIG=B277))</f>
        <v>0</v>
      </c>
      <c r="E277" s="10" t="str">
        <f>IFERROR(SUMPRODUCT((nCUENTA=1)*(nCURSO=A277)*(nASIG=B277)*(nNOTA))/D277,"—")</f>
        <v>—</v>
      </c>
      <c r="F277" s="10" t="str" cm="1">
        <f t="array" ref="F277">IFERROR(_xlfn.STDEV.P(_xlfn._xlws.FILTER(nNOTA,(nCUENTA=1)*(nCURSO=A277)*(nASIG=B277))),"—")</f>
        <v>—</v>
      </c>
      <c r="G277" t="str" cm="1">
        <f t="array" ref="G277">IFERROR(_xlfn.MODE.SNGL(_xlfn._xlws.FILTER(nNOTA,(nCUENTA=1)*(nCURSO=A277)*(nASIG=B277))),"—")</f>
        <v>—</v>
      </c>
      <c r="H277" s="11" t="str">
        <f>IFERROR(SUMPRODUCT((nCUENTA=1)*(nCURSO=A277)*(nASIG=B277)*(nAPTO="S"))/D277,"—")</f>
        <v>—</v>
      </c>
      <c r="I277" s="11" t="str">
        <f>IFERROR(SUMPRODUCT((nCUENTA=1)*(nCURSO=A277)*(nASIG=B277)*(nAPTO="N"))/D277,"—")</f>
        <v>—</v>
      </c>
      <c r="J277" t="str" cm="1">
        <f t="array" ref="J277">IFERROR(_xlfn.MODE.SNGL(_xlfn._xlws.FILTER(nNOTA,(nCUENTA=1)*(nCURSO=A277)*(nASIG=B277)*(nAPTO="S"))),"—")</f>
        <v>—</v>
      </c>
      <c r="K277" t="str" cm="1">
        <f t="array" ref="K277">IFERROR(_xlfn.MODE.SNGL(_xlfn._xlws.FILTER(nNOTA,(nCUENTA=1)*(nCURSO=A277)*(nASIG=B277)*(nAPTO="N"))),"—")</f>
        <v>—</v>
      </c>
      <c r="L277">
        <f>SUMPRODUCT((nCUENTA=1)*(nCURSO=A277)*(nASIG=B277)*(nNOTA=1))</f>
        <v>0</v>
      </c>
      <c r="M277">
        <f>SUMPRODUCT((nCUENTA=1)*(nCURSO=A277)*(nASIG=B277)*(nNOTA=2))</f>
        <v>0</v>
      </c>
      <c r="N277">
        <f>SUMPRODUCT((nCUENTA=1)*(nCURSO=A277)*(nASIG=B277)*(nNOTA=3))</f>
        <v>0</v>
      </c>
      <c r="O277">
        <f>SUMPRODUCT((nCUENTA=1)*(nCURSO=A277)*(nASIG=B277)*(nNOTA=4))</f>
        <v>0</v>
      </c>
      <c r="P277">
        <f>SUMPRODUCT((nCUENTA=1)*(nCURSO=A277)*(nASIG=B277)*(nNOTA=5))</f>
        <v>0</v>
      </c>
      <c r="Q277">
        <f>SUMPRODUCT((nCUENTA=1)*(nCURSO=A277)*(nASIG=B277)*(nNOTA=6))</f>
        <v>0</v>
      </c>
      <c r="R277">
        <f>SUMPRODUCT((nCUENTA=1)*(nCURSO=A277)*(nASIG=B277)*(nNOTA=7))</f>
        <v>0</v>
      </c>
      <c r="S277">
        <f>SUMPRODUCT((nCUENTA=1)*(nCURSO=A277)*(nASIG=B277)*(nNOTA=8))</f>
        <v>0</v>
      </c>
      <c r="T277">
        <f>SUMPRODUCT((nCUENTA=1)*(nCURSO=A277)*(nASIG=B277)*(nNOTA=9))</f>
        <v>0</v>
      </c>
      <c r="U277">
        <f>SUMPRODUCT((nCUENTA=1)*(nCURSO=A277)*(nASIG=B277)*(nNOTA=10))</f>
        <v>0</v>
      </c>
    </row>
    <row r="278">
      <c r="A278" t="inlineStr">
        <is>
          <t xml:space="preserve">4EPM</t>
        </is>
      </c>
      <c r="B278" cm="1">
        <f t="array" ref="B278">IFERROR(INDEX(_xlfn._xlws.FILTER(CONFIG_ASIGNATURAS!$B$2:$B$91,(CONFIG_ASIGNATURAS!$G$2:$G$91="Sí")*ISNUMBER(SEARCH("4EPM",CONFIG_ASIGNATURAS!$C$2:$C$91))),15),"")</f>
      </c>
      <c r="C278">
        <f>IF(B278="","",IFERROR(VLOOKUP(B278,CONFIG_ASIGNATURAS!$B$2:$D$91,3,FALSE()),"Asignatura"))</f>
      </c>
      <c r="D278">
        <f>SUMPRODUCT((nCUENTA=1)*(nCURSO=A278)*(nASIG=B278))</f>
        <v>0</v>
      </c>
      <c r="E278" s="10" t="str">
        <f>IFERROR(SUMPRODUCT((nCUENTA=1)*(nCURSO=A278)*(nASIG=B278)*(nNOTA))/D278,"—")</f>
        <v>—</v>
      </c>
      <c r="F278" s="10" t="str" cm="1">
        <f t="array" ref="F278">IFERROR(_xlfn.STDEV.P(_xlfn._xlws.FILTER(nNOTA,(nCUENTA=1)*(nCURSO=A278)*(nASIG=B278))),"—")</f>
        <v>—</v>
      </c>
      <c r="G278" t="str" cm="1">
        <f t="array" ref="G278">IFERROR(_xlfn.MODE.SNGL(_xlfn._xlws.FILTER(nNOTA,(nCUENTA=1)*(nCURSO=A278)*(nASIG=B278))),"—")</f>
        <v>—</v>
      </c>
      <c r="H278" s="11" t="str">
        <f>IFERROR(SUMPRODUCT((nCUENTA=1)*(nCURSO=A278)*(nASIG=B278)*(nAPTO="S"))/D278,"—")</f>
        <v>—</v>
      </c>
      <c r="I278" s="11" t="str">
        <f>IFERROR(SUMPRODUCT((nCUENTA=1)*(nCURSO=A278)*(nASIG=B278)*(nAPTO="N"))/D278,"—")</f>
        <v>—</v>
      </c>
      <c r="J278" t="str" cm="1">
        <f t="array" ref="J278">IFERROR(_xlfn.MODE.SNGL(_xlfn._xlws.FILTER(nNOTA,(nCUENTA=1)*(nCURSO=A278)*(nASIG=B278)*(nAPTO="S"))),"—")</f>
        <v>—</v>
      </c>
      <c r="K278" t="str" cm="1">
        <f t="array" ref="K278">IFERROR(_xlfn.MODE.SNGL(_xlfn._xlws.FILTER(nNOTA,(nCUENTA=1)*(nCURSO=A278)*(nASIG=B278)*(nAPTO="N"))),"—")</f>
        <v>—</v>
      </c>
      <c r="L278">
        <f>SUMPRODUCT((nCUENTA=1)*(nCURSO=A278)*(nASIG=B278)*(nNOTA=1))</f>
        <v>0</v>
      </c>
      <c r="M278">
        <f>SUMPRODUCT((nCUENTA=1)*(nCURSO=A278)*(nASIG=B278)*(nNOTA=2))</f>
        <v>0</v>
      </c>
      <c r="N278">
        <f>SUMPRODUCT((nCUENTA=1)*(nCURSO=A278)*(nASIG=B278)*(nNOTA=3))</f>
        <v>0</v>
      </c>
      <c r="O278">
        <f>SUMPRODUCT((nCUENTA=1)*(nCURSO=A278)*(nASIG=B278)*(nNOTA=4))</f>
        <v>0</v>
      </c>
      <c r="P278">
        <f>SUMPRODUCT((nCUENTA=1)*(nCURSO=A278)*(nASIG=B278)*(nNOTA=5))</f>
        <v>0</v>
      </c>
      <c r="Q278">
        <f>SUMPRODUCT((nCUENTA=1)*(nCURSO=A278)*(nASIG=B278)*(nNOTA=6))</f>
        <v>0</v>
      </c>
      <c r="R278">
        <f>SUMPRODUCT((nCUENTA=1)*(nCURSO=A278)*(nASIG=B278)*(nNOTA=7))</f>
        <v>0</v>
      </c>
      <c r="S278">
        <f>SUMPRODUCT((nCUENTA=1)*(nCURSO=A278)*(nASIG=B278)*(nNOTA=8))</f>
        <v>0</v>
      </c>
      <c r="T278">
        <f>SUMPRODUCT((nCUENTA=1)*(nCURSO=A278)*(nASIG=B278)*(nNOTA=9))</f>
        <v>0</v>
      </c>
      <c r="U278">
        <f>SUMPRODUCT((nCUENTA=1)*(nCURSO=A278)*(nASIG=B278)*(nNOTA=10))</f>
        <v>0</v>
      </c>
    </row>
    <row r="279">
      <c r="A279" t="inlineStr">
        <is>
          <t xml:space="preserve">4EPM</t>
        </is>
      </c>
      <c r="B279" cm="1">
        <f t="array" ref="B279">IFERROR(INDEX(_xlfn._xlws.FILTER(CONFIG_ASIGNATURAS!$B$2:$B$91,(CONFIG_ASIGNATURAS!$G$2:$G$91="Sí")*ISNUMBER(SEARCH("4EPM",CONFIG_ASIGNATURAS!$C$2:$C$91))),16),"")</f>
      </c>
      <c r="C279">
        <f>IF(B279="","",IFERROR(VLOOKUP(B279,CONFIG_ASIGNATURAS!$B$2:$D$91,3,FALSE()),"Asignatura"))</f>
      </c>
      <c r="D279">
        <f>SUMPRODUCT((nCUENTA=1)*(nCURSO=A279)*(nASIG=B279))</f>
        <v>0</v>
      </c>
      <c r="E279" s="10" t="str">
        <f>IFERROR(SUMPRODUCT((nCUENTA=1)*(nCURSO=A279)*(nASIG=B279)*(nNOTA))/D279,"—")</f>
        <v>—</v>
      </c>
      <c r="F279" s="10" t="str" cm="1">
        <f t="array" ref="F279">IFERROR(_xlfn.STDEV.P(_xlfn._xlws.FILTER(nNOTA,(nCUENTA=1)*(nCURSO=A279)*(nASIG=B279))),"—")</f>
        <v>—</v>
      </c>
      <c r="G279" t="str" cm="1">
        <f t="array" ref="G279">IFERROR(_xlfn.MODE.SNGL(_xlfn._xlws.FILTER(nNOTA,(nCUENTA=1)*(nCURSO=A279)*(nASIG=B279))),"—")</f>
        <v>—</v>
      </c>
      <c r="H279" s="11" t="str">
        <f>IFERROR(SUMPRODUCT((nCUENTA=1)*(nCURSO=A279)*(nASIG=B279)*(nAPTO="S"))/D279,"—")</f>
        <v>—</v>
      </c>
      <c r="I279" s="11" t="str">
        <f>IFERROR(SUMPRODUCT((nCUENTA=1)*(nCURSO=A279)*(nASIG=B279)*(nAPTO="N"))/D279,"—")</f>
        <v>—</v>
      </c>
      <c r="J279" t="str" cm="1">
        <f t="array" ref="J279">IFERROR(_xlfn.MODE.SNGL(_xlfn._xlws.FILTER(nNOTA,(nCUENTA=1)*(nCURSO=A279)*(nASIG=B279)*(nAPTO="S"))),"—")</f>
        <v>—</v>
      </c>
      <c r="K279" t="str" cm="1">
        <f t="array" ref="K279">IFERROR(_xlfn.MODE.SNGL(_xlfn._xlws.FILTER(nNOTA,(nCUENTA=1)*(nCURSO=A279)*(nASIG=B279)*(nAPTO="N"))),"—")</f>
        <v>—</v>
      </c>
      <c r="L279">
        <f>SUMPRODUCT((nCUENTA=1)*(nCURSO=A279)*(nASIG=B279)*(nNOTA=1))</f>
        <v>0</v>
      </c>
      <c r="M279">
        <f>SUMPRODUCT((nCUENTA=1)*(nCURSO=A279)*(nASIG=B279)*(nNOTA=2))</f>
        <v>0</v>
      </c>
      <c r="N279">
        <f>SUMPRODUCT((nCUENTA=1)*(nCURSO=A279)*(nASIG=B279)*(nNOTA=3))</f>
        <v>0</v>
      </c>
      <c r="O279">
        <f>SUMPRODUCT((nCUENTA=1)*(nCURSO=A279)*(nASIG=B279)*(nNOTA=4))</f>
        <v>0</v>
      </c>
      <c r="P279">
        <f>SUMPRODUCT((nCUENTA=1)*(nCURSO=A279)*(nASIG=B279)*(nNOTA=5))</f>
        <v>0</v>
      </c>
      <c r="Q279">
        <f>SUMPRODUCT((nCUENTA=1)*(nCURSO=A279)*(nASIG=B279)*(nNOTA=6))</f>
        <v>0</v>
      </c>
      <c r="R279">
        <f>SUMPRODUCT((nCUENTA=1)*(nCURSO=A279)*(nASIG=B279)*(nNOTA=7))</f>
        <v>0</v>
      </c>
      <c r="S279">
        <f>SUMPRODUCT((nCUENTA=1)*(nCURSO=A279)*(nASIG=B279)*(nNOTA=8))</f>
        <v>0</v>
      </c>
      <c r="T279">
        <f>SUMPRODUCT((nCUENTA=1)*(nCURSO=A279)*(nASIG=B279)*(nNOTA=9))</f>
        <v>0</v>
      </c>
      <c r="U279">
        <f>SUMPRODUCT((nCUENTA=1)*(nCURSO=A279)*(nASIG=B279)*(nNOTA=10))</f>
        <v>0</v>
      </c>
    </row>
    <row r="280">
      <c r="A280" t="inlineStr">
        <is>
          <t xml:space="preserve">4EPM</t>
        </is>
      </c>
      <c r="B280" cm="1">
        <f t="array" ref="B280">IFERROR(INDEX(_xlfn._xlws.FILTER(CONFIG_ASIGNATURAS!$B$2:$B$91,(CONFIG_ASIGNATURAS!$G$2:$G$91="Sí")*ISNUMBER(SEARCH("4EPM",CONFIG_ASIGNATURAS!$C$2:$C$91))),17),"")</f>
      </c>
      <c r="C280">
        <f>IF(B280="","",IFERROR(VLOOKUP(B280,CONFIG_ASIGNATURAS!$B$2:$D$91,3,FALSE()),"Asignatura"))</f>
      </c>
      <c r="D280">
        <f>SUMPRODUCT((nCUENTA=1)*(nCURSO=A280)*(nASIG=B280))</f>
        <v>0</v>
      </c>
      <c r="E280" s="10" t="str">
        <f>IFERROR(SUMPRODUCT((nCUENTA=1)*(nCURSO=A280)*(nASIG=B280)*(nNOTA))/D280,"—")</f>
        <v>—</v>
      </c>
      <c r="F280" s="10" t="str" cm="1">
        <f t="array" ref="F280">IFERROR(_xlfn.STDEV.P(_xlfn._xlws.FILTER(nNOTA,(nCUENTA=1)*(nCURSO=A280)*(nASIG=B280))),"—")</f>
        <v>—</v>
      </c>
      <c r="G280" t="str" cm="1">
        <f t="array" ref="G280">IFERROR(_xlfn.MODE.SNGL(_xlfn._xlws.FILTER(nNOTA,(nCUENTA=1)*(nCURSO=A280)*(nASIG=B280))),"—")</f>
        <v>—</v>
      </c>
      <c r="H280" s="11" t="str">
        <f>IFERROR(SUMPRODUCT((nCUENTA=1)*(nCURSO=A280)*(nASIG=B280)*(nAPTO="S"))/D280,"—")</f>
        <v>—</v>
      </c>
      <c r="I280" s="11" t="str">
        <f>IFERROR(SUMPRODUCT((nCUENTA=1)*(nCURSO=A280)*(nASIG=B280)*(nAPTO="N"))/D280,"—")</f>
        <v>—</v>
      </c>
      <c r="J280" t="str" cm="1">
        <f t="array" ref="J280">IFERROR(_xlfn.MODE.SNGL(_xlfn._xlws.FILTER(nNOTA,(nCUENTA=1)*(nCURSO=A280)*(nASIG=B280)*(nAPTO="S"))),"—")</f>
        <v>—</v>
      </c>
      <c r="K280" t="str" cm="1">
        <f t="array" ref="K280">IFERROR(_xlfn.MODE.SNGL(_xlfn._xlws.FILTER(nNOTA,(nCUENTA=1)*(nCURSO=A280)*(nASIG=B280)*(nAPTO="N"))),"—")</f>
        <v>—</v>
      </c>
      <c r="L280">
        <f>SUMPRODUCT((nCUENTA=1)*(nCURSO=A280)*(nASIG=B280)*(nNOTA=1))</f>
        <v>0</v>
      </c>
      <c r="M280">
        <f>SUMPRODUCT((nCUENTA=1)*(nCURSO=A280)*(nASIG=B280)*(nNOTA=2))</f>
        <v>0</v>
      </c>
      <c r="N280">
        <f>SUMPRODUCT((nCUENTA=1)*(nCURSO=A280)*(nASIG=B280)*(nNOTA=3))</f>
        <v>0</v>
      </c>
      <c r="O280">
        <f>SUMPRODUCT((nCUENTA=1)*(nCURSO=A280)*(nASIG=B280)*(nNOTA=4))</f>
        <v>0</v>
      </c>
      <c r="P280">
        <f>SUMPRODUCT((nCUENTA=1)*(nCURSO=A280)*(nASIG=B280)*(nNOTA=5))</f>
        <v>0</v>
      </c>
      <c r="Q280">
        <f>SUMPRODUCT((nCUENTA=1)*(nCURSO=A280)*(nASIG=B280)*(nNOTA=6))</f>
        <v>0</v>
      </c>
      <c r="R280">
        <f>SUMPRODUCT((nCUENTA=1)*(nCURSO=A280)*(nASIG=B280)*(nNOTA=7))</f>
        <v>0</v>
      </c>
      <c r="S280">
        <f>SUMPRODUCT((nCUENTA=1)*(nCURSO=A280)*(nASIG=B280)*(nNOTA=8))</f>
        <v>0</v>
      </c>
      <c r="T280">
        <f>SUMPRODUCT((nCUENTA=1)*(nCURSO=A280)*(nASIG=B280)*(nNOTA=9))</f>
        <v>0</v>
      </c>
      <c r="U280">
        <f>SUMPRODUCT((nCUENTA=1)*(nCURSO=A280)*(nASIG=B280)*(nNOTA=10))</f>
        <v>0</v>
      </c>
    </row>
    <row r="281">
      <c r="A281" t="inlineStr">
        <is>
          <t xml:space="preserve">4EPM</t>
        </is>
      </c>
      <c r="B281" cm="1">
        <f t="array" ref="B281">IFERROR(INDEX(_xlfn._xlws.FILTER(CONFIG_ASIGNATURAS!$B$2:$B$91,(CONFIG_ASIGNATURAS!$G$2:$G$91="Sí")*ISNUMBER(SEARCH("4EPM",CONFIG_ASIGNATURAS!$C$2:$C$91))),18),"")</f>
      </c>
      <c r="C281">
        <f>IF(B281="","",IFERROR(VLOOKUP(B281,CONFIG_ASIGNATURAS!$B$2:$D$91,3,FALSE()),"Asignatura"))</f>
      </c>
      <c r="D281">
        <f>SUMPRODUCT((nCUENTA=1)*(nCURSO=A281)*(nASIG=B281))</f>
        <v>0</v>
      </c>
      <c r="E281" s="10" t="str">
        <f>IFERROR(SUMPRODUCT((nCUENTA=1)*(nCURSO=A281)*(nASIG=B281)*(nNOTA))/D281,"—")</f>
        <v>—</v>
      </c>
      <c r="F281" s="10" t="str" cm="1">
        <f t="array" ref="F281">IFERROR(_xlfn.STDEV.P(_xlfn._xlws.FILTER(nNOTA,(nCUENTA=1)*(nCURSO=A281)*(nASIG=B281))),"—")</f>
        <v>—</v>
      </c>
      <c r="G281" t="str" cm="1">
        <f t="array" ref="G281">IFERROR(_xlfn.MODE.SNGL(_xlfn._xlws.FILTER(nNOTA,(nCUENTA=1)*(nCURSO=A281)*(nASIG=B281))),"—")</f>
        <v>—</v>
      </c>
      <c r="H281" s="11" t="str">
        <f>IFERROR(SUMPRODUCT((nCUENTA=1)*(nCURSO=A281)*(nASIG=B281)*(nAPTO="S"))/D281,"—")</f>
        <v>—</v>
      </c>
      <c r="I281" s="11" t="str">
        <f>IFERROR(SUMPRODUCT((nCUENTA=1)*(nCURSO=A281)*(nASIG=B281)*(nAPTO="N"))/D281,"—")</f>
        <v>—</v>
      </c>
      <c r="J281" t="str" cm="1">
        <f t="array" ref="J281">IFERROR(_xlfn.MODE.SNGL(_xlfn._xlws.FILTER(nNOTA,(nCUENTA=1)*(nCURSO=A281)*(nASIG=B281)*(nAPTO="S"))),"—")</f>
        <v>—</v>
      </c>
      <c r="K281" t="str" cm="1">
        <f t="array" ref="K281">IFERROR(_xlfn.MODE.SNGL(_xlfn._xlws.FILTER(nNOTA,(nCUENTA=1)*(nCURSO=A281)*(nASIG=B281)*(nAPTO="N"))),"—")</f>
        <v>—</v>
      </c>
      <c r="L281">
        <f>SUMPRODUCT((nCUENTA=1)*(nCURSO=A281)*(nASIG=B281)*(nNOTA=1))</f>
        <v>0</v>
      </c>
      <c r="M281">
        <f>SUMPRODUCT((nCUENTA=1)*(nCURSO=A281)*(nASIG=B281)*(nNOTA=2))</f>
        <v>0</v>
      </c>
      <c r="N281">
        <f>SUMPRODUCT((nCUENTA=1)*(nCURSO=A281)*(nASIG=B281)*(nNOTA=3))</f>
        <v>0</v>
      </c>
      <c r="O281">
        <f>SUMPRODUCT((nCUENTA=1)*(nCURSO=A281)*(nASIG=B281)*(nNOTA=4))</f>
        <v>0</v>
      </c>
      <c r="P281">
        <f>SUMPRODUCT((nCUENTA=1)*(nCURSO=A281)*(nASIG=B281)*(nNOTA=5))</f>
        <v>0</v>
      </c>
      <c r="Q281">
        <f>SUMPRODUCT((nCUENTA=1)*(nCURSO=A281)*(nASIG=B281)*(nNOTA=6))</f>
        <v>0</v>
      </c>
      <c r="R281">
        <f>SUMPRODUCT((nCUENTA=1)*(nCURSO=A281)*(nASIG=B281)*(nNOTA=7))</f>
        <v>0</v>
      </c>
      <c r="S281">
        <f>SUMPRODUCT((nCUENTA=1)*(nCURSO=A281)*(nASIG=B281)*(nNOTA=8))</f>
        <v>0</v>
      </c>
      <c r="T281">
        <f>SUMPRODUCT((nCUENTA=1)*(nCURSO=A281)*(nASIG=B281)*(nNOTA=9))</f>
        <v>0</v>
      </c>
      <c r="U281">
        <f>SUMPRODUCT((nCUENTA=1)*(nCURSO=A281)*(nASIG=B281)*(nNOTA=10))</f>
        <v>0</v>
      </c>
    </row>
    <row r="282">
      <c r="A282" t="inlineStr">
        <is>
          <t xml:space="preserve">4EPM</t>
        </is>
      </c>
      <c r="B282" cm="1">
        <f t="array" ref="B282">IFERROR(INDEX(_xlfn._xlws.FILTER(CONFIG_ASIGNATURAS!$B$2:$B$91,(CONFIG_ASIGNATURAS!$G$2:$G$91="Sí")*ISNUMBER(SEARCH("4EPM",CONFIG_ASIGNATURAS!$C$2:$C$91))),19),"")</f>
      </c>
      <c r="C282">
        <f>IF(B282="","",IFERROR(VLOOKUP(B282,CONFIG_ASIGNATURAS!$B$2:$D$91,3,FALSE()),"Asignatura"))</f>
      </c>
      <c r="D282">
        <f>SUMPRODUCT((nCUENTA=1)*(nCURSO=A282)*(nASIG=B282))</f>
        <v>0</v>
      </c>
      <c r="E282" s="10" t="str">
        <f>IFERROR(SUMPRODUCT((nCUENTA=1)*(nCURSO=A282)*(nASIG=B282)*(nNOTA))/D282,"—")</f>
        <v>—</v>
      </c>
      <c r="F282" s="10" t="str" cm="1">
        <f t="array" ref="F282">IFERROR(_xlfn.STDEV.P(_xlfn._xlws.FILTER(nNOTA,(nCUENTA=1)*(nCURSO=A282)*(nASIG=B282))),"—")</f>
        <v>—</v>
      </c>
      <c r="G282" t="str" cm="1">
        <f t="array" ref="G282">IFERROR(_xlfn.MODE.SNGL(_xlfn._xlws.FILTER(nNOTA,(nCUENTA=1)*(nCURSO=A282)*(nASIG=B282))),"—")</f>
        <v>—</v>
      </c>
      <c r="H282" s="11" t="str">
        <f>IFERROR(SUMPRODUCT((nCUENTA=1)*(nCURSO=A282)*(nASIG=B282)*(nAPTO="S"))/D282,"—")</f>
        <v>—</v>
      </c>
      <c r="I282" s="11" t="str">
        <f>IFERROR(SUMPRODUCT((nCUENTA=1)*(nCURSO=A282)*(nASIG=B282)*(nAPTO="N"))/D282,"—")</f>
        <v>—</v>
      </c>
      <c r="J282" t="str" cm="1">
        <f t="array" ref="J282">IFERROR(_xlfn.MODE.SNGL(_xlfn._xlws.FILTER(nNOTA,(nCUENTA=1)*(nCURSO=A282)*(nASIG=B282)*(nAPTO="S"))),"—")</f>
        <v>—</v>
      </c>
      <c r="K282" t="str" cm="1">
        <f t="array" ref="K282">IFERROR(_xlfn.MODE.SNGL(_xlfn._xlws.FILTER(nNOTA,(nCUENTA=1)*(nCURSO=A282)*(nASIG=B282)*(nAPTO="N"))),"—")</f>
        <v>—</v>
      </c>
      <c r="L282">
        <f>SUMPRODUCT((nCUENTA=1)*(nCURSO=A282)*(nASIG=B282)*(nNOTA=1))</f>
        <v>0</v>
      </c>
      <c r="M282">
        <f>SUMPRODUCT((nCUENTA=1)*(nCURSO=A282)*(nASIG=B282)*(nNOTA=2))</f>
        <v>0</v>
      </c>
      <c r="N282">
        <f>SUMPRODUCT((nCUENTA=1)*(nCURSO=A282)*(nASIG=B282)*(nNOTA=3))</f>
        <v>0</v>
      </c>
      <c r="O282">
        <f>SUMPRODUCT((nCUENTA=1)*(nCURSO=A282)*(nASIG=B282)*(nNOTA=4))</f>
        <v>0</v>
      </c>
      <c r="P282">
        <f>SUMPRODUCT((nCUENTA=1)*(nCURSO=A282)*(nASIG=B282)*(nNOTA=5))</f>
        <v>0</v>
      </c>
      <c r="Q282">
        <f>SUMPRODUCT((nCUENTA=1)*(nCURSO=A282)*(nASIG=B282)*(nNOTA=6))</f>
        <v>0</v>
      </c>
      <c r="R282">
        <f>SUMPRODUCT((nCUENTA=1)*(nCURSO=A282)*(nASIG=B282)*(nNOTA=7))</f>
        <v>0</v>
      </c>
      <c r="S282">
        <f>SUMPRODUCT((nCUENTA=1)*(nCURSO=A282)*(nASIG=B282)*(nNOTA=8))</f>
        <v>0</v>
      </c>
      <c r="T282">
        <f>SUMPRODUCT((nCUENTA=1)*(nCURSO=A282)*(nASIG=B282)*(nNOTA=9))</f>
        <v>0</v>
      </c>
      <c r="U282">
        <f>SUMPRODUCT((nCUENTA=1)*(nCURSO=A282)*(nASIG=B282)*(nNOTA=10))</f>
        <v>0</v>
      </c>
    </row>
    <row r="283">
      <c r="A283" t="inlineStr">
        <is>
          <t xml:space="preserve">4EPM</t>
        </is>
      </c>
      <c r="B283" cm="1">
        <f t="array" ref="B283">IFERROR(INDEX(_xlfn._xlws.FILTER(CONFIG_ASIGNATURAS!$B$2:$B$91,(CONFIG_ASIGNATURAS!$G$2:$G$91="Sí")*ISNUMBER(SEARCH("4EPM",CONFIG_ASIGNATURAS!$C$2:$C$91))),20),"")</f>
      </c>
      <c r="C283">
        <f>IF(B283="","",IFERROR(VLOOKUP(B283,CONFIG_ASIGNATURAS!$B$2:$D$91,3,FALSE()),"Asignatura"))</f>
      </c>
      <c r="D283">
        <f>SUMPRODUCT((nCUENTA=1)*(nCURSO=A283)*(nASIG=B283))</f>
        <v>0</v>
      </c>
      <c r="E283" s="10" t="str">
        <f>IFERROR(SUMPRODUCT((nCUENTA=1)*(nCURSO=A283)*(nASIG=B283)*(nNOTA))/D283,"—")</f>
        <v>—</v>
      </c>
      <c r="F283" s="10" t="str" cm="1">
        <f t="array" ref="F283">IFERROR(_xlfn.STDEV.P(_xlfn._xlws.FILTER(nNOTA,(nCUENTA=1)*(nCURSO=A283)*(nASIG=B283))),"—")</f>
        <v>—</v>
      </c>
      <c r="G283" t="str" cm="1">
        <f t="array" ref="G283">IFERROR(_xlfn.MODE.SNGL(_xlfn._xlws.FILTER(nNOTA,(nCUENTA=1)*(nCURSO=A283)*(nASIG=B283))),"—")</f>
        <v>—</v>
      </c>
      <c r="H283" s="11" t="str">
        <f>IFERROR(SUMPRODUCT((nCUENTA=1)*(nCURSO=A283)*(nASIG=B283)*(nAPTO="S"))/D283,"—")</f>
        <v>—</v>
      </c>
      <c r="I283" s="11" t="str">
        <f>IFERROR(SUMPRODUCT((nCUENTA=1)*(nCURSO=A283)*(nASIG=B283)*(nAPTO="N"))/D283,"—")</f>
        <v>—</v>
      </c>
      <c r="J283" t="str" cm="1">
        <f t="array" ref="J283">IFERROR(_xlfn.MODE.SNGL(_xlfn._xlws.FILTER(nNOTA,(nCUENTA=1)*(nCURSO=A283)*(nASIG=B283)*(nAPTO="S"))),"—")</f>
        <v>—</v>
      </c>
      <c r="K283" t="str" cm="1">
        <f t="array" ref="K283">IFERROR(_xlfn.MODE.SNGL(_xlfn._xlws.FILTER(nNOTA,(nCUENTA=1)*(nCURSO=A283)*(nASIG=B283)*(nAPTO="N"))),"—")</f>
        <v>—</v>
      </c>
      <c r="L283">
        <f>SUMPRODUCT((nCUENTA=1)*(nCURSO=A283)*(nASIG=B283)*(nNOTA=1))</f>
        <v>0</v>
      </c>
      <c r="M283">
        <f>SUMPRODUCT((nCUENTA=1)*(nCURSO=A283)*(nASIG=B283)*(nNOTA=2))</f>
        <v>0</v>
      </c>
      <c r="N283">
        <f>SUMPRODUCT((nCUENTA=1)*(nCURSO=A283)*(nASIG=B283)*(nNOTA=3))</f>
        <v>0</v>
      </c>
      <c r="O283">
        <f>SUMPRODUCT((nCUENTA=1)*(nCURSO=A283)*(nASIG=B283)*(nNOTA=4))</f>
        <v>0</v>
      </c>
      <c r="P283">
        <f>SUMPRODUCT((nCUENTA=1)*(nCURSO=A283)*(nASIG=B283)*(nNOTA=5))</f>
        <v>0</v>
      </c>
      <c r="Q283">
        <f>SUMPRODUCT((nCUENTA=1)*(nCURSO=A283)*(nASIG=B283)*(nNOTA=6))</f>
        <v>0</v>
      </c>
      <c r="R283">
        <f>SUMPRODUCT((nCUENTA=1)*(nCURSO=A283)*(nASIG=B283)*(nNOTA=7))</f>
        <v>0</v>
      </c>
      <c r="S283">
        <f>SUMPRODUCT((nCUENTA=1)*(nCURSO=A283)*(nASIG=B283)*(nNOTA=8))</f>
        <v>0</v>
      </c>
      <c r="T283">
        <f>SUMPRODUCT((nCUENTA=1)*(nCURSO=A283)*(nASIG=B283)*(nNOTA=9))</f>
        <v>0</v>
      </c>
      <c r="U283">
        <f>SUMPRODUCT((nCUENTA=1)*(nCURSO=A283)*(nASIG=B283)*(nNOTA=10))</f>
        <v>0</v>
      </c>
    </row>
    <row r="284">
      <c r="A284" t="inlineStr">
        <is>
          <t xml:space="preserve">4EPM</t>
        </is>
      </c>
      <c r="B284" cm="1">
        <f t="array" ref="B284">IFERROR(INDEX(_xlfn._xlws.FILTER(CONFIG_ASIGNATURAS!$B$2:$B$91,(CONFIG_ASIGNATURAS!$G$2:$G$91="Sí")*ISNUMBER(SEARCH("4EPM",CONFIG_ASIGNATURAS!$C$2:$C$91))),21),"")</f>
      </c>
      <c r="C284">
        <f>IF(B284="","",IFERROR(VLOOKUP(B284,CONFIG_ASIGNATURAS!$B$2:$D$91,3,FALSE()),"Asignatura"))</f>
      </c>
      <c r="D284">
        <f>SUMPRODUCT((nCUENTA=1)*(nCURSO=A284)*(nASIG=B284))</f>
        <v>0</v>
      </c>
      <c r="E284" s="10" t="str">
        <f>IFERROR(SUMPRODUCT((nCUENTA=1)*(nCURSO=A284)*(nASIG=B284)*(nNOTA))/D284,"—")</f>
        <v>—</v>
      </c>
      <c r="F284" s="10" t="str" cm="1">
        <f t="array" ref="F284">IFERROR(_xlfn.STDEV.P(_xlfn._xlws.FILTER(nNOTA,(nCUENTA=1)*(nCURSO=A284)*(nASIG=B284))),"—")</f>
        <v>—</v>
      </c>
      <c r="G284" t="str" cm="1">
        <f t="array" ref="G284">IFERROR(_xlfn.MODE.SNGL(_xlfn._xlws.FILTER(nNOTA,(nCUENTA=1)*(nCURSO=A284)*(nASIG=B284))),"—")</f>
        <v>—</v>
      </c>
      <c r="H284" s="11" t="str">
        <f>IFERROR(SUMPRODUCT((nCUENTA=1)*(nCURSO=A284)*(nASIG=B284)*(nAPTO="S"))/D284,"—")</f>
        <v>—</v>
      </c>
      <c r="I284" s="11" t="str">
        <f>IFERROR(SUMPRODUCT((nCUENTA=1)*(nCURSO=A284)*(nASIG=B284)*(nAPTO="N"))/D284,"—")</f>
        <v>—</v>
      </c>
      <c r="J284" t="str" cm="1">
        <f t="array" ref="J284">IFERROR(_xlfn.MODE.SNGL(_xlfn._xlws.FILTER(nNOTA,(nCUENTA=1)*(nCURSO=A284)*(nASIG=B284)*(nAPTO="S"))),"—")</f>
        <v>—</v>
      </c>
      <c r="K284" t="str" cm="1">
        <f t="array" ref="K284">IFERROR(_xlfn.MODE.SNGL(_xlfn._xlws.FILTER(nNOTA,(nCUENTA=1)*(nCURSO=A284)*(nASIG=B284)*(nAPTO="N"))),"—")</f>
        <v>—</v>
      </c>
      <c r="L284">
        <f>SUMPRODUCT((nCUENTA=1)*(nCURSO=A284)*(nASIG=B284)*(nNOTA=1))</f>
        <v>0</v>
      </c>
      <c r="M284">
        <f>SUMPRODUCT((nCUENTA=1)*(nCURSO=A284)*(nASIG=B284)*(nNOTA=2))</f>
        <v>0</v>
      </c>
      <c r="N284">
        <f>SUMPRODUCT((nCUENTA=1)*(nCURSO=A284)*(nASIG=B284)*(nNOTA=3))</f>
        <v>0</v>
      </c>
      <c r="O284">
        <f>SUMPRODUCT((nCUENTA=1)*(nCURSO=A284)*(nASIG=B284)*(nNOTA=4))</f>
        <v>0</v>
      </c>
      <c r="P284">
        <f>SUMPRODUCT((nCUENTA=1)*(nCURSO=A284)*(nASIG=B284)*(nNOTA=5))</f>
        <v>0</v>
      </c>
      <c r="Q284">
        <f>SUMPRODUCT((nCUENTA=1)*(nCURSO=A284)*(nASIG=B284)*(nNOTA=6))</f>
        <v>0</v>
      </c>
      <c r="R284">
        <f>SUMPRODUCT((nCUENTA=1)*(nCURSO=A284)*(nASIG=B284)*(nNOTA=7))</f>
        <v>0</v>
      </c>
      <c r="S284">
        <f>SUMPRODUCT((nCUENTA=1)*(nCURSO=A284)*(nASIG=B284)*(nNOTA=8))</f>
        <v>0</v>
      </c>
      <c r="T284">
        <f>SUMPRODUCT((nCUENTA=1)*(nCURSO=A284)*(nASIG=B284)*(nNOTA=9))</f>
        <v>0</v>
      </c>
      <c r="U284">
        <f>SUMPRODUCT((nCUENTA=1)*(nCURSO=A284)*(nASIG=B284)*(nNOTA=10))</f>
        <v>0</v>
      </c>
    </row>
    <row r="285">
      <c r="A285" t="inlineStr">
        <is>
          <t xml:space="preserve">4EPM</t>
        </is>
      </c>
      <c r="B285" cm="1">
        <f t="array" ref="B285">IFERROR(INDEX(_xlfn._xlws.FILTER(CONFIG_ASIGNATURAS!$B$2:$B$91,(CONFIG_ASIGNATURAS!$G$2:$G$91="Sí")*ISNUMBER(SEARCH("4EPM",CONFIG_ASIGNATURAS!$C$2:$C$91))),22),"")</f>
      </c>
      <c r="C285">
        <f>IF(B285="","",IFERROR(VLOOKUP(B285,CONFIG_ASIGNATURAS!$B$2:$D$91,3,FALSE()),"Asignatura"))</f>
      </c>
      <c r="D285">
        <f>SUMPRODUCT((nCUENTA=1)*(nCURSO=A285)*(nASIG=B285))</f>
        <v>0</v>
      </c>
      <c r="E285" s="10" t="str">
        <f>IFERROR(SUMPRODUCT((nCUENTA=1)*(nCURSO=A285)*(nASIG=B285)*(nNOTA))/D285,"—")</f>
        <v>—</v>
      </c>
      <c r="F285" s="10" t="str" cm="1">
        <f t="array" ref="F285">IFERROR(_xlfn.STDEV.P(_xlfn._xlws.FILTER(nNOTA,(nCUENTA=1)*(nCURSO=A285)*(nASIG=B285))),"—")</f>
        <v>—</v>
      </c>
      <c r="G285" t="str" cm="1">
        <f t="array" ref="G285">IFERROR(_xlfn.MODE.SNGL(_xlfn._xlws.FILTER(nNOTA,(nCUENTA=1)*(nCURSO=A285)*(nASIG=B285))),"—")</f>
        <v>—</v>
      </c>
      <c r="H285" s="11" t="str">
        <f>IFERROR(SUMPRODUCT((nCUENTA=1)*(nCURSO=A285)*(nASIG=B285)*(nAPTO="S"))/D285,"—")</f>
        <v>—</v>
      </c>
      <c r="I285" s="11" t="str">
        <f>IFERROR(SUMPRODUCT((nCUENTA=1)*(nCURSO=A285)*(nASIG=B285)*(nAPTO="N"))/D285,"—")</f>
        <v>—</v>
      </c>
      <c r="J285" t="str" cm="1">
        <f t="array" ref="J285">IFERROR(_xlfn.MODE.SNGL(_xlfn._xlws.FILTER(nNOTA,(nCUENTA=1)*(nCURSO=A285)*(nASIG=B285)*(nAPTO="S"))),"—")</f>
        <v>—</v>
      </c>
      <c r="K285" t="str" cm="1">
        <f t="array" ref="K285">IFERROR(_xlfn.MODE.SNGL(_xlfn._xlws.FILTER(nNOTA,(nCUENTA=1)*(nCURSO=A285)*(nASIG=B285)*(nAPTO="N"))),"—")</f>
        <v>—</v>
      </c>
      <c r="L285">
        <f>SUMPRODUCT((nCUENTA=1)*(nCURSO=A285)*(nASIG=B285)*(nNOTA=1))</f>
        <v>0</v>
      </c>
      <c r="M285">
        <f>SUMPRODUCT((nCUENTA=1)*(nCURSO=A285)*(nASIG=B285)*(nNOTA=2))</f>
        <v>0</v>
      </c>
      <c r="N285">
        <f>SUMPRODUCT((nCUENTA=1)*(nCURSO=A285)*(nASIG=B285)*(nNOTA=3))</f>
        <v>0</v>
      </c>
      <c r="O285">
        <f>SUMPRODUCT((nCUENTA=1)*(nCURSO=A285)*(nASIG=B285)*(nNOTA=4))</f>
        <v>0</v>
      </c>
      <c r="P285">
        <f>SUMPRODUCT((nCUENTA=1)*(nCURSO=A285)*(nASIG=B285)*(nNOTA=5))</f>
        <v>0</v>
      </c>
      <c r="Q285">
        <f>SUMPRODUCT((nCUENTA=1)*(nCURSO=A285)*(nASIG=B285)*(nNOTA=6))</f>
        <v>0</v>
      </c>
      <c r="R285">
        <f>SUMPRODUCT((nCUENTA=1)*(nCURSO=A285)*(nASIG=B285)*(nNOTA=7))</f>
        <v>0</v>
      </c>
      <c r="S285">
        <f>SUMPRODUCT((nCUENTA=1)*(nCURSO=A285)*(nASIG=B285)*(nNOTA=8))</f>
        <v>0</v>
      </c>
      <c r="T285">
        <f>SUMPRODUCT((nCUENTA=1)*(nCURSO=A285)*(nASIG=B285)*(nNOTA=9))</f>
        <v>0</v>
      </c>
      <c r="U285">
        <f>SUMPRODUCT((nCUENTA=1)*(nCURSO=A285)*(nASIG=B285)*(nNOTA=10))</f>
        <v>0</v>
      </c>
    </row>
    <row r="286">
      <c r="A286" t="inlineStr">
        <is>
          <t xml:space="preserve">4EPM</t>
        </is>
      </c>
      <c r="B286" cm="1">
        <f t="array" ref="B286">IFERROR(INDEX(_xlfn._xlws.FILTER(CONFIG_ASIGNATURAS!$B$2:$B$91,(CONFIG_ASIGNATURAS!$G$2:$G$91="Sí")*ISNUMBER(SEARCH("4EPM",CONFIG_ASIGNATURAS!$C$2:$C$91))),23),"")</f>
      </c>
      <c r="C286">
        <f>IF(B286="","",IFERROR(VLOOKUP(B286,CONFIG_ASIGNATURAS!$B$2:$D$91,3,FALSE()),"Asignatura"))</f>
      </c>
      <c r="D286">
        <f>SUMPRODUCT((nCUENTA=1)*(nCURSO=A286)*(nASIG=B286))</f>
        <v>0</v>
      </c>
      <c r="E286" s="10" t="str">
        <f>IFERROR(SUMPRODUCT((nCUENTA=1)*(nCURSO=A286)*(nASIG=B286)*(nNOTA))/D286,"—")</f>
        <v>—</v>
      </c>
      <c r="F286" s="10" t="str" cm="1">
        <f t="array" ref="F286">IFERROR(_xlfn.STDEV.P(_xlfn._xlws.FILTER(nNOTA,(nCUENTA=1)*(nCURSO=A286)*(nASIG=B286))),"—")</f>
        <v>—</v>
      </c>
      <c r="G286" t="str" cm="1">
        <f t="array" ref="G286">IFERROR(_xlfn.MODE.SNGL(_xlfn._xlws.FILTER(nNOTA,(nCUENTA=1)*(nCURSO=A286)*(nASIG=B286))),"—")</f>
        <v>—</v>
      </c>
      <c r="H286" s="11" t="str">
        <f>IFERROR(SUMPRODUCT((nCUENTA=1)*(nCURSO=A286)*(nASIG=B286)*(nAPTO="S"))/D286,"—")</f>
        <v>—</v>
      </c>
      <c r="I286" s="11" t="str">
        <f>IFERROR(SUMPRODUCT((nCUENTA=1)*(nCURSO=A286)*(nASIG=B286)*(nAPTO="N"))/D286,"—")</f>
        <v>—</v>
      </c>
      <c r="J286" t="str" cm="1">
        <f t="array" ref="J286">IFERROR(_xlfn.MODE.SNGL(_xlfn._xlws.FILTER(nNOTA,(nCUENTA=1)*(nCURSO=A286)*(nASIG=B286)*(nAPTO="S"))),"—")</f>
        <v>—</v>
      </c>
      <c r="K286" t="str" cm="1">
        <f t="array" ref="K286">IFERROR(_xlfn.MODE.SNGL(_xlfn._xlws.FILTER(nNOTA,(nCUENTA=1)*(nCURSO=A286)*(nASIG=B286)*(nAPTO="N"))),"—")</f>
        <v>—</v>
      </c>
      <c r="L286">
        <f>SUMPRODUCT((nCUENTA=1)*(nCURSO=A286)*(nASIG=B286)*(nNOTA=1))</f>
        <v>0</v>
      </c>
      <c r="M286">
        <f>SUMPRODUCT((nCUENTA=1)*(nCURSO=A286)*(nASIG=B286)*(nNOTA=2))</f>
        <v>0</v>
      </c>
      <c r="N286">
        <f>SUMPRODUCT((nCUENTA=1)*(nCURSO=A286)*(nASIG=B286)*(nNOTA=3))</f>
        <v>0</v>
      </c>
      <c r="O286">
        <f>SUMPRODUCT((nCUENTA=1)*(nCURSO=A286)*(nASIG=B286)*(nNOTA=4))</f>
        <v>0</v>
      </c>
      <c r="P286">
        <f>SUMPRODUCT((nCUENTA=1)*(nCURSO=A286)*(nASIG=B286)*(nNOTA=5))</f>
        <v>0</v>
      </c>
      <c r="Q286">
        <f>SUMPRODUCT((nCUENTA=1)*(nCURSO=A286)*(nASIG=B286)*(nNOTA=6))</f>
        <v>0</v>
      </c>
      <c r="R286">
        <f>SUMPRODUCT((nCUENTA=1)*(nCURSO=A286)*(nASIG=B286)*(nNOTA=7))</f>
        <v>0</v>
      </c>
      <c r="S286">
        <f>SUMPRODUCT((nCUENTA=1)*(nCURSO=A286)*(nASIG=B286)*(nNOTA=8))</f>
        <v>0</v>
      </c>
      <c r="T286">
        <f>SUMPRODUCT((nCUENTA=1)*(nCURSO=A286)*(nASIG=B286)*(nNOTA=9))</f>
        <v>0</v>
      </c>
      <c r="U286">
        <f>SUMPRODUCT((nCUENTA=1)*(nCURSO=A286)*(nASIG=B286)*(nNOTA=10))</f>
        <v>0</v>
      </c>
    </row>
    <row r="287">
      <c r="A287" t="inlineStr">
        <is>
          <t xml:space="preserve">4EPM</t>
        </is>
      </c>
      <c r="B287" cm="1">
        <f t="array" ref="B287">IFERROR(INDEX(_xlfn._xlws.FILTER(CONFIG_ASIGNATURAS!$B$2:$B$91,(CONFIG_ASIGNATURAS!$G$2:$G$91="Sí")*ISNUMBER(SEARCH("4EPM",CONFIG_ASIGNATURAS!$C$2:$C$91))),24),"")</f>
      </c>
      <c r="C287">
        <f>IF(B287="","",IFERROR(VLOOKUP(B287,CONFIG_ASIGNATURAS!$B$2:$D$91,3,FALSE()),"Asignatura"))</f>
      </c>
      <c r="D287">
        <f>SUMPRODUCT((nCUENTA=1)*(nCURSO=A287)*(nASIG=B287))</f>
        <v>0</v>
      </c>
      <c r="E287" s="10" t="str">
        <f>IFERROR(SUMPRODUCT((nCUENTA=1)*(nCURSO=A287)*(nASIG=B287)*(nNOTA))/D287,"—")</f>
        <v>—</v>
      </c>
      <c r="F287" s="10" t="str" cm="1">
        <f t="array" ref="F287">IFERROR(_xlfn.STDEV.P(_xlfn._xlws.FILTER(nNOTA,(nCUENTA=1)*(nCURSO=A287)*(nASIG=B287))),"—")</f>
        <v>—</v>
      </c>
      <c r="G287" t="str" cm="1">
        <f t="array" ref="G287">IFERROR(_xlfn.MODE.SNGL(_xlfn._xlws.FILTER(nNOTA,(nCUENTA=1)*(nCURSO=A287)*(nASIG=B287))),"—")</f>
        <v>—</v>
      </c>
      <c r="H287" s="11" t="str">
        <f>IFERROR(SUMPRODUCT((nCUENTA=1)*(nCURSO=A287)*(nASIG=B287)*(nAPTO="S"))/D287,"—")</f>
        <v>—</v>
      </c>
      <c r="I287" s="11" t="str">
        <f>IFERROR(SUMPRODUCT((nCUENTA=1)*(nCURSO=A287)*(nASIG=B287)*(nAPTO="N"))/D287,"—")</f>
        <v>—</v>
      </c>
      <c r="J287" t="str" cm="1">
        <f t="array" ref="J287">IFERROR(_xlfn.MODE.SNGL(_xlfn._xlws.FILTER(nNOTA,(nCUENTA=1)*(nCURSO=A287)*(nASIG=B287)*(nAPTO="S"))),"—")</f>
        <v>—</v>
      </c>
      <c r="K287" t="str" cm="1">
        <f t="array" ref="K287">IFERROR(_xlfn.MODE.SNGL(_xlfn._xlws.FILTER(nNOTA,(nCUENTA=1)*(nCURSO=A287)*(nASIG=B287)*(nAPTO="N"))),"—")</f>
        <v>—</v>
      </c>
      <c r="L287">
        <f>SUMPRODUCT((nCUENTA=1)*(nCURSO=A287)*(nASIG=B287)*(nNOTA=1))</f>
        <v>0</v>
      </c>
      <c r="M287">
        <f>SUMPRODUCT((nCUENTA=1)*(nCURSO=A287)*(nASIG=B287)*(nNOTA=2))</f>
        <v>0</v>
      </c>
      <c r="N287">
        <f>SUMPRODUCT((nCUENTA=1)*(nCURSO=A287)*(nASIG=B287)*(nNOTA=3))</f>
        <v>0</v>
      </c>
      <c r="O287">
        <f>SUMPRODUCT((nCUENTA=1)*(nCURSO=A287)*(nASIG=B287)*(nNOTA=4))</f>
        <v>0</v>
      </c>
      <c r="P287">
        <f>SUMPRODUCT((nCUENTA=1)*(nCURSO=A287)*(nASIG=B287)*(nNOTA=5))</f>
        <v>0</v>
      </c>
      <c r="Q287">
        <f>SUMPRODUCT((nCUENTA=1)*(nCURSO=A287)*(nASIG=B287)*(nNOTA=6))</f>
        <v>0</v>
      </c>
      <c r="R287">
        <f>SUMPRODUCT((nCUENTA=1)*(nCURSO=A287)*(nASIG=B287)*(nNOTA=7))</f>
        <v>0</v>
      </c>
      <c r="S287">
        <f>SUMPRODUCT((nCUENTA=1)*(nCURSO=A287)*(nASIG=B287)*(nNOTA=8))</f>
        <v>0</v>
      </c>
      <c r="T287">
        <f>SUMPRODUCT((nCUENTA=1)*(nCURSO=A287)*(nASIG=B287)*(nNOTA=9))</f>
        <v>0</v>
      </c>
      <c r="U287">
        <f>SUMPRODUCT((nCUENTA=1)*(nCURSO=A287)*(nASIG=B287)*(nNOTA=10))</f>
        <v>0</v>
      </c>
    </row>
    <row r="288">
      <c r="A288" t="inlineStr">
        <is>
          <t xml:space="preserve">4EPM</t>
        </is>
      </c>
      <c r="B288" cm="1">
        <f t="array" ref="B288">IFERROR(INDEX(_xlfn._xlws.FILTER(CONFIG_ASIGNATURAS!$B$2:$B$91,(CONFIG_ASIGNATURAS!$G$2:$G$91="Sí")*ISNUMBER(SEARCH("4EPM",CONFIG_ASIGNATURAS!$C$2:$C$91))),25),"")</f>
      </c>
      <c r="C288">
        <f>IF(B288="","",IFERROR(VLOOKUP(B288,CONFIG_ASIGNATURAS!$B$2:$D$91,3,FALSE()),"Asignatura"))</f>
      </c>
      <c r="D288">
        <f>SUMPRODUCT((nCUENTA=1)*(nCURSO=A288)*(nASIG=B288))</f>
        <v>0</v>
      </c>
      <c r="E288" s="10" t="str">
        <f>IFERROR(SUMPRODUCT((nCUENTA=1)*(nCURSO=A288)*(nASIG=B288)*(nNOTA))/D288,"—")</f>
        <v>—</v>
      </c>
      <c r="F288" s="10" t="str" cm="1">
        <f t="array" ref="F288">IFERROR(_xlfn.STDEV.P(_xlfn._xlws.FILTER(nNOTA,(nCUENTA=1)*(nCURSO=A288)*(nASIG=B288))),"—")</f>
        <v>—</v>
      </c>
      <c r="G288" t="str" cm="1">
        <f t="array" ref="G288">IFERROR(_xlfn.MODE.SNGL(_xlfn._xlws.FILTER(nNOTA,(nCUENTA=1)*(nCURSO=A288)*(nASIG=B288))),"—")</f>
        <v>—</v>
      </c>
      <c r="H288" s="11" t="str">
        <f>IFERROR(SUMPRODUCT((nCUENTA=1)*(nCURSO=A288)*(nASIG=B288)*(nAPTO="S"))/D288,"—")</f>
        <v>—</v>
      </c>
      <c r="I288" s="11" t="str">
        <f>IFERROR(SUMPRODUCT((nCUENTA=1)*(nCURSO=A288)*(nASIG=B288)*(nAPTO="N"))/D288,"—")</f>
        <v>—</v>
      </c>
      <c r="J288" t="str" cm="1">
        <f t="array" ref="J288">IFERROR(_xlfn.MODE.SNGL(_xlfn._xlws.FILTER(nNOTA,(nCUENTA=1)*(nCURSO=A288)*(nASIG=B288)*(nAPTO="S"))),"—")</f>
        <v>—</v>
      </c>
      <c r="K288" t="str" cm="1">
        <f t="array" ref="K288">IFERROR(_xlfn.MODE.SNGL(_xlfn._xlws.FILTER(nNOTA,(nCUENTA=1)*(nCURSO=A288)*(nASIG=B288)*(nAPTO="N"))),"—")</f>
        <v>—</v>
      </c>
      <c r="L288">
        <f>SUMPRODUCT((nCUENTA=1)*(nCURSO=A288)*(nASIG=B288)*(nNOTA=1))</f>
        <v>0</v>
      </c>
      <c r="M288">
        <f>SUMPRODUCT((nCUENTA=1)*(nCURSO=A288)*(nASIG=B288)*(nNOTA=2))</f>
        <v>0</v>
      </c>
      <c r="N288">
        <f>SUMPRODUCT((nCUENTA=1)*(nCURSO=A288)*(nASIG=B288)*(nNOTA=3))</f>
        <v>0</v>
      </c>
      <c r="O288">
        <f>SUMPRODUCT((nCUENTA=1)*(nCURSO=A288)*(nASIG=B288)*(nNOTA=4))</f>
        <v>0</v>
      </c>
      <c r="P288">
        <f>SUMPRODUCT((nCUENTA=1)*(nCURSO=A288)*(nASIG=B288)*(nNOTA=5))</f>
        <v>0</v>
      </c>
      <c r="Q288">
        <f>SUMPRODUCT((nCUENTA=1)*(nCURSO=A288)*(nASIG=B288)*(nNOTA=6))</f>
        <v>0</v>
      </c>
      <c r="R288">
        <f>SUMPRODUCT((nCUENTA=1)*(nCURSO=A288)*(nASIG=B288)*(nNOTA=7))</f>
        <v>0</v>
      </c>
      <c r="S288">
        <f>SUMPRODUCT((nCUENTA=1)*(nCURSO=A288)*(nASIG=B288)*(nNOTA=8))</f>
        <v>0</v>
      </c>
      <c r="T288">
        <f>SUMPRODUCT((nCUENTA=1)*(nCURSO=A288)*(nASIG=B288)*(nNOTA=9))</f>
        <v>0</v>
      </c>
      <c r="U288">
        <f>SUMPRODUCT((nCUENTA=1)*(nCURSO=A288)*(nASIG=B288)*(nNOTA=10))</f>
        <v>0</v>
      </c>
    </row>
    <row r="289">
      <c r="A289" t="inlineStr">
        <is>
          <t xml:space="preserve">4EPM</t>
        </is>
      </c>
      <c r="B289" cm="1">
        <f t="array" ref="B289">IFERROR(INDEX(_xlfn._xlws.FILTER(CONFIG_ASIGNATURAS!$B$2:$B$91,(CONFIG_ASIGNATURAS!$G$2:$G$91="Sí")*ISNUMBER(SEARCH("4EPM",CONFIG_ASIGNATURAS!$C$2:$C$91))),26),"")</f>
      </c>
      <c r="C289">
        <f>IF(B289="","",IFERROR(VLOOKUP(B289,CONFIG_ASIGNATURAS!$B$2:$D$91,3,FALSE()),"Asignatura"))</f>
      </c>
      <c r="D289">
        <f>SUMPRODUCT((nCUENTA=1)*(nCURSO=A289)*(nASIG=B289))</f>
        <v>0</v>
      </c>
      <c r="E289" s="10" t="str">
        <f>IFERROR(SUMPRODUCT((nCUENTA=1)*(nCURSO=A289)*(nASIG=B289)*(nNOTA))/D289,"—")</f>
        <v>—</v>
      </c>
      <c r="F289" s="10" t="str" cm="1">
        <f t="array" ref="F289">IFERROR(_xlfn.STDEV.P(_xlfn._xlws.FILTER(nNOTA,(nCUENTA=1)*(nCURSO=A289)*(nASIG=B289))),"—")</f>
        <v>—</v>
      </c>
      <c r="G289" t="str" cm="1">
        <f t="array" ref="G289">IFERROR(_xlfn.MODE.SNGL(_xlfn._xlws.FILTER(nNOTA,(nCUENTA=1)*(nCURSO=A289)*(nASIG=B289))),"—")</f>
        <v>—</v>
      </c>
      <c r="H289" s="11" t="str">
        <f>IFERROR(SUMPRODUCT((nCUENTA=1)*(nCURSO=A289)*(nASIG=B289)*(nAPTO="S"))/D289,"—")</f>
        <v>—</v>
      </c>
      <c r="I289" s="11" t="str">
        <f>IFERROR(SUMPRODUCT((nCUENTA=1)*(nCURSO=A289)*(nASIG=B289)*(nAPTO="N"))/D289,"—")</f>
        <v>—</v>
      </c>
      <c r="J289" t="str" cm="1">
        <f t="array" ref="J289">IFERROR(_xlfn.MODE.SNGL(_xlfn._xlws.FILTER(nNOTA,(nCUENTA=1)*(nCURSO=A289)*(nASIG=B289)*(nAPTO="S"))),"—")</f>
        <v>—</v>
      </c>
      <c r="K289" t="str" cm="1">
        <f t="array" ref="K289">IFERROR(_xlfn.MODE.SNGL(_xlfn._xlws.FILTER(nNOTA,(nCUENTA=1)*(nCURSO=A289)*(nASIG=B289)*(nAPTO="N"))),"—")</f>
        <v>—</v>
      </c>
      <c r="L289">
        <f>SUMPRODUCT((nCUENTA=1)*(nCURSO=A289)*(nASIG=B289)*(nNOTA=1))</f>
        <v>0</v>
      </c>
      <c r="M289">
        <f>SUMPRODUCT((nCUENTA=1)*(nCURSO=A289)*(nASIG=B289)*(nNOTA=2))</f>
        <v>0</v>
      </c>
      <c r="N289">
        <f>SUMPRODUCT((nCUENTA=1)*(nCURSO=A289)*(nASIG=B289)*(nNOTA=3))</f>
        <v>0</v>
      </c>
      <c r="O289">
        <f>SUMPRODUCT((nCUENTA=1)*(nCURSO=A289)*(nASIG=B289)*(nNOTA=4))</f>
        <v>0</v>
      </c>
      <c r="P289">
        <f>SUMPRODUCT((nCUENTA=1)*(nCURSO=A289)*(nASIG=B289)*(nNOTA=5))</f>
        <v>0</v>
      </c>
      <c r="Q289">
        <f>SUMPRODUCT((nCUENTA=1)*(nCURSO=A289)*(nASIG=B289)*(nNOTA=6))</f>
        <v>0</v>
      </c>
      <c r="R289">
        <f>SUMPRODUCT((nCUENTA=1)*(nCURSO=A289)*(nASIG=B289)*(nNOTA=7))</f>
        <v>0</v>
      </c>
      <c r="S289">
        <f>SUMPRODUCT((nCUENTA=1)*(nCURSO=A289)*(nASIG=B289)*(nNOTA=8))</f>
        <v>0</v>
      </c>
      <c r="T289">
        <f>SUMPRODUCT((nCUENTA=1)*(nCURSO=A289)*(nASIG=B289)*(nNOTA=9))</f>
        <v>0</v>
      </c>
      <c r="U289">
        <f>SUMPRODUCT((nCUENTA=1)*(nCURSO=A289)*(nASIG=B289)*(nNOTA=10))</f>
        <v>0</v>
      </c>
    </row>
    <row r="290">
      <c r="A290" t="inlineStr">
        <is>
          <t xml:space="preserve">4EPM</t>
        </is>
      </c>
      <c r="B290" cm="1">
        <f t="array" ref="B290">IFERROR(INDEX(_xlfn._xlws.FILTER(CONFIG_ASIGNATURAS!$B$2:$B$91,(CONFIG_ASIGNATURAS!$G$2:$G$91="Sí")*ISNUMBER(SEARCH("4EPM",CONFIG_ASIGNATURAS!$C$2:$C$91))),27),"")</f>
      </c>
      <c r="C290">
        <f>IF(B290="","",IFERROR(VLOOKUP(B290,CONFIG_ASIGNATURAS!$B$2:$D$91,3,FALSE()),"Asignatura"))</f>
      </c>
      <c r="D290">
        <f>SUMPRODUCT((nCUENTA=1)*(nCURSO=A290)*(nASIG=B290))</f>
        <v>0</v>
      </c>
      <c r="E290" s="10" t="str">
        <f>IFERROR(SUMPRODUCT((nCUENTA=1)*(nCURSO=A290)*(nASIG=B290)*(nNOTA))/D290,"—")</f>
        <v>—</v>
      </c>
      <c r="F290" s="10" t="str" cm="1">
        <f t="array" ref="F290">IFERROR(_xlfn.STDEV.P(_xlfn._xlws.FILTER(nNOTA,(nCUENTA=1)*(nCURSO=A290)*(nASIG=B290))),"—")</f>
        <v>—</v>
      </c>
      <c r="G290" t="str" cm="1">
        <f t="array" ref="G290">IFERROR(_xlfn.MODE.SNGL(_xlfn._xlws.FILTER(nNOTA,(nCUENTA=1)*(nCURSO=A290)*(nASIG=B290))),"—")</f>
        <v>—</v>
      </c>
      <c r="H290" s="11" t="str">
        <f>IFERROR(SUMPRODUCT((nCUENTA=1)*(nCURSO=A290)*(nASIG=B290)*(nAPTO="S"))/D290,"—")</f>
        <v>—</v>
      </c>
      <c r="I290" s="11" t="str">
        <f>IFERROR(SUMPRODUCT((nCUENTA=1)*(nCURSO=A290)*(nASIG=B290)*(nAPTO="N"))/D290,"—")</f>
        <v>—</v>
      </c>
      <c r="J290" t="str" cm="1">
        <f t="array" ref="J290">IFERROR(_xlfn.MODE.SNGL(_xlfn._xlws.FILTER(nNOTA,(nCUENTA=1)*(nCURSO=A290)*(nASIG=B290)*(nAPTO="S"))),"—")</f>
        <v>—</v>
      </c>
      <c r="K290" t="str" cm="1">
        <f t="array" ref="K290">IFERROR(_xlfn.MODE.SNGL(_xlfn._xlws.FILTER(nNOTA,(nCUENTA=1)*(nCURSO=A290)*(nASIG=B290)*(nAPTO="N"))),"—")</f>
        <v>—</v>
      </c>
      <c r="L290">
        <f>SUMPRODUCT((nCUENTA=1)*(nCURSO=A290)*(nASIG=B290)*(nNOTA=1))</f>
        <v>0</v>
      </c>
      <c r="M290">
        <f>SUMPRODUCT((nCUENTA=1)*(nCURSO=A290)*(nASIG=B290)*(nNOTA=2))</f>
        <v>0</v>
      </c>
      <c r="N290">
        <f>SUMPRODUCT((nCUENTA=1)*(nCURSO=A290)*(nASIG=B290)*(nNOTA=3))</f>
        <v>0</v>
      </c>
      <c r="O290">
        <f>SUMPRODUCT((nCUENTA=1)*(nCURSO=A290)*(nASIG=B290)*(nNOTA=4))</f>
        <v>0</v>
      </c>
      <c r="P290">
        <f>SUMPRODUCT((nCUENTA=1)*(nCURSO=A290)*(nASIG=B290)*(nNOTA=5))</f>
        <v>0</v>
      </c>
      <c r="Q290">
        <f>SUMPRODUCT((nCUENTA=1)*(nCURSO=A290)*(nASIG=B290)*(nNOTA=6))</f>
        <v>0</v>
      </c>
      <c r="R290">
        <f>SUMPRODUCT((nCUENTA=1)*(nCURSO=A290)*(nASIG=B290)*(nNOTA=7))</f>
        <v>0</v>
      </c>
      <c r="S290">
        <f>SUMPRODUCT((nCUENTA=1)*(nCURSO=A290)*(nASIG=B290)*(nNOTA=8))</f>
        <v>0</v>
      </c>
      <c r="T290">
        <f>SUMPRODUCT((nCUENTA=1)*(nCURSO=A290)*(nASIG=B290)*(nNOTA=9))</f>
        <v>0</v>
      </c>
      <c r="U290">
        <f>SUMPRODUCT((nCUENTA=1)*(nCURSO=A290)*(nASIG=B290)*(nNOTA=10))</f>
        <v>0</v>
      </c>
    </row>
    <row r="291">
      <c r="A291" t="inlineStr">
        <is>
          <t xml:space="preserve">4EPM</t>
        </is>
      </c>
      <c r="B291" cm="1">
        <f t="array" ref="B291">IFERROR(INDEX(_xlfn._xlws.FILTER(CONFIG_ASIGNATURAS!$B$2:$B$91,(CONFIG_ASIGNATURAS!$G$2:$G$91="Sí")*ISNUMBER(SEARCH("4EPM",CONFIG_ASIGNATURAS!$C$2:$C$91))),28),"")</f>
      </c>
      <c r="C291">
        <f>IF(B291="","",IFERROR(VLOOKUP(B291,CONFIG_ASIGNATURAS!$B$2:$D$91,3,FALSE()),"Asignatura"))</f>
      </c>
      <c r="D291">
        <f>SUMPRODUCT((nCUENTA=1)*(nCURSO=A291)*(nASIG=B291))</f>
        <v>0</v>
      </c>
      <c r="E291" s="10" t="str">
        <f>IFERROR(SUMPRODUCT((nCUENTA=1)*(nCURSO=A291)*(nASIG=B291)*(nNOTA))/D291,"—")</f>
        <v>—</v>
      </c>
      <c r="F291" s="10" t="str" cm="1">
        <f t="array" ref="F291">IFERROR(_xlfn.STDEV.P(_xlfn._xlws.FILTER(nNOTA,(nCUENTA=1)*(nCURSO=A291)*(nASIG=B291))),"—")</f>
        <v>—</v>
      </c>
      <c r="G291" t="str" cm="1">
        <f t="array" ref="G291">IFERROR(_xlfn.MODE.SNGL(_xlfn._xlws.FILTER(nNOTA,(nCUENTA=1)*(nCURSO=A291)*(nASIG=B291))),"—")</f>
        <v>—</v>
      </c>
      <c r="H291" s="11" t="str">
        <f>IFERROR(SUMPRODUCT((nCUENTA=1)*(nCURSO=A291)*(nASIG=B291)*(nAPTO="S"))/D291,"—")</f>
        <v>—</v>
      </c>
      <c r="I291" s="11" t="str">
        <f>IFERROR(SUMPRODUCT((nCUENTA=1)*(nCURSO=A291)*(nASIG=B291)*(nAPTO="N"))/D291,"—")</f>
        <v>—</v>
      </c>
      <c r="J291" t="str" cm="1">
        <f t="array" ref="J291">IFERROR(_xlfn.MODE.SNGL(_xlfn._xlws.FILTER(nNOTA,(nCUENTA=1)*(nCURSO=A291)*(nASIG=B291)*(nAPTO="S"))),"—")</f>
        <v>—</v>
      </c>
      <c r="K291" t="str" cm="1">
        <f t="array" ref="K291">IFERROR(_xlfn.MODE.SNGL(_xlfn._xlws.FILTER(nNOTA,(nCUENTA=1)*(nCURSO=A291)*(nASIG=B291)*(nAPTO="N"))),"—")</f>
        <v>—</v>
      </c>
      <c r="L291">
        <f>SUMPRODUCT((nCUENTA=1)*(nCURSO=A291)*(nASIG=B291)*(nNOTA=1))</f>
        <v>0</v>
      </c>
      <c r="M291">
        <f>SUMPRODUCT((nCUENTA=1)*(nCURSO=A291)*(nASIG=B291)*(nNOTA=2))</f>
        <v>0</v>
      </c>
      <c r="N291">
        <f>SUMPRODUCT((nCUENTA=1)*(nCURSO=A291)*(nASIG=B291)*(nNOTA=3))</f>
        <v>0</v>
      </c>
      <c r="O291">
        <f>SUMPRODUCT((nCUENTA=1)*(nCURSO=A291)*(nASIG=B291)*(nNOTA=4))</f>
        <v>0</v>
      </c>
      <c r="P291">
        <f>SUMPRODUCT((nCUENTA=1)*(nCURSO=A291)*(nASIG=B291)*(nNOTA=5))</f>
        <v>0</v>
      </c>
      <c r="Q291">
        <f>SUMPRODUCT((nCUENTA=1)*(nCURSO=A291)*(nASIG=B291)*(nNOTA=6))</f>
        <v>0</v>
      </c>
      <c r="R291">
        <f>SUMPRODUCT((nCUENTA=1)*(nCURSO=A291)*(nASIG=B291)*(nNOTA=7))</f>
        <v>0</v>
      </c>
      <c r="S291">
        <f>SUMPRODUCT((nCUENTA=1)*(nCURSO=A291)*(nASIG=B291)*(nNOTA=8))</f>
        <v>0</v>
      </c>
      <c r="T291">
        <f>SUMPRODUCT((nCUENTA=1)*(nCURSO=A291)*(nASIG=B291)*(nNOTA=9))</f>
        <v>0</v>
      </c>
      <c r="U291">
        <f>SUMPRODUCT((nCUENTA=1)*(nCURSO=A291)*(nASIG=B291)*(nNOTA=10))</f>
        <v>0</v>
      </c>
    </row>
    <row r="292">
      <c r="A292" t="inlineStr">
        <is>
          <t xml:space="preserve">4EPM</t>
        </is>
      </c>
      <c r="B292" cm="1">
        <f t="array" ref="B292">IFERROR(INDEX(_xlfn._xlws.FILTER(CONFIG_ASIGNATURAS!$B$2:$B$91,(CONFIG_ASIGNATURAS!$G$2:$G$91="Sí")*ISNUMBER(SEARCH("4EPM",CONFIG_ASIGNATURAS!$C$2:$C$91))),29),"")</f>
      </c>
      <c r="C292">
        <f>IF(B292="","",IFERROR(VLOOKUP(B292,CONFIG_ASIGNATURAS!$B$2:$D$91,3,FALSE()),"Asignatura"))</f>
      </c>
      <c r="D292">
        <f>SUMPRODUCT((nCUENTA=1)*(nCURSO=A292)*(nASIG=B292))</f>
        <v>0</v>
      </c>
      <c r="E292" s="10" t="str">
        <f>IFERROR(SUMPRODUCT((nCUENTA=1)*(nCURSO=A292)*(nASIG=B292)*(nNOTA))/D292,"—")</f>
        <v>—</v>
      </c>
      <c r="F292" s="10" t="str" cm="1">
        <f t="array" ref="F292">IFERROR(_xlfn.STDEV.P(_xlfn._xlws.FILTER(nNOTA,(nCUENTA=1)*(nCURSO=A292)*(nASIG=B292))),"—")</f>
        <v>—</v>
      </c>
      <c r="G292" t="str" cm="1">
        <f t="array" ref="G292">IFERROR(_xlfn.MODE.SNGL(_xlfn._xlws.FILTER(nNOTA,(nCUENTA=1)*(nCURSO=A292)*(nASIG=B292))),"—")</f>
        <v>—</v>
      </c>
      <c r="H292" s="11" t="str">
        <f>IFERROR(SUMPRODUCT((nCUENTA=1)*(nCURSO=A292)*(nASIG=B292)*(nAPTO="S"))/D292,"—")</f>
        <v>—</v>
      </c>
      <c r="I292" s="11" t="str">
        <f>IFERROR(SUMPRODUCT((nCUENTA=1)*(nCURSO=A292)*(nASIG=B292)*(nAPTO="N"))/D292,"—")</f>
        <v>—</v>
      </c>
      <c r="J292" t="str" cm="1">
        <f t="array" ref="J292">IFERROR(_xlfn.MODE.SNGL(_xlfn._xlws.FILTER(nNOTA,(nCUENTA=1)*(nCURSO=A292)*(nASIG=B292)*(nAPTO="S"))),"—")</f>
        <v>—</v>
      </c>
      <c r="K292" t="str" cm="1">
        <f t="array" ref="K292">IFERROR(_xlfn.MODE.SNGL(_xlfn._xlws.FILTER(nNOTA,(nCUENTA=1)*(nCURSO=A292)*(nASIG=B292)*(nAPTO="N"))),"—")</f>
        <v>—</v>
      </c>
      <c r="L292">
        <f>SUMPRODUCT((nCUENTA=1)*(nCURSO=A292)*(nASIG=B292)*(nNOTA=1))</f>
        <v>0</v>
      </c>
      <c r="M292">
        <f>SUMPRODUCT((nCUENTA=1)*(nCURSO=A292)*(nASIG=B292)*(nNOTA=2))</f>
        <v>0</v>
      </c>
      <c r="N292">
        <f>SUMPRODUCT((nCUENTA=1)*(nCURSO=A292)*(nASIG=B292)*(nNOTA=3))</f>
        <v>0</v>
      </c>
      <c r="O292">
        <f>SUMPRODUCT((nCUENTA=1)*(nCURSO=A292)*(nASIG=B292)*(nNOTA=4))</f>
        <v>0</v>
      </c>
      <c r="P292">
        <f>SUMPRODUCT((nCUENTA=1)*(nCURSO=A292)*(nASIG=B292)*(nNOTA=5))</f>
        <v>0</v>
      </c>
      <c r="Q292">
        <f>SUMPRODUCT((nCUENTA=1)*(nCURSO=A292)*(nASIG=B292)*(nNOTA=6))</f>
        <v>0</v>
      </c>
      <c r="R292">
        <f>SUMPRODUCT((nCUENTA=1)*(nCURSO=A292)*(nASIG=B292)*(nNOTA=7))</f>
        <v>0</v>
      </c>
      <c r="S292">
        <f>SUMPRODUCT((nCUENTA=1)*(nCURSO=A292)*(nASIG=B292)*(nNOTA=8))</f>
        <v>0</v>
      </c>
      <c r="T292">
        <f>SUMPRODUCT((nCUENTA=1)*(nCURSO=A292)*(nASIG=B292)*(nNOTA=9))</f>
        <v>0</v>
      </c>
      <c r="U292">
        <f>SUMPRODUCT((nCUENTA=1)*(nCURSO=A292)*(nASIG=B292)*(nNOTA=10))</f>
        <v>0</v>
      </c>
    </row>
    <row r="293">
      <c r="A293" t="inlineStr">
        <is>
          <t xml:space="preserve">4EPM</t>
        </is>
      </c>
      <c r="B293" cm="1">
        <f t="array" ref="B293">IFERROR(INDEX(_xlfn._xlws.FILTER(CONFIG_ASIGNATURAS!$B$2:$B$91,(CONFIG_ASIGNATURAS!$G$2:$G$91="Sí")*ISNUMBER(SEARCH("4EPM",CONFIG_ASIGNATURAS!$C$2:$C$91))),30),"")</f>
      </c>
      <c r="C293">
        <f>IF(B293="","",IFERROR(VLOOKUP(B293,CONFIG_ASIGNATURAS!$B$2:$D$91,3,FALSE()),"Asignatura"))</f>
      </c>
      <c r="D293">
        <f>SUMPRODUCT((nCUENTA=1)*(nCURSO=A293)*(nASIG=B293))</f>
        <v>0</v>
      </c>
      <c r="E293" s="10" t="str">
        <f>IFERROR(SUMPRODUCT((nCUENTA=1)*(nCURSO=A293)*(nASIG=B293)*(nNOTA))/D293,"—")</f>
        <v>—</v>
      </c>
      <c r="F293" s="10" t="str" cm="1">
        <f t="array" ref="F293">IFERROR(_xlfn.STDEV.P(_xlfn._xlws.FILTER(nNOTA,(nCUENTA=1)*(nCURSO=A293)*(nASIG=B293))),"—")</f>
        <v>—</v>
      </c>
      <c r="G293" t="str" cm="1">
        <f t="array" ref="G293">IFERROR(_xlfn.MODE.SNGL(_xlfn._xlws.FILTER(nNOTA,(nCUENTA=1)*(nCURSO=A293)*(nASIG=B293))),"—")</f>
        <v>—</v>
      </c>
      <c r="H293" s="11" t="str">
        <f>IFERROR(SUMPRODUCT((nCUENTA=1)*(nCURSO=A293)*(nASIG=B293)*(nAPTO="S"))/D293,"—")</f>
        <v>—</v>
      </c>
      <c r="I293" s="11" t="str">
        <f>IFERROR(SUMPRODUCT((nCUENTA=1)*(nCURSO=A293)*(nASIG=B293)*(nAPTO="N"))/D293,"—")</f>
        <v>—</v>
      </c>
      <c r="J293" t="str" cm="1">
        <f t="array" ref="J293">IFERROR(_xlfn.MODE.SNGL(_xlfn._xlws.FILTER(nNOTA,(nCUENTA=1)*(nCURSO=A293)*(nASIG=B293)*(nAPTO="S"))),"—")</f>
        <v>—</v>
      </c>
      <c r="K293" t="str" cm="1">
        <f t="array" ref="K293">IFERROR(_xlfn.MODE.SNGL(_xlfn._xlws.FILTER(nNOTA,(nCUENTA=1)*(nCURSO=A293)*(nASIG=B293)*(nAPTO="N"))),"—")</f>
        <v>—</v>
      </c>
      <c r="L293">
        <f>SUMPRODUCT((nCUENTA=1)*(nCURSO=A293)*(nASIG=B293)*(nNOTA=1))</f>
        <v>0</v>
      </c>
      <c r="M293">
        <f>SUMPRODUCT((nCUENTA=1)*(nCURSO=A293)*(nASIG=B293)*(nNOTA=2))</f>
        <v>0</v>
      </c>
      <c r="N293">
        <f>SUMPRODUCT((nCUENTA=1)*(nCURSO=A293)*(nASIG=B293)*(nNOTA=3))</f>
        <v>0</v>
      </c>
      <c r="O293">
        <f>SUMPRODUCT((nCUENTA=1)*(nCURSO=A293)*(nASIG=B293)*(nNOTA=4))</f>
        <v>0</v>
      </c>
      <c r="P293">
        <f>SUMPRODUCT((nCUENTA=1)*(nCURSO=A293)*(nASIG=B293)*(nNOTA=5))</f>
        <v>0</v>
      </c>
      <c r="Q293">
        <f>SUMPRODUCT((nCUENTA=1)*(nCURSO=A293)*(nASIG=B293)*(nNOTA=6))</f>
        <v>0</v>
      </c>
      <c r="R293">
        <f>SUMPRODUCT((nCUENTA=1)*(nCURSO=A293)*(nASIG=B293)*(nNOTA=7))</f>
        <v>0</v>
      </c>
      <c r="S293">
        <f>SUMPRODUCT((nCUENTA=1)*(nCURSO=A293)*(nASIG=B293)*(nNOTA=8))</f>
        <v>0</v>
      </c>
      <c r="T293">
        <f>SUMPRODUCT((nCUENTA=1)*(nCURSO=A293)*(nASIG=B293)*(nNOTA=9))</f>
        <v>0</v>
      </c>
      <c r="U293">
        <f>SUMPRODUCT((nCUENTA=1)*(nCURSO=A293)*(nASIG=B293)*(nNOTA=10))</f>
        <v>0</v>
      </c>
    </row>
    <row r="294">
      <c r="A294" t="inlineStr">
        <is>
          <t xml:space="preserve">4EPM</t>
        </is>
      </c>
      <c r="B294" cm="1">
        <f t="array" ref="B294">IFERROR(INDEX(_xlfn._xlws.FILTER(CONFIG_ASIGNATURAS!$B$2:$B$91,(CONFIG_ASIGNATURAS!$G$2:$G$91="Sí")*ISNUMBER(SEARCH("4EPM",CONFIG_ASIGNATURAS!$C$2:$C$91))),31),"")</f>
      </c>
      <c r="C294">
        <f>IF(B294="","",IFERROR(VLOOKUP(B294,CONFIG_ASIGNATURAS!$B$2:$D$91,3,FALSE()),"Asignatura"))</f>
      </c>
      <c r="D294">
        <f>SUMPRODUCT((nCUENTA=1)*(nCURSO=A294)*(nASIG=B294))</f>
        <v>0</v>
      </c>
      <c r="E294" s="10" t="str">
        <f>IFERROR(SUMPRODUCT((nCUENTA=1)*(nCURSO=A294)*(nASIG=B294)*(nNOTA))/D294,"—")</f>
        <v>—</v>
      </c>
      <c r="F294" s="10" t="str" cm="1">
        <f t="array" ref="F294">IFERROR(_xlfn.STDEV.P(_xlfn._xlws.FILTER(nNOTA,(nCUENTA=1)*(nCURSO=A294)*(nASIG=B294))),"—")</f>
        <v>—</v>
      </c>
      <c r="G294" t="str" cm="1">
        <f t="array" ref="G294">IFERROR(_xlfn.MODE.SNGL(_xlfn._xlws.FILTER(nNOTA,(nCUENTA=1)*(nCURSO=A294)*(nASIG=B294))),"—")</f>
        <v>—</v>
      </c>
      <c r="H294" s="11" t="str">
        <f>IFERROR(SUMPRODUCT((nCUENTA=1)*(nCURSO=A294)*(nASIG=B294)*(nAPTO="S"))/D294,"—")</f>
        <v>—</v>
      </c>
      <c r="I294" s="11" t="str">
        <f>IFERROR(SUMPRODUCT((nCUENTA=1)*(nCURSO=A294)*(nASIG=B294)*(nAPTO="N"))/D294,"—")</f>
        <v>—</v>
      </c>
      <c r="J294" t="str" cm="1">
        <f t="array" ref="J294">IFERROR(_xlfn.MODE.SNGL(_xlfn._xlws.FILTER(nNOTA,(nCUENTA=1)*(nCURSO=A294)*(nASIG=B294)*(nAPTO="S"))),"—")</f>
        <v>—</v>
      </c>
      <c r="K294" t="str" cm="1">
        <f t="array" ref="K294">IFERROR(_xlfn.MODE.SNGL(_xlfn._xlws.FILTER(nNOTA,(nCUENTA=1)*(nCURSO=A294)*(nASIG=B294)*(nAPTO="N"))),"—")</f>
        <v>—</v>
      </c>
      <c r="L294">
        <f>SUMPRODUCT((nCUENTA=1)*(nCURSO=A294)*(nASIG=B294)*(nNOTA=1))</f>
        <v>0</v>
      </c>
      <c r="M294">
        <f>SUMPRODUCT((nCUENTA=1)*(nCURSO=A294)*(nASIG=B294)*(nNOTA=2))</f>
        <v>0</v>
      </c>
      <c r="N294">
        <f>SUMPRODUCT((nCUENTA=1)*(nCURSO=A294)*(nASIG=B294)*(nNOTA=3))</f>
        <v>0</v>
      </c>
      <c r="O294">
        <f>SUMPRODUCT((nCUENTA=1)*(nCURSO=A294)*(nASIG=B294)*(nNOTA=4))</f>
        <v>0</v>
      </c>
      <c r="P294">
        <f>SUMPRODUCT((nCUENTA=1)*(nCURSO=A294)*(nASIG=B294)*(nNOTA=5))</f>
        <v>0</v>
      </c>
      <c r="Q294">
        <f>SUMPRODUCT((nCUENTA=1)*(nCURSO=A294)*(nASIG=B294)*(nNOTA=6))</f>
        <v>0</v>
      </c>
      <c r="R294">
        <f>SUMPRODUCT((nCUENTA=1)*(nCURSO=A294)*(nASIG=B294)*(nNOTA=7))</f>
        <v>0</v>
      </c>
      <c r="S294">
        <f>SUMPRODUCT((nCUENTA=1)*(nCURSO=A294)*(nASIG=B294)*(nNOTA=8))</f>
        <v>0</v>
      </c>
      <c r="T294">
        <f>SUMPRODUCT((nCUENTA=1)*(nCURSO=A294)*(nASIG=B294)*(nNOTA=9))</f>
        <v>0</v>
      </c>
      <c r="U294">
        <f>SUMPRODUCT((nCUENTA=1)*(nCURSO=A294)*(nASIG=B294)*(nNOTA=10))</f>
        <v>0</v>
      </c>
    </row>
    <row r="295">
      <c r="A295" t="inlineStr">
        <is>
          <t xml:space="preserve">4EPM</t>
        </is>
      </c>
      <c r="B295" cm="1">
        <f t="array" ref="B295">IFERROR(INDEX(_xlfn._xlws.FILTER(CONFIG_ASIGNATURAS!$B$2:$B$91,(CONFIG_ASIGNATURAS!$G$2:$G$91="Sí")*ISNUMBER(SEARCH("4EPM",CONFIG_ASIGNATURAS!$C$2:$C$91))),32),"")</f>
      </c>
      <c r="C295">
        <f>IF(B295="","",IFERROR(VLOOKUP(B295,CONFIG_ASIGNATURAS!$B$2:$D$91,3,FALSE()),"Asignatura"))</f>
      </c>
      <c r="D295">
        <f>SUMPRODUCT((nCUENTA=1)*(nCURSO=A295)*(nASIG=B295))</f>
        <v>0</v>
      </c>
      <c r="E295" s="10" t="str">
        <f>IFERROR(SUMPRODUCT((nCUENTA=1)*(nCURSO=A295)*(nASIG=B295)*(nNOTA))/D295,"—")</f>
        <v>—</v>
      </c>
      <c r="F295" s="10" t="str" cm="1">
        <f t="array" ref="F295">IFERROR(_xlfn.STDEV.P(_xlfn._xlws.FILTER(nNOTA,(nCUENTA=1)*(nCURSO=A295)*(nASIG=B295))),"—")</f>
        <v>—</v>
      </c>
      <c r="G295" t="str" cm="1">
        <f t="array" ref="G295">IFERROR(_xlfn.MODE.SNGL(_xlfn._xlws.FILTER(nNOTA,(nCUENTA=1)*(nCURSO=A295)*(nASIG=B295))),"—")</f>
        <v>—</v>
      </c>
      <c r="H295" s="11" t="str">
        <f>IFERROR(SUMPRODUCT((nCUENTA=1)*(nCURSO=A295)*(nASIG=B295)*(nAPTO="S"))/D295,"—")</f>
        <v>—</v>
      </c>
      <c r="I295" s="11" t="str">
        <f>IFERROR(SUMPRODUCT((nCUENTA=1)*(nCURSO=A295)*(nASIG=B295)*(nAPTO="N"))/D295,"—")</f>
        <v>—</v>
      </c>
      <c r="J295" t="str" cm="1">
        <f t="array" ref="J295">IFERROR(_xlfn.MODE.SNGL(_xlfn._xlws.FILTER(nNOTA,(nCUENTA=1)*(nCURSO=A295)*(nASIG=B295)*(nAPTO="S"))),"—")</f>
        <v>—</v>
      </c>
      <c r="K295" t="str" cm="1">
        <f t="array" ref="K295">IFERROR(_xlfn.MODE.SNGL(_xlfn._xlws.FILTER(nNOTA,(nCUENTA=1)*(nCURSO=A295)*(nASIG=B295)*(nAPTO="N"))),"—")</f>
        <v>—</v>
      </c>
      <c r="L295">
        <f>SUMPRODUCT((nCUENTA=1)*(nCURSO=A295)*(nASIG=B295)*(nNOTA=1))</f>
        <v>0</v>
      </c>
      <c r="M295">
        <f>SUMPRODUCT((nCUENTA=1)*(nCURSO=A295)*(nASIG=B295)*(nNOTA=2))</f>
        <v>0</v>
      </c>
      <c r="N295">
        <f>SUMPRODUCT((nCUENTA=1)*(nCURSO=A295)*(nASIG=B295)*(nNOTA=3))</f>
        <v>0</v>
      </c>
      <c r="O295">
        <f>SUMPRODUCT((nCUENTA=1)*(nCURSO=A295)*(nASIG=B295)*(nNOTA=4))</f>
        <v>0</v>
      </c>
      <c r="P295">
        <f>SUMPRODUCT((nCUENTA=1)*(nCURSO=A295)*(nASIG=B295)*(nNOTA=5))</f>
        <v>0</v>
      </c>
      <c r="Q295">
        <f>SUMPRODUCT((nCUENTA=1)*(nCURSO=A295)*(nASIG=B295)*(nNOTA=6))</f>
        <v>0</v>
      </c>
      <c r="R295">
        <f>SUMPRODUCT((nCUENTA=1)*(nCURSO=A295)*(nASIG=B295)*(nNOTA=7))</f>
        <v>0</v>
      </c>
      <c r="S295">
        <f>SUMPRODUCT((nCUENTA=1)*(nCURSO=A295)*(nASIG=B295)*(nNOTA=8))</f>
        <v>0</v>
      </c>
      <c r="T295">
        <f>SUMPRODUCT((nCUENTA=1)*(nCURSO=A295)*(nASIG=B295)*(nNOTA=9))</f>
        <v>0</v>
      </c>
      <c r="U295">
        <f>SUMPRODUCT((nCUENTA=1)*(nCURSO=A295)*(nASIG=B295)*(nNOTA=10))</f>
        <v>0</v>
      </c>
    </row>
    <row r="296">
      <c r="A296" t="inlineStr">
        <is>
          <t xml:space="preserve">4EPM</t>
        </is>
      </c>
      <c r="B296" cm="1">
        <f t="array" ref="B296">IFERROR(INDEX(_xlfn._xlws.FILTER(CONFIG_ASIGNATURAS!$B$2:$B$91,(CONFIG_ASIGNATURAS!$G$2:$G$91="Sí")*ISNUMBER(SEARCH("4EPM",CONFIG_ASIGNATURAS!$C$2:$C$91))),33),"")</f>
      </c>
      <c r="C296">
        <f>IF(B296="","",IFERROR(VLOOKUP(B296,CONFIG_ASIGNATURAS!$B$2:$D$91,3,FALSE()),"Asignatura"))</f>
      </c>
      <c r="D296">
        <f>SUMPRODUCT((nCUENTA=1)*(nCURSO=A296)*(nASIG=B296))</f>
        <v>0</v>
      </c>
      <c r="E296" s="10" t="str">
        <f>IFERROR(SUMPRODUCT((nCUENTA=1)*(nCURSO=A296)*(nASIG=B296)*(nNOTA))/D296,"—")</f>
        <v>—</v>
      </c>
      <c r="F296" s="10" t="str" cm="1">
        <f t="array" ref="F296">IFERROR(_xlfn.STDEV.P(_xlfn._xlws.FILTER(nNOTA,(nCUENTA=1)*(nCURSO=A296)*(nASIG=B296))),"—")</f>
        <v>—</v>
      </c>
      <c r="G296" t="str" cm="1">
        <f t="array" ref="G296">IFERROR(_xlfn.MODE.SNGL(_xlfn._xlws.FILTER(nNOTA,(nCUENTA=1)*(nCURSO=A296)*(nASIG=B296))),"—")</f>
        <v>—</v>
      </c>
      <c r="H296" s="11" t="str">
        <f>IFERROR(SUMPRODUCT((nCUENTA=1)*(nCURSO=A296)*(nASIG=B296)*(nAPTO="S"))/D296,"—")</f>
        <v>—</v>
      </c>
      <c r="I296" s="11" t="str">
        <f>IFERROR(SUMPRODUCT((nCUENTA=1)*(nCURSO=A296)*(nASIG=B296)*(nAPTO="N"))/D296,"—")</f>
        <v>—</v>
      </c>
      <c r="J296" t="str" cm="1">
        <f t="array" ref="J296">IFERROR(_xlfn.MODE.SNGL(_xlfn._xlws.FILTER(nNOTA,(nCUENTA=1)*(nCURSO=A296)*(nASIG=B296)*(nAPTO="S"))),"—")</f>
        <v>—</v>
      </c>
      <c r="K296" t="str" cm="1">
        <f t="array" ref="K296">IFERROR(_xlfn.MODE.SNGL(_xlfn._xlws.FILTER(nNOTA,(nCUENTA=1)*(nCURSO=A296)*(nASIG=B296)*(nAPTO="N"))),"—")</f>
        <v>—</v>
      </c>
      <c r="L296">
        <f>SUMPRODUCT((nCUENTA=1)*(nCURSO=A296)*(nASIG=B296)*(nNOTA=1))</f>
        <v>0</v>
      </c>
      <c r="M296">
        <f>SUMPRODUCT((nCUENTA=1)*(nCURSO=A296)*(nASIG=B296)*(nNOTA=2))</f>
        <v>0</v>
      </c>
      <c r="N296">
        <f>SUMPRODUCT((nCUENTA=1)*(nCURSO=A296)*(nASIG=B296)*(nNOTA=3))</f>
        <v>0</v>
      </c>
      <c r="O296">
        <f>SUMPRODUCT((nCUENTA=1)*(nCURSO=A296)*(nASIG=B296)*(nNOTA=4))</f>
        <v>0</v>
      </c>
      <c r="P296">
        <f>SUMPRODUCT((nCUENTA=1)*(nCURSO=A296)*(nASIG=B296)*(nNOTA=5))</f>
        <v>0</v>
      </c>
      <c r="Q296">
        <f>SUMPRODUCT((nCUENTA=1)*(nCURSO=A296)*(nASIG=B296)*(nNOTA=6))</f>
        <v>0</v>
      </c>
      <c r="R296">
        <f>SUMPRODUCT((nCUENTA=1)*(nCURSO=A296)*(nASIG=B296)*(nNOTA=7))</f>
        <v>0</v>
      </c>
      <c r="S296">
        <f>SUMPRODUCT((nCUENTA=1)*(nCURSO=A296)*(nASIG=B296)*(nNOTA=8))</f>
        <v>0</v>
      </c>
      <c r="T296">
        <f>SUMPRODUCT((nCUENTA=1)*(nCURSO=A296)*(nASIG=B296)*(nNOTA=9))</f>
        <v>0</v>
      </c>
      <c r="U296">
        <f>SUMPRODUCT((nCUENTA=1)*(nCURSO=A296)*(nASIG=B296)*(nNOTA=10))</f>
        <v>0</v>
      </c>
    </row>
    <row r="297">
      <c r="A297" t="inlineStr">
        <is>
          <t xml:space="preserve">4EPM</t>
        </is>
      </c>
      <c r="B297" cm="1">
        <f t="array" ref="B297">IFERROR(INDEX(_xlfn._xlws.FILTER(CONFIG_ASIGNATURAS!$B$2:$B$91,(CONFIG_ASIGNATURAS!$G$2:$G$91="Sí")*ISNUMBER(SEARCH("4EPM",CONFIG_ASIGNATURAS!$C$2:$C$91))),34),"")</f>
      </c>
      <c r="C297">
        <f>IF(B297="","",IFERROR(VLOOKUP(B297,CONFIG_ASIGNATURAS!$B$2:$D$91,3,FALSE()),"Asignatura"))</f>
      </c>
      <c r="D297">
        <f>SUMPRODUCT((nCUENTA=1)*(nCURSO=A297)*(nASIG=B297))</f>
        <v>0</v>
      </c>
      <c r="E297" s="10" t="str">
        <f>IFERROR(SUMPRODUCT((nCUENTA=1)*(nCURSO=A297)*(nASIG=B297)*(nNOTA))/D297,"—")</f>
        <v>—</v>
      </c>
      <c r="F297" s="10" t="str" cm="1">
        <f t="array" ref="F297">IFERROR(_xlfn.STDEV.P(_xlfn._xlws.FILTER(nNOTA,(nCUENTA=1)*(nCURSO=A297)*(nASIG=B297))),"—")</f>
        <v>—</v>
      </c>
      <c r="G297" t="str" cm="1">
        <f t="array" ref="G297">IFERROR(_xlfn.MODE.SNGL(_xlfn._xlws.FILTER(nNOTA,(nCUENTA=1)*(nCURSO=A297)*(nASIG=B297))),"—")</f>
        <v>—</v>
      </c>
      <c r="H297" s="11" t="str">
        <f>IFERROR(SUMPRODUCT((nCUENTA=1)*(nCURSO=A297)*(nASIG=B297)*(nAPTO="S"))/D297,"—")</f>
        <v>—</v>
      </c>
      <c r="I297" s="11" t="str">
        <f>IFERROR(SUMPRODUCT((nCUENTA=1)*(nCURSO=A297)*(nASIG=B297)*(nAPTO="N"))/D297,"—")</f>
        <v>—</v>
      </c>
      <c r="J297" t="str" cm="1">
        <f t="array" ref="J297">IFERROR(_xlfn.MODE.SNGL(_xlfn._xlws.FILTER(nNOTA,(nCUENTA=1)*(nCURSO=A297)*(nASIG=B297)*(nAPTO="S"))),"—")</f>
        <v>—</v>
      </c>
      <c r="K297" t="str" cm="1">
        <f t="array" ref="K297">IFERROR(_xlfn.MODE.SNGL(_xlfn._xlws.FILTER(nNOTA,(nCUENTA=1)*(nCURSO=A297)*(nASIG=B297)*(nAPTO="N"))),"—")</f>
        <v>—</v>
      </c>
      <c r="L297">
        <f>SUMPRODUCT((nCUENTA=1)*(nCURSO=A297)*(nASIG=B297)*(nNOTA=1))</f>
        <v>0</v>
      </c>
      <c r="M297">
        <f>SUMPRODUCT((nCUENTA=1)*(nCURSO=A297)*(nASIG=B297)*(nNOTA=2))</f>
        <v>0</v>
      </c>
      <c r="N297">
        <f>SUMPRODUCT((nCUENTA=1)*(nCURSO=A297)*(nASIG=B297)*(nNOTA=3))</f>
        <v>0</v>
      </c>
      <c r="O297">
        <f>SUMPRODUCT((nCUENTA=1)*(nCURSO=A297)*(nASIG=B297)*(nNOTA=4))</f>
        <v>0</v>
      </c>
      <c r="P297">
        <f>SUMPRODUCT((nCUENTA=1)*(nCURSO=A297)*(nASIG=B297)*(nNOTA=5))</f>
        <v>0</v>
      </c>
      <c r="Q297">
        <f>SUMPRODUCT((nCUENTA=1)*(nCURSO=A297)*(nASIG=B297)*(nNOTA=6))</f>
        <v>0</v>
      </c>
      <c r="R297">
        <f>SUMPRODUCT((nCUENTA=1)*(nCURSO=A297)*(nASIG=B297)*(nNOTA=7))</f>
        <v>0</v>
      </c>
      <c r="S297">
        <f>SUMPRODUCT((nCUENTA=1)*(nCURSO=A297)*(nASIG=B297)*(nNOTA=8))</f>
        <v>0</v>
      </c>
      <c r="T297">
        <f>SUMPRODUCT((nCUENTA=1)*(nCURSO=A297)*(nASIG=B297)*(nNOTA=9))</f>
        <v>0</v>
      </c>
      <c r="U297">
        <f>SUMPRODUCT((nCUENTA=1)*(nCURSO=A297)*(nASIG=B297)*(nNOTA=10))</f>
        <v>0</v>
      </c>
    </row>
    <row r="298">
      <c r="A298" t="inlineStr">
        <is>
          <t xml:space="preserve">4EPM</t>
        </is>
      </c>
      <c r="B298" cm="1">
        <f t="array" ref="B298">IFERROR(INDEX(_xlfn._xlws.FILTER(CONFIG_ASIGNATURAS!$B$2:$B$91,(CONFIG_ASIGNATURAS!$G$2:$G$91="Sí")*ISNUMBER(SEARCH("4EPM",CONFIG_ASIGNATURAS!$C$2:$C$91))),35),"")</f>
      </c>
      <c r="C298">
        <f>IF(B298="","",IFERROR(VLOOKUP(B298,CONFIG_ASIGNATURAS!$B$2:$D$91,3,FALSE()),"Asignatura"))</f>
      </c>
      <c r="D298">
        <f>SUMPRODUCT((nCUENTA=1)*(nCURSO=A298)*(nASIG=B298))</f>
        <v>0</v>
      </c>
      <c r="E298" s="10" t="str">
        <f>IFERROR(SUMPRODUCT((nCUENTA=1)*(nCURSO=A298)*(nASIG=B298)*(nNOTA))/D298,"—")</f>
        <v>—</v>
      </c>
      <c r="F298" s="10" t="str" cm="1">
        <f t="array" ref="F298">IFERROR(_xlfn.STDEV.P(_xlfn._xlws.FILTER(nNOTA,(nCUENTA=1)*(nCURSO=A298)*(nASIG=B298))),"—")</f>
        <v>—</v>
      </c>
      <c r="G298" t="str" cm="1">
        <f t="array" ref="G298">IFERROR(_xlfn.MODE.SNGL(_xlfn._xlws.FILTER(nNOTA,(nCUENTA=1)*(nCURSO=A298)*(nASIG=B298))),"—")</f>
        <v>—</v>
      </c>
      <c r="H298" s="11" t="str">
        <f>IFERROR(SUMPRODUCT((nCUENTA=1)*(nCURSO=A298)*(nASIG=B298)*(nAPTO="S"))/D298,"—")</f>
        <v>—</v>
      </c>
      <c r="I298" s="11" t="str">
        <f>IFERROR(SUMPRODUCT((nCUENTA=1)*(nCURSO=A298)*(nASIG=B298)*(nAPTO="N"))/D298,"—")</f>
        <v>—</v>
      </c>
      <c r="J298" t="str" cm="1">
        <f t="array" ref="J298">IFERROR(_xlfn.MODE.SNGL(_xlfn._xlws.FILTER(nNOTA,(nCUENTA=1)*(nCURSO=A298)*(nASIG=B298)*(nAPTO="S"))),"—")</f>
        <v>—</v>
      </c>
      <c r="K298" t="str" cm="1">
        <f t="array" ref="K298">IFERROR(_xlfn.MODE.SNGL(_xlfn._xlws.FILTER(nNOTA,(nCUENTA=1)*(nCURSO=A298)*(nASIG=B298)*(nAPTO="N"))),"—")</f>
        <v>—</v>
      </c>
      <c r="L298">
        <f>SUMPRODUCT((nCUENTA=1)*(nCURSO=A298)*(nASIG=B298)*(nNOTA=1))</f>
        <v>0</v>
      </c>
      <c r="M298">
        <f>SUMPRODUCT((nCUENTA=1)*(nCURSO=A298)*(nASIG=B298)*(nNOTA=2))</f>
        <v>0</v>
      </c>
      <c r="N298">
        <f>SUMPRODUCT((nCUENTA=1)*(nCURSO=A298)*(nASIG=B298)*(nNOTA=3))</f>
        <v>0</v>
      </c>
      <c r="O298">
        <f>SUMPRODUCT((nCUENTA=1)*(nCURSO=A298)*(nASIG=B298)*(nNOTA=4))</f>
        <v>0</v>
      </c>
      <c r="P298">
        <f>SUMPRODUCT((nCUENTA=1)*(nCURSO=A298)*(nASIG=B298)*(nNOTA=5))</f>
        <v>0</v>
      </c>
      <c r="Q298">
        <f>SUMPRODUCT((nCUENTA=1)*(nCURSO=A298)*(nASIG=B298)*(nNOTA=6))</f>
        <v>0</v>
      </c>
      <c r="R298">
        <f>SUMPRODUCT((nCUENTA=1)*(nCURSO=A298)*(nASIG=B298)*(nNOTA=7))</f>
        <v>0</v>
      </c>
      <c r="S298">
        <f>SUMPRODUCT((nCUENTA=1)*(nCURSO=A298)*(nASIG=B298)*(nNOTA=8))</f>
        <v>0</v>
      </c>
      <c r="T298">
        <f>SUMPRODUCT((nCUENTA=1)*(nCURSO=A298)*(nASIG=B298)*(nNOTA=9))</f>
        <v>0</v>
      </c>
      <c r="U298">
        <f>SUMPRODUCT((nCUENTA=1)*(nCURSO=A298)*(nASIG=B298)*(nNOTA=10))</f>
        <v>0</v>
      </c>
    </row>
    <row r="299">
      <c r="A299" t="inlineStr">
        <is>
          <t xml:space="preserve">4EPM</t>
        </is>
      </c>
      <c r="B299" cm="1">
        <f t="array" ref="B299">IFERROR(INDEX(_xlfn._xlws.FILTER(CONFIG_ASIGNATURAS!$B$2:$B$91,(CONFIG_ASIGNATURAS!$G$2:$G$91="Sí")*ISNUMBER(SEARCH("4EPM",CONFIG_ASIGNATURAS!$C$2:$C$91))),36),"")</f>
      </c>
      <c r="C299">
        <f>IF(B299="","",IFERROR(VLOOKUP(B299,CONFIG_ASIGNATURAS!$B$2:$D$91,3,FALSE()),"Asignatura"))</f>
      </c>
      <c r="D299">
        <f>SUMPRODUCT((nCUENTA=1)*(nCURSO=A299)*(nASIG=B299))</f>
        <v>0</v>
      </c>
      <c r="E299" s="10" t="str">
        <f>IFERROR(SUMPRODUCT((nCUENTA=1)*(nCURSO=A299)*(nASIG=B299)*(nNOTA))/D299,"—")</f>
        <v>—</v>
      </c>
      <c r="F299" s="10" t="str" cm="1">
        <f t="array" ref="F299">IFERROR(_xlfn.STDEV.P(_xlfn._xlws.FILTER(nNOTA,(nCUENTA=1)*(nCURSO=A299)*(nASIG=B299))),"—")</f>
        <v>—</v>
      </c>
      <c r="G299" t="str" cm="1">
        <f t="array" ref="G299">IFERROR(_xlfn.MODE.SNGL(_xlfn._xlws.FILTER(nNOTA,(nCUENTA=1)*(nCURSO=A299)*(nASIG=B299))),"—")</f>
        <v>—</v>
      </c>
      <c r="H299" s="11" t="str">
        <f>IFERROR(SUMPRODUCT((nCUENTA=1)*(nCURSO=A299)*(nASIG=B299)*(nAPTO="S"))/D299,"—")</f>
        <v>—</v>
      </c>
      <c r="I299" s="11" t="str">
        <f>IFERROR(SUMPRODUCT((nCUENTA=1)*(nCURSO=A299)*(nASIG=B299)*(nAPTO="N"))/D299,"—")</f>
        <v>—</v>
      </c>
      <c r="J299" t="str" cm="1">
        <f t="array" ref="J299">IFERROR(_xlfn.MODE.SNGL(_xlfn._xlws.FILTER(nNOTA,(nCUENTA=1)*(nCURSO=A299)*(nASIG=B299)*(nAPTO="S"))),"—")</f>
        <v>—</v>
      </c>
      <c r="K299" t="str" cm="1">
        <f t="array" ref="K299">IFERROR(_xlfn.MODE.SNGL(_xlfn._xlws.FILTER(nNOTA,(nCUENTA=1)*(nCURSO=A299)*(nASIG=B299)*(nAPTO="N"))),"—")</f>
        <v>—</v>
      </c>
      <c r="L299">
        <f>SUMPRODUCT((nCUENTA=1)*(nCURSO=A299)*(nASIG=B299)*(nNOTA=1))</f>
        <v>0</v>
      </c>
      <c r="M299">
        <f>SUMPRODUCT((nCUENTA=1)*(nCURSO=A299)*(nASIG=B299)*(nNOTA=2))</f>
        <v>0</v>
      </c>
      <c r="N299">
        <f>SUMPRODUCT((nCUENTA=1)*(nCURSO=A299)*(nASIG=B299)*(nNOTA=3))</f>
        <v>0</v>
      </c>
      <c r="O299">
        <f>SUMPRODUCT((nCUENTA=1)*(nCURSO=A299)*(nASIG=B299)*(nNOTA=4))</f>
        <v>0</v>
      </c>
      <c r="P299">
        <f>SUMPRODUCT((nCUENTA=1)*(nCURSO=A299)*(nASIG=B299)*(nNOTA=5))</f>
        <v>0</v>
      </c>
      <c r="Q299">
        <f>SUMPRODUCT((nCUENTA=1)*(nCURSO=A299)*(nASIG=B299)*(nNOTA=6))</f>
        <v>0</v>
      </c>
      <c r="R299">
        <f>SUMPRODUCT((nCUENTA=1)*(nCURSO=A299)*(nASIG=B299)*(nNOTA=7))</f>
        <v>0</v>
      </c>
      <c r="S299">
        <f>SUMPRODUCT((nCUENTA=1)*(nCURSO=A299)*(nASIG=B299)*(nNOTA=8))</f>
        <v>0</v>
      </c>
      <c r="T299">
        <f>SUMPRODUCT((nCUENTA=1)*(nCURSO=A299)*(nASIG=B299)*(nNOTA=9))</f>
        <v>0</v>
      </c>
      <c r="U299">
        <f>SUMPRODUCT((nCUENTA=1)*(nCURSO=A299)*(nASIG=B299)*(nNOTA=10))</f>
        <v>0</v>
      </c>
    </row>
    <row r="300">
      <c r="A300" t="inlineStr">
        <is>
          <t xml:space="preserve">4EPM</t>
        </is>
      </c>
      <c r="B300" cm="1">
        <f t="array" ref="B300">IFERROR(INDEX(_xlfn._xlws.FILTER(CONFIG_ASIGNATURAS!$B$2:$B$91,(CONFIG_ASIGNATURAS!$G$2:$G$91="Sí")*ISNUMBER(SEARCH("4EPM",CONFIG_ASIGNATURAS!$C$2:$C$91))),37),"")</f>
      </c>
      <c r="C300">
        <f>IF(B300="","",IFERROR(VLOOKUP(B300,CONFIG_ASIGNATURAS!$B$2:$D$91,3,FALSE()),"Asignatura"))</f>
      </c>
      <c r="D300">
        <f>SUMPRODUCT((nCUENTA=1)*(nCURSO=A300)*(nASIG=B300))</f>
        <v>0</v>
      </c>
      <c r="E300" s="10" t="str">
        <f>IFERROR(SUMPRODUCT((nCUENTA=1)*(nCURSO=A300)*(nASIG=B300)*(nNOTA))/D300,"—")</f>
        <v>—</v>
      </c>
      <c r="F300" s="10" t="str" cm="1">
        <f t="array" ref="F300">IFERROR(_xlfn.STDEV.P(_xlfn._xlws.FILTER(nNOTA,(nCUENTA=1)*(nCURSO=A300)*(nASIG=B300))),"—")</f>
        <v>—</v>
      </c>
      <c r="G300" t="str" cm="1">
        <f t="array" ref="G300">IFERROR(_xlfn.MODE.SNGL(_xlfn._xlws.FILTER(nNOTA,(nCUENTA=1)*(nCURSO=A300)*(nASIG=B300))),"—")</f>
        <v>—</v>
      </c>
      <c r="H300" s="11" t="str">
        <f>IFERROR(SUMPRODUCT((nCUENTA=1)*(nCURSO=A300)*(nASIG=B300)*(nAPTO="S"))/D300,"—")</f>
        <v>—</v>
      </c>
      <c r="I300" s="11" t="str">
        <f>IFERROR(SUMPRODUCT((nCUENTA=1)*(nCURSO=A300)*(nASIG=B300)*(nAPTO="N"))/D300,"—")</f>
        <v>—</v>
      </c>
      <c r="J300" t="str" cm="1">
        <f t="array" ref="J300">IFERROR(_xlfn.MODE.SNGL(_xlfn._xlws.FILTER(nNOTA,(nCUENTA=1)*(nCURSO=A300)*(nASIG=B300)*(nAPTO="S"))),"—")</f>
        <v>—</v>
      </c>
      <c r="K300" t="str" cm="1">
        <f t="array" ref="K300">IFERROR(_xlfn.MODE.SNGL(_xlfn._xlws.FILTER(nNOTA,(nCUENTA=1)*(nCURSO=A300)*(nASIG=B300)*(nAPTO="N"))),"—")</f>
        <v>—</v>
      </c>
      <c r="L300">
        <f>SUMPRODUCT((nCUENTA=1)*(nCURSO=A300)*(nASIG=B300)*(nNOTA=1))</f>
        <v>0</v>
      </c>
      <c r="M300">
        <f>SUMPRODUCT((nCUENTA=1)*(nCURSO=A300)*(nASIG=B300)*(nNOTA=2))</f>
        <v>0</v>
      </c>
      <c r="N300">
        <f>SUMPRODUCT((nCUENTA=1)*(nCURSO=A300)*(nASIG=B300)*(nNOTA=3))</f>
        <v>0</v>
      </c>
      <c r="O300">
        <f>SUMPRODUCT((nCUENTA=1)*(nCURSO=A300)*(nASIG=B300)*(nNOTA=4))</f>
        <v>0</v>
      </c>
      <c r="P300">
        <f>SUMPRODUCT((nCUENTA=1)*(nCURSO=A300)*(nASIG=B300)*(nNOTA=5))</f>
        <v>0</v>
      </c>
      <c r="Q300">
        <f>SUMPRODUCT((nCUENTA=1)*(nCURSO=A300)*(nASIG=B300)*(nNOTA=6))</f>
        <v>0</v>
      </c>
      <c r="R300">
        <f>SUMPRODUCT((nCUENTA=1)*(nCURSO=A300)*(nASIG=B300)*(nNOTA=7))</f>
        <v>0</v>
      </c>
      <c r="S300">
        <f>SUMPRODUCT((nCUENTA=1)*(nCURSO=A300)*(nASIG=B300)*(nNOTA=8))</f>
        <v>0</v>
      </c>
      <c r="T300">
        <f>SUMPRODUCT((nCUENTA=1)*(nCURSO=A300)*(nASIG=B300)*(nNOTA=9))</f>
        <v>0</v>
      </c>
      <c r="U300">
        <f>SUMPRODUCT((nCUENTA=1)*(nCURSO=A300)*(nASIG=B300)*(nNOTA=10))</f>
        <v>0</v>
      </c>
    </row>
    <row r="301">
      <c r="A301" t="inlineStr">
        <is>
          <t xml:space="preserve">4EPM</t>
        </is>
      </c>
      <c r="B301" cm="1">
        <f t="array" ref="B301">IFERROR(INDEX(_xlfn._xlws.FILTER(CONFIG_ASIGNATURAS!$B$2:$B$91,(CONFIG_ASIGNATURAS!$G$2:$G$91="Sí")*ISNUMBER(SEARCH("4EPM",CONFIG_ASIGNATURAS!$C$2:$C$91))),38),"")</f>
      </c>
      <c r="C301">
        <f>IF(B301="","",IFERROR(VLOOKUP(B301,CONFIG_ASIGNATURAS!$B$2:$D$91,3,FALSE()),"Asignatura"))</f>
      </c>
      <c r="D301">
        <f>SUMPRODUCT((nCUENTA=1)*(nCURSO=A301)*(nASIG=B301))</f>
        <v>0</v>
      </c>
      <c r="E301" s="10" t="str">
        <f>IFERROR(SUMPRODUCT((nCUENTA=1)*(nCURSO=A301)*(nASIG=B301)*(nNOTA))/D301,"—")</f>
        <v>—</v>
      </c>
      <c r="F301" s="10" t="str" cm="1">
        <f t="array" ref="F301">IFERROR(_xlfn.STDEV.P(_xlfn._xlws.FILTER(nNOTA,(nCUENTA=1)*(nCURSO=A301)*(nASIG=B301))),"—")</f>
        <v>—</v>
      </c>
      <c r="G301" t="str" cm="1">
        <f t="array" ref="G301">IFERROR(_xlfn.MODE.SNGL(_xlfn._xlws.FILTER(nNOTA,(nCUENTA=1)*(nCURSO=A301)*(nASIG=B301))),"—")</f>
        <v>—</v>
      </c>
      <c r="H301" s="11" t="str">
        <f>IFERROR(SUMPRODUCT((nCUENTA=1)*(nCURSO=A301)*(nASIG=B301)*(nAPTO="S"))/D301,"—")</f>
        <v>—</v>
      </c>
      <c r="I301" s="11" t="str">
        <f>IFERROR(SUMPRODUCT((nCUENTA=1)*(nCURSO=A301)*(nASIG=B301)*(nAPTO="N"))/D301,"—")</f>
        <v>—</v>
      </c>
      <c r="J301" t="str" cm="1">
        <f t="array" ref="J301">IFERROR(_xlfn.MODE.SNGL(_xlfn._xlws.FILTER(nNOTA,(nCUENTA=1)*(nCURSO=A301)*(nASIG=B301)*(nAPTO="S"))),"—")</f>
        <v>—</v>
      </c>
      <c r="K301" t="str" cm="1">
        <f t="array" ref="K301">IFERROR(_xlfn.MODE.SNGL(_xlfn._xlws.FILTER(nNOTA,(nCUENTA=1)*(nCURSO=A301)*(nASIG=B301)*(nAPTO="N"))),"—")</f>
        <v>—</v>
      </c>
      <c r="L301">
        <f>SUMPRODUCT((nCUENTA=1)*(nCURSO=A301)*(nASIG=B301)*(nNOTA=1))</f>
        <v>0</v>
      </c>
      <c r="M301">
        <f>SUMPRODUCT((nCUENTA=1)*(nCURSO=A301)*(nASIG=B301)*(nNOTA=2))</f>
        <v>0</v>
      </c>
      <c r="N301">
        <f>SUMPRODUCT((nCUENTA=1)*(nCURSO=A301)*(nASIG=B301)*(nNOTA=3))</f>
        <v>0</v>
      </c>
      <c r="O301">
        <f>SUMPRODUCT((nCUENTA=1)*(nCURSO=A301)*(nASIG=B301)*(nNOTA=4))</f>
        <v>0</v>
      </c>
      <c r="P301">
        <f>SUMPRODUCT((nCUENTA=1)*(nCURSO=A301)*(nASIG=B301)*(nNOTA=5))</f>
        <v>0</v>
      </c>
      <c r="Q301">
        <f>SUMPRODUCT((nCUENTA=1)*(nCURSO=A301)*(nASIG=B301)*(nNOTA=6))</f>
        <v>0</v>
      </c>
      <c r="R301">
        <f>SUMPRODUCT((nCUENTA=1)*(nCURSO=A301)*(nASIG=B301)*(nNOTA=7))</f>
        <v>0</v>
      </c>
      <c r="S301">
        <f>SUMPRODUCT((nCUENTA=1)*(nCURSO=A301)*(nASIG=B301)*(nNOTA=8))</f>
        <v>0</v>
      </c>
      <c r="T301">
        <f>SUMPRODUCT((nCUENTA=1)*(nCURSO=A301)*(nASIG=B301)*(nNOTA=9))</f>
        <v>0</v>
      </c>
      <c r="U301">
        <f>SUMPRODUCT((nCUENTA=1)*(nCURSO=A301)*(nASIG=B301)*(nNOTA=10))</f>
        <v>0</v>
      </c>
    </row>
    <row r="302">
      <c r="A302" t="inlineStr">
        <is>
          <t xml:space="preserve">4EPM</t>
        </is>
      </c>
      <c r="B302" cm="1">
        <f t="array" ref="B302">IFERROR(INDEX(_xlfn._xlws.FILTER(CONFIG_ASIGNATURAS!$B$2:$B$91,(CONFIG_ASIGNATURAS!$G$2:$G$91="Sí")*ISNUMBER(SEARCH("4EPM",CONFIG_ASIGNATURAS!$C$2:$C$91))),39),"")</f>
      </c>
      <c r="C302">
        <f>IF(B302="","",IFERROR(VLOOKUP(B302,CONFIG_ASIGNATURAS!$B$2:$D$91,3,FALSE()),"Asignatura"))</f>
      </c>
      <c r="D302">
        <f>SUMPRODUCT((nCUENTA=1)*(nCURSO=A302)*(nASIG=B302))</f>
        <v>0</v>
      </c>
      <c r="E302" s="10" t="str">
        <f>IFERROR(SUMPRODUCT((nCUENTA=1)*(nCURSO=A302)*(nASIG=B302)*(nNOTA))/D302,"—")</f>
        <v>—</v>
      </c>
      <c r="F302" s="10" t="str" cm="1">
        <f t="array" ref="F302">IFERROR(_xlfn.STDEV.P(_xlfn._xlws.FILTER(nNOTA,(nCUENTA=1)*(nCURSO=A302)*(nASIG=B302))),"—")</f>
        <v>—</v>
      </c>
      <c r="G302" t="str" cm="1">
        <f t="array" ref="G302">IFERROR(_xlfn.MODE.SNGL(_xlfn._xlws.FILTER(nNOTA,(nCUENTA=1)*(nCURSO=A302)*(nASIG=B302))),"—")</f>
        <v>—</v>
      </c>
      <c r="H302" s="11" t="str">
        <f>IFERROR(SUMPRODUCT((nCUENTA=1)*(nCURSO=A302)*(nASIG=B302)*(nAPTO="S"))/D302,"—")</f>
        <v>—</v>
      </c>
      <c r="I302" s="11" t="str">
        <f>IFERROR(SUMPRODUCT((nCUENTA=1)*(nCURSO=A302)*(nASIG=B302)*(nAPTO="N"))/D302,"—")</f>
        <v>—</v>
      </c>
      <c r="J302" t="str" cm="1">
        <f t="array" ref="J302">IFERROR(_xlfn.MODE.SNGL(_xlfn._xlws.FILTER(nNOTA,(nCUENTA=1)*(nCURSO=A302)*(nASIG=B302)*(nAPTO="S"))),"—")</f>
        <v>—</v>
      </c>
      <c r="K302" t="str" cm="1">
        <f t="array" ref="K302">IFERROR(_xlfn.MODE.SNGL(_xlfn._xlws.FILTER(nNOTA,(nCUENTA=1)*(nCURSO=A302)*(nASIG=B302)*(nAPTO="N"))),"—")</f>
        <v>—</v>
      </c>
      <c r="L302">
        <f>SUMPRODUCT((nCUENTA=1)*(nCURSO=A302)*(nASIG=B302)*(nNOTA=1))</f>
        <v>0</v>
      </c>
      <c r="M302">
        <f>SUMPRODUCT((nCUENTA=1)*(nCURSO=A302)*(nASIG=B302)*(nNOTA=2))</f>
        <v>0</v>
      </c>
      <c r="N302">
        <f>SUMPRODUCT((nCUENTA=1)*(nCURSO=A302)*(nASIG=B302)*(nNOTA=3))</f>
        <v>0</v>
      </c>
      <c r="O302">
        <f>SUMPRODUCT((nCUENTA=1)*(nCURSO=A302)*(nASIG=B302)*(nNOTA=4))</f>
        <v>0</v>
      </c>
      <c r="P302">
        <f>SUMPRODUCT((nCUENTA=1)*(nCURSO=A302)*(nASIG=B302)*(nNOTA=5))</f>
        <v>0</v>
      </c>
      <c r="Q302">
        <f>SUMPRODUCT((nCUENTA=1)*(nCURSO=A302)*(nASIG=B302)*(nNOTA=6))</f>
        <v>0</v>
      </c>
      <c r="R302">
        <f>SUMPRODUCT((nCUENTA=1)*(nCURSO=A302)*(nASIG=B302)*(nNOTA=7))</f>
        <v>0</v>
      </c>
      <c r="S302">
        <f>SUMPRODUCT((nCUENTA=1)*(nCURSO=A302)*(nASIG=B302)*(nNOTA=8))</f>
        <v>0</v>
      </c>
      <c r="T302">
        <f>SUMPRODUCT((nCUENTA=1)*(nCURSO=A302)*(nASIG=B302)*(nNOTA=9))</f>
        <v>0</v>
      </c>
      <c r="U302">
        <f>SUMPRODUCT((nCUENTA=1)*(nCURSO=A302)*(nASIG=B302)*(nNOTA=10))</f>
        <v>0</v>
      </c>
    </row>
    <row r="303">
      <c r="A303" t="inlineStr">
        <is>
          <t xml:space="preserve">4EPM</t>
        </is>
      </c>
      <c r="B303" cm="1">
        <f t="array" ref="B303">IFERROR(INDEX(_xlfn._xlws.FILTER(CONFIG_ASIGNATURAS!$B$2:$B$91,(CONFIG_ASIGNATURAS!$G$2:$G$91="Sí")*ISNUMBER(SEARCH("4EPM",CONFIG_ASIGNATURAS!$C$2:$C$91))),40),"")</f>
      </c>
      <c r="C303">
        <f>IF(B303="","",IFERROR(VLOOKUP(B303,CONFIG_ASIGNATURAS!$B$2:$D$91,3,FALSE()),"Asignatura"))</f>
      </c>
      <c r="D303">
        <f>SUMPRODUCT((nCUENTA=1)*(nCURSO=A303)*(nASIG=B303))</f>
        <v>0</v>
      </c>
      <c r="E303" s="10" t="str">
        <f>IFERROR(SUMPRODUCT((nCUENTA=1)*(nCURSO=A303)*(nASIG=B303)*(nNOTA))/D303,"—")</f>
        <v>—</v>
      </c>
      <c r="F303" s="10" t="str" cm="1">
        <f t="array" ref="F303">IFERROR(_xlfn.STDEV.P(_xlfn._xlws.FILTER(nNOTA,(nCUENTA=1)*(nCURSO=A303)*(nASIG=B303))),"—")</f>
        <v>—</v>
      </c>
      <c r="G303" t="str" cm="1">
        <f t="array" ref="G303">IFERROR(_xlfn.MODE.SNGL(_xlfn._xlws.FILTER(nNOTA,(nCUENTA=1)*(nCURSO=A303)*(nASIG=B303))),"—")</f>
        <v>—</v>
      </c>
      <c r="H303" s="11" t="str">
        <f>IFERROR(SUMPRODUCT((nCUENTA=1)*(nCURSO=A303)*(nASIG=B303)*(nAPTO="S"))/D303,"—")</f>
        <v>—</v>
      </c>
      <c r="I303" s="11" t="str">
        <f>IFERROR(SUMPRODUCT((nCUENTA=1)*(nCURSO=A303)*(nASIG=B303)*(nAPTO="N"))/D303,"—")</f>
        <v>—</v>
      </c>
      <c r="J303" t="str" cm="1">
        <f t="array" ref="J303">IFERROR(_xlfn.MODE.SNGL(_xlfn._xlws.FILTER(nNOTA,(nCUENTA=1)*(nCURSO=A303)*(nASIG=B303)*(nAPTO="S"))),"—")</f>
        <v>—</v>
      </c>
      <c r="K303" t="str" cm="1">
        <f t="array" ref="K303">IFERROR(_xlfn.MODE.SNGL(_xlfn._xlws.FILTER(nNOTA,(nCUENTA=1)*(nCURSO=A303)*(nASIG=B303)*(nAPTO="N"))),"—")</f>
        <v>—</v>
      </c>
      <c r="L303">
        <f>SUMPRODUCT((nCUENTA=1)*(nCURSO=A303)*(nASIG=B303)*(nNOTA=1))</f>
        <v>0</v>
      </c>
      <c r="M303">
        <f>SUMPRODUCT((nCUENTA=1)*(nCURSO=A303)*(nASIG=B303)*(nNOTA=2))</f>
        <v>0</v>
      </c>
      <c r="N303">
        <f>SUMPRODUCT((nCUENTA=1)*(nCURSO=A303)*(nASIG=B303)*(nNOTA=3))</f>
        <v>0</v>
      </c>
      <c r="O303">
        <f>SUMPRODUCT((nCUENTA=1)*(nCURSO=A303)*(nASIG=B303)*(nNOTA=4))</f>
        <v>0</v>
      </c>
      <c r="P303">
        <f>SUMPRODUCT((nCUENTA=1)*(nCURSO=A303)*(nASIG=B303)*(nNOTA=5))</f>
        <v>0</v>
      </c>
      <c r="Q303">
        <f>SUMPRODUCT((nCUENTA=1)*(nCURSO=A303)*(nASIG=B303)*(nNOTA=6))</f>
        <v>0</v>
      </c>
      <c r="R303">
        <f>SUMPRODUCT((nCUENTA=1)*(nCURSO=A303)*(nASIG=B303)*(nNOTA=7))</f>
        <v>0</v>
      </c>
      <c r="S303">
        <f>SUMPRODUCT((nCUENTA=1)*(nCURSO=A303)*(nASIG=B303)*(nNOTA=8))</f>
        <v>0</v>
      </c>
      <c r="T303">
        <f>SUMPRODUCT((nCUENTA=1)*(nCURSO=A303)*(nASIG=B303)*(nNOTA=9))</f>
        <v>0</v>
      </c>
      <c r="U303">
        <f>SUMPRODUCT((nCUENTA=1)*(nCURSO=A303)*(nASIG=B303)*(nNOTA=10))</f>
        <v>0</v>
      </c>
    </row>
    <row r="304">
      <c r="A304" t="inlineStr">
        <is>
          <t xml:space="preserve">4EPM</t>
        </is>
      </c>
      <c r="B304" cm="1">
        <f t="array" ref="B304">IFERROR(INDEX(_xlfn._xlws.FILTER(CONFIG_ASIGNATURAS!$B$2:$B$91,(CONFIG_ASIGNATURAS!$G$2:$G$91="Sí")*ISNUMBER(SEARCH("4EPM",CONFIG_ASIGNATURAS!$C$2:$C$91))),41),"")</f>
      </c>
      <c r="C304">
        <f>IF(B304="","",IFERROR(VLOOKUP(B304,CONFIG_ASIGNATURAS!$B$2:$D$91,3,FALSE()),"Asignatura"))</f>
      </c>
      <c r="D304">
        <f>SUMPRODUCT((nCUENTA=1)*(nCURSO=A304)*(nASIG=B304))</f>
        <v>0</v>
      </c>
      <c r="E304" s="10" t="str">
        <f>IFERROR(SUMPRODUCT((nCUENTA=1)*(nCURSO=A304)*(nASIG=B304)*(nNOTA))/D304,"—")</f>
        <v>—</v>
      </c>
      <c r="F304" s="10" t="str" cm="1">
        <f t="array" ref="F304">IFERROR(_xlfn.STDEV.P(_xlfn._xlws.FILTER(nNOTA,(nCUENTA=1)*(nCURSO=A304)*(nASIG=B304))),"—")</f>
        <v>—</v>
      </c>
      <c r="G304" t="str" cm="1">
        <f t="array" ref="G304">IFERROR(_xlfn.MODE.SNGL(_xlfn._xlws.FILTER(nNOTA,(nCUENTA=1)*(nCURSO=A304)*(nASIG=B304))),"—")</f>
        <v>—</v>
      </c>
      <c r="H304" s="11" t="str">
        <f>IFERROR(SUMPRODUCT((nCUENTA=1)*(nCURSO=A304)*(nASIG=B304)*(nAPTO="S"))/D304,"—")</f>
        <v>—</v>
      </c>
      <c r="I304" s="11" t="str">
        <f>IFERROR(SUMPRODUCT((nCUENTA=1)*(nCURSO=A304)*(nASIG=B304)*(nAPTO="N"))/D304,"—")</f>
        <v>—</v>
      </c>
      <c r="J304" t="str" cm="1">
        <f t="array" ref="J304">IFERROR(_xlfn.MODE.SNGL(_xlfn._xlws.FILTER(nNOTA,(nCUENTA=1)*(nCURSO=A304)*(nASIG=B304)*(nAPTO="S"))),"—")</f>
        <v>—</v>
      </c>
      <c r="K304" t="str" cm="1">
        <f t="array" ref="K304">IFERROR(_xlfn.MODE.SNGL(_xlfn._xlws.FILTER(nNOTA,(nCUENTA=1)*(nCURSO=A304)*(nASIG=B304)*(nAPTO="N"))),"—")</f>
        <v>—</v>
      </c>
      <c r="L304">
        <f>SUMPRODUCT((nCUENTA=1)*(nCURSO=A304)*(nASIG=B304)*(nNOTA=1))</f>
        <v>0</v>
      </c>
      <c r="M304">
        <f>SUMPRODUCT((nCUENTA=1)*(nCURSO=A304)*(nASIG=B304)*(nNOTA=2))</f>
        <v>0</v>
      </c>
      <c r="N304">
        <f>SUMPRODUCT((nCUENTA=1)*(nCURSO=A304)*(nASIG=B304)*(nNOTA=3))</f>
        <v>0</v>
      </c>
      <c r="O304">
        <f>SUMPRODUCT((nCUENTA=1)*(nCURSO=A304)*(nASIG=B304)*(nNOTA=4))</f>
        <v>0</v>
      </c>
      <c r="P304">
        <f>SUMPRODUCT((nCUENTA=1)*(nCURSO=A304)*(nASIG=B304)*(nNOTA=5))</f>
        <v>0</v>
      </c>
      <c r="Q304">
        <f>SUMPRODUCT((nCUENTA=1)*(nCURSO=A304)*(nASIG=B304)*(nNOTA=6))</f>
        <v>0</v>
      </c>
      <c r="R304">
        <f>SUMPRODUCT((nCUENTA=1)*(nCURSO=A304)*(nASIG=B304)*(nNOTA=7))</f>
        <v>0</v>
      </c>
      <c r="S304">
        <f>SUMPRODUCT((nCUENTA=1)*(nCURSO=A304)*(nASIG=B304)*(nNOTA=8))</f>
        <v>0</v>
      </c>
      <c r="T304">
        <f>SUMPRODUCT((nCUENTA=1)*(nCURSO=A304)*(nASIG=B304)*(nNOTA=9))</f>
        <v>0</v>
      </c>
      <c r="U304">
        <f>SUMPRODUCT((nCUENTA=1)*(nCURSO=A304)*(nASIG=B304)*(nNOTA=10))</f>
        <v>0</v>
      </c>
    </row>
    <row r="305">
      <c r="A305" t="inlineStr">
        <is>
          <t xml:space="preserve">4EPM</t>
        </is>
      </c>
      <c r="B305" cm="1">
        <f t="array" ref="B305">IFERROR(INDEX(_xlfn._xlws.FILTER(CONFIG_ASIGNATURAS!$B$2:$B$91,(CONFIG_ASIGNATURAS!$G$2:$G$91="Sí")*ISNUMBER(SEARCH("4EPM",CONFIG_ASIGNATURAS!$C$2:$C$91))),42),"")</f>
      </c>
      <c r="C305">
        <f>IF(B305="","",IFERROR(VLOOKUP(B305,CONFIG_ASIGNATURAS!$B$2:$D$91,3,FALSE()),"Asignatura"))</f>
      </c>
      <c r="D305">
        <f>SUMPRODUCT((nCUENTA=1)*(nCURSO=A305)*(nASIG=B305))</f>
        <v>0</v>
      </c>
      <c r="E305" s="10" t="str">
        <f>IFERROR(SUMPRODUCT((nCUENTA=1)*(nCURSO=A305)*(nASIG=B305)*(nNOTA))/D305,"—")</f>
        <v>—</v>
      </c>
      <c r="F305" s="10" t="str" cm="1">
        <f t="array" ref="F305">IFERROR(_xlfn.STDEV.P(_xlfn._xlws.FILTER(nNOTA,(nCUENTA=1)*(nCURSO=A305)*(nASIG=B305))),"—")</f>
        <v>—</v>
      </c>
      <c r="G305" t="str" cm="1">
        <f t="array" ref="G305">IFERROR(_xlfn.MODE.SNGL(_xlfn._xlws.FILTER(nNOTA,(nCUENTA=1)*(nCURSO=A305)*(nASIG=B305))),"—")</f>
        <v>—</v>
      </c>
      <c r="H305" s="11" t="str">
        <f>IFERROR(SUMPRODUCT((nCUENTA=1)*(nCURSO=A305)*(nASIG=B305)*(nAPTO="S"))/D305,"—")</f>
        <v>—</v>
      </c>
      <c r="I305" s="11" t="str">
        <f>IFERROR(SUMPRODUCT((nCUENTA=1)*(nCURSO=A305)*(nASIG=B305)*(nAPTO="N"))/D305,"—")</f>
        <v>—</v>
      </c>
      <c r="J305" t="str" cm="1">
        <f t="array" ref="J305">IFERROR(_xlfn.MODE.SNGL(_xlfn._xlws.FILTER(nNOTA,(nCUENTA=1)*(nCURSO=A305)*(nASIG=B305)*(nAPTO="S"))),"—")</f>
        <v>—</v>
      </c>
      <c r="K305" t="str" cm="1">
        <f t="array" ref="K305">IFERROR(_xlfn.MODE.SNGL(_xlfn._xlws.FILTER(nNOTA,(nCUENTA=1)*(nCURSO=A305)*(nASIG=B305)*(nAPTO="N"))),"—")</f>
        <v>—</v>
      </c>
      <c r="L305">
        <f>SUMPRODUCT((nCUENTA=1)*(nCURSO=A305)*(nASIG=B305)*(nNOTA=1))</f>
        <v>0</v>
      </c>
      <c r="M305">
        <f>SUMPRODUCT((nCUENTA=1)*(nCURSO=A305)*(nASIG=B305)*(nNOTA=2))</f>
        <v>0</v>
      </c>
      <c r="N305">
        <f>SUMPRODUCT((nCUENTA=1)*(nCURSO=A305)*(nASIG=B305)*(nNOTA=3))</f>
        <v>0</v>
      </c>
      <c r="O305">
        <f>SUMPRODUCT((nCUENTA=1)*(nCURSO=A305)*(nASIG=B305)*(nNOTA=4))</f>
        <v>0</v>
      </c>
      <c r="P305">
        <f>SUMPRODUCT((nCUENTA=1)*(nCURSO=A305)*(nASIG=B305)*(nNOTA=5))</f>
        <v>0</v>
      </c>
      <c r="Q305">
        <f>SUMPRODUCT((nCUENTA=1)*(nCURSO=A305)*(nASIG=B305)*(nNOTA=6))</f>
        <v>0</v>
      </c>
      <c r="R305">
        <f>SUMPRODUCT((nCUENTA=1)*(nCURSO=A305)*(nASIG=B305)*(nNOTA=7))</f>
        <v>0</v>
      </c>
      <c r="S305">
        <f>SUMPRODUCT((nCUENTA=1)*(nCURSO=A305)*(nASIG=B305)*(nNOTA=8))</f>
        <v>0</v>
      </c>
      <c r="T305">
        <f>SUMPRODUCT((nCUENTA=1)*(nCURSO=A305)*(nASIG=B305)*(nNOTA=9))</f>
        <v>0</v>
      </c>
      <c r="U305">
        <f>SUMPRODUCT((nCUENTA=1)*(nCURSO=A305)*(nASIG=B305)*(nNOTA=10))</f>
        <v>0</v>
      </c>
    </row>
    <row r="306">
      <c r="A306" t="inlineStr">
        <is>
          <t xml:space="preserve">4EPM</t>
        </is>
      </c>
      <c r="B306" cm="1">
        <f t="array" ref="B306">IFERROR(INDEX(_xlfn._xlws.FILTER(CONFIG_ASIGNATURAS!$B$2:$B$91,(CONFIG_ASIGNATURAS!$G$2:$G$91="Sí")*ISNUMBER(SEARCH("4EPM",CONFIG_ASIGNATURAS!$C$2:$C$91))),43),"")</f>
      </c>
      <c r="C306">
        <f>IF(B306="","",IFERROR(VLOOKUP(B306,CONFIG_ASIGNATURAS!$B$2:$D$91,3,FALSE()),"Asignatura"))</f>
      </c>
      <c r="D306">
        <f>SUMPRODUCT((nCUENTA=1)*(nCURSO=A306)*(nASIG=B306))</f>
        <v>0</v>
      </c>
      <c r="E306" s="10" t="str">
        <f>IFERROR(SUMPRODUCT((nCUENTA=1)*(nCURSO=A306)*(nASIG=B306)*(nNOTA))/D306,"—")</f>
        <v>—</v>
      </c>
      <c r="F306" s="10" t="str" cm="1">
        <f t="array" ref="F306">IFERROR(_xlfn.STDEV.P(_xlfn._xlws.FILTER(nNOTA,(nCUENTA=1)*(nCURSO=A306)*(nASIG=B306))),"—")</f>
        <v>—</v>
      </c>
      <c r="G306" t="str" cm="1">
        <f t="array" ref="G306">IFERROR(_xlfn.MODE.SNGL(_xlfn._xlws.FILTER(nNOTA,(nCUENTA=1)*(nCURSO=A306)*(nASIG=B306))),"—")</f>
        <v>—</v>
      </c>
      <c r="H306" s="11" t="str">
        <f>IFERROR(SUMPRODUCT((nCUENTA=1)*(nCURSO=A306)*(nASIG=B306)*(nAPTO="S"))/D306,"—")</f>
        <v>—</v>
      </c>
      <c r="I306" s="11" t="str">
        <f>IFERROR(SUMPRODUCT((nCUENTA=1)*(nCURSO=A306)*(nASIG=B306)*(nAPTO="N"))/D306,"—")</f>
        <v>—</v>
      </c>
      <c r="J306" t="str" cm="1">
        <f t="array" ref="J306">IFERROR(_xlfn.MODE.SNGL(_xlfn._xlws.FILTER(nNOTA,(nCUENTA=1)*(nCURSO=A306)*(nASIG=B306)*(nAPTO="S"))),"—")</f>
        <v>—</v>
      </c>
      <c r="K306" t="str" cm="1">
        <f t="array" ref="K306">IFERROR(_xlfn.MODE.SNGL(_xlfn._xlws.FILTER(nNOTA,(nCUENTA=1)*(nCURSO=A306)*(nASIG=B306)*(nAPTO="N"))),"—")</f>
        <v>—</v>
      </c>
      <c r="L306">
        <f>SUMPRODUCT((nCUENTA=1)*(nCURSO=A306)*(nASIG=B306)*(nNOTA=1))</f>
        <v>0</v>
      </c>
      <c r="M306">
        <f>SUMPRODUCT((nCUENTA=1)*(nCURSO=A306)*(nASIG=B306)*(nNOTA=2))</f>
        <v>0</v>
      </c>
      <c r="N306">
        <f>SUMPRODUCT((nCUENTA=1)*(nCURSO=A306)*(nASIG=B306)*(nNOTA=3))</f>
        <v>0</v>
      </c>
      <c r="O306">
        <f>SUMPRODUCT((nCUENTA=1)*(nCURSO=A306)*(nASIG=B306)*(nNOTA=4))</f>
        <v>0</v>
      </c>
      <c r="P306">
        <f>SUMPRODUCT((nCUENTA=1)*(nCURSO=A306)*(nASIG=B306)*(nNOTA=5))</f>
        <v>0</v>
      </c>
      <c r="Q306">
        <f>SUMPRODUCT((nCUENTA=1)*(nCURSO=A306)*(nASIG=B306)*(nNOTA=6))</f>
        <v>0</v>
      </c>
      <c r="R306">
        <f>SUMPRODUCT((nCUENTA=1)*(nCURSO=A306)*(nASIG=B306)*(nNOTA=7))</f>
        <v>0</v>
      </c>
      <c r="S306">
        <f>SUMPRODUCT((nCUENTA=1)*(nCURSO=A306)*(nASIG=B306)*(nNOTA=8))</f>
        <v>0</v>
      </c>
      <c r="T306">
        <f>SUMPRODUCT((nCUENTA=1)*(nCURSO=A306)*(nASIG=B306)*(nNOTA=9))</f>
        <v>0</v>
      </c>
      <c r="U306">
        <f>SUMPRODUCT((nCUENTA=1)*(nCURSO=A306)*(nASIG=B306)*(nNOTA=10))</f>
        <v>0</v>
      </c>
    </row>
    <row r="307">
      <c r="A307" t="inlineStr">
        <is>
          <t xml:space="preserve">4EPM</t>
        </is>
      </c>
      <c r="B307" cm="1">
        <f t="array" ref="B307">IFERROR(INDEX(_xlfn._xlws.FILTER(CONFIG_ASIGNATURAS!$B$2:$B$91,(CONFIG_ASIGNATURAS!$G$2:$G$91="Sí")*ISNUMBER(SEARCH("4EPM",CONFIG_ASIGNATURAS!$C$2:$C$91))),44),"")</f>
      </c>
      <c r="C307">
        <f>IF(B307="","",IFERROR(VLOOKUP(B307,CONFIG_ASIGNATURAS!$B$2:$D$91,3,FALSE()),"Asignatura"))</f>
      </c>
      <c r="D307">
        <f>SUMPRODUCT((nCUENTA=1)*(nCURSO=A307)*(nASIG=B307))</f>
        <v>0</v>
      </c>
      <c r="E307" s="10" t="str">
        <f>IFERROR(SUMPRODUCT((nCUENTA=1)*(nCURSO=A307)*(nASIG=B307)*(nNOTA))/D307,"—")</f>
        <v>—</v>
      </c>
      <c r="F307" s="10" t="str" cm="1">
        <f t="array" ref="F307">IFERROR(_xlfn.STDEV.P(_xlfn._xlws.FILTER(nNOTA,(nCUENTA=1)*(nCURSO=A307)*(nASIG=B307))),"—")</f>
        <v>—</v>
      </c>
      <c r="G307" t="str" cm="1">
        <f t="array" ref="G307">IFERROR(_xlfn.MODE.SNGL(_xlfn._xlws.FILTER(nNOTA,(nCUENTA=1)*(nCURSO=A307)*(nASIG=B307))),"—")</f>
        <v>—</v>
      </c>
      <c r="H307" s="11" t="str">
        <f>IFERROR(SUMPRODUCT((nCUENTA=1)*(nCURSO=A307)*(nASIG=B307)*(nAPTO="S"))/D307,"—")</f>
        <v>—</v>
      </c>
      <c r="I307" s="11" t="str">
        <f>IFERROR(SUMPRODUCT((nCUENTA=1)*(nCURSO=A307)*(nASIG=B307)*(nAPTO="N"))/D307,"—")</f>
        <v>—</v>
      </c>
      <c r="J307" t="str" cm="1">
        <f t="array" ref="J307">IFERROR(_xlfn.MODE.SNGL(_xlfn._xlws.FILTER(nNOTA,(nCUENTA=1)*(nCURSO=A307)*(nASIG=B307)*(nAPTO="S"))),"—")</f>
        <v>—</v>
      </c>
      <c r="K307" t="str" cm="1">
        <f t="array" ref="K307">IFERROR(_xlfn.MODE.SNGL(_xlfn._xlws.FILTER(nNOTA,(nCUENTA=1)*(nCURSO=A307)*(nASIG=B307)*(nAPTO="N"))),"—")</f>
        <v>—</v>
      </c>
      <c r="L307">
        <f>SUMPRODUCT((nCUENTA=1)*(nCURSO=A307)*(nASIG=B307)*(nNOTA=1))</f>
        <v>0</v>
      </c>
      <c r="M307">
        <f>SUMPRODUCT((nCUENTA=1)*(nCURSO=A307)*(nASIG=B307)*(nNOTA=2))</f>
        <v>0</v>
      </c>
      <c r="N307">
        <f>SUMPRODUCT((nCUENTA=1)*(nCURSO=A307)*(nASIG=B307)*(nNOTA=3))</f>
        <v>0</v>
      </c>
      <c r="O307">
        <f>SUMPRODUCT((nCUENTA=1)*(nCURSO=A307)*(nASIG=B307)*(nNOTA=4))</f>
        <v>0</v>
      </c>
      <c r="P307">
        <f>SUMPRODUCT((nCUENTA=1)*(nCURSO=A307)*(nASIG=B307)*(nNOTA=5))</f>
        <v>0</v>
      </c>
      <c r="Q307">
        <f>SUMPRODUCT((nCUENTA=1)*(nCURSO=A307)*(nASIG=B307)*(nNOTA=6))</f>
        <v>0</v>
      </c>
      <c r="R307">
        <f>SUMPRODUCT((nCUENTA=1)*(nCURSO=A307)*(nASIG=B307)*(nNOTA=7))</f>
        <v>0</v>
      </c>
      <c r="S307">
        <f>SUMPRODUCT((nCUENTA=1)*(nCURSO=A307)*(nASIG=B307)*(nNOTA=8))</f>
        <v>0</v>
      </c>
      <c r="T307">
        <f>SUMPRODUCT((nCUENTA=1)*(nCURSO=A307)*(nASIG=B307)*(nNOTA=9))</f>
        <v>0</v>
      </c>
      <c r="U307">
        <f>SUMPRODUCT((nCUENTA=1)*(nCURSO=A307)*(nASIG=B307)*(nNOTA=10))</f>
        <v>0</v>
      </c>
    </row>
    <row r="308">
      <c r="A308" t="inlineStr">
        <is>
          <t xml:space="preserve">4EPM</t>
        </is>
      </c>
      <c r="B308" cm="1">
        <f t="array" ref="B308">IFERROR(INDEX(_xlfn._xlws.FILTER(CONFIG_ASIGNATURAS!$B$2:$B$91,(CONFIG_ASIGNATURAS!$G$2:$G$91="Sí")*ISNUMBER(SEARCH("4EPM",CONFIG_ASIGNATURAS!$C$2:$C$91))),45),"")</f>
      </c>
      <c r="C308">
        <f>IF(B308="","",IFERROR(VLOOKUP(B308,CONFIG_ASIGNATURAS!$B$2:$D$91,3,FALSE()),"Asignatura"))</f>
      </c>
      <c r="D308">
        <f>SUMPRODUCT((nCUENTA=1)*(nCURSO=A308)*(nASIG=B308))</f>
        <v>0</v>
      </c>
      <c r="E308" s="10" t="str">
        <f>IFERROR(SUMPRODUCT((nCUENTA=1)*(nCURSO=A308)*(nASIG=B308)*(nNOTA))/D308,"—")</f>
        <v>—</v>
      </c>
      <c r="F308" s="10" t="str" cm="1">
        <f t="array" ref="F308">IFERROR(_xlfn.STDEV.P(_xlfn._xlws.FILTER(nNOTA,(nCUENTA=1)*(nCURSO=A308)*(nASIG=B308))),"—")</f>
        <v>—</v>
      </c>
      <c r="G308" t="str" cm="1">
        <f t="array" ref="G308">IFERROR(_xlfn.MODE.SNGL(_xlfn._xlws.FILTER(nNOTA,(nCUENTA=1)*(nCURSO=A308)*(nASIG=B308))),"—")</f>
        <v>—</v>
      </c>
      <c r="H308" s="11" t="str">
        <f>IFERROR(SUMPRODUCT((nCUENTA=1)*(nCURSO=A308)*(nASIG=B308)*(nAPTO="S"))/D308,"—")</f>
        <v>—</v>
      </c>
      <c r="I308" s="11" t="str">
        <f>IFERROR(SUMPRODUCT((nCUENTA=1)*(nCURSO=A308)*(nASIG=B308)*(nAPTO="N"))/D308,"—")</f>
        <v>—</v>
      </c>
      <c r="J308" t="str" cm="1">
        <f t="array" ref="J308">IFERROR(_xlfn.MODE.SNGL(_xlfn._xlws.FILTER(nNOTA,(nCUENTA=1)*(nCURSO=A308)*(nASIG=B308)*(nAPTO="S"))),"—")</f>
        <v>—</v>
      </c>
      <c r="K308" t="str" cm="1">
        <f t="array" ref="K308">IFERROR(_xlfn.MODE.SNGL(_xlfn._xlws.FILTER(nNOTA,(nCUENTA=1)*(nCURSO=A308)*(nASIG=B308)*(nAPTO="N"))),"—")</f>
        <v>—</v>
      </c>
      <c r="L308">
        <f>SUMPRODUCT((nCUENTA=1)*(nCURSO=A308)*(nASIG=B308)*(nNOTA=1))</f>
        <v>0</v>
      </c>
      <c r="M308">
        <f>SUMPRODUCT((nCUENTA=1)*(nCURSO=A308)*(nASIG=B308)*(nNOTA=2))</f>
        <v>0</v>
      </c>
      <c r="N308">
        <f>SUMPRODUCT((nCUENTA=1)*(nCURSO=A308)*(nASIG=B308)*(nNOTA=3))</f>
        <v>0</v>
      </c>
      <c r="O308">
        <f>SUMPRODUCT((nCUENTA=1)*(nCURSO=A308)*(nASIG=B308)*(nNOTA=4))</f>
        <v>0</v>
      </c>
      <c r="P308">
        <f>SUMPRODUCT((nCUENTA=1)*(nCURSO=A308)*(nASIG=B308)*(nNOTA=5))</f>
        <v>0</v>
      </c>
      <c r="Q308">
        <f>SUMPRODUCT((nCUENTA=1)*(nCURSO=A308)*(nASIG=B308)*(nNOTA=6))</f>
        <v>0</v>
      </c>
      <c r="R308">
        <f>SUMPRODUCT((nCUENTA=1)*(nCURSO=A308)*(nASIG=B308)*(nNOTA=7))</f>
        <v>0</v>
      </c>
      <c r="S308">
        <f>SUMPRODUCT((nCUENTA=1)*(nCURSO=A308)*(nASIG=B308)*(nNOTA=8))</f>
        <v>0</v>
      </c>
      <c r="T308">
        <f>SUMPRODUCT((nCUENTA=1)*(nCURSO=A308)*(nASIG=B308)*(nNOTA=9))</f>
        <v>0</v>
      </c>
      <c r="U308">
        <f>SUMPRODUCT((nCUENTA=1)*(nCURSO=A308)*(nASIG=B308)*(nNOTA=10))</f>
        <v>0</v>
      </c>
    </row>
    <row r="309">
      <c r="A309" t="inlineStr">
        <is>
          <t xml:space="preserve">4EPM</t>
        </is>
      </c>
      <c r="B309" cm="1">
        <f t="array" ref="B309">IFERROR(INDEX(_xlfn._xlws.FILTER(CONFIG_ASIGNATURAS!$B$2:$B$91,(CONFIG_ASIGNATURAS!$G$2:$G$91="Sí")*ISNUMBER(SEARCH("4EPM",CONFIG_ASIGNATURAS!$C$2:$C$91))),46),"")</f>
      </c>
      <c r="C309">
        <f>IF(B309="","",IFERROR(VLOOKUP(B309,CONFIG_ASIGNATURAS!$B$2:$D$91,3,FALSE()),"Asignatura"))</f>
      </c>
      <c r="D309">
        <f>SUMPRODUCT((nCUENTA=1)*(nCURSO=A309)*(nASIG=B309))</f>
        <v>0</v>
      </c>
      <c r="E309" s="10" t="str">
        <f>IFERROR(SUMPRODUCT((nCUENTA=1)*(nCURSO=A309)*(nASIG=B309)*(nNOTA))/D309,"—")</f>
        <v>—</v>
      </c>
      <c r="F309" s="10" t="str" cm="1">
        <f t="array" ref="F309">IFERROR(_xlfn.STDEV.P(_xlfn._xlws.FILTER(nNOTA,(nCUENTA=1)*(nCURSO=A309)*(nASIG=B309))),"—")</f>
        <v>—</v>
      </c>
      <c r="G309" t="str" cm="1">
        <f t="array" ref="G309">IFERROR(_xlfn.MODE.SNGL(_xlfn._xlws.FILTER(nNOTA,(nCUENTA=1)*(nCURSO=A309)*(nASIG=B309))),"—")</f>
        <v>—</v>
      </c>
      <c r="H309" s="11" t="str">
        <f>IFERROR(SUMPRODUCT((nCUENTA=1)*(nCURSO=A309)*(nASIG=B309)*(nAPTO="S"))/D309,"—")</f>
        <v>—</v>
      </c>
      <c r="I309" s="11" t="str">
        <f>IFERROR(SUMPRODUCT((nCUENTA=1)*(nCURSO=A309)*(nASIG=B309)*(nAPTO="N"))/D309,"—")</f>
        <v>—</v>
      </c>
      <c r="J309" t="str" cm="1">
        <f t="array" ref="J309">IFERROR(_xlfn.MODE.SNGL(_xlfn._xlws.FILTER(nNOTA,(nCUENTA=1)*(nCURSO=A309)*(nASIG=B309)*(nAPTO="S"))),"—")</f>
        <v>—</v>
      </c>
      <c r="K309" t="str" cm="1">
        <f t="array" ref="K309">IFERROR(_xlfn.MODE.SNGL(_xlfn._xlws.FILTER(nNOTA,(nCUENTA=1)*(nCURSO=A309)*(nASIG=B309)*(nAPTO="N"))),"—")</f>
        <v>—</v>
      </c>
      <c r="L309">
        <f>SUMPRODUCT((nCUENTA=1)*(nCURSO=A309)*(nASIG=B309)*(nNOTA=1))</f>
        <v>0</v>
      </c>
      <c r="M309">
        <f>SUMPRODUCT((nCUENTA=1)*(nCURSO=A309)*(nASIG=B309)*(nNOTA=2))</f>
        <v>0</v>
      </c>
      <c r="N309">
        <f>SUMPRODUCT((nCUENTA=1)*(nCURSO=A309)*(nASIG=B309)*(nNOTA=3))</f>
        <v>0</v>
      </c>
      <c r="O309">
        <f>SUMPRODUCT((nCUENTA=1)*(nCURSO=A309)*(nASIG=B309)*(nNOTA=4))</f>
        <v>0</v>
      </c>
      <c r="P309">
        <f>SUMPRODUCT((nCUENTA=1)*(nCURSO=A309)*(nASIG=B309)*(nNOTA=5))</f>
        <v>0</v>
      </c>
      <c r="Q309">
        <f>SUMPRODUCT((nCUENTA=1)*(nCURSO=A309)*(nASIG=B309)*(nNOTA=6))</f>
        <v>0</v>
      </c>
      <c r="R309">
        <f>SUMPRODUCT((nCUENTA=1)*(nCURSO=A309)*(nASIG=B309)*(nNOTA=7))</f>
        <v>0</v>
      </c>
      <c r="S309">
        <f>SUMPRODUCT((nCUENTA=1)*(nCURSO=A309)*(nASIG=B309)*(nNOTA=8))</f>
        <v>0</v>
      </c>
      <c r="T309">
        <f>SUMPRODUCT((nCUENTA=1)*(nCURSO=A309)*(nASIG=B309)*(nNOTA=9))</f>
        <v>0</v>
      </c>
      <c r="U309">
        <f>SUMPRODUCT((nCUENTA=1)*(nCURSO=A309)*(nASIG=B309)*(nNOTA=10))</f>
        <v>0</v>
      </c>
    </row>
    <row r="310">
      <c r="A310" t="inlineStr">
        <is>
          <t xml:space="preserve">4EPM</t>
        </is>
      </c>
      <c r="B310" cm="1">
        <f t="array" ref="B310">IFERROR(INDEX(_xlfn._xlws.FILTER(CONFIG_ASIGNATURAS!$B$2:$B$91,(CONFIG_ASIGNATURAS!$G$2:$G$91="Sí")*ISNUMBER(SEARCH("4EPM",CONFIG_ASIGNATURAS!$C$2:$C$91))),47),"")</f>
      </c>
      <c r="C310">
        <f>IF(B310="","",IFERROR(VLOOKUP(B310,CONFIG_ASIGNATURAS!$B$2:$D$91,3,FALSE()),"Asignatura"))</f>
      </c>
      <c r="D310">
        <f>SUMPRODUCT((nCUENTA=1)*(nCURSO=A310)*(nASIG=B310))</f>
        <v>0</v>
      </c>
      <c r="E310" s="10" t="str">
        <f>IFERROR(SUMPRODUCT((nCUENTA=1)*(nCURSO=A310)*(nASIG=B310)*(nNOTA))/D310,"—")</f>
        <v>—</v>
      </c>
      <c r="F310" s="10" t="str" cm="1">
        <f t="array" ref="F310">IFERROR(_xlfn.STDEV.P(_xlfn._xlws.FILTER(nNOTA,(nCUENTA=1)*(nCURSO=A310)*(nASIG=B310))),"—")</f>
        <v>—</v>
      </c>
      <c r="G310" t="str" cm="1">
        <f t="array" ref="G310">IFERROR(_xlfn.MODE.SNGL(_xlfn._xlws.FILTER(nNOTA,(nCUENTA=1)*(nCURSO=A310)*(nASIG=B310))),"—")</f>
        <v>—</v>
      </c>
      <c r="H310" s="11" t="str">
        <f>IFERROR(SUMPRODUCT((nCUENTA=1)*(nCURSO=A310)*(nASIG=B310)*(nAPTO="S"))/D310,"—")</f>
        <v>—</v>
      </c>
      <c r="I310" s="11" t="str">
        <f>IFERROR(SUMPRODUCT((nCUENTA=1)*(nCURSO=A310)*(nASIG=B310)*(nAPTO="N"))/D310,"—")</f>
        <v>—</v>
      </c>
      <c r="J310" t="str" cm="1">
        <f t="array" ref="J310">IFERROR(_xlfn.MODE.SNGL(_xlfn._xlws.FILTER(nNOTA,(nCUENTA=1)*(nCURSO=A310)*(nASIG=B310)*(nAPTO="S"))),"—")</f>
        <v>—</v>
      </c>
      <c r="K310" t="str" cm="1">
        <f t="array" ref="K310">IFERROR(_xlfn.MODE.SNGL(_xlfn._xlws.FILTER(nNOTA,(nCUENTA=1)*(nCURSO=A310)*(nASIG=B310)*(nAPTO="N"))),"—")</f>
        <v>—</v>
      </c>
      <c r="L310">
        <f>SUMPRODUCT((nCUENTA=1)*(nCURSO=A310)*(nASIG=B310)*(nNOTA=1))</f>
        <v>0</v>
      </c>
      <c r="M310">
        <f>SUMPRODUCT((nCUENTA=1)*(nCURSO=A310)*(nASIG=B310)*(nNOTA=2))</f>
        <v>0</v>
      </c>
      <c r="N310">
        <f>SUMPRODUCT((nCUENTA=1)*(nCURSO=A310)*(nASIG=B310)*(nNOTA=3))</f>
        <v>0</v>
      </c>
      <c r="O310">
        <f>SUMPRODUCT((nCUENTA=1)*(nCURSO=A310)*(nASIG=B310)*(nNOTA=4))</f>
        <v>0</v>
      </c>
      <c r="P310">
        <f>SUMPRODUCT((nCUENTA=1)*(nCURSO=A310)*(nASIG=B310)*(nNOTA=5))</f>
        <v>0</v>
      </c>
      <c r="Q310">
        <f>SUMPRODUCT((nCUENTA=1)*(nCURSO=A310)*(nASIG=B310)*(nNOTA=6))</f>
        <v>0</v>
      </c>
      <c r="R310">
        <f>SUMPRODUCT((nCUENTA=1)*(nCURSO=A310)*(nASIG=B310)*(nNOTA=7))</f>
        <v>0</v>
      </c>
      <c r="S310">
        <f>SUMPRODUCT((nCUENTA=1)*(nCURSO=A310)*(nASIG=B310)*(nNOTA=8))</f>
        <v>0</v>
      </c>
      <c r="T310">
        <f>SUMPRODUCT((nCUENTA=1)*(nCURSO=A310)*(nASIG=B310)*(nNOTA=9))</f>
        <v>0</v>
      </c>
      <c r="U310">
        <f>SUMPRODUCT((nCUENTA=1)*(nCURSO=A310)*(nASIG=B310)*(nNOTA=10))</f>
        <v>0</v>
      </c>
    </row>
    <row r="311">
      <c r="A311" t="inlineStr">
        <is>
          <t xml:space="preserve">4EPM</t>
        </is>
      </c>
      <c r="B311" cm="1">
        <f t="array" ref="B311">IFERROR(INDEX(_xlfn._xlws.FILTER(CONFIG_ASIGNATURAS!$B$2:$B$91,(CONFIG_ASIGNATURAS!$G$2:$G$91="Sí")*ISNUMBER(SEARCH("4EPM",CONFIG_ASIGNATURAS!$C$2:$C$91))),48),"")</f>
      </c>
      <c r="C311">
        <f>IF(B311="","",IFERROR(VLOOKUP(B311,CONFIG_ASIGNATURAS!$B$2:$D$91,3,FALSE()),"Asignatura"))</f>
      </c>
      <c r="D311">
        <f>SUMPRODUCT((nCUENTA=1)*(nCURSO=A311)*(nASIG=B311))</f>
        <v>0</v>
      </c>
      <c r="E311" s="10" t="str">
        <f>IFERROR(SUMPRODUCT((nCUENTA=1)*(nCURSO=A311)*(nASIG=B311)*(nNOTA))/D311,"—")</f>
        <v>—</v>
      </c>
      <c r="F311" s="10" t="str" cm="1">
        <f t="array" ref="F311">IFERROR(_xlfn.STDEV.P(_xlfn._xlws.FILTER(nNOTA,(nCUENTA=1)*(nCURSO=A311)*(nASIG=B311))),"—")</f>
        <v>—</v>
      </c>
      <c r="G311" t="str" cm="1">
        <f t="array" ref="G311">IFERROR(_xlfn.MODE.SNGL(_xlfn._xlws.FILTER(nNOTA,(nCUENTA=1)*(nCURSO=A311)*(nASIG=B311))),"—")</f>
        <v>—</v>
      </c>
      <c r="H311" s="11" t="str">
        <f>IFERROR(SUMPRODUCT((nCUENTA=1)*(nCURSO=A311)*(nASIG=B311)*(nAPTO="S"))/D311,"—")</f>
        <v>—</v>
      </c>
      <c r="I311" s="11" t="str">
        <f>IFERROR(SUMPRODUCT((nCUENTA=1)*(nCURSO=A311)*(nASIG=B311)*(nAPTO="N"))/D311,"—")</f>
        <v>—</v>
      </c>
      <c r="J311" t="str" cm="1">
        <f t="array" ref="J311">IFERROR(_xlfn.MODE.SNGL(_xlfn._xlws.FILTER(nNOTA,(nCUENTA=1)*(nCURSO=A311)*(nASIG=B311)*(nAPTO="S"))),"—")</f>
        <v>—</v>
      </c>
      <c r="K311" t="str" cm="1">
        <f t="array" ref="K311">IFERROR(_xlfn.MODE.SNGL(_xlfn._xlws.FILTER(nNOTA,(nCUENTA=1)*(nCURSO=A311)*(nASIG=B311)*(nAPTO="N"))),"—")</f>
        <v>—</v>
      </c>
      <c r="L311">
        <f>SUMPRODUCT((nCUENTA=1)*(nCURSO=A311)*(nASIG=B311)*(nNOTA=1))</f>
        <v>0</v>
      </c>
      <c r="M311">
        <f>SUMPRODUCT((nCUENTA=1)*(nCURSO=A311)*(nASIG=B311)*(nNOTA=2))</f>
        <v>0</v>
      </c>
      <c r="N311">
        <f>SUMPRODUCT((nCUENTA=1)*(nCURSO=A311)*(nASIG=B311)*(nNOTA=3))</f>
        <v>0</v>
      </c>
      <c r="O311">
        <f>SUMPRODUCT((nCUENTA=1)*(nCURSO=A311)*(nASIG=B311)*(nNOTA=4))</f>
        <v>0</v>
      </c>
      <c r="P311">
        <f>SUMPRODUCT((nCUENTA=1)*(nCURSO=A311)*(nASIG=B311)*(nNOTA=5))</f>
        <v>0</v>
      </c>
      <c r="Q311">
        <f>SUMPRODUCT((nCUENTA=1)*(nCURSO=A311)*(nASIG=B311)*(nNOTA=6))</f>
        <v>0</v>
      </c>
      <c r="R311">
        <f>SUMPRODUCT((nCUENTA=1)*(nCURSO=A311)*(nASIG=B311)*(nNOTA=7))</f>
        <v>0</v>
      </c>
      <c r="S311">
        <f>SUMPRODUCT((nCUENTA=1)*(nCURSO=A311)*(nASIG=B311)*(nNOTA=8))</f>
        <v>0</v>
      </c>
      <c r="T311">
        <f>SUMPRODUCT((nCUENTA=1)*(nCURSO=A311)*(nASIG=B311)*(nNOTA=9))</f>
        <v>0</v>
      </c>
      <c r="U311">
        <f>SUMPRODUCT((nCUENTA=1)*(nCURSO=A311)*(nASIG=B311)*(nNOTA=10))</f>
        <v>0</v>
      </c>
    </row>
    <row r="312">
      <c r="A312" t="inlineStr">
        <is>
          <t xml:space="preserve">4EPM</t>
        </is>
      </c>
      <c r="B312" cm="1">
        <f t="array" ref="B312">IFERROR(INDEX(_xlfn._xlws.FILTER(CONFIG_ASIGNATURAS!$B$2:$B$91,(CONFIG_ASIGNATURAS!$G$2:$G$91="Sí")*ISNUMBER(SEARCH("4EPM",CONFIG_ASIGNATURAS!$C$2:$C$91))),49),"")</f>
      </c>
      <c r="C312">
        <f>IF(B312="","",IFERROR(VLOOKUP(B312,CONFIG_ASIGNATURAS!$B$2:$D$91,3,FALSE()),"Asignatura"))</f>
      </c>
      <c r="D312">
        <f>SUMPRODUCT((nCUENTA=1)*(nCURSO=A312)*(nASIG=B312))</f>
        <v>0</v>
      </c>
      <c r="E312" s="10" t="str">
        <f>IFERROR(SUMPRODUCT((nCUENTA=1)*(nCURSO=A312)*(nASIG=B312)*(nNOTA))/D312,"—")</f>
        <v>—</v>
      </c>
      <c r="F312" s="10" t="str" cm="1">
        <f t="array" ref="F312">IFERROR(_xlfn.STDEV.P(_xlfn._xlws.FILTER(nNOTA,(nCUENTA=1)*(nCURSO=A312)*(nASIG=B312))),"—")</f>
        <v>—</v>
      </c>
      <c r="G312" t="str" cm="1">
        <f t="array" ref="G312">IFERROR(_xlfn.MODE.SNGL(_xlfn._xlws.FILTER(nNOTA,(nCUENTA=1)*(nCURSO=A312)*(nASIG=B312))),"—")</f>
        <v>—</v>
      </c>
      <c r="H312" s="11" t="str">
        <f>IFERROR(SUMPRODUCT((nCUENTA=1)*(nCURSO=A312)*(nASIG=B312)*(nAPTO="S"))/D312,"—")</f>
        <v>—</v>
      </c>
      <c r="I312" s="11" t="str">
        <f>IFERROR(SUMPRODUCT((nCUENTA=1)*(nCURSO=A312)*(nASIG=B312)*(nAPTO="N"))/D312,"—")</f>
        <v>—</v>
      </c>
      <c r="J312" t="str" cm="1">
        <f t="array" ref="J312">IFERROR(_xlfn.MODE.SNGL(_xlfn._xlws.FILTER(nNOTA,(nCUENTA=1)*(nCURSO=A312)*(nASIG=B312)*(nAPTO="S"))),"—")</f>
        <v>—</v>
      </c>
      <c r="K312" t="str" cm="1">
        <f t="array" ref="K312">IFERROR(_xlfn.MODE.SNGL(_xlfn._xlws.FILTER(nNOTA,(nCUENTA=1)*(nCURSO=A312)*(nASIG=B312)*(nAPTO="N"))),"—")</f>
        <v>—</v>
      </c>
      <c r="L312">
        <f>SUMPRODUCT((nCUENTA=1)*(nCURSO=A312)*(nASIG=B312)*(nNOTA=1))</f>
        <v>0</v>
      </c>
      <c r="M312">
        <f>SUMPRODUCT((nCUENTA=1)*(nCURSO=A312)*(nASIG=B312)*(nNOTA=2))</f>
        <v>0</v>
      </c>
      <c r="N312">
        <f>SUMPRODUCT((nCUENTA=1)*(nCURSO=A312)*(nASIG=B312)*(nNOTA=3))</f>
        <v>0</v>
      </c>
      <c r="O312">
        <f>SUMPRODUCT((nCUENTA=1)*(nCURSO=A312)*(nASIG=B312)*(nNOTA=4))</f>
        <v>0</v>
      </c>
      <c r="P312">
        <f>SUMPRODUCT((nCUENTA=1)*(nCURSO=A312)*(nASIG=B312)*(nNOTA=5))</f>
        <v>0</v>
      </c>
      <c r="Q312">
        <f>SUMPRODUCT((nCUENTA=1)*(nCURSO=A312)*(nASIG=B312)*(nNOTA=6))</f>
        <v>0</v>
      </c>
      <c r="R312">
        <f>SUMPRODUCT((nCUENTA=1)*(nCURSO=A312)*(nASIG=B312)*(nNOTA=7))</f>
        <v>0</v>
      </c>
      <c r="S312">
        <f>SUMPRODUCT((nCUENTA=1)*(nCURSO=A312)*(nASIG=B312)*(nNOTA=8))</f>
        <v>0</v>
      </c>
      <c r="T312">
        <f>SUMPRODUCT((nCUENTA=1)*(nCURSO=A312)*(nASIG=B312)*(nNOTA=9))</f>
        <v>0</v>
      </c>
      <c r="U312">
        <f>SUMPRODUCT((nCUENTA=1)*(nCURSO=A312)*(nASIG=B312)*(nNOTA=10))</f>
        <v>0</v>
      </c>
    </row>
    <row r="313">
      <c r="A313" t="inlineStr">
        <is>
          <t xml:space="preserve">4EPM</t>
        </is>
      </c>
      <c r="B313" cm="1">
        <f t="array" ref="B313">IFERROR(INDEX(_xlfn._xlws.FILTER(CONFIG_ASIGNATURAS!$B$2:$B$91,(CONFIG_ASIGNATURAS!$G$2:$G$91="Sí")*ISNUMBER(SEARCH("4EPM",CONFIG_ASIGNATURAS!$C$2:$C$91))),50),"")</f>
      </c>
      <c r="C313">
        <f>IF(B313="","",IFERROR(VLOOKUP(B313,CONFIG_ASIGNATURAS!$B$2:$D$91,3,FALSE()),"Asignatura"))</f>
      </c>
      <c r="D313">
        <f>SUMPRODUCT((nCUENTA=1)*(nCURSO=A313)*(nASIG=B313))</f>
        <v>0</v>
      </c>
      <c r="E313" s="10" t="str">
        <f>IFERROR(SUMPRODUCT((nCUENTA=1)*(nCURSO=A313)*(nASIG=B313)*(nNOTA))/D313,"—")</f>
        <v>—</v>
      </c>
      <c r="F313" s="10" t="str" cm="1">
        <f t="array" ref="F313">IFERROR(_xlfn.STDEV.P(_xlfn._xlws.FILTER(nNOTA,(nCUENTA=1)*(nCURSO=A313)*(nASIG=B313))),"—")</f>
        <v>—</v>
      </c>
      <c r="G313" t="str" cm="1">
        <f t="array" ref="G313">IFERROR(_xlfn.MODE.SNGL(_xlfn._xlws.FILTER(nNOTA,(nCUENTA=1)*(nCURSO=A313)*(nASIG=B313))),"—")</f>
        <v>—</v>
      </c>
      <c r="H313" s="11" t="str">
        <f>IFERROR(SUMPRODUCT((nCUENTA=1)*(nCURSO=A313)*(nASIG=B313)*(nAPTO="S"))/D313,"—")</f>
        <v>—</v>
      </c>
      <c r="I313" s="11" t="str">
        <f>IFERROR(SUMPRODUCT((nCUENTA=1)*(nCURSO=A313)*(nASIG=B313)*(nAPTO="N"))/D313,"—")</f>
        <v>—</v>
      </c>
      <c r="J313" t="str" cm="1">
        <f t="array" ref="J313">IFERROR(_xlfn.MODE.SNGL(_xlfn._xlws.FILTER(nNOTA,(nCUENTA=1)*(nCURSO=A313)*(nASIG=B313)*(nAPTO="S"))),"—")</f>
        <v>—</v>
      </c>
      <c r="K313" t="str" cm="1">
        <f t="array" ref="K313">IFERROR(_xlfn.MODE.SNGL(_xlfn._xlws.FILTER(nNOTA,(nCUENTA=1)*(nCURSO=A313)*(nASIG=B313)*(nAPTO="N"))),"—")</f>
        <v>—</v>
      </c>
      <c r="L313">
        <f>SUMPRODUCT((nCUENTA=1)*(nCURSO=A313)*(nASIG=B313)*(nNOTA=1))</f>
        <v>0</v>
      </c>
      <c r="M313">
        <f>SUMPRODUCT((nCUENTA=1)*(nCURSO=A313)*(nASIG=B313)*(nNOTA=2))</f>
        <v>0</v>
      </c>
      <c r="N313">
        <f>SUMPRODUCT((nCUENTA=1)*(nCURSO=A313)*(nASIG=B313)*(nNOTA=3))</f>
        <v>0</v>
      </c>
      <c r="O313">
        <f>SUMPRODUCT((nCUENTA=1)*(nCURSO=A313)*(nASIG=B313)*(nNOTA=4))</f>
        <v>0</v>
      </c>
      <c r="P313">
        <f>SUMPRODUCT((nCUENTA=1)*(nCURSO=A313)*(nASIG=B313)*(nNOTA=5))</f>
        <v>0</v>
      </c>
      <c r="Q313">
        <f>SUMPRODUCT((nCUENTA=1)*(nCURSO=A313)*(nASIG=B313)*(nNOTA=6))</f>
        <v>0</v>
      </c>
      <c r="R313">
        <f>SUMPRODUCT((nCUENTA=1)*(nCURSO=A313)*(nASIG=B313)*(nNOTA=7))</f>
        <v>0</v>
      </c>
      <c r="S313">
        <f>SUMPRODUCT((nCUENTA=1)*(nCURSO=A313)*(nASIG=B313)*(nNOTA=8))</f>
        <v>0</v>
      </c>
      <c r="T313">
        <f>SUMPRODUCT((nCUENTA=1)*(nCURSO=A313)*(nASIG=B313)*(nNOTA=9))</f>
        <v>0</v>
      </c>
      <c r="U313">
        <f>SUMPRODUCT((nCUENTA=1)*(nCURSO=A313)*(nASIG=B313)*(nNOTA=10))</f>
        <v>0</v>
      </c>
    </row>
    <row r="314">
      <c r="A314" t="inlineStr">
        <is>
          <t xml:space="preserve">4EPM</t>
        </is>
      </c>
      <c r="B314" cm="1">
        <f t="array" ref="B314">IFERROR(INDEX(_xlfn._xlws.FILTER(CONFIG_ASIGNATURAS!$B$2:$B$91,(CONFIG_ASIGNATURAS!$G$2:$G$91="Sí")*ISNUMBER(SEARCH("4EPM",CONFIG_ASIGNATURAS!$C$2:$C$91))),51),"")</f>
      </c>
      <c r="C314">
        <f>IF(B314="","",IFERROR(VLOOKUP(B314,CONFIG_ASIGNATURAS!$B$2:$D$91,3,FALSE()),"Asignatura"))</f>
      </c>
      <c r="D314">
        <f>SUMPRODUCT((nCUENTA=1)*(nCURSO=A314)*(nASIG=B314))</f>
        <v>0</v>
      </c>
      <c r="E314" s="10" t="str">
        <f>IFERROR(SUMPRODUCT((nCUENTA=1)*(nCURSO=A314)*(nASIG=B314)*(nNOTA))/D314,"—")</f>
        <v>—</v>
      </c>
      <c r="F314" s="10" t="str" cm="1">
        <f t="array" ref="F314">IFERROR(_xlfn.STDEV.P(_xlfn._xlws.FILTER(nNOTA,(nCUENTA=1)*(nCURSO=A314)*(nASIG=B314))),"—")</f>
        <v>—</v>
      </c>
      <c r="G314" t="str" cm="1">
        <f t="array" ref="G314">IFERROR(_xlfn.MODE.SNGL(_xlfn._xlws.FILTER(nNOTA,(nCUENTA=1)*(nCURSO=A314)*(nASIG=B314))),"—")</f>
        <v>—</v>
      </c>
      <c r="H314" s="11" t="str">
        <f>IFERROR(SUMPRODUCT((nCUENTA=1)*(nCURSO=A314)*(nASIG=B314)*(nAPTO="S"))/D314,"—")</f>
        <v>—</v>
      </c>
      <c r="I314" s="11" t="str">
        <f>IFERROR(SUMPRODUCT((nCUENTA=1)*(nCURSO=A314)*(nASIG=B314)*(nAPTO="N"))/D314,"—")</f>
        <v>—</v>
      </c>
      <c r="J314" t="str" cm="1">
        <f t="array" ref="J314">IFERROR(_xlfn.MODE.SNGL(_xlfn._xlws.FILTER(nNOTA,(nCUENTA=1)*(nCURSO=A314)*(nASIG=B314)*(nAPTO="S"))),"—")</f>
        <v>—</v>
      </c>
      <c r="K314" t="str" cm="1">
        <f t="array" ref="K314">IFERROR(_xlfn.MODE.SNGL(_xlfn._xlws.FILTER(nNOTA,(nCUENTA=1)*(nCURSO=A314)*(nASIG=B314)*(nAPTO="N"))),"—")</f>
        <v>—</v>
      </c>
      <c r="L314">
        <f>SUMPRODUCT((nCUENTA=1)*(nCURSO=A314)*(nASIG=B314)*(nNOTA=1))</f>
        <v>0</v>
      </c>
      <c r="M314">
        <f>SUMPRODUCT((nCUENTA=1)*(nCURSO=A314)*(nASIG=B314)*(nNOTA=2))</f>
        <v>0</v>
      </c>
      <c r="N314">
        <f>SUMPRODUCT((nCUENTA=1)*(nCURSO=A314)*(nASIG=B314)*(nNOTA=3))</f>
        <v>0</v>
      </c>
      <c r="O314">
        <f>SUMPRODUCT((nCUENTA=1)*(nCURSO=A314)*(nASIG=B314)*(nNOTA=4))</f>
        <v>0</v>
      </c>
      <c r="P314">
        <f>SUMPRODUCT((nCUENTA=1)*(nCURSO=A314)*(nASIG=B314)*(nNOTA=5))</f>
        <v>0</v>
      </c>
      <c r="Q314">
        <f>SUMPRODUCT((nCUENTA=1)*(nCURSO=A314)*(nASIG=B314)*(nNOTA=6))</f>
        <v>0</v>
      </c>
      <c r="R314">
        <f>SUMPRODUCT((nCUENTA=1)*(nCURSO=A314)*(nASIG=B314)*(nNOTA=7))</f>
        <v>0</v>
      </c>
      <c r="S314">
        <f>SUMPRODUCT((nCUENTA=1)*(nCURSO=A314)*(nASIG=B314)*(nNOTA=8))</f>
        <v>0</v>
      </c>
      <c r="T314">
        <f>SUMPRODUCT((nCUENTA=1)*(nCURSO=A314)*(nASIG=B314)*(nNOTA=9))</f>
        <v>0</v>
      </c>
      <c r="U314">
        <f>SUMPRODUCT((nCUENTA=1)*(nCURSO=A314)*(nASIG=B314)*(nNOTA=10))</f>
        <v>0</v>
      </c>
    </row>
    <row r="315">
      <c r="A315" t="inlineStr">
        <is>
          <t xml:space="preserve">4EPM</t>
        </is>
      </c>
      <c r="B315" cm="1">
        <f t="array" ref="B315">IFERROR(INDEX(_xlfn._xlws.FILTER(CONFIG_ASIGNATURAS!$B$2:$B$91,(CONFIG_ASIGNATURAS!$G$2:$G$91="Sí")*ISNUMBER(SEARCH("4EPM",CONFIG_ASIGNATURAS!$C$2:$C$91))),52),"")</f>
      </c>
      <c r="C315">
        <f>IF(B315="","",IFERROR(VLOOKUP(B315,CONFIG_ASIGNATURAS!$B$2:$D$91,3,FALSE()),"Asignatura"))</f>
      </c>
      <c r="D315">
        <f>SUMPRODUCT((nCUENTA=1)*(nCURSO=A315)*(nASIG=B315))</f>
        <v>0</v>
      </c>
      <c r="E315" s="10" t="str">
        <f>IFERROR(SUMPRODUCT((nCUENTA=1)*(nCURSO=A315)*(nASIG=B315)*(nNOTA))/D315,"—")</f>
        <v>—</v>
      </c>
      <c r="F315" s="10" t="str" cm="1">
        <f t="array" ref="F315">IFERROR(_xlfn.STDEV.P(_xlfn._xlws.FILTER(nNOTA,(nCUENTA=1)*(nCURSO=A315)*(nASIG=B315))),"—")</f>
        <v>—</v>
      </c>
      <c r="G315" t="str" cm="1">
        <f t="array" ref="G315">IFERROR(_xlfn.MODE.SNGL(_xlfn._xlws.FILTER(nNOTA,(nCUENTA=1)*(nCURSO=A315)*(nASIG=B315))),"—")</f>
        <v>—</v>
      </c>
      <c r="H315" s="11" t="str">
        <f>IFERROR(SUMPRODUCT((nCUENTA=1)*(nCURSO=A315)*(nASIG=B315)*(nAPTO="S"))/D315,"—")</f>
        <v>—</v>
      </c>
      <c r="I315" s="11" t="str">
        <f>IFERROR(SUMPRODUCT((nCUENTA=1)*(nCURSO=A315)*(nASIG=B315)*(nAPTO="N"))/D315,"—")</f>
        <v>—</v>
      </c>
      <c r="J315" t="str" cm="1">
        <f t="array" ref="J315">IFERROR(_xlfn.MODE.SNGL(_xlfn._xlws.FILTER(nNOTA,(nCUENTA=1)*(nCURSO=A315)*(nASIG=B315)*(nAPTO="S"))),"—")</f>
        <v>—</v>
      </c>
      <c r="K315" t="str" cm="1">
        <f t="array" ref="K315">IFERROR(_xlfn.MODE.SNGL(_xlfn._xlws.FILTER(nNOTA,(nCUENTA=1)*(nCURSO=A315)*(nASIG=B315)*(nAPTO="N"))),"—")</f>
        <v>—</v>
      </c>
      <c r="L315">
        <f>SUMPRODUCT((nCUENTA=1)*(nCURSO=A315)*(nASIG=B315)*(nNOTA=1))</f>
        <v>0</v>
      </c>
      <c r="M315">
        <f>SUMPRODUCT((nCUENTA=1)*(nCURSO=A315)*(nASIG=B315)*(nNOTA=2))</f>
        <v>0</v>
      </c>
      <c r="N315">
        <f>SUMPRODUCT((nCUENTA=1)*(nCURSO=A315)*(nASIG=B315)*(nNOTA=3))</f>
        <v>0</v>
      </c>
      <c r="O315">
        <f>SUMPRODUCT((nCUENTA=1)*(nCURSO=A315)*(nASIG=B315)*(nNOTA=4))</f>
        <v>0</v>
      </c>
      <c r="P315">
        <f>SUMPRODUCT((nCUENTA=1)*(nCURSO=A315)*(nASIG=B315)*(nNOTA=5))</f>
        <v>0</v>
      </c>
      <c r="Q315">
        <f>SUMPRODUCT((nCUENTA=1)*(nCURSO=A315)*(nASIG=B315)*(nNOTA=6))</f>
        <v>0</v>
      </c>
      <c r="R315">
        <f>SUMPRODUCT((nCUENTA=1)*(nCURSO=A315)*(nASIG=B315)*(nNOTA=7))</f>
        <v>0</v>
      </c>
      <c r="S315">
        <f>SUMPRODUCT((nCUENTA=1)*(nCURSO=A315)*(nASIG=B315)*(nNOTA=8))</f>
        <v>0</v>
      </c>
      <c r="T315">
        <f>SUMPRODUCT((nCUENTA=1)*(nCURSO=A315)*(nASIG=B315)*(nNOTA=9))</f>
        <v>0</v>
      </c>
      <c r="U315">
        <f>SUMPRODUCT((nCUENTA=1)*(nCURSO=A315)*(nASIG=B315)*(nNOTA=10))</f>
        <v>0</v>
      </c>
    </row>
    <row r="316">
      <c r="A316" t="inlineStr">
        <is>
          <t xml:space="preserve">4EPM</t>
        </is>
      </c>
      <c r="B316" cm="1">
        <f t="array" ref="B316">IFERROR(INDEX(_xlfn._xlws.FILTER(CONFIG_ASIGNATURAS!$B$2:$B$91,(CONFIG_ASIGNATURAS!$G$2:$G$91="Sí")*ISNUMBER(SEARCH("4EPM",CONFIG_ASIGNATURAS!$C$2:$C$91))),53),"")</f>
      </c>
      <c r="C316">
        <f>IF(B316="","",IFERROR(VLOOKUP(B316,CONFIG_ASIGNATURAS!$B$2:$D$91,3,FALSE()),"Asignatura"))</f>
      </c>
      <c r="D316">
        <f>SUMPRODUCT((nCUENTA=1)*(nCURSO=A316)*(nASIG=B316))</f>
        <v>0</v>
      </c>
      <c r="E316" s="10" t="str">
        <f>IFERROR(SUMPRODUCT((nCUENTA=1)*(nCURSO=A316)*(nASIG=B316)*(nNOTA))/D316,"—")</f>
        <v>—</v>
      </c>
      <c r="F316" s="10" t="str" cm="1">
        <f t="array" ref="F316">IFERROR(_xlfn.STDEV.P(_xlfn._xlws.FILTER(nNOTA,(nCUENTA=1)*(nCURSO=A316)*(nASIG=B316))),"—")</f>
        <v>—</v>
      </c>
      <c r="G316" t="str" cm="1">
        <f t="array" ref="G316">IFERROR(_xlfn.MODE.SNGL(_xlfn._xlws.FILTER(nNOTA,(nCUENTA=1)*(nCURSO=A316)*(nASIG=B316))),"—")</f>
        <v>—</v>
      </c>
      <c r="H316" s="11" t="str">
        <f>IFERROR(SUMPRODUCT((nCUENTA=1)*(nCURSO=A316)*(nASIG=B316)*(nAPTO="S"))/D316,"—")</f>
        <v>—</v>
      </c>
      <c r="I316" s="11" t="str">
        <f>IFERROR(SUMPRODUCT((nCUENTA=1)*(nCURSO=A316)*(nASIG=B316)*(nAPTO="N"))/D316,"—")</f>
        <v>—</v>
      </c>
      <c r="J316" t="str" cm="1">
        <f t="array" ref="J316">IFERROR(_xlfn.MODE.SNGL(_xlfn._xlws.FILTER(nNOTA,(nCUENTA=1)*(nCURSO=A316)*(nASIG=B316)*(nAPTO="S"))),"—")</f>
        <v>—</v>
      </c>
      <c r="K316" t="str" cm="1">
        <f t="array" ref="K316">IFERROR(_xlfn.MODE.SNGL(_xlfn._xlws.FILTER(nNOTA,(nCUENTA=1)*(nCURSO=A316)*(nASIG=B316)*(nAPTO="N"))),"—")</f>
        <v>—</v>
      </c>
      <c r="L316">
        <f>SUMPRODUCT((nCUENTA=1)*(nCURSO=A316)*(nASIG=B316)*(nNOTA=1))</f>
        <v>0</v>
      </c>
      <c r="M316">
        <f>SUMPRODUCT((nCUENTA=1)*(nCURSO=A316)*(nASIG=B316)*(nNOTA=2))</f>
        <v>0</v>
      </c>
      <c r="N316">
        <f>SUMPRODUCT((nCUENTA=1)*(nCURSO=A316)*(nASIG=B316)*(nNOTA=3))</f>
        <v>0</v>
      </c>
      <c r="O316">
        <f>SUMPRODUCT((nCUENTA=1)*(nCURSO=A316)*(nASIG=B316)*(nNOTA=4))</f>
        <v>0</v>
      </c>
      <c r="P316">
        <f>SUMPRODUCT((nCUENTA=1)*(nCURSO=A316)*(nASIG=B316)*(nNOTA=5))</f>
        <v>0</v>
      </c>
      <c r="Q316">
        <f>SUMPRODUCT((nCUENTA=1)*(nCURSO=A316)*(nASIG=B316)*(nNOTA=6))</f>
        <v>0</v>
      </c>
      <c r="R316">
        <f>SUMPRODUCT((nCUENTA=1)*(nCURSO=A316)*(nASIG=B316)*(nNOTA=7))</f>
        <v>0</v>
      </c>
      <c r="S316">
        <f>SUMPRODUCT((nCUENTA=1)*(nCURSO=A316)*(nASIG=B316)*(nNOTA=8))</f>
        <v>0</v>
      </c>
      <c r="T316">
        <f>SUMPRODUCT((nCUENTA=1)*(nCURSO=A316)*(nASIG=B316)*(nNOTA=9))</f>
        <v>0</v>
      </c>
      <c r="U316">
        <f>SUMPRODUCT((nCUENTA=1)*(nCURSO=A316)*(nASIG=B316)*(nNOTA=10))</f>
        <v>0</v>
      </c>
    </row>
    <row r="317">
      <c r="A317" t="inlineStr">
        <is>
          <t xml:space="preserve">4EPM</t>
        </is>
      </c>
      <c r="B317" cm="1">
        <f t="array" ref="B317">IFERROR(INDEX(_xlfn._xlws.FILTER(CONFIG_ASIGNATURAS!$B$2:$B$91,(CONFIG_ASIGNATURAS!$G$2:$G$91="Sí")*ISNUMBER(SEARCH("4EPM",CONFIG_ASIGNATURAS!$C$2:$C$91))),54),"")</f>
      </c>
      <c r="C317">
        <f>IF(B317="","",IFERROR(VLOOKUP(B317,CONFIG_ASIGNATURAS!$B$2:$D$91,3,FALSE()),"Asignatura"))</f>
      </c>
      <c r="D317">
        <f>SUMPRODUCT((nCUENTA=1)*(nCURSO=A317)*(nASIG=B317))</f>
        <v>0</v>
      </c>
      <c r="E317" s="10" t="str">
        <f>IFERROR(SUMPRODUCT((nCUENTA=1)*(nCURSO=A317)*(nASIG=B317)*(nNOTA))/D317,"—")</f>
        <v>—</v>
      </c>
      <c r="F317" s="10" t="str" cm="1">
        <f t="array" ref="F317">IFERROR(_xlfn.STDEV.P(_xlfn._xlws.FILTER(nNOTA,(nCUENTA=1)*(nCURSO=A317)*(nASIG=B317))),"—")</f>
        <v>—</v>
      </c>
      <c r="G317" t="str" cm="1">
        <f t="array" ref="G317">IFERROR(_xlfn.MODE.SNGL(_xlfn._xlws.FILTER(nNOTA,(nCUENTA=1)*(nCURSO=A317)*(nASIG=B317))),"—")</f>
        <v>—</v>
      </c>
      <c r="H317" s="11" t="str">
        <f>IFERROR(SUMPRODUCT((nCUENTA=1)*(nCURSO=A317)*(nASIG=B317)*(nAPTO="S"))/D317,"—")</f>
        <v>—</v>
      </c>
      <c r="I317" s="11" t="str">
        <f>IFERROR(SUMPRODUCT((nCUENTA=1)*(nCURSO=A317)*(nASIG=B317)*(nAPTO="N"))/D317,"—")</f>
        <v>—</v>
      </c>
      <c r="J317" t="str" cm="1">
        <f t="array" ref="J317">IFERROR(_xlfn.MODE.SNGL(_xlfn._xlws.FILTER(nNOTA,(nCUENTA=1)*(nCURSO=A317)*(nASIG=B317)*(nAPTO="S"))),"—")</f>
        <v>—</v>
      </c>
      <c r="K317" t="str" cm="1">
        <f t="array" ref="K317">IFERROR(_xlfn.MODE.SNGL(_xlfn._xlws.FILTER(nNOTA,(nCUENTA=1)*(nCURSO=A317)*(nASIG=B317)*(nAPTO="N"))),"—")</f>
        <v>—</v>
      </c>
      <c r="L317">
        <f>SUMPRODUCT((nCUENTA=1)*(nCURSO=A317)*(nASIG=B317)*(nNOTA=1))</f>
        <v>0</v>
      </c>
      <c r="M317">
        <f>SUMPRODUCT((nCUENTA=1)*(nCURSO=A317)*(nASIG=B317)*(nNOTA=2))</f>
        <v>0</v>
      </c>
      <c r="N317">
        <f>SUMPRODUCT((nCUENTA=1)*(nCURSO=A317)*(nASIG=B317)*(nNOTA=3))</f>
        <v>0</v>
      </c>
      <c r="O317">
        <f>SUMPRODUCT((nCUENTA=1)*(nCURSO=A317)*(nASIG=B317)*(nNOTA=4))</f>
        <v>0</v>
      </c>
      <c r="P317">
        <f>SUMPRODUCT((nCUENTA=1)*(nCURSO=A317)*(nASIG=B317)*(nNOTA=5))</f>
        <v>0</v>
      </c>
      <c r="Q317">
        <f>SUMPRODUCT((nCUENTA=1)*(nCURSO=A317)*(nASIG=B317)*(nNOTA=6))</f>
        <v>0</v>
      </c>
      <c r="R317">
        <f>SUMPRODUCT((nCUENTA=1)*(nCURSO=A317)*(nASIG=B317)*(nNOTA=7))</f>
        <v>0</v>
      </c>
      <c r="S317">
        <f>SUMPRODUCT((nCUENTA=1)*(nCURSO=A317)*(nASIG=B317)*(nNOTA=8))</f>
        <v>0</v>
      </c>
      <c r="T317">
        <f>SUMPRODUCT((nCUENTA=1)*(nCURSO=A317)*(nASIG=B317)*(nNOTA=9))</f>
        <v>0</v>
      </c>
      <c r="U317">
        <f>SUMPRODUCT((nCUENTA=1)*(nCURSO=A317)*(nASIG=B317)*(nNOTA=10))</f>
        <v>0</v>
      </c>
    </row>
    <row r="318">
      <c r="A318" t="inlineStr">
        <is>
          <t xml:space="preserve">4EPM</t>
        </is>
      </c>
      <c r="B318" cm="1">
        <f t="array" ref="B318">IFERROR(INDEX(_xlfn._xlws.FILTER(CONFIG_ASIGNATURAS!$B$2:$B$91,(CONFIG_ASIGNATURAS!$G$2:$G$91="Sí")*ISNUMBER(SEARCH("4EPM",CONFIG_ASIGNATURAS!$C$2:$C$91))),55),"")</f>
      </c>
      <c r="C318">
        <f>IF(B318="","",IFERROR(VLOOKUP(B318,CONFIG_ASIGNATURAS!$B$2:$D$91,3,FALSE()),"Asignatura"))</f>
      </c>
      <c r="D318">
        <f>SUMPRODUCT((nCUENTA=1)*(nCURSO=A318)*(nASIG=B318))</f>
        <v>0</v>
      </c>
      <c r="E318" s="10" t="str">
        <f>IFERROR(SUMPRODUCT((nCUENTA=1)*(nCURSO=A318)*(nASIG=B318)*(nNOTA))/D318,"—")</f>
        <v>—</v>
      </c>
      <c r="F318" s="10" t="str" cm="1">
        <f t="array" ref="F318">IFERROR(_xlfn.STDEV.P(_xlfn._xlws.FILTER(nNOTA,(nCUENTA=1)*(nCURSO=A318)*(nASIG=B318))),"—")</f>
        <v>—</v>
      </c>
      <c r="G318" t="str" cm="1">
        <f t="array" ref="G318">IFERROR(_xlfn.MODE.SNGL(_xlfn._xlws.FILTER(nNOTA,(nCUENTA=1)*(nCURSO=A318)*(nASIG=B318))),"—")</f>
        <v>—</v>
      </c>
      <c r="H318" s="11" t="str">
        <f>IFERROR(SUMPRODUCT((nCUENTA=1)*(nCURSO=A318)*(nASIG=B318)*(nAPTO="S"))/D318,"—")</f>
        <v>—</v>
      </c>
      <c r="I318" s="11" t="str">
        <f>IFERROR(SUMPRODUCT((nCUENTA=1)*(nCURSO=A318)*(nASIG=B318)*(nAPTO="N"))/D318,"—")</f>
        <v>—</v>
      </c>
      <c r="J318" t="str" cm="1">
        <f t="array" ref="J318">IFERROR(_xlfn.MODE.SNGL(_xlfn._xlws.FILTER(nNOTA,(nCUENTA=1)*(nCURSO=A318)*(nASIG=B318)*(nAPTO="S"))),"—")</f>
        <v>—</v>
      </c>
      <c r="K318" t="str" cm="1">
        <f t="array" ref="K318">IFERROR(_xlfn.MODE.SNGL(_xlfn._xlws.FILTER(nNOTA,(nCUENTA=1)*(nCURSO=A318)*(nASIG=B318)*(nAPTO="N"))),"—")</f>
        <v>—</v>
      </c>
      <c r="L318">
        <f>SUMPRODUCT((nCUENTA=1)*(nCURSO=A318)*(nASIG=B318)*(nNOTA=1))</f>
        <v>0</v>
      </c>
      <c r="M318">
        <f>SUMPRODUCT((nCUENTA=1)*(nCURSO=A318)*(nASIG=B318)*(nNOTA=2))</f>
        <v>0</v>
      </c>
      <c r="N318">
        <f>SUMPRODUCT((nCUENTA=1)*(nCURSO=A318)*(nASIG=B318)*(nNOTA=3))</f>
        <v>0</v>
      </c>
      <c r="O318">
        <f>SUMPRODUCT((nCUENTA=1)*(nCURSO=A318)*(nASIG=B318)*(nNOTA=4))</f>
        <v>0</v>
      </c>
      <c r="P318">
        <f>SUMPRODUCT((nCUENTA=1)*(nCURSO=A318)*(nASIG=B318)*(nNOTA=5))</f>
        <v>0</v>
      </c>
      <c r="Q318">
        <f>SUMPRODUCT((nCUENTA=1)*(nCURSO=A318)*(nASIG=B318)*(nNOTA=6))</f>
        <v>0</v>
      </c>
      <c r="R318">
        <f>SUMPRODUCT((nCUENTA=1)*(nCURSO=A318)*(nASIG=B318)*(nNOTA=7))</f>
        <v>0</v>
      </c>
      <c r="S318">
        <f>SUMPRODUCT((nCUENTA=1)*(nCURSO=A318)*(nASIG=B318)*(nNOTA=8))</f>
        <v>0</v>
      </c>
      <c r="T318">
        <f>SUMPRODUCT((nCUENTA=1)*(nCURSO=A318)*(nASIG=B318)*(nNOTA=9))</f>
        <v>0</v>
      </c>
      <c r="U318">
        <f>SUMPRODUCT((nCUENTA=1)*(nCURSO=A318)*(nASIG=B318)*(nNOTA=10))</f>
        <v>0</v>
      </c>
    </row>
    <row r="319">
      <c r="A319" t="inlineStr">
        <is>
          <t xml:space="preserve">4EPM</t>
        </is>
      </c>
      <c r="B319" cm="1">
        <f t="array" ref="B319">IFERROR(INDEX(_xlfn._xlws.FILTER(CONFIG_ASIGNATURAS!$B$2:$B$91,(CONFIG_ASIGNATURAS!$G$2:$G$91="Sí")*ISNUMBER(SEARCH("4EPM",CONFIG_ASIGNATURAS!$C$2:$C$91))),56),"")</f>
      </c>
      <c r="C319">
        <f>IF(B319="","",IFERROR(VLOOKUP(B319,CONFIG_ASIGNATURAS!$B$2:$D$91,3,FALSE()),"Asignatura"))</f>
      </c>
      <c r="D319">
        <f>SUMPRODUCT((nCUENTA=1)*(nCURSO=A319)*(nASIG=B319))</f>
        <v>0</v>
      </c>
      <c r="E319" s="10" t="str">
        <f>IFERROR(SUMPRODUCT((nCUENTA=1)*(nCURSO=A319)*(nASIG=B319)*(nNOTA))/D319,"—")</f>
        <v>—</v>
      </c>
      <c r="F319" s="10" t="str" cm="1">
        <f t="array" ref="F319">IFERROR(_xlfn.STDEV.P(_xlfn._xlws.FILTER(nNOTA,(nCUENTA=1)*(nCURSO=A319)*(nASIG=B319))),"—")</f>
        <v>—</v>
      </c>
      <c r="G319" t="str" cm="1">
        <f t="array" ref="G319">IFERROR(_xlfn.MODE.SNGL(_xlfn._xlws.FILTER(nNOTA,(nCUENTA=1)*(nCURSO=A319)*(nASIG=B319))),"—")</f>
        <v>—</v>
      </c>
      <c r="H319" s="11" t="str">
        <f>IFERROR(SUMPRODUCT((nCUENTA=1)*(nCURSO=A319)*(nASIG=B319)*(nAPTO="S"))/D319,"—")</f>
        <v>—</v>
      </c>
      <c r="I319" s="11" t="str">
        <f>IFERROR(SUMPRODUCT((nCUENTA=1)*(nCURSO=A319)*(nASIG=B319)*(nAPTO="N"))/D319,"—")</f>
        <v>—</v>
      </c>
      <c r="J319" t="str" cm="1">
        <f t="array" ref="J319">IFERROR(_xlfn.MODE.SNGL(_xlfn._xlws.FILTER(nNOTA,(nCUENTA=1)*(nCURSO=A319)*(nASIG=B319)*(nAPTO="S"))),"—")</f>
        <v>—</v>
      </c>
      <c r="K319" t="str" cm="1">
        <f t="array" ref="K319">IFERROR(_xlfn.MODE.SNGL(_xlfn._xlws.FILTER(nNOTA,(nCUENTA=1)*(nCURSO=A319)*(nASIG=B319)*(nAPTO="N"))),"—")</f>
        <v>—</v>
      </c>
      <c r="L319">
        <f>SUMPRODUCT((nCUENTA=1)*(nCURSO=A319)*(nASIG=B319)*(nNOTA=1))</f>
        <v>0</v>
      </c>
      <c r="M319">
        <f>SUMPRODUCT((nCUENTA=1)*(nCURSO=A319)*(nASIG=B319)*(nNOTA=2))</f>
        <v>0</v>
      </c>
      <c r="N319">
        <f>SUMPRODUCT((nCUENTA=1)*(nCURSO=A319)*(nASIG=B319)*(nNOTA=3))</f>
        <v>0</v>
      </c>
      <c r="O319">
        <f>SUMPRODUCT((nCUENTA=1)*(nCURSO=A319)*(nASIG=B319)*(nNOTA=4))</f>
        <v>0</v>
      </c>
      <c r="P319">
        <f>SUMPRODUCT((nCUENTA=1)*(nCURSO=A319)*(nASIG=B319)*(nNOTA=5))</f>
        <v>0</v>
      </c>
      <c r="Q319">
        <f>SUMPRODUCT((nCUENTA=1)*(nCURSO=A319)*(nASIG=B319)*(nNOTA=6))</f>
        <v>0</v>
      </c>
      <c r="R319">
        <f>SUMPRODUCT((nCUENTA=1)*(nCURSO=A319)*(nASIG=B319)*(nNOTA=7))</f>
        <v>0</v>
      </c>
      <c r="S319">
        <f>SUMPRODUCT((nCUENTA=1)*(nCURSO=A319)*(nASIG=B319)*(nNOTA=8))</f>
        <v>0</v>
      </c>
      <c r="T319">
        <f>SUMPRODUCT((nCUENTA=1)*(nCURSO=A319)*(nASIG=B319)*(nNOTA=9))</f>
        <v>0</v>
      </c>
      <c r="U319">
        <f>SUMPRODUCT((nCUENTA=1)*(nCURSO=A319)*(nASIG=B319)*(nNOTA=10))</f>
        <v>0</v>
      </c>
    </row>
    <row r="320">
      <c r="A320" t="inlineStr">
        <is>
          <t xml:space="preserve">4EPM</t>
        </is>
      </c>
      <c r="B320" cm="1">
        <f t="array" ref="B320">IFERROR(INDEX(_xlfn._xlws.FILTER(CONFIG_ASIGNATURAS!$B$2:$B$91,(CONFIG_ASIGNATURAS!$G$2:$G$91="Sí")*ISNUMBER(SEARCH("4EPM",CONFIG_ASIGNATURAS!$C$2:$C$91))),57),"")</f>
      </c>
      <c r="C320">
        <f>IF(B320="","",IFERROR(VLOOKUP(B320,CONFIG_ASIGNATURAS!$B$2:$D$91,3,FALSE()),"Asignatura"))</f>
      </c>
      <c r="D320">
        <f>SUMPRODUCT((nCUENTA=1)*(nCURSO=A320)*(nASIG=B320))</f>
        <v>0</v>
      </c>
      <c r="E320" s="10" t="str">
        <f>IFERROR(SUMPRODUCT((nCUENTA=1)*(nCURSO=A320)*(nASIG=B320)*(nNOTA))/D320,"—")</f>
        <v>—</v>
      </c>
      <c r="F320" s="10" t="str" cm="1">
        <f t="array" ref="F320">IFERROR(_xlfn.STDEV.P(_xlfn._xlws.FILTER(nNOTA,(nCUENTA=1)*(nCURSO=A320)*(nASIG=B320))),"—")</f>
        <v>—</v>
      </c>
      <c r="G320" t="str" cm="1">
        <f t="array" ref="G320">IFERROR(_xlfn.MODE.SNGL(_xlfn._xlws.FILTER(nNOTA,(nCUENTA=1)*(nCURSO=A320)*(nASIG=B320))),"—")</f>
        <v>—</v>
      </c>
      <c r="H320" s="11" t="str">
        <f>IFERROR(SUMPRODUCT((nCUENTA=1)*(nCURSO=A320)*(nASIG=B320)*(nAPTO="S"))/D320,"—")</f>
        <v>—</v>
      </c>
      <c r="I320" s="11" t="str">
        <f>IFERROR(SUMPRODUCT((nCUENTA=1)*(nCURSO=A320)*(nASIG=B320)*(nAPTO="N"))/D320,"—")</f>
        <v>—</v>
      </c>
      <c r="J320" t="str" cm="1">
        <f t="array" ref="J320">IFERROR(_xlfn.MODE.SNGL(_xlfn._xlws.FILTER(nNOTA,(nCUENTA=1)*(nCURSO=A320)*(nASIG=B320)*(nAPTO="S"))),"—")</f>
        <v>—</v>
      </c>
      <c r="K320" t="str" cm="1">
        <f t="array" ref="K320">IFERROR(_xlfn.MODE.SNGL(_xlfn._xlws.FILTER(nNOTA,(nCUENTA=1)*(nCURSO=A320)*(nASIG=B320)*(nAPTO="N"))),"—")</f>
        <v>—</v>
      </c>
      <c r="L320">
        <f>SUMPRODUCT((nCUENTA=1)*(nCURSO=A320)*(nASIG=B320)*(nNOTA=1))</f>
        <v>0</v>
      </c>
      <c r="M320">
        <f>SUMPRODUCT((nCUENTA=1)*(nCURSO=A320)*(nASIG=B320)*(nNOTA=2))</f>
        <v>0</v>
      </c>
      <c r="N320">
        <f>SUMPRODUCT((nCUENTA=1)*(nCURSO=A320)*(nASIG=B320)*(nNOTA=3))</f>
        <v>0</v>
      </c>
      <c r="O320">
        <f>SUMPRODUCT((nCUENTA=1)*(nCURSO=A320)*(nASIG=B320)*(nNOTA=4))</f>
        <v>0</v>
      </c>
      <c r="P320">
        <f>SUMPRODUCT((nCUENTA=1)*(nCURSO=A320)*(nASIG=B320)*(nNOTA=5))</f>
        <v>0</v>
      </c>
      <c r="Q320">
        <f>SUMPRODUCT((nCUENTA=1)*(nCURSO=A320)*(nASIG=B320)*(nNOTA=6))</f>
        <v>0</v>
      </c>
      <c r="R320">
        <f>SUMPRODUCT((nCUENTA=1)*(nCURSO=A320)*(nASIG=B320)*(nNOTA=7))</f>
        <v>0</v>
      </c>
      <c r="S320">
        <f>SUMPRODUCT((nCUENTA=1)*(nCURSO=A320)*(nASIG=B320)*(nNOTA=8))</f>
        <v>0</v>
      </c>
      <c r="T320">
        <f>SUMPRODUCT((nCUENTA=1)*(nCURSO=A320)*(nASIG=B320)*(nNOTA=9))</f>
        <v>0</v>
      </c>
      <c r="U320">
        <f>SUMPRODUCT((nCUENTA=1)*(nCURSO=A320)*(nASIG=B320)*(nNOTA=10))</f>
        <v>0</v>
      </c>
    </row>
    <row r="321">
      <c r="A321" t="inlineStr">
        <is>
          <t xml:space="preserve">4EPM</t>
        </is>
      </c>
      <c r="B321" cm="1">
        <f t="array" ref="B321">IFERROR(INDEX(_xlfn._xlws.FILTER(CONFIG_ASIGNATURAS!$B$2:$B$91,(CONFIG_ASIGNATURAS!$G$2:$G$91="Sí")*ISNUMBER(SEARCH("4EPM",CONFIG_ASIGNATURAS!$C$2:$C$91))),58),"")</f>
      </c>
      <c r="C321">
        <f>IF(B321="","",IFERROR(VLOOKUP(B321,CONFIG_ASIGNATURAS!$B$2:$D$91,3,FALSE()),"Asignatura"))</f>
      </c>
      <c r="D321">
        <f>SUMPRODUCT((nCUENTA=1)*(nCURSO=A321)*(nASIG=B321))</f>
        <v>0</v>
      </c>
      <c r="E321" s="10" t="str">
        <f>IFERROR(SUMPRODUCT((nCUENTA=1)*(nCURSO=A321)*(nASIG=B321)*(nNOTA))/D321,"—")</f>
        <v>—</v>
      </c>
      <c r="F321" s="10" t="str" cm="1">
        <f t="array" ref="F321">IFERROR(_xlfn.STDEV.P(_xlfn._xlws.FILTER(nNOTA,(nCUENTA=1)*(nCURSO=A321)*(nASIG=B321))),"—")</f>
        <v>—</v>
      </c>
      <c r="G321" t="str" cm="1">
        <f t="array" ref="G321">IFERROR(_xlfn.MODE.SNGL(_xlfn._xlws.FILTER(nNOTA,(nCUENTA=1)*(nCURSO=A321)*(nASIG=B321))),"—")</f>
        <v>—</v>
      </c>
      <c r="H321" s="11" t="str">
        <f>IFERROR(SUMPRODUCT((nCUENTA=1)*(nCURSO=A321)*(nASIG=B321)*(nAPTO="S"))/D321,"—")</f>
        <v>—</v>
      </c>
      <c r="I321" s="11" t="str">
        <f>IFERROR(SUMPRODUCT((nCUENTA=1)*(nCURSO=A321)*(nASIG=B321)*(nAPTO="N"))/D321,"—")</f>
        <v>—</v>
      </c>
      <c r="J321" t="str" cm="1">
        <f t="array" ref="J321">IFERROR(_xlfn.MODE.SNGL(_xlfn._xlws.FILTER(nNOTA,(nCUENTA=1)*(nCURSO=A321)*(nASIG=B321)*(nAPTO="S"))),"—")</f>
        <v>—</v>
      </c>
      <c r="K321" t="str" cm="1">
        <f t="array" ref="K321">IFERROR(_xlfn.MODE.SNGL(_xlfn._xlws.FILTER(nNOTA,(nCUENTA=1)*(nCURSO=A321)*(nASIG=B321)*(nAPTO="N"))),"—")</f>
        <v>—</v>
      </c>
      <c r="L321">
        <f>SUMPRODUCT((nCUENTA=1)*(nCURSO=A321)*(nASIG=B321)*(nNOTA=1))</f>
        <v>0</v>
      </c>
      <c r="M321">
        <f>SUMPRODUCT((nCUENTA=1)*(nCURSO=A321)*(nASIG=B321)*(nNOTA=2))</f>
        <v>0</v>
      </c>
      <c r="N321">
        <f>SUMPRODUCT((nCUENTA=1)*(nCURSO=A321)*(nASIG=B321)*(nNOTA=3))</f>
        <v>0</v>
      </c>
      <c r="O321">
        <f>SUMPRODUCT((nCUENTA=1)*(nCURSO=A321)*(nASIG=B321)*(nNOTA=4))</f>
        <v>0</v>
      </c>
      <c r="P321">
        <f>SUMPRODUCT((nCUENTA=1)*(nCURSO=A321)*(nASIG=B321)*(nNOTA=5))</f>
        <v>0</v>
      </c>
      <c r="Q321">
        <f>SUMPRODUCT((nCUENTA=1)*(nCURSO=A321)*(nASIG=B321)*(nNOTA=6))</f>
        <v>0</v>
      </c>
      <c r="R321">
        <f>SUMPRODUCT((nCUENTA=1)*(nCURSO=A321)*(nASIG=B321)*(nNOTA=7))</f>
        <v>0</v>
      </c>
      <c r="S321">
        <f>SUMPRODUCT((nCUENTA=1)*(nCURSO=A321)*(nASIG=B321)*(nNOTA=8))</f>
        <v>0</v>
      </c>
      <c r="T321">
        <f>SUMPRODUCT((nCUENTA=1)*(nCURSO=A321)*(nASIG=B321)*(nNOTA=9))</f>
        <v>0</v>
      </c>
      <c r="U321">
        <f>SUMPRODUCT((nCUENTA=1)*(nCURSO=A321)*(nASIG=B321)*(nNOTA=10))</f>
        <v>0</v>
      </c>
    </row>
    <row r="322">
      <c r="A322" t="inlineStr">
        <is>
          <t xml:space="preserve">4EPM</t>
        </is>
      </c>
      <c r="B322" cm="1">
        <f t="array" ref="B322">IFERROR(INDEX(_xlfn._xlws.FILTER(CONFIG_ASIGNATURAS!$B$2:$B$91,(CONFIG_ASIGNATURAS!$G$2:$G$91="Sí")*ISNUMBER(SEARCH("4EPM",CONFIG_ASIGNATURAS!$C$2:$C$91))),59),"")</f>
      </c>
      <c r="C322">
        <f>IF(B322="","",IFERROR(VLOOKUP(B322,CONFIG_ASIGNATURAS!$B$2:$D$91,3,FALSE()),"Asignatura"))</f>
      </c>
      <c r="D322">
        <f>SUMPRODUCT((nCUENTA=1)*(nCURSO=A322)*(nASIG=B322))</f>
        <v>0</v>
      </c>
      <c r="E322" s="10" t="str">
        <f>IFERROR(SUMPRODUCT((nCUENTA=1)*(nCURSO=A322)*(nASIG=B322)*(nNOTA))/D322,"—")</f>
        <v>—</v>
      </c>
      <c r="F322" s="10" t="str" cm="1">
        <f t="array" ref="F322">IFERROR(_xlfn.STDEV.P(_xlfn._xlws.FILTER(nNOTA,(nCUENTA=1)*(nCURSO=A322)*(nASIG=B322))),"—")</f>
        <v>—</v>
      </c>
      <c r="G322" t="str" cm="1">
        <f t="array" ref="G322">IFERROR(_xlfn.MODE.SNGL(_xlfn._xlws.FILTER(nNOTA,(nCUENTA=1)*(nCURSO=A322)*(nASIG=B322))),"—")</f>
        <v>—</v>
      </c>
      <c r="H322" s="11" t="str">
        <f>IFERROR(SUMPRODUCT((nCUENTA=1)*(nCURSO=A322)*(nASIG=B322)*(nAPTO="S"))/D322,"—")</f>
        <v>—</v>
      </c>
      <c r="I322" s="11" t="str">
        <f>IFERROR(SUMPRODUCT((nCUENTA=1)*(nCURSO=A322)*(nASIG=B322)*(nAPTO="N"))/D322,"—")</f>
        <v>—</v>
      </c>
      <c r="J322" t="str" cm="1">
        <f t="array" ref="J322">IFERROR(_xlfn.MODE.SNGL(_xlfn._xlws.FILTER(nNOTA,(nCUENTA=1)*(nCURSO=A322)*(nASIG=B322)*(nAPTO="S"))),"—")</f>
        <v>—</v>
      </c>
      <c r="K322" t="str" cm="1">
        <f t="array" ref="K322">IFERROR(_xlfn.MODE.SNGL(_xlfn._xlws.FILTER(nNOTA,(nCUENTA=1)*(nCURSO=A322)*(nASIG=B322)*(nAPTO="N"))),"—")</f>
        <v>—</v>
      </c>
      <c r="L322">
        <f>SUMPRODUCT((nCUENTA=1)*(nCURSO=A322)*(nASIG=B322)*(nNOTA=1))</f>
        <v>0</v>
      </c>
      <c r="M322">
        <f>SUMPRODUCT((nCUENTA=1)*(nCURSO=A322)*(nASIG=B322)*(nNOTA=2))</f>
        <v>0</v>
      </c>
      <c r="N322">
        <f>SUMPRODUCT((nCUENTA=1)*(nCURSO=A322)*(nASIG=B322)*(nNOTA=3))</f>
        <v>0</v>
      </c>
      <c r="O322">
        <f>SUMPRODUCT((nCUENTA=1)*(nCURSO=A322)*(nASIG=B322)*(nNOTA=4))</f>
        <v>0</v>
      </c>
      <c r="P322">
        <f>SUMPRODUCT((nCUENTA=1)*(nCURSO=A322)*(nASIG=B322)*(nNOTA=5))</f>
        <v>0</v>
      </c>
      <c r="Q322">
        <f>SUMPRODUCT((nCUENTA=1)*(nCURSO=A322)*(nASIG=B322)*(nNOTA=6))</f>
        <v>0</v>
      </c>
      <c r="R322">
        <f>SUMPRODUCT((nCUENTA=1)*(nCURSO=A322)*(nASIG=B322)*(nNOTA=7))</f>
        <v>0</v>
      </c>
      <c r="S322">
        <f>SUMPRODUCT((nCUENTA=1)*(nCURSO=A322)*(nASIG=B322)*(nNOTA=8))</f>
        <v>0</v>
      </c>
      <c r="T322">
        <f>SUMPRODUCT((nCUENTA=1)*(nCURSO=A322)*(nASIG=B322)*(nNOTA=9))</f>
        <v>0</v>
      </c>
      <c r="U322">
        <f>SUMPRODUCT((nCUENTA=1)*(nCURSO=A322)*(nASIG=B322)*(nNOTA=10))</f>
        <v>0</v>
      </c>
    </row>
    <row r="323">
      <c r="A323" t="inlineStr">
        <is>
          <t xml:space="preserve">4EPM</t>
        </is>
      </c>
      <c r="B323" cm="1">
        <f t="array" ref="B323">IFERROR(INDEX(_xlfn._xlws.FILTER(CONFIG_ASIGNATURAS!$B$2:$B$91,(CONFIG_ASIGNATURAS!$G$2:$G$91="Sí")*ISNUMBER(SEARCH("4EPM",CONFIG_ASIGNATURAS!$C$2:$C$91))),60),"")</f>
      </c>
      <c r="C323">
        <f>IF(B323="","",IFERROR(VLOOKUP(B323,CONFIG_ASIGNATURAS!$B$2:$D$91,3,FALSE()),"Asignatura"))</f>
      </c>
      <c r="D323">
        <f>SUMPRODUCT((nCUENTA=1)*(nCURSO=A323)*(nASIG=B323))</f>
        <v>0</v>
      </c>
      <c r="E323" s="10" t="str">
        <f>IFERROR(SUMPRODUCT((nCUENTA=1)*(nCURSO=A323)*(nASIG=B323)*(nNOTA))/D323,"—")</f>
        <v>—</v>
      </c>
      <c r="F323" s="10" t="str" cm="1">
        <f t="array" ref="F323">IFERROR(_xlfn.STDEV.P(_xlfn._xlws.FILTER(nNOTA,(nCUENTA=1)*(nCURSO=A323)*(nASIG=B323))),"—")</f>
        <v>—</v>
      </c>
      <c r="G323" t="str" cm="1">
        <f t="array" ref="G323">IFERROR(_xlfn.MODE.SNGL(_xlfn._xlws.FILTER(nNOTA,(nCUENTA=1)*(nCURSO=A323)*(nASIG=B323))),"—")</f>
        <v>—</v>
      </c>
      <c r="H323" s="11" t="str">
        <f>IFERROR(SUMPRODUCT((nCUENTA=1)*(nCURSO=A323)*(nASIG=B323)*(nAPTO="S"))/D323,"—")</f>
        <v>—</v>
      </c>
      <c r="I323" s="11" t="str">
        <f>IFERROR(SUMPRODUCT((nCUENTA=1)*(nCURSO=A323)*(nASIG=B323)*(nAPTO="N"))/D323,"—")</f>
        <v>—</v>
      </c>
      <c r="J323" t="str" cm="1">
        <f t="array" ref="J323">IFERROR(_xlfn.MODE.SNGL(_xlfn._xlws.FILTER(nNOTA,(nCUENTA=1)*(nCURSO=A323)*(nASIG=B323)*(nAPTO="S"))),"—")</f>
        <v>—</v>
      </c>
      <c r="K323" t="str" cm="1">
        <f t="array" ref="K323">IFERROR(_xlfn.MODE.SNGL(_xlfn._xlws.FILTER(nNOTA,(nCUENTA=1)*(nCURSO=A323)*(nASIG=B323)*(nAPTO="N"))),"—")</f>
        <v>—</v>
      </c>
      <c r="L323">
        <f>SUMPRODUCT((nCUENTA=1)*(nCURSO=A323)*(nASIG=B323)*(nNOTA=1))</f>
        <v>0</v>
      </c>
      <c r="M323">
        <f>SUMPRODUCT((nCUENTA=1)*(nCURSO=A323)*(nASIG=B323)*(nNOTA=2))</f>
        <v>0</v>
      </c>
      <c r="N323">
        <f>SUMPRODUCT((nCUENTA=1)*(nCURSO=A323)*(nASIG=B323)*(nNOTA=3))</f>
        <v>0</v>
      </c>
      <c r="O323">
        <f>SUMPRODUCT((nCUENTA=1)*(nCURSO=A323)*(nASIG=B323)*(nNOTA=4))</f>
        <v>0</v>
      </c>
      <c r="P323">
        <f>SUMPRODUCT((nCUENTA=1)*(nCURSO=A323)*(nASIG=B323)*(nNOTA=5))</f>
        <v>0</v>
      </c>
      <c r="Q323">
        <f>SUMPRODUCT((nCUENTA=1)*(nCURSO=A323)*(nASIG=B323)*(nNOTA=6))</f>
        <v>0</v>
      </c>
      <c r="R323">
        <f>SUMPRODUCT((nCUENTA=1)*(nCURSO=A323)*(nASIG=B323)*(nNOTA=7))</f>
        <v>0</v>
      </c>
      <c r="S323">
        <f>SUMPRODUCT((nCUENTA=1)*(nCURSO=A323)*(nASIG=B323)*(nNOTA=8))</f>
        <v>0</v>
      </c>
      <c r="T323">
        <f>SUMPRODUCT((nCUENTA=1)*(nCURSO=A323)*(nASIG=B323)*(nNOTA=9))</f>
        <v>0</v>
      </c>
      <c r="U323">
        <f>SUMPRODUCT((nCUENTA=1)*(nCURSO=A323)*(nASIG=B323)*(nNOTA=10))</f>
        <v>0</v>
      </c>
    </row>
    <row r="324">
      <c r="A324" t="inlineStr">
        <is>
          <t xml:space="preserve">5EPM</t>
        </is>
      </c>
      <c r="B324" cm="1">
        <f t="array" ref="B324">IFERROR(INDEX(_xlfn._xlws.FILTER(CONFIG_ASIGNATURAS!$B$2:$B$91,(CONFIG_ASIGNATURAS!$G$2:$G$91="Sí")*ISNUMBER(SEARCH("5EPM",CONFIG_ASIGNATURAS!$C$2:$C$91))),1),"")</f>
      </c>
      <c r="C324">
        <f>IF(B324="","",IFERROR(VLOOKUP(B324,CONFIG_ASIGNATURAS!$B$2:$D$91,3,FALSE()),"Asignatura"))</f>
      </c>
      <c r="D324">
        <f>SUMPRODUCT((nCUENTA=1)*(nCURSO=A324)*(nASIG=B324))</f>
        <v>0</v>
      </c>
      <c r="E324" s="10" t="str">
        <f>IFERROR(SUMPRODUCT((nCUENTA=1)*(nCURSO=A324)*(nASIG=B324)*(nNOTA))/D324,"—")</f>
        <v>—</v>
      </c>
      <c r="F324" s="10" t="str" cm="1">
        <f t="array" ref="F324">IFERROR(_xlfn.STDEV.P(_xlfn._xlws.FILTER(nNOTA,(nCUENTA=1)*(nCURSO=A324)*(nASIG=B324))),"—")</f>
        <v>—</v>
      </c>
      <c r="G324" t="str" cm="1">
        <f t="array" ref="G324">IFERROR(_xlfn.MODE.SNGL(_xlfn._xlws.FILTER(nNOTA,(nCUENTA=1)*(nCURSO=A324)*(nASIG=B324))),"—")</f>
        <v>—</v>
      </c>
      <c r="H324" s="11" t="str">
        <f>IFERROR(SUMPRODUCT((nCUENTA=1)*(nCURSO=A324)*(nASIG=B324)*(nAPTO="S"))/D324,"—")</f>
        <v>—</v>
      </c>
      <c r="I324" s="11" t="str">
        <f>IFERROR(SUMPRODUCT((nCUENTA=1)*(nCURSO=A324)*(nASIG=B324)*(nAPTO="N"))/D324,"—")</f>
        <v>—</v>
      </c>
      <c r="J324" t="str" cm="1">
        <f t="array" ref="J324">IFERROR(_xlfn.MODE.SNGL(_xlfn._xlws.FILTER(nNOTA,(nCUENTA=1)*(nCURSO=A324)*(nASIG=B324)*(nAPTO="S"))),"—")</f>
        <v>—</v>
      </c>
      <c r="K324" t="str" cm="1">
        <f t="array" ref="K324">IFERROR(_xlfn.MODE.SNGL(_xlfn._xlws.FILTER(nNOTA,(nCUENTA=1)*(nCURSO=A324)*(nASIG=B324)*(nAPTO="N"))),"—")</f>
        <v>—</v>
      </c>
      <c r="L324">
        <f>SUMPRODUCT((nCUENTA=1)*(nCURSO=A324)*(nASIG=B324)*(nNOTA=1))</f>
        <v>0</v>
      </c>
      <c r="M324">
        <f>SUMPRODUCT((nCUENTA=1)*(nCURSO=A324)*(nASIG=B324)*(nNOTA=2))</f>
        <v>0</v>
      </c>
      <c r="N324">
        <f>SUMPRODUCT((nCUENTA=1)*(nCURSO=A324)*(nASIG=B324)*(nNOTA=3))</f>
        <v>0</v>
      </c>
      <c r="O324">
        <f>SUMPRODUCT((nCUENTA=1)*(nCURSO=A324)*(nASIG=B324)*(nNOTA=4))</f>
        <v>0</v>
      </c>
      <c r="P324">
        <f>SUMPRODUCT((nCUENTA=1)*(nCURSO=A324)*(nASIG=B324)*(nNOTA=5))</f>
        <v>0</v>
      </c>
      <c r="Q324">
        <f>SUMPRODUCT((nCUENTA=1)*(nCURSO=A324)*(nASIG=B324)*(nNOTA=6))</f>
        <v>0</v>
      </c>
      <c r="R324">
        <f>SUMPRODUCT((nCUENTA=1)*(nCURSO=A324)*(nASIG=B324)*(nNOTA=7))</f>
        <v>0</v>
      </c>
      <c r="S324">
        <f>SUMPRODUCT((nCUENTA=1)*(nCURSO=A324)*(nASIG=B324)*(nNOTA=8))</f>
        <v>0</v>
      </c>
      <c r="T324">
        <f>SUMPRODUCT((nCUENTA=1)*(nCURSO=A324)*(nASIG=B324)*(nNOTA=9))</f>
        <v>0</v>
      </c>
      <c r="U324">
        <f>SUMPRODUCT((nCUENTA=1)*(nCURSO=A324)*(nASIG=B324)*(nNOTA=10))</f>
        <v>0</v>
      </c>
    </row>
    <row r="325">
      <c r="A325" t="inlineStr">
        <is>
          <t xml:space="preserve">5EPM</t>
        </is>
      </c>
      <c r="B325" cm="1">
        <f t="array" ref="B325">IFERROR(INDEX(_xlfn._xlws.FILTER(CONFIG_ASIGNATURAS!$B$2:$B$91,(CONFIG_ASIGNATURAS!$G$2:$G$91="Sí")*ISNUMBER(SEARCH("5EPM",CONFIG_ASIGNATURAS!$C$2:$C$91))),2),"")</f>
      </c>
      <c r="C325">
        <f>IF(B325="","",IFERROR(VLOOKUP(B325,CONFIG_ASIGNATURAS!$B$2:$D$91,3,FALSE()),"Asignatura"))</f>
      </c>
      <c r="D325">
        <f>SUMPRODUCT((nCUENTA=1)*(nCURSO=A325)*(nASIG=B325))</f>
        <v>0</v>
      </c>
      <c r="E325" s="10" t="str">
        <f>IFERROR(SUMPRODUCT((nCUENTA=1)*(nCURSO=A325)*(nASIG=B325)*(nNOTA))/D325,"—")</f>
        <v>—</v>
      </c>
      <c r="F325" s="10" t="str" cm="1">
        <f t="array" ref="F325">IFERROR(_xlfn.STDEV.P(_xlfn._xlws.FILTER(nNOTA,(nCUENTA=1)*(nCURSO=A325)*(nASIG=B325))),"—")</f>
        <v>—</v>
      </c>
      <c r="G325" t="str" cm="1">
        <f t="array" ref="G325">IFERROR(_xlfn.MODE.SNGL(_xlfn._xlws.FILTER(nNOTA,(nCUENTA=1)*(nCURSO=A325)*(nASIG=B325))),"—")</f>
        <v>—</v>
      </c>
      <c r="H325" s="11" t="str">
        <f>IFERROR(SUMPRODUCT((nCUENTA=1)*(nCURSO=A325)*(nASIG=B325)*(nAPTO="S"))/D325,"—")</f>
        <v>—</v>
      </c>
      <c r="I325" s="11" t="str">
        <f>IFERROR(SUMPRODUCT((nCUENTA=1)*(nCURSO=A325)*(nASIG=B325)*(nAPTO="N"))/D325,"—")</f>
        <v>—</v>
      </c>
      <c r="J325" t="str" cm="1">
        <f t="array" ref="J325">IFERROR(_xlfn.MODE.SNGL(_xlfn._xlws.FILTER(nNOTA,(nCUENTA=1)*(nCURSO=A325)*(nASIG=B325)*(nAPTO="S"))),"—")</f>
        <v>—</v>
      </c>
      <c r="K325" t="str" cm="1">
        <f t="array" ref="K325">IFERROR(_xlfn.MODE.SNGL(_xlfn._xlws.FILTER(nNOTA,(nCUENTA=1)*(nCURSO=A325)*(nASIG=B325)*(nAPTO="N"))),"—")</f>
        <v>—</v>
      </c>
      <c r="L325">
        <f>SUMPRODUCT((nCUENTA=1)*(nCURSO=A325)*(nASIG=B325)*(nNOTA=1))</f>
        <v>0</v>
      </c>
      <c r="M325">
        <f>SUMPRODUCT((nCUENTA=1)*(nCURSO=A325)*(nASIG=B325)*(nNOTA=2))</f>
        <v>0</v>
      </c>
      <c r="N325">
        <f>SUMPRODUCT((nCUENTA=1)*(nCURSO=A325)*(nASIG=B325)*(nNOTA=3))</f>
        <v>0</v>
      </c>
      <c r="O325">
        <f>SUMPRODUCT((nCUENTA=1)*(nCURSO=A325)*(nASIG=B325)*(nNOTA=4))</f>
        <v>0</v>
      </c>
      <c r="P325">
        <f>SUMPRODUCT((nCUENTA=1)*(nCURSO=A325)*(nASIG=B325)*(nNOTA=5))</f>
        <v>0</v>
      </c>
      <c r="Q325">
        <f>SUMPRODUCT((nCUENTA=1)*(nCURSO=A325)*(nASIG=B325)*(nNOTA=6))</f>
        <v>0</v>
      </c>
      <c r="R325">
        <f>SUMPRODUCT((nCUENTA=1)*(nCURSO=A325)*(nASIG=B325)*(nNOTA=7))</f>
        <v>0</v>
      </c>
      <c r="S325">
        <f>SUMPRODUCT((nCUENTA=1)*(nCURSO=A325)*(nASIG=B325)*(nNOTA=8))</f>
        <v>0</v>
      </c>
      <c r="T325">
        <f>SUMPRODUCT((nCUENTA=1)*(nCURSO=A325)*(nASIG=B325)*(nNOTA=9))</f>
        <v>0</v>
      </c>
      <c r="U325">
        <f>SUMPRODUCT((nCUENTA=1)*(nCURSO=A325)*(nASIG=B325)*(nNOTA=10))</f>
        <v>0</v>
      </c>
    </row>
    <row r="326">
      <c r="A326" t="inlineStr">
        <is>
          <t xml:space="preserve">5EPM</t>
        </is>
      </c>
      <c r="B326" cm="1">
        <f t="array" ref="B326">IFERROR(INDEX(_xlfn._xlws.FILTER(CONFIG_ASIGNATURAS!$B$2:$B$91,(CONFIG_ASIGNATURAS!$G$2:$G$91="Sí")*ISNUMBER(SEARCH("5EPM",CONFIG_ASIGNATURAS!$C$2:$C$91))),3),"")</f>
      </c>
      <c r="C326">
        <f>IF(B326="","",IFERROR(VLOOKUP(B326,CONFIG_ASIGNATURAS!$B$2:$D$91,3,FALSE()),"Asignatura"))</f>
      </c>
      <c r="D326">
        <f>SUMPRODUCT((nCUENTA=1)*(nCURSO=A326)*(nASIG=B326))</f>
        <v>0</v>
      </c>
      <c r="E326" s="10" t="str">
        <f>IFERROR(SUMPRODUCT((nCUENTA=1)*(nCURSO=A326)*(nASIG=B326)*(nNOTA))/D326,"—")</f>
        <v>—</v>
      </c>
      <c r="F326" s="10" t="str" cm="1">
        <f t="array" ref="F326">IFERROR(_xlfn.STDEV.P(_xlfn._xlws.FILTER(nNOTA,(nCUENTA=1)*(nCURSO=A326)*(nASIG=B326))),"—")</f>
        <v>—</v>
      </c>
      <c r="G326" t="str" cm="1">
        <f t="array" ref="G326">IFERROR(_xlfn.MODE.SNGL(_xlfn._xlws.FILTER(nNOTA,(nCUENTA=1)*(nCURSO=A326)*(nASIG=B326))),"—")</f>
        <v>—</v>
      </c>
      <c r="H326" s="11" t="str">
        <f>IFERROR(SUMPRODUCT((nCUENTA=1)*(nCURSO=A326)*(nASIG=B326)*(nAPTO="S"))/D326,"—")</f>
        <v>—</v>
      </c>
      <c r="I326" s="11" t="str">
        <f>IFERROR(SUMPRODUCT((nCUENTA=1)*(nCURSO=A326)*(nASIG=B326)*(nAPTO="N"))/D326,"—")</f>
        <v>—</v>
      </c>
      <c r="J326" t="str" cm="1">
        <f t="array" ref="J326">IFERROR(_xlfn.MODE.SNGL(_xlfn._xlws.FILTER(nNOTA,(nCUENTA=1)*(nCURSO=A326)*(nASIG=B326)*(nAPTO="S"))),"—")</f>
        <v>—</v>
      </c>
      <c r="K326" t="str" cm="1">
        <f t="array" ref="K326">IFERROR(_xlfn.MODE.SNGL(_xlfn._xlws.FILTER(nNOTA,(nCUENTA=1)*(nCURSO=A326)*(nASIG=B326)*(nAPTO="N"))),"—")</f>
        <v>—</v>
      </c>
      <c r="L326">
        <f>SUMPRODUCT((nCUENTA=1)*(nCURSO=A326)*(nASIG=B326)*(nNOTA=1))</f>
        <v>0</v>
      </c>
      <c r="M326">
        <f>SUMPRODUCT((nCUENTA=1)*(nCURSO=A326)*(nASIG=B326)*(nNOTA=2))</f>
        <v>0</v>
      </c>
      <c r="N326">
        <f>SUMPRODUCT((nCUENTA=1)*(nCURSO=A326)*(nASIG=B326)*(nNOTA=3))</f>
        <v>0</v>
      </c>
      <c r="O326">
        <f>SUMPRODUCT((nCUENTA=1)*(nCURSO=A326)*(nASIG=B326)*(nNOTA=4))</f>
        <v>0</v>
      </c>
      <c r="P326">
        <f>SUMPRODUCT((nCUENTA=1)*(nCURSO=A326)*(nASIG=B326)*(nNOTA=5))</f>
        <v>0</v>
      </c>
      <c r="Q326">
        <f>SUMPRODUCT((nCUENTA=1)*(nCURSO=A326)*(nASIG=B326)*(nNOTA=6))</f>
        <v>0</v>
      </c>
      <c r="R326">
        <f>SUMPRODUCT((nCUENTA=1)*(nCURSO=A326)*(nASIG=B326)*(nNOTA=7))</f>
        <v>0</v>
      </c>
      <c r="S326">
        <f>SUMPRODUCT((nCUENTA=1)*(nCURSO=A326)*(nASIG=B326)*(nNOTA=8))</f>
        <v>0</v>
      </c>
      <c r="T326">
        <f>SUMPRODUCT((nCUENTA=1)*(nCURSO=A326)*(nASIG=B326)*(nNOTA=9))</f>
        <v>0</v>
      </c>
      <c r="U326">
        <f>SUMPRODUCT((nCUENTA=1)*(nCURSO=A326)*(nASIG=B326)*(nNOTA=10))</f>
        <v>0</v>
      </c>
    </row>
    <row r="327">
      <c r="A327" t="inlineStr">
        <is>
          <t xml:space="preserve">5EPM</t>
        </is>
      </c>
      <c r="B327" cm="1">
        <f t="array" ref="B327">IFERROR(INDEX(_xlfn._xlws.FILTER(CONFIG_ASIGNATURAS!$B$2:$B$91,(CONFIG_ASIGNATURAS!$G$2:$G$91="Sí")*ISNUMBER(SEARCH("5EPM",CONFIG_ASIGNATURAS!$C$2:$C$91))),4),"")</f>
      </c>
      <c r="C327">
        <f>IF(B327="","",IFERROR(VLOOKUP(B327,CONFIG_ASIGNATURAS!$B$2:$D$91,3,FALSE()),"Asignatura"))</f>
      </c>
      <c r="D327">
        <f>SUMPRODUCT((nCUENTA=1)*(nCURSO=A327)*(nASIG=B327))</f>
        <v>0</v>
      </c>
      <c r="E327" s="10" t="str">
        <f>IFERROR(SUMPRODUCT((nCUENTA=1)*(nCURSO=A327)*(nASIG=B327)*(nNOTA))/D327,"—")</f>
        <v>—</v>
      </c>
      <c r="F327" s="10" t="str" cm="1">
        <f t="array" ref="F327">IFERROR(_xlfn.STDEV.P(_xlfn._xlws.FILTER(nNOTA,(nCUENTA=1)*(nCURSO=A327)*(nASIG=B327))),"—")</f>
        <v>—</v>
      </c>
      <c r="G327" t="str" cm="1">
        <f t="array" ref="G327">IFERROR(_xlfn.MODE.SNGL(_xlfn._xlws.FILTER(nNOTA,(nCUENTA=1)*(nCURSO=A327)*(nASIG=B327))),"—")</f>
        <v>—</v>
      </c>
      <c r="H327" s="11" t="str">
        <f>IFERROR(SUMPRODUCT((nCUENTA=1)*(nCURSO=A327)*(nASIG=B327)*(nAPTO="S"))/D327,"—")</f>
        <v>—</v>
      </c>
      <c r="I327" s="11" t="str">
        <f>IFERROR(SUMPRODUCT((nCUENTA=1)*(nCURSO=A327)*(nASIG=B327)*(nAPTO="N"))/D327,"—")</f>
        <v>—</v>
      </c>
      <c r="J327" t="str" cm="1">
        <f t="array" ref="J327">IFERROR(_xlfn.MODE.SNGL(_xlfn._xlws.FILTER(nNOTA,(nCUENTA=1)*(nCURSO=A327)*(nASIG=B327)*(nAPTO="S"))),"—")</f>
        <v>—</v>
      </c>
      <c r="K327" t="str" cm="1">
        <f t="array" ref="K327">IFERROR(_xlfn.MODE.SNGL(_xlfn._xlws.FILTER(nNOTA,(nCUENTA=1)*(nCURSO=A327)*(nASIG=B327)*(nAPTO="N"))),"—")</f>
        <v>—</v>
      </c>
      <c r="L327">
        <f>SUMPRODUCT((nCUENTA=1)*(nCURSO=A327)*(nASIG=B327)*(nNOTA=1))</f>
        <v>0</v>
      </c>
      <c r="M327">
        <f>SUMPRODUCT((nCUENTA=1)*(nCURSO=A327)*(nASIG=B327)*(nNOTA=2))</f>
        <v>0</v>
      </c>
      <c r="N327">
        <f>SUMPRODUCT((nCUENTA=1)*(nCURSO=A327)*(nASIG=B327)*(nNOTA=3))</f>
        <v>0</v>
      </c>
      <c r="O327">
        <f>SUMPRODUCT((nCUENTA=1)*(nCURSO=A327)*(nASIG=B327)*(nNOTA=4))</f>
        <v>0</v>
      </c>
      <c r="P327">
        <f>SUMPRODUCT((nCUENTA=1)*(nCURSO=A327)*(nASIG=B327)*(nNOTA=5))</f>
        <v>0</v>
      </c>
      <c r="Q327">
        <f>SUMPRODUCT((nCUENTA=1)*(nCURSO=A327)*(nASIG=B327)*(nNOTA=6))</f>
        <v>0</v>
      </c>
      <c r="R327">
        <f>SUMPRODUCT((nCUENTA=1)*(nCURSO=A327)*(nASIG=B327)*(nNOTA=7))</f>
        <v>0</v>
      </c>
      <c r="S327">
        <f>SUMPRODUCT((nCUENTA=1)*(nCURSO=A327)*(nASIG=B327)*(nNOTA=8))</f>
        <v>0</v>
      </c>
      <c r="T327">
        <f>SUMPRODUCT((nCUENTA=1)*(nCURSO=A327)*(nASIG=B327)*(nNOTA=9))</f>
        <v>0</v>
      </c>
      <c r="U327">
        <f>SUMPRODUCT((nCUENTA=1)*(nCURSO=A327)*(nASIG=B327)*(nNOTA=10))</f>
        <v>0</v>
      </c>
    </row>
    <row r="328">
      <c r="A328" t="inlineStr">
        <is>
          <t xml:space="preserve">5EPM</t>
        </is>
      </c>
      <c r="B328" cm="1">
        <f t="array" ref="B328">IFERROR(INDEX(_xlfn._xlws.FILTER(CONFIG_ASIGNATURAS!$B$2:$B$91,(CONFIG_ASIGNATURAS!$G$2:$G$91="Sí")*ISNUMBER(SEARCH("5EPM",CONFIG_ASIGNATURAS!$C$2:$C$91))),5),"")</f>
      </c>
      <c r="C328">
        <f>IF(B328="","",IFERROR(VLOOKUP(B328,CONFIG_ASIGNATURAS!$B$2:$D$91,3,FALSE()),"Asignatura"))</f>
      </c>
      <c r="D328">
        <f>SUMPRODUCT((nCUENTA=1)*(nCURSO=A328)*(nASIG=B328))</f>
        <v>0</v>
      </c>
      <c r="E328" s="10" t="str">
        <f>IFERROR(SUMPRODUCT((nCUENTA=1)*(nCURSO=A328)*(nASIG=B328)*(nNOTA))/D328,"—")</f>
        <v>—</v>
      </c>
      <c r="F328" s="10" t="str" cm="1">
        <f t="array" ref="F328">IFERROR(_xlfn.STDEV.P(_xlfn._xlws.FILTER(nNOTA,(nCUENTA=1)*(nCURSO=A328)*(nASIG=B328))),"—")</f>
        <v>—</v>
      </c>
      <c r="G328" t="str" cm="1">
        <f t="array" ref="G328">IFERROR(_xlfn.MODE.SNGL(_xlfn._xlws.FILTER(nNOTA,(nCUENTA=1)*(nCURSO=A328)*(nASIG=B328))),"—")</f>
        <v>—</v>
      </c>
      <c r="H328" s="11" t="str">
        <f>IFERROR(SUMPRODUCT((nCUENTA=1)*(nCURSO=A328)*(nASIG=B328)*(nAPTO="S"))/D328,"—")</f>
        <v>—</v>
      </c>
      <c r="I328" s="11" t="str">
        <f>IFERROR(SUMPRODUCT((nCUENTA=1)*(nCURSO=A328)*(nASIG=B328)*(nAPTO="N"))/D328,"—")</f>
        <v>—</v>
      </c>
      <c r="J328" t="str" cm="1">
        <f t="array" ref="J328">IFERROR(_xlfn.MODE.SNGL(_xlfn._xlws.FILTER(nNOTA,(nCUENTA=1)*(nCURSO=A328)*(nASIG=B328)*(nAPTO="S"))),"—")</f>
        <v>—</v>
      </c>
      <c r="K328" t="str" cm="1">
        <f t="array" ref="K328">IFERROR(_xlfn.MODE.SNGL(_xlfn._xlws.FILTER(nNOTA,(nCUENTA=1)*(nCURSO=A328)*(nASIG=B328)*(nAPTO="N"))),"—")</f>
        <v>—</v>
      </c>
      <c r="L328">
        <f>SUMPRODUCT((nCUENTA=1)*(nCURSO=A328)*(nASIG=B328)*(nNOTA=1))</f>
        <v>0</v>
      </c>
      <c r="M328">
        <f>SUMPRODUCT((nCUENTA=1)*(nCURSO=A328)*(nASIG=B328)*(nNOTA=2))</f>
        <v>0</v>
      </c>
      <c r="N328">
        <f>SUMPRODUCT((nCUENTA=1)*(nCURSO=A328)*(nASIG=B328)*(nNOTA=3))</f>
        <v>0</v>
      </c>
      <c r="O328">
        <f>SUMPRODUCT((nCUENTA=1)*(nCURSO=A328)*(nASIG=B328)*(nNOTA=4))</f>
        <v>0</v>
      </c>
      <c r="P328">
        <f>SUMPRODUCT((nCUENTA=1)*(nCURSO=A328)*(nASIG=B328)*(nNOTA=5))</f>
        <v>0</v>
      </c>
      <c r="Q328">
        <f>SUMPRODUCT((nCUENTA=1)*(nCURSO=A328)*(nASIG=B328)*(nNOTA=6))</f>
        <v>0</v>
      </c>
      <c r="R328">
        <f>SUMPRODUCT((nCUENTA=1)*(nCURSO=A328)*(nASIG=B328)*(nNOTA=7))</f>
        <v>0</v>
      </c>
      <c r="S328">
        <f>SUMPRODUCT((nCUENTA=1)*(nCURSO=A328)*(nASIG=B328)*(nNOTA=8))</f>
        <v>0</v>
      </c>
      <c r="T328">
        <f>SUMPRODUCT((nCUENTA=1)*(nCURSO=A328)*(nASIG=B328)*(nNOTA=9))</f>
        <v>0</v>
      </c>
      <c r="U328">
        <f>SUMPRODUCT((nCUENTA=1)*(nCURSO=A328)*(nASIG=B328)*(nNOTA=10))</f>
        <v>0</v>
      </c>
    </row>
    <row r="329">
      <c r="A329" t="inlineStr">
        <is>
          <t xml:space="preserve">5EPM</t>
        </is>
      </c>
      <c r="B329" cm="1">
        <f t="array" ref="B329">IFERROR(INDEX(_xlfn._xlws.FILTER(CONFIG_ASIGNATURAS!$B$2:$B$91,(CONFIG_ASIGNATURAS!$G$2:$G$91="Sí")*ISNUMBER(SEARCH("5EPM",CONFIG_ASIGNATURAS!$C$2:$C$91))),6),"")</f>
      </c>
      <c r="C329">
        <f>IF(B329="","",IFERROR(VLOOKUP(B329,CONFIG_ASIGNATURAS!$B$2:$D$91,3,FALSE()),"Asignatura"))</f>
      </c>
      <c r="D329">
        <f>SUMPRODUCT((nCUENTA=1)*(nCURSO=A329)*(nASIG=B329))</f>
        <v>0</v>
      </c>
      <c r="E329" s="10" t="str">
        <f>IFERROR(SUMPRODUCT((nCUENTA=1)*(nCURSO=A329)*(nASIG=B329)*(nNOTA))/D329,"—")</f>
        <v>—</v>
      </c>
      <c r="F329" s="10" t="str" cm="1">
        <f t="array" ref="F329">IFERROR(_xlfn.STDEV.P(_xlfn._xlws.FILTER(nNOTA,(nCUENTA=1)*(nCURSO=A329)*(nASIG=B329))),"—")</f>
        <v>—</v>
      </c>
      <c r="G329" t="str" cm="1">
        <f t="array" ref="G329">IFERROR(_xlfn.MODE.SNGL(_xlfn._xlws.FILTER(nNOTA,(nCUENTA=1)*(nCURSO=A329)*(nASIG=B329))),"—")</f>
        <v>—</v>
      </c>
      <c r="H329" s="11" t="str">
        <f>IFERROR(SUMPRODUCT((nCUENTA=1)*(nCURSO=A329)*(nASIG=B329)*(nAPTO="S"))/D329,"—")</f>
        <v>—</v>
      </c>
      <c r="I329" s="11" t="str">
        <f>IFERROR(SUMPRODUCT((nCUENTA=1)*(nCURSO=A329)*(nASIG=B329)*(nAPTO="N"))/D329,"—")</f>
        <v>—</v>
      </c>
      <c r="J329" t="str" cm="1">
        <f t="array" ref="J329">IFERROR(_xlfn.MODE.SNGL(_xlfn._xlws.FILTER(nNOTA,(nCUENTA=1)*(nCURSO=A329)*(nASIG=B329)*(nAPTO="S"))),"—")</f>
        <v>—</v>
      </c>
      <c r="K329" t="str" cm="1">
        <f t="array" ref="K329">IFERROR(_xlfn.MODE.SNGL(_xlfn._xlws.FILTER(nNOTA,(nCUENTA=1)*(nCURSO=A329)*(nASIG=B329)*(nAPTO="N"))),"—")</f>
        <v>—</v>
      </c>
      <c r="L329">
        <f>SUMPRODUCT((nCUENTA=1)*(nCURSO=A329)*(nASIG=B329)*(nNOTA=1))</f>
        <v>0</v>
      </c>
      <c r="M329">
        <f>SUMPRODUCT((nCUENTA=1)*(nCURSO=A329)*(nASIG=B329)*(nNOTA=2))</f>
        <v>0</v>
      </c>
      <c r="N329">
        <f>SUMPRODUCT((nCUENTA=1)*(nCURSO=A329)*(nASIG=B329)*(nNOTA=3))</f>
        <v>0</v>
      </c>
      <c r="O329">
        <f>SUMPRODUCT((nCUENTA=1)*(nCURSO=A329)*(nASIG=B329)*(nNOTA=4))</f>
        <v>0</v>
      </c>
      <c r="P329">
        <f>SUMPRODUCT((nCUENTA=1)*(nCURSO=A329)*(nASIG=B329)*(nNOTA=5))</f>
        <v>0</v>
      </c>
      <c r="Q329">
        <f>SUMPRODUCT((nCUENTA=1)*(nCURSO=A329)*(nASIG=B329)*(nNOTA=6))</f>
        <v>0</v>
      </c>
      <c r="R329">
        <f>SUMPRODUCT((nCUENTA=1)*(nCURSO=A329)*(nASIG=B329)*(nNOTA=7))</f>
        <v>0</v>
      </c>
      <c r="S329">
        <f>SUMPRODUCT((nCUENTA=1)*(nCURSO=A329)*(nASIG=B329)*(nNOTA=8))</f>
        <v>0</v>
      </c>
      <c r="T329">
        <f>SUMPRODUCT((nCUENTA=1)*(nCURSO=A329)*(nASIG=B329)*(nNOTA=9))</f>
        <v>0</v>
      </c>
      <c r="U329">
        <f>SUMPRODUCT((nCUENTA=1)*(nCURSO=A329)*(nASIG=B329)*(nNOTA=10))</f>
        <v>0</v>
      </c>
    </row>
    <row r="330">
      <c r="A330" t="inlineStr">
        <is>
          <t xml:space="preserve">5EPM</t>
        </is>
      </c>
      <c r="B330" cm="1">
        <f t="array" ref="B330">IFERROR(INDEX(_xlfn._xlws.FILTER(CONFIG_ASIGNATURAS!$B$2:$B$91,(CONFIG_ASIGNATURAS!$G$2:$G$91="Sí")*ISNUMBER(SEARCH("5EPM",CONFIG_ASIGNATURAS!$C$2:$C$91))),7),"")</f>
      </c>
      <c r="C330">
        <f>IF(B330="","",IFERROR(VLOOKUP(B330,CONFIG_ASIGNATURAS!$B$2:$D$91,3,FALSE()),"Asignatura"))</f>
      </c>
      <c r="D330">
        <f>SUMPRODUCT((nCUENTA=1)*(nCURSO=A330)*(nASIG=B330))</f>
        <v>0</v>
      </c>
      <c r="E330" s="10" t="str">
        <f>IFERROR(SUMPRODUCT((nCUENTA=1)*(nCURSO=A330)*(nASIG=B330)*(nNOTA))/D330,"—")</f>
        <v>—</v>
      </c>
      <c r="F330" s="10" t="str" cm="1">
        <f t="array" ref="F330">IFERROR(_xlfn.STDEV.P(_xlfn._xlws.FILTER(nNOTA,(nCUENTA=1)*(nCURSO=A330)*(nASIG=B330))),"—")</f>
        <v>—</v>
      </c>
      <c r="G330" t="str" cm="1">
        <f t="array" ref="G330">IFERROR(_xlfn.MODE.SNGL(_xlfn._xlws.FILTER(nNOTA,(nCUENTA=1)*(nCURSO=A330)*(nASIG=B330))),"—")</f>
        <v>—</v>
      </c>
      <c r="H330" s="11" t="str">
        <f>IFERROR(SUMPRODUCT((nCUENTA=1)*(nCURSO=A330)*(nASIG=B330)*(nAPTO="S"))/D330,"—")</f>
        <v>—</v>
      </c>
      <c r="I330" s="11" t="str">
        <f>IFERROR(SUMPRODUCT((nCUENTA=1)*(nCURSO=A330)*(nASIG=B330)*(nAPTO="N"))/D330,"—")</f>
        <v>—</v>
      </c>
      <c r="J330" t="str" cm="1">
        <f t="array" ref="J330">IFERROR(_xlfn.MODE.SNGL(_xlfn._xlws.FILTER(nNOTA,(nCUENTA=1)*(nCURSO=A330)*(nASIG=B330)*(nAPTO="S"))),"—")</f>
        <v>—</v>
      </c>
      <c r="K330" t="str" cm="1">
        <f t="array" ref="K330">IFERROR(_xlfn.MODE.SNGL(_xlfn._xlws.FILTER(nNOTA,(nCUENTA=1)*(nCURSO=A330)*(nASIG=B330)*(nAPTO="N"))),"—")</f>
        <v>—</v>
      </c>
      <c r="L330">
        <f>SUMPRODUCT((nCUENTA=1)*(nCURSO=A330)*(nASIG=B330)*(nNOTA=1))</f>
        <v>0</v>
      </c>
      <c r="M330">
        <f>SUMPRODUCT((nCUENTA=1)*(nCURSO=A330)*(nASIG=B330)*(nNOTA=2))</f>
        <v>0</v>
      </c>
      <c r="N330">
        <f>SUMPRODUCT((nCUENTA=1)*(nCURSO=A330)*(nASIG=B330)*(nNOTA=3))</f>
        <v>0</v>
      </c>
      <c r="O330">
        <f>SUMPRODUCT((nCUENTA=1)*(nCURSO=A330)*(nASIG=B330)*(nNOTA=4))</f>
        <v>0</v>
      </c>
      <c r="P330">
        <f>SUMPRODUCT((nCUENTA=1)*(nCURSO=A330)*(nASIG=B330)*(nNOTA=5))</f>
        <v>0</v>
      </c>
      <c r="Q330">
        <f>SUMPRODUCT((nCUENTA=1)*(nCURSO=A330)*(nASIG=B330)*(nNOTA=6))</f>
        <v>0</v>
      </c>
      <c r="R330">
        <f>SUMPRODUCT((nCUENTA=1)*(nCURSO=A330)*(nASIG=B330)*(nNOTA=7))</f>
        <v>0</v>
      </c>
      <c r="S330">
        <f>SUMPRODUCT((nCUENTA=1)*(nCURSO=A330)*(nASIG=B330)*(nNOTA=8))</f>
        <v>0</v>
      </c>
      <c r="T330">
        <f>SUMPRODUCT((nCUENTA=1)*(nCURSO=A330)*(nASIG=B330)*(nNOTA=9))</f>
        <v>0</v>
      </c>
      <c r="U330">
        <f>SUMPRODUCT((nCUENTA=1)*(nCURSO=A330)*(nASIG=B330)*(nNOTA=10))</f>
        <v>0</v>
      </c>
    </row>
    <row r="331">
      <c r="A331" t="inlineStr">
        <is>
          <t xml:space="preserve">5EPM</t>
        </is>
      </c>
      <c r="B331" cm="1">
        <f t="array" ref="B331">IFERROR(INDEX(_xlfn._xlws.FILTER(CONFIG_ASIGNATURAS!$B$2:$B$91,(CONFIG_ASIGNATURAS!$G$2:$G$91="Sí")*ISNUMBER(SEARCH("5EPM",CONFIG_ASIGNATURAS!$C$2:$C$91))),8),"")</f>
      </c>
      <c r="C331">
        <f>IF(B331="","",IFERROR(VLOOKUP(B331,CONFIG_ASIGNATURAS!$B$2:$D$91,3,FALSE()),"Asignatura"))</f>
      </c>
      <c r="D331">
        <f>SUMPRODUCT((nCUENTA=1)*(nCURSO=A331)*(nASIG=B331))</f>
        <v>0</v>
      </c>
      <c r="E331" s="10" t="str">
        <f>IFERROR(SUMPRODUCT((nCUENTA=1)*(nCURSO=A331)*(nASIG=B331)*(nNOTA))/D331,"—")</f>
        <v>—</v>
      </c>
      <c r="F331" s="10" t="str" cm="1">
        <f t="array" ref="F331">IFERROR(_xlfn.STDEV.P(_xlfn._xlws.FILTER(nNOTA,(nCUENTA=1)*(nCURSO=A331)*(nASIG=B331))),"—")</f>
        <v>—</v>
      </c>
      <c r="G331" t="str" cm="1">
        <f t="array" ref="G331">IFERROR(_xlfn.MODE.SNGL(_xlfn._xlws.FILTER(nNOTA,(nCUENTA=1)*(nCURSO=A331)*(nASIG=B331))),"—")</f>
        <v>—</v>
      </c>
      <c r="H331" s="11" t="str">
        <f>IFERROR(SUMPRODUCT((nCUENTA=1)*(nCURSO=A331)*(nASIG=B331)*(nAPTO="S"))/D331,"—")</f>
        <v>—</v>
      </c>
      <c r="I331" s="11" t="str">
        <f>IFERROR(SUMPRODUCT((nCUENTA=1)*(nCURSO=A331)*(nASIG=B331)*(nAPTO="N"))/D331,"—")</f>
        <v>—</v>
      </c>
      <c r="J331" t="str" cm="1">
        <f t="array" ref="J331">IFERROR(_xlfn.MODE.SNGL(_xlfn._xlws.FILTER(nNOTA,(nCUENTA=1)*(nCURSO=A331)*(nASIG=B331)*(nAPTO="S"))),"—")</f>
        <v>—</v>
      </c>
      <c r="K331" t="str" cm="1">
        <f t="array" ref="K331">IFERROR(_xlfn.MODE.SNGL(_xlfn._xlws.FILTER(nNOTA,(nCUENTA=1)*(nCURSO=A331)*(nASIG=B331)*(nAPTO="N"))),"—")</f>
        <v>—</v>
      </c>
      <c r="L331">
        <f>SUMPRODUCT((nCUENTA=1)*(nCURSO=A331)*(nASIG=B331)*(nNOTA=1))</f>
        <v>0</v>
      </c>
      <c r="M331">
        <f>SUMPRODUCT((nCUENTA=1)*(nCURSO=A331)*(nASIG=B331)*(nNOTA=2))</f>
        <v>0</v>
      </c>
      <c r="N331">
        <f>SUMPRODUCT((nCUENTA=1)*(nCURSO=A331)*(nASIG=B331)*(nNOTA=3))</f>
        <v>0</v>
      </c>
      <c r="O331">
        <f>SUMPRODUCT((nCUENTA=1)*(nCURSO=A331)*(nASIG=B331)*(nNOTA=4))</f>
        <v>0</v>
      </c>
      <c r="P331">
        <f>SUMPRODUCT((nCUENTA=1)*(nCURSO=A331)*(nASIG=B331)*(nNOTA=5))</f>
        <v>0</v>
      </c>
      <c r="Q331">
        <f>SUMPRODUCT((nCUENTA=1)*(nCURSO=A331)*(nASIG=B331)*(nNOTA=6))</f>
        <v>0</v>
      </c>
      <c r="R331">
        <f>SUMPRODUCT((nCUENTA=1)*(nCURSO=A331)*(nASIG=B331)*(nNOTA=7))</f>
        <v>0</v>
      </c>
      <c r="S331">
        <f>SUMPRODUCT((nCUENTA=1)*(nCURSO=A331)*(nASIG=B331)*(nNOTA=8))</f>
        <v>0</v>
      </c>
      <c r="T331">
        <f>SUMPRODUCT((nCUENTA=1)*(nCURSO=A331)*(nASIG=B331)*(nNOTA=9))</f>
        <v>0</v>
      </c>
      <c r="U331">
        <f>SUMPRODUCT((nCUENTA=1)*(nCURSO=A331)*(nASIG=B331)*(nNOTA=10))</f>
        <v>0</v>
      </c>
    </row>
    <row r="332">
      <c r="A332" t="inlineStr">
        <is>
          <t xml:space="preserve">5EPM</t>
        </is>
      </c>
      <c r="B332" cm="1">
        <f t="array" ref="B332">IFERROR(INDEX(_xlfn._xlws.FILTER(CONFIG_ASIGNATURAS!$B$2:$B$91,(CONFIG_ASIGNATURAS!$G$2:$G$91="Sí")*ISNUMBER(SEARCH("5EPM",CONFIG_ASIGNATURAS!$C$2:$C$91))),9),"")</f>
      </c>
      <c r="C332">
        <f>IF(B332="","",IFERROR(VLOOKUP(B332,CONFIG_ASIGNATURAS!$B$2:$D$91,3,FALSE()),"Asignatura"))</f>
      </c>
      <c r="D332">
        <f>SUMPRODUCT((nCUENTA=1)*(nCURSO=A332)*(nASIG=B332))</f>
        <v>0</v>
      </c>
      <c r="E332" s="10" t="str">
        <f>IFERROR(SUMPRODUCT((nCUENTA=1)*(nCURSO=A332)*(nASIG=B332)*(nNOTA))/D332,"—")</f>
        <v>—</v>
      </c>
      <c r="F332" s="10" t="str" cm="1">
        <f t="array" ref="F332">IFERROR(_xlfn.STDEV.P(_xlfn._xlws.FILTER(nNOTA,(nCUENTA=1)*(nCURSO=A332)*(nASIG=B332))),"—")</f>
        <v>—</v>
      </c>
      <c r="G332" t="str" cm="1">
        <f t="array" ref="G332">IFERROR(_xlfn.MODE.SNGL(_xlfn._xlws.FILTER(nNOTA,(nCUENTA=1)*(nCURSO=A332)*(nASIG=B332))),"—")</f>
        <v>—</v>
      </c>
      <c r="H332" s="11" t="str">
        <f>IFERROR(SUMPRODUCT((nCUENTA=1)*(nCURSO=A332)*(nASIG=B332)*(nAPTO="S"))/D332,"—")</f>
        <v>—</v>
      </c>
      <c r="I332" s="11" t="str">
        <f>IFERROR(SUMPRODUCT((nCUENTA=1)*(nCURSO=A332)*(nASIG=B332)*(nAPTO="N"))/D332,"—")</f>
        <v>—</v>
      </c>
      <c r="J332" t="str" cm="1">
        <f t="array" ref="J332">IFERROR(_xlfn.MODE.SNGL(_xlfn._xlws.FILTER(nNOTA,(nCUENTA=1)*(nCURSO=A332)*(nASIG=B332)*(nAPTO="S"))),"—")</f>
        <v>—</v>
      </c>
      <c r="K332" t="str" cm="1">
        <f t="array" ref="K332">IFERROR(_xlfn.MODE.SNGL(_xlfn._xlws.FILTER(nNOTA,(nCUENTA=1)*(nCURSO=A332)*(nASIG=B332)*(nAPTO="N"))),"—")</f>
        <v>—</v>
      </c>
      <c r="L332">
        <f>SUMPRODUCT((nCUENTA=1)*(nCURSO=A332)*(nASIG=B332)*(nNOTA=1))</f>
        <v>0</v>
      </c>
      <c r="M332">
        <f>SUMPRODUCT((nCUENTA=1)*(nCURSO=A332)*(nASIG=B332)*(nNOTA=2))</f>
        <v>0</v>
      </c>
      <c r="N332">
        <f>SUMPRODUCT((nCUENTA=1)*(nCURSO=A332)*(nASIG=B332)*(nNOTA=3))</f>
        <v>0</v>
      </c>
      <c r="O332">
        <f>SUMPRODUCT((nCUENTA=1)*(nCURSO=A332)*(nASIG=B332)*(nNOTA=4))</f>
        <v>0</v>
      </c>
      <c r="P332">
        <f>SUMPRODUCT((nCUENTA=1)*(nCURSO=A332)*(nASIG=B332)*(nNOTA=5))</f>
        <v>0</v>
      </c>
      <c r="Q332">
        <f>SUMPRODUCT((nCUENTA=1)*(nCURSO=A332)*(nASIG=B332)*(nNOTA=6))</f>
        <v>0</v>
      </c>
      <c r="R332">
        <f>SUMPRODUCT((nCUENTA=1)*(nCURSO=A332)*(nASIG=B332)*(nNOTA=7))</f>
        <v>0</v>
      </c>
      <c r="S332">
        <f>SUMPRODUCT((nCUENTA=1)*(nCURSO=A332)*(nASIG=B332)*(nNOTA=8))</f>
        <v>0</v>
      </c>
      <c r="T332">
        <f>SUMPRODUCT((nCUENTA=1)*(nCURSO=A332)*(nASIG=B332)*(nNOTA=9))</f>
        <v>0</v>
      </c>
      <c r="U332">
        <f>SUMPRODUCT((nCUENTA=1)*(nCURSO=A332)*(nASIG=B332)*(nNOTA=10))</f>
        <v>0</v>
      </c>
    </row>
    <row r="333">
      <c r="A333" t="inlineStr">
        <is>
          <t xml:space="preserve">5EPM</t>
        </is>
      </c>
      <c r="B333" cm="1">
        <f t="array" ref="B333">IFERROR(INDEX(_xlfn._xlws.FILTER(CONFIG_ASIGNATURAS!$B$2:$B$91,(CONFIG_ASIGNATURAS!$G$2:$G$91="Sí")*ISNUMBER(SEARCH("5EPM",CONFIG_ASIGNATURAS!$C$2:$C$91))),10),"")</f>
      </c>
      <c r="C333">
        <f>IF(B333="","",IFERROR(VLOOKUP(B333,CONFIG_ASIGNATURAS!$B$2:$D$91,3,FALSE()),"Asignatura"))</f>
      </c>
      <c r="D333">
        <f>SUMPRODUCT((nCUENTA=1)*(nCURSO=A333)*(nASIG=B333))</f>
        <v>0</v>
      </c>
      <c r="E333" s="10" t="str">
        <f>IFERROR(SUMPRODUCT((nCUENTA=1)*(nCURSO=A333)*(nASIG=B333)*(nNOTA))/D333,"—")</f>
        <v>—</v>
      </c>
      <c r="F333" s="10" t="str" cm="1">
        <f t="array" ref="F333">IFERROR(_xlfn.STDEV.P(_xlfn._xlws.FILTER(nNOTA,(nCUENTA=1)*(nCURSO=A333)*(nASIG=B333))),"—")</f>
        <v>—</v>
      </c>
      <c r="G333" t="str" cm="1">
        <f t="array" ref="G333">IFERROR(_xlfn.MODE.SNGL(_xlfn._xlws.FILTER(nNOTA,(nCUENTA=1)*(nCURSO=A333)*(nASIG=B333))),"—")</f>
        <v>—</v>
      </c>
      <c r="H333" s="11" t="str">
        <f>IFERROR(SUMPRODUCT((nCUENTA=1)*(nCURSO=A333)*(nASIG=B333)*(nAPTO="S"))/D333,"—")</f>
        <v>—</v>
      </c>
      <c r="I333" s="11" t="str">
        <f>IFERROR(SUMPRODUCT((nCUENTA=1)*(nCURSO=A333)*(nASIG=B333)*(nAPTO="N"))/D333,"—")</f>
        <v>—</v>
      </c>
      <c r="J333" t="str" cm="1">
        <f t="array" ref="J333">IFERROR(_xlfn.MODE.SNGL(_xlfn._xlws.FILTER(nNOTA,(nCUENTA=1)*(nCURSO=A333)*(nASIG=B333)*(nAPTO="S"))),"—")</f>
        <v>—</v>
      </c>
      <c r="K333" t="str" cm="1">
        <f t="array" ref="K333">IFERROR(_xlfn.MODE.SNGL(_xlfn._xlws.FILTER(nNOTA,(nCUENTA=1)*(nCURSO=A333)*(nASIG=B333)*(nAPTO="N"))),"—")</f>
        <v>—</v>
      </c>
      <c r="L333">
        <f>SUMPRODUCT((nCUENTA=1)*(nCURSO=A333)*(nASIG=B333)*(nNOTA=1))</f>
        <v>0</v>
      </c>
      <c r="M333">
        <f>SUMPRODUCT((nCUENTA=1)*(nCURSO=A333)*(nASIG=B333)*(nNOTA=2))</f>
        <v>0</v>
      </c>
      <c r="N333">
        <f>SUMPRODUCT((nCUENTA=1)*(nCURSO=A333)*(nASIG=B333)*(nNOTA=3))</f>
        <v>0</v>
      </c>
      <c r="O333">
        <f>SUMPRODUCT((nCUENTA=1)*(nCURSO=A333)*(nASIG=B333)*(nNOTA=4))</f>
        <v>0</v>
      </c>
      <c r="P333">
        <f>SUMPRODUCT((nCUENTA=1)*(nCURSO=A333)*(nASIG=B333)*(nNOTA=5))</f>
        <v>0</v>
      </c>
      <c r="Q333">
        <f>SUMPRODUCT((nCUENTA=1)*(nCURSO=A333)*(nASIG=B333)*(nNOTA=6))</f>
        <v>0</v>
      </c>
      <c r="R333">
        <f>SUMPRODUCT((nCUENTA=1)*(nCURSO=A333)*(nASIG=B333)*(nNOTA=7))</f>
        <v>0</v>
      </c>
      <c r="S333">
        <f>SUMPRODUCT((nCUENTA=1)*(nCURSO=A333)*(nASIG=B333)*(nNOTA=8))</f>
        <v>0</v>
      </c>
      <c r="T333">
        <f>SUMPRODUCT((nCUENTA=1)*(nCURSO=A333)*(nASIG=B333)*(nNOTA=9))</f>
        <v>0</v>
      </c>
      <c r="U333">
        <f>SUMPRODUCT((nCUENTA=1)*(nCURSO=A333)*(nASIG=B333)*(nNOTA=10))</f>
        <v>0</v>
      </c>
    </row>
    <row r="334">
      <c r="A334" t="inlineStr">
        <is>
          <t xml:space="preserve">5EPM</t>
        </is>
      </c>
      <c r="B334" cm="1">
        <f t="array" ref="B334">IFERROR(INDEX(_xlfn._xlws.FILTER(CONFIG_ASIGNATURAS!$B$2:$B$91,(CONFIG_ASIGNATURAS!$G$2:$G$91="Sí")*ISNUMBER(SEARCH("5EPM",CONFIG_ASIGNATURAS!$C$2:$C$91))),11),"")</f>
      </c>
      <c r="C334">
        <f>IF(B334="","",IFERROR(VLOOKUP(B334,CONFIG_ASIGNATURAS!$B$2:$D$91,3,FALSE()),"Asignatura"))</f>
      </c>
      <c r="D334">
        <f>SUMPRODUCT((nCUENTA=1)*(nCURSO=A334)*(nASIG=B334))</f>
        <v>0</v>
      </c>
      <c r="E334" s="10" t="str">
        <f>IFERROR(SUMPRODUCT((nCUENTA=1)*(nCURSO=A334)*(nASIG=B334)*(nNOTA))/D334,"—")</f>
        <v>—</v>
      </c>
      <c r="F334" s="10" t="str" cm="1">
        <f t="array" ref="F334">IFERROR(_xlfn.STDEV.P(_xlfn._xlws.FILTER(nNOTA,(nCUENTA=1)*(nCURSO=A334)*(nASIG=B334))),"—")</f>
        <v>—</v>
      </c>
      <c r="G334" t="str" cm="1">
        <f t="array" ref="G334">IFERROR(_xlfn.MODE.SNGL(_xlfn._xlws.FILTER(nNOTA,(nCUENTA=1)*(nCURSO=A334)*(nASIG=B334))),"—")</f>
        <v>—</v>
      </c>
      <c r="H334" s="11" t="str">
        <f>IFERROR(SUMPRODUCT((nCUENTA=1)*(nCURSO=A334)*(nASIG=B334)*(nAPTO="S"))/D334,"—")</f>
        <v>—</v>
      </c>
      <c r="I334" s="11" t="str">
        <f>IFERROR(SUMPRODUCT((nCUENTA=1)*(nCURSO=A334)*(nASIG=B334)*(nAPTO="N"))/D334,"—")</f>
        <v>—</v>
      </c>
      <c r="J334" t="str" cm="1">
        <f t="array" ref="J334">IFERROR(_xlfn.MODE.SNGL(_xlfn._xlws.FILTER(nNOTA,(nCUENTA=1)*(nCURSO=A334)*(nASIG=B334)*(nAPTO="S"))),"—")</f>
        <v>—</v>
      </c>
      <c r="K334" t="str" cm="1">
        <f t="array" ref="K334">IFERROR(_xlfn.MODE.SNGL(_xlfn._xlws.FILTER(nNOTA,(nCUENTA=1)*(nCURSO=A334)*(nASIG=B334)*(nAPTO="N"))),"—")</f>
        <v>—</v>
      </c>
      <c r="L334">
        <f>SUMPRODUCT((nCUENTA=1)*(nCURSO=A334)*(nASIG=B334)*(nNOTA=1))</f>
        <v>0</v>
      </c>
      <c r="M334">
        <f>SUMPRODUCT((nCUENTA=1)*(nCURSO=A334)*(nASIG=B334)*(nNOTA=2))</f>
        <v>0</v>
      </c>
      <c r="N334">
        <f>SUMPRODUCT((nCUENTA=1)*(nCURSO=A334)*(nASIG=B334)*(nNOTA=3))</f>
        <v>0</v>
      </c>
      <c r="O334">
        <f>SUMPRODUCT((nCUENTA=1)*(nCURSO=A334)*(nASIG=B334)*(nNOTA=4))</f>
        <v>0</v>
      </c>
      <c r="P334">
        <f>SUMPRODUCT((nCUENTA=1)*(nCURSO=A334)*(nASIG=B334)*(nNOTA=5))</f>
        <v>0</v>
      </c>
      <c r="Q334">
        <f>SUMPRODUCT((nCUENTA=1)*(nCURSO=A334)*(nASIG=B334)*(nNOTA=6))</f>
        <v>0</v>
      </c>
      <c r="R334">
        <f>SUMPRODUCT((nCUENTA=1)*(nCURSO=A334)*(nASIG=B334)*(nNOTA=7))</f>
        <v>0</v>
      </c>
      <c r="S334">
        <f>SUMPRODUCT((nCUENTA=1)*(nCURSO=A334)*(nASIG=B334)*(nNOTA=8))</f>
        <v>0</v>
      </c>
      <c r="T334">
        <f>SUMPRODUCT((nCUENTA=1)*(nCURSO=A334)*(nASIG=B334)*(nNOTA=9))</f>
        <v>0</v>
      </c>
      <c r="U334">
        <f>SUMPRODUCT((nCUENTA=1)*(nCURSO=A334)*(nASIG=B334)*(nNOTA=10))</f>
        <v>0</v>
      </c>
    </row>
    <row r="335">
      <c r="A335" t="inlineStr">
        <is>
          <t xml:space="preserve">5EPM</t>
        </is>
      </c>
      <c r="B335" cm="1">
        <f t="array" ref="B335">IFERROR(INDEX(_xlfn._xlws.FILTER(CONFIG_ASIGNATURAS!$B$2:$B$91,(CONFIG_ASIGNATURAS!$G$2:$G$91="Sí")*ISNUMBER(SEARCH("5EPM",CONFIG_ASIGNATURAS!$C$2:$C$91))),12),"")</f>
      </c>
      <c r="C335">
        <f>IF(B335="","",IFERROR(VLOOKUP(B335,CONFIG_ASIGNATURAS!$B$2:$D$91,3,FALSE()),"Asignatura"))</f>
      </c>
      <c r="D335">
        <f>SUMPRODUCT((nCUENTA=1)*(nCURSO=A335)*(nASIG=B335))</f>
        <v>0</v>
      </c>
      <c r="E335" s="10" t="str">
        <f>IFERROR(SUMPRODUCT((nCUENTA=1)*(nCURSO=A335)*(nASIG=B335)*(nNOTA))/D335,"—")</f>
        <v>—</v>
      </c>
      <c r="F335" s="10" t="str" cm="1">
        <f t="array" ref="F335">IFERROR(_xlfn.STDEV.P(_xlfn._xlws.FILTER(nNOTA,(nCUENTA=1)*(nCURSO=A335)*(nASIG=B335))),"—")</f>
        <v>—</v>
      </c>
      <c r="G335" t="str" cm="1">
        <f t="array" ref="G335">IFERROR(_xlfn.MODE.SNGL(_xlfn._xlws.FILTER(nNOTA,(nCUENTA=1)*(nCURSO=A335)*(nASIG=B335))),"—")</f>
        <v>—</v>
      </c>
      <c r="H335" s="11" t="str">
        <f>IFERROR(SUMPRODUCT((nCUENTA=1)*(nCURSO=A335)*(nASIG=B335)*(nAPTO="S"))/D335,"—")</f>
        <v>—</v>
      </c>
      <c r="I335" s="11" t="str">
        <f>IFERROR(SUMPRODUCT((nCUENTA=1)*(nCURSO=A335)*(nASIG=B335)*(nAPTO="N"))/D335,"—")</f>
        <v>—</v>
      </c>
      <c r="J335" t="str" cm="1">
        <f t="array" ref="J335">IFERROR(_xlfn.MODE.SNGL(_xlfn._xlws.FILTER(nNOTA,(nCUENTA=1)*(nCURSO=A335)*(nASIG=B335)*(nAPTO="S"))),"—")</f>
        <v>—</v>
      </c>
      <c r="K335" t="str" cm="1">
        <f t="array" ref="K335">IFERROR(_xlfn.MODE.SNGL(_xlfn._xlws.FILTER(nNOTA,(nCUENTA=1)*(nCURSO=A335)*(nASIG=B335)*(nAPTO="N"))),"—")</f>
        <v>—</v>
      </c>
      <c r="L335">
        <f>SUMPRODUCT((nCUENTA=1)*(nCURSO=A335)*(nASIG=B335)*(nNOTA=1))</f>
        <v>0</v>
      </c>
      <c r="M335">
        <f>SUMPRODUCT((nCUENTA=1)*(nCURSO=A335)*(nASIG=B335)*(nNOTA=2))</f>
        <v>0</v>
      </c>
      <c r="N335">
        <f>SUMPRODUCT((nCUENTA=1)*(nCURSO=A335)*(nASIG=B335)*(nNOTA=3))</f>
        <v>0</v>
      </c>
      <c r="O335">
        <f>SUMPRODUCT((nCUENTA=1)*(nCURSO=A335)*(nASIG=B335)*(nNOTA=4))</f>
        <v>0</v>
      </c>
      <c r="P335">
        <f>SUMPRODUCT((nCUENTA=1)*(nCURSO=A335)*(nASIG=B335)*(nNOTA=5))</f>
        <v>0</v>
      </c>
      <c r="Q335">
        <f>SUMPRODUCT((nCUENTA=1)*(nCURSO=A335)*(nASIG=B335)*(nNOTA=6))</f>
        <v>0</v>
      </c>
      <c r="R335">
        <f>SUMPRODUCT((nCUENTA=1)*(nCURSO=A335)*(nASIG=B335)*(nNOTA=7))</f>
        <v>0</v>
      </c>
      <c r="S335">
        <f>SUMPRODUCT((nCUENTA=1)*(nCURSO=A335)*(nASIG=B335)*(nNOTA=8))</f>
        <v>0</v>
      </c>
      <c r="T335">
        <f>SUMPRODUCT((nCUENTA=1)*(nCURSO=A335)*(nASIG=B335)*(nNOTA=9))</f>
        <v>0</v>
      </c>
      <c r="U335">
        <f>SUMPRODUCT((nCUENTA=1)*(nCURSO=A335)*(nASIG=B335)*(nNOTA=10))</f>
        <v>0</v>
      </c>
    </row>
    <row r="336">
      <c r="A336" t="inlineStr">
        <is>
          <t xml:space="preserve">5EPM</t>
        </is>
      </c>
      <c r="B336" cm="1">
        <f t="array" ref="B336">IFERROR(INDEX(_xlfn._xlws.FILTER(CONFIG_ASIGNATURAS!$B$2:$B$91,(CONFIG_ASIGNATURAS!$G$2:$G$91="Sí")*ISNUMBER(SEARCH("5EPM",CONFIG_ASIGNATURAS!$C$2:$C$91))),13),"")</f>
      </c>
      <c r="C336">
        <f>IF(B336="","",IFERROR(VLOOKUP(B336,CONFIG_ASIGNATURAS!$B$2:$D$91,3,FALSE()),"Asignatura"))</f>
      </c>
      <c r="D336">
        <f>SUMPRODUCT((nCUENTA=1)*(nCURSO=A336)*(nASIG=B336))</f>
        <v>0</v>
      </c>
      <c r="E336" s="10" t="str">
        <f>IFERROR(SUMPRODUCT((nCUENTA=1)*(nCURSO=A336)*(nASIG=B336)*(nNOTA))/D336,"—")</f>
        <v>—</v>
      </c>
      <c r="F336" s="10" t="str" cm="1">
        <f t="array" ref="F336">IFERROR(_xlfn.STDEV.P(_xlfn._xlws.FILTER(nNOTA,(nCUENTA=1)*(nCURSO=A336)*(nASIG=B336))),"—")</f>
        <v>—</v>
      </c>
      <c r="G336" t="str" cm="1">
        <f t="array" ref="G336">IFERROR(_xlfn.MODE.SNGL(_xlfn._xlws.FILTER(nNOTA,(nCUENTA=1)*(nCURSO=A336)*(nASIG=B336))),"—")</f>
        <v>—</v>
      </c>
      <c r="H336" s="11" t="str">
        <f>IFERROR(SUMPRODUCT((nCUENTA=1)*(nCURSO=A336)*(nASIG=B336)*(nAPTO="S"))/D336,"—")</f>
        <v>—</v>
      </c>
      <c r="I336" s="11" t="str">
        <f>IFERROR(SUMPRODUCT((nCUENTA=1)*(nCURSO=A336)*(nASIG=B336)*(nAPTO="N"))/D336,"—")</f>
        <v>—</v>
      </c>
      <c r="J336" t="str" cm="1">
        <f t="array" ref="J336">IFERROR(_xlfn.MODE.SNGL(_xlfn._xlws.FILTER(nNOTA,(nCUENTA=1)*(nCURSO=A336)*(nASIG=B336)*(nAPTO="S"))),"—")</f>
        <v>—</v>
      </c>
      <c r="K336" t="str" cm="1">
        <f t="array" ref="K336">IFERROR(_xlfn.MODE.SNGL(_xlfn._xlws.FILTER(nNOTA,(nCUENTA=1)*(nCURSO=A336)*(nASIG=B336)*(nAPTO="N"))),"—")</f>
        <v>—</v>
      </c>
      <c r="L336">
        <f>SUMPRODUCT((nCUENTA=1)*(nCURSO=A336)*(nASIG=B336)*(nNOTA=1))</f>
        <v>0</v>
      </c>
      <c r="M336">
        <f>SUMPRODUCT((nCUENTA=1)*(nCURSO=A336)*(nASIG=B336)*(nNOTA=2))</f>
        <v>0</v>
      </c>
      <c r="N336">
        <f>SUMPRODUCT((nCUENTA=1)*(nCURSO=A336)*(nASIG=B336)*(nNOTA=3))</f>
        <v>0</v>
      </c>
      <c r="O336">
        <f>SUMPRODUCT((nCUENTA=1)*(nCURSO=A336)*(nASIG=B336)*(nNOTA=4))</f>
        <v>0</v>
      </c>
      <c r="P336">
        <f>SUMPRODUCT((nCUENTA=1)*(nCURSO=A336)*(nASIG=B336)*(nNOTA=5))</f>
        <v>0</v>
      </c>
      <c r="Q336">
        <f>SUMPRODUCT((nCUENTA=1)*(nCURSO=A336)*(nASIG=B336)*(nNOTA=6))</f>
        <v>0</v>
      </c>
      <c r="R336">
        <f>SUMPRODUCT((nCUENTA=1)*(nCURSO=A336)*(nASIG=B336)*(nNOTA=7))</f>
        <v>0</v>
      </c>
      <c r="S336">
        <f>SUMPRODUCT((nCUENTA=1)*(nCURSO=A336)*(nASIG=B336)*(nNOTA=8))</f>
        <v>0</v>
      </c>
      <c r="T336">
        <f>SUMPRODUCT((nCUENTA=1)*(nCURSO=A336)*(nASIG=B336)*(nNOTA=9))</f>
        <v>0</v>
      </c>
      <c r="U336">
        <f>SUMPRODUCT((nCUENTA=1)*(nCURSO=A336)*(nASIG=B336)*(nNOTA=10))</f>
        <v>0</v>
      </c>
    </row>
    <row r="337">
      <c r="A337" t="inlineStr">
        <is>
          <t xml:space="preserve">5EPM</t>
        </is>
      </c>
      <c r="B337" cm="1">
        <f t="array" ref="B337">IFERROR(INDEX(_xlfn._xlws.FILTER(CONFIG_ASIGNATURAS!$B$2:$B$91,(CONFIG_ASIGNATURAS!$G$2:$G$91="Sí")*ISNUMBER(SEARCH("5EPM",CONFIG_ASIGNATURAS!$C$2:$C$91))),14),"")</f>
      </c>
      <c r="C337">
        <f>IF(B337="","",IFERROR(VLOOKUP(B337,CONFIG_ASIGNATURAS!$B$2:$D$91,3,FALSE()),"Asignatura"))</f>
      </c>
      <c r="D337">
        <f>SUMPRODUCT((nCUENTA=1)*(nCURSO=A337)*(nASIG=B337))</f>
        <v>0</v>
      </c>
      <c r="E337" s="10" t="str">
        <f>IFERROR(SUMPRODUCT((nCUENTA=1)*(nCURSO=A337)*(nASIG=B337)*(nNOTA))/D337,"—")</f>
        <v>—</v>
      </c>
      <c r="F337" s="10" t="str" cm="1">
        <f t="array" ref="F337">IFERROR(_xlfn.STDEV.P(_xlfn._xlws.FILTER(nNOTA,(nCUENTA=1)*(nCURSO=A337)*(nASIG=B337))),"—")</f>
        <v>—</v>
      </c>
      <c r="G337" t="str" cm="1">
        <f t="array" ref="G337">IFERROR(_xlfn.MODE.SNGL(_xlfn._xlws.FILTER(nNOTA,(nCUENTA=1)*(nCURSO=A337)*(nASIG=B337))),"—")</f>
        <v>—</v>
      </c>
      <c r="H337" s="11" t="str">
        <f>IFERROR(SUMPRODUCT((nCUENTA=1)*(nCURSO=A337)*(nASIG=B337)*(nAPTO="S"))/D337,"—")</f>
        <v>—</v>
      </c>
      <c r="I337" s="11" t="str">
        <f>IFERROR(SUMPRODUCT((nCUENTA=1)*(nCURSO=A337)*(nASIG=B337)*(nAPTO="N"))/D337,"—")</f>
        <v>—</v>
      </c>
      <c r="J337" t="str" cm="1">
        <f t="array" ref="J337">IFERROR(_xlfn.MODE.SNGL(_xlfn._xlws.FILTER(nNOTA,(nCUENTA=1)*(nCURSO=A337)*(nASIG=B337)*(nAPTO="S"))),"—")</f>
        <v>—</v>
      </c>
      <c r="K337" t="str" cm="1">
        <f t="array" ref="K337">IFERROR(_xlfn.MODE.SNGL(_xlfn._xlws.FILTER(nNOTA,(nCUENTA=1)*(nCURSO=A337)*(nASIG=B337)*(nAPTO="N"))),"—")</f>
        <v>—</v>
      </c>
      <c r="L337">
        <f>SUMPRODUCT((nCUENTA=1)*(nCURSO=A337)*(nASIG=B337)*(nNOTA=1))</f>
        <v>0</v>
      </c>
      <c r="M337">
        <f>SUMPRODUCT((nCUENTA=1)*(nCURSO=A337)*(nASIG=B337)*(nNOTA=2))</f>
        <v>0</v>
      </c>
      <c r="N337">
        <f>SUMPRODUCT((nCUENTA=1)*(nCURSO=A337)*(nASIG=B337)*(nNOTA=3))</f>
        <v>0</v>
      </c>
      <c r="O337">
        <f>SUMPRODUCT((nCUENTA=1)*(nCURSO=A337)*(nASIG=B337)*(nNOTA=4))</f>
        <v>0</v>
      </c>
      <c r="P337">
        <f>SUMPRODUCT((nCUENTA=1)*(nCURSO=A337)*(nASIG=B337)*(nNOTA=5))</f>
        <v>0</v>
      </c>
      <c r="Q337">
        <f>SUMPRODUCT((nCUENTA=1)*(nCURSO=A337)*(nASIG=B337)*(nNOTA=6))</f>
        <v>0</v>
      </c>
      <c r="R337">
        <f>SUMPRODUCT((nCUENTA=1)*(nCURSO=A337)*(nASIG=B337)*(nNOTA=7))</f>
        <v>0</v>
      </c>
      <c r="S337">
        <f>SUMPRODUCT((nCUENTA=1)*(nCURSO=A337)*(nASIG=B337)*(nNOTA=8))</f>
        <v>0</v>
      </c>
      <c r="T337">
        <f>SUMPRODUCT((nCUENTA=1)*(nCURSO=A337)*(nASIG=B337)*(nNOTA=9))</f>
        <v>0</v>
      </c>
      <c r="U337">
        <f>SUMPRODUCT((nCUENTA=1)*(nCURSO=A337)*(nASIG=B337)*(nNOTA=10))</f>
        <v>0</v>
      </c>
    </row>
    <row r="338">
      <c r="A338" t="inlineStr">
        <is>
          <t xml:space="preserve">5EPM</t>
        </is>
      </c>
      <c r="B338" cm="1">
        <f t="array" ref="B338">IFERROR(INDEX(_xlfn._xlws.FILTER(CONFIG_ASIGNATURAS!$B$2:$B$91,(CONFIG_ASIGNATURAS!$G$2:$G$91="Sí")*ISNUMBER(SEARCH("5EPM",CONFIG_ASIGNATURAS!$C$2:$C$91))),15),"")</f>
      </c>
      <c r="C338">
        <f>IF(B338="","",IFERROR(VLOOKUP(B338,CONFIG_ASIGNATURAS!$B$2:$D$91,3,FALSE()),"Asignatura"))</f>
      </c>
      <c r="D338">
        <f>SUMPRODUCT((nCUENTA=1)*(nCURSO=A338)*(nASIG=B338))</f>
        <v>0</v>
      </c>
      <c r="E338" s="10" t="str">
        <f>IFERROR(SUMPRODUCT((nCUENTA=1)*(nCURSO=A338)*(nASIG=B338)*(nNOTA))/D338,"—")</f>
        <v>—</v>
      </c>
      <c r="F338" s="10" t="str" cm="1">
        <f t="array" ref="F338">IFERROR(_xlfn.STDEV.P(_xlfn._xlws.FILTER(nNOTA,(nCUENTA=1)*(nCURSO=A338)*(nASIG=B338))),"—")</f>
        <v>—</v>
      </c>
      <c r="G338" t="str" cm="1">
        <f t="array" ref="G338">IFERROR(_xlfn.MODE.SNGL(_xlfn._xlws.FILTER(nNOTA,(nCUENTA=1)*(nCURSO=A338)*(nASIG=B338))),"—")</f>
        <v>—</v>
      </c>
      <c r="H338" s="11" t="str">
        <f>IFERROR(SUMPRODUCT((nCUENTA=1)*(nCURSO=A338)*(nASIG=B338)*(nAPTO="S"))/D338,"—")</f>
        <v>—</v>
      </c>
      <c r="I338" s="11" t="str">
        <f>IFERROR(SUMPRODUCT((nCUENTA=1)*(nCURSO=A338)*(nASIG=B338)*(nAPTO="N"))/D338,"—")</f>
        <v>—</v>
      </c>
      <c r="J338" t="str" cm="1">
        <f t="array" ref="J338">IFERROR(_xlfn.MODE.SNGL(_xlfn._xlws.FILTER(nNOTA,(nCUENTA=1)*(nCURSO=A338)*(nASIG=B338)*(nAPTO="S"))),"—")</f>
        <v>—</v>
      </c>
      <c r="K338" t="str" cm="1">
        <f t="array" ref="K338">IFERROR(_xlfn.MODE.SNGL(_xlfn._xlws.FILTER(nNOTA,(nCUENTA=1)*(nCURSO=A338)*(nASIG=B338)*(nAPTO="N"))),"—")</f>
        <v>—</v>
      </c>
      <c r="L338">
        <f>SUMPRODUCT((nCUENTA=1)*(nCURSO=A338)*(nASIG=B338)*(nNOTA=1))</f>
        <v>0</v>
      </c>
      <c r="M338">
        <f>SUMPRODUCT((nCUENTA=1)*(nCURSO=A338)*(nASIG=B338)*(nNOTA=2))</f>
        <v>0</v>
      </c>
      <c r="N338">
        <f>SUMPRODUCT((nCUENTA=1)*(nCURSO=A338)*(nASIG=B338)*(nNOTA=3))</f>
        <v>0</v>
      </c>
      <c r="O338">
        <f>SUMPRODUCT((nCUENTA=1)*(nCURSO=A338)*(nASIG=B338)*(nNOTA=4))</f>
        <v>0</v>
      </c>
      <c r="P338">
        <f>SUMPRODUCT((nCUENTA=1)*(nCURSO=A338)*(nASIG=B338)*(nNOTA=5))</f>
        <v>0</v>
      </c>
      <c r="Q338">
        <f>SUMPRODUCT((nCUENTA=1)*(nCURSO=A338)*(nASIG=B338)*(nNOTA=6))</f>
        <v>0</v>
      </c>
      <c r="R338">
        <f>SUMPRODUCT((nCUENTA=1)*(nCURSO=A338)*(nASIG=B338)*(nNOTA=7))</f>
        <v>0</v>
      </c>
      <c r="S338">
        <f>SUMPRODUCT((nCUENTA=1)*(nCURSO=A338)*(nASIG=B338)*(nNOTA=8))</f>
        <v>0</v>
      </c>
      <c r="T338">
        <f>SUMPRODUCT((nCUENTA=1)*(nCURSO=A338)*(nASIG=B338)*(nNOTA=9))</f>
        <v>0</v>
      </c>
      <c r="U338">
        <f>SUMPRODUCT((nCUENTA=1)*(nCURSO=A338)*(nASIG=B338)*(nNOTA=10))</f>
        <v>0</v>
      </c>
    </row>
    <row r="339">
      <c r="A339" t="inlineStr">
        <is>
          <t xml:space="preserve">5EPM</t>
        </is>
      </c>
      <c r="B339" cm="1">
        <f t="array" ref="B339">IFERROR(INDEX(_xlfn._xlws.FILTER(CONFIG_ASIGNATURAS!$B$2:$B$91,(CONFIG_ASIGNATURAS!$G$2:$G$91="Sí")*ISNUMBER(SEARCH("5EPM",CONFIG_ASIGNATURAS!$C$2:$C$91))),16),"")</f>
      </c>
      <c r="C339">
        <f>IF(B339="","",IFERROR(VLOOKUP(B339,CONFIG_ASIGNATURAS!$B$2:$D$91,3,FALSE()),"Asignatura"))</f>
      </c>
      <c r="D339">
        <f>SUMPRODUCT((nCUENTA=1)*(nCURSO=A339)*(nASIG=B339))</f>
        <v>0</v>
      </c>
      <c r="E339" s="10" t="str">
        <f>IFERROR(SUMPRODUCT((nCUENTA=1)*(nCURSO=A339)*(nASIG=B339)*(nNOTA))/D339,"—")</f>
        <v>—</v>
      </c>
      <c r="F339" s="10" t="str" cm="1">
        <f t="array" ref="F339">IFERROR(_xlfn.STDEV.P(_xlfn._xlws.FILTER(nNOTA,(nCUENTA=1)*(nCURSO=A339)*(nASIG=B339))),"—")</f>
        <v>—</v>
      </c>
      <c r="G339" t="str" cm="1">
        <f t="array" ref="G339">IFERROR(_xlfn.MODE.SNGL(_xlfn._xlws.FILTER(nNOTA,(nCUENTA=1)*(nCURSO=A339)*(nASIG=B339))),"—")</f>
        <v>—</v>
      </c>
      <c r="H339" s="11" t="str">
        <f>IFERROR(SUMPRODUCT((nCUENTA=1)*(nCURSO=A339)*(nASIG=B339)*(nAPTO="S"))/D339,"—")</f>
        <v>—</v>
      </c>
      <c r="I339" s="11" t="str">
        <f>IFERROR(SUMPRODUCT((nCUENTA=1)*(nCURSO=A339)*(nASIG=B339)*(nAPTO="N"))/D339,"—")</f>
        <v>—</v>
      </c>
      <c r="J339" t="str" cm="1">
        <f t="array" ref="J339">IFERROR(_xlfn.MODE.SNGL(_xlfn._xlws.FILTER(nNOTA,(nCUENTA=1)*(nCURSO=A339)*(nASIG=B339)*(nAPTO="S"))),"—")</f>
        <v>—</v>
      </c>
      <c r="K339" t="str" cm="1">
        <f t="array" ref="K339">IFERROR(_xlfn.MODE.SNGL(_xlfn._xlws.FILTER(nNOTA,(nCUENTA=1)*(nCURSO=A339)*(nASIG=B339)*(nAPTO="N"))),"—")</f>
        <v>—</v>
      </c>
      <c r="L339">
        <f>SUMPRODUCT((nCUENTA=1)*(nCURSO=A339)*(nASIG=B339)*(nNOTA=1))</f>
        <v>0</v>
      </c>
      <c r="M339">
        <f>SUMPRODUCT((nCUENTA=1)*(nCURSO=A339)*(nASIG=B339)*(nNOTA=2))</f>
        <v>0</v>
      </c>
      <c r="N339">
        <f>SUMPRODUCT((nCUENTA=1)*(nCURSO=A339)*(nASIG=B339)*(nNOTA=3))</f>
        <v>0</v>
      </c>
      <c r="O339">
        <f>SUMPRODUCT((nCUENTA=1)*(nCURSO=A339)*(nASIG=B339)*(nNOTA=4))</f>
        <v>0</v>
      </c>
      <c r="P339">
        <f>SUMPRODUCT((nCUENTA=1)*(nCURSO=A339)*(nASIG=B339)*(nNOTA=5))</f>
        <v>0</v>
      </c>
      <c r="Q339">
        <f>SUMPRODUCT((nCUENTA=1)*(nCURSO=A339)*(nASIG=B339)*(nNOTA=6))</f>
        <v>0</v>
      </c>
      <c r="R339">
        <f>SUMPRODUCT((nCUENTA=1)*(nCURSO=A339)*(nASIG=B339)*(nNOTA=7))</f>
        <v>0</v>
      </c>
      <c r="S339">
        <f>SUMPRODUCT((nCUENTA=1)*(nCURSO=A339)*(nASIG=B339)*(nNOTA=8))</f>
        <v>0</v>
      </c>
      <c r="T339">
        <f>SUMPRODUCT((nCUENTA=1)*(nCURSO=A339)*(nASIG=B339)*(nNOTA=9))</f>
        <v>0</v>
      </c>
      <c r="U339">
        <f>SUMPRODUCT((nCUENTA=1)*(nCURSO=A339)*(nASIG=B339)*(nNOTA=10))</f>
        <v>0</v>
      </c>
    </row>
    <row r="340">
      <c r="A340" t="inlineStr">
        <is>
          <t xml:space="preserve">5EPM</t>
        </is>
      </c>
      <c r="B340" cm="1">
        <f t="array" ref="B340">IFERROR(INDEX(_xlfn._xlws.FILTER(CONFIG_ASIGNATURAS!$B$2:$B$91,(CONFIG_ASIGNATURAS!$G$2:$G$91="Sí")*ISNUMBER(SEARCH("5EPM",CONFIG_ASIGNATURAS!$C$2:$C$91))),17),"")</f>
      </c>
      <c r="C340">
        <f>IF(B340="","",IFERROR(VLOOKUP(B340,CONFIG_ASIGNATURAS!$B$2:$D$91,3,FALSE()),"Asignatura"))</f>
      </c>
      <c r="D340">
        <f>SUMPRODUCT((nCUENTA=1)*(nCURSO=A340)*(nASIG=B340))</f>
        <v>0</v>
      </c>
      <c r="E340" s="10" t="str">
        <f>IFERROR(SUMPRODUCT((nCUENTA=1)*(nCURSO=A340)*(nASIG=B340)*(nNOTA))/D340,"—")</f>
        <v>—</v>
      </c>
      <c r="F340" s="10" t="str" cm="1">
        <f t="array" ref="F340">IFERROR(_xlfn.STDEV.P(_xlfn._xlws.FILTER(nNOTA,(nCUENTA=1)*(nCURSO=A340)*(nASIG=B340))),"—")</f>
        <v>—</v>
      </c>
      <c r="G340" t="str" cm="1">
        <f t="array" ref="G340">IFERROR(_xlfn.MODE.SNGL(_xlfn._xlws.FILTER(nNOTA,(nCUENTA=1)*(nCURSO=A340)*(nASIG=B340))),"—")</f>
        <v>—</v>
      </c>
      <c r="H340" s="11" t="str">
        <f>IFERROR(SUMPRODUCT((nCUENTA=1)*(nCURSO=A340)*(nASIG=B340)*(nAPTO="S"))/D340,"—")</f>
        <v>—</v>
      </c>
      <c r="I340" s="11" t="str">
        <f>IFERROR(SUMPRODUCT((nCUENTA=1)*(nCURSO=A340)*(nASIG=B340)*(nAPTO="N"))/D340,"—")</f>
        <v>—</v>
      </c>
      <c r="J340" t="str" cm="1">
        <f t="array" ref="J340">IFERROR(_xlfn.MODE.SNGL(_xlfn._xlws.FILTER(nNOTA,(nCUENTA=1)*(nCURSO=A340)*(nASIG=B340)*(nAPTO="S"))),"—")</f>
        <v>—</v>
      </c>
      <c r="K340" t="str" cm="1">
        <f t="array" ref="K340">IFERROR(_xlfn.MODE.SNGL(_xlfn._xlws.FILTER(nNOTA,(nCUENTA=1)*(nCURSO=A340)*(nASIG=B340)*(nAPTO="N"))),"—")</f>
        <v>—</v>
      </c>
      <c r="L340">
        <f>SUMPRODUCT((nCUENTA=1)*(nCURSO=A340)*(nASIG=B340)*(nNOTA=1))</f>
        <v>0</v>
      </c>
      <c r="M340">
        <f>SUMPRODUCT((nCUENTA=1)*(nCURSO=A340)*(nASIG=B340)*(nNOTA=2))</f>
        <v>0</v>
      </c>
      <c r="N340">
        <f>SUMPRODUCT((nCUENTA=1)*(nCURSO=A340)*(nASIG=B340)*(nNOTA=3))</f>
        <v>0</v>
      </c>
      <c r="O340">
        <f>SUMPRODUCT((nCUENTA=1)*(nCURSO=A340)*(nASIG=B340)*(nNOTA=4))</f>
        <v>0</v>
      </c>
      <c r="P340">
        <f>SUMPRODUCT((nCUENTA=1)*(nCURSO=A340)*(nASIG=B340)*(nNOTA=5))</f>
        <v>0</v>
      </c>
      <c r="Q340">
        <f>SUMPRODUCT((nCUENTA=1)*(nCURSO=A340)*(nASIG=B340)*(nNOTA=6))</f>
        <v>0</v>
      </c>
      <c r="R340">
        <f>SUMPRODUCT((nCUENTA=1)*(nCURSO=A340)*(nASIG=B340)*(nNOTA=7))</f>
        <v>0</v>
      </c>
      <c r="S340">
        <f>SUMPRODUCT((nCUENTA=1)*(nCURSO=A340)*(nASIG=B340)*(nNOTA=8))</f>
        <v>0</v>
      </c>
      <c r="T340">
        <f>SUMPRODUCT((nCUENTA=1)*(nCURSO=A340)*(nASIG=B340)*(nNOTA=9))</f>
        <v>0</v>
      </c>
      <c r="U340">
        <f>SUMPRODUCT((nCUENTA=1)*(nCURSO=A340)*(nASIG=B340)*(nNOTA=10))</f>
        <v>0</v>
      </c>
    </row>
    <row r="341">
      <c r="A341" t="inlineStr">
        <is>
          <t xml:space="preserve">5EPM</t>
        </is>
      </c>
      <c r="B341" cm="1">
        <f t="array" ref="B341">IFERROR(INDEX(_xlfn._xlws.FILTER(CONFIG_ASIGNATURAS!$B$2:$B$91,(CONFIG_ASIGNATURAS!$G$2:$G$91="Sí")*ISNUMBER(SEARCH("5EPM",CONFIG_ASIGNATURAS!$C$2:$C$91))),18),"")</f>
      </c>
      <c r="C341">
        <f>IF(B341="","",IFERROR(VLOOKUP(B341,CONFIG_ASIGNATURAS!$B$2:$D$91,3,FALSE()),"Asignatura"))</f>
      </c>
      <c r="D341">
        <f>SUMPRODUCT((nCUENTA=1)*(nCURSO=A341)*(nASIG=B341))</f>
        <v>0</v>
      </c>
      <c r="E341" s="10" t="str">
        <f>IFERROR(SUMPRODUCT((nCUENTA=1)*(nCURSO=A341)*(nASIG=B341)*(nNOTA))/D341,"—")</f>
        <v>—</v>
      </c>
      <c r="F341" s="10" t="str" cm="1">
        <f t="array" ref="F341">IFERROR(_xlfn.STDEV.P(_xlfn._xlws.FILTER(nNOTA,(nCUENTA=1)*(nCURSO=A341)*(nASIG=B341))),"—")</f>
        <v>—</v>
      </c>
      <c r="G341" t="str" cm="1">
        <f t="array" ref="G341">IFERROR(_xlfn.MODE.SNGL(_xlfn._xlws.FILTER(nNOTA,(nCUENTA=1)*(nCURSO=A341)*(nASIG=B341))),"—")</f>
        <v>—</v>
      </c>
      <c r="H341" s="11" t="str">
        <f>IFERROR(SUMPRODUCT((nCUENTA=1)*(nCURSO=A341)*(nASIG=B341)*(nAPTO="S"))/D341,"—")</f>
        <v>—</v>
      </c>
      <c r="I341" s="11" t="str">
        <f>IFERROR(SUMPRODUCT((nCUENTA=1)*(nCURSO=A341)*(nASIG=B341)*(nAPTO="N"))/D341,"—")</f>
        <v>—</v>
      </c>
      <c r="J341" t="str" cm="1">
        <f t="array" ref="J341">IFERROR(_xlfn.MODE.SNGL(_xlfn._xlws.FILTER(nNOTA,(nCUENTA=1)*(nCURSO=A341)*(nASIG=B341)*(nAPTO="S"))),"—")</f>
        <v>—</v>
      </c>
      <c r="K341" t="str" cm="1">
        <f t="array" ref="K341">IFERROR(_xlfn.MODE.SNGL(_xlfn._xlws.FILTER(nNOTA,(nCUENTA=1)*(nCURSO=A341)*(nASIG=B341)*(nAPTO="N"))),"—")</f>
        <v>—</v>
      </c>
      <c r="L341">
        <f>SUMPRODUCT((nCUENTA=1)*(nCURSO=A341)*(nASIG=B341)*(nNOTA=1))</f>
        <v>0</v>
      </c>
      <c r="M341">
        <f>SUMPRODUCT((nCUENTA=1)*(nCURSO=A341)*(nASIG=B341)*(nNOTA=2))</f>
        <v>0</v>
      </c>
      <c r="N341">
        <f>SUMPRODUCT((nCUENTA=1)*(nCURSO=A341)*(nASIG=B341)*(nNOTA=3))</f>
        <v>0</v>
      </c>
      <c r="O341">
        <f>SUMPRODUCT((nCUENTA=1)*(nCURSO=A341)*(nASIG=B341)*(nNOTA=4))</f>
        <v>0</v>
      </c>
      <c r="P341">
        <f>SUMPRODUCT((nCUENTA=1)*(nCURSO=A341)*(nASIG=B341)*(nNOTA=5))</f>
        <v>0</v>
      </c>
      <c r="Q341">
        <f>SUMPRODUCT((nCUENTA=1)*(nCURSO=A341)*(nASIG=B341)*(nNOTA=6))</f>
        <v>0</v>
      </c>
      <c r="R341">
        <f>SUMPRODUCT((nCUENTA=1)*(nCURSO=A341)*(nASIG=B341)*(nNOTA=7))</f>
        <v>0</v>
      </c>
      <c r="S341">
        <f>SUMPRODUCT((nCUENTA=1)*(nCURSO=A341)*(nASIG=B341)*(nNOTA=8))</f>
        <v>0</v>
      </c>
      <c r="T341">
        <f>SUMPRODUCT((nCUENTA=1)*(nCURSO=A341)*(nASIG=B341)*(nNOTA=9))</f>
        <v>0</v>
      </c>
      <c r="U341">
        <f>SUMPRODUCT((nCUENTA=1)*(nCURSO=A341)*(nASIG=B341)*(nNOTA=10))</f>
        <v>0</v>
      </c>
    </row>
    <row r="342">
      <c r="A342" t="inlineStr">
        <is>
          <t xml:space="preserve">5EPM</t>
        </is>
      </c>
      <c r="B342" cm="1">
        <f t="array" ref="B342">IFERROR(INDEX(_xlfn._xlws.FILTER(CONFIG_ASIGNATURAS!$B$2:$B$91,(CONFIG_ASIGNATURAS!$G$2:$G$91="Sí")*ISNUMBER(SEARCH("5EPM",CONFIG_ASIGNATURAS!$C$2:$C$91))),19),"")</f>
      </c>
      <c r="C342">
        <f>IF(B342="","",IFERROR(VLOOKUP(B342,CONFIG_ASIGNATURAS!$B$2:$D$91,3,FALSE()),"Asignatura"))</f>
      </c>
      <c r="D342">
        <f>SUMPRODUCT((nCUENTA=1)*(nCURSO=A342)*(nASIG=B342))</f>
        <v>0</v>
      </c>
      <c r="E342" s="10" t="str">
        <f>IFERROR(SUMPRODUCT((nCUENTA=1)*(nCURSO=A342)*(nASIG=B342)*(nNOTA))/D342,"—")</f>
        <v>—</v>
      </c>
      <c r="F342" s="10" t="str" cm="1">
        <f t="array" ref="F342">IFERROR(_xlfn.STDEV.P(_xlfn._xlws.FILTER(nNOTA,(nCUENTA=1)*(nCURSO=A342)*(nASIG=B342))),"—")</f>
        <v>—</v>
      </c>
      <c r="G342" t="str" cm="1">
        <f t="array" ref="G342">IFERROR(_xlfn.MODE.SNGL(_xlfn._xlws.FILTER(nNOTA,(nCUENTA=1)*(nCURSO=A342)*(nASIG=B342))),"—")</f>
        <v>—</v>
      </c>
      <c r="H342" s="11" t="str">
        <f>IFERROR(SUMPRODUCT((nCUENTA=1)*(nCURSO=A342)*(nASIG=B342)*(nAPTO="S"))/D342,"—")</f>
        <v>—</v>
      </c>
      <c r="I342" s="11" t="str">
        <f>IFERROR(SUMPRODUCT((nCUENTA=1)*(nCURSO=A342)*(nASIG=B342)*(nAPTO="N"))/D342,"—")</f>
        <v>—</v>
      </c>
      <c r="J342" t="str" cm="1">
        <f t="array" ref="J342">IFERROR(_xlfn.MODE.SNGL(_xlfn._xlws.FILTER(nNOTA,(nCUENTA=1)*(nCURSO=A342)*(nASIG=B342)*(nAPTO="S"))),"—")</f>
        <v>—</v>
      </c>
      <c r="K342" t="str" cm="1">
        <f t="array" ref="K342">IFERROR(_xlfn.MODE.SNGL(_xlfn._xlws.FILTER(nNOTA,(nCUENTA=1)*(nCURSO=A342)*(nASIG=B342)*(nAPTO="N"))),"—")</f>
        <v>—</v>
      </c>
      <c r="L342">
        <f>SUMPRODUCT((nCUENTA=1)*(nCURSO=A342)*(nASIG=B342)*(nNOTA=1))</f>
        <v>0</v>
      </c>
      <c r="M342">
        <f>SUMPRODUCT((nCUENTA=1)*(nCURSO=A342)*(nASIG=B342)*(nNOTA=2))</f>
        <v>0</v>
      </c>
      <c r="N342">
        <f>SUMPRODUCT((nCUENTA=1)*(nCURSO=A342)*(nASIG=B342)*(nNOTA=3))</f>
        <v>0</v>
      </c>
      <c r="O342">
        <f>SUMPRODUCT((nCUENTA=1)*(nCURSO=A342)*(nASIG=B342)*(nNOTA=4))</f>
        <v>0</v>
      </c>
      <c r="P342">
        <f>SUMPRODUCT((nCUENTA=1)*(nCURSO=A342)*(nASIG=B342)*(nNOTA=5))</f>
        <v>0</v>
      </c>
      <c r="Q342">
        <f>SUMPRODUCT((nCUENTA=1)*(nCURSO=A342)*(nASIG=B342)*(nNOTA=6))</f>
        <v>0</v>
      </c>
      <c r="R342">
        <f>SUMPRODUCT((nCUENTA=1)*(nCURSO=A342)*(nASIG=B342)*(nNOTA=7))</f>
        <v>0</v>
      </c>
      <c r="S342">
        <f>SUMPRODUCT((nCUENTA=1)*(nCURSO=A342)*(nASIG=B342)*(nNOTA=8))</f>
        <v>0</v>
      </c>
      <c r="T342">
        <f>SUMPRODUCT((nCUENTA=1)*(nCURSO=A342)*(nASIG=B342)*(nNOTA=9))</f>
        <v>0</v>
      </c>
      <c r="U342">
        <f>SUMPRODUCT((nCUENTA=1)*(nCURSO=A342)*(nASIG=B342)*(nNOTA=10))</f>
        <v>0</v>
      </c>
    </row>
    <row r="343">
      <c r="A343" t="inlineStr">
        <is>
          <t xml:space="preserve">5EPM</t>
        </is>
      </c>
      <c r="B343" cm="1">
        <f t="array" ref="B343">IFERROR(INDEX(_xlfn._xlws.FILTER(CONFIG_ASIGNATURAS!$B$2:$B$91,(CONFIG_ASIGNATURAS!$G$2:$G$91="Sí")*ISNUMBER(SEARCH("5EPM",CONFIG_ASIGNATURAS!$C$2:$C$91))),20),"")</f>
      </c>
      <c r="C343">
        <f>IF(B343="","",IFERROR(VLOOKUP(B343,CONFIG_ASIGNATURAS!$B$2:$D$91,3,FALSE()),"Asignatura"))</f>
      </c>
      <c r="D343">
        <f>SUMPRODUCT((nCUENTA=1)*(nCURSO=A343)*(nASIG=B343))</f>
        <v>0</v>
      </c>
      <c r="E343" s="10" t="str">
        <f>IFERROR(SUMPRODUCT((nCUENTA=1)*(nCURSO=A343)*(nASIG=B343)*(nNOTA))/D343,"—")</f>
        <v>—</v>
      </c>
      <c r="F343" s="10" t="str" cm="1">
        <f t="array" ref="F343">IFERROR(_xlfn.STDEV.P(_xlfn._xlws.FILTER(nNOTA,(nCUENTA=1)*(nCURSO=A343)*(nASIG=B343))),"—")</f>
        <v>—</v>
      </c>
      <c r="G343" t="str" cm="1">
        <f t="array" ref="G343">IFERROR(_xlfn.MODE.SNGL(_xlfn._xlws.FILTER(nNOTA,(nCUENTA=1)*(nCURSO=A343)*(nASIG=B343))),"—")</f>
        <v>—</v>
      </c>
      <c r="H343" s="11" t="str">
        <f>IFERROR(SUMPRODUCT((nCUENTA=1)*(nCURSO=A343)*(nASIG=B343)*(nAPTO="S"))/D343,"—")</f>
        <v>—</v>
      </c>
      <c r="I343" s="11" t="str">
        <f>IFERROR(SUMPRODUCT((nCUENTA=1)*(nCURSO=A343)*(nASIG=B343)*(nAPTO="N"))/D343,"—")</f>
        <v>—</v>
      </c>
      <c r="J343" t="str" cm="1">
        <f t="array" ref="J343">IFERROR(_xlfn.MODE.SNGL(_xlfn._xlws.FILTER(nNOTA,(nCUENTA=1)*(nCURSO=A343)*(nASIG=B343)*(nAPTO="S"))),"—")</f>
        <v>—</v>
      </c>
      <c r="K343" t="str" cm="1">
        <f t="array" ref="K343">IFERROR(_xlfn.MODE.SNGL(_xlfn._xlws.FILTER(nNOTA,(nCUENTA=1)*(nCURSO=A343)*(nASIG=B343)*(nAPTO="N"))),"—")</f>
        <v>—</v>
      </c>
      <c r="L343">
        <f>SUMPRODUCT((nCUENTA=1)*(nCURSO=A343)*(nASIG=B343)*(nNOTA=1))</f>
        <v>0</v>
      </c>
      <c r="M343">
        <f>SUMPRODUCT((nCUENTA=1)*(nCURSO=A343)*(nASIG=B343)*(nNOTA=2))</f>
        <v>0</v>
      </c>
      <c r="N343">
        <f>SUMPRODUCT((nCUENTA=1)*(nCURSO=A343)*(nASIG=B343)*(nNOTA=3))</f>
        <v>0</v>
      </c>
      <c r="O343">
        <f>SUMPRODUCT((nCUENTA=1)*(nCURSO=A343)*(nASIG=B343)*(nNOTA=4))</f>
        <v>0</v>
      </c>
      <c r="P343">
        <f>SUMPRODUCT((nCUENTA=1)*(nCURSO=A343)*(nASIG=B343)*(nNOTA=5))</f>
        <v>0</v>
      </c>
      <c r="Q343">
        <f>SUMPRODUCT((nCUENTA=1)*(nCURSO=A343)*(nASIG=B343)*(nNOTA=6))</f>
        <v>0</v>
      </c>
      <c r="R343">
        <f>SUMPRODUCT((nCUENTA=1)*(nCURSO=A343)*(nASIG=B343)*(nNOTA=7))</f>
        <v>0</v>
      </c>
      <c r="S343">
        <f>SUMPRODUCT((nCUENTA=1)*(nCURSO=A343)*(nASIG=B343)*(nNOTA=8))</f>
        <v>0</v>
      </c>
      <c r="T343">
        <f>SUMPRODUCT((nCUENTA=1)*(nCURSO=A343)*(nASIG=B343)*(nNOTA=9))</f>
        <v>0</v>
      </c>
      <c r="U343">
        <f>SUMPRODUCT((nCUENTA=1)*(nCURSO=A343)*(nASIG=B343)*(nNOTA=10))</f>
        <v>0</v>
      </c>
    </row>
    <row r="344">
      <c r="A344" t="inlineStr">
        <is>
          <t xml:space="preserve">5EPM</t>
        </is>
      </c>
      <c r="B344" cm="1">
        <f t="array" ref="B344">IFERROR(INDEX(_xlfn._xlws.FILTER(CONFIG_ASIGNATURAS!$B$2:$B$91,(CONFIG_ASIGNATURAS!$G$2:$G$91="Sí")*ISNUMBER(SEARCH("5EPM",CONFIG_ASIGNATURAS!$C$2:$C$91))),21),"")</f>
      </c>
      <c r="C344">
        <f>IF(B344="","",IFERROR(VLOOKUP(B344,CONFIG_ASIGNATURAS!$B$2:$D$91,3,FALSE()),"Asignatura"))</f>
      </c>
      <c r="D344">
        <f>SUMPRODUCT((nCUENTA=1)*(nCURSO=A344)*(nASIG=B344))</f>
        <v>0</v>
      </c>
      <c r="E344" s="10" t="str">
        <f>IFERROR(SUMPRODUCT((nCUENTA=1)*(nCURSO=A344)*(nASIG=B344)*(nNOTA))/D344,"—")</f>
        <v>—</v>
      </c>
      <c r="F344" s="10" t="str" cm="1">
        <f t="array" ref="F344">IFERROR(_xlfn.STDEV.P(_xlfn._xlws.FILTER(nNOTA,(nCUENTA=1)*(nCURSO=A344)*(nASIG=B344))),"—")</f>
        <v>—</v>
      </c>
      <c r="G344" t="str" cm="1">
        <f t="array" ref="G344">IFERROR(_xlfn.MODE.SNGL(_xlfn._xlws.FILTER(nNOTA,(nCUENTA=1)*(nCURSO=A344)*(nASIG=B344))),"—")</f>
        <v>—</v>
      </c>
      <c r="H344" s="11" t="str">
        <f>IFERROR(SUMPRODUCT((nCUENTA=1)*(nCURSO=A344)*(nASIG=B344)*(nAPTO="S"))/D344,"—")</f>
        <v>—</v>
      </c>
      <c r="I344" s="11" t="str">
        <f>IFERROR(SUMPRODUCT((nCUENTA=1)*(nCURSO=A344)*(nASIG=B344)*(nAPTO="N"))/D344,"—")</f>
        <v>—</v>
      </c>
      <c r="J344" t="str" cm="1">
        <f t="array" ref="J344">IFERROR(_xlfn.MODE.SNGL(_xlfn._xlws.FILTER(nNOTA,(nCUENTA=1)*(nCURSO=A344)*(nASIG=B344)*(nAPTO="S"))),"—")</f>
        <v>—</v>
      </c>
      <c r="K344" t="str" cm="1">
        <f t="array" ref="K344">IFERROR(_xlfn.MODE.SNGL(_xlfn._xlws.FILTER(nNOTA,(nCUENTA=1)*(nCURSO=A344)*(nASIG=B344)*(nAPTO="N"))),"—")</f>
        <v>—</v>
      </c>
      <c r="L344">
        <f>SUMPRODUCT((nCUENTA=1)*(nCURSO=A344)*(nASIG=B344)*(nNOTA=1))</f>
        <v>0</v>
      </c>
      <c r="M344">
        <f>SUMPRODUCT((nCUENTA=1)*(nCURSO=A344)*(nASIG=B344)*(nNOTA=2))</f>
        <v>0</v>
      </c>
      <c r="N344">
        <f>SUMPRODUCT((nCUENTA=1)*(nCURSO=A344)*(nASIG=B344)*(nNOTA=3))</f>
        <v>0</v>
      </c>
      <c r="O344">
        <f>SUMPRODUCT((nCUENTA=1)*(nCURSO=A344)*(nASIG=B344)*(nNOTA=4))</f>
        <v>0</v>
      </c>
      <c r="P344">
        <f>SUMPRODUCT((nCUENTA=1)*(nCURSO=A344)*(nASIG=B344)*(nNOTA=5))</f>
        <v>0</v>
      </c>
      <c r="Q344">
        <f>SUMPRODUCT((nCUENTA=1)*(nCURSO=A344)*(nASIG=B344)*(nNOTA=6))</f>
        <v>0</v>
      </c>
      <c r="R344">
        <f>SUMPRODUCT((nCUENTA=1)*(nCURSO=A344)*(nASIG=B344)*(nNOTA=7))</f>
        <v>0</v>
      </c>
      <c r="S344">
        <f>SUMPRODUCT((nCUENTA=1)*(nCURSO=A344)*(nASIG=B344)*(nNOTA=8))</f>
        <v>0</v>
      </c>
      <c r="T344">
        <f>SUMPRODUCT((nCUENTA=1)*(nCURSO=A344)*(nASIG=B344)*(nNOTA=9))</f>
        <v>0</v>
      </c>
      <c r="U344">
        <f>SUMPRODUCT((nCUENTA=1)*(nCURSO=A344)*(nASIG=B344)*(nNOTA=10))</f>
        <v>0</v>
      </c>
    </row>
    <row r="345">
      <c r="A345" t="inlineStr">
        <is>
          <t xml:space="preserve">5EPM</t>
        </is>
      </c>
      <c r="B345" cm="1">
        <f t="array" ref="B345">IFERROR(INDEX(_xlfn._xlws.FILTER(CONFIG_ASIGNATURAS!$B$2:$B$91,(CONFIG_ASIGNATURAS!$G$2:$G$91="Sí")*ISNUMBER(SEARCH("5EPM",CONFIG_ASIGNATURAS!$C$2:$C$91))),22),"")</f>
      </c>
      <c r="C345">
        <f>IF(B345="","",IFERROR(VLOOKUP(B345,CONFIG_ASIGNATURAS!$B$2:$D$91,3,FALSE()),"Asignatura"))</f>
      </c>
      <c r="D345">
        <f>SUMPRODUCT((nCUENTA=1)*(nCURSO=A345)*(nASIG=B345))</f>
        <v>0</v>
      </c>
      <c r="E345" s="10" t="str">
        <f>IFERROR(SUMPRODUCT((nCUENTA=1)*(nCURSO=A345)*(nASIG=B345)*(nNOTA))/D345,"—")</f>
        <v>—</v>
      </c>
      <c r="F345" s="10" t="str" cm="1">
        <f t="array" ref="F345">IFERROR(_xlfn.STDEV.P(_xlfn._xlws.FILTER(nNOTA,(nCUENTA=1)*(nCURSO=A345)*(nASIG=B345))),"—")</f>
        <v>—</v>
      </c>
      <c r="G345" t="str" cm="1">
        <f t="array" ref="G345">IFERROR(_xlfn.MODE.SNGL(_xlfn._xlws.FILTER(nNOTA,(nCUENTA=1)*(nCURSO=A345)*(nASIG=B345))),"—")</f>
        <v>—</v>
      </c>
      <c r="H345" s="11" t="str">
        <f>IFERROR(SUMPRODUCT((nCUENTA=1)*(nCURSO=A345)*(nASIG=B345)*(nAPTO="S"))/D345,"—")</f>
        <v>—</v>
      </c>
      <c r="I345" s="11" t="str">
        <f>IFERROR(SUMPRODUCT((nCUENTA=1)*(nCURSO=A345)*(nASIG=B345)*(nAPTO="N"))/D345,"—")</f>
        <v>—</v>
      </c>
      <c r="J345" t="str" cm="1">
        <f t="array" ref="J345">IFERROR(_xlfn.MODE.SNGL(_xlfn._xlws.FILTER(nNOTA,(nCUENTA=1)*(nCURSO=A345)*(nASIG=B345)*(nAPTO="S"))),"—")</f>
        <v>—</v>
      </c>
      <c r="K345" t="str" cm="1">
        <f t="array" ref="K345">IFERROR(_xlfn.MODE.SNGL(_xlfn._xlws.FILTER(nNOTA,(nCUENTA=1)*(nCURSO=A345)*(nASIG=B345)*(nAPTO="N"))),"—")</f>
        <v>—</v>
      </c>
      <c r="L345">
        <f>SUMPRODUCT((nCUENTA=1)*(nCURSO=A345)*(nASIG=B345)*(nNOTA=1))</f>
        <v>0</v>
      </c>
      <c r="M345">
        <f>SUMPRODUCT((nCUENTA=1)*(nCURSO=A345)*(nASIG=B345)*(nNOTA=2))</f>
        <v>0</v>
      </c>
      <c r="N345">
        <f>SUMPRODUCT((nCUENTA=1)*(nCURSO=A345)*(nASIG=B345)*(nNOTA=3))</f>
        <v>0</v>
      </c>
      <c r="O345">
        <f>SUMPRODUCT((nCUENTA=1)*(nCURSO=A345)*(nASIG=B345)*(nNOTA=4))</f>
        <v>0</v>
      </c>
      <c r="P345">
        <f>SUMPRODUCT((nCUENTA=1)*(nCURSO=A345)*(nASIG=B345)*(nNOTA=5))</f>
        <v>0</v>
      </c>
      <c r="Q345">
        <f>SUMPRODUCT((nCUENTA=1)*(nCURSO=A345)*(nASIG=B345)*(nNOTA=6))</f>
        <v>0</v>
      </c>
      <c r="R345">
        <f>SUMPRODUCT((nCUENTA=1)*(nCURSO=A345)*(nASIG=B345)*(nNOTA=7))</f>
        <v>0</v>
      </c>
      <c r="S345">
        <f>SUMPRODUCT((nCUENTA=1)*(nCURSO=A345)*(nASIG=B345)*(nNOTA=8))</f>
        <v>0</v>
      </c>
      <c r="T345">
        <f>SUMPRODUCT((nCUENTA=1)*(nCURSO=A345)*(nASIG=B345)*(nNOTA=9))</f>
        <v>0</v>
      </c>
      <c r="U345">
        <f>SUMPRODUCT((nCUENTA=1)*(nCURSO=A345)*(nASIG=B345)*(nNOTA=10))</f>
        <v>0</v>
      </c>
    </row>
    <row r="346">
      <c r="A346" t="inlineStr">
        <is>
          <t xml:space="preserve">5EPM</t>
        </is>
      </c>
      <c r="B346" cm="1">
        <f t="array" ref="B346">IFERROR(INDEX(_xlfn._xlws.FILTER(CONFIG_ASIGNATURAS!$B$2:$B$91,(CONFIG_ASIGNATURAS!$G$2:$G$91="Sí")*ISNUMBER(SEARCH("5EPM",CONFIG_ASIGNATURAS!$C$2:$C$91))),23),"")</f>
      </c>
      <c r="C346">
        <f>IF(B346="","",IFERROR(VLOOKUP(B346,CONFIG_ASIGNATURAS!$B$2:$D$91,3,FALSE()),"Asignatura"))</f>
      </c>
      <c r="D346">
        <f>SUMPRODUCT((nCUENTA=1)*(nCURSO=A346)*(nASIG=B346))</f>
        <v>0</v>
      </c>
      <c r="E346" s="10" t="str">
        <f>IFERROR(SUMPRODUCT((nCUENTA=1)*(nCURSO=A346)*(nASIG=B346)*(nNOTA))/D346,"—")</f>
        <v>—</v>
      </c>
      <c r="F346" s="10" t="str" cm="1">
        <f t="array" ref="F346">IFERROR(_xlfn.STDEV.P(_xlfn._xlws.FILTER(nNOTA,(nCUENTA=1)*(nCURSO=A346)*(nASIG=B346))),"—")</f>
        <v>—</v>
      </c>
      <c r="G346" t="str" cm="1">
        <f t="array" ref="G346">IFERROR(_xlfn.MODE.SNGL(_xlfn._xlws.FILTER(nNOTA,(nCUENTA=1)*(nCURSO=A346)*(nASIG=B346))),"—")</f>
        <v>—</v>
      </c>
      <c r="H346" s="11" t="str">
        <f>IFERROR(SUMPRODUCT((nCUENTA=1)*(nCURSO=A346)*(nASIG=B346)*(nAPTO="S"))/D346,"—")</f>
        <v>—</v>
      </c>
      <c r="I346" s="11" t="str">
        <f>IFERROR(SUMPRODUCT((nCUENTA=1)*(nCURSO=A346)*(nASIG=B346)*(nAPTO="N"))/D346,"—")</f>
        <v>—</v>
      </c>
      <c r="J346" t="str" cm="1">
        <f t="array" ref="J346">IFERROR(_xlfn.MODE.SNGL(_xlfn._xlws.FILTER(nNOTA,(nCUENTA=1)*(nCURSO=A346)*(nASIG=B346)*(nAPTO="S"))),"—")</f>
        <v>—</v>
      </c>
      <c r="K346" t="str" cm="1">
        <f t="array" ref="K346">IFERROR(_xlfn.MODE.SNGL(_xlfn._xlws.FILTER(nNOTA,(nCUENTA=1)*(nCURSO=A346)*(nASIG=B346)*(nAPTO="N"))),"—")</f>
        <v>—</v>
      </c>
      <c r="L346">
        <f>SUMPRODUCT((nCUENTA=1)*(nCURSO=A346)*(nASIG=B346)*(nNOTA=1))</f>
        <v>0</v>
      </c>
      <c r="M346">
        <f>SUMPRODUCT((nCUENTA=1)*(nCURSO=A346)*(nASIG=B346)*(nNOTA=2))</f>
        <v>0</v>
      </c>
      <c r="N346">
        <f>SUMPRODUCT((nCUENTA=1)*(nCURSO=A346)*(nASIG=B346)*(nNOTA=3))</f>
        <v>0</v>
      </c>
      <c r="O346">
        <f>SUMPRODUCT((nCUENTA=1)*(nCURSO=A346)*(nASIG=B346)*(nNOTA=4))</f>
        <v>0</v>
      </c>
      <c r="P346">
        <f>SUMPRODUCT((nCUENTA=1)*(nCURSO=A346)*(nASIG=B346)*(nNOTA=5))</f>
        <v>0</v>
      </c>
      <c r="Q346">
        <f>SUMPRODUCT((nCUENTA=1)*(nCURSO=A346)*(nASIG=B346)*(nNOTA=6))</f>
        <v>0</v>
      </c>
      <c r="R346">
        <f>SUMPRODUCT((nCUENTA=1)*(nCURSO=A346)*(nASIG=B346)*(nNOTA=7))</f>
        <v>0</v>
      </c>
      <c r="S346">
        <f>SUMPRODUCT((nCUENTA=1)*(nCURSO=A346)*(nASIG=B346)*(nNOTA=8))</f>
        <v>0</v>
      </c>
      <c r="T346">
        <f>SUMPRODUCT((nCUENTA=1)*(nCURSO=A346)*(nASIG=B346)*(nNOTA=9))</f>
        <v>0</v>
      </c>
      <c r="U346">
        <f>SUMPRODUCT((nCUENTA=1)*(nCURSO=A346)*(nASIG=B346)*(nNOTA=10))</f>
        <v>0</v>
      </c>
    </row>
    <row r="347">
      <c r="A347" t="inlineStr">
        <is>
          <t xml:space="preserve">5EPM</t>
        </is>
      </c>
      <c r="B347" cm="1">
        <f t="array" ref="B347">IFERROR(INDEX(_xlfn._xlws.FILTER(CONFIG_ASIGNATURAS!$B$2:$B$91,(CONFIG_ASIGNATURAS!$G$2:$G$91="Sí")*ISNUMBER(SEARCH("5EPM",CONFIG_ASIGNATURAS!$C$2:$C$91))),24),"")</f>
      </c>
      <c r="C347">
        <f>IF(B347="","",IFERROR(VLOOKUP(B347,CONFIG_ASIGNATURAS!$B$2:$D$91,3,FALSE()),"Asignatura"))</f>
      </c>
      <c r="D347">
        <f>SUMPRODUCT((nCUENTA=1)*(nCURSO=A347)*(nASIG=B347))</f>
        <v>0</v>
      </c>
      <c r="E347" s="10" t="str">
        <f>IFERROR(SUMPRODUCT((nCUENTA=1)*(nCURSO=A347)*(nASIG=B347)*(nNOTA))/D347,"—")</f>
        <v>—</v>
      </c>
      <c r="F347" s="10" t="str" cm="1">
        <f t="array" ref="F347">IFERROR(_xlfn.STDEV.P(_xlfn._xlws.FILTER(nNOTA,(nCUENTA=1)*(nCURSO=A347)*(nASIG=B347))),"—")</f>
        <v>—</v>
      </c>
      <c r="G347" t="str" cm="1">
        <f t="array" ref="G347">IFERROR(_xlfn.MODE.SNGL(_xlfn._xlws.FILTER(nNOTA,(nCUENTA=1)*(nCURSO=A347)*(nASIG=B347))),"—")</f>
        <v>—</v>
      </c>
      <c r="H347" s="11" t="str">
        <f>IFERROR(SUMPRODUCT((nCUENTA=1)*(nCURSO=A347)*(nASIG=B347)*(nAPTO="S"))/D347,"—")</f>
        <v>—</v>
      </c>
      <c r="I347" s="11" t="str">
        <f>IFERROR(SUMPRODUCT((nCUENTA=1)*(nCURSO=A347)*(nASIG=B347)*(nAPTO="N"))/D347,"—")</f>
        <v>—</v>
      </c>
      <c r="J347" t="str" cm="1">
        <f t="array" ref="J347">IFERROR(_xlfn.MODE.SNGL(_xlfn._xlws.FILTER(nNOTA,(nCUENTA=1)*(nCURSO=A347)*(nASIG=B347)*(nAPTO="S"))),"—")</f>
        <v>—</v>
      </c>
      <c r="K347" t="str" cm="1">
        <f t="array" ref="K347">IFERROR(_xlfn.MODE.SNGL(_xlfn._xlws.FILTER(nNOTA,(nCUENTA=1)*(nCURSO=A347)*(nASIG=B347)*(nAPTO="N"))),"—")</f>
        <v>—</v>
      </c>
      <c r="L347">
        <f>SUMPRODUCT((nCUENTA=1)*(nCURSO=A347)*(nASIG=B347)*(nNOTA=1))</f>
        <v>0</v>
      </c>
      <c r="M347">
        <f>SUMPRODUCT((nCUENTA=1)*(nCURSO=A347)*(nASIG=B347)*(nNOTA=2))</f>
        <v>0</v>
      </c>
      <c r="N347">
        <f>SUMPRODUCT((nCUENTA=1)*(nCURSO=A347)*(nASIG=B347)*(nNOTA=3))</f>
        <v>0</v>
      </c>
      <c r="O347">
        <f>SUMPRODUCT((nCUENTA=1)*(nCURSO=A347)*(nASIG=B347)*(nNOTA=4))</f>
        <v>0</v>
      </c>
      <c r="P347">
        <f>SUMPRODUCT((nCUENTA=1)*(nCURSO=A347)*(nASIG=B347)*(nNOTA=5))</f>
        <v>0</v>
      </c>
      <c r="Q347">
        <f>SUMPRODUCT((nCUENTA=1)*(nCURSO=A347)*(nASIG=B347)*(nNOTA=6))</f>
        <v>0</v>
      </c>
      <c r="R347">
        <f>SUMPRODUCT((nCUENTA=1)*(nCURSO=A347)*(nASIG=B347)*(nNOTA=7))</f>
        <v>0</v>
      </c>
      <c r="S347">
        <f>SUMPRODUCT((nCUENTA=1)*(nCURSO=A347)*(nASIG=B347)*(nNOTA=8))</f>
        <v>0</v>
      </c>
      <c r="T347">
        <f>SUMPRODUCT((nCUENTA=1)*(nCURSO=A347)*(nASIG=B347)*(nNOTA=9))</f>
        <v>0</v>
      </c>
      <c r="U347">
        <f>SUMPRODUCT((nCUENTA=1)*(nCURSO=A347)*(nASIG=B347)*(nNOTA=10))</f>
        <v>0</v>
      </c>
    </row>
    <row r="348">
      <c r="A348" t="inlineStr">
        <is>
          <t xml:space="preserve">5EPM</t>
        </is>
      </c>
      <c r="B348" cm="1">
        <f t="array" ref="B348">IFERROR(INDEX(_xlfn._xlws.FILTER(CONFIG_ASIGNATURAS!$B$2:$B$91,(CONFIG_ASIGNATURAS!$G$2:$G$91="Sí")*ISNUMBER(SEARCH("5EPM",CONFIG_ASIGNATURAS!$C$2:$C$91))),25),"")</f>
      </c>
      <c r="C348">
        <f>IF(B348="","",IFERROR(VLOOKUP(B348,CONFIG_ASIGNATURAS!$B$2:$D$91,3,FALSE()),"Asignatura"))</f>
      </c>
      <c r="D348">
        <f>SUMPRODUCT((nCUENTA=1)*(nCURSO=A348)*(nASIG=B348))</f>
        <v>0</v>
      </c>
      <c r="E348" s="10" t="str">
        <f>IFERROR(SUMPRODUCT((nCUENTA=1)*(nCURSO=A348)*(nASIG=B348)*(nNOTA))/D348,"—")</f>
        <v>—</v>
      </c>
      <c r="F348" s="10" t="str" cm="1">
        <f t="array" ref="F348">IFERROR(_xlfn.STDEV.P(_xlfn._xlws.FILTER(nNOTA,(nCUENTA=1)*(nCURSO=A348)*(nASIG=B348))),"—")</f>
        <v>—</v>
      </c>
      <c r="G348" t="str" cm="1">
        <f t="array" ref="G348">IFERROR(_xlfn.MODE.SNGL(_xlfn._xlws.FILTER(nNOTA,(nCUENTA=1)*(nCURSO=A348)*(nASIG=B348))),"—")</f>
        <v>—</v>
      </c>
      <c r="H348" s="11" t="str">
        <f>IFERROR(SUMPRODUCT((nCUENTA=1)*(nCURSO=A348)*(nASIG=B348)*(nAPTO="S"))/D348,"—")</f>
        <v>—</v>
      </c>
      <c r="I348" s="11" t="str">
        <f>IFERROR(SUMPRODUCT((nCUENTA=1)*(nCURSO=A348)*(nASIG=B348)*(nAPTO="N"))/D348,"—")</f>
        <v>—</v>
      </c>
      <c r="J348" t="str" cm="1">
        <f t="array" ref="J348">IFERROR(_xlfn.MODE.SNGL(_xlfn._xlws.FILTER(nNOTA,(nCUENTA=1)*(nCURSO=A348)*(nASIG=B348)*(nAPTO="S"))),"—")</f>
        <v>—</v>
      </c>
      <c r="K348" t="str" cm="1">
        <f t="array" ref="K348">IFERROR(_xlfn.MODE.SNGL(_xlfn._xlws.FILTER(nNOTA,(nCUENTA=1)*(nCURSO=A348)*(nASIG=B348)*(nAPTO="N"))),"—")</f>
        <v>—</v>
      </c>
      <c r="L348">
        <f>SUMPRODUCT((nCUENTA=1)*(nCURSO=A348)*(nASIG=B348)*(nNOTA=1))</f>
        <v>0</v>
      </c>
      <c r="M348">
        <f>SUMPRODUCT((nCUENTA=1)*(nCURSO=A348)*(nASIG=B348)*(nNOTA=2))</f>
        <v>0</v>
      </c>
      <c r="N348">
        <f>SUMPRODUCT((nCUENTA=1)*(nCURSO=A348)*(nASIG=B348)*(nNOTA=3))</f>
        <v>0</v>
      </c>
      <c r="O348">
        <f>SUMPRODUCT((nCUENTA=1)*(nCURSO=A348)*(nASIG=B348)*(nNOTA=4))</f>
        <v>0</v>
      </c>
      <c r="P348">
        <f>SUMPRODUCT((nCUENTA=1)*(nCURSO=A348)*(nASIG=B348)*(nNOTA=5))</f>
        <v>0</v>
      </c>
      <c r="Q348">
        <f>SUMPRODUCT((nCUENTA=1)*(nCURSO=A348)*(nASIG=B348)*(nNOTA=6))</f>
        <v>0</v>
      </c>
      <c r="R348">
        <f>SUMPRODUCT((nCUENTA=1)*(nCURSO=A348)*(nASIG=B348)*(nNOTA=7))</f>
        <v>0</v>
      </c>
      <c r="S348">
        <f>SUMPRODUCT((nCUENTA=1)*(nCURSO=A348)*(nASIG=B348)*(nNOTA=8))</f>
        <v>0</v>
      </c>
      <c r="T348">
        <f>SUMPRODUCT((nCUENTA=1)*(nCURSO=A348)*(nASIG=B348)*(nNOTA=9))</f>
        <v>0</v>
      </c>
      <c r="U348">
        <f>SUMPRODUCT((nCUENTA=1)*(nCURSO=A348)*(nASIG=B348)*(nNOTA=10))</f>
        <v>0</v>
      </c>
    </row>
    <row r="349">
      <c r="A349" t="inlineStr">
        <is>
          <t xml:space="preserve">5EPM</t>
        </is>
      </c>
      <c r="B349" cm="1">
        <f t="array" ref="B349">IFERROR(INDEX(_xlfn._xlws.FILTER(CONFIG_ASIGNATURAS!$B$2:$B$91,(CONFIG_ASIGNATURAS!$G$2:$G$91="Sí")*ISNUMBER(SEARCH("5EPM",CONFIG_ASIGNATURAS!$C$2:$C$91))),26),"")</f>
      </c>
      <c r="C349">
        <f>IF(B349="","",IFERROR(VLOOKUP(B349,CONFIG_ASIGNATURAS!$B$2:$D$91,3,FALSE()),"Asignatura"))</f>
      </c>
      <c r="D349">
        <f>SUMPRODUCT((nCUENTA=1)*(nCURSO=A349)*(nASIG=B349))</f>
        <v>0</v>
      </c>
      <c r="E349" s="10" t="str">
        <f>IFERROR(SUMPRODUCT((nCUENTA=1)*(nCURSO=A349)*(nASIG=B349)*(nNOTA))/D349,"—")</f>
        <v>—</v>
      </c>
      <c r="F349" s="10" t="str" cm="1">
        <f t="array" ref="F349">IFERROR(_xlfn.STDEV.P(_xlfn._xlws.FILTER(nNOTA,(nCUENTA=1)*(nCURSO=A349)*(nASIG=B349))),"—")</f>
        <v>—</v>
      </c>
      <c r="G349" t="str" cm="1">
        <f t="array" ref="G349">IFERROR(_xlfn.MODE.SNGL(_xlfn._xlws.FILTER(nNOTA,(nCUENTA=1)*(nCURSO=A349)*(nASIG=B349))),"—")</f>
        <v>—</v>
      </c>
      <c r="H349" s="11" t="str">
        <f>IFERROR(SUMPRODUCT((nCUENTA=1)*(nCURSO=A349)*(nASIG=B349)*(nAPTO="S"))/D349,"—")</f>
        <v>—</v>
      </c>
      <c r="I349" s="11" t="str">
        <f>IFERROR(SUMPRODUCT((nCUENTA=1)*(nCURSO=A349)*(nASIG=B349)*(nAPTO="N"))/D349,"—")</f>
        <v>—</v>
      </c>
      <c r="J349" t="str" cm="1">
        <f t="array" ref="J349">IFERROR(_xlfn.MODE.SNGL(_xlfn._xlws.FILTER(nNOTA,(nCUENTA=1)*(nCURSO=A349)*(nASIG=B349)*(nAPTO="S"))),"—")</f>
        <v>—</v>
      </c>
      <c r="K349" t="str" cm="1">
        <f t="array" ref="K349">IFERROR(_xlfn.MODE.SNGL(_xlfn._xlws.FILTER(nNOTA,(nCUENTA=1)*(nCURSO=A349)*(nASIG=B349)*(nAPTO="N"))),"—")</f>
        <v>—</v>
      </c>
      <c r="L349">
        <f>SUMPRODUCT((nCUENTA=1)*(nCURSO=A349)*(nASIG=B349)*(nNOTA=1))</f>
        <v>0</v>
      </c>
      <c r="M349">
        <f>SUMPRODUCT((nCUENTA=1)*(nCURSO=A349)*(nASIG=B349)*(nNOTA=2))</f>
        <v>0</v>
      </c>
      <c r="N349">
        <f>SUMPRODUCT((nCUENTA=1)*(nCURSO=A349)*(nASIG=B349)*(nNOTA=3))</f>
        <v>0</v>
      </c>
      <c r="O349">
        <f>SUMPRODUCT((nCUENTA=1)*(nCURSO=A349)*(nASIG=B349)*(nNOTA=4))</f>
        <v>0</v>
      </c>
      <c r="P349">
        <f>SUMPRODUCT((nCUENTA=1)*(nCURSO=A349)*(nASIG=B349)*(nNOTA=5))</f>
        <v>0</v>
      </c>
      <c r="Q349">
        <f>SUMPRODUCT((nCUENTA=1)*(nCURSO=A349)*(nASIG=B349)*(nNOTA=6))</f>
        <v>0</v>
      </c>
      <c r="R349">
        <f>SUMPRODUCT((nCUENTA=1)*(nCURSO=A349)*(nASIG=B349)*(nNOTA=7))</f>
        <v>0</v>
      </c>
      <c r="S349">
        <f>SUMPRODUCT((nCUENTA=1)*(nCURSO=A349)*(nASIG=B349)*(nNOTA=8))</f>
        <v>0</v>
      </c>
      <c r="T349">
        <f>SUMPRODUCT((nCUENTA=1)*(nCURSO=A349)*(nASIG=B349)*(nNOTA=9))</f>
        <v>0</v>
      </c>
      <c r="U349">
        <f>SUMPRODUCT((nCUENTA=1)*(nCURSO=A349)*(nASIG=B349)*(nNOTA=10))</f>
        <v>0</v>
      </c>
    </row>
    <row r="350">
      <c r="A350" t="inlineStr">
        <is>
          <t xml:space="preserve">5EPM</t>
        </is>
      </c>
      <c r="B350" cm="1">
        <f t="array" ref="B350">IFERROR(INDEX(_xlfn._xlws.FILTER(CONFIG_ASIGNATURAS!$B$2:$B$91,(CONFIG_ASIGNATURAS!$G$2:$G$91="Sí")*ISNUMBER(SEARCH("5EPM",CONFIG_ASIGNATURAS!$C$2:$C$91))),27),"")</f>
      </c>
      <c r="C350">
        <f>IF(B350="","",IFERROR(VLOOKUP(B350,CONFIG_ASIGNATURAS!$B$2:$D$91,3,FALSE()),"Asignatura"))</f>
      </c>
      <c r="D350">
        <f>SUMPRODUCT((nCUENTA=1)*(nCURSO=A350)*(nASIG=B350))</f>
        <v>0</v>
      </c>
      <c r="E350" s="10" t="str">
        <f>IFERROR(SUMPRODUCT((nCUENTA=1)*(nCURSO=A350)*(nASIG=B350)*(nNOTA))/D350,"—")</f>
        <v>—</v>
      </c>
      <c r="F350" s="10" t="str" cm="1">
        <f t="array" ref="F350">IFERROR(_xlfn.STDEV.P(_xlfn._xlws.FILTER(nNOTA,(nCUENTA=1)*(nCURSO=A350)*(nASIG=B350))),"—")</f>
        <v>—</v>
      </c>
      <c r="G350" t="str" cm="1">
        <f t="array" ref="G350">IFERROR(_xlfn.MODE.SNGL(_xlfn._xlws.FILTER(nNOTA,(nCUENTA=1)*(nCURSO=A350)*(nASIG=B350))),"—")</f>
        <v>—</v>
      </c>
      <c r="H350" s="11" t="str">
        <f>IFERROR(SUMPRODUCT((nCUENTA=1)*(nCURSO=A350)*(nASIG=B350)*(nAPTO="S"))/D350,"—")</f>
        <v>—</v>
      </c>
      <c r="I350" s="11" t="str">
        <f>IFERROR(SUMPRODUCT((nCUENTA=1)*(nCURSO=A350)*(nASIG=B350)*(nAPTO="N"))/D350,"—")</f>
        <v>—</v>
      </c>
      <c r="J350" t="str" cm="1">
        <f t="array" ref="J350">IFERROR(_xlfn.MODE.SNGL(_xlfn._xlws.FILTER(nNOTA,(nCUENTA=1)*(nCURSO=A350)*(nASIG=B350)*(nAPTO="S"))),"—")</f>
        <v>—</v>
      </c>
      <c r="K350" t="str" cm="1">
        <f t="array" ref="K350">IFERROR(_xlfn.MODE.SNGL(_xlfn._xlws.FILTER(nNOTA,(nCUENTA=1)*(nCURSO=A350)*(nASIG=B350)*(nAPTO="N"))),"—")</f>
        <v>—</v>
      </c>
      <c r="L350">
        <f>SUMPRODUCT((nCUENTA=1)*(nCURSO=A350)*(nASIG=B350)*(nNOTA=1))</f>
        <v>0</v>
      </c>
      <c r="M350">
        <f>SUMPRODUCT((nCUENTA=1)*(nCURSO=A350)*(nASIG=B350)*(nNOTA=2))</f>
        <v>0</v>
      </c>
      <c r="N350">
        <f>SUMPRODUCT((nCUENTA=1)*(nCURSO=A350)*(nASIG=B350)*(nNOTA=3))</f>
        <v>0</v>
      </c>
      <c r="O350">
        <f>SUMPRODUCT((nCUENTA=1)*(nCURSO=A350)*(nASIG=B350)*(nNOTA=4))</f>
        <v>0</v>
      </c>
      <c r="P350">
        <f>SUMPRODUCT((nCUENTA=1)*(nCURSO=A350)*(nASIG=B350)*(nNOTA=5))</f>
        <v>0</v>
      </c>
      <c r="Q350">
        <f>SUMPRODUCT((nCUENTA=1)*(nCURSO=A350)*(nASIG=B350)*(nNOTA=6))</f>
        <v>0</v>
      </c>
      <c r="R350">
        <f>SUMPRODUCT((nCUENTA=1)*(nCURSO=A350)*(nASIG=B350)*(nNOTA=7))</f>
        <v>0</v>
      </c>
      <c r="S350">
        <f>SUMPRODUCT((nCUENTA=1)*(nCURSO=A350)*(nASIG=B350)*(nNOTA=8))</f>
        <v>0</v>
      </c>
      <c r="T350">
        <f>SUMPRODUCT((nCUENTA=1)*(nCURSO=A350)*(nASIG=B350)*(nNOTA=9))</f>
        <v>0</v>
      </c>
      <c r="U350">
        <f>SUMPRODUCT((nCUENTA=1)*(nCURSO=A350)*(nASIG=B350)*(nNOTA=10))</f>
        <v>0</v>
      </c>
    </row>
    <row r="351">
      <c r="A351" t="inlineStr">
        <is>
          <t xml:space="preserve">5EPM</t>
        </is>
      </c>
      <c r="B351" cm="1">
        <f t="array" ref="B351">IFERROR(INDEX(_xlfn._xlws.FILTER(CONFIG_ASIGNATURAS!$B$2:$B$91,(CONFIG_ASIGNATURAS!$G$2:$G$91="Sí")*ISNUMBER(SEARCH("5EPM",CONFIG_ASIGNATURAS!$C$2:$C$91))),28),"")</f>
      </c>
      <c r="C351">
        <f>IF(B351="","",IFERROR(VLOOKUP(B351,CONFIG_ASIGNATURAS!$B$2:$D$91,3,FALSE()),"Asignatura"))</f>
      </c>
      <c r="D351">
        <f>SUMPRODUCT((nCUENTA=1)*(nCURSO=A351)*(nASIG=B351))</f>
        <v>0</v>
      </c>
      <c r="E351" s="10" t="str">
        <f>IFERROR(SUMPRODUCT((nCUENTA=1)*(nCURSO=A351)*(nASIG=B351)*(nNOTA))/D351,"—")</f>
        <v>—</v>
      </c>
      <c r="F351" s="10" t="str" cm="1">
        <f t="array" ref="F351">IFERROR(_xlfn.STDEV.P(_xlfn._xlws.FILTER(nNOTA,(nCUENTA=1)*(nCURSO=A351)*(nASIG=B351))),"—")</f>
        <v>—</v>
      </c>
      <c r="G351" t="str" cm="1">
        <f t="array" ref="G351">IFERROR(_xlfn.MODE.SNGL(_xlfn._xlws.FILTER(nNOTA,(nCUENTA=1)*(nCURSO=A351)*(nASIG=B351))),"—")</f>
        <v>—</v>
      </c>
      <c r="H351" s="11" t="str">
        <f>IFERROR(SUMPRODUCT((nCUENTA=1)*(nCURSO=A351)*(nASIG=B351)*(nAPTO="S"))/D351,"—")</f>
        <v>—</v>
      </c>
      <c r="I351" s="11" t="str">
        <f>IFERROR(SUMPRODUCT((nCUENTA=1)*(nCURSO=A351)*(nASIG=B351)*(nAPTO="N"))/D351,"—")</f>
        <v>—</v>
      </c>
      <c r="J351" t="str" cm="1">
        <f t="array" ref="J351">IFERROR(_xlfn.MODE.SNGL(_xlfn._xlws.FILTER(nNOTA,(nCUENTA=1)*(nCURSO=A351)*(nASIG=B351)*(nAPTO="S"))),"—")</f>
        <v>—</v>
      </c>
      <c r="K351" t="str" cm="1">
        <f t="array" ref="K351">IFERROR(_xlfn.MODE.SNGL(_xlfn._xlws.FILTER(nNOTA,(nCUENTA=1)*(nCURSO=A351)*(nASIG=B351)*(nAPTO="N"))),"—")</f>
        <v>—</v>
      </c>
      <c r="L351">
        <f>SUMPRODUCT((nCUENTA=1)*(nCURSO=A351)*(nASIG=B351)*(nNOTA=1))</f>
        <v>0</v>
      </c>
      <c r="M351">
        <f>SUMPRODUCT((nCUENTA=1)*(nCURSO=A351)*(nASIG=B351)*(nNOTA=2))</f>
        <v>0</v>
      </c>
      <c r="N351">
        <f>SUMPRODUCT((nCUENTA=1)*(nCURSO=A351)*(nASIG=B351)*(nNOTA=3))</f>
        <v>0</v>
      </c>
      <c r="O351">
        <f>SUMPRODUCT((nCUENTA=1)*(nCURSO=A351)*(nASIG=B351)*(nNOTA=4))</f>
        <v>0</v>
      </c>
      <c r="P351">
        <f>SUMPRODUCT((nCUENTA=1)*(nCURSO=A351)*(nASIG=B351)*(nNOTA=5))</f>
        <v>0</v>
      </c>
      <c r="Q351">
        <f>SUMPRODUCT((nCUENTA=1)*(nCURSO=A351)*(nASIG=B351)*(nNOTA=6))</f>
        <v>0</v>
      </c>
      <c r="R351">
        <f>SUMPRODUCT((nCUENTA=1)*(nCURSO=A351)*(nASIG=B351)*(nNOTA=7))</f>
        <v>0</v>
      </c>
      <c r="S351">
        <f>SUMPRODUCT((nCUENTA=1)*(nCURSO=A351)*(nASIG=B351)*(nNOTA=8))</f>
        <v>0</v>
      </c>
      <c r="T351">
        <f>SUMPRODUCT((nCUENTA=1)*(nCURSO=A351)*(nASIG=B351)*(nNOTA=9))</f>
        <v>0</v>
      </c>
      <c r="U351">
        <f>SUMPRODUCT((nCUENTA=1)*(nCURSO=A351)*(nASIG=B351)*(nNOTA=10))</f>
        <v>0</v>
      </c>
    </row>
    <row r="352">
      <c r="A352" t="inlineStr">
        <is>
          <t xml:space="preserve">5EPM</t>
        </is>
      </c>
      <c r="B352" cm="1">
        <f t="array" ref="B352">IFERROR(INDEX(_xlfn._xlws.FILTER(CONFIG_ASIGNATURAS!$B$2:$B$91,(CONFIG_ASIGNATURAS!$G$2:$G$91="Sí")*ISNUMBER(SEARCH("5EPM",CONFIG_ASIGNATURAS!$C$2:$C$91))),29),"")</f>
      </c>
      <c r="C352">
        <f>IF(B352="","",IFERROR(VLOOKUP(B352,CONFIG_ASIGNATURAS!$B$2:$D$91,3,FALSE()),"Asignatura"))</f>
      </c>
      <c r="D352">
        <f>SUMPRODUCT((nCUENTA=1)*(nCURSO=A352)*(nASIG=B352))</f>
        <v>0</v>
      </c>
      <c r="E352" s="10" t="str">
        <f>IFERROR(SUMPRODUCT((nCUENTA=1)*(nCURSO=A352)*(nASIG=B352)*(nNOTA))/D352,"—")</f>
        <v>—</v>
      </c>
      <c r="F352" s="10" t="str" cm="1">
        <f t="array" ref="F352">IFERROR(_xlfn.STDEV.P(_xlfn._xlws.FILTER(nNOTA,(nCUENTA=1)*(nCURSO=A352)*(nASIG=B352))),"—")</f>
        <v>—</v>
      </c>
      <c r="G352" t="str" cm="1">
        <f t="array" ref="G352">IFERROR(_xlfn.MODE.SNGL(_xlfn._xlws.FILTER(nNOTA,(nCUENTA=1)*(nCURSO=A352)*(nASIG=B352))),"—")</f>
        <v>—</v>
      </c>
      <c r="H352" s="11" t="str">
        <f>IFERROR(SUMPRODUCT((nCUENTA=1)*(nCURSO=A352)*(nASIG=B352)*(nAPTO="S"))/D352,"—")</f>
        <v>—</v>
      </c>
      <c r="I352" s="11" t="str">
        <f>IFERROR(SUMPRODUCT((nCUENTA=1)*(nCURSO=A352)*(nASIG=B352)*(nAPTO="N"))/D352,"—")</f>
        <v>—</v>
      </c>
      <c r="J352" t="str" cm="1">
        <f t="array" ref="J352">IFERROR(_xlfn.MODE.SNGL(_xlfn._xlws.FILTER(nNOTA,(nCUENTA=1)*(nCURSO=A352)*(nASIG=B352)*(nAPTO="S"))),"—")</f>
        <v>—</v>
      </c>
      <c r="K352" t="str" cm="1">
        <f t="array" ref="K352">IFERROR(_xlfn.MODE.SNGL(_xlfn._xlws.FILTER(nNOTA,(nCUENTA=1)*(nCURSO=A352)*(nASIG=B352)*(nAPTO="N"))),"—")</f>
        <v>—</v>
      </c>
      <c r="L352">
        <f>SUMPRODUCT((nCUENTA=1)*(nCURSO=A352)*(nASIG=B352)*(nNOTA=1))</f>
        <v>0</v>
      </c>
      <c r="M352">
        <f>SUMPRODUCT((nCUENTA=1)*(nCURSO=A352)*(nASIG=B352)*(nNOTA=2))</f>
        <v>0</v>
      </c>
      <c r="N352">
        <f>SUMPRODUCT((nCUENTA=1)*(nCURSO=A352)*(nASIG=B352)*(nNOTA=3))</f>
        <v>0</v>
      </c>
      <c r="O352">
        <f>SUMPRODUCT((nCUENTA=1)*(nCURSO=A352)*(nASIG=B352)*(nNOTA=4))</f>
        <v>0</v>
      </c>
      <c r="P352">
        <f>SUMPRODUCT((nCUENTA=1)*(nCURSO=A352)*(nASIG=B352)*(nNOTA=5))</f>
        <v>0</v>
      </c>
      <c r="Q352">
        <f>SUMPRODUCT((nCUENTA=1)*(nCURSO=A352)*(nASIG=B352)*(nNOTA=6))</f>
        <v>0</v>
      </c>
      <c r="R352">
        <f>SUMPRODUCT((nCUENTA=1)*(nCURSO=A352)*(nASIG=B352)*(nNOTA=7))</f>
        <v>0</v>
      </c>
      <c r="S352">
        <f>SUMPRODUCT((nCUENTA=1)*(nCURSO=A352)*(nASIG=B352)*(nNOTA=8))</f>
        <v>0</v>
      </c>
      <c r="T352">
        <f>SUMPRODUCT((nCUENTA=1)*(nCURSO=A352)*(nASIG=B352)*(nNOTA=9))</f>
        <v>0</v>
      </c>
      <c r="U352">
        <f>SUMPRODUCT((nCUENTA=1)*(nCURSO=A352)*(nASIG=B352)*(nNOTA=10))</f>
        <v>0</v>
      </c>
    </row>
    <row r="353">
      <c r="A353" t="inlineStr">
        <is>
          <t xml:space="preserve">5EPM</t>
        </is>
      </c>
      <c r="B353" cm="1">
        <f t="array" ref="B353">IFERROR(INDEX(_xlfn._xlws.FILTER(CONFIG_ASIGNATURAS!$B$2:$B$91,(CONFIG_ASIGNATURAS!$G$2:$G$91="Sí")*ISNUMBER(SEARCH("5EPM",CONFIG_ASIGNATURAS!$C$2:$C$91))),30),"")</f>
      </c>
      <c r="C353">
        <f>IF(B353="","",IFERROR(VLOOKUP(B353,CONFIG_ASIGNATURAS!$B$2:$D$91,3,FALSE()),"Asignatura"))</f>
      </c>
      <c r="D353">
        <f>SUMPRODUCT((nCUENTA=1)*(nCURSO=A353)*(nASIG=B353))</f>
        <v>0</v>
      </c>
      <c r="E353" s="10" t="str">
        <f>IFERROR(SUMPRODUCT((nCUENTA=1)*(nCURSO=A353)*(nASIG=B353)*(nNOTA))/D353,"—")</f>
        <v>—</v>
      </c>
      <c r="F353" s="10" t="str" cm="1">
        <f t="array" ref="F353">IFERROR(_xlfn.STDEV.P(_xlfn._xlws.FILTER(nNOTA,(nCUENTA=1)*(nCURSO=A353)*(nASIG=B353))),"—")</f>
        <v>—</v>
      </c>
      <c r="G353" t="str" cm="1">
        <f t="array" ref="G353">IFERROR(_xlfn.MODE.SNGL(_xlfn._xlws.FILTER(nNOTA,(nCUENTA=1)*(nCURSO=A353)*(nASIG=B353))),"—")</f>
        <v>—</v>
      </c>
      <c r="H353" s="11" t="str">
        <f>IFERROR(SUMPRODUCT((nCUENTA=1)*(nCURSO=A353)*(nASIG=B353)*(nAPTO="S"))/D353,"—")</f>
        <v>—</v>
      </c>
      <c r="I353" s="11" t="str">
        <f>IFERROR(SUMPRODUCT((nCUENTA=1)*(nCURSO=A353)*(nASIG=B353)*(nAPTO="N"))/D353,"—")</f>
        <v>—</v>
      </c>
      <c r="J353" t="str" cm="1">
        <f t="array" ref="J353">IFERROR(_xlfn.MODE.SNGL(_xlfn._xlws.FILTER(nNOTA,(nCUENTA=1)*(nCURSO=A353)*(nASIG=B353)*(nAPTO="S"))),"—")</f>
        <v>—</v>
      </c>
      <c r="K353" t="str" cm="1">
        <f t="array" ref="K353">IFERROR(_xlfn.MODE.SNGL(_xlfn._xlws.FILTER(nNOTA,(nCUENTA=1)*(nCURSO=A353)*(nASIG=B353)*(nAPTO="N"))),"—")</f>
        <v>—</v>
      </c>
      <c r="L353">
        <f>SUMPRODUCT((nCUENTA=1)*(nCURSO=A353)*(nASIG=B353)*(nNOTA=1))</f>
        <v>0</v>
      </c>
      <c r="M353">
        <f>SUMPRODUCT((nCUENTA=1)*(nCURSO=A353)*(nASIG=B353)*(nNOTA=2))</f>
        <v>0</v>
      </c>
      <c r="N353">
        <f>SUMPRODUCT((nCUENTA=1)*(nCURSO=A353)*(nASIG=B353)*(nNOTA=3))</f>
        <v>0</v>
      </c>
      <c r="O353">
        <f>SUMPRODUCT((nCUENTA=1)*(nCURSO=A353)*(nASIG=B353)*(nNOTA=4))</f>
        <v>0</v>
      </c>
      <c r="P353">
        <f>SUMPRODUCT((nCUENTA=1)*(nCURSO=A353)*(nASIG=B353)*(nNOTA=5))</f>
        <v>0</v>
      </c>
      <c r="Q353">
        <f>SUMPRODUCT((nCUENTA=1)*(nCURSO=A353)*(nASIG=B353)*(nNOTA=6))</f>
        <v>0</v>
      </c>
      <c r="R353">
        <f>SUMPRODUCT((nCUENTA=1)*(nCURSO=A353)*(nASIG=B353)*(nNOTA=7))</f>
        <v>0</v>
      </c>
      <c r="S353">
        <f>SUMPRODUCT((nCUENTA=1)*(nCURSO=A353)*(nASIG=B353)*(nNOTA=8))</f>
        <v>0</v>
      </c>
      <c r="T353">
        <f>SUMPRODUCT((nCUENTA=1)*(nCURSO=A353)*(nASIG=B353)*(nNOTA=9))</f>
        <v>0</v>
      </c>
      <c r="U353">
        <f>SUMPRODUCT((nCUENTA=1)*(nCURSO=A353)*(nASIG=B353)*(nNOTA=10))</f>
        <v>0</v>
      </c>
    </row>
    <row r="354">
      <c r="A354" t="inlineStr">
        <is>
          <t xml:space="preserve">5EPM</t>
        </is>
      </c>
      <c r="B354" cm="1">
        <f t="array" ref="B354">IFERROR(INDEX(_xlfn._xlws.FILTER(CONFIG_ASIGNATURAS!$B$2:$B$91,(CONFIG_ASIGNATURAS!$G$2:$G$91="Sí")*ISNUMBER(SEARCH("5EPM",CONFIG_ASIGNATURAS!$C$2:$C$91))),31),"")</f>
      </c>
      <c r="C354">
        <f>IF(B354="","",IFERROR(VLOOKUP(B354,CONFIG_ASIGNATURAS!$B$2:$D$91,3,FALSE()),"Asignatura"))</f>
      </c>
      <c r="D354">
        <f>SUMPRODUCT((nCUENTA=1)*(nCURSO=A354)*(nASIG=B354))</f>
        <v>0</v>
      </c>
      <c r="E354" s="10" t="str">
        <f>IFERROR(SUMPRODUCT((nCUENTA=1)*(nCURSO=A354)*(nASIG=B354)*(nNOTA))/D354,"—")</f>
        <v>—</v>
      </c>
      <c r="F354" s="10" t="str" cm="1">
        <f t="array" ref="F354">IFERROR(_xlfn.STDEV.P(_xlfn._xlws.FILTER(nNOTA,(nCUENTA=1)*(nCURSO=A354)*(nASIG=B354))),"—")</f>
        <v>—</v>
      </c>
      <c r="G354" t="str" cm="1">
        <f t="array" ref="G354">IFERROR(_xlfn.MODE.SNGL(_xlfn._xlws.FILTER(nNOTA,(nCUENTA=1)*(nCURSO=A354)*(nASIG=B354))),"—")</f>
        <v>—</v>
      </c>
      <c r="H354" s="11" t="str">
        <f>IFERROR(SUMPRODUCT((nCUENTA=1)*(nCURSO=A354)*(nASIG=B354)*(nAPTO="S"))/D354,"—")</f>
        <v>—</v>
      </c>
      <c r="I354" s="11" t="str">
        <f>IFERROR(SUMPRODUCT((nCUENTA=1)*(nCURSO=A354)*(nASIG=B354)*(nAPTO="N"))/D354,"—")</f>
        <v>—</v>
      </c>
      <c r="J354" t="str" cm="1">
        <f t="array" ref="J354">IFERROR(_xlfn.MODE.SNGL(_xlfn._xlws.FILTER(nNOTA,(nCUENTA=1)*(nCURSO=A354)*(nASIG=B354)*(nAPTO="S"))),"—")</f>
        <v>—</v>
      </c>
      <c r="K354" t="str" cm="1">
        <f t="array" ref="K354">IFERROR(_xlfn.MODE.SNGL(_xlfn._xlws.FILTER(nNOTA,(nCUENTA=1)*(nCURSO=A354)*(nASIG=B354)*(nAPTO="N"))),"—")</f>
        <v>—</v>
      </c>
      <c r="L354">
        <f>SUMPRODUCT((nCUENTA=1)*(nCURSO=A354)*(nASIG=B354)*(nNOTA=1))</f>
        <v>0</v>
      </c>
      <c r="M354">
        <f>SUMPRODUCT((nCUENTA=1)*(nCURSO=A354)*(nASIG=B354)*(nNOTA=2))</f>
        <v>0</v>
      </c>
      <c r="N354">
        <f>SUMPRODUCT((nCUENTA=1)*(nCURSO=A354)*(nASIG=B354)*(nNOTA=3))</f>
        <v>0</v>
      </c>
      <c r="O354">
        <f>SUMPRODUCT((nCUENTA=1)*(nCURSO=A354)*(nASIG=B354)*(nNOTA=4))</f>
        <v>0</v>
      </c>
      <c r="P354">
        <f>SUMPRODUCT((nCUENTA=1)*(nCURSO=A354)*(nASIG=B354)*(nNOTA=5))</f>
        <v>0</v>
      </c>
      <c r="Q354">
        <f>SUMPRODUCT((nCUENTA=1)*(nCURSO=A354)*(nASIG=B354)*(nNOTA=6))</f>
        <v>0</v>
      </c>
      <c r="R354">
        <f>SUMPRODUCT((nCUENTA=1)*(nCURSO=A354)*(nASIG=B354)*(nNOTA=7))</f>
        <v>0</v>
      </c>
      <c r="S354">
        <f>SUMPRODUCT((nCUENTA=1)*(nCURSO=A354)*(nASIG=B354)*(nNOTA=8))</f>
        <v>0</v>
      </c>
      <c r="T354">
        <f>SUMPRODUCT((nCUENTA=1)*(nCURSO=A354)*(nASIG=B354)*(nNOTA=9))</f>
        <v>0</v>
      </c>
      <c r="U354">
        <f>SUMPRODUCT((nCUENTA=1)*(nCURSO=A354)*(nASIG=B354)*(nNOTA=10))</f>
        <v>0</v>
      </c>
    </row>
    <row r="355">
      <c r="A355" t="inlineStr">
        <is>
          <t xml:space="preserve">5EPM</t>
        </is>
      </c>
      <c r="B355" cm="1">
        <f t="array" ref="B355">IFERROR(INDEX(_xlfn._xlws.FILTER(CONFIG_ASIGNATURAS!$B$2:$B$91,(CONFIG_ASIGNATURAS!$G$2:$G$91="Sí")*ISNUMBER(SEARCH("5EPM",CONFIG_ASIGNATURAS!$C$2:$C$91))),32),"")</f>
      </c>
      <c r="C355">
        <f>IF(B355="","",IFERROR(VLOOKUP(B355,CONFIG_ASIGNATURAS!$B$2:$D$91,3,FALSE()),"Asignatura"))</f>
      </c>
      <c r="D355">
        <f>SUMPRODUCT((nCUENTA=1)*(nCURSO=A355)*(nASIG=B355))</f>
        <v>0</v>
      </c>
      <c r="E355" s="10" t="str">
        <f>IFERROR(SUMPRODUCT((nCUENTA=1)*(nCURSO=A355)*(nASIG=B355)*(nNOTA))/D355,"—")</f>
        <v>—</v>
      </c>
      <c r="F355" s="10" t="str" cm="1">
        <f t="array" ref="F355">IFERROR(_xlfn.STDEV.P(_xlfn._xlws.FILTER(nNOTA,(nCUENTA=1)*(nCURSO=A355)*(nASIG=B355))),"—")</f>
        <v>—</v>
      </c>
      <c r="G355" t="str" cm="1">
        <f t="array" ref="G355">IFERROR(_xlfn.MODE.SNGL(_xlfn._xlws.FILTER(nNOTA,(nCUENTA=1)*(nCURSO=A355)*(nASIG=B355))),"—")</f>
        <v>—</v>
      </c>
      <c r="H355" s="11" t="str">
        <f>IFERROR(SUMPRODUCT((nCUENTA=1)*(nCURSO=A355)*(nASIG=B355)*(nAPTO="S"))/D355,"—")</f>
        <v>—</v>
      </c>
      <c r="I355" s="11" t="str">
        <f>IFERROR(SUMPRODUCT((nCUENTA=1)*(nCURSO=A355)*(nASIG=B355)*(nAPTO="N"))/D355,"—")</f>
        <v>—</v>
      </c>
      <c r="J355" t="str" cm="1">
        <f t="array" ref="J355">IFERROR(_xlfn.MODE.SNGL(_xlfn._xlws.FILTER(nNOTA,(nCUENTA=1)*(nCURSO=A355)*(nASIG=B355)*(nAPTO="S"))),"—")</f>
        <v>—</v>
      </c>
      <c r="K355" t="str" cm="1">
        <f t="array" ref="K355">IFERROR(_xlfn.MODE.SNGL(_xlfn._xlws.FILTER(nNOTA,(nCUENTA=1)*(nCURSO=A355)*(nASIG=B355)*(nAPTO="N"))),"—")</f>
        <v>—</v>
      </c>
      <c r="L355">
        <f>SUMPRODUCT((nCUENTA=1)*(nCURSO=A355)*(nASIG=B355)*(nNOTA=1))</f>
        <v>0</v>
      </c>
      <c r="M355">
        <f>SUMPRODUCT((nCUENTA=1)*(nCURSO=A355)*(nASIG=B355)*(nNOTA=2))</f>
        <v>0</v>
      </c>
      <c r="N355">
        <f>SUMPRODUCT((nCUENTA=1)*(nCURSO=A355)*(nASIG=B355)*(nNOTA=3))</f>
        <v>0</v>
      </c>
      <c r="O355">
        <f>SUMPRODUCT((nCUENTA=1)*(nCURSO=A355)*(nASIG=B355)*(nNOTA=4))</f>
        <v>0</v>
      </c>
      <c r="P355">
        <f>SUMPRODUCT((nCUENTA=1)*(nCURSO=A355)*(nASIG=B355)*(nNOTA=5))</f>
        <v>0</v>
      </c>
      <c r="Q355">
        <f>SUMPRODUCT((nCUENTA=1)*(nCURSO=A355)*(nASIG=B355)*(nNOTA=6))</f>
        <v>0</v>
      </c>
      <c r="R355">
        <f>SUMPRODUCT((nCUENTA=1)*(nCURSO=A355)*(nASIG=B355)*(nNOTA=7))</f>
        <v>0</v>
      </c>
      <c r="S355">
        <f>SUMPRODUCT((nCUENTA=1)*(nCURSO=A355)*(nASIG=B355)*(nNOTA=8))</f>
        <v>0</v>
      </c>
      <c r="T355">
        <f>SUMPRODUCT((nCUENTA=1)*(nCURSO=A355)*(nASIG=B355)*(nNOTA=9))</f>
        <v>0</v>
      </c>
      <c r="U355">
        <f>SUMPRODUCT((nCUENTA=1)*(nCURSO=A355)*(nASIG=B355)*(nNOTA=10))</f>
        <v>0</v>
      </c>
    </row>
    <row r="356">
      <c r="A356" t="inlineStr">
        <is>
          <t xml:space="preserve">5EPM</t>
        </is>
      </c>
      <c r="B356" cm="1">
        <f t="array" ref="B356">IFERROR(INDEX(_xlfn._xlws.FILTER(CONFIG_ASIGNATURAS!$B$2:$B$91,(CONFIG_ASIGNATURAS!$G$2:$G$91="Sí")*ISNUMBER(SEARCH("5EPM",CONFIG_ASIGNATURAS!$C$2:$C$91))),33),"")</f>
      </c>
      <c r="C356">
        <f>IF(B356="","",IFERROR(VLOOKUP(B356,CONFIG_ASIGNATURAS!$B$2:$D$91,3,FALSE()),"Asignatura"))</f>
      </c>
      <c r="D356">
        <f>SUMPRODUCT((nCUENTA=1)*(nCURSO=A356)*(nASIG=B356))</f>
        <v>0</v>
      </c>
      <c r="E356" s="10" t="str">
        <f>IFERROR(SUMPRODUCT((nCUENTA=1)*(nCURSO=A356)*(nASIG=B356)*(nNOTA))/D356,"—")</f>
        <v>—</v>
      </c>
      <c r="F356" s="10" t="str" cm="1">
        <f t="array" ref="F356">IFERROR(_xlfn.STDEV.P(_xlfn._xlws.FILTER(nNOTA,(nCUENTA=1)*(nCURSO=A356)*(nASIG=B356))),"—")</f>
        <v>—</v>
      </c>
      <c r="G356" t="str" cm="1">
        <f t="array" ref="G356">IFERROR(_xlfn.MODE.SNGL(_xlfn._xlws.FILTER(nNOTA,(nCUENTA=1)*(nCURSO=A356)*(nASIG=B356))),"—")</f>
        <v>—</v>
      </c>
      <c r="H356" s="11" t="str">
        <f>IFERROR(SUMPRODUCT((nCUENTA=1)*(nCURSO=A356)*(nASIG=B356)*(nAPTO="S"))/D356,"—")</f>
        <v>—</v>
      </c>
      <c r="I356" s="11" t="str">
        <f>IFERROR(SUMPRODUCT((nCUENTA=1)*(nCURSO=A356)*(nASIG=B356)*(nAPTO="N"))/D356,"—")</f>
        <v>—</v>
      </c>
      <c r="J356" t="str" cm="1">
        <f t="array" ref="J356">IFERROR(_xlfn.MODE.SNGL(_xlfn._xlws.FILTER(nNOTA,(nCUENTA=1)*(nCURSO=A356)*(nASIG=B356)*(nAPTO="S"))),"—")</f>
        <v>—</v>
      </c>
      <c r="K356" t="str" cm="1">
        <f t="array" ref="K356">IFERROR(_xlfn.MODE.SNGL(_xlfn._xlws.FILTER(nNOTA,(nCUENTA=1)*(nCURSO=A356)*(nASIG=B356)*(nAPTO="N"))),"—")</f>
        <v>—</v>
      </c>
      <c r="L356">
        <f>SUMPRODUCT((nCUENTA=1)*(nCURSO=A356)*(nASIG=B356)*(nNOTA=1))</f>
        <v>0</v>
      </c>
      <c r="M356">
        <f>SUMPRODUCT((nCUENTA=1)*(nCURSO=A356)*(nASIG=B356)*(nNOTA=2))</f>
        <v>0</v>
      </c>
      <c r="N356">
        <f>SUMPRODUCT((nCUENTA=1)*(nCURSO=A356)*(nASIG=B356)*(nNOTA=3))</f>
        <v>0</v>
      </c>
      <c r="O356">
        <f>SUMPRODUCT((nCUENTA=1)*(nCURSO=A356)*(nASIG=B356)*(nNOTA=4))</f>
        <v>0</v>
      </c>
      <c r="P356">
        <f>SUMPRODUCT((nCUENTA=1)*(nCURSO=A356)*(nASIG=B356)*(nNOTA=5))</f>
        <v>0</v>
      </c>
      <c r="Q356">
        <f>SUMPRODUCT((nCUENTA=1)*(nCURSO=A356)*(nASIG=B356)*(nNOTA=6))</f>
        <v>0</v>
      </c>
      <c r="R356">
        <f>SUMPRODUCT((nCUENTA=1)*(nCURSO=A356)*(nASIG=B356)*(nNOTA=7))</f>
        <v>0</v>
      </c>
      <c r="S356">
        <f>SUMPRODUCT((nCUENTA=1)*(nCURSO=A356)*(nASIG=B356)*(nNOTA=8))</f>
        <v>0</v>
      </c>
      <c r="T356">
        <f>SUMPRODUCT((nCUENTA=1)*(nCURSO=A356)*(nASIG=B356)*(nNOTA=9))</f>
        <v>0</v>
      </c>
      <c r="U356">
        <f>SUMPRODUCT((nCUENTA=1)*(nCURSO=A356)*(nASIG=B356)*(nNOTA=10))</f>
        <v>0</v>
      </c>
    </row>
    <row r="357">
      <c r="A357" t="inlineStr">
        <is>
          <t xml:space="preserve">5EPM</t>
        </is>
      </c>
      <c r="B357" cm="1">
        <f t="array" ref="B357">IFERROR(INDEX(_xlfn._xlws.FILTER(CONFIG_ASIGNATURAS!$B$2:$B$91,(CONFIG_ASIGNATURAS!$G$2:$G$91="Sí")*ISNUMBER(SEARCH("5EPM",CONFIG_ASIGNATURAS!$C$2:$C$91))),34),"")</f>
      </c>
      <c r="C357">
        <f>IF(B357="","",IFERROR(VLOOKUP(B357,CONFIG_ASIGNATURAS!$B$2:$D$91,3,FALSE()),"Asignatura"))</f>
      </c>
      <c r="D357">
        <f>SUMPRODUCT((nCUENTA=1)*(nCURSO=A357)*(nASIG=B357))</f>
        <v>0</v>
      </c>
      <c r="E357" s="10" t="str">
        <f>IFERROR(SUMPRODUCT((nCUENTA=1)*(nCURSO=A357)*(nASIG=B357)*(nNOTA))/D357,"—")</f>
        <v>—</v>
      </c>
      <c r="F357" s="10" t="str" cm="1">
        <f t="array" ref="F357">IFERROR(_xlfn.STDEV.P(_xlfn._xlws.FILTER(nNOTA,(nCUENTA=1)*(nCURSO=A357)*(nASIG=B357))),"—")</f>
        <v>—</v>
      </c>
      <c r="G357" t="str" cm="1">
        <f t="array" ref="G357">IFERROR(_xlfn.MODE.SNGL(_xlfn._xlws.FILTER(nNOTA,(nCUENTA=1)*(nCURSO=A357)*(nASIG=B357))),"—")</f>
        <v>—</v>
      </c>
      <c r="H357" s="11" t="str">
        <f>IFERROR(SUMPRODUCT((nCUENTA=1)*(nCURSO=A357)*(nASIG=B357)*(nAPTO="S"))/D357,"—")</f>
        <v>—</v>
      </c>
      <c r="I357" s="11" t="str">
        <f>IFERROR(SUMPRODUCT((nCUENTA=1)*(nCURSO=A357)*(nASIG=B357)*(nAPTO="N"))/D357,"—")</f>
        <v>—</v>
      </c>
      <c r="J357" t="str" cm="1">
        <f t="array" ref="J357">IFERROR(_xlfn.MODE.SNGL(_xlfn._xlws.FILTER(nNOTA,(nCUENTA=1)*(nCURSO=A357)*(nASIG=B357)*(nAPTO="S"))),"—")</f>
        <v>—</v>
      </c>
      <c r="K357" t="str" cm="1">
        <f t="array" ref="K357">IFERROR(_xlfn.MODE.SNGL(_xlfn._xlws.FILTER(nNOTA,(nCUENTA=1)*(nCURSO=A357)*(nASIG=B357)*(nAPTO="N"))),"—")</f>
        <v>—</v>
      </c>
      <c r="L357">
        <f>SUMPRODUCT((nCUENTA=1)*(nCURSO=A357)*(nASIG=B357)*(nNOTA=1))</f>
        <v>0</v>
      </c>
      <c r="M357">
        <f>SUMPRODUCT((nCUENTA=1)*(nCURSO=A357)*(nASIG=B357)*(nNOTA=2))</f>
        <v>0</v>
      </c>
      <c r="N357">
        <f>SUMPRODUCT((nCUENTA=1)*(nCURSO=A357)*(nASIG=B357)*(nNOTA=3))</f>
        <v>0</v>
      </c>
      <c r="O357">
        <f>SUMPRODUCT((nCUENTA=1)*(nCURSO=A357)*(nASIG=B357)*(nNOTA=4))</f>
        <v>0</v>
      </c>
      <c r="P357">
        <f>SUMPRODUCT((nCUENTA=1)*(nCURSO=A357)*(nASIG=B357)*(nNOTA=5))</f>
        <v>0</v>
      </c>
      <c r="Q357">
        <f>SUMPRODUCT((nCUENTA=1)*(nCURSO=A357)*(nASIG=B357)*(nNOTA=6))</f>
        <v>0</v>
      </c>
      <c r="R357">
        <f>SUMPRODUCT((nCUENTA=1)*(nCURSO=A357)*(nASIG=B357)*(nNOTA=7))</f>
        <v>0</v>
      </c>
      <c r="S357">
        <f>SUMPRODUCT((nCUENTA=1)*(nCURSO=A357)*(nASIG=B357)*(nNOTA=8))</f>
        <v>0</v>
      </c>
      <c r="T357">
        <f>SUMPRODUCT((nCUENTA=1)*(nCURSO=A357)*(nASIG=B357)*(nNOTA=9))</f>
        <v>0</v>
      </c>
      <c r="U357">
        <f>SUMPRODUCT((nCUENTA=1)*(nCURSO=A357)*(nASIG=B357)*(nNOTA=10))</f>
        <v>0</v>
      </c>
    </row>
    <row r="358">
      <c r="A358" t="inlineStr">
        <is>
          <t xml:space="preserve">5EPM</t>
        </is>
      </c>
      <c r="B358" cm="1">
        <f t="array" ref="B358">IFERROR(INDEX(_xlfn._xlws.FILTER(CONFIG_ASIGNATURAS!$B$2:$B$91,(CONFIG_ASIGNATURAS!$G$2:$G$91="Sí")*ISNUMBER(SEARCH("5EPM",CONFIG_ASIGNATURAS!$C$2:$C$91))),35),"")</f>
      </c>
      <c r="C358">
        <f>IF(B358="","",IFERROR(VLOOKUP(B358,CONFIG_ASIGNATURAS!$B$2:$D$91,3,FALSE()),"Asignatura"))</f>
      </c>
      <c r="D358">
        <f>SUMPRODUCT((nCUENTA=1)*(nCURSO=A358)*(nASIG=B358))</f>
        <v>0</v>
      </c>
      <c r="E358" s="10" t="str">
        <f>IFERROR(SUMPRODUCT((nCUENTA=1)*(nCURSO=A358)*(nASIG=B358)*(nNOTA))/D358,"—")</f>
        <v>—</v>
      </c>
      <c r="F358" s="10" t="str" cm="1">
        <f t="array" ref="F358">IFERROR(_xlfn.STDEV.P(_xlfn._xlws.FILTER(nNOTA,(nCUENTA=1)*(nCURSO=A358)*(nASIG=B358))),"—")</f>
        <v>—</v>
      </c>
      <c r="G358" t="str" cm="1">
        <f t="array" ref="G358">IFERROR(_xlfn.MODE.SNGL(_xlfn._xlws.FILTER(nNOTA,(nCUENTA=1)*(nCURSO=A358)*(nASIG=B358))),"—")</f>
        <v>—</v>
      </c>
      <c r="H358" s="11" t="str">
        <f>IFERROR(SUMPRODUCT((nCUENTA=1)*(nCURSO=A358)*(nASIG=B358)*(nAPTO="S"))/D358,"—")</f>
        <v>—</v>
      </c>
      <c r="I358" s="11" t="str">
        <f>IFERROR(SUMPRODUCT((nCUENTA=1)*(nCURSO=A358)*(nASIG=B358)*(nAPTO="N"))/D358,"—")</f>
        <v>—</v>
      </c>
      <c r="J358" t="str" cm="1">
        <f t="array" ref="J358">IFERROR(_xlfn.MODE.SNGL(_xlfn._xlws.FILTER(nNOTA,(nCUENTA=1)*(nCURSO=A358)*(nASIG=B358)*(nAPTO="S"))),"—")</f>
        <v>—</v>
      </c>
      <c r="K358" t="str" cm="1">
        <f t="array" ref="K358">IFERROR(_xlfn.MODE.SNGL(_xlfn._xlws.FILTER(nNOTA,(nCUENTA=1)*(nCURSO=A358)*(nASIG=B358)*(nAPTO="N"))),"—")</f>
        <v>—</v>
      </c>
      <c r="L358">
        <f>SUMPRODUCT((nCUENTA=1)*(nCURSO=A358)*(nASIG=B358)*(nNOTA=1))</f>
        <v>0</v>
      </c>
      <c r="M358">
        <f>SUMPRODUCT((nCUENTA=1)*(nCURSO=A358)*(nASIG=B358)*(nNOTA=2))</f>
        <v>0</v>
      </c>
      <c r="N358">
        <f>SUMPRODUCT((nCUENTA=1)*(nCURSO=A358)*(nASIG=B358)*(nNOTA=3))</f>
        <v>0</v>
      </c>
      <c r="O358">
        <f>SUMPRODUCT((nCUENTA=1)*(nCURSO=A358)*(nASIG=B358)*(nNOTA=4))</f>
        <v>0</v>
      </c>
      <c r="P358">
        <f>SUMPRODUCT((nCUENTA=1)*(nCURSO=A358)*(nASIG=B358)*(nNOTA=5))</f>
        <v>0</v>
      </c>
      <c r="Q358">
        <f>SUMPRODUCT((nCUENTA=1)*(nCURSO=A358)*(nASIG=B358)*(nNOTA=6))</f>
        <v>0</v>
      </c>
      <c r="R358">
        <f>SUMPRODUCT((nCUENTA=1)*(nCURSO=A358)*(nASIG=B358)*(nNOTA=7))</f>
        <v>0</v>
      </c>
      <c r="S358">
        <f>SUMPRODUCT((nCUENTA=1)*(nCURSO=A358)*(nASIG=B358)*(nNOTA=8))</f>
        <v>0</v>
      </c>
      <c r="T358">
        <f>SUMPRODUCT((nCUENTA=1)*(nCURSO=A358)*(nASIG=B358)*(nNOTA=9))</f>
        <v>0</v>
      </c>
      <c r="U358">
        <f>SUMPRODUCT((nCUENTA=1)*(nCURSO=A358)*(nASIG=B358)*(nNOTA=10))</f>
        <v>0</v>
      </c>
    </row>
    <row r="359">
      <c r="A359" t="inlineStr">
        <is>
          <t xml:space="preserve">5EPM</t>
        </is>
      </c>
      <c r="B359" cm="1">
        <f t="array" ref="B359">IFERROR(INDEX(_xlfn._xlws.FILTER(CONFIG_ASIGNATURAS!$B$2:$B$91,(CONFIG_ASIGNATURAS!$G$2:$G$91="Sí")*ISNUMBER(SEARCH("5EPM",CONFIG_ASIGNATURAS!$C$2:$C$91))),36),"")</f>
      </c>
      <c r="C359">
        <f>IF(B359="","",IFERROR(VLOOKUP(B359,CONFIG_ASIGNATURAS!$B$2:$D$91,3,FALSE()),"Asignatura"))</f>
      </c>
      <c r="D359">
        <f>SUMPRODUCT((nCUENTA=1)*(nCURSO=A359)*(nASIG=B359))</f>
        <v>0</v>
      </c>
      <c r="E359" s="10" t="str">
        <f>IFERROR(SUMPRODUCT((nCUENTA=1)*(nCURSO=A359)*(nASIG=B359)*(nNOTA))/D359,"—")</f>
        <v>—</v>
      </c>
      <c r="F359" s="10" t="str" cm="1">
        <f t="array" ref="F359">IFERROR(_xlfn.STDEV.P(_xlfn._xlws.FILTER(nNOTA,(nCUENTA=1)*(nCURSO=A359)*(nASIG=B359))),"—")</f>
        <v>—</v>
      </c>
      <c r="G359" t="str" cm="1">
        <f t="array" ref="G359">IFERROR(_xlfn.MODE.SNGL(_xlfn._xlws.FILTER(nNOTA,(nCUENTA=1)*(nCURSO=A359)*(nASIG=B359))),"—")</f>
        <v>—</v>
      </c>
      <c r="H359" s="11" t="str">
        <f>IFERROR(SUMPRODUCT((nCUENTA=1)*(nCURSO=A359)*(nASIG=B359)*(nAPTO="S"))/D359,"—")</f>
        <v>—</v>
      </c>
      <c r="I359" s="11" t="str">
        <f>IFERROR(SUMPRODUCT((nCUENTA=1)*(nCURSO=A359)*(nASIG=B359)*(nAPTO="N"))/D359,"—")</f>
        <v>—</v>
      </c>
      <c r="J359" t="str" cm="1">
        <f t="array" ref="J359">IFERROR(_xlfn.MODE.SNGL(_xlfn._xlws.FILTER(nNOTA,(nCUENTA=1)*(nCURSO=A359)*(nASIG=B359)*(nAPTO="S"))),"—")</f>
        <v>—</v>
      </c>
      <c r="K359" t="str" cm="1">
        <f t="array" ref="K359">IFERROR(_xlfn.MODE.SNGL(_xlfn._xlws.FILTER(nNOTA,(nCUENTA=1)*(nCURSO=A359)*(nASIG=B359)*(nAPTO="N"))),"—")</f>
        <v>—</v>
      </c>
      <c r="L359">
        <f>SUMPRODUCT((nCUENTA=1)*(nCURSO=A359)*(nASIG=B359)*(nNOTA=1))</f>
        <v>0</v>
      </c>
      <c r="M359">
        <f>SUMPRODUCT((nCUENTA=1)*(nCURSO=A359)*(nASIG=B359)*(nNOTA=2))</f>
        <v>0</v>
      </c>
      <c r="N359">
        <f>SUMPRODUCT((nCUENTA=1)*(nCURSO=A359)*(nASIG=B359)*(nNOTA=3))</f>
        <v>0</v>
      </c>
      <c r="O359">
        <f>SUMPRODUCT((nCUENTA=1)*(nCURSO=A359)*(nASIG=B359)*(nNOTA=4))</f>
        <v>0</v>
      </c>
      <c r="P359">
        <f>SUMPRODUCT((nCUENTA=1)*(nCURSO=A359)*(nASIG=B359)*(nNOTA=5))</f>
        <v>0</v>
      </c>
      <c r="Q359">
        <f>SUMPRODUCT((nCUENTA=1)*(nCURSO=A359)*(nASIG=B359)*(nNOTA=6))</f>
        <v>0</v>
      </c>
      <c r="R359">
        <f>SUMPRODUCT((nCUENTA=1)*(nCURSO=A359)*(nASIG=B359)*(nNOTA=7))</f>
        <v>0</v>
      </c>
      <c r="S359">
        <f>SUMPRODUCT((nCUENTA=1)*(nCURSO=A359)*(nASIG=B359)*(nNOTA=8))</f>
        <v>0</v>
      </c>
      <c r="T359">
        <f>SUMPRODUCT((nCUENTA=1)*(nCURSO=A359)*(nASIG=B359)*(nNOTA=9))</f>
        <v>0</v>
      </c>
      <c r="U359">
        <f>SUMPRODUCT((nCUENTA=1)*(nCURSO=A359)*(nASIG=B359)*(nNOTA=10))</f>
        <v>0</v>
      </c>
    </row>
    <row r="360">
      <c r="A360" t="inlineStr">
        <is>
          <t xml:space="preserve">5EPM</t>
        </is>
      </c>
      <c r="B360" cm="1">
        <f t="array" ref="B360">IFERROR(INDEX(_xlfn._xlws.FILTER(CONFIG_ASIGNATURAS!$B$2:$B$91,(CONFIG_ASIGNATURAS!$G$2:$G$91="Sí")*ISNUMBER(SEARCH("5EPM",CONFIG_ASIGNATURAS!$C$2:$C$91))),37),"")</f>
      </c>
      <c r="C360">
        <f>IF(B360="","",IFERROR(VLOOKUP(B360,CONFIG_ASIGNATURAS!$B$2:$D$91,3,FALSE()),"Asignatura"))</f>
      </c>
      <c r="D360">
        <f>SUMPRODUCT((nCUENTA=1)*(nCURSO=A360)*(nASIG=B360))</f>
        <v>0</v>
      </c>
      <c r="E360" s="10" t="str">
        <f>IFERROR(SUMPRODUCT((nCUENTA=1)*(nCURSO=A360)*(nASIG=B360)*(nNOTA))/D360,"—")</f>
        <v>—</v>
      </c>
      <c r="F360" s="10" t="str" cm="1">
        <f t="array" ref="F360">IFERROR(_xlfn.STDEV.P(_xlfn._xlws.FILTER(nNOTA,(nCUENTA=1)*(nCURSO=A360)*(nASIG=B360))),"—")</f>
        <v>—</v>
      </c>
      <c r="G360" t="str" cm="1">
        <f t="array" ref="G360">IFERROR(_xlfn.MODE.SNGL(_xlfn._xlws.FILTER(nNOTA,(nCUENTA=1)*(nCURSO=A360)*(nASIG=B360))),"—")</f>
        <v>—</v>
      </c>
      <c r="H360" s="11" t="str">
        <f>IFERROR(SUMPRODUCT((nCUENTA=1)*(nCURSO=A360)*(nASIG=B360)*(nAPTO="S"))/D360,"—")</f>
        <v>—</v>
      </c>
      <c r="I360" s="11" t="str">
        <f>IFERROR(SUMPRODUCT((nCUENTA=1)*(nCURSO=A360)*(nASIG=B360)*(nAPTO="N"))/D360,"—")</f>
        <v>—</v>
      </c>
      <c r="J360" t="str" cm="1">
        <f t="array" ref="J360">IFERROR(_xlfn.MODE.SNGL(_xlfn._xlws.FILTER(nNOTA,(nCUENTA=1)*(nCURSO=A360)*(nASIG=B360)*(nAPTO="S"))),"—")</f>
        <v>—</v>
      </c>
      <c r="K360" t="str" cm="1">
        <f t="array" ref="K360">IFERROR(_xlfn.MODE.SNGL(_xlfn._xlws.FILTER(nNOTA,(nCUENTA=1)*(nCURSO=A360)*(nASIG=B360)*(nAPTO="N"))),"—")</f>
        <v>—</v>
      </c>
      <c r="L360">
        <f>SUMPRODUCT((nCUENTA=1)*(nCURSO=A360)*(nASIG=B360)*(nNOTA=1))</f>
        <v>0</v>
      </c>
      <c r="M360">
        <f>SUMPRODUCT((nCUENTA=1)*(nCURSO=A360)*(nASIG=B360)*(nNOTA=2))</f>
        <v>0</v>
      </c>
      <c r="N360">
        <f>SUMPRODUCT((nCUENTA=1)*(nCURSO=A360)*(nASIG=B360)*(nNOTA=3))</f>
        <v>0</v>
      </c>
      <c r="O360">
        <f>SUMPRODUCT((nCUENTA=1)*(nCURSO=A360)*(nASIG=B360)*(nNOTA=4))</f>
        <v>0</v>
      </c>
      <c r="P360">
        <f>SUMPRODUCT((nCUENTA=1)*(nCURSO=A360)*(nASIG=B360)*(nNOTA=5))</f>
        <v>0</v>
      </c>
      <c r="Q360">
        <f>SUMPRODUCT((nCUENTA=1)*(nCURSO=A360)*(nASIG=B360)*(nNOTA=6))</f>
        <v>0</v>
      </c>
      <c r="R360">
        <f>SUMPRODUCT((nCUENTA=1)*(nCURSO=A360)*(nASIG=B360)*(nNOTA=7))</f>
        <v>0</v>
      </c>
      <c r="S360">
        <f>SUMPRODUCT((nCUENTA=1)*(nCURSO=A360)*(nASIG=B360)*(nNOTA=8))</f>
        <v>0</v>
      </c>
      <c r="T360">
        <f>SUMPRODUCT((nCUENTA=1)*(nCURSO=A360)*(nASIG=B360)*(nNOTA=9))</f>
        <v>0</v>
      </c>
      <c r="U360">
        <f>SUMPRODUCT((nCUENTA=1)*(nCURSO=A360)*(nASIG=B360)*(nNOTA=10))</f>
        <v>0</v>
      </c>
    </row>
    <row r="361">
      <c r="A361" t="inlineStr">
        <is>
          <t xml:space="preserve">5EPM</t>
        </is>
      </c>
      <c r="B361" cm="1">
        <f t="array" ref="B361">IFERROR(INDEX(_xlfn._xlws.FILTER(CONFIG_ASIGNATURAS!$B$2:$B$91,(CONFIG_ASIGNATURAS!$G$2:$G$91="Sí")*ISNUMBER(SEARCH("5EPM",CONFIG_ASIGNATURAS!$C$2:$C$91))),38),"")</f>
      </c>
      <c r="C361">
        <f>IF(B361="","",IFERROR(VLOOKUP(B361,CONFIG_ASIGNATURAS!$B$2:$D$91,3,FALSE()),"Asignatura"))</f>
      </c>
      <c r="D361">
        <f>SUMPRODUCT((nCUENTA=1)*(nCURSO=A361)*(nASIG=B361))</f>
        <v>0</v>
      </c>
      <c r="E361" s="10" t="str">
        <f>IFERROR(SUMPRODUCT((nCUENTA=1)*(nCURSO=A361)*(nASIG=B361)*(nNOTA))/D361,"—")</f>
        <v>—</v>
      </c>
      <c r="F361" s="10" t="str" cm="1">
        <f t="array" ref="F361">IFERROR(_xlfn.STDEV.P(_xlfn._xlws.FILTER(nNOTA,(nCUENTA=1)*(nCURSO=A361)*(nASIG=B361))),"—")</f>
        <v>—</v>
      </c>
      <c r="G361" t="str" cm="1">
        <f t="array" ref="G361">IFERROR(_xlfn.MODE.SNGL(_xlfn._xlws.FILTER(nNOTA,(nCUENTA=1)*(nCURSO=A361)*(nASIG=B361))),"—")</f>
        <v>—</v>
      </c>
      <c r="H361" s="11" t="str">
        <f>IFERROR(SUMPRODUCT((nCUENTA=1)*(nCURSO=A361)*(nASIG=B361)*(nAPTO="S"))/D361,"—")</f>
        <v>—</v>
      </c>
      <c r="I361" s="11" t="str">
        <f>IFERROR(SUMPRODUCT((nCUENTA=1)*(nCURSO=A361)*(nASIG=B361)*(nAPTO="N"))/D361,"—")</f>
        <v>—</v>
      </c>
      <c r="J361" t="str" cm="1">
        <f t="array" ref="J361">IFERROR(_xlfn.MODE.SNGL(_xlfn._xlws.FILTER(nNOTA,(nCUENTA=1)*(nCURSO=A361)*(nASIG=B361)*(nAPTO="S"))),"—")</f>
        <v>—</v>
      </c>
      <c r="K361" t="str" cm="1">
        <f t="array" ref="K361">IFERROR(_xlfn.MODE.SNGL(_xlfn._xlws.FILTER(nNOTA,(nCUENTA=1)*(nCURSO=A361)*(nASIG=B361)*(nAPTO="N"))),"—")</f>
        <v>—</v>
      </c>
      <c r="L361">
        <f>SUMPRODUCT((nCUENTA=1)*(nCURSO=A361)*(nASIG=B361)*(nNOTA=1))</f>
        <v>0</v>
      </c>
      <c r="M361">
        <f>SUMPRODUCT((nCUENTA=1)*(nCURSO=A361)*(nASIG=B361)*(nNOTA=2))</f>
        <v>0</v>
      </c>
      <c r="N361">
        <f>SUMPRODUCT((nCUENTA=1)*(nCURSO=A361)*(nASIG=B361)*(nNOTA=3))</f>
        <v>0</v>
      </c>
      <c r="O361">
        <f>SUMPRODUCT((nCUENTA=1)*(nCURSO=A361)*(nASIG=B361)*(nNOTA=4))</f>
        <v>0</v>
      </c>
      <c r="P361">
        <f>SUMPRODUCT((nCUENTA=1)*(nCURSO=A361)*(nASIG=B361)*(nNOTA=5))</f>
        <v>0</v>
      </c>
      <c r="Q361">
        <f>SUMPRODUCT((nCUENTA=1)*(nCURSO=A361)*(nASIG=B361)*(nNOTA=6))</f>
        <v>0</v>
      </c>
      <c r="R361">
        <f>SUMPRODUCT((nCUENTA=1)*(nCURSO=A361)*(nASIG=B361)*(nNOTA=7))</f>
        <v>0</v>
      </c>
      <c r="S361">
        <f>SUMPRODUCT((nCUENTA=1)*(nCURSO=A361)*(nASIG=B361)*(nNOTA=8))</f>
        <v>0</v>
      </c>
      <c r="T361">
        <f>SUMPRODUCT((nCUENTA=1)*(nCURSO=A361)*(nASIG=B361)*(nNOTA=9))</f>
        <v>0</v>
      </c>
      <c r="U361">
        <f>SUMPRODUCT((nCUENTA=1)*(nCURSO=A361)*(nASIG=B361)*(nNOTA=10))</f>
        <v>0</v>
      </c>
    </row>
    <row r="362">
      <c r="A362" t="inlineStr">
        <is>
          <t xml:space="preserve">5EPM</t>
        </is>
      </c>
      <c r="B362" cm="1">
        <f t="array" ref="B362">IFERROR(INDEX(_xlfn._xlws.FILTER(CONFIG_ASIGNATURAS!$B$2:$B$91,(CONFIG_ASIGNATURAS!$G$2:$G$91="Sí")*ISNUMBER(SEARCH("5EPM",CONFIG_ASIGNATURAS!$C$2:$C$91))),39),"")</f>
      </c>
      <c r="C362">
        <f>IF(B362="","",IFERROR(VLOOKUP(B362,CONFIG_ASIGNATURAS!$B$2:$D$91,3,FALSE()),"Asignatura"))</f>
      </c>
      <c r="D362">
        <f>SUMPRODUCT((nCUENTA=1)*(nCURSO=A362)*(nASIG=B362))</f>
        <v>0</v>
      </c>
      <c r="E362" s="10" t="str">
        <f>IFERROR(SUMPRODUCT((nCUENTA=1)*(nCURSO=A362)*(nASIG=B362)*(nNOTA))/D362,"—")</f>
        <v>—</v>
      </c>
      <c r="F362" s="10" t="str" cm="1">
        <f t="array" ref="F362">IFERROR(_xlfn.STDEV.P(_xlfn._xlws.FILTER(nNOTA,(nCUENTA=1)*(nCURSO=A362)*(nASIG=B362))),"—")</f>
        <v>—</v>
      </c>
      <c r="G362" t="str" cm="1">
        <f t="array" ref="G362">IFERROR(_xlfn.MODE.SNGL(_xlfn._xlws.FILTER(nNOTA,(nCUENTA=1)*(nCURSO=A362)*(nASIG=B362))),"—")</f>
        <v>—</v>
      </c>
      <c r="H362" s="11" t="str">
        <f>IFERROR(SUMPRODUCT((nCUENTA=1)*(nCURSO=A362)*(nASIG=B362)*(nAPTO="S"))/D362,"—")</f>
        <v>—</v>
      </c>
      <c r="I362" s="11" t="str">
        <f>IFERROR(SUMPRODUCT((nCUENTA=1)*(nCURSO=A362)*(nASIG=B362)*(nAPTO="N"))/D362,"—")</f>
        <v>—</v>
      </c>
      <c r="J362" t="str" cm="1">
        <f t="array" ref="J362">IFERROR(_xlfn.MODE.SNGL(_xlfn._xlws.FILTER(nNOTA,(nCUENTA=1)*(nCURSO=A362)*(nASIG=B362)*(nAPTO="S"))),"—")</f>
        <v>—</v>
      </c>
      <c r="K362" t="str" cm="1">
        <f t="array" ref="K362">IFERROR(_xlfn.MODE.SNGL(_xlfn._xlws.FILTER(nNOTA,(nCUENTA=1)*(nCURSO=A362)*(nASIG=B362)*(nAPTO="N"))),"—")</f>
        <v>—</v>
      </c>
      <c r="L362">
        <f>SUMPRODUCT((nCUENTA=1)*(nCURSO=A362)*(nASIG=B362)*(nNOTA=1))</f>
        <v>0</v>
      </c>
      <c r="M362">
        <f>SUMPRODUCT((nCUENTA=1)*(nCURSO=A362)*(nASIG=B362)*(nNOTA=2))</f>
        <v>0</v>
      </c>
      <c r="N362">
        <f>SUMPRODUCT((nCUENTA=1)*(nCURSO=A362)*(nASIG=B362)*(nNOTA=3))</f>
        <v>0</v>
      </c>
      <c r="O362">
        <f>SUMPRODUCT((nCUENTA=1)*(nCURSO=A362)*(nASIG=B362)*(nNOTA=4))</f>
        <v>0</v>
      </c>
      <c r="P362">
        <f>SUMPRODUCT((nCUENTA=1)*(nCURSO=A362)*(nASIG=B362)*(nNOTA=5))</f>
        <v>0</v>
      </c>
      <c r="Q362">
        <f>SUMPRODUCT((nCUENTA=1)*(nCURSO=A362)*(nASIG=B362)*(nNOTA=6))</f>
        <v>0</v>
      </c>
      <c r="R362">
        <f>SUMPRODUCT((nCUENTA=1)*(nCURSO=A362)*(nASIG=B362)*(nNOTA=7))</f>
        <v>0</v>
      </c>
      <c r="S362">
        <f>SUMPRODUCT((nCUENTA=1)*(nCURSO=A362)*(nASIG=B362)*(nNOTA=8))</f>
        <v>0</v>
      </c>
      <c r="T362">
        <f>SUMPRODUCT((nCUENTA=1)*(nCURSO=A362)*(nASIG=B362)*(nNOTA=9))</f>
        <v>0</v>
      </c>
      <c r="U362">
        <f>SUMPRODUCT((nCUENTA=1)*(nCURSO=A362)*(nASIG=B362)*(nNOTA=10))</f>
        <v>0</v>
      </c>
    </row>
    <row r="363">
      <c r="A363" t="inlineStr">
        <is>
          <t xml:space="preserve">5EPM</t>
        </is>
      </c>
      <c r="B363" cm="1">
        <f t="array" ref="B363">IFERROR(INDEX(_xlfn._xlws.FILTER(CONFIG_ASIGNATURAS!$B$2:$B$91,(CONFIG_ASIGNATURAS!$G$2:$G$91="Sí")*ISNUMBER(SEARCH("5EPM",CONFIG_ASIGNATURAS!$C$2:$C$91))),40),"")</f>
      </c>
      <c r="C363">
        <f>IF(B363="","",IFERROR(VLOOKUP(B363,CONFIG_ASIGNATURAS!$B$2:$D$91,3,FALSE()),"Asignatura"))</f>
      </c>
      <c r="D363">
        <f>SUMPRODUCT((nCUENTA=1)*(nCURSO=A363)*(nASIG=B363))</f>
        <v>0</v>
      </c>
      <c r="E363" s="10" t="str">
        <f>IFERROR(SUMPRODUCT((nCUENTA=1)*(nCURSO=A363)*(nASIG=B363)*(nNOTA))/D363,"—")</f>
        <v>—</v>
      </c>
      <c r="F363" s="10" t="str" cm="1">
        <f t="array" ref="F363">IFERROR(_xlfn.STDEV.P(_xlfn._xlws.FILTER(nNOTA,(nCUENTA=1)*(nCURSO=A363)*(nASIG=B363))),"—")</f>
        <v>—</v>
      </c>
      <c r="G363" t="str" cm="1">
        <f t="array" ref="G363">IFERROR(_xlfn.MODE.SNGL(_xlfn._xlws.FILTER(nNOTA,(nCUENTA=1)*(nCURSO=A363)*(nASIG=B363))),"—")</f>
        <v>—</v>
      </c>
      <c r="H363" s="11" t="str">
        <f>IFERROR(SUMPRODUCT((nCUENTA=1)*(nCURSO=A363)*(nASIG=B363)*(nAPTO="S"))/D363,"—")</f>
        <v>—</v>
      </c>
      <c r="I363" s="11" t="str">
        <f>IFERROR(SUMPRODUCT((nCUENTA=1)*(nCURSO=A363)*(nASIG=B363)*(nAPTO="N"))/D363,"—")</f>
        <v>—</v>
      </c>
      <c r="J363" t="str" cm="1">
        <f t="array" ref="J363">IFERROR(_xlfn.MODE.SNGL(_xlfn._xlws.FILTER(nNOTA,(nCUENTA=1)*(nCURSO=A363)*(nASIG=B363)*(nAPTO="S"))),"—")</f>
        <v>—</v>
      </c>
      <c r="K363" t="str" cm="1">
        <f t="array" ref="K363">IFERROR(_xlfn.MODE.SNGL(_xlfn._xlws.FILTER(nNOTA,(nCUENTA=1)*(nCURSO=A363)*(nASIG=B363)*(nAPTO="N"))),"—")</f>
        <v>—</v>
      </c>
      <c r="L363">
        <f>SUMPRODUCT((nCUENTA=1)*(nCURSO=A363)*(nASIG=B363)*(nNOTA=1))</f>
        <v>0</v>
      </c>
      <c r="M363">
        <f>SUMPRODUCT((nCUENTA=1)*(nCURSO=A363)*(nASIG=B363)*(nNOTA=2))</f>
        <v>0</v>
      </c>
      <c r="N363">
        <f>SUMPRODUCT((nCUENTA=1)*(nCURSO=A363)*(nASIG=B363)*(nNOTA=3))</f>
        <v>0</v>
      </c>
      <c r="O363">
        <f>SUMPRODUCT((nCUENTA=1)*(nCURSO=A363)*(nASIG=B363)*(nNOTA=4))</f>
        <v>0</v>
      </c>
      <c r="P363">
        <f>SUMPRODUCT((nCUENTA=1)*(nCURSO=A363)*(nASIG=B363)*(nNOTA=5))</f>
        <v>0</v>
      </c>
      <c r="Q363">
        <f>SUMPRODUCT((nCUENTA=1)*(nCURSO=A363)*(nASIG=B363)*(nNOTA=6))</f>
        <v>0</v>
      </c>
      <c r="R363">
        <f>SUMPRODUCT((nCUENTA=1)*(nCURSO=A363)*(nASIG=B363)*(nNOTA=7))</f>
        <v>0</v>
      </c>
      <c r="S363">
        <f>SUMPRODUCT((nCUENTA=1)*(nCURSO=A363)*(nASIG=B363)*(nNOTA=8))</f>
        <v>0</v>
      </c>
      <c r="T363">
        <f>SUMPRODUCT((nCUENTA=1)*(nCURSO=A363)*(nASIG=B363)*(nNOTA=9))</f>
        <v>0</v>
      </c>
      <c r="U363">
        <f>SUMPRODUCT((nCUENTA=1)*(nCURSO=A363)*(nASIG=B363)*(nNOTA=10))</f>
        <v>0</v>
      </c>
    </row>
    <row r="364">
      <c r="A364" t="inlineStr">
        <is>
          <t xml:space="preserve">5EPM</t>
        </is>
      </c>
      <c r="B364" cm="1">
        <f t="array" ref="B364">IFERROR(INDEX(_xlfn._xlws.FILTER(CONFIG_ASIGNATURAS!$B$2:$B$91,(CONFIG_ASIGNATURAS!$G$2:$G$91="Sí")*ISNUMBER(SEARCH("5EPM",CONFIG_ASIGNATURAS!$C$2:$C$91))),41),"")</f>
      </c>
      <c r="C364">
        <f>IF(B364="","",IFERROR(VLOOKUP(B364,CONFIG_ASIGNATURAS!$B$2:$D$91,3,FALSE()),"Asignatura"))</f>
      </c>
      <c r="D364">
        <f>SUMPRODUCT((nCUENTA=1)*(nCURSO=A364)*(nASIG=B364))</f>
        <v>0</v>
      </c>
      <c r="E364" s="10" t="str">
        <f>IFERROR(SUMPRODUCT((nCUENTA=1)*(nCURSO=A364)*(nASIG=B364)*(nNOTA))/D364,"—")</f>
        <v>—</v>
      </c>
      <c r="F364" s="10" t="str" cm="1">
        <f t="array" ref="F364">IFERROR(_xlfn.STDEV.P(_xlfn._xlws.FILTER(nNOTA,(nCUENTA=1)*(nCURSO=A364)*(nASIG=B364))),"—")</f>
        <v>—</v>
      </c>
      <c r="G364" t="str" cm="1">
        <f t="array" ref="G364">IFERROR(_xlfn.MODE.SNGL(_xlfn._xlws.FILTER(nNOTA,(nCUENTA=1)*(nCURSO=A364)*(nASIG=B364))),"—")</f>
        <v>—</v>
      </c>
      <c r="H364" s="11" t="str">
        <f>IFERROR(SUMPRODUCT((nCUENTA=1)*(nCURSO=A364)*(nASIG=B364)*(nAPTO="S"))/D364,"—")</f>
        <v>—</v>
      </c>
      <c r="I364" s="11" t="str">
        <f>IFERROR(SUMPRODUCT((nCUENTA=1)*(nCURSO=A364)*(nASIG=B364)*(nAPTO="N"))/D364,"—")</f>
        <v>—</v>
      </c>
      <c r="J364" t="str" cm="1">
        <f t="array" ref="J364">IFERROR(_xlfn.MODE.SNGL(_xlfn._xlws.FILTER(nNOTA,(nCUENTA=1)*(nCURSO=A364)*(nASIG=B364)*(nAPTO="S"))),"—")</f>
        <v>—</v>
      </c>
      <c r="K364" t="str" cm="1">
        <f t="array" ref="K364">IFERROR(_xlfn.MODE.SNGL(_xlfn._xlws.FILTER(nNOTA,(nCUENTA=1)*(nCURSO=A364)*(nASIG=B364)*(nAPTO="N"))),"—")</f>
        <v>—</v>
      </c>
      <c r="L364">
        <f>SUMPRODUCT((nCUENTA=1)*(nCURSO=A364)*(nASIG=B364)*(nNOTA=1))</f>
        <v>0</v>
      </c>
      <c r="M364">
        <f>SUMPRODUCT((nCUENTA=1)*(nCURSO=A364)*(nASIG=B364)*(nNOTA=2))</f>
        <v>0</v>
      </c>
      <c r="N364">
        <f>SUMPRODUCT((nCUENTA=1)*(nCURSO=A364)*(nASIG=B364)*(nNOTA=3))</f>
        <v>0</v>
      </c>
      <c r="O364">
        <f>SUMPRODUCT((nCUENTA=1)*(nCURSO=A364)*(nASIG=B364)*(nNOTA=4))</f>
        <v>0</v>
      </c>
      <c r="P364">
        <f>SUMPRODUCT((nCUENTA=1)*(nCURSO=A364)*(nASIG=B364)*(nNOTA=5))</f>
        <v>0</v>
      </c>
      <c r="Q364">
        <f>SUMPRODUCT((nCUENTA=1)*(nCURSO=A364)*(nASIG=B364)*(nNOTA=6))</f>
        <v>0</v>
      </c>
      <c r="R364">
        <f>SUMPRODUCT((nCUENTA=1)*(nCURSO=A364)*(nASIG=B364)*(nNOTA=7))</f>
        <v>0</v>
      </c>
      <c r="S364">
        <f>SUMPRODUCT((nCUENTA=1)*(nCURSO=A364)*(nASIG=B364)*(nNOTA=8))</f>
        <v>0</v>
      </c>
      <c r="T364">
        <f>SUMPRODUCT((nCUENTA=1)*(nCURSO=A364)*(nASIG=B364)*(nNOTA=9))</f>
        <v>0</v>
      </c>
      <c r="U364">
        <f>SUMPRODUCT((nCUENTA=1)*(nCURSO=A364)*(nASIG=B364)*(nNOTA=10))</f>
        <v>0</v>
      </c>
    </row>
    <row r="365">
      <c r="A365" t="inlineStr">
        <is>
          <t xml:space="preserve">5EPM</t>
        </is>
      </c>
      <c r="B365" cm="1">
        <f t="array" ref="B365">IFERROR(INDEX(_xlfn._xlws.FILTER(CONFIG_ASIGNATURAS!$B$2:$B$91,(CONFIG_ASIGNATURAS!$G$2:$G$91="Sí")*ISNUMBER(SEARCH("5EPM",CONFIG_ASIGNATURAS!$C$2:$C$91))),42),"")</f>
      </c>
      <c r="C365">
        <f>IF(B365="","",IFERROR(VLOOKUP(B365,CONFIG_ASIGNATURAS!$B$2:$D$91,3,FALSE()),"Asignatura"))</f>
      </c>
      <c r="D365">
        <f>SUMPRODUCT((nCUENTA=1)*(nCURSO=A365)*(nASIG=B365))</f>
        <v>0</v>
      </c>
      <c r="E365" s="10" t="str">
        <f>IFERROR(SUMPRODUCT((nCUENTA=1)*(nCURSO=A365)*(nASIG=B365)*(nNOTA))/D365,"—")</f>
        <v>—</v>
      </c>
      <c r="F365" s="10" t="str" cm="1">
        <f t="array" ref="F365">IFERROR(_xlfn.STDEV.P(_xlfn._xlws.FILTER(nNOTA,(nCUENTA=1)*(nCURSO=A365)*(nASIG=B365))),"—")</f>
        <v>—</v>
      </c>
      <c r="G365" t="str" cm="1">
        <f t="array" ref="G365">IFERROR(_xlfn.MODE.SNGL(_xlfn._xlws.FILTER(nNOTA,(nCUENTA=1)*(nCURSO=A365)*(nASIG=B365))),"—")</f>
        <v>—</v>
      </c>
      <c r="H365" s="11" t="str">
        <f>IFERROR(SUMPRODUCT((nCUENTA=1)*(nCURSO=A365)*(nASIG=B365)*(nAPTO="S"))/D365,"—")</f>
        <v>—</v>
      </c>
      <c r="I365" s="11" t="str">
        <f>IFERROR(SUMPRODUCT((nCUENTA=1)*(nCURSO=A365)*(nASIG=B365)*(nAPTO="N"))/D365,"—")</f>
        <v>—</v>
      </c>
      <c r="J365" t="str" cm="1">
        <f t="array" ref="J365">IFERROR(_xlfn.MODE.SNGL(_xlfn._xlws.FILTER(nNOTA,(nCUENTA=1)*(nCURSO=A365)*(nASIG=B365)*(nAPTO="S"))),"—")</f>
        <v>—</v>
      </c>
      <c r="K365" t="str" cm="1">
        <f t="array" ref="K365">IFERROR(_xlfn.MODE.SNGL(_xlfn._xlws.FILTER(nNOTA,(nCUENTA=1)*(nCURSO=A365)*(nASIG=B365)*(nAPTO="N"))),"—")</f>
        <v>—</v>
      </c>
      <c r="L365">
        <f>SUMPRODUCT((nCUENTA=1)*(nCURSO=A365)*(nASIG=B365)*(nNOTA=1))</f>
        <v>0</v>
      </c>
      <c r="M365">
        <f>SUMPRODUCT((nCUENTA=1)*(nCURSO=A365)*(nASIG=B365)*(nNOTA=2))</f>
        <v>0</v>
      </c>
      <c r="N365">
        <f>SUMPRODUCT((nCUENTA=1)*(nCURSO=A365)*(nASIG=B365)*(nNOTA=3))</f>
        <v>0</v>
      </c>
      <c r="O365">
        <f>SUMPRODUCT((nCUENTA=1)*(nCURSO=A365)*(nASIG=B365)*(nNOTA=4))</f>
        <v>0</v>
      </c>
      <c r="P365">
        <f>SUMPRODUCT((nCUENTA=1)*(nCURSO=A365)*(nASIG=B365)*(nNOTA=5))</f>
        <v>0</v>
      </c>
      <c r="Q365">
        <f>SUMPRODUCT((nCUENTA=1)*(nCURSO=A365)*(nASIG=B365)*(nNOTA=6))</f>
        <v>0</v>
      </c>
      <c r="R365">
        <f>SUMPRODUCT((nCUENTA=1)*(nCURSO=A365)*(nASIG=B365)*(nNOTA=7))</f>
        <v>0</v>
      </c>
      <c r="S365">
        <f>SUMPRODUCT((nCUENTA=1)*(nCURSO=A365)*(nASIG=B365)*(nNOTA=8))</f>
        <v>0</v>
      </c>
      <c r="T365">
        <f>SUMPRODUCT((nCUENTA=1)*(nCURSO=A365)*(nASIG=B365)*(nNOTA=9))</f>
        <v>0</v>
      </c>
      <c r="U365">
        <f>SUMPRODUCT((nCUENTA=1)*(nCURSO=A365)*(nASIG=B365)*(nNOTA=10))</f>
        <v>0</v>
      </c>
    </row>
    <row r="366">
      <c r="A366" t="inlineStr">
        <is>
          <t xml:space="preserve">5EPM</t>
        </is>
      </c>
      <c r="B366" cm="1">
        <f t="array" ref="B366">IFERROR(INDEX(_xlfn._xlws.FILTER(CONFIG_ASIGNATURAS!$B$2:$B$91,(CONFIG_ASIGNATURAS!$G$2:$G$91="Sí")*ISNUMBER(SEARCH("5EPM",CONFIG_ASIGNATURAS!$C$2:$C$91))),43),"")</f>
      </c>
      <c r="C366">
        <f>IF(B366="","",IFERROR(VLOOKUP(B366,CONFIG_ASIGNATURAS!$B$2:$D$91,3,FALSE()),"Asignatura"))</f>
      </c>
      <c r="D366">
        <f>SUMPRODUCT((nCUENTA=1)*(nCURSO=A366)*(nASIG=B366))</f>
        <v>0</v>
      </c>
      <c r="E366" s="10" t="str">
        <f>IFERROR(SUMPRODUCT((nCUENTA=1)*(nCURSO=A366)*(nASIG=B366)*(nNOTA))/D366,"—")</f>
        <v>—</v>
      </c>
      <c r="F366" s="10" t="str" cm="1">
        <f t="array" ref="F366">IFERROR(_xlfn.STDEV.P(_xlfn._xlws.FILTER(nNOTA,(nCUENTA=1)*(nCURSO=A366)*(nASIG=B366))),"—")</f>
        <v>—</v>
      </c>
      <c r="G366" t="str" cm="1">
        <f t="array" ref="G366">IFERROR(_xlfn.MODE.SNGL(_xlfn._xlws.FILTER(nNOTA,(nCUENTA=1)*(nCURSO=A366)*(nASIG=B366))),"—")</f>
        <v>—</v>
      </c>
      <c r="H366" s="11" t="str">
        <f>IFERROR(SUMPRODUCT((nCUENTA=1)*(nCURSO=A366)*(nASIG=B366)*(nAPTO="S"))/D366,"—")</f>
        <v>—</v>
      </c>
      <c r="I366" s="11" t="str">
        <f>IFERROR(SUMPRODUCT((nCUENTA=1)*(nCURSO=A366)*(nASIG=B366)*(nAPTO="N"))/D366,"—")</f>
        <v>—</v>
      </c>
      <c r="J366" t="str" cm="1">
        <f t="array" ref="J366">IFERROR(_xlfn.MODE.SNGL(_xlfn._xlws.FILTER(nNOTA,(nCUENTA=1)*(nCURSO=A366)*(nASIG=B366)*(nAPTO="S"))),"—")</f>
        <v>—</v>
      </c>
      <c r="K366" t="str" cm="1">
        <f t="array" ref="K366">IFERROR(_xlfn.MODE.SNGL(_xlfn._xlws.FILTER(nNOTA,(nCUENTA=1)*(nCURSO=A366)*(nASIG=B366)*(nAPTO="N"))),"—")</f>
        <v>—</v>
      </c>
      <c r="L366">
        <f>SUMPRODUCT((nCUENTA=1)*(nCURSO=A366)*(nASIG=B366)*(nNOTA=1))</f>
        <v>0</v>
      </c>
      <c r="M366">
        <f>SUMPRODUCT((nCUENTA=1)*(nCURSO=A366)*(nASIG=B366)*(nNOTA=2))</f>
        <v>0</v>
      </c>
      <c r="N366">
        <f>SUMPRODUCT((nCUENTA=1)*(nCURSO=A366)*(nASIG=B366)*(nNOTA=3))</f>
        <v>0</v>
      </c>
      <c r="O366">
        <f>SUMPRODUCT((nCUENTA=1)*(nCURSO=A366)*(nASIG=B366)*(nNOTA=4))</f>
        <v>0</v>
      </c>
      <c r="P366">
        <f>SUMPRODUCT((nCUENTA=1)*(nCURSO=A366)*(nASIG=B366)*(nNOTA=5))</f>
        <v>0</v>
      </c>
      <c r="Q366">
        <f>SUMPRODUCT((nCUENTA=1)*(nCURSO=A366)*(nASIG=B366)*(nNOTA=6))</f>
        <v>0</v>
      </c>
      <c r="R366">
        <f>SUMPRODUCT((nCUENTA=1)*(nCURSO=A366)*(nASIG=B366)*(nNOTA=7))</f>
        <v>0</v>
      </c>
      <c r="S366">
        <f>SUMPRODUCT((nCUENTA=1)*(nCURSO=A366)*(nASIG=B366)*(nNOTA=8))</f>
        <v>0</v>
      </c>
      <c r="T366">
        <f>SUMPRODUCT((nCUENTA=1)*(nCURSO=A366)*(nASIG=B366)*(nNOTA=9))</f>
        <v>0</v>
      </c>
      <c r="U366">
        <f>SUMPRODUCT((nCUENTA=1)*(nCURSO=A366)*(nASIG=B366)*(nNOTA=10))</f>
        <v>0</v>
      </c>
    </row>
    <row r="367">
      <c r="A367" t="inlineStr">
        <is>
          <t xml:space="preserve">5EPM</t>
        </is>
      </c>
      <c r="B367" cm="1">
        <f t="array" ref="B367">IFERROR(INDEX(_xlfn._xlws.FILTER(CONFIG_ASIGNATURAS!$B$2:$B$91,(CONFIG_ASIGNATURAS!$G$2:$G$91="Sí")*ISNUMBER(SEARCH("5EPM",CONFIG_ASIGNATURAS!$C$2:$C$91))),44),"")</f>
      </c>
      <c r="C367">
        <f>IF(B367="","",IFERROR(VLOOKUP(B367,CONFIG_ASIGNATURAS!$B$2:$D$91,3,FALSE()),"Asignatura"))</f>
      </c>
      <c r="D367">
        <f>SUMPRODUCT((nCUENTA=1)*(nCURSO=A367)*(nASIG=B367))</f>
        <v>0</v>
      </c>
      <c r="E367" s="10" t="str">
        <f>IFERROR(SUMPRODUCT((nCUENTA=1)*(nCURSO=A367)*(nASIG=B367)*(nNOTA))/D367,"—")</f>
        <v>—</v>
      </c>
      <c r="F367" s="10" t="str" cm="1">
        <f t="array" ref="F367">IFERROR(_xlfn.STDEV.P(_xlfn._xlws.FILTER(nNOTA,(nCUENTA=1)*(nCURSO=A367)*(nASIG=B367))),"—")</f>
        <v>—</v>
      </c>
      <c r="G367" t="str" cm="1">
        <f t="array" ref="G367">IFERROR(_xlfn.MODE.SNGL(_xlfn._xlws.FILTER(nNOTA,(nCUENTA=1)*(nCURSO=A367)*(nASIG=B367))),"—")</f>
        <v>—</v>
      </c>
      <c r="H367" s="11" t="str">
        <f>IFERROR(SUMPRODUCT((nCUENTA=1)*(nCURSO=A367)*(nASIG=B367)*(nAPTO="S"))/D367,"—")</f>
        <v>—</v>
      </c>
      <c r="I367" s="11" t="str">
        <f>IFERROR(SUMPRODUCT((nCUENTA=1)*(nCURSO=A367)*(nASIG=B367)*(nAPTO="N"))/D367,"—")</f>
        <v>—</v>
      </c>
      <c r="J367" t="str" cm="1">
        <f t="array" ref="J367">IFERROR(_xlfn.MODE.SNGL(_xlfn._xlws.FILTER(nNOTA,(nCUENTA=1)*(nCURSO=A367)*(nASIG=B367)*(nAPTO="S"))),"—")</f>
        <v>—</v>
      </c>
      <c r="K367" t="str" cm="1">
        <f t="array" ref="K367">IFERROR(_xlfn.MODE.SNGL(_xlfn._xlws.FILTER(nNOTA,(nCUENTA=1)*(nCURSO=A367)*(nASIG=B367)*(nAPTO="N"))),"—")</f>
        <v>—</v>
      </c>
      <c r="L367">
        <f>SUMPRODUCT((nCUENTA=1)*(nCURSO=A367)*(nASIG=B367)*(nNOTA=1))</f>
        <v>0</v>
      </c>
      <c r="M367">
        <f>SUMPRODUCT((nCUENTA=1)*(nCURSO=A367)*(nASIG=B367)*(nNOTA=2))</f>
        <v>0</v>
      </c>
      <c r="N367">
        <f>SUMPRODUCT((nCUENTA=1)*(nCURSO=A367)*(nASIG=B367)*(nNOTA=3))</f>
        <v>0</v>
      </c>
      <c r="O367">
        <f>SUMPRODUCT((nCUENTA=1)*(nCURSO=A367)*(nASIG=B367)*(nNOTA=4))</f>
        <v>0</v>
      </c>
      <c r="P367">
        <f>SUMPRODUCT((nCUENTA=1)*(nCURSO=A367)*(nASIG=B367)*(nNOTA=5))</f>
        <v>0</v>
      </c>
      <c r="Q367">
        <f>SUMPRODUCT((nCUENTA=1)*(nCURSO=A367)*(nASIG=B367)*(nNOTA=6))</f>
        <v>0</v>
      </c>
      <c r="R367">
        <f>SUMPRODUCT((nCUENTA=1)*(nCURSO=A367)*(nASIG=B367)*(nNOTA=7))</f>
        <v>0</v>
      </c>
      <c r="S367">
        <f>SUMPRODUCT((nCUENTA=1)*(nCURSO=A367)*(nASIG=B367)*(nNOTA=8))</f>
        <v>0</v>
      </c>
      <c r="T367">
        <f>SUMPRODUCT((nCUENTA=1)*(nCURSO=A367)*(nASIG=B367)*(nNOTA=9))</f>
        <v>0</v>
      </c>
      <c r="U367">
        <f>SUMPRODUCT((nCUENTA=1)*(nCURSO=A367)*(nASIG=B367)*(nNOTA=10))</f>
        <v>0</v>
      </c>
    </row>
    <row r="368">
      <c r="A368" t="inlineStr">
        <is>
          <t xml:space="preserve">5EPM</t>
        </is>
      </c>
      <c r="B368" cm="1">
        <f t="array" ref="B368">IFERROR(INDEX(_xlfn._xlws.FILTER(CONFIG_ASIGNATURAS!$B$2:$B$91,(CONFIG_ASIGNATURAS!$G$2:$G$91="Sí")*ISNUMBER(SEARCH("5EPM",CONFIG_ASIGNATURAS!$C$2:$C$91))),45),"")</f>
      </c>
      <c r="C368">
        <f>IF(B368="","",IFERROR(VLOOKUP(B368,CONFIG_ASIGNATURAS!$B$2:$D$91,3,FALSE()),"Asignatura"))</f>
      </c>
      <c r="D368">
        <f>SUMPRODUCT((nCUENTA=1)*(nCURSO=A368)*(nASIG=B368))</f>
        <v>0</v>
      </c>
      <c r="E368" s="10" t="str">
        <f>IFERROR(SUMPRODUCT((nCUENTA=1)*(nCURSO=A368)*(nASIG=B368)*(nNOTA))/D368,"—")</f>
        <v>—</v>
      </c>
      <c r="F368" s="10" t="str" cm="1">
        <f t="array" ref="F368">IFERROR(_xlfn.STDEV.P(_xlfn._xlws.FILTER(nNOTA,(nCUENTA=1)*(nCURSO=A368)*(nASIG=B368))),"—")</f>
        <v>—</v>
      </c>
      <c r="G368" t="str" cm="1">
        <f t="array" ref="G368">IFERROR(_xlfn.MODE.SNGL(_xlfn._xlws.FILTER(nNOTA,(nCUENTA=1)*(nCURSO=A368)*(nASIG=B368))),"—")</f>
        <v>—</v>
      </c>
      <c r="H368" s="11" t="str">
        <f>IFERROR(SUMPRODUCT((nCUENTA=1)*(nCURSO=A368)*(nASIG=B368)*(nAPTO="S"))/D368,"—")</f>
        <v>—</v>
      </c>
      <c r="I368" s="11" t="str">
        <f>IFERROR(SUMPRODUCT((nCUENTA=1)*(nCURSO=A368)*(nASIG=B368)*(nAPTO="N"))/D368,"—")</f>
        <v>—</v>
      </c>
      <c r="J368" t="str" cm="1">
        <f t="array" ref="J368">IFERROR(_xlfn.MODE.SNGL(_xlfn._xlws.FILTER(nNOTA,(nCUENTA=1)*(nCURSO=A368)*(nASIG=B368)*(nAPTO="S"))),"—")</f>
        <v>—</v>
      </c>
      <c r="K368" t="str" cm="1">
        <f t="array" ref="K368">IFERROR(_xlfn.MODE.SNGL(_xlfn._xlws.FILTER(nNOTA,(nCUENTA=1)*(nCURSO=A368)*(nASIG=B368)*(nAPTO="N"))),"—")</f>
        <v>—</v>
      </c>
      <c r="L368">
        <f>SUMPRODUCT((nCUENTA=1)*(nCURSO=A368)*(nASIG=B368)*(nNOTA=1))</f>
        <v>0</v>
      </c>
      <c r="M368">
        <f>SUMPRODUCT((nCUENTA=1)*(nCURSO=A368)*(nASIG=B368)*(nNOTA=2))</f>
        <v>0</v>
      </c>
      <c r="N368">
        <f>SUMPRODUCT((nCUENTA=1)*(nCURSO=A368)*(nASIG=B368)*(nNOTA=3))</f>
        <v>0</v>
      </c>
      <c r="O368">
        <f>SUMPRODUCT((nCUENTA=1)*(nCURSO=A368)*(nASIG=B368)*(nNOTA=4))</f>
        <v>0</v>
      </c>
      <c r="P368">
        <f>SUMPRODUCT((nCUENTA=1)*(nCURSO=A368)*(nASIG=B368)*(nNOTA=5))</f>
        <v>0</v>
      </c>
      <c r="Q368">
        <f>SUMPRODUCT((nCUENTA=1)*(nCURSO=A368)*(nASIG=B368)*(nNOTA=6))</f>
        <v>0</v>
      </c>
      <c r="R368">
        <f>SUMPRODUCT((nCUENTA=1)*(nCURSO=A368)*(nASIG=B368)*(nNOTA=7))</f>
        <v>0</v>
      </c>
      <c r="S368">
        <f>SUMPRODUCT((nCUENTA=1)*(nCURSO=A368)*(nASIG=B368)*(nNOTA=8))</f>
        <v>0</v>
      </c>
      <c r="T368">
        <f>SUMPRODUCT((nCUENTA=1)*(nCURSO=A368)*(nASIG=B368)*(nNOTA=9))</f>
        <v>0</v>
      </c>
      <c r="U368">
        <f>SUMPRODUCT((nCUENTA=1)*(nCURSO=A368)*(nASIG=B368)*(nNOTA=10))</f>
        <v>0</v>
      </c>
    </row>
    <row r="369">
      <c r="A369" t="inlineStr">
        <is>
          <t xml:space="preserve">5EPM</t>
        </is>
      </c>
      <c r="B369" cm="1">
        <f t="array" ref="B369">IFERROR(INDEX(_xlfn._xlws.FILTER(CONFIG_ASIGNATURAS!$B$2:$B$91,(CONFIG_ASIGNATURAS!$G$2:$G$91="Sí")*ISNUMBER(SEARCH("5EPM",CONFIG_ASIGNATURAS!$C$2:$C$91))),46),"")</f>
      </c>
      <c r="C369">
        <f>IF(B369="","",IFERROR(VLOOKUP(B369,CONFIG_ASIGNATURAS!$B$2:$D$91,3,FALSE()),"Asignatura"))</f>
      </c>
      <c r="D369">
        <f>SUMPRODUCT((nCUENTA=1)*(nCURSO=A369)*(nASIG=B369))</f>
        <v>0</v>
      </c>
      <c r="E369" s="10" t="str">
        <f>IFERROR(SUMPRODUCT((nCUENTA=1)*(nCURSO=A369)*(nASIG=B369)*(nNOTA))/D369,"—")</f>
        <v>—</v>
      </c>
      <c r="F369" s="10" t="str" cm="1">
        <f t="array" ref="F369">IFERROR(_xlfn.STDEV.P(_xlfn._xlws.FILTER(nNOTA,(nCUENTA=1)*(nCURSO=A369)*(nASIG=B369))),"—")</f>
        <v>—</v>
      </c>
      <c r="G369" t="str" cm="1">
        <f t="array" ref="G369">IFERROR(_xlfn.MODE.SNGL(_xlfn._xlws.FILTER(nNOTA,(nCUENTA=1)*(nCURSO=A369)*(nASIG=B369))),"—")</f>
        <v>—</v>
      </c>
      <c r="H369" s="11" t="str">
        <f>IFERROR(SUMPRODUCT((nCUENTA=1)*(nCURSO=A369)*(nASIG=B369)*(nAPTO="S"))/D369,"—")</f>
        <v>—</v>
      </c>
      <c r="I369" s="11" t="str">
        <f>IFERROR(SUMPRODUCT((nCUENTA=1)*(nCURSO=A369)*(nASIG=B369)*(nAPTO="N"))/D369,"—")</f>
        <v>—</v>
      </c>
      <c r="J369" t="str" cm="1">
        <f t="array" ref="J369">IFERROR(_xlfn.MODE.SNGL(_xlfn._xlws.FILTER(nNOTA,(nCUENTA=1)*(nCURSO=A369)*(nASIG=B369)*(nAPTO="S"))),"—")</f>
        <v>—</v>
      </c>
      <c r="K369" t="str" cm="1">
        <f t="array" ref="K369">IFERROR(_xlfn.MODE.SNGL(_xlfn._xlws.FILTER(nNOTA,(nCUENTA=1)*(nCURSO=A369)*(nASIG=B369)*(nAPTO="N"))),"—")</f>
        <v>—</v>
      </c>
      <c r="L369">
        <f>SUMPRODUCT((nCUENTA=1)*(nCURSO=A369)*(nASIG=B369)*(nNOTA=1))</f>
        <v>0</v>
      </c>
      <c r="M369">
        <f>SUMPRODUCT((nCUENTA=1)*(nCURSO=A369)*(nASIG=B369)*(nNOTA=2))</f>
        <v>0</v>
      </c>
      <c r="N369">
        <f>SUMPRODUCT((nCUENTA=1)*(nCURSO=A369)*(nASIG=B369)*(nNOTA=3))</f>
        <v>0</v>
      </c>
      <c r="O369">
        <f>SUMPRODUCT((nCUENTA=1)*(nCURSO=A369)*(nASIG=B369)*(nNOTA=4))</f>
        <v>0</v>
      </c>
      <c r="P369">
        <f>SUMPRODUCT((nCUENTA=1)*(nCURSO=A369)*(nASIG=B369)*(nNOTA=5))</f>
        <v>0</v>
      </c>
      <c r="Q369">
        <f>SUMPRODUCT((nCUENTA=1)*(nCURSO=A369)*(nASIG=B369)*(nNOTA=6))</f>
        <v>0</v>
      </c>
      <c r="R369">
        <f>SUMPRODUCT((nCUENTA=1)*(nCURSO=A369)*(nASIG=B369)*(nNOTA=7))</f>
        <v>0</v>
      </c>
      <c r="S369">
        <f>SUMPRODUCT((nCUENTA=1)*(nCURSO=A369)*(nASIG=B369)*(nNOTA=8))</f>
        <v>0</v>
      </c>
      <c r="T369">
        <f>SUMPRODUCT((nCUENTA=1)*(nCURSO=A369)*(nASIG=B369)*(nNOTA=9))</f>
        <v>0</v>
      </c>
      <c r="U369">
        <f>SUMPRODUCT((nCUENTA=1)*(nCURSO=A369)*(nASIG=B369)*(nNOTA=10))</f>
        <v>0</v>
      </c>
    </row>
    <row r="370">
      <c r="A370" t="inlineStr">
        <is>
          <t xml:space="preserve">5EPM</t>
        </is>
      </c>
      <c r="B370" cm="1">
        <f t="array" ref="B370">IFERROR(INDEX(_xlfn._xlws.FILTER(CONFIG_ASIGNATURAS!$B$2:$B$91,(CONFIG_ASIGNATURAS!$G$2:$G$91="Sí")*ISNUMBER(SEARCH("5EPM",CONFIG_ASIGNATURAS!$C$2:$C$91))),47),"")</f>
      </c>
      <c r="C370">
        <f>IF(B370="","",IFERROR(VLOOKUP(B370,CONFIG_ASIGNATURAS!$B$2:$D$91,3,FALSE()),"Asignatura"))</f>
      </c>
      <c r="D370">
        <f>SUMPRODUCT((nCUENTA=1)*(nCURSO=A370)*(nASIG=B370))</f>
        <v>0</v>
      </c>
      <c r="E370" s="10" t="str">
        <f>IFERROR(SUMPRODUCT((nCUENTA=1)*(nCURSO=A370)*(nASIG=B370)*(nNOTA))/D370,"—")</f>
        <v>—</v>
      </c>
      <c r="F370" s="10" t="str" cm="1">
        <f t="array" ref="F370">IFERROR(_xlfn.STDEV.P(_xlfn._xlws.FILTER(nNOTA,(nCUENTA=1)*(nCURSO=A370)*(nASIG=B370))),"—")</f>
        <v>—</v>
      </c>
      <c r="G370" t="str" cm="1">
        <f t="array" ref="G370">IFERROR(_xlfn.MODE.SNGL(_xlfn._xlws.FILTER(nNOTA,(nCUENTA=1)*(nCURSO=A370)*(nASIG=B370))),"—")</f>
        <v>—</v>
      </c>
      <c r="H370" s="11" t="str">
        <f>IFERROR(SUMPRODUCT((nCUENTA=1)*(nCURSO=A370)*(nASIG=B370)*(nAPTO="S"))/D370,"—")</f>
        <v>—</v>
      </c>
      <c r="I370" s="11" t="str">
        <f>IFERROR(SUMPRODUCT((nCUENTA=1)*(nCURSO=A370)*(nASIG=B370)*(nAPTO="N"))/D370,"—")</f>
        <v>—</v>
      </c>
      <c r="J370" t="str" cm="1">
        <f t="array" ref="J370">IFERROR(_xlfn.MODE.SNGL(_xlfn._xlws.FILTER(nNOTA,(nCUENTA=1)*(nCURSO=A370)*(nASIG=B370)*(nAPTO="S"))),"—")</f>
        <v>—</v>
      </c>
      <c r="K370" t="str" cm="1">
        <f t="array" ref="K370">IFERROR(_xlfn.MODE.SNGL(_xlfn._xlws.FILTER(nNOTA,(nCUENTA=1)*(nCURSO=A370)*(nASIG=B370)*(nAPTO="N"))),"—")</f>
        <v>—</v>
      </c>
      <c r="L370">
        <f>SUMPRODUCT((nCUENTA=1)*(nCURSO=A370)*(nASIG=B370)*(nNOTA=1))</f>
        <v>0</v>
      </c>
      <c r="M370">
        <f>SUMPRODUCT((nCUENTA=1)*(nCURSO=A370)*(nASIG=B370)*(nNOTA=2))</f>
        <v>0</v>
      </c>
      <c r="N370">
        <f>SUMPRODUCT((nCUENTA=1)*(nCURSO=A370)*(nASIG=B370)*(nNOTA=3))</f>
        <v>0</v>
      </c>
      <c r="O370">
        <f>SUMPRODUCT((nCUENTA=1)*(nCURSO=A370)*(nASIG=B370)*(nNOTA=4))</f>
        <v>0</v>
      </c>
      <c r="P370">
        <f>SUMPRODUCT((nCUENTA=1)*(nCURSO=A370)*(nASIG=B370)*(nNOTA=5))</f>
        <v>0</v>
      </c>
      <c r="Q370">
        <f>SUMPRODUCT((nCUENTA=1)*(nCURSO=A370)*(nASIG=B370)*(nNOTA=6))</f>
        <v>0</v>
      </c>
      <c r="R370">
        <f>SUMPRODUCT((nCUENTA=1)*(nCURSO=A370)*(nASIG=B370)*(nNOTA=7))</f>
        <v>0</v>
      </c>
      <c r="S370">
        <f>SUMPRODUCT((nCUENTA=1)*(nCURSO=A370)*(nASIG=B370)*(nNOTA=8))</f>
        <v>0</v>
      </c>
      <c r="T370">
        <f>SUMPRODUCT((nCUENTA=1)*(nCURSO=A370)*(nASIG=B370)*(nNOTA=9))</f>
        <v>0</v>
      </c>
      <c r="U370">
        <f>SUMPRODUCT((nCUENTA=1)*(nCURSO=A370)*(nASIG=B370)*(nNOTA=10))</f>
        <v>0</v>
      </c>
    </row>
    <row r="371">
      <c r="A371" t="inlineStr">
        <is>
          <t xml:space="preserve">5EPM</t>
        </is>
      </c>
      <c r="B371" cm="1">
        <f t="array" ref="B371">IFERROR(INDEX(_xlfn._xlws.FILTER(CONFIG_ASIGNATURAS!$B$2:$B$91,(CONFIG_ASIGNATURAS!$G$2:$G$91="Sí")*ISNUMBER(SEARCH("5EPM",CONFIG_ASIGNATURAS!$C$2:$C$91))),48),"")</f>
      </c>
      <c r="C371">
        <f>IF(B371="","",IFERROR(VLOOKUP(B371,CONFIG_ASIGNATURAS!$B$2:$D$91,3,FALSE()),"Asignatura"))</f>
      </c>
      <c r="D371">
        <f>SUMPRODUCT((nCUENTA=1)*(nCURSO=A371)*(nASIG=B371))</f>
        <v>0</v>
      </c>
      <c r="E371" s="10" t="str">
        <f>IFERROR(SUMPRODUCT((nCUENTA=1)*(nCURSO=A371)*(nASIG=B371)*(nNOTA))/D371,"—")</f>
        <v>—</v>
      </c>
      <c r="F371" s="10" t="str" cm="1">
        <f t="array" ref="F371">IFERROR(_xlfn.STDEV.P(_xlfn._xlws.FILTER(nNOTA,(nCUENTA=1)*(nCURSO=A371)*(nASIG=B371))),"—")</f>
        <v>—</v>
      </c>
      <c r="G371" t="str" cm="1">
        <f t="array" ref="G371">IFERROR(_xlfn.MODE.SNGL(_xlfn._xlws.FILTER(nNOTA,(nCUENTA=1)*(nCURSO=A371)*(nASIG=B371))),"—")</f>
        <v>—</v>
      </c>
      <c r="H371" s="11" t="str">
        <f>IFERROR(SUMPRODUCT((nCUENTA=1)*(nCURSO=A371)*(nASIG=B371)*(nAPTO="S"))/D371,"—")</f>
        <v>—</v>
      </c>
      <c r="I371" s="11" t="str">
        <f>IFERROR(SUMPRODUCT((nCUENTA=1)*(nCURSO=A371)*(nASIG=B371)*(nAPTO="N"))/D371,"—")</f>
        <v>—</v>
      </c>
      <c r="J371" t="str" cm="1">
        <f t="array" ref="J371">IFERROR(_xlfn.MODE.SNGL(_xlfn._xlws.FILTER(nNOTA,(nCUENTA=1)*(nCURSO=A371)*(nASIG=B371)*(nAPTO="S"))),"—")</f>
        <v>—</v>
      </c>
      <c r="K371" t="str" cm="1">
        <f t="array" ref="K371">IFERROR(_xlfn.MODE.SNGL(_xlfn._xlws.FILTER(nNOTA,(nCUENTA=1)*(nCURSO=A371)*(nASIG=B371)*(nAPTO="N"))),"—")</f>
        <v>—</v>
      </c>
      <c r="L371">
        <f>SUMPRODUCT((nCUENTA=1)*(nCURSO=A371)*(nASIG=B371)*(nNOTA=1))</f>
        <v>0</v>
      </c>
      <c r="M371">
        <f>SUMPRODUCT((nCUENTA=1)*(nCURSO=A371)*(nASIG=B371)*(nNOTA=2))</f>
        <v>0</v>
      </c>
      <c r="N371">
        <f>SUMPRODUCT((nCUENTA=1)*(nCURSO=A371)*(nASIG=B371)*(nNOTA=3))</f>
        <v>0</v>
      </c>
      <c r="O371">
        <f>SUMPRODUCT((nCUENTA=1)*(nCURSO=A371)*(nASIG=B371)*(nNOTA=4))</f>
        <v>0</v>
      </c>
      <c r="P371">
        <f>SUMPRODUCT((nCUENTA=1)*(nCURSO=A371)*(nASIG=B371)*(nNOTA=5))</f>
        <v>0</v>
      </c>
      <c r="Q371">
        <f>SUMPRODUCT((nCUENTA=1)*(nCURSO=A371)*(nASIG=B371)*(nNOTA=6))</f>
        <v>0</v>
      </c>
      <c r="R371">
        <f>SUMPRODUCT((nCUENTA=1)*(nCURSO=A371)*(nASIG=B371)*(nNOTA=7))</f>
        <v>0</v>
      </c>
      <c r="S371">
        <f>SUMPRODUCT((nCUENTA=1)*(nCURSO=A371)*(nASIG=B371)*(nNOTA=8))</f>
        <v>0</v>
      </c>
      <c r="T371">
        <f>SUMPRODUCT((nCUENTA=1)*(nCURSO=A371)*(nASIG=B371)*(nNOTA=9))</f>
        <v>0</v>
      </c>
      <c r="U371">
        <f>SUMPRODUCT((nCUENTA=1)*(nCURSO=A371)*(nASIG=B371)*(nNOTA=10))</f>
        <v>0</v>
      </c>
    </row>
    <row r="372">
      <c r="A372" t="inlineStr">
        <is>
          <t xml:space="preserve">5EPM</t>
        </is>
      </c>
      <c r="B372" cm="1">
        <f t="array" ref="B372">IFERROR(INDEX(_xlfn._xlws.FILTER(CONFIG_ASIGNATURAS!$B$2:$B$91,(CONFIG_ASIGNATURAS!$G$2:$G$91="Sí")*ISNUMBER(SEARCH("5EPM",CONFIG_ASIGNATURAS!$C$2:$C$91))),49),"")</f>
      </c>
      <c r="C372">
        <f>IF(B372="","",IFERROR(VLOOKUP(B372,CONFIG_ASIGNATURAS!$B$2:$D$91,3,FALSE()),"Asignatura"))</f>
      </c>
      <c r="D372">
        <f>SUMPRODUCT((nCUENTA=1)*(nCURSO=A372)*(nASIG=B372))</f>
        <v>0</v>
      </c>
      <c r="E372" s="10" t="str">
        <f>IFERROR(SUMPRODUCT((nCUENTA=1)*(nCURSO=A372)*(nASIG=B372)*(nNOTA))/D372,"—")</f>
        <v>—</v>
      </c>
      <c r="F372" s="10" t="str" cm="1">
        <f t="array" ref="F372">IFERROR(_xlfn.STDEV.P(_xlfn._xlws.FILTER(nNOTA,(nCUENTA=1)*(nCURSO=A372)*(nASIG=B372))),"—")</f>
        <v>—</v>
      </c>
      <c r="G372" t="str" cm="1">
        <f t="array" ref="G372">IFERROR(_xlfn.MODE.SNGL(_xlfn._xlws.FILTER(nNOTA,(nCUENTA=1)*(nCURSO=A372)*(nASIG=B372))),"—")</f>
        <v>—</v>
      </c>
      <c r="H372" s="11" t="str">
        <f>IFERROR(SUMPRODUCT((nCUENTA=1)*(nCURSO=A372)*(nASIG=B372)*(nAPTO="S"))/D372,"—")</f>
        <v>—</v>
      </c>
      <c r="I372" s="11" t="str">
        <f>IFERROR(SUMPRODUCT((nCUENTA=1)*(nCURSO=A372)*(nASIG=B372)*(nAPTO="N"))/D372,"—")</f>
        <v>—</v>
      </c>
      <c r="J372" t="str" cm="1">
        <f t="array" ref="J372">IFERROR(_xlfn.MODE.SNGL(_xlfn._xlws.FILTER(nNOTA,(nCUENTA=1)*(nCURSO=A372)*(nASIG=B372)*(nAPTO="S"))),"—")</f>
        <v>—</v>
      </c>
      <c r="K372" t="str" cm="1">
        <f t="array" ref="K372">IFERROR(_xlfn.MODE.SNGL(_xlfn._xlws.FILTER(nNOTA,(nCUENTA=1)*(nCURSO=A372)*(nASIG=B372)*(nAPTO="N"))),"—")</f>
        <v>—</v>
      </c>
      <c r="L372">
        <f>SUMPRODUCT((nCUENTA=1)*(nCURSO=A372)*(nASIG=B372)*(nNOTA=1))</f>
        <v>0</v>
      </c>
      <c r="M372">
        <f>SUMPRODUCT((nCUENTA=1)*(nCURSO=A372)*(nASIG=B372)*(nNOTA=2))</f>
        <v>0</v>
      </c>
      <c r="N372">
        <f>SUMPRODUCT((nCUENTA=1)*(nCURSO=A372)*(nASIG=B372)*(nNOTA=3))</f>
        <v>0</v>
      </c>
      <c r="O372">
        <f>SUMPRODUCT((nCUENTA=1)*(nCURSO=A372)*(nASIG=B372)*(nNOTA=4))</f>
        <v>0</v>
      </c>
      <c r="P372">
        <f>SUMPRODUCT((nCUENTA=1)*(nCURSO=A372)*(nASIG=B372)*(nNOTA=5))</f>
        <v>0</v>
      </c>
      <c r="Q372">
        <f>SUMPRODUCT((nCUENTA=1)*(nCURSO=A372)*(nASIG=B372)*(nNOTA=6))</f>
        <v>0</v>
      </c>
      <c r="R372">
        <f>SUMPRODUCT((nCUENTA=1)*(nCURSO=A372)*(nASIG=B372)*(nNOTA=7))</f>
        <v>0</v>
      </c>
      <c r="S372">
        <f>SUMPRODUCT((nCUENTA=1)*(nCURSO=A372)*(nASIG=B372)*(nNOTA=8))</f>
        <v>0</v>
      </c>
      <c r="T372">
        <f>SUMPRODUCT((nCUENTA=1)*(nCURSO=A372)*(nASIG=B372)*(nNOTA=9))</f>
        <v>0</v>
      </c>
      <c r="U372">
        <f>SUMPRODUCT((nCUENTA=1)*(nCURSO=A372)*(nASIG=B372)*(nNOTA=10))</f>
        <v>0</v>
      </c>
    </row>
    <row r="373">
      <c r="A373" t="inlineStr">
        <is>
          <t xml:space="preserve">5EPM</t>
        </is>
      </c>
      <c r="B373" cm="1">
        <f t="array" ref="B373">IFERROR(INDEX(_xlfn._xlws.FILTER(CONFIG_ASIGNATURAS!$B$2:$B$91,(CONFIG_ASIGNATURAS!$G$2:$G$91="Sí")*ISNUMBER(SEARCH("5EPM",CONFIG_ASIGNATURAS!$C$2:$C$91))),50),"")</f>
      </c>
      <c r="C373">
        <f>IF(B373="","",IFERROR(VLOOKUP(B373,CONFIG_ASIGNATURAS!$B$2:$D$91,3,FALSE()),"Asignatura"))</f>
      </c>
      <c r="D373">
        <f>SUMPRODUCT((nCUENTA=1)*(nCURSO=A373)*(nASIG=B373))</f>
        <v>0</v>
      </c>
      <c r="E373" s="10" t="str">
        <f>IFERROR(SUMPRODUCT((nCUENTA=1)*(nCURSO=A373)*(nASIG=B373)*(nNOTA))/D373,"—")</f>
        <v>—</v>
      </c>
      <c r="F373" s="10" t="str" cm="1">
        <f t="array" ref="F373">IFERROR(_xlfn.STDEV.P(_xlfn._xlws.FILTER(nNOTA,(nCUENTA=1)*(nCURSO=A373)*(nASIG=B373))),"—")</f>
        <v>—</v>
      </c>
      <c r="G373" t="str" cm="1">
        <f t="array" ref="G373">IFERROR(_xlfn.MODE.SNGL(_xlfn._xlws.FILTER(nNOTA,(nCUENTA=1)*(nCURSO=A373)*(nASIG=B373))),"—")</f>
        <v>—</v>
      </c>
      <c r="H373" s="11" t="str">
        <f>IFERROR(SUMPRODUCT((nCUENTA=1)*(nCURSO=A373)*(nASIG=B373)*(nAPTO="S"))/D373,"—")</f>
        <v>—</v>
      </c>
      <c r="I373" s="11" t="str">
        <f>IFERROR(SUMPRODUCT((nCUENTA=1)*(nCURSO=A373)*(nASIG=B373)*(nAPTO="N"))/D373,"—")</f>
        <v>—</v>
      </c>
      <c r="J373" t="str" cm="1">
        <f t="array" ref="J373">IFERROR(_xlfn.MODE.SNGL(_xlfn._xlws.FILTER(nNOTA,(nCUENTA=1)*(nCURSO=A373)*(nASIG=B373)*(nAPTO="S"))),"—")</f>
        <v>—</v>
      </c>
      <c r="K373" t="str" cm="1">
        <f t="array" ref="K373">IFERROR(_xlfn.MODE.SNGL(_xlfn._xlws.FILTER(nNOTA,(nCUENTA=1)*(nCURSO=A373)*(nASIG=B373)*(nAPTO="N"))),"—")</f>
        <v>—</v>
      </c>
      <c r="L373">
        <f>SUMPRODUCT((nCUENTA=1)*(nCURSO=A373)*(nASIG=B373)*(nNOTA=1))</f>
        <v>0</v>
      </c>
      <c r="M373">
        <f>SUMPRODUCT((nCUENTA=1)*(nCURSO=A373)*(nASIG=B373)*(nNOTA=2))</f>
        <v>0</v>
      </c>
      <c r="N373">
        <f>SUMPRODUCT((nCUENTA=1)*(nCURSO=A373)*(nASIG=B373)*(nNOTA=3))</f>
        <v>0</v>
      </c>
      <c r="O373">
        <f>SUMPRODUCT((nCUENTA=1)*(nCURSO=A373)*(nASIG=B373)*(nNOTA=4))</f>
        <v>0</v>
      </c>
      <c r="P373">
        <f>SUMPRODUCT((nCUENTA=1)*(nCURSO=A373)*(nASIG=B373)*(nNOTA=5))</f>
        <v>0</v>
      </c>
      <c r="Q373">
        <f>SUMPRODUCT((nCUENTA=1)*(nCURSO=A373)*(nASIG=B373)*(nNOTA=6))</f>
        <v>0</v>
      </c>
      <c r="R373">
        <f>SUMPRODUCT((nCUENTA=1)*(nCURSO=A373)*(nASIG=B373)*(nNOTA=7))</f>
        <v>0</v>
      </c>
      <c r="S373">
        <f>SUMPRODUCT((nCUENTA=1)*(nCURSO=A373)*(nASIG=B373)*(nNOTA=8))</f>
        <v>0</v>
      </c>
      <c r="T373">
        <f>SUMPRODUCT((nCUENTA=1)*(nCURSO=A373)*(nASIG=B373)*(nNOTA=9))</f>
        <v>0</v>
      </c>
      <c r="U373">
        <f>SUMPRODUCT((nCUENTA=1)*(nCURSO=A373)*(nASIG=B373)*(nNOTA=10))</f>
        <v>0</v>
      </c>
    </row>
    <row r="374">
      <c r="A374" t="inlineStr">
        <is>
          <t xml:space="preserve">5EPM</t>
        </is>
      </c>
      <c r="B374" cm="1">
        <f t="array" ref="B374">IFERROR(INDEX(_xlfn._xlws.FILTER(CONFIG_ASIGNATURAS!$B$2:$B$91,(CONFIG_ASIGNATURAS!$G$2:$G$91="Sí")*ISNUMBER(SEARCH("5EPM",CONFIG_ASIGNATURAS!$C$2:$C$91))),51),"")</f>
      </c>
      <c r="C374">
        <f>IF(B374="","",IFERROR(VLOOKUP(B374,CONFIG_ASIGNATURAS!$B$2:$D$91,3,FALSE()),"Asignatura"))</f>
      </c>
      <c r="D374">
        <f>SUMPRODUCT((nCUENTA=1)*(nCURSO=A374)*(nASIG=B374))</f>
        <v>0</v>
      </c>
      <c r="E374" s="10" t="str">
        <f>IFERROR(SUMPRODUCT((nCUENTA=1)*(nCURSO=A374)*(nASIG=B374)*(nNOTA))/D374,"—")</f>
        <v>—</v>
      </c>
      <c r="F374" s="10" t="str" cm="1">
        <f t="array" ref="F374">IFERROR(_xlfn.STDEV.P(_xlfn._xlws.FILTER(nNOTA,(nCUENTA=1)*(nCURSO=A374)*(nASIG=B374))),"—")</f>
        <v>—</v>
      </c>
      <c r="G374" t="str" cm="1">
        <f t="array" ref="G374">IFERROR(_xlfn.MODE.SNGL(_xlfn._xlws.FILTER(nNOTA,(nCUENTA=1)*(nCURSO=A374)*(nASIG=B374))),"—")</f>
        <v>—</v>
      </c>
      <c r="H374" s="11" t="str">
        <f>IFERROR(SUMPRODUCT((nCUENTA=1)*(nCURSO=A374)*(nASIG=B374)*(nAPTO="S"))/D374,"—")</f>
        <v>—</v>
      </c>
      <c r="I374" s="11" t="str">
        <f>IFERROR(SUMPRODUCT((nCUENTA=1)*(nCURSO=A374)*(nASIG=B374)*(nAPTO="N"))/D374,"—")</f>
        <v>—</v>
      </c>
      <c r="J374" t="str" cm="1">
        <f t="array" ref="J374">IFERROR(_xlfn.MODE.SNGL(_xlfn._xlws.FILTER(nNOTA,(nCUENTA=1)*(nCURSO=A374)*(nASIG=B374)*(nAPTO="S"))),"—")</f>
        <v>—</v>
      </c>
      <c r="K374" t="str" cm="1">
        <f t="array" ref="K374">IFERROR(_xlfn.MODE.SNGL(_xlfn._xlws.FILTER(nNOTA,(nCUENTA=1)*(nCURSO=A374)*(nASIG=B374)*(nAPTO="N"))),"—")</f>
        <v>—</v>
      </c>
      <c r="L374">
        <f>SUMPRODUCT((nCUENTA=1)*(nCURSO=A374)*(nASIG=B374)*(nNOTA=1))</f>
        <v>0</v>
      </c>
      <c r="M374">
        <f>SUMPRODUCT((nCUENTA=1)*(nCURSO=A374)*(nASIG=B374)*(nNOTA=2))</f>
        <v>0</v>
      </c>
      <c r="N374">
        <f>SUMPRODUCT((nCUENTA=1)*(nCURSO=A374)*(nASIG=B374)*(nNOTA=3))</f>
        <v>0</v>
      </c>
      <c r="O374">
        <f>SUMPRODUCT((nCUENTA=1)*(nCURSO=A374)*(nASIG=B374)*(nNOTA=4))</f>
        <v>0</v>
      </c>
      <c r="P374">
        <f>SUMPRODUCT((nCUENTA=1)*(nCURSO=A374)*(nASIG=B374)*(nNOTA=5))</f>
        <v>0</v>
      </c>
      <c r="Q374">
        <f>SUMPRODUCT((nCUENTA=1)*(nCURSO=A374)*(nASIG=B374)*(nNOTA=6))</f>
        <v>0</v>
      </c>
      <c r="R374">
        <f>SUMPRODUCT((nCUENTA=1)*(nCURSO=A374)*(nASIG=B374)*(nNOTA=7))</f>
        <v>0</v>
      </c>
      <c r="S374">
        <f>SUMPRODUCT((nCUENTA=1)*(nCURSO=A374)*(nASIG=B374)*(nNOTA=8))</f>
        <v>0</v>
      </c>
      <c r="T374">
        <f>SUMPRODUCT((nCUENTA=1)*(nCURSO=A374)*(nASIG=B374)*(nNOTA=9))</f>
        <v>0</v>
      </c>
      <c r="U374">
        <f>SUMPRODUCT((nCUENTA=1)*(nCURSO=A374)*(nASIG=B374)*(nNOTA=10))</f>
        <v>0</v>
      </c>
    </row>
    <row r="375">
      <c r="A375" t="inlineStr">
        <is>
          <t xml:space="preserve">5EPM</t>
        </is>
      </c>
      <c r="B375" cm="1">
        <f t="array" ref="B375">IFERROR(INDEX(_xlfn._xlws.FILTER(CONFIG_ASIGNATURAS!$B$2:$B$91,(CONFIG_ASIGNATURAS!$G$2:$G$91="Sí")*ISNUMBER(SEARCH("5EPM",CONFIG_ASIGNATURAS!$C$2:$C$91))),52),"")</f>
      </c>
      <c r="C375">
        <f>IF(B375="","",IFERROR(VLOOKUP(B375,CONFIG_ASIGNATURAS!$B$2:$D$91,3,FALSE()),"Asignatura"))</f>
      </c>
      <c r="D375">
        <f>SUMPRODUCT((nCUENTA=1)*(nCURSO=A375)*(nASIG=B375))</f>
        <v>0</v>
      </c>
      <c r="E375" s="10" t="str">
        <f>IFERROR(SUMPRODUCT((nCUENTA=1)*(nCURSO=A375)*(nASIG=B375)*(nNOTA))/D375,"—")</f>
        <v>—</v>
      </c>
      <c r="F375" s="10" t="str" cm="1">
        <f t="array" ref="F375">IFERROR(_xlfn.STDEV.P(_xlfn._xlws.FILTER(nNOTA,(nCUENTA=1)*(nCURSO=A375)*(nASIG=B375))),"—")</f>
        <v>—</v>
      </c>
      <c r="G375" t="str" cm="1">
        <f t="array" ref="G375">IFERROR(_xlfn.MODE.SNGL(_xlfn._xlws.FILTER(nNOTA,(nCUENTA=1)*(nCURSO=A375)*(nASIG=B375))),"—")</f>
        <v>—</v>
      </c>
      <c r="H375" s="11" t="str">
        <f>IFERROR(SUMPRODUCT((nCUENTA=1)*(nCURSO=A375)*(nASIG=B375)*(nAPTO="S"))/D375,"—")</f>
        <v>—</v>
      </c>
      <c r="I375" s="11" t="str">
        <f>IFERROR(SUMPRODUCT((nCUENTA=1)*(nCURSO=A375)*(nASIG=B375)*(nAPTO="N"))/D375,"—")</f>
        <v>—</v>
      </c>
      <c r="J375" t="str" cm="1">
        <f t="array" ref="J375">IFERROR(_xlfn.MODE.SNGL(_xlfn._xlws.FILTER(nNOTA,(nCUENTA=1)*(nCURSO=A375)*(nASIG=B375)*(nAPTO="S"))),"—")</f>
        <v>—</v>
      </c>
      <c r="K375" t="str" cm="1">
        <f t="array" ref="K375">IFERROR(_xlfn.MODE.SNGL(_xlfn._xlws.FILTER(nNOTA,(nCUENTA=1)*(nCURSO=A375)*(nASIG=B375)*(nAPTO="N"))),"—")</f>
        <v>—</v>
      </c>
      <c r="L375">
        <f>SUMPRODUCT((nCUENTA=1)*(nCURSO=A375)*(nASIG=B375)*(nNOTA=1))</f>
        <v>0</v>
      </c>
      <c r="M375">
        <f>SUMPRODUCT((nCUENTA=1)*(nCURSO=A375)*(nASIG=B375)*(nNOTA=2))</f>
        <v>0</v>
      </c>
      <c r="N375">
        <f>SUMPRODUCT((nCUENTA=1)*(nCURSO=A375)*(nASIG=B375)*(nNOTA=3))</f>
        <v>0</v>
      </c>
      <c r="O375">
        <f>SUMPRODUCT((nCUENTA=1)*(nCURSO=A375)*(nASIG=B375)*(nNOTA=4))</f>
        <v>0</v>
      </c>
      <c r="P375">
        <f>SUMPRODUCT((nCUENTA=1)*(nCURSO=A375)*(nASIG=B375)*(nNOTA=5))</f>
        <v>0</v>
      </c>
      <c r="Q375">
        <f>SUMPRODUCT((nCUENTA=1)*(nCURSO=A375)*(nASIG=B375)*(nNOTA=6))</f>
        <v>0</v>
      </c>
      <c r="R375">
        <f>SUMPRODUCT((nCUENTA=1)*(nCURSO=A375)*(nASIG=B375)*(nNOTA=7))</f>
        <v>0</v>
      </c>
      <c r="S375">
        <f>SUMPRODUCT((nCUENTA=1)*(nCURSO=A375)*(nASIG=B375)*(nNOTA=8))</f>
        <v>0</v>
      </c>
      <c r="T375">
        <f>SUMPRODUCT((nCUENTA=1)*(nCURSO=A375)*(nASIG=B375)*(nNOTA=9))</f>
        <v>0</v>
      </c>
      <c r="U375">
        <f>SUMPRODUCT((nCUENTA=1)*(nCURSO=A375)*(nASIG=B375)*(nNOTA=10))</f>
        <v>0</v>
      </c>
    </row>
    <row r="376">
      <c r="A376" t="inlineStr">
        <is>
          <t xml:space="preserve">5EPM</t>
        </is>
      </c>
      <c r="B376" cm="1">
        <f t="array" ref="B376">IFERROR(INDEX(_xlfn._xlws.FILTER(CONFIG_ASIGNATURAS!$B$2:$B$91,(CONFIG_ASIGNATURAS!$G$2:$G$91="Sí")*ISNUMBER(SEARCH("5EPM",CONFIG_ASIGNATURAS!$C$2:$C$91))),53),"")</f>
      </c>
      <c r="C376">
        <f>IF(B376="","",IFERROR(VLOOKUP(B376,CONFIG_ASIGNATURAS!$B$2:$D$91,3,FALSE()),"Asignatura"))</f>
      </c>
      <c r="D376">
        <f>SUMPRODUCT((nCUENTA=1)*(nCURSO=A376)*(nASIG=B376))</f>
        <v>0</v>
      </c>
      <c r="E376" s="10" t="str">
        <f>IFERROR(SUMPRODUCT((nCUENTA=1)*(nCURSO=A376)*(nASIG=B376)*(nNOTA))/D376,"—")</f>
        <v>—</v>
      </c>
      <c r="F376" s="10" t="str" cm="1">
        <f t="array" ref="F376">IFERROR(_xlfn.STDEV.P(_xlfn._xlws.FILTER(nNOTA,(nCUENTA=1)*(nCURSO=A376)*(nASIG=B376))),"—")</f>
        <v>—</v>
      </c>
      <c r="G376" t="str" cm="1">
        <f t="array" ref="G376">IFERROR(_xlfn.MODE.SNGL(_xlfn._xlws.FILTER(nNOTA,(nCUENTA=1)*(nCURSO=A376)*(nASIG=B376))),"—")</f>
        <v>—</v>
      </c>
      <c r="H376" s="11" t="str">
        <f>IFERROR(SUMPRODUCT((nCUENTA=1)*(nCURSO=A376)*(nASIG=B376)*(nAPTO="S"))/D376,"—")</f>
        <v>—</v>
      </c>
      <c r="I376" s="11" t="str">
        <f>IFERROR(SUMPRODUCT((nCUENTA=1)*(nCURSO=A376)*(nASIG=B376)*(nAPTO="N"))/D376,"—")</f>
        <v>—</v>
      </c>
      <c r="J376" t="str" cm="1">
        <f t="array" ref="J376">IFERROR(_xlfn.MODE.SNGL(_xlfn._xlws.FILTER(nNOTA,(nCUENTA=1)*(nCURSO=A376)*(nASIG=B376)*(nAPTO="S"))),"—")</f>
        <v>—</v>
      </c>
      <c r="K376" t="str" cm="1">
        <f t="array" ref="K376">IFERROR(_xlfn.MODE.SNGL(_xlfn._xlws.FILTER(nNOTA,(nCUENTA=1)*(nCURSO=A376)*(nASIG=B376)*(nAPTO="N"))),"—")</f>
        <v>—</v>
      </c>
      <c r="L376">
        <f>SUMPRODUCT((nCUENTA=1)*(nCURSO=A376)*(nASIG=B376)*(nNOTA=1))</f>
        <v>0</v>
      </c>
      <c r="M376">
        <f>SUMPRODUCT((nCUENTA=1)*(nCURSO=A376)*(nASIG=B376)*(nNOTA=2))</f>
        <v>0</v>
      </c>
      <c r="N376">
        <f>SUMPRODUCT((nCUENTA=1)*(nCURSO=A376)*(nASIG=B376)*(nNOTA=3))</f>
        <v>0</v>
      </c>
      <c r="O376">
        <f>SUMPRODUCT((nCUENTA=1)*(nCURSO=A376)*(nASIG=B376)*(nNOTA=4))</f>
        <v>0</v>
      </c>
      <c r="P376">
        <f>SUMPRODUCT((nCUENTA=1)*(nCURSO=A376)*(nASIG=B376)*(nNOTA=5))</f>
        <v>0</v>
      </c>
      <c r="Q376">
        <f>SUMPRODUCT((nCUENTA=1)*(nCURSO=A376)*(nASIG=B376)*(nNOTA=6))</f>
        <v>0</v>
      </c>
      <c r="R376">
        <f>SUMPRODUCT((nCUENTA=1)*(nCURSO=A376)*(nASIG=B376)*(nNOTA=7))</f>
        <v>0</v>
      </c>
      <c r="S376">
        <f>SUMPRODUCT((nCUENTA=1)*(nCURSO=A376)*(nASIG=B376)*(nNOTA=8))</f>
        <v>0</v>
      </c>
      <c r="T376">
        <f>SUMPRODUCT((nCUENTA=1)*(nCURSO=A376)*(nASIG=B376)*(nNOTA=9))</f>
        <v>0</v>
      </c>
      <c r="U376">
        <f>SUMPRODUCT((nCUENTA=1)*(nCURSO=A376)*(nASIG=B376)*(nNOTA=10))</f>
        <v>0</v>
      </c>
    </row>
    <row r="377">
      <c r="A377" t="inlineStr">
        <is>
          <t xml:space="preserve">5EPM</t>
        </is>
      </c>
      <c r="B377" cm="1">
        <f t="array" ref="B377">IFERROR(INDEX(_xlfn._xlws.FILTER(CONFIG_ASIGNATURAS!$B$2:$B$91,(CONFIG_ASIGNATURAS!$G$2:$G$91="Sí")*ISNUMBER(SEARCH("5EPM",CONFIG_ASIGNATURAS!$C$2:$C$91))),54),"")</f>
      </c>
      <c r="C377">
        <f>IF(B377="","",IFERROR(VLOOKUP(B377,CONFIG_ASIGNATURAS!$B$2:$D$91,3,FALSE()),"Asignatura"))</f>
      </c>
      <c r="D377">
        <f>SUMPRODUCT((nCUENTA=1)*(nCURSO=A377)*(nASIG=B377))</f>
        <v>0</v>
      </c>
      <c r="E377" s="10" t="str">
        <f>IFERROR(SUMPRODUCT((nCUENTA=1)*(nCURSO=A377)*(nASIG=B377)*(nNOTA))/D377,"—")</f>
        <v>—</v>
      </c>
      <c r="F377" s="10" t="str" cm="1">
        <f t="array" ref="F377">IFERROR(_xlfn.STDEV.P(_xlfn._xlws.FILTER(nNOTA,(nCUENTA=1)*(nCURSO=A377)*(nASIG=B377))),"—")</f>
        <v>—</v>
      </c>
      <c r="G377" t="str" cm="1">
        <f t="array" ref="G377">IFERROR(_xlfn.MODE.SNGL(_xlfn._xlws.FILTER(nNOTA,(nCUENTA=1)*(nCURSO=A377)*(nASIG=B377))),"—")</f>
        <v>—</v>
      </c>
      <c r="H377" s="11" t="str">
        <f>IFERROR(SUMPRODUCT((nCUENTA=1)*(nCURSO=A377)*(nASIG=B377)*(nAPTO="S"))/D377,"—")</f>
        <v>—</v>
      </c>
      <c r="I377" s="11" t="str">
        <f>IFERROR(SUMPRODUCT((nCUENTA=1)*(nCURSO=A377)*(nASIG=B377)*(nAPTO="N"))/D377,"—")</f>
        <v>—</v>
      </c>
      <c r="J377" t="str" cm="1">
        <f t="array" ref="J377">IFERROR(_xlfn.MODE.SNGL(_xlfn._xlws.FILTER(nNOTA,(nCUENTA=1)*(nCURSO=A377)*(nASIG=B377)*(nAPTO="S"))),"—")</f>
        <v>—</v>
      </c>
      <c r="K377" t="str" cm="1">
        <f t="array" ref="K377">IFERROR(_xlfn.MODE.SNGL(_xlfn._xlws.FILTER(nNOTA,(nCUENTA=1)*(nCURSO=A377)*(nASIG=B377)*(nAPTO="N"))),"—")</f>
        <v>—</v>
      </c>
      <c r="L377">
        <f>SUMPRODUCT((nCUENTA=1)*(nCURSO=A377)*(nASIG=B377)*(nNOTA=1))</f>
        <v>0</v>
      </c>
      <c r="M377">
        <f>SUMPRODUCT((nCUENTA=1)*(nCURSO=A377)*(nASIG=B377)*(nNOTA=2))</f>
        <v>0</v>
      </c>
      <c r="N377">
        <f>SUMPRODUCT((nCUENTA=1)*(nCURSO=A377)*(nASIG=B377)*(nNOTA=3))</f>
        <v>0</v>
      </c>
      <c r="O377">
        <f>SUMPRODUCT((nCUENTA=1)*(nCURSO=A377)*(nASIG=B377)*(nNOTA=4))</f>
        <v>0</v>
      </c>
      <c r="P377">
        <f>SUMPRODUCT((nCUENTA=1)*(nCURSO=A377)*(nASIG=B377)*(nNOTA=5))</f>
        <v>0</v>
      </c>
      <c r="Q377">
        <f>SUMPRODUCT((nCUENTA=1)*(nCURSO=A377)*(nASIG=B377)*(nNOTA=6))</f>
        <v>0</v>
      </c>
      <c r="R377">
        <f>SUMPRODUCT((nCUENTA=1)*(nCURSO=A377)*(nASIG=B377)*(nNOTA=7))</f>
        <v>0</v>
      </c>
      <c r="S377">
        <f>SUMPRODUCT((nCUENTA=1)*(nCURSO=A377)*(nASIG=B377)*(nNOTA=8))</f>
        <v>0</v>
      </c>
      <c r="T377">
        <f>SUMPRODUCT((nCUENTA=1)*(nCURSO=A377)*(nASIG=B377)*(nNOTA=9))</f>
        <v>0</v>
      </c>
      <c r="U377">
        <f>SUMPRODUCT((nCUENTA=1)*(nCURSO=A377)*(nASIG=B377)*(nNOTA=10))</f>
        <v>0</v>
      </c>
    </row>
    <row r="378">
      <c r="A378" t="inlineStr">
        <is>
          <t xml:space="preserve">5EPM</t>
        </is>
      </c>
      <c r="B378" cm="1">
        <f t="array" ref="B378">IFERROR(INDEX(_xlfn._xlws.FILTER(CONFIG_ASIGNATURAS!$B$2:$B$91,(CONFIG_ASIGNATURAS!$G$2:$G$91="Sí")*ISNUMBER(SEARCH("5EPM",CONFIG_ASIGNATURAS!$C$2:$C$91))),55),"")</f>
      </c>
      <c r="C378">
        <f>IF(B378="","",IFERROR(VLOOKUP(B378,CONFIG_ASIGNATURAS!$B$2:$D$91,3,FALSE()),"Asignatura"))</f>
      </c>
      <c r="D378">
        <f>SUMPRODUCT((nCUENTA=1)*(nCURSO=A378)*(nASIG=B378))</f>
        <v>0</v>
      </c>
      <c r="E378" s="10" t="str">
        <f>IFERROR(SUMPRODUCT((nCUENTA=1)*(nCURSO=A378)*(nASIG=B378)*(nNOTA))/D378,"—")</f>
        <v>—</v>
      </c>
      <c r="F378" s="10" t="str" cm="1">
        <f t="array" ref="F378">IFERROR(_xlfn.STDEV.P(_xlfn._xlws.FILTER(nNOTA,(nCUENTA=1)*(nCURSO=A378)*(nASIG=B378))),"—")</f>
        <v>—</v>
      </c>
      <c r="G378" t="str" cm="1">
        <f t="array" ref="G378">IFERROR(_xlfn.MODE.SNGL(_xlfn._xlws.FILTER(nNOTA,(nCUENTA=1)*(nCURSO=A378)*(nASIG=B378))),"—")</f>
        <v>—</v>
      </c>
      <c r="H378" s="11" t="str">
        <f>IFERROR(SUMPRODUCT((nCUENTA=1)*(nCURSO=A378)*(nASIG=B378)*(nAPTO="S"))/D378,"—")</f>
        <v>—</v>
      </c>
      <c r="I378" s="11" t="str">
        <f>IFERROR(SUMPRODUCT((nCUENTA=1)*(nCURSO=A378)*(nASIG=B378)*(nAPTO="N"))/D378,"—")</f>
        <v>—</v>
      </c>
      <c r="J378" t="str" cm="1">
        <f t="array" ref="J378">IFERROR(_xlfn.MODE.SNGL(_xlfn._xlws.FILTER(nNOTA,(nCUENTA=1)*(nCURSO=A378)*(nASIG=B378)*(nAPTO="S"))),"—")</f>
        <v>—</v>
      </c>
      <c r="K378" t="str" cm="1">
        <f t="array" ref="K378">IFERROR(_xlfn.MODE.SNGL(_xlfn._xlws.FILTER(nNOTA,(nCUENTA=1)*(nCURSO=A378)*(nASIG=B378)*(nAPTO="N"))),"—")</f>
        <v>—</v>
      </c>
      <c r="L378">
        <f>SUMPRODUCT((nCUENTA=1)*(nCURSO=A378)*(nASIG=B378)*(nNOTA=1))</f>
        <v>0</v>
      </c>
      <c r="M378">
        <f>SUMPRODUCT((nCUENTA=1)*(nCURSO=A378)*(nASIG=B378)*(nNOTA=2))</f>
        <v>0</v>
      </c>
      <c r="N378">
        <f>SUMPRODUCT((nCUENTA=1)*(nCURSO=A378)*(nASIG=B378)*(nNOTA=3))</f>
        <v>0</v>
      </c>
      <c r="O378">
        <f>SUMPRODUCT((nCUENTA=1)*(nCURSO=A378)*(nASIG=B378)*(nNOTA=4))</f>
        <v>0</v>
      </c>
      <c r="P378">
        <f>SUMPRODUCT((nCUENTA=1)*(nCURSO=A378)*(nASIG=B378)*(nNOTA=5))</f>
        <v>0</v>
      </c>
      <c r="Q378">
        <f>SUMPRODUCT((nCUENTA=1)*(nCURSO=A378)*(nASIG=B378)*(nNOTA=6))</f>
        <v>0</v>
      </c>
      <c r="R378">
        <f>SUMPRODUCT((nCUENTA=1)*(nCURSO=A378)*(nASIG=B378)*(nNOTA=7))</f>
        <v>0</v>
      </c>
      <c r="S378">
        <f>SUMPRODUCT((nCUENTA=1)*(nCURSO=A378)*(nASIG=B378)*(nNOTA=8))</f>
        <v>0</v>
      </c>
      <c r="T378">
        <f>SUMPRODUCT((nCUENTA=1)*(nCURSO=A378)*(nASIG=B378)*(nNOTA=9))</f>
        <v>0</v>
      </c>
      <c r="U378">
        <f>SUMPRODUCT((nCUENTA=1)*(nCURSO=A378)*(nASIG=B378)*(nNOTA=10))</f>
        <v>0</v>
      </c>
    </row>
    <row r="379">
      <c r="A379" t="inlineStr">
        <is>
          <t xml:space="preserve">5EPM</t>
        </is>
      </c>
      <c r="B379" cm="1">
        <f t="array" ref="B379">IFERROR(INDEX(_xlfn._xlws.FILTER(CONFIG_ASIGNATURAS!$B$2:$B$91,(CONFIG_ASIGNATURAS!$G$2:$G$91="Sí")*ISNUMBER(SEARCH("5EPM",CONFIG_ASIGNATURAS!$C$2:$C$91))),56),"")</f>
      </c>
      <c r="C379">
        <f>IF(B379="","",IFERROR(VLOOKUP(B379,CONFIG_ASIGNATURAS!$B$2:$D$91,3,FALSE()),"Asignatura"))</f>
      </c>
      <c r="D379">
        <f>SUMPRODUCT((nCUENTA=1)*(nCURSO=A379)*(nASIG=B379))</f>
        <v>0</v>
      </c>
      <c r="E379" s="10" t="str">
        <f>IFERROR(SUMPRODUCT((nCUENTA=1)*(nCURSO=A379)*(nASIG=B379)*(nNOTA))/D379,"—")</f>
        <v>—</v>
      </c>
      <c r="F379" s="10" t="str" cm="1">
        <f t="array" ref="F379">IFERROR(_xlfn.STDEV.P(_xlfn._xlws.FILTER(nNOTA,(nCUENTA=1)*(nCURSO=A379)*(nASIG=B379))),"—")</f>
        <v>—</v>
      </c>
      <c r="G379" t="str" cm="1">
        <f t="array" ref="G379">IFERROR(_xlfn.MODE.SNGL(_xlfn._xlws.FILTER(nNOTA,(nCUENTA=1)*(nCURSO=A379)*(nASIG=B379))),"—")</f>
        <v>—</v>
      </c>
      <c r="H379" s="11" t="str">
        <f>IFERROR(SUMPRODUCT((nCUENTA=1)*(nCURSO=A379)*(nASIG=B379)*(nAPTO="S"))/D379,"—")</f>
        <v>—</v>
      </c>
      <c r="I379" s="11" t="str">
        <f>IFERROR(SUMPRODUCT((nCUENTA=1)*(nCURSO=A379)*(nASIG=B379)*(nAPTO="N"))/D379,"—")</f>
        <v>—</v>
      </c>
      <c r="J379" t="str" cm="1">
        <f t="array" ref="J379">IFERROR(_xlfn.MODE.SNGL(_xlfn._xlws.FILTER(nNOTA,(nCUENTA=1)*(nCURSO=A379)*(nASIG=B379)*(nAPTO="S"))),"—")</f>
        <v>—</v>
      </c>
      <c r="K379" t="str" cm="1">
        <f t="array" ref="K379">IFERROR(_xlfn.MODE.SNGL(_xlfn._xlws.FILTER(nNOTA,(nCUENTA=1)*(nCURSO=A379)*(nASIG=B379)*(nAPTO="N"))),"—")</f>
        <v>—</v>
      </c>
      <c r="L379">
        <f>SUMPRODUCT((nCUENTA=1)*(nCURSO=A379)*(nASIG=B379)*(nNOTA=1))</f>
        <v>0</v>
      </c>
      <c r="M379">
        <f>SUMPRODUCT((nCUENTA=1)*(nCURSO=A379)*(nASIG=B379)*(nNOTA=2))</f>
        <v>0</v>
      </c>
      <c r="N379">
        <f>SUMPRODUCT((nCUENTA=1)*(nCURSO=A379)*(nASIG=B379)*(nNOTA=3))</f>
        <v>0</v>
      </c>
      <c r="O379">
        <f>SUMPRODUCT((nCUENTA=1)*(nCURSO=A379)*(nASIG=B379)*(nNOTA=4))</f>
        <v>0</v>
      </c>
      <c r="P379">
        <f>SUMPRODUCT((nCUENTA=1)*(nCURSO=A379)*(nASIG=B379)*(nNOTA=5))</f>
        <v>0</v>
      </c>
      <c r="Q379">
        <f>SUMPRODUCT((nCUENTA=1)*(nCURSO=A379)*(nASIG=B379)*(nNOTA=6))</f>
        <v>0</v>
      </c>
      <c r="R379">
        <f>SUMPRODUCT((nCUENTA=1)*(nCURSO=A379)*(nASIG=B379)*(nNOTA=7))</f>
        <v>0</v>
      </c>
      <c r="S379">
        <f>SUMPRODUCT((nCUENTA=1)*(nCURSO=A379)*(nASIG=B379)*(nNOTA=8))</f>
        <v>0</v>
      </c>
      <c r="T379">
        <f>SUMPRODUCT((nCUENTA=1)*(nCURSO=A379)*(nASIG=B379)*(nNOTA=9))</f>
        <v>0</v>
      </c>
      <c r="U379">
        <f>SUMPRODUCT((nCUENTA=1)*(nCURSO=A379)*(nASIG=B379)*(nNOTA=10))</f>
        <v>0</v>
      </c>
    </row>
    <row r="380">
      <c r="A380" t="inlineStr">
        <is>
          <t xml:space="preserve">5EPM</t>
        </is>
      </c>
      <c r="B380" cm="1">
        <f t="array" ref="B380">IFERROR(INDEX(_xlfn._xlws.FILTER(CONFIG_ASIGNATURAS!$B$2:$B$91,(CONFIG_ASIGNATURAS!$G$2:$G$91="Sí")*ISNUMBER(SEARCH("5EPM",CONFIG_ASIGNATURAS!$C$2:$C$91))),57),"")</f>
      </c>
      <c r="C380">
        <f>IF(B380="","",IFERROR(VLOOKUP(B380,CONFIG_ASIGNATURAS!$B$2:$D$91,3,FALSE()),"Asignatura"))</f>
      </c>
      <c r="D380">
        <f>SUMPRODUCT((nCUENTA=1)*(nCURSO=A380)*(nASIG=B380))</f>
        <v>0</v>
      </c>
      <c r="E380" s="10" t="str">
        <f>IFERROR(SUMPRODUCT((nCUENTA=1)*(nCURSO=A380)*(nASIG=B380)*(nNOTA))/D380,"—")</f>
        <v>—</v>
      </c>
      <c r="F380" s="10" t="str" cm="1">
        <f t="array" ref="F380">IFERROR(_xlfn.STDEV.P(_xlfn._xlws.FILTER(nNOTA,(nCUENTA=1)*(nCURSO=A380)*(nASIG=B380))),"—")</f>
        <v>—</v>
      </c>
      <c r="G380" t="str" cm="1">
        <f t="array" ref="G380">IFERROR(_xlfn.MODE.SNGL(_xlfn._xlws.FILTER(nNOTA,(nCUENTA=1)*(nCURSO=A380)*(nASIG=B380))),"—")</f>
        <v>—</v>
      </c>
      <c r="H380" s="11" t="str">
        <f>IFERROR(SUMPRODUCT((nCUENTA=1)*(nCURSO=A380)*(nASIG=B380)*(nAPTO="S"))/D380,"—")</f>
        <v>—</v>
      </c>
      <c r="I380" s="11" t="str">
        <f>IFERROR(SUMPRODUCT((nCUENTA=1)*(nCURSO=A380)*(nASIG=B380)*(nAPTO="N"))/D380,"—")</f>
        <v>—</v>
      </c>
      <c r="J380" t="str" cm="1">
        <f t="array" ref="J380">IFERROR(_xlfn.MODE.SNGL(_xlfn._xlws.FILTER(nNOTA,(nCUENTA=1)*(nCURSO=A380)*(nASIG=B380)*(nAPTO="S"))),"—")</f>
        <v>—</v>
      </c>
      <c r="K380" t="str" cm="1">
        <f t="array" ref="K380">IFERROR(_xlfn.MODE.SNGL(_xlfn._xlws.FILTER(nNOTA,(nCUENTA=1)*(nCURSO=A380)*(nASIG=B380)*(nAPTO="N"))),"—")</f>
        <v>—</v>
      </c>
      <c r="L380">
        <f>SUMPRODUCT((nCUENTA=1)*(nCURSO=A380)*(nASIG=B380)*(nNOTA=1))</f>
        <v>0</v>
      </c>
      <c r="M380">
        <f>SUMPRODUCT((nCUENTA=1)*(nCURSO=A380)*(nASIG=B380)*(nNOTA=2))</f>
        <v>0</v>
      </c>
      <c r="N380">
        <f>SUMPRODUCT((nCUENTA=1)*(nCURSO=A380)*(nASIG=B380)*(nNOTA=3))</f>
        <v>0</v>
      </c>
      <c r="O380">
        <f>SUMPRODUCT((nCUENTA=1)*(nCURSO=A380)*(nASIG=B380)*(nNOTA=4))</f>
        <v>0</v>
      </c>
      <c r="P380">
        <f>SUMPRODUCT((nCUENTA=1)*(nCURSO=A380)*(nASIG=B380)*(nNOTA=5))</f>
        <v>0</v>
      </c>
      <c r="Q380">
        <f>SUMPRODUCT((nCUENTA=1)*(nCURSO=A380)*(nASIG=B380)*(nNOTA=6))</f>
        <v>0</v>
      </c>
      <c r="R380">
        <f>SUMPRODUCT((nCUENTA=1)*(nCURSO=A380)*(nASIG=B380)*(nNOTA=7))</f>
        <v>0</v>
      </c>
      <c r="S380">
        <f>SUMPRODUCT((nCUENTA=1)*(nCURSO=A380)*(nASIG=B380)*(nNOTA=8))</f>
        <v>0</v>
      </c>
      <c r="T380">
        <f>SUMPRODUCT((nCUENTA=1)*(nCURSO=A380)*(nASIG=B380)*(nNOTA=9))</f>
        <v>0</v>
      </c>
      <c r="U380">
        <f>SUMPRODUCT((nCUENTA=1)*(nCURSO=A380)*(nASIG=B380)*(nNOTA=10))</f>
        <v>0</v>
      </c>
    </row>
    <row r="381">
      <c r="A381" t="inlineStr">
        <is>
          <t xml:space="preserve">5EPM</t>
        </is>
      </c>
      <c r="B381" cm="1">
        <f t="array" ref="B381">IFERROR(INDEX(_xlfn._xlws.FILTER(CONFIG_ASIGNATURAS!$B$2:$B$91,(CONFIG_ASIGNATURAS!$G$2:$G$91="Sí")*ISNUMBER(SEARCH("5EPM",CONFIG_ASIGNATURAS!$C$2:$C$91))),58),"")</f>
      </c>
      <c r="C381">
        <f>IF(B381="","",IFERROR(VLOOKUP(B381,CONFIG_ASIGNATURAS!$B$2:$D$91,3,FALSE()),"Asignatura"))</f>
      </c>
      <c r="D381">
        <f>SUMPRODUCT((nCUENTA=1)*(nCURSO=A381)*(nASIG=B381))</f>
        <v>0</v>
      </c>
      <c r="E381" s="10" t="str">
        <f>IFERROR(SUMPRODUCT((nCUENTA=1)*(nCURSO=A381)*(nASIG=B381)*(nNOTA))/D381,"—")</f>
        <v>—</v>
      </c>
      <c r="F381" s="10" t="str" cm="1">
        <f t="array" ref="F381">IFERROR(_xlfn.STDEV.P(_xlfn._xlws.FILTER(nNOTA,(nCUENTA=1)*(nCURSO=A381)*(nASIG=B381))),"—")</f>
        <v>—</v>
      </c>
      <c r="G381" t="str" cm="1">
        <f t="array" ref="G381">IFERROR(_xlfn.MODE.SNGL(_xlfn._xlws.FILTER(nNOTA,(nCUENTA=1)*(nCURSO=A381)*(nASIG=B381))),"—")</f>
        <v>—</v>
      </c>
      <c r="H381" s="11" t="str">
        <f>IFERROR(SUMPRODUCT((nCUENTA=1)*(nCURSO=A381)*(nASIG=B381)*(nAPTO="S"))/D381,"—")</f>
        <v>—</v>
      </c>
      <c r="I381" s="11" t="str">
        <f>IFERROR(SUMPRODUCT((nCUENTA=1)*(nCURSO=A381)*(nASIG=B381)*(nAPTO="N"))/D381,"—")</f>
        <v>—</v>
      </c>
      <c r="J381" t="str" cm="1">
        <f t="array" ref="J381">IFERROR(_xlfn.MODE.SNGL(_xlfn._xlws.FILTER(nNOTA,(nCUENTA=1)*(nCURSO=A381)*(nASIG=B381)*(nAPTO="S"))),"—")</f>
        <v>—</v>
      </c>
      <c r="K381" t="str" cm="1">
        <f t="array" ref="K381">IFERROR(_xlfn.MODE.SNGL(_xlfn._xlws.FILTER(nNOTA,(nCUENTA=1)*(nCURSO=A381)*(nASIG=B381)*(nAPTO="N"))),"—")</f>
        <v>—</v>
      </c>
      <c r="L381">
        <f>SUMPRODUCT((nCUENTA=1)*(nCURSO=A381)*(nASIG=B381)*(nNOTA=1))</f>
        <v>0</v>
      </c>
      <c r="M381">
        <f>SUMPRODUCT((nCUENTA=1)*(nCURSO=A381)*(nASIG=B381)*(nNOTA=2))</f>
        <v>0</v>
      </c>
      <c r="N381">
        <f>SUMPRODUCT((nCUENTA=1)*(nCURSO=A381)*(nASIG=B381)*(nNOTA=3))</f>
        <v>0</v>
      </c>
      <c r="O381">
        <f>SUMPRODUCT((nCUENTA=1)*(nCURSO=A381)*(nASIG=B381)*(nNOTA=4))</f>
        <v>0</v>
      </c>
      <c r="P381">
        <f>SUMPRODUCT((nCUENTA=1)*(nCURSO=A381)*(nASIG=B381)*(nNOTA=5))</f>
        <v>0</v>
      </c>
      <c r="Q381">
        <f>SUMPRODUCT((nCUENTA=1)*(nCURSO=A381)*(nASIG=B381)*(nNOTA=6))</f>
        <v>0</v>
      </c>
      <c r="R381">
        <f>SUMPRODUCT((nCUENTA=1)*(nCURSO=A381)*(nASIG=B381)*(nNOTA=7))</f>
        <v>0</v>
      </c>
      <c r="S381">
        <f>SUMPRODUCT((nCUENTA=1)*(nCURSO=A381)*(nASIG=B381)*(nNOTA=8))</f>
        <v>0</v>
      </c>
      <c r="T381">
        <f>SUMPRODUCT((nCUENTA=1)*(nCURSO=A381)*(nASIG=B381)*(nNOTA=9))</f>
        <v>0</v>
      </c>
      <c r="U381">
        <f>SUMPRODUCT((nCUENTA=1)*(nCURSO=A381)*(nASIG=B381)*(nNOTA=10))</f>
        <v>0</v>
      </c>
    </row>
    <row r="382">
      <c r="A382" t="inlineStr">
        <is>
          <t xml:space="preserve">5EPM</t>
        </is>
      </c>
      <c r="B382" cm="1">
        <f t="array" ref="B382">IFERROR(INDEX(_xlfn._xlws.FILTER(CONFIG_ASIGNATURAS!$B$2:$B$91,(CONFIG_ASIGNATURAS!$G$2:$G$91="Sí")*ISNUMBER(SEARCH("5EPM",CONFIG_ASIGNATURAS!$C$2:$C$91))),59),"")</f>
      </c>
      <c r="C382">
        <f>IF(B382="","",IFERROR(VLOOKUP(B382,CONFIG_ASIGNATURAS!$B$2:$D$91,3,FALSE()),"Asignatura"))</f>
      </c>
      <c r="D382">
        <f>SUMPRODUCT((nCUENTA=1)*(nCURSO=A382)*(nASIG=B382))</f>
        <v>0</v>
      </c>
      <c r="E382" s="10" t="str">
        <f>IFERROR(SUMPRODUCT((nCUENTA=1)*(nCURSO=A382)*(nASIG=B382)*(nNOTA))/D382,"—")</f>
        <v>—</v>
      </c>
      <c r="F382" s="10" t="str" cm="1">
        <f t="array" ref="F382">IFERROR(_xlfn.STDEV.P(_xlfn._xlws.FILTER(nNOTA,(nCUENTA=1)*(nCURSO=A382)*(nASIG=B382))),"—")</f>
        <v>—</v>
      </c>
      <c r="G382" t="str" cm="1">
        <f t="array" ref="G382">IFERROR(_xlfn.MODE.SNGL(_xlfn._xlws.FILTER(nNOTA,(nCUENTA=1)*(nCURSO=A382)*(nASIG=B382))),"—")</f>
        <v>—</v>
      </c>
      <c r="H382" s="11" t="str">
        <f>IFERROR(SUMPRODUCT((nCUENTA=1)*(nCURSO=A382)*(nASIG=B382)*(nAPTO="S"))/D382,"—")</f>
        <v>—</v>
      </c>
      <c r="I382" s="11" t="str">
        <f>IFERROR(SUMPRODUCT((nCUENTA=1)*(nCURSO=A382)*(nASIG=B382)*(nAPTO="N"))/D382,"—")</f>
        <v>—</v>
      </c>
      <c r="J382" t="str" cm="1">
        <f t="array" ref="J382">IFERROR(_xlfn.MODE.SNGL(_xlfn._xlws.FILTER(nNOTA,(nCUENTA=1)*(nCURSO=A382)*(nASIG=B382)*(nAPTO="S"))),"—")</f>
        <v>—</v>
      </c>
      <c r="K382" t="str" cm="1">
        <f t="array" ref="K382">IFERROR(_xlfn.MODE.SNGL(_xlfn._xlws.FILTER(nNOTA,(nCUENTA=1)*(nCURSO=A382)*(nASIG=B382)*(nAPTO="N"))),"—")</f>
        <v>—</v>
      </c>
      <c r="L382">
        <f>SUMPRODUCT((nCUENTA=1)*(nCURSO=A382)*(nASIG=B382)*(nNOTA=1))</f>
        <v>0</v>
      </c>
      <c r="M382">
        <f>SUMPRODUCT((nCUENTA=1)*(nCURSO=A382)*(nASIG=B382)*(nNOTA=2))</f>
        <v>0</v>
      </c>
      <c r="N382">
        <f>SUMPRODUCT((nCUENTA=1)*(nCURSO=A382)*(nASIG=B382)*(nNOTA=3))</f>
        <v>0</v>
      </c>
      <c r="O382">
        <f>SUMPRODUCT((nCUENTA=1)*(nCURSO=A382)*(nASIG=B382)*(nNOTA=4))</f>
        <v>0</v>
      </c>
      <c r="P382">
        <f>SUMPRODUCT((nCUENTA=1)*(nCURSO=A382)*(nASIG=B382)*(nNOTA=5))</f>
        <v>0</v>
      </c>
      <c r="Q382">
        <f>SUMPRODUCT((nCUENTA=1)*(nCURSO=A382)*(nASIG=B382)*(nNOTA=6))</f>
        <v>0</v>
      </c>
      <c r="R382">
        <f>SUMPRODUCT((nCUENTA=1)*(nCURSO=A382)*(nASIG=B382)*(nNOTA=7))</f>
        <v>0</v>
      </c>
      <c r="S382">
        <f>SUMPRODUCT((nCUENTA=1)*(nCURSO=A382)*(nASIG=B382)*(nNOTA=8))</f>
        <v>0</v>
      </c>
      <c r="T382">
        <f>SUMPRODUCT((nCUENTA=1)*(nCURSO=A382)*(nASIG=B382)*(nNOTA=9))</f>
        <v>0</v>
      </c>
      <c r="U382">
        <f>SUMPRODUCT((nCUENTA=1)*(nCURSO=A382)*(nASIG=B382)*(nNOTA=10))</f>
        <v>0</v>
      </c>
    </row>
    <row r="383">
      <c r="A383" t="inlineStr">
        <is>
          <t xml:space="preserve">5EPM</t>
        </is>
      </c>
      <c r="B383" cm="1">
        <f t="array" ref="B383">IFERROR(INDEX(_xlfn._xlws.FILTER(CONFIG_ASIGNATURAS!$B$2:$B$91,(CONFIG_ASIGNATURAS!$G$2:$G$91="Sí")*ISNUMBER(SEARCH("5EPM",CONFIG_ASIGNATURAS!$C$2:$C$91))),60),"")</f>
      </c>
      <c r="C383">
        <f>IF(B383="","",IFERROR(VLOOKUP(B383,CONFIG_ASIGNATURAS!$B$2:$D$91,3,FALSE()),"Asignatura"))</f>
      </c>
      <c r="D383">
        <f>SUMPRODUCT((nCUENTA=1)*(nCURSO=A383)*(nASIG=B383))</f>
        <v>0</v>
      </c>
      <c r="E383" s="10" t="str">
        <f>IFERROR(SUMPRODUCT((nCUENTA=1)*(nCURSO=A383)*(nASIG=B383)*(nNOTA))/D383,"—")</f>
        <v>—</v>
      </c>
      <c r="F383" s="10" t="str" cm="1">
        <f t="array" ref="F383">IFERROR(_xlfn.STDEV.P(_xlfn._xlws.FILTER(nNOTA,(nCUENTA=1)*(nCURSO=A383)*(nASIG=B383))),"—")</f>
        <v>—</v>
      </c>
      <c r="G383" t="str" cm="1">
        <f t="array" ref="G383">IFERROR(_xlfn.MODE.SNGL(_xlfn._xlws.FILTER(nNOTA,(nCUENTA=1)*(nCURSO=A383)*(nASIG=B383))),"—")</f>
        <v>—</v>
      </c>
      <c r="H383" s="11" t="str">
        <f>IFERROR(SUMPRODUCT((nCUENTA=1)*(nCURSO=A383)*(nASIG=B383)*(nAPTO="S"))/D383,"—")</f>
        <v>—</v>
      </c>
      <c r="I383" s="11" t="str">
        <f>IFERROR(SUMPRODUCT((nCUENTA=1)*(nCURSO=A383)*(nASIG=B383)*(nAPTO="N"))/D383,"—")</f>
        <v>—</v>
      </c>
      <c r="J383" t="str" cm="1">
        <f t="array" ref="J383">IFERROR(_xlfn.MODE.SNGL(_xlfn._xlws.FILTER(nNOTA,(nCUENTA=1)*(nCURSO=A383)*(nASIG=B383)*(nAPTO="S"))),"—")</f>
        <v>—</v>
      </c>
      <c r="K383" t="str" cm="1">
        <f t="array" ref="K383">IFERROR(_xlfn.MODE.SNGL(_xlfn._xlws.FILTER(nNOTA,(nCUENTA=1)*(nCURSO=A383)*(nASIG=B383)*(nAPTO="N"))),"—")</f>
        <v>—</v>
      </c>
      <c r="L383">
        <f>SUMPRODUCT((nCUENTA=1)*(nCURSO=A383)*(nASIG=B383)*(nNOTA=1))</f>
        <v>0</v>
      </c>
      <c r="M383">
        <f>SUMPRODUCT((nCUENTA=1)*(nCURSO=A383)*(nASIG=B383)*(nNOTA=2))</f>
        <v>0</v>
      </c>
      <c r="N383">
        <f>SUMPRODUCT((nCUENTA=1)*(nCURSO=A383)*(nASIG=B383)*(nNOTA=3))</f>
        <v>0</v>
      </c>
      <c r="O383">
        <f>SUMPRODUCT((nCUENTA=1)*(nCURSO=A383)*(nASIG=B383)*(nNOTA=4))</f>
        <v>0</v>
      </c>
      <c r="P383">
        <f>SUMPRODUCT((nCUENTA=1)*(nCURSO=A383)*(nASIG=B383)*(nNOTA=5))</f>
        <v>0</v>
      </c>
      <c r="Q383">
        <f>SUMPRODUCT((nCUENTA=1)*(nCURSO=A383)*(nASIG=B383)*(nNOTA=6))</f>
        <v>0</v>
      </c>
      <c r="R383">
        <f>SUMPRODUCT((nCUENTA=1)*(nCURSO=A383)*(nASIG=B383)*(nNOTA=7))</f>
        <v>0</v>
      </c>
      <c r="S383">
        <f>SUMPRODUCT((nCUENTA=1)*(nCURSO=A383)*(nASIG=B383)*(nNOTA=8))</f>
        <v>0</v>
      </c>
      <c r="T383">
        <f>SUMPRODUCT((nCUENTA=1)*(nCURSO=A383)*(nASIG=B383)*(nNOTA=9))</f>
        <v>0</v>
      </c>
      <c r="U383">
        <f>SUMPRODUCT((nCUENTA=1)*(nCURSO=A383)*(nASIG=B383)*(nNOTA=10))</f>
        <v>0</v>
      </c>
    </row>
    <row r="384">
      <c r="A384" t="inlineStr">
        <is>
          <t xml:space="preserve">6EPM</t>
        </is>
      </c>
      <c r="B384" cm="1">
        <f t="array" ref="B384">IFERROR(INDEX(_xlfn._xlws.FILTER(CONFIG_ASIGNATURAS!$B$2:$B$91,(CONFIG_ASIGNATURAS!$G$2:$G$91="Sí")*ISNUMBER(SEARCH("6EPM",CONFIG_ASIGNATURAS!$C$2:$C$91))),1),"")</f>
      </c>
      <c r="C384">
        <f>IF(B384="","",IFERROR(VLOOKUP(B384,CONFIG_ASIGNATURAS!$B$2:$D$91,3,FALSE()),"Asignatura"))</f>
      </c>
      <c r="D384">
        <f>SUMPRODUCT((nCUENTA=1)*(nCURSO=A384)*(nASIG=B384))</f>
        <v>0</v>
      </c>
      <c r="E384" s="10" t="str">
        <f>IFERROR(SUMPRODUCT((nCUENTA=1)*(nCURSO=A384)*(nASIG=B384)*(nNOTA))/D384,"—")</f>
        <v>—</v>
      </c>
      <c r="F384" s="10" t="str" cm="1">
        <f t="array" ref="F384">IFERROR(_xlfn.STDEV.P(_xlfn._xlws.FILTER(nNOTA,(nCUENTA=1)*(nCURSO=A384)*(nASIG=B384))),"—")</f>
        <v>—</v>
      </c>
      <c r="G384" t="str" cm="1">
        <f t="array" ref="G384">IFERROR(_xlfn.MODE.SNGL(_xlfn._xlws.FILTER(nNOTA,(nCUENTA=1)*(nCURSO=A384)*(nASIG=B384))),"—")</f>
        <v>—</v>
      </c>
      <c r="H384" s="11" t="str">
        <f>IFERROR(SUMPRODUCT((nCUENTA=1)*(nCURSO=A384)*(nASIG=B384)*(nAPTO="S"))/D384,"—")</f>
        <v>—</v>
      </c>
      <c r="I384" s="11" t="str">
        <f>IFERROR(SUMPRODUCT((nCUENTA=1)*(nCURSO=A384)*(nASIG=B384)*(nAPTO="N"))/D384,"—")</f>
        <v>—</v>
      </c>
      <c r="J384" t="str" cm="1">
        <f t="array" ref="J384">IFERROR(_xlfn.MODE.SNGL(_xlfn._xlws.FILTER(nNOTA,(nCUENTA=1)*(nCURSO=A384)*(nASIG=B384)*(nAPTO="S"))),"—")</f>
        <v>—</v>
      </c>
      <c r="K384" t="str" cm="1">
        <f t="array" ref="K384">IFERROR(_xlfn.MODE.SNGL(_xlfn._xlws.FILTER(nNOTA,(nCUENTA=1)*(nCURSO=A384)*(nASIG=B384)*(nAPTO="N"))),"—")</f>
        <v>—</v>
      </c>
      <c r="L384">
        <f>SUMPRODUCT((nCUENTA=1)*(nCURSO=A384)*(nASIG=B384)*(nNOTA=1))</f>
        <v>0</v>
      </c>
      <c r="M384">
        <f>SUMPRODUCT((nCUENTA=1)*(nCURSO=A384)*(nASIG=B384)*(nNOTA=2))</f>
        <v>0</v>
      </c>
      <c r="N384">
        <f>SUMPRODUCT((nCUENTA=1)*(nCURSO=A384)*(nASIG=B384)*(nNOTA=3))</f>
        <v>0</v>
      </c>
      <c r="O384">
        <f>SUMPRODUCT((nCUENTA=1)*(nCURSO=A384)*(nASIG=B384)*(nNOTA=4))</f>
        <v>0</v>
      </c>
      <c r="P384">
        <f>SUMPRODUCT((nCUENTA=1)*(nCURSO=A384)*(nASIG=B384)*(nNOTA=5))</f>
        <v>0</v>
      </c>
      <c r="Q384">
        <f>SUMPRODUCT((nCUENTA=1)*(nCURSO=A384)*(nASIG=B384)*(nNOTA=6))</f>
        <v>0</v>
      </c>
      <c r="R384">
        <f>SUMPRODUCT((nCUENTA=1)*(nCURSO=A384)*(nASIG=B384)*(nNOTA=7))</f>
        <v>0</v>
      </c>
      <c r="S384">
        <f>SUMPRODUCT((nCUENTA=1)*(nCURSO=A384)*(nASIG=B384)*(nNOTA=8))</f>
        <v>0</v>
      </c>
      <c r="T384">
        <f>SUMPRODUCT((nCUENTA=1)*(nCURSO=A384)*(nASIG=B384)*(nNOTA=9))</f>
        <v>0</v>
      </c>
      <c r="U384">
        <f>SUMPRODUCT((nCUENTA=1)*(nCURSO=A384)*(nASIG=B384)*(nNOTA=10))</f>
        <v>0</v>
      </c>
    </row>
    <row r="385">
      <c r="A385" t="inlineStr">
        <is>
          <t xml:space="preserve">6EPM</t>
        </is>
      </c>
      <c r="B385" cm="1">
        <f t="array" ref="B385">IFERROR(INDEX(_xlfn._xlws.FILTER(CONFIG_ASIGNATURAS!$B$2:$B$91,(CONFIG_ASIGNATURAS!$G$2:$G$91="Sí")*ISNUMBER(SEARCH("6EPM",CONFIG_ASIGNATURAS!$C$2:$C$91))),2),"")</f>
      </c>
      <c r="C385">
        <f>IF(B385="","",IFERROR(VLOOKUP(B385,CONFIG_ASIGNATURAS!$B$2:$D$91,3,FALSE()),"Asignatura"))</f>
      </c>
      <c r="D385">
        <f>SUMPRODUCT((nCUENTA=1)*(nCURSO=A385)*(nASIG=B385))</f>
        <v>0</v>
      </c>
      <c r="E385" s="10" t="str">
        <f>IFERROR(SUMPRODUCT((nCUENTA=1)*(nCURSO=A385)*(nASIG=B385)*(nNOTA))/D385,"—")</f>
        <v>—</v>
      </c>
      <c r="F385" s="10" t="str" cm="1">
        <f t="array" ref="F385">IFERROR(_xlfn.STDEV.P(_xlfn._xlws.FILTER(nNOTA,(nCUENTA=1)*(nCURSO=A385)*(nASIG=B385))),"—")</f>
        <v>—</v>
      </c>
      <c r="G385" t="str" cm="1">
        <f t="array" ref="G385">IFERROR(_xlfn.MODE.SNGL(_xlfn._xlws.FILTER(nNOTA,(nCUENTA=1)*(nCURSO=A385)*(nASIG=B385))),"—")</f>
        <v>—</v>
      </c>
      <c r="H385" s="11" t="str">
        <f>IFERROR(SUMPRODUCT((nCUENTA=1)*(nCURSO=A385)*(nASIG=B385)*(nAPTO="S"))/D385,"—")</f>
        <v>—</v>
      </c>
      <c r="I385" s="11" t="str">
        <f>IFERROR(SUMPRODUCT((nCUENTA=1)*(nCURSO=A385)*(nASIG=B385)*(nAPTO="N"))/D385,"—")</f>
        <v>—</v>
      </c>
      <c r="J385" t="str" cm="1">
        <f t="array" ref="J385">IFERROR(_xlfn.MODE.SNGL(_xlfn._xlws.FILTER(nNOTA,(nCUENTA=1)*(nCURSO=A385)*(nASIG=B385)*(nAPTO="S"))),"—")</f>
        <v>—</v>
      </c>
      <c r="K385" t="str" cm="1">
        <f t="array" ref="K385">IFERROR(_xlfn.MODE.SNGL(_xlfn._xlws.FILTER(nNOTA,(nCUENTA=1)*(nCURSO=A385)*(nASIG=B385)*(nAPTO="N"))),"—")</f>
        <v>—</v>
      </c>
      <c r="L385">
        <f>SUMPRODUCT((nCUENTA=1)*(nCURSO=A385)*(nASIG=B385)*(nNOTA=1))</f>
        <v>0</v>
      </c>
      <c r="M385">
        <f>SUMPRODUCT((nCUENTA=1)*(nCURSO=A385)*(nASIG=B385)*(nNOTA=2))</f>
        <v>0</v>
      </c>
      <c r="N385">
        <f>SUMPRODUCT((nCUENTA=1)*(nCURSO=A385)*(nASIG=B385)*(nNOTA=3))</f>
        <v>0</v>
      </c>
      <c r="O385">
        <f>SUMPRODUCT((nCUENTA=1)*(nCURSO=A385)*(nASIG=B385)*(nNOTA=4))</f>
        <v>0</v>
      </c>
      <c r="P385">
        <f>SUMPRODUCT((nCUENTA=1)*(nCURSO=A385)*(nASIG=B385)*(nNOTA=5))</f>
        <v>0</v>
      </c>
      <c r="Q385">
        <f>SUMPRODUCT((nCUENTA=1)*(nCURSO=A385)*(nASIG=B385)*(nNOTA=6))</f>
        <v>0</v>
      </c>
      <c r="R385">
        <f>SUMPRODUCT((nCUENTA=1)*(nCURSO=A385)*(nASIG=B385)*(nNOTA=7))</f>
        <v>0</v>
      </c>
      <c r="S385">
        <f>SUMPRODUCT((nCUENTA=1)*(nCURSO=A385)*(nASIG=B385)*(nNOTA=8))</f>
        <v>0</v>
      </c>
      <c r="T385">
        <f>SUMPRODUCT((nCUENTA=1)*(nCURSO=A385)*(nASIG=B385)*(nNOTA=9))</f>
        <v>0</v>
      </c>
      <c r="U385">
        <f>SUMPRODUCT((nCUENTA=1)*(nCURSO=A385)*(nASIG=B385)*(nNOTA=10))</f>
        <v>0</v>
      </c>
    </row>
    <row r="386">
      <c r="A386" t="inlineStr">
        <is>
          <t xml:space="preserve">6EPM</t>
        </is>
      </c>
      <c r="B386" cm="1">
        <f t="array" ref="B386">IFERROR(INDEX(_xlfn._xlws.FILTER(CONFIG_ASIGNATURAS!$B$2:$B$91,(CONFIG_ASIGNATURAS!$G$2:$G$91="Sí")*ISNUMBER(SEARCH("6EPM",CONFIG_ASIGNATURAS!$C$2:$C$91))),3),"")</f>
      </c>
      <c r="C386">
        <f>IF(B386="","",IFERROR(VLOOKUP(B386,CONFIG_ASIGNATURAS!$B$2:$D$91,3,FALSE()),"Asignatura"))</f>
      </c>
      <c r="D386">
        <f>SUMPRODUCT((nCUENTA=1)*(nCURSO=A386)*(nASIG=B386))</f>
        <v>0</v>
      </c>
      <c r="E386" s="10" t="str">
        <f>IFERROR(SUMPRODUCT((nCUENTA=1)*(nCURSO=A386)*(nASIG=B386)*(nNOTA))/D386,"—")</f>
        <v>—</v>
      </c>
      <c r="F386" s="10" t="str" cm="1">
        <f t="array" ref="F386">IFERROR(_xlfn.STDEV.P(_xlfn._xlws.FILTER(nNOTA,(nCUENTA=1)*(nCURSO=A386)*(nASIG=B386))),"—")</f>
        <v>—</v>
      </c>
      <c r="G386" t="str" cm="1">
        <f t="array" ref="G386">IFERROR(_xlfn.MODE.SNGL(_xlfn._xlws.FILTER(nNOTA,(nCUENTA=1)*(nCURSO=A386)*(nASIG=B386))),"—")</f>
        <v>—</v>
      </c>
      <c r="H386" s="11" t="str">
        <f>IFERROR(SUMPRODUCT((nCUENTA=1)*(nCURSO=A386)*(nASIG=B386)*(nAPTO="S"))/D386,"—")</f>
        <v>—</v>
      </c>
      <c r="I386" s="11" t="str">
        <f>IFERROR(SUMPRODUCT((nCUENTA=1)*(nCURSO=A386)*(nASIG=B386)*(nAPTO="N"))/D386,"—")</f>
        <v>—</v>
      </c>
      <c r="J386" t="str" cm="1">
        <f t="array" ref="J386">IFERROR(_xlfn.MODE.SNGL(_xlfn._xlws.FILTER(nNOTA,(nCUENTA=1)*(nCURSO=A386)*(nASIG=B386)*(nAPTO="S"))),"—")</f>
        <v>—</v>
      </c>
      <c r="K386" t="str" cm="1">
        <f t="array" ref="K386">IFERROR(_xlfn.MODE.SNGL(_xlfn._xlws.FILTER(nNOTA,(nCUENTA=1)*(nCURSO=A386)*(nASIG=B386)*(nAPTO="N"))),"—")</f>
        <v>—</v>
      </c>
      <c r="L386">
        <f>SUMPRODUCT((nCUENTA=1)*(nCURSO=A386)*(nASIG=B386)*(nNOTA=1))</f>
        <v>0</v>
      </c>
      <c r="M386">
        <f>SUMPRODUCT((nCUENTA=1)*(nCURSO=A386)*(nASIG=B386)*(nNOTA=2))</f>
        <v>0</v>
      </c>
      <c r="N386">
        <f>SUMPRODUCT((nCUENTA=1)*(nCURSO=A386)*(nASIG=B386)*(nNOTA=3))</f>
        <v>0</v>
      </c>
      <c r="O386">
        <f>SUMPRODUCT((nCUENTA=1)*(nCURSO=A386)*(nASIG=B386)*(nNOTA=4))</f>
        <v>0</v>
      </c>
      <c r="P386">
        <f>SUMPRODUCT((nCUENTA=1)*(nCURSO=A386)*(nASIG=B386)*(nNOTA=5))</f>
        <v>0</v>
      </c>
      <c r="Q386">
        <f>SUMPRODUCT((nCUENTA=1)*(nCURSO=A386)*(nASIG=B386)*(nNOTA=6))</f>
        <v>0</v>
      </c>
      <c r="R386">
        <f>SUMPRODUCT((nCUENTA=1)*(nCURSO=A386)*(nASIG=B386)*(nNOTA=7))</f>
        <v>0</v>
      </c>
      <c r="S386">
        <f>SUMPRODUCT((nCUENTA=1)*(nCURSO=A386)*(nASIG=B386)*(nNOTA=8))</f>
        <v>0</v>
      </c>
      <c r="T386">
        <f>SUMPRODUCT((nCUENTA=1)*(nCURSO=A386)*(nASIG=B386)*(nNOTA=9))</f>
        <v>0</v>
      </c>
      <c r="U386">
        <f>SUMPRODUCT((nCUENTA=1)*(nCURSO=A386)*(nASIG=B386)*(nNOTA=10))</f>
        <v>0</v>
      </c>
    </row>
    <row r="387">
      <c r="A387" t="inlineStr">
        <is>
          <t xml:space="preserve">6EPM</t>
        </is>
      </c>
      <c r="B387" cm="1">
        <f t="array" ref="B387">IFERROR(INDEX(_xlfn._xlws.FILTER(CONFIG_ASIGNATURAS!$B$2:$B$91,(CONFIG_ASIGNATURAS!$G$2:$G$91="Sí")*ISNUMBER(SEARCH("6EPM",CONFIG_ASIGNATURAS!$C$2:$C$91))),4),"")</f>
      </c>
      <c r="C387">
        <f>IF(B387="","",IFERROR(VLOOKUP(B387,CONFIG_ASIGNATURAS!$B$2:$D$91,3,FALSE()),"Asignatura"))</f>
      </c>
      <c r="D387">
        <f>SUMPRODUCT((nCUENTA=1)*(nCURSO=A387)*(nASIG=B387))</f>
        <v>0</v>
      </c>
      <c r="E387" s="10" t="str">
        <f>IFERROR(SUMPRODUCT((nCUENTA=1)*(nCURSO=A387)*(nASIG=B387)*(nNOTA))/D387,"—")</f>
        <v>—</v>
      </c>
      <c r="F387" s="10" t="str" cm="1">
        <f t="array" ref="F387">IFERROR(_xlfn.STDEV.P(_xlfn._xlws.FILTER(nNOTA,(nCUENTA=1)*(nCURSO=A387)*(nASIG=B387))),"—")</f>
        <v>—</v>
      </c>
      <c r="G387" t="str" cm="1">
        <f t="array" ref="G387">IFERROR(_xlfn.MODE.SNGL(_xlfn._xlws.FILTER(nNOTA,(nCUENTA=1)*(nCURSO=A387)*(nASIG=B387))),"—")</f>
        <v>—</v>
      </c>
      <c r="H387" s="11" t="str">
        <f>IFERROR(SUMPRODUCT((nCUENTA=1)*(nCURSO=A387)*(nASIG=B387)*(nAPTO="S"))/D387,"—")</f>
        <v>—</v>
      </c>
      <c r="I387" s="11" t="str">
        <f>IFERROR(SUMPRODUCT((nCUENTA=1)*(nCURSO=A387)*(nASIG=B387)*(nAPTO="N"))/D387,"—")</f>
        <v>—</v>
      </c>
      <c r="J387" t="str" cm="1">
        <f t="array" ref="J387">IFERROR(_xlfn.MODE.SNGL(_xlfn._xlws.FILTER(nNOTA,(nCUENTA=1)*(nCURSO=A387)*(nASIG=B387)*(nAPTO="S"))),"—")</f>
        <v>—</v>
      </c>
      <c r="K387" t="str" cm="1">
        <f t="array" ref="K387">IFERROR(_xlfn.MODE.SNGL(_xlfn._xlws.FILTER(nNOTA,(nCUENTA=1)*(nCURSO=A387)*(nASIG=B387)*(nAPTO="N"))),"—")</f>
        <v>—</v>
      </c>
      <c r="L387">
        <f>SUMPRODUCT((nCUENTA=1)*(nCURSO=A387)*(nASIG=B387)*(nNOTA=1))</f>
        <v>0</v>
      </c>
      <c r="M387">
        <f>SUMPRODUCT((nCUENTA=1)*(nCURSO=A387)*(nASIG=B387)*(nNOTA=2))</f>
        <v>0</v>
      </c>
      <c r="N387">
        <f>SUMPRODUCT((nCUENTA=1)*(nCURSO=A387)*(nASIG=B387)*(nNOTA=3))</f>
        <v>0</v>
      </c>
      <c r="O387">
        <f>SUMPRODUCT((nCUENTA=1)*(nCURSO=A387)*(nASIG=B387)*(nNOTA=4))</f>
        <v>0</v>
      </c>
      <c r="P387">
        <f>SUMPRODUCT((nCUENTA=1)*(nCURSO=A387)*(nASIG=B387)*(nNOTA=5))</f>
        <v>0</v>
      </c>
      <c r="Q387">
        <f>SUMPRODUCT((nCUENTA=1)*(nCURSO=A387)*(nASIG=B387)*(nNOTA=6))</f>
        <v>0</v>
      </c>
      <c r="R387">
        <f>SUMPRODUCT((nCUENTA=1)*(nCURSO=A387)*(nASIG=B387)*(nNOTA=7))</f>
        <v>0</v>
      </c>
      <c r="S387">
        <f>SUMPRODUCT((nCUENTA=1)*(nCURSO=A387)*(nASIG=B387)*(nNOTA=8))</f>
        <v>0</v>
      </c>
      <c r="T387">
        <f>SUMPRODUCT((nCUENTA=1)*(nCURSO=A387)*(nASIG=B387)*(nNOTA=9))</f>
        <v>0</v>
      </c>
      <c r="U387">
        <f>SUMPRODUCT((nCUENTA=1)*(nCURSO=A387)*(nASIG=B387)*(nNOTA=10))</f>
        <v>0</v>
      </c>
    </row>
    <row r="388">
      <c r="A388" t="inlineStr">
        <is>
          <t xml:space="preserve">6EPM</t>
        </is>
      </c>
      <c r="B388" cm="1">
        <f t="array" ref="B388">IFERROR(INDEX(_xlfn._xlws.FILTER(CONFIG_ASIGNATURAS!$B$2:$B$91,(CONFIG_ASIGNATURAS!$G$2:$G$91="Sí")*ISNUMBER(SEARCH("6EPM",CONFIG_ASIGNATURAS!$C$2:$C$91))),5),"")</f>
      </c>
      <c r="C388">
        <f>IF(B388="","",IFERROR(VLOOKUP(B388,CONFIG_ASIGNATURAS!$B$2:$D$91,3,FALSE()),"Asignatura"))</f>
      </c>
      <c r="D388">
        <f>SUMPRODUCT((nCUENTA=1)*(nCURSO=A388)*(nASIG=B388))</f>
        <v>0</v>
      </c>
      <c r="E388" s="10" t="str">
        <f>IFERROR(SUMPRODUCT((nCUENTA=1)*(nCURSO=A388)*(nASIG=B388)*(nNOTA))/D388,"—")</f>
        <v>—</v>
      </c>
      <c r="F388" s="10" t="str" cm="1">
        <f t="array" ref="F388">IFERROR(_xlfn.STDEV.P(_xlfn._xlws.FILTER(nNOTA,(nCUENTA=1)*(nCURSO=A388)*(nASIG=B388))),"—")</f>
        <v>—</v>
      </c>
      <c r="G388" t="str" cm="1">
        <f t="array" ref="G388">IFERROR(_xlfn.MODE.SNGL(_xlfn._xlws.FILTER(nNOTA,(nCUENTA=1)*(nCURSO=A388)*(nASIG=B388))),"—")</f>
        <v>—</v>
      </c>
      <c r="H388" s="11" t="str">
        <f>IFERROR(SUMPRODUCT((nCUENTA=1)*(nCURSO=A388)*(nASIG=B388)*(nAPTO="S"))/D388,"—")</f>
        <v>—</v>
      </c>
      <c r="I388" s="11" t="str">
        <f>IFERROR(SUMPRODUCT((nCUENTA=1)*(nCURSO=A388)*(nASIG=B388)*(nAPTO="N"))/D388,"—")</f>
        <v>—</v>
      </c>
      <c r="J388" t="str" cm="1">
        <f t="array" ref="J388">IFERROR(_xlfn.MODE.SNGL(_xlfn._xlws.FILTER(nNOTA,(nCUENTA=1)*(nCURSO=A388)*(nASIG=B388)*(nAPTO="S"))),"—")</f>
        <v>—</v>
      </c>
      <c r="K388" t="str" cm="1">
        <f t="array" ref="K388">IFERROR(_xlfn.MODE.SNGL(_xlfn._xlws.FILTER(nNOTA,(nCUENTA=1)*(nCURSO=A388)*(nASIG=B388)*(nAPTO="N"))),"—")</f>
        <v>—</v>
      </c>
      <c r="L388">
        <f>SUMPRODUCT((nCUENTA=1)*(nCURSO=A388)*(nASIG=B388)*(nNOTA=1))</f>
        <v>0</v>
      </c>
      <c r="M388">
        <f>SUMPRODUCT((nCUENTA=1)*(nCURSO=A388)*(nASIG=B388)*(nNOTA=2))</f>
        <v>0</v>
      </c>
      <c r="N388">
        <f>SUMPRODUCT((nCUENTA=1)*(nCURSO=A388)*(nASIG=B388)*(nNOTA=3))</f>
        <v>0</v>
      </c>
      <c r="O388">
        <f>SUMPRODUCT((nCUENTA=1)*(nCURSO=A388)*(nASIG=B388)*(nNOTA=4))</f>
        <v>0</v>
      </c>
      <c r="P388">
        <f>SUMPRODUCT((nCUENTA=1)*(nCURSO=A388)*(nASIG=B388)*(nNOTA=5))</f>
        <v>0</v>
      </c>
      <c r="Q388">
        <f>SUMPRODUCT((nCUENTA=1)*(nCURSO=A388)*(nASIG=B388)*(nNOTA=6))</f>
        <v>0</v>
      </c>
      <c r="R388">
        <f>SUMPRODUCT((nCUENTA=1)*(nCURSO=A388)*(nASIG=B388)*(nNOTA=7))</f>
        <v>0</v>
      </c>
      <c r="S388">
        <f>SUMPRODUCT((nCUENTA=1)*(nCURSO=A388)*(nASIG=B388)*(nNOTA=8))</f>
        <v>0</v>
      </c>
      <c r="T388">
        <f>SUMPRODUCT((nCUENTA=1)*(nCURSO=A388)*(nASIG=B388)*(nNOTA=9))</f>
        <v>0</v>
      </c>
      <c r="U388">
        <f>SUMPRODUCT((nCUENTA=1)*(nCURSO=A388)*(nASIG=B388)*(nNOTA=10))</f>
        <v>0</v>
      </c>
    </row>
    <row r="389">
      <c r="A389" t="inlineStr">
        <is>
          <t xml:space="preserve">6EPM</t>
        </is>
      </c>
      <c r="B389" cm="1">
        <f t="array" ref="B389">IFERROR(INDEX(_xlfn._xlws.FILTER(CONFIG_ASIGNATURAS!$B$2:$B$91,(CONFIG_ASIGNATURAS!$G$2:$G$91="Sí")*ISNUMBER(SEARCH("6EPM",CONFIG_ASIGNATURAS!$C$2:$C$91))),6),"")</f>
      </c>
      <c r="C389">
        <f>IF(B389="","",IFERROR(VLOOKUP(B389,CONFIG_ASIGNATURAS!$B$2:$D$91,3,FALSE()),"Asignatura"))</f>
      </c>
      <c r="D389">
        <f>SUMPRODUCT((nCUENTA=1)*(nCURSO=A389)*(nASIG=B389))</f>
        <v>0</v>
      </c>
      <c r="E389" s="10" t="str">
        <f>IFERROR(SUMPRODUCT((nCUENTA=1)*(nCURSO=A389)*(nASIG=B389)*(nNOTA))/D389,"—")</f>
        <v>—</v>
      </c>
      <c r="F389" s="10" t="str" cm="1">
        <f t="array" ref="F389">IFERROR(_xlfn.STDEV.P(_xlfn._xlws.FILTER(nNOTA,(nCUENTA=1)*(nCURSO=A389)*(nASIG=B389))),"—")</f>
        <v>—</v>
      </c>
      <c r="G389" t="str" cm="1">
        <f t="array" ref="G389">IFERROR(_xlfn.MODE.SNGL(_xlfn._xlws.FILTER(nNOTA,(nCUENTA=1)*(nCURSO=A389)*(nASIG=B389))),"—")</f>
        <v>—</v>
      </c>
      <c r="H389" s="11" t="str">
        <f>IFERROR(SUMPRODUCT((nCUENTA=1)*(nCURSO=A389)*(nASIG=B389)*(nAPTO="S"))/D389,"—")</f>
        <v>—</v>
      </c>
      <c r="I389" s="11" t="str">
        <f>IFERROR(SUMPRODUCT((nCUENTA=1)*(nCURSO=A389)*(nASIG=B389)*(nAPTO="N"))/D389,"—")</f>
        <v>—</v>
      </c>
      <c r="J389" t="str" cm="1">
        <f t="array" ref="J389">IFERROR(_xlfn.MODE.SNGL(_xlfn._xlws.FILTER(nNOTA,(nCUENTA=1)*(nCURSO=A389)*(nASIG=B389)*(nAPTO="S"))),"—")</f>
        <v>—</v>
      </c>
      <c r="K389" t="str" cm="1">
        <f t="array" ref="K389">IFERROR(_xlfn.MODE.SNGL(_xlfn._xlws.FILTER(nNOTA,(nCUENTA=1)*(nCURSO=A389)*(nASIG=B389)*(nAPTO="N"))),"—")</f>
        <v>—</v>
      </c>
      <c r="L389">
        <f>SUMPRODUCT((nCUENTA=1)*(nCURSO=A389)*(nASIG=B389)*(nNOTA=1))</f>
        <v>0</v>
      </c>
      <c r="M389">
        <f>SUMPRODUCT((nCUENTA=1)*(nCURSO=A389)*(nASIG=B389)*(nNOTA=2))</f>
        <v>0</v>
      </c>
      <c r="N389">
        <f>SUMPRODUCT((nCUENTA=1)*(nCURSO=A389)*(nASIG=B389)*(nNOTA=3))</f>
        <v>0</v>
      </c>
      <c r="O389">
        <f>SUMPRODUCT((nCUENTA=1)*(nCURSO=A389)*(nASIG=B389)*(nNOTA=4))</f>
        <v>0</v>
      </c>
      <c r="P389">
        <f>SUMPRODUCT((nCUENTA=1)*(nCURSO=A389)*(nASIG=B389)*(nNOTA=5))</f>
        <v>0</v>
      </c>
      <c r="Q389">
        <f>SUMPRODUCT((nCUENTA=1)*(nCURSO=A389)*(nASIG=B389)*(nNOTA=6))</f>
        <v>0</v>
      </c>
      <c r="R389">
        <f>SUMPRODUCT((nCUENTA=1)*(nCURSO=A389)*(nASIG=B389)*(nNOTA=7))</f>
        <v>0</v>
      </c>
      <c r="S389">
        <f>SUMPRODUCT((nCUENTA=1)*(nCURSO=A389)*(nASIG=B389)*(nNOTA=8))</f>
        <v>0</v>
      </c>
      <c r="T389">
        <f>SUMPRODUCT((nCUENTA=1)*(nCURSO=A389)*(nASIG=B389)*(nNOTA=9))</f>
        <v>0</v>
      </c>
      <c r="U389">
        <f>SUMPRODUCT((nCUENTA=1)*(nCURSO=A389)*(nASIG=B389)*(nNOTA=10))</f>
        <v>0</v>
      </c>
    </row>
    <row r="390">
      <c r="A390" t="inlineStr">
        <is>
          <t xml:space="preserve">6EPM</t>
        </is>
      </c>
      <c r="B390" cm="1">
        <f t="array" ref="B390">IFERROR(INDEX(_xlfn._xlws.FILTER(CONFIG_ASIGNATURAS!$B$2:$B$91,(CONFIG_ASIGNATURAS!$G$2:$G$91="Sí")*ISNUMBER(SEARCH("6EPM",CONFIG_ASIGNATURAS!$C$2:$C$91))),7),"")</f>
      </c>
      <c r="C390">
        <f>IF(B390="","",IFERROR(VLOOKUP(B390,CONFIG_ASIGNATURAS!$B$2:$D$91,3,FALSE()),"Asignatura"))</f>
      </c>
      <c r="D390">
        <f>SUMPRODUCT((nCUENTA=1)*(nCURSO=A390)*(nASIG=B390))</f>
        <v>0</v>
      </c>
      <c r="E390" s="10" t="str">
        <f>IFERROR(SUMPRODUCT((nCUENTA=1)*(nCURSO=A390)*(nASIG=B390)*(nNOTA))/D390,"—")</f>
        <v>—</v>
      </c>
      <c r="F390" s="10" t="str" cm="1">
        <f t="array" ref="F390">IFERROR(_xlfn.STDEV.P(_xlfn._xlws.FILTER(nNOTA,(nCUENTA=1)*(nCURSO=A390)*(nASIG=B390))),"—")</f>
        <v>—</v>
      </c>
      <c r="G390" t="str" cm="1">
        <f t="array" ref="G390">IFERROR(_xlfn.MODE.SNGL(_xlfn._xlws.FILTER(nNOTA,(nCUENTA=1)*(nCURSO=A390)*(nASIG=B390))),"—")</f>
        <v>—</v>
      </c>
      <c r="H390" s="11" t="str">
        <f>IFERROR(SUMPRODUCT((nCUENTA=1)*(nCURSO=A390)*(nASIG=B390)*(nAPTO="S"))/D390,"—")</f>
        <v>—</v>
      </c>
      <c r="I390" s="11" t="str">
        <f>IFERROR(SUMPRODUCT((nCUENTA=1)*(nCURSO=A390)*(nASIG=B390)*(nAPTO="N"))/D390,"—")</f>
        <v>—</v>
      </c>
      <c r="J390" t="str" cm="1">
        <f t="array" ref="J390">IFERROR(_xlfn.MODE.SNGL(_xlfn._xlws.FILTER(nNOTA,(nCUENTA=1)*(nCURSO=A390)*(nASIG=B390)*(nAPTO="S"))),"—")</f>
        <v>—</v>
      </c>
      <c r="K390" t="str" cm="1">
        <f t="array" ref="K390">IFERROR(_xlfn.MODE.SNGL(_xlfn._xlws.FILTER(nNOTA,(nCUENTA=1)*(nCURSO=A390)*(nASIG=B390)*(nAPTO="N"))),"—")</f>
        <v>—</v>
      </c>
      <c r="L390">
        <f>SUMPRODUCT((nCUENTA=1)*(nCURSO=A390)*(nASIG=B390)*(nNOTA=1))</f>
        <v>0</v>
      </c>
      <c r="M390">
        <f>SUMPRODUCT((nCUENTA=1)*(nCURSO=A390)*(nASIG=B390)*(nNOTA=2))</f>
        <v>0</v>
      </c>
      <c r="N390">
        <f>SUMPRODUCT((nCUENTA=1)*(nCURSO=A390)*(nASIG=B390)*(nNOTA=3))</f>
        <v>0</v>
      </c>
      <c r="O390">
        <f>SUMPRODUCT((nCUENTA=1)*(nCURSO=A390)*(nASIG=B390)*(nNOTA=4))</f>
        <v>0</v>
      </c>
      <c r="P390">
        <f>SUMPRODUCT((nCUENTA=1)*(nCURSO=A390)*(nASIG=B390)*(nNOTA=5))</f>
        <v>0</v>
      </c>
      <c r="Q390">
        <f>SUMPRODUCT((nCUENTA=1)*(nCURSO=A390)*(nASIG=B390)*(nNOTA=6))</f>
        <v>0</v>
      </c>
      <c r="R390">
        <f>SUMPRODUCT((nCUENTA=1)*(nCURSO=A390)*(nASIG=B390)*(nNOTA=7))</f>
        <v>0</v>
      </c>
      <c r="S390">
        <f>SUMPRODUCT((nCUENTA=1)*(nCURSO=A390)*(nASIG=B390)*(nNOTA=8))</f>
        <v>0</v>
      </c>
      <c r="T390">
        <f>SUMPRODUCT((nCUENTA=1)*(nCURSO=A390)*(nASIG=B390)*(nNOTA=9))</f>
        <v>0</v>
      </c>
      <c r="U390">
        <f>SUMPRODUCT((nCUENTA=1)*(nCURSO=A390)*(nASIG=B390)*(nNOTA=10))</f>
        <v>0</v>
      </c>
    </row>
    <row r="391">
      <c r="A391" t="inlineStr">
        <is>
          <t xml:space="preserve">6EPM</t>
        </is>
      </c>
      <c r="B391" cm="1">
        <f t="array" ref="B391">IFERROR(INDEX(_xlfn._xlws.FILTER(CONFIG_ASIGNATURAS!$B$2:$B$91,(CONFIG_ASIGNATURAS!$G$2:$G$91="Sí")*ISNUMBER(SEARCH("6EPM",CONFIG_ASIGNATURAS!$C$2:$C$91))),8),"")</f>
      </c>
      <c r="C391">
        <f>IF(B391="","",IFERROR(VLOOKUP(B391,CONFIG_ASIGNATURAS!$B$2:$D$91,3,FALSE()),"Asignatura"))</f>
      </c>
      <c r="D391">
        <f>SUMPRODUCT((nCUENTA=1)*(nCURSO=A391)*(nASIG=B391))</f>
        <v>0</v>
      </c>
      <c r="E391" s="10" t="str">
        <f>IFERROR(SUMPRODUCT((nCUENTA=1)*(nCURSO=A391)*(nASIG=B391)*(nNOTA))/D391,"—")</f>
        <v>—</v>
      </c>
      <c r="F391" s="10" t="str" cm="1">
        <f t="array" ref="F391">IFERROR(_xlfn.STDEV.P(_xlfn._xlws.FILTER(nNOTA,(nCUENTA=1)*(nCURSO=A391)*(nASIG=B391))),"—")</f>
        <v>—</v>
      </c>
      <c r="G391" t="str" cm="1">
        <f t="array" ref="G391">IFERROR(_xlfn.MODE.SNGL(_xlfn._xlws.FILTER(nNOTA,(nCUENTA=1)*(nCURSO=A391)*(nASIG=B391))),"—")</f>
        <v>—</v>
      </c>
      <c r="H391" s="11" t="str">
        <f>IFERROR(SUMPRODUCT((nCUENTA=1)*(nCURSO=A391)*(nASIG=B391)*(nAPTO="S"))/D391,"—")</f>
        <v>—</v>
      </c>
      <c r="I391" s="11" t="str">
        <f>IFERROR(SUMPRODUCT((nCUENTA=1)*(nCURSO=A391)*(nASIG=B391)*(nAPTO="N"))/D391,"—")</f>
        <v>—</v>
      </c>
      <c r="J391" t="str" cm="1">
        <f t="array" ref="J391">IFERROR(_xlfn.MODE.SNGL(_xlfn._xlws.FILTER(nNOTA,(nCUENTA=1)*(nCURSO=A391)*(nASIG=B391)*(nAPTO="S"))),"—")</f>
        <v>—</v>
      </c>
      <c r="K391" t="str" cm="1">
        <f t="array" ref="K391">IFERROR(_xlfn.MODE.SNGL(_xlfn._xlws.FILTER(nNOTA,(nCUENTA=1)*(nCURSO=A391)*(nASIG=B391)*(nAPTO="N"))),"—")</f>
        <v>—</v>
      </c>
      <c r="L391">
        <f>SUMPRODUCT((nCUENTA=1)*(nCURSO=A391)*(nASIG=B391)*(nNOTA=1))</f>
        <v>0</v>
      </c>
      <c r="M391">
        <f>SUMPRODUCT((nCUENTA=1)*(nCURSO=A391)*(nASIG=B391)*(nNOTA=2))</f>
        <v>0</v>
      </c>
      <c r="N391">
        <f>SUMPRODUCT((nCUENTA=1)*(nCURSO=A391)*(nASIG=B391)*(nNOTA=3))</f>
        <v>0</v>
      </c>
      <c r="O391">
        <f>SUMPRODUCT((nCUENTA=1)*(nCURSO=A391)*(nASIG=B391)*(nNOTA=4))</f>
        <v>0</v>
      </c>
      <c r="P391">
        <f>SUMPRODUCT((nCUENTA=1)*(nCURSO=A391)*(nASIG=B391)*(nNOTA=5))</f>
        <v>0</v>
      </c>
      <c r="Q391">
        <f>SUMPRODUCT((nCUENTA=1)*(nCURSO=A391)*(nASIG=B391)*(nNOTA=6))</f>
        <v>0</v>
      </c>
      <c r="R391">
        <f>SUMPRODUCT((nCUENTA=1)*(nCURSO=A391)*(nASIG=B391)*(nNOTA=7))</f>
        <v>0</v>
      </c>
      <c r="S391">
        <f>SUMPRODUCT((nCUENTA=1)*(nCURSO=A391)*(nASIG=B391)*(nNOTA=8))</f>
        <v>0</v>
      </c>
      <c r="T391">
        <f>SUMPRODUCT((nCUENTA=1)*(nCURSO=A391)*(nASIG=B391)*(nNOTA=9))</f>
        <v>0</v>
      </c>
      <c r="U391">
        <f>SUMPRODUCT((nCUENTA=1)*(nCURSO=A391)*(nASIG=B391)*(nNOTA=10))</f>
        <v>0</v>
      </c>
    </row>
    <row r="392">
      <c r="A392" t="inlineStr">
        <is>
          <t xml:space="preserve">6EPM</t>
        </is>
      </c>
      <c r="B392" cm="1">
        <f t="array" ref="B392">IFERROR(INDEX(_xlfn._xlws.FILTER(CONFIG_ASIGNATURAS!$B$2:$B$91,(CONFIG_ASIGNATURAS!$G$2:$G$91="Sí")*ISNUMBER(SEARCH("6EPM",CONFIG_ASIGNATURAS!$C$2:$C$91))),9),"")</f>
      </c>
      <c r="C392">
        <f>IF(B392="","",IFERROR(VLOOKUP(B392,CONFIG_ASIGNATURAS!$B$2:$D$91,3,FALSE()),"Asignatura"))</f>
      </c>
      <c r="D392">
        <f>SUMPRODUCT((nCUENTA=1)*(nCURSO=A392)*(nASIG=B392))</f>
        <v>0</v>
      </c>
      <c r="E392" s="10" t="str">
        <f>IFERROR(SUMPRODUCT((nCUENTA=1)*(nCURSO=A392)*(nASIG=B392)*(nNOTA))/D392,"—")</f>
        <v>—</v>
      </c>
      <c r="F392" s="10" t="str" cm="1">
        <f t="array" ref="F392">IFERROR(_xlfn.STDEV.P(_xlfn._xlws.FILTER(nNOTA,(nCUENTA=1)*(nCURSO=A392)*(nASIG=B392))),"—")</f>
        <v>—</v>
      </c>
      <c r="G392" t="str" cm="1">
        <f t="array" ref="G392">IFERROR(_xlfn.MODE.SNGL(_xlfn._xlws.FILTER(nNOTA,(nCUENTA=1)*(nCURSO=A392)*(nASIG=B392))),"—")</f>
        <v>—</v>
      </c>
      <c r="H392" s="11" t="str">
        <f>IFERROR(SUMPRODUCT((nCUENTA=1)*(nCURSO=A392)*(nASIG=B392)*(nAPTO="S"))/D392,"—")</f>
        <v>—</v>
      </c>
      <c r="I392" s="11" t="str">
        <f>IFERROR(SUMPRODUCT((nCUENTA=1)*(nCURSO=A392)*(nASIG=B392)*(nAPTO="N"))/D392,"—")</f>
        <v>—</v>
      </c>
      <c r="J392" t="str" cm="1">
        <f t="array" ref="J392">IFERROR(_xlfn.MODE.SNGL(_xlfn._xlws.FILTER(nNOTA,(nCUENTA=1)*(nCURSO=A392)*(nASIG=B392)*(nAPTO="S"))),"—")</f>
        <v>—</v>
      </c>
      <c r="K392" t="str" cm="1">
        <f t="array" ref="K392">IFERROR(_xlfn.MODE.SNGL(_xlfn._xlws.FILTER(nNOTA,(nCUENTA=1)*(nCURSO=A392)*(nASIG=B392)*(nAPTO="N"))),"—")</f>
        <v>—</v>
      </c>
      <c r="L392">
        <f>SUMPRODUCT((nCUENTA=1)*(nCURSO=A392)*(nASIG=B392)*(nNOTA=1))</f>
        <v>0</v>
      </c>
      <c r="M392">
        <f>SUMPRODUCT((nCUENTA=1)*(nCURSO=A392)*(nASIG=B392)*(nNOTA=2))</f>
        <v>0</v>
      </c>
      <c r="N392">
        <f>SUMPRODUCT((nCUENTA=1)*(nCURSO=A392)*(nASIG=B392)*(nNOTA=3))</f>
        <v>0</v>
      </c>
      <c r="O392">
        <f>SUMPRODUCT((nCUENTA=1)*(nCURSO=A392)*(nASIG=B392)*(nNOTA=4))</f>
        <v>0</v>
      </c>
      <c r="P392">
        <f>SUMPRODUCT((nCUENTA=1)*(nCURSO=A392)*(nASIG=B392)*(nNOTA=5))</f>
        <v>0</v>
      </c>
      <c r="Q392">
        <f>SUMPRODUCT((nCUENTA=1)*(nCURSO=A392)*(nASIG=B392)*(nNOTA=6))</f>
        <v>0</v>
      </c>
      <c r="R392">
        <f>SUMPRODUCT((nCUENTA=1)*(nCURSO=A392)*(nASIG=B392)*(nNOTA=7))</f>
        <v>0</v>
      </c>
      <c r="S392">
        <f>SUMPRODUCT((nCUENTA=1)*(nCURSO=A392)*(nASIG=B392)*(nNOTA=8))</f>
        <v>0</v>
      </c>
      <c r="T392">
        <f>SUMPRODUCT((nCUENTA=1)*(nCURSO=A392)*(nASIG=B392)*(nNOTA=9))</f>
        <v>0</v>
      </c>
      <c r="U392">
        <f>SUMPRODUCT((nCUENTA=1)*(nCURSO=A392)*(nASIG=B392)*(nNOTA=10))</f>
        <v>0</v>
      </c>
    </row>
    <row r="393">
      <c r="A393" t="inlineStr">
        <is>
          <t xml:space="preserve">6EPM</t>
        </is>
      </c>
      <c r="B393" cm="1">
        <f t="array" ref="B393">IFERROR(INDEX(_xlfn._xlws.FILTER(CONFIG_ASIGNATURAS!$B$2:$B$91,(CONFIG_ASIGNATURAS!$G$2:$G$91="Sí")*ISNUMBER(SEARCH("6EPM",CONFIG_ASIGNATURAS!$C$2:$C$91))),10),"")</f>
      </c>
      <c r="C393">
        <f>IF(B393="","",IFERROR(VLOOKUP(B393,CONFIG_ASIGNATURAS!$B$2:$D$91,3,FALSE()),"Asignatura"))</f>
      </c>
      <c r="D393">
        <f>SUMPRODUCT((nCUENTA=1)*(nCURSO=A393)*(nASIG=B393))</f>
        <v>0</v>
      </c>
      <c r="E393" s="10" t="str">
        <f>IFERROR(SUMPRODUCT((nCUENTA=1)*(nCURSO=A393)*(nASIG=B393)*(nNOTA))/D393,"—")</f>
        <v>—</v>
      </c>
      <c r="F393" s="10" t="str" cm="1">
        <f t="array" ref="F393">IFERROR(_xlfn.STDEV.P(_xlfn._xlws.FILTER(nNOTA,(nCUENTA=1)*(nCURSO=A393)*(nASIG=B393))),"—")</f>
        <v>—</v>
      </c>
      <c r="G393" t="str" cm="1">
        <f t="array" ref="G393">IFERROR(_xlfn.MODE.SNGL(_xlfn._xlws.FILTER(nNOTA,(nCUENTA=1)*(nCURSO=A393)*(nASIG=B393))),"—")</f>
        <v>—</v>
      </c>
      <c r="H393" s="11" t="str">
        <f>IFERROR(SUMPRODUCT((nCUENTA=1)*(nCURSO=A393)*(nASIG=B393)*(nAPTO="S"))/D393,"—")</f>
        <v>—</v>
      </c>
      <c r="I393" s="11" t="str">
        <f>IFERROR(SUMPRODUCT((nCUENTA=1)*(nCURSO=A393)*(nASIG=B393)*(nAPTO="N"))/D393,"—")</f>
        <v>—</v>
      </c>
      <c r="J393" t="str" cm="1">
        <f t="array" ref="J393">IFERROR(_xlfn.MODE.SNGL(_xlfn._xlws.FILTER(nNOTA,(nCUENTA=1)*(nCURSO=A393)*(nASIG=B393)*(nAPTO="S"))),"—")</f>
        <v>—</v>
      </c>
      <c r="K393" t="str" cm="1">
        <f t="array" ref="K393">IFERROR(_xlfn.MODE.SNGL(_xlfn._xlws.FILTER(nNOTA,(nCUENTA=1)*(nCURSO=A393)*(nASIG=B393)*(nAPTO="N"))),"—")</f>
        <v>—</v>
      </c>
      <c r="L393">
        <f>SUMPRODUCT((nCUENTA=1)*(nCURSO=A393)*(nASIG=B393)*(nNOTA=1))</f>
        <v>0</v>
      </c>
      <c r="M393">
        <f>SUMPRODUCT((nCUENTA=1)*(nCURSO=A393)*(nASIG=B393)*(nNOTA=2))</f>
        <v>0</v>
      </c>
      <c r="N393">
        <f>SUMPRODUCT((nCUENTA=1)*(nCURSO=A393)*(nASIG=B393)*(nNOTA=3))</f>
        <v>0</v>
      </c>
      <c r="O393">
        <f>SUMPRODUCT((nCUENTA=1)*(nCURSO=A393)*(nASIG=B393)*(nNOTA=4))</f>
        <v>0</v>
      </c>
      <c r="P393">
        <f>SUMPRODUCT((nCUENTA=1)*(nCURSO=A393)*(nASIG=B393)*(nNOTA=5))</f>
        <v>0</v>
      </c>
      <c r="Q393">
        <f>SUMPRODUCT((nCUENTA=1)*(nCURSO=A393)*(nASIG=B393)*(nNOTA=6))</f>
        <v>0</v>
      </c>
      <c r="R393">
        <f>SUMPRODUCT((nCUENTA=1)*(nCURSO=A393)*(nASIG=B393)*(nNOTA=7))</f>
        <v>0</v>
      </c>
      <c r="S393">
        <f>SUMPRODUCT((nCUENTA=1)*(nCURSO=A393)*(nASIG=B393)*(nNOTA=8))</f>
        <v>0</v>
      </c>
      <c r="T393">
        <f>SUMPRODUCT((nCUENTA=1)*(nCURSO=A393)*(nASIG=B393)*(nNOTA=9))</f>
        <v>0</v>
      </c>
      <c r="U393">
        <f>SUMPRODUCT((nCUENTA=1)*(nCURSO=A393)*(nASIG=B393)*(nNOTA=10))</f>
        <v>0</v>
      </c>
    </row>
    <row r="394">
      <c r="A394" t="inlineStr">
        <is>
          <t xml:space="preserve">6EPM</t>
        </is>
      </c>
      <c r="B394" cm="1">
        <f t="array" ref="B394">IFERROR(INDEX(_xlfn._xlws.FILTER(CONFIG_ASIGNATURAS!$B$2:$B$91,(CONFIG_ASIGNATURAS!$G$2:$G$91="Sí")*ISNUMBER(SEARCH("6EPM",CONFIG_ASIGNATURAS!$C$2:$C$91))),11),"")</f>
      </c>
      <c r="C394">
        <f>IF(B394="","",IFERROR(VLOOKUP(B394,CONFIG_ASIGNATURAS!$B$2:$D$91,3,FALSE()),"Asignatura"))</f>
      </c>
      <c r="D394">
        <f>SUMPRODUCT((nCUENTA=1)*(nCURSO=A394)*(nASIG=B394))</f>
        <v>0</v>
      </c>
      <c r="E394" s="10" t="str">
        <f>IFERROR(SUMPRODUCT((nCUENTA=1)*(nCURSO=A394)*(nASIG=B394)*(nNOTA))/D394,"—")</f>
        <v>—</v>
      </c>
      <c r="F394" s="10" t="str" cm="1">
        <f t="array" ref="F394">IFERROR(_xlfn.STDEV.P(_xlfn._xlws.FILTER(nNOTA,(nCUENTA=1)*(nCURSO=A394)*(nASIG=B394))),"—")</f>
        <v>—</v>
      </c>
      <c r="G394" t="str" cm="1">
        <f t="array" ref="G394">IFERROR(_xlfn.MODE.SNGL(_xlfn._xlws.FILTER(nNOTA,(nCUENTA=1)*(nCURSO=A394)*(nASIG=B394))),"—")</f>
        <v>—</v>
      </c>
      <c r="H394" s="11" t="str">
        <f>IFERROR(SUMPRODUCT((nCUENTA=1)*(nCURSO=A394)*(nASIG=B394)*(nAPTO="S"))/D394,"—")</f>
        <v>—</v>
      </c>
      <c r="I394" s="11" t="str">
        <f>IFERROR(SUMPRODUCT((nCUENTA=1)*(nCURSO=A394)*(nASIG=B394)*(nAPTO="N"))/D394,"—")</f>
        <v>—</v>
      </c>
      <c r="J394" t="str" cm="1">
        <f t="array" ref="J394">IFERROR(_xlfn.MODE.SNGL(_xlfn._xlws.FILTER(nNOTA,(nCUENTA=1)*(nCURSO=A394)*(nASIG=B394)*(nAPTO="S"))),"—")</f>
        <v>—</v>
      </c>
      <c r="K394" t="str" cm="1">
        <f t="array" ref="K394">IFERROR(_xlfn.MODE.SNGL(_xlfn._xlws.FILTER(nNOTA,(nCUENTA=1)*(nCURSO=A394)*(nASIG=B394)*(nAPTO="N"))),"—")</f>
        <v>—</v>
      </c>
      <c r="L394">
        <f>SUMPRODUCT((nCUENTA=1)*(nCURSO=A394)*(nASIG=B394)*(nNOTA=1))</f>
        <v>0</v>
      </c>
      <c r="M394">
        <f>SUMPRODUCT((nCUENTA=1)*(nCURSO=A394)*(nASIG=B394)*(nNOTA=2))</f>
        <v>0</v>
      </c>
      <c r="N394">
        <f>SUMPRODUCT((nCUENTA=1)*(nCURSO=A394)*(nASIG=B394)*(nNOTA=3))</f>
        <v>0</v>
      </c>
      <c r="O394">
        <f>SUMPRODUCT((nCUENTA=1)*(nCURSO=A394)*(nASIG=B394)*(nNOTA=4))</f>
        <v>0</v>
      </c>
      <c r="P394">
        <f>SUMPRODUCT((nCUENTA=1)*(nCURSO=A394)*(nASIG=B394)*(nNOTA=5))</f>
        <v>0</v>
      </c>
      <c r="Q394">
        <f>SUMPRODUCT((nCUENTA=1)*(nCURSO=A394)*(nASIG=B394)*(nNOTA=6))</f>
        <v>0</v>
      </c>
      <c r="R394">
        <f>SUMPRODUCT((nCUENTA=1)*(nCURSO=A394)*(nASIG=B394)*(nNOTA=7))</f>
        <v>0</v>
      </c>
      <c r="S394">
        <f>SUMPRODUCT((nCUENTA=1)*(nCURSO=A394)*(nASIG=B394)*(nNOTA=8))</f>
        <v>0</v>
      </c>
      <c r="T394">
        <f>SUMPRODUCT((nCUENTA=1)*(nCURSO=A394)*(nASIG=B394)*(nNOTA=9))</f>
        <v>0</v>
      </c>
      <c r="U394">
        <f>SUMPRODUCT((nCUENTA=1)*(nCURSO=A394)*(nASIG=B394)*(nNOTA=10))</f>
        <v>0</v>
      </c>
    </row>
    <row r="395">
      <c r="A395" t="inlineStr">
        <is>
          <t xml:space="preserve">6EPM</t>
        </is>
      </c>
      <c r="B395" cm="1">
        <f t="array" ref="B395">IFERROR(INDEX(_xlfn._xlws.FILTER(CONFIG_ASIGNATURAS!$B$2:$B$91,(CONFIG_ASIGNATURAS!$G$2:$G$91="Sí")*ISNUMBER(SEARCH("6EPM",CONFIG_ASIGNATURAS!$C$2:$C$91))),12),"")</f>
      </c>
      <c r="C395">
        <f>IF(B395="","",IFERROR(VLOOKUP(B395,CONFIG_ASIGNATURAS!$B$2:$D$91,3,FALSE()),"Asignatura"))</f>
      </c>
      <c r="D395">
        <f>SUMPRODUCT((nCUENTA=1)*(nCURSO=A395)*(nASIG=B395))</f>
        <v>0</v>
      </c>
      <c r="E395" s="10" t="str">
        <f>IFERROR(SUMPRODUCT((nCUENTA=1)*(nCURSO=A395)*(nASIG=B395)*(nNOTA))/D395,"—")</f>
        <v>—</v>
      </c>
      <c r="F395" s="10" t="str" cm="1">
        <f t="array" ref="F395">IFERROR(_xlfn.STDEV.P(_xlfn._xlws.FILTER(nNOTA,(nCUENTA=1)*(nCURSO=A395)*(nASIG=B395))),"—")</f>
        <v>—</v>
      </c>
      <c r="G395" t="str" cm="1">
        <f t="array" ref="G395">IFERROR(_xlfn.MODE.SNGL(_xlfn._xlws.FILTER(nNOTA,(nCUENTA=1)*(nCURSO=A395)*(nASIG=B395))),"—")</f>
        <v>—</v>
      </c>
      <c r="H395" s="11" t="str">
        <f>IFERROR(SUMPRODUCT((nCUENTA=1)*(nCURSO=A395)*(nASIG=B395)*(nAPTO="S"))/D395,"—")</f>
        <v>—</v>
      </c>
      <c r="I395" s="11" t="str">
        <f>IFERROR(SUMPRODUCT((nCUENTA=1)*(nCURSO=A395)*(nASIG=B395)*(nAPTO="N"))/D395,"—")</f>
        <v>—</v>
      </c>
      <c r="J395" t="str" cm="1">
        <f t="array" ref="J395">IFERROR(_xlfn.MODE.SNGL(_xlfn._xlws.FILTER(nNOTA,(nCUENTA=1)*(nCURSO=A395)*(nASIG=B395)*(nAPTO="S"))),"—")</f>
        <v>—</v>
      </c>
      <c r="K395" t="str" cm="1">
        <f t="array" ref="K395">IFERROR(_xlfn.MODE.SNGL(_xlfn._xlws.FILTER(nNOTA,(nCUENTA=1)*(nCURSO=A395)*(nASIG=B395)*(nAPTO="N"))),"—")</f>
        <v>—</v>
      </c>
      <c r="L395">
        <f>SUMPRODUCT((nCUENTA=1)*(nCURSO=A395)*(nASIG=B395)*(nNOTA=1))</f>
        <v>0</v>
      </c>
      <c r="M395">
        <f>SUMPRODUCT((nCUENTA=1)*(nCURSO=A395)*(nASIG=B395)*(nNOTA=2))</f>
        <v>0</v>
      </c>
      <c r="N395">
        <f>SUMPRODUCT((nCUENTA=1)*(nCURSO=A395)*(nASIG=B395)*(nNOTA=3))</f>
        <v>0</v>
      </c>
      <c r="O395">
        <f>SUMPRODUCT((nCUENTA=1)*(nCURSO=A395)*(nASIG=B395)*(nNOTA=4))</f>
        <v>0</v>
      </c>
      <c r="P395">
        <f>SUMPRODUCT((nCUENTA=1)*(nCURSO=A395)*(nASIG=B395)*(nNOTA=5))</f>
        <v>0</v>
      </c>
      <c r="Q395">
        <f>SUMPRODUCT((nCUENTA=1)*(nCURSO=A395)*(nASIG=B395)*(nNOTA=6))</f>
        <v>0</v>
      </c>
      <c r="R395">
        <f>SUMPRODUCT((nCUENTA=1)*(nCURSO=A395)*(nASIG=B395)*(nNOTA=7))</f>
        <v>0</v>
      </c>
      <c r="S395">
        <f>SUMPRODUCT((nCUENTA=1)*(nCURSO=A395)*(nASIG=B395)*(nNOTA=8))</f>
        <v>0</v>
      </c>
      <c r="T395">
        <f>SUMPRODUCT((nCUENTA=1)*(nCURSO=A395)*(nASIG=B395)*(nNOTA=9))</f>
        <v>0</v>
      </c>
      <c r="U395">
        <f>SUMPRODUCT((nCUENTA=1)*(nCURSO=A395)*(nASIG=B395)*(nNOTA=10))</f>
        <v>0</v>
      </c>
    </row>
    <row r="396">
      <c r="A396" t="inlineStr">
        <is>
          <t xml:space="preserve">6EPM</t>
        </is>
      </c>
      <c r="B396" cm="1">
        <f t="array" ref="B396">IFERROR(INDEX(_xlfn._xlws.FILTER(CONFIG_ASIGNATURAS!$B$2:$B$91,(CONFIG_ASIGNATURAS!$G$2:$G$91="Sí")*ISNUMBER(SEARCH("6EPM",CONFIG_ASIGNATURAS!$C$2:$C$91))),13),"")</f>
      </c>
      <c r="C396">
        <f>IF(B396="","",IFERROR(VLOOKUP(B396,CONFIG_ASIGNATURAS!$B$2:$D$91,3,FALSE()),"Asignatura"))</f>
      </c>
      <c r="D396">
        <f>SUMPRODUCT((nCUENTA=1)*(nCURSO=A396)*(nASIG=B396))</f>
        <v>0</v>
      </c>
      <c r="E396" s="10" t="str">
        <f>IFERROR(SUMPRODUCT((nCUENTA=1)*(nCURSO=A396)*(nASIG=B396)*(nNOTA))/D396,"—")</f>
        <v>—</v>
      </c>
      <c r="F396" s="10" t="str" cm="1">
        <f t="array" ref="F396">IFERROR(_xlfn.STDEV.P(_xlfn._xlws.FILTER(nNOTA,(nCUENTA=1)*(nCURSO=A396)*(nASIG=B396))),"—")</f>
        <v>—</v>
      </c>
      <c r="G396" t="str" cm="1">
        <f t="array" ref="G396">IFERROR(_xlfn.MODE.SNGL(_xlfn._xlws.FILTER(nNOTA,(nCUENTA=1)*(nCURSO=A396)*(nASIG=B396))),"—")</f>
        <v>—</v>
      </c>
      <c r="H396" s="11" t="str">
        <f>IFERROR(SUMPRODUCT((nCUENTA=1)*(nCURSO=A396)*(nASIG=B396)*(nAPTO="S"))/D396,"—")</f>
        <v>—</v>
      </c>
      <c r="I396" s="11" t="str">
        <f>IFERROR(SUMPRODUCT((nCUENTA=1)*(nCURSO=A396)*(nASIG=B396)*(nAPTO="N"))/D396,"—")</f>
        <v>—</v>
      </c>
      <c r="J396" t="str" cm="1">
        <f t="array" ref="J396">IFERROR(_xlfn.MODE.SNGL(_xlfn._xlws.FILTER(nNOTA,(nCUENTA=1)*(nCURSO=A396)*(nASIG=B396)*(nAPTO="S"))),"—")</f>
        <v>—</v>
      </c>
      <c r="K396" t="str" cm="1">
        <f t="array" ref="K396">IFERROR(_xlfn.MODE.SNGL(_xlfn._xlws.FILTER(nNOTA,(nCUENTA=1)*(nCURSO=A396)*(nASIG=B396)*(nAPTO="N"))),"—")</f>
        <v>—</v>
      </c>
      <c r="L396">
        <f>SUMPRODUCT((nCUENTA=1)*(nCURSO=A396)*(nASIG=B396)*(nNOTA=1))</f>
        <v>0</v>
      </c>
      <c r="M396">
        <f>SUMPRODUCT((nCUENTA=1)*(nCURSO=A396)*(nASIG=B396)*(nNOTA=2))</f>
        <v>0</v>
      </c>
      <c r="N396">
        <f>SUMPRODUCT((nCUENTA=1)*(nCURSO=A396)*(nASIG=B396)*(nNOTA=3))</f>
        <v>0</v>
      </c>
      <c r="O396">
        <f>SUMPRODUCT((nCUENTA=1)*(nCURSO=A396)*(nASIG=B396)*(nNOTA=4))</f>
        <v>0</v>
      </c>
      <c r="P396">
        <f>SUMPRODUCT((nCUENTA=1)*(nCURSO=A396)*(nASIG=B396)*(nNOTA=5))</f>
        <v>0</v>
      </c>
      <c r="Q396">
        <f>SUMPRODUCT((nCUENTA=1)*(nCURSO=A396)*(nASIG=B396)*(nNOTA=6))</f>
        <v>0</v>
      </c>
      <c r="R396">
        <f>SUMPRODUCT((nCUENTA=1)*(nCURSO=A396)*(nASIG=B396)*(nNOTA=7))</f>
        <v>0</v>
      </c>
      <c r="S396">
        <f>SUMPRODUCT((nCUENTA=1)*(nCURSO=A396)*(nASIG=B396)*(nNOTA=8))</f>
        <v>0</v>
      </c>
      <c r="T396">
        <f>SUMPRODUCT((nCUENTA=1)*(nCURSO=A396)*(nASIG=B396)*(nNOTA=9))</f>
        <v>0</v>
      </c>
      <c r="U396">
        <f>SUMPRODUCT((nCUENTA=1)*(nCURSO=A396)*(nASIG=B396)*(nNOTA=10))</f>
        <v>0</v>
      </c>
    </row>
    <row r="397">
      <c r="A397" t="inlineStr">
        <is>
          <t xml:space="preserve">6EPM</t>
        </is>
      </c>
      <c r="B397" cm="1">
        <f t="array" ref="B397">IFERROR(INDEX(_xlfn._xlws.FILTER(CONFIG_ASIGNATURAS!$B$2:$B$91,(CONFIG_ASIGNATURAS!$G$2:$G$91="Sí")*ISNUMBER(SEARCH("6EPM",CONFIG_ASIGNATURAS!$C$2:$C$91))),14),"")</f>
      </c>
      <c r="C397">
        <f>IF(B397="","",IFERROR(VLOOKUP(B397,CONFIG_ASIGNATURAS!$B$2:$D$91,3,FALSE()),"Asignatura"))</f>
      </c>
      <c r="D397">
        <f>SUMPRODUCT((nCUENTA=1)*(nCURSO=A397)*(nASIG=B397))</f>
        <v>0</v>
      </c>
      <c r="E397" s="10" t="str">
        <f>IFERROR(SUMPRODUCT((nCUENTA=1)*(nCURSO=A397)*(nASIG=B397)*(nNOTA))/D397,"—")</f>
        <v>—</v>
      </c>
      <c r="F397" s="10" t="str" cm="1">
        <f t="array" ref="F397">IFERROR(_xlfn.STDEV.P(_xlfn._xlws.FILTER(nNOTA,(nCUENTA=1)*(nCURSO=A397)*(nASIG=B397))),"—")</f>
        <v>—</v>
      </c>
      <c r="G397" t="str" cm="1">
        <f t="array" ref="G397">IFERROR(_xlfn.MODE.SNGL(_xlfn._xlws.FILTER(nNOTA,(nCUENTA=1)*(nCURSO=A397)*(nASIG=B397))),"—")</f>
        <v>—</v>
      </c>
      <c r="H397" s="11" t="str">
        <f>IFERROR(SUMPRODUCT((nCUENTA=1)*(nCURSO=A397)*(nASIG=B397)*(nAPTO="S"))/D397,"—")</f>
        <v>—</v>
      </c>
      <c r="I397" s="11" t="str">
        <f>IFERROR(SUMPRODUCT((nCUENTA=1)*(nCURSO=A397)*(nASIG=B397)*(nAPTO="N"))/D397,"—")</f>
        <v>—</v>
      </c>
      <c r="J397" t="str" cm="1">
        <f t="array" ref="J397">IFERROR(_xlfn.MODE.SNGL(_xlfn._xlws.FILTER(nNOTA,(nCUENTA=1)*(nCURSO=A397)*(nASIG=B397)*(nAPTO="S"))),"—")</f>
        <v>—</v>
      </c>
      <c r="K397" t="str" cm="1">
        <f t="array" ref="K397">IFERROR(_xlfn.MODE.SNGL(_xlfn._xlws.FILTER(nNOTA,(nCUENTA=1)*(nCURSO=A397)*(nASIG=B397)*(nAPTO="N"))),"—")</f>
        <v>—</v>
      </c>
      <c r="L397">
        <f>SUMPRODUCT((nCUENTA=1)*(nCURSO=A397)*(nASIG=B397)*(nNOTA=1))</f>
        <v>0</v>
      </c>
      <c r="M397">
        <f>SUMPRODUCT((nCUENTA=1)*(nCURSO=A397)*(nASIG=B397)*(nNOTA=2))</f>
        <v>0</v>
      </c>
      <c r="N397">
        <f>SUMPRODUCT((nCUENTA=1)*(nCURSO=A397)*(nASIG=B397)*(nNOTA=3))</f>
        <v>0</v>
      </c>
      <c r="O397">
        <f>SUMPRODUCT((nCUENTA=1)*(nCURSO=A397)*(nASIG=B397)*(nNOTA=4))</f>
        <v>0</v>
      </c>
      <c r="P397">
        <f>SUMPRODUCT((nCUENTA=1)*(nCURSO=A397)*(nASIG=B397)*(nNOTA=5))</f>
        <v>0</v>
      </c>
      <c r="Q397">
        <f>SUMPRODUCT((nCUENTA=1)*(nCURSO=A397)*(nASIG=B397)*(nNOTA=6))</f>
        <v>0</v>
      </c>
      <c r="R397">
        <f>SUMPRODUCT((nCUENTA=1)*(nCURSO=A397)*(nASIG=B397)*(nNOTA=7))</f>
        <v>0</v>
      </c>
      <c r="S397">
        <f>SUMPRODUCT((nCUENTA=1)*(nCURSO=A397)*(nASIG=B397)*(nNOTA=8))</f>
        <v>0</v>
      </c>
      <c r="T397">
        <f>SUMPRODUCT((nCUENTA=1)*(nCURSO=A397)*(nASIG=B397)*(nNOTA=9))</f>
        <v>0</v>
      </c>
      <c r="U397">
        <f>SUMPRODUCT((nCUENTA=1)*(nCURSO=A397)*(nASIG=B397)*(nNOTA=10))</f>
        <v>0</v>
      </c>
    </row>
    <row r="398">
      <c r="A398" t="inlineStr">
        <is>
          <t xml:space="preserve">6EPM</t>
        </is>
      </c>
      <c r="B398" cm="1">
        <f t="array" ref="B398">IFERROR(INDEX(_xlfn._xlws.FILTER(CONFIG_ASIGNATURAS!$B$2:$B$91,(CONFIG_ASIGNATURAS!$G$2:$G$91="Sí")*ISNUMBER(SEARCH("6EPM",CONFIG_ASIGNATURAS!$C$2:$C$91))),15),"")</f>
      </c>
      <c r="C398">
        <f>IF(B398="","",IFERROR(VLOOKUP(B398,CONFIG_ASIGNATURAS!$B$2:$D$91,3,FALSE()),"Asignatura"))</f>
      </c>
      <c r="D398">
        <f>SUMPRODUCT((nCUENTA=1)*(nCURSO=A398)*(nASIG=B398))</f>
        <v>0</v>
      </c>
      <c r="E398" s="10" t="str">
        <f>IFERROR(SUMPRODUCT((nCUENTA=1)*(nCURSO=A398)*(nASIG=B398)*(nNOTA))/D398,"—")</f>
        <v>—</v>
      </c>
      <c r="F398" s="10" t="str" cm="1">
        <f t="array" ref="F398">IFERROR(_xlfn.STDEV.P(_xlfn._xlws.FILTER(nNOTA,(nCUENTA=1)*(nCURSO=A398)*(nASIG=B398))),"—")</f>
        <v>—</v>
      </c>
      <c r="G398" t="str" cm="1">
        <f t="array" ref="G398">IFERROR(_xlfn.MODE.SNGL(_xlfn._xlws.FILTER(nNOTA,(nCUENTA=1)*(nCURSO=A398)*(nASIG=B398))),"—")</f>
        <v>—</v>
      </c>
      <c r="H398" s="11" t="str">
        <f>IFERROR(SUMPRODUCT((nCUENTA=1)*(nCURSO=A398)*(nASIG=B398)*(nAPTO="S"))/D398,"—")</f>
        <v>—</v>
      </c>
      <c r="I398" s="11" t="str">
        <f>IFERROR(SUMPRODUCT((nCUENTA=1)*(nCURSO=A398)*(nASIG=B398)*(nAPTO="N"))/D398,"—")</f>
        <v>—</v>
      </c>
      <c r="J398" t="str" cm="1">
        <f t="array" ref="J398">IFERROR(_xlfn.MODE.SNGL(_xlfn._xlws.FILTER(nNOTA,(nCUENTA=1)*(nCURSO=A398)*(nASIG=B398)*(nAPTO="S"))),"—")</f>
        <v>—</v>
      </c>
      <c r="K398" t="str" cm="1">
        <f t="array" ref="K398">IFERROR(_xlfn.MODE.SNGL(_xlfn._xlws.FILTER(nNOTA,(nCUENTA=1)*(nCURSO=A398)*(nASIG=B398)*(nAPTO="N"))),"—")</f>
        <v>—</v>
      </c>
      <c r="L398">
        <f>SUMPRODUCT((nCUENTA=1)*(nCURSO=A398)*(nASIG=B398)*(nNOTA=1))</f>
        <v>0</v>
      </c>
      <c r="M398">
        <f>SUMPRODUCT((nCUENTA=1)*(nCURSO=A398)*(nASIG=B398)*(nNOTA=2))</f>
        <v>0</v>
      </c>
      <c r="N398">
        <f>SUMPRODUCT((nCUENTA=1)*(nCURSO=A398)*(nASIG=B398)*(nNOTA=3))</f>
        <v>0</v>
      </c>
      <c r="O398">
        <f>SUMPRODUCT((nCUENTA=1)*(nCURSO=A398)*(nASIG=B398)*(nNOTA=4))</f>
        <v>0</v>
      </c>
      <c r="P398">
        <f>SUMPRODUCT((nCUENTA=1)*(nCURSO=A398)*(nASIG=B398)*(nNOTA=5))</f>
        <v>0</v>
      </c>
      <c r="Q398">
        <f>SUMPRODUCT((nCUENTA=1)*(nCURSO=A398)*(nASIG=B398)*(nNOTA=6))</f>
        <v>0</v>
      </c>
      <c r="R398">
        <f>SUMPRODUCT((nCUENTA=1)*(nCURSO=A398)*(nASIG=B398)*(nNOTA=7))</f>
        <v>0</v>
      </c>
      <c r="S398">
        <f>SUMPRODUCT((nCUENTA=1)*(nCURSO=A398)*(nASIG=B398)*(nNOTA=8))</f>
        <v>0</v>
      </c>
      <c r="T398">
        <f>SUMPRODUCT((nCUENTA=1)*(nCURSO=A398)*(nASIG=B398)*(nNOTA=9))</f>
        <v>0</v>
      </c>
      <c r="U398">
        <f>SUMPRODUCT((nCUENTA=1)*(nCURSO=A398)*(nASIG=B398)*(nNOTA=10))</f>
        <v>0</v>
      </c>
    </row>
    <row r="399">
      <c r="A399" t="inlineStr">
        <is>
          <t xml:space="preserve">6EPM</t>
        </is>
      </c>
      <c r="B399" cm="1">
        <f t="array" ref="B399">IFERROR(INDEX(_xlfn._xlws.FILTER(CONFIG_ASIGNATURAS!$B$2:$B$91,(CONFIG_ASIGNATURAS!$G$2:$G$91="Sí")*ISNUMBER(SEARCH("6EPM",CONFIG_ASIGNATURAS!$C$2:$C$91))),16),"")</f>
      </c>
      <c r="C399">
        <f>IF(B399="","",IFERROR(VLOOKUP(B399,CONFIG_ASIGNATURAS!$B$2:$D$91,3,FALSE()),"Asignatura"))</f>
      </c>
      <c r="D399">
        <f>SUMPRODUCT((nCUENTA=1)*(nCURSO=A399)*(nASIG=B399))</f>
        <v>0</v>
      </c>
      <c r="E399" s="10" t="str">
        <f>IFERROR(SUMPRODUCT((nCUENTA=1)*(nCURSO=A399)*(nASIG=B399)*(nNOTA))/D399,"—")</f>
        <v>—</v>
      </c>
      <c r="F399" s="10" t="str" cm="1">
        <f t="array" ref="F399">IFERROR(_xlfn.STDEV.P(_xlfn._xlws.FILTER(nNOTA,(nCUENTA=1)*(nCURSO=A399)*(nASIG=B399))),"—")</f>
        <v>—</v>
      </c>
      <c r="G399" t="str" cm="1">
        <f t="array" ref="G399">IFERROR(_xlfn.MODE.SNGL(_xlfn._xlws.FILTER(nNOTA,(nCUENTA=1)*(nCURSO=A399)*(nASIG=B399))),"—")</f>
        <v>—</v>
      </c>
      <c r="H399" s="11" t="str">
        <f>IFERROR(SUMPRODUCT((nCUENTA=1)*(nCURSO=A399)*(nASIG=B399)*(nAPTO="S"))/D399,"—")</f>
        <v>—</v>
      </c>
      <c r="I399" s="11" t="str">
        <f>IFERROR(SUMPRODUCT((nCUENTA=1)*(nCURSO=A399)*(nASIG=B399)*(nAPTO="N"))/D399,"—")</f>
        <v>—</v>
      </c>
      <c r="J399" t="str" cm="1">
        <f t="array" ref="J399">IFERROR(_xlfn.MODE.SNGL(_xlfn._xlws.FILTER(nNOTA,(nCUENTA=1)*(nCURSO=A399)*(nASIG=B399)*(nAPTO="S"))),"—")</f>
        <v>—</v>
      </c>
      <c r="K399" t="str" cm="1">
        <f t="array" ref="K399">IFERROR(_xlfn.MODE.SNGL(_xlfn._xlws.FILTER(nNOTA,(nCUENTA=1)*(nCURSO=A399)*(nASIG=B399)*(nAPTO="N"))),"—")</f>
        <v>—</v>
      </c>
      <c r="L399">
        <f>SUMPRODUCT((nCUENTA=1)*(nCURSO=A399)*(nASIG=B399)*(nNOTA=1))</f>
        <v>0</v>
      </c>
      <c r="M399">
        <f>SUMPRODUCT((nCUENTA=1)*(nCURSO=A399)*(nASIG=B399)*(nNOTA=2))</f>
        <v>0</v>
      </c>
      <c r="N399">
        <f>SUMPRODUCT((nCUENTA=1)*(nCURSO=A399)*(nASIG=B399)*(nNOTA=3))</f>
        <v>0</v>
      </c>
      <c r="O399">
        <f>SUMPRODUCT((nCUENTA=1)*(nCURSO=A399)*(nASIG=B399)*(nNOTA=4))</f>
        <v>0</v>
      </c>
      <c r="P399">
        <f>SUMPRODUCT((nCUENTA=1)*(nCURSO=A399)*(nASIG=B399)*(nNOTA=5))</f>
        <v>0</v>
      </c>
      <c r="Q399">
        <f>SUMPRODUCT((nCUENTA=1)*(nCURSO=A399)*(nASIG=B399)*(nNOTA=6))</f>
        <v>0</v>
      </c>
      <c r="R399">
        <f>SUMPRODUCT((nCUENTA=1)*(nCURSO=A399)*(nASIG=B399)*(nNOTA=7))</f>
        <v>0</v>
      </c>
      <c r="S399">
        <f>SUMPRODUCT((nCUENTA=1)*(nCURSO=A399)*(nASIG=B399)*(nNOTA=8))</f>
        <v>0</v>
      </c>
      <c r="T399">
        <f>SUMPRODUCT((nCUENTA=1)*(nCURSO=A399)*(nASIG=B399)*(nNOTA=9))</f>
        <v>0</v>
      </c>
      <c r="U399">
        <f>SUMPRODUCT((nCUENTA=1)*(nCURSO=A399)*(nASIG=B399)*(nNOTA=10))</f>
        <v>0</v>
      </c>
    </row>
    <row r="400">
      <c r="A400" t="inlineStr">
        <is>
          <t xml:space="preserve">6EPM</t>
        </is>
      </c>
      <c r="B400" cm="1">
        <f t="array" ref="B400">IFERROR(INDEX(_xlfn._xlws.FILTER(CONFIG_ASIGNATURAS!$B$2:$B$91,(CONFIG_ASIGNATURAS!$G$2:$G$91="Sí")*ISNUMBER(SEARCH("6EPM",CONFIG_ASIGNATURAS!$C$2:$C$91))),17),"")</f>
      </c>
      <c r="C400">
        <f>IF(B400="","",IFERROR(VLOOKUP(B400,CONFIG_ASIGNATURAS!$B$2:$D$91,3,FALSE()),"Asignatura"))</f>
      </c>
      <c r="D400">
        <f>SUMPRODUCT((nCUENTA=1)*(nCURSO=A400)*(nASIG=B400))</f>
        <v>0</v>
      </c>
      <c r="E400" s="10" t="str">
        <f>IFERROR(SUMPRODUCT((nCUENTA=1)*(nCURSO=A400)*(nASIG=B400)*(nNOTA))/D400,"—")</f>
        <v>—</v>
      </c>
      <c r="F400" s="10" t="str" cm="1">
        <f t="array" ref="F400">IFERROR(_xlfn.STDEV.P(_xlfn._xlws.FILTER(nNOTA,(nCUENTA=1)*(nCURSO=A400)*(nASIG=B400))),"—")</f>
        <v>—</v>
      </c>
      <c r="G400" t="str" cm="1">
        <f t="array" ref="G400">IFERROR(_xlfn.MODE.SNGL(_xlfn._xlws.FILTER(nNOTA,(nCUENTA=1)*(nCURSO=A400)*(nASIG=B400))),"—")</f>
        <v>—</v>
      </c>
      <c r="H400" s="11" t="str">
        <f>IFERROR(SUMPRODUCT((nCUENTA=1)*(nCURSO=A400)*(nASIG=B400)*(nAPTO="S"))/D400,"—")</f>
        <v>—</v>
      </c>
      <c r="I400" s="11" t="str">
        <f>IFERROR(SUMPRODUCT((nCUENTA=1)*(nCURSO=A400)*(nASIG=B400)*(nAPTO="N"))/D400,"—")</f>
        <v>—</v>
      </c>
      <c r="J400" t="str" cm="1">
        <f t="array" ref="J400">IFERROR(_xlfn.MODE.SNGL(_xlfn._xlws.FILTER(nNOTA,(nCUENTA=1)*(nCURSO=A400)*(nASIG=B400)*(nAPTO="S"))),"—")</f>
        <v>—</v>
      </c>
      <c r="K400" t="str" cm="1">
        <f t="array" ref="K400">IFERROR(_xlfn.MODE.SNGL(_xlfn._xlws.FILTER(nNOTA,(nCUENTA=1)*(nCURSO=A400)*(nASIG=B400)*(nAPTO="N"))),"—")</f>
        <v>—</v>
      </c>
      <c r="L400">
        <f>SUMPRODUCT((nCUENTA=1)*(nCURSO=A400)*(nASIG=B400)*(nNOTA=1))</f>
        <v>0</v>
      </c>
      <c r="M400">
        <f>SUMPRODUCT((nCUENTA=1)*(nCURSO=A400)*(nASIG=B400)*(nNOTA=2))</f>
        <v>0</v>
      </c>
      <c r="N400">
        <f>SUMPRODUCT((nCUENTA=1)*(nCURSO=A400)*(nASIG=B400)*(nNOTA=3))</f>
        <v>0</v>
      </c>
      <c r="O400">
        <f>SUMPRODUCT((nCUENTA=1)*(nCURSO=A400)*(nASIG=B400)*(nNOTA=4))</f>
        <v>0</v>
      </c>
      <c r="P400">
        <f>SUMPRODUCT((nCUENTA=1)*(nCURSO=A400)*(nASIG=B400)*(nNOTA=5))</f>
        <v>0</v>
      </c>
      <c r="Q400">
        <f>SUMPRODUCT((nCUENTA=1)*(nCURSO=A400)*(nASIG=B400)*(nNOTA=6))</f>
        <v>0</v>
      </c>
      <c r="R400">
        <f>SUMPRODUCT((nCUENTA=1)*(nCURSO=A400)*(nASIG=B400)*(nNOTA=7))</f>
        <v>0</v>
      </c>
      <c r="S400">
        <f>SUMPRODUCT((nCUENTA=1)*(nCURSO=A400)*(nASIG=B400)*(nNOTA=8))</f>
        <v>0</v>
      </c>
      <c r="T400">
        <f>SUMPRODUCT((nCUENTA=1)*(nCURSO=A400)*(nASIG=B400)*(nNOTA=9))</f>
        <v>0</v>
      </c>
      <c r="U400">
        <f>SUMPRODUCT((nCUENTA=1)*(nCURSO=A400)*(nASIG=B400)*(nNOTA=10))</f>
        <v>0</v>
      </c>
    </row>
    <row r="401">
      <c r="A401" t="inlineStr">
        <is>
          <t xml:space="preserve">6EPM</t>
        </is>
      </c>
      <c r="B401" cm="1">
        <f t="array" ref="B401">IFERROR(INDEX(_xlfn._xlws.FILTER(CONFIG_ASIGNATURAS!$B$2:$B$91,(CONFIG_ASIGNATURAS!$G$2:$G$91="Sí")*ISNUMBER(SEARCH("6EPM",CONFIG_ASIGNATURAS!$C$2:$C$91))),18),"")</f>
      </c>
      <c r="C401">
        <f>IF(B401="","",IFERROR(VLOOKUP(B401,CONFIG_ASIGNATURAS!$B$2:$D$91,3,FALSE()),"Asignatura"))</f>
      </c>
      <c r="D401">
        <f>SUMPRODUCT((nCUENTA=1)*(nCURSO=A401)*(nASIG=B401))</f>
        <v>0</v>
      </c>
      <c r="E401" s="10" t="str">
        <f>IFERROR(SUMPRODUCT((nCUENTA=1)*(nCURSO=A401)*(nASIG=B401)*(nNOTA))/D401,"—")</f>
        <v>—</v>
      </c>
      <c r="F401" s="10" t="str" cm="1">
        <f t="array" ref="F401">IFERROR(_xlfn.STDEV.P(_xlfn._xlws.FILTER(nNOTA,(nCUENTA=1)*(nCURSO=A401)*(nASIG=B401))),"—")</f>
        <v>—</v>
      </c>
      <c r="G401" t="str" cm="1">
        <f t="array" ref="G401">IFERROR(_xlfn.MODE.SNGL(_xlfn._xlws.FILTER(nNOTA,(nCUENTA=1)*(nCURSO=A401)*(nASIG=B401))),"—")</f>
        <v>—</v>
      </c>
      <c r="H401" s="11" t="str">
        <f>IFERROR(SUMPRODUCT((nCUENTA=1)*(nCURSO=A401)*(nASIG=B401)*(nAPTO="S"))/D401,"—")</f>
        <v>—</v>
      </c>
      <c r="I401" s="11" t="str">
        <f>IFERROR(SUMPRODUCT((nCUENTA=1)*(nCURSO=A401)*(nASIG=B401)*(nAPTO="N"))/D401,"—")</f>
        <v>—</v>
      </c>
      <c r="J401" t="str" cm="1">
        <f t="array" ref="J401">IFERROR(_xlfn.MODE.SNGL(_xlfn._xlws.FILTER(nNOTA,(nCUENTA=1)*(nCURSO=A401)*(nASIG=B401)*(nAPTO="S"))),"—")</f>
        <v>—</v>
      </c>
      <c r="K401" t="str" cm="1">
        <f t="array" ref="K401">IFERROR(_xlfn.MODE.SNGL(_xlfn._xlws.FILTER(nNOTA,(nCUENTA=1)*(nCURSO=A401)*(nASIG=B401)*(nAPTO="N"))),"—")</f>
        <v>—</v>
      </c>
      <c r="L401">
        <f>SUMPRODUCT((nCUENTA=1)*(nCURSO=A401)*(nASIG=B401)*(nNOTA=1))</f>
        <v>0</v>
      </c>
      <c r="M401">
        <f>SUMPRODUCT((nCUENTA=1)*(nCURSO=A401)*(nASIG=B401)*(nNOTA=2))</f>
        <v>0</v>
      </c>
      <c r="N401">
        <f>SUMPRODUCT((nCUENTA=1)*(nCURSO=A401)*(nASIG=B401)*(nNOTA=3))</f>
        <v>0</v>
      </c>
      <c r="O401">
        <f>SUMPRODUCT((nCUENTA=1)*(nCURSO=A401)*(nASIG=B401)*(nNOTA=4))</f>
        <v>0</v>
      </c>
      <c r="P401">
        <f>SUMPRODUCT((nCUENTA=1)*(nCURSO=A401)*(nASIG=B401)*(nNOTA=5))</f>
        <v>0</v>
      </c>
      <c r="Q401">
        <f>SUMPRODUCT((nCUENTA=1)*(nCURSO=A401)*(nASIG=B401)*(nNOTA=6))</f>
        <v>0</v>
      </c>
      <c r="R401">
        <f>SUMPRODUCT((nCUENTA=1)*(nCURSO=A401)*(nASIG=B401)*(nNOTA=7))</f>
        <v>0</v>
      </c>
      <c r="S401">
        <f>SUMPRODUCT((nCUENTA=1)*(nCURSO=A401)*(nASIG=B401)*(nNOTA=8))</f>
        <v>0</v>
      </c>
      <c r="T401">
        <f>SUMPRODUCT((nCUENTA=1)*(nCURSO=A401)*(nASIG=B401)*(nNOTA=9))</f>
        <v>0</v>
      </c>
      <c r="U401">
        <f>SUMPRODUCT((nCUENTA=1)*(nCURSO=A401)*(nASIG=B401)*(nNOTA=10))</f>
        <v>0</v>
      </c>
    </row>
    <row r="402">
      <c r="A402" t="inlineStr">
        <is>
          <t xml:space="preserve">6EPM</t>
        </is>
      </c>
      <c r="B402" cm="1">
        <f t="array" ref="B402">IFERROR(INDEX(_xlfn._xlws.FILTER(CONFIG_ASIGNATURAS!$B$2:$B$91,(CONFIG_ASIGNATURAS!$G$2:$G$91="Sí")*ISNUMBER(SEARCH("6EPM",CONFIG_ASIGNATURAS!$C$2:$C$91))),19),"")</f>
      </c>
      <c r="C402">
        <f>IF(B402="","",IFERROR(VLOOKUP(B402,CONFIG_ASIGNATURAS!$B$2:$D$91,3,FALSE()),"Asignatura"))</f>
      </c>
      <c r="D402">
        <f>SUMPRODUCT((nCUENTA=1)*(nCURSO=A402)*(nASIG=B402))</f>
        <v>0</v>
      </c>
      <c r="E402" s="10" t="str">
        <f>IFERROR(SUMPRODUCT((nCUENTA=1)*(nCURSO=A402)*(nASIG=B402)*(nNOTA))/D402,"—")</f>
        <v>—</v>
      </c>
      <c r="F402" s="10" t="str" cm="1">
        <f t="array" ref="F402">IFERROR(_xlfn.STDEV.P(_xlfn._xlws.FILTER(nNOTA,(nCUENTA=1)*(nCURSO=A402)*(nASIG=B402))),"—")</f>
        <v>—</v>
      </c>
      <c r="G402" t="str" cm="1">
        <f t="array" ref="G402">IFERROR(_xlfn.MODE.SNGL(_xlfn._xlws.FILTER(nNOTA,(nCUENTA=1)*(nCURSO=A402)*(nASIG=B402))),"—")</f>
        <v>—</v>
      </c>
      <c r="H402" s="11" t="str">
        <f>IFERROR(SUMPRODUCT((nCUENTA=1)*(nCURSO=A402)*(nASIG=B402)*(nAPTO="S"))/D402,"—")</f>
        <v>—</v>
      </c>
      <c r="I402" s="11" t="str">
        <f>IFERROR(SUMPRODUCT((nCUENTA=1)*(nCURSO=A402)*(nASIG=B402)*(nAPTO="N"))/D402,"—")</f>
        <v>—</v>
      </c>
      <c r="J402" t="str" cm="1">
        <f t="array" ref="J402">IFERROR(_xlfn.MODE.SNGL(_xlfn._xlws.FILTER(nNOTA,(nCUENTA=1)*(nCURSO=A402)*(nASIG=B402)*(nAPTO="S"))),"—")</f>
        <v>—</v>
      </c>
      <c r="K402" t="str" cm="1">
        <f t="array" ref="K402">IFERROR(_xlfn.MODE.SNGL(_xlfn._xlws.FILTER(nNOTA,(nCUENTA=1)*(nCURSO=A402)*(nASIG=B402)*(nAPTO="N"))),"—")</f>
        <v>—</v>
      </c>
      <c r="L402">
        <f>SUMPRODUCT((nCUENTA=1)*(nCURSO=A402)*(nASIG=B402)*(nNOTA=1))</f>
        <v>0</v>
      </c>
      <c r="M402">
        <f>SUMPRODUCT((nCUENTA=1)*(nCURSO=A402)*(nASIG=B402)*(nNOTA=2))</f>
        <v>0</v>
      </c>
      <c r="N402">
        <f>SUMPRODUCT((nCUENTA=1)*(nCURSO=A402)*(nASIG=B402)*(nNOTA=3))</f>
        <v>0</v>
      </c>
      <c r="O402">
        <f>SUMPRODUCT((nCUENTA=1)*(nCURSO=A402)*(nASIG=B402)*(nNOTA=4))</f>
        <v>0</v>
      </c>
      <c r="P402">
        <f>SUMPRODUCT((nCUENTA=1)*(nCURSO=A402)*(nASIG=B402)*(nNOTA=5))</f>
        <v>0</v>
      </c>
      <c r="Q402">
        <f>SUMPRODUCT((nCUENTA=1)*(nCURSO=A402)*(nASIG=B402)*(nNOTA=6))</f>
        <v>0</v>
      </c>
      <c r="R402">
        <f>SUMPRODUCT((nCUENTA=1)*(nCURSO=A402)*(nASIG=B402)*(nNOTA=7))</f>
        <v>0</v>
      </c>
      <c r="S402">
        <f>SUMPRODUCT((nCUENTA=1)*(nCURSO=A402)*(nASIG=B402)*(nNOTA=8))</f>
        <v>0</v>
      </c>
      <c r="T402">
        <f>SUMPRODUCT((nCUENTA=1)*(nCURSO=A402)*(nASIG=B402)*(nNOTA=9))</f>
        <v>0</v>
      </c>
      <c r="U402">
        <f>SUMPRODUCT((nCUENTA=1)*(nCURSO=A402)*(nASIG=B402)*(nNOTA=10))</f>
        <v>0</v>
      </c>
    </row>
    <row r="403">
      <c r="A403" t="inlineStr">
        <is>
          <t xml:space="preserve">6EPM</t>
        </is>
      </c>
      <c r="B403" cm="1">
        <f t="array" ref="B403">IFERROR(INDEX(_xlfn._xlws.FILTER(CONFIG_ASIGNATURAS!$B$2:$B$91,(CONFIG_ASIGNATURAS!$G$2:$G$91="Sí")*ISNUMBER(SEARCH("6EPM",CONFIG_ASIGNATURAS!$C$2:$C$91))),20),"")</f>
      </c>
      <c r="C403">
        <f>IF(B403="","",IFERROR(VLOOKUP(B403,CONFIG_ASIGNATURAS!$B$2:$D$91,3,FALSE()),"Asignatura"))</f>
      </c>
      <c r="D403">
        <f>SUMPRODUCT((nCUENTA=1)*(nCURSO=A403)*(nASIG=B403))</f>
        <v>0</v>
      </c>
      <c r="E403" s="10" t="str">
        <f>IFERROR(SUMPRODUCT((nCUENTA=1)*(nCURSO=A403)*(nASIG=B403)*(nNOTA))/D403,"—")</f>
        <v>—</v>
      </c>
      <c r="F403" s="10" t="str" cm="1">
        <f t="array" ref="F403">IFERROR(_xlfn.STDEV.P(_xlfn._xlws.FILTER(nNOTA,(nCUENTA=1)*(nCURSO=A403)*(nASIG=B403))),"—")</f>
        <v>—</v>
      </c>
      <c r="G403" t="str" cm="1">
        <f t="array" ref="G403">IFERROR(_xlfn.MODE.SNGL(_xlfn._xlws.FILTER(nNOTA,(nCUENTA=1)*(nCURSO=A403)*(nASIG=B403))),"—")</f>
        <v>—</v>
      </c>
      <c r="H403" s="11" t="str">
        <f>IFERROR(SUMPRODUCT((nCUENTA=1)*(nCURSO=A403)*(nASIG=B403)*(nAPTO="S"))/D403,"—")</f>
        <v>—</v>
      </c>
      <c r="I403" s="11" t="str">
        <f>IFERROR(SUMPRODUCT((nCUENTA=1)*(nCURSO=A403)*(nASIG=B403)*(nAPTO="N"))/D403,"—")</f>
        <v>—</v>
      </c>
      <c r="J403" t="str" cm="1">
        <f t="array" ref="J403">IFERROR(_xlfn.MODE.SNGL(_xlfn._xlws.FILTER(nNOTA,(nCUENTA=1)*(nCURSO=A403)*(nASIG=B403)*(nAPTO="S"))),"—")</f>
        <v>—</v>
      </c>
      <c r="K403" t="str" cm="1">
        <f t="array" ref="K403">IFERROR(_xlfn.MODE.SNGL(_xlfn._xlws.FILTER(nNOTA,(nCUENTA=1)*(nCURSO=A403)*(nASIG=B403)*(nAPTO="N"))),"—")</f>
        <v>—</v>
      </c>
      <c r="L403">
        <f>SUMPRODUCT((nCUENTA=1)*(nCURSO=A403)*(nASIG=B403)*(nNOTA=1))</f>
        <v>0</v>
      </c>
      <c r="M403">
        <f>SUMPRODUCT((nCUENTA=1)*(nCURSO=A403)*(nASIG=B403)*(nNOTA=2))</f>
        <v>0</v>
      </c>
      <c r="N403">
        <f>SUMPRODUCT((nCUENTA=1)*(nCURSO=A403)*(nASIG=B403)*(nNOTA=3))</f>
        <v>0</v>
      </c>
      <c r="O403">
        <f>SUMPRODUCT((nCUENTA=1)*(nCURSO=A403)*(nASIG=B403)*(nNOTA=4))</f>
        <v>0</v>
      </c>
      <c r="P403">
        <f>SUMPRODUCT((nCUENTA=1)*(nCURSO=A403)*(nASIG=B403)*(nNOTA=5))</f>
        <v>0</v>
      </c>
      <c r="Q403">
        <f>SUMPRODUCT((nCUENTA=1)*(nCURSO=A403)*(nASIG=B403)*(nNOTA=6))</f>
        <v>0</v>
      </c>
      <c r="R403">
        <f>SUMPRODUCT((nCUENTA=1)*(nCURSO=A403)*(nASIG=B403)*(nNOTA=7))</f>
        <v>0</v>
      </c>
      <c r="S403">
        <f>SUMPRODUCT((nCUENTA=1)*(nCURSO=A403)*(nASIG=B403)*(nNOTA=8))</f>
        <v>0</v>
      </c>
      <c r="T403">
        <f>SUMPRODUCT((nCUENTA=1)*(nCURSO=A403)*(nASIG=B403)*(nNOTA=9))</f>
        <v>0</v>
      </c>
      <c r="U403">
        <f>SUMPRODUCT((nCUENTA=1)*(nCURSO=A403)*(nASIG=B403)*(nNOTA=10))</f>
        <v>0</v>
      </c>
    </row>
    <row r="404">
      <c r="A404" t="inlineStr">
        <is>
          <t xml:space="preserve">6EPM</t>
        </is>
      </c>
      <c r="B404" cm="1">
        <f t="array" ref="B404">IFERROR(INDEX(_xlfn._xlws.FILTER(CONFIG_ASIGNATURAS!$B$2:$B$91,(CONFIG_ASIGNATURAS!$G$2:$G$91="Sí")*ISNUMBER(SEARCH("6EPM",CONFIG_ASIGNATURAS!$C$2:$C$91))),21),"")</f>
      </c>
      <c r="C404">
        <f>IF(B404="","",IFERROR(VLOOKUP(B404,CONFIG_ASIGNATURAS!$B$2:$D$91,3,FALSE()),"Asignatura"))</f>
      </c>
      <c r="D404">
        <f>SUMPRODUCT((nCUENTA=1)*(nCURSO=A404)*(nASIG=B404))</f>
        <v>0</v>
      </c>
      <c r="E404" s="10" t="str">
        <f>IFERROR(SUMPRODUCT((nCUENTA=1)*(nCURSO=A404)*(nASIG=B404)*(nNOTA))/D404,"—")</f>
        <v>—</v>
      </c>
      <c r="F404" s="10" t="str" cm="1">
        <f t="array" ref="F404">IFERROR(_xlfn.STDEV.P(_xlfn._xlws.FILTER(nNOTA,(nCUENTA=1)*(nCURSO=A404)*(nASIG=B404))),"—")</f>
        <v>—</v>
      </c>
      <c r="G404" t="str" cm="1">
        <f t="array" ref="G404">IFERROR(_xlfn.MODE.SNGL(_xlfn._xlws.FILTER(nNOTA,(nCUENTA=1)*(nCURSO=A404)*(nASIG=B404))),"—")</f>
        <v>—</v>
      </c>
      <c r="H404" s="11" t="str">
        <f>IFERROR(SUMPRODUCT((nCUENTA=1)*(nCURSO=A404)*(nASIG=B404)*(nAPTO="S"))/D404,"—")</f>
        <v>—</v>
      </c>
      <c r="I404" s="11" t="str">
        <f>IFERROR(SUMPRODUCT((nCUENTA=1)*(nCURSO=A404)*(nASIG=B404)*(nAPTO="N"))/D404,"—")</f>
        <v>—</v>
      </c>
      <c r="J404" t="str" cm="1">
        <f t="array" ref="J404">IFERROR(_xlfn.MODE.SNGL(_xlfn._xlws.FILTER(nNOTA,(nCUENTA=1)*(nCURSO=A404)*(nASIG=B404)*(nAPTO="S"))),"—")</f>
        <v>—</v>
      </c>
      <c r="K404" t="str" cm="1">
        <f t="array" ref="K404">IFERROR(_xlfn.MODE.SNGL(_xlfn._xlws.FILTER(nNOTA,(nCUENTA=1)*(nCURSO=A404)*(nASIG=B404)*(nAPTO="N"))),"—")</f>
        <v>—</v>
      </c>
      <c r="L404">
        <f>SUMPRODUCT((nCUENTA=1)*(nCURSO=A404)*(nASIG=B404)*(nNOTA=1))</f>
        <v>0</v>
      </c>
      <c r="M404">
        <f>SUMPRODUCT((nCUENTA=1)*(nCURSO=A404)*(nASIG=B404)*(nNOTA=2))</f>
        <v>0</v>
      </c>
      <c r="N404">
        <f>SUMPRODUCT((nCUENTA=1)*(nCURSO=A404)*(nASIG=B404)*(nNOTA=3))</f>
        <v>0</v>
      </c>
      <c r="O404">
        <f>SUMPRODUCT((nCUENTA=1)*(nCURSO=A404)*(nASIG=B404)*(nNOTA=4))</f>
        <v>0</v>
      </c>
      <c r="P404">
        <f>SUMPRODUCT((nCUENTA=1)*(nCURSO=A404)*(nASIG=B404)*(nNOTA=5))</f>
        <v>0</v>
      </c>
      <c r="Q404">
        <f>SUMPRODUCT((nCUENTA=1)*(nCURSO=A404)*(nASIG=B404)*(nNOTA=6))</f>
        <v>0</v>
      </c>
      <c r="R404">
        <f>SUMPRODUCT((nCUENTA=1)*(nCURSO=A404)*(nASIG=B404)*(nNOTA=7))</f>
        <v>0</v>
      </c>
      <c r="S404">
        <f>SUMPRODUCT((nCUENTA=1)*(nCURSO=A404)*(nASIG=B404)*(nNOTA=8))</f>
        <v>0</v>
      </c>
      <c r="T404">
        <f>SUMPRODUCT((nCUENTA=1)*(nCURSO=A404)*(nASIG=B404)*(nNOTA=9))</f>
        <v>0</v>
      </c>
      <c r="U404">
        <f>SUMPRODUCT((nCUENTA=1)*(nCURSO=A404)*(nASIG=B404)*(nNOTA=10))</f>
        <v>0</v>
      </c>
    </row>
    <row r="405">
      <c r="A405" t="inlineStr">
        <is>
          <t xml:space="preserve">6EPM</t>
        </is>
      </c>
      <c r="B405" cm="1">
        <f t="array" ref="B405">IFERROR(INDEX(_xlfn._xlws.FILTER(CONFIG_ASIGNATURAS!$B$2:$B$91,(CONFIG_ASIGNATURAS!$G$2:$G$91="Sí")*ISNUMBER(SEARCH("6EPM",CONFIG_ASIGNATURAS!$C$2:$C$91))),22),"")</f>
      </c>
      <c r="C405">
        <f>IF(B405="","",IFERROR(VLOOKUP(B405,CONFIG_ASIGNATURAS!$B$2:$D$91,3,FALSE()),"Asignatura"))</f>
      </c>
      <c r="D405">
        <f>SUMPRODUCT((nCUENTA=1)*(nCURSO=A405)*(nASIG=B405))</f>
        <v>0</v>
      </c>
      <c r="E405" s="10" t="str">
        <f>IFERROR(SUMPRODUCT((nCUENTA=1)*(nCURSO=A405)*(nASIG=B405)*(nNOTA))/D405,"—")</f>
        <v>—</v>
      </c>
      <c r="F405" s="10" t="str" cm="1">
        <f t="array" ref="F405">IFERROR(_xlfn.STDEV.P(_xlfn._xlws.FILTER(nNOTA,(nCUENTA=1)*(nCURSO=A405)*(nASIG=B405))),"—")</f>
        <v>—</v>
      </c>
      <c r="G405" t="str" cm="1">
        <f t="array" ref="G405">IFERROR(_xlfn.MODE.SNGL(_xlfn._xlws.FILTER(nNOTA,(nCUENTA=1)*(nCURSO=A405)*(nASIG=B405))),"—")</f>
        <v>—</v>
      </c>
      <c r="H405" s="11" t="str">
        <f>IFERROR(SUMPRODUCT((nCUENTA=1)*(nCURSO=A405)*(nASIG=B405)*(nAPTO="S"))/D405,"—")</f>
        <v>—</v>
      </c>
      <c r="I405" s="11" t="str">
        <f>IFERROR(SUMPRODUCT((nCUENTA=1)*(nCURSO=A405)*(nASIG=B405)*(nAPTO="N"))/D405,"—")</f>
        <v>—</v>
      </c>
      <c r="J405" t="str" cm="1">
        <f t="array" ref="J405">IFERROR(_xlfn.MODE.SNGL(_xlfn._xlws.FILTER(nNOTA,(nCUENTA=1)*(nCURSO=A405)*(nASIG=B405)*(nAPTO="S"))),"—")</f>
        <v>—</v>
      </c>
      <c r="K405" t="str" cm="1">
        <f t="array" ref="K405">IFERROR(_xlfn.MODE.SNGL(_xlfn._xlws.FILTER(nNOTA,(nCUENTA=1)*(nCURSO=A405)*(nASIG=B405)*(nAPTO="N"))),"—")</f>
        <v>—</v>
      </c>
      <c r="L405">
        <f>SUMPRODUCT((nCUENTA=1)*(nCURSO=A405)*(nASIG=B405)*(nNOTA=1))</f>
        <v>0</v>
      </c>
      <c r="M405">
        <f>SUMPRODUCT((nCUENTA=1)*(nCURSO=A405)*(nASIG=B405)*(nNOTA=2))</f>
        <v>0</v>
      </c>
      <c r="N405">
        <f>SUMPRODUCT((nCUENTA=1)*(nCURSO=A405)*(nASIG=B405)*(nNOTA=3))</f>
        <v>0</v>
      </c>
      <c r="O405">
        <f>SUMPRODUCT((nCUENTA=1)*(nCURSO=A405)*(nASIG=B405)*(nNOTA=4))</f>
        <v>0</v>
      </c>
      <c r="P405">
        <f>SUMPRODUCT((nCUENTA=1)*(nCURSO=A405)*(nASIG=B405)*(nNOTA=5))</f>
        <v>0</v>
      </c>
      <c r="Q405">
        <f>SUMPRODUCT((nCUENTA=1)*(nCURSO=A405)*(nASIG=B405)*(nNOTA=6))</f>
        <v>0</v>
      </c>
      <c r="R405">
        <f>SUMPRODUCT((nCUENTA=1)*(nCURSO=A405)*(nASIG=B405)*(nNOTA=7))</f>
        <v>0</v>
      </c>
      <c r="S405">
        <f>SUMPRODUCT((nCUENTA=1)*(nCURSO=A405)*(nASIG=B405)*(nNOTA=8))</f>
        <v>0</v>
      </c>
      <c r="T405">
        <f>SUMPRODUCT((nCUENTA=1)*(nCURSO=A405)*(nASIG=B405)*(nNOTA=9))</f>
        <v>0</v>
      </c>
      <c r="U405">
        <f>SUMPRODUCT((nCUENTA=1)*(nCURSO=A405)*(nASIG=B405)*(nNOTA=10))</f>
        <v>0</v>
      </c>
    </row>
    <row r="406">
      <c r="A406" t="inlineStr">
        <is>
          <t xml:space="preserve">6EPM</t>
        </is>
      </c>
      <c r="B406" cm="1">
        <f t="array" ref="B406">IFERROR(INDEX(_xlfn._xlws.FILTER(CONFIG_ASIGNATURAS!$B$2:$B$91,(CONFIG_ASIGNATURAS!$G$2:$G$91="Sí")*ISNUMBER(SEARCH("6EPM",CONFIG_ASIGNATURAS!$C$2:$C$91))),23),"")</f>
      </c>
      <c r="C406">
        <f>IF(B406="","",IFERROR(VLOOKUP(B406,CONFIG_ASIGNATURAS!$B$2:$D$91,3,FALSE()),"Asignatura"))</f>
      </c>
      <c r="D406">
        <f>SUMPRODUCT((nCUENTA=1)*(nCURSO=A406)*(nASIG=B406))</f>
        <v>0</v>
      </c>
      <c r="E406" s="10" t="str">
        <f>IFERROR(SUMPRODUCT((nCUENTA=1)*(nCURSO=A406)*(nASIG=B406)*(nNOTA))/D406,"—")</f>
        <v>—</v>
      </c>
      <c r="F406" s="10" t="str" cm="1">
        <f t="array" ref="F406">IFERROR(_xlfn.STDEV.P(_xlfn._xlws.FILTER(nNOTA,(nCUENTA=1)*(nCURSO=A406)*(nASIG=B406))),"—")</f>
        <v>—</v>
      </c>
      <c r="G406" t="str" cm="1">
        <f t="array" ref="G406">IFERROR(_xlfn.MODE.SNGL(_xlfn._xlws.FILTER(nNOTA,(nCUENTA=1)*(nCURSO=A406)*(nASIG=B406))),"—")</f>
        <v>—</v>
      </c>
      <c r="H406" s="11" t="str">
        <f>IFERROR(SUMPRODUCT((nCUENTA=1)*(nCURSO=A406)*(nASIG=B406)*(nAPTO="S"))/D406,"—")</f>
        <v>—</v>
      </c>
      <c r="I406" s="11" t="str">
        <f>IFERROR(SUMPRODUCT((nCUENTA=1)*(nCURSO=A406)*(nASIG=B406)*(nAPTO="N"))/D406,"—")</f>
        <v>—</v>
      </c>
      <c r="J406" t="str" cm="1">
        <f t="array" ref="J406">IFERROR(_xlfn.MODE.SNGL(_xlfn._xlws.FILTER(nNOTA,(nCUENTA=1)*(nCURSO=A406)*(nASIG=B406)*(nAPTO="S"))),"—")</f>
        <v>—</v>
      </c>
      <c r="K406" t="str" cm="1">
        <f t="array" ref="K406">IFERROR(_xlfn.MODE.SNGL(_xlfn._xlws.FILTER(nNOTA,(nCUENTA=1)*(nCURSO=A406)*(nASIG=B406)*(nAPTO="N"))),"—")</f>
        <v>—</v>
      </c>
      <c r="L406">
        <f>SUMPRODUCT((nCUENTA=1)*(nCURSO=A406)*(nASIG=B406)*(nNOTA=1))</f>
        <v>0</v>
      </c>
      <c r="M406">
        <f>SUMPRODUCT((nCUENTA=1)*(nCURSO=A406)*(nASIG=B406)*(nNOTA=2))</f>
        <v>0</v>
      </c>
      <c r="N406">
        <f>SUMPRODUCT((nCUENTA=1)*(nCURSO=A406)*(nASIG=B406)*(nNOTA=3))</f>
        <v>0</v>
      </c>
      <c r="O406">
        <f>SUMPRODUCT((nCUENTA=1)*(nCURSO=A406)*(nASIG=B406)*(nNOTA=4))</f>
        <v>0</v>
      </c>
      <c r="P406">
        <f>SUMPRODUCT((nCUENTA=1)*(nCURSO=A406)*(nASIG=B406)*(nNOTA=5))</f>
        <v>0</v>
      </c>
      <c r="Q406">
        <f>SUMPRODUCT((nCUENTA=1)*(nCURSO=A406)*(nASIG=B406)*(nNOTA=6))</f>
        <v>0</v>
      </c>
      <c r="R406">
        <f>SUMPRODUCT((nCUENTA=1)*(nCURSO=A406)*(nASIG=B406)*(nNOTA=7))</f>
        <v>0</v>
      </c>
      <c r="S406">
        <f>SUMPRODUCT((nCUENTA=1)*(nCURSO=A406)*(nASIG=B406)*(nNOTA=8))</f>
        <v>0</v>
      </c>
      <c r="T406">
        <f>SUMPRODUCT((nCUENTA=1)*(nCURSO=A406)*(nASIG=B406)*(nNOTA=9))</f>
        <v>0</v>
      </c>
      <c r="U406">
        <f>SUMPRODUCT((nCUENTA=1)*(nCURSO=A406)*(nASIG=B406)*(nNOTA=10))</f>
        <v>0</v>
      </c>
    </row>
    <row r="407">
      <c r="A407" t="inlineStr">
        <is>
          <t xml:space="preserve">6EPM</t>
        </is>
      </c>
      <c r="B407" cm="1">
        <f t="array" ref="B407">IFERROR(INDEX(_xlfn._xlws.FILTER(CONFIG_ASIGNATURAS!$B$2:$B$91,(CONFIG_ASIGNATURAS!$G$2:$G$91="Sí")*ISNUMBER(SEARCH("6EPM",CONFIG_ASIGNATURAS!$C$2:$C$91))),24),"")</f>
      </c>
      <c r="C407">
        <f>IF(B407="","",IFERROR(VLOOKUP(B407,CONFIG_ASIGNATURAS!$B$2:$D$91,3,FALSE()),"Asignatura"))</f>
      </c>
      <c r="D407">
        <f>SUMPRODUCT((nCUENTA=1)*(nCURSO=A407)*(nASIG=B407))</f>
        <v>0</v>
      </c>
      <c r="E407" s="10" t="str">
        <f>IFERROR(SUMPRODUCT((nCUENTA=1)*(nCURSO=A407)*(nASIG=B407)*(nNOTA))/D407,"—")</f>
        <v>—</v>
      </c>
      <c r="F407" s="10" t="str" cm="1">
        <f t="array" ref="F407">IFERROR(_xlfn.STDEV.P(_xlfn._xlws.FILTER(nNOTA,(nCUENTA=1)*(nCURSO=A407)*(nASIG=B407))),"—")</f>
        <v>—</v>
      </c>
      <c r="G407" t="str" cm="1">
        <f t="array" ref="G407">IFERROR(_xlfn.MODE.SNGL(_xlfn._xlws.FILTER(nNOTA,(nCUENTA=1)*(nCURSO=A407)*(nASIG=B407))),"—")</f>
        <v>—</v>
      </c>
      <c r="H407" s="11" t="str">
        <f>IFERROR(SUMPRODUCT((nCUENTA=1)*(nCURSO=A407)*(nASIG=B407)*(nAPTO="S"))/D407,"—")</f>
        <v>—</v>
      </c>
      <c r="I407" s="11" t="str">
        <f>IFERROR(SUMPRODUCT((nCUENTA=1)*(nCURSO=A407)*(nASIG=B407)*(nAPTO="N"))/D407,"—")</f>
        <v>—</v>
      </c>
      <c r="J407" t="str" cm="1">
        <f t="array" ref="J407">IFERROR(_xlfn.MODE.SNGL(_xlfn._xlws.FILTER(nNOTA,(nCUENTA=1)*(nCURSO=A407)*(nASIG=B407)*(nAPTO="S"))),"—")</f>
        <v>—</v>
      </c>
      <c r="K407" t="str" cm="1">
        <f t="array" ref="K407">IFERROR(_xlfn.MODE.SNGL(_xlfn._xlws.FILTER(nNOTA,(nCUENTA=1)*(nCURSO=A407)*(nASIG=B407)*(nAPTO="N"))),"—")</f>
        <v>—</v>
      </c>
      <c r="L407">
        <f>SUMPRODUCT((nCUENTA=1)*(nCURSO=A407)*(nASIG=B407)*(nNOTA=1))</f>
        <v>0</v>
      </c>
      <c r="M407">
        <f>SUMPRODUCT((nCUENTA=1)*(nCURSO=A407)*(nASIG=B407)*(nNOTA=2))</f>
        <v>0</v>
      </c>
      <c r="N407">
        <f>SUMPRODUCT((nCUENTA=1)*(nCURSO=A407)*(nASIG=B407)*(nNOTA=3))</f>
        <v>0</v>
      </c>
      <c r="O407">
        <f>SUMPRODUCT((nCUENTA=1)*(nCURSO=A407)*(nASIG=B407)*(nNOTA=4))</f>
        <v>0</v>
      </c>
      <c r="P407">
        <f>SUMPRODUCT((nCUENTA=1)*(nCURSO=A407)*(nASIG=B407)*(nNOTA=5))</f>
        <v>0</v>
      </c>
      <c r="Q407">
        <f>SUMPRODUCT((nCUENTA=1)*(nCURSO=A407)*(nASIG=B407)*(nNOTA=6))</f>
        <v>0</v>
      </c>
      <c r="R407">
        <f>SUMPRODUCT((nCUENTA=1)*(nCURSO=A407)*(nASIG=B407)*(nNOTA=7))</f>
        <v>0</v>
      </c>
      <c r="S407">
        <f>SUMPRODUCT((nCUENTA=1)*(nCURSO=A407)*(nASIG=B407)*(nNOTA=8))</f>
        <v>0</v>
      </c>
      <c r="T407">
        <f>SUMPRODUCT((nCUENTA=1)*(nCURSO=A407)*(nASIG=B407)*(nNOTA=9))</f>
        <v>0</v>
      </c>
      <c r="U407">
        <f>SUMPRODUCT((nCUENTA=1)*(nCURSO=A407)*(nASIG=B407)*(nNOTA=10))</f>
        <v>0</v>
      </c>
    </row>
    <row r="408">
      <c r="A408" t="inlineStr">
        <is>
          <t xml:space="preserve">6EPM</t>
        </is>
      </c>
      <c r="B408" cm="1">
        <f t="array" ref="B408">IFERROR(INDEX(_xlfn._xlws.FILTER(CONFIG_ASIGNATURAS!$B$2:$B$91,(CONFIG_ASIGNATURAS!$G$2:$G$91="Sí")*ISNUMBER(SEARCH("6EPM",CONFIG_ASIGNATURAS!$C$2:$C$91))),25),"")</f>
      </c>
      <c r="C408">
        <f>IF(B408="","",IFERROR(VLOOKUP(B408,CONFIG_ASIGNATURAS!$B$2:$D$91,3,FALSE()),"Asignatura"))</f>
      </c>
      <c r="D408">
        <f>SUMPRODUCT((nCUENTA=1)*(nCURSO=A408)*(nASIG=B408))</f>
        <v>0</v>
      </c>
      <c r="E408" s="10" t="str">
        <f>IFERROR(SUMPRODUCT((nCUENTA=1)*(nCURSO=A408)*(nASIG=B408)*(nNOTA))/D408,"—")</f>
        <v>—</v>
      </c>
      <c r="F408" s="10" t="str" cm="1">
        <f t="array" ref="F408">IFERROR(_xlfn.STDEV.P(_xlfn._xlws.FILTER(nNOTA,(nCUENTA=1)*(nCURSO=A408)*(nASIG=B408))),"—")</f>
        <v>—</v>
      </c>
      <c r="G408" t="str" cm="1">
        <f t="array" ref="G408">IFERROR(_xlfn.MODE.SNGL(_xlfn._xlws.FILTER(nNOTA,(nCUENTA=1)*(nCURSO=A408)*(nASIG=B408))),"—")</f>
        <v>—</v>
      </c>
      <c r="H408" s="11" t="str">
        <f>IFERROR(SUMPRODUCT((nCUENTA=1)*(nCURSO=A408)*(nASIG=B408)*(nAPTO="S"))/D408,"—")</f>
        <v>—</v>
      </c>
      <c r="I408" s="11" t="str">
        <f>IFERROR(SUMPRODUCT((nCUENTA=1)*(nCURSO=A408)*(nASIG=B408)*(nAPTO="N"))/D408,"—")</f>
        <v>—</v>
      </c>
      <c r="J408" t="str" cm="1">
        <f t="array" ref="J408">IFERROR(_xlfn.MODE.SNGL(_xlfn._xlws.FILTER(nNOTA,(nCUENTA=1)*(nCURSO=A408)*(nASIG=B408)*(nAPTO="S"))),"—")</f>
        <v>—</v>
      </c>
      <c r="K408" t="str" cm="1">
        <f t="array" ref="K408">IFERROR(_xlfn.MODE.SNGL(_xlfn._xlws.FILTER(nNOTA,(nCUENTA=1)*(nCURSO=A408)*(nASIG=B408)*(nAPTO="N"))),"—")</f>
        <v>—</v>
      </c>
      <c r="L408">
        <f>SUMPRODUCT((nCUENTA=1)*(nCURSO=A408)*(nASIG=B408)*(nNOTA=1))</f>
        <v>0</v>
      </c>
      <c r="M408">
        <f>SUMPRODUCT((nCUENTA=1)*(nCURSO=A408)*(nASIG=B408)*(nNOTA=2))</f>
        <v>0</v>
      </c>
      <c r="N408">
        <f>SUMPRODUCT((nCUENTA=1)*(nCURSO=A408)*(nASIG=B408)*(nNOTA=3))</f>
        <v>0</v>
      </c>
      <c r="O408">
        <f>SUMPRODUCT((nCUENTA=1)*(nCURSO=A408)*(nASIG=B408)*(nNOTA=4))</f>
        <v>0</v>
      </c>
      <c r="P408">
        <f>SUMPRODUCT((nCUENTA=1)*(nCURSO=A408)*(nASIG=B408)*(nNOTA=5))</f>
        <v>0</v>
      </c>
      <c r="Q408">
        <f>SUMPRODUCT((nCUENTA=1)*(nCURSO=A408)*(nASIG=B408)*(nNOTA=6))</f>
        <v>0</v>
      </c>
      <c r="R408">
        <f>SUMPRODUCT((nCUENTA=1)*(nCURSO=A408)*(nASIG=B408)*(nNOTA=7))</f>
        <v>0</v>
      </c>
      <c r="S408">
        <f>SUMPRODUCT((nCUENTA=1)*(nCURSO=A408)*(nASIG=B408)*(nNOTA=8))</f>
        <v>0</v>
      </c>
      <c r="T408">
        <f>SUMPRODUCT((nCUENTA=1)*(nCURSO=A408)*(nASIG=B408)*(nNOTA=9))</f>
        <v>0</v>
      </c>
      <c r="U408">
        <f>SUMPRODUCT((nCUENTA=1)*(nCURSO=A408)*(nASIG=B408)*(nNOTA=10))</f>
        <v>0</v>
      </c>
    </row>
    <row r="409">
      <c r="A409" t="inlineStr">
        <is>
          <t xml:space="preserve">6EPM</t>
        </is>
      </c>
      <c r="B409" cm="1">
        <f t="array" ref="B409">IFERROR(INDEX(_xlfn._xlws.FILTER(CONFIG_ASIGNATURAS!$B$2:$B$91,(CONFIG_ASIGNATURAS!$G$2:$G$91="Sí")*ISNUMBER(SEARCH("6EPM",CONFIG_ASIGNATURAS!$C$2:$C$91))),26),"")</f>
      </c>
      <c r="C409">
        <f>IF(B409="","",IFERROR(VLOOKUP(B409,CONFIG_ASIGNATURAS!$B$2:$D$91,3,FALSE()),"Asignatura"))</f>
      </c>
      <c r="D409">
        <f>SUMPRODUCT((nCUENTA=1)*(nCURSO=A409)*(nASIG=B409))</f>
        <v>0</v>
      </c>
      <c r="E409" s="10" t="str">
        <f>IFERROR(SUMPRODUCT((nCUENTA=1)*(nCURSO=A409)*(nASIG=B409)*(nNOTA))/D409,"—")</f>
        <v>—</v>
      </c>
      <c r="F409" s="10" t="str" cm="1">
        <f t="array" ref="F409">IFERROR(_xlfn.STDEV.P(_xlfn._xlws.FILTER(nNOTA,(nCUENTA=1)*(nCURSO=A409)*(nASIG=B409))),"—")</f>
        <v>—</v>
      </c>
      <c r="G409" t="str" cm="1">
        <f t="array" ref="G409">IFERROR(_xlfn.MODE.SNGL(_xlfn._xlws.FILTER(nNOTA,(nCUENTA=1)*(nCURSO=A409)*(nASIG=B409))),"—")</f>
        <v>—</v>
      </c>
      <c r="H409" s="11" t="str">
        <f>IFERROR(SUMPRODUCT((nCUENTA=1)*(nCURSO=A409)*(nASIG=B409)*(nAPTO="S"))/D409,"—")</f>
        <v>—</v>
      </c>
      <c r="I409" s="11" t="str">
        <f>IFERROR(SUMPRODUCT((nCUENTA=1)*(nCURSO=A409)*(nASIG=B409)*(nAPTO="N"))/D409,"—")</f>
        <v>—</v>
      </c>
      <c r="J409" t="str" cm="1">
        <f t="array" ref="J409">IFERROR(_xlfn.MODE.SNGL(_xlfn._xlws.FILTER(nNOTA,(nCUENTA=1)*(nCURSO=A409)*(nASIG=B409)*(nAPTO="S"))),"—")</f>
        <v>—</v>
      </c>
      <c r="K409" t="str" cm="1">
        <f t="array" ref="K409">IFERROR(_xlfn.MODE.SNGL(_xlfn._xlws.FILTER(nNOTA,(nCUENTA=1)*(nCURSO=A409)*(nASIG=B409)*(nAPTO="N"))),"—")</f>
        <v>—</v>
      </c>
      <c r="L409">
        <f>SUMPRODUCT((nCUENTA=1)*(nCURSO=A409)*(nASIG=B409)*(nNOTA=1))</f>
        <v>0</v>
      </c>
      <c r="M409">
        <f>SUMPRODUCT((nCUENTA=1)*(nCURSO=A409)*(nASIG=B409)*(nNOTA=2))</f>
        <v>0</v>
      </c>
      <c r="N409">
        <f>SUMPRODUCT((nCUENTA=1)*(nCURSO=A409)*(nASIG=B409)*(nNOTA=3))</f>
        <v>0</v>
      </c>
      <c r="O409">
        <f>SUMPRODUCT((nCUENTA=1)*(nCURSO=A409)*(nASIG=B409)*(nNOTA=4))</f>
        <v>0</v>
      </c>
      <c r="P409">
        <f>SUMPRODUCT((nCUENTA=1)*(nCURSO=A409)*(nASIG=B409)*(nNOTA=5))</f>
        <v>0</v>
      </c>
      <c r="Q409">
        <f>SUMPRODUCT((nCUENTA=1)*(nCURSO=A409)*(nASIG=B409)*(nNOTA=6))</f>
        <v>0</v>
      </c>
      <c r="R409">
        <f>SUMPRODUCT((nCUENTA=1)*(nCURSO=A409)*(nASIG=B409)*(nNOTA=7))</f>
        <v>0</v>
      </c>
      <c r="S409">
        <f>SUMPRODUCT((nCUENTA=1)*(nCURSO=A409)*(nASIG=B409)*(nNOTA=8))</f>
        <v>0</v>
      </c>
      <c r="T409">
        <f>SUMPRODUCT((nCUENTA=1)*(nCURSO=A409)*(nASIG=B409)*(nNOTA=9))</f>
        <v>0</v>
      </c>
      <c r="U409">
        <f>SUMPRODUCT((nCUENTA=1)*(nCURSO=A409)*(nASIG=B409)*(nNOTA=10))</f>
        <v>0</v>
      </c>
    </row>
    <row r="410">
      <c r="A410" t="inlineStr">
        <is>
          <t xml:space="preserve">6EPM</t>
        </is>
      </c>
      <c r="B410" cm="1">
        <f t="array" ref="B410">IFERROR(INDEX(_xlfn._xlws.FILTER(CONFIG_ASIGNATURAS!$B$2:$B$91,(CONFIG_ASIGNATURAS!$G$2:$G$91="Sí")*ISNUMBER(SEARCH("6EPM",CONFIG_ASIGNATURAS!$C$2:$C$91))),27),"")</f>
      </c>
      <c r="C410">
        <f>IF(B410="","",IFERROR(VLOOKUP(B410,CONFIG_ASIGNATURAS!$B$2:$D$91,3,FALSE()),"Asignatura"))</f>
      </c>
      <c r="D410">
        <f>SUMPRODUCT((nCUENTA=1)*(nCURSO=A410)*(nASIG=B410))</f>
        <v>0</v>
      </c>
      <c r="E410" s="10" t="str">
        <f>IFERROR(SUMPRODUCT((nCUENTA=1)*(nCURSO=A410)*(nASIG=B410)*(nNOTA))/D410,"—")</f>
        <v>—</v>
      </c>
      <c r="F410" s="10" t="str" cm="1">
        <f t="array" ref="F410">IFERROR(_xlfn.STDEV.P(_xlfn._xlws.FILTER(nNOTA,(nCUENTA=1)*(nCURSO=A410)*(nASIG=B410))),"—")</f>
        <v>—</v>
      </c>
      <c r="G410" t="str" cm="1">
        <f t="array" ref="G410">IFERROR(_xlfn.MODE.SNGL(_xlfn._xlws.FILTER(nNOTA,(nCUENTA=1)*(nCURSO=A410)*(nASIG=B410))),"—")</f>
        <v>—</v>
      </c>
      <c r="H410" s="11" t="str">
        <f>IFERROR(SUMPRODUCT((nCUENTA=1)*(nCURSO=A410)*(nASIG=B410)*(nAPTO="S"))/D410,"—")</f>
        <v>—</v>
      </c>
      <c r="I410" s="11" t="str">
        <f>IFERROR(SUMPRODUCT((nCUENTA=1)*(nCURSO=A410)*(nASIG=B410)*(nAPTO="N"))/D410,"—")</f>
        <v>—</v>
      </c>
      <c r="J410" t="str" cm="1">
        <f t="array" ref="J410">IFERROR(_xlfn.MODE.SNGL(_xlfn._xlws.FILTER(nNOTA,(nCUENTA=1)*(nCURSO=A410)*(nASIG=B410)*(nAPTO="S"))),"—")</f>
        <v>—</v>
      </c>
      <c r="K410" t="str" cm="1">
        <f t="array" ref="K410">IFERROR(_xlfn.MODE.SNGL(_xlfn._xlws.FILTER(nNOTA,(nCUENTA=1)*(nCURSO=A410)*(nASIG=B410)*(nAPTO="N"))),"—")</f>
        <v>—</v>
      </c>
      <c r="L410">
        <f>SUMPRODUCT((nCUENTA=1)*(nCURSO=A410)*(nASIG=B410)*(nNOTA=1))</f>
        <v>0</v>
      </c>
      <c r="M410">
        <f>SUMPRODUCT((nCUENTA=1)*(nCURSO=A410)*(nASIG=B410)*(nNOTA=2))</f>
        <v>0</v>
      </c>
      <c r="N410">
        <f>SUMPRODUCT((nCUENTA=1)*(nCURSO=A410)*(nASIG=B410)*(nNOTA=3))</f>
        <v>0</v>
      </c>
      <c r="O410">
        <f>SUMPRODUCT((nCUENTA=1)*(nCURSO=A410)*(nASIG=B410)*(nNOTA=4))</f>
        <v>0</v>
      </c>
      <c r="P410">
        <f>SUMPRODUCT((nCUENTA=1)*(nCURSO=A410)*(nASIG=B410)*(nNOTA=5))</f>
        <v>0</v>
      </c>
      <c r="Q410">
        <f>SUMPRODUCT((nCUENTA=1)*(nCURSO=A410)*(nASIG=B410)*(nNOTA=6))</f>
        <v>0</v>
      </c>
      <c r="R410">
        <f>SUMPRODUCT((nCUENTA=1)*(nCURSO=A410)*(nASIG=B410)*(nNOTA=7))</f>
        <v>0</v>
      </c>
      <c r="S410">
        <f>SUMPRODUCT((nCUENTA=1)*(nCURSO=A410)*(nASIG=B410)*(nNOTA=8))</f>
        <v>0</v>
      </c>
      <c r="T410">
        <f>SUMPRODUCT((nCUENTA=1)*(nCURSO=A410)*(nASIG=B410)*(nNOTA=9))</f>
        <v>0</v>
      </c>
      <c r="U410">
        <f>SUMPRODUCT((nCUENTA=1)*(nCURSO=A410)*(nASIG=B410)*(nNOTA=10))</f>
        <v>0</v>
      </c>
    </row>
    <row r="411">
      <c r="A411" t="inlineStr">
        <is>
          <t xml:space="preserve">6EPM</t>
        </is>
      </c>
      <c r="B411" cm="1">
        <f t="array" ref="B411">IFERROR(INDEX(_xlfn._xlws.FILTER(CONFIG_ASIGNATURAS!$B$2:$B$91,(CONFIG_ASIGNATURAS!$G$2:$G$91="Sí")*ISNUMBER(SEARCH("6EPM",CONFIG_ASIGNATURAS!$C$2:$C$91))),28),"")</f>
      </c>
      <c r="C411">
        <f>IF(B411="","",IFERROR(VLOOKUP(B411,CONFIG_ASIGNATURAS!$B$2:$D$91,3,FALSE()),"Asignatura"))</f>
      </c>
      <c r="D411">
        <f>SUMPRODUCT((nCUENTA=1)*(nCURSO=A411)*(nASIG=B411))</f>
        <v>0</v>
      </c>
      <c r="E411" s="10" t="str">
        <f>IFERROR(SUMPRODUCT((nCUENTA=1)*(nCURSO=A411)*(nASIG=B411)*(nNOTA))/D411,"—")</f>
        <v>—</v>
      </c>
      <c r="F411" s="10" t="str" cm="1">
        <f t="array" ref="F411">IFERROR(_xlfn.STDEV.P(_xlfn._xlws.FILTER(nNOTA,(nCUENTA=1)*(nCURSO=A411)*(nASIG=B411))),"—")</f>
        <v>—</v>
      </c>
      <c r="G411" t="str" cm="1">
        <f t="array" ref="G411">IFERROR(_xlfn.MODE.SNGL(_xlfn._xlws.FILTER(nNOTA,(nCUENTA=1)*(nCURSO=A411)*(nASIG=B411))),"—")</f>
        <v>—</v>
      </c>
      <c r="H411" s="11" t="str">
        <f>IFERROR(SUMPRODUCT((nCUENTA=1)*(nCURSO=A411)*(nASIG=B411)*(nAPTO="S"))/D411,"—")</f>
        <v>—</v>
      </c>
      <c r="I411" s="11" t="str">
        <f>IFERROR(SUMPRODUCT((nCUENTA=1)*(nCURSO=A411)*(nASIG=B411)*(nAPTO="N"))/D411,"—")</f>
        <v>—</v>
      </c>
      <c r="J411" t="str" cm="1">
        <f t="array" ref="J411">IFERROR(_xlfn.MODE.SNGL(_xlfn._xlws.FILTER(nNOTA,(nCUENTA=1)*(nCURSO=A411)*(nASIG=B411)*(nAPTO="S"))),"—")</f>
        <v>—</v>
      </c>
      <c r="K411" t="str" cm="1">
        <f t="array" ref="K411">IFERROR(_xlfn.MODE.SNGL(_xlfn._xlws.FILTER(nNOTA,(nCUENTA=1)*(nCURSO=A411)*(nASIG=B411)*(nAPTO="N"))),"—")</f>
        <v>—</v>
      </c>
      <c r="L411">
        <f>SUMPRODUCT((nCUENTA=1)*(nCURSO=A411)*(nASIG=B411)*(nNOTA=1))</f>
        <v>0</v>
      </c>
      <c r="M411">
        <f>SUMPRODUCT((nCUENTA=1)*(nCURSO=A411)*(nASIG=B411)*(nNOTA=2))</f>
        <v>0</v>
      </c>
      <c r="N411">
        <f>SUMPRODUCT((nCUENTA=1)*(nCURSO=A411)*(nASIG=B411)*(nNOTA=3))</f>
        <v>0</v>
      </c>
      <c r="O411">
        <f>SUMPRODUCT((nCUENTA=1)*(nCURSO=A411)*(nASIG=B411)*(nNOTA=4))</f>
        <v>0</v>
      </c>
      <c r="P411">
        <f>SUMPRODUCT((nCUENTA=1)*(nCURSO=A411)*(nASIG=B411)*(nNOTA=5))</f>
        <v>0</v>
      </c>
      <c r="Q411">
        <f>SUMPRODUCT((nCUENTA=1)*(nCURSO=A411)*(nASIG=B411)*(nNOTA=6))</f>
        <v>0</v>
      </c>
      <c r="R411">
        <f>SUMPRODUCT((nCUENTA=1)*(nCURSO=A411)*(nASIG=B411)*(nNOTA=7))</f>
        <v>0</v>
      </c>
      <c r="S411">
        <f>SUMPRODUCT((nCUENTA=1)*(nCURSO=A411)*(nASIG=B411)*(nNOTA=8))</f>
        <v>0</v>
      </c>
      <c r="T411">
        <f>SUMPRODUCT((nCUENTA=1)*(nCURSO=A411)*(nASIG=B411)*(nNOTA=9))</f>
        <v>0</v>
      </c>
      <c r="U411">
        <f>SUMPRODUCT((nCUENTA=1)*(nCURSO=A411)*(nASIG=B411)*(nNOTA=10))</f>
        <v>0</v>
      </c>
    </row>
    <row r="412">
      <c r="A412" t="inlineStr">
        <is>
          <t xml:space="preserve">6EPM</t>
        </is>
      </c>
      <c r="B412" cm="1">
        <f t="array" ref="B412">IFERROR(INDEX(_xlfn._xlws.FILTER(CONFIG_ASIGNATURAS!$B$2:$B$91,(CONFIG_ASIGNATURAS!$G$2:$G$91="Sí")*ISNUMBER(SEARCH("6EPM",CONFIG_ASIGNATURAS!$C$2:$C$91))),29),"")</f>
      </c>
      <c r="C412">
        <f>IF(B412="","",IFERROR(VLOOKUP(B412,CONFIG_ASIGNATURAS!$B$2:$D$91,3,FALSE()),"Asignatura"))</f>
      </c>
      <c r="D412">
        <f>SUMPRODUCT((nCUENTA=1)*(nCURSO=A412)*(nASIG=B412))</f>
        <v>0</v>
      </c>
      <c r="E412" s="10" t="str">
        <f>IFERROR(SUMPRODUCT((nCUENTA=1)*(nCURSO=A412)*(nASIG=B412)*(nNOTA))/D412,"—")</f>
        <v>—</v>
      </c>
      <c r="F412" s="10" t="str" cm="1">
        <f t="array" ref="F412">IFERROR(_xlfn.STDEV.P(_xlfn._xlws.FILTER(nNOTA,(nCUENTA=1)*(nCURSO=A412)*(nASIG=B412))),"—")</f>
        <v>—</v>
      </c>
      <c r="G412" t="str" cm="1">
        <f t="array" ref="G412">IFERROR(_xlfn.MODE.SNGL(_xlfn._xlws.FILTER(nNOTA,(nCUENTA=1)*(nCURSO=A412)*(nASIG=B412))),"—")</f>
        <v>—</v>
      </c>
      <c r="H412" s="11" t="str">
        <f>IFERROR(SUMPRODUCT((nCUENTA=1)*(nCURSO=A412)*(nASIG=B412)*(nAPTO="S"))/D412,"—")</f>
        <v>—</v>
      </c>
      <c r="I412" s="11" t="str">
        <f>IFERROR(SUMPRODUCT((nCUENTA=1)*(nCURSO=A412)*(nASIG=B412)*(nAPTO="N"))/D412,"—")</f>
        <v>—</v>
      </c>
      <c r="J412" t="str" cm="1">
        <f t="array" ref="J412">IFERROR(_xlfn.MODE.SNGL(_xlfn._xlws.FILTER(nNOTA,(nCUENTA=1)*(nCURSO=A412)*(nASIG=B412)*(nAPTO="S"))),"—")</f>
        <v>—</v>
      </c>
      <c r="K412" t="str" cm="1">
        <f t="array" ref="K412">IFERROR(_xlfn.MODE.SNGL(_xlfn._xlws.FILTER(nNOTA,(nCUENTA=1)*(nCURSO=A412)*(nASIG=B412)*(nAPTO="N"))),"—")</f>
        <v>—</v>
      </c>
      <c r="L412">
        <f>SUMPRODUCT((nCUENTA=1)*(nCURSO=A412)*(nASIG=B412)*(nNOTA=1))</f>
        <v>0</v>
      </c>
      <c r="M412">
        <f>SUMPRODUCT((nCUENTA=1)*(nCURSO=A412)*(nASIG=B412)*(nNOTA=2))</f>
        <v>0</v>
      </c>
      <c r="N412">
        <f>SUMPRODUCT((nCUENTA=1)*(nCURSO=A412)*(nASIG=B412)*(nNOTA=3))</f>
        <v>0</v>
      </c>
      <c r="O412">
        <f>SUMPRODUCT((nCUENTA=1)*(nCURSO=A412)*(nASIG=B412)*(nNOTA=4))</f>
        <v>0</v>
      </c>
      <c r="P412">
        <f>SUMPRODUCT((nCUENTA=1)*(nCURSO=A412)*(nASIG=B412)*(nNOTA=5))</f>
        <v>0</v>
      </c>
      <c r="Q412">
        <f>SUMPRODUCT((nCUENTA=1)*(nCURSO=A412)*(nASIG=B412)*(nNOTA=6))</f>
        <v>0</v>
      </c>
      <c r="R412">
        <f>SUMPRODUCT((nCUENTA=1)*(nCURSO=A412)*(nASIG=B412)*(nNOTA=7))</f>
        <v>0</v>
      </c>
      <c r="S412">
        <f>SUMPRODUCT((nCUENTA=1)*(nCURSO=A412)*(nASIG=B412)*(nNOTA=8))</f>
        <v>0</v>
      </c>
      <c r="T412">
        <f>SUMPRODUCT((nCUENTA=1)*(nCURSO=A412)*(nASIG=B412)*(nNOTA=9))</f>
        <v>0</v>
      </c>
      <c r="U412">
        <f>SUMPRODUCT((nCUENTA=1)*(nCURSO=A412)*(nASIG=B412)*(nNOTA=10))</f>
        <v>0</v>
      </c>
    </row>
    <row r="413">
      <c r="A413" t="inlineStr">
        <is>
          <t xml:space="preserve">6EPM</t>
        </is>
      </c>
      <c r="B413" cm="1">
        <f t="array" ref="B413">IFERROR(INDEX(_xlfn._xlws.FILTER(CONFIG_ASIGNATURAS!$B$2:$B$91,(CONFIG_ASIGNATURAS!$G$2:$G$91="Sí")*ISNUMBER(SEARCH("6EPM",CONFIG_ASIGNATURAS!$C$2:$C$91))),30),"")</f>
      </c>
      <c r="C413">
        <f>IF(B413="","",IFERROR(VLOOKUP(B413,CONFIG_ASIGNATURAS!$B$2:$D$91,3,FALSE()),"Asignatura"))</f>
      </c>
      <c r="D413">
        <f>SUMPRODUCT((nCUENTA=1)*(nCURSO=A413)*(nASIG=B413))</f>
        <v>0</v>
      </c>
      <c r="E413" s="10" t="str">
        <f>IFERROR(SUMPRODUCT((nCUENTA=1)*(nCURSO=A413)*(nASIG=B413)*(nNOTA))/D413,"—")</f>
        <v>—</v>
      </c>
      <c r="F413" s="10" t="str" cm="1">
        <f t="array" ref="F413">IFERROR(_xlfn.STDEV.P(_xlfn._xlws.FILTER(nNOTA,(nCUENTA=1)*(nCURSO=A413)*(nASIG=B413))),"—")</f>
        <v>—</v>
      </c>
      <c r="G413" t="str" cm="1">
        <f t="array" ref="G413">IFERROR(_xlfn.MODE.SNGL(_xlfn._xlws.FILTER(nNOTA,(nCUENTA=1)*(nCURSO=A413)*(nASIG=B413))),"—")</f>
        <v>—</v>
      </c>
      <c r="H413" s="11" t="str">
        <f>IFERROR(SUMPRODUCT((nCUENTA=1)*(nCURSO=A413)*(nASIG=B413)*(nAPTO="S"))/D413,"—")</f>
        <v>—</v>
      </c>
      <c r="I413" s="11" t="str">
        <f>IFERROR(SUMPRODUCT((nCUENTA=1)*(nCURSO=A413)*(nASIG=B413)*(nAPTO="N"))/D413,"—")</f>
        <v>—</v>
      </c>
      <c r="J413" t="str" cm="1">
        <f t="array" ref="J413">IFERROR(_xlfn.MODE.SNGL(_xlfn._xlws.FILTER(nNOTA,(nCUENTA=1)*(nCURSO=A413)*(nASIG=B413)*(nAPTO="S"))),"—")</f>
        <v>—</v>
      </c>
      <c r="K413" t="str" cm="1">
        <f t="array" ref="K413">IFERROR(_xlfn.MODE.SNGL(_xlfn._xlws.FILTER(nNOTA,(nCUENTA=1)*(nCURSO=A413)*(nASIG=B413)*(nAPTO="N"))),"—")</f>
        <v>—</v>
      </c>
      <c r="L413">
        <f>SUMPRODUCT((nCUENTA=1)*(nCURSO=A413)*(nASIG=B413)*(nNOTA=1))</f>
        <v>0</v>
      </c>
      <c r="M413">
        <f>SUMPRODUCT((nCUENTA=1)*(nCURSO=A413)*(nASIG=B413)*(nNOTA=2))</f>
        <v>0</v>
      </c>
      <c r="N413">
        <f>SUMPRODUCT((nCUENTA=1)*(nCURSO=A413)*(nASIG=B413)*(nNOTA=3))</f>
        <v>0</v>
      </c>
      <c r="O413">
        <f>SUMPRODUCT((nCUENTA=1)*(nCURSO=A413)*(nASIG=B413)*(nNOTA=4))</f>
        <v>0</v>
      </c>
      <c r="P413">
        <f>SUMPRODUCT((nCUENTA=1)*(nCURSO=A413)*(nASIG=B413)*(nNOTA=5))</f>
        <v>0</v>
      </c>
      <c r="Q413">
        <f>SUMPRODUCT((nCUENTA=1)*(nCURSO=A413)*(nASIG=B413)*(nNOTA=6))</f>
        <v>0</v>
      </c>
      <c r="R413">
        <f>SUMPRODUCT((nCUENTA=1)*(nCURSO=A413)*(nASIG=B413)*(nNOTA=7))</f>
        <v>0</v>
      </c>
      <c r="S413">
        <f>SUMPRODUCT((nCUENTA=1)*(nCURSO=A413)*(nASIG=B413)*(nNOTA=8))</f>
        <v>0</v>
      </c>
      <c r="T413">
        <f>SUMPRODUCT((nCUENTA=1)*(nCURSO=A413)*(nASIG=B413)*(nNOTA=9))</f>
        <v>0</v>
      </c>
      <c r="U413">
        <f>SUMPRODUCT((nCUENTA=1)*(nCURSO=A413)*(nASIG=B413)*(nNOTA=10))</f>
        <v>0</v>
      </c>
    </row>
    <row r="414">
      <c r="A414" t="inlineStr">
        <is>
          <t xml:space="preserve">6EPM</t>
        </is>
      </c>
      <c r="B414" cm="1">
        <f t="array" ref="B414">IFERROR(INDEX(_xlfn._xlws.FILTER(CONFIG_ASIGNATURAS!$B$2:$B$91,(CONFIG_ASIGNATURAS!$G$2:$G$91="Sí")*ISNUMBER(SEARCH("6EPM",CONFIG_ASIGNATURAS!$C$2:$C$91))),31),"")</f>
      </c>
      <c r="C414">
        <f>IF(B414="","",IFERROR(VLOOKUP(B414,CONFIG_ASIGNATURAS!$B$2:$D$91,3,FALSE()),"Asignatura"))</f>
      </c>
      <c r="D414">
        <f>SUMPRODUCT((nCUENTA=1)*(nCURSO=A414)*(nASIG=B414))</f>
        <v>0</v>
      </c>
      <c r="E414" s="10" t="str">
        <f>IFERROR(SUMPRODUCT((nCUENTA=1)*(nCURSO=A414)*(nASIG=B414)*(nNOTA))/D414,"—")</f>
        <v>—</v>
      </c>
      <c r="F414" s="10" t="str" cm="1">
        <f t="array" ref="F414">IFERROR(_xlfn.STDEV.P(_xlfn._xlws.FILTER(nNOTA,(nCUENTA=1)*(nCURSO=A414)*(nASIG=B414))),"—")</f>
        <v>—</v>
      </c>
      <c r="G414" t="str" cm="1">
        <f t="array" ref="G414">IFERROR(_xlfn.MODE.SNGL(_xlfn._xlws.FILTER(nNOTA,(nCUENTA=1)*(nCURSO=A414)*(nASIG=B414))),"—")</f>
        <v>—</v>
      </c>
      <c r="H414" s="11" t="str">
        <f>IFERROR(SUMPRODUCT((nCUENTA=1)*(nCURSO=A414)*(nASIG=B414)*(nAPTO="S"))/D414,"—")</f>
        <v>—</v>
      </c>
      <c r="I414" s="11" t="str">
        <f>IFERROR(SUMPRODUCT((nCUENTA=1)*(nCURSO=A414)*(nASIG=B414)*(nAPTO="N"))/D414,"—")</f>
        <v>—</v>
      </c>
      <c r="J414" t="str" cm="1">
        <f t="array" ref="J414">IFERROR(_xlfn.MODE.SNGL(_xlfn._xlws.FILTER(nNOTA,(nCUENTA=1)*(nCURSO=A414)*(nASIG=B414)*(nAPTO="S"))),"—")</f>
        <v>—</v>
      </c>
      <c r="K414" t="str" cm="1">
        <f t="array" ref="K414">IFERROR(_xlfn.MODE.SNGL(_xlfn._xlws.FILTER(nNOTA,(nCUENTA=1)*(nCURSO=A414)*(nASIG=B414)*(nAPTO="N"))),"—")</f>
        <v>—</v>
      </c>
      <c r="L414">
        <f>SUMPRODUCT((nCUENTA=1)*(nCURSO=A414)*(nASIG=B414)*(nNOTA=1))</f>
        <v>0</v>
      </c>
      <c r="M414">
        <f>SUMPRODUCT((nCUENTA=1)*(nCURSO=A414)*(nASIG=B414)*(nNOTA=2))</f>
        <v>0</v>
      </c>
      <c r="N414">
        <f>SUMPRODUCT((nCUENTA=1)*(nCURSO=A414)*(nASIG=B414)*(nNOTA=3))</f>
        <v>0</v>
      </c>
      <c r="O414">
        <f>SUMPRODUCT((nCUENTA=1)*(nCURSO=A414)*(nASIG=B414)*(nNOTA=4))</f>
        <v>0</v>
      </c>
      <c r="P414">
        <f>SUMPRODUCT((nCUENTA=1)*(nCURSO=A414)*(nASIG=B414)*(nNOTA=5))</f>
        <v>0</v>
      </c>
      <c r="Q414">
        <f>SUMPRODUCT((nCUENTA=1)*(nCURSO=A414)*(nASIG=B414)*(nNOTA=6))</f>
        <v>0</v>
      </c>
      <c r="R414">
        <f>SUMPRODUCT((nCUENTA=1)*(nCURSO=A414)*(nASIG=B414)*(nNOTA=7))</f>
        <v>0</v>
      </c>
      <c r="S414">
        <f>SUMPRODUCT((nCUENTA=1)*(nCURSO=A414)*(nASIG=B414)*(nNOTA=8))</f>
        <v>0</v>
      </c>
      <c r="T414">
        <f>SUMPRODUCT((nCUENTA=1)*(nCURSO=A414)*(nASIG=B414)*(nNOTA=9))</f>
        <v>0</v>
      </c>
      <c r="U414">
        <f>SUMPRODUCT((nCUENTA=1)*(nCURSO=A414)*(nASIG=B414)*(nNOTA=10))</f>
        <v>0</v>
      </c>
    </row>
    <row r="415">
      <c r="A415" t="inlineStr">
        <is>
          <t xml:space="preserve">6EPM</t>
        </is>
      </c>
      <c r="B415" cm="1">
        <f t="array" ref="B415">IFERROR(INDEX(_xlfn._xlws.FILTER(CONFIG_ASIGNATURAS!$B$2:$B$91,(CONFIG_ASIGNATURAS!$G$2:$G$91="Sí")*ISNUMBER(SEARCH("6EPM",CONFIG_ASIGNATURAS!$C$2:$C$91))),32),"")</f>
      </c>
      <c r="C415">
        <f>IF(B415="","",IFERROR(VLOOKUP(B415,CONFIG_ASIGNATURAS!$B$2:$D$91,3,FALSE()),"Asignatura"))</f>
      </c>
      <c r="D415">
        <f>SUMPRODUCT((nCUENTA=1)*(nCURSO=A415)*(nASIG=B415))</f>
        <v>0</v>
      </c>
      <c r="E415" s="10" t="str">
        <f>IFERROR(SUMPRODUCT((nCUENTA=1)*(nCURSO=A415)*(nASIG=B415)*(nNOTA))/D415,"—")</f>
        <v>—</v>
      </c>
      <c r="F415" s="10" t="str" cm="1">
        <f t="array" ref="F415">IFERROR(_xlfn.STDEV.P(_xlfn._xlws.FILTER(nNOTA,(nCUENTA=1)*(nCURSO=A415)*(nASIG=B415))),"—")</f>
        <v>—</v>
      </c>
      <c r="G415" t="str" cm="1">
        <f t="array" ref="G415">IFERROR(_xlfn.MODE.SNGL(_xlfn._xlws.FILTER(nNOTA,(nCUENTA=1)*(nCURSO=A415)*(nASIG=B415))),"—")</f>
        <v>—</v>
      </c>
      <c r="H415" s="11" t="str">
        <f>IFERROR(SUMPRODUCT((nCUENTA=1)*(nCURSO=A415)*(nASIG=B415)*(nAPTO="S"))/D415,"—")</f>
        <v>—</v>
      </c>
      <c r="I415" s="11" t="str">
        <f>IFERROR(SUMPRODUCT((nCUENTA=1)*(nCURSO=A415)*(nASIG=B415)*(nAPTO="N"))/D415,"—")</f>
        <v>—</v>
      </c>
      <c r="J415" t="str" cm="1">
        <f t="array" ref="J415">IFERROR(_xlfn.MODE.SNGL(_xlfn._xlws.FILTER(nNOTA,(nCUENTA=1)*(nCURSO=A415)*(nASIG=B415)*(nAPTO="S"))),"—")</f>
        <v>—</v>
      </c>
      <c r="K415" t="str" cm="1">
        <f t="array" ref="K415">IFERROR(_xlfn.MODE.SNGL(_xlfn._xlws.FILTER(nNOTA,(nCUENTA=1)*(nCURSO=A415)*(nASIG=B415)*(nAPTO="N"))),"—")</f>
        <v>—</v>
      </c>
      <c r="L415">
        <f>SUMPRODUCT((nCUENTA=1)*(nCURSO=A415)*(nASIG=B415)*(nNOTA=1))</f>
        <v>0</v>
      </c>
      <c r="M415">
        <f>SUMPRODUCT((nCUENTA=1)*(nCURSO=A415)*(nASIG=B415)*(nNOTA=2))</f>
        <v>0</v>
      </c>
      <c r="N415">
        <f>SUMPRODUCT((nCUENTA=1)*(nCURSO=A415)*(nASIG=B415)*(nNOTA=3))</f>
        <v>0</v>
      </c>
      <c r="O415">
        <f>SUMPRODUCT((nCUENTA=1)*(nCURSO=A415)*(nASIG=B415)*(nNOTA=4))</f>
        <v>0</v>
      </c>
      <c r="P415">
        <f>SUMPRODUCT((nCUENTA=1)*(nCURSO=A415)*(nASIG=B415)*(nNOTA=5))</f>
        <v>0</v>
      </c>
      <c r="Q415">
        <f>SUMPRODUCT((nCUENTA=1)*(nCURSO=A415)*(nASIG=B415)*(nNOTA=6))</f>
        <v>0</v>
      </c>
      <c r="R415">
        <f>SUMPRODUCT((nCUENTA=1)*(nCURSO=A415)*(nASIG=B415)*(nNOTA=7))</f>
        <v>0</v>
      </c>
      <c r="S415">
        <f>SUMPRODUCT((nCUENTA=1)*(nCURSO=A415)*(nASIG=B415)*(nNOTA=8))</f>
        <v>0</v>
      </c>
      <c r="T415">
        <f>SUMPRODUCT((nCUENTA=1)*(nCURSO=A415)*(nASIG=B415)*(nNOTA=9))</f>
        <v>0</v>
      </c>
      <c r="U415">
        <f>SUMPRODUCT((nCUENTA=1)*(nCURSO=A415)*(nASIG=B415)*(nNOTA=10))</f>
        <v>0</v>
      </c>
    </row>
    <row r="416">
      <c r="A416" t="inlineStr">
        <is>
          <t xml:space="preserve">6EPM</t>
        </is>
      </c>
      <c r="B416" cm="1">
        <f t="array" ref="B416">IFERROR(INDEX(_xlfn._xlws.FILTER(CONFIG_ASIGNATURAS!$B$2:$B$91,(CONFIG_ASIGNATURAS!$G$2:$G$91="Sí")*ISNUMBER(SEARCH("6EPM",CONFIG_ASIGNATURAS!$C$2:$C$91))),33),"")</f>
      </c>
      <c r="C416">
        <f>IF(B416="","",IFERROR(VLOOKUP(B416,CONFIG_ASIGNATURAS!$B$2:$D$91,3,FALSE()),"Asignatura"))</f>
      </c>
      <c r="D416">
        <f>SUMPRODUCT((nCUENTA=1)*(nCURSO=A416)*(nASIG=B416))</f>
        <v>0</v>
      </c>
      <c r="E416" s="10" t="str">
        <f>IFERROR(SUMPRODUCT((nCUENTA=1)*(nCURSO=A416)*(nASIG=B416)*(nNOTA))/D416,"—")</f>
        <v>—</v>
      </c>
      <c r="F416" s="10" t="str" cm="1">
        <f t="array" ref="F416">IFERROR(_xlfn.STDEV.P(_xlfn._xlws.FILTER(nNOTA,(nCUENTA=1)*(nCURSO=A416)*(nASIG=B416))),"—")</f>
        <v>—</v>
      </c>
      <c r="G416" t="str" cm="1">
        <f t="array" ref="G416">IFERROR(_xlfn.MODE.SNGL(_xlfn._xlws.FILTER(nNOTA,(nCUENTA=1)*(nCURSO=A416)*(nASIG=B416))),"—")</f>
        <v>—</v>
      </c>
      <c r="H416" s="11" t="str">
        <f>IFERROR(SUMPRODUCT((nCUENTA=1)*(nCURSO=A416)*(nASIG=B416)*(nAPTO="S"))/D416,"—")</f>
        <v>—</v>
      </c>
      <c r="I416" s="11" t="str">
        <f>IFERROR(SUMPRODUCT((nCUENTA=1)*(nCURSO=A416)*(nASIG=B416)*(nAPTO="N"))/D416,"—")</f>
        <v>—</v>
      </c>
      <c r="J416" t="str" cm="1">
        <f t="array" ref="J416">IFERROR(_xlfn.MODE.SNGL(_xlfn._xlws.FILTER(nNOTA,(nCUENTA=1)*(nCURSO=A416)*(nASIG=B416)*(nAPTO="S"))),"—")</f>
        <v>—</v>
      </c>
      <c r="K416" t="str" cm="1">
        <f t="array" ref="K416">IFERROR(_xlfn.MODE.SNGL(_xlfn._xlws.FILTER(nNOTA,(nCUENTA=1)*(nCURSO=A416)*(nASIG=B416)*(nAPTO="N"))),"—")</f>
        <v>—</v>
      </c>
      <c r="L416">
        <f>SUMPRODUCT((nCUENTA=1)*(nCURSO=A416)*(nASIG=B416)*(nNOTA=1))</f>
        <v>0</v>
      </c>
      <c r="M416">
        <f>SUMPRODUCT((nCUENTA=1)*(nCURSO=A416)*(nASIG=B416)*(nNOTA=2))</f>
        <v>0</v>
      </c>
      <c r="N416">
        <f>SUMPRODUCT((nCUENTA=1)*(nCURSO=A416)*(nASIG=B416)*(nNOTA=3))</f>
        <v>0</v>
      </c>
      <c r="O416">
        <f>SUMPRODUCT((nCUENTA=1)*(nCURSO=A416)*(nASIG=B416)*(nNOTA=4))</f>
        <v>0</v>
      </c>
      <c r="P416">
        <f>SUMPRODUCT((nCUENTA=1)*(nCURSO=A416)*(nASIG=B416)*(nNOTA=5))</f>
        <v>0</v>
      </c>
      <c r="Q416">
        <f>SUMPRODUCT((nCUENTA=1)*(nCURSO=A416)*(nASIG=B416)*(nNOTA=6))</f>
        <v>0</v>
      </c>
      <c r="R416">
        <f>SUMPRODUCT((nCUENTA=1)*(nCURSO=A416)*(nASIG=B416)*(nNOTA=7))</f>
        <v>0</v>
      </c>
      <c r="S416">
        <f>SUMPRODUCT((nCUENTA=1)*(nCURSO=A416)*(nASIG=B416)*(nNOTA=8))</f>
        <v>0</v>
      </c>
      <c r="T416">
        <f>SUMPRODUCT((nCUENTA=1)*(nCURSO=A416)*(nASIG=B416)*(nNOTA=9))</f>
        <v>0</v>
      </c>
      <c r="U416">
        <f>SUMPRODUCT((nCUENTA=1)*(nCURSO=A416)*(nASIG=B416)*(nNOTA=10))</f>
        <v>0</v>
      </c>
    </row>
    <row r="417">
      <c r="A417" t="inlineStr">
        <is>
          <t xml:space="preserve">6EPM</t>
        </is>
      </c>
      <c r="B417" cm="1">
        <f t="array" ref="B417">IFERROR(INDEX(_xlfn._xlws.FILTER(CONFIG_ASIGNATURAS!$B$2:$B$91,(CONFIG_ASIGNATURAS!$G$2:$G$91="Sí")*ISNUMBER(SEARCH("6EPM",CONFIG_ASIGNATURAS!$C$2:$C$91))),34),"")</f>
      </c>
      <c r="C417">
        <f>IF(B417="","",IFERROR(VLOOKUP(B417,CONFIG_ASIGNATURAS!$B$2:$D$91,3,FALSE()),"Asignatura"))</f>
      </c>
      <c r="D417">
        <f>SUMPRODUCT((nCUENTA=1)*(nCURSO=A417)*(nASIG=B417))</f>
        <v>0</v>
      </c>
      <c r="E417" s="10" t="str">
        <f>IFERROR(SUMPRODUCT((nCUENTA=1)*(nCURSO=A417)*(nASIG=B417)*(nNOTA))/D417,"—")</f>
        <v>—</v>
      </c>
      <c r="F417" s="10" t="str" cm="1">
        <f t="array" ref="F417">IFERROR(_xlfn.STDEV.P(_xlfn._xlws.FILTER(nNOTA,(nCUENTA=1)*(nCURSO=A417)*(nASIG=B417))),"—")</f>
        <v>—</v>
      </c>
      <c r="G417" t="str" cm="1">
        <f t="array" ref="G417">IFERROR(_xlfn.MODE.SNGL(_xlfn._xlws.FILTER(nNOTA,(nCUENTA=1)*(nCURSO=A417)*(nASIG=B417))),"—")</f>
        <v>—</v>
      </c>
      <c r="H417" s="11" t="str">
        <f>IFERROR(SUMPRODUCT((nCUENTA=1)*(nCURSO=A417)*(nASIG=B417)*(nAPTO="S"))/D417,"—")</f>
        <v>—</v>
      </c>
      <c r="I417" s="11" t="str">
        <f>IFERROR(SUMPRODUCT((nCUENTA=1)*(nCURSO=A417)*(nASIG=B417)*(nAPTO="N"))/D417,"—")</f>
        <v>—</v>
      </c>
      <c r="J417" t="str" cm="1">
        <f t="array" ref="J417">IFERROR(_xlfn.MODE.SNGL(_xlfn._xlws.FILTER(nNOTA,(nCUENTA=1)*(nCURSO=A417)*(nASIG=B417)*(nAPTO="S"))),"—")</f>
        <v>—</v>
      </c>
      <c r="K417" t="str" cm="1">
        <f t="array" ref="K417">IFERROR(_xlfn.MODE.SNGL(_xlfn._xlws.FILTER(nNOTA,(nCUENTA=1)*(nCURSO=A417)*(nASIG=B417)*(nAPTO="N"))),"—")</f>
        <v>—</v>
      </c>
      <c r="L417">
        <f>SUMPRODUCT((nCUENTA=1)*(nCURSO=A417)*(nASIG=B417)*(nNOTA=1))</f>
        <v>0</v>
      </c>
      <c r="M417">
        <f>SUMPRODUCT((nCUENTA=1)*(nCURSO=A417)*(nASIG=B417)*(nNOTA=2))</f>
        <v>0</v>
      </c>
      <c r="N417">
        <f>SUMPRODUCT((nCUENTA=1)*(nCURSO=A417)*(nASIG=B417)*(nNOTA=3))</f>
        <v>0</v>
      </c>
      <c r="O417">
        <f>SUMPRODUCT((nCUENTA=1)*(nCURSO=A417)*(nASIG=B417)*(nNOTA=4))</f>
        <v>0</v>
      </c>
      <c r="P417">
        <f>SUMPRODUCT((nCUENTA=1)*(nCURSO=A417)*(nASIG=B417)*(nNOTA=5))</f>
        <v>0</v>
      </c>
      <c r="Q417">
        <f>SUMPRODUCT((nCUENTA=1)*(nCURSO=A417)*(nASIG=B417)*(nNOTA=6))</f>
        <v>0</v>
      </c>
      <c r="R417">
        <f>SUMPRODUCT((nCUENTA=1)*(nCURSO=A417)*(nASIG=B417)*(nNOTA=7))</f>
        <v>0</v>
      </c>
      <c r="S417">
        <f>SUMPRODUCT((nCUENTA=1)*(nCURSO=A417)*(nASIG=B417)*(nNOTA=8))</f>
        <v>0</v>
      </c>
      <c r="T417">
        <f>SUMPRODUCT((nCUENTA=1)*(nCURSO=A417)*(nASIG=B417)*(nNOTA=9))</f>
        <v>0</v>
      </c>
      <c r="U417">
        <f>SUMPRODUCT((nCUENTA=1)*(nCURSO=A417)*(nASIG=B417)*(nNOTA=10))</f>
        <v>0</v>
      </c>
    </row>
    <row r="418">
      <c r="A418" t="inlineStr">
        <is>
          <t xml:space="preserve">6EPM</t>
        </is>
      </c>
      <c r="B418" cm="1">
        <f t="array" ref="B418">IFERROR(INDEX(_xlfn._xlws.FILTER(CONFIG_ASIGNATURAS!$B$2:$B$91,(CONFIG_ASIGNATURAS!$G$2:$G$91="Sí")*ISNUMBER(SEARCH("6EPM",CONFIG_ASIGNATURAS!$C$2:$C$91))),35),"")</f>
      </c>
      <c r="C418">
        <f>IF(B418="","",IFERROR(VLOOKUP(B418,CONFIG_ASIGNATURAS!$B$2:$D$91,3,FALSE()),"Asignatura"))</f>
      </c>
      <c r="D418">
        <f>SUMPRODUCT((nCUENTA=1)*(nCURSO=A418)*(nASIG=B418))</f>
        <v>0</v>
      </c>
      <c r="E418" s="10" t="str">
        <f>IFERROR(SUMPRODUCT((nCUENTA=1)*(nCURSO=A418)*(nASIG=B418)*(nNOTA))/D418,"—")</f>
        <v>—</v>
      </c>
      <c r="F418" s="10" t="str" cm="1">
        <f t="array" ref="F418">IFERROR(_xlfn.STDEV.P(_xlfn._xlws.FILTER(nNOTA,(nCUENTA=1)*(nCURSO=A418)*(nASIG=B418))),"—")</f>
        <v>—</v>
      </c>
      <c r="G418" t="str" cm="1">
        <f t="array" ref="G418">IFERROR(_xlfn.MODE.SNGL(_xlfn._xlws.FILTER(nNOTA,(nCUENTA=1)*(nCURSO=A418)*(nASIG=B418))),"—")</f>
        <v>—</v>
      </c>
      <c r="H418" s="11" t="str">
        <f>IFERROR(SUMPRODUCT((nCUENTA=1)*(nCURSO=A418)*(nASIG=B418)*(nAPTO="S"))/D418,"—")</f>
        <v>—</v>
      </c>
      <c r="I418" s="11" t="str">
        <f>IFERROR(SUMPRODUCT((nCUENTA=1)*(nCURSO=A418)*(nASIG=B418)*(nAPTO="N"))/D418,"—")</f>
        <v>—</v>
      </c>
      <c r="J418" t="str" cm="1">
        <f t="array" ref="J418">IFERROR(_xlfn.MODE.SNGL(_xlfn._xlws.FILTER(nNOTA,(nCUENTA=1)*(nCURSO=A418)*(nASIG=B418)*(nAPTO="S"))),"—")</f>
        <v>—</v>
      </c>
      <c r="K418" t="str" cm="1">
        <f t="array" ref="K418">IFERROR(_xlfn.MODE.SNGL(_xlfn._xlws.FILTER(nNOTA,(nCUENTA=1)*(nCURSO=A418)*(nASIG=B418)*(nAPTO="N"))),"—")</f>
        <v>—</v>
      </c>
      <c r="L418">
        <f>SUMPRODUCT((nCUENTA=1)*(nCURSO=A418)*(nASIG=B418)*(nNOTA=1))</f>
        <v>0</v>
      </c>
      <c r="M418">
        <f>SUMPRODUCT((nCUENTA=1)*(nCURSO=A418)*(nASIG=B418)*(nNOTA=2))</f>
        <v>0</v>
      </c>
      <c r="N418">
        <f>SUMPRODUCT((nCUENTA=1)*(nCURSO=A418)*(nASIG=B418)*(nNOTA=3))</f>
        <v>0</v>
      </c>
      <c r="O418">
        <f>SUMPRODUCT((nCUENTA=1)*(nCURSO=A418)*(nASIG=B418)*(nNOTA=4))</f>
        <v>0</v>
      </c>
      <c r="P418">
        <f>SUMPRODUCT((nCUENTA=1)*(nCURSO=A418)*(nASIG=B418)*(nNOTA=5))</f>
        <v>0</v>
      </c>
      <c r="Q418">
        <f>SUMPRODUCT((nCUENTA=1)*(nCURSO=A418)*(nASIG=B418)*(nNOTA=6))</f>
        <v>0</v>
      </c>
      <c r="R418">
        <f>SUMPRODUCT((nCUENTA=1)*(nCURSO=A418)*(nASIG=B418)*(nNOTA=7))</f>
        <v>0</v>
      </c>
      <c r="S418">
        <f>SUMPRODUCT((nCUENTA=1)*(nCURSO=A418)*(nASIG=B418)*(nNOTA=8))</f>
        <v>0</v>
      </c>
      <c r="T418">
        <f>SUMPRODUCT((nCUENTA=1)*(nCURSO=A418)*(nASIG=B418)*(nNOTA=9))</f>
        <v>0</v>
      </c>
      <c r="U418">
        <f>SUMPRODUCT((nCUENTA=1)*(nCURSO=A418)*(nASIG=B418)*(nNOTA=10))</f>
        <v>0</v>
      </c>
    </row>
    <row r="419">
      <c r="A419" t="inlineStr">
        <is>
          <t xml:space="preserve">6EPM</t>
        </is>
      </c>
      <c r="B419" cm="1">
        <f t="array" ref="B419">IFERROR(INDEX(_xlfn._xlws.FILTER(CONFIG_ASIGNATURAS!$B$2:$B$91,(CONFIG_ASIGNATURAS!$G$2:$G$91="Sí")*ISNUMBER(SEARCH("6EPM",CONFIG_ASIGNATURAS!$C$2:$C$91))),36),"")</f>
      </c>
      <c r="C419">
        <f>IF(B419="","",IFERROR(VLOOKUP(B419,CONFIG_ASIGNATURAS!$B$2:$D$91,3,FALSE()),"Asignatura"))</f>
      </c>
      <c r="D419">
        <f>SUMPRODUCT((nCUENTA=1)*(nCURSO=A419)*(nASIG=B419))</f>
        <v>0</v>
      </c>
      <c r="E419" s="10" t="str">
        <f>IFERROR(SUMPRODUCT((nCUENTA=1)*(nCURSO=A419)*(nASIG=B419)*(nNOTA))/D419,"—")</f>
        <v>—</v>
      </c>
      <c r="F419" s="10" t="str" cm="1">
        <f t="array" ref="F419">IFERROR(_xlfn.STDEV.P(_xlfn._xlws.FILTER(nNOTA,(nCUENTA=1)*(nCURSO=A419)*(nASIG=B419))),"—")</f>
        <v>—</v>
      </c>
      <c r="G419" t="str" cm="1">
        <f t="array" ref="G419">IFERROR(_xlfn.MODE.SNGL(_xlfn._xlws.FILTER(nNOTA,(nCUENTA=1)*(nCURSO=A419)*(nASIG=B419))),"—")</f>
        <v>—</v>
      </c>
      <c r="H419" s="11" t="str">
        <f>IFERROR(SUMPRODUCT((nCUENTA=1)*(nCURSO=A419)*(nASIG=B419)*(nAPTO="S"))/D419,"—")</f>
        <v>—</v>
      </c>
      <c r="I419" s="11" t="str">
        <f>IFERROR(SUMPRODUCT((nCUENTA=1)*(nCURSO=A419)*(nASIG=B419)*(nAPTO="N"))/D419,"—")</f>
        <v>—</v>
      </c>
      <c r="J419" t="str" cm="1">
        <f t="array" ref="J419">IFERROR(_xlfn.MODE.SNGL(_xlfn._xlws.FILTER(nNOTA,(nCUENTA=1)*(nCURSO=A419)*(nASIG=B419)*(nAPTO="S"))),"—")</f>
        <v>—</v>
      </c>
      <c r="K419" t="str" cm="1">
        <f t="array" ref="K419">IFERROR(_xlfn.MODE.SNGL(_xlfn._xlws.FILTER(nNOTA,(nCUENTA=1)*(nCURSO=A419)*(nASIG=B419)*(nAPTO="N"))),"—")</f>
        <v>—</v>
      </c>
      <c r="L419">
        <f>SUMPRODUCT((nCUENTA=1)*(nCURSO=A419)*(nASIG=B419)*(nNOTA=1))</f>
        <v>0</v>
      </c>
      <c r="M419">
        <f>SUMPRODUCT((nCUENTA=1)*(nCURSO=A419)*(nASIG=B419)*(nNOTA=2))</f>
        <v>0</v>
      </c>
      <c r="N419">
        <f>SUMPRODUCT((nCUENTA=1)*(nCURSO=A419)*(nASIG=B419)*(nNOTA=3))</f>
        <v>0</v>
      </c>
      <c r="O419">
        <f>SUMPRODUCT((nCUENTA=1)*(nCURSO=A419)*(nASIG=B419)*(nNOTA=4))</f>
        <v>0</v>
      </c>
      <c r="P419">
        <f>SUMPRODUCT((nCUENTA=1)*(nCURSO=A419)*(nASIG=B419)*(nNOTA=5))</f>
        <v>0</v>
      </c>
      <c r="Q419">
        <f>SUMPRODUCT((nCUENTA=1)*(nCURSO=A419)*(nASIG=B419)*(nNOTA=6))</f>
        <v>0</v>
      </c>
      <c r="R419">
        <f>SUMPRODUCT((nCUENTA=1)*(nCURSO=A419)*(nASIG=B419)*(nNOTA=7))</f>
        <v>0</v>
      </c>
      <c r="S419">
        <f>SUMPRODUCT((nCUENTA=1)*(nCURSO=A419)*(nASIG=B419)*(nNOTA=8))</f>
        <v>0</v>
      </c>
      <c r="T419">
        <f>SUMPRODUCT((nCUENTA=1)*(nCURSO=A419)*(nASIG=B419)*(nNOTA=9))</f>
        <v>0</v>
      </c>
      <c r="U419">
        <f>SUMPRODUCT((nCUENTA=1)*(nCURSO=A419)*(nASIG=B419)*(nNOTA=10))</f>
        <v>0</v>
      </c>
    </row>
    <row r="420">
      <c r="A420" t="inlineStr">
        <is>
          <t xml:space="preserve">6EPM</t>
        </is>
      </c>
      <c r="B420" cm="1">
        <f t="array" ref="B420">IFERROR(INDEX(_xlfn._xlws.FILTER(CONFIG_ASIGNATURAS!$B$2:$B$91,(CONFIG_ASIGNATURAS!$G$2:$G$91="Sí")*ISNUMBER(SEARCH("6EPM",CONFIG_ASIGNATURAS!$C$2:$C$91))),37),"")</f>
      </c>
      <c r="C420">
        <f>IF(B420="","",IFERROR(VLOOKUP(B420,CONFIG_ASIGNATURAS!$B$2:$D$91,3,FALSE()),"Asignatura"))</f>
      </c>
      <c r="D420">
        <f>SUMPRODUCT((nCUENTA=1)*(nCURSO=A420)*(nASIG=B420))</f>
        <v>0</v>
      </c>
      <c r="E420" s="10" t="str">
        <f>IFERROR(SUMPRODUCT((nCUENTA=1)*(nCURSO=A420)*(nASIG=B420)*(nNOTA))/D420,"—")</f>
        <v>—</v>
      </c>
      <c r="F420" s="10" t="str" cm="1">
        <f t="array" ref="F420">IFERROR(_xlfn.STDEV.P(_xlfn._xlws.FILTER(nNOTA,(nCUENTA=1)*(nCURSO=A420)*(nASIG=B420))),"—")</f>
        <v>—</v>
      </c>
      <c r="G420" t="str" cm="1">
        <f t="array" ref="G420">IFERROR(_xlfn.MODE.SNGL(_xlfn._xlws.FILTER(nNOTA,(nCUENTA=1)*(nCURSO=A420)*(nASIG=B420))),"—")</f>
        <v>—</v>
      </c>
      <c r="H420" s="11" t="str">
        <f>IFERROR(SUMPRODUCT((nCUENTA=1)*(nCURSO=A420)*(nASIG=B420)*(nAPTO="S"))/D420,"—")</f>
        <v>—</v>
      </c>
      <c r="I420" s="11" t="str">
        <f>IFERROR(SUMPRODUCT((nCUENTA=1)*(nCURSO=A420)*(nASIG=B420)*(nAPTO="N"))/D420,"—")</f>
        <v>—</v>
      </c>
      <c r="J420" t="str" cm="1">
        <f t="array" ref="J420">IFERROR(_xlfn.MODE.SNGL(_xlfn._xlws.FILTER(nNOTA,(nCUENTA=1)*(nCURSO=A420)*(nASIG=B420)*(nAPTO="S"))),"—")</f>
        <v>—</v>
      </c>
      <c r="K420" t="str" cm="1">
        <f t="array" ref="K420">IFERROR(_xlfn.MODE.SNGL(_xlfn._xlws.FILTER(nNOTA,(nCUENTA=1)*(nCURSO=A420)*(nASIG=B420)*(nAPTO="N"))),"—")</f>
        <v>—</v>
      </c>
      <c r="L420">
        <f>SUMPRODUCT((nCUENTA=1)*(nCURSO=A420)*(nASIG=B420)*(nNOTA=1))</f>
        <v>0</v>
      </c>
      <c r="M420">
        <f>SUMPRODUCT((nCUENTA=1)*(nCURSO=A420)*(nASIG=B420)*(nNOTA=2))</f>
        <v>0</v>
      </c>
      <c r="N420">
        <f>SUMPRODUCT((nCUENTA=1)*(nCURSO=A420)*(nASIG=B420)*(nNOTA=3))</f>
        <v>0</v>
      </c>
      <c r="O420">
        <f>SUMPRODUCT((nCUENTA=1)*(nCURSO=A420)*(nASIG=B420)*(nNOTA=4))</f>
        <v>0</v>
      </c>
      <c r="P420">
        <f>SUMPRODUCT((nCUENTA=1)*(nCURSO=A420)*(nASIG=B420)*(nNOTA=5))</f>
        <v>0</v>
      </c>
      <c r="Q420">
        <f>SUMPRODUCT((nCUENTA=1)*(nCURSO=A420)*(nASIG=B420)*(nNOTA=6))</f>
        <v>0</v>
      </c>
      <c r="R420">
        <f>SUMPRODUCT((nCUENTA=1)*(nCURSO=A420)*(nASIG=B420)*(nNOTA=7))</f>
        <v>0</v>
      </c>
      <c r="S420">
        <f>SUMPRODUCT((nCUENTA=1)*(nCURSO=A420)*(nASIG=B420)*(nNOTA=8))</f>
        <v>0</v>
      </c>
      <c r="T420">
        <f>SUMPRODUCT((nCUENTA=1)*(nCURSO=A420)*(nASIG=B420)*(nNOTA=9))</f>
        <v>0</v>
      </c>
      <c r="U420">
        <f>SUMPRODUCT((nCUENTA=1)*(nCURSO=A420)*(nASIG=B420)*(nNOTA=10))</f>
        <v>0</v>
      </c>
    </row>
    <row r="421">
      <c r="A421" t="inlineStr">
        <is>
          <t xml:space="preserve">6EPM</t>
        </is>
      </c>
      <c r="B421" cm="1">
        <f t="array" ref="B421">IFERROR(INDEX(_xlfn._xlws.FILTER(CONFIG_ASIGNATURAS!$B$2:$B$91,(CONFIG_ASIGNATURAS!$G$2:$G$91="Sí")*ISNUMBER(SEARCH("6EPM",CONFIG_ASIGNATURAS!$C$2:$C$91))),38),"")</f>
      </c>
      <c r="C421">
        <f>IF(B421="","",IFERROR(VLOOKUP(B421,CONFIG_ASIGNATURAS!$B$2:$D$91,3,FALSE()),"Asignatura"))</f>
      </c>
      <c r="D421">
        <f>SUMPRODUCT((nCUENTA=1)*(nCURSO=A421)*(nASIG=B421))</f>
        <v>0</v>
      </c>
      <c r="E421" s="10" t="str">
        <f>IFERROR(SUMPRODUCT((nCUENTA=1)*(nCURSO=A421)*(nASIG=B421)*(nNOTA))/D421,"—")</f>
        <v>—</v>
      </c>
      <c r="F421" s="10" t="str" cm="1">
        <f t="array" ref="F421">IFERROR(_xlfn.STDEV.P(_xlfn._xlws.FILTER(nNOTA,(nCUENTA=1)*(nCURSO=A421)*(nASIG=B421))),"—")</f>
        <v>—</v>
      </c>
      <c r="G421" t="str" cm="1">
        <f t="array" ref="G421">IFERROR(_xlfn.MODE.SNGL(_xlfn._xlws.FILTER(nNOTA,(nCUENTA=1)*(nCURSO=A421)*(nASIG=B421))),"—")</f>
        <v>—</v>
      </c>
      <c r="H421" s="11" t="str">
        <f>IFERROR(SUMPRODUCT((nCUENTA=1)*(nCURSO=A421)*(nASIG=B421)*(nAPTO="S"))/D421,"—")</f>
        <v>—</v>
      </c>
      <c r="I421" s="11" t="str">
        <f>IFERROR(SUMPRODUCT((nCUENTA=1)*(nCURSO=A421)*(nASIG=B421)*(nAPTO="N"))/D421,"—")</f>
        <v>—</v>
      </c>
      <c r="J421" t="str" cm="1">
        <f t="array" ref="J421">IFERROR(_xlfn.MODE.SNGL(_xlfn._xlws.FILTER(nNOTA,(nCUENTA=1)*(nCURSO=A421)*(nASIG=B421)*(nAPTO="S"))),"—")</f>
        <v>—</v>
      </c>
      <c r="K421" t="str" cm="1">
        <f t="array" ref="K421">IFERROR(_xlfn.MODE.SNGL(_xlfn._xlws.FILTER(nNOTA,(nCUENTA=1)*(nCURSO=A421)*(nASIG=B421)*(nAPTO="N"))),"—")</f>
        <v>—</v>
      </c>
      <c r="L421">
        <f>SUMPRODUCT((nCUENTA=1)*(nCURSO=A421)*(nASIG=B421)*(nNOTA=1))</f>
        <v>0</v>
      </c>
      <c r="M421">
        <f>SUMPRODUCT((nCUENTA=1)*(nCURSO=A421)*(nASIG=B421)*(nNOTA=2))</f>
        <v>0</v>
      </c>
      <c r="N421">
        <f>SUMPRODUCT((nCUENTA=1)*(nCURSO=A421)*(nASIG=B421)*(nNOTA=3))</f>
        <v>0</v>
      </c>
      <c r="O421">
        <f>SUMPRODUCT((nCUENTA=1)*(nCURSO=A421)*(nASIG=B421)*(nNOTA=4))</f>
        <v>0</v>
      </c>
      <c r="P421">
        <f>SUMPRODUCT((nCUENTA=1)*(nCURSO=A421)*(nASIG=B421)*(nNOTA=5))</f>
        <v>0</v>
      </c>
      <c r="Q421">
        <f>SUMPRODUCT((nCUENTA=1)*(nCURSO=A421)*(nASIG=B421)*(nNOTA=6))</f>
        <v>0</v>
      </c>
      <c r="R421">
        <f>SUMPRODUCT((nCUENTA=1)*(nCURSO=A421)*(nASIG=B421)*(nNOTA=7))</f>
        <v>0</v>
      </c>
      <c r="S421">
        <f>SUMPRODUCT((nCUENTA=1)*(nCURSO=A421)*(nASIG=B421)*(nNOTA=8))</f>
        <v>0</v>
      </c>
      <c r="T421">
        <f>SUMPRODUCT((nCUENTA=1)*(nCURSO=A421)*(nASIG=B421)*(nNOTA=9))</f>
        <v>0</v>
      </c>
      <c r="U421">
        <f>SUMPRODUCT((nCUENTA=1)*(nCURSO=A421)*(nASIG=B421)*(nNOTA=10))</f>
        <v>0</v>
      </c>
    </row>
    <row r="422">
      <c r="A422" t="inlineStr">
        <is>
          <t xml:space="preserve">6EPM</t>
        </is>
      </c>
      <c r="B422" cm="1">
        <f t="array" ref="B422">IFERROR(INDEX(_xlfn._xlws.FILTER(CONFIG_ASIGNATURAS!$B$2:$B$91,(CONFIG_ASIGNATURAS!$G$2:$G$91="Sí")*ISNUMBER(SEARCH("6EPM",CONFIG_ASIGNATURAS!$C$2:$C$91))),39),"")</f>
      </c>
      <c r="C422">
        <f>IF(B422="","",IFERROR(VLOOKUP(B422,CONFIG_ASIGNATURAS!$B$2:$D$91,3,FALSE()),"Asignatura"))</f>
      </c>
      <c r="D422">
        <f>SUMPRODUCT((nCUENTA=1)*(nCURSO=A422)*(nASIG=B422))</f>
        <v>0</v>
      </c>
      <c r="E422" s="10" t="str">
        <f>IFERROR(SUMPRODUCT((nCUENTA=1)*(nCURSO=A422)*(nASIG=B422)*(nNOTA))/D422,"—")</f>
        <v>—</v>
      </c>
      <c r="F422" s="10" t="str" cm="1">
        <f t="array" ref="F422">IFERROR(_xlfn.STDEV.P(_xlfn._xlws.FILTER(nNOTA,(nCUENTA=1)*(nCURSO=A422)*(nASIG=B422))),"—")</f>
        <v>—</v>
      </c>
      <c r="G422" t="str" cm="1">
        <f t="array" ref="G422">IFERROR(_xlfn.MODE.SNGL(_xlfn._xlws.FILTER(nNOTA,(nCUENTA=1)*(nCURSO=A422)*(nASIG=B422))),"—")</f>
        <v>—</v>
      </c>
      <c r="H422" s="11" t="str">
        <f>IFERROR(SUMPRODUCT((nCUENTA=1)*(nCURSO=A422)*(nASIG=B422)*(nAPTO="S"))/D422,"—")</f>
        <v>—</v>
      </c>
      <c r="I422" s="11" t="str">
        <f>IFERROR(SUMPRODUCT((nCUENTA=1)*(nCURSO=A422)*(nASIG=B422)*(nAPTO="N"))/D422,"—")</f>
        <v>—</v>
      </c>
      <c r="J422" t="str" cm="1">
        <f t="array" ref="J422">IFERROR(_xlfn.MODE.SNGL(_xlfn._xlws.FILTER(nNOTA,(nCUENTA=1)*(nCURSO=A422)*(nASIG=B422)*(nAPTO="S"))),"—")</f>
        <v>—</v>
      </c>
      <c r="K422" t="str" cm="1">
        <f t="array" ref="K422">IFERROR(_xlfn.MODE.SNGL(_xlfn._xlws.FILTER(nNOTA,(nCUENTA=1)*(nCURSO=A422)*(nASIG=B422)*(nAPTO="N"))),"—")</f>
        <v>—</v>
      </c>
      <c r="L422">
        <f>SUMPRODUCT((nCUENTA=1)*(nCURSO=A422)*(nASIG=B422)*(nNOTA=1))</f>
        <v>0</v>
      </c>
      <c r="M422">
        <f>SUMPRODUCT((nCUENTA=1)*(nCURSO=A422)*(nASIG=B422)*(nNOTA=2))</f>
        <v>0</v>
      </c>
      <c r="N422">
        <f>SUMPRODUCT((nCUENTA=1)*(nCURSO=A422)*(nASIG=B422)*(nNOTA=3))</f>
        <v>0</v>
      </c>
      <c r="O422">
        <f>SUMPRODUCT((nCUENTA=1)*(nCURSO=A422)*(nASIG=B422)*(nNOTA=4))</f>
        <v>0</v>
      </c>
      <c r="P422">
        <f>SUMPRODUCT((nCUENTA=1)*(nCURSO=A422)*(nASIG=B422)*(nNOTA=5))</f>
        <v>0</v>
      </c>
      <c r="Q422">
        <f>SUMPRODUCT((nCUENTA=1)*(nCURSO=A422)*(nASIG=B422)*(nNOTA=6))</f>
        <v>0</v>
      </c>
      <c r="R422">
        <f>SUMPRODUCT((nCUENTA=1)*(nCURSO=A422)*(nASIG=B422)*(nNOTA=7))</f>
        <v>0</v>
      </c>
      <c r="S422">
        <f>SUMPRODUCT((nCUENTA=1)*(nCURSO=A422)*(nASIG=B422)*(nNOTA=8))</f>
        <v>0</v>
      </c>
      <c r="T422">
        <f>SUMPRODUCT((nCUENTA=1)*(nCURSO=A422)*(nASIG=B422)*(nNOTA=9))</f>
        <v>0</v>
      </c>
      <c r="U422">
        <f>SUMPRODUCT((nCUENTA=1)*(nCURSO=A422)*(nASIG=B422)*(nNOTA=10))</f>
        <v>0</v>
      </c>
    </row>
    <row r="423">
      <c r="A423" t="inlineStr">
        <is>
          <t xml:space="preserve">6EPM</t>
        </is>
      </c>
      <c r="B423" cm="1">
        <f t="array" ref="B423">IFERROR(INDEX(_xlfn._xlws.FILTER(CONFIG_ASIGNATURAS!$B$2:$B$91,(CONFIG_ASIGNATURAS!$G$2:$G$91="Sí")*ISNUMBER(SEARCH("6EPM",CONFIG_ASIGNATURAS!$C$2:$C$91))),40),"")</f>
      </c>
      <c r="C423">
        <f>IF(B423="","",IFERROR(VLOOKUP(B423,CONFIG_ASIGNATURAS!$B$2:$D$91,3,FALSE()),"Asignatura"))</f>
      </c>
      <c r="D423">
        <f>SUMPRODUCT((nCUENTA=1)*(nCURSO=A423)*(nASIG=B423))</f>
        <v>0</v>
      </c>
      <c r="E423" s="10" t="str">
        <f>IFERROR(SUMPRODUCT((nCUENTA=1)*(nCURSO=A423)*(nASIG=B423)*(nNOTA))/D423,"—")</f>
        <v>—</v>
      </c>
      <c r="F423" s="10" t="str" cm="1">
        <f t="array" ref="F423">IFERROR(_xlfn.STDEV.P(_xlfn._xlws.FILTER(nNOTA,(nCUENTA=1)*(nCURSO=A423)*(nASIG=B423))),"—")</f>
        <v>—</v>
      </c>
      <c r="G423" t="str" cm="1">
        <f t="array" ref="G423">IFERROR(_xlfn.MODE.SNGL(_xlfn._xlws.FILTER(nNOTA,(nCUENTA=1)*(nCURSO=A423)*(nASIG=B423))),"—")</f>
        <v>—</v>
      </c>
      <c r="H423" s="11" t="str">
        <f>IFERROR(SUMPRODUCT((nCUENTA=1)*(nCURSO=A423)*(nASIG=B423)*(nAPTO="S"))/D423,"—")</f>
        <v>—</v>
      </c>
      <c r="I423" s="11" t="str">
        <f>IFERROR(SUMPRODUCT((nCUENTA=1)*(nCURSO=A423)*(nASIG=B423)*(nAPTO="N"))/D423,"—")</f>
        <v>—</v>
      </c>
      <c r="J423" t="str" cm="1">
        <f t="array" ref="J423">IFERROR(_xlfn.MODE.SNGL(_xlfn._xlws.FILTER(nNOTA,(nCUENTA=1)*(nCURSO=A423)*(nASIG=B423)*(nAPTO="S"))),"—")</f>
        <v>—</v>
      </c>
      <c r="K423" t="str" cm="1">
        <f t="array" ref="K423">IFERROR(_xlfn.MODE.SNGL(_xlfn._xlws.FILTER(nNOTA,(nCUENTA=1)*(nCURSO=A423)*(nASIG=B423)*(nAPTO="N"))),"—")</f>
        <v>—</v>
      </c>
      <c r="L423">
        <f>SUMPRODUCT((nCUENTA=1)*(nCURSO=A423)*(nASIG=B423)*(nNOTA=1))</f>
        <v>0</v>
      </c>
      <c r="M423">
        <f>SUMPRODUCT((nCUENTA=1)*(nCURSO=A423)*(nASIG=B423)*(nNOTA=2))</f>
        <v>0</v>
      </c>
      <c r="N423">
        <f>SUMPRODUCT((nCUENTA=1)*(nCURSO=A423)*(nASIG=B423)*(nNOTA=3))</f>
        <v>0</v>
      </c>
      <c r="O423">
        <f>SUMPRODUCT((nCUENTA=1)*(nCURSO=A423)*(nASIG=B423)*(nNOTA=4))</f>
        <v>0</v>
      </c>
      <c r="P423">
        <f>SUMPRODUCT((nCUENTA=1)*(nCURSO=A423)*(nASIG=B423)*(nNOTA=5))</f>
        <v>0</v>
      </c>
      <c r="Q423">
        <f>SUMPRODUCT((nCUENTA=1)*(nCURSO=A423)*(nASIG=B423)*(nNOTA=6))</f>
        <v>0</v>
      </c>
      <c r="R423">
        <f>SUMPRODUCT((nCUENTA=1)*(nCURSO=A423)*(nASIG=B423)*(nNOTA=7))</f>
        <v>0</v>
      </c>
      <c r="S423">
        <f>SUMPRODUCT((nCUENTA=1)*(nCURSO=A423)*(nASIG=B423)*(nNOTA=8))</f>
        <v>0</v>
      </c>
      <c r="T423">
        <f>SUMPRODUCT((nCUENTA=1)*(nCURSO=A423)*(nASIG=B423)*(nNOTA=9))</f>
        <v>0</v>
      </c>
      <c r="U423">
        <f>SUMPRODUCT((nCUENTA=1)*(nCURSO=A423)*(nASIG=B423)*(nNOTA=10))</f>
        <v>0</v>
      </c>
    </row>
    <row r="424">
      <c r="A424" t="inlineStr">
        <is>
          <t xml:space="preserve">6EPM</t>
        </is>
      </c>
      <c r="B424" cm="1">
        <f t="array" ref="B424">IFERROR(INDEX(_xlfn._xlws.FILTER(CONFIG_ASIGNATURAS!$B$2:$B$91,(CONFIG_ASIGNATURAS!$G$2:$G$91="Sí")*ISNUMBER(SEARCH("6EPM",CONFIG_ASIGNATURAS!$C$2:$C$91))),41),"")</f>
      </c>
      <c r="C424">
        <f>IF(B424="","",IFERROR(VLOOKUP(B424,CONFIG_ASIGNATURAS!$B$2:$D$91,3,FALSE()),"Asignatura"))</f>
      </c>
      <c r="D424">
        <f>SUMPRODUCT((nCUENTA=1)*(nCURSO=A424)*(nASIG=B424))</f>
        <v>0</v>
      </c>
      <c r="E424" s="10" t="str">
        <f>IFERROR(SUMPRODUCT((nCUENTA=1)*(nCURSO=A424)*(nASIG=B424)*(nNOTA))/D424,"—")</f>
        <v>—</v>
      </c>
      <c r="F424" s="10" t="str" cm="1">
        <f t="array" ref="F424">IFERROR(_xlfn.STDEV.P(_xlfn._xlws.FILTER(nNOTA,(nCUENTA=1)*(nCURSO=A424)*(nASIG=B424))),"—")</f>
        <v>—</v>
      </c>
      <c r="G424" t="str" cm="1">
        <f t="array" ref="G424">IFERROR(_xlfn.MODE.SNGL(_xlfn._xlws.FILTER(nNOTA,(nCUENTA=1)*(nCURSO=A424)*(nASIG=B424))),"—")</f>
        <v>—</v>
      </c>
      <c r="H424" s="11" t="str">
        <f>IFERROR(SUMPRODUCT((nCUENTA=1)*(nCURSO=A424)*(nASIG=B424)*(nAPTO="S"))/D424,"—")</f>
        <v>—</v>
      </c>
      <c r="I424" s="11" t="str">
        <f>IFERROR(SUMPRODUCT((nCUENTA=1)*(nCURSO=A424)*(nASIG=B424)*(nAPTO="N"))/D424,"—")</f>
        <v>—</v>
      </c>
      <c r="J424" t="str" cm="1">
        <f t="array" ref="J424">IFERROR(_xlfn.MODE.SNGL(_xlfn._xlws.FILTER(nNOTA,(nCUENTA=1)*(nCURSO=A424)*(nASIG=B424)*(nAPTO="S"))),"—")</f>
        <v>—</v>
      </c>
      <c r="K424" t="str" cm="1">
        <f t="array" ref="K424">IFERROR(_xlfn.MODE.SNGL(_xlfn._xlws.FILTER(nNOTA,(nCUENTA=1)*(nCURSO=A424)*(nASIG=B424)*(nAPTO="N"))),"—")</f>
        <v>—</v>
      </c>
      <c r="L424">
        <f>SUMPRODUCT((nCUENTA=1)*(nCURSO=A424)*(nASIG=B424)*(nNOTA=1))</f>
        <v>0</v>
      </c>
      <c r="M424">
        <f>SUMPRODUCT((nCUENTA=1)*(nCURSO=A424)*(nASIG=B424)*(nNOTA=2))</f>
        <v>0</v>
      </c>
      <c r="N424">
        <f>SUMPRODUCT((nCUENTA=1)*(nCURSO=A424)*(nASIG=B424)*(nNOTA=3))</f>
        <v>0</v>
      </c>
      <c r="O424">
        <f>SUMPRODUCT((nCUENTA=1)*(nCURSO=A424)*(nASIG=B424)*(nNOTA=4))</f>
        <v>0</v>
      </c>
      <c r="P424">
        <f>SUMPRODUCT((nCUENTA=1)*(nCURSO=A424)*(nASIG=B424)*(nNOTA=5))</f>
        <v>0</v>
      </c>
      <c r="Q424">
        <f>SUMPRODUCT((nCUENTA=1)*(nCURSO=A424)*(nASIG=B424)*(nNOTA=6))</f>
        <v>0</v>
      </c>
      <c r="R424">
        <f>SUMPRODUCT((nCUENTA=1)*(nCURSO=A424)*(nASIG=B424)*(nNOTA=7))</f>
        <v>0</v>
      </c>
      <c r="S424">
        <f>SUMPRODUCT((nCUENTA=1)*(nCURSO=A424)*(nASIG=B424)*(nNOTA=8))</f>
        <v>0</v>
      </c>
      <c r="T424">
        <f>SUMPRODUCT((nCUENTA=1)*(nCURSO=A424)*(nASIG=B424)*(nNOTA=9))</f>
        <v>0</v>
      </c>
      <c r="U424">
        <f>SUMPRODUCT((nCUENTA=1)*(nCURSO=A424)*(nASIG=B424)*(nNOTA=10))</f>
        <v>0</v>
      </c>
    </row>
    <row r="425">
      <c r="A425" t="inlineStr">
        <is>
          <t xml:space="preserve">6EPM</t>
        </is>
      </c>
      <c r="B425" cm="1">
        <f t="array" ref="B425">IFERROR(INDEX(_xlfn._xlws.FILTER(CONFIG_ASIGNATURAS!$B$2:$B$91,(CONFIG_ASIGNATURAS!$G$2:$G$91="Sí")*ISNUMBER(SEARCH("6EPM",CONFIG_ASIGNATURAS!$C$2:$C$91))),42),"")</f>
      </c>
      <c r="C425">
        <f>IF(B425="","",IFERROR(VLOOKUP(B425,CONFIG_ASIGNATURAS!$B$2:$D$91,3,FALSE()),"Asignatura"))</f>
      </c>
      <c r="D425">
        <f>SUMPRODUCT((nCUENTA=1)*(nCURSO=A425)*(nASIG=B425))</f>
        <v>0</v>
      </c>
      <c r="E425" s="10" t="str">
        <f>IFERROR(SUMPRODUCT((nCUENTA=1)*(nCURSO=A425)*(nASIG=B425)*(nNOTA))/D425,"—")</f>
        <v>—</v>
      </c>
      <c r="F425" s="10" t="str" cm="1">
        <f t="array" ref="F425">IFERROR(_xlfn.STDEV.P(_xlfn._xlws.FILTER(nNOTA,(nCUENTA=1)*(nCURSO=A425)*(nASIG=B425))),"—")</f>
        <v>—</v>
      </c>
      <c r="G425" t="str" cm="1">
        <f t="array" ref="G425">IFERROR(_xlfn.MODE.SNGL(_xlfn._xlws.FILTER(nNOTA,(nCUENTA=1)*(nCURSO=A425)*(nASIG=B425))),"—")</f>
        <v>—</v>
      </c>
      <c r="H425" s="11" t="str">
        <f>IFERROR(SUMPRODUCT((nCUENTA=1)*(nCURSO=A425)*(nASIG=B425)*(nAPTO="S"))/D425,"—")</f>
        <v>—</v>
      </c>
      <c r="I425" s="11" t="str">
        <f>IFERROR(SUMPRODUCT((nCUENTA=1)*(nCURSO=A425)*(nASIG=B425)*(nAPTO="N"))/D425,"—")</f>
        <v>—</v>
      </c>
      <c r="J425" t="str" cm="1">
        <f t="array" ref="J425">IFERROR(_xlfn.MODE.SNGL(_xlfn._xlws.FILTER(nNOTA,(nCUENTA=1)*(nCURSO=A425)*(nASIG=B425)*(nAPTO="S"))),"—")</f>
        <v>—</v>
      </c>
      <c r="K425" t="str" cm="1">
        <f t="array" ref="K425">IFERROR(_xlfn.MODE.SNGL(_xlfn._xlws.FILTER(nNOTA,(nCUENTA=1)*(nCURSO=A425)*(nASIG=B425)*(nAPTO="N"))),"—")</f>
        <v>—</v>
      </c>
      <c r="L425">
        <f>SUMPRODUCT((nCUENTA=1)*(nCURSO=A425)*(nASIG=B425)*(nNOTA=1))</f>
        <v>0</v>
      </c>
      <c r="M425">
        <f>SUMPRODUCT((nCUENTA=1)*(nCURSO=A425)*(nASIG=B425)*(nNOTA=2))</f>
        <v>0</v>
      </c>
      <c r="N425">
        <f>SUMPRODUCT((nCUENTA=1)*(nCURSO=A425)*(nASIG=B425)*(nNOTA=3))</f>
        <v>0</v>
      </c>
      <c r="O425">
        <f>SUMPRODUCT((nCUENTA=1)*(nCURSO=A425)*(nASIG=B425)*(nNOTA=4))</f>
        <v>0</v>
      </c>
      <c r="P425">
        <f>SUMPRODUCT((nCUENTA=1)*(nCURSO=A425)*(nASIG=B425)*(nNOTA=5))</f>
        <v>0</v>
      </c>
      <c r="Q425">
        <f>SUMPRODUCT((nCUENTA=1)*(nCURSO=A425)*(nASIG=B425)*(nNOTA=6))</f>
        <v>0</v>
      </c>
      <c r="R425">
        <f>SUMPRODUCT((nCUENTA=1)*(nCURSO=A425)*(nASIG=B425)*(nNOTA=7))</f>
        <v>0</v>
      </c>
      <c r="S425">
        <f>SUMPRODUCT((nCUENTA=1)*(nCURSO=A425)*(nASIG=B425)*(nNOTA=8))</f>
        <v>0</v>
      </c>
      <c r="T425">
        <f>SUMPRODUCT((nCUENTA=1)*(nCURSO=A425)*(nASIG=B425)*(nNOTA=9))</f>
        <v>0</v>
      </c>
      <c r="U425">
        <f>SUMPRODUCT((nCUENTA=1)*(nCURSO=A425)*(nASIG=B425)*(nNOTA=10))</f>
        <v>0</v>
      </c>
    </row>
    <row r="426">
      <c r="A426" t="inlineStr">
        <is>
          <t xml:space="preserve">6EPM</t>
        </is>
      </c>
      <c r="B426" cm="1">
        <f t="array" ref="B426">IFERROR(INDEX(_xlfn._xlws.FILTER(CONFIG_ASIGNATURAS!$B$2:$B$91,(CONFIG_ASIGNATURAS!$G$2:$G$91="Sí")*ISNUMBER(SEARCH("6EPM",CONFIG_ASIGNATURAS!$C$2:$C$91))),43),"")</f>
      </c>
      <c r="C426">
        <f>IF(B426="","",IFERROR(VLOOKUP(B426,CONFIG_ASIGNATURAS!$B$2:$D$91,3,FALSE()),"Asignatura"))</f>
      </c>
      <c r="D426">
        <f>SUMPRODUCT((nCUENTA=1)*(nCURSO=A426)*(nASIG=B426))</f>
        <v>0</v>
      </c>
      <c r="E426" s="10" t="str">
        <f>IFERROR(SUMPRODUCT((nCUENTA=1)*(nCURSO=A426)*(nASIG=B426)*(nNOTA))/D426,"—")</f>
        <v>—</v>
      </c>
      <c r="F426" s="10" t="str" cm="1">
        <f t="array" ref="F426">IFERROR(_xlfn.STDEV.P(_xlfn._xlws.FILTER(nNOTA,(nCUENTA=1)*(nCURSO=A426)*(nASIG=B426))),"—")</f>
        <v>—</v>
      </c>
      <c r="G426" t="str" cm="1">
        <f t="array" ref="G426">IFERROR(_xlfn.MODE.SNGL(_xlfn._xlws.FILTER(nNOTA,(nCUENTA=1)*(nCURSO=A426)*(nASIG=B426))),"—")</f>
        <v>—</v>
      </c>
      <c r="H426" s="11" t="str">
        <f>IFERROR(SUMPRODUCT((nCUENTA=1)*(nCURSO=A426)*(nASIG=B426)*(nAPTO="S"))/D426,"—")</f>
        <v>—</v>
      </c>
      <c r="I426" s="11" t="str">
        <f>IFERROR(SUMPRODUCT((nCUENTA=1)*(nCURSO=A426)*(nASIG=B426)*(nAPTO="N"))/D426,"—")</f>
        <v>—</v>
      </c>
      <c r="J426" t="str" cm="1">
        <f t="array" ref="J426">IFERROR(_xlfn.MODE.SNGL(_xlfn._xlws.FILTER(nNOTA,(nCUENTA=1)*(nCURSO=A426)*(nASIG=B426)*(nAPTO="S"))),"—")</f>
        <v>—</v>
      </c>
      <c r="K426" t="str" cm="1">
        <f t="array" ref="K426">IFERROR(_xlfn.MODE.SNGL(_xlfn._xlws.FILTER(nNOTA,(nCUENTA=1)*(nCURSO=A426)*(nASIG=B426)*(nAPTO="N"))),"—")</f>
        <v>—</v>
      </c>
      <c r="L426">
        <f>SUMPRODUCT((nCUENTA=1)*(nCURSO=A426)*(nASIG=B426)*(nNOTA=1))</f>
        <v>0</v>
      </c>
      <c r="M426">
        <f>SUMPRODUCT((nCUENTA=1)*(nCURSO=A426)*(nASIG=B426)*(nNOTA=2))</f>
        <v>0</v>
      </c>
      <c r="N426">
        <f>SUMPRODUCT((nCUENTA=1)*(nCURSO=A426)*(nASIG=B426)*(nNOTA=3))</f>
        <v>0</v>
      </c>
      <c r="O426">
        <f>SUMPRODUCT((nCUENTA=1)*(nCURSO=A426)*(nASIG=B426)*(nNOTA=4))</f>
        <v>0</v>
      </c>
      <c r="P426">
        <f>SUMPRODUCT((nCUENTA=1)*(nCURSO=A426)*(nASIG=B426)*(nNOTA=5))</f>
        <v>0</v>
      </c>
      <c r="Q426">
        <f>SUMPRODUCT((nCUENTA=1)*(nCURSO=A426)*(nASIG=B426)*(nNOTA=6))</f>
        <v>0</v>
      </c>
      <c r="R426">
        <f>SUMPRODUCT((nCUENTA=1)*(nCURSO=A426)*(nASIG=B426)*(nNOTA=7))</f>
        <v>0</v>
      </c>
      <c r="S426">
        <f>SUMPRODUCT((nCUENTA=1)*(nCURSO=A426)*(nASIG=B426)*(nNOTA=8))</f>
        <v>0</v>
      </c>
      <c r="T426">
        <f>SUMPRODUCT((nCUENTA=1)*(nCURSO=A426)*(nASIG=B426)*(nNOTA=9))</f>
        <v>0</v>
      </c>
      <c r="U426">
        <f>SUMPRODUCT((nCUENTA=1)*(nCURSO=A426)*(nASIG=B426)*(nNOTA=10))</f>
        <v>0</v>
      </c>
    </row>
    <row r="427">
      <c r="A427" t="inlineStr">
        <is>
          <t xml:space="preserve">6EPM</t>
        </is>
      </c>
      <c r="B427" cm="1">
        <f t="array" ref="B427">IFERROR(INDEX(_xlfn._xlws.FILTER(CONFIG_ASIGNATURAS!$B$2:$B$91,(CONFIG_ASIGNATURAS!$G$2:$G$91="Sí")*ISNUMBER(SEARCH("6EPM",CONFIG_ASIGNATURAS!$C$2:$C$91))),44),"")</f>
      </c>
      <c r="C427">
        <f>IF(B427="","",IFERROR(VLOOKUP(B427,CONFIG_ASIGNATURAS!$B$2:$D$91,3,FALSE()),"Asignatura"))</f>
      </c>
      <c r="D427">
        <f>SUMPRODUCT((nCUENTA=1)*(nCURSO=A427)*(nASIG=B427))</f>
        <v>0</v>
      </c>
      <c r="E427" s="10" t="str">
        <f>IFERROR(SUMPRODUCT((nCUENTA=1)*(nCURSO=A427)*(nASIG=B427)*(nNOTA))/D427,"—")</f>
        <v>—</v>
      </c>
      <c r="F427" s="10" t="str" cm="1">
        <f t="array" ref="F427">IFERROR(_xlfn.STDEV.P(_xlfn._xlws.FILTER(nNOTA,(nCUENTA=1)*(nCURSO=A427)*(nASIG=B427))),"—")</f>
        <v>—</v>
      </c>
      <c r="G427" t="str" cm="1">
        <f t="array" ref="G427">IFERROR(_xlfn.MODE.SNGL(_xlfn._xlws.FILTER(nNOTA,(nCUENTA=1)*(nCURSO=A427)*(nASIG=B427))),"—")</f>
        <v>—</v>
      </c>
      <c r="H427" s="11" t="str">
        <f>IFERROR(SUMPRODUCT((nCUENTA=1)*(nCURSO=A427)*(nASIG=B427)*(nAPTO="S"))/D427,"—")</f>
        <v>—</v>
      </c>
      <c r="I427" s="11" t="str">
        <f>IFERROR(SUMPRODUCT((nCUENTA=1)*(nCURSO=A427)*(nASIG=B427)*(nAPTO="N"))/D427,"—")</f>
        <v>—</v>
      </c>
      <c r="J427" t="str" cm="1">
        <f t="array" ref="J427">IFERROR(_xlfn.MODE.SNGL(_xlfn._xlws.FILTER(nNOTA,(nCUENTA=1)*(nCURSO=A427)*(nASIG=B427)*(nAPTO="S"))),"—")</f>
        <v>—</v>
      </c>
      <c r="K427" t="str" cm="1">
        <f t="array" ref="K427">IFERROR(_xlfn.MODE.SNGL(_xlfn._xlws.FILTER(nNOTA,(nCUENTA=1)*(nCURSO=A427)*(nASIG=B427)*(nAPTO="N"))),"—")</f>
        <v>—</v>
      </c>
      <c r="L427">
        <f>SUMPRODUCT((nCUENTA=1)*(nCURSO=A427)*(nASIG=B427)*(nNOTA=1))</f>
        <v>0</v>
      </c>
      <c r="M427">
        <f>SUMPRODUCT((nCUENTA=1)*(nCURSO=A427)*(nASIG=B427)*(nNOTA=2))</f>
        <v>0</v>
      </c>
      <c r="N427">
        <f>SUMPRODUCT((nCUENTA=1)*(nCURSO=A427)*(nASIG=B427)*(nNOTA=3))</f>
        <v>0</v>
      </c>
      <c r="O427">
        <f>SUMPRODUCT((nCUENTA=1)*(nCURSO=A427)*(nASIG=B427)*(nNOTA=4))</f>
        <v>0</v>
      </c>
      <c r="P427">
        <f>SUMPRODUCT((nCUENTA=1)*(nCURSO=A427)*(nASIG=B427)*(nNOTA=5))</f>
        <v>0</v>
      </c>
      <c r="Q427">
        <f>SUMPRODUCT((nCUENTA=1)*(nCURSO=A427)*(nASIG=B427)*(nNOTA=6))</f>
        <v>0</v>
      </c>
      <c r="R427">
        <f>SUMPRODUCT((nCUENTA=1)*(nCURSO=A427)*(nASIG=B427)*(nNOTA=7))</f>
        <v>0</v>
      </c>
      <c r="S427">
        <f>SUMPRODUCT((nCUENTA=1)*(nCURSO=A427)*(nASIG=B427)*(nNOTA=8))</f>
        <v>0</v>
      </c>
      <c r="T427">
        <f>SUMPRODUCT((nCUENTA=1)*(nCURSO=A427)*(nASIG=B427)*(nNOTA=9))</f>
        <v>0</v>
      </c>
      <c r="U427">
        <f>SUMPRODUCT((nCUENTA=1)*(nCURSO=A427)*(nASIG=B427)*(nNOTA=10))</f>
        <v>0</v>
      </c>
    </row>
    <row r="428">
      <c r="A428" t="inlineStr">
        <is>
          <t xml:space="preserve">6EPM</t>
        </is>
      </c>
      <c r="B428" cm="1">
        <f t="array" ref="B428">IFERROR(INDEX(_xlfn._xlws.FILTER(CONFIG_ASIGNATURAS!$B$2:$B$91,(CONFIG_ASIGNATURAS!$G$2:$G$91="Sí")*ISNUMBER(SEARCH("6EPM",CONFIG_ASIGNATURAS!$C$2:$C$91))),45),"")</f>
      </c>
      <c r="C428">
        <f>IF(B428="","",IFERROR(VLOOKUP(B428,CONFIG_ASIGNATURAS!$B$2:$D$91,3,FALSE()),"Asignatura"))</f>
      </c>
      <c r="D428">
        <f>SUMPRODUCT((nCUENTA=1)*(nCURSO=A428)*(nASIG=B428))</f>
        <v>0</v>
      </c>
      <c r="E428" s="10" t="str">
        <f>IFERROR(SUMPRODUCT((nCUENTA=1)*(nCURSO=A428)*(nASIG=B428)*(nNOTA))/D428,"—")</f>
        <v>—</v>
      </c>
      <c r="F428" s="10" t="str" cm="1">
        <f t="array" ref="F428">IFERROR(_xlfn.STDEV.P(_xlfn._xlws.FILTER(nNOTA,(nCUENTA=1)*(nCURSO=A428)*(nASIG=B428))),"—")</f>
        <v>—</v>
      </c>
      <c r="G428" t="str" cm="1">
        <f t="array" ref="G428">IFERROR(_xlfn.MODE.SNGL(_xlfn._xlws.FILTER(nNOTA,(nCUENTA=1)*(nCURSO=A428)*(nASIG=B428))),"—")</f>
        <v>—</v>
      </c>
      <c r="H428" s="11" t="str">
        <f>IFERROR(SUMPRODUCT((nCUENTA=1)*(nCURSO=A428)*(nASIG=B428)*(nAPTO="S"))/D428,"—")</f>
        <v>—</v>
      </c>
      <c r="I428" s="11" t="str">
        <f>IFERROR(SUMPRODUCT((nCUENTA=1)*(nCURSO=A428)*(nASIG=B428)*(nAPTO="N"))/D428,"—")</f>
        <v>—</v>
      </c>
      <c r="J428" t="str" cm="1">
        <f t="array" ref="J428">IFERROR(_xlfn.MODE.SNGL(_xlfn._xlws.FILTER(nNOTA,(nCUENTA=1)*(nCURSO=A428)*(nASIG=B428)*(nAPTO="S"))),"—")</f>
        <v>—</v>
      </c>
      <c r="K428" t="str" cm="1">
        <f t="array" ref="K428">IFERROR(_xlfn.MODE.SNGL(_xlfn._xlws.FILTER(nNOTA,(nCUENTA=1)*(nCURSO=A428)*(nASIG=B428)*(nAPTO="N"))),"—")</f>
        <v>—</v>
      </c>
      <c r="L428">
        <f>SUMPRODUCT((nCUENTA=1)*(nCURSO=A428)*(nASIG=B428)*(nNOTA=1))</f>
        <v>0</v>
      </c>
      <c r="M428">
        <f>SUMPRODUCT((nCUENTA=1)*(nCURSO=A428)*(nASIG=B428)*(nNOTA=2))</f>
        <v>0</v>
      </c>
      <c r="N428">
        <f>SUMPRODUCT((nCUENTA=1)*(nCURSO=A428)*(nASIG=B428)*(nNOTA=3))</f>
        <v>0</v>
      </c>
      <c r="O428">
        <f>SUMPRODUCT((nCUENTA=1)*(nCURSO=A428)*(nASIG=B428)*(nNOTA=4))</f>
        <v>0</v>
      </c>
      <c r="P428">
        <f>SUMPRODUCT((nCUENTA=1)*(nCURSO=A428)*(nASIG=B428)*(nNOTA=5))</f>
        <v>0</v>
      </c>
      <c r="Q428">
        <f>SUMPRODUCT((nCUENTA=1)*(nCURSO=A428)*(nASIG=B428)*(nNOTA=6))</f>
        <v>0</v>
      </c>
      <c r="R428">
        <f>SUMPRODUCT((nCUENTA=1)*(nCURSO=A428)*(nASIG=B428)*(nNOTA=7))</f>
        <v>0</v>
      </c>
      <c r="S428">
        <f>SUMPRODUCT((nCUENTA=1)*(nCURSO=A428)*(nASIG=B428)*(nNOTA=8))</f>
        <v>0</v>
      </c>
      <c r="T428">
        <f>SUMPRODUCT((nCUENTA=1)*(nCURSO=A428)*(nASIG=B428)*(nNOTA=9))</f>
        <v>0</v>
      </c>
      <c r="U428">
        <f>SUMPRODUCT((nCUENTA=1)*(nCURSO=A428)*(nASIG=B428)*(nNOTA=10))</f>
        <v>0</v>
      </c>
    </row>
    <row r="429">
      <c r="A429" t="inlineStr">
        <is>
          <t xml:space="preserve">6EPM</t>
        </is>
      </c>
      <c r="B429" cm="1">
        <f t="array" ref="B429">IFERROR(INDEX(_xlfn._xlws.FILTER(CONFIG_ASIGNATURAS!$B$2:$B$91,(CONFIG_ASIGNATURAS!$G$2:$G$91="Sí")*ISNUMBER(SEARCH("6EPM",CONFIG_ASIGNATURAS!$C$2:$C$91))),46),"")</f>
      </c>
      <c r="C429">
        <f>IF(B429="","",IFERROR(VLOOKUP(B429,CONFIG_ASIGNATURAS!$B$2:$D$91,3,FALSE()),"Asignatura"))</f>
      </c>
      <c r="D429">
        <f>SUMPRODUCT((nCUENTA=1)*(nCURSO=A429)*(nASIG=B429))</f>
        <v>0</v>
      </c>
      <c r="E429" s="10" t="str">
        <f>IFERROR(SUMPRODUCT((nCUENTA=1)*(nCURSO=A429)*(nASIG=B429)*(nNOTA))/D429,"—")</f>
        <v>—</v>
      </c>
      <c r="F429" s="10" t="str" cm="1">
        <f t="array" ref="F429">IFERROR(_xlfn.STDEV.P(_xlfn._xlws.FILTER(nNOTA,(nCUENTA=1)*(nCURSO=A429)*(nASIG=B429))),"—")</f>
        <v>—</v>
      </c>
      <c r="G429" t="str" cm="1">
        <f t="array" ref="G429">IFERROR(_xlfn.MODE.SNGL(_xlfn._xlws.FILTER(nNOTA,(nCUENTA=1)*(nCURSO=A429)*(nASIG=B429))),"—")</f>
        <v>—</v>
      </c>
      <c r="H429" s="11" t="str">
        <f>IFERROR(SUMPRODUCT((nCUENTA=1)*(nCURSO=A429)*(nASIG=B429)*(nAPTO="S"))/D429,"—")</f>
        <v>—</v>
      </c>
      <c r="I429" s="11" t="str">
        <f>IFERROR(SUMPRODUCT((nCUENTA=1)*(nCURSO=A429)*(nASIG=B429)*(nAPTO="N"))/D429,"—")</f>
        <v>—</v>
      </c>
      <c r="J429" t="str" cm="1">
        <f t="array" ref="J429">IFERROR(_xlfn.MODE.SNGL(_xlfn._xlws.FILTER(nNOTA,(nCUENTA=1)*(nCURSO=A429)*(nASIG=B429)*(nAPTO="S"))),"—")</f>
        <v>—</v>
      </c>
      <c r="K429" t="str" cm="1">
        <f t="array" ref="K429">IFERROR(_xlfn.MODE.SNGL(_xlfn._xlws.FILTER(nNOTA,(nCUENTA=1)*(nCURSO=A429)*(nASIG=B429)*(nAPTO="N"))),"—")</f>
        <v>—</v>
      </c>
      <c r="L429">
        <f>SUMPRODUCT((nCUENTA=1)*(nCURSO=A429)*(nASIG=B429)*(nNOTA=1))</f>
        <v>0</v>
      </c>
      <c r="M429">
        <f>SUMPRODUCT((nCUENTA=1)*(nCURSO=A429)*(nASIG=B429)*(nNOTA=2))</f>
        <v>0</v>
      </c>
      <c r="N429">
        <f>SUMPRODUCT((nCUENTA=1)*(nCURSO=A429)*(nASIG=B429)*(nNOTA=3))</f>
        <v>0</v>
      </c>
      <c r="O429">
        <f>SUMPRODUCT((nCUENTA=1)*(nCURSO=A429)*(nASIG=B429)*(nNOTA=4))</f>
        <v>0</v>
      </c>
      <c r="P429">
        <f>SUMPRODUCT((nCUENTA=1)*(nCURSO=A429)*(nASIG=B429)*(nNOTA=5))</f>
        <v>0</v>
      </c>
      <c r="Q429">
        <f>SUMPRODUCT((nCUENTA=1)*(nCURSO=A429)*(nASIG=B429)*(nNOTA=6))</f>
        <v>0</v>
      </c>
      <c r="R429">
        <f>SUMPRODUCT((nCUENTA=1)*(nCURSO=A429)*(nASIG=B429)*(nNOTA=7))</f>
        <v>0</v>
      </c>
      <c r="S429">
        <f>SUMPRODUCT((nCUENTA=1)*(nCURSO=A429)*(nASIG=B429)*(nNOTA=8))</f>
        <v>0</v>
      </c>
      <c r="T429">
        <f>SUMPRODUCT((nCUENTA=1)*(nCURSO=A429)*(nASIG=B429)*(nNOTA=9))</f>
        <v>0</v>
      </c>
      <c r="U429">
        <f>SUMPRODUCT((nCUENTA=1)*(nCURSO=A429)*(nASIG=B429)*(nNOTA=10))</f>
        <v>0</v>
      </c>
    </row>
    <row r="430">
      <c r="A430" t="inlineStr">
        <is>
          <t xml:space="preserve">6EPM</t>
        </is>
      </c>
      <c r="B430" cm="1">
        <f t="array" ref="B430">IFERROR(INDEX(_xlfn._xlws.FILTER(CONFIG_ASIGNATURAS!$B$2:$B$91,(CONFIG_ASIGNATURAS!$G$2:$G$91="Sí")*ISNUMBER(SEARCH("6EPM",CONFIG_ASIGNATURAS!$C$2:$C$91))),47),"")</f>
      </c>
      <c r="C430">
        <f>IF(B430="","",IFERROR(VLOOKUP(B430,CONFIG_ASIGNATURAS!$B$2:$D$91,3,FALSE()),"Asignatura"))</f>
      </c>
      <c r="D430">
        <f>SUMPRODUCT((nCUENTA=1)*(nCURSO=A430)*(nASIG=B430))</f>
        <v>0</v>
      </c>
      <c r="E430" s="10" t="str">
        <f>IFERROR(SUMPRODUCT((nCUENTA=1)*(nCURSO=A430)*(nASIG=B430)*(nNOTA))/D430,"—")</f>
        <v>—</v>
      </c>
      <c r="F430" s="10" t="str" cm="1">
        <f t="array" ref="F430">IFERROR(_xlfn.STDEV.P(_xlfn._xlws.FILTER(nNOTA,(nCUENTA=1)*(nCURSO=A430)*(nASIG=B430))),"—")</f>
        <v>—</v>
      </c>
      <c r="G430" t="str" cm="1">
        <f t="array" ref="G430">IFERROR(_xlfn.MODE.SNGL(_xlfn._xlws.FILTER(nNOTA,(nCUENTA=1)*(nCURSO=A430)*(nASIG=B430))),"—")</f>
        <v>—</v>
      </c>
      <c r="H430" s="11" t="str">
        <f>IFERROR(SUMPRODUCT((nCUENTA=1)*(nCURSO=A430)*(nASIG=B430)*(nAPTO="S"))/D430,"—")</f>
        <v>—</v>
      </c>
      <c r="I430" s="11" t="str">
        <f>IFERROR(SUMPRODUCT((nCUENTA=1)*(nCURSO=A430)*(nASIG=B430)*(nAPTO="N"))/D430,"—")</f>
        <v>—</v>
      </c>
      <c r="J430" t="str" cm="1">
        <f t="array" ref="J430">IFERROR(_xlfn.MODE.SNGL(_xlfn._xlws.FILTER(nNOTA,(nCUENTA=1)*(nCURSO=A430)*(nASIG=B430)*(nAPTO="S"))),"—")</f>
        <v>—</v>
      </c>
      <c r="K430" t="str" cm="1">
        <f t="array" ref="K430">IFERROR(_xlfn.MODE.SNGL(_xlfn._xlws.FILTER(nNOTA,(nCUENTA=1)*(nCURSO=A430)*(nASIG=B430)*(nAPTO="N"))),"—")</f>
        <v>—</v>
      </c>
      <c r="L430">
        <f>SUMPRODUCT((nCUENTA=1)*(nCURSO=A430)*(nASIG=B430)*(nNOTA=1))</f>
        <v>0</v>
      </c>
      <c r="M430">
        <f>SUMPRODUCT((nCUENTA=1)*(nCURSO=A430)*(nASIG=B430)*(nNOTA=2))</f>
        <v>0</v>
      </c>
      <c r="N430">
        <f>SUMPRODUCT((nCUENTA=1)*(nCURSO=A430)*(nASIG=B430)*(nNOTA=3))</f>
        <v>0</v>
      </c>
      <c r="O430">
        <f>SUMPRODUCT((nCUENTA=1)*(nCURSO=A430)*(nASIG=B430)*(nNOTA=4))</f>
        <v>0</v>
      </c>
      <c r="P430">
        <f>SUMPRODUCT((nCUENTA=1)*(nCURSO=A430)*(nASIG=B430)*(nNOTA=5))</f>
        <v>0</v>
      </c>
      <c r="Q430">
        <f>SUMPRODUCT((nCUENTA=1)*(nCURSO=A430)*(nASIG=B430)*(nNOTA=6))</f>
        <v>0</v>
      </c>
      <c r="R430">
        <f>SUMPRODUCT((nCUENTA=1)*(nCURSO=A430)*(nASIG=B430)*(nNOTA=7))</f>
        <v>0</v>
      </c>
      <c r="S430">
        <f>SUMPRODUCT((nCUENTA=1)*(nCURSO=A430)*(nASIG=B430)*(nNOTA=8))</f>
        <v>0</v>
      </c>
      <c r="T430">
        <f>SUMPRODUCT((nCUENTA=1)*(nCURSO=A430)*(nASIG=B430)*(nNOTA=9))</f>
        <v>0</v>
      </c>
      <c r="U430">
        <f>SUMPRODUCT((nCUENTA=1)*(nCURSO=A430)*(nASIG=B430)*(nNOTA=10))</f>
        <v>0</v>
      </c>
    </row>
    <row r="431">
      <c r="A431" t="inlineStr">
        <is>
          <t xml:space="preserve">6EPM</t>
        </is>
      </c>
      <c r="B431" cm="1">
        <f t="array" ref="B431">IFERROR(INDEX(_xlfn._xlws.FILTER(CONFIG_ASIGNATURAS!$B$2:$B$91,(CONFIG_ASIGNATURAS!$G$2:$G$91="Sí")*ISNUMBER(SEARCH("6EPM",CONFIG_ASIGNATURAS!$C$2:$C$91))),48),"")</f>
      </c>
      <c r="C431">
        <f>IF(B431="","",IFERROR(VLOOKUP(B431,CONFIG_ASIGNATURAS!$B$2:$D$91,3,FALSE()),"Asignatura"))</f>
      </c>
      <c r="D431">
        <f>SUMPRODUCT((nCUENTA=1)*(nCURSO=A431)*(nASIG=B431))</f>
        <v>0</v>
      </c>
      <c r="E431" s="10" t="str">
        <f>IFERROR(SUMPRODUCT((nCUENTA=1)*(nCURSO=A431)*(nASIG=B431)*(nNOTA))/D431,"—")</f>
        <v>—</v>
      </c>
      <c r="F431" s="10" t="str" cm="1">
        <f t="array" ref="F431">IFERROR(_xlfn.STDEV.P(_xlfn._xlws.FILTER(nNOTA,(nCUENTA=1)*(nCURSO=A431)*(nASIG=B431))),"—")</f>
        <v>—</v>
      </c>
      <c r="G431" t="str" cm="1">
        <f t="array" ref="G431">IFERROR(_xlfn.MODE.SNGL(_xlfn._xlws.FILTER(nNOTA,(nCUENTA=1)*(nCURSO=A431)*(nASIG=B431))),"—")</f>
        <v>—</v>
      </c>
      <c r="H431" s="11" t="str">
        <f>IFERROR(SUMPRODUCT((nCUENTA=1)*(nCURSO=A431)*(nASIG=B431)*(nAPTO="S"))/D431,"—")</f>
        <v>—</v>
      </c>
      <c r="I431" s="11" t="str">
        <f>IFERROR(SUMPRODUCT((nCUENTA=1)*(nCURSO=A431)*(nASIG=B431)*(nAPTO="N"))/D431,"—")</f>
        <v>—</v>
      </c>
      <c r="J431" t="str" cm="1">
        <f t="array" ref="J431">IFERROR(_xlfn.MODE.SNGL(_xlfn._xlws.FILTER(nNOTA,(nCUENTA=1)*(nCURSO=A431)*(nASIG=B431)*(nAPTO="S"))),"—")</f>
        <v>—</v>
      </c>
      <c r="K431" t="str" cm="1">
        <f t="array" ref="K431">IFERROR(_xlfn.MODE.SNGL(_xlfn._xlws.FILTER(nNOTA,(nCUENTA=1)*(nCURSO=A431)*(nASIG=B431)*(nAPTO="N"))),"—")</f>
        <v>—</v>
      </c>
      <c r="L431">
        <f>SUMPRODUCT((nCUENTA=1)*(nCURSO=A431)*(nASIG=B431)*(nNOTA=1))</f>
        <v>0</v>
      </c>
      <c r="M431">
        <f>SUMPRODUCT((nCUENTA=1)*(nCURSO=A431)*(nASIG=B431)*(nNOTA=2))</f>
        <v>0</v>
      </c>
      <c r="N431">
        <f>SUMPRODUCT((nCUENTA=1)*(nCURSO=A431)*(nASIG=B431)*(nNOTA=3))</f>
        <v>0</v>
      </c>
      <c r="O431">
        <f>SUMPRODUCT((nCUENTA=1)*(nCURSO=A431)*(nASIG=B431)*(nNOTA=4))</f>
        <v>0</v>
      </c>
      <c r="P431">
        <f>SUMPRODUCT((nCUENTA=1)*(nCURSO=A431)*(nASIG=B431)*(nNOTA=5))</f>
        <v>0</v>
      </c>
      <c r="Q431">
        <f>SUMPRODUCT((nCUENTA=1)*(nCURSO=A431)*(nASIG=B431)*(nNOTA=6))</f>
        <v>0</v>
      </c>
      <c r="R431">
        <f>SUMPRODUCT((nCUENTA=1)*(nCURSO=A431)*(nASIG=B431)*(nNOTA=7))</f>
        <v>0</v>
      </c>
      <c r="S431">
        <f>SUMPRODUCT((nCUENTA=1)*(nCURSO=A431)*(nASIG=B431)*(nNOTA=8))</f>
        <v>0</v>
      </c>
      <c r="T431">
        <f>SUMPRODUCT((nCUENTA=1)*(nCURSO=A431)*(nASIG=B431)*(nNOTA=9))</f>
        <v>0</v>
      </c>
      <c r="U431">
        <f>SUMPRODUCT((nCUENTA=1)*(nCURSO=A431)*(nASIG=B431)*(nNOTA=10))</f>
        <v>0</v>
      </c>
    </row>
    <row r="432">
      <c r="A432" t="inlineStr">
        <is>
          <t xml:space="preserve">6EPM</t>
        </is>
      </c>
      <c r="B432" cm="1">
        <f t="array" ref="B432">IFERROR(INDEX(_xlfn._xlws.FILTER(CONFIG_ASIGNATURAS!$B$2:$B$91,(CONFIG_ASIGNATURAS!$G$2:$G$91="Sí")*ISNUMBER(SEARCH("6EPM",CONFIG_ASIGNATURAS!$C$2:$C$91))),49),"")</f>
      </c>
      <c r="C432">
        <f>IF(B432="","",IFERROR(VLOOKUP(B432,CONFIG_ASIGNATURAS!$B$2:$D$91,3,FALSE()),"Asignatura"))</f>
      </c>
      <c r="D432">
        <f>SUMPRODUCT((nCUENTA=1)*(nCURSO=A432)*(nASIG=B432))</f>
        <v>0</v>
      </c>
      <c r="E432" s="10" t="str">
        <f>IFERROR(SUMPRODUCT((nCUENTA=1)*(nCURSO=A432)*(nASIG=B432)*(nNOTA))/D432,"—")</f>
        <v>—</v>
      </c>
      <c r="F432" s="10" t="str" cm="1">
        <f t="array" ref="F432">IFERROR(_xlfn.STDEV.P(_xlfn._xlws.FILTER(nNOTA,(nCUENTA=1)*(nCURSO=A432)*(nASIG=B432))),"—")</f>
        <v>—</v>
      </c>
      <c r="G432" t="str" cm="1">
        <f t="array" ref="G432">IFERROR(_xlfn.MODE.SNGL(_xlfn._xlws.FILTER(nNOTA,(nCUENTA=1)*(nCURSO=A432)*(nASIG=B432))),"—")</f>
        <v>—</v>
      </c>
      <c r="H432" s="11" t="str">
        <f>IFERROR(SUMPRODUCT((nCUENTA=1)*(nCURSO=A432)*(nASIG=B432)*(nAPTO="S"))/D432,"—")</f>
        <v>—</v>
      </c>
      <c r="I432" s="11" t="str">
        <f>IFERROR(SUMPRODUCT((nCUENTA=1)*(nCURSO=A432)*(nASIG=B432)*(nAPTO="N"))/D432,"—")</f>
        <v>—</v>
      </c>
      <c r="J432" t="str" cm="1">
        <f t="array" ref="J432">IFERROR(_xlfn.MODE.SNGL(_xlfn._xlws.FILTER(nNOTA,(nCUENTA=1)*(nCURSO=A432)*(nASIG=B432)*(nAPTO="S"))),"—")</f>
        <v>—</v>
      </c>
      <c r="K432" t="str" cm="1">
        <f t="array" ref="K432">IFERROR(_xlfn.MODE.SNGL(_xlfn._xlws.FILTER(nNOTA,(nCUENTA=1)*(nCURSO=A432)*(nASIG=B432)*(nAPTO="N"))),"—")</f>
        <v>—</v>
      </c>
      <c r="L432">
        <f>SUMPRODUCT((nCUENTA=1)*(nCURSO=A432)*(nASIG=B432)*(nNOTA=1))</f>
        <v>0</v>
      </c>
      <c r="M432">
        <f>SUMPRODUCT((nCUENTA=1)*(nCURSO=A432)*(nASIG=B432)*(nNOTA=2))</f>
        <v>0</v>
      </c>
      <c r="N432">
        <f>SUMPRODUCT((nCUENTA=1)*(nCURSO=A432)*(nASIG=B432)*(nNOTA=3))</f>
        <v>0</v>
      </c>
      <c r="O432">
        <f>SUMPRODUCT((nCUENTA=1)*(nCURSO=A432)*(nASIG=B432)*(nNOTA=4))</f>
        <v>0</v>
      </c>
      <c r="P432">
        <f>SUMPRODUCT((nCUENTA=1)*(nCURSO=A432)*(nASIG=B432)*(nNOTA=5))</f>
        <v>0</v>
      </c>
      <c r="Q432">
        <f>SUMPRODUCT((nCUENTA=1)*(nCURSO=A432)*(nASIG=B432)*(nNOTA=6))</f>
        <v>0</v>
      </c>
      <c r="R432">
        <f>SUMPRODUCT((nCUENTA=1)*(nCURSO=A432)*(nASIG=B432)*(nNOTA=7))</f>
        <v>0</v>
      </c>
      <c r="S432">
        <f>SUMPRODUCT((nCUENTA=1)*(nCURSO=A432)*(nASIG=B432)*(nNOTA=8))</f>
        <v>0</v>
      </c>
      <c r="T432">
        <f>SUMPRODUCT((nCUENTA=1)*(nCURSO=A432)*(nASIG=B432)*(nNOTA=9))</f>
        <v>0</v>
      </c>
      <c r="U432">
        <f>SUMPRODUCT((nCUENTA=1)*(nCURSO=A432)*(nASIG=B432)*(nNOTA=10))</f>
        <v>0</v>
      </c>
    </row>
    <row r="433">
      <c r="A433" t="inlineStr">
        <is>
          <t xml:space="preserve">6EPM</t>
        </is>
      </c>
      <c r="B433" cm="1">
        <f t="array" ref="B433">IFERROR(INDEX(_xlfn._xlws.FILTER(CONFIG_ASIGNATURAS!$B$2:$B$91,(CONFIG_ASIGNATURAS!$G$2:$G$91="Sí")*ISNUMBER(SEARCH("6EPM",CONFIG_ASIGNATURAS!$C$2:$C$91))),50),"")</f>
      </c>
      <c r="C433">
        <f>IF(B433="","",IFERROR(VLOOKUP(B433,CONFIG_ASIGNATURAS!$B$2:$D$91,3,FALSE()),"Asignatura"))</f>
      </c>
      <c r="D433">
        <f>SUMPRODUCT((nCUENTA=1)*(nCURSO=A433)*(nASIG=B433))</f>
        <v>0</v>
      </c>
      <c r="E433" s="10" t="str">
        <f>IFERROR(SUMPRODUCT((nCUENTA=1)*(nCURSO=A433)*(nASIG=B433)*(nNOTA))/D433,"—")</f>
        <v>—</v>
      </c>
      <c r="F433" s="10" t="str" cm="1">
        <f t="array" ref="F433">IFERROR(_xlfn.STDEV.P(_xlfn._xlws.FILTER(nNOTA,(nCUENTA=1)*(nCURSO=A433)*(nASIG=B433))),"—")</f>
        <v>—</v>
      </c>
      <c r="G433" t="str" cm="1">
        <f t="array" ref="G433">IFERROR(_xlfn.MODE.SNGL(_xlfn._xlws.FILTER(nNOTA,(nCUENTA=1)*(nCURSO=A433)*(nASIG=B433))),"—")</f>
        <v>—</v>
      </c>
      <c r="H433" s="11" t="str">
        <f>IFERROR(SUMPRODUCT((nCUENTA=1)*(nCURSO=A433)*(nASIG=B433)*(nAPTO="S"))/D433,"—")</f>
        <v>—</v>
      </c>
      <c r="I433" s="11" t="str">
        <f>IFERROR(SUMPRODUCT((nCUENTA=1)*(nCURSO=A433)*(nASIG=B433)*(nAPTO="N"))/D433,"—")</f>
        <v>—</v>
      </c>
      <c r="J433" t="str" cm="1">
        <f t="array" ref="J433">IFERROR(_xlfn.MODE.SNGL(_xlfn._xlws.FILTER(nNOTA,(nCUENTA=1)*(nCURSO=A433)*(nASIG=B433)*(nAPTO="S"))),"—")</f>
        <v>—</v>
      </c>
      <c r="K433" t="str" cm="1">
        <f t="array" ref="K433">IFERROR(_xlfn.MODE.SNGL(_xlfn._xlws.FILTER(nNOTA,(nCUENTA=1)*(nCURSO=A433)*(nASIG=B433)*(nAPTO="N"))),"—")</f>
        <v>—</v>
      </c>
      <c r="L433">
        <f>SUMPRODUCT((nCUENTA=1)*(nCURSO=A433)*(nASIG=B433)*(nNOTA=1))</f>
        <v>0</v>
      </c>
      <c r="M433">
        <f>SUMPRODUCT((nCUENTA=1)*(nCURSO=A433)*(nASIG=B433)*(nNOTA=2))</f>
        <v>0</v>
      </c>
      <c r="N433">
        <f>SUMPRODUCT((nCUENTA=1)*(nCURSO=A433)*(nASIG=B433)*(nNOTA=3))</f>
        <v>0</v>
      </c>
      <c r="O433">
        <f>SUMPRODUCT((nCUENTA=1)*(nCURSO=A433)*(nASIG=B433)*(nNOTA=4))</f>
        <v>0</v>
      </c>
      <c r="P433">
        <f>SUMPRODUCT((nCUENTA=1)*(nCURSO=A433)*(nASIG=B433)*(nNOTA=5))</f>
        <v>0</v>
      </c>
      <c r="Q433">
        <f>SUMPRODUCT((nCUENTA=1)*(nCURSO=A433)*(nASIG=B433)*(nNOTA=6))</f>
        <v>0</v>
      </c>
      <c r="R433">
        <f>SUMPRODUCT((nCUENTA=1)*(nCURSO=A433)*(nASIG=B433)*(nNOTA=7))</f>
        <v>0</v>
      </c>
      <c r="S433">
        <f>SUMPRODUCT((nCUENTA=1)*(nCURSO=A433)*(nASIG=B433)*(nNOTA=8))</f>
        <v>0</v>
      </c>
      <c r="T433">
        <f>SUMPRODUCT((nCUENTA=1)*(nCURSO=A433)*(nASIG=B433)*(nNOTA=9))</f>
        <v>0</v>
      </c>
      <c r="U433">
        <f>SUMPRODUCT((nCUENTA=1)*(nCURSO=A433)*(nASIG=B433)*(nNOTA=10))</f>
        <v>0</v>
      </c>
    </row>
    <row r="434">
      <c r="A434" t="inlineStr">
        <is>
          <t xml:space="preserve">6EPM</t>
        </is>
      </c>
      <c r="B434" cm="1">
        <f t="array" ref="B434">IFERROR(INDEX(_xlfn._xlws.FILTER(CONFIG_ASIGNATURAS!$B$2:$B$91,(CONFIG_ASIGNATURAS!$G$2:$G$91="Sí")*ISNUMBER(SEARCH("6EPM",CONFIG_ASIGNATURAS!$C$2:$C$91))),51),"")</f>
      </c>
      <c r="C434">
        <f>IF(B434="","",IFERROR(VLOOKUP(B434,CONFIG_ASIGNATURAS!$B$2:$D$91,3,FALSE()),"Asignatura"))</f>
      </c>
      <c r="D434">
        <f>SUMPRODUCT((nCUENTA=1)*(nCURSO=A434)*(nASIG=B434))</f>
        <v>0</v>
      </c>
      <c r="E434" s="10" t="str">
        <f>IFERROR(SUMPRODUCT((nCUENTA=1)*(nCURSO=A434)*(nASIG=B434)*(nNOTA))/D434,"—")</f>
        <v>—</v>
      </c>
      <c r="F434" s="10" t="str" cm="1">
        <f t="array" ref="F434">IFERROR(_xlfn.STDEV.P(_xlfn._xlws.FILTER(nNOTA,(nCUENTA=1)*(nCURSO=A434)*(nASIG=B434))),"—")</f>
        <v>—</v>
      </c>
      <c r="G434" t="str" cm="1">
        <f t="array" ref="G434">IFERROR(_xlfn.MODE.SNGL(_xlfn._xlws.FILTER(nNOTA,(nCUENTA=1)*(nCURSO=A434)*(nASIG=B434))),"—")</f>
        <v>—</v>
      </c>
      <c r="H434" s="11" t="str">
        <f>IFERROR(SUMPRODUCT((nCUENTA=1)*(nCURSO=A434)*(nASIG=B434)*(nAPTO="S"))/D434,"—")</f>
        <v>—</v>
      </c>
      <c r="I434" s="11" t="str">
        <f>IFERROR(SUMPRODUCT((nCUENTA=1)*(nCURSO=A434)*(nASIG=B434)*(nAPTO="N"))/D434,"—")</f>
        <v>—</v>
      </c>
      <c r="J434" t="str" cm="1">
        <f t="array" ref="J434">IFERROR(_xlfn.MODE.SNGL(_xlfn._xlws.FILTER(nNOTA,(nCUENTA=1)*(nCURSO=A434)*(nASIG=B434)*(nAPTO="S"))),"—")</f>
        <v>—</v>
      </c>
      <c r="K434" t="str" cm="1">
        <f t="array" ref="K434">IFERROR(_xlfn.MODE.SNGL(_xlfn._xlws.FILTER(nNOTA,(nCUENTA=1)*(nCURSO=A434)*(nASIG=B434)*(nAPTO="N"))),"—")</f>
        <v>—</v>
      </c>
      <c r="L434">
        <f>SUMPRODUCT((nCUENTA=1)*(nCURSO=A434)*(nASIG=B434)*(nNOTA=1))</f>
        <v>0</v>
      </c>
      <c r="M434">
        <f>SUMPRODUCT((nCUENTA=1)*(nCURSO=A434)*(nASIG=B434)*(nNOTA=2))</f>
        <v>0</v>
      </c>
      <c r="N434">
        <f>SUMPRODUCT((nCUENTA=1)*(nCURSO=A434)*(nASIG=B434)*(nNOTA=3))</f>
        <v>0</v>
      </c>
      <c r="O434">
        <f>SUMPRODUCT((nCUENTA=1)*(nCURSO=A434)*(nASIG=B434)*(nNOTA=4))</f>
        <v>0</v>
      </c>
      <c r="P434">
        <f>SUMPRODUCT((nCUENTA=1)*(nCURSO=A434)*(nASIG=B434)*(nNOTA=5))</f>
        <v>0</v>
      </c>
      <c r="Q434">
        <f>SUMPRODUCT((nCUENTA=1)*(nCURSO=A434)*(nASIG=B434)*(nNOTA=6))</f>
        <v>0</v>
      </c>
      <c r="R434">
        <f>SUMPRODUCT((nCUENTA=1)*(nCURSO=A434)*(nASIG=B434)*(nNOTA=7))</f>
        <v>0</v>
      </c>
      <c r="S434">
        <f>SUMPRODUCT((nCUENTA=1)*(nCURSO=A434)*(nASIG=B434)*(nNOTA=8))</f>
        <v>0</v>
      </c>
      <c r="T434">
        <f>SUMPRODUCT((nCUENTA=1)*(nCURSO=A434)*(nASIG=B434)*(nNOTA=9))</f>
        <v>0</v>
      </c>
      <c r="U434">
        <f>SUMPRODUCT((nCUENTA=1)*(nCURSO=A434)*(nASIG=B434)*(nNOTA=10))</f>
        <v>0</v>
      </c>
    </row>
    <row r="435">
      <c r="A435" t="inlineStr">
        <is>
          <t xml:space="preserve">6EPM</t>
        </is>
      </c>
      <c r="B435" cm="1">
        <f t="array" ref="B435">IFERROR(INDEX(_xlfn._xlws.FILTER(CONFIG_ASIGNATURAS!$B$2:$B$91,(CONFIG_ASIGNATURAS!$G$2:$G$91="Sí")*ISNUMBER(SEARCH("6EPM",CONFIG_ASIGNATURAS!$C$2:$C$91))),52),"")</f>
      </c>
      <c r="C435">
        <f>IF(B435="","",IFERROR(VLOOKUP(B435,CONFIG_ASIGNATURAS!$B$2:$D$91,3,FALSE()),"Asignatura"))</f>
      </c>
      <c r="D435">
        <f>SUMPRODUCT((nCUENTA=1)*(nCURSO=A435)*(nASIG=B435))</f>
        <v>0</v>
      </c>
      <c r="E435" s="10" t="str">
        <f>IFERROR(SUMPRODUCT((nCUENTA=1)*(nCURSO=A435)*(nASIG=B435)*(nNOTA))/D435,"—")</f>
        <v>—</v>
      </c>
      <c r="F435" s="10" t="str" cm="1">
        <f t="array" ref="F435">IFERROR(_xlfn.STDEV.P(_xlfn._xlws.FILTER(nNOTA,(nCUENTA=1)*(nCURSO=A435)*(nASIG=B435))),"—")</f>
        <v>—</v>
      </c>
      <c r="G435" t="str" cm="1">
        <f t="array" ref="G435">IFERROR(_xlfn.MODE.SNGL(_xlfn._xlws.FILTER(nNOTA,(nCUENTA=1)*(nCURSO=A435)*(nASIG=B435))),"—")</f>
        <v>—</v>
      </c>
      <c r="H435" s="11" t="str">
        <f>IFERROR(SUMPRODUCT((nCUENTA=1)*(nCURSO=A435)*(nASIG=B435)*(nAPTO="S"))/D435,"—")</f>
        <v>—</v>
      </c>
      <c r="I435" s="11" t="str">
        <f>IFERROR(SUMPRODUCT((nCUENTA=1)*(nCURSO=A435)*(nASIG=B435)*(nAPTO="N"))/D435,"—")</f>
        <v>—</v>
      </c>
      <c r="J435" t="str" cm="1">
        <f t="array" ref="J435">IFERROR(_xlfn.MODE.SNGL(_xlfn._xlws.FILTER(nNOTA,(nCUENTA=1)*(nCURSO=A435)*(nASIG=B435)*(nAPTO="S"))),"—")</f>
        <v>—</v>
      </c>
      <c r="K435" t="str" cm="1">
        <f t="array" ref="K435">IFERROR(_xlfn.MODE.SNGL(_xlfn._xlws.FILTER(nNOTA,(nCUENTA=1)*(nCURSO=A435)*(nASIG=B435)*(nAPTO="N"))),"—")</f>
        <v>—</v>
      </c>
      <c r="L435">
        <f>SUMPRODUCT((nCUENTA=1)*(nCURSO=A435)*(nASIG=B435)*(nNOTA=1))</f>
        <v>0</v>
      </c>
      <c r="M435">
        <f>SUMPRODUCT((nCUENTA=1)*(nCURSO=A435)*(nASIG=B435)*(nNOTA=2))</f>
        <v>0</v>
      </c>
      <c r="N435">
        <f>SUMPRODUCT((nCUENTA=1)*(nCURSO=A435)*(nASIG=B435)*(nNOTA=3))</f>
        <v>0</v>
      </c>
      <c r="O435">
        <f>SUMPRODUCT((nCUENTA=1)*(nCURSO=A435)*(nASIG=B435)*(nNOTA=4))</f>
        <v>0</v>
      </c>
      <c r="P435">
        <f>SUMPRODUCT((nCUENTA=1)*(nCURSO=A435)*(nASIG=B435)*(nNOTA=5))</f>
        <v>0</v>
      </c>
      <c r="Q435">
        <f>SUMPRODUCT((nCUENTA=1)*(nCURSO=A435)*(nASIG=B435)*(nNOTA=6))</f>
        <v>0</v>
      </c>
      <c r="R435">
        <f>SUMPRODUCT((nCUENTA=1)*(nCURSO=A435)*(nASIG=B435)*(nNOTA=7))</f>
        <v>0</v>
      </c>
      <c r="S435">
        <f>SUMPRODUCT((nCUENTA=1)*(nCURSO=A435)*(nASIG=B435)*(nNOTA=8))</f>
        <v>0</v>
      </c>
      <c r="T435">
        <f>SUMPRODUCT((nCUENTA=1)*(nCURSO=A435)*(nASIG=B435)*(nNOTA=9))</f>
        <v>0</v>
      </c>
      <c r="U435">
        <f>SUMPRODUCT((nCUENTA=1)*(nCURSO=A435)*(nASIG=B435)*(nNOTA=10))</f>
        <v>0</v>
      </c>
    </row>
    <row r="436">
      <c r="A436" t="inlineStr">
        <is>
          <t xml:space="preserve">6EPM</t>
        </is>
      </c>
      <c r="B436" cm="1">
        <f t="array" ref="B436">IFERROR(INDEX(_xlfn._xlws.FILTER(CONFIG_ASIGNATURAS!$B$2:$B$91,(CONFIG_ASIGNATURAS!$G$2:$G$91="Sí")*ISNUMBER(SEARCH("6EPM",CONFIG_ASIGNATURAS!$C$2:$C$91))),53),"")</f>
      </c>
      <c r="C436">
        <f>IF(B436="","",IFERROR(VLOOKUP(B436,CONFIG_ASIGNATURAS!$B$2:$D$91,3,FALSE()),"Asignatura"))</f>
      </c>
      <c r="D436">
        <f>SUMPRODUCT((nCUENTA=1)*(nCURSO=A436)*(nASIG=B436))</f>
        <v>0</v>
      </c>
      <c r="E436" s="10" t="str">
        <f>IFERROR(SUMPRODUCT((nCUENTA=1)*(nCURSO=A436)*(nASIG=B436)*(nNOTA))/D436,"—")</f>
        <v>—</v>
      </c>
      <c r="F436" s="10" t="str" cm="1">
        <f t="array" ref="F436">IFERROR(_xlfn.STDEV.P(_xlfn._xlws.FILTER(nNOTA,(nCUENTA=1)*(nCURSO=A436)*(nASIG=B436))),"—")</f>
        <v>—</v>
      </c>
      <c r="G436" t="str" cm="1">
        <f t="array" ref="G436">IFERROR(_xlfn.MODE.SNGL(_xlfn._xlws.FILTER(nNOTA,(nCUENTA=1)*(nCURSO=A436)*(nASIG=B436))),"—")</f>
        <v>—</v>
      </c>
      <c r="H436" s="11" t="str">
        <f>IFERROR(SUMPRODUCT((nCUENTA=1)*(nCURSO=A436)*(nASIG=B436)*(nAPTO="S"))/D436,"—")</f>
        <v>—</v>
      </c>
      <c r="I436" s="11" t="str">
        <f>IFERROR(SUMPRODUCT((nCUENTA=1)*(nCURSO=A436)*(nASIG=B436)*(nAPTO="N"))/D436,"—")</f>
        <v>—</v>
      </c>
      <c r="J436" t="str" cm="1">
        <f t="array" ref="J436">IFERROR(_xlfn.MODE.SNGL(_xlfn._xlws.FILTER(nNOTA,(nCUENTA=1)*(nCURSO=A436)*(nASIG=B436)*(nAPTO="S"))),"—")</f>
        <v>—</v>
      </c>
      <c r="K436" t="str" cm="1">
        <f t="array" ref="K436">IFERROR(_xlfn.MODE.SNGL(_xlfn._xlws.FILTER(nNOTA,(nCUENTA=1)*(nCURSO=A436)*(nASIG=B436)*(nAPTO="N"))),"—")</f>
        <v>—</v>
      </c>
      <c r="L436">
        <f>SUMPRODUCT((nCUENTA=1)*(nCURSO=A436)*(nASIG=B436)*(nNOTA=1))</f>
        <v>0</v>
      </c>
      <c r="M436">
        <f>SUMPRODUCT((nCUENTA=1)*(nCURSO=A436)*(nASIG=B436)*(nNOTA=2))</f>
        <v>0</v>
      </c>
      <c r="N436">
        <f>SUMPRODUCT((nCUENTA=1)*(nCURSO=A436)*(nASIG=B436)*(nNOTA=3))</f>
        <v>0</v>
      </c>
      <c r="O436">
        <f>SUMPRODUCT((nCUENTA=1)*(nCURSO=A436)*(nASIG=B436)*(nNOTA=4))</f>
        <v>0</v>
      </c>
      <c r="P436">
        <f>SUMPRODUCT((nCUENTA=1)*(nCURSO=A436)*(nASIG=B436)*(nNOTA=5))</f>
        <v>0</v>
      </c>
      <c r="Q436">
        <f>SUMPRODUCT((nCUENTA=1)*(nCURSO=A436)*(nASIG=B436)*(nNOTA=6))</f>
        <v>0</v>
      </c>
      <c r="R436">
        <f>SUMPRODUCT((nCUENTA=1)*(nCURSO=A436)*(nASIG=B436)*(nNOTA=7))</f>
        <v>0</v>
      </c>
      <c r="S436">
        <f>SUMPRODUCT((nCUENTA=1)*(nCURSO=A436)*(nASIG=B436)*(nNOTA=8))</f>
        <v>0</v>
      </c>
      <c r="T436">
        <f>SUMPRODUCT((nCUENTA=1)*(nCURSO=A436)*(nASIG=B436)*(nNOTA=9))</f>
        <v>0</v>
      </c>
      <c r="U436">
        <f>SUMPRODUCT((nCUENTA=1)*(nCURSO=A436)*(nASIG=B436)*(nNOTA=10))</f>
        <v>0</v>
      </c>
    </row>
    <row r="437">
      <c r="A437" t="inlineStr">
        <is>
          <t xml:space="preserve">6EPM</t>
        </is>
      </c>
      <c r="B437" cm="1">
        <f t="array" ref="B437">IFERROR(INDEX(_xlfn._xlws.FILTER(CONFIG_ASIGNATURAS!$B$2:$B$91,(CONFIG_ASIGNATURAS!$G$2:$G$91="Sí")*ISNUMBER(SEARCH("6EPM",CONFIG_ASIGNATURAS!$C$2:$C$91))),54),"")</f>
      </c>
      <c r="C437">
        <f>IF(B437="","",IFERROR(VLOOKUP(B437,CONFIG_ASIGNATURAS!$B$2:$D$91,3,FALSE()),"Asignatura"))</f>
      </c>
      <c r="D437">
        <f>SUMPRODUCT((nCUENTA=1)*(nCURSO=A437)*(nASIG=B437))</f>
        <v>0</v>
      </c>
      <c r="E437" s="10" t="str">
        <f>IFERROR(SUMPRODUCT((nCUENTA=1)*(nCURSO=A437)*(nASIG=B437)*(nNOTA))/D437,"—")</f>
        <v>—</v>
      </c>
      <c r="F437" s="10" t="str" cm="1">
        <f t="array" ref="F437">IFERROR(_xlfn.STDEV.P(_xlfn._xlws.FILTER(nNOTA,(nCUENTA=1)*(nCURSO=A437)*(nASIG=B437))),"—")</f>
        <v>—</v>
      </c>
      <c r="G437" t="str" cm="1">
        <f t="array" ref="G437">IFERROR(_xlfn.MODE.SNGL(_xlfn._xlws.FILTER(nNOTA,(nCUENTA=1)*(nCURSO=A437)*(nASIG=B437))),"—")</f>
        <v>—</v>
      </c>
      <c r="H437" s="11" t="str">
        <f>IFERROR(SUMPRODUCT((nCUENTA=1)*(nCURSO=A437)*(nASIG=B437)*(nAPTO="S"))/D437,"—")</f>
        <v>—</v>
      </c>
      <c r="I437" s="11" t="str">
        <f>IFERROR(SUMPRODUCT((nCUENTA=1)*(nCURSO=A437)*(nASIG=B437)*(nAPTO="N"))/D437,"—")</f>
        <v>—</v>
      </c>
      <c r="J437" t="str" cm="1">
        <f t="array" ref="J437">IFERROR(_xlfn.MODE.SNGL(_xlfn._xlws.FILTER(nNOTA,(nCUENTA=1)*(nCURSO=A437)*(nASIG=B437)*(nAPTO="S"))),"—")</f>
        <v>—</v>
      </c>
      <c r="K437" t="str" cm="1">
        <f t="array" ref="K437">IFERROR(_xlfn.MODE.SNGL(_xlfn._xlws.FILTER(nNOTA,(nCUENTA=1)*(nCURSO=A437)*(nASIG=B437)*(nAPTO="N"))),"—")</f>
        <v>—</v>
      </c>
      <c r="L437">
        <f>SUMPRODUCT((nCUENTA=1)*(nCURSO=A437)*(nASIG=B437)*(nNOTA=1))</f>
        <v>0</v>
      </c>
      <c r="M437">
        <f>SUMPRODUCT((nCUENTA=1)*(nCURSO=A437)*(nASIG=B437)*(nNOTA=2))</f>
        <v>0</v>
      </c>
      <c r="N437">
        <f>SUMPRODUCT((nCUENTA=1)*(nCURSO=A437)*(nASIG=B437)*(nNOTA=3))</f>
        <v>0</v>
      </c>
      <c r="O437">
        <f>SUMPRODUCT((nCUENTA=1)*(nCURSO=A437)*(nASIG=B437)*(nNOTA=4))</f>
        <v>0</v>
      </c>
      <c r="P437">
        <f>SUMPRODUCT((nCUENTA=1)*(nCURSO=A437)*(nASIG=B437)*(nNOTA=5))</f>
        <v>0</v>
      </c>
      <c r="Q437">
        <f>SUMPRODUCT((nCUENTA=1)*(nCURSO=A437)*(nASIG=B437)*(nNOTA=6))</f>
        <v>0</v>
      </c>
      <c r="R437">
        <f>SUMPRODUCT((nCUENTA=1)*(nCURSO=A437)*(nASIG=B437)*(nNOTA=7))</f>
        <v>0</v>
      </c>
      <c r="S437">
        <f>SUMPRODUCT((nCUENTA=1)*(nCURSO=A437)*(nASIG=B437)*(nNOTA=8))</f>
        <v>0</v>
      </c>
      <c r="T437">
        <f>SUMPRODUCT((nCUENTA=1)*(nCURSO=A437)*(nASIG=B437)*(nNOTA=9))</f>
        <v>0</v>
      </c>
      <c r="U437">
        <f>SUMPRODUCT((nCUENTA=1)*(nCURSO=A437)*(nASIG=B437)*(nNOTA=10))</f>
        <v>0</v>
      </c>
    </row>
    <row r="438">
      <c r="A438" t="inlineStr">
        <is>
          <t xml:space="preserve">6EPM</t>
        </is>
      </c>
      <c r="B438" cm="1">
        <f t="array" ref="B438">IFERROR(INDEX(_xlfn._xlws.FILTER(CONFIG_ASIGNATURAS!$B$2:$B$91,(CONFIG_ASIGNATURAS!$G$2:$G$91="Sí")*ISNUMBER(SEARCH("6EPM",CONFIG_ASIGNATURAS!$C$2:$C$91))),55),"")</f>
      </c>
      <c r="C438">
        <f>IF(B438="","",IFERROR(VLOOKUP(B438,CONFIG_ASIGNATURAS!$B$2:$D$91,3,FALSE()),"Asignatura"))</f>
      </c>
      <c r="D438">
        <f>SUMPRODUCT((nCUENTA=1)*(nCURSO=A438)*(nASIG=B438))</f>
        <v>0</v>
      </c>
      <c r="E438" s="10" t="str">
        <f>IFERROR(SUMPRODUCT((nCUENTA=1)*(nCURSO=A438)*(nASIG=B438)*(nNOTA))/D438,"—")</f>
        <v>—</v>
      </c>
      <c r="F438" s="10" t="str" cm="1">
        <f t="array" ref="F438">IFERROR(_xlfn.STDEV.P(_xlfn._xlws.FILTER(nNOTA,(nCUENTA=1)*(nCURSO=A438)*(nASIG=B438))),"—")</f>
        <v>—</v>
      </c>
      <c r="G438" t="str" cm="1">
        <f t="array" ref="G438">IFERROR(_xlfn.MODE.SNGL(_xlfn._xlws.FILTER(nNOTA,(nCUENTA=1)*(nCURSO=A438)*(nASIG=B438))),"—")</f>
        <v>—</v>
      </c>
      <c r="H438" s="11" t="str">
        <f>IFERROR(SUMPRODUCT((nCUENTA=1)*(nCURSO=A438)*(nASIG=B438)*(nAPTO="S"))/D438,"—")</f>
        <v>—</v>
      </c>
      <c r="I438" s="11" t="str">
        <f>IFERROR(SUMPRODUCT((nCUENTA=1)*(nCURSO=A438)*(nASIG=B438)*(nAPTO="N"))/D438,"—")</f>
        <v>—</v>
      </c>
      <c r="J438" t="str" cm="1">
        <f t="array" ref="J438">IFERROR(_xlfn.MODE.SNGL(_xlfn._xlws.FILTER(nNOTA,(nCUENTA=1)*(nCURSO=A438)*(nASIG=B438)*(nAPTO="S"))),"—")</f>
        <v>—</v>
      </c>
      <c r="K438" t="str" cm="1">
        <f t="array" ref="K438">IFERROR(_xlfn.MODE.SNGL(_xlfn._xlws.FILTER(nNOTA,(nCUENTA=1)*(nCURSO=A438)*(nASIG=B438)*(nAPTO="N"))),"—")</f>
        <v>—</v>
      </c>
      <c r="L438">
        <f>SUMPRODUCT((nCUENTA=1)*(nCURSO=A438)*(nASIG=B438)*(nNOTA=1))</f>
        <v>0</v>
      </c>
      <c r="M438">
        <f>SUMPRODUCT((nCUENTA=1)*(nCURSO=A438)*(nASIG=B438)*(nNOTA=2))</f>
        <v>0</v>
      </c>
      <c r="N438">
        <f>SUMPRODUCT((nCUENTA=1)*(nCURSO=A438)*(nASIG=B438)*(nNOTA=3))</f>
        <v>0</v>
      </c>
      <c r="O438">
        <f>SUMPRODUCT((nCUENTA=1)*(nCURSO=A438)*(nASIG=B438)*(nNOTA=4))</f>
        <v>0</v>
      </c>
      <c r="P438">
        <f>SUMPRODUCT((nCUENTA=1)*(nCURSO=A438)*(nASIG=B438)*(nNOTA=5))</f>
        <v>0</v>
      </c>
      <c r="Q438">
        <f>SUMPRODUCT((nCUENTA=1)*(nCURSO=A438)*(nASIG=B438)*(nNOTA=6))</f>
        <v>0</v>
      </c>
      <c r="R438">
        <f>SUMPRODUCT((nCUENTA=1)*(nCURSO=A438)*(nASIG=B438)*(nNOTA=7))</f>
        <v>0</v>
      </c>
      <c r="S438">
        <f>SUMPRODUCT((nCUENTA=1)*(nCURSO=A438)*(nASIG=B438)*(nNOTA=8))</f>
        <v>0</v>
      </c>
      <c r="T438">
        <f>SUMPRODUCT((nCUENTA=1)*(nCURSO=A438)*(nASIG=B438)*(nNOTA=9))</f>
        <v>0</v>
      </c>
      <c r="U438">
        <f>SUMPRODUCT((nCUENTA=1)*(nCURSO=A438)*(nASIG=B438)*(nNOTA=10))</f>
        <v>0</v>
      </c>
    </row>
    <row r="439">
      <c r="A439" t="inlineStr">
        <is>
          <t xml:space="preserve">6EPM</t>
        </is>
      </c>
      <c r="B439" cm="1">
        <f t="array" ref="B439">IFERROR(INDEX(_xlfn._xlws.FILTER(CONFIG_ASIGNATURAS!$B$2:$B$91,(CONFIG_ASIGNATURAS!$G$2:$G$91="Sí")*ISNUMBER(SEARCH("6EPM",CONFIG_ASIGNATURAS!$C$2:$C$91))),56),"")</f>
      </c>
      <c r="C439">
        <f>IF(B439="","",IFERROR(VLOOKUP(B439,CONFIG_ASIGNATURAS!$B$2:$D$91,3,FALSE()),"Asignatura"))</f>
      </c>
      <c r="D439">
        <f>SUMPRODUCT((nCUENTA=1)*(nCURSO=A439)*(nASIG=B439))</f>
        <v>0</v>
      </c>
      <c r="E439" s="10" t="str">
        <f>IFERROR(SUMPRODUCT((nCUENTA=1)*(nCURSO=A439)*(nASIG=B439)*(nNOTA))/D439,"—")</f>
        <v>—</v>
      </c>
      <c r="F439" s="10" t="str" cm="1">
        <f t="array" ref="F439">IFERROR(_xlfn.STDEV.P(_xlfn._xlws.FILTER(nNOTA,(nCUENTA=1)*(nCURSO=A439)*(nASIG=B439))),"—")</f>
        <v>—</v>
      </c>
      <c r="G439" t="str" cm="1">
        <f t="array" ref="G439">IFERROR(_xlfn.MODE.SNGL(_xlfn._xlws.FILTER(nNOTA,(nCUENTA=1)*(nCURSO=A439)*(nASIG=B439))),"—")</f>
        <v>—</v>
      </c>
      <c r="H439" s="11" t="str">
        <f>IFERROR(SUMPRODUCT((nCUENTA=1)*(nCURSO=A439)*(nASIG=B439)*(nAPTO="S"))/D439,"—")</f>
        <v>—</v>
      </c>
      <c r="I439" s="11" t="str">
        <f>IFERROR(SUMPRODUCT((nCUENTA=1)*(nCURSO=A439)*(nASIG=B439)*(nAPTO="N"))/D439,"—")</f>
        <v>—</v>
      </c>
      <c r="J439" t="str" cm="1">
        <f t="array" ref="J439">IFERROR(_xlfn.MODE.SNGL(_xlfn._xlws.FILTER(nNOTA,(nCUENTA=1)*(nCURSO=A439)*(nASIG=B439)*(nAPTO="S"))),"—")</f>
        <v>—</v>
      </c>
      <c r="K439" t="str" cm="1">
        <f t="array" ref="K439">IFERROR(_xlfn.MODE.SNGL(_xlfn._xlws.FILTER(nNOTA,(nCUENTA=1)*(nCURSO=A439)*(nASIG=B439)*(nAPTO="N"))),"—")</f>
        <v>—</v>
      </c>
      <c r="L439">
        <f>SUMPRODUCT((nCUENTA=1)*(nCURSO=A439)*(nASIG=B439)*(nNOTA=1))</f>
        <v>0</v>
      </c>
      <c r="M439">
        <f>SUMPRODUCT((nCUENTA=1)*(nCURSO=A439)*(nASIG=B439)*(nNOTA=2))</f>
        <v>0</v>
      </c>
      <c r="N439">
        <f>SUMPRODUCT((nCUENTA=1)*(nCURSO=A439)*(nASIG=B439)*(nNOTA=3))</f>
        <v>0</v>
      </c>
      <c r="O439">
        <f>SUMPRODUCT((nCUENTA=1)*(nCURSO=A439)*(nASIG=B439)*(nNOTA=4))</f>
        <v>0</v>
      </c>
      <c r="P439">
        <f>SUMPRODUCT((nCUENTA=1)*(nCURSO=A439)*(nASIG=B439)*(nNOTA=5))</f>
        <v>0</v>
      </c>
      <c r="Q439">
        <f>SUMPRODUCT((nCUENTA=1)*(nCURSO=A439)*(nASIG=B439)*(nNOTA=6))</f>
        <v>0</v>
      </c>
      <c r="R439">
        <f>SUMPRODUCT((nCUENTA=1)*(nCURSO=A439)*(nASIG=B439)*(nNOTA=7))</f>
        <v>0</v>
      </c>
      <c r="S439">
        <f>SUMPRODUCT((nCUENTA=1)*(nCURSO=A439)*(nASIG=B439)*(nNOTA=8))</f>
        <v>0</v>
      </c>
      <c r="T439">
        <f>SUMPRODUCT((nCUENTA=1)*(nCURSO=A439)*(nASIG=B439)*(nNOTA=9))</f>
        <v>0</v>
      </c>
      <c r="U439">
        <f>SUMPRODUCT((nCUENTA=1)*(nCURSO=A439)*(nASIG=B439)*(nNOTA=10))</f>
        <v>0</v>
      </c>
    </row>
    <row r="440">
      <c r="A440" t="inlineStr">
        <is>
          <t xml:space="preserve">6EPM</t>
        </is>
      </c>
      <c r="B440" cm="1">
        <f t="array" ref="B440">IFERROR(INDEX(_xlfn._xlws.FILTER(CONFIG_ASIGNATURAS!$B$2:$B$91,(CONFIG_ASIGNATURAS!$G$2:$G$91="Sí")*ISNUMBER(SEARCH("6EPM",CONFIG_ASIGNATURAS!$C$2:$C$91))),57),"")</f>
      </c>
      <c r="C440">
        <f>IF(B440="","",IFERROR(VLOOKUP(B440,CONFIG_ASIGNATURAS!$B$2:$D$91,3,FALSE()),"Asignatura"))</f>
      </c>
      <c r="D440">
        <f>SUMPRODUCT((nCUENTA=1)*(nCURSO=A440)*(nASIG=B440))</f>
        <v>0</v>
      </c>
      <c r="E440" s="10" t="str">
        <f>IFERROR(SUMPRODUCT((nCUENTA=1)*(nCURSO=A440)*(nASIG=B440)*(nNOTA))/D440,"—")</f>
        <v>—</v>
      </c>
      <c r="F440" s="10" t="str" cm="1">
        <f t="array" ref="F440">IFERROR(_xlfn.STDEV.P(_xlfn._xlws.FILTER(nNOTA,(nCUENTA=1)*(nCURSO=A440)*(nASIG=B440))),"—")</f>
        <v>—</v>
      </c>
      <c r="G440" t="str" cm="1">
        <f t="array" ref="G440">IFERROR(_xlfn.MODE.SNGL(_xlfn._xlws.FILTER(nNOTA,(nCUENTA=1)*(nCURSO=A440)*(nASIG=B440))),"—")</f>
        <v>—</v>
      </c>
      <c r="H440" s="11" t="str">
        <f>IFERROR(SUMPRODUCT((nCUENTA=1)*(nCURSO=A440)*(nASIG=B440)*(nAPTO="S"))/D440,"—")</f>
        <v>—</v>
      </c>
      <c r="I440" s="11" t="str">
        <f>IFERROR(SUMPRODUCT((nCUENTA=1)*(nCURSO=A440)*(nASIG=B440)*(nAPTO="N"))/D440,"—")</f>
        <v>—</v>
      </c>
      <c r="J440" t="str" cm="1">
        <f t="array" ref="J440">IFERROR(_xlfn.MODE.SNGL(_xlfn._xlws.FILTER(nNOTA,(nCUENTA=1)*(nCURSO=A440)*(nASIG=B440)*(nAPTO="S"))),"—")</f>
        <v>—</v>
      </c>
      <c r="K440" t="str" cm="1">
        <f t="array" ref="K440">IFERROR(_xlfn.MODE.SNGL(_xlfn._xlws.FILTER(nNOTA,(nCUENTA=1)*(nCURSO=A440)*(nASIG=B440)*(nAPTO="N"))),"—")</f>
        <v>—</v>
      </c>
      <c r="L440">
        <f>SUMPRODUCT((nCUENTA=1)*(nCURSO=A440)*(nASIG=B440)*(nNOTA=1))</f>
        <v>0</v>
      </c>
      <c r="M440">
        <f>SUMPRODUCT((nCUENTA=1)*(nCURSO=A440)*(nASIG=B440)*(nNOTA=2))</f>
        <v>0</v>
      </c>
      <c r="N440">
        <f>SUMPRODUCT((nCUENTA=1)*(nCURSO=A440)*(nASIG=B440)*(nNOTA=3))</f>
        <v>0</v>
      </c>
      <c r="O440">
        <f>SUMPRODUCT((nCUENTA=1)*(nCURSO=A440)*(nASIG=B440)*(nNOTA=4))</f>
        <v>0</v>
      </c>
      <c r="P440">
        <f>SUMPRODUCT((nCUENTA=1)*(nCURSO=A440)*(nASIG=B440)*(nNOTA=5))</f>
        <v>0</v>
      </c>
      <c r="Q440">
        <f>SUMPRODUCT((nCUENTA=1)*(nCURSO=A440)*(nASIG=B440)*(nNOTA=6))</f>
        <v>0</v>
      </c>
      <c r="R440">
        <f>SUMPRODUCT((nCUENTA=1)*(nCURSO=A440)*(nASIG=B440)*(nNOTA=7))</f>
        <v>0</v>
      </c>
      <c r="S440">
        <f>SUMPRODUCT((nCUENTA=1)*(nCURSO=A440)*(nASIG=B440)*(nNOTA=8))</f>
        <v>0</v>
      </c>
      <c r="T440">
        <f>SUMPRODUCT((nCUENTA=1)*(nCURSO=A440)*(nASIG=B440)*(nNOTA=9))</f>
        <v>0</v>
      </c>
      <c r="U440">
        <f>SUMPRODUCT((nCUENTA=1)*(nCURSO=A440)*(nASIG=B440)*(nNOTA=10))</f>
        <v>0</v>
      </c>
    </row>
    <row r="441">
      <c r="A441" t="inlineStr">
        <is>
          <t xml:space="preserve">6EPM</t>
        </is>
      </c>
      <c r="B441" cm="1">
        <f t="array" ref="B441">IFERROR(INDEX(_xlfn._xlws.FILTER(CONFIG_ASIGNATURAS!$B$2:$B$91,(CONFIG_ASIGNATURAS!$G$2:$G$91="Sí")*ISNUMBER(SEARCH("6EPM",CONFIG_ASIGNATURAS!$C$2:$C$91))),58),"")</f>
      </c>
      <c r="C441">
        <f>IF(B441="","",IFERROR(VLOOKUP(B441,CONFIG_ASIGNATURAS!$B$2:$D$91,3,FALSE()),"Asignatura"))</f>
      </c>
      <c r="D441">
        <f>SUMPRODUCT((nCUENTA=1)*(nCURSO=A441)*(nASIG=B441))</f>
        <v>0</v>
      </c>
      <c r="E441" s="10" t="str">
        <f>IFERROR(SUMPRODUCT((nCUENTA=1)*(nCURSO=A441)*(nASIG=B441)*(nNOTA))/D441,"—")</f>
        <v>—</v>
      </c>
      <c r="F441" s="10" t="str" cm="1">
        <f t="array" ref="F441">IFERROR(_xlfn.STDEV.P(_xlfn._xlws.FILTER(nNOTA,(nCUENTA=1)*(nCURSO=A441)*(nASIG=B441))),"—")</f>
        <v>—</v>
      </c>
      <c r="G441" t="str" cm="1">
        <f t="array" ref="G441">IFERROR(_xlfn.MODE.SNGL(_xlfn._xlws.FILTER(nNOTA,(nCUENTA=1)*(nCURSO=A441)*(nASIG=B441))),"—")</f>
        <v>—</v>
      </c>
      <c r="H441" s="11" t="str">
        <f>IFERROR(SUMPRODUCT((nCUENTA=1)*(nCURSO=A441)*(nASIG=B441)*(nAPTO="S"))/D441,"—")</f>
        <v>—</v>
      </c>
      <c r="I441" s="11" t="str">
        <f>IFERROR(SUMPRODUCT((nCUENTA=1)*(nCURSO=A441)*(nASIG=B441)*(nAPTO="N"))/D441,"—")</f>
        <v>—</v>
      </c>
      <c r="J441" t="str" cm="1">
        <f t="array" ref="J441">IFERROR(_xlfn.MODE.SNGL(_xlfn._xlws.FILTER(nNOTA,(nCUENTA=1)*(nCURSO=A441)*(nASIG=B441)*(nAPTO="S"))),"—")</f>
        <v>—</v>
      </c>
      <c r="K441" t="str" cm="1">
        <f t="array" ref="K441">IFERROR(_xlfn.MODE.SNGL(_xlfn._xlws.FILTER(nNOTA,(nCUENTA=1)*(nCURSO=A441)*(nASIG=B441)*(nAPTO="N"))),"—")</f>
        <v>—</v>
      </c>
      <c r="L441">
        <f>SUMPRODUCT((nCUENTA=1)*(nCURSO=A441)*(nASIG=B441)*(nNOTA=1))</f>
        <v>0</v>
      </c>
      <c r="M441">
        <f>SUMPRODUCT((nCUENTA=1)*(nCURSO=A441)*(nASIG=B441)*(nNOTA=2))</f>
        <v>0</v>
      </c>
      <c r="N441">
        <f>SUMPRODUCT((nCUENTA=1)*(nCURSO=A441)*(nASIG=B441)*(nNOTA=3))</f>
        <v>0</v>
      </c>
      <c r="O441">
        <f>SUMPRODUCT((nCUENTA=1)*(nCURSO=A441)*(nASIG=B441)*(nNOTA=4))</f>
        <v>0</v>
      </c>
      <c r="P441">
        <f>SUMPRODUCT((nCUENTA=1)*(nCURSO=A441)*(nASIG=B441)*(nNOTA=5))</f>
        <v>0</v>
      </c>
      <c r="Q441">
        <f>SUMPRODUCT((nCUENTA=1)*(nCURSO=A441)*(nASIG=B441)*(nNOTA=6))</f>
        <v>0</v>
      </c>
      <c r="R441">
        <f>SUMPRODUCT((nCUENTA=1)*(nCURSO=A441)*(nASIG=B441)*(nNOTA=7))</f>
        <v>0</v>
      </c>
      <c r="S441">
        <f>SUMPRODUCT((nCUENTA=1)*(nCURSO=A441)*(nASIG=B441)*(nNOTA=8))</f>
        <v>0</v>
      </c>
      <c r="T441">
        <f>SUMPRODUCT((nCUENTA=1)*(nCURSO=A441)*(nASIG=B441)*(nNOTA=9))</f>
        <v>0</v>
      </c>
      <c r="U441">
        <f>SUMPRODUCT((nCUENTA=1)*(nCURSO=A441)*(nASIG=B441)*(nNOTA=10))</f>
        <v>0</v>
      </c>
    </row>
    <row r="442">
      <c r="A442" t="inlineStr">
        <is>
          <t xml:space="preserve">6EPM</t>
        </is>
      </c>
      <c r="B442" cm="1">
        <f t="array" ref="B442">IFERROR(INDEX(_xlfn._xlws.FILTER(CONFIG_ASIGNATURAS!$B$2:$B$91,(CONFIG_ASIGNATURAS!$G$2:$G$91="Sí")*ISNUMBER(SEARCH("6EPM",CONFIG_ASIGNATURAS!$C$2:$C$91))),59),"")</f>
      </c>
      <c r="C442">
        <f>IF(B442="","",IFERROR(VLOOKUP(B442,CONFIG_ASIGNATURAS!$B$2:$D$91,3,FALSE()),"Asignatura"))</f>
      </c>
      <c r="D442">
        <f>SUMPRODUCT((nCUENTA=1)*(nCURSO=A442)*(nASIG=B442))</f>
        <v>0</v>
      </c>
      <c r="E442" s="10" t="str">
        <f>IFERROR(SUMPRODUCT((nCUENTA=1)*(nCURSO=A442)*(nASIG=B442)*(nNOTA))/D442,"—")</f>
        <v>—</v>
      </c>
      <c r="F442" s="10" t="str" cm="1">
        <f t="array" ref="F442">IFERROR(_xlfn.STDEV.P(_xlfn._xlws.FILTER(nNOTA,(nCUENTA=1)*(nCURSO=A442)*(nASIG=B442))),"—")</f>
        <v>—</v>
      </c>
      <c r="G442" t="str" cm="1">
        <f t="array" ref="G442">IFERROR(_xlfn.MODE.SNGL(_xlfn._xlws.FILTER(nNOTA,(nCUENTA=1)*(nCURSO=A442)*(nASIG=B442))),"—")</f>
        <v>—</v>
      </c>
      <c r="H442" s="11" t="str">
        <f>IFERROR(SUMPRODUCT((nCUENTA=1)*(nCURSO=A442)*(nASIG=B442)*(nAPTO="S"))/D442,"—")</f>
        <v>—</v>
      </c>
      <c r="I442" s="11" t="str">
        <f>IFERROR(SUMPRODUCT((nCUENTA=1)*(nCURSO=A442)*(nASIG=B442)*(nAPTO="N"))/D442,"—")</f>
        <v>—</v>
      </c>
      <c r="J442" t="str" cm="1">
        <f t="array" ref="J442">IFERROR(_xlfn.MODE.SNGL(_xlfn._xlws.FILTER(nNOTA,(nCUENTA=1)*(nCURSO=A442)*(nASIG=B442)*(nAPTO="S"))),"—")</f>
        <v>—</v>
      </c>
      <c r="K442" t="str" cm="1">
        <f t="array" ref="K442">IFERROR(_xlfn.MODE.SNGL(_xlfn._xlws.FILTER(nNOTA,(nCUENTA=1)*(nCURSO=A442)*(nASIG=B442)*(nAPTO="N"))),"—")</f>
        <v>—</v>
      </c>
      <c r="L442">
        <f>SUMPRODUCT((nCUENTA=1)*(nCURSO=A442)*(nASIG=B442)*(nNOTA=1))</f>
        <v>0</v>
      </c>
      <c r="M442">
        <f>SUMPRODUCT((nCUENTA=1)*(nCURSO=A442)*(nASIG=B442)*(nNOTA=2))</f>
        <v>0</v>
      </c>
      <c r="N442">
        <f>SUMPRODUCT((nCUENTA=1)*(nCURSO=A442)*(nASIG=B442)*(nNOTA=3))</f>
        <v>0</v>
      </c>
      <c r="O442">
        <f>SUMPRODUCT((nCUENTA=1)*(nCURSO=A442)*(nASIG=B442)*(nNOTA=4))</f>
        <v>0</v>
      </c>
      <c r="P442">
        <f>SUMPRODUCT((nCUENTA=1)*(nCURSO=A442)*(nASIG=B442)*(nNOTA=5))</f>
        <v>0</v>
      </c>
      <c r="Q442">
        <f>SUMPRODUCT((nCUENTA=1)*(nCURSO=A442)*(nASIG=B442)*(nNOTA=6))</f>
        <v>0</v>
      </c>
      <c r="R442">
        <f>SUMPRODUCT((nCUENTA=1)*(nCURSO=A442)*(nASIG=B442)*(nNOTA=7))</f>
        <v>0</v>
      </c>
      <c r="S442">
        <f>SUMPRODUCT((nCUENTA=1)*(nCURSO=A442)*(nASIG=B442)*(nNOTA=8))</f>
        <v>0</v>
      </c>
      <c r="T442">
        <f>SUMPRODUCT((nCUENTA=1)*(nCURSO=A442)*(nASIG=B442)*(nNOTA=9))</f>
        <v>0</v>
      </c>
      <c r="U442">
        <f>SUMPRODUCT((nCUENTA=1)*(nCURSO=A442)*(nASIG=B442)*(nNOTA=10))</f>
        <v>0</v>
      </c>
    </row>
    <row r="443">
      <c r="A443" t="inlineStr">
        <is>
          <t xml:space="preserve">6EPM</t>
        </is>
      </c>
      <c r="B443" cm="1">
        <f t="array" ref="B443">IFERROR(INDEX(_xlfn._xlws.FILTER(CONFIG_ASIGNATURAS!$B$2:$B$91,(CONFIG_ASIGNATURAS!$G$2:$G$91="Sí")*ISNUMBER(SEARCH("6EPM",CONFIG_ASIGNATURAS!$C$2:$C$91))),60),"")</f>
      </c>
      <c r="C443">
        <f>IF(B443="","",IFERROR(VLOOKUP(B443,CONFIG_ASIGNATURAS!$B$2:$D$91,3,FALSE()),"Asignatura"))</f>
      </c>
      <c r="D443">
        <f>SUMPRODUCT((nCUENTA=1)*(nCURSO=A443)*(nASIG=B443))</f>
        <v>0</v>
      </c>
      <c r="E443" s="10" t="str">
        <f>IFERROR(SUMPRODUCT((nCUENTA=1)*(nCURSO=A443)*(nASIG=B443)*(nNOTA))/D443,"—")</f>
        <v>—</v>
      </c>
      <c r="F443" s="10" t="str" cm="1">
        <f t="array" ref="F443">IFERROR(_xlfn.STDEV.P(_xlfn._xlws.FILTER(nNOTA,(nCUENTA=1)*(nCURSO=A443)*(nASIG=B443))),"—")</f>
        <v>—</v>
      </c>
      <c r="G443" t="str" cm="1">
        <f t="array" ref="G443">IFERROR(_xlfn.MODE.SNGL(_xlfn._xlws.FILTER(nNOTA,(nCUENTA=1)*(nCURSO=A443)*(nASIG=B443))),"—")</f>
        <v>—</v>
      </c>
      <c r="H443" s="11" t="str">
        <f>IFERROR(SUMPRODUCT((nCUENTA=1)*(nCURSO=A443)*(nASIG=B443)*(nAPTO="S"))/D443,"—")</f>
        <v>—</v>
      </c>
      <c r="I443" s="11" t="str">
        <f>IFERROR(SUMPRODUCT((nCUENTA=1)*(nCURSO=A443)*(nASIG=B443)*(nAPTO="N"))/D443,"—")</f>
        <v>—</v>
      </c>
      <c r="J443" t="str" cm="1">
        <f t="array" ref="J443">IFERROR(_xlfn.MODE.SNGL(_xlfn._xlws.FILTER(nNOTA,(nCUENTA=1)*(nCURSO=A443)*(nASIG=B443)*(nAPTO="S"))),"—")</f>
        <v>—</v>
      </c>
      <c r="K443" t="str" cm="1">
        <f t="array" ref="K443">IFERROR(_xlfn.MODE.SNGL(_xlfn._xlws.FILTER(nNOTA,(nCUENTA=1)*(nCURSO=A443)*(nASIG=B443)*(nAPTO="N"))),"—")</f>
        <v>—</v>
      </c>
      <c r="L443">
        <f>SUMPRODUCT((nCUENTA=1)*(nCURSO=A443)*(nASIG=B443)*(nNOTA=1))</f>
        <v>0</v>
      </c>
      <c r="M443">
        <f>SUMPRODUCT((nCUENTA=1)*(nCURSO=A443)*(nASIG=B443)*(nNOTA=2))</f>
        <v>0</v>
      </c>
      <c r="N443">
        <f>SUMPRODUCT((nCUENTA=1)*(nCURSO=A443)*(nASIG=B443)*(nNOTA=3))</f>
        <v>0</v>
      </c>
      <c r="O443">
        <f>SUMPRODUCT((nCUENTA=1)*(nCURSO=A443)*(nASIG=B443)*(nNOTA=4))</f>
        <v>0</v>
      </c>
      <c r="P443">
        <f>SUMPRODUCT((nCUENTA=1)*(nCURSO=A443)*(nASIG=B443)*(nNOTA=5))</f>
        <v>0</v>
      </c>
      <c r="Q443">
        <f>SUMPRODUCT((nCUENTA=1)*(nCURSO=A443)*(nASIG=B443)*(nNOTA=6))</f>
        <v>0</v>
      </c>
      <c r="R443">
        <f>SUMPRODUCT((nCUENTA=1)*(nCURSO=A443)*(nASIG=B443)*(nNOTA=7))</f>
        <v>0</v>
      </c>
      <c r="S443">
        <f>SUMPRODUCT((nCUENTA=1)*(nCURSO=A443)*(nASIG=B443)*(nNOTA=8))</f>
        <v>0</v>
      </c>
      <c r="T443">
        <f>SUMPRODUCT((nCUENTA=1)*(nCURSO=A443)*(nASIG=B443)*(nNOTA=9))</f>
        <v>0</v>
      </c>
      <c r="U443">
        <f>SUMPRODUCT((nCUENTA=1)*(nCURSO=A443)*(nASIG=B443)*(nNOTA=10))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IFERROR(_xlfn.UNIQUE(_xlfn._xlws.FILTER(nNIA,(nCUENTA=1)*(nCURSO="1EPM"))),"")</f>
        <v/>
      </c>
      <c r="B6" t="str">
        <f>IF(A6="","",IF(A6="[FÓRMULA MANUAL]","",IFERROR(AVERAGEIFS(nNOTA,nNIA,A6,nCUENTA,1,nASIG,"Lenguaje Musical"),"")))</f>
        <v/>
      </c>
      <c r="C6" t="str">
        <f>IF(A6="","",IF(A6="[FÓRMULA MANUAL]","",IFERROR(AVERAGEIFS(nNOTA,nNIA,A6,nCUENTA,1,nASIG,"Orquesta/Banda/Conjunto"),"")))</f>
        <v/>
      </c>
      <c r="D6" t="str">
        <f>IF(A6="","",IF(A6="[FÓRMULA MANUAL]","",IFERROR(AVERAGEIFS(nNOTA,nNIA,A6,nCUENTA,1,nASIG,"Conjunto"),"")))</f>
        <v/>
      </c>
      <c r="E6" t="str">
        <f>IF(A6="","",IF(A6="[FÓRMULA MANUAL]","",IFERROR(SUMPRODUCT((nNIA=A6)*(nCUENTA=1)*(COUNTIF(CONFIG_ASIGNATURAS!$B$7:$B$27,nASIG)&gt;0)*(nNOTA))/SUMPRODUCT((nNIA=A6)*(nCUENTA=1)*(COUNTIF(CONFIG_ASIGNATURAS!$B$7:$B$27,nASIG)&gt;0)*1),"")))</f>
        <v/>
      </c>
      <c r="G6" t="str" cm="1">
        <f t="array" ref="G6">IFERROR(_xlfn.UNIQUE(_xlfn._xlws.FILTER(nNIA,(nCUENTA=1)*(nCURSO="2EPM"))),"")</f>
        <v/>
      </c>
      <c r="H6" t="str">
        <f>IF(G6="","",IF(G6="[FÓRMULA MANUAL]","",IFERROR(AVERAGEIFS(nNOTA,nNIA,G6,nCUENTA,1,nASIG,"Lenguaje Musical"),"")))</f>
        <v/>
      </c>
      <c r="I6" t="str">
        <f>IF(G6="","",IF(G6="[FÓRMULA MANUAL]","",IFERROR(AVERAGEIFS(nNOTA,nNIA,G6,nCUENTA,1,nASIG,"Orquesta/Banda/Conjunto"),"")))</f>
        <v/>
      </c>
      <c r="J6" t="str">
        <f>IF(G6="","",IF(G6="[FÓRMULA MANUAL]","",IFERROR(AVERAGEIFS(nNOTA,nNIA,G6,nCUENTA,1,nASIG,"Conjunto"),"")))</f>
        <v/>
      </c>
      <c r="K6" t="str">
        <f>IF(G6="","",IF(G6="[FÓRMULA MANUAL]","",IFERROR(SUMPRODUCT((nNIA=G6)*(nCUENTA=1)*(COUNTIF(CONFIG_ASIGNATURAS!$B$7:$B$27,nASIG)&gt;0)*(nNOTA))/SUMPRODUCT((nNIA=G6)*(nCUENTA=1)*(COUNTIF(CONFIG_ASIGNATURAS!$B$7:$B$27,nASIG)&gt;0)*1),"")))</f>
        <v/>
      </c>
      <c r="M6" t="str" cm="1">
        <f t="array" ref="M6">IFERROR(_xlfn.UNIQUE(_xlfn._xlws.FILTER(nNIA,(nCUENTA=1)*(nCURSO="3EPM"))),"")</f>
        <v/>
      </c>
      <c r="N6" t="str">
        <f>IF(M6="","",IF(M6="[FÓRMULA MANUAL]","",IFERROR(AVERAGEIFS(nNOTA,nNIA,M6,nCUENTA,1,nASIG,"Armonía"),"")))</f>
        <v/>
      </c>
      <c r="O6" t="str">
        <f>IF(M6="","",IF(M6="[FÓRMULA MANUAL]","",IFERROR(AVERAGEIFS(nNOTA,nNIA,M6,nCUENTA,1,nASIG,"Orquesta/Banda/Conjunto"),"")))</f>
        <v/>
      </c>
      <c r="P6" t="str">
        <f>IF(M6="","",IF(M6="[FÓRMULA MANUAL]","",IFERROR(AVERAGEIFS(nNOTA,nNIA,M6,nCUENTA,1,nASIG,"Música de Cámara"),"")))</f>
        <v/>
      </c>
      <c r="Q6" t="str">
        <f>IF(M6="","",IF(M6="[FÓRMULA MANUAL]","",IFERROR(SUMPRODUCT((nNIA=M6)*(nCUENTA=1)*(COUNTIF(CONFIG_ASIGNATURAS!$B$7:$B$27,nASIG)&gt;0)*(nNOTA))/SUMPRODUCT((nNIA=M6)*(nCUENTA=1)*(COUNTIF(CONFIG_ASIGNATURAS!$B$7:$B$27,nASIG)&gt;0)*1),"")))</f>
        <v/>
      </c>
      <c r="S6" t="str" cm="1">
        <f t="array" ref="S6">IFERROR(_xlfn.UNIQUE(_xlfn._xlws.FILTER(nNIA,(nCUENTA=1)*(nCURSO="4EPM"))),"")</f>
        <v/>
      </c>
      <c r="T6" t="str">
        <f>IF(S6="","",IF(S6="[FÓRMULA MANUAL]","",IFERROR(AVERAGEIFS(nNOTA,nNIA,S6,nCUENTA,1,nASIG,"Armonía"),"")))</f>
        <v/>
      </c>
      <c r="U6" t="str">
        <f>IF(S6="","",IF(S6="[FÓRMULA MANUAL]","",IFERROR(AVERAGEIFS(nNOTA,nNIA,S6,nCUENTA,1,nASIG,"Orquesta/Banda/Conjunto"),"")))</f>
        <v/>
      </c>
      <c r="V6" t="str">
        <f>IF(S6="","",IF(S6="[FÓRMULA MANUAL]","",IFERROR(AVERAGEIFS(nNOTA,nNIA,S6,nCUENTA,1,nASIG,"Música de Cámara"),"")))</f>
        <v/>
      </c>
      <c r="W6" t="str">
        <f>IF(S6="","",IF(S6="[FÓRMULA MANUAL]","",IFERROR(SUMPRODUCT((nNIA=S6)*(nCUENTA=1)*(COUNTIF(CONFIG_ASIGNATURAS!$B$7:$B$27,nASIG)&gt;0)*(nNOTA))/SUMPRODUCT((nNIA=S6)*(nCUENTA=1)*(COUNTIF(CONFIG_ASIGNATURAS!$B$7:$B$27,nASIG)&gt;0)*1),"")))</f>
        <v/>
      </c>
      <c r="Y6" t="str" cm="1">
        <f t="array" ref="Y6">IFERROR(_xlfn.UNIQUE(_xlfn._xlws.FILTER(nNIA,(nCUENTA=1)*(nCURSO="5EPM"))),"")</f>
        <v/>
      </c>
      <c r="Z6" t="str">
        <f>IF(Y6="","",IF(Y6="[FÓRMULA MANUAL]","",IFERROR(AVERAGEIFS(nNOTA,nNIA,Y6,nCUENTA,1,nASIG,"Análisis"),"")))</f>
        <v/>
      </c>
      <c r="AA6" t="str">
        <f>IF(Y6="","",IF(Y6="[FÓRMULA MANUAL]","",IFERROR(AVERAGEIFS(nNOTA,nNIA,Y6,nCUENTA,1,nASIG,"Orquesta/Banda/Conjunto"),"")))</f>
        <v/>
      </c>
      <c r="AB6" t="str">
        <f>IF(Y6="","",IF(Y6="[FÓRMULA MANUAL]","",IFERROR(AVERAGEIFS(nNOTA,nNIA,Y6,nCUENTA,1,nASIG,"Música de Cámara"),"")))</f>
        <v/>
      </c>
      <c r="AC6" t="str">
        <f>IF(Y6="","",IF(Y6="[FÓRMULA MANUAL]","",IFERROR(SUMPRODUCT((nNIA=Y6)*(nCUENTA=1)*(COUNTIF(CONFIG_ASIGNATURAS!$B$7:$B$27,nASIG)&gt;0)*(nNOTA))/SUMPRODUCT((nNIA=Y6)*(nCUENTA=1)*(COUNTIF(CONFIG_ASIGNATURAS!$B$7:$B$27,nASIG)&gt;0)*1),"")))</f>
        <v/>
      </c>
      <c r="AE6" t="str" cm="1">
        <f t="array" ref="AE6">IFERROR(_xlfn.UNIQUE(_xlfn._xlws.FILTER(nNIA,(nCUENTA=1)*(nCURSO="6EPM"))),"")</f>
        <v/>
      </c>
      <c r="AF6" t="str">
        <f>IF(AE6="","",IF(AE6="[FÓRMULA MANUAL]","",IFERROR(AVERAGEIFS(nNOTA,nNIA,AE6,nCUENTA,1,nASIG,"Análisis"),"")))</f>
        <v/>
      </c>
      <c r="AG6" t="str">
        <f>IF(AE6="","",IF(AE6="[FÓRMULA MANUAL]","",IFERROR(AVERAGEIFS(nNOTA,nNIA,AE6,nCUENTA,1,nASIG,"Orquesta/Banda/Conjunto"),"")))</f>
        <v/>
      </c>
      <c r="AH6" t="str">
        <f>IF(AE6="","",IF(AE6="[FÓRMULA MANUAL]","",IFERROR(AVERAGEIFS(nNOTA,nNIA,AE6,nCUENTA,1,nASIG,"Música de Cámara"),"")))</f>
        <v/>
      </c>
      <c r="AI6" t="str">
        <f>IF(AE6="","",IF(AE6="[FÓRMULA MANUAL]","",IFERROR(SUMPRODUCT((nNIA=AE6)*(nCUENTA=1)*(COUNTIF(CONFIG_ASIGNATURAS!$B$7:$B$27,nASIG)&gt;0)*(nNOTA))/SUMPRODUCT((nNIA=AE6)*(nCUENTA=1)*(COUNTIF(CONFIG_ASIGNATURAS!$B$7:$B$27,nASIG)&gt;0)*1),"")))</f>
        <v/>
      </c>
    </row>
    <row r="7" spans="1:35" x14ac:dyDescent="0.2">
      <c r="B7" t="str">
        <f>IF(A7="","",IF(A7="[FÓRMULA MANUAL]","",IFERROR(AVERAGEIFS(nNOTA,nNIA,A7,nCUENTA,1,nASIG,"Lenguaje Musical"),"")))</f>
        <v/>
      </c>
      <c r="C7" t="str">
        <f>IF(A7="","",IF(A7="[FÓRMULA MANUAL]","",IFERROR(AVERAGEIFS(nNOTA,nNIA,A7,nCUENTA,1,nASIG,"Orquesta/Banda/Conjunto"),"")))</f>
        <v/>
      </c>
      <c r="D7" t="str">
        <f>IF(A7="","",IF(A7="[FÓRMULA MANUAL]","",IFERROR(AVERAGEIFS(nNOTA,nNIA,A7,nCUENTA,1,nASIG,"Conjunto"),"")))</f>
        <v/>
      </c>
      <c r="E7" t="str">
        <f>IF(A7="","",IF(A7="[FÓRMULA MANUAL]","",IFERROR(SUMPRODUCT((nNIA=A7)*(nCUENTA=1)*(COUNTIF(CONFIG_ASIGNATURAS!$B$7:$B$27,nASIG)&gt;0)*(nNOTA))/SUMPRODUCT((nNIA=A7)*(nCUENTA=1)*(COUNTIF(CONFIG_ASIGNATURAS!$B$7:$B$27,nASIG)&gt;0)*1),"")))</f>
        <v/>
      </c>
      <c r="H7" t="str">
        <f>IF(G7="","",IF(G7="[FÓRMULA MANUAL]","",IFERROR(AVERAGEIFS(nNOTA,nNIA,G7,nCUENTA,1,nASIG,"Lenguaje Musical"),"")))</f>
        <v/>
      </c>
      <c r="I7" t="str">
        <f>IF(G7="","",IF(G7="[FÓRMULA MANUAL]","",IFERROR(AVERAGEIFS(nNOTA,nNIA,G7,nCUENTA,1,nASIG,"Orquesta/Banda/Conjunto"),"")))</f>
        <v/>
      </c>
      <c r="J7" t="str">
        <f>IF(G7="","",IF(G7="[FÓRMULA MANUAL]","",IFERROR(AVERAGEIFS(nNOTA,nNIA,G7,nCUENTA,1,nASIG,"Conjunto"),"")))</f>
        <v/>
      </c>
      <c r="K7" t="str">
        <f>IF(G7="","",IF(G7="[FÓRMULA MANUAL]","",IFERROR(SUMPRODUCT((nNIA=G7)*(nCUENTA=1)*(COUNTIF(CONFIG_ASIGNATURAS!$B$7:$B$27,nASIG)&gt;0)*(nNOTA))/SUMPRODUCT((nNIA=G7)*(nCUENTA=1)*(COUNTIF(CONFIG_ASIGNATURAS!$B$7:$B$27,nASIG)&gt;0)*1),"")))</f>
        <v/>
      </c>
      <c r="N7" t="str">
        <f>IF(M7="","",IF(M7="[FÓRMULA MANUAL]","",IFERROR(AVERAGEIFS(nNOTA,nNIA,M7,nCUENTA,1,nASIG,"Armonía"),"")))</f>
        <v/>
      </c>
      <c r="O7" t="str">
        <f>IF(M7="","",IF(M7="[FÓRMULA MANUAL]","",IFERROR(AVERAGEIFS(nNOTA,nNIA,M7,nCUENTA,1,nASIG,"Orquesta/Banda/Conjunto"),"")))</f>
        <v/>
      </c>
      <c r="P7" t="str">
        <f>IF(M7="","",IF(M7="[FÓRMULA MANUAL]","",IFERROR(AVERAGEIFS(nNOTA,nNIA,M7,nCUENTA,1,nASIG,"Música de Cámara"),"")))</f>
        <v/>
      </c>
      <c r="Q7" t="str">
        <f>IF(M7="","",IF(M7="[FÓRMULA MANUAL]","",IFERROR(SUMPRODUCT((nNIA=M7)*(nCUENTA=1)*(COUNTIF(CONFIG_ASIGNATURAS!$B$7:$B$27,nASIG)&gt;0)*(nNOTA))/SUMPRODUCT((nNIA=M7)*(nCUENTA=1)*(COUNTIF(CONFIG_ASIGNATURAS!$B$7:$B$27,nASIG)&gt;0)*1),"")))</f>
        <v/>
      </c>
      <c r="T7" t="str">
        <f>IF(S7="","",IF(S7="[FÓRMULA MANUAL]","",IFERROR(AVERAGEIFS(nNOTA,nNIA,S7,nCUENTA,1,nASIG,"Armonía"),"")))</f>
        <v/>
      </c>
      <c r="U7" t="str">
        <f>IF(S7="","",IF(S7="[FÓRMULA MANUAL]","",IFERROR(AVERAGEIFS(nNOTA,nNIA,S7,nCUENTA,1,nASIG,"Orquesta/Banda/Conjunto"),"")))</f>
        <v/>
      </c>
      <c r="V7" t="str">
        <f>IF(S7="","",IF(S7="[FÓRMULA MANUAL]","",IFERROR(AVERAGEIFS(nNOTA,nNIA,S7,nCUENTA,1,nASIG,"Música de Cámara"),"")))</f>
        <v/>
      </c>
      <c r="W7" t="str">
        <f>IF(S7="","",IF(S7="[FÓRMULA MANUAL]","",IFERROR(SUMPRODUCT((nNIA=S7)*(nCUENTA=1)*(COUNTIF(CONFIG_ASIGNATURAS!$B$7:$B$27,nASIG)&gt;0)*(nNOTA))/SUMPRODUCT((nNIA=S7)*(nCUENTA=1)*(COUNTIF(CONFIG_ASIGNATURAS!$B$7:$B$27,nASIG)&gt;0)*1),"")))</f>
        <v/>
      </c>
      <c r="Z7" t="str">
        <f>IF(Y7="","",IF(Y7="[FÓRMULA MANUAL]","",IFERROR(AVERAGEIFS(nNOTA,nNIA,Y7,nCUENTA,1,nASIG,"Análisis"),"")))</f>
        <v/>
      </c>
      <c r="AA7" t="str">
        <f>IF(Y7="","",IF(Y7="[FÓRMULA MANUAL]","",IFERROR(AVERAGEIFS(nNOTA,nNIA,Y7,nCUENTA,1,nASIG,"Orquesta/Banda/Conjunto"),"")))</f>
        <v/>
      </c>
      <c r="AB7" t="str">
        <f>IF(Y7="","",IF(Y7="[FÓRMULA MANUAL]","",IFERROR(AVERAGEIFS(nNOTA,nNIA,Y7,nCUENTA,1,nASIG,"Música de Cámara"),"")))</f>
        <v/>
      </c>
      <c r="AC7" t="str">
        <f>IF(Y7="","",IF(Y7="[FÓRMULA MANUAL]","",IFERROR(SUMPRODUCT((nNIA=Y7)*(nCUENTA=1)*(COUNTIF(CONFIG_ASIGNATURAS!$B$7:$B$27,nASIG)&gt;0)*(nNOTA))/SUMPRODUCT((nNIA=Y7)*(nCUENTA=1)*(COUNTIF(CONFIG_ASIGNATURAS!$B$7:$B$27,nASIG)&gt;0)*1),"")))</f>
        <v/>
      </c>
      <c r="AF7" t="str">
        <f>IF(AE7="","",IF(AE7="[FÓRMULA MANUAL]","",IFERROR(AVERAGEIFS(nNOTA,nNIA,AE7,nCUENTA,1,nASIG,"Análisis"),"")))</f>
        <v/>
      </c>
      <c r="AG7" t="str">
        <f>IF(AE7="","",IF(AE7="[FÓRMULA MANUAL]","",IFERROR(AVERAGEIFS(nNOTA,nNIA,AE7,nCUENTA,1,nASIG,"Orquesta/Banda/Conjunto"),"")))</f>
        <v/>
      </c>
      <c r="AH7" t="str">
        <f>IF(AE7="","",IF(AE7="[FÓRMULA MANUAL]","",IFERROR(AVERAGEIFS(nNOTA,nNIA,AE7,nCUENTA,1,nASIG,"Música de Cámara"),"")))</f>
        <v/>
      </c>
      <c r="AI7" t="str">
        <f>IF(AE7="","",IF(AE7="[FÓRMULA MANUAL]","",IFERROR(SUMPRODUCT((nNIA=AE7)*(nCUENTA=1)*(COUNTIF(CONFIG_ASIGNATURAS!$B$7:$B$27,nASIG)&gt;0)*(nNOTA))/SUMPRODUCT((nNIA=AE7)*(nCUENTA=1)*(COUNTIF(CONFIG_ASIGNATURAS!$B$7:$B$27,nASIG)&gt;0)*1),"")))</f>
        <v/>
      </c>
    </row>
    <row r="8" spans="1:35" x14ac:dyDescent="0.2">
      <c r="B8" t="str">
        <f>IF(A8="","",IF(A8="[FÓRMULA MANUAL]","",IFERROR(AVERAGEIFS(nNOTA,nNIA,A8,nCUENTA,1,nASIG,"Lenguaje Musical"),"")))</f>
        <v/>
      </c>
      <c r="C8" t="str">
        <f>IF(A8="","",IF(A8="[FÓRMULA MANUAL]","",IFERROR(AVERAGEIFS(nNOTA,nNIA,A8,nCUENTA,1,nASIG,"Orquesta/Banda/Conjunto"),"")))</f>
        <v/>
      </c>
      <c r="D8" t="str">
        <f>IF(A8="","",IF(A8="[FÓRMULA MANUAL]","",IFERROR(AVERAGEIFS(nNOTA,nNIA,A8,nCUENTA,1,nASIG,"Conjunto"),"")))</f>
        <v/>
      </c>
      <c r="E8" t="str">
        <f>IF(A8="","",IF(A8="[FÓRMULA MANUAL]","",IFERROR(SUMPRODUCT((nNIA=A8)*(nCUENTA=1)*(COUNTIF(CONFIG_ASIGNATURAS!$B$7:$B$27,nASIG)&gt;0)*(nNOTA))/SUMPRODUCT((nNIA=A8)*(nCUENTA=1)*(COUNTIF(CONFIG_ASIGNATURAS!$B$7:$B$27,nASIG)&gt;0)*1),"")))</f>
        <v/>
      </c>
      <c r="H8" t="str">
        <f>IF(G8="","",IF(G8="[FÓRMULA MANUAL]","",IFERROR(AVERAGEIFS(nNOTA,nNIA,G8,nCUENTA,1,nASIG,"Lenguaje Musical"),"")))</f>
        <v/>
      </c>
      <c r="I8" t="str">
        <f>IF(G8="","",IF(G8="[FÓRMULA MANUAL]","",IFERROR(AVERAGEIFS(nNOTA,nNIA,G8,nCUENTA,1,nASIG,"Orquesta/Banda/Conjunto"),"")))</f>
        <v/>
      </c>
      <c r="J8" t="str">
        <f>IF(G8="","",IF(G8="[FÓRMULA MANUAL]","",IFERROR(AVERAGEIFS(nNOTA,nNIA,G8,nCUENTA,1,nASIG,"Conjunto"),"")))</f>
        <v/>
      </c>
      <c r="K8" t="str">
        <f>IF(G8="","",IF(G8="[FÓRMULA MANUAL]","",IFERROR(SUMPRODUCT((nNIA=G8)*(nCUENTA=1)*(COUNTIF(CONFIG_ASIGNATURAS!$B$7:$B$27,nASIG)&gt;0)*(nNOTA))/SUMPRODUCT((nNIA=G8)*(nCUENTA=1)*(COUNTIF(CONFIG_ASIGNATURAS!$B$7:$B$27,nASIG)&gt;0)*1),"")))</f>
        <v/>
      </c>
      <c r="N8" t="str">
        <f>IF(M8="","",IF(M8="[FÓRMULA MANUAL]","",IFERROR(AVERAGEIFS(nNOTA,nNIA,M8,nCUENTA,1,nASIG,"Armonía"),"")))</f>
        <v/>
      </c>
      <c r="O8" t="str">
        <f>IF(M8="","",IF(M8="[FÓRMULA MANUAL]","",IFERROR(AVERAGEIFS(nNOTA,nNIA,M8,nCUENTA,1,nASIG,"Orquesta/Banda/Conjunto"),"")))</f>
        <v/>
      </c>
      <c r="P8" t="str">
        <f>IF(M8="","",IF(M8="[FÓRMULA MANUAL]","",IFERROR(AVERAGEIFS(nNOTA,nNIA,M8,nCUENTA,1,nASIG,"Música de Cámara"),"")))</f>
        <v/>
      </c>
      <c r="Q8" t="str">
        <f>IF(M8="","",IF(M8="[FÓRMULA MANUAL]","",IFERROR(SUMPRODUCT((nNIA=M8)*(nCUENTA=1)*(COUNTIF(CONFIG_ASIGNATURAS!$B$7:$B$27,nASIG)&gt;0)*(nNOTA))/SUMPRODUCT((nNIA=M8)*(nCUENTA=1)*(COUNTIF(CONFIG_ASIGNATURAS!$B$7:$B$27,nASIG)&gt;0)*1),"")))</f>
        <v/>
      </c>
      <c r="T8" t="str">
        <f>IF(S8="","",IF(S8="[FÓRMULA MANUAL]","",IFERROR(AVERAGEIFS(nNOTA,nNIA,S8,nCUENTA,1,nASIG,"Armonía"),"")))</f>
        <v/>
      </c>
      <c r="U8" t="str">
        <f>IF(S8="","",IF(S8="[FÓRMULA MANUAL]","",IFERROR(AVERAGEIFS(nNOTA,nNIA,S8,nCUENTA,1,nASIG,"Orquesta/Banda/Conjunto"),"")))</f>
        <v/>
      </c>
      <c r="V8" t="str">
        <f>IF(S8="","",IF(S8="[FÓRMULA MANUAL]","",IFERROR(AVERAGEIFS(nNOTA,nNIA,S8,nCUENTA,1,nASIG,"Música de Cámara"),"")))</f>
        <v/>
      </c>
      <c r="W8" t="str">
        <f>IF(S8="","",IF(S8="[FÓRMULA MANUAL]","",IFERROR(SUMPRODUCT((nNIA=S8)*(nCUENTA=1)*(COUNTIF(CONFIG_ASIGNATURAS!$B$7:$B$27,nASIG)&gt;0)*(nNOTA))/SUMPRODUCT((nNIA=S8)*(nCUENTA=1)*(COUNTIF(CONFIG_ASIGNATURAS!$B$7:$B$27,nASIG)&gt;0)*1),"")))</f>
        <v/>
      </c>
      <c r="Z8" t="str">
        <f>IF(Y8="","",IF(Y8="[FÓRMULA MANUAL]","",IFERROR(AVERAGEIFS(nNOTA,nNIA,Y8,nCUENTA,1,nASIG,"Análisis"),"")))</f>
        <v/>
      </c>
      <c r="AA8" t="str">
        <f>IF(Y8="","",IF(Y8="[FÓRMULA MANUAL]","",IFERROR(AVERAGEIFS(nNOTA,nNIA,Y8,nCUENTA,1,nASIG,"Orquesta/Banda/Conjunto"),"")))</f>
        <v/>
      </c>
      <c r="AB8" t="str">
        <f>IF(Y8="","",IF(Y8="[FÓRMULA MANUAL]","",IFERROR(AVERAGEIFS(nNOTA,nNIA,Y8,nCUENTA,1,nASIG,"Música de Cámara"),"")))</f>
        <v/>
      </c>
      <c r="AC8" t="str">
        <f>IF(Y8="","",IF(Y8="[FÓRMULA MANUAL]","",IFERROR(SUMPRODUCT((nNIA=Y8)*(nCUENTA=1)*(COUNTIF(CONFIG_ASIGNATURAS!$B$7:$B$27,nASIG)&gt;0)*(nNOTA))/SUMPRODUCT((nNIA=Y8)*(nCUENTA=1)*(COUNTIF(CONFIG_ASIGNATURAS!$B$7:$B$27,nASIG)&gt;0)*1),"")))</f>
        <v/>
      </c>
      <c r="AF8" t="str">
        <f>IF(AE8="","",IF(AE8="[FÓRMULA MANUAL]","",IFERROR(AVERAGEIFS(nNOTA,nNIA,AE8,nCUENTA,1,nASIG,"Análisis"),"")))</f>
        <v/>
      </c>
      <c r="AG8" t="str">
        <f>IF(AE8="","",IF(AE8="[FÓRMULA MANUAL]","",IFERROR(AVERAGEIFS(nNOTA,nNIA,AE8,nCUENTA,1,nASIG,"Orquesta/Banda/Conjunto"),"")))</f>
        <v/>
      </c>
      <c r="AH8" t="str">
        <f>IF(AE8="","",IF(AE8="[FÓRMULA MANUAL]","",IFERROR(AVERAGEIFS(nNOTA,nNIA,AE8,nCUENTA,1,nASIG,"Música de Cámara"),"")))</f>
        <v/>
      </c>
      <c r="AI8" t="str">
        <f>IF(AE8="","",IF(AE8="[FÓRMULA MANUAL]","",IFERROR(SUMPRODUCT((nNIA=AE8)*(nCUENTA=1)*(COUNTIF(CONFIG_ASIGNATURAS!$B$7:$B$27,nASIG)&gt;0)*(nNOTA))/SUMPRODUCT((nNIA=AE8)*(nCUENTA=1)*(COUNTIF(CONFIG_ASIGNATURAS!$B$7:$B$27,nASIG)&gt;0)*1),"")))</f>
        <v/>
      </c>
    </row>
    <row r="9" spans="1:35" x14ac:dyDescent="0.2">
      <c r="B9" t="str">
        <f>IF(A9="","",IF(A9="[FÓRMULA MANUAL]","",IFERROR(AVERAGEIFS(nNOTA,nNIA,A9,nCUENTA,1,nASIG,"Lenguaje Musical"),"")))</f>
        <v/>
      </c>
      <c r="C9" t="str">
        <f>IF(A9="","",IF(A9="[FÓRMULA MANUAL]","",IFERROR(AVERAGEIFS(nNOTA,nNIA,A9,nCUENTA,1,nASIG,"Orquesta/Banda/Conjunto"),"")))</f>
        <v/>
      </c>
      <c r="D9" t="str">
        <f>IF(A9="","",IF(A9="[FÓRMULA MANUAL]","",IFERROR(AVERAGEIFS(nNOTA,nNIA,A9,nCUENTA,1,nASIG,"Conjunto"),"")))</f>
        <v/>
      </c>
      <c r="E9" t="str">
        <f>IF(A9="","",IF(A9="[FÓRMULA MANUAL]","",IFERROR(SUMPRODUCT((nNIA=A9)*(nCUENTA=1)*(COUNTIF(CONFIG_ASIGNATURAS!$B$7:$B$27,nASIG)&gt;0)*(nNOTA))/SUMPRODUCT((nNIA=A9)*(nCUENTA=1)*(COUNTIF(CONFIG_ASIGNATURAS!$B$7:$B$27,nASIG)&gt;0)*1),"")))</f>
        <v/>
      </c>
      <c r="H9" t="str">
        <f>IF(G9="","",IF(G9="[FÓRMULA MANUAL]","",IFERROR(AVERAGEIFS(nNOTA,nNIA,G9,nCUENTA,1,nASIG,"Lenguaje Musical"),"")))</f>
        <v/>
      </c>
      <c r="I9" t="str">
        <f>IF(G9="","",IF(G9="[FÓRMULA MANUAL]","",IFERROR(AVERAGEIFS(nNOTA,nNIA,G9,nCUENTA,1,nASIG,"Orquesta/Banda/Conjunto"),"")))</f>
        <v/>
      </c>
      <c r="J9" t="str">
        <f>IF(G9="","",IF(G9="[FÓRMULA MANUAL]","",IFERROR(AVERAGEIFS(nNOTA,nNIA,G9,nCUENTA,1,nASIG,"Conjunto"),"")))</f>
        <v/>
      </c>
      <c r="K9" t="str">
        <f>IF(G9="","",IF(G9="[FÓRMULA MANUAL]","",IFERROR(SUMPRODUCT((nNIA=G9)*(nCUENTA=1)*(COUNTIF(CONFIG_ASIGNATURAS!$B$7:$B$27,nASIG)&gt;0)*(nNOTA))/SUMPRODUCT((nNIA=G9)*(nCUENTA=1)*(COUNTIF(CONFIG_ASIGNATURAS!$B$7:$B$27,nASIG)&gt;0)*1),"")))</f>
        <v/>
      </c>
      <c r="N9" t="str">
        <f>IF(M9="","",IF(M9="[FÓRMULA MANUAL]","",IFERROR(AVERAGEIFS(nNOTA,nNIA,M9,nCUENTA,1,nASIG,"Armonía"),"")))</f>
        <v/>
      </c>
      <c r="O9" t="str">
        <f>IF(M9="","",IF(M9="[FÓRMULA MANUAL]","",IFERROR(AVERAGEIFS(nNOTA,nNIA,M9,nCUENTA,1,nASIG,"Orquesta/Banda/Conjunto"),"")))</f>
        <v/>
      </c>
      <c r="P9" t="str">
        <f>IF(M9="","",IF(M9="[FÓRMULA MANUAL]","",IFERROR(AVERAGEIFS(nNOTA,nNIA,M9,nCUENTA,1,nASIG,"Música de Cámara"),"")))</f>
        <v/>
      </c>
      <c r="Q9" t="str">
        <f>IF(M9="","",IF(M9="[FÓRMULA MANUAL]","",IFERROR(SUMPRODUCT((nNIA=M9)*(nCUENTA=1)*(COUNTIF(CONFIG_ASIGNATURAS!$B$7:$B$27,nASIG)&gt;0)*(nNOTA))/SUMPRODUCT((nNIA=M9)*(nCUENTA=1)*(COUNTIF(CONFIG_ASIGNATURAS!$B$7:$B$27,nASIG)&gt;0)*1),"")))</f>
        <v/>
      </c>
      <c r="T9" t="str">
        <f>IF(S9="","",IF(S9="[FÓRMULA MANUAL]","",IFERROR(AVERAGEIFS(nNOTA,nNIA,S9,nCUENTA,1,nASIG,"Armonía"),"")))</f>
        <v/>
      </c>
      <c r="U9" t="str">
        <f>IF(S9="","",IF(S9="[FÓRMULA MANUAL]","",IFERROR(AVERAGEIFS(nNOTA,nNIA,S9,nCUENTA,1,nASIG,"Orquesta/Banda/Conjunto"),"")))</f>
        <v/>
      </c>
      <c r="V9" t="str">
        <f>IF(S9="","",IF(S9="[FÓRMULA MANUAL]","",IFERROR(AVERAGEIFS(nNOTA,nNIA,S9,nCUENTA,1,nASIG,"Música de Cámara"),"")))</f>
        <v/>
      </c>
      <c r="W9" t="str">
        <f>IF(S9="","",IF(S9="[FÓRMULA MANUAL]","",IFERROR(SUMPRODUCT((nNIA=S9)*(nCUENTA=1)*(COUNTIF(CONFIG_ASIGNATURAS!$B$7:$B$27,nASIG)&gt;0)*(nNOTA))/SUMPRODUCT((nNIA=S9)*(nCUENTA=1)*(COUNTIF(CONFIG_ASIGNATURAS!$B$7:$B$27,nASIG)&gt;0)*1),"")))</f>
        <v/>
      </c>
      <c r="Z9" t="str">
        <f>IF(Y9="","",IF(Y9="[FÓRMULA MANUAL]","",IFERROR(AVERAGEIFS(nNOTA,nNIA,Y9,nCUENTA,1,nASIG,"Análisis"),"")))</f>
        <v/>
      </c>
      <c r="AA9" t="str">
        <f>IF(Y9="","",IF(Y9="[FÓRMULA MANUAL]","",IFERROR(AVERAGEIFS(nNOTA,nNIA,Y9,nCUENTA,1,nASIG,"Orquesta/Banda/Conjunto"),"")))</f>
        <v/>
      </c>
      <c r="AB9" t="str">
        <f>IF(Y9="","",IF(Y9="[FÓRMULA MANUAL]","",IFERROR(AVERAGEIFS(nNOTA,nNIA,Y9,nCUENTA,1,nASIG,"Música de Cámara"),"")))</f>
        <v/>
      </c>
      <c r="AC9" t="str">
        <f>IF(Y9="","",IF(Y9="[FÓRMULA MANUAL]","",IFERROR(SUMPRODUCT((nNIA=Y9)*(nCUENTA=1)*(COUNTIF(CONFIG_ASIGNATURAS!$B$7:$B$27,nASIG)&gt;0)*(nNOTA))/SUMPRODUCT((nNIA=Y9)*(nCUENTA=1)*(COUNTIF(CONFIG_ASIGNATURAS!$B$7:$B$27,nASIG)&gt;0)*1),"")))</f>
        <v/>
      </c>
      <c r="AF9" t="str">
        <f>IF(AE9="","",IF(AE9="[FÓRMULA MANUAL]","",IFERROR(AVERAGEIFS(nNOTA,nNIA,AE9,nCUENTA,1,nASIG,"Análisis"),"")))</f>
        <v/>
      </c>
      <c r="AG9" t="str">
        <f>IF(AE9="","",IF(AE9="[FÓRMULA MANUAL]","",IFERROR(AVERAGEIFS(nNOTA,nNIA,AE9,nCUENTA,1,nASIG,"Orquesta/Banda/Conjunto"),"")))</f>
        <v/>
      </c>
      <c r="AH9" t="str">
        <f>IF(AE9="","",IF(AE9="[FÓRMULA MANUAL]","",IFERROR(AVERAGEIFS(nNOTA,nNIA,AE9,nCUENTA,1,nASIG,"Música de Cámara"),"")))</f>
        <v/>
      </c>
      <c r="AI9" t="str">
        <f>IF(AE9="","",IF(AE9="[FÓRMULA MANUAL]","",IFERROR(SUMPRODUCT((nNIA=AE9)*(nCUENTA=1)*(COUNTIF(CONFIG_ASIGNATURAS!$B$7:$B$27,nASIG)&gt;0)*(nNOTA))/SUMPRODUCT((nNIA=AE9)*(nCUENTA=1)*(COUNTIF(CONFIG_ASIGNATURAS!$B$7:$B$27,nASIG)&gt;0)*1),"")))</f>
        <v/>
      </c>
    </row>
    <row r="10" spans="1:35" x14ac:dyDescent="0.2">
      <c r="B10" t="str">
        <f>IF(A10="","",IF(A10="[FÓRMULA MANUAL]","",IFERROR(AVERAGEIFS(nNOTA,nNIA,A10,nCUENTA,1,nASIG,"Lenguaje Musical"),"")))</f>
        <v/>
      </c>
      <c r="C10" t="str">
        <f>IF(A10="","",IF(A10="[FÓRMULA MANUAL]","",IFERROR(AVERAGEIFS(nNOTA,nNIA,A10,nCUENTA,1,nASIG,"Orquesta/Banda/Conjunto"),"")))</f>
        <v/>
      </c>
      <c r="D10" t="str">
        <f>IF(A10="","",IF(A10="[FÓRMULA MANUAL]","",IFERROR(AVERAGEIFS(nNOTA,nNIA,A10,nCUENTA,1,nASIG,"Conjunto"),"")))</f>
        <v/>
      </c>
      <c r="E10" t="str">
        <f>IF(A10="","",IF(A10="[FÓRMULA MANUAL]","",IFERROR(SUMPRODUCT((nNIA=A10)*(nCUENTA=1)*(COUNTIF(CONFIG_ASIGNATURAS!$B$7:$B$27,nASIG)&gt;0)*(nNOTA))/SUMPRODUCT((nNIA=A10)*(nCUENTA=1)*(COUNTIF(CONFIG_ASIGNATURAS!$B$7:$B$27,nASIG)&gt;0)*1),"")))</f>
        <v/>
      </c>
      <c r="H10" t="str">
        <f>IF(G10="","",IF(G10="[FÓRMULA MANUAL]","",IFERROR(AVERAGEIFS(nNOTA,nNIA,G10,nCUENTA,1,nASIG,"Lenguaje Musical"),"")))</f>
        <v/>
      </c>
      <c r="I10" t="str">
        <f>IF(G10="","",IF(G10="[FÓRMULA MANUAL]","",IFERROR(AVERAGEIFS(nNOTA,nNIA,G10,nCUENTA,1,nASIG,"Orquesta/Banda/Conjunto"),"")))</f>
        <v/>
      </c>
      <c r="J10" t="str">
        <f>IF(G10="","",IF(G10="[FÓRMULA MANUAL]","",IFERROR(AVERAGEIFS(nNOTA,nNIA,G10,nCUENTA,1,nASIG,"Conjunto"),"")))</f>
        <v/>
      </c>
      <c r="K10" t="str">
        <f>IF(G10="","",IF(G10="[FÓRMULA MANUAL]","",IFERROR(SUMPRODUCT((nNIA=G10)*(nCUENTA=1)*(COUNTIF(CONFIG_ASIGNATURAS!$B$7:$B$27,nASIG)&gt;0)*(nNOTA))/SUMPRODUCT((nNIA=G10)*(nCUENTA=1)*(COUNTIF(CONFIG_ASIGNATURAS!$B$7:$B$27,nASIG)&gt;0)*1),"")))</f>
        <v/>
      </c>
      <c r="N10" t="str">
        <f>IF(M10="","",IF(M10="[FÓRMULA MANUAL]","",IFERROR(AVERAGEIFS(nNOTA,nNIA,M10,nCUENTA,1,nASIG,"Armonía"),"")))</f>
        <v/>
      </c>
      <c r="O10" t="str">
        <f>IF(M10="","",IF(M10="[FÓRMULA MANUAL]","",IFERROR(AVERAGEIFS(nNOTA,nNIA,M10,nCUENTA,1,nASIG,"Orquesta/Banda/Conjunto"),"")))</f>
        <v/>
      </c>
      <c r="P10" t="str">
        <f>IF(M10="","",IF(M10="[FÓRMULA MANUAL]","",IFERROR(AVERAGEIFS(nNOTA,nNIA,M10,nCUENTA,1,nASIG,"Música de Cámara"),"")))</f>
        <v/>
      </c>
      <c r="Q10" t="str">
        <f>IF(M10="","",IF(M10="[FÓRMULA MANUAL]","",IFERROR(SUMPRODUCT((nNIA=M10)*(nCUENTA=1)*(COUNTIF(CONFIG_ASIGNATURAS!$B$7:$B$27,nASIG)&gt;0)*(nNOTA))/SUMPRODUCT((nNIA=M10)*(nCUENTA=1)*(COUNTIF(CONFIG_ASIGNATURAS!$B$7:$B$27,nASIG)&gt;0)*1),"")))</f>
        <v/>
      </c>
      <c r="T10" t="str">
        <f>IF(S10="","",IF(S10="[FÓRMULA MANUAL]","",IFERROR(AVERAGEIFS(nNOTA,nNIA,S10,nCUENTA,1,nASIG,"Armonía"),"")))</f>
        <v/>
      </c>
      <c r="U10" t="str">
        <f>IF(S10="","",IF(S10="[FÓRMULA MANUAL]","",IFERROR(AVERAGEIFS(nNOTA,nNIA,S10,nCUENTA,1,nASIG,"Orquesta/Banda/Conjunto"),"")))</f>
        <v/>
      </c>
      <c r="V10" t="str">
        <f>IF(S10="","",IF(S10="[FÓRMULA MANUAL]","",IFERROR(AVERAGEIFS(nNOTA,nNIA,S10,nCUENTA,1,nASIG,"Música de Cámara"),"")))</f>
        <v/>
      </c>
      <c r="W10" t="str">
        <f>IF(S10="","",IF(S10="[FÓRMULA MANUAL]","",IFERROR(SUMPRODUCT((nNIA=S10)*(nCUENTA=1)*(COUNTIF(CONFIG_ASIGNATURAS!$B$7:$B$27,nASIG)&gt;0)*(nNOTA))/SUMPRODUCT((nNIA=S10)*(nCUENTA=1)*(COUNTIF(CONFIG_ASIGNATURAS!$B$7:$B$27,nASIG)&gt;0)*1),"")))</f>
        <v/>
      </c>
      <c r="Z10" t="str">
        <f>IF(Y10="","",IF(Y10="[FÓRMULA MANUAL]","",IFERROR(AVERAGEIFS(nNOTA,nNIA,Y10,nCUENTA,1,nASIG,"Análisis"),"")))</f>
        <v/>
      </c>
      <c r="AA10" t="str">
        <f>IF(Y10="","",IF(Y10="[FÓRMULA MANUAL]","",IFERROR(AVERAGEIFS(nNOTA,nNIA,Y10,nCUENTA,1,nASIG,"Orquesta/Banda/Conjunto"),"")))</f>
        <v/>
      </c>
      <c r="AB10" t="str">
        <f>IF(Y10="","",IF(Y10="[FÓRMULA MANUAL]","",IFERROR(AVERAGEIFS(nNOTA,nNIA,Y10,nCUENTA,1,nASIG,"Música de Cámara"),"")))</f>
        <v/>
      </c>
      <c r="AC10" t="str">
        <f>IF(Y10="","",IF(Y10="[FÓRMULA MANUAL]","",IFERROR(SUMPRODUCT((nNIA=Y10)*(nCUENTA=1)*(COUNTIF(CONFIG_ASIGNATURAS!$B$7:$B$27,nASIG)&gt;0)*(nNOTA))/SUMPRODUCT((nNIA=Y10)*(nCUENTA=1)*(COUNTIF(CONFIG_ASIGNATURAS!$B$7:$B$27,nASIG)&gt;0)*1),"")))</f>
        <v/>
      </c>
      <c r="AF10" t="str">
        <f>IF(AE10="","",IF(AE10="[FÓRMULA MANUAL]","",IFERROR(AVERAGEIFS(nNOTA,nNIA,AE10,nCUENTA,1,nASIG,"Análisis"),"")))</f>
        <v/>
      </c>
      <c r="AG10" t="str">
        <f>IF(AE10="","",IF(AE10="[FÓRMULA MANUAL]","",IFERROR(AVERAGEIFS(nNOTA,nNIA,AE10,nCUENTA,1,nASIG,"Orquesta/Banda/Conjunto"),"")))</f>
        <v/>
      </c>
      <c r="AH10" t="str">
        <f>IF(AE10="","",IF(AE10="[FÓRMULA MANUAL]","",IFERROR(AVERAGEIFS(nNOTA,nNIA,AE10,nCUENTA,1,nASIG,"Música de Cámara"),"")))</f>
        <v/>
      </c>
      <c r="AI10" t="str">
        <f>IF(AE10="","",IF(AE10="[FÓRMULA MANUAL]","",IFERROR(SUMPRODUCT((nNIA=AE10)*(nCUENTA=1)*(COUNTIF(CONFIG_ASIGNATURAS!$B$7:$B$27,nASIG)&gt;0)*(nNOTA))/SUMPRODUCT((nNIA=AE10)*(nCUENTA=1)*(COUNTIF(CONFIG_ASIGNATURAS!$B$7:$B$27,nASIG)&gt;0)*1),"")))</f>
        <v/>
      </c>
    </row>
    <row r="11" spans="1:35" x14ac:dyDescent="0.2">
      <c r="B11" t="str">
        <f>IF(A11="","",IF(A11="[FÓRMULA MANUAL]","",IFERROR(AVERAGEIFS(nNOTA,nNIA,A11,nCUENTA,1,nASIG,"Lenguaje Musical"),"")))</f>
        <v/>
      </c>
      <c r="C11" t="str">
        <f>IF(A11="","",IF(A11="[FÓRMULA MANUAL]","",IFERROR(AVERAGEIFS(nNOTA,nNIA,A11,nCUENTA,1,nASIG,"Orquesta/Banda/Conjunto"),"")))</f>
        <v/>
      </c>
      <c r="D11" t="str">
        <f>IF(A11="","",IF(A11="[FÓRMULA MANUAL]","",IFERROR(AVERAGEIFS(nNOTA,nNIA,A11,nCUENTA,1,nASIG,"Conjunto"),"")))</f>
        <v/>
      </c>
      <c r="E11" t="str">
        <f>IF(A11="","",IF(A11="[FÓRMULA MANUAL]","",IFERROR(SUMPRODUCT((nNIA=A11)*(nCUENTA=1)*(COUNTIF(CONFIG_ASIGNATURAS!$B$7:$B$27,nASIG)&gt;0)*(nNOTA))/SUMPRODUCT((nNIA=A11)*(nCUENTA=1)*(COUNTIF(CONFIG_ASIGNATURAS!$B$7:$B$27,nASIG)&gt;0)*1),"")))</f>
        <v/>
      </c>
      <c r="H11" t="str">
        <f>IF(G11="","",IF(G11="[FÓRMULA MANUAL]","",IFERROR(AVERAGEIFS(nNOTA,nNIA,G11,nCUENTA,1,nASIG,"Lenguaje Musical"),"")))</f>
        <v/>
      </c>
      <c r="I11" t="str">
        <f>IF(G11="","",IF(G11="[FÓRMULA MANUAL]","",IFERROR(AVERAGEIFS(nNOTA,nNIA,G11,nCUENTA,1,nASIG,"Orquesta/Banda/Conjunto"),"")))</f>
        <v/>
      </c>
      <c r="J11" t="str">
        <f>IF(G11="","",IF(G11="[FÓRMULA MANUAL]","",IFERROR(AVERAGEIFS(nNOTA,nNIA,G11,nCUENTA,1,nASIG,"Conjunto"),"")))</f>
        <v/>
      </c>
      <c r="K11" t="str">
        <f>IF(G11="","",IF(G11="[FÓRMULA MANUAL]","",IFERROR(SUMPRODUCT((nNIA=G11)*(nCUENTA=1)*(COUNTIF(CONFIG_ASIGNATURAS!$B$7:$B$27,nASIG)&gt;0)*(nNOTA))/SUMPRODUCT((nNIA=G11)*(nCUENTA=1)*(COUNTIF(CONFIG_ASIGNATURAS!$B$7:$B$27,nASIG)&gt;0)*1),"")))</f>
        <v/>
      </c>
      <c r="N11" t="str">
        <f>IF(M11="","",IF(M11="[FÓRMULA MANUAL]","",IFERROR(AVERAGEIFS(nNOTA,nNIA,M11,nCUENTA,1,nASIG,"Armonía"),"")))</f>
        <v/>
      </c>
      <c r="O11" t="str">
        <f>IF(M11="","",IF(M11="[FÓRMULA MANUAL]","",IFERROR(AVERAGEIFS(nNOTA,nNIA,M11,nCUENTA,1,nASIG,"Orquesta/Banda/Conjunto"),"")))</f>
        <v/>
      </c>
      <c r="P11" t="str">
        <f>IF(M11="","",IF(M11="[FÓRMULA MANUAL]","",IFERROR(AVERAGEIFS(nNOTA,nNIA,M11,nCUENTA,1,nASIG,"Música de Cámara"),"")))</f>
        <v/>
      </c>
      <c r="Q11" t="str">
        <f>IF(M11="","",IF(M11="[FÓRMULA MANUAL]","",IFERROR(SUMPRODUCT((nNIA=M11)*(nCUENTA=1)*(COUNTIF(CONFIG_ASIGNATURAS!$B$7:$B$27,nASIG)&gt;0)*(nNOTA))/SUMPRODUCT((nNIA=M11)*(nCUENTA=1)*(COUNTIF(CONFIG_ASIGNATURAS!$B$7:$B$27,nASIG)&gt;0)*1),"")))</f>
        <v/>
      </c>
      <c r="T11" t="str">
        <f>IF(S11="","",IF(S11="[FÓRMULA MANUAL]","",IFERROR(AVERAGEIFS(nNOTA,nNIA,S11,nCUENTA,1,nASIG,"Armonía"),"")))</f>
        <v/>
      </c>
      <c r="U11" t="str">
        <f>IF(S11="","",IF(S11="[FÓRMULA MANUAL]","",IFERROR(AVERAGEIFS(nNOTA,nNIA,S11,nCUENTA,1,nASIG,"Orquesta/Banda/Conjunto"),"")))</f>
        <v/>
      </c>
      <c r="V11" t="str">
        <f>IF(S11="","",IF(S11="[FÓRMULA MANUAL]","",IFERROR(AVERAGEIFS(nNOTA,nNIA,S11,nCUENTA,1,nASIG,"Música de Cámara"),"")))</f>
        <v/>
      </c>
      <c r="W11" t="str">
        <f>IF(S11="","",IF(S11="[FÓRMULA MANUAL]","",IFERROR(SUMPRODUCT((nNIA=S11)*(nCUENTA=1)*(COUNTIF(CONFIG_ASIGNATURAS!$B$7:$B$27,nASIG)&gt;0)*(nNOTA))/SUMPRODUCT((nNIA=S11)*(nCUENTA=1)*(COUNTIF(CONFIG_ASIGNATURAS!$B$7:$B$27,nASIG)&gt;0)*1),"")))</f>
        <v/>
      </c>
      <c r="Z11" t="str">
        <f>IF(Y11="","",IF(Y11="[FÓRMULA MANUAL]","",IFERROR(AVERAGEIFS(nNOTA,nNIA,Y11,nCUENTA,1,nASIG,"Análisis"),"")))</f>
        <v/>
      </c>
      <c r="AA11" t="str">
        <f>IF(Y11="","",IF(Y11="[FÓRMULA MANUAL]","",IFERROR(AVERAGEIFS(nNOTA,nNIA,Y11,nCUENTA,1,nASIG,"Orquesta/Banda/Conjunto"),"")))</f>
        <v/>
      </c>
      <c r="AB11" t="str">
        <f>IF(Y11="","",IF(Y11="[FÓRMULA MANUAL]","",IFERROR(AVERAGEIFS(nNOTA,nNIA,Y11,nCUENTA,1,nASIG,"Música de Cámara"),"")))</f>
        <v/>
      </c>
      <c r="AC11" t="str">
        <f>IF(Y11="","",IF(Y11="[FÓRMULA MANUAL]","",IFERROR(SUMPRODUCT((nNIA=Y11)*(nCUENTA=1)*(COUNTIF(CONFIG_ASIGNATURAS!$B$7:$B$27,nASIG)&gt;0)*(nNOTA))/SUMPRODUCT((nNIA=Y11)*(nCUENTA=1)*(COUNTIF(CONFIG_ASIGNATURAS!$B$7:$B$27,nASIG)&gt;0)*1),"")))</f>
        <v/>
      </c>
      <c r="AF11" t="str">
        <f>IF(AE11="","",IF(AE11="[FÓRMULA MANUAL]","",IFERROR(AVERAGEIFS(nNOTA,nNIA,AE11,nCUENTA,1,nASIG,"Análisis"),"")))</f>
        <v/>
      </c>
      <c r="AG11" t="str">
        <f>IF(AE11="","",IF(AE11="[FÓRMULA MANUAL]","",IFERROR(AVERAGEIFS(nNOTA,nNIA,AE11,nCUENTA,1,nASIG,"Orquesta/Banda/Conjunto"),"")))</f>
        <v/>
      </c>
      <c r="AH11" t="str">
        <f>IF(AE11="","",IF(AE11="[FÓRMULA MANUAL]","",IFERROR(AVERAGEIFS(nNOTA,nNIA,AE11,nCUENTA,1,nASIG,"Música de Cámara"),"")))</f>
        <v/>
      </c>
      <c r="AI11" t="str">
        <f>IF(AE11="","",IF(AE11="[FÓRMULA MANUAL]","",IFERROR(SUMPRODUCT((nNIA=AE11)*(nCUENTA=1)*(COUNTIF(CONFIG_ASIGNATURAS!$B$7:$B$27,nASIG)&gt;0)*(nNOTA))/SUMPRODUCT((nNIA=AE11)*(nCUENTA=1)*(COUNTIF(CONFIG_ASIGNATURAS!$B$7:$B$27,nASIG)&gt;0)*1),"")))</f>
        <v/>
      </c>
    </row>
    <row r="12" spans="1:35" x14ac:dyDescent="0.2">
      <c r="B12" t="str">
        <f>IF(A12="","",IF(A12="[FÓRMULA MANUAL]","",IFERROR(AVERAGEIFS(nNOTA,nNIA,A12,nCUENTA,1,nASIG,"Lenguaje Musical"),"")))</f>
        <v/>
      </c>
      <c r="C12" t="str">
        <f>IF(A12="","",IF(A12="[FÓRMULA MANUAL]","",IFERROR(AVERAGEIFS(nNOTA,nNIA,A12,nCUENTA,1,nASIG,"Orquesta/Banda/Conjunto"),"")))</f>
        <v/>
      </c>
      <c r="D12" t="str">
        <f>IF(A12="","",IF(A12="[FÓRMULA MANUAL]","",IFERROR(AVERAGEIFS(nNOTA,nNIA,A12,nCUENTA,1,nASIG,"Conjunto"),"")))</f>
        <v/>
      </c>
      <c r="E12" t="str">
        <f>IF(A12="","",IF(A12="[FÓRMULA MANUAL]","",IFERROR(SUMPRODUCT((nNIA=A12)*(nCUENTA=1)*(COUNTIF(CONFIG_ASIGNATURAS!$B$7:$B$27,nASIG)&gt;0)*(nNOTA))/SUMPRODUCT((nNIA=A12)*(nCUENTA=1)*(COUNTIF(CONFIG_ASIGNATURAS!$B$7:$B$27,nASIG)&gt;0)*1),"")))</f>
        <v/>
      </c>
      <c r="H12" t="str">
        <f>IF(G12="","",IF(G12="[FÓRMULA MANUAL]","",IFERROR(AVERAGEIFS(nNOTA,nNIA,G12,nCUENTA,1,nASIG,"Lenguaje Musical"),"")))</f>
        <v/>
      </c>
      <c r="I12" t="str">
        <f>IF(G12="","",IF(G12="[FÓRMULA MANUAL]","",IFERROR(AVERAGEIFS(nNOTA,nNIA,G12,nCUENTA,1,nASIG,"Orquesta/Banda/Conjunto"),"")))</f>
        <v/>
      </c>
      <c r="J12" t="str">
        <f>IF(G12="","",IF(G12="[FÓRMULA MANUAL]","",IFERROR(AVERAGEIFS(nNOTA,nNIA,G12,nCUENTA,1,nASIG,"Conjunto"),"")))</f>
        <v/>
      </c>
      <c r="K12" t="str">
        <f>IF(G12="","",IF(G12="[FÓRMULA MANUAL]","",IFERROR(SUMPRODUCT((nNIA=G12)*(nCUENTA=1)*(COUNTIF(CONFIG_ASIGNATURAS!$B$7:$B$27,nASIG)&gt;0)*(nNOTA))/SUMPRODUCT((nNIA=G12)*(nCUENTA=1)*(COUNTIF(CONFIG_ASIGNATURAS!$B$7:$B$27,nASIG)&gt;0)*1),"")))</f>
        <v/>
      </c>
      <c r="N12" t="str">
        <f>IF(M12="","",IF(M12="[FÓRMULA MANUAL]","",IFERROR(AVERAGEIFS(nNOTA,nNIA,M12,nCUENTA,1,nASIG,"Armonía"),"")))</f>
        <v/>
      </c>
      <c r="O12" t="str">
        <f>IF(M12="","",IF(M12="[FÓRMULA MANUAL]","",IFERROR(AVERAGEIFS(nNOTA,nNIA,M12,nCUENTA,1,nASIG,"Orquesta/Banda/Conjunto"),"")))</f>
        <v/>
      </c>
      <c r="P12" t="str">
        <f>IF(M12="","",IF(M12="[FÓRMULA MANUAL]","",IFERROR(AVERAGEIFS(nNOTA,nNIA,M12,nCUENTA,1,nASIG,"Música de Cámara"),"")))</f>
        <v/>
      </c>
      <c r="Q12" t="str">
        <f>IF(M12="","",IF(M12="[FÓRMULA MANUAL]","",IFERROR(SUMPRODUCT((nNIA=M12)*(nCUENTA=1)*(COUNTIF(CONFIG_ASIGNATURAS!$B$7:$B$27,nASIG)&gt;0)*(nNOTA))/SUMPRODUCT((nNIA=M12)*(nCUENTA=1)*(COUNTIF(CONFIG_ASIGNATURAS!$B$7:$B$27,nASIG)&gt;0)*1),"")))</f>
        <v/>
      </c>
      <c r="T12" t="str">
        <f>IF(S12="","",IF(S12="[FÓRMULA MANUAL]","",IFERROR(AVERAGEIFS(nNOTA,nNIA,S12,nCUENTA,1,nASIG,"Armonía"),"")))</f>
        <v/>
      </c>
      <c r="U12" t="str">
        <f>IF(S12="","",IF(S12="[FÓRMULA MANUAL]","",IFERROR(AVERAGEIFS(nNOTA,nNIA,S12,nCUENTA,1,nASIG,"Orquesta/Banda/Conjunto"),"")))</f>
        <v/>
      </c>
      <c r="V12" t="str">
        <f>IF(S12="","",IF(S12="[FÓRMULA MANUAL]","",IFERROR(AVERAGEIFS(nNOTA,nNIA,S12,nCUENTA,1,nASIG,"Música de Cámara"),"")))</f>
        <v/>
      </c>
      <c r="W12" t="str">
        <f>IF(S12="","",IF(S12="[FÓRMULA MANUAL]","",IFERROR(SUMPRODUCT((nNIA=S12)*(nCUENTA=1)*(COUNTIF(CONFIG_ASIGNATURAS!$B$7:$B$27,nASIG)&gt;0)*(nNOTA))/SUMPRODUCT((nNIA=S12)*(nCUENTA=1)*(COUNTIF(CONFIG_ASIGNATURAS!$B$7:$B$27,nASIG)&gt;0)*1),"")))</f>
        <v/>
      </c>
      <c r="Z12" t="str">
        <f>IF(Y12="","",IF(Y12="[FÓRMULA MANUAL]","",IFERROR(AVERAGEIFS(nNOTA,nNIA,Y12,nCUENTA,1,nASIG,"Análisis"),"")))</f>
        <v/>
      </c>
      <c r="AA12" t="str">
        <f>IF(Y12="","",IF(Y12="[FÓRMULA MANUAL]","",IFERROR(AVERAGEIFS(nNOTA,nNIA,Y12,nCUENTA,1,nASIG,"Orquesta/Banda/Conjunto"),"")))</f>
        <v/>
      </c>
      <c r="AB12" t="str">
        <f>IF(Y12="","",IF(Y12="[FÓRMULA MANUAL]","",IFERROR(AVERAGEIFS(nNOTA,nNIA,Y12,nCUENTA,1,nASIG,"Música de Cámara"),"")))</f>
        <v/>
      </c>
      <c r="AC12" t="str">
        <f>IF(Y12="","",IF(Y12="[FÓRMULA MANUAL]","",IFERROR(SUMPRODUCT((nNIA=Y12)*(nCUENTA=1)*(COUNTIF(CONFIG_ASIGNATURAS!$B$7:$B$27,nASIG)&gt;0)*(nNOTA))/SUMPRODUCT((nNIA=Y12)*(nCUENTA=1)*(COUNTIF(CONFIG_ASIGNATURAS!$B$7:$B$27,nASIG)&gt;0)*1),"")))</f>
        <v/>
      </c>
      <c r="AF12" t="str">
        <f>IF(AE12="","",IF(AE12="[FÓRMULA MANUAL]","",IFERROR(AVERAGEIFS(nNOTA,nNIA,AE12,nCUENTA,1,nASIG,"Análisis"),"")))</f>
        <v/>
      </c>
      <c r="AG12" t="str">
        <f>IF(AE12="","",IF(AE12="[FÓRMULA MANUAL]","",IFERROR(AVERAGEIFS(nNOTA,nNIA,AE12,nCUENTA,1,nASIG,"Orquesta/Banda/Conjunto"),"")))</f>
        <v/>
      </c>
      <c r="AH12" t="str">
        <f>IF(AE12="","",IF(AE12="[FÓRMULA MANUAL]","",IFERROR(AVERAGEIFS(nNOTA,nNIA,AE12,nCUENTA,1,nASIG,"Música de Cámara"),"")))</f>
        <v/>
      </c>
      <c r="AI12" t="str">
        <f>IF(AE12="","",IF(AE12="[FÓRMULA MANUAL]","",IFERROR(SUMPRODUCT((nNIA=AE12)*(nCUENTA=1)*(COUNTIF(CONFIG_ASIGNATURAS!$B$7:$B$27,nASIG)&gt;0)*(nNOTA))/SUMPRODUCT((nNIA=AE12)*(nCUENTA=1)*(COUNTIF(CONFIG_ASIGNATURAS!$B$7:$B$27,nASIG)&gt;0)*1),"")))</f>
        <v/>
      </c>
    </row>
    <row r="13" spans="1:35" x14ac:dyDescent="0.2">
      <c r="B13" t="str">
        <f>IF(A13="","",IF(A13="[FÓRMULA MANUAL]","",IFERROR(AVERAGEIFS(nNOTA,nNIA,A13,nCUENTA,1,nASIG,"Lenguaje Musical"),"")))</f>
        <v/>
      </c>
      <c r="C13" t="str">
        <f>IF(A13="","",IF(A13="[FÓRMULA MANUAL]","",IFERROR(AVERAGEIFS(nNOTA,nNIA,A13,nCUENTA,1,nASIG,"Orquesta/Banda/Conjunto"),"")))</f>
        <v/>
      </c>
      <c r="D13" t="str">
        <f>IF(A13="","",IF(A13="[FÓRMULA MANUAL]","",IFERROR(AVERAGEIFS(nNOTA,nNIA,A13,nCUENTA,1,nASIG,"Conjunto"),"")))</f>
        <v/>
      </c>
      <c r="E13" t="str">
        <f>IF(A13="","",IF(A13="[FÓRMULA MANUAL]","",IFERROR(SUMPRODUCT((nNIA=A13)*(nCUENTA=1)*(COUNTIF(CONFIG_ASIGNATURAS!$B$7:$B$27,nASIG)&gt;0)*(nNOTA))/SUMPRODUCT((nNIA=A13)*(nCUENTA=1)*(COUNTIF(CONFIG_ASIGNATURAS!$B$7:$B$27,nASIG)&gt;0)*1),"")))</f>
        <v/>
      </c>
      <c r="H13" t="str">
        <f>IF(G13="","",IF(G13="[FÓRMULA MANUAL]","",IFERROR(AVERAGEIFS(nNOTA,nNIA,G13,nCUENTA,1,nASIG,"Lenguaje Musical"),"")))</f>
        <v/>
      </c>
      <c r="I13" t="str">
        <f>IF(G13="","",IF(G13="[FÓRMULA MANUAL]","",IFERROR(AVERAGEIFS(nNOTA,nNIA,G13,nCUENTA,1,nASIG,"Orquesta/Banda/Conjunto"),"")))</f>
        <v/>
      </c>
      <c r="J13" t="str">
        <f>IF(G13="","",IF(G13="[FÓRMULA MANUAL]","",IFERROR(AVERAGEIFS(nNOTA,nNIA,G13,nCUENTA,1,nASIG,"Conjunto"),"")))</f>
        <v/>
      </c>
      <c r="K13" t="str">
        <f>IF(G13="","",IF(G13="[FÓRMULA MANUAL]","",IFERROR(SUMPRODUCT((nNIA=G13)*(nCUENTA=1)*(COUNTIF(CONFIG_ASIGNATURAS!$B$7:$B$27,nASIG)&gt;0)*(nNOTA))/SUMPRODUCT((nNIA=G13)*(nCUENTA=1)*(COUNTIF(CONFIG_ASIGNATURAS!$B$7:$B$27,nASIG)&gt;0)*1),"")))</f>
        <v/>
      </c>
      <c r="N13" t="str">
        <f>IF(M13="","",IF(M13="[FÓRMULA MANUAL]","",IFERROR(AVERAGEIFS(nNOTA,nNIA,M13,nCUENTA,1,nASIG,"Armonía"),"")))</f>
        <v/>
      </c>
      <c r="O13" t="str">
        <f>IF(M13="","",IF(M13="[FÓRMULA MANUAL]","",IFERROR(AVERAGEIFS(nNOTA,nNIA,M13,nCUENTA,1,nASIG,"Orquesta/Banda/Conjunto"),"")))</f>
        <v/>
      </c>
      <c r="P13" t="str">
        <f>IF(M13="","",IF(M13="[FÓRMULA MANUAL]","",IFERROR(AVERAGEIFS(nNOTA,nNIA,M13,nCUENTA,1,nASIG,"Música de Cámara"),"")))</f>
        <v/>
      </c>
      <c r="Q13" t="str">
        <f>IF(M13="","",IF(M13="[FÓRMULA MANUAL]","",IFERROR(SUMPRODUCT((nNIA=M13)*(nCUENTA=1)*(COUNTIF(CONFIG_ASIGNATURAS!$B$7:$B$27,nASIG)&gt;0)*(nNOTA))/SUMPRODUCT((nNIA=M13)*(nCUENTA=1)*(COUNTIF(CONFIG_ASIGNATURAS!$B$7:$B$27,nASIG)&gt;0)*1),"")))</f>
        <v/>
      </c>
      <c r="T13" t="str">
        <f>IF(S13="","",IF(S13="[FÓRMULA MANUAL]","",IFERROR(AVERAGEIFS(nNOTA,nNIA,S13,nCUENTA,1,nASIG,"Armonía"),"")))</f>
        <v/>
      </c>
      <c r="U13" t="str">
        <f>IF(S13="","",IF(S13="[FÓRMULA MANUAL]","",IFERROR(AVERAGEIFS(nNOTA,nNIA,S13,nCUENTA,1,nASIG,"Orquesta/Banda/Conjunto"),"")))</f>
        <v/>
      </c>
      <c r="V13" t="str">
        <f>IF(S13="","",IF(S13="[FÓRMULA MANUAL]","",IFERROR(AVERAGEIFS(nNOTA,nNIA,S13,nCUENTA,1,nASIG,"Música de Cámara"),"")))</f>
        <v/>
      </c>
      <c r="W13" t="str">
        <f>IF(S13="","",IF(S13="[FÓRMULA MANUAL]","",IFERROR(SUMPRODUCT((nNIA=S13)*(nCUENTA=1)*(COUNTIF(CONFIG_ASIGNATURAS!$B$7:$B$27,nASIG)&gt;0)*(nNOTA))/SUMPRODUCT((nNIA=S13)*(nCUENTA=1)*(COUNTIF(CONFIG_ASIGNATURAS!$B$7:$B$27,nASIG)&gt;0)*1),"")))</f>
        <v/>
      </c>
      <c r="Z13" t="str">
        <f>IF(Y13="","",IF(Y13="[FÓRMULA MANUAL]","",IFERROR(AVERAGEIFS(nNOTA,nNIA,Y13,nCUENTA,1,nASIG,"Análisis"),"")))</f>
        <v/>
      </c>
      <c r="AA13" t="str">
        <f>IF(Y13="","",IF(Y13="[FÓRMULA MANUAL]","",IFERROR(AVERAGEIFS(nNOTA,nNIA,Y13,nCUENTA,1,nASIG,"Orquesta/Banda/Conjunto"),"")))</f>
        <v/>
      </c>
      <c r="AB13" t="str">
        <f>IF(Y13="","",IF(Y13="[FÓRMULA MANUAL]","",IFERROR(AVERAGEIFS(nNOTA,nNIA,Y13,nCUENTA,1,nASIG,"Música de Cámara"),"")))</f>
        <v/>
      </c>
      <c r="AC13" t="str">
        <f>IF(Y13="","",IF(Y13="[FÓRMULA MANUAL]","",IFERROR(SUMPRODUCT((nNIA=Y13)*(nCUENTA=1)*(COUNTIF(CONFIG_ASIGNATURAS!$B$7:$B$27,nASIG)&gt;0)*(nNOTA))/SUMPRODUCT((nNIA=Y13)*(nCUENTA=1)*(COUNTIF(CONFIG_ASIGNATURAS!$B$7:$B$27,nASIG)&gt;0)*1),"")))</f>
        <v/>
      </c>
      <c r="AF13" t="str">
        <f>IF(AE13="","",IF(AE13="[FÓRMULA MANUAL]","",IFERROR(AVERAGEIFS(nNOTA,nNIA,AE13,nCUENTA,1,nASIG,"Análisis"),"")))</f>
        <v/>
      </c>
      <c r="AG13" t="str">
        <f>IF(AE13="","",IF(AE13="[FÓRMULA MANUAL]","",IFERROR(AVERAGEIFS(nNOTA,nNIA,AE13,nCUENTA,1,nASIG,"Orquesta/Banda/Conjunto"),"")))</f>
        <v/>
      </c>
      <c r="AH13" t="str">
        <f>IF(AE13="","",IF(AE13="[FÓRMULA MANUAL]","",IFERROR(AVERAGEIFS(nNOTA,nNIA,AE13,nCUENTA,1,nASIG,"Música de Cámara"),"")))</f>
        <v/>
      </c>
      <c r="AI13" t="str">
        <f>IF(AE13="","",IF(AE13="[FÓRMULA MANUAL]","",IFERROR(SUMPRODUCT((nNIA=AE13)*(nCUENTA=1)*(COUNTIF(CONFIG_ASIGNATURAS!$B$7:$B$27,nASIG)&gt;0)*(nNOTA))/SUMPRODUCT((nNIA=AE13)*(nCUENTA=1)*(COUNTIF(CONFIG_ASIGNATURAS!$B$7:$B$27,nASIG)&gt;0)*1),"")))</f>
        <v/>
      </c>
    </row>
    <row r="14" spans="1:35" x14ac:dyDescent="0.2">
      <c r="B14" t="str">
        <f>IF(A14="","",IF(A14="[FÓRMULA MANUAL]","",IFERROR(AVERAGEIFS(nNOTA,nNIA,A14,nCUENTA,1,nASIG,"Lenguaje Musical"),"")))</f>
        <v/>
      </c>
      <c r="C14" t="str">
        <f>IF(A14="","",IF(A14="[FÓRMULA MANUAL]","",IFERROR(AVERAGEIFS(nNOTA,nNIA,A14,nCUENTA,1,nASIG,"Orquesta/Banda/Conjunto"),"")))</f>
        <v/>
      </c>
      <c r="D14" t="str">
        <f>IF(A14="","",IF(A14="[FÓRMULA MANUAL]","",IFERROR(AVERAGEIFS(nNOTA,nNIA,A14,nCUENTA,1,nASIG,"Conjunto"),"")))</f>
        <v/>
      </c>
      <c r="E14" t="str">
        <f>IF(A14="","",IF(A14="[FÓRMULA MANUAL]","",IFERROR(SUMPRODUCT((nNIA=A14)*(nCUENTA=1)*(COUNTIF(CONFIG_ASIGNATURAS!$B$7:$B$27,nASIG)&gt;0)*(nNOTA))/SUMPRODUCT((nNIA=A14)*(nCUENTA=1)*(COUNTIF(CONFIG_ASIGNATURAS!$B$7:$B$27,nASIG)&gt;0)*1),"")))</f>
        <v/>
      </c>
      <c r="H14" t="str">
        <f>IF(G14="","",IF(G14="[FÓRMULA MANUAL]","",IFERROR(AVERAGEIFS(nNOTA,nNIA,G14,nCUENTA,1,nASIG,"Lenguaje Musical"),"")))</f>
        <v/>
      </c>
      <c r="I14" t="str">
        <f>IF(G14="","",IF(G14="[FÓRMULA MANUAL]","",IFERROR(AVERAGEIFS(nNOTA,nNIA,G14,nCUENTA,1,nASIG,"Orquesta/Banda/Conjunto"),"")))</f>
        <v/>
      </c>
      <c r="J14" t="str">
        <f>IF(G14="","",IF(G14="[FÓRMULA MANUAL]","",IFERROR(AVERAGEIFS(nNOTA,nNIA,G14,nCUENTA,1,nASIG,"Conjunto"),"")))</f>
        <v/>
      </c>
      <c r="K14" t="str">
        <f>IF(G14="","",IF(G14="[FÓRMULA MANUAL]","",IFERROR(SUMPRODUCT((nNIA=G14)*(nCUENTA=1)*(COUNTIF(CONFIG_ASIGNATURAS!$B$7:$B$27,nASIG)&gt;0)*(nNOTA))/SUMPRODUCT((nNIA=G14)*(nCUENTA=1)*(COUNTIF(CONFIG_ASIGNATURAS!$B$7:$B$27,nASIG)&gt;0)*1),"")))</f>
        <v/>
      </c>
      <c r="N14" t="str">
        <f>IF(M14="","",IF(M14="[FÓRMULA MANUAL]","",IFERROR(AVERAGEIFS(nNOTA,nNIA,M14,nCUENTA,1,nASIG,"Armonía"),"")))</f>
        <v/>
      </c>
      <c r="O14" t="str">
        <f>IF(M14="","",IF(M14="[FÓRMULA MANUAL]","",IFERROR(AVERAGEIFS(nNOTA,nNIA,M14,nCUENTA,1,nASIG,"Orquesta/Banda/Conjunto"),"")))</f>
        <v/>
      </c>
      <c r="P14" t="str">
        <f>IF(M14="","",IF(M14="[FÓRMULA MANUAL]","",IFERROR(AVERAGEIFS(nNOTA,nNIA,M14,nCUENTA,1,nASIG,"Música de Cámara"),"")))</f>
        <v/>
      </c>
      <c r="Q14" t="str">
        <f>IF(M14="","",IF(M14="[FÓRMULA MANUAL]","",IFERROR(SUMPRODUCT((nNIA=M14)*(nCUENTA=1)*(COUNTIF(CONFIG_ASIGNATURAS!$B$7:$B$27,nASIG)&gt;0)*(nNOTA))/SUMPRODUCT((nNIA=M14)*(nCUENTA=1)*(COUNTIF(CONFIG_ASIGNATURAS!$B$7:$B$27,nASIG)&gt;0)*1),"")))</f>
        <v/>
      </c>
      <c r="T14" t="str">
        <f>IF(S14="","",IF(S14="[FÓRMULA MANUAL]","",IFERROR(AVERAGEIFS(nNOTA,nNIA,S14,nCUENTA,1,nASIG,"Armonía"),"")))</f>
        <v/>
      </c>
      <c r="U14" t="str">
        <f>IF(S14="","",IF(S14="[FÓRMULA MANUAL]","",IFERROR(AVERAGEIFS(nNOTA,nNIA,S14,nCUENTA,1,nASIG,"Orquesta/Banda/Conjunto"),"")))</f>
        <v/>
      </c>
      <c r="V14" t="str">
        <f>IF(S14="","",IF(S14="[FÓRMULA MANUAL]","",IFERROR(AVERAGEIFS(nNOTA,nNIA,S14,nCUENTA,1,nASIG,"Música de Cámara"),"")))</f>
        <v/>
      </c>
      <c r="W14" t="str">
        <f>IF(S14="","",IF(S14="[FÓRMULA MANUAL]","",IFERROR(SUMPRODUCT((nNIA=S14)*(nCUENTA=1)*(COUNTIF(CONFIG_ASIGNATURAS!$B$7:$B$27,nASIG)&gt;0)*(nNOTA))/SUMPRODUCT((nNIA=S14)*(nCUENTA=1)*(COUNTIF(CONFIG_ASIGNATURAS!$B$7:$B$27,nASIG)&gt;0)*1),"")))</f>
        <v/>
      </c>
      <c r="Z14" t="str">
        <f>IF(Y14="","",IF(Y14="[FÓRMULA MANUAL]","",IFERROR(AVERAGEIFS(nNOTA,nNIA,Y14,nCUENTA,1,nASIG,"Análisis"),"")))</f>
        <v/>
      </c>
      <c r="AA14" t="str">
        <f>IF(Y14="","",IF(Y14="[FÓRMULA MANUAL]","",IFERROR(AVERAGEIFS(nNOTA,nNIA,Y14,nCUENTA,1,nASIG,"Orquesta/Banda/Conjunto"),"")))</f>
        <v/>
      </c>
      <c r="AB14" t="str">
        <f>IF(Y14="","",IF(Y14="[FÓRMULA MANUAL]","",IFERROR(AVERAGEIFS(nNOTA,nNIA,Y14,nCUENTA,1,nASIG,"Música de Cámara"),"")))</f>
        <v/>
      </c>
      <c r="AC14" t="str">
        <f>IF(Y14="","",IF(Y14="[FÓRMULA MANUAL]","",IFERROR(SUMPRODUCT((nNIA=Y14)*(nCUENTA=1)*(COUNTIF(CONFIG_ASIGNATURAS!$B$7:$B$27,nASIG)&gt;0)*(nNOTA))/SUMPRODUCT((nNIA=Y14)*(nCUENTA=1)*(COUNTIF(CONFIG_ASIGNATURAS!$B$7:$B$27,nASIG)&gt;0)*1),"")))</f>
        <v/>
      </c>
      <c r="AF14" t="str">
        <f>IF(AE14="","",IF(AE14="[FÓRMULA MANUAL]","",IFERROR(AVERAGEIFS(nNOTA,nNIA,AE14,nCUENTA,1,nASIG,"Análisis"),"")))</f>
        <v/>
      </c>
      <c r="AG14" t="str">
        <f>IF(AE14="","",IF(AE14="[FÓRMULA MANUAL]","",IFERROR(AVERAGEIFS(nNOTA,nNIA,AE14,nCUENTA,1,nASIG,"Orquesta/Banda/Conjunto"),"")))</f>
        <v/>
      </c>
      <c r="AH14" t="str">
        <f>IF(AE14="","",IF(AE14="[FÓRMULA MANUAL]","",IFERROR(AVERAGEIFS(nNOTA,nNIA,AE14,nCUENTA,1,nASIG,"Música de Cámara"),"")))</f>
        <v/>
      </c>
      <c r="AI14" t="str">
        <f>IF(AE14="","",IF(AE14="[FÓRMULA MANUAL]","",IFERROR(SUMPRODUCT((nNIA=AE14)*(nCUENTA=1)*(COUNTIF(CONFIG_ASIGNATURAS!$B$7:$B$27,nASIG)&gt;0)*(nNOTA))/SUMPRODUCT((nNIA=AE14)*(nCUENTA=1)*(COUNTIF(CONFIG_ASIGNATURAS!$B$7:$B$27,nASIG)&gt;0)*1),"")))</f>
        <v/>
      </c>
    </row>
    <row r="15" spans="1:35" x14ac:dyDescent="0.2">
      <c r="B15" t="str">
        <f>IF(A15="","",IF(A15="[FÓRMULA MANUAL]","",IFERROR(AVERAGEIFS(nNOTA,nNIA,A15,nCUENTA,1,nASIG,"Lenguaje Musical"),"")))</f>
        <v/>
      </c>
      <c r="C15" t="str">
        <f>IF(A15="","",IF(A15="[FÓRMULA MANUAL]","",IFERROR(AVERAGEIFS(nNOTA,nNIA,A15,nCUENTA,1,nASIG,"Orquesta/Banda/Conjunto"),"")))</f>
        <v/>
      </c>
      <c r="D15" t="str">
        <f>IF(A15="","",IF(A15="[FÓRMULA MANUAL]","",IFERROR(AVERAGEIFS(nNOTA,nNIA,A15,nCUENTA,1,nASIG,"Conjunto"),"")))</f>
        <v/>
      </c>
      <c r="E15" t="str">
        <f>IF(A15="","",IF(A15="[FÓRMULA MANUAL]","",IFERROR(SUMPRODUCT((nNIA=A15)*(nCUENTA=1)*(COUNTIF(CONFIG_ASIGNATURAS!$B$7:$B$27,nASIG)&gt;0)*(nNOTA))/SUMPRODUCT((nNIA=A15)*(nCUENTA=1)*(COUNTIF(CONFIG_ASIGNATURAS!$B$7:$B$27,nASIG)&gt;0)*1),"")))</f>
        <v/>
      </c>
      <c r="H15" t="str">
        <f>IF(G15="","",IF(G15="[FÓRMULA MANUAL]","",IFERROR(AVERAGEIFS(nNOTA,nNIA,G15,nCUENTA,1,nASIG,"Lenguaje Musical"),"")))</f>
        <v/>
      </c>
      <c r="I15" t="str">
        <f>IF(G15="","",IF(G15="[FÓRMULA MANUAL]","",IFERROR(AVERAGEIFS(nNOTA,nNIA,G15,nCUENTA,1,nASIG,"Orquesta/Banda/Conjunto"),"")))</f>
        <v/>
      </c>
      <c r="J15" t="str">
        <f>IF(G15="","",IF(G15="[FÓRMULA MANUAL]","",IFERROR(AVERAGEIFS(nNOTA,nNIA,G15,nCUENTA,1,nASIG,"Conjunto"),"")))</f>
        <v/>
      </c>
      <c r="K15" t="str">
        <f>IF(G15="","",IF(G15="[FÓRMULA MANUAL]","",IFERROR(SUMPRODUCT((nNIA=G15)*(nCUENTA=1)*(COUNTIF(CONFIG_ASIGNATURAS!$B$7:$B$27,nASIG)&gt;0)*(nNOTA))/SUMPRODUCT((nNIA=G15)*(nCUENTA=1)*(COUNTIF(CONFIG_ASIGNATURAS!$B$7:$B$27,nASIG)&gt;0)*1),"")))</f>
        <v/>
      </c>
      <c r="N15" t="str">
        <f>IF(M15="","",IF(M15="[FÓRMULA MANUAL]","",IFERROR(AVERAGEIFS(nNOTA,nNIA,M15,nCUENTA,1,nASIG,"Armonía"),"")))</f>
        <v/>
      </c>
      <c r="O15" t="str">
        <f>IF(M15="","",IF(M15="[FÓRMULA MANUAL]","",IFERROR(AVERAGEIFS(nNOTA,nNIA,M15,nCUENTA,1,nASIG,"Orquesta/Banda/Conjunto"),"")))</f>
        <v/>
      </c>
      <c r="P15" t="str">
        <f>IF(M15="","",IF(M15="[FÓRMULA MANUAL]","",IFERROR(AVERAGEIFS(nNOTA,nNIA,M15,nCUENTA,1,nASIG,"Música de Cámara"),"")))</f>
        <v/>
      </c>
      <c r="Q15" t="str">
        <f>IF(M15="","",IF(M15="[FÓRMULA MANUAL]","",IFERROR(SUMPRODUCT((nNIA=M15)*(nCUENTA=1)*(COUNTIF(CONFIG_ASIGNATURAS!$B$7:$B$27,nASIG)&gt;0)*(nNOTA))/SUMPRODUCT((nNIA=M15)*(nCUENTA=1)*(COUNTIF(CONFIG_ASIGNATURAS!$B$7:$B$27,nASIG)&gt;0)*1),"")))</f>
        <v/>
      </c>
      <c r="T15" t="str">
        <f>IF(S15="","",IF(S15="[FÓRMULA MANUAL]","",IFERROR(AVERAGEIFS(nNOTA,nNIA,S15,nCUENTA,1,nASIG,"Armonía"),"")))</f>
        <v/>
      </c>
      <c r="U15" t="str">
        <f>IF(S15="","",IF(S15="[FÓRMULA MANUAL]","",IFERROR(AVERAGEIFS(nNOTA,nNIA,S15,nCUENTA,1,nASIG,"Orquesta/Banda/Conjunto"),"")))</f>
        <v/>
      </c>
      <c r="V15" t="str">
        <f>IF(S15="","",IF(S15="[FÓRMULA MANUAL]","",IFERROR(AVERAGEIFS(nNOTA,nNIA,S15,nCUENTA,1,nASIG,"Música de Cámara"),"")))</f>
        <v/>
      </c>
      <c r="W15" t="str">
        <f>IF(S15="","",IF(S15="[FÓRMULA MANUAL]","",IFERROR(SUMPRODUCT((nNIA=S15)*(nCUENTA=1)*(COUNTIF(CONFIG_ASIGNATURAS!$B$7:$B$27,nASIG)&gt;0)*(nNOTA))/SUMPRODUCT((nNIA=S15)*(nCUENTA=1)*(COUNTIF(CONFIG_ASIGNATURAS!$B$7:$B$27,nASIG)&gt;0)*1),"")))</f>
        <v/>
      </c>
      <c r="Z15" t="str">
        <f>IF(Y15="","",IF(Y15="[FÓRMULA MANUAL]","",IFERROR(AVERAGEIFS(nNOTA,nNIA,Y15,nCUENTA,1,nASIG,"Análisis"),"")))</f>
        <v/>
      </c>
      <c r="AA15" t="str">
        <f>IF(Y15="","",IF(Y15="[FÓRMULA MANUAL]","",IFERROR(AVERAGEIFS(nNOTA,nNIA,Y15,nCUENTA,1,nASIG,"Orquesta/Banda/Conjunto"),"")))</f>
        <v/>
      </c>
      <c r="AB15" t="str">
        <f>IF(Y15="","",IF(Y15="[FÓRMULA MANUAL]","",IFERROR(AVERAGEIFS(nNOTA,nNIA,Y15,nCUENTA,1,nASIG,"Música de Cámara"),"")))</f>
        <v/>
      </c>
      <c r="AC15" t="str">
        <f>IF(Y15="","",IF(Y15="[FÓRMULA MANUAL]","",IFERROR(SUMPRODUCT((nNIA=Y15)*(nCUENTA=1)*(COUNTIF(CONFIG_ASIGNATURAS!$B$7:$B$27,nASIG)&gt;0)*(nNOTA))/SUMPRODUCT((nNIA=Y15)*(nCUENTA=1)*(COUNTIF(CONFIG_ASIGNATURAS!$B$7:$B$27,nASIG)&gt;0)*1),"")))</f>
        <v/>
      </c>
      <c r="AF15" t="str">
        <f>IF(AE15="","",IF(AE15="[FÓRMULA MANUAL]","",IFERROR(AVERAGEIFS(nNOTA,nNIA,AE15,nCUENTA,1,nASIG,"Análisis"),"")))</f>
        <v/>
      </c>
      <c r="AG15" t="str">
        <f>IF(AE15="","",IF(AE15="[FÓRMULA MANUAL]","",IFERROR(AVERAGEIFS(nNOTA,nNIA,AE15,nCUENTA,1,nASIG,"Orquesta/Banda/Conjunto"),"")))</f>
        <v/>
      </c>
      <c r="AH15" t="str">
        <f>IF(AE15="","",IF(AE15="[FÓRMULA MANUAL]","",IFERROR(AVERAGEIFS(nNOTA,nNIA,AE15,nCUENTA,1,nASIG,"Música de Cámara"),"")))</f>
        <v/>
      </c>
      <c r="AI15" t="str">
        <f>IF(AE15="","",IF(AE15="[FÓRMULA MANUAL]","",IFERROR(SUMPRODUCT((nNIA=AE15)*(nCUENTA=1)*(COUNTIF(CONFIG_ASIGNATURAS!$B$7:$B$27,nASIG)&gt;0)*(nNOTA))/SUMPRODUCT((nNIA=AE15)*(nCUENTA=1)*(COUNTIF(CONFIG_ASIGNATURAS!$B$7:$B$27,nASIG)&gt;0)*1),"")))</f>
        <v/>
      </c>
    </row>
    <row r="16" spans="1:35" x14ac:dyDescent="0.2">
      <c r="B16" t="str">
        <f>IF(A16="","",IF(A16="[FÓRMULA MANUAL]","",IFERROR(AVERAGEIFS(nNOTA,nNIA,A16,nCUENTA,1,nASIG,"Lenguaje Musical"),"")))</f>
        <v/>
      </c>
      <c r="C16" t="str">
        <f>IF(A16="","",IF(A16="[FÓRMULA MANUAL]","",IFERROR(AVERAGEIFS(nNOTA,nNIA,A16,nCUENTA,1,nASIG,"Orquesta/Banda/Conjunto"),"")))</f>
        <v/>
      </c>
      <c r="D16" t="str">
        <f>IF(A16="","",IF(A16="[FÓRMULA MANUAL]","",IFERROR(AVERAGEIFS(nNOTA,nNIA,A16,nCUENTA,1,nASIG,"Conjunto"),"")))</f>
        <v/>
      </c>
      <c r="E16" t="str">
        <f>IF(A16="","",IF(A16="[FÓRMULA MANUAL]","",IFERROR(SUMPRODUCT((nNIA=A16)*(nCUENTA=1)*(COUNTIF(CONFIG_ASIGNATURAS!$B$7:$B$27,nASIG)&gt;0)*(nNOTA))/SUMPRODUCT((nNIA=A16)*(nCUENTA=1)*(COUNTIF(CONFIG_ASIGNATURAS!$B$7:$B$27,nASIG)&gt;0)*1),"")))</f>
        <v/>
      </c>
      <c r="H16" t="str">
        <f>IF(G16="","",IF(G16="[FÓRMULA MANUAL]","",IFERROR(AVERAGEIFS(nNOTA,nNIA,G16,nCUENTA,1,nASIG,"Lenguaje Musical"),"")))</f>
        <v/>
      </c>
      <c r="I16" t="str">
        <f>IF(G16="","",IF(G16="[FÓRMULA MANUAL]","",IFERROR(AVERAGEIFS(nNOTA,nNIA,G16,nCUENTA,1,nASIG,"Orquesta/Banda/Conjunto"),"")))</f>
        <v/>
      </c>
      <c r="J16" t="str">
        <f>IF(G16="","",IF(G16="[FÓRMULA MANUAL]","",IFERROR(AVERAGEIFS(nNOTA,nNIA,G16,nCUENTA,1,nASIG,"Conjunto"),"")))</f>
        <v/>
      </c>
      <c r="K16" t="str">
        <f>IF(G16="","",IF(G16="[FÓRMULA MANUAL]","",IFERROR(SUMPRODUCT((nNIA=G16)*(nCUENTA=1)*(COUNTIF(CONFIG_ASIGNATURAS!$B$7:$B$27,nASIG)&gt;0)*(nNOTA))/SUMPRODUCT((nNIA=G16)*(nCUENTA=1)*(COUNTIF(CONFIG_ASIGNATURAS!$B$7:$B$27,nASIG)&gt;0)*1),"")))</f>
        <v/>
      </c>
      <c r="N16" t="str">
        <f>IF(M16="","",IF(M16="[FÓRMULA MANUAL]","",IFERROR(AVERAGEIFS(nNOTA,nNIA,M16,nCUENTA,1,nASIG,"Armonía"),"")))</f>
        <v/>
      </c>
      <c r="O16" t="str">
        <f>IF(M16="","",IF(M16="[FÓRMULA MANUAL]","",IFERROR(AVERAGEIFS(nNOTA,nNIA,M16,nCUENTA,1,nASIG,"Orquesta/Banda/Conjunto"),"")))</f>
        <v/>
      </c>
      <c r="P16" t="str">
        <f>IF(M16="","",IF(M16="[FÓRMULA MANUAL]","",IFERROR(AVERAGEIFS(nNOTA,nNIA,M16,nCUENTA,1,nASIG,"Música de Cámara"),"")))</f>
        <v/>
      </c>
      <c r="Q16" t="str">
        <f>IF(M16="","",IF(M16="[FÓRMULA MANUAL]","",IFERROR(SUMPRODUCT((nNIA=M16)*(nCUENTA=1)*(COUNTIF(CONFIG_ASIGNATURAS!$B$7:$B$27,nASIG)&gt;0)*(nNOTA))/SUMPRODUCT((nNIA=M16)*(nCUENTA=1)*(COUNTIF(CONFIG_ASIGNATURAS!$B$7:$B$27,nASIG)&gt;0)*1),"")))</f>
        <v/>
      </c>
      <c r="T16" t="str">
        <f>IF(S16="","",IF(S16="[FÓRMULA MANUAL]","",IFERROR(AVERAGEIFS(nNOTA,nNIA,S16,nCUENTA,1,nASIG,"Armonía"),"")))</f>
        <v/>
      </c>
      <c r="U16" t="str">
        <f>IF(S16="","",IF(S16="[FÓRMULA MANUAL]","",IFERROR(AVERAGEIFS(nNOTA,nNIA,S16,nCUENTA,1,nASIG,"Orquesta/Banda/Conjunto"),"")))</f>
        <v/>
      </c>
      <c r="V16" t="str">
        <f>IF(S16="","",IF(S16="[FÓRMULA MANUAL]","",IFERROR(AVERAGEIFS(nNOTA,nNIA,S16,nCUENTA,1,nASIG,"Música de Cámara"),"")))</f>
        <v/>
      </c>
      <c r="W16" t="str">
        <f>IF(S16="","",IF(S16="[FÓRMULA MANUAL]","",IFERROR(SUMPRODUCT((nNIA=S16)*(nCUENTA=1)*(COUNTIF(CONFIG_ASIGNATURAS!$B$7:$B$27,nASIG)&gt;0)*(nNOTA))/SUMPRODUCT((nNIA=S16)*(nCUENTA=1)*(COUNTIF(CONFIG_ASIGNATURAS!$B$7:$B$27,nASIG)&gt;0)*1),"")))</f>
        <v/>
      </c>
      <c r="Z16" t="str">
        <f>IF(Y16="","",IF(Y16="[FÓRMULA MANUAL]","",IFERROR(AVERAGEIFS(nNOTA,nNIA,Y16,nCUENTA,1,nASIG,"Análisis"),"")))</f>
        <v/>
      </c>
      <c r="AA16" t="str">
        <f>IF(Y16="","",IF(Y16="[FÓRMULA MANUAL]","",IFERROR(AVERAGEIFS(nNOTA,nNIA,Y16,nCUENTA,1,nASIG,"Orquesta/Banda/Conjunto"),"")))</f>
        <v/>
      </c>
      <c r="AB16" t="str">
        <f>IF(Y16="","",IF(Y16="[FÓRMULA MANUAL]","",IFERROR(AVERAGEIFS(nNOTA,nNIA,Y16,nCUENTA,1,nASIG,"Música de Cámara"),"")))</f>
        <v/>
      </c>
      <c r="AC16" t="str">
        <f>IF(Y16="","",IF(Y16="[FÓRMULA MANUAL]","",IFERROR(SUMPRODUCT((nNIA=Y16)*(nCUENTA=1)*(COUNTIF(CONFIG_ASIGNATURAS!$B$7:$B$27,nASIG)&gt;0)*(nNOTA))/SUMPRODUCT((nNIA=Y16)*(nCUENTA=1)*(COUNTIF(CONFIG_ASIGNATURAS!$B$7:$B$27,nASIG)&gt;0)*1),"")))</f>
        <v/>
      </c>
      <c r="AF16" t="str">
        <f>IF(AE16="","",IF(AE16="[FÓRMULA MANUAL]","",IFERROR(AVERAGEIFS(nNOTA,nNIA,AE16,nCUENTA,1,nASIG,"Análisis"),"")))</f>
        <v/>
      </c>
      <c r="AG16" t="str">
        <f>IF(AE16="","",IF(AE16="[FÓRMULA MANUAL]","",IFERROR(AVERAGEIFS(nNOTA,nNIA,AE16,nCUENTA,1,nASIG,"Orquesta/Banda/Conjunto"),"")))</f>
        <v/>
      </c>
      <c r="AH16" t="str">
        <f>IF(AE16="","",IF(AE16="[FÓRMULA MANUAL]","",IFERROR(AVERAGEIFS(nNOTA,nNIA,AE16,nCUENTA,1,nASIG,"Música de Cámara"),"")))</f>
        <v/>
      </c>
      <c r="AI16" t="str">
        <f>IF(AE16="","",IF(AE16="[FÓRMULA MANUAL]","",IFERROR(SUMPRODUCT((nNIA=AE16)*(nCUENTA=1)*(COUNTIF(CONFIG_ASIGNATURAS!$B$7:$B$27,nASIG)&gt;0)*(nNOTA))/SUMPRODUCT((nNIA=AE16)*(nCUENTA=1)*(COUNTIF(CONFIG_ASIGNATURAS!$B$7:$B$27,nASIG)&gt;0)*1),"")))</f>
        <v/>
      </c>
    </row>
    <row r="17" spans="2:35" x14ac:dyDescent="0.2">
      <c r="B17" t="str">
        <f>IF(A17="","",IF(A17="[FÓRMULA MANUAL]","",IFERROR(AVERAGEIFS(nNOTA,nNIA,A17,nCUENTA,1,nASIG,"Lenguaje Musical"),"")))</f>
        <v/>
      </c>
      <c r="C17" t="str">
        <f>IF(A17="","",IF(A17="[FÓRMULA MANUAL]","",IFERROR(AVERAGEIFS(nNOTA,nNIA,A17,nCUENTA,1,nASIG,"Orquesta/Banda/Conjunto"),"")))</f>
        <v/>
      </c>
      <c r="D17" t="str">
        <f>IF(A17="","",IF(A17="[FÓRMULA MANUAL]","",IFERROR(AVERAGEIFS(nNOTA,nNIA,A17,nCUENTA,1,nASIG,"Conjunto"),"")))</f>
        <v/>
      </c>
      <c r="E17" t="str">
        <f>IF(A17="","",IF(A17="[FÓRMULA MANUAL]","",IFERROR(SUMPRODUCT((nNIA=A17)*(nCUENTA=1)*(COUNTIF(CONFIG_ASIGNATURAS!$B$7:$B$27,nASIG)&gt;0)*(nNOTA))/SUMPRODUCT((nNIA=A17)*(nCUENTA=1)*(COUNTIF(CONFIG_ASIGNATURAS!$B$7:$B$27,nASIG)&gt;0)*1),"")))</f>
        <v/>
      </c>
      <c r="H17" t="str">
        <f>IF(G17="","",IF(G17="[FÓRMULA MANUAL]","",IFERROR(AVERAGEIFS(nNOTA,nNIA,G17,nCUENTA,1,nASIG,"Lenguaje Musical"),"")))</f>
        <v/>
      </c>
      <c r="I17" t="str">
        <f>IF(G17="","",IF(G17="[FÓRMULA MANUAL]","",IFERROR(AVERAGEIFS(nNOTA,nNIA,G17,nCUENTA,1,nASIG,"Orquesta/Banda/Conjunto"),"")))</f>
        <v/>
      </c>
      <c r="J17" t="str">
        <f>IF(G17="","",IF(G17="[FÓRMULA MANUAL]","",IFERROR(AVERAGEIFS(nNOTA,nNIA,G17,nCUENTA,1,nASIG,"Conjunto"),"")))</f>
        <v/>
      </c>
      <c r="K17" t="str">
        <f>IF(G17="","",IF(G17="[FÓRMULA MANUAL]","",IFERROR(SUMPRODUCT((nNIA=G17)*(nCUENTA=1)*(COUNTIF(CONFIG_ASIGNATURAS!$B$7:$B$27,nASIG)&gt;0)*(nNOTA))/SUMPRODUCT((nNIA=G17)*(nCUENTA=1)*(COUNTIF(CONFIG_ASIGNATURAS!$B$7:$B$27,nASIG)&gt;0)*1),"")))</f>
        <v/>
      </c>
      <c r="N17" t="str">
        <f>IF(M17="","",IF(M17="[FÓRMULA MANUAL]","",IFERROR(AVERAGEIFS(nNOTA,nNIA,M17,nCUENTA,1,nASIG,"Armonía"),"")))</f>
        <v/>
      </c>
      <c r="O17" t="str">
        <f>IF(M17="","",IF(M17="[FÓRMULA MANUAL]","",IFERROR(AVERAGEIFS(nNOTA,nNIA,M17,nCUENTA,1,nASIG,"Orquesta/Banda/Conjunto"),"")))</f>
        <v/>
      </c>
      <c r="P17" t="str">
        <f>IF(M17="","",IF(M17="[FÓRMULA MANUAL]","",IFERROR(AVERAGEIFS(nNOTA,nNIA,M17,nCUENTA,1,nASIG,"Música de Cámara"),"")))</f>
        <v/>
      </c>
      <c r="Q17" t="str">
        <f>IF(M17="","",IF(M17="[FÓRMULA MANUAL]","",IFERROR(SUMPRODUCT((nNIA=M17)*(nCUENTA=1)*(COUNTIF(CONFIG_ASIGNATURAS!$B$7:$B$27,nASIG)&gt;0)*(nNOTA))/SUMPRODUCT((nNIA=M17)*(nCUENTA=1)*(COUNTIF(CONFIG_ASIGNATURAS!$B$7:$B$27,nASIG)&gt;0)*1),"")))</f>
        <v/>
      </c>
      <c r="T17" t="str">
        <f>IF(S17="","",IF(S17="[FÓRMULA MANUAL]","",IFERROR(AVERAGEIFS(nNOTA,nNIA,S17,nCUENTA,1,nASIG,"Armonía"),"")))</f>
        <v/>
      </c>
      <c r="U17" t="str">
        <f>IF(S17="","",IF(S17="[FÓRMULA MANUAL]","",IFERROR(AVERAGEIFS(nNOTA,nNIA,S17,nCUENTA,1,nASIG,"Orquesta/Banda/Conjunto"),"")))</f>
        <v/>
      </c>
      <c r="V17" t="str">
        <f>IF(S17="","",IF(S17="[FÓRMULA MANUAL]","",IFERROR(AVERAGEIFS(nNOTA,nNIA,S17,nCUENTA,1,nASIG,"Música de Cámara"),"")))</f>
        <v/>
      </c>
      <c r="W17" t="str">
        <f>IF(S17="","",IF(S17="[FÓRMULA MANUAL]","",IFERROR(SUMPRODUCT((nNIA=S17)*(nCUENTA=1)*(COUNTIF(CONFIG_ASIGNATURAS!$B$7:$B$27,nASIG)&gt;0)*(nNOTA))/SUMPRODUCT((nNIA=S17)*(nCUENTA=1)*(COUNTIF(CONFIG_ASIGNATURAS!$B$7:$B$27,nASIG)&gt;0)*1),"")))</f>
        <v/>
      </c>
      <c r="Z17" t="str">
        <f>IF(Y17="","",IF(Y17="[FÓRMULA MANUAL]","",IFERROR(AVERAGEIFS(nNOTA,nNIA,Y17,nCUENTA,1,nASIG,"Análisis"),"")))</f>
        <v/>
      </c>
      <c r="AA17" t="str">
        <f>IF(Y17="","",IF(Y17="[FÓRMULA MANUAL]","",IFERROR(AVERAGEIFS(nNOTA,nNIA,Y17,nCUENTA,1,nASIG,"Orquesta/Banda/Conjunto"),"")))</f>
        <v/>
      </c>
      <c r="AB17" t="str">
        <f>IF(Y17="","",IF(Y17="[FÓRMULA MANUAL]","",IFERROR(AVERAGEIFS(nNOTA,nNIA,Y17,nCUENTA,1,nASIG,"Música de Cámara"),"")))</f>
        <v/>
      </c>
      <c r="AC17" t="str">
        <f>IF(Y17="","",IF(Y17="[FÓRMULA MANUAL]","",IFERROR(SUMPRODUCT((nNIA=Y17)*(nCUENTA=1)*(COUNTIF(CONFIG_ASIGNATURAS!$B$7:$B$27,nASIG)&gt;0)*(nNOTA))/SUMPRODUCT((nNIA=Y17)*(nCUENTA=1)*(COUNTIF(CONFIG_ASIGNATURAS!$B$7:$B$27,nASIG)&gt;0)*1),"")))</f>
        <v/>
      </c>
      <c r="AF17" t="str">
        <f>IF(AE17="","",IF(AE17="[FÓRMULA MANUAL]","",IFERROR(AVERAGEIFS(nNOTA,nNIA,AE17,nCUENTA,1,nASIG,"Análisis"),"")))</f>
        <v/>
      </c>
      <c r="AG17" t="str">
        <f>IF(AE17="","",IF(AE17="[FÓRMULA MANUAL]","",IFERROR(AVERAGEIFS(nNOTA,nNIA,AE17,nCUENTA,1,nASIG,"Orquesta/Banda/Conjunto"),"")))</f>
        <v/>
      </c>
      <c r="AH17" t="str">
        <f>IF(AE17="","",IF(AE17="[FÓRMULA MANUAL]","",IFERROR(AVERAGEIFS(nNOTA,nNIA,AE17,nCUENTA,1,nASIG,"Música de Cámara"),"")))</f>
        <v/>
      </c>
      <c r="AI17" t="str">
        <f>IF(AE17="","",IF(AE17="[FÓRMULA MANUAL]","",IFERROR(SUMPRODUCT((nNIA=AE17)*(nCUENTA=1)*(COUNTIF(CONFIG_ASIGNATURAS!$B$7:$B$27,nASIG)&gt;0)*(nNOTA))/SUMPRODUCT((nNIA=AE17)*(nCUENTA=1)*(COUNTIF(CONFIG_ASIGNATURAS!$B$7:$B$27,nASIG)&gt;0)*1),"")))</f>
        <v/>
      </c>
    </row>
    <row r="18" spans="2:35" x14ac:dyDescent="0.2">
      <c r="B18" t="str">
        <f>IF(A18="","",IF(A18="[FÓRMULA MANUAL]","",IFERROR(AVERAGEIFS(nNOTA,nNIA,A18,nCUENTA,1,nASIG,"Lenguaje Musical"),"")))</f>
        <v/>
      </c>
      <c r="C18" t="str">
        <f>IF(A18="","",IF(A18="[FÓRMULA MANUAL]","",IFERROR(AVERAGEIFS(nNOTA,nNIA,A18,nCUENTA,1,nASIG,"Orquesta/Banda/Conjunto"),"")))</f>
        <v/>
      </c>
      <c r="D18" t="str">
        <f>IF(A18="","",IF(A18="[FÓRMULA MANUAL]","",IFERROR(AVERAGEIFS(nNOTA,nNIA,A18,nCUENTA,1,nASIG,"Conjunto"),"")))</f>
        <v/>
      </c>
      <c r="E18" t="str">
        <f>IF(A18="","",IF(A18="[FÓRMULA MANUAL]","",IFERROR(SUMPRODUCT((nNIA=A18)*(nCUENTA=1)*(COUNTIF(CONFIG_ASIGNATURAS!$B$7:$B$27,nASIG)&gt;0)*(nNOTA))/SUMPRODUCT((nNIA=A18)*(nCUENTA=1)*(COUNTIF(CONFIG_ASIGNATURAS!$B$7:$B$27,nASIG)&gt;0)*1),"")))</f>
        <v/>
      </c>
      <c r="H18" t="str">
        <f>IF(G18="","",IF(G18="[FÓRMULA MANUAL]","",IFERROR(AVERAGEIFS(nNOTA,nNIA,G18,nCUENTA,1,nASIG,"Lenguaje Musical"),"")))</f>
        <v/>
      </c>
      <c r="I18" t="str">
        <f>IF(G18="","",IF(G18="[FÓRMULA MANUAL]","",IFERROR(AVERAGEIFS(nNOTA,nNIA,G18,nCUENTA,1,nASIG,"Orquesta/Banda/Conjunto"),"")))</f>
        <v/>
      </c>
      <c r="J18" t="str">
        <f>IF(G18="","",IF(G18="[FÓRMULA MANUAL]","",IFERROR(AVERAGEIFS(nNOTA,nNIA,G18,nCUENTA,1,nASIG,"Conjunto"),"")))</f>
        <v/>
      </c>
      <c r="K18" t="str">
        <f>IF(G18="","",IF(G18="[FÓRMULA MANUAL]","",IFERROR(SUMPRODUCT((nNIA=G18)*(nCUENTA=1)*(COUNTIF(CONFIG_ASIGNATURAS!$B$7:$B$27,nASIG)&gt;0)*(nNOTA))/SUMPRODUCT((nNIA=G18)*(nCUENTA=1)*(COUNTIF(CONFIG_ASIGNATURAS!$B$7:$B$27,nASIG)&gt;0)*1),"")))</f>
        <v/>
      </c>
      <c r="N18" t="str">
        <f>IF(M18="","",IF(M18="[FÓRMULA MANUAL]","",IFERROR(AVERAGEIFS(nNOTA,nNIA,M18,nCUENTA,1,nASIG,"Armonía"),"")))</f>
        <v/>
      </c>
      <c r="O18" t="str">
        <f>IF(M18="","",IF(M18="[FÓRMULA MANUAL]","",IFERROR(AVERAGEIFS(nNOTA,nNIA,M18,nCUENTA,1,nASIG,"Orquesta/Banda/Conjunto"),"")))</f>
        <v/>
      </c>
      <c r="P18" t="str">
        <f>IF(M18="","",IF(M18="[FÓRMULA MANUAL]","",IFERROR(AVERAGEIFS(nNOTA,nNIA,M18,nCUENTA,1,nASIG,"Música de Cámara"),"")))</f>
        <v/>
      </c>
      <c r="Q18" t="str">
        <f>IF(M18="","",IF(M18="[FÓRMULA MANUAL]","",IFERROR(SUMPRODUCT((nNIA=M18)*(nCUENTA=1)*(COUNTIF(CONFIG_ASIGNATURAS!$B$7:$B$27,nASIG)&gt;0)*(nNOTA))/SUMPRODUCT((nNIA=M18)*(nCUENTA=1)*(COUNTIF(CONFIG_ASIGNATURAS!$B$7:$B$27,nASIG)&gt;0)*1),"")))</f>
        <v/>
      </c>
      <c r="T18" t="str">
        <f>IF(S18="","",IF(S18="[FÓRMULA MANUAL]","",IFERROR(AVERAGEIFS(nNOTA,nNIA,S18,nCUENTA,1,nASIG,"Armonía"),"")))</f>
        <v/>
      </c>
      <c r="U18" t="str">
        <f>IF(S18="","",IF(S18="[FÓRMULA MANUAL]","",IFERROR(AVERAGEIFS(nNOTA,nNIA,S18,nCUENTA,1,nASIG,"Orquesta/Banda/Conjunto"),"")))</f>
        <v/>
      </c>
      <c r="V18" t="str">
        <f>IF(S18="","",IF(S18="[FÓRMULA MANUAL]","",IFERROR(AVERAGEIFS(nNOTA,nNIA,S18,nCUENTA,1,nASIG,"Música de Cámara"),"")))</f>
        <v/>
      </c>
      <c r="W18" t="str">
        <f>IF(S18="","",IF(S18="[FÓRMULA MANUAL]","",IFERROR(SUMPRODUCT((nNIA=S18)*(nCUENTA=1)*(COUNTIF(CONFIG_ASIGNATURAS!$B$7:$B$27,nASIG)&gt;0)*(nNOTA))/SUMPRODUCT((nNIA=S18)*(nCUENTA=1)*(COUNTIF(CONFIG_ASIGNATURAS!$B$7:$B$27,nASIG)&gt;0)*1),"")))</f>
        <v/>
      </c>
      <c r="Z18" t="str">
        <f>IF(Y18="","",IF(Y18="[FÓRMULA MANUAL]","",IFERROR(AVERAGEIFS(nNOTA,nNIA,Y18,nCUENTA,1,nASIG,"Análisis"),"")))</f>
        <v/>
      </c>
      <c r="AA18" t="str">
        <f>IF(Y18="","",IF(Y18="[FÓRMULA MANUAL]","",IFERROR(AVERAGEIFS(nNOTA,nNIA,Y18,nCUENTA,1,nASIG,"Orquesta/Banda/Conjunto"),"")))</f>
        <v/>
      </c>
      <c r="AB18" t="str">
        <f>IF(Y18="","",IF(Y18="[FÓRMULA MANUAL]","",IFERROR(AVERAGEIFS(nNOTA,nNIA,Y18,nCUENTA,1,nASIG,"Música de Cámara"),"")))</f>
        <v/>
      </c>
      <c r="AC18" t="str">
        <f>IF(Y18="","",IF(Y18="[FÓRMULA MANUAL]","",IFERROR(SUMPRODUCT((nNIA=Y18)*(nCUENTA=1)*(COUNTIF(CONFIG_ASIGNATURAS!$B$7:$B$27,nASIG)&gt;0)*(nNOTA))/SUMPRODUCT((nNIA=Y18)*(nCUENTA=1)*(COUNTIF(CONFIG_ASIGNATURAS!$B$7:$B$27,nASIG)&gt;0)*1),"")))</f>
        <v/>
      </c>
      <c r="AF18" t="str">
        <f>IF(AE18="","",IF(AE18="[FÓRMULA MANUAL]","",IFERROR(AVERAGEIFS(nNOTA,nNIA,AE18,nCUENTA,1,nASIG,"Análisis"),"")))</f>
        <v/>
      </c>
      <c r="AG18" t="str">
        <f>IF(AE18="","",IF(AE18="[FÓRMULA MANUAL]","",IFERROR(AVERAGEIFS(nNOTA,nNIA,AE18,nCUENTA,1,nASIG,"Orquesta/Banda/Conjunto"),"")))</f>
        <v/>
      </c>
      <c r="AH18" t="str">
        <f>IF(AE18="","",IF(AE18="[FÓRMULA MANUAL]","",IFERROR(AVERAGEIFS(nNOTA,nNIA,AE18,nCUENTA,1,nASIG,"Música de Cámara"),"")))</f>
        <v/>
      </c>
      <c r="AI18" t="str">
        <f>IF(AE18="","",IF(AE18="[FÓRMULA MANUAL]","",IFERROR(SUMPRODUCT((nNIA=AE18)*(nCUENTA=1)*(COUNTIF(CONFIG_ASIGNATURAS!$B$7:$B$27,nASIG)&gt;0)*(nNOTA))/SUMPRODUCT((nNIA=AE18)*(nCUENTA=1)*(COUNTIF(CONFIG_ASIGNATURAS!$B$7:$B$27,nASIG)&gt;0)*1),"")))</f>
        <v/>
      </c>
    </row>
    <row r="19" spans="2:35" x14ac:dyDescent="0.2">
      <c r="B19" t="str">
        <f>IF(A19="","",IF(A19="[FÓRMULA MANUAL]","",IFERROR(AVERAGEIFS(nNOTA,nNIA,A19,nCUENTA,1,nASIG,"Lenguaje Musical"),"")))</f>
        <v/>
      </c>
      <c r="C19" t="str">
        <f>IF(A19="","",IF(A19="[FÓRMULA MANUAL]","",IFERROR(AVERAGEIFS(nNOTA,nNIA,A19,nCUENTA,1,nASIG,"Orquesta/Banda/Conjunto"),"")))</f>
        <v/>
      </c>
      <c r="D19" t="str">
        <f>IF(A19="","",IF(A19="[FÓRMULA MANUAL]","",IFERROR(AVERAGEIFS(nNOTA,nNIA,A19,nCUENTA,1,nASIG,"Conjunto"),"")))</f>
        <v/>
      </c>
      <c r="E19" t="str">
        <f>IF(A19="","",IF(A19="[FÓRMULA MANUAL]","",IFERROR(SUMPRODUCT((nNIA=A19)*(nCUENTA=1)*(COUNTIF(CONFIG_ASIGNATURAS!$B$7:$B$27,nASIG)&gt;0)*(nNOTA))/SUMPRODUCT((nNIA=A19)*(nCUENTA=1)*(COUNTIF(CONFIG_ASIGNATURAS!$B$7:$B$27,nASIG)&gt;0)*1),"")))</f>
        <v/>
      </c>
      <c r="H19" t="str">
        <f>IF(G19="","",IF(G19="[FÓRMULA MANUAL]","",IFERROR(AVERAGEIFS(nNOTA,nNIA,G19,nCUENTA,1,nASIG,"Lenguaje Musical"),"")))</f>
        <v/>
      </c>
      <c r="I19" t="str">
        <f>IF(G19="","",IF(G19="[FÓRMULA MANUAL]","",IFERROR(AVERAGEIFS(nNOTA,nNIA,G19,nCUENTA,1,nASIG,"Orquesta/Banda/Conjunto"),"")))</f>
        <v/>
      </c>
      <c r="J19" t="str">
        <f>IF(G19="","",IF(G19="[FÓRMULA MANUAL]","",IFERROR(AVERAGEIFS(nNOTA,nNIA,G19,nCUENTA,1,nASIG,"Conjunto"),"")))</f>
        <v/>
      </c>
      <c r="K19" t="str">
        <f>IF(G19="","",IF(G19="[FÓRMULA MANUAL]","",IFERROR(SUMPRODUCT((nNIA=G19)*(nCUENTA=1)*(COUNTIF(CONFIG_ASIGNATURAS!$B$7:$B$27,nASIG)&gt;0)*(nNOTA))/SUMPRODUCT((nNIA=G19)*(nCUENTA=1)*(COUNTIF(CONFIG_ASIGNATURAS!$B$7:$B$27,nASIG)&gt;0)*1),"")))</f>
        <v/>
      </c>
      <c r="N19" t="str">
        <f>IF(M19="","",IF(M19="[FÓRMULA MANUAL]","",IFERROR(AVERAGEIFS(nNOTA,nNIA,M19,nCUENTA,1,nASIG,"Armonía"),"")))</f>
        <v/>
      </c>
      <c r="O19" t="str">
        <f>IF(M19="","",IF(M19="[FÓRMULA MANUAL]","",IFERROR(AVERAGEIFS(nNOTA,nNIA,M19,nCUENTA,1,nASIG,"Orquesta/Banda/Conjunto"),"")))</f>
        <v/>
      </c>
      <c r="P19" t="str">
        <f>IF(M19="","",IF(M19="[FÓRMULA MANUAL]","",IFERROR(AVERAGEIFS(nNOTA,nNIA,M19,nCUENTA,1,nASIG,"Música de Cámara"),"")))</f>
        <v/>
      </c>
      <c r="Q19" t="str">
        <f>IF(M19="","",IF(M19="[FÓRMULA MANUAL]","",IFERROR(SUMPRODUCT((nNIA=M19)*(nCUENTA=1)*(COUNTIF(CONFIG_ASIGNATURAS!$B$7:$B$27,nASIG)&gt;0)*(nNOTA))/SUMPRODUCT((nNIA=M19)*(nCUENTA=1)*(COUNTIF(CONFIG_ASIGNATURAS!$B$7:$B$27,nASIG)&gt;0)*1),"")))</f>
        <v/>
      </c>
      <c r="T19" t="str">
        <f>IF(S19="","",IF(S19="[FÓRMULA MANUAL]","",IFERROR(AVERAGEIFS(nNOTA,nNIA,S19,nCUENTA,1,nASIG,"Armonía"),"")))</f>
        <v/>
      </c>
      <c r="U19" t="str">
        <f>IF(S19="","",IF(S19="[FÓRMULA MANUAL]","",IFERROR(AVERAGEIFS(nNOTA,nNIA,S19,nCUENTA,1,nASIG,"Orquesta/Banda/Conjunto"),"")))</f>
        <v/>
      </c>
      <c r="V19" t="str">
        <f>IF(S19="","",IF(S19="[FÓRMULA MANUAL]","",IFERROR(AVERAGEIFS(nNOTA,nNIA,S19,nCUENTA,1,nASIG,"Música de Cámara"),"")))</f>
        <v/>
      </c>
      <c r="W19" t="str">
        <f>IF(S19="","",IF(S19="[FÓRMULA MANUAL]","",IFERROR(SUMPRODUCT((nNIA=S19)*(nCUENTA=1)*(COUNTIF(CONFIG_ASIGNATURAS!$B$7:$B$27,nASIG)&gt;0)*(nNOTA))/SUMPRODUCT((nNIA=S19)*(nCUENTA=1)*(COUNTIF(CONFIG_ASIGNATURAS!$B$7:$B$27,nASIG)&gt;0)*1),"")))</f>
        <v/>
      </c>
      <c r="Z19" t="str">
        <f>IF(Y19="","",IF(Y19="[FÓRMULA MANUAL]","",IFERROR(AVERAGEIFS(nNOTA,nNIA,Y19,nCUENTA,1,nASIG,"Análisis"),"")))</f>
        <v/>
      </c>
      <c r="AA19" t="str">
        <f>IF(Y19="","",IF(Y19="[FÓRMULA MANUAL]","",IFERROR(AVERAGEIFS(nNOTA,nNIA,Y19,nCUENTA,1,nASIG,"Orquesta/Banda/Conjunto"),"")))</f>
        <v/>
      </c>
      <c r="AB19" t="str">
        <f>IF(Y19="","",IF(Y19="[FÓRMULA MANUAL]","",IFERROR(AVERAGEIFS(nNOTA,nNIA,Y19,nCUENTA,1,nASIG,"Música de Cámara"),"")))</f>
        <v/>
      </c>
      <c r="AC19" t="str">
        <f>IF(Y19="","",IF(Y19="[FÓRMULA MANUAL]","",IFERROR(SUMPRODUCT((nNIA=Y19)*(nCUENTA=1)*(COUNTIF(CONFIG_ASIGNATURAS!$B$7:$B$27,nASIG)&gt;0)*(nNOTA))/SUMPRODUCT((nNIA=Y19)*(nCUENTA=1)*(COUNTIF(CONFIG_ASIGNATURAS!$B$7:$B$27,nASIG)&gt;0)*1),"")))</f>
        <v/>
      </c>
      <c r="AF19" t="str">
        <f>IF(AE19="","",IF(AE19="[FÓRMULA MANUAL]","",IFERROR(AVERAGEIFS(nNOTA,nNIA,AE19,nCUENTA,1,nASIG,"Análisis"),"")))</f>
        <v/>
      </c>
      <c r="AG19" t="str">
        <f>IF(AE19="","",IF(AE19="[FÓRMULA MANUAL]","",IFERROR(AVERAGEIFS(nNOTA,nNIA,AE19,nCUENTA,1,nASIG,"Orquesta/Banda/Conjunto"),"")))</f>
        <v/>
      </c>
      <c r="AH19" t="str">
        <f>IF(AE19="","",IF(AE19="[FÓRMULA MANUAL]","",IFERROR(AVERAGEIFS(nNOTA,nNIA,AE19,nCUENTA,1,nASIG,"Música de Cámara"),"")))</f>
        <v/>
      </c>
      <c r="AI19" t="str">
        <f>IF(AE19="","",IF(AE19="[FÓRMULA MANUAL]","",IFERROR(SUMPRODUCT((nNIA=AE19)*(nCUENTA=1)*(COUNTIF(CONFIG_ASIGNATURAS!$B$7:$B$27,nASIG)&gt;0)*(nNOTA))/SUMPRODUCT((nNIA=AE19)*(nCUENTA=1)*(COUNTIF(CONFIG_ASIGNATURAS!$B$7:$B$27,nASIG)&gt;0)*1),"")))</f>
        <v/>
      </c>
    </row>
    <row r="20" spans="2:35" x14ac:dyDescent="0.2">
      <c r="B20" t="str">
        <f>IF(A20="","",IF(A20="[FÓRMULA MANUAL]","",IFERROR(AVERAGEIFS(nNOTA,nNIA,A20,nCUENTA,1,nASIG,"Lenguaje Musical"),"")))</f>
        <v/>
      </c>
      <c r="C20" t="str">
        <f>IF(A20="","",IF(A20="[FÓRMULA MANUAL]","",IFERROR(AVERAGEIFS(nNOTA,nNIA,A20,nCUENTA,1,nASIG,"Orquesta/Banda/Conjunto"),"")))</f>
        <v/>
      </c>
      <c r="D20" t="str">
        <f>IF(A20="","",IF(A20="[FÓRMULA MANUAL]","",IFERROR(AVERAGEIFS(nNOTA,nNIA,A20,nCUENTA,1,nASIG,"Conjunto"),"")))</f>
        <v/>
      </c>
      <c r="E20" t="str">
        <f>IF(A20="","",IF(A20="[FÓRMULA MANUAL]","",IFERROR(SUMPRODUCT((nNIA=A20)*(nCUENTA=1)*(COUNTIF(CONFIG_ASIGNATURAS!$B$7:$B$27,nASIG)&gt;0)*(nNOTA))/SUMPRODUCT((nNIA=A20)*(nCUENTA=1)*(COUNTIF(CONFIG_ASIGNATURAS!$B$7:$B$27,nASIG)&gt;0)*1),"")))</f>
        <v/>
      </c>
      <c r="H20" t="str">
        <f>IF(G20="","",IF(G20="[FÓRMULA MANUAL]","",IFERROR(AVERAGEIFS(nNOTA,nNIA,G20,nCUENTA,1,nASIG,"Lenguaje Musical"),"")))</f>
        <v/>
      </c>
      <c r="I20" t="str">
        <f>IF(G20="","",IF(G20="[FÓRMULA MANUAL]","",IFERROR(AVERAGEIFS(nNOTA,nNIA,G20,nCUENTA,1,nASIG,"Orquesta/Banda/Conjunto"),"")))</f>
        <v/>
      </c>
      <c r="J20" t="str">
        <f>IF(G20="","",IF(G20="[FÓRMULA MANUAL]","",IFERROR(AVERAGEIFS(nNOTA,nNIA,G20,nCUENTA,1,nASIG,"Conjunto"),"")))</f>
        <v/>
      </c>
      <c r="K20" t="str">
        <f>IF(G20="","",IF(G20="[FÓRMULA MANUAL]","",IFERROR(SUMPRODUCT((nNIA=G20)*(nCUENTA=1)*(COUNTIF(CONFIG_ASIGNATURAS!$B$7:$B$27,nASIG)&gt;0)*(nNOTA))/SUMPRODUCT((nNIA=G20)*(nCUENTA=1)*(COUNTIF(CONFIG_ASIGNATURAS!$B$7:$B$27,nASIG)&gt;0)*1),"")))</f>
        <v/>
      </c>
      <c r="N20" t="str">
        <f>IF(M20="","",IF(M20="[FÓRMULA MANUAL]","",IFERROR(AVERAGEIFS(nNOTA,nNIA,M20,nCUENTA,1,nASIG,"Armonía"),"")))</f>
        <v/>
      </c>
      <c r="O20" t="str">
        <f>IF(M20="","",IF(M20="[FÓRMULA MANUAL]","",IFERROR(AVERAGEIFS(nNOTA,nNIA,M20,nCUENTA,1,nASIG,"Orquesta/Banda/Conjunto"),"")))</f>
        <v/>
      </c>
      <c r="P20" t="str">
        <f>IF(M20="","",IF(M20="[FÓRMULA MANUAL]","",IFERROR(AVERAGEIFS(nNOTA,nNIA,M20,nCUENTA,1,nASIG,"Música de Cámara"),"")))</f>
        <v/>
      </c>
      <c r="Q20" t="str">
        <f>IF(M20="","",IF(M20="[FÓRMULA MANUAL]","",IFERROR(SUMPRODUCT((nNIA=M20)*(nCUENTA=1)*(COUNTIF(CONFIG_ASIGNATURAS!$B$7:$B$27,nASIG)&gt;0)*(nNOTA))/SUMPRODUCT((nNIA=M20)*(nCUENTA=1)*(COUNTIF(CONFIG_ASIGNATURAS!$B$7:$B$27,nASIG)&gt;0)*1),"")))</f>
        <v/>
      </c>
      <c r="T20" t="str">
        <f>IF(S20="","",IF(S20="[FÓRMULA MANUAL]","",IFERROR(AVERAGEIFS(nNOTA,nNIA,S20,nCUENTA,1,nASIG,"Armonía"),"")))</f>
        <v/>
      </c>
      <c r="U20" t="str">
        <f>IF(S20="","",IF(S20="[FÓRMULA MANUAL]","",IFERROR(AVERAGEIFS(nNOTA,nNIA,S20,nCUENTA,1,nASIG,"Orquesta/Banda/Conjunto"),"")))</f>
        <v/>
      </c>
      <c r="V20" t="str">
        <f>IF(S20="","",IF(S20="[FÓRMULA MANUAL]","",IFERROR(AVERAGEIFS(nNOTA,nNIA,S20,nCUENTA,1,nASIG,"Música de Cámara"),"")))</f>
        <v/>
      </c>
      <c r="W20" t="str">
        <f>IF(S20="","",IF(S20="[FÓRMULA MANUAL]","",IFERROR(SUMPRODUCT((nNIA=S20)*(nCUENTA=1)*(COUNTIF(CONFIG_ASIGNATURAS!$B$7:$B$27,nASIG)&gt;0)*(nNOTA))/SUMPRODUCT((nNIA=S20)*(nCUENTA=1)*(COUNTIF(CONFIG_ASIGNATURAS!$B$7:$B$27,nASIG)&gt;0)*1),"")))</f>
        <v/>
      </c>
      <c r="Z20" t="str">
        <f>IF(Y20="","",IF(Y20="[FÓRMULA MANUAL]","",IFERROR(AVERAGEIFS(nNOTA,nNIA,Y20,nCUENTA,1,nASIG,"Análisis"),"")))</f>
        <v/>
      </c>
      <c r="AA20" t="str">
        <f>IF(Y20="","",IF(Y20="[FÓRMULA MANUAL]","",IFERROR(AVERAGEIFS(nNOTA,nNIA,Y20,nCUENTA,1,nASIG,"Orquesta/Banda/Conjunto"),"")))</f>
        <v/>
      </c>
      <c r="AB20" t="str">
        <f>IF(Y20="","",IF(Y20="[FÓRMULA MANUAL]","",IFERROR(AVERAGEIFS(nNOTA,nNIA,Y20,nCUENTA,1,nASIG,"Música de Cámara"),"")))</f>
        <v/>
      </c>
      <c r="AC20" t="str">
        <f>IF(Y20="","",IF(Y20="[FÓRMULA MANUAL]","",IFERROR(SUMPRODUCT((nNIA=Y20)*(nCUENTA=1)*(COUNTIF(CONFIG_ASIGNATURAS!$B$7:$B$27,nASIG)&gt;0)*(nNOTA))/SUMPRODUCT((nNIA=Y20)*(nCUENTA=1)*(COUNTIF(CONFIG_ASIGNATURAS!$B$7:$B$27,nASIG)&gt;0)*1),"")))</f>
        <v/>
      </c>
      <c r="AF20" t="str">
        <f>IF(AE20="","",IF(AE20="[FÓRMULA MANUAL]","",IFERROR(AVERAGEIFS(nNOTA,nNIA,AE20,nCUENTA,1,nASIG,"Análisis"),"")))</f>
        <v/>
      </c>
      <c r="AG20" t="str">
        <f>IF(AE20="","",IF(AE20="[FÓRMULA MANUAL]","",IFERROR(AVERAGEIFS(nNOTA,nNIA,AE20,nCUENTA,1,nASIG,"Orquesta/Banda/Conjunto"),"")))</f>
        <v/>
      </c>
      <c r="AH20" t="str">
        <f>IF(AE20="","",IF(AE20="[FÓRMULA MANUAL]","",IFERROR(AVERAGEIFS(nNOTA,nNIA,AE20,nCUENTA,1,nASIG,"Música de Cámara"),"")))</f>
        <v/>
      </c>
      <c r="AI20" t="str">
        <f>IF(AE20="","",IF(AE20="[FÓRMULA MANUAL]","",IFERROR(SUMPRODUCT((nNIA=AE20)*(nCUENTA=1)*(COUNTIF(CONFIG_ASIGNATURAS!$B$7:$B$27,nASIG)&gt;0)*(nNOTA))/SUMPRODUCT((nNIA=AE20)*(nCUENTA=1)*(COUNTIF(CONFIG_ASIGNATURAS!$B$7:$B$27,nASIG)&gt;0)*1),"")))</f>
        <v/>
      </c>
    </row>
    <row r="21" spans="2:35" x14ac:dyDescent="0.2">
      <c r="B21" t="str">
        <f>IF(A21="","",IF(A21="[FÓRMULA MANUAL]","",IFERROR(AVERAGEIFS(nNOTA,nNIA,A21,nCUENTA,1,nASIG,"Lenguaje Musical"),"")))</f>
        <v/>
      </c>
      <c r="C21" t="str">
        <f>IF(A21="","",IF(A21="[FÓRMULA MANUAL]","",IFERROR(AVERAGEIFS(nNOTA,nNIA,A21,nCUENTA,1,nASIG,"Orquesta/Banda/Conjunto"),"")))</f>
        <v/>
      </c>
      <c r="D21" t="str">
        <f>IF(A21="","",IF(A21="[FÓRMULA MANUAL]","",IFERROR(AVERAGEIFS(nNOTA,nNIA,A21,nCUENTA,1,nASIG,"Conjunto"),"")))</f>
        <v/>
      </c>
      <c r="E21" t="str">
        <f>IF(A21="","",IF(A21="[FÓRMULA MANUAL]","",IFERROR(SUMPRODUCT((nNIA=A21)*(nCUENTA=1)*(COUNTIF(CONFIG_ASIGNATURAS!$B$7:$B$27,nASIG)&gt;0)*(nNOTA))/SUMPRODUCT((nNIA=A21)*(nCUENTA=1)*(COUNTIF(CONFIG_ASIGNATURAS!$B$7:$B$27,nASIG)&gt;0)*1),"")))</f>
        <v/>
      </c>
      <c r="H21" t="str">
        <f>IF(G21="","",IF(G21="[FÓRMULA MANUAL]","",IFERROR(AVERAGEIFS(nNOTA,nNIA,G21,nCUENTA,1,nASIG,"Lenguaje Musical"),"")))</f>
        <v/>
      </c>
      <c r="I21" t="str">
        <f>IF(G21="","",IF(G21="[FÓRMULA MANUAL]","",IFERROR(AVERAGEIFS(nNOTA,nNIA,G21,nCUENTA,1,nASIG,"Orquesta/Banda/Conjunto"),"")))</f>
        <v/>
      </c>
      <c r="J21" t="str">
        <f>IF(G21="","",IF(G21="[FÓRMULA MANUAL]","",IFERROR(AVERAGEIFS(nNOTA,nNIA,G21,nCUENTA,1,nASIG,"Conjunto"),"")))</f>
        <v/>
      </c>
      <c r="K21" t="str">
        <f>IF(G21="","",IF(G21="[FÓRMULA MANUAL]","",IFERROR(SUMPRODUCT((nNIA=G21)*(nCUENTA=1)*(COUNTIF(CONFIG_ASIGNATURAS!$B$7:$B$27,nASIG)&gt;0)*(nNOTA))/SUMPRODUCT((nNIA=G21)*(nCUENTA=1)*(COUNTIF(CONFIG_ASIGNATURAS!$B$7:$B$27,nASIG)&gt;0)*1),"")))</f>
        <v/>
      </c>
      <c r="N21" t="str">
        <f>IF(M21="","",IF(M21="[FÓRMULA MANUAL]","",IFERROR(AVERAGEIFS(nNOTA,nNIA,M21,nCUENTA,1,nASIG,"Armonía"),"")))</f>
        <v/>
      </c>
      <c r="O21" t="str">
        <f>IF(M21="","",IF(M21="[FÓRMULA MANUAL]","",IFERROR(AVERAGEIFS(nNOTA,nNIA,M21,nCUENTA,1,nASIG,"Orquesta/Banda/Conjunto"),"")))</f>
        <v/>
      </c>
      <c r="P21" t="str">
        <f>IF(M21="","",IF(M21="[FÓRMULA MANUAL]","",IFERROR(AVERAGEIFS(nNOTA,nNIA,M21,nCUENTA,1,nASIG,"Música de Cámara"),"")))</f>
        <v/>
      </c>
      <c r="Q21" t="str">
        <f>IF(M21="","",IF(M21="[FÓRMULA MANUAL]","",IFERROR(SUMPRODUCT((nNIA=M21)*(nCUENTA=1)*(COUNTIF(CONFIG_ASIGNATURAS!$B$7:$B$27,nASIG)&gt;0)*(nNOTA))/SUMPRODUCT((nNIA=M21)*(nCUENTA=1)*(COUNTIF(CONFIG_ASIGNATURAS!$B$7:$B$27,nASIG)&gt;0)*1),"")))</f>
        <v/>
      </c>
      <c r="T21" t="str">
        <f>IF(S21="","",IF(S21="[FÓRMULA MANUAL]","",IFERROR(AVERAGEIFS(nNOTA,nNIA,S21,nCUENTA,1,nASIG,"Armonía"),"")))</f>
        <v/>
      </c>
      <c r="U21" t="str">
        <f>IF(S21="","",IF(S21="[FÓRMULA MANUAL]","",IFERROR(AVERAGEIFS(nNOTA,nNIA,S21,nCUENTA,1,nASIG,"Orquesta/Banda/Conjunto"),"")))</f>
        <v/>
      </c>
      <c r="V21" t="str">
        <f>IF(S21="","",IF(S21="[FÓRMULA MANUAL]","",IFERROR(AVERAGEIFS(nNOTA,nNIA,S21,nCUENTA,1,nASIG,"Música de Cámara"),"")))</f>
        <v/>
      </c>
      <c r="W21" t="str">
        <f>IF(S21="","",IF(S21="[FÓRMULA MANUAL]","",IFERROR(SUMPRODUCT((nNIA=S21)*(nCUENTA=1)*(COUNTIF(CONFIG_ASIGNATURAS!$B$7:$B$27,nASIG)&gt;0)*(nNOTA))/SUMPRODUCT((nNIA=S21)*(nCUENTA=1)*(COUNTIF(CONFIG_ASIGNATURAS!$B$7:$B$27,nASIG)&gt;0)*1),"")))</f>
        <v/>
      </c>
      <c r="Z21" t="str">
        <f>IF(Y21="","",IF(Y21="[FÓRMULA MANUAL]","",IFERROR(AVERAGEIFS(nNOTA,nNIA,Y21,nCUENTA,1,nASIG,"Análisis"),"")))</f>
        <v/>
      </c>
      <c r="AA21" t="str">
        <f>IF(Y21="","",IF(Y21="[FÓRMULA MANUAL]","",IFERROR(AVERAGEIFS(nNOTA,nNIA,Y21,nCUENTA,1,nASIG,"Orquesta/Banda/Conjunto"),"")))</f>
        <v/>
      </c>
      <c r="AB21" t="str">
        <f>IF(Y21="","",IF(Y21="[FÓRMULA MANUAL]","",IFERROR(AVERAGEIFS(nNOTA,nNIA,Y21,nCUENTA,1,nASIG,"Música de Cámara"),"")))</f>
        <v/>
      </c>
      <c r="AC21" t="str">
        <f>IF(Y21="","",IF(Y21="[FÓRMULA MANUAL]","",IFERROR(SUMPRODUCT((nNIA=Y21)*(nCUENTA=1)*(COUNTIF(CONFIG_ASIGNATURAS!$B$7:$B$27,nASIG)&gt;0)*(nNOTA))/SUMPRODUCT((nNIA=Y21)*(nCUENTA=1)*(COUNTIF(CONFIG_ASIGNATURAS!$B$7:$B$27,nASIG)&gt;0)*1),"")))</f>
        <v/>
      </c>
      <c r="AF21" t="str">
        <f>IF(AE21="","",IF(AE21="[FÓRMULA MANUAL]","",IFERROR(AVERAGEIFS(nNOTA,nNIA,AE21,nCUENTA,1,nASIG,"Análisis"),"")))</f>
        <v/>
      </c>
      <c r="AG21" t="str">
        <f>IF(AE21="","",IF(AE21="[FÓRMULA MANUAL]","",IFERROR(AVERAGEIFS(nNOTA,nNIA,AE21,nCUENTA,1,nASIG,"Orquesta/Banda/Conjunto"),"")))</f>
        <v/>
      </c>
      <c r="AH21" t="str">
        <f>IF(AE21="","",IF(AE21="[FÓRMULA MANUAL]","",IFERROR(AVERAGEIFS(nNOTA,nNIA,AE21,nCUENTA,1,nASIG,"Música de Cámara"),"")))</f>
        <v/>
      </c>
      <c r="AI21" t="str">
        <f>IF(AE21="","",IF(AE21="[FÓRMULA MANUAL]","",IFERROR(SUMPRODUCT((nNIA=AE21)*(nCUENTA=1)*(COUNTIF(CONFIG_ASIGNATURAS!$B$7:$B$27,nASIG)&gt;0)*(nNOTA))/SUMPRODUCT((nNIA=AE21)*(nCUENTA=1)*(COUNTIF(CONFIG_ASIGNATURAS!$B$7:$B$27,nASIG)&gt;0)*1),"")))</f>
        <v/>
      </c>
    </row>
    <row r="22" spans="2:35" x14ac:dyDescent="0.2">
      <c r="B22" t="str">
        <f>IF(A22="","",IF(A22="[FÓRMULA MANUAL]","",IFERROR(AVERAGEIFS(nNOTA,nNIA,A22,nCUENTA,1,nASIG,"Lenguaje Musical"),"")))</f>
        <v/>
      </c>
      <c r="C22" t="str">
        <f>IF(A22="","",IF(A22="[FÓRMULA MANUAL]","",IFERROR(AVERAGEIFS(nNOTA,nNIA,A22,nCUENTA,1,nASIG,"Orquesta/Banda/Conjunto"),"")))</f>
        <v/>
      </c>
      <c r="D22" t="str">
        <f>IF(A22="","",IF(A22="[FÓRMULA MANUAL]","",IFERROR(AVERAGEIFS(nNOTA,nNIA,A22,nCUENTA,1,nASIG,"Conjunto"),"")))</f>
        <v/>
      </c>
      <c r="E22" t="str">
        <f>IF(A22="","",IF(A22="[FÓRMULA MANUAL]","",IFERROR(SUMPRODUCT((nNIA=A22)*(nCUENTA=1)*(COUNTIF(CONFIG_ASIGNATURAS!$B$7:$B$27,nASIG)&gt;0)*(nNOTA))/SUMPRODUCT((nNIA=A22)*(nCUENTA=1)*(COUNTIF(CONFIG_ASIGNATURAS!$B$7:$B$27,nASIG)&gt;0)*1),"")))</f>
        <v/>
      </c>
      <c r="H22" t="str">
        <f>IF(G22="","",IF(G22="[FÓRMULA MANUAL]","",IFERROR(AVERAGEIFS(nNOTA,nNIA,G22,nCUENTA,1,nASIG,"Lenguaje Musical"),"")))</f>
        <v/>
      </c>
      <c r="I22" t="str">
        <f>IF(G22="","",IF(G22="[FÓRMULA MANUAL]","",IFERROR(AVERAGEIFS(nNOTA,nNIA,G22,nCUENTA,1,nASIG,"Orquesta/Banda/Conjunto"),"")))</f>
        <v/>
      </c>
      <c r="J22" t="str">
        <f>IF(G22="","",IF(G22="[FÓRMULA MANUAL]","",IFERROR(AVERAGEIFS(nNOTA,nNIA,G22,nCUENTA,1,nASIG,"Conjunto"),"")))</f>
        <v/>
      </c>
      <c r="K22" t="str">
        <f>IF(G22="","",IF(G22="[FÓRMULA MANUAL]","",IFERROR(SUMPRODUCT((nNIA=G22)*(nCUENTA=1)*(COUNTIF(CONFIG_ASIGNATURAS!$B$7:$B$27,nASIG)&gt;0)*(nNOTA))/SUMPRODUCT((nNIA=G22)*(nCUENTA=1)*(COUNTIF(CONFIG_ASIGNATURAS!$B$7:$B$27,nASIG)&gt;0)*1),"")))</f>
        <v/>
      </c>
      <c r="N22" t="str">
        <f>IF(M22="","",IF(M22="[FÓRMULA MANUAL]","",IFERROR(AVERAGEIFS(nNOTA,nNIA,M22,nCUENTA,1,nASIG,"Armonía"),"")))</f>
        <v/>
      </c>
      <c r="O22" t="str">
        <f>IF(M22="","",IF(M22="[FÓRMULA MANUAL]","",IFERROR(AVERAGEIFS(nNOTA,nNIA,M22,nCUENTA,1,nASIG,"Orquesta/Banda/Conjunto"),"")))</f>
        <v/>
      </c>
      <c r="P22" t="str">
        <f>IF(M22="","",IF(M22="[FÓRMULA MANUAL]","",IFERROR(AVERAGEIFS(nNOTA,nNIA,M22,nCUENTA,1,nASIG,"Música de Cámara"),"")))</f>
        <v/>
      </c>
      <c r="Q22" t="str">
        <f>IF(M22="","",IF(M22="[FÓRMULA MANUAL]","",IFERROR(SUMPRODUCT((nNIA=M22)*(nCUENTA=1)*(COUNTIF(CONFIG_ASIGNATURAS!$B$7:$B$27,nASIG)&gt;0)*(nNOTA))/SUMPRODUCT((nNIA=M22)*(nCUENTA=1)*(COUNTIF(CONFIG_ASIGNATURAS!$B$7:$B$27,nASIG)&gt;0)*1),"")))</f>
        <v/>
      </c>
      <c r="T22" t="str">
        <f>IF(S22="","",IF(S22="[FÓRMULA MANUAL]","",IFERROR(AVERAGEIFS(nNOTA,nNIA,S22,nCUENTA,1,nASIG,"Armonía"),"")))</f>
        <v/>
      </c>
      <c r="U22" t="str">
        <f>IF(S22="","",IF(S22="[FÓRMULA MANUAL]","",IFERROR(AVERAGEIFS(nNOTA,nNIA,S22,nCUENTA,1,nASIG,"Orquesta/Banda/Conjunto"),"")))</f>
        <v/>
      </c>
      <c r="V22" t="str">
        <f>IF(S22="","",IF(S22="[FÓRMULA MANUAL]","",IFERROR(AVERAGEIFS(nNOTA,nNIA,S22,nCUENTA,1,nASIG,"Música de Cámara"),"")))</f>
        <v/>
      </c>
      <c r="W22" t="str">
        <f>IF(S22="","",IF(S22="[FÓRMULA MANUAL]","",IFERROR(SUMPRODUCT((nNIA=S22)*(nCUENTA=1)*(COUNTIF(CONFIG_ASIGNATURAS!$B$7:$B$27,nASIG)&gt;0)*(nNOTA))/SUMPRODUCT((nNIA=S22)*(nCUENTA=1)*(COUNTIF(CONFIG_ASIGNATURAS!$B$7:$B$27,nASIG)&gt;0)*1),"")))</f>
        <v/>
      </c>
      <c r="Z22" t="str">
        <f>IF(Y22="","",IF(Y22="[FÓRMULA MANUAL]","",IFERROR(AVERAGEIFS(nNOTA,nNIA,Y22,nCUENTA,1,nASIG,"Análisis"),"")))</f>
        <v/>
      </c>
      <c r="AA22" t="str">
        <f>IF(Y22="","",IF(Y22="[FÓRMULA MANUAL]","",IFERROR(AVERAGEIFS(nNOTA,nNIA,Y22,nCUENTA,1,nASIG,"Orquesta/Banda/Conjunto"),"")))</f>
        <v/>
      </c>
      <c r="AB22" t="str">
        <f>IF(Y22="","",IF(Y22="[FÓRMULA MANUAL]","",IFERROR(AVERAGEIFS(nNOTA,nNIA,Y22,nCUENTA,1,nASIG,"Música de Cámara"),"")))</f>
        <v/>
      </c>
      <c r="AC22" t="str">
        <f>IF(Y22="","",IF(Y22="[FÓRMULA MANUAL]","",IFERROR(SUMPRODUCT((nNIA=Y22)*(nCUENTA=1)*(COUNTIF(CONFIG_ASIGNATURAS!$B$7:$B$27,nASIG)&gt;0)*(nNOTA))/SUMPRODUCT((nNIA=Y22)*(nCUENTA=1)*(COUNTIF(CONFIG_ASIGNATURAS!$B$7:$B$27,nASIG)&gt;0)*1),"")))</f>
        <v/>
      </c>
      <c r="AF22" t="str">
        <f>IF(AE22="","",IF(AE22="[FÓRMULA MANUAL]","",IFERROR(AVERAGEIFS(nNOTA,nNIA,AE22,nCUENTA,1,nASIG,"Análisis"),"")))</f>
        <v/>
      </c>
      <c r="AG22" t="str">
        <f>IF(AE22="","",IF(AE22="[FÓRMULA MANUAL]","",IFERROR(AVERAGEIFS(nNOTA,nNIA,AE22,nCUENTA,1,nASIG,"Orquesta/Banda/Conjunto"),"")))</f>
        <v/>
      </c>
      <c r="AH22" t="str">
        <f>IF(AE22="","",IF(AE22="[FÓRMULA MANUAL]","",IFERROR(AVERAGEIFS(nNOTA,nNIA,AE22,nCUENTA,1,nASIG,"Música de Cámara"),"")))</f>
        <v/>
      </c>
      <c r="AI22" t="str">
        <f>IF(AE22="","",IF(AE22="[FÓRMULA MANUAL]","",IFERROR(SUMPRODUCT((nNIA=AE22)*(nCUENTA=1)*(COUNTIF(CONFIG_ASIGNATURAS!$B$7:$B$27,nASIG)&gt;0)*(nNOTA))/SUMPRODUCT((nNIA=AE22)*(nCUENTA=1)*(COUNTIF(CONFIG_ASIGNATURAS!$B$7:$B$27,nASIG)&gt;0)*1),"")))</f>
        <v/>
      </c>
    </row>
    <row r="23" spans="2:35" x14ac:dyDescent="0.2">
      <c r="B23" t="str">
        <f>IF(A23="","",IF(A23="[FÓRMULA MANUAL]","",IFERROR(AVERAGEIFS(nNOTA,nNIA,A23,nCUENTA,1,nASIG,"Lenguaje Musical"),"")))</f>
        <v/>
      </c>
      <c r="C23" t="str">
        <f>IF(A23="","",IF(A23="[FÓRMULA MANUAL]","",IFERROR(AVERAGEIFS(nNOTA,nNIA,A23,nCUENTA,1,nASIG,"Orquesta/Banda/Conjunto"),"")))</f>
        <v/>
      </c>
      <c r="D23" t="str">
        <f>IF(A23="","",IF(A23="[FÓRMULA MANUAL]","",IFERROR(AVERAGEIFS(nNOTA,nNIA,A23,nCUENTA,1,nASIG,"Conjunto"),"")))</f>
        <v/>
      </c>
      <c r="E23" t="str">
        <f>IF(A23="","",IF(A23="[FÓRMULA MANUAL]","",IFERROR(SUMPRODUCT((nNIA=A23)*(nCUENTA=1)*(COUNTIF(CONFIG_ASIGNATURAS!$B$7:$B$27,nASIG)&gt;0)*(nNOTA))/SUMPRODUCT((nNIA=A23)*(nCUENTA=1)*(COUNTIF(CONFIG_ASIGNATURAS!$B$7:$B$27,nASIG)&gt;0)*1),"")))</f>
        <v/>
      </c>
      <c r="H23" t="str">
        <f>IF(G23="","",IF(G23="[FÓRMULA MANUAL]","",IFERROR(AVERAGEIFS(nNOTA,nNIA,G23,nCUENTA,1,nASIG,"Lenguaje Musical"),"")))</f>
        <v/>
      </c>
      <c r="I23" t="str">
        <f>IF(G23="","",IF(G23="[FÓRMULA MANUAL]","",IFERROR(AVERAGEIFS(nNOTA,nNIA,G23,nCUENTA,1,nASIG,"Orquesta/Banda/Conjunto"),"")))</f>
        <v/>
      </c>
      <c r="J23" t="str">
        <f>IF(G23="","",IF(G23="[FÓRMULA MANUAL]","",IFERROR(AVERAGEIFS(nNOTA,nNIA,G23,nCUENTA,1,nASIG,"Conjunto"),"")))</f>
        <v/>
      </c>
      <c r="K23" t="str">
        <f>IF(G23="","",IF(G23="[FÓRMULA MANUAL]","",IFERROR(SUMPRODUCT((nNIA=G23)*(nCUENTA=1)*(COUNTIF(CONFIG_ASIGNATURAS!$B$7:$B$27,nASIG)&gt;0)*(nNOTA))/SUMPRODUCT((nNIA=G23)*(nCUENTA=1)*(COUNTIF(CONFIG_ASIGNATURAS!$B$7:$B$27,nASIG)&gt;0)*1),"")))</f>
        <v/>
      </c>
      <c r="N23" t="str">
        <f>IF(M23="","",IF(M23="[FÓRMULA MANUAL]","",IFERROR(AVERAGEIFS(nNOTA,nNIA,M23,nCUENTA,1,nASIG,"Armonía"),"")))</f>
        <v/>
      </c>
      <c r="O23" t="str">
        <f>IF(M23="","",IF(M23="[FÓRMULA MANUAL]","",IFERROR(AVERAGEIFS(nNOTA,nNIA,M23,nCUENTA,1,nASIG,"Orquesta/Banda/Conjunto"),"")))</f>
        <v/>
      </c>
      <c r="P23" t="str">
        <f>IF(M23="","",IF(M23="[FÓRMULA MANUAL]","",IFERROR(AVERAGEIFS(nNOTA,nNIA,M23,nCUENTA,1,nASIG,"Música de Cámara"),"")))</f>
        <v/>
      </c>
      <c r="Q23" t="str">
        <f>IF(M23="","",IF(M23="[FÓRMULA MANUAL]","",IFERROR(SUMPRODUCT((nNIA=M23)*(nCUENTA=1)*(COUNTIF(CONFIG_ASIGNATURAS!$B$7:$B$27,nASIG)&gt;0)*(nNOTA))/SUMPRODUCT((nNIA=M23)*(nCUENTA=1)*(COUNTIF(CONFIG_ASIGNATURAS!$B$7:$B$27,nASIG)&gt;0)*1),"")))</f>
        <v/>
      </c>
      <c r="T23" t="str">
        <f>IF(S23="","",IF(S23="[FÓRMULA MANUAL]","",IFERROR(AVERAGEIFS(nNOTA,nNIA,S23,nCUENTA,1,nASIG,"Armonía"),"")))</f>
        <v/>
      </c>
      <c r="U23" t="str">
        <f>IF(S23="","",IF(S23="[FÓRMULA MANUAL]","",IFERROR(AVERAGEIFS(nNOTA,nNIA,S23,nCUENTA,1,nASIG,"Orquesta/Banda/Conjunto"),"")))</f>
        <v/>
      </c>
      <c r="V23" t="str">
        <f>IF(S23="","",IF(S23="[FÓRMULA MANUAL]","",IFERROR(AVERAGEIFS(nNOTA,nNIA,S23,nCUENTA,1,nASIG,"Música de Cámara"),"")))</f>
        <v/>
      </c>
      <c r="W23" t="str">
        <f>IF(S23="","",IF(S23="[FÓRMULA MANUAL]","",IFERROR(SUMPRODUCT((nNIA=S23)*(nCUENTA=1)*(COUNTIF(CONFIG_ASIGNATURAS!$B$7:$B$27,nASIG)&gt;0)*(nNOTA))/SUMPRODUCT((nNIA=S23)*(nCUENTA=1)*(COUNTIF(CONFIG_ASIGNATURAS!$B$7:$B$27,nASIG)&gt;0)*1),"")))</f>
        <v/>
      </c>
      <c r="Z23" t="str">
        <f>IF(Y23="","",IF(Y23="[FÓRMULA MANUAL]","",IFERROR(AVERAGEIFS(nNOTA,nNIA,Y23,nCUENTA,1,nASIG,"Análisis"),"")))</f>
        <v/>
      </c>
      <c r="AA23" t="str">
        <f>IF(Y23="","",IF(Y23="[FÓRMULA MANUAL]","",IFERROR(AVERAGEIFS(nNOTA,nNIA,Y23,nCUENTA,1,nASIG,"Orquesta/Banda/Conjunto"),"")))</f>
        <v/>
      </c>
      <c r="AB23" t="str">
        <f>IF(Y23="","",IF(Y23="[FÓRMULA MANUAL]","",IFERROR(AVERAGEIFS(nNOTA,nNIA,Y23,nCUENTA,1,nASIG,"Música de Cámara"),"")))</f>
        <v/>
      </c>
      <c r="AC23" t="str">
        <f>IF(Y23="","",IF(Y23="[FÓRMULA MANUAL]","",IFERROR(SUMPRODUCT((nNIA=Y23)*(nCUENTA=1)*(COUNTIF(CONFIG_ASIGNATURAS!$B$7:$B$27,nASIG)&gt;0)*(nNOTA))/SUMPRODUCT((nNIA=Y23)*(nCUENTA=1)*(COUNTIF(CONFIG_ASIGNATURAS!$B$7:$B$27,nASIG)&gt;0)*1),"")))</f>
        <v/>
      </c>
      <c r="AF23" t="str">
        <f>IF(AE23="","",IF(AE23="[FÓRMULA MANUAL]","",IFERROR(AVERAGEIFS(nNOTA,nNIA,AE23,nCUENTA,1,nASIG,"Análisis"),"")))</f>
        <v/>
      </c>
      <c r="AG23" t="str">
        <f>IF(AE23="","",IF(AE23="[FÓRMULA MANUAL]","",IFERROR(AVERAGEIFS(nNOTA,nNIA,AE23,nCUENTA,1,nASIG,"Orquesta/Banda/Conjunto"),"")))</f>
        <v/>
      </c>
      <c r="AH23" t="str">
        <f>IF(AE23="","",IF(AE23="[FÓRMULA MANUAL]","",IFERROR(AVERAGEIFS(nNOTA,nNIA,AE23,nCUENTA,1,nASIG,"Música de Cámara"),"")))</f>
        <v/>
      </c>
      <c r="AI23" t="str">
        <f>IF(AE23="","",IF(AE23="[FÓRMULA MANUAL]","",IFERROR(SUMPRODUCT((nNIA=AE23)*(nCUENTA=1)*(COUNTIF(CONFIG_ASIGNATURAS!$B$7:$B$27,nASIG)&gt;0)*(nNOTA))/SUMPRODUCT((nNIA=AE23)*(nCUENTA=1)*(COUNTIF(CONFIG_ASIGNATURAS!$B$7:$B$27,nASIG)&gt;0)*1),"")))</f>
        <v/>
      </c>
    </row>
    <row r="24" spans="2:35" x14ac:dyDescent="0.2">
      <c r="B24" t="str">
        <f>IF(A24="","",IF(A24="[FÓRMULA MANUAL]","",IFERROR(AVERAGEIFS(nNOTA,nNIA,A24,nCUENTA,1,nASIG,"Lenguaje Musical"),"")))</f>
        <v/>
      </c>
      <c r="C24" t="str">
        <f>IF(A24="","",IF(A24="[FÓRMULA MANUAL]","",IFERROR(AVERAGEIFS(nNOTA,nNIA,A24,nCUENTA,1,nASIG,"Orquesta/Banda/Conjunto"),"")))</f>
        <v/>
      </c>
      <c r="D24" t="str">
        <f>IF(A24="","",IF(A24="[FÓRMULA MANUAL]","",IFERROR(AVERAGEIFS(nNOTA,nNIA,A24,nCUENTA,1,nASIG,"Conjunto"),"")))</f>
        <v/>
      </c>
      <c r="E24" t="str">
        <f>IF(A24="","",IF(A24="[FÓRMULA MANUAL]","",IFERROR(SUMPRODUCT((nNIA=A24)*(nCUENTA=1)*(COUNTIF(CONFIG_ASIGNATURAS!$B$7:$B$27,nASIG)&gt;0)*(nNOTA))/SUMPRODUCT((nNIA=A24)*(nCUENTA=1)*(COUNTIF(CONFIG_ASIGNATURAS!$B$7:$B$27,nASIG)&gt;0)*1),"")))</f>
        <v/>
      </c>
      <c r="H24" t="str">
        <f>IF(G24="","",IF(G24="[FÓRMULA MANUAL]","",IFERROR(AVERAGEIFS(nNOTA,nNIA,G24,nCUENTA,1,nASIG,"Lenguaje Musical"),"")))</f>
        <v/>
      </c>
      <c r="I24" t="str">
        <f>IF(G24="","",IF(G24="[FÓRMULA MANUAL]","",IFERROR(AVERAGEIFS(nNOTA,nNIA,G24,nCUENTA,1,nASIG,"Orquesta/Banda/Conjunto"),"")))</f>
        <v/>
      </c>
      <c r="J24" t="str">
        <f>IF(G24="","",IF(G24="[FÓRMULA MANUAL]","",IFERROR(AVERAGEIFS(nNOTA,nNIA,G24,nCUENTA,1,nASIG,"Conjunto"),"")))</f>
        <v/>
      </c>
      <c r="K24" t="str">
        <f>IF(G24="","",IF(G24="[FÓRMULA MANUAL]","",IFERROR(SUMPRODUCT((nNIA=G24)*(nCUENTA=1)*(COUNTIF(CONFIG_ASIGNATURAS!$B$7:$B$27,nASIG)&gt;0)*(nNOTA))/SUMPRODUCT((nNIA=G24)*(nCUENTA=1)*(COUNTIF(CONFIG_ASIGNATURAS!$B$7:$B$27,nASIG)&gt;0)*1),"")))</f>
        <v/>
      </c>
      <c r="N24" t="str">
        <f>IF(M24="","",IF(M24="[FÓRMULA MANUAL]","",IFERROR(AVERAGEIFS(nNOTA,nNIA,M24,nCUENTA,1,nASIG,"Armonía"),"")))</f>
        <v/>
      </c>
      <c r="O24" t="str">
        <f>IF(M24="","",IF(M24="[FÓRMULA MANUAL]","",IFERROR(AVERAGEIFS(nNOTA,nNIA,M24,nCUENTA,1,nASIG,"Orquesta/Banda/Conjunto"),"")))</f>
        <v/>
      </c>
      <c r="P24" t="str">
        <f>IF(M24="","",IF(M24="[FÓRMULA MANUAL]","",IFERROR(AVERAGEIFS(nNOTA,nNIA,M24,nCUENTA,1,nASIG,"Música de Cámara"),"")))</f>
        <v/>
      </c>
      <c r="Q24" t="str">
        <f>IF(M24="","",IF(M24="[FÓRMULA MANUAL]","",IFERROR(SUMPRODUCT((nNIA=M24)*(nCUENTA=1)*(COUNTIF(CONFIG_ASIGNATURAS!$B$7:$B$27,nASIG)&gt;0)*(nNOTA))/SUMPRODUCT((nNIA=M24)*(nCUENTA=1)*(COUNTIF(CONFIG_ASIGNATURAS!$B$7:$B$27,nASIG)&gt;0)*1),"")))</f>
        <v/>
      </c>
      <c r="T24" t="str">
        <f>IF(S24="","",IF(S24="[FÓRMULA MANUAL]","",IFERROR(AVERAGEIFS(nNOTA,nNIA,S24,nCUENTA,1,nASIG,"Armonía"),"")))</f>
        <v/>
      </c>
      <c r="U24" t="str">
        <f>IF(S24="","",IF(S24="[FÓRMULA MANUAL]","",IFERROR(AVERAGEIFS(nNOTA,nNIA,S24,nCUENTA,1,nASIG,"Orquesta/Banda/Conjunto"),"")))</f>
        <v/>
      </c>
      <c r="V24" t="str">
        <f>IF(S24="","",IF(S24="[FÓRMULA MANUAL]","",IFERROR(AVERAGEIFS(nNOTA,nNIA,S24,nCUENTA,1,nASIG,"Música de Cámara"),"")))</f>
        <v/>
      </c>
      <c r="W24" t="str">
        <f>IF(S24="","",IF(S24="[FÓRMULA MANUAL]","",IFERROR(SUMPRODUCT((nNIA=S24)*(nCUENTA=1)*(COUNTIF(CONFIG_ASIGNATURAS!$B$7:$B$27,nASIG)&gt;0)*(nNOTA))/SUMPRODUCT((nNIA=S24)*(nCUENTA=1)*(COUNTIF(CONFIG_ASIGNATURAS!$B$7:$B$27,nASIG)&gt;0)*1),"")))</f>
        <v/>
      </c>
      <c r="Z24" t="str">
        <f>IF(Y24="","",IF(Y24="[FÓRMULA MANUAL]","",IFERROR(AVERAGEIFS(nNOTA,nNIA,Y24,nCUENTA,1,nASIG,"Análisis"),"")))</f>
        <v/>
      </c>
      <c r="AA24" t="str">
        <f>IF(Y24="","",IF(Y24="[FÓRMULA MANUAL]","",IFERROR(AVERAGEIFS(nNOTA,nNIA,Y24,nCUENTA,1,nASIG,"Orquesta/Banda/Conjunto"),"")))</f>
        <v/>
      </c>
      <c r="AB24" t="str">
        <f>IF(Y24="","",IF(Y24="[FÓRMULA MANUAL]","",IFERROR(AVERAGEIFS(nNOTA,nNIA,Y24,nCUENTA,1,nASIG,"Música de Cámara"),"")))</f>
        <v/>
      </c>
      <c r="AC24" t="str">
        <f>IF(Y24="","",IF(Y24="[FÓRMULA MANUAL]","",IFERROR(SUMPRODUCT((nNIA=Y24)*(nCUENTA=1)*(COUNTIF(CONFIG_ASIGNATURAS!$B$7:$B$27,nASIG)&gt;0)*(nNOTA))/SUMPRODUCT((nNIA=Y24)*(nCUENTA=1)*(COUNTIF(CONFIG_ASIGNATURAS!$B$7:$B$27,nASIG)&gt;0)*1),"")))</f>
        <v/>
      </c>
      <c r="AF24" t="str">
        <f>IF(AE24="","",IF(AE24="[FÓRMULA MANUAL]","",IFERROR(AVERAGEIFS(nNOTA,nNIA,AE24,nCUENTA,1,nASIG,"Análisis"),"")))</f>
        <v/>
      </c>
      <c r="AG24" t="str">
        <f>IF(AE24="","",IF(AE24="[FÓRMULA MANUAL]","",IFERROR(AVERAGEIFS(nNOTA,nNIA,AE24,nCUENTA,1,nASIG,"Orquesta/Banda/Conjunto"),"")))</f>
        <v/>
      </c>
      <c r="AH24" t="str">
        <f>IF(AE24="","",IF(AE24="[FÓRMULA MANUAL]","",IFERROR(AVERAGEIFS(nNOTA,nNIA,AE24,nCUENTA,1,nASIG,"Música de Cámara"),"")))</f>
        <v/>
      </c>
      <c r="AI24" t="str">
        <f>IF(AE24="","",IF(AE24="[FÓRMULA MANUAL]","",IFERROR(SUMPRODUCT((nNIA=AE24)*(nCUENTA=1)*(COUNTIF(CONFIG_ASIGNATURAS!$B$7:$B$27,nASIG)&gt;0)*(nNOTA))/SUMPRODUCT((nNIA=AE24)*(nCUENTA=1)*(COUNTIF(CONFIG_ASIGNATURAS!$B$7:$B$27,nASIG)&gt;0)*1),"")))</f>
        <v/>
      </c>
    </row>
    <row r="25" spans="2:35" x14ac:dyDescent="0.2">
      <c r="B25" t="str">
        <f>IF(A25="","",IF(A25="[FÓRMULA MANUAL]","",IFERROR(AVERAGEIFS(nNOTA,nNIA,A25,nCUENTA,1,nASIG,"Lenguaje Musical"),"")))</f>
        <v/>
      </c>
      <c r="C25" t="str">
        <f>IF(A25="","",IF(A25="[FÓRMULA MANUAL]","",IFERROR(AVERAGEIFS(nNOTA,nNIA,A25,nCUENTA,1,nASIG,"Orquesta/Banda/Conjunto"),"")))</f>
        <v/>
      </c>
      <c r="D25" t="str">
        <f>IF(A25="","",IF(A25="[FÓRMULA MANUAL]","",IFERROR(AVERAGEIFS(nNOTA,nNIA,A25,nCUENTA,1,nASIG,"Conjunto"),"")))</f>
        <v/>
      </c>
      <c r="E25" t="str">
        <f>IF(A25="","",IF(A25="[FÓRMULA MANUAL]","",IFERROR(SUMPRODUCT((nNIA=A25)*(nCUENTA=1)*(COUNTIF(CONFIG_ASIGNATURAS!$B$7:$B$27,nASIG)&gt;0)*(nNOTA))/SUMPRODUCT((nNIA=A25)*(nCUENTA=1)*(COUNTIF(CONFIG_ASIGNATURAS!$B$7:$B$27,nASIG)&gt;0)*1),"")))</f>
        <v/>
      </c>
      <c r="H25" t="str">
        <f>IF(G25="","",IF(G25="[FÓRMULA MANUAL]","",IFERROR(AVERAGEIFS(nNOTA,nNIA,G25,nCUENTA,1,nASIG,"Lenguaje Musical"),"")))</f>
        <v/>
      </c>
      <c r="I25" t="str">
        <f>IF(G25="","",IF(G25="[FÓRMULA MANUAL]","",IFERROR(AVERAGEIFS(nNOTA,nNIA,G25,nCUENTA,1,nASIG,"Orquesta/Banda/Conjunto"),"")))</f>
        <v/>
      </c>
      <c r="J25" t="str">
        <f>IF(G25="","",IF(G25="[FÓRMULA MANUAL]","",IFERROR(AVERAGEIFS(nNOTA,nNIA,G25,nCUENTA,1,nASIG,"Conjunto"),"")))</f>
        <v/>
      </c>
      <c r="K25" t="str">
        <f>IF(G25="","",IF(G25="[FÓRMULA MANUAL]","",IFERROR(SUMPRODUCT((nNIA=G25)*(nCUENTA=1)*(COUNTIF(CONFIG_ASIGNATURAS!$B$7:$B$27,nASIG)&gt;0)*(nNOTA))/SUMPRODUCT((nNIA=G25)*(nCUENTA=1)*(COUNTIF(CONFIG_ASIGNATURAS!$B$7:$B$27,nASIG)&gt;0)*1),"")))</f>
        <v/>
      </c>
      <c r="N25" t="str">
        <f>IF(M25="","",IF(M25="[FÓRMULA MANUAL]","",IFERROR(AVERAGEIFS(nNOTA,nNIA,M25,nCUENTA,1,nASIG,"Armonía"),"")))</f>
        <v/>
      </c>
      <c r="O25" t="str">
        <f>IF(M25="","",IF(M25="[FÓRMULA MANUAL]","",IFERROR(AVERAGEIFS(nNOTA,nNIA,M25,nCUENTA,1,nASIG,"Orquesta/Banda/Conjunto"),"")))</f>
        <v/>
      </c>
      <c r="P25" t="str">
        <f>IF(M25="","",IF(M25="[FÓRMULA MANUAL]","",IFERROR(AVERAGEIFS(nNOTA,nNIA,M25,nCUENTA,1,nASIG,"Música de Cámara"),"")))</f>
        <v/>
      </c>
      <c r="Q25" t="str">
        <f>IF(M25="","",IF(M25="[FÓRMULA MANUAL]","",IFERROR(SUMPRODUCT((nNIA=M25)*(nCUENTA=1)*(COUNTIF(CONFIG_ASIGNATURAS!$B$7:$B$27,nASIG)&gt;0)*(nNOTA))/SUMPRODUCT((nNIA=M25)*(nCUENTA=1)*(COUNTIF(CONFIG_ASIGNATURAS!$B$7:$B$27,nASIG)&gt;0)*1),"")))</f>
        <v/>
      </c>
      <c r="T25" t="str">
        <f>IF(S25="","",IF(S25="[FÓRMULA MANUAL]","",IFERROR(AVERAGEIFS(nNOTA,nNIA,S25,nCUENTA,1,nASIG,"Armonía"),"")))</f>
        <v/>
      </c>
      <c r="U25" t="str">
        <f>IF(S25="","",IF(S25="[FÓRMULA MANUAL]","",IFERROR(AVERAGEIFS(nNOTA,nNIA,S25,nCUENTA,1,nASIG,"Orquesta/Banda/Conjunto"),"")))</f>
        <v/>
      </c>
      <c r="V25" t="str">
        <f>IF(S25="","",IF(S25="[FÓRMULA MANUAL]","",IFERROR(AVERAGEIFS(nNOTA,nNIA,S25,nCUENTA,1,nASIG,"Música de Cámara"),"")))</f>
        <v/>
      </c>
      <c r="W25" t="str">
        <f>IF(S25="","",IF(S25="[FÓRMULA MANUAL]","",IFERROR(SUMPRODUCT((nNIA=S25)*(nCUENTA=1)*(COUNTIF(CONFIG_ASIGNATURAS!$B$7:$B$27,nASIG)&gt;0)*(nNOTA))/SUMPRODUCT((nNIA=S25)*(nCUENTA=1)*(COUNTIF(CONFIG_ASIGNATURAS!$B$7:$B$27,nASIG)&gt;0)*1),"")))</f>
        <v/>
      </c>
      <c r="Z25" t="str">
        <f>IF(Y25="","",IF(Y25="[FÓRMULA MANUAL]","",IFERROR(AVERAGEIFS(nNOTA,nNIA,Y25,nCUENTA,1,nASIG,"Análisis"),"")))</f>
        <v/>
      </c>
      <c r="AA25" t="str">
        <f>IF(Y25="","",IF(Y25="[FÓRMULA MANUAL]","",IFERROR(AVERAGEIFS(nNOTA,nNIA,Y25,nCUENTA,1,nASIG,"Orquesta/Banda/Conjunto"),"")))</f>
        <v/>
      </c>
      <c r="AB25" t="str">
        <f>IF(Y25="","",IF(Y25="[FÓRMULA MANUAL]","",IFERROR(AVERAGEIFS(nNOTA,nNIA,Y25,nCUENTA,1,nASIG,"Música de Cámara"),"")))</f>
        <v/>
      </c>
      <c r="AC25" t="str">
        <f>IF(Y25="","",IF(Y25="[FÓRMULA MANUAL]","",IFERROR(SUMPRODUCT((nNIA=Y25)*(nCUENTA=1)*(COUNTIF(CONFIG_ASIGNATURAS!$B$7:$B$27,nASIG)&gt;0)*(nNOTA))/SUMPRODUCT((nNIA=Y25)*(nCUENTA=1)*(COUNTIF(CONFIG_ASIGNATURAS!$B$7:$B$27,nASIG)&gt;0)*1),"")))</f>
        <v/>
      </c>
      <c r="AF25" t="str">
        <f>IF(AE25="","",IF(AE25="[FÓRMULA MANUAL]","",IFERROR(AVERAGEIFS(nNOTA,nNIA,AE25,nCUENTA,1,nASIG,"Análisis"),"")))</f>
        <v/>
      </c>
      <c r="AG25" t="str">
        <f>IF(AE25="","",IF(AE25="[FÓRMULA MANUAL]","",IFERROR(AVERAGEIFS(nNOTA,nNIA,AE25,nCUENTA,1,nASIG,"Orquesta/Banda/Conjunto"),"")))</f>
        <v/>
      </c>
      <c r="AH25" t="str">
        <f>IF(AE25="","",IF(AE25="[FÓRMULA MANUAL]","",IFERROR(AVERAGEIFS(nNOTA,nNIA,AE25,nCUENTA,1,nASIG,"Música de Cámara"),"")))</f>
        <v/>
      </c>
      <c r="AI25" t="str">
        <f>IF(AE25="","",IF(AE25="[FÓRMULA MANUAL]","",IFERROR(SUMPRODUCT((nNIA=AE25)*(nCUENTA=1)*(COUNTIF(CONFIG_ASIGNATURAS!$B$7:$B$27,nASIG)&gt;0)*(nNOTA))/SUMPRODUCT((nNIA=AE25)*(nCUENTA=1)*(COUNTIF(CONFIG_ASIGNATURAS!$B$7:$B$27,nASIG)&gt;0)*1),"")))</f>
        <v/>
      </c>
    </row>
    <row r="26" spans="2:35" x14ac:dyDescent="0.2">
      <c r="B26" t="str">
        <f>IF(A26="","",IF(A26="[FÓRMULA MANUAL]","",IFERROR(AVERAGEIFS(nNOTA,nNIA,A26,nCUENTA,1,nASIG,"Lenguaje Musical"),"")))</f>
        <v/>
      </c>
      <c r="C26" t="str">
        <f>IF(A26="","",IF(A26="[FÓRMULA MANUAL]","",IFERROR(AVERAGEIFS(nNOTA,nNIA,A26,nCUENTA,1,nASIG,"Orquesta/Banda/Conjunto"),"")))</f>
        <v/>
      </c>
      <c r="D26" t="str">
        <f>IF(A26="","",IF(A26="[FÓRMULA MANUAL]","",IFERROR(AVERAGEIFS(nNOTA,nNIA,A26,nCUENTA,1,nASIG,"Conjunto"),"")))</f>
        <v/>
      </c>
      <c r="E26" t="str">
        <f>IF(A26="","",IF(A26="[FÓRMULA MANUAL]","",IFERROR(SUMPRODUCT((nNIA=A26)*(nCUENTA=1)*(COUNTIF(CONFIG_ASIGNATURAS!$B$7:$B$27,nASIG)&gt;0)*(nNOTA))/SUMPRODUCT((nNIA=A26)*(nCUENTA=1)*(COUNTIF(CONFIG_ASIGNATURAS!$B$7:$B$27,nASIG)&gt;0)*1),"")))</f>
        <v/>
      </c>
      <c r="H26" t="str">
        <f>IF(G26="","",IF(G26="[FÓRMULA MANUAL]","",IFERROR(AVERAGEIFS(nNOTA,nNIA,G26,nCUENTA,1,nASIG,"Lenguaje Musical"),"")))</f>
        <v/>
      </c>
      <c r="I26" t="str">
        <f>IF(G26="","",IF(G26="[FÓRMULA MANUAL]","",IFERROR(AVERAGEIFS(nNOTA,nNIA,G26,nCUENTA,1,nASIG,"Orquesta/Banda/Conjunto"),"")))</f>
        <v/>
      </c>
      <c r="J26" t="str">
        <f>IF(G26="","",IF(G26="[FÓRMULA MANUAL]","",IFERROR(AVERAGEIFS(nNOTA,nNIA,G26,nCUENTA,1,nASIG,"Conjunto"),"")))</f>
        <v/>
      </c>
      <c r="K26" t="str">
        <f>IF(G26="","",IF(G26="[FÓRMULA MANUAL]","",IFERROR(SUMPRODUCT((nNIA=G26)*(nCUENTA=1)*(COUNTIF(CONFIG_ASIGNATURAS!$B$7:$B$27,nASIG)&gt;0)*(nNOTA))/SUMPRODUCT((nNIA=G26)*(nCUENTA=1)*(COUNTIF(CONFIG_ASIGNATURAS!$B$7:$B$27,nASIG)&gt;0)*1),"")))</f>
        <v/>
      </c>
      <c r="N26" t="str">
        <f>IF(M26="","",IF(M26="[FÓRMULA MANUAL]","",IFERROR(AVERAGEIFS(nNOTA,nNIA,M26,nCUENTA,1,nASIG,"Armonía"),"")))</f>
        <v/>
      </c>
      <c r="O26" t="str">
        <f>IF(M26="","",IF(M26="[FÓRMULA MANUAL]","",IFERROR(AVERAGEIFS(nNOTA,nNIA,M26,nCUENTA,1,nASIG,"Orquesta/Banda/Conjunto"),"")))</f>
        <v/>
      </c>
      <c r="P26" t="str">
        <f>IF(M26="","",IF(M26="[FÓRMULA MANUAL]","",IFERROR(AVERAGEIFS(nNOTA,nNIA,M26,nCUENTA,1,nASIG,"Música de Cámara"),"")))</f>
        <v/>
      </c>
      <c r="Q26" t="str">
        <f>IF(M26="","",IF(M26="[FÓRMULA MANUAL]","",IFERROR(SUMPRODUCT((nNIA=M26)*(nCUENTA=1)*(COUNTIF(CONFIG_ASIGNATURAS!$B$7:$B$27,nASIG)&gt;0)*(nNOTA))/SUMPRODUCT((nNIA=M26)*(nCUENTA=1)*(COUNTIF(CONFIG_ASIGNATURAS!$B$7:$B$27,nASIG)&gt;0)*1),"")))</f>
        <v/>
      </c>
      <c r="T26" t="str">
        <f>IF(S26="","",IF(S26="[FÓRMULA MANUAL]","",IFERROR(AVERAGEIFS(nNOTA,nNIA,S26,nCUENTA,1,nASIG,"Armonía"),"")))</f>
        <v/>
      </c>
      <c r="U26" t="str">
        <f>IF(S26="","",IF(S26="[FÓRMULA MANUAL]","",IFERROR(AVERAGEIFS(nNOTA,nNIA,S26,nCUENTA,1,nASIG,"Orquesta/Banda/Conjunto"),"")))</f>
        <v/>
      </c>
      <c r="V26" t="str">
        <f>IF(S26="","",IF(S26="[FÓRMULA MANUAL]","",IFERROR(AVERAGEIFS(nNOTA,nNIA,S26,nCUENTA,1,nASIG,"Música de Cámara"),"")))</f>
        <v/>
      </c>
      <c r="W26" t="str">
        <f>IF(S26="","",IF(S26="[FÓRMULA MANUAL]","",IFERROR(SUMPRODUCT((nNIA=S26)*(nCUENTA=1)*(COUNTIF(CONFIG_ASIGNATURAS!$B$7:$B$27,nASIG)&gt;0)*(nNOTA))/SUMPRODUCT((nNIA=S26)*(nCUENTA=1)*(COUNTIF(CONFIG_ASIGNATURAS!$B$7:$B$27,nASIG)&gt;0)*1),"")))</f>
        <v/>
      </c>
      <c r="Z26" t="str">
        <f>IF(Y26="","",IF(Y26="[FÓRMULA MANUAL]","",IFERROR(AVERAGEIFS(nNOTA,nNIA,Y26,nCUENTA,1,nASIG,"Análisis"),"")))</f>
        <v/>
      </c>
      <c r="AA26" t="str">
        <f>IF(Y26="","",IF(Y26="[FÓRMULA MANUAL]","",IFERROR(AVERAGEIFS(nNOTA,nNIA,Y26,nCUENTA,1,nASIG,"Orquesta/Banda/Conjunto"),"")))</f>
        <v/>
      </c>
      <c r="AB26" t="str">
        <f>IF(Y26="","",IF(Y26="[FÓRMULA MANUAL]","",IFERROR(AVERAGEIFS(nNOTA,nNIA,Y26,nCUENTA,1,nASIG,"Música de Cámara"),"")))</f>
        <v/>
      </c>
      <c r="AC26" t="str">
        <f>IF(Y26="","",IF(Y26="[FÓRMULA MANUAL]","",IFERROR(SUMPRODUCT((nNIA=Y26)*(nCUENTA=1)*(COUNTIF(CONFIG_ASIGNATURAS!$B$7:$B$27,nASIG)&gt;0)*(nNOTA))/SUMPRODUCT((nNIA=Y26)*(nCUENTA=1)*(COUNTIF(CONFIG_ASIGNATURAS!$B$7:$B$27,nASIG)&gt;0)*1),"")))</f>
        <v/>
      </c>
      <c r="AF26" t="str">
        <f>IF(AE26="","",IF(AE26="[FÓRMULA MANUAL]","",IFERROR(AVERAGEIFS(nNOTA,nNIA,AE26,nCUENTA,1,nASIG,"Análisis"),"")))</f>
        <v/>
      </c>
      <c r="AG26" t="str">
        <f>IF(AE26="","",IF(AE26="[FÓRMULA MANUAL]","",IFERROR(AVERAGEIFS(nNOTA,nNIA,AE26,nCUENTA,1,nASIG,"Orquesta/Banda/Conjunto"),"")))</f>
        <v/>
      </c>
      <c r="AH26" t="str">
        <f>IF(AE26="","",IF(AE26="[FÓRMULA MANUAL]","",IFERROR(AVERAGEIFS(nNOTA,nNIA,AE26,nCUENTA,1,nASIG,"Música de Cámara"),"")))</f>
        <v/>
      </c>
      <c r="AI26" t="str">
        <f>IF(AE26="","",IF(AE26="[FÓRMULA MANUAL]","",IFERROR(SUMPRODUCT((nNIA=AE26)*(nCUENTA=1)*(COUNTIF(CONFIG_ASIGNATURAS!$B$7:$B$27,nASIG)&gt;0)*(nNOTA))/SUMPRODUCT((nNIA=AE26)*(nCUENTA=1)*(COUNTIF(CONFIG_ASIGNATURAS!$B$7:$B$27,nASIG)&gt;0)*1),"")))</f>
        <v/>
      </c>
    </row>
    <row r="27" spans="2:35" x14ac:dyDescent="0.2">
      <c r="B27" t="str">
        <f>IF(A27="","",IF(A27="[FÓRMULA MANUAL]","",IFERROR(AVERAGEIFS(nNOTA,nNIA,A27,nCUENTA,1,nASIG,"Lenguaje Musical"),"")))</f>
        <v/>
      </c>
      <c r="C27" t="str">
        <f>IF(A27="","",IF(A27="[FÓRMULA MANUAL]","",IFERROR(AVERAGEIFS(nNOTA,nNIA,A27,nCUENTA,1,nASIG,"Orquesta/Banda/Conjunto"),"")))</f>
        <v/>
      </c>
      <c r="D27" t="str">
        <f>IF(A27="","",IF(A27="[FÓRMULA MANUAL]","",IFERROR(AVERAGEIFS(nNOTA,nNIA,A27,nCUENTA,1,nASIG,"Conjunto"),"")))</f>
        <v/>
      </c>
      <c r="E27" t="str">
        <f>IF(A27="","",IF(A27="[FÓRMULA MANUAL]","",IFERROR(SUMPRODUCT((nNIA=A27)*(nCUENTA=1)*(COUNTIF(CONFIG_ASIGNATURAS!$B$7:$B$27,nASIG)&gt;0)*(nNOTA))/SUMPRODUCT((nNIA=A27)*(nCUENTA=1)*(COUNTIF(CONFIG_ASIGNATURAS!$B$7:$B$27,nASIG)&gt;0)*1),"")))</f>
        <v/>
      </c>
      <c r="H27" t="str">
        <f>IF(G27="","",IF(G27="[FÓRMULA MANUAL]","",IFERROR(AVERAGEIFS(nNOTA,nNIA,G27,nCUENTA,1,nASIG,"Lenguaje Musical"),"")))</f>
        <v/>
      </c>
      <c r="I27" t="str">
        <f>IF(G27="","",IF(G27="[FÓRMULA MANUAL]","",IFERROR(AVERAGEIFS(nNOTA,nNIA,G27,nCUENTA,1,nASIG,"Orquesta/Banda/Conjunto"),"")))</f>
        <v/>
      </c>
      <c r="J27" t="str">
        <f>IF(G27="","",IF(G27="[FÓRMULA MANUAL]","",IFERROR(AVERAGEIFS(nNOTA,nNIA,G27,nCUENTA,1,nASIG,"Conjunto"),"")))</f>
        <v/>
      </c>
      <c r="K27" t="str">
        <f>IF(G27="","",IF(G27="[FÓRMULA MANUAL]","",IFERROR(SUMPRODUCT((nNIA=G27)*(nCUENTA=1)*(COUNTIF(CONFIG_ASIGNATURAS!$B$7:$B$27,nASIG)&gt;0)*(nNOTA))/SUMPRODUCT((nNIA=G27)*(nCUENTA=1)*(COUNTIF(CONFIG_ASIGNATURAS!$B$7:$B$27,nASIG)&gt;0)*1),"")))</f>
        <v/>
      </c>
      <c r="N27" t="str">
        <f>IF(M27="","",IF(M27="[FÓRMULA MANUAL]","",IFERROR(AVERAGEIFS(nNOTA,nNIA,M27,nCUENTA,1,nASIG,"Armonía"),"")))</f>
        <v/>
      </c>
      <c r="O27" t="str">
        <f>IF(M27="","",IF(M27="[FÓRMULA MANUAL]","",IFERROR(AVERAGEIFS(nNOTA,nNIA,M27,nCUENTA,1,nASIG,"Orquesta/Banda/Conjunto"),"")))</f>
        <v/>
      </c>
      <c r="P27" t="str">
        <f>IF(M27="","",IF(M27="[FÓRMULA MANUAL]","",IFERROR(AVERAGEIFS(nNOTA,nNIA,M27,nCUENTA,1,nASIG,"Música de Cámara"),"")))</f>
        <v/>
      </c>
      <c r="Q27" t="str">
        <f>IF(M27="","",IF(M27="[FÓRMULA MANUAL]","",IFERROR(SUMPRODUCT((nNIA=M27)*(nCUENTA=1)*(COUNTIF(CONFIG_ASIGNATURAS!$B$7:$B$27,nASIG)&gt;0)*(nNOTA))/SUMPRODUCT((nNIA=M27)*(nCUENTA=1)*(COUNTIF(CONFIG_ASIGNATURAS!$B$7:$B$27,nASIG)&gt;0)*1),"")))</f>
        <v/>
      </c>
      <c r="T27" t="str">
        <f>IF(S27="","",IF(S27="[FÓRMULA MANUAL]","",IFERROR(AVERAGEIFS(nNOTA,nNIA,S27,nCUENTA,1,nASIG,"Armonía"),"")))</f>
        <v/>
      </c>
      <c r="U27" t="str">
        <f>IF(S27="","",IF(S27="[FÓRMULA MANUAL]","",IFERROR(AVERAGEIFS(nNOTA,nNIA,S27,nCUENTA,1,nASIG,"Orquesta/Banda/Conjunto"),"")))</f>
        <v/>
      </c>
      <c r="V27" t="str">
        <f>IF(S27="","",IF(S27="[FÓRMULA MANUAL]","",IFERROR(AVERAGEIFS(nNOTA,nNIA,S27,nCUENTA,1,nASIG,"Música de Cámara"),"")))</f>
        <v/>
      </c>
      <c r="W27" t="str">
        <f>IF(S27="","",IF(S27="[FÓRMULA MANUAL]","",IFERROR(SUMPRODUCT((nNIA=S27)*(nCUENTA=1)*(COUNTIF(CONFIG_ASIGNATURAS!$B$7:$B$27,nASIG)&gt;0)*(nNOTA))/SUMPRODUCT((nNIA=S27)*(nCUENTA=1)*(COUNTIF(CONFIG_ASIGNATURAS!$B$7:$B$27,nASIG)&gt;0)*1),"")))</f>
        <v/>
      </c>
      <c r="Z27" t="str">
        <f>IF(Y27="","",IF(Y27="[FÓRMULA MANUAL]","",IFERROR(AVERAGEIFS(nNOTA,nNIA,Y27,nCUENTA,1,nASIG,"Análisis"),"")))</f>
        <v/>
      </c>
      <c r="AA27" t="str">
        <f>IF(Y27="","",IF(Y27="[FÓRMULA MANUAL]","",IFERROR(AVERAGEIFS(nNOTA,nNIA,Y27,nCUENTA,1,nASIG,"Orquesta/Banda/Conjunto"),"")))</f>
        <v/>
      </c>
      <c r="AB27" t="str">
        <f>IF(Y27="","",IF(Y27="[FÓRMULA MANUAL]","",IFERROR(AVERAGEIFS(nNOTA,nNIA,Y27,nCUENTA,1,nASIG,"Música de Cámara"),"")))</f>
        <v/>
      </c>
      <c r="AC27" t="str">
        <f>IF(Y27="","",IF(Y27="[FÓRMULA MANUAL]","",IFERROR(SUMPRODUCT((nNIA=Y27)*(nCUENTA=1)*(COUNTIF(CONFIG_ASIGNATURAS!$B$7:$B$27,nASIG)&gt;0)*(nNOTA))/SUMPRODUCT((nNIA=Y27)*(nCUENTA=1)*(COUNTIF(CONFIG_ASIGNATURAS!$B$7:$B$27,nASIG)&gt;0)*1),"")))</f>
        <v/>
      </c>
      <c r="AF27" t="str">
        <f>IF(AE27="","",IF(AE27="[FÓRMULA MANUAL]","",IFERROR(AVERAGEIFS(nNOTA,nNIA,AE27,nCUENTA,1,nASIG,"Análisis"),"")))</f>
        <v/>
      </c>
      <c r="AG27" t="str">
        <f>IF(AE27="","",IF(AE27="[FÓRMULA MANUAL]","",IFERROR(AVERAGEIFS(nNOTA,nNIA,AE27,nCUENTA,1,nASIG,"Orquesta/Banda/Conjunto"),"")))</f>
        <v/>
      </c>
      <c r="AH27" t="str">
        <f>IF(AE27="","",IF(AE27="[FÓRMULA MANUAL]","",IFERROR(AVERAGEIFS(nNOTA,nNIA,AE27,nCUENTA,1,nASIG,"Música de Cámara"),"")))</f>
        <v/>
      </c>
      <c r="AI27" t="str">
        <f>IF(AE27="","",IF(AE27="[FÓRMULA MANUAL]","",IFERROR(SUMPRODUCT((nNIA=AE27)*(nCUENTA=1)*(COUNTIF(CONFIG_ASIGNATURAS!$B$7:$B$27,nASIG)&gt;0)*(nNOTA))/SUMPRODUCT((nNIA=AE27)*(nCUENTA=1)*(COUNTIF(CONFIG_ASIGNATURAS!$B$7:$B$27,nASIG)&gt;0)*1),"")))</f>
        <v/>
      </c>
    </row>
    <row r="28" spans="2:35" x14ac:dyDescent="0.2">
      <c r="B28" t="str">
        <f>IF(A28="","",IF(A28="[FÓRMULA MANUAL]","",IFERROR(AVERAGEIFS(nNOTA,nNIA,A28,nCUENTA,1,nASIG,"Lenguaje Musical"),"")))</f>
        <v/>
      </c>
      <c r="C28" t="str">
        <f>IF(A28="","",IF(A28="[FÓRMULA MANUAL]","",IFERROR(AVERAGEIFS(nNOTA,nNIA,A28,nCUENTA,1,nASIG,"Orquesta/Banda/Conjunto"),"")))</f>
        <v/>
      </c>
      <c r="D28" t="str">
        <f>IF(A28="","",IF(A28="[FÓRMULA MANUAL]","",IFERROR(AVERAGEIFS(nNOTA,nNIA,A28,nCUENTA,1,nASIG,"Conjunto"),"")))</f>
        <v/>
      </c>
      <c r="E28" t="str">
        <f>IF(A28="","",IF(A28="[FÓRMULA MANUAL]","",IFERROR(SUMPRODUCT((nNIA=A28)*(nCUENTA=1)*(COUNTIF(CONFIG_ASIGNATURAS!$B$7:$B$27,nASIG)&gt;0)*(nNOTA))/SUMPRODUCT((nNIA=A28)*(nCUENTA=1)*(COUNTIF(CONFIG_ASIGNATURAS!$B$7:$B$27,nASIG)&gt;0)*1),"")))</f>
        <v/>
      </c>
      <c r="H28" t="str">
        <f>IF(G28="","",IF(G28="[FÓRMULA MANUAL]","",IFERROR(AVERAGEIFS(nNOTA,nNIA,G28,nCUENTA,1,nASIG,"Lenguaje Musical"),"")))</f>
        <v/>
      </c>
      <c r="I28" t="str">
        <f>IF(G28="","",IF(G28="[FÓRMULA MANUAL]","",IFERROR(AVERAGEIFS(nNOTA,nNIA,G28,nCUENTA,1,nASIG,"Orquesta/Banda/Conjunto"),"")))</f>
        <v/>
      </c>
      <c r="J28" t="str">
        <f>IF(G28="","",IF(G28="[FÓRMULA MANUAL]","",IFERROR(AVERAGEIFS(nNOTA,nNIA,G28,nCUENTA,1,nASIG,"Conjunto"),"")))</f>
        <v/>
      </c>
      <c r="K28" t="str">
        <f>IF(G28="","",IF(G28="[FÓRMULA MANUAL]","",IFERROR(SUMPRODUCT((nNIA=G28)*(nCUENTA=1)*(COUNTIF(CONFIG_ASIGNATURAS!$B$7:$B$27,nASIG)&gt;0)*(nNOTA))/SUMPRODUCT((nNIA=G28)*(nCUENTA=1)*(COUNTIF(CONFIG_ASIGNATURAS!$B$7:$B$27,nASIG)&gt;0)*1),"")))</f>
        <v/>
      </c>
      <c r="N28" t="str">
        <f>IF(M28="","",IF(M28="[FÓRMULA MANUAL]","",IFERROR(AVERAGEIFS(nNOTA,nNIA,M28,nCUENTA,1,nASIG,"Armonía"),"")))</f>
        <v/>
      </c>
      <c r="O28" t="str">
        <f>IF(M28="","",IF(M28="[FÓRMULA MANUAL]","",IFERROR(AVERAGEIFS(nNOTA,nNIA,M28,nCUENTA,1,nASIG,"Orquesta/Banda/Conjunto"),"")))</f>
        <v/>
      </c>
      <c r="P28" t="str">
        <f>IF(M28="","",IF(M28="[FÓRMULA MANUAL]","",IFERROR(AVERAGEIFS(nNOTA,nNIA,M28,nCUENTA,1,nASIG,"Música de Cámara"),"")))</f>
        <v/>
      </c>
      <c r="Q28" t="str">
        <f>IF(M28="","",IF(M28="[FÓRMULA MANUAL]","",IFERROR(SUMPRODUCT((nNIA=M28)*(nCUENTA=1)*(COUNTIF(CONFIG_ASIGNATURAS!$B$7:$B$27,nASIG)&gt;0)*(nNOTA))/SUMPRODUCT((nNIA=M28)*(nCUENTA=1)*(COUNTIF(CONFIG_ASIGNATURAS!$B$7:$B$27,nASIG)&gt;0)*1),"")))</f>
        <v/>
      </c>
      <c r="T28" t="str">
        <f>IF(S28="","",IF(S28="[FÓRMULA MANUAL]","",IFERROR(AVERAGEIFS(nNOTA,nNIA,S28,nCUENTA,1,nASIG,"Armonía"),"")))</f>
        <v/>
      </c>
      <c r="U28" t="str">
        <f>IF(S28="","",IF(S28="[FÓRMULA MANUAL]","",IFERROR(AVERAGEIFS(nNOTA,nNIA,S28,nCUENTA,1,nASIG,"Orquesta/Banda/Conjunto"),"")))</f>
        <v/>
      </c>
      <c r="V28" t="str">
        <f>IF(S28="","",IF(S28="[FÓRMULA MANUAL]","",IFERROR(AVERAGEIFS(nNOTA,nNIA,S28,nCUENTA,1,nASIG,"Música de Cámara"),"")))</f>
        <v/>
      </c>
      <c r="W28" t="str">
        <f>IF(S28="","",IF(S28="[FÓRMULA MANUAL]","",IFERROR(SUMPRODUCT((nNIA=S28)*(nCUENTA=1)*(COUNTIF(CONFIG_ASIGNATURAS!$B$7:$B$27,nASIG)&gt;0)*(nNOTA))/SUMPRODUCT((nNIA=S28)*(nCUENTA=1)*(COUNTIF(CONFIG_ASIGNATURAS!$B$7:$B$27,nASIG)&gt;0)*1),"")))</f>
        <v/>
      </c>
      <c r="Z28" t="str">
        <f>IF(Y28="","",IF(Y28="[FÓRMULA MANUAL]","",IFERROR(AVERAGEIFS(nNOTA,nNIA,Y28,nCUENTA,1,nASIG,"Análisis"),"")))</f>
        <v/>
      </c>
      <c r="AA28" t="str">
        <f>IF(Y28="","",IF(Y28="[FÓRMULA MANUAL]","",IFERROR(AVERAGEIFS(nNOTA,nNIA,Y28,nCUENTA,1,nASIG,"Orquesta/Banda/Conjunto"),"")))</f>
        <v/>
      </c>
      <c r="AB28" t="str">
        <f>IF(Y28="","",IF(Y28="[FÓRMULA MANUAL]","",IFERROR(AVERAGEIFS(nNOTA,nNIA,Y28,nCUENTA,1,nASIG,"Música de Cámara"),"")))</f>
        <v/>
      </c>
      <c r="AC28" t="str">
        <f>IF(Y28="","",IF(Y28="[FÓRMULA MANUAL]","",IFERROR(SUMPRODUCT((nNIA=Y28)*(nCUENTA=1)*(COUNTIF(CONFIG_ASIGNATURAS!$B$7:$B$27,nASIG)&gt;0)*(nNOTA))/SUMPRODUCT((nNIA=Y28)*(nCUENTA=1)*(COUNTIF(CONFIG_ASIGNATURAS!$B$7:$B$27,nASIG)&gt;0)*1),"")))</f>
        <v/>
      </c>
      <c r="AF28" t="str">
        <f>IF(AE28="","",IF(AE28="[FÓRMULA MANUAL]","",IFERROR(AVERAGEIFS(nNOTA,nNIA,AE28,nCUENTA,1,nASIG,"Análisis"),"")))</f>
        <v/>
      </c>
      <c r="AG28" t="str">
        <f>IF(AE28="","",IF(AE28="[FÓRMULA MANUAL]","",IFERROR(AVERAGEIFS(nNOTA,nNIA,AE28,nCUENTA,1,nASIG,"Orquesta/Banda/Conjunto"),"")))</f>
        <v/>
      </c>
      <c r="AH28" t="str">
        <f>IF(AE28="","",IF(AE28="[FÓRMULA MANUAL]","",IFERROR(AVERAGEIFS(nNOTA,nNIA,AE28,nCUENTA,1,nASIG,"Música de Cámara"),"")))</f>
        <v/>
      </c>
      <c r="AI28" t="str">
        <f>IF(AE28="","",IF(AE28="[FÓRMULA MANUAL]","",IFERROR(SUMPRODUCT((nNIA=AE28)*(nCUENTA=1)*(COUNTIF(CONFIG_ASIGNATURAS!$B$7:$B$27,nASIG)&gt;0)*(nNOTA))/SUMPRODUCT((nNIA=AE28)*(nCUENTA=1)*(COUNTIF(CONFIG_ASIGNATURAS!$B$7:$B$27,nASIG)&gt;0)*1),"")))</f>
        <v/>
      </c>
    </row>
    <row r="29" spans="2:35" x14ac:dyDescent="0.2">
      <c r="B29" t="str">
        <f>IF(A29="","",IF(A29="[FÓRMULA MANUAL]","",IFERROR(AVERAGEIFS(nNOTA,nNIA,A29,nCUENTA,1,nASIG,"Lenguaje Musical"),"")))</f>
        <v/>
      </c>
      <c r="C29" t="str">
        <f>IF(A29="","",IF(A29="[FÓRMULA MANUAL]","",IFERROR(AVERAGEIFS(nNOTA,nNIA,A29,nCUENTA,1,nASIG,"Orquesta/Banda/Conjunto"),"")))</f>
        <v/>
      </c>
      <c r="D29" t="str">
        <f>IF(A29="","",IF(A29="[FÓRMULA MANUAL]","",IFERROR(AVERAGEIFS(nNOTA,nNIA,A29,nCUENTA,1,nASIG,"Conjunto"),"")))</f>
        <v/>
      </c>
      <c r="E29" t="str">
        <f>IF(A29="","",IF(A29="[FÓRMULA MANUAL]","",IFERROR(SUMPRODUCT((nNIA=A29)*(nCUENTA=1)*(COUNTIF(CONFIG_ASIGNATURAS!$B$7:$B$27,nASIG)&gt;0)*(nNOTA))/SUMPRODUCT((nNIA=A29)*(nCUENTA=1)*(COUNTIF(CONFIG_ASIGNATURAS!$B$7:$B$27,nASIG)&gt;0)*1),"")))</f>
        <v/>
      </c>
      <c r="H29" t="str">
        <f>IF(G29="","",IF(G29="[FÓRMULA MANUAL]","",IFERROR(AVERAGEIFS(nNOTA,nNIA,G29,nCUENTA,1,nASIG,"Lenguaje Musical"),"")))</f>
        <v/>
      </c>
      <c r="I29" t="str">
        <f>IF(G29="","",IF(G29="[FÓRMULA MANUAL]","",IFERROR(AVERAGEIFS(nNOTA,nNIA,G29,nCUENTA,1,nASIG,"Orquesta/Banda/Conjunto"),"")))</f>
        <v/>
      </c>
      <c r="J29" t="str">
        <f>IF(G29="","",IF(G29="[FÓRMULA MANUAL]","",IFERROR(AVERAGEIFS(nNOTA,nNIA,G29,nCUENTA,1,nASIG,"Conjunto"),"")))</f>
        <v/>
      </c>
      <c r="K29" t="str">
        <f>IF(G29="","",IF(G29="[FÓRMULA MANUAL]","",IFERROR(SUMPRODUCT((nNIA=G29)*(nCUENTA=1)*(COUNTIF(CONFIG_ASIGNATURAS!$B$7:$B$27,nASIG)&gt;0)*(nNOTA))/SUMPRODUCT((nNIA=G29)*(nCUENTA=1)*(COUNTIF(CONFIG_ASIGNATURAS!$B$7:$B$27,nASIG)&gt;0)*1),"")))</f>
        <v/>
      </c>
      <c r="N29" t="str">
        <f>IF(M29="","",IF(M29="[FÓRMULA MANUAL]","",IFERROR(AVERAGEIFS(nNOTA,nNIA,M29,nCUENTA,1,nASIG,"Armonía"),"")))</f>
        <v/>
      </c>
      <c r="O29" t="str">
        <f>IF(M29="","",IF(M29="[FÓRMULA MANUAL]","",IFERROR(AVERAGEIFS(nNOTA,nNIA,M29,nCUENTA,1,nASIG,"Orquesta/Banda/Conjunto"),"")))</f>
        <v/>
      </c>
      <c r="P29" t="str">
        <f>IF(M29="","",IF(M29="[FÓRMULA MANUAL]","",IFERROR(AVERAGEIFS(nNOTA,nNIA,M29,nCUENTA,1,nASIG,"Música de Cámara"),"")))</f>
        <v/>
      </c>
      <c r="Q29" t="str">
        <f>IF(M29="","",IF(M29="[FÓRMULA MANUAL]","",IFERROR(SUMPRODUCT((nNIA=M29)*(nCUENTA=1)*(COUNTIF(CONFIG_ASIGNATURAS!$B$7:$B$27,nASIG)&gt;0)*(nNOTA))/SUMPRODUCT((nNIA=M29)*(nCUENTA=1)*(COUNTIF(CONFIG_ASIGNATURAS!$B$7:$B$27,nASIG)&gt;0)*1),"")))</f>
        <v/>
      </c>
      <c r="T29" t="str">
        <f>IF(S29="","",IF(S29="[FÓRMULA MANUAL]","",IFERROR(AVERAGEIFS(nNOTA,nNIA,S29,nCUENTA,1,nASIG,"Armonía"),"")))</f>
        <v/>
      </c>
      <c r="U29" t="str">
        <f>IF(S29="","",IF(S29="[FÓRMULA MANUAL]","",IFERROR(AVERAGEIFS(nNOTA,nNIA,S29,nCUENTA,1,nASIG,"Orquesta/Banda/Conjunto"),"")))</f>
        <v/>
      </c>
      <c r="V29" t="str">
        <f>IF(S29="","",IF(S29="[FÓRMULA MANUAL]","",IFERROR(AVERAGEIFS(nNOTA,nNIA,S29,nCUENTA,1,nASIG,"Música de Cámara"),"")))</f>
        <v/>
      </c>
      <c r="W29" t="str">
        <f>IF(S29="","",IF(S29="[FÓRMULA MANUAL]","",IFERROR(SUMPRODUCT((nNIA=S29)*(nCUENTA=1)*(COUNTIF(CONFIG_ASIGNATURAS!$B$7:$B$27,nASIG)&gt;0)*(nNOTA))/SUMPRODUCT((nNIA=S29)*(nCUENTA=1)*(COUNTIF(CONFIG_ASIGNATURAS!$B$7:$B$27,nASIG)&gt;0)*1),"")))</f>
        <v/>
      </c>
      <c r="Z29" t="str">
        <f>IF(Y29="","",IF(Y29="[FÓRMULA MANUAL]","",IFERROR(AVERAGEIFS(nNOTA,nNIA,Y29,nCUENTA,1,nASIG,"Análisis"),"")))</f>
        <v/>
      </c>
      <c r="AA29" t="str">
        <f>IF(Y29="","",IF(Y29="[FÓRMULA MANUAL]","",IFERROR(AVERAGEIFS(nNOTA,nNIA,Y29,nCUENTA,1,nASIG,"Orquesta/Banda/Conjunto"),"")))</f>
        <v/>
      </c>
      <c r="AB29" t="str">
        <f>IF(Y29="","",IF(Y29="[FÓRMULA MANUAL]","",IFERROR(AVERAGEIFS(nNOTA,nNIA,Y29,nCUENTA,1,nASIG,"Música de Cámara"),"")))</f>
        <v/>
      </c>
      <c r="AC29" t="str">
        <f>IF(Y29="","",IF(Y29="[FÓRMULA MANUAL]","",IFERROR(SUMPRODUCT((nNIA=Y29)*(nCUENTA=1)*(COUNTIF(CONFIG_ASIGNATURAS!$B$7:$B$27,nASIG)&gt;0)*(nNOTA))/SUMPRODUCT((nNIA=Y29)*(nCUENTA=1)*(COUNTIF(CONFIG_ASIGNATURAS!$B$7:$B$27,nASIG)&gt;0)*1),"")))</f>
        <v/>
      </c>
      <c r="AF29" t="str">
        <f>IF(AE29="","",IF(AE29="[FÓRMULA MANUAL]","",IFERROR(AVERAGEIFS(nNOTA,nNIA,AE29,nCUENTA,1,nASIG,"Análisis"),"")))</f>
        <v/>
      </c>
      <c r="AG29" t="str">
        <f>IF(AE29="","",IF(AE29="[FÓRMULA MANUAL]","",IFERROR(AVERAGEIFS(nNOTA,nNIA,AE29,nCUENTA,1,nASIG,"Orquesta/Banda/Conjunto"),"")))</f>
        <v/>
      </c>
      <c r="AH29" t="str">
        <f>IF(AE29="","",IF(AE29="[FÓRMULA MANUAL]","",IFERROR(AVERAGEIFS(nNOTA,nNIA,AE29,nCUENTA,1,nASIG,"Música de Cámara"),"")))</f>
        <v/>
      </c>
      <c r="AI29" t="str">
        <f>IF(AE29="","",IF(AE29="[FÓRMULA MANUAL]","",IFERROR(SUMPRODUCT((nNIA=AE29)*(nCUENTA=1)*(COUNTIF(CONFIG_ASIGNATURAS!$B$7:$B$27,nASIG)&gt;0)*(nNOTA))/SUMPRODUCT((nNIA=AE29)*(nCUENTA=1)*(COUNTIF(CONFIG_ASIGNATURAS!$B$7:$B$27,nASIG)&gt;0)*1),"")))</f>
        <v/>
      </c>
    </row>
    <row r="30" spans="2:35" x14ac:dyDescent="0.2">
      <c r="B30" t="str">
        <f>IF(A30="","",IF(A30="[FÓRMULA MANUAL]","",IFERROR(AVERAGEIFS(nNOTA,nNIA,A30,nCUENTA,1,nASIG,"Lenguaje Musical"),"")))</f>
        <v/>
      </c>
      <c r="C30" t="str">
        <f>IF(A30="","",IF(A30="[FÓRMULA MANUAL]","",IFERROR(AVERAGEIFS(nNOTA,nNIA,A30,nCUENTA,1,nASIG,"Orquesta/Banda/Conjunto"),"")))</f>
        <v/>
      </c>
      <c r="D30" t="str">
        <f>IF(A30="","",IF(A30="[FÓRMULA MANUAL]","",IFERROR(AVERAGEIFS(nNOTA,nNIA,A30,nCUENTA,1,nASIG,"Conjunto"),"")))</f>
        <v/>
      </c>
      <c r="E30" t="str">
        <f>IF(A30="","",IF(A30="[FÓRMULA MANUAL]","",IFERROR(SUMPRODUCT((nNIA=A30)*(nCUENTA=1)*(COUNTIF(CONFIG_ASIGNATURAS!$B$7:$B$27,nASIG)&gt;0)*(nNOTA))/SUMPRODUCT((nNIA=A30)*(nCUENTA=1)*(COUNTIF(CONFIG_ASIGNATURAS!$B$7:$B$27,nASIG)&gt;0)*1),"")))</f>
        <v/>
      </c>
      <c r="H30" t="str">
        <f>IF(G30="","",IF(G30="[FÓRMULA MANUAL]","",IFERROR(AVERAGEIFS(nNOTA,nNIA,G30,nCUENTA,1,nASIG,"Lenguaje Musical"),"")))</f>
        <v/>
      </c>
      <c r="I30" t="str">
        <f>IF(G30="","",IF(G30="[FÓRMULA MANUAL]","",IFERROR(AVERAGEIFS(nNOTA,nNIA,G30,nCUENTA,1,nASIG,"Orquesta/Banda/Conjunto"),"")))</f>
        <v/>
      </c>
      <c r="J30" t="str">
        <f>IF(G30="","",IF(G30="[FÓRMULA MANUAL]","",IFERROR(AVERAGEIFS(nNOTA,nNIA,G30,nCUENTA,1,nASIG,"Conjunto"),"")))</f>
        <v/>
      </c>
      <c r="K30" t="str">
        <f>IF(G30="","",IF(G30="[FÓRMULA MANUAL]","",IFERROR(SUMPRODUCT((nNIA=G30)*(nCUENTA=1)*(COUNTIF(CONFIG_ASIGNATURAS!$B$7:$B$27,nASIG)&gt;0)*(nNOTA))/SUMPRODUCT((nNIA=G30)*(nCUENTA=1)*(COUNTIF(CONFIG_ASIGNATURAS!$B$7:$B$27,nASIG)&gt;0)*1),"")))</f>
        <v/>
      </c>
      <c r="N30" t="str">
        <f>IF(M30="","",IF(M30="[FÓRMULA MANUAL]","",IFERROR(AVERAGEIFS(nNOTA,nNIA,M30,nCUENTA,1,nASIG,"Armonía"),"")))</f>
        <v/>
      </c>
      <c r="O30" t="str">
        <f>IF(M30="","",IF(M30="[FÓRMULA MANUAL]","",IFERROR(AVERAGEIFS(nNOTA,nNIA,M30,nCUENTA,1,nASIG,"Orquesta/Banda/Conjunto"),"")))</f>
        <v/>
      </c>
      <c r="P30" t="str">
        <f>IF(M30="","",IF(M30="[FÓRMULA MANUAL]","",IFERROR(AVERAGEIFS(nNOTA,nNIA,M30,nCUENTA,1,nASIG,"Música de Cámara"),"")))</f>
        <v/>
      </c>
      <c r="Q30" t="str">
        <f>IF(M30="","",IF(M30="[FÓRMULA MANUAL]","",IFERROR(SUMPRODUCT((nNIA=M30)*(nCUENTA=1)*(COUNTIF(CONFIG_ASIGNATURAS!$B$7:$B$27,nASIG)&gt;0)*(nNOTA))/SUMPRODUCT((nNIA=M30)*(nCUENTA=1)*(COUNTIF(CONFIG_ASIGNATURAS!$B$7:$B$27,nASIG)&gt;0)*1),"")))</f>
        <v/>
      </c>
      <c r="T30" t="str">
        <f>IF(S30="","",IF(S30="[FÓRMULA MANUAL]","",IFERROR(AVERAGEIFS(nNOTA,nNIA,S30,nCUENTA,1,nASIG,"Armonía"),"")))</f>
        <v/>
      </c>
      <c r="U30" t="str">
        <f>IF(S30="","",IF(S30="[FÓRMULA MANUAL]","",IFERROR(AVERAGEIFS(nNOTA,nNIA,S30,nCUENTA,1,nASIG,"Orquesta/Banda/Conjunto"),"")))</f>
        <v/>
      </c>
      <c r="V30" t="str">
        <f>IF(S30="","",IF(S30="[FÓRMULA MANUAL]","",IFERROR(AVERAGEIFS(nNOTA,nNIA,S30,nCUENTA,1,nASIG,"Música de Cámara"),"")))</f>
        <v/>
      </c>
      <c r="W30" t="str">
        <f>IF(S30="","",IF(S30="[FÓRMULA MANUAL]","",IFERROR(SUMPRODUCT((nNIA=S30)*(nCUENTA=1)*(COUNTIF(CONFIG_ASIGNATURAS!$B$7:$B$27,nASIG)&gt;0)*(nNOTA))/SUMPRODUCT((nNIA=S30)*(nCUENTA=1)*(COUNTIF(CONFIG_ASIGNATURAS!$B$7:$B$27,nASIG)&gt;0)*1),"")))</f>
        <v/>
      </c>
      <c r="Z30" t="str">
        <f>IF(Y30="","",IF(Y30="[FÓRMULA MANUAL]","",IFERROR(AVERAGEIFS(nNOTA,nNIA,Y30,nCUENTA,1,nASIG,"Análisis"),"")))</f>
        <v/>
      </c>
      <c r="AA30" t="str">
        <f>IF(Y30="","",IF(Y30="[FÓRMULA MANUAL]","",IFERROR(AVERAGEIFS(nNOTA,nNIA,Y30,nCUENTA,1,nASIG,"Orquesta/Banda/Conjunto"),"")))</f>
        <v/>
      </c>
      <c r="AB30" t="str">
        <f>IF(Y30="","",IF(Y30="[FÓRMULA MANUAL]","",IFERROR(AVERAGEIFS(nNOTA,nNIA,Y30,nCUENTA,1,nASIG,"Música de Cámara"),"")))</f>
        <v/>
      </c>
      <c r="AC30" t="str">
        <f>IF(Y30="","",IF(Y30="[FÓRMULA MANUAL]","",IFERROR(SUMPRODUCT((nNIA=Y30)*(nCUENTA=1)*(COUNTIF(CONFIG_ASIGNATURAS!$B$7:$B$27,nASIG)&gt;0)*(nNOTA))/SUMPRODUCT((nNIA=Y30)*(nCUENTA=1)*(COUNTIF(CONFIG_ASIGNATURAS!$B$7:$B$27,nASIG)&gt;0)*1),"")))</f>
        <v/>
      </c>
      <c r="AF30" t="str">
        <f>IF(AE30="","",IF(AE30="[FÓRMULA MANUAL]","",IFERROR(AVERAGEIFS(nNOTA,nNIA,AE30,nCUENTA,1,nASIG,"Análisis"),"")))</f>
        <v/>
      </c>
      <c r="AG30" t="str">
        <f>IF(AE30="","",IF(AE30="[FÓRMULA MANUAL]","",IFERROR(AVERAGEIFS(nNOTA,nNIA,AE30,nCUENTA,1,nASIG,"Orquesta/Banda/Conjunto"),"")))</f>
        <v/>
      </c>
      <c r="AH30" t="str">
        <f>IF(AE30="","",IF(AE30="[FÓRMULA MANUAL]","",IFERROR(AVERAGEIFS(nNOTA,nNIA,AE30,nCUENTA,1,nASIG,"Música de Cámara"),"")))</f>
        <v/>
      </c>
      <c r="AI30" t="str">
        <f>IF(AE30="","",IF(AE30="[FÓRMULA MANUAL]","",IFERROR(SUMPRODUCT((nNIA=AE30)*(nCUENTA=1)*(COUNTIF(CONFIG_ASIGNATURAS!$B$7:$B$27,nASIG)&gt;0)*(nNOTA))/SUMPRODUCT((nNIA=AE30)*(nCUENTA=1)*(COUNTIF(CONFIG_ASIGNATURAS!$B$7:$B$27,nASIG)&gt;0)*1),"")))</f>
        <v/>
      </c>
    </row>
    <row r="31" spans="2:35" x14ac:dyDescent="0.2">
      <c r="B31" t="str">
        <f>IF(A31="","",IF(A31="[FÓRMULA MANUAL]","",IFERROR(AVERAGEIFS(nNOTA,nNIA,A31,nCUENTA,1,nASIG,"Lenguaje Musical"),"")))</f>
        <v/>
      </c>
      <c r="C31" t="str">
        <f>IF(A31="","",IF(A31="[FÓRMULA MANUAL]","",IFERROR(AVERAGEIFS(nNOTA,nNIA,A31,nCUENTA,1,nASIG,"Orquesta/Banda/Conjunto"),"")))</f>
        <v/>
      </c>
      <c r="D31" t="str">
        <f>IF(A31="","",IF(A31="[FÓRMULA MANUAL]","",IFERROR(AVERAGEIFS(nNOTA,nNIA,A31,nCUENTA,1,nASIG,"Conjunto"),"")))</f>
        <v/>
      </c>
      <c r="E31" t="str">
        <f>IF(A31="","",IF(A31="[FÓRMULA MANUAL]","",IFERROR(SUMPRODUCT((nNIA=A31)*(nCUENTA=1)*(COUNTIF(CONFIG_ASIGNATURAS!$B$7:$B$27,nASIG)&gt;0)*(nNOTA))/SUMPRODUCT((nNIA=A31)*(nCUENTA=1)*(COUNTIF(CONFIG_ASIGNATURAS!$B$7:$B$27,nASIG)&gt;0)*1),"")))</f>
        <v/>
      </c>
      <c r="H31" t="str">
        <f>IF(G31="","",IF(G31="[FÓRMULA MANUAL]","",IFERROR(AVERAGEIFS(nNOTA,nNIA,G31,nCUENTA,1,nASIG,"Lenguaje Musical"),"")))</f>
        <v/>
      </c>
      <c r="I31" t="str">
        <f>IF(G31="","",IF(G31="[FÓRMULA MANUAL]","",IFERROR(AVERAGEIFS(nNOTA,nNIA,G31,nCUENTA,1,nASIG,"Orquesta/Banda/Conjunto"),"")))</f>
        <v/>
      </c>
      <c r="J31" t="str">
        <f>IF(G31="","",IF(G31="[FÓRMULA MANUAL]","",IFERROR(AVERAGEIFS(nNOTA,nNIA,G31,nCUENTA,1,nASIG,"Conjunto"),"")))</f>
        <v/>
      </c>
      <c r="K31" t="str">
        <f>IF(G31="","",IF(G31="[FÓRMULA MANUAL]","",IFERROR(SUMPRODUCT((nNIA=G31)*(nCUENTA=1)*(COUNTIF(CONFIG_ASIGNATURAS!$B$7:$B$27,nASIG)&gt;0)*(nNOTA))/SUMPRODUCT((nNIA=G31)*(nCUENTA=1)*(COUNTIF(CONFIG_ASIGNATURAS!$B$7:$B$27,nASIG)&gt;0)*1),"")))</f>
        <v/>
      </c>
      <c r="N31" t="str">
        <f>IF(M31="","",IF(M31="[FÓRMULA MANUAL]","",IFERROR(AVERAGEIFS(nNOTA,nNIA,M31,nCUENTA,1,nASIG,"Armonía"),"")))</f>
        <v/>
      </c>
      <c r="O31" t="str">
        <f>IF(M31="","",IF(M31="[FÓRMULA MANUAL]","",IFERROR(AVERAGEIFS(nNOTA,nNIA,M31,nCUENTA,1,nASIG,"Orquesta/Banda/Conjunto"),"")))</f>
        <v/>
      </c>
      <c r="P31" t="str">
        <f>IF(M31="","",IF(M31="[FÓRMULA MANUAL]","",IFERROR(AVERAGEIFS(nNOTA,nNIA,M31,nCUENTA,1,nASIG,"Música de Cámara"),"")))</f>
        <v/>
      </c>
      <c r="Q31" t="str">
        <f>IF(M31="","",IF(M31="[FÓRMULA MANUAL]","",IFERROR(SUMPRODUCT((nNIA=M31)*(nCUENTA=1)*(COUNTIF(CONFIG_ASIGNATURAS!$B$7:$B$27,nASIG)&gt;0)*(nNOTA))/SUMPRODUCT((nNIA=M31)*(nCUENTA=1)*(COUNTIF(CONFIG_ASIGNATURAS!$B$7:$B$27,nASIG)&gt;0)*1),"")))</f>
        <v/>
      </c>
      <c r="T31" t="str">
        <f>IF(S31="","",IF(S31="[FÓRMULA MANUAL]","",IFERROR(AVERAGEIFS(nNOTA,nNIA,S31,nCUENTA,1,nASIG,"Armonía"),"")))</f>
        <v/>
      </c>
      <c r="U31" t="str">
        <f>IF(S31="","",IF(S31="[FÓRMULA MANUAL]","",IFERROR(AVERAGEIFS(nNOTA,nNIA,S31,nCUENTA,1,nASIG,"Orquesta/Banda/Conjunto"),"")))</f>
        <v/>
      </c>
      <c r="V31" t="str">
        <f>IF(S31="","",IF(S31="[FÓRMULA MANUAL]","",IFERROR(AVERAGEIFS(nNOTA,nNIA,S31,nCUENTA,1,nASIG,"Música de Cámara"),"")))</f>
        <v/>
      </c>
      <c r="W31" t="str">
        <f>IF(S31="","",IF(S31="[FÓRMULA MANUAL]","",IFERROR(SUMPRODUCT((nNIA=S31)*(nCUENTA=1)*(COUNTIF(CONFIG_ASIGNATURAS!$B$7:$B$27,nASIG)&gt;0)*(nNOTA))/SUMPRODUCT((nNIA=S31)*(nCUENTA=1)*(COUNTIF(CONFIG_ASIGNATURAS!$B$7:$B$27,nASIG)&gt;0)*1),"")))</f>
        <v/>
      </c>
      <c r="Z31" t="str">
        <f>IF(Y31="","",IF(Y31="[FÓRMULA MANUAL]","",IFERROR(AVERAGEIFS(nNOTA,nNIA,Y31,nCUENTA,1,nASIG,"Análisis"),"")))</f>
        <v/>
      </c>
      <c r="AA31" t="str">
        <f>IF(Y31="","",IF(Y31="[FÓRMULA MANUAL]","",IFERROR(AVERAGEIFS(nNOTA,nNIA,Y31,nCUENTA,1,nASIG,"Orquesta/Banda/Conjunto"),"")))</f>
        <v/>
      </c>
      <c r="AB31" t="str">
        <f>IF(Y31="","",IF(Y31="[FÓRMULA MANUAL]","",IFERROR(AVERAGEIFS(nNOTA,nNIA,Y31,nCUENTA,1,nASIG,"Música de Cámara"),"")))</f>
        <v/>
      </c>
      <c r="AC31" t="str">
        <f>IF(Y31="","",IF(Y31="[FÓRMULA MANUAL]","",IFERROR(SUMPRODUCT((nNIA=Y31)*(nCUENTA=1)*(COUNTIF(CONFIG_ASIGNATURAS!$B$7:$B$27,nASIG)&gt;0)*(nNOTA))/SUMPRODUCT((nNIA=Y31)*(nCUENTA=1)*(COUNTIF(CONFIG_ASIGNATURAS!$B$7:$B$27,nASIG)&gt;0)*1),"")))</f>
        <v/>
      </c>
      <c r="AF31" t="str">
        <f>IF(AE31="","",IF(AE31="[FÓRMULA MANUAL]","",IFERROR(AVERAGEIFS(nNOTA,nNIA,AE31,nCUENTA,1,nASIG,"Análisis"),"")))</f>
        <v/>
      </c>
      <c r="AG31" t="str">
        <f>IF(AE31="","",IF(AE31="[FÓRMULA MANUAL]","",IFERROR(AVERAGEIFS(nNOTA,nNIA,AE31,nCUENTA,1,nASIG,"Orquesta/Banda/Conjunto"),"")))</f>
        <v/>
      </c>
      <c r="AH31" t="str">
        <f>IF(AE31="","",IF(AE31="[FÓRMULA MANUAL]","",IFERROR(AVERAGEIFS(nNOTA,nNIA,AE31,nCUENTA,1,nASIG,"Música de Cámara"),"")))</f>
        <v/>
      </c>
      <c r="AI31" t="str">
        <f>IF(AE31="","",IF(AE31="[FÓRMULA MANUAL]","",IFERROR(SUMPRODUCT((nNIA=AE31)*(nCUENTA=1)*(COUNTIF(CONFIG_ASIGNATURAS!$B$7:$B$27,nASIG)&gt;0)*(nNOTA))/SUMPRODUCT((nNIA=AE31)*(nCUENTA=1)*(COUNTIF(CONFIG_ASIGNATURAS!$B$7:$B$27,nASIG)&gt;0)*1),"")))</f>
        <v/>
      </c>
    </row>
    <row r="32" spans="2:35" x14ac:dyDescent="0.2">
      <c r="B32" t="str">
        <f>IF(A32="","",IF(A32="[FÓRMULA MANUAL]","",IFERROR(AVERAGEIFS(nNOTA,nNIA,A32,nCUENTA,1,nASIG,"Lenguaje Musical"),"")))</f>
        <v/>
      </c>
      <c r="C32" t="str">
        <f>IF(A32="","",IF(A32="[FÓRMULA MANUAL]","",IFERROR(AVERAGEIFS(nNOTA,nNIA,A32,nCUENTA,1,nASIG,"Orquesta/Banda/Conjunto"),"")))</f>
        <v/>
      </c>
      <c r="D32" t="str">
        <f>IF(A32="","",IF(A32="[FÓRMULA MANUAL]","",IFERROR(AVERAGEIFS(nNOTA,nNIA,A32,nCUENTA,1,nASIG,"Conjunto"),"")))</f>
        <v/>
      </c>
      <c r="E32" t="str">
        <f>IF(A32="","",IF(A32="[FÓRMULA MANUAL]","",IFERROR(SUMPRODUCT((nNIA=A32)*(nCUENTA=1)*(COUNTIF(CONFIG_ASIGNATURAS!$B$7:$B$27,nASIG)&gt;0)*(nNOTA))/SUMPRODUCT((nNIA=A32)*(nCUENTA=1)*(COUNTIF(CONFIG_ASIGNATURAS!$B$7:$B$27,nASIG)&gt;0)*1),"")))</f>
        <v/>
      </c>
      <c r="H32" t="str">
        <f>IF(G32="","",IF(G32="[FÓRMULA MANUAL]","",IFERROR(AVERAGEIFS(nNOTA,nNIA,G32,nCUENTA,1,nASIG,"Lenguaje Musical"),"")))</f>
        <v/>
      </c>
      <c r="I32" t="str">
        <f>IF(G32="","",IF(G32="[FÓRMULA MANUAL]","",IFERROR(AVERAGEIFS(nNOTA,nNIA,G32,nCUENTA,1,nASIG,"Orquesta/Banda/Conjunto"),"")))</f>
        <v/>
      </c>
      <c r="J32" t="str">
        <f>IF(G32="","",IF(G32="[FÓRMULA MANUAL]","",IFERROR(AVERAGEIFS(nNOTA,nNIA,G32,nCUENTA,1,nASIG,"Conjunto"),"")))</f>
        <v/>
      </c>
      <c r="K32" t="str">
        <f>IF(G32="","",IF(G32="[FÓRMULA MANUAL]","",IFERROR(SUMPRODUCT((nNIA=G32)*(nCUENTA=1)*(COUNTIF(CONFIG_ASIGNATURAS!$B$7:$B$27,nASIG)&gt;0)*(nNOTA))/SUMPRODUCT((nNIA=G32)*(nCUENTA=1)*(COUNTIF(CONFIG_ASIGNATURAS!$B$7:$B$27,nASIG)&gt;0)*1),"")))</f>
        <v/>
      </c>
      <c r="N32" t="str">
        <f>IF(M32="","",IF(M32="[FÓRMULA MANUAL]","",IFERROR(AVERAGEIFS(nNOTA,nNIA,M32,nCUENTA,1,nASIG,"Armonía"),"")))</f>
        <v/>
      </c>
      <c r="O32" t="str">
        <f>IF(M32="","",IF(M32="[FÓRMULA MANUAL]","",IFERROR(AVERAGEIFS(nNOTA,nNIA,M32,nCUENTA,1,nASIG,"Orquesta/Banda/Conjunto"),"")))</f>
        <v/>
      </c>
      <c r="P32" t="str">
        <f>IF(M32="","",IF(M32="[FÓRMULA MANUAL]","",IFERROR(AVERAGEIFS(nNOTA,nNIA,M32,nCUENTA,1,nASIG,"Música de Cámara"),"")))</f>
        <v/>
      </c>
      <c r="Q32" t="str">
        <f>IF(M32="","",IF(M32="[FÓRMULA MANUAL]","",IFERROR(SUMPRODUCT((nNIA=M32)*(nCUENTA=1)*(COUNTIF(CONFIG_ASIGNATURAS!$B$7:$B$27,nASIG)&gt;0)*(nNOTA))/SUMPRODUCT((nNIA=M32)*(nCUENTA=1)*(COUNTIF(CONFIG_ASIGNATURAS!$B$7:$B$27,nASIG)&gt;0)*1),"")))</f>
        <v/>
      </c>
      <c r="T32" t="str">
        <f>IF(S32="","",IF(S32="[FÓRMULA MANUAL]","",IFERROR(AVERAGEIFS(nNOTA,nNIA,S32,nCUENTA,1,nASIG,"Armonía"),"")))</f>
        <v/>
      </c>
      <c r="U32" t="str">
        <f>IF(S32="","",IF(S32="[FÓRMULA MANUAL]","",IFERROR(AVERAGEIFS(nNOTA,nNIA,S32,nCUENTA,1,nASIG,"Orquesta/Banda/Conjunto"),"")))</f>
        <v/>
      </c>
      <c r="V32" t="str">
        <f>IF(S32="","",IF(S32="[FÓRMULA MANUAL]","",IFERROR(AVERAGEIFS(nNOTA,nNIA,S32,nCUENTA,1,nASIG,"Música de Cámara"),"")))</f>
        <v/>
      </c>
      <c r="W32" t="str">
        <f>IF(S32="","",IF(S32="[FÓRMULA MANUAL]","",IFERROR(SUMPRODUCT((nNIA=S32)*(nCUENTA=1)*(COUNTIF(CONFIG_ASIGNATURAS!$B$7:$B$27,nASIG)&gt;0)*(nNOTA))/SUMPRODUCT((nNIA=S32)*(nCUENTA=1)*(COUNTIF(CONFIG_ASIGNATURAS!$B$7:$B$27,nASIG)&gt;0)*1),"")))</f>
        <v/>
      </c>
      <c r="Z32" t="str">
        <f>IF(Y32="","",IF(Y32="[FÓRMULA MANUAL]","",IFERROR(AVERAGEIFS(nNOTA,nNIA,Y32,nCUENTA,1,nASIG,"Análisis"),"")))</f>
        <v/>
      </c>
      <c r="AA32" t="str">
        <f>IF(Y32="","",IF(Y32="[FÓRMULA MANUAL]","",IFERROR(AVERAGEIFS(nNOTA,nNIA,Y32,nCUENTA,1,nASIG,"Orquesta/Banda/Conjunto"),"")))</f>
        <v/>
      </c>
      <c r="AB32" t="str">
        <f>IF(Y32="","",IF(Y32="[FÓRMULA MANUAL]","",IFERROR(AVERAGEIFS(nNOTA,nNIA,Y32,nCUENTA,1,nASIG,"Música de Cámara"),"")))</f>
        <v/>
      </c>
      <c r="AC32" t="str">
        <f>IF(Y32="","",IF(Y32="[FÓRMULA MANUAL]","",IFERROR(SUMPRODUCT((nNIA=Y32)*(nCUENTA=1)*(COUNTIF(CONFIG_ASIGNATURAS!$B$7:$B$27,nASIG)&gt;0)*(nNOTA))/SUMPRODUCT((nNIA=Y32)*(nCUENTA=1)*(COUNTIF(CONFIG_ASIGNATURAS!$B$7:$B$27,nASIG)&gt;0)*1),"")))</f>
        <v/>
      </c>
      <c r="AF32" t="str">
        <f>IF(AE32="","",IF(AE32="[FÓRMULA MANUAL]","",IFERROR(AVERAGEIFS(nNOTA,nNIA,AE32,nCUENTA,1,nASIG,"Análisis"),"")))</f>
        <v/>
      </c>
      <c r="AG32" t="str">
        <f>IF(AE32="","",IF(AE32="[FÓRMULA MANUAL]","",IFERROR(AVERAGEIFS(nNOTA,nNIA,AE32,nCUENTA,1,nASIG,"Orquesta/Banda/Conjunto"),"")))</f>
        <v/>
      </c>
      <c r="AH32" t="str">
        <f>IF(AE32="","",IF(AE32="[FÓRMULA MANUAL]","",IFERROR(AVERAGEIFS(nNOTA,nNIA,AE32,nCUENTA,1,nASIG,"Música de Cámara"),"")))</f>
        <v/>
      </c>
      <c r="AI32" t="str">
        <f>IF(AE32="","",IF(AE32="[FÓRMULA MANUAL]","",IFERROR(SUMPRODUCT((nNIA=AE32)*(nCUENTA=1)*(COUNTIF(CONFIG_ASIGNATURAS!$B$7:$B$27,nASIG)&gt;0)*(nNOTA))/SUMPRODUCT((nNIA=AE32)*(nCUENTA=1)*(COUNTIF(CONFIG_ASIGNATURAS!$B$7:$B$27,nASIG)&gt;0)*1),"")))</f>
        <v/>
      </c>
    </row>
    <row r="33" spans="2:35" x14ac:dyDescent="0.2">
      <c r="B33" t="str">
        <f>IF(A33="","",IF(A33="[FÓRMULA MANUAL]","",IFERROR(AVERAGEIFS(nNOTA,nNIA,A33,nCUENTA,1,nASIG,"Lenguaje Musical"),"")))</f>
        <v/>
      </c>
      <c r="C33" t="str">
        <f>IF(A33="","",IF(A33="[FÓRMULA MANUAL]","",IFERROR(AVERAGEIFS(nNOTA,nNIA,A33,nCUENTA,1,nASIG,"Orquesta/Banda/Conjunto"),"")))</f>
        <v/>
      </c>
      <c r="D33" t="str">
        <f>IF(A33="","",IF(A33="[FÓRMULA MANUAL]","",IFERROR(AVERAGEIFS(nNOTA,nNIA,A33,nCUENTA,1,nASIG,"Conjunto"),"")))</f>
        <v/>
      </c>
      <c r="E33" t="str">
        <f>IF(A33="","",IF(A33="[FÓRMULA MANUAL]","",IFERROR(SUMPRODUCT((nNIA=A33)*(nCUENTA=1)*(COUNTIF(CONFIG_ASIGNATURAS!$B$7:$B$27,nASIG)&gt;0)*(nNOTA))/SUMPRODUCT((nNIA=A33)*(nCUENTA=1)*(COUNTIF(CONFIG_ASIGNATURAS!$B$7:$B$27,nASIG)&gt;0)*1),"")))</f>
        <v/>
      </c>
      <c r="H33" t="str">
        <f>IF(G33="","",IF(G33="[FÓRMULA MANUAL]","",IFERROR(AVERAGEIFS(nNOTA,nNIA,G33,nCUENTA,1,nASIG,"Lenguaje Musical"),"")))</f>
        <v/>
      </c>
      <c r="I33" t="str">
        <f>IF(G33="","",IF(G33="[FÓRMULA MANUAL]","",IFERROR(AVERAGEIFS(nNOTA,nNIA,G33,nCUENTA,1,nASIG,"Orquesta/Banda/Conjunto"),"")))</f>
        <v/>
      </c>
      <c r="J33" t="str">
        <f>IF(G33="","",IF(G33="[FÓRMULA MANUAL]","",IFERROR(AVERAGEIFS(nNOTA,nNIA,G33,nCUENTA,1,nASIG,"Conjunto"),"")))</f>
        <v/>
      </c>
      <c r="K33" t="str">
        <f>IF(G33="","",IF(G33="[FÓRMULA MANUAL]","",IFERROR(SUMPRODUCT((nNIA=G33)*(nCUENTA=1)*(COUNTIF(CONFIG_ASIGNATURAS!$B$7:$B$27,nASIG)&gt;0)*(nNOTA))/SUMPRODUCT((nNIA=G33)*(nCUENTA=1)*(COUNTIF(CONFIG_ASIGNATURAS!$B$7:$B$27,nASIG)&gt;0)*1),"")))</f>
        <v/>
      </c>
      <c r="N33" t="str">
        <f>IF(M33="","",IF(M33="[FÓRMULA MANUAL]","",IFERROR(AVERAGEIFS(nNOTA,nNIA,M33,nCUENTA,1,nASIG,"Armonía"),"")))</f>
        <v/>
      </c>
      <c r="O33" t="str">
        <f>IF(M33="","",IF(M33="[FÓRMULA MANUAL]","",IFERROR(AVERAGEIFS(nNOTA,nNIA,M33,nCUENTA,1,nASIG,"Orquesta/Banda/Conjunto"),"")))</f>
        <v/>
      </c>
      <c r="P33" t="str">
        <f>IF(M33="","",IF(M33="[FÓRMULA MANUAL]","",IFERROR(AVERAGEIFS(nNOTA,nNIA,M33,nCUENTA,1,nASIG,"Música de Cámara"),"")))</f>
        <v/>
      </c>
      <c r="Q33" t="str">
        <f>IF(M33="","",IF(M33="[FÓRMULA MANUAL]","",IFERROR(SUMPRODUCT((nNIA=M33)*(nCUENTA=1)*(COUNTIF(CONFIG_ASIGNATURAS!$B$7:$B$27,nASIG)&gt;0)*(nNOTA))/SUMPRODUCT((nNIA=M33)*(nCUENTA=1)*(COUNTIF(CONFIG_ASIGNATURAS!$B$7:$B$27,nASIG)&gt;0)*1),"")))</f>
        <v/>
      </c>
      <c r="T33" t="str">
        <f>IF(S33="","",IF(S33="[FÓRMULA MANUAL]","",IFERROR(AVERAGEIFS(nNOTA,nNIA,S33,nCUENTA,1,nASIG,"Armonía"),"")))</f>
        <v/>
      </c>
      <c r="U33" t="str">
        <f>IF(S33="","",IF(S33="[FÓRMULA MANUAL]","",IFERROR(AVERAGEIFS(nNOTA,nNIA,S33,nCUENTA,1,nASIG,"Orquesta/Banda/Conjunto"),"")))</f>
        <v/>
      </c>
      <c r="V33" t="str">
        <f>IF(S33="","",IF(S33="[FÓRMULA MANUAL]","",IFERROR(AVERAGEIFS(nNOTA,nNIA,S33,nCUENTA,1,nASIG,"Música de Cámara"),"")))</f>
        <v/>
      </c>
      <c r="W33" t="str">
        <f>IF(S33="","",IF(S33="[FÓRMULA MANUAL]","",IFERROR(SUMPRODUCT((nNIA=S33)*(nCUENTA=1)*(COUNTIF(CONFIG_ASIGNATURAS!$B$7:$B$27,nASIG)&gt;0)*(nNOTA))/SUMPRODUCT((nNIA=S33)*(nCUENTA=1)*(COUNTIF(CONFIG_ASIGNATURAS!$B$7:$B$27,nASIG)&gt;0)*1),"")))</f>
        <v/>
      </c>
      <c r="Z33" t="str">
        <f>IF(Y33="","",IF(Y33="[FÓRMULA MANUAL]","",IFERROR(AVERAGEIFS(nNOTA,nNIA,Y33,nCUENTA,1,nASIG,"Análisis"),"")))</f>
        <v/>
      </c>
      <c r="AA33" t="str">
        <f>IF(Y33="","",IF(Y33="[FÓRMULA MANUAL]","",IFERROR(AVERAGEIFS(nNOTA,nNIA,Y33,nCUENTA,1,nASIG,"Orquesta/Banda/Conjunto"),"")))</f>
        <v/>
      </c>
      <c r="AB33" t="str">
        <f>IF(Y33="","",IF(Y33="[FÓRMULA MANUAL]","",IFERROR(AVERAGEIFS(nNOTA,nNIA,Y33,nCUENTA,1,nASIG,"Música de Cámara"),"")))</f>
        <v/>
      </c>
      <c r="AC33" t="str">
        <f>IF(Y33="","",IF(Y33="[FÓRMULA MANUAL]","",IFERROR(SUMPRODUCT((nNIA=Y33)*(nCUENTA=1)*(COUNTIF(CONFIG_ASIGNATURAS!$B$7:$B$27,nASIG)&gt;0)*(nNOTA))/SUMPRODUCT((nNIA=Y33)*(nCUENTA=1)*(COUNTIF(CONFIG_ASIGNATURAS!$B$7:$B$27,nASIG)&gt;0)*1),"")))</f>
        <v/>
      </c>
      <c r="AF33" t="str">
        <f>IF(AE33="","",IF(AE33="[FÓRMULA MANUAL]","",IFERROR(AVERAGEIFS(nNOTA,nNIA,AE33,nCUENTA,1,nASIG,"Análisis"),"")))</f>
        <v/>
      </c>
      <c r="AG33" t="str">
        <f>IF(AE33="","",IF(AE33="[FÓRMULA MANUAL]","",IFERROR(AVERAGEIFS(nNOTA,nNIA,AE33,nCUENTA,1,nASIG,"Orquesta/Banda/Conjunto"),"")))</f>
        <v/>
      </c>
      <c r="AH33" t="str">
        <f>IF(AE33="","",IF(AE33="[FÓRMULA MANUAL]","",IFERROR(AVERAGEIFS(nNOTA,nNIA,AE33,nCUENTA,1,nASIG,"Música de Cámara"),"")))</f>
        <v/>
      </c>
      <c r="AI33" t="str">
        <f>IF(AE33="","",IF(AE33="[FÓRMULA MANUAL]","",IFERROR(SUMPRODUCT((nNIA=AE33)*(nCUENTA=1)*(COUNTIF(CONFIG_ASIGNATURAS!$B$7:$B$27,nASIG)&gt;0)*(nNOTA))/SUMPRODUCT((nNIA=AE33)*(nCUENTA=1)*(COUNTIF(CONFIG_ASIGNATURAS!$B$7:$B$27,nASIG)&gt;0)*1),"")))</f>
        <v/>
      </c>
    </row>
    <row r="34" spans="2:35" x14ac:dyDescent="0.2">
      <c r="B34" t="str">
        <f>IF(A34="","",IF(A34="[FÓRMULA MANUAL]","",IFERROR(AVERAGEIFS(nNOTA,nNIA,A34,nCUENTA,1,nASIG,"Lenguaje Musical"),"")))</f>
        <v/>
      </c>
      <c r="C34" t="str">
        <f>IF(A34="","",IF(A34="[FÓRMULA MANUAL]","",IFERROR(AVERAGEIFS(nNOTA,nNIA,A34,nCUENTA,1,nASIG,"Orquesta/Banda/Conjunto"),"")))</f>
        <v/>
      </c>
      <c r="D34" t="str">
        <f>IF(A34="","",IF(A34="[FÓRMULA MANUAL]","",IFERROR(AVERAGEIFS(nNOTA,nNIA,A34,nCUENTA,1,nASIG,"Conjunto"),"")))</f>
        <v/>
      </c>
      <c r="E34" t="str">
        <f>IF(A34="","",IF(A34="[FÓRMULA MANUAL]","",IFERROR(SUMPRODUCT((nNIA=A34)*(nCUENTA=1)*(COUNTIF(CONFIG_ASIGNATURAS!$B$7:$B$27,nASIG)&gt;0)*(nNOTA))/SUMPRODUCT((nNIA=A34)*(nCUENTA=1)*(COUNTIF(CONFIG_ASIGNATURAS!$B$7:$B$27,nASIG)&gt;0)*1),"")))</f>
        <v/>
      </c>
      <c r="H34" t="str">
        <f>IF(G34="","",IF(G34="[FÓRMULA MANUAL]","",IFERROR(AVERAGEIFS(nNOTA,nNIA,G34,nCUENTA,1,nASIG,"Lenguaje Musical"),"")))</f>
        <v/>
      </c>
      <c r="I34" t="str">
        <f>IF(G34="","",IF(G34="[FÓRMULA MANUAL]","",IFERROR(AVERAGEIFS(nNOTA,nNIA,G34,nCUENTA,1,nASIG,"Orquesta/Banda/Conjunto"),"")))</f>
        <v/>
      </c>
      <c r="J34" t="str">
        <f>IF(G34="","",IF(G34="[FÓRMULA MANUAL]","",IFERROR(AVERAGEIFS(nNOTA,nNIA,G34,nCUENTA,1,nASIG,"Conjunto"),"")))</f>
        <v/>
      </c>
      <c r="K34" t="str">
        <f>IF(G34="","",IF(G34="[FÓRMULA MANUAL]","",IFERROR(SUMPRODUCT((nNIA=G34)*(nCUENTA=1)*(COUNTIF(CONFIG_ASIGNATURAS!$B$7:$B$27,nASIG)&gt;0)*(nNOTA))/SUMPRODUCT((nNIA=G34)*(nCUENTA=1)*(COUNTIF(CONFIG_ASIGNATURAS!$B$7:$B$27,nASIG)&gt;0)*1),"")))</f>
        <v/>
      </c>
      <c r="N34" t="str">
        <f>IF(M34="","",IF(M34="[FÓRMULA MANUAL]","",IFERROR(AVERAGEIFS(nNOTA,nNIA,M34,nCUENTA,1,nASIG,"Armonía"),"")))</f>
        <v/>
      </c>
      <c r="O34" t="str">
        <f>IF(M34="","",IF(M34="[FÓRMULA MANUAL]","",IFERROR(AVERAGEIFS(nNOTA,nNIA,M34,nCUENTA,1,nASIG,"Orquesta/Banda/Conjunto"),"")))</f>
        <v/>
      </c>
      <c r="P34" t="str">
        <f>IF(M34="","",IF(M34="[FÓRMULA MANUAL]","",IFERROR(AVERAGEIFS(nNOTA,nNIA,M34,nCUENTA,1,nASIG,"Música de Cámara"),"")))</f>
        <v/>
      </c>
      <c r="Q34" t="str">
        <f>IF(M34="","",IF(M34="[FÓRMULA MANUAL]","",IFERROR(SUMPRODUCT((nNIA=M34)*(nCUENTA=1)*(COUNTIF(CONFIG_ASIGNATURAS!$B$7:$B$27,nASIG)&gt;0)*(nNOTA))/SUMPRODUCT((nNIA=M34)*(nCUENTA=1)*(COUNTIF(CONFIG_ASIGNATURAS!$B$7:$B$27,nASIG)&gt;0)*1),"")))</f>
        <v/>
      </c>
      <c r="T34" t="str">
        <f>IF(S34="","",IF(S34="[FÓRMULA MANUAL]","",IFERROR(AVERAGEIFS(nNOTA,nNIA,S34,nCUENTA,1,nASIG,"Armonía"),"")))</f>
        <v/>
      </c>
      <c r="U34" t="str">
        <f>IF(S34="","",IF(S34="[FÓRMULA MANUAL]","",IFERROR(AVERAGEIFS(nNOTA,nNIA,S34,nCUENTA,1,nASIG,"Orquesta/Banda/Conjunto"),"")))</f>
        <v/>
      </c>
      <c r="V34" t="str">
        <f>IF(S34="","",IF(S34="[FÓRMULA MANUAL]","",IFERROR(AVERAGEIFS(nNOTA,nNIA,S34,nCUENTA,1,nASIG,"Música de Cámara"),"")))</f>
        <v/>
      </c>
      <c r="W34" t="str">
        <f>IF(S34="","",IF(S34="[FÓRMULA MANUAL]","",IFERROR(SUMPRODUCT((nNIA=S34)*(nCUENTA=1)*(COUNTIF(CONFIG_ASIGNATURAS!$B$7:$B$27,nASIG)&gt;0)*(nNOTA))/SUMPRODUCT((nNIA=S34)*(nCUENTA=1)*(COUNTIF(CONFIG_ASIGNATURAS!$B$7:$B$27,nASIG)&gt;0)*1),"")))</f>
        <v/>
      </c>
      <c r="Z34" t="str">
        <f>IF(Y34="","",IF(Y34="[FÓRMULA MANUAL]","",IFERROR(AVERAGEIFS(nNOTA,nNIA,Y34,nCUENTA,1,nASIG,"Análisis"),"")))</f>
        <v/>
      </c>
      <c r="AA34" t="str">
        <f>IF(Y34="","",IF(Y34="[FÓRMULA MANUAL]","",IFERROR(AVERAGEIFS(nNOTA,nNIA,Y34,nCUENTA,1,nASIG,"Orquesta/Banda/Conjunto"),"")))</f>
        <v/>
      </c>
      <c r="AB34" t="str">
        <f>IF(Y34="","",IF(Y34="[FÓRMULA MANUAL]","",IFERROR(AVERAGEIFS(nNOTA,nNIA,Y34,nCUENTA,1,nASIG,"Música de Cámara"),"")))</f>
        <v/>
      </c>
      <c r="AC34" t="str">
        <f>IF(Y34="","",IF(Y34="[FÓRMULA MANUAL]","",IFERROR(SUMPRODUCT((nNIA=Y34)*(nCUENTA=1)*(COUNTIF(CONFIG_ASIGNATURAS!$B$7:$B$27,nASIG)&gt;0)*(nNOTA))/SUMPRODUCT((nNIA=Y34)*(nCUENTA=1)*(COUNTIF(CONFIG_ASIGNATURAS!$B$7:$B$27,nASIG)&gt;0)*1),"")))</f>
        <v/>
      </c>
      <c r="AF34" t="str">
        <f>IF(AE34="","",IF(AE34="[FÓRMULA MANUAL]","",IFERROR(AVERAGEIFS(nNOTA,nNIA,AE34,nCUENTA,1,nASIG,"Análisis"),"")))</f>
        <v/>
      </c>
      <c r="AG34" t="str">
        <f>IF(AE34="","",IF(AE34="[FÓRMULA MANUAL]","",IFERROR(AVERAGEIFS(nNOTA,nNIA,AE34,nCUENTA,1,nASIG,"Orquesta/Banda/Conjunto"),"")))</f>
        <v/>
      </c>
      <c r="AH34" t="str">
        <f>IF(AE34="","",IF(AE34="[FÓRMULA MANUAL]","",IFERROR(AVERAGEIFS(nNOTA,nNIA,AE34,nCUENTA,1,nASIG,"Música de Cámara"),"")))</f>
        <v/>
      </c>
      <c r="AI34" t="str">
        <f>IF(AE34="","",IF(AE34="[FÓRMULA MANUAL]","",IFERROR(SUMPRODUCT((nNIA=AE34)*(nCUENTA=1)*(COUNTIF(CONFIG_ASIGNATURAS!$B$7:$B$27,nASIG)&gt;0)*(nNOTA))/SUMPRODUCT((nNIA=AE34)*(nCUENTA=1)*(COUNTIF(CONFIG_ASIGNATURAS!$B$7:$B$27,nASIG)&gt;0)*1),"")))</f>
        <v/>
      </c>
    </row>
    <row r="35" spans="2:35" x14ac:dyDescent="0.2">
      <c r="B35" t="str">
        <f>IF(A35="","",IF(A35="[FÓRMULA MANUAL]","",IFERROR(AVERAGEIFS(nNOTA,nNIA,A35,nCUENTA,1,nASIG,"Lenguaje Musical"),"")))</f>
        <v/>
      </c>
      <c r="C35" t="str">
        <f>IF(A35="","",IF(A35="[FÓRMULA MANUAL]","",IFERROR(AVERAGEIFS(nNOTA,nNIA,A35,nCUENTA,1,nASIG,"Orquesta/Banda/Conjunto"),"")))</f>
        <v/>
      </c>
      <c r="D35" t="str">
        <f>IF(A35="","",IF(A35="[FÓRMULA MANUAL]","",IFERROR(AVERAGEIFS(nNOTA,nNIA,A35,nCUENTA,1,nASIG,"Conjunto"),"")))</f>
        <v/>
      </c>
      <c r="E35" t="str">
        <f>IF(A35="","",IF(A35="[FÓRMULA MANUAL]","",IFERROR(SUMPRODUCT((nNIA=A35)*(nCUENTA=1)*(COUNTIF(CONFIG_ASIGNATURAS!$B$7:$B$27,nASIG)&gt;0)*(nNOTA))/SUMPRODUCT((nNIA=A35)*(nCUENTA=1)*(COUNTIF(CONFIG_ASIGNATURAS!$B$7:$B$27,nASIG)&gt;0)*1),"")))</f>
        <v/>
      </c>
      <c r="H35" t="str">
        <f>IF(G35="","",IF(G35="[FÓRMULA MANUAL]","",IFERROR(AVERAGEIFS(nNOTA,nNIA,G35,nCUENTA,1,nASIG,"Lenguaje Musical"),"")))</f>
        <v/>
      </c>
      <c r="I35" t="str">
        <f>IF(G35="","",IF(G35="[FÓRMULA MANUAL]","",IFERROR(AVERAGEIFS(nNOTA,nNIA,G35,nCUENTA,1,nASIG,"Orquesta/Banda/Conjunto"),"")))</f>
        <v/>
      </c>
      <c r="J35" t="str">
        <f>IF(G35="","",IF(G35="[FÓRMULA MANUAL]","",IFERROR(AVERAGEIFS(nNOTA,nNIA,G35,nCUENTA,1,nASIG,"Conjunto"),"")))</f>
        <v/>
      </c>
      <c r="K35" t="str">
        <f>IF(G35="","",IF(G35="[FÓRMULA MANUAL]","",IFERROR(SUMPRODUCT((nNIA=G35)*(nCUENTA=1)*(COUNTIF(CONFIG_ASIGNATURAS!$B$7:$B$27,nASIG)&gt;0)*(nNOTA))/SUMPRODUCT((nNIA=G35)*(nCUENTA=1)*(COUNTIF(CONFIG_ASIGNATURAS!$B$7:$B$27,nASIG)&gt;0)*1),"")))</f>
        <v/>
      </c>
      <c r="N35" t="str">
        <f>IF(M35="","",IF(M35="[FÓRMULA MANUAL]","",IFERROR(AVERAGEIFS(nNOTA,nNIA,M35,nCUENTA,1,nASIG,"Armonía"),"")))</f>
        <v/>
      </c>
      <c r="O35" t="str">
        <f>IF(M35="","",IF(M35="[FÓRMULA MANUAL]","",IFERROR(AVERAGEIFS(nNOTA,nNIA,M35,nCUENTA,1,nASIG,"Orquesta/Banda/Conjunto"),"")))</f>
        <v/>
      </c>
      <c r="P35" t="str">
        <f>IF(M35="","",IF(M35="[FÓRMULA MANUAL]","",IFERROR(AVERAGEIFS(nNOTA,nNIA,M35,nCUENTA,1,nASIG,"Música de Cámara"),"")))</f>
        <v/>
      </c>
      <c r="Q35" t="str">
        <f>IF(M35="","",IF(M35="[FÓRMULA MANUAL]","",IFERROR(SUMPRODUCT((nNIA=M35)*(nCUENTA=1)*(COUNTIF(CONFIG_ASIGNATURAS!$B$7:$B$27,nASIG)&gt;0)*(nNOTA))/SUMPRODUCT((nNIA=M35)*(nCUENTA=1)*(COUNTIF(CONFIG_ASIGNATURAS!$B$7:$B$27,nASIG)&gt;0)*1),"")))</f>
        <v/>
      </c>
      <c r="T35" t="str">
        <f>IF(S35="","",IF(S35="[FÓRMULA MANUAL]","",IFERROR(AVERAGEIFS(nNOTA,nNIA,S35,nCUENTA,1,nASIG,"Armonía"),"")))</f>
        <v/>
      </c>
      <c r="U35" t="str">
        <f>IF(S35="","",IF(S35="[FÓRMULA MANUAL]","",IFERROR(AVERAGEIFS(nNOTA,nNIA,S35,nCUENTA,1,nASIG,"Orquesta/Banda/Conjunto"),"")))</f>
        <v/>
      </c>
      <c r="V35" t="str">
        <f>IF(S35="","",IF(S35="[FÓRMULA MANUAL]","",IFERROR(AVERAGEIFS(nNOTA,nNIA,S35,nCUENTA,1,nASIG,"Música de Cámara"),"")))</f>
        <v/>
      </c>
      <c r="W35" t="str">
        <f>IF(S35="","",IF(S35="[FÓRMULA MANUAL]","",IFERROR(SUMPRODUCT((nNIA=S35)*(nCUENTA=1)*(COUNTIF(CONFIG_ASIGNATURAS!$B$7:$B$27,nASIG)&gt;0)*(nNOTA))/SUMPRODUCT((nNIA=S35)*(nCUENTA=1)*(COUNTIF(CONFIG_ASIGNATURAS!$B$7:$B$27,nASIG)&gt;0)*1),"")))</f>
        <v/>
      </c>
      <c r="Z35" t="str">
        <f>IF(Y35="","",IF(Y35="[FÓRMULA MANUAL]","",IFERROR(AVERAGEIFS(nNOTA,nNIA,Y35,nCUENTA,1,nASIG,"Análisis"),"")))</f>
        <v/>
      </c>
      <c r="AA35" t="str">
        <f>IF(Y35="","",IF(Y35="[FÓRMULA MANUAL]","",IFERROR(AVERAGEIFS(nNOTA,nNIA,Y35,nCUENTA,1,nASIG,"Orquesta/Banda/Conjunto"),"")))</f>
        <v/>
      </c>
      <c r="AB35" t="str">
        <f>IF(Y35="","",IF(Y35="[FÓRMULA MANUAL]","",IFERROR(AVERAGEIFS(nNOTA,nNIA,Y35,nCUENTA,1,nASIG,"Música de Cámara"),"")))</f>
        <v/>
      </c>
      <c r="AC35" t="str">
        <f>IF(Y35="","",IF(Y35="[FÓRMULA MANUAL]","",IFERROR(SUMPRODUCT((nNIA=Y35)*(nCUENTA=1)*(COUNTIF(CONFIG_ASIGNATURAS!$B$7:$B$27,nASIG)&gt;0)*(nNOTA))/SUMPRODUCT((nNIA=Y35)*(nCUENTA=1)*(COUNTIF(CONFIG_ASIGNATURAS!$B$7:$B$27,nASIG)&gt;0)*1),"")))</f>
        <v/>
      </c>
      <c r="AF35" t="str">
        <f>IF(AE35="","",IF(AE35="[FÓRMULA MANUAL]","",IFERROR(AVERAGEIFS(nNOTA,nNIA,AE35,nCUENTA,1,nASIG,"Análisis"),"")))</f>
        <v/>
      </c>
      <c r="AG35" t="str">
        <f>IF(AE35="","",IF(AE35="[FÓRMULA MANUAL]","",IFERROR(AVERAGEIFS(nNOTA,nNIA,AE35,nCUENTA,1,nASIG,"Orquesta/Banda/Conjunto"),"")))</f>
        <v/>
      </c>
      <c r="AH35" t="str">
        <f>IF(AE35="","",IF(AE35="[FÓRMULA MANUAL]","",IFERROR(AVERAGEIFS(nNOTA,nNIA,AE35,nCUENTA,1,nASIG,"Música de Cámara"),"")))</f>
        <v/>
      </c>
      <c r="AI35" t="str">
        <f>IF(AE35="","",IF(AE35="[FÓRMULA MANUAL]","",IFERROR(SUMPRODUCT((nNIA=AE35)*(nCUENTA=1)*(COUNTIF(CONFIG_ASIGNATURAS!$B$7:$B$27,nASIG)&gt;0)*(nNOTA))/SUMPRODUCT((nNIA=AE35)*(nCUENTA=1)*(COUNTIF(CONFIG_ASIGNATURAS!$B$7:$B$27,nASIG)&gt;0)*1),"")))</f>
        <v/>
      </c>
    </row>
    <row r="36" spans="2:35" x14ac:dyDescent="0.2">
      <c r="B36" t="str">
        <f>IF(A36="","",IF(A36="[FÓRMULA MANUAL]","",IFERROR(AVERAGEIFS(nNOTA,nNIA,A36,nCUENTA,1,nASIG,"Lenguaje Musical"),"")))</f>
        <v/>
      </c>
      <c r="C36" t="str">
        <f>IF(A36="","",IF(A36="[FÓRMULA MANUAL]","",IFERROR(AVERAGEIFS(nNOTA,nNIA,A36,nCUENTA,1,nASIG,"Orquesta/Banda/Conjunto"),"")))</f>
        <v/>
      </c>
      <c r="D36" t="str">
        <f>IF(A36="","",IF(A36="[FÓRMULA MANUAL]","",IFERROR(AVERAGEIFS(nNOTA,nNIA,A36,nCUENTA,1,nASIG,"Conjunto"),"")))</f>
        <v/>
      </c>
      <c r="E36" t="str">
        <f>IF(A36="","",IF(A36="[FÓRMULA MANUAL]","",IFERROR(SUMPRODUCT((nNIA=A36)*(nCUENTA=1)*(COUNTIF(CONFIG_ASIGNATURAS!$B$7:$B$27,nASIG)&gt;0)*(nNOTA))/SUMPRODUCT((nNIA=A36)*(nCUENTA=1)*(COUNTIF(CONFIG_ASIGNATURAS!$B$7:$B$27,nASIG)&gt;0)*1),"")))</f>
        <v/>
      </c>
      <c r="H36" t="str">
        <f>IF(G36="","",IF(G36="[FÓRMULA MANUAL]","",IFERROR(AVERAGEIFS(nNOTA,nNIA,G36,nCUENTA,1,nASIG,"Lenguaje Musical"),"")))</f>
        <v/>
      </c>
      <c r="I36" t="str">
        <f>IF(G36="","",IF(G36="[FÓRMULA MANUAL]","",IFERROR(AVERAGEIFS(nNOTA,nNIA,G36,nCUENTA,1,nASIG,"Orquesta/Banda/Conjunto"),"")))</f>
        <v/>
      </c>
      <c r="J36" t="str">
        <f>IF(G36="","",IF(G36="[FÓRMULA MANUAL]","",IFERROR(AVERAGEIFS(nNOTA,nNIA,G36,nCUENTA,1,nASIG,"Conjunto"),"")))</f>
        <v/>
      </c>
      <c r="K36" t="str">
        <f>IF(G36="","",IF(G36="[FÓRMULA MANUAL]","",IFERROR(SUMPRODUCT((nNIA=G36)*(nCUENTA=1)*(COUNTIF(CONFIG_ASIGNATURAS!$B$7:$B$27,nASIG)&gt;0)*(nNOTA))/SUMPRODUCT((nNIA=G36)*(nCUENTA=1)*(COUNTIF(CONFIG_ASIGNATURAS!$B$7:$B$27,nASIG)&gt;0)*1),"")))</f>
        <v/>
      </c>
      <c r="N36" t="str">
        <f>IF(M36="","",IF(M36="[FÓRMULA MANUAL]","",IFERROR(AVERAGEIFS(nNOTA,nNIA,M36,nCUENTA,1,nASIG,"Armonía"),"")))</f>
        <v/>
      </c>
      <c r="O36" t="str">
        <f>IF(M36="","",IF(M36="[FÓRMULA MANUAL]","",IFERROR(AVERAGEIFS(nNOTA,nNIA,M36,nCUENTA,1,nASIG,"Orquesta/Banda/Conjunto"),"")))</f>
        <v/>
      </c>
      <c r="P36" t="str">
        <f>IF(M36="","",IF(M36="[FÓRMULA MANUAL]","",IFERROR(AVERAGEIFS(nNOTA,nNIA,M36,nCUENTA,1,nASIG,"Música de Cámara"),"")))</f>
        <v/>
      </c>
      <c r="Q36" t="str">
        <f>IF(M36="","",IF(M36="[FÓRMULA MANUAL]","",IFERROR(SUMPRODUCT((nNIA=M36)*(nCUENTA=1)*(COUNTIF(CONFIG_ASIGNATURAS!$B$7:$B$27,nASIG)&gt;0)*(nNOTA))/SUMPRODUCT((nNIA=M36)*(nCUENTA=1)*(COUNTIF(CONFIG_ASIGNATURAS!$B$7:$B$27,nASIG)&gt;0)*1),"")))</f>
        <v/>
      </c>
      <c r="T36" t="str">
        <f>IF(S36="","",IF(S36="[FÓRMULA MANUAL]","",IFERROR(AVERAGEIFS(nNOTA,nNIA,S36,nCUENTA,1,nASIG,"Armonía"),"")))</f>
        <v/>
      </c>
      <c r="U36" t="str">
        <f>IF(S36="","",IF(S36="[FÓRMULA MANUAL]","",IFERROR(AVERAGEIFS(nNOTA,nNIA,S36,nCUENTA,1,nASIG,"Orquesta/Banda/Conjunto"),"")))</f>
        <v/>
      </c>
      <c r="V36" t="str">
        <f>IF(S36="","",IF(S36="[FÓRMULA MANUAL]","",IFERROR(AVERAGEIFS(nNOTA,nNIA,S36,nCUENTA,1,nASIG,"Música de Cámara"),"")))</f>
        <v/>
      </c>
      <c r="W36" t="str">
        <f>IF(S36="","",IF(S36="[FÓRMULA MANUAL]","",IFERROR(SUMPRODUCT((nNIA=S36)*(nCUENTA=1)*(COUNTIF(CONFIG_ASIGNATURAS!$B$7:$B$27,nASIG)&gt;0)*(nNOTA))/SUMPRODUCT((nNIA=S36)*(nCUENTA=1)*(COUNTIF(CONFIG_ASIGNATURAS!$B$7:$B$27,nASIG)&gt;0)*1),"")))</f>
        <v/>
      </c>
      <c r="Z36" t="str">
        <f>IF(Y36="","",IF(Y36="[FÓRMULA MANUAL]","",IFERROR(AVERAGEIFS(nNOTA,nNIA,Y36,nCUENTA,1,nASIG,"Análisis"),"")))</f>
        <v/>
      </c>
      <c r="AA36" t="str">
        <f>IF(Y36="","",IF(Y36="[FÓRMULA MANUAL]","",IFERROR(AVERAGEIFS(nNOTA,nNIA,Y36,nCUENTA,1,nASIG,"Orquesta/Banda/Conjunto"),"")))</f>
        <v/>
      </c>
      <c r="AB36" t="str">
        <f>IF(Y36="","",IF(Y36="[FÓRMULA MANUAL]","",IFERROR(AVERAGEIFS(nNOTA,nNIA,Y36,nCUENTA,1,nASIG,"Música de Cámara"),"")))</f>
        <v/>
      </c>
      <c r="AC36" t="str">
        <f>IF(Y36="","",IF(Y36="[FÓRMULA MANUAL]","",IFERROR(SUMPRODUCT((nNIA=Y36)*(nCUENTA=1)*(COUNTIF(CONFIG_ASIGNATURAS!$B$7:$B$27,nASIG)&gt;0)*(nNOTA))/SUMPRODUCT((nNIA=Y36)*(nCUENTA=1)*(COUNTIF(CONFIG_ASIGNATURAS!$B$7:$B$27,nASIG)&gt;0)*1),"")))</f>
        <v/>
      </c>
      <c r="AF36" t="str">
        <f>IF(AE36="","",IF(AE36="[FÓRMULA MANUAL]","",IFERROR(AVERAGEIFS(nNOTA,nNIA,AE36,nCUENTA,1,nASIG,"Análisis"),"")))</f>
        <v/>
      </c>
      <c r="AG36" t="str">
        <f>IF(AE36="","",IF(AE36="[FÓRMULA MANUAL]","",IFERROR(AVERAGEIFS(nNOTA,nNIA,AE36,nCUENTA,1,nASIG,"Orquesta/Banda/Conjunto"),"")))</f>
        <v/>
      </c>
      <c r="AH36" t="str">
        <f>IF(AE36="","",IF(AE36="[FÓRMULA MANUAL]","",IFERROR(AVERAGEIFS(nNOTA,nNIA,AE36,nCUENTA,1,nASIG,"Música de Cámara"),"")))</f>
        <v/>
      </c>
      <c r="AI36" t="str">
        <f>IF(AE36="","",IF(AE36="[FÓRMULA MANUAL]","",IFERROR(SUMPRODUCT((nNIA=AE36)*(nCUENTA=1)*(COUNTIF(CONFIG_ASIGNATURAS!$B$7:$B$27,nASIG)&gt;0)*(nNOTA))/SUMPRODUCT((nNIA=AE36)*(nCUENTA=1)*(COUNTIF(CONFIG_ASIGNATURAS!$B$7:$B$27,nASIG)&gt;0)*1),"")))</f>
        <v/>
      </c>
    </row>
    <row r="37" spans="2:35" x14ac:dyDescent="0.2">
      <c r="B37" t="str">
        <f>IF(A37="","",IF(A37="[FÓRMULA MANUAL]","",IFERROR(AVERAGEIFS(nNOTA,nNIA,A37,nCUENTA,1,nASIG,"Lenguaje Musical"),"")))</f>
        <v/>
      </c>
      <c r="C37" t="str">
        <f>IF(A37="","",IF(A37="[FÓRMULA MANUAL]","",IFERROR(AVERAGEIFS(nNOTA,nNIA,A37,nCUENTA,1,nASIG,"Orquesta/Banda/Conjunto"),"")))</f>
        <v/>
      </c>
      <c r="D37" t="str">
        <f>IF(A37="","",IF(A37="[FÓRMULA MANUAL]","",IFERROR(AVERAGEIFS(nNOTA,nNIA,A37,nCUENTA,1,nASIG,"Conjunto"),"")))</f>
        <v/>
      </c>
      <c r="E37" t="str">
        <f>IF(A37="","",IF(A37="[FÓRMULA MANUAL]","",IFERROR(SUMPRODUCT((nNIA=A37)*(nCUENTA=1)*(COUNTIF(CONFIG_ASIGNATURAS!$B$7:$B$27,nASIG)&gt;0)*(nNOTA))/SUMPRODUCT((nNIA=A37)*(nCUENTA=1)*(COUNTIF(CONFIG_ASIGNATURAS!$B$7:$B$27,nASIG)&gt;0)*1),"")))</f>
        <v/>
      </c>
      <c r="H37" t="str">
        <f>IF(G37="","",IF(G37="[FÓRMULA MANUAL]","",IFERROR(AVERAGEIFS(nNOTA,nNIA,G37,nCUENTA,1,nASIG,"Lenguaje Musical"),"")))</f>
        <v/>
      </c>
      <c r="I37" t="str">
        <f>IF(G37="","",IF(G37="[FÓRMULA MANUAL]","",IFERROR(AVERAGEIFS(nNOTA,nNIA,G37,nCUENTA,1,nASIG,"Orquesta/Banda/Conjunto"),"")))</f>
        <v/>
      </c>
      <c r="J37" t="str">
        <f>IF(G37="","",IF(G37="[FÓRMULA MANUAL]","",IFERROR(AVERAGEIFS(nNOTA,nNIA,G37,nCUENTA,1,nASIG,"Conjunto"),"")))</f>
        <v/>
      </c>
      <c r="K37" t="str">
        <f>IF(G37="","",IF(G37="[FÓRMULA MANUAL]","",IFERROR(SUMPRODUCT((nNIA=G37)*(nCUENTA=1)*(COUNTIF(CONFIG_ASIGNATURAS!$B$7:$B$27,nASIG)&gt;0)*(nNOTA))/SUMPRODUCT((nNIA=G37)*(nCUENTA=1)*(COUNTIF(CONFIG_ASIGNATURAS!$B$7:$B$27,nASIG)&gt;0)*1),"")))</f>
        <v/>
      </c>
      <c r="N37" t="str">
        <f>IF(M37="","",IF(M37="[FÓRMULA MANUAL]","",IFERROR(AVERAGEIFS(nNOTA,nNIA,M37,nCUENTA,1,nASIG,"Armonía"),"")))</f>
        <v/>
      </c>
      <c r="O37" t="str">
        <f>IF(M37="","",IF(M37="[FÓRMULA MANUAL]","",IFERROR(AVERAGEIFS(nNOTA,nNIA,M37,nCUENTA,1,nASIG,"Orquesta/Banda/Conjunto"),"")))</f>
        <v/>
      </c>
      <c r="P37" t="str">
        <f>IF(M37="","",IF(M37="[FÓRMULA MANUAL]","",IFERROR(AVERAGEIFS(nNOTA,nNIA,M37,nCUENTA,1,nASIG,"Música de Cámara"),"")))</f>
        <v/>
      </c>
      <c r="Q37" t="str">
        <f>IF(M37="","",IF(M37="[FÓRMULA MANUAL]","",IFERROR(SUMPRODUCT((nNIA=M37)*(nCUENTA=1)*(COUNTIF(CONFIG_ASIGNATURAS!$B$7:$B$27,nASIG)&gt;0)*(nNOTA))/SUMPRODUCT((nNIA=M37)*(nCUENTA=1)*(COUNTIF(CONFIG_ASIGNATURAS!$B$7:$B$27,nASIG)&gt;0)*1),"")))</f>
        <v/>
      </c>
      <c r="T37" t="str">
        <f>IF(S37="","",IF(S37="[FÓRMULA MANUAL]","",IFERROR(AVERAGEIFS(nNOTA,nNIA,S37,nCUENTA,1,nASIG,"Armonía"),"")))</f>
        <v/>
      </c>
      <c r="U37" t="str">
        <f>IF(S37="","",IF(S37="[FÓRMULA MANUAL]","",IFERROR(AVERAGEIFS(nNOTA,nNIA,S37,nCUENTA,1,nASIG,"Orquesta/Banda/Conjunto"),"")))</f>
        <v/>
      </c>
      <c r="V37" t="str">
        <f>IF(S37="","",IF(S37="[FÓRMULA MANUAL]","",IFERROR(AVERAGEIFS(nNOTA,nNIA,S37,nCUENTA,1,nASIG,"Música de Cámara"),"")))</f>
        <v/>
      </c>
      <c r="W37" t="str">
        <f>IF(S37="","",IF(S37="[FÓRMULA MANUAL]","",IFERROR(SUMPRODUCT((nNIA=S37)*(nCUENTA=1)*(COUNTIF(CONFIG_ASIGNATURAS!$B$7:$B$27,nASIG)&gt;0)*(nNOTA))/SUMPRODUCT((nNIA=S37)*(nCUENTA=1)*(COUNTIF(CONFIG_ASIGNATURAS!$B$7:$B$27,nASIG)&gt;0)*1),"")))</f>
        <v/>
      </c>
      <c r="Z37" t="str">
        <f>IF(Y37="","",IF(Y37="[FÓRMULA MANUAL]","",IFERROR(AVERAGEIFS(nNOTA,nNIA,Y37,nCUENTA,1,nASIG,"Análisis"),"")))</f>
        <v/>
      </c>
      <c r="AA37" t="str">
        <f>IF(Y37="","",IF(Y37="[FÓRMULA MANUAL]","",IFERROR(AVERAGEIFS(nNOTA,nNIA,Y37,nCUENTA,1,nASIG,"Orquesta/Banda/Conjunto"),"")))</f>
        <v/>
      </c>
      <c r="AB37" t="str">
        <f>IF(Y37="","",IF(Y37="[FÓRMULA MANUAL]","",IFERROR(AVERAGEIFS(nNOTA,nNIA,Y37,nCUENTA,1,nASIG,"Música de Cámara"),"")))</f>
        <v/>
      </c>
      <c r="AC37" t="str">
        <f>IF(Y37="","",IF(Y37="[FÓRMULA MANUAL]","",IFERROR(SUMPRODUCT((nNIA=Y37)*(nCUENTA=1)*(COUNTIF(CONFIG_ASIGNATURAS!$B$7:$B$27,nASIG)&gt;0)*(nNOTA))/SUMPRODUCT((nNIA=Y37)*(nCUENTA=1)*(COUNTIF(CONFIG_ASIGNATURAS!$B$7:$B$27,nASIG)&gt;0)*1),"")))</f>
        <v/>
      </c>
      <c r="AF37" t="str">
        <f>IF(AE37="","",IF(AE37="[FÓRMULA MANUAL]","",IFERROR(AVERAGEIFS(nNOTA,nNIA,AE37,nCUENTA,1,nASIG,"Análisis"),"")))</f>
        <v/>
      </c>
      <c r="AG37" t="str">
        <f>IF(AE37="","",IF(AE37="[FÓRMULA MANUAL]","",IFERROR(AVERAGEIFS(nNOTA,nNIA,AE37,nCUENTA,1,nASIG,"Orquesta/Banda/Conjunto"),"")))</f>
        <v/>
      </c>
      <c r="AH37" t="str">
        <f>IF(AE37="","",IF(AE37="[FÓRMULA MANUAL]","",IFERROR(AVERAGEIFS(nNOTA,nNIA,AE37,nCUENTA,1,nASIG,"Música de Cámara"),"")))</f>
        <v/>
      </c>
      <c r="AI37" t="str">
        <f>IF(AE37="","",IF(AE37="[FÓRMULA MANUAL]","",IFERROR(SUMPRODUCT((nNIA=AE37)*(nCUENTA=1)*(COUNTIF(CONFIG_ASIGNATURAS!$B$7:$B$27,nASIG)&gt;0)*(nNOTA))/SUMPRODUCT((nNIA=AE37)*(nCUENTA=1)*(COUNTIF(CONFIG_ASIGNATURAS!$B$7:$B$27,nASIG)&gt;0)*1),"")))</f>
        <v/>
      </c>
    </row>
    <row r="38" spans="2:35" x14ac:dyDescent="0.2">
      <c r="B38" t="str">
        <f>IF(A38="","",IF(A38="[FÓRMULA MANUAL]","",IFERROR(AVERAGEIFS(nNOTA,nNIA,A38,nCUENTA,1,nASIG,"Lenguaje Musical"),"")))</f>
        <v/>
      </c>
      <c r="C38" t="str">
        <f>IF(A38="","",IF(A38="[FÓRMULA MANUAL]","",IFERROR(AVERAGEIFS(nNOTA,nNIA,A38,nCUENTA,1,nASIG,"Orquesta/Banda/Conjunto"),"")))</f>
        <v/>
      </c>
      <c r="D38" t="str">
        <f>IF(A38="","",IF(A38="[FÓRMULA MANUAL]","",IFERROR(AVERAGEIFS(nNOTA,nNIA,A38,nCUENTA,1,nASIG,"Conjunto"),"")))</f>
        <v/>
      </c>
      <c r="E38" t="str">
        <f>IF(A38="","",IF(A38="[FÓRMULA MANUAL]","",IFERROR(SUMPRODUCT((nNIA=A38)*(nCUENTA=1)*(COUNTIF(CONFIG_ASIGNATURAS!$B$7:$B$27,nASIG)&gt;0)*(nNOTA))/SUMPRODUCT((nNIA=A38)*(nCUENTA=1)*(COUNTIF(CONFIG_ASIGNATURAS!$B$7:$B$27,nASIG)&gt;0)*1),"")))</f>
        <v/>
      </c>
      <c r="H38" t="str">
        <f>IF(G38="","",IF(G38="[FÓRMULA MANUAL]","",IFERROR(AVERAGEIFS(nNOTA,nNIA,G38,nCUENTA,1,nASIG,"Lenguaje Musical"),"")))</f>
        <v/>
      </c>
      <c r="I38" t="str">
        <f>IF(G38="","",IF(G38="[FÓRMULA MANUAL]","",IFERROR(AVERAGEIFS(nNOTA,nNIA,G38,nCUENTA,1,nASIG,"Orquesta/Banda/Conjunto"),"")))</f>
        <v/>
      </c>
      <c r="J38" t="str">
        <f>IF(G38="","",IF(G38="[FÓRMULA MANUAL]","",IFERROR(AVERAGEIFS(nNOTA,nNIA,G38,nCUENTA,1,nASIG,"Conjunto"),"")))</f>
        <v/>
      </c>
      <c r="K38" t="str">
        <f>IF(G38="","",IF(G38="[FÓRMULA MANUAL]","",IFERROR(SUMPRODUCT((nNIA=G38)*(nCUENTA=1)*(COUNTIF(CONFIG_ASIGNATURAS!$B$7:$B$27,nASIG)&gt;0)*(nNOTA))/SUMPRODUCT((nNIA=G38)*(nCUENTA=1)*(COUNTIF(CONFIG_ASIGNATURAS!$B$7:$B$27,nASIG)&gt;0)*1),"")))</f>
        <v/>
      </c>
      <c r="N38" t="str">
        <f>IF(M38="","",IF(M38="[FÓRMULA MANUAL]","",IFERROR(AVERAGEIFS(nNOTA,nNIA,M38,nCUENTA,1,nASIG,"Armonía"),"")))</f>
        <v/>
      </c>
      <c r="O38" t="str">
        <f>IF(M38="","",IF(M38="[FÓRMULA MANUAL]","",IFERROR(AVERAGEIFS(nNOTA,nNIA,M38,nCUENTA,1,nASIG,"Orquesta/Banda/Conjunto"),"")))</f>
        <v/>
      </c>
      <c r="P38" t="str">
        <f>IF(M38="","",IF(M38="[FÓRMULA MANUAL]","",IFERROR(AVERAGEIFS(nNOTA,nNIA,M38,nCUENTA,1,nASIG,"Música de Cámara"),"")))</f>
        <v/>
      </c>
      <c r="Q38" t="str">
        <f>IF(M38="","",IF(M38="[FÓRMULA MANUAL]","",IFERROR(SUMPRODUCT((nNIA=M38)*(nCUENTA=1)*(COUNTIF(CONFIG_ASIGNATURAS!$B$7:$B$27,nASIG)&gt;0)*(nNOTA))/SUMPRODUCT((nNIA=M38)*(nCUENTA=1)*(COUNTIF(CONFIG_ASIGNATURAS!$B$7:$B$27,nASIG)&gt;0)*1),"")))</f>
        <v/>
      </c>
      <c r="T38" t="str">
        <f>IF(S38="","",IF(S38="[FÓRMULA MANUAL]","",IFERROR(AVERAGEIFS(nNOTA,nNIA,S38,nCUENTA,1,nASIG,"Armonía"),"")))</f>
        <v/>
      </c>
      <c r="U38" t="str">
        <f>IF(S38="","",IF(S38="[FÓRMULA MANUAL]","",IFERROR(AVERAGEIFS(nNOTA,nNIA,S38,nCUENTA,1,nASIG,"Orquesta/Banda/Conjunto"),"")))</f>
        <v/>
      </c>
      <c r="V38" t="str">
        <f>IF(S38="","",IF(S38="[FÓRMULA MANUAL]","",IFERROR(AVERAGEIFS(nNOTA,nNIA,S38,nCUENTA,1,nASIG,"Música de Cámara"),"")))</f>
        <v/>
      </c>
      <c r="W38" t="str">
        <f>IF(S38="","",IF(S38="[FÓRMULA MANUAL]","",IFERROR(SUMPRODUCT((nNIA=S38)*(nCUENTA=1)*(COUNTIF(CONFIG_ASIGNATURAS!$B$7:$B$27,nASIG)&gt;0)*(nNOTA))/SUMPRODUCT((nNIA=S38)*(nCUENTA=1)*(COUNTIF(CONFIG_ASIGNATURAS!$B$7:$B$27,nASIG)&gt;0)*1),"")))</f>
        <v/>
      </c>
      <c r="Z38" t="str">
        <f>IF(Y38="","",IF(Y38="[FÓRMULA MANUAL]","",IFERROR(AVERAGEIFS(nNOTA,nNIA,Y38,nCUENTA,1,nASIG,"Análisis"),"")))</f>
        <v/>
      </c>
      <c r="AA38" t="str">
        <f>IF(Y38="","",IF(Y38="[FÓRMULA MANUAL]","",IFERROR(AVERAGEIFS(nNOTA,nNIA,Y38,nCUENTA,1,nASIG,"Orquesta/Banda/Conjunto"),"")))</f>
        <v/>
      </c>
      <c r="AB38" t="str">
        <f>IF(Y38="","",IF(Y38="[FÓRMULA MANUAL]","",IFERROR(AVERAGEIFS(nNOTA,nNIA,Y38,nCUENTA,1,nASIG,"Música de Cámara"),"")))</f>
        <v/>
      </c>
      <c r="AC38" t="str">
        <f>IF(Y38="","",IF(Y38="[FÓRMULA MANUAL]","",IFERROR(SUMPRODUCT((nNIA=Y38)*(nCUENTA=1)*(COUNTIF(CONFIG_ASIGNATURAS!$B$7:$B$27,nASIG)&gt;0)*(nNOTA))/SUMPRODUCT((nNIA=Y38)*(nCUENTA=1)*(COUNTIF(CONFIG_ASIGNATURAS!$B$7:$B$27,nASIG)&gt;0)*1),"")))</f>
        <v/>
      </c>
      <c r="AF38" t="str">
        <f>IF(AE38="","",IF(AE38="[FÓRMULA MANUAL]","",IFERROR(AVERAGEIFS(nNOTA,nNIA,AE38,nCUENTA,1,nASIG,"Análisis"),"")))</f>
        <v/>
      </c>
      <c r="AG38" t="str">
        <f>IF(AE38="","",IF(AE38="[FÓRMULA MANUAL]","",IFERROR(AVERAGEIFS(nNOTA,nNIA,AE38,nCUENTA,1,nASIG,"Orquesta/Banda/Conjunto"),"")))</f>
        <v/>
      </c>
      <c r="AH38" t="str">
        <f>IF(AE38="","",IF(AE38="[FÓRMULA MANUAL]","",IFERROR(AVERAGEIFS(nNOTA,nNIA,AE38,nCUENTA,1,nASIG,"Música de Cámara"),"")))</f>
        <v/>
      </c>
      <c r="AI38" t="str">
        <f>IF(AE38="","",IF(AE38="[FÓRMULA MANUAL]","",IFERROR(SUMPRODUCT((nNIA=AE38)*(nCUENTA=1)*(COUNTIF(CONFIG_ASIGNATURAS!$B$7:$B$27,nASIG)&gt;0)*(nNOTA))/SUMPRODUCT((nNIA=AE38)*(nCUENTA=1)*(COUNTIF(CONFIG_ASIGNATURAS!$B$7:$B$27,nASIG)&gt;0)*1),"")))</f>
        <v/>
      </c>
    </row>
    <row r="39" spans="2:35" x14ac:dyDescent="0.2">
      <c r="B39" t="str">
        <f>IF(A39="","",IF(A39="[FÓRMULA MANUAL]","",IFERROR(AVERAGEIFS(nNOTA,nNIA,A39,nCUENTA,1,nASIG,"Lenguaje Musical"),"")))</f>
        <v/>
      </c>
      <c r="C39" t="str">
        <f>IF(A39="","",IF(A39="[FÓRMULA MANUAL]","",IFERROR(AVERAGEIFS(nNOTA,nNIA,A39,nCUENTA,1,nASIG,"Orquesta/Banda/Conjunto"),"")))</f>
        <v/>
      </c>
      <c r="D39" t="str">
        <f>IF(A39="","",IF(A39="[FÓRMULA MANUAL]","",IFERROR(AVERAGEIFS(nNOTA,nNIA,A39,nCUENTA,1,nASIG,"Conjunto"),"")))</f>
        <v/>
      </c>
      <c r="E39" t="str">
        <f>IF(A39="","",IF(A39="[FÓRMULA MANUAL]","",IFERROR(SUMPRODUCT((nNIA=A39)*(nCUENTA=1)*(COUNTIF(CONFIG_ASIGNATURAS!$B$7:$B$27,nASIG)&gt;0)*(nNOTA))/SUMPRODUCT((nNIA=A39)*(nCUENTA=1)*(COUNTIF(CONFIG_ASIGNATURAS!$B$7:$B$27,nASIG)&gt;0)*1),"")))</f>
        <v/>
      </c>
      <c r="H39" t="str">
        <f>IF(G39="","",IF(G39="[FÓRMULA MANUAL]","",IFERROR(AVERAGEIFS(nNOTA,nNIA,G39,nCUENTA,1,nASIG,"Lenguaje Musical"),"")))</f>
        <v/>
      </c>
      <c r="I39" t="str">
        <f>IF(G39="","",IF(G39="[FÓRMULA MANUAL]","",IFERROR(AVERAGEIFS(nNOTA,nNIA,G39,nCUENTA,1,nASIG,"Orquesta/Banda/Conjunto"),"")))</f>
        <v/>
      </c>
      <c r="J39" t="str">
        <f>IF(G39="","",IF(G39="[FÓRMULA MANUAL]","",IFERROR(AVERAGEIFS(nNOTA,nNIA,G39,nCUENTA,1,nASIG,"Conjunto"),"")))</f>
        <v/>
      </c>
      <c r="K39" t="str">
        <f>IF(G39="","",IF(G39="[FÓRMULA MANUAL]","",IFERROR(SUMPRODUCT((nNIA=G39)*(nCUENTA=1)*(COUNTIF(CONFIG_ASIGNATURAS!$B$7:$B$27,nASIG)&gt;0)*(nNOTA))/SUMPRODUCT((nNIA=G39)*(nCUENTA=1)*(COUNTIF(CONFIG_ASIGNATURAS!$B$7:$B$27,nASIG)&gt;0)*1),"")))</f>
        <v/>
      </c>
      <c r="N39" t="str">
        <f>IF(M39="","",IF(M39="[FÓRMULA MANUAL]","",IFERROR(AVERAGEIFS(nNOTA,nNIA,M39,nCUENTA,1,nASIG,"Armonía"),"")))</f>
        <v/>
      </c>
      <c r="O39" t="str">
        <f>IF(M39="","",IF(M39="[FÓRMULA MANUAL]","",IFERROR(AVERAGEIFS(nNOTA,nNIA,M39,nCUENTA,1,nASIG,"Orquesta/Banda/Conjunto"),"")))</f>
        <v/>
      </c>
      <c r="P39" t="str">
        <f>IF(M39="","",IF(M39="[FÓRMULA MANUAL]","",IFERROR(AVERAGEIFS(nNOTA,nNIA,M39,nCUENTA,1,nASIG,"Música de Cámara"),"")))</f>
        <v/>
      </c>
      <c r="Q39" t="str">
        <f>IF(M39="","",IF(M39="[FÓRMULA MANUAL]","",IFERROR(SUMPRODUCT((nNIA=M39)*(nCUENTA=1)*(COUNTIF(CONFIG_ASIGNATURAS!$B$7:$B$27,nASIG)&gt;0)*(nNOTA))/SUMPRODUCT((nNIA=M39)*(nCUENTA=1)*(COUNTIF(CONFIG_ASIGNATURAS!$B$7:$B$27,nASIG)&gt;0)*1),"")))</f>
        <v/>
      </c>
      <c r="T39" t="str">
        <f>IF(S39="","",IF(S39="[FÓRMULA MANUAL]","",IFERROR(AVERAGEIFS(nNOTA,nNIA,S39,nCUENTA,1,nASIG,"Armonía"),"")))</f>
        <v/>
      </c>
      <c r="U39" t="str">
        <f>IF(S39="","",IF(S39="[FÓRMULA MANUAL]","",IFERROR(AVERAGEIFS(nNOTA,nNIA,S39,nCUENTA,1,nASIG,"Orquesta/Banda/Conjunto"),"")))</f>
        <v/>
      </c>
      <c r="V39" t="str">
        <f>IF(S39="","",IF(S39="[FÓRMULA MANUAL]","",IFERROR(AVERAGEIFS(nNOTA,nNIA,S39,nCUENTA,1,nASIG,"Música de Cámara"),"")))</f>
        <v/>
      </c>
      <c r="W39" t="str">
        <f>IF(S39="","",IF(S39="[FÓRMULA MANUAL]","",IFERROR(SUMPRODUCT((nNIA=S39)*(nCUENTA=1)*(COUNTIF(CONFIG_ASIGNATURAS!$B$7:$B$27,nASIG)&gt;0)*(nNOTA))/SUMPRODUCT((nNIA=S39)*(nCUENTA=1)*(COUNTIF(CONFIG_ASIGNATURAS!$B$7:$B$27,nASIG)&gt;0)*1),"")))</f>
        <v/>
      </c>
      <c r="Z39" t="str">
        <f>IF(Y39="","",IF(Y39="[FÓRMULA MANUAL]","",IFERROR(AVERAGEIFS(nNOTA,nNIA,Y39,nCUENTA,1,nASIG,"Análisis"),"")))</f>
        <v/>
      </c>
      <c r="AA39" t="str">
        <f>IF(Y39="","",IF(Y39="[FÓRMULA MANUAL]","",IFERROR(AVERAGEIFS(nNOTA,nNIA,Y39,nCUENTA,1,nASIG,"Orquesta/Banda/Conjunto"),"")))</f>
        <v/>
      </c>
      <c r="AB39" t="str">
        <f>IF(Y39="","",IF(Y39="[FÓRMULA MANUAL]","",IFERROR(AVERAGEIFS(nNOTA,nNIA,Y39,nCUENTA,1,nASIG,"Música de Cámara"),"")))</f>
        <v/>
      </c>
      <c r="AC39" t="str">
        <f>IF(Y39="","",IF(Y39="[FÓRMULA MANUAL]","",IFERROR(SUMPRODUCT((nNIA=Y39)*(nCUENTA=1)*(COUNTIF(CONFIG_ASIGNATURAS!$B$7:$B$27,nASIG)&gt;0)*(nNOTA))/SUMPRODUCT((nNIA=Y39)*(nCUENTA=1)*(COUNTIF(CONFIG_ASIGNATURAS!$B$7:$B$27,nASIG)&gt;0)*1),"")))</f>
        <v/>
      </c>
      <c r="AF39" t="str">
        <f>IF(AE39="","",IF(AE39="[FÓRMULA MANUAL]","",IFERROR(AVERAGEIFS(nNOTA,nNIA,AE39,nCUENTA,1,nASIG,"Análisis"),"")))</f>
        <v/>
      </c>
      <c r="AG39" t="str">
        <f>IF(AE39="","",IF(AE39="[FÓRMULA MANUAL]","",IFERROR(AVERAGEIFS(nNOTA,nNIA,AE39,nCUENTA,1,nASIG,"Orquesta/Banda/Conjunto"),"")))</f>
        <v/>
      </c>
      <c r="AH39" t="str">
        <f>IF(AE39="","",IF(AE39="[FÓRMULA MANUAL]","",IFERROR(AVERAGEIFS(nNOTA,nNIA,AE39,nCUENTA,1,nASIG,"Música de Cámara"),"")))</f>
        <v/>
      </c>
      <c r="AI39" t="str">
        <f>IF(AE39="","",IF(AE39="[FÓRMULA MANUAL]","",IFERROR(SUMPRODUCT((nNIA=AE39)*(nCUENTA=1)*(COUNTIF(CONFIG_ASIGNATURAS!$B$7:$B$27,nASIG)&gt;0)*(nNOTA))/SUMPRODUCT((nNIA=AE39)*(nCUENTA=1)*(COUNTIF(CONFIG_ASIGNATURAS!$B$7:$B$27,nASIG)&gt;0)*1),"")))</f>
        <v/>
      </c>
    </row>
    <row r="40" spans="2:35" x14ac:dyDescent="0.2">
      <c r="B40" t="str">
        <f>IF(A40="","",IF(A40="[FÓRMULA MANUAL]","",IFERROR(AVERAGEIFS(nNOTA,nNIA,A40,nCUENTA,1,nASIG,"Lenguaje Musical"),"")))</f>
        <v/>
      </c>
      <c r="C40" t="str">
        <f>IF(A40="","",IF(A40="[FÓRMULA MANUAL]","",IFERROR(AVERAGEIFS(nNOTA,nNIA,A40,nCUENTA,1,nASIG,"Orquesta/Banda/Conjunto"),"")))</f>
        <v/>
      </c>
      <c r="D40" t="str">
        <f>IF(A40="","",IF(A40="[FÓRMULA MANUAL]","",IFERROR(AVERAGEIFS(nNOTA,nNIA,A40,nCUENTA,1,nASIG,"Conjunto"),"")))</f>
        <v/>
      </c>
      <c r="E40" t="str">
        <f>IF(A40="","",IF(A40="[FÓRMULA MANUAL]","",IFERROR(SUMPRODUCT((nNIA=A40)*(nCUENTA=1)*(COUNTIF(CONFIG_ASIGNATURAS!$B$7:$B$27,nASIG)&gt;0)*(nNOTA))/SUMPRODUCT((nNIA=A40)*(nCUENTA=1)*(COUNTIF(CONFIG_ASIGNATURAS!$B$7:$B$27,nASIG)&gt;0)*1),"")))</f>
        <v/>
      </c>
      <c r="H40" t="str">
        <f>IF(G40="","",IF(G40="[FÓRMULA MANUAL]","",IFERROR(AVERAGEIFS(nNOTA,nNIA,G40,nCUENTA,1,nASIG,"Lenguaje Musical"),"")))</f>
        <v/>
      </c>
      <c r="I40" t="str">
        <f>IF(G40="","",IF(G40="[FÓRMULA MANUAL]","",IFERROR(AVERAGEIFS(nNOTA,nNIA,G40,nCUENTA,1,nASIG,"Orquesta/Banda/Conjunto"),"")))</f>
        <v/>
      </c>
      <c r="J40" t="str">
        <f>IF(G40="","",IF(G40="[FÓRMULA MANUAL]","",IFERROR(AVERAGEIFS(nNOTA,nNIA,G40,nCUENTA,1,nASIG,"Conjunto"),"")))</f>
        <v/>
      </c>
      <c r="K40" t="str">
        <f>IF(G40="","",IF(G40="[FÓRMULA MANUAL]","",IFERROR(SUMPRODUCT((nNIA=G40)*(nCUENTA=1)*(COUNTIF(CONFIG_ASIGNATURAS!$B$7:$B$27,nASIG)&gt;0)*(nNOTA))/SUMPRODUCT((nNIA=G40)*(nCUENTA=1)*(COUNTIF(CONFIG_ASIGNATURAS!$B$7:$B$27,nASIG)&gt;0)*1),"")))</f>
        <v/>
      </c>
      <c r="N40" t="str">
        <f>IF(M40="","",IF(M40="[FÓRMULA MANUAL]","",IFERROR(AVERAGEIFS(nNOTA,nNIA,M40,nCUENTA,1,nASIG,"Armonía"),"")))</f>
        <v/>
      </c>
      <c r="O40" t="str">
        <f>IF(M40="","",IF(M40="[FÓRMULA MANUAL]","",IFERROR(AVERAGEIFS(nNOTA,nNIA,M40,nCUENTA,1,nASIG,"Orquesta/Banda/Conjunto"),"")))</f>
        <v/>
      </c>
      <c r="P40" t="str">
        <f>IF(M40="","",IF(M40="[FÓRMULA MANUAL]","",IFERROR(AVERAGEIFS(nNOTA,nNIA,M40,nCUENTA,1,nASIG,"Música de Cámara"),"")))</f>
        <v/>
      </c>
      <c r="Q40" t="str">
        <f>IF(M40="","",IF(M40="[FÓRMULA MANUAL]","",IFERROR(SUMPRODUCT((nNIA=M40)*(nCUENTA=1)*(COUNTIF(CONFIG_ASIGNATURAS!$B$7:$B$27,nASIG)&gt;0)*(nNOTA))/SUMPRODUCT((nNIA=M40)*(nCUENTA=1)*(COUNTIF(CONFIG_ASIGNATURAS!$B$7:$B$27,nASIG)&gt;0)*1),"")))</f>
        <v/>
      </c>
      <c r="T40" t="str">
        <f>IF(S40="","",IF(S40="[FÓRMULA MANUAL]","",IFERROR(AVERAGEIFS(nNOTA,nNIA,S40,nCUENTA,1,nASIG,"Armonía"),"")))</f>
        <v/>
      </c>
      <c r="U40" t="str">
        <f>IF(S40="","",IF(S40="[FÓRMULA MANUAL]","",IFERROR(AVERAGEIFS(nNOTA,nNIA,S40,nCUENTA,1,nASIG,"Orquesta/Banda/Conjunto"),"")))</f>
        <v/>
      </c>
      <c r="V40" t="str">
        <f>IF(S40="","",IF(S40="[FÓRMULA MANUAL]","",IFERROR(AVERAGEIFS(nNOTA,nNIA,S40,nCUENTA,1,nASIG,"Música de Cámara"),"")))</f>
        <v/>
      </c>
      <c r="W40" t="str">
        <f>IF(S40="","",IF(S40="[FÓRMULA MANUAL]","",IFERROR(SUMPRODUCT((nNIA=S40)*(nCUENTA=1)*(COUNTIF(CONFIG_ASIGNATURAS!$B$7:$B$27,nASIG)&gt;0)*(nNOTA))/SUMPRODUCT((nNIA=S40)*(nCUENTA=1)*(COUNTIF(CONFIG_ASIGNATURAS!$B$7:$B$27,nASIG)&gt;0)*1),"")))</f>
        <v/>
      </c>
      <c r="Z40" t="str">
        <f>IF(Y40="","",IF(Y40="[FÓRMULA MANUAL]","",IFERROR(AVERAGEIFS(nNOTA,nNIA,Y40,nCUENTA,1,nASIG,"Análisis"),"")))</f>
        <v/>
      </c>
      <c r="AA40" t="str">
        <f>IF(Y40="","",IF(Y40="[FÓRMULA MANUAL]","",IFERROR(AVERAGEIFS(nNOTA,nNIA,Y40,nCUENTA,1,nASIG,"Orquesta/Banda/Conjunto"),"")))</f>
        <v/>
      </c>
      <c r="AB40" t="str">
        <f>IF(Y40="","",IF(Y40="[FÓRMULA MANUAL]","",IFERROR(AVERAGEIFS(nNOTA,nNIA,Y40,nCUENTA,1,nASIG,"Música de Cámara"),"")))</f>
        <v/>
      </c>
      <c r="AC40" t="str">
        <f>IF(Y40="","",IF(Y40="[FÓRMULA MANUAL]","",IFERROR(SUMPRODUCT((nNIA=Y40)*(nCUENTA=1)*(COUNTIF(CONFIG_ASIGNATURAS!$B$7:$B$27,nASIG)&gt;0)*(nNOTA))/SUMPRODUCT((nNIA=Y40)*(nCUENTA=1)*(COUNTIF(CONFIG_ASIGNATURAS!$B$7:$B$27,nASIG)&gt;0)*1),"")))</f>
        <v/>
      </c>
      <c r="AF40" t="str">
        <f>IF(AE40="","",IF(AE40="[FÓRMULA MANUAL]","",IFERROR(AVERAGEIFS(nNOTA,nNIA,AE40,nCUENTA,1,nASIG,"Análisis"),"")))</f>
        <v/>
      </c>
      <c r="AG40" t="str">
        <f>IF(AE40="","",IF(AE40="[FÓRMULA MANUAL]","",IFERROR(AVERAGEIFS(nNOTA,nNIA,AE40,nCUENTA,1,nASIG,"Orquesta/Banda/Conjunto"),"")))</f>
        <v/>
      </c>
      <c r="AH40" t="str">
        <f>IF(AE40="","",IF(AE40="[FÓRMULA MANUAL]","",IFERROR(AVERAGEIFS(nNOTA,nNIA,AE40,nCUENTA,1,nASIG,"Música de Cámara"),"")))</f>
        <v/>
      </c>
      <c r="AI40" t="str">
        <f>IF(AE40="","",IF(AE40="[FÓRMULA MANUAL]","",IFERROR(SUMPRODUCT((nNIA=AE40)*(nCUENTA=1)*(COUNTIF(CONFIG_ASIGNATURAS!$B$7:$B$27,nASIG)&gt;0)*(nNOTA))/SUMPRODUCT((nNIA=AE40)*(nCUENTA=1)*(COUNTIF(CONFIG_ASIGNATURAS!$B$7:$B$27,nASIG)&gt;0)*1),"")))</f>
        <v/>
      </c>
    </row>
    <row r="41" spans="2:35" x14ac:dyDescent="0.2">
      <c r="B41" t="str">
        <f>IF(A41="","",IF(A41="[FÓRMULA MANUAL]","",IFERROR(AVERAGEIFS(nNOTA,nNIA,A41,nCUENTA,1,nASIG,"Lenguaje Musical"),"")))</f>
        <v/>
      </c>
      <c r="C41" t="str">
        <f>IF(A41="","",IF(A41="[FÓRMULA MANUAL]","",IFERROR(AVERAGEIFS(nNOTA,nNIA,A41,nCUENTA,1,nASIG,"Orquesta/Banda/Conjunto"),"")))</f>
        <v/>
      </c>
      <c r="D41" t="str">
        <f>IF(A41="","",IF(A41="[FÓRMULA MANUAL]","",IFERROR(AVERAGEIFS(nNOTA,nNIA,A41,nCUENTA,1,nASIG,"Conjunto"),"")))</f>
        <v/>
      </c>
      <c r="E41" t="str">
        <f>IF(A41="","",IF(A41="[FÓRMULA MANUAL]","",IFERROR(SUMPRODUCT((nNIA=A41)*(nCUENTA=1)*(COUNTIF(CONFIG_ASIGNATURAS!$B$7:$B$27,nASIG)&gt;0)*(nNOTA))/SUMPRODUCT((nNIA=A41)*(nCUENTA=1)*(COUNTIF(CONFIG_ASIGNATURAS!$B$7:$B$27,nASIG)&gt;0)*1),"")))</f>
        <v/>
      </c>
      <c r="H41" t="str">
        <f>IF(G41="","",IF(G41="[FÓRMULA MANUAL]","",IFERROR(AVERAGEIFS(nNOTA,nNIA,G41,nCUENTA,1,nASIG,"Lenguaje Musical"),"")))</f>
        <v/>
      </c>
      <c r="I41" t="str">
        <f>IF(G41="","",IF(G41="[FÓRMULA MANUAL]","",IFERROR(AVERAGEIFS(nNOTA,nNIA,G41,nCUENTA,1,nASIG,"Orquesta/Banda/Conjunto"),"")))</f>
        <v/>
      </c>
      <c r="J41" t="str">
        <f>IF(G41="","",IF(G41="[FÓRMULA MANUAL]","",IFERROR(AVERAGEIFS(nNOTA,nNIA,G41,nCUENTA,1,nASIG,"Conjunto"),"")))</f>
        <v/>
      </c>
      <c r="K41" t="str">
        <f>IF(G41="","",IF(G41="[FÓRMULA MANUAL]","",IFERROR(SUMPRODUCT((nNIA=G41)*(nCUENTA=1)*(COUNTIF(CONFIG_ASIGNATURAS!$B$7:$B$27,nASIG)&gt;0)*(nNOTA))/SUMPRODUCT((nNIA=G41)*(nCUENTA=1)*(COUNTIF(CONFIG_ASIGNATURAS!$B$7:$B$27,nASIG)&gt;0)*1),"")))</f>
        <v/>
      </c>
      <c r="N41" t="str">
        <f>IF(M41="","",IF(M41="[FÓRMULA MANUAL]","",IFERROR(AVERAGEIFS(nNOTA,nNIA,M41,nCUENTA,1,nASIG,"Armonía"),"")))</f>
        <v/>
      </c>
      <c r="O41" t="str">
        <f>IF(M41="","",IF(M41="[FÓRMULA MANUAL]","",IFERROR(AVERAGEIFS(nNOTA,nNIA,M41,nCUENTA,1,nASIG,"Orquesta/Banda/Conjunto"),"")))</f>
        <v/>
      </c>
      <c r="P41" t="str">
        <f>IF(M41="","",IF(M41="[FÓRMULA MANUAL]","",IFERROR(AVERAGEIFS(nNOTA,nNIA,M41,nCUENTA,1,nASIG,"Música de Cámara"),"")))</f>
        <v/>
      </c>
      <c r="Q41" t="str">
        <f>IF(M41="","",IF(M41="[FÓRMULA MANUAL]","",IFERROR(SUMPRODUCT((nNIA=M41)*(nCUENTA=1)*(COUNTIF(CONFIG_ASIGNATURAS!$B$7:$B$27,nASIG)&gt;0)*(nNOTA))/SUMPRODUCT((nNIA=M41)*(nCUENTA=1)*(COUNTIF(CONFIG_ASIGNATURAS!$B$7:$B$27,nASIG)&gt;0)*1),"")))</f>
        <v/>
      </c>
      <c r="T41" t="str">
        <f>IF(S41="","",IF(S41="[FÓRMULA MANUAL]","",IFERROR(AVERAGEIFS(nNOTA,nNIA,S41,nCUENTA,1,nASIG,"Armonía"),"")))</f>
        <v/>
      </c>
      <c r="U41" t="str">
        <f>IF(S41="","",IF(S41="[FÓRMULA MANUAL]","",IFERROR(AVERAGEIFS(nNOTA,nNIA,S41,nCUENTA,1,nASIG,"Orquesta/Banda/Conjunto"),"")))</f>
        <v/>
      </c>
      <c r="V41" t="str">
        <f>IF(S41="","",IF(S41="[FÓRMULA MANUAL]","",IFERROR(AVERAGEIFS(nNOTA,nNIA,S41,nCUENTA,1,nASIG,"Música de Cámara"),"")))</f>
        <v/>
      </c>
      <c r="W41" t="str">
        <f>IF(S41="","",IF(S41="[FÓRMULA MANUAL]","",IFERROR(SUMPRODUCT((nNIA=S41)*(nCUENTA=1)*(COUNTIF(CONFIG_ASIGNATURAS!$B$7:$B$27,nASIG)&gt;0)*(nNOTA))/SUMPRODUCT((nNIA=S41)*(nCUENTA=1)*(COUNTIF(CONFIG_ASIGNATURAS!$B$7:$B$27,nASIG)&gt;0)*1),"")))</f>
        <v/>
      </c>
      <c r="Z41" t="str">
        <f>IF(Y41="","",IF(Y41="[FÓRMULA MANUAL]","",IFERROR(AVERAGEIFS(nNOTA,nNIA,Y41,nCUENTA,1,nASIG,"Análisis"),"")))</f>
        <v/>
      </c>
      <c r="AA41" t="str">
        <f>IF(Y41="","",IF(Y41="[FÓRMULA MANUAL]","",IFERROR(AVERAGEIFS(nNOTA,nNIA,Y41,nCUENTA,1,nASIG,"Orquesta/Banda/Conjunto"),"")))</f>
        <v/>
      </c>
      <c r="AB41" t="str">
        <f>IF(Y41="","",IF(Y41="[FÓRMULA MANUAL]","",IFERROR(AVERAGEIFS(nNOTA,nNIA,Y41,nCUENTA,1,nASIG,"Música de Cámara"),"")))</f>
        <v/>
      </c>
      <c r="AC41" t="str">
        <f>IF(Y41="","",IF(Y41="[FÓRMULA MANUAL]","",IFERROR(SUMPRODUCT((nNIA=Y41)*(nCUENTA=1)*(COUNTIF(CONFIG_ASIGNATURAS!$B$7:$B$27,nASIG)&gt;0)*(nNOTA))/SUMPRODUCT((nNIA=Y41)*(nCUENTA=1)*(COUNTIF(CONFIG_ASIGNATURAS!$B$7:$B$27,nASIG)&gt;0)*1),"")))</f>
        <v/>
      </c>
      <c r="AF41" t="str">
        <f>IF(AE41="","",IF(AE41="[FÓRMULA MANUAL]","",IFERROR(AVERAGEIFS(nNOTA,nNIA,AE41,nCUENTA,1,nASIG,"Análisis"),"")))</f>
        <v/>
      </c>
      <c r="AG41" t="str">
        <f>IF(AE41="","",IF(AE41="[FÓRMULA MANUAL]","",IFERROR(AVERAGEIFS(nNOTA,nNIA,AE41,nCUENTA,1,nASIG,"Orquesta/Banda/Conjunto"),"")))</f>
        <v/>
      </c>
      <c r="AH41" t="str">
        <f>IF(AE41="","",IF(AE41="[FÓRMULA MANUAL]","",IFERROR(AVERAGEIFS(nNOTA,nNIA,AE41,nCUENTA,1,nASIG,"Música de Cámara"),"")))</f>
        <v/>
      </c>
      <c r="AI41" t="str">
        <f>IF(AE41="","",IF(AE41="[FÓRMULA MANUAL]","",IFERROR(SUMPRODUCT((nNIA=AE41)*(nCUENTA=1)*(COUNTIF(CONFIG_ASIGNATURAS!$B$7:$B$27,nASIG)&gt;0)*(nNOTA))/SUMPRODUCT((nNIA=AE41)*(nCUENTA=1)*(COUNTIF(CONFIG_ASIGNATURAS!$B$7:$B$27,nASIG)&gt;0)*1),"")))</f>
        <v/>
      </c>
    </row>
    <row r="42" spans="2:35" x14ac:dyDescent="0.2">
      <c r="B42" t="str">
        <f>IF(A42="","",IF(A42="[FÓRMULA MANUAL]","",IFERROR(AVERAGEIFS(nNOTA,nNIA,A42,nCUENTA,1,nASIG,"Lenguaje Musical"),"")))</f>
        <v/>
      </c>
      <c r="C42" t="str">
        <f>IF(A42="","",IF(A42="[FÓRMULA MANUAL]","",IFERROR(AVERAGEIFS(nNOTA,nNIA,A42,nCUENTA,1,nASIG,"Orquesta/Banda/Conjunto"),"")))</f>
        <v/>
      </c>
      <c r="D42" t="str">
        <f>IF(A42="","",IF(A42="[FÓRMULA MANUAL]","",IFERROR(AVERAGEIFS(nNOTA,nNIA,A42,nCUENTA,1,nASIG,"Conjunto"),"")))</f>
        <v/>
      </c>
      <c r="E42" t="str">
        <f>IF(A42="","",IF(A42="[FÓRMULA MANUAL]","",IFERROR(SUMPRODUCT((nNIA=A42)*(nCUENTA=1)*(COUNTIF(CONFIG_ASIGNATURAS!$B$7:$B$27,nASIG)&gt;0)*(nNOTA))/SUMPRODUCT((nNIA=A42)*(nCUENTA=1)*(COUNTIF(CONFIG_ASIGNATURAS!$B$7:$B$27,nASIG)&gt;0)*1),"")))</f>
        <v/>
      </c>
      <c r="H42" t="str">
        <f>IF(G42="","",IF(G42="[FÓRMULA MANUAL]","",IFERROR(AVERAGEIFS(nNOTA,nNIA,G42,nCUENTA,1,nASIG,"Lenguaje Musical"),"")))</f>
        <v/>
      </c>
      <c r="I42" t="str">
        <f>IF(G42="","",IF(G42="[FÓRMULA MANUAL]","",IFERROR(AVERAGEIFS(nNOTA,nNIA,G42,nCUENTA,1,nASIG,"Orquesta/Banda/Conjunto"),"")))</f>
        <v/>
      </c>
      <c r="J42" t="str">
        <f>IF(G42="","",IF(G42="[FÓRMULA MANUAL]","",IFERROR(AVERAGEIFS(nNOTA,nNIA,G42,nCUENTA,1,nASIG,"Conjunto"),"")))</f>
        <v/>
      </c>
      <c r="K42" t="str">
        <f>IF(G42="","",IF(G42="[FÓRMULA MANUAL]","",IFERROR(SUMPRODUCT((nNIA=G42)*(nCUENTA=1)*(COUNTIF(CONFIG_ASIGNATURAS!$B$7:$B$27,nASIG)&gt;0)*(nNOTA))/SUMPRODUCT((nNIA=G42)*(nCUENTA=1)*(COUNTIF(CONFIG_ASIGNATURAS!$B$7:$B$27,nASIG)&gt;0)*1),"")))</f>
        <v/>
      </c>
      <c r="N42" t="str">
        <f>IF(M42="","",IF(M42="[FÓRMULA MANUAL]","",IFERROR(AVERAGEIFS(nNOTA,nNIA,M42,nCUENTA,1,nASIG,"Armonía"),"")))</f>
        <v/>
      </c>
      <c r="O42" t="str">
        <f>IF(M42="","",IF(M42="[FÓRMULA MANUAL]","",IFERROR(AVERAGEIFS(nNOTA,nNIA,M42,nCUENTA,1,nASIG,"Orquesta/Banda/Conjunto"),"")))</f>
        <v/>
      </c>
      <c r="P42" t="str">
        <f>IF(M42="","",IF(M42="[FÓRMULA MANUAL]","",IFERROR(AVERAGEIFS(nNOTA,nNIA,M42,nCUENTA,1,nASIG,"Música de Cámara"),"")))</f>
        <v/>
      </c>
      <c r="Q42" t="str">
        <f>IF(M42="","",IF(M42="[FÓRMULA MANUAL]","",IFERROR(SUMPRODUCT((nNIA=M42)*(nCUENTA=1)*(COUNTIF(CONFIG_ASIGNATURAS!$B$7:$B$27,nASIG)&gt;0)*(nNOTA))/SUMPRODUCT((nNIA=M42)*(nCUENTA=1)*(COUNTIF(CONFIG_ASIGNATURAS!$B$7:$B$27,nASIG)&gt;0)*1),"")))</f>
        <v/>
      </c>
      <c r="T42" t="str">
        <f>IF(S42="","",IF(S42="[FÓRMULA MANUAL]","",IFERROR(AVERAGEIFS(nNOTA,nNIA,S42,nCUENTA,1,nASIG,"Armonía"),"")))</f>
        <v/>
      </c>
      <c r="U42" t="str">
        <f>IF(S42="","",IF(S42="[FÓRMULA MANUAL]","",IFERROR(AVERAGEIFS(nNOTA,nNIA,S42,nCUENTA,1,nASIG,"Orquesta/Banda/Conjunto"),"")))</f>
        <v/>
      </c>
      <c r="V42" t="str">
        <f>IF(S42="","",IF(S42="[FÓRMULA MANUAL]","",IFERROR(AVERAGEIFS(nNOTA,nNIA,S42,nCUENTA,1,nASIG,"Música de Cámara"),"")))</f>
        <v/>
      </c>
      <c r="W42" t="str">
        <f>IF(S42="","",IF(S42="[FÓRMULA MANUAL]","",IFERROR(SUMPRODUCT((nNIA=S42)*(nCUENTA=1)*(COUNTIF(CONFIG_ASIGNATURAS!$B$7:$B$27,nASIG)&gt;0)*(nNOTA))/SUMPRODUCT((nNIA=S42)*(nCUENTA=1)*(COUNTIF(CONFIG_ASIGNATURAS!$B$7:$B$27,nASIG)&gt;0)*1),"")))</f>
        <v/>
      </c>
      <c r="Z42" t="str">
        <f>IF(Y42="","",IF(Y42="[FÓRMULA MANUAL]","",IFERROR(AVERAGEIFS(nNOTA,nNIA,Y42,nCUENTA,1,nASIG,"Análisis"),"")))</f>
        <v/>
      </c>
      <c r="AA42" t="str">
        <f>IF(Y42="","",IF(Y42="[FÓRMULA MANUAL]","",IFERROR(AVERAGEIFS(nNOTA,nNIA,Y42,nCUENTA,1,nASIG,"Orquesta/Banda/Conjunto"),"")))</f>
        <v/>
      </c>
      <c r="AB42" t="str">
        <f>IF(Y42="","",IF(Y42="[FÓRMULA MANUAL]","",IFERROR(AVERAGEIFS(nNOTA,nNIA,Y42,nCUENTA,1,nASIG,"Música de Cámara"),"")))</f>
        <v/>
      </c>
      <c r="AC42" t="str">
        <f>IF(Y42="","",IF(Y42="[FÓRMULA MANUAL]","",IFERROR(SUMPRODUCT((nNIA=Y42)*(nCUENTA=1)*(COUNTIF(CONFIG_ASIGNATURAS!$B$7:$B$27,nASIG)&gt;0)*(nNOTA))/SUMPRODUCT((nNIA=Y42)*(nCUENTA=1)*(COUNTIF(CONFIG_ASIGNATURAS!$B$7:$B$27,nASIG)&gt;0)*1),"")))</f>
        <v/>
      </c>
      <c r="AF42" t="str">
        <f>IF(AE42="","",IF(AE42="[FÓRMULA MANUAL]","",IFERROR(AVERAGEIFS(nNOTA,nNIA,AE42,nCUENTA,1,nASIG,"Análisis"),"")))</f>
        <v/>
      </c>
      <c r="AG42" t="str">
        <f>IF(AE42="","",IF(AE42="[FÓRMULA MANUAL]","",IFERROR(AVERAGEIFS(nNOTA,nNIA,AE42,nCUENTA,1,nASIG,"Orquesta/Banda/Conjunto"),"")))</f>
        <v/>
      </c>
      <c r="AH42" t="str">
        <f>IF(AE42="","",IF(AE42="[FÓRMULA MANUAL]","",IFERROR(AVERAGEIFS(nNOTA,nNIA,AE42,nCUENTA,1,nASIG,"Música de Cámara"),"")))</f>
        <v/>
      </c>
      <c r="AI42" t="str">
        <f>IF(AE42="","",IF(AE42="[FÓRMULA MANUAL]","",IFERROR(SUMPRODUCT((nNIA=AE42)*(nCUENTA=1)*(COUNTIF(CONFIG_ASIGNATURAS!$B$7:$B$27,nASIG)&gt;0)*(nNOTA))/SUMPRODUCT((nNIA=AE42)*(nCUENTA=1)*(COUNTIF(CONFIG_ASIGNATURAS!$B$7:$B$27,nASIG)&gt;0)*1),"")))</f>
        <v/>
      </c>
    </row>
    <row r="43" spans="2:35" x14ac:dyDescent="0.2">
      <c r="B43" t="str">
        <f>IF(A43="","",IF(A43="[FÓRMULA MANUAL]","",IFERROR(AVERAGEIFS(nNOTA,nNIA,A43,nCUENTA,1,nASIG,"Lenguaje Musical"),"")))</f>
        <v/>
      </c>
      <c r="C43" t="str">
        <f>IF(A43="","",IF(A43="[FÓRMULA MANUAL]","",IFERROR(AVERAGEIFS(nNOTA,nNIA,A43,nCUENTA,1,nASIG,"Orquesta/Banda/Conjunto"),"")))</f>
        <v/>
      </c>
      <c r="D43" t="str">
        <f>IF(A43="","",IF(A43="[FÓRMULA MANUAL]","",IFERROR(AVERAGEIFS(nNOTA,nNIA,A43,nCUENTA,1,nASIG,"Conjunto"),"")))</f>
        <v/>
      </c>
      <c r="E43" t="str">
        <f>IF(A43="","",IF(A43="[FÓRMULA MANUAL]","",IFERROR(SUMPRODUCT((nNIA=A43)*(nCUENTA=1)*(COUNTIF(CONFIG_ASIGNATURAS!$B$7:$B$27,nASIG)&gt;0)*(nNOTA))/SUMPRODUCT((nNIA=A43)*(nCUENTA=1)*(COUNTIF(CONFIG_ASIGNATURAS!$B$7:$B$27,nASIG)&gt;0)*1),"")))</f>
        <v/>
      </c>
      <c r="H43" t="str">
        <f>IF(G43="","",IF(G43="[FÓRMULA MANUAL]","",IFERROR(AVERAGEIFS(nNOTA,nNIA,G43,nCUENTA,1,nASIG,"Lenguaje Musical"),"")))</f>
        <v/>
      </c>
      <c r="I43" t="str">
        <f>IF(G43="","",IF(G43="[FÓRMULA MANUAL]","",IFERROR(AVERAGEIFS(nNOTA,nNIA,G43,nCUENTA,1,nASIG,"Orquesta/Banda/Conjunto"),"")))</f>
        <v/>
      </c>
      <c r="J43" t="str">
        <f>IF(G43="","",IF(G43="[FÓRMULA MANUAL]","",IFERROR(AVERAGEIFS(nNOTA,nNIA,G43,nCUENTA,1,nASIG,"Conjunto"),"")))</f>
        <v/>
      </c>
      <c r="K43" t="str">
        <f>IF(G43="","",IF(G43="[FÓRMULA MANUAL]","",IFERROR(SUMPRODUCT((nNIA=G43)*(nCUENTA=1)*(COUNTIF(CONFIG_ASIGNATURAS!$B$7:$B$27,nASIG)&gt;0)*(nNOTA))/SUMPRODUCT((nNIA=G43)*(nCUENTA=1)*(COUNTIF(CONFIG_ASIGNATURAS!$B$7:$B$27,nASIG)&gt;0)*1),"")))</f>
        <v/>
      </c>
      <c r="N43" t="str">
        <f>IF(M43="","",IF(M43="[FÓRMULA MANUAL]","",IFERROR(AVERAGEIFS(nNOTA,nNIA,M43,nCUENTA,1,nASIG,"Armonía"),"")))</f>
        <v/>
      </c>
      <c r="O43" t="str">
        <f>IF(M43="","",IF(M43="[FÓRMULA MANUAL]","",IFERROR(AVERAGEIFS(nNOTA,nNIA,M43,nCUENTA,1,nASIG,"Orquesta/Banda/Conjunto"),"")))</f>
        <v/>
      </c>
      <c r="P43" t="str">
        <f>IF(M43="","",IF(M43="[FÓRMULA MANUAL]","",IFERROR(AVERAGEIFS(nNOTA,nNIA,M43,nCUENTA,1,nASIG,"Música de Cámara"),"")))</f>
        <v/>
      </c>
      <c r="Q43" t="str">
        <f>IF(M43="","",IF(M43="[FÓRMULA MANUAL]","",IFERROR(SUMPRODUCT((nNIA=M43)*(nCUENTA=1)*(COUNTIF(CONFIG_ASIGNATURAS!$B$7:$B$27,nASIG)&gt;0)*(nNOTA))/SUMPRODUCT((nNIA=M43)*(nCUENTA=1)*(COUNTIF(CONFIG_ASIGNATURAS!$B$7:$B$27,nASIG)&gt;0)*1),"")))</f>
        <v/>
      </c>
      <c r="T43" t="str">
        <f>IF(S43="","",IF(S43="[FÓRMULA MANUAL]","",IFERROR(AVERAGEIFS(nNOTA,nNIA,S43,nCUENTA,1,nASIG,"Armonía"),"")))</f>
        <v/>
      </c>
      <c r="U43" t="str">
        <f>IF(S43="","",IF(S43="[FÓRMULA MANUAL]","",IFERROR(AVERAGEIFS(nNOTA,nNIA,S43,nCUENTA,1,nASIG,"Orquesta/Banda/Conjunto"),"")))</f>
        <v/>
      </c>
      <c r="V43" t="str">
        <f>IF(S43="","",IF(S43="[FÓRMULA MANUAL]","",IFERROR(AVERAGEIFS(nNOTA,nNIA,S43,nCUENTA,1,nASIG,"Música de Cámara"),"")))</f>
        <v/>
      </c>
      <c r="W43" t="str">
        <f>IF(S43="","",IF(S43="[FÓRMULA MANUAL]","",IFERROR(SUMPRODUCT((nNIA=S43)*(nCUENTA=1)*(COUNTIF(CONFIG_ASIGNATURAS!$B$7:$B$27,nASIG)&gt;0)*(nNOTA))/SUMPRODUCT((nNIA=S43)*(nCUENTA=1)*(COUNTIF(CONFIG_ASIGNATURAS!$B$7:$B$27,nASIG)&gt;0)*1),"")))</f>
        <v/>
      </c>
      <c r="Z43" t="str">
        <f>IF(Y43="","",IF(Y43="[FÓRMULA MANUAL]","",IFERROR(AVERAGEIFS(nNOTA,nNIA,Y43,nCUENTA,1,nASIG,"Análisis"),"")))</f>
        <v/>
      </c>
      <c r="AA43" t="str">
        <f>IF(Y43="","",IF(Y43="[FÓRMULA MANUAL]","",IFERROR(AVERAGEIFS(nNOTA,nNIA,Y43,nCUENTA,1,nASIG,"Orquesta/Banda/Conjunto"),"")))</f>
        <v/>
      </c>
      <c r="AB43" t="str">
        <f>IF(Y43="","",IF(Y43="[FÓRMULA MANUAL]","",IFERROR(AVERAGEIFS(nNOTA,nNIA,Y43,nCUENTA,1,nASIG,"Música de Cámara"),"")))</f>
        <v/>
      </c>
      <c r="AC43" t="str">
        <f>IF(Y43="","",IF(Y43="[FÓRMULA MANUAL]","",IFERROR(SUMPRODUCT((nNIA=Y43)*(nCUENTA=1)*(COUNTIF(CONFIG_ASIGNATURAS!$B$7:$B$27,nASIG)&gt;0)*(nNOTA))/SUMPRODUCT((nNIA=Y43)*(nCUENTA=1)*(COUNTIF(CONFIG_ASIGNATURAS!$B$7:$B$27,nASIG)&gt;0)*1),"")))</f>
        <v/>
      </c>
      <c r="AF43" t="str">
        <f>IF(AE43="","",IF(AE43="[FÓRMULA MANUAL]","",IFERROR(AVERAGEIFS(nNOTA,nNIA,AE43,nCUENTA,1,nASIG,"Análisis"),"")))</f>
        <v/>
      </c>
      <c r="AG43" t="str">
        <f>IF(AE43="","",IF(AE43="[FÓRMULA MANUAL]","",IFERROR(AVERAGEIFS(nNOTA,nNIA,AE43,nCUENTA,1,nASIG,"Orquesta/Banda/Conjunto"),"")))</f>
        <v/>
      </c>
      <c r="AH43" t="str">
        <f>IF(AE43="","",IF(AE43="[FÓRMULA MANUAL]","",IFERROR(AVERAGEIFS(nNOTA,nNIA,AE43,nCUENTA,1,nASIG,"Música de Cámara"),"")))</f>
        <v/>
      </c>
      <c r="AI43" t="str">
        <f>IF(AE43="","",IF(AE43="[FÓRMULA MANUAL]","",IFERROR(SUMPRODUCT((nNIA=AE43)*(nCUENTA=1)*(COUNTIF(CONFIG_ASIGNATURAS!$B$7:$B$27,nASIG)&gt;0)*(nNOTA))/SUMPRODUCT((nNIA=AE43)*(nCUENTA=1)*(COUNTIF(CONFIG_ASIGNATURAS!$B$7:$B$27,nASIG)&gt;0)*1),"")))</f>
        <v/>
      </c>
    </row>
    <row r="44" spans="2:35" x14ac:dyDescent="0.2">
      <c r="B44" t="str">
        <f>IF(A44="","",IF(A44="[FÓRMULA MANUAL]","",IFERROR(AVERAGEIFS(nNOTA,nNIA,A44,nCUENTA,1,nASIG,"Lenguaje Musical"),"")))</f>
        <v/>
      </c>
      <c r="C44" t="str">
        <f>IF(A44="","",IF(A44="[FÓRMULA MANUAL]","",IFERROR(AVERAGEIFS(nNOTA,nNIA,A44,nCUENTA,1,nASIG,"Orquesta/Banda/Conjunto"),"")))</f>
        <v/>
      </c>
      <c r="D44" t="str">
        <f>IF(A44="","",IF(A44="[FÓRMULA MANUAL]","",IFERROR(AVERAGEIFS(nNOTA,nNIA,A44,nCUENTA,1,nASIG,"Conjunto"),"")))</f>
        <v/>
      </c>
      <c r="E44" t="str">
        <f>IF(A44="","",IF(A44="[FÓRMULA MANUAL]","",IFERROR(SUMPRODUCT((nNIA=A44)*(nCUENTA=1)*(COUNTIF(CONFIG_ASIGNATURAS!$B$7:$B$27,nASIG)&gt;0)*(nNOTA))/SUMPRODUCT((nNIA=A44)*(nCUENTA=1)*(COUNTIF(CONFIG_ASIGNATURAS!$B$7:$B$27,nASIG)&gt;0)*1),"")))</f>
        <v/>
      </c>
      <c r="H44" t="str">
        <f>IF(G44="","",IF(G44="[FÓRMULA MANUAL]","",IFERROR(AVERAGEIFS(nNOTA,nNIA,G44,nCUENTA,1,nASIG,"Lenguaje Musical"),"")))</f>
        <v/>
      </c>
      <c r="I44" t="str">
        <f>IF(G44="","",IF(G44="[FÓRMULA MANUAL]","",IFERROR(AVERAGEIFS(nNOTA,nNIA,G44,nCUENTA,1,nASIG,"Orquesta/Banda/Conjunto"),"")))</f>
        <v/>
      </c>
      <c r="J44" t="str">
        <f>IF(G44="","",IF(G44="[FÓRMULA MANUAL]","",IFERROR(AVERAGEIFS(nNOTA,nNIA,G44,nCUENTA,1,nASIG,"Conjunto"),"")))</f>
        <v/>
      </c>
      <c r="K44" t="str">
        <f>IF(G44="","",IF(G44="[FÓRMULA MANUAL]","",IFERROR(SUMPRODUCT((nNIA=G44)*(nCUENTA=1)*(COUNTIF(CONFIG_ASIGNATURAS!$B$7:$B$27,nASIG)&gt;0)*(nNOTA))/SUMPRODUCT((nNIA=G44)*(nCUENTA=1)*(COUNTIF(CONFIG_ASIGNATURAS!$B$7:$B$27,nASIG)&gt;0)*1),"")))</f>
        <v/>
      </c>
      <c r="N44" t="str">
        <f>IF(M44="","",IF(M44="[FÓRMULA MANUAL]","",IFERROR(AVERAGEIFS(nNOTA,nNIA,M44,nCUENTA,1,nASIG,"Armonía"),"")))</f>
        <v/>
      </c>
      <c r="O44" t="str">
        <f>IF(M44="","",IF(M44="[FÓRMULA MANUAL]","",IFERROR(AVERAGEIFS(nNOTA,nNIA,M44,nCUENTA,1,nASIG,"Orquesta/Banda/Conjunto"),"")))</f>
        <v/>
      </c>
      <c r="P44" t="str">
        <f>IF(M44="","",IF(M44="[FÓRMULA MANUAL]","",IFERROR(AVERAGEIFS(nNOTA,nNIA,M44,nCUENTA,1,nASIG,"Música de Cámara"),"")))</f>
        <v/>
      </c>
      <c r="Q44" t="str">
        <f>IF(M44="","",IF(M44="[FÓRMULA MANUAL]","",IFERROR(SUMPRODUCT((nNIA=M44)*(nCUENTA=1)*(COUNTIF(CONFIG_ASIGNATURAS!$B$7:$B$27,nASIG)&gt;0)*(nNOTA))/SUMPRODUCT((nNIA=M44)*(nCUENTA=1)*(COUNTIF(CONFIG_ASIGNATURAS!$B$7:$B$27,nASIG)&gt;0)*1),"")))</f>
        <v/>
      </c>
      <c r="T44" t="str">
        <f>IF(S44="","",IF(S44="[FÓRMULA MANUAL]","",IFERROR(AVERAGEIFS(nNOTA,nNIA,S44,nCUENTA,1,nASIG,"Armonía"),"")))</f>
        <v/>
      </c>
      <c r="U44" t="str">
        <f>IF(S44="","",IF(S44="[FÓRMULA MANUAL]","",IFERROR(AVERAGEIFS(nNOTA,nNIA,S44,nCUENTA,1,nASIG,"Orquesta/Banda/Conjunto"),"")))</f>
        <v/>
      </c>
      <c r="V44" t="str">
        <f>IF(S44="","",IF(S44="[FÓRMULA MANUAL]","",IFERROR(AVERAGEIFS(nNOTA,nNIA,S44,nCUENTA,1,nASIG,"Música de Cámara"),"")))</f>
        <v/>
      </c>
      <c r="W44" t="str">
        <f>IF(S44="","",IF(S44="[FÓRMULA MANUAL]","",IFERROR(SUMPRODUCT((nNIA=S44)*(nCUENTA=1)*(COUNTIF(CONFIG_ASIGNATURAS!$B$7:$B$27,nASIG)&gt;0)*(nNOTA))/SUMPRODUCT((nNIA=S44)*(nCUENTA=1)*(COUNTIF(CONFIG_ASIGNATURAS!$B$7:$B$27,nASIG)&gt;0)*1),"")))</f>
        <v/>
      </c>
      <c r="Z44" t="str">
        <f>IF(Y44="","",IF(Y44="[FÓRMULA MANUAL]","",IFERROR(AVERAGEIFS(nNOTA,nNIA,Y44,nCUENTA,1,nASIG,"Análisis"),"")))</f>
        <v/>
      </c>
      <c r="AA44" t="str">
        <f>IF(Y44="","",IF(Y44="[FÓRMULA MANUAL]","",IFERROR(AVERAGEIFS(nNOTA,nNIA,Y44,nCUENTA,1,nASIG,"Orquesta/Banda/Conjunto"),"")))</f>
        <v/>
      </c>
      <c r="AB44" t="str">
        <f>IF(Y44="","",IF(Y44="[FÓRMULA MANUAL]","",IFERROR(AVERAGEIFS(nNOTA,nNIA,Y44,nCUENTA,1,nASIG,"Música de Cámara"),"")))</f>
        <v/>
      </c>
      <c r="AC44" t="str">
        <f>IF(Y44="","",IF(Y44="[FÓRMULA MANUAL]","",IFERROR(SUMPRODUCT((nNIA=Y44)*(nCUENTA=1)*(COUNTIF(CONFIG_ASIGNATURAS!$B$7:$B$27,nASIG)&gt;0)*(nNOTA))/SUMPRODUCT((nNIA=Y44)*(nCUENTA=1)*(COUNTIF(CONFIG_ASIGNATURAS!$B$7:$B$27,nASIG)&gt;0)*1),"")))</f>
        <v/>
      </c>
      <c r="AF44" t="str">
        <f>IF(AE44="","",IF(AE44="[FÓRMULA MANUAL]","",IFERROR(AVERAGEIFS(nNOTA,nNIA,AE44,nCUENTA,1,nASIG,"Análisis"),"")))</f>
        <v/>
      </c>
      <c r="AG44" t="str">
        <f>IF(AE44="","",IF(AE44="[FÓRMULA MANUAL]","",IFERROR(AVERAGEIFS(nNOTA,nNIA,AE44,nCUENTA,1,nASIG,"Orquesta/Banda/Conjunto"),"")))</f>
        <v/>
      </c>
      <c r="AH44" t="str">
        <f>IF(AE44="","",IF(AE44="[FÓRMULA MANUAL]","",IFERROR(AVERAGEIFS(nNOTA,nNIA,AE44,nCUENTA,1,nASIG,"Música de Cámara"),"")))</f>
        <v/>
      </c>
      <c r="AI44" t="str">
        <f>IF(AE44="","",IF(AE44="[FÓRMULA MANUAL]","",IFERROR(SUMPRODUCT((nNIA=AE44)*(nCUENTA=1)*(COUNTIF(CONFIG_ASIGNATURAS!$B$7:$B$27,nASIG)&gt;0)*(nNOTA))/SUMPRODUCT((nNIA=AE44)*(nCUENTA=1)*(COUNTIF(CONFIG_ASIGNATURAS!$B$7:$B$27,nASIG)&gt;0)*1),"")))</f>
        <v/>
      </c>
    </row>
    <row r="45" spans="2:35" x14ac:dyDescent="0.2">
      <c r="B45" t="str">
        <f>IF(A45="","",IF(A45="[FÓRMULA MANUAL]","",IFERROR(AVERAGEIFS(nNOTA,nNIA,A45,nCUENTA,1,nASIG,"Lenguaje Musical"),"")))</f>
        <v/>
      </c>
      <c r="C45" t="str">
        <f>IF(A45="","",IF(A45="[FÓRMULA MANUAL]","",IFERROR(AVERAGEIFS(nNOTA,nNIA,A45,nCUENTA,1,nASIG,"Orquesta/Banda/Conjunto"),"")))</f>
        <v/>
      </c>
      <c r="D45" t="str">
        <f>IF(A45="","",IF(A45="[FÓRMULA MANUAL]","",IFERROR(AVERAGEIFS(nNOTA,nNIA,A45,nCUENTA,1,nASIG,"Conjunto"),"")))</f>
        <v/>
      </c>
      <c r="E45" t="str">
        <f>IF(A45="","",IF(A45="[FÓRMULA MANUAL]","",IFERROR(SUMPRODUCT((nNIA=A45)*(nCUENTA=1)*(COUNTIF(CONFIG_ASIGNATURAS!$B$7:$B$27,nASIG)&gt;0)*(nNOTA))/SUMPRODUCT((nNIA=A45)*(nCUENTA=1)*(COUNTIF(CONFIG_ASIGNATURAS!$B$7:$B$27,nASIG)&gt;0)*1),"")))</f>
        <v/>
      </c>
      <c r="H45" t="str">
        <f>IF(G45="","",IF(G45="[FÓRMULA MANUAL]","",IFERROR(AVERAGEIFS(nNOTA,nNIA,G45,nCUENTA,1,nASIG,"Lenguaje Musical"),"")))</f>
        <v/>
      </c>
      <c r="I45" t="str">
        <f>IF(G45="","",IF(G45="[FÓRMULA MANUAL]","",IFERROR(AVERAGEIFS(nNOTA,nNIA,G45,nCUENTA,1,nASIG,"Orquesta/Banda/Conjunto"),"")))</f>
        <v/>
      </c>
      <c r="J45" t="str">
        <f>IF(G45="","",IF(G45="[FÓRMULA MANUAL]","",IFERROR(AVERAGEIFS(nNOTA,nNIA,G45,nCUENTA,1,nASIG,"Conjunto"),"")))</f>
        <v/>
      </c>
      <c r="K45" t="str">
        <f>IF(G45="","",IF(G45="[FÓRMULA MANUAL]","",IFERROR(SUMPRODUCT((nNIA=G45)*(nCUENTA=1)*(COUNTIF(CONFIG_ASIGNATURAS!$B$7:$B$27,nASIG)&gt;0)*(nNOTA))/SUMPRODUCT((nNIA=G45)*(nCUENTA=1)*(COUNTIF(CONFIG_ASIGNATURAS!$B$7:$B$27,nASIG)&gt;0)*1),"")))</f>
        <v/>
      </c>
      <c r="N45" t="str">
        <f>IF(M45="","",IF(M45="[FÓRMULA MANUAL]","",IFERROR(AVERAGEIFS(nNOTA,nNIA,M45,nCUENTA,1,nASIG,"Armonía"),"")))</f>
        <v/>
      </c>
      <c r="O45" t="str">
        <f>IF(M45="","",IF(M45="[FÓRMULA MANUAL]","",IFERROR(AVERAGEIFS(nNOTA,nNIA,M45,nCUENTA,1,nASIG,"Orquesta/Banda/Conjunto"),"")))</f>
        <v/>
      </c>
      <c r="P45" t="str">
        <f>IF(M45="","",IF(M45="[FÓRMULA MANUAL]","",IFERROR(AVERAGEIFS(nNOTA,nNIA,M45,nCUENTA,1,nASIG,"Música de Cámara"),"")))</f>
        <v/>
      </c>
      <c r="Q45" t="str">
        <f>IF(M45="","",IF(M45="[FÓRMULA MANUAL]","",IFERROR(SUMPRODUCT((nNIA=M45)*(nCUENTA=1)*(COUNTIF(CONFIG_ASIGNATURAS!$B$7:$B$27,nASIG)&gt;0)*(nNOTA))/SUMPRODUCT((nNIA=M45)*(nCUENTA=1)*(COUNTIF(CONFIG_ASIGNATURAS!$B$7:$B$27,nASIG)&gt;0)*1),"")))</f>
        <v/>
      </c>
      <c r="T45" t="str">
        <f>IF(S45="","",IF(S45="[FÓRMULA MANUAL]","",IFERROR(AVERAGEIFS(nNOTA,nNIA,S45,nCUENTA,1,nASIG,"Armonía"),"")))</f>
        <v/>
      </c>
      <c r="U45" t="str">
        <f>IF(S45="","",IF(S45="[FÓRMULA MANUAL]","",IFERROR(AVERAGEIFS(nNOTA,nNIA,S45,nCUENTA,1,nASIG,"Orquesta/Banda/Conjunto"),"")))</f>
        <v/>
      </c>
      <c r="V45" t="str">
        <f>IF(S45="","",IF(S45="[FÓRMULA MANUAL]","",IFERROR(AVERAGEIFS(nNOTA,nNIA,S45,nCUENTA,1,nASIG,"Música de Cámara"),"")))</f>
        <v/>
      </c>
      <c r="W45" t="str">
        <f>IF(S45="","",IF(S45="[FÓRMULA MANUAL]","",IFERROR(SUMPRODUCT((nNIA=S45)*(nCUENTA=1)*(COUNTIF(CONFIG_ASIGNATURAS!$B$7:$B$27,nASIG)&gt;0)*(nNOTA))/SUMPRODUCT((nNIA=S45)*(nCUENTA=1)*(COUNTIF(CONFIG_ASIGNATURAS!$B$7:$B$27,nASIG)&gt;0)*1),"")))</f>
        <v/>
      </c>
      <c r="Z45" t="str">
        <f>IF(Y45="","",IF(Y45="[FÓRMULA MANUAL]","",IFERROR(AVERAGEIFS(nNOTA,nNIA,Y45,nCUENTA,1,nASIG,"Análisis"),"")))</f>
        <v/>
      </c>
      <c r="AA45" t="str">
        <f>IF(Y45="","",IF(Y45="[FÓRMULA MANUAL]","",IFERROR(AVERAGEIFS(nNOTA,nNIA,Y45,nCUENTA,1,nASIG,"Orquesta/Banda/Conjunto"),"")))</f>
        <v/>
      </c>
      <c r="AB45" t="str">
        <f>IF(Y45="","",IF(Y45="[FÓRMULA MANUAL]","",IFERROR(AVERAGEIFS(nNOTA,nNIA,Y45,nCUENTA,1,nASIG,"Música de Cámara"),"")))</f>
        <v/>
      </c>
      <c r="AC45" t="str">
        <f>IF(Y45="","",IF(Y45="[FÓRMULA MANUAL]","",IFERROR(SUMPRODUCT((nNIA=Y45)*(nCUENTA=1)*(COUNTIF(CONFIG_ASIGNATURAS!$B$7:$B$27,nASIG)&gt;0)*(nNOTA))/SUMPRODUCT((nNIA=Y45)*(nCUENTA=1)*(COUNTIF(CONFIG_ASIGNATURAS!$B$7:$B$27,nASIG)&gt;0)*1),"")))</f>
        <v/>
      </c>
      <c r="AF45" t="str">
        <f>IF(AE45="","",IF(AE45="[FÓRMULA MANUAL]","",IFERROR(AVERAGEIFS(nNOTA,nNIA,AE45,nCUENTA,1,nASIG,"Análisis"),"")))</f>
        <v/>
      </c>
      <c r="AG45" t="str">
        <f>IF(AE45="","",IF(AE45="[FÓRMULA MANUAL]","",IFERROR(AVERAGEIFS(nNOTA,nNIA,AE45,nCUENTA,1,nASIG,"Orquesta/Banda/Conjunto"),"")))</f>
        <v/>
      </c>
      <c r="AH45" t="str">
        <f>IF(AE45="","",IF(AE45="[FÓRMULA MANUAL]","",IFERROR(AVERAGEIFS(nNOTA,nNIA,AE45,nCUENTA,1,nASIG,"Música de Cámara"),"")))</f>
        <v/>
      </c>
      <c r="AI45" t="str">
        <f>IF(AE45="","",IF(AE45="[FÓRMULA MANUAL]","",IFERROR(SUMPRODUCT((nNIA=AE45)*(nCUENTA=1)*(COUNTIF(CONFIG_ASIGNATURAS!$B$7:$B$27,nASIG)&gt;0)*(nNOTA))/SUMPRODUCT((nNIA=AE45)*(nCUENTA=1)*(COUNTIF(CONFIG_ASIGNATURAS!$B$7:$B$27,nASIG)&gt;0)*1),"")))</f>
        <v/>
      </c>
    </row>
    <row r="46" spans="2:35" x14ac:dyDescent="0.2">
      <c r="B46" t="str">
        <f>IF(A46="","",IF(A46="[FÓRMULA MANUAL]","",IFERROR(AVERAGEIFS(nNOTA,nNIA,A46,nCUENTA,1,nASIG,"Lenguaje Musical"),"")))</f>
        <v/>
      </c>
      <c r="C46" t="str">
        <f>IF(A46="","",IF(A46="[FÓRMULA MANUAL]","",IFERROR(AVERAGEIFS(nNOTA,nNIA,A46,nCUENTA,1,nASIG,"Orquesta/Banda/Conjunto"),"")))</f>
        <v/>
      </c>
      <c r="D46" t="str">
        <f>IF(A46="","",IF(A46="[FÓRMULA MANUAL]","",IFERROR(AVERAGEIFS(nNOTA,nNIA,A46,nCUENTA,1,nASIG,"Conjunto"),"")))</f>
        <v/>
      </c>
      <c r="E46" t="str">
        <f>IF(A46="","",IF(A46="[FÓRMULA MANUAL]","",IFERROR(SUMPRODUCT((nNIA=A46)*(nCUENTA=1)*(COUNTIF(CONFIG_ASIGNATURAS!$B$7:$B$27,nASIG)&gt;0)*(nNOTA))/SUMPRODUCT((nNIA=A46)*(nCUENTA=1)*(COUNTIF(CONFIG_ASIGNATURAS!$B$7:$B$27,nASIG)&gt;0)*1),"")))</f>
        <v/>
      </c>
      <c r="H46" t="str">
        <f>IF(G46="","",IF(G46="[FÓRMULA MANUAL]","",IFERROR(AVERAGEIFS(nNOTA,nNIA,G46,nCUENTA,1,nASIG,"Lenguaje Musical"),"")))</f>
        <v/>
      </c>
      <c r="I46" t="str">
        <f>IF(G46="","",IF(G46="[FÓRMULA MANUAL]","",IFERROR(AVERAGEIFS(nNOTA,nNIA,G46,nCUENTA,1,nASIG,"Orquesta/Banda/Conjunto"),"")))</f>
        <v/>
      </c>
      <c r="J46" t="str">
        <f>IF(G46="","",IF(G46="[FÓRMULA MANUAL]","",IFERROR(AVERAGEIFS(nNOTA,nNIA,G46,nCUENTA,1,nASIG,"Conjunto"),"")))</f>
        <v/>
      </c>
      <c r="K46" t="str">
        <f>IF(G46="","",IF(G46="[FÓRMULA MANUAL]","",IFERROR(SUMPRODUCT((nNIA=G46)*(nCUENTA=1)*(COUNTIF(CONFIG_ASIGNATURAS!$B$7:$B$27,nASIG)&gt;0)*(nNOTA))/SUMPRODUCT((nNIA=G46)*(nCUENTA=1)*(COUNTIF(CONFIG_ASIGNATURAS!$B$7:$B$27,nASIG)&gt;0)*1),"")))</f>
        <v/>
      </c>
      <c r="N46" t="str">
        <f>IF(M46="","",IF(M46="[FÓRMULA MANUAL]","",IFERROR(AVERAGEIFS(nNOTA,nNIA,M46,nCUENTA,1,nASIG,"Armonía"),"")))</f>
        <v/>
      </c>
      <c r="O46" t="str">
        <f>IF(M46="","",IF(M46="[FÓRMULA MANUAL]","",IFERROR(AVERAGEIFS(nNOTA,nNIA,M46,nCUENTA,1,nASIG,"Orquesta/Banda/Conjunto"),"")))</f>
        <v/>
      </c>
      <c r="P46" t="str">
        <f>IF(M46="","",IF(M46="[FÓRMULA MANUAL]","",IFERROR(AVERAGEIFS(nNOTA,nNIA,M46,nCUENTA,1,nASIG,"Música de Cámara"),"")))</f>
        <v/>
      </c>
      <c r="Q46" t="str">
        <f>IF(M46="","",IF(M46="[FÓRMULA MANUAL]","",IFERROR(SUMPRODUCT((nNIA=M46)*(nCUENTA=1)*(COUNTIF(CONFIG_ASIGNATURAS!$B$7:$B$27,nASIG)&gt;0)*(nNOTA))/SUMPRODUCT((nNIA=M46)*(nCUENTA=1)*(COUNTIF(CONFIG_ASIGNATURAS!$B$7:$B$27,nASIG)&gt;0)*1),"")))</f>
        <v/>
      </c>
      <c r="T46" t="str">
        <f>IF(S46="","",IF(S46="[FÓRMULA MANUAL]","",IFERROR(AVERAGEIFS(nNOTA,nNIA,S46,nCUENTA,1,nASIG,"Armonía"),"")))</f>
        <v/>
      </c>
      <c r="U46" t="str">
        <f>IF(S46="","",IF(S46="[FÓRMULA MANUAL]","",IFERROR(AVERAGEIFS(nNOTA,nNIA,S46,nCUENTA,1,nASIG,"Orquesta/Banda/Conjunto"),"")))</f>
        <v/>
      </c>
      <c r="V46" t="str">
        <f>IF(S46="","",IF(S46="[FÓRMULA MANUAL]","",IFERROR(AVERAGEIFS(nNOTA,nNIA,S46,nCUENTA,1,nASIG,"Música de Cámara"),"")))</f>
        <v/>
      </c>
      <c r="W46" t="str">
        <f>IF(S46="","",IF(S46="[FÓRMULA MANUAL]","",IFERROR(SUMPRODUCT((nNIA=S46)*(nCUENTA=1)*(COUNTIF(CONFIG_ASIGNATURAS!$B$7:$B$27,nASIG)&gt;0)*(nNOTA))/SUMPRODUCT((nNIA=S46)*(nCUENTA=1)*(COUNTIF(CONFIG_ASIGNATURAS!$B$7:$B$27,nASIG)&gt;0)*1),"")))</f>
        <v/>
      </c>
      <c r="Z46" t="str">
        <f>IF(Y46="","",IF(Y46="[FÓRMULA MANUAL]","",IFERROR(AVERAGEIFS(nNOTA,nNIA,Y46,nCUENTA,1,nASIG,"Análisis"),"")))</f>
        <v/>
      </c>
      <c r="AA46" t="str">
        <f>IF(Y46="","",IF(Y46="[FÓRMULA MANUAL]","",IFERROR(AVERAGEIFS(nNOTA,nNIA,Y46,nCUENTA,1,nASIG,"Orquesta/Banda/Conjunto"),"")))</f>
        <v/>
      </c>
      <c r="AB46" t="str">
        <f>IF(Y46="","",IF(Y46="[FÓRMULA MANUAL]","",IFERROR(AVERAGEIFS(nNOTA,nNIA,Y46,nCUENTA,1,nASIG,"Música de Cámara"),"")))</f>
        <v/>
      </c>
      <c r="AC46" t="str">
        <f>IF(Y46="","",IF(Y46="[FÓRMULA MANUAL]","",IFERROR(SUMPRODUCT((nNIA=Y46)*(nCUENTA=1)*(COUNTIF(CONFIG_ASIGNATURAS!$B$7:$B$27,nASIG)&gt;0)*(nNOTA))/SUMPRODUCT((nNIA=Y46)*(nCUENTA=1)*(COUNTIF(CONFIG_ASIGNATURAS!$B$7:$B$27,nASIG)&gt;0)*1),"")))</f>
        <v/>
      </c>
      <c r="AF46" t="str">
        <f>IF(AE46="","",IF(AE46="[FÓRMULA MANUAL]","",IFERROR(AVERAGEIFS(nNOTA,nNIA,AE46,nCUENTA,1,nASIG,"Análisis"),"")))</f>
        <v/>
      </c>
      <c r="AG46" t="str">
        <f>IF(AE46="","",IF(AE46="[FÓRMULA MANUAL]","",IFERROR(AVERAGEIFS(nNOTA,nNIA,AE46,nCUENTA,1,nASIG,"Orquesta/Banda/Conjunto"),"")))</f>
        <v/>
      </c>
      <c r="AH46" t="str">
        <f>IF(AE46="","",IF(AE46="[FÓRMULA MANUAL]","",IFERROR(AVERAGEIFS(nNOTA,nNIA,AE46,nCUENTA,1,nASIG,"Música de Cámara"),"")))</f>
        <v/>
      </c>
      <c r="AI46" t="str">
        <f>IF(AE46="","",IF(AE46="[FÓRMULA MANUAL]","",IFERROR(SUMPRODUCT((nNIA=AE46)*(nCUENTA=1)*(COUNTIF(CONFIG_ASIGNATURAS!$B$7:$B$27,nASIG)&gt;0)*(nNOTA))/SUMPRODUCT((nNIA=AE46)*(nCUENTA=1)*(COUNTIF(CONFIG_ASIGNATURAS!$B$7:$B$27,nASIG)&gt;0)*1),"")))</f>
        <v/>
      </c>
    </row>
    <row r="47" spans="2:35" x14ac:dyDescent="0.2">
      <c r="B47" t="str">
        <f>IF(A47="","",IF(A47="[FÓRMULA MANUAL]","",IFERROR(AVERAGEIFS(nNOTA,nNIA,A47,nCUENTA,1,nASIG,"Lenguaje Musical"),"")))</f>
        <v/>
      </c>
      <c r="C47" t="str">
        <f>IF(A47="","",IF(A47="[FÓRMULA MANUAL]","",IFERROR(AVERAGEIFS(nNOTA,nNIA,A47,nCUENTA,1,nASIG,"Orquesta/Banda/Conjunto"),"")))</f>
        <v/>
      </c>
      <c r="D47" t="str">
        <f>IF(A47="","",IF(A47="[FÓRMULA MANUAL]","",IFERROR(AVERAGEIFS(nNOTA,nNIA,A47,nCUENTA,1,nASIG,"Conjunto"),"")))</f>
        <v/>
      </c>
      <c r="E47" t="str">
        <f>IF(A47="","",IF(A47="[FÓRMULA MANUAL]","",IFERROR(SUMPRODUCT((nNIA=A47)*(nCUENTA=1)*(COUNTIF(CONFIG_ASIGNATURAS!$B$7:$B$27,nASIG)&gt;0)*(nNOTA))/SUMPRODUCT((nNIA=A47)*(nCUENTA=1)*(COUNTIF(CONFIG_ASIGNATURAS!$B$7:$B$27,nASIG)&gt;0)*1),"")))</f>
        <v/>
      </c>
      <c r="H47" t="str">
        <f>IF(G47="","",IF(G47="[FÓRMULA MANUAL]","",IFERROR(AVERAGEIFS(nNOTA,nNIA,G47,nCUENTA,1,nASIG,"Lenguaje Musical"),"")))</f>
        <v/>
      </c>
      <c r="I47" t="str">
        <f>IF(G47="","",IF(G47="[FÓRMULA MANUAL]","",IFERROR(AVERAGEIFS(nNOTA,nNIA,G47,nCUENTA,1,nASIG,"Orquesta/Banda/Conjunto"),"")))</f>
        <v/>
      </c>
      <c r="J47" t="str">
        <f>IF(G47="","",IF(G47="[FÓRMULA MANUAL]","",IFERROR(AVERAGEIFS(nNOTA,nNIA,G47,nCUENTA,1,nASIG,"Conjunto"),"")))</f>
        <v/>
      </c>
      <c r="K47" t="str">
        <f>IF(G47="","",IF(G47="[FÓRMULA MANUAL]","",IFERROR(SUMPRODUCT((nNIA=G47)*(nCUENTA=1)*(COUNTIF(CONFIG_ASIGNATURAS!$B$7:$B$27,nASIG)&gt;0)*(nNOTA))/SUMPRODUCT((nNIA=G47)*(nCUENTA=1)*(COUNTIF(CONFIG_ASIGNATURAS!$B$7:$B$27,nASIG)&gt;0)*1),"")))</f>
        <v/>
      </c>
      <c r="N47" t="str">
        <f>IF(M47="","",IF(M47="[FÓRMULA MANUAL]","",IFERROR(AVERAGEIFS(nNOTA,nNIA,M47,nCUENTA,1,nASIG,"Armonía"),"")))</f>
        <v/>
      </c>
      <c r="O47" t="str">
        <f>IF(M47="","",IF(M47="[FÓRMULA MANUAL]","",IFERROR(AVERAGEIFS(nNOTA,nNIA,M47,nCUENTA,1,nASIG,"Orquesta/Banda/Conjunto"),"")))</f>
        <v/>
      </c>
      <c r="P47" t="str">
        <f>IF(M47="","",IF(M47="[FÓRMULA MANUAL]","",IFERROR(AVERAGEIFS(nNOTA,nNIA,M47,nCUENTA,1,nASIG,"Música de Cámara"),"")))</f>
        <v/>
      </c>
      <c r="Q47" t="str">
        <f>IF(M47="","",IF(M47="[FÓRMULA MANUAL]","",IFERROR(SUMPRODUCT((nNIA=M47)*(nCUENTA=1)*(COUNTIF(CONFIG_ASIGNATURAS!$B$7:$B$27,nASIG)&gt;0)*(nNOTA))/SUMPRODUCT((nNIA=M47)*(nCUENTA=1)*(COUNTIF(CONFIG_ASIGNATURAS!$B$7:$B$27,nASIG)&gt;0)*1),"")))</f>
        <v/>
      </c>
      <c r="T47" t="str">
        <f>IF(S47="","",IF(S47="[FÓRMULA MANUAL]","",IFERROR(AVERAGEIFS(nNOTA,nNIA,S47,nCUENTA,1,nASIG,"Armonía"),"")))</f>
        <v/>
      </c>
      <c r="U47" t="str">
        <f>IF(S47="","",IF(S47="[FÓRMULA MANUAL]","",IFERROR(AVERAGEIFS(nNOTA,nNIA,S47,nCUENTA,1,nASIG,"Orquesta/Banda/Conjunto"),"")))</f>
        <v/>
      </c>
      <c r="V47" t="str">
        <f>IF(S47="","",IF(S47="[FÓRMULA MANUAL]","",IFERROR(AVERAGEIFS(nNOTA,nNIA,S47,nCUENTA,1,nASIG,"Música de Cámara"),"")))</f>
        <v/>
      </c>
      <c r="W47" t="str">
        <f>IF(S47="","",IF(S47="[FÓRMULA MANUAL]","",IFERROR(SUMPRODUCT((nNIA=S47)*(nCUENTA=1)*(COUNTIF(CONFIG_ASIGNATURAS!$B$7:$B$27,nASIG)&gt;0)*(nNOTA))/SUMPRODUCT((nNIA=S47)*(nCUENTA=1)*(COUNTIF(CONFIG_ASIGNATURAS!$B$7:$B$27,nASIG)&gt;0)*1),"")))</f>
        <v/>
      </c>
      <c r="Z47" t="str">
        <f>IF(Y47="","",IF(Y47="[FÓRMULA MANUAL]","",IFERROR(AVERAGEIFS(nNOTA,nNIA,Y47,nCUENTA,1,nASIG,"Análisis"),"")))</f>
        <v/>
      </c>
      <c r="AA47" t="str">
        <f>IF(Y47="","",IF(Y47="[FÓRMULA MANUAL]","",IFERROR(AVERAGEIFS(nNOTA,nNIA,Y47,nCUENTA,1,nASIG,"Orquesta/Banda/Conjunto"),"")))</f>
        <v/>
      </c>
      <c r="AB47" t="str">
        <f>IF(Y47="","",IF(Y47="[FÓRMULA MANUAL]","",IFERROR(AVERAGEIFS(nNOTA,nNIA,Y47,nCUENTA,1,nASIG,"Música de Cámara"),"")))</f>
        <v/>
      </c>
      <c r="AC47" t="str">
        <f>IF(Y47="","",IF(Y47="[FÓRMULA MANUAL]","",IFERROR(SUMPRODUCT((nNIA=Y47)*(nCUENTA=1)*(COUNTIF(CONFIG_ASIGNATURAS!$B$7:$B$27,nASIG)&gt;0)*(nNOTA))/SUMPRODUCT((nNIA=Y47)*(nCUENTA=1)*(COUNTIF(CONFIG_ASIGNATURAS!$B$7:$B$27,nASIG)&gt;0)*1),"")))</f>
        <v/>
      </c>
      <c r="AF47" t="str">
        <f>IF(AE47="","",IF(AE47="[FÓRMULA MANUAL]","",IFERROR(AVERAGEIFS(nNOTA,nNIA,AE47,nCUENTA,1,nASIG,"Análisis"),"")))</f>
        <v/>
      </c>
      <c r="AG47" t="str">
        <f>IF(AE47="","",IF(AE47="[FÓRMULA MANUAL]","",IFERROR(AVERAGEIFS(nNOTA,nNIA,AE47,nCUENTA,1,nASIG,"Orquesta/Banda/Conjunto"),"")))</f>
        <v/>
      </c>
      <c r="AH47" t="str">
        <f>IF(AE47="","",IF(AE47="[FÓRMULA MANUAL]","",IFERROR(AVERAGEIFS(nNOTA,nNIA,AE47,nCUENTA,1,nASIG,"Música de Cámara"),"")))</f>
        <v/>
      </c>
      <c r="AI47" t="str">
        <f>IF(AE47="","",IF(AE47="[FÓRMULA MANUAL]","",IFERROR(SUMPRODUCT((nNIA=AE47)*(nCUENTA=1)*(COUNTIF(CONFIG_ASIGNATURAS!$B$7:$B$27,nASIG)&gt;0)*(nNOTA))/SUMPRODUCT((nNIA=AE47)*(nCUENTA=1)*(COUNTIF(CONFIG_ASIGNATURAS!$B$7:$B$27,nASIG)&gt;0)*1),"")))</f>
        <v/>
      </c>
    </row>
    <row r="48" spans="2:35" x14ac:dyDescent="0.2">
      <c r="B48" t="str">
        <f>IF(A48="","",IF(A48="[FÓRMULA MANUAL]","",IFERROR(AVERAGEIFS(nNOTA,nNIA,A48,nCUENTA,1,nASIG,"Lenguaje Musical"),"")))</f>
        <v/>
      </c>
      <c r="C48" t="str">
        <f>IF(A48="","",IF(A48="[FÓRMULA MANUAL]","",IFERROR(AVERAGEIFS(nNOTA,nNIA,A48,nCUENTA,1,nASIG,"Orquesta/Banda/Conjunto"),"")))</f>
        <v/>
      </c>
      <c r="D48" t="str">
        <f>IF(A48="","",IF(A48="[FÓRMULA MANUAL]","",IFERROR(AVERAGEIFS(nNOTA,nNIA,A48,nCUENTA,1,nASIG,"Conjunto"),"")))</f>
        <v/>
      </c>
      <c r="E48" t="str">
        <f>IF(A48="","",IF(A48="[FÓRMULA MANUAL]","",IFERROR(SUMPRODUCT((nNIA=A48)*(nCUENTA=1)*(COUNTIF(CONFIG_ASIGNATURAS!$B$7:$B$27,nASIG)&gt;0)*(nNOTA))/SUMPRODUCT((nNIA=A48)*(nCUENTA=1)*(COUNTIF(CONFIG_ASIGNATURAS!$B$7:$B$27,nASIG)&gt;0)*1),"")))</f>
        <v/>
      </c>
      <c r="H48" t="str">
        <f>IF(G48="","",IF(G48="[FÓRMULA MANUAL]","",IFERROR(AVERAGEIFS(nNOTA,nNIA,G48,nCUENTA,1,nASIG,"Lenguaje Musical"),"")))</f>
        <v/>
      </c>
      <c r="I48" t="str">
        <f>IF(G48="","",IF(G48="[FÓRMULA MANUAL]","",IFERROR(AVERAGEIFS(nNOTA,nNIA,G48,nCUENTA,1,nASIG,"Orquesta/Banda/Conjunto"),"")))</f>
        <v/>
      </c>
      <c r="J48" t="str">
        <f>IF(G48="","",IF(G48="[FÓRMULA MANUAL]","",IFERROR(AVERAGEIFS(nNOTA,nNIA,G48,nCUENTA,1,nASIG,"Conjunto"),"")))</f>
        <v/>
      </c>
      <c r="K48" t="str">
        <f>IF(G48="","",IF(G48="[FÓRMULA MANUAL]","",IFERROR(SUMPRODUCT((nNIA=G48)*(nCUENTA=1)*(COUNTIF(CONFIG_ASIGNATURAS!$B$7:$B$27,nASIG)&gt;0)*(nNOTA))/SUMPRODUCT((nNIA=G48)*(nCUENTA=1)*(COUNTIF(CONFIG_ASIGNATURAS!$B$7:$B$27,nASIG)&gt;0)*1),"")))</f>
        <v/>
      </c>
      <c r="N48" t="str">
        <f>IF(M48="","",IF(M48="[FÓRMULA MANUAL]","",IFERROR(AVERAGEIFS(nNOTA,nNIA,M48,nCUENTA,1,nASIG,"Armonía"),"")))</f>
        <v/>
      </c>
      <c r="O48" t="str">
        <f>IF(M48="","",IF(M48="[FÓRMULA MANUAL]","",IFERROR(AVERAGEIFS(nNOTA,nNIA,M48,nCUENTA,1,nASIG,"Orquesta/Banda/Conjunto"),"")))</f>
        <v/>
      </c>
      <c r="P48" t="str">
        <f>IF(M48="","",IF(M48="[FÓRMULA MANUAL]","",IFERROR(AVERAGEIFS(nNOTA,nNIA,M48,nCUENTA,1,nASIG,"Música de Cámara"),"")))</f>
        <v/>
      </c>
      <c r="Q48" t="str">
        <f>IF(M48="","",IF(M48="[FÓRMULA MANUAL]","",IFERROR(SUMPRODUCT((nNIA=M48)*(nCUENTA=1)*(COUNTIF(CONFIG_ASIGNATURAS!$B$7:$B$27,nASIG)&gt;0)*(nNOTA))/SUMPRODUCT((nNIA=M48)*(nCUENTA=1)*(COUNTIF(CONFIG_ASIGNATURAS!$B$7:$B$27,nASIG)&gt;0)*1),"")))</f>
        <v/>
      </c>
      <c r="T48" t="str">
        <f>IF(S48="","",IF(S48="[FÓRMULA MANUAL]","",IFERROR(AVERAGEIFS(nNOTA,nNIA,S48,nCUENTA,1,nASIG,"Armonía"),"")))</f>
        <v/>
      </c>
      <c r="U48" t="str">
        <f>IF(S48="","",IF(S48="[FÓRMULA MANUAL]","",IFERROR(AVERAGEIFS(nNOTA,nNIA,S48,nCUENTA,1,nASIG,"Orquesta/Banda/Conjunto"),"")))</f>
        <v/>
      </c>
      <c r="V48" t="str">
        <f>IF(S48="","",IF(S48="[FÓRMULA MANUAL]","",IFERROR(AVERAGEIFS(nNOTA,nNIA,S48,nCUENTA,1,nASIG,"Música de Cámara"),"")))</f>
        <v/>
      </c>
      <c r="W48" t="str">
        <f>IF(S48="","",IF(S48="[FÓRMULA MANUAL]","",IFERROR(SUMPRODUCT((nNIA=S48)*(nCUENTA=1)*(COUNTIF(CONFIG_ASIGNATURAS!$B$7:$B$27,nASIG)&gt;0)*(nNOTA))/SUMPRODUCT((nNIA=S48)*(nCUENTA=1)*(COUNTIF(CONFIG_ASIGNATURAS!$B$7:$B$27,nASIG)&gt;0)*1),"")))</f>
        <v/>
      </c>
      <c r="Z48" t="str">
        <f>IF(Y48="","",IF(Y48="[FÓRMULA MANUAL]","",IFERROR(AVERAGEIFS(nNOTA,nNIA,Y48,nCUENTA,1,nASIG,"Análisis"),"")))</f>
        <v/>
      </c>
      <c r="AA48" t="str">
        <f>IF(Y48="","",IF(Y48="[FÓRMULA MANUAL]","",IFERROR(AVERAGEIFS(nNOTA,nNIA,Y48,nCUENTA,1,nASIG,"Orquesta/Banda/Conjunto"),"")))</f>
        <v/>
      </c>
      <c r="AB48" t="str">
        <f>IF(Y48="","",IF(Y48="[FÓRMULA MANUAL]","",IFERROR(AVERAGEIFS(nNOTA,nNIA,Y48,nCUENTA,1,nASIG,"Música de Cámara"),"")))</f>
        <v/>
      </c>
      <c r="AC48" t="str">
        <f>IF(Y48="","",IF(Y48="[FÓRMULA MANUAL]","",IFERROR(SUMPRODUCT((nNIA=Y48)*(nCUENTA=1)*(COUNTIF(CONFIG_ASIGNATURAS!$B$7:$B$27,nASIG)&gt;0)*(nNOTA))/SUMPRODUCT((nNIA=Y48)*(nCUENTA=1)*(COUNTIF(CONFIG_ASIGNATURAS!$B$7:$B$27,nASIG)&gt;0)*1),"")))</f>
        <v/>
      </c>
      <c r="AF48" t="str">
        <f>IF(AE48="","",IF(AE48="[FÓRMULA MANUAL]","",IFERROR(AVERAGEIFS(nNOTA,nNIA,AE48,nCUENTA,1,nASIG,"Análisis"),"")))</f>
        <v/>
      </c>
      <c r="AG48" t="str">
        <f>IF(AE48="","",IF(AE48="[FÓRMULA MANUAL]","",IFERROR(AVERAGEIFS(nNOTA,nNIA,AE48,nCUENTA,1,nASIG,"Orquesta/Banda/Conjunto"),"")))</f>
        <v/>
      </c>
      <c r="AH48" t="str">
        <f>IF(AE48="","",IF(AE48="[FÓRMULA MANUAL]","",IFERROR(AVERAGEIFS(nNOTA,nNIA,AE48,nCUENTA,1,nASIG,"Música de Cámara"),"")))</f>
        <v/>
      </c>
      <c r="AI48" t="str">
        <f>IF(AE48="","",IF(AE48="[FÓRMULA MANUAL]","",IFERROR(SUMPRODUCT((nNIA=AE48)*(nCUENTA=1)*(COUNTIF(CONFIG_ASIGNATURAS!$B$7:$B$27,nASIG)&gt;0)*(nNOTA))/SUMPRODUCT((nNIA=AE48)*(nCUENTA=1)*(COUNTIF(CONFIG_ASIGNATURAS!$B$7:$B$27,nASIG)&gt;0)*1),"")))</f>
        <v/>
      </c>
    </row>
    <row r="49" spans="2:35" x14ac:dyDescent="0.2">
      <c r="B49" t="str">
        <f>IF(A49="","",IF(A49="[FÓRMULA MANUAL]","",IFERROR(AVERAGEIFS(nNOTA,nNIA,A49,nCUENTA,1,nASIG,"Lenguaje Musical"),"")))</f>
        <v/>
      </c>
      <c r="C49" t="str">
        <f>IF(A49="","",IF(A49="[FÓRMULA MANUAL]","",IFERROR(AVERAGEIFS(nNOTA,nNIA,A49,nCUENTA,1,nASIG,"Orquesta/Banda/Conjunto"),"")))</f>
        <v/>
      </c>
      <c r="D49" t="str">
        <f>IF(A49="","",IF(A49="[FÓRMULA MANUAL]","",IFERROR(AVERAGEIFS(nNOTA,nNIA,A49,nCUENTA,1,nASIG,"Conjunto"),"")))</f>
        <v/>
      </c>
      <c r="E49" t="str">
        <f>IF(A49="","",IF(A49="[FÓRMULA MANUAL]","",IFERROR(SUMPRODUCT((nNIA=A49)*(nCUENTA=1)*(COUNTIF(CONFIG_ASIGNATURAS!$B$7:$B$27,nASIG)&gt;0)*(nNOTA))/SUMPRODUCT((nNIA=A49)*(nCUENTA=1)*(COUNTIF(CONFIG_ASIGNATURAS!$B$7:$B$27,nASIG)&gt;0)*1),"")))</f>
        <v/>
      </c>
      <c r="H49" t="str">
        <f>IF(G49="","",IF(G49="[FÓRMULA MANUAL]","",IFERROR(AVERAGEIFS(nNOTA,nNIA,G49,nCUENTA,1,nASIG,"Lenguaje Musical"),"")))</f>
        <v/>
      </c>
      <c r="I49" t="str">
        <f>IF(G49="","",IF(G49="[FÓRMULA MANUAL]","",IFERROR(AVERAGEIFS(nNOTA,nNIA,G49,nCUENTA,1,nASIG,"Orquesta/Banda/Conjunto"),"")))</f>
        <v/>
      </c>
      <c r="J49" t="str">
        <f>IF(G49="","",IF(G49="[FÓRMULA MANUAL]","",IFERROR(AVERAGEIFS(nNOTA,nNIA,G49,nCUENTA,1,nASIG,"Conjunto"),"")))</f>
        <v/>
      </c>
      <c r="K49" t="str">
        <f>IF(G49="","",IF(G49="[FÓRMULA MANUAL]","",IFERROR(SUMPRODUCT((nNIA=G49)*(nCUENTA=1)*(COUNTIF(CONFIG_ASIGNATURAS!$B$7:$B$27,nASIG)&gt;0)*(nNOTA))/SUMPRODUCT((nNIA=G49)*(nCUENTA=1)*(COUNTIF(CONFIG_ASIGNATURAS!$B$7:$B$27,nASIG)&gt;0)*1),"")))</f>
        <v/>
      </c>
      <c r="N49" t="str">
        <f>IF(M49="","",IF(M49="[FÓRMULA MANUAL]","",IFERROR(AVERAGEIFS(nNOTA,nNIA,M49,nCUENTA,1,nASIG,"Armonía"),"")))</f>
        <v/>
      </c>
      <c r="O49" t="str">
        <f>IF(M49="","",IF(M49="[FÓRMULA MANUAL]","",IFERROR(AVERAGEIFS(nNOTA,nNIA,M49,nCUENTA,1,nASIG,"Orquesta/Banda/Conjunto"),"")))</f>
        <v/>
      </c>
      <c r="P49" t="str">
        <f>IF(M49="","",IF(M49="[FÓRMULA MANUAL]","",IFERROR(AVERAGEIFS(nNOTA,nNIA,M49,nCUENTA,1,nASIG,"Música de Cámara"),"")))</f>
        <v/>
      </c>
      <c r="Q49" t="str">
        <f>IF(M49="","",IF(M49="[FÓRMULA MANUAL]","",IFERROR(SUMPRODUCT((nNIA=M49)*(nCUENTA=1)*(COUNTIF(CONFIG_ASIGNATURAS!$B$7:$B$27,nASIG)&gt;0)*(nNOTA))/SUMPRODUCT((nNIA=M49)*(nCUENTA=1)*(COUNTIF(CONFIG_ASIGNATURAS!$B$7:$B$27,nASIG)&gt;0)*1),"")))</f>
        <v/>
      </c>
      <c r="T49" t="str">
        <f>IF(S49="","",IF(S49="[FÓRMULA MANUAL]","",IFERROR(AVERAGEIFS(nNOTA,nNIA,S49,nCUENTA,1,nASIG,"Armonía"),"")))</f>
        <v/>
      </c>
      <c r="U49" t="str">
        <f>IF(S49="","",IF(S49="[FÓRMULA MANUAL]","",IFERROR(AVERAGEIFS(nNOTA,nNIA,S49,nCUENTA,1,nASIG,"Orquesta/Banda/Conjunto"),"")))</f>
        <v/>
      </c>
      <c r="V49" t="str">
        <f>IF(S49="","",IF(S49="[FÓRMULA MANUAL]","",IFERROR(AVERAGEIFS(nNOTA,nNIA,S49,nCUENTA,1,nASIG,"Música de Cámara"),"")))</f>
        <v/>
      </c>
      <c r="W49" t="str">
        <f>IF(S49="","",IF(S49="[FÓRMULA MANUAL]","",IFERROR(SUMPRODUCT((nNIA=S49)*(nCUENTA=1)*(COUNTIF(CONFIG_ASIGNATURAS!$B$7:$B$27,nASIG)&gt;0)*(nNOTA))/SUMPRODUCT((nNIA=S49)*(nCUENTA=1)*(COUNTIF(CONFIG_ASIGNATURAS!$B$7:$B$27,nASIG)&gt;0)*1),"")))</f>
        <v/>
      </c>
      <c r="Z49" t="str">
        <f>IF(Y49="","",IF(Y49="[FÓRMULA MANUAL]","",IFERROR(AVERAGEIFS(nNOTA,nNIA,Y49,nCUENTA,1,nASIG,"Análisis"),"")))</f>
        <v/>
      </c>
      <c r="AA49" t="str">
        <f>IF(Y49="","",IF(Y49="[FÓRMULA MANUAL]","",IFERROR(AVERAGEIFS(nNOTA,nNIA,Y49,nCUENTA,1,nASIG,"Orquesta/Banda/Conjunto"),"")))</f>
        <v/>
      </c>
      <c r="AB49" t="str">
        <f>IF(Y49="","",IF(Y49="[FÓRMULA MANUAL]","",IFERROR(AVERAGEIFS(nNOTA,nNIA,Y49,nCUENTA,1,nASIG,"Música de Cámara"),"")))</f>
        <v/>
      </c>
      <c r="AC49" t="str">
        <f>IF(Y49="","",IF(Y49="[FÓRMULA MANUAL]","",IFERROR(SUMPRODUCT((nNIA=Y49)*(nCUENTA=1)*(COUNTIF(CONFIG_ASIGNATURAS!$B$7:$B$27,nASIG)&gt;0)*(nNOTA))/SUMPRODUCT((nNIA=Y49)*(nCUENTA=1)*(COUNTIF(CONFIG_ASIGNATURAS!$B$7:$B$27,nASIG)&gt;0)*1),"")))</f>
        <v/>
      </c>
      <c r="AF49" t="str">
        <f>IF(AE49="","",IF(AE49="[FÓRMULA MANUAL]","",IFERROR(AVERAGEIFS(nNOTA,nNIA,AE49,nCUENTA,1,nASIG,"Análisis"),"")))</f>
        <v/>
      </c>
      <c r="AG49" t="str">
        <f>IF(AE49="","",IF(AE49="[FÓRMULA MANUAL]","",IFERROR(AVERAGEIFS(nNOTA,nNIA,AE49,nCUENTA,1,nASIG,"Orquesta/Banda/Conjunto"),"")))</f>
        <v/>
      </c>
      <c r="AH49" t="str">
        <f>IF(AE49="","",IF(AE49="[FÓRMULA MANUAL]","",IFERROR(AVERAGEIFS(nNOTA,nNIA,AE49,nCUENTA,1,nASIG,"Música de Cámara"),"")))</f>
        <v/>
      </c>
      <c r="AI49" t="str">
        <f>IF(AE49="","",IF(AE49="[FÓRMULA MANUAL]","",IFERROR(SUMPRODUCT((nNIA=AE49)*(nCUENTA=1)*(COUNTIF(CONFIG_ASIGNATURAS!$B$7:$B$27,nASIG)&gt;0)*(nNOTA))/SUMPRODUCT((nNIA=AE49)*(nCUENTA=1)*(COUNTIF(CONFIG_ASIGNATURAS!$B$7:$B$27,nASIG)&gt;0)*1),"")))</f>
        <v/>
      </c>
    </row>
    <row r="50" spans="2:35" x14ac:dyDescent="0.2">
      <c r="B50" t="str">
        <f>IF(A50="","",IF(A50="[FÓRMULA MANUAL]","",IFERROR(AVERAGEIFS(nNOTA,nNIA,A50,nCUENTA,1,nASIG,"Lenguaje Musical"),"")))</f>
        <v/>
      </c>
      <c r="C50" t="str">
        <f>IF(A50="","",IF(A50="[FÓRMULA MANUAL]","",IFERROR(AVERAGEIFS(nNOTA,nNIA,A50,nCUENTA,1,nASIG,"Orquesta/Banda/Conjunto"),"")))</f>
        <v/>
      </c>
      <c r="D50" t="str">
        <f>IF(A50="","",IF(A50="[FÓRMULA MANUAL]","",IFERROR(AVERAGEIFS(nNOTA,nNIA,A50,nCUENTA,1,nASIG,"Conjunto"),"")))</f>
        <v/>
      </c>
      <c r="E50" t="str">
        <f>IF(A50="","",IF(A50="[FÓRMULA MANUAL]","",IFERROR(SUMPRODUCT((nNIA=A50)*(nCUENTA=1)*(COUNTIF(CONFIG_ASIGNATURAS!$B$7:$B$27,nASIG)&gt;0)*(nNOTA))/SUMPRODUCT((nNIA=A50)*(nCUENTA=1)*(COUNTIF(CONFIG_ASIGNATURAS!$B$7:$B$27,nASIG)&gt;0)*1),"")))</f>
        <v/>
      </c>
      <c r="H50" t="str">
        <f>IF(G50="","",IF(G50="[FÓRMULA MANUAL]","",IFERROR(AVERAGEIFS(nNOTA,nNIA,G50,nCUENTA,1,nASIG,"Lenguaje Musical"),"")))</f>
        <v/>
      </c>
      <c r="I50" t="str">
        <f>IF(G50="","",IF(G50="[FÓRMULA MANUAL]","",IFERROR(AVERAGEIFS(nNOTA,nNIA,G50,nCUENTA,1,nASIG,"Orquesta/Banda/Conjunto"),"")))</f>
        <v/>
      </c>
      <c r="J50" t="str">
        <f>IF(G50="","",IF(G50="[FÓRMULA MANUAL]","",IFERROR(AVERAGEIFS(nNOTA,nNIA,G50,nCUENTA,1,nASIG,"Conjunto"),"")))</f>
        <v/>
      </c>
      <c r="K50" t="str">
        <f>IF(G50="","",IF(G50="[FÓRMULA MANUAL]","",IFERROR(SUMPRODUCT((nNIA=G50)*(nCUENTA=1)*(COUNTIF(CONFIG_ASIGNATURAS!$B$7:$B$27,nASIG)&gt;0)*(nNOTA))/SUMPRODUCT((nNIA=G50)*(nCUENTA=1)*(COUNTIF(CONFIG_ASIGNATURAS!$B$7:$B$27,nASIG)&gt;0)*1),"")))</f>
        <v/>
      </c>
      <c r="N50" t="str">
        <f>IF(M50="","",IF(M50="[FÓRMULA MANUAL]","",IFERROR(AVERAGEIFS(nNOTA,nNIA,M50,nCUENTA,1,nASIG,"Armonía"),"")))</f>
        <v/>
      </c>
      <c r="O50" t="str">
        <f>IF(M50="","",IF(M50="[FÓRMULA MANUAL]","",IFERROR(AVERAGEIFS(nNOTA,nNIA,M50,nCUENTA,1,nASIG,"Orquesta/Banda/Conjunto"),"")))</f>
        <v/>
      </c>
      <c r="P50" t="str">
        <f>IF(M50="","",IF(M50="[FÓRMULA MANUAL]","",IFERROR(AVERAGEIFS(nNOTA,nNIA,M50,nCUENTA,1,nASIG,"Música de Cámara"),"")))</f>
        <v/>
      </c>
      <c r="Q50" t="str">
        <f>IF(M50="","",IF(M50="[FÓRMULA MANUAL]","",IFERROR(SUMPRODUCT((nNIA=M50)*(nCUENTA=1)*(COUNTIF(CONFIG_ASIGNATURAS!$B$7:$B$27,nASIG)&gt;0)*(nNOTA))/SUMPRODUCT((nNIA=M50)*(nCUENTA=1)*(COUNTIF(CONFIG_ASIGNATURAS!$B$7:$B$27,nASIG)&gt;0)*1),"")))</f>
        <v/>
      </c>
      <c r="T50" t="str">
        <f>IF(S50="","",IF(S50="[FÓRMULA MANUAL]","",IFERROR(AVERAGEIFS(nNOTA,nNIA,S50,nCUENTA,1,nASIG,"Armonía"),"")))</f>
        <v/>
      </c>
      <c r="U50" t="str">
        <f>IF(S50="","",IF(S50="[FÓRMULA MANUAL]","",IFERROR(AVERAGEIFS(nNOTA,nNIA,S50,nCUENTA,1,nASIG,"Orquesta/Banda/Conjunto"),"")))</f>
        <v/>
      </c>
      <c r="V50" t="str">
        <f>IF(S50="","",IF(S50="[FÓRMULA MANUAL]","",IFERROR(AVERAGEIFS(nNOTA,nNIA,S50,nCUENTA,1,nASIG,"Música de Cámara"),"")))</f>
        <v/>
      </c>
      <c r="W50" t="str">
        <f>IF(S50="","",IF(S50="[FÓRMULA MANUAL]","",IFERROR(SUMPRODUCT((nNIA=S50)*(nCUENTA=1)*(COUNTIF(CONFIG_ASIGNATURAS!$B$7:$B$27,nASIG)&gt;0)*(nNOTA))/SUMPRODUCT((nNIA=S50)*(nCUENTA=1)*(COUNTIF(CONFIG_ASIGNATURAS!$B$7:$B$27,nASIG)&gt;0)*1),"")))</f>
        <v/>
      </c>
      <c r="Z50" t="str">
        <f>IF(Y50="","",IF(Y50="[FÓRMULA MANUAL]","",IFERROR(AVERAGEIFS(nNOTA,nNIA,Y50,nCUENTA,1,nASIG,"Análisis"),"")))</f>
        <v/>
      </c>
      <c r="AA50" t="str">
        <f>IF(Y50="","",IF(Y50="[FÓRMULA MANUAL]","",IFERROR(AVERAGEIFS(nNOTA,nNIA,Y50,nCUENTA,1,nASIG,"Orquesta/Banda/Conjunto"),"")))</f>
        <v/>
      </c>
      <c r="AB50" t="str">
        <f>IF(Y50="","",IF(Y50="[FÓRMULA MANUAL]","",IFERROR(AVERAGEIFS(nNOTA,nNIA,Y50,nCUENTA,1,nASIG,"Música de Cámara"),"")))</f>
        <v/>
      </c>
      <c r="AC50" t="str">
        <f>IF(Y50="","",IF(Y50="[FÓRMULA MANUAL]","",IFERROR(SUMPRODUCT((nNIA=Y50)*(nCUENTA=1)*(COUNTIF(CONFIG_ASIGNATURAS!$B$7:$B$27,nASIG)&gt;0)*(nNOTA))/SUMPRODUCT((nNIA=Y50)*(nCUENTA=1)*(COUNTIF(CONFIG_ASIGNATURAS!$B$7:$B$27,nASIG)&gt;0)*1),"")))</f>
        <v/>
      </c>
      <c r="AF50" t="str">
        <f>IF(AE50="","",IF(AE50="[FÓRMULA MANUAL]","",IFERROR(AVERAGEIFS(nNOTA,nNIA,AE50,nCUENTA,1,nASIG,"Análisis"),"")))</f>
        <v/>
      </c>
      <c r="AG50" t="str">
        <f>IF(AE50="","",IF(AE50="[FÓRMULA MANUAL]","",IFERROR(AVERAGEIFS(nNOTA,nNIA,AE50,nCUENTA,1,nASIG,"Orquesta/Banda/Conjunto"),"")))</f>
        <v/>
      </c>
      <c r="AH50" t="str">
        <f>IF(AE50="","",IF(AE50="[FÓRMULA MANUAL]","",IFERROR(AVERAGEIFS(nNOTA,nNIA,AE50,nCUENTA,1,nASIG,"Música de Cámara"),"")))</f>
        <v/>
      </c>
      <c r="AI50" t="str">
        <f>IF(AE50="","",IF(AE50="[FÓRMULA MANUAL]","",IFERROR(SUMPRODUCT((nNIA=AE50)*(nCUENTA=1)*(COUNTIF(CONFIG_ASIGNATURAS!$B$7:$B$27,nASIG)&gt;0)*(nNOTA))/SUMPRODUCT((nNIA=AE50)*(nCUENTA=1)*(COUNTIF(CONFIG_ASIGNATURAS!$B$7:$B$27,nASIG)&gt;0)*1),"")))</f>
        <v/>
      </c>
    </row>
    <row r="51" spans="2:35" x14ac:dyDescent="0.2">
      <c r="B51" t="str">
        <f>IF(A51="","",IF(A51="[FÓRMULA MANUAL]","",IFERROR(AVERAGEIFS(nNOTA,nNIA,A51,nCUENTA,1,nASIG,"Lenguaje Musical"),"")))</f>
        <v/>
      </c>
      <c r="C51" t="str">
        <f>IF(A51="","",IF(A51="[FÓRMULA MANUAL]","",IFERROR(AVERAGEIFS(nNOTA,nNIA,A51,nCUENTA,1,nASIG,"Orquesta/Banda/Conjunto"),"")))</f>
        <v/>
      </c>
      <c r="D51" t="str">
        <f>IF(A51="","",IF(A51="[FÓRMULA MANUAL]","",IFERROR(AVERAGEIFS(nNOTA,nNIA,A51,nCUENTA,1,nASIG,"Conjunto"),"")))</f>
        <v/>
      </c>
      <c r="E51" t="str">
        <f>IF(A51="","",IF(A51="[FÓRMULA MANUAL]","",IFERROR(SUMPRODUCT((nNIA=A51)*(nCUENTA=1)*(COUNTIF(CONFIG_ASIGNATURAS!$B$7:$B$27,nASIG)&gt;0)*(nNOTA))/SUMPRODUCT((nNIA=A51)*(nCUENTA=1)*(COUNTIF(CONFIG_ASIGNATURAS!$B$7:$B$27,nASIG)&gt;0)*1),"")))</f>
        <v/>
      </c>
      <c r="H51" t="str">
        <f>IF(G51="","",IF(G51="[FÓRMULA MANUAL]","",IFERROR(AVERAGEIFS(nNOTA,nNIA,G51,nCUENTA,1,nASIG,"Lenguaje Musical"),"")))</f>
        <v/>
      </c>
      <c r="I51" t="str">
        <f>IF(G51="","",IF(G51="[FÓRMULA MANUAL]","",IFERROR(AVERAGEIFS(nNOTA,nNIA,G51,nCUENTA,1,nASIG,"Orquesta/Banda/Conjunto"),"")))</f>
        <v/>
      </c>
      <c r="J51" t="str">
        <f>IF(G51="","",IF(G51="[FÓRMULA MANUAL]","",IFERROR(AVERAGEIFS(nNOTA,nNIA,G51,nCUENTA,1,nASIG,"Conjunto"),"")))</f>
        <v/>
      </c>
      <c r="K51" t="str">
        <f>IF(G51="","",IF(G51="[FÓRMULA MANUAL]","",IFERROR(SUMPRODUCT((nNIA=G51)*(nCUENTA=1)*(COUNTIF(CONFIG_ASIGNATURAS!$B$7:$B$27,nASIG)&gt;0)*(nNOTA))/SUMPRODUCT((nNIA=G51)*(nCUENTA=1)*(COUNTIF(CONFIG_ASIGNATURAS!$B$7:$B$27,nASIG)&gt;0)*1),"")))</f>
        <v/>
      </c>
      <c r="N51" t="str">
        <f>IF(M51="","",IF(M51="[FÓRMULA MANUAL]","",IFERROR(AVERAGEIFS(nNOTA,nNIA,M51,nCUENTA,1,nASIG,"Armonía"),"")))</f>
        <v/>
      </c>
      <c r="O51" t="str">
        <f>IF(M51="","",IF(M51="[FÓRMULA MANUAL]","",IFERROR(AVERAGEIFS(nNOTA,nNIA,M51,nCUENTA,1,nASIG,"Orquesta/Banda/Conjunto"),"")))</f>
        <v/>
      </c>
      <c r="P51" t="str">
        <f>IF(M51="","",IF(M51="[FÓRMULA MANUAL]","",IFERROR(AVERAGEIFS(nNOTA,nNIA,M51,nCUENTA,1,nASIG,"Música de Cámara"),"")))</f>
        <v/>
      </c>
      <c r="Q51" t="str">
        <f>IF(M51="","",IF(M51="[FÓRMULA MANUAL]","",IFERROR(SUMPRODUCT((nNIA=M51)*(nCUENTA=1)*(COUNTIF(CONFIG_ASIGNATURAS!$B$7:$B$27,nASIG)&gt;0)*(nNOTA))/SUMPRODUCT((nNIA=M51)*(nCUENTA=1)*(COUNTIF(CONFIG_ASIGNATURAS!$B$7:$B$27,nASIG)&gt;0)*1),"")))</f>
        <v/>
      </c>
      <c r="T51" t="str">
        <f>IF(S51="","",IF(S51="[FÓRMULA MANUAL]","",IFERROR(AVERAGEIFS(nNOTA,nNIA,S51,nCUENTA,1,nASIG,"Armonía"),"")))</f>
        <v/>
      </c>
      <c r="U51" t="str">
        <f>IF(S51="","",IF(S51="[FÓRMULA MANUAL]","",IFERROR(AVERAGEIFS(nNOTA,nNIA,S51,nCUENTA,1,nASIG,"Orquesta/Banda/Conjunto"),"")))</f>
        <v/>
      </c>
      <c r="V51" t="str">
        <f>IF(S51="","",IF(S51="[FÓRMULA MANUAL]","",IFERROR(AVERAGEIFS(nNOTA,nNIA,S51,nCUENTA,1,nASIG,"Música de Cámara"),"")))</f>
        <v/>
      </c>
      <c r="W51" t="str">
        <f>IF(S51="","",IF(S51="[FÓRMULA MANUAL]","",IFERROR(SUMPRODUCT((nNIA=S51)*(nCUENTA=1)*(COUNTIF(CONFIG_ASIGNATURAS!$B$7:$B$27,nASIG)&gt;0)*(nNOTA))/SUMPRODUCT((nNIA=S51)*(nCUENTA=1)*(COUNTIF(CONFIG_ASIGNATURAS!$B$7:$B$27,nASIG)&gt;0)*1),"")))</f>
        <v/>
      </c>
      <c r="Z51" t="str">
        <f>IF(Y51="","",IF(Y51="[FÓRMULA MANUAL]","",IFERROR(AVERAGEIFS(nNOTA,nNIA,Y51,nCUENTA,1,nASIG,"Análisis"),"")))</f>
        <v/>
      </c>
      <c r="AA51" t="str">
        <f>IF(Y51="","",IF(Y51="[FÓRMULA MANUAL]","",IFERROR(AVERAGEIFS(nNOTA,nNIA,Y51,nCUENTA,1,nASIG,"Orquesta/Banda/Conjunto"),"")))</f>
        <v/>
      </c>
      <c r="AB51" t="str">
        <f>IF(Y51="","",IF(Y51="[FÓRMULA MANUAL]","",IFERROR(AVERAGEIFS(nNOTA,nNIA,Y51,nCUENTA,1,nASIG,"Música de Cámara"),"")))</f>
        <v/>
      </c>
      <c r="AC51" t="str">
        <f>IF(Y51="","",IF(Y51="[FÓRMULA MANUAL]","",IFERROR(SUMPRODUCT((nNIA=Y51)*(nCUENTA=1)*(COUNTIF(CONFIG_ASIGNATURAS!$B$7:$B$27,nASIG)&gt;0)*(nNOTA))/SUMPRODUCT((nNIA=Y51)*(nCUENTA=1)*(COUNTIF(CONFIG_ASIGNATURAS!$B$7:$B$27,nASIG)&gt;0)*1),"")))</f>
        <v/>
      </c>
      <c r="AF51" t="str">
        <f>IF(AE51="","",IF(AE51="[FÓRMULA MANUAL]","",IFERROR(AVERAGEIFS(nNOTA,nNIA,AE51,nCUENTA,1,nASIG,"Análisis"),"")))</f>
        <v/>
      </c>
      <c r="AG51" t="str">
        <f>IF(AE51="","",IF(AE51="[FÓRMULA MANUAL]","",IFERROR(AVERAGEIFS(nNOTA,nNIA,AE51,nCUENTA,1,nASIG,"Orquesta/Banda/Conjunto"),"")))</f>
        <v/>
      </c>
      <c r="AH51" t="str">
        <f>IF(AE51="","",IF(AE51="[FÓRMULA MANUAL]","",IFERROR(AVERAGEIFS(nNOTA,nNIA,AE51,nCUENTA,1,nASIG,"Música de Cámara"),"")))</f>
        <v/>
      </c>
      <c r="AI51" t="str">
        <f>IF(AE51="","",IF(AE51="[FÓRMULA MANUAL]","",IFERROR(SUMPRODUCT((nNIA=AE51)*(nCUENTA=1)*(COUNTIF(CONFIG_ASIGNATURAS!$B$7:$B$27,nASIG)&gt;0)*(nNOTA))/SUMPRODUCT((nNIA=AE51)*(nCUENTA=1)*(COUNTIF(CONFIG_ASIGNATURAS!$B$7:$B$27,nASIG)&gt;0)*1),"")))</f>
        <v/>
      </c>
    </row>
    <row r="52" spans="2:35" x14ac:dyDescent="0.2">
      <c r="B52" t="str">
        <f>IF(A52="","",IF(A52="[FÓRMULA MANUAL]","",IFERROR(AVERAGEIFS(nNOTA,nNIA,A52,nCUENTA,1,nASIG,"Lenguaje Musical"),"")))</f>
        <v/>
      </c>
      <c r="C52" t="str">
        <f>IF(A52="","",IF(A52="[FÓRMULA MANUAL]","",IFERROR(AVERAGEIFS(nNOTA,nNIA,A52,nCUENTA,1,nASIG,"Orquesta/Banda/Conjunto"),"")))</f>
        <v/>
      </c>
      <c r="D52" t="str">
        <f>IF(A52="","",IF(A52="[FÓRMULA MANUAL]","",IFERROR(AVERAGEIFS(nNOTA,nNIA,A52,nCUENTA,1,nASIG,"Conjunto"),"")))</f>
        <v/>
      </c>
      <c r="E52" t="str">
        <f>IF(A52="","",IF(A52="[FÓRMULA MANUAL]","",IFERROR(SUMPRODUCT((nNIA=A52)*(nCUENTA=1)*(COUNTIF(CONFIG_ASIGNATURAS!$B$7:$B$27,nASIG)&gt;0)*(nNOTA))/SUMPRODUCT((nNIA=A52)*(nCUENTA=1)*(COUNTIF(CONFIG_ASIGNATURAS!$B$7:$B$27,nASIG)&gt;0)*1),"")))</f>
        <v/>
      </c>
      <c r="H52" t="str">
        <f>IF(G52="","",IF(G52="[FÓRMULA MANUAL]","",IFERROR(AVERAGEIFS(nNOTA,nNIA,G52,nCUENTA,1,nASIG,"Lenguaje Musical"),"")))</f>
        <v/>
      </c>
      <c r="I52" t="str">
        <f>IF(G52="","",IF(G52="[FÓRMULA MANUAL]","",IFERROR(AVERAGEIFS(nNOTA,nNIA,G52,nCUENTA,1,nASIG,"Orquesta/Banda/Conjunto"),"")))</f>
        <v/>
      </c>
      <c r="J52" t="str">
        <f>IF(G52="","",IF(G52="[FÓRMULA MANUAL]","",IFERROR(AVERAGEIFS(nNOTA,nNIA,G52,nCUENTA,1,nASIG,"Conjunto"),"")))</f>
        <v/>
      </c>
      <c r="K52" t="str">
        <f>IF(G52="","",IF(G52="[FÓRMULA MANUAL]","",IFERROR(SUMPRODUCT((nNIA=G52)*(nCUENTA=1)*(COUNTIF(CONFIG_ASIGNATURAS!$B$7:$B$27,nASIG)&gt;0)*(nNOTA))/SUMPRODUCT((nNIA=G52)*(nCUENTA=1)*(COUNTIF(CONFIG_ASIGNATURAS!$B$7:$B$27,nASIG)&gt;0)*1),"")))</f>
        <v/>
      </c>
      <c r="N52" t="str">
        <f>IF(M52="","",IF(M52="[FÓRMULA MANUAL]","",IFERROR(AVERAGEIFS(nNOTA,nNIA,M52,nCUENTA,1,nASIG,"Armonía"),"")))</f>
        <v/>
      </c>
      <c r="O52" t="str">
        <f>IF(M52="","",IF(M52="[FÓRMULA MANUAL]","",IFERROR(AVERAGEIFS(nNOTA,nNIA,M52,nCUENTA,1,nASIG,"Orquesta/Banda/Conjunto"),"")))</f>
        <v/>
      </c>
      <c r="P52" t="str">
        <f>IF(M52="","",IF(M52="[FÓRMULA MANUAL]","",IFERROR(AVERAGEIFS(nNOTA,nNIA,M52,nCUENTA,1,nASIG,"Música de Cámara"),"")))</f>
        <v/>
      </c>
      <c r="Q52" t="str">
        <f>IF(M52="","",IF(M52="[FÓRMULA MANUAL]","",IFERROR(SUMPRODUCT((nNIA=M52)*(nCUENTA=1)*(COUNTIF(CONFIG_ASIGNATURAS!$B$7:$B$27,nASIG)&gt;0)*(nNOTA))/SUMPRODUCT((nNIA=M52)*(nCUENTA=1)*(COUNTIF(CONFIG_ASIGNATURAS!$B$7:$B$27,nASIG)&gt;0)*1),"")))</f>
        <v/>
      </c>
      <c r="T52" t="str">
        <f>IF(S52="","",IF(S52="[FÓRMULA MANUAL]","",IFERROR(AVERAGEIFS(nNOTA,nNIA,S52,nCUENTA,1,nASIG,"Armonía"),"")))</f>
        <v/>
      </c>
      <c r="U52" t="str">
        <f>IF(S52="","",IF(S52="[FÓRMULA MANUAL]","",IFERROR(AVERAGEIFS(nNOTA,nNIA,S52,nCUENTA,1,nASIG,"Orquesta/Banda/Conjunto"),"")))</f>
        <v/>
      </c>
      <c r="V52" t="str">
        <f>IF(S52="","",IF(S52="[FÓRMULA MANUAL]","",IFERROR(AVERAGEIFS(nNOTA,nNIA,S52,nCUENTA,1,nASIG,"Música de Cámara"),"")))</f>
        <v/>
      </c>
      <c r="W52" t="str">
        <f>IF(S52="","",IF(S52="[FÓRMULA MANUAL]","",IFERROR(SUMPRODUCT((nNIA=S52)*(nCUENTA=1)*(COUNTIF(CONFIG_ASIGNATURAS!$B$7:$B$27,nASIG)&gt;0)*(nNOTA))/SUMPRODUCT((nNIA=S52)*(nCUENTA=1)*(COUNTIF(CONFIG_ASIGNATURAS!$B$7:$B$27,nASIG)&gt;0)*1),"")))</f>
        <v/>
      </c>
      <c r="Z52" t="str">
        <f>IF(Y52="","",IF(Y52="[FÓRMULA MANUAL]","",IFERROR(AVERAGEIFS(nNOTA,nNIA,Y52,nCUENTA,1,nASIG,"Análisis"),"")))</f>
        <v/>
      </c>
      <c r="AA52" t="str">
        <f>IF(Y52="","",IF(Y52="[FÓRMULA MANUAL]","",IFERROR(AVERAGEIFS(nNOTA,nNIA,Y52,nCUENTA,1,nASIG,"Orquesta/Banda/Conjunto"),"")))</f>
        <v/>
      </c>
      <c r="AB52" t="str">
        <f>IF(Y52="","",IF(Y52="[FÓRMULA MANUAL]","",IFERROR(AVERAGEIFS(nNOTA,nNIA,Y52,nCUENTA,1,nASIG,"Música de Cámara"),"")))</f>
        <v/>
      </c>
      <c r="AC52" t="str">
        <f>IF(Y52="","",IF(Y52="[FÓRMULA MANUAL]","",IFERROR(SUMPRODUCT((nNIA=Y52)*(nCUENTA=1)*(COUNTIF(CONFIG_ASIGNATURAS!$B$7:$B$27,nASIG)&gt;0)*(nNOTA))/SUMPRODUCT((nNIA=Y52)*(nCUENTA=1)*(COUNTIF(CONFIG_ASIGNATURAS!$B$7:$B$27,nASIG)&gt;0)*1),"")))</f>
        <v/>
      </c>
      <c r="AF52" t="str">
        <f>IF(AE52="","",IF(AE52="[FÓRMULA MANUAL]","",IFERROR(AVERAGEIFS(nNOTA,nNIA,AE52,nCUENTA,1,nASIG,"Análisis"),"")))</f>
        <v/>
      </c>
      <c r="AG52" t="str">
        <f>IF(AE52="","",IF(AE52="[FÓRMULA MANUAL]","",IFERROR(AVERAGEIFS(nNOTA,nNIA,AE52,nCUENTA,1,nASIG,"Orquesta/Banda/Conjunto"),"")))</f>
        <v/>
      </c>
      <c r="AH52" t="str">
        <f>IF(AE52="","",IF(AE52="[FÓRMULA MANUAL]","",IFERROR(AVERAGEIFS(nNOTA,nNIA,AE52,nCUENTA,1,nASIG,"Música de Cámara"),"")))</f>
        <v/>
      </c>
      <c r="AI52" t="str">
        <f>IF(AE52="","",IF(AE52="[FÓRMULA MANUAL]","",IFERROR(SUMPRODUCT((nNIA=AE52)*(nCUENTA=1)*(COUNTIF(CONFIG_ASIGNATURAS!$B$7:$B$27,nASIG)&gt;0)*(nNOTA))/SUMPRODUCT((nNIA=AE52)*(nCUENTA=1)*(COUNTIF(CONFIG_ASIGNATURAS!$B$7:$B$27,nASIG)&gt;0)*1),"")))</f>
        <v/>
      </c>
    </row>
    <row r="53" spans="2:35" x14ac:dyDescent="0.2">
      <c r="B53" t="str">
        <f>IF(A53="","",IF(A53="[FÓRMULA MANUAL]","",IFERROR(AVERAGEIFS(nNOTA,nNIA,A53,nCUENTA,1,nASIG,"Lenguaje Musical"),"")))</f>
        <v/>
      </c>
      <c r="C53" t="str">
        <f>IF(A53="","",IF(A53="[FÓRMULA MANUAL]","",IFERROR(AVERAGEIFS(nNOTA,nNIA,A53,nCUENTA,1,nASIG,"Orquesta/Banda/Conjunto"),"")))</f>
        <v/>
      </c>
      <c r="D53" t="str">
        <f>IF(A53="","",IF(A53="[FÓRMULA MANUAL]","",IFERROR(AVERAGEIFS(nNOTA,nNIA,A53,nCUENTA,1,nASIG,"Conjunto"),"")))</f>
        <v/>
      </c>
      <c r="E53" t="str">
        <f>IF(A53="","",IF(A53="[FÓRMULA MANUAL]","",IFERROR(SUMPRODUCT((nNIA=A53)*(nCUENTA=1)*(COUNTIF(CONFIG_ASIGNATURAS!$B$7:$B$27,nASIG)&gt;0)*(nNOTA))/SUMPRODUCT((nNIA=A53)*(nCUENTA=1)*(COUNTIF(CONFIG_ASIGNATURAS!$B$7:$B$27,nASIG)&gt;0)*1),"")))</f>
        <v/>
      </c>
      <c r="H53" t="str">
        <f>IF(G53="","",IF(G53="[FÓRMULA MANUAL]","",IFERROR(AVERAGEIFS(nNOTA,nNIA,G53,nCUENTA,1,nASIG,"Lenguaje Musical"),"")))</f>
        <v/>
      </c>
      <c r="I53" t="str">
        <f>IF(G53="","",IF(G53="[FÓRMULA MANUAL]","",IFERROR(AVERAGEIFS(nNOTA,nNIA,G53,nCUENTA,1,nASIG,"Orquesta/Banda/Conjunto"),"")))</f>
        <v/>
      </c>
      <c r="J53" t="str">
        <f>IF(G53="","",IF(G53="[FÓRMULA MANUAL]","",IFERROR(AVERAGEIFS(nNOTA,nNIA,G53,nCUENTA,1,nASIG,"Conjunto"),"")))</f>
        <v/>
      </c>
      <c r="K53" t="str">
        <f>IF(G53="","",IF(G53="[FÓRMULA MANUAL]","",IFERROR(SUMPRODUCT((nNIA=G53)*(nCUENTA=1)*(COUNTIF(CONFIG_ASIGNATURAS!$B$7:$B$27,nASIG)&gt;0)*(nNOTA))/SUMPRODUCT((nNIA=G53)*(nCUENTA=1)*(COUNTIF(CONFIG_ASIGNATURAS!$B$7:$B$27,nASIG)&gt;0)*1),"")))</f>
        <v/>
      </c>
      <c r="N53" t="str">
        <f>IF(M53="","",IF(M53="[FÓRMULA MANUAL]","",IFERROR(AVERAGEIFS(nNOTA,nNIA,M53,nCUENTA,1,nASIG,"Armonía"),"")))</f>
        <v/>
      </c>
      <c r="O53" t="str">
        <f>IF(M53="","",IF(M53="[FÓRMULA MANUAL]","",IFERROR(AVERAGEIFS(nNOTA,nNIA,M53,nCUENTA,1,nASIG,"Orquesta/Banda/Conjunto"),"")))</f>
        <v/>
      </c>
      <c r="P53" t="str">
        <f>IF(M53="","",IF(M53="[FÓRMULA MANUAL]","",IFERROR(AVERAGEIFS(nNOTA,nNIA,M53,nCUENTA,1,nASIG,"Música de Cámara"),"")))</f>
        <v/>
      </c>
      <c r="Q53" t="str">
        <f>IF(M53="","",IF(M53="[FÓRMULA MANUAL]","",IFERROR(SUMPRODUCT((nNIA=M53)*(nCUENTA=1)*(COUNTIF(CONFIG_ASIGNATURAS!$B$7:$B$27,nASIG)&gt;0)*(nNOTA))/SUMPRODUCT((nNIA=M53)*(nCUENTA=1)*(COUNTIF(CONFIG_ASIGNATURAS!$B$7:$B$27,nASIG)&gt;0)*1),"")))</f>
        <v/>
      </c>
      <c r="T53" t="str">
        <f>IF(S53="","",IF(S53="[FÓRMULA MANUAL]","",IFERROR(AVERAGEIFS(nNOTA,nNIA,S53,nCUENTA,1,nASIG,"Armonía"),"")))</f>
        <v/>
      </c>
      <c r="U53" t="str">
        <f>IF(S53="","",IF(S53="[FÓRMULA MANUAL]","",IFERROR(AVERAGEIFS(nNOTA,nNIA,S53,nCUENTA,1,nASIG,"Orquesta/Banda/Conjunto"),"")))</f>
        <v/>
      </c>
      <c r="V53" t="str">
        <f>IF(S53="","",IF(S53="[FÓRMULA MANUAL]","",IFERROR(AVERAGEIFS(nNOTA,nNIA,S53,nCUENTA,1,nASIG,"Música de Cámara"),"")))</f>
        <v/>
      </c>
      <c r="W53" t="str">
        <f>IF(S53="","",IF(S53="[FÓRMULA MANUAL]","",IFERROR(SUMPRODUCT((nNIA=S53)*(nCUENTA=1)*(COUNTIF(CONFIG_ASIGNATURAS!$B$7:$B$27,nASIG)&gt;0)*(nNOTA))/SUMPRODUCT((nNIA=S53)*(nCUENTA=1)*(COUNTIF(CONFIG_ASIGNATURAS!$B$7:$B$27,nASIG)&gt;0)*1),"")))</f>
        <v/>
      </c>
      <c r="Z53" t="str">
        <f>IF(Y53="","",IF(Y53="[FÓRMULA MANUAL]","",IFERROR(AVERAGEIFS(nNOTA,nNIA,Y53,nCUENTA,1,nASIG,"Análisis"),"")))</f>
        <v/>
      </c>
      <c r="AA53" t="str">
        <f>IF(Y53="","",IF(Y53="[FÓRMULA MANUAL]","",IFERROR(AVERAGEIFS(nNOTA,nNIA,Y53,nCUENTA,1,nASIG,"Orquesta/Banda/Conjunto"),"")))</f>
        <v/>
      </c>
      <c r="AB53" t="str">
        <f>IF(Y53="","",IF(Y53="[FÓRMULA MANUAL]","",IFERROR(AVERAGEIFS(nNOTA,nNIA,Y53,nCUENTA,1,nASIG,"Música de Cámara"),"")))</f>
        <v/>
      </c>
      <c r="AC53" t="str">
        <f>IF(Y53="","",IF(Y53="[FÓRMULA MANUAL]","",IFERROR(SUMPRODUCT((nNIA=Y53)*(nCUENTA=1)*(COUNTIF(CONFIG_ASIGNATURAS!$B$7:$B$27,nASIG)&gt;0)*(nNOTA))/SUMPRODUCT((nNIA=Y53)*(nCUENTA=1)*(COUNTIF(CONFIG_ASIGNATURAS!$B$7:$B$27,nASIG)&gt;0)*1),"")))</f>
        <v/>
      </c>
      <c r="AF53" t="str">
        <f>IF(AE53="","",IF(AE53="[FÓRMULA MANUAL]","",IFERROR(AVERAGEIFS(nNOTA,nNIA,AE53,nCUENTA,1,nASIG,"Análisis"),"")))</f>
        <v/>
      </c>
      <c r="AG53" t="str">
        <f>IF(AE53="","",IF(AE53="[FÓRMULA MANUAL]","",IFERROR(AVERAGEIFS(nNOTA,nNIA,AE53,nCUENTA,1,nASIG,"Orquesta/Banda/Conjunto"),"")))</f>
        <v/>
      </c>
      <c r="AH53" t="str">
        <f>IF(AE53="","",IF(AE53="[FÓRMULA MANUAL]","",IFERROR(AVERAGEIFS(nNOTA,nNIA,AE53,nCUENTA,1,nASIG,"Música de Cámara"),"")))</f>
        <v/>
      </c>
      <c r="AI53" t="str">
        <f>IF(AE53="","",IF(AE53="[FÓRMULA MANUAL]","",IFERROR(SUMPRODUCT((nNIA=AE53)*(nCUENTA=1)*(COUNTIF(CONFIG_ASIGNATURAS!$B$7:$B$27,nASIG)&gt;0)*(nNOTA))/SUMPRODUCT((nNIA=AE53)*(nCUENTA=1)*(COUNTIF(CONFIG_ASIGNATURAS!$B$7:$B$27,nASIG)&gt;0)*1),"")))</f>
        <v/>
      </c>
    </row>
    <row r="54" spans="2:35" x14ac:dyDescent="0.2">
      <c r="B54" t="str">
        <f>IF(A54="","",IF(A54="[FÓRMULA MANUAL]","",IFERROR(AVERAGEIFS(nNOTA,nNIA,A54,nCUENTA,1,nASIG,"Lenguaje Musical"),"")))</f>
        <v/>
      </c>
      <c r="C54" t="str">
        <f>IF(A54="","",IF(A54="[FÓRMULA MANUAL]","",IFERROR(AVERAGEIFS(nNOTA,nNIA,A54,nCUENTA,1,nASIG,"Orquesta/Banda/Conjunto"),"")))</f>
        <v/>
      </c>
      <c r="D54" t="str">
        <f>IF(A54="","",IF(A54="[FÓRMULA MANUAL]","",IFERROR(AVERAGEIFS(nNOTA,nNIA,A54,nCUENTA,1,nASIG,"Conjunto"),"")))</f>
        <v/>
      </c>
      <c r="E54" t="str">
        <f>IF(A54="","",IF(A54="[FÓRMULA MANUAL]","",IFERROR(SUMPRODUCT((nNIA=A54)*(nCUENTA=1)*(COUNTIF(CONFIG_ASIGNATURAS!$B$7:$B$27,nASIG)&gt;0)*(nNOTA))/SUMPRODUCT((nNIA=A54)*(nCUENTA=1)*(COUNTIF(CONFIG_ASIGNATURAS!$B$7:$B$27,nASIG)&gt;0)*1),"")))</f>
        <v/>
      </c>
      <c r="H54" t="str">
        <f>IF(G54="","",IF(G54="[FÓRMULA MANUAL]","",IFERROR(AVERAGEIFS(nNOTA,nNIA,G54,nCUENTA,1,nASIG,"Lenguaje Musical"),"")))</f>
        <v/>
      </c>
      <c r="I54" t="str">
        <f>IF(G54="","",IF(G54="[FÓRMULA MANUAL]","",IFERROR(AVERAGEIFS(nNOTA,nNIA,G54,nCUENTA,1,nASIG,"Orquesta/Banda/Conjunto"),"")))</f>
        <v/>
      </c>
      <c r="J54" t="str">
        <f>IF(G54="","",IF(G54="[FÓRMULA MANUAL]","",IFERROR(AVERAGEIFS(nNOTA,nNIA,G54,nCUENTA,1,nASIG,"Conjunto"),"")))</f>
        <v/>
      </c>
      <c r="K54" t="str">
        <f>IF(G54="","",IF(G54="[FÓRMULA MANUAL]","",IFERROR(SUMPRODUCT((nNIA=G54)*(nCUENTA=1)*(COUNTIF(CONFIG_ASIGNATURAS!$B$7:$B$27,nASIG)&gt;0)*(nNOTA))/SUMPRODUCT((nNIA=G54)*(nCUENTA=1)*(COUNTIF(CONFIG_ASIGNATURAS!$B$7:$B$27,nASIG)&gt;0)*1),"")))</f>
        <v/>
      </c>
      <c r="N54" t="str">
        <f>IF(M54="","",IF(M54="[FÓRMULA MANUAL]","",IFERROR(AVERAGEIFS(nNOTA,nNIA,M54,nCUENTA,1,nASIG,"Armonía"),"")))</f>
        <v/>
      </c>
      <c r="O54" t="str">
        <f>IF(M54="","",IF(M54="[FÓRMULA MANUAL]","",IFERROR(AVERAGEIFS(nNOTA,nNIA,M54,nCUENTA,1,nASIG,"Orquesta/Banda/Conjunto"),"")))</f>
        <v/>
      </c>
      <c r="P54" t="str">
        <f>IF(M54="","",IF(M54="[FÓRMULA MANUAL]","",IFERROR(AVERAGEIFS(nNOTA,nNIA,M54,nCUENTA,1,nASIG,"Música de Cámara"),"")))</f>
        <v/>
      </c>
      <c r="Q54" t="str">
        <f>IF(M54="","",IF(M54="[FÓRMULA MANUAL]","",IFERROR(SUMPRODUCT((nNIA=M54)*(nCUENTA=1)*(COUNTIF(CONFIG_ASIGNATURAS!$B$7:$B$27,nASIG)&gt;0)*(nNOTA))/SUMPRODUCT((nNIA=M54)*(nCUENTA=1)*(COUNTIF(CONFIG_ASIGNATURAS!$B$7:$B$27,nASIG)&gt;0)*1),"")))</f>
        <v/>
      </c>
      <c r="T54" t="str">
        <f>IF(S54="","",IF(S54="[FÓRMULA MANUAL]","",IFERROR(AVERAGEIFS(nNOTA,nNIA,S54,nCUENTA,1,nASIG,"Armonía"),"")))</f>
        <v/>
      </c>
      <c r="U54" t="str">
        <f>IF(S54="","",IF(S54="[FÓRMULA MANUAL]","",IFERROR(AVERAGEIFS(nNOTA,nNIA,S54,nCUENTA,1,nASIG,"Orquesta/Banda/Conjunto"),"")))</f>
        <v/>
      </c>
      <c r="V54" t="str">
        <f>IF(S54="","",IF(S54="[FÓRMULA MANUAL]","",IFERROR(AVERAGEIFS(nNOTA,nNIA,S54,nCUENTA,1,nASIG,"Música de Cámara"),"")))</f>
        <v/>
      </c>
      <c r="W54" t="str">
        <f>IF(S54="","",IF(S54="[FÓRMULA MANUAL]","",IFERROR(SUMPRODUCT((nNIA=S54)*(nCUENTA=1)*(COUNTIF(CONFIG_ASIGNATURAS!$B$7:$B$27,nASIG)&gt;0)*(nNOTA))/SUMPRODUCT((nNIA=S54)*(nCUENTA=1)*(COUNTIF(CONFIG_ASIGNATURAS!$B$7:$B$27,nASIG)&gt;0)*1),"")))</f>
        <v/>
      </c>
      <c r="Z54" t="str">
        <f>IF(Y54="","",IF(Y54="[FÓRMULA MANUAL]","",IFERROR(AVERAGEIFS(nNOTA,nNIA,Y54,nCUENTA,1,nASIG,"Análisis"),"")))</f>
        <v/>
      </c>
      <c r="AA54" t="str">
        <f>IF(Y54="","",IF(Y54="[FÓRMULA MANUAL]","",IFERROR(AVERAGEIFS(nNOTA,nNIA,Y54,nCUENTA,1,nASIG,"Orquesta/Banda/Conjunto"),"")))</f>
        <v/>
      </c>
      <c r="AB54" t="str">
        <f>IF(Y54="","",IF(Y54="[FÓRMULA MANUAL]","",IFERROR(AVERAGEIFS(nNOTA,nNIA,Y54,nCUENTA,1,nASIG,"Música de Cámara"),"")))</f>
        <v/>
      </c>
      <c r="AC54" t="str">
        <f>IF(Y54="","",IF(Y54="[FÓRMULA MANUAL]","",IFERROR(SUMPRODUCT((nNIA=Y54)*(nCUENTA=1)*(COUNTIF(CONFIG_ASIGNATURAS!$B$7:$B$27,nASIG)&gt;0)*(nNOTA))/SUMPRODUCT((nNIA=Y54)*(nCUENTA=1)*(COUNTIF(CONFIG_ASIGNATURAS!$B$7:$B$27,nASIG)&gt;0)*1),"")))</f>
        <v/>
      </c>
      <c r="AF54" t="str">
        <f>IF(AE54="","",IF(AE54="[FÓRMULA MANUAL]","",IFERROR(AVERAGEIFS(nNOTA,nNIA,AE54,nCUENTA,1,nASIG,"Análisis"),"")))</f>
        <v/>
      </c>
      <c r="AG54" t="str">
        <f>IF(AE54="","",IF(AE54="[FÓRMULA MANUAL]","",IFERROR(AVERAGEIFS(nNOTA,nNIA,AE54,nCUENTA,1,nASIG,"Orquesta/Banda/Conjunto"),"")))</f>
        <v/>
      </c>
      <c r="AH54" t="str">
        <f>IF(AE54="","",IF(AE54="[FÓRMULA MANUAL]","",IFERROR(AVERAGEIFS(nNOTA,nNIA,AE54,nCUENTA,1,nASIG,"Música de Cámara"),"")))</f>
        <v/>
      </c>
      <c r="AI54" t="str">
        <f>IF(AE54="","",IF(AE54="[FÓRMULA MANUAL]","",IFERROR(SUMPRODUCT((nNIA=AE54)*(nCUENTA=1)*(COUNTIF(CONFIG_ASIGNATURAS!$B$7:$B$27,nASIG)&gt;0)*(nNOTA))/SUMPRODUCT((nNIA=AE54)*(nCUENTA=1)*(COUNTIF(CONFIG_ASIGNATURAS!$B$7:$B$27,nASIG)&gt;0)*1),"")))</f>
        <v/>
      </c>
    </row>
    <row r="55" spans="2:35" x14ac:dyDescent="0.2">
      <c r="B55" t="str">
        <f>IF(A55="","",IF(A55="[FÓRMULA MANUAL]","",IFERROR(AVERAGEIFS(nNOTA,nNIA,A55,nCUENTA,1,nASIG,"Lenguaje Musical"),"")))</f>
        <v/>
      </c>
      <c r="C55" t="str">
        <f>IF(A55="","",IF(A55="[FÓRMULA MANUAL]","",IFERROR(AVERAGEIFS(nNOTA,nNIA,A55,nCUENTA,1,nASIG,"Orquesta/Banda/Conjunto"),"")))</f>
        <v/>
      </c>
      <c r="D55" t="str">
        <f>IF(A55="","",IF(A55="[FÓRMULA MANUAL]","",IFERROR(AVERAGEIFS(nNOTA,nNIA,A55,nCUENTA,1,nASIG,"Conjunto"),"")))</f>
        <v/>
      </c>
      <c r="E55" t="str">
        <f>IF(A55="","",IF(A55="[FÓRMULA MANUAL]","",IFERROR(SUMPRODUCT((nNIA=A55)*(nCUENTA=1)*(COUNTIF(CONFIG_ASIGNATURAS!$B$7:$B$27,nASIG)&gt;0)*(nNOTA))/SUMPRODUCT((nNIA=A55)*(nCUENTA=1)*(COUNTIF(CONFIG_ASIGNATURAS!$B$7:$B$27,nASIG)&gt;0)*1),"")))</f>
        <v/>
      </c>
      <c r="H55" t="str">
        <f>IF(G55="","",IF(G55="[FÓRMULA MANUAL]","",IFERROR(AVERAGEIFS(nNOTA,nNIA,G55,nCUENTA,1,nASIG,"Lenguaje Musical"),"")))</f>
        <v/>
      </c>
      <c r="I55" t="str">
        <f>IF(G55="","",IF(G55="[FÓRMULA MANUAL]","",IFERROR(AVERAGEIFS(nNOTA,nNIA,G55,nCUENTA,1,nASIG,"Orquesta/Banda/Conjunto"),"")))</f>
        <v/>
      </c>
      <c r="J55" t="str">
        <f>IF(G55="","",IF(G55="[FÓRMULA MANUAL]","",IFERROR(AVERAGEIFS(nNOTA,nNIA,G55,nCUENTA,1,nASIG,"Conjunto"),"")))</f>
        <v/>
      </c>
      <c r="K55" t="str">
        <f>IF(G55="","",IF(G55="[FÓRMULA MANUAL]","",IFERROR(SUMPRODUCT((nNIA=G55)*(nCUENTA=1)*(COUNTIF(CONFIG_ASIGNATURAS!$B$7:$B$27,nASIG)&gt;0)*(nNOTA))/SUMPRODUCT((nNIA=G55)*(nCUENTA=1)*(COUNTIF(CONFIG_ASIGNATURAS!$B$7:$B$27,nASIG)&gt;0)*1),"")))</f>
        <v/>
      </c>
      <c r="N55" t="str">
        <f>IF(M55="","",IF(M55="[FÓRMULA MANUAL]","",IFERROR(AVERAGEIFS(nNOTA,nNIA,M55,nCUENTA,1,nASIG,"Armonía"),"")))</f>
        <v/>
      </c>
      <c r="O55" t="str">
        <f>IF(M55="","",IF(M55="[FÓRMULA MANUAL]","",IFERROR(AVERAGEIFS(nNOTA,nNIA,M55,nCUENTA,1,nASIG,"Orquesta/Banda/Conjunto"),"")))</f>
        <v/>
      </c>
      <c r="P55" t="str">
        <f>IF(M55="","",IF(M55="[FÓRMULA MANUAL]","",IFERROR(AVERAGEIFS(nNOTA,nNIA,M55,nCUENTA,1,nASIG,"Música de Cámara"),"")))</f>
        <v/>
      </c>
      <c r="Q55" t="str">
        <f>IF(M55="","",IF(M55="[FÓRMULA MANUAL]","",IFERROR(SUMPRODUCT((nNIA=M55)*(nCUENTA=1)*(COUNTIF(CONFIG_ASIGNATURAS!$B$7:$B$27,nASIG)&gt;0)*(nNOTA))/SUMPRODUCT((nNIA=M55)*(nCUENTA=1)*(COUNTIF(CONFIG_ASIGNATURAS!$B$7:$B$27,nASIG)&gt;0)*1),"")))</f>
        <v/>
      </c>
      <c r="T55" t="str">
        <f>IF(S55="","",IF(S55="[FÓRMULA MANUAL]","",IFERROR(AVERAGEIFS(nNOTA,nNIA,S55,nCUENTA,1,nASIG,"Armonía"),"")))</f>
        <v/>
      </c>
      <c r="U55" t="str">
        <f>IF(S55="","",IF(S55="[FÓRMULA MANUAL]","",IFERROR(AVERAGEIFS(nNOTA,nNIA,S55,nCUENTA,1,nASIG,"Orquesta/Banda/Conjunto"),"")))</f>
        <v/>
      </c>
      <c r="V55" t="str">
        <f>IF(S55="","",IF(S55="[FÓRMULA MANUAL]","",IFERROR(AVERAGEIFS(nNOTA,nNIA,S55,nCUENTA,1,nASIG,"Música de Cámara"),"")))</f>
        <v/>
      </c>
      <c r="W55" t="str">
        <f>IF(S55="","",IF(S55="[FÓRMULA MANUAL]","",IFERROR(SUMPRODUCT((nNIA=S55)*(nCUENTA=1)*(COUNTIF(CONFIG_ASIGNATURAS!$B$7:$B$27,nASIG)&gt;0)*(nNOTA))/SUMPRODUCT((nNIA=S55)*(nCUENTA=1)*(COUNTIF(CONFIG_ASIGNATURAS!$B$7:$B$27,nASIG)&gt;0)*1),"")))</f>
        <v/>
      </c>
      <c r="Z55" t="str">
        <f>IF(Y55="","",IF(Y55="[FÓRMULA MANUAL]","",IFERROR(AVERAGEIFS(nNOTA,nNIA,Y55,nCUENTA,1,nASIG,"Análisis"),"")))</f>
        <v/>
      </c>
      <c r="AA55" t="str">
        <f>IF(Y55="","",IF(Y55="[FÓRMULA MANUAL]","",IFERROR(AVERAGEIFS(nNOTA,nNIA,Y55,nCUENTA,1,nASIG,"Orquesta/Banda/Conjunto"),"")))</f>
        <v/>
      </c>
      <c r="AB55" t="str">
        <f>IF(Y55="","",IF(Y55="[FÓRMULA MANUAL]","",IFERROR(AVERAGEIFS(nNOTA,nNIA,Y55,nCUENTA,1,nASIG,"Música de Cámara"),"")))</f>
        <v/>
      </c>
      <c r="AC55" t="str">
        <f>IF(Y55="","",IF(Y55="[FÓRMULA MANUAL]","",IFERROR(SUMPRODUCT((nNIA=Y55)*(nCUENTA=1)*(COUNTIF(CONFIG_ASIGNATURAS!$B$7:$B$27,nASIG)&gt;0)*(nNOTA))/SUMPRODUCT((nNIA=Y55)*(nCUENTA=1)*(COUNTIF(CONFIG_ASIGNATURAS!$B$7:$B$27,nASIG)&gt;0)*1),"")))</f>
        <v/>
      </c>
      <c r="AF55" t="str">
        <f>IF(AE55="","",IF(AE55="[FÓRMULA MANUAL]","",IFERROR(AVERAGEIFS(nNOTA,nNIA,AE55,nCUENTA,1,nASIG,"Análisis"),"")))</f>
        <v/>
      </c>
      <c r="AG55" t="str">
        <f>IF(AE55="","",IF(AE55="[FÓRMULA MANUAL]","",IFERROR(AVERAGEIFS(nNOTA,nNIA,AE55,nCUENTA,1,nASIG,"Orquesta/Banda/Conjunto"),"")))</f>
        <v/>
      </c>
      <c r="AH55" t="str">
        <f>IF(AE55="","",IF(AE55="[FÓRMULA MANUAL]","",IFERROR(AVERAGEIFS(nNOTA,nNIA,AE55,nCUENTA,1,nASIG,"Música de Cámara"),"")))</f>
        <v/>
      </c>
      <c r="AI55" t="str">
        <f>IF(AE55="","",IF(AE55="[FÓRMULA MANUAL]","",IFERROR(SUMPRODUCT((nNIA=AE55)*(nCUENTA=1)*(COUNTIF(CONFIG_ASIGNATURAS!$B$7:$B$27,nASIG)&gt;0)*(nNOTA))/SUMPRODUCT((nNIA=AE55)*(nCUENTA=1)*(COUNTIF(CONFIG_ASIGNATURAS!$B$7:$B$27,nASIG)&gt;0)*1),"")))</f>
        <v/>
      </c>
    </row>
    <row r="56" spans="2:35" x14ac:dyDescent="0.2">
      <c r="B56" t="str">
        <f>IF(A56="","",IF(A56="[FÓRMULA MANUAL]","",IFERROR(AVERAGEIFS(nNOTA,nNIA,A56,nCUENTA,1,nASIG,"Lenguaje Musical"),"")))</f>
        <v/>
      </c>
      <c r="C56" t="str">
        <f>IF(A56="","",IF(A56="[FÓRMULA MANUAL]","",IFERROR(AVERAGEIFS(nNOTA,nNIA,A56,nCUENTA,1,nASIG,"Orquesta/Banda/Conjunto"),"")))</f>
        <v/>
      </c>
      <c r="D56" t="str">
        <f>IF(A56="","",IF(A56="[FÓRMULA MANUAL]","",IFERROR(AVERAGEIFS(nNOTA,nNIA,A56,nCUENTA,1,nASIG,"Conjunto"),"")))</f>
        <v/>
      </c>
      <c r="E56" t="str">
        <f>IF(A56="","",IF(A56="[FÓRMULA MANUAL]","",IFERROR(SUMPRODUCT((nNIA=A56)*(nCUENTA=1)*(COUNTIF(CONFIG_ASIGNATURAS!$B$7:$B$27,nASIG)&gt;0)*(nNOTA))/SUMPRODUCT((nNIA=A56)*(nCUENTA=1)*(COUNTIF(CONFIG_ASIGNATURAS!$B$7:$B$27,nASIG)&gt;0)*1),"")))</f>
        <v/>
      </c>
      <c r="H56" t="str">
        <f>IF(G56="","",IF(G56="[FÓRMULA MANUAL]","",IFERROR(AVERAGEIFS(nNOTA,nNIA,G56,nCUENTA,1,nASIG,"Lenguaje Musical"),"")))</f>
        <v/>
      </c>
      <c r="I56" t="str">
        <f>IF(G56="","",IF(G56="[FÓRMULA MANUAL]","",IFERROR(AVERAGEIFS(nNOTA,nNIA,G56,nCUENTA,1,nASIG,"Orquesta/Banda/Conjunto"),"")))</f>
        <v/>
      </c>
      <c r="J56" t="str">
        <f>IF(G56="","",IF(G56="[FÓRMULA MANUAL]","",IFERROR(AVERAGEIFS(nNOTA,nNIA,G56,nCUENTA,1,nASIG,"Conjunto"),"")))</f>
        <v/>
      </c>
      <c r="K56" t="str">
        <f>IF(G56="","",IF(G56="[FÓRMULA MANUAL]","",IFERROR(SUMPRODUCT((nNIA=G56)*(nCUENTA=1)*(COUNTIF(CONFIG_ASIGNATURAS!$B$7:$B$27,nASIG)&gt;0)*(nNOTA))/SUMPRODUCT((nNIA=G56)*(nCUENTA=1)*(COUNTIF(CONFIG_ASIGNATURAS!$B$7:$B$27,nASIG)&gt;0)*1),"")))</f>
        <v/>
      </c>
      <c r="N56" t="str">
        <f>IF(M56="","",IF(M56="[FÓRMULA MANUAL]","",IFERROR(AVERAGEIFS(nNOTA,nNIA,M56,nCUENTA,1,nASIG,"Armonía"),"")))</f>
        <v/>
      </c>
      <c r="O56" t="str">
        <f>IF(M56="","",IF(M56="[FÓRMULA MANUAL]","",IFERROR(AVERAGEIFS(nNOTA,nNIA,M56,nCUENTA,1,nASIG,"Orquesta/Banda/Conjunto"),"")))</f>
        <v/>
      </c>
      <c r="P56" t="str">
        <f>IF(M56="","",IF(M56="[FÓRMULA MANUAL]","",IFERROR(AVERAGEIFS(nNOTA,nNIA,M56,nCUENTA,1,nASIG,"Música de Cámara"),"")))</f>
        <v/>
      </c>
      <c r="Q56" t="str">
        <f>IF(M56="","",IF(M56="[FÓRMULA MANUAL]","",IFERROR(SUMPRODUCT((nNIA=M56)*(nCUENTA=1)*(COUNTIF(CONFIG_ASIGNATURAS!$B$7:$B$27,nASIG)&gt;0)*(nNOTA))/SUMPRODUCT((nNIA=M56)*(nCUENTA=1)*(COUNTIF(CONFIG_ASIGNATURAS!$B$7:$B$27,nASIG)&gt;0)*1),"")))</f>
        <v/>
      </c>
      <c r="T56" t="str">
        <f>IF(S56="","",IF(S56="[FÓRMULA MANUAL]","",IFERROR(AVERAGEIFS(nNOTA,nNIA,S56,nCUENTA,1,nASIG,"Armonía"),"")))</f>
        <v/>
      </c>
      <c r="U56" t="str">
        <f>IF(S56="","",IF(S56="[FÓRMULA MANUAL]","",IFERROR(AVERAGEIFS(nNOTA,nNIA,S56,nCUENTA,1,nASIG,"Orquesta/Banda/Conjunto"),"")))</f>
        <v/>
      </c>
      <c r="V56" t="str">
        <f>IF(S56="","",IF(S56="[FÓRMULA MANUAL]","",IFERROR(AVERAGEIFS(nNOTA,nNIA,S56,nCUENTA,1,nASIG,"Música de Cámara"),"")))</f>
        <v/>
      </c>
      <c r="W56" t="str">
        <f>IF(S56="","",IF(S56="[FÓRMULA MANUAL]","",IFERROR(SUMPRODUCT((nNIA=S56)*(nCUENTA=1)*(COUNTIF(CONFIG_ASIGNATURAS!$B$7:$B$27,nASIG)&gt;0)*(nNOTA))/SUMPRODUCT((nNIA=S56)*(nCUENTA=1)*(COUNTIF(CONFIG_ASIGNATURAS!$B$7:$B$27,nASIG)&gt;0)*1),"")))</f>
        <v/>
      </c>
      <c r="Z56" t="str">
        <f>IF(Y56="","",IF(Y56="[FÓRMULA MANUAL]","",IFERROR(AVERAGEIFS(nNOTA,nNIA,Y56,nCUENTA,1,nASIG,"Análisis"),"")))</f>
        <v/>
      </c>
      <c r="AA56" t="str">
        <f>IF(Y56="","",IF(Y56="[FÓRMULA MANUAL]","",IFERROR(AVERAGEIFS(nNOTA,nNIA,Y56,nCUENTA,1,nASIG,"Orquesta/Banda/Conjunto"),"")))</f>
        <v/>
      </c>
      <c r="AB56" t="str">
        <f>IF(Y56="","",IF(Y56="[FÓRMULA MANUAL]","",IFERROR(AVERAGEIFS(nNOTA,nNIA,Y56,nCUENTA,1,nASIG,"Música de Cámara"),"")))</f>
        <v/>
      </c>
      <c r="AC56" t="str">
        <f>IF(Y56="","",IF(Y56="[FÓRMULA MANUAL]","",IFERROR(SUMPRODUCT((nNIA=Y56)*(nCUENTA=1)*(COUNTIF(CONFIG_ASIGNATURAS!$B$7:$B$27,nASIG)&gt;0)*(nNOTA))/SUMPRODUCT((nNIA=Y56)*(nCUENTA=1)*(COUNTIF(CONFIG_ASIGNATURAS!$B$7:$B$27,nASIG)&gt;0)*1),"")))</f>
        <v/>
      </c>
      <c r="AF56" t="str">
        <f>IF(AE56="","",IF(AE56="[FÓRMULA MANUAL]","",IFERROR(AVERAGEIFS(nNOTA,nNIA,AE56,nCUENTA,1,nASIG,"Análisis"),"")))</f>
        <v/>
      </c>
      <c r="AG56" t="str">
        <f>IF(AE56="","",IF(AE56="[FÓRMULA MANUAL]","",IFERROR(AVERAGEIFS(nNOTA,nNIA,AE56,nCUENTA,1,nASIG,"Orquesta/Banda/Conjunto"),"")))</f>
        <v/>
      </c>
      <c r="AH56" t="str">
        <f>IF(AE56="","",IF(AE56="[FÓRMULA MANUAL]","",IFERROR(AVERAGEIFS(nNOTA,nNIA,AE56,nCUENTA,1,nASIG,"Música de Cámara"),"")))</f>
        <v/>
      </c>
      <c r="AI56" t="str">
        <f>IF(AE56="","",IF(AE56="[FÓRMULA MANUAL]","",IFERROR(SUMPRODUCT((nNIA=AE56)*(nCUENTA=1)*(COUNTIF(CONFIG_ASIGNATURAS!$B$7:$B$27,nASIG)&gt;0)*(nNOTA))/SUMPRODUCT((nNIA=AE56)*(nCUENTA=1)*(COUNTIF(CONFIG_ASIGNATURAS!$B$7:$B$27,nASIG)&gt;0)*1),"")))</f>
        <v/>
      </c>
    </row>
    <row r="57" spans="2:35" x14ac:dyDescent="0.2">
      <c r="B57" t="str">
        <f>IF(A57="","",IF(A57="[FÓRMULA MANUAL]","",IFERROR(AVERAGEIFS(nNOTA,nNIA,A57,nCUENTA,1,nASIG,"Lenguaje Musical"),"")))</f>
        <v/>
      </c>
      <c r="C57" t="str">
        <f>IF(A57="","",IF(A57="[FÓRMULA MANUAL]","",IFERROR(AVERAGEIFS(nNOTA,nNIA,A57,nCUENTA,1,nASIG,"Orquesta/Banda/Conjunto"),"")))</f>
        <v/>
      </c>
      <c r="D57" t="str">
        <f>IF(A57="","",IF(A57="[FÓRMULA MANUAL]","",IFERROR(AVERAGEIFS(nNOTA,nNIA,A57,nCUENTA,1,nASIG,"Conjunto"),"")))</f>
        <v/>
      </c>
      <c r="E57" t="str">
        <f>IF(A57="","",IF(A57="[FÓRMULA MANUAL]","",IFERROR(SUMPRODUCT((nNIA=A57)*(nCUENTA=1)*(COUNTIF(CONFIG_ASIGNATURAS!$B$7:$B$27,nASIG)&gt;0)*(nNOTA))/SUMPRODUCT((nNIA=A57)*(nCUENTA=1)*(COUNTIF(CONFIG_ASIGNATURAS!$B$7:$B$27,nASIG)&gt;0)*1),"")))</f>
        <v/>
      </c>
      <c r="H57" t="str">
        <f>IF(G57="","",IF(G57="[FÓRMULA MANUAL]","",IFERROR(AVERAGEIFS(nNOTA,nNIA,G57,nCUENTA,1,nASIG,"Lenguaje Musical"),"")))</f>
        <v/>
      </c>
      <c r="I57" t="str">
        <f>IF(G57="","",IF(G57="[FÓRMULA MANUAL]","",IFERROR(AVERAGEIFS(nNOTA,nNIA,G57,nCUENTA,1,nASIG,"Orquesta/Banda/Conjunto"),"")))</f>
        <v/>
      </c>
      <c r="J57" t="str">
        <f>IF(G57="","",IF(G57="[FÓRMULA MANUAL]","",IFERROR(AVERAGEIFS(nNOTA,nNIA,G57,nCUENTA,1,nASIG,"Conjunto"),"")))</f>
        <v/>
      </c>
      <c r="K57" t="str">
        <f>IF(G57="","",IF(G57="[FÓRMULA MANUAL]","",IFERROR(SUMPRODUCT((nNIA=G57)*(nCUENTA=1)*(COUNTIF(CONFIG_ASIGNATURAS!$B$7:$B$27,nASIG)&gt;0)*(nNOTA))/SUMPRODUCT((nNIA=G57)*(nCUENTA=1)*(COUNTIF(CONFIG_ASIGNATURAS!$B$7:$B$27,nASIG)&gt;0)*1),"")))</f>
        <v/>
      </c>
      <c r="N57" t="str">
        <f>IF(M57="","",IF(M57="[FÓRMULA MANUAL]","",IFERROR(AVERAGEIFS(nNOTA,nNIA,M57,nCUENTA,1,nASIG,"Armonía"),"")))</f>
        <v/>
      </c>
      <c r="O57" t="str">
        <f>IF(M57="","",IF(M57="[FÓRMULA MANUAL]","",IFERROR(AVERAGEIFS(nNOTA,nNIA,M57,nCUENTA,1,nASIG,"Orquesta/Banda/Conjunto"),"")))</f>
        <v/>
      </c>
      <c r="P57" t="str">
        <f>IF(M57="","",IF(M57="[FÓRMULA MANUAL]","",IFERROR(AVERAGEIFS(nNOTA,nNIA,M57,nCUENTA,1,nASIG,"Música de Cámara"),"")))</f>
        <v/>
      </c>
      <c r="Q57" t="str">
        <f>IF(M57="","",IF(M57="[FÓRMULA MANUAL]","",IFERROR(SUMPRODUCT((nNIA=M57)*(nCUENTA=1)*(COUNTIF(CONFIG_ASIGNATURAS!$B$7:$B$27,nASIG)&gt;0)*(nNOTA))/SUMPRODUCT((nNIA=M57)*(nCUENTA=1)*(COUNTIF(CONFIG_ASIGNATURAS!$B$7:$B$27,nASIG)&gt;0)*1),"")))</f>
        <v/>
      </c>
      <c r="T57" t="str">
        <f>IF(S57="","",IF(S57="[FÓRMULA MANUAL]","",IFERROR(AVERAGEIFS(nNOTA,nNIA,S57,nCUENTA,1,nASIG,"Armonía"),"")))</f>
        <v/>
      </c>
      <c r="U57" t="str">
        <f>IF(S57="","",IF(S57="[FÓRMULA MANUAL]","",IFERROR(AVERAGEIFS(nNOTA,nNIA,S57,nCUENTA,1,nASIG,"Orquesta/Banda/Conjunto"),"")))</f>
        <v/>
      </c>
      <c r="V57" t="str">
        <f>IF(S57="","",IF(S57="[FÓRMULA MANUAL]","",IFERROR(AVERAGEIFS(nNOTA,nNIA,S57,nCUENTA,1,nASIG,"Música de Cámara"),"")))</f>
        <v/>
      </c>
      <c r="W57" t="str">
        <f>IF(S57="","",IF(S57="[FÓRMULA MANUAL]","",IFERROR(SUMPRODUCT((nNIA=S57)*(nCUENTA=1)*(COUNTIF(CONFIG_ASIGNATURAS!$B$7:$B$27,nASIG)&gt;0)*(nNOTA))/SUMPRODUCT((nNIA=S57)*(nCUENTA=1)*(COUNTIF(CONFIG_ASIGNATURAS!$B$7:$B$27,nASIG)&gt;0)*1),"")))</f>
        <v/>
      </c>
      <c r="Z57" t="str">
        <f>IF(Y57="","",IF(Y57="[FÓRMULA MANUAL]","",IFERROR(AVERAGEIFS(nNOTA,nNIA,Y57,nCUENTA,1,nASIG,"Análisis"),"")))</f>
        <v/>
      </c>
      <c r="AA57" t="str">
        <f>IF(Y57="","",IF(Y57="[FÓRMULA MANUAL]","",IFERROR(AVERAGEIFS(nNOTA,nNIA,Y57,nCUENTA,1,nASIG,"Orquesta/Banda/Conjunto"),"")))</f>
        <v/>
      </c>
      <c r="AB57" t="str">
        <f>IF(Y57="","",IF(Y57="[FÓRMULA MANUAL]","",IFERROR(AVERAGEIFS(nNOTA,nNIA,Y57,nCUENTA,1,nASIG,"Música de Cámara"),"")))</f>
        <v/>
      </c>
      <c r="AC57" t="str">
        <f>IF(Y57="","",IF(Y57="[FÓRMULA MANUAL]","",IFERROR(SUMPRODUCT((nNIA=Y57)*(nCUENTA=1)*(COUNTIF(CONFIG_ASIGNATURAS!$B$7:$B$27,nASIG)&gt;0)*(nNOTA))/SUMPRODUCT((nNIA=Y57)*(nCUENTA=1)*(COUNTIF(CONFIG_ASIGNATURAS!$B$7:$B$27,nASIG)&gt;0)*1),"")))</f>
        <v/>
      </c>
      <c r="AF57" t="str">
        <f>IF(AE57="","",IF(AE57="[FÓRMULA MANUAL]","",IFERROR(AVERAGEIFS(nNOTA,nNIA,AE57,nCUENTA,1,nASIG,"Análisis"),"")))</f>
        <v/>
      </c>
      <c r="AG57" t="str">
        <f>IF(AE57="","",IF(AE57="[FÓRMULA MANUAL]","",IFERROR(AVERAGEIFS(nNOTA,nNIA,AE57,nCUENTA,1,nASIG,"Orquesta/Banda/Conjunto"),"")))</f>
        <v/>
      </c>
      <c r="AH57" t="str">
        <f>IF(AE57="","",IF(AE57="[FÓRMULA MANUAL]","",IFERROR(AVERAGEIFS(nNOTA,nNIA,AE57,nCUENTA,1,nASIG,"Música de Cámara"),"")))</f>
        <v/>
      </c>
      <c r="AI57" t="str">
        <f>IF(AE57="","",IF(AE57="[FÓRMULA MANUAL]","",IFERROR(SUMPRODUCT((nNIA=AE57)*(nCUENTA=1)*(COUNTIF(CONFIG_ASIGNATURAS!$B$7:$B$27,nASIG)&gt;0)*(nNOTA))/SUMPRODUCT((nNIA=AE57)*(nCUENTA=1)*(COUNTIF(CONFIG_ASIGNATURAS!$B$7:$B$27,nASIG)&gt;0)*1),"")))</f>
        <v/>
      </c>
    </row>
    <row r="58" spans="2:35" x14ac:dyDescent="0.2">
      <c r="B58" t="str">
        <f>IF(A58="","",IF(A58="[FÓRMULA MANUAL]","",IFERROR(AVERAGEIFS(nNOTA,nNIA,A58,nCUENTA,1,nASIG,"Lenguaje Musical"),"")))</f>
        <v/>
      </c>
      <c r="C58" t="str">
        <f>IF(A58="","",IF(A58="[FÓRMULA MANUAL]","",IFERROR(AVERAGEIFS(nNOTA,nNIA,A58,nCUENTA,1,nASIG,"Orquesta/Banda/Conjunto"),"")))</f>
        <v/>
      </c>
      <c r="D58" t="str">
        <f>IF(A58="","",IF(A58="[FÓRMULA MANUAL]","",IFERROR(AVERAGEIFS(nNOTA,nNIA,A58,nCUENTA,1,nASIG,"Conjunto"),"")))</f>
        <v/>
      </c>
      <c r="E58" t="str">
        <f>IF(A58="","",IF(A58="[FÓRMULA MANUAL]","",IFERROR(SUMPRODUCT((nNIA=A58)*(nCUENTA=1)*(COUNTIF(CONFIG_ASIGNATURAS!$B$7:$B$27,nASIG)&gt;0)*(nNOTA))/SUMPRODUCT((nNIA=A58)*(nCUENTA=1)*(COUNTIF(CONFIG_ASIGNATURAS!$B$7:$B$27,nASIG)&gt;0)*1),"")))</f>
        <v/>
      </c>
      <c r="H58" t="str">
        <f>IF(G58="","",IF(G58="[FÓRMULA MANUAL]","",IFERROR(AVERAGEIFS(nNOTA,nNIA,G58,nCUENTA,1,nASIG,"Lenguaje Musical"),"")))</f>
        <v/>
      </c>
      <c r="I58" t="str">
        <f>IF(G58="","",IF(G58="[FÓRMULA MANUAL]","",IFERROR(AVERAGEIFS(nNOTA,nNIA,G58,nCUENTA,1,nASIG,"Orquesta/Banda/Conjunto"),"")))</f>
        <v/>
      </c>
      <c r="J58" t="str">
        <f>IF(G58="","",IF(G58="[FÓRMULA MANUAL]","",IFERROR(AVERAGEIFS(nNOTA,nNIA,G58,nCUENTA,1,nASIG,"Conjunto"),"")))</f>
        <v/>
      </c>
      <c r="K58" t="str">
        <f>IF(G58="","",IF(G58="[FÓRMULA MANUAL]","",IFERROR(SUMPRODUCT((nNIA=G58)*(nCUENTA=1)*(COUNTIF(CONFIG_ASIGNATURAS!$B$7:$B$27,nASIG)&gt;0)*(nNOTA))/SUMPRODUCT((nNIA=G58)*(nCUENTA=1)*(COUNTIF(CONFIG_ASIGNATURAS!$B$7:$B$27,nASIG)&gt;0)*1),"")))</f>
        <v/>
      </c>
      <c r="N58" t="str">
        <f>IF(M58="","",IF(M58="[FÓRMULA MANUAL]","",IFERROR(AVERAGEIFS(nNOTA,nNIA,M58,nCUENTA,1,nASIG,"Armonía"),"")))</f>
        <v/>
      </c>
      <c r="O58" t="str">
        <f>IF(M58="","",IF(M58="[FÓRMULA MANUAL]","",IFERROR(AVERAGEIFS(nNOTA,nNIA,M58,nCUENTA,1,nASIG,"Orquesta/Banda/Conjunto"),"")))</f>
        <v/>
      </c>
      <c r="P58" t="str">
        <f>IF(M58="","",IF(M58="[FÓRMULA MANUAL]","",IFERROR(AVERAGEIFS(nNOTA,nNIA,M58,nCUENTA,1,nASIG,"Música de Cámara"),"")))</f>
        <v/>
      </c>
      <c r="Q58" t="str">
        <f>IF(M58="","",IF(M58="[FÓRMULA MANUAL]","",IFERROR(SUMPRODUCT((nNIA=M58)*(nCUENTA=1)*(COUNTIF(CONFIG_ASIGNATURAS!$B$7:$B$27,nASIG)&gt;0)*(nNOTA))/SUMPRODUCT((nNIA=M58)*(nCUENTA=1)*(COUNTIF(CONFIG_ASIGNATURAS!$B$7:$B$27,nASIG)&gt;0)*1),"")))</f>
        <v/>
      </c>
      <c r="T58" t="str">
        <f>IF(S58="","",IF(S58="[FÓRMULA MANUAL]","",IFERROR(AVERAGEIFS(nNOTA,nNIA,S58,nCUENTA,1,nASIG,"Armonía"),"")))</f>
        <v/>
      </c>
      <c r="U58" t="str">
        <f>IF(S58="","",IF(S58="[FÓRMULA MANUAL]","",IFERROR(AVERAGEIFS(nNOTA,nNIA,S58,nCUENTA,1,nASIG,"Orquesta/Banda/Conjunto"),"")))</f>
        <v/>
      </c>
      <c r="V58" t="str">
        <f>IF(S58="","",IF(S58="[FÓRMULA MANUAL]","",IFERROR(AVERAGEIFS(nNOTA,nNIA,S58,nCUENTA,1,nASIG,"Música de Cámara"),"")))</f>
        <v/>
      </c>
      <c r="W58" t="str">
        <f>IF(S58="","",IF(S58="[FÓRMULA MANUAL]","",IFERROR(SUMPRODUCT((nNIA=S58)*(nCUENTA=1)*(COUNTIF(CONFIG_ASIGNATURAS!$B$7:$B$27,nASIG)&gt;0)*(nNOTA))/SUMPRODUCT((nNIA=S58)*(nCUENTA=1)*(COUNTIF(CONFIG_ASIGNATURAS!$B$7:$B$27,nASIG)&gt;0)*1),"")))</f>
        <v/>
      </c>
      <c r="Z58" t="str">
        <f>IF(Y58="","",IF(Y58="[FÓRMULA MANUAL]","",IFERROR(AVERAGEIFS(nNOTA,nNIA,Y58,nCUENTA,1,nASIG,"Análisis"),"")))</f>
        <v/>
      </c>
      <c r="AA58" t="str">
        <f>IF(Y58="","",IF(Y58="[FÓRMULA MANUAL]","",IFERROR(AVERAGEIFS(nNOTA,nNIA,Y58,nCUENTA,1,nASIG,"Orquesta/Banda/Conjunto"),"")))</f>
        <v/>
      </c>
      <c r="AB58" t="str">
        <f>IF(Y58="","",IF(Y58="[FÓRMULA MANUAL]","",IFERROR(AVERAGEIFS(nNOTA,nNIA,Y58,nCUENTA,1,nASIG,"Música de Cámara"),"")))</f>
        <v/>
      </c>
      <c r="AC58" t="str">
        <f>IF(Y58="","",IF(Y58="[FÓRMULA MANUAL]","",IFERROR(SUMPRODUCT((nNIA=Y58)*(nCUENTA=1)*(COUNTIF(CONFIG_ASIGNATURAS!$B$7:$B$27,nASIG)&gt;0)*(nNOTA))/SUMPRODUCT((nNIA=Y58)*(nCUENTA=1)*(COUNTIF(CONFIG_ASIGNATURAS!$B$7:$B$27,nASIG)&gt;0)*1),"")))</f>
        <v/>
      </c>
      <c r="AF58" t="str">
        <f>IF(AE58="","",IF(AE58="[FÓRMULA MANUAL]","",IFERROR(AVERAGEIFS(nNOTA,nNIA,AE58,nCUENTA,1,nASIG,"Análisis"),"")))</f>
        <v/>
      </c>
      <c r="AG58" t="str">
        <f>IF(AE58="","",IF(AE58="[FÓRMULA MANUAL]","",IFERROR(AVERAGEIFS(nNOTA,nNIA,AE58,nCUENTA,1,nASIG,"Orquesta/Banda/Conjunto"),"")))</f>
        <v/>
      </c>
      <c r="AH58" t="str">
        <f>IF(AE58="","",IF(AE58="[FÓRMULA MANUAL]","",IFERROR(AVERAGEIFS(nNOTA,nNIA,AE58,nCUENTA,1,nASIG,"Música de Cámara"),"")))</f>
        <v/>
      </c>
      <c r="AI58" t="str">
        <f>IF(AE58="","",IF(AE58="[FÓRMULA MANUAL]","",IFERROR(SUMPRODUCT((nNIA=AE58)*(nCUENTA=1)*(COUNTIF(CONFIG_ASIGNATURAS!$B$7:$B$27,nASIG)&gt;0)*(nNOTA))/SUMPRODUCT((nNIA=AE58)*(nCUENTA=1)*(COUNTIF(CONFIG_ASIGNATURAS!$B$7:$B$27,nASIG)&gt;0)*1),"")))</f>
        <v/>
      </c>
    </row>
    <row r="59" spans="2:35" x14ac:dyDescent="0.2">
      <c r="B59" t="str">
        <f>IF(A59="","",IF(A59="[FÓRMULA MANUAL]","",IFERROR(AVERAGEIFS(nNOTA,nNIA,A59,nCUENTA,1,nASIG,"Lenguaje Musical"),"")))</f>
        <v/>
      </c>
      <c r="C59" t="str">
        <f>IF(A59="","",IF(A59="[FÓRMULA MANUAL]","",IFERROR(AVERAGEIFS(nNOTA,nNIA,A59,nCUENTA,1,nASIG,"Orquesta/Banda/Conjunto"),"")))</f>
        <v/>
      </c>
      <c r="D59" t="str">
        <f>IF(A59="","",IF(A59="[FÓRMULA MANUAL]","",IFERROR(AVERAGEIFS(nNOTA,nNIA,A59,nCUENTA,1,nASIG,"Conjunto"),"")))</f>
        <v/>
      </c>
      <c r="E59" t="str">
        <f>IF(A59="","",IF(A59="[FÓRMULA MANUAL]","",IFERROR(SUMPRODUCT((nNIA=A59)*(nCUENTA=1)*(COUNTIF(CONFIG_ASIGNATURAS!$B$7:$B$27,nASIG)&gt;0)*(nNOTA))/SUMPRODUCT((nNIA=A59)*(nCUENTA=1)*(COUNTIF(CONFIG_ASIGNATURAS!$B$7:$B$27,nASIG)&gt;0)*1),"")))</f>
        <v/>
      </c>
      <c r="H59" t="str">
        <f>IF(G59="","",IF(G59="[FÓRMULA MANUAL]","",IFERROR(AVERAGEIFS(nNOTA,nNIA,G59,nCUENTA,1,nASIG,"Lenguaje Musical"),"")))</f>
        <v/>
      </c>
      <c r="I59" t="str">
        <f>IF(G59="","",IF(G59="[FÓRMULA MANUAL]","",IFERROR(AVERAGEIFS(nNOTA,nNIA,G59,nCUENTA,1,nASIG,"Orquesta/Banda/Conjunto"),"")))</f>
        <v/>
      </c>
      <c r="J59" t="str">
        <f>IF(G59="","",IF(G59="[FÓRMULA MANUAL]","",IFERROR(AVERAGEIFS(nNOTA,nNIA,G59,nCUENTA,1,nASIG,"Conjunto"),"")))</f>
        <v/>
      </c>
      <c r="K59" t="str">
        <f>IF(G59="","",IF(G59="[FÓRMULA MANUAL]","",IFERROR(SUMPRODUCT((nNIA=G59)*(nCUENTA=1)*(COUNTIF(CONFIG_ASIGNATURAS!$B$7:$B$27,nASIG)&gt;0)*(nNOTA))/SUMPRODUCT((nNIA=G59)*(nCUENTA=1)*(COUNTIF(CONFIG_ASIGNATURAS!$B$7:$B$27,nASIG)&gt;0)*1),"")))</f>
        <v/>
      </c>
      <c r="N59" t="str">
        <f>IF(M59="","",IF(M59="[FÓRMULA MANUAL]","",IFERROR(AVERAGEIFS(nNOTA,nNIA,M59,nCUENTA,1,nASIG,"Armonía"),"")))</f>
        <v/>
      </c>
      <c r="O59" t="str">
        <f>IF(M59="","",IF(M59="[FÓRMULA MANUAL]","",IFERROR(AVERAGEIFS(nNOTA,nNIA,M59,nCUENTA,1,nASIG,"Orquesta/Banda/Conjunto"),"")))</f>
        <v/>
      </c>
      <c r="P59" t="str">
        <f>IF(M59="","",IF(M59="[FÓRMULA MANUAL]","",IFERROR(AVERAGEIFS(nNOTA,nNIA,M59,nCUENTA,1,nASIG,"Música de Cámara"),"")))</f>
        <v/>
      </c>
      <c r="Q59" t="str">
        <f>IF(M59="","",IF(M59="[FÓRMULA MANUAL]","",IFERROR(SUMPRODUCT((nNIA=M59)*(nCUENTA=1)*(COUNTIF(CONFIG_ASIGNATURAS!$B$7:$B$27,nASIG)&gt;0)*(nNOTA))/SUMPRODUCT((nNIA=M59)*(nCUENTA=1)*(COUNTIF(CONFIG_ASIGNATURAS!$B$7:$B$27,nASIG)&gt;0)*1),"")))</f>
        <v/>
      </c>
      <c r="T59" t="str">
        <f>IF(S59="","",IF(S59="[FÓRMULA MANUAL]","",IFERROR(AVERAGEIFS(nNOTA,nNIA,S59,nCUENTA,1,nASIG,"Armonía"),"")))</f>
        <v/>
      </c>
      <c r="U59" t="str">
        <f>IF(S59="","",IF(S59="[FÓRMULA MANUAL]","",IFERROR(AVERAGEIFS(nNOTA,nNIA,S59,nCUENTA,1,nASIG,"Orquesta/Banda/Conjunto"),"")))</f>
        <v/>
      </c>
      <c r="V59" t="str">
        <f>IF(S59="","",IF(S59="[FÓRMULA MANUAL]","",IFERROR(AVERAGEIFS(nNOTA,nNIA,S59,nCUENTA,1,nASIG,"Música de Cámara"),"")))</f>
        <v/>
      </c>
      <c r="W59" t="str">
        <f>IF(S59="","",IF(S59="[FÓRMULA MANUAL]","",IFERROR(SUMPRODUCT((nNIA=S59)*(nCUENTA=1)*(COUNTIF(CONFIG_ASIGNATURAS!$B$7:$B$27,nASIG)&gt;0)*(nNOTA))/SUMPRODUCT((nNIA=S59)*(nCUENTA=1)*(COUNTIF(CONFIG_ASIGNATURAS!$B$7:$B$27,nASIG)&gt;0)*1),"")))</f>
        <v/>
      </c>
      <c r="Z59" t="str">
        <f>IF(Y59="","",IF(Y59="[FÓRMULA MANUAL]","",IFERROR(AVERAGEIFS(nNOTA,nNIA,Y59,nCUENTA,1,nASIG,"Análisis"),"")))</f>
        <v/>
      </c>
      <c r="AA59" t="str">
        <f>IF(Y59="","",IF(Y59="[FÓRMULA MANUAL]","",IFERROR(AVERAGEIFS(nNOTA,nNIA,Y59,nCUENTA,1,nASIG,"Orquesta/Banda/Conjunto"),"")))</f>
        <v/>
      </c>
      <c r="AB59" t="str">
        <f>IF(Y59="","",IF(Y59="[FÓRMULA MANUAL]","",IFERROR(AVERAGEIFS(nNOTA,nNIA,Y59,nCUENTA,1,nASIG,"Música de Cámara"),"")))</f>
        <v/>
      </c>
      <c r="AC59" t="str">
        <f>IF(Y59="","",IF(Y59="[FÓRMULA MANUAL]","",IFERROR(SUMPRODUCT((nNIA=Y59)*(nCUENTA=1)*(COUNTIF(CONFIG_ASIGNATURAS!$B$7:$B$27,nASIG)&gt;0)*(nNOTA))/SUMPRODUCT((nNIA=Y59)*(nCUENTA=1)*(COUNTIF(CONFIG_ASIGNATURAS!$B$7:$B$27,nASIG)&gt;0)*1),"")))</f>
        <v/>
      </c>
      <c r="AF59" t="str">
        <f>IF(AE59="","",IF(AE59="[FÓRMULA MANUAL]","",IFERROR(AVERAGEIFS(nNOTA,nNIA,AE59,nCUENTA,1,nASIG,"Análisis"),"")))</f>
        <v/>
      </c>
      <c r="AG59" t="str">
        <f>IF(AE59="","",IF(AE59="[FÓRMULA MANUAL]","",IFERROR(AVERAGEIFS(nNOTA,nNIA,AE59,nCUENTA,1,nASIG,"Orquesta/Banda/Conjunto"),"")))</f>
        <v/>
      </c>
      <c r="AH59" t="str">
        <f>IF(AE59="","",IF(AE59="[FÓRMULA MANUAL]","",IFERROR(AVERAGEIFS(nNOTA,nNIA,AE59,nCUENTA,1,nASIG,"Música de Cámara"),"")))</f>
        <v/>
      </c>
      <c r="AI59" t="str">
        <f>IF(AE59="","",IF(AE59="[FÓRMULA MANUAL]","",IFERROR(SUMPRODUCT((nNIA=AE59)*(nCUENTA=1)*(COUNTIF(CONFIG_ASIGNATURAS!$B$7:$B$27,nASIG)&gt;0)*(nNOTA))/SUMPRODUCT((nNIA=AE59)*(nCUENTA=1)*(COUNTIF(CONFIG_ASIGNATURAS!$B$7:$B$27,nASIG)&gt;0)*1),"")))</f>
        <v/>
      </c>
    </row>
    <row r="60" spans="2:35" x14ac:dyDescent="0.2">
      <c r="B60" t="str">
        <f>IF(A60="","",IF(A60="[FÓRMULA MANUAL]","",IFERROR(AVERAGEIFS(nNOTA,nNIA,A60,nCUENTA,1,nASIG,"Lenguaje Musical"),"")))</f>
        <v/>
      </c>
      <c r="C60" t="str">
        <f>IF(A60="","",IF(A60="[FÓRMULA MANUAL]","",IFERROR(AVERAGEIFS(nNOTA,nNIA,A60,nCUENTA,1,nASIG,"Orquesta/Banda/Conjunto"),"")))</f>
        <v/>
      </c>
      <c r="D60" t="str">
        <f>IF(A60="","",IF(A60="[FÓRMULA MANUAL]","",IFERROR(AVERAGEIFS(nNOTA,nNIA,A60,nCUENTA,1,nASIG,"Conjunto"),"")))</f>
        <v/>
      </c>
      <c r="E60" t="str">
        <f>IF(A60="","",IF(A60="[FÓRMULA MANUAL]","",IFERROR(SUMPRODUCT((nNIA=A60)*(nCUENTA=1)*(COUNTIF(CONFIG_ASIGNATURAS!$B$7:$B$27,nASIG)&gt;0)*(nNOTA))/SUMPRODUCT((nNIA=A60)*(nCUENTA=1)*(COUNTIF(CONFIG_ASIGNATURAS!$B$7:$B$27,nASIG)&gt;0)*1),"")))</f>
        <v/>
      </c>
      <c r="H60" t="str">
        <f>IF(G60="","",IF(G60="[FÓRMULA MANUAL]","",IFERROR(AVERAGEIFS(nNOTA,nNIA,G60,nCUENTA,1,nASIG,"Lenguaje Musical"),"")))</f>
        <v/>
      </c>
      <c r="I60" t="str">
        <f>IF(G60="","",IF(G60="[FÓRMULA MANUAL]","",IFERROR(AVERAGEIFS(nNOTA,nNIA,G60,nCUENTA,1,nASIG,"Orquesta/Banda/Conjunto"),"")))</f>
        <v/>
      </c>
      <c r="J60" t="str">
        <f>IF(G60="","",IF(G60="[FÓRMULA MANUAL]","",IFERROR(AVERAGEIFS(nNOTA,nNIA,G60,nCUENTA,1,nASIG,"Conjunto"),"")))</f>
        <v/>
      </c>
      <c r="K60" t="str">
        <f>IF(G60="","",IF(G60="[FÓRMULA MANUAL]","",IFERROR(SUMPRODUCT((nNIA=G60)*(nCUENTA=1)*(COUNTIF(CONFIG_ASIGNATURAS!$B$7:$B$27,nASIG)&gt;0)*(nNOTA))/SUMPRODUCT((nNIA=G60)*(nCUENTA=1)*(COUNTIF(CONFIG_ASIGNATURAS!$B$7:$B$27,nASIG)&gt;0)*1),"")))</f>
        <v/>
      </c>
      <c r="N60" t="str">
        <f>IF(M60="","",IF(M60="[FÓRMULA MANUAL]","",IFERROR(AVERAGEIFS(nNOTA,nNIA,M60,nCUENTA,1,nASIG,"Armonía"),"")))</f>
        <v/>
      </c>
      <c r="O60" t="str">
        <f>IF(M60="","",IF(M60="[FÓRMULA MANUAL]","",IFERROR(AVERAGEIFS(nNOTA,nNIA,M60,nCUENTA,1,nASIG,"Orquesta/Banda/Conjunto"),"")))</f>
        <v/>
      </c>
      <c r="P60" t="str">
        <f>IF(M60="","",IF(M60="[FÓRMULA MANUAL]","",IFERROR(AVERAGEIFS(nNOTA,nNIA,M60,nCUENTA,1,nASIG,"Música de Cámara"),"")))</f>
        <v/>
      </c>
      <c r="Q60" t="str">
        <f>IF(M60="","",IF(M60="[FÓRMULA MANUAL]","",IFERROR(SUMPRODUCT((nNIA=M60)*(nCUENTA=1)*(COUNTIF(CONFIG_ASIGNATURAS!$B$7:$B$27,nASIG)&gt;0)*(nNOTA))/SUMPRODUCT((nNIA=M60)*(nCUENTA=1)*(COUNTIF(CONFIG_ASIGNATURAS!$B$7:$B$27,nASIG)&gt;0)*1),"")))</f>
        <v/>
      </c>
      <c r="T60" t="str">
        <f>IF(S60="","",IF(S60="[FÓRMULA MANUAL]","",IFERROR(AVERAGEIFS(nNOTA,nNIA,S60,nCUENTA,1,nASIG,"Armonía"),"")))</f>
        <v/>
      </c>
      <c r="U60" t="str">
        <f>IF(S60="","",IF(S60="[FÓRMULA MANUAL]","",IFERROR(AVERAGEIFS(nNOTA,nNIA,S60,nCUENTA,1,nASIG,"Orquesta/Banda/Conjunto"),"")))</f>
        <v/>
      </c>
      <c r="V60" t="str">
        <f>IF(S60="","",IF(S60="[FÓRMULA MANUAL]","",IFERROR(AVERAGEIFS(nNOTA,nNIA,S60,nCUENTA,1,nASIG,"Música de Cámara"),"")))</f>
        <v/>
      </c>
      <c r="W60" t="str">
        <f>IF(S60="","",IF(S60="[FÓRMULA MANUAL]","",IFERROR(SUMPRODUCT((nNIA=S60)*(nCUENTA=1)*(COUNTIF(CONFIG_ASIGNATURAS!$B$7:$B$27,nASIG)&gt;0)*(nNOTA))/SUMPRODUCT((nNIA=S60)*(nCUENTA=1)*(COUNTIF(CONFIG_ASIGNATURAS!$B$7:$B$27,nASIG)&gt;0)*1),"")))</f>
        <v/>
      </c>
      <c r="Z60" t="str">
        <f>IF(Y60="","",IF(Y60="[FÓRMULA MANUAL]","",IFERROR(AVERAGEIFS(nNOTA,nNIA,Y60,nCUENTA,1,nASIG,"Análisis"),"")))</f>
        <v/>
      </c>
      <c r="AA60" t="str">
        <f>IF(Y60="","",IF(Y60="[FÓRMULA MANUAL]","",IFERROR(AVERAGEIFS(nNOTA,nNIA,Y60,nCUENTA,1,nASIG,"Orquesta/Banda/Conjunto"),"")))</f>
        <v/>
      </c>
      <c r="AB60" t="str">
        <f>IF(Y60="","",IF(Y60="[FÓRMULA MANUAL]","",IFERROR(AVERAGEIFS(nNOTA,nNIA,Y60,nCUENTA,1,nASIG,"Música de Cámara"),"")))</f>
        <v/>
      </c>
      <c r="AC60" t="str">
        <f>IF(Y60="","",IF(Y60="[FÓRMULA MANUAL]","",IFERROR(SUMPRODUCT((nNIA=Y60)*(nCUENTA=1)*(COUNTIF(CONFIG_ASIGNATURAS!$B$7:$B$27,nASIG)&gt;0)*(nNOTA))/SUMPRODUCT((nNIA=Y60)*(nCUENTA=1)*(COUNTIF(CONFIG_ASIGNATURAS!$B$7:$B$27,nASIG)&gt;0)*1),"")))</f>
        <v/>
      </c>
      <c r="AF60" t="str">
        <f>IF(AE60="","",IF(AE60="[FÓRMULA MANUAL]","",IFERROR(AVERAGEIFS(nNOTA,nNIA,AE60,nCUENTA,1,nASIG,"Análisis"),"")))</f>
        <v/>
      </c>
      <c r="AG60" t="str">
        <f>IF(AE60="","",IF(AE60="[FÓRMULA MANUAL]","",IFERROR(AVERAGEIFS(nNOTA,nNIA,AE60,nCUENTA,1,nASIG,"Orquesta/Banda/Conjunto"),"")))</f>
        <v/>
      </c>
      <c r="AH60" t="str">
        <f>IF(AE60="","",IF(AE60="[FÓRMULA MANUAL]","",IFERROR(AVERAGEIFS(nNOTA,nNIA,AE60,nCUENTA,1,nASIG,"Música de Cámara"),"")))</f>
        <v/>
      </c>
      <c r="AI60" t="str">
        <f>IF(AE60="","",IF(AE60="[FÓRMULA MANUAL]","",IFERROR(SUMPRODUCT((nNIA=AE60)*(nCUENTA=1)*(COUNTIF(CONFIG_ASIGNATURAS!$B$7:$B$27,nASIG)&gt;0)*(nNOTA))/SUMPRODUCT((nNIA=AE60)*(nCUENTA=1)*(COUNTIF(CONFIG_ASIGNATURAS!$B$7:$B$27,nASIG)&gt;0)*1),"")))</f>
        <v/>
      </c>
    </row>
    <row r="61" spans="2:35" x14ac:dyDescent="0.2">
      <c r="B61" t="str">
        <f>IF(A61="","",IF(A61="[FÓRMULA MANUAL]","",IFERROR(AVERAGEIFS(nNOTA,nNIA,A61,nCUENTA,1,nASIG,"Lenguaje Musical"),"")))</f>
        <v/>
      </c>
      <c r="C61" t="str">
        <f>IF(A61="","",IF(A61="[FÓRMULA MANUAL]","",IFERROR(AVERAGEIFS(nNOTA,nNIA,A61,nCUENTA,1,nASIG,"Orquesta/Banda/Conjunto"),"")))</f>
        <v/>
      </c>
      <c r="D61" t="str">
        <f>IF(A61="","",IF(A61="[FÓRMULA MANUAL]","",IFERROR(AVERAGEIFS(nNOTA,nNIA,A61,nCUENTA,1,nASIG,"Conjunto"),"")))</f>
        <v/>
      </c>
      <c r="E61" t="str">
        <f>IF(A61="","",IF(A61="[FÓRMULA MANUAL]","",IFERROR(SUMPRODUCT((nNIA=A61)*(nCUENTA=1)*(COUNTIF(CONFIG_ASIGNATURAS!$B$7:$B$27,nASIG)&gt;0)*(nNOTA))/SUMPRODUCT((nNIA=A61)*(nCUENTA=1)*(COUNTIF(CONFIG_ASIGNATURAS!$B$7:$B$27,nASIG)&gt;0)*1),"")))</f>
        <v/>
      </c>
      <c r="H61" t="str">
        <f>IF(G61="","",IF(G61="[FÓRMULA MANUAL]","",IFERROR(AVERAGEIFS(nNOTA,nNIA,G61,nCUENTA,1,nASIG,"Lenguaje Musical"),"")))</f>
        <v/>
      </c>
      <c r="I61" t="str">
        <f>IF(G61="","",IF(G61="[FÓRMULA MANUAL]","",IFERROR(AVERAGEIFS(nNOTA,nNIA,G61,nCUENTA,1,nASIG,"Orquesta/Banda/Conjunto"),"")))</f>
        <v/>
      </c>
      <c r="J61" t="str">
        <f>IF(G61="","",IF(G61="[FÓRMULA MANUAL]","",IFERROR(AVERAGEIFS(nNOTA,nNIA,G61,nCUENTA,1,nASIG,"Conjunto"),"")))</f>
        <v/>
      </c>
      <c r="K61" t="str">
        <f>IF(G61="","",IF(G61="[FÓRMULA MANUAL]","",IFERROR(SUMPRODUCT((nNIA=G61)*(nCUENTA=1)*(COUNTIF(CONFIG_ASIGNATURAS!$B$7:$B$27,nASIG)&gt;0)*(nNOTA))/SUMPRODUCT((nNIA=G61)*(nCUENTA=1)*(COUNTIF(CONFIG_ASIGNATURAS!$B$7:$B$27,nASIG)&gt;0)*1),"")))</f>
        <v/>
      </c>
      <c r="N61" t="str">
        <f>IF(M61="","",IF(M61="[FÓRMULA MANUAL]","",IFERROR(AVERAGEIFS(nNOTA,nNIA,M61,nCUENTA,1,nASIG,"Armonía"),"")))</f>
        <v/>
      </c>
      <c r="O61" t="str">
        <f>IF(M61="","",IF(M61="[FÓRMULA MANUAL]","",IFERROR(AVERAGEIFS(nNOTA,nNIA,M61,nCUENTA,1,nASIG,"Orquesta/Banda/Conjunto"),"")))</f>
        <v/>
      </c>
      <c r="P61" t="str">
        <f>IF(M61="","",IF(M61="[FÓRMULA MANUAL]","",IFERROR(AVERAGEIFS(nNOTA,nNIA,M61,nCUENTA,1,nASIG,"Música de Cámara"),"")))</f>
        <v/>
      </c>
      <c r="Q61" t="str">
        <f>IF(M61="","",IF(M61="[FÓRMULA MANUAL]","",IFERROR(SUMPRODUCT((nNIA=M61)*(nCUENTA=1)*(COUNTIF(CONFIG_ASIGNATURAS!$B$7:$B$27,nASIG)&gt;0)*(nNOTA))/SUMPRODUCT((nNIA=M61)*(nCUENTA=1)*(COUNTIF(CONFIG_ASIGNATURAS!$B$7:$B$27,nASIG)&gt;0)*1),"")))</f>
        <v/>
      </c>
      <c r="T61" t="str">
        <f>IF(S61="","",IF(S61="[FÓRMULA MANUAL]","",IFERROR(AVERAGEIFS(nNOTA,nNIA,S61,nCUENTA,1,nASIG,"Armonía"),"")))</f>
        <v/>
      </c>
      <c r="U61" t="str">
        <f>IF(S61="","",IF(S61="[FÓRMULA MANUAL]","",IFERROR(AVERAGEIFS(nNOTA,nNIA,S61,nCUENTA,1,nASIG,"Orquesta/Banda/Conjunto"),"")))</f>
        <v/>
      </c>
      <c r="V61" t="str">
        <f>IF(S61="","",IF(S61="[FÓRMULA MANUAL]","",IFERROR(AVERAGEIFS(nNOTA,nNIA,S61,nCUENTA,1,nASIG,"Música de Cámara"),"")))</f>
        <v/>
      </c>
      <c r="W61" t="str">
        <f>IF(S61="","",IF(S61="[FÓRMULA MANUAL]","",IFERROR(SUMPRODUCT((nNIA=S61)*(nCUENTA=1)*(COUNTIF(CONFIG_ASIGNATURAS!$B$7:$B$27,nASIG)&gt;0)*(nNOTA))/SUMPRODUCT((nNIA=S61)*(nCUENTA=1)*(COUNTIF(CONFIG_ASIGNATURAS!$B$7:$B$27,nASIG)&gt;0)*1),"")))</f>
        <v/>
      </c>
      <c r="Z61" t="str">
        <f>IF(Y61="","",IF(Y61="[FÓRMULA MANUAL]","",IFERROR(AVERAGEIFS(nNOTA,nNIA,Y61,nCUENTA,1,nASIG,"Análisis"),"")))</f>
        <v/>
      </c>
      <c r="AA61" t="str">
        <f>IF(Y61="","",IF(Y61="[FÓRMULA MANUAL]","",IFERROR(AVERAGEIFS(nNOTA,nNIA,Y61,nCUENTA,1,nASIG,"Orquesta/Banda/Conjunto"),"")))</f>
        <v/>
      </c>
      <c r="AB61" t="str">
        <f>IF(Y61="","",IF(Y61="[FÓRMULA MANUAL]","",IFERROR(AVERAGEIFS(nNOTA,nNIA,Y61,nCUENTA,1,nASIG,"Música de Cámara"),"")))</f>
        <v/>
      </c>
      <c r="AC61" t="str">
        <f>IF(Y61="","",IF(Y61="[FÓRMULA MANUAL]","",IFERROR(SUMPRODUCT((nNIA=Y61)*(nCUENTA=1)*(COUNTIF(CONFIG_ASIGNATURAS!$B$7:$B$27,nASIG)&gt;0)*(nNOTA))/SUMPRODUCT((nNIA=Y61)*(nCUENTA=1)*(COUNTIF(CONFIG_ASIGNATURAS!$B$7:$B$27,nASIG)&gt;0)*1),"")))</f>
        <v/>
      </c>
      <c r="AF61" t="str">
        <f>IF(AE61="","",IF(AE61="[FÓRMULA MANUAL]","",IFERROR(AVERAGEIFS(nNOTA,nNIA,AE61,nCUENTA,1,nASIG,"Análisis"),"")))</f>
        <v/>
      </c>
      <c r="AG61" t="str">
        <f>IF(AE61="","",IF(AE61="[FÓRMULA MANUAL]","",IFERROR(AVERAGEIFS(nNOTA,nNIA,AE61,nCUENTA,1,nASIG,"Orquesta/Banda/Conjunto"),"")))</f>
        <v/>
      </c>
      <c r="AH61" t="str">
        <f>IF(AE61="","",IF(AE61="[FÓRMULA MANUAL]","",IFERROR(AVERAGEIFS(nNOTA,nNIA,AE61,nCUENTA,1,nASIG,"Música de Cámara"),"")))</f>
        <v/>
      </c>
      <c r="AI61" t="str">
        <f>IF(AE61="","",IF(AE61="[FÓRMULA MANUAL]","",IFERROR(SUMPRODUCT((nNIA=AE61)*(nCUENTA=1)*(COUNTIF(CONFIG_ASIGNATURAS!$B$7:$B$27,nASIG)&gt;0)*(nNOTA))/SUMPRODUCT((nNIA=AE61)*(nCUENTA=1)*(COUNTIF(CONFIG_ASIGNATURAS!$B$7:$B$27,nASIG)&gt;0)*1),"")))</f>
        <v/>
      </c>
    </row>
    <row r="62" spans="2:35" x14ac:dyDescent="0.2">
      <c r="B62" t="str">
        <f>IF(A62="","",IF(A62="[FÓRMULA MANUAL]","",IFERROR(AVERAGEIFS(nNOTA,nNIA,A62,nCUENTA,1,nASIG,"Lenguaje Musical"),"")))</f>
        <v/>
      </c>
      <c r="C62" t="str">
        <f>IF(A62="","",IF(A62="[FÓRMULA MANUAL]","",IFERROR(AVERAGEIFS(nNOTA,nNIA,A62,nCUENTA,1,nASIG,"Orquesta/Banda/Conjunto"),"")))</f>
        <v/>
      </c>
      <c r="D62" t="str">
        <f>IF(A62="","",IF(A62="[FÓRMULA MANUAL]","",IFERROR(AVERAGEIFS(nNOTA,nNIA,A62,nCUENTA,1,nASIG,"Conjunto"),"")))</f>
        <v/>
      </c>
      <c r="E62" t="str">
        <f>IF(A62="","",IF(A62="[FÓRMULA MANUAL]","",IFERROR(SUMPRODUCT((nNIA=A62)*(nCUENTA=1)*(COUNTIF(CONFIG_ASIGNATURAS!$B$7:$B$27,nASIG)&gt;0)*(nNOTA))/SUMPRODUCT((nNIA=A62)*(nCUENTA=1)*(COUNTIF(CONFIG_ASIGNATURAS!$B$7:$B$27,nASIG)&gt;0)*1),"")))</f>
        <v/>
      </c>
      <c r="H62" t="str">
        <f>IF(G62="","",IF(G62="[FÓRMULA MANUAL]","",IFERROR(AVERAGEIFS(nNOTA,nNIA,G62,nCUENTA,1,nASIG,"Lenguaje Musical"),"")))</f>
        <v/>
      </c>
      <c r="I62" t="str">
        <f>IF(G62="","",IF(G62="[FÓRMULA MANUAL]","",IFERROR(AVERAGEIFS(nNOTA,nNIA,G62,nCUENTA,1,nASIG,"Orquesta/Banda/Conjunto"),"")))</f>
        <v/>
      </c>
      <c r="J62" t="str">
        <f>IF(G62="","",IF(G62="[FÓRMULA MANUAL]","",IFERROR(AVERAGEIFS(nNOTA,nNIA,G62,nCUENTA,1,nASIG,"Conjunto"),"")))</f>
        <v/>
      </c>
      <c r="K62" t="str">
        <f>IF(G62="","",IF(G62="[FÓRMULA MANUAL]","",IFERROR(SUMPRODUCT((nNIA=G62)*(nCUENTA=1)*(COUNTIF(CONFIG_ASIGNATURAS!$B$7:$B$27,nASIG)&gt;0)*(nNOTA))/SUMPRODUCT((nNIA=G62)*(nCUENTA=1)*(COUNTIF(CONFIG_ASIGNATURAS!$B$7:$B$27,nASIG)&gt;0)*1),"")))</f>
        <v/>
      </c>
      <c r="N62" t="str">
        <f>IF(M62="","",IF(M62="[FÓRMULA MANUAL]","",IFERROR(AVERAGEIFS(nNOTA,nNIA,M62,nCUENTA,1,nASIG,"Armonía"),"")))</f>
        <v/>
      </c>
      <c r="O62" t="str">
        <f>IF(M62="","",IF(M62="[FÓRMULA MANUAL]","",IFERROR(AVERAGEIFS(nNOTA,nNIA,M62,nCUENTA,1,nASIG,"Orquesta/Banda/Conjunto"),"")))</f>
        <v/>
      </c>
      <c r="P62" t="str">
        <f>IF(M62="","",IF(M62="[FÓRMULA MANUAL]","",IFERROR(AVERAGEIFS(nNOTA,nNIA,M62,nCUENTA,1,nASIG,"Música de Cámara"),"")))</f>
        <v/>
      </c>
      <c r="Q62" t="str">
        <f>IF(M62="","",IF(M62="[FÓRMULA MANUAL]","",IFERROR(SUMPRODUCT((nNIA=M62)*(nCUENTA=1)*(COUNTIF(CONFIG_ASIGNATURAS!$B$7:$B$27,nASIG)&gt;0)*(nNOTA))/SUMPRODUCT((nNIA=M62)*(nCUENTA=1)*(COUNTIF(CONFIG_ASIGNATURAS!$B$7:$B$27,nASIG)&gt;0)*1),"")))</f>
        <v/>
      </c>
      <c r="T62" t="str">
        <f>IF(S62="","",IF(S62="[FÓRMULA MANUAL]","",IFERROR(AVERAGEIFS(nNOTA,nNIA,S62,nCUENTA,1,nASIG,"Armonía"),"")))</f>
        <v/>
      </c>
      <c r="U62" t="str">
        <f>IF(S62="","",IF(S62="[FÓRMULA MANUAL]","",IFERROR(AVERAGEIFS(nNOTA,nNIA,S62,nCUENTA,1,nASIG,"Orquesta/Banda/Conjunto"),"")))</f>
        <v/>
      </c>
      <c r="V62" t="str">
        <f>IF(S62="","",IF(S62="[FÓRMULA MANUAL]","",IFERROR(AVERAGEIFS(nNOTA,nNIA,S62,nCUENTA,1,nASIG,"Música de Cámara"),"")))</f>
        <v/>
      </c>
      <c r="W62" t="str">
        <f>IF(S62="","",IF(S62="[FÓRMULA MANUAL]","",IFERROR(SUMPRODUCT((nNIA=S62)*(nCUENTA=1)*(COUNTIF(CONFIG_ASIGNATURAS!$B$7:$B$27,nASIG)&gt;0)*(nNOTA))/SUMPRODUCT((nNIA=S62)*(nCUENTA=1)*(COUNTIF(CONFIG_ASIGNATURAS!$B$7:$B$27,nASIG)&gt;0)*1),"")))</f>
        <v/>
      </c>
      <c r="Z62" t="str">
        <f>IF(Y62="","",IF(Y62="[FÓRMULA MANUAL]","",IFERROR(AVERAGEIFS(nNOTA,nNIA,Y62,nCUENTA,1,nASIG,"Análisis"),"")))</f>
        <v/>
      </c>
      <c r="AA62" t="str">
        <f>IF(Y62="","",IF(Y62="[FÓRMULA MANUAL]","",IFERROR(AVERAGEIFS(nNOTA,nNIA,Y62,nCUENTA,1,nASIG,"Orquesta/Banda/Conjunto"),"")))</f>
        <v/>
      </c>
      <c r="AB62" t="str">
        <f>IF(Y62="","",IF(Y62="[FÓRMULA MANUAL]","",IFERROR(AVERAGEIFS(nNOTA,nNIA,Y62,nCUENTA,1,nASIG,"Música de Cámara"),"")))</f>
        <v/>
      </c>
      <c r="AC62" t="str">
        <f>IF(Y62="","",IF(Y62="[FÓRMULA MANUAL]","",IFERROR(SUMPRODUCT((nNIA=Y62)*(nCUENTA=1)*(COUNTIF(CONFIG_ASIGNATURAS!$B$7:$B$27,nASIG)&gt;0)*(nNOTA))/SUMPRODUCT((nNIA=Y62)*(nCUENTA=1)*(COUNTIF(CONFIG_ASIGNATURAS!$B$7:$B$27,nASIG)&gt;0)*1),"")))</f>
        <v/>
      </c>
      <c r="AF62" t="str">
        <f>IF(AE62="","",IF(AE62="[FÓRMULA MANUAL]","",IFERROR(AVERAGEIFS(nNOTA,nNIA,AE62,nCUENTA,1,nASIG,"Análisis"),"")))</f>
        <v/>
      </c>
      <c r="AG62" t="str">
        <f>IF(AE62="","",IF(AE62="[FÓRMULA MANUAL]","",IFERROR(AVERAGEIFS(nNOTA,nNIA,AE62,nCUENTA,1,nASIG,"Orquesta/Banda/Conjunto"),"")))</f>
        <v/>
      </c>
      <c r="AH62" t="str">
        <f>IF(AE62="","",IF(AE62="[FÓRMULA MANUAL]","",IFERROR(AVERAGEIFS(nNOTA,nNIA,AE62,nCUENTA,1,nASIG,"Música de Cámara"),"")))</f>
        <v/>
      </c>
      <c r="AI62" t="str">
        <f>IF(AE62="","",IF(AE62="[FÓRMULA MANUAL]","",IFERROR(SUMPRODUCT((nNIA=AE62)*(nCUENTA=1)*(COUNTIF(CONFIG_ASIGNATURAS!$B$7:$B$27,nASIG)&gt;0)*(nNOTA))/SUMPRODUCT((nNIA=AE62)*(nCUENTA=1)*(COUNTIF(CONFIG_ASIGNATURAS!$B$7:$B$27,nASIG)&gt;0)*1),"")))</f>
        <v/>
      </c>
    </row>
    <row r="63" spans="2:35" x14ac:dyDescent="0.2">
      <c r="B63" t="str">
        <f>IF(A63="","",IF(A63="[FÓRMULA MANUAL]","",IFERROR(AVERAGEIFS(nNOTA,nNIA,A63,nCUENTA,1,nASIG,"Lenguaje Musical"),"")))</f>
        <v/>
      </c>
      <c r="C63" t="str">
        <f>IF(A63="","",IF(A63="[FÓRMULA MANUAL]","",IFERROR(AVERAGEIFS(nNOTA,nNIA,A63,nCUENTA,1,nASIG,"Orquesta/Banda/Conjunto"),"")))</f>
        <v/>
      </c>
      <c r="D63" t="str">
        <f>IF(A63="","",IF(A63="[FÓRMULA MANUAL]","",IFERROR(AVERAGEIFS(nNOTA,nNIA,A63,nCUENTA,1,nASIG,"Conjunto"),"")))</f>
        <v/>
      </c>
      <c r="E63" t="str">
        <f>IF(A63="","",IF(A63="[FÓRMULA MANUAL]","",IFERROR(SUMPRODUCT((nNIA=A63)*(nCUENTA=1)*(COUNTIF(CONFIG_ASIGNATURAS!$B$7:$B$27,nASIG)&gt;0)*(nNOTA))/SUMPRODUCT((nNIA=A63)*(nCUENTA=1)*(COUNTIF(CONFIG_ASIGNATURAS!$B$7:$B$27,nASIG)&gt;0)*1),"")))</f>
        <v/>
      </c>
      <c r="H63" t="str">
        <f>IF(G63="","",IF(G63="[FÓRMULA MANUAL]","",IFERROR(AVERAGEIFS(nNOTA,nNIA,G63,nCUENTA,1,nASIG,"Lenguaje Musical"),"")))</f>
        <v/>
      </c>
      <c r="I63" t="str">
        <f>IF(G63="","",IF(G63="[FÓRMULA MANUAL]","",IFERROR(AVERAGEIFS(nNOTA,nNIA,G63,nCUENTA,1,nASIG,"Orquesta/Banda/Conjunto"),"")))</f>
        <v/>
      </c>
      <c r="J63" t="str">
        <f>IF(G63="","",IF(G63="[FÓRMULA MANUAL]","",IFERROR(AVERAGEIFS(nNOTA,nNIA,G63,nCUENTA,1,nASIG,"Conjunto"),"")))</f>
        <v/>
      </c>
      <c r="K63" t="str">
        <f>IF(G63="","",IF(G63="[FÓRMULA MANUAL]","",IFERROR(SUMPRODUCT((nNIA=G63)*(nCUENTA=1)*(COUNTIF(CONFIG_ASIGNATURAS!$B$7:$B$27,nASIG)&gt;0)*(nNOTA))/SUMPRODUCT((nNIA=G63)*(nCUENTA=1)*(COUNTIF(CONFIG_ASIGNATURAS!$B$7:$B$27,nASIG)&gt;0)*1),"")))</f>
        <v/>
      </c>
      <c r="N63" t="str">
        <f>IF(M63="","",IF(M63="[FÓRMULA MANUAL]","",IFERROR(AVERAGEIFS(nNOTA,nNIA,M63,nCUENTA,1,nASIG,"Armonía"),"")))</f>
        <v/>
      </c>
      <c r="O63" t="str">
        <f>IF(M63="","",IF(M63="[FÓRMULA MANUAL]","",IFERROR(AVERAGEIFS(nNOTA,nNIA,M63,nCUENTA,1,nASIG,"Orquesta/Banda/Conjunto"),"")))</f>
        <v/>
      </c>
      <c r="P63" t="str">
        <f>IF(M63="","",IF(M63="[FÓRMULA MANUAL]","",IFERROR(AVERAGEIFS(nNOTA,nNIA,M63,nCUENTA,1,nASIG,"Música de Cámara"),"")))</f>
        <v/>
      </c>
      <c r="Q63" t="str">
        <f>IF(M63="","",IF(M63="[FÓRMULA MANUAL]","",IFERROR(SUMPRODUCT((nNIA=M63)*(nCUENTA=1)*(COUNTIF(CONFIG_ASIGNATURAS!$B$7:$B$27,nASIG)&gt;0)*(nNOTA))/SUMPRODUCT((nNIA=M63)*(nCUENTA=1)*(COUNTIF(CONFIG_ASIGNATURAS!$B$7:$B$27,nASIG)&gt;0)*1),"")))</f>
        <v/>
      </c>
      <c r="T63" t="str">
        <f>IF(S63="","",IF(S63="[FÓRMULA MANUAL]","",IFERROR(AVERAGEIFS(nNOTA,nNIA,S63,nCUENTA,1,nASIG,"Armonía"),"")))</f>
        <v/>
      </c>
      <c r="U63" t="str">
        <f>IF(S63="","",IF(S63="[FÓRMULA MANUAL]","",IFERROR(AVERAGEIFS(nNOTA,nNIA,S63,nCUENTA,1,nASIG,"Orquesta/Banda/Conjunto"),"")))</f>
        <v/>
      </c>
      <c r="V63" t="str">
        <f>IF(S63="","",IF(S63="[FÓRMULA MANUAL]","",IFERROR(AVERAGEIFS(nNOTA,nNIA,S63,nCUENTA,1,nASIG,"Música de Cámara"),"")))</f>
        <v/>
      </c>
      <c r="W63" t="str">
        <f>IF(S63="","",IF(S63="[FÓRMULA MANUAL]","",IFERROR(SUMPRODUCT((nNIA=S63)*(nCUENTA=1)*(COUNTIF(CONFIG_ASIGNATURAS!$B$7:$B$27,nASIG)&gt;0)*(nNOTA))/SUMPRODUCT((nNIA=S63)*(nCUENTA=1)*(COUNTIF(CONFIG_ASIGNATURAS!$B$7:$B$27,nASIG)&gt;0)*1),"")))</f>
        <v/>
      </c>
      <c r="Z63" t="str">
        <f>IF(Y63="","",IF(Y63="[FÓRMULA MANUAL]","",IFERROR(AVERAGEIFS(nNOTA,nNIA,Y63,nCUENTA,1,nASIG,"Análisis"),"")))</f>
        <v/>
      </c>
      <c r="AA63" t="str">
        <f>IF(Y63="","",IF(Y63="[FÓRMULA MANUAL]","",IFERROR(AVERAGEIFS(nNOTA,nNIA,Y63,nCUENTA,1,nASIG,"Orquesta/Banda/Conjunto"),"")))</f>
        <v/>
      </c>
      <c r="AB63" t="str">
        <f>IF(Y63="","",IF(Y63="[FÓRMULA MANUAL]","",IFERROR(AVERAGEIFS(nNOTA,nNIA,Y63,nCUENTA,1,nASIG,"Música de Cámara"),"")))</f>
        <v/>
      </c>
      <c r="AC63" t="str">
        <f>IF(Y63="","",IF(Y63="[FÓRMULA MANUAL]","",IFERROR(SUMPRODUCT((nNIA=Y63)*(nCUENTA=1)*(COUNTIF(CONFIG_ASIGNATURAS!$B$7:$B$27,nASIG)&gt;0)*(nNOTA))/SUMPRODUCT((nNIA=Y63)*(nCUENTA=1)*(COUNTIF(CONFIG_ASIGNATURAS!$B$7:$B$27,nASIG)&gt;0)*1),"")))</f>
        <v/>
      </c>
      <c r="AF63" t="str">
        <f>IF(AE63="","",IF(AE63="[FÓRMULA MANUAL]","",IFERROR(AVERAGEIFS(nNOTA,nNIA,AE63,nCUENTA,1,nASIG,"Análisis"),"")))</f>
        <v/>
      </c>
      <c r="AG63" t="str">
        <f>IF(AE63="","",IF(AE63="[FÓRMULA MANUAL]","",IFERROR(AVERAGEIFS(nNOTA,nNIA,AE63,nCUENTA,1,nASIG,"Orquesta/Banda/Conjunto"),"")))</f>
        <v/>
      </c>
      <c r="AH63" t="str">
        <f>IF(AE63="","",IF(AE63="[FÓRMULA MANUAL]","",IFERROR(AVERAGEIFS(nNOTA,nNIA,AE63,nCUENTA,1,nASIG,"Música de Cámara"),"")))</f>
        <v/>
      </c>
      <c r="AI63" t="str">
        <f>IF(AE63="","",IF(AE63="[FÓRMULA MANUAL]","",IFERROR(SUMPRODUCT((nNIA=AE63)*(nCUENTA=1)*(COUNTIF(CONFIG_ASIGNATURAS!$B$7:$B$27,nASIG)&gt;0)*(nNOTA))/SUMPRODUCT((nNIA=AE63)*(nCUENTA=1)*(COUNTIF(CONFIG_ASIGNATURAS!$B$7:$B$27,nASIG)&gt;0)*1),"")))</f>
        <v/>
      </c>
    </row>
    <row r="64" spans="2:35" x14ac:dyDescent="0.2">
      <c r="B64" t="str">
        <f>IF(A64="","",IF(A64="[FÓRMULA MANUAL]","",IFERROR(AVERAGEIFS(nNOTA,nNIA,A64,nCUENTA,1,nASIG,"Lenguaje Musical"),"")))</f>
        <v/>
      </c>
      <c r="C64" t="str">
        <f>IF(A64="","",IF(A64="[FÓRMULA MANUAL]","",IFERROR(AVERAGEIFS(nNOTA,nNIA,A64,nCUENTA,1,nASIG,"Orquesta/Banda/Conjunto"),"")))</f>
        <v/>
      </c>
      <c r="D64" t="str">
        <f>IF(A64="","",IF(A64="[FÓRMULA MANUAL]","",IFERROR(AVERAGEIFS(nNOTA,nNIA,A64,nCUENTA,1,nASIG,"Conjunto"),"")))</f>
        <v/>
      </c>
      <c r="E64" t="str">
        <f>IF(A64="","",IF(A64="[FÓRMULA MANUAL]","",IFERROR(SUMPRODUCT((nNIA=A64)*(nCUENTA=1)*(COUNTIF(CONFIG_ASIGNATURAS!$B$7:$B$27,nASIG)&gt;0)*(nNOTA))/SUMPRODUCT((nNIA=A64)*(nCUENTA=1)*(COUNTIF(CONFIG_ASIGNATURAS!$B$7:$B$27,nASIG)&gt;0)*1),"")))</f>
        <v/>
      </c>
      <c r="H64" t="str">
        <f>IF(G64="","",IF(G64="[FÓRMULA MANUAL]","",IFERROR(AVERAGEIFS(nNOTA,nNIA,G64,nCUENTA,1,nASIG,"Lenguaje Musical"),"")))</f>
        <v/>
      </c>
      <c r="I64" t="str">
        <f>IF(G64="","",IF(G64="[FÓRMULA MANUAL]","",IFERROR(AVERAGEIFS(nNOTA,nNIA,G64,nCUENTA,1,nASIG,"Orquesta/Banda/Conjunto"),"")))</f>
        <v/>
      </c>
      <c r="J64" t="str">
        <f>IF(G64="","",IF(G64="[FÓRMULA MANUAL]","",IFERROR(AVERAGEIFS(nNOTA,nNIA,G64,nCUENTA,1,nASIG,"Conjunto"),"")))</f>
        <v/>
      </c>
      <c r="K64" t="str">
        <f>IF(G64="","",IF(G64="[FÓRMULA MANUAL]","",IFERROR(SUMPRODUCT((nNIA=G64)*(nCUENTA=1)*(COUNTIF(CONFIG_ASIGNATURAS!$B$7:$B$27,nASIG)&gt;0)*(nNOTA))/SUMPRODUCT((nNIA=G64)*(nCUENTA=1)*(COUNTIF(CONFIG_ASIGNATURAS!$B$7:$B$27,nASIG)&gt;0)*1),"")))</f>
        <v/>
      </c>
      <c r="N64" t="str">
        <f>IF(M64="","",IF(M64="[FÓRMULA MANUAL]","",IFERROR(AVERAGEIFS(nNOTA,nNIA,M64,nCUENTA,1,nASIG,"Armonía"),"")))</f>
        <v/>
      </c>
      <c r="O64" t="str">
        <f>IF(M64="","",IF(M64="[FÓRMULA MANUAL]","",IFERROR(AVERAGEIFS(nNOTA,nNIA,M64,nCUENTA,1,nASIG,"Orquesta/Banda/Conjunto"),"")))</f>
        <v/>
      </c>
      <c r="P64" t="str">
        <f>IF(M64="","",IF(M64="[FÓRMULA MANUAL]","",IFERROR(AVERAGEIFS(nNOTA,nNIA,M64,nCUENTA,1,nASIG,"Música de Cámara"),"")))</f>
        <v/>
      </c>
      <c r="Q64" t="str">
        <f>IF(M64="","",IF(M64="[FÓRMULA MANUAL]","",IFERROR(SUMPRODUCT((nNIA=M64)*(nCUENTA=1)*(COUNTIF(CONFIG_ASIGNATURAS!$B$7:$B$27,nASIG)&gt;0)*(nNOTA))/SUMPRODUCT((nNIA=M64)*(nCUENTA=1)*(COUNTIF(CONFIG_ASIGNATURAS!$B$7:$B$27,nASIG)&gt;0)*1),"")))</f>
        <v/>
      </c>
      <c r="T64" t="str">
        <f>IF(S64="","",IF(S64="[FÓRMULA MANUAL]","",IFERROR(AVERAGEIFS(nNOTA,nNIA,S64,nCUENTA,1,nASIG,"Armonía"),"")))</f>
        <v/>
      </c>
      <c r="U64" t="str">
        <f>IF(S64="","",IF(S64="[FÓRMULA MANUAL]","",IFERROR(AVERAGEIFS(nNOTA,nNIA,S64,nCUENTA,1,nASIG,"Orquesta/Banda/Conjunto"),"")))</f>
        <v/>
      </c>
      <c r="V64" t="str">
        <f>IF(S64="","",IF(S64="[FÓRMULA MANUAL]","",IFERROR(AVERAGEIFS(nNOTA,nNIA,S64,nCUENTA,1,nASIG,"Música de Cámara"),"")))</f>
        <v/>
      </c>
      <c r="W64" t="str">
        <f>IF(S64="","",IF(S64="[FÓRMULA MANUAL]","",IFERROR(SUMPRODUCT((nNIA=S64)*(nCUENTA=1)*(COUNTIF(CONFIG_ASIGNATURAS!$B$7:$B$27,nASIG)&gt;0)*(nNOTA))/SUMPRODUCT((nNIA=S64)*(nCUENTA=1)*(COUNTIF(CONFIG_ASIGNATURAS!$B$7:$B$27,nASIG)&gt;0)*1),"")))</f>
        <v/>
      </c>
      <c r="Z64" t="str">
        <f>IF(Y64="","",IF(Y64="[FÓRMULA MANUAL]","",IFERROR(AVERAGEIFS(nNOTA,nNIA,Y64,nCUENTA,1,nASIG,"Análisis"),"")))</f>
        <v/>
      </c>
      <c r="AA64" t="str">
        <f>IF(Y64="","",IF(Y64="[FÓRMULA MANUAL]","",IFERROR(AVERAGEIFS(nNOTA,nNIA,Y64,nCUENTA,1,nASIG,"Orquesta/Banda/Conjunto"),"")))</f>
        <v/>
      </c>
      <c r="AB64" t="str">
        <f>IF(Y64="","",IF(Y64="[FÓRMULA MANUAL]","",IFERROR(AVERAGEIFS(nNOTA,nNIA,Y64,nCUENTA,1,nASIG,"Música de Cámara"),"")))</f>
        <v/>
      </c>
      <c r="AC64" t="str">
        <f>IF(Y64="","",IF(Y64="[FÓRMULA MANUAL]","",IFERROR(SUMPRODUCT((nNIA=Y64)*(nCUENTA=1)*(COUNTIF(CONFIG_ASIGNATURAS!$B$7:$B$27,nASIG)&gt;0)*(nNOTA))/SUMPRODUCT((nNIA=Y64)*(nCUENTA=1)*(COUNTIF(CONFIG_ASIGNATURAS!$B$7:$B$27,nASIG)&gt;0)*1),"")))</f>
        <v/>
      </c>
      <c r="AF64" t="str">
        <f>IF(AE64="","",IF(AE64="[FÓRMULA MANUAL]","",IFERROR(AVERAGEIFS(nNOTA,nNIA,AE64,nCUENTA,1,nASIG,"Análisis"),"")))</f>
        <v/>
      </c>
      <c r="AG64" t="str">
        <f>IF(AE64="","",IF(AE64="[FÓRMULA MANUAL]","",IFERROR(AVERAGEIFS(nNOTA,nNIA,AE64,nCUENTA,1,nASIG,"Orquesta/Banda/Conjunto"),"")))</f>
        <v/>
      </c>
      <c r="AH64" t="str">
        <f>IF(AE64="","",IF(AE64="[FÓRMULA MANUAL]","",IFERROR(AVERAGEIFS(nNOTA,nNIA,AE64,nCUENTA,1,nASIG,"Música de Cámara"),"")))</f>
        <v/>
      </c>
      <c r="AI64" t="str">
        <f>IF(AE64="","",IF(AE64="[FÓRMULA MANUAL]","",IFERROR(SUMPRODUCT((nNIA=AE64)*(nCUENTA=1)*(COUNTIF(CONFIG_ASIGNATURAS!$B$7:$B$27,nASIG)&gt;0)*(nNOTA))/SUMPRODUCT((nNIA=AE64)*(nCUENTA=1)*(COUNTIF(CONFIG_ASIGNATURAS!$B$7:$B$27,nASIG)&gt;0)*1),"")))</f>
        <v/>
      </c>
    </row>
    <row r="65" spans="2:35" x14ac:dyDescent="0.2">
      <c r="B65" t="str">
        <f>IF(A65="","",IF(A65="[FÓRMULA MANUAL]","",IFERROR(AVERAGEIFS(nNOTA,nNIA,A65,nCUENTA,1,nASIG,"Lenguaje Musical"),"")))</f>
        <v/>
      </c>
      <c r="C65" t="str">
        <f>IF(A65="","",IF(A65="[FÓRMULA MANUAL]","",IFERROR(AVERAGEIFS(nNOTA,nNIA,A65,nCUENTA,1,nASIG,"Orquesta/Banda/Conjunto"),"")))</f>
        <v/>
      </c>
      <c r="D65" t="str">
        <f>IF(A65="","",IF(A65="[FÓRMULA MANUAL]","",IFERROR(AVERAGEIFS(nNOTA,nNIA,A65,nCUENTA,1,nASIG,"Conjunto"),"")))</f>
        <v/>
      </c>
      <c r="E65" t="str">
        <f>IF(A65="","",IF(A65="[FÓRMULA MANUAL]","",IFERROR(SUMPRODUCT((nNIA=A65)*(nCUENTA=1)*(COUNTIF(CONFIG_ASIGNATURAS!$B$7:$B$27,nASIG)&gt;0)*(nNOTA))/SUMPRODUCT((nNIA=A65)*(nCUENTA=1)*(COUNTIF(CONFIG_ASIGNATURAS!$B$7:$B$27,nASIG)&gt;0)*1),"")))</f>
        <v/>
      </c>
      <c r="H65" t="str">
        <f>IF(G65="","",IF(G65="[FÓRMULA MANUAL]","",IFERROR(AVERAGEIFS(nNOTA,nNIA,G65,nCUENTA,1,nASIG,"Lenguaje Musical"),"")))</f>
        <v/>
      </c>
      <c r="I65" t="str">
        <f>IF(G65="","",IF(G65="[FÓRMULA MANUAL]","",IFERROR(AVERAGEIFS(nNOTA,nNIA,G65,nCUENTA,1,nASIG,"Orquesta/Banda/Conjunto"),"")))</f>
        <v/>
      </c>
      <c r="J65" t="str">
        <f>IF(G65="","",IF(G65="[FÓRMULA MANUAL]","",IFERROR(AVERAGEIFS(nNOTA,nNIA,G65,nCUENTA,1,nASIG,"Conjunto"),"")))</f>
        <v/>
      </c>
      <c r="K65" t="str">
        <f>IF(G65="","",IF(G65="[FÓRMULA MANUAL]","",IFERROR(SUMPRODUCT((nNIA=G65)*(nCUENTA=1)*(COUNTIF(CONFIG_ASIGNATURAS!$B$7:$B$27,nASIG)&gt;0)*(nNOTA))/SUMPRODUCT((nNIA=G65)*(nCUENTA=1)*(COUNTIF(CONFIG_ASIGNATURAS!$B$7:$B$27,nASIG)&gt;0)*1),"")))</f>
        <v/>
      </c>
      <c r="N65" t="str">
        <f>IF(M65="","",IF(M65="[FÓRMULA MANUAL]","",IFERROR(AVERAGEIFS(nNOTA,nNIA,M65,nCUENTA,1,nASIG,"Armonía"),"")))</f>
        <v/>
      </c>
      <c r="O65" t="str">
        <f>IF(M65="","",IF(M65="[FÓRMULA MANUAL]","",IFERROR(AVERAGEIFS(nNOTA,nNIA,M65,nCUENTA,1,nASIG,"Orquesta/Banda/Conjunto"),"")))</f>
        <v/>
      </c>
      <c r="P65" t="str">
        <f>IF(M65="","",IF(M65="[FÓRMULA MANUAL]","",IFERROR(AVERAGEIFS(nNOTA,nNIA,M65,nCUENTA,1,nASIG,"Música de Cámara"),"")))</f>
        <v/>
      </c>
      <c r="Q65" t="str">
        <f>IF(M65="","",IF(M65="[FÓRMULA MANUAL]","",IFERROR(SUMPRODUCT((nNIA=M65)*(nCUENTA=1)*(COUNTIF(CONFIG_ASIGNATURAS!$B$7:$B$27,nASIG)&gt;0)*(nNOTA))/SUMPRODUCT((nNIA=M65)*(nCUENTA=1)*(COUNTIF(CONFIG_ASIGNATURAS!$B$7:$B$27,nASIG)&gt;0)*1),"")))</f>
        <v/>
      </c>
      <c r="T65" t="str">
        <f>IF(S65="","",IF(S65="[FÓRMULA MANUAL]","",IFERROR(AVERAGEIFS(nNOTA,nNIA,S65,nCUENTA,1,nASIG,"Armonía"),"")))</f>
        <v/>
      </c>
      <c r="U65" t="str">
        <f>IF(S65="","",IF(S65="[FÓRMULA MANUAL]","",IFERROR(AVERAGEIFS(nNOTA,nNIA,S65,nCUENTA,1,nASIG,"Orquesta/Banda/Conjunto"),"")))</f>
        <v/>
      </c>
      <c r="V65" t="str">
        <f>IF(S65="","",IF(S65="[FÓRMULA MANUAL]","",IFERROR(AVERAGEIFS(nNOTA,nNIA,S65,nCUENTA,1,nASIG,"Música de Cámara"),"")))</f>
        <v/>
      </c>
      <c r="W65" t="str">
        <f>IF(S65="","",IF(S65="[FÓRMULA MANUAL]","",IFERROR(SUMPRODUCT((nNIA=S65)*(nCUENTA=1)*(COUNTIF(CONFIG_ASIGNATURAS!$B$7:$B$27,nASIG)&gt;0)*(nNOTA))/SUMPRODUCT((nNIA=S65)*(nCUENTA=1)*(COUNTIF(CONFIG_ASIGNATURAS!$B$7:$B$27,nASIG)&gt;0)*1),"")))</f>
        <v/>
      </c>
      <c r="Z65" t="str">
        <f>IF(Y65="","",IF(Y65="[FÓRMULA MANUAL]","",IFERROR(AVERAGEIFS(nNOTA,nNIA,Y65,nCUENTA,1,nASIG,"Análisis"),"")))</f>
        <v/>
      </c>
      <c r="AA65" t="str">
        <f>IF(Y65="","",IF(Y65="[FÓRMULA MANUAL]","",IFERROR(AVERAGEIFS(nNOTA,nNIA,Y65,nCUENTA,1,nASIG,"Orquesta/Banda/Conjunto"),"")))</f>
        <v/>
      </c>
      <c r="AB65" t="str">
        <f>IF(Y65="","",IF(Y65="[FÓRMULA MANUAL]","",IFERROR(AVERAGEIFS(nNOTA,nNIA,Y65,nCUENTA,1,nASIG,"Música de Cámara"),"")))</f>
        <v/>
      </c>
      <c r="AC65" t="str">
        <f>IF(Y65="","",IF(Y65="[FÓRMULA MANUAL]","",IFERROR(SUMPRODUCT((nNIA=Y65)*(nCUENTA=1)*(COUNTIF(CONFIG_ASIGNATURAS!$B$7:$B$27,nASIG)&gt;0)*(nNOTA))/SUMPRODUCT((nNIA=Y65)*(nCUENTA=1)*(COUNTIF(CONFIG_ASIGNATURAS!$B$7:$B$27,nASIG)&gt;0)*1),"")))</f>
        <v/>
      </c>
      <c r="AF65" t="str">
        <f>IF(AE65="","",IF(AE65="[FÓRMULA MANUAL]","",IFERROR(AVERAGEIFS(nNOTA,nNIA,AE65,nCUENTA,1,nASIG,"Análisis"),"")))</f>
        <v/>
      </c>
      <c r="AG65" t="str">
        <f>IF(AE65="","",IF(AE65="[FÓRMULA MANUAL]","",IFERROR(AVERAGEIFS(nNOTA,nNIA,AE65,nCUENTA,1,nASIG,"Orquesta/Banda/Conjunto"),"")))</f>
        <v/>
      </c>
      <c r="AH65" t="str">
        <f>IF(AE65="","",IF(AE65="[FÓRMULA MANUAL]","",IFERROR(AVERAGEIFS(nNOTA,nNIA,AE65,nCUENTA,1,nASIG,"Música de Cámara"),"")))</f>
        <v/>
      </c>
      <c r="AI65" t="str">
        <f>IF(AE65="","",IF(AE65="[FÓRMULA MANUAL]","",IFERROR(SUMPRODUCT((nNIA=AE65)*(nCUENTA=1)*(COUNTIF(CONFIG_ASIGNATURAS!$B$7:$B$27,nASIG)&gt;0)*(nNOTA))/SUMPRODUCT((nNIA=AE65)*(nCUENTA=1)*(COUNTIF(CONFIG_ASIGNATURAS!$B$7:$B$27,nASIG)&gt;0)*1),"")))</f>
        <v/>
      </c>
    </row>
    <row r="66" spans="2:35" x14ac:dyDescent="0.2">
      <c r="B66" t="str">
        <f>IF(A66="","",IF(A66="[FÓRMULA MANUAL]","",IFERROR(AVERAGEIFS(nNOTA,nNIA,A66,nCUENTA,1,nASIG,"Lenguaje Musical"),"")))</f>
        <v/>
      </c>
      <c r="C66" t="str">
        <f>IF(A66="","",IF(A66="[FÓRMULA MANUAL]","",IFERROR(AVERAGEIFS(nNOTA,nNIA,A66,nCUENTA,1,nASIG,"Orquesta/Banda/Conjunto"),"")))</f>
        <v/>
      </c>
      <c r="D66" t="str">
        <f>IF(A66="","",IF(A66="[FÓRMULA MANUAL]","",IFERROR(AVERAGEIFS(nNOTA,nNIA,A66,nCUENTA,1,nASIG,"Conjunto"),"")))</f>
        <v/>
      </c>
      <c r="E66" t="str">
        <f>IF(A66="","",IF(A66="[FÓRMULA MANUAL]","",IFERROR(SUMPRODUCT((nNIA=A66)*(nCUENTA=1)*(COUNTIF(CONFIG_ASIGNATURAS!$B$7:$B$27,nASIG)&gt;0)*(nNOTA))/SUMPRODUCT((nNIA=A66)*(nCUENTA=1)*(COUNTIF(CONFIG_ASIGNATURAS!$B$7:$B$27,nASIG)&gt;0)*1),"")))</f>
        <v/>
      </c>
      <c r="H66" t="str">
        <f>IF(G66="","",IF(G66="[FÓRMULA MANUAL]","",IFERROR(AVERAGEIFS(nNOTA,nNIA,G66,nCUENTA,1,nASIG,"Lenguaje Musical"),"")))</f>
        <v/>
      </c>
      <c r="I66" t="str">
        <f>IF(G66="","",IF(G66="[FÓRMULA MANUAL]","",IFERROR(AVERAGEIFS(nNOTA,nNIA,G66,nCUENTA,1,nASIG,"Orquesta/Banda/Conjunto"),"")))</f>
        <v/>
      </c>
      <c r="J66" t="str">
        <f>IF(G66="","",IF(G66="[FÓRMULA MANUAL]","",IFERROR(AVERAGEIFS(nNOTA,nNIA,G66,nCUENTA,1,nASIG,"Conjunto"),"")))</f>
        <v/>
      </c>
      <c r="K66" t="str">
        <f>IF(G66="","",IF(G66="[FÓRMULA MANUAL]","",IFERROR(SUMPRODUCT((nNIA=G66)*(nCUENTA=1)*(COUNTIF(CONFIG_ASIGNATURAS!$B$7:$B$27,nASIG)&gt;0)*(nNOTA))/SUMPRODUCT((nNIA=G66)*(nCUENTA=1)*(COUNTIF(CONFIG_ASIGNATURAS!$B$7:$B$27,nASIG)&gt;0)*1),"")))</f>
        <v/>
      </c>
      <c r="N66" t="str">
        <f>IF(M66="","",IF(M66="[FÓRMULA MANUAL]","",IFERROR(AVERAGEIFS(nNOTA,nNIA,M66,nCUENTA,1,nASIG,"Armonía"),"")))</f>
        <v/>
      </c>
      <c r="O66" t="str">
        <f>IF(M66="","",IF(M66="[FÓRMULA MANUAL]","",IFERROR(AVERAGEIFS(nNOTA,nNIA,M66,nCUENTA,1,nASIG,"Orquesta/Banda/Conjunto"),"")))</f>
        <v/>
      </c>
      <c r="P66" t="str">
        <f>IF(M66="","",IF(M66="[FÓRMULA MANUAL]","",IFERROR(AVERAGEIFS(nNOTA,nNIA,M66,nCUENTA,1,nASIG,"Música de Cámara"),"")))</f>
        <v/>
      </c>
      <c r="Q66" t="str">
        <f>IF(M66="","",IF(M66="[FÓRMULA MANUAL]","",IFERROR(SUMPRODUCT((nNIA=M66)*(nCUENTA=1)*(COUNTIF(CONFIG_ASIGNATURAS!$B$7:$B$27,nASIG)&gt;0)*(nNOTA))/SUMPRODUCT((nNIA=M66)*(nCUENTA=1)*(COUNTIF(CONFIG_ASIGNATURAS!$B$7:$B$27,nASIG)&gt;0)*1),"")))</f>
        <v/>
      </c>
      <c r="T66" t="str">
        <f>IF(S66="","",IF(S66="[FÓRMULA MANUAL]","",IFERROR(AVERAGEIFS(nNOTA,nNIA,S66,nCUENTA,1,nASIG,"Armonía"),"")))</f>
        <v/>
      </c>
      <c r="U66" t="str">
        <f>IF(S66="","",IF(S66="[FÓRMULA MANUAL]","",IFERROR(AVERAGEIFS(nNOTA,nNIA,S66,nCUENTA,1,nASIG,"Orquesta/Banda/Conjunto"),"")))</f>
        <v/>
      </c>
      <c r="V66" t="str">
        <f>IF(S66="","",IF(S66="[FÓRMULA MANUAL]","",IFERROR(AVERAGEIFS(nNOTA,nNIA,S66,nCUENTA,1,nASIG,"Música de Cámara"),"")))</f>
        <v/>
      </c>
      <c r="W66" t="str">
        <f>IF(S66="","",IF(S66="[FÓRMULA MANUAL]","",IFERROR(SUMPRODUCT((nNIA=S66)*(nCUENTA=1)*(COUNTIF(CONFIG_ASIGNATURAS!$B$7:$B$27,nASIG)&gt;0)*(nNOTA))/SUMPRODUCT((nNIA=S66)*(nCUENTA=1)*(COUNTIF(CONFIG_ASIGNATURAS!$B$7:$B$27,nASIG)&gt;0)*1),"")))</f>
        <v/>
      </c>
      <c r="Z66" t="str">
        <f>IF(Y66="","",IF(Y66="[FÓRMULA MANUAL]","",IFERROR(AVERAGEIFS(nNOTA,nNIA,Y66,nCUENTA,1,nASIG,"Análisis"),"")))</f>
        <v/>
      </c>
      <c r="AA66" t="str">
        <f>IF(Y66="","",IF(Y66="[FÓRMULA MANUAL]","",IFERROR(AVERAGEIFS(nNOTA,nNIA,Y66,nCUENTA,1,nASIG,"Orquesta/Banda/Conjunto"),"")))</f>
        <v/>
      </c>
      <c r="AB66" t="str">
        <f>IF(Y66="","",IF(Y66="[FÓRMULA MANUAL]","",IFERROR(AVERAGEIFS(nNOTA,nNIA,Y66,nCUENTA,1,nASIG,"Música de Cámara"),"")))</f>
        <v/>
      </c>
      <c r="AC66" t="str">
        <f>IF(Y66="","",IF(Y66="[FÓRMULA MANUAL]","",IFERROR(SUMPRODUCT((nNIA=Y66)*(nCUENTA=1)*(COUNTIF(CONFIG_ASIGNATURAS!$B$7:$B$27,nASIG)&gt;0)*(nNOTA))/SUMPRODUCT((nNIA=Y66)*(nCUENTA=1)*(COUNTIF(CONFIG_ASIGNATURAS!$B$7:$B$27,nASIG)&gt;0)*1),"")))</f>
        <v/>
      </c>
      <c r="AF66" t="str">
        <f>IF(AE66="","",IF(AE66="[FÓRMULA MANUAL]","",IFERROR(AVERAGEIFS(nNOTA,nNIA,AE66,nCUENTA,1,nASIG,"Análisis"),"")))</f>
        <v/>
      </c>
      <c r="AG66" t="str">
        <f>IF(AE66="","",IF(AE66="[FÓRMULA MANUAL]","",IFERROR(AVERAGEIFS(nNOTA,nNIA,AE66,nCUENTA,1,nASIG,"Orquesta/Banda/Conjunto"),"")))</f>
        <v/>
      </c>
      <c r="AH66" t="str">
        <f>IF(AE66="","",IF(AE66="[FÓRMULA MANUAL]","",IFERROR(AVERAGEIFS(nNOTA,nNIA,AE66,nCUENTA,1,nASIG,"Música de Cámara"),"")))</f>
        <v/>
      </c>
      <c r="AI66" t="str">
        <f>IF(AE66="","",IF(AE66="[FÓRMULA MANUAL]","",IFERROR(SUMPRODUCT((nNIA=AE66)*(nCUENTA=1)*(COUNTIF(CONFIG_ASIGNATURAS!$B$7:$B$27,nASIG)&gt;0)*(nNOTA))/SUMPRODUCT((nNIA=AE66)*(nCUENTA=1)*(COUNTIF(CONFIG_ASIGNATURAS!$B$7:$B$27,nASIG)&gt;0)*1),"")))</f>
        <v/>
      </c>
    </row>
    <row r="67" spans="2:35" x14ac:dyDescent="0.2">
      <c r="B67" t="str">
        <f>IF(A67="","",IF(A67="[FÓRMULA MANUAL]","",IFERROR(AVERAGEIFS(nNOTA,nNIA,A67,nCUENTA,1,nASIG,"Lenguaje Musical"),"")))</f>
        <v/>
      </c>
      <c r="C67" t="str">
        <f>IF(A67="","",IF(A67="[FÓRMULA MANUAL]","",IFERROR(AVERAGEIFS(nNOTA,nNIA,A67,nCUENTA,1,nASIG,"Orquesta/Banda/Conjunto"),"")))</f>
        <v/>
      </c>
      <c r="D67" t="str">
        <f>IF(A67="","",IF(A67="[FÓRMULA MANUAL]","",IFERROR(AVERAGEIFS(nNOTA,nNIA,A67,nCUENTA,1,nASIG,"Conjunto"),"")))</f>
        <v/>
      </c>
      <c r="E67" t="str">
        <f>IF(A67="","",IF(A67="[FÓRMULA MANUAL]","",IFERROR(SUMPRODUCT((nNIA=A67)*(nCUENTA=1)*(COUNTIF(CONFIG_ASIGNATURAS!$B$7:$B$27,nASIG)&gt;0)*(nNOTA))/SUMPRODUCT((nNIA=A67)*(nCUENTA=1)*(COUNTIF(CONFIG_ASIGNATURAS!$B$7:$B$27,nASIG)&gt;0)*1),"")))</f>
        <v/>
      </c>
      <c r="H67" t="str">
        <f>IF(G67="","",IF(G67="[FÓRMULA MANUAL]","",IFERROR(AVERAGEIFS(nNOTA,nNIA,G67,nCUENTA,1,nASIG,"Lenguaje Musical"),"")))</f>
        <v/>
      </c>
      <c r="I67" t="str">
        <f>IF(G67="","",IF(G67="[FÓRMULA MANUAL]","",IFERROR(AVERAGEIFS(nNOTA,nNIA,G67,nCUENTA,1,nASIG,"Orquesta/Banda/Conjunto"),"")))</f>
        <v/>
      </c>
      <c r="J67" t="str">
        <f>IF(G67="","",IF(G67="[FÓRMULA MANUAL]","",IFERROR(AVERAGEIFS(nNOTA,nNIA,G67,nCUENTA,1,nASIG,"Conjunto"),"")))</f>
        <v/>
      </c>
      <c r="K67" t="str">
        <f>IF(G67="","",IF(G67="[FÓRMULA MANUAL]","",IFERROR(SUMPRODUCT((nNIA=G67)*(nCUENTA=1)*(COUNTIF(CONFIG_ASIGNATURAS!$B$7:$B$27,nASIG)&gt;0)*(nNOTA))/SUMPRODUCT((nNIA=G67)*(nCUENTA=1)*(COUNTIF(CONFIG_ASIGNATURAS!$B$7:$B$27,nASIG)&gt;0)*1),"")))</f>
        <v/>
      </c>
      <c r="N67" t="str">
        <f>IF(M67="","",IF(M67="[FÓRMULA MANUAL]","",IFERROR(AVERAGEIFS(nNOTA,nNIA,M67,nCUENTA,1,nASIG,"Armonía"),"")))</f>
        <v/>
      </c>
      <c r="O67" t="str">
        <f>IF(M67="","",IF(M67="[FÓRMULA MANUAL]","",IFERROR(AVERAGEIFS(nNOTA,nNIA,M67,nCUENTA,1,nASIG,"Orquesta/Banda/Conjunto"),"")))</f>
        <v/>
      </c>
      <c r="P67" t="str">
        <f>IF(M67="","",IF(M67="[FÓRMULA MANUAL]","",IFERROR(AVERAGEIFS(nNOTA,nNIA,M67,nCUENTA,1,nASIG,"Música de Cámara"),"")))</f>
        <v/>
      </c>
      <c r="Q67" t="str">
        <f>IF(M67="","",IF(M67="[FÓRMULA MANUAL]","",IFERROR(SUMPRODUCT((nNIA=M67)*(nCUENTA=1)*(COUNTIF(CONFIG_ASIGNATURAS!$B$7:$B$27,nASIG)&gt;0)*(nNOTA))/SUMPRODUCT((nNIA=M67)*(nCUENTA=1)*(COUNTIF(CONFIG_ASIGNATURAS!$B$7:$B$27,nASIG)&gt;0)*1),"")))</f>
        <v/>
      </c>
      <c r="T67" t="str">
        <f>IF(S67="","",IF(S67="[FÓRMULA MANUAL]","",IFERROR(AVERAGEIFS(nNOTA,nNIA,S67,nCUENTA,1,nASIG,"Armonía"),"")))</f>
        <v/>
      </c>
      <c r="U67" t="str">
        <f>IF(S67="","",IF(S67="[FÓRMULA MANUAL]","",IFERROR(AVERAGEIFS(nNOTA,nNIA,S67,nCUENTA,1,nASIG,"Orquesta/Banda/Conjunto"),"")))</f>
        <v/>
      </c>
      <c r="V67" t="str">
        <f>IF(S67="","",IF(S67="[FÓRMULA MANUAL]","",IFERROR(AVERAGEIFS(nNOTA,nNIA,S67,nCUENTA,1,nASIG,"Música de Cámara"),"")))</f>
        <v/>
      </c>
      <c r="W67" t="str">
        <f>IF(S67="","",IF(S67="[FÓRMULA MANUAL]","",IFERROR(SUMPRODUCT((nNIA=S67)*(nCUENTA=1)*(COUNTIF(CONFIG_ASIGNATURAS!$B$7:$B$27,nASIG)&gt;0)*(nNOTA))/SUMPRODUCT((nNIA=S67)*(nCUENTA=1)*(COUNTIF(CONFIG_ASIGNATURAS!$B$7:$B$27,nASIG)&gt;0)*1),"")))</f>
        <v/>
      </c>
      <c r="Z67" t="str">
        <f>IF(Y67="","",IF(Y67="[FÓRMULA MANUAL]","",IFERROR(AVERAGEIFS(nNOTA,nNIA,Y67,nCUENTA,1,nASIG,"Análisis"),"")))</f>
        <v/>
      </c>
      <c r="AA67" t="str">
        <f>IF(Y67="","",IF(Y67="[FÓRMULA MANUAL]","",IFERROR(AVERAGEIFS(nNOTA,nNIA,Y67,nCUENTA,1,nASIG,"Orquesta/Banda/Conjunto"),"")))</f>
        <v/>
      </c>
      <c r="AB67" t="str">
        <f>IF(Y67="","",IF(Y67="[FÓRMULA MANUAL]","",IFERROR(AVERAGEIFS(nNOTA,nNIA,Y67,nCUENTA,1,nASIG,"Música de Cámara"),"")))</f>
        <v/>
      </c>
      <c r="AC67" t="str">
        <f>IF(Y67="","",IF(Y67="[FÓRMULA MANUAL]","",IFERROR(SUMPRODUCT((nNIA=Y67)*(nCUENTA=1)*(COUNTIF(CONFIG_ASIGNATURAS!$B$7:$B$27,nASIG)&gt;0)*(nNOTA))/SUMPRODUCT((nNIA=Y67)*(nCUENTA=1)*(COUNTIF(CONFIG_ASIGNATURAS!$B$7:$B$27,nASIG)&gt;0)*1),"")))</f>
        <v/>
      </c>
      <c r="AF67" t="str">
        <f>IF(AE67="","",IF(AE67="[FÓRMULA MANUAL]","",IFERROR(AVERAGEIFS(nNOTA,nNIA,AE67,nCUENTA,1,nASIG,"Análisis"),"")))</f>
        <v/>
      </c>
      <c r="AG67" t="str">
        <f>IF(AE67="","",IF(AE67="[FÓRMULA MANUAL]","",IFERROR(AVERAGEIFS(nNOTA,nNIA,AE67,nCUENTA,1,nASIG,"Orquesta/Banda/Conjunto"),"")))</f>
        <v/>
      </c>
      <c r="AH67" t="str">
        <f>IF(AE67="","",IF(AE67="[FÓRMULA MANUAL]","",IFERROR(AVERAGEIFS(nNOTA,nNIA,AE67,nCUENTA,1,nASIG,"Música de Cámara"),"")))</f>
        <v/>
      </c>
      <c r="AI67" t="str">
        <f>IF(AE67="","",IF(AE67="[FÓRMULA MANUAL]","",IFERROR(SUMPRODUCT((nNIA=AE67)*(nCUENTA=1)*(COUNTIF(CONFIG_ASIGNATURAS!$B$7:$B$27,nASIG)&gt;0)*(nNOTA))/SUMPRODUCT((nNIA=AE67)*(nCUENTA=1)*(COUNTIF(CONFIG_ASIGNATURAS!$B$7:$B$27,nASIG)&gt;0)*1),"")))</f>
        <v/>
      </c>
    </row>
    <row r="68" spans="2:35" x14ac:dyDescent="0.2">
      <c r="B68" t="str">
        <f>IF(A68="","",IF(A68="[FÓRMULA MANUAL]","",IFERROR(AVERAGEIFS(nNOTA,nNIA,A68,nCUENTA,1,nASIG,"Lenguaje Musical"),"")))</f>
        <v/>
      </c>
      <c r="C68" t="str">
        <f>IF(A68="","",IF(A68="[FÓRMULA MANUAL]","",IFERROR(AVERAGEIFS(nNOTA,nNIA,A68,nCUENTA,1,nASIG,"Orquesta/Banda/Conjunto"),"")))</f>
        <v/>
      </c>
      <c r="D68" t="str">
        <f>IF(A68="","",IF(A68="[FÓRMULA MANUAL]","",IFERROR(AVERAGEIFS(nNOTA,nNIA,A68,nCUENTA,1,nASIG,"Conjunto"),"")))</f>
        <v/>
      </c>
      <c r="E68" t="str">
        <f>IF(A68="","",IF(A68="[FÓRMULA MANUAL]","",IFERROR(SUMPRODUCT((nNIA=A68)*(nCUENTA=1)*(COUNTIF(CONFIG_ASIGNATURAS!$B$7:$B$27,nASIG)&gt;0)*(nNOTA))/SUMPRODUCT((nNIA=A68)*(nCUENTA=1)*(COUNTIF(CONFIG_ASIGNATURAS!$B$7:$B$27,nASIG)&gt;0)*1),"")))</f>
        <v/>
      </c>
      <c r="H68" t="str">
        <f>IF(G68="","",IF(G68="[FÓRMULA MANUAL]","",IFERROR(AVERAGEIFS(nNOTA,nNIA,G68,nCUENTA,1,nASIG,"Lenguaje Musical"),"")))</f>
        <v/>
      </c>
      <c r="I68" t="str">
        <f>IF(G68="","",IF(G68="[FÓRMULA MANUAL]","",IFERROR(AVERAGEIFS(nNOTA,nNIA,G68,nCUENTA,1,nASIG,"Orquesta/Banda/Conjunto"),"")))</f>
        <v/>
      </c>
      <c r="J68" t="str">
        <f>IF(G68="","",IF(G68="[FÓRMULA MANUAL]","",IFERROR(AVERAGEIFS(nNOTA,nNIA,G68,nCUENTA,1,nASIG,"Conjunto"),"")))</f>
        <v/>
      </c>
      <c r="K68" t="str">
        <f>IF(G68="","",IF(G68="[FÓRMULA MANUAL]","",IFERROR(SUMPRODUCT((nNIA=G68)*(nCUENTA=1)*(COUNTIF(CONFIG_ASIGNATURAS!$B$7:$B$27,nASIG)&gt;0)*(nNOTA))/SUMPRODUCT((nNIA=G68)*(nCUENTA=1)*(COUNTIF(CONFIG_ASIGNATURAS!$B$7:$B$27,nASIG)&gt;0)*1),"")))</f>
        <v/>
      </c>
      <c r="N68" t="str">
        <f>IF(M68="","",IF(M68="[FÓRMULA MANUAL]","",IFERROR(AVERAGEIFS(nNOTA,nNIA,M68,nCUENTA,1,nASIG,"Armonía"),"")))</f>
        <v/>
      </c>
      <c r="O68" t="str">
        <f>IF(M68="","",IF(M68="[FÓRMULA MANUAL]","",IFERROR(AVERAGEIFS(nNOTA,nNIA,M68,nCUENTA,1,nASIG,"Orquesta/Banda/Conjunto"),"")))</f>
        <v/>
      </c>
      <c r="P68" t="str">
        <f>IF(M68="","",IF(M68="[FÓRMULA MANUAL]","",IFERROR(AVERAGEIFS(nNOTA,nNIA,M68,nCUENTA,1,nASIG,"Música de Cámara"),"")))</f>
        <v/>
      </c>
      <c r="Q68" t="str">
        <f>IF(M68="","",IF(M68="[FÓRMULA MANUAL]","",IFERROR(SUMPRODUCT((nNIA=M68)*(nCUENTA=1)*(COUNTIF(CONFIG_ASIGNATURAS!$B$7:$B$27,nASIG)&gt;0)*(nNOTA))/SUMPRODUCT((nNIA=M68)*(nCUENTA=1)*(COUNTIF(CONFIG_ASIGNATURAS!$B$7:$B$27,nASIG)&gt;0)*1),"")))</f>
        <v/>
      </c>
      <c r="T68" t="str">
        <f>IF(S68="","",IF(S68="[FÓRMULA MANUAL]","",IFERROR(AVERAGEIFS(nNOTA,nNIA,S68,nCUENTA,1,nASIG,"Armonía"),"")))</f>
        <v/>
      </c>
      <c r="U68" t="str">
        <f>IF(S68="","",IF(S68="[FÓRMULA MANUAL]","",IFERROR(AVERAGEIFS(nNOTA,nNIA,S68,nCUENTA,1,nASIG,"Orquesta/Banda/Conjunto"),"")))</f>
        <v/>
      </c>
      <c r="V68" t="str">
        <f>IF(S68="","",IF(S68="[FÓRMULA MANUAL]","",IFERROR(AVERAGEIFS(nNOTA,nNIA,S68,nCUENTA,1,nASIG,"Música de Cámara"),"")))</f>
        <v/>
      </c>
      <c r="W68" t="str">
        <f>IF(S68="","",IF(S68="[FÓRMULA MANUAL]","",IFERROR(SUMPRODUCT((nNIA=S68)*(nCUENTA=1)*(COUNTIF(CONFIG_ASIGNATURAS!$B$7:$B$27,nASIG)&gt;0)*(nNOTA))/SUMPRODUCT((nNIA=S68)*(nCUENTA=1)*(COUNTIF(CONFIG_ASIGNATURAS!$B$7:$B$27,nASIG)&gt;0)*1),"")))</f>
        <v/>
      </c>
      <c r="Z68" t="str">
        <f>IF(Y68="","",IF(Y68="[FÓRMULA MANUAL]","",IFERROR(AVERAGEIFS(nNOTA,nNIA,Y68,nCUENTA,1,nASIG,"Análisis"),"")))</f>
        <v/>
      </c>
      <c r="AA68" t="str">
        <f>IF(Y68="","",IF(Y68="[FÓRMULA MANUAL]","",IFERROR(AVERAGEIFS(nNOTA,nNIA,Y68,nCUENTA,1,nASIG,"Orquesta/Banda/Conjunto"),"")))</f>
        <v/>
      </c>
      <c r="AB68" t="str">
        <f>IF(Y68="","",IF(Y68="[FÓRMULA MANUAL]","",IFERROR(AVERAGEIFS(nNOTA,nNIA,Y68,nCUENTA,1,nASIG,"Música de Cámara"),"")))</f>
        <v/>
      </c>
      <c r="AC68" t="str">
        <f>IF(Y68="","",IF(Y68="[FÓRMULA MANUAL]","",IFERROR(SUMPRODUCT((nNIA=Y68)*(nCUENTA=1)*(COUNTIF(CONFIG_ASIGNATURAS!$B$7:$B$27,nASIG)&gt;0)*(nNOTA))/SUMPRODUCT((nNIA=Y68)*(nCUENTA=1)*(COUNTIF(CONFIG_ASIGNATURAS!$B$7:$B$27,nASIG)&gt;0)*1),"")))</f>
        <v/>
      </c>
      <c r="AF68" t="str">
        <f>IF(AE68="","",IF(AE68="[FÓRMULA MANUAL]","",IFERROR(AVERAGEIFS(nNOTA,nNIA,AE68,nCUENTA,1,nASIG,"Análisis"),"")))</f>
        <v/>
      </c>
      <c r="AG68" t="str">
        <f>IF(AE68="","",IF(AE68="[FÓRMULA MANUAL]","",IFERROR(AVERAGEIFS(nNOTA,nNIA,AE68,nCUENTA,1,nASIG,"Orquesta/Banda/Conjunto"),"")))</f>
        <v/>
      </c>
      <c r="AH68" t="str">
        <f>IF(AE68="","",IF(AE68="[FÓRMULA MANUAL]","",IFERROR(AVERAGEIFS(nNOTA,nNIA,AE68,nCUENTA,1,nASIG,"Música de Cámara"),"")))</f>
        <v/>
      </c>
      <c r="AI68" t="str">
        <f>IF(AE68="","",IF(AE68="[FÓRMULA MANUAL]","",IFERROR(SUMPRODUCT((nNIA=AE68)*(nCUENTA=1)*(COUNTIF(CONFIG_ASIGNATURAS!$B$7:$B$27,nASIG)&gt;0)*(nNOTA))/SUMPRODUCT((nNIA=AE68)*(nCUENTA=1)*(COUNTIF(CONFIG_ASIGNATURAS!$B$7:$B$27,nASIG)&gt;0)*1),"")))</f>
        <v/>
      </c>
    </row>
    <row r="69" spans="2:35" x14ac:dyDescent="0.2">
      <c r="B69" t="str">
        <f>IF(A69="","",IF(A69="[FÓRMULA MANUAL]","",IFERROR(AVERAGEIFS(nNOTA,nNIA,A69,nCUENTA,1,nASIG,"Lenguaje Musical"),"")))</f>
        <v/>
      </c>
      <c r="C69" t="str">
        <f>IF(A69="","",IF(A69="[FÓRMULA MANUAL]","",IFERROR(AVERAGEIFS(nNOTA,nNIA,A69,nCUENTA,1,nASIG,"Orquesta/Banda/Conjunto"),"")))</f>
        <v/>
      </c>
      <c r="D69" t="str">
        <f>IF(A69="","",IF(A69="[FÓRMULA MANUAL]","",IFERROR(AVERAGEIFS(nNOTA,nNIA,A69,nCUENTA,1,nASIG,"Conjunto"),"")))</f>
        <v/>
      </c>
      <c r="E69" t="str">
        <f>IF(A69="","",IF(A69="[FÓRMULA MANUAL]","",IFERROR(SUMPRODUCT((nNIA=A69)*(nCUENTA=1)*(COUNTIF(CONFIG_ASIGNATURAS!$B$7:$B$27,nASIG)&gt;0)*(nNOTA))/SUMPRODUCT((nNIA=A69)*(nCUENTA=1)*(COUNTIF(CONFIG_ASIGNATURAS!$B$7:$B$27,nASIG)&gt;0)*1),"")))</f>
        <v/>
      </c>
      <c r="H69" t="str">
        <f>IF(G69="","",IF(G69="[FÓRMULA MANUAL]","",IFERROR(AVERAGEIFS(nNOTA,nNIA,G69,nCUENTA,1,nASIG,"Lenguaje Musical"),"")))</f>
        <v/>
      </c>
      <c r="I69" t="str">
        <f>IF(G69="","",IF(G69="[FÓRMULA MANUAL]","",IFERROR(AVERAGEIFS(nNOTA,nNIA,G69,nCUENTA,1,nASIG,"Orquesta/Banda/Conjunto"),"")))</f>
        <v/>
      </c>
      <c r="J69" t="str">
        <f>IF(G69="","",IF(G69="[FÓRMULA MANUAL]","",IFERROR(AVERAGEIFS(nNOTA,nNIA,G69,nCUENTA,1,nASIG,"Conjunto"),"")))</f>
        <v/>
      </c>
      <c r="K69" t="str">
        <f>IF(G69="","",IF(G69="[FÓRMULA MANUAL]","",IFERROR(SUMPRODUCT((nNIA=G69)*(nCUENTA=1)*(COUNTIF(CONFIG_ASIGNATURAS!$B$7:$B$27,nASIG)&gt;0)*(nNOTA))/SUMPRODUCT((nNIA=G69)*(nCUENTA=1)*(COUNTIF(CONFIG_ASIGNATURAS!$B$7:$B$27,nASIG)&gt;0)*1),"")))</f>
        <v/>
      </c>
      <c r="N69" t="str">
        <f>IF(M69="","",IF(M69="[FÓRMULA MANUAL]","",IFERROR(AVERAGEIFS(nNOTA,nNIA,M69,nCUENTA,1,nASIG,"Armonía"),"")))</f>
        <v/>
      </c>
      <c r="O69" t="str">
        <f>IF(M69="","",IF(M69="[FÓRMULA MANUAL]","",IFERROR(AVERAGEIFS(nNOTA,nNIA,M69,nCUENTA,1,nASIG,"Orquesta/Banda/Conjunto"),"")))</f>
        <v/>
      </c>
      <c r="P69" t="str">
        <f>IF(M69="","",IF(M69="[FÓRMULA MANUAL]","",IFERROR(AVERAGEIFS(nNOTA,nNIA,M69,nCUENTA,1,nASIG,"Música de Cámara"),"")))</f>
        <v/>
      </c>
      <c r="Q69" t="str">
        <f>IF(M69="","",IF(M69="[FÓRMULA MANUAL]","",IFERROR(SUMPRODUCT((nNIA=M69)*(nCUENTA=1)*(COUNTIF(CONFIG_ASIGNATURAS!$B$7:$B$27,nASIG)&gt;0)*(nNOTA))/SUMPRODUCT((nNIA=M69)*(nCUENTA=1)*(COUNTIF(CONFIG_ASIGNATURAS!$B$7:$B$27,nASIG)&gt;0)*1),"")))</f>
        <v/>
      </c>
      <c r="T69" t="str">
        <f>IF(S69="","",IF(S69="[FÓRMULA MANUAL]","",IFERROR(AVERAGEIFS(nNOTA,nNIA,S69,nCUENTA,1,nASIG,"Armonía"),"")))</f>
        <v/>
      </c>
      <c r="U69" t="str">
        <f>IF(S69="","",IF(S69="[FÓRMULA MANUAL]","",IFERROR(AVERAGEIFS(nNOTA,nNIA,S69,nCUENTA,1,nASIG,"Orquesta/Banda/Conjunto"),"")))</f>
        <v/>
      </c>
      <c r="V69" t="str">
        <f>IF(S69="","",IF(S69="[FÓRMULA MANUAL]","",IFERROR(AVERAGEIFS(nNOTA,nNIA,S69,nCUENTA,1,nASIG,"Música de Cámara"),"")))</f>
        <v/>
      </c>
      <c r="W69" t="str">
        <f>IF(S69="","",IF(S69="[FÓRMULA MANUAL]","",IFERROR(SUMPRODUCT((nNIA=S69)*(nCUENTA=1)*(COUNTIF(CONFIG_ASIGNATURAS!$B$7:$B$27,nASIG)&gt;0)*(nNOTA))/SUMPRODUCT((nNIA=S69)*(nCUENTA=1)*(COUNTIF(CONFIG_ASIGNATURAS!$B$7:$B$27,nASIG)&gt;0)*1),"")))</f>
        <v/>
      </c>
      <c r="Z69" t="str">
        <f>IF(Y69="","",IF(Y69="[FÓRMULA MANUAL]","",IFERROR(AVERAGEIFS(nNOTA,nNIA,Y69,nCUENTA,1,nASIG,"Análisis"),"")))</f>
        <v/>
      </c>
      <c r="AA69" t="str">
        <f>IF(Y69="","",IF(Y69="[FÓRMULA MANUAL]","",IFERROR(AVERAGEIFS(nNOTA,nNIA,Y69,nCUENTA,1,nASIG,"Orquesta/Banda/Conjunto"),"")))</f>
        <v/>
      </c>
      <c r="AB69" t="str">
        <f>IF(Y69="","",IF(Y69="[FÓRMULA MANUAL]","",IFERROR(AVERAGEIFS(nNOTA,nNIA,Y69,nCUENTA,1,nASIG,"Música de Cámara"),"")))</f>
        <v/>
      </c>
      <c r="AC69" t="str">
        <f>IF(Y69="","",IF(Y69="[FÓRMULA MANUAL]","",IFERROR(SUMPRODUCT((nNIA=Y69)*(nCUENTA=1)*(COUNTIF(CONFIG_ASIGNATURAS!$B$7:$B$27,nASIG)&gt;0)*(nNOTA))/SUMPRODUCT((nNIA=Y69)*(nCUENTA=1)*(COUNTIF(CONFIG_ASIGNATURAS!$B$7:$B$27,nASIG)&gt;0)*1),"")))</f>
        <v/>
      </c>
      <c r="AF69" t="str">
        <f>IF(AE69="","",IF(AE69="[FÓRMULA MANUAL]","",IFERROR(AVERAGEIFS(nNOTA,nNIA,AE69,nCUENTA,1,nASIG,"Análisis"),"")))</f>
        <v/>
      </c>
      <c r="AG69" t="str">
        <f>IF(AE69="","",IF(AE69="[FÓRMULA MANUAL]","",IFERROR(AVERAGEIFS(nNOTA,nNIA,AE69,nCUENTA,1,nASIG,"Orquesta/Banda/Conjunto"),"")))</f>
        <v/>
      </c>
      <c r="AH69" t="str">
        <f>IF(AE69="","",IF(AE69="[FÓRMULA MANUAL]","",IFERROR(AVERAGEIFS(nNOTA,nNIA,AE69,nCUENTA,1,nASIG,"Música de Cámara"),"")))</f>
        <v/>
      </c>
      <c r="AI69" t="str">
        <f>IF(AE69="","",IF(AE69="[FÓRMULA MANUAL]","",IFERROR(SUMPRODUCT((nNIA=AE69)*(nCUENTA=1)*(COUNTIF(CONFIG_ASIGNATURAS!$B$7:$B$27,nASIG)&gt;0)*(nNOTA))/SUMPRODUCT((nNIA=AE69)*(nCUENTA=1)*(COUNTIF(CONFIG_ASIGNATURAS!$B$7:$B$27,nASIG)&gt;0)*1),"")))</f>
        <v/>
      </c>
    </row>
    <row r="70" spans="2:35" x14ac:dyDescent="0.2">
      <c r="B70" t="str">
        <f>IF(A70="","",IF(A70="[FÓRMULA MANUAL]","",IFERROR(AVERAGEIFS(nNOTA,nNIA,A70,nCUENTA,1,nASIG,"Lenguaje Musical"),"")))</f>
        <v/>
      </c>
      <c r="C70" t="str">
        <f>IF(A70="","",IF(A70="[FÓRMULA MANUAL]","",IFERROR(AVERAGEIFS(nNOTA,nNIA,A70,nCUENTA,1,nASIG,"Orquesta/Banda/Conjunto"),"")))</f>
        <v/>
      </c>
      <c r="D70" t="str">
        <f>IF(A70="","",IF(A70="[FÓRMULA MANUAL]","",IFERROR(AVERAGEIFS(nNOTA,nNIA,A70,nCUENTA,1,nASIG,"Conjunto"),"")))</f>
        <v/>
      </c>
      <c r="E70" t="str">
        <f>IF(A70="","",IF(A70="[FÓRMULA MANUAL]","",IFERROR(SUMPRODUCT((nNIA=A70)*(nCUENTA=1)*(COUNTIF(CONFIG_ASIGNATURAS!$B$7:$B$27,nASIG)&gt;0)*(nNOTA))/SUMPRODUCT((nNIA=A70)*(nCUENTA=1)*(COUNTIF(CONFIG_ASIGNATURAS!$B$7:$B$27,nASIG)&gt;0)*1),"")))</f>
        <v/>
      </c>
      <c r="H70" t="str">
        <f>IF(G70="","",IF(G70="[FÓRMULA MANUAL]","",IFERROR(AVERAGEIFS(nNOTA,nNIA,G70,nCUENTA,1,nASIG,"Lenguaje Musical"),"")))</f>
        <v/>
      </c>
      <c r="I70" t="str">
        <f>IF(G70="","",IF(G70="[FÓRMULA MANUAL]","",IFERROR(AVERAGEIFS(nNOTA,nNIA,G70,nCUENTA,1,nASIG,"Orquesta/Banda/Conjunto"),"")))</f>
        <v/>
      </c>
      <c r="J70" t="str">
        <f>IF(G70="","",IF(G70="[FÓRMULA MANUAL]","",IFERROR(AVERAGEIFS(nNOTA,nNIA,G70,nCUENTA,1,nASIG,"Conjunto"),"")))</f>
        <v/>
      </c>
      <c r="K70" t="str">
        <f>IF(G70="","",IF(G70="[FÓRMULA MANUAL]","",IFERROR(SUMPRODUCT((nNIA=G70)*(nCUENTA=1)*(COUNTIF(CONFIG_ASIGNATURAS!$B$7:$B$27,nASIG)&gt;0)*(nNOTA))/SUMPRODUCT((nNIA=G70)*(nCUENTA=1)*(COUNTIF(CONFIG_ASIGNATURAS!$B$7:$B$27,nASIG)&gt;0)*1),"")))</f>
        <v/>
      </c>
      <c r="N70" t="str">
        <f>IF(M70="","",IF(M70="[FÓRMULA MANUAL]","",IFERROR(AVERAGEIFS(nNOTA,nNIA,M70,nCUENTA,1,nASIG,"Armonía"),"")))</f>
        <v/>
      </c>
      <c r="O70" t="str">
        <f>IF(M70="","",IF(M70="[FÓRMULA MANUAL]","",IFERROR(AVERAGEIFS(nNOTA,nNIA,M70,nCUENTA,1,nASIG,"Orquesta/Banda/Conjunto"),"")))</f>
        <v/>
      </c>
      <c r="P70" t="str">
        <f>IF(M70="","",IF(M70="[FÓRMULA MANUAL]","",IFERROR(AVERAGEIFS(nNOTA,nNIA,M70,nCUENTA,1,nASIG,"Música de Cámara"),"")))</f>
        <v/>
      </c>
      <c r="Q70" t="str">
        <f>IF(M70="","",IF(M70="[FÓRMULA MANUAL]","",IFERROR(SUMPRODUCT((nNIA=M70)*(nCUENTA=1)*(COUNTIF(CONFIG_ASIGNATURAS!$B$7:$B$27,nASIG)&gt;0)*(nNOTA))/SUMPRODUCT((nNIA=M70)*(nCUENTA=1)*(COUNTIF(CONFIG_ASIGNATURAS!$B$7:$B$27,nASIG)&gt;0)*1),"")))</f>
        <v/>
      </c>
      <c r="T70" t="str">
        <f>IF(S70="","",IF(S70="[FÓRMULA MANUAL]","",IFERROR(AVERAGEIFS(nNOTA,nNIA,S70,nCUENTA,1,nASIG,"Armonía"),"")))</f>
        <v/>
      </c>
      <c r="U70" t="str">
        <f>IF(S70="","",IF(S70="[FÓRMULA MANUAL]","",IFERROR(AVERAGEIFS(nNOTA,nNIA,S70,nCUENTA,1,nASIG,"Orquesta/Banda/Conjunto"),"")))</f>
        <v/>
      </c>
      <c r="V70" t="str">
        <f>IF(S70="","",IF(S70="[FÓRMULA MANUAL]","",IFERROR(AVERAGEIFS(nNOTA,nNIA,S70,nCUENTA,1,nASIG,"Música de Cámara"),"")))</f>
        <v/>
      </c>
      <c r="W70" t="str">
        <f>IF(S70="","",IF(S70="[FÓRMULA MANUAL]","",IFERROR(SUMPRODUCT((nNIA=S70)*(nCUENTA=1)*(COUNTIF(CONFIG_ASIGNATURAS!$B$7:$B$27,nASIG)&gt;0)*(nNOTA))/SUMPRODUCT((nNIA=S70)*(nCUENTA=1)*(COUNTIF(CONFIG_ASIGNATURAS!$B$7:$B$27,nASIG)&gt;0)*1),"")))</f>
        <v/>
      </c>
      <c r="Z70" t="str">
        <f>IF(Y70="","",IF(Y70="[FÓRMULA MANUAL]","",IFERROR(AVERAGEIFS(nNOTA,nNIA,Y70,nCUENTA,1,nASIG,"Análisis"),"")))</f>
        <v/>
      </c>
      <c r="AA70" t="str">
        <f>IF(Y70="","",IF(Y70="[FÓRMULA MANUAL]","",IFERROR(AVERAGEIFS(nNOTA,nNIA,Y70,nCUENTA,1,nASIG,"Orquesta/Banda/Conjunto"),"")))</f>
        <v/>
      </c>
      <c r="AB70" t="str">
        <f>IF(Y70="","",IF(Y70="[FÓRMULA MANUAL]","",IFERROR(AVERAGEIFS(nNOTA,nNIA,Y70,nCUENTA,1,nASIG,"Música de Cámara"),"")))</f>
        <v/>
      </c>
      <c r="AC70" t="str">
        <f>IF(Y70="","",IF(Y70="[FÓRMULA MANUAL]","",IFERROR(SUMPRODUCT((nNIA=Y70)*(nCUENTA=1)*(COUNTIF(CONFIG_ASIGNATURAS!$B$7:$B$27,nASIG)&gt;0)*(nNOTA))/SUMPRODUCT((nNIA=Y70)*(nCUENTA=1)*(COUNTIF(CONFIG_ASIGNATURAS!$B$7:$B$27,nASIG)&gt;0)*1),"")))</f>
        <v/>
      </c>
      <c r="AF70" t="str">
        <f>IF(AE70="","",IF(AE70="[FÓRMULA MANUAL]","",IFERROR(AVERAGEIFS(nNOTA,nNIA,AE70,nCUENTA,1,nASIG,"Análisis"),"")))</f>
        <v/>
      </c>
      <c r="AG70" t="str">
        <f>IF(AE70="","",IF(AE70="[FÓRMULA MANUAL]","",IFERROR(AVERAGEIFS(nNOTA,nNIA,AE70,nCUENTA,1,nASIG,"Orquesta/Banda/Conjunto"),"")))</f>
        <v/>
      </c>
      <c r="AH70" t="str">
        <f>IF(AE70="","",IF(AE70="[FÓRMULA MANUAL]","",IFERROR(AVERAGEIFS(nNOTA,nNIA,AE70,nCUENTA,1,nASIG,"Música de Cámara"),"")))</f>
        <v/>
      </c>
      <c r="AI70" t="str">
        <f>IF(AE70="","",IF(AE70="[FÓRMULA MANUAL]","",IFERROR(SUMPRODUCT((nNIA=AE70)*(nCUENTA=1)*(COUNTIF(CONFIG_ASIGNATURAS!$B$7:$B$27,nASIG)&gt;0)*(nNOTA))/SUMPRODUCT((nNIA=AE70)*(nCUENTA=1)*(COUNTIF(CONFIG_ASIGNATURAS!$B$7:$B$27,nASIG)&gt;0)*1),"")))</f>
        <v/>
      </c>
    </row>
    <row r="71" spans="2:35" x14ac:dyDescent="0.2">
      <c r="B71" t="str">
        <f>IF(A71="","",IF(A71="[FÓRMULA MANUAL]","",IFERROR(AVERAGEIFS(nNOTA,nNIA,A71,nCUENTA,1,nASIG,"Lenguaje Musical"),"")))</f>
        <v/>
      </c>
      <c r="C71" t="str">
        <f>IF(A71="","",IF(A71="[FÓRMULA MANUAL]","",IFERROR(AVERAGEIFS(nNOTA,nNIA,A71,nCUENTA,1,nASIG,"Orquesta/Banda/Conjunto"),"")))</f>
        <v/>
      </c>
      <c r="D71" t="str">
        <f>IF(A71="","",IF(A71="[FÓRMULA MANUAL]","",IFERROR(AVERAGEIFS(nNOTA,nNIA,A71,nCUENTA,1,nASIG,"Conjunto"),"")))</f>
        <v/>
      </c>
      <c r="E71" t="str">
        <f>IF(A71="","",IF(A71="[FÓRMULA MANUAL]","",IFERROR(SUMPRODUCT((nNIA=A71)*(nCUENTA=1)*(COUNTIF(CONFIG_ASIGNATURAS!$B$7:$B$27,nASIG)&gt;0)*(nNOTA))/SUMPRODUCT((nNIA=A71)*(nCUENTA=1)*(COUNTIF(CONFIG_ASIGNATURAS!$B$7:$B$27,nASIG)&gt;0)*1),"")))</f>
        <v/>
      </c>
      <c r="H71" t="str">
        <f>IF(G71="","",IF(G71="[FÓRMULA MANUAL]","",IFERROR(AVERAGEIFS(nNOTA,nNIA,G71,nCUENTA,1,nASIG,"Lenguaje Musical"),"")))</f>
        <v/>
      </c>
      <c r="I71" t="str">
        <f>IF(G71="","",IF(G71="[FÓRMULA MANUAL]","",IFERROR(AVERAGEIFS(nNOTA,nNIA,G71,nCUENTA,1,nASIG,"Orquesta/Banda/Conjunto"),"")))</f>
        <v/>
      </c>
      <c r="J71" t="str">
        <f>IF(G71="","",IF(G71="[FÓRMULA MANUAL]","",IFERROR(AVERAGEIFS(nNOTA,nNIA,G71,nCUENTA,1,nASIG,"Conjunto"),"")))</f>
        <v/>
      </c>
      <c r="K71" t="str">
        <f>IF(G71="","",IF(G71="[FÓRMULA MANUAL]","",IFERROR(SUMPRODUCT((nNIA=G71)*(nCUENTA=1)*(COUNTIF(CONFIG_ASIGNATURAS!$B$7:$B$27,nASIG)&gt;0)*(nNOTA))/SUMPRODUCT((nNIA=G71)*(nCUENTA=1)*(COUNTIF(CONFIG_ASIGNATURAS!$B$7:$B$27,nASIG)&gt;0)*1),"")))</f>
        <v/>
      </c>
      <c r="N71" t="str">
        <f>IF(M71="","",IF(M71="[FÓRMULA MANUAL]","",IFERROR(AVERAGEIFS(nNOTA,nNIA,M71,nCUENTA,1,nASIG,"Armonía"),"")))</f>
        <v/>
      </c>
      <c r="O71" t="str">
        <f>IF(M71="","",IF(M71="[FÓRMULA MANUAL]","",IFERROR(AVERAGEIFS(nNOTA,nNIA,M71,nCUENTA,1,nASIG,"Orquesta/Banda/Conjunto"),"")))</f>
        <v/>
      </c>
      <c r="P71" t="str">
        <f>IF(M71="","",IF(M71="[FÓRMULA MANUAL]","",IFERROR(AVERAGEIFS(nNOTA,nNIA,M71,nCUENTA,1,nASIG,"Música de Cámara"),"")))</f>
        <v/>
      </c>
      <c r="Q71" t="str">
        <f>IF(M71="","",IF(M71="[FÓRMULA MANUAL]","",IFERROR(SUMPRODUCT((nNIA=M71)*(nCUENTA=1)*(COUNTIF(CONFIG_ASIGNATURAS!$B$7:$B$27,nASIG)&gt;0)*(nNOTA))/SUMPRODUCT((nNIA=M71)*(nCUENTA=1)*(COUNTIF(CONFIG_ASIGNATURAS!$B$7:$B$27,nASIG)&gt;0)*1),"")))</f>
        <v/>
      </c>
      <c r="T71" t="str">
        <f>IF(S71="","",IF(S71="[FÓRMULA MANUAL]","",IFERROR(AVERAGEIFS(nNOTA,nNIA,S71,nCUENTA,1,nASIG,"Armonía"),"")))</f>
        <v/>
      </c>
      <c r="U71" t="str">
        <f>IF(S71="","",IF(S71="[FÓRMULA MANUAL]","",IFERROR(AVERAGEIFS(nNOTA,nNIA,S71,nCUENTA,1,nASIG,"Orquesta/Banda/Conjunto"),"")))</f>
        <v/>
      </c>
      <c r="V71" t="str">
        <f>IF(S71="","",IF(S71="[FÓRMULA MANUAL]","",IFERROR(AVERAGEIFS(nNOTA,nNIA,S71,nCUENTA,1,nASIG,"Música de Cámara"),"")))</f>
        <v/>
      </c>
      <c r="W71" t="str">
        <f>IF(S71="","",IF(S71="[FÓRMULA MANUAL]","",IFERROR(SUMPRODUCT((nNIA=S71)*(nCUENTA=1)*(COUNTIF(CONFIG_ASIGNATURAS!$B$7:$B$27,nASIG)&gt;0)*(nNOTA))/SUMPRODUCT((nNIA=S71)*(nCUENTA=1)*(COUNTIF(CONFIG_ASIGNATURAS!$B$7:$B$27,nASIG)&gt;0)*1),"")))</f>
        <v/>
      </c>
      <c r="Z71" t="str">
        <f>IF(Y71="","",IF(Y71="[FÓRMULA MANUAL]","",IFERROR(AVERAGEIFS(nNOTA,nNIA,Y71,nCUENTA,1,nASIG,"Análisis"),"")))</f>
        <v/>
      </c>
      <c r="AA71" t="str">
        <f>IF(Y71="","",IF(Y71="[FÓRMULA MANUAL]","",IFERROR(AVERAGEIFS(nNOTA,nNIA,Y71,nCUENTA,1,nASIG,"Orquesta/Banda/Conjunto"),"")))</f>
        <v/>
      </c>
      <c r="AB71" t="str">
        <f>IF(Y71="","",IF(Y71="[FÓRMULA MANUAL]","",IFERROR(AVERAGEIFS(nNOTA,nNIA,Y71,nCUENTA,1,nASIG,"Música de Cámara"),"")))</f>
        <v/>
      </c>
      <c r="AC71" t="str">
        <f>IF(Y71="","",IF(Y71="[FÓRMULA MANUAL]","",IFERROR(SUMPRODUCT((nNIA=Y71)*(nCUENTA=1)*(COUNTIF(CONFIG_ASIGNATURAS!$B$7:$B$27,nASIG)&gt;0)*(nNOTA))/SUMPRODUCT((nNIA=Y71)*(nCUENTA=1)*(COUNTIF(CONFIG_ASIGNATURAS!$B$7:$B$27,nASIG)&gt;0)*1),"")))</f>
        <v/>
      </c>
      <c r="AF71" t="str">
        <f>IF(AE71="","",IF(AE71="[FÓRMULA MANUAL]","",IFERROR(AVERAGEIFS(nNOTA,nNIA,AE71,nCUENTA,1,nASIG,"Análisis"),"")))</f>
        <v/>
      </c>
      <c r="AG71" t="str">
        <f>IF(AE71="","",IF(AE71="[FÓRMULA MANUAL]","",IFERROR(AVERAGEIFS(nNOTA,nNIA,AE71,nCUENTA,1,nASIG,"Orquesta/Banda/Conjunto"),"")))</f>
        <v/>
      </c>
      <c r="AH71" t="str">
        <f>IF(AE71="","",IF(AE71="[FÓRMULA MANUAL]","",IFERROR(AVERAGEIFS(nNOTA,nNIA,AE71,nCUENTA,1,nASIG,"Música de Cámara"),"")))</f>
        <v/>
      </c>
      <c r="AI71" t="str">
        <f>IF(AE71="","",IF(AE71="[FÓRMULA MANUAL]","",IFERROR(SUMPRODUCT((nNIA=AE71)*(nCUENTA=1)*(COUNTIF(CONFIG_ASIGNATURAS!$B$7:$B$27,nASIG)&gt;0)*(nNOTA))/SUMPRODUCT((nNIA=AE71)*(nCUENTA=1)*(COUNTIF(CONFIG_ASIGNATURAS!$B$7:$B$27,nASIG)&gt;0)*1),"")))</f>
        <v/>
      </c>
    </row>
    <row r="72" spans="2:35" x14ac:dyDescent="0.2">
      <c r="B72" t="str">
        <f>IF(A72="","",IF(A72="[FÓRMULA MANUAL]","",IFERROR(AVERAGEIFS(nNOTA,nNIA,A72,nCUENTA,1,nASIG,"Lenguaje Musical"),"")))</f>
        <v/>
      </c>
      <c r="C72" t="str">
        <f>IF(A72="","",IF(A72="[FÓRMULA MANUAL]","",IFERROR(AVERAGEIFS(nNOTA,nNIA,A72,nCUENTA,1,nASIG,"Orquesta/Banda/Conjunto"),"")))</f>
        <v/>
      </c>
      <c r="D72" t="str">
        <f>IF(A72="","",IF(A72="[FÓRMULA MANUAL]","",IFERROR(AVERAGEIFS(nNOTA,nNIA,A72,nCUENTA,1,nASIG,"Conjunto"),"")))</f>
        <v/>
      </c>
      <c r="E72" t="str">
        <f>IF(A72="","",IF(A72="[FÓRMULA MANUAL]","",IFERROR(SUMPRODUCT((nNIA=A72)*(nCUENTA=1)*(COUNTIF(CONFIG_ASIGNATURAS!$B$7:$B$27,nASIG)&gt;0)*(nNOTA))/SUMPRODUCT((nNIA=A72)*(nCUENTA=1)*(COUNTIF(CONFIG_ASIGNATURAS!$B$7:$B$27,nASIG)&gt;0)*1),"")))</f>
        <v/>
      </c>
      <c r="H72" t="str">
        <f>IF(G72="","",IF(G72="[FÓRMULA MANUAL]","",IFERROR(AVERAGEIFS(nNOTA,nNIA,G72,nCUENTA,1,nASIG,"Lenguaje Musical"),"")))</f>
        <v/>
      </c>
      <c r="I72" t="str">
        <f>IF(G72="","",IF(G72="[FÓRMULA MANUAL]","",IFERROR(AVERAGEIFS(nNOTA,nNIA,G72,nCUENTA,1,nASIG,"Orquesta/Banda/Conjunto"),"")))</f>
        <v/>
      </c>
      <c r="J72" t="str">
        <f>IF(G72="","",IF(G72="[FÓRMULA MANUAL]","",IFERROR(AVERAGEIFS(nNOTA,nNIA,G72,nCUENTA,1,nASIG,"Conjunto"),"")))</f>
        <v/>
      </c>
      <c r="K72" t="str">
        <f>IF(G72="","",IF(G72="[FÓRMULA MANUAL]","",IFERROR(SUMPRODUCT((nNIA=G72)*(nCUENTA=1)*(COUNTIF(CONFIG_ASIGNATURAS!$B$7:$B$27,nASIG)&gt;0)*(nNOTA))/SUMPRODUCT((nNIA=G72)*(nCUENTA=1)*(COUNTIF(CONFIG_ASIGNATURAS!$B$7:$B$27,nASIG)&gt;0)*1),"")))</f>
        <v/>
      </c>
      <c r="N72" t="str">
        <f>IF(M72="","",IF(M72="[FÓRMULA MANUAL]","",IFERROR(AVERAGEIFS(nNOTA,nNIA,M72,nCUENTA,1,nASIG,"Armonía"),"")))</f>
        <v/>
      </c>
      <c r="O72" t="str">
        <f>IF(M72="","",IF(M72="[FÓRMULA MANUAL]","",IFERROR(AVERAGEIFS(nNOTA,nNIA,M72,nCUENTA,1,nASIG,"Orquesta/Banda/Conjunto"),"")))</f>
        <v/>
      </c>
      <c r="P72" t="str">
        <f>IF(M72="","",IF(M72="[FÓRMULA MANUAL]","",IFERROR(AVERAGEIFS(nNOTA,nNIA,M72,nCUENTA,1,nASIG,"Música de Cámara"),"")))</f>
        <v/>
      </c>
      <c r="Q72" t="str">
        <f>IF(M72="","",IF(M72="[FÓRMULA MANUAL]","",IFERROR(SUMPRODUCT((nNIA=M72)*(nCUENTA=1)*(COUNTIF(CONFIG_ASIGNATURAS!$B$7:$B$27,nASIG)&gt;0)*(nNOTA))/SUMPRODUCT((nNIA=M72)*(nCUENTA=1)*(COUNTIF(CONFIG_ASIGNATURAS!$B$7:$B$27,nASIG)&gt;0)*1),"")))</f>
        <v/>
      </c>
      <c r="T72" t="str">
        <f>IF(S72="","",IF(S72="[FÓRMULA MANUAL]","",IFERROR(AVERAGEIFS(nNOTA,nNIA,S72,nCUENTA,1,nASIG,"Armonía"),"")))</f>
        <v/>
      </c>
      <c r="U72" t="str">
        <f>IF(S72="","",IF(S72="[FÓRMULA MANUAL]","",IFERROR(AVERAGEIFS(nNOTA,nNIA,S72,nCUENTA,1,nASIG,"Orquesta/Banda/Conjunto"),"")))</f>
        <v/>
      </c>
      <c r="V72" t="str">
        <f>IF(S72="","",IF(S72="[FÓRMULA MANUAL]","",IFERROR(AVERAGEIFS(nNOTA,nNIA,S72,nCUENTA,1,nASIG,"Música de Cámara"),"")))</f>
        <v/>
      </c>
      <c r="W72" t="str">
        <f>IF(S72="","",IF(S72="[FÓRMULA MANUAL]","",IFERROR(SUMPRODUCT((nNIA=S72)*(nCUENTA=1)*(COUNTIF(CONFIG_ASIGNATURAS!$B$7:$B$27,nASIG)&gt;0)*(nNOTA))/SUMPRODUCT((nNIA=S72)*(nCUENTA=1)*(COUNTIF(CONFIG_ASIGNATURAS!$B$7:$B$27,nASIG)&gt;0)*1),"")))</f>
        <v/>
      </c>
      <c r="Z72" t="str">
        <f>IF(Y72="","",IF(Y72="[FÓRMULA MANUAL]","",IFERROR(AVERAGEIFS(nNOTA,nNIA,Y72,nCUENTA,1,nASIG,"Análisis"),"")))</f>
        <v/>
      </c>
      <c r="AA72" t="str">
        <f>IF(Y72="","",IF(Y72="[FÓRMULA MANUAL]","",IFERROR(AVERAGEIFS(nNOTA,nNIA,Y72,nCUENTA,1,nASIG,"Orquesta/Banda/Conjunto"),"")))</f>
        <v/>
      </c>
      <c r="AB72" t="str">
        <f>IF(Y72="","",IF(Y72="[FÓRMULA MANUAL]","",IFERROR(AVERAGEIFS(nNOTA,nNIA,Y72,nCUENTA,1,nASIG,"Música de Cámara"),"")))</f>
        <v/>
      </c>
      <c r="AC72" t="str">
        <f>IF(Y72="","",IF(Y72="[FÓRMULA MANUAL]","",IFERROR(SUMPRODUCT((nNIA=Y72)*(nCUENTA=1)*(COUNTIF(CONFIG_ASIGNATURAS!$B$7:$B$27,nASIG)&gt;0)*(nNOTA))/SUMPRODUCT((nNIA=Y72)*(nCUENTA=1)*(COUNTIF(CONFIG_ASIGNATURAS!$B$7:$B$27,nASIG)&gt;0)*1),"")))</f>
        <v/>
      </c>
      <c r="AF72" t="str">
        <f>IF(AE72="","",IF(AE72="[FÓRMULA MANUAL]","",IFERROR(AVERAGEIFS(nNOTA,nNIA,AE72,nCUENTA,1,nASIG,"Análisis"),"")))</f>
        <v/>
      </c>
      <c r="AG72" t="str">
        <f>IF(AE72="","",IF(AE72="[FÓRMULA MANUAL]","",IFERROR(AVERAGEIFS(nNOTA,nNIA,AE72,nCUENTA,1,nASIG,"Orquesta/Banda/Conjunto"),"")))</f>
        <v/>
      </c>
      <c r="AH72" t="str">
        <f>IF(AE72="","",IF(AE72="[FÓRMULA MANUAL]","",IFERROR(AVERAGEIFS(nNOTA,nNIA,AE72,nCUENTA,1,nASIG,"Música de Cámara"),"")))</f>
        <v/>
      </c>
      <c r="AI72" t="str">
        <f>IF(AE72="","",IF(AE72="[FÓRMULA MANUAL]","",IFERROR(SUMPRODUCT((nNIA=AE72)*(nCUENTA=1)*(COUNTIF(CONFIG_ASIGNATURAS!$B$7:$B$27,nASIG)&gt;0)*(nNOTA))/SUMPRODUCT((nNIA=AE72)*(nCUENTA=1)*(COUNTIF(CONFIG_ASIGNATURAS!$B$7:$B$27,nASIG)&gt;0)*1),"")))</f>
        <v/>
      </c>
    </row>
    <row r="73" spans="2:35" x14ac:dyDescent="0.2">
      <c r="B73" t="str">
        <f>IF(A73="","",IF(A73="[FÓRMULA MANUAL]","",IFERROR(AVERAGEIFS(nNOTA,nNIA,A73,nCUENTA,1,nASIG,"Lenguaje Musical"),"")))</f>
        <v/>
      </c>
      <c r="C73" t="str">
        <f>IF(A73="","",IF(A73="[FÓRMULA MANUAL]","",IFERROR(AVERAGEIFS(nNOTA,nNIA,A73,nCUENTA,1,nASIG,"Orquesta/Banda/Conjunto"),"")))</f>
        <v/>
      </c>
      <c r="D73" t="str">
        <f>IF(A73="","",IF(A73="[FÓRMULA MANUAL]","",IFERROR(AVERAGEIFS(nNOTA,nNIA,A73,nCUENTA,1,nASIG,"Conjunto"),"")))</f>
        <v/>
      </c>
      <c r="E73" t="str">
        <f>IF(A73="","",IF(A73="[FÓRMULA MANUAL]","",IFERROR(SUMPRODUCT((nNIA=A73)*(nCUENTA=1)*(COUNTIF(CONFIG_ASIGNATURAS!$B$7:$B$27,nASIG)&gt;0)*(nNOTA))/SUMPRODUCT((nNIA=A73)*(nCUENTA=1)*(COUNTIF(CONFIG_ASIGNATURAS!$B$7:$B$27,nASIG)&gt;0)*1),"")))</f>
        <v/>
      </c>
      <c r="H73" t="str">
        <f>IF(G73="","",IF(G73="[FÓRMULA MANUAL]","",IFERROR(AVERAGEIFS(nNOTA,nNIA,G73,nCUENTA,1,nASIG,"Lenguaje Musical"),"")))</f>
        <v/>
      </c>
      <c r="I73" t="str">
        <f>IF(G73="","",IF(G73="[FÓRMULA MANUAL]","",IFERROR(AVERAGEIFS(nNOTA,nNIA,G73,nCUENTA,1,nASIG,"Orquesta/Banda/Conjunto"),"")))</f>
        <v/>
      </c>
      <c r="J73" t="str">
        <f>IF(G73="","",IF(G73="[FÓRMULA MANUAL]","",IFERROR(AVERAGEIFS(nNOTA,nNIA,G73,nCUENTA,1,nASIG,"Conjunto"),"")))</f>
        <v/>
      </c>
      <c r="K73" t="str">
        <f>IF(G73="","",IF(G73="[FÓRMULA MANUAL]","",IFERROR(SUMPRODUCT((nNIA=G73)*(nCUENTA=1)*(COUNTIF(CONFIG_ASIGNATURAS!$B$7:$B$27,nASIG)&gt;0)*(nNOTA))/SUMPRODUCT((nNIA=G73)*(nCUENTA=1)*(COUNTIF(CONFIG_ASIGNATURAS!$B$7:$B$27,nASIG)&gt;0)*1),"")))</f>
        <v/>
      </c>
      <c r="N73" t="str">
        <f>IF(M73="","",IF(M73="[FÓRMULA MANUAL]","",IFERROR(AVERAGEIFS(nNOTA,nNIA,M73,nCUENTA,1,nASIG,"Armonía"),"")))</f>
        <v/>
      </c>
      <c r="O73" t="str">
        <f>IF(M73="","",IF(M73="[FÓRMULA MANUAL]","",IFERROR(AVERAGEIFS(nNOTA,nNIA,M73,nCUENTA,1,nASIG,"Orquesta/Banda/Conjunto"),"")))</f>
        <v/>
      </c>
      <c r="P73" t="str">
        <f>IF(M73="","",IF(M73="[FÓRMULA MANUAL]","",IFERROR(AVERAGEIFS(nNOTA,nNIA,M73,nCUENTA,1,nASIG,"Música de Cámara"),"")))</f>
        <v/>
      </c>
      <c r="Q73" t="str">
        <f>IF(M73="","",IF(M73="[FÓRMULA MANUAL]","",IFERROR(SUMPRODUCT((nNIA=M73)*(nCUENTA=1)*(COUNTIF(CONFIG_ASIGNATURAS!$B$7:$B$27,nASIG)&gt;0)*(nNOTA))/SUMPRODUCT((nNIA=M73)*(nCUENTA=1)*(COUNTIF(CONFIG_ASIGNATURAS!$B$7:$B$27,nASIG)&gt;0)*1),"")))</f>
        <v/>
      </c>
      <c r="T73" t="str">
        <f>IF(S73="","",IF(S73="[FÓRMULA MANUAL]","",IFERROR(AVERAGEIFS(nNOTA,nNIA,S73,nCUENTA,1,nASIG,"Armonía"),"")))</f>
        <v/>
      </c>
      <c r="U73" t="str">
        <f>IF(S73="","",IF(S73="[FÓRMULA MANUAL]","",IFERROR(AVERAGEIFS(nNOTA,nNIA,S73,nCUENTA,1,nASIG,"Orquesta/Banda/Conjunto"),"")))</f>
        <v/>
      </c>
      <c r="V73" t="str">
        <f>IF(S73="","",IF(S73="[FÓRMULA MANUAL]","",IFERROR(AVERAGEIFS(nNOTA,nNIA,S73,nCUENTA,1,nASIG,"Música de Cámara"),"")))</f>
        <v/>
      </c>
      <c r="W73" t="str">
        <f>IF(S73="","",IF(S73="[FÓRMULA MANUAL]","",IFERROR(SUMPRODUCT((nNIA=S73)*(nCUENTA=1)*(COUNTIF(CONFIG_ASIGNATURAS!$B$7:$B$27,nASIG)&gt;0)*(nNOTA))/SUMPRODUCT((nNIA=S73)*(nCUENTA=1)*(COUNTIF(CONFIG_ASIGNATURAS!$B$7:$B$27,nASIG)&gt;0)*1),"")))</f>
        <v/>
      </c>
      <c r="Z73" t="str">
        <f>IF(Y73="","",IF(Y73="[FÓRMULA MANUAL]","",IFERROR(AVERAGEIFS(nNOTA,nNIA,Y73,nCUENTA,1,nASIG,"Análisis"),"")))</f>
        <v/>
      </c>
      <c r="AA73" t="str">
        <f>IF(Y73="","",IF(Y73="[FÓRMULA MANUAL]","",IFERROR(AVERAGEIFS(nNOTA,nNIA,Y73,nCUENTA,1,nASIG,"Orquesta/Banda/Conjunto"),"")))</f>
        <v/>
      </c>
      <c r="AB73" t="str">
        <f>IF(Y73="","",IF(Y73="[FÓRMULA MANUAL]","",IFERROR(AVERAGEIFS(nNOTA,nNIA,Y73,nCUENTA,1,nASIG,"Música de Cámara"),"")))</f>
        <v/>
      </c>
      <c r="AC73" t="str">
        <f>IF(Y73="","",IF(Y73="[FÓRMULA MANUAL]","",IFERROR(SUMPRODUCT((nNIA=Y73)*(nCUENTA=1)*(COUNTIF(CONFIG_ASIGNATURAS!$B$7:$B$27,nASIG)&gt;0)*(nNOTA))/SUMPRODUCT((nNIA=Y73)*(nCUENTA=1)*(COUNTIF(CONFIG_ASIGNATURAS!$B$7:$B$27,nASIG)&gt;0)*1),"")))</f>
        <v/>
      </c>
      <c r="AF73" t="str">
        <f>IF(AE73="","",IF(AE73="[FÓRMULA MANUAL]","",IFERROR(AVERAGEIFS(nNOTA,nNIA,AE73,nCUENTA,1,nASIG,"Análisis"),"")))</f>
        <v/>
      </c>
      <c r="AG73" t="str">
        <f>IF(AE73="","",IF(AE73="[FÓRMULA MANUAL]","",IFERROR(AVERAGEIFS(nNOTA,nNIA,AE73,nCUENTA,1,nASIG,"Orquesta/Banda/Conjunto"),"")))</f>
        <v/>
      </c>
      <c r="AH73" t="str">
        <f>IF(AE73="","",IF(AE73="[FÓRMULA MANUAL]","",IFERROR(AVERAGEIFS(nNOTA,nNIA,AE73,nCUENTA,1,nASIG,"Música de Cámara"),"")))</f>
        <v/>
      </c>
      <c r="AI73" t="str">
        <f>IF(AE73="","",IF(AE73="[FÓRMULA MANUAL]","",IFERROR(SUMPRODUCT((nNIA=AE73)*(nCUENTA=1)*(COUNTIF(CONFIG_ASIGNATURAS!$B$7:$B$27,nASIG)&gt;0)*(nNOTA))/SUMPRODUCT((nNIA=AE73)*(nCUENTA=1)*(COUNTIF(CONFIG_ASIGNATURAS!$B$7:$B$27,nASIG)&gt;0)*1),"")))</f>
        <v/>
      </c>
    </row>
    <row r="74" spans="2:35" x14ac:dyDescent="0.2">
      <c r="B74" t="str">
        <f>IF(A74="","",IF(A74="[FÓRMULA MANUAL]","",IFERROR(AVERAGEIFS(nNOTA,nNIA,A74,nCUENTA,1,nASIG,"Lenguaje Musical"),"")))</f>
        <v/>
      </c>
      <c r="C74" t="str">
        <f>IF(A74="","",IF(A74="[FÓRMULA MANUAL]","",IFERROR(AVERAGEIFS(nNOTA,nNIA,A74,nCUENTA,1,nASIG,"Orquesta/Banda/Conjunto"),"")))</f>
        <v/>
      </c>
      <c r="D74" t="str">
        <f>IF(A74="","",IF(A74="[FÓRMULA MANUAL]","",IFERROR(AVERAGEIFS(nNOTA,nNIA,A74,nCUENTA,1,nASIG,"Conjunto"),"")))</f>
        <v/>
      </c>
      <c r="E74" t="str">
        <f>IF(A74="","",IF(A74="[FÓRMULA MANUAL]","",IFERROR(SUMPRODUCT((nNIA=A74)*(nCUENTA=1)*(COUNTIF(CONFIG_ASIGNATURAS!$B$7:$B$27,nASIG)&gt;0)*(nNOTA))/SUMPRODUCT((nNIA=A74)*(nCUENTA=1)*(COUNTIF(CONFIG_ASIGNATURAS!$B$7:$B$27,nASIG)&gt;0)*1),"")))</f>
        <v/>
      </c>
      <c r="H74" t="str">
        <f>IF(G74="","",IF(G74="[FÓRMULA MANUAL]","",IFERROR(AVERAGEIFS(nNOTA,nNIA,G74,nCUENTA,1,nASIG,"Lenguaje Musical"),"")))</f>
        <v/>
      </c>
      <c r="I74" t="str">
        <f>IF(G74="","",IF(G74="[FÓRMULA MANUAL]","",IFERROR(AVERAGEIFS(nNOTA,nNIA,G74,nCUENTA,1,nASIG,"Orquesta/Banda/Conjunto"),"")))</f>
        <v/>
      </c>
      <c r="J74" t="str">
        <f>IF(G74="","",IF(G74="[FÓRMULA MANUAL]","",IFERROR(AVERAGEIFS(nNOTA,nNIA,G74,nCUENTA,1,nASIG,"Conjunto"),"")))</f>
        <v/>
      </c>
      <c r="K74" t="str">
        <f>IF(G74="","",IF(G74="[FÓRMULA MANUAL]","",IFERROR(SUMPRODUCT((nNIA=G74)*(nCUENTA=1)*(COUNTIF(CONFIG_ASIGNATURAS!$B$7:$B$27,nASIG)&gt;0)*(nNOTA))/SUMPRODUCT((nNIA=G74)*(nCUENTA=1)*(COUNTIF(CONFIG_ASIGNATURAS!$B$7:$B$27,nASIG)&gt;0)*1),"")))</f>
        <v/>
      </c>
      <c r="N74" t="str">
        <f>IF(M74="","",IF(M74="[FÓRMULA MANUAL]","",IFERROR(AVERAGEIFS(nNOTA,nNIA,M74,nCUENTA,1,nASIG,"Armonía"),"")))</f>
        <v/>
      </c>
      <c r="O74" t="str">
        <f>IF(M74="","",IF(M74="[FÓRMULA MANUAL]","",IFERROR(AVERAGEIFS(nNOTA,nNIA,M74,nCUENTA,1,nASIG,"Orquesta/Banda/Conjunto"),"")))</f>
        <v/>
      </c>
      <c r="P74" t="str">
        <f>IF(M74="","",IF(M74="[FÓRMULA MANUAL]","",IFERROR(AVERAGEIFS(nNOTA,nNIA,M74,nCUENTA,1,nASIG,"Música de Cámara"),"")))</f>
        <v/>
      </c>
      <c r="Q74" t="str">
        <f>IF(M74="","",IF(M74="[FÓRMULA MANUAL]","",IFERROR(SUMPRODUCT((nNIA=M74)*(nCUENTA=1)*(COUNTIF(CONFIG_ASIGNATURAS!$B$7:$B$27,nASIG)&gt;0)*(nNOTA))/SUMPRODUCT((nNIA=M74)*(nCUENTA=1)*(COUNTIF(CONFIG_ASIGNATURAS!$B$7:$B$27,nASIG)&gt;0)*1),"")))</f>
        <v/>
      </c>
      <c r="T74" t="str">
        <f>IF(S74="","",IF(S74="[FÓRMULA MANUAL]","",IFERROR(AVERAGEIFS(nNOTA,nNIA,S74,nCUENTA,1,nASIG,"Armonía"),"")))</f>
        <v/>
      </c>
      <c r="U74" t="str">
        <f>IF(S74="","",IF(S74="[FÓRMULA MANUAL]","",IFERROR(AVERAGEIFS(nNOTA,nNIA,S74,nCUENTA,1,nASIG,"Orquesta/Banda/Conjunto"),"")))</f>
        <v/>
      </c>
      <c r="V74" t="str">
        <f>IF(S74="","",IF(S74="[FÓRMULA MANUAL]","",IFERROR(AVERAGEIFS(nNOTA,nNIA,S74,nCUENTA,1,nASIG,"Música de Cámara"),"")))</f>
        <v/>
      </c>
      <c r="W74" t="str">
        <f>IF(S74="","",IF(S74="[FÓRMULA MANUAL]","",IFERROR(SUMPRODUCT((nNIA=S74)*(nCUENTA=1)*(COUNTIF(CONFIG_ASIGNATURAS!$B$7:$B$27,nASIG)&gt;0)*(nNOTA))/SUMPRODUCT((nNIA=S74)*(nCUENTA=1)*(COUNTIF(CONFIG_ASIGNATURAS!$B$7:$B$27,nASIG)&gt;0)*1),"")))</f>
        <v/>
      </c>
      <c r="Z74" t="str">
        <f>IF(Y74="","",IF(Y74="[FÓRMULA MANUAL]","",IFERROR(AVERAGEIFS(nNOTA,nNIA,Y74,nCUENTA,1,nASIG,"Análisis"),"")))</f>
        <v/>
      </c>
      <c r="AA74" t="str">
        <f>IF(Y74="","",IF(Y74="[FÓRMULA MANUAL]","",IFERROR(AVERAGEIFS(nNOTA,nNIA,Y74,nCUENTA,1,nASIG,"Orquesta/Banda/Conjunto"),"")))</f>
        <v/>
      </c>
      <c r="AB74" t="str">
        <f>IF(Y74="","",IF(Y74="[FÓRMULA MANUAL]","",IFERROR(AVERAGEIFS(nNOTA,nNIA,Y74,nCUENTA,1,nASIG,"Música de Cámara"),"")))</f>
        <v/>
      </c>
      <c r="AC74" t="str">
        <f>IF(Y74="","",IF(Y74="[FÓRMULA MANUAL]","",IFERROR(SUMPRODUCT((nNIA=Y74)*(nCUENTA=1)*(COUNTIF(CONFIG_ASIGNATURAS!$B$7:$B$27,nASIG)&gt;0)*(nNOTA))/SUMPRODUCT((nNIA=Y74)*(nCUENTA=1)*(COUNTIF(CONFIG_ASIGNATURAS!$B$7:$B$27,nASIG)&gt;0)*1),"")))</f>
        <v/>
      </c>
      <c r="AF74" t="str">
        <f>IF(AE74="","",IF(AE74="[FÓRMULA MANUAL]","",IFERROR(AVERAGEIFS(nNOTA,nNIA,AE74,nCUENTA,1,nASIG,"Análisis"),"")))</f>
        <v/>
      </c>
      <c r="AG74" t="str">
        <f>IF(AE74="","",IF(AE74="[FÓRMULA MANUAL]","",IFERROR(AVERAGEIFS(nNOTA,nNIA,AE74,nCUENTA,1,nASIG,"Orquesta/Banda/Conjunto"),"")))</f>
        <v/>
      </c>
      <c r="AH74" t="str">
        <f>IF(AE74="","",IF(AE74="[FÓRMULA MANUAL]","",IFERROR(AVERAGEIFS(nNOTA,nNIA,AE74,nCUENTA,1,nASIG,"Música de Cámara"),"")))</f>
        <v/>
      </c>
      <c r="AI74" t="str">
        <f>IF(AE74="","",IF(AE74="[FÓRMULA MANUAL]","",IFERROR(SUMPRODUCT((nNIA=AE74)*(nCUENTA=1)*(COUNTIF(CONFIG_ASIGNATURAS!$B$7:$B$27,nASIG)&gt;0)*(nNOTA))/SUMPRODUCT((nNIA=AE74)*(nCUENTA=1)*(COUNTIF(CONFIG_ASIGNATURAS!$B$7:$B$27,nASIG)&gt;0)*1),"")))</f>
        <v/>
      </c>
    </row>
    <row r="75" spans="2:35" x14ac:dyDescent="0.2">
      <c r="B75" t="str">
        <f>IF(A75="","",IF(A75="[FÓRMULA MANUAL]","",IFERROR(AVERAGEIFS(nNOTA,nNIA,A75,nCUENTA,1,nASIG,"Lenguaje Musical"),"")))</f>
        <v/>
      </c>
      <c r="C75" t="str">
        <f>IF(A75="","",IF(A75="[FÓRMULA MANUAL]","",IFERROR(AVERAGEIFS(nNOTA,nNIA,A75,nCUENTA,1,nASIG,"Orquesta/Banda/Conjunto"),"")))</f>
        <v/>
      </c>
      <c r="D75" t="str">
        <f>IF(A75="","",IF(A75="[FÓRMULA MANUAL]","",IFERROR(AVERAGEIFS(nNOTA,nNIA,A75,nCUENTA,1,nASIG,"Conjunto"),"")))</f>
        <v/>
      </c>
      <c r="E75" t="str">
        <f>IF(A75="","",IF(A75="[FÓRMULA MANUAL]","",IFERROR(SUMPRODUCT((nNIA=A75)*(nCUENTA=1)*(COUNTIF(CONFIG_ASIGNATURAS!$B$7:$B$27,nASIG)&gt;0)*(nNOTA))/SUMPRODUCT((nNIA=A75)*(nCUENTA=1)*(COUNTIF(CONFIG_ASIGNATURAS!$B$7:$B$27,nASIG)&gt;0)*1),"")))</f>
        <v/>
      </c>
      <c r="H75" t="str">
        <f>IF(G75="","",IF(G75="[FÓRMULA MANUAL]","",IFERROR(AVERAGEIFS(nNOTA,nNIA,G75,nCUENTA,1,nASIG,"Lenguaje Musical"),"")))</f>
        <v/>
      </c>
      <c r="I75" t="str">
        <f>IF(G75="","",IF(G75="[FÓRMULA MANUAL]","",IFERROR(AVERAGEIFS(nNOTA,nNIA,G75,nCUENTA,1,nASIG,"Orquesta/Banda/Conjunto"),"")))</f>
        <v/>
      </c>
      <c r="J75" t="str">
        <f>IF(G75="","",IF(G75="[FÓRMULA MANUAL]","",IFERROR(AVERAGEIFS(nNOTA,nNIA,G75,nCUENTA,1,nASIG,"Conjunto"),"")))</f>
        <v/>
      </c>
      <c r="K75" t="str">
        <f>IF(G75="","",IF(G75="[FÓRMULA MANUAL]","",IFERROR(SUMPRODUCT((nNIA=G75)*(nCUENTA=1)*(COUNTIF(CONFIG_ASIGNATURAS!$B$7:$B$27,nASIG)&gt;0)*(nNOTA))/SUMPRODUCT((nNIA=G75)*(nCUENTA=1)*(COUNTIF(CONFIG_ASIGNATURAS!$B$7:$B$27,nASIG)&gt;0)*1),"")))</f>
        <v/>
      </c>
      <c r="N75" t="str">
        <f>IF(M75="","",IF(M75="[FÓRMULA MANUAL]","",IFERROR(AVERAGEIFS(nNOTA,nNIA,M75,nCUENTA,1,nASIG,"Armonía"),"")))</f>
        <v/>
      </c>
      <c r="O75" t="str">
        <f>IF(M75="","",IF(M75="[FÓRMULA MANUAL]","",IFERROR(AVERAGEIFS(nNOTA,nNIA,M75,nCUENTA,1,nASIG,"Orquesta/Banda/Conjunto"),"")))</f>
        <v/>
      </c>
      <c r="P75" t="str">
        <f>IF(M75="","",IF(M75="[FÓRMULA MANUAL]","",IFERROR(AVERAGEIFS(nNOTA,nNIA,M75,nCUENTA,1,nASIG,"Música de Cámara"),"")))</f>
        <v/>
      </c>
      <c r="Q75" t="str">
        <f>IF(M75="","",IF(M75="[FÓRMULA MANUAL]","",IFERROR(SUMPRODUCT((nNIA=M75)*(nCUENTA=1)*(COUNTIF(CONFIG_ASIGNATURAS!$B$7:$B$27,nASIG)&gt;0)*(nNOTA))/SUMPRODUCT((nNIA=M75)*(nCUENTA=1)*(COUNTIF(CONFIG_ASIGNATURAS!$B$7:$B$27,nASIG)&gt;0)*1),"")))</f>
        <v/>
      </c>
      <c r="T75" t="str">
        <f>IF(S75="","",IF(S75="[FÓRMULA MANUAL]","",IFERROR(AVERAGEIFS(nNOTA,nNIA,S75,nCUENTA,1,nASIG,"Armonía"),"")))</f>
        <v/>
      </c>
      <c r="U75" t="str">
        <f>IF(S75="","",IF(S75="[FÓRMULA MANUAL]","",IFERROR(AVERAGEIFS(nNOTA,nNIA,S75,nCUENTA,1,nASIG,"Orquesta/Banda/Conjunto"),"")))</f>
        <v/>
      </c>
      <c r="V75" t="str">
        <f>IF(S75="","",IF(S75="[FÓRMULA MANUAL]","",IFERROR(AVERAGEIFS(nNOTA,nNIA,S75,nCUENTA,1,nASIG,"Música de Cámara"),"")))</f>
        <v/>
      </c>
      <c r="W75" t="str">
        <f>IF(S75="","",IF(S75="[FÓRMULA MANUAL]","",IFERROR(SUMPRODUCT((nNIA=S75)*(nCUENTA=1)*(COUNTIF(CONFIG_ASIGNATURAS!$B$7:$B$27,nASIG)&gt;0)*(nNOTA))/SUMPRODUCT((nNIA=S75)*(nCUENTA=1)*(COUNTIF(CONFIG_ASIGNATURAS!$B$7:$B$27,nASIG)&gt;0)*1),"")))</f>
        <v/>
      </c>
      <c r="Z75" t="str">
        <f>IF(Y75="","",IF(Y75="[FÓRMULA MANUAL]","",IFERROR(AVERAGEIFS(nNOTA,nNIA,Y75,nCUENTA,1,nASIG,"Análisis"),"")))</f>
        <v/>
      </c>
      <c r="AA75" t="str">
        <f>IF(Y75="","",IF(Y75="[FÓRMULA MANUAL]","",IFERROR(AVERAGEIFS(nNOTA,nNIA,Y75,nCUENTA,1,nASIG,"Orquesta/Banda/Conjunto"),"")))</f>
        <v/>
      </c>
      <c r="AB75" t="str">
        <f>IF(Y75="","",IF(Y75="[FÓRMULA MANUAL]","",IFERROR(AVERAGEIFS(nNOTA,nNIA,Y75,nCUENTA,1,nASIG,"Música de Cámara"),"")))</f>
        <v/>
      </c>
      <c r="AC75" t="str">
        <f>IF(Y75="","",IF(Y75="[FÓRMULA MANUAL]","",IFERROR(SUMPRODUCT((nNIA=Y75)*(nCUENTA=1)*(COUNTIF(CONFIG_ASIGNATURAS!$B$7:$B$27,nASIG)&gt;0)*(nNOTA))/SUMPRODUCT((nNIA=Y75)*(nCUENTA=1)*(COUNTIF(CONFIG_ASIGNATURAS!$B$7:$B$27,nASIG)&gt;0)*1),"")))</f>
        <v/>
      </c>
      <c r="AF75" t="str">
        <f>IF(AE75="","",IF(AE75="[FÓRMULA MANUAL]","",IFERROR(AVERAGEIFS(nNOTA,nNIA,AE75,nCUENTA,1,nASIG,"Análisis"),"")))</f>
        <v/>
      </c>
      <c r="AG75" t="str">
        <f>IF(AE75="","",IF(AE75="[FÓRMULA MANUAL]","",IFERROR(AVERAGEIFS(nNOTA,nNIA,AE75,nCUENTA,1,nASIG,"Orquesta/Banda/Conjunto"),"")))</f>
        <v/>
      </c>
      <c r="AH75" t="str">
        <f>IF(AE75="","",IF(AE75="[FÓRMULA MANUAL]","",IFERROR(AVERAGEIFS(nNOTA,nNIA,AE75,nCUENTA,1,nASIG,"Música de Cámara"),"")))</f>
        <v/>
      </c>
      <c r="AI75" t="str">
        <f>IF(AE75="","",IF(AE75="[FÓRMULA MANUAL]","",IFERROR(SUMPRODUCT((nNIA=AE75)*(nCUENTA=1)*(COUNTIF(CONFIG_ASIGNATURAS!$B$7:$B$27,nASIG)&gt;0)*(nNOTA))/SUMPRODUCT((nNIA=AE75)*(nCUENTA=1)*(COUNTIF(CONFIG_ASIGNATURAS!$B$7:$B$27,nASIG)&gt;0)*1),"")))</f>
        <v/>
      </c>
    </row>
    <row r="76" spans="2:35" x14ac:dyDescent="0.2">
      <c r="B76" t="str">
        <f>IF(A76="","",IF(A76="[FÓRMULA MANUAL]","",IFERROR(AVERAGEIFS(nNOTA,nNIA,A76,nCUENTA,1,nASIG,"Lenguaje Musical"),"")))</f>
        <v/>
      </c>
      <c r="C76" t="str">
        <f>IF(A76="","",IF(A76="[FÓRMULA MANUAL]","",IFERROR(AVERAGEIFS(nNOTA,nNIA,A76,nCUENTA,1,nASIG,"Orquesta/Banda/Conjunto"),"")))</f>
        <v/>
      </c>
      <c r="D76" t="str">
        <f>IF(A76="","",IF(A76="[FÓRMULA MANUAL]","",IFERROR(AVERAGEIFS(nNOTA,nNIA,A76,nCUENTA,1,nASIG,"Conjunto"),"")))</f>
        <v/>
      </c>
      <c r="E76" t="str">
        <f>IF(A76="","",IF(A76="[FÓRMULA MANUAL]","",IFERROR(SUMPRODUCT((nNIA=A76)*(nCUENTA=1)*(COUNTIF(CONFIG_ASIGNATURAS!$B$7:$B$27,nASIG)&gt;0)*(nNOTA))/SUMPRODUCT((nNIA=A76)*(nCUENTA=1)*(COUNTIF(CONFIG_ASIGNATURAS!$B$7:$B$27,nASIG)&gt;0)*1),"")))</f>
        <v/>
      </c>
      <c r="H76" t="str">
        <f>IF(G76="","",IF(G76="[FÓRMULA MANUAL]","",IFERROR(AVERAGEIFS(nNOTA,nNIA,G76,nCUENTA,1,nASIG,"Lenguaje Musical"),"")))</f>
        <v/>
      </c>
      <c r="I76" t="str">
        <f>IF(G76="","",IF(G76="[FÓRMULA MANUAL]","",IFERROR(AVERAGEIFS(nNOTA,nNIA,G76,nCUENTA,1,nASIG,"Orquesta/Banda/Conjunto"),"")))</f>
        <v/>
      </c>
      <c r="J76" t="str">
        <f>IF(G76="","",IF(G76="[FÓRMULA MANUAL]","",IFERROR(AVERAGEIFS(nNOTA,nNIA,G76,nCUENTA,1,nASIG,"Conjunto"),"")))</f>
        <v/>
      </c>
      <c r="K76" t="str">
        <f>IF(G76="","",IF(G76="[FÓRMULA MANUAL]","",IFERROR(SUMPRODUCT((nNIA=G76)*(nCUENTA=1)*(COUNTIF(CONFIG_ASIGNATURAS!$B$7:$B$27,nASIG)&gt;0)*(nNOTA))/SUMPRODUCT((nNIA=G76)*(nCUENTA=1)*(COUNTIF(CONFIG_ASIGNATURAS!$B$7:$B$27,nASIG)&gt;0)*1),"")))</f>
        <v/>
      </c>
      <c r="N76" t="str">
        <f>IF(M76="","",IF(M76="[FÓRMULA MANUAL]","",IFERROR(AVERAGEIFS(nNOTA,nNIA,M76,nCUENTA,1,nASIG,"Armonía"),"")))</f>
        <v/>
      </c>
      <c r="O76" t="str">
        <f>IF(M76="","",IF(M76="[FÓRMULA MANUAL]","",IFERROR(AVERAGEIFS(nNOTA,nNIA,M76,nCUENTA,1,nASIG,"Orquesta/Banda/Conjunto"),"")))</f>
        <v/>
      </c>
      <c r="P76" t="str">
        <f>IF(M76="","",IF(M76="[FÓRMULA MANUAL]","",IFERROR(AVERAGEIFS(nNOTA,nNIA,M76,nCUENTA,1,nASIG,"Música de Cámara"),"")))</f>
        <v/>
      </c>
      <c r="Q76" t="str">
        <f>IF(M76="","",IF(M76="[FÓRMULA MANUAL]","",IFERROR(SUMPRODUCT((nNIA=M76)*(nCUENTA=1)*(COUNTIF(CONFIG_ASIGNATURAS!$B$7:$B$27,nASIG)&gt;0)*(nNOTA))/SUMPRODUCT((nNIA=M76)*(nCUENTA=1)*(COUNTIF(CONFIG_ASIGNATURAS!$B$7:$B$27,nASIG)&gt;0)*1),"")))</f>
        <v/>
      </c>
      <c r="T76" t="str">
        <f>IF(S76="","",IF(S76="[FÓRMULA MANUAL]","",IFERROR(AVERAGEIFS(nNOTA,nNIA,S76,nCUENTA,1,nASIG,"Armonía"),"")))</f>
        <v/>
      </c>
      <c r="U76" t="str">
        <f>IF(S76="","",IF(S76="[FÓRMULA MANUAL]","",IFERROR(AVERAGEIFS(nNOTA,nNIA,S76,nCUENTA,1,nASIG,"Orquesta/Banda/Conjunto"),"")))</f>
        <v/>
      </c>
      <c r="V76" t="str">
        <f>IF(S76="","",IF(S76="[FÓRMULA MANUAL]","",IFERROR(AVERAGEIFS(nNOTA,nNIA,S76,nCUENTA,1,nASIG,"Música de Cámara"),"")))</f>
        <v/>
      </c>
      <c r="W76" t="str">
        <f>IF(S76="","",IF(S76="[FÓRMULA MANUAL]","",IFERROR(SUMPRODUCT((nNIA=S76)*(nCUENTA=1)*(COUNTIF(CONFIG_ASIGNATURAS!$B$7:$B$27,nASIG)&gt;0)*(nNOTA))/SUMPRODUCT((nNIA=S76)*(nCUENTA=1)*(COUNTIF(CONFIG_ASIGNATURAS!$B$7:$B$27,nASIG)&gt;0)*1),"")))</f>
        <v/>
      </c>
      <c r="Z76" t="str">
        <f>IF(Y76="","",IF(Y76="[FÓRMULA MANUAL]","",IFERROR(AVERAGEIFS(nNOTA,nNIA,Y76,nCUENTA,1,nASIG,"Análisis"),"")))</f>
        <v/>
      </c>
      <c r="AA76" t="str">
        <f>IF(Y76="","",IF(Y76="[FÓRMULA MANUAL]","",IFERROR(AVERAGEIFS(nNOTA,nNIA,Y76,nCUENTA,1,nASIG,"Orquesta/Banda/Conjunto"),"")))</f>
        <v/>
      </c>
      <c r="AB76" t="str">
        <f>IF(Y76="","",IF(Y76="[FÓRMULA MANUAL]","",IFERROR(AVERAGEIFS(nNOTA,nNIA,Y76,nCUENTA,1,nASIG,"Música de Cámara"),"")))</f>
        <v/>
      </c>
      <c r="AC76" t="str">
        <f>IF(Y76="","",IF(Y76="[FÓRMULA MANUAL]","",IFERROR(SUMPRODUCT((nNIA=Y76)*(nCUENTA=1)*(COUNTIF(CONFIG_ASIGNATURAS!$B$7:$B$27,nASIG)&gt;0)*(nNOTA))/SUMPRODUCT((nNIA=Y76)*(nCUENTA=1)*(COUNTIF(CONFIG_ASIGNATURAS!$B$7:$B$27,nASIG)&gt;0)*1),"")))</f>
        <v/>
      </c>
      <c r="AF76" t="str">
        <f>IF(AE76="","",IF(AE76="[FÓRMULA MANUAL]","",IFERROR(AVERAGEIFS(nNOTA,nNIA,AE76,nCUENTA,1,nASIG,"Análisis"),"")))</f>
        <v/>
      </c>
      <c r="AG76" t="str">
        <f>IF(AE76="","",IF(AE76="[FÓRMULA MANUAL]","",IFERROR(AVERAGEIFS(nNOTA,nNIA,AE76,nCUENTA,1,nASIG,"Orquesta/Banda/Conjunto"),"")))</f>
        <v/>
      </c>
      <c r="AH76" t="str">
        <f>IF(AE76="","",IF(AE76="[FÓRMULA MANUAL]","",IFERROR(AVERAGEIFS(nNOTA,nNIA,AE76,nCUENTA,1,nASIG,"Música de Cámara"),"")))</f>
        <v/>
      </c>
      <c r="AI76" t="str">
        <f>IF(AE76="","",IF(AE76="[FÓRMULA MANUAL]","",IFERROR(SUMPRODUCT((nNIA=AE76)*(nCUENTA=1)*(COUNTIF(CONFIG_ASIGNATURAS!$B$7:$B$27,nASIG)&gt;0)*(nNOTA))/SUMPRODUCT((nNIA=AE76)*(nCUENTA=1)*(COUNTIF(CONFIG_ASIGNATURAS!$B$7:$B$27,nASIG)&gt;0)*1),"")))</f>
        <v/>
      </c>
    </row>
    <row r="77" spans="2:35" x14ac:dyDescent="0.2">
      <c r="B77" t="str">
        <f>IF(A77="","",IF(A77="[FÓRMULA MANUAL]","",IFERROR(AVERAGEIFS(nNOTA,nNIA,A77,nCUENTA,1,nASIG,"Lenguaje Musical"),"")))</f>
        <v/>
      </c>
      <c r="C77" t="str">
        <f>IF(A77="","",IF(A77="[FÓRMULA MANUAL]","",IFERROR(AVERAGEIFS(nNOTA,nNIA,A77,nCUENTA,1,nASIG,"Orquesta/Banda/Conjunto"),"")))</f>
        <v/>
      </c>
      <c r="D77" t="str">
        <f>IF(A77="","",IF(A77="[FÓRMULA MANUAL]","",IFERROR(AVERAGEIFS(nNOTA,nNIA,A77,nCUENTA,1,nASIG,"Conjunto"),"")))</f>
        <v/>
      </c>
      <c r="E77" t="str">
        <f>IF(A77="","",IF(A77="[FÓRMULA MANUAL]","",IFERROR(SUMPRODUCT((nNIA=A77)*(nCUENTA=1)*(COUNTIF(CONFIG_ASIGNATURAS!$B$7:$B$27,nASIG)&gt;0)*(nNOTA))/SUMPRODUCT((nNIA=A77)*(nCUENTA=1)*(COUNTIF(CONFIG_ASIGNATURAS!$B$7:$B$27,nASIG)&gt;0)*1),"")))</f>
        <v/>
      </c>
      <c r="H77" t="str">
        <f>IF(G77="","",IF(G77="[FÓRMULA MANUAL]","",IFERROR(AVERAGEIFS(nNOTA,nNIA,G77,nCUENTA,1,nASIG,"Lenguaje Musical"),"")))</f>
        <v/>
      </c>
      <c r="I77" t="str">
        <f>IF(G77="","",IF(G77="[FÓRMULA MANUAL]","",IFERROR(AVERAGEIFS(nNOTA,nNIA,G77,nCUENTA,1,nASIG,"Orquesta/Banda/Conjunto"),"")))</f>
        <v/>
      </c>
      <c r="J77" t="str">
        <f>IF(G77="","",IF(G77="[FÓRMULA MANUAL]","",IFERROR(AVERAGEIFS(nNOTA,nNIA,G77,nCUENTA,1,nASIG,"Conjunto"),"")))</f>
        <v/>
      </c>
      <c r="K77" t="str">
        <f>IF(G77="","",IF(G77="[FÓRMULA MANUAL]","",IFERROR(SUMPRODUCT((nNIA=G77)*(nCUENTA=1)*(COUNTIF(CONFIG_ASIGNATURAS!$B$7:$B$27,nASIG)&gt;0)*(nNOTA))/SUMPRODUCT((nNIA=G77)*(nCUENTA=1)*(COUNTIF(CONFIG_ASIGNATURAS!$B$7:$B$27,nASIG)&gt;0)*1),"")))</f>
        <v/>
      </c>
      <c r="N77" t="str">
        <f>IF(M77="","",IF(M77="[FÓRMULA MANUAL]","",IFERROR(AVERAGEIFS(nNOTA,nNIA,M77,nCUENTA,1,nASIG,"Armonía"),"")))</f>
        <v/>
      </c>
      <c r="O77" t="str">
        <f>IF(M77="","",IF(M77="[FÓRMULA MANUAL]","",IFERROR(AVERAGEIFS(nNOTA,nNIA,M77,nCUENTA,1,nASIG,"Orquesta/Banda/Conjunto"),"")))</f>
        <v/>
      </c>
      <c r="P77" t="str">
        <f>IF(M77="","",IF(M77="[FÓRMULA MANUAL]","",IFERROR(AVERAGEIFS(nNOTA,nNIA,M77,nCUENTA,1,nASIG,"Música de Cámara"),"")))</f>
        <v/>
      </c>
      <c r="Q77" t="str">
        <f>IF(M77="","",IF(M77="[FÓRMULA MANUAL]","",IFERROR(SUMPRODUCT((nNIA=M77)*(nCUENTA=1)*(COUNTIF(CONFIG_ASIGNATURAS!$B$7:$B$27,nASIG)&gt;0)*(nNOTA))/SUMPRODUCT((nNIA=M77)*(nCUENTA=1)*(COUNTIF(CONFIG_ASIGNATURAS!$B$7:$B$27,nASIG)&gt;0)*1),"")))</f>
        <v/>
      </c>
      <c r="T77" t="str">
        <f>IF(S77="","",IF(S77="[FÓRMULA MANUAL]","",IFERROR(AVERAGEIFS(nNOTA,nNIA,S77,nCUENTA,1,nASIG,"Armonía"),"")))</f>
        <v/>
      </c>
      <c r="U77" t="str">
        <f>IF(S77="","",IF(S77="[FÓRMULA MANUAL]","",IFERROR(AVERAGEIFS(nNOTA,nNIA,S77,nCUENTA,1,nASIG,"Orquesta/Banda/Conjunto"),"")))</f>
        <v/>
      </c>
      <c r="V77" t="str">
        <f>IF(S77="","",IF(S77="[FÓRMULA MANUAL]","",IFERROR(AVERAGEIFS(nNOTA,nNIA,S77,nCUENTA,1,nASIG,"Música de Cámara"),"")))</f>
        <v/>
      </c>
      <c r="W77" t="str">
        <f>IF(S77="","",IF(S77="[FÓRMULA MANUAL]","",IFERROR(SUMPRODUCT((nNIA=S77)*(nCUENTA=1)*(COUNTIF(CONFIG_ASIGNATURAS!$B$7:$B$27,nASIG)&gt;0)*(nNOTA))/SUMPRODUCT((nNIA=S77)*(nCUENTA=1)*(COUNTIF(CONFIG_ASIGNATURAS!$B$7:$B$27,nASIG)&gt;0)*1),"")))</f>
        <v/>
      </c>
      <c r="Z77" t="str">
        <f>IF(Y77="","",IF(Y77="[FÓRMULA MANUAL]","",IFERROR(AVERAGEIFS(nNOTA,nNIA,Y77,nCUENTA,1,nASIG,"Análisis"),"")))</f>
        <v/>
      </c>
      <c r="AA77" t="str">
        <f>IF(Y77="","",IF(Y77="[FÓRMULA MANUAL]","",IFERROR(AVERAGEIFS(nNOTA,nNIA,Y77,nCUENTA,1,nASIG,"Orquesta/Banda/Conjunto"),"")))</f>
        <v/>
      </c>
      <c r="AB77" t="str">
        <f>IF(Y77="","",IF(Y77="[FÓRMULA MANUAL]","",IFERROR(AVERAGEIFS(nNOTA,nNIA,Y77,nCUENTA,1,nASIG,"Música de Cámara"),"")))</f>
        <v/>
      </c>
      <c r="AC77" t="str">
        <f>IF(Y77="","",IF(Y77="[FÓRMULA MANUAL]","",IFERROR(SUMPRODUCT((nNIA=Y77)*(nCUENTA=1)*(COUNTIF(CONFIG_ASIGNATURAS!$B$7:$B$27,nASIG)&gt;0)*(nNOTA))/SUMPRODUCT((nNIA=Y77)*(nCUENTA=1)*(COUNTIF(CONFIG_ASIGNATURAS!$B$7:$B$27,nASIG)&gt;0)*1),"")))</f>
        <v/>
      </c>
      <c r="AF77" t="str">
        <f>IF(AE77="","",IF(AE77="[FÓRMULA MANUAL]","",IFERROR(AVERAGEIFS(nNOTA,nNIA,AE77,nCUENTA,1,nASIG,"Análisis"),"")))</f>
        <v/>
      </c>
      <c r="AG77" t="str">
        <f>IF(AE77="","",IF(AE77="[FÓRMULA MANUAL]","",IFERROR(AVERAGEIFS(nNOTA,nNIA,AE77,nCUENTA,1,nASIG,"Orquesta/Banda/Conjunto"),"")))</f>
        <v/>
      </c>
      <c r="AH77" t="str">
        <f>IF(AE77="","",IF(AE77="[FÓRMULA MANUAL]","",IFERROR(AVERAGEIFS(nNOTA,nNIA,AE77,nCUENTA,1,nASIG,"Música de Cámara"),"")))</f>
        <v/>
      </c>
      <c r="AI77" t="str">
        <f>IF(AE77="","",IF(AE77="[FÓRMULA MANUAL]","",IFERROR(SUMPRODUCT((nNIA=AE77)*(nCUENTA=1)*(COUNTIF(CONFIG_ASIGNATURAS!$B$7:$B$27,nASIG)&gt;0)*(nNOTA))/SUMPRODUCT((nNIA=AE77)*(nCUENTA=1)*(COUNTIF(CONFIG_ASIGNATURAS!$B$7:$B$27,nASIG)&gt;0)*1),"")))</f>
        <v/>
      </c>
    </row>
    <row r="78" spans="2:35" x14ac:dyDescent="0.2">
      <c r="B78" t="str">
        <f>IF(A78="","",IF(A78="[FÓRMULA MANUAL]","",IFERROR(AVERAGEIFS(nNOTA,nNIA,A78,nCUENTA,1,nASIG,"Lenguaje Musical"),"")))</f>
        <v/>
      </c>
      <c r="C78" t="str">
        <f>IF(A78="","",IF(A78="[FÓRMULA MANUAL]","",IFERROR(AVERAGEIFS(nNOTA,nNIA,A78,nCUENTA,1,nASIG,"Orquesta/Banda/Conjunto"),"")))</f>
        <v/>
      </c>
      <c r="D78" t="str">
        <f>IF(A78="","",IF(A78="[FÓRMULA MANUAL]","",IFERROR(AVERAGEIFS(nNOTA,nNIA,A78,nCUENTA,1,nASIG,"Conjunto"),"")))</f>
        <v/>
      </c>
      <c r="E78" t="str">
        <f>IF(A78="","",IF(A78="[FÓRMULA MANUAL]","",IFERROR(SUMPRODUCT((nNIA=A78)*(nCUENTA=1)*(COUNTIF(CONFIG_ASIGNATURAS!$B$7:$B$27,nASIG)&gt;0)*(nNOTA))/SUMPRODUCT((nNIA=A78)*(nCUENTA=1)*(COUNTIF(CONFIG_ASIGNATURAS!$B$7:$B$27,nASIG)&gt;0)*1),"")))</f>
        <v/>
      </c>
      <c r="H78" t="str">
        <f>IF(G78="","",IF(G78="[FÓRMULA MANUAL]","",IFERROR(AVERAGEIFS(nNOTA,nNIA,G78,nCUENTA,1,nASIG,"Lenguaje Musical"),"")))</f>
        <v/>
      </c>
      <c r="I78" t="str">
        <f>IF(G78="","",IF(G78="[FÓRMULA MANUAL]","",IFERROR(AVERAGEIFS(nNOTA,nNIA,G78,nCUENTA,1,nASIG,"Orquesta/Banda/Conjunto"),"")))</f>
        <v/>
      </c>
      <c r="J78" t="str">
        <f>IF(G78="","",IF(G78="[FÓRMULA MANUAL]","",IFERROR(AVERAGEIFS(nNOTA,nNIA,G78,nCUENTA,1,nASIG,"Conjunto"),"")))</f>
        <v/>
      </c>
      <c r="K78" t="str">
        <f>IF(G78="","",IF(G78="[FÓRMULA MANUAL]","",IFERROR(SUMPRODUCT((nNIA=G78)*(nCUENTA=1)*(COUNTIF(CONFIG_ASIGNATURAS!$B$7:$B$27,nASIG)&gt;0)*(nNOTA))/SUMPRODUCT((nNIA=G78)*(nCUENTA=1)*(COUNTIF(CONFIG_ASIGNATURAS!$B$7:$B$27,nASIG)&gt;0)*1),"")))</f>
        <v/>
      </c>
      <c r="N78" t="str">
        <f>IF(M78="","",IF(M78="[FÓRMULA MANUAL]","",IFERROR(AVERAGEIFS(nNOTA,nNIA,M78,nCUENTA,1,nASIG,"Armonía"),"")))</f>
        <v/>
      </c>
      <c r="O78" t="str">
        <f>IF(M78="","",IF(M78="[FÓRMULA MANUAL]","",IFERROR(AVERAGEIFS(nNOTA,nNIA,M78,nCUENTA,1,nASIG,"Orquesta/Banda/Conjunto"),"")))</f>
        <v/>
      </c>
      <c r="P78" t="str">
        <f>IF(M78="","",IF(M78="[FÓRMULA MANUAL]","",IFERROR(AVERAGEIFS(nNOTA,nNIA,M78,nCUENTA,1,nASIG,"Música de Cámara"),"")))</f>
        <v/>
      </c>
      <c r="Q78" t="str">
        <f>IF(M78="","",IF(M78="[FÓRMULA MANUAL]","",IFERROR(SUMPRODUCT((nNIA=M78)*(nCUENTA=1)*(COUNTIF(CONFIG_ASIGNATURAS!$B$7:$B$27,nASIG)&gt;0)*(nNOTA))/SUMPRODUCT((nNIA=M78)*(nCUENTA=1)*(COUNTIF(CONFIG_ASIGNATURAS!$B$7:$B$27,nASIG)&gt;0)*1),"")))</f>
        <v/>
      </c>
      <c r="T78" t="str">
        <f>IF(S78="","",IF(S78="[FÓRMULA MANUAL]","",IFERROR(AVERAGEIFS(nNOTA,nNIA,S78,nCUENTA,1,nASIG,"Armonía"),"")))</f>
        <v/>
      </c>
      <c r="U78" t="str">
        <f>IF(S78="","",IF(S78="[FÓRMULA MANUAL]","",IFERROR(AVERAGEIFS(nNOTA,nNIA,S78,nCUENTA,1,nASIG,"Orquesta/Banda/Conjunto"),"")))</f>
        <v/>
      </c>
      <c r="V78" t="str">
        <f>IF(S78="","",IF(S78="[FÓRMULA MANUAL]","",IFERROR(AVERAGEIFS(nNOTA,nNIA,S78,nCUENTA,1,nASIG,"Música de Cámara"),"")))</f>
        <v/>
      </c>
      <c r="W78" t="str">
        <f>IF(S78="","",IF(S78="[FÓRMULA MANUAL]","",IFERROR(SUMPRODUCT((nNIA=S78)*(nCUENTA=1)*(COUNTIF(CONFIG_ASIGNATURAS!$B$7:$B$27,nASIG)&gt;0)*(nNOTA))/SUMPRODUCT((nNIA=S78)*(nCUENTA=1)*(COUNTIF(CONFIG_ASIGNATURAS!$B$7:$B$27,nASIG)&gt;0)*1),"")))</f>
        <v/>
      </c>
      <c r="Z78" t="str">
        <f>IF(Y78="","",IF(Y78="[FÓRMULA MANUAL]","",IFERROR(AVERAGEIFS(nNOTA,nNIA,Y78,nCUENTA,1,nASIG,"Análisis"),"")))</f>
        <v/>
      </c>
      <c r="AA78" t="str">
        <f>IF(Y78="","",IF(Y78="[FÓRMULA MANUAL]","",IFERROR(AVERAGEIFS(nNOTA,nNIA,Y78,nCUENTA,1,nASIG,"Orquesta/Banda/Conjunto"),"")))</f>
        <v/>
      </c>
      <c r="AB78" t="str">
        <f>IF(Y78="","",IF(Y78="[FÓRMULA MANUAL]","",IFERROR(AVERAGEIFS(nNOTA,nNIA,Y78,nCUENTA,1,nASIG,"Música de Cámara"),"")))</f>
        <v/>
      </c>
      <c r="AC78" t="str">
        <f>IF(Y78="","",IF(Y78="[FÓRMULA MANUAL]","",IFERROR(SUMPRODUCT((nNIA=Y78)*(nCUENTA=1)*(COUNTIF(CONFIG_ASIGNATURAS!$B$7:$B$27,nASIG)&gt;0)*(nNOTA))/SUMPRODUCT((nNIA=Y78)*(nCUENTA=1)*(COUNTIF(CONFIG_ASIGNATURAS!$B$7:$B$27,nASIG)&gt;0)*1),"")))</f>
        <v/>
      </c>
      <c r="AF78" t="str">
        <f>IF(AE78="","",IF(AE78="[FÓRMULA MANUAL]","",IFERROR(AVERAGEIFS(nNOTA,nNIA,AE78,nCUENTA,1,nASIG,"Análisis"),"")))</f>
        <v/>
      </c>
      <c r="AG78" t="str">
        <f>IF(AE78="","",IF(AE78="[FÓRMULA MANUAL]","",IFERROR(AVERAGEIFS(nNOTA,nNIA,AE78,nCUENTA,1,nASIG,"Orquesta/Banda/Conjunto"),"")))</f>
        <v/>
      </c>
      <c r="AH78" t="str">
        <f>IF(AE78="","",IF(AE78="[FÓRMULA MANUAL]","",IFERROR(AVERAGEIFS(nNOTA,nNIA,AE78,nCUENTA,1,nASIG,"Música de Cámara"),"")))</f>
        <v/>
      </c>
      <c r="AI78" t="str">
        <f>IF(AE78="","",IF(AE78="[FÓRMULA MANUAL]","",IFERROR(SUMPRODUCT((nNIA=AE78)*(nCUENTA=1)*(COUNTIF(CONFIG_ASIGNATURAS!$B$7:$B$27,nASIG)&gt;0)*(nNOTA))/SUMPRODUCT((nNIA=AE78)*(nCUENTA=1)*(COUNTIF(CONFIG_ASIGNATURAS!$B$7:$B$27,nASIG)&gt;0)*1),"")))</f>
        <v/>
      </c>
    </row>
    <row r="79" spans="2:35" x14ac:dyDescent="0.2">
      <c r="B79" t="str">
        <f>IF(A79="","",IF(A79="[FÓRMULA MANUAL]","",IFERROR(AVERAGEIFS(nNOTA,nNIA,A79,nCUENTA,1,nASIG,"Lenguaje Musical"),"")))</f>
        <v/>
      </c>
      <c r="C79" t="str">
        <f>IF(A79="","",IF(A79="[FÓRMULA MANUAL]","",IFERROR(AVERAGEIFS(nNOTA,nNIA,A79,nCUENTA,1,nASIG,"Orquesta/Banda/Conjunto"),"")))</f>
        <v/>
      </c>
      <c r="D79" t="str">
        <f>IF(A79="","",IF(A79="[FÓRMULA MANUAL]","",IFERROR(AVERAGEIFS(nNOTA,nNIA,A79,nCUENTA,1,nASIG,"Conjunto"),"")))</f>
        <v/>
      </c>
      <c r="E79" t="str">
        <f>IF(A79="","",IF(A79="[FÓRMULA MANUAL]","",IFERROR(SUMPRODUCT((nNIA=A79)*(nCUENTA=1)*(COUNTIF(CONFIG_ASIGNATURAS!$B$7:$B$27,nASIG)&gt;0)*(nNOTA))/SUMPRODUCT((nNIA=A79)*(nCUENTA=1)*(COUNTIF(CONFIG_ASIGNATURAS!$B$7:$B$27,nASIG)&gt;0)*1),"")))</f>
        <v/>
      </c>
      <c r="H79" t="str">
        <f>IF(G79="","",IF(G79="[FÓRMULA MANUAL]","",IFERROR(AVERAGEIFS(nNOTA,nNIA,G79,nCUENTA,1,nASIG,"Lenguaje Musical"),"")))</f>
        <v/>
      </c>
      <c r="I79" t="str">
        <f>IF(G79="","",IF(G79="[FÓRMULA MANUAL]","",IFERROR(AVERAGEIFS(nNOTA,nNIA,G79,nCUENTA,1,nASIG,"Orquesta/Banda/Conjunto"),"")))</f>
        <v/>
      </c>
      <c r="J79" t="str">
        <f>IF(G79="","",IF(G79="[FÓRMULA MANUAL]","",IFERROR(AVERAGEIFS(nNOTA,nNIA,G79,nCUENTA,1,nASIG,"Conjunto"),"")))</f>
        <v/>
      </c>
      <c r="K79" t="str">
        <f>IF(G79="","",IF(G79="[FÓRMULA MANUAL]","",IFERROR(SUMPRODUCT((nNIA=G79)*(nCUENTA=1)*(COUNTIF(CONFIG_ASIGNATURAS!$B$7:$B$27,nASIG)&gt;0)*(nNOTA))/SUMPRODUCT((nNIA=G79)*(nCUENTA=1)*(COUNTIF(CONFIG_ASIGNATURAS!$B$7:$B$27,nASIG)&gt;0)*1),"")))</f>
        <v/>
      </c>
      <c r="N79" t="str">
        <f>IF(M79="","",IF(M79="[FÓRMULA MANUAL]","",IFERROR(AVERAGEIFS(nNOTA,nNIA,M79,nCUENTA,1,nASIG,"Armonía"),"")))</f>
        <v/>
      </c>
      <c r="O79" t="str">
        <f>IF(M79="","",IF(M79="[FÓRMULA MANUAL]","",IFERROR(AVERAGEIFS(nNOTA,nNIA,M79,nCUENTA,1,nASIG,"Orquesta/Banda/Conjunto"),"")))</f>
        <v/>
      </c>
      <c r="P79" t="str">
        <f>IF(M79="","",IF(M79="[FÓRMULA MANUAL]","",IFERROR(AVERAGEIFS(nNOTA,nNIA,M79,nCUENTA,1,nASIG,"Música de Cámara"),"")))</f>
        <v/>
      </c>
      <c r="Q79" t="str">
        <f>IF(M79="","",IF(M79="[FÓRMULA MANUAL]","",IFERROR(SUMPRODUCT((nNIA=M79)*(nCUENTA=1)*(COUNTIF(CONFIG_ASIGNATURAS!$B$7:$B$27,nASIG)&gt;0)*(nNOTA))/SUMPRODUCT((nNIA=M79)*(nCUENTA=1)*(COUNTIF(CONFIG_ASIGNATURAS!$B$7:$B$27,nASIG)&gt;0)*1),"")))</f>
        <v/>
      </c>
      <c r="T79" t="str">
        <f>IF(S79="","",IF(S79="[FÓRMULA MANUAL]","",IFERROR(AVERAGEIFS(nNOTA,nNIA,S79,nCUENTA,1,nASIG,"Armonía"),"")))</f>
        <v/>
      </c>
      <c r="U79" t="str">
        <f>IF(S79="","",IF(S79="[FÓRMULA MANUAL]","",IFERROR(AVERAGEIFS(nNOTA,nNIA,S79,nCUENTA,1,nASIG,"Orquesta/Banda/Conjunto"),"")))</f>
        <v/>
      </c>
      <c r="V79" t="str">
        <f>IF(S79="","",IF(S79="[FÓRMULA MANUAL]","",IFERROR(AVERAGEIFS(nNOTA,nNIA,S79,nCUENTA,1,nASIG,"Música de Cámara"),"")))</f>
        <v/>
      </c>
      <c r="W79" t="str">
        <f>IF(S79="","",IF(S79="[FÓRMULA MANUAL]","",IFERROR(SUMPRODUCT((nNIA=S79)*(nCUENTA=1)*(COUNTIF(CONFIG_ASIGNATURAS!$B$7:$B$27,nASIG)&gt;0)*(nNOTA))/SUMPRODUCT((nNIA=S79)*(nCUENTA=1)*(COUNTIF(CONFIG_ASIGNATURAS!$B$7:$B$27,nASIG)&gt;0)*1),"")))</f>
        <v/>
      </c>
      <c r="Z79" t="str">
        <f>IF(Y79="","",IF(Y79="[FÓRMULA MANUAL]","",IFERROR(AVERAGEIFS(nNOTA,nNIA,Y79,nCUENTA,1,nASIG,"Análisis"),"")))</f>
        <v/>
      </c>
      <c r="AA79" t="str">
        <f>IF(Y79="","",IF(Y79="[FÓRMULA MANUAL]","",IFERROR(AVERAGEIFS(nNOTA,nNIA,Y79,nCUENTA,1,nASIG,"Orquesta/Banda/Conjunto"),"")))</f>
        <v/>
      </c>
      <c r="AB79" t="str">
        <f>IF(Y79="","",IF(Y79="[FÓRMULA MANUAL]","",IFERROR(AVERAGEIFS(nNOTA,nNIA,Y79,nCUENTA,1,nASIG,"Música de Cámara"),"")))</f>
        <v/>
      </c>
      <c r="AC79" t="str">
        <f>IF(Y79="","",IF(Y79="[FÓRMULA MANUAL]","",IFERROR(SUMPRODUCT((nNIA=Y79)*(nCUENTA=1)*(COUNTIF(CONFIG_ASIGNATURAS!$B$7:$B$27,nASIG)&gt;0)*(nNOTA))/SUMPRODUCT((nNIA=Y79)*(nCUENTA=1)*(COUNTIF(CONFIG_ASIGNATURAS!$B$7:$B$27,nASIG)&gt;0)*1),"")))</f>
        <v/>
      </c>
      <c r="AF79" t="str">
        <f>IF(AE79="","",IF(AE79="[FÓRMULA MANUAL]","",IFERROR(AVERAGEIFS(nNOTA,nNIA,AE79,nCUENTA,1,nASIG,"Análisis"),"")))</f>
        <v/>
      </c>
      <c r="AG79" t="str">
        <f>IF(AE79="","",IF(AE79="[FÓRMULA MANUAL]","",IFERROR(AVERAGEIFS(nNOTA,nNIA,AE79,nCUENTA,1,nASIG,"Orquesta/Banda/Conjunto"),"")))</f>
        <v/>
      </c>
      <c r="AH79" t="str">
        <f>IF(AE79="","",IF(AE79="[FÓRMULA MANUAL]","",IFERROR(AVERAGEIFS(nNOTA,nNIA,AE79,nCUENTA,1,nASIG,"Música de Cámara"),"")))</f>
        <v/>
      </c>
      <c r="AI79" t="str">
        <f>IF(AE79="","",IF(AE79="[FÓRMULA MANUAL]","",IFERROR(SUMPRODUCT((nNIA=AE79)*(nCUENTA=1)*(COUNTIF(CONFIG_ASIGNATURAS!$B$7:$B$27,nASIG)&gt;0)*(nNOTA))/SUMPRODUCT((nNIA=AE79)*(nCUENTA=1)*(COUNTIF(CONFIG_ASIGNATURAS!$B$7:$B$27,nASIG)&gt;0)*1),"")))</f>
        <v/>
      </c>
    </row>
    <row r="80" spans="2:35" x14ac:dyDescent="0.2">
      <c r="B80" t="str">
        <f>IF(A80="","",IF(A80="[FÓRMULA MANUAL]","",IFERROR(AVERAGEIFS(nNOTA,nNIA,A80,nCUENTA,1,nASIG,"Lenguaje Musical"),"")))</f>
        <v/>
      </c>
      <c r="C80" t="str">
        <f>IF(A80="","",IF(A80="[FÓRMULA MANUAL]","",IFERROR(AVERAGEIFS(nNOTA,nNIA,A80,nCUENTA,1,nASIG,"Orquesta/Banda/Conjunto"),"")))</f>
        <v/>
      </c>
      <c r="D80" t="str">
        <f>IF(A80="","",IF(A80="[FÓRMULA MANUAL]","",IFERROR(AVERAGEIFS(nNOTA,nNIA,A80,nCUENTA,1,nASIG,"Conjunto"),"")))</f>
        <v/>
      </c>
      <c r="E80" t="str">
        <f>IF(A80="","",IF(A80="[FÓRMULA MANUAL]","",IFERROR(SUMPRODUCT((nNIA=A80)*(nCUENTA=1)*(COUNTIF(CONFIG_ASIGNATURAS!$B$7:$B$27,nASIG)&gt;0)*(nNOTA))/SUMPRODUCT((nNIA=A80)*(nCUENTA=1)*(COUNTIF(CONFIG_ASIGNATURAS!$B$7:$B$27,nASIG)&gt;0)*1),"")))</f>
        <v/>
      </c>
      <c r="H80" t="str">
        <f>IF(G80="","",IF(G80="[FÓRMULA MANUAL]","",IFERROR(AVERAGEIFS(nNOTA,nNIA,G80,nCUENTA,1,nASIG,"Lenguaje Musical"),"")))</f>
        <v/>
      </c>
      <c r="I80" t="str">
        <f>IF(G80="","",IF(G80="[FÓRMULA MANUAL]","",IFERROR(AVERAGEIFS(nNOTA,nNIA,G80,nCUENTA,1,nASIG,"Orquesta/Banda/Conjunto"),"")))</f>
        <v/>
      </c>
      <c r="J80" t="str">
        <f>IF(G80="","",IF(G80="[FÓRMULA MANUAL]","",IFERROR(AVERAGEIFS(nNOTA,nNIA,G80,nCUENTA,1,nASIG,"Conjunto"),"")))</f>
        <v/>
      </c>
      <c r="K80" t="str">
        <f>IF(G80="","",IF(G80="[FÓRMULA MANUAL]","",IFERROR(SUMPRODUCT((nNIA=G80)*(nCUENTA=1)*(COUNTIF(CONFIG_ASIGNATURAS!$B$7:$B$27,nASIG)&gt;0)*(nNOTA))/SUMPRODUCT((nNIA=G80)*(nCUENTA=1)*(COUNTIF(CONFIG_ASIGNATURAS!$B$7:$B$27,nASIG)&gt;0)*1),"")))</f>
        <v/>
      </c>
      <c r="N80" t="str">
        <f>IF(M80="","",IF(M80="[FÓRMULA MANUAL]","",IFERROR(AVERAGEIFS(nNOTA,nNIA,M80,nCUENTA,1,nASIG,"Armonía"),"")))</f>
        <v/>
      </c>
      <c r="O80" t="str">
        <f>IF(M80="","",IF(M80="[FÓRMULA MANUAL]","",IFERROR(AVERAGEIFS(nNOTA,nNIA,M80,nCUENTA,1,nASIG,"Orquesta/Banda/Conjunto"),"")))</f>
        <v/>
      </c>
      <c r="P80" t="str">
        <f>IF(M80="","",IF(M80="[FÓRMULA MANUAL]","",IFERROR(AVERAGEIFS(nNOTA,nNIA,M80,nCUENTA,1,nASIG,"Música de Cámara"),"")))</f>
        <v/>
      </c>
      <c r="Q80" t="str">
        <f>IF(M80="","",IF(M80="[FÓRMULA MANUAL]","",IFERROR(SUMPRODUCT((nNIA=M80)*(nCUENTA=1)*(COUNTIF(CONFIG_ASIGNATURAS!$B$7:$B$27,nASIG)&gt;0)*(nNOTA))/SUMPRODUCT((nNIA=M80)*(nCUENTA=1)*(COUNTIF(CONFIG_ASIGNATURAS!$B$7:$B$27,nASIG)&gt;0)*1),"")))</f>
        <v/>
      </c>
      <c r="T80" t="str">
        <f>IF(S80="","",IF(S80="[FÓRMULA MANUAL]","",IFERROR(AVERAGEIFS(nNOTA,nNIA,S80,nCUENTA,1,nASIG,"Armonía"),"")))</f>
        <v/>
      </c>
      <c r="U80" t="str">
        <f>IF(S80="","",IF(S80="[FÓRMULA MANUAL]","",IFERROR(AVERAGEIFS(nNOTA,nNIA,S80,nCUENTA,1,nASIG,"Orquesta/Banda/Conjunto"),"")))</f>
        <v/>
      </c>
      <c r="V80" t="str">
        <f>IF(S80="","",IF(S80="[FÓRMULA MANUAL]","",IFERROR(AVERAGEIFS(nNOTA,nNIA,S80,nCUENTA,1,nASIG,"Música de Cámara"),"")))</f>
        <v/>
      </c>
      <c r="W80" t="str">
        <f>IF(S80="","",IF(S80="[FÓRMULA MANUAL]","",IFERROR(SUMPRODUCT((nNIA=S80)*(nCUENTA=1)*(COUNTIF(CONFIG_ASIGNATURAS!$B$7:$B$27,nASIG)&gt;0)*(nNOTA))/SUMPRODUCT((nNIA=S80)*(nCUENTA=1)*(COUNTIF(CONFIG_ASIGNATURAS!$B$7:$B$27,nASIG)&gt;0)*1),"")))</f>
        <v/>
      </c>
      <c r="Z80" t="str">
        <f>IF(Y80="","",IF(Y80="[FÓRMULA MANUAL]","",IFERROR(AVERAGEIFS(nNOTA,nNIA,Y80,nCUENTA,1,nASIG,"Análisis"),"")))</f>
        <v/>
      </c>
      <c r="AA80" t="str">
        <f>IF(Y80="","",IF(Y80="[FÓRMULA MANUAL]","",IFERROR(AVERAGEIFS(nNOTA,nNIA,Y80,nCUENTA,1,nASIG,"Orquesta/Banda/Conjunto"),"")))</f>
        <v/>
      </c>
      <c r="AB80" t="str">
        <f>IF(Y80="","",IF(Y80="[FÓRMULA MANUAL]","",IFERROR(AVERAGEIFS(nNOTA,nNIA,Y80,nCUENTA,1,nASIG,"Música de Cámara"),"")))</f>
        <v/>
      </c>
      <c r="AC80" t="str">
        <f>IF(Y80="","",IF(Y80="[FÓRMULA MANUAL]","",IFERROR(SUMPRODUCT((nNIA=Y80)*(nCUENTA=1)*(COUNTIF(CONFIG_ASIGNATURAS!$B$7:$B$27,nASIG)&gt;0)*(nNOTA))/SUMPRODUCT((nNIA=Y80)*(nCUENTA=1)*(COUNTIF(CONFIG_ASIGNATURAS!$B$7:$B$27,nASIG)&gt;0)*1),"")))</f>
        <v/>
      </c>
      <c r="AF80" t="str">
        <f>IF(AE80="","",IF(AE80="[FÓRMULA MANUAL]","",IFERROR(AVERAGEIFS(nNOTA,nNIA,AE80,nCUENTA,1,nASIG,"Análisis"),"")))</f>
        <v/>
      </c>
      <c r="AG80" t="str">
        <f>IF(AE80="","",IF(AE80="[FÓRMULA MANUAL]","",IFERROR(AVERAGEIFS(nNOTA,nNIA,AE80,nCUENTA,1,nASIG,"Orquesta/Banda/Conjunto"),"")))</f>
        <v/>
      </c>
      <c r="AH80" t="str">
        <f>IF(AE80="","",IF(AE80="[FÓRMULA MANUAL]","",IFERROR(AVERAGEIFS(nNOTA,nNIA,AE80,nCUENTA,1,nASIG,"Música de Cámara"),"")))</f>
        <v/>
      </c>
      <c r="AI80" t="str">
        <f>IF(AE80="","",IF(AE80="[FÓRMULA MANUAL]","",IFERROR(SUMPRODUCT((nNIA=AE80)*(nCUENTA=1)*(COUNTIF(CONFIG_ASIGNATURAS!$B$7:$B$27,nASIG)&gt;0)*(nNOTA))/SUMPRODUCT((nNIA=AE80)*(nCUENTA=1)*(COUNTIF(CONFIG_ASIGNATURAS!$B$7:$B$27,nASIG)&gt;0)*1),"")))</f>
        <v/>
      </c>
    </row>
    <row r="81" spans="2:35" x14ac:dyDescent="0.2">
      <c r="B81" t="str">
        <f>IF(A81="","",IF(A81="[FÓRMULA MANUAL]","",IFERROR(AVERAGEIFS(nNOTA,nNIA,A81,nCUENTA,1,nASIG,"Lenguaje Musical"),"")))</f>
        <v/>
      </c>
      <c r="C81" t="str">
        <f>IF(A81="","",IF(A81="[FÓRMULA MANUAL]","",IFERROR(AVERAGEIFS(nNOTA,nNIA,A81,nCUENTA,1,nASIG,"Orquesta/Banda/Conjunto"),"")))</f>
        <v/>
      </c>
      <c r="D81" t="str">
        <f>IF(A81="","",IF(A81="[FÓRMULA MANUAL]","",IFERROR(AVERAGEIFS(nNOTA,nNIA,A81,nCUENTA,1,nASIG,"Conjunto"),"")))</f>
        <v/>
      </c>
      <c r="E81" t="str">
        <f>IF(A81="","",IF(A81="[FÓRMULA MANUAL]","",IFERROR(SUMPRODUCT((nNIA=A81)*(nCUENTA=1)*(COUNTIF(CONFIG_ASIGNATURAS!$B$7:$B$27,nASIG)&gt;0)*(nNOTA))/SUMPRODUCT((nNIA=A81)*(nCUENTA=1)*(COUNTIF(CONFIG_ASIGNATURAS!$B$7:$B$27,nASIG)&gt;0)*1),"")))</f>
        <v/>
      </c>
      <c r="H81" t="str">
        <f>IF(G81="","",IF(G81="[FÓRMULA MANUAL]","",IFERROR(AVERAGEIFS(nNOTA,nNIA,G81,nCUENTA,1,nASIG,"Lenguaje Musical"),"")))</f>
        <v/>
      </c>
      <c r="I81" t="str">
        <f>IF(G81="","",IF(G81="[FÓRMULA MANUAL]","",IFERROR(AVERAGEIFS(nNOTA,nNIA,G81,nCUENTA,1,nASIG,"Orquesta/Banda/Conjunto"),"")))</f>
        <v/>
      </c>
      <c r="J81" t="str">
        <f>IF(G81="","",IF(G81="[FÓRMULA MANUAL]","",IFERROR(AVERAGEIFS(nNOTA,nNIA,G81,nCUENTA,1,nASIG,"Conjunto"),"")))</f>
        <v/>
      </c>
      <c r="K81" t="str">
        <f>IF(G81="","",IF(G81="[FÓRMULA MANUAL]","",IFERROR(SUMPRODUCT((nNIA=G81)*(nCUENTA=1)*(COUNTIF(CONFIG_ASIGNATURAS!$B$7:$B$27,nASIG)&gt;0)*(nNOTA))/SUMPRODUCT((nNIA=G81)*(nCUENTA=1)*(COUNTIF(CONFIG_ASIGNATURAS!$B$7:$B$27,nASIG)&gt;0)*1),"")))</f>
        <v/>
      </c>
      <c r="N81" t="str">
        <f>IF(M81="","",IF(M81="[FÓRMULA MANUAL]","",IFERROR(AVERAGEIFS(nNOTA,nNIA,M81,nCUENTA,1,nASIG,"Armonía"),"")))</f>
        <v/>
      </c>
      <c r="O81" t="str">
        <f>IF(M81="","",IF(M81="[FÓRMULA MANUAL]","",IFERROR(AVERAGEIFS(nNOTA,nNIA,M81,nCUENTA,1,nASIG,"Orquesta/Banda/Conjunto"),"")))</f>
        <v/>
      </c>
      <c r="P81" t="str">
        <f>IF(M81="","",IF(M81="[FÓRMULA MANUAL]","",IFERROR(AVERAGEIFS(nNOTA,nNIA,M81,nCUENTA,1,nASIG,"Música de Cámara"),"")))</f>
        <v/>
      </c>
      <c r="Q81" t="str">
        <f>IF(M81="","",IF(M81="[FÓRMULA MANUAL]","",IFERROR(SUMPRODUCT((nNIA=M81)*(nCUENTA=1)*(COUNTIF(CONFIG_ASIGNATURAS!$B$7:$B$27,nASIG)&gt;0)*(nNOTA))/SUMPRODUCT((nNIA=M81)*(nCUENTA=1)*(COUNTIF(CONFIG_ASIGNATURAS!$B$7:$B$27,nASIG)&gt;0)*1),"")))</f>
        <v/>
      </c>
      <c r="T81" t="str">
        <f>IF(S81="","",IF(S81="[FÓRMULA MANUAL]","",IFERROR(AVERAGEIFS(nNOTA,nNIA,S81,nCUENTA,1,nASIG,"Armonía"),"")))</f>
        <v/>
      </c>
      <c r="U81" t="str">
        <f>IF(S81="","",IF(S81="[FÓRMULA MANUAL]","",IFERROR(AVERAGEIFS(nNOTA,nNIA,S81,nCUENTA,1,nASIG,"Orquesta/Banda/Conjunto"),"")))</f>
        <v/>
      </c>
      <c r="V81" t="str">
        <f>IF(S81="","",IF(S81="[FÓRMULA MANUAL]","",IFERROR(AVERAGEIFS(nNOTA,nNIA,S81,nCUENTA,1,nASIG,"Música de Cámara"),"")))</f>
        <v/>
      </c>
      <c r="W81" t="str">
        <f>IF(S81="","",IF(S81="[FÓRMULA MANUAL]","",IFERROR(SUMPRODUCT((nNIA=S81)*(nCUENTA=1)*(COUNTIF(CONFIG_ASIGNATURAS!$B$7:$B$27,nASIG)&gt;0)*(nNOTA))/SUMPRODUCT((nNIA=S81)*(nCUENTA=1)*(COUNTIF(CONFIG_ASIGNATURAS!$B$7:$B$27,nASIG)&gt;0)*1),"")))</f>
        <v/>
      </c>
      <c r="Z81" t="str">
        <f>IF(Y81="","",IF(Y81="[FÓRMULA MANUAL]","",IFERROR(AVERAGEIFS(nNOTA,nNIA,Y81,nCUENTA,1,nASIG,"Análisis"),"")))</f>
        <v/>
      </c>
      <c r="AA81" t="str">
        <f>IF(Y81="","",IF(Y81="[FÓRMULA MANUAL]","",IFERROR(AVERAGEIFS(nNOTA,nNIA,Y81,nCUENTA,1,nASIG,"Orquesta/Banda/Conjunto"),"")))</f>
        <v/>
      </c>
      <c r="AB81" t="str">
        <f>IF(Y81="","",IF(Y81="[FÓRMULA MANUAL]","",IFERROR(AVERAGEIFS(nNOTA,nNIA,Y81,nCUENTA,1,nASIG,"Música de Cámara"),"")))</f>
        <v/>
      </c>
      <c r="AC81" t="str">
        <f>IF(Y81="","",IF(Y81="[FÓRMULA MANUAL]","",IFERROR(SUMPRODUCT((nNIA=Y81)*(nCUENTA=1)*(COUNTIF(CONFIG_ASIGNATURAS!$B$7:$B$27,nASIG)&gt;0)*(nNOTA))/SUMPRODUCT((nNIA=Y81)*(nCUENTA=1)*(COUNTIF(CONFIG_ASIGNATURAS!$B$7:$B$27,nASIG)&gt;0)*1),"")))</f>
        <v/>
      </c>
      <c r="AF81" t="str">
        <f>IF(AE81="","",IF(AE81="[FÓRMULA MANUAL]","",IFERROR(AVERAGEIFS(nNOTA,nNIA,AE81,nCUENTA,1,nASIG,"Análisis"),"")))</f>
        <v/>
      </c>
      <c r="AG81" t="str">
        <f>IF(AE81="","",IF(AE81="[FÓRMULA MANUAL]","",IFERROR(AVERAGEIFS(nNOTA,nNIA,AE81,nCUENTA,1,nASIG,"Orquesta/Banda/Conjunto"),"")))</f>
        <v/>
      </c>
      <c r="AH81" t="str">
        <f>IF(AE81="","",IF(AE81="[FÓRMULA MANUAL]","",IFERROR(AVERAGEIFS(nNOTA,nNIA,AE81,nCUENTA,1,nASIG,"Música de Cámara"),"")))</f>
        <v/>
      </c>
      <c r="AI81" t="str">
        <f>IF(AE81="","",IF(AE81="[FÓRMULA MANUAL]","",IFERROR(SUMPRODUCT((nNIA=AE81)*(nCUENTA=1)*(COUNTIF(CONFIG_ASIGNATURAS!$B$7:$B$27,nASIG)&gt;0)*(nNOTA))/SUMPRODUCT((nNIA=AE81)*(nCUENTA=1)*(COUNTIF(CONFIG_ASIGNATURAS!$B$7:$B$27,nASIG)&gt;0)*1),"")))</f>
        <v/>
      </c>
    </row>
    <row r="82" spans="2:35" x14ac:dyDescent="0.2">
      <c r="B82" t="str">
        <f>IF(A82="","",IF(A82="[FÓRMULA MANUAL]","",IFERROR(AVERAGEIFS(nNOTA,nNIA,A82,nCUENTA,1,nASIG,"Lenguaje Musical"),"")))</f>
        <v/>
      </c>
      <c r="C82" t="str">
        <f>IF(A82="","",IF(A82="[FÓRMULA MANUAL]","",IFERROR(AVERAGEIFS(nNOTA,nNIA,A82,nCUENTA,1,nASIG,"Orquesta/Banda/Conjunto"),"")))</f>
        <v/>
      </c>
      <c r="D82" t="str">
        <f>IF(A82="","",IF(A82="[FÓRMULA MANUAL]","",IFERROR(AVERAGEIFS(nNOTA,nNIA,A82,nCUENTA,1,nASIG,"Conjunto"),"")))</f>
        <v/>
      </c>
      <c r="E82" t="str">
        <f>IF(A82="","",IF(A82="[FÓRMULA MANUAL]","",IFERROR(SUMPRODUCT((nNIA=A82)*(nCUENTA=1)*(COUNTIF(CONFIG_ASIGNATURAS!$B$7:$B$27,nASIG)&gt;0)*(nNOTA))/SUMPRODUCT((nNIA=A82)*(nCUENTA=1)*(COUNTIF(CONFIG_ASIGNATURAS!$B$7:$B$27,nASIG)&gt;0)*1),"")))</f>
        <v/>
      </c>
      <c r="H82" t="str">
        <f>IF(G82="","",IF(G82="[FÓRMULA MANUAL]","",IFERROR(AVERAGEIFS(nNOTA,nNIA,G82,nCUENTA,1,nASIG,"Lenguaje Musical"),"")))</f>
        <v/>
      </c>
      <c r="I82" t="str">
        <f>IF(G82="","",IF(G82="[FÓRMULA MANUAL]","",IFERROR(AVERAGEIFS(nNOTA,nNIA,G82,nCUENTA,1,nASIG,"Orquesta/Banda/Conjunto"),"")))</f>
        <v/>
      </c>
      <c r="J82" t="str">
        <f>IF(G82="","",IF(G82="[FÓRMULA MANUAL]","",IFERROR(AVERAGEIFS(nNOTA,nNIA,G82,nCUENTA,1,nASIG,"Conjunto"),"")))</f>
        <v/>
      </c>
      <c r="K82" t="str">
        <f>IF(G82="","",IF(G82="[FÓRMULA MANUAL]","",IFERROR(SUMPRODUCT((nNIA=G82)*(nCUENTA=1)*(COUNTIF(CONFIG_ASIGNATURAS!$B$7:$B$27,nASIG)&gt;0)*(nNOTA))/SUMPRODUCT((nNIA=G82)*(nCUENTA=1)*(COUNTIF(CONFIG_ASIGNATURAS!$B$7:$B$27,nASIG)&gt;0)*1),"")))</f>
        <v/>
      </c>
      <c r="N82" t="str">
        <f>IF(M82="","",IF(M82="[FÓRMULA MANUAL]","",IFERROR(AVERAGEIFS(nNOTA,nNIA,M82,nCUENTA,1,nASIG,"Armonía"),"")))</f>
        <v/>
      </c>
      <c r="O82" t="str">
        <f>IF(M82="","",IF(M82="[FÓRMULA MANUAL]","",IFERROR(AVERAGEIFS(nNOTA,nNIA,M82,nCUENTA,1,nASIG,"Orquesta/Banda/Conjunto"),"")))</f>
        <v/>
      </c>
      <c r="P82" t="str">
        <f>IF(M82="","",IF(M82="[FÓRMULA MANUAL]","",IFERROR(AVERAGEIFS(nNOTA,nNIA,M82,nCUENTA,1,nASIG,"Música de Cámara"),"")))</f>
        <v/>
      </c>
      <c r="Q82" t="str">
        <f>IF(M82="","",IF(M82="[FÓRMULA MANUAL]","",IFERROR(SUMPRODUCT((nNIA=M82)*(nCUENTA=1)*(COUNTIF(CONFIG_ASIGNATURAS!$B$7:$B$27,nASIG)&gt;0)*(nNOTA))/SUMPRODUCT((nNIA=M82)*(nCUENTA=1)*(COUNTIF(CONFIG_ASIGNATURAS!$B$7:$B$27,nASIG)&gt;0)*1),"")))</f>
        <v/>
      </c>
      <c r="T82" t="str">
        <f>IF(S82="","",IF(S82="[FÓRMULA MANUAL]","",IFERROR(AVERAGEIFS(nNOTA,nNIA,S82,nCUENTA,1,nASIG,"Armonía"),"")))</f>
        <v/>
      </c>
      <c r="U82" t="str">
        <f>IF(S82="","",IF(S82="[FÓRMULA MANUAL]","",IFERROR(AVERAGEIFS(nNOTA,nNIA,S82,nCUENTA,1,nASIG,"Orquesta/Banda/Conjunto"),"")))</f>
        <v/>
      </c>
      <c r="V82" t="str">
        <f>IF(S82="","",IF(S82="[FÓRMULA MANUAL]","",IFERROR(AVERAGEIFS(nNOTA,nNIA,S82,nCUENTA,1,nASIG,"Música de Cámara"),"")))</f>
        <v/>
      </c>
      <c r="W82" t="str">
        <f>IF(S82="","",IF(S82="[FÓRMULA MANUAL]","",IFERROR(SUMPRODUCT((nNIA=S82)*(nCUENTA=1)*(COUNTIF(CONFIG_ASIGNATURAS!$B$7:$B$27,nASIG)&gt;0)*(nNOTA))/SUMPRODUCT((nNIA=S82)*(nCUENTA=1)*(COUNTIF(CONFIG_ASIGNATURAS!$B$7:$B$27,nASIG)&gt;0)*1),"")))</f>
        <v/>
      </c>
      <c r="Z82" t="str">
        <f>IF(Y82="","",IF(Y82="[FÓRMULA MANUAL]","",IFERROR(AVERAGEIFS(nNOTA,nNIA,Y82,nCUENTA,1,nASIG,"Análisis"),"")))</f>
        <v/>
      </c>
      <c r="AA82" t="str">
        <f>IF(Y82="","",IF(Y82="[FÓRMULA MANUAL]","",IFERROR(AVERAGEIFS(nNOTA,nNIA,Y82,nCUENTA,1,nASIG,"Orquesta/Banda/Conjunto"),"")))</f>
        <v/>
      </c>
      <c r="AB82" t="str">
        <f>IF(Y82="","",IF(Y82="[FÓRMULA MANUAL]","",IFERROR(AVERAGEIFS(nNOTA,nNIA,Y82,nCUENTA,1,nASIG,"Música de Cámara"),"")))</f>
        <v/>
      </c>
      <c r="AC82" t="str">
        <f>IF(Y82="","",IF(Y82="[FÓRMULA MANUAL]","",IFERROR(SUMPRODUCT((nNIA=Y82)*(nCUENTA=1)*(COUNTIF(CONFIG_ASIGNATURAS!$B$7:$B$27,nASIG)&gt;0)*(nNOTA))/SUMPRODUCT((nNIA=Y82)*(nCUENTA=1)*(COUNTIF(CONFIG_ASIGNATURAS!$B$7:$B$27,nASIG)&gt;0)*1),"")))</f>
        <v/>
      </c>
      <c r="AF82" t="str">
        <f>IF(AE82="","",IF(AE82="[FÓRMULA MANUAL]","",IFERROR(AVERAGEIFS(nNOTA,nNIA,AE82,nCUENTA,1,nASIG,"Análisis"),"")))</f>
        <v/>
      </c>
      <c r="AG82" t="str">
        <f>IF(AE82="","",IF(AE82="[FÓRMULA MANUAL]","",IFERROR(AVERAGEIFS(nNOTA,nNIA,AE82,nCUENTA,1,nASIG,"Orquesta/Banda/Conjunto"),"")))</f>
        <v/>
      </c>
      <c r="AH82" t="str">
        <f>IF(AE82="","",IF(AE82="[FÓRMULA MANUAL]","",IFERROR(AVERAGEIFS(nNOTA,nNIA,AE82,nCUENTA,1,nASIG,"Música de Cámara"),"")))</f>
        <v/>
      </c>
      <c r="AI82" t="str">
        <f>IF(AE82="","",IF(AE82="[FÓRMULA MANUAL]","",IFERROR(SUMPRODUCT((nNIA=AE82)*(nCUENTA=1)*(COUNTIF(CONFIG_ASIGNATURAS!$B$7:$B$27,nASIG)&gt;0)*(nNOTA))/SUMPRODUCT((nNIA=AE82)*(nCUENTA=1)*(COUNTIF(CONFIG_ASIGNATURAS!$B$7:$B$27,nASIG)&gt;0)*1),"")))</f>
        <v/>
      </c>
    </row>
    <row r="83" spans="2:35" x14ac:dyDescent="0.2">
      <c r="B83" t="str">
        <f>IF(A83="","",IF(A83="[FÓRMULA MANUAL]","",IFERROR(AVERAGEIFS(nNOTA,nNIA,A83,nCUENTA,1,nASIG,"Lenguaje Musical"),"")))</f>
        <v/>
      </c>
      <c r="C83" t="str">
        <f>IF(A83="","",IF(A83="[FÓRMULA MANUAL]","",IFERROR(AVERAGEIFS(nNOTA,nNIA,A83,nCUENTA,1,nASIG,"Orquesta/Banda/Conjunto"),"")))</f>
        <v/>
      </c>
      <c r="D83" t="str">
        <f>IF(A83="","",IF(A83="[FÓRMULA MANUAL]","",IFERROR(AVERAGEIFS(nNOTA,nNIA,A83,nCUENTA,1,nASIG,"Conjunto"),"")))</f>
        <v/>
      </c>
      <c r="E83" t="str">
        <f>IF(A83="","",IF(A83="[FÓRMULA MANUAL]","",IFERROR(SUMPRODUCT((nNIA=A83)*(nCUENTA=1)*(COUNTIF(CONFIG_ASIGNATURAS!$B$7:$B$27,nASIG)&gt;0)*(nNOTA))/SUMPRODUCT((nNIA=A83)*(nCUENTA=1)*(COUNTIF(CONFIG_ASIGNATURAS!$B$7:$B$27,nASIG)&gt;0)*1),"")))</f>
        <v/>
      </c>
      <c r="H83" t="str">
        <f>IF(G83="","",IF(G83="[FÓRMULA MANUAL]","",IFERROR(AVERAGEIFS(nNOTA,nNIA,G83,nCUENTA,1,nASIG,"Lenguaje Musical"),"")))</f>
        <v/>
      </c>
      <c r="I83" t="str">
        <f>IF(G83="","",IF(G83="[FÓRMULA MANUAL]","",IFERROR(AVERAGEIFS(nNOTA,nNIA,G83,nCUENTA,1,nASIG,"Orquesta/Banda/Conjunto"),"")))</f>
        <v/>
      </c>
      <c r="J83" t="str">
        <f>IF(G83="","",IF(G83="[FÓRMULA MANUAL]","",IFERROR(AVERAGEIFS(nNOTA,nNIA,G83,nCUENTA,1,nASIG,"Conjunto"),"")))</f>
        <v/>
      </c>
      <c r="K83" t="str">
        <f>IF(G83="","",IF(G83="[FÓRMULA MANUAL]","",IFERROR(SUMPRODUCT((nNIA=G83)*(nCUENTA=1)*(COUNTIF(CONFIG_ASIGNATURAS!$B$7:$B$27,nASIG)&gt;0)*(nNOTA))/SUMPRODUCT((nNIA=G83)*(nCUENTA=1)*(COUNTIF(CONFIG_ASIGNATURAS!$B$7:$B$27,nASIG)&gt;0)*1),"")))</f>
        <v/>
      </c>
      <c r="N83" t="str">
        <f>IF(M83="","",IF(M83="[FÓRMULA MANUAL]","",IFERROR(AVERAGEIFS(nNOTA,nNIA,M83,nCUENTA,1,nASIG,"Armonía"),"")))</f>
        <v/>
      </c>
      <c r="O83" t="str">
        <f>IF(M83="","",IF(M83="[FÓRMULA MANUAL]","",IFERROR(AVERAGEIFS(nNOTA,nNIA,M83,nCUENTA,1,nASIG,"Orquesta/Banda/Conjunto"),"")))</f>
        <v/>
      </c>
      <c r="P83" t="str">
        <f>IF(M83="","",IF(M83="[FÓRMULA MANUAL]","",IFERROR(AVERAGEIFS(nNOTA,nNIA,M83,nCUENTA,1,nASIG,"Música de Cámara"),"")))</f>
        <v/>
      </c>
      <c r="Q83" t="str">
        <f>IF(M83="","",IF(M83="[FÓRMULA MANUAL]","",IFERROR(SUMPRODUCT((nNIA=M83)*(nCUENTA=1)*(COUNTIF(CONFIG_ASIGNATURAS!$B$7:$B$27,nASIG)&gt;0)*(nNOTA))/SUMPRODUCT((nNIA=M83)*(nCUENTA=1)*(COUNTIF(CONFIG_ASIGNATURAS!$B$7:$B$27,nASIG)&gt;0)*1),"")))</f>
        <v/>
      </c>
      <c r="T83" t="str">
        <f>IF(S83="","",IF(S83="[FÓRMULA MANUAL]","",IFERROR(AVERAGEIFS(nNOTA,nNIA,S83,nCUENTA,1,nASIG,"Armonía"),"")))</f>
        <v/>
      </c>
      <c r="U83" t="str">
        <f>IF(S83="","",IF(S83="[FÓRMULA MANUAL]","",IFERROR(AVERAGEIFS(nNOTA,nNIA,S83,nCUENTA,1,nASIG,"Orquesta/Banda/Conjunto"),"")))</f>
        <v/>
      </c>
      <c r="V83" t="str">
        <f>IF(S83="","",IF(S83="[FÓRMULA MANUAL]","",IFERROR(AVERAGEIFS(nNOTA,nNIA,S83,nCUENTA,1,nASIG,"Música de Cámara"),"")))</f>
        <v/>
      </c>
      <c r="W83" t="str">
        <f>IF(S83="","",IF(S83="[FÓRMULA MANUAL]","",IFERROR(SUMPRODUCT((nNIA=S83)*(nCUENTA=1)*(COUNTIF(CONFIG_ASIGNATURAS!$B$7:$B$27,nASIG)&gt;0)*(nNOTA))/SUMPRODUCT((nNIA=S83)*(nCUENTA=1)*(COUNTIF(CONFIG_ASIGNATURAS!$B$7:$B$27,nASIG)&gt;0)*1),"")))</f>
        <v/>
      </c>
      <c r="Z83" t="str">
        <f>IF(Y83="","",IF(Y83="[FÓRMULA MANUAL]","",IFERROR(AVERAGEIFS(nNOTA,nNIA,Y83,nCUENTA,1,nASIG,"Análisis"),"")))</f>
        <v/>
      </c>
      <c r="AA83" t="str">
        <f>IF(Y83="","",IF(Y83="[FÓRMULA MANUAL]","",IFERROR(AVERAGEIFS(nNOTA,nNIA,Y83,nCUENTA,1,nASIG,"Orquesta/Banda/Conjunto"),"")))</f>
        <v/>
      </c>
      <c r="AB83" t="str">
        <f>IF(Y83="","",IF(Y83="[FÓRMULA MANUAL]","",IFERROR(AVERAGEIFS(nNOTA,nNIA,Y83,nCUENTA,1,nASIG,"Música de Cámara"),"")))</f>
        <v/>
      </c>
      <c r="AC83" t="str">
        <f>IF(Y83="","",IF(Y83="[FÓRMULA MANUAL]","",IFERROR(SUMPRODUCT((nNIA=Y83)*(nCUENTA=1)*(COUNTIF(CONFIG_ASIGNATURAS!$B$7:$B$27,nASIG)&gt;0)*(nNOTA))/SUMPRODUCT((nNIA=Y83)*(nCUENTA=1)*(COUNTIF(CONFIG_ASIGNATURAS!$B$7:$B$27,nASIG)&gt;0)*1),"")))</f>
        <v/>
      </c>
      <c r="AF83" t="str">
        <f>IF(AE83="","",IF(AE83="[FÓRMULA MANUAL]","",IFERROR(AVERAGEIFS(nNOTA,nNIA,AE83,nCUENTA,1,nASIG,"Análisis"),"")))</f>
        <v/>
      </c>
      <c r="AG83" t="str">
        <f>IF(AE83="","",IF(AE83="[FÓRMULA MANUAL]","",IFERROR(AVERAGEIFS(nNOTA,nNIA,AE83,nCUENTA,1,nASIG,"Orquesta/Banda/Conjunto"),"")))</f>
        <v/>
      </c>
      <c r="AH83" t="str">
        <f>IF(AE83="","",IF(AE83="[FÓRMULA MANUAL]","",IFERROR(AVERAGEIFS(nNOTA,nNIA,AE83,nCUENTA,1,nASIG,"Música de Cámara"),"")))</f>
        <v/>
      </c>
      <c r="AI83" t="str">
        <f>IF(AE83="","",IF(AE83="[FÓRMULA MANUAL]","",IFERROR(SUMPRODUCT((nNIA=AE83)*(nCUENTA=1)*(COUNTIF(CONFIG_ASIGNATURAS!$B$7:$B$27,nASIG)&gt;0)*(nNOTA))/SUMPRODUCT((nNIA=AE83)*(nCUENTA=1)*(COUNTIF(CONFIG_ASIGNATURAS!$B$7:$B$27,nASIG)&gt;0)*1),"")))</f>
        <v/>
      </c>
    </row>
    <row r="84" spans="2:35" x14ac:dyDescent="0.2">
      <c r="B84" t="str">
        <f>IF(A84="","",IF(A84="[FÓRMULA MANUAL]","",IFERROR(AVERAGEIFS(nNOTA,nNIA,A84,nCUENTA,1,nASIG,"Lenguaje Musical"),"")))</f>
        <v/>
      </c>
      <c r="C84" t="str">
        <f>IF(A84="","",IF(A84="[FÓRMULA MANUAL]","",IFERROR(AVERAGEIFS(nNOTA,nNIA,A84,nCUENTA,1,nASIG,"Orquesta/Banda/Conjunto"),"")))</f>
        <v/>
      </c>
      <c r="D84" t="str">
        <f>IF(A84="","",IF(A84="[FÓRMULA MANUAL]","",IFERROR(AVERAGEIFS(nNOTA,nNIA,A84,nCUENTA,1,nASIG,"Conjunto"),"")))</f>
        <v/>
      </c>
      <c r="E84" t="str">
        <f>IF(A84="","",IF(A84="[FÓRMULA MANUAL]","",IFERROR(SUMPRODUCT((nNIA=A84)*(nCUENTA=1)*(COUNTIF(CONFIG_ASIGNATURAS!$B$7:$B$27,nASIG)&gt;0)*(nNOTA))/SUMPRODUCT((nNIA=A84)*(nCUENTA=1)*(COUNTIF(CONFIG_ASIGNATURAS!$B$7:$B$27,nASIG)&gt;0)*1),"")))</f>
        <v/>
      </c>
      <c r="H84" t="str">
        <f>IF(G84="","",IF(G84="[FÓRMULA MANUAL]","",IFERROR(AVERAGEIFS(nNOTA,nNIA,G84,nCUENTA,1,nASIG,"Lenguaje Musical"),"")))</f>
        <v/>
      </c>
      <c r="I84" t="str">
        <f>IF(G84="","",IF(G84="[FÓRMULA MANUAL]","",IFERROR(AVERAGEIFS(nNOTA,nNIA,G84,nCUENTA,1,nASIG,"Orquesta/Banda/Conjunto"),"")))</f>
        <v/>
      </c>
      <c r="J84" t="str">
        <f>IF(G84="","",IF(G84="[FÓRMULA MANUAL]","",IFERROR(AVERAGEIFS(nNOTA,nNIA,G84,nCUENTA,1,nASIG,"Conjunto"),"")))</f>
        <v/>
      </c>
      <c r="K84" t="str">
        <f>IF(G84="","",IF(G84="[FÓRMULA MANUAL]","",IFERROR(SUMPRODUCT((nNIA=G84)*(nCUENTA=1)*(COUNTIF(CONFIG_ASIGNATURAS!$B$7:$B$27,nASIG)&gt;0)*(nNOTA))/SUMPRODUCT((nNIA=G84)*(nCUENTA=1)*(COUNTIF(CONFIG_ASIGNATURAS!$B$7:$B$27,nASIG)&gt;0)*1),"")))</f>
        <v/>
      </c>
      <c r="N84" t="str">
        <f>IF(M84="","",IF(M84="[FÓRMULA MANUAL]","",IFERROR(AVERAGEIFS(nNOTA,nNIA,M84,nCUENTA,1,nASIG,"Armonía"),"")))</f>
        <v/>
      </c>
      <c r="O84" t="str">
        <f>IF(M84="","",IF(M84="[FÓRMULA MANUAL]","",IFERROR(AVERAGEIFS(nNOTA,nNIA,M84,nCUENTA,1,nASIG,"Orquesta/Banda/Conjunto"),"")))</f>
        <v/>
      </c>
      <c r="P84" t="str">
        <f>IF(M84="","",IF(M84="[FÓRMULA MANUAL]","",IFERROR(AVERAGEIFS(nNOTA,nNIA,M84,nCUENTA,1,nASIG,"Música de Cámara"),"")))</f>
        <v/>
      </c>
      <c r="Q84" t="str">
        <f>IF(M84="","",IF(M84="[FÓRMULA MANUAL]","",IFERROR(SUMPRODUCT((nNIA=M84)*(nCUENTA=1)*(COUNTIF(CONFIG_ASIGNATURAS!$B$7:$B$27,nASIG)&gt;0)*(nNOTA))/SUMPRODUCT((nNIA=M84)*(nCUENTA=1)*(COUNTIF(CONFIG_ASIGNATURAS!$B$7:$B$27,nASIG)&gt;0)*1),"")))</f>
        <v/>
      </c>
      <c r="T84" t="str">
        <f>IF(S84="","",IF(S84="[FÓRMULA MANUAL]","",IFERROR(AVERAGEIFS(nNOTA,nNIA,S84,nCUENTA,1,nASIG,"Armonía"),"")))</f>
        <v/>
      </c>
      <c r="U84" t="str">
        <f>IF(S84="","",IF(S84="[FÓRMULA MANUAL]","",IFERROR(AVERAGEIFS(nNOTA,nNIA,S84,nCUENTA,1,nASIG,"Orquesta/Banda/Conjunto"),"")))</f>
        <v/>
      </c>
      <c r="V84" t="str">
        <f>IF(S84="","",IF(S84="[FÓRMULA MANUAL]","",IFERROR(AVERAGEIFS(nNOTA,nNIA,S84,nCUENTA,1,nASIG,"Música de Cámara"),"")))</f>
        <v/>
      </c>
      <c r="W84" t="str">
        <f>IF(S84="","",IF(S84="[FÓRMULA MANUAL]","",IFERROR(SUMPRODUCT((nNIA=S84)*(nCUENTA=1)*(COUNTIF(CONFIG_ASIGNATURAS!$B$7:$B$27,nASIG)&gt;0)*(nNOTA))/SUMPRODUCT((nNIA=S84)*(nCUENTA=1)*(COUNTIF(CONFIG_ASIGNATURAS!$B$7:$B$27,nASIG)&gt;0)*1),"")))</f>
        <v/>
      </c>
      <c r="Z84" t="str">
        <f>IF(Y84="","",IF(Y84="[FÓRMULA MANUAL]","",IFERROR(AVERAGEIFS(nNOTA,nNIA,Y84,nCUENTA,1,nASIG,"Análisis"),"")))</f>
        <v/>
      </c>
      <c r="AA84" t="str">
        <f>IF(Y84="","",IF(Y84="[FÓRMULA MANUAL]","",IFERROR(AVERAGEIFS(nNOTA,nNIA,Y84,nCUENTA,1,nASIG,"Orquesta/Banda/Conjunto"),"")))</f>
        <v/>
      </c>
      <c r="AB84" t="str">
        <f>IF(Y84="","",IF(Y84="[FÓRMULA MANUAL]","",IFERROR(AVERAGEIFS(nNOTA,nNIA,Y84,nCUENTA,1,nASIG,"Música de Cámara"),"")))</f>
        <v/>
      </c>
      <c r="AC84" t="str">
        <f>IF(Y84="","",IF(Y84="[FÓRMULA MANUAL]","",IFERROR(SUMPRODUCT((nNIA=Y84)*(nCUENTA=1)*(COUNTIF(CONFIG_ASIGNATURAS!$B$7:$B$27,nASIG)&gt;0)*(nNOTA))/SUMPRODUCT((nNIA=Y84)*(nCUENTA=1)*(COUNTIF(CONFIG_ASIGNATURAS!$B$7:$B$27,nASIG)&gt;0)*1),"")))</f>
        <v/>
      </c>
      <c r="AF84" t="str">
        <f>IF(AE84="","",IF(AE84="[FÓRMULA MANUAL]","",IFERROR(AVERAGEIFS(nNOTA,nNIA,AE84,nCUENTA,1,nASIG,"Análisis"),"")))</f>
        <v/>
      </c>
      <c r="AG84" t="str">
        <f>IF(AE84="","",IF(AE84="[FÓRMULA MANUAL]","",IFERROR(AVERAGEIFS(nNOTA,nNIA,AE84,nCUENTA,1,nASIG,"Orquesta/Banda/Conjunto"),"")))</f>
        <v/>
      </c>
      <c r="AH84" t="str">
        <f>IF(AE84="","",IF(AE84="[FÓRMULA MANUAL]","",IFERROR(AVERAGEIFS(nNOTA,nNIA,AE84,nCUENTA,1,nASIG,"Música de Cámara"),"")))</f>
        <v/>
      </c>
      <c r="AI84" t="str">
        <f>IF(AE84="","",IF(AE84="[FÓRMULA MANUAL]","",IFERROR(SUMPRODUCT((nNIA=AE84)*(nCUENTA=1)*(COUNTIF(CONFIG_ASIGNATURAS!$B$7:$B$27,nASIG)&gt;0)*(nNOTA))/SUMPRODUCT((nNIA=AE84)*(nCUENTA=1)*(COUNTIF(CONFIG_ASIGNATURAS!$B$7:$B$27,nASIG)&gt;0)*1),"")))</f>
        <v/>
      </c>
    </row>
    <row r="85" spans="2:35" x14ac:dyDescent="0.2">
      <c r="B85" t="str">
        <f>IF(A85="","",IF(A85="[FÓRMULA MANUAL]","",IFERROR(AVERAGEIFS(nNOTA,nNIA,A85,nCUENTA,1,nASIG,"Lenguaje Musical"),"")))</f>
        <v/>
      </c>
      <c r="C85" t="str">
        <f>IF(A85="","",IF(A85="[FÓRMULA MANUAL]","",IFERROR(AVERAGEIFS(nNOTA,nNIA,A85,nCUENTA,1,nASIG,"Orquesta/Banda/Conjunto"),"")))</f>
        <v/>
      </c>
      <c r="D85" t="str">
        <f>IF(A85="","",IF(A85="[FÓRMULA MANUAL]","",IFERROR(AVERAGEIFS(nNOTA,nNIA,A85,nCUENTA,1,nASIG,"Conjunto"),"")))</f>
        <v/>
      </c>
      <c r="E85" t="str">
        <f>IF(A85="","",IF(A85="[FÓRMULA MANUAL]","",IFERROR(SUMPRODUCT((nNIA=A85)*(nCUENTA=1)*(COUNTIF(CONFIG_ASIGNATURAS!$B$7:$B$27,nASIG)&gt;0)*(nNOTA))/SUMPRODUCT((nNIA=A85)*(nCUENTA=1)*(COUNTIF(CONFIG_ASIGNATURAS!$B$7:$B$27,nASIG)&gt;0)*1),"")))</f>
        <v/>
      </c>
      <c r="H85" t="str">
        <f>IF(G85="","",IF(G85="[FÓRMULA MANUAL]","",IFERROR(AVERAGEIFS(nNOTA,nNIA,G85,nCUENTA,1,nASIG,"Lenguaje Musical"),"")))</f>
        <v/>
      </c>
      <c r="I85" t="str">
        <f>IF(G85="","",IF(G85="[FÓRMULA MANUAL]","",IFERROR(AVERAGEIFS(nNOTA,nNIA,G85,nCUENTA,1,nASIG,"Orquesta/Banda/Conjunto"),"")))</f>
        <v/>
      </c>
      <c r="J85" t="str">
        <f>IF(G85="","",IF(G85="[FÓRMULA MANUAL]","",IFERROR(AVERAGEIFS(nNOTA,nNIA,G85,nCUENTA,1,nASIG,"Conjunto"),"")))</f>
        <v/>
      </c>
      <c r="K85" t="str">
        <f>IF(G85="","",IF(G85="[FÓRMULA MANUAL]","",IFERROR(SUMPRODUCT((nNIA=G85)*(nCUENTA=1)*(COUNTIF(CONFIG_ASIGNATURAS!$B$7:$B$27,nASIG)&gt;0)*(nNOTA))/SUMPRODUCT((nNIA=G85)*(nCUENTA=1)*(COUNTIF(CONFIG_ASIGNATURAS!$B$7:$B$27,nASIG)&gt;0)*1),"")))</f>
        <v/>
      </c>
      <c r="N85" t="str">
        <f>IF(M85="","",IF(M85="[FÓRMULA MANUAL]","",IFERROR(AVERAGEIFS(nNOTA,nNIA,M85,nCUENTA,1,nASIG,"Armonía"),"")))</f>
        <v/>
      </c>
      <c r="O85" t="str">
        <f>IF(M85="","",IF(M85="[FÓRMULA MANUAL]","",IFERROR(AVERAGEIFS(nNOTA,nNIA,M85,nCUENTA,1,nASIG,"Orquesta/Banda/Conjunto"),"")))</f>
        <v/>
      </c>
      <c r="P85" t="str">
        <f>IF(M85="","",IF(M85="[FÓRMULA MANUAL]","",IFERROR(AVERAGEIFS(nNOTA,nNIA,M85,nCUENTA,1,nASIG,"Música de Cámara"),"")))</f>
        <v/>
      </c>
      <c r="Q85" t="str">
        <f>IF(M85="","",IF(M85="[FÓRMULA MANUAL]","",IFERROR(SUMPRODUCT((nNIA=M85)*(nCUENTA=1)*(COUNTIF(CONFIG_ASIGNATURAS!$B$7:$B$27,nASIG)&gt;0)*(nNOTA))/SUMPRODUCT((nNIA=M85)*(nCUENTA=1)*(COUNTIF(CONFIG_ASIGNATURAS!$B$7:$B$27,nASIG)&gt;0)*1),"")))</f>
        <v/>
      </c>
      <c r="T85" t="str">
        <f>IF(S85="","",IF(S85="[FÓRMULA MANUAL]","",IFERROR(AVERAGEIFS(nNOTA,nNIA,S85,nCUENTA,1,nASIG,"Armonía"),"")))</f>
        <v/>
      </c>
      <c r="U85" t="str">
        <f>IF(S85="","",IF(S85="[FÓRMULA MANUAL]","",IFERROR(AVERAGEIFS(nNOTA,nNIA,S85,nCUENTA,1,nASIG,"Orquesta/Banda/Conjunto"),"")))</f>
        <v/>
      </c>
      <c r="V85" t="str">
        <f>IF(S85="","",IF(S85="[FÓRMULA MANUAL]","",IFERROR(AVERAGEIFS(nNOTA,nNIA,S85,nCUENTA,1,nASIG,"Música de Cámara"),"")))</f>
        <v/>
      </c>
      <c r="W85" t="str">
        <f>IF(S85="","",IF(S85="[FÓRMULA MANUAL]","",IFERROR(SUMPRODUCT((nNIA=S85)*(nCUENTA=1)*(COUNTIF(CONFIG_ASIGNATURAS!$B$7:$B$27,nASIG)&gt;0)*(nNOTA))/SUMPRODUCT((nNIA=S85)*(nCUENTA=1)*(COUNTIF(CONFIG_ASIGNATURAS!$B$7:$B$27,nASIG)&gt;0)*1),"")))</f>
        <v/>
      </c>
      <c r="Z85" t="str">
        <f>IF(Y85="","",IF(Y85="[FÓRMULA MANUAL]","",IFERROR(AVERAGEIFS(nNOTA,nNIA,Y85,nCUENTA,1,nASIG,"Análisis"),"")))</f>
        <v/>
      </c>
      <c r="AA85" t="str">
        <f>IF(Y85="","",IF(Y85="[FÓRMULA MANUAL]","",IFERROR(AVERAGEIFS(nNOTA,nNIA,Y85,nCUENTA,1,nASIG,"Orquesta/Banda/Conjunto"),"")))</f>
        <v/>
      </c>
      <c r="AB85" t="str">
        <f>IF(Y85="","",IF(Y85="[FÓRMULA MANUAL]","",IFERROR(AVERAGEIFS(nNOTA,nNIA,Y85,nCUENTA,1,nASIG,"Música de Cámara"),"")))</f>
        <v/>
      </c>
      <c r="AC85" t="str">
        <f>IF(Y85="","",IF(Y85="[FÓRMULA MANUAL]","",IFERROR(SUMPRODUCT((nNIA=Y85)*(nCUENTA=1)*(COUNTIF(CONFIG_ASIGNATURAS!$B$7:$B$27,nASIG)&gt;0)*(nNOTA))/SUMPRODUCT((nNIA=Y85)*(nCUENTA=1)*(COUNTIF(CONFIG_ASIGNATURAS!$B$7:$B$27,nASIG)&gt;0)*1),"")))</f>
        <v/>
      </c>
      <c r="AF85" t="str">
        <f>IF(AE85="","",IF(AE85="[FÓRMULA MANUAL]","",IFERROR(AVERAGEIFS(nNOTA,nNIA,AE85,nCUENTA,1,nASIG,"Análisis"),"")))</f>
        <v/>
      </c>
      <c r="AG85" t="str">
        <f>IF(AE85="","",IF(AE85="[FÓRMULA MANUAL]","",IFERROR(AVERAGEIFS(nNOTA,nNIA,AE85,nCUENTA,1,nASIG,"Orquesta/Banda/Conjunto"),"")))</f>
        <v/>
      </c>
      <c r="AH85" t="str">
        <f>IF(AE85="","",IF(AE85="[FÓRMULA MANUAL]","",IFERROR(AVERAGEIFS(nNOTA,nNIA,AE85,nCUENTA,1,nASIG,"Música de Cámara"),"")))</f>
        <v/>
      </c>
      <c r="AI85" t="str">
        <f>IF(AE85="","",IF(AE85="[FÓRMULA MANUAL]","",IFERROR(SUMPRODUCT((nNIA=AE85)*(nCUENTA=1)*(COUNTIF(CONFIG_ASIGNATURAS!$B$7:$B$27,nASIG)&gt;0)*(nNOTA))/SUMPRODUCT((nNIA=AE85)*(nCUENTA=1)*(COUNTIF(CONFIG_ASIGNATURAS!$B$7:$B$27,nASIG)&gt;0)*1),"")))</f>
        <v/>
      </c>
    </row>
    <row r="86" spans="2:35" x14ac:dyDescent="0.2">
      <c r="B86" t="str">
        <f>IF(A86="","",IF(A86="[FÓRMULA MANUAL]","",IFERROR(AVERAGEIFS(nNOTA,nNIA,A86,nCUENTA,1,nASIG,"Lenguaje Musical"),"")))</f>
        <v/>
      </c>
      <c r="C86" t="str">
        <f>IF(A86="","",IF(A86="[FÓRMULA MANUAL]","",IFERROR(AVERAGEIFS(nNOTA,nNIA,A86,nCUENTA,1,nASIG,"Orquesta/Banda/Conjunto"),"")))</f>
        <v/>
      </c>
      <c r="D86" t="str">
        <f>IF(A86="","",IF(A86="[FÓRMULA MANUAL]","",IFERROR(AVERAGEIFS(nNOTA,nNIA,A86,nCUENTA,1,nASIG,"Conjunto"),"")))</f>
        <v/>
      </c>
      <c r="E86" t="str">
        <f>IF(A86="","",IF(A86="[FÓRMULA MANUAL]","",IFERROR(SUMPRODUCT((nNIA=A86)*(nCUENTA=1)*(COUNTIF(CONFIG_ASIGNATURAS!$B$7:$B$27,nASIG)&gt;0)*(nNOTA))/SUMPRODUCT((nNIA=A86)*(nCUENTA=1)*(COUNTIF(CONFIG_ASIGNATURAS!$B$7:$B$27,nASIG)&gt;0)*1),"")))</f>
        <v/>
      </c>
      <c r="H86" t="str">
        <f>IF(G86="","",IF(G86="[FÓRMULA MANUAL]","",IFERROR(AVERAGEIFS(nNOTA,nNIA,G86,nCUENTA,1,nASIG,"Lenguaje Musical"),"")))</f>
        <v/>
      </c>
      <c r="I86" t="str">
        <f>IF(G86="","",IF(G86="[FÓRMULA MANUAL]","",IFERROR(AVERAGEIFS(nNOTA,nNIA,G86,nCUENTA,1,nASIG,"Orquesta/Banda/Conjunto"),"")))</f>
        <v/>
      </c>
      <c r="J86" t="str">
        <f>IF(G86="","",IF(G86="[FÓRMULA MANUAL]","",IFERROR(AVERAGEIFS(nNOTA,nNIA,G86,nCUENTA,1,nASIG,"Conjunto"),"")))</f>
        <v/>
      </c>
      <c r="K86" t="str">
        <f>IF(G86="","",IF(G86="[FÓRMULA MANUAL]","",IFERROR(SUMPRODUCT((nNIA=G86)*(nCUENTA=1)*(COUNTIF(CONFIG_ASIGNATURAS!$B$7:$B$27,nASIG)&gt;0)*(nNOTA))/SUMPRODUCT((nNIA=G86)*(nCUENTA=1)*(COUNTIF(CONFIG_ASIGNATURAS!$B$7:$B$27,nASIG)&gt;0)*1),"")))</f>
        <v/>
      </c>
      <c r="N86" t="str">
        <f>IF(M86="","",IF(M86="[FÓRMULA MANUAL]","",IFERROR(AVERAGEIFS(nNOTA,nNIA,M86,nCUENTA,1,nASIG,"Armonía"),"")))</f>
        <v/>
      </c>
      <c r="O86" t="str">
        <f>IF(M86="","",IF(M86="[FÓRMULA MANUAL]","",IFERROR(AVERAGEIFS(nNOTA,nNIA,M86,nCUENTA,1,nASIG,"Orquesta/Banda/Conjunto"),"")))</f>
        <v/>
      </c>
      <c r="P86" t="str">
        <f>IF(M86="","",IF(M86="[FÓRMULA MANUAL]","",IFERROR(AVERAGEIFS(nNOTA,nNIA,M86,nCUENTA,1,nASIG,"Música de Cámara"),"")))</f>
        <v/>
      </c>
      <c r="Q86" t="str">
        <f>IF(M86="","",IF(M86="[FÓRMULA MANUAL]","",IFERROR(SUMPRODUCT((nNIA=M86)*(nCUENTA=1)*(COUNTIF(CONFIG_ASIGNATURAS!$B$7:$B$27,nASIG)&gt;0)*(nNOTA))/SUMPRODUCT((nNIA=M86)*(nCUENTA=1)*(COUNTIF(CONFIG_ASIGNATURAS!$B$7:$B$27,nASIG)&gt;0)*1),"")))</f>
        <v/>
      </c>
      <c r="T86" t="str">
        <f>IF(S86="","",IF(S86="[FÓRMULA MANUAL]","",IFERROR(AVERAGEIFS(nNOTA,nNIA,S86,nCUENTA,1,nASIG,"Armonía"),"")))</f>
        <v/>
      </c>
      <c r="U86" t="str">
        <f>IF(S86="","",IF(S86="[FÓRMULA MANUAL]","",IFERROR(AVERAGEIFS(nNOTA,nNIA,S86,nCUENTA,1,nASIG,"Orquesta/Banda/Conjunto"),"")))</f>
        <v/>
      </c>
      <c r="V86" t="str">
        <f>IF(S86="","",IF(S86="[FÓRMULA MANUAL]","",IFERROR(AVERAGEIFS(nNOTA,nNIA,S86,nCUENTA,1,nASIG,"Música de Cámara"),"")))</f>
        <v/>
      </c>
      <c r="W86" t="str">
        <f>IF(S86="","",IF(S86="[FÓRMULA MANUAL]","",IFERROR(SUMPRODUCT((nNIA=S86)*(nCUENTA=1)*(COUNTIF(CONFIG_ASIGNATURAS!$B$7:$B$27,nASIG)&gt;0)*(nNOTA))/SUMPRODUCT((nNIA=S86)*(nCUENTA=1)*(COUNTIF(CONFIG_ASIGNATURAS!$B$7:$B$27,nASIG)&gt;0)*1),"")))</f>
        <v/>
      </c>
      <c r="Z86" t="str">
        <f>IF(Y86="","",IF(Y86="[FÓRMULA MANUAL]","",IFERROR(AVERAGEIFS(nNOTA,nNIA,Y86,nCUENTA,1,nASIG,"Análisis"),"")))</f>
        <v/>
      </c>
      <c r="AA86" t="str">
        <f>IF(Y86="","",IF(Y86="[FÓRMULA MANUAL]","",IFERROR(AVERAGEIFS(nNOTA,nNIA,Y86,nCUENTA,1,nASIG,"Orquesta/Banda/Conjunto"),"")))</f>
        <v/>
      </c>
      <c r="AB86" t="str">
        <f>IF(Y86="","",IF(Y86="[FÓRMULA MANUAL]","",IFERROR(AVERAGEIFS(nNOTA,nNIA,Y86,nCUENTA,1,nASIG,"Música de Cámara"),"")))</f>
        <v/>
      </c>
      <c r="AC86" t="str">
        <f>IF(Y86="","",IF(Y86="[FÓRMULA MANUAL]","",IFERROR(SUMPRODUCT((nNIA=Y86)*(nCUENTA=1)*(COUNTIF(CONFIG_ASIGNATURAS!$B$7:$B$27,nASIG)&gt;0)*(nNOTA))/SUMPRODUCT((nNIA=Y86)*(nCUENTA=1)*(COUNTIF(CONFIG_ASIGNATURAS!$B$7:$B$27,nASIG)&gt;0)*1),"")))</f>
        <v/>
      </c>
      <c r="AF86" t="str">
        <f>IF(AE86="","",IF(AE86="[FÓRMULA MANUAL]","",IFERROR(AVERAGEIFS(nNOTA,nNIA,AE86,nCUENTA,1,nASIG,"Análisis"),"")))</f>
        <v/>
      </c>
      <c r="AG86" t="str">
        <f>IF(AE86="","",IF(AE86="[FÓRMULA MANUAL]","",IFERROR(AVERAGEIFS(nNOTA,nNIA,AE86,nCUENTA,1,nASIG,"Orquesta/Banda/Conjunto"),"")))</f>
        <v/>
      </c>
      <c r="AH86" t="str">
        <f>IF(AE86="","",IF(AE86="[FÓRMULA MANUAL]","",IFERROR(AVERAGEIFS(nNOTA,nNIA,AE86,nCUENTA,1,nASIG,"Música de Cámara"),"")))</f>
        <v/>
      </c>
      <c r="AI86" t="str">
        <f>IF(AE86="","",IF(AE86="[FÓRMULA MANUAL]","",IFERROR(SUMPRODUCT((nNIA=AE86)*(nCUENTA=1)*(COUNTIF(CONFIG_ASIGNATURAS!$B$7:$B$27,nASIG)&gt;0)*(nNOTA))/SUMPRODUCT((nNIA=AE86)*(nCUENTA=1)*(COUNTIF(CONFIG_ASIGNATURAS!$B$7:$B$27,nASIG)&gt;0)*1),"")))</f>
        <v/>
      </c>
    </row>
    <row r="87" spans="2:35" x14ac:dyDescent="0.2">
      <c r="B87" t="str">
        <f>IF(A87="","",IF(A87="[FÓRMULA MANUAL]","",IFERROR(AVERAGEIFS(nNOTA,nNIA,A87,nCUENTA,1,nASIG,"Lenguaje Musical"),"")))</f>
        <v/>
      </c>
      <c r="C87" t="str">
        <f>IF(A87="","",IF(A87="[FÓRMULA MANUAL]","",IFERROR(AVERAGEIFS(nNOTA,nNIA,A87,nCUENTA,1,nASIG,"Orquesta/Banda/Conjunto"),"")))</f>
        <v/>
      </c>
      <c r="D87" t="str">
        <f>IF(A87="","",IF(A87="[FÓRMULA MANUAL]","",IFERROR(AVERAGEIFS(nNOTA,nNIA,A87,nCUENTA,1,nASIG,"Conjunto"),"")))</f>
        <v/>
      </c>
      <c r="E87" t="str">
        <f>IF(A87="","",IF(A87="[FÓRMULA MANUAL]","",IFERROR(SUMPRODUCT((nNIA=A87)*(nCUENTA=1)*(COUNTIF(CONFIG_ASIGNATURAS!$B$7:$B$27,nASIG)&gt;0)*(nNOTA))/SUMPRODUCT((nNIA=A87)*(nCUENTA=1)*(COUNTIF(CONFIG_ASIGNATURAS!$B$7:$B$27,nASIG)&gt;0)*1),"")))</f>
        <v/>
      </c>
      <c r="H87" t="str">
        <f>IF(G87="","",IF(G87="[FÓRMULA MANUAL]","",IFERROR(AVERAGEIFS(nNOTA,nNIA,G87,nCUENTA,1,nASIG,"Lenguaje Musical"),"")))</f>
        <v/>
      </c>
      <c r="I87" t="str">
        <f>IF(G87="","",IF(G87="[FÓRMULA MANUAL]","",IFERROR(AVERAGEIFS(nNOTA,nNIA,G87,nCUENTA,1,nASIG,"Orquesta/Banda/Conjunto"),"")))</f>
        <v/>
      </c>
      <c r="J87" t="str">
        <f>IF(G87="","",IF(G87="[FÓRMULA MANUAL]","",IFERROR(AVERAGEIFS(nNOTA,nNIA,G87,nCUENTA,1,nASIG,"Conjunto"),"")))</f>
        <v/>
      </c>
      <c r="K87" t="str">
        <f>IF(G87="","",IF(G87="[FÓRMULA MANUAL]","",IFERROR(SUMPRODUCT((nNIA=G87)*(nCUENTA=1)*(COUNTIF(CONFIG_ASIGNATURAS!$B$7:$B$27,nASIG)&gt;0)*(nNOTA))/SUMPRODUCT((nNIA=G87)*(nCUENTA=1)*(COUNTIF(CONFIG_ASIGNATURAS!$B$7:$B$27,nASIG)&gt;0)*1),"")))</f>
        <v/>
      </c>
      <c r="N87" t="str">
        <f>IF(M87="","",IF(M87="[FÓRMULA MANUAL]","",IFERROR(AVERAGEIFS(nNOTA,nNIA,M87,nCUENTA,1,nASIG,"Armonía"),"")))</f>
        <v/>
      </c>
      <c r="O87" t="str">
        <f>IF(M87="","",IF(M87="[FÓRMULA MANUAL]","",IFERROR(AVERAGEIFS(nNOTA,nNIA,M87,nCUENTA,1,nASIG,"Orquesta/Banda/Conjunto"),"")))</f>
        <v/>
      </c>
      <c r="P87" t="str">
        <f>IF(M87="","",IF(M87="[FÓRMULA MANUAL]","",IFERROR(AVERAGEIFS(nNOTA,nNIA,M87,nCUENTA,1,nASIG,"Música de Cámara"),"")))</f>
        <v/>
      </c>
      <c r="Q87" t="str">
        <f>IF(M87="","",IF(M87="[FÓRMULA MANUAL]","",IFERROR(SUMPRODUCT((nNIA=M87)*(nCUENTA=1)*(COUNTIF(CONFIG_ASIGNATURAS!$B$7:$B$27,nASIG)&gt;0)*(nNOTA))/SUMPRODUCT((nNIA=M87)*(nCUENTA=1)*(COUNTIF(CONFIG_ASIGNATURAS!$B$7:$B$27,nASIG)&gt;0)*1),"")))</f>
        <v/>
      </c>
      <c r="T87" t="str">
        <f>IF(S87="","",IF(S87="[FÓRMULA MANUAL]","",IFERROR(AVERAGEIFS(nNOTA,nNIA,S87,nCUENTA,1,nASIG,"Armonía"),"")))</f>
        <v/>
      </c>
      <c r="U87" t="str">
        <f>IF(S87="","",IF(S87="[FÓRMULA MANUAL]","",IFERROR(AVERAGEIFS(nNOTA,nNIA,S87,nCUENTA,1,nASIG,"Orquesta/Banda/Conjunto"),"")))</f>
        <v/>
      </c>
      <c r="V87" t="str">
        <f>IF(S87="","",IF(S87="[FÓRMULA MANUAL]","",IFERROR(AVERAGEIFS(nNOTA,nNIA,S87,nCUENTA,1,nASIG,"Música de Cámara"),"")))</f>
        <v/>
      </c>
      <c r="W87" t="str">
        <f>IF(S87="","",IF(S87="[FÓRMULA MANUAL]","",IFERROR(SUMPRODUCT((nNIA=S87)*(nCUENTA=1)*(COUNTIF(CONFIG_ASIGNATURAS!$B$7:$B$27,nASIG)&gt;0)*(nNOTA))/SUMPRODUCT((nNIA=S87)*(nCUENTA=1)*(COUNTIF(CONFIG_ASIGNATURAS!$B$7:$B$27,nASIG)&gt;0)*1),"")))</f>
        <v/>
      </c>
      <c r="Z87" t="str">
        <f>IF(Y87="","",IF(Y87="[FÓRMULA MANUAL]","",IFERROR(AVERAGEIFS(nNOTA,nNIA,Y87,nCUENTA,1,nASIG,"Análisis"),"")))</f>
        <v/>
      </c>
      <c r="AA87" t="str">
        <f>IF(Y87="","",IF(Y87="[FÓRMULA MANUAL]","",IFERROR(AVERAGEIFS(nNOTA,nNIA,Y87,nCUENTA,1,nASIG,"Orquesta/Banda/Conjunto"),"")))</f>
        <v/>
      </c>
      <c r="AB87" t="str">
        <f>IF(Y87="","",IF(Y87="[FÓRMULA MANUAL]","",IFERROR(AVERAGEIFS(nNOTA,nNIA,Y87,nCUENTA,1,nASIG,"Música de Cámara"),"")))</f>
        <v/>
      </c>
      <c r="AC87" t="str">
        <f>IF(Y87="","",IF(Y87="[FÓRMULA MANUAL]","",IFERROR(SUMPRODUCT((nNIA=Y87)*(nCUENTA=1)*(COUNTIF(CONFIG_ASIGNATURAS!$B$7:$B$27,nASIG)&gt;0)*(nNOTA))/SUMPRODUCT((nNIA=Y87)*(nCUENTA=1)*(COUNTIF(CONFIG_ASIGNATURAS!$B$7:$B$27,nASIG)&gt;0)*1),"")))</f>
        <v/>
      </c>
      <c r="AF87" t="str">
        <f>IF(AE87="","",IF(AE87="[FÓRMULA MANUAL]","",IFERROR(AVERAGEIFS(nNOTA,nNIA,AE87,nCUENTA,1,nASIG,"Análisis"),"")))</f>
        <v/>
      </c>
      <c r="AG87" t="str">
        <f>IF(AE87="","",IF(AE87="[FÓRMULA MANUAL]","",IFERROR(AVERAGEIFS(nNOTA,nNIA,AE87,nCUENTA,1,nASIG,"Orquesta/Banda/Conjunto"),"")))</f>
        <v/>
      </c>
      <c r="AH87" t="str">
        <f>IF(AE87="","",IF(AE87="[FÓRMULA MANUAL]","",IFERROR(AVERAGEIFS(nNOTA,nNIA,AE87,nCUENTA,1,nASIG,"Música de Cámara"),"")))</f>
        <v/>
      </c>
      <c r="AI87" t="str">
        <f>IF(AE87="","",IF(AE87="[FÓRMULA MANUAL]","",IFERROR(SUMPRODUCT((nNIA=AE87)*(nCUENTA=1)*(COUNTIF(CONFIG_ASIGNATURAS!$B$7:$B$27,nASIG)&gt;0)*(nNOTA))/SUMPRODUCT((nNIA=AE87)*(nCUENTA=1)*(COUNTIF(CONFIG_ASIGNATURAS!$B$7:$B$27,nASIG)&gt;0)*1),"")))</f>
        <v/>
      </c>
    </row>
    <row r="88" spans="2:35" x14ac:dyDescent="0.2">
      <c r="B88" t="str">
        <f>IF(A88="","",IF(A88="[FÓRMULA MANUAL]","",IFERROR(AVERAGEIFS(nNOTA,nNIA,A88,nCUENTA,1,nASIG,"Lenguaje Musical"),"")))</f>
        <v/>
      </c>
      <c r="C88" t="str">
        <f>IF(A88="","",IF(A88="[FÓRMULA MANUAL]","",IFERROR(AVERAGEIFS(nNOTA,nNIA,A88,nCUENTA,1,nASIG,"Orquesta/Banda/Conjunto"),"")))</f>
        <v/>
      </c>
      <c r="D88" t="str">
        <f>IF(A88="","",IF(A88="[FÓRMULA MANUAL]","",IFERROR(AVERAGEIFS(nNOTA,nNIA,A88,nCUENTA,1,nASIG,"Conjunto"),"")))</f>
        <v/>
      </c>
      <c r="E88" t="str">
        <f>IF(A88="","",IF(A88="[FÓRMULA MANUAL]","",IFERROR(SUMPRODUCT((nNIA=A88)*(nCUENTA=1)*(COUNTIF(CONFIG_ASIGNATURAS!$B$7:$B$27,nASIG)&gt;0)*(nNOTA))/SUMPRODUCT((nNIA=A88)*(nCUENTA=1)*(COUNTIF(CONFIG_ASIGNATURAS!$B$7:$B$27,nASIG)&gt;0)*1),"")))</f>
        <v/>
      </c>
      <c r="H88" t="str">
        <f>IF(G88="","",IF(G88="[FÓRMULA MANUAL]","",IFERROR(AVERAGEIFS(nNOTA,nNIA,G88,nCUENTA,1,nASIG,"Lenguaje Musical"),"")))</f>
        <v/>
      </c>
      <c r="I88" t="str">
        <f>IF(G88="","",IF(G88="[FÓRMULA MANUAL]","",IFERROR(AVERAGEIFS(nNOTA,nNIA,G88,nCUENTA,1,nASIG,"Orquesta/Banda/Conjunto"),"")))</f>
        <v/>
      </c>
      <c r="J88" t="str">
        <f>IF(G88="","",IF(G88="[FÓRMULA MANUAL]","",IFERROR(AVERAGEIFS(nNOTA,nNIA,G88,nCUENTA,1,nASIG,"Conjunto"),"")))</f>
        <v/>
      </c>
      <c r="K88" t="str">
        <f>IF(G88="","",IF(G88="[FÓRMULA MANUAL]","",IFERROR(SUMPRODUCT((nNIA=G88)*(nCUENTA=1)*(COUNTIF(CONFIG_ASIGNATURAS!$B$7:$B$27,nASIG)&gt;0)*(nNOTA))/SUMPRODUCT((nNIA=G88)*(nCUENTA=1)*(COUNTIF(CONFIG_ASIGNATURAS!$B$7:$B$27,nASIG)&gt;0)*1),"")))</f>
        <v/>
      </c>
      <c r="N88" t="str">
        <f>IF(M88="","",IF(M88="[FÓRMULA MANUAL]","",IFERROR(AVERAGEIFS(nNOTA,nNIA,M88,nCUENTA,1,nASIG,"Armonía"),"")))</f>
        <v/>
      </c>
      <c r="O88" t="str">
        <f>IF(M88="","",IF(M88="[FÓRMULA MANUAL]","",IFERROR(AVERAGEIFS(nNOTA,nNIA,M88,nCUENTA,1,nASIG,"Orquesta/Banda/Conjunto"),"")))</f>
        <v/>
      </c>
      <c r="P88" t="str">
        <f>IF(M88="","",IF(M88="[FÓRMULA MANUAL]","",IFERROR(AVERAGEIFS(nNOTA,nNIA,M88,nCUENTA,1,nASIG,"Música de Cámara"),"")))</f>
        <v/>
      </c>
      <c r="Q88" t="str">
        <f>IF(M88="","",IF(M88="[FÓRMULA MANUAL]","",IFERROR(SUMPRODUCT((nNIA=M88)*(nCUENTA=1)*(COUNTIF(CONFIG_ASIGNATURAS!$B$7:$B$27,nASIG)&gt;0)*(nNOTA))/SUMPRODUCT((nNIA=M88)*(nCUENTA=1)*(COUNTIF(CONFIG_ASIGNATURAS!$B$7:$B$27,nASIG)&gt;0)*1),"")))</f>
        <v/>
      </c>
      <c r="T88" t="str">
        <f>IF(S88="","",IF(S88="[FÓRMULA MANUAL]","",IFERROR(AVERAGEIFS(nNOTA,nNIA,S88,nCUENTA,1,nASIG,"Armonía"),"")))</f>
        <v/>
      </c>
      <c r="U88" t="str">
        <f>IF(S88="","",IF(S88="[FÓRMULA MANUAL]","",IFERROR(AVERAGEIFS(nNOTA,nNIA,S88,nCUENTA,1,nASIG,"Orquesta/Banda/Conjunto"),"")))</f>
        <v/>
      </c>
      <c r="V88" t="str">
        <f>IF(S88="","",IF(S88="[FÓRMULA MANUAL]","",IFERROR(AVERAGEIFS(nNOTA,nNIA,S88,nCUENTA,1,nASIG,"Música de Cámara"),"")))</f>
        <v/>
      </c>
      <c r="W88" t="str">
        <f>IF(S88="","",IF(S88="[FÓRMULA MANUAL]","",IFERROR(SUMPRODUCT((nNIA=S88)*(nCUENTA=1)*(COUNTIF(CONFIG_ASIGNATURAS!$B$7:$B$27,nASIG)&gt;0)*(nNOTA))/SUMPRODUCT((nNIA=S88)*(nCUENTA=1)*(COUNTIF(CONFIG_ASIGNATURAS!$B$7:$B$27,nASIG)&gt;0)*1),"")))</f>
        <v/>
      </c>
      <c r="Z88" t="str">
        <f>IF(Y88="","",IF(Y88="[FÓRMULA MANUAL]","",IFERROR(AVERAGEIFS(nNOTA,nNIA,Y88,nCUENTA,1,nASIG,"Análisis"),"")))</f>
        <v/>
      </c>
      <c r="AA88" t="str">
        <f>IF(Y88="","",IF(Y88="[FÓRMULA MANUAL]","",IFERROR(AVERAGEIFS(nNOTA,nNIA,Y88,nCUENTA,1,nASIG,"Orquesta/Banda/Conjunto"),"")))</f>
        <v/>
      </c>
      <c r="AB88" t="str">
        <f>IF(Y88="","",IF(Y88="[FÓRMULA MANUAL]","",IFERROR(AVERAGEIFS(nNOTA,nNIA,Y88,nCUENTA,1,nASIG,"Música de Cámara"),"")))</f>
        <v/>
      </c>
      <c r="AC88" t="str">
        <f>IF(Y88="","",IF(Y88="[FÓRMULA MANUAL]","",IFERROR(SUMPRODUCT((nNIA=Y88)*(nCUENTA=1)*(COUNTIF(CONFIG_ASIGNATURAS!$B$7:$B$27,nASIG)&gt;0)*(nNOTA))/SUMPRODUCT((nNIA=Y88)*(nCUENTA=1)*(COUNTIF(CONFIG_ASIGNATURAS!$B$7:$B$27,nASIG)&gt;0)*1),"")))</f>
        <v/>
      </c>
      <c r="AF88" t="str">
        <f>IF(AE88="","",IF(AE88="[FÓRMULA MANUAL]","",IFERROR(AVERAGEIFS(nNOTA,nNIA,AE88,nCUENTA,1,nASIG,"Análisis"),"")))</f>
        <v/>
      </c>
      <c r="AG88" t="str">
        <f>IF(AE88="","",IF(AE88="[FÓRMULA MANUAL]","",IFERROR(AVERAGEIFS(nNOTA,nNIA,AE88,nCUENTA,1,nASIG,"Orquesta/Banda/Conjunto"),"")))</f>
        <v/>
      </c>
      <c r="AH88" t="str">
        <f>IF(AE88="","",IF(AE88="[FÓRMULA MANUAL]","",IFERROR(AVERAGEIFS(nNOTA,nNIA,AE88,nCUENTA,1,nASIG,"Música de Cámara"),"")))</f>
        <v/>
      </c>
      <c r="AI88" t="str">
        <f>IF(AE88="","",IF(AE88="[FÓRMULA MANUAL]","",IFERROR(SUMPRODUCT((nNIA=AE88)*(nCUENTA=1)*(COUNTIF(CONFIG_ASIGNATURAS!$B$7:$B$27,nASIG)&gt;0)*(nNOTA))/SUMPRODUCT((nNIA=AE88)*(nCUENTA=1)*(COUNTIF(CONFIG_ASIGNATURAS!$B$7:$B$27,nASIG)&gt;0)*1),"")))</f>
        <v/>
      </c>
    </row>
    <row r="89" spans="2:35" x14ac:dyDescent="0.2">
      <c r="B89" t="str">
        <f>IF(A89="","",IF(A89="[FÓRMULA MANUAL]","",IFERROR(AVERAGEIFS(nNOTA,nNIA,A89,nCUENTA,1,nASIG,"Lenguaje Musical"),"")))</f>
        <v/>
      </c>
      <c r="C89" t="str">
        <f>IF(A89="","",IF(A89="[FÓRMULA MANUAL]","",IFERROR(AVERAGEIFS(nNOTA,nNIA,A89,nCUENTA,1,nASIG,"Orquesta/Banda/Conjunto"),"")))</f>
        <v/>
      </c>
      <c r="D89" t="str">
        <f>IF(A89="","",IF(A89="[FÓRMULA MANUAL]","",IFERROR(AVERAGEIFS(nNOTA,nNIA,A89,nCUENTA,1,nASIG,"Conjunto"),"")))</f>
        <v/>
      </c>
      <c r="E89" t="str">
        <f>IF(A89="","",IF(A89="[FÓRMULA MANUAL]","",IFERROR(SUMPRODUCT((nNIA=A89)*(nCUENTA=1)*(COUNTIF(CONFIG_ASIGNATURAS!$B$7:$B$27,nASIG)&gt;0)*(nNOTA))/SUMPRODUCT((nNIA=A89)*(nCUENTA=1)*(COUNTIF(CONFIG_ASIGNATURAS!$B$7:$B$27,nASIG)&gt;0)*1),"")))</f>
        <v/>
      </c>
      <c r="H89" t="str">
        <f>IF(G89="","",IF(G89="[FÓRMULA MANUAL]","",IFERROR(AVERAGEIFS(nNOTA,nNIA,G89,nCUENTA,1,nASIG,"Lenguaje Musical"),"")))</f>
        <v/>
      </c>
      <c r="I89" t="str">
        <f>IF(G89="","",IF(G89="[FÓRMULA MANUAL]","",IFERROR(AVERAGEIFS(nNOTA,nNIA,G89,nCUENTA,1,nASIG,"Orquesta/Banda/Conjunto"),"")))</f>
        <v/>
      </c>
      <c r="J89" t="str">
        <f>IF(G89="","",IF(G89="[FÓRMULA MANUAL]","",IFERROR(AVERAGEIFS(nNOTA,nNIA,G89,nCUENTA,1,nASIG,"Conjunto"),"")))</f>
        <v/>
      </c>
      <c r="K89" t="str">
        <f>IF(G89="","",IF(G89="[FÓRMULA MANUAL]","",IFERROR(SUMPRODUCT((nNIA=G89)*(nCUENTA=1)*(COUNTIF(CONFIG_ASIGNATURAS!$B$7:$B$27,nASIG)&gt;0)*(nNOTA))/SUMPRODUCT((nNIA=G89)*(nCUENTA=1)*(COUNTIF(CONFIG_ASIGNATURAS!$B$7:$B$27,nASIG)&gt;0)*1),"")))</f>
        <v/>
      </c>
      <c r="N89" t="str">
        <f>IF(M89="","",IF(M89="[FÓRMULA MANUAL]","",IFERROR(AVERAGEIFS(nNOTA,nNIA,M89,nCUENTA,1,nASIG,"Armonía"),"")))</f>
        <v/>
      </c>
      <c r="O89" t="str">
        <f>IF(M89="","",IF(M89="[FÓRMULA MANUAL]","",IFERROR(AVERAGEIFS(nNOTA,nNIA,M89,nCUENTA,1,nASIG,"Orquesta/Banda/Conjunto"),"")))</f>
        <v/>
      </c>
      <c r="P89" t="str">
        <f>IF(M89="","",IF(M89="[FÓRMULA MANUAL]","",IFERROR(AVERAGEIFS(nNOTA,nNIA,M89,nCUENTA,1,nASIG,"Música de Cámara"),"")))</f>
        <v/>
      </c>
      <c r="Q89" t="str">
        <f>IF(M89="","",IF(M89="[FÓRMULA MANUAL]","",IFERROR(SUMPRODUCT((nNIA=M89)*(nCUENTA=1)*(COUNTIF(CONFIG_ASIGNATURAS!$B$7:$B$27,nASIG)&gt;0)*(nNOTA))/SUMPRODUCT((nNIA=M89)*(nCUENTA=1)*(COUNTIF(CONFIG_ASIGNATURAS!$B$7:$B$27,nASIG)&gt;0)*1),"")))</f>
        <v/>
      </c>
      <c r="T89" t="str">
        <f>IF(S89="","",IF(S89="[FÓRMULA MANUAL]","",IFERROR(AVERAGEIFS(nNOTA,nNIA,S89,nCUENTA,1,nASIG,"Armonía"),"")))</f>
        <v/>
      </c>
      <c r="U89" t="str">
        <f>IF(S89="","",IF(S89="[FÓRMULA MANUAL]","",IFERROR(AVERAGEIFS(nNOTA,nNIA,S89,nCUENTA,1,nASIG,"Orquesta/Banda/Conjunto"),"")))</f>
        <v/>
      </c>
      <c r="V89" t="str">
        <f>IF(S89="","",IF(S89="[FÓRMULA MANUAL]","",IFERROR(AVERAGEIFS(nNOTA,nNIA,S89,nCUENTA,1,nASIG,"Música de Cámara"),"")))</f>
        <v/>
      </c>
      <c r="W89" t="str">
        <f>IF(S89="","",IF(S89="[FÓRMULA MANUAL]","",IFERROR(SUMPRODUCT((nNIA=S89)*(nCUENTA=1)*(COUNTIF(CONFIG_ASIGNATURAS!$B$7:$B$27,nASIG)&gt;0)*(nNOTA))/SUMPRODUCT((nNIA=S89)*(nCUENTA=1)*(COUNTIF(CONFIG_ASIGNATURAS!$B$7:$B$27,nASIG)&gt;0)*1),"")))</f>
        <v/>
      </c>
      <c r="Z89" t="str">
        <f>IF(Y89="","",IF(Y89="[FÓRMULA MANUAL]","",IFERROR(AVERAGEIFS(nNOTA,nNIA,Y89,nCUENTA,1,nASIG,"Análisis"),"")))</f>
        <v/>
      </c>
      <c r="AA89" t="str">
        <f>IF(Y89="","",IF(Y89="[FÓRMULA MANUAL]","",IFERROR(AVERAGEIFS(nNOTA,nNIA,Y89,nCUENTA,1,nASIG,"Orquesta/Banda/Conjunto"),"")))</f>
        <v/>
      </c>
      <c r="AB89" t="str">
        <f>IF(Y89="","",IF(Y89="[FÓRMULA MANUAL]","",IFERROR(AVERAGEIFS(nNOTA,nNIA,Y89,nCUENTA,1,nASIG,"Música de Cámara"),"")))</f>
        <v/>
      </c>
      <c r="AC89" t="str">
        <f>IF(Y89="","",IF(Y89="[FÓRMULA MANUAL]","",IFERROR(SUMPRODUCT((nNIA=Y89)*(nCUENTA=1)*(COUNTIF(CONFIG_ASIGNATURAS!$B$7:$B$27,nASIG)&gt;0)*(nNOTA))/SUMPRODUCT((nNIA=Y89)*(nCUENTA=1)*(COUNTIF(CONFIG_ASIGNATURAS!$B$7:$B$27,nASIG)&gt;0)*1),"")))</f>
        <v/>
      </c>
      <c r="AF89" t="str">
        <f>IF(AE89="","",IF(AE89="[FÓRMULA MANUAL]","",IFERROR(AVERAGEIFS(nNOTA,nNIA,AE89,nCUENTA,1,nASIG,"Análisis"),"")))</f>
        <v/>
      </c>
      <c r="AG89" t="str">
        <f>IF(AE89="","",IF(AE89="[FÓRMULA MANUAL]","",IFERROR(AVERAGEIFS(nNOTA,nNIA,AE89,nCUENTA,1,nASIG,"Orquesta/Banda/Conjunto"),"")))</f>
        <v/>
      </c>
      <c r="AH89" t="str">
        <f>IF(AE89="","",IF(AE89="[FÓRMULA MANUAL]","",IFERROR(AVERAGEIFS(nNOTA,nNIA,AE89,nCUENTA,1,nASIG,"Música de Cámara"),"")))</f>
        <v/>
      </c>
      <c r="AI89" t="str">
        <f>IF(AE89="","",IF(AE89="[FÓRMULA MANUAL]","",IFERROR(SUMPRODUCT((nNIA=AE89)*(nCUENTA=1)*(COUNTIF(CONFIG_ASIGNATURAS!$B$7:$B$27,nASIG)&gt;0)*(nNOTA))/SUMPRODUCT((nNIA=AE89)*(nCUENTA=1)*(COUNTIF(CONFIG_ASIGNATURAS!$B$7:$B$27,nASIG)&gt;0)*1),"")))</f>
        <v/>
      </c>
    </row>
    <row r="90" spans="2:35" x14ac:dyDescent="0.2">
      <c r="B90" t="str">
        <f>IF(A90="","",IF(A90="[FÓRMULA MANUAL]","",IFERROR(AVERAGEIFS(nNOTA,nNIA,A90,nCUENTA,1,nASIG,"Lenguaje Musical"),"")))</f>
        <v/>
      </c>
      <c r="C90" t="str">
        <f>IF(A90="","",IF(A90="[FÓRMULA MANUAL]","",IFERROR(AVERAGEIFS(nNOTA,nNIA,A90,nCUENTA,1,nASIG,"Orquesta/Banda/Conjunto"),"")))</f>
        <v/>
      </c>
      <c r="D90" t="str">
        <f>IF(A90="","",IF(A90="[FÓRMULA MANUAL]","",IFERROR(AVERAGEIFS(nNOTA,nNIA,A90,nCUENTA,1,nASIG,"Conjunto"),"")))</f>
        <v/>
      </c>
      <c r="E90" t="str">
        <f>IF(A90="","",IF(A90="[FÓRMULA MANUAL]","",IFERROR(SUMPRODUCT((nNIA=A90)*(nCUENTA=1)*(COUNTIF(CONFIG_ASIGNATURAS!$B$7:$B$27,nASIG)&gt;0)*(nNOTA))/SUMPRODUCT((nNIA=A90)*(nCUENTA=1)*(COUNTIF(CONFIG_ASIGNATURAS!$B$7:$B$27,nASIG)&gt;0)*1),"")))</f>
        <v/>
      </c>
      <c r="H90" t="str">
        <f>IF(G90="","",IF(G90="[FÓRMULA MANUAL]","",IFERROR(AVERAGEIFS(nNOTA,nNIA,G90,nCUENTA,1,nASIG,"Lenguaje Musical"),"")))</f>
        <v/>
      </c>
      <c r="I90" t="str">
        <f>IF(G90="","",IF(G90="[FÓRMULA MANUAL]","",IFERROR(AVERAGEIFS(nNOTA,nNIA,G90,nCUENTA,1,nASIG,"Orquesta/Banda/Conjunto"),"")))</f>
        <v/>
      </c>
      <c r="J90" t="str">
        <f>IF(G90="","",IF(G90="[FÓRMULA MANUAL]","",IFERROR(AVERAGEIFS(nNOTA,nNIA,G90,nCUENTA,1,nASIG,"Conjunto"),"")))</f>
        <v/>
      </c>
      <c r="K90" t="str">
        <f>IF(G90="","",IF(G90="[FÓRMULA MANUAL]","",IFERROR(SUMPRODUCT((nNIA=G90)*(nCUENTA=1)*(COUNTIF(CONFIG_ASIGNATURAS!$B$7:$B$27,nASIG)&gt;0)*(nNOTA))/SUMPRODUCT((nNIA=G90)*(nCUENTA=1)*(COUNTIF(CONFIG_ASIGNATURAS!$B$7:$B$27,nASIG)&gt;0)*1),"")))</f>
        <v/>
      </c>
      <c r="N90" t="str">
        <f>IF(M90="","",IF(M90="[FÓRMULA MANUAL]","",IFERROR(AVERAGEIFS(nNOTA,nNIA,M90,nCUENTA,1,nASIG,"Armonía"),"")))</f>
        <v/>
      </c>
      <c r="O90" t="str">
        <f>IF(M90="","",IF(M90="[FÓRMULA MANUAL]","",IFERROR(AVERAGEIFS(nNOTA,nNIA,M90,nCUENTA,1,nASIG,"Orquesta/Banda/Conjunto"),"")))</f>
        <v/>
      </c>
      <c r="P90" t="str">
        <f>IF(M90="","",IF(M90="[FÓRMULA MANUAL]","",IFERROR(AVERAGEIFS(nNOTA,nNIA,M90,nCUENTA,1,nASIG,"Música de Cámara"),"")))</f>
        <v/>
      </c>
      <c r="Q90" t="str">
        <f>IF(M90="","",IF(M90="[FÓRMULA MANUAL]","",IFERROR(SUMPRODUCT((nNIA=M90)*(nCUENTA=1)*(COUNTIF(CONFIG_ASIGNATURAS!$B$7:$B$27,nASIG)&gt;0)*(nNOTA))/SUMPRODUCT((nNIA=M90)*(nCUENTA=1)*(COUNTIF(CONFIG_ASIGNATURAS!$B$7:$B$27,nASIG)&gt;0)*1),"")))</f>
        <v/>
      </c>
      <c r="T90" t="str">
        <f>IF(S90="","",IF(S90="[FÓRMULA MANUAL]","",IFERROR(AVERAGEIFS(nNOTA,nNIA,S90,nCUENTA,1,nASIG,"Armonía"),"")))</f>
        <v/>
      </c>
      <c r="U90" t="str">
        <f>IF(S90="","",IF(S90="[FÓRMULA MANUAL]","",IFERROR(AVERAGEIFS(nNOTA,nNIA,S90,nCUENTA,1,nASIG,"Orquesta/Banda/Conjunto"),"")))</f>
        <v/>
      </c>
      <c r="V90" t="str">
        <f>IF(S90="","",IF(S90="[FÓRMULA MANUAL]","",IFERROR(AVERAGEIFS(nNOTA,nNIA,S90,nCUENTA,1,nASIG,"Música de Cámara"),"")))</f>
        <v/>
      </c>
      <c r="W90" t="str">
        <f>IF(S90="","",IF(S90="[FÓRMULA MANUAL]","",IFERROR(SUMPRODUCT((nNIA=S90)*(nCUENTA=1)*(COUNTIF(CONFIG_ASIGNATURAS!$B$7:$B$27,nASIG)&gt;0)*(nNOTA))/SUMPRODUCT((nNIA=S90)*(nCUENTA=1)*(COUNTIF(CONFIG_ASIGNATURAS!$B$7:$B$27,nASIG)&gt;0)*1),"")))</f>
        <v/>
      </c>
      <c r="Z90" t="str">
        <f>IF(Y90="","",IF(Y90="[FÓRMULA MANUAL]","",IFERROR(AVERAGEIFS(nNOTA,nNIA,Y90,nCUENTA,1,nASIG,"Análisis"),"")))</f>
        <v/>
      </c>
      <c r="AA90" t="str">
        <f>IF(Y90="","",IF(Y90="[FÓRMULA MANUAL]","",IFERROR(AVERAGEIFS(nNOTA,nNIA,Y90,nCUENTA,1,nASIG,"Orquesta/Banda/Conjunto"),"")))</f>
        <v/>
      </c>
      <c r="AB90" t="str">
        <f>IF(Y90="","",IF(Y90="[FÓRMULA MANUAL]","",IFERROR(AVERAGEIFS(nNOTA,nNIA,Y90,nCUENTA,1,nASIG,"Música de Cámara"),"")))</f>
        <v/>
      </c>
      <c r="AC90" t="str">
        <f>IF(Y90="","",IF(Y90="[FÓRMULA MANUAL]","",IFERROR(SUMPRODUCT((nNIA=Y90)*(nCUENTA=1)*(COUNTIF(CONFIG_ASIGNATURAS!$B$7:$B$27,nASIG)&gt;0)*(nNOTA))/SUMPRODUCT((nNIA=Y90)*(nCUENTA=1)*(COUNTIF(CONFIG_ASIGNATURAS!$B$7:$B$27,nASIG)&gt;0)*1),"")))</f>
        <v/>
      </c>
      <c r="AF90" t="str">
        <f>IF(AE90="","",IF(AE90="[FÓRMULA MANUAL]","",IFERROR(AVERAGEIFS(nNOTA,nNIA,AE90,nCUENTA,1,nASIG,"Análisis"),"")))</f>
        <v/>
      </c>
      <c r="AG90" t="str">
        <f>IF(AE90="","",IF(AE90="[FÓRMULA MANUAL]","",IFERROR(AVERAGEIFS(nNOTA,nNIA,AE90,nCUENTA,1,nASIG,"Orquesta/Banda/Conjunto"),"")))</f>
        <v/>
      </c>
      <c r="AH90" t="str">
        <f>IF(AE90="","",IF(AE90="[FÓRMULA MANUAL]","",IFERROR(AVERAGEIFS(nNOTA,nNIA,AE90,nCUENTA,1,nASIG,"Música de Cámara"),"")))</f>
        <v/>
      </c>
      <c r="AI90" t="str">
        <f>IF(AE90="","",IF(AE90="[FÓRMULA MANUAL]","",IFERROR(SUMPRODUCT((nNIA=AE90)*(nCUENTA=1)*(COUNTIF(CONFIG_ASIGNATURAS!$B$7:$B$27,nASIG)&gt;0)*(nNOTA))/SUMPRODUCT((nNIA=AE90)*(nCUENTA=1)*(COUNTIF(CONFIG_ASIGNATURAS!$B$7:$B$27,nASIG)&gt;0)*1),"")))</f>
        <v/>
      </c>
    </row>
    <row r="91" spans="2:35" x14ac:dyDescent="0.2">
      <c r="B91" t="str">
        <f>IF(A91="","",IF(A91="[FÓRMULA MANUAL]","",IFERROR(AVERAGEIFS(nNOTA,nNIA,A91,nCUENTA,1,nASIG,"Lenguaje Musical"),"")))</f>
        <v/>
      </c>
      <c r="C91" t="str">
        <f>IF(A91="","",IF(A91="[FÓRMULA MANUAL]","",IFERROR(AVERAGEIFS(nNOTA,nNIA,A91,nCUENTA,1,nASIG,"Orquesta/Banda/Conjunto"),"")))</f>
        <v/>
      </c>
      <c r="D91" t="str">
        <f>IF(A91="","",IF(A91="[FÓRMULA MANUAL]","",IFERROR(AVERAGEIFS(nNOTA,nNIA,A91,nCUENTA,1,nASIG,"Conjunto"),"")))</f>
        <v/>
      </c>
      <c r="E91" t="str">
        <f>IF(A91="","",IF(A91="[FÓRMULA MANUAL]","",IFERROR(SUMPRODUCT((nNIA=A91)*(nCUENTA=1)*(COUNTIF(CONFIG_ASIGNATURAS!$B$7:$B$27,nASIG)&gt;0)*(nNOTA))/SUMPRODUCT((nNIA=A91)*(nCUENTA=1)*(COUNTIF(CONFIG_ASIGNATURAS!$B$7:$B$27,nASIG)&gt;0)*1),"")))</f>
        <v/>
      </c>
      <c r="H91" t="str">
        <f>IF(G91="","",IF(G91="[FÓRMULA MANUAL]","",IFERROR(AVERAGEIFS(nNOTA,nNIA,G91,nCUENTA,1,nASIG,"Lenguaje Musical"),"")))</f>
        <v/>
      </c>
      <c r="I91" t="str">
        <f>IF(G91="","",IF(G91="[FÓRMULA MANUAL]","",IFERROR(AVERAGEIFS(nNOTA,nNIA,G91,nCUENTA,1,nASIG,"Orquesta/Banda/Conjunto"),"")))</f>
        <v/>
      </c>
      <c r="J91" t="str">
        <f>IF(G91="","",IF(G91="[FÓRMULA MANUAL]","",IFERROR(AVERAGEIFS(nNOTA,nNIA,G91,nCUENTA,1,nASIG,"Conjunto"),"")))</f>
        <v/>
      </c>
      <c r="K91" t="str">
        <f>IF(G91="","",IF(G91="[FÓRMULA MANUAL]","",IFERROR(SUMPRODUCT((nNIA=G91)*(nCUENTA=1)*(COUNTIF(CONFIG_ASIGNATURAS!$B$7:$B$27,nASIG)&gt;0)*(nNOTA))/SUMPRODUCT((nNIA=G91)*(nCUENTA=1)*(COUNTIF(CONFIG_ASIGNATURAS!$B$7:$B$27,nASIG)&gt;0)*1),"")))</f>
        <v/>
      </c>
      <c r="N91" t="str">
        <f>IF(M91="","",IF(M91="[FÓRMULA MANUAL]","",IFERROR(AVERAGEIFS(nNOTA,nNIA,M91,nCUENTA,1,nASIG,"Armonía"),"")))</f>
        <v/>
      </c>
      <c r="O91" t="str">
        <f>IF(M91="","",IF(M91="[FÓRMULA MANUAL]","",IFERROR(AVERAGEIFS(nNOTA,nNIA,M91,nCUENTA,1,nASIG,"Orquesta/Banda/Conjunto"),"")))</f>
        <v/>
      </c>
      <c r="P91" t="str">
        <f>IF(M91="","",IF(M91="[FÓRMULA MANUAL]","",IFERROR(AVERAGEIFS(nNOTA,nNIA,M91,nCUENTA,1,nASIG,"Música de Cámara"),"")))</f>
        <v/>
      </c>
      <c r="Q91" t="str">
        <f>IF(M91="","",IF(M91="[FÓRMULA MANUAL]","",IFERROR(SUMPRODUCT((nNIA=M91)*(nCUENTA=1)*(COUNTIF(CONFIG_ASIGNATURAS!$B$7:$B$27,nASIG)&gt;0)*(nNOTA))/SUMPRODUCT((nNIA=M91)*(nCUENTA=1)*(COUNTIF(CONFIG_ASIGNATURAS!$B$7:$B$27,nASIG)&gt;0)*1),"")))</f>
        <v/>
      </c>
      <c r="T91" t="str">
        <f>IF(S91="","",IF(S91="[FÓRMULA MANUAL]","",IFERROR(AVERAGEIFS(nNOTA,nNIA,S91,nCUENTA,1,nASIG,"Armonía"),"")))</f>
        <v/>
      </c>
      <c r="U91" t="str">
        <f>IF(S91="","",IF(S91="[FÓRMULA MANUAL]","",IFERROR(AVERAGEIFS(nNOTA,nNIA,S91,nCUENTA,1,nASIG,"Orquesta/Banda/Conjunto"),"")))</f>
        <v/>
      </c>
      <c r="V91" t="str">
        <f>IF(S91="","",IF(S91="[FÓRMULA MANUAL]","",IFERROR(AVERAGEIFS(nNOTA,nNIA,S91,nCUENTA,1,nASIG,"Música de Cámara"),"")))</f>
        <v/>
      </c>
      <c r="W91" t="str">
        <f>IF(S91="","",IF(S91="[FÓRMULA MANUAL]","",IFERROR(SUMPRODUCT((nNIA=S91)*(nCUENTA=1)*(COUNTIF(CONFIG_ASIGNATURAS!$B$7:$B$27,nASIG)&gt;0)*(nNOTA))/SUMPRODUCT((nNIA=S91)*(nCUENTA=1)*(COUNTIF(CONFIG_ASIGNATURAS!$B$7:$B$27,nASIG)&gt;0)*1),"")))</f>
        <v/>
      </c>
      <c r="Z91" t="str">
        <f>IF(Y91="","",IF(Y91="[FÓRMULA MANUAL]","",IFERROR(AVERAGEIFS(nNOTA,nNIA,Y91,nCUENTA,1,nASIG,"Análisis"),"")))</f>
        <v/>
      </c>
      <c r="AA91" t="str">
        <f>IF(Y91="","",IF(Y91="[FÓRMULA MANUAL]","",IFERROR(AVERAGEIFS(nNOTA,nNIA,Y91,nCUENTA,1,nASIG,"Orquesta/Banda/Conjunto"),"")))</f>
        <v/>
      </c>
      <c r="AB91" t="str">
        <f>IF(Y91="","",IF(Y91="[FÓRMULA MANUAL]","",IFERROR(AVERAGEIFS(nNOTA,nNIA,Y91,nCUENTA,1,nASIG,"Música de Cámara"),"")))</f>
        <v/>
      </c>
      <c r="AC91" t="str">
        <f>IF(Y91="","",IF(Y91="[FÓRMULA MANUAL]","",IFERROR(SUMPRODUCT((nNIA=Y91)*(nCUENTA=1)*(COUNTIF(CONFIG_ASIGNATURAS!$B$7:$B$27,nASIG)&gt;0)*(nNOTA))/SUMPRODUCT((nNIA=Y91)*(nCUENTA=1)*(COUNTIF(CONFIG_ASIGNATURAS!$B$7:$B$27,nASIG)&gt;0)*1),"")))</f>
        <v/>
      </c>
      <c r="AF91" t="str">
        <f>IF(AE91="","",IF(AE91="[FÓRMULA MANUAL]","",IFERROR(AVERAGEIFS(nNOTA,nNIA,AE91,nCUENTA,1,nASIG,"Análisis"),"")))</f>
        <v/>
      </c>
      <c r="AG91" t="str">
        <f>IF(AE91="","",IF(AE91="[FÓRMULA MANUAL]","",IFERROR(AVERAGEIFS(nNOTA,nNIA,AE91,nCUENTA,1,nASIG,"Orquesta/Banda/Conjunto"),"")))</f>
        <v/>
      </c>
      <c r="AH91" t="str">
        <f>IF(AE91="","",IF(AE91="[FÓRMULA MANUAL]","",IFERROR(AVERAGEIFS(nNOTA,nNIA,AE91,nCUENTA,1,nASIG,"Música de Cámara"),"")))</f>
        <v/>
      </c>
      <c r="AI91" t="str">
        <f>IF(AE91="","",IF(AE91="[FÓRMULA MANUAL]","",IFERROR(SUMPRODUCT((nNIA=AE91)*(nCUENTA=1)*(COUNTIF(CONFIG_ASIGNATURAS!$B$7:$B$27,nASIG)&gt;0)*(nNOTA))/SUMPRODUCT((nNIA=AE91)*(nCUENTA=1)*(COUNTIF(CONFIG_ASIGNATURAS!$B$7:$B$27,nASIG)&gt;0)*1),"")))</f>
        <v/>
      </c>
    </row>
    <row r="92" spans="2:35" x14ac:dyDescent="0.2">
      <c r="B92" t="str">
        <f>IF(A92="","",IF(A92="[FÓRMULA MANUAL]","",IFERROR(AVERAGEIFS(nNOTA,nNIA,A92,nCUENTA,1,nASIG,"Lenguaje Musical"),"")))</f>
        <v/>
      </c>
      <c r="C92" t="str">
        <f>IF(A92="","",IF(A92="[FÓRMULA MANUAL]","",IFERROR(AVERAGEIFS(nNOTA,nNIA,A92,nCUENTA,1,nASIG,"Orquesta/Banda/Conjunto"),"")))</f>
        <v/>
      </c>
      <c r="D92" t="str">
        <f>IF(A92="","",IF(A92="[FÓRMULA MANUAL]","",IFERROR(AVERAGEIFS(nNOTA,nNIA,A92,nCUENTA,1,nASIG,"Conjunto"),"")))</f>
        <v/>
      </c>
      <c r="E92" t="str">
        <f>IF(A92="","",IF(A92="[FÓRMULA MANUAL]","",IFERROR(SUMPRODUCT((nNIA=A92)*(nCUENTA=1)*(COUNTIF(CONFIG_ASIGNATURAS!$B$7:$B$27,nASIG)&gt;0)*(nNOTA))/SUMPRODUCT((nNIA=A92)*(nCUENTA=1)*(COUNTIF(CONFIG_ASIGNATURAS!$B$7:$B$27,nASIG)&gt;0)*1),"")))</f>
        <v/>
      </c>
      <c r="H92" t="str">
        <f>IF(G92="","",IF(G92="[FÓRMULA MANUAL]","",IFERROR(AVERAGEIFS(nNOTA,nNIA,G92,nCUENTA,1,nASIG,"Lenguaje Musical"),"")))</f>
        <v/>
      </c>
      <c r="I92" t="str">
        <f>IF(G92="","",IF(G92="[FÓRMULA MANUAL]","",IFERROR(AVERAGEIFS(nNOTA,nNIA,G92,nCUENTA,1,nASIG,"Orquesta/Banda/Conjunto"),"")))</f>
        <v/>
      </c>
      <c r="J92" t="str">
        <f>IF(G92="","",IF(G92="[FÓRMULA MANUAL]","",IFERROR(AVERAGEIFS(nNOTA,nNIA,G92,nCUENTA,1,nASIG,"Conjunto"),"")))</f>
        <v/>
      </c>
      <c r="K92" t="str">
        <f>IF(G92="","",IF(G92="[FÓRMULA MANUAL]","",IFERROR(SUMPRODUCT((nNIA=G92)*(nCUENTA=1)*(COUNTIF(CONFIG_ASIGNATURAS!$B$7:$B$27,nASIG)&gt;0)*(nNOTA))/SUMPRODUCT((nNIA=G92)*(nCUENTA=1)*(COUNTIF(CONFIG_ASIGNATURAS!$B$7:$B$27,nASIG)&gt;0)*1),"")))</f>
        <v/>
      </c>
      <c r="N92" t="str">
        <f>IF(M92="","",IF(M92="[FÓRMULA MANUAL]","",IFERROR(AVERAGEIFS(nNOTA,nNIA,M92,nCUENTA,1,nASIG,"Armonía"),"")))</f>
        <v/>
      </c>
      <c r="O92" t="str">
        <f>IF(M92="","",IF(M92="[FÓRMULA MANUAL]","",IFERROR(AVERAGEIFS(nNOTA,nNIA,M92,nCUENTA,1,nASIG,"Orquesta/Banda/Conjunto"),"")))</f>
        <v/>
      </c>
      <c r="P92" t="str">
        <f>IF(M92="","",IF(M92="[FÓRMULA MANUAL]","",IFERROR(AVERAGEIFS(nNOTA,nNIA,M92,nCUENTA,1,nASIG,"Música de Cámara"),"")))</f>
        <v/>
      </c>
      <c r="Q92" t="str">
        <f>IF(M92="","",IF(M92="[FÓRMULA MANUAL]","",IFERROR(SUMPRODUCT((nNIA=M92)*(nCUENTA=1)*(COUNTIF(CONFIG_ASIGNATURAS!$B$7:$B$27,nASIG)&gt;0)*(nNOTA))/SUMPRODUCT((nNIA=M92)*(nCUENTA=1)*(COUNTIF(CONFIG_ASIGNATURAS!$B$7:$B$27,nASIG)&gt;0)*1),"")))</f>
        <v/>
      </c>
      <c r="T92" t="str">
        <f>IF(S92="","",IF(S92="[FÓRMULA MANUAL]","",IFERROR(AVERAGEIFS(nNOTA,nNIA,S92,nCUENTA,1,nASIG,"Armonía"),"")))</f>
        <v/>
      </c>
      <c r="U92" t="str">
        <f>IF(S92="","",IF(S92="[FÓRMULA MANUAL]","",IFERROR(AVERAGEIFS(nNOTA,nNIA,S92,nCUENTA,1,nASIG,"Orquesta/Banda/Conjunto"),"")))</f>
        <v/>
      </c>
      <c r="V92" t="str">
        <f>IF(S92="","",IF(S92="[FÓRMULA MANUAL]","",IFERROR(AVERAGEIFS(nNOTA,nNIA,S92,nCUENTA,1,nASIG,"Música de Cámara"),"")))</f>
        <v/>
      </c>
      <c r="W92" t="str">
        <f>IF(S92="","",IF(S92="[FÓRMULA MANUAL]","",IFERROR(SUMPRODUCT((nNIA=S92)*(nCUENTA=1)*(COUNTIF(CONFIG_ASIGNATURAS!$B$7:$B$27,nASIG)&gt;0)*(nNOTA))/SUMPRODUCT((nNIA=S92)*(nCUENTA=1)*(COUNTIF(CONFIG_ASIGNATURAS!$B$7:$B$27,nASIG)&gt;0)*1),"")))</f>
        <v/>
      </c>
      <c r="Z92" t="str">
        <f>IF(Y92="","",IF(Y92="[FÓRMULA MANUAL]","",IFERROR(AVERAGEIFS(nNOTA,nNIA,Y92,nCUENTA,1,nASIG,"Análisis"),"")))</f>
        <v/>
      </c>
      <c r="AA92" t="str">
        <f>IF(Y92="","",IF(Y92="[FÓRMULA MANUAL]","",IFERROR(AVERAGEIFS(nNOTA,nNIA,Y92,nCUENTA,1,nASIG,"Orquesta/Banda/Conjunto"),"")))</f>
        <v/>
      </c>
      <c r="AB92" t="str">
        <f>IF(Y92="","",IF(Y92="[FÓRMULA MANUAL]","",IFERROR(AVERAGEIFS(nNOTA,nNIA,Y92,nCUENTA,1,nASIG,"Música de Cámara"),"")))</f>
        <v/>
      </c>
      <c r="AC92" t="str">
        <f>IF(Y92="","",IF(Y92="[FÓRMULA MANUAL]","",IFERROR(SUMPRODUCT((nNIA=Y92)*(nCUENTA=1)*(COUNTIF(CONFIG_ASIGNATURAS!$B$7:$B$27,nASIG)&gt;0)*(nNOTA))/SUMPRODUCT((nNIA=Y92)*(nCUENTA=1)*(COUNTIF(CONFIG_ASIGNATURAS!$B$7:$B$27,nASIG)&gt;0)*1),"")))</f>
        <v/>
      </c>
      <c r="AF92" t="str">
        <f>IF(AE92="","",IF(AE92="[FÓRMULA MANUAL]","",IFERROR(AVERAGEIFS(nNOTA,nNIA,AE92,nCUENTA,1,nASIG,"Análisis"),"")))</f>
        <v/>
      </c>
      <c r="AG92" t="str">
        <f>IF(AE92="","",IF(AE92="[FÓRMULA MANUAL]","",IFERROR(AVERAGEIFS(nNOTA,nNIA,AE92,nCUENTA,1,nASIG,"Orquesta/Banda/Conjunto"),"")))</f>
        <v/>
      </c>
      <c r="AH92" t="str">
        <f>IF(AE92="","",IF(AE92="[FÓRMULA MANUAL]","",IFERROR(AVERAGEIFS(nNOTA,nNIA,AE92,nCUENTA,1,nASIG,"Música de Cámara"),"")))</f>
        <v/>
      </c>
      <c r="AI92" t="str">
        <f>IF(AE92="","",IF(AE92="[FÓRMULA MANUAL]","",IFERROR(SUMPRODUCT((nNIA=AE92)*(nCUENTA=1)*(COUNTIF(CONFIG_ASIGNATURAS!$B$7:$B$27,nASIG)&gt;0)*(nNOTA))/SUMPRODUCT((nNIA=AE92)*(nCUENTA=1)*(COUNTIF(CONFIG_ASIGNATURAS!$B$7:$B$27,nASIG)&gt;0)*1),"")))</f>
        <v/>
      </c>
    </row>
    <row r="93" spans="2:35" x14ac:dyDescent="0.2">
      <c r="B93" t="str">
        <f>IF(A93="","",IF(A93="[FÓRMULA MANUAL]","",IFERROR(AVERAGEIFS(nNOTA,nNIA,A93,nCUENTA,1,nASIG,"Lenguaje Musical"),"")))</f>
        <v/>
      </c>
      <c r="C93" t="str">
        <f>IF(A93="","",IF(A93="[FÓRMULA MANUAL]","",IFERROR(AVERAGEIFS(nNOTA,nNIA,A93,nCUENTA,1,nASIG,"Orquesta/Banda/Conjunto"),"")))</f>
        <v/>
      </c>
      <c r="D93" t="str">
        <f>IF(A93="","",IF(A93="[FÓRMULA MANUAL]","",IFERROR(AVERAGEIFS(nNOTA,nNIA,A93,nCUENTA,1,nASIG,"Conjunto"),"")))</f>
        <v/>
      </c>
      <c r="E93" t="str">
        <f>IF(A93="","",IF(A93="[FÓRMULA MANUAL]","",IFERROR(SUMPRODUCT((nNIA=A93)*(nCUENTA=1)*(COUNTIF(CONFIG_ASIGNATURAS!$B$7:$B$27,nASIG)&gt;0)*(nNOTA))/SUMPRODUCT((nNIA=A93)*(nCUENTA=1)*(COUNTIF(CONFIG_ASIGNATURAS!$B$7:$B$27,nASIG)&gt;0)*1),"")))</f>
        <v/>
      </c>
      <c r="H93" t="str">
        <f>IF(G93="","",IF(G93="[FÓRMULA MANUAL]","",IFERROR(AVERAGEIFS(nNOTA,nNIA,G93,nCUENTA,1,nASIG,"Lenguaje Musical"),"")))</f>
        <v/>
      </c>
      <c r="I93" t="str">
        <f>IF(G93="","",IF(G93="[FÓRMULA MANUAL]","",IFERROR(AVERAGEIFS(nNOTA,nNIA,G93,nCUENTA,1,nASIG,"Orquesta/Banda/Conjunto"),"")))</f>
        <v/>
      </c>
      <c r="J93" t="str">
        <f>IF(G93="","",IF(G93="[FÓRMULA MANUAL]","",IFERROR(AVERAGEIFS(nNOTA,nNIA,G93,nCUENTA,1,nASIG,"Conjunto"),"")))</f>
        <v/>
      </c>
      <c r="K93" t="str">
        <f>IF(G93="","",IF(G93="[FÓRMULA MANUAL]","",IFERROR(SUMPRODUCT((nNIA=G93)*(nCUENTA=1)*(COUNTIF(CONFIG_ASIGNATURAS!$B$7:$B$27,nASIG)&gt;0)*(nNOTA))/SUMPRODUCT((nNIA=G93)*(nCUENTA=1)*(COUNTIF(CONFIG_ASIGNATURAS!$B$7:$B$27,nASIG)&gt;0)*1),"")))</f>
        <v/>
      </c>
      <c r="N93" t="str">
        <f>IF(M93="","",IF(M93="[FÓRMULA MANUAL]","",IFERROR(AVERAGEIFS(nNOTA,nNIA,M93,nCUENTA,1,nASIG,"Armonía"),"")))</f>
        <v/>
      </c>
      <c r="O93" t="str">
        <f>IF(M93="","",IF(M93="[FÓRMULA MANUAL]","",IFERROR(AVERAGEIFS(nNOTA,nNIA,M93,nCUENTA,1,nASIG,"Orquesta/Banda/Conjunto"),"")))</f>
        <v/>
      </c>
      <c r="P93" t="str">
        <f>IF(M93="","",IF(M93="[FÓRMULA MANUAL]","",IFERROR(AVERAGEIFS(nNOTA,nNIA,M93,nCUENTA,1,nASIG,"Música de Cámara"),"")))</f>
        <v/>
      </c>
      <c r="Q93" t="str">
        <f>IF(M93="","",IF(M93="[FÓRMULA MANUAL]","",IFERROR(SUMPRODUCT((nNIA=M93)*(nCUENTA=1)*(COUNTIF(CONFIG_ASIGNATURAS!$B$7:$B$27,nASIG)&gt;0)*(nNOTA))/SUMPRODUCT((nNIA=M93)*(nCUENTA=1)*(COUNTIF(CONFIG_ASIGNATURAS!$B$7:$B$27,nASIG)&gt;0)*1),"")))</f>
        <v/>
      </c>
      <c r="T93" t="str">
        <f>IF(S93="","",IF(S93="[FÓRMULA MANUAL]","",IFERROR(AVERAGEIFS(nNOTA,nNIA,S93,nCUENTA,1,nASIG,"Armonía"),"")))</f>
        <v/>
      </c>
      <c r="U93" t="str">
        <f>IF(S93="","",IF(S93="[FÓRMULA MANUAL]","",IFERROR(AVERAGEIFS(nNOTA,nNIA,S93,nCUENTA,1,nASIG,"Orquesta/Banda/Conjunto"),"")))</f>
        <v/>
      </c>
      <c r="V93" t="str">
        <f>IF(S93="","",IF(S93="[FÓRMULA MANUAL]","",IFERROR(AVERAGEIFS(nNOTA,nNIA,S93,nCUENTA,1,nASIG,"Música de Cámara"),"")))</f>
        <v/>
      </c>
      <c r="W93" t="str">
        <f>IF(S93="","",IF(S93="[FÓRMULA MANUAL]","",IFERROR(SUMPRODUCT((nNIA=S93)*(nCUENTA=1)*(COUNTIF(CONFIG_ASIGNATURAS!$B$7:$B$27,nASIG)&gt;0)*(nNOTA))/SUMPRODUCT((nNIA=S93)*(nCUENTA=1)*(COUNTIF(CONFIG_ASIGNATURAS!$B$7:$B$27,nASIG)&gt;0)*1),"")))</f>
        <v/>
      </c>
      <c r="Z93" t="str">
        <f>IF(Y93="","",IF(Y93="[FÓRMULA MANUAL]","",IFERROR(AVERAGEIFS(nNOTA,nNIA,Y93,nCUENTA,1,nASIG,"Análisis"),"")))</f>
        <v/>
      </c>
      <c r="AA93" t="str">
        <f>IF(Y93="","",IF(Y93="[FÓRMULA MANUAL]","",IFERROR(AVERAGEIFS(nNOTA,nNIA,Y93,nCUENTA,1,nASIG,"Orquesta/Banda/Conjunto"),"")))</f>
        <v/>
      </c>
      <c r="AB93" t="str">
        <f>IF(Y93="","",IF(Y93="[FÓRMULA MANUAL]","",IFERROR(AVERAGEIFS(nNOTA,nNIA,Y93,nCUENTA,1,nASIG,"Música de Cámara"),"")))</f>
        <v/>
      </c>
      <c r="AC93" t="str">
        <f>IF(Y93="","",IF(Y93="[FÓRMULA MANUAL]","",IFERROR(SUMPRODUCT((nNIA=Y93)*(nCUENTA=1)*(COUNTIF(CONFIG_ASIGNATURAS!$B$7:$B$27,nASIG)&gt;0)*(nNOTA))/SUMPRODUCT((nNIA=Y93)*(nCUENTA=1)*(COUNTIF(CONFIG_ASIGNATURAS!$B$7:$B$27,nASIG)&gt;0)*1),"")))</f>
        <v/>
      </c>
      <c r="AF93" t="str">
        <f>IF(AE93="","",IF(AE93="[FÓRMULA MANUAL]","",IFERROR(AVERAGEIFS(nNOTA,nNIA,AE93,nCUENTA,1,nASIG,"Análisis"),"")))</f>
        <v/>
      </c>
      <c r="AG93" t="str">
        <f>IF(AE93="","",IF(AE93="[FÓRMULA MANUAL]","",IFERROR(AVERAGEIFS(nNOTA,nNIA,AE93,nCUENTA,1,nASIG,"Orquesta/Banda/Conjunto"),"")))</f>
        <v/>
      </c>
      <c r="AH93" t="str">
        <f>IF(AE93="","",IF(AE93="[FÓRMULA MANUAL]","",IFERROR(AVERAGEIFS(nNOTA,nNIA,AE93,nCUENTA,1,nASIG,"Música de Cámara"),"")))</f>
        <v/>
      </c>
      <c r="AI93" t="str">
        <f>IF(AE93="","",IF(AE93="[FÓRMULA MANUAL]","",IFERROR(SUMPRODUCT((nNIA=AE93)*(nCUENTA=1)*(COUNTIF(CONFIG_ASIGNATURAS!$B$7:$B$27,nASIG)&gt;0)*(nNOTA))/SUMPRODUCT((nNIA=AE93)*(nCUENTA=1)*(COUNTIF(CONFIG_ASIGNATURAS!$B$7:$B$27,nASIG)&gt;0)*1),"")))</f>
        <v/>
      </c>
    </row>
    <row r="94" spans="2:35" x14ac:dyDescent="0.2">
      <c r="B94" t="str">
        <f>IF(A94="","",IF(A94="[FÓRMULA MANUAL]","",IFERROR(AVERAGEIFS(nNOTA,nNIA,A94,nCUENTA,1,nASIG,"Lenguaje Musical"),"")))</f>
        <v/>
      </c>
      <c r="C94" t="str">
        <f>IF(A94="","",IF(A94="[FÓRMULA MANUAL]","",IFERROR(AVERAGEIFS(nNOTA,nNIA,A94,nCUENTA,1,nASIG,"Orquesta/Banda/Conjunto"),"")))</f>
        <v/>
      </c>
      <c r="D94" t="str">
        <f>IF(A94="","",IF(A94="[FÓRMULA MANUAL]","",IFERROR(AVERAGEIFS(nNOTA,nNIA,A94,nCUENTA,1,nASIG,"Conjunto"),"")))</f>
        <v/>
      </c>
      <c r="E94" t="str">
        <f>IF(A94="","",IF(A94="[FÓRMULA MANUAL]","",IFERROR(SUMPRODUCT((nNIA=A94)*(nCUENTA=1)*(COUNTIF(CONFIG_ASIGNATURAS!$B$7:$B$27,nASIG)&gt;0)*(nNOTA))/SUMPRODUCT((nNIA=A94)*(nCUENTA=1)*(COUNTIF(CONFIG_ASIGNATURAS!$B$7:$B$27,nASIG)&gt;0)*1),"")))</f>
        <v/>
      </c>
      <c r="H94" t="str">
        <f>IF(G94="","",IF(G94="[FÓRMULA MANUAL]","",IFERROR(AVERAGEIFS(nNOTA,nNIA,G94,nCUENTA,1,nASIG,"Lenguaje Musical"),"")))</f>
        <v/>
      </c>
      <c r="I94" t="str">
        <f>IF(G94="","",IF(G94="[FÓRMULA MANUAL]","",IFERROR(AVERAGEIFS(nNOTA,nNIA,G94,nCUENTA,1,nASIG,"Orquesta/Banda/Conjunto"),"")))</f>
        <v/>
      </c>
      <c r="J94" t="str">
        <f>IF(G94="","",IF(G94="[FÓRMULA MANUAL]","",IFERROR(AVERAGEIFS(nNOTA,nNIA,G94,nCUENTA,1,nASIG,"Conjunto"),"")))</f>
        <v/>
      </c>
      <c r="K94" t="str">
        <f>IF(G94="","",IF(G94="[FÓRMULA MANUAL]","",IFERROR(SUMPRODUCT((nNIA=G94)*(nCUENTA=1)*(COUNTIF(CONFIG_ASIGNATURAS!$B$7:$B$27,nASIG)&gt;0)*(nNOTA))/SUMPRODUCT((nNIA=G94)*(nCUENTA=1)*(COUNTIF(CONFIG_ASIGNATURAS!$B$7:$B$27,nASIG)&gt;0)*1),"")))</f>
        <v/>
      </c>
      <c r="N94" t="str">
        <f>IF(M94="","",IF(M94="[FÓRMULA MANUAL]","",IFERROR(AVERAGEIFS(nNOTA,nNIA,M94,nCUENTA,1,nASIG,"Armonía"),"")))</f>
        <v/>
      </c>
      <c r="O94" t="str">
        <f>IF(M94="","",IF(M94="[FÓRMULA MANUAL]","",IFERROR(AVERAGEIFS(nNOTA,nNIA,M94,nCUENTA,1,nASIG,"Orquesta/Banda/Conjunto"),"")))</f>
        <v/>
      </c>
      <c r="P94" t="str">
        <f>IF(M94="","",IF(M94="[FÓRMULA MANUAL]","",IFERROR(AVERAGEIFS(nNOTA,nNIA,M94,nCUENTA,1,nASIG,"Música de Cámara"),"")))</f>
        <v/>
      </c>
      <c r="Q94" t="str">
        <f>IF(M94="","",IF(M94="[FÓRMULA MANUAL]","",IFERROR(SUMPRODUCT((nNIA=M94)*(nCUENTA=1)*(COUNTIF(CONFIG_ASIGNATURAS!$B$7:$B$27,nASIG)&gt;0)*(nNOTA))/SUMPRODUCT((nNIA=M94)*(nCUENTA=1)*(COUNTIF(CONFIG_ASIGNATURAS!$B$7:$B$27,nASIG)&gt;0)*1),"")))</f>
        <v/>
      </c>
      <c r="T94" t="str">
        <f>IF(S94="","",IF(S94="[FÓRMULA MANUAL]","",IFERROR(AVERAGEIFS(nNOTA,nNIA,S94,nCUENTA,1,nASIG,"Armonía"),"")))</f>
        <v/>
      </c>
      <c r="U94" t="str">
        <f>IF(S94="","",IF(S94="[FÓRMULA MANUAL]","",IFERROR(AVERAGEIFS(nNOTA,nNIA,S94,nCUENTA,1,nASIG,"Orquesta/Banda/Conjunto"),"")))</f>
        <v/>
      </c>
      <c r="V94" t="str">
        <f>IF(S94="","",IF(S94="[FÓRMULA MANUAL]","",IFERROR(AVERAGEIFS(nNOTA,nNIA,S94,nCUENTA,1,nASIG,"Música de Cámara"),"")))</f>
        <v/>
      </c>
      <c r="W94" t="str">
        <f>IF(S94="","",IF(S94="[FÓRMULA MANUAL]","",IFERROR(SUMPRODUCT((nNIA=S94)*(nCUENTA=1)*(COUNTIF(CONFIG_ASIGNATURAS!$B$7:$B$27,nASIG)&gt;0)*(nNOTA))/SUMPRODUCT((nNIA=S94)*(nCUENTA=1)*(COUNTIF(CONFIG_ASIGNATURAS!$B$7:$B$27,nASIG)&gt;0)*1),"")))</f>
        <v/>
      </c>
      <c r="Z94" t="str">
        <f>IF(Y94="","",IF(Y94="[FÓRMULA MANUAL]","",IFERROR(AVERAGEIFS(nNOTA,nNIA,Y94,nCUENTA,1,nASIG,"Análisis"),"")))</f>
        <v/>
      </c>
      <c r="AA94" t="str">
        <f>IF(Y94="","",IF(Y94="[FÓRMULA MANUAL]","",IFERROR(AVERAGEIFS(nNOTA,nNIA,Y94,nCUENTA,1,nASIG,"Orquesta/Banda/Conjunto"),"")))</f>
        <v/>
      </c>
      <c r="AB94" t="str">
        <f>IF(Y94="","",IF(Y94="[FÓRMULA MANUAL]","",IFERROR(AVERAGEIFS(nNOTA,nNIA,Y94,nCUENTA,1,nASIG,"Música de Cámara"),"")))</f>
        <v/>
      </c>
      <c r="AC94" t="str">
        <f>IF(Y94="","",IF(Y94="[FÓRMULA MANUAL]","",IFERROR(SUMPRODUCT((nNIA=Y94)*(nCUENTA=1)*(COUNTIF(CONFIG_ASIGNATURAS!$B$7:$B$27,nASIG)&gt;0)*(nNOTA))/SUMPRODUCT((nNIA=Y94)*(nCUENTA=1)*(COUNTIF(CONFIG_ASIGNATURAS!$B$7:$B$27,nASIG)&gt;0)*1),"")))</f>
        <v/>
      </c>
      <c r="AF94" t="str">
        <f>IF(AE94="","",IF(AE94="[FÓRMULA MANUAL]","",IFERROR(AVERAGEIFS(nNOTA,nNIA,AE94,nCUENTA,1,nASIG,"Análisis"),"")))</f>
        <v/>
      </c>
      <c r="AG94" t="str">
        <f>IF(AE94="","",IF(AE94="[FÓRMULA MANUAL]","",IFERROR(AVERAGEIFS(nNOTA,nNIA,AE94,nCUENTA,1,nASIG,"Orquesta/Banda/Conjunto"),"")))</f>
        <v/>
      </c>
      <c r="AH94" t="str">
        <f>IF(AE94="","",IF(AE94="[FÓRMULA MANUAL]","",IFERROR(AVERAGEIFS(nNOTA,nNIA,AE94,nCUENTA,1,nASIG,"Música de Cámara"),"")))</f>
        <v/>
      </c>
      <c r="AI94" t="str">
        <f>IF(AE94="","",IF(AE94="[FÓRMULA MANUAL]","",IFERROR(SUMPRODUCT((nNIA=AE94)*(nCUENTA=1)*(COUNTIF(CONFIG_ASIGNATURAS!$B$7:$B$27,nASIG)&gt;0)*(nNOTA))/SUMPRODUCT((nNIA=AE94)*(nCUENTA=1)*(COUNTIF(CONFIG_ASIGNATURAS!$B$7:$B$27,nASIG)&gt;0)*1),"")))</f>
        <v/>
      </c>
    </row>
    <row r="95" spans="2:35" x14ac:dyDescent="0.2">
      <c r="B95" t="str">
        <f>IF(A95="","",IF(A95="[FÓRMULA MANUAL]","",IFERROR(AVERAGEIFS(nNOTA,nNIA,A95,nCUENTA,1,nASIG,"Lenguaje Musical"),"")))</f>
        <v/>
      </c>
      <c r="C95" t="str">
        <f>IF(A95="","",IF(A95="[FÓRMULA MANUAL]","",IFERROR(AVERAGEIFS(nNOTA,nNIA,A95,nCUENTA,1,nASIG,"Orquesta/Banda/Conjunto"),"")))</f>
        <v/>
      </c>
      <c r="D95" t="str">
        <f>IF(A95="","",IF(A95="[FÓRMULA MANUAL]","",IFERROR(AVERAGEIFS(nNOTA,nNIA,A95,nCUENTA,1,nASIG,"Conjunto"),"")))</f>
        <v/>
      </c>
      <c r="E95" t="str">
        <f>IF(A95="","",IF(A95="[FÓRMULA MANUAL]","",IFERROR(SUMPRODUCT((nNIA=A95)*(nCUENTA=1)*(COUNTIF(CONFIG_ASIGNATURAS!$B$7:$B$27,nASIG)&gt;0)*(nNOTA))/SUMPRODUCT((nNIA=A95)*(nCUENTA=1)*(COUNTIF(CONFIG_ASIGNATURAS!$B$7:$B$27,nASIG)&gt;0)*1),"")))</f>
        <v/>
      </c>
      <c r="H95" t="str">
        <f>IF(G95="","",IF(G95="[FÓRMULA MANUAL]","",IFERROR(AVERAGEIFS(nNOTA,nNIA,G95,nCUENTA,1,nASIG,"Lenguaje Musical"),"")))</f>
        <v/>
      </c>
      <c r="I95" t="str">
        <f>IF(G95="","",IF(G95="[FÓRMULA MANUAL]","",IFERROR(AVERAGEIFS(nNOTA,nNIA,G95,nCUENTA,1,nASIG,"Orquesta/Banda/Conjunto"),"")))</f>
        <v/>
      </c>
      <c r="J95" t="str">
        <f>IF(G95="","",IF(G95="[FÓRMULA MANUAL]","",IFERROR(AVERAGEIFS(nNOTA,nNIA,G95,nCUENTA,1,nASIG,"Conjunto"),"")))</f>
        <v/>
      </c>
      <c r="K95" t="str">
        <f>IF(G95="","",IF(G95="[FÓRMULA MANUAL]","",IFERROR(SUMPRODUCT((nNIA=G95)*(nCUENTA=1)*(COUNTIF(CONFIG_ASIGNATURAS!$B$7:$B$27,nASIG)&gt;0)*(nNOTA))/SUMPRODUCT((nNIA=G95)*(nCUENTA=1)*(COUNTIF(CONFIG_ASIGNATURAS!$B$7:$B$27,nASIG)&gt;0)*1),"")))</f>
        <v/>
      </c>
      <c r="N95" t="str">
        <f>IF(M95="","",IF(M95="[FÓRMULA MANUAL]","",IFERROR(AVERAGEIFS(nNOTA,nNIA,M95,nCUENTA,1,nASIG,"Armonía"),"")))</f>
        <v/>
      </c>
      <c r="O95" t="str">
        <f>IF(M95="","",IF(M95="[FÓRMULA MANUAL]","",IFERROR(AVERAGEIFS(nNOTA,nNIA,M95,nCUENTA,1,nASIG,"Orquesta/Banda/Conjunto"),"")))</f>
        <v/>
      </c>
      <c r="P95" t="str">
        <f>IF(M95="","",IF(M95="[FÓRMULA MANUAL]","",IFERROR(AVERAGEIFS(nNOTA,nNIA,M95,nCUENTA,1,nASIG,"Música de Cámara"),"")))</f>
        <v/>
      </c>
      <c r="Q95" t="str">
        <f>IF(M95="","",IF(M95="[FÓRMULA MANUAL]","",IFERROR(SUMPRODUCT((nNIA=M95)*(nCUENTA=1)*(COUNTIF(CONFIG_ASIGNATURAS!$B$7:$B$27,nASIG)&gt;0)*(nNOTA))/SUMPRODUCT((nNIA=M95)*(nCUENTA=1)*(COUNTIF(CONFIG_ASIGNATURAS!$B$7:$B$27,nASIG)&gt;0)*1),"")))</f>
        <v/>
      </c>
      <c r="T95" t="str">
        <f>IF(S95="","",IF(S95="[FÓRMULA MANUAL]","",IFERROR(AVERAGEIFS(nNOTA,nNIA,S95,nCUENTA,1,nASIG,"Armonía"),"")))</f>
        <v/>
      </c>
      <c r="U95" t="str">
        <f>IF(S95="","",IF(S95="[FÓRMULA MANUAL]","",IFERROR(AVERAGEIFS(nNOTA,nNIA,S95,nCUENTA,1,nASIG,"Orquesta/Banda/Conjunto"),"")))</f>
        <v/>
      </c>
      <c r="V95" t="str">
        <f>IF(S95="","",IF(S95="[FÓRMULA MANUAL]","",IFERROR(AVERAGEIFS(nNOTA,nNIA,S95,nCUENTA,1,nASIG,"Música de Cámara"),"")))</f>
        <v/>
      </c>
      <c r="W95" t="str">
        <f>IF(S95="","",IF(S95="[FÓRMULA MANUAL]","",IFERROR(SUMPRODUCT((nNIA=S95)*(nCUENTA=1)*(COUNTIF(CONFIG_ASIGNATURAS!$B$7:$B$27,nASIG)&gt;0)*(nNOTA))/SUMPRODUCT((nNIA=S95)*(nCUENTA=1)*(COUNTIF(CONFIG_ASIGNATURAS!$B$7:$B$27,nASIG)&gt;0)*1),"")))</f>
        <v/>
      </c>
      <c r="Z95" t="str">
        <f>IF(Y95="","",IF(Y95="[FÓRMULA MANUAL]","",IFERROR(AVERAGEIFS(nNOTA,nNIA,Y95,nCUENTA,1,nASIG,"Análisis"),"")))</f>
        <v/>
      </c>
      <c r="AA95" t="str">
        <f>IF(Y95="","",IF(Y95="[FÓRMULA MANUAL]","",IFERROR(AVERAGEIFS(nNOTA,nNIA,Y95,nCUENTA,1,nASIG,"Orquesta/Banda/Conjunto"),"")))</f>
        <v/>
      </c>
      <c r="AB95" t="str">
        <f>IF(Y95="","",IF(Y95="[FÓRMULA MANUAL]","",IFERROR(AVERAGEIFS(nNOTA,nNIA,Y95,nCUENTA,1,nASIG,"Música de Cámara"),"")))</f>
        <v/>
      </c>
      <c r="AC95" t="str">
        <f>IF(Y95="","",IF(Y95="[FÓRMULA MANUAL]","",IFERROR(SUMPRODUCT((nNIA=Y95)*(nCUENTA=1)*(COUNTIF(CONFIG_ASIGNATURAS!$B$7:$B$27,nASIG)&gt;0)*(nNOTA))/SUMPRODUCT((nNIA=Y95)*(nCUENTA=1)*(COUNTIF(CONFIG_ASIGNATURAS!$B$7:$B$27,nASIG)&gt;0)*1),"")))</f>
        <v/>
      </c>
      <c r="AF95" t="str">
        <f>IF(AE95="","",IF(AE95="[FÓRMULA MANUAL]","",IFERROR(AVERAGEIFS(nNOTA,nNIA,AE95,nCUENTA,1,nASIG,"Análisis"),"")))</f>
        <v/>
      </c>
      <c r="AG95" t="str">
        <f>IF(AE95="","",IF(AE95="[FÓRMULA MANUAL]","",IFERROR(AVERAGEIFS(nNOTA,nNIA,AE95,nCUENTA,1,nASIG,"Orquesta/Banda/Conjunto"),"")))</f>
        <v/>
      </c>
      <c r="AH95" t="str">
        <f>IF(AE95="","",IF(AE95="[FÓRMULA MANUAL]","",IFERROR(AVERAGEIFS(nNOTA,nNIA,AE95,nCUENTA,1,nASIG,"Música de Cámara"),"")))</f>
        <v/>
      </c>
      <c r="AI95" t="str">
        <f>IF(AE95="","",IF(AE95="[FÓRMULA MANUAL]","",IFERROR(SUMPRODUCT((nNIA=AE95)*(nCUENTA=1)*(COUNTIF(CONFIG_ASIGNATURAS!$B$7:$B$27,nASIG)&gt;0)*(nNOTA))/SUMPRODUCT((nNIA=AE95)*(nCUENTA=1)*(COUNTIF(CONFIG_ASIGNATURAS!$B$7:$B$27,nASIG)&gt;0)*1),"")))</f>
        <v/>
      </c>
    </row>
    <row r="96" spans="2:35" x14ac:dyDescent="0.2">
      <c r="B96" t="str">
        <f>IF(A96="","",IF(A96="[FÓRMULA MANUAL]","",IFERROR(AVERAGEIFS(nNOTA,nNIA,A96,nCUENTA,1,nASIG,"Lenguaje Musical"),"")))</f>
        <v/>
      </c>
      <c r="C96" t="str">
        <f>IF(A96="","",IF(A96="[FÓRMULA MANUAL]","",IFERROR(AVERAGEIFS(nNOTA,nNIA,A96,nCUENTA,1,nASIG,"Orquesta/Banda/Conjunto"),"")))</f>
        <v/>
      </c>
      <c r="D96" t="str">
        <f>IF(A96="","",IF(A96="[FÓRMULA MANUAL]","",IFERROR(AVERAGEIFS(nNOTA,nNIA,A96,nCUENTA,1,nASIG,"Conjunto"),"")))</f>
        <v/>
      </c>
      <c r="E96" t="str">
        <f>IF(A96="","",IF(A96="[FÓRMULA MANUAL]","",IFERROR(SUMPRODUCT((nNIA=A96)*(nCUENTA=1)*(COUNTIF(CONFIG_ASIGNATURAS!$B$7:$B$27,nASIG)&gt;0)*(nNOTA))/SUMPRODUCT((nNIA=A96)*(nCUENTA=1)*(COUNTIF(CONFIG_ASIGNATURAS!$B$7:$B$27,nASIG)&gt;0)*1),"")))</f>
        <v/>
      </c>
      <c r="H96" t="str">
        <f>IF(G96="","",IF(G96="[FÓRMULA MANUAL]","",IFERROR(AVERAGEIFS(nNOTA,nNIA,G96,nCUENTA,1,nASIG,"Lenguaje Musical"),"")))</f>
        <v/>
      </c>
      <c r="I96" t="str">
        <f>IF(G96="","",IF(G96="[FÓRMULA MANUAL]","",IFERROR(AVERAGEIFS(nNOTA,nNIA,G96,nCUENTA,1,nASIG,"Orquesta/Banda/Conjunto"),"")))</f>
        <v/>
      </c>
      <c r="J96" t="str">
        <f>IF(G96="","",IF(G96="[FÓRMULA MANUAL]","",IFERROR(AVERAGEIFS(nNOTA,nNIA,G96,nCUENTA,1,nASIG,"Conjunto"),"")))</f>
        <v/>
      </c>
      <c r="K96" t="str">
        <f>IF(G96="","",IF(G96="[FÓRMULA MANUAL]","",IFERROR(SUMPRODUCT((nNIA=G96)*(nCUENTA=1)*(COUNTIF(CONFIG_ASIGNATURAS!$B$7:$B$27,nASIG)&gt;0)*(nNOTA))/SUMPRODUCT((nNIA=G96)*(nCUENTA=1)*(COUNTIF(CONFIG_ASIGNATURAS!$B$7:$B$27,nASIG)&gt;0)*1),"")))</f>
        <v/>
      </c>
      <c r="N96" t="str">
        <f>IF(M96="","",IF(M96="[FÓRMULA MANUAL]","",IFERROR(AVERAGEIFS(nNOTA,nNIA,M96,nCUENTA,1,nASIG,"Armonía"),"")))</f>
        <v/>
      </c>
      <c r="O96" t="str">
        <f>IF(M96="","",IF(M96="[FÓRMULA MANUAL]","",IFERROR(AVERAGEIFS(nNOTA,nNIA,M96,nCUENTA,1,nASIG,"Orquesta/Banda/Conjunto"),"")))</f>
        <v/>
      </c>
      <c r="P96" t="str">
        <f>IF(M96="","",IF(M96="[FÓRMULA MANUAL]","",IFERROR(AVERAGEIFS(nNOTA,nNIA,M96,nCUENTA,1,nASIG,"Música de Cámara"),"")))</f>
        <v/>
      </c>
      <c r="Q96" t="str">
        <f>IF(M96="","",IF(M96="[FÓRMULA MANUAL]","",IFERROR(SUMPRODUCT((nNIA=M96)*(nCUENTA=1)*(COUNTIF(CONFIG_ASIGNATURAS!$B$7:$B$27,nASIG)&gt;0)*(nNOTA))/SUMPRODUCT((nNIA=M96)*(nCUENTA=1)*(COUNTIF(CONFIG_ASIGNATURAS!$B$7:$B$27,nASIG)&gt;0)*1),"")))</f>
        <v/>
      </c>
      <c r="T96" t="str">
        <f>IF(S96="","",IF(S96="[FÓRMULA MANUAL]","",IFERROR(AVERAGEIFS(nNOTA,nNIA,S96,nCUENTA,1,nASIG,"Armonía"),"")))</f>
        <v/>
      </c>
      <c r="U96" t="str">
        <f>IF(S96="","",IF(S96="[FÓRMULA MANUAL]","",IFERROR(AVERAGEIFS(nNOTA,nNIA,S96,nCUENTA,1,nASIG,"Orquesta/Banda/Conjunto"),"")))</f>
        <v/>
      </c>
      <c r="V96" t="str">
        <f>IF(S96="","",IF(S96="[FÓRMULA MANUAL]","",IFERROR(AVERAGEIFS(nNOTA,nNIA,S96,nCUENTA,1,nASIG,"Música de Cámara"),"")))</f>
        <v/>
      </c>
      <c r="W96" t="str">
        <f>IF(S96="","",IF(S96="[FÓRMULA MANUAL]","",IFERROR(SUMPRODUCT((nNIA=S96)*(nCUENTA=1)*(COUNTIF(CONFIG_ASIGNATURAS!$B$7:$B$27,nASIG)&gt;0)*(nNOTA))/SUMPRODUCT((nNIA=S96)*(nCUENTA=1)*(COUNTIF(CONFIG_ASIGNATURAS!$B$7:$B$27,nASIG)&gt;0)*1),"")))</f>
        <v/>
      </c>
      <c r="Z96" t="str">
        <f>IF(Y96="","",IF(Y96="[FÓRMULA MANUAL]","",IFERROR(AVERAGEIFS(nNOTA,nNIA,Y96,nCUENTA,1,nASIG,"Análisis"),"")))</f>
        <v/>
      </c>
      <c r="AA96" t="str">
        <f>IF(Y96="","",IF(Y96="[FÓRMULA MANUAL]","",IFERROR(AVERAGEIFS(nNOTA,nNIA,Y96,nCUENTA,1,nASIG,"Orquesta/Banda/Conjunto"),"")))</f>
        <v/>
      </c>
      <c r="AB96" t="str">
        <f>IF(Y96="","",IF(Y96="[FÓRMULA MANUAL]","",IFERROR(AVERAGEIFS(nNOTA,nNIA,Y96,nCUENTA,1,nASIG,"Música de Cámara"),"")))</f>
        <v/>
      </c>
      <c r="AC96" t="str">
        <f>IF(Y96="","",IF(Y96="[FÓRMULA MANUAL]","",IFERROR(SUMPRODUCT((nNIA=Y96)*(nCUENTA=1)*(COUNTIF(CONFIG_ASIGNATURAS!$B$7:$B$27,nASIG)&gt;0)*(nNOTA))/SUMPRODUCT((nNIA=Y96)*(nCUENTA=1)*(COUNTIF(CONFIG_ASIGNATURAS!$B$7:$B$27,nASIG)&gt;0)*1),"")))</f>
        <v/>
      </c>
      <c r="AF96" t="str">
        <f>IF(AE96="","",IF(AE96="[FÓRMULA MANUAL]","",IFERROR(AVERAGEIFS(nNOTA,nNIA,AE96,nCUENTA,1,nASIG,"Análisis"),"")))</f>
        <v/>
      </c>
      <c r="AG96" t="str">
        <f>IF(AE96="","",IF(AE96="[FÓRMULA MANUAL]","",IFERROR(AVERAGEIFS(nNOTA,nNIA,AE96,nCUENTA,1,nASIG,"Orquesta/Banda/Conjunto"),"")))</f>
        <v/>
      </c>
      <c r="AH96" t="str">
        <f>IF(AE96="","",IF(AE96="[FÓRMULA MANUAL]","",IFERROR(AVERAGEIFS(nNOTA,nNIA,AE96,nCUENTA,1,nASIG,"Música de Cámara"),"")))</f>
        <v/>
      </c>
      <c r="AI96" t="str">
        <f>IF(AE96="","",IF(AE96="[FÓRMULA MANUAL]","",IFERROR(SUMPRODUCT((nNIA=AE96)*(nCUENTA=1)*(COUNTIF(CONFIG_ASIGNATURAS!$B$7:$B$27,nASIG)&gt;0)*(nNOTA))/SUMPRODUCT((nNIA=AE96)*(nCUENTA=1)*(COUNTIF(CONFIG_ASIGNATURAS!$B$7:$B$27,nASIG)&gt;0)*1),"")))</f>
        <v/>
      </c>
    </row>
    <row r="97" spans="2:35" x14ac:dyDescent="0.2">
      <c r="B97" t="str">
        <f>IF(A97="","",IF(A97="[FÓRMULA MANUAL]","",IFERROR(AVERAGEIFS(nNOTA,nNIA,A97,nCUENTA,1,nASIG,"Lenguaje Musical"),"")))</f>
        <v/>
      </c>
      <c r="C97" t="str">
        <f>IF(A97="","",IF(A97="[FÓRMULA MANUAL]","",IFERROR(AVERAGEIFS(nNOTA,nNIA,A97,nCUENTA,1,nASIG,"Orquesta/Banda/Conjunto"),"")))</f>
        <v/>
      </c>
      <c r="D97" t="str">
        <f>IF(A97="","",IF(A97="[FÓRMULA MANUAL]","",IFERROR(AVERAGEIFS(nNOTA,nNIA,A97,nCUENTA,1,nASIG,"Conjunto"),"")))</f>
        <v/>
      </c>
      <c r="E97" t="str">
        <f>IF(A97="","",IF(A97="[FÓRMULA MANUAL]","",IFERROR(SUMPRODUCT((nNIA=A97)*(nCUENTA=1)*(COUNTIF(CONFIG_ASIGNATURAS!$B$7:$B$27,nASIG)&gt;0)*(nNOTA))/SUMPRODUCT((nNIA=A97)*(nCUENTA=1)*(COUNTIF(CONFIG_ASIGNATURAS!$B$7:$B$27,nASIG)&gt;0)*1),"")))</f>
        <v/>
      </c>
      <c r="H97" t="str">
        <f>IF(G97="","",IF(G97="[FÓRMULA MANUAL]","",IFERROR(AVERAGEIFS(nNOTA,nNIA,G97,nCUENTA,1,nASIG,"Lenguaje Musical"),"")))</f>
        <v/>
      </c>
      <c r="I97" t="str">
        <f>IF(G97="","",IF(G97="[FÓRMULA MANUAL]","",IFERROR(AVERAGEIFS(nNOTA,nNIA,G97,nCUENTA,1,nASIG,"Orquesta/Banda/Conjunto"),"")))</f>
        <v/>
      </c>
      <c r="J97" t="str">
        <f>IF(G97="","",IF(G97="[FÓRMULA MANUAL]","",IFERROR(AVERAGEIFS(nNOTA,nNIA,G97,nCUENTA,1,nASIG,"Conjunto"),"")))</f>
        <v/>
      </c>
      <c r="K97" t="str">
        <f>IF(G97="","",IF(G97="[FÓRMULA MANUAL]","",IFERROR(SUMPRODUCT((nNIA=G97)*(nCUENTA=1)*(COUNTIF(CONFIG_ASIGNATURAS!$B$7:$B$27,nASIG)&gt;0)*(nNOTA))/SUMPRODUCT((nNIA=G97)*(nCUENTA=1)*(COUNTIF(CONFIG_ASIGNATURAS!$B$7:$B$27,nASIG)&gt;0)*1),"")))</f>
        <v/>
      </c>
      <c r="N97" t="str">
        <f>IF(M97="","",IF(M97="[FÓRMULA MANUAL]","",IFERROR(AVERAGEIFS(nNOTA,nNIA,M97,nCUENTA,1,nASIG,"Armonía"),"")))</f>
        <v/>
      </c>
      <c r="O97" t="str">
        <f>IF(M97="","",IF(M97="[FÓRMULA MANUAL]","",IFERROR(AVERAGEIFS(nNOTA,nNIA,M97,nCUENTA,1,nASIG,"Orquesta/Banda/Conjunto"),"")))</f>
        <v/>
      </c>
      <c r="P97" t="str">
        <f>IF(M97="","",IF(M97="[FÓRMULA MANUAL]","",IFERROR(AVERAGEIFS(nNOTA,nNIA,M97,nCUENTA,1,nASIG,"Música de Cámara"),"")))</f>
        <v/>
      </c>
      <c r="Q97" t="str">
        <f>IF(M97="","",IF(M97="[FÓRMULA MANUAL]","",IFERROR(SUMPRODUCT((nNIA=M97)*(nCUENTA=1)*(COUNTIF(CONFIG_ASIGNATURAS!$B$7:$B$27,nASIG)&gt;0)*(nNOTA))/SUMPRODUCT((nNIA=M97)*(nCUENTA=1)*(COUNTIF(CONFIG_ASIGNATURAS!$B$7:$B$27,nASIG)&gt;0)*1),"")))</f>
        <v/>
      </c>
      <c r="T97" t="str">
        <f>IF(S97="","",IF(S97="[FÓRMULA MANUAL]","",IFERROR(AVERAGEIFS(nNOTA,nNIA,S97,nCUENTA,1,nASIG,"Armonía"),"")))</f>
        <v/>
      </c>
      <c r="U97" t="str">
        <f>IF(S97="","",IF(S97="[FÓRMULA MANUAL]","",IFERROR(AVERAGEIFS(nNOTA,nNIA,S97,nCUENTA,1,nASIG,"Orquesta/Banda/Conjunto"),"")))</f>
        <v/>
      </c>
      <c r="V97" t="str">
        <f>IF(S97="","",IF(S97="[FÓRMULA MANUAL]","",IFERROR(AVERAGEIFS(nNOTA,nNIA,S97,nCUENTA,1,nASIG,"Música de Cámara"),"")))</f>
        <v/>
      </c>
      <c r="W97" t="str">
        <f>IF(S97="","",IF(S97="[FÓRMULA MANUAL]","",IFERROR(SUMPRODUCT((nNIA=S97)*(nCUENTA=1)*(COUNTIF(CONFIG_ASIGNATURAS!$B$7:$B$27,nASIG)&gt;0)*(nNOTA))/SUMPRODUCT((nNIA=S97)*(nCUENTA=1)*(COUNTIF(CONFIG_ASIGNATURAS!$B$7:$B$27,nASIG)&gt;0)*1),"")))</f>
        <v/>
      </c>
      <c r="Z97" t="str">
        <f>IF(Y97="","",IF(Y97="[FÓRMULA MANUAL]","",IFERROR(AVERAGEIFS(nNOTA,nNIA,Y97,nCUENTA,1,nASIG,"Análisis"),"")))</f>
        <v/>
      </c>
      <c r="AA97" t="str">
        <f>IF(Y97="","",IF(Y97="[FÓRMULA MANUAL]","",IFERROR(AVERAGEIFS(nNOTA,nNIA,Y97,nCUENTA,1,nASIG,"Orquesta/Banda/Conjunto"),"")))</f>
        <v/>
      </c>
      <c r="AB97" t="str">
        <f>IF(Y97="","",IF(Y97="[FÓRMULA MANUAL]","",IFERROR(AVERAGEIFS(nNOTA,nNIA,Y97,nCUENTA,1,nASIG,"Música de Cámara"),"")))</f>
        <v/>
      </c>
      <c r="AC97" t="str">
        <f>IF(Y97="","",IF(Y97="[FÓRMULA MANUAL]","",IFERROR(SUMPRODUCT((nNIA=Y97)*(nCUENTA=1)*(COUNTIF(CONFIG_ASIGNATURAS!$B$7:$B$27,nASIG)&gt;0)*(nNOTA))/SUMPRODUCT((nNIA=Y97)*(nCUENTA=1)*(COUNTIF(CONFIG_ASIGNATURAS!$B$7:$B$27,nASIG)&gt;0)*1),"")))</f>
        <v/>
      </c>
      <c r="AF97" t="str">
        <f>IF(AE97="","",IF(AE97="[FÓRMULA MANUAL]","",IFERROR(AVERAGEIFS(nNOTA,nNIA,AE97,nCUENTA,1,nASIG,"Análisis"),"")))</f>
        <v/>
      </c>
      <c r="AG97" t="str">
        <f>IF(AE97="","",IF(AE97="[FÓRMULA MANUAL]","",IFERROR(AVERAGEIFS(nNOTA,nNIA,AE97,nCUENTA,1,nASIG,"Orquesta/Banda/Conjunto"),"")))</f>
        <v/>
      </c>
      <c r="AH97" t="str">
        <f>IF(AE97="","",IF(AE97="[FÓRMULA MANUAL]","",IFERROR(AVERAGEIFS(nNOTA,nNIA,AE97,nCUENTA,1,nASIG,"Música de Cámara"),"")))</f>
        <v/>
      </c>
      <c r="AI97" t="str">
        <f>IF(AE97="","",IF(AE97="[FÓRMULA MANUAL]","",IFERROR(SUMPRODUCT((nNIA=AE97)*(nCUENTA=1)*(COUNTIF(CONFIG_ASIGNATURAS!$B$7:$B$27,nASIG)&gt;0)*(nNOTA))/SUMPRODUCT((nNIA=AE97)*(nCUENTA=1)*(COUNTIF(CONFIG_ASIGNATURAS!$B$7:$B$27,nASIG)&gt;0)*1),"")))</f>
        <v/>
      </c>
    </row>
    <row r="98" spans="2:35" x14ac:dyDescent="0.2">
      <c r="B98" t="str">
        <f>IF(A98="","",IF(A98="[FÓRMULA MANUAL]","",IFERROR(AVERAGEIFS(nNOTA,nNIA,A98,nCUENTA,1,nASIG,"Lenguaje Musical"),"")))</f>
        <v/>
      </c>
      <c r="C98" t="str">
        <f>IF(A98="","",IF(A98="[FÓRMULA MANUAL]","",IFERROR(AVERAGEIFS(nNOTA,nNIA,A98,nCUENTA,1,nASIG,"Orquesta/Banda/Conjunto"),"")))</f>
        <v/>
      </c>
      <c r="D98" t="str">
        <f>IF(A98="","",IF(A98="[FÓRMULA MANUAL]","",IFERROR(AVERAGEIFS(nNOTA,nNIA,A98,nCUENTA,1,nASIG,"Conjunto"),"")))</f>
        <v/>
      </c>
      <c r="E98" t="str">
        <f>IF(A98="","",IF(A98="[FÓRMULA MANUAL]","",IFERROR(SUMPRODUCT((nNIA=A98)*(nCUENTA=1)*(COUNTIF(CONFIG_ASIGNATURAS!$B$7:$B$27,nASIG)&gt;0)*(nNOTA))/SUMPRODUCT((nNIA=A98)*(nCUENTA=1)*(COUNTIF(CONFIG_ASIGNATURAS!$B$7:$B$27,nASIG)&gt;0)*1),"")))</f>
        <v/>
      </c>
      <c r="H98" t="str">
        <f>IF(G98="","",IF(G98="[FÓRMULA MANUAL]","",IFERROR(AVERAGEIFS(nNOTA,nNIA,G98,nCUENTA,1,nASIG,"Lenguaje Musical"),"")))</f>
        <v/>
      </c>
      <c r="I98" t="str">
        <f>IF(G98="","",IF(G98="[FÓRMULA MANUAL]","",IFERROR(AVERAGEIFS(nNOTA,nNIA,G98,nCUENTA,1,nASIG,"Orquesta/Banda/Conjunto"),"")))</f>
        <v/>
      </c>
      <c r="J98" t="str">
        <f>IF(G98="","",IF(G98="[FÓRMULA MANUAL]","",IFERROR(AVERAGEIFS(nNOTA,nNIA,G98,nCUENTA,1,nASIG,"Conjunto"),"")))</f>
        <v/>
      </c>
      <c r="K98" t="str">
        <f>IF(G98="","",IF(G98="[FÓRMULA MANUAL]","",IFERROR(SUMPRODUCT((nNIA=G98)*(nCUENTA=1)*(COUNTIF(CONFIG_ASIGNATURAS!$B$7:$B$27,nASIG)&gt;0)*(nNOTA))/SUMPRODUCT((nNIA=G98)*(nCUENTA=1)*(COUNTIF(CONFIG_ASIGNATURAS!$B$7:$B$27,nASIG)&gt;0)*1),"")))</f>
        <v/>
      </c>
      <c r="N98" t="str">
        <f>IF(M98="","",IF(M98="[FÓRMULA MANUAL]","",IFERROR(AVERAGEIFS(nNOTA,nNIA,M98,nCUENTA,1,nASIG,"Armonía"),"")))</f>
        <v/>
      </c>
      <c r="O98" t="str">
        <f>IF(M98="","",IF(M98="[FÓRMULA MANUAL]","",IFERROR(AVERAGEIFS(nNOTA,nNIA,M98,nCUENTA,1,nASIG,"Orquesta/Banda/Conjunto"),"")))</f>
        <v/>
      </c>
      <c r="P98" t="str">
        <f>IF(M98="","",IF(M98="[FÓRMULA MANUAL]","",IFERROR(AVERAGEIFS(nNOTA,nNIA,M98,nCUENTA,1,nASIG,"Música de Cámara"),"")))</f>
        <v/>
      </c>
      <c r="Q98" t="str">
        <f>IF(M98="","",IF(M98="[FÓRMULA MANUAL]","",IFERROR(SUMPRODUCT((nNIA=M98)*(nCUENTA=1)*(COUNTIF(CONFIG_ASIGNATURAS!$B$7:$B$27,nASIG)&gt;0)*(nNOTA))/SUMPRODUCT((nNIA=M98)*(nCUENTA=1)*(COUNTIF(CONFIG_ASIGNATURAS!$B$7:$B$27,nASIG)&gt;0)*1),"")))</f>
        <v/>
      </c>
      <c r="T98" t="str">
        <f>IF(S98="","",IF(S98="[FÓRMULA MANUAL]","",IFERROR(AVERAGEIFS(nNOTA,nNIA,S98,nCUENTA,1,nASIG,"Armonía"),"")))</f>
        <v/>
      </c>
      <c r="U98" t="str">
        <f>IF(S98="","",IF(S98="[FÓRMULA MANUAL]","",IFERROR(AVERAGEIFS(nNOTA,nNIA,S98,nCUENTA,1,nASIG,"Orquesta/Banda/Conjunto"),"")))</f>
        <v/>
      </c>
      <c r="V98" t="str">
        <f>IF(S98="","",IF(S98="[FÓRMULA MANUAL]","",IFERROR(AVERAGEIFS(nNOTA,nNIA,S98,nCUENTA,1,nASIG,"Música de Cámara"),"")))</f>
        <v/>
      </c>
      <c r="W98" t="str">
        <f>IF(S98="","",IF(S98="[FÓRMULA MANUAL]","",IFERROR(SUMPRODUCT((nNIA=S98)*(nCUENTA=1)*(COUNTIF(CONFIG_ASIGNATURAS!$B$7:$B$27,nASIG)&gt;0)*(nNOTA))/SUMPRODUCT((nNIA=S98)*(nCUENTA=1)*(COUNTIF(CONFIG_ASIGNATURAS!$B$7:$B$27,nASIG)&gt;0)*1),"")))</f>
        <v/>
      </c>
      <c r="Z98" t="str">
        <f>IF(Y98="","",IF(Y98="[FÓRMULA MANUAL]","",IFERROR(AVERAGEIFS(nNOTA,nNIA,Y98,nCUENTA,1,nASIG,"Análisis"),"")))</f>
        <v/>
      </c>
      <c r="AA98" t="str">
        <f>IF(Y98="","",IF(Y98="[FÓRMULA MANUAL]","",IFERROR(AVERAGEIFS(nNOTA,nNIA,Y98,nCUENTA,1,nASIG,"Orquesta/Banda/Conjunto"),"")))</f>
        <v/>
      </c>
      <c r="AB98" t="str">
        <f>IF(Y98="","",IF(Y98="[FÓRMULA MANUAL]","",IFERROR(AVERAGEIFS(nNOTA,nNIA,Y98,nCUENTA,1,nASIG,"Música de Cámara"),"")))</f>
        <v/>
      </c>
      <c r="AC98" t="str">
        <f>IF(Y98="","",IF(Y98="[FÓRMULA MANUAL]","",IFERROR(SUMPRODUCT((nNIA=Y98)*(nCUENTA=1)*(COUNTIF(CONFIG_ASIGNATURAS!$B$7:$B$27,nASIG)&gt;0)*(nNOTA))/SUMPRODUCT((nNIA=Y98)*(nCUENTA=1)*(COUNTIF(CONFIG_ASIGNATURAS!$B$7:$B$27,nASIG)&gt;0)*1),"")))</f>
        <v/>
      </c>
      <c r="AF98" t="str">
        <f>IF(AE98="","",IF(AE98="[FÓRMULA MANUAL]","",IFERROR(AVERAGEIFS(nNOTA,nNIA,AE98,nCUENTA,1,nASIG,"Análisis"),"")))</f>
        <v/>
      </c>
      <c r="AG98" t="str">
        <f>IF(AE98="","",IF(AE98="[FÓRMULA MANUAL]","",IFERROR(AVERAGEIFS(nNOTA,nNIA,AE98,nCUENTA,1,nASIG,"Orquesta/Banda/Conjunto"),"")))</f>
        <v/>
      </c>
      <c r="AH98" t="str">
        <f>IF(AE98="","",IF(AE98="[FÓRMULA MANUAL]","",IFERROR(AVERAGEIFS(nNOTA,nNIA,AE98,nCUENTA,1,nASIG,"Música de Cámara"),"")))</f>
        <v/>
      </c>
      <c r="AI98" t="str">
        <f>IF(AE98="","",IF(AE98="[FÓRMULA MANUAL]","",IFERROR(SUMPRODUCT((nNIA=AE98)*(nCUENTA=1)*(COUNTIF(CONFIG_ASIGNATURAS!$B$7:$B$27,nASIG)&gt;0)*(nNOTA))/SUMPRODUCT((nNIA=AE98)*(nCUENTA=1)*(COUNTIF(CONFIG_ASIGNATURAS!$B$7:$B$27,nASIG)&gt;0)*1),"")))</f>
        <v/>
      </c>
    </row>
    <row r="99" spans="2:35" x14ac:dyDescent="0.2">
      <c r="B99" t="str">
        <f>IF(A99="","",IF(A99="[FÓRMULA MANUAL]","",IFERROR(AVERAGEIFS(nNOTA,nNIA,A99,nCUENTA,1,nASIG,"Lenguaje Musical"),"")))</f>
        <v/>
      </c>
      <c r="C99" t="str">
        <f>IF(A99="","",IF(A99="[FÓRMULA MANUAL]","",IFERROR(AVERAGEIFS(nNOTA,nNIA,A99,nCUENTA,1,nASIG,"Orquesta/Banda/Conjunto"),"")))</f>
        <v/>
      </c>
      <c r="D99" t="str">
        <f>IF(A99="","",IF(A99="[FÓRMULA MANUAL]","",IFERROR(AVERAGEIFS(nNOTA,nNIA,A99,nCUENTA,1,nASIG,"Conjunto"),"")))</f>
        <v/>
      </c>
      <c r="E99" t="str">
        <f>IF(A99="","",IF(A99="[FÓRMULA MANUAL]","",IFERROR(SUMPRODUCT((nNIA=A99)*(nCUENTA=1)*(COUNTIF(CONFIG_ASIGNATURAS!$B$7:$B$27,nASIG)&gt;0)*(nNOTA))/SUMPRODUCT((nNIA=A99)*(nCUENTA=1)*(COUNTIF(CONFIG_ASIGNATURAS!$B$7:$B$27,nASIG)&gt;0)*1),"")))</f>
        <v/>
      </c>
      <c r="H99" t="str">
        <f>IF(G99="","",IF(G99="[FÓRMULA MANUAL]","",IFERROR(AVERAGEIFS(nNOTA,nNIA,G99,nCUENTA,1,nASIG,"Lenguaje Musical"),"")))</f>
        <v/>
      </c>
      <c r="I99" t="str">
        <f>IF(G99="","",IF(G99="[FÓRMULA MANUAL]","",IFERROR(AVERAGEIFS(nNOTA,nNIA,G99,nCUENTA,1,nASIG,"Orquesta/Banda/Conjunto"),"")))</f>
        <v/>
      </c>
      <c r="J99" t="str">
        <f>IF(G99="","",IF(G99="[FÓRMULA MANUAL]","",IFERROR(AVERAGEIFS(nNOTA,nNIA,G99,nCUENTA,1,nASIG,"Conjunto"),"")))</f>
        <v/>
      </c>
      <c r="K99" t="str">
        <f>IF(G99="","",IF(G99="[FÓRMULA MANUAL]","",IFERROR(SUMPRODUCT((nNIA=G99)*(nCUENTA=1)*(COUNTIF(CONFIG_ASIGNATURAS!$B$7:$B$27,nASIG)&gt;0)*(nNOTA))/SUMPRODUCT((nNIA=G99)*(nCUENTA=1)*(COUNTIF(CONFIG_ASIGNATURAS!$B$7:$B$27,nASIG)&gt;0)*1),"")))</f>
        <v/>
      </c>
      <c r="N99" t="str">
        <f>IF(M99="","",IF(M99="[FÓRMULA MANUAL]","",IFERROR(AVERAGEIFS(nNOTA,nNIA,M99,nCUENTA,1,nASIG,"Armonía"),"")))</f>
        <v/>
      </c>
      <c r="O99" t="str">
        <f>IF(M99="","",IF(M99="[FÓRMULA MANUAL]","",IFERROR(AVERAGEIFS(nNOTA,nNIA,M99,nCUENTA,1,nASIG,"Orquesta/Banda/Conjunto"),"")))</f>
        <v/>
      </c>
      <c r="P99" t="str">
        <f>IF(M99="","",IF(M99="[FÓRMULA MANUAL]","",IFERROR(AVERAGEIFS(nNOTA,nNIA,M99,nCUENTA,1,nASIG,"Música de Cámara"),"")))</f>
        <v/>
      </c>
      <c r="Q99" t="str">
        <f>IF(M99="","",IF(M99="[FÓRMULA MANUAL]","",IFERROR(SUMPRODUCT((nNIA=M99)*(nCUENTA=1)*(COUNTIF(CONFIG_ASIGNATURAS!$B$7:$B$27,nASIG)&gt;0)*(nNOTA))/SUMPRODUCT((nNIA=M99)*(nCUENTA=1)*(COUNTIF(CONFIG_ASIGNATURAS!$B$7:$B$27,nASIG)&gt;0)*1),"")))</f>
        <v/>
      </c>
      <c r="T99" t="str">
        <f>IF(S99="","",IF(S99="[FÓRMULA MANUAL]","",IFERROR(AVERAGEIFS(nNOTA,nNIA,S99,nCUENTA,1,nASIG,"Armonía"),"")))</f>
        <v/>
      </c>
      <c r="U99" t="str">
        <f>IF(S99="","",IF(S99="[FÓRMULA MANUAL]","",IFERROR(AVERAGEIFS(nNOTA,nNIA,S99,nCUENTA,1,nASIG,"Orquesta/Banda/Conjunto"),"")))</f>
        <v/>
      </c>
      <c r="V99" t="str">
        <f>IF(S99="","",IF(S99="[FÓRMULA MANUAL]","",IFERROR(AVERAGEIFS(nNOTA,nNIA,S99,nCUENTA,1,nASIG,"Música de Cámara"),"")))</f>
        <v/>
      </c>
      <c r="W99" t="str">
        <f>IF(S99="","",IF(S99="[FÓRMULA MANUAL]","",IFERROR(SUMPRODUCT((nNIA=S99)*(nCUENTA=1)*(COUNTIF(CONFIG_ASIGNATURAS!$B$7:$B$27,nASIG)&gt;0)*(nNOTA))/SUMPRODUCT((nNIA=S99)*(nCUENTA=1)*(COUNTIF(CONFIG_ASIGNATURAS!$B$7:$B$27,nASIG)&gt;0)*1),"")))</f>
        <v/>
      </c>
      <c r="Z99" t="str">
        <f>IF(Y99="","",IF(Y99="[FÓRMULA MANUAL]","",IFERROR(AVERAGEIFS(nNOTA,nNIA,Y99,nCUENTA,1,nASIG,"Análisis"),"")))</f>
        <v/>
      </c>
      <c r="AA99" t="str">
        <f>IF(Y99="","",IF(Y99="[FÓRMULA MANUAL]","",IFERROR(AVERAGEIFS(nNOTA,nNIA,Y99,nCUENTA,1,nASIG,"Orquesta/Banda/Conjunto"),"")))</f>
        <v/>
      </c>
      <c r="AB99" t="str">
        <f>IF(Y99="","",IF(Y99="[FÓRMULA MANUAL]","",IFERROR(AVERAGEIFS(nNOTA,nNIA,Y99,nCUENTA,1,nASIG,"Música de Cámara"),"")))</f>
        <v/>
      </c>
      <c r="AC99" t="str">
        <f>IF(Y99="","",IF(Y99="[FÓRMULA MANUAL]","",IFERROR(SUMPRODUCT((nNIA=Y99)*(nCUENTA=1)*(COUNTIF(CONFIG_ASIGNATURAS!$B$7:$B$27,nASIG)&gt;0)*(nNOTA))/SUMPRODUCT((nNIA=Y99)*(nCUENTA=1)*(COUNTIF(CONFIG_ASIGNATURAS!$B$7:$B$27,nASIG)&gt;0)*1),"")))</f>
        <v/>
      </c>
      <c r="AF99" t="str">
        <f>IF(AE99="","",IF(AE99="[FÓRMULA MANUAL]","",IFERROR(AVERAGEIFS(nNOTA,nNIA,AE99,nCUENTA,1,nASIG,"Análisis"),"")))</f>
        <v/>
      </c>
      <c r="AG99" t="str">
        <f>IF(AE99="","",IF(AE99="[FÓRMULA MANUAL]","",IFERROR(AVERAGEIFS(nNOTA,nNIA,AE99,nCUENTA,1,nASIG,"Orquesta/Banda/Conjunto"),"")))</f>
        <v/>
      </c>
      <c r="AH99" t="str">
        <f>IF(AE99="","",IF(AE99="[FÓRMULA MANUAL]","",IFERROR(AVERAGEIFS(nNOTA,nNIA,AE99,nCUENTA,1,nASIG,"Música de Cámara"),"")))</f>
        <v/>
      </c>
      <c r="AI99" t="str">
        <f>IF(AE99="","",IF(AE99="[FÓRMULA MANUAL]","",IFERROR(SUMPRODUCT((nNIA=AE99)*(nCUENTA=1)*(COUNTIF(CONFIG_ASIGNATURAS!$B$7:$B$27,nASIG)&gt;0)*(nNOTA))/SUMPRODUCT((nNIA=AE99)*(nCUENTA=1)*(COUNTIF(CONFIG_ASIGNATURAS!$B$7:$B$27,nASIG)&gt;0)*1),"")))</f>
        <v/>
      </c>
    </row>
    <row r="100" spans="2:35" x14ac:dyDescent="0.2">
      <c r="B100" t="str">
        <f>IF(A100="","",IF(A100="[FÓRMULA MANUAL]","",IFERROR(AVERAGEIFS(nNOTA,nNIA,A100,nCUENTA,1,nASIG,"Lenguaje Musical"),"")))</f>
        <v/>
      </c>
      <c r="C100" t="str">
        <f>IF(A100="","",IF(A100="[FÓRMULA MANUAL]","",IFERROR(AVERAGEIFS(nNOTA,nNIA,A100,nCUENTA,1,nASIG,"Orquesta/Banda/Conjunto"),"")))</f>
        <v/>
      </c>
      <c r="D100" t="str">
        <f>IF(A100="","",IF(A100="[FÓRMULA MANUAL]","",IFERROR(AVERAGEIFS(nNOTA,nNIA,A100,nCUENTA,1,nASIG,"Conjunto"),"")))</f>
        <v/>
      </c>
      <c r="E100" t="str">
        <f>IF(A100="","",IF(A100="[FÓRMULA MANUAL]","",IFERROR(SUMPRODUCT((nNIA=A100)*(nCUENTA=1)*(COUNTIF(CONFIG_ASIGNATURAS!$B$7:$B$27,nASIG)&gt;0)*(nNOTA))/SUMPRODUCT((nNIA=A100)*(nCUENTA=1)*(COUNTIF(CONFIG_ASIGNATURAS!$B$7:$B$27,nASIG)&gt;0)*1),"")))</f>
        <v/>
      </c>
      <c r="H100" t="str">
        <f>IF(G100="","",IF(G100="[FÓRMULA MANUAL]","",IFERROR(AVERAGEIFS(nNOTA,nNIA,G100,nCUENTA,1,nASIG,"Lenguaje Musical"),"")))</f>
        <v/>
      </c>
      <c r="I100" t="str">
        <f>IF(G100="","",IF(G100="[FÓRMULA MANUAL]","",IFERROR(AVERAGEIFS(nNOTA,nNIA,G100,nCUENTA,1,nASIG,"Orquesta/Banda/Conjunto"),"")))</f>
        <v/>
      </c>
      <c r="J100" t="str">
        <f>IF(G100="","",IF(G100="[FÓRMULA MANUAL]","",IFERROR(AVERAGEIFS(nNOTA,nNIA,G100,nCUENTA,1,nASIG,"Conjunto"),"")))</f>
        <v/>
      </c>
      <c r="K100" t="str">
        <f>IF(G100="","",IF(G100="[FÓRMULA MANUAL]","",IFERROR(SUMPRODUCT((nNIA=G100)*(nCUENTA=1)*(COUNTIF(CONFIG_ASIGNATURAS!$B$7:$B$27,nASIG)&gt;0)*(nNOTA))/SUMPRODUCT((nNIA=G100)*(nCUENTA=1)*(COUNTIF(CONFIG_ASIGNATURAS!$B$7:$B$27,nASIG)&gt;0)*1),"")))</f>
        <v/>
      </c>
      <c r="N100" t="str">
        <f>IF(M100="","",IF(M100="[FÓRMULA MANUAL]","",IFERROR(AVERAGEIFS(nNOTA,nNIA,M100,nCUENTA,1,nASIG,"Armonía"),"")))</f>
        <v/>
      </c>
      <c r="O100" t="str">
        <f>IF(M100="","",IF(M100="[FÓRMULA MANUAL]","",IFERROR(AVERAGEIFS(nNOTA,nNIA,M100,nCUENTA,1,nASIG,"Orquesta/Banda/Conjunto"),"")))</f>
        <v/>
      </c>
      <c r="P100" t="str">
        <f>IF(M100="","",IF(M100="[FÓRMULA MANUAL]","",IFERROR(AVERAGEIFS(nNOTA,nNIA,M100,nCUENTA,1,nASIG,"Música de Cámara"),"")))</f>
        <v/>
      </c>
      <c r="Q100" t="str">
        <f>IF(M100="","",IF(M100="[FÓRMULA MANUAL]","",IFERROR(SUMPRODUCT((nNIA=M100)*(nCUENTA=1)*(COUNTIF(CONFIG_ASIGNATURAS!$B$7:$B$27,nASIG)&gt;0)*(nNOTA))/SUMPRODUCT((nNIA=M100)*(nCUENTA=1)*(COUNTIF(CONFIG_ASIGNATURAS!$B$7:$B$27,nASIG)&gt;0)*1),"")))</f>
        <v/>
      </c>
      <c r="T100" t="str">
        <f>IF(S100="","",IF(S100="[FÓRMULA MANUAL]","",IFERROR(AVERAGEIFS(nNOTA,nNIA,S100,nCUENTA,1,nASIG,"Armonía"),"")))</f>
        <v/>
      </c>
      <c r="U100" t="str">
        <f>IF(S100="","",IF(S100="[FÓRMULA MANUAL]","",IFERROR(AVERAGEIFS(nNOTA,nNIA,S100,nCUENTA,1,nASIG,"Orquesta/Banda/Conjunto"),"")))</f>
        <v/>
      </c>
      <c r="V100" t="str">
        <f>IF(S100="","",IF(S100="[FÓRMULA MANUAL]","",IFERROR(AVERAGEIFS(nNOTA,nNIA,S100,nCUENTA,1,nASIG,"Música de Cámara"),"")))</f>
        <v/>
      </c>
      <c r="W100" t="str">
        <f>IF(S100="","",IF(S100="[FÓRMULA MANUAL]","",IFERROR(SUMPRODUCT((nNIA=S100)*(nCUENTA=1)*(COUNTIF(CONFIG_ASIGNATURAS!$B$7:$B$27,nASIG)&gt;0)*(nNOTA))/SUMPRODUCT((nNIA=S100)*(nCUENTA=1)*(COUNTIF(CONFIG_ASIGNATURAS!$B$7:$B$27,nASIG)&gt;0)*1),"")))</f>
        <v/>
      </c>
      <c r="Z100" t="str">
        <f>IF(Y100="","",IF(Y100="[FÓRMULA MANUAL]","",IFERROR(AVERAGEIFS(nNOTA,nNIA,Y100,nCUENTA,1,nASIG,"Análisis"),"")))</f>
        <v/>
      </c>
      <c r="AA100" t="str">
        <f>IF(Y100="","",IF(Y100="[FÓRMULA MANUAL]","",IFERROR(AVERAGEIFS(nNOTA,nNIA,Y100,nCUENTA,1,nASIG,"Orquesta/Banda/Conjunto"),"")))</f>
        <v/>
      </c>
      <c r="AB100" t="str">
        <f>IF(Y100="","",IF(Y100="[FÓRMULA MANUAL]","",IFERROR(AVERAGEIFS(nNOTA,nNIA,Y100,nCUENTA,1,nASIG,"Música de Cámara"),"")))</f>
        <v/>
      </c>
      <c r="AC100" t="str">
        <f>IF(Y100="","",IF(Y100="[FÓRMULA MANUAL]","",IFERROR(SUMPRODUCT((nNIA=Y100)*(nCUENTA=1)*(COUNTIF(CONFIG_ASIGNATURAS!$B$7:$B$27,nASIG)&gt;0)*(nNOTA))/SUMPRODUCT((nNIA=Y100)*(nCUENTA=1)*(COUNTIF(CONFIG_ASIGNATURAS!$B$7:$B$27,nASIG)&gt;0)*1),"")))</f>
        <v/>
      </c>
      <c r="AF100" t="str">
        <f>IF(AE100="","",IF(AE100="[FÓRMULA MANUAL]","",IFERROR(AVERAGEIFS(nNOTA,nNIA,AE100,nCUENTA,1,nASIG,"Análisis"),"")))</f>
        <v/>
      </c>
      <c r="AG100" t="str">
        <f>IF(AE100="","",IF(AE100="[FÓRMULA MANUAL]","",IFERROR(AVERAGEIFS(nNOTA,nNIA,AE100,nCUENTA,1,nASIG,"Orquesta/Banda/Conjunto"),"")))</f>
        <v/>
      </c>
      <c r="AH100" t="str">
        <f>IF(AE100="","",IF(AE100="[FÓRMULA MANUAL]","",IFERROR(AVERAGEIFS(nNOTA,nNIA,AE100,nCUENTA,1,nASIG,"Música de Cámara"),"")))</f>
        <v/>
      </c>
      <c r="AI100" t="str">
        <f>IF(AE100="","",IF(AE100="[FÓRMULA MANUAL]","",IFERROR(SUMPRODUCT((nNIA=AE100)*(nCUENTA=1)*(COUNTIF(CONFIG_ASIGNATURAS!$B$7:$B$27,nASIG)&gt;0)*(nNOTA))/SUMPRODUCT((nNIA=AE100)*(nCUENTA=1)*(COUNTIF(CONFIG_ASIGNATURAS!$B$7:$B$27,nASIG)&gt;0)*1),"")))</f>
        <v/>
      </c>
    </row>
    <row r="101" spans="2:35" x14ac:dyDescent="0.2">
      <c r="B101" t="str">
        <f>IF(A101="","",IF(A101="[FÓRMULA MANUAL]","",IFERROR(AVERAGEIFS(nNOTA,nNIA,A101,nCUENTA,1,nASIG,"Lenguaje Musical"),"")))</f>
        <v/>
      </c>
      <c r="C101" t="str">
        <f>IF(A101="","",IF(A101="[FÓRMULA MANUAL]","",IFERROR(AVERAGEIFS(nNOTA,nNIA,A101,nCUENTA,1,nASIG,"Orquesta/Banda/Conjunto"),"")))</f>
        <v/>
      </c>
      <c r="D101" t="str">
        <f>IF(A101="","",IF(A101="[FÓRMULA MANUAL]","",IFERROR(AVERAGEIFS(nNOTA,nNIA,A101,nCUENTA,1,nASIG,"Conjunto"),"")))</f>
        <v/>
      </c>
      <c r="E101" t="str">
        <f>IF(A101="","",IF(A101="[FÓRMULA MANUAL]","",IFERROR(SUMPRODUCT((nNIA=A101)*(nCUENTA=1)*(COUNTIF(CONFIG_ASIGNATURAS!$B$7:$B$27,nASIG)&gt;0)*(nNOTA))/SUMPRODUCT((nNIA=A101)*(nCUENTA=1)*(COUNTIF(CONFIG_ASIGNATURAS!$B$7:$B$27,nASIG)&gt;0)*1),"")))</f>
        <v/>
      </c>
      <c r="H101" t="str">
        <f>IF(G101="","",IF(G101="[FÓRMULA MANUAL]","",IFERROR(AVERAGEIFS(nNOTA,nNIA,G101,nCUENTA,1,nASIG,"Lenguaje Musical"),"")))</f>
        <v/>
      </c>
      <c r="I101" t="str">
        <f>IF(G101="","",IF(G101="[FÓRMULA MANUAL]","",IFERROR(AVERAGEIFS(nNOTA,nNIA,G101,nCUENTA,1,nASIG,"Orquesta/Banda/Conjunto"),"")))</f>
        <v/>
      </c>
      <c r="J101" t="str">
        <f>IF(G101="","",IF(G101="[FÓRMULA MANUAL]","",IFERROR(AVERAGEIFS(nNOTA,nNIA,G101,nCUENTA,1,nASIG,"Conjunto"),"")))</f>
        <v/>
      </c>
      <c r="K101" t="str">
        <f>IF(G101="","",IF(G101="[FÓRMULA MANUAL]","",IFERROR(SUMPRODUCT((nNIA=G101)*(nCUENTA=1)*(COUNTIF(CONFIG_ASIGNATURAS!$B$7:$B$27,nASIG)&gt;0)*(nNOTA))/SUMPRODUCT((nNIA=G101)*(nCUENTA=1)*(COUNTIF(CONFIG_ASIGNATURAS!$B$7:$B$27,nASIG)&gt;0)*1),"")))</f>
        <v/>
      </c>
      <c r="N101" t="str">
        <f>IF(M101="","",IF(M101="[FÓRMULA MANUAL]","",IFERROR(AVERAGEIFS(nNOTA,nNIA,M101,nCUENTA,1,nASIG,"Armonía"),"")))</f>
        <v/>
      </c>
      <c r="O101" t="str">
        <f>IF(M101="","",IF(M101="[FÓRMULA MANUAL]","",IFERROR(AVERAGEIFS(nNOTA,nNIA,M101,nCUENTA,1,nASIG,"Orquesta/Banda/Conjunto"),"")))</f>
        <v/>
      </c>
      <c r="P101" t="str">
        <f>IF(M101="","",IF(M101="[FÓRMULA MANUAL]","",IFERROR(AVERAGEIFS(nNOTA,nNIA,M101,nCUENTA,1,nASIG,"Música de Cámara"),"")))</f>
        <v/>
      </c>
      <c r="Q101" t="str">
        <f>IF(M101="","",IF(M101="[FÓRMULA MANUAL]","",IFERROR(SUMPRODUCT((nNIA=M101)*(nCUENTA=1)*(COUNTIF(CONFIG_ASIGNATURAS!$B$7:$B$27,nASIG)&gt;0)*(nNOTA))/SUMPRODUCT((nNIA=M101)*(nCUENTA=1)*(COUNTIF(CONFIG_ASIGNATURAS!$B$7:$B$27,nASIG)&gt;0)*1),"")))</f>
        <v/>
      </c>
      <c r="T101" t="str">
        <f>IF(S101="","",IF(S101="[FÓRMULA MANUAL]","",IFERROR(AVERAGEIFS(nNOTA,nNIA,S101,nCUENTA,1,nASIG,"Armonía"),"")))</f>
        <v/>
      </c>
      <c r="U101" t="str">
        <f>IF(S101="","",IF(S101="[FÓRMULA MANUAL]","",IFERROR(AVERAGEIFS(nNOTA,nNIA,S101,nCUENTA,1,nASIG,"Orquesta/Banda/Conjunto"),"")))</f>
        <v/>
      </c>
      <c r="V101" t="str">
        <f>IF(S101="","",IF(S101="[FÓRMULA MANUAL]","",IFERROR(AVERAGEIFS(nNOTA,nNIA,S101,nCUENTA,1,nASIG,"Música de Cámara"),"")))</f>
        <v/>
      </c>
      <c r="W101" t="str">
        <f>IF(S101="","",IF(S101="[FÓRMULA MANUAL]","",IFERROR(SUMPRODUCT((nNIA=S101)*(nCUENTA=1)*(COUNTIF(CONFIG_ASIGNATURAS!$B$7:$B$27,nASIG)&gt;0)*(nNOTA))/SUMPRODUCT((nNIA=S101)*(nCUENTA=1)*(COUNTIF(CONFIG_ASIGNATURAS!$B$7:$B$27,nASIG)&gt;0)*1),"")))</f>
        <v/>
      </c>
      <c r="Z101" t="str">
        <f>IF(Y101="","",IF(Y101="[FÓRMULA MANUAL]","",IFERROR(AVERAGEIFS(nNOTA,nNIA,Y101,nCUENTA,1,nASIG,"Análisis"),"")))</f>
        <v/>
      </c>
      <c r="AA101" t="str">
        <f>IF(Y101="","",IF(Y101="[FÓRMULA MANUAL]","",IFERROR(AVERAGEIFS(nNOTA,nNIA,Y101,nCUENTA,1,nASIG,"Orquesta/Banda/Conjunto"),"")))</f>
        <v/>
      </c>
      <c r="AB101" t="str">
        <f>IF(Y101="","",IF(Y101="[FÓRMULA MANUAL]","",IFERROR(AVERAGEIFS(nNOTA,nNIA,Y101,nCUENTA,1,nASIG,"Música de Cámara"),"")))</f>
        <v/>
      </c>
      <c r="AC101" t="str">
        <f>IF(Y101="","",IF(Y101="[FÓRMULA MANUAL]","",IFERROR(SUMPRODUCT((nNIA=Y101)*(nCUENTA=1)*(COUNTIF(CONFIG_ASIGNATURAS!$B$7:$B$27,nASIG)&gt;0)*(nNOTA))/SUMPRODUCT((nNIA=Y101)*(nCUENTA=1)*(COUNTIF(CONFIG_ASIGNATURAS!$B$7:$B$27,nASIG)&gt;0)*1),"")))</f>
        <v/>
      </c>
      <c r="AF101" t="str">
        <f>IF(AE101="","",IF(AE101="[FÓRMULA MANUAL]","",IFERROR(AVERAGEIFS(nNOTA,nNIA,AE101,nCUENTA,1,nASIG,"Análisis"),"")))</f>
        <v/>
      </c>
      <c r="AG101" t="str">
        <f>IF(AE101="","",IF(AE101="[FÓRMULA MANUAL]","",IFERROR(AVERAGEIFS(nNOTA,nNIA,AE101,nCUENTA,1,nASIG,"Orquesta/Banda/Conjunto"),"")))</f>
        <v/>
      </c>
      <c r="AH101" t="str">
        <f>IF(AE101="","",IF(AE101="[FÓRMULA MANUAL]","",IFERROR(AVERAGEIFS(nNOTA,nNIA,AE101,nCUENTA,1,nASIG,"Música de Cámara"),"")))</f>
        <v/>
      </c>
      <c r="AI101" t="str">
        <f>IF(AE101="","",IF(AE101="[FÓRMULA MANUAL]","",IFERROR(SUMPRODUCT((nNIA=AE101)*(nCUENTA=1)*(COUNTIF(CONFIG_ASIGNATURAS!$B$7:$B$27,nASIG)&gt;0)*(nNOTA))/SUMPRODUCT((nNIA=AE101)*(nCUENTA=1)*(COUNTIF(CONFIG_ASIGNATURAS!$B$7:$B$27,nASIG)&gt;0)*1),"")))</f>
        <v/>
      </c>
    </row>
    <row r="102" spans="2:35" x14ac:dyDescent="0.2">
      <c r="B102" t="str">
        <f>IF(A102="","",IF(A102="[FÓRMULA MANUAL]","",IFERROR(AVERAGEIFS(nNOTA,nNIA,A102,nCUENTA,1,nASIG,"Lenguaje Musical"),"")))</f>
        <v/>
      </c>
      <c r="C102" t="str">
        <f>IF(A102="","",IF(A102="[FÓRMULA MANUAL]","",IFERROR(AVERAGEIFS(nNOTA,nNIA,A102,nCUENTA,1,nASIG,"Orquesta/Banda/Conjunto"),"")))</f>
        <v/>
      </c>
      <c r="D102" t="str">
        <f>IF(A102="","",IF(A102="[FÓRMULA MANUAL]","",IFERROR(AVERAGEIFS(nNOTA,nNIA,A102,nCUENTA,1,nASIG,"Conjunto"),"")))</f>
        <v/>
      </c>
      <c r="E102" t="str">
        <f>IF(A102="","",IF(A102="[FÓRMULA MANUAL]","",IFERROR(SUMPRODUCT((nNIA=A102)*(nCUENTA=1)*(COUNTIF(CONFIG_ASIGNATURAS!$B$7:$B$27,nASIG)&gt;0)*(nNOTA))/SUMPRODUCT((nNIA=A102)*(nCUENTA=1)*(COUNTIF(CONFIG_ASIGNATURAS!$B$7:$B$27,nASIG)&gt;0)*1),"")))</f>
        <v/>
      </c>
      <c r="H102" t="str">
        <f>IF(G102="","",IF(G102="[FÓRMULA MANUAL]","",IFERROR(AVERAGEIFS(nNOTA,nNIA,G102,nCUENTA,1,nASIG,"Lenguaje Musical"),"")))</f>
        <v/>
      </c>
      <c r="I102" t="str">
        <f>IF(G102="","",IF(G102="[FÓRMULA MANUAL]","",IFERROR(AVERAGEIFS(nNOTA,nNIA,G102,nCUENTA,1,nASIG,"Orquesta/Banda/Conjunto"),"")))</f>
        <v/>
      </c>
      <c r="J102" t="str">
        <f>IF(G102="","",IF(G102="[FÓRMULA MANUAL]","",IFERROR(AVERAGEIFS(nNOTA,nNIA,G102,nCUENTA,1,nASIG,"Conjunto"),"")))</f>
        <v/>
      </c>
      <c r="K102" t="str">
        <f>IF(G102="","",IF(G102="[FÓRMULA MANUAL]","",IFERROR(SUMPRODUCT((nNIA=G102)*(nCUENTA=1)*(COUNTIF(CONFIG_ASIGNATURAS!$B$7:$B$27,nASIG)&gt;0)*(nNOTA))/SUMPRODUCT((nNIA=G102)*(nCUENTA=1)*(COUNTIF(CONFIG_ASIGNATURAS!$B$7:$B$27,nASIG)&gt;0)*1),"")))</f>
        <v/>
      </c>
      <c r="N102" t="str">
        <f>IF(M102="","",IF(M102="[FÓRMULA MANUAL]","",IFERROR(AVERAGEIFS(nNOTA,nNIA,M102,nCUENTA,1,nASIG,"Armonía"),"")))</f>
        <v/>
      </c>
      <c r="O102" t="str">
        <f>IF(M102="","",IF(M102="[FÓRMULA MANUAL]","",IFERROR(AVERAGEIFS(nNOTA,nNIA,M102,nCUENTA,1,nASIG,"Orquesta/Banda/Conjunto"),"")))</f>
        <v/>
      </c>
      <c r="P102" t="str">
        <f>IF(M102="","",IF(M102="[FÓRMULA MANUAL]","",IFERROR(AVERAGEIFS(nNOTA,nNIA,M102,nCUENTA,1,nASIG,"Música de Cámara"),"")))</f>
        <v/>
      </c>
      <c r="Q102" t="str">
        <f>IF(M102="","",IF(M102="[FÓRMULA MANUAL]","",IFERROR(SUMPRODUCT((nNIA=M102)*(nCUENTA=1)*(COUNTIF(CONFIG_ASIGNATURAS!$B$7:$B$27,nASIG)&gt;0)*(nNOTA))/SUMPRODUCT((nNIA=M102)*(nCUENTA=1)*(COUNTIF(CONFIG_ASIGNATURAS!$B$7:$B$27,nASIG)&gt;0)*1),"")))</f>
        <v/>
      </c>
      <c r="T102" t="str">
        <f>IF(S102="","",IF(S102="[FÓRMULA MANUAL]","",IFERROR(AVERAGEIFS(nNOTA,nNIA,S102,nCUENTA,1,nASIG,"Armonía"),"")))</f>
        <v/>
      </c>
      <c r="U102" t="str">
        <f>IF(S102="","",IF(S102="[FÓRMULA MANUAL]","",IFERROR(AVERAGEIFS(nNOTA,nNIA,S102,nCUENTA,1,nASIG,"Orquesta/Banda/Conjunto"),"")))</f>
        <v/>
      </c>
      <c r="V102" t="str">
        <f>IF(S102="","",IF(S102="[FÓRMULA MANUAL]","",IFERROR(AVERAGEIFS(nNOTA,nNIA,S102,nCUENTA,1,nASIG,"Música de Cámara"),"")))</f>
        <v/>
      </c>
      <c r="W102" t="str">
        <f>IF(S102="","",IF(S102="[FÓRMULA MANUAL]","",IFERROR(SUMPRODUCT((nNIA=S102)*(nCUENTA=1)*(COUNTIF(CONFIG_ASIGNATURAS!$B$7:$B$27,nASIG)&gt;0)*(nNOTA))/SUMPRODUCT((nNIA=S102)*(nCUENTA=1)*(COUNTIF(CONFIG_ASIGNATURAS!$B$7:$B$27,nASIG)&gt;0)*1),"")))</f>
        <v/>
      </c>
      <c r="Z102" t="str">
        <f>IF(Y102="","",IF(Y102="[FÓRMULA MANUAL]","",IFERROR(AVERAGEIFS(nNOTA,nNIA,Y102,nCUENTA,1,nASIG,"Análisis"),"")))</f>
        <v/>
      </c>
      <c r="AA102" t="str">
        <f>IF(Y102="","",IF(Y102="[FÓRMULA MANUAL]","",IFERROR(AVERAGEIFS(nNOTA,nNIA,Y102,nCUENTA,1,nASIG,"Orquesta/Banda/Conjunto"),"")))</f>
        <v/>
      </c>
      <c r="AB102" t="str">
        <f>IF(Y102="","",IF(Y102="[FÓRMULA MANUAL]","",IFERROR(AVERAGEIFS(nNOTA,nNIA,Y102,nCUENTA,1,nASIG,"Música de Cámara"),"")))</f>
        <v/>
      </c>
      <c r="AC102" t="str">
        <f>IF(Y102="","",IF(Y102="[FÓRMULA MANUAL]","",IFERROR(SUMPRODUCT((nNIA=Y102)*(nCUENTA=1)*(COUNTIF(CONFIG_ASIGNATURAS!$B$7:$B$27,nASIG)&gt;0)*(nNOTA))/SUMPRODUCT((nNIA=Y102)*(nCUENTA=1)*(COUNTIF(CONFIG_ASIGNATURAS!$B$7:$B$27,nASIG)&gt;0)*1),"")))</f>
        <v/>
      </c>
      <c r="AF102" t="str">
        <f>IF(AE102="","",IF(AE102="[FÓRMULA MANUAL]","",IFERROR(AVERAGEIFS(nNOTA,nNIA,AE102,nCUENTA,1,nASIG,"Análisis"),"")))</f>
        <v/>
      </c>
      <c r="AG102" t="str">
        <f>IF(AE102="","",IF(AE102="[FÓRMULA MANUAL]","",IFERROR(AVERAGEIFS(nNOTA,nNIA,AE102,nCUENTA,1,nASIG,"Orquesta/Banda/Conjunto"),"")))</f>
        <v/>
      </c>
      <c r="AH102" t="str">
        <f>IF(AE102="","",IF(AE102="[FÓRMULA MANUAL]","",IFERROR(AVERAGEIFS(nNOTA,nNIA,AE102,nCUENTA,1,nASIG,"Música de Cámara"),"")))</f>
        <v/>
      </c>
      <c r="AI102" t="str">
        <f>IF(AE102="","",IF(AE102="[FÓRMULA MANUAL]","",IFERROR(SUMPRODUCT((nNIA=AE102)*(nCUENTA=1)*(COUNTIF(CONFIG_ASIGNATURAS!$B$7:$B$27,nASIG)&gt;0)*(nNOTA))/SUMPRODUCT((nNIA=AE102)*(nCUENTA=1)*(COUNTIF(CONFIG_ASIGNATURAS!$B$7:$B$27,nASIG)&gt;0)*1),"")))</f>
        <v/>
      </c>
    </row>
    <row r="103" spans="2:35" x14ac:dyDescent="0.2">
      <c r="B103" t="str">
        <f>IF(A103="","",IF(A103="[FÓRMULA MANUAL]","",IFERROR(AVERAGEIFS(nNOTA,nNIA,A103,nCUENTA,1,nASIG,"Lenguaje Musical"),"")))</f>
        <v/>
      </c>
      <c r="C103" t="str">
        <f>IF(A103="","",IF(A103="[FÓRMULA MANUAL]","",IFERROR(AVERAGEIFS(nNOTA,nNIA,A103,nCUENTA,1,nASIG,"Orquesta/Banda/Conjunto"),"")))</f>
        <v/>
      </c>
      <c r="D103" t="str">
        <f>IF(A103="","",IF(A103="[FÓRMULA MANUAL]","",IFERROR(AVERAGEIFS(nNOTA,nNIA,A103,nCUENTA,1,nASIG,"Conjunto"),"")))</f>
        <v/>
      </c>
      <c r="E103" t="str">
        <f>IF(A103="","",IF(A103="[FÓRMULA MANUAL]","",IFERROR(SUMPRODUCT((nNIA=A103)*(nCUENTA=1)*(COUNTIF(CONFIG_ASIGNATURAS!$B$7:$B$27,nASIG)&gt;0)*(nNOTA))/SUMPRODUCT((nNIA=A103)*(nCUENTA=1)*(COUNTIF(CONFIG_ASIGNATURAS!$B$7:$B$27,nASIG)&gt;0)*1),"")))</f>
        <v/>
      </c>
      <c r="H103" t="str">
        <f>IF(G103="","",IF(G103="[FÓRMULA MANUAL]","",IFERROR(AVERAGEIFS(nNOTA,nNIA,G103,nCUENTA,1,nASIG,"Lenguaje Musical"),"")))</f>
        <v/>
      </c>
      <c r="I103" t="str">
        <f>IF(G103="","",IF(G103="[FÓRMULA MANUAL]","",IFERROR(AVERAGEIFS(nNOTA,nNIA,G103,nCUENTA,1,nASIG,"Orquesta/Banda/Conjunto"),"")))</f>
        <v/>
      </c>
      <c r="J103" t="str">
        <f>IF(G103="","",IF(G103="[FÓRMULA MANUAL]","",IFERROR(AVERAGEIFS(nNOTA,nNIA,G103,nCUENTA,1,nASIG,"Conjunto"),"")))</f>
        <v/>
      </c>
      <c r="K103" t="str">
        <f>IF(G103="","",IF(G103="[FÓRMULA MANUAL]","",IFERROR(SUMPRODUCT((nNIA=G103)*(nCUENTA=1)*(COUNTIF(CONFIG_ASIGNATURAS!$B$7:$B$27,nASIG)&gt;0)*(nNOTA))/SUMPRODUCT((nNIA=G103)*(nCUENTA=1)*(COUNTIF(CONFIG_ASIGNATURAS!$B$7:$B$27,nASIG)&gt;0)*1),"")))</f>
        <v/>
      </c>
      <c r="N103" t="str">
        <f>IF(M103="","",IF(M103="[FÓRMULA MANUAL]","",IFERROR(AVERAGEIFS(nNOTA,nNIA,M103,nCUENTA,1,nASIG,"Armonía"),"")))</f>
        <v/>
      </c>
      <c r="O103" t="str">
        <f>IF(M103="","",IF(M103="[FÓRMULA MANUAL]","",IFERROR(AVERAGEIFS(nNOTA,nNIA,M103,nCUENTA,1,nASIG,"Orquesta/Banda/Conjunto"),"")))</f>
        <v/>
      </c>
      <c r="P103" t="str">
        <f>IF(M103="","",IF(M103="[FÓRMULA MANUAL]","",IFERROR(AVERAGEIFS(nNOTA,nNIA,M103,nCUENTA,1,nASIG,"Música de Cámara"),"")))</f>
        <v/>
      </c>
      <c r="Q103" t="str">
        <f>IF(M103="","",IF(M103="[FÓRMULA MANUAL]","",IFERROR(SUMPRODUCT((nNIA=M103)*(nCUENTA=1)*(COUNTIF(CONFIG_ASIGNATURAS!$B$7:$B$27,nASIG)&gt;0)*(nNOTA))/SUMPRODUCT((nNIA=M103)*(nCUENTA=1)*(COUNTIF(CONFIG_ASIGNATURAS!$B$7:$B$27,nASIG)&gt;0)*1),"")))</f>
        <v/>
      </c>
      <c r="T103" t="str">
        <f>IF(S103="","",IF(S103="[FÓRMULA MANUAL]","",IFERROR(AVERAGEIFS(nNOTA,nNIA,S103,nCUENTA,1,nASIG,"Armonía"),"")))</f>
        <v/>
      </c>
      <c r="U103" t="str">
        <f>IF(S103="","",IF(S103="[FÓRMULA MANUAL]","",IFERROR(AVERAGEIFS(nNOTA,nNIA,S103,nCUENTA,1,nASIG,"Orquesta/Banda/Conjunto"),"")))</f>
        <v/>
      </c>
      <c r="V103" t="str">
        <f>IF(S103="","",IF(S103="[FÓRMULA MANUAL]","",IFERROR(AVERAGEIFS(nNOTA,nNIA,S103,nCUENTA,1,nASIG,"Música de Cámara"),"")))</f>
        <v/>
      </c>
      <c r="W103" t="str">
        <f>IF(S103="","",IF(S103="[FÓRMULA MANUAL]","",IFERROR(SUMPRODUCT((nNIA=S103)*(nCUENTA=1)*(COUNTIF(CONFIG_ASIGNATURAS!$B$7:$B$27,nASIG)&gt;0)*(nNOTA))/SUMPRODUCT((nNIA=S103)*(nCUENTA=1)*(COUNTIF(CONFIG_ASIGNATURAS!$B$7:$B$27,nASIG)&gt;0)*1),"")))</f>
        <v/>
      </c>
      <c r="Z103" t="str">
        <f>IF(Y103="","",IF(Y103="[FÓRMULA MANUAL]","",IFERROR(AVERAGEIFS(nNOTA,nNIA,Y103,nCUENTA,1,nASIG,"Análisis"),"")))</f>
        <v/>
      </c>
      <c r="AA103" t="str">
        <f>IF(Y103="","",IF(Y103="[FÓRMULA MANUAL]","",IFERROR(AVERAGEIFS(nNOTA,nNIA,Y103,nCUENTA,1,nASIG,"Orquesta/Banda/Conjunto"),"")))</f>
        <v/>
      </c>
      <c r="AB103" t="str">
        <f>IF(Y103="","",IF(Y103="[FÓRMULA MANUAL]","",IFERROR(AVERAGEIFS(nNOTA,nNIA,Y103,nCUENTA,1,nASIG,"Música de Cámara"),"")))</f>
        <v/>
      </c>
      <c r="AC103" t="str">
        <f>IF(Y103="","",IF(Y103="[FÓRMULA MANUAL]","",IFERROR(SUMPRODUCT((nNIA=Y103)*(nCUENTA=1)*(COUNTIF(CONFIG_ASIGNATURAS!$B$7:$B$27,nASIG)&gt;0)*(nNOTA))/SUMPRODUCT((nNIA=Y103)*(nCUENTA=1)*(COUNTIF(CONFIG_ASIGNATURAS!$B$7:$B$27,nASIG)&gt;0)*1),"")))</f>
        <v/>
      </c>
      <c r="AF103" t="str">
        <f>IF(AE103="","",IF(AE103="[FÓRMULA MANUAL]","",IFERROR(AVERAGEIFS(nNOTA,nNIA,AE103,nCUENTA,1,nASIG,"Análisis"),"")))</f>
        <v/>
      </c>
      <c r="AG103" t="str">
        <f>IF(AE103="","",IF(AE103="[FÓRMULA MANUAL]","",IFERROR(AVERAGEIFS(nNOTA,nNIA,AE103,nCUENTA,1,nASIG,"Orquesta/Banda/Conjunto"),"")))</f>
        <v/>
      </c>
      <c r="AH103" t="str">
        <f>IF(AE103="","",IF(AE103="[FÓRMULA MANUAL]","",IFERROR(AVERAGEIFS(nNOTA,nNIA,AE103,nCUENTA,1,nASIG,"Música de Cámara"),"")))</f>
        <v/>
      </c>
      <c r="AI103" t="str">
        <f>IF(AE103="","",IF(AE103="[FÓRMULA MANUAL]","",IFERROR(SUMPRODUCT((nNIA=AE103)*(nCUENTA=1)*(COUNTIF(CONFIG_ASIGNATURAS!$B$7:$B$27,nASIG)&gt;0)*(nNOTA))/SUMPRODUCT((nNIA=AE103)*(nCUENTA=1)*(COUNTIF(CONFIG_ASIGNATURAS!$B$7:$B$27,nASIG)&gt;0)*1),"")))</f>
        <v/>
      </c>
    </row>
    <row r="104" spans="2:35" x14ac:dyDescent="0.2">
      <c r="B104" t="str">
        <f>IF(A104="","",IF(A104="[FÓRMULA MANUAL]","",IFERROR(AVERAGEIFS(nNOTA,nNIA,A104,nCUENTA,1,nASIG,"Lenguaje Musical"),"")))</f>
        <v/>
      </c>
      <c r="C104" t="str">
        <f>IF(A104="","",IF(A104="[FÓRMULA MANUAL]","",IFERROR(AVERAGEIFS(nNOTA,nNIA,A104,nCUENTA,1,nASIG,"Orquesta/Banda/Conjunto"),"")))</f>
        <v/>
      </c>
      <c r="D104" t="str">
        <f>IF(A104="","",IF(A104="[FÓRMULA MANUAL]","",IFERROR(AVERAGEIFS(nNOTA,nNIA,A104,nCUENTA,1,nASIG,"Conjunto"),"")))</f>
        <v/>
      </c>
      <c r="E104" t="str">
        <f>IF(A104="","",IF(A104="[FÓRMULA MANUAL]","",IFERROR(SUMPRODUCT((nNIA=A104)*(nCUENTA=1)*(COUNTIF(CONFIG_ASIGNATURAS!$B$7:$B$27,nASIG)&gt;0)*(nNOTA))/SUMPRODUCT((nNIA=A104)*(nCUENTA=1)*(COUNTIF(CONFIG_ASIGNATURAS!$B$7:$B$27,nASIG)&gt;0)*1),"")))</f>
        <v/>
      </c>
      <c r="H104" t="str">
        <f>IF(G104="","",IF(G104="[FÓRMULA MANUAL]","",IFERROR(AVERAGEIFS(nNOTA,nNIA,G104,nCUENTA,1,nASIG,"Lenguaje Musical"),"")))</f>
        <v/>
      </c>
      <c r="I104" t="str">
        <f>IF(G104="","",IF(G104="[FÓRMULA MANUAL]","",IFERROR(AVERAGEIFS(nNOTA,nNIA,G104,nCUENTA,1,nASIG,"Orquesta/Banda/Conjunto"),"")))</f>
        <v/>
      </c>
      <c r="J104" t="str">
        <f>IF(G104="","",IF(G104="[FÓRMULA MANUAL]","",IFERROR(AVERAGEIFS(nNOTA,nNIA,G104,nCUENTA,1,nASIG,"Conjunto"),"")))</f>
        <v/>
      </c>
      <c r="K104" t="str">
        <f>IF(G104="","",IF(G104="[FÓRMULA MANUAL]","",IFERROR(SUMPRODUCT((nNIA=G104)*(nCUENTA=1)*(COUNTIF(CONFIG_ASIGNATURAS!$B$7:$B$27,nASIG)&gt;0)*(nNOTA))/SUMPRODUCT((nNIA=G104)*(nCUENTA=1)*(COUNTIF(CONFIG_ASIGNATURAS!$B$7:$B$27,nASIG)&gt;0)*1),"")))</f>
        <v/>
      </c>
      <c r="N104" t="str">
        <f>IF(M104="","",IF(M104="[FÓRMULA MANUAL]","",IFERROR(AVERAGEIFS(nNOTA,nNIA,M104,nCUENTA,1,nASIG,"Armonía"),"")))</f>
        <v/>
      </c>
      <c r="O104" t="str">
        <f>IF(M104="","",IF(M104="[FÓRMULA MANUAL]","",IFERROR(AVERAGEIFS(nNOTA,nNIA,M104,nCUENTA,1,nASIG,"Orquesta/Banda/Conjunto"),"")))</f>
        <v/>
      </c>
      <c r="P104" t="str">
        <f>IF(M104="","",IF(M104="[FÓRMULA MANUAL]","",IFERROR(AVERAGEIFS(nNOTA,nNIA,M104,nCUENTA,1,nASIG,"Música de Cámara"),"")))</f>
        <v/>
      </c>
      <c r="Q104" t="str">
        <f>IF(M104="","",IF(M104="[FÓRMULA MANUAL]","",IFERROR(SUMPRODUCT((nNIA=M104)*(nCUENTA=1)*(COUNTIF(CONFIG_ASIGNATURAS!$B$7:$B$27,nASIG)&gt;0)*(nNOTA))/SUMPRODUCT((nNIA=M104)*(nCUENTA=1)*(COUNTIF(CONFIG_ASIGNATURAS!$B$7:$B$27,nASIG)&gt;0)*1),"")))</f>
        <v/>
      </c>
      <c r="T104" t="str">
        <f>IF(S104="","",IF(S104="[FÓRMULA MANUAL]","",IFERROR(AVERAGEIFS(nNOTA,nNIA,S104,nCUENTA,1,nASIG,"Armonía"),"")))</f>
        <v/>
      </c>
      <c r="U104" t="str">
        <f>IF(S104="","",IF(S104="[FÓRMULA MANUAL]","",IFERROR(AVERAGEIFS(nNOTA,nNIA,S104,nCUENTA,1,nASIG,"Orquesta/Banda/Conjunto"),"")))</f>
        <v/>
      </c>
      <c r="V104" t="str">
        <f>IF(S104="","",IF(S104="[FÓRMULA MANUAL]","",IFERROR(AVERAGEIFS(nNOTA,nNIA,S104,nCUENTA,1,nASIG,"Música de Cámara"),"")))</f>
        <v/>
      </c>
      <c r="W104" t="str">
        <f>IF(S104="","",IF(S104="[FÓRMULA MANUAL]","",IFERROR(SUMPRODUCT((nNIA=S104)*(nCUENTA=1)*(COUNTIF(CONFIG_ASIGNATURAS!$B$7:$B$27,nASIG)&gt;0)*(nNOTA))/SUMPRODUCT((nNIA=S104)*(nCUENTA=1)*(COUNTIF(CONFIG_ASIGNATURAS!$B$7:$B$27,nASIG)&gt;0)*1),"")))</f>
        <v/>
      </c>
      <c r="Z104" t="str">
        <f>IF(Y104="","",IF(Y104="[FÓRMULA MANUAL]","",IFERROR(AVERAGEIFS(nNOTA,nNIA,Y104,nCUENTA,1,nASIG,"Análisis"),"")))</f>
        <v/>
      </c>
      <c r="AA104" t="str">
        <f>IF(Y104="","",IF(Y104="[FÓRMULA MANUAL]","",IFERROR(AVERAGEIFS(nNOTA,nNIA,Y104,nCUENTA,1,nASIG,"Orquesta/Banda/Conjunto"),"")))</f>
        <v/>
      </c>
      <c r="AB104" t="str">
        <f>IF(Y104="","",IF(Y104="[FÓRMULA MANUAL]","",IFERROR(AVERAGEIFS(nNOTA,nNIA,Y104,nCUENTA,1,nASIG,"Música de Cámara"),"")))</f>
        <v/>
      </c>
      <c r="AC104" t="str">
        <f>IF(Y104="","",IF(Y104="[FÓRMULA MANUAL]","",IFERROR(SUMPRODUCT((nNIA=Y104)*(nCUENTA=1)*(COUNTIF(CONFIG_ASIGNATURAS!$B$7:$B$27,nASIG)&gt;0)*(nNOTA))/SUMPRODUCT((nNIA=Y104)*(nCUENTA=1)*(COUNTIF(CONFIG_ASIGNATURAS!$B$7:$B$27,nASIG)&gt;0)*1),"")))</f>
        <v/>
      </c>
      <c r="AF104" t="str">
        <f>IF(AE104="","",IF(AE104="[FÓRMULA MANUAL]","",IFERROR(AVERAGEIFS(nNOTA,nNIA,AE104,nCUENTA,1,nASIG,"Análisis"),"")))</f>
        <v/>
      </c>
      <c r="AG104" t="str">
        <f>IF(AE104="","",IF(AE104="[FÓRMULA MANUAL]","",IFERROR(AVERAGEIFS(nNOTA,nNIA,AE104,nCUENTA,1,nASIG,"Orquesta/Banda/Conjunto"),"")))</f>
        <v/>
      </c>
      <c r="AH104" t="str">
        <f>IF(AE104="","",IF(AE104="[FÓRMULA MANUAL]","",IFERROR(AVERAGEIFS(nNOTA,nNIA,AE104,nCUENTA,1,nASIG,"Música de Cámara"),"")))</f>
        <v/>
      </c>
      <c r="AI104" t="str">
        <f>IF(AE104="","",IF(AE104="[FÓRMULA MANUAL]","",IFERROR(SUMPRODUCT((nNIA=AE104)*(nCUENTA=1)*(COUNTIF(CONFIG_ASIGNATURAS!$B$7:$B$27,nASIG)&gt;0)*(nNOTA))/SUMPRODUCT((nNIA=AE104)*(nCUENTA=1)*(COUNTIF(CONFIG_ASIGNATURAS!$B$7:$B$27,nASIG)&gt;0)*1),"")))</f>
        <v/>
      </c>
    </row>
    <row r="105" spans="2:35" x14ac:dyDescent="0.2">
      <c r="B105" t="str">
        <f>IF(A105="","",IF(A105="[FÓRMULA MANUAL]","",IFERROR(AVERAGEIFS(nNOTA,nNIA,A105,nCUENTA,1,nASIG,"Lenguaje Musical"),"")))</f>
        <v/>
      </c>
      <c r="C105" t="str">
        <f>IF(A105="","",IF(A105="[FÓRMULA MANUAL]","",IFERROR(AVERAGEIFS(nNOTA,nNIA,A105,nCUENTA,1,nASIG,"Orquesta/Banda/Conjunto"),"")))</f>
        <v/>
      </c>
      <c r="D105" t="str">
        <f>IF(A105="","",IF(A105="[FÓRMULA MANUAL]","",IFERROR(AVERAGEIFS(nNOTA,nNIA,A105,nCUENTA,1,nASIG,"Conjunto"),"")))</f>
        <v/>
      </c>
      <c r="E105" t="str">
        <f>IF(A105="","",IF(A105="[FÓRMULA MANUAL]","",IFERROR(SUMPRODUCT((nNIA=A105)*(nCUENTA=1)*(COUNTIF(CONFIG_ASIGNATURAS!$B$7:$B$27,nASIG)&gt;0)*(nNOTA))/SUMPRODUCT((nNIA=A105)*(nCUENTA=1)*(COUNTIF(CONFIG_ASIGNATURAS!$B$7:$B$27,nASIG)&gt;0)*1),"")))</f>
        <v/>
      </c>
      <c r="H105" t="str">
        <f>IF(G105="","",IF(G105="[FÓRMULA MANUAL]","",IFERROR(AVERAGEIFS(nNOTA,nNIA,G105,nCUENTA,1,nASIG,"Lenguaje Musical"),"")))</f>
        <v/>
      </c>
      <c r="I105" t="str">
        <f>IF(G105="","",IF(G105="[FÓRMULA MANUAL]","",IFERROR(AVERAGEIFS(nNOTA,nNIA,G105,nCUENTA,1,nASIG,"Orquesta/Banda/Conjunto"),"")))</f>
        <v/>
      </c>
      <c r="J105" t="str">
        <f>IF(G105="","",IF(G105="[FÓRMULA MANUAL]","",IFERROR(AVERAGEIFS(nNOTA,nNIA,G105,nCUENTA,1,nASIG,"Conjunto"),"")))</f>
        <v/>
      </c>
      <c r="K105" t="str">
        <f>IF(G105="","",IF(G105="[FÓRMULA MANUAL]","",IFERROR(SUMPRODUCT((nNIA=G105)*(nCUENTA=1)*(COUNTIF(CONFIG_ASIGNATURAS!$B$7:$B$27,nASIG)&gt;0)*(nNOTA))/SUMPRODUCT((nNIA=G105)*(nCUENTA=1)*(COUNTIF(CONFIG_ASIGNATURAS!$B$7:$B$27,nASIG)&gt;0)*1),"")))</f>
        <v/>
      </c>
      <c r="N105" t="str">
        <f>IF(M105="","",IF(M105="[FÓRMULA MANUAL]","",IFERROR(AVERAGEIFS(nNOTA,nNIA,M105,nCUENTA,1,nASIG,"Armonía"),"")))</f>
        <v/>
      </c>
      <c r="O105" t="str">
        <f>IF(M105="","",IF(M105="[FÓRMULA MANUAL]","",IFERROR(AVERAGEIFS(nNOTA,nNIA,M105,nCUENTA,1,nASIG,"Orquesta/Banda/Conjunto"),"")))</f>
        <v/>
      </c>
      <c r="P105" t="str">
        <f>IF(M105="","",IF(M105="[FÓRMULA MANUAL]","",IFERROR(AVERAGEIFS(nNOTA,nNIA,M105,nCUENTA,1,nASIG,"Música de Cámara"),"")))</f>
        <v/>
      </c>
      <c r="Q105" t="str">
        <f>IF(M105="","",IF(M105="[FÓRMULA MANUAL]","",IFERROR(SUMPRODUCT((nNIA=M105)*(nCUENTA=1)*(COUNTIF(CONFIG_ASIGNATURAS!$B$7:$B$27,nASIG)&gt;0)*(nNOTA))/SUMPRODUCT((nNIA=M105)*(nCUENTA=1)*(COUNTIF(CONFIG_ASIGNATURAS!$B$7:$B$27,nASIG)&gt;0)*1),"")))</f>
        <v/>
      </c>
      <c r="T105" t="str">
        <f>IF(S105="","",IF(S105="[FÓRMULA MANUAL]","",IFERROR(AVERAGEIFS(nNOTA,nNIA,S105,nCUENTA,1,nASIG,"Armonía"),"")))</f>
        <v/>
      </c>
      <c r="U105" t="str">
        <f>IF(S105="","",IF(S105="[FÓRMULA MANUAL]","",IFERROR(AVERAGEIFS(nNOTA,nNIA,S105,nCUENTA,1,nASIG,"Orquesta/Banda/Conjunto"),"")))</f>
        <v/>
      </c>
      <c r="V105" t="str">
        <f>IF(S105="","",IF(S105="[FÓRMULA MANUAL]","",IFERROR(AVERAGEIFS(nNOTA,nNIA,S105,nCUENTA,1,nASIG,"Música de Cámara"),"")))</f>
        <v/>
      </c>
      <c r="W105" t="str">
        <f>IF(S105="","",IF(S105="[FÓRMULA MANUAL]","",IFERROR(SUMPRODUCT((nNIA=S105)*(nCUENTA=1)*(COUNTIF(CONFIG_ASIGNATURAS!$B$7:$B$27,nASIG)&gt;0)*(nNOTA))/SUMPRODUCT((nNIA=S105)*(nCUENTA=1)*(COUNTIF(CONFIG_ASIGNATURAS!$B$7:$B$27,nASIG)&gt;0)*1),"")))</f>
        <v/>
      </c>
      <c r="Z105" t="str">
        <f>IF(Y105="","",IF(Y105="[FÓRMULA MANUAL]","",IFERROR(AVERAGEIFS(nNOTA,nNIA,Y105,nCUENTA,1,nASIG,"Análisis"),"")))</f>
        <v/>
      </c>
      <c r="AA105" t="str">
        <f>IF(Y105="","",IF(Y105="[FÓRMULA MANUAL]","",IFERROR(AVERAGEIFS(nNOTA,nNIA,Y105,nCUENTA,1,nASIG,"Orquesta/Banda/Conjunto"),"")))</f>
        <v/>
      </c>
      <c r="AB105" t="str">
        <f>IF(Y105="","",IF(Y105="[FÓRMULA MANUAL]","",IFERROR(AVERAGEIFS(nNOTA,nNIA,Y105,nCUENTA,1,nASIG,"Música de Cámara"),"")))</f>
        <v/>
      </c>
      <c r="AC105" t="str">
        <f>IF(Y105="","",IF(Y105="[FÓRMULA MANUAL]","",IFERROR(SUMPRODUCT((nNIA=Y105)*(nCUENTA=1)*(COUNTIF(CONFIG_ASIGNATURAS!$B$7:$B$27,nASIG)&gt;0)*(nNOTA))/SUMPRODUCT((nNIA=Y105)*(nCUENTA=1)*(COUNTIF(CONFIG_ASIGNATURAS!$B$7:$B$27,nASIG)&gt;0)*1),"")))</f>
        <v/>
      </c>
      <c r="AF105" t="str">
        <f>IF(AE105="","",IF(AE105="[FÓRMULA MANUAL]","",IFERROR(AVERAGEIFS(nNOTA,nNIA,AE105,nCUENTA,1,nASIG,"Análisis"),"")))</f>
        <v/>
      </c>
      <c r="AG105" t="str">
        <f>IF(AE105="","",IF(AE105="[FÓRMULA MANUAL]","",IFERROR(AVERAGEIFS(nNOTA,nNIA,AE105,nCUENTA,1,nASIG,"Orquesta/Banda/Conjunto"),"")))</f>
        <v/>
      </c>
      <c r="AH105" t="str">
        <f>IF(AE105="","",IF(AE105="[FÓRMULA MANUAL]","",IFERROR(AVERAGEIFS(nNOTA,nNIA,AE105,nCUENTA,1,nASIG,"Música de Cámara"),"")))</f>
        <v/>
      </c>
      <c r="AI105" t="str">
        <f>IF(AE105="","",IF(AE105="[FÓRMULA MANUAL]","",IFERROR(SUMPRODUCT((nNIA=AE105)*(nCUENTA=1)*(COUNTIF(CONFIG_ASIGNATURAS!$B$7:$B$27,nASIG)&gt;0)*(nNOTA))/SUMPRODUCT((nNIA=AE105)*(nCUENTA=1)*(COUNTIF(CONFIG_ASIGNATURAS!$B$7:$B$27,nASIG)&gt;0)*1),"")))</f>
        <v/>
      </c>
    </row>
    <row r="106" spans="2:35" x14ac:dyDescent="0.2">
      <c r="B106" t="str">
        <f>IF(A106="","",IF(A106="[FÓRMULA MANUAL]","",IFERROR(AVERAGEIFS(nNOTA,nNIA,A106,nCUENTA,1,nASIG,"Lenguaje Musical"),"")))</f>
        <v/>
      </c>
      <c r="C106" t="str">
        <f>IF(A106="","",IF(A106="[FÓRMULA MANUAL]","",IFERROR(AVERAGEIFS(nNOTA,nNIA,A106,nCUENTA,1,nASIG,"Orquesta/Banda/Conjunto"),"")))</f>
        <v/>
      </c>
      <c r="D106" t="str">
        <f>IF(A106="","",IF(A106="[FÓRMULA MANUAL]","",IFERROR(AVERAGEIFS(nNOTA,nNIA,A106,nCUENTA,1,nASIG,"Conjunto"),"")))</f>
        <v/>
      </c>
      <c r="E106" t="str">
        <f>IF(A106="","",IF(A106="[FÓRMULA MANUAL]","",IFERROR(SUMPRODUCT((nNIA=A106)*(nCUENTA=1)*(COUNTIF(CONFIG_ASIGNATURAS!$B$7:$B$27,nASIG)&gt;0)*(nNOTA))/SUMPRODUCT((nNIA=A106)*(nCUENTA=1)*(COUNTIF(CONFIG_ASIGNATURAS!$B$7:$B$27,nASIG)&gt;0)*1),"")))</f>
        <v/>
      </c>
      <c r="H106" t="str">
        <f>IF(G106="","",IF(G106="[FÓRMULA MANUAL]","",IFERROR(AVERAGEIFS(nNOTA,nNIA,G106,nCUENTA,1,nASIG,"Lenguaje Musical"),"")))</f>
        <v/>
      </c>
      <c r="I106" t="str">
        <f>IF(G106="","",IF(G106="[FÓRMULA MANUAL]","",IFERROR(AVERAGEIFS(nNOTA,nNIA,G106,nCUENTA,1,nASIG,"Orquesta/Banda/Conjunto"),"")))</f>
        <v/>
      </c>
      <c r="J106" t="str">
        <f>IF(G106="","",IF(G106="[FÓRMULA MANUAL]","",IFERROR(AVERAGEIFS(nNOTA,nNIA,G106,nCUENTA,1,nASIG,"Conjunto"),"")))</f>
        <v/>
      </c>
      <c r="K106" t="str">
        <f>IF(G106="","",IF(G106="[FÓRMULA MANUAL]","",IFERROR(SUMPRODUCT((nNIA=G106)*(nCUENTA=1)*(COUNTIF(CONFIG_ASIGNATURAS!$B$7:$B$27,nASIG)&gt;0)*(nNOTA))/SUMPRODUCT((nNIA=G106)*(nCUENTA=1)*(COUNTIF(CONFIG_ASIGNATURAS!$B$7:$B$27,nASIG)&gt;0)*1),"")))</f>
        <v/>
      </c>
      <c r="N106" t="str">
        <f>IF(M106="","",IF(M106="[FÓRMULA MANUAL]","",IFERROR(AVERAGEIFS(nNOTA,nNIA,M106,nCUENTA,1,nASIG,"Armonía"),"")))</f>
        <v/>
      </c>
      <c r="O106" t="str">
        <f>IF(M106="","",IF(M106="[FÓRMULA MANUAL]","",IFERROR(AVERAGEIFS(nNOTA,nNIA,M106,nCUENTA,1,nASIG,"Orquesta/Banda/Conjunto"),"")))</f>
        <v/>
      </c>
      <c r="P106" t="str">
        <f>IF(M106="","",IF(M106="[FÓRMULA MANUAL]","",IFERROR(AVERAGEIFS(nNOTA,nNIA,M106,nCUENTA,1,nASIG,"Música de Cámara"),"")))</f>
        <v/>
      </c>
      <c r="Q106" t="str">
        <f>IF(M106="","",IF(M106="[FÓRMULA MANUAL]","",IFERROR(SUMPRODUCT((nNIA=M106)*(nCUENTA=1)*(COUNTIF(CONFIG_ASIGNATURAS!$B$7:$B$27,nASIG)&gt;0)*(nNOTA))/SUMPRODUCT((nNIA=M106)*(nCUENTA=1)*(COUNTIF(CONFIG_ASIGNATURAS!$B$7:$B$27,nASIG)&gt;0)*1),"")))</f>
        <v/>
      </c>
      <c r="T106" t="str">
        <f>IF(S106="","",IF(S106="[FÓRMULA MANUAL]","",IFERROR(AVERAGEIFS(nNOTA,nNIA,S106,nCUENTA,1,nASIG,"Armonía"),"")))</f>
        <v/>
      </c>
      <c r="U106" t="str">
        <f>IF(S106="","",IF(S106="[FÓRMULA MANUAL]","",IFERROR(AVERAGEIFS(nNOTA,nNIA,S106,nCUENTA,1,nASIG,"Orquesta/Banda/Conjunto"),"")))</f>
        <v/>
      </c>
      <c r="V106" t="str">
        <f>IF(S106="","",IF(S106="[FÓRMULA MANUAL]","",IFERROR(AVERAGEIFS(nNOTA,nNIA,S106,nCUENTA,1,nASIG,"Música de Cámara"),"")))</f>
        <v/>
      </c>
      <c r="W106" t="str">
        <f>IF(S106="","",IF(S106="[FÓRMULA MANUAL]","",IFERROR(SUMPRODUCT((nNIA=S106)*(nCUENTA=1)*(COUNTIF(CONFIG_ASIGNATURAS!$B$7:$B$27,nASIG)&gt;0)*(nNOTA))/SUMPRODUCT((nNIA=S106)*(nCUENTA=1)*(COUNTIF(CONFIG_ASIGNATURAS!$B$7:$B$27,nASIG)&gt;0)*1),"")))</f>
        <v/>
      </c>
      <c r="Z106" t="str">
        <f>IF(Y106="","",IF(Y106="[FÓRMULA MANUAL]","",IFERROR(AVERAGEIFS(nNOTA,nNIA,Y106,nCUENTA,1,nASIG,"Análisis"),"")))</f>
        <v/>
      </c>
      <c r="AA106" t="str">
        <f>IF(Y106="","",IF(Y106="[FÓRMULA MANUAL]","",IFERROR(AVERAGEIFS(nNOTA,nNIA,Y106,nCUENTA,1,nASIG,"Orquesta/Banda/Conjunto"),"")))</f>
        <v/>
      </c>
      <c r="AB106" t="str">
        <f>IF(Y106="","",IF(Y106="[FÓRMULA MANUAL]","",IFERROR(AVERAGEIFS(nNOTA,nNIA,Y106,nCUENTA,1,nASIG,"Música de Cámara"),"")))</f>
        <v/>
      </c>
      <c r="AC106" t="str">
        <f>IF(Y106="","",IF(Y106="[FÓRMULA MANUAL]","",IFERROR(SUMPRODUCT((nNIA=Y106)*(nCUENTA=1)*(COUNTIF(CONFIG_ASIGNATURAS!$B$7:$B$27,nASIG)&gt;0)*(nNOTA))/SUMPRODUCT((nNIA=Y106)*(nCUENTA=1)*(COUNTIF(CONFIG_ASIGNATURAS!$B$7:$B$27,nASIG)&gt;0)*1),"")))</f>
        <v/>
      </c>
      <c r="AF106" t="str">
        <f>IF(AE106="","",IF(AE106="[FÓRMULA MANUAL]","",IFERROR(AVERAGEIFS(nNOTA,nNIA,AE106,nCUENTA,1,nASIG,"Análisis"),"")))</f>
        <v/>
      </c>
      <c r="AG106" t="str">
        <f>IF(AE106="","",IF(AE106="[FÓRMULA MANUAL]","",IFERROR(AVERAGEIFS(nNOTA,nNIA,AE106,nCUENTA,1,nASIG,"Orquesta/Banda/Conjunto"),"")))</f>
        <v/>
      </c>
      <c r="AH106" t="str">
        <f>IF(AE106="","",IF(AE106="[FÓRMULA MANUAL]","",IFERROR(AVERAGEIFS(nNOTA,nNIA,AE106,nCUENTA,1,nASIG,"Música de Cámara"),"")))</f>
        <v/>
      </c>
      <c r="AI106" t="str">
        <f>IF(AE106="","",IF(AE106="[FÓRMULA MANUAL]","",IFERROR(SUMPRODUCT((nNIA=AE106)*(nCUENTA=1)*(COUNTIF(CONFIG_ASIGNATURAS!$B$7:$B$27,nASIG)&gt;0)*(nNOTA))/SUMPRODUCT((nNIA=AE106)*(nCUENTA=1)*(COUNTIF(CONFIG_ASIGNATURAS!$B$7:$B$27,nASIG)&gt;0)*1),"")))</f>
        <v/>
      </c>
    </row>
    <row r="107" spans="2:35" x14ac:dyDescent="0.2">
      <c r="B107" t="str">
        <f>IF(A107="","",IF(A107="[FÓRMULA MANUAL]","",IFERROR(AVERAGEIFS(nNOTA,nNIA,A107,nCUENTA,1,nASIG,"Lenguaje Musical"),"")))</f>
        <v/>
      </c>
      <c r="C107" t="str">
        <f>IF(A107="","",IF(A107="[FÓRMULA MANUAL]","",IFERROR(AVERAGEIFS(nNOTA,nNIA,A107,nCUENTA,1,nASIG,"Orquesta/Banda/Conjunto"),"")))</f>
        <v/>
      </c>
      <c r="D107" t="str">
        <f>IF(A107="","",IF(A107="[FÓRMULA MANUAL]","",IFERROR(AVERAGEIFS(nNOTA,nNIA,A107,nCUENTA,1,nASIG,"Conjunto"),"")))</f>
        <v/>
      </c>
      <c r="E107" t="str">
        <f>IF(A107="","",IF(A107="[FÓRMULA MANUAL]","",IFERROR(SUMPRODUCT((nNIA=A107)*(nCUENTA=1)*(COUNTIF(CONFIG_ASIGNATURAS!$B$7:$B$27,nASIG)&gt;0)*(nNOTA))/SUMPRODUCT((nNIA=A107)*(nCUENTA=1)*(COUNTIF(CONFIG_ASIGNATURAS!$B$7:$B$27,nASIG)&gt;0)*1),"")))</f>
        <v/>
      </c>
      <c r="H107" t="str">
        <f>IF(G107="","",IF(G107="[FÓRMULA MANUAL]","",IFERROR(AVERAGEIFS(nNOTA,nNIA,G107,nCUENTA,1,nASIG,"Lenguaje Musical"),"")))</f>
        <v/>
      </c>
      <c r="I107" t="str">
        <f>IF(G107="","",IF(G107="[FÓRMULA MANUAL]","",IFERROR(AVERAGEIFS(nNOTA,nNIA,G107,nCUENTA,1,nASIG,"Orquesta/Banda/Conjunto"),"")))</f>
        <v/>
      </c>
      <c r="J107" t="str">
        <f>IF(G107="","",IF(G107="[FÓRMULA MANUAL]","",IFERROR(AVERAGEIFS(nNOTA,nNIA,G107,nCUENTA,1,nASIG,"Conjunto"),"")))</f>
        <v/>
      </c>
      <c r="K107" t="str">
        <f>IF(G107="","",IF(G107="[FÓRMULA MANUAL]","",IFERROR(SUMPRODUCT((nNIA=G107)*(nCUENTA=1)*(COUNTIF(CONFIG_ASIGNATURAS!$B$7:$B$27,nASIG)&gt;0)*(nNOTA))/SUMPRODUCT((nNIA=G107)*(nCUENTA=1)*(COUNTIF(CONFIG_ASIGNATURAS!$B$7:$B$27,nASIG)&gt;0)*1),"")))</f>
        <v/>
      </c>
      <c r="N107" t="str">
        <f>IF(M107="","",IF(M107="[FÓRMULA MANUAL]","",IFERROR(AVERAGEIFS(nNOTA,nNIA,M107,nCUENTA,1,nASIG,"Armonía"),"")))</f>
        <v/>
      </c>
      <c r="O107" t="str">
        <f>IF(M107="","",IF(M107="[FÓRMULA MANUAL]","",IFERROR(AVERAGEIFS(nNOTA,nNIA,M107,nCUENTA,1,nASIG,"Orquesta/Banda/Conjunto"),"")))</f>
        <v/>
      </c>
      <c r="P107" t="str">
        <f>IF(M107="","",IF(M107="[FÓRMULA MANUAL]","",IFERROR(AVERAGEIFS(nNOTA,nNIA,M107,nCUENTA,1,nASIG,"Música de Cámara"),"")))</f>
        <v/>
      </c>
      <c r="Q107" t="str">
        <f>IF(M107="","",IF(M107="[FÓRMULA MANUAL]","",IFERROR(SUMPRODUCT((nNIA=M107)*(nCUENTA=1)*(COUNTIF(CONFIG_ASIGNATURAS!$B$7:$B$27,nASIG)&gt;0)*(nNOTA))/SUMPRODUCT((nNIA=M107)*(nCUENTA=1)*(COUNTIF(CONFIG_ASIGNATURAS!$B$7:$B$27,nASIG)&gt;0)*1),"")))</f>
        <v/>
      </c>
      <c r="T107" t="str">
        <f>IF(S107="","",IF(S107="[FÓRMULA MANUAL]","",IFERROR(AVERAGEIFS(nNOTA,nNIA,S107,nCUENTA,1,nASIG,"Armonía"),"")))</f>
        <v/>
      </c>
      <c r="U107" t="str">
        <f>IF(S107="","",IF(S107="[FÓRMULA MANUAL]","",IFERROR(AVERAGEIFS(nNOTA,nNIA,S107,nCUENTA,1,nASIG,"Orquesta/Banda/Conjunto"),"")))</f>
        <v/>
      </c>
      <c r="V107" t="str">
        <f>IF(S107="","",IF(S107="[FÓRMULA MANUAL]","",IFERROR(AVERAGEIFS(nNOTA,nNIA,S107,nCUENTA,1,nASIG,"Música de Cámara"),"")))</f>
        <v/>
      </c>
      <c r="W107" t="str">
        <f>IF(S107="","",IF(S107="[FÓRMULA MANUAL]","",IFERROR(SUMPRODUCT((nNIA=S107)*(nCUENTA=1)*(COUNTIF(CONFIG_ASIGNATURAS!$B$7:$B$27,nASIG)&gt;0)*(nNOTA))/SUMPRODUCT((nNIA=S107)*(nCUENTA=1)*(COUNTIF(CONFIG_ASIGNATURAS!$B$7:$B$27,nASIG)&gt;0)*1),"")))</f>
        <v/>
      </c>
      <c r="Z107" t="str">
        <f>IF(Y107="","",IF(Y107="[FÓRMULA MANUAL]","",IFERROR(AVERAGEIFS(nNOTA,nNIA,Y107,nCUENTA,1,nASIG,"Análisis"),"")))</f>
        <v/>
      </c>
      <c r="AA107" t="str">
        <f>IF(Y107="","",IF(Y107="[FÓRMULA MANUAL]","",IFERROR(AVERAGEIFS(nNOTA,nNIA,Y107,nCUENTA,1,nASIG,"Orquesta/Banda/Conjunto"),"")))</f>
        <v/>
      </c>
      <c r="AB107" t="str">
        <f>IF(Y107="","",IF(Y107="[FÓRMULA MANUAL]","",IFERROR(AVERAGEIFS(nNOTA,nNIA,Y107,nCUENTA,1,nASIG,"Música de Cámara"),"")))</f>
        <v/>
      </c>
      <c r="AC107" t="str">
        <f>IF(Y107="","",IF(Y107="[FÓRMULA MANUAL]","",IFERROR(SUMPRODUCT((nNIA=Y107)*(nCUENTA=1)*(COUNTIF(CONFIG_ASIGNATURAS!$B$7:$B$27,nASIG)&gt;0)*(nNOTA))/SUMPRODUCT((nNIA=Y107)*(nCUENTA=1)*(COUNTIF(CONFIG_ASIGNATURAS!$B$7:$B$27,nASIG)&gt;0)*1),"")))</f>
        <v/>
      </c>
      <c r="AF107" t="str">
        <f>IF(AE107="","",IF(AE107="[FÓRMULA MANUAL]","",IFERROR(AVERAGEIFS(nNOTA,nNIA,AE107,nCUENTA,1,nASIG,"Análisis"),"")))</f>
        <v/>
      </c>
      <c r="AG107" t="str">
        <f>IF(AE107="","",IF(AE107="[FÓRMULA MANUAL]","",IFERROR(AVERAGEIFS(nNOTA,nNIA,AE107,nCUENTA,1,nASIG,"Orquesta/Banda/Conjunto"),"")))</f>
        <v/>
      </c>
      <c r="AH107" t="str">
        <f>IF(AE107="","",IF(AE107="[FÓRMULA MANUAL]","",IFERROR(AVERAGEIFS(nNOTA,nNIA,AE107,nCUENTA,1,nASIG,"Música de Cámara"),"")))</f>
        <v/>
      </c>
      <c r="AI107" t="str">
        <f>IF(AE107="","",IF(AE107="[FÓRMULA MANUAL]","",IFERROR(SUMPRODUCT((nNIA=AE107)*(nCUENTA=1)*(COUNTIF(CONFIG_ASIGNATURAS!$B$7:$B$27,nASIG)&gt;0)*(nNOTA))/SUMPRODUCT((nNIA=AE107)*(nCUENTA=1)*(COUNTIF(CONFIG_ASIGNATURAS!$B$7:$B$27,nASIG)&gt;0)*1),"")))</f>
        <v/>
      </c>
    </row>
    <row r="108" spans="2:35" x14ac:dyDescent="0.2">
      <c r="B108" t="str">
        <f>IF(A108="","",IF(A108="[FÓRMULA MANUAL]","",IFERROR(AVERAGEIFS(nNOTA,nNIA,A108,nCUENTA,1,nASIG,"Lenguaje Musical"),"")))</f>
        <v/>
      </c>
      <c r="C108" t="str">
        <f>IF(A108="","",IF(A108="[FÓRMULA MANUAL]","",IFERROR(AVERAGEIFS(nNOTA,nNIA,A108,nCUENTA,1,nASIG,"Orquesta/Banda/Conjunto"),"")))</f>
        <v/>
      </c>
      <c r="D108" t="str">
        <f>IF(A108="","",IF(A108="[FÓRMULA MANUAL]","",IFERROR(AVERAGEIFS(nNOTA,nNIA,A108,nCUENTA,1,nASIG,"Conjunto"),"")))</f>
        <v/>
      </c>
      <c r="E108" t="str">
        <f>IF(A108="","",IF(A108="[FÓRMULA MANUAL]","",IFERROR(SUMPRODUCT((nNIA=A108)*(nCUENTA=1)*(COUNTIF(CONFIG_ASIGNATURAS!$B$7:$B$27,nASIG)&gt;0)*(nNOTA))/SUMPRODUCT((nNIA=A108)*(nCUENTA=1)*(COUNTIF(CONFIG_ASIGNATURAS!$B$7:$B$27,nASIG)&gt;0)*1),"")))</f>
        <v/>
      </c>
      <c r="H108" t="str">
        <f>IF(G108="","",IF(G108="[FÓRMULA MANUAL]","",IFERROR(AVERAGEIFS(nNOTA,nNIA,G108,nCUENTA,1,nASIG,"Lenguaje Musical"),"")))</f>
        <v/>
      </c>
      <c r="I108" t="str">
        <f>IF(G108="","",IF(G108="[FÓRMULA MANUAL]","",IFERROR(AVERAGEIFS(nNOTA,nNIA,G108,nCUENTA,1,nASIG,"Orquesta/Banda/Conjunto"),"")))</f>
        <v/>
      </c>
      <c r="J108" t="str">
        <f>IF(G108="","",IF(G108="[FÓRMULA MANUAL]","",IFERROR(AVERAGEIFS(nNOTA,nNIA,G108,nCUENTA,1,nASIG,"Conjunto"),"")))</f>
        <v/>
      </c>
      <c r="K108" t="str">
        <f>IF(G108="","",IF(G108="[FÓRMULA MANUAL]","",IFERROR(SUMPRODUCT((nNIA=G108)*(nCUENTA=1)*(COUNTIF(CONFIG_ASIGNATURAS!$B$7:$B$27,nASIG)&gt;0)*(nNOTA))/SUMPRODUCT((nNIA=G108)*(nCUENTA=1)*(COUNTIF(CONFIG_ASIGNATURAS!$B$7:$B$27,nASIG)&gt;0)*1),"")))</f>
        <v/>
      </c>
      <c r="N108" t="str">
        <f>IF(M108="","",IF(M108="[FÓRMULA MANUAL]","",IFERROR(AVERAGEIFS(nNOTA,nNIA,M108,nCUENTA,1,nASIG,"Armonía"),"")))</f>
        <v/>
      </c>
      <c r="O108" t="str">
        <f>IF(M108="","",IF(M108="[FÓRMULA MANUAL]","",IFERROR(AVERAGEIFS(nNOTA,nNIA,M108,nCUENTA,1,nASIG,"Orquesta/Banda/Conjunto"),"")))</f>
        <v/>
      </c>
      <c r="P108" t="str">
        <f>IF(M108="","",IF(M108="[FÓRMULA MANUAL]","",IFERROR(AVERAGEIFS(nNOTA,nNIA,M108,nCUENTA,1,nASIG,"Música de Cámara"),"")))</f>
        <v/>
      </c>
      <c r="Q108" t="str">
        <f>IF(M108="","",IF(M108="[FÓRMULA MANUAL]","",IFERROR(SUMPRODUCT((nNIA=M108)*(nCUENTA=1)*(COUNTIF(CONFIG_ASIGNATURAS!$B$7:$B$27,nASIG)&gt;0)*(nNOTA))/SUMPRODUCT((nNIA=M108)*(nCUENTA=1)*(COUNTIF(CONFIG_ASIGNATURAS!$B$7:$B$27,nASIG)&gt;0)*1),"")))</f>
        <v/>
      </c>
      <c r="T108" t="str">
        <f>IF(S108="","",IF(S108="[FÓRMULA MANUAL]","",IFERROR(AVERAGEIFS(nNOTA,nNIA,S108,nCUENTA,1,nASIG,"Armonía"),"")))</f>
        <v/>
      </c>
      <c r="U108" t="str">
        <f>IF(S108="","",IF(S108="[FÓRMULA MANUAL]","",IFERROR(AVERAGEIFS(nNOTA,nNIA,S108,nCUENTA,1,nASIG,"Orquesta/Banda/Conjunto"),"")))</f>
        <v/>
      </c>
      <c r="V108" t="str">
        <f>IF(S108="","",IF(S108="[FÓRMULA MANUAL]","",IFERROR(AVERAGEIFS(nNOTA,nNIA,S108,nCUENTA,1,nASIG,"Música de Cámara"),"")))</f>
        <v/>
      </c>
      <c r="W108" t="str">
        <f>IF(S108="","",IF(S108="[FÓRMULA MANUAL]","",IFERROR(SUMPRODUCT((nNIA=S108)*(nCUENTA=1)*(COUNTIF(CONFIG_ASIGNATURAS!$B$7:$B$27,nASIG)&gt;0)*(nNOTA))/SUMPRODUCT((nNIA=S108)*(nCUENTA=1)*(COUNTIF(CONFIG_ASIGNATURAS!$B$7:$B$27,nASIG)&gt;0)*1),"")))</f>
        <v/>
      </c>
      <c r="Z108" t="str">
        <f>IF(Y108="","",IF(Y108="[FÓRMULA MANUAL]","",IFERROR(AVERAGEIFS(nNOTA,nNIA,Y108,nCUENTA,1,nASIG,"Análisis"),"")))</f>
        <v/>
      </c>
      <c r="AA108" t="str">
        <f>IF(Y108="","",IF(Y108="[FÓRMULA MANUAL]","",IFERROR(AVERAGEIFS(nNOTA,nNIA,Y108,nCUENTA,1,nASIG,"Orquesta/Banda/Conjunto"),"")))</f>
        <v/>
      </c>
      <c r="AB108" t="str">
        <f>IF(Y108="","",IF(Y108="[FÓRMULA MANUAL]","",IFERROR(AVERAGEIFS(nNOTA,nNIA,Y108,nCUENTA,1,nASIG,"Música de Cámara"),"")))</f>
        <v/>
      </c>
      <c r="AC108" t="str">
        <f>IF(Y108="","",IF(Y108="[FÓRMULA MANUAL]","",IFERROR(SUMPRODUCT((nNIA=Y108)*(nCUENTA=1)*(COUNTIF(CONFIG_ASIGNATURAS!$B$7:$B$27,nASIG)&gt;0)*(nNOTA))/SUMPRODUCT((nNIA=Y108)*(nCUENTA=1)*(COUNTIF(CONFIG_ASIGNATURAS!$B$7:$B$27,nASIG)&gt;0)*1),"")))</f>
        <v/>
      </c>
      <c r="AF108" t="str">
        <f>IF(AE108="","",IF(AE108="[FÓRMULA MANUAL]","",IFERROR(AVERAGEIFS(nNOTA,nNIA,AE108,nCUENTA,1,nASIG,"Análisis"),"")))</f>
        <v/>
      </c>
      <c r="AG108" t="str">
        <f>IF(AE108="","",IF(AE108="[FÓRMULA MANUAL]","",IFERROR(AVERAGEIFS(nNOTA,nNIA,AE108,nCUENTA,1,nASIG,"Orquesta/Banda/Conjunto"),"")))</f>
        <v/>
      </c>
      <c r="AH108" t="str">
        <f>IF(AE108="","",IF(AE108="[FÓRMULA MANUAL]","",IFERROR(AVERAGEIFS(nNOTA,nNIA,AE108,nCUENTA,1,nASIG,"Música de Cámara"),"")))</f>
        <v/>
      </c>
      <c r="AI108" t="str">
        <f>IF(AE108="","",IF(AE108="[FÓRMULA MANUAL]","",IFERROR(SUMPRODUCT((nNIA=AE108)*(nCUENTA=1)*(COUNTIF(CONFIG_ASIGNATURAS!$B$7:$B$27,nASIG)&gt;0)*(nNOTA))/SUMPRODUCT((nNIA=AE108)*(nCUENTA=1)*(COUNTIF(CONFIG_ASIGNATURAS!$B$7:$B$27,nASIG)&gt;0)*1),"")))</f>
        <v/>
      </c>
    </row>
    <row r="109" spans="2:35" x14ac:dyDescent="0.2">
      <c r="B109" t="str">
        <f>IF(A109="","",IF(A109="[FÓRMULA MANUAL]","",IFERROR(AVERAGEIFS(nNOTA,nNIA,A109,nCUENTA,1,nASIG,"Lenguaje Musical"),"")))</f>
        <v/>
      </c>
      <c r="C109" t="str">
        <f>IF(A109="","",IF(A109="[FÓRMULA MANUAL]","",IFERROR(AVERAGEIFS(nNOTA,nNIA,A109,nCUENTA,1,nASIG,"Orquesta/Banda/Conjunto"),"")))</f>
        <v/>
      </c>
      <c r="D109" t="str">
        <f>IF(A109="","",IF(A109="[FÓRMULA MANUAL]","",IFERROR(AVERAGEIFS(nNOTA,nNIA,A109,nCUENTA,1,nASIG,"Conjunto"),"")))</f>
        <v/>
      </c>
      <c r="E109" t="str">
        <f>IF(A109="","",IF(A109="[FÓRMULA MANUAL]","",IFERROR(SUMPRODUCT((nNIA=A109)*(nCUENTA=1)*(COUNTIF(CONFIG_ASIGNATURAS!$B$7:$B$27,nASIG)&gt;0)*(nNOTA))/SUMPRODUCT((nNIA=A109)*(nCUENTA=1)*(COUNTIF(CONFIG_ASIGNATURAS!$B$7:$B$27,nASIG)&gt;0)*1),"")))</f>
        <v/>
      </c>
      <c r="H109" t="str">
        <f>IF(G109="","",IF(G109="[FÓRMULA MANUAL]","",IFERROR(AVERAGEIFS(nNOTA,nNIA,G109,nCUENTA,1,nASIG,"Lenguaje Musical"),"")))</f>
        <v/>
      </c>
      <c r="I109" t="str">
        <f>IF(G109="","",IF(G109="[FÓRMULA MANUAL]","",IFERROR(AVERAGEIFS(nNOTA,nNIA,G109,nCUENTA,1,nASIG,"Orquesta/Banda/Conjunto"),"")))</f>
        <v/>
      </c>
      <c r="J109" t="str">
        <f>IF(G109="","",IF(G109="[FÓRMULA MANUAL]","",IFERROR(AVERAGEIFS(nNOTA,nNIA,G109,nCUENTA,1,nASIG,"Conjunto"),"")))</f>
        <v/>
      </c>
      <c r="K109" t="str">
        <f>IF(G109="","",IF(G109="[FÓRMULA MANUAL]","",IFERROR(SUMPRODUCT((nNIA=G109)*(nCUENTA=1)*(COUNTIF(CONFIG_ASIGNATURAS!$B$7:$B$27,nASIG)&gt;0)*(nNOTA))/SUMPRODUCT((nNIA=G109)*(nCUENTA=1)*(COUNTIF(CONFIG_ASIGNATURAS!$B$7:$B$27,nASIG)&gt;0)*1),"")))</f>
        <v/>
      </c>
      <c r="N109" t="str">
        <f>IF(M109="","",IF(M109="[FÓRMULA MANUAL]","",IFERROR(AVERAGEIFS(nNOTA,nNIA,M109,nCUENTA,1,nASIG,"Armonía"),"")))</f>
        <v/>
      </c>
      <c r="O109" t="str">
        <f>IF(M109="","",IF(M109="[FÓRMULA MANUAL]","",IFERROR(AVERAGEIFS(nNOTA,nNIA,M109,nCUENTA,1,nASIG,"Orquesta/Banda/Conjunto"),"")))</f>
        <v/>
      </c>
      <c r="P109" t="str">
        <f>IF(M109="","",IF(M109="[FÓRMULA MANUAL]","",IFERROR(AVERAGEIFS(nNOTA,nNIA,M109,nCUENTA,1,nASIG,"Música de Cámara"),"")))</f>
        <v/>
      </c>
      <c r="Q109" t="str">
        <f>IF(M109="","",IF(M109="[FÓRMULA MANUAL]","",IFERROR(SUMPRODUCT((nNIA=M109)*(nCUENTA=1)*(COUNTIF(CONFIG_ASIGNATURAS!$B$7:$B$27,nASIG)&gt;0)*(nNOTA))/SUMPRODUCT((nNIA=M109)*(nCUENTA=1)*(COUNTIF(CONFIG_ASIGNATURAS!$B$7:$B$27,nASIG)&gt;0)*1),"")))</f>
        <v/>
      </c>
      <c r="T109" t="str">
        <f>IF(S109="","",IF(S109="[FÓRMULA MANUAL]","",IFERROR(AVERAGEIFS(nNOTA,nNIA,S109,nCUENTA,1,nASIG,"Armonía"),"")))</f>
        <v/>
      </c>
      <c r="U109" t="str">
        <f>IF(S109="","",IF(S109="[FÓRMULA MANUAL]","",IFERROR(AVERAGEIFS(nNOTA,nNIA,S109,nCUENTA,1,nASIG,"Orquesta/Banda/Conjunto"),"")))</f>
        <v/>
      </c>
      <c r="V109" t="str">
        <f>IF(S109="","",IF(S109="[FÓRMULA MANUAL]","",IFERROR(AVERAGEIFS(nNOTA,nNIA,S109,nCUENTA,1,nASIG,"Música de Cámara"),"")))</f>
        <v/>
      </c>
      <c r="W109" t="str">
        <f>IF(S109="","",IF(S109="[FÓRMULA MANUAL]","",IFERROR(SUMPRODUCT((nNIA=S109)*(nCUENTA=1)*(COUNTIF(CONFIG_ASIGNATURAS!$B$7:$B$27,nASIG)&gt;0)*(nNOTA))/SUMPRODUCT((nNIA=S109)*(nCUENTA=1)*(COUNTIF(CONFIG_ASIGNATURAS!$B$7:$B$27,nASIG)&gt;0)*1),"")))</f>
        <v/>
      </c>
      <c r="Z109" t="str">
        <f>IF(Y109="","",IF(Y109="[FÓRMULA MANUAL]","",IFERROR(AVERAGEIFS(nNOTA,nNIA,Y109,nCUENTA,1,nASIG,"Análisis"),"")))</f>
        <v/>
      </c>
      <c r="AA109" t="str">
        <f>IF(Y109="","",IF(Y109="[FÓRMULA MANUAL]","",IFERROR(AVERAGEIFS(nNOTA,nNIA,Y109,nCUENTA,1,nASIG,"Orquesta/Banda/Conjunto"),"")))</f>
        <v/>
      </c>
      <c r="AB109" t="str">
        <f>IF(Y109="","",IF(Y109="[FÓRMULA MANUAL]","",IFERROR(AVERAGEIFS(nNOTA,nNIA,Y109,nCUENTA,1,nASIG,"Música de Cámara"),"")))</f>
        <v/>
      </c>
      <c r="AC109" t="str">
        <f>IF(Y109="","",IF(Y109="[FÓRMULA MANUAL]","",IFERROR(SUMPRODUCT((nNIA=Y109)*(nCUENTA=1)*(COUNTIF(CONFIG_ASIGNATURAS!$B$7:$B$27,nASIG)&gt;0)*(nNOTA))/SUMPRODUCT((nNIA=Y109)*(nCUENTA=1)*(COUNTIF(CONFIG_ASIGNATURAS!$B$7:$B$27,nASIG)&gt;0)*1),"")))</f>
        <v/>
      </c>
      <c r="AF109" t="str">
        <f>IF(AE109="","",IF(AE109="[FÓRMULA MANUAL]","",IFERROR(AVERAGEIFS(nNOTA,nNIA,AE109,nCUENTA,1,nASIG,"Análisis"),"")))</f>
        <v/>
      </c>
      <c r="AG109" t="str">
        <f>IF(AE109="","",IF(AE109="[FÓRMULA MANUAL]","",IFERROR(AVERAGEIFS(nNOTA,nNIA,AE109,nCUENTA,1,nASIG,"Orquesta/Banda/Conjunto"),"")))</f>
        <v/>
      </c>
      <c r="AH109" t="str">
        <f>IF(AE109="","",IF(AE109="[FÓRMULA MANUAL]","",IFERROR(AVERAGEIFS(nNOTA,nNIA,AE109,nCUENTA,1,nASIG,"Música de Cámara"),"")))</f>
        <v/>
      </c>
      <c r="AI109" t="str">
        <f>IF(AE109="","",IF(AE109="[FÓRMULA MANUAL]","",IFERROR(SUMPRODUCT((nNIA=AE109)*(nCUENTA=1)*(COUNTIF(CONFIG_ASIGNATURAS!$B$7:$B$27,nASIG)&gt;0)*(nNOTA))/SUMPRODUCT((nNIA=AE109)*(nCUENTA=1)*(COUNTIF(CONFIG_ASIGNATURAS!$B$7:$B$27,nASIG)&gt;0)*1),"")))</f>
        <v/>
      </c>
    </row>
    <row r="110" spans="2:35" x14ac:dyDescent="0.2">
      <c r="B110" t="str">
        <f>IF(A110="","",IF(A110="[FÓRMULA MANUAL]","",IFERROR(AVERAGEIFS(nNOTA,nNIA,A110,nCUENTA,1,nASIG,"Lenguaje Musical"),"")))</f>
        <v/>
      </c>
      <c r="C110" t="str">
        <f>IF(A110="","",IF(A110="[FÓRMULA MANUAL]","",IFERROR(AVERAGEIFS(nNOTA,nNIA,A110,nCUENTA,1,nASIG,"Orquesta/Banda/Conjunto"),"")))</f>
        <v/>
      </c>
      <c r="D110" t="str">
        <f>IF(A110="","",IF(A110="[FÓRMULA MANUAL]","",IFERROR(AVERAGEIFS(nNOTA,nNIA,A110,nCUENTA,1,nASIG,"Conjunto"),"")))</f>
        <v/>
      </c>
      <c r="E110" t="str">
        <f>IF(A110="","",IF(A110="[FÓRMULA MANUAL]","",IFERROR(SUMPRODUCT((nNIA=A110)*(nCUENTA=1)*(COUNTIF(CONFIG_ASIGNATURAS!$B$7:$B$27,nASIG)&gt;0)*(nNOTA))/SUMPRODUCT((nNIA=A110)*(nCUENTA=1)*(COUNTIF(CONFIG_ASIGNATURAS!$B$7:$B$27,nASIG)&gt;0)*1),"")))</f>
        <v/>
      </c>
      <c r="H110" t="str">
        <f>IF(G110="","",IF(G110="[FÓRMULA MANUAL]","",IFERROR(AVERAGEIFS(nNOTA,nNIA,G110,nCUENTA,1,nASIG,"Lenguaje Musical"),"")))</f>
        <v/>
      </c>
      <c r="I110" t="str">
        <f>IF(G110="","",IF(G110="[FÓRMULA MANUAL]","",IFERROR(AVERAGEIFS(nNOTA,nNIA,G110,nCUENTA,1,nASIG,"Orquesta/Banda/Conjunto"),"")))</f>
        <v/>
      </c>
      <c r="J110" t="str">
        <f>IF(G110="","",IF(G110="[FÓRMULA MANUAL]","",IFERROR(AVERAGEIFS(nNOTA,nNIA,G110,nCUENTA,1,nASIG,"Conjunto"),"")))</f>
        <v/>
      </c>
      <c r="K110" t="str">
        <f>IF(G110="","",IF(G110="[FÓRMULA MANUAL]","",IFERROR(SUMPRODUCT((nNIA=G110)*(nCUENTA=1)*(COUNTIF(CONFIG_ASIGNATURAS!$B$7:$B$27,nASIG)&gt;0)*(nNOTA))/SUMPRODUCT((nNIA=G110)*(nCUENTA=1)*(COUNTIF(CONFIG_ASIGNATURAS!$B$7:$B$27,nASIG)&gt;0)*1),"")))</f>
        <v/>
      </c>
      <c r="N110" t="str">
        <f>IF(M110="","",IF(M110="[FÓRMULA MANUAL]","",IFERROR(AVERAGEIFS(nNOTA,nNIA,M110,nCUENTA,1,nASIG,"Armonía"),"")))</f>
        <v/>
      </c>
      <c r="O110" t="str">
        <f>IF(M110="","",IF(M110="[FÓRMULA MANUAL]","",IFERROR(AVERAGEIFS(nNOTA,nNIA,M110,nCUENTA,1,nASIG,"Orquesta/Banda/Conjunto"),"")))</f>
        <v/>
      </c>
      <c r="P110" t="str">
        <f>IF(M110="","",IF(M110="[FÓRMULA MANUAL]","",IFERROR(AVERAGEIFS(nNOTA,nNIA,M110,nCUENTA,1,nASIG,"Música de Cámara"),"")))</f>
        <v/>
      </c>
      <c r="Q110" t="str">
        <f>IF(M110="","",IF(M110="[FÓRMULA MANUAL]","",IFERROR(SUMPRODUCT((nNIA=M110)*(nCUENTA=1)*(COUNTIF(CONFIG_ASIGNATURAS!$B$7:$B$27,nASIG)&gt;0)*(nNOTA))/SUMPRODUCT((nNIA=M110)*(nCUENTA=1)*(COUNTIF(CONFIG_ASIGNATURAS!$B$7:$B$27,nASIG)&gt;0)*1),"")))</f>
        <v/>
      </c>
      <c r="T110" t="str">
        <f>IF(S110="","",IF(S110="[FÓRMULA MANUAL]","",IFERROR(AVERAGEIFS(nNOTA,nNIA,S110,nCUENTA,1,nASIG,"Armonía"),"")))</f>
        <v/>
      </c>
      <c r="U110" t="str">
        <f>IF(S110="","",IF(S110="[FÓRMULA MANUAL]","",IFERROR(AVERAGEIFS(nNOTA,nNIA,S110,nCUENTA,1,nASIG,"Orquesta/Banda/Conjunto"),"")))</f>
        <v/>
      </c>
      <c r="V110" t="str">
        <f>IF(S110="","",IF(S110="[FÓRMULA MANUAL]","",IFERROR(AVERAGEIFS(nNOTA,nNIA,S110,nCUENTA,1,nASIG,"Música de Cámara"),"")))</f>
        <v/>
      </c>
      <c r="W110" t="str">
        <f>IF(S110="","",IF(S110="[FÓRMULA MANUAL]","",IFERROR(SUMPRODUCT((nNIA=S110)*(nCUENTA=1)*(COUNTIF(CONFIG_ASIGNATURAS!$B$7:$B$27,nASIG)&gt;0)*(nNOTA))/SUMPRODUCT((nNIA=S110)*(nCUENTA=1)*(COUNTIF(CONFIG_ASIGNATURAS!$B$7:$B$27,nASIG)&gt;0)*1),"")))</f>
        <v/>
      </c>
      <c r="Z110" t="str">
        <f>IF(Y110="","",IF(Y110="[FÓRMULA MANUAL]","",IFERROR(AVERAGEIFS(nNOTA,nNIA,Y110,nCUENTA,1,nASIG,"Análisis"),"")))</f>
        <v/>
      </c>
      <c r="AA110" t="str">
        <f>IF(Y110="","",IF(Y110="[FÓRMULA MANUAL]","",IFERROR(AVERAGEIFS(nNOTA,nNIA,Y110,nCUENTA,1,nASIG,"Orquesta/Banda/Conjunto"),"")))</f>
        <v/>
      </c>
      <c r="AB110" t="str">
        <f>IF(Y110="","",IF(Y110="[FÓRMULA MANUAL]","",IFERROR(AVERAGEIFS(nNOTA,nNIA,Y110,nCUENTA,1,nASIG,"Música de Cámara"),"")))</f>
        <v/>
      </c>
      <c r="AC110" t="str">
        <f>IF(Y110="","",IF(Y110="[FÓRMULA MANUAL]","",IFERROR(SUMPRODUCT((nNIA=Y110)*(nCUENTA=1)*(COUNTIF(CONFIG_ASIGNATURAS!$B$7:$B$27,nASIG)&gt;0)*(nNOTA))/SUMPRODUCT((nNIA=Y110)*(nCUENTA=1)*(COUNTIF(CONFIG_ASIGNATURAS!$B$7:$B$27,nASIG)&gt;0)*1),"")))</f>
        <v/>
      </c>
      <c r="AF110" t="str">
        <f>IF(AE110="","",IF(AE110="[FÓRMULA MANUAL]","",IFERROR(AVERAGEIFS(nNOTA,nNIA,AE110,nCUENTA,1,nASIG,"Análisis"),"")))</f>
        <v/>
      </c>
      <c r="AG110" t="str">
        <f>IF(AE110="","",IF(AE110="[FÓRMULA MANUAL]","",IFERROR(AVERAGEIFS(nNOTA,nNIA,AE110,nCUENTA,1,nASIG,"Orquesta/Banda/Conjunto"),"")))</f>
        <v/>
      </c>
      <c r="AH110" t="str">
        <f>IF(AE110="","",IF(AE110="[FÓRMULA MANUAL]","",IFERROR(AVERAGEIFS(nNOTA,nNIA,AE110,nCUENTA,1,nASIG,"Música de Cámara"),"")))</f>
        <v/>
      </c>
      <c r="AI110" t="str">
        <f>IF(AE110="","",IF(AE110="[FÓRMULA MANUAL]","",IFERROR(SUMPRODUCT((nNIA=AE110)*(nCUENTA=1)*(COUNTIF(CONFIG_ASIGNATURAS!$B$7:$B$27,nASIG)&gt;0)*(nNOTA))/SUMPRODUCT((nNIA=AE110)*(nCUENTA=1)*(COUNTIF(CONFIG_ASIGNATURAS!$B$7:$B$27,nASIG)&gt;0)*1),"")))</f>
        <v/>
      </c>
    </row>
    <row r="111" spans="2:35" x14ac:dyDescent="0.2">
      <c r="B111" t="str">
        <f>IF(A111="","",IF(A111="[FÓRMULA MANUAL]","",IFERROR(AVERAGEIFS(nNOTA,nNIA,A111,nCUENTA,1,nASIG,"Lenguaje Musical"),"")))</f>
        <v/>
      </c>
      <c r="C111" t="str">
        <f>IF(A111="","",IF(A111="[FÓRMULA MANUAL]","",IFERROR(AVERAGEIFS(nNOTA,nNIA,A111,nCUENTA,1,nASIG,"Orquesta/Banda/Conjunto"),"")))</f>
        <v/>
      </c>
      <c r="D111" t="str">
        <f>IF(A111="","",IF(A111="[FÓRMULA MANUAL]","",IFERROR(AVERAGEIFS(nNOTA,nNIA,A111,nCUENTA,1,nASIG,"Conjunto"),"")))</f>
        <v/>
      </c>
      <c r="E111" t="str">
        <f>IF(A111="","",IF(A111="[FÓRMULA MANUAL]","",IFERROR(SUMPRODUCT((nNIA=A111)*(nCUENTA=1)*(COUNTIF(CONFIG_ASIGNATURAS!$B$7:$B$27,nASIG)&gt;0)*(nNOTA))/SUMPRODUCT((nNIA=A111)*(nCUENTA=1)*(COUNTIF(CONFIG_ASIGNATURAS!$B$7:$B$27,nASIG)&gt;0)*1),"")))</f>
        <v/>
      </c>
      <c r="H111" t="str">
        <f>IF(G111="","",IF(G111="[FÓRMULA MANUAL]","",IFERROR(AVERAGEIFS(nNOTA,nNIA,G111,nCUENTA,1,nASIG,"Lenguaje Musical"),"")))</f>
        <v/>
      </c>
      <c r="I111" t="str">
        <f>IF(G111="","",IF(G111="[FÓRMULA MANUAL]","",IFERROR(AVERAGEIFS(nNOTA,nNIA,G111,nCUENTA,1,nASIG,"Orquesta/Banda/Conjunto"),"")))</f>
        <v/>
      </c>
      <c r="J111" t="str">
        <f>IF(G111="","",IF(G111="[FÓRMULA MANUAL]","",IFERROR(AVERAGEIFS(nNOTA,nNIA,G111,nCUENTA,1,nASIG,"Conjunto"),"")))</f>
        <v/>
      </c>
      <c r="K111" t="str">
        <f>IF(G111="","",IF(G111="[FÓRMULA MANUAL]","",IFERROR(SUMPRODUCT((nNIA=G111)*(nCUENTA=1)*(COUNTIF(CONFIG_ASIGNATURAS!$B$7:$B$27,nASIG)&gt;0)*(nNOTA))/SUMPRODUCT((nNIA=G111)*(nCUENTA=1)*(COUNTIF(CONFIG_ASIGNATURAS!$B$7:$B$27,nASIG)&gt;0)*1),"")))</f>
        <v/>
      </c>
      <c r="N111" t="str">
        <f>IF(M111="","",IF(M111="[FÓRMULA MANUAL]","",IFERROR(AVERAGEIFS(nNOTA,nNIA,M111,nCUENTA,1,nASIG,"Armonía"),"")))</f>
        <v/>
      </c>
      <c r="O111" t="str">
        <f>IF(M111="","",IF(M111="[FÓRMULA MANUAL]","",IFERROR(AVERAGEIFS(nNOTA,nNIA,M111,nCUENTA,1,nASIG,"Orquesta/Banda/Conjunto"),"")))</f>
        <v/>
      </c>
      <c r="P111" t="str">
        <f>IF(M111="","",IF(M111="[FÓRMULA MANUAL]","",IFERROR(AVERAGEIFS(nNOTA,nNIA,M111,nCUENTA,1,nASIG,"Música de Cámara"),"")))</f>
        <v/>
      </c>
      <c r="Q111" t="str">
        <f>IF(M111="","",IF(M111="[FÓRMULA MANUAL]","",IFERROR(SUMPRODUCT((nNIA=M111)*(nCUENTA=1)*(COUNTIF(CONFIG_ASIGNATURAS!$B$7:$B$27,nASIG)&gt;0)*(nNOTA))/SUMPRODUCT((nNIA=M111)*(nCUENTA=1)*(COUNTIF(CONFIG_ASIGNATURAS!$B$7:$B$27,nASIG)&gt;0)*1),"")))</f>
        <v/>
      </c>
      <c r="T111" t="str">
        <f>IF(S111="","",IF(S111="[FÓRMULA MANUAL]","",IFERROR(AVERAGEIFS(nNOTA,nNIA,S111,nCUENTA,1,nASIG,"Armonía"),"")))</f>
        <v/>
      </c>
      <c r="U111" t="str">
        <f>IF(S111="","",IF(S111="[FÓRMULA MANUAL]","",IFERROR(AVERAGEIFS(nNOTA,nNIA,S111,nCUENTA,1,nASIG,"Orquesta/Banda/Conjunto"),"")))</f>
        <v/>
      </c>
      <c r="V111" t="str">
        <f>IF(S111="","",IF(S111="[FÓRMULA MANUAL]","",IFERROR(AVERAGEIFS(nNOTA,nNIA,S111,nCUENTA,1,nASIG,"Música de Cámara"),"")))</f>
        <v/>
      </c>
      <c r="W111" t="str">
        <f>IF(S111="","",IF(S111="[FÓRMULA MANUAL]","",IFERROR(SUMPRODUCT((nNIA=S111)*(nCUENTA=1)*(COUNTIF(CONFIG_ASIGNATURAS!$B$7:$B$27,nASIG)&gt;0)*(nNOTA))/SUMPRODUCT((nNIA=S111)*(nCUENTA=1)*(COUNTIF(CONFIG_ASIGNATURAS!$B$7:$B$27,nASIG)&gt;0)*1),"")))</f>
        <v/>
      </c>
      <c r="Z111" t="str">
        <f>IF(Y111="","",IF(Y111="[FÓRMULA MANUAL]","",IFERROR(AVERAGEIFS(nNOTA,nNIA,Y111,nCUENTA,1,nASIG,"Análisis"),"")))</f>
        <v/>
      </c>
      <c r="AA111" t="str">
        <f>IF(Y111="","",IF(Y111="[FÓRMULA MANUAL]","",IFERROR(AVERAGEIFS(nNOTA,nNIA,Y111,nCUENTA,1,nASIG,"Orquesta/Banda/Conjunto"),"")))</f>
        <v/>
      </c>
      <c r="AB111" t="str">
        <f>IF(Y111="","",IF(Y111="[FÓRMULA MANUAL]","",IFERROR(AVERAGEIFS(nNOTA,nNIA,Y111,nCUENTA,1,nASIG,"Música de Cámara"),"")))</f>
        <v/>
      </c>
      <c r="AC111" t="str">
        <f>IF(Y111="","",IF(Y111="[FÓRMULA MANUAL]","",IFERROR(SUMPRODUCT((nNIA=Y111)*(nCUENTA=1)*(COUNTIF(CONFIG_ASIGNATURAS!$B$7:$B$27,nASIG)&gt;0)*(nNOTA))/SUMPRODUCT((nNIA=Y111)*(nCUENTA=1)*(COUNTIF(CONFIG_ASIGNATURAS!$B$7:$B$27,nASIG)&gt;0)*1),"")))</f>
        <v/>
      </c>
      <c r="AF111" t="str">
        <f>IF(AE111="","",IF(AE111="[FÓRMULA MANUAL]","",IFERROR(AVERAGEIFS(nNOTA,nNIA,AE111,nCUENTA,1,nASIG,"Análisis"),"")))</f>
        <v/>
      </c>
      <c r="AG111" t="str">
        <f>IF(AE111="","",IF(AE111="[FÓRMULA MANUAL]","",IFERROR(AVERAGEIFS(nNOTA,nNIA,AE111,nCUENTA,1,nASIG,"Orquesta/Banda/Conjunto"),"")))</f>
        <v/>
      </c>
      <c r="AH111" t="str">
        <f>IF(AE111="","",IF(AE111="[FÓRMULA MANUAL]","",IFERROR(AVERAGEIFS(nNOTA,nNIA,AE111,nCUENTA,1,nASIG,"Música de Cámara"),"")))</f>
        <v/>
      </c>
      <c r="AI111" t="str">
        <f>IF(AE111="","",IF(AE111="[FÓRMULA MANUAL]","",IFERROR(SUMPRODUCT((nNIA=AE111)*(nCUENTA=1)*(COUNTIF(CONFIG_ASIGNATURAS!$B$7:$B$27,nASIG)&gt;0)*(nNOTA))/SUMPRODUCT((nNIA=AE111)*(nCUENTA=1)*(COUNTIF(CONFIG_ASIGNATURAS!$B$7:$B$27,nASIG)&gt;0)*1),"")))</f>
        <v/>
      </c>
    </row>
    <row r="112" spans="2:35" x14ac:dyDescent="0.2">
      <c r="B112" t="str">
        <f>IF(A112="","",IF(A112="[FÓRMULA MANUAL]","",IFERROR(AVERAGEIFS(nNOTA,nNIA,A112,nCUENTA,1,nASIG,"Lenguaje Musical"),"")))</f>
        <v/>
      </c>
      <c r="C112" t="str">
        <f>IF(A112="","",IF(A112="[FÓRMULA MANUAL]","",IFERROR(AVERAGEIFS(nNOTA,nNIA,A112,nCUENTA,1,nASIG,"Orquesta/Banda/Conjunto"),"")))</f>
        <v/>
      </c>
      <c r="D112" t="str">
        <f>IF(A112="","",IF(A112="[FÓRMULA MANUAL]","",IFERROR(AVERAGEIFS(nNOTA,nNIA,A112,nCUENTA,1,nASIG,"Conjunto"),"")))</f>
        <v/>
      </c>
      <c r="E112" t="str">
        <f>IF(A112="","",IF(A112="[FÓRMULA MANUAL]","",IFERROR(SUMPRODUCT((nNIA=A112)*(nCUENTA=1)*(COUNTIF(CONFIG_ASIGNATURAS!$B$7:$B$27,nASIG)&gt;0)*(nNOTA))/SUMPRODUCT((nNIA=A112)*(nCUENTA=1)*(COUNTIF(CONFIG_ASIGNATURAS!$B$7:$B$27,nASIG)&gt;0)*1),"")))</f>
        <v/>
      </c>
      <c r="H112" t="str">
        <f>IF(G112="","",IF(G112="[FÓRMULA MANUAL]","",IFERROR(AVERAGEIFS(nNOTA,nNIA,G112,nCUENTA,1,nASIG,"Lenguaje Musical"),"")))</f>
        <v/>
      </c>
      <c r="I112" t="str">
        <f>IF(G112="","",IF(G112="[FÓRMULA MANUAL]","",IFERROR(AVERAGEIFS(nNOTA,nNIA,G112,nCUENTA,1,nASIG,"Orquesta/Banda/Conjunto"),"")))</f>
        <v/>
      </c>
      <c r="J112" t="str">
        <f>IF(G112="","",IF(G112="[FÓRMULA MANUAL]","",IFERROR(AVERAGEIFS(nNOTA,nNIA,G112,nCUENTA,1,nASIG,"Conjunto"),"")))</f>
        <v/>
      </c>
      <c r="K112" t="str">
        <f>IF(G112="","",IF(G112="[FÓRMULA MANUAL]","",IFERROR(SUMPRODUCT((nNIA=G112)*(nCUENTA=1)*(COUNTIF(CONFIG_ASIGNATURAS!$B$7:$B$27,nASIG)&gt;0)*(nNOTA))/SUMPRODUCT((nNIA=G112)*(nCUENTA=1)*(COUNTIF(CONFIG_ASIGNATURAS!$B$7:$B$27,nASIG)&gt;0)*1),"")))</f>
        <v/>
      </c>
      <c r="N112" t="str">
        <f>IF(M112="","",IF(M112="[FÓRMULA MANUAL]","",IFERROR(AVERAGEIFS(nNOTA,nNIA,M112,nCUENTA,1,nASIG,"Armonía"),"")))</f>
        <v/>
      </c>
      <c r="O112" t="str">
        <f>IF(M112="","",IF(M112="[FÓRMULA MANUAL]","",IFERROR(AVERAGEIFS(nNOTA,nNIA,M112,nCUENTA,1,nASIG,"Orquesta/Banda/Conjunto"),"")))</f>
        <v/>
      </c>
      <c r="P112" t="str">
        <f>IF(M112="","",IF(M112="[FÓRMULA MANUAL]","",IFERROR(AVERAGEIFS(nNOTA,nNIA,M112,nCUENTA,1,nASIG,"Música de Cámara"),"")))</f>
        <v/>
      </c>
      <c r="Q112" t="str">
        <f>IF(M112="","",IF(M112="[FÓRMULA MANUAL]","",IFERROR(SUMPRODUCT((nNIA=M112)*(nCUENTA=1)*(COUNTIF(CONFIG_ASIGNATURAS!$B$7:$B$27,nASIG)&gt;0)*(nNOTA))/SUMPRODUCT((nNIA=M112)*(nCUENTA=1)*(COUNTIF(CONFIG_ASIGNATURAS!$B$7:$B$27,nASIG)&gt;0)*1),"")))</f>
        <v/>
      </c>
      <c r="T112" t="str">
        <f>IF(S112="","",IF(S112="[FÓRMULA MANUAL]","",IFERROR(AVERAGEIFS(nNOTA,nNIA,S112,nCUENTA,1,nASIG,"Armonía"),"")))</f>
        <v/>
      </c>
      <c r="U112" t="str">
        <f>IF(S112="","",IF(S112="[FÓRMULA MANUAL]","",IFERROR(AVERAGEIFS(nNOTA,nNIA,S112,nCUENTA,1,nASIG,"Orquesta/Banda/Conjunto"),"")))</f>
        <v/>
      </c>
      <c r="V112" t="str">
        <f>IF(S112="","",IF(S112="[FÓRMULA MANUAL]","",IFERROR(AVERAGEIFS(nNOTA,nNIA,S112,nCUENTA,1,nASIG,"Música de Cámara"),"")))</f>
        <v/>
      </c>
      <c r="W112" t="str">
        <f>IF(S112="","",IF(S112="[FÓRMULA MANUAL]","",IFERROR(SUMPRODUCT((nNIA=S112)*(nCUENTA=1)*(COUNTIF(CONFIG_ASIGNATURAS!$B$7:$B$27,nASIG)&gt;0)*(nNOTA))/SUMPRODUCT((nNIA=S112)*(nCUENTA=1)*(COUNTIF(CONFIG_ASIGNATURAS!$B$7:$B$27,nASIG)&gt;0)*1),"")))</f>
        <v/>
      </c>
      <c r="Z112" t="str">
        <f>IF(Y112="","",IF(Y112="[FÓRMULA MANUAL]","",IFERROR(AVERAGEIFS(nNOTA,nNIA,Y112,nCUENTA,1,nASIG,"Análisis"),"")))</f>
        <v/>
      </c>
      <c r="AA112" t="str">
        <f>IF(Y112="","",IF(Y112="[FÓRMULA MANUAL]","",IFERROR(AVERAGEIFS(nNOTA,nNIA,Y112,nCUENTA,1,nASIG,"Orquesta/Banda/Conjunto"),"")))</f>
        <v/>
      </c>
      <c r="AB112" t="str">
        <f>IF(Y112="","",IF(Y112="[FÓRMULA MANUAL]","",IFERROR(AVERAGEIFS(nNOTA,nNIA,Y112,nCUENTA,1,nASIG,"Música de Cámara"),"")))</f>
        <v/>
      </c>
      <c r="AC112" t="str">
        <f>IF(Y112="","",IF(Y112="[FÓRMULA MANUAL]","",IFERROR(SUMPRODUCT((nNIA=Y112)*(nCUENTA=1)*(COUNTIF(CONFIG_ASIGNATURAS!$B$7:$B$27,nASIG)&gt;0)*(nNOTA))/SUMPRODUCT((nNIA=Y112)*(nCUENTA=1)*(COUNTIF(CONFIG_ASIGNATURAS!$B$7:$B$27,nASIG)&gt;0)*1),"")))</f>
        <v/>
      </c>
      <c r="AF112" t="str">
        <f>IF(AE112="","",IF(AE112="[FÓRMULA MANUAL]","",IFERROR(AVERAGEIFS(nNOTA,nNIA,AE112,nCUENTA,1,nASIG,"Análisis"),"")))</f>
        <v/>
      </c>
      <c r="AG112" t="str">
        <f>IF(AE112="","",IF(AE112="[FÓRMULA MANUAL]","",IFERROR(AVERAGEIFS(nNOTA,nNIA,AE112,nCUENTA,1,nASIG,"Orquesta/Banda/Conjunto"),"")))</f>
        <v/>
      </c>
      <c r="AH112" t="str">
        <f>IF(AE112="","",IF(AE112="[FÓRMULA MANUAL]","",IFERROR(AVERAGEIFS(nNOTA,nNIA,AE112,nCUENTA,1,nASIG,"Música de Cámara"),"")))</f>
        <v/>
      </c>
      <c r="AI112" t="str">
        <f>IF(AE112="","",IF(AE112="[FÓRMULA MANUAL]","",IFERROR(SUMPRODUCT((nNIA=AE112)*(nCUENTA=1)*(COUNTIF(CONFIG_ASIGNATURAS!$B$7:$B$27,nASIG)&gt;0)*(nNOTA))/SUMPRODUCT((nNIA=AE112)*(nCUENTA=1)*(COUNTIF(CONFIG_ASIGNATURAS!$B$7:$B$27,nASIG)&gt;0)*1),"")))</f>
        <v/>
      </c>
    </row>
    <row r="113" spans="2:35" x14ac:dyDescent="0.2">
      <c r="B113" t="str">
        <f>IF(A113="","",IF(A113="[FÓRMULA MANUAL]","",IFERROR(AVERAGEIFS(nNOTA,nNIA,A113,nCUENTA,1,nASIG,"Lenguaje Musical"),"")))</f>
        <v/>
      </c>
      <c r="C113" t="str">
        <f>IF(A113="","",IF(A113="[FÓRMULA MANUAL]","",IFERROR(AVERAGEIFS(nNOTA,nNIA,A113,nCUENTA,1,nASIG,"Orquesta/Banda/Conjunto"),"")))</f>
        <v/>
      </c>
      <c r="D113" t="str">
        <f>IF(A113="","",IF(A113="[FÓRMULA MANUAL]","",IFERROR(AVERAGEIFS(nNOTA,nNIA,A113,nCUENTA,1,nASIG,"Conjunto"),"")))</f>
        <v/>
      </c>
      <c r="E113" t="str">
        <f>IF(A113="","",IF(A113="[FÓRMULA MANUAL]","",IFERROR(SUMPRODUCT((nNIA=A113)*(nCUENTA=1)*(COUNTIF(CONFIG_ASIGNATURAS!$B$7:$B$27,nASIG)&gt;0)*(nNOTA))/SUMPRODUCT((nNIA=A113)*(nCUENTA=1)*(COUNTIF(CONFIG_ASIGNATURAS!$B$7:$B$27,nASIG)&gt;0)*1),"")))</f>
        <v/>
      </c>
      <c r="H113" t="str">
        <f>IF(G113="","",IF(G113="[FÓRMULA MANUAL]","",IFERROR(AVERAGEIFS(nNOTA,nNIA,G113,nCUENTA,1,nASIG,"Lenguaje Musical"),"")))</f>
        <v/>
      </c>
      <c r="I113" t="str">
        <f>IF(G113="","",IF(G113="[FÓRMULA MANUAL]","",IFERROR(AVERAGEIFS(nNOTA,nNIA,G113,nCUENTA,1,nASIG,"Orquesta/Banda/Conjunto"),"")))</f>
        <v/>
      </c>
      <c r="J113" t="str">
        <f>IF(G113="","",IF(G113="[FÓRMULA MANUAL]","",IFERROR(AVERAGEIFS(nNOTA,nNIA,G113,nCUENTA,1,nASIG,"Conjunto"),"")))</f>
        <v/>
      </c>
      <c r="K113" t="str">
        <f>IF(G113="","",IF(G113="[FÓRMULA MANUAL]","",IFERROR(SUMPRODUCT((nNIA=G113)*(nCUENTA=1)*(COUNTIF(CONFIG_ASIGNATURAS!$B$7:$B$27,nASIG)&gt;0)*(nNOTA))/SUMPRODUCT((nNIA=G113)*(nCUENTA=1)*(COUNTIF(CONFIG_ASIGNATURAS!$B$7:$B$27,nASIG)&gt;0)*1),"")))</f>
        <v/>
      </c>
      <c r="N113" t="str">
        <f>IF(M113="","",IF(M113="[FÓRMULA MANUAL]","",IFERROR(AVERAGEIFS(nNOTA,nNIA,M113,nCUENTA,1,nASIG,"Armonía"),"")))</f>
        <v/>
      </c>
      <c r="O113" t="str">
        <f>IF(M113="","",IF(M113="[FÓRMULA MANUAL]","",IFERROR(AVERAGEIFS(nNOTA,nNIA,M113,nCUENTA,1,nASIG,"Orquesta/Banda/Conjunto"),"")))</f>
        <v/>
      </c>
      <c r="P113" t="str">
        <f>IF(M113="","",IF(M113="[FÓRMULA MANUAL]","",IFERROR(AVERAGEIFS(nNOTA,nNIA,M113,nCUENTA,1,nASIG,"Música de Cámara"),"")))</f>
        <v/>
      </c>
      <c r="Q113" t="str">
        <f>IF(M113="","",IF(M113="[FÓRMULA MANUAL]","",IFERROR(SUMPRODUCT((nNIA=M113)*(nCUENTA=1)*(COUNTIF(CONFIG_ASIGNATURAS!$B$7:$B$27,nASIG)&gt;0)*(nNOTA))/SUMPRODUCT((nNIA=M113)*(nCUENTA=1)*(COUNTIF(CONFIG_ASIGNATURAS!$B$7:$B$27,nASIG)&gt;0)*1),"")))</f>
        <v/>
      </c>
      <c r="T113" t="str">
        <f>IF(S113="","",IF(S113="[FÓRMULA MANUAL]","",IFERROR(AVERAGEIFS(nNOTA,nNIA,S113,nCUENTA,1,nASIG,"Armonía"),"")))</f>
        <v/>
      </c>
      <c r="U113" t="str">
        <f>IF(S113="","",IF(S113="[FÓRMULA MANUAL]","",IFERROR(AVERAGEIFS(nNOTA,nNIA,S113,nCUENTA,1,nASIG,"Orquesta/Banda/Conjunto"),"")))</f>
        <v/>
      </c>
      <c r="V113" t="str">
        <f>IF(S113="","",IF(S113="[FÓRMULA MANUAL]","",IFERROR(AVERAGEIFS(nNOTA,nNIA,S113,nCUENTA,1,nASIG,"Música de Cámara"),"")))</f>
        <v/>
      </c>
      <c r="W113" t="str">
        <f>IF(S113="","",IF(S113="[FÓRMULA MANUAL]","",IFERROR(SUMPRODUCT((nNIA=S113)*(nCUENTA=1)*(COUNTIF(CONFIG_ASIGNATURAS!$B$7:$B$27,nASIG)&gt;0)*(nNOTA))/SUMPRODUCT((nNIA=S113)*(nCUENTA=1)*(COUNTIF(CONFIG_ASIGNATURAS!$B$7:$B$27,nASIG)&gt;0)*1),"")))</f>
        <v/>
      </c>
      <c r="Z113" t="str">
        <f>IF(Y113="","",IF(Y113="[FÓRMULA MANUAL]","",IFERROR(AVERAGEIFS(nNOTA,nNIA,Y113,nCUENTA,1,nASIG,"Análisis"),"")))</f>
        <v/>
      </c>
      <c r="AA113" t="str">
        <f>IF(Y113="","",IF(Y113="[FÓRMULA MANUAL]","",IFERROR(AVERAGEIFS(nNOTA,nNIA,Y113,nCUENTA,1,nASIG,"Orquesta/Banda/Conjunto"),"")))</f>
        <v/>
      </c>
      <c r="AB113" t="str">
        <f>IF(Y113="","",IF(Y113="[FÓRMULA MANUAL]","",IFERROR(AVERAGEIFS(nNOTA,nNIA,Y113,nCUENTA,1,nASIG,"Música de Cámara"),"")))</f>
        <v/>
      </c>
      <c r="AC113" t="str">
        <f>IF(Y113="","",IF(Y113="[FÓRMULA MANUAL]","",IFERROR(SUMPRODUCT((nNIA=Y113)*(nCUENTA=1)*(COUNTIF(CONFIG_ASIGNATURAS!$B$7:$B$27,nASIG)&gt;0)*(nNOTA))/SUMPRODUCT((nNIA=Y113)*(nCUENTA=1)*(COUNTIF(CONFIG_ASIGNATURAS!$B$7:$B$27,nASIG)&gt;0)*1),"")))</f>
        <v/>
      </c>
      <c r="AF113" t="str">
        <f>IF(AE113="","",IF(AE113="[FÓRMULA MANUAL]","",IFERROR(AVERAGEIFS(nNOTA,nNIA,AE113,nCUENTA,1,nASIG,"Análisis"),"")))</f>
        <v/>
      </c>
      <c r="AG113" t="str">
        <f>IF(AE113="","",IF(AE113="[FÓRMULA MANUAL]","",IFERROR(AVERAGEIFS(nNOTA,nNIA,AE113,nCUENTA,1,nASIG,"Orquesta/Banda/Conjunto"),"")))</f>
        <v/>
      </c>
      <c r="AH113" t="str">
        <f>IF(AE113="","",IF(AE113="[FÓRMULA MANUAL]","",IFERROR(AVERAGEIFS(nNOTA,nNIA,AE113,nCUENTA,1,nASIG,"Música de Cámara"),"")))</f>
        <v/>
      </c>
      <c r="AI113" t="str">
        <f>IF(AE113="","",IF(AE113="[FÓRMULA MANUAL]","",IFERROR(SUMPRODUCT((nNIA=AE113)*(nCUENTA=1)*(COUNTIF(CONFIG_ASIGNATURAS!$B$7:$B$27,nASIG)&gt;0)*(nNOTA))/SUMPRODUCT((nNIA=AE113)*(nCUENTA=1)*(COUNTIF(CONFIG_ASIGNATURAS!$B$7:$B$27,nASIG)&gt;0)*1),"")))</f>
        <v/>
      </c>
    </row>
    <row r="114" spans="2:35" x14ac:dyDescent="0.2">
      <c r="B114" t="str">
        <f>IF(A114="","",IF(A114="[FÓRMULA MANUAL]","",IFERROR(AVERAGEIFS(nNOTA,nNIA,A114,nCUENTA,1,nASIG,"Lenguaje Musical"),"")))</f>
        <v/>
      </c>
      <c r="C114" t="str">
        <f>IF(A114="","",IF(A114="[FÓRMULA MANUAL]","",IFERROR(AVERAGEIFS(nNOTA,nNIA,A114,nCUENTA,1,nASIG,"Orquesta/Banda/Conjunto"),"")))</f>
        <v/>
      </c>
      <c r="D114" t="str">
        <f>IF(A114="","",IF(A114="[FÓRMULA MANUAL]","",IFERROR(AVERAGEIFS(nNOTA,nNIA,A114,nCUENTA,1,nASIG,"Conjunto"),"")))</f>
        <v/>
      </c>
      <c r="E114" t="str">
        <f>IF(A114="","",IF(A114="[FÓRMULA MANUAL]","",IFERROR(SUMPRODUCT((nNIA=A114)*(nCUENTA=1)*(COUNTIF(CONFIG_ASIGNATURAS!$B$7:$B$27,nASIG)&gt;0)*(nNOTA))/SUMPRODUCT((nNIA=A114)*(nCUENTA=1)*(COUNTIF(CONFIG_ASIGNATURAS!$B$7:$B$27,nASIG)&gt;0)*1),"")))</f>
        <v/>
      </c>
      <c r="H114" t="str">
        <f>IF(G114="","",IF(G114="[FÓRMULA MANUAL]","",IFERROR(AVERAGEIFS(nNOTA,nNIA,G114,nCUENTA,1,nASIG,"Lenguaje Musical"),"")))</f>
        <v/>
      </c>
      <c r="I114" t="str">
        <f>IF(G114="","",IF(G114="[FÓRMULA MANUAL]","",IFERROR(AVERAGEIFS(nNOTA,nNIA,G114,nCUENTA,1,nASIG,"Orquesta/Banda/Conjunto"),"")))</f>
        <v/>
      </c>
      <c r="J114" t="str">
        <f>IF(G114="","",IF(G114="[FÓRMULA MANUAL]","",IFERROR(AVERAGEIFS(nNOTA,nNIA,G114,nCUENTA,1,nASIG,"Conjunto"),"")))</f>
        <v/>
      </c>
      <c r="K114" t="str">
        <f>IF(G114="","",IF(G114="[FÓRMULA MANUAL]","",IFERROR(SUMPRODUCT((nNIA=G114)*(nCUENTA=1)*(COUNTIF(CONFIG_ASIGNATURAS!$B$7:$B$27,nASIG)&gt;0)*(nNOTA))/SUMPRODUCT((nNIA=G114)*(nCUENTA=1)*(COUNTIF(CONFIG_ASIGNATURAS!$B$7:$B$27,nASIG)&gt;0)*1),"")))</f>
        <v/>
      </c>
      <c r="N114" t="str">
        <f>IF(M114="","",IF(M114="[FÓRMULA MANUAL]","",IFERROR(AVERAGEIFS(nNOTA,nNIA,M114,nCUENTA,1,nASIG,"Armonía"),"")))</f>
        <v/>
      </c>
      <c r="O114" t="str">
        <f>IF(M114="","",IF(M114="[FÓRMULA MANUAL]","",IFERROR(AVERAGEIFS(nNOTA,nNIA,M114,nCUENTA,1,nASIG,"Orquesta/Banda/Conjunto"),"")))</f>
        <v/>
      </c>
      <c r="P114" t="str">
        <f>IF(M114="","",IF(M114="[FÓRMULA MANUAL]","",IFERROR(AVERAGEIFS(nNOTA,nNIA,M114,nCUENTA,1,nASIG,"Música de Cámara"),"")))</f>
        <v/>
      </c>
      <c r="Q114" t="str">
        <f>IF(M114="","",IF(M114="[FÓRMULA MANUAL]","",IFERROR(SUMPRODUCT((nNIA=M114)*(nCUENTA=1)*(COUNTIF(CONFIG_ASIGNATURAS!$B$7:$B$27,nASIG)&gt;0)*(nNOTA))/SUMPRODUCT((nNIA=M114)*(nCUENTA=1)*(COUNTIF(CONFIG_ASIGNATURAS!$B$7:$B$27,nASIG)&gt;0)*1),"")))</f>
        <v/>
      </c>
      <c r="T114" t="str">
        <f>IF(S114="","",IF(S114="[FÓRMULA MANUAL]","",IFERROR(AVERAGEIFS(nNOTA,nNIA,S114,nCUENTA,1,nASIG,"Armonía"),"")))</f>
        <v/>
      </c>
      <c r="U114" t="str">
        <f>IF(S114="","",IF(S114="[FÓRMULA MANUAL]","",IFERROR(AVERAGEIFS(nNOTA,nNIA,S114,nCUENTA,1,nASIG,"Orquesta/Banda/Conjunto"),"")))</f>
        <v/>
      </c>
      <c r="V114" t="str">
        <f>IF(S114="","",IF(S114="[FÓRMULA MANUAL]","",IFERROR(AVERAGEIFS(nNOTA,nNIA,S114,nCUENTA,1,nASIG,"Música de Cámara"),"")))</f>
        <v/>
      </c>
      <c r="W114" t="str">
        <f>IF(S114="","",IF(S114="[FÓRMULA MANUAL]","",IFERROR(SUMPRODUCT((nNIA=S114)*(nCUENTA=1)*(COUNTIF(CONFIG_ASIGNATURAS!$B$7:$B$27,nASIG)&gt;0)*(nNOTA))/SUMPRODUCT((nNIA=S114)*(nCUENTA=1)*(COUNTIF(CONFIG_ASIGNATURAS!$B$7:$B$27,nASIG)&gt;0)*1),"")))</f>
        <v/>
      </c>
      <c r="Z114" t="str">
        <f>IF(Y114="","",IF(Y114="[FÓRMULA MANUAL]","",IFERROR(AVERAGEIFS(nNOTA,nNIA,Y114,nCUENTA,1,nASIG,"Análisis"),"")))</f>
        <v/>
      </c>
      <c r="AA114" t="str">
        <f>IF(Y114="","",IF(Y114="[FÓRMULA MANUAL]","",IFERROR(AVERAGEIFS(nNOTA,nNIA,Y114,nCUENTA,1,nASIG,"Orquesta/Banda/Conjunto"),"")))</f>
        <v/>
      </c>
      <c r="AB114" t="str">
        <f>IF(Y114="","",IF(Y114="[FÓRMULA MANUAL]","",IFERROR(AVERAGEIFS(nNOTA,nNIA,Y114,nCUENTA,1,nASIG,"Música de Cámara"),"")))</f>
        <v/>
      </c>
      <c r="AC114" t="str">
        <f>IF(Y114="","",IF(Y114="[FÓRMULA MANUAL]","",IFERROR(SUMPRODUCT((nNIA=Y114)*(nCUENTA=1)*(COUNTIF(CONFIG_ASIGNATURAS!$B$7:$B$27,nASIG)&gt;0)*(nNOTA))/SUMPRODUCT((nNIA=Y114)*(nCUENTA=1)*(COUNTIF(CONFIG_ASIGNATURAS!$B$7:$B$27,nASIG)&gt;0)*1),"")))</f>
        <v/>
      </c>
      <c r="AF114" t="str">
        <f>IF(AE114="","",IF(AE114="[FÓRMULA MANUAL]","",IFERROR(AVERAGEIFS(nNOTA,nNIA,AE114,nCUENTA,1,nASIG,"Análisis"),"")))</f>
        <v/>
      </c>
      <c r="AG114" t="str">
        <f>IF(AE114="","",IF(AE114="[FÓRMULA MANUAL]","",IFERROR(AVERAGEIFS(nNOTA,nNIA,AE114,nCUENTA,1,nASIG,"Orquesta/Banda/Conjunto"),"")))</f>
        <v/>
      </c>
      <c r="AH114" t="str">
        <f>IF(AE114="","",IF(AE114="[FÓRMULA MANUAL]","",IFERROR(AVERAGEIFS(nNOTA,nNIA,AE114,nCUENTA,1,nASIG,"Música de Cámara"),"")))</f>
        <v/>
      </c>
      <c r="AI114" t="str">
        <f>IF(AE114="","",IF(AE114="[FÓRMULA MANUAL]","",IFERROR(SUMPRODUCT((nNIA=AE114)*(nCUENTA=1)*(COUNTIF(CONFIG_ASIGNATURAS!$B$7:$B$27,nASIG)&gt;0)*(nNOTA))/SUMPRODUCT((nNIA=AE114)*(nCUENTA=1)*(COUNTIF(CONFIG_ASIGNATURAS!$B$7:$B$27,nASIG)&gt;0)*1),"")))</f>
        <v/>
      </c>
    </row>
    <row r="115" spans="2:35" x14ac:dyDescent="0.2">
      <c r="B115" t="str">
        <f>IF(A115="","",IF(A115="[FÓRMULA MANUAL]","",IFERROR(AVERAGEIFS(nNOTA,nNIA,A115,nCUENTA,1,nASIG,"Lenguaje Musical"),"")))</f>
        <v/>
      </c>
      <c r="C115" t="str">
        <f>IF(A115="","",IF(A115="[FÓRMULA MANUAL]","",IFERROR(AVERAGEIFS(nNOTA,nNIA,A115,nCUENTA,1,nASIG,"Orquesta/Banda/Conjunto"),"")))</f>
        <v/>
      </c>
      <c r="D115" t="str">
        <f>IF(A115="","",IF(A115="[FÓRMULA MANUAL]","",IFERROR(AVERAGEIFS(nNOTA,nNIA,A115,nCUENTA,1,nASIG,"Conjunto"),"")))</f>
        <v/>
      </c>
      <c r="E115" t="str">
        <f>IF(A115="","",IF(A115="[FÓRMULA MANUAL]","",IFERROR(SUMPRODUCT((nNIA=A115)*(nCUENTA=1)*(COUNTIF(CONFIG_ASIGNATURAS!$B$7:$B$27,nASIG)&gt;0)*(nNOTA))/SUMPRODUCT((nNIA=A115)*(nCUENTA=1)*(COUNTIF(CONFIG_ASIGNATURAS!$B$7:$B$27,nASIG)&gt;0)*1),"")))</f>
        <v/>
      </c>
      <c r="H115" t="str">
        <f>IF(G115="","",IF(G115="[FÓRMULA MANUAL]","",IFERROR(AVERAGEIFS(nNOTA,nNIA,G115,nCUENTA,1,nASIG,"Lenguaje Musical"),"")))</f>
        <v/>
      </c>
      <c r="I115" t="str">
        <f>IF(G115="","",IF(G115="[FÓRMULA MANUAL]","",IFERROR(AVERAGEIFS(nNOTA,nNIA,G115,nCUENTA,1,nASIG,"Orquesta/Banda/Conjunto"),"")))</f>
        <v/>
      </c>
      <c r="J115" t="str">
        <f>IF(G115="","",IF(G115="[FÓRMULA MANUAL]","",IFERROR(AVERAGEIFS(nNOTA,nNIA,G115,nCUENTA,1,nASIG,"Conjunto"),"")))</f>
        <v/>
      </c>
      <c r="K115" t="str">
        <f>IF(G115="","",IF(G115="[FÓRMULA MANUAL]","",IFERROR(SUMPRODUCT((nNIA=G115)*(nCUENTA=1)*(COUNTIF(CONFIG_ASIGNATURAS!$B$7:$B$27,nASIG)&gt;0)*(nNOTA))/SUMPRODUCT((nNIA=G115)*(nCUENTA=1)*(COUNTIF(CONFIG_ASIGNATURAS!$B$7:$B$27,nASIG)&gt;0)*1),"")))</f>
        <v/>
      </c>
      <c r="N115" t="str">
        <f>IF(M115="","",IF(M115="[FÓRMULA MANUAL]","",IFERROR(AVERAGEIFS(nNOTA,nNIA,M115,nCUENTA,1,nASIG,"Armonía"),"")))</f>
        <v/>
      </c>
      <c r="O115" t="str">
        <f>IF(M115="","",IF(M115="[FÓRMULA MANUAL]","",IFERROR(AVERAGEIFS(nNOTA,nNIA,M115,nCUENTA,1,nASIG,"Orquesta/Banda/Conjunto"),"")))</f>
        <v/>
      </c>
      <c r="P115" t="str">
        <f>IF(M115="","",IF(M115="[FÓRMULA MANUAL]","",IFERROR(AVERAGEIFS(nNOTA,nNIA,M115,nCUENTA,1,nASIG,"Música de Cámara"),"")))</f>
        <v/>
      </c>
      <c r="Q115" t="str">
        <f>IF(M115="","",IF(M115="[FÓRMULA MANUAL]","",IFERROR(SUMPRODUCT((nNIA=M115)*(nCUENTA=1)*(COUNTIF(CONFIG_ASIGNATURAS!$B$7:$B$27,nASIG)&gt;0)*(nNOTA))/SUMPRODUCT((nNIA=M115)*(nCUENTA=1)*(COUNTIF(CONFIG_ASIGNATURAS!$B$7:$B$27,nASIG)&gt;0)*1),"")))</f>
        <v/>
      </c>
      <c r="T115" t="str">
        <f>IF(S115="","",IF(S115="[FÓRMULA MANUAL]","",IFERROR(AVERAGEIFS(nNOTA,nNIA,S115,nCUENTA,1,nASIG,"Armonía"),"")))</f>
        <v/>
      </c>
      <c r="U115" t="str">
        <f>IF(S115="","",IF(S115="[FÓRMULA MANUAL]","",IFERROR(AVERAGEIFS(nNOTA,nNIA,S115,nCUENTA,1,nASIG,"Orquesta/Banda/Conjunto"),"")))</f>
        <v/>
      </c>
      <c r="V115" t="str">
        <f>IF(S115="","",IF(S115="[FÓRMULA MANUAL]","",IFERROR(AVERAGEIFS(nNOTA,nNIA,S115,nCUENTA,1,nASIG,"Música de Cámara"),"")))</f>
        <v/>
      </c>
      <c r="W115" t="str">
        <f>IF(S115="","",IF(S115="[FÓRMULA MANUAL]","",IFERROR(SUMPRODUCT((nNIA=S115)*(nCUENTA=1)*(COUNTIF(CONFIG_ASIGNATURAS!$B$7:$B$27,nASIG)&gt;0)*(nNOTA))/SUMPRODUCT((nNIA=S115)*(nCUENTA=1)*(COUNTIF(CONFIG_ASIGNATURAS!$B$7:$B$27,nASIG)&gt;0)*1),"")))</f>
        <v/>
      </c>
      <c r="Z115" t="str">
        <f>IF(Y115="","",IF(Y115="[FÓRMULA MANUAL]","",IFERROR(AVERAGEIFS(nNOTA,nNIA,Y115,nCUENTA,1,nASIG,"Análisis"),"")))</f>
        <v/>
      </c>
      <c r="AA115" t="str">
        <f>IF(Y115="","",IF(Y115="[FÓRMULA MANUAL]","",IFERROR(AVERAGEIFS(nNOTA,nNIA,Y115,nCUENTA,1,nASIG,"Orquesta/Banda/Conjunto"),"")))</f>
        <v/>
      </c>
      <c r="AB115" t="str">
        <f>IF(Y115="","",IF(Y115="[FÓRMULA MANUAL]","",IFERROR(AVERAGEIFS(nNOTA,nNIA,Y115,nCUENTA,1,nASIG,"Música de Cámara"),"")))</f>
        <v/>
      </c>
      <c r="AC115" t="str">
        <f>IF(Y115="","",IF(Y115="[FÓRMULA MANUAL]","",IFERROR(SUMPRODUCT((nNIA=Y115)*(nCUENTA=1)*(COUNTIF(CONFIG_ASIGNATURAS!$B$7:$B$27,nASIG)&gt;0)*(nNOTA))/SUMPRODUCT((nNIA=Y115)*(nCUENTA=1)*(COUNTIF(CONFIG_ASIGNATURAS!$B$7:$B$27,nASIG)&gt;0)*1),"")))</f>
        <v/>
      </c>
      <c r="AF115" t="str">
        <f>IF(AE115="","",IF(AE115="[FÓRMULA MANUAL]","",IFERROR(AVERAGEIFS(nNOTA,nNIA,AE115,nCUENTA,1,nASIG,"Análisis"),"")))</f>
        <v/>
      </c>
      <c r="AG115" t="str">
        <f>IF(AE115="","",IF(AE115="[FÓRMULA MANUAL]","",IFERROR(AVERAGEIFS(nNOTA,nNIA,AE115,nCUENTA,1,nASIG,"Orquesta/Banda/Conjunto"),"")))</f>
        <v/>
      </c>
      <c r="AH115" t="str">
        <f>IF(AE115="","",IF(AE115="[FÓRMULA MANUAL]","",IFERROR(AVERAGEIFS(nNOTA,nNIA,AE115,nCUENTA,1,nASIG,"Música de Cámara"),"")))</f>
        <v/>
      </c>
      <c r="AI115" t="str">
        <f>IF(AE115="","",IF(AE115="[FÓRMULA MANUAL]","",IFERROR(SUMPRODUCT((nNIA=AE115)*(nCUENTA=1)*(COUNTIF(CONFIG_ASIGNATURAS!$B$7:$B$27,nASIG)&gt;0)*(nNOTA))/SUMPRODUCT((nNIA=AE115)*(nCUENTA=1)*(COUNTIF(CONFIG_ASIGNATURAS!$B$7:$B$27,nASIG)&gt;0)*1),"")))</f>
        <v/>
      </c>
    </row>
    <row r="116" spans="2:35" x14ac:dyDescent="0.2">
      <c r="B116" t="str">
        <f>IF(A116="","",IF(A116="[FÓRMULA MANUAL]","",IFERROR(AVERAGEIFS(nNOTA,nNIA,A116,nCUENTA,1,nASIG,"Lenguaje Musical"),"")))</f>
        <v/>
      </c>
      <c r="C116" t="str">
        <f>IF(A116="","",IF(A116="[FÓRMULA MANUAL]","",IFERROR(AVERAGEIFS(nNOTA,nNIA,A116,nCUENTA,1,nASIG,"Orquesta/Banda/Conjunto"),"")))</f>
        <v/>
      </c>
      <c r="D116" t="str">
        <f>IF(A116="","",IF(A116="[FÓRMULA MANUAL]","",IFERROR(AVERAGEIFS(nNOTA,nNIA,A116,nCUENTA,1,nASIG,"Conjunto"),"")))</f>
        <v/>
      </c>
      <c r="E116" t="str">
        <f>IF(A116="","",IF(A116="[FÓRMULA MANUAL]","",IFERROR(SUMPRODUCT((nNIA=A116)*(nCUENTA=1)*(COUNTIF(CONFIG_ASIGNATURAS!$B$7:$B$27,nASIG)&gt;0)*(nNOTA))/SUMPRODUCT((nNIA=A116)*(nCUENTA=1)*(COUNTIF(CONFIG_ASIGNATURAS!$B$7:$B$27,nASIG)&gt;0)*1),"")))</f>
        <v/>
      </c>
      <c r="H116" t="str">
        <f>IF(G116="","",IF(G116="[FÓRMULA MANUAL]","",IFERROR(AVERAGEIFS(nNOTA,nNIA,G116,nCUENTA,1,nASIG,"Lenguaje Musical"),"")))</f>
        <v/>
      </c>
      <c r="I116" t="str">
        <f>IF(G116="","",IF(G116="[FÓRMULA MANUAL]","",IFERROR(AVERAGEIFS(nNOTA,nNIA,G116,nCUENTA,1,nASIG,"Orquesta/Banda/Conjunto"),"")))</f>
        <v/>
      </c>
      <c r="J116" t="str">
        <f>IF(G116="","",IF(G116="[FÓRMULA MANUAL]","",IFERROR(AVERAGEIFS(nNOTA,nNIA,G116,nCUENTA,1,nASIG,"Conjunto"),"")))</f>
        <v/>
      </c>
      <c r="K116" t="str">
        <f>IF(G116="","",IF(G116="[FÓRMULA MANUAL]","",IFERROR(SUMPRODUCT((nNIA=G116)*(nCUENTA=1)*(COUNTIF(CONFIG_ASIGNATURAS!$B$7:$B$27,nASIG)&gt;0)*(nNOTA))/SUMPRODUCT((nNIA=G116)*(nCUENTA=1)*(COUNTIF(CONFIG_ASIGNATURAS!$B$7:$B$27,nASIG)&gt;0)*1),"")))</f>
        <v/>
      </c>
      <c r="N116" t="str">
        <f>IF(M116="","",IF(M116="[FÓRMULA MANUAL]","",IFERROR(AVERAGEIFS(nNOTA,nNIA,M116,nCUENTA,1,nASIG,"Armonía"),"")))</f>
        <v/>
      </c>
      <c r="O116" t="str">
        <f>IF(M116="","",IF(M116="[FÓRMULA MANUAL]","",IFERROR(AVERAGEIFS(nNOTA,nNIA,M116,nCUENTA,1,nASIG,"Orquesta/Banda/Conjunto"),"")))</f>
        <v/>
      </c>
      <c r="P116" t="str">
        <f>IF(M116="","",IF(M116="[FÓRMULA MANUAL]","",IFERROR(AVERAGEIFS(nNOTA,nNIA,M116,nCUENTA,1,nASIG,"Música de Cámara"),"")))</f>
        <v/>
      </c>
      <c r="Q116" t="str">
        <f>IF(M116="","",IF(M116="[FÓRMULA MANUAL]","",IFERROR(SUMPRODUCT((nNIA=M116)*(nCUENTA=1)*(COUNTIF(CONFIG_ASIGNATURAS!$B$7:$B$27,nASIG)&gt;0)*(nNOTA))/SUMPRODUCT((nNIA=M116)*(nCUENTA=1)*(COUNTIF(CONFIG_ASIGNATURAS!$B$7:$B$27,nASIG)&gt;0)*1),"")))</f>
        <v/>
      </c>
      <c r="T116" t="str">
        <f>IF(S116="","",IF(S116="[FÓRMULA MANUAL]","",IFERROR(AVERAGEIFS(nNOTA,nNIA,S116,nCUENTA,1,nASIG,"Armonía"),"")))</f>
        <v/>
      </c>
      <c r="U116" t="str">
        <f>IF(S116="","",IF(S116="[FÓRMULA MANUAL]","",IFERROR(AVERAGEIFS(nNOTA,nNIA,S116,nCUENTA,1,nASIG,"Orquesta/Banda/Conjunto"),"")))</f>
        <v/>
      </c>
      <c r="V116" t="str">
        <f>IF(S116="","",IF(S116="[FÓRMULA MANUAL]","",IFERROR(AVERAGEIFS(nNOTA,nNIA,S116,nCUENTA,1,nASIG,"Música de Cámara"),"")))</f>
        <v/>
      </c>
      <c r="W116" t="str">
        <f>IF(S116="","",IF(S116="[FÓRMULA MANUAL]","",IFERROR(SUMPRODUCT((nNIA=S116)*(nCUENTA=1)*(COUNTIF(CONFIG_ASIGNATURAS!$B$7:$B$27,nASIG)&gt;0)*(nNOTA))/SUMPRODUCT((nNIA=S116)*(nCUENTA=1)*(COUNTIF(CONFIG_ASIGNATURAS!$B$7:$B$27,nASIG)&gt;0)*1),"")))</f>
        <v/>
      </c>
      <c r="Z116" t="str">
        <f>IF(Y116="","",IF(Y116="[FÓRMULA MANUAL]","",IFERROR(AVERAGEIFS(nNOTA,nNIA,Y116,nCUENTA,1,nASIG,"Análisis"),"")))</f>
        <v/>
      </c>
      <c r="AA116" t="str">
        <f>IF(Y116="","",IF(Y116="[FÓRMULA MANUAL]","",IFERROR(AVERAGEIFS(nNOTA,nNIA,Y116,nCUENTA,1,nASIG,"Orquesta/Banda/Conjunto"),"")))</f>
        <v/>
      </c>
      <c r="AB116" t="str">
        <f>IF(Y116="","",IF(Y116="[FÓRMULA MANUAL]","",IFERROR(AVERAGEIFS(nNOTA,nNIA,Y116,nCUENTA,1,nASIG,"Música de Cámara"),"")))</f>
        <v/>
      </c>
      <c r="AC116" t="str">
        <f>IF(Y116="","",IF(Y116="[FÓRMULA MANUAL]","",IFERROR(SUMPRODUCT((nNIA=Y116)*(nCUENTA=1)*(COUNTIF(CONFIG_ASIGNATURAS!$B$7:$B$27,nASIG)&gt;0)*(nNOTA))/SUMPRODUCT((nNIA=Y116)*(nCUENTA=1)*(COUNTIF(CONFIG_ASIGNATURAS!$B$7:$B$27,nASIG)&gt;0)*1),"")))</f>
        <v/>
      </c>
      <c r="AF116" t="str">
        <f>IF(AE116="","",IF(AE116="[FÓRMULA MANUAL]","",IFERROR(AVERAGEIFS(nNOTA,nNIA,AE116,nCUENTA,1,nASIG,"Análisis"),"")))</f>
        <v/>
      </c>
      <c r="AG116" t="str">
        <f>IF(AE116="","",IF(AE116="[FÓRMULA MANUAL]","",IFERROR(AVERAGEIFS(nNOTA,nNIA,AE116,nCUENTA,1,nASIG,"Orquesta/Banda/Conjunto"),"")))</f>
        <v/>
      </c>
      <c r="AH116" t="str">
        <f>IF(AE116="","",IF(AE116="[FÓRMULA MANUAL]","",IFERROR(AVERAGEIFS(nNOTA,nNIA,AE116,nCUENTA,1,nASIG,"Música de Cámara"),"")))</f>
        <v/>
      </c>
      <c r="AI116" t="str">
        <f>IF(AE116="","",IF(AE116="[FÓRMULA MANUAL]","",IFERROR(SUMPRODUCT((nNIA=AE116)*(nCUENTA=1)*(COUNTIF(CONFIG_ASIGNATURAS!$B$7:$B$27,nASIG)&gt;0)*(nNOTA))/SUMPRODUCT((nNIA=AE116)*(nCUENTA=1)*(COUNTIF(CONFIG_ASIGNATURAS!$B$7:$B$27,nASIG)&gt;0)*1),"")))</f>
        <v/>
      </c>
    </row>
    <row r="117" spans="2:35" x14ac:dyDescent="0.2">
      <c r="B117" t="str">
        <f>IF(A117="","",IF(A117="[FÓRMULA MANUAL]","",IFERROR(AVERAGEIFS(nNOTA,nNIA,A117,nCUENTA,1,nASIG,"Lenguaje Musical"),"")))</f>
        <v/>
      </c>
      <c r="C117" t="str">
        <f>IF(A117="","",IF(A117="[FÓRMULA MANUAL]","",IFERROR(AVERAGEIFS(nNOTA,nNIA,A117,nCUENTA,1,nASIG,"Orquesta/Banda/Conjunto"),"")))</f>
        <v/>
      </c>
      <c r="D117" t="str">
        <f>IF(A117="","",IF(A117="[FÓRMULA MANUAL]","",IFERROR(AVERAGEIFS(nNOTA,nNIA,A117,nCUENTA,1,nASIG,"Conjunto"),"")))</f>
        <v/>
      </c>
      <c r="E117" t="str">
        <f>IF(A117="","",IF(A117="[FÓRMULA MANUAL]","",IFERROR(SUMPRODUCT((nNIA=A117)*(nCUENTA=1)*(COUNTIF(CONFIG_ASIGNATURAS!$B$7:$B$27,nASIG)&gt;0)*(nNOTA))/SUMPRODUCT((nNIA=A117)*(nCUENTA=1)*(COUNTIF(CONFIG_ASIGNATURAS!$B$7:$B$27,nASIG)&gt;0)*1),"")))</f>
        <v/>
      </c>
      <c r="H117" t="str">
        <f>IF(G117="","",IF(G117="[FÓRMULA MANUAL]","",IFERROR(AVERAGEIFS(nNOTA,nNIA,G117,nCUENTA,1,nASIG,"Lenguaje Musical"),"")))</f>
        <v/>
      </c>
      <c r="I117" t="str">
        <f>IF(G117="","",IF(G117="[FÓRMULA MANUAL]","",IFERROR(AVERAGEIFS(nNOTA,nNIA,G117,nCUENTA,1,nASIG,"Orquesta/Banda/Conjunto"),"")))</f>
        <v/>
      </c>
      <c r="J117" t="str">
        <f>IF(G117="","",IF(G117="[FÓRMULA MANUAL]","",IFERROR(AVERAGEIFS(nNOTA,nNIA,G117,nCUENTA,1,nASIG,"Conjunto"),"")))</f>
        <v/>
      </c>
      <c r="K117" t="str">
        <f>IF(G117="","",IF(G117="[FÓRMULA MANUAL]","",IFERROR(SUMPRODUCT((nNIA=G117)*(nCUENTA=1)*(COUNTIF(CONFIG_ASIGNATURAS!$B$7:$B$27,nASIG)&gt;0)*(nNOTA))/SUMPRODUCT((nNIA=G117)*(nCUENTA=1)*(COUNTIF(CONFIG_ASIGNATURAS!$B$7:$B$27,nASIG)&gt;0)*1),"")))</f>
        <v/>
      </c>
      <c r="N117" t="str">
        <f>IF(M117="","",IF(M117="[FÓRMULA MANUAL]","",IFERROR(AVERAGEIFS(nNOTA,nNIA,M117,nCUENTA,1,nASIG,"Armonía"),"")))</f>
        <v/>
      </c>
      <c r="O117" t="str">
        <f>IF(M117="","",IF(M117="[FÓRMULA MANUAL]","",IFERROR(AVERAGEIFS(nNOTA,nNIA,M117,nCUENTA,1,nASIG,"Orquesta/Banda/Conjunto"),"")))</f>
        <v/>
      </c>
      <c r="P117" t="str">
        <f>IF(M117="","",IF(M117="[FÓRMULA MANUAL]","",IFERROR(AVERAGEIFS(nNOTA,nNIA,M117,nCUENTA,1,nASIG,"Música de Cámara"),"")))</f>
        <v/>
      </c>
      <c r="Q117" t="str">
        <f>IF(M117="","",IF(M117="[FÓRMULA MANUAL]","",IFERROR(SUMPRODUCT((nNIA=M117)*(nCUENTA=1)*(COUNTIF(CONFIG_ASIGNATURAS!$B$7:$B$27,nASIG)&gt;0)*(nNOTA))/SUMPRODUCT((nNIA=M117)*(nCUENTA=1)*(COUNTIF(CONFIG_ASIGNATURAS!$B$7:$B$27,nASIG)&gt;0)*1),"")))</f>
        <v/>
      </c>
      <c r="T117" t="str">
        <f>IF(S117="","",IF(S117="[FÓRMULA MANUAL]","",IFERROR(AVERAGEIFS(nNOTA,nNIA,S117,nCUENTA,1,nASIG,"Armonía"),"")))</f>
        <v/>
      </c>
      <c r="U117" t="str">
        <f>IF(S117="","",IF(S117="[FÓRMULA MANUAL]","",IFERROR(AVERAGEIFS(nNOTA,nNIA,S117,nCUENTA,1,nASIG,"Orquesta/Banda/Conjunto"),"")))</f>
        <v/>
      </c>
      <c r="V117" t="str">
        <f>IF(S117="","",IF(S117="[FÓRMULA MANUAL]","",IFERROR(AVERAGEIFS(nNOTA,nNIA,S117,nCUENTA,1,nASIG,"Música de Cámara"),"")))</f>
        <v/>
      </c>
      <c r="W117" t="str">
        <f>IF(S117="","",IF(S117="[FÓRMULA MANUAL]","",IFERROR(SUMPRODUCT((nNIA=S117)*(nCUENTA=1)*(COUNTIF(CONFIG_ASIGNATURAS!$B$7:$B$27,nASIG)&gt;0)*(nNOTA))/SUMPRODUCT((nNIA=S117)*(nCUENTA=1)*(COUNTIF(CONFIG_ASIGNATURAS!$B$7:$B$27,nASIG)&gt;0)*1),"")))</f>
        <v/>
      </c>
      <c r="Z117" t="str">
        <f>IF(Y117="","",IF(Y117="[FÓRMULA MANUAL]","",IFERROR(AVERAGEIFS(nNOTA,nNIA,Y117,nCUENTA,1,nASIG,"Análisis"),"")))</f>
        <v/>
      </c>
      <c r="AA117" t="str">
        <f>IF(Y117="","",IF(Y117="[FÓRMULA MANUAL]","",IFERROR(AVERAGEIFS(nNOTA,nNIA,Y117,nCUENTA,1,nASIG,"Orquesta/Banda/Conjunto"),"")))</f>
        <v/>
      </c>
      <c r="AB117" t="str">
        <f>IF(Y117="","",IF(Y117="[FÓRMULA MANUAL]","",IFERROR(AVERAGEIFS(nNOTA,nNIA,Y117,nCUENTA,1,nASIG,"Música de Cámara"),"")))</f>
        <v/>
      </c>
      <c r="AC117" t="str">
        <f>IF(Y117="","",IF(Y117="[FÓRMULA MANUAL]","",IFERROR(SUMPRODUCT((nNIA=Y117)*(nCUENTA=1)*(COUNTIF(CONFIG_ASIGNATURAS!$B$7:$B$27,nASIG)&gt;0)*(nNOTA))/SUMPRODUCT((nNIA=Y117)*(nCUENTA=1)*(COUNTIF(CONFIG_ASIGNATURAS!$B$7:$B$27,nASIG)&gt;0)*1),"")))</f>
        <v/>
      </c>
      <c r="AF117" t="str">
        <f>IF(AE117="","",IF(AE117="[FÓRMULA MANUAL]","",IFERROR(AVERAGEIFS(nNOTA,nNIA,AE117,nCUENTA,1,nASIG,"Análisis"),"")))</f>
        <v/>
      </c>
      <c r="AG117" t="str">
        <f>IF(AE117="","",IF(AE117="[FÓRMULA MANUAL]","",IFERROR(AVERAGEIFS(nNOTA,nNIA,AE117,nCUENTA,1,nASIG,"Orquesta/Banda/Conjunto"),"")))</f>
        <v/>
      </c>
      <c r="AH117" t="str">
        <f>IF(AE117="","",IF(AE117="[FÓRMULA MANUAL]","",IFERROR(AVERAGEIFS(nNOTA,nNIA,AE117,nCUENTA,1,nASIG,"Música de Cámara"),"")))</f>
        <v/>
      </c>
      <c r="AI117" t="str">
        <f>IF(AE117="","",IF(AE117="[FÓRMULA MANUAL]","",IFERROR(SUMPRODUCT((nNIA=AE117)*(nCUENTA=1)*(COUNTIF(CONFIG_ASIGNATURAS!$B$7:$B$27,nASIG)&gt;0)*(nNOTA))/SUMPRODUCT((nNIA=AE117)*(nCUENTA=1)*(COUNTIF(CONFIG_ASIGNATURAS!$B$7:$B$27,nASIG)&gt;0)*1),"")))</f>
        <v/>
      </c>
    </row>
    <row r="118" spans="2:35" x14ac:dyDescent="0.2">
      <c r="B118" t="str">
        <f>IF(A118="","",IF(A118="[FÓRMULA MANUAL]","",IFERROR(AVERAGEIFS(nNOTA,nNIA,A118,nCUENTA,1,nASIG,"Lenguaje Musical"),"")))</f>
        <v/>
      </c>
      <c r="C118" t="str">
        <f>IF(A118="","",IF(A118="[FÓRMULA MANUAL]","",IFERROR(AVERAGEIFS(nNOTA,nNIA,A118,nCUENTA,1,nASIG,"Orquesta/Banda/Conjunto"),"")))</f>
        <v/>
      </c>
      <c r="D118" t="str">
        <f>IF(A118="","",IF(A118="[FÓRMULA MANUAL]","",IFERROR(AVERAGEIFS(nNOTA,nNIA,A118,nCUENTA,1,nASIG,"Conjunto"),"")))</f>
        <v/>
      </c>
      <c r="E118" t="str">
        <f>IF(A118="","",IF(A118="[FÓRMULA MANUAL]","",IFERROR(SUMPRODUCT((nNIA=A118)*(nCUENTA=1)*(COUNTIF(CONFIG_ASIGNATURAS!$B$7:$B$27,nASIG)&gt;0)*(nNOTA))/SUMPRODUCT((nNIA=A118)*(nCUENTA=1)*(COUNTIF(CONFIG_ASIGNATURAS!$B$7:$B$27,nASIG)&gt;0)*1),"")))</f>
        <v/>
      </c>
      <c r="H118" t="str">
        <f>IF(G118="","",IF(G118="[FÓRMULA MANUAL]","",IFERROR(AVERAGEIFS(nNOTA,nNIA,G118,nCUENTA,1,nASIG,"Lenguaje Musical"),"")))</f>
        <v/>
      </c>
      <c r="I118" t="str">
        <f>IF(G118="","",IF(G118="[FÓRMULA MANUAL]","",IFERROR(AVERAGEIFS(nNOTA,nNIA,G118,nCUENTA,1,nASIG,"Orquesta/Banda/Conjunto"),"")))</f>
        <v/>
      </c>
      <c r="J118" t="str">
        <f>IF(G118="","",IF(G118="[FÓRMULA MANUAL]","",IFERROR(AVERAGEIFS(nNOTA,nNIA,G118,nCUENTA,1,nASIG,"Conjunto"),"")))</f>
        <v/>
      </c>
      <c r="K118" t="str">
        <f>IF(G118="","",IF(G118="[FÓRMULA MANUAL]","",IFERROR(SUMPRODUCT((nNIA=G118)*(nCUENTA=1)*(COUNTIF(CONFIG_ASIGNATURAS!$B$7:$B$27,nASIG)&gt;0)*(nNOTA))/SUMPRODUCT((nNIA=G118)*(nCUENTA=1)*(COUNTIF(CONFIG_ASIGNATURAS!$B$7:$B$27,nASIG)&gt;0)*1),"")))</f>
        <v/>
      </c>
      <c r="N118" t="str">
        <f>IF(M118="","",IF(M118="[FÓRMULA MANUAL]","",IFERROR(AVERAGEIFS(nNOTA,nNIA,M118,nCUENTA,1,nASIG,"Armonía"),"")))</f>
        <v/>
      </c>
      <c r="O118" t="str">
        <f>IF(M118="","",IF(M118="[FÓRMULA MANUAL]","",IFERROR(AVERAGEIFS(nNOTA,nNIA,M118,nCUENTA,1,nASIG,"Orquesta/Banda/Conjunto"),"")))</f>
        <v/>
      </c>
      <c r="P118" t="str">
        <f>IF(M118="","",IF(M118="[FÓRMULA MANUAL]","",IFERROR(AVERAGEIFS(nNOTA,nNIA,M118,nCUENTA,1,nASIG,"Música de Cámara"),"")))</f>
        <v/>
      </c>
      <c r="Q118" t="str">
        <f>IF(M118="","",IF(M118="[FÓRMULA MANUAL]","",IFERROR(SUMPRODUCT((nNIA=M118)*(nCUENTA=1)*(COUNTIF(CONFIG_ASIGNATURAS!$B$7:$B$27,nASIG)&gt;0)*(nNOTA))/SUMPRODUCT((nNIA=M118)*(nCUENTA=1)*(COUNTIF(CONFIG_ASIGNATURAS!$B$7:$B$27,nASIG)&gt;0)*1),"")))</f>
        <v/>
      </c>
      <c r="T118" t="str">
        <f>IF(S118="","",IF(S118="[FÓRMULA MANUAL]","",IFERROR(AVERAGEIFS(nNOTA,nNIA,S118,nCUENTA,1,nASIG,"Armonía"),"")))</f>
        <v/>
      </c>
      <c r="U118" t="str">
        <f>IF(S118="","",IF(S118="[FÓRMULA MANUAL]","",IFERROR(AVERAGEIFS(nNOTA,nNIA,S118,nCUENTA,1,nASIG,"Orquesta/Banda/Conjunto"),"")))</f>
        <v/>
      </c>
      <c r="V118" t="str">
        <f>IF(S118="","",IF(S118="[FÓRMULA MANUAL]","",IFERROR(AVERAGEIFS(nNOTA,nNIA,S118,nCUENTA,1,nASIG,"Música de Cámara"),"")))</f>
        <v/>
      </c>
      <c r="W118" t="str">
        <f>IF(S118="","",IF(S118="[FÓRMULA MANUAL]","",IFERROR(SUMPRODUCT((nNIA=S118)*(nCUENTA=1)*(COUNTIF(CONFIG_ASIGNATURAS!$B$7:$B$27,nASIG)&gt;0)*(nNOTA))/SUMPRODUCT((nNIA=S118)*(nCUENTA=1)*(COUNTIF(CONFIG_ASIGNATURAS!$B$7:$B$27,nASIG)&gt;0)*1),"")))</f>
        <v/>
      </c>
      <c r="Z118" t="str">
        <f>IF(Y118="","",IF(Y118="[FÓRMULA MANUAL]","",IFERROR(AVERAGEIFS(nNOTA,nNIA,Y118,nCUENTA,1,nASIG,"Análisis"),"")))</f>
        <v/>
      </c>
      <c r="AA118" t="str">
        <f>IF(Y118="","",IF(Y118="[FÓRMULA MANUAL]","",IFERROR(AVERAGEIFS(nNOTA,nNIA,Y118,nCUENTA,1,nASIG,"Orquesta/Banda/Conjunto"),"")))</f>
        <v/>
      </c>
      <c r="AB118" t="str">
        <f>IF(Y118="","",IF(Y118="[FÓRMULA MANUAL]","",IFERROR(AVERAGEIFS(nNOTA,nNIA,Y118,nCUENTA,1,nASIG,"Música de Cámara"),"")))</f>
        <v/>
      </c>
      <c r="AC118" t="str">
        <f>IF(Y118="","",IF(Y118="[FÓRMULA MANUAL]","",IFERROR(SUMPRODUCT((nNIA=Y118)*(nCUENTA=1)*(COUNTIF(CONFIG_ASIGNATURAS!$B$7:$B$27,nASIG)&gt;0)*(nNOTA))/SUMPRODUCT((nNIA=Y118)*(nCUENTA=1)*(COUNTIF(CONFIG_ASIGNATURAS!$B$7:$B$27,nASIG)&gt;0)*1),"")))</f>
        <v/>
      </c>
      <c r="AF118" t="str">
        <f>IF(AE118="","",IF(AE118="[FÓRMULA MANUAL]","",IFERROR(AVERAGEIFS(nNOTA,nNIA,AE118,nCUENTA,1,nASIG,"Análisis"),"")))</f>
        <v/>
      </c>
      <c r="AG118" t="str">
        <f>IF(AE118="","",IF(AE118="[FÓRMULA MANUAL]","",IFERROR(AVERAGEIFS(nNOTA,nNIA,AE118,nCUENTA,1,nASIG,"Orquesta/Banda/Conjunto"),"")))</f>
        <v/>
      </c>
      <c r="AH118" t="str">
        <f>IF(AE118="","",IF(AE118="[FÓRMULA MANUAL]","",IFERROR(AVERAGEIFS(nNOTA,nNIA,AE118,nCUENTA,1,nASIG,"Música de Cámara"),"")))</f>
        <v/>
      </c>
      <c r="AI118" t="str">
        <f>IF(AE118="","",IF(AE118="[FÓRMULA MANUAL]","",IFERROR(SUMPRODUCT((nNIA=AE118)*(nCUENTA=1)*(COUNTIF(CONFIG_ASIGNATURAS!$B$7:$B$27,nASIG)&gt;0)*(nNOTA))/SUMPRODUCT((nNIA=AE118)*(nCUENTA=1)*(COUNTIF(CONFIG_ASIGNATURAS!$B$7:$B$27,nASIG)&gt;0)*1),"")))</f>
        <v/>
      </c>
    </row>
    <row r="119" spans="2:35" x14ac:dyDescent="0.2">
      <c r="B119" t="str">
        <f>IF(A119="","",IF(A119="[FÓRMULA MANUAL]","",IFERROR(AVERAGEIFS(nNOTA,nNIA,A119,nCUENTA,1,nASIG,"Lenguaje Musical"),"")))</f>
        <v/>
      </c>
      <c r="C119" t="str">
        <f>IF(A119="","",IF(A119="[FÓRMULA MANUAL]","",IFERROR(AVERAGEIFS(nNOTA,nNIA,A119,nCUENTA,1,nASIG,"Orquesta/Banda/Conjunto"),"")))</f>
        <v/>
      </c>
      <c r="D119" t="str">
        <f>IF(A119="","",IF(A119="[FÓRMULA MANUAL]","",IFERROR(AVERAGEIFS(nNOTA,nNIA,A119,nCUENTA,1,nASIG,"Conjunto"),"")))</f>
        <v/>
      </c>
      <c r="E119" t="str">
        <f>IF(A119="","",IF(A119="[FÓRMULA MANUAL]","",IFERROR(SUMPRODUCT((nNIA=A119)*(nCUENTA=1)*(COUNTIF(CONFIG_ASIGNATURAS!$B$7:$B$27,nASIG)&gt;0)*(nNOTA))/SUMPRODUCT((nNIA=A119)*(nCUENTA=1)*(COUNTIF(CONFIG_ASIGNATURAS!$B$7:$B$27,nASIG)&gt;0)*1),"")))</f>
        <v/>
      </c>
      <c r="H119" t="str">
        <f>IF(G119="","",IF(G119="[FÓRMULA MANUAL]","",IFERROR(AVERAGEIFS(nNOTA,nNIA,G119,nCUENTA,1,nASIG,"Lenguaje Musical"),"")))</f>
        <v/>
      </c>
      <c r="I119" t="str">
        <f>IF(G119="","",IF(G119="[FÓRMULA MANUAL]","",IFERROR(AVERAGEIFS(nNOTA,nNIA,G119,nCUENTA,1,nASIG,"Orquesta/Banda/Conjunto"),"")))</f>
        <v/>
      </c>
      <c r="J119" t="str">
        <f>IF(G119="","",IF(G119="[FÓRMULA MANUAL]","",IFERROR(AVERAGEIFS(nNOTA,nNIA,G119,nCUENTA,1,nASIG,"Conjunto"),"")))</f>
        <v/>
      </c>
      <c r="K119" t="str">
        <f>IF(G119="","",IF(G119="[FÓRMULA MANUAL]","",IFERROR(SUMPRODUCT((nNIA=G119)*(nCUENTA=1)*(COUNTIF(CONFIG_ASIGNATURAS!$B$7:$B$27,nASIG)&gt;0)*(nNOTA))/SUMPRODUCT((nNIA=G119)*(nCUENTA=1)*(COUNTIF(CONFIG_ASIGNATURAS!$B$7:$B$27,nASIG)&gt;0)*1),"")))</f>
        <v/>
      </c>
      <c r="N119" t="str">
        <f>IF(M119="","",IF(M119="[FÓRMULA MANUAL]","",IFERROR(AVERAGEIFS(nNOTA,nNIA,M119,nCUENTA,1,nASIG,"Armonía"),"")))</f>
        <v/>
      </c>
      <c r="O119" t="str">
        <f>IF(M119="","",IF(M119="[FÓRMULA MANUAL]","",IFERROR(AVERAGEIFS(nNOTA,nNIA,M119,nCUENTA,1,nASIG,"Orquesta/Banda/Conjunto"),"")))</f>
        <v/>
      </c>
      <c r="P119" t="str">
        <f>IF(M119="","",IF(M119="[FÓRMULA MANUAL]","",IFERROR(AVERAGEIFS(nNOTA,nNIA,M119,nCUENTA,1,nASIG,"Música de Cámara"),"")))</f>
        <v/>
      </c>
      <c r="Q119" t="str">
        <f>IF(M119="","",IF(M119="[FÓRMULA MANUAL]","",IFERROR(SUMPRODUCT((nNIA=M119)*(nCUENTA=1)*(COUNTIF(CONFIG_ASIGNATURAS!$B$7:$B$27,nASIG)&gt;0)*(nNOTA))/SUMPRODUCT((nNIA=M119)*(nCUENTA=1)*(COUNTIF(CONFIG_ASIGNATURAS!$B$7:$B$27,nASIG)&gt;0)*1),"")))</f>
        <v/>
      </c>
      <c r="T119" t="str">
        <f>IF(S119="","",IF(S119="[FÓRMULA MANUAL]","",IFERROR(AVERAGEIFS(nNOTA,nNIA,S119,nCUENTA,1,nASIG,"Armonía"),"")))</f>
        <v/>
      </c>
      <c r="U119" t="str">
        <f>IF(S119="","",IF(S119="[FÓRMULA MANUAL]","",IFERROR(AVERAGEIFS(nNOTA,nNIA,S119,nCUENTA,1,nASIG,"Orquesta/Banda/Conjunto"),"")))</f>
        <v/>
      </c>
      <c r="V119" t="str">
        <f>IF(S119="","",IF(S119="[FÓRMULA MANUAL]","",IFERROR(AVERAGEIFS(nNOTA,nNIA,S119,nCUENTA,1,nASIG,"Música de Cámara"),"")))</f>
        <v/>
      </c>
      <c r="W119" t="str">
        <f>IF(S119="","",IF(S119="[FÓRMULA MANUAL]","",IFERROR(SUMPRODUCT((nNIA=S119)*(nCUENTA=1)*(COUNTIF(CONFIG_ASIGNATURAS!$B$7:$B$27,nASIG)&gt;0)*(nNOTA))/SUMPRODUCT((nNIA=S119)*(nCUENTA=1)*(COUNTIF(CONFIG_ASIGNATURAS!$B$7:$B$27,nASIG)&gt;0)*1),"")))</f>
        <v/>
      </c>
      <c r="Z119" t="str">
        <f>IF(Y119="","",IF(Y119="[FÓRMULA MANUAL]","",IFERROR(AVERAGEIFS(nNOTA,nNIA,Y119,nCUENTA,1,nASIG,"Análisis"),"")))</f>
        <v/>
      </c>
      <c r="AA119" t="str">
        <f>IF(Y119="","",IF(Y119="[FÓRMULA MANUAL]","",IFERROR(AVERAGEIFS(nNOTA,nNIA,Y119,nCUENTA,1,nASIG,"Orquesta/Banda/Conjunto"),"")))</f>
        <v/>
      </c>
      <c r="AB119" t="str">
        <f>IF(Y119="","",IF(Y119="[FÓRMULA MANUAL]","",IFERROR(AVERAGEIFS(nNOTA,nNIA,Y119,nCUENTA,1,nASIG,"Música de Cámara"),"")))</f>
        <v/>
      </c>
      <c r="AC119" t="str">
        <f>IF(Y119="","",IF(Y119="[FÓRMULA MANUAL]","",IFERROR(SUMPRODUCT((nNIA=Y119)*(nCUENTA=1)*(COUNTIF(CONFIG_ASIGNATURAS!$B$7:$B$27,nASIG)&gt;0)*(nNOTA))/SUMPRODUCT((nNIA=Y119)*(nCUENTA=1)*(COUNTIF(CONFIG_ASIGNATURAS!$B$7:$B$27,nASIG)&gt;0)*1),"")))</f>
        <v/>
      </c>
      <c r="AF119" t="str">
        <f>IF(AE119="","",IF(AE119="[FÓRMULA MANUAL]","",IFERROR(AVERAGEIFS(nNOTA,nNIA,AE119,nCUENTA,1,nASIG,"Análisis"),"")))</f>
        <v/>
      </c>
      <c r="AG119" t="str">
        <f>IF(AE119="","",IF(AE119="[FÓRMULA MANUAL]","",IFERROR(AVERAGEIFS(nNOTA,nNIA,AE119,nCUENTA,1,nASIG,"Orquesta/Banda/Conjunto"),"")))</f>
        <v/>
      </c>
      <c r="AH119" t="str">
        <f>IF(AE119="","",IF(AE119="[FÓRMULA MANUAL]","",IFERROR(AVERAGEIFS(nNOTA,nNIA,AE119,nCUENTA,1,nASIG,"Música de Cámara"),"")))</f>
        <v/>
      </c>
      <c r="AI119" t="str">
        <f>IF(AE119="","",IF(AE119="[FÓRMULA MANUAL]","",IFERROR(SUMPRODUCT((nNIA=AE119)*(nCUENTA=1)*(COUNTIF(CONFIG_ASIGNATURAS!$B$7:$B$27,nASIG)&gt;0)*(nNOTA))/SUMPRODUCT((nNIA=AE119)*(nCUENTA=1)*(COUNTIF(CONFIG_ASIGNATURAS!$B$7:$B$27,nASIG)&gt;0)*1),"")))</f>
        <v/>
      </c>
    </row>
    <row r="120" spans="2:35" x14ac:dyDescent="0.2">
      <c r="B120" t="str">
        <f>IF(A120="","",IF(A120="[FÓRMULA MANUAL]","",IFERROR(AVERAGEIFS(nNOTA,nNIA,A120,nCUENTA,1,nASIG,"Lenguaje Musical"),"")))</f>
        <v/>
      </c>
      <c r="C120" t="str">
        <f>IF(A120="","",IF(A120="[FÓRMULA MANUAL]","",IFERROR(AVERAGEIFS(nNOTA,nNIA,A120,nCUENTA,1,nASIG,"Orquesta/Banda/Conjunto"),"")))</f>
        <v/>
      </c>
      <c r="D120" t="str">
        <f>IF(A120="","",IF(A120="[FÓRMULA MANUAL]","",IFERROR(AVERAGEIFS(nNOTA,nNIA,A120,nCUENTA,1,nASIG,"Conjunto"),"")))</f>
        <v/>
      </c>
      <c r="E120" t="str">
        <f>IF(A120="","",IF(A120="[FÓRMULA MANUAL]","",IFERROR(SUMPRODUCT((nNIA=A120)*(nCUENTA=1)*(COUNTIF(CONFIG_ASIGNATURAS!$B$7:$B$27,nASIG)&gt;0)*(nNOTA))/SUMPRODUCT((nNIA=A120)*(nCUENTA=1)*(COUNTIF(CONFIG_ASIGNATURAS!$B$7:$B$27,nASIG)&gt;0)*1),"")))</f>
        <v/>
      </c>
      <c r="H120" t="str">
        <f>IF(G120="","",IF(G120="[FÓRMULA MANUAL]","",IFERROR(AVERAGEIFS(nNOTA,nNIA,G120,nCUENTA,1,nASIG,"Lenguaje Musical"),"")))</f>
        <v/>
      </c>
      <c r="I120" t="str">
        <f>IF(G120="","",IF(G120="[FÓRMULA MANUAL]","",IFERROR(AVERAGEIFS(nNOTA,nNIA,G120,nCUENTA,1,nASIG,"Orquesta/Banda/Conjunto"),"")))</f>
        <v/>
      </c>
      <c r="J120" t="str">
        <f>IF(G120="","",IF(G120="[FÓRMULA MANUAL]","",IFERROR(AVERAGEIFS(nNOTA,nNIA,G120,nCUENTA,1,nASIG,"Conjunto"),"")))</f>
        <v/>
      </c>
      <c r="K120" t="str">
        <f>IF(G120="","",IF(G120="[FÓRMULA MANUAL]","",IFERROR(SUMPRODUCT((nNIA=G120)*(nCUENTA=1)*(COUNTIF(CONFIG_ASIGNATURAS!$B$7:$B$27,nASIG)&gt;0)*(nNOTA))/SUMPRODUCT((nNIA=G120)*(nCUENTA=1)*(COUNTIF(CONFIG_ASIGNATURAS!$B$7:$B$27,nASIG)&gt;0)*1),"")))</f>
        <v/>
      </c>
      <c r="N120" t="str">
        <f>IF(M120="","",IF(M120="[FÓRMULA MANUAL]","",IFERROR(AVERAGEIFS(nNOTA,nNIA,M120,nCUENTA,1,nASIG,"Armonía"),"")))</f>
        <v/>
      </c>
      <c r="O120" t="str">
        <f>IF(M120="","",IF(M120="[FÓRMULA MANUAL]","",IFERROR(AVERAGEIFS(nNOTA,nNIA,M120,nCUENTA,1,nASIG,"Orquesta/Banda/Conjunto"),"")))</f>
        <v/>
      </c>
      <c r="P120" t="str">
        <f>IF(M120="","",IF(M120="[FÓRMULA MANUAL]","",IFERROR(AVERAGEIFS(nNOTA,nNIA,M120,nCUENTA,1,nASIG,"Música de Cámara"),"")))</f>
        <v/>
      </c>
      <c r="Q120" t="str">
        <f>IF(M120="","",IF(M120="[FÓRMULA MANUAL]","",IFERROR(SUMPRODUCT((nNIA=M120)*(nCUENTA=1)*(COUNTIF(CONFIG_ASIGNATURAS!$B$7:$B$27,nASIG)&gt;0)*(nNOTA))/SUMPRODUCT((nNIA=M120)*(nCUENTA=1)*(COUNTIF(CONFIG_ASIGNATURAS!$B$7:$B$27,nASIG)&gt;0)*1),"")))</f>
        <v/>
      </c>
      <c r="T120" t="str">
        <f>IF(S120="","",IF(S120="[FÓRMULA MANUAL]","",IFERROR(AVERAGEIFS(nNOTA,nNIA,S120,nCUENTA,1,nASIG,"Armonía"),"")))</f>
        <v/>
      </c>
      <c r="U120" t="str">
        <f>IF(S120="","",IF(S120="[FÓRMULA MANUAL]","",IFERROR(AVERAGEIFS(nNOTA,nNIA,S120,nCUENTA,1,nASIG,"Orquesta/Banda/Conjunto"),"")))</f>
        <v/>
      </c>
      <c r="V120" t="str">
        <f>IF(S120="","",IF(S120="[FÓRMULA MANUAL]","",IFERROR(AVERAGEIFS(nNOTA,nNIA,S120,nCUENTA,1,nASIG,"Música de Cámara"),"")))</f>
        <v/>
      </c>
      <c r="W120" t="str">
        <f>IF(S120="","",IF(S120="[FÓRMULA MANUAL]","",IFERROR(SUMPRODUCT((nNIA=S120)*(nCUENTA=1)*(COUNTIF(CONFIG_ASIGNATURAS!$B$7:$B$27,nASIG)&gt;0)*(nNOTA))/SUMPRODUCT((nNIA=S120)*(nCUENTA=1)*(COUNTIF(CONFIG_ASIGNATURAS!$B$7:$B$27,nASIG)&gt;0)*1),"")))</f>
        <v/>
      </c>
      <c r="Z120" t="str">
        <f>IF(Y120="","",IF(Y120="[FÓRMULA MANUAL]","",IFERROR(AVERAGEIFS(nNOTA,nNIA,Y120,nCUENTA,1,nASIG,"Análisis"),"")))</f>
        <v/>
      </c>
      <c r="AA120" t="str">
        <f>IF(Y120="","",IF(Y120="[FÓRMULA MANUAL]","",IFERROR(AVERAGEIFS(nNOTA,nNIA,Y120,nCUENTA,1,nASIG,"Orquesta/Banda/Conjunto"),"")))</f>
        <v/>
      </c>
      <c r="AB120" t="str">
        <f>IF(Y120="","",IF(Y120="[FÓRMULA MANUAL]","",IFERROR(AVERAGEIFS(nNOTA,nNIA,Y120,nCUENTA,1,nASIG,"Música de Cámara"),"")))</f>
        <v/>
      </c>
      <c r="AC120" t="str">
        <f>IF(Y120="","",IF(Y120="[FÓRMULA MANUAL]","",IFERROR(SUMPRODUCT((nNIA=Y120)*(nCUENTA=1)*(COUNTIF(CONFIG_ASIGNATURAS!$B$7:$B$27,nASIG)&gt;0)*(nNOTA))/SUMPRODUCT((nNIA=Y120)*(nCUENTA=1)*(COUNTIF(CONFIG_ASIGNATURAS!$B$7:$B$27,nASIG)&gt;0)*1),"")))</f>
        <v/>
      </c>
      <c r="AF120" t="str">
        <f>IF(AE120="","",IF(AE120="[FÓRMULA MANUAL]","",IFERROR(AVERAGEIFS(nNOTA,nNIA,AE120,nCUENTA,1,nASIG,"Análisis"),"")))</f>
        <v/>
      </c>
      <c r="AG120" t="str">
        <f>IF(AE120="","",IF(AE120="[FÓRMULA MANUAL]","",IFERROR(AVERAGEIFS(nNOTA,nNIA,AE120,nCUENTA,1,nASIG,"Orquesta/Banda/Conjunto"),"")))</f>
        <v/>
      </c>
      <c r="AH120" t="str">
        <f>IF(AE120="","",IF(AE120="[FÓRMULA MANUAL]","",IFERROR(AVERAGEIFS(nNOTA,nNIA,AE120,nCUENTA,1,nASIG,"Música de Cámara"),"")))</f>
        <v/>
      </c>
      <c r="AI120" t="str">
        <f>IF(AE120="","",IF(AE120="[FÓRMULA MANUAL]","",IFERROR(SUMPRODUCT((nNIA=AE120)*(nCUENTA=1)*(COUNTIF(CONFIG_ASIGNATURAS!$B$7:$B$27,nASIG)&gt;0)*(nNOTA))/SUMPRODUCT((nNIA=AE120)*(nCUENTA=1)*(COUNTIF(CONFIG_ASIGNATURAS!$B$7:$B$27,nASIG)&gt;0)*1),"")))</f>
        <v/>
      </c>
    </row>
    <row r="121" spans="2:35" x14ac:dyDescent="0.2">
      <c r="B121" t="str">
        <f>IF(A121="","",IF(A121="[FÓRMULA MANUAL]","",IFERROR(AVERAGEIFS(nNOTA,nNIA,A121,nCUENTA,1,nASIG,"Lenguaje Musical"),"")))</f>
        <v/>
      </c>
      <c r="C121" t="str">
        <f>IF(A121="","",IF(A121="[FÓRMULA MANUAL]","",IFERROR(AVERAGEIFS(nNOTA,nNIA,A121,nCUENTA,1,nASIG,"Orquesta/Banda/Conjunto"),"")))</f>
        <v/>
      </c>
      <c r="D121" t="str">
        <f>IF(A121="","",IF(A121="[FÓRMULA MANUAL]","",IFERROR(AVERAGEIFS(nNOTA,nNIA,A121,nCUENTA,1,nASIG,"Conjunto"),"")))</f>
        <v/>
      </c>
      <c r="E121" t="str">
        <f>IF(A121="","",IF(A121="[FÓRMULA MANUAL]","",IFERROR(SUMPRODUCT((nNIA=A121)*(nCUENTA=1)*(COUNTIF(CONFIG_ASIGNATURAS!$B$7:$B$27,nASIG)&gt;0)*(nNOTA))/SUMPRODUCT((nNIA=A121)*(nCUENTA=1)*(COUNTIF(CONFIG_ASIGNATURAS!$B$7:$B$27,nASIG)&gt;0)*1),"")))</f>
        <v/>
      </c>
      <c r="H121" t="str">
        <f>IF(G121="","",IF(G121="[FÓRMULA MANUAL]","",IFERROR(AVERAGEIFS(nNOTA,nNIA,G121,nCUENTA,1,nASIG,"Lenguaje Musical"),"")))</f>
        <v/>
      </c>
      <c r="I121" t="str">
        <f>IF(G121="","",IF(G121="[FÓRMULA MANUAL]","",IFERROR(AVERAGEIFS(nNOTA,nNIA,G121,nCUENTA,1,nASIG,"Orquesta/Banda/Conjunto"),"")))</f>
        <v/>
      </c>
      <c r="J121" t="str">
        <f>IF(G121="","",IF(G121="[FÓRMULA MANUAL]","",IFERROR(AVERAGEIFS(nNOTA,nNIA,G121,nCUENTA,1,nASIG,"Conjunto"),"")))</f>
        <v/>
      </c>
      <c r="K121" t="str">
        <f>IF(G121="","",IF(G121="[FÓRMULA MANUAL]","",IFERROR(SUMPRODUCT((nNIA=G121)*(nCUENTA=1)*(COUNTIF(CONFIG_ASIGNATURAS!$B$7:$B$27,nASIG)&gt;0)*(nNOTA))/SUMPRODUCT((nNIA=G121)*(nCUENTA=1)*(COUNTIF(CONFIG_ASIGNATURAS!$B$7:$B$27,nASIG)&gt;0)*1),"")))</f>
        <v/>
      </c>
      <c r="N121" t="str">
        <f>IF(M121="","",IF(M121="[FÓRMULA MANUAL]","",IFERROR(AVERAGEIFS(nNOTA,nNIA,M121,nCUENTA,1,nASIG,"Armonía"),"")))</f>
        <v/>
      </c>
      <c r="O121" t="str">
        <f>IF(M121="","",IF(M121="[FÓRMULA MANUAL]","",IFERROR(AVERAGEIFS(nNOTA,nNIA,M121,nCUENTA,1,nASIG,"Orquesta/Banda/Conjunto"),"")))</f>
        <v/>
      </c>
      <c r="P121" t="str">
        <f>IF(M121="","",IF(M121="[FÓRMULA MANUAL]","",IFERROR(AVERAGEIFS(nNOTA,nNIA,M121,nCUENTA,1,nASIG,"Música de Cámara"),"")))</f>
        <v/>
      </c>
      <c r="Q121" t="str">
        <f>IF(M121="","",IF(M121="[FÓRMULA MANUAL]","",IFERROR(SUMPRODUCT((nNIA=M121)*(nCUENTA=1)*(COUNTIF(CONFIG_ASIGNATURAS!$B$7:$B$27,nASIG)&gt;0)*(nNOTA))/SUMPRODUCT((nNIA=M121)*(nCUENTA=1)*(COUNTIF(CONFIG_ASIGNATURAS!$B$7:$B$27,nASIG)&gt;0)*1),"")))</f>
        <v/>
      </c>
      <c r="T121" t="str">
        <f>IF(S121="","",IF(S121="[FÓRMULA MANUAL]","",IFERROR(AVERAGEIFS(nNOTA,nNIA,S121,nCUENTA,1,nASIG,"Armonía"),"")))</f>
        <v/>
      </c>
      <c r="U121" t="str">
        <f>IF(S121="","",IF(S121="[FÓRMULA MANUAL]","",IFERROR(AVERAGEIFS(nNOTA,nNIA,S121,nCUENTA,1,nASIG,"Orquesta/Banda/Conjunto"),"")))</f>
        <v/>
      </c>
      <c r="V121" t="str">
        <f>IF(S121="","",IF(S121="[FÓRMULA MANUAL]","",IFERROR(AVERAGEIFS(nNOTA,nNIA,S121,nCUENTA,1,nASIG,"Música de Cámara"),"")))</f>
        <v/>
      </c>
      <c r="W121" t="str">
        <f>IF(S121="","",IF(S121="[FÓRMULA MANUAL]","",IFERROR(SUMPRODUCT((nNIA=S121)*(nCUENTA=1)*(COUNTIF(CONFIG_ASIGNATURAS!$B$7:$B$27,nASIG)&gt;0)*(nNOTA))/SUMPRODUCT((nNIA=S121)*(nCUENTA=1)*(COUNTIF(CONFIG_ASIGNATURAS!$B$7:$B$27,nASIG)&gt;0)*1),"")))</f>
        <v/>
      </c>
      <c r="Z121" t="str">
        <f>IF(Y121="","",IF(Y121="[FÓRMULA MANUAL]","",IFERROR(AVERAGEIFS(nNOTA,nNIA,Y121,nCUENTA,1,nASIG,"Análisis"),"")))</f>
        <v/>
      </c>
      <c r="AA121" t="str">
        <f>IF(Y121="","",IF(Y121="[FÓRMULA MANUAL]","",IFERROR(AVERAGEIFS(nNOTA,nNIA,Y121,nCUENTA,1,nASIG,"Orquesta/Banda/Conjunto"),"")))</f>
        <v/>
      </c>
      <c r="AB121" t="str">
        <f>IF(Y121="","",IF(Y121="[FÓRMULA MANUAL]","",IFERROR(AVERAGEIFS(nNOTA,nNIA,Y121,nCUENTA,1,nASIG,"Música de Cámara"),"")))</f>
        <v/>
      </c>
      <c r="AC121" t="str">
        <f>IF(Y121="","",IF(Y121="[FÓRMULA MANUAL]","",IFERROR(SUMPRODUCT((nNIA=Y121)*(nCUENTA=1)*(COUNTIF(CONFIG_ASIGNATURAS!$B$7:$B$27,nASIG)&gt;0)*(nNOTA))/SUMPRODUCT((nNIA=Y121)*(nCUENTA=1)*(COUNTIF(CONFIG_ASIGNATURAS!$B$7:$B$27,nASIG)&gt;0)*1),"")))</f>
        <v/>
      </c>
      <c r="AF121" t="str">
        <f>IF(AE121="","",IF(AE121="[FÓRMULA MANUAL]","",IFERROR(AVERAGEIFS(nNOTA,nNIA,AE121,nCUENTA,1,nASIG,"Análisis"),"")))</f>
        <v/>
      </c>
      <c r="AG121" t="str">
        <f>IF(AE121="","",IF(AE121="[FÓRMULA MANUAL]","",IFERROR(AVERAGEIFS(nNOTA,nNIA,AE121,nCUENTA,1,nASIG,"Orquesta/Banda/Conjunto"),"")))</f>
        <v/>
      </c>
      <c r="AH121" t="str">
        <f>IF(AE121="","",IF(AE121="[FÓRMULA MANUAL]","",IFERROR(AVERAGEIFS(nNOTA,nNIA,AE121,nCUENTA,1,nASIG,"Música de Cámara"),"")))</f>
        <v/>
      </c>
      <c r="AI121" t="str">
        <f>IF(AE121="","",IF(AE121="[FÓRMULA MANUAL]","",IFERROR(SUMPRODUCT((nNIA=AE121)*(nCUENTA=1)*(COUNTIF(CONFIG_ASIGNATURAS!$B$7:$B$27,nASIG)&gt;0)*(nNOTA))/SUMPRODUCT((nNIA=AE121)*(nCUENTA=1)*(COUNTIF(CONFIG_ASIGNATURAS!$B$7:$B$27,nASIG)&gt;0)*1),"")))</f>
        <v/>
      </c>
    </row>
    <row r="122" spans="2:35" x14ac:dyDescent="0.2">
      <c r="B122" t="str">
        <f>IF(A122="","",IF(A122="[FÓRMULA MANUAL]","",IFERROR(AVERAGEIFS(nNOTA,nNIA,A122,nCUENTA,1,nASIG,"Lenguaje Musical"),"")))</f>
        <v/>
      </c>
      <c r="C122" t="str">
        <f>IF(A122="","",IF(A122="[FÓRMULA MANUAL]","",IFERROR(AVERAGEIFS(nNOTA,nNIA,A122,nCUENTA,1,nASIG,"Orquesta/Banda/Conjunto"),"")))</f>
        <v/>
      </c>
      <c r="D122" t="str">
        <f>IF(A122="","",IF(A122="[FÓRMULA MANUAL]","",IFERROR(AVERAGEIFS(nNOTA,nNIA,A122,nCUENTA,1,nASIG,"Conjunto"),"")))</f>
        <v/>
      </c>
      <c r="E122" t="str">
        <f>IF(A122="","",IF(A122="[FÓRMULA MANUAL]","",IFERROR(SUMPRODUCT((nNIA=A122)*(nCUENTA=1)*(COUNTIF(CONFIG_ASIGNATURAS!$B$7:$B$27,nASIG)&gt;0)*(nNOTA))/SUMPRODUCT((nNIA=A122)*(nCUENTA=1)*(COUNTIF(CONFIG_ASIGNATURAS!$B$7:$B$27,nASIG)&gt;0)*1),"")))</f>
        <v/>
      </c>
      <c r="H122" t="str">
        <f>IF(G122="","",IF(G122="[FÓRMULA MANUAL]","",IFERROR(AVERAGEIFS(nNOTA,nNIA,G122,nCUENTA,1,nASIG,"Lenguaje Musical"),"")))</f>
        <v/>
      </c>
      <c r="I122" t="str">
        <f>IF(G122="","",IF(G122="[FÓRMULA MANUAL]","",IFERROR(AVERAGEIFS(nNOTA,nNIA,G122,nCUENTA,1,nASIG,"Orquesta/Banda/Conjunto"),"")))</f>
        <v/>
      </c>
      <c r="J122" t="str">
        <f>IF(G122="","",IF(G122="[FÓRMULA MANUAL]","",IFERROR(AVERAGEIFS(nNOTA,nNIA,G122,nCUENTA,1,nASIG,"Conjunto"),"")))</f>
        <v/>
      </c>
      <c r="K122" t="str">
        <f>IF(G122="","",IF(G122="[FÓRMULA MANUAL]","",IFERROR(SUMPRODUCT((nNIA=G122)*(nCUENTA=1)*(COUNTIF(CONFIG_ASIGNATURAS!$B$7:$B$27,nASIG)&gt;0)*(nNOTA))/SUMPRODUCT((nNIA=G122)*(nCUENTA=1)*(COUNTIF(CONFIG_ASIGNATURAS!$B$7:$B$27,nASIG)&gt;0)*1),"")))</f>
        <v/>
      </c>
      <c r="N122" t="str">
        <f>IF(M122="","",IF(M122="[FÓRMULA MANUAL]","",IFERROR(AVERAGEIFS(nNOTA,nNIA,M122,nCUENTA,1,nASIG,"Armonía"),"")))</f>
        <v/>
      </c>
      <c r="O122" t="str">
        <f>IF(M122="","",IF(M122="[FÓRMULA MANUAL]","",IFERROR(AVERAGEIFS(nNOTA,nNIA,M122,nCUENTA,1,nASIG,"Orquesta/Banda/Conjunto"),"")))</f>
        <v/>
      </c>
      <c r="P122" t="str">
        <f>IF(M122="","",IF(M122="[FÓRMULA MANUAL]","",IFERROR(AVERAGEIFS(nNOTA,nNIA,M122,nCUENTA,1,nASIG,"Música de Cámara"),"")))</f>
        <v/>
      </c>
      <c r="Q122" t="str">
        <f>IF(M122="","",IF(M122="[FÓRMULA MANUAL]","",IFERROR(SUMPRODUCT((nNIA=M122)*(nCUENTA=1)*(COUNTIF(CONFIG_ASIGNATURAS!$B$7:$B$27,nASIG)&gt;0)*(nNOTA))/SUMPRODUCT((nNIA=M122)*(nCUENTA=1)*(COUNTIF(CONFIG_ASIGNATURAS!$B$7:$B$27,nASIG)&gt;0)*1),"")))</f>
        <v/>
      </c>
      <c r="T122" t="str">
        <f>IF(S122="","",IF(S122="[FÓRMULA MANUAL]","",IFERROR(AVERAGEIFS(nNOTA,nNIA,S122,nCUENTA,1,nASIG,"Armonía"),"")))</f>
        <v/>
      </c>
      <c r="U122" t="str">
        <f>IF(S122="","",IF(S122="[FÓRMULA MANUAL]","",IFERROR(AVERAGEIFS(nNOTA,nNIA,S122,nCUENTA,1,nASIG,"Orquesta/Banda/Conjunto"),"")))</f>
        <v/>
      </c>
      <c r="V122" t="str">
        <f>IF(S122="","",IF(S122="[FÓRMULA MANUAL]","",IFERROR(AVERAGEIFS(nNOTA,nNIA,S122,nCUENTA,1,nASIG,"Música de Cámara"),"")))</f>
        <v/>
      </c>
      <c r="W122" t="str">
        <f>IF(S122="","",IF(S122="[FÓRMULA MANUAL]","",IFERROR(SUMPRODUCT((nNIA=S122)*(nCUENTA=1)*(COUNTIF(CONFIG_ASIGNATURAS!$B$7:$B$27,nASIG)&gt;0)*(nNOTA))/SUMPRODUCT((nNIA=S122)*(nCUENTA=1)*(COUNTIF(CONFIG_ASIGNATURAS!$B$7:$B$27,nASIG)&gt;0)*1),"")))</f>
        <v/>
      </c>
      <c r="Z122" t="str">
        <f>IF(Y122="","",IF(Y122="[FÓRMULA MANUAL]","",IFERROR(AVERAGEIFS(nNOTA,nNIA,Y122,nCUENTA,1,nASIG,"Análisis"),"")))</f>
        <v/>
      </c>
      <c r="AA122" t="str">
        <f>IF(Y122="","",IF(Y122="[FÓRMULA MANUAL]","",IFERROR(AVERAGEIFS(nNOTA,nNIA,Y122,nCUENTA,1,nASIG,"Orquesta/Banda/Conjunto"),"")))</f>
        <v/>
      </c>
      <c r="AB122" t="str">
        <f>IF(Y122="","",IF(Y122="[FÓRMULA MANUAL]","",IFERROR(AVERAGEIFS(nNOTA,nNIA,Y122,nCUENTA,1,nASIG,"Música de Cámara"),"")))</f>
        <v/>
      </c>
      <c r="AC122" t="str">
        <f>IF(Y122="","",IF(Y122="[FÓRMULA MANUAL]","",IFERROR(SUMPRODUCT((nNIA=Y122)*(nCUENTA=1)*(COUNTIF(CONFIG_ASIGNATURAS!$B$7:$B$27,nASIG)&gt;0)*(nNOTA))/SUMPRODUCT((nNIA=Y122)*(nCUENTA=1)*(COUNTIF(CONFIG_ASIGNATURAS!$B$7:$B$27,nASIG)&gt;0)*1),"")))</f>
        <v/>
      </c>
      <c r="AF122" t="str">
        <f>IF(AE122="","",IF(AE122="[FÓRMULA MANUAL]","",IFERROR(AVERAGEIFS(nNOTA,nNIA,AE122,nCUENTA,1,nASIG,"Análisis"),"")))</f>
        <v/>
      </c>
      <c r="AG122" t="str">
        <f>IF(AE122="","",IF(AE122="[FÓRMULA MANUAL]","",IFERROR(AVERAGEIFS(nNOTA,nNIA,AE122,nCUENTA,1,nASIG,"Orquesta/Banda/Conjunto"),"")))</f>
        <v/>
      </c>
      <c r="AH122" t="str">
        <f>IF(AE122="","",IF(AE122="[FÓRMULA MANUAL]","",IFERROR(AVERAGEIFS(nNOTA,nNIA,AE122,nCUENTA,1,nASIG,"Música de Cámara"),"")))</f>
        <v/>
      </c>
      <c r="AI122" t="str">
        <f>IF(AE122="","",IF(AE122="[FÓRMULA MANUAL]","",IFERROR(SUMPRODUCT((nNIA=AE122)*(nCUENTA=1)*(COUNTIF(CONFIG_ASIGNATURAS!$B$7:$B$27,nASIG)&gt;0)*(nNOTA))/SUMPRODUCT((nNIA=AE122)*(nCUENTA=1)*(COUNTIF(CONFIG_ASIGNATURAS!$B$7:$B$27,nASIG)&gt;0)*1),"")))</f>
        <v/>
      </c>
    </row>
    <row r="123" spans="2:35" x14ac:dyDescent="0.2">
      <c r="B123" t="str">
        <f>IF(A123="","",IF(A123="[FÓRMULA MANUAL]","",IFERROR(AVERAGEIFS(nNOTA,nNIA,A123,nCUENTA,1,nASIG,"Lenguaje Musical"),"")))</f>
        <v/>
      </c>
      <c r="C123" t="str">
        <f>IF(A123="","",IF(A123="[FÓRMULA MANUAL]","",IFERROR(AVERAGEIFS(nNOTA,nNIA,A123,nCUENTA,1,nASIG,"Orquesta/Banda/Conjunto"),"")))</f>
        <v/>
      </c>
      <c r="D123" t="str">
        <f>IF(A123="","",IF(A123="[FÓRMULA MANUAL]","",IFERROR(AVERAGEIFS(nNOTA,nNIA,A123,nCUENTA,1,nASIG,"Conjunto"),"")))</f>
        <v/>
      </c>
      <c r="E123" t="str">
        <f>IF(A123="","",IF(A123="[FÓRMULA MANUAL]","",IFERROR(SUMPRODUCT((nNIA=A123)*(nCUENTA=1)*(COUNTIF(CONFIG_ASIGNATURAS!$B$7:$B$27,nASIG)&gt;0)*(nNOTA))/SUMPRODUCT((nNIA=A123)*(nCUENTA=1)*(COUNTIF(CONFIG_ASIGNATURAS!$B$7:$B$27,nASIG)&gt;0)*1),"")))</f>
        <v/>
      </c>
      <c r="H123" t="str">
        <f>IF(G123="","",IF(G123="[FÓRMULA MANUAL]","",IFERROR(AVERAGEIFS(nNOTA,nNIA,G123,nCUENTA,1,nASIG,"Lenguaje Musical"),"")))</f>
        <v/>
      </c>
      <c r="I123" t="str">
        <f>IF(G123="","",IF(G123="[FÓRMULA MANUAL]","",IFERROR(AVERAGEIFS(nNOTA,nNIA,G123,nCUENTA,1,nASIG,"Orquesta/Banda/Conjunto"),"")))</f>
        <v/>
      </c>
      <c r="J123" t="str">
        <f>IF(G123="","",IF(G123="[FÓRMULA MANUAL]","",IFERROR(AVERAGEIFS(nNOTA,nNIA,G123,nCUENTA,1,nASIG,"Conjunto"),"")))</f>
        <v/>
      </c>
      <c r="K123" t="str">
        <f>IF(G123="","",IF(G123="[FÓRMULA MANUAL]","",IFERROR(SUMPRODUCT((nNIA=G123)*(nCUENTA=1)*(COUNTIF(CONFIG_ASIGNATURAS!$B$7:$B$27,nASIG)&gt;0)*(nNOTA))/SUMPRODUCT((nNIA=G123)*(nCUENTA=1)*(COUNTIF(CONFIG_ASIGNATURAS!$B$7:$B$27,nASIG)&gt;0)*1),"")))</f>
        <v/>
      </c>
      <c r="N123" t="str">
        <f>IF(M123="","",IF(M123="[FÓRMULA MANUAL]","",IFERROR(AVERAGEIFS(nNOTA,nNIA,M123,nCUENTA,1,nASIG,"Armonía"),"")))</f>
        <v/>
      </c>
      <c r="O123" t="str">
        <f>IF(M123="","",IF(M123="[FÓRMULA MANUAL]","",IFERROR(AVERAGEIFS(nNOTA,nNIA,M123,nCUENTA,1,nASIG,"Orquesta/Banda/Conjunto"),"")))</f>
        <v/>
      </c>
      <c r="P123" t="str">
        <f>IF(M123="","",IF(M123="[FÓRMULA MANUAL]","",IFERROR(AVERAGEIFS(nNOTA,nNIA,M123,nCUENTA,1,nASIG,"Música de Cámara"),"")))</f>
        <v/>
      </c>
      <c r="Q123" t="str">
        <f>IF(M123="","",IF(M123="[FÓRMULA MANUAL]","",IFERROR(SUMPRODUCT((nNIA=M123)*(nCUENTA=1)*(COUNTIF(CONFIG_ASIGNATURAS!$B$7:$B$27,nASIG)&gt;0)*(nNOTA))/SUMPRODUCT((nNIA=M123)*(nCUENTA=1)*(COUNTIF(CONFIG_ASIGNATURAS!$B$7:$B$27,nASIG)&gt;0)*1),"")))</f>
        <v/>
      </c>
      <c r="T123" t="str">
        <f>IF(S123="","",IF(S123="[FÓRMULA MANUAL]","",IFERROR(AVERAGEIFS(nNOTA,nNIA,S123,nCUENTA,1,nASIG,"Armonía"),"")))</f>
        <v/>
      </c>
      <c r="U123" t="str">
        <f>IF(S123="","",IF(S123="[FÓRMULA MANUAL]","",IFERROR(AVERAGEIFS(nNOTA,nNIA,S123,nCUENTA,1,nASIG,"Orquesta/Banda/Conjunto"),"")))</f>
        <v/>
      </c>
      <c r="V123" t="str">
        <f>IF(S123="","",IF(S123="[FÓRMULA MANUAL]","",IFERROR(AVERAGEIFS(nNOTA,nNIA,S123,nCUENTA,1,nASIG,"Música de Cámara"),"")))</f>
        <v/>
      </c>
      <c r="W123" t="str">
        <f>IF(S123="","",IF(S123="[FÓRMULA MANUAL]","",IFERROR(SUMPRODUCT((nNIA=S123)*(nCUENTA=1)*(COUNTIF(CONFIG_ASIGNATURAS!$B$7:$B$27,nASIG)&gt;0)*(nNOTA))/SUMPRODUCT((nNIA=S123)*(nCUENTA=1)*(COUNTIF(CONFIG_ASIGNATURAS!$B$7:$B$27,nASIG)&gt;0)*1),"")))</f>
        <v/>
      </c>
      <c r="Z123" t="str">
        <f>IF(Y123="","",IF(Y123="[FÓRMULA MANUAL]","",IFERROR(AVERAGEIFS(nNOTA,nNIA,Y123,nCUENTA,1,nASIG,"Análisis"),"")))</f>
        <v/>
      </c>
      <c r="AA123" t="str">
        <f>IF(Y123="","",IF(Y123="[FÓRMULA MANUAL]","",IFERROR(AVERAGEIFS(nNOTA,nNIA,Y123,nCUENTA,1,nASIG,"Orquesta/Banda/Conjunto"),"")))</f>
        <v/>
      </c>
      <c r="AB123" t="str">
        <f>IF(Y123="","",IF(Y123="[FÓRMULA MANUAL]","",IFERROR(AVERAGEIFS(nNOTA,nNIA,Y123,nCUENTA,1,nASIG,"Música de Cámara"),"")))</f>
        <v/>
      </c>
      <c r="AC123" t="str">
        <f>IF(Y123="","",IF(Y123="[FÓRMULA MANUAL]","",IFERROR(SUMPRODUCT((nNIA=Y123)*(nCUENTA=1)*(COUNTIF(CONFIG_ASIGNATURAS!$B$7:$B$27,nASIG)&gt;0)*(nNOTA))/SUMPRODUCT((nNIA=Y123)*(nCUENTA=1)*(COUNTIF(CONFIG_ASIGNATURAS!$B$7:$B$27,nASIG)&gt;0)*1),"")))</f>
        <v/>
      </c>
      <c r="AF123" t="str">
        <f>IF(AE123="","",IF(AE123="[FÓRMULA MANUAL]","",IFERROR(AVERAGEIFS(nNOTA,nNIA,AE123,nCUENTA,1,nASIG,"Análisis"),"")))</f>
        <v/>
      </c>
      <c r="AG123" t="str">
        <f>IF(AE123="","",IF(AE123="[FÓRMULA MANUAL]","",IFERROR(AVERAGEIFS(nNOTA,nNIA,AE123,nCUENTA,1,nASIG,"Orquesta/Banda/Conjunto"),"")))</f>
        <v/>
      </c>
      <c r="AH123" t="str">
        <f>IF(AE123="","",IF(AE123="[FÓRMULA MANUAL]","",IFERROR(AVERAGEIFS(nNOTA,nNIA,AE123,nCUENTA,1,nASIG,"Música de Cámara"),"")))</f>
        <v/>
      </c>
      <c r="AI123" t="str">
        <f>IF(AE123="","",IF(AE123="[FÓRMULA MANUAL]","",IFERROR(SUMPRODUCT((nNIA=AE123)*(nCUENTA=1)*(COUNTIF(CONFIG_ASIGNATURAS!$B$7:$B$27,nASIG)&gt;0)*(nNOTA))/SUMPRODUCT((nNIA=AE123)*(nCUENTA=1)*(COUNTIF(CONFIG_ASIGNATURAS!$B$7:$B$27,nASIG)&gt;0)*1),"")))</f>
        <v/>
      </c>
    </row>
    <row r="124" spans="2:35" x14ac:dyDescent="0.2">
      <c r="B124" t="str">
        <f>IF(A124="","",IF(A124="[FÓRMULA MANUAL]","",IFERROR(AVERAGEIFS(nNOTA,nNIA,A124,nCUENTA,1,nASIG,"Lenguaje Musical"),"")))</f>
        <v/>
      </c>
      <c r="C124" t="str">
        <f>IF(A124="","",IF(A124="[FÓRMULA MANUAL]","",IFERROR(AVERAGEIFS(nNOTA,nNIA,A124,nCUENTA,1,nASIG,"Orquesta/Banda/Conjunto"),"")))</f>
        <v/>
      </c>
      <c r="D124" t="str">
        <f>IF(A124="","",IF(A124="[FÓRMULA MANUAL]","",IFERROR(AVERAGEIFS(nNOTA,nNIA,A124,nCUENTA,1,nASIG,"Conjunto"),"")))</f>
        <v/>
      </c>
      <c r="E124" t="str">
        <f>IF(A124="","",IF(A124="[FÓRMULA MANUAL]","",IFERROR(SUMPRODUCT((nNIA=A124)*(nCUENTA=1)*(COUNTIF(CONFIG_ASIGNATURAS!$B$7:$B$27,nASIG)&gt;0)*(nNOTA))/SUMPRODUCT((nNIA=A124)*(nCUENTA=1)*(COUNTIF(CONFIG_ASIGNATURAS!$B$7:$B$27,nASIG)&gt;0)*1),"")))</f>
        <v/>
      </c>
      <c r="H124" t="str">
        <f>IF(G124="","",IF(G124="[FÓRMULA MANUAL]","",IFERROR(AVERAGEIFS(nNOTA,nNIA,G124,nCUENTA,1,nASIG,"Lenguaje Musical"),"")))</f>
        <v/>
      </c>
      <c r="I124" t="str">
        <f>IF(G124="","",IF(G124="[FÓRMULA MANUAL]","",IFERROR(AVERAGEIFS(nNOTA,nNIA,G124,nCUENTA,1,nASIG,"Orquesta/Banda/Conjunto"),"")))</f>
        <v/>
      </c>
      <c r="J124" t="str">
        <f>IF(G124="","",IF(G124="[FÓRMULA MANUAL]","",IFERROR(AVERAGEIFS(nNOTA,nNIA,G124,nCUENTA,1,nASIG,"Conjunto"),"")))</f>
        <v/>
      </c>
      <c r="K124" t="str">
        <f>IF(G124="","",IF(G124="[FÓRMULA MANUAL]","",IFERROR(SUMPRODUCT((nNIA=G124)*(nCUENTA=1)*(COUNTIF(CONFIG_ASIGNATURAS!$B$7:$B$27,nASIG)&gt;0)*(nNOTA))/SUMPRODUCT((nNIA=G124)*(nCUENTA=1)*(COUNTIF(CONFIG_ASIGNATURAS!$B$7:$B$27,nASIG)&gt;0)*1),"")))</f>
        <v/>
      </c>
      <c r="N124" t="str">
        <f>IF(M124="","",IF(M124="[FÓRMULA MANUAL]","",IFERROR(AVERAGEIFS(nNOTA,nNIA,M124,nCUENTA,1,nASIG,"Armonía"),"")))</f>
        <v/>
      </c>
      <c r="O124" t="str">
        <f>IF(M124="","",IF(M124="[FÓRMULA MANUAL]","",IFERROR(AVERAGEIFS(nNOTA,nNIA,M124,nCUENTA,1,nASIG,"Orquesta/Banda/Conjunto"),"")))</f>
        <v/>
      </c>
      <c r="P124" t="str">
        <f>IF(M124="","",IF(M124="[FÓRMULA MANUAL]","",IFERROR(AVERAGEIFS(nNOTA,nNIA,M124,nCUENTA,1,nASIG,"Música de Cámara"),"")))</f>
        <v/>
      </c>
      <c r="Q124" t="str">
        <f>IF(M124="","",IF(M124="[FÓRMULA MANUAL]","",IFERROR(SUMPRODUCT((nNIA=M124)*(nCUENTA=1)*(COUNTIF(CONFIG_ASIGNATURAS!$B$7:$B$27,nASIG)&gt;0)*(nNOTA))/SUMPRODUCT((nNIA=M124)*(nCUENTA=1)*(COUNTIF(CONFIG_ASIGNATURAS!$B$7:$B$27,nASIG)&gt;0)*1),"")))</f>
        <v/>
      </c>
      <c r="T124" t="str">
        <f>IF(S124="","",IF(S124="[FÓRMULA MANUAL]","",IFERROR(AVERAGEIFS(nNOTA,nNIA,S124,nCUENTA,1,nASIG,"Armonía"),"")))</f>
        <v/>
      </c>
      <c r="U124" t="str">
        <f>IF(S124="","",IF(S124="[FÓRMULA MANUAL]","",IFERROR(AVERAGEIFS(nNOTA,nNIA,S124,nCUENTA,1,nASIG,"Orquesta/Banda/Conjunto"),"")))</f>
        <v/>
      </c>
      <c r="V124" t="str">
        <f>IF(S124="","",IF(S124="[FÓRMULA MANUAL]","",IFERROR(AVERAGEIFS(nNOTA,nNIA,S124,nCUENTA,1,nASIG,"Música de Cámara"),"")))</f>
        <v/>
      </c>
      <c r="W124" t="str">
        <f>IF(S124="","",IF(S124="[FÓRMULA MANUAL]","",IFERROR(SUMPRODUCT((nNIA=S124)*(nCUENTA=1)*(COUNTIF(CONFIG_ASIGNATURAS!$B$7:$B$27,nASIG)&gt;0)*(nNOTA))/SUMPRODUCT((nNIA=S124)*(nCUENTA=1)*(COUNTIF(CONFIG_ASIGNATURAS!$B$7:$B$27,nASIG)&gt;0)*1),"")))</f>
        <v/>
      </c>
      <c r="Z124" t="str">
        <f>IF(Y124="","",IF(Y124="[FÓRMULA MANUAL]","",IFERROR(AVERAGEIFS(nNOTA,nNIA,Y124,nCUENTA,1,nASIG,"Análisis"),"")))</f>
        <v/>
      </c>
      <c r="AA124" t="str">
        <f>IF(Y124="","",IF(Y124="[FÓRMULA MANUAL]","",IFERROR(AVERAGEIFS(nNOTA,nNIA,Y124,nCUENTA,1,nASIG,"Orquesta/Banda/Conjunto"),"")))</f>
        <v/>
      </c>
      <c r="AB124" t="str">
        <f>IF(Y124="","",IF(Y124="[FÓRMULA MANUAL]","",IFERROR(AVERAGEIFS(nNOTA,nNIA,Y124,nCUENTA,1,nASIG,"Música de Cámara"),"")))</f>
        <v/>
      </c>
      <c r="AC124" t="str">
        <f>IF(Y124="","",IF(Y124="[FÓRMULA MANUAL]","",IFERROR(SUMPRODUCT((nNIA=Y124)*(nCUENTA=1)*(COUNTIF(CONFIG_ASIGNATURAS!$B$7:$B$27,nASIG)&gt;0)*(nNOTA))/SUMPRODUCT((nNIA=Y124)*(nCUENTA=1)*(COUNTIF(CONFIG_ASIGNATURAS!$B$7:$B$27,nASIG)&gt;0)*1),"")))</f>
        <v/>
      </c>
      <c r="AF124" t="str">
        <f>IF(AE124="","",IF(AE124="[FÓRMULA MANUAL]","",IFERROR(AVERAGEIFS(nNOTA,nNIA,AE124,nCUENTA,1,nASIG,"Análisis"),"")))</f>
        <v/>
      </c>
      <c r="AG124" t="str">
        <f>IF(AE124="","",IF(AE124="[FÓRMULA MANUAL]","",IFERROR(AVERAGEIFS(nNOTA,nNIA,AE124,nCUENTA,1,nASIG,"Orquesta/Banda/Conjunto"),"")))</f>
        <v/>
      </c>
      <c r="AH124" t="str">
        <f>IF(AE124="","",IF(AE124="[FÓRMULA MANUAL]","",IFERROR(AVERAGEIFS(nNOTA,nNIA,AE124,nCUENTA,1,nASIG,"Música de Cámara"),"")))</f>
        <v/>
      </c>
      <c r="AI124" t="str">
        <f>IF(AE124="","",IF(AE124="[FÓRMULA MANUAL]","",IFERROR(SUMPRODUCT((nNIA=AE124)*(nCUENTA=1)*(COUNTIF(CONFIG_ASIGNATURAS!$B$7:$B$27,nASIG)&gt;0)*(nNOTA))/SUMPRODUCT((nNIA=AE124)*(nCUENTA=1)*(COUNTIF(CONFIG_ASIGNATURAS!$B$7:$B$27,nASIG)&gt;0)*1),"")))</f>
        <v/>
      </c>
    </row>
    <row r="125" spans="2:35" x14ac:dyDescent="0.2">
      <c r="B125" t="str">
        <f>IF(A125="","",IF(A125="[FÓRMULA MANUAL]","",IFERROR(AVERAGEIFS(nNOTA,nNIA,A125,nCUENTA,1,nASIG,"Lenguaje Musical"),"")))</f>
        <v/>
      </c>
      <c r="C125" t="str">
        <f>IF(A125="","",IF(A125="[FÓRMULA MANUAL]","",IFERROR(AVERAGEIFS(nNOTA,nNIA,A125,nCUENTA,1,nASIG,"Orquesta/Banda/Conjunto"),"")))</f>
        <v/>
      </c>
      <c r="D125" t="str">
        <f>IF(A125="","",IF(A125="[FÓRMULA MANUAL]","",IFERROR(AVERAGEIFS(nNOTA,nNIA,A125,nCUENTA,1,nASIG,"Conjunto"),"")))</f>
        <v/>
      </c>
      <c r="E125" t="str">
        <f>IF(A125="","",IF(A125="[FÓRMULA MANUAL]","",IFERROR(SUMPRODUCT((nNIA=A125)*(nCUENTA=1)*(COUNTIF(CONFIG_ASIGNATURAS!$B$7:$B$27,nASIG)&gt;0)*(nNOTA))/SUMPRODUCT((nNIA=A125)*(nCUENTA=1)*(COUNTIF(CONFIG_ASIGNATURAS!$B$7:$B$27,nASIG)&gt;0)*1),"")))</f>
        <v/>
      </c>
      <c r="H125" t="str">
        <f>IF(G125="","",IF(G125="[FÓRMULA MANUAL]","",IFERROR(AVERAGEIFS(nNOTA,nNIA,G125,nCUENTA,1,nASIG,"Lenguaje Musical"),"")))</f>
        <v/>
      </c>
      <c r="I125" t="str">
        <f>IF(G125="","",IF(G125="[FÓRMULA MANUAL]","",IFERROR(AVERAGEIFS(nNOTA,nNIA,G125,nCUENTA,1,nASIG,"Orquesta/Banda/Conjunto"),"")))</f>
        <v/>
      </c>
      <c r="J125" t="str">
        <f>IF(G125="","",IF(G125="[FÓRMULA MANUAL]","",IFERROR(AVERAGEIFS(nNOTA,nNIA,G125,nCUENTA,1,nASIG,"Conjunto"),"")))</f>
        <v/>
      </c>
      <c r="K125" t="str">
        <f>IF(G125="","",IF(G125="[FÓRMULA MANUAL]","",IFERROR(SUMPRODUCT((nNIA=G125)*(nCUENTA=1)*(COUNTIF(CONFIG_ASIGNATURAS!$B$7:$B$27,nASIG)&gt;0)*(nNOTA))/SUMPRODUCT((nNIA=G125)*(nCUENTA=1)*(COUNTIF(CONFIG_ASIGNATURAS!$B$7:$B$27,nASIG)&gt;0)*1),"")))</f>
        <v/>
      </c>
      <c r="N125" t="str">
        <f>IF(M125="","",IF(M125="[FÓRMULA MANUAL]","",IFERROR(AVERAGEIFS(nNOTA,nNIA,M125,nCUENTA,1,nASIG,"Armonía"),"")))</f>
        <v/>
      </c>
      <c r="O125" t="str">
        <f>IF(M125="","",IF(M125="[FÓRMULA MANUAL]","",IFERROR(AVERAGEIFS(nNOTA,nNIA,M125,nCUENTA,1,nASIG,"Orquesta/Banda/Conjunto"),"")))</f>
        <v/>
      </c>
      <c r="P125" t="str">
        <f>IF(M125="","",IF(M125="[FÓRMULA MANUAL]","",IFERROR(AVERAGEIFS(nNOTA,nNIA,M125,nCUENTA,1,nASIG,"Música de Cámara"),"")))</f>
        <v/>
      </c>
      <c r="Q125" t="str">
        <f>IF(M125="","",IF(M125="[FÓRMULA MANUAL]","",IFERROR(SUMPRODUCT((nNIA=M125)*(nCUENTA=1)*(COUNTIF(CONFIG_ASIGNATURAS!$B$7:$B$27,nASIG)&gt;0)*(nNOTA))/SUMPRODUCT((nNIA=M125)*(nCUENTA=1)*(COUNTIF(CONFIG_ASIGNATURAS!$B$7:$B$27,nASIG)&gt;0)*1),"")))</f>
        <v/>
      </c>
      <c r="T125" t="str">
        <f>IF(S125="","",IF(S125="[FÓRMULA MANUAL]","",IFERROR(AVERAGEIFS(nNOTA,nNIA,S125,nCUENTA,1,nASIG,"Armonía"),"")))</f>
        <v/>
      </c>
      <c r="U125" t="str">
        <f>IF(S125="","",IF(S125="[FÓRMULA MANUAL]","",IFERROR(AVERAGEIFS(nNOTA,nNIA,S125,nCUENTA,1,nASIG,"Orquesta/Banda/Conjunto"),"")))</f>
        <v/>
      </c>
      <c r="V125" t="str">
        <f>IF(S125="","",IF(S125="[FÓRMULA MANUAL]","",IFERROR(AVERAGEIFS(nNOTA,nNIA,S125,nCUENTA,1,nASIG,"Música de Cámara"),"")))</f>
        <v/>
      </c>
      <c r="W125" t="str">
        <f>IF(S125="","",IF(S125="[FÓRMULA MANUAL]","",IFERROR(SUMPRODUCT((nNIA=S125)*(nCUENTA=1)*(COUNTIF(CONFIG_ASIGNATURAS!$B$7:$B$27,nASIG)&gt;0)*(nNOTA))/SUMPRODUCT((nNIA=S125)*(nCUENTA=1)*(COUNTIF(CONFIG_ASIGNATURAS!$B$7:$B$27,nASIG)&gt;0)*1),"")))</f>
        <v/>
      </c>
      <c r="Z125" t="str">
        <f>IF(Y125="","",IF(Y125="[FÓRMULA MANUAL]","",IFERROR(AVERAGEIFS(nNOTA,nNIA,Y125,nCUENTA,1,nASIG,"Análisis"),"")))</f>
        <v/>
      </c>
      <c r="AA125" t="str">
        <f>IF(Y125="","",IF(Y125="[FÓRMULA MANUAL]","",IFERROR(AVERAGEIFS(nNOTA,nNIA,Y125,nCUENTA,1,nASIG,"Orquesta/Banda/Conjunto"),"")))</f>
        <v/>
      </c>
      <c r="AB125" t="str">
        <f>IF(Y125="","",IF(Y125="[FÓRMULA MANUAL]","",IFERROR(AVERAGEIFS(nNOTA,nNIA,Y125,nCUENTA,1,nASIG,"Música de Cámara"),"")))</f>
        <v/>
      </c>
      <c r="AC125" t="str">
        <f>IF(Y125="","",IF(Y125="[FÓRMULA MANUAL]","",IFERROR(SUMPRODUCT((nNIA=Y125)*(nCUENTA=1)*(COUNTIF(CONFIG_ASIGNATURAS!$B$7:$B$27,nASIG)&gt;0)*(nNOTA))/SUMPRODUCT((nNIA=Y125)*(nCUENTA=1)*(COUNTIF(CONFIG_ASIGNATURAS!$B$7:$B$27,nASIG)&gt;0)*1),"")))</f>
        <v/>
      </c>
      <c r="AF125" t="str">
        <f>IF(AE125="","",IF(AE125="[FÓRMULA MANUAL]","",IFERROR(AVERAGEIFS(nNOTA,nNIA,AE125,nCUENTA,1,nASIG,"Análisis"),"")))</f>
        <v/>
      </c>
      <c r="AG125" t="str">
        <f>IF(AE125="","",IF(AE125="[FÓRMULA MANUAL]","",IFERROR(AVERAGEIFS(nNOTA,nNIA,AE125,nCUENTA,1,nASIG,"Orquesta/Banda/Conjunto"),"")))</f>
        <v/>
      </c>
      <c r="AH125" t="str">
        <f>IF(AE125="","",IF(AE125="[FÓRMULA MANUAL]","",IFERROR(AVERAGEIFS(nNOTA,nNIA,AE125,nCUENTA,1,nASIG,"Música de Cámara"),"")))</f>
        <v/>
      </c>
      <c r="AI125" t="str">
        <f>IF(AE125="","",IF(AE125="[FÓRMULA MANUAL]","",IFERROR(SUMPRODUCT((nNIA=AE125)*(nCUENTA=1)*(COUNTIF(CONFIG_ASIGNATURAS!$B$7:$B$27,nASIG)&gt;0)*(nNOTA))/SUMPRODUCT((nNIA=AE125)*(nCUENTA=1)*(COUNTIF(CONFIG_ASIGNATURAS!$B$7:$B$27,nASIG)&gt;0)*1),"")))</f>
        <v/>
      </c>
    </row>
    <row r="126" spans="2:35" x14ac:dyDescent="0.2">
      <c r="B126" t="str">
        <f>IF(A126="","",IF(A126="[FÓRMULA MANUAL]","",IFERROR(AVERAGEIFS(nNOTA,nNIA,A126,nCUENTA,1,nASIG,"Lenguaje Musical"),"")))</f>
        <v/>
      </c>
      <c r="C126" t="str">
        <f>IF(A126="","",IF(A126="[FÓRMULA MANUAL]","",IFERROR(AVERAGEIFS(nNOTA,nNIA,A126,nCUENTA,1,nASIG,"Orquesta/Banda/Conjunto"),"")))</f>
        <v/>
      </c>
      <c r="D126" t="str">
        <f>IF(A126="","",IF(A126="[FÓRMULA MANUAL]","",IFERROR(AVERAGEIFS(nNOTA,nNIA,A126,nCUENTA,1,nASIG,"Conjunto"),"")))</f>
        <v/>
      </c>
      <c r="E126" t="str">
        <f>IF(A126="","",IF(A126="[FÓRMULA MANUAL]","",IFERROR(SUMPRODUCT((nNIA=A126)*(nCUENTA=1)*(COUNTIF(CONFIG_ASIGNATURAS!$B$7:$B$27,nASIG)&gt;0)*(nNOTA))/SUMPRODUCT((nNIA=A126)*(nCUENTA=1)*(COUNTIF(CONFIG_ASIGNATURAS!$B$7:$B$27,nASIG)&gt;0)*1),"")))</f>
        <v/>
      </c>
      <c r="H126" t="str">
        <f>IF(G126="","",IF(G126="[FÓRMULA MANUAL]","",IFERROR(AVERAGEIFS(nNOTA,nNIA,G126,nCUENTA,1,nASIG,"Lenguaje Musical"),"")))</f>
        <v/>
      </c>
      <c r="I126" t="str">
        <f>IF(G126="","",IF(G126="[FÓRMULA MANUAL]","",IFERROR(AVERAGEIFS(nNOTA,nNIA,G126,nCUENTA,1,nASIG,"Orquesta/Banda/Conjunto"),"")))</f>
        <v/>
      </c>
      <c r="J126" t="str">
        <f>IF(G126="","",IF(G126="[FÓRMULA MANUAL]","",IFERROR(AVERAGEIFS(nNOTA,nNIA,G126,nCUENTA,1,nASIG,"Conjunto"),"")))</f>
        <v/>
      </c>
      <c r="K126" t="str">
        <f>IF(G126="","",IF(G126="[FÓRMULA MANUAL]","",IFERROR(SUMPRODUCT((nNIA=G126)*(nCUENTA=1)*(COUNTIF(CONFIG_ASIGNATURAS!$B$7:$B$27,nASIG)&gt;0)*(nNOTA))/SUMPRODUCT((nNIA=G126)*(nCUENTA=1)*(COUNTIF(CONFIG_ASIGNATURAS!$B$7:$B$27,nASIG)&gt;0)*1),"")))</f>
        <v/>
      </c>
      <c r="N126" t="str">
        <f>IF(M126="","",IF(M126="[FÓRMULA MANUAL]","",IFERROR(AVERAGEIFS(nNOTA,nNIA,M126,nCUENTA,1,nASIG,"Armonía"),"")))</f>
        <v/>
      </c>
      <c r="O126" t="str">
        <f>IF(M126="","",IF(M126="[FÓRMULA MANUAL]","",IFERROR(AVERAGEIFS(nNOTA,nNIA,M126,nCUENTA,1,nASIG,"Orquesta/Banda/Conjunto"),"")))</f>
        <v/>
      </c>
      <c r="P126" t="str">
        <f>IF(M126="","",IF(M126="[FÓRMULA MANUAL]","",IFERROR(AVERAGEIFS(nNOTA,nNIA,M126,nCUENTA,1,nASIG,"Música de Cámara"),"")))</f>
        <v/>
      </c>
      <c r="Q126" t="str">
        <f>IF(M126="","",IF(M126="[FÓRMULA MANUAL]","",IFERROR(SUMPRODUCT((nNIA=M126)*(nCUENTA=1)*(COUNTIF(CONFIG_ASIGNATURAS!$B$7:$B$27,nASIG)&gt;0)*(nNOTA))/SUMPRODUCT((nNIA=M126)*(nCUENTA=1)*(COUNTIF(CONFIG_ASIGNATURAS!$B$7:$B$27,nASIG)&gt;0)*1),"")))</f>
        <v/>
      </c>
      <c r="T126" t="str">
        <f>IF(S126="","",IF(S126="[FÓRMULA MANUAL]","",IFERROR(AVERAGEIFS(nNOTA,nNIA,S126,nCUENTA,1,nASIG,"Armonía"),"")))</f>
        <v/>
      </c>
      <c r="U126" t="str">
        <f>IF(S126="","",IF(S126="[FÓRMULA MANUAL]","",IFERROR(AVERAGEIFS(nNOTA,nNIA,S126,nCUENTA,1,nASIG,"Orquesta/Banda/Conjunto"),"")))</f>
        <v/>
      </c>
      <c r="V126" t="str">
        <f>IF(S126="","",IF(S126="[FÓRMULA MANUAL]","",IFERROR(AVERAGEIFS(nNOTA,nNIA,S126,nCUENTA,1,nASIG,"Música de Cámara"),"")))</f>
        <v/>
      </c>
      <c r="W126" t="str">
        <f>IF(S126="","",IF(S126="[FÓRMULA MANUAL]","",IFERROR(SUMPRODUCT((nNIA=S126)*(nCUENTA=1)*(COUNTIF(CONFIG_ASIGNATURAS!$B$7:$B$27,nASIG)&gt;0)*(nNOTA))/SUMPRODUCT((nNIA=S126)*(nCUENTA=1)*(COUNTIF(CONFIG_ASIGNATURAS!$B$7:$B$27,nASIG)&gt;0)*1),"")))</f>
        <v/>
      </c>
      <c r="Z126" t="str">
        <f>IF(Y126="","",IF(Y126="[FÓRMULA MANUAL]","",IFERROR(AVERAGEIFS(nNOTA,nNIA,Y126,nCUENTA,1,nASIG,"Análisis"),"")))</f>
        <v/>
      </c>
      <c r="AA126" t="str">
        <f>IF(Y126="","",IF(Y126="[FÓRMULA MANUAL]","",IFERROR(AVERAGEIFS(nNOTA,nNIA,Y126,nCUENTA,1,nASIG,"Orquesta/Banda/Conjunto"),"")))</f>
        <v/>
      </c>
      <c r="AB126" t="str">
        <f>IF(Y126="","",IF(Y126="[FÓRMULA MANUAL]","",IFERROR(AVERAGEIFS(nNOTA,nNIA,Y126,nCUENTA,1,nASIG,"Música de Cámara"),"")))</f>
        <v/>
      </c>
      <c r="AC126" t="str">
        <f>IF(Y126="","",IF(Y126="[FÓRMULA MANUAL]","",IFERROR(SUMPRODUCT((nNIA=Y126)*(nCUENTA=1)*(COUNTIF(CONFIG_ASIGNATURAS!$B$7:$B$27,nASIG)&gt;0)*(nNOTA))/SUMPRODUCT((nNIA=Y126)*(nCUENTA=1)*(COUNTIF(CONFIG_ASIGNATURAS!$B$7:$B$27,nASIG)&gt;0)*1),"")))</f>
        <v/>
      </c>
      <c r="AF126" t="str">
        <f>IF(AE126="","",IF(AE126="[FÓRMULA MANUAL]","",IFERROR(AVERAGEIFS(nNOTA,nNIA,AE126,nCUENTA,1,nASIG,"Análisis"),"")))</f>
        <v/>
      </c>
      <c r="AG126" t="str">
        <f>IF(AE126="","",IF(AE126="[FÓRMULA MANUAL]","",IFERROR(AVERAGEIFS(nNOTA,nNIA,AE126,nCUENTA,1,nASIG,"Orquesta/Banda/Conjunto"),"")))</f>
        <v/>
      </c>
      <c r="AH126" t="str">
        <f>IF(AE126="","",IF(AE126="[FÓRMULA MANUAL]","",IFERROR(AVERAGEIFS(nNOTA,nNIA,AE126,nCUENTA,1,nASIG,"Música de Cámara"),"")))</f>
        <v/>
      </c>
      <c r="AI126" t="str">
        <f>IF(AE126="","",IF(AE126="[FÓRMULA MANUAL]","",IFERROR(SUMPRODUCT((nNIA=AE126)*(nCUENTA=1)*(COUNTIF(CONFIG_ASIGNATURAS!$B$7:$B$27,nASIG)&gt;0)*(nNOTA))/SUMPRODUCT((nNIA=AE126)*(nCUENTA=1)*(COUNTIF(CONFIG_ASIGNATURAS!$B$7:$B$27,nASIG)&gt;0)*1),"")))</f>
        <v/>
      </c>
    </row>
    <row r="127" spans="2:35" x14ac:dyDescent="0.2">
      <c r="B127" t="str">
        <f>IF(A127="","",IF(A127="[FÓRMULA MANUAL]","",IFERROR(AVERAGEIFS(nNOTA,nNIA,A127,nCUENTA,1,nASIG,"Lenguaje Musical"),"")))</f>
        <v/>
      </c>
      <c r="C127" t="str">
        <f>IF(A127="","",IF(A127="[FÓRMULA MANUAL]","",IFERROR(AVERAGEIFS(nNOTA,nNIA,A127,nCUENTA,1,nASIG,"Orquesta/Banda/Conjunto"),"")))</f>
        <v/>
      </c>
      <c r="D127" t="str">
        <f>IF(A127="","",IF(A127="[FÓRMULA MANUAL]","",IFERROR(AVERAGEIFS(nNOTA,nNIA,A127,nCUENTA,1,nASIG,"Conjunto"),"")))</f>
        <v/>
      </c>
      <c r="E127" t="str">
        <f>IF(A127="","",IF(A127="[FÓRMULA MANUAL]","",IFERROR(SUMPRODUCT((nNIA=A127)*(nCUENTA=1)*(COUNTIF(CONFIG_ASIGNATURAS!$B$7:$B$27,nASIG)&gt;0)*(nNOTA))/SUMPRODUCT((nNIA=A127)*(nCUENTA=1)*(COUNTIF(CONFIG_ASIGNATURAS!$B$7:$B$27,nASIG)&gt;0)*1),"")))</f>
        <v/>
      </c>
      <c r="H127" t="str">
        <f>IF(G127="","",IF(G127="[FÓRMULA MANUAL]","",IFERROR(AVERAGEIFS(nNOTA,nNIA,G127,nCUENTA,1,nASIG,"Lenguaje Musical"),"")))</f>
        <v/>
      </c>
      <c r="I127" t="str">
        <f>IF(G127="","",IF(G127="[FÓRMULA MANUAL]","",IFERROR(AVERAGEIFS(nNOTA,nNIA,G127,nCUENTA,1,nASIG,"Orquesta/Banda/Conjunto"),"")))</f>
        <v/>
      </c>
      <c r="J127" t="str">
        <f>IF(G127="","",IF(G127="[FÓRMULA MANUAL]","",IFERROR(AVERAGEIFS(nNOTA,nNIA,G127,nCUENTA,1,nASIG,"Conjunto"),"")))</f>
        <v/>
      </c>
      <c r="K127" t="str">
        <f>IF(G127="","",IF(G127="[FÓRMULA MANUAL]","",IFERROR(SUMPRODUCT((nNIA=G127)*(nCUENTA=1)*(COUNTIF(CONFIG_ASIGNATURAS!$B$7:$B$27,nASIG)&gt;0)*(nNOTA))/SUMPRODUCT((nNIA=G127)*(nCUENTA=1)*(COUNTIF(CONFIG_ASIGNATURAS!$B$7:$B$27,nASIG)&gt;0)*1),"")))</f>
        <v/>
      </c>
      <c r="N127" t="str">
        <f>IF(M127="","",IF(M127="[FÓRMULA MANUAL]","",IFERROR(AVERAGEIFS(nNOTA,nNIA,M127,nCUENTA,1,nASIG,"Armonía"),"")))</f>
        <v/>
      </c>
      <c r="O127" t="str">
        <f>IF(M127="","",IF(M127="[FÓRMULA MANUAL]","",IFERROR(AVERAGEIFS(nNOTA,nNIA,M127,nCUENTA,1,nASIG,"Orquesta/Banda/Conjunto"),"")))</f>
        <v/>
      </c>
      <c r="P127" t="str">
        <f>IF(M127="","",IF(M127="[FÓRMULA MANUAL]","",IFERROR(AVERAGEIFS(nNOTA,nNIA,M127,nCUENTA,1,nASIG,"Música de Cámara"),"")))</f>
        <v/>
      </c>
      <c r="Q127" t="str">
        <f>IF(M127="","",IF(M127="[FÓRMULA MANUAL]","",IFERROR(SUMPRODUCT((nNIA=M127)*(nCUENTA=1)*(COUNTIF(CONFIG_ASIGNATURAS!$B$7:$B$27,nASIG)&gt;0)*(nNOTA))/SUMPRODUCT((nNIA=M127)*(nCUENTA=1)*(COUNTIF(CONFIG_ASIGNATURAS!$B$7:$B$27,nASIG)&gt;0)*1),"")))</f>
        <v/>
      </c>
      <c r="T127" t="str">
        <f>IF(S127="","",IF(S127="[FÓRMULA MANUAL]","",IFERROR(AVERAGEIFS(nNOTA,nNIA,S127,nCUENTA,1,nASIG,"Armonía"),"")))</f>
        <v/>
      </c>
      <c r="U127" t="str">
        <f>IF(S127="","",IF(S127="[FÓRMULA MANUAL]","",IFERROR(AVERAGEIFS(nNOTA,nNIA,S127,nCUENTA,1,nASIG,"Orquesta/Banda/Conjunto"),"")))</f>
        <v/>
      </c>
      <c r="V127" t="str">
        <f>IF(S127="","",IF(S127="[FÓRMULA MANUAL]","",IFERROR(AVERAGEIFS(nNOTA,nNIA,S127,nCUENTA,1,nASIG,"Música de Cámara"),"")))</f>
        <v/>
      </c>
      <c r="W127" t="str">
        <f>IF(S127="","",IF(S127="[FÓRMULA MANUAL]","",IFERROR(SUMPRODUCT((nNIA=S127)*(nCUENTA=1)*(COUNTIF(CONFIG_ASIGNATURAS!$B$7:$B$27,nASIG)&gt;0)*(nNOTA))/SUMPRODUCT((nNIA=S127)*(nCUENTA=1)*(COUNTIF(CONFIG_ASIGNATURAS!$B$7:$B$27,nASIG)&gt;0)*1),"")))</f>
        <v/>
      </c>
      <c r="Z127" t="str">
        <f>IF(Y127="","",IF(Y127="[FÓRMULA MANUAL]","",IFERROR(AVERAGEIFS(nNOTA,nNIA,Y127,nCUENTA,1,nASIG,"Análisis"),"")))</f>
        <v/>
      </c>
      <c r="AA127" t="str">
        <f>IF(Y127="","",IF(Y127="[FÓRMULA MANUAL]","",IFERROR(AVERAGEIFS(nNOTA,nNIA,Y127,nCUENTA,1,nASIG,"Orquesta/Banda/Conjunto"),"")))</f>
        <v/>
      </c>
      <c r="AB127" t="str">
        <f>IF(Y127="","",IF(Y127="[FÓRMULA MANUAL]","",IFERROR(AVERAGEIFS(nNOTA,nNIA,Y127,nCUENTA,1,nASIG,"Música de Cámara"),"")))</f>
        <v/>
      </c>
      <c r="AC127" t="str">
        <f>IF(Y127="","",IF(Y127="[FÓRMULA MANUAL]","",IFERROR(SUMPRODUCT((nNIA=Y127)*(nCUENTA=1)*(COUNTIF(CONFIG_ASIGNATURAS!$B$7:$B$27,nASIG)&gt;0)*(nNOTA))/SUMPRODUCT((nNIA=Y127)*(nCUENTA=1)*(COUNTIF(CONFIG_ASIGNATURAS!$B$7:$B$27,nASIG)&gt;0)*1),"")))</f>
        <v/>
      </c>
      <c r="AF127" t="str">
        <f>IF(AE127="","",IF(AE127="[FÓRMULA MANUAL]","",IFERROR(AVERAGEIFS(nNOTA,nNIA,AE127,nCUENTA,1,nASIG,"Análisis"),"")))</f>
        <v/>
      </c>
      <c r="AG127" t="str">
        <f>IF(AE127="","",IF(AE127="[FÓRMULA MANUAL]","",IFERROR(AVERAGEIFS(nNOTA,nNIA,AE127,nCUENTA,1,nASIG,"Orquesta/Banda/Conjunto"),"")))</f>
        <v/>
      </c>
      <c r="AH127" t="str">
        <f>IF(AE127="","",IF(AE127="[FÓRMULA MANUAL]","",IFERROR(AVERAGEIFS(nNOTA,nNIA,AE127,nCUENTA,1,nASIG,"Música de Cámara"),"")))</f>
        <v/>
      </c>
      <c r="AI127" t="str">
        <f>IF(AE127="","",IF(AE127="[FÓRMULA MANUAL]","",IFERROR(SUMPRODUCT((nNIA=AE127)*(nCUENTA=1)*(COUNTIF(CONFIG_ASIGNATURAS!$B$7:$B$27,nASIG)&gt;0)*(nNOTA))/SUMPRODUCT((nNIA=AE127)*(nCUENTA=1)*(COUNTIF(CONFIG_ASIGNATURAS!$B$7:$B$27,nASIG)&gt;0)*1),"")))</f>
        <v/>
      </c>
    </row>
    <row r="128" spans="2:35" x14ac:dyDescent="0.2">
      <c r="B128" t="str">
        <f>IF(A128="","",IF(A128="[FÓRMULA MANUAL]","",IFERROR(AVERAGEIFS(nNOTA,nNIA,A128,nCUENTA,1,nASIG,"Lenguaje Musical"),"")))</f>
        <v/>
      </c>
      <c r="C128" t="str">
        <f>IF(A128="","",IF(A128="[FÓRMULA MANUAL]","",IFERROR(AVERAGEIFS(nNOTA,nNIA,A128,nCUENTA,1,nASIG,"Orquesta/Banda/Conjunto"),"")))</f>
        <v/>
      </c>
      <c r="D128" t="str">
        <f>IF(A128="","",IF(A128="[FÓRMULA MANUAL]","",IFERROR(AVERAGEIFS(nNOTA,nNIA,A128,nCUENTA,1,nASIG,"Conjunto"),"")))</f>
        <v/>
      </c>
      <c r="E128" t="str">
        <f>IF(A128="","",IF(A128="[FÓRMULA MANUAL]","",IFERROR(SUMPRODUCT((nNIA=A128)*(nCUENTA=1)*(COUNTIF(CONFIG_ASIGNATURAS!$B$7:$B$27,nASIG)&gt;0)*(nNOTA))/SUMPRODUCT((nNIA=A128)*(nCUENTA=1)*(COUNTIF(CONFIG_ASIGNATURAS!$B$7:$B$27,nASIG)&gt;0)*1),"")))</f>
        <v/>
      </c>
      <c r="H128" t="str">
        <f>IF(G128="","",IF(G128="[FÓRMULA MANUAL]","",IFERROR(AVERAGEIFS(nNOTA,nNIA,G128,nCUENTA,1,nASIG,"Lenguaje Musical"),"")))</f>
        <v/>
      </c>
      <c r="I128" t="str">
        <f>IF(G128="","",IF(G128="[FÓRMULA MANUAL]","",IFERROR(AVERAGEIFS(nNOTA,nNIA,G128,nCUENTA,1,nASIG,"Orquesta/Banda/Conjunto"),"")))</f>
        <v/>
      </c>
      <c r="J128" t="str">
        <f>IF(G128="","",IF(G128="[FÓRMULA MANUAL]","",IFERROR(AVERAGEIFS(nNOTA,nNIA,G128,nCUENTA,1,nASIG,"Conjunto"),"")))</f>
        <v/>
      </c>
      <c r="K128" t="str">
        <f>IF(G128="","",IF(G128="[FÓRMULA MANUAL]","",IFERROR(SUMPRODUCT((nNIA=G128)*(nCUENTA=1)*(COUNTIF(CONFIG_ASIGNATURAS!$B$7:$B$27,nASIG)&gt;0)*(nNOTA))/SUMPRODUCT((nNIA=G128)*(nCUENTA=1)*(COUNTIF(CONFIG_ASIGNATURAS!$B$7:$B$27,nASIG)&gt;0)*1),"")))</f>
        <v/>
      </c>
      <c r="N128" t="str">
        <f>IF(M128="","",IF(M128="[FÓRMULA MANUAL]","",IFERROR(AVERAGEIFS(nNOTA,nNIA,M128,nCUENTA,1,nASIG,"Armonía"),"")))</f>
        <v/>
      </c>
      <c r="O128" t="str">
        <f>IF(M128="","",IF(M128="[FÓRMULA MANUAL]","",IFERROR(AVERAGEIFS(nNOTA,nNIA,M128,nCUENTA,1,nASIG,"Orquesta/Banda/Conjunto"),"")))</f>
        <v/>
      </c>
      <c r="P128" t="str">
        <f>IF(M128="","",IF(M128="[FÓRMULA MANUAL]","",IFERROR(AVERAGEIFS(nNOTA,nNIA,M128,nCUENTA,1,nASIG,"Música de Cámara"),"")))</f>
        <v/>
      </c>
      <c r="Q128" t="str">
        <f>IF(M128="","",IF(M128="[FÓRMULA MANUAL]","",IFERROR(SUMPRODUCT((nNIA=M128)*(nCUENTA=1)*(COUNTIF(CONFIG_ASIGNATURAS!$B$7:$B$27,nASIG)&gt;0)*(nNOTA))/SUMPRODUCT((nNIA=M128)*(nCUENTA=1)*(COUNTIF(CONFIG_ASIGNATURAS!$B$7:$B$27,nASIG)&gt;0)*1),"")))</f>
        <v/>
      </c>
      <c r="T128" t="str">
        <f>IF(S128="","",IF(S128="[FÓRMULA MANUAL]","",IFERROR(AVERAGEIFS(nNOTA,nNIA,S128,nCUENTA,1,nASIG,"Armonía"),"")))</f>
        <v/>
      </c>
      <c r="U128" t="str">
        <f>IF(S128="","",IF(S128="[FÓRMULA MANUAL]","",IFERROR(AVERAGEIFS(nNOTA,nNIA,S128,nCUENTA,1,nASIG,"Orquesta/Banda/Conjunto"),"")))</f>
        <v/>
      </c>
      <c r="V128" t="str">
        <f>IF(S128="","",IF(S128="[FÓRMULA MANUAL]","",IFERROR(AVERAGEIFS(nNOTA,nNIA,S128,nCUENTA,1,nASIG,"Música de Cámara"),"")))</f>
        <v/>
      </c>
      <c r="W128" t="str">
        <f>IF(S128="","",IF(S128="[FÓRMULA MANUAL]","",IFERROR(SUMPRODUCT((nNIA=S128)*(nCUENTA=1)*(COUNTIF(CONFIG_ASIGNATURAS!$B$7:$B$27,nASIG)&gt;0)*(nNOTA))/SUMPRODUCT((nNIA=S128)*(nCUENTA=1)*(COUNTIF(CONFIG_ASIGNATURAS!$B$7:$B$27,nASIG)&gt;0)*1),"")))</f>
        <v/>
      </c>
      <c r="Z128" t="str">
        <f>IF(Y128="","",IF(Y128="[FÓRMULA MANUAL]","",IFERROR(AVERAGEIFS(nNOTA,nNIA,Y128,nCUENTA,1,nASIG,"Análisis"),"")))</f>
        <v/>
      </c>
      <c r="AA128" t="str">
        <f>IF(Y128="","",IF(Y128="[FÓRMULA MANUAL]","",IFERROR(AVERAGEIFS(nNOTA,nNIA,Y128,nCUENTA,1,nASIG,"Orquesta/Banda/Conjunto"),"")))</f>
        <v/>
      </c>
      <c r="AB128" t="str">
        <f>IF(Y128="","",IF(Y128="[FÓRMULA MANUAL]","",IFERROR(AVERAGEIFS(nNOTA,nNIA,Y128,nCUENTA,1,nASIG,"Música de Cámara"),"")))</f>
        <v/>
      </c>
      <c r="AC128" t="str">
        <f>IF(Y128="","",IF(Y128="[FÓRMULA MANUAL]","",IFERROR(SUMPRODUCT((nNIA=Y128)*(nCUENTA=1)*(COUNTIF(CONFIG_ASIGNATURAS!$B$7:$B$27,nASIG)&gt;0)*(nNOTA))/SUMPRODUCT((nNIA=Y128)*(nCUENTA=1)*(COUNTIF(CONFIG_ASIGNATURAS!$B$7:$B$27,nASIG)&gt;0)*1),"")))</f>
        <v/>
      </c>
      <c r="AF128" t="str">
        <f>IF(AE128="","",IF(AE128="[FÓRMULA MANUAL]","",IFERROR(AVERAGEIFS(nNOTA,nNIA,AE128,nCUENTA,1,nASIG,"Análisis"),"")))</f>
        <v/>
      </c>
      <c r="AG128" t="str">
        <f>IF(AE128="","",IF(AE128="[FÓRMULA MANUAL]","",IFERROR(AVERAGEIFS(nNOTA,nNIA,AE128,nCUENTA,1,nASIG,"Orquesta/Banda/Conjunto"),"")))</f>
        <v/>
      </c>
      <c r="AH128" t="str">
        <f>IF(AE128="","",IF(AE128="[FÓRMULA MANUAL]","",IFERROR(AVERAGEIFS(nNOTA,nNIA,AE128,nCUENTA,1,nASIG,"Música de Cámara"),"")))</f>
        <v/>
      </c>
      <c r="AI128" t="str">
        <f>IF(AE128="","",IF(AE128="[FÓRMULA MANUAL]","",IFERROR(SUMPRODUCT((nNIA=AE128)*(nCUENTA=1)*(COUNTIF(CONFIG_ASIGNATURAS!$B$7:$B$27,nASIG)&gt;0)*(nNOTA))/SUMPRODUCT((nNIA=AE128)*(nCUENTA=1)*(COUNTIF(CONFIG_ASIGNATURAS!$B$7:$B$27,nASIG)&gt;0)*1),"")))</f>
        <v/>
      </c>
    </row>
    <row r="129" spans="2:35" x14ac:dyDescent="0.2">
      <c r="B129" t="str">
        <f>IF(A129="","",IF(A129="[FÓRMULA MANUAL]","",IFERROR(AVERAGEIFS(nNOTA,nNIA,A129,nCUENTA,1,nASIG,"Lenguaje Musical"),"")))</f>
        <v/>
      </c>
      <c r="C129" t="str">
        <f>IF(A129="","",IF(A129="[FÓRMULA MANUAL]","",IFERROR(AVERAGEIFS(nNOTA,nNIA,A129,nCUENTA,1,nASIG,"Orquesta/Banda/Conjunto"),"")))</f>
        <v/>
      </c>
      <c r="D129" t="str">
        <f>IF(A129="","",IF(A129="[FÓRMULA MANUAL]","",IFERROR(AVERAGEIFS(nNOTA,nNIA,A129,nCUENTA,1,nASIG,"Conjunto"),"")))</f>
        <v/>
      </c>
      <c r="E129" t="str">
        <f>IF(A129="","",IF(A129="[FÓRMULA MANUAL]","",IFERROR(SUMPRODUCT((nNIA=A129)*(nCUENTA=1)*(COUNTIF(CONFIG_ASIGNATURAS!$B$7:$B$27,nASIG)&gt;0)*(nNOTA))/SUMPRODUCT((nNIA=A129)*(nCUENTA=1)*(COUNTIF(CONFIG_ASIGNATURAS!$B$7:$B$27,nASIG)&gt;0)*1),"")))</f>
        <v/>
      </c>
      <c r="H129" t="str">
        <f>IF(G129="","",IF(G129="[FÓRMULA MANUAL]","",IFERROR(AVERAGEIFS(nNOTA,nNIA,G129,nCUENTA,1,nASIG,"Lenguaje Musical"),"")))</f>
        <v/>
      </c>
      <c r="I129" t="str">
        <f>IF(G129="","",IF(G129="[FÓRMULA MANUAL]","",IFERROR(AVERAGEIFS(nNOTA,nNIA,G129,nCUENTA,1,nASIG,"Orquesta/Banda/Conjunto"),"")))</f>
        <v/>
      </c>
      <c r="J129" t="str">
        <f>IF(G129="","",IF(G129="[FÓRMULA MANUAL]","",IFERROR(AVERAGEIFS(nNOTA,nNIA,G129,nCUENTA,1,nASIG,"Conjunto"),"")))</f>
        <v/>
      </c>
      <c r="K129" t="str">
        <f>IF(G129="","",IF(G129="[FÓRMULA MANUAL]","",IFERROR(SUMPRODUCT((nNIA=G129)*(nCUENTA=1)*(COUNTIF(CONFIG_ASIGNATURAS!$B$7:$B$27,nASIG)&gt;0)*(nNOTA))/SUMPRODUCT((nNIA=G129)*(nCUENTA=1)*(COUNTIF(CONFIG_ASIGNATURAS!$B$7:$B$27,nASIG)&gt;0)*1),"")))</f>
        <v/>
      </c>
      <c r="N129" t="str">
        <f>IF(M129="","",IF(M129="[FÓRMULA MANUAL]","",IFERROR(AVERAGEIFS(nNOTA,nNIA,M129,nCUENTA,1,nASIG,"Armonía"),"")))</f>
        <v/>
      </c>
      <c r="O129" t="str">
        <f>IF(M129="","",IF(M129="[FÓRMULA MANUAL]","",IFERROR(AVERAGEIFS(nNOTA,nNIA,M129,nCUENTA,1,nASIG,"Orquesta/Banda/Conjunto"),"")))</f>
        <v/>
      </c>
      <c r="P129" t="str">
        <f>IF(M129="","",IF(M129="[FÓRMULA MANUAL]","",IFERROR(AVERAGEIFS(nNOTA,nNIA,M129,nCUENTA,1,nASIG,"Música de Cámara"),"")))</f>
        <v/>
      </c>
      <c r="Q129" t="str">
        <f>IF(M129="","",IF(M129="[FÓRMULA MANUAL]","",IFERROR(SUMPRODUCT((nNIA=M129)*(nCUENTA=1)*(COUNTIF(CONFIG_ASIGNATURAS!$B$7:$B$27,nASIG)&gt;0)*(nNOTA))/SUMPRODUCT((nNIA=M129)*(nCUENTA=1)*(COUNTIF(CONFIG_ASIGNATURAS!$B$7:$B$27,nASIG)&gt;0)*1),"")))</f>
        <v/>
      </c>
      <c r="T129" t="str">
        <f>IF(S129="","",IF(S129="[FÓRMULA MANUAL]","",IFERROR(AVERAGEIFS(nNOTA,nNIA,S129,nCUENTA,1,nASIG,"Armonía"),"")))</f>
        <v/>
      </c>
      <c r="U129" t="str">
        <f>IF(S129="","",IF(S129="[FÓRMULA MANUAL]","",IFERROR(AVERAGEIFS(nNOTA,nNIA,S129,nCUENTA,1,nASIG,"Orquesta/Banda/Conjunto"),"")))</f>
        <v/>
      </c>
      <c r="V129" t="str">
        <f>IF(S129="","",IF(S129="[FÓRMULA MANUAL]","",IFERROR(AVERAGEIFS(nNOTA,nNIA,S129,nCUENTA,1,nASIG,"Música de Cámara"),"")))</f>
        <v/>
      </c>
      <c r="W129" t="str">
        <f>IF(S129="","",IF(S129="[FÓRMULA MANUAL]","",IFERROR(SUMPRODUCT((nNIA=S129)*(nCUENTA=1)*(COUNTIF(CONFIG_ASIGNATURAS!$B$7:$B$27,nASIG)&gt;0)*(nNOTA))/SUMPRODUCT((nNIA=S129)*(nCUENTA=1)*(COUNTIF(CONFIG_ASIGNATURAS!$B$7:$B$27,nASIG)&gt;0)*1),"")))</f>
        <v/>
      </c>
      <c r="Z129" t="str">
        <f>IF(Y129="","",IF(Y129="[FÓRMULA MANUAL]","",IFERROR(AVERAGEIFS(nNOTA,nNIA,Y129,nCUENTA,1,nASIG,"Análisis"),"")))</f>
        <v/>
      </c>
      <c r="AA129" t="str">
        <f>IF(Y129="","",IF(Y129="[FÓRMULA MANUAL]","",IFERROR(AVERAGEIFS(nNOTA,nNIA,Y129,nCUENTA,1,nASIG,"Orquesta/Banda/Conjunto"),"")))</f>
        <v/>
      </c>
      <c r="AB129" t="str">
        <f>IF(Y129="","",IF(Y129="[FÓRMULA MANUAL]","",IFERROR(AVERAGEIFS(nNOTA,nNIA,Y129,nCUENTA,1,nASIG,"Música de Cámara"),"")))</f>
        <v/>
      </c>
      <c r="AC129" t="str">
        <f>IF(Y129="","",IF(Y129="[FÓRMULA MANUAL]","",IFERROR(SUMPRODUCT((nNIA=Y129)*(nCUENTA=1)*(COUNTIF(CONFIG_ASIGNATURAS!$B$7:$B$27,nASIG)&gt;0)*(nNOTA))/SUMPRODUCT((nNIA=Y129)*(nCUENTA=1)*(COUNTIF(CONFIG_ASIGNATURAS!$B$7:$B$27,nASIG)&gt;0)*1),"")))</f>
        <v/>
      </c>
      <c r="AF129" t="str">
        <f>IF(AE129="","",IF(AE129="[FÓRMULA MANUAL]","",IFERROR(AVERAGEIFS(nNOTA,nNIA,AE129,nCUENTA,1,nASIG,"Análisis"),"")))</f>
        <v/>
      </c>
      <c r="AG129" t="str">
        <f>IF(AE129="","",IF(AE129="[FÓRMULA MANUAL]","",IFERROR(AVERAGEIFS(nNOTA,nNIA,AE129,nCUENTA,1,nASIG,"Orquesta/Banda/Conjunto"),"")))</f>
        <v/>
      </c>
      <c r="AH129" t="str">
        <f>IF(AE129="","",IF(AE129="[FÓRMULA MANUAL]","",IFERROR(AVERAGEIFS(nNOTA,nNIA,AE129,nCUENTA,1,nASIG,"Música de Cámara"),"")))</f>
        <v/>
      </c>
      <c r="AI129" t="str">
        <f>IF(AE129="","",IF(AE129="[FÓRMULA MANUAL]","",IFERROR(SUMPRODUCT((nNIA=AE129)*(nCUENTA=1)*(COUNTIF(CONFIG_ASIGNATURAS!$B$7:$B$27,nASIG)&gt;0)*(nNOTA))/SUMPRODUCT((nNIA=AE129)*(nCUENTA=1)*(COUNTIF(CONFIG_ASIGNATURAS!$B$7:$B$27,nASIG)&gt;0)*1),"")))</f>
        <v/>
      </c>
    </row>
    <row r="130" spans="2:35" x14ac:dyDescent="0.2">
      <c r="B130" t="str">
        <f>IF(A130="","",IF(A130="[FÓRMULA MANUAL]","",IFERROR(AVERAGEIFS(nNOTA,nNIA,A130,nCUENTA,1,nASIG,"Lenguaje Musical"),"")))</f>
        <v/>
      </c>
      <c r="C130" t="str">
        <f>IF(A130="","",IF(A130="[FÓRMULA MANUAL]","",IFERROR(AVERAGEIFS(nNOTA,nNIA,A130,nCUENTA,1,nASIG,"Orquesta/Banda/Conjunto"),"")))</f>
        <v/>
      </c>
      <c r="D130" t="str">
        <f>IF(A130="","",IF(A130="[FÓRMULA MANUAL]","",IFERROR(AVERAGEIFS(nNOTA,nNIA,A130,nCUENTA,1,nASIG,"Conjunto"),"")))</f>
        <v/>
      </c>
      <c r="E130" t="str">
        <f>IF(A130="","",IF(A130="[FÓRMULA MANUAL]","",IFERROR(SUMPRODUCT((nNIA=A130)*(nCUENTA=1)*(COUNTIF(CONFIG_ASIGNATURAS!$B$7:$B$27,nASIG)&gt;0)*(nNOTA))/SUMPRODUCT((nNIA=A130)*(nCUENTA=1)*(COUNTIF(CONFIG_ASIGNATURAS!$B$7:$B$27,nASIG)&gt;0)*1),"")))</f>
        <v/>
      </c>
      <c r="H130" t="str">
        <f>IF(G130="","",IF(G130="[FÓRMULA MANUAL]","",IFERROR(AVERAGEIFS(nNOTA,nNIA,G130,nCUENTA,1,nASIG,"Lenguaje Musical"),"")))</f>
        <v/>
      </c>
      <c r="I130" t="str">
        <f>IF(G130="","",IF(G130="[FÓRMULA MANUAL]","",IFERROR(AVERAGEIFS(nNOTA,nNIA,G130,nCUENTA,1,nASIG,"Orquesta/Banda/Conjunto"),"")))</f>
        <v/>
      </c>
      <c r="J130" t="str">
        <f>IF(G130="","",IF(G130="[FÓRMULA MANUAL]","",IFERROR(AVERAGEIFS(nNOTA,nNIA,G130,nCUENTA,1,nASIG,"Conjunto"),"")))</f>
        <v/>
      </c>
      <c r="K130" t="str">
        <f>IF(G130="","",IF(G130="[FÓRMULA MANUAL]","",IFERROR(SUMPRODUCT((nNIA=G130)*(nCUENTA=1)*(COUNTIF(CONFIG_ASIGNATURAS!$B$7:$B$27,nASIG)&gt;0)*(nNOTA))/SUMPRODUCT((nNIA=G130)*(nCUENTA=1)*(COUNTIF(CONFIG_ASIGNATURAS!$B$7:$B$27,nASIG)&gt;0)*1),"")))</f>
        <v/>
      </c>
      <c r="N130" t="str">
        <f>IF(M130="","",IF(M130="[FÓRMULA MANUAL]","",IFERROR(AVERAGEIFS(nNOTA,nNIA,M130,nCUENTA,1,nASIG,"Armonía"),"")))</f>
        <v/>
      </c>
      <c r="O130" t="str">
        <f>IF(M130="","",IF(M130="[FÓRMULA MANUAL]","",IFERROR(AVERAGEIFS(nNOTA,nNIA,M130,nCUENTA,1,nASIG,"Orquesta/Banda/Conjunto"),"")))</f>
        <v/>
      </c>
      <c r="P130" t="str">
        <f>IF(M130="","",IF(M130="[FÓRMULA MANUAL]","",IFERROR(AVERAGEIFS(nNOTA,nNIA,M130,nCUENTA,1,nASIG,"Música de Cámara"),"")))</f>
        <v/>
      </c>
      <c r="Q130" t="str">
        <f>IF(M130="","",IF(M130="[FÓRMULA MANUAL]","",IFERROR(SUMPRODUCT((nNIA=M130)*(nCUENTA=1)*(COUNTIF(CONFIG_ASIGNATURAS!$B$7:$B$27,nASIG)&gt;0)*(nNOTA))/SUMPRODUCT((nNIA=M130)*(nCUENTA=1)*(COUNTIF(CONFIG_ASIGNATURAS!$B$7:$B$27,nASIG)&gt;0)*1),"")))</f>
        <v/>
      </c>
      <c r="T130" t="str">
        <f>IF(S130="","",IF(S130="[FÓRMULA MANUAL]","",IFERROR(AVERAGEIFS(nNOTA,nNIA,S130,nCUENTA,1,nASIG,"Armonía"),"")))</f>
        <v/>
      </c>
      <c r="U130" t="str">
        <f>IF(S130="","",IF(S130="[FÓRMULA MANUAL]","",IFERROR(AVERAGEIFS(nNOTA,nNIA,S130,nCUENTA,1,nASIG,"Orquesta/Banda/Conjunto"),"")))</f>
        <v/>
      </c>
      <c r="V130" t="str">
        <f>IF(S130="","",IF(S130="[FÓRMULA MANUAL]","",IFERROR(AVERAGEIFS(nNOTA,nNIA,S130,nCUENTA,1,nASIG,"Música de Cámara"),"")))</f>
        <v/>
      </c>
      <c r="W130" t="str">
        <f>IF(S130="","",IF(S130="[FÓRMULA MANUAL]","",IFERROR(SUMPRODUCT((nNIA=S130)*(nCUENTA=1)*(COUNTIF(CONFIG_ASIGNATURAS!$B$7:$B$27,nASIG)&gt;0)*(nNOTA))/SUMPRODUCT((nNIA=S130)*(nCUENTA=1)*(COUNTIF(CONFIG_ASIGNATURAS!$B$7:$B$27,nASIG)&gt;0)*1),"")))</f>
        <v/>
      </c>
      <c r="Z130" t="str">
        <f>IF(Y130="","",IF(Y130="[FÓRMULA MANUAL]","",IFERROR(AVERAGEIFS(nNOTA,nNIA,Y130,nCUENTA,1,nASIG,"Análisis"),"")))</f>
        <v/>
      </c>
      <c r="AA130" t="str">
        <f>IF(Y130="","",IF(Y130="[FÓRMULA MANUAL]","",IFERROR(AVERAGEIFS(nNOTA,nNIA,Y130,nCUENTA,1,nASIG,"Orquesta/Banda/Conjunto"),"")))</f>
        <v/>
      </c>
      <c r="AB130" t="str">
        <f>IF(Y130="","",IF(Y130="[FÓRMULA MANUAL]","",IFERROR(AVERAGEIFS(nNOTA,nNIA,Y130,nCUENTA,1,nASIG,"Música de Cámara"),"")))</f>
        <v/>
      </c>
      <c r="AC130" t="str">
        <f>IF(Y130="","",IF(Y130="[FÓRMULA MANUAL]","",IFERROR(SUMPRODUCT((nNIA=Y130)*(nCUENTA=1)*(COUNTIF(CONFIG_ASIGNATURAS!$B$7:$B$27,nASIG)&gt;0)*(nNOTA))/SUMPRODUCT((nNIA=Y130)*(nCUENTA=1)*(COUNTIF(CONFIG_ASIGNATURAS!$B$7:$B$27,nASIG)&gt;0)*1),"")))</f>
        <v/>
      </c>
      <c r="AF130" t="str">
        <f>IF(AE130="","",IF(AE130="[FÓRMULA MANUAL]","",IFERROR(AVERAGEIFS(nNOTA,nNIA,AE130,nCUENTA,1,nASIG,"Análisis"),"")))</f>
        <v/>
      </c>
      <c r="AG130" t="str">
        <f>IF(AE130="","",IF(AE130="[FÓRMULA MANUAL]","",IFERROR(AVERAGEIFS(nNOTA,nNIA,AE130,nCUENTA,1,nASIG,"Orquesta/Banda/Conjunto"),"")))</f>
        <v/>
      </c>
      <c r="AH130" t="str">
        <f>IF(AE130="","",IF(AE130="[FÓRMULA MANUAL]","",IFERROR(AVERAGEIFS(nNOTA,nNIA,AE130,nCUENTA,1,nASIG,"Música de Cámara"),"")))</f>
        <v/>
      </c>
      <c r="AI130" t="str">
        <f>IF(AE130="","",IF(AE130="[FÓRMULA MANUAL]","",IFERROR(SUMPRODUCT((nNIA=AE130)*(nCUENTA=1)*(COUNTIF(CONFIG_ASIGNATURAS!$B$7:$B$27,nASIG)&gt;0)*(nNOTA))/SUMPRODUCT((nNIA=AE130)*(nCUENTA=1)*(COUNTIF(CONFIG_ASIGNATURAS!$B$7:$B$27,nASIG)&gt;0)*1),"")))</f>
        <v/>
      </c>
    </row>
    <row r="131" spans="2:35" x14ac:dyDescent="0.2">
      <c r="B131" t="str">
        <f>IF(A131="","",IF(A131="[FÓRMULA MANUAL]","",IFERROR(AVERAGEIFS(nNOTA,nNIA,A131,nCUENTA,1,nASIG,"Lenguaje Musical"),"")))</f>
        <v/>
      </c>
      <c r="C131" t="str">
        <f>IF(A131="","",IF(A131="[FÓRMULA MANUAL]","",IFERROR(AVERAGEIFS(nNOTA,nNIA,A131,nCUENTA,1,nASIG,"Orquesta/Banda/Conjunto"),"")))</f>
        <v/>
      </c>
      <c r="D131" t="str">
        <f>IF(A131="","",IF(A131="[FÓRMULA MANUAL]","",IFERROR(AVERAGEIFS(nNOTA,nNIA,A131,nCUENTA,1,nASIG,"Conjunto"),"")))</f>
        <v/>
      </c>
      <c r="E131" t="str">
        <f>IF(A131="","",IF(A131="[FÓRMULA MANUAL]","",IFERROR(SUMPRODUCT((nNIA=A131)*(nCUENTA=1)*(COUNTIF(CONFIG_ASIGNATURAS!$B$7:$B$27,nASIG)&gt;0)*(nNOTA))/SUMPRODUCT((nNIA=A131)*(nCUENTA=1)*(COUNTIF(CONFIG_ASIGNATURAS!$B$7:$B$27,nASIG)&gt;0)*1),"")))</f>
        <v/>
      </c>
      <c r="H131" t="str">
        <f>IF(G131="","",IF(G131="[FÓRMULA MANUAL]","",IFERROR(AVERAGEIFS(nNOTA,nNIA,G131,nCUENTA,1,nASIG,"Lenguaje Musical"),"")))</f>
        <v/>
      </c>
      <c r="I131" t="str">
        <f>IF(G131="","",IF(G131="[FÓRMULA MANUAL]","",IFERROR(AVERAGEIFS(nNOTA,nNIA,G131,nCUENTA,1,nASIG,"Orquesta/Banda/Conjunto"),"")))</f>
        <v/>
      </c>
      <c r="J131" t="str">
        <f>IF(G131="","",IF(G131="[FÓRMULA MANUAL]","",IFERROR(AVERAGEIFS(nNOTA,nNIA,G131,nCUENTA,1,nASIG,"Conjunto"),"")))</f>
        <v/>
      </c>
      <c r="K131" t="str">
        <f>IF(G131="","",IF(G131="[FÓRMULA MANUAL]","",IFERROR(SUMPRODUCT((nNIA=G131)*(nCUENTA=1)*(COUNTIF(CONFIG_ASIGNATURAS!$B$7:$B$27,nASIG)&gt;0)*(nNOTA))/SUMPRODUCT((nNIA=G131)*(nCUENTA=1)*(COUNTIF(CONFIG_ASIGNATURAS!$B$7:$B$27,nASIG)&gt;0)*1),"")))</f>
        <v/>
      </c>
      <c r="N131" t="str">
        <f>IF(M131="","",IF(M131="[FÓRMULA MANUAL]","",IFERROR(AVERAGEIFS(nNOTA,nNIA,M131,nCUENTA,1,nASIG,"Armonía"),"")))</f>
        <v/>
      </c>
      <c r="O131" t="str">
        <f>IF(M131="","",IF(M131="[FÓRMULA MANUAL]","",IFERROR(AVERAGEIFS(nNOTA,nNIA,M131,nCUENTA,1,nASIG,"Orquesta/Banda/Conjunto"),"")))</f>
        <v/>
      </c>
      <c r="P131" t="str">
        <f>IF(M131="","",IF(M131="[FÓRMULA MANUAL]","",IFERROR(AVERAGEIFS(nNOTA,nNIA,M131,nCUENTA,1,nASIG,"Música de Cámara"),"")))</f>
        <v/>
      </c>
      <c r="Q131" t="str">
        <f>IF(M131="","",IF(M131="[FÓRMULA MANUAL]","",IFERROR(SUMPRODUCT((nNIA=M131)*(nCUENTA=1)*(COUNTIF(CONFIG_ASIGNATURAS!$B$7:$B$27,nASIG)&gt;0)*(nNOTA))/SUMPRODUCT((nNIA=M131)*(nCUENTA=1)*(COUNTIF(CONFIG_ASIGNATURAS!$B$7:$B$27,nASIG)&gt;0)*1),"")))</f>
        <v/>
      </c>
      <c r="T131" t="str">
        <f>IF(S131="","",IF(S131="[FÓRMULA MANUAL]","",IFERROR(AVERAGEIFS(nNOTA,nNIA,S131,nCUENTA,1,nASIG,"Armonía"),"")))</f>
        <v/>
      </c>
      <c r="U131" t="str">
        <f>IF(S131="","",IF(S131="[FÓRMULA MANUAL]","",IFERROR(AVERAGEIFS(nNOTA,nNIA,S131,nCUENTA,1,nASIG,"Orquesta/Banda/Conjunto"),"")))</f>
        <v/>
      </c>
      <c r="V131" t="str">
        <f>IF(S131="","",IF(S131="[FÓRMULA MANUAL]","",IFERROR(AVERAGEIFS(nNOTA,nNIA,S131,nCUENTA,1,nASIG,"Música de Cámara"),"")))</f>
        <v/>
      </c>
      <c r="W131" t="str">
        <f>IF(S131="","",IF(S131="[FÓRMULA MANUAL]","",IFERROR(SUMPRODUCT((nNIA=S131)*(nCUENTA=1)*(COUNTIF(CONFIG_ASIGNATURAS!$B$7:$B$27,nASIG)&gt;0)*(nNOTA))/SUMPRODUCT((nNIA=S131)*(nCUENTA=1)*(COUNTIF(CONFIG_ASIGNATURAS!$B$7:$B$27,nASIG)&gt;0)*1),"")))</f>
        <v/>
      </c>
      <c r="Z131" t="str">
        <f>IF(Y131="","",IF(Y131="[FÓRMULA MANUAL]","",IFERROR(AVERAGEIFS(nNOTA,nNIA,Y131,nCUENTA,1,nASIG,"Análisis"),"")))</f>
        <v/>
      </c>
      <c r="AA131" t="str">
        <f>IF(Y131="","",IF(Y131="[FÓRMULA MANUAL]","",IFERROR(AVERAGEIFS(nNOTA,nNIA,Y131,nCUENTA,1,nASIG,"Orquesta/Banda/Conjunto"),"")))</f>
        <v/>
      </c>
      <c r="AB131" t="str">
        <f>IF(Y131="","",IF(Y131="[FÓRMULA MANUAL]","",IFERROR(AVERAGEIFS(nNOTA,nNIA,Y131,nCUENTA,1,nASIG,"Música de Cámara"),"")))</f>
        <v/>
      </c>
      <c r="AC131" t="str">
        <f>IF(Y131="","",IF(Y131="[FÓRMULA MANUAL]","",IFERROR(SUMPRODUCT((nNIA=Y131)*(nCUENTA=1)*(COUNTIF(CONFIG_ASIGNATURAS!$B$7:$B$27,nASIG)&gt;0)*(nNOTA))/SUMPRODUCT((nNIA=Y131)*(nCUENTA=1)*(COUNTIF(CONFIG_ASIGNATURAS!$B$7:$B$27,nASIG)&gt;0)*1),"")))</f>
        <v/>
      </c>
      <c r="AF131" t="str">
        <f>IF(AE131="","",IF(AE131="[FÓRMULA MANUAL]","",IFERROR(AVERAGEIFS(nNOTA,nNIA,AE131,nCUENTA,1,nASIG,"Análisis"),"")))</f>
        <v/>
      </c>
      <c r="AG131" t="str">
        <f>IF(AE131="","",IF(AE131="[FÓRMULA MANUAL]","",IFERROR(AVERAGEIFS(nNOTA,nNIA,AE131,nCUENTA,1,nASIG,"Orquesta/Banda/Conjunto"),"")))</f>
        <v/>
      </c>
      <c r="AH131" t="str">
        <f>IF(AE131="","",IF(AE131="[FÓRMULA MANUAL]","",IFERROR(AVERAGEIFS(nNOTA,nNIA,AE131,nCUENTA,1,nASIG,"Música de Cámara"),"")))</f>
        <v/>
      </c>
      <c r="AI131" t="str">
        <f>IF(AE131="","",IF(AE131="[FÓRMULA MANUAL]","",IFERROR(SUMPRODUCT((nNIA=AE131)*(nCUENTA=1)*(COUNTIF(CONFIG_ASIGNATURAS!$B$7:$B$27,nASIG)&gt;0)*(nNOTA))/SUMPRODUCT((nNIA=AE131)*(nCUENTA=1)*(COUNTIF(CONFIG_ASIGNATURAS!$B$7:$B$27,nASIG)&gt;0)*1),"")))</f>
        <v/>
      </c>
    </row>
    <row r="132" spans="2:35" x14ac:dyDescent="0.2">
      <c r="B132" t="str">
        <f>IF(A132="","",IF(A132="[FÓRMULA MANUAL]","",IFERROR(AVERAGEIFS(nNOTA,nNIA,A132,nCUENTA,1,nASIG,"Lenguaje Musical"),"")))</f>
        <v/>
      </c>
      <c r="C132" t="str">
        <f>IF(A132="","",IF(A132="[FÓRMULA MANUAL]","",IFERROR(AVERAGEIFS(nNOTA,nNIA,A132,nCUENTA,1,nASIG,"Orquesta/Banda/Conjunto"),"")))</f>
        <v/>
      </c>
      <c r="D132" t="str">
        <f>IF(A132="","",IF(A132="[FÓRMULA MANUAL]","",IFERROR(AVERAGEIFS(nNOTA,nNIA,A132,nCUENTA,1,nASIG,"Conjunto"),"")))</f>
        <v/>
      </c>
      <c r="E132" t="str">
        <f>IF(A132="","",IF(A132="[FÓRMULA MANUAL]","",IFERROR(SUMPRODUCT((nNIA=A132)*(nCUENTA=1)*(COUNTIF(CONFIG_ASIGNATURAS!$B$7:$B$27,nASIG)&gt;0)*(nNOTA))/SUMPRODUCT((nNIA=A132)*(nCUENTA=1)*(COUNTIF(CONFIG_ASIGNATURAS!$B$7:$B$27,nASIG)&gt;0)*1),"")))</f>
        <v/>
      </c>
      <c r="H132" t="str">
        <f>IF(G132="","",IF(G132="[FÓRMULA MANUAL]","",IFERROR(AVERAGEIFS(nNOTA,nNIA,G132,nCUENTA,1,nASIG,"Lenguaje Musical"),"")))</f>
        <v/>
      </c>
      <c r="I132" t="str">
        <f>IF(G132="","",IF(G132="[FÓRMULA MANUAL]","",IFERROR(AVERAGEIFS(nNOTA,nNIA,G132,nCUENTA,1,nASIG,"Orquesta/Banda/Conjunto"),"")))</f>
        <v/>
      </c>
      <c r="J132" t="str">
        <f>IF(G132="","",IF(G132="[FÓRMULA MANUAL]","",IFERROR(AVERAGEIFS(nNOTA,nNIA,G132,nCUENTA,1,nASIG,"Conjunto"),"")))</f>
        <v/>
      </c>
      <c r="K132" t="str">
        <f>IF(G132="","",IF(G132="[FÓRMULA MANUAL]","",IFERROR(SUMPRODUCT((nNIA=G132)*(nCUENTA=1)*(COUNTIF(CONFIG_ASIGNATURAS!$B$7:$B$27,nASIG)&gt;0)*(nNOTA))/SUMPRODUCT((nNIA=G132)*(nCUENTA=1)*(COUNTIF(CONFIG_ASIGNATURAS!$B$7:$B$27,nASIG)&gt;0)*1),"")))</f>
        <v/>
      </c>
      <c r="N132" t="str">
        <f>IF(M132="","",IF(M132="[FÓRMULA MANUAL]","",IFERROR(AVERAGEIFS(nNOTA,nNIA,M132,nCUENTA,1,nASIG,"Armonía"),"")))</f>
        <v/>
      </c>
      <c r="O132" t="str">
        <f>IF(M132="","",IF(M132="[FÓRMULA MANUAL]","",IFERROR(AVERAGEIFS(nNOTA,nNIA,M132,nCUENTA,1,nASIG,"Orquesta/Banda/Conjunto"),"")))</f>
        <v/>
      </c>
      <c r="P132" t="str">
        <f>IF(M132="","",IF(M132="[FÓRMULA MANUAL]","",IFERROR(AVERAGEIFS(nNOTA,nNIA,M132,nCUENTA,1,nASIG,"Música de Cámara"),"")))</f>
        <v/>
      </c>
      <c r="Q132" t="str">
        <f>IF(M132="","",IF(M132="[FÓRMULA MANUAL]","",IFERROR(SUMPRODUCT((nNIA=M132)*(nCUENTA=1)*(COUNTIF(CONFIG_ASIGNATURAS!$B$7:$B$27,nASIG)&gt;0)*(nNOTA))/SUMPRODUCT((nNIA=M132)*(nCUENTA=1)*(COUNTIF(CONFIG_ASIGNATURAS!$B$7:$B$27,nASIG)&gt;0)*1),"")))</f>
        <v/>
      </c>
      <c r="T132" t="str">
        <f>IF(S132="","",IF(S132="[FÓRMULA MANUAL]","",IFERROR(AVERAGEIFS(nNOTA,nNIA,S132,nCUENTA,1,nASIG,"Armonía"),"")))</f>
        <v/>
      </c>
      <c r="U132" t="str">
        <f>IF(S132="","",IF(S132="[FÓRMULA MANUAL]","",IFERROR(AVERAGEIFS(nNOTA,nNIA,S132,nCUENTA,1,nASIG,"Orquesta/Banda/Conjunto"),"")))</f>
        <v/>
      </c>
      <c r="V132" t="str">
        <f>IF(S132="","",IF(S132="[FÓRMULA MANUAL]","",IFERROR(AVERAGEIFS(nNOTA,nNIA,S132,nCUENTA,1,nASIG,"Música de Cámara"),"")))</f>
        <v/>
      </c>
      <c r="W132" t="str">
        <f>IF(S132="","",IF(S132="[FÓRMULA MANUAL]","",IFERROR(SUMPRODUCT((nNIA=S132)*(nCUENTA=1)*(COUNTIF(CONFIG_ASIGNATURAS!$B$7:$B$27,nASIG)&gt;0)*(nNOTA))/SUMPRODUCT((nNIA=S132)*(nCUENTA=1)*(COUNTIF(CONFIG_ASIGNATURAS!$B$7:$B$27,nASIG)&gt;0)*1),"")))</f>
        <v/>
      </c>
      <c r="Z132" t="str">
        <f>IF(Y132="","",IF(Y132="[FÓRMULA MANUAL]","",IFERROR(AVERAGEIFS(nNOTA,nNIA,Y132,nCUENTA,1,nASIG,"Análisis"),"")))</f>
        <v/>
      </c>
      <c r="AA132" t="str">
        <f>IF(Y132="","",IF(Y132="[FÓRMULA MANUAL]","",IFERROR(AVERAGEIFS(nNOTA,nNIA,Y132,nCUENTA,1,nASIG,"Orquesta/Banda/Conjunto"),"")))</f>
        <v/>
      </c>
      <c r="AB132" t="str">
        <f>IF(Y132="","",IF(Y132="[FÓRMULA MANUAL]","",IFERROR(AVERAGEIFS(nNOTA,nNIA,Y132,nCUENTA,1,nASIG,"Música de Cámara"),"")))</f>
        <v/>
      </c>
      <c r="AC132" t="str">
        <f>IF(Y132="","",IF(Y132="[FÓRMULA MANUAL]","",IFERROR(SUMPRODUCT((nNIA=Y132)*(nCUENTA=1)*(COUNTIF(CONFIG_ASIGNATURAS!$B$7:$B$27,nASIG)&gt;0)*(nNOTA))/SUMPRODUCT((nNIA=Y132)*(nCUENTA=1)*(COUNTIF(CONFIG_ASIGNATURAS!$B$7:$B$27,nASIG)&gt;0)*1),"")))</f>
        <v/>
      </c>
      <c r="AF132" t="str">
        <f>IF(AE132="","",IF(AE132="[FÓRMULA MANUAL]","",IFERROR(AVERAGEIFS(nNOTA,nNIA,AE132,nCUENTA,1,nASIG,"Análisis"),"")))</f>
        <v/>
      </c>
      <c r="AG132" t="str">
        <f>IF(AE132="","",IF(AE132="[FÓRMULA MANUAL]","",IFERROR(AVERAGEIFS(nNOTA,nNIA,AE132,nCUENTA,1,nASIG,"Orquesta/Banda/Conjunto"),"")))</f>
        <v/>
      </c>
      <c r="AH132" t="str">
        <f>IF(AE132="","",IF(AE132="[FÓRMULA MANUAL]","",IFERROR(AVERAGEIFS(nNOTA,nNIA,AE132,nCUENTA,1,nASIG,"Música de Cámara"),"")))</f>
        <v/>
      </c>
      <c r="AI132" t="str">
        <f>IF(AE132="","",IF(AE132="[FÓRMULA MANUAL]","",IFERROR(SUMPRODUCT((nNIA=AE132)*(nCUENTA=1)*(COUNTIF(CONFIG_ASIGNATURAS!$B$7:$B$27,nASIG)&gt;0)*(nNOTA))/SUMPRODUCT((nNIA=AE132)*(nCUENTA=1)*(COUNTIF(CONFIG_ASIGNATURAS!$B$7:$B$27,nASIG)&gt;0)*1),"")))</f>
        <v/>
      </c>
    </row>
    <row r="133" spans="2:35" x14ac:dyDescent="0.2">
      <c r="B133" t="str">
        <f>IF(A133="","",IF(A133="[FÓRMULA MANUAL]","",IFERROR(AVERAGEIFS(nNOTA,nNIA,A133,nCUENTA,1,nASIG,"Lenguaje Musical"),"")))</f>
        <v/>
      </c>
      <c r="C133" t="str">
        <f>IF(A133="","",IF(A133="[FÓRMULA MANUAL]","",IFERROR(AVERAGEIFS(nNOTA,nNIA,A133,nCUENTA,1,nASIG,"Orquesta/Banda/Conjunto"),"")))</f>
        <v/>
      </c>
      <c r="D133" t="str">
        <f>IF(A133="","",IF(A133="[FÓRMULA MANUAL]","",IFERROR(AVERAGEIFS(nNOTA,nNIA,A133,nCUENTA,1,nASIG,"Conjunto"),"")))</f>
        <v/>
      </c>
      <c r="E133" t="str">
        <f>IF(A133="","",IF(A133="[FÓRMULA MANUAL]","",IFERROR(SUMPRODUCT((nNIA=A133)*(nCUENTA=1)*(COUNTIF(CONFIG_ASIGNATURAS!$B$7:$B$27,nASIG)&gt;0)*(nNOTA))/SUMPRODUCT((nNIA=A133)*(nCUENTA=1)*(COUNTIF(CONFIG_ASIGNATURAS!$B$7:$B$27,nASIG)&gt;0)*1),"")))</f>
        <v/>
      </c>
      <c r="H133" t="str">
        <f>IF(G133="","",IF(G133="[FÓRMULA MANUAL]","",IFERROR(AVERAGEIFS(nNOTA,nNIA,G133,nCUENTA,1,nASIG,"Lenguaje Musical"),"")))</f>
        <v/>
      </c>
      <c r="I133" t="str">
        <f>IF(G133="","",IF(G133="[FÓRMULA MANUAL]","",IFERROR(AVERAGEIFS(nNOTA,nNIA,G133,nCUENTA,1,nASIG,"Orquesta/Banda/Conjunto"),"")))</f>
        <v/>
      </c>
      <c r="J133" t="str">
        <f>IF(G133="","",IF(G133="[FÓRMULA MANUAL]","",IFERROR(AVERAGEIFS(nNOTA,nNIA,G133,nCUENTA,1,nASIG,"Conjunto"),"")))</f>
        <v/>
      </c>
      <c r="K133" t="str">
        <f>IF(G133="","",IF(G133="[FÓRMULA MANUAL]","",IFERROR(SUMPRODUCT((nNIA=G133)*(nCUENTA=1)*(COUNTIF(CONFIG_ASIGNATURAS!$B$7:$B$27,nASIG)&gt;0)*(nNOTA))/SUMPRODUCT((nNIA=G133)*(nCUENTA=1)*(COUNTIF(CONFIG_ASIGNATURAS!$B$7:$B$27,nASIG)&gt;0)*1),"")))</f>
        <v/>
      </c>
      <c r="N133" t="str">
        <f>IF(M133="","",IF(M133="[FÓRMULA MANUAL]","",IFERROR(AVERAGEIFS(nNOTA,nNIA,M133,nCUENTA,1,nASIG,"Armonía"),"")))</f>
        <v/>
      </c>
      <c r="O133" t="str">
        <f>IF(M133="","",IF(M133="[FÓRMULA MANUAL]","",IFERROR(AVERAGEIFS(nNOTA,nNIA,M133,nCUENTA,1,nASIG,"Orquesta/Banda/Conjunto"),"")))</f>
        <v/>
      </c>
      <c r="P133" t="str">
        <f>IF(M133="","",IF(M133="[FÓRMULA MANUAL]","",IFERROR(AVERAGEIFS(nNOTA,nNIA,M133,nCUENTA,1,nASIG,"Música de Cámara"),"")))</f>
        <v/>
      </c>
      <c r="Q133" t="str">
        <f>IF(M133="","",IF(M133="[FÓRMULA MANUAL]","",IFERROR(SUMPRODUCT((nNIA=M133)*(nCUENTA=1)*(COUNTIF(CONFIG_ASIGNATURAS!$B$7:$B$27,nASIG)&gt;0)*(nNOTA))/SUMPRODUCT((nNIA=M133)*(nCUENTA=1)*(COUNTIF(CONFIG_ASIGNATURAS!$B$7:$B$27,nASIG)&gt;0)*1),"")))</f>
        <v/>
      </c>
      <c r="T133" t="str">
        <f>IF(S133="","",IF(S133="[FÓRMULA MANUAL]","",IFERROR(AVERAGEIFS(nNOTA,nNIA,S133,nCUENTA,1,nASIG,"Armonía"),"")))</f>
        <v/>
      </c>
      <c r="U133" t="str">
        <f>IF(S133="","",IF(S133="[FÓRMULA MANUAL]","",IFERROR(AVERAGEIFS(nNOTA,nNIA,S133,nCUENTA,1,nASIG,"Orquesta/Banda/Conjunto"),"")))</f>
        <v/>
      </c>
      <c r="V133" t="str">
        <f>IF(S133="","",IF(S133="[FÓRMULA MANUAL]","",IFERROR(AVERAGEIFS(nNOTA,nNIA,S133,nCUENTA,1,nASIG,"Música de Cámara"),"")))</f>
        <v/>
      </c>
      <c r="W133" t="str">
        <f>IF(S133="","",IF(S133="[FÓRMULA MANUAL]","",IFERROR(SUMPRODUCT((nNIA=S133)*(nCUENTA=1)*(COUNTIF(CONFIG_ASIGNATURAS!$B$7:$B$27,nASIG)&gt;0)*(nNOTA))/SUMPRODUCT((nNIA=S133)*(nCUENTA=1)*(COUNTIF(CONFIG_ASIGNATURAS!$B$7:$B$27,nASIG)&gt;0)*1),"")))</f>
        <v/>
      </c>
      <c r="Z133" t="str">
        <f>IF(Y133="","",IF(Y133="[FÓRMULA MANUAL]","",IFERROR(AVERAGEIFS(nNOTA,nNIA,Y133,nCUENTA,1,nASIG,"Análisis"),"")))</f>
        <v/>
      </c>
      <c r="AA133" t="str">
        <f>IF(Y133="","",IF(Y133="[FÓRMULA MANUAL]","",IFERROR(AVERAGEIFS(nNOTA,nNIA,Y133,nCUENTA,1,nASIG,"Orquesta/Banda/Conjunto"),"")))</f>
        <v/>
      </c>
      <c r="AB133" t="str">
        <f>IF(Y133="","",IF(Y133="[FÓRMULA MANUAL]","",IFERROR(AVERAGEIFS(nNOTA,nNIA,Y133,nCUENTA,1,nASIG,"Música de Cámara"),"")))</f>
        <v/>
      </c>
      <c r="AC133" t="str">
        <f>IF(Y133="","",IF(Y133="[FÓRMULA MANUAL]","",IFERROR(SUMPRODUCT((nNIA=Y133)*(nCUENTA=1)*(COUNTIF(CONFIG_ASIGNATURAS!$B$7:$B$27,nASIG)&gt;0)*(nNOTA))/SUMPRODUCT((nNIA=Y133)*(nCUENTA=1)*(COUNTIF(CONFIG_ASIGNATURAS!$B$7:$B$27,nASIG)&gt;0)*1),"")))</f>
        <v/>
      </c>
      <c r="AF133" t="str">
        <f>IF(AE133="","",IF(AE133="[FÓRMULA MANUAL]","",IFERROR(AVERAGEIFS(nNOTA,nNIA,AE133,nCUENTA,1,nASIG,"Análisis"),"")))</f>
        <v/>
      </c>
      <c r="AG133" t="str">
        <f>IF(AE133="","",IF(AE133="[FÓRMULA MANUAL]","",IFERROR(AVERAGEIFS(nNOTA,nNIA,AE133,nCUENTA,1,nASIG,"Orquesta/Banda/Conjunto"),"")))</f>
        <v/>
      </c>
      <c r="AH133" t="str">
        <f>IF(AE133="","",IF(AE133="[FÓRMULA MANUAL]","",IFERROR(AVERAGEIFS(nNOTA,nNIA,AE133,nCUENTA,1,nASIG,"Música de Cámara"),"")))</f>
        <v/>
      </c>
      <c r="AI133" t="str">
        <f>IF(AE133="","",IF(AE133="[FÓRMULA MANUAL]","",IFERROR(SUMPRODUCT((nNIA=AE133)*(nCUENTA=1)*(COUNTIF(CONFIG_ASIGNATURAS!$B$7:$B$27,nASIG)&gt;0)*(nNOTA))/SUMPRODUCT((nNIA=AE133)*(nCUENTA=1)*(COUNTIF(CONFIG_ASIGNATURAS!$B$7:$B$27,nASIG)&gt;0)*1),"")))</f>
        <v/>
      </c>
    </row>
    <row r="134" spans="2:35" x14ac:dyDescent="0.2">
      <c r="B134" t="str">
        <f>IF(A134="","",IF(A134="[FÓRMULA MANUAL]","",IFERROR(AVERAGEIFS(nNOTA,nNIA,A134,nCUENTA,1,nASIG,"Lenguaje Musical"),"")))</f>
        <v/>
      </c>
      <c r="C134" t="str">
        <f>IF(A134="","",IF(A134="[FÓRMULA MANUAL]","",IFERROR(AVERAGEIFS(nNOTA,nNIA,A134,nCUENTA,1,nASIG,"Orquesta/Banda/Conjunto"),"")))</f>
        <v/>
      </c>
      <c r="D134" t="str">
        <f>IF(A134="","",IF(A134="[FÓRMULA MANUAL]","",IFERROR(AVERAGEIFS(nNOTA,nNIA,A134,nCUENTA,1,nASIG,"Conjunto"),"")))</f>
        <v/>
      </c>
      <c r="E134" t="str">
        <f>IF(A134="","",IF(A134="[FÓRMULA MANUAL]","",IFERROR(SUMPRODUCT((nNIA=A134)*(nCUENTA=1)*(COUNTIF(CONFIG_ASIGNATURAS!$B$7:$B$27,nASIG)&gt;0)*(nNOTA))/SUMPRODUCT((nNIA=A134)*(nCUENTA=1)*(COUNTIF(CONFIG_ASIGNATURAS!$B$7:$B$27,nASIG)&gt;0)*1),"")))</f>
        <v/>
      </c>
      <c r="H134" t="str">
        <f>IF(G134="","",IF(G134="[FÓRMULA MANUAL]","",IFERROR(AVERAGEIFS(nNOTA,nNIA,G134,nCUENTA,1,nASIG,"Lenguaje Musical"),"")))</f>
        <v/>
      </c>
      <c r="I134" t="str">
        <f>IF(G134="","",IF(G134="[FÓRMULA MANUAL]","",IFERROR(AVERAGEIFS(nNOTA,nNIA,G134,nCUENTA,1,nASIG,"Orquesta/Banda/Conjunto"),"")))</f>
        <v/>
      </c>
      <c r="J134" t="str">
        <f>IF(G134="","",IF(G134="[FÓRMULA MANUAL]","",IFERROR(AVERAGEIFS(nNOTA,nNIA,G134,nCUENTA,1,nASIG,"Conjunto"),"")))</f>
        <v/>
      </c>
      <c r="K134" t="str">
        <f>IF(G134="","",IF(G134="[FÓRMULA MANUAL]","",IFERROR(SUMPRODUCT((nNIA=G134)*(nCUENTA=1)*(COUNTIF(CONFIG_ASIGNATURAS!$B$7:$B$27,nASIG)&gt;0)*(nNOTA))/SUMPRODUCT((nNIA=G134)*(nCUENTA=1)*(COUNTIF(CONFIG_ASIGNATURAS!$B$7:$B$27,nASIG)&gt;0)*1),"")))</f>
        <v/>
      </c>
      <c r="N134" t="str">
        <f>IF(M134="","",IF(M134="[FÓRMULA MANUAL]","",IFERROR(AVERAGEIFS(nNOTA,nNIA,M134,nCUENTA,1,nASIG,"Armonía"),"")))</f>
        <v/>
      </c>
      <c r="O134" t="str">
        <f>IF(M134="","",IF(M134="[FÓRMULA MANUAL]","",IFERROR(AVERAGEIFS(nNOTA,nNIA,M134,nCUENTA,1,nASIG,"Orquesta/Banda/Conjunto"),"")))</f>
        <v/>
      </c>
      <c r="P134" t="str">
        <f>IF(M134="","",IF(M134="[FÓRMULA MANUAL]","",IFERROR(AVERAGEIFS(nNOTA,nNIA,M134,nCUENTA,1,nASIG,"Música de Cámara"),"")))</f>
        <v/>
      </c>
      <c r="Q134" t="str">
        <f>IF(M134="","",IF(M134="[FÓRMULA MANUAL]","",IFERROR(SUMPRODUCT((nNIA=M134)*(nCUENTA=1)*(COUNTIF(CONFIG_ASIGNATURAS!$B$7:$B$27,nASIG)&gt;0)*(nNOTA))/SUMPRODUCT((nNIA=M134)*(nCUENTA=1)*(COUNTIF(CONFIG_ASIGNATURAS!$B$7:$B$27,nASIG)&gt;0)*1),"")))</f>
        <v/>
      </c>
      <c r="T134" t="str">
        <f>IF(S134="","",IF(S134="[FÓRMULA MANUAL]","",IFERROR(AVERAGEIFS(nNOTA,nNIA,S134,nCUENTA,1,nASIG,"Armonía"),"")))</f>
        <v/>
      </c>
      <c r="U134" t="str">
        <f>IF(S134="","",IF(S134="[FÓRMULA MANUAL]","",IFERROR(AVERAGEIFS(nNOTA,nNIA,S134,nCUENTA,1,nASIG,"Orquesta/Banda/Conjunto"),"")))</f>
        <v/>
      </c>
      <c r="V134" t="str">
        <f>IF(S134="","",IF(S134="[FÓRMULA MANUAL]","",IFERROR(AVERAGEIFS(nNOTA,nNIA,S134,nCUENTA,1,nASIG,"Música de Cámara"),"")))</f>
        <v/>
      </c>
      <c r="W134" t="str">
        <f>IF(S134="","",IF(S134="[FÓRMULA MANUAL]","",IFERROR(SUMPRODUCT((nNIA=S134)*(nCUENTA=1)*(COUNTIF(CONFIG_ASIGNATURAS!$B$7:$B$27,nASIG)&gt;0)*(nNOTA))/SUMPRODUCT((nNIA=S134)*(nCUENTA=1)*(COUNTIF(CONFIG_ASIGNATURAS!$B$7:$B$27,nASIG)&gt;0)*1),"")))</f>
        <v/>
      </c>
      <c r="Z134" t="str">
        <f>IF(Y134="","",IF(Y134="[FÓRMULA MANUAL]","",IFERROR(AVERAGEIFS(nNOTA,nNIA,Y134,nCUENTA,1,nASIG,"Análisis"),"")))</f>
        <v/>
      </c>
      <c r="AA134" t="str">
        <f>IF(Y134="","",IF(Y134="[FÓRMULA MANUAL]","",IFERROR(AVERAGEIFS(nNOTA,nNIA,Y134,nCUENTA,1,nASIG,"Orquesta/Banda/Conjunto"),"")))</f>
        <v/>
      </c>
      <c r="AB134" t="str">
        <f>IF(Y134="","",IF(Y134="[FÓRMULA MANUAL]","",IFERROR(AVERAGEIFS(nNOTA,nNIA,Y134,nCUENTA,1,nASIG,"Música de Cámara"),"")))</f>
        <v/>
      </c>
      <c r="AC134" t="str">
        <f>IF(Y134="","",IF(Y134="[FÓRMULA MANUAL]","",IFERROR(SUMPRODUCT((nNIA=Y134)*(nCUENTA=1)*(COUNTIF(CONFIG_ASIGNATURAS!$B$7:$B$27,nASIG)&gt;0)*(nNOTA))/SUMPRODUCT((nNIA=Y134)*(nCUENTA=1)*(COUNTIF(CONFIG_ASIGNATURAS!$B$7:$B$27,nASIG)&gt;0)*1),"")))</f>
        <v/>
      </c>
      <c r="AF134" t="str">
        <f>IF(AE134="","",IF(AE134="[FÓRMULA MANUAL]","",IFERROR(AVERAGEIFS(nNOTA,nNIA,AE134,nCUENTA,1,nASIG,"Análisis"),"")))</f>
        <v/>
      </c>
      <c r="AG134" t="str">
        <f>IF(AE134="","",IF(AE134="[FÓRMULA MANUAL]","",IFERROR(AVERAGEIFS(nNOTA,nNIA,AE134,nCUENTA,1,nASIG,"Orquesta/Banda/Conjunto"),"")))</f>
        <v/>
      </c>
      <c r="AH134" t="str">
        <f>IF(AE134="","",IF(AE134="[FÓRMULA MANUAL]","",IFERROR(AVERAGEIFS(nNOTA,nNIA,AE134,nCUENTA,1,nASIG,"Música de Cámara"),"")))</f>
        <v/>
      </c>
      <c r="AI134" t="str">
        <f>IF(AE134="","",IF(AE134="[FÓRMULA MANUAL]","",IFERROR(SUMPRODUCT((nNIA=AE134)*(nCUENTA=1)*(COUNTIF(CONFIG_ASIGNATURAS!$B$7:$B$27,nASIG)&gt;0)*(nNOTA))/SUMPRODUCT((nNIA=AE134)*(nCUENTA=1)*(COUNTIF(CONFIG_ASIGNATURAS!$B$7:$B$27,nASIG)&gt;0)*1),"")))</f>
        <v/>
      </c>
    </row>
    <row r="135" spans="2:35" x14ac:dyDescent="0.2">
      <c r="B135" t="str">
        <f>IF(A135="","",IF(A135="[FÓRMULA MANUAL]","",IFERROR(AVERAGEIFS(nNOTA,nNIA,A135,nCUENTA,1,nASIG,"Lenguaje Musical"),"")))</f>
        <v/>
      </c>
      <c r="C135" t="str">
        <f>IF(A135="","",IF(A135="[FÓRMULA MANUAL]","",IFERROR(AVERAGEIFS(nNOTA,nNIA,A135,nCUENTA,1,nASIG,"Orquesta/Banda/Conjunto"),"")))</f>
        <v/>
      </c>
      <c r="D135" t="str">
        <f>IF(A135="","",IF(A135="[FÓRMULA MANUAL]","",IFERROR(AVERAGEIFS(nNOTA,nNIA,A135,nCUENTA,1,nASIG,"Conjunto"),"")))</f>
        <v/>
      </c>
      <c r="E135" t="str">
        <f>IF(A135="","",IF(A135="[FÓRMULA MANUAL]","",IFERROR(SUMPRODUCT((nNIA=A135)*(nCUENTA=1)*(COUNTIF(CONFIG_ASIGNATURAS!$B$7:$B$27,nASIG)&gt;0)*(nNOTA))/SUMPRODUCT((nNIA=A135)*(nCUENTA=1)*(COUNTIF(CONFIG_ASIGNATURAS!$B$7:$B$27,nASIG)&gt;0)*1),"")))</f>
        <v/>
      </c>
      <c r="H135" t="str">
        <f>IF(G135="","",IF(G135="[FÓRMULA MANUAL]","",IFERROR(AVERAGEIFS(nNOTA,nNIA,G135,nCUENTA,1,nASIG,"Lenguaje Musical"),"")))</f>
        <v/>
      </c>
      <c r="I135" t="str">
        <f>IF(G135="","",IF(G135="[FÓRMULA MANUAL]","",IFERROR(AVERAGEIFS(nNOTA,nNIA,G135,nCUENTA,1,nASIG,"Orquesta/Banda/Conjunto"),"")))</f>
        <v/>
      </c>
      <c r="J135" t="str">
        <f>IF(G135="","",IF(G135="[FÓRMULA MANUAL]","",IFERROR(AVERAGEIFS(nNOTA,nNIA,G135,nCUENTA,1,nASIG,"Conjunto"),"")))</f>
        <v/>
      </c>
      <c r="K135" t="str">
        <f>IF(G135="","",IF(G135="[FÓRMULA MANUAL]","",IFERROR(SUMPRODUCT((nNIA=G135)*(nCUENTA=1)*(COUNTIF(CONFIG_ASIGNATURAS!$B$7:$B$27,nASIG)&gt;0)*(nNOTA))/SUMPRODUCT((nNIA=G135)*(nCUENTA=1)*(COUNTIF(CONFIG_ASIGNATURAS!$B$7:$B$27,nASIG)&gt;0)*1),"")))</f>
        <v/>
      </c>
      <c r="N135" t="str">
        <f>IF(M135="","",IF(M135="[FÓRMULA MANUAL]","",IFERROR(AVERAGEIFS(nNOTA,nNIA,M135,nCUENTA,1,nASIG,"Armonía"),"")))</f>
        <v/>
      </c>
      <c r="O135" t="str">
        <f>IF(M135="","",IF(M135="[FÓRMULA MANUAL]","",IFERROR(AVERAGEIFS(nNOTA,nNIA,M135,nCUENTA,1,nASIG,"Orquesta/Banda/Conjunto"),"")))</f>
        <v/>
      </c>
      <c r="P135" t="str">
        <f>IF(M135="","",IF(M135="[FÓRMULA MANUAL]","",IFERROR(AVERAGEIFS(nNOTA,nNIA,M135,nCUENTA,1,nASIG,"Música de Cámara"),"")))</f>
        <v/>
      </c>
      <c r="Q135" t="str">
        <f>IF(M135="","",IF(M135="[FÓRMULA MANUAL]","",IFERROR(SUMPRODUCT((nNIA=M135)*(nCUENTA=1)*(COUNTIF(CONFIG_ASIGNATURAS!$B$7:$B$27,nASIG)&gt;0)*(nNOTA))/SUMPRODUCT((nNIA=M135)*(nCUENTA=1)*(COUNTIF(CONFIG_ASIGNATURAS!$B$7:$B$27,nASIG)&gt;0)*1),"")))</f>
        <v/>
      </c>
      <c r="T135" t="str">
        <f>IF(S135="","",IF(S135="[FÓRMULA MANUAL]","",IFERROR(AVERAGEIFS(nNOTA,nNIA,S135,nCUENTA,1,nASIG,"Armonía"),"")))</f>
        <v/>
      </c>
      <c r="U135" t="str">
        <f>IF(S135="","",IF(S135="[FÓRMULA MANUAL]","",IFERROR(AVERAGEIFS(nNOTA,nNIA,S135,nCUENTA,1,nASIG,"Orquesta/Banda/Conjunto"),"")))</f>
        <v/>
      </c>
      <c r="V135" t="str">
        <f>IF(S135="","",IF(S135="[FÓRMULA MANUAL]","",IFERROR(AVERAGEIFS(nNOTA,nNIA,S135,nCUENTA,1,nASIG,"Música de Cámara"),"")))</f>
        <v/>
      </c>
      <c r="W135" t="str">
        <f>IF(S135="","",IF(S135="[FÓRMULA MANUAL]","",IFERROR(SUMPRODUCT((nNIA=S135)*(nCUENTA=1)*(COUNTIF(CONFIG_ASIGNATURAS!$B$7:$B$27,nASIG)&gt;0)*(nNOTA))/SUMPRODUCT((nNIA=S135)*(nCUENTA=1)*(COUNTIF(CONFIG_ASIGNATURAS!$B$7:$B$27,nASIG)&gt;0)*1),"")))</f>
        <v/>
      </c>
      <c r="Z135" t="str">
        <f>IF(Y135="","",IF(Y135="[FÓRMULA MANUAL]","",IFERROR(AVERAGEIFS(nNOTA,nNIA,Y135,nCUENTA,1,nASIG,"Análisis"),"")))</f>
        <v/>
      </c>
      <c r="AA135" t="str">
        <f>IF(Y135="","",IF(Y135="[FÓRMULA MANUAL]","",IFERROR(AVERAGEIFS(nNOTA,nNIA,Y135,nCUENTA,1,nASIG,"Orquesta/Banda/Conjunto"),"")))</f>
        <v/>
      </c>
      <c r="AB135" t="str">
        <f>IF(Y135="","",IF(Y135="[FÓRMULA MANUAL]","",IFERROR(AVERAGEIFS(nNOTA,nNIA,Y135,nCUENTA,1,nASIG,"Música de Cámara"),"")))</f>
        <v/>
      </c>
      <c r="AC135" t="str">
        <f>IF(Y135="","",IF(Y135="[FÓRMULA MANUAL]","",IFERROR(SUMPRODUCT((nNIA=Y135)*(nCUENTA=1)*(COUNTIF(CONFIG_ASIGNATURAS!$B$7:$B$27,nASIG)&gt;0)*(nNOTA))/SUMPRODUCT((nNIA=Y135)*(nCUENTA=1)*(COUNTIF(CONFIG_ASIGNATURAS!$B$7:$B$27,nASIG)&gt;0)*1),"")))</f>
        <v/>
      </c>
      <c r="AF135" t="str">
        <f>IF(AE135="","",IF(AE135="[FÓRMULA MANUAL]","",IFERROR(AVERAGEIFS(nNOTA,nNIA,AE135,nCUENTA,1,nASIG,"Análisis"),"")))</f>
        <v/>
      </c>
      <c r="AG135" t="str">
        <f>IF(AE135="","",IF(AE135="[FÓRMULA MANUAL]","",IFERROR(AVERAGEIFS(nNOTA,nNIA,AE135,nCUENTA,1,nASIG,"Orquesta/Banda/Conjunto"),"")))</f>
        <v/>
      </c>
      <c r="AH135" t="str">
        <f>IF(AE135="","",IF(AE135="[FÓRMULA MANUAL]","",IFERROR(AVERAGEIFS(nNOTA,nNIA,AE135,nCUENTA,1,nASIG,"Música de Cámara"),"")))</f>
        <v/>
      </c>
      <c r="AI135" t="str">
        <f>IF(AE135="","",IF(AE135="[FÓRMULA MANUAL]","",IFERROR(SUMPRODUCT((nNIA=AE135)*(nCUENTA=1)*(COUNTIF(CONFIG_ASIGNATURAS!$B$7:$B$27,nASIG)&gt;0)*(nNOTA))/SUMPRODUCT((nNIA=AE135)*(nCUENTA=1)*(COUNTIF(CONFIG_ASIGNATURAS!$B$7:$B$27,nASIG)&gt;0)*1),"")))</f>
        <v/>
      </c>
    </row>
    <row r="136" spans="2:35" x14ac:dyDescent="0.2">
      <c r="B136" t="str">
        <f>IF(A136="","",IF(A136="[FÓRMULA MANUAL]","",IFERROR(AVERAGEIFS(nNOTA,nNIA,A136,nCUENTA,1,nASIG,"Lenguaje Musical"),"")))</f>
        <v/>
      </c>
      <c r="C136" t="str">
        <f>IF(A136="","",IF(A136="[FÓRMULA MANUAL]","",IFERROR(AVERAGEIFS(nNOTA,nNIA,A136,nCUENTA,1,nASIG,"Orquesta/Banda/Conjunto"),"")))</f>
        <v/>
      </c>
      <c r="D136" t="str">
        <f>IF(A136="","",IF(A136="[FÓRMULA MANUAL]","",IFERROR(AVERAGEIFS(nNOTA,nNIA,A136,nCUENTA,1,nASIG,"Conjunto"),"")))</f>
        <v/>
      </c>
      <c r="E136" t="str">
        <f>IF(A136="","",IF(A136="[FÓRMULA MANUAL]","",IFERROR(SUMPRODUCT((nNIA=A136)*(nCUENTA=1)*(COUNTIF(CONFIG_ASIGNATURAS!$B$7:$B$27,nASIG)&gt;0)*(nNOTA))/SUMPRODUCT((nNIA=A136)*(nCUENTA=1)*(COUNTIF(CONFIG_ASIGNATURAS!$B$7:$B$27,nASIG)&gt;0)*1),"")))</f>
        <v/>
      </c>
      <c r="H136" t="str">
        <f>IF(G136="","",IF(G136="[FÓRMULA MANUAL]","",IFERROR(AVERAGEIFS(nNOTA,nNIA,G136,nCUENTA,1,nASIG,"Lenguaje Musical"),"")))</f>
        <v/>
      </c>
      <c r="I136" t="str">
        <f>IF(G136="","",IF(G136="[FÓRMULA MANUAL]","",IFERROR(AVERAGEIFS(nNOTA,nNIA,G136,nCUENTA,1,nASIG,"Orquesta/Banda/Conjunto"),"")))</f>
        <v/>
      </c>
      <c r="J136" t="str">
        <f>IF(G136="","",IF(G136="[FÓRMULA MANUAL]","",IFERROR(AVERAGEIFS(nNOTA,nNIA,G136,nCUENTA,1,nASIG,"Conjunto"),"")))</f>
        <v/>
      </c>
      <c r="K136" t="str">
        <f>IF(G136="","",IF(G136="[FÓRMULA MANUAL]","",IFERROR(SUMPRODUCT((nNIA=G136)*(nCUENTA=1)*(COUNTIF(CONFIG_ASIGNATURAS!$B$7:$B$27,nASIG)&gt;0)*(nNOTA))/SUMPRODUCT((nNIA=G136)*(nCUENTA=1)*(COUNTIF(CONFIG_ASIGNATURAS!$B$7:$B$27,nASIG)&gt;0)*1),"")))</f>
        <v/>
      </c>
      <c r="N136" t="str">
        <f>IF(M136="","",IF(M136="[FÓRMULA MANUAL]","",IFERROR(AVERAGEIFS(nNOTA,nNIA,M136,nCUENTA,1,nASIG,"Armonía"),"")))</f>
        <v/>
      </c>
      <c r="O136" t="str">
        <f>IF(M136="","",IF(M136="[FÓRMULA MANUAL]","",IFERROR(AVERAGEIFS(nNOTA,nNIA,M136,nCUENTA,1,nASIG,"Orquesta/Banda/Conjunto"),"")))</f>
        <v/>
      </c>
      <c r="P136" t="str">
        <f>IF(M136="","",IF(M136="[FÓRMULA MANUAL]","",IFERROR(AVERAGEIFS(nNOTA,nNIA,M136,nCUENTA,1,nASIG,"Música de Cámara"),"")))</f>
        <v/>
      </c>
      <c r="Q136" t="str">
        <f>IF(M136="","",IF(M136="[FÓRMULA MANUAL]","",IFERROR(SUMPRODUCT((nNIA=M136)*(nCUENTA=1)*(COUNTIF(CONFIG_ASIGNATURAS!$B$7:$B$27,nASIG)&gt;0)*(nNOTA))/SUMPRODUCT((nNIA=M136)*(nCUENTA=1)*(COUNTIF(CONFIG_ASIGNATURAS!$B$7:$B$27,nASIG)&gt;0)*1),"")))</f>
        <v/>
      </c>
      <c r="T136" t="str">
        <f>IF(S136="","",IF(S136="[FÓRMULA MANUAL]","",IFERROR(AVERAGEIFS(nNOTA,nNIA,S136,nCUENTA,1,nASIG,"Armonía"),"")))</f>
        <v/>
      </c>
      <c r="U136" t="str">
        <f>IF(S136="","",IF(S136="[FÓRMULA MANUAL]","",IFERROR(AVERAGEIFS(nNOTA,nNIA,S136,nCUENTA,1,nASIG,"Orquesta/Banda/Conjunto"),"")))</f>
        <v/>
      </c>
      <c r="V136" t="str">
        <f>IF(S136="","",IF(S136="[FÓRMULA MANUAL]","",IFERROR(AVERAGEIFS(nNOTA,nNIA,S136,nCUENTA,1,nASIG,"Música de Cámara"),"")))</f>
        <v/>
      </c>
      <c r="W136" t="str">
        <f>IF(S136="","",IF(S136="[FÓRMULA MANUAL]","",IFERROR(SUMPRODUCT((nNIA=S136)*(nCUENTA=1)*(COUNTIF(CONFIG_ASIGNATURAS!$B$7:$B$27,nASIG)&gt;0)*(nNOTA))/SUMPRODUCT((nNIA=S136)*(nCUENTA=1)*(COUNTIF(CONFIG_ASIGNATURAS!$B$7:$B$27,nASIG)&gt;0)*1),"")))</f>
        <v/>
      </c>
      <c r="Z136" t="str">
        <f>IF(Y136="","",IF(Y136="[FÓRMULA MANUAL]","",IFERROR(AVERAGEIFS(nNOTA,nNIA,Y136,nCUENTA,1,nASIG,"Análisis"),"")))</f>
        <v/>
      </c>
      <c r="AA136" t="str">
        <f>IF(Y136="","",IF(Y136="[FÓRMULA MANUAL]","",IFERROR(AVERAGEIFS(nNOTA,nNIA,Y136,nCUENTA,1,nASIG,"Orquesta/Banda/Conjunto"),"")))</f>
        <v/>
      </c>
      <c r="AB136" t="str">
        <f>IF(Y136="","",IF(Y136="[FÓRMULA MANUAL]","",IFERROR(AVERAGEIFS(nNOTA,nNIA,Y136,nCUENTA,1,nASIG,"Música de Cámara"),"")))</f>
        <v/>
      </c>
      <c r="AC136" t="str">
        <f>IF(Y136="","",IF(Y136="[FÓRMULA MANUAL]","",IFERROR(SUMPRODUCT((nNIA=Y136)*(nCUENTA=1)*(COUNTIF(CONFIG_ASIGNATURAS!$B$7:$B$27,nASIG)&gt;0)*(nNOTA))/SUMPRODUCT((nNIA=Y136)*(nCUENTA=1)*(COUNTIF(CONFIG_ASIGNATURAS!$B$7:$B$27,nASIG)&gt;0)*1),"")))</f>
        <v/>
      </c>
      <c r="AF136" t="str">
        <f>IF(AE136="","",IF(AE136="[FÓRMULA MANUAL]","",IFERROR(AVERAGEIFS(nNOTA,nNIA,AE136,nCUENTA,1,nASIG,"Análisis"),"")))</f>
        <v/>
      </c>
      <c r="AG136" t="str">
        <f>IF(AE136="","",IF(AE136="[FÓRMULA MANUAL]","",IFERROR(AVERAGEIFS(nNOTA,nNIA,AE136,nCUENTA,1,nASIG,"Orquesta/Banda/Conjunto"),"")))</f>
        <v/>
      </c>
      <c r="AH136" t="str">
        <f>IF(AE136="","",IF(AE136="[FÓRMULA MANUAL]","",IFERROR(AVERAGEIFS(nNOTA,nNIA,AE136,nCUENTA,1,nASIG,"Música de Cámara"),"")))</f>
        <v/>
      </c>
      <c r="AI136" t="str">
        <f>IF(AE136="","",IF(AE136="[FÓRMULA MANUAL]","",IFERROR(SUMPRODUCT((nNIA=AE136)*(nCUENTA=1)*(COUNTIF(CONFIG_ASIGNATURAS!$B$7:$B$27,nASIG)&gt;0)*(nNOTA))/SUMPRODUCT((nNIA=AE136)*(nCUENTA=1)*(COUNTIF(CONFIG_ASIGNATURAS!$B$7:$B$27,nASIG)&gt;0)*1),"")))</f>
        <v/>
      </c>
    </row>
    <row r="137" spans="2:35" x14ac:dyDescent="0.2">
      <c r="B137" t="str">
        <f>IF(A137="","",IF(A137="[FÓRMULA MANUAL]","",IFERROR(AVERAGEIFS(nNOTA,nNIA,A137,nCUENTA,1,nASIG,"Lenguaje Musical"),"")))</f>
        <v/>
      </c>
      <c r="C137" t="str">
        <f>IF(A137="","",IF(A137="[FÓRMULA MANUAL]","",IFERROR(AVERAGEIFS(nNOTA,nNIA,A137,nCUENTA,1,nASIG,"Orquesta/Banda/Conjunto"),"")))</f>
        <v/>
      </c>
      <c r="D137" t="str">
        <f>IF(A137="","",IF(A137="[FÓRMULA MANUAL]","",IFERROR(AVERAGEIFS(nNOTA,nNIA,A137,nCUENTA,1,nASIG,"Conjunto"),"")))</f>
        <v/>
      </c>
      <c r="E137" t="str">
        <f>IF(A137="","",IF(A137="[FÓRMULA MANUAL]","",IFERROR(SUMPRODUCT((nNIA=A137)*(nCUENTA=1)*(COUNTIF(CONFIG_ASIGNATURAS!$B$7:$B$27,nASIG)&gt;0)*(nNOTA))/SUMPRODUCT((nNIA=A137)*(nCUENTA=1)*(COUNTIF(CONFIG_ASIGNATURAS!$B$7:$B$27,nASIG)&gt;0)*1),"")))</f>
        <v/>
      </c>
      <c r="H137" t="str">
        <f>IF(G137="","",IF(G137="[FÓRMULA MANUAL]","",IFERROR(AVERAGEIFS(nNOTA,nNIA,G137,nCUENTA,1,nASIG,"Lenguaje Musical"),"")))</f>
        <v/>
      </c>
      <c r="I137" t="str">
        <f>IF(G137="","",IF(G137="[FÓRMULA MANUAL]","",IFERROR(AVERAGEIFS(nNOTA,nNIA,G137,nCUENTA,1,nASIG,"Orquesta/Banda/Conjunto"),"")))</f>
        <v/>
      </c>
      <c r="J137" t="str">
        <f>IF(G137="","",IF(G137="[FÓRMULA MANUAL]","",IFERROR(AVERAGEIFS(nNOTA,nNIA,G137,nCUENTA,1,nASIG,"Conjunto"),"")))</f>
        <v/>
      </c>
      <c r="K137" t="str">
        <f>IF(G137="","",IF(G137="[FÓRMULA MANUAL]","",IFERROR(SUMPRODUCT((nNIA=G137)*(nCUENTA=1)*(COUNTIF(CONFIG_ASIGNATURAS!$B$7:$B$27,nASIG)&gt;0)*(nNOTA))/SUMPRODUCT((nNIA=G137)*(nCUENTA=1)*(COUNTIF(CONFIG_ASIGNATURAS!$B$7:$B$27,nASIG)&gt;0)*1),"")))</f>
        <v/>
      </c>
      <c r="N137" t="str">
        <f>IF(M137="","",IF(M137="[FÓRMULA MANUAL]","",IFERROR(AVERAGEIFS(nNOTA,nNIA,M137,nCUENTA,1,nASIG,"Armonía"),"")))</f>
        <v/>
      </c>
      <c r="O137" t="str">
        <f>IF(M137="","",IF(M137="[FÓRMULA MANUAL]","",IFERROR(AVERAGEIFS(nNOTA,nNIA,M137,nCUENTA,1,nASIG,"Orquesta/Banda/Conjunto"),"")))</f>
        <v/>
      </c>
      <c r="P137" t="str">
        <f>IF(M137="","",IF(M137="[FÓRMULA MANUAL]","",IFERROR(AVERAGEIFS(nNOTA,nNIA,M137,nCUENTA,1,nASIG,"Música de Cámara"),"")))</f>
        <v/>
      </c>
      <c r="Q137" t="str">
        <f>IF(M137="","",IF(M137="[FÓRMULA MANUAL]","",IFERROR(SUMPRODUCT((nNIA=M137)*(nCUENTA=1)*(COUNTIF(CONFIG_ASIGNATURAS!$B$7:$B$27,nASIG)&gt;0)*(nNOTA))/SUMPRODUCT((nNIA=M137)*(nCUENTA=1)*(COUNTIF(CONFIG_ASIGNATURAS!$B$7:$B$27,nASIG)&gt;0)*1),"")))</f>
        <v/>
      </c>
      <c r="T137" t="str">
        <f>IF(S137="","",IF(S137="[FÓRMULA MANUAL]","",IFERROR(AVERAGEIFS(nNOTA,nNIA,S137,nCUENTA,1,nASIG,"Armonía"),"")))</f>
        <v/>
      </c>
      <c r="U137" t="str">
        <f>IF(S137="","",IF(S137="[FÓRMULA MANUAL]","",IFERROR(AVERAGEIFS(nNOTA,nNIA,S137,nCUENTA,1,nASIG,"Orquesta/Banda/Conjunto"),"")))</f>
        <v/>
      </c>
      <c r="V137" t="str">
        <f>IF(S137="","",IF(S137="[FÓRMULA MANUAL]","",IFERROR(AVERAGEIFS(nNOTA,nNIA,S137,nCUENTA,1,nASIG,"Música de Cámara"),"")))</f>
        <v/>
      </c>
      <c r="W137" t="str">
        <f>IF(S137="","",IF(S137="[FÓRMULA MANUAL]","",IFERROR(SUMPRODUCT((nNIA=S137)*(nCUENTA=1)*(COUNTIF(CONFIG_ASIGNATURAS!$B$7:$B$27,nASIG)&gt;0)*(nNOTA))/SUMPRODUCT((nNIA=S137)*(nCUENTA=1)*(COUNTIF(CONFIG_ASIGNATURAS!$B$7:$B$27,nASIG)&gt;0)*1),"")))</f>
        <v/>
      </c>
      <c r="Z137" t="str">
        <f>IF(Y137="","",IF(Y137="[FÓRMULA MANUAL]","",IFERROR(AVERAGEIFS(nNOTA,nNIA,Y137,nCUENTA,1,nASIG,"Análisis"),"")))</f>
        <v/>
      </c>
      <c r="AA137" t="str">
        <f>IF(Y137="","",IF(Y137="[FÓRMULA MANUAL]","",IFERROR(AVERAGEIFS(nNOTA,nNIA,Y137,nCUENTA,1,nASIG,"Orquesta/Banda/Conjunto"),"")))</f>
        <v/>
      </c>
      <c r="AB137" t="str">
        <f>IF(Y137="","",IF(Y137="[FÓRMULA MANUAL]","",IFERROR(AVERAGEIFS(nNOTA,nNIA,Y137,nCUENTA,1,nASIG,"Música de Cámara"),"")))</f>
        <v/>
      </c>
      <c r="AC137" t="str">
        <f>IF(Y137="","",IF(Y137="[FÓRMULA MANUAL]","",IFERROR(SUMPRODUCT((nNIA=Y137)*(nCUENTA=1)*(COUNTIF(CONFIG_ASIGNATURAS!$B$7:$B$27,nASIG)&gt;0)*(nNOTA))/SUMPRODUCT((nNIA=Y137)*(nCUENTA=1)*(COUNTIF(CONFIG_ASIGNATURAS!$B$7:$B$27,nASIG)&gt;0)*1),"")))</f>
        <v/>
      </c>
      <c r="AF137" t="str">
        <f>IF(AE137="","",IF(AE137="[FÓRMULA MANUAL]","",IFERROR(AVERAGEIFS(nNOTA,nNIA,AE137,nCUENTA,1,nASIG,"Análisis"),"")))</f>
        <v/>
      </c>
      <c r="AG137" t="str">
        <f>IF(AE137="","",IF(AE137="[FÓRMULA MANUAL]","",IFERROR(AVERAGEIFS(nNOTA,nNIA,AE137,nCUENTA,1,nASIG,"Orquesta/Banda/Conjunto"),"")))</f>
        <v/>
      </c>
      <c r="AH137" t="str">
        <f>IF(AE137="","",IF(AE137="[FÓRMULA MANUAL]","",IFERROR(AVERAGEIFS(nNOTA,nNIA,AE137,nCUENTA,1,nASIG,"Música de Cámara"),"")))</f>
        <v/>
      </c>
      <c r="AI137" t="str">
        <f>IF(AE137="","",IF(AE137="[FÓRMULA MANUAL]","",IFERROR(SUMPRODUCT((nNIA=AE137)*(nCUENTA=1)*(COUNTIF(CONFIG_ASIGNATURAS!$B$7:$B$27,nASIG)&gt;0)*(nNOTA))/SUMPRODUCT((nNIA=AE137)*(nCUENTA=1)*(COUNTIF(CONFIG_ASIGNATURAS!$B$7:$B$27,nASIG)&gt;0)*1),"")))</f>
        <v/>
      </c>
    </row>
    <row r="138" spans="2:35" x14ac:dyDescent="0.2">
      <c r="B138" t="str">
        <f>IF(A138="","",IF(A138="[FÓRMULA MANUAL]","",IFERROR(AVERAGEIFS(nNOTA,nNIA,A138,nCUENTA,1,nASIG,"Lenguaje Musical"),"")))</f>
        <v/>
      </c>
      <c r="C138" t="str">
        <f>IF(A138="","",IF(A138="[FÓRMULA MANUAL]","",IFERROR(AVERAGEIFS(nNOTA,nNIA,A138,nCUENTA,1,nASIG,"Orquesta/Banda/Conjunto"),"")))</f>
        <v/>
      </c>
      <c r="D138" t="str">
        <f>IF(A138="","",IF(A138="[FÓRMULA MANUAL]","",IFERROR(AVERAGEIFS(nNOTA,nNIA,A138,nCUENTA,1,nASIG,"Conjunto"),"")))</f>
        <v/>
      </c>
      <c r="E138" t="str">
        <f>IF(A138="","",IF(A138="[FÓRMULA MANUAL]","",IFERROR(SUMPRODUCT((nNIA=A138)*(nCUENTA=1)*(COUNTIF(CONFIG_ASIGNATURAS!$B$7:$B$27,nASIG)&gt;0)*(nNOTA))/SUMPRODUCT((nNIA=A138)*(nCUENTA=1)*(COUNTIF(CONFIG_ASIGNATURAS!$B$7:$B$27,nASIG)&gt;0)*1),"")))</f>
        <v/>
      </c>
      <c r="H138" t="str">
        <f>IF(G138="","",IF(G138="[FÓRMULA MANUAL]","",IFERROR(AVERAGEIFS(nNOTA,nNIA,G138,nCUENTA,1,nASIG,"Lenguaje Musical"),"")))</f>
        <v/>
      </c>
      <c r="I138" t="str">
        <f>IF(G138="","",IF(G138="[FÓRMULA MANUAL]","",IFERROR(AVERAGEIFS(nNOTA,nNIA,G138,nCUENTA,1,nASIG,"Orquesta/Banda/Conjunto"),"")))</f>
        <v/>
      </c>
      <c r="J138" t="str">
        <f>IF(G138="","",IF(G138="[FÓRMULA MANUAL]","",IFERROR(AVERAGEIFS(nNOTA,nNIA,G138,nCUENTA,1,nASIG,"Conjunto"),"")))</f>
        <v/>
      </c>
      <c r="K138" t="str">
        <f>IF(G138="","",IF(G138="[FÓRMULA MANUAL]","",IFERROR(SUMPRODUCT((nNIA=G138)*(nCUENTA=1)*(COUNTIF(CONFIG_ASIGNATURAS!$B$7:$B$27,nASIG)&gt;0)*(nNOTA))/SUMPRODUCT((nNIA=G138)*(nCUENTA=1)*(COUNTIF(CONFIG_ASIGNATURAS!$B$7:$B$27,nASIG)&gt;0)*1),"")))</f>
        <v/>
      </c>
      <c r="N138" t="str">
        <f>IF(M138="","",IF(M138="[FÓRMULA MANUAL]","",IFERROR(AVERAGEIFS(nNOTA,nNIA,M138,nCUENTA,1,nASIG,"Armonía"),"")))</f>
        <v/>
      </c>
      <c r="O138" t="str">
        <f>IF(M138="","",IF(M138="[FÓRMULA MANUAL]","",IFERROR(AVERAGEIFS(nNOTA,nNIA,M138,nCUENTA,1,nASIG,"Orquesta/Banda/Conjunto"),"")))</f>
        <v/>
      </c>
      <c r="P138" t="str">
        <f>IF(M138="","",IF(M138="[FÓRMULA MANUAL]","",IFERROR(AVERAGEIFS(nNOTA,nNIA,M138,nCUENTA,1,nASIG,"Música de Cámara"),"")))</f>
        <v/>
      </c>
      <c r="Q138" t="str">
        <f>IF(M138="","",IF(M138="[FÓRMULA MANUAL]","",IFERROR(SUMPRODUCT((nNIA=M138)*(nCUENTA=1)*(COUNTIF(CONFIG_ASIGNATURAS!$B$7:$B$27,nASIG)&gt;0)*(nNOTA))/SUMPRODUCT((nNIA=M138)*(nCUENTA=1)*(COUNTIF(CONFIG_ASIGNATURAS!$B$7:$B$27,nASIG)&gt;0)*1),"")))</f>
        <v/>
      </c>
      <c r="T138" t="str">
        <f>IF(S138="","",IF(S138="[FÓRMULA MANUAL]","",IFERROR(AVERAGEIFS(nNOTA,nNIA,S138,nCUENTA,1,nASIG,"Armonía"),"")))</f>
        <v/>
      </c>
      <c r="U138" t="str">
        <f>IF(S138="","",IF(S138="[FÓRMULA MANUAL]","",IFERROR(AVERAGEIFS(nNOTA,nNIA,S138,nCUENTA,1,nASIG,"Orquesta/Banda/Conjunto"),"")))</f>
        <v/>
      </c>
      <c r="V138" t="str">
        <f>IF(S138="","",IF(S138="[FÓRMULA MANUAL]","",IFERROR(AVERAGEIFS(nNOTA,nNIA,S138,nCUENTA,1,nASIG,"Música de Cámara"),"")))</f>
        <v/>
      </c>
      <c r="W138" t="str">
        <f>IF(S138="","",IF(S138="[FÓRMULA MANUAL]","",IFERROR(SUMPRODUCT((nNIA=S138)*(nCUENTA=1)*(COUNTIF(CONFIG_ASIGNATURAS!$B$7:$B$27,nASIG)&gt;0)*(nNOTA))/SUMPRODUCT((nNIA=S138)*(nCUENTA=1)*(COUNTIF(CONFIG_ASIGNATURAS!$B$7:$B$27,nASIG)&gt;0)*1),"")))</f>
        <v/>
      </c>
      <c r="Z138" t="str">
        <f>IF(Y138="","",IF(Y138="[FÓRMULA MANUAL]","",IFERROR(AVERAGEIFS(nNOTA,nNIA,Y138,nCUENTA,1,nASIG,"Análisis"),"")))</f>
        <v/>
      </c>
      <c r="AA138" t="str">
        <f>IF(Y138="","",IF(Y138="[FÓRMULA MANUAL]","",IFERROR(AVERAGEIFS(nNOTA,nNIA,Y138,nCUENTA,1,nASIG,"Orquesta/Banda/Conjunto"),"")))</f>
        <v/>
      </c>
      <c r="AB138" t="str">
        <f>IF(Y138="","",IF(Y138="[FÓRMULA MANUAL]","",IFERROR(AVERAGEIFS(nNOTA,nNIA,Y138,nCUENTA,1,nASIG,"Música de Cámara"),"")))</f>
        <v/>
      </c>
      <c r="AC138" t="str">
        <f>IF(Y138="","",IF(Y138="[FÓRMULA MANUAL]","",IFERROR(SUMPRODUCT((nNIA=Y138)*(nCUENTA=1)*(COUNTIF(CONFIG_ASIGNATURAS!$B$7:$B$27,nASIG)&gt;0)*(nNOTA))/SUMPRODUCT((nNIA=Y138)*(nCUENTA=1)*(COUNTIF(CONFIG_ASIGNATURAS!$B$7:$B$27,nASIG)&gt;0)*1),"")))</f>
        <v/>
      </c>
      <c r="AF138" t="str">
        <f>IF(AE138="","",IF(AE138="[FÓRMULA MANUAL]","",IFERROR(AVERAGEIFS(nNOTA,nNIA,AE138,nCUENTA,1,nASIG,"Análisis"),"")))</f>
        <v/>
      </c>
      <c r="AG138" t="str">
        <f>IF(AE138="","",IF(AE138="[FÓRMULA MANUAL]","",IFERROR(AVERAGEIFS(nNOTA,nNIA,AE138,nCUENTA,1,nASIG,"Orquesta/Banda/Conjunto"),"")))</f>
        <v/>
      </c>
      <c r="AH138" t="str">
        <f>IF(AE138="","",IF(AE138="[FÓRMULA MANUAL]","",IFERROR(AVERAGEIFS(nNOTA,nNIA,AE138,nCUENTA,1,nASIG,"Música de Cámara"),"")))</f>
        <v/>
      </c>
      <c r="AI138" t="str">
        <f>IF(AE138="","",IF(AE138="[FÓRMULA MANUAL]","",IFERROR(SUMPRODUCT((nNIA=AE138)*(nCUENTA=1)*(COUNTIF(CONFIG_ASIGNATURAS!$B$7:$B$27,nASIG)&gt;0)*(nNOTA))/SUMPRODUCT((nNIA=AE138)*(nCUENTA=1)*(COUNTIF(CONFIG_ASIGNATURAS!$B$7:$B$27,nASIG)&gt;0)*1),"")))</f>
        <v/>
      </c>
    </row>
    <row r="139" spans="2:35" x14ac:dyDescent="0.2">
      <c r="B139" t="str">
        <f>IF(A139="","",IF(A139="[FÓRMULA MANUAL]","",IFERROR(AVERAGEIFS(nNOTA,nNIA,A139,nCUENTA,1,nASIG,"Lenguaje Musical"),"")))</f>
        <v/>
      </c>
      <c r="C139" t="str">
        <f>IF(A139="","",IF(A139="[FÓRMULA MANUAL]","",IFERROR(AVERAGEIFS(nNOTA,nNIA,A139,nCUENTA,1,nASIG,"Orquesta/Banda/Conjunto"),"")))</f>
        <v/>
      </c>
      <c r="D139" t="str">
        <f>IF(A139="","",IF(A139="[FÓRMULA MANUAL]","",IFERROR(AVERAGEIFS(nNOTA,nNIA,A139,nCUENTA,1,nASIG,"Conjunto"),"")))</f>
        <v/>
      </c>
      <c r="E139" t="str">
        <f>IF(A139="","",IF(A139="[FÓRMULA MANUAL]","",IFERROR(SUMPRODUCT((nNIA=A139)*(nCUENTA=1)*(COUNTIF(CONFIG_ASIGNATURAS!$B$7:$B$27,nASIG)&gt;0)*(nNOTA))/SUMPRODUCT((nNIA=A139)*(nCUENTA=1)*(COUNTIF(CONFIG_ASIGNATURAS!$B$7:$B$27,nASIG)&gt;0)*1),"")))</f>
        <v/>
      </c>
      <c r="H139" t="str">
        <f>IF(G139="","",IF(G139="[FÓRMULA MANUAL]","",IFERROR(AVERAGEIFS(nNOTA,nNIA,G139,nCUENTA,1,nASIG,"Lenguaje Musical"),"")))</f>
        <v/>
      </c>
      <c r="I139" t="str">
        <f>IF(G139="","",IF(G139="[FÓRMULA MANUAL]","",IFERROR(AVERAGEIFS(nNOTA,nNIA,G139,nCUENTA,1,nASIG,"Orquesta/Banda/Conjunto"),"")))</f>
        <v/>
      </c>
      <c r="J139" t="str">
        <f>IF(G139="","",IF(G139="[FÓRMULA MANUAL]","",IFERROR(AVERAGEIFS(nNOTA,nNIA,G139,nCUENTA,1,nASIG,"Conjunto"),"")))</f>
        <v/>
      </c>
      <c r="K139" t="str">
        <f>IF(G139="","",IF(G139="[FÓRMULA MANUAL]","",IFERROR(SUMPRODUCT((nNIA=G139)*(nCUENTA=1)*(COUNTIF(CONFIG_ASIGNATURAS!$B$7:$B$27,nASIG)&gt;0)*(nNOTA))/SUMPRODUCT((nNIA=G139)*(nCUENTA=1)*(COUNTIF(CONFIG_ASIGNATURAS!$B$7:$B$27,nASIG)&gt;0)*1),"")))</f>
        <v/>
      </c>
      <c r="N139" t="str">
        <f>IF(M139="","",IF(M139="[FÓRMULA MANUAL]","",IFERROR(AVERAGEIFS(nNOTA,nNIA,M139,nCUENTA,1,nASIG,"Armonía"),"")))</f>
        <v/>
      </c>
      <c r="O139" t="str">
        <f>IF(M139="","",IF(M139="[FÓRMULA MANUAL]","",IFERROR(AVERAGEIFS(nNOTA,nNIA,M139,nCUENTA,1,nASIG,"Orquesta/Banda/Conjunto"),"")))</f>
        <v/>
      </c>
      <c r="P139" t="str">
        <f>IF(M139="","",IF(M139="[FÓRMULA MANUAL]","",IFERROR(AVERAGEIFS(nNOTA,nNIA,M139,nCUENTA,1,nASIG,"Música de Cámara"),"")))</f>
        <v/>
      </c>
      <c r="Q139" t="str">
        <f>IF(M139="","",IF(M139="[FÓRMULA MANUAL]","",IFERROR(SUMPRODUCT((nNIA=M139)*(nCUENTA=1)*(COUNTIF(CONFIG_ASIGNATURAS!$B$7:$B$27,nASIG)&gt;0)*(nNOTA))/SUMPRODUCT((nNIA=M139)*(nCUENTA=1)*(COUNTIF(CONFIG_ASIGNATURAS!$B$7:$B$27,nASIG)&gt;0)*1),"")))</f>
        <v/>
      </c>
      <c r="T139" t="str">
        <f>IF(S139="","",IF(S139="[FÓRMULA MANUAL]","",IFERROR(AVERAGEIFS(nNOTA,nNIA,S139,nCUENTA,1,nASIG,"Armonía"),"")))</f>
        <v/>
      </c>
      <c r="U139" t="str">
        <f>IF(S139="","",IF(S139="[FÓRMULA MANUAL]","",IFERROR(AVERAGEIFS(nNOTA,nNIA,S139,nCUENTA,1,nASIG,"Orquesta/Banda/Conjunto"),"")))</f>
        <v/>
      </c>
      <c r="V139" t="str">
        <f>IF(S139="","",IF(S139="[FÓRMULA MANUAL]","",IFERROR(AVERAGEIFS(nNOTA,nNIA,S139,nCUENTA,1,nASIG,"Música de Cámara"),"")))</f>
        <v/>
      </c>
      <c r="W139" t="str">
        <f>IF(S139="","",IF(S139="[FÓRMULA MANUAL]","",IFERROR(SUMPRODUCT((nNIA=S139)*(nCUENTA=1)*(COUNTIF(CONFIG_ASIGNATURAS!$B$7:$B$27,nASIG)&gt;0)*(nNOTA))/SUMPRODUCT((nNIA=S139)*(nCUENTA=1)*(COUNTIF(CONFIG_ASIGNATURAS!$B$7:$B$27,nASIG)&gt;0)*1),"")))</f>
        <v/>
      </c>
      <c r="Z139" t="str">
        <f>IF(Y139="","",IF(Y139="[FÓRMULA MANUAL]","",IFERROR(AVERAGEIFS(nNOTA,nNIA,Y139,nCUENTA,1,nASIG,"Análisis"),"")))</f>
        <v/>
      </c>
      <c r="AA139" t="str">
        <f>IF(Y139="","",IF(Y139="[FÓRMULA MANUAL]","",IFERROR(AVERAGEIFS(nNOTA,nNIA,Y139,nCUENTA,1,nASIG,"Orquesta/Banda/Conjunto"),"")))</f>
        <v/>
      </c>
      <c r="AB139" t="str">
        <f>IF(Y139="","",IF(Y139="[FÓRMULA MANUAL]","",IFERROR(AVERAGEIFS(nNOTA,nNIA,Y139,nCUENTA,1,nASIG,"Música de Cámara"),"")))</f>
        <v/>
      </c>
      <c r="AC139" t="str">
        <f>IF(Y139="","",IF(Y139="[FÓRMULA MANUAL]","",IFERROR(SUMPRODUCT((nNIA=Y139)*(nCUENTA=1)*(COUNTIF(CONFIG_ASIGNATURAS!$B$7:$B$27,nASIG)&gt;0)*(nNOTA))/SUMPRODUCT((nNIA=Y139)*(nCUENTA=1)*(COUNTIF(CONFIG_ASIGNATURAS!$B$7:$B$27,nASIG)&gt;0)*1),"")))</f>
        <v/>
      </c>
      <c r="AF139" t="str">
        <f>IF(AE139="","",IF(AE139="[FÓRMULA MANUAL]","",IFERROR(AVERAGEIFS(nNOTA,nNIA,AE139,nCUENTA,1,nASIG,"Análisis"),"")))</f>
        <v/>
      </c>
      <c r="AG139" t="str">
        <f>IF(AE139="","",IF(AE139="[FÓRMULA MANUAL]","",IFERROR(AVERAGEIFS(nNOTA,nNIA,AE139,nCUENTA,1,nASIG,"Orquesta/Banda/Conjunto"),"")))</f>
        <v/>
      </c>
      <c r="AH139" t="str">
        <f>IF(AE139="","",IF(AE139="[FÓRMULA MANUAL]","",IFERROR(AVERAGEIFS(nNOTA,nNIA,AE139,nCUENTA,1,nASIG,"Música de Cámara"),"")))</f>
        <v/>
      </c>
      <c r="AI139" t="str">
        <f>IF(AE139="","",IF(AE139="[FÓRMULA MANUAL]","",IFERROR(SUMPRODUCT((nNIA=AE139)*(nCUENTA=1)*(COUNTIF(CONFIG_ASIGNATURAS!$B$7:$B$27,nASIG)&gt;0)*(nNOTA))/SUMPRODUCT((nNIA=AE139)*(nCUENTA=1)*(COUNTIF(CONFIG_ASIGNATURAS!$B$7:$B$27,nASIG)&gt;0)*1),"")))</f>
        <v/>
      </c>
    </row>
    <row r="140" spans="2:35" x14ac:dyDescent="0.2">
      <c r="B140" t="str">
        <f>IF(A140="","",IF(A140="[FÓRMULA MANUAL]","",IFERROR(AVERAGEIFS(nNOTA,nNIA,A140,nCUENTA,1,nASIG,"Lenguaje Musical"),"")))</f>
        <v/>
      </c>
      <c r="C140" t="str">
        <f>IF(A140="","",IF(A140="[FÓRMULA MANUAL]","",IFERROR(AVERAGEIFS(nNOTA,nNIA,A140,nCUENTA,1,nASIG,"Orquesta/Banda/Conjunto"),"")))</f>
        <v/>
      </c>
      <c r="D140" t="str">
        <f>IF(A140="","",IF(A140="[FÓRMULA MANUAL]","",IFERROR(AVERAGEIFS(nNOTA,nNIA,A140,nCUENTA,1,nASIG,"Conjunto"),"")))</f>
        <v/>
      </c>
      <c r="E140" t="str">
        <f>IF(A140="","",IF(A140="[FÓRMULA MANUAL]","",IFERROR(SUMPRODUCT((nNIA=A140)*(nCUENTA=1)*(COUNTIF(CONFIG_ASIGNATURAS!$B$7:$B$27,nASIG)&gt;0)*(nNOTA))/SUMPRODUCT((nNIA=A140)*(nCUENTA=1)*(COUNTIF(CONFIG_ASIGNATURAS!$B$7:$B$27,nASIG)&gt;0)*1),"")))</f>
        <v/>
      </c>
      <c r="H140" t="str">
        <f>IF(G140="","",IF(G140="[FÓRMULA MANUAL]","",IFERROR(AVERAGEIFS(nNOTA,nNIA,G140,nCUENTA,1,nASIG,"Lenguaje Musical"),"")))</f>
        <v/>
      </c>
      <c r="I140" t="str">
        <f>IF(G140="","",IF(G140="[FÓRMULA MANUAL]","",IFERROR(AVERAGEIFS(nNOTA,nNIA,G140,nCUENTA,1,nASIG,"Orquesta/Banda/Conjunto"),"")))</f>
        <v/>
      </c>
      <c r="J140" t="str">
        <f>IF(G140="","",IF(G140="[FÓRMULA MANUAL]","",IFERROR(AVERAGEIFS(nNOTA,nNIA,G140,nCUENTA,1,nASIG,"Conjunto"),"")))</f>
        <v/>
      </c>
      <c r="K140" t="str">
        <f>IF(G140="","",IF(G140="[FÓRMULA MANUAL]","",IFERROR(SUMPRODUCT((nNIA=G140)*(nCUENTA=1)*(COUNTIF(CONFIG_ASIGNATURAS!$B$7:$B$27,nASIG)&gt;0)*(nNOTA))/SUMPRODUCT((nNIA=G140)*(nCUENTA=1)*(COUNTIF(CONFIG_ASIGNATURAS!$B$7:$B$27,nASIG)&gt;0)*1),"")))</f>
        <v/>
      </c>
      <c r="N140" t="str">
        <f>IF(M140="","",IF(M140="[FÓRMULA MANUAL]","",IFERROR(AVERAGEIFS(nNOTA,nNIA,M140,nCUENTA,1,nASIG,"Armonía"),"")))</f>
        <v/>
      </c>
      <c r="O140" t="str">
        <f>IF(M140="","",IF(M140="[FÓRMULA MANUAL]","",IFERROR(AVERAGEIFS(nNOTA,nNIA,M140,nCUENTA,1,nASIG,"Orquesta/Banda/Conjunto"),"")))</f>
        <v/>
      </c>
      <c r="P140" t="str">
        <f>IF(M140="","",IF(M140="[FÓRMULA MANUAL]","",IFERROR(AVERAGEIFS(nNOTA,nNIA,M140,nCUENTA,1,nASIG,"Música de Cámara"),"")))</f>
        <v/>
      </c>
      <c r="Q140" t="str">
        <f>IF(M140="","",IF(M140="[FÓRMULA MANUAL]","",IFERROR(SUMPRODUCT((nNIA=M140)*(nCUENTA=1)*(COUNTIF(CONFIG_ASIGNATURAS!$B$7:$B$27,nASIG)&gt;0)*(nNOTA))/SUMPRODUCT((nNIA=M140)*(nCUENTA=1)*(COUNTIF(CONFIG_ASIGNATURAS!$B$7:$B$27,nASIG)&gt;0)*1),"")))</f>
        <v/>
      </c>
      <c r="T140" t="str">
        <f>IF(S140="","",IF(S140="[FÓRMULA MANUAL]","",IFERROR(AVERAGEIFS(nNOTA,nNIA,S140,nCUENTA,1,nASIG,"Armonía"),"")))</f>
        <v/>
      </c>
      <c r="U140" t="str">
        <f>IF(S140="","",IF(S140="[FÓRMULA MANUAL]","",IFERROR(AVERAGEIFS(nNOTA,nNIA,S140,nCUENTA,1,nASIG,"Orquesta/Banda/Conjunto"),"")))</f>
        <v/>
      </c>
      <c r="V140" t="str">
        <f>IF(S140="","",IF(S140="[FÓRMULA MANUAL]","",IFERROR(AVERAGEIFS(nNOTA,nNIA,S140,nCUENTA,1,nASIG,"Música de Cámara"),"")))</f>
        <v/>
      </c>
      <c r="W140" t="str">
        <f>IF(S140="","",IF(S140="[FÓRMULA MANUAL]","",IFERROR(SUMPRODUCT((nNIA=S140)*(nCUENTA=1)*(COUNTIF(CONFIG_ASIGNATURAS!$B$7:$B$27,nASIG)&gt;0)*(nNOTA))/SUMPRODUCT((nNIA=S140)*(nCUENTA=1)*(COUNTIF(CONFIG_ASIGNATURAS!$B$7:$B$27,nASIG)&gt;0)*1),"")))</f>
        <v/>
      </c>
      <c r="Z140" t="str">
        <f>IF(Y140="","",IF(Y140="[FÓRMULA MANUAL]","",IFERROR(AVERAGEIFS(nNOTA,nNIA,Y140,nCUENTA,1,nASIG,"Análisis"),"")))</f>
        <v/>
      </c>
      <c r="AA140" t="str">
        <f>IF(Y140="","",IF(Y140="[FÓRMULA MANUAL]","",IFERROR(AVERAGEIFS(nNOTA,nNIA,Y140,nCUENTA,1,nASIG,"Orquesta/Banda/Conjunto"),"")))</f>
        <v/>
      </c>
      <c r="AB140" t="str">
        <f>IF(Y140="","",IF(Y140="[FÓRMULA MANUAL]","",IFERROR(AVERAGEIFS(nNOTA,nNIA,Y140,nCUENTA,1,nASIG,"Música de Cámara"),"")))</f>
        <v/>
      </c>
      <c r="AC140" t="str">
        <f>IF(Y140="","",IF(Y140="[FÓRMULA MANUAL]","",IFERROR(SUMPRODUCT((nNIA=Y140)*(nCUENTA=1)*(COUNTIF(CONFIG_ASIGNATURAS!$B$7:$B$27,nASIG)&gt;0)*(nNOTA))/SUMPRODUCT((nNIA=Y140)*(nCUENTA=1)*(COUNTIF(CONFIG_ASIGNATURAS!$B$7:$B$27,nASIG)&gt;0)*1),"")))</f>
        <v/>
      </c>
      <c r="AF140" t="str">
        <f>IF(AE140="","",IF(AE140="[FÓRMULA MANUAL]","",IFERROR(AVERAGEIFS(nNOTA,nNIA,AE140,nCUENTA,1,nASIG,"Análisis"),"")))</f>
        <v/>
      </c>
      <c r="AG140" t="str">
        <f>IF(AE140="","",IF(AE140="[FÓRMULA MANUAL]","",IFERROR(AVERAGEIFS(nNOTA,nNIA,AE140,nCUENTA,1,nASIG,"Orquesta/Banda/Conjunto"),"")))</f>
        <v/>
      </c>
      <c r="AH140" t="str">
        <f>IF(AE140="","",IF(AE140="[FÓRMULA MANUAL]","",IFERROR(AVERAGEIFS(nNOTA,nNIA,AE140,nCUENTA,1,nASIG,"Música de Cámara"),"")))</f>
        <v/>
      </c>
      <c r="AI140" t="str">
        <f>IF(AE140="","",IF(AE140="[FÓRMULA MANUAL]","",IFERROR(SUMPRODUCT((nNIA=AE140)*(nCUENTA=1)*(COUNTIF(CONFIG_ASIGNATURAS!$B$7:$B$27,nASIG)&gt;0)*(nNOTA))/SUMPRODUCT((nNIA=AE140)*(nCUENTA=1)*(COUNTIF(CONFIG_ASIGNATURAS!$B$7:$B$27,nASIG)&gt;0)*1),"")))</f>
        <v/>
      </c>
    </row>
    <row r="141" spans="2:35" x14ac:dyDescent="0.2">
      <c r="B141" t="str">
        <f>IF(A141="","",IF(A141="[FÓRMULA MANUAL]","",IFERROR(AVERAGEIFS(nNOTA,nNIA,A141,nCUENTA,1,nASIG,"Lenguaje Musical"),"")))</f>
        <v/>
      </c>
      <c r="C141" t="str">
        <f>IF(A141="","",IF(A141="[FÓRMULA MANUAL]","",IFERROR(AVERAGEIFS(nNOTA,nNIA,A141,nCUENTA,1,nASIG,"Orquesta/Banda/Conjunto"),"")))</f>
        <v/>
      </c>
      <c r="D141" t="str">
        <f>IF(A141="","",IF(A141="[FÓRMULA MANUAL]","",IFERROR(AVERAGEIFS(nNOTA,nNIA,A141,nCUENTA,1,nASIG,"Conjunto"),"")))</f>
        <v/>
      </c>
      <c r="E141" t="str">
        <f>IF(A141="","",IF(A141="[FÓRMULA MANUAL]","",IFERROR(SUMPRODUCT((nNIA=A141)*(nCUENTA=1)*(COUNTIF(CONFIG_ASIGNATURAS!$B$7:$B$27,nASIG)&gt;0)*(nNOTA))/SUMPRODUCT((nNIA=A141)*(nCUENTA=1)*(COUNTIF(CONFIG_ASIGNATURAS!$B$7:$B$27,nASIG)&gt;0)*1),"")))</f>
        <v/>
      </c>
      <c r="H141" t="str">
        <f>IF(G141="","",IF(G141="[FÓRMULA MANUAL]","",IFERROR(AVERAGEIFS(nNOTA,nNIA,G141,nCUENTA,1,nASIG,"Lenguaje Musical"),"")))</f>
        <v/>
      </c>
      <c r="I141" t="str">
        <f>IF(G141="","",IF(G141="[FÓRMULA MANUAL]","",IFERROR(AVERAGEIFS(nNOTA,nNIA,G141,nCUENTA,1,nASIG,"Orquesta/Banda/Conjunto"),"")))</f>
        <v/>
      </c>
      <c r="J141" t="str">
        <f>IF(G141="","",IF(G141="[FÓRMULA MANUAL]","",IFERROR(AVERAGEIFS(nNOTA,nNIA,G141,nCUENTA,1,nASIG,"Conjunto"),"")))</f>
        <v/>
      </c>
      <c r="K141" t="str">
        <f>IF(G141="","",IF(G141="[FÓRMULA MANUAL]","",IFERROR(SUMPRODUCT((nNIA=G141)*(nCUENTA=1)*(COUNTIF(CONFIG_ASIGNATURAS!$B$7:$B$27,nASIG)&gt;0)*(nNOTA))/SUMPRODUCT((nNIA=G141)*(nCUENTA=1)*(COUNTIF(CONFIG_ASIGNATURAS!$B$7:$B$27,nASIG)&gt;0)*1),"")))</f>
        <v/>
      </c>
      <c r="N141" t="str">
        <f>IF(M141="","",IF(M141="[FÓRMULA MANUAL]","",IFERROR(AVERAGEIFS(nNOTA,nNIA,M141,nCUENTA,1,nASIG,"Armonía"),"")))</f>
        <v/>
      </c>
      <c r="O141" t="str">
        <f>IF(M141="","",IF(M141="[FÓRMULA MANUAL]","",IFERROR(AVERAGEIFS(nNOTA,nNIA,M141,nCUENTA,1,nASIG,"Orquesta/Banda/Conjunto"),"")))</f>
        <v/>
      </c>
      <c r="P141" t="str">
        <f>IF(M141="","",IF(M141="[FÓRMULA MANUAL]","",IFERROR(AVERAGEIFS(nNOTA,nNIA,M141,nCUENTA,1,nASIG,"Música de Cámara"),"")))</f>
        <v/>
      </c>
      <c r="Q141" t="str">
        <f>IF(M141="","",IF(M141="[FÓRMULA MANUAL]","",IFERROR(SUMPRODUCT((nNIA=M141)*(nCUENTA=1)*(COUNTIF(CONFIG_ASIGNATURAS!$B$7:$B$27,nASIG)&gt;0)*(nNOTA))/SUMPRODUCT((nNIA=M141)*(nCUENTA=1)*(COUNTIF(CONFIG_ASIGNATURAS!$B$7:$B$27,nASIG)&gt;0)*1),"")))</f>
        <v/>
      </c>
      <c r="T141" t="str">
        <f>IF(S141="","",IF(S141="[FÓRMULA MANUAL]","",IFERROR(AVERAGEIFS(nNOTA,nNIA,S141,nCUENTA,1,nASIG,"Armonía"),"")))</f>
        <v/>
      </c>
      <c r="U141" t="str">
        <f>IF(S141="","",IF(S141="[FÓRMULA MANUAL]","",IFERROR(AVERAGEIFS(nNOTA,nNIA,S141,nCUENTA,1,nASIG,"Orquesta/Banda/Conjunto"),"")))</f>
        <v/>
      </c>
      <c r="V141" t="str">
        <f>IF(S141="","",IF(S141="[FÓRMULA MANUAL]","",IFERROR(AVERAGEIFS(nNOTA,nNIA,S141,nCUENTA,1,nASIG,"Música de Cámara"),"")))</f>
        <v/>
      </c>
      <c r="W141" t="str">
        <f>IF(S141="","",IF(S141="[FÓRMULA MANUAL]","",IFERROR(SUMPRODUCT((nNIA=S141)*(nCUENTA=1)*(COUNTIF(CONFIG_ASIGNATURAS!$B$7:$B$27,nASIG)&gt;0)*(nNOTA))/SUMPRODUCT((nNIA=S141)*(nCUENTA=1)*(COUNTIF(CONFIG_ASIGNATURAS!$B$7:$B$27,nASIG)&gt;0)*1),"")))</f>
        <v/>
      </c>
      <c r="Z141" t="str">
        <f>IF(Y141="","",IF(Y141="[FÓRMULA MANUAL]","",IFERROR(AVERAGEIFS(nNOTA,nNIA,Y141,nCUENTA,1,nASIG,"Análisis"),"")))</f>
        <v/>
      </c>
      <c r="AA141" t="str">
        <f>IF(Y141="","",IF(Y141="[FÓRMULA MANUAL]","",IFERROR(AVERAGEIFS(nNOTA,nNIA,Y141,nCUENTA,1,nASIG,"Orquesta/Banda/Conjunto"),"")))</f>
        <v/>
      </c>
      <c r="AB141" t="str">
        <f>IF(Y141="","",IF(Y141="[FÓRMULA MANUAL]","",IFERROR(AVERAGEIFS(nNOTA,nNIA,Y141,nCUENTA,1,nASIG,"Música de Cámara"),"")))</f>
        <v/>
      </c>
      <c r="AC141" t="str">
        <f>IF(Y141="","",IF(Y141="[FÓRMULA MANUAL]","",IFERROR(SUMPRODUCT((nNIA=Y141)*(nCUENTA=1)*(COUNTIF(CONFIG_ASIGNATURAS!$B$7:$B$27,nASIG)&gt;0)*(nNOTA))/SUMPRODUCT((nNIA=Y141)*(nCUENTA=1)*(COUNTIF(CONFIG_ASIGNATURAS!$B$7:$B$27,nASIG)&gt;0)*1),"")))</f>
        <v/>
      </c>
      <c r="AF141" t="str">
        <f>IF(AE141="","",IF(AE141="[FÓRMULA MANUAL]","",IFERROR(AVERAGEIFS(nNOTA,nNIA,AE141,nCUENTA,1,nASIG,"Análisis"),"")))</f>
        <v/>
      </c>
      <c r="AG141" t="str">
        <f>IF(AE141="","",IF(AE141="[FÓRMULA MANUAL]","",IFERROR(AVERAGEIFS(nNOTA,nNIA,AE141,nCUENTA,1,nASIG,"Orquesta/Banda/Conjunto"),"")))</f>
        <v/>
      </c>
      <c r="AH141" t="str">
        <f>IF(AE141="","",IF(AE141="[FÓRMULA MANUAL]","",IFERROR(AVERAGEIFS(nNOTA,nNIA,AE141,nCUENTA,1,nASIG,"Música de Cámara"),"")))</f>
        <v/>
      </c>
      <c r="AI141" t="str">
        <f>IF(AE141="","",IF(AE141="[FÓRMULA MANUAL]","",IFERROR(SUMPRODUCT((nNIA=AE141)*(nCUENTA=1)*(COUNTIF(CONFIG_ASIGNATURAS!$B$7:$B$27,nASIG)&gt;0)*(nNOTA))/SUMPRODUCT((nNIA=AE141)*(nCUENTA=1)*(COUNTIF(CONFIG_ASIGNATURAS!$B$7:$B$27,nASIG)&gt;0)*1),"")))</f>
        <v/>
      </c>
    </row>
    <row r="142" spans="2:35" x14ac:dyDescent="0.2">
      <c r="B142" t="str">
        <f>IF(A142="","",IF(A142="[FÓRMULA MANUAL]","",IFERROR(AVERAGEIFS(nNOTA,nNIA,A142,nCUENTA,1,nASIG,"Lenguaje Musical"),"")))</f>
        <v/>
      </c>
      <c r="C142" t="str">
        <f>IF(A142="","",IF(A142="[FÓRMULA MANUAL]","",IFERROR(AVERAGEIFS(nNOTA,nNIA,A142,nCUENTA,1,nASIG,"Orquesta/Banda/Conjunto"),"")))</f>
        <v/>
      </c>
      <c r="D142" t="str">
        <f>IF(A142="","",IF(A142="[FÓRMULA MANUAL]","",IFERROR(AVERAGEIFS(nNOTA,nNIA,A142,nCUENTA,1,nASIG,"Conjunto"),"")))</f>
        <v/>
      </c>
      <c r="E142" t="str">
        <f>IF(A142="","",IF(A142="[FÓRMULA MANUAL]","",IFERROR(SUMPRODUCT((nNIA=A142)*(nCUENTA=1)*(COUNTIF(CONFIG_ASIGNATURAS!$B$7:$B$27,nASIG)&gt;0)*(nNOTA))/SUMPRODUCT((nNIA=A142)*(nCUENTA=1)*(COUNTIF(CONFIG_ASIGNATURAS!$B$7:$B$27,nASIG)&gt;0)*1),"")))</f>
        <v/>
      </c>
      <c r="H142" t="str">
        <f>IF(G142="","",IF(G142="[FÓRMULA MANUAL]","",IFERROR(AVERAGEIFS(nNOTA,nNIA,G142,nCUENTA,1,nASIG,"Lenguaje Musical"),"")))</f>
        <v/>
      </c>
      <c r="I142" t="str">
        <f>IF(G142="","",IF(G142="[FÓRMULA MANUAL]","",IFERROR(AVERAGEIFS(nNOTA,nNIA,G142,nCUENTA,1,nASIG,"Orquesta/Banda/Conjunto"),"")))</f>
        <v/>
      </c>
      <c r="J142" t="str">
        <f>IF(G142="","",IF(G142="[FÓRMULA MANUAL]","",IFERROR(AVERAGEIFS(nNOTA,nNIA,G142,nCUENTA,1,nASIG,"Conjunto"),"")))</f>
        <v/>
      </c>
      <c r="K142" t="str">
        <f>IF(G142="","",IF(G142="[FÓRMULA MANUAL]","",IFERROR(SUMPRODUCT((nNIA=G142)*(nCUENTA=1)*(COUNTIF(CONFIG_ASIGNATURAS!$B$7:$B$27,nASIG)&gt;0)*(nNOTA))/SUMPRODUCT((nNIA=G142)*(nCUENTA=1)*(COUNTIF(CONFIG_ASIGNATURAS!$B$7:$B$27,nASIG)&gt;0)*1),"")))</f>
        <v/>
      </c>
      <c r="N142" t="str">
        <f>IF(M142="","",IF(M142="[FÓRMULA MANUAL]","",IFERROR(AVERAGEIFS(nNOTA,nNIA,M142,nCUENTA,1,nASIG,"Armonía"),"")))</f>
        <v/>
      </c>
      <c r="O142" t="str">
        <f>IF(M142="","",IF(M142="[FÓRMULA MANUAL]","",IFERROR(AVERAGEIFS(nNOTA,nNIA,M142,nCUENTA,1,nASIG,"Orquesta/Banda/Conjunto"),"")))</f>
        <v/>
      </c>
      <c r="P142" t="str">
        <f>IF(M142="","",IF(M142="[FÓRMULA MANUAL]","",IFERROR(AVERAGEIFS(nNOTA,nNIA,M142,nCUENTA,1,nASIG,"Música de Cámara"),"")))</f>
        <v/>
      </c>
      <c r="Q142" t="str">
        <f>IF(M142="","",IF(M142="[FÓRMULA MANUAL]","",IFERROR(SUMPRODUCT((nNIA=M142)*(nCUENTA=1)*(COUNTIF(CONFIG_ASIGNATURAS!$B$7:$B$27,nASIG)&gt;0)*(nNOTA))/SUMPRODUCT((nNIA=M142)*(nCUENTA=1)*(COUNTIF(CONFIG_ASIGNATURAS!$B$7:$B$27,nASIG)&gt;0)*1),"")))</f>
        <v/>
      </c>
      <c r="T142" t="str">
        <f>IF(S142="","",IF(S142="[FÓRMULA MANUAL]","",IFERROR(AVERAGEIFS(nNOTA,nNIA,S142,nCUENTA,1,nASIG,"Armonía"),"")))</f>
        <v/>
      </c>
      <c r="U142" t="str">
        <f>IF(S142="","",IF(S142="[FÓRMULA MANUAL]","",IFERROR(AVERAGEIFS(nNOTA,nNIA,S142,nCUENTA,1,nASIG,"Orquesta/Banda/Conjunto"),"")))</f>
        <v/>
      </c>
      <c r="V142" t="str">
        <f>IF(S142="","",IF(S142="[FÓRMULA MANUAL]","",IFERROR(AVERAGEIFS(nNOTA,nNIA,S142,nCUENTA,1,nASIG,"Música de Cámara"),"")))</f>
        <v/>
      </c>
      <c r="W142" t="str">
        <f>IF(S142="","",IF(S142="[FÓRMULA MANUAL]","",IFERROR(SUMPRODUCT((nNIA=S142)*(nCUENTA=1)*(COUNTIF(CONFIG_ASIGNATURAS!$B$7:$B$27,nASIG)&gt;0)*(nNOTA))/SUMPRODUCT((nNIA=S142)*(nCUENTA=1)*(COUNTIF(CONFIG_ASIGNATURAS!$B$7:$B$27,nASIG)&gt;0)*1),"")))</f>
        <v/>
      </c>
      <c r="Z142" t="str">
        <f>IF(Y142="","",IF(Y142="[FÓRMULA MANUAL]","",IFERROR(AVERAGEIFS(nNOTA,nNIA,Y142,nCUENTA,1,nASIG,"Análisis"),"")))</f>
        <v/>
      </c>
      <c r="AA142" t="str">
        <f>IF(Y142="","",IF(Y142="[FÓRMULA MANUAL]","",IFERROR(AVERAGEIFS(nNOTA,nNIA,Y142,nCUENTA,1,nASIG,"Orquesta/Banda/Conjunto"),"")))</f>
        <v/>
      </c>
      <c r="AB142" t="str">
        <f>IF(Y142="","",IF(Y142="[FÓRMULA MANUAL]","",IFERROR(AVERAGEIFS(nNOTA,nNIA,Y142,nCUENTA,1,nASIG,"Música de Cámara"),"")))</f>
        <v/>
      </c>
      <c r="AC142" t="str">
        <f>IF(Y142="","",IF(Y142="[FÓRMULA MANUAL]","",IFERROR(SUMPRODUCT((nNIA=Y142)*(nCUENTA=1)*(COUNTIF(CONFIG_ASIGNATURAS!$B$7:$B$27,nASIG)&gt;0)*(nNOTA))/SUMPRODUCT((nNIA=Y142)*(nCUENTA=1)*(COUNTIF(CONFIG_ASIGNATURAS!$B$7:$B$27,nASIG)&gt;0)*1),"")))</f>
        <v/>
      </c>
      <c r="AF142" t="str">
        <f>IF(AE142="","",IF(AE142="[FÓRMULA MANUAL]","",IFERROR(AVERAGEIFS(nNOTA,nNIA,AE142,nCUENTA,1,nASIG,"Análisis"),"")))</f>
        <v/>
      </c>
      <c r="AG142" t="str">
        <f>IF(AE142="","",IF(AE142="[FÓRMULA MANUAL]","",IFERROR(AVERAGEIFS(nNOTA,nNIA,AE142,nCUENTA,1,nASIG,"Orquesta/Banda/Conjunto"),"")))</f>
        <v/>
      </c>
      <c r="AH142" t="str">
        <f>IF(AE142="","",IF(AE142="[FÓRMULA MANUAL]","",IFERROR(AVERAGEIFS(nNOTA,nNIA,AE142,nCUENTA,1,nASIG,"Música de Cámara"),"")))</f>
        <v/>
      </c>
      <c r="AI142" t="str">
        <f>IF(AE142="","",IF(AE142="[FÓRMULA MANUAL]","",IFERROR(SUMPRODUCT((nNIA=AE142)*(nCUENTA=1)*(COUNTIF(CONFIG_ASIGNATURAS!$B$7:$B$27,nASIG)&gt;0)*(nNOTA))/SUMPRODUCT((nNIA=AE142)*(nCUENTA=1)*(COUNTIF(CONFIG_ASIGNATURAS!$B$7:$B$27,nASIG)&gt;0)*1),"")))</f>
        <v/>
      </c>
    </row>
    <row r="143" spans="2:35" x14ac:dyDescent="0.2">
      <c r="B143" t="str">
        <f>IF(A143="","",IF(A143="[FÓRMULA MANUAL]","",IFERROR(AVERAGEIFS(nNOTA,nNIA,A143,nCUENTA,1,nASIG,"Lenguaje Musical"),"")))</f>
        <v/>
      </c>
      <c r="C143" t="str">
        <f>IF(A143="","",IF(A143="[FÓRMULA MANUAL]","",IFERROR(AVERAGEIFS(nNOTA,nNIA,A143,nCUENTA,1,nASIG,"Orquesta/Banda/Conjunto"),"")))</f>
        <v/>
      </c>
      <c r="D143" t="str">
        <f>IF(A143="","",IF(A143="[FÓRMULA MANUAL]","",IFERROR(AVERAGEIFS(nNOTA,nNIA,A143,nCUENTA,1,nASIG,"Conjunto"),"")))</f>
        <v/>
      </c>
      <c r="E143" t="str">
        <f>IF(A143="","",IF(A143="[FÓRMULA MANUAL]","",IFERROR(SUMPRODUCT((nNIA=A143)*(nCUENTA=1)*(COUNTIF(CONFIG_ASIGNATURAS!$B$7:$B$27,nASIG)&gt;0)*(nNOTA))/SUMPRODUCT((nNIA=A143)*(nCUENTA=1)*(COUNTIF(CONFIG_ASIGNATURAS!$B$7:$B$27,nASIG)&gt;0)*1),"")))</f>
        <v/>
      </c>
      <c r="H143" t="str">
        <f>IF(G143="","",IF(G143="[FÓRMULA MANUAL]","",IFERROR(AVERAGEIFS(nNOTA,nNIA,G143,nCUENTA,1,nASIG,"Lenguaje Musical"),"")))</f>
        <v/>
      </c>
      <c r="I143" t="str">
        <f>IF(G143="","",IF(G143="[FÓRMULA MANUAL]","",IFERROR(AVERAGEIFS(nNOTA,nNIA,G143,nCUENTA,1,nASIG,"Orquesta/Banda/Conjunto"),"")))</f>
        <v/>
      </c>
      <c r="J143" t="str">
        <f>IF(G143="","",IF(G143="[FÓRMULA MANUAL]","",IFERROR(AVERAGEIFS(nNOTA,nNIA,G143,nCUENTA,1,nASIG,"Conjunto"),"")))</f>
        <v/>
      </c>
      <c r="K143" t="str">
        <f>IF(G143="","",IF(G143="[FÓRMULA MANUAL]","",IFERROR(SUMPRODUCT((nNIA=G143)*(nCUENTA=1)*(COUNTIF(CONFIG_ASIGNATURAS!$B$7:$B$27,nASIG)&gt;0)*(nNOTA))/SUMPRODUCT((nNIA=G143)*(nCUENTA=1)*(COUNTIF(CONFIG_ASIGNATURAS!$B$7:$B$27,nASIG)&gt;0)*1),"")))</f>
        <v/>
      </c>
      <c r="N143" t="str">
        <f>IF(M143="","",IF(M143="[FÓRMULA MANUAL]","",IFERROR(AVERAGEIFS(nNOTA,nNIA,M143,nCUENTA,1,nASIG,"Armonía"),"")))</f>
        <v/>
      </c>
      <c r="O143" t="str">
        <f>IF(M143="","",IF(M143="[FÓRMULA MANUAL]","",IFERROR(AVERAGEIFS(nNOTA,nNIA,M143,nCUENTA,1,nASIG,"Orquesta/Banda/Conjunto"),"")))</f>
        <v/>
      </c>
      <c r="P143" t="str">
        <f>IF(M143="","",IF(M143="[FÓRMULA MANUAL]","",IFERROR(AVERAGEIFS(nNOTA,nNIA,M143,nCUENTA,1,nASIG,"Música de Cámara"),"")))</f>
        <v/>
      </c>
      <c r="Q143" t="str">
        <f>IF(M143="","",IF(M143="[FÓRMULA MANUAL]","",IFERROR(SUMPRODUCT((nNIA=M143)*(nCUENTA=1)*(COUNTIF(CONFIG_ASIGNATURAS!$B$7:$B$27,nASIG)&gt;0)*(nNOTA))/SUMPRODUCT((nNIA=M143)*(nCUENTA=1)*(COUNTIF(CONFIG_ASIGNATURAS!$B$7:$B$27,nASIG)&gt;0)*1),"")))</f>
        <v/>
      </c>
      <c r="T143" t="str">
        <f>IF(S143="","",IF(S143="[FÓRMULA MANUAL]","",IFERROR(AVERAGEIFS(nNOTA,nNIA,S143,nCUENTA,1,nASIG,"Armonía"),"")))</f>
        <v/>
      </c>
      <c r="U143" t="str">
        <f>IF(S143="","",IF(S143="[FÓRMULA MANUAL]","",IFERROR(AVERAGEIFS(nNOTA,nNIA,S143,nCUENTA,1,nASIG,"Orquesta/Banda/Conjunto"),"")))</f>
        <v/>
      </c>
      <c r="V143" t="str">
        <f>IF(S143="","",IF(S143="[FÓRMULA MANUAL]","",IFERROR(AVERAGEIFS(nNOTA,nNIA,S143,nCUENTA,1,nASIG,"Música de Cámara"),"")))</f>
        <v/>
      </c>
      <c r="W143" t="str">
        <f>IF(S143="","",IF(S143="[FÓRMULA MANUAL]","",IFERROR(SUMPRODUCT((nNIA=S143)*(nCUENTA=1)*(COUNTIF(CONFIG_ASIGNATURAS!$B$7:$B$27,nASIG)&gt;0)*(nNOTA))/SUMPRODUCT((nNIA=S143)*(nCUENTA=1)*(COUNTIF(CONFIG_ASIGNATURAS!$B$7:$B$27,nASIG)&gt;0)*1),"")))</f>
        <v/>
      </c>
      <c r="Z143" t="str">
        <f>IF(Y143="","",IF(Y143="[FÓRMULA MANUAL]","",IFERROR(AVERAGEIFS(nNOTA,nNIA,Y143,nCUENTA,1,nASIG,"Análisis"),"")))</f>
        <v/>
      </c>
      <c r="AA143" t="str">
        <f>IF(Y143="","",IF(Y143="[FÓRMULA MANUAL]","",IFERROR(AVERAGEIFS(nNOTA,nNIA,Y143,nCUENTA,1,nASIG,"Orquesta/Banda/Conjunto"),"")))</f>
        <v/>
      </c>
      <c r="AB143" t="str">
        <f>IF(Y143="","",IF(Y143="[FÓRMULA MANUAL]","",IFERROR(AVERAGEIFS(nNOTA,nNIA,Y143,nCUENTA,1,nASIG,"Música de Cámara"),"")))</f>
        <v/>
      </c>
      <c r="AC143" t="str">
        <f>IF(Y143="","",IF(Y143="[FÓRMULA MANUAL]","",IFERROR(SUMPRODUCT((nNIA=Y143)*(nCUENTA=1)*(COUNTIF(CONFIG_ASIGNATURAS!$B$7:$B$27,nASIG)&gt;0)*(nNOTA))/SUMPRODUCT((nNIA=Y143)*(nCUENTA=1)*(COUNTIF(CONFIG_ASIGNATURAS!$B$7:$B$27,nASIG)&gt;0)*1),"")))</f>
        <v/>
      </c>
      <c r="AF143" t="str">
        <f>IF(AE143="","",IF(AE143="[FÓRMULA MANUAL]","",IFERROR(AVERAGEIFS(nNOTA,nNIA,AE143,nCUENTA,1,nASIG,"Análisis"),"")))</f>
        <v/>
      </c>
      <c r="AG143" t="str">
        <f>IF(AE143="","",IF(AE143="[FÓRMULA MANUAL]","",IFERROR(AVERAGEIFS(nNOTA,nNIA,AE143,nCUENTA,1,nASIG,"Orquesta/Banda/Conjunto"),"")))</f>
        <v/>
      </c>
      <c r="AH143" t="str">
        <f>IF(AE143="","",IF(AE143="[FÓRMULA MANUAL]","",IFERROR(AVERAGEIFS(nNOTA,nNIA,AE143,nCUENTA,1,nASIG,"Música de Cámara"),"")))</f>
        <v/>
      </c>
      <c r="AI143" t="str">
        <f>IF(AE143="","",IF(AE143="[FÓRMULA MANUAL]","",IFERROR(SUMPRODUCT((nNIA=AE143)*(nCUENTA=1)*(COUNTIF(CONFIG_ASIGNATURAS!$B$7:$B$27,nASIG)&gt;0)*(nNOTA))/SUMPRODUCT((nNIA=AE143)*(nCUENTA=1)*(COUNTIF(CONFIG_ASIGNATURAS!$B$7:$B$27,nASIG)&gt;0)*1),"")))</f>
        <v/>
      </c>
    </row>
    <row r="144" spans="2:35" x14ac:dyDescent="0.2">
      <c r="B144" t="str">
        <f>IF(A144="","",IF(A144="[FÓRMULA MANUAL]","",IFERROR(AVERAGEIFS(nNOTA,nNIA,A144,nCUENTA,1,nASIG,"Lenguaje Musical"),"")))</f>
        <v/>
      </c>
      <c r="C144" t="str">
        <f>IF(A144="","",IF(A144="[FÓRMULA MANUAL]","",IFERROR(AVERAGEIFS(nNOTA,nNIA,A144,nCUENTA,1,nASIG,"Orquesta/Banda/Conjunto"),"")))</f>
        <v/>
      </c>
      <c r="D144" t="str">
        <f>IF(A144="","",IF(A144="[FÓRMULA MANUAL]","",IFERROR(AVERAGEIFS(nNOTA,nNIA,A144,nCUENTA,1,nASIG,"Conjunto"),"")))</f>
        <v/>
      </c>
      <c r="E144" t="str">
        <f>IF(A144="","",IF(A144="[FÓRMULA MANUAL]","",IFERROR(SUMPRODUCT((nNIA=A144)*(nCUENTA=1)*(COUNTIF(CONFIG_ASIGNATURAS!$B$7:$B$27,nASIG)&gt;0)*(nNOTA))/SUMPRODUCT((nNIA=A144)*(nCUENTA=1)*(COUNTIF(CONFIG_ASIGNATURAS!$B$7:$B$27,nASIG)&gt;0)*1),"")))</f>
        <v/>
      </c>
      <c r="H144" t="str">
        <f>IF(G144="","",IF(G144="[FÓRMULA MANUAL]","",IFERROR(AVERAGEIFS(nNOTA,nNIA,G144,nCUENTA,1,nASIG,"Lenguaje Musical"),"")))</f>
        <v/>
      </c>
      <c r="I144" t="str">
        <f>IF(G144="","",IF(G144="[FÓRMULA MANUAL]","",IFERROR(AVERAGEIFS(nNOTA,nNIA,G144,nCUENTA,1,nASIG,"Orquesta/Banda/Conjunto"),"")))</f>
        <v/>
      </c>
      <c r="J144" t="str">
        <f>IF(G144="","",IF(G144="[FÓRMULA MANUAL]","",IFERROR(AVERAGEIFS(nNOTA,nNIA,G144,nCUENTA,1,nASIG,"Conjunto"),"")))</f>
        <v/>
      </c>
      <c r="K144" t="str">
        <f>IF(G144="","",IF(G144="[FÓRMULA MANUAL]","",IFERROR(SUMPRODUCT((nNIA=G144)*(nCUENTA=1)*(COUNTIF(CONFIG_ASIGNATURAS!$B$7:$B$27,nASIG)&gt;0)*(nNOTA))/SUMPRODUCT((nNIA=G144)*(nCUENTA=1)*(COUNTIF(CONFIG_ASIGNATURAS!$B$7:$B$27,nASIG)&gt;0)*1),"")))</f>
        <v/>
      </c>
      <c r="N144" t="str">
        <f>IF(M144="","",IF(M144="[FÓRMULA MANUAL]","",IFERROR(AVERAGEIFS(nNOTA,nNIA,M144,nCUENTA,1,nASIG,"Armonía"),"")))</f>
        <v/>
      </c>
      <c r="O144" t="str">
        <f>IF(M144="","",IF(M144="[FÓRMULA MANUAL]","",IFERROR(AVERAGEIFS(nNOTA,nNIA,M144,nCUENTA,1,nASIG,"Orquesta/Banda/Conjunto"),"")))</f>
        <v/>
      </c>
      <c r="P144" t="str">
        <f>IF(M144="","",IF(M144="[FÓRMULA MANUAL]","",IFERROR(AVERAGEIFS(nNOTA,nNIA,M144,nCUENTA,1,nASIG,"Música de Cámara"),"")))</f>
        <v/>
      </c>
      <c r="Q144" t="str">
        <f>IF(M144="","",IF(M144="[FÓRMULA MANUAL]","",IFERROR(SUMPRODUCT((nNIA=M144)*(nCUENTA=1)*(COUNTIF(CONFIG_ASIGNATURAS!$B$7:$B$27,nASIG)&gt;0)*(nNOTA))/SUMPRODUCT((nNIA=M144)*(nCUENTA=1)*(COUNTIF(CONFIG_ASIGNATURAS!$B$7:$B$27,nASIG)&gt;0)*1),"")))</f>
        <v/>
      </c>
      <c r="T144" t="str">
        <f>IF(S144="","",IF(S144="[FÓRMULA MANUAL]","",IFERROR(AVERAGEIFS(nNOTA,nNIA,S144,nCUENTA,1,nASIG,"Armonía"),"")))</f>
        <v/>
      </c>
      <c r="U144" t="str">
        <f>IF(S144="","",IF(S144="[FÓRMULA MANUAL]","",IFERROR(AVERAGEIFS(nNOTA,nNIA,S144,nCUENTA,1,nASIG,"Orquesta/Banda/Conjunto"),"")))</f>
        <v/>
      </c>
      <c r="V144" t="str">
        <f>IF(S144="","",IF(S144="[FÓRMULA MANUAL]","",IFERROR(AVERAGEIFS(nNOTA,nNIA,S144,nCUENTA,1,nASIG,"Música de Cámara"),"")))</f>
        <v/>
      </c>
      <c r="W144" t="str">
        <f>IF(S144="","",IF(S144="[FÓRMULA MANUAL]","",IFERROR(SUMPRODUCT((nNIA=S144)*(nCUENTA=1)*(COUNTIF(CONFIG_ASIGNATURAS!$B$7:$B$27,nASIG)&gt;0)*(nNOTA))/SUMPRODUCT((nNIA=S144)*(nCUENTA=1)*(COUNTIF(CONFIG_ASIGNATURAS!$B$7:$B$27,nASIG)&gt;0)*1),"")))</f>
        <v/>
      </c>
      <c r="Z144" t="str">
        <f>IF(Y144="","",IF(Y144="[FÓRMULA MANUAL]","",IFERROR(AVERAGEIFS(nNOTA,nNIA,Y144,nCUENTA,1,nASIG,"Análisis"),"")))</f>
        <v/>
      </c>
      <c r="AA144" t="str">
        <f>IF(Y144="","",IF(Y144="[FÓRMULA MANUAL]","",IFERROR(AVERAGEIFS(nNOTA,nNIA,Y144,nCUENTA,1,nASIG,"Orquesta/Banda/Conjunto"),"")))</f>
        <v/>
      </c>
      <c r="AB144" t="str">
        <f>IF(Y144="","",IF(Y144="[FÓRMULA MANUAL]","",IFERROR(AVERAGEIFS(nNOTA,nNIA,Y144,nCUENTA,1,nASIG,"Música de Cámara"),"")))</f>
        <v/>
      </c>
      <c r="AC144" t="str">
        <f>IF(Y144="","",IF(Y144="[FÓRMULA MANUAL]","",IFERROR(SUMPRODUCT((nNIA=Y144)*(nCUENTA=1)*(COUNTIF(CONFIG_ASIGNATURAS!$B$7:$B$27,nASIG)&gt;0)*(nNOTA))/SUMPRODUCT((nNIA=Y144)*(nCUENTA=1)*(COUNTIF(CONFIG_ASIGNATURAS!$B$7:$B$27,nASIG)&gt;0)*1),"")))</f>
        <v/>
      </c>
      <c r="AF144" t="str">
        <f>IF(AE144="","",IF(AE144="[FÓRMULA MANUAL]","",IFERROR(AVERAGEIFS(nNOTA,nNIA,AE144,nCUENTA,1,nASIG,"Análisis"),"")))</f>
        <v/>
      </c>
      <c r="AG144" t="str">
        <f>IF(AE144="","",IF(AE144="[FÓRMULA MANUAL]","",IFERROR(AVERAGEIFS(nNOTA,nNIA,AE144,nCUENTA,1,nASIG,"Orquesta/Banda/Conjunto"),"")))</f>
        <v/>
      </c>
      <c r="AH144" t="str">
        <f>IF(AE144="","",IF(AE144="[FÓRMULA MANUAL]","",IFERROR(AVERAGEIFS(nNOTA,nNIA,AE144,nCUENTA,1,nASIG,"Música de Cámara"),"")))</f>
        <v/>
      </c>
      <c r="AI144" t="str">
        <f>IF(AE144="","",IF(AE144="[FÓRMULA MANUAL]","",IFERROR(SUMPRODUCT((nNIA=AE144)*(nCUENTA=1)*(COUNTIF(CONFIG_ASIGNATURAS!$B$7:$B$27,nASIG)&gt;0)*(nNOTA))/SUMPRODUCT((nNIA=AE144)*(nCUENTA=1)*(COUNTIF(CONFIG_ASIGNATURAS!$B$7:$B$27,nASIG)&gt;0)*1),"")))</f>
        <v/>
      </c>
    </row>
    <row r="145" spans="2:35" x14ac:dyDescent="0.2">
      <c r="B145" t="str">
        <f>IF(A145="","",IF(A145="[FÓRMULA MANUAL]","",IFERROR(AVERAGEIFS(nNOTA,nNIA,A145,nCUENTA,1,nASIG,"Lenguaje Musical"),"")))</f>
        <v/>
      </c>
      <c r="C145" t="str">
        <f>IF(A145="","",IF(A145="[FÓRMULA MANUAL]","",IFERROR(AVERAGEIFS(nNOTA,nNIA,A145,nCUENTA,1,nASIG,"Orquesta/Banda/Conjunto"),"")))</f>
        <v/>
      </c>
      <c r="D145" t="str">
        <f>IF(A145="","",IF(A145="[FÓRMULA MANUAL]","",IFERROR(AVERAGEIFS(nNOTA,nNIA,A145,nCUENTA,1,nASIG,"Conjunto"),"")))</f>
        <v/>
      </c>
      <c r="E145" t="str">
        <f>IF(A145="","",IF(A145="[FÓRMULA MANUAL]","",IFERROR(SUMPRODUCT((nNIA=A145)*(nCUENTA=1)*(COUNTIF(CONFIG_ASIGNATURAS!$B$7:$B$27,nASIG)&gt;0)*(nNOTA))/SUMPRODUCT((nNIA=A145)*(nCUENTA=1)*(COUNTIF(CONFIG_ASIGNATURAS!$B$7:$B$27,nASIG)&gt;0)*1),"")))</f>
        <v/>
      </c>
      <c r="H145" t="str">
        <f>IF(G145="","",IF(G145="[FÓRMULA MANUAL]","",IFERROR(AVERAGEIFS(nNOTA,nNIA,G145,nCUENTA,1,nASIG,"Lenguaje Musical"),"")))</f>
        <v/>
      </c>
      <c r="I145" t="str">
        <f>IF(G145="","",IF(G145="[FÓRMULA MANUAL]","",IFERROR(AVERAGEIFS(nNOTA,nNIA,G145,nCUENTA,1,nASIG,"Orquesta/Banda/Conjunto"),"")))</f>
        <v/>
      </c>
      <c r="J145" t="str">
        <f>IF(G145="","",IF(G145="[FÓRMULA MANUAL]","",IFERROR(AVERAGEIFS(nNOTA,nNIA,G145,nCUENTA,1,nASIG,"Conjunto"),"")))</f>
        <v/>
      </c>
      <c r="K145" t="str">
        <f>IF(G145="","",IF(G145="[FÓRMULA MANUAL]","",IFERROR(SUMPRODUCT((nNIA=G145)*(nCUENTA=1)*(COUNTIF(CONFIG_ASIGNATURAS!$B$7:$B$27,nASIG)&gt;0)*(nNOTA))/SUMPRODUCT((nNIA=G145)*(nCUENTA=1)*(COUNTIF(CONFIG_ASIGNATURAS!$B$7:$B$27,nASIG)&gt;0)*1),"")))</f>
        <v/>
      </c>
      <c r="N145" t="str">
        <f>IF(M145="","",IF(M145="[FÓRMULA MANUAL]","",IFERROR(AVERAGEIFS(nNOTA,nNIA,M145,nCUENTA,1,nASIG,"Armonía"),"")))</f>
        <v/>
      </c>
      <c r="O145" t="str">
        <f>IF(M145="","",IF(M145="[FÓRMULA MANUAL]","",IFERROR(AVERAGEIFS(nNOTA,nNIA,M145,nCUENTA,1,nASIG,"Orquesta/Banda/Conjunto"),"")))</f>
        <v/>
      </c>
      <c r="P145" t="str">
        <f>IF(M145="","",IF(M145="[FÓRMULA MANUAL]","",IFERROR(AVERAGEIFS(nNOTA,nNIA,M145,nCUENTA,1,nASIG,"Música de Cámara"),"")))</f>
        <v/>
      </c>
      <c r="Q145" t="str">
        <f>IF(M145="","",IF(M145="[FÓRMULA MANUAL]","",IFERROR(SUMPRODUCT((nNIA=M145)*(nCUENTA=1)*(COUNTIF(CONFIG_ASIGNATURAS!$B$7:$B$27,nASIG)&gt;0)*(nNOTA))/SUMPRODUCT((nNIA=M145)*(nCUENTA=1)*(COUNTIF(CONFIG_ASIGNATURAS!$B$7:$B$27,nASIG)&gt;0)*1),"")))</f>
        <v/>
      </c>
      <c r="T145" t="str">
        <f>IF(S145="","",IF(S145="[FÓRMULA MANUAL]","",IFERROR(AVERAGEIFS(nNOTA,nNIA,S145,nCUENTA,1,nASIG,"Armonía"),"")))</f>
        <v/>
      </c>
      <c r="U145" t="str">
        <f>IF(S145="","",IF(S145="[FÓRMULA MANUAL]","",IFERROR(AVERAGEIFS(nNOTA,nNIA,S145,nCUENTA,1,nASIG,"Orquesta/Banda/Conjunto"),"")))</f>
        <v/>
      </c>
      <c r="V145" t="str">
        <f>IF(S145="","",IF(S145="[FÓRMULA MANUAL]","",IFERROR(AVERAGEIFS(nNOTA,nNIA,S145,nCUENTA,1,nASIG,"Música de Cámara"),"")))</f>
        <v/>
      </c>
      <c r="W145" t="str">
        <f>IF(S145="","",IF(S145="[FÓRMULA MANUAL]","",IFERROR(SUMPRODUCT((nNIA=S145)*(nCUENTA=1)*(COUNTIF(CONFIG_ASIGNATURAS!$B$7:$B$27,nASIG)&gt;0)*(nNOTA))/SUMPRODUCT((nNIA=S145)*(nCUENTA=1)*(COUNTIF(CONFIG_ASIGNATURAS!$B$7:$B$27,nASIG)&gt;0)*1),"")))</f>
        <v/>
      </c>
      <c r="Z145" t="str">
        <f>IF(Y145="","",IF(Y145="[FÓRMULA MANUAL]","",IFERROR(AVERAGEIFS(nNOTA,nNIA,Y145,nCUENTA,1,nASIG,"Análisis"),"")))</f>
        <v/>
      </c>
      <c r="AA145" t="str">
        <f>IF(Y145="","",IF(Y145="[FÓRMULA MANUAL]","",IFERROR(AVERAGEIFS(nNOTA,nNIA,Y145,nCUENTA,1,nASIG,"Orquesta/Banda/Conjunto"),"")))</f>
        <v/>
      </c>
      <c r="AB145" t="str">
        <f>IF(Y145="","",IF(Y145="[FÓRMULA MANUAL]","",IFERROR(AVERAGEIFS(nNOTA,nNIA,Y145,nCUENTA,1,nASIG,"Música de Cámara"),"")))</f>
        <v/>
      </c>
      <c r="AC145" t="str">
        <f>IF(Y145="","",IF(Y145="[FÓRMULA MANUAL]","",IFERROR(SUMPRODUCT((nNIA=Y145)*(nCUENTA=1)*(COUNTIF(CONFIG_ASIGNATURAS!$B$7:$B$27,nASIG)&gt;0)*(nNOTA))/SUMPRODUCT((nNIA=Y145)*(nCUENTA=1)*(COUNTIF(CONFIG_ASIGNATURAS!$B$7:$B$27,nASIG)&gt;0)*1),"")))</f>
        <v/>
      </c>
      <c r="AF145" t="str">
        <f>IF(AE145="","",IF(AE145="[FÓRMULA MANUAL]","",IFERROR(AVERAGEIFS(nNOTA,nNIA,AE145,nCUENTA,1,nASIG,"Análisis"),"")))</f>
        <v/>
      </c>
      <c r="AG145" t="str">
        <f>IF(AE145="","",IF(AE145="[FÓRMULA MANUAL]","",IFERROR(AVERAGEIFS(nNOTA,nNIA,AE145,nCUENTA,1,nASIG,"Orquesta/Banda/Conjunto"),"")))</f>
        <v/>
      </c>
      <c r="AH145" t="str">
        <f>IF(AE145="","",IF(AE145="[FÓRMULA MANUAL]","",IFERROR(AVERAGEIFS(nNOTA,nNIA,AE145,nCUENTA,1,nASIG,"Música de Cámara"),"")))</f>
        <v/>
      </c>
      <c r="AI145" t="str">
        <f>IF(AE145="","",IF(AE145="[FÓRMULA MANUAL]","",IFERROR(SUMPRODUCT((nNIA=AE145)*(nCUENTA=1)*(COUNTIF(CONFIG_ASIGNATURAS!$B$7:$B$27,nASIG)&gt;0)*(nNOTA))/SUMPRODUCT((nNIA=AE145)*(nCUENTA=1)*(COUNTIF(CONFIG_ASIGNATURAS!$B$7:$B$27,nASIG)&gt;0)*1),"")))</f>
        <v/>
      </c>
    </row>
    <row r="146" spans="2:35" x14ac:dyDescent="0.2">
      <c r="B146" t="str">
        <f>IF(A146="","",IF(A146="[FÓRMULA MANUAL]","",IFERROR(AVERAGEIFS(nNOTA,nNIA,A146,nCUENTA,1,nASIG,"Lenguaje Musical"),"")))</f>
        <v/>
      </c>
      <c r="C146" t="str">
        <f>IF(A146="","",IF(A146="[FÓRMULA MANUAL]","",IFERROR(AVERAGEIFS(nNOTA,nNIA,A146,nCUENTA,1,nASIG,"Orquesta/Banda/Conjunto"),"")))</f>
        <v/>
      </c>
      <c r="D146" t="str">
        <f>IF(A146="","",IF(A146="[FÓRMULA MANUAL]","",IFERROR(AVERAGEIFS(nNOTA,nNIA,A146,nCUENTA,1,nASIG,"Conjunto"),"")))</f>
        <v/>
      </c>
      <c r="E146" t="str">
        <f>IF(A146="","",IF(A146="[FÓRMULA MANUAL]","",IFERROR(SUMPRODUCT((nNIA=A146)*(nCUENTA=1)*(COUNTIF(CONFIG_ASIGNATURAS!$B$7:$B$27,nASIG)&gt;0)*(nNOTA))/SUMPRODUCT((nNIA=A146)*(nCUENTA=1)*(COUNTIF(CONFIG_ASIGNATURAS!$B$7:$B$27,nASIG)&gt;0)*1),"")))</f>
        <v/>
      </c>
      <c r="H146" t="str">
        <f>IF(G146="","",IF(G146="[FÓRMULA MANUAL]","",IFERROR(AVERAGEIFS(nNOTA,nNIA,G146,nCUENTA,1,nASIG,"Lenguaje Musical"),"")))</f>
        <v/>
      </c>
      <c r="I146" t="str">
        <f>IF(G146="","",IF(G146="[FÓRMULA MANUAL]","",IFERROR(AVERAGEIFS(nNOTA,nNIA,G146,nCUENTA,1,nASIG,"Orquesta/Banda/Conjunto"),"")))</f>
        <v/>
      </c>
      <c r="J146" t="str">
        <f>IF(G146="","",IF(G146="[FÓRMULA MANUAL]","",IFERROR(AVERAGEIFS(nNOTA,nNIA,G146,nCUENTA,1,nASIG,"Conjunto"),"")))</f>
        <v/>
      </c>
      <c r="K146" t="str">
        <f>IF(G146="","",IF(G146="[FÓRMULA MANUAL]","",IFERROR(SUMPRODUCT((nNIA=G146)*(nCUENTA=1)*(COUNTIF(CONFIG_ASIGNATURAS!$B$7:$B$27,nASIG)&gt;0)*(nNOTA))/SUMPRODUCT((nNIA=G146)*(nCUENTA=1)*(COUNTIF(CONFIG_ASIGNATURAS!$B$7:$B$27,nASIG)&gt;0)*1),"")))</f>
        <v/>
      </c>
      <c r="N146" t="str">
        <f>IF(M146="","",IF(M146="[FÓRMULA MANUAL]","",IFERROR(AVERAGEIFS(nNOTA,nNIA,M146,nCUENTA,1,nASIG,"Armonía"),"")))</f>
        <v/>
      </c>
      <c r="O146" t="str">
        <f>IF(M146="","",IF(M146="[FÓRMULA MANUAL]","",IFERROR(AVERAGEIFS(nNOTA,nNIA,M146,nCUENTA,1,nASIG,"Orquesta/Banda/Conjunto"),"")))</f>
        <v/>
      </c>
      <c r="P146" t="str">
        <f>IF(M146="","",IF(M146="[FÓRMULA MANUAL]","",IFERROR(AVERAGEIFS(nNOTA,nNIA,M146,nCUENTA,1,nASIG,"Música de Cámara"),"")))</f>
        <v/>
      </c>
      <c r="Q146" t="str">
        <f>IF(M146="","",IF(M146="[FÓRMULA MANUAL]","",IFERROR(SUMPRODUCT((nNIA=M146)*(nCUENTA=1)*(COUNTIF(CONFIG_ASIGNATURAS!$B$7:$B$27,nASIG)&gt;0)*(nNOTA))/SUMPRODUCT((nNIA=M146)*(nCUENTA=1)*(COUNTIF(CONFIG_ASIGNATURAS!$B$7:$B$27,nASIG)&gt;0)*1),"")))</f>
        <v/>
      </c>
      <c r="T146" t="str">
        <f>IF(S146="","",IF(S146="[FÓRMULA MANUAL]","",IFERROR(AVERAGEIFS(nNOTA,nNIA,S146,nCUENTA,1,nASIG,"Armonía"),"")))</f>
        <v/>
      </c>
      <c r="U146" t="str">
        <f>IF(S146="","",IF(S146="[FÓRMULA MANUAL]","",IFERROR(AVERAGEIFS(nNOTA,nNIA,S146,nCUENTA,1,nASIG,"Orquesta/Banda/Conjunto"),"")))</f>
        <v/>
      </c>
      <c r="V146" t="str">
        <f>IF(S146="","",IF(S146="[FÓRMULA MANUAL]","",IFERROR(AVERAGEIFS(nNOTA,nNIA,S146,nCUENTA,1,nASIG,"Música de Cámara"),"")))</f>
        <v/>
      </c>
      <c r="W146" t="str">
        <f>IF(S146="","",IF(S146="[FÓRMULA MANUAL]","",IFERROR(SUMPRODUCT((nNIA=S146)*(nCUENTA=1)*(COUNTIF(CONFIG_ASIGNATURAS!$B$7:$B$27,nASIG)&gt;0)*(nNOTA))/SUMPRODUCT((nNIA=S146)*(nCUENTA=1)*(COUNTIF(CONFIG_ASIGNATURAS!$B$7:$B$27,nASIG)&gt;0)*1),"")))</f>
        <v/>
      </c>
      <c r="Z146" t="str">
        <f>IF(Y146="","",IF(Y146="[FÓRMULA MANUAL]","",IFERROR(AVERAGEIFS(nNOTA,nNIA,Y146,nCUENTA,1,nASIG,"Análisis"),"")))</f>
        <v/>
      </c>
      <c r="AA146" t="str">
        <f>IF(Y146="","",IF(Y146="[FÓRMULA MANUAL]","",IFERROR(AVERAGEIFS(nNOTA,nNIA,Y146,nCUENTA,1,nASIG,"Orquesta/Banda/Conjunto"),"")))</f>
        <v/>
      </c>
      <c r="AB146" t="str">
        <f>IF(Y146="","",IF(Y146="[FÓRMULA MANUAL]","",IFERROR(AVERAGEIFS(nNOTA,nNIA,Y146,nCUENTA,1,nASIG,"Música de Cámara"),"")))</f>
        <v/>
      </c>
      <c r="AC146" t="str">
        <f>IF(Y146="","",IF(Y146="[FÓRMULA MANUAL]","",IFERROR(SUMPRODUCT((nNIA=Y146)*(nCUENTA=1)*(COUNTIF(CONFIG_ASIGNATURAS!$B$7:$B$27,nASIG)&gt;0)*(nNOTA))/SUMPRODUCT((nNIA=Y146)*(nCUENTA=1)*(COUNTIF(CONFIG_ASIGNATURAS!$B$7:$B$27,nASIG)&gt;0)*1),"")))</f>
        <v/>
      </c>
      <c r="AF146" t="str">
        <f>IF(AE146="","",IF(AE146="[FÓRMULA MANUAL]","",IFERROR(AVERAGEIFS(nNOTA,nNIA,AE146,nCUENTA,1,nASIG,"Análisis"),"")))</f>
        <v/>
      </c>
      <c r="AG146" t="str">
        <f>IF(AE146="","",IF(AE146="[FÓRMULA MANUAL]","",IFERROR(AVERAGEIFS(nNOTA,nNIA,AE146,nCUENTA,1,nASIG,"Orquesta/Banda/Conjunto"),"")))</f>
        <v/>
      </c>
      <c r="AH146" t="str">
        <f>IF(AE146="","",IF(AE146="[FÓRMULA MANUAL]","",IFERROR(AVERAGEIFS(nNOTA,nNIA,AE146,nCUENTA,1,nASIG,"Música de Cámara"),"")))</f>
        <v/>
      </c>
      <c r="AI146" t="str">
        <f>IF(AE146="","",IF(AE146="[FÓRMULA MANUAL]","",IFERROR(SUMPRODUCT((nNIA=AE146)*(nCUENTA=1)*(COUNTIF(CONFIG_ASIGNATURAS!$B$7:$B$27,nASIG)&gt;0)*(nNOTA))/SUMPRODUCT((nNIA=AE146)*(nCUENTA=1)*(COUNTIF(CONFIG_ASIGNATURAS!$B$7:$B$27,nASIG)&gt;0)*1),"")))</f>
        <v/>
      </c>
    </row>
    <row r="147" spans="2:35" x14ac:dyDescent="0.2">
      <c r="B147" t="str">
        <f>IF(A147="","",IF(A147="[FÓRMULA MANUAL]","",IFERROR(AVERAGEIFS(nNOTA,nNIA,A147,nCUENTA,1,nASIG,"Lenguaje Musical"),"")))</f>
        <v/>
      </c>
      <c r="C147" t="str">
        <f>IF(A147="","",IF(A147="[FÓRMULA MANUAL]","",IFERROR(AVERAGEIFS(nNOTA,nNIA,A147,nCUENTA,1,nASIG,"Orquesta/Banda/Conjunto"),"")))</f>
        <v/>
      </c>
      <c r="D147" t="str">
        <f>IF(A147="","",IF(A147="[FÓRMULA MANUAL]","",IFERROR(AVERAGEIFS(nNOTA,nNIA,A147,nCUENTA,1,nASIG,"Conjunto"),"")))</f>
        <v/>
      </c>
      <c r="E147" t="str">
        <f>IF(A147="","",IF(A147="[FÓRMULA MANUAL]","",IFERROR(SUMPRODUCT((nNIA=A147)*(nCUENTA=1)*(COUNTIF(CONFIG_ASIGNATURAS!$B$7:$B$27,nASIG)&gt;0)*(nNOTA))/SUMPRODUCT((nNIA=A147)*(nCUENTA=1)*(COUNTIF(CONFIG_ASIGNATURAS!$B$7:$B$27,nASIG)&gt;0)*1),"")))</f>
        <v/>
      </c>
      <c r="H147" t="str">
        <f>IF(G147="","",IF(G147="[FÓRMULA MANUAL]","",IFERROR(AVERAGEIFS(nNOTA,nNIA,G147,nCUENTA,1,nASIG,"Lenguaje Musical"),"")))</f>
        <v/>
      </c>
      <c r="I147" t="str">
        <f>IF(G147="","",IF(G147="[FÓRMULA MANUAL]","",IFERROR(AVERAGEIFS(nNOTA,nNIA,G147,nCUENTA,1,nASIG,"Orquesta/Banda/Conjunto"),"")))</f>
        <v/>
      </c>
      <c r="J147" t="str">
        <f>IF(G147="","",IF(G147="[FÓRMULA MANUAL]","",IFERROR(AVERAGEIFS(nNOTA,nNIA,G147,nCUENTA,1,nASIG,"Conjunto"),"")))</f>
        <v/>
      </c>
      <c r="K147" t="str">
        <f>IF(G147="","",IF(G147="[FÓRMULA MANUAL]","",IFERROR(SUMPRODUCT((nNIA=G147)*(nCUENTA=1)*(COUNTIF(CONFIG_ASIGNATURAS!$B$7:$B$27,nASIG)&gt;0)*(nNOTA))/SUMPRODUCT((nNIA=G147)*(nCUENTA=1)*(COUNTIF(CONFIG_ASIGNATURAS!$B$7:$B$27,nASIG)&gt;0)*1),"")))</f>
        <v/>
      </c>
      <c r="N147" t="str">
        <f>IF(M147="","",IF(M147="[FÓRMULA MANUAL]","",IFERROR(AVERAGEIFS(nNOTA,nNIA,M147,nCUENTA,1,nASIG,"Armonía"),"")))</f>
        <v/>
      </c>
      <c r="O147" t="str">
        <f>IF(M147="","",IF(M147="[FÓRMULA MANUAL]","",IFERROR(AVERAGEIFS(nNOTA,nNIA,M147,nCUENTA,1,nASIG,"Orquesta/Banda/Conjunto"),"")))</f>
        <v/>
      </c>
      <c r="P147" t="str">
        <f>IF(M147="","",IF(M147="[FÓRMULA MANUAL]","",IFERROR(AVERAGEIFS(nNOTA,nNIA,M147,nCUENTA,1,nASIG,"Música de Cámara"),"")))</f>
        <v/>
      </c>
      <c r="Q147" t="str">
        <f>IF(M147="","",IF(M147="[FÓRMULA MANUAL]","",IFERROR(SUMPRODUCT((nNIA=M147)*(nCUENTA=1)*(COUNTIF(CONFIG_ASIGNATURAS!$B$7:$B$27,nASIG)&gt;0)*(nNOTA))/SUMPRODUCT((nNIA=M147)*(nCUENTA=1)*(COUNTIF(CONFIG_ASIGNATURAS!$B$7:$B$27,nASIG)&gt;0)*1),"")))</f>
        <v/>
      </c>
      <c r="T147" t="str">
        <f>IF(S147="","",IF(S147="[FÓRMULA MANUAL]","",IFERROR(AVERAGEIFS(nNOTA,nNIA,S147,nCUENTA,1,nASIG,"Armonía"),"")))</f>
        <v/>
      </c>
      <c r="U147" t="str">
        <f>IF(S147="","",IF(S147="[FÓRMULA MANUAL]","",IFERROR(AVERAGEIFS(nNOTA,nNIA,S147,nCUENTA,1,nASIG,"Orquesta/Banda/Conjunto"),"")))</f>
        <v/>
      </c>
      <c r="V147" t="str">
        <f>IF(S147="","",IF(S147="[FÓRMULA MANUAL]","",IFERROR(AVERAGEIFS(nNOTA,nNIA,S147,nCUENTA,1,nASIG,"Música de Cámara"),"")))</f>
        <v/>
      </c>
      <c r="W147" t="str">
        <f>IF(S147="","",IF(S147="[FÓRMULA MANUAL]","",IFERROR(SUMPRODUCT((nNIA=S147)*(nCUENTA=1)*(COUNTIF(CONFIG_ASIGNATURAS!$B$7:$B$27,nASIG)&gt;0)*(nNOTA))/SUMPRODUCT((nNIA=S147)*(nCUENTA=1)*(COUNTIF(CONFIG_ASIGNATURAS!$B$7:$B$27,nASIG)&gt;0)*1),"")))</f>
        <v/>
      </c>
      <c r="Z147" t="str">
        <f>IF(Y147="","",IF(Y147="[FÓRMULA MANUAL]","",IFERROR(AVERAGEIFS(nNOTA,nNIA,Y147,nCUENTA,1,nASIG,"Análisis"),"")))</f>
        <v/>
      </c>
      <c r="AA147" t="str">
        <f>IF(Y147="","",IF(Y147="[FÓRMULA MANUAL]","",IFERROR(AVERAGEIFS(nNOTA,nNIA,Y147,nCUENTA,1,nASIG,"Orquesta/Banda/Conjunto"),"")))</f>
        <v/>
      </c>
      <c r="AB147" t="str">
        <f>IF(Y147="","",IF(Y147="[FÓRMULA MANUAL]","",IFERROR(AVERAGEIFS(nNOTA,nNIA,Y147,nCUENTA,1,nASIG,"Música de Cámara"),"")))</f>
        <v/>
      </c>
      <c r="AC147" t="str">
        <f>IF(Y147="","",IF(Y147="[FÓRMULA MANUAL]","",IFERROR(SUMPRODUCT((nNIA=Y147)*(nCUENTA=1)*(COUNTIF(CONFIG_ASIGNATURAS!$B$7:$B$27,nASIG)&gt;0)*(nNOTA))/SUMPRODUCT((nNIA=Y147)*(nCUENTA=1)*(COUNTIF(CONFIG_ASIGNATURAS!$B$7:$B$27,nASIG)&gt;0)*1),"")))</f>
        <v/>
      </c>
      <c r="AF147" t="str">
        <f>IF(AE147="","",IF(AE147="[FÓRMULA MANUAL]","",IFERROR(AVERAGEIFS(nNOTA,nNIA,AE147,nCUENTA,1,nASIG,"Análisis"),"")))</f>
        <v/>
      </c>
      <c r="AG147" t="str">
        <f>IF(AE147="","",IF(AE147="[FÓRMULA MANUAL]","",IFERROR(AVERAGEIFS(nNOTA,nNIA,AE147,nCUENTA,1,nASIG,"Orquesta/Banda/Conjunto"),"")))</f>
        <v/>
      </c>
      <c r="AH147" t="str">
        <f>IF(AE147="","",IF(AE147="[FÓRMULA MANUAL]","",IFERROR(AVERAGEIFS(nNOTA,nNIA,AE147,nCUENTA,1,nASIG,"Música de Cámara"),"")))</f>
        <v/>
      </c>
      <c r="AI147" t="str">
        <f>IF(AE147="","",IF(AE147="[FÓRMULA MANUAL]","",IFERROR(SUMPRODUCT((nNIA=AE147)*(nCUENTA=1)*(COUNTIF(CONFIG_ASIGNATURAS!$B$7:$B$27,nASIG)&gt;0)*(nNOTA))/SUMPRODUCT((nNIA=AE147)*(nCUENTA=1)*(COUNTIF(CONFIG_ASIGNATURAS!$B$7:$B$27,nASIG)&gt;0)*1),"")))</f>
        <v/>
      </c>
    </row>
    <row r="148" spans="2:35" x14ac:dyDescent="0.2">
      <c r="B148" t="str">
        <f>IF(A148="","",IF(A148="[FÓRMULA MANUAL]","",IFERROR(AVERAGEIFS(nNOTA,nNIA,A148,nCUENTA,1,nASIG,"Lenguaje Musical"),"")))</f>
        <v/>
      </c>
      <c r="C148" t="str">
        <f>IF(A148="","",IF(A148="[FÓRMULA MANUAL]","",IFERROR(AVERAGEIFS(nNOTA,nNIA,A148,nCUENTA,1,nASIG,"Orquesta/Banda/Conjunto"),"")))</f>
        <v/>
      </c>
      <c r="D148" t="str">
        <f>IF(A148="","",IF(A148="[FÓRMULA MANUAL]","",IFERROR(AVERAGEIFS(nNOTA,nNIA,A148,nCUENTA,1,nASIG,"Conjunto"),"")))</f>
        <v/>
      </c>
      <c r="E148" t="str">
        <f>IF(A148="","",IF(A148="[FÓRMULA MANUAL]","",IFERROR(SUMPRODUCT((nNIA=A148)*(nCUENTA=1)*(COUNTIF(CONFIG_ASIGNATURAS!$B$7:$B$27,nASIG)&gt;0)*(nNOTA))/SUMPRODUCT((nNIA=A148)*(nCUENTA=1)*(COUNTIF(CONFIG_ASIGNATURAS!$B$7:$B$27,nASIG)&gt;0)*1),"")))</f>
        <v/>
      </c>
      <c r="H148" t="str">
        <f>IF(G148="","",IF(G148="[FÓRMULA MANUAL]","",IFERROR(AVERAGEIFS(nNOTA,nNIA,G148,nCUENTA,1,nASIG,"Lenguaje Musical"),"")))</f>
        <v/>
      </c>
      <c r="I148" t="str">
        <f>IF(G148="","",IF(G148="[FÓRMULA MANUAL]","",IFERROR(AVERAGEIFS(nNOTA,nNIA,G148,nCUENTA,1,nASIG,"Orquesta/Banda/Conjunto"),"")))</f>
        <v/>
      </c>
      <c r="J148" t="str">
        <f>IF(G148="","",IF(G148="[FÓRMULA MANUAL]","",IFERROR(AVERAGEIFS(nNOTA,nNIA,G148,nCUENTA,1,nASIG,"Conjunto"),"")))</f>
        <v/>
      </c>
      <c r="K148" t="str">
        <f>IF(G148="","",IF(G148="[FÓRMULA MANUAL]","",IFERROR(SUMPRODUCT((nNIA=G148)*(nCUENTA=1)*(COUNTIF(CONFIG_ASIGNATURAS!$B$7:$B$27,nASIG)&gt;0)*(nNOTA))/SUMPRODUCT((nNIA=G148)*(nCUENTA=1)*(COUNTIF(CONFIG_ASIGNATURAS!$B$7:$B$27,nASIG)&gt;0)*1),"")))</f>
        <v/>
      </c>
      <c r="N148" t="str">
        <f>IF(M148="","",IF(M148="[FÓRMULA MANUAL]","",IFERROR(AVERAGEIFS(nNOTA,nNIA,M148,nCUENTA,1,nASIG,"Armonía"),"")))</f>
        <v/>
      </c>
      <c r="O148" t="str">
        <f>IF(M148="","",IF(M148="[FÓRMULA MANUAL]","",IFERROR(AVERAGEIFS(nNOTA,nNIA,M148,nCUENTA,1,nASIG,"Orquesta/Banda/Conjunto"),"")))</f>
        <v/>
      </c>
      <c r="P148" t="str">
        <f>IF(M148="","",IF(M148="[FÓRMULA MANUAL]","",IFERROR(AVERAGEIFS(nNOTA,nNIA,M148,nCUENTA,1,nASIG,"Música de Cámara"),"")))</f>
        <v/>
      </c>
      <c r="Q148" t="str">
        <f>IF(M148="","",IF(M148="[FÓRMULA MANUAL]","",IFERROR(SUMPRODUCT((nNIA=M148)*(nCUENTA=1)*(COUNTIF(CONFIG_ASIGNATURAS!$B$7:$B$27,nASIG)&gt;0)*(nNOTA))/SUMPRODUCT((nNIA=M148)*(nCUENTA=1)*(COUNTIF(CONFIG_ASIGNATURAS!$B$7:$B$27,nASIG)&gt;0)*1),"")))</f>
        <v/>
      </c>
      <c r="T148" t="str">
        <f>IF(S148="","",IF(S148="[FÓRMULA MANUAL]","",IFERROR(AVERAGEIFS(nNOTA,nNIA,S148,nCUENTA,1,nASIG,"Armonía"),"")))</f>
        <v/>
      </c>
      <c r="U148" t="str">
        <f>IF(S148="","",IF(S148="[FÓRMULA MANUAL]","",IFERROR(AVERAGEIFS(nNOTA,nNIA,S148,nCUENTA,1,nASIG,"Orquesta/Banda/Conjunto"),"")))</f>
        <v/>
      </c>
      <c r="V148" t="str">
        <f>IF(S148="","",IF(S148="[FÓRMULA MANUAL]","",IFERROR(AVERAGEIFS(nNOTA,nNIA,S148,nCUENTA,1,nASIG,"Música de Cámara"),"")))</f>
        <v/>
      </c>
      <c r="W148" t="str">
        <f>IF(S148="","",IF(S148="[FÓRMULA MANUAL]","",IFERROR(SUMPRODUCT((nNIA=S148)*(nCUENTA=1)*(COUNTIF(CONFIG_ASIGNATURAS!$B$7:$B$27,nASIG)&gt;0)*(nNOTA))/SUMPRODUCT((nNIA=S148)*(nCUENTA=1)*(COUNTIF(CONFIG_ASIGNATURAS!$B$7:$B$27,nASIG)&gt;0)*1),"")))</f>
        <v/>
      </c>
      <c r="Z148" t="str">
        <f>IF(Y148="","",IF(Y148="[FÓRMULA MANUAL]","",IFERROR(AVERAGEIFS(nNOTA,nNIA,Y148,nCUENTA,1,nASIG,"Análisis"),"")))</f>
        <v/>
      </c>
      <c r="AA148" t="str">
        <f>IF(Y148="","",IF(Y148="[FÓRMULA MANUAL]","",IFERROR(AVERAGEIFS(nNOTA,nNIA,Y148,nCUENTA,1,nASIG,"Orquesta/Banda/Conjunto"),"")))</f>
        <v/>
      </c>
      <c r="AB148" t="str">
        <f>IF(Y148="","",IF(Y148="[FÓRMULA MANUAL]","",IFERROR(AVERAGEIFS(nNOTA,nNIA,Y148,nCUENTA,1,nASIG,"Música de Cámara"),"")))</f>
        <v/>
      </c>
      <c r="AC148" t="str">
        <f>IF(Y148="","",IF(Y148="[FÓRMULA MANUAL]","",IFERROR(SUMPRODUCT((nNIA=Y148)*(nCUENTA=1)*(COUNTIF(CONFIG_ASIGNATURAS!$B$7:$B$27,nASIG)&gt;0)*(nNOTA))/SUMPRODUCT((nNIA=Y148)*(nCUENTA=1)*(COUNTIF(CONFIG_ASIGNATURAS!$B$7:$B$27,nASIG)&gt;0)*1),"")))</f>
        <v/>
      </c>
      <c r="AF148" t="str">
        <f>IF(AE148="","",IF(AE148="[FÓRMULA MANUAL]","",IFERROR(AVERAGEIFS(nNOTA,nNIA,AE148,nCUENTA,1,nASIG,"Análisis"),"")))</f>
        <v/>
      </c>
      <c r="AG148" t="str">
        <f>IF(AE148="","",IF(AE148="[FÓRMULA MANUAL]","",IFERROR(AVERAGEIFS(nNOTA,nNIA,AE148,nCUENTA,1,nASIG,"Orquesta/Banda/Conjunto"),"")))</f>
        <v/>
      </c>
      <c r="AH148" t="str">
        <f>IF(AE148="","",IF(AE148="[FÓRMULA MANUAL]","",IFERROR(AVERAGEIFS(nNOTA,nNIA,AE148,nCUENTA,1,nASIG,"Música de Cámara"),"")))</f>
        <v/>
      </c>
      <c r="AI148" t="str">
        <f>IF(AE148="","",IF(AE148="[FÓRMULA MANUAL]","",IFERROR(SUMPRODUCT((nNIA=AE148)*(nCUENTA=1)*(COUNTIF(CONFIG_ASIGNATURAS!$B$7:$B$27,nASIG)&gt;0)*(nNOTA))/SUMPRODUCT((nNIA=AE148)*(nCUENTA=1)*(COUNTIF(CONFIG_ASIGNATURAS!$B$7:$B$27,nASIG)&gt;0)*1),"")))</f>
        <v/>
      </c>
    </row>
    <row r="149" spans="2:35" x14ac:dyDescent="0.2">
      <c r="B149" t="str">
        <f>IF(A149="","",IF(A149="[FÓRMULA MANUAL]","",IFERROR(AVERAGEIFS(nNOTA,nNIA,A149,nCUENTA,1,nASIG,"Lenguaje Musical"),"")))</f>
        <v/>
      </c>
      <c r="C149" t="str">
        <f>IF(A149="","",IF(A149="[FÓRMULA MANUAL]","",IFERROR(AVERAGEIFS(nNOTA,nNIA,A149,nCUENTA,1,nASIG,"Orquesta/Banda/Conjunto"),"")))</f>
        <v/>
      </c>
      <c r="D149" t="str">
        <f>IF(A149="","",IF(A149="[FÓRMULA MANUAL]","",IFERROR(AVERAGEIFS(nNOTA,nNIA,A149,nCUENTA,1,nASIG,"Conjunto"),"")))</f>
        <v/>
      </c>
      <c r="E149" t="str">
        <f>IF(A149="","",IF(A149="[FÓRMULA MANUAL]","",IFERROR(SUMPRODUCT((nNIA=A149)*(nCUENTA=1)*(COUNTIF(CONFIG_ASIGNATURAS!$B$7:$B$27,nASIG)&gt;0)*(nNOTA))/SUMPRODUCT((nNIA=A149)*(nCUENTA=1)*(COUNTIF(CONFIG_ASIGNATURAS!$B$7:$B$27,nASIG)&gt;0)*1),"")))</f>
        <v/>
      </c>
      <c r="H149" t="str">
        <f>IF(G149="","",IF(G149="[FÓRMULA MANUAL]","",IFERROR(AVERAGEIFS(nNOTA,nNIA,G149,nCUENTA,1,nASIG,"Lenguaje Musical"),"")))</f>
        <v/>
      </c>
      <c r="I149" t="str">
        <f>IF(G149="","",IF(G149="[FÓRMULA MANUAL]","",IFERROR(AVERAGEIFS(nNOTA,nNIA,G149,nCUENTA,1,nASIG,"Orquesta/Banda/Conjunto"),"")))</f>
        <v/>
      </c>
      <c r="J149" t="str">
        <f>IF(G149="","",IF(G149="[FÓRMULA MANUAL]","",IFERROR(AVERAGEIFS(nNOTA,nNIA,G149,nCUENTA,1,nASIG,"Conjunto"),"")))</f>
        <v/>
      </c>
      <c r="K149" t="str">
        <f>IF(G149="","",IF(G149="[FÓRMULA MANUAL]","",IFERROR(SUMPRODUCT((nNIA=G149)*(nCUENTA=1)*(COUNTIF(CONFIG_ASIGNATURAS!$B$7:$B$27,nASIG)&gt;0)*(nNOTA))/SUMPRODUCT((nNIA=G149)*(nCUENTA=1)*(COUNTIF(CONFIG_ASIGNATURAS!$B$7:$B$27,nASIG)&gt;0)*1),"")))</f>
        <v/>
      </c>
      <c r="N149" t="str">
        <f>IF(M149="","",IF(M149="[FÓRMULA MANUAL]","",IFERROR(AVERAGEIFS(nNOTA,nNIA,M149,nCUENTA,1,nASIG,"Armonía"),"")))</f>
        <v/>
      </c>
      <c r="O149" t="str">
        <f>IF(M149="","",IF(M149="[FÓRMULA MANUAL]","",IFERROR(AVERAGEIFS(nNOTA,nNIA,M149,nCUENTA,1,nASIG,"Orquesta/Banda/Conjunto"),"")))</f>
        <v/>
      </c>
      <c r="P149" t="str">
        <f>IF(M149="","",IF(M149="[FÓRMULA MANUAL]","",IFERROR(AVERAGEIFS(nNOTA,nNIA,M149,nCUENTA,1,nASIG,"Música de Cámara"),"")))</f>
        <v/>
      </c>
      <c r="Q149" t="str">
        <f>IF(M149="","",IF(M149="[FÓRMULA MANUAL]","",IFERROR(SUMPRODUCT((nNIA=M149)*(nCUENTA=1)*(COUNTIF(CONFIG_ASIGNATURAS!$B$7:$B$27,nASIG)&gt;0)*(nNOTA))/SUMPRODUCT((nNIA=M149)*(nCUENTA=1)*(COUNTIF(CONFIG_ASIGNATURAS!$B$7:$B$27,nASIG)&gt;0)*1),"")))</f>
        <v/>
      </c>
      <c r="T149" t="str">
        <f>IF(S149="","",IF(S149="[FÓRMULA MANUAL]","",IFERROR(AVERAGEIFS(nNOTA,nNIA,S149,nCUENTA,1,nASIG,"Armonía"),"")))</f>
        <v/>
      </c>
      <c r="U149" t="str">
        <f>IF(S149="","",IF(S149="[FÓRMULA MANUAL]","",IFERROR(AVERAGEIFS(nNOTA,nNIA,S149,nCUENTA,1,nASIG,"Orquesta/Banda/Conjunto"),"")))</f>
        <v/>
      </c>
      <c r="V149" t="str">
        <f>IF(S149="","",IF(S149="[FÓRMULA MANUAL]","",IFERROR(AVERAGEIFS(nNOTA,nNIA,S149,nCUENTA,1,nASIG,"Música de Cámara"),"")))</f>
        <v/>
      </c>
      <c r="W149" t="str">
        <f>IF(S149="","",IF(S149="[FÓRMULA MANUAL]","",IFERROR(SUMPRODUCT((nNIA=S149)*(nCUENTA=1)*(COUNTIF(CONFIG_ASIGNATURAS!$B$7:$B$27,nASIG)&gt;0)*(nNOTA))/SUMPRODUCT((nNIA=S149)*(nCUENTA=1)*(COUNTIF(CONFIG_ASIGNATURAS!$B$7:$B$27,nASIG)&gt;0)*1),"")))</f>
        <v/>
      </c>
      <c r="Z149" t="str">
        <f>IF(Y149="","",IF(Y149="[FÓRMULA MANUAL]","",IFERROR(AVERAGEIFS(nNOTA,nNIA,Y149,nCUENTA,1,nASIG,"Análisis"),"")))</f>
        <v/>
      </c>
      <c r="AA149" t="str">
        <f>IF(Y149="","",IF(Y149="[FÓRMULA MANUAL]","",IFERROR(AVERAGEIFS(nNOTA,nNIA,Y149,nCUENTA,1,nASIG,"Orquesta/Banda/Conjunto"),"")))</f>
        <v/>
      </c>
      <c r="AB149" t="str">
        <f>IF(Y149="","",IF(Y149="[FÓRMULA MANUAL]","",IFERROR(AVERAGEIFS(nNOTA,nNIA,Y149,nCUENTA,1,nASIG,"Música de Cámara"),"")))</f>
        <v/>
      </c>
      <c r="AC149" t="str">
        <f>IF(Y149="","",IF(Y149="[FÓRMULA MANUAL]","",IFERROR(SUMPRODUCT((nNIA=Y149)*(nCUENTA=1)*(COUNTIF(CONFIG_ASIGNATURAS!$B$7:$B$27,nASIG)&gt;0)*(nNOTA))/SUMPRODUCT((nNIA=Y149)*(nCUENTA=1)*(COUNTIF(CONFIG_ASIGNATURAS!$B$7:$B$27,nASIG)&gt;0)*1),"")))</f>
        <v/>
      </c>
      <c r="AF149" t="str">
        <f>IF(AE149="","",IF(AE149="[FÓRMULA MANUAL]","",IFERROR(AVERAGEIFS(nNOTA,nNIA,AE149,nCUENTA,1,nASIG,"Análisis"),"")))</f>
        <v/>
      </c>
      <c r="AG149" t="str">
        <f>IF(AE149="","",IF(AE149="[FÓRMULA MANUAL]","",IFERROR(AVERAGEIFS(nNOTA,nNIA,AE149,nCUENTA,1,nASIG,"Orquesta/Banda/Conjunto"),"")))</f>
        <v/>
      </c>
      <c r="AH149" t="str">
        <f>IF(AE149="","",IF(AE149="[FÓRMULA MANUAL]","",IFERROR(AVERAGEIFS(nNOTA,nNIA,AE149,nCUENTA,1,nASIG,"Música de Cámara"),"")))</f>
        <v/>
      </c>
      <c r="AI149" t="str">
        <f>IF(AE149="","",IF(AE149="[FÓRMULA MANUAL]","",IFERROR(SUMPRODUCT((nNIA=AE149)*(nCUENTA=1)*(COUNTIF(CONFIG_ASIGNATURAS!$B$7:$B$27,nASIG)&gt;0)*(nNOTA))/SUMPRODUCT((nNIA=AE149)*(nCUENTA=1)*(COUNTIF(CONFIG_ASIGNATURAS!$B$7:$B$27,nASIG)&gt;0)*1),"")))</f>
        <v/>
      </c>
    </row>
    <row r="150" spans="2:35" x14ac:dyDescent="0.2">
      <c r="B150" t="str">
        <f>IF(A150="","",IF(A150="[FÓRMULA MANUAL]","",IFERROR(AVERAGEIFS(nNOTA,nNIA,A150,nCUENTA,1,nASIG,"Lenguaje Musical"),"")))</f>
        <v/>
      </c>
      <c r="C150" t="str">
        <f>IF(A150="","",IF(A150="[FÓRMULA MANUAL]","",IFERROR(AVERAGEIFS(nNOTA,nNIA,A150,nCUENTA,1,nASIG,"Orquesta/Banda/Conjunto"),"")))</f>
        <v/>
      </c>
      <c r="D150" t="str">
        <f>IF(A150="","",IF(A150="[FÓRMULA MANUAL]","",IFERROR(AVERAGEIFS(nNOTA,nNIA,A150,nCUENTA,1,nASIG,"Conjunto"),"")))</f>
        <v/>
      </c>
      <c r="E150" t="str">
        <f>IF(A150="","",IF(A150="[FÓRMULA MANUAL]","",IFERROR(SUMPRODUCT((nNIA=A150)*(nCUENTA=1)*(COUNTIF(CONFIG_ASIGNATURAS!$B$7:$B$27,nASIG)&gt;0)*(nNOTA))/SUMPRODUCT((nNIA=A150)*(nCUENTA=1)*(COUNTIF(CONFIG_ASIGNATURAS!$B$7:$B$27,nASIG)&gt;0)*1),"")))</f>
        <v/>
      </c>
      <c r="H150" t="str">
        <f>IF(G150="","",IF(G150="[FÓRMULA MANUAL]","",IFERROR(AVERAGEIFS(nNOTA,nNIA,G150,nCUENTA,1,nASIG,"Lenguaje Musical"),"")))</f>
        <v/>
      </c>
      <c r="I150" t="str">
        <f>IF(G150="","",IF(G150="[FÓRMULA MANUAL]","",IFERROR(AVERAGEIFS(nNOTA,nNIA,G150,nCUENTA,1,nASIG,"Orquesta/Banda/Conjunto"),"")))</f>
        <v/>
      </c>
      <c r="J150" t="str">
        <f>IF(G150="","",IF(G150="[FÓRMULA MANUAL]","",IFERROR(AVERAGEIFS(nNOTA,nNIA,G150,nCUENTA,1,nASIG,"Conjunto"),"")))</f>
        <v/>
      </c>
      <c r="K150" t="str">
        <f>IF(G150="","",IF(G150="[FÓRMULA MANUAL]","",IFERROR(SUMPRODUCT((nNIA=G150)*(nCUENTA=1)*(COUNTIF(CONFIG_ASIGNATURAS!$B$7:$B$27,nASIG)&gt;0)*(nNOTA))/SUMPRODUCT((nNIA=G150)*(nCUENTA=1)*(COUNTIF(CONFIG_ASIGNATURAS!$B$7:$B$27,nASIG)&gt;0)*1),"")))</f>
        <v/>
      </c>
      <c r="N150" t="str">
        <f>IF(M150="","",IF(M150="[FÓRMULA MANUAL]","",IFERROR(AVERAGEIFS(nNOTA,nNIA,M150,nCUENTA,1,nASIG,"Armonía"),"")))</f>
        <v/>
      </c>
      <c r="O150" t="str">
        <f>IF(M150="","",IF(M150="[FÓRMULA MANUAL]","",IFERROR(AVERAGEIFS(nNOTA,nNIA,M150,nCUENTA,1,nASIG,"Orquesta/Banda/Conjunto"),"")))</f>
        <v/>
      </c>
      <c r="P150" t="str">
        <f>IF(M150="","",IF(M150="[FÓRMULA MANUAL]","",IFERROR(AVERAGEIFS(nNOTA,nNIA,M150,nCUENTA,1,nASIG,"Música de Cámara"),"")))</f>
        <v/>
      </c>
      <c r="Q150" t="str">
        <f>IF(M150="","",IF(M150="[FÓRMULA MANUAL]","",IFERROR(SUMPRODUCT((nNIA=M150)*(nCUENTA=1)*(COUNTIF(CONFIG_ASIGNATURAS!$B$7:$B$27,nASIG)&gt;0)*(nNOTA))/SUMPRODUCT((nNIA=M150)*(nCUENTA=1)*(COUNTIF(CONFIG_ASIGNATURAS!$B$7:$B$27,nASIG)&gt;0)*1),"")))</f>
        <v/>
      </c>
      <c r="T150" t="str">
        <f>IF(S150="","",IF(S150="[FÓRMULA MANUAL]","",IFERROR(AVERAGEIFS(nNOTA,nNIA,S150,nCUENTA,1,nASIG,"Armonía"),"")))</f>
        <v/>
      </c>
      <c r="U150" t="str">
        <f>IF(S150="","",IF(S150="[FÓRMULA MANUAL]","",IFERROR(AVERAGEIFS(nNOTA,nNIA,S150,nCUENTA,1,nASIG,"Orquesta/Banda/Conjunto"),"")))</f>
        <v/>
      </c>
      <c r="V150" t="str">
        <f>IF(S150="","",IF(S150="[FÓRMULA MANUAL]","",IFERROR(AVERAGEIFS(nNOTA,nNIA,S150,nCUENTA,1,nASIG,"Música de Cámara"),"")))</f>
        <v/>
      </c>
      <c r="W150" t="str">
        <f>IF(S150="","",IF(S150="[FÓRMULA MANUAL]","",IFERROR(SUMPRODUCT((nNIA=S150)*(nCUENTA=1)*(COUNTIF(CONFIG_ASIGNATURAS!$B$7:$B$27,nASIG)&gt;0)*(nNOTA))/SUMPRODUCT((nNIA=S150)*(nCUENTA=1)*(COUNTIF(CONFIG_ASIGNATURAS!$B$7:$B$27,nASIG)&gt;0)*1),"")))</f>
        <v/>
      </c>
      <c r="Z150" t="str">
        <f>IF(Y150="","",IF(Y150="[FÓRMULA MANUAL]","",IFERROR(AVERAGEIFS(nNOTA,nNIA,Y150,nCUENTA,1,nASIG,"Análisis"),"")))</f>
        <v/>
      </c>
      <c r="AA150" t="str">
        <f>IF(Y150="","",IF(Y150="[FÓRMULA MANUAL]","",IFERROR(AVERAGEIFS(nNOTA,nNIA,Y150,nCUENTA,1,nASIG,"Orquesta/Banda/Conjunto"),"")))</f>
        <v/>
      </c>
      <c r="AB150" t="str">
        <f>IF(Y150="","",IF(Y150="[FÓRMULA MANUAL]","",IFERROR(AVERAGEIFS(nNOTA,nNIA,Y150,nCUENTA,1,nASIG,"Música de Cámara"),"")))</f>
        <v/>
      </c>
      <c r="AC150" t="str">
        <f>IF(Y150="","",IF(Y150="[FÓRMULA MANUAL]","",IFERROR(SUMPRODUCT((nNIA=Y150)*(nCUENTA=1)*(COUNTIF(CONFIG_ASIGNATURAS!$B$7:$B$27,nASIG)&gt;0)*(nNOTA))/SUMPRODUCT((nNIA=Y150)*(nCUENTA=1)*(COUNTIF(CONFIG_ASIGNATURAS!$B$7:$B$27,nASIG)&gt;0)*1),"")))</f>
        <v/>
      </c>
      <c r="AF150" t="str">
        <f>IF(AE150="","",IF(AE150="[FÓRMULA MANUAL]","",IFERROR(AVERAGEIFS(nNOTA,nNIA,AE150,nCUENTA,1,nASIG,"Análisis"),"")))</f>
        <v/>
      </c>
      <c r="AG150" t="str">
        <f>IF(AE150="","",IF(AE150="[FÓRMULA MANUAL]","",IFERROR(AVERAGEIFS(nNOTA,nNIA,AE150,nCUENTA,1,nASIG,"Orquesta/Banda/Conjunto"),"")))</f>
        <v/>
      </c>
      <c r="AH150" t="str">
        <f>IF(AE150="","",IF(AE150="[FÓRMULA MANUAL]","",IFERROR(AVERAGEIFS(nNOTA,nNIA,AE150,nCUENTA,1,nASIG,"Música de Cámara"),"")))</f>
        <v/>
      </c>
      <c r="AI150" t="str">
        <f>IF(AE150="","",IF(AE150="[FÓRMULA MANUAL]","",IFERROR(SUMPRODUCT((nNIA=AE150)*(nCUENTA=1)*(COUNTIF(CONFIG_ASIGNATURAS!$B$7:$B$27,nASIG)&gt;0)*(nNOTA))/SUMPRODUCT((nNIA=AE150)*(nCUENTA=1)*(COUNTIF(CONFIG_ASIGNATURAS!$B$7:$B$27,nASIG)&gt;0)*1),"")))</f>
        <v/>
      </c>
    </row>
    <row r="151" spans="2:35" x14ac:dyDescent="0.2">
      <c r="B151" t="str">
        <f>IF(A151="","",IF(A151="[FÓRMULA MANUAL]","",IFERROR(AVERAGEIFS(nNOTA,nNIA,A151,nCUENTA,1,nASIG,"Lenguaje Musical"),"")))</f>
        <v/>
      </c>
      <c r="C151" t="str">
        <f>IF(A151="","",IF(A151="[FÓRMULA MANUAL]","",IFERROR(AVERAGEIFS(nNOTA,nNIA,A151,nCUENTA,1,nASIG,"Orquesta/Banda/Conjunto"),"")))</f>
        <v/>
      </c>
      <c r="D151" t="str">
        <f>IF(A151="","",IF(A151="[FÓRMULA MANUAL]","",IFERROR(AVERAGEIFS(nNOTA,nNIA,A151,nCUENTA,1,nASIG,"Conjunto"),"")))</f>
        <v/>
      </c>
      <c r="E151" t="str">
        <f>IF(A151="","",IF(A151="[FÓRMULA MANUAL]","",IFERROR(SUMPRODUCT((nNIA=A151)*(nCUENTA=1)*(COUNTIF(CONFIG_ASIGNATURAS!$B$7:$B$27,nASIG)&gt;0)*(nNOTA))/SUMPRODUCT((nNIA=A151)*(nCUENTA=1)*(COUNTIF(CONFIG_ASIGNATURAS!$B$7:$B$27,nASIG)&gt;0)*1),"")))</f>
        <v/>
      </c>
      <c r="H151" t="str">
        <f>IF(G151="","",IF(G151="[FÓRMULA MANUAL]","",IFERROR(AVERAGEIFS(nNOTA,nNIA,G151,nCUENTA,1,nASIG,"Lenguaje Musical"),"")))</f>
        <v/>
      </c>
      <c r="I151" t="str">
        <f>IF(G151="","",IF(G151="[FÓRMULA MANUAL]","",IFERROR(AVERAGEIFS(nNOTA,nNIA,G151,nCUENTA,1,nASIG,"Orquesta/Banda/Conjunto"),"")))</f>
        <v/>
      </c>
      <c r="J151" t="str">
        <f>IF(G151="","",IF(G151="[FÓRMULA MANUAL]","",IFERROR(AVERAGEIFS(nNOTA,nNIA,G151,nCUENTA,1,nASIG,"Conjunto"),"")))</f>
        <v/>
      </c>
      <c r="K151" t="str">
        <f>IF(G151="","",IF(G151="[FÓRMULA MANUAL]","",IFERROR(SUMPRODUCT((nNIA=G151)*(nCUENTA=1)*(COUNTIF(CONFIG_ASIGNATURAS!$B$7:$B$27,nASIG)&gt;0)*(nNOTA))/SUMPRODUCT((nNIA=G151)*(nCUENTA=1)*(COUNTIF(CONFIG_ASIGNATURAS!$B$7:$B$27,nASIG)&gt;0)*1),"")))</f>
        <v/>
      </c>
      <c r="N151" t="str">
        <f>IF(M151="","",IF(M151="[FÓRMULA MANUAL]","",IFERROR(AVERAGEIFS(nNOTA,nNIA,M151,nCUENTA,1,nASIG,"Armonía"),"")))</f>
        <v/>
      </c>
      <c r="O151" t="str">
        <f>IF(M151="","",IF(M151="[FÓRMULA MANUAL]","",IFERROR(AVERAGEIFS(nNOTA,nNIA,M151,nCUENTA,1,nASIG,"Orquesta/Banda/Conjunto"),"")))</f>
        <v/>
      </c>
      <c r="P151" t="str">
        <f>IF(M151="","",IF(M151="[FÓRMULA MANUAL]","",IFERROR(AVERAGEIFS(nNOTA,nNIA,M151,nCUENTA,1,nASIG,"Música de Cámara"),"")))</f>
        <v/>
      </c>
      <c r="Q151" t="str">
        <f>IF(M151="","",IF(M151="[FÓRMULA MANUAL]","",IFERROR(SUMPRODUCT((nNIA=M151)*(nCUENTA=1)*(COUNTIF(CONFIG_ASIGNATURAS!$B$7:$B$27,nASIG)&gt;0)*(nNOTA))/SUMPRODUCT((nNIA=M151)*(nCUENTA=1)*(COUNTIF(CONFIG_ASIGNATURAS!$B$7:$B$27,nASIG)&gt;0)*1),"")))</f>
        <v/>
      </c>
      <c r="T151" t="str">
        <f>IF(S151="","",IF(S151="[FÓRMULA MANUAL]","",IFERROR(AVERAGEIFS(nNOTA,nNIA,S151,nCUENTA,1,nASIG,"Armonía"),"")))</f>
        <v/>
      </c>
      <c r="U151" t="str">
        <f>IF(S151="","",IF(S151="[FÓRMULA MANUAL]","",IFERROR(AVERAGEIFS(nNOTA,nNIA,S151,nCUENTA,1,nASIG,"Orquesta/Banda/Conjunto"),"")))</f>
        <v/>
      </c>
      <c r="V151" t="str">
        <f>IF(S151="","",IF(S151="[FÓRMULA MANUAL]","",IFERROR(AVERAGEIFS(nNOTA,nNIA,S151,nCUENTA,1,nASIG,"Música de Cámara"),"")))</f>
        <v/>
      </c>
      <c r="W151" t="str">
        <f>IF(S151="","",IF(S151="[FÓRMULA MANUAL]","",IFERROR(SUMPRODUCT((nNIA=S151)*(nCUENTA=1)*(COUNTIF(CONFIG_ASIGNATURAS!$B$7:$B$27,nASIG)&gt;0)*(nNOTA))/SUMPRODUCT((nNIA=S151)*(nCUENTA=1)*(COUNTIF(CONFIG_ASIGNATURAS!$B$7:$B$27,nASIG)&gt;0)*1),"")))</f>
        <v/>
      </c>
      <c r="Z151" t="str">
        <f>IF(Y151="","",IF(Y151="[FÓRMULA MANUAL]","",IFERROR(AVERAGEIFS(nNOTA,nNIA,Y151,nCUENTA,1,nASIG,"Análisis"),"")))</f>
        <v/>
      </c>
      <c r="AA151" t="str">
        <f>IF(Y151="","",IF(Y151="[FÓRMULA MANUAL]","",IFERROR(AVERAGEIFS(nNOTA,nNIA,Y151,nCUENTA,1,nASIG,"Orquesta/Banda/Conjunto"),"")))</f>
        <v/>
      </c>
      <c r="AB151" t="str">
        <f>IF(Y151="","",IF(Y151="[FÓRMULA MANUAL]","",IFERROR(AVERAGEIFS(nNOTA,nNIA,Y151,nCUENTA,1,nASIG,"Música de Cámara"),"")))</f>
        <v/>
      </c>
      <c r="AC151" t="str">
        <f>IF(Y151="","",IF(Y151="[FÓRMULA MANUAL]","",IFERROR(SUMPRODUCT((nNIA=Y151)*(nCUENTA=1)*(COUNTIF(CONFIG_ASIGNATURAS!$B$7:$B$27,nASIG)&gt;0)*(nNOTA))/SUMPRODUCT((nNIA=Y151)*(nCUENTA=1)*(COUNTIF(CONFIG_ASIGNATURAS!$B$7:$B$27,nASIG)&gt;0)*1),"")))</f>
        <v/>
      </c>
      <c r="AF151" t="str">
        <f>IF(AE151="","",IF(AE151="[FÓRMULA MANUAL]","",IFERROR(AVERAGEIFS(nNOTA,nNIA,AE151,nCUENTA,1,nASIG,"Análisis"),"")))</f>
        <v/>
      </c>
      <c r="AG151" t="str">
        <f>IF(AE151="","",IF(AE151="[FÓRMULA MANUAL]","",IFERROR(AVERAGEIFS(nNOTA,nNIA,AE151,nCUENTA,1,nASIG,"Orquesta/Banda/Conjunto"),"")))</f>
        <v/>
      </c>
      <c r="AH151" t="str">
        <f>IF(AE151="","",IF(AE151="[FÓRMULA MANUAL]","",IFERROR(AVERAGEIFS(nNOTA,nNIA,AE151,nCUENTA,1,nASIG,"Música de Cámara"),"")))</f>
        <v/>
      </c>
      <c r="AI151" t="str">
        <f>IF(AE151="","",IF(AE151="[FÓRMULA MANUAL]","",IFERROR(SUMPRODUCT((nNIA=AE151)*(nCUENTA=1)*(COUNTIF(CONFIG_ASIGNATURAS!$B$7:$B$27,nASIG)&gt;0)*(nNOTA))/SUMPRODUCT((nNIA=AE151)*(nCUENTA=1)*(COUNTIF(CONFIG_ASIGNATURAS!$B$7:$B$27,nASIG)&gt;0)*1),"")))</f>
        <v/>
      </c>
    </row>
    <row r="152" spans="2:35" x14ac:dyDescent="0.2">
      <c r="B152" t="str">
        <f>IF(A152="","",IF(A152="[FÓRMULA MANUAL]","",IFERROR(AVERAGEIFS(nNOTA,nNIA,A152,nCUENTA,1,nASIG,"Lenguaje Musical"),"")))</f>
        <v/>
      </c>
      <c r="C152" t="str">
        <f>IF(A152="","",IF(A152="[FÓRMULA MANUAL]","",IFERROR(AVERAGEIFS(nNOTA,nNIA,A152,nCUENTA,1,nASIG,"Orquesta/Banda/Conjunto"),"")))</f>
        <v/>
      </c>
      <c r="D152" t="str">
        <f>IF(A152="","",IF(A152="[FÓRMULA MANUAL]","",IFERROR(AVERAGEIFS(nNOTA,nNIA,A152,nCUENTA,1,nASIG,"Conjunto"),"")))</f>
        <v/>
      </c>
      <c r="E152" t="str">
        <f>IF(A152="","",IF(A152="[FÓRMULA MANUAL]","",IFERROR(SUMPRODUCT((nNIA=A152)*(nCUENTA=1)*(COUNTIF(CONFIG_ASIGNATURAS!$B$7:$B$27,nASIG)&gt;0)*(nNOTA))/SUMPRODUCT((nNIA=A152)*(nCUENTA=1)*(COUNTIF(CONFIG_ASIGNATURAS!$B$7:$B$27,nASIG)&gt;0)*1),"")))</f>
        <v/>
      </c>
      <c r="H152" t="str">
        <f>IF(G152="","",IF(G152="[FÓRMULA MANUAL]","",IFERROR(AVERAGEIFS(nNOTA,nNIA,G152,nCUENTA,1,nASIG,"Lenguaje Musical"),"")))</f>
        <v/>
      </c>
      <c r="I152" t="str">
        <f>IF(G152="","",IF(G152="[FÓRMULA MANUAL]","",IFERROR(AVERAGEIFS(nNOTA,nNIA,G152,nCUENTA,1,nASIG,"Orquesta/Banda/Conjunto"),"")))</f>
        <v/>
      </c>
      <c r="J152" t="str">
        <f>IF(G152="","",IF(G152="[FÓRMULA MANUAL]","",IFERROR(AVERAGEIFS(nNOTA,nNIA,G152,nCUENTA,1,nASIG,"Conjunto"),"")))</f>
        <v/>
      </c>
      <c r="K152" t="str">
        <f>IF(G152="","",IF(G152="[FÓRMULA MANUAL]","",IFERROR(SUMPRODUCT((nNIA=G152)*(nCUENTA=1)*(COUNTIF(CONFIG_ASIGNATURAS!$B$7:$B$27,nASIG)&gt;0)*(nNOTA))/SUMPRODUCT((nNIA=G152)*(nCUENTA=1)*(COUNTIF(CONFIG_ASIGNATURAS!$B$7:$B$27,nASIG)&gt;0)*1),"")))</f>
        <v/>
      </c>
      <c r="N152" t="str">
        <f>IF(M152="","",IF(M152="[FÓRMULA MANUAL]","",IFERROR(AVERAGEIFS(nNOTA,nNIA,M152,nCUENTA,1,nASIG,"Armonía"),"")))</f>
        <v/>
      </c>
      <c r="O152" t="str">
        <f>IF(M152="","",IF(M152="[FÓRMULA MANUAL]","",IFERROR(AVERAGEIFS(nNOTA,nNIA,M152,nCUENTA,1,nASIG,"Orquesta/Banda/Conjunto"),"")))</f>
        <v/>
      </c>
      <c r="P152" t="str">
        <f>IF(M152="","",IF(M152="[FÓRMULA MANUAL]","",IFERROR(AVERAGEIFS(nNOTA,nNIA,M152,nCUENTA,1,nASIG,"Música de Cámara"),"")))</f>
        <v/>
      </c>
      <c r="Q152" t="str">
        <f>IF(M152="","",IF(M152="[FÓRMULA MANUAL]","",IFERROR(SUMPRODUCT((nNIA=M152)*(nCUENTA=1)*(COUNTIF(CONFIG_ASIGNATURAS!$B$7:$B$27,nASIG)&gt;0)*(nNOTA))/SUMPRODUCT((nNIA=M152)*(nCUENTA=1)*(COUNTIF(CONFIG_ASIGNATURAS!$B$7:$B$27,nASIG)&gt;0)*1),"")))</f>
        <v/>
      </c>
      <c r="T152" t="str">
        <f>IF(S152="","",IF(S152="[FÓRMULA MANUAL]","",IFERROR(AVERAGEIFS(nNOTA,nNIA,S152,nCUENTA,1,nASIG,"Armonía"),"")))</f>
        <v/>
      </c>
      <c r="U152" t="str">
        <f>IF(S152="","",IF(S152="[FÓRMULA MANUAL]","",IFERROR(AVERAGEIFS(nNOTA,nNIA,S152,nCUENTA,1,nASIG,"Orquesta/Banda/Conjunto"),"")))</f>
        <v/>
      </c>
      <c r="V152" t="str">
        <f>IF(S152="","",IF(S152="[FÓRMULA MANUAL]","",IFERROR(AVERAGEIFS(nNOTA,nNIA,S152,nCUENTA,1,nASIG,"Música de Cámara"),"")))</f>
        <v/>
      </c>
      <c r="W152" t="str">
        <f>IF(S152="","",IF(S152="[FÓRMULA MANUAL]","",IFERROR(SUMPRODUCT((nNIA=S152)*(nCUENTA=1)*(COUNTIF(CONFIG_ASIGNATURAS!$B$7:$B$27,nASIG)&gt;0)*(nNOTA))/SUMPRODUCT((nNIA=S152)*(nCUENTA=1)*(COUNTIF(CONFIG_ASIGNATURAS!$B$7:$B$27,nASIG)&gt;0)*1),"")))</f>
        <v/>
      </c>
      <c r="Z152" t="str">
        <f>IF(Y152="","",IF(Y152="[FÓRMULA MANUAL]","",IFERROR(AVERAGEIFS(nNOTA,nNIA,Y152,nCUENTA,1,nASIG,"Análisis"),"")))</f>
        <v/>
      </c>
      <c r="AA152" t="str">
        <f>IF(Y152="","",IF(Y152="[FÓRMULA MANUAL]","",IFERROR(AVERAGEIFS(nNOTA,nNIA,Y152,nCUENTA,1,nASIG,"Orquesta/Banda/Conjunto"),"")))</f>
        <v/>
      </c>
      <c r="AB152" t="str">
        <f>IF(Y152="","",IF(Y152="[FÓRMULA MANUAL]","",IFERROR(AVERAGEIFS(nNOTA,nNIA,Y152,nCUENTA,1,nASIG,"Música de Cámara"),"")))</f>
        <v/>
      </c>
      <c r="AC152" t="str">
        <f>IF(Y152="","",IF(Y152="[FÓRMULA MANUAL]","",IFERROR(SUMPRODUCT((nNIA=Y152)*(nCUENTA=1)*(COUNTIF(CONFIG_ASIGNATURAS!$B$7:$B$27,nASIG)&gt;0)*(nNOTA))/SUMPRODUCT((nNIA=Y152)*(nCUENTA=1)*(COUNTIF(CONFIG_ASIGNATURAS!$B$7:$B$27,nASIG)&gt;0)*1),"")))</f>
        <v/>
      </c>
      <c r="AF152" t="str">
        <f>IF(AE152="","",IF(AE152="[FÓRMULA MANUAL]","",IFERROR(AVERAGEIFS(nNOTA,nNIA,AE152,nCUENTA,1,nASIG,"Análisis"),"")))</f>
        <v/>
      </c>
      <c r="AG152" t="str">
        <f>IF(AE152="","",IF(AE152="[FÓRMULA MANUAL]","",IFERROR(AVERAGEIFS(nNOTA,nNIA,AE152,nCUENTA,1,nASIG,"Orquesta/Banda/Conjunto"),"")))</f>
        <v/>
      </c>
      <c r="AH152" t="str">
        <f>IF(AE152="","",IF(AE152="[FÓRMULA MANUAL]","",IFERROR(AVERAGEIFS(nNOTA,nNIA,AE152,nCUENTA,1,nASIG,"Música de Cámara"),"")))</f>
        <v/>
      </c>
      <c r="AI152" t="str">
        <f>IF(AE152="","",IF(AE152="[FÓRMULA MANUAL]","",IFERROR(SUMPRODUCT((nNIA=AE152)*(nCUENTA=1)*(COUNTIF(CONFIG_ASIGNATURAS!$B$7:$B$27,nASIG)&gt;0)*(nNOTA))/SUMPRODUCT((nNIA=AE152)*(nCUENTA=1)*(COUNTIF(CONFIG_ASIGNATURAS!$B$7:$B$27,nASIG)&gt;0)*1),"")))</f>
        <v/>
      </c>
    </row>
    <row r="153" spans="2:35" x14ac:dyDescent="0.2">
      <c r="B153" t="str">
        <f>IF(A153="","",IF(A153="[FÓRMULA MANUAL]","",IFERROR(AVERAGEIFS(nNOTA,nNIA,A153,nCUENTA,1,nASIG,"Lenguaje Musical"),"")))</f>
        <v/>
      </c>
      <c r="C153" t="str">
        <f>IF(A153="","",IF(A153="[FÓRMULA MANUAL]","",IFERROR(AVERAGEIFS(nNOTA,nNIA,A153,nCUENTA,1,nASIG,"Orquesta/Banda/Conjunto"),"")))</f>
        <v/>
      </c>
      <c r="D153" t="str">
        <f>IF(A153="","",IF(A153="[FÓRMULA MANUAL]","",IFERROR(AVERAGEIFS(nNOTA,nNIA,A153,nCUENTA,1,nASIG,"Conjunto"),"")))</f>
        <v/>
      </c>
      <c r="E153" t="str">
        <f>IF(A153="","",IF(A153="[FÓRMULA MANUAL]","",IFERROR(SUMPRODUCT((nNIA=A153)*(nCUENTA=1)*(COUNTIF(CONFIG_ASIGNATURAS!$B$7:$B$27,nASIG)&gt;0)*(nNOTA))/SUMPRODUCT((nNIA=A153)*(nCUENTA=1)*(COUNTIF(CONFIG_ASIGNATURAS!$B$7:$B$27,nASIG)&gt;0)*1),"")))</f>
        <v/>
      </c>
      <c r="H153" t="str">
        <f>IF(G153="","",IF(G153="[FÓRMULA MANUAL]","",IFERROR(AVERAGEIFS(nNOTA,nNIA,G153,nCUENTA,1,nASIG,"Lenguaje Musical"),"")))</f>
        <v/>
      </c>
      <c r="I153" t="str">
        <f>IF(G153="","",IF(G153="[FÓRMULA MANUAL]","",IFERROR(AVERAGEIFS(nNOTA,nNIA,G153,nCUENTA,1,nASIG,"Orquesta/Banda/Conjunto"),"")))</f>
        <v/>
      </c>
      <c r="J153" t="str">
        <f>IF(G153="","",IF(G153="[FÓRMULA MANUAL]","",IFERROR(AVERAGEIFS(nNOTA,nNIA,G153,nCUENTA,1,nASIG,"Conjunto"),"")))</f>
        <v/>
      </c>
      <c r="K153" t="str">
        <f>IF(G153="","",IF(G153="[FÓRMULA MANUAL]","",IFERROR(SUMPRODUCT((nNIA=G153)*(nCUENTA=1)*(COUNTIF(CONFIG_ASIGNATURAS!$B$7:$B$27,nASIG)&gt;0)*(nNOTA))/SUMPRODUCT((nNIA=G153)*(nCUENTA=1)*(COUNTIF(CONFIG_ASIGNATURAS!$B$7:$B$27,nASIG)&gt;0)*1),"")))</f>
        <v/>
      </c>
      <c r="N153" t="str">
        <f>IF(M153="","",IF(M153="[FÓRMULA MANUAL]","",IFERROR(AVERAGEIFS(nNOTA,nNIA,M153,nCUENTA,1,nASIG,"Armonía"),"")))</f>
        <v/>
      </c>
      <c r="O153" t="str">
        <f>IF(M153="","",IF(M153="[FÓRMULA MANUAL]","",IFERROR(AVERAGEIFS(nNOTA,nNIA,M153,nCUENTA,1,nASIG,"Orquesta/Banda/Conjunto"),"")))</f>
        <v/>
      </c>
      <c r="P153" t="str">
        <f>IF(M153="","",IF(M153="[FÓRMULA MANUAL]","",IFERROR(AVERAGEIFS(nNOTA,nNIA,M153,nCUENTA,1,nASIG,"Música de Cámara"),"")))</f>
        <v/>
      </c>
      <c r="Q153" t="str">
        <f>IF(M153="","",IF(M153="[FÓRMULA MANUAL]","",IFERROR(SUMPRODUCT((nNIA=M153)*(nCUENTA=1)*(COUNTIF(CONFIG_ASIGNATURAS!$B$7:$B$27,nASIG)&gt;0)*(nNOTA))/SUMPRODUCT((nNIA=M153)*(nCUENTA=1)*(COUNTIF(CONFIG_ASIGNATURAS!$B$7:$B$27,nASIG)&gt;0)*1),"")))</f>
        <v/>
      </c>
      <c r="T153" t="str">
        <f>IF(S153="","",IF(S153="[FÓRMULA MANUAL]","",IFERROR(AVERAGEIFS(nNOTA,nNIA,S153,nCUENTA,1,nASIG,"Armonía"),"")))</f>
        <v/>
      </c>
      <c r="U153" t="str">
        <f>IF(S153="","",IF(S153="[FÓRMULA MANUAL]","",IFERROR(AVERAGEIFS(nNOTA,nNIA,S153,nCUENTA,1,nASIG,"Orquesta/Banda/Conjunto"),"")))</f>
        <v/>
      </c>
      <c r="V153" t="str">
        <f>IF(S153="","",IF(S153="[FÓRMULA MANUAL]","",IFERROR(AVERAGEIFS(nNOTA,nNIA,S153,nCUENTA,1,nASIG,"Música de Cámara"),"")))</f>
        <v/>
      </c>
      <c r="W153" t="str">
        <f>IF(S153="","",IF(S153="[FÓRMULA MANUAL]","",IFERROR(SUMPRODUCT((nNIA=S153)*(nCUENTA=1)*(COUNTIF(CONFIG_ASIGNATURAS!$B$7:$B$27,nASIG)&gt;0)*(nNOTA))/SUMPRODUCT((nNIA=S153)*(nCUENTA=1)*(COUNTIF(CONFIG_ASIGNATURAS!$B$7:$B$27,nASIG)&gt;0)*1),"")))</f>
        <v/>
      </c>
      <c r="Z153" t="str">
        <f>IF(Y153="","",IF(Y153="[FÓRMULA MANUAL]","",IFERROR(AVERAGEIFS(nNOTA,nNIA,Y153,nCUENTA,1,nASIG,"Análisis"),"")))</f>
        <v/>
      </c>
      <c r="AA153" t="str">
        <f>IF(Y153="","",IF(Y153="[FÓRMULA MANUAL]","",IFERROR(AVERAGEIFS(nNOTA,nNIA,Y153,nCUENTA,1,nASIG,"Orquesta/Banda/Conjunto"),"")))</f>
        <v/>
      </c>
      <c r="AB153" t="str">
        <f>IF(Y153="","",IF(Y153="[FÓRMULA MANUAL]","",IFERROR(AVERAGEIFS(nNOTA,nNIA,Y153,nCUENTA,1,nASIG,"Música de Cámara"),"")))</f>
        <v/>
      </c>
      <c r="AC153" t="str">
        <f>IF(Y153="","",IF(Y153="[FÓRMULA MANUAL]","",IFERROR(SUMPRODUCT((nNIA=Y153)*(nCUENTA=1)*(COUNTIF(CONFIG_ASIGNATURAS!$B$7:$B$27,nASIG)&gt;0)*(nNOTA))/SUMPRODUCT((nNIA=Y153)*(nCUENTA=1)*(COUNTIF(CONFIG_ASIGNATURAS!$B$7:$B$27,nASIG)&gt;0)*1),"")))</f>
        <v/>
      </c>
      <c r="AF153" t="str">
        <f>IF(AE153="","",IF(AE153="[FÓRMULA MANUAL]","",IFERROR(AVERAGEIFS(nNOTA,nNIA,AE153,nCUENTA,1,nASIG,"Análisis"),"")))</f>
        <v/>
      </c>
      <c r="AG153" t="str">
        <f>IF(AE153="","",IF(AE153="[FÓRMULA MANUAL]","",IFERROR(AVERAGEIFS(nNOTA,nNIA,AE153,nCUENTA,1,nASIG,"Orquesta/Banda/Conjunto"),"")))</f>
        <v/>
      </c>
      <c r="AH153" t="str">
        <f>IF(AE153="","",IF(AE153="[FÓRMULA MANUAL]","",IFERROR(AVERAGEIFS(nNOTA,nNIA,AE153,nCUENTA,1,nASIG,"Música de Cámara"),"")))</f>
        <v/>
      </c>
      <c r="AI153" t="str">
        <f>IF(AE153="","",IF(AE153="[FÓRMULA MANUAL]","",IFERROR(SUMPRODUCT((nNIA=AE153)*(nCUENTA=1)*(COUNTIF(CONFIG_ASIGNATURAS!$B$7:$B$27,nASIG)&gt;0)*(nNOTA))/SUMPRODUCT((nNIA=AE153)*(nCUENTA=1)*(COUNTIF(CONFIG_ASIGNATURAS!$B$7:$B$27,nASIG)&gt;0)*1),"")))</f>
        <v/>
      </c>
    </row>
    <row r="154" spans="2:35" x14ac:dyDescent="0.2">
      <c r="B154" t="str">
        <f>IF(A154="","",IF(A154="[FÓRMULA MANUAL]","",IFERROR(AVERAGEIFS(nNOTA,nNIA,A154,nCUENTA,1,nASIG,"Lenguaje Musical"),"")))</f>
        <v/>
      </c>
      <c r="C154" t="str">
        <f>IF(A154="","",IF(A154="[FÓRMULA MANUAL]","",IFERROR(AVERAGEIFS(nNOTA,nNIA,A154,nCUENTA,1,nASIG,"Orquesta/Banda/Conjunto"),"")))</f>
        <v/>
      </c>
      <c r="D154" t="str">
        <f>IF(A154="","",IF(A154="[FÓRMULA MANUAL]","",IFERROR(AVERAGEIFS(nNOTA,nNIA,A154,nCUENTA,1,nASIG,"Conjunto"),"")))</f>
        <v/>
      </c>
      <c r="E154" t="str">
        <f>IF(A154="","",IF(A154="[FÓRMULA MANUAL]","",IFERROR(SUMPRODUCT((nNIA=A154)*(nCUENTA=1)*(COUNTIF(CONFIG_ASIGNATURAS!$B$7:$B$27,nASIG)&gt;0)*(nNOTA))/SUMPRODUCT((nNIA=A154)*(nCUENTA=1)*(COUNTIF(CONFIG_ASIGNATURAS!$B$7:$B$27,nASIG)&gt;0)*1),"")))</f>
        <v/>
      </c>
      <c r="H154" t="str">
        <f>IF(G154="","",IF(G154="[FÓRMULA MANUAL]","",IFERROR(AVERAGEIFS(nNOTA,nNIA,G154,nCUENTA,1,nASIG,"Lenguaje Musical"),"")))</f>
        <v/>
      </c>
      <c r="I154" t="str">
        <f>IF(G154="","",IF(G154="[FÓRMULA MANUAL]","",IFERROR(AVERAGEIFS(nNOTA,nNIA,G154,nCUENTA,1,nASIG,"Orquesta/Banda/Conjunto"),"")))</f>
        <v/>
      </c>
      <c r="J154" t="str">
        <f>IF(G154="","",IF(G154="[FÓRMULA MANUAL]","",IFERROR(AVERAGEIFS(nNOTA,nNIA,G154,nCUENTA,1,nASIG,"Conjunto"),"")))</f>
        <v/>
      </c>
      <c r="K154" t="str">
        <f>IF(G154="","",IF(G154="[FÓRMULA MANUAL]","",IFERROR(SUMPRODUCT((nNIA=G154)*(nCUENTA=1)*(COUNTIF(CONFIG_ASIGNATURAS!$B$7:$B$27,nASIG)&gt;0)*(nNOTA))/SUMPRODUCT((nNIA=G154)*(nCUENTA=1)*(COUNTIF(CONFIG_ASIGNATURAS!$B$7:$B$27,nASIG)&gt;0)*1),"")))</f>
        <v/>
      </c>
      <c r="N154" t="str">
        <f>IF(M154="","",IF(M154="[FÓRMULA MANUAL]","",IFERROR(AVERAGEIFS(nNOTA,nNIA,M154,nCUENTA,1,nASIG,"Armonía"),"")))</f>
        <v/>
      </c>
      <c r="O154" t="str">
        <f>IF(M154="","",IF(M154="[FÓRMULA MANUAL]","",IFERROR(AVERAGEIFS(nNOTA,nNIA,M154,nCUENTA,1,nASIG,"Orquesta/Banda/Conjunto"),"")))</f>
        <v/>
      </c>
      <c r="P154" t="str">
        <f>IF(M154="","",IF(M154="[FÓRMULA MANUAL]","",IFERROR(AVERAGEIFS(nNOTA,nNIA,M154,nCUENTA,1,nASIG,"Música de Cámara"),"")))</f>
        <v/>
      </c>
      <c r="Q154" t="str">
        <f>IF(M154="","",IF(M154="[FÓRMULA MANUAL]","",IFERROR(SUMPRODUCT((nNIA=M154)*(nCUENTA=1)*(COUNTIF(CONFIG_ASIGNATURAS!$B$7:$B$27,nASIG)&gt;0)*(nNOTA))/SUMPRODUCT((nNIA=M154)*(nCUENTA=1)*(COUNTIF(CONFIG_ASIGNATURAS!$B$7:$B$27,nASIG)&gt;0)*1),"")))</f>
        <v/>
      </c>
      <c r="T154" t="str">
        <f>IF(S154="","",IF(S154="[FÓRMULA MANUAL]","",IFERROR(AVERAGEIFS(nNOTA,nNIA,S154,nCUENTA,1,nASIG,"Armonía"),"")))</f>
        <v/>
      </c>
      <c r="U154" t="str">
        <f>IF(S154="","",IF(S154="[FÓRMULA MANUAL]","",IFERROR(AVERAGEIFS(nNOTA,nNIA,S154,nCUENTA,1,nASIG,"Orquesta/Banda/Conjunto"),"")))</f>
        <v/>
      </c>
      <c r="V154" t="str">
        <f>IF(S154="","",IF(S154="[FÓRMULA MANUAL]","",IFERROR(AVERAGEIFS(nNOTA,nNIA,S154,nCUENTA,1,nASIG,"Música de Cámara"),"")))</f>
        <v/>
      </c>
      <c r="W154" t="str">
        <f>IF(S154="","",IF(S154="[FÓRMULA MANUAL]","",IFERROR(SUMPRODUCT((nNIA=S154)*(nCUENTA=1)*(COUNTIF(CONFIG_ASIGNATURAS!$B$7:$B$27,nASIG)&gt;0)*(nNOTA))/SUMPRODUCT((nNIA=S154)*(nCUENTA=1)*(COUNTIF(CONFIG_ASIGNATURAS!$B$7:$B$27,nASIG)&gt;0)*1),"")))</f>
        <v/>
      </c>
      <c r="Z154" t="str">
        <f>IF(Y154="","",IF(Y154="[FÓRMULA MANUAL]","",IFERROR(AVERAGEIFS(nNOTA,nNIA,Y154,nCUENTA,1,nASIG,"Análisis"),"")))</f>
        <v/>
      </c>
      <c r="AA154" t="str">
        <f>IF(Y154="","",IF(Y154="[FÓRMULA MANUAL]","",IFERROR(AVERAGEIFS(nNOTA,nNIA,Y154,nCUENTA,1,nASIG,"Orquesta/Banda/Conjunto"),"")))</f>
        <v/>
      </c>
      <c r="AB154" t="str">
        <f>IF(Y154="","",IF(Y154="[FÓRMULA MANUAL]","",IFERROR(AVERAGEIFS(nNOTA,nNIA,Y154,nCUENTA,1,nASIG,"Música de Cámara"),"")))</f>
        <v/>
      </c>
      <c r="AC154" t="str">
        <f>IF(Y154="","",IF(Y154="[FÓRMULA MANUAL]","",IFERROR(SUMPRODUCT((nNIA=Y154)*(nCUENTA=1)*(COUNTIF(CONFIG_ASIGNATURAS!$B$7:$B$27,nASIG)&gt;0)*(nNOTA))/SUMPRODUCT((nNIA=Y154)*(nCUENTA=1)*(COUNTIF(CONFIG_ASIGNATURAS!$B$7:$B$27,nASIG)&gt;0)*1),"")))</f>
        <v/>
      </c>
      <c r="AF154" t="str">
        <f>IF(AE154="","",IF(AE154="[FÓRMULA MANUAL]","",IFERROR(AVERAGEIFS(nNOTA,nNIA,AE154,nCUENTA,1,nASIG,"Análisis"),"")))</f>
        <v/>
      </c>
      <c r="AG154" t="str">
        <f>IF(AE154="","",IF(AE154="[FÓRMULA MANUAL]","",IFERROR(AVERAGEIFS(nNOTA,nNIA,AE154,nCUENTA,1,nASIG,"Orquesta/Banda/Conjunto"),"")))</f>
        <v/>
      </c>
      <c r="AH154" t="str">
        <f>IF(AE154="","",IF(AE154="[FÓRMULA MANUAL]","",IFERROR(AVERAGEIFS(nNOTA,nNIA,AE154,nCUENTA,1,nASIG,"Música de Cámara"),"")))</f>
        <v/>
      </c>
      <c r="AI154" t="str">
        <f>IF(AE154="","",IF(AE154="[FÓRMULA MANUAL]","",IFERROR(SUMPRODUCT((nNIA=AE154)*(nCUENTA=1)*(COUNTIF(CONFIG_ASIGNATURAS!$B$7:$B$27,nASIG)&gt;0)*(nNOTA))/SUMPRODUCT((nNIA=AE154)*(nCUENTA=1)*(COUNTIF(CONFIG_ASIGNATURAS!$B$7:$B$27,nASIG)&gt;0)*1),"")))</f>
        <v/>
      </c>
    </row>
    <row r="155" spans="2:35" x14ac:dyDescent="0.2">
      <c r="B155" t="str">
        <f>IF(A155="","",IF(A155="[FÓRMULA MANUAL]","",IFERROR(AVERAGEIFS(nNOTA,nNIA,A155,nCUENTA,1,nASIG,"Lenguaje Musical"),"")))</f>
        <v/>
      </c>
      <c r="C155" t="str">
        <f>IF(A155="","",IF(A155="[FÓRMULA MANUAL]","",IFERROR(AVERAGEIFS(nNOTA,nNIA,A155,nCUENTA,1,nASIG,"Orquesta/Banda/Conjunto"),"")))</f>
        <v/>
      </c>
      <c r="D155" t="str">
        <f>IF(A155="","",IF(A155="[FÓRMULA MANUAL]","",IFERROR(AVERAGEIFS(nNOTA,nNIA,A155,nCUENTA,1,nASIG,"Conjunto"),"")))</f>
        <v/>
      </c>
      <c r="E155" t="str">
        <f>IF(A155="","",IF(A155="[FÓRMULA MANUAL]","",IFERROR(SUMPRODUCT((nNIA=A155)*(nCUENTA=1)*(COUNTIF(CONFIG_ASIGNATURAS!$B$7:$B$27,nASIG)&gt;0)*(nNOTA))/SUMPRODUCT((nNIA=A155)*(nCUENTA=1)*(COUNTIF(CONFIG_ASIGNATURAS!$B$7:$B$27,nASIG)&gt;0)*1),"")))</f>
        <v/>
      </c>
      <c r="H155" t="str">
        <f>IF(G155="","",IF(G155="[FÓRMULA MANUAL]","",IFERROR(AVERAGEIFS(nNOTA,nNIA,G155,nCUENTA,1,nASIG,"Lenguaje Musical"),"")))</f>
        <v/>
      </c>
      <c r="I155" t="str">
        <f>IF(G155="","",IF(G155="[FÓRMULA MANUAL]","",IFERROR(AVERAGEIFS(nNOTA,nNIA,G155,nCUENTA,1,nASIG,"Orquesta/Banda/Conjunto"),"")))</f>
        <v/>
      </c>
      <c r="J155" t="str">
        <f>IF(G155="","",IF(G155="[FÓRMULA MANUAL]","",IFERROR(AVERAGEIFS(nNOTA,nNIA,G155,nCUENTA,1,nASIG,"Conjunto"),"")))</f>
        <v/>
      </c>
      <c r="K155" t="str">
        <f>IF(G155="","",IF(G155="[FÓRMULA MANUAL]","",IFERROR(SUMPRODUCT((nNIA=G155)*(nCUENTA=1)*(COUNTIF(CONFIG_ASIGNATURAS!$B$7:$B$27,nASIG)&gt;0)*(nNOTA))/SUMPRODUCT((nNIA=G155)*(nCUENTA=1)*(COUNTIF(CONFIG_ASIGNATURAS!$B$7:$B$27,nASIG)&gt;0)*1),"")))</f>
        <v/>
      </c>
      <c r="N155" t="str">
        <f>IF(M155="","",IF(M155="[FÓRMULA MANUAL]","",IFERROR(AVERAGEIFS(nNOTA,nNIA,M155,nCUENTA,1,nASIG,"Armonía"),"")))</f>
        <v/>
      </c>
      <c r="O155" t="str">
        <f>IF(M155="","",IF(M155="[FÓRMULA MANUAL]","",IFERROR(AVERAGEIFS(nNOTA,nNIA,M155,nCUENTA,1,nASIG,"Orquesta/Banda/Conjunto"),"")))</f>
        <v/>
      </c>
      <c r="P155" t="str">
        <f>IF(M155="","",IF(M155="[FÓRMULA MANUAL]","",IFERROR(AVERAGEIFS(nNOTA,nNIA,M155,nCUENTA,1,nASIG,"Música de Cámara"),"")))</f>
        <v/>
      </c>
      <c r="Q155" t="str">
        <f>IF(M155="","",IF(M155="[FÓRMULA MANUAL]","",IFERROR(SUMPRODUCT((nNIA=M155)*(nCUENTA=1)*(COUNTIF(CONFIG_ASIGNATURAS!$B$7:$B$27,nASIG)&gt;0)*(nNOTA))/SUMPRODUCT((nNIA=M155)*(nCUENTA=1)*(COUNTIF(CONFIG_ASIGNATURAS!$B$7:$B$27,nASIG)&gt;0)*1),"")))</f>
        <v/>
      </c>
      <c r="T155" t="str">
        <f>IF(S155="","",IF(S155="[FÓRMULA MANUAL]","",IFERROR(AVERAGEIFS(nNOTA,nNIA,S155,nCUENTA,1,nASIG,"Armonía"),"")))</f>
        <v/>
      </c>
      <c r="U155" t="str">
        <f>IF(S155="","",IF(S155="[FÓRMULA MANUAL]","",IFERROR(AVERAGEIFS(nNOTA,nNIA,S155,nCUENTA,1,nASIG,"Orquesta/Banda/Conjunto"),"")))</f>
        <v/>
      </c>
      <c r="V155" t="str">
        <f>IF(S155="","",IF(S155="[FÓRMULA MANUAL]","",IFERROR(AVERAGEIFS(nNOTA,nNIA,S155,nCUENTA,1,nASIG,"Música de Cámara"),"")))</f>
        <v/>
      </c>
      <c r="W155" t="str">
        <f>IF(S155="","",IF(S155="[FÓRMULA MANUAL]","",IFERROR(SUMPRODUCT((nNIA=S155)*(nCUENTA=1)*(COUNTIF(CONFIG_ASIGNATURAS!$B$7:$B$27,nASIG)&gt;0)*(nNOTA))/SUMPRODUCT((nNIA=S155)*(nCUENTA=1)*(COUNTIF(CONFIG_ASIGNATURAS!$B$7:$B$27,nASIG)&gt;0)*1),"")))</f>
        <v/>
      </c>
      <c r="Z155" t="str">
        <f>IF(Y155="","",IF(Y155="[FÓRMULA MANUAL]","",IFERROR(AVERAGEIFS(nNOTA,nNIA,Y155,nCUENTA,1,nASIG,"Análisis"),"")))</f>
        <v/>
      </c>
      <c r="AA155" t="str">
        <f>IF(Y155="","",IF(Y155="[FÓRMULA MANUAL]","",IFERROR(AVERAGEIFS(nNOTA,nNIA,Y155,nCUENTA,1,nASIG,"Orquesta/Banda/Conjunto"),"")))</f>
        <v/>
      </c>
      <c r="AB155" t="str">
        <f>IF(Y155="","",IF(Y155="[FÓRMULA MANUAL]","",IFERROR(AVERAGEIFS(nNOTA,nNIA,Y155,nCUENTA,1,nASIG,"Música de Cámara"),"")))</f>
        <v/>
      </c>
      <c r="AC155" t="str">
        <f>IF(Y155="","",IF(Y155="[FÓRMULA MANUAL]","",IFERROR(SUMPRODUCT((nNIA=Y155)*(nCUENTA=1)*(COUNTIF(CONFIG_ASIGNATURAS!$B$7:$B$27,nASIG)&gt;0)*(nNOTA))/SUMPRODUCT((nNIA=Y155)*(nCUENTA=1)*(COUNTIF(CONFIG_ASIGNATURAS!$B$7:$B$27,nASIG)&gt;0)*1),"")))</f>
        <v/>
      </c>
      <c r="AF155" t="str">
        <f>IF(AE155="","",IF(AE155="[FÓRMULA MANUAL]","",IFERROR(AVERAGEIFS(nNOTA,nNIA,AE155,nCUENTA,1,nASIG,"Análisis"),"")))</f>
        <v/>
      </c>
      <c r="AG155" t="str">
        <f>IF(AE155="","",IF(AE155="[FÓRMULA MANUAL]","",IFERROR(AVERAGEIFS(nNOTA,nNIA,AE155,nCUENTA,1,nASIG,"Orquesta/Banda/Conjunto"),"")))</f>
        <v/>
      </c>
      <c r="AH155" t="str">
        <f>IF(AE155="","",IF(AE155="[FÓRMULA MANUAL]","",IFERROR(AVERAGEIFS(nNOTA,nNIA,AE155,nCUENTA,1,nASIG,"Música de Cámara"),"")))</f>
        <v/>
      </c>
      <c r="AI155" t="str">
        <f>IF(AE155="","",IF(AE155="[FÓRMULA MANUAL]","",IFERROR(SUMPRODUCT((nNIA=AE155)*(nCUENTA=1)*(COUNTIF(CONFIG_ASIGNATURAS!$B$7:$B$27,nASIG)&gt;0)*(nNOTA))/SUMPRODUCT((nNIA=AE155)*(nCUENTA=1)*(COUNTIF(CONFIG_ASIGNATURAS!$B$7:$B$27,nASIG)&gt;0)*1),"")))</f>
        <v/>
      </c>
    </row>
    <row r="156" spans="2:35" x14ac:dyDescent="0.2">
      <c r="B156" t="str">
        <f>IF(A156="","",IF(A156="[FÓRMULA MANUAL]","",IFERROR(AVERAGEIFS(nNOTA,nNIA,A156,nCUENTA,1,nASIG,"Lenguaje Musical"),"")))</f>
        <v/>
      </c>
      <c r="C156" t="str">
        <f>IF(A156="","",IF(A156="[FÓRMULA MANUAL]","",IFERROR(AVERAGEIFS(nNOTA,nNIA,A156,nCUENTA,1,nASIG,"Orquesta/Banda/Conjunto"),"")))</f>
        <v/>
      </c>
      <c r="D156" t="str">
        <f>IF(A156="","",IF(A156="[FÓRMULA MANUAL]","",IFERROR(AVERAGEIFS(nNOTA,nNIA,A156,nCUENTA,1,nASIG,"Conjunto"),"")))</f>
        <v/>
      </c>
      <c r="E156" t="str">
        <f>IF(A156="","",IF(A156="[FÓRMULA MANUAL]","",IFERROR(SUMPRODUCT((nNIA=A156)*(nCUENTA=1)*(COUNTIF(CONFIG_ASIGNATURAS!$B$7:$B$27,nASIG)&gt;0)*(nNOTA))/SUMPRODUCT((nNIA=A156)*(nCUENTA=1)*(COUNTIF(CONFIG_ASIGNATURAS!$B$7:$B$27,nASIG)&gt;0)*1),"")))</f>
        <v/>
      </c>
      <c r="H156" t="str">
        <f>IF(G156="","",IF(G156="[FÓRMULA MANUAL]","",IFERROR(AVERAGEIFS(nNOTA,nNIA,G156,nCUENTA,1,nASIG,"Lenguaje Musical"),"")))</f>
        <v/>
      </c>
      <c r="I156" t="str">
        <f>IF(G156="","",IF(G156="[FÓRMULA MANUAL]","",IFERROR(AVERAGEIFS(nNOTA,nNIA,G156,nCUENTA,1,nASIG,"Orquesta/Banda/Conjunto"),"")))</f>
        <v/>
      </c>
      <c r="J156" t="str">
        <f>IF(G156="","",IF(G156="[FÓRMULA MANUAL]","",IFERROR(AVERAGEIFS(nNOTA,nNIA,G156,nCUENTA,1,nASIG,"Conjunto"),"")))</f>
        <v/>
      </c>
      <c r="K156" t="str">
        <f>IF(G156="","",IF(G156="[FÓRMULA MANUAL]","",IFERROR(SUMPRODUCT((nNIA=G156)*(nCUENTA=1)*(COUNTIF(CONFIG_ASIGNATURAS!$B$7:$B$27,nASIG)&gt;0)*(nNOTA))/SUMPRODUCT((nNIA=G156)*(nCUENTA=1)*(COUNTIF(CONFIG_ASIGNATURAS!$B$7:$B$27,nASIG)&gt;0)*1),"")))</f>
        <v/>
      </c>
      <c r="N156" t="str">
        <f>IF(M156="","",IF(M156="[FÓRMULA MANUAL]","",IFERROR(AVERAGEIFS(nNOTA,nNIA,M156,nCUENTA,1,nASIG,"Armonía"),"")))</f>
        <v/>
      </c>
      <c r="O156" t="str">
        <f>IF(M156="","",IF(M156="[FÓRMULA MANUAL]","",IFERROR(AVERAGEIFS(nNOTA,nNIA,M156,nCUENTA,1,nASIG,"Orquesta/Banda/Conjunto"),"")))</f>
        <v/>
      </c>
      <c r="P156" t="str">
        <f>IF(M156="","",IF(M156="[FÓRMULA MANUAL]","",IFERROR(AVERAGEIFS(nNOTA,nNIA,M156,nCUENTA,1,nASIG,"Música de Cámara"),"")))</f>
        <v/>
      </c>
      <c r="Q156" t="str">
        <f>IF(M156="","",IF(M156="[FÓRMULA MANUAL]","",IFERROR(SUMPRODUCT((nNIA=M156)*(nCUENTA=1)*(COUNTIF(CONFIG_ASIGNATURAS!$B$7:$B$27,nASIG)&gt;0)*(nNOTA))/SUMPRODUCT((nNIA=M156)*(nCUENTA=1)*(COUNTIF(CONFIG_ASIGNATURAS!$B$7:$B$27,nASIG)&gt;0)*1),"")))</f>
        <v/>
      </c>
      <c r="T156" t="str">
        <f>IF(S156="","",IF(S156="[FÓRMULA MANUAL]","",IFERROR(AVERAGEIFS(nNOTA,nNIA,S156,nCUENTA,1,nASIG,"Armonía"),"")))</f>
        <v/>
      </c>
      <c r="U156" t="str">
        <f>IF(S156="","",IF(S156="[FÓRMULA MANUAL]","",IFERROR(AVERAGEIFS(nNOTA,nNIA,S156,nCUENTA,1,nASIG,"Orquesta/Banda/Conjunto"),"")))</f>
        <v/>
      </c>
      <c r="V156" t="str">
        <f>IF(S156="","",IF(S156="[FÓRMULA MANUAL]","",IFERROR(AVERAGEIFS(nNOTA,nNIA,S156,nCUENTA,1,nASIG,"Música de Cámara"),"")))</f>
        <v/>
      </c>
      <c r="W156" t="str">
        <f>IF(S156="","",IF(S156="[FÓRMULA MANUAL]","",IFERROR(SUMPRODUCT((nNIA=S156)*(nCUENTA=1)*(COUNTIF(CONFIG_ASIGNATURAS!$B$7:$B$27,nASIG)&gt;0)*(nNOTA))/SUMPRODUCT((nNIA=S156)*(nCUENTA=1)*(COUNTIF(CONFIG_ASIGNATURAS!$B$7:$B$27,nASIG)&gt;0)*1),"")))</f>
        <v/>
      </c>
      <c r="Z156" t="str">
        <f>IF(Y156="","",IF(Y156="[FÓRMULA MANUAL]","",IFERROR(AVERAGEIFS(nNOTA,nNIA,Y156,nCUENTA,1,nASIG,"Análisis"),"")))</f>
        <v/>
      </c>
      <c r="AA156" t="str">
        <f>IF(Y156="","",IF(Y156="[FÓRMULA MANUAL]","",IFERROR(AVERAGEIFS(nNOTA,nNIA,Y156,nCUENTA,1,nASIG,"Orquesta/Banda/Conjunto"),"")))</f>
        <v/>
      </c>
      <c r="AB156" t="str">
        <f>IF(Y156="","",IF(Y156="[FÓRMULA MANUAL]","",IFERROR(AVERAGEIFS(nNOTA,nNIA,Y156,nCUENTA,1,nASIG,"Música de Cámara"),"")))</f>
        <v/>
      </c>
      <c r="AC156" t="str">
        <f>IF(Y156="","",IF(Y156="[FÓRMULA MANUAL]","",IFERROR(SUMPRODUCT((nNIA=Y156)*(nCUENTA=1)*(COUNTIF(CONFIG_ASIGNATURAS!$B$7:$B$27,nASIG)&gt;0)*(nNOTA))/SUMPRODUCT((nNIA=Y156)*(nCUENTA=1)*(COUNTIF(CONFIG_ASIGNATURAS!$B$7:$B$27,nASIG)&gt;0)*1),"")))</f>
        <v/>
      </c>
      <c r="AF156" t="str">
        <f>IF(AE156="","",IF(AE156="[FÓRMULA MANUAL]","",IFERROR(AVERAGEIFS(nNOTA,nNIA,AE156,nCUENTA,1,nASIG,"Análisis"),"")))</f>
        <v/>
      </c>
      <c r="AG156" t="str">
        <f>IF(AE156="","",IF(AE156="[FÓRMULA MANUAL]","",IFERROR(AVERAGEIFS(nNOTA,nNIA,AE156,nCUENTA,1,nASIG,"Orquesta/Banda/Conjunto"),"")))</f>
        <v/>
      </c>
      <c r="AH156" t="str">
        <f>IF(AE156="","",IF(AE156="[FÓRMULA MANUAL]","",IFERROR(AVERAGEIFS(nNOTA,nNIA,AE156,nCUENTA,1,nASIG,"Música de Cámara"),"")))</f>
        <v/>
      </c>
      <c r="AI156" t="str">
        <f>IF(AE156="","",IF(AE156="[FÓRMULA MANUAL]","",IFERROR(SUMPRODUCT((nNIA=AE156)*(nCUENTA=1)*(COUNTIF(CONFIG_ASIGNATURAS!$B$7:$B$27,nASIG)&gt;0)*(nNOTA))/SUMPRODUCT((nNIA=AE156)*(nCUENTA=1)*(COUNTIF(CONFIG_ASIGNATURAS!$B$7:$B$27,nASIG)&gt;0)*1),"")))</f>
        <v/>
      </c>
    </row>
    <row r="157" spans="2:35" x14ac:dyDescent="0.2">
      <c r="B157" t="str">
        <f>IF(A157="","",IF(A157="[FÓRMULA MANUAL]","",IFERROR(AVERAGEIFS(nNOTA,nNIA,A157,nCUENTA,1,nASIG,"Lenguaje Musical"),"")))</f>
        <v/>
      </c>
      <c r="C157" t="str">
        <f>IF(A157="","",IF(A157="[FÓRMULA MANUAL]","",IFERROR(AVERAGEIFS(nNOTA,nNIA,A157,nCUENTA,1,nASIG,"Orquesta/Banda/Conjunto"),"")))</f>
        <v/>
      </c>
      <c r="D157" t="str">
        <f>IF(A157="","",IF(A157="[FÓRMULA MANUAL]","",IFERROR(AVERAGEIFS(nNOTA,nNIA,A157,nCUENTA,1,nASIG,"Conjunto"),"")))</f>
        <v/>
      </c>
      <c r="E157" t="str">
        <f>IF(A157="","",IF(A157="[FÓRMULA MANUAL]","",IFERROR(SUMPRODUCT((nNIA=A157)*(nCUENTA=1)*(COUNTIF(CONFIG_ASIGNATURAS!$B$7:$B$27,nASIG)&gt;0)*(nNOTA))/SUMPRODUCT((nNIA=A157)*(nCUENTA=1)*(COUNTIF(CONFIG_ASIGNATURAS!$B$7:$B$27,nASIG)&gt;0)*1),"")))</f>
        <v/>
      </c>
      <c r="H157" t="str">
        <f>IF(G157="","",IF(G157="[FÓRMULA MANUAL]","",IFERROR(AVERAGEIFS(nNOTA,nNIA,G157,nCUENTA,1,nASIG,"Lenguaje Musical"),"")))</f>
        <v/>
      </c>
      <c r="I157" t="str">
        <f>IF(G157="","",IF(G157="[FÓRMULA MANUAL]","",IFERROR(AVERAGEIFS(nNOTA,nNIA,G157,nCUENTA,1,nASIG,"Orquesta/Banda/Conjunto"),"")))</f>
        <v/>
      </c>
      <c r="J157" t="str">
        <f>IF(G157="","",IF(G157="[FÓRMULA MANUAL]","",IFERROR(AVERAGEIFS(nNOTA,nNIA,G157,nCUENTA,1,nASIG,"Conjunto"),"")))</f>
        <v/>
      </c>
      <c r="K157" t="str">
        <f>IF(G157="","",IF(G157="[FÓRMULA MANUAL]","",IFERROR(SUMPRODUCT((nNIA=G157)*(nCUENTA=1)*(COUNTIF(CONFIG_ASIGNATURAS!$B$7:$B$27,nASIG)&gt;0)*(nNOTA))/SUMPRODUCT((nNIA=G157)*(nCUENTA=1)*(COUNTIF(CONFIG_ASIGNATURAS!$B$7:$B$27,nASIG)&gt;0)*1),"")))</f>
        <v/>
      </c>
      <c r="N157" t="str">
        <f>IF(M157="","",IF(M157="[FÓRMULA MANUAL]","",IFERROR(AVERAGEIFS(nNOTA,nNIA,M157,nCUENTA,1,nASIG,"Armonía"),"")))</f>
        <v/>
      </c>
      <c r="O157" t="str">
        <f>IF(M157="","",IF(M157="[FÓRMULA MANUAL]","",IFERROR(AVERAGEIFS(nNOTA,nNIA,M157,nCUENTA,1,nASIG,"Orquesta/Banda/Conjunto"),"")))</f>
        <v/>
      </c>
      <c r="P157" t="str">
        <f>IF(M157="","",IF(M157="[FÓRMULA MANUAL]","",IFERROR(AVERAGEIFS(nNOTA,nNIA,M157,nCUENTA,1,nASIG,"Música de Cámara"),"")))</f>
        <v/>
      </c>
      <c r="Q157" t="str">
        <f>IF(M157="","",IF(M157="[FÓRMULA MANUAL]","",IFERROR(SUMPRODUCT((nNIA=M157)*(nCUENTA=1)*(COUNTIF(CONFIG_ASIGNATURAS!$B$7:$B$27,nASIG)&gt;0)*(nNOTA))/SUMPRODUCT((nNIA=M157)*(nCUENTA=1)*(COUNTIF(CONFIG_ASIGNATURAS!$B$7:$B$27,nASIG)&gt;0)*1),"")))</f>
        <v/>
      </c>
      <c r="T157" t="str">
        <f>IF(S157="","",IF(S157="[FÓRMULA MANUAL]","",IFERROR(AVERAGEIFS(nNOTA,nNIA,S157,nCUENTA,1,nASIG,"Armonía"),"")))</f>
        <v/>
      </c>
      <c r="U157" t="str">
        <f>IF(S157="","",IF(S157="[FÓRMULA MANUAL]","",IFERROR(AVERAGEIFS(nNOTA,nNIA,S157,nCUENTA,1,nASIG,"Orquesta/Banda/Conjunto"),"")))</f>
        <v/>
      </c>
      <c r="V157" t="str">
        <f>IF(S157="","",IF(S157="[FÓRMULA MANUAL]","",IFERROR(AVERAGEIFS(nNOTA,nNIA,S157,nCUENTA,1,nASIG,"Música de Cámara"),"")))</f>
        <v/>
      </c>
      <c r="W157" t="str">
        <f>IF(S157="","",IF(S157="[FÓRMULA MANUAL]","",IFERROR(SUMPRODUCT((nNIA=S157)*(nCUENTA=1)*(COUNTIF(CONFIG_ASIGNATURAS!$B$7:$B$27,nASIG)&gt;0)*(nNOTA))/SUMPRODUCT((nNIA=S157)*(nCUENTA=1)*(COUNTIF(CONFIG_ASIGNATURAS!$B$7:$B$27,nASIG)&gt;0)*1),"")))</f>
        <v/>
      </c>
      <c r="Z157" t="str">
        <f>IF(Y157="","",IF(Y157="[FÓRMULA MANUAL]","",IFERROR(AVERAGEIFS(nNOTA,nNIA,Y157,nCUENTA,1,nASIG,"Análisis"),"")))</f>
        <v/>
      </c>
      <c r="AA157" t="str">
        <f>IF(Y157="","",IF(Y157="[FÓRMULA MANUAL]","",IFERROR(AVERAGEIFS(nNOTA,nNIA,Y157,nCUENTA,1,nASIG,"Orquesta/Banda/Conjunto"),"")))</f>
        <v/>
      </c>
      <c r="AB157" t="str">
        <f>IF(Y157="","",IF(Y157="[FÓRMULA MANUAL]","",IFERROR(AVERAGEIFS(nNOTA,nNIA,Y157,nCUENTA,1,nASIG,"Música de Cámara"),"")))</f>
        <v/>
      </c>
      <c r="AC157" t="str">
        <f>IF(Y157="","",IF(Y157="[FÓRMULA MANUAL]","",IFERROR(SUMPRODUCT((nNIA=Y157)*(nCUENTA=1)*(COUNTIF(CONFIG_ASIGNATURAS!$B$7:$B$27,nASIG)&gt;0)*(nNOTA))/SUMPRODUCT((nNIA=Y157)*(nCUENTA=1)*(COUNTIF(CONFIG_ASIGNATURAS!$B$7:$B$27,nASIG)&gt;0)*1),"")))</f>
        <v/>
      </c>
      <c r="AF157" t="str">
        <f>IF(AE157="","",IF(AE157="[FÓRMULA MANUAL]","",IFERROR(AVERAGEIFS(nNOTA,nNIA,AE157,nCUENTA,1,nASIG,"Análisis"),"")))</f>
        <v/>
      </c>
      <c r="AG157" t="str">
        <f>IF(AE157="","",IF(AE157="[FÓRMULA MANUAL]","",IFERROR(AVERAGEIFS(nNOTA,nNIA,AE157,nCUENTA,1,nASIG,"Orquesta/Banda/Conjunto"),"")))</f>
        <v/>
      </c>
      <c r="AH157" t="str">
        <f>IF(AE157="","",IF(AE157="[FÓRMULA MANUAL]","",IFERROR(AVERAGEIFS(nNOTA,nNIA,AE157,nCUENTA,1,nASIG,"Música de Cámara"),"")))</f>
        <v/>
      </c>
      <c r="AI157" t="str">
        <f>IF(AE157="","",IF(AE157="[FÓRMULA MANUAL]","",IFERROR(SUMPRODUCT((nNIA=AE157)*(nCUENTA=1)*(COUNTIF(CONFIG_ASIGNATURAS!$B$7:$B$27,nASIG)&gt;0)*(nNOTA))/SUMPRODUCT((nNIA=AE157)*(nCUENTA=1)*(COUNTIF(CONFIG_ASIGNATURAS!$B$7:$B$27,nASIG)&gt;0)*1),"")))</f>
        <v/>
      </c>
    </row>
    <row r="158" spans="2:35" x14ac:dyDescent="0.2">
      <c r="B158" t="str">
        <f>IF(A158="","",IF(A158="[FÓRMULA MANUAL]","",IFERROR(AVERAGEIFS(nNOTA,nNIA,A158,nCUENTA,1,nASIG,"Lenguaje Musical"),"")))</f>
        <v/>
      </c>
      <c r="C158" t="str">
        <f>IF(A158="","",IF(A158="[FÓRMULA MANUAL]","",IFERROR(AVERAGEIFS(nNOTA,nNIA,A158,nCUENTA,1,nASIG,"Orquesta/Banda/Conjunto"),"")))</f>
        <v/>
      </c>
      <c r="D158" t="str">
        <f>IF(A158="","",IF(A158="[FÓRMULA MANUAL]","",IFERROR(AVERAGEIFS(nNOTA,nNIA,A158,nCUENTA,1,nASIG,"Conjunto"),"")))</f>
        <v/>
      </c>
      <c r="E158" t="str">
        <f>IF(A158="","",IF(A158="[FÓRMULA MANUAL]","",IFERROR(SUMPRODUCT((nNIA=A158)*(nCUENTA=1)*(COUNTIF(CONFIG_ASIGNATURAS!$B$7:$B$27,nASIG)&gt;0)*(nNOTA))/SUMPRODUCT((nNIA=A158)*(nCUENTA=1)*(COUNTIF(CONFIG_ASIGNATURAS!$B$7:$B$27,nASIG)&gt;0)*1),"")))</f>
        <v/>
      </c>
      <c r="H158" t="str">
        <f>IF(G158="","",IF(G158="[FÓRMULA MANUAL]","",IFERROR(AVERAGEIFS(nNOTA,nNIA,G158,nCUENTA,1,nASIG,"Lenguaje Musical"),"")))</f>
        <v/>
      </c>
      <c r="I158" t="str">
        <f>IF(G158="","",IF(G158="[FÓRMULA MANUAL]","",IFERROR(AVERAGEIFS(nNOTA,nNIA,G158,nCUENTA,1,nASIG,"Orquesta/Banda/Conjunto"),"")))</f>
        <v/>
      </c>
      <c r="J158" t="str">
        <f>IF(G158="","",IF(G158="[FÓRMULA MANUAL]","",IFERROR(AVERAGEIFS(nNOTA,nNIA,G158,nCUENTA,1,nASIG,"Conjunto"),"")))</f>
        <v/>
      </c>
      <c r="K158" t="str">
        <f>IF(G158="","",IF(G158="[FÓRMULA MANUAL]","",IFERROR(SUMPRODUCT((nNIA=G158)*(nCUENTA=1)*(COUNTIF(CONFIG_ASIGNATURAS!$B$7:$B$27,nASIG)&gt;0)*(nNOTA))/SUMPRODUCT((nNIA=G158)*(nCUENTA=1)*(COUNTIF(CONFIG_ASIGNATURAS!$B$7:$B$27,nASIG)&gt;0)*1),"")))</f>
        <v/>
      </c>
      <c r="N158" t="str">
        <f>IF(M158="","",IF(M158="[FÓRMULA MANUAL]","",IFERROR(AVERAGEIFS(nNOTA,nNIA,M158,nCUENTA,1,nASIG,"Armonía"),"")))</f>
        <v/>
      </c>
      <c r="O158" t="str">
        <f>IF(M158="","",IF(M158="[FÓRMULA MANUAL]","",IFERROR(AVERAGEIFS(nNOTA,nNIA,M158,nCUENTA,1,nASIG,"Orquesta/Banda/Conjunto"),"")))</f>
        <v/>
      </c>
      <c r="P158" t="str">
        <f>IF(M158="","",IF(M158="[FÓRMULA MANUAL]","",IFERROR(AVERAGEIFS(nNOTA,nNIA,M158,nCUENTA,1,nASIG,"Música de Cámara"),"")))</f>
        <v/>
      </c>
      <c r="Q158" t="str">
        <f>IF(M158="","",IF(M158="[FÓRMULA MANUAL]","",IFERROR(SUMPRODUCT((nNIA=M158)*(nCUENTA=1)*(COUNTIF(CONFIG_ASIGNATURAS!$B$7:$B$27,nASIG)&gt;0)*(nNOTA))/SUMPRODUCT((nNIA=M158)*(nCUENTA=1)*(COUNTIF(CONFIG_ASIGNATURAS!$B$7:$B$27,nASIG)&gt;0)*1),"")))</f>
        <v/>
      </c>
      <c r="T158" t="str">
        <f>IF(S158="","",IF(S158="[FÓRMULA MANUAL]","",IFERROR(AVERAGEIFS(nNOTA,nNIA,S158,nCUENTA,1,nASIG,"Armonía"),"")))</f>
        <v/>
      </c>
      <c r="U158" t="str">
        <f>IF(S158="","",IF(S158="[FÓRMULA MANUAL]","",IFERROR(AVERAGEIFS(nNOTA,nNIA,S158,nCUENTA,1,nASIG,"Orquesta/Banda/Conjunto"),"")))</f>
        <v/>
      </c>
      <c r="V158" t="str">
        <f>IF(S158="","",IF(S158="[FÓRMULA MANUAL]","",IFERROR(AVERAGEIFS(nNOTA,nNIA,S158,nCUENTA,1,nASIG,"Música de Cámara"),"")))</f>
        <v/>
      </c>
      <c r="W158" t="str">
        <f>IF(S158="","",IF(S158="[FÓRMULA MANUAL]","",IFERROR(SUMPRODUCT((nNIA=S158)*(nCUENTA=1)*(COUNTIF(CONFIG_ASIGNATURAS!$B$7:$B$27,nASIG)&gt;0)*(nNOTA))/SUMPRODUCT((nNIA=S158)*(nCUENTA=1)*(COUNTIF(CONFIG_ASIGNATURAS!$B$7:$B$27,nASIG)&gt;0)*1),"")))</f>
        <v/>
      </c>
      <c r="Z158" t="str">
        <f>IF(Y158="","",IF(Y158="[FÓRMULA MANUAL]","",IFERROR(AVERAGEIFS(nNOTA,nNIA,Y158,nCUENTA,1,nASIG,"Análisis"),"")))</f>
        <v/>
      </c>
      <c r="AA158" t="str">
        <f>IF(Y158="","",IF(Y158="[FÓRMULA MANUAL]","",IFERROR(AVERAGEIFS(nNOTA,nNIA,Y158,nCUENTA,1,nASIG,"Orquesta/Banda/Conjunto"),"")))</f>
        <v/>
      </c>
      <c r="AB158" t="str">
        <f>IF(Y158="","",IF(Y158="[FÓRMULA MANUAL]","",IFERROR(AVERAGEIFS(nNOTA,nNIA,Y158,nCUENTA,1,nASIG,"Música de Cámara"),"")))</f>
        <v/>
      </c>
      <c r="AC158" t="str">
        <f>IF(Y158="","",IF(Y158="[FÓRMULA MANUAL]","",IFERROR(SUMPRODUCT((nNIA=Y158)*(nCUENTA=1)*(COUNTIF(CONFIG_ASIGNATURAS!$B$7:$B$27,nASIG)&gt;0)*(nNOTA))/SUMPRODUCT((nNIA=Y158)*(nCUENTA=1)*(COUNTIF(CONFIG_ASIGNATURAS!$B$7:$B$27,nASIG)&gt;0)*1),"")))</f>
        <v/>
      </c>
      <c r="AF158" t="str">
        <f>IF(AE158="","",IF(AE158="[FÓRMULA MANUAL]","",IFERROR(AVERAGEIFS(nNOTA,nNIA,AE158,nCUENTA,1,nASIG,"Análisis"),"")))</f>
        <v/>
      </c>
      <c r="AG158" t="str">
        <f>IF(AE158="","",IF(AE158="[FÓRMULA MANUAL]","",IFERROR(AVERAGEIFS(nNOTA,nNIA,AE158,nCUENTA,1,nASIG,"Orquesta/Banda/Conjunto"),"")))</f>
        <v/>
      </c>
      <c r="AH158" t="str">
        <f>IF(AE158="","",IF(AE158="[FÓRMULA MANUAL]","",IFERROR(AVERAGEIFS(nNOTA,nNIA,AE158,nCUENTA,1,nASIG,"Música de Cámara"),"")))</f>
        <v/>
      </c>
      <c r="AI158" t="str">
        <f>IF(AE158="","",IF(AE158="[FÓRMULA MANUAL]","",IFERROR(SUMPRODUCT((nNIA=AE158)*(nCUENTA=1)*(COUNTIF(CONFIG_ASIGNATURAS!$B$7:$B$27,nASIG)&gt;0)*(nNOTA))/SUMPRODUCT((nNIA=AE158)*(nCUENTA=1)*(COUNTIF(CONFIG_ASIGNATURAS!$B$7:$B$27,nASIG)&gt;0)*1),"")))</f>
        <v/>
      </c>
    </row>
    <row r="159" spans="2:35" x14ac:dyDescent="0.2">
      <c r="B159" t="str">
        <f>IF(A159="","",IF(A159="[FÓRMULA MANUAL]","",IFERROR(AVERAGEIFS(nNOTA,nNIA,A159,nCUENTA,1,nASIG,"Lenguaje Musical"),"")))</f>
        <v/>
      </c>
      <c r="C159" t="str">
        <f>IF(A159="","",IF(A159="[FÓRMULA MANUAL]","",IFERROR(AVERAGEIFS(nNOTA,nNIA,A159,nCUENTA,1,nASIG,"Orquesta/Banda/Conjunto"),"")))</f>
        <v/>
      </c>
      <c r="D159" t="str">
        <f>IF(A159="","",IF(A159="[FÓRMULA MANUAL]","",IFERROR(AVERAGEIFS(nNOTA,nNIA,A159,nCUENTA,1,nASIG,"Conjunto"),"")))</f>
        <v/>
      </c>
      <c r="E159" t="str">
        <f>IF(A159="","",IF(A159="[FÓRMULA MANUAL]","",IFERROR(SUMPRODUCT((nNIA=A159)*(nCUENTA=1)*(COUNTIF(CONFIG_ASIGNATURAS!$B$7:$B$27,nASIG)&gt;0)*(nNOTA))/SUMPRODUCT((nNIA=A159)*(nCUENTA=1)*(COUNTIF(CONFIG_ASIGNATURAS!$B$7:$B$27,nASIG)&gt;0)*1),"")))</f>
        <v/>
      </c>
      <c r="H159" t="str">
        <f>IF(G159="","",IF(G159="[FÓRMULA MANUAL]","",IFERROR(AVERAGEIFS(nNOTA,nNIA,G159,nCUENTA,1,nASIG,"Lenguaje Musical"),"")))</f>
        <v/>
      </c>
      <c r="I159" t="str">
        <f>IF(G159="","",IF(G159="[FÓRMULA MANUAL]","",IFERROR(AVERAGEIFS(nNOTA,nNIA,G159,nCUENTA,1,nASIG,"Orquesta/Banda/Conjunto"),"")))</f>
        <v/>
      </c>
      <c r="J159" t="str">
        <f>IF(G159="","",IF(G159="[FÓRMULA MANUAL]","",IFERROR(AVERAGEIFS(nNOTA,nNIA,G159,nCUENTA,1,nASIG,"Conjunto"),"")))</f>
        <v/>
      </c>
      <c r="K159" t="str">
        <f>IF(G159="","",IF(G159="[FÓRMULA MANUAL]","",IFERROR(SUMPRODUCT((nNIA=G159)*(nCUENTA=1)*(COUNTIF(CONFIG_ASIGNATURAS!$B$7:$B$27,nASIG)&gt;0)*(nNOTA))/SUMPRODUCT((nNIA=G159)*(nCUENTA=1)*(COUNTIF(CONFIG_ASIGNATURAS!$B$7:$B$27,nASIG)&gt;0)*1),"")))</f>
        <v/>
      </c>
      <c r="N159" t="str">
        <f>IF(M159="","",IF(M159="[FÓRMULA MANUAL]","",IFERROR(AVERAGEIFS(nNOTA,nNIA,M159,nCUENTA,1,nASIG,"Armonía"),"")))</f>
        <v/>
      </c>
      <c r="O159" t="str">
        <f>IF(M159="","",IF(M159="[FÓRMULA MANUAL]","",IFERROR(AVERAGEIFS(nNOTA,nNIA,M159,nCUENTA,1,nASIG,"Orquesta/Banda/Conjunto"),"")))</f>
        <v/>
      </c>
      <c r="P159" t="str">
        <f>IF(M159="","",IF(M159="[FÓRMULA MANUAL]","",IFERROR(AVERAGEIFS(nNOTA,nNIA,M159,nCUENTA,1,nASIG,"Música de Cámara"),"")))</f>
        <v/>
      </c>
      <c r="Q159" t="str">
        <f>IF(M159="","",IF(M159="[FÓRMULA MANUAL]","",IFERROR(SUMPRODUCT((nNIA=M159)*(nCUENTA=1)*(COUNTIF(CONFIG_ASIGNATURAS!$B$7:$B$27,nASIG)&gt;0)*(nNOTA))/SUMPRODUCT((nNIA=M159)*(nCUENTA=1)*(COUNTIF(CONFIG_ASIGNATURAS!$B$7:$B$27,nASIG)&gt;0)*1),"")))</f>
        <v/>
      </c>
      <c r="T159" t="str">
        <f>IF(S159="","",IF(S159="[FÓRMULA MANUAL]","",IFERROR(AVERAGEIFS(nNOTA,nNIA,S159,nCUENTA,1,nASIG,"Armonía"),"")))</f>
        <v/>
      </c>
      <c r="U159" t="str">
        <f>IF(S159="","",IF(S159="[FÓRMULA MANUAL]","",IFERROR(AVERAGEIFS(nNOTA,nNIA,S159,nCUENTA,1,nASIG,"Orquesta/Banda/Conjunto"),"")))</f>
        <v/>
      </c>
      <c r="V159" t="str">
        <f>IF(S159="","",IF(S159="[FÓRMULA MANUAL]","",IFERROR(AVERAGEIFS(nNOTA,nNIA,S159,nCUENTA,1,nASIG,"Música de Cámara"),"")))</f>
        <v/>
      </c>
      <c r="W159" t="str">
        <f>IF(S159="","",IF(S159="[FÓRMULA MANUAL]","",IFERROR(SUMPRODUCT((nNIA=S159)*(nCUENTA=1)*(COUNTIF(CONFIG_ASIGNATURAS!$B$7:$B$27,nASIG)&gt;0)*(nNOTA))/SUMPRODUCT((nNIA=S159)*(nCUENTA=1)*(COUNTIF(CONFIG_ASIGNATURAS!$B$7:$B$27,nASIG)&gt;0)*1),"")))</f>
        <v/>
      </c>
      <c r="Z159" t="str">
        <f>IF(Y159="","",IF(Y159="[FÓRMULA MANUAL]","",IFERROR(AVERAGEIFS(nNOTA,nNIA,Y159,nCUENTA,1,nASIG,"Análisis"),"")))</f>
        <v/>
      </c>
      <c r="AA159" t="str">
        <f>IF(Y159="","",IF(Y159="[FÓRMULA MANUAL]","",IFERROR(AVERAGEIFS(nNOTA,nNIA,Y159,nCUENTA,1,nASIG,"Orquesta/Banda/Conjunto"),"")))</f>
        <v/>
      </c>
      <c r="AB159" t="str">
        <f>IF(Y159="","",IF(Y159="[FÓRMULA MANUAL]","",IFERROR(AVERAGEIFS(nNOTA,nNIA,Y159,nCUENTA,1,nASIG,"Música de Cámara"),"")))</f>
        <v/>
      </c>
      <c r="AC159" t="str">
        <f>IF(Y159="","",IF(Y159="[FÓRMULA MANUAL]","",IFERROR(SUMPRODUCT((nNIA=Y159)*(nCUENTA=1)*(COUNTIF(CONFIG_ASIGNATURAS!$B$7:$B$27,nASIG)&gt;0)*(nNOTA))/SUMPRODUCT((nNIA=Y159)*(nCUENTA=1)*(COUNTIF(CONFIG_ASIGNATURAS!$B$7:$B$27,nASIG)&gt;0)*1),"")))</f>
        <v/>
      </c>
      <c r="AF159" t="str">
        <f>IF(AE159="","",IF(AE159="[FÓRMULA MANUAL]","",IFERROR(AVERAGEIFS(nNOTA,nNIA,AE159,nCUENTA,1,nASIG,"Análisis"),"")))</f>
        <v/>
      </c>
      <c r="AG159" t="str">
        <f>IF(AE159="","",IF(AE159="[FÓRMULA MANUAL]","",IFERROR(AVERAGEIFS(nNOTA,nNIA,AE159,nCUENTA,1,nASIG,"Orquesta/Banda/Conjunto"),"")))</f>
        <v/>
      </c>
      <c r="AH159" t="str">
        <f>IF(AE159="","",IF(AE159="[FÓRMULA MANUAL]","",IFERROR(AVERAGEIFS(nNOTA,nNIA,AE159,nCUENTA,1,nASIG,"Música de Cámara"),"")))</f>
        <v/>
      </c>
      <c r="AI159" t="str">
        <f>IF(AE159="","",IF(AE159="[FÓRMULA MANUAL]","",IFERROR(SUMPRODUCT((nNIA=AE159)*(nCUENTA=1)*(COUNTIF(CONFIG_ASIGNATURAS!$B$7:$B$27,nASIG)&gt;0)*(nNOTA))/SUMPRODUCT((nNIA=AE159)*(nCUENTA=1)*(COUNTIF(CONFIG_ASIGNATURAS!$B$7:$B$27,nASIG)&gt;0)*1),"")))</f>
        <v/>
      </c>
    </row>
    <row r="160" spans="2:35" x14ac:dyDescent="0.2">
      <c r="B160" t="str">
        <f>IF(A160="","",IF(A160="[FÓRMULA MANUAL]","",IFERROR(AVERAGEIFS(nNOTA,nNIA,A160,nCUENTA,1,nASIG,"Lenguaje Musical"),"")))</f>
        <v/>
      </c>
      <c r="C160" t="str">
        <f>IF(A160="","",IF(A160="[FÓRMULA MANUAL]","",IFERROR(AVERAGEIFS(nNOTA,nNIA,A160,nCUENTA,1,nASIG,"Orquesta/Banda/Conjunto"),"")))</f>
        <v/>
      </c>
      <c r="D160" t="str">
        <f>IF(A160="","",IF(A160="[FÓRMULA MANUAL]","",IFERROR(AVERAGEIFS(nNOTA,nNIA,A160,nCUENTA,1,nASIG,"Conjunto"),"")))</f>
        <v/>
      </c>
      <c r="E160" t="str">
        <f>IF(A160="","",IF(A160="[FÓRMULA MANUAL]","",IFERROR(SUMPRODUCT((nNIA=A160)*(nCUENTA=1)*(COUNTIF(CONFIG_ASIGNATURAS!$B$7:$B$27,nASIG)&gt;0)*(nNOTA))/SUMPRODUCT((nNIA=A160)*(nCUENTA=1)*(COUNTIF(CONFIG_ASIGNATURAS!$B$7:$B$27,nASIG)&gt;0)*1),"")))</f>
        <v/>
      </c>
      <c r="H160" t="str">
        <f>IF(G160="","",IF(G160="[FÓRMULA MANUAL]","",IFERROR(AVERAGEIFS(nNOTA,nNIA,G160,nCUENTA,1,nASIG,"Lenguaje Musical"),"")))</f>
        <v/>
      </c>
      <c r="I160" t="str">
        <f>IF(G160="","",IF(G160="[FÓRMULA MANUAL]","",IFERROR(AVERAGEIFS(nNOTA,nNIA,G160,nCUENTA,1,nASIG,"Orquesta/Banda/Conjunto"),"")))</f>
        <v/>
      </c>
      <c r="J160" t="str">
        <f>IF(G160="","",IF(G160="[FÓRMULA MANUAL]","",IFERROR(AVERAGEIFS(nNOTA,nNIA,G160,nCUENTA,1,nASIG,"Conjunto"),"")))</f>
        <v/>
      </c>
      <c r="K160" t="str">
        <f>IF(G160="","",IF(G160="[FÓRMULA MANUAL]","",IFERROR(SUMPRODUCT((nNIA=G160)*(nCUENTA=1)*(COUNTIF(CONFIG_ASIGNATURAS!$B$7:$B$27,nASIG)&gt;0)*(nNOTA))/SUMPRODUCT((nNIA=G160)*(nCUENTA=1)*(COUNTIF(CONFIG_ASIGNATURAS!$B$7:$B$27,nASIG)&gt;0)*1),"")))</f>
        <v/>
      </c>
      <c r="N160" t="str">
        <f>IF(M160="","",IF(M160="[FÓRMULA MANUAL]","",IFERROR(AVERAGEIFS(nNOTA,nNIA,M160,nCUENTA,1,nASIG,"Armonía"),"")))</f>
        <v/>
      </c>
      <c r="O160" t="str">
        <f>IF(M160="","",IF(M160="[FÓRMULA MANUAL]","",IFERROR(AVERAGEIFS(nNOTA,nNIA,M160,nCUENTA,1,nASIG,"Orquesta/Banda/Conjunto"),"")))</f>
        <v/>
      </c>
      <c r="P160" t="str">
        <f>IF(M160="","",IF(M160="[FÓRMULA MANUAL]","",IFERROR(AVERAGEIFS(nNOTA,nNIA,M160,nCUENTA,1,nASIG,"Música de Cámara"),"")))</f>
        <v/>
      </c>
      <c r="Q160" t="str">
        <f>IF(M160="","",IF(M160="[FÓRMULA MANUAL]","",IFERROR(SUMPRODUCT((nNIA=M160)*(nCUENTA=1)*(COUNTIF(CONFIG_ASIGNATURAS!$B$7:$B$27,nASIG)&gt;0)*(nNOTA))/SUMPRODUCT((nNIA=M160)*(nCUENTA=1)*(COUNTIF(CONFIG_ASIGNATURAS!$B$7:$B$27,nASIG)&gt;0)*1),"")))</f>
        <v/>
      </c>
      <c r="T160" t="str">
        <f>IF(S160="","",IF(S160="[FÓRMULA MANUAL]","",IFERROR(AVERAGEIFS(nNOTA,nNIA,S160,nCUENTA,1,nASIG,"Armonía"),"")))</f>
        <v/>
      </c>
      <c r="U160" t="str">
        <f>IF(S160="","",IF(S160="[FÓRMULA MANUAL]","",IFERROR(AVERAGEIFS(nNOTA,nNIA,S160,nCUENTA,1,nASIG,"Orquesta/Banda/Conjunto"),"")))</f>
        <v/>
      </c>
      <c r="V160" t="str">
        <f>IF(S160="","",IF(S160="[FÓRMULA MANUAL]","",IFERROR(AVERAGEIFS(nNOTA,nNIA,S160,nCUENTA,1,nASIG,"Música de Cámara"),"")))</f>
        <v/>
      </c>
      <c r="W160" t="str">
        <f>IF(S160="","",IF(S160="[FÓRMULA MANUAL]","",IFERROR(SUMPRODUCT((nNIA=S160)*(nCUENTA=1)*(COUNTIF(CONFIG_ASIGNATURAS!$B$7:$B$27,nASIG)&gt;0)*(nNOTA))/SUMPRODUCT((nNIA=S160)*(nCUENTA=1)*(COUNTIF(CONFIG_ASIGNATURAS!$B$7:$B$27,nASIG)&gt;0)*1),"")))</f>
        <v/>
      </c>
      <c r="Z160" t="str">
        <f>IF(Y160="","",IF(Y160="[FÓRMULA MANUAL]","",IFERROR(AVERAGEIFS(nNOTA,nNIA,Y160,nCUENTA,1,nASIG,"Análisis"),"")))</f>
        <v/>
      </c>
      <c r="AA160" t="str">
        <f>IF(Y160="","",IF(Y160="[FÓRMULA MANUAL]","",IFERROR(AVERAGEIFS(nNOTA,nNIA,Y160,nCUENTA,1,nASIG,"Orquesta/Banda/Conjunto"),"")))</f>
        <v/>
      </c>
      <c r="AB160" t="str">
        <f>IF(Y160="","",IF(Y160="[FÓRMULA MANUAL]","",IFERROR(AVERAGEIFS(nNOTA,nNIA,Y160,nCUENTA,1,nASIG,"Música de Cámara"),"")))</f>
        <v/>
      </c>
      <c r="AC160" t="str">
        <f>IF(Y160="","",IF(Y160="[FÓRMULA MANUAL]","",IFERROR(SUMPRODUCT((nNIA=Y160)*(nCUENTA=1)*(COUNTIF(CONFIG_ASIGNATURAS!$B$7:$B$27,nASIG)&gt;0)*(nNOTA))/SUMPRODUCT((nNIA=Y160)*(nCUENTA=1)*(COUNTIF(CONFIG_ASIGNATURAS!$B$7:$B$27,nASIG)&gt;0)*1),"")))</f>
        <v/>
      </c>
      <c r="AF160" t="str">
        <f>IF(AE160="","",IF(AE160="[FÓRMULA MANUAL]","",IFERROR(AVERAGEIFS(nNOTA,nNIA,AE160,nCUENTA,1,nASIG,"Análisis"),"")))</f>
        <v/>
      </c>
      <c r="AG160" t="str">
        <f>IF(AE160="","",IF(AE160="[FÓRMULA MANUAL]","",IFERROR(AVERAGEIFS(nNOTA,nNIA,AE160,nCUENTA,1,nASIG,"Orquesta/Banda/Conjunto"),"")))</f>
        <v/>
      </c>
      <c r="AH160" t="str">
        <f>IF(AE160="","",IF(AE160="[FÓRMULA MANUAL]","",IFERROR(AVERAGEIFS(nNOTA,nNIA,AE160,nCUENTA,1,nASIG,"Música de Cámara"),"")))</f>
        <v/>
      </c>
      <c r="AI160" t="str">
        <f>IF(AE160="","",IF(AE160="[FÓRMULA MANUAL]","",IFERROR(SUMPRODUCT((nNIA=AE160)*(nCUENTA=1)*(COUNTIF(CONFIG_ASIGNATURAS!$B$7:$B$27,nASIG)&gt;0)*(nNOTA))/SUMPRODUCT((nNIA=AE160)*(nCUENTA=1)*(COUNTIF(CONFIG_ASIGNATURAS!$B$7:$B$27,nASIG)&gt;0)*1),"")))</f>
        <v/>
      </c>
    </row>
    <row r="161" spans="2:35" x14ac:dyDescent="0.2">
      <c r="B161" t="str">
        <f>IF(A161="","",IF(A161="[FÓRMULA MANUAL]","",IFERROR(AVERAGEIFS(nNOTA,nNIA,A161,nCUENTA,1,nASIG,"Lenguaje Musical"),"")))</f>
        <v/>
      </c>
      <c r="C161" t="str">
        <f>IF(A161="","",IF(A161="[FÓRMULA MANUAL]","",IFERROR(AVERAGEIFS(nNOTA,nNIA,A161,nCUENTA,1,nASIG,"Orquesta/Banda/Conjunto"),"")))</f>
        <v/>
      </c>
      <c r="D161" t="str">
        <f>IF(A161="","",IF(A161="[FÓRMULA MANUAL]","",IFERROR(AVERAGEIFS(nNOTA,nNIA,A161,nCUENTA,1,nASIG,"Conjunto"),"")))</f>
        <v/>
      </c>
      <c r="E161" t="str">
        <f>IF(A161="","",IF(A161="[FÓRMULA MANUAL]","",IFERROR(SUMPRODUCT((nNIA=A161)*(nCUENTA=1)*(COUNTIF(CONFIG_ASIGNATURAS!$B$7:$B$27,nASIG)&gt;0)*(nNOTA))/SUMPRODUCT((nNIA=A161)*(nCUENTA=1)*(COUNTIF(CONFIG_ASIGNATURAS!$B$7:$B$27,nASIG)&gt;0)*1),"")))</f>
        <v/>
      </c>
      <c r="H161" t="str">
        <f>IF(G161="","",IF(G161="[FÓRMULA MANUAL]","",IFERROR(AVERAGEIFS(nNOTA,nNIA,G161,nCUENTA,1,nASIG,"Lenguaje Musical"),"")))</f>
        <v/>
      </c>
      <c r="I161" t="str">
        <f>IF(G161="","",IF(G161="[FÓRMULA MANUAL]","",IFERROR(AVERAGEIFS(nNOTA,nNIA,G161,nCUENTA,1,nASIG,"Orquesta/Banda/Conjunto"),"")))</f>
        <v/>
      </c>
      <c r="J161" t="str">
        <f>IF(G161="","",IF(G161="[FÓRMULA MANUAL]","",IFERROR(AVERAGEIFS(nNOTA,nNIA,G161,nCUENTA,1,nASIG,"Conjunto"),"")))</f>
        <v/>
      </c>
      <c r="K161" t="str">
        <f>IF(G161="","",IF(G161="[FÓRMULA MANUAL]","",IFERROR(SUMPRODUCT((nNIA=G161)*(nCUENTA=1)*(COUNTIF(CONFIG_ASIGNATURAS!$B$7:$B$27,nASIG)&gt;0)*(nNOTA))/SUMPRODUCT((nNIA=G161)*(nCUENTA=1)*(COUNTIF(CONFIG_ASIGNATURAS!$B$7:$B$27,nASIG)&gt;0)*1),"")))</f>
        <v/>
      </c>
      <c r="N161" t="str">
        <f>IF(M161="","",IF(M161="[FÓRMULA MANUAL]","",IFERROR(AVERAGEIFS(nNOTA,nNIA,M161,nCUENTA,1,nASIG,"Armonía"),"")))</f>
        <v/>
      </c>
      <c r="O161" t="str">
        <f>IF(M161="","",IF(M161="[FÓRMULA MANUAL]","",IFERROR(AVERAGEIFS(nNOTA,nNIA,M161,nCUENTA,1,nASIG,"Orquesta/Banda/Conjunto"),"")))</f>
        <v/>
      </c>
      <c r="P161" t="str">
        <f>IF(M161="","",IF(M161="[FÓRMULA MANUAL]","",IFERROR(AVERAGEIFS(nNOTA,nNIA,M161,nCUENTA,1,nASIG,"Música de Cámara"),"")))</f>
        <v/>
      </c>
      <c r="Q161" t="str">
        <f>IF(M161="","",IF(M161="[FÓRMULA MANUAL]","",IFERROR(SUMPRODUCT((nNIA=M161)*(nCUENTA=1)*(COUNTIF(CONFIG_ASIGNATURAS!$B$7:$B$27,nASIG)&gt;0)*(nNOTA))/SUMPRODUCT((nNIA=M161)*(nCUENTA=1)*(COUNTIF(CONFIG_ASIGNATURAS!$B$7:$B$27,nASIG)&gt;0)*1),"")))</f>
        <v/>
      </c>
      <c r="T161" t="str">
        <f>IF(S161="","",IF(S161="[FÓRMULA MANUAL]","",IFERROR(AVERAGEIFS(nNOTA,nNIA,S161,nCUENTA,1,nASIG,"Armonía"),"")))</f>
        <v/>
      </c>
      <c r="U161" t="str">
        <f>IF(S161="","",IF(S161="[FÓRMULA MANUAL]","",IFERROR(AVERAGEIFS(nNOTA,nNIA,S161,nCUENTA,1,nASIG,"Orquesta/Banda/Conjunto"),"")))</f>
        <v/>
      </c>
      <c r="V161" t="str">
        <f>IF(S161="","",IF(S161="[FÓRMULA MANUAL]","",IFERROR(AVERAGEIFS(nNOTA,nNIA,S161,nCUENTA,1,nASIG,"Música de Cámara"),"")))</f>
        <v/>
      </c>
      <c r="W161" t="str">
        <f>IF(S161="","",IF(S161="[FÓRMULA MANUAL]","",IFERROR(SUMPRODUCT((nNIA=S161)*(nCUENTA=1)*(COUNTIF(CONFIG_ASIGNATURAS!$B$7:$B$27,nASIG)&gt;0)*(nNOTA))/SUMPRODUCT((nNIA=S161)*(nCUENTA=1)*(COUNTIF(CONFIG_ASIGNATURAS!$B$7:$B$27,nASIG)&gt;0)*1),"")))</f>
        <v/>
      </c>
      <c r="Z161" t="str">
        <f>IF(Y161="","",IF(Y161="[FÓRMULA MANUAL]","",IFERROR(AVERAGEIFS(nNOTA,nNIA,Y161,nCUENTA,1,nASIG,"Análisis"),"")))</f>
        <v/>
      </c>
      <c r="AA161" t="str">
        <f>IF(Y161="","",IF(Y161="[FÓRMULA MANUAL]","",IFERROR(AVERAGEIFS(nNOTA,nNIA,Y161,nCUENTA,1,nASIG,"Orquesta/Banda/Conjunto"),"")))</f>
        <v/>
      </c>
      <c r="AB161" t="str">
        <f>IF(Y161="","",IF(Y161="[FÓRMULA MANUAL]","",IFERROR(AVERAGEIFS(nNOTA,nNIA,Y161,nCUENTA,1,nASIG,"Música de Cámara"),"")))</f>
        <v/>
      </c>
      <c r="AC161" t="str">
        <f>IF(Y161="","",IF(Y161="[FÓRMULA MANUAL]","",IFERROR(SUMPRODUCT((nNIA=Y161)*(nCUENTA=1)*(COUNTIF(CONFIG_ASIGNATURAS!$B$7:$B$27,nASIG)&gt;0)*(nNOTA))/SUMPRODUCT((nNIA=Y161)*(nCUENTA=1)*(COUNTIF(CONFIG_ASIGNATURAS!$B$7:$B$27,nASIG)&gt;0)*1),"")))</f>
        <v/>
      </c>
      <c r="AF161" t="str">
        <f>IF(AE161="","",IF(AE161="[FÓRMULA MANUAL]","",IFERROR(AVERAGEIFS(nNOTA,nNIA,AE161,nCUENTA,1,nASIG,"Análisis"),"")))</f>
        <v/>
      </c>
      <c r="AG161" t="str">
        <f>IF(AE161="","",IF(AE161="[FÓRMULA MANUAL]","",IFERROR(AVERAGEIFS(nNOTA,nNIA,AE161,nCUENTA,1,nASIG,"Orquesta/Banda/Conjunto"),"")))</f>
        <v/>
      </c>
      <c r="AH161" t="str">
        <f>IF(AE161="","",IF(AE161="[FÓRMULA MANUAL]","",IFERROR(AVERAGEIFS(nNOTA,nNIA,AE161,nCUENTA,1,nASIG,"Música de Cámara"),"")))</f>
        <v/>
      </c>
      <c r="AI161" t="str">
        <f>IF(AE161="","",IF(AE161="[FÓRMULA MANUAL]","",IFERROR(SUMPRODUCT((nNIA=AE161)*(nCUENTA=1)*(COUNTIF(CONFIG_ASIGNATURAS!$B$7:$B$27,nASIG)&gt;0)*(nNOTA))/SUMPRODUCT((nNIA=AE161)*(nCUENTA=1)*(COUNTIF(CONFIG_ASIGNATURAS!$B$7:$B$27,nASIG)&gt;0)*1),"")))</f>
        <v/>
      </c>
    </row>
    <row r="162" spans="2:35" x14ac:dyDescent="0.2">
      <c r="B162" t="str">
        <f>IF(A162="","",IF(A162="[FÓRMULA MANUAL]","",IFERROR(AVERAGEIFS(nNOTA,nNIA,A162,nCUENTA,1,nASIG,"Lenguaje Musical"),"")))</f>
        <v/>
      </c>
      <c r="C162" t="str">
        <f>IF(A162="","",IF(A162="[FÓRMULA MANUAL]","",IFERROR(AVERAGEIFS(nNOTA,nNIA,A162,nCUENTA,1,nASIG,"Orquesta/Banda/Conjunto"),"")))</f>
        <v/>
      </c>
      <c r="D162" t="str">
        <f>IF(A162="","",IF(A162="[FÓRMULA MANUAL]","",IFERROR(AVERAGEIFS(nNOTA,nNIA,A162,nCUENTA,1,nASIG,"Conjunto"),"")))</f>
        <v/>
      </c>
      <c r="E162" t="str">
        <f>IF(A162="","",IF(A162="[FÓRMULA MANUAL]","",IFERROR(SUMPRODUCT((nNIA=A162)*(nCUENTA=1)*(COUNTIF(CONFIG_ASIGNATURAS!$B$7:$B$27,nASIG)&gt;0)*(nNOTA))/SUMPRODUCT((nNIA=A162)*(nCUENTA=1)*(COUNTIF(CONFIG_ASIGNATURAS!$B$7:$B$27,nASIG)&gt;0)*1),"")))</f>
        <v/>
      </c>
      <c r="H162" t="str">
        <f>IF(G162="","",IF(G162="[FÓRMULA MANUAL]","",IFERROR(AVERAGEIFS(nNOTA,nNIA,G162,nCUENTA,1,nASIG,"Lenguaje Musical"),"")))</f>
        <v/>
      </c>
      <c r="I162" t="str">
        <f>IF(G162="","",IF(G162="[FÓRMULA MANUAL]","",IFERROR(AVERAGEIFS(nNOTA,nNIA,G162,nCUENTA,1,nASIG,"Orquesta/Banda/Conjunto"),"")))</f>
        <v/>
      </c>
      <c r="J162" t="str">
        <f>IF(G162="","",IF(G162="[FÓRMULA MANUAL]","",IFERROR(AVERAGEIFS(nNOTA,nNIA,G162,nCUENTA,1,nASIG,"Conjunto"),"")))</f>
        <v/>
      </c>
      <c r="K162" t="str">
        <f>IF(G162="","",IF(G162="[FÓRMULA MANUAL]","",IFERROR(SUMPRODUCT((nNIA=G162)*(nCUENTA=1)*(COUNTIF(CONFIG_ASIGNATURAS!$B$7:$B$27,nASIG)&gt;0)*(nNOTA))/SUMPRODUCT((nNIA=G162)*(nCUENTA=1)*(COUNTIF(CONFIG_ASIGNATURAS!$B$7:$B$27,nASIG)&gt;0)*1),"")))</f>
        <v/>
      </c>
      <c r="N162" t="str">
        <f>IF(M162="","",IF(M162="[FÓRMULA MANUAL]","",IFERROR(AVERAGEIFS(nNOTA,nNIA,M162,nCUENTA,1,nASIG,"Armonía"),"")))</f>
        <v/>
      </c>
      <c r="O162" t="str">
        <f>IF(M162="","",IF(M162="[FÓRMULA MANUAL]","",IFERROR(AVERAGEIFS(nNOTA,nNIA,M162,nCUENTA,1,nASIG,"Orquesta/Banda/Conjunto"),"")))</f>
        <v/>
      </c>
      <c r="P162" t="str">
        <f>IF(M162="","",IF(M162="[FÓRMULA MANUAL]","",IFERROR(AVERAGEIFS(nNOTA,nNIA,M162,nCUENTA,1,nASIG,"Música de Cámara"),"")))</f>
        <v/>
      </c>
      <c r="Q162" t="str">
        <f>IF(M162="","",IF(M162="[FÓRMULA MANUAL]","",IFERROR(SUMPRODUCT((nNIA=M162)*(nCUENTA=1)*(COUNTIF(CONFIG_ASIGNATURAS!$B$7:$B$27,nASIG)&gt;0)*(nNOTA))/SUMPRODUCT((nNIA=M162)*(nCUENTA=1)*(COUNTIF(CONFIG_ASIGNATURAS!$B$7:$B$27,nASIG)&gt;0)*1),"")))</f>
        <v/>
      </c>
      <c r="T162" t="str">
        <f>IF(S162="","",IF(S162="[FÓRMULA MANUAL]","",IFERROR(AVERAGEIFS(nNOTA,nNIA,S162,nCUENTA,1,nASIG,"Armonía"),"")))</f>
        <v/>
      </c>
      <c r="U162" t="str">
        <f>IF(S162="","",IF(S162="[FÓRMULA MANUAL]","",IFERROR(AVERAGEIFS(nNOTA,nNIA,S162,nCUENTA,1,nASIG,"Orquesta/Banda/Conjunto"),"")))</f>
        <v/>
      </c>
      <c r="V162" t="str">
        <f>IF(S162="","",IF(S162="[FÓRMULA MANUAL]","",IFERROR(AVERAGEIFS(nNOTA,nNIA,S162,nCUENTA,1,nASIG,"Música de Cámara"),"")))</f>
        <v/>
      </c>
      <c r="W162" t="str">
        <f>IF(S162="","",IF(S162="[FÓRMULA MANUAL]","",IFERROR(SUMPRODUCT((nNIA=S162)*(nCUENTA=1)*(COUNTIF(CONFIG_ASIGNATURAS!$B$7:$B$27,nASIG)&gt;0)*(nNOTA))/SUMPRODUCT((nNIA=S162)*(nCUENTA=1)*(COUNTIF(CONFIG_ASIGNATURAS!$B$7:$B$27,nASIG)&gt;0)*1),"")))</f>
        <v/>
      </c>
      <c r="Z162" t="str">
        <f>IF(Y162="","",IF(Y162="[FÓRMULA MANUAL]","",IFERROR(AVERAGEIFS(nNOTA,nNIA,Y162,nCUENTA,1,nASIG,"Análisis"),"")))</f>
        <v/>
      </c>
      <c r="AA162" t="str">
        <f>IF(Y162="","",IF(Y162="[FÓRMULA MANUAL]","",IFERROR(AVERAGEIFS(nNOTA,nNIA,Y162,nCUENTA,1,nASIG,"Orquesta/Banda/Conjunto"),"")))</f>
        <v/>
      </c>
      <c r="AB162" t="str">
        <f>IF(Y162="","",IF(Y162="[FÓRMULA MANUAL]","",IFERROR(AVERAGEIFS(nNOTA,nNIA,Y162,nCUENTA,1,nASIG,"Música de Cámara"),"")))</f>
        <v/>
      </c>
      <c r="AC162" t="str">
        <f>IF(Y162="","",IF(Y162="[FÓRMULA MANUAL]","",IFERROR(SUMPRODUCT((nNIA=Y162)*(nCUENTA=1)*(COUNTIF(CONFIG_ASIGNATURAS!$B$7:$B$27,nASIG)&gt;0)*(nNOTA))/SUMPRODUCT((nNIA=Y162)*(nCUENTA=1)*(COUNTIF(CONFIG_ASIGNATURAS!$B$7:$B$27,nASIG)&gt;0)*1),"")))</f>
        <v/>
      </c>
      <c r="AF162" t="str">
        <f>IF(AE162="","",IF(AE162="[FÓRMULA MANUAL]","",IFERROR(AVERAGEIFS(nNOTA,nNIA,AE162,nCUENTA,1,nASIG,"Análisis"),"")))</f>
        <v/>
      </c>
      <c r="AG162" t="str">
        <f>IF(AE162="","",IF(AE162="[FÓRMULA MANUAL]","",IFERROR(AVERAGEIFS(nNOTA,nNIA,AE162,nCUENTA,1,nASIG,"Orquesta/Banda/Conjunto"),"")))</f>
        <v/>
      </c>
      <c r="AH162" t="str">
        <f>IF(AE162="","",IF(AE162="[FÓRMULA MANUAL]","",IFERROR(AVERAGEIFS(nNOTA,nNIA,AE162,nCUENTA,1,nASIG,"Música de Cámara"),"")))</f>
        <v/>
      </c>
      <c r="AI162" t="str">
        <f>IF(AE162="","",IF(AE162="[FÓRMULA MANUAL]","",IFERROR(SUMPRODUCT((nNIA=AE162)*(nCUENTA=1)*(COUNTIF(CONFIG_ASIGNATURAS!$B$7:$B$27,nASIG)&gt;0)*(nNOTA))/SUMPRODUCT((nNIA=AE162)*(nCUENTA=1)*(COUNTIF(CONFIG_ASIGNATURAS!$B$7:$B$27,nASIG)&gt;0)*1),"")))</f>
        <v/>
      </c>
    </row>
    <row r="163" spans="2:35" x14ac:dyDescent="0.2">
      <c r="B163" t="str">
        <f>IF(A163="","",IF(A163="[FÓRMULA MANUAL]","",IFERROR(AVERAGEIFS(nNOTA,nNIA,A163,nCUENTA,1,nASIG,"Lenguaje Musical"),"")))</f>
        <v/>
      </c>
      <c r="C163" t="str">
        <f>IF(A163="","",IF(A163="[FÓRMULA MANUAL]","",IFERROR(AVERAGEIFS(nNOTA,nNIA,A163,nCUENTA,1,nASIG,"Orquesta/Banda/Conjunto"),"")))</f>
        <v/>
      </c>
      <c r="D163" t="str">
        <f>IF(A163="","",IF(A163="[FÓRMULA MANUAL]","",IFERROR(AVERAGEIFS(nNOTA,nNIA,A163,nCUENTA,1,nASIG,"Conjunto"),"")))</f>
        <v/>
      </c>
      <c r="E163" t="str">
        <f>IF(A163="","",IF(A163="[FÓRMULA MANUAL]","",IFERROR(SUMPRODUCT((nNIA=A163)*(nCUENTA=1)*(COUNTIF(CONFIG_ASIGNATURAS!$B$7:$B$27,nASIG)&gt;0)*(nNOTA))/SUMPRODUCT((nNIA=A163)*(nCUENTA=1)*(COUNTIF(CONFIG_ASIGNATURAS!$B$7:$B$27,nASIG)&gt;0)*1),"")))</f>
        <v/>
      </c>
      <c r="H163" t="str">
        <f>IF(G163="","",IF(G163="[FÓRMULA MANUAL]","",IFERROR(AVERAGEIFS(nNOTA,nNIA,G163,nCUENTA,1,nASIG,"Lenguaje Musical"),"")))</f>
        <v/>
      </c>
      <c r="I163" t="str">
        <f>IF(G163="","",IF(G163="[FÓRMULA MANUAL]","",IFERROR(AVERAGEIFS(nNOTA,nNIA,G163,nCUENTA,1,nASIG,"Orquesta/Banda/Conjunto"),"")))</f>
        <v/>
      </c>
      <c r="J163" t="str">
        <f>IF(G163="","",IF(G163="[FÓRMULA MANUAL]","",IFERROR(AVERAGEIFS(nNOTA,nNIA,G163,nCUENTA,1,nASIG,"Conjunto"),"")))</f>
        <v/>
      </c>
      <c r="K163" t="str">
        <f>IF(G163="","",IF(G163="[FÓRMULA MANUAL]","",IFERROR(SUMPRODUCT((nNIA=G163)*(nCUENTA=1)*(COUNTIF(CONFIG_ASIGNATURAS!$B$7:$B$27,nASIG)&gt;0)*(nNOTA))/SUMPRODUCT((nNIA=G163)*(nCUENTA=1)*(COUNTIF(CONFIG_ASIGNATURAS!$B$7:$B$27,nASIG)&gt;0)*1),"")))</f>
        <v/>
      </c>
      <c r="N163" t="str">
        <f>IF(M163="","",IF(M163="[FÓRMULA MANUAL]","",IFERROR(AVERAGEIFS(nNOTA,nNIA,M163,nCUENTA,1,nASIG,"Armonía"),"")))</f>
        <v/>
      </c>
      <c r="O163" t="str">
        <f>IF(M163="","",IF(M163="[FÓRMULA MANUAL]","",IFERROR(AVERAGEIFS(nNOTA,nNIA,M163,nCUENTA,1,nASIG,"Orquesta/Banda/Conjunto"),"")))</f>
        <v/>
      </c>
      <c r="P163" t="str">
        <f>IF(M163="","",IF(M163="[FÓRMULA MANUAL]","",IFERROR(AVERAGEIFS(nNOTA,nNIA,M163,nCUENTA,1,nASIG,"Música de Cámara"),"")))</f>
        <v/>
      </c>
      <c r="Q163" t="str">
        <f>IF(M163="","",IF(M163="[FÓRMULA MANUAL]","",IFERROR(SUMPRODUCT((nNIA=M163)*(nCUENTA=1)*(COUNTIF(CONFIG_ASIGNATURAS!$B$7:$B$27,nASIG)&gt;0)*(nNOTA))/SUMPRODUCT((nNIA=M163)*(nCUENTA=1)*(COUNTIF(CONFIG_ASIGNATURAS!$B$7:$B$27,nASIG)&gt;0)*1),"")))</f>
        <v/>
      </c>
      <c r="T163" t="str">
        <f>IF(S163="","",IF(S163="[FÓRMULA MANUAL]","",IFERROR(AVERAGEIFS(nNOTA,nNIA,S163,nCUENTA,1,nASIG,"Armonía"),"")))</f>
        <v/>
      </c>
      <c r="U163" t="str">
        <f>IF(S163="","",IF(S163="[FÓRMULA MANUAL]","",IFERROR(AVERAGEIFS(nNOTA,nNIA,S163,nCUENTA,1,nASIG,"Orquesta/Banda/Conjunto"),"")))</f>
        <v/>
      </c>
      <c r="V163" t="str">
        <f>IF(S163="","",IF(S163="[FÓRMULA MANUAL]","",IFERROR(AVERAGEIFS(nNOTA,nNIA,S163,nCUENTA,1,nASIG,"Música de Cámara"),"")))</f>
        <v/>
      </c>
      <c r="W163" t="str">
        <f>IF(S163="","",IF(S163="[FÓRMULA MANUAL]","",IFERROR(SUMPRODUCT((nNIA=S163)*(nCUENTA=1)*(COUNTIF(CONFIG_ASIGNATURAS!$B$7:$B$27,nASIG)&gt;0)*(nNOTA))/SUMPRODUCT((nNIA=S163)*(nCUENTA=1)*(COUNTIF(CONFIG_ASIGNATURAS!$B$7:$B$27,nASIG)&gt;0)*1),"")))</f>
        <v/>
      </c>
      <c r="Z163" t="str">
        <f>IF(Y163="","",IF(Y163="[FÓRMULA MANUAL]","",IFERROR(AVERAGEIFS(nNOTA,nNIA,Y163,nCUENTA,1,nASIG,"Análisis"),"")))</f>
        <v/>
      </c>
      <c r="AA163" t="str">
        <f>IF(Y163="","",IF(Y163="[FÓRMULA MANUAL]","",IFERROR(AVERAGEIFS(nNOTA,nNIA,Y163,nCUENTA,1,nASIG,"Orquesta/Banda/Conjunto"),"")))</f>
        <v/>
      </c>
      <c r="AB163" t="str">
        <f>IF(Y163="","",IF(Y163="[FÓRMULA MANUAL]","",IFERROR(AVERAGEIFS(nNOTA,nNIA,Y163,nCUENTA,1,nASIG,"Música de Cámara"),"")))</f>
        <v/>
      </c>
      <c r="AC163" t="str">
        <f>IF(Y163="","",IF(Y163="[FÓRMULA MANUAL]","",IFERROR(SUMPRODUCT((nNIA=Y163)*(nCUENTA=1)*(COUNTIF(CONFIG_ASIGNATURAS!$B$7:$B$27,nASIG)&gt;0)*(nNOTA))/SUMPRODUCT((nNIA=Y163)*(nCUENTA=1)*(COUNTIF(CONFIG_ASIGNATURAS!$B$7:$B$27,nASIG)&gt;0)*1),"")))</f>
        <v/>
      </c>
      <c r="AF163" t="str">
        <f>IF(AE163="","",IF(AE163="[FÓRMULA MANUAL]","",IFERROR(AVERAGEIFS(nNOTA,nNIA,AE163,nCUENTA,1,nASIG,"Análisis"),"")))</f>
        <v/>
      </c>
      <c r="AG163" t="str">
        <f>IF(AE163="","",IF(AE163="[FÓRMULA MANUAL]","",IFERROR(AVERAGEIFS(nNOTA,nNIA,AE163,nCUENTA,1,nASIG,"Orquesta/Banda/Conjunto"),"")))</f>
        <v/>
      </c>
      <c r="AH163" t="str">
        <f>IF(AE163="","",IF(AE163="[FÓRMULA MANUAL]","",IFERROR(AVERAGEIFS(nNOTA,nNIA,AE163,nCUENTA,1,nASIG,"Música de Cámara"),"")))</f>
        <v/>
      </c>
      <c r="AI163" t="str">
        <f>IF(AE163="","",IF(AE163="[FÓRMULA MANUAL]","",IFERROR(SUMPRODUCT((nNIA=AE163)*(nCUENTA=1)*(COUNTIF(CONFIG_ASIGNATURAS!$B$7:$B$27,nASIG)&gt;0)*(nNOTA))/SUMPRODUCT((nNIA=AE163)*(nCUENTA=1)*(COUNTIF(CONFIG_ASIGNATURAS!$B$7:$B$27,nASIG)&gt;0)*1),"")))</f>
        <v/>
      </c>
    </row>
    <row r="164" spans="2:35" x14ac:dyDescent="0.2">
      <c r="B164" t="str">
        <f>IF(A164="","",IF(A164="[FÓRMULA MANUAL]","",IFERROR(AVERAGEIFS(nNOTA,nNIA,A164,nCUENTA,1,nASIG,"Lenguaje Musical"),"")))</f>
        <v/>
      </c>
      <c r="C164" t="str">
        <f>IF(A164="","",IF(A164="[FÓRMULA MANUAL]","",IFERROR(AVERAGEIFS(nNOTA,nNIA,A164,nCUENTA,1,nASIG,"Orquesta/Banda/Conjunto"),"")))</f>
        <v/>
      </c>
      <c r="D164" t="str">
        <f>IF(A164="","",IF(A164="[FÓRMULA MANUAL]","",IFERROR(AVERAGEIFS(nNOTA,nNIA,A164,nCUENTA,1,nASIG,"Conjunto"),"")))</f>
        <v/>
      </c>
      <c r="E164" t="str">
        <f>IF(A164="","",IF(A164="[FÓRMULA MANUAL]","",IFERROR(SUMPRODUCT((nNIA=A164)*(nCUENTA=1)*(COUNTIF(CONFIG_ASIGNATURAS!$B$7:$B$27,nASIG)&gt;0)*(nNOTA))/SUMPRODUCT((nNIA=A164)*(nCUENTA=1)*(COUNTIF(CONFIG_ASIGNATURAS!$B$7:$B$27,nASIG)&gt;0)*1),"")))</f>
        <v/>
      </c>
      <c r="H164" t="str">
        <f>IF(G164="","",IF(G164="[FÓRMULA MANUAL]","",IFERROR(AVERAGEIFS(nNOTA,nNIA,G164,nCUENTA,1,nASIG,"Lenguaje Musical"),"")))</f>
        <v/>
      </c>
      <c r="I164" t="str">
        <f>IF(G164="","",IF(G164="[FÓRMULA MANUAL]","",IFERROR(AVERAGEIFS(nNOTA,nNIA,G164,nCUENTA,1,nASIG,"Orquesta/Banda/Conjunto"),"")))</f>
        <v/>
      </c>
      <c r="J164" t="str">
        <f>IF(G164="","",IF(G164="[FÓRMULA MANUAL]","",IFERROR(AVERAGEIFS(nNOTA,nNIA,G164,nCUENTA,1,nASIG,"Conjunto"),"")))</f>
        <v/>
      </c>
      <c r="K164" t="str">
        <f>IF(G164="","",IF(G164="[FÓRMULA MANUAL]","",IFERROR(SUMPRODUCT((nNIA=G164)*(nCUENTA=1)*(COUNTIF(CONFIG_ASIGNATURAS!$B$7:$B$27,nASIG)&gt;0)*(nNOTA))/SUMPRODUCT((nNIA=G164)*(nCUENTA=1)*(COUNTIF(CONFIG_ASIGNATURAS!$B$7:$B$27,nASIG)&gt;0)*1),"")))</f>
        <v/>
      </c>
      <c r="N164" t="str">
        <f>IF(M164="","",IF(M164="[FÓRMULA MANUAL]","",IFERROR(AVERAGEIFS(nNOTA,nNIA,M164,nCUENTA,1,nASIG,"Armonía"),"")))</f>
        <v/>
      </c>
      <c r="O164" t="str">
        <f>IF(M164="","",IF(M164="[FÓRMULA MANUAL]","",IFERROR(AVERAGEIFS(nNOTA,nNIA,M164,nCUENTA,1,nASIG,"Orquesta/Banda/Conjunto"),"")))</f>
        <v/>
      </c>
      <c r="P164" t="str">
        <f>IF(M164="","",IF(M164="[FÓRMULA MANUAL]","",IFERROR(AVERAGEIFS(nNOTA,nNIA,M164,nCUENTA,1,nASIG,"Música de Cámara"),"")))</f>
        <v/>
      </c>
      <c r="Q164" t="str">
        <f>IF(M164="","",IF(M164="[FÓRMULA MANUAL]","",IFERROR(SUMPRODUCT((nNIA=M164)*(nCUENTA=1)*(COUNTIF(CONFIG_ASIGNATURAS!$B$7:$B$27,nASIG)&gt;0)*(nNOTA))/SUMPRODUCT((nNIA=M164)*(nCUENTA=1)*(COUNTIF(CONFIG_ASIGNATURAS!$B$7:$B$27,nASIG)&gt;0)*1),"")))</f>
        <v/>
      </c>
      <c r="T164" t="str">
        <f>IF(S164="","",IF(S164="[FÓRMULA MANUAL]","",IFERROR(AVERAGEIFS(nNOTA,nNIA,S164,nCUENTA,1,nASIG,"Armonía"),"")))</f>
        <v/>
      </c>
      <c r="U164" t="str">
        <f>IF(S164="","",IF(S164="[FÓRMULA MANUAL]","",IFERROR(AVERAGEIFS(nNOTA,nNIA,S164,nCUENTA,1,nASIG,"Orquesta/Banda/Conjunto"),"")))</f>
        <v/>
      </c>
      <c r="V164" t="str">
        <f>IF(S164="","",IF(S164="[FÓRMULA MANUAL]","",IFERROR(AVERAGEIFS(nNOTA,nNIA,S164,nCUENTA,1,nASIG,"Música de Cámara"),"")))</f>
        <v/>
      </c>
      <c r="W164" t="str">
        <f>IF(S164="","",IF(S164="[FÓRMULA MANUAL]","",IFERROR(SUMPRODUCT((nNIA=S164)*(nCUENTA=1)*(COUNTIF(CONFIG_ASIGNATURAS!$B$7:$B$27,nASIG)&gt;0)*(nNOTA))/SUMPRODUCT((nNIA=S164)*(nCUENTA=1)*(COUNTIF(CONFIG_ASIGNATURAS!$B$7:$B$27,nASIG)&gt;0)*1),"")))</f>
        <v/>
      </c>
      <c r="Z164" t="str">
        <f>IF(Y164="","",IF(Y164="[FÓRMULA MANUAL]","",IFERROR(AVERAGEIFS(nNOTA,nNIA,Y164,nCUENTA,1,nASIG,"Análisis"),"")))</f>
        <v/>
      </c>
      <c r="AA164" t="str">
        <f>IF(Y164="","",IF(Y164="[FÓRMULA MANUAL]","",IFERROR(AVERAGEIFS(nNOTA,nNIA,Y164,nCUENTA,1,nASIG,"Orquesta/Banda/Conjunto"),"")))</f>
        <v/>
      </c>
      <c r="AB164" t="str">
        <f>IF(Y164="","",IF(Y164="[FÓRMULA MANUAL]","",IFERROR(AVERAGEIFS(nNOTA,nNIA,Y164,nCUENTA,1,nASIG,"Música de Cámara"),"")))</f>
        <v/>
      </c>
      <c r="AC164" t="str">
        <f>IF(Y164="","",IF(Y164="[FÓRMULA MANUAL]","",IFERROR(SUMPRODUCT((nNIA=Y164)*(nCUENTA=1)*(COUNTIF(CONFIG_ASIGNATURAS!$B$7:$B$27,nASIG)&gt;0)*(nNOTA))/SUMPRODUCT((nNIA=Y164)*(nCUENTA=1)*(COUNTIF(CONFIG_ASIGNATURAS!$B$7:$B$27,nASIG)&gt;0)*1),"")))</f>
        <v/>
      </c>
      <c r="AF164" t="str">
        <f>IF(AE164="","",IF(AE164="[FÓRMULA MANUAL]","",IFERROR(AVERAGEIFS(nNOTA,nNIA,AE164,nCUENTA,1,nASIG,"Análisis"),"")))</f>
        <v/>
      </c>
      <c r="AG164" t="str">
        <f>IF(AE164="","",IF(AE164="[FÓRMULA MANUAL]","",IFERROR(AVERAGEIFS(nNOTA,nNIA,AE164,nCUENTA,1,nASIG,"Orquesta/Banda/Conjunto"),"")))</f>
        <v/>
      </c>
      <c r="AH164" t="str">
        <f>IF(AE164="","",IF(AE164="[FÓRMULA MANUAL]","",IFERROR(AVERAGEIFS(nNOTA,nNIA,AE164,nCUENTA,1,nASIG,"Música de Cámara"),"")))</f>
        <v/>
      </c>
      <c r="AI164" t="str">
        <f>IF(AE164="","",IF(AE164="[FÓRMULA MANUAL]","",IFERROR(SUMPRODUCT((nNIA=AE164)*(nCUENTA=1)*(COUNTIF(CONFIG_ASIGNATURAS!$B$7:$B$27,nASIG)&gt;0)*(nNOTA))/SUMPRODUCT((nNIA=AE164)*(nCUENTA=1)*(COUNTIF(CONFIG_ASIGNATURAS!$B$7:$B$27,nASIG)&gt;0)*1),"")))</f>
        <v/>
      </c>
    </row>
    <row r="165" spans="2:35" x14ac:dyDescent="0.2">
      <c r="B165" t="str">
        <f>IF(A165="","",IF(A165="[FÓRMULA MANUAL]","",IFERROR(AVERAGEIFS(nNOTA,nNIA,A165,nCUENTA,1,nASIG,"Lenguaje Musical"),"")))</f>
        <v/>
      </c>
      <c r="C165" t="str">
        <f>IF(A165="","",IF(A165="[FÓRMULA MANUAL]","",IFERROR(AVERAGEIFS(nNOTA,nNIA,A165,nCUENTA,1,nASIG,"Orquesta/Banda/Conjunto"),"")))</f>
        <v/>
      </c>
      <c r="D165" t="str">
        <f>IF(A165="","",IF(A165="[FÓRMULA MANUAL]","",IFERROR(AVERAGEIFS(nNOTA,nNIA,A165,nCUENTA,1,nASIG,"Conjunto"),"")))</f>
        <v/>
      </c>
      <c r="E165" t="str">
        <f>IF(A165="","",IF(A165="[FÓRMULA MANUAL]","",IFERROR(SUMPRODUCT((nNIA=A165)*(nCUENTA=1)*(COUNTIF(CONFIG_ASIGNATURAS!$B$7:$B$27,nASIG)&gt;0)*(nNOTA))/SUMPRODUCT((nNIA=A165)*(nCUENTA=1)*(COUNTIF(CONFIG_ASIGNATURAS!$B$7:$B$27,nASIG)&gt;0)*1),"")))</f>
        <v/>
      </c>
      <c r="H165" t="str">
        <f>IF(G165="","",IF(G165="[FÓRMULA MANUAL]","",IFERROR(AVERAGEIFS(nNOTA,nNIA,G165,nCUENTA,1,nASIG,"Lenguaje Musical"),"")))</f>
        <v/>
      </c>
      <c r="I165" t="str">
        <f>IF(G165="","",IF(G165="[FÓRMULA MANUAL]","",IFERROR(AVERAGEIFS(nNOTA,nNIA,G165,nCUENTA,1,nASIG,"Orquesta/Banda/Conjunto"),"")))</f>
        <v/>
      </c>
      <c r="J165" t="str">
        <f>IF(G165="","",IF(G165="[FÓRMULA MANUAL]","",IFERROR(AVERAGEIFS(nNOTA,nNIA,G165,nCUENTA,1,nASIG,"Conjunto"),"")))</f>
        <v/>
      </c>
      <c r="K165" t="str">
        <f>IF(G165="","",IF(G165="[FÓRMULA MANUAL]","",IFERROR(SUMPRODUCT((nNIA=G165)*(nCUENTA=1)*(COUNTIF(CONFIG_ASIGNATURAS!$B$7:$B$27,nASIG)&gt;0)*(nNOTA))/SUMPRODUCT((nNIA=G165)*(nCUENTA=1)*(COUNTIF(CONFIG_ASIGNATURAS!$B$7:$B$27,nASIG)&gt;0)*1),"")))</f>
        <v/>
      </c>
      <c r="N165" t="str">
        <f>IF(M165="","",IF(M165="[FÓRMULA MANUAL]","",IFERROR(AVERAGEIFS(nNOTA,nNIA,M165,nCUENTA,1,nASIG,"Armonía"),"")))</f>
        <v/>
      </c>
      <c r="O165" t="str">
        <f>IF(M165="","",IF(M165="[FÓRMULA MANUAL]","",IFERROR(AVERAGEIFS(nNOTA,nNIA,M165,nCUENTA,1,nASIG,"Orquesta/Banda/Conjunto"),"")))</f>
        <v/>
      </c>
      <c r="P165" t="str">
        <f>IF(M165="","",IF(M165="[FÓRMULA MANUAL]","",IFERROR(AVERAGEIFS(nNOTA,nNIA,M165,nCUENTA,1,nASIG,"Música de Cámara"),"")))</f>
        <v/>
      </c>
      <c r="Q165" t="str">
        <f>IF(M165="","",IF(M165="[FÓRMULA MANUAL]","",IFERROR(SUMPRODUCT((nNIA=M165)*(nCUENTA=1)*(COUNTIF(CONFIG_ASIGNATURAS!$B$7:$B$27,nASIG)&gt;0)*(nNOTA))/SUMPRODUCT((nNIA=M165)*(nCUENTA=1)*(COUNTIF(CONFIG_ASIGNATURAS!$B$7:$B$27,nASIG)&gt;0)*1),"")))</f>
        <v/>
      </c>
      <c r="T165" t="str">
        <f>IF(S165="","",IF(S165="[FÓRMULA MANUAL]","",IFERROR(AVERAGEIFS(nNOTA,nNIA,S165,nCUENTA,1,nASIG,"Armonía"),"")))</f>
        <v/>
      </c>
      <c r="U165" t="str">
        <f>IF(S165="","",IF(S165="[FÓRMULA MANUAL]","",IFERROR(AVERAGEIFS(nNOTA,nNIA,S165,nCUENTA,1,nASIG,"Orquesta/Banda/Conjunto"),"")))</f>
        <v/>
      </c>
      <c r="V165" t="str">
        <f>IF(S165="","",IF(S165="[FÓRMULA MANUAL]","",IFERROR(AVERAGEIFS(nNOTA,nNIA,S165,nCUENTA,1,nASIG,"Música de Cámara"),"")))</f>
        <v/>
      </c>
      <c r="W165" t="str">
        <f>IF(S165="","",IF(S165="[FÓRMULA MANUAL]","",IFERROR(SUMPRODUCT((nNIA=S165)*(nCUENTA=1)*(COUNTIF(CONFIG_ASIGNATURAS!$B$7:$B$27,nASIG)&gt;0)*(nNOTA))/SUMPRODUCT((nNIA=S165)*(nCUENTA=1)*(COUNTIF(CONFIG_ASIGNATURAS!$B$7:$B$27,nASIG)&gt;0)*1),"")))</f>
        <v/>
      </c>
      <c r="Z165" t="str">
        <f>IF(Y165="","",IF(Y165="[FÓRMULA MANUAL]","",IFERROR(AVERAGEIFS(nNOTA,nNIA,Y165,nCUENTA,1,nASIG,"Análisis"),"")))</f>
        <v/>
      </c>
      <c r="AA165" t="str">
        <f>IF(Y165="","",IF(Y165="[FÓRMULA MANUAL]","",IFERROR(AVERAGEIFS(nNOTA,nNIA,Y165,nCUENTA,1,nASIG,"Orquesta/Banda/Conjunto"),"")))</f>
        <v/>
      </c>
      <c r="AB165" t="str">
        <f>IF(Y165="","",IF(Y165="[FÓRMULA MANUAL]","",IFERROR(AVERAGEIFS(nNOTA,nNIA,Y165,nCUENTA,1,nASIG,"Música de Cámara"),"")))</f>
        <v/>
      </c>
      <c r="AC165" t="str">
        <f>IF(Y165="","",IF(Y165="[FÓRMULA MANUAL]","",IFERROR(SUMPRODUCT((nNIA=Y165)*(nCUENTA=1)*(COUNTIF(CONFIG_ASIGNATURAS!$B$7:$B$27,nASIG)&gt;0)*(nNOTA))/SUMPRODUCT((nNIA=Y165)*(nCUENTA=1)*(COUNTIF(CONFIG_ASIGNATURAS!$B$7:$B$27,nASIG)&gt;0)*1),"")))</f>
        <v/>
      </c>
      <c r="AF165" t="str">
        <f>IF(AE165="","",IF(AE165="[FÓRMULA MANUAL]","",IFERROR(AVERAGEIFS(nNOTA,nNIA,AE165,nCUENTA,1,nASIG,"Análisis"),"")))</f>
        <v/>
      </c>
      <c r="AG165" t="str">
        <f>IF(AE165="","",IF(AE165="[FÓRMULA MANUAL]","",IFERROR(AVERAGEIFS(nNOTA,nNIA,AE165,nCUENTA,1,nASIG,"Orquesta/Banda/Conjunto"),"")))</f>
        <v/>
      </c>
      <c r="AH165" t="str">
        <f>IF(AE165="","",IF(AE165="[FÓRMULA MANUAL]","",IFERROR(AVERAGEIFS(nNOTA,nNIA,AE165,nCUENTA,1,nASIG,"Música de Cámara"),"")))</f>
        <v/>
      </c>
      <c r="AI165" t="str">
        <f>IF(AE165="","",IF(AE165="[FÓRMULA MANUAL]","",IFERROR(SUMPRODUCT((nNIA=AE165)*(nCUENTA=1)*(COUNTIF(CONFIG_ASIGNATURAS!$B$7:$B$27,nASIG)&gt;0)*(nNOTA))/SUMPRODUCT((nNIA=AE165)*(nCUENTA=1)*(COUNTIF(CONFIG_ASIGNATURAS!$B$7:$B$27,nASIG)&gt;0)*1),"")))</f>
        <v/>
      </c>
    </row>
    <row r="166" spans="2:35" x14ac:dyDescent="0.2">
      <c r="B166" t="str">
        <f>IF(A166="","",IF(A166="[FÓRMULA MANUAL]","",IFERROR(AVERAGEIFS(nNOTA,nNIA,A166,nCUENTA,1,nASIG,"Lenguaje Musical"),"")))</f>
        <v/>
      </c>
      <c r="C166" t="str">
        <f>IF(A166="","",IF(A166="[FÓRMULA MANUAL]","",IFERROR(AVERAGEIFS(nNOTA,nNIA,A166,nCUENTA,1,nASIG,"Orquesta/Banda/Conjunto"),"")))</f>
        <v/>
      </c>
      <c r="D166" t="str">
        <f>IF(A166="","",IF(A166="[FÓRMULA MANUAL]","",IFERROR(AVERAGEIFS(nNOTA,nNIA,A166,nCUENTA,1,nASIG,"Conjunto"),"")))</f>
        <v/>
      </c>
      <c r="E166" t="str">
        <f>IF(A166="","",IF(A166="[FÓRMULA MANUAL]","",IFERROR(SUMPRODUCT((nNIA=A166)*(nCUENTA=1)*(COUNTIF(CONFIG_ASIGNATURAS!$B$7:$B$27,nASIG)&gt;0)*(nNOTA))/SUMPRODUCT((nNIA=A166)*(nCUENTA=1)*(COUNTIF(CONFIG_ASIGNATURAS!$B$7:$B$27,nASIG)&gt;0)*1),"")))</f>
        <v/>
      </c>
      <c r="H166" t="str">
        <f>IF(G166="","",IF(G166="[FÓRMULA MANUAL]","",IFERROR(AVERAGEIFS(nNOTA,nNIA,G166,nCUENTA,1,nASIG,"Lenguaje Musical"),"")))</f>
        <v/>
      </c>
      <c r="I166" t="str">
        <f>IF(G166="","",IF(G166="[FÓRMULA MANUAL]","",IFERROR(AVERAGEIFS(nNOTA,nNIA,G166,nCUENTA,1,nASIG,"Orquesta/Banda/Conjunto"),"")))</f>
        <v/>
      </c>
      <c r="J166" t="str">
        <f>IF(G166="","",IF(G166="[FÓRMULA MANUAL]","",IFERROR(AVERAGEIFS(nNOTA,nNIA,G166,nCUENTA,1,nASIG,"Conjunto"),"")))</f>
        <v/>
      </c>
      <c r="K166" t="str">
        <f>IF(G166="","",IF(G166="[FÓRMULA MANUAL]","",IFERROR(SUMPRODUCT((nNIA=G166)*(nCUENTA=1)*(COUNTIF(CONFIG_ASIGNATURAS!$B$7:$B$27,nASIG)&gt;0)*(nNOTA))/SUMPRODUCT((nNIA=G166)*(nCUENTA=1)*(COUNTIF(CONFIG_ASIGNATURAS!$B$7:$B$27,nASIG)&gt;0)*1),"")))</f>
        <v/>
      </c>
      <c r="N166" t="str">
        <f>IF(M166="","",IF(M166="[FÓRMULA MANUAL]","",IFERROR(AVERAGEIFS(nNOTA,nNIA,M166,nCUENTA,1,nASIG,"Armonía"),"")))</f>
        <v/>
      </c>
      <c r="O166" t="str">
        <f>IF(M166="","",IF(M166="[FÓRMULA MANUAL]","",IFERROR(AVERAGEIFS(nNOTA,nNIA,M166,nCUENTA,1,nASIG,"Orquesta/Banda/Conjunto"),"")))</f>
        <v/>
      </c>
      <c r="P166" t="str">
        <f>IF(M166="","",IF(M166="[FÓRMULA MANUAL]","",IFERROR(AVERAGEIFS(nNOTA,nNIA,M166,nCUENTA,1,nASIG,"Música de Cámara"),"")))</f>
        <v/>
      </c>
      <c r="Q166" t="str">
        <f>IF(M166="","",IF(M166="[FÓRMULA MANUAL]","",IFERROR(SUMPRODUCT((nNIA=M166)*(nCUENTA=1)*(COUNTIF(CONFIG_ASIGNATURAS!$B$7:$B$27,nASIG)&gt;0)*(nNOTA))/SUMPRODUCT((nNIA=M166)*(nCUENTA=1)*(COUNTIF(CONFIG_ASIGNATURAS!$B$7:$B$27,nASIG)&gt;0)*1),"")))</f>
        <v/>
      </c>
      <c r="T166" t="str">
        <f>IF(S166="","",IF(S166="[FÓRMULA MANUAL]","",IFERROR(AVERAGEIFS(nNOTA,nNIA,S166,nCUENTA,1,nASIG,"Armonía"),"")))</f>
        <v/>
      </c>
      <c r="U166" t="str">
        <f>IF(S166="","",IF(S166="[FÓRMULA MANUAL]","",IFERROR(AVERAGEIFS(nNOTA,nNIA,S166,nCUENTA,1,nASIG,"Orquesta/Banda/Conjunto"),"")))</f>
        <v/>
      </c>
      <c r="V166" t="str">
        <f>IF(S166="","",IF(S166="[FÓRMULA MANUAL]","",IFERROR(AVERAGEIFS(nNOTA,nNIA,S166,nCUENTA,1,nASIG,"Música de Cámara"),"")))</f>
        <v/>
      </c>
      <c r="W166" t="str">
        <f>IF(S166="","",IF(S166="[FÓRMULA MANUAL]","",IFERROR(SUMPRODUCT((nNIA=S166)*(nCUENTA=1)*(COUNTIF(CONFIG_ASIGNATURAS!$B$7:$B$27,nASIG)&gt;0)*(nNOTA))/SUMPRODUCT((nNIA=S166)*(nCUENTA=1)*(COUNTIF(CONFIG_ASIGNATURAS!$B$7:$B$27,nASIG)&gt;0)*1),"")))</f>
        <v/>
      </c>
      <c r="Z166" t="str">
        <f>IF(Y166="","",IF(Y166="[FÓRMULA MANUAL]","",IFERROR(AVERAGEIFS(nNOTA,nNIA,Y166,nCUENTA,1,nASIG,"Análisis"),"")))</f>
        <v/>
      </c>
      <c r="AA166" t="str">
        <f>IF(Y166="","",IF(Y166="[FÓRMULA MANUAL]","",IFERROR(AVERAGEIFS(nNOTA,nNIA,Y166,nCUENTA,1,nASIG,"Orquesta/Banda/Conjunto"),"")))</f>
        <v/>
      </c>
      <c r="AB166" t="str">
        <f>IF(Y166="","",IF(Y166="[FÓRMULA MANUAL]","",IFERROR(AVERAGEIFS(nNOTA,nNIA,Y166,nCUENTA,1,nASIG,"Música de Cámara"),"")))</f>
        <v/>
      </c>
      <c r="AC166" t="str">
        <f>IF(Y166="","",IF(Y166="[FÓRMULA MANUAL]","",IFERROR(SUMPRODUCT((nNIA=Y166)*(nCUENTA=1)*(COUNTIF(CONFIG_ASIGNATURAS!$B$7:$B$27,nASIG)&gt;0)*(nNOTA))/SUMPRODUCT((nNIA=Y166)*(nCUENTA=1)*(COUNTIF(CONFIG_ASIGNATURAS!$B$7:$B$27,nASIG)&gt;0)*1),"")))</f>
        <v/>
      </c>
      <c r="AF166" t="str">
        <f>IF(AE166="","",IF(AE166="[FÓRMULA MANUAL]","",IFERROR(AVERAGEIFS(nNOTA,nNIA,AE166,nCUENTA,1,nASIG,"Análisis"),"")))</f>
        <v/>
      </c>
      <c r="AG166" t="str">
        <f>IF(AE166="","",IF(AE166="[FÓRMULA MANUAL]","",IFERROR(AVERAGEIFS(nNOTA,nNIA,AE166,nCUENTA,1,nASIG,"Orquesta/Banda/Conjunto"),"")))</f>
        <v/>
      </c>
      <c r="AH166" t="str">
        <f>IF(AE166="","",IF(AE166="[FÓRMULA MANUAL]","",IFERROR(AVERAGEIFS(nNOTA,nNIA,AE166,nCUENTA,1,nASIG,"Música de Cámara"),"")))</f>
        <v/>
      </c>
      <c r="AI166" t="str">
        <f>IF(AE166="","",IF(AE166="[FÓRMULA MANUAL]","",IFERROR(SUMPRODUCT((nNIA=AE166)*(nCUENTA=1)*(COUNTIF(CONFIG_ASIGNATURAS!$B$7:$B$27,nASIG)&gt;0)*(nNOTA))/SUMPRODUCT((nNIA=AE166)*(nCUENTA=1)*(COUNTIF(CONFIG_ASIGNATURAS!$B$7:$B$27,nASIG)&gt;0)*1),"")))</f>
        <v/>
      </c>
    </row>
    <row r="167" spans="2:35" x14ac:dyDescent="0.2">
      <c r="B167" t="str">
        <f>IF(A167="","",IF(A167="[FÓRMULA MANUAL]","",IFERROR(AVERAGEIFS(nNOTA,nNIA,A167,nCUENTA,1,nASIG,"Lenguaje Musical"),"")))</f>
        <v/>
      </c>
      <c r="C167" t="str">
        <f>IF(A167="","",IF(A167="[FÓRMULA MANUAL]","",IFERROR(AVERAGEIFS(nNOTA,nNIA,A167,nCUENTA,1,nASIG,"Orquesta/Banda/Conjunto"),"")))</f>
        <v/>
      </c>
      <c r="D167" t="str">
        <f>IF(A167="","",IF(A167="[FÓRMULA MANUAL]","",IFERROR(AVERAGEIFS(nNOTA,nNIA,A167,nCUENTA,1,nASIG,"Conjunto"),"")))</f>
        <v/>
      </c>
      <c r="E167" t="str">
        <f>IF(A167="","",IF(A167="[FÓRMULA MANUAL]","",IFERROR(SUMPRODUCT((nNIA=A167)*(nCUENTA=1)*(COUNTIF(CONFIG_ASIGNATURAS!$B$7:$B$27,nASIG)&gt;0)*(nNOTA))/SUMPRODUCT((nNIA=A167)*(nCUENTA=1)*(COUNTIF(CONFIG_ASIGNATURAS!$B$7:$B$27,nASIG)&gt;0)*1),"")))</f>
        <v/>
      </c>
      <c r="H167" t="str">
        <f>IF(G167="","",IF(G167="[FÓRMULA MANUAL]","",IFERROR(AVERAGEIFS(nNOTA,nNIA,G167,nCUENTA,1,nASIG,"Lenguaje Musical"),"")))</f>
        <v/>
      </c>
      <c r="I167" t="str">
        <f>IF(G167="","",IF(G167="[FÓRMULA MANUAL]","",IFERROR(AVERAGEIFS(nNOTA,nNIA,G167,nCUENTA,1,nASIG,"Orquesta/Banda/Conjunto"),"")))</f>
        <v/>
      </c>
      <c r="J167" t="str">
        <f>IF(G167="","",IF(G167="[FÓRMULA MANUAL]","",IFERROR(AVERAGEIFS(nNOTA,nNIA,G167,nCUENTA,1,nASIG,"Conjunto"),"")))</f>
        <v/>
      </c>
      <c r="K167" t="str">
        <f>IF(G167="","",IF(G167="[FÓRMULA MANUAL]","",IFERROR(SUMPRODUCT((nNIA=G167)*(nCUENTA=1)*(COUNTIF(CONFIG_ASIGNATURAS!$B$7:$B$27,nASIG)&gt;0)*(nNOTA))/SUMPRODUCT((nNIA=G167)*(nCUENTA=1)*(COUNTIF(CONFIG_ASIGNATURAS!$B$7:$B$27,nASIG)&gt;0)*1),"")))</f>
        <v/>
      </c>
      <c r="N167" t="str">
        <f>IF(M167="","",IF(M167="[FÓRMULA MANUAL]","",IFERROR(AVERAGEIFS(nNOTA,nNIA,M167,nCUENTA,1,nASIG,"Armonía"),"")))</f>
        <v/>
      </c>
      <c r="O167" t="str">
        <f>IF(M167="","",IF(M167="[FÓRMULA MANUAL]","",IFERROR(AVERAGEIFS(nNOTA,nNIA,M167,nCUENTA,1,nASIG,"Orquesta/Banda/Conjunto"),"")))</f>
        <v/>
      </c>
      <c r="P167" t="str">
        <f>IF(M167="","",IF(M167="[FÓRMULA MANUAL]","",IFERROR(AVERAGEIFS(nNOTA,nNIA,M167,nCUENTA,1,nASIG,"Música de Cámara"),"")))</f>
        <v/>
      </c>
      <c r="Q167" t="str">
        <f>IF(M167="","",IF(M167="[FÓRMULA MANUAL]","",IFERROR(SUMPRODUCT((nNIA=M167)*(nCUENTA=1)*(COUNTIF(CONFIG_ASIGNATURAS!$B$7:$B$27,nASIG)&gt;0)*(nNOTA))/SUMPRODUCT((nNIA=M167)*(nCUENTA=1)*(COUNTIF(CONFIG_ASIGNATURAS!$B$7:$B$27,nASIG)&gt;0)*1),"")))</f>
        <v/>
      </c>
      <c r="T167" t="str">
        <f>IF(S167="","",IF(S167="[FÓRMULA MANUAL]","",IFERROR(AVERAGEIFS(nNOTA,nNIA,S167,nCUENTA,1,nASIG,"Armonía"),"")))</f>
        <v/>
      </c>
      <c r="U167" t="str">
        <f>IF(S167="","",IF(S167="[FÓRMULA MANUAL]","",IFERROR(AVERAGEIFS(nNOTA,nNIA,S167,nCUENTA,1,nASIG,"Orquesta/Banda/Conjunto"),"")))</f>
        <v/>
      </c>
      <c r="V167" t="str">
        <f>IF(S167="","",IF(S167="[FÓRMULA MANUAL]","",IFERROR(AVERAGEIFS(nNOTA,nNIA,S167,nCUENTA,1,nASIG,"Música de Cámara"),"")))</f>
        <v/>
      </c>
      <c r="W167" t="str">
        <f>IF(S167="","",IF(S167="[FÓRMULA MANUAL]","",IFERROR(SUMPRODUCT((nNIA=S167)*(nCUENTA=1)*(COUNTIF(CONFIG_ASIGNATURAS!$B$7:$B$27,nASIG)&gt;0)*(nNOTA))/SUMPRODUCT((nNIA=S167)*(nCUENTA=1)*(COUNTIF(CONFIG_ASIGNATURAS!$B$7:$B$27,nASIG)&gt;0)*1),"")))</f>
        <v/>
      </c>
      <c r="Z167" t="str">
        <f>IF(Y167="","",IF(Y167="[FÓRMULA MANUAL]","",IFERROR(AVERAGEIFS(nNOTA,nNIA,Y167,nCUENTA,1,nASIG,"Análisis"),"")))</f>
        <v/>
      </c>
      <c r="AA167" t="str">
        <f>IF(Y167="","",IF(Y167="[FÓRMULA MANUAL]","",IFERROR(AVERAGEIFS(nNOTA,nNIA,Y167,nCUENTA,1,nASIG,"Orquesta/Banda/Conjunto"),"")))</f>
        <v/>
      </c>
      <c r="AB167" t="str">
        <f>IF(Y167="","",IF(Y167="[FÓRMULA MANUAL]","",IFERROR(AVERAGEIFS(nNOTA,nNIA,Y167,nCUENTA,1,nASIG,"Música de Cámara"),"")))</f>
        <v/>
      </c>
      <c r="AC167" t="str">
        <f>IF(Y167="","",IF(Y167="[FÓRMULA MANUAL]","",IFERROR(SUMPRODUCT((nNIA=Y167)*(nCUENTA=1)*(COUNTIF(CONFIG_ASIGNATURAS!$B$7:$B$27,nASIG)&gt;0)*(nNOTA))/SUMPRODUCT((nNIA=Y167)*(nCUENTA=1)*(COUNTIF(CONFIG_ASIGNATURAS!$B$7:$B$27,nASIG)&gt;0)*1),"")))</f>
        <v/>
      </c>
      <c r="AF167" t="str">
        <f>IF(AE167="","",IF(AE167="[FÓRMULA MANUAL]","",IFERROR(AVERAGEIFS(nNOTA,nNIA,AE167,nCUENTA,1,nASIG,"Análisis"),"")))</f>
        <v/>
      </c>
      <c r="AG167" t="str">
        <f>IF(AE167="","",IF(AE167="[FÓRMULA MANUAL]","",IFERROR(AVERAGEIFS(nNOTA,nNIA,AE167,nCUENTA,1,nASIG,"Orquesta/Banda/Conjunto"),"")))</f>
        <v/>
      </c>
      <c r="AH167" t="str">
        <f>IF(AE167="","",IF(AE167="[FÓRMULA MANUAL]","",IFERROR(AVERAGEIFS(nNOTA,nNIA,AE167,nCUENTA,1,nASIG,"Música de Cámara"),"")))</f>
        <v/>
      </c>
      <c r="AI167" t="str">
        <f>IF(AE167="","",IF(AE167="[FÓRMULA MANUAL]","",IFERROR(SUMPRODUCT((nNIA=AE167)*(nCUENTA=1)*(COUNTIF(CONFIG_ASIGNATURAS!$B$7:$B$27,nASIG)&gt;0)*(nNOTA))/SUMPRODUCT((nNIA=AE167)*(nCUENTA=1)*(COUNTIF(CONFIG_ASIGNATURAS!$B$7:$B$27,nASIG)&gt;0)*1),"")))</f>
        <v/>
      </c>
    </row>
    <row r="168" spans="2:35" x14ac:dyDescent="0.2">
      <c r="B168" t="str">
        <f>IF(A168="","",IF(A168="[FÓRMULA MANUAL]","",IFERROR(AVERAGEIFS(nNOTA,nNIA,A168,nCUENTA,1,nASIG,"Lenguaje Musical"),"")))</f>
        <v/>
      </c>
      <c r="C168" t="str">
        <f>IF(A168="","",IF(A168="[FÓRMULA MANUAL]","",IFERROR(AVERAGEIFS(nNOTA,nNIA,A168,nCUENTA,1,nASIG,"Orquesta/Banda/Conjunto"),"")))</f>
        <v/>
      </c>
      <c r="D168" t="str">
        <f>IF(A168="","",IF(A168="[FÓRMULA MANUAL]","",IFERROR(AVERAGEIFS(nNOTA,nNIA,A168,nCUENTA,1,nASIG,"Conjunto"),"")))</f>
        <v/>
      </c>
      <c r="E168" t="str">
        <f>IF(A168="","",IF(A168="[FÓRMULA MANUAL]","",IFERROR(SUMPRODUCT((nNIA=A168)*(nCUENTA=1)*(COUNTIF(CONFIG_ASIGNATURAS!$B$7:$B$27,nASIG)&gt;0)*(nNOTA))/SUMPRODUCT((nNIA=A168)*(nCUENTA=1)*(COUNTIF(CONFIG_ASIGNATURAS!$B$7:$B$27,nASIG)&gt;0)*1),"")))</f>
        <v/>
      </c>
      <c r="H168" t="str">
        <f>IF(G168="","",IF(G168="[FÓRMULA MANUAL]","",IFERROR(AVERAGEIFS(nNOTA,nNIA,G168,nCUENTA,1,nASIG,"Lenguaje Musical"),"")))</f>
        <v/>
      </c>
      <c r="I168" t="str">
        <f>IF(G168="","",IF(G168="[FÓRMULA MANUAL]","",IFERROR(AVERAGEIFS(nNOTA,nNIA,G168,nCUENTA,1,nASIG,"Orquesta/Banda/Conjunto"),"")))</f>
        <v/>
      </c>
      <c r="J168" t="str">
        <f>IF(G168="","",IF(G168="[FÓRMULA MANUAL]","",IFERROR(AVERAGEIFS(nNOTA,nNIA,G168,nCUENTA,1,nASIG,"Conjunto"),"")))</f>
        <v/>
      </c>
      <c r="K168" t="str">
        <f>IF(G168="","",IF(G168="[FÓRMULA MANUAL]","",IFERROR(SUMPRODUCT((nNIA=G168)*(nCUENTA=1)*(COUNTIF(CONFIG_ASIGNATURAS!$B$7:$B$27,nASIG)&gt;0)*(nNOTA))/SUMPRODUCT((nNIA=G168)*(nCUENTA=1)*(COUNTIF(CONFIG_ASIGNATURAS!$B$7:$B$27,nASIG)&gt;0)*1),"")))</f>
        <v/>
      </c>
      <c r="N168" t="str">
        <f>IF(M168="","",IF(M168="[FÓRMULA MANUAL]","",IFERROR(AVERAGEIFS(nNOTA,nNIA,M168,nCUENTA,1,nASIG,"Armonía"),"")))</f>
        <v/>
      </c>
      <c r="O168" t="str">
        <f>IF(M168="","",IF(M168="[FÓRMULA MANUAL]","",IFERROR(AVERAGEIFS(nNOTA,nNIA,M168,nCUENTA,1,nASIG,"Orquesta/Banda/Conjunto"),"")))</f>
        <v/>
      </c>
      <c r="P168" t="str">
        <f>IF(M168="","",IF(M168="[FÓRMULA MANUAL]","",IFERROR(AVERAGEIFS(nNOTA,nNIA,M168,nCUENTA,1,nASIG,"Música de Cámara"),"")))</f>
        <v/>
      </c>
      <c r="Q168" t="str">
        <f>IF(M168="","",IF(M168="[FÓRMULA MANUAL]","",IFERROR(SUMPRODUCT((nNIA=M168)*(nCUENTA=1)*(COUNTIF(CONFIG_ASIGNATURAS!$B$7:$B$27,nASIG)&gt;0)*(nNOTA))/SUMPRODUCT((nNIA=M168)*(nCUENTA=1)*(COUNTIF(CONFIG_ASIGNATURAS!$B$7:$B$27,nASIG)&gt;0)*1),"")))</f>
        <v/>
      </c>
      <c r="T168" t="str">
        <f>IF(S168="","",IF(S168="[FÓRMULA MANUAL]","",IFERROR(AVERAGEIFS(nNOTA,nNIA,S168,nCUENTA,1,nASIG,"Armonía"),"")))</f>
        <v/>
      </c>
      <c r="U168" t="str">
        <f>IF(S168="","",IF(S168="[FÓRMULA MANUAL]","",IFERROR(AVERAGEIFS(nNOTA,nNIA,S168,nCUENTA,1,nASIG,"Orquesta/Banda/Conjunto"),"")))</f>
        <v/>
      </c>
      <c r="V168" t="str">
        <f>IF(S168="","",IF(S168="[FÓRMULA MANUAL]","",IFERROR(AVERAGEIFS(nNOTA,nNIA,S168,nCUENTA,1,nASIG,"Música de Cámara"),"")))</f>
        <v/>
      </c>
      <c r="W168" t="str">
        <f>IF(S168="","",IF(S168="[FÓRMULA MANUAL]","",IFERROR(SUMPRODUCT((nNIA=S168)*(nCUENTA=1)*(COUNTIF(CONFIG_ASIGNATURAS!$B$7:$B$27,nASIG)&gt;0)*(nNOTA))/SUMPRODUCT((nNIA=S168)*(nCUENTA=1)*(COUNTIF(CONFIG_ASIGNATURAS!$B$7:$B$27,nASIG)&gt;0)*1),"")))</f>
        <v/>
      </c>
      <c r="Z168" t="str">
        <f>IF(Y168="","",IF(Y168="[FÓRMULA MANUAL]","",IFERROR(AVERAGEIFS(nNOTA,nNIA,Y168,nCUENTA,1,nASIG,"Análisis"),"")))</f>
        <v/>
      </c>
      <c r="AA168" t="str">
        <f>IF(Y168="","",IF(Y168="[FÓRMULA MANUAL]","",IFERROR(AVERAGEIFS(nNOTA,nNIA,Y168,nCUENTA,1,nASIG,"Orquesta/Banda/Conjunto"),"")))</f>
        <v/>
      </c>
      <c r="AB168" t="str">
        <f>IF(Y168="","",IF(Y168="[FÓRMULA MANUAL]","",IFERROR(AVERAGEIFS(nNOTA,nNIA,Y168,nCUENTA,1,nASIG,"Música de Cámara"),"")))</f>
        <v/>
      </c>
      <c r="AC168" t="str">
        <f>IF(Y168="","",IF(Y168="[FÓRMULA MANUAL]","",IFERROR(SUMPRODUCT((nNIA=Y168)*(nCUENTA=1)*(COUNTIF(CONFIG_ASIGNATURAS!$B$7:$B$27,nASIG)&gt;0)*(nNOTA))/SUMPRODUCT((nNIA=Y168)*(nCUENTA=1)*(COUNTIF(CONFIG_ASIGNATURAS!$B$7:$B$27,nASIG)&gt;0)*1),"")))</f>
        <v/>
      </c>
      <c r="AF168" t="str">
        <f>IF(AE168="","",IF(AE168="[FÓRMULA MANUAL]","",IFERROR(AVERAGEIFS(nNOTA,nNIA,AE168,nCUENTA,1,nASIG,"Análisis"),"")))</f>
        <v/>
      </c>
      <c r="AG168" t="str">
        <f>IF(AE168="","",IF(AE168="[FÓRMULA MANUAL]","",IFERROR(AVERAGEIFS(nNOTA,nNIA,AE168,nCUENTA,1,nASIG,"Orquesta/Banda/Conjunto"),"")))</f>
        <v/>
      </c>
      <c r="AH168" t="str">
        <f>IF(AE168="","",IF(AE168="[FÓRMULA MANUAL]","",IFERROR(AVERAGEIFS(nNOTA,nNIA,AE168,nCUENTA,1,nASIG,"Música de Cámara"),"")))</f>
        <v/>
      </c>
      <c r="AI168" t="str">
        <f>IF(AE168="","",IF(AE168="[FÓRMULA MANUAL]","",IFERROR(SUMPRODUCT((nNIA=AE168)*(nCUENTA=1)*(COUNTIF(CONFIG_ASIGNATURAS!$B$7:$B$27,nASIG)&gt;0)*(nNOTA))/SUMPRODUCT((nNIA=AE168)*(nCUENTA=1)*(COUNTIF(CONFIG_ASIGNATURAS!$B$7:$B$27,nASIG)&gt;0)*1),"")))</f>
        <v/>
      </c>
    </row>
    <row r="169" spans="2:35" x14ac:dyDescent="0.2">
      <c r="B169" t="str">
        <f>IF(A169="","",IF(A169="[FÓRMULA MANUAL]","",IFERROR(AVERAGEIFS(nNOTA,nNIA,A169,nCUENTA,1,nASIG,"Lenguaje Musical"),"")))</f>
        <v/>
      </c>
      <c r="C169" t="str">
        <f>IF(A169="","",IF(A169="[FÓRMULA MANUAL]","",IFERROR(AVERAGEIFS(nNOTA,nNIA,A169,nCUENTA,1,nASIG,"Orquesta/Banda/Conjunto"),"")))</f>
        <v/>
      </c>
      <c r="D169" t="str">
        <f>IF(A169="","",IF(A169="[FÓRMULA MANUAL]","",IFERROR(AVERAGEIFS(nNOTA,nNIA,A169,nCUENTA,1,nASIG,"Conjunto"),"")))</f>
        <v/>
      </c>
      <c r="E169" t="str">
        <f>IF(A169="","",IF(A169="[FÓRMULA MANUAL]","",IFERROR(SUMPRODUCT((nNIA=A169)*(nCUENTA=1)*(COUNTIF(CONFIG_ASIGNATURAS!$B$7:$B$27,nASIG)&gt;0)*(nNOTA))/SUMPRODUCT((nNIA=A169)*(nCUENTA=1)*(COUNTIF(CONFIG_ASIGNATURAS!$B$7:$B$27,nASIG)&gt;0)*1),"")))</f>
        <v/>
      </c>
      <c r="H169" t="str">
        <f>IF(G169="","",IF(G169="[FÓRMULA MANUAL]","",IFERROR(AVERAGEIFS(nNOTA,nNIA,G169,nCUENTA,1,nASIG,"Lenguaje Musical"),"")))</f>
        <v/>
      </c>
      <c r="I169" t="str">
        <f>IF(G169="","",IF(G169="[FÓRMULA MANUAL]","",IFERROR(AVERAGEIFS(nNOTA,nNIA,G169,nCUENTA,1,nASIG,"Orquesta/Banda/Conjunto"),"")))</f>
        <v/>
      </c>
      <c r="J169" t="str">
        <f>IF(G169="","",IF(G169="[FÓRMULA MANUAL]","",IFERROR(AVERAGEIFS(nNOTA,nNIA,G169,nCUENTA,1,nASIG,"Conjunto"),"")))</f>
        <v/>
      </c>
      <c r="K169" t="str">
        <f>IF(G169="","",IF(G169="[FÓRMULA MANUAL]","",IFERROR(SUMPRODUCT((nNIA=G169)*(nCUENTA=1)*(COUNTIF(CONFIG_ASIGNATURAS!$B$7:$B$27,nASIG)&gt;0)*(nNOTA))/SUMPRODUCT((nNIA=G169)*(nCUENTA=1)*(COUNTIF(CONFIG_ASIGNATURAS!$B$7:$B$27,nASIG)&gt;0)*1),"")))</f>
        <v/>
      </c>
      <c r="N169" t="str">
        <f>IF(M169="","",IF(M169="[FÓRMULA MANUAL]","",IFERROR(AVERAGEIFS(nNOTA,nNIA,M169,nCUENTA,1,nASIG,"Armonía"),"")))</f>
        <v/>
      </c>
      <c r="O169" t="str">
        <f>IF(M169="","",IF(M169="[FÓRMULA MANUAL]","",IFERROR(AVERAGEIFS(nNOTA,nNIA,M169,nCUENTA,1,nASIG,"Orquesta/Banda/Conjunto"),"")))</f>
        <v/>
      </c>
      <c r="P169" t="str">
        <f>IF(M169="","",IF(M169="[FÓRMULA MANUAL]","",IFERROR(AVERAGEIFS(nNOTA,nNIA,M169,nCUENTA,1,nASIG,"Música de Cámara"),"")))</f>
        <v/>
      </c>
      <c r="Q169" t="str">
        <f>IF(M169="","",IF(M169="[FÓRMULA MANUAL]","",IFERROR(SUMPRODUCT((nNIA=M169)*(nCUENTA=1)*(COUNTIF(CONFIG_ASIGNATURAS!$B$7:$B$27,nASIG)&gt;0)*(nNOTA))/SUMPRODUCT((nNIA=M169)*(nCUENTA=1)*(COUNTIF(CONFIG_ASIGNATURAS!$B$7:$B$27,nASIG)&gt;0)*1),"")))</f>
        <v/>
      </c>
      <c r="T169" t="str">
        <f>IF(S169="","",IF(S169="[FÓRMULA MANUAL]","",IFERROR(AVERAGEIFS(nNOTA,nNIA,S169,nCUENTA,1,nASIG,"Armonía"),"")))</f>
        <v/>
      </c>
      <c r="U169" t="str">
        <f>IF(S169="","",IF(S169="[FÓRMULA MANUAL]","",IFERROR(AVERAGEIFS(nNOTA,nNIA,S169,nCUENTA,1,nASIG,"Orquesta/Banda/Conjunto"),"")))</f>
        <v/>
      </c>
      <c r="V169" t="str">
        <f>IF(S169="","",IF(S169="[FÓRMULA MANUAL]","",IFERROR(AVERAGEIFS(nNOTA,nNIA,S169,nCUENTA,1,nASIG,"Música de Cámara"),"")))</f>
        <v/>
      </c>
      <c r="W169" t="str">
        <f>IF(S169="","",IF(S169="[FÓRMULA MANUAL]","",IFERROR(SUMPRODUCT((nNIA=S169)*(nCUENTA=1)*(COUNTIF(CONFIG_ASIGNATURAS!$B$7:$B$27,nASIG)&gt;0)*(nNOTA))/SUMPRODUCT((nNIA=S169)*(nCUENTA=1)*(COUNTIF(CONFIG_ASIGNATURAS!$B$7:$B$27,nASIG)&gt;0)*1),"")))</f>
        <v/>
      </c>
      <c r="Z169" t="str">
        <f>IF(Y169="","",IF(Y169="[FÓRMULA MANUAL]","",IFERROR(AVERAGEIFS(nNOTA,nNIA,Y169,nCUENTA,1,nASIG,"Análisis"),"")))</f>
        <v/>
      </c>
      <c r="AA169" t="str">
        <f>IF(Y169="","",IF(Y169="[FÓRMULA MANUAL]","",IFERROR(AVERAGEIFS(nNOTA,nNIA,Y169,nCUENTA,1,nASIG,"Orquesta/Banda/Conjunto"),"")))</f>
        <v/>
      </c>
      <c r="AB169" t="str">
        <f>IF(Y169="","",IF(Y169="[FÓRMULA MANUAL]","",IFERROR(AVERAGEIFS(nNOTA,nNIA,Y169,nCUENTA,1,nASIG,"Música de Cámara"),"")))</f>
        <v/>
      </c>
      <c r="AC169" t="str">
        <f>IF(Y169="","",IF(Y169="[FÓRMULA MANUAL]","",IFERROR(SUMPRODUCT((nNIA=Y169)*(nCUENTA=1)*(COUNTIF(CONFIG_ASIGNATURAS!$B$7:$B$27,nASIG)&gt;0)*(nNOTA))/SUMPRODUCT((nNIA=Y169)*(nCUENTA=1)*(COUNTIF(CONFIG_ASIGNATURAS!$B$7:$B$27,nASIG)&gt;0)*1),"")))</f>
        <v/>
      </c>
      <c r="AF169" t="str">
        <f>IF(AE169="","",IF(AE169="[FÓRMULA MANUAL]","",IFERROR(AVERAGEIFS(nNOTA,nNIA,AE169,nCUENTA,1,nASIG,"Análisis"),"")))</f>
        <v/>
      </c>
      <c r="AG169" t="str">
        <f>IF(AE169="","",IF(AE169="[FÓRMULA MANUAL]","",IFERROR(AVERAGEIFS(nNOTA,nNIA,AE169,nCUENTA,1,nASIG,"Orquesta/Banda/Conjunto"),"")))</f>
        <v/>
      </c>
      <c r="AH169" t="str">
        <f>IF(AE169="","",IF(AE169="[FÓRMULA MANUAL]","",IFERROR(AVERAGEIFS(nNOTA,nNIA,AE169,nCUENTA,1,nASIG,"Música de Cámara"),"")))</f>
        <v/>
      </c>
      <c r="AI169" t="str">
        <f>IF(AE169="","",IF(AE169="[FÓRMULA MANUAL]","",IFERROR(SUMPRODUCT((nNIA=AE169)*(nCUENTA=1)*(COUNTIF(CONFIG_ASIGNATURAS!$B$7:$B$27,nASIG)&gt;0)*(nNOTA))/SUMPRODUCT((nNIA=AE169)*(nCUENTA=1)*(COUNTIF(CONFIG_ASIGNATURAS!$B$7:$B$27,nASIG)&gt;0)*1),"")))</f>
        <v/>
      </c>
    </row>
    <row r="170" spans="2:35" x14ac:dyDescent="0.2">
      <c r="B170" t="str">
        <f>IF(A170="","",IF(A170="[FÓRMULA MANUAL]","",IFERROR(AVERAGEIFS(nNOTA,nNIA,A170,nCUENTA,1,nASIG,"Lenguaje Musical"),"")))</f>
        <v/>
      </c>
      <c r="C170" t="str">
        <f>IF(A170="","",IF(A170="[FÓRMULA MANUAL]","",IFERROR(AVERAGEIFS(nNOTA,nNIA,A170,nCUENTA,1,nASIG,"Orquesta/Banda/Conjunto"),"")))</f>
        <v/>
      </c>
      <c r="D170" t="str">
        <f>IF(A170="","",IF(A170="[FÓRMULA MANUAL]","",IFERROR(AVERAGEIFS(nNOTA,nNIA,A170,nCUENTA,1,nASIG,"Conjunto"),"")))</f>
        <v/>
      </c>
      <c r="E170" t="str">
        <f>IF(A170="","",IF(A170="[FÓRMULA MANUAL]","",IFERROR(SUMPRODUCT((nNIA=A170)*(nCUENTA=1)*(COUNTIF(CONFIG_ASIGNATURAS!$B$7:$B$27,nASIG)&gt;0)*(nNOTA))/SUMPRODUCT((nNIA=A170)*(nCUENTA=1)*(COUNTIF(CONFIG_ASIGNATURAS!$B$7:$B$27,nASIG)&gt;0)*1),"")))</f>
        <v/>
      </c>
      <c r="H170" t="str">
        <f>IF(G170="","",IF(G170="[FÓRMULA MANUAL]","",IFERROR(AVERAGEIFS(nNOTA,nNIA,G170,nCUENTA,1,nASIG,"Lenguaje Musical"),"")))</f>
        <v/>
      </c>
      <c r="I170" t="str">
        <f>IF(G170="","",IF(G170="[FÓRMULA MANUAL]","",IFERROR(AVERAGEIFS(nNOTA,nNIA,G170,nCUENTA,1,nASIG,"Orquesta/Banda/Conjunto"),"")))</f>
        <v/>
      </c>
      <c r="J170" t="str">
        <f>IF(G170="","",IF(G170="[FÓRMULA MANUAL]","",IFERROR(AVERAGEIFS(nNOTA,nNIA,G170,nCUENTA,1,nASIG,"Conjunto"),"")))</f>
        <v/>
      </c>
      <c r="K170" t="str">
        <f>IF(G170="","",IF(G170="[FÓRMULA MANUAL]","",IFERROR(SUMPRODUCT((nNIA=G170)*(nCUENTA=1)*(COUNTIF(CONFIG_ASIGNATURAS!$B$7:$B$27,nASIG)&gt;0)*(nNOTA))/SUMPRODUCT((nNIA=G170)*(nCUENTA=1)*(COUNTIF(CONFIG_ASIGNATURAS!$B$7:$B$27,nASIG)&gt;0)*1),"")))</f>
        <v/>
      </c>
      <c r="N170" t="str">
        <f>IF(M170="","",IF(M170="[FÓRMULA MANUAL]","",IFERROR(AVERAGEIFS(nNOTA,nNIA,M170,nCUENTA,1,nASIG,"Armonía"),"")))</f>
        <v/>
      </c>
      <c r="O170" t="str">
        <f>IF(M170="","",IF(M170="[FÓRMULA MANUAL]","",IFERROR(AVERAGEIFS(nNOTA,nNIA,M170,nCUENTA,1,nASIG,"Orquesta/Banda/Conjunto"),"")))</f>
        <v/>
      </c>
      <c r="P170" t="str">
        <f>IF(M170="","",IF(M170="[FÓRMULA MANUAL]","",IFERROR(AVERAGEIFS(nNOTA,nNIA,M170,nCUENTA,1,nASIG,"Música de Cámara"),"")))</f>
        <v/>
      </c>
      <c r="Q170" t="str">
        <f>IF(M170="","",IF(M170="[FÓRMULA MANUAL]","",IFERROR(SUMPRODUCT((nNIA=M170)*(nCUENTA=1)*(COUNTIF(CONFIG_ASIGNATURAS!$B$7:$B$27,nASIG)&gt;0)*(nNOTA))/SUMPRODUCT((nNIA=M170)*(nCUENTA=1)*(COUNTIF(CONFIG_ASIGNATURAS!$B$7:$B$27,nASIG)&gt;0)*1),"")))</f>
        <v/>
      </c>
      <c r="T170" t="str">
        <f>IF(S170="","",IF(S170="[FÓRMULA MANUAL]","",IFERROR(AVERAGEIFS(nNOTA,nNIA,S170,nCUENTA,1,nASIG,"Armonía"),"")))</f>
        <v/>
      </c>
      <c r="U170" t="str">
        <f>IF(S170="","",IF(S170="[FÓRMULA MANUAL]","",IFERROR(AVERAGEIFS(nNOTA,nNIA,S170,nCUENTA,1,nASIG,"Orquesta/Banda/Conjunto"),"")))</f>
        <v/>
      </c>
      <c r="V170" t="str">
        <f>IF(S170="","",IF(S170="[FÓRMULA MANUAL]","",IFERROR(AVERAGEIFS(nNOTA,nNIA,S170,nCUENTA,1,nASIG,"Música de Cámara"),"")))</f>
        <v/>
      </c>
      <c r="W170" t="str">
        <f>IF(S170="","",IF(S170="[FÓRMULA MANUAL]","",IFERROR(SUMPRODUCT((nNIA=S170)*(nCUENTA=1)*(COUNTIF(CONFIG_ASIGNATURAS!$B$7:$B$27,nASIG)&gt;0)*(nNOTA))/SUMPRODUCT((nNIA=S170)*(nCUENTA=1)*(COUNTIF(CONFIG_ASIGNATURAS!$B$7:$B$27,nASIG)&gt;0)*1),"")))</f>
        <v/>
      </c>
      <c r="Z170" t="str">
        <f>IF(Y170="","",IF(Y170="[FÓRMULA MANUAL]","",IFERROR(AVERAGEIFS(nNOTA,nNIA,Y170,nCUENTA,1,nASIG,"Análisis"),"")))</f>
        <v/>
      </c>
      <c r="AA170" t="str">
        <f>IF(Y170="","",IF(Y170="[FÓRMULA MANUAL]","",IFERROR(AVERAGEIFS(nNOTA,nNIA,Y170,nCUENTA,1,nASIG,"Orquesta/Banda/Conjunto"),"")))</f>
        <v/>
      </c>
      <c r="AB170" t="str">
        <f>IF(Y170="","",IF(Y170="[FÓRMULA MANUAL]","",IFERROR(AVERAGEIFS(nNOTA,nNIA,Y170,nCUENTA,1,nASIG,"Música de Cámara"),"")))</f>
        <v/>
      </c>
      <c r="AC170" t="str">
        <f>IF(Y170="","",IF(Y170="[FÓRMULA MANUAL]","",IFERROR(SUMPRODUCT((nNIA=Y170)*(nCUENTA=1)*(COUNTIF(CONFIG_ASIGNATURAS!$B$7:$B$27,nASIG)&gt;0)*(nNOTA))/SUMPRODUCT((nNIA=Y170)*(nCUENTA=1)*(COUNTIF(CONFIG_ASIGNATURAS!$B$7:$B$27,nASIG)&gt;0)*1),"")))</f>
        <v/>
      </c>
      <c r="AF170" t="str">
        <f>IF(AE170="","",IF(AE170="[FÓRMULA MANUAL]","",IFERROR(AVERAGEIFS(nNOTA,nNIA,AE170,nCUENTA,1,nASIG,"Análisis"),"")))</f>
        <v/>
      </c>
      <c r="AG170" t="str">
        <f>IF(AE170="","",IF(AE170="[FÓRMULA MANUAL]","",IFERROR(AVERAGEIFS(nNOTA,nNIA,AE170,nCUENTA,1,nASIG,"Orquesta/Banda/Conjunto"),"")))</f>
        <v/>
      </c>
      <c r="AH170" t="str">
        <f>IF(AE170="","",IF(AE170="[FÓRMULA MANUAL]","",IFERROR(AVERAGEIFS(nNOTA,nNIA,AE170,nCUENTA,1,nASIG,"Música de Cámara"),"")))</f>
        <v/>
      </c>
      <c r="AI170" t="str">
        <f>IF(AE170="","",IF(AE170="[FÓRMULA MANUAL]","",IFERROR(SUMPRODUCT((nNIA=AE170)*(nCUENTA=1)*(COUNTIF(CONFIG_ASIGNATURAS!$B$7:$B$27,nASIG)&gt;0)*(nNOTA))/SUMPRODUCT((nNIA=AE170)*(nCUENTA=1)*(COUNTIF(CONFIG_ASIGNATURAS!$B$7:$B$27,nASIG)&gt;0)*1),"")))</f>
        <v/>
      </c>
    </row>
    <row r="171" spans="2:35" x14ac:dyDescent="0.2">
      <c r="B171" t="str">
        <f>IF(A171="","",IF(A171="[FÓRMULA MANUAL]","",IFERROR(AVERAGEIFS(nNOTA,nNIA,A171,nCUENTA,1,nASIG,"Lenguaje Musical"),"")))</f>
        <v/>
      </c>
      <c r="C171" t="str">
        <f>IF(A171="","",IF(A171="[FÓRMULA MANUAL]","",IFERROR(AVERAGEIFS(nNOTA,nNIA,A171,nCUENTA,1,nASIG,"Orquesta/Banda/Conjunto"),"")))</f>
        <v/>
      </c>
      <c r="D171" t="str">
        <f>IF(A171="","",IF(A171="[FÓRMULA MANUAL]","",IFERROR(AVERAGEIFS(nNOTA,nNIA,A171,nCUENTA,1,nASIG,"Conjunto"),"")))</f>
        <v/>
      </c>
      <c r="E171" t="str">
        <f>IF(A171="","",IF(A171="[FÓRMULA MANUAL]","",IFERROR(SUMPRODUCT((nNIA=A171)*(nCUENTA=1)*(COUNTIF(CONFIG_ASIGNATURAS!$B$7:$B$27,nASIG)&gt;0)*(nNOTA))/SUMPRODUCT((nNIA=A171)*(nCUENTA=1)*(COUNTIF(CONFIG_ASIGNATURAS!$B$7:$B$27,nASIG)&gt;0)*1),"")))</f>
        <v/>
      </c>
      <c r="H171" t="str">
        <f>IF(G171="","",IF(G171="[FÓRMULA MANUAL]","",IFERROR(AVERAGEIFS(nNOTA,nNIA,G171,nCUENTA,1,nASIG,"Lenguaje Musical"),"")))</f>
        <v/>
      </c>
      <c r="I171" t="str">
        <f>IF(G171="","",IF(G171="[FÓRMULA MANUAL]","",IFERROR(AVERAGEIFS(nNOTA,nNIA,G171,nCUENTA,1,nASIG,"Orquesta/Banda/Conjunto"),"")))</f>
        <v/>
      </c>
      <c r="J171" t="str">
        <f>IF(G171="","",IF(G171="[FÓRMULA MANUAL]","",IFERROR(AVERAGEIFS(nNOTA,nNIA,G171,nCUENTA,1,nASIG,"Conjunto"),"")))</f>
        <v/>
      </c>
      <c r="K171" t="str">
        <f>IF(G171="","",IF(G171="[FÓRMULA MANUAL]","",IFERROR(SUMPRODUCT((nNIA=G171)*(nCUENTA=1)*(COUNTIF(CONFIG_ASIGNATURAS!$B$7:$B$27,nASIG)&gt;0)*(nNOTA))/SUMPRODUCT((nNIA=G171)*(nCUENTA=1)*(COUNTIF(CONFIG_ASIGNATURAS!$B$7:$B$27,nASIG)&gt;0)*1),"")))</f>
        <v/>
      </c>
      <c r="N171" t="str">
        <f>IF(M171="","",IF(M171="[FÓRMULA MANUAL]","",IFERROR(AVERAGEIFS(nNOTA,nNIA,M171,nCUENTA,1,nASIG,"Armonía"),"")))</f>
        <v/>
      </c>
      <c r="O171" t="str">
        <f>IF(M171="","",IF(M171="[FÓRMULA MANUAL]","",IFERROR(AVERAGEIFS(nNOTA,nNIA,M171,nCUENTA,1,nASIG,"Orquesta/Banda/Conjunto"),"")))</f>
        <v/>
      </c>
      <c r="P171" t="str">
        <f>IF(M171="","",IF(M171="[FÓRMULA MANUAL]","",IFERROR(AVERAGEIFS(nNOTA,nNIA,M171,nCUENTA,1,nASIG,"Música de Cámara"),"")))</f>
        <v/>
      </c>
      <c r="Q171" t="str">
        <f>IF(M171="","",IF(M171="[FÓRMULA MANUAL]","",IFERROR(SUMPRODUCT((nNIA=M171)*(nCUENTA=1)*(COUNTIF(CONFIG_ASIGNATURAS!$B$7:$B$27,nASIG)&gt;0)*(nNOTA))/SUMPRODUCT((nNIA=M171)*(nCUENTA=1)*(COUNTIF(CONFIG_ASIGNATURAS!$B$7:$B$27,nASIG)&gt;0)*1),"")))</f>
        <v/>
      </c>
      <c r="T171" t="str">
        <f>IF(S171="","",IF(S171="[FÓRMULA MANUAL]","",IFERROR(AVERAGEIFS(nNOTA,nNIA,S171,nCUENTA,1,nASIG,"Armonía"),"")))</f>
        <v/>
      </c>
      <c r="U171" t="str">
        <f>IF(S171="","",IF(S171="[FÓRMULA MANUAL]","",IFERROR(AVERAGEIFS(nNOTA,nNIA,S171,nCUENTA,1,nASIG,"Orquesta/Banda/Conjunto"),"")))</f>
        <v/>
      </c>
      <c r="V171" t="str">
        <f>IF(S171="","",IF(S171="[FÓRMULA MANUAL]","",IFERROR(AVERAGEIFS(nNOTA,nNIA,S171,nCUENTA,1,nASIG,"Música de Cámara"),"")))</f>
        <v/>
      </c>
      <c r="W171" t="str">
        <f>IF(S171="","",IF(S171="[FÓRMULA MANUAL]","",IFERROR(SUMPRODUCT((nNIA=S171)*(nCUENTA=1)*(COUNTIF(CONFIG_ASIGNATURAS!$B$7:$B$27,nASIG)&gt;0)*(nNOTA))/SUMPRODUCT((nNIA=S171)*(nCUENTA=1)*(COUNTIF(CONFIG_ASIGNATURAS!$B$7:$B$27,nASIG)&gt;0)*1),"")))</f>
        <v/>
      </c>
      <c r="Z171" t="str">
        <f>IF(Y171="","",IF(Y171="[FÓRMULA MANUAL]","",IFERROR(AVERAGEIFS(nNOTA,nNIA,Y171,nCUENTA,1,nASIG,"Análisis"),"")))</f>
        <v/>
      </c>
      <c r="AA171" t="str">
        <f>IF(Y171="","",IF(Y171="[FÓRMULA MANUAL]","",IFERROR(AVERAGEIFS(nNOTA,nNIA,Y171,nCUENTA,1,nASIG,"Orquesta/Banda/Conjunto"),"")))</f>
        <v/>
      </c>
      <c r="AB171" t="str">
        <f>IF(Y171="","",IF(Y171="[FÓRMULA MANUAL]","",IFERROR(AVERAGEIFS(nNOTA,nNIA,Y171,nCUENTA,1,nASIG,"Música de Cámara"),"")))</f>
        <v/>
      </c>
      <c r="AC171" t="str">
        <f>IF(Y171="","",IF(Y171="[FÓRMULA MANUAL]","",IFERROR(SUMPRODUCT((nNIA=Y171)*(nCUENTA=1)*(COUNTIF(CONFIG_ASIGNATURAS!$B$7:$B$27,nASIG)&gt;0)*(nNOTA))/SUMPRODUCT((nNIA=Y171)*(nCUENTA=1)*(COUNTIF(CONFIG_ASIGNATURAS!$B$7:$B$27,nASIG)&gt;0)*1),"")))</f>
        <v/>
      </c>
      <c r="AF171" t="str">
        <f>IF(AE171="","",IF(AE171="[FÓRMULA MANUAL]","",IFERROR(AVERAGEIFS(nNOTA,nNIA,AE171,nCUENTA,1,nASIG,"Análisis"),"")))</f>
        <v/>
      </c>
      <c r="AG171" t="str">
        <f>IF(AE171="","",IF(AE171="[FÓRMULA MANUAL]","",IFERROR(AVERAGEIFS(nNOTA,nNIA,AE171,nCUENTA,1,nASIG,"Orquesta/Banda/Conjunto"),"")))</f>
        <v/>
      </c>
      <c r="AH171" t="str">
        <f>IF(AE171="","",IF(AE171="[FÓRMULA MANUAL]","",IFERROR(AVERAGEIFS(nNOTA,nNIA,AE171,nCUENTA,1,nASIG,"Música de Cámara"),"")))</f>
        <v/>
      </c>
      <c r="AI171" t="str">
        <f>IF(AE171="","",IF(AE171="[FÓRMULA MANUAL]","",IFERROR(SUMPRODUCT((nNIA=AE171)*(nCUENTA=1)*(COUNTIF(CONFIG_ASIGNATURAS!$B$7:$B$27,nASIG)&gt;0)*(nNOTA))/SUMPRODUCT((nNIA=AE171)*(nCUENTA=1)*(COUNTIF(CONFIG_ASIGNATURAS!$B$7:$B$27,nASIG)&gt;0)*1),"")))</f>
        <v/>
      </c>
    </row>
    <row r="172" spans="2:35" x14ac:dyDescent="0.2">
      <c r="B172" t="str">
        <f>IF(A172="","",IF(A172="[FÓRMULA MANUAL]","",IFERROR(AVERAGEIFS(nNOTA,nNIA,A172,nCUENTA,1,nASIG,"Lenguaje Musical"),"")))</f>
        <v/>
      </c>
      <c r="C172" t="str">
        <f>IF(A172="","",IF(A172="[FÓRMULA MANUAL]","",IFERROR(AVERAGEIFS(nNOTA,nNIA,A172,nCUENTA,1,nASIG,"Orquesta/Banda/Conjunto"),"")))</f>
        <v/>
      </c>
      <c r="D172" t="str">
        <f>IF(A172="","",IF(A172="[FÓRMULA MANUAL]","",IFERROR(AVERAGEIFS(nNOTA,nNIA,A172,nCUENTA,1,nASIG,"Conjunto"),"")))</f>
        <v/>
      </c>
      <c r="E172" t="str">
        <f>IF(A172="","",IF(A172="[FÓRMULA MANUAL]","",IFERROR(SUMPRODUCT((nNIA=A172)*(nCUENTA=1)*(COUNTIF(CONFIG_ASIGNATURAS!$B$7:$B$27,nASIG)&gt;0)*(nNOTA))/SUMPRODUCT((nNIA=A172)*(nCUENTA=1)*(COUNTIF(CONFIG_ASIGNATURAS!$B$7:$B$27,nASIG)&gt;0)*1),"")))</f>
        <v/>
      </c>
      <c r="H172" t="str">
        <f>IF(G172="","",IF(G172="[FÓRMULA MANUAL]","",IFERROR(AVERAGEIFS(nNOTA,nNIA,G172,nCUENTA,1,nASIG,"Lenguaje Musical"),"")))</f>
        <v/>
      </c>
      <c r="I172" t="str">
        <f>IF(G172="","",IF(G172="[FÓRMULA MANUAL]","",IFERROR(AVERAGEIFS(nNOTA,nNIA,G172,nCUENTA,1,nASIG,"Orquesta/Banda/Conjunto"),"")))</f>
        <v/>
      </c>
      <c r="J172" t="str">
        <f>IF(G172="","",IF(G172="[FÓRMULA MANUAL]","",IFERROR(AVERAGEIFS(nNOTA,nNIA,G172,nCUENTA,1,nASIG,"Conjunto"),"")))</f>
        <v/>
      </c>
      <c r="K172" t="str">
        <f>IF(G172="","",IF(G172="[FÓRMULA MANUAL]","",IFERROR(SUMPRODUCT((nNIA=G172)*(nCUENTA=1)*(COUNTIF(CONFIG_ASIGNATURAS!$B$7:$B$27,nASIG)&gt;0)*(nNOTA))/SUMPRODUCT((nNIA=G172)*(nCUENTA=1)*(COUNTIF(CONFIG_ASIGNATURAS!$B$7:$B$27,nASIG)&gt;0)*1),"")))</f>
        <v/>
      </c>
      <c r="N172" t="str">
        <f>IF(M172="","",IF(M172="[FÓRMULA MANUAL]","",IFERROR(AVERAGEIFS(nNOTA,nNIA,M172,nCUENTA,1,nASIG,"Armonía"),"")))</f>
        <v/>
      </c>
      <c r="O172" t="str">
        <f>IF(M172="","",IF(M172="[FÓRMULA MANUAL]","",IFERROR(AVERAGEIFS(nNOTA,nNIA,M172,nCUENTA,1,nASIG,"Orquesta/Banda/Conjunto"),"")))</f>
        <v/>
      </c>
      <c r="P172" t="str">
        <f>IF(M172="","",IF(M172="[FÓRMULA MANUAL]","",IFERROR(AVERAGEIFS(nNOTA,nNIA,M172,nCUENTA,1,nASIG,"Música de Cámara"),"")))</f>
        <v/>
      </c>
      <c r="Q172" t="str">
        <f>IF(M172="","",IF(M172="[FÓRMULA MANUAL]","",IFERROR(SUMPRODUCT((nNIA=M172)*(nCUENTA=1)*(COUNTIF(CONFIG_ASIGNATURAS!$B$7:$B$27,nASIG)&gt;0)*(nNOTA))/SUMPRODUCT((nNIA=M172)*(nCUENTA=1)*(COUNTIF(CONFIG_ASIGNATURAS!$B$7:$B$27,nASIG)&gt;0)*1),"")))</f>
        <v/>
      </c>
      <c r="T172" t="str">
        <f>IF(S172="","",IF(S172="[FÓRMULA MANUAL]","",IFERROR(AVERAGEIFS(nNOTA,nNIA,S172,nCUENTA,1,nASIG,"Armonía"),"")))</f>
        <v/>
      </c>
      <c r="U172" t="str">
        <f>IF(S172="","",IF(S172="[FÓRMULA MANUAL]","",IFERROR(AVERAGEIFS(nNOTA,nNIA,S172,nCUENTA,1,nASIG,"Orquesta/Banda/Conjunto"),"")))</f>
        <v/>
      </c>
      <c r="V172" t="str">
        <f>IF(S172="","",IF(S172="[FÓRMULA MANUAL]","",IFERROR(AVERAGEIFS(nNOTA,nNIA,S172,nCUENTA,1,nASIG,"Música de Cámara"),"")))</f>
        <v/>
      </c>
      <c r="W172" t="str">
        <f>IF(S172="","",IF(S172="[FÓRMULA MANUAL]","",IFERROR(SUMPRODUCT((nNIA=S172)*(nCUENTA=1)*(COUNTIF(CONFIG_ASIGNATURAS!$B$7:$B$27,nASIG)&gt;0)*(nNOTA))/SUMPRODUCT((nNIA=S172)*(nCUENTA=1)*(COUNTIF(CONFIG_ASIGNATURAS!$B$7:$B$27,nASIG)&gt;0)*1),"")))</f>
        <v/>
      </c>
      <c r="Z172" t="str">
        <f>IF(Y172="","",IF(Y172="[FÓRMULA MANUAL]","",IFERROR(AVERAGEIFS(nNOTA,nNIA,Y172,nCUENTA,1,nASIG,"Análisis"),"")))</f>
        <v/>
      </c>
      <c r="AA172" t="str">
        <f>IF(Y172="","",IF(Y172="[FÓRMULA MANUAL]","",IFERROR(AVERAGEIFS(nNOTA,nNIA,Y172,nCUENTA,1,nASIG,"Orquesta/Banda/Conjunto"),"")))</f>
        <v/>
      </c>
      <c r="AB172" t="str">
        <f>IF(Y172="","",IF(Y172="[FÓRMULA MANUAL]","",IFERROR(AVERAGEIFS(nNOTA,nNIA,Y172,nCUENTA,1,nASIG,"Música de Cámara"),"")))</f>
        <v/>
      </c>
      <c r="AC172" t="str">
        <f>IF(Y172="","",IF(Y172="[FÓRMULA MANUAL]","",IFERROR(SUMPRODUCT((nNIA=Y172)*(nCUENTA=1)*(COUNTIF(CONFIG_ASIGNATURAS!$B$7:$B$27,nASIG)&gt;0)*(nNOTA))/SUMPRODUCT((nNIA=Y172)*(nCUENTA=1)*(COUNTIF(CONFIG_ASIGNATURAS!$B$7:$B$27,nASIG)&gt;0)*1),"")))</f>
        <v/>
      </c>
      <c r="AF172" t="str">
        <f>IF(AE172="","",IF(AE172="[FÓRMULA MANUAL]","",IFERROR(AVERAGEIFS(nNOTA,nNIA,AE172,nCUENTA,1,nASIG,"Análisis"),"")))</f>
        <v/>
      </c>
      <c r="AG172" t="str">
        <f>IF(AE172="","",IF(AE172="[FÓRMULA MANUAL]","",IFERROR(AVERAGEIFS(nNOTA,nNIA,AE172,nCUENTA,1,nASIG,"Orquesta/Banda/Conjunto"),"")))</f>
        <v/>
      </c>
      <c r="AH172" t="str">
        <f>IF(AE172="","",IF(AE172="[FÓRMULA MANUAL]","",IFERROR(AVERAGEIFS(nNOTA,nNIA,AE172,nCUENTA,1,nASIG,"Música de Cámara"),"")))</f>
        <v/>
      </c>
      <c r="AI172" t="str">
        <f>IF(AE172="","",IF(AE172="[FÓRMULA MANUAL]","",IFERROR(SUMPRODUCT((nNIA=AE172)*(nCUENTA=1)*(COUNTIF(CONFIG_ASIGNATURAS!$B$7:$B$27,nASIG)&gt;0)*(nNOTA))/SUMPRODUCT((nNIA=AE172)*(nCUENTA=1)*(COUNTIF(CONFIG_ASIGNATURAS!$B$7:$B$27,nASIG)&gt;0)*1),"")))</f>
        <v/>
      </c>
    </row>
    <row r="173" spans="2:35" x14ac:dyDescent="0.2">
      <c r="B173" t="str">
        <f>IF(A173="","",IF(A173="[FÓRMULA MANUAL]","",IFERROR(AVERAGEIFS(nNOTA,nNIA,A173,nCUENTA,1,nASIG,"Lenguaje Musical"),"")))</f>
        <v/>
      </c>
      <c r="C173" t="str">
        <f>IF(A173="","",IF(A173="[FÓRMULA MANUAL]","",IFERROR(AVERAGEIFS(nNOTA,nNIA,A173,nCUENTA,1,nASIG,"Orquesta/Banda/Conjunto"),"")))</f>
        <v/>
      </c>
      <c r="D173" t="str">
        <f>IF(A173="","",IF(A173="[FÓRMULA MANUAL]","",IFERROR(AVERAGEIFS(nNOTA,nNIA,A173,nCUENTA,1,nASIG,"Conjunto"),"")))</f>
        <v/>
      </c>
      <c r="E173" t="str">
        <f>IF(A173="","",IF(A173="[FÓRMULA MANUAL]","",IFERROR(SUMPRODUCT((nNIA=A173)*(nCUENTA=1)*(COUNTIF(CONFIG_ASIGNATURAS!$B$7:$B$27,nASIG)&gt;0)*(nNOTA))/SUMPRODUCT((nNIA=A173)*(nCUENTA=1)*(COUNTIF(CONFIG_ASIGNATURAS!$B$7:$B$27,nASIG)&gt;0)*1),"")))</f>
        <v/>
      </c>
      <c r="H173" t="str">
        <f>IF(G173="","",IF(G173="[FÓRMULA MANUAL]","",IFERROR(AVERAGEIFS(nNOTA,nNIA,G173,nCUENTA,1,nASIG,"Lenguaje Musical"),"")))</f>
        <v/>
      </c>
      <c r="I173" t="str">
        <f>IF(G173="","",IF(G173="[FÓRMULA MANUAL]","",IFERROR(AVERAGEIFS(nNOTA,nNIA,G173,nCUENTA,1,nASIG,"Orquesta/Banda/Conjunto"),"")))</f>
        <v/>
      </c>
      <c r="J173" t="str">
        <f>IF(G173="","",IF(G173="[FÓRMULA MANUAL]","",IFERROR(AVERAGEIFS(nNOTA,nNIA,G173,nCUENTA,1,nASIG,"Conjunto"),"")))</f>
        <v/>
      </c>
      <c r="K173" t="str">
        <f>IF(G173="","",IF(G173="[FÓRMULA MANUAL]","",IFERROR(SUMPRODUCT((nNIA=G173)*(nCUENTA=1)*(COUNTIF(CONFIG_ASIGNATURAS!$B$7:$B$27,nASIG)&gt;0)*(nNOTA))/SUMPRODUCT((nNIA=G173)*(nCUENTA=1)*(COUNTIF(CONFIG_ASIGNATURAS!$B$7:$B$27,nASIG)&gt;0)*1),"")))</f>
        <v/>
      </c>
      <c r="N173" t="str">
        <f>IF(M173="","",IF(M173="[FÓRMULA MANUAL]","",IFERROR(AVERAGEIFS(nNOTA,nNIA,M173,nCUENTA,1,nASIG,"Armonía"),"")))</f>
        <v/>
      </c>
      <c r="O173" t="str">
        <f>IF(M173="","",IF(M173="[FÓRMULA MANUAL]","",IFERROR(AVERAGEIFS(nNOTA,nNIA,M173,nCUENTA,1,nASIG,"Orquesta/Banda/Conjunto"),"")))</f>
        <v/>
      </c>
      <c r="P173" t="str">
        <f>IF(M173="","",IF(M173="[FÓRMULA MANUAL]","",IFERROR(AVERAGEIFS(nNOTA,nNIA,M173,nCUENTA,1,nASIG,"Música de Cámara"),"")))</f>
        <v/>
      </c>
      <c r="Q173" t="str">
        <f>IF(M173="","",IF(M173="[FÓRMULA MANUAL]","",IFERROR(SUMPRODUCT((nNIA=M173)*(nCUENTA=1)*(COUNTIF(CONFIG_ASIGNATURAS!$B$7:$B$27,nASIG)&gt;0)*(nNOTA))/SUMPRODUCT((nNIA=M173)*(nCUENTA=1)*(COUNTIF(CONFIG_ASIGNATURAS!$B$7:$B$27,nASIG)&gt;0)*1),"")))</f>
        <v/>
      </c>
      <c r="T173" t="str">
        <f>IF(S173="","",IF(S173="[FÓRMULA MANUAL]","",IFERROR(AVERAGEIFS(nNOTA,nNIA,S173,nCUENTA,1,nASIG,"Armonía"),"")))</f>
        <v/>
      </c>
      <c r="U173" t="str">
        <f>IF(S173="","",IF(S173="[FÓRMULA MANUAL]","",IFERROR(AVERAGEIFS(nNOTA,nNIA,S173,nCUENTA,1,nASIG,"Orquesta/Banda/Conjunto"),"")))</f>
        <v/>
      </c>
      <c r="V173" t="str">
        <f>IF(S173="","",IF(S173="[FÓRMULA MANUAL]","",IFERROR(AVERAGEIFS(nNOTA,nNIA,S173,nCUENTA,1,nASIG,"Música de Cámara"),"")))</f>
        <v/>
      </c>
      <c r="W173" t="str">
        <f>IF(S173="","",IF(S173="[FÓRMULA MANUAL]","",IFERROR(SUMPRODUCT((nNIA=S173)*(nCUENTA=1)*(COUNTIF(CONFIG_ASIGNATURAS!$B$7:$B$27,nASIG)&gt;0)*(nNOTA))/SUMPRODUCT((nNIA=S173)*(nCUENTA=1)*(COUNTIF(CONFIG_ASIGNATURAS!$B$7:$B$27,nASIG)&gt;0)*1),"")))</f>
        <v/>
      </c>
      <c r="Z173" t="str">
        <f>IF(Y173="","",IF(Y173="[FÓRMULA MANUAL]","",IFERROR(AVERAGEIFS(nNOTA,nNIA,Y173,nCUENTA,1,nASIG,"Análisis"),"")))</f>
        <v/>
      </c>
      <c r="AA173" t="str">
        <f>IF(Y173="","",IF(Y173="[FÓRMULA MANUAL]","",IFERROR(AVERAGEIFS(nNOTA,nNIA,Y173,nCUENTA,1,nASIG,"Orquesta/Banda/Conjunto"),"")))</f>
        <v/>
      </c>
      <c r="AB173" t="str">
        <f>IF(Y173="","",IF(Y173="[FÓRMULA MANUAL]","",IFERROR(AVERAGEIFS(nNOTA,nNIA,Y173,nCUENTA,1,nASIG,"Música de Cámara"),"")))</f>
        <v/>
      </c>
      <c r="AC173" t="str">
        <f>IF(Y173="","",IF(Y173="[FÓRMULA MANUAL]","",IFERROR(SUMPRODUCT((nNIA=Y173)*(nCUENTA=1)*(COUNTIF(CONFIG_ASIGNATURAS!$B$7:$B$27,nASIG)&gt;0)*(nNOTA))/SUMPRODUCT((nNIA=Y173)*(nCUENTA=1)*(COUNTIF(CONFIG_ASIGNATURAS!$B$7:$B$27,nASIG)&gt;0)*1),"")))</f>
        <v/>
      </c>
      <c r="AF173" t="str">
        <f>IF(AE173="","",IF(AE173="[FÓRMULA MANUAL]","",IFERROR(AVERAGEIFS(nNOTA,nNIA,AE173,nCUENTA,1,nASIG,"Análisis"),"")))</f>
        <v/>
      </c>
      <c r="AG173" t="str">
        <f>IF(AE173="","",IF(AE173="[FÓRMULA MANUAL]","",IFERROR(AVERAGEIFS(nNOTA,nNIA,AE173,nCUENTA,1,nASIG,"Orquesta/Banda/Conjunto"),"")))</f>
        <v/>
      </c>
      <c r="AH173" t="str">
        <f>IF(AE173="","",IF(AE173="[FÓRMULA MANUAL]","",IFERROR(AVERAGEIFS(nNOTA,nNIA,AE173,nCUENTA,1,nASIG,"Música de Cámara"),"")))</f>
        <v/>
      </c>
      <c r="AI173" t="str">
        <f>IF(AE173="","",IF(AE173="[FÓRMULA MANUAL]","",IFERROR(SUMPRODUCT((nNIA=AE173)*(nCUENTA=1)*(COUNTIF(CONFIG_ASIGNATURAS!$B$7:$B$27,nASIG)&gt;0)*(nNOTA))/SUMPRODUCT((nNIA=AE173)*(nCUENTA=1)*(COUNTIF(CONFIG_ASIGNATURAS!$B$7:$B$27,nASIG)&gt;0)*1),"")))</f>
        <v/>
      </c>
    </row>
    <row r="174" spans="2:35" x14ac:dyDescent="0.2">
      <c r="B174" t="str">
        <f>IF(A174="","",IF(A174="[FÓRMULA MANUAL]","",IFERROR(AVERAGEIFS(nNOTA,nNIA,A174,nCUENTA,1,nASIG,"Lenguaje Musical"),"")))</f>
        <v/>
      </c>
      <c r="C174" t="str">
        <f>IF(A174="","",IF(A174="[FÓRMULA MANUAL]","",IFERROR(AVERAGEIFS(nNOTA,nNIA,A174,nCUENTA,1,nASIG,"Orquesta/Banda/Conjunto"),"")))</f>
        <v/>
      </c>
      <c r="D174" t="str">
        <f>IF(A174="","",IF(A174="[FÓRMULA MANUAL]","",IFERROR(AVERAGEIFS(nNOTA,nNIA,A174,nCUENTA,1,nASIG,"Conjunto"),"")))</f>
        <v/>
      </c>
      <c r="E174" t="str">
        <f>IF(A174="","",IF(A174="[FÓRMULA MANUAL]","",IFERROR(SUMPRODUCT((nNIA=A174)*(nCUENTA=1)*(COUNTIF(CONFIG_ASIGNATURAS!$B$7:$B$27,nASIG)&gt;0)*(nNOTA))/SUMPRODUCT((nNIA=A174)*(nCUENTA=1)*(COUNTIF(CONFIG_ASIGNATURAS!$B$7:$B$27,nASIG)&gt;0)*1),"")))</f>
        <v/>
      </c>
      <c r="H174" t="str">
        <f>IF(G174="","",IF(G174="[FÓRMULA MANUAL]","",IFERROR(AVERAGEIFS(nNOTA,nNIA,G174,nCUENTA,1,nASIG,"Lenguaje Musical"),"")))</f>
        <v/>
      </c>
      <c r="I174" t="str">
        <f>IF(G174="","",IF(G174="[FÓRMULA MANUAL]","",IFERROR(AVERAGEIFS(nNOTA,nNIA,G174,nCUENTA,1,nASIG,"Orquesta/Banda/Conjunto"),"")))</f>
        <v/>
      </c>
      <c r="J174" t="str">
        <f>IF(G174="","",IF(G174="[FÓRMULA MANUAL]","",IFERROR(AVERAGEIFS(nNOTA,nNIA,G174,nCUENTA,1,nASIG,"Conjunto"),"")))</f>
        <v/>
      </c>
      <c r="K174" t="str">
        <f>IF(G174="","",IF(G174="[FÓRMULA MANUAL]","",IFERROR(SUMPRODUCT((nNIA=G174)*(nCUENTA=1)*(COUNTIF(CONFIG_ASIGNATURAS!$B$7:$B$27,nASIG)&gt;0)*(nNOTA))/SUMPRODUCT((nNIA=G174)*(nCUENTA=1)*(COUNTIF(CONFIG_ASIGNATURAS!$B$7:$B$27,nASIG)&gt;0)*1),"")))</f>
        <v/>
      </c>
      <c r="N174" t="str">
        <f>IF(M174="","",IF(M174="[FÓRMULA MANUAL]","",IFERROR(AVERAGEIFS(nNOTA,nNIA,M174,nCUENTA,1,nASIG,"Armonía"),"")))</f>
        <v/>
      </c>
      <c r="O174" t="str">
        <f>IF(M174="","",IF(M174="[FÓRMULA MANUAL]","",IFERROR(AVERAGEIFS(nNOTA,nNIA,M174,nCUENTA,1,nASIG,"Orquesta/Banda/Conjunto"),"")))</f>
        <v/>
      </c>
      <c r="P174" t="str">
        <f>IF(M174="","",IF(M174="[FÓRMULA MANUAL]","",IFERROR(AVERAGEIFS(nNOTA,nNIA,M174,nCUENTA,1,nASIG,"Música de Cámara"),"")))</f>
        <v/>
      </c>
      <c r="Q174" t="str">
        <f>IF(M174="","",IF(M174="[FÓRMULA MANUAL]","",IFERROR(SUMPRODUCT((nNIA=M174)*(nCUENTA=1)*(COUNTIF(CONFIG_ASIGNATURAS!$B$7:$B$27,nASIG)&gt;0)*(nNOTA))/SUMPRODUCT((nNIA=M174)*(nCUENTA=1)*(COUNTIF(CONFIG_ASIGNATURAS!$B$7:$B$27,nASIG)&gt;0)*1),"")))</f>
        <v/>
      </c>
      <c r="T174" t="str">
        <f>IF(S174="","",IF(S174="[FÓRMULA MANUAL]","",IFERROR(AVERAGEIFS(nNOTA,nNIA,S174,nCUENTA,1,nASIG,"Armonía"),"")))</f>
        <v/>
      </c>
      <c r="U174" t="str">
        <f>IF(S174="","",IF(S174="[FÓRMULA MANUAL]","",IFERROR(AVERAGEIFS(nNOTA,nNIA,S174,nCUENTA,1,nASIG,"Orquesta/Banda/Conjunto"),"")))</f>
        <v/>
      </c>
      <c r="V174" t="str">
        <f>IF(S174="","",IF(S174="[FÓRMULA MANUAL]","",IFERROR(AVERAGEIFS(nNOTA,nNIA,S174,nCUENTA,1,nASIG,"Música de Cámara"),"")))</f>
        <v/>
      </c>
      <c r="W174" t="str">
        <f>IF(S174="","",IF(S174="[FÓRMULA MANUAL]","",IFERROR(SUMPRODUCT((nNIA=S174)*(nCUENTA=1)*(COUNTIF(CONFIG_ASIGNATURAS!$B$7:$B$27,nASIG)&gt;0)*(nNOTA))/SUMPRODUCT((nNIA=S174)*(nCUENTA=1)*(COUNTIF(CONFIG_ASIGNATURAS!$B$7:$B$27,nASIG)&gt;0)*1),"")))</f>
        <v/>
      </c>
      <c r="Z174" t="str">
        <f>IF(Y174="","",IF(Y174="[FÓRMULA MANUAL]","",IFERROR(AVERAGEIFS(nNOTA,nNIA,Y174,nCUENTA,1,nASIG,"Análisis"),"")))</f>
        <v/>
      </c>
      <c r="AA174" t="str">
        <f>IF(Y174="","",IF(Y174="[FÓRMULA MANUAL]","",IFERROR(AVERAGEIFS(nNOTA,nNIA,Y174,nCUENTA,1,nASIG,"Orquesta/Banda/Conjunto"),"")))</f>
        <v/>
      </c>
      <c r="AB174" t="str">
        <f>IF(Y174="","",IF(Y174="[FÓRMULA MANUAL]","",IFERROR(AVERAGEIFS(nNOTA,nNIA,Y174,nCUENTA,1,nASIG,"Música de Cámara"),"")))</f>
        <v/>
      </c>
      <c r="AC174" t="str">
        <f>IF(Y174="","",IF(Y174="[FÓRMULA MANUAL]","",IFERROR(SUMPRODUCT((nNIA=Y174)*(nCUENTA=1)*(COUNTIF(CONFIG_ASIGNATURAS!$B$7:$B$27,nASIG)&gt;0)*(nNOTA))/SUMPRODUCT((nNIA=Y174)*(nCUENTA=1)*(COUNTIF(CONFIG_ASIGNATURAS!$B$7:$B$27,nASIG)&gt;0)*1),"")))</f>
        <v/>
      </c>
      <c r="AF174" t="str">
        <f>IF(AE174="","",IF(AE174="[FÓRMULA MANUAL]","",IFERROR(AVERAGEIFS(nNOTA,nNIA,AE174,nCUENTA,1,nASIG,"Análisis"),"")))</f>
        <v/>
      </c>
      <c r="AG174" t="str">
        <f>IF(AE174="","",IF(AE174="[FÓRMULA MANUAL]","",IFERROR(AVERAGEIFS(nNOTA,nNIA,AE174,nCUENTA,1,nASIG,"Orquesta/Banda/Conjunto"),"")))</f>
        <v/>
      </c>
      <c r="AH174" t="str">
        <f>IF(AE174="","",IF(AE174="[FÓRMULA MANUAL]","",IFERROR(AVERAGEIFS(nNOTA,nNIA,AE174,nCUENTA,1,nASIG,"Música de Cámara"),"")))</f>
        <v/>
      </c>
      <c r="AI174" t="str">
        <f>IF(AE174="","",IF(AE174="[FÓRMULA MANUAL]","",IFERROR(SUMPRODUCT((nNIA=AE174)*(nCUENTA=1)*(COUNTIF(CONFIG_ASIGNATURAS!$B$7:$B$27,nASIG)&gt;0)*(nNOTA))/SUMPRODUCT((nNIA=AE174)*(nCUENTA=1)*(COUNTIF(CONFIG_ASIGNATURAS!$B$7:$B$27,nASIG)&gt;0)*1),"")))</f>
        <v/>
      </c>
    </row>
    <row r="175" spans="2:35" x14ac:dyDescent="0.2">
      <c r="B175" t="str">
        <f>IF(A175="","",IF(A175="[FÓRMULA MANUAL]","",IFERROR(AVERAGEIFS(nNOTA,nNIA,A175,nCUENTA,1,nASIG,"Lenguaje Musical"),"")))</f>
        <v/>
      </c>
      <c r="C175" t="str">
        <f>IF(A175="","",IF(A175="[FÓRMULA MANUAL]","",IFERROR(AVERAGEIFS(nNOTA,nNIA,A175,nCUENTA,1,nASIG,"Orquesta/Banda/Conjunto"),"")))</f>
        <v/>
      </c>
      <c r="D175" t="str">
        <f>IF(A175="","",IF(A175="[FÓRMULA MANUAL]","",IFERROR(AVERAGEIFS(nNOTA,nNIA,A175,nCUENTA,1,nASIG,"Conjunto"),"")))</f>
        <v/>
      </c>
      <c r="E175" t="str">
        <f>IF(A175="","",IF(A175="[FÓRMULA MANUAL]","",IFERROR(SUMPRODUCT((nNIA=A175)*(nCUENTA=1)*(COUNTIF(CONFIG_ASIGNATURAS!$B$7:$B$27,nASIG)&gt;0)*(nNOTA))/SUMPRODUCT((nNIA=A175)*(nCUENTA=1)*(COUNTIF(CONFIG_ASIGNATURAS!$B$7:$B$27,nASIG)&gt;0)*1),"")))</f>
        <v/>
      </c>
      <c r="H175" t="str">
        <f>IF(G175="","",IF(G175="[FÓRMULA MANUAL]","",IFERROR(AVERAGEIFS(nNOTA,nNIA,G175,nCUENTA,1,nASIG,"Lenguaje Musical"),"")))</f>
        <v/>
      </c>
      <c r="I175" t="str">
        <f>IF(G175="","",IF(G175="[FÓRMULA MANUAL]","",IFERROR(AVERAGEIFS(nNOTA,nNIA,G175,nCUENTA,1,nASIG,"Orquesta/Banda/Conjunto"),"")))</f>
        <v/>
      </c>
      <c r="J175" t="str">
        <f>IF(G175="","",IF(G175="[FÓRMULA MANUAL]","",IFERROR(AVERAGEIFS(nNOTA,nNIA,G175,nCUENTA,1,nASIG,"Conjunto"),"")))</f>
        <v/>
      </c>
      <c r="K175" t="str">
        <f>IF(G175="","",IF(G175="[FÓRMULA MANUAL]","",IFERROR(SUMPRODUCT((nNIA=G175)*(nCUENTA=1)*(COUNTIF(CONFIG_ASIGNATURAS!$B$7:$B$27,nASIG)&gt;0)*(nNOTA))/SUMPRODUCT((nNIA=G175)*(nCUENTA=1)*(COUNTIF(CONFIG_ASIGNATURAS!$B$7:$B$27,nASIG)&gt;0)*1),"")))</f>
        <v/>
      </c>
      <c r="N175" t="str">
        <f>IF(M175="","",IF(M175="[FÓRMULA MANUAL]","",IFERROR(AVERAGEIFS(nNOTA,nNIA,M175,nCUENTA,1,nASIG,"Armonía"),"")))</f>
        <v/>
      </c>
      <c r="O175" t="str">
        <f>IF(M175="","",IF(M175="[FÓRMULA MANUAL]","",IFERROR(AVERAGEIFS(nNOTA,nNIA,M175,nCUENTA,1,nASIG,"Orquesta/Banda/Conjunto"),"")))</f>
        <v/>
      </c>
      <c r="P175" t="str">
        <f>IF(M175="","",IF(M175="[FÓRMULA MANUAL]","",IFERROR(AVERAGEIFS(nNOTA,nNIA,M175,nCUENTA,1,nASIG,"Música de Cámara"),"")))</f>
        <v/>
      </c>
      <c r="Q175" t="str">
        <f>IF(M175="","",IF(M175="[FÓRMULA MANUAL]","",IFERROR(SUMPRODUCT((nNIA=M175)*(nCUENTA=1)*(COUNTIF(CONFIG_ASIGNATURAS!$B$7:$B$27,nASIG)&gt;0)*(nNOTA))/SUMPRODUCT((nNIA=M175)*(nCUENTA=1)*(COUNTIF(CONFIG_ASIGNATURAS!$B$7:$B$27,nASIG)&gt;0)*1),"")))</f>
        <v/>
      </c>
      <c r="T175" t="str">
        <f>IF(S175="","",IF(S175="[FÓRMULA MANUAL]","",IFERROR(AVERAGEIFS(nNOTA,nNIA,S175,nCUENTA,1,nASIG,"Armonía"),"")))</f>
        <v/>
      </c>
      <c r="U175" t="str">
        <f>IF(S175="","",IF(S175="[FÓRMULA MANUAL]","",IFERROR(AVERAGEIFS(nNOTA,nNIA,S175,nCUENTA,1,nASIG,"Orquesta/Banda/Conjunto"),"")))</f>
        <v/>
      </c>
      <c r="V175" t="str">
        <f>IF(S175="","",IF(S175="[FÓRMULA MANUAL]","",IFERROR(AVERAGEIFS(nNOTA,nNIA,S175,nCUENTA,1,nASIG,"Música de Cámara"),"")))</f>
        <v/>
      </c>
      <c r="W175" t="str">
        <f>IF(S175="","",IF(S175="[FÓRMULA MANUAL]","",IFERROR(SUMPRODUCT((nNIA=S175)*(nCUENTA=1)*(COUNTIF(CONFIG_ASIGNATURAS!$B$7:$B$27,nASIG)&gt;0)*(nNOTA))/SUMPRODUCT((nNIA=S175)*(nCUENTA=1)*(COUNTIF(CONFIG_ASIGNATURAS!$B$7:$B$27,nASIG)&gt;0)*1),"")))</f>
        <v/>
      </c>
      <c r="Z175" t="str">
        <f>IF(Y175="","",IF(Y175="[FÓRMULA MANUAL]","",IFERROR(AVERAGEIFS(nNOTA,nNIA,Y175,nCUENTA,1,nASIG,"Análisis"),"")))</f>
        <v/>
      </c>
      <c r="AA175" t="str">
        <f>IF(Y175="","",IF(Y175="[FÓRMULA MANUAL]","",IFERROR(AVERAGEIFS(nNOTA,nNIA,Y175,nCUENTA,1,nASIG,"Orquesta/Banda/Conjunto"),"")))</f>
        <v/>
      </c>
      <c r="AB175" t="str">
        <f>IF(Y175="","",IF(Y175="[FÓRMULA MANUAL]","",IFERROR(AVERAGEIFS(nNOTA,nNIA,Y175,nCUENTA,1,nASIG,"Música de Cámara"),"")))</f>
        <v/>
      </c>
      <c r="AC175" t="str">
        <f>IF(Y175="","",IF(Y175="[FÓRMULA MANUAL]","",IFERROR(SUMPRODUCT((nNIA=Y175)*(nCUENTA=1)*(COUNTIF(CONFIG_ASIGNATURAS!$B$7:$B$27,nASIG)&gt;0)*(nNOTA))/SUMPRODUCT((nNIA=Y175)*(nCUENTA=1)*(COUNTIF(CONFIG_ASIGNATURAS!$B$7:$B$27,nASIG)&gt;0)*1),"")))</f>
        <v/>
      </c>
      <c r="AF175" t="str">
        <f>IF(AE175="","",IF(AE175="[FÓRMULA MANUAL]","",IFERROR(AVERAGEIFS(nNOTA,nNIA,AE175,nCUENTA,1,nASIG,"Análisis"),"")))</f>
        <v/>
      </c>
      <c r="AG175" t="str">
        <f>IF(AE175="","",IF(AE175="[FÓRMULA MANUAL]","",IFERROR(AVERAGEIFS(nNOTA,nNIA,AE175,nCUENTA,1,nASIG,"Orquesta/Banda/Conjunto"),"")))</f>
        <v/>
      </c>
      <c r="AH175" t="str">
        <f>IF(AE175="","",IF(AE175="[FÓRMULA MANUAL]","",IFERROR(AVERAGEIFS(nNOTA,nNIA,AE175,nCUENTA,1,nASIG,"Música de Cámara"),"")))</f>
        <v/>
      </c>
      <c r="AI175" t="str">
        <f>IF(AE175="","",IF(AE175="[FÓRMULA MANUAL]","",IFERROR(SUMPRODUCT((nNIA=AE175)*(nCUENTA=1)*(COUNTIF(CONFIG_ASIGNATURAS!$B$7:$B$27,nASIG)&gt;0)*(nNOTA))/SUMPRODUCT((nNIA=AE175)*(nCUENTA=1)*(COUNTIF(CONFIG_ASIGNATURAS!$B$7:$B$27,nASIG)&gt;0)*1),"")))</f>
        <v/>
      </c>
    </row>
    <row r="176" spans="2:35" x14ac:dyDescent="0.2">
      <c r="B176" t="str">
        <f>IF(A176="","",IF(A176="[FÓRMULA MANUAL]","",IFERROR(AVERAGEIFS(nNOTA,nNIA,A176,nCUENTA,1,nASIG,"Lenguaje Musical"),"")))</f>
        <v/>
      </c>
      <c r="C176" t="str">
        <f>IF(A176="","",IF(A176="[FÓRMULA MANUAL]","",IFERROR(AVERAGEIFS(nNOTA,nNIA,A176,nCUENTA,1,nASIG,"Orquesta/Banda/Conjunto"),"")))</f>
        <v/>
      </c>
      <c r="D176" t="str">
        <f>IF(A176="","",IF(A176="[FÓRMULA MANUAL]","",IFERROR(AVERAGEIFS(nNOTA,nNIA,A176,nCUENTA,1,nASIG,"Conjunto"),"")))</f>
        <v/>
      </c>
      <c r="E176" t="str">
        <f>IF(A176="","",IF(A176="[FÓRMULA MANUAL]","",IFERROR(SUMPRODUCT((nNIA=A176)*(nCUENTA=1)*(COUNTIF(CONFIG_ASIGNATURAS!$B$7:$B$27,nASIG)&gt;0)*(nNOTA))/SUMPRODUCT((nNIA=A176)*(nCUENTA=1)*(COUNTIF(CONFIG_ASIGNATURAS!$B$7:$B$27,nASIG)&gt;0)*1),"")))</f>
        <v/>
      </c>
      <c r="H176" t="str">
        <f>IF(G176="","",IF(G176="[FÓRMULA MANUAL]","",IFERROR(AVERAGEIFS(nNOTA,nNIA,G176,nCUENTA,1,nASIG,"Lenguaje Musical"),"")))</f>
        <v/>
      </c>
      <c r="I176" t="str">
        <f>IF(G176="","",IF(G176="[FÓRMULA MANUAL]","",IFERROR(AVERAGEIFS(nNOTA,nNIA,G176,nCUENTA,1,nASIG,"Orquesta/Banda/Conjunto"),"")))</f>
        <v/>
      </c>
      <c r="J176" t="str">
        <f>IF(G176="","",IF(G176="[FÓRMULA MANUAL]","",IFERROR(AVERAGEIFS(nNOTA,nNIA,G176,nCUENTA,1,nASIG,"Conjunto"),"")))</f>
        <v/>
      </c>
      <c r="K176" t="str">
        <f>IF(G176="","",IF(G176="[FÓRMULA MANUAL]","",IFERROR(SUMPRODUCT((nNIA=G176)*(nCUENTA=1)*(COUNTIF(CONFIG_ASIGNATURAS!$B$7:$B$27,nASIG)&gt;0)*(nNOTA))/SUMPRODUCT((nNIA=G176)*(nCUENTA=1)*(COUNTIF(CONFIG_ASIGNATURAS!$B$7:$B$27,nASIG)&gt;0)*1),"")))</f>
        <v/>
      </c>
      <c r="N176" t="str">
        <f>IF(M176="","",IF(M176="[FÓRMULA MANUAL]","",IFERROR(AVERAGEIFS(nNOTA,nNIA,M176,nCUENTA,1,nASIG,"Armonía"),"")))</f>
        <v/>
      </c>
      <c r="O176" t="str">
        <f>IF(M176="","",IF(M176="[FÓRMULA MANUAL]","",IFERROR(AVERAGEIFS(nNOTA,nNIA,M176,nCUENTA,1,nASIG,"Orquesta/Banda/Conjunto"),"")))</f>
        <v/>
      </c>
      <c r="P176" t="str">
        <f>IF(M176="","",IF(M176="[FÓRMULA MANUAL]","",IFERROR(AVERAGEIFS(nNOTA,nNIA,M176,nCUENTA,1,nASIG,"Música de Cámara"),"")))</f>
        <v/>
      </c>
      <c r="Q176" t="str">
        <f>IF(M176="","",IF(M176="[FÓRMULA MANUAL]","",IFERROR(SUMPRODUCT((nNIA=M176)*(nCUENTA=1)*(COUNTIF(CONFIG_ASIGNATURAS!$B$7:$B$27,nASIG)&gt;0)*(nNOTA))/SUMPRODUCT((nNIA=M176)*(nCUENTA=1)*(COUNTIF(CONFIG_ASIGNATURAS!$B$7:$B$27,nASIG)&gt;0)*1),"")))</f>
        <v/>
      </c>
      <c r="T176" t="str">
        <f>IF(S176="","",IF(S176="[FÓRMULA MANUAL]","",IFERROR(AVERAGEIFS(nNOTA,nNIA,S176,nCUENTA,1,nASIG,"Armonía"),"")))</f>
        <v/>
      </c>
      <c r="U176" t="str">
        <f>IF(S176="","",IF(S176="[FÓRMULA MANUAL]","",IFERROR(AVERAGEIFS(nNOTA,nNIA,S176,nCUENTA,1,nASIG,"Orquesta/Banda/Conjunto"),"")))</f>
        <v/>
      </c>
      <c r="V176" t="str">
        <f>IF(S176="","",IF(S176="[FÓRMULA MANUAL]","",IFERROR(AVERAGEIFS(nNOTA,nNIA,S176,nCUENTA,1,nASIG,"Música de Cámara"),"")))</f>
        <v/>
      </c>
      <c r="W176" t="str">
        <f>IF(S176="","",IF(S176="[FÓRMULA MANUAL]","",IFERROR(SUMPRODUCT((nNIA=S176)*(nCUENTA=1)*(COUNTIF(CONFIG_ASIGNATURAS!$B$7:$B$27,nASIG)&gt;0)*(nNOTA))/SUMPRODUCT((nNIA=S176)*(nCUENTA=1)*(COUNTIF(CONFIG_ASIGNATURAS!$B$7:$B$27,nASIG)&gt;0)*1),"")))</f>
        <v/>
      </c>
      <c r="Z176" t="str">
        <f>IF(Y176="","",IF(Y176="[FÓRMULA MANUAL]","",IFERROR(AVERAGEIFS(nNOTA,nNIA,Y176,nCUENTA,1,nASIG,"Análisis"),"")))</f>
        <v/>
      </c>
      <c r="AA176" t="str">
        <f>IF(Y176="","",IF(Y176="[FÓRMULA MANUAL]","",IFERROR(AVERAGEIFS(nNOTA,nNIA,Y176,nCUENTA,1,nASIG,"Orquesta/Banda/Conjunto"),"")))</f>
        <v/>
      </c>
      <c r="AB176" t="str">
        <f>IF(Y176="","",IF(Y176="[FÓRMULA MANUAL]","",IFERROR(AVERAGEIFS(nNOTA,nNIA,Y176,nCUENTA,1,nASIG,"Música de Cámara"),"")))</f>
        <v/>
      </c>
      <c r="AC176" t="str">
        <f>IF(Y176="","",IF(Y176="[FÓRMULA MANUAL]","",IFERROR(SUMPRODUCT((nNIA=Y176)*(nCUENTA=1)*(COUNTIF(CONFIG_ASIGNATURAS!$B$7:$B$27,nASIG)&gt;0)*(nNOTA))/SUMPRODUCT((nNIA=Y176)*(nCUENTA=1)*(COUNTIF(CONFIG_ASIGNATURAS!$B$7:$B$27,nASIG)&gt;0)*1),"")))</f>
        <v/>
      </c>
      <c r="AF176" t="str">
        <f>IF(AE176="","",IF(AE176="[FÓRMULA MANUAL]","",IFERROR(AVERAGEIFS(nNOTA,nNIA,AE176,nCUENTA,1,nASIG,"Análisis"),"")))</f>
        <v/>
      </c>
      <c r="AG176" t="str">
        <f>IF(AE176="","",IF(AE176="[FÓRMULA MANUAL]","",IFERROR(AVERAGEIFS(nNOTA,nNIA,AE176,nCUENTA,1,nASIG,"Orquesta/Banda/Conjunto"),"")))</f>
        <v/>
      </c>
      <c r="AH176" t="str">
        <f>IF(AE176="","",IF(AE176="[FÓRMULA MANUAL]","",IFERROR(AVERAGEIFS(nNOTA,nNIA,AE176,nCUENTA,1,nASIG,"Música de Cámara"),"")))</f>
        <v/>
      </c>
      <c r="AI176" t="str">
        <f>IF(AE176="","",IF(AE176="[FÓRMULA MANUAL]","",IFERROR(SUMPRODUCT((nNIA=AE176)*(nCUENTA=1)*(COUNTIF(CONFIG_ASIGNATURAS!$B$7:$B$27,nASIG)&gt;0)*(nNOTA))/SUMPRODUCT((nNIA=AE176)*(nCUENTA=1)*(COUNTIF(CONFIG_ASIGNATURAS!$B$7:$B$27,nASIG)&gt;0)*1),"")))</f>
        <v/>
      </c>
    </row>
    <row r="177" spans="2:35" x14ac:dyDescent="0.2">
      <c r="B177" t="str">
        <f>IF(A177="","",IF(A177="[FÓRMULA MANUAL]","",IFERROR(AVERAGEIFS(nNOTA,nNIA,A177,nCUENTA,1,nASIG,"Lenguaje Musical"),"")))</f>
        <v/>
      </c>
      <c r="C177" t="str">
        <f>IF(A177="","",IF(A177="[FÓRMULA MANUAL]","",IFERROR(AVERAGEIFS(nNOTA,nNIA,A177,nCUENTA,1,nASIG,"Orquesta/Banda/Conjunto"),"")))</f>
        <v/>
      </c>
      <c r="D177" t="str">
        <f>IF(A177="","",IF(A177="[FÓRMULA MANUAL]","",IFERROR(AVERAGEIFS(nNOTA,nNIA,A177,nCUENTA,1,nASIG,"Conjunto"),"")))</f>
        <v/>
      </c>
      <c r="E177" t="str">
        <f>IF(A177="","",IF(A177="[FÓRMULA MANUAL]","",IFERROR(SUMPRODUCT((nNIA=A177)*(nCUENTA=1)*(COUNTIF(CONFIG_ASIGNATURAS!$B$7:$B$27,nASIG)&gt;0)*(nNOTA))/SUMPRODUCT((nNIA=A177)*(nCUENTA=1)*(COUNTIF(CONFIG_ASIGNATURAS!$B$7:$B$27,nASIG)&gt;0)*1),"")))</f>
        <v/>
      </c>
      <c r="H177" t="str">
        <f>IF(G177="","",IF(G177="[FÓRMULA MANUAL]","",IFERROR(AVERAGEIFS(nNOTA,nNIA,G177,nCUENTA,1,nASIG,"Lenguaje Musical"),"")))</f>
        <v/>
      </c>
      <c r="I177" t="str">
        <f>IF(G177="","",IF(G177="[FÓRMULA MANUAL]","",IFERROR(AVERAGEIFS(nNOTA,nNIA,G177,nCUENTA,1,nASIG,"Orquesta/Banda/Conjunto"),"")))</f>
        <v/>
      </c>
      <c r="J177" t="str">
        <f>IF(G177="","",IF(G177="[FÓRMULA MANUAL]","",IFERROR(AVERAGEIFS(nNOTA,nNIA,G177,nCUENTA,1,nASIG,"Conjunto"),"")))</f>
        <v/>
      </c>
      <c r="K177" t="str">
        <f>IF(G177="","",IF(G177="[FÓRMULA MANUAL]","",IFERROR(SUMPRODUCT((nNIA=G177)*(nCUENTA=1)*(COUNTIF(CONFIG_ASIGNATURAS!$B$7:$B$27,nASIG)&gt;0)*(nNOTA))/SUMPRODUCT((nNIA=G177)*(nCUENTA=1)*(COUNTIF(CONFIG_ASIGNATURAS!$B$7:$B$27,nASIG)&gt;0)*1),"")))</f>
        <v/>
      </c>
      <c r="N177" t="str">
        <f>IF(M177="","",IF(M177="[FÓRMULA MANUAL]","",IFERROR(AVERAGEIFS(nNOTA,nNIA,M177,nCUENTA,1,nASIG,"Armonía"),"")))</f>
        <v/>
      </c>
      <c r="O177" t="str">
        <f>IF(M177="","",IF(M177="[FÓRMULA MANUAL]","",IFERROR(AVERAGEIFS(nNOTA,nNIA,M177,nCUENTA,1,nASIG,"Orquesta/Banda/Conjunto"),"")))</f>
        <v/>
      </c>
      <c r="P177" t="str">
        <f>IF(M177="","",IF(M177="[FÓRMULA MANUAL]","",IFERROR(AVERAGEIFS(nNOTA,nNIA,M177,nCUENTA,1,nASIG,"Música de Cámara"),"")))</f>
        <v/>
      </c>
      <c r="Q177" t="str">
        <f>IF(M177="","",IF(M177="[FÓRMULA MANUAL]","",IFERROR(SUMPRODUCT((nNIA=M177)*(nCUENTA=1)*(COUNTIF(CONFIG_ASIGNATURAS!$B$7:$B$27,nASIG)&gt;0)*(nNOTA))/SUMPRODUCT((nNIA=M177)*(nCUENTA=1)*(COUNTIF(CONFIG_ASIGNATURAS!$B$7:$B$27,nASIG)&gt;0)*1),"")))</f>
        <v/>
      </c>
      <c r="T177" t="str">
        <f>IF(S177="","",IF(S177="[FÓRMULA MANUAL]","",IFERROR(AVERAGEIFS(nNOTA,nNIA,S177,nCUENTA,1,nASIG,"Armonía"),"")))</f>
        <v/>
      </c>
      <c r="U177" t="str">
        <f>IF(S177="","",IF(S177="[FÓRMULA MANUAL]","",IFERROR(AVERAGEIFS(nNOTA,nNIA,S177,nCUENTA,1,nASIG,"Orquesta/Banda/Conjunto"),"")))</f>
        <v/>
      </c>
      <c r="V177" t="str">
        <f>IF(S177="","",IF(S177="[FÓRMULA MANUAL]","",IFERROR(AVERAGEIFS(nNOTA,nNIA,S177,nCUENTA,1,nASIG,"Música de Cámara"),"")))</f>
        <v/>
      </c>
      <c r="W177" t="str">
        <f>IF(S177="","",IF(S177="[FÓRMULA MANUAL]","",IFERROR(SUMPRODUCT((nNIA=S177)*(nCUENTA=1)*(COUNTIF(CONFIG_ASIGNATURAS!$B$7:$B$27,nASIG)&gt;0)*(nNOTA))/SUMPRODUCT((nNIA=S177)*(nCUENTA=1)*(COUNTIF(CONFIG_ASIGNATURAS!$B$7:$B$27,nASIG)&gt;0)*1),"")))</f>
        <v/>
      </c>
      <c r="Z177" t="str">
        <f>IF(Y177="","",IF(Y177="[FÓRMULA MANUAL]","",IFERROR(AVERAGEIFS(nNOTA,nNIA,Y177,nCUENTA,1,nASIG,"Análisis"),"")))</f>
        <v/>
      </c>
      <c r="AA177" t="str">
        <f>IF(Y177="","",IF(Y177="[FÓRMULA MANUAL]","",IFERROR(AVERAGEIFS(nNOTA,nNIA,Y177,nCUENTA,1,nASIG,"Orquesta/Banda/Conjunto"),"")))</f>
        <v/>
      </c>
      <c r="AB177" t="str">
        <f>IF(Y177="","",IF(Y177="[FÓRMULA MANUAL]","",IFERROR(AVERAGEIFS(nNOTA,nNIA,Y177,nCUENTA,1,nASIG,"Música de Cámara"),"")))</f>
        <v/>
      </c>
      <c r="AC177" t="str">
        <f>IF(Y177="","",IF(Y177="[FÓRMULA MANUAL]","",IFERROR(SUMPRODUCT((nNIA=Y177)*(nCUENTA=1)*(COUNTIF(CONFIG_ASIGNATURAS!$B$7:$B$27,nASIG)&gt;0)*(nNOTA))/SUMPRODUCT((nNIA=Y177)*(nCUENTA=1)*(COUNTIF(CONFIG_ASIGNATURAS!$B$7:$B$27,nASIG)&gt;0)*1),"")))</f>
        <v/>
      </c>
      <c r="AF177" t="str">
        <f>IF(AE177="","",IF(AE177="[FÓRMULA MANUAL]","",IFERROR(AVERAGEIFS(nNOTA,nNIA,AE177,nCUENTA,1,nASIG,"Análisis"),"")))</f>
        <v/>
      </c>
      <c r="AG177" t="str">
        <f>IF(AE177="","",IF(AE177="[FÓRMULA MANUAL]","",IFERROR(AVERAGEIFS(nNOTA,nNIA,AE177,nCUENTA,1,nASIG,"Orquesta/Banda/Conjunto"),"")))</f>
        <v/>
      </c>
      <c r="AH177" t="str">
        <f>IF(AE177="","",IF(AE177="[FÓRMULA MANUAL]","",IFERROR(AVERAGEIFS(nNOTA,nNIA,AE177,nCUENTA,1,nASIG,"Música de Cámara"),"")))</f>
        <v/>
      </c>
      <c r="AI177" t="str">
        <f>IF(AE177="","",IF(AE177="[FÓRMULA MANUAL]","",IFERROR(SUMPRODUCT((nNIA=AE177)*(nCUENTA=1)*(COUNTIF(CONFIG_ASIGNATURAS!$B$7:$B$27,nASIG)&gt;0)*(nNOTA))/SUMPRODUCT((nNIA=AE177)*(nCUENTA=1)*(COUNTIF(CONFIG_ASIGNATURAS!$B$7:$B$27,nASIG)&gt;0)*1),"")))</f>
        <v/>
      </c>
    </row>
    <row r="178" spans="2:35" x14ac:dyDescent="0.2">
      <c r="B178" t="str">
        <f>IF(A178="","",IF(A178="[FÓRMULA MANUAL]","",IFERROR(AVERAGEIFS(nNOTA,nNIA,A178,nCUENTA,1,nASIG,"Lenguaje Musical"),"")))</f>
        <v/>
      </c>
      <c r="C178" t="str">
        <f>IF(A178="","",IF(A178="[FÓRMULA MANUAL]","",IFERROR(AVERAGEIFS(nNOTA,nNIA,A178,nCUENTA,1,nASIG,"Orquesta/Banda/Conjunto"),"")))</f>
        <v/>
      </c>
      <c r="D178" t="str">
        <f>IF(A178="","",IF(A178="[FÓRMULA MANUAL]","",IFERROR(AVERAGEIFS(nNOTA,nNIA,A178,nCUENTA,1,nASIG,"Conjunto"),"")))</f>
        <v/>
      </c>
      <c r="E178" t="str">
        <f>IF(A178="","",IF(A178="[FÓRMULA MANUAL]","",IFERROR(SUMPRODUCT((nNIA=A178)*(nCUENTA=1)*(COUNTIF(CONFIG_ASIGNATURAS!$B$7:$B$27,nASIG)&gt;0)*(nNOTA))/SUMPRODUCT((nNIA=A178)*(nCUENTA=1)*(COUNTIF(CONFIG_ASIGNATURAS!$B$7:$B$27,nASIG)&gt;0)*1),"")))</f>
        <v/>
      </c>
      <c r="H178" t="str">
        <f>IF(G178="","",IF(G178="[FÓRMULA MANUAL]","",IFERROR(AVERAGEIFS(nNOTA,nNIA,G178,nCUENTA,1,nASIG,"Lenguaje Musical"),"")))</f>
        <v/>
      </c>
      <c r="I178" t="str">
        <f>IF(G178="","",IF(G178="[FÓRMULA MANUAL]","",IFERROR(AVERAGEIFS(nNOTA,nNIA,G178,nCUENTA,1,nASIG,"Orquesta/Banda/Conjunto"),"")))</f>
        <v/>
      </c>
      <c r="J178" t="str">
        <f>IF(G178="","",IF(G178="[FÓRMULA MANUAL]","",IFERROR(AVERAGEIFS(nNOTA,nNIA,G178,nCUENTA,1,nASIG,"Conjunto"),"")))</f>
        <v/>
      </c>
      <c r="K178" t="str">
        <f>IF(G178="","",IF(G178="[FÓRMULA MANUAL]","",IFERROR(SUMPRODUCT((nNIA=G178)*(nCUENTA=1)*(COUNTIF(CONFIG_ASIGNATURAS!$B$7:$B$27,nASIG)&gt;0)*(nNOTA))/SUMPRODUCT((nNIA=G178)*(nCUENTA=1)*(COUNTIF(CONFIG_ASIGNATURAS!$B$7:$B$27,nASIG)&gt;0)*1),"")))</f>
        <v/>
      </c>
      <c r="N178" t="str">
        <f>IF(M178="","",IF(M178="[FÓRMULA MANUAL]","",IFERROR(AVERAGEIFS(nNOTA,nNIA,M178,nCUENTA,1,nASIG,"Armonía"),"")))</f>
        <v/>
      </c>
      <c r="O178" t="str">
        <f>IF(M178="","",IF(M178="[FÓRMULA MANUAL]","",IFERROR(AVERAGEIFS(nNOTA,nNIA,M178,nCUENTA,1,nASIG,"Orquesta/Banda/Conjunto"),"")))</f>
        <v/>
      </c>
      <c r="P178" t="str">
        <f>IF(M178="","",IF(M178="[FÓRMULA MANUAL]","",IFERROR(AVERAGEIFS(nNOTA,nNIA,M178,nCUENTA,1,nASIG,"Música de Cámara"),"")))</f>
        <v/>
      </c>
      <c r="Q178" t="str">
        <f>IF(M178="","",IF(M178="[FÓRMULA MANUAL]","",IFERROR(SUMPRODUCT((nNIA=M178)*(nCUENTA=1)*(COUNTIF(CONFIG_ASIGNATURAS!$B$7:$B$27,nASIG)&gt;0)*(nNOTA))/SUMPRODUCT((nNIA=M178)*(nCUENTA=1)*(COUNTIF(CONFIG_ASIGNATURAS!$B$7:$B$27,nASIG)&gt;0)*1),"")))</f>
        <v/>
      </c>
      <c r="T178" t="str">
        <f>IF(S178="","",IF(S178="[FÓRMULA MANUAL]","",IFERROR(AVERAGEIFS(nNOTA,nNIA,S178,nCUENTA,1,nASIG,"Armonía"),"")))</f>
        <v/>
      </c>
      <c r="U178" t="str">
        <f>IF(S178="","",IF(S178="[FÓRMULA MANUAL]","",IFERROR(AVERAGEIFS(nNOTA,nNIA,S178,nCUENTA,1,nASIG,"Orquesta/Banda/Conjunto"),"")))</f>
        <v/>
      </c>
      <c r="V178" t="str">
        <f>IF(S178="","",IF(S178="[FÓRMULA MANUAL]","",IFERROR(AVERAGEIFS(nNOTA,nNIA,S178,nCUENTA,1,nASIG,"Música de Cámara"),"")))</f>
        <v/>
      </c>
      <c r="W178" t="str">
        <f>IF(S178="","",IF(S178="[FÓRMULA MANUAL]","",IFERROR(SUMPRODUCT((nNIA=S178)*(nCUENTA=1)*(COUNTIF(CONFIG_ASIGNATURAS!$B$7:$B$27,nASIG)&gt;0)*(nNOTA))/SUMPRODUCT((nNIA=S178)*(nCUENTA=1)*(COUNTIF(CONFIG_ASIGNATURAS!$B$7:$B$27,nASIG)&gt;0)*1),"")))</f>
        <v/>
      </c>
      <c r="Z178" t="str">
        <f>IF(Y178="","",IF(Y178="[FÓRMULA MANUAL]","",IFERROR(AVERAGEIFS(nNOTA,nNIA,Y178,nCUENTA,1,nASIG,"Análisis"),"")))</f>
        <v/>
      </c>
      <c r="AA178" t="str">
        <f>IF(Y178="","",IF(Y178="[FÓRMULA MANUAL]","",IFERROR(AVERAGEIFS(nNOTA,nNIA,Y178,nCUENTA,1,nASIG,"Orquesta/Banda/Conjunto"),"")))</f>
        <v/>
      </c>
      <c r="AB178" t="str">
        <f>IF(Y178="","",IF(Y178="[FÓRMULA MANUAL]","",IFERROR(AVERAGEIFS(nNOTA,nNIA,Y178,nCUENTA,1,nASIG,"Música de Cámara"),"")))</f>
        <v/>
      </c>
      <c r="AC178" t="str">
        <f>IF(Y178="","",IF(Y178="[FÓRMULA MANUAL]","",IFERROR(SUMPRODUCT((nNIA=Y178)*(nCUENTA=1)*(COUNTIF(CONFIG_ASIGNATURAS!$B$7:$B$27,nASIG)&gt;0)*(nNOTA))/SUMPRODUCT((nNIA=Y178)*(nCUENTA=1)*(COUNTIF(CONFIG_ASIGNATURAS!$B$7:$B$27,nASIG)&gt;0)*1),"")))</f>
        <v/>
      </c>
      <c r="AF178" t="str">
        <f>IF(AE178="","",IF(AE178="[FÓRMULA MANUAL]","",IFERROR(AVERAGEIFS(nNOTA,nNIA,AE178,nCUENTA,1,nASIG,"Análisis"),"")))</f>
        <v/>
      </c>
      <c r="AG178" t="str">
        <f>IF(AE178="","",IF(AE178="[FÓRMULA MANUAL]","",IFERROR(AVERAGEIFS(nNOTA,nNIA,AE178,nCUENTA,1,nASIG,"Orquesta/Banda/Conjunto"),"")))</f>
        <v/>
      </c>
      <c r="AH178" t="str">
        <f>IF(AE178="","",IF(AE178="[FÓRMULA MANUAL]","",IFERROR(AVERAGEIFS(nNOTA,nNIA,AE178,nCUENTA,1,nASIG,"Música de Cámara"),"")))</f>
        <v/>
      </c>
      <c r="AI178" t="str">
        <f>IF(AE178="","",IF(AE178="[FÓRMULA MANUAL]","",IFERROR(SUMPRODUCT((nNIA=AE178)*(nCUENTA=1)*(COUNTIF(CONFIG_ASIGNATURAS!$B$7:$B$27,nASIG)&gt;0)*(nNOTA))/SUMPRODUCT((nNIA=AE178)*(nCUENTA=1)*(COUNTIF(CONFIG_ASIGNATURAS!$B$7:$B$27,nASIG)&gt;0)*1),"")))</f>
        <v/>
      </c>
    </row>
    <row r="179" spans="2:35" x14ac:dyDescent="0.2">
      <c r="B179" t="str">
        <f>IF(A179="","",IF(A179="[FÓRMULA MANUAL]","",IFERROR(AVERAGEIFS(nNOTA,nNIA,A179,nCUENTA,1,nASIG,"Lenguaje Musical"),"")))</f>
        <v/>
      </c>
      <c r="C179" t="str">
        <f>IF(A179="","",IF(A179="[FÓRMULA MANUAL]","",IFERROR(AVERAGEIFS(nNOTA,nNIA,A179,nCUENTA,1,nASIG,"Orquesta/Banda/Conjunto"),"")))</f>
        <v/>
      </c>
      <c r="D179" t="str">
        <f>IF(A179="","",IF(A179="[FÓRMULA MANUAL]","",IFERROR(AVERAGEIFS(nNOTA,nNIA,A179,nCUENTA,1,nASIG,"Conjunto"),"")))</f>
        <v/>
      </c>
      <c r="E179" t="str">
        <f>IF(A179="","",IF(A179="[FÓRMULA MANUAL]","",IFERROR(SUMPRODUCT((nNIA=A179)*(nCUENTA=1)*(COUNTIF(CONFIG_ASIGNATURAS!$B$7:$B$27,nASIG)&gt;0)*(nNOTA))/SUMPRODUCT((nNIA=A179)*(nCUENTA=1)*(COUNTIF(CONFIG_ASIGNATURAS!$B$7:$B$27,nASIG)&gt;0)*1),"")))</f>
        <v/>
      </c>
      <c r="H179" t="str">
        <f>IF(G179="","",IF(G179="[FÓRMULA MANUAL]","",IFERROR(AVERAGEIFS(nNOTA,nNIA,G179,nCUENTA,1,nASIG,"Lenguaje Musical"),"")))</f>
        <v/>
      </c>
      <c r="I179" t="str">
        <f>IF(G179="","",IF(G179="[FÓRMULA MANUAL]","",IFERROR(AVERAGEIFS(nNOTA,nNIA,G179,nCUENTA,1,nASIG,"Orquesta/Banda/Conjunto"),"")))</f>
        <v/>
      </c>
      <c r="J179" t="str">
        <f>IF(G179="","",IF(G179="[FÓRMULA MANUAL]","",IFERROR(AVERAGEIFS(nNOTA,nNIA,G179,nCUENTA,1,nASIG,"Conjunto"),"")))</f>
        <v/>
      </c>
      <c r="K179" t="str">
        <f>IF(G179="","",IF(G179="[FÓRMULA MANUAL]","",IFERROR(SUMPRODUCT((nNIA=G179)*(nCUENTA=1)*(COUNTIF(CONFIG_ASIGNATURAS!$B$7:$B$27,nASIG)&gt;0)*(nNOTA))/SUMPRODUCT((nNIA=G179)*(nCUENTA=1)*(COUNTIF(CONFIG_ASIGNATURAS!$B$7:$B$27,nASIG)&gt;0)*1),"")))</f>
        <v/>
      </c>
      <c r="N179" t="str">
        <f>IF(M179="","",IF(M179="[FÓRMULA MANUAL]","",IFERROR(AVERAGEIFS(nNOTA,nNIA,M179,nCUENTA,1,nASIG,"Armonía"),"")))</f>
        <v/>
      </c>
      <c r="O179" t="str">
        <f>IF(M179="","",IF(M179="[FÓRMULA MANUAL]","",IFERROR(AVERAGEIFS(nNOTA,nNIA,M179,nCUENTA,1,nASIG,"Orquesta/Banda/Conjunto"),"")))</f>
        <v/>
      </c>
      <c r="P179" t="str">
        <f>IF(M179="","",IF(M179="[FÓRMULA MANUAL]","",IFERROR(AVERAGEIFS(nNOTA,nNIA,M179,nCUENTA,1,nASIG,"Música de Cámara"),"")))</f>
        <v/>
      </c>
      <c r="Q179" t="str">
        <f>IF(M179="","",IF(M179="[FÓRMULA MANUAL]","",IFERROR(SUMPRODUCT((nNIA=M179)*(nCUENTA=1)*(COUNTIF(CONFIG_ASIGNATURAS!$B$7:$B$27,nASIG)&gt;0)*(nNOTA))/SUMPRODUCT((nNIA=M179)*(nCUENTA=1)*(COUNTIF(CONFIG_ASIGNATURAS!$B$7:$B$27,nASIG)&gt;0)*1),"")))</f>
        <v/>
      </c>
      <c r="T179" t="str">
        <f>IF(S179="","",IF(S179="[FÓRMULA MANUAL]","",IFERROR(AVERAGEIFS(nNOTA,nNIA,S179,nCUENTA,1,nASIG,"Armonía"),"")))</f>
        <v/>
      </c>
      <c r="U179" t="str">
        <f>IF(S179="","",IF(S179="[FÓRMULA MANUAL]","",IFERROR(AVERAGEIFS(nNOTA,nNIA,S179,nCUENTA,1,nASIG,"Orquesta/Banda/Conjunto"),"")))</f>
        <v/>
      </c>
      <c r="V179" t="str">
        <f>IF(S179="","",IF(S179="[FÓRMULA MANUAL]","",IFERROR(AVERAGEIFS(nNOTA,nNIA,S179,nCUENTA,1,nASIG,"Música de Cámara"),"")))</f>
        <v/>
      </c>
      <c r="W179" t="str">
        <f>IF(S179="","",IF(S179="[FÓRMULA MANUAL]","",IFERROR(SUMPRODUCT((nNIA=S179)*(nCUENTA=1)*(COUNTIF(CONFIG_ASIGNATURAS!$B$7:$B$27,nASIG)&gt;0)*(nNOTA))/SUMPRODUCT((nNIA=S179)*(nCUENTA=1)*(COUNTIF(CONFIG_ASIGNATURAS!$B$7:$B$27,nASIG)&gt;0)*1),"")))</f>
        <v/>
      </c>
      <c r="Z179" t="str">
        <f>IF(Y179="","",IF(Y179="[FÓRMULA MANUAL]","",IFERROR(AVERAGEIFS(nNOTA,nNIA,Y179,nCUENTA,1,nASIG,"Análisis"),"")))</f>
        <v/>
      </c>
      <c r="AA179" t="str">
        <f>IF(Y179="","",IF(Y179="[FÓRMULA MANUAL]","",IFERROR(AVERAGEIFS(nNOTA,nNIA,Y179,nCUENTA,1,nASIG,"Orquesta/Banda/Conjunto"),"")))</f>
        <v/>
      </c>
      <c r="AB179" t="str">
        <f>IF(Y179="","",IF(Y179="[FÓRMULA MANUAL]","",IFERROR(AVERAGEIFS(nNOTA,nNIA,Y179,nCUENTA,1,nASIG,"Música de Cámara"),"")))</f>
        <v/>
      </c>
      <c r="AC179" t="str">
        <f>IF(Y179="","",IF(Y179="[FÓRMULA MANUAL]","",IFERROR(SUMPRODUCT((nNIA=Y179)*(nCUENTA=1)*(COUNTIF(CONFIG_ASIGNATURAS!$B$7:$B$27,nASIG)&gt;0)*(nNOTA))/SUMPRODUCT((nNIA=Y179)*(nCUENTA=1)*(COUNTIF(CONFIG_ASIGNATURAS!$B$7:$B$27,nASIG)&gt;0)*1),"")))</f>
        <v/>
      </c>
      <c r="AF179" t="str">
        <f>IF(AE179="","",IF(AE179="[FÓRMULA MANUAL]","",IFERROR(AVERAGEIFS(nNOTA,nNIA,AE179,nCUENTA,1,nASIG,"Análisis"),"")))</f>
        <v/>
      </c>
      <c r="AG179" t="str">
        <f>IF(AE179="","",IF(AE179="[FÓRMULA MANUAL]","",IFERROR(AVERAGEIFS(nNOTA,nNIA,AE179,nCUENTA,1,nASIG,"Orquesta/Banda/Conjunto"),"")))</f>
        <v/>
      </c>
      <c r="AH179" t="str">
        <f>IF(AE179="","",IF(AE179="[FÓRMULA MANUAL]","",IFERROR(AVERAGEIFS(nNOTA,nNIA,AE179,nCUENTA,1,nASIG,"Música de Cámara"),"")))</f>
        <v/>
      </c>
      <c r="AI179" t="str">
        <f>IF(AE179="","",IF(AE179="[FÓRMULA MANUAL]","",IFERROR(SUMPRODUCT((nNIA=AE179)*(nCUENTA=1)*(COUNTIF(CONFIG_ASIGNATURAS!$B$7:$B$27,nASIG)&gt;0)*(nNOTA))/SUMPRODUCT((nNIA=AE179)*(nCUENTA=1)*(COUNTIF(CONFIG_ASIGNATURAS!$B$7:$B$27,nASIG)&gt;0)*1),"")))</f>
        <v/>
      </c>
    </row>
    <row r="180" spans="2:35" x14ac:dyDescent="0.2">
      <c r="B180" t="str">
        <f>IF(A180="","",IF(A180="[FÓRMULA MANUAL]","",IFERROR(AVERAGEIFS(nNOTA,nNIA,A180,nCUENTA,1,nASIG,"Lenguaje Musical"),"")))</f>
        <v/>
      </c>
      <c r="C180" t="str">
        <f>IF(A180="","",IF(A180="[FÓRMULA MANUAL]","",IFERROR(AVERAGEIFS(nNOTA,nNIA,A180,nCUENTA,1,nASIG,"Orquesta/Banda/Conjunto"),"")))</f>
        <v/>
      </c>
      <c r="D180" t="str">
        <f>IF(A180="","",IF(A180="[FÓRMULA MANUAL]","",IFERROR(AVERAGEIFS(nNOTA,nNIA,A180,nCUENTA,1,nASIG,"Conjunto"),"")))</f>
        <v/>
      </c>
      <c r="E180" t="str">
        <f>IF(A180="","",IF(A180="[FÓRMULA MANUAL]","",IFERROR(SUMPRODUCT((nNIA=A180)*(nCUENTA=1)*(COUNTIF(CONFIG_ASIGNATURAS!$B$7:$B$27,nASIG)&gt;0)*(nNOTA))/SUMPRODUCT((nNIA=A180)*(nCUENTA=1)*(COUNTIF(CONFIG_ASIGNATURAS!$B$7:$B$27,nASIG)&gt;0)*1),"")))</f>
        <v/>
      </c>
      <c r="H180" t="str">
        <f>IF(G180="","",IF(G180="[FÓRMULA MANUAL]","",IFERROR(AVERAGEIFS(nNOTA,nNIA,G180,nCUENTA,1,nASIG,"Lenguaje Musical"),"")))</f>
        <v/>
      </c>
      <c r="I180" t="str">
        <f>IF(G180="","",IF(G180="[FÓRMULA MANUAL]","",IFERROR(AVERAGEIFS(nNOTA,nNIA,G180,nCUENTA,1,nASIG,"Orquesta/Banda/Conjunto"),"")))</f>
        <v/>
      </c>
      <c r="J180" t="str">
        <f>IF(G180="","",IF(G180="[FÓRMULA MANUAL]","",IFERROR(AVERAGEIFS(nNOTA,nNIA,G180,nCUENTA,1,nASIG,"Conjunto"),"")))</f>
        <v/>
      </c>
      <c r="K180" t="str">
        <f>IF(G180="","",IF(G180="[FÓRMULA MANUAL]","",IFERROR(SUMPRODUCT((nNIA=G180)*(nCUENTA=1)*(COUNTIF(CONFIG_ASIGNATURAS!$B$7:$B$27,nASIG)&gt;0)*(nNOTA))/SUMPRODUCT((nNIA=G180)*(nCUENTA=1)*(COUNTIF(CONFIG_ASIGNATURAS!$B$7:$B$27,nASIG)&gt;0)*1),"")))</f>
        <v/>
      </c>
      <c r="N180" t="str">
        <f>IF(M180="","",IF(M180="[FÓRMULA MANUAL]","",IFERROR(AVERAGEIFS(nNOTA,nNIA,M180,nCUENTA,1,nASIG,"Armonía"),"")))</f>
        <v/>
      </c>
      <c r="O180" t="str">
        <f>IF(M180="","",IF(M180="[FÓRMULA MANUAL]","",IFERROR(AVERAGEIFS(nNOTA,nNIA,M180,nCUENTA,1,nASIG,"Orquesta/Banda/Conjunto"),"")))</f>
        <v/>
      </c>
      <c r="P180" t="str">
        <f>IF(M180="","",IF(M180="[FÓRMULA MANUAL]","",IFERROR(AVERAGEIFS(nNOTA,nNIA,M180,nCUENTA,1,nASIG,"Música de Cámara"),"")))</f>
        <v/>
      </c>
      <c r="Q180" t="str">
        <f>IF(M180="","",IF(M180="[FÓRMULA MANUAL]","",IFERROR(SUMPRODUCT((nNIA=M180)*(nCUENTA=1)*(COUNTIF(CONFIG_ASIGNATURAS!$B$7:$B$27,nASIG)&gt;0)*(nNOTA))/SUMPRODUCT((nNIA=M180)*(nCUENTA=1)*(COUNTIF(CONFIG_ASIGNATURAS!$B$7:$B$27,nASIG)&gt;0)*1),"")))</f>
        <v/>
      </c>
      <c r="T180" t="str">
        <f>IF(S180="","",IF(S180="[FÓRMULA MANUAL]","",IFERROR(AVERAGEIFS(nNOTA,nNIA,S180,nCUENTA,1,nASIG,"Armonía"),"")))</f>
        <v/>
      </c>
      <c r="U180" t="str">
        <f>IF(S180="","",IF(S180="[FÓRMULA MANUAL]","",IFERROR(AVERAGEIFS(nNOTA,nNIA,S180,nCUENTA,1,nASIG,"Orquesta/Banda/Conjunto"),"")))</f>
        <v/>
      </c>
      <c r="V180" t="str">
        <f>IF(S180="","",IF(S180="[FÓRMULA MANUAL]","",IFERROR(AVERAGEIFS(nNOTA,nNIA,S180,nCUENTA,1,nASIG,"Música de Cámara"),"")))</f>
        <v/>
      </c>
      <c r="W180" t="str">
        <f>IF(S180="","",IF(S180="[FÓRMULA MANUAL]","",IFERROR(SUMPRODUCT((nNIA=S180)*(nCUENTA=1)*(COUNTIF(CONFIG_ASIGNATURAS!$B$7:$B$27,nASIG)&gt;0)*(nNOTA))/SUMPRODUCT((nNIA=S180)*(nCUENTA=1)*(COUNTIF(CONFIG_ASIGNATURAS!$B$7:$B$27,nASIG)&gt;0)*1),"")))</f>
        <v/>
      </c>
      <c r="Z180" t="str">
        <f>IF(Y180="","",IF(Y180="[FÓRMULA MANUAL]","",IFERROR(AVERAGEIFS(nNOTA,nNIA,Y180,nCUENTA,1,nASIG,"Análisis"),"")))</f>
        <v/>
      </c>
      <c r="AA180" t="str">
        <f>IF(Y180="","",IF(Y180="[FÓRMULA MANUAL]","",IFERROR(AVERAGEIFS(nNOTA,nNIA,Y180,nCUENTA,1,nASIG,"Orquesta/Banda/Conjunto"),"")))</f>
        <v/>
      </c>
      <c r="AB180" t="str">
        <f>IF(Y180="","",IF(Y180="[FÓRMULA MANUAL]","",IFERROR(AVERAGEIFS(nNOTA,nNIA,Y180,nCUENTA,1,nASIG,"Música de Cámara"),"")))</f>
        <v/>
      </c>
      <c r="AC180" t="str">
        <f>IF(Y180="","",IF(Y180="[FÓRMULA MANUAL]","",IFERROR(SUMPRODUCT((nNIA=Y180)*(nCUENTA=1)*(COUNTIF(CONFIG_ASIGNATURAS!$B$7:$B$27,nASIG)&gt;0)*(nNOTA))/SUMPRODUCT((nNIA=Y180)*(nCUENTA=1)*(COUNTIF(CONFIG_ASIGNATURAS!$B$7:$B$27,nASIG)&gt;0)*1),"")))</f>
        <v/>
      </c>
      <c r="AF180" t="str">
        <f>IF(AE180="","",IF(AE180="[FÓRMULA MANUAL]","",IFERROR(AVERAGEIFS(nNOTA,nNIA,AE180,nCUENTA,1,nASIG,"Análisis"),"")))</f>
        <v/>
      </c>
      <c r="AG180" t="str">
        <f>IF(AE180="","",IF(AE180="[FÓRMULA MANUAL]","",IFERROR(AVERAGEIFS(nNOTA,nNIA,AE180,nCUENTA,1,nASIG,"Orquesta/Banda/Conjunto"),"")))</f>
        <v/>
      </c>
      <c r="AH180" t="str">
        <f>IF(AE180="","",IF(AE180="[FÓRMULA MANUAL]","",IFERROR(AVERAGEIFS(nNOTA,nNIA,AE180,nCUENTA,1,nASIG,"Música de Cámara"),"")))</f>
        <v/>
      </c>
      <c r="AI180" t="str">
        <f>IF(AE180="","",IF(AE180="[FÓRMULA MANUAL]","",IFERROR(SUMPRODUCT((nNIA=AE180)*(nCUENTA=1)*(COUNTIF(CONFIG_ASIGNATURAS!$B$7:$B$27,nASIG)&gt;0)*(nNOTA))/SUMPRODUCT((nNIA=AE180)*(nCUENTA=1)*(COUNTIF(CONFIG_ASIGNATURAS!$B$7:$B$27,nASIG)&gt;0)*1),"")))</f>
        <v/>
      </c>
    </row>
    <row r="181" spans="2:35" x14ac:dyDescent="0.2">
      <c r="B181" t="str">
        <f>IF(A181="","",IF(A181="[FÓRMULA MANUAL]","",IFERROR(AVERAGEIFS(nNOTA,nNIA,A181,nCUENTA,1,nASIG,"Lenguaje Musical"),"")))</f>
        <v/>
      </c>
      <c r="C181" t="str">
        <f>IF(A181="","",IF(A181="[FÓRMULA MANUAL]","",IFERROR(AVERAGEIFS(nNOTA,nNIA,A181,nCUENTA,1,nASIG,"Orquesta/Banda/Conjunto"),"")))</f>
        <v/>
      </c>
      <c r="D181" t="str">
        <f>IF(A181="","",IF(A181="[FÓRMULA MANUAL]","",IFERROR(AVERAGEIFS(nNOTA,nNIA,A181,nCUENTA,1,nASIG,"Conjunto"),"")))</f>
        <v/>
      </c>
      <c r="E181" t="str">
        <f>IF(A181="","",IF(A181="[FÓRMULA MANUAL]","",IFERROR(SUMPRODUCT((nNIA=A181)*(nCUENTA=1)*(COUNTIF(CONFIG_ASIGNATURAS!$B$7:$B$27,nASIG)&gt;0)*(nNOTA))/SUMPRODUCT((nNIA=A181)*(nCUENTA=1)*(COUNTIF(CONFIG_ASIGNATURAS!$B$7:$B$27,nASIG)&gt;0)*1),"")))</f>
        <v/>
      </c>
      <c r="H181" t="str">
        <f>IF(G181="","",IF(G181="[FÓRMULA MANUAL]","",IFERROR(AVERAGEIFS(nNOTA,nNIA,G181,nCUENTA,1,nASIG,"Lenguaje Musical"),"")))</f>
        <v/>
      </c>
      <c r="I181" t="str">
        <f>IF(G181="","",IF(G181="[FÓRMULA MANUAL]","",IFERROR(AVERAGEIFS(nNOTA,nNIA,G181,nCUENTA,1,nASIG,"Orquesta/Banda/Conjunto"),"")))</f>
        <v/>
      </c>
      <c r="J181" t="str">
        <f>IF(G181="","",IF(G181="[FÓRMULA MANUAL]","",IFERROR(AVERAGEIFS(nNOTA,nNIA,G181,nCUENTA,1,nASIG,"Conjunto"),"")))</f>
        <v/>
      </c>
      <c r="K181" t="str">
        <f>IF(G181="","",IF(G181="[FÓRMULA MANUAL]","",IFERROR(SUMPRODUCT((nNIA=G181)*(nCUENTA=1)*(COUNTIF(CONFIG_ASIGNATURAS!$B$7:$B$27,nASIG)&gt;0)*(nNOTA))/SUMPRODUCT((nNIA=G181)*(nCUENTA=1)*(COUNTIF(CONFIG_ASIGNATURAS!$B$7:$B$27,nASIG)&gt;0)*1),"")))</f>
        <v/>
      </c>
      <c r="N181" t="str">
        <f>IF(M181="","",IF(M181="[FÓRMULA MANUAL]","",IFERROR(AVERAGEIFS(nNOTA,nNIA,M181,nCUENTA,1,nASIG,"Armonía"),"")))</f>
        <v/>
      </c>
      <c r="O181" t="str">
        <f>IF(M181="","",IF(M181="[FÓRMULA MANUAL]","",IFERROR(AVERAGEIFS(nNOTA,nNIA,M181,nCUENTA,1,nASIG,"Orquesta/Banda/Conjunto"),"")))</f>
        <v/>
      </c>
      <c r="P181" t="str">
        <f>IF(M181="","",IF(M181="[FÓRMULA MANUAL]","",IFERROR(AVERAGEIFS(nNOTA,nNIA,M181,nCUENTA,1,nASIG,"Música de Cámara"),"")))</f>
        <v/>
      </c>
      <c r="Q181" t="str">
        <f>IF(M181="","",IF(M181="[FÓRMULA MANUAL]","",IFERROR(SUMPRODUCT((nNIA=M181)*(nCUENTA=1)*(COUNTIF(CONFIG_ASIGNATURAS!$B$7:$B$27,nASIG)&gt;0)*(nNOTA))/SUMPRODUCT((nNIA=M181)*(nCUENTA=1)*(COUNTIF(CONFIG_ASIGNATURAS!$B$7:$B$27,nASIG)&gt;0)*1),"")))</f>
        <v/>
      </c>
      <c r="T181" t="str">
        <f>IF(S181="","",IF(S181="[FÓRMULA MANUAL]","",IFERROR(AVERAGEIFS(nNOTA,nNIA,S181,nCUENTA,1,nASIG,"Armonía"),"")))</f>
        <v/>
      </c>
      <c r="U181" t="str">
        <f>IF(S181="","",IF(S181="[FÓRMULA MANUAL]","",IFERROR(AVERAGEIFS(nNOTA,nNIA,S181,nCUENTA,1,nASIG,"Orquesta/Banda/Conjunto"),"")))</f>
        <v/>
      </c>
      <c r="V181" t="str">
        <f>IF(S181="","",IF(S181="[FÓRMULA MANUAL]","",IFERROR(AVERAGEIFS(nNOTA,nNIA,S181,nCUENTA,1,nASIG,"Música de Cámara"),"")))</f>
        <v/>
      </c>
      <c r="W181" t="str">
        <f>IF(S181="","",IF(S181="[FÓRMULA MANUAL]","",IFERROR(SUMPRODUCT((nNIA=S181)*(nCUENTA=1)*(COUNTIF(CONFIG_ASIGNATURAS!$B$7:$B$27,nASIG)&gt;0)*(nNOTA))/SUMPRODUCT((nNIA=S181)*(nCUENTA=1)*(COUNTIF(CONFIG_ASIGNATURAS!$B$7:$B$27,nASIG)&gt;0)*1),"")))</f>
        <v/>
      </c>
      <c r="Z181" t="str">
        <f>IF(Y181="","",IF(Y181="[FÓRMULA MANUAL]","",IFERROR(AVERAGEIFS(nNOTA,nNIA,Y181,nCUENTA,1,nASIG,"Análisis"),"")))</f>
        <v/>
      </c>
      <c r="AA181" t="str">
        <f>IF(Y181="","",IF(Y181="[FÓRMULA MANUAL]","",IFERROR(AVERAGEIFS(nNOTA,nNIA,Y181,nCUENTA,1,nASIG,"Orquesta/Banda/Conjunto"),"")))</f>
        <v/>
      </c>
      <c r="AB181" t="str">
        <f>IF(Y181="","",IF(Y181="[FÓRMULA MANUAL]","",IFERROR(AVERAGEIFS(nNOTA,nNIA,Y181,nCUENTA,1,nASIG,"Música de Cámara"),"")))</f>
        <v/>
      </c>
      <c r="AC181" t="str">
        <f>IF(Y181="","",IF(Y181="[FÓRMULA MANUAL]","",IFERROR(SUMPRODUCT((nNIA=Y181)*(nCUENTA=1)*(COUNTIF(CONFIG_ASIGNATURAS!$B$7:$B$27,nASIG)&gt;0)*(nNOTA))/SUMPRODUCT((nNIA=Y181)*(nCUENTA=1)*(COUNTIF(CONFIG_ASIGNATURAS!$B$7:$B$27,nASIG)&gt;0)*1),"")))</f>
        <v/>
      </c>
      <c r="AF181" t="str">
        <f>IF(AE181="","",IF(AE181="[FÓRMULA MANUAL]","",IFERROR(AVERAGEIFS(nNOTA,nNIA,AE181,nCUENTA,1,nASIG,"Análisis"),"")))</f>
        <v/>
      </c>
      <c r="AG181" t="str">
        <f>IF(AE181="","",IF(AE181="[FÓRMULA MANUAL]","",IFERROR(AVERAGEIFS(nNOTA,nNIA,AE181,nCUENTA,1,nASIG,"Orquesta/Banda/Conjunto"),"")))</f>
        <v/>
      </c>
      <c r="AH181" t="str">
        <f>IF(AE181="","",IF(AE181="[FÓRMULA MANUAL]","",IFERROR(AVERAGEIFS(nNOTA,nNIA,AE181,nCUENTA,1,nASIG,"Música de Cámara"),"")))</f>
        <v/>
      </c>
      <c r="AI181" t="str">
        <f>IF(AE181="","",IF(AE181="[FÓRMULA MANUAL]","",IFERROR(SUMPRODUCT((nNIA=AE181)*(nCUENTA=1)*(COUNTIF(CONFIG_ASIGNATURAS!$B$7:$B$27,nASIG)&gt;0)*(nNOTA))/SUMPRODUCT((nNIA=AE181)*(nCUENTA=1)*(COUNTIF(CONFIG_ASIGNATURAS!$B$7:$B$27,nASIG)&gt;0)*1),"")))</f>
        <v/>
      </c>
    </row>
    <row r="182" spans="2:35" x14ac:dyDescent="0.2">
      <c r="B182" t="str">
        <f>IF(A182="","",IF(A182="[FÓRMULA MANUAL]","",IFERROR(AVERAGEIFS(nNOTA,nNIA,A182,nCUENTA,1,nASIG,"Lenguaje Musical"),"")))</f>
        <v/>
      </c>
      <c r="C182" t="str">
        <f>IF(A182="","",IF(A182="[FÓRMULA MANUAL]","",IFERROR(AVERAGEIFS(nNOTA,nNIA,A182,nCUENTA,1,nASIG,"Orquesta/Banda/Conjunto"),"")))</f>
        <v/>
      </c>
      <c r="D182" t="str">
        <f>IF(A182="","",IF(A182="[FÓRMULA MANUAL]","",IFERROR(AVERAGEIFS(nNOTA,nNIA,A182,nCUENTA,1,nASIG,"Conjunto"),"")))</f>
        <v/>
      </c>
      <c r="E182" t="str">
        <f>IF(A182="","",IF(A182="[FÓRMULA MANUAL]","",IFERROR(SUMPRODUCT((nNIA=A182)*(nCUENTA=1)*(COUNTIF(CONFIG_ASIGNATURAS!$B$7:$B$27,nASIG)&gt;0)*(nNOTA))/SUMPRODUCT((nNIA=A182)*(nCUENTA=1)*(COUNTIF(CONFIG_ASIGNATURAS!$B$7:$B$27,nASIG)&gt;0)*1),"")))</f>
        <v/>
      </c>
      <c r="H182" t="str">
        <f>IF(G182="","",IF(G182="[FÓRMULA MANUAL]","",IFERROR(AVERAGEIFS(nNOTA,nNIA,G182,nCUENTA,1,nASIG,"Lenguaje Musical"),"")))</f>
        <v/>
      </c>
      <c r="I182" t="str">
        <f>IF(G182="","",IF(G182="[FÓRMULA MANUAL]","",IFERROR(AVERAGEIFS(nNOTA,nNIA,G182,nCUENTA,1,nASIG,"Orquesta/Banda/Conjunto"),"")))</f>
        <v/>
      </c>
      <c r="J182" t="str">
        <f>IF(G182="","",IF(G182="[FÓRMULA MANUAL]","",IFERROR(AVERAGEIFS(nNOTA,nNIA,G182,nCUENTA,1,nASIG,"Conjunto"),"")))</f>
        <v/>
      </c>
      <c r="K182" t="str">
        <f>IF(G182="","",IF(G182="[FÓRMULA MANUAL]","",IFERROR(SUMPRODUCT((nNIA=G182)*(nCUENTA=1)*(COUNTIF(CONFIG_ASIGNATURAS!$B$7:$B$27,nASIG)&gt;0)*(nNOTA))/SUMPRODUCT((nNIA=G182)*(nCUENTA=1)*(COUNTIF(CONFIG_ASIGNATURAS!$B$7:$B$27,nASIG)&gt;0)*1),"")))</f>
        <v/>
      </c>
      <c r="N182" t="str">
        <f>IF(M182="","",IF(M182="[FÓRMULA MANUAL]","",IFERROR(AVERAGEIFS(nNOTA,nNIA,M182,nCUENTA,1,nASIG,"Armonía"),"")))</f>
        <v/>
      </c>
      <c r="O182" t="str">
        <f>IF(M182="","",IF(M182="[FÓRMULA MANUAL]","",IFERROR(AVERAGEIFS(nNOTA,nNIA,M182,nCUENTA,1,nASIG,"Orquesta/Banda/Conjunto"),"")))</f>
        <v/>
      </c>
      <c r="P182" t="str">
        <f>IF(M182="","",IF(M182="[FÓRMULA MANUAL]","",IFERROR(AVERAGEIFS(nNOTA,nNIA,M182,nCUENTA,1,nASIG,"Música de Cámara"),"")))</f>
        <v/>
      </c>
      <c r="Q182" t="str">
        <f>IF(M182="","",IF(M182="[FÓRMULA MANUAL]","",IFERROR(SUMPRODUCT((nNIA=M182)*(nCUENTA=1)*(COUNTIF(CONFIG_ASIGNATURAS!$B$7:$B$27,nASIG)&gt;0)*(nNOTA))/SUMPRODUCT((nNIA=M182)*(nCUENTA=1)*(COUNTIF(CONFIG_ASIGNATURAS!$B$7:$B$27,nASIG)&gt;0)*1),"")))</f>
        <v/>
      </c>
      <c r="T182" t="str">
        <f>IF(S182="","",IF(S182="[FÓRMULA MANUAL]","",IFERROR(AVERAGEIFS(nNOTA,nNIA,S182,nCUENTA,1,nASIG,"Armonía"),"")))</f>
        <v/>
      </c>
      <c r="U182" t="str">
        <f>IF(S182="","",IF(S182="[FÓRMULA MANUAL]","",IFERROR(AVERAGEIFS(nNOTA,nNIA,S182,nCUENTA,1,nASIG,"Orquesta/Banda/Conjunto"),"")))</f>
        <v/>
      </c>
      <c r="V182" t="str">
        <f>IF(S182="","",IF(S182="[FÓRMULA MANUAL]","",IFERROR(AVERAGEIFS(nNOTA,nNIA,S182,nCUENTA,1,nASIG,"Música de Cámara"),"")))</f>
        <v/>
      </c>
      <c r="W182" t="str">
        <f>IF(S182="","",IF(S182="[FÓRMULA MANUAL]","",IFERROR(SUMPRODUCT((nNIA=S182)*(nCUENTA=1)*(COUNTIF(CONFIG_ASIGNATURAS!$B$7:$B$27,nASIG)&gt;0)*(nNOTA))/SUMPRODUCT((nNIA=S182)*(nCUENTA=1)*(COUNTIF(CONFIG_ASIGNATURAS!$B$7:$B$27,nASIG)&gt;0)*1),"")))</f>
        <v/>
      </c>
      <c r="Z182" t="str">
        <f>IF(Y182="","",IF(Y182="[FÓRMULA MANUAL]","",IFERROR(AVERAGEIFS(nNOTA,nNIA,Y182,nCUENTA,1,nASIG,"Análisis"),"")))</f>
        <v/>
      </c>
      <c r="AA182" t="str">
        <f>IF(Y182="","",IF(Y182="[FÓRMULA MANUAL]","",IFERROR(AVERAGEIFS(nNOTA,nNIA,Y182,nCUENTA,1,nASIG,"Orquesta/Banda/Conjunto"),"")))</f>
        <v/>
      </c>
      <c r="AB182" t="str">
        <f>IF(Y182="","",IF(Y182="[FÓRMULA MANUAL]","",IFERROR(AVERAGEIFS(nNOTA,nNIA,Y182,nCUENTA,1,nASIG,"Música de Cámara"),"")))</f>
        <v/>
      </c>
      <c r="AC182" t="str">
        <f>IF(Y182="","",IF(Y182="[FÓRMULA MANUAL]","",IFERROR(SUMPRODUCT((nNIA=Y182)*(nCUENTA=1)*(COUNTIF(CONFIG_ASIGNATURAS!$B$7:$B$27,nASIG)&gt;0)*(nNOTA))/SUMPRODUCT((nNIA=Y182)*(nCUENTA=1)*(COUNTIF(CONFIG_ASIGNATURAS!$B$7:$B$27,nASIG)&gt;0)*1),"")))</f>
        <v/>
      </c>
      <c r="AF182" t="str">
        <f>IF(AE182="","",IF(AE182="[FÓRMULA MANUAL]","",IFERROR(AVERAGEIFS(nNOTA,nNIA,AE182,nCUENTA,1,nASIG,"Análisis"),"")))</f>
        <v/>
      </c>
      <c r="AG182" t="str">
        <f>IF(AE182="","",IF(AE182="[FÓRMULA MANUAL]","",IFERROR(AVERAGEIFS(nNOTA,nNIA,AE182,nCUENTA,1,nASIG,"Orquesta/Banda/Conjunto"),"")))</f>
        <v/>
      </c>
      <c r="AH182" t="str">
        <f>IF(AE182="","",IF(AE182="[FÓRMULA MANUAL]","",IFERROR(AVERAGEIFS(nNOTA,nNIA,AE182,nCUENTA,1,nASIG,"Música de Cámara"),"")))</f>
        <v/>
      </c>
      <c r="AI182" t="str">
        <f>IF(AE182="","",IF(AE182="[FÓRMULA MANUAL]","",IFERROR(SUMPRODUCT((nNIA=AE182)*(nCUENTA=1)*(COUNTIF(CONFIG_ASIGNATURAS!$B$7:$B$27,nASIG)&gt;0)*(nNOTA))/SUMPRODUCT((nNIA=AE182)*(nCUENTA=1)*(COUNTIF(CONFIG_ASIGNATURAS!$B$7:$B$27,nASIG)&gt;0)*1),"")))</f>
        <v/>
      </c>
    </row>
    <row r="183" spans="2:35" x14ac:dyDescent="0.2">
      <c r="B183" t="str">
        <f>IF(A183="","",IF(A183="[FÓRMULA MANUAL]","",IFERROR(AVERAGEIFS(nNOTA,nNIA,A183,nCUENTA,1,nASIG,"Lenguaje Musical"),"")))</f>
        <v/>
      </c>
      <c r="C183" t="str">
        <f>IF(A183="","",IF(A183="[FÓRMULA MANUAL]","",IFERROR(AVERAGEIFS(nNOTA,nNIA,A183,nCUENTA,1,nASIG,"Orquesta/Banda/Conjunto"),"")))</f>
        <v/>
      </c>
      <c r="D183" t="str">
        <f>IF(A183="","",IF(A183="[FÓRMULA MANUAL]","",IFERROR(AVERAGEIFS(nNOTA,nNIA,A183,nCUENTA,1,nASIG,"Conjunto"),"")))</f>
        <v/>
      </c>
      <c r="E183" t="str">
        <f>IF(A183="","",IF(A183="[FÓRMULA MANUAL]","",IFERROR(SUMPRODUCT((nNIA=A183)*(nCUENTA=1)*(COUNTIF(CONFIG_ASIGNATURAS!$B$7:$B$27,nASIG)&gt;0)*(nNOTA))/SUMPRODUCT((nNIA=A183)*(nCUENTA=1)*(COUNTIF(CONFIG_ASIGNATURAS!$B$7:$B$27,nASIG)&gt;0)*1),"")))</f>
        <v/>
      </c>
      <c r="H183" t="str">
        <f>IF(G183="","",IF(G183="[FÓRMULA MANUAL]","",IFERROR(AVERAGEIFS(nNOTA,nNIA,G183,nCUENTA,1,nASIG,"Lenguaje Musical"),"")))</f>
        <v/>
      </c>
      <c r="I183" t="str">
        <f>IF(G183="","",IF(G183="[FÓRMULA MANUAL]","",IFERROR(AVERAGEIFS(nNOTA,nNIA,G183,nCUENTA,1,nASIG,"Orquesta/Banda/Conjunto"),"")))</f>
        <v/>
      </c>
      <c r="J183" t="str">
        <f>IF(G183="","",IF(G183="[FÓRMULA MANUAL]","",IFERROR(AVERAGEIFS(nNOTA,nNIA,G183,nCUENTA,1,nASIG,"Conjunto"),"")))</f>
        <v/>
      </c>
      <c r="K183" t="str">
        <f>IF(G183="","",IF(G183="[FÓRMULA MANUAL]","",IFERROR(SUMPRODUCT((nNIA=G183)*(nCUENTA=1)*(COUNTIF(CONFIG_ASIGNATURAS!$B$7:$B$27,nASIG)&gt;0)*(nNOTA))/SUMPRODUCT((nNIA=G183)*(nCUENTA=1)*(COUNTIF(CONFIG_ASIGNATURAS!$B$7:$B$27,nASIG)&gt;0)*1),"")))</f>
        <v/>
      </c>
      <c r="N183" t="str">
        <f>IF(M183="","",IF(M183="[FÓRMULA MANUAL]","",IFERROR(AVERAGEIFS(nNOTA,nNIA,M183,nCUENTA,1,nASIG,"Armonía"),"")))</f>
        <v/>
      </c>
      <c r="O183" t="str">
        <f>IF(M183="","",IF(M183="[FÓRMULA MANUAL]","",IFERROR(AVERAGEIFS(nNOTA,nNIA,M183,nCUENTA,1,nASIG,"Orquesta/Banda/Conjunto"),"")))</f>
        <v/>
      </c>
      <c r="P183" t="str">
        <f>IF(M183="","",IF(M183="[FÓRMULA MANUAL]","",IFERROR(AVERAGEIFS(nNOTA,nNIA,M183,nCUENTA,1,nASIG,"Música de Cámara"),"")))</f>
        <v/>
      </c>
      <c r="Q183" t="str">
        <f>IF(M183="","",IF(M183="[FÓRMULA MANUAL]","",IFERROR(SUMPRODUCT((nNIA=M183)*(nCUENTA=1)*(COUNTIF(CONFIG_ASIGNATURAS!$B$7:$B$27,nASIG)&gt;0)*(nNOTA))/SUMPRODUCT((nNIA=M183)*(nCUENTA=1)*(COUNTIF(CONFIG_ASIGNATURAS!$B$7:$B$27,nASIG)&gt;0)*1),"")))</f>
        <v/>
      </c>
      <c r="T183" t="str">
        <f>IF(S183="","",IF(S183="[FÓRMULA MANUAL]","",IFERROR(AVERAGEIFS(nNOTA,nNIA,S183,nCUENTA,1,nASIG,"Armonía"),"")))</f>
        <v/>
      </c>
      <c r="U183" t="str">
        <f>IF(S183="","",IF(S183="[FÓRMULA MANUAL]","",IFERROR(AVERAGEIFS(nNOTA,nNIA,S183,nCUENTA,1,nASIG,"Orquesta/Banda/Conjunto"),"")))</f>
        <v/>
      </c>
      <c r="V183" t="str">
        <f>IF(S183="","",IF(S183="[FÓRMULA MANUAL]","",IFERROR(AVERAGEIFS(nNOTA,nNIA,S183,nCUENTA,1,nASIG,"Música de Cámara"),"")))</f>
        <v/>
      </c>
      <c r="W183" t="str">
        <f>IF(S183="","",IF(S183="[FÓRMULA MANUAL]","",IFERROR(SUMPRODUCT((nNIA=S183)*(nCUENTA=1)*(COUNTIF(CONFIG_ASIGNATURAS!$B$7:$B$27,nASIG)&gt;0)*(nNOTA))/SUMPRODUCT((nNIA=S183)*(nCUENTA=1)*(COUNTIF(CONFIG_ASIGNATURAS!$B$7:$B$27,nASIG)&gt;0)*1),"")))</f>
        <v/>
      </c>
      <c r="Z183" t="str">
        <f>IF(Y183="","",IF(Y183="[FÓRMULA MANUAL]","",IFERROR(AVERAGEIFS(nNOTA,nNIA,Y183,nCUENTA,1,nASIG,"Análisis"),"")))</f>
        <v/>
      </c>
      <c r="AA183" t="str">
        <f>IF(Y183="","",IF(Y183="[FÓRMULA MANUAL]","",IFERROR(AVERAGEIFS(nNOTA,nNIA,Y183,nCUENTA,1,nASIG,"Orquesta/Banda/Conjunto"),"")))</f>
        <v/>
      </c>
      <c r="AB183" t="str">
        <f>IF(Y183="","",IF(Y183="[FÓRMULA MANUAL]","",IFERROR(AVERAGEIFS(nNOTA,nNIA,Y183,nCUENTA,1,nASIG,"Música de Cámara"),"")))</f>
        <v/>
      </c>
      <c r="AC183" t="str">
        <f>IF(Y183="","",IF(Y183="[FÓRMULA MANUAL]","",IFERROR(SUMPRODUCT((nNIA=Y183)*(nCUENTA=1)*(COUNTIF(CONFIG_ASIGNATURAS!$B$7:$B$27,nASIG)&gt;0)*(nNOTA))/SUMPRODUCT((nNIA=Y183)*(nCUENTA=1)*(COUNTIF(CONFIG_ASIGNATURAS!$B$7:$B$27,nASIG)&gt;0)*1),"")))</f>
        <v/>
      </c>
      <c r="AF183" t="str">
        <f>IF(AE183="","",IF(AE183="[FÓRMULA MANUAL]","",IFERROR(AVERAGEIFS(nNOTA,nNIA,AE183,nCUENTA,1,nASIG,"Análisis"),"")))</f>
        <v/>
      </c>
      <c r="AG183" t="str">
        <f>IF(AE183="","",IF(AE183="[FÓRMULA MANUAL]","",IFERROR(AVERAGEIFS(nNOTA,nNIA,AE183,nCUENTA,1,nASIG,"Orquesta/Banda/Conjunto"),"")))</f>
        <v/>
      </c>
      <c r="AH183" t="str">
        <f>IF(AE183="","",IF(AE183="[FÓRMULA MANUAL]","",IFERROR(AVERAGEIFS(nNOTA,nNIA,AE183,nCUENTA,1,nASIG,"Música de Cámara"),"")))</f>
        <v/>
      </c>
      <c r="AI183" t="str">
        <f>IF(AE183="","",IF(AE183="[FÓRMULA MANUAL]","",IFERROR(SUMPRODUCT((nNIA=AE183)*(nCUENTA=1)*(COUNTIF(CONFIG_ASIGNATURAS!$B$7:$B$27,nASIG)&gt;0)*(nNOTA))/SUMPRODUCT((nNIA=AE183)*(nCUENTA=1)*(COUNTIF(CONFIG_ASIGNATURAS!$B$7:$B$27,nASIG)&gt;0)*1),"")))</f>
        <v/>
      </c>
    </row>
    <row r="184" spans="2:35" x14ac:dyDescent="0.2">
      <c r="B184" t="str">
        <f>IF(A184="","",IF(A184="[FÓRMULA MANUAL]","",IFERROR(AVERAGEIFS(nNOTA,nNIA,A184,nCUENTA,1,nASIG,"Lenguaje Musical"),"")))</f>
        <v/>
      </c>
      <c r="C184" t="str">
        <f>IF(A184="","",IF(A184="[FÓRMULA MANUAL]","",IFERROR(AVERAGEIFS(nNOTA,nNIA,A184,nCUENTA,1,nASIG,"Orquesta/Banda/Conjunto"),"")))</f>
        <v/>
      </c>
      <c r="D184" t="str">
        <f>IF(A184="","",IF(A184="[FÓRMULA MANUAL]","",IFERROR(AVERAGEIFS(nNOTA,nNIA,A184,nCUENTA,1,nASIG,"Conjunto"),"")))</f>
        <v/>
      </c>
      <c r="E184" t="str">
        <f>IF(A184="","",IF(A184="[FÓRMULA MANUAL]","",IFERROR(SUMPRODUCT((nNIA=A184)*(nCUENTA=1)*(COUNTIF(CONFIG_ASIGNATURAS!$B$7:$B$27,nASIG)&gt;0)*(nNOTA))/SUMPRODUCT((nNIA=A184)*(nCUENTA=1)*(COUNTIF(CONFIG_ASIGNATURAS!$B$7:$B$27,nASIG)&gt;0)*1),"")))</f>
        <v/>
      </c>
      <c r="H184" t="str">
        <f>IF(G184="","",IF(G184="[FÓRMULA MANUAL]","",IFERROR(AVERAGEIFS(nNOTA,nNIA,G184,nCUENTA,1,nASIG,"Lenguaje Musical"),"")))</f>
        <v/>
      </c>
      <c r="I184" t="str">
        <f>IF(G184="","",IF(G184="[FÓRMULA MANUAL]","",IFERROR(AVERAGEIFS(nNOTA,nNIA,G184,nCUENTA,1,nASIG,"Orquesta/Banda/Conjunto"),"")))</f>
        <v/>
      </c>
      <c r="J184" t="str">
        <f>IF(G184="","",IF(G184="[FÓRMULA MANUAL]","",IFERROR(AVERAGEIFS(nNOTA,nNIA,G184,nCUENTA,1,nASIG,"Conjunto"),"")))</f>
        <v/>
      </c>
      <c r="K184" t="str">
        <f>IF(G184="","",IF(G184="[FÓRMULA MANUAL]","",IFERROR(SUMPRODUCT((nNIA=G184)*(nCUENTA=1)*(COUNTIF(CONFIG_ASIGNATURAS!$B$7:$B$27,nASIG)&gt;0)*(nNOTA))/SUMPRODUCT((nNIA=G184)*(nCUENTA=1)*(COUNTIF(CONFIG_ASIGNATURAS!$B$7:$B$27,nASIG)&gt;0)*1),"")))</f>
        <v/>
      </c>
      <c r="N184" t="str">
        <f>IF(M184="","",IF(M184="[FÓRMULA MANUAL]","",IFERROR(AVERAGEIFS(nNOTA,nNIA,M184,nCUENTA,1,nASIG,"Armonía"),"")))</f>
        <v/>
      </c>
      <c r="O184" t="str">
        <f>IF(M184="","",IF(M184="[FÓRMULA MANUAL]","",IFERROR(AVERAGEIFS(nNOTA,nNIA,M184,nCUENTA,1,nASIG,"Orquesta/Banda/Conjunto"),"")))</f>
        <v/>
      </c>
      <c r="P184" t="str">
        <f>IF(M184="","",IF(M184="[FÓRMULA MANUAL]","",IFERROR(AVERAGEIFS(nNOTA,nNIA,M184,nCUENTA,1,nASIG,"Música de Cámara"),"")))</f>
        <v/>
      </c>
      <c r="Q184" t="str">
        <f>IF(M184="","",IF(M184="[FÓRMULA MANUAL]","",IFERROR(SUMPRODUCT((nNIA=M184)*(nCUENTA=1)*(COUNTIF(CONFIG_ASIGNATURAS!$B$7:$B$27,nASIG)&gt;0)*(nNOTA))/SUMPRODUCT((nNIA=M184)*(nCUENTA=1)*(COUNTIF(CONFIG_ASIGNATURAS!$B$7:$B$27,nASIG)&gt;0)*1),"")))</f>
        <v/>
      </c>
      <c r="T184" t="str">
        <f>IF(S184="","",IF(S184="[FÓRMULA MANUAL]","",IFERROR(AVERAGEIFS(nNOTA,nNIA,S184,nCUENTA,1,nASIG,"Armonía"),"")))</f>
        <v/>
      </c>
      <c r="U184" t="str">
        <f>IF(S184="","",IF(S184="[FÓRMULA MANUAL]","",IFERROR(AVERAGEIFS(nNOTA,nNIA,S184,nCUENTA,1,nASIG,"Orquesta/Banda/Conjunto"),"")))</f>
        <v/>
      </c>
      <c r="V184" t="str">
        <f>IF(S184="","",IF(S184="[FÓRMULA MANUAL]","",IFERROR(AVERAGEIFS(nNOTA,nNIA,S184,nCUENTA,1,nASIG,"Música de Cámara"),"")))</f>
        <v/>
      </c>
      <c r="W184" t="str">
        <f>IF(S184="","",IF(S184="[FÓRMULA MANUAL]","",IFERROR(SUMPRODUCT((nNIA=S184)*(nCUENTA=1)*(COUNTIF(CONFIG_ASIGNATURAS!$B$7:$B$27,nASIG)&gt;0)*(nNOTA))/SUMPRODUCT((nNIA=S184)*(nCUENTA=1)*(COUNTIF(CONFIG_ASIGNATURAS!$B$7:$B$27,nASIG)&gt;0)*1),"")))</f>
        <v/>
      </c>
      <c r="Z184" t="str">
        <f>IF(Y184="","",IF(Y184="[FÓRMULA MANUAL]","",IFERROR(AVERAGEIFS(nNOTA,nNIA,Y184,nCUENTA,1,nASIG,"Análisis"),"")))</f>
        <v/>
      </c>
      <c r="AA184" t="str">
        <f>IF(Y184="","",IF(Y184="[FÓRMULA MANUAL]","",IFERROR(AVERAGEIFS(nNOTA,nNIA,Y184,nCUENTA,1,nASIG,"Orquesta/Banda/Conjunto"),"")))</f>
        <v/>
      </c>
      <c r="AB184" t="str">
        <f>IF(Y184="","",IF(Y184="[FÓRMULA MANUAL]","",IFERROR(AVERAGEIFS(nNOTA,nNIA,Y184,nCUENTA,1,nASIG,"Música de Cámara"),"")))</f>
        <v/>
      </c>
      <c r="AC184" t="str">
        <f>IF(Y184="","",IF(Y184="[FÓRMULA MANUAL]","",IFERROR(SUMPRODUCT((nNIA=Y184)*(nCUENTA=1)*(COUNTIF(CONFIG_ASIGNATURAS!$B$7:$B$27,nASIG)&gt;0)*(nNOTA))/SUMPRODUCT((nNIA=Y184)*(nCUENTA=1)*(COUNTIF(CONFIG_ASIGNATURAS!$B$7:$B$27,nASIG)&gt;0)*1),"")))</f>
        <v/>
      </c>
      <c r="AF184" t="str">
        <f>IF(AE184="","",IF(AE184="[FÓRMULA MANUAL]","",IFERROR(AVERAGEIFS(nNOTA,nNIA,AE184,nCUENTA,1,nASIG,"Análisis"),"")))</f>
        <v/>
      </c>
      <c r="AG184" t="str">
        <f>IF(AE184="","",IF(AE184="[FÓRMULA MANUAL]","",IFERROR(AVERAGEIFS(nNOTA,nNIA,AE184,nCUENTA,1,nASIG,"Orquesta/Banda/Conjunto"),"")))</f>
        <v/>
      </c>
      <c r="AH184" t="str">
        <f>IF(AE184="","",IF(AE184="[FÓRMULA MANUAL]","",IFERROR(AVERAGEIFS(nNOTA,nNIA,AE184,nCUENTA,1,nASIG,"Música de Cámara"),"")))</f>
        <v/>
      </c>
      <c r="AI184" t="str">
        <f>IF(AE184="","",IF(AE184="[FÓRMULA MANUAL]","",IFERROR(SUMPRODUCT((nNIA=AE184)*(nCUENTA=1)*(COUNTIF(CONFIG_ASIGNATURAS!$B$7:$B$27,nASIG)&gt;0)*(nNOTA))/SUMPRODUCT((nNIA=AE184)*(nCUENTA=1)*(COUNTIF(CONFIG_ASIGNATURAS!$B$7:$B$27,nASIG)&gt;0)*1),"")))</f>
        <v/>
      </c>
    </row>
    <row r="185" spans="2:35" x14ac:dyDescent="0.2">
      <c r="B185" t="str">
        <f>IF(A185="","",IF(A185="[FÓRMULA MANUAL]","",IFERROR(AVERAGEIFS(nNOTA,nNIA,A185,nCUENTA,1,nASIG,"Lenguaje Musical"),"")))</f>
        <v/>
      </c>
      <c r="C185" t="str">
        <f>IF(A185="","",IF(A185="[FÓRMULA MANUAL]","",IFERROR(AVERAGEIFS(nNOTA,nNIA,A185,nCUENTA,1,nASIG,"Orquesta/Banda/Conjunto"),"")))</f>
        <v/>
      </c>
      <c r="D185" t="str">
        <f>IF(A185="","",IF(A185="[FÓRMULA MANUAL]","",IFERROR(AVERAGEIFS(nNOTA,nNIA,A185,nCUENTA,1,nASIG,"Conjunto"),"")))</f>
        <v/>
      </c>
      <c r="E185" t="str">
        <f>IF(A185="","",IF(A185="[FÓRMULA MANUAL]","",IFERROR(SUMPRODUCT((nNIA=A185)*(nCUENTA=1)*(COUNTIF(CONFIG_ASIGNATURAS!$B$7:$B$27,nASIG)&gt;0)*(nNOTA))/SUMPRODUCT((nNIA=A185)*(nCUENTA=1)*(COUNTIF(CONFIG_ASIGNATURAS!$B$7:$B$27,nASIG)&gt;0)*1),"")))</f>
        <v/>
      </c>
      <c r="H185" t="str">
        <f>IF(G185="","",IF(G185="[FÓRMULA MANUAL]","",IFERROR(AVERAGEIFS(nNOTA,nNIA,G185,nCUENTA,1,nASIG,"Lenguaje Musical"),"")))</f>
        <v/>
      </c>
      <c r="I185" t="str">
        <f>IF(G185="","",IF(G185="[FÓRMULA MANUAL]","",IFERROR(AVERAGEIFS(nNOTA,nNIA,G185,nCUENTA,1,nASIG,"Orquesta/Banda/Conjunto"),"")))</f>
        <v/>
      </c>
      <c r="J185" t="str">
        <f>IF(G185="","",IF(G185="[FÓRMULA MANUAL]","",IFERROR(AVERAGEIFS(nNOTA,nNIA,G185,nCUENTA,1,nASIG,"Conjunto"),"")))</f>
        <v/>
      </c>
      <c r="K185" t="str">
        <f>IF(G185="","",IF(G185="[FÓRMULA MANUAL]","",IFERROR(SUMPRODUCT((nNIA=G185)*(nCUENTA=1)*(COUNTIF(CONFIG_ASIGNATURAS!$B$7:$B$27,nASIG)&gt;0)*(nNOTA))/SUMPRODUCT((nNIA=G185)*(nCUENTA=1)*(COUNTIF(CONFIG_ASIGNATURAS!$B$7:$B$27,nASIG)&gt;0)*1),"")))</f>
        <v/>
      </c>
      <c r="N185" t="str">
        <f>IF(M185="","",IF(M185="[FÓRMULA MANUAL]","",IFERROR(AVERAGEIFS(nNOTA,nNIA,M185,nCUENTA,1,nASIG,"Armonía"),"")))</f>
        <v/>
      </c>
      <c r="O185" t="str">
        <f>IF(M185="","",IF(M185="[FÓRMULA MANUAL]","",IFERROR(AVERAGEIFS(nNOTA,nNIA,M185,nCUENTA,1,nASIG,"Orquesta/Banda/Conjunto"),"")))</f>
        <v/>
      </c>
      <c r="P185" t="str">
        <f>IF(M185="","",IF(M185="[FÓRMULA MANUAL]","",IFERROR(AVERAGEIFS(nNOTA,nNIA,M185,nCUENTA,1,nASIG,"Música de Cámara"),"")))</f>
        <v/>
      </c>
      <c r="Q185" t="str">
        <f>IF(M185="","",IF(M185="[FÓRMULA MANUAL]","",IFERROR(SUMPRODUCT((nNIA=M185)*(nCUENTA=1)*(COUNTIF(CONFIG_ASIGNATURAS!$B$7:$B$27,nASIG)&gt;0)*(nNOTA))/SUMPRODUCT((nNIA=M185)*(nCUENTA=1)*(COUNTIF(CONFIG_ASIGNATURAS!$B$7:$B$27,nASIG)&gt;0)*1),"")))</f>
        <v/>
      </c>
      <c r="T185" t="str">
        <f>IF(S185="","",IF(S185="[FÓRMULA MANUAL]","",IFERROR(AVERAGEIFS(nNOTA,nNIA,S185,nCUENTA,1,nASIG,"Armonía"),"")))</f>
        <v/>
      </c>
      <c r="U185" t="str">
        <f>IF(S185="","",IF(S185="[FÓRMULA MANUAL]","",IFERROR(AVERAGEIFS(nNOTA,nNIA,S185,nCUENTA,1,nASIG,"Orquesta/Banda/Conjunto"),"")))</f>
        <v/>
      </c>
      <c r="V185" t="str">
        <f>IF(S185="","",IF(S185="[FÓRMULA MANUAL]","",IFERROR(AVERAGEIFS(nNOTA,nNIA,S185,nCUENTA,1,nASIG,"Música de Cámara"),"")))</f>
        <v/>
      </c>
      <c r="W185" t="str">
        <f>IF(S185="","",IF(S185="[FÓRMULA MANUAL]","",IFERROR(SUMPRODUCT((nNIA=S185)*(nCUENTA=1)*(COUNTIF(CONFIG_ASIGNATURAS!$B$7:$B$27,nASIG)&gt;0)*(nNOTA))/SUMPRODUCT((nNIA=S185)*(nCUENTA=1)*(COUNTIF(CONFIG_ASIGNATURAS!$B$7:$B$27,nASIG)&gt;0)*1),"")))</f>
        <v/>
      </c>
      <c r="Z185" t="str">
        <f>IF(Y185="","",IF(Y185="[FÓRMULA MANUAL]","",IFERROR(AVERAGEIFS(nNOTA,nNIA,Y185,nCUENTA,1,nASIG,"Análisis"),"")))</f>
        <v/>
      </c>
      <c r="AA185" t="str">
        <f>IF(Y185="","",IF(Y185="[FÓRMULA MANUAL]","",IFERROR(AVERAGEIFS(nNOTA,nNIA,Y185,nCUENTA,1,nASIG,"Orquesta/Banda/Conjunto"),"")))</f>
        <v/>
      </c>
      <c r="AB185" t="str">
        <f>IF(Y185="","",IF(Y185="[FÓRMULA MANUAL]","",IFERROR(AVERAGEIFS(nNOTA,nNIA,Y185,nCUENTA,1,nASIG,"Música de Cámara"),"")))</f>
        <v/>
      </c>
      <c r="AC185" t="str">
        <f>IF(Y185="","",IF(Y185="[FÓRMULA MANUAL]","",IFERROR(SUMPRODUCT((nNIA=Y185)*(nCUENTA=1)*(COUNTIF(CONFIG_ASIGNATURAS!$B$7:$B$27,nASIG)&gt;0)*(nNOTA))/SUMPRODUCT((nNIA=Y185)*(nCUENTA=1)*(COUNTIF(CONFIG_ASIGNATURAS!$B$7:$B$27,nASIG)&gt;0)*1),"")))</f>
        <v/>
      </c>
      <c r="AF185" t="str">
        <f>IF(AE185="","",IF(AE185="[FÓRMULA MANUAL]","",IFERROR(AVERAGEIFS(nNOTA,nNIA,AE185,nCUENTA,1,nASIG,"Análisis"),"")))</f>
        <v/>
      </c>
      <c r="AG185" t="str">
        <f>IF(AE185="","",IF(AE185="[FÓRMULA MANUAL]","",IFERROR(AVERAGEIFS(nNOTA,nNIA,AE185,nCUENTA,1,nASIG,"Orquesta/Banda/Conjunto"),"")))</f>
        <v/>
      </c>
      <c r="AH185" t="str">
        <f>IF(AE185="","",IF(AE185="[FÓRMULA MANUAL]","",IFERROR(AVERAGEIFS(nNOTA,nNIA,AE185,nCUENTA,1,nASIG,"Música de Cámara"),"")))</f>
        <v/>
      </c>
      <c r="AI185" t="str">
        <f>IF(AE185="","",IF(AE185="[FÓRMULA MANUAL]","",IFERROR(SUMPRODUCT((nNIA=AE185)*(nCUENTA=1)*(COUNTIF(CONFIG_ASIGNATURAS!$B$7:$B$27,nASIG)&gt;0)*(nNOTA))/SUMPRODUCT((nNIA=AE185)*(nCUENTA=1)*(COUNTIF(CONFIG_ASIGNATURAS!$B$7:$B$27,nASIG)&gt;0)*1),"")))</f>
        <v/>
      </c>
    </row>
    <row r="186" spans="2:35" x14ac:dyDescent="0.2">
      <c r="B186" t="str">
        <f>IF(A186="","",IF(A186="[FÓRMULA MANUAL]","",IFERROR(AVERAGEIFS(nNOTA,nNIA,A186,nCUENTA,1,nASIG,"Lenguaje Musical"),"")))</f>
        <v/>
      </c>
      <c r="C186" t="str">
        <f>IF(A186="","",IF(A186="[FÓRMULA MANUAL]","",IFERROR(AVERAGEIFS(nNOTA,nNIA,A186,nCUENTA,1,nASIG,"Orquesta/Banda/Conjunto"),"")))</f>
        <v/>
      </c>
      <c r="D186" t="str">
        <f>IF(A186="","",IF(A186="[FÓRMULA MANUAL]","",IFERROR(AVERAGEIFS(nNOTA,nNIA,A186,nCUENTA,1,nASIG,"Conjunto"),"")))</f>
        <v/>
      </c>
      <c r="E186" t="str">
        <f>IF(A186="","",IF(A186="[FÓRMULA MANUAL]","",IFERROR(SUMPRODUCT((nNIA=A186)*(nCUENTA=1)*(COUNTIF(CONFIG_ASIGNATURAS!$B$7:$B$27,nASIG)&gt;0)*(nNOTA))/SUMPRODUCT((nNIA=A186)*(nCUENTA=1)*(COUNTIF(CONFIG_ASIGNATURAS!$B$7:$B$27,nASIG)&gt;0)*1),"")))</f>
        <v/>
      </c>
      <c r="H186" t="str">
        <f>IF(G186="","",IF(G186="[FÓRMULA MANUAL]","",IFERROR(AVERAGEIFS(nNOTA,nNIA,G186,nCUENTA,1,nASIG,"Lenguaje Musical"),"")))</f>
        <v/>
      </c>
      <c r="I186" t="str">
        <f>IF(G186="","",IF(G186="[FÓRMULA MANUAL]","",IFERROR(AVERAGEIFS(nNOTA,nNIA,G186,nCUENTA,1,nASIG,"Orquesta/Banda/Conjunto"),"")))</f>
        <v/>
      </c>
      <c r="J186" t="str">
        <f>IF(G186="","",IF(G186="[FÓRMULA MANUAL]","",IFERROR(AVERAGEIFS(nNOTA,nNIA,G186,nCUENTA,1,nASIG,"Conjunto"),"")))</f>
        <v/>
      </c>
      <c r="K186" t="str">
        <f>IF(G186="","",IF(G186="[FÓRMULA MANUAL]","",IFERROR(SUMPRODUCT((nNIA=G186)*(nCUENTA=1)*(COUNTIF(CONFIG_ASIGNATURAS!$B$7:$B$27,nASIG)&gt;0)*(nNOTA))/SUMPRODUCT((nNIA=G186)*(nCUENTA=1)*(COUNTIF(CONFIG_ASIGNATURAS!$B$7:$B$27,nASIG)&gt;0)*1),"")))</f>
        <v/>
      </c>
      <c r="N186" t="str">
        <f>IF(M186="","",IF(M186="[FÓRMULA MANUAL]","",IFERROR(AVERAGEIFS(nNOTA,nNIA,M186,nCUENTA,1,nASIG,"Armonía"),"")))</f>
        <v/>
      </c>
      <c r="O186" t="str">
        <f>IF(M186="","",IF(M186="[FÓRMULA MANUAL]","",IFERROR(AVERAGEIFS(nNOTA,nNIA,M186,nCUENTA,1,nASIG,"Orquesta/Banda/Conjunto"),"")))</f>
        <v/>
      </c>
      <c r="P186" t="str">
        <f>IF(M186="","",IF(M186="[FÓRMULA MANUAL]","",IFERROR(AVERAGEIFS(nNOTA,nNIA,M186,nCUENTA,1,nASIG,"Música de Cámara"),"")))</f>
        <v/>
      </c>
      <c r="Q186" t="str">
        <f>IF(M186="","",IF(M186="[FÓRMULA MANUAL]","",IFERROR(SUMPRODUCT((nNIA=M186)*(nCUENTA=1)*(COUNTIF(CONFIG_ASIGNATURAS!$B$7:$B$27,nASIG)&gt;0)*(nNOTA))/SUMPRODUCT((nNIA=M186)*(nCUENTA=1)*(COUNTIF(CONFIG_ASIGNATURAS!$B$7:$B$27,nASIG)&gt;0)*1),"")))</f>
        <v/>
      </c>
      <c r="T186" t="str">
        <f>IF(S186="","",IF(S186="[FÓRMULA MANUAL]","",IFERROR(AVERAGEIFS(nNOTA,nNIA,S186,nCUENTA,1,nASIG,"Armonía"),"")))</f>
        <v/>
      </c>
      <c r="U186" t="str">
        <f>IF(S186="","",IF(S186="[FÓRMULA MANUAL]","",IFERROR(AVERAGEIFS(nNOTA,nNIA,S186,nCUENTA,1,nASIG,"Orquesta/Banda/Conjunto"),"")))</f>
        <v/>
      </c>
      <c r="V186" t="str">
        <f>IF(S186="","",IF(S186="[FÓRMULA MANUAL]","",IFERROR(AVERAGEIFS(nNOTA,nNIA,S186,nCUENTA,1,nASIG,"Música de Cámara"),"")))</f>
        <v/>
      </c>
      <c r="W186" t="str">
        <f>IF(S186="","",IF(S186="[FÓRMULA MANUAL]","",IFERROR(SUMPRODUCT((nNIA=S186)*(nCUENTA=1)*(COUNTIF(CONFIG_ASIGNATURAS!$B$7:$B$27,nASIG)&gt;0)*(nNOTA))/SUMPRODUCT((nNIA=S186)*(nCUENTA=1)*(COUNTIF(CONFIG_ASIGNATURAS!$B$7:$B$27,nASIG)&gt;0)*1),"")))</f>
        <v/>
      </c>
      <c r="Z186" t="str">
        <f>IF(Y186="","",IF(Y186="[FÓRMULA MANUAL]","",IFERROR(AVERAGEIFS(nNOTA,nNIA,Y186,nCUENTA,1,nASIG,"Análisis"),"")))</f>
        <v/>
      </c>
      <c r="AA186" t="str">
        <f>IF(Y186="","",IF(Y186="[FÓRMULA MANUAL]","",IFERROR(AVERAGEIFS(nNOTA,nNIA,Y186,nCUENTA,1,nASIG,"Orquesta/Banda/Conjunto"),"")))</f>
        <v/>
      </c>
      <c r="AB186" t="str">
        <f>IF(Y186="","",IF(Y186="[FÓRMULA MANUAL]","",IFERROR(AVERAGEIFS(nNOTA,nNIA,Y186,nCUENTA,1,nASIG,"Música de Cámara"),"")))</f>
        <v/>
      </c>
      <c r="AC186" t="str">
        <f>IF(Y186="","",IF(Y186="[FÓRMULA MANUAL]","",IFERROR(SUMPRODUCT((nNIA=Y186)*(nCUENTA=1)*(COUNTIF(CONFIG_ASIGNATURAS!$B$7:$B$27,nASIG)&gt;0)*(nNOTA))/SUMPRODUCT((nNIA=Y186)*(nCUENTA=1)*(COUNTIF(CONFIG_ASIGNATURAS!$B$7:$B$27,nASIG)&gt;0)*1),"")))</f>
        <v/>
      </c>
      <c r="AF186" t="str">
        <f>IF(AE186="","",IF(AE186="[FÓRMULA MANUAL]","",IFERROR(AVERAGEIFS(nNOTA,nNIA,AE186,nCUENTA,1,nASIG,"Análisis"),"")))</f>
        <v/>
      </c>
      <c r="AG186" t="str">
        <f>IF(AE186="","",IF(AE186="[FÓRMULA MANUAL]","",IFERROR(AVERAGEIFS(nNOTA,nNIA,AE186,nCUENTA,1,nASIG,"Orquesta/Banda/Conjunto"),"")))</f>
        <v/>
      </c>
      <c r="AH186" t="str">
        <f>IF(AE186="","",IF(AE186="[FÓRMULA MANUAL]","",IFERROR(AVERAGEIFS(nNOTA,nNIA,AE186,nCUENTA,1,nASIG,"Música de Cámara"),"")))</f>
        <v/>
      </c>
      <c r="AI186" t="str">
        <f>IF(AE186="","",IF(AE186="[FÓRMULA MANUAL]","",IFERROR(SUMPRODUCT((nNIA=AE186)*(nCUENTA=1)*(COUNTIF(CONFIG_ASIGNATURAS!$B$7:$B$27,nASIG)&gt;0)*(nNOTA))/SUMPRODUCT((nNIA=AE186)*(nCUENTA=1)*(COUNTIF(CONFIG_ASIGNATURAS!$B$7:$B$27,nASIG)&gt;0)*1),"")))</f>
        <v/>
      </c>
    </row>
    <row r="187" spans="2:35" x14ac:dyDescent="0.2">
      <c r="B187" t="str">
        <f>IF(A187="","",IF(A187="[FÓRMULA MANUAL]","",IFERROR(AVERAGEIFS(nNOTA,nNIA,A187,nCUENTA,1,nASIG,"Lenguaje Musical"),"")))</f>
        <v/>
      </c>
      <c r="C187" t="str">
        <f>IF(A187="","",IF(A187="[FÓRMULA MANUAL]","",IFERROR(AVERAGEIFS(nNOTA,nNIA,A187,nCUENTA,1,nASIG,"Orquesta/Banda/Conjunto"),"")))</f>
        <v/>
      </c>
      <c r="D187" t="str">
        <f>IF(A187="","",IF(A187="[FÓRMULA MANUAL]","",IFERROR(AVERAGEIFS(nNOTA,nNIA,A187,nCUENTA,1,nASIG,"Conjunto"),"")))</f>
        <v/>
      </c>
      <c r="E187" t="str">
        <f>IF(A187="","",IF(A187="[FÓRMULA MANUAL]","",IFERROR(SUMPRODUCT((nNIA=A187)*(nCUENTA=1)*(COUNTIF(CONFIG_ASIGNATURAS!$B$7:$B$27,nASIG)&gt;0)*(nNOTA))/SUMPRODUCT((nNIA=A187)*(nCUENTA=1)*(COUNTIF(CONFIG_ASIGNATURAS!$B$7:$B$27,nASIG)&gt;0)*1),"")))</f>
        <v/>
      </c>
      <c r="H187" t="str">
        <f>IF(G187="","",IF(G187="[FÓRMULA MANUAL]","",IFERROR(AVERAGEIFS(nNOTA,nNIA,G187,nCUENTA,1,nASIG,"Lenguaje Musical"),"")))</f>
        <v/>
      </c>
      <c r="I187" t="str">
        <f>IF(G187="","",IF(G187="[FÓRMULA MANUAL]","",IFERROR(AVERAGEIFS(nNOTA,nNIA,G187,nCUENTA,1,nASIG,"Orquesta/Banda/Conjunto"),"")))</f>
        <v/>
      </c>
      <c r="J187" t="str">
        <f>IF(G187="","",IF(G187="[FÓRMULA MANUAL]","",IFERROR(AVERAGEIFS(nNOTA,nNIA,G187,nCUENTA,1,nASIG,"Conjunto"),"")))</f>
        <v/>
      </c>
      <c r="K187" t="str">
        <f>IF(G187="","",IF(G187="[FÓRMULA MANUAL]","",IFERROR(SUMPRODUCT((nNIA=G187)*(nCUENTA=1)*(COUNTIF(CONFIG_ASIGNATURAS!$B$7:$B$27,nASIG)&gt;0)*(nNOTA))/SUMPRODUCT((nNIA=G187)*(nCUENTA=1)*(COUNTIF(CONFIG_ASIGNATURAS!$B$7:$B$27,nASIG)&gt;0)*1),"")))</f>
        <v/>
      </c>
      <c r="N187" t="str">
        <f>IF(M187="","",IF(M187="[FÓRMULA MANUAL]","",IFERROR(AVERAGEIFS(nNOTA,nNIA,M187,nCUENTA,1,nASIG,"Armonía"),"")))</f>
        <v/>
      </c>
      <c r="O187" t="str">
        <f>IF(M187="","",IF(M187="[FÓRMULA MANUAL]","",IFERROR(AVERAGEIFS(nNOTA,nNIA,M187,nCUENTA,1,nASIG,"Orquesta/Banda/Conjunto"),"")))</f>
        <v/>
      </c>
      <c r="P187" t="str">
        <f>IF(M187="","",IF(M187="[FÓRMULA MANUAL]","",IFERROR(AVERAGEIFS(nNOTA,nNIA,M187,nCUENTA,1,nASIG,"Música de Cámara"),"")))</f>
        <v/>
      </c>
      <c r="Q187" t="str">
        <f>IF(M187="","",IF(M187="[FÓRMULA MANUAL]","",IFERROR(SUMPRODUCT((nNIA=M187)*(nCUENTA=1)*(COUNTIF(CONFIG_ASIGNATURAS!$B$7:$B$27,nASIG)&gt;0)*(nNOTA))/SUMPRODUCT((nNIA=M187)*(nCUENTA=1)*(COUNTIF(CONFIG_ASIGNATURAS!$B$7:$B$27,nASIG)&gt;0)*1),"")))</f>
        <v/>
      </c>
      <c r="T187" t="str">
        <f>IF(S187="","",IF(S187="[FÓRMULA MANUAL]","",IFERROR(AVERAGEIFS(nNOTA,nNIA,S187,nCUENTA,1,nASIG,"Armonía"),"")))</f>
        <v/>
      </c>
      <c r="U187" t="str">
        <f>IF(S187="","",IF(S187="[FÓRMULA MANUAL]","",IFERROR(AVERAGEIFS(nNOTA,nNIA,S187,nCUENTA,1,nASIG,"Orquesta/Banda/Conjunto"),"")))</f>
        <v/>
      </c>
      <c r="V187" t="str">
        <f>IF(S187="","",IF(S187="[FÓRMULA MANUAL]","",IFERROR(AVERAGEIFS(nNOTA,nNIA,S187,nCUENTA,1,nASIG,"Música de Cámara"),"")))</f>
        <v/>
      </c>
      <c r="W187" t="str">
        <f>IF(S187="","",IF(S187="[FÓRMULA MANUAL]","",IFERROR(SUMPRODUCT((nNIA=S187)*(nCUENTA=1)*(COUNTIF(CONFIG_ASIGNATURAS!$B$7:$B$27,nASIG)&gt;0)*(nNOTA))/SUMPRODUCT((nNIA=S187)*(nCUENTA=1)*(COUNTIF(CONFIG_ASIGNATURAS!$B$7:$B$27,nASIG)&gt;0)*1),"")))</f>
        <v/>
      </c>
      <c r="Z187" t="str">
        <f>IF(Y187="","",IF(Y187="[FÓRMULA MANUAL]","",IFERROR(AVERAGEIFS(nNOTA,nNIA,Y187,nCUENTA,1,nASIG,"Análisis"),"")))</f>
        <v/>
      </c>
      <c r="AA187" t="str">
        <f>IF(Y187="","",IF(Y187="[FÓRMULA MANUAL]","",IFERROR(AVERAGEIFS(nNOTA,nNIA,Y187,nCUENTA,1,nASIG,"Orquesta/Banda/Conjunto"),"")))</f>
        <v/>
      </c>
      <c r="AB187" t="str">
        <f>IF(Y187="","",IF(Y187="[FÓRMULA MANUAL]","",IFERROR(AVERAGEIFS(nNOTA,nNIA,Y187,nCUENTA,1,nASIG,"Música de Cámara"),"")))</f>
        <v/>
      </c>
      <c r="AC187" t="str">
        <f>IF(Y187="","",IF(Y187="[FÓRMULA MANUAL]","",IFERROR(SUMPRODUCT((nNIA=Y187)*(nCUENTA=1)*(COUNTIF(CONFIG_ASIGNATURAS!$B$7:$B$27,nASIG)&gt;0)*(nNOTA))/SUMPRODUCT((nNIA=Y187)*(nCUENTA=1)*(COUNTIF(CONFIG_ASIGNATURAS!$B$7:$B$27,nASIG)&gt;0)*1),"")))</f>
        <v/>
      </c>
      <c r="AF187" t="str">
        <f>IF(AE187="","",IF(AE187="[FÓRMULA MANUAL]","",IFERROR(AVERAGEIFS(nNOTA,nNIA,AE187,nCUENTA,1,nASIG,"Análisis"),"")))</f>
        <v/>
      </c>
      <c r="AG187" t="str">
        <f>IF(AE187="","",IF(AE187="[FÓRMULA MANUAL]","",IFERROR(AVERAGEIFS(nNOTA,nNIA,AE187,nCUENTA,1,nASIG,"Orquesta/Banda/Conjunto"),"")))</f>
        <v/>
      </c>
      <c r="AH187" t="str">
        <f>IF(AE187="","",IF(AE187="[FÓRMULA MANUAL]","",IFERROR(AVERAGEIFS(nNOTA,nNIA,AE187,nCUENTA,1,nASIG,"Música de Cámara"),"")))</f>
        <v/>
      </c>
      <c r="AI187" t="str">
        <f>IF(AE187="","",IF(AE187="[FÓRMULA MANUAL]","",IFERROR(SUMPRODUCT((nNIA=AE187)*(nCUENTA=1)*(COUNTIF(CONFIG_ASIGNATURAS!$B$7:$B$27,nASIG)&gt;0)*(nNOTA))/SUMPRODUCT((nNIA=AE187)*(nCUENTA=1)*(COUNTIF(CONFIG_ASIGNATURAS!$B$7:$B$27,nASIG)&gt;0)*1),"")))</f>
        <v/>
      </c>
    </row>
    <row r="188" spans="2:35" x14ac:dyDescent="0.2">
      <c r="B188" t="str">
        <f>IF(A188="","",IF(A188="[FÓRMULA MANUAL]","",IFERROR(AVERAGEIFS(nNOTA,nNIA,A188,nCUENTA,1,nASIG,"Lenguaje Musical"),"")))</f>
        <v/>
      </c>
      <c r="C188" t="str">
        <f>IF(A188="","",IF(A188="[FÓRMULA MANUAL]","",IFERROR(AVERAGEIFS(nNOTA,nNIA,A188,nCUENTA,1,nASIG,"Orquesta/Banda/Conjunto"),"")))</f>
        <v/>
      </c>
      <c r="D188" t="str">
        <f>IF(A188="","",IF(A188="[FÓRMULA MANUAL]","",IFERROR(AVERAGEIFS(nNOTA,nNIA,A188,nCUENTA,1,nASIG,"Conjunto"),"")))</f>
        <v/>
      </c>
      <c r="E188" t="str">
        <f>IF(A188="","",IF(A188="[FÓRMULA MANUAL]","",IFERROR(SUMPRODUCT((nNIA=A188)*(nCUENTA=1)*(COUNTIF(CONFIG_ASIGNATURAS!$B$7:$B$27,nASIG)&gt;0)*(nNOTA))/SUMPRODUCT((nNIA=A188)*(nCUENTA=1)*(COUNTIF(CONFIG_ASIGNATURAS!$B$7:$B$27,nASIG)&gt;0)*1),"")))</f>
        <v/>
      </c>
      <c r="H188" t="str">
        <f>IF(G188="","",IF(G188="[FÓRMULA MANUAL]","",IFERROR(AVERAGEIFS(nNOTA,nNIA,G188,nCUENTA,1,nASIG,"Lenguaje Musical"),"")))</f>
        <v/>
      </c>
      <c r="I188" t="str">
        <f>IF(G188="","",IF(G188="[FÓRMULA MANUAL]","",IFERROR(AVERAGEIFS(nNOTA,nNIA,G188,nCUENTA,1,nASIG,"Orquesta/Banda/Conjunto"),"")))</f>
        <v/>
      </c>
      <c r="J188" t="str">
        <f>IF(G188="","",IF(G188="[FÓRMULA MANUAL]","",IFERROR(AVERAGEIFS(nNOTA,nNIA,G188,nCUENTA,1,nASIG,"Conjunto"),"")))</f>
        <v/>
      </c>
      <c r="K188" t="str">
        <f>IF(G188="","",IF(G188="[FÓRMULA MANUAL]","",IFERROR(SUMPRODUCT((nNIA=G188)*(nCUENTA=1)*(COUNTIF(CONFIG_ASIGNATURAS!$B$7:$B$27,nASIG)&gt;0)*(nNOTA))/SUMPRODUCT((nNIA=G188)*(nCUENTA=1)*(COUNTIF(CONFIG_ASIGNATURAS!$B$7:$B$27,nASIG)&gt;0)*1),"")))</f>
        <v/>
      </c>
      <c r="N188" t="str">
        <f>IF(M188="","",IF(M188="[FÓRMULA MANUAL]","",IFERROR(AVERAGEIFS(nNOTA,nNIA,M188,nCUENTA,1,nASIG,"Armonía"),"")))</f>
        <v/>
      </c>
      <c r="O188" t="str">
        <f>IF(M188="","",IF(M188="[FÓRMULA MANUAL]","",IFERROR(AVERAGEIFS(nNOTA,nNIA,M188,nCUENTA,1,nASIG,"Orquesta/Banda/Conjunto"),"")))</f>
        <v/>
      </c>
      <c r="P188" t="str">
        <f>IF(M188="","",IF(M188="[FÓRMULA MANUAL]","",IFERROR(AVERAGEIFS(nNOTA,nNIA,M188,nCUENTA,1,nASIG,"Música de Cámara"),"")))</f>
        <v/>
      </c>
      <c r="Q188" t="str">
        <f>IF(M188="","",IF(M188="[FÓRMULA MANUAL]","",IFERROR(SUMPRODUCT((nNIA=M188)*(nCUENTA=1)*(COUNTIF(CONFIG_ASIGNATURAS!$B$7:$B$27,nASIG)&gt;0)*(nNOTA))/SUMPRODUCT((nNIA=M188)*(nCUENTA=1)*(COUNTIF(CONFIG_ASIGNATURAS!$B$7:$B$27,nASIG)&gt;0)*1),"")))</f>
        <v/>
      </c>
      <c r="T188" t="str">
        <f>IF(S188="","",IF(S188="[FÓRMULA MANUAL]","",IFERROR(AVERAGEIFS(nNOTA,nNIA,S188,nCUENTA,1,nASIG,"Armonía"),"")))</f>
        <v/>
      </c>
      <c r="U188" t="str">
        <f>IF(S188="","",IF(S188="[FÓRMULA MANUAL]","",IFERROR(AVERAGEIFS(nNOTA,nNIA,S188,nCUENTA,1,nASIG,"Orquesta/Banda/Conjunto"),"")))</f>
        <v/>
      </c>
      <c r="V188" t="str">
        <f>IF(S188="","",IF(S188="[FÓRMULA MANUAL]","",IFERROR(AVERAGEIFS(nNOTA,nNIA,S188,nCUENTA,1,nASIG,"Música de Cámara"),"")))</f>
        <v/>
      </c>
      <c r="W188" t="str">
        <f>IF(S188="","",IF(S188="[FÓRMULA MANUAL]","",IFERROR(SUMPRODUCT((nNIA=S188)*(nCUENTA=1)*(COUNTIF(CONFIG_ASIGNATURAS!$B$7:$B$27,nASIG)&gt;0)*(nNOTA))/SUMPRODUCT((nNIA=S188)*(nCUENTA=1)*(COUNTIF(CONFIG_ASIGNATURAS!$B$7:$B$27,nASIG)&gt;0)*1),"")))</f>
        <v/>
      </c>
      <c r="Z188" t="str">
        <f>IF(Y188="","",IF(Y188="[FÓRMULA MANUAL]","",IFERROR(AVERAGEIFS(nNOTA,nNIA,Y188,nCUENTA,1,nASIG,"Análisis"),"")))</f>
        <v/>
      </c>
      <c r="AA188" t="str">
        <f>IF(Y188="","",IF(Y188="[FÓRMULA MANUAL]","",IFERROR(AVERAGEIFS(nNOTA,nNIA,Y188,nCUENTA,1,nASIG,"Orquesta/Banda/Conjunto"),"")))</f>
        <v/>
      </c>
      <c r="AB188" t="str">
        <f>IF(Y188="","",IF(Y188="[FÓRMULA MANUAL]","",IFERROR(AVERAGEIFS(nNOTA,nNIA,Y188,nCUENTA,1,nASIG,"Música de Cámara"),"")))</f>
        <v/>
      </c>
      <c r="AC188" t="str">
        <f>IF(Y188="","",IF(Y188="[FÓRMULA MANUAL]","",IFERROR(SUMPRODUCT((nNIA=Y188)*(nCUENTA=1)*(COUNTIF(CONFIG_ASIGNATURAS!$B$7:$B$27,nASIG)&gt;0)*(nNOTA))/SUMPRODUCT((nNIA=Y188)*(nCUENTA=1)*(COUNTIF(CONFIG_ASIGNATURAS!$B$7:$B$27,nASIG)&gt;0)*1),"")))</f>
        <v/>
      </c>
      <c r="AF188" t="str">
        <f>IF(AE188="","",IF(AE188="[FÓRMULA MANUAL]","",IFERROR(AVERAGEIFS(nNOTA,nNIA,AE188,nCUENTA,1,nASIG,"Análisis"),"")))</f>
        <v/>
      </c>
      <c r="AG188" t="str">
        <f>IF(AE188="","",IF(AE188="[FÓRMULA MANUAL]","",IFERROR(AVERAGEIFS(nNOTA,nNIA,AE188,nCUENTA,1,nASIG,"Orquesta/Banda/Conjunto"),"")))</f>
        <v/>
      </c>
      <c r="AH188" t="str">
        <f>IF(AE188="","",IF(AE188="[FÓRMULA MANUAL]","",IFERROR(AVERAGEIFS(nNOTA,nNIA,AE188,nCUENTA,1,nASIG,"Música de Cámara"),"")))</f>
        <v/>
      </c>
      <c r="AI188" t="str">
        <f>IF(AE188="","",IF(AE188="[FÓRMULA MANUAL]","",IFERROR(SUMPRODUCT((nNIA=AE188)*(nCUENTA=1)*(COUNTIF(CONFIG_ASIGNATURAS!$B$7:$B$27,nASIG)&gt;0)*(nNOTA))/SUMPRODUCT((nNIA=AE188)*(nCUENTA=1)*(COUNTIF(CONFIG_ASIGNATURAS!$B$7:$B$27,nASIG)&gt;0)*1),"")))</f>
        <v/>
      </c>
    </row>
    <row r="189" spans="2:35" x14ac:dyDescent="0.2">
      <c r="B189" t="str">
        <f>IF(A189="","",IF(A189="[FÓRMULA MANUAL]","",IFERROR(AVERAGEIFS(nNOTA,nNIA,A189,nCUENTA,1,nASIG,"Lenguaje Musical"),"")))</f>
        <v/>
      </c>
      <c r="C189" t="str">
        <f>IF(A189="","",IF(A189="[FÓRMULA MANUAL]","",IFERROR(AVERAGEIFS(nNOTA,nNIA,A189,nCUENTA,1,nASIG,"Orquesta/Banda/Conjunto"),"")))</f>
        <v/>
      </c>
      <c r="D189" t="str">
        <f>IF(A189="","",IF(A189="[FÓRMULA MANUAL]","",IFERROR(AVERAGEIFS(nNOTA,nNIA,A189,nCUENTA,1,nASIG,"Conjunto"),"")))</f>
        <v/>
      </c>
      <c r="E189" t="str">
        <f>IF(A189="","",IF(A189="[FÓRMULA MANUAL]","",IFERROR(SUMPRODUCT((nNIA=A189)*(nCUENTA=1)*(COUNTIF(CONFIG_ASIGNATURAS!$B$7:$B$27,nASIG)&gt;0)*(nNOTA))/SUMPRODUCT((nNIA=A189)*(nCUENTA=1)*(COUNTIF(CONFIG_ASIGNATURAS!$B$7:$B$27,nASIG)&gt;0)*1),"")))</f>
        <v/>
      </c>
      <c r="H189" t="str">
        <f>IF(G189="","",IF(G189="[FÓRMULA MANUAL]","",IFERROR(AVERAGEIFS(nNOTA,nNIA,G189,nCUENTA,1,nASIG,"Lenguaje Musical"),"")))</f>
        <v/>
      </c>
      <c r="I189" t="str">
        <f>IF(G189="","",IF(G189="[FÓRMULA MANUAL]","",IFERROR(AVERAGEIFS(nNOTA,nNIA,G189,nCUENTA,1,nASIG,"Orquesta/Banda/Conjunto"),"")))</f>
        <v/>
      </c>
      <c r="J189" t="str">
        <f>IF(G189="","",IF(G189="[FÓRMULA MANUAL]","",IFERROR(AVERAGEIFS(nNOTA,nNIA,G189,nCUENTA,1,nASIG,"Conjunto"),"")))</f>
        <v/>
      </c>
      <c r="K189" t="str">
        <f>IF(G189="","",IF(G189="[FÓRMULA MANUAL]","",IFERROR(SUMPRODUCT((nNIA=G189)*(nCUENTA=1)*(COUNTIF(CONFIG_ASIGNATURAS!$B$7:$B$27,nASIG)&gt;0)*(nNOTA))/SUMPRODUCT((nNIA=G189)*(nCUENTA=1)*(COUNTIF(CONFIG_ASIGNATURAS!$B$7:$B$27,nASIG)&gt;0)*1),"")))</f>
        <v/>
      </c>
      <c r="N189" t="str">
        <f>IF(M189="","",IF(M189="[FÓRMULA MANUAL]","",IFERROR(AVERAGEIFS(nNOTA,nNIA,M189,nCUENTA,1,nASIG,"Armonía"),"")))</f>
        <v/>
      </c>
      <c r="O189" t="str">
        <f>IF(M189="","",IF(M189="[FÓRMULA MANUAL]","",IFERROR(AVERAGEIFS(nNOTA,nNIA,M189,nCUENTA,1,nASIG,"Orquesta/Banda/Conjunto"),"")))</f>
        <v/>
      </c>
      <c r="P189" t="str">
        <f>IF(M189="","",IF(M189="[FÓRMULA MANUAL]","",IFERROR(AVERAGEIFS(nNOTA,nNIA,M189,nCUENTA,1,nASIG,"Música de Cámara"),"")))</f>
        <v/>
      </c>
      <c r="Q189" t="str">
        <f>IF(M189="","",IF(M189="[FÓRMULA MANUAL]","",IFERROR(SUMPRODUCT((nNIA=M189)*(nCUENTA=1)*(COUNTIF(CONFIG_ASIGNATURAS!$B$7:$B$27,nASIG)&gt;0)*(nNOTA))/SUMPRODUCT((nNIA=M189)*(nCUENTA=1)*(COUNTIF(CONFIG_ASIGNATURAS!$B$7:$B$27,nASIG)&gt;0)*1),"")))</f>
        <v/>
      </c>
      <c r="T189" t="str">
        <f>IF(S189="","",IF(S189="[FÓRMULA MANUAL]","",IFERROR(AVERAGEIFS(nNOTA,nNIA,S189,nCUENTA,1,nASIG,"Armonía"),"")))</f>
        <v/>
      </c>
      <c r="U189" t="str">
        <f>IF(S189="","",IF(S189="[FÓRMULA MANUAL]","",IFERROR(AVERAGEIFS(nNOTA,nNIA,S189,nCUENTA,1,nASIG,"Orquesta/Banda/Conjunto"),"")))</f>
        <v/>
      </c>
      <c r="V189" t="str">
        <f>IF(S189="","",IF(S189="[FÓRMULA MANUAL]","",IFERROR(AVERAGEIFS(nNOTA,nNIA,S189,nCUENTA,1,nASIG,"Música de Cámara"),"")))</f>
        <v/>
      </c>
      <c r="W189" t="str">
        <f>IF(S189="","",IF(S189="[FÓRMULA MANUAL]","",IFERROR(SUMPRODUCT((nNIA=S189)*(nCUENTA=1)*(COUNTIF(CONFIG_ASIGNATURAS!$B$7:$B$27,nASIG)&gt;0)*(nNOTA))/SUMPRODUCT((nNIA=S189)*(nCUENTA=1)*(COUNTIF(CONFIG_ASIGNATURAS!$B$7:$B$27,nASIG)&gt;0)*1),"")))</f>
        <v/>
      </c>
      <c r="Z189" t="str">
        <f>IF(Y189="","",IF(Y189="[FÓRMULA MANUAL]","",IFERROR(AVERAGEIFS(nNOTA,nNIA,Y189,nCUENTA,1,nASIG,"Análisis"),"")))</f>
        <v/>
      </c>
      <c r="AA189" t="str">
        <f>IF(Y189="","",IF(Y189="[FÓRMULA MANUAL]","",IFERROR(AVERAGEIFS(nNOTA,nNIA,Y189,nCUENTA,1,nASIG,"Orquesta/Banda/Conjunto"),"")))</f>
        <v/>
      </c>
      <c r="AB189" t="str">
        <f>IF(Y189="","",IF(Y189="[FÓRMULA MANUAL]","",IFERROR(AVERAGEIFS(nNOTA,nNIA,Y189,nCUENTA,1,nASIG,"Música de Cámara"),"")))</f>
        <v/>
      </c>
      <c r="AC189" t="str">
        <f>IF(Y189="","",IF(Y189="[FÓRMULA MANUAL]","",IFERROR(SUMPRODUCT((nNIA=Y189)*(nCUENTA=1)*(COUNTIF(CONFIG_ASIGNATURAS!$B$7:$B$27,nASIG)&gt;0)*(nNOTA))/SUMPRODUCT((nNIA=Y189)*(nCUENTA=1)*(COUNTIF(CONFIG_ASIGNATURAS!$B$7:$B$27,nASIG)&gt;0)*1),"")))</f>
        <v/>
      </c>
      <c r="AF189" t="str">
        <f>IF(AE189="","",IF(AE189="[FÓRMULA MANUAL]","",IFERROR(AVERAGEIFS(nNOTA,nNIA,AE189,nCUENTA,1,nASIG,"Análisis"),"")))</f>
        <v/>
      </c>
      <c r="AG189" t="str">
        <f>IF(AE189="","",IF(AE189="[FÓRMULA MANUAL]","",IFERROR(AVERAGEIFS(nNOTA,nNIA,AE189,nCUENTA,1,nASIG,"Orquesta/Banda/Conjunto"),"")))</f>
        <v/>
      </c>
      <c r="AH189" t="str">
        <f>IF(AE189="","",IF(AE189="[FÓRMULA MANUAL]","",IFERROR(AVERAGEIFS(nNOTA,nNIA,AE189,nCUENTA,1,nASIG,"Música de Cámara"),"")))</f>
        <v/>
      </c>
      <c r="AI189" t="str">
        <f>IF(AE189="","",IF(AE189="[FÓRMULA MANUAL]","",IFERROR(SUMPRODUCT((nNIA=AE189)*(nCUENTA=1)*(COUNTIF(CONFIG_ASIGNATURAS!$B$7:$B$27,nASIG)&gt;0)*(nNOTA))/SUMPRODUCT((nNIA=AE189)*(nCUENTA=1)*(COUNTIF(CONFIG_ASIGNATURAS!$B$7:$B$27,nASIG)&gt;0)*1),"")))</f>
        <v/>
      </c>
    </row>
    <row r="190" spans="2:35" x14ac:dyDescent="0.2">
      <c r="B190" t="str">
        <f>IF(A190="","",IF(A190="[FÓRMULA MANUAL]","",IFERROR(AVERAGEIFS(nNOTA,nNIA,A190,nCUENTA,1,nASIG,"Lenguaje Musical"),"")))</f>
        <v/>
      </c>
      <c r="C190" t="str">
        <f>IF(A190="","",IF(A190="[FÓRMULA MANUAL]","",IFERROR(AVERAGEIFS(nNOTA,nNIA,A190,nCUENTA,1,nASIG,"Orquesta/Banda/Conjunto"),"")))</f>
        <v/>
      </c>
      <c r="D190" t="str">
        <f>IF(A190="","",IF(A190="[FÓRMULA MANUAL]","",IFERROR(AVERAGEIFS(nNOTA,nNIA,A190,nCUENTA,1,nASIG,"Conjunto"),"")))</f>
        <v/>
      </c>
      <c r="E190" t="str">
        <f>IF(A190="","",IF(A190="[FÓRMULA MANUAL]","",IFERROR(SUMPRODUCT((nNIA=A190)*(nCUENTA=1)*(COUNTIF(CONFIG_ASIGNATURAS!$B$7:$B$27,nASIG)&gt;0)*(nNOTA))/SUMPRODUCT((nNIA=A190)*(nCUENTA=1)*(COUNTIF(CONFIG_ASIGNATURAS!$B$7:$B$27,nASIG)&gt;0)*1),"")))</f>
        <v/>
      </c>
      <c r="H190" t="str">
        <f>IF(G190="","",IF(G190="[FÓRMULA MANUAL]","",IFERROR(AVERAGEIFS(nNOTA,nNIA,G190,nCUENTA,1,nASIG,"Lenguaje Musical"),"")))</f>
        <v/>
      </c>
      <c r="I190" t="str">
        <f>IF(G190="","",IF(G190="[FÓRMULA MANUAL]","",IFERROR(AVERAGEIFS(nNOTA,nNIA,G190,nCUENTA,1,nASIG,"Orquesta/Banda/Conjunto"),"")))</f>
        <v/>
      </c>
      <c r="J190" t="str">
        <f>IF(G190="","",IF(G190="[FÓRMULA MANUAL]","",IFERROR(AVERAGEIFS(nNOTA,nNIA,G190,nCUENTA,1,nASIG,"Conjunto"),"")))</f>
        <v/>
      </c>
      <c r="K190" t="str">
        <f>IF(G190="","",IF(G190="[FÓRMULA MANUAL]","",IFERROR(SUMPRODUCT((nNIA=G190)*(nCUENTA=1)*(COUNTIF(CONFIG_ASIGNATURAS!$B$7:$B$27,nASIG)&gt;0)*(nNOTA))/SUMPRODUCT((nNIA=G190)*(nCUENTA=1)*(COUNTIF(CONFIG_ASIGNATURAS!$B$7:$B$27,nASIG)&gt;0)*1),"")))</f>
        <v/>
      </c>
      <c r="N190" t="str">
        <f>IF(M190="","",IF(M190="[FÓRMULA MANUAL]","",IFERROR(AVERAGEIFS(nNOTA,nNIA,M190,nCUENTA,1,nASIG,"Armonía"),"")))</f>
        <v/>
      </c>
      <c r="O190" t="str">
        <f>IF(M190="","",IF(M190="[FÓRMULA MANUAL]","",IFERROR(AVERAGEIFS(nNOTA,nNIA,M190,nCUENTA,1,nASIG,"Orquesta/Banda/Conjunto"),"")))</f>
        <v/>
      </c>
      <c r="P190" t="str">
        <f>IF(M190="","",IF(M190="[FÓRMULA MANUAL]","",IFERROR(AVERAGEIFS(nNOTA,nNIA,M190,nCUENTA,1,nASIG,"Música de Cámara"),"")))</f>
        <v/>
      </c>
      <c r="Q190" t="str">
        <f>IF(M190="","",IF(M190="[FÓRMULA MANUAL]","",IFERROR(SUMPRODUCT((nNIA=M190)*(nCUENTA=1)*(COUNTIF(CONFIG_ASIGNATURAS!$B$7:$B$27,nASIG)&gt;0)*(nNOTA))/SUMPRODUCT((nNIA=M190)*(nCUENTA=1)*(COUNTIF(CONFIG_ASIGNATURAS!$B$7:$B$27,nASIG)&gt;0)*1),"")))</f>
        <v/>
      </c>
      <c r="T190" t="str">
        <f>IF(S190="","",IF(S190="[FÓRMULA MANUAL]","",IFERROR(AVERAGEIFS(nNOTA,nNIA,S190,nCUENTA,1,nASIG,"Armonía"),"")))</f>
        <v/>
      </c>
      <c r="U190" t="str">
        <f>IF(S190="","",IF(S190="[FÓRMULA MANUAL]","",IFERROR(AVERAGEIFS(nNOTA,nNIA,S190,nCUENTA,1,nASIG,"Orquesta/Banda/Conjunto"),"")))</f>
        <v/>
      </c>
      <c r="V190" t="str">
        <f>IF(S190="","",IF(S190="[FÓRMULA MANUAL]","",IFERROR(AVERAGEIFS(nNOTA,nNIA,S190,nCUENTA,1,nASIG,"Música de Cámara"),"")))</f>
        <v/>
      </c>
      <c r="W190" t="str">
        <f>IF(S190="","",IF(S190="[FÓRMULA MANUAL]","",IFERROR(SUMPRODUCT((nNIA=S190)*(nCUENTA=1)*(COUNTIF(CONFIG_ASIGNATURAS!$B$7:$B$27,nASIG)&gt;0)*(nNOTA))/SUMPRODUCT((nNIA=S190)*(nCUENTA=1)*(COUNTIF(CONFIG_ASIGNATURAS!$B$7:$B$27,nASIG)&gt;0)*1),"")))</f>
        <v/>
      </c>
      <c r="Z190" t="str">
        <f>IF(Y190="","",IF(Y190="[FÓRMULA MANUAL]","",IFERROR(AVERAGEIFS(nNOTA,nNIA,Y190,nCUENTA,1,nASIG,"Análisis"),"")))</f>
        <v/>
      </c>
      <c r="AA190" t="str">
        <f>IF(Y190="","",IF(Y190="[FÓRMULA MANUAL]","",IFERROR(AVERAGEIFS(nNOTA,nNIA,Y190,nCUENTA,1,nASIG,"Orquesta/Banda/Conjunto"),"")))</f>
        <v/>
      </c>
      <c r="AB190" t="str">
        <f>IF(Y190="","",IF(Y190="[FÓRMULA MANUAL]","",IFERROR(AVERAGEIFS(nNOTA,nNIA,Y190,nCUENTA,1,nASIG,"Música de Cámara"),"")))</f>
        <v/>
      </c>
      <c r="AC190" t="str">
        <f>IF(Y190="","",IF(Y190="[FÓRMULA MANUAL]","",IFERROR(SUMPRODUCT((nNIA=Y190)*(nCUENTA=1)*(COUNTIF(CONFIG_ASIGNATURAS!$B$7:$B$27,nASIG)&gt;0)*(nNOTA))/SUMPRODUCT((nNIA=Y190)*(nCUENTA=1)*(COUNTIF(CONFIG_ASIGNATURAS!$B$7:$B$27,nASIG)&gt;0)*1),"")))</f>
        <v/>
      </c>
      <c r="AF190" t="str">
        <f>IF(AE190="","",IF(AE190="[FÓRMULA MANUAL]","",IFERROR(AVERAGEIFS(nNOTA,nNIA,AE190,nCUENTA,1,nASIG,"Análisis"),"")))</f>
        <v/>
      </c>
      <c r="AG190" t="str">
        <f>IF(AE190="","",IF(AE190="[FÓRMULA MANUAL]","",IFERROR(AVERAGEIFS(nNOTA,nNIA,AE190,nCUENTA,1,nASIG,"Orquesta/Banda/Conjunto"),"")))</f>
        <v/>
      </c>
      <c r="AH190" t="str">
        <f>IF(AE190="","",IF(AE190="[FÓRMULA MANUAL]","",IFERROR(AVERAGEIFS(nNOTA,nNIA,AE190,nCUENTA,1,nASIG,"Música de Cámara"),"")))</f>
        <v/>
      </c>
      <c r="AI190" t="str">
        <f>IF(AE190="","",IF(AE190="[FÓRMULA MANUAL]","",IFERROR(SUMPRODUCT((nNIA=AE190)*(nCUENTA=1)*(COUNTIF(CONFIG_ASIGNATURAS!$B$7:$B$27,nASIG)&gt;0)*(nNOTA))/SUMPRODUCT((nNIA=AE190)*(nCUENTA=1)*(COUNTIF(CONFIG_ASIGNATURAS!$B$7:$B$27,nASIG)&gt;0)*1),"")))</f>
        <v/>
      </c>
    </row>
    <row r="191" spans="2:35" x14ac:dyDescent="0.2">
      <c r="B191" t="str">
        <f>IF(A191="","",IF(A191="[FÓRMULA MANUAL]","",IFERROR(AVERAGEIFS(nNOTA,nNIA,A191,nCUENTA,1,nASIG,"Lenguaje Musical"),"")))</f>
        <v/>
      </c>
      <c r="C191" t="str">
        <f>IF(A191="","",IF(A191="[FÓRMULA MANUAL]","",IFERROR(AVERAGEIFS(nNOTA,nNIA,A191,nCUENTA,1,nASIG,"Orquesta/Banda/Conjunto"),"")))</f>
        <v/>
      </c>
      <c r="D191" t="str">
        <f>IF(A191="","",IF(A191="[FÓRMULA MANUAL]","",IFERROR(AVERAGEIFS(nNOTA,nNIA,A191,nCUENTA,1,nASIG,"Conjunto"),"")))</f>
        <v/>
      </c>
      <c r="E191" t="str">
        <f>IF(A191="","",IF(A191="[FÓRMULA MANUAL]","",IFERROR(SUMPRODUCT((nNIA=A191)*(nCUENTA=1)*(COUNTIF(CONFIG_ASIGNATURAS!$B$7:$B$27,nASIG)&gt;0)*(nNOTA))/SUMPRODUCT((nNIA=A191)*(nCUENTA=1)*(COUNTIF(CONFIG_ASIGNATURAS!$B$7:$B$27,nASIG)&gt;0)*1),"")))</f>
        <v/>
      </c>
      <c r="H191" t="str">
        <f>IF(G191="","",IF(G191="[FÓRMULA MANUAL]","",IFERROR(AVERAGEIFS(nNOTA,nNIA,G191,nCUENTA,1,nASIG,"Lenguaje Musical"),"")))</f>
        <v/>
      </c>
      <c r="I191" t="str">
        <f>IF(G191="","",IF(G191="[FÓRMULA MANUAL]","",IFERROR(AVERAGEIFS(nNOTA,nNIA,G191,nCUENTA,1,nASIG,"Orquesta/Banda/Conjunto"),"")))</f>
        <v/>
      </c>
      <c r="J191" t="str">
        <f>IF(G191="","",IF(G191="[FÓRMULA MANUAL]","",IFERROR(AVERAGEIFS(nNOTA,nNIA,G191,nCUENTA,1,nASIG,"Conjunto"),"")))</f>
        <v/>
      </c>
      <c r="K191" t="str">
        <f>IF(G191="","",IF(G191="[FÓRMULA MANUAL]","",IFERROR(SUMPRODUCT((nNIA=G191)*(nCUENTA=1)*(COUNTIF(CONFIG_ASIGNATURAS!$B$7:$B$27,nASIG)&gt;0)*(nNOTA))/SUMPRODUCT((nNIA=G191)*(nCUENTA=1)*(COUNTIF(CONFIG_ASIGNATURAS!$B$7:$B$27,nASIG)&gt;0)*1),"")))</f>
        <v/>
      </c>
      <c r="N191" t="str">
        <f>IF(M191="","",IF(M191="[FÓRMULA MANUAL]","",IFERROR(AVERAGEIFS(nNOTA,nNIA,M191,nCUENTA,1,nASIG,"Armonía"),"")))</f>
        <v/>
      </c>
      <c r="O191" t="str">
        <f>IF(M191="","",IF(M191="[FÓRMULA MANUAL]","",IFERROR(AVERAGEIFS(nNOTA,nNIA,M191,nCUENTA,1,nASIG,"Orquesta/Banda/Conjunto"),"")))</f>
        <v/>
      </c>
      <c r="P191" t="str">
        <f>IF(M191="","",IF(M191="[FÓRMULA MANUAL]","",IFERROR(AVERAGEIFS(nNOTA,nNIA,M191,nCUENTA,1,nASIG,"Música de Cámara"),"")))</f>
        <v/>
      </c>
      <c r="Q191" t="str">
        <f>IF(M191="","",IF(M191="[FÓRMULA MANUAL]","",IFERROR(SUMPRODUCT((nNIA=M191)*(nCUENTA=1)*(COUNTIF(CONFIG_ASIGNATURAS!$B$7:$B$27,nASIG)&gt;0)*(nNOTA))/SUMPRODUCT((nNIA=M191)*(nCUENTA=1)*(COUNTIF(CONFIG_ASIGNATURAS!$B$7:$B$27,nASIG)&gt;0)*1),"")))</f>
        <v/>
      </c>
      <c r="T191" t="str">
        <f>IF(S191="","",IF(S191="[FÓRMULA MANUAL]","",IFERROR(AVERAGEIFS(nNOTA,nNIA,S191,nCUENTA,1,nASIG,"Armonía"),"")))</f>
        <v/>
      </c>
      <c r="U191" t="str">
        <f>IF(S191="","",IF(S191="[FÓRMULA MANUAL]","",IFERROR(AVERAGEIFS(nNOTA,nNIA,S191,nCUENTA,1,nASIG,"Orquesta/Banda/Conjunto"),"")))</f>
        <v/>
      </c>
      <c r="V191" t="str">
        <f>IF(S191="","",IF(S191="[FÓRMULA MANUAL]","",IFERROR(AVERAGEIFS(nNOTA,nNIA,S191,nCUENTA,1,nASIG,"Música de Cámara"),"")))</f>
        <v/>
      </c>
      <c r="W191" t="str">
        <f>IF(S191="","",IF(S191="[FÓRMULA MANUAL]","",IFERROR(SUMPRODUCT((nNIA=S191)*(nCUENTA=1)*(COUNTIF(CONFIG_ASIGNATURAS!$B$7:$B$27,nASIG)&gt;0)*(nNOTA))/SUMPRODUCT((nNIA=S191)*(nCUENTA=1)*(COUNTIF(CONFIG_ASIGNATURAS!$B$7:$B$27,nASIG)&gt;0)*1),"")))</f>
        <v/>
      </c>
      <c r="Z191" t="str">
        <f>IF(Y191="","",IF(Y191="[FÓRMULA MANUAL]","",IFERROR(AVERAGEIFS(nNOTA,nNIA,Y191,nCUENTA,1,nASIG,"Análisis"),"")))</f>
        <v/>
      </c>
      <c r="AA191" t="str">
        <f>IF(Y191="","",IF(Y191="[FÓRMULA MANUAL]","",IFERROR(AVERAGEIFS(nNOTA,nNIA,Y191,nCUENTA,1,nASIG,"Orquesta/Banda/Conjunto"),"")))</f>
        <v/>
      </c>
      <c r="AB191" t="str">
        <f>IF(Y191="","",IF(Y191="[FÓRMULA MANUAL]","",IFERROR(AVERAGEIFS(nNOTA,nNIA,Y191,nCUENTA,1,nASIG,"Música de Cámara"),"")))</f>
        <v/>
      </c>
      <c r="AC191" t="str">
        <f>IF(Y191="","",IF(Y191="[FÓRMULA MANUAL]","",IFERROR(SUMPRODUCT((nNIA=Y191)*(nCUENTA=1)*(COUNTIF(CONFIG_ASIGNATURAS!$B$7:$B$27,nASIG)&gt;0)*(nNOTA))/SUMPRODUCT((nNIA=Y191)*(nCUENTA=1)*(COUNTIF(CONFIG_ASIGNATURAS!$B$7:$B$27,nASIG)&gt;0)*1),"")))</f>
        <v/>
      </c>
      <c r="AF191" t="str">
        <f>IF(AE191="","",IF(AE191="[FÓRMULA MANUAL]","",IFERROR(AVERAGEIFS(nNOTA,nNIA,AE191,nCUENTA,1,nASIG,"Análisis"),"")))</f>
        <v/>
      </c>
      <c r="AG191" t="str">
        <f>IF(AE191="","",IF(AE191="[FÓRMULA MANUAL]","",IFERROR(AVERAGEIFS(nNOTA,nNIA,AE191,nCUENTA,1,nASIG,"Orquesta/Banda/Conjunto"),"")))</f>
        <v/>
      </c>
      <c r="AH191" t="str">
        <f>IF(AE191="","",IF(AE191="[FÓRMULA MANUAL]","",IFERROR(AVERAGEIFS(nNOTA,nNIA,AE191,nCUENTA,1,nASIG,"Música de Cámara"),"")))</f>
        <v/>
      </c>
      <c r="AI191" t="str">
        <f>IF(AE191="","",IF(AE191="[FÓRMULA MANUAL]","",IFERROR(SUMPRODUCT((nNIA=AE191)*(nCUENTA=1)*(COUNTIF(CONFIG_ASIGNATURAS!$B$7:$B$27,nASIG)&gt;0)*(nNOTA))/SUMPRODUCT((nNIA=AE191)*(nCUENTA=1)*(COUNTIF(CONFIG_ASIGNATURAS!$B$7:$B$27,nASIG)&gt;0)*1),"")))</f>
        <v/>
      </c>
    </row>
    <row r="192" spans="2:35" x14ac:dyDescent="0.2">
      <c r="B192" t="str">
        <f>IF(A192="","",IF(A192="[FÓRMULA MANUAL]","",IFERROR(AVERAGEIFS(nNOTA,nNIA,A192,nCUENTA,1,nASIG,"Lenguaje Musical"),"")))</f>
        <v/>
      </c>
      <c r="C192" t="str">
        <f>IF(A192="","",IF(A192="[FÓRMULA MANUAL]","",IFERROR(AVERAGEIFS(nNOTA,nNIA,A192,nCUENTA,1,nASIG,"Orquesta/Banda/Conjunto"),"")))</f>
        <v/>
      </c>
      <c r="D192" t="str">
        <f>IF(A192="","",IF(A192="[FÓRMULA MANUAL]","",IFERROR(AVERAGEIFS(nNOTA,nNIA,A192,nCUENTA,1,nASIG,"Conjunto"),"")))</f>
        <v/>
      </c>
      <c r="E192" t="str">
        <f>IF(A192="","",IF(A192="[FÓRMULA MANUAL]","",IFERROR(SUMPRODUCT((nNIA=A192)*(nCUENTA=1)*(COUNTIF(CONFIG_ASIGNATURAS!$B$7:$B$27,nASIG)&gt;0)*(nNOTA))/SUMPRODUCT((nNIA=A192)*(nCUENTA=1)*(COUNTIF(CONFIG_ASIGNATURAS!$B$7:$B$27,nASIG)&gt;0)*1),"")))</f>
        <v/>
      </c>
      <c r="H192" t="str">
        <f>IF(G192="","",IF(G192="[FÓRMULA MANUAL]","",IFERROR(AVERAGEIFS(nNOTA,nNIA,G192,nCUENTA,1,nASIG,"Lenguaje Musical"),"")))</f>
        <v/>
      </c>
      <c r="I192" t="str">
        <f>IF(G192="","",IF(G192="[FÓRMULA MANUAL]","",IFERROR(AVERAGEIFS(nNOTA,nNIA,G192,nCUENTA,1,nASIG,"Orquesta/Banda/Conjunto"),"")))</f>
        <v/>
      </c>
      <c r="J192" t="str">
        <f>IF(G192="","",IF(G192="[FÓRMULA MANUAL]","",IFERROR(AVERAGEIFS(nNOTA,nNIA,G192,nCUENTA,1,nASIG,"Conjunto"),"")))</f>
        <v/>
      </c>
      <c r="K192" t="str">
        <f>IF(G192="","",IF(G192="[FÓRMULA MANUAL]","",IFERROR(SUMPRODUCT((nNIA=G192)*(nCUENTA=1)*(COUNTIF(CONFIG_ASIGNATURAS!$B$7:$B$27,nASIG)&gt;0)*(nNOTA))/SUMPRODUCT((nNIA=G192)*(nCUENTA=1)*(COUNTIF(CONFIG_ASIGNATURAS!$B$7:$B$27,nASIG)&gt;0)*1),"")))</f>
        <v/>
      </c>
      <c r="N192" t="str">
        <f>IF(M192="","",IF(M192="[FÓRMULA MANUAL]","",IFERROR(AVERAGEIFS(nNOTA,nNIA,M192,nCUENTA,1,nASIG,"Armonía"),"")))</f>
        <v/>
      </c>
      <c r="O192" t="str">
        <f>IF(M192="","",IF(M192="[FÓRMULA MANUAL]","",IFERROR(AVERAGEIFS(nNOTA,nNIA,M192,nCUENTA,1,nASIG,"Orquesta/Banda/Conjunto"),"")))</f>
        <v/>
      </c>
      <c r="P192" t="str">
        <f>IF(M192="","",IF(M192="[FÓRMULA MANUAL]","",IFERROR(AVERAGEIFS(nNOTA,nNIA,M192,nCUENTA,1,nASIG,"Música de Cámara"),"")))</f>
        <v/>
      </c>
      <c r="Q192" t="str">
        <f>IF(M192="","",IF(M192="[FÓRMULA MANUAL]","",IFERROR(SUMPRODUCT((nNIA=M192)*(nCUENTA=1)*(COUNTIF(CONFIG_ASIGNATURAS!$B$7:$B$27,nASIG)&gt;0)*(nNOTA))/SUMPRODUCT((nNIA=M192)*(nCUENTA=1)*(COUNTIF(CONFIG_ASIGNATURAS!$B$7:$B$27,nASIG)&gt;0)*1),"")))</f>
        <v/>
      </c>
      <c r="T192" t="str">
        <f>IF(S192="","",IF(S192="[FÓRMULA MANUAL]","",IFERROR(AVERAGEIFS(nNOTA,nNIA,S192,nCUENTA,1,nASIG,"Armonía"),"")))</f>
        <v/>
      </c>
      <c r="U192" t="str">
        <f>IF(S192="","",IF(S192="[FÓRMULA MANUAL]","",IFERROR(AVERAGEIFS(nNOTA,nNIA,S192,nCUENTA,1,nASIG,"Orquesta/Banda/Conjunto"),"")))</f>
        <v/>
      </c>
      <c r="V192" t="str">
        <f>IF(S192="","",IF(S192="[FÓRMULA MANUAL]","",IFERROR(AVERAGEIFS(nNOTA,nNIA,S192,nCUENTA,1,nASIG,"Música de Cámara"),"")))</f>
        <v/>
      </c>
      <c r="W192" t="str">
        <f>IF(S192="","",IF(S192="[FÓRMULA MANUAL]","",IFERROR(SUMPRODUCT((nNIA=S192)*(nCUENTA=1)*(COUNTIF(CONFIG_ASIGNATURAS!$B$7:$B$27,nASIG)&gt;0)*(nNOTA))/SUMPRODUCT((nNIA=S192)*(nCUENTA=1)*(COUNTIF(CONFIG_ASIGNATURAS!$B$7:$B$27,nASIG)&gt;0)*1),"")))</f>
        <v/>
      </c>
      <c r="Z192" t="str">
        <f>IF(Y192="","",IF(Y192="[FÓRMULA MANUAL]","",IFERROR(AVERAGEIFS(nNOTA,nNIA,Y192,nCUENTA,1,nASIG,"Análisis"),"")))</f>
        <v/>
      </c>
      <c r="AA192" t="str">
        <f>IF(Y192="","",IF(Y192="[FÓRMULA MANUAL]","",IFERROR(AVERAGEIFS(nNOTA,nNIA,Y192,nCUENTA,1,nASIG,"Orquesta/Banda/Conjunto"),"")))</f>
        <v/>
      </c>
      <c r="AB192" t="str">
        <f>IF(Y192="","",IF(Y192="[FÓRMULA MANUAL]","",IFERROR(AVERAGEIFS(nNOTA,nNIA,Y192,nCUENTA,1,nASIG,"Música de Cámara"),"")))</f>
        <v/>
      </c>
      <c r="AC192" t="str">
        <f>IF(Y192="","",IF(Y192="[FÓRMULA MANUAL]","",IFERROR(SUMPRODUCT((nNIA=Y192)*(nCUENTA=1)*(COUNTIF(CONFIG_ASIGNATURAS!$B$7:$B$27,nASIG)&gt;0)*(nNOTA))/SUMPRODUCT((nNIA=Y192)*(nCUENTA=1)*(COUNTIF(CONFIG_ASIGNATURAS!$B$7:$B$27,nASIG)&gt;0)*1),"")))</f>
        <v/>
      </c>
      <c r="AF192" t="str">
        <f>IF(AE192="","",IF(AE192="[FÓRMULA MANUAL]","",IFERROR(AVERAGEIFS(nNOTA,nNIA,AE192,nCUENTA,1,nASIG,"Análisis"),"")))</f>
        <v/>
      </c>
      <c r="AG192" t="str">
        <f>IF(AE192="","",IF(AE192="[FÓRMULA MANUAL]","",IFERROR(AVERAGEIFS(nNOTA,nNIA,AE192,nCUENTA,1,nASIG,"Orquesta/Banda/Conjunto"),"")))</f>
        <v/>
      </c>
      <c r="AH192" t="str">
        <f>IF(AE192="","",IF(AE192="[FÓRMULA MANUAL]","",IFERROR(AVERAGEIFS(nNOTA,nNIA,AE192,nCUENTA,1,nASIG,"Música de Cámara"),"")))</f>
        <v/>
      </c>
      <c r="AI192" t="str">
        <f>IF(AE192="","",IF(AE192="[FÓRMULA MANUAL]","",IFERROR(SUMPRODUCT((nNIA=AE192)*(nCUENTA=1)*(COUNTIF(CONFIG_ASIGNATURAS!$B$7:$B$27,nASIG)&gt;0)*(nNOTA))/SUMPRODUCT((nNIA=AE192)*(nCUENTA=1)*(COUNTIF(CONFIG_ASIGNATURAS!$B$7:$B$27,nASIG)&gt;0)*1),"")))</f>
        <v/>
      </c>
    </row>
    <row r="193" spans="2:35" x14ac:dyDescent="0.2">
      <c r="B193" t="str">
        <f>IF(A193="","",IF(A193="[FÓRMULA MANUAL]","",IFERROR(AVERAGEIFS(nNOTA,nNIA,A193,nCUENTA,1,nASIG,"Lenguaje Musical"),"")))</f>
        <v/>
      </c>
      <c r="C193" t="str">
        <f>IF(A193="","",IF(A193="[FÓRMULA MANUAL]","",IFERROR(AVERAGEIFS(nNOTA,nNIA,A193,nCUENTA,1,nASIG,"Orquesta/Banda/Conjunto"),"")))</f>
        <v/>
      </c>
      <c r="D193" t="str">
        <f>IF(A193="","",IF(A193="[FÓRMULA MANUAL]","",IFERROR(AVERAGEIFS(nNOTA,nNIA,A193,nCUENTA,1,nASIG,"Conjunto"),"")))</f>
        <v/>
      </c>
      <c r="E193" t="str">
        <f>IF(A193="","",IF(A193="[FÓRMULA MANUAL]","",IFERROR(SUMPRODUCT((nNIA=A193)*(nCUENTA=1)*(COUNTIF(CONFIG_ASIGNATURAS!$B$7:$B$27,nASIG)&gt;0)*(nNOTA))/SUMPRODUCT((nNIA=A193)*(nCUENTA=1)*(COUNTIF(CONFIG_ASIGNATURAS!$B$7:$B$27,nASIG)&gt;0)*1),"")))</f>
        <v/>
      </c>
      <c r="H193" t="str">
        <f>IF(G193="","",IF(G193="[FÓRMULA MANUAL]","",IFERROR(AVERAGEIFS(nNOTA,nNIA,G193,nCUENTA,1,nASIG,"Lenguaje Musical"),"")))</f>
        <v/>
      </c>
      <c r="I193" t="str">
        <f>IF(G193="","",IF(G193="[FÓRMULA MANUAL]","",IFERROR(AVERAGEIFS(nNOTA,nNIA,G193,nCUENTA,1,nASIG,"Orquesta/Banda/Conjunto"),"")))</f>
        <v/>
      </c>
      <c r="J193" t="str">
        <f>IF(G193="","",IF(G193="[FÓRMULA MANUAL]","",IFERROR(AVERAGEIFS(nNOTA,nNIA,G193,nCUENTA,1,nASIG,"Conjunto"),"")))</f>
        <v/>
      </c>
      <c r="K193" t="str">
        <f>IF(G193="","",IF(G193="[FÓRMULA MANUAL]","",IFERROR(SUMPRODUCT((nNIA=G193)*(nCUENTA=1)*(COUNTIF(CONFIG_ASIGNATURAS!$B$7:$B$27,nASIG)&gt;0)*(nNOTA))/SUMPRODUCT((nNIA=G193)*(nCUENTA=1)*(COUNTIF(CONFIG_ASIGNATURAS!$B$7:$B$27,nASIG)&gt;0)*1),"")))</f>
        <v/>
      </c>
      <c r="N193" t="str">
        <f>IF(M193="","",IF(M193="[FÓRMULA MANUAL]","",IFERROR(AVERAGEIFS(nNOTA,nNIA,M193,nCUENTA,1,nASIG,"Armonía"),"")))</f>
        <v/>
      </c>
      <c r="O193" t="str">
        <f>IF(M193="","",IF(M193="[FÓRMULA MANUAL]","",IFERROR(AVERAGEIFS(nNOTA,nNIA,M193,nCUENTA,1,nASIG,"Orquesta/Banda/Conjunto"),"")))</f>
        <v/>
      </c>
      <c r="P193" t="str">
        <f>IF(M193="","",IF(M193="[FÓRMULA MANUAL]","",IFERROR(AVERAGEIFS(nNOTA,nNIA,M193,nCUENTA,1,nASIG,"Música de Cámara"),"")))</f>
        <v/>
      </c>
      <c r="Q193" t="str">
        <f>IF(M193="","",IF(M193="[FÓRMULA MANUAL]","",IFERROR(SUMPRODUCT((nNIA=M193)*(nCUENTA=1)*(COUNTIF(CONFIG_ASIGNATURAS!$B$7:$B$27,nASIG)&gt;0)*(nNOTA))/SUMPRODUCT((nNIA=M193)*(nCUENTA=1)*(COUNTIF(CONFIG_ASIGNATURAS!$B$7:$B$27,nASIG)&gt;0)*1),"")))</f>
        <v/>
      </c>
      <c r="T193" t="str">
        <f>IF(S193="","",IF(S193="[FÓRMULA MANUAL]","",IFERROR(AVERAGEIFS(nNOTA,nNIA,S193,nCUENTA,1,nASIG,"Armonía"),"")))</f>
        <v/>
      </c>
      <c r="U193" t="str">
        <f>IF(S193="","",IF(S193="[FÓRMULA MANUAL]","",IFERROR(AVERAGEIFS(nNOTA,nNIA,S193,nCUENTA,1,nASIG,"Orquesta/Banda/Conjunto"),"")))</f>
        <v/>
      </c>
      <c r="V193" t="str">
        <f>IF(S193="","",IF(S193="[FÓRMULA MANUAL]","",IFERROR(AVERAGEIFS(nNOTA,nNIA,S193,nCUENTA,1,nASIG,"Música de Cámara"),"")))</f>
        <v/>
      </c>
      <c r="W193" t="str">
        <f>IF(S193="","",IF(S193="[FÓRMULA MANUAL]","",IFERROR(SUMPRODUCT((nNIA=S193)*(nCUENTA=1)*(COUNTIF(CONFIG_ASIGNATURAS!$B$7:$B$27,nASIG)&gt;0)*(nNOTA))/SUMPRODUCT((nNIA=S193)*(nCUENTA=1)*(COUNTIF(CONFIG_ASIGNATURAS!$B$7:$B$27,nASIG)&gt;0)*1),"")))</f>
        <v/>
      </c>
      <c r="Z193" t="str">
        <f>IF(Y193="","",IF(Y193="[FÓRMULA MANUAL]","",IFERROR(AVERAGEIFS(nNOTA,nNIA,Y193,nCUENTA,1,nASIG,"Análisis"),"")))</f>
        <v/>
      </c>
      <c r="AA193" t="str">
        <f>IF(Y193="","",IF(Y193="[FÓRMULA MANUAL]","",IFERROR(AVERAGEIFS(nNOTA,nNIA,Y193,nCUENTA,1,nASIG,"Orquesta/Banda/Conjunto"),"")))</f>
        <v/>
      </c>
      <c r="AB193" t="str">
        <f>IF(Y193="","",IF(Y193="[FÓRMULA MANUAL]","",IFERROR(AVERAGEIFS(nNOTA,nNIA,Y193,nCUENTA,1,nASIG,"Música de Cámara"),"")))</f>
        <v/>
      </c>
      <c r="AC193" t="str">
        <f>IF(Y193="","",IF(Y193="[FÓRMULA MANUAL]","",IFERROR(SUMPRODUCT((nNIA=Y193)*(nCUENTA=1)*(COUNTIF(CONFIG_ASIGNATURAS!$B$7:$B$27,nASIG)&gt;0)*(nNOTA))/SUMPRODUCT((nNIA=Y193)*(nCUENTA=1)*(COUNTIF(CONFIG_ASIGNATURAS!$B$7:$B$27,nASIG)&gt;0)*1),"")))</f>
        <v/>
      </c>
      <c r="AF193" t="str">
        <f>IF(AE193="","",IF(AE193="[FÓRMULA MANUAL]","",IFERROR(AVERAGEIFS(nNOTA,nNIA,AE193,nCUENTA,1,nASIG,"Análisis"),"")))</f>
        <v/>
      </c>
      <c r="AG193" t="str">
        <f>IF(AE193="","",IF(AE193="[FÓRMULA MANUAL]","",IFERROR(AVERAGEIFS(nNOTA,nNIA,AE193,nCUENTA,1,nASIG,"Orquesta/Banda/Conjunto"),"")))</f>
        <v/>
      </c>
      <c r="AH193" t="str">
        <f>IF(AE193="","",IF(AE193="[FÓRMULA MANUAL]","",IFERROR(AVERAGEIFS(nNOTA,nNIA,AE193,nCUENTA,1,nASIG,"Música de Cámara"),"")))</f>
        <v/>
      </c>
      <c r="AI193" t="str">
        <f>IF(AE193="","",IF(AE193="[FÓRMULA MANUAL]","",IFERROR(SUMPRODUCT((nNIA=AE193)*(nCUENTA=1)*(COUNTIF(CONFIG_ASIGNATURAS!$B$7:$B$27,nASIG)&gt;0)*(nNOTA))/SUMPRODUCT((nNIA=AE193)*(nCUENTA=1)*(COUNTIF(CONFIG_ASIGNATURAS!$B$7:$B$27,nASIG)&gt;0)*1),"")))</f>
        <v/>
      </c>
    </row>
    <row r="194" spans="2:35" x14ac:dyDescent="0.2">
      <c r="B194" t="str">
        <f>IF(A194="","",IF(A194="[FÓRMULA MANUAL]","",IFERROR(AVERAGEIFS(nNOTA,nNIA,A194,nCUENTA,1,nASIG,"Lenguaje Musical"),"")))</f>
        <v/>
      </c>
      <c r="C194" t="str">
        <f>IF(A194="","",IF(A194="[FÓRMULA MANUAL]","",IFERROR(AVERAGEIFS(nNOTA,nNIA,A194,nCUENTA,1,nASIG,"Orquesta/Banda/Conjunto"),"")))</f>
        <v/>
      </c>
      <c r="D194" t="str">
        <f>IF(A194="","",IF(A194="[FÓRMULA MANUAL]","",IFERROR(AVERAGEIFS(nNOTA,nNIA,A194,nCUENTA,1,nASIG,"Conjunto"),"")))</f>
        <v/>
      </c>
      <c r="E194" t="str">
        <f>IF(A194="","",IF(A194="[FÓRMULA MANUAL]","",IFERROR(SUMPRODUCT((nNIA=A194)*(nCUENTA=1)*(COUNTIF(CONFIG_ASIGNATURAS!$B$7:$B$27,nASIG)&gt;0)*(nNOTA))/SUMPRODUCT((nNIA=A194)*(nCUENTA=1)*(COUNTIF(CONFIG_ASIGNATURAS!$B$7:$B$27,nASIG)&gt;0)*1),"")))</f>
        <v/>
      </c>
      <c r="H194" t="str">
        <f>IF(G194="","",IF(G194="[FÓRMULA MANUAL]","",IFERROR(AVERAGEIFS(nNOTA,nNIA,G194,nCUENTA,1,nASIG,"Lenguaje Musical"),"")))</f>
        <v/>
      </c>
      <c r="I194" t="str">
        <f>IF(G194="","",IF(G194="[FÓRMULA MANUAL]","",IFERROR(AVERAGEIFS(nNOTA,nNIA,G194,nCUENTA,1,nASIG,"Orquesta/Banda/Conjunto"),"")))</f>
        <v/>
      </c>
      <c r="J194" t="str">
        <f>IF(G194="","",IF(G194="[FÓRMULA MANUAL]","",IFERROR(AVERAGEIFS(nNOTA,nNIA,G194,nCUENTA,1,nASIG,"Conjunto"),"")))</f>
        <v/>
      </c>
      <c r="K194" t="str">
        <f>IF(G194="","",IF(G194="[FÓRMULA MANUAL]","",IFERROR(SUMPRODUCT((nNIA=G194)*(nCUENTA=1)*(COUNTIF(CONFIG_ASIGNATURAS!$B$7:$B$27,nASIG)&gt;0)*(nNOTA))/SUMPRODUCT((nNIA=G194)*(nCUENTA=1)*(COUNTIF(CONFIG_ASIGNATURAS!$B$7:$B$27,nASIG)&gt;0)*1),"")))</f>
        <v/>
      </c>
      <c r="N194" t="str">
        <f>IF(M194="","",IF(M194="[FÓRMULA MANUAL]","",IFERROR(AVERAGEIFS(nNOTA,nNIA,M194,nCUENTA,1,nASIG,"Armonía"),"")))</f>
        <v/>
      </c>
      <c r="O194" t="str">
        <f>IF(M194="","",IF(M194="[FÓRMULA MANUAL]","",IFERROR(AVERAGEIFS(nNOTA,nNIA,M194,nCUENTA,1,nASIG,"Orquesta/Banda/Conjunto"),"")))</f>
        <v/>
      </c>
      <c r="P194" t="str">
        <f>IF(M194="","",IF(M194="[FÓRMULA MANUAL]","",IFERROR(AVERAGEIFS(nNOTA,nNIA,M194,nCUENTA,1,nASIG,"Música de Cámara"),"")))</f>
        <v/>
      </c>
      <c r="Q194" t="str">
        <f>IF(M194="","",IF(M194="[FÓRMULA MANUAL]","",IFERROR(SUMPRODUCT((nNIA=M194)*(nCUENTA=1)*(COUNTIF(CONFIG_ASIGNATURAS!$B$7:$B$27,nASIG)&gt;0)*(nNOTA))/SUMPRODUCT((nNIA=M194)*(nCUENTA=1)*(COUNTIF(CONFIG_ASIGNATURAS!$B$7:$B$27,nASIG)&gt;0)*1),"")))</f>
        <v/>
      </c>
      <c r="T194" t="str">
        <f>IF(S194="","",IF(S194="[FÓRMULA MANUAL]","",IFERROR(AVERAGEIFS(nNOTA,nNIA,S194,nCUENTA,1,nASIG,"Armonía"),"")))</f>
        <v/>
      </c>
      <c r="U194" t="str">
        <f>IF(S194="","",IF(S194="[FÓRMULA MANUAL]","",IFERROR(AVERAGEIFS(nNOTA,nNIA,S194,nCUENTA,1,nASIG,"Orquesta/Banda/Conjunto"),"")))</f>
        <v/>
      </c>
      <c r="V194" t="str">
        <f>IF(S194="","",IF(S194="[FÓRMULA MANUAL]","",IFERROR(AVERAGEIFS(nNOTA,nNIA,S194,nCUENTA,1,nASIG,"Música de Cámara"),"")))</f>
        <v/>
      </c>
      <c r="W194" t="str">
        <f>IF(S194="","",IF(S194="[FÓRMULA MANUAL]","",IFERROR(SUMPRODUCT((nNIA=S194)*(nCUENTA=1)*(COUNTIF(CONFIG_ASIGNATURAS!$B$7:$B$27,nASIG)&gt;0)*(nNOTA))/SUMPRODUCT((nNIA=S194)*(nCUENTA=1)*(COUNTIF(CONFIG_ASIGNATURAS!$B$7:$B$27,nASIG)&gt;0)*1),"")))</f>
        <v/>
      </c>
      <c r="Z194" t="str">
        <f>IF(Y194="","",IF(Y194="[FÓRMULA MANUAL]","",IFERROR(AVERAGEIFS(nNOTA,nNIA,Y194,nCUENTA,1,nASIG,"Análisis"),"")))</f>
        <v/>
      </c>
      <c r="AA194" t="str">
        <f>IF(Y194="","",IF(Y194="[FÓRMULA MANUAL]","",IFERROR(AVERAGEIFS(nNOTA,nNIA,Y194,nCUENTA,1,nASIG,"Orquesta/Banda/Conjunto"),"")))</f>
        <v/>
      </c>
      <c r="AB194" t="str">
        <f>IF(Y194="","",IF(Y194="[FÓRMULA MANUAL]","",IFERROR(AVERAGEIFS(nNOTA,nNIA,Y194,nCUENTA,1,nASIG,"Música de Cámara"),"")))</f>
        <v/>
      </c>
      <c r="AC194" t="str">
        <f>IF(Y194="","",IF(Y194="[FÓRMULA MANUAL]","",IFERROR(SUMPRODUCT((nNIA=Y194)*(nCUENTA=1)*(COUNTIF(CONFIG_ASIGNATURAS!$B$7:$B$27,nASIG)&gt;0)*(nNOTA))/SUMPRODUCT((nNIA=Y194)*(nCUENTA=1)*(COUNTIF(CONFIG_ASIGNATURAS!$B$7:$B$27,nASIG)&gt;0)*1),"")))</f>
        <v/>
      </c>
      <c r="AF194" t="str">
        <f>IF(AE194="","",IF(AE194="[FÓRMULA MANUAL]","",IFERROR(AVERAGEIFS(nNOTA,nNIA,AE194,nCUENTA,1,nASIG,"Análisis"),"")))</f>
        <v/>
      </c>
      <c r="AG194" t="str">
        <f>IF(AE194="","",IF(AE194="[FÓRMULA MANUAL]","",IFERROR(AVERAGEIFS(nNOTA,nNIA,AE194,nCUENTA,1,nASIG,"Orquesta/Banda/Conjunto"),"")))</f>
        <v/>
      </c>
      <c r="AH194" t="str">
        <f>IF(AE194="","",IF(AE194="[FÓRMULA MANUAL]","",IFERROR(AVERAGEIFS(nNOTA,nNIA,AE194,nCUENTA,1,nASIG,"Música de Cámara"),"")))</f>
        <v/>
      </c>
      <c r="AI194" t="str">
        <f>IF(AE194="","",IF(AE194="[FÓRMULA MANUAL]","",IFERROR(SUMPRODUCT((nNIA=AE194)*(nCUENTA=1)*(COUNTIF(CONFIG_ASIGNATURAS!$B$7:$B$27,nASIG)&gt;0)*(nNOTA))/SUMPRODUCT((nNIA=AE194)*(nCUENTA=1)*(COUNTIF(CONFIG_ASIGNATURAS!$B$7:$B$27,nASIG)&gt;0)*1),"")))</f>
        <v/>
      </c>
    </row>
    <row r="195" spans="2:35" x14ac:dyDescent="0.2">
      <c r="B195" t="str">
        <f>IF(A195="","",IF(A195="[FÓRMULA MANUAL]","",IFERROR(AVERAGEIFS(nNOTA,nNIA,A195,nCUENTA,1,nASIG,"Lenguaje Musical"),"")))</f>
        <v/>
      </c>
      <c r="C195" t="str">
        <f>IF(A195="","",IF(A195="[FÓRMULA MANUAL]","",IFERROR(AVERAGEIFS(nNOTA,nNIA,A195,nCUENTA,1,nASIG,"Orquesta/Banda/Conjunto"),"")))</f>
        <v/>
      </c>
      <c r="D195" t="str">
        <f>IF(A195="","",IF(A195="[FÓRMULA MANUAL]","",IFERROR(AVERAGEIFS(nNOTA,nNIA,A195,nCUENTA,1,nASIG,"Conjunto"),"")))</f>
        <v/>
      </c>
      <c r="E195" t="str">
        <f>IF(A195="","",IF(A195="[FÓRMULA MANUAL]","",IFERROR(SUMPRODUCT((nNIA=A195)*(nCUENTA=1)*(COUNTIF(CONFIG_ASIGNATURAS!$B$7:$B$27,nASIG)&gt;0)*(nNOTA))/SUMPRODUCT((nNIA=A195)*(nCUENTA=1)*(COUNTIF(CONFIG_ASIGNATURAS!$B$7:$B$27,nASIG)&gt;0)*1),"")))</f>
        <v/>
      </c>
      <c r="H195" t="str">
        <f>IF(G195="","",IF(G195="[FÓRMULA MANUAL]","",IFERROR(AVERAGEIFS(nNOTA,nNIA,G195,nCUENTA,1,nASIG,"Lenguaje Musical"),"")))</f>
        <v/>
      </c>
      <c r="I195" t="str">
        <f>IF(G195="","",IF(G195="[FÓRMULA MANUAL]","",IFERROR(AVERAGEIFS(nNOTA,nNIA,G195,nCUENTA,1,nASIG,"Orquesta/Banda/Conjunto"),"")))</f>
        <v/>
      </c>
      <c r="J195" t="str">
        <f>IF(G195="","",IF(G195="[FÓRMULA MANUAL]","",IFERROR(AVERAGEIFS(nNOTA,nNIA,G195,nCUENTA,1,nASIG,"Conjunto"),"")))</f>
        <v/>
      </c>
      <c r="K195" t="str">
        <f>IF(G195="","",IF(G195="[FÓRMULA MANUAL]","",IFERROR(SUMPRODUCT((nNIA=G195)*(nCUENTA=1)*(COUNTIF(CONFIG_ASIGNATURAS!$B$7:$B$27,nASIG)&gt;0)*(nNOTA))/SUMPRODUCT((nNIA=G195)*(nCUENTA=1)*(COUNTIF(CONFIG_ASIGNATURAS!$B$7:$B$27,nASIG)&gt;0)*1),"")))</f>
        <v/>
      </c>
      <c r="N195" t="str">
        <f>IF(M195="","",IF(M195="[FÓRMULA MANUAL]","",IFERROR(AVERAGEIFS(nNOTA,nNIA,M195,nCUENTA,1,nASIG,"Armonía"),"")))</f>
        <v/>
      </c>
      <c r="O195" t="str">
        <f>IF(M195="","",IF(M195="[FÓRMULA MANUAL]","",IFERROR(AVERAGEIFS(nNOTA,nNIA,M195,nCUENTA,1,nASIG,"Orquesta/Banda/Conjunto"),"")))</f>
        <v/>
      </c>
      <c r="P195" t="str">
        <f>IF(M195="","",IF(M195="[FÓRMULA MANUAL]","",IFERROR(AVERAGEIFS(nNOTA,nNIA,M195,nCUENTA,1,nASIG,"Música de Cámara"),"")))</f>
        <v/>
      </c>
      <c r="Q195" t="str">
        <f>IF(M195="","",IF(M195="[FÓRMULA MANUAL]","",IFERROR(SUMPRODUCT((nNIA=M195)*(nCUENTA=1)*(COUNTIF(CONFIG_ASIGNATURAS!$B$7:$B$27,nASIG)&gt;0)*(nNOTA))/SUMPRODUCT((nNIA=M195)*(nCUENTA=1)*(COUNTIF(CONFIG_ASIGNATURAS!$B$7:$B$27,nASIG)&gt;0)*1),"")))</f>
        <v/>
      </c>
      <c r="T195" t="str">
        <f>IF(S195="","",IF(S195="[FÓRMULA MANUAL]","",IFERROR(AVERAGEIFS(nNOTA,nNIA,S195,nCUENTA,1,nASIG,"Armonía"),"")))</f>
        <v/>
      </c>
      <c r="U195" t="str">
        <f>IF(S195="","",IF(S195="[FÓRMULA MANUAL]","",IFERROR(AVERAGEIFS(nNOTA,nNIA,S195,nCUENTA,1,nASIG,"Orquesta/Banda/Conjunto"),"")))</f>
        <v/>
      </c>
      <c r="V195" t="str">
        <f>IF(S195="","",IF(S195="[FÓRMULA MANUAL]","",IFERROR(AVERAGEIFS(nNOTA,nNIA,S195,nCUENTA,1,nASIG,"Música de Cámara"),"")))</f>
        <v/>
      </c>
      <c r="W195" t="str">
        <f>IF(S195="","",IF(S195="[FÓRMULA MANUAL]","",IFERROR(SUMPRODUCT((nNIA=S195)*(nCUENTA=1)*(COUNTIF(CONFIG_ASIGNATURAS!$B$7:$B$27,nASIG)&gt;0)*(nNOTA))/SUMPRODUCT((nNIA=S195)*(nCUENTA=1)*(COUNTIF(CONFIG_ASIGNATURAS!$B$7:$B$27,nASIG)&gt;0)*1),"")))</f>
        <v/>
      </c>
      <c r="Z195" t="str">
        <f>IF(Y195="","",IF(Y195="[FÓRMULA MANUAL]","",IFERROR(AVERAGEIFS(nNOTA,nNIA,Y195,nCUENTA,1,nASIG,"Análisis"),"")))</f>
        <v/>
      </c>
      <c r="AA195" t="str">
        <f>IF(Y195="","",IF(Y195="[FÓRMULA MANUAL]","",IFERROR(AVERAGEIFS(nNOTA,nNIA,Y195,nCUENTA,1,nASIG,"Orquesta/Banda/Conjunto"),"")))</f>
        <v/>
      </c>
      <c r="AB195" t="str">
        <f>IF(Y195="","",IF(Y195="[FÓRMULA MANUAL]","",IFERROR(AVERAGEIFS(nNOTA,nNIA,Y195,nCUENTA,1,nASIG,"Música de Cámara"),"")))</f>
        <v/>
      </c>
      <c r="AC195" t="str">
        <f>IF(Y195="","",IF(Y195="[FÓRMULA MANUAL]","",IFERROR(SUMPRODUCT((nNIA=Y195)*(nCUENTA=1)*(COUNTIF(CONFIG_ASIGNATURAS!$B$7:$B$27,nASIG)&gt;0)*(nNOTA))/SUMPRODUCT((nNIA=Y195)*(nCUENTA=1)*(COUNTIF(CONFIG_ASIGNATURAS!$B$7:$B$27,nASIG)&gt;0)*1),"")))</f>
        <v/>
      </c>
      <c r="AF195" t="str">
        <f>IF(AE195="","",IF(AE195="[FÓRMULA MANUAL]","",IFERROR(AVERAGEIFS(nNOTA,nNIA,AE195,nCUENTA,1,nASIG,"Análisis"),"")))</f>
        <v/>
      </c>
      <c r="AG195" t="str">
        <f>IF(AE195="","",IF(AE195="[FÓRMULA MANUAL]","",IFERROR(AVERAGEIFS(nNOTA,nNIA,AE195,nCUENTA,1,nASIG,"Orquesta/Banda/Conjunto"),"")))</f>
        <v/>
      </c>
      <c r="AH195" t="str">
        <f>IF(AE195="","",IF(AE195="[FÓRMULA MANUAL]","",IFERROR(AVERAGEIFS(nNOTA,nNIA,AE195,nCUENTA,1,nASIG,"Música de Cámara"),"")))</f>
        <v/>
      </c>
      <c r="AI195" t="str">
        <f>IF(AE195="","",IF(AE195="[FÓRMULA MANUAL]","",IFERROR(SUMPRODUCT((nNIA=AE195)*(nCUENTA=1)*(COUNTIF(CONFIG_ASIGNATURAS!$B$7:$B$27,nASIG)&gt;0)*(nNOTA))/SUMPRODUCT((nNIA=AE195)*(nCUENTA=1)*(COUNTIF(CONFIG_ASIGNATURAS!$B$7:$B$27,nASIG)&gt;0)*1),"")))</f>
        <v/>
      </c>
    </row>
    <row r="196" spans="2:35" x14ac:dyDescent="0.2">
      <c r="B196" t="str">
        <f>IF(A196="","",IF(A196="[FÓRMULA MANUAL]","",IFERROR(AVERAGEIFS(nNOTA,nNIA,A196,nCUENTA,1,nASIG,"Lenguaje Musical"),"")))</f>
        <v/>
      </c>
      <c r="C196" t="str">
        <f>IF(A196="","",IF(A196="[FÓRMULA MANUAL]","",IFERROR(AVERAGEIFS(nNOTA,nNIA,A196,nCUENTA,1,nASIG,"Orquesta/Banda/Conjunto"),"")))</f>
        <v/>
      </c>
      <c r="D196" t="str">
        <f>IF(A196="","",IF(A196="[FÓRMULA MANUAL]","",IFERROR(AVERAGEIFS(nNOTA,nNIA,A196,nCUENTA,1,nASIG,"Conjunto"),"")))</f>
        <v/>
      </c>
      <c r="E196" t="str">
        <f>IF(A196="","",IF(A196="[FÓRMULA MANUAL]","",IFERROR(SUMPRODUCT((nNIA=A196)*(nCUENTA=1)*(COUNTIF(CONFIG_ASIGNATURAS!$B$7:$B$27,nASIG)&gt;0)*(nNOTA))/SUMPRODUCT((nNIA=A196)*(nCUENTA=1)*(COUNTIF(CONFIG_ASIGNATURAS!$B$7:$B$27,nASIG)&gt;0)*1),"")))</f>
        <v/>
      </c>
      <c r="H196" t="str">
        <f>IF(G196="","",IF(G196="[FÓRMULA MANUAL]","",IFERROR(AVERAGEIFS(nNOTA,nNIA,G196,nCUENTA,1,nASIG,"Lenguaje Musical"),"")))</f>
        <v/>
      </c>
      <c r="I196" t="str">
        <f>IF(G196="","",IF(G196="[FÓRMULA MANUAL]","",IFERROR(AVERAGEIFS(nNOTA,nNIA,G196,nCUENTA,1,nASIG,"Orquesta/Banda/Conjunto"),"")))</f>
        <v/>
      </c>
      <c r="J196" t="str">
        <f>IF(G196="","",IF(G196="[FÓRMULA MANUAL]","",IFERROR(AVERAGEIFS(nNOTA,nNIA,G196,nCUENTA,1,nASIG,"Conjunto"),"")))</f>
        <v/>
      </c>
      <c r="K196" t="str">
        <f>IF(G196="","",IF(G196="[FÓRMULA MANUAL]","",IFERROR(SUMPRODUCT((nNIA=G196)*(nCUENTA=1)*(COUNTIF(CONFIG_ASIGNATURAS!$B$7:$B$27,nASIG)&gt;0)*(nNOTA))/SUMPRODUCT((nNIA=G196)*(nCUENTA=1)*(COUNTIF(CONFIG_ASIGNATURAS!$B$7:$B$27,nASIG)&gt;0)*1),"")))</f>
        <v/>
      </c>
      <c r="N196" t="str">
        <f>IF(M196="","",IF(M196="[FÓRMULA MANUAL]","",IFERROR(AVERAGEIFS(nNOTA,nNIA,M196,nCUENTA,1,nASIG,"Armonía"),"")))</f>
        <v/>
      </c>
      <c r="O196" t="str">
        <f>IF(M196="","",IF(M196="[FÓRMULA MANUAL]","",IFERROR(AVERAGEIFS(nNOTA,nNIA,M196,nCUENTA,1,nASIG,"Orquesta/Banda/Conjunto"),"")))</f>
        <v/>
      </c>
      <c r="P196" t="str">
        <f>IF(M196="","",IF(M196="[FÓRMULA MANUAL]","",IFERROR(AVERAGEIFS(nNOTA,nNIA,M196,nCUENTA,1,nASIG,"Música de Cámara"),"")))</f>
        <v/>
      </c>
      <c r="Q196" t="str">
        <f>IF(M196="","",IF(M196="[FÓRMULA MANUAL]","",IFERROR(SUMPRODUCT((nNIA=M196)*(nCUENTA=1)*(COUNTIF(CONFIG_ASIGNATURAS!$B$7:$B$27,nASIG)&gt;0)*(nNOTA))/SUMPRODUCT((nNIA=M196)*(nCUENTA=1)*(COUNTIF(CONFIG_ASIGNATURAS!$B$7:$B$27,nASIG)&gt;0)*1),"")))</f>
        <v/>
      </c>
      <c r="T196" t="str">
        <f>IF(S196="","",IF(S196="[FÓRMULA MANUAL]","",IFERROR(AVERAGEIFS(nNOTA,nNIA,S196,nCUENTA,1,nASIG,"Armonía"),"")))</f>
        <v/>
      </c>
      <c r="U196" t="str">
        <f>IF(S196="","",IF(S196="[FÓRMULA MANUAL]","",IFERROR(AVERAGEIFS(nNOTA,nNIA,S196,nCUENTA,1,nASIG,"Orquesta/Banda/Conjunto"),"")))</f>
        <v/>
      </c>
      <c r="V196" t="str">
        <f>IF(S196="","",IF(S196="[FÓRMULA MANUAL]","",IFERROR(AVERAGEIFS(nNOTA,nNIA,S196,nCUENTA,1,nASIG,"Música de Cámara"),"")))</f>
        <v/>
      </c>
      <c r="W196" t="str">
        <f>IF(S196="","",IF(S196="[FÓRMULA MANUAL]","",IFERROR(SUMPRODUCT((nNIA=S196)*(nCUENTA=1)*(COUNTIF(CONFIG_ASIGNATURAS!$B$7:$B$27,nASIG)&gt;0)*(nNOTA))/SUMPRODUCT((nNIA=S196)*(nCUENTA=1)*(COUNTIF(CONFIG_ASIGNATURAS!$B$7:$B$27,nASIG)&gt;0)*1),"")))</f>
        <v/>
      </c>
      <c r="Z196" t="str">
        <f>IF(Y196="","",IF(Y196="[FÓRMULA MANUAL]","",IFERROR(AVERAGEIFS(nNOTA,nNIA,Y196,nCUENTA,1,nASIG,"Análisis"),"")))</f>
        <v/>
      </c>
      <c r="AA196" t="str">
        <f>IF(Y196="","",IF(Y196="[FÓRMULA MANUAL]","",IFERROR(AVERAGEIFS(nNOTA,nNIA,Y196,nCUENTA,1,nASIG,"Orquesta/Banda/Conjunto"),"")))</f>
        <v/>
      </c>
      <c r="AB196" t="str">
        <f>IF(Y196="","",IF(Y196="[FÓRMULA MANUAL]","",IFERROR(AVERAGEIFS(nNOTA,nNIA,Y196,nCUENTA,1,nASIG,"Música de Cámara"),"")))</f>
        <v/>
      </c>
      <c r="AC196" t="str">
        <f>IF(Y196="","",IF(Y196="[FÓRMULA MANUAL]","",IFERROR(SUMPRODUCT((nNIA=Y196)*(nCUENTA=1)*(COUNTIF(CONFIG_ASIGNATURAS!$B$7:$B$27,nASIG)&gt;0)*(nNOTA))/SUMPRODUCT((nNIA=Y196)*(nCUENTA=1)*(COUNTIF(CONFIG_ASIGNATURAS!$B$7:$B$27,nASIG)&gt;0)*1),"")))</f>
        <v/>
      </c>
      <c r="AF196" t="str">
        <f>IF(AE196="","",IF(AE196="[FÓRMULA MANUAL]","",IFERROR(AVERAGEIFS(nNOTA,nNIA,AE196,nCUENTA,1,nASIG,"Análisis"),"")))</f>
        <v/>
      </c>
      <c r="AG196" t="str">
        <f>IF(AE196="","",IF(AE196="[FÓRMULA MANUAL]","",IFERROR(AVERAGEIFS(nNOTA,nNIA,AE196,nCUENTA,1,nASIG,"Orquesta/Banda/Conjunto"),"")))</f>
        <v/>
      </c>
      <c r="AH196" t="str">
        <f>IF(AE196="","",IF(AE196="[FÓRMULA MANUAL]","",IFERROR(AVERAGEIFS(nNOTA,nNIA,AE196,nCUENTA,1,nASIG,"Música de Cámara"),"")))</f>
        <v/>
      </c>
      <c r="AI196" t="str">
        <f>IF(AE196="","",IF(AE196="[FÓRMULA MANUAL]","",IFERROR(SUMPRODUCT((nNIA=AE196)*(nCUENTA=1)*(COUNTIF(CONFIG_ASIGNATURAS!$B$7:$B$27,nASIG)&gt;0)*(nNOTA))/SUMPRODUCT((nNIA=AE196)*(nCUENTA=1)*(COUNTIF(CONFIG_ASIGNATURAS!$B$7:$B$27,nASIG)&gt;0)*1),"")))</f>
        <v/>
      </c>
    </row>
    <row r="197" spans="2:35" x14ac:dyDescent="0.2">
      <c r="B197" t="str">
        <f>IF(A197="","",IF(A197="[FÓRMULA MANUAL]","",IFERROR(AVERAGEIFS(nNOTA,nNIA,A197,nCUENTA,1,nASIG,"Lenguaje Musical"),"")))</f>
        <v/>
      </c>
      <c r="C197" t="str">
        <f>IF(A197="","",IF(A197="[FÓRMULA MANUAL]","",IFERROR(AVERAGEIFS(nNOTA,nNIA,A197,nCUENTA,1,nASIG,"Orquesta/Banda/Conjunto"),"")))</f>
        <v/>
      </c>
      <c r="D197" t="str">
        <f>IF(A197="","",IF(A197="[FÓRMULA MANUAL]","",IFERROR(AVERAGEIFS(nNOTA,nNIA,A197,nCUENTA,1,nASIG,"Conjunto"),"")))</f>
        <v/>
      </c>
      <c r="E197" t="str">
        <f>IF(A197="","",IF(A197="[FÓRMULA MANUAL]","",IFERROR(SUMPRODUCT((nNIA=A197)*(nCUENTA=1)*(COUNTIF(CONFIG_ASIGNATURAS!$B$7:$B$27,nASIG)&gt;0)*(nNOTA))/SUMPRODUCT((nNIA=A197)*(nCUENTA=1)*(COUNTIF(CONFIG_ASIGNATURAS!$B$7:$B$27,nASIG)&gt;0)*1),"")))</f>
        <v/>
      </c>
      <c r="H197" t="str">
        <f>IF(G197="","",IF(G197="[FÓRMULA MANUAL]","",IFERROR(AVERAGEIFS(nNOTA,nNIA,G197,nCUENTA,1,nASIG,"Lenguaje Musical"),"")))</f>
        <v/>
      </c>
      <c r="I197" t="str">
        <f>IF(G197="","",IF(G197="[FÓRMULA MANUAL]","",IFERROR(AVERAGEIFS(nNOTA,nNIA,G197,nCUENTA,1,nASIG,"Orquesta/Banda/Conjunto"),"")))</f>
        <v/>
      </c>
      <c r="J197" t="str">
        <f>IF(G197="","",IF(G197="[FÓRMULA MANUAL]","",IFERROR(AVERAGEIFS(nNOTA,nNIA,G197,nCUENTA,1,nASIG,"Conjunto"),"")))</f>
        <v/>
      </c>
      <c r="K197" t="str">
        <f>IF(G197="","",IF(G197="[FÓRMULA MANUAL]","",IFERROR(SUMPRODUCT((nNIA=G197)*(nCUENTA=1)*(COUNTIF(CONFIG_ASIGNATURAS!$B$7:$B$27,nASIG)&gt;0)*(nNOTA))/SUMPRODUCT((nNIA=G197)*(nCUENTA=1)*(COUNTIF(CONFIG_ASIGNATURAS!$B$7:$B$27,nASIG)&gt;0)*1),"")))</f>
        <v/>
      </c>
      <c r="N197" t="str">
        <f>IF(M197="","",IF(M197="[FÓRMULA MANUAL]","",IFERROR(AVERAGEIFS(nNOTA,nNIA,M197,nCUENTA,1,nASIG,"Armonía"),"")))</f>
        <v/>
      </c>
      <c r="O197" t="str">
        <f>IF(M197="","",IF(M197="[FÓRMULA MANUAL]","",IFERROR(AVERAGEIFS(nNOTA,nNIA,M197,nCUENTA,1,nASIG,"Orquesta/Banda/Conjunto"),"")))</f>
        <v/>
      </c>
      <c r="P197" t="str">
        <f>IF(M197="","",IF(M197="[FÓRMULA MANUAL]","",IFERROR(AVERAGEIFS(nNOTA,nNIA,M197,nCUENTA,1,nASIG,"Música de Cámara"),"")))</f>
        <v/>
      </c>
      <c r="Q197" t="str">
        <f>IF(M197="","",IF(M197="[FÓRMULA MANUAL]","",IFERROR(SUMPRODUCT((nNIA=M197)*(nCUENTA=1)*(COUNTIF(CONFIG_ASIGNATURAS!$B$7:$B$27,nASIG)&gt;0)*(nNOTA))/SUMPRODUCT((nNIA=M197)*(nCUENTA=1)*(COUNTIF(CONFIG_ASIGNATURAS!$B$7:$B$27,nASIG)&gt;0)*1),"")))</f>
        <v/>
      </c>
      <c r="T197" t="str">
        <f>IF(S197="","",IF(S197="[FÓRMULA MANUAL]","",IFERROR(AVERAGEIFS(nNOTA,nNIA,S197,nCUENTA,1,nASIG,"Armonía"),"")))</f>
        <v/>
      </c>
      <c r="U197" t="str">
        <f>IF(S197="","",IF(S197="[FÓRMULA MANUAL]","",IFERROR(AVERAGEIFS(nNOTA,nNIA,S197,nCUENTA,1,nASIG,"Orquesta/Banda/Conjunto"),"")))</f>
        <v/>
      </c>
      <c r="V197" t="str">
        <f>IF(S197="","",IF(S197="[FÓRMULA MANUAL]","",IFERROR(AVERAGEIFS(nNOTA,nNIA,S197,nCUENTA,1,nASIG,"Música de Cámara"),"")))</f>
        <v/>
      </c>
      <c r="W197" t="str">
        <f>IF(S197="","",IF(S197="[FÓRMULA MANUAL]","",IFERROR(SUMPRODUCT((nNIA=S197)*(nCUENTA=1)*(COUNTIF(CONFIG_ASIGNATURAS!$B$7:$B$27,nASIG)&gt;0)*(nNOTA))/SUMPRODUCT((nNIA=S197)*(nCUENTA=1)*(COUNTIF(CONFIG_ASIGNATURAS!$B$7:$B$27,nASIG)&gt;0)*1),"")))</f>
        <v/>
      </c>
      <c r="Z197" t="str">
        <f>IF(Y197="","",IF(Y197="[FÓRMULA MANUAL]","",IFERROR(AVERAGEIFS(nNOTA,nNIA,Y197,nCUENTA,1,nASIG,"Análisis"),"")))</f>
        <v/>
      </c>
      <c r="AA197" t="str">
        <f>IF(Y197="","",IF(Y197="[FÓRMULA MANUAL]","",IFERROR(AVERAGEIFS(nNOTA,nNIA,Y197,nCUENTA,1,nASIG,"Orquesta/Banda/Conjunto"),"")))</f>
        <v/>
      </c>
      <c r="AB197" t="str">
        <f>IF(Y197="","",IF(Y197="[FÓRMULA MANUAL]","",IFERROR(AVERAGEIFS(nNOTA,nNIA,Y197,nCUENTA,1,nASIG,"Música de Cámara"),"")))</f>
        <v/>
      </c>
      <c r="AC197" t="str">
        <f>IF(Y197="","",IF(Y197="[FÓRMULA MANUAL]","",IFERROR(SUMPRODUCT((nNIA=Y197)*(nCUENTA=1)*(COUNTIF(CONFIG_ASIGNATURAS!$B$7:$B$27,nASIG)&gt;0)*(nNOTA))/SUMPRODUCT((nNIA=Y197)*(nCUENTA=1)*(COUNTIF(CONFIG_ASIGNATURAS!$B$7:$B$27,nASIG)&gt;0)*1),"")))</f>
        <v/>
      </c>
      <c r="AF197" t="str">
        <f>IF(AE197="","",IF(AE197="[FÓRMULA MANUAL]","",IFERROR(AVERAGEIFS(nNOTA,nNIA,AE197,nCUENTA,1,nASIG,"Análisis"),"")))</f>
        <v/>
      </c>
      <c r="AG197" t="str">
        <f>IF(AE197="","",IF(AE197="[FÓRMULA MANUAL]","",IFERROR(AVERAGEIFS(nNOTA,nNIA,AE197,nCUENTA,1,nASIG,"Orquesta/Banda/Conjunto"),"")))</f>
        <v/>
      </c>
      <c r="AH197" t="str">
        <f>IF(AE197="","",IF(AE197="[FÓRMULA MANUAL]","",IFERROR(AVERAGEIFS(nNOTA,nNIA,AE197,nCUENTA,1,nASIG,"Música de Cámara"),"")))</f>
        <v/>
      </c>
      <c r="AI197" t="str">
        <f>IF(AE197="","",IF(AE197="[FÓRMULA MANUAL]","",IFERROR(SUMPRODUCT((nNIA=AE197)*(nCUENTA=1)*(COUNTIF(CONFIG_ASIGNATURAS!$B$7:$B$27,nASIG)&gt;0)*(nNOTA))/SUMPRODUCT((nNIA=AE197)*(nCUENTA=1)*(COUNTIF(CONFIG_ASIGNATURAS!$B$7:$B$27,nASIG)&gt;0)*1),"")))</f>
        <v/>
      </c>
    </row>
    <row r="198" spans="2:35" x14ac:dyDescent="0.2">
      <c r="B198" t="str">
        <f>IF(A198="","",IF(A198="[FÓRMULA MANUAL]","",IFERROR(AVERAGEIFS(nNOTA,nNIA,A198,nCUENTA,1,nASIG,"Lenguaje Musical"),"")))</f>
        <v/>
      </c>
      <c r="C198" t="str">
        <f>IF(A198="","",IF(A198="[FÓRMULA MANUAL]","",IFERROR(AVERAGEIFS(nNOTA,nNIA,A198,nCUENTA,1,nASIG,"Orquesta/Banda/Conjunto"),"")))</f>
        <v/>
      </c>
      <c r="D198" t="str">
        <f>IF(A198="","",IF(A198="[FÓRMULA MANUAL]","",IFERROR(AVERAGEIFS(nNOTA,nNIA,A198,nCUENTA,1,nASIG,"Conjunto"),"")))</f>
        <v/>
      </c>
      <c r="E198" t="str">
        <f>IF(A198="","",IF(A198="[FÓRMULA MANUAL]","",IFERROR(SUMPRODUCT((nNIA=A198)*(nCUENTA=1)*(COUNTIF(CONFIG_ASIGNATURAS!$B$7:$B$27,nASIG)&gt;0)*(nNOTA))/SUMPRODUCT((nNIA=A198)*(nCUENTA=1)*(COUNTIF(CONFIG_ASIGNATURAS!$B$7:$B$27,nASIG)&gt;0)*1),"")))</f>
        <v/>
      </c>
      <c r="H198" t="str">
        <f>IF(G198="","",IF(G198="[FÓRMULA MANUAL]","",IFERROR(AVERAGEIFS(nNOTA,nNIA,G198,nCUENTA,1,nASIG,"Lenguaje Musical"),"")))</f>
        <v/>
      </c>
      <c r="I198" t="str">
        <f>IF(G198="","",IF(G198="[FÓRMULA MANUAL]","",IFERROR(AVERAGEIFS(nNOTA,nNIA,G198,nCUENTA,1,nASIG,"Orquesta/Banda/Conjunto"),"")))</f>
        <v/>
      </c>
      <c r="J198" t="str">
        <f>IF(G198="","",IF(G198="[FÓRMULA MANUAL]","",IFERROR(AVERAGEIFS(nNOTA,nNIA,G198,nCUENTA,1,nASIG,"Conjunto"),"")))</f>
        <v/>
      </c>
      <c r="K198" t="str">
        <f>IF(G198="","",IF(G198="[FÓRMULA MANUAL]","",IFERROR(SUMPRODUCT((nNIA=G198)*(nCUENTA=1)*(COUNTIF(CONFIG_ASIGNATURAS!$B$7:$B$27,nASIG)&gt;0)*(nNOTA))/SUMPRODUCT((nNIA=G198)*(nCUENTA=1)*(COUNTIF(CONFIG_ASIGNATURAS!$B$7:$B$27,nASIG)&gt;0)*1),"")))</f>
        <v/>
      </c>
      <c r="N198" t="str">
        <f>IF(M198="","",IF(M198="[FÓRMULA MANUAL]","",IFERROR(AVERAGEIFS(nNOTA,nNIA,M198,nCUENTA,1,nASIG,"Armonía"),"")))</f>
        <v/>
      </c>
      <c r="O198" t="str">
        <f>IF(M198="","",IF(M198="[FÓRMULA MANUAL]","",IFERROR(AVERAGEIFS(nNOTA,nNIA,M198,nCUENTA,1,nASIG,"Orquesta/Banda/Conjunto"),"")))</f>
        <v/>
      </c>
      <c r="P198" t="str">
        <f>IF(M198="","",IF(M198="[FÓRMULA MANUAL]","",IFERROR(AVERAGEIFS(nNOTA,nNIA,M198,nCUENTA,1,nASIG,"Música de Cámara"),"")))</f>
        <v/>
      </c>
      <c r="Q198" t="str">
        <f>IF(M198="","",IF(M198="[FÓRMULA MANUAL]","",IFERROR(SUMPRODUCT((nNIA=M198)*(nCUENTA=1)*(COUNTIF(CONFIG_ASIGNATURAS!$B$7:$B$27,nASIG)&gt;0)*(nNOTA))/SUMPRODUCT((nNIA=M198)*(nCUENTA=1)*(COUNTIF(CONFIG_ASIGNATURAS!$B$7:$B$27,nASIG)&gt;0)*1),"")))</f>
        <v/>
      </c>
      <c r="T198" t="str">
        <f>IF(S198="","",IF(S198="[FÓRMULA MANUAL]","",IFERROR(AVERAGEIFS(nNOTA,nNIA,S198,nCUENTA,1,nASIG,"Armonía"),"")))</f>
        <v/>
      </c>
      <c r="U198" t="str">
        <f>IF(S198="","",IF(S198="[FÓRMULA MANUAL]","",IFERROR(AVERAGEIFS(nNOTA,nNIA,S198,nCUENTA,1,nASIG,"Orquesta/Banda/Conjunto"),"")))</f>
        <v/>
      </c>
      <c r="V198" t="str">
        <f>IF(S198="","",IF(S198="[FÓRMULA MANUAL]","",IFERROR(AVERAGEIFS(nNOTA,nNIA,S198,nCUENTA,1,nASIG,"Música de Cámara"),"")))</f>
        <v/>
      </c>
      <c r="W198" t="str">
        <f>IF(S198="","",IF(S198="[FÓRMULA MANUAL]","",IFERROR(SUMPRODUCT((nNIA=S198)*(nCUENTA=1)*(COUNTIF(CONFIG_ASIGNATURAS!$B$7:$B$27,nASIG)&gt;0)*(nNOTA))/SUMPRODUCT((nNIA=S198)*(nCUENTA=1)*(COUNTIF(CONFIG_ASIGNATURAS!$B$7:$B$27,nASIG)&gt;0)*1),"")))</f>
        <v/>
      </c>
      <c r="Z198" t="str">
        <f>IF(Y198="","",IF(Y198="[FÓRMULA MANUAL]","",IFERROR(AVERAGEIFS(nNOTA,nNIA,Y198,nCUENTA,1,nASIG,"Análisis"),"")))</f>
        <v/>
      </c>
      <c r="AA198" t="str">
        <f>IF(Y198="","",IF(Y198="[FÓRMULA MANUAL]","",IFERROR(AVERAGEIFS(nNOTA,nNIA,Y198,nCUENTA,1,nASIG,"Orquesta/Banda/Conjunto"),"")))</f>
        <v/>
      </c>
      <c r="AB198" t="str">
        <f>IF(Y198="","",IF(Y198="[FÓRMULA MANUAL]","",IFERROR(AVERAGEIFS(nNOTA,nNIA,Y198,nCUENTA,1,nASIG,"Música de Cámara"),"")))</f>
        <v/>
      </c>
      <c r="AC198" t="str">
        <f>IF(Y198="","",IF(Y198="[FÓRMULA MANUAL]","",IFERROR(SUMPRODUCT((nNIA=Y198)*(nCUENTA=1)*(COUNTIF(CONFIG_ASIGNATURAS!$B$7:$B$27,nASIG)&gt;0)*(nNOTA))/SUMPRODUCT((nNIA=Y198)*(nCUENTA=1)*(COUNTIF(CONFIG_ASIGNATURAS!$B$7:$B$27,nASIG)&gt;0)*1),"")))</f>
        <v/>
      </c>
      <c r="AF198" t="str">
        <f>IF(AE198="","",IF(AE198="[FÓRMULA MANUAL]","",IFERROR(AVERAGEIFS(nNOTA,nNIA,AE198,nCUENTA,1,nASIG,"Análisis"),"")))</f>
        <v/>
      </c>
      <c r="AG198" t="str">
        <f>IF(AE198="","",IF(AE198="[FÓRMULA MANUAL]","",IFERROR(AVERAGEIFS(nNOTA,nNIA,AE198,nCUENTA,1,nASIG,"Orquesta/Banda/Conjunto"),"")))</f>
        <v/>
      </c>
      <c r="AH198" t="str">
        <f>IF(AE198="","",IF(AE198="[FÓRMULA MANUAL]","",IFERROR(AVERAGEIFS(nNOTA,nNIA,AE198,nCUENTA,1,nASIG,"Música de Cámara"),"")))</f>
        <v/>
      </c>
      <c r="AI198" t="str">
        <f>IF(AE198="","",IF(AE198="[FÓRMULA MANUAL]","",IFERROR(SUMPRODUCT((nNIA=AE198)*(nCUENTA=1)*(COUNTIF(CONFIG_ASIGNATURAS!$B$7:$B$27,nASIG)&gt;0)*(nNOTA))/SUMPRODUCT((nNIA=AE198)*(nCUENTA=1)*(COUNTIF(CONFIG_ASIGNATURAS!$B$7:$B$27,nASIG)&gt;0)*1),"")))</f>
        <v/>
      </c>
    </row>
    <row r="199" spans="2:35" x14ac:dyDescent="0.2">
      <c r="B199" t="str">
        <f>IF(A199="","",IF(A199="[FÓRMULA MANUAL]","",IFERROR(AVERAGEIFS(nNOTA,nNIA,A199,nCUENTA,1,nASIG,"Lenguaje Musical"),"")))</f>
        <v/>
      </c>
      <c r="C199" t="str">
        <f>IF(A199="","",IF(A199="[FÓRMULA MANUAL]","",IFERROR(AVERAGEIFS(nNOTA,nNIA,A199,nCUENTA,1,nASIG,"Orquesta/Banda/Conjunto"),"")))</f>
        <v/>
      </c>
      <c r="D199" t="str">
        <f>IF(A199="","",IF(A199="[FÓRMULA MANUAL]","",IFERROR(AVERAGEIFS(nNOTA,nNIA,A199,nCUENTA,1,nASIG,"Conjunto"),"")))</f>
        <v/>
      </c>
      <c r="E199" t="str">
        <f>IF(A199="","",IF(A199="[FÓRMULA MANUAL]","",IFERROR(SUMPRODUCT((nNIA=A199)*(nCUENTA=1)*(COUNTIF(CONFIG_ASIGNATURAS!$B$7:$B$27,nASIG)&gt;0)*(nNOTA))/SUMPRODUCT((nNIA=A199)*(nCUENTA=1)*(COUNTIF(CONFIG_ASIGNATURAS!$B$7:$B$27,nASIG)&gt;0)*1),"")))</f>
        <v/>
      </c>
      <c r="H199" t="str">
        <f>IF(G199="","",IF(G199="[FÓRMULA MANUAL]","",IFERROR(AVERAGEIFS(nNOTA,nNIA,G199,nCUENTA,1,nASIG,"Lenguaje Musical"),"")))</f>
        <v/>
      </c>
      <c r="I199" t="str">
        <f>IF(G199="","",IF(G199="[FÓRMULA MANUAL]","",IFERROR(AVERAGEIFS(nNOTA,nNIA,G199,nCUENTA,1,nASIG,"Orquesta/Banda/Conjunto"),"")))</f>
        <v/>
      </c>
      <c r="J199" t="str">
        <f>IF(G199="","",IF(G199="[FÓRMULA MANUAL]","",IFERROR(AVERAGEIFS(nNOTA,nNIA,G199,nCUENTA,1,nASIG,"Conjunto"),"")))</f>
        <v/>
      </c>
      <c r="K199" t="str">
        <f>IF(G199="","",IF(G199="[FÓRMULA MANUAL]","",IFERROR(SUMPRODUCT((nNIA=G199)*(nCUENTA=1)*(COUNTIF(CONFIG_ASIGNATURAS!$B$7:$B$27,nASIG)&gt;0)*(nNOTA))/SUMPRODUCT((nNIA=G199)*(nCUENTA=1)*(COUNTIF(CONFIG_ASIGNATURAS!$B$7:$B$27,nASIG)&gt;0)*1),"")))</f>
        <v/>
      </c>
      <c r="N199" t="str">
        <f>IF(M199="","",IF(M199="[FÓRMULA MANUAL]","",IFERROR(AVERAGEIFS(nNOTA,nNIA,M199,nCUENTA,1,nASIG,"Armonía"),"")))</f>
        <v/>
      </c>
      <c r="O199" t="str">
        <f>IF(M199="","",IF(M199="[FÓRMULA MANUAL]","",IFERROR(AVERAGEIFS(nNOTA,nNIA,M199,nCUENTA,1,nASIG,"Orquesta/Banda/Conjunto"),"")))</f>
        <v/>
      </c>
      <c r="P199" t="str">
        <f>IF(M199="","",IF(M199="[FÓRMULA MANUAL]","",IFERROR(AVERAGEIFS(nNOTA,nNIA,M199,nCUENTA,1,nASIG,"Música de Cámara"),"")))</f>
        <v/>
      </c>
      <c r="Q199" t="str">
        <f>IF(M199="","",IF(M199="[FÓRMULA MANUAL]","",IFERROR(SUMPRODUCT((nNIA=M199)*(nCUENTA=1)*(COUNTIF(CONFIG_ASIGNATURAS!$B$7:$B$27,nASIG)&gt;0)*(nNOTA))/SUMPRODUCT((nNIA=M199)*(nCUENTA=1)*(COUNTIF(CONFIG_ASIGNATURAS!$B$7:$B$27,nASIG)&gt;0)*1),"")))</f>
        <v/>
      </c>
      <c r="T199" t="str">
        <f>IF(S199="","",IF(S199="[FÓRMULA MANUAL]","",IFERROR(AVERAGEIFS(nNOTA,nNIA,S199,nCUENTA,1,nASIG,"Armonía"),"")))</f>
        <v/>
      </c>
      <c r="U199" t="str">
        <f>IF(S199="","",IF(S199="[FÓRMULA MANUAL]","",IFERROR(AVERAGEIFS(nNOTA,nNIA,S199,nCUENTA,1,nASIG,"Orquesta/Banda/Conjunto"),"")))</f>
        <v/>
      </c>
      <c r="V199" t="str">
        <f>IF(S199="","",IF(S199="[FÓRMULA MANUAL]","",IFERROR(AVERAGEIFS(nNOTA,nNIA,S199,nCUENTA,1,nASIG,"Música de Cámara"),"")))</f>
        <v/>
      </c>
      <c r="W199" t="str">
        <f>IF(S199="","",IF(S199="[FÓRMULA MANUAL]","",IFERROR(SUMPRODUCT((nNIA=S199)*(nCUENTA=1)*(COUNTIF(CONFIG_ASIGNATURAS!$B$7:$B$27,nASIG)&gt;0)*(nNOTA))/SUMPRODUCT((nNIA=S199)*(nCUENTA=1)*(COUNTIF(CONFIG_ASIGNATURAS!$B$7:$B$27,nASIG)&gt;0)*1),"")))</f>
        <v/>
      </c>
      <c r="Z199" t="str">
        <f>IF(Y199="","",IF(Y199="[FÓRMULA MANUAL]","",IFERROR(AVERAGEIFS(nNOTA,nNIA,Y199,nCUENTA,1,nASIG,"Análisis"),"")))</f>
        <v/>
      </c>
      <c r="AA199" t="str">
        <f>IF(Y199="","",IF(Y199="[FÓRMULA MANUAL]","",IFERROR(AVERAGEIFS(nNOTA,nNIA,Y199,nCUENTA,1,nASIG,"Orquesta/Banda/Conjunto"),"")))</f>
        <v/>
      </c>
      <c r="AB199" t="str">
        <f>IF(Y199="","",IF(Y199="[FÓRMULA MANUAL]","",IFERROR(AVERAGEIFS(nNOTA,nNIA,Y199,nCUENTA,1,nASIG,"Música de Cámara"),"")))</f>
        <v/>
      </c>
      <c r="AC199" t="str">
        <f>IF(Y199="","",IF(Y199="[FÓRMULA MANUAL]","",IFERROR(SUMPRODUCT((nNIA=Y199)*(nCUENTA=1)*(COUNTIF(CONFIG_ASIGNATURAS!$B$7:$B$27,nASIG)&gt;0)*(nNOTA))/SUMPRODUCT((nNIA=Y199)*(nCUENTA=1)*(COUNTIF(CONFIG_ASIGNATURAS!$B$7:$B$27,nASIG)&gt;0)*1),"")))</f>
        <v/>
      </c>
      <c r="AF199" t="str">
        <f>IF(AE199="","",IF(AE199="[FÓRMULA MANUAL]","",IFERROR(AVERAGEIFS(nNOTA,nNIA,AE199,nCUENTA,1,nASIG,"Análisis"),"")))</f>
        <v/>
      </c>
      <c r="AG199" t="str">
        <f>IF(AE199="","",IF(AE199="[FÓRMULA MANUAL]","",IFERROR(AVERAGEIFS(nNOTA,nNIA,AE199,nCUENTA,1,nASIG,"Orquesta/Banda/Conjunto"),"")))</f>
        <v/>
      </c>
      <c r="AH199" t="str">
        <f>IF(AE199="","",IF(AE199="[FÓRMULA MANUAL]","",IFERROR(AVERAGEIFS(nNOTA,nNIA,AE199,nCUENTA,1,nASIG,"Música de Cámara"),"")))</f>
        <v/>
      </c>
      <c r="AI199" t="str">
        <f>IF(AE199="","",IF(AE199="[FÓRMULA MANUAL]","",IFERROR(SUMPRODUCT((nNIA=AE199)*(nCUENTA=1)*(COUNTIF(CONFIG_ASIGNATURAS!$B$7:$B$27,nASIG)&gt;0)*(nNOTA))/SUMPRODUCT((nNIA=AE199)*(nCUENTA=1)*(COUNTIF(CONFIG_ASIGNATURAS!$B$7:$B$27,nASIG)&gt;0)*1),"")))</f>
        <v/>
      </c>
    </row>
    <row r="200" spans="2:35" x14ac:dyDescent="0.2">
      <c r="B200" t="str">
        <f>IF(A200="","",IF(A200="[FÓRMULA MANUAL]","",IFERROR(AVERAGEIFS(nNOTA,nNIA,A200,nCUENTA,1,nASIG,"Lenguaje Musical"),"")))</f>
        <v/>
      </c>
      <c r="C200" t="str">
        <f>IF(A200="","",IF(A200="[FÓRMULA MANUAL]","",IFERROR(AVERAGEIFS(nNOTA,nNIA,A200,nCUENTA,1,nASIG,"Orquesta/Banda/Conjunto"),"")))</f>
        <v/>
      </c>
      <c r="D200" t="str">
        <f>IF(A200="","",IF(A200="[FÓRMULA MANUAL]","",IFERROR(AVERAGEIFS(nNOTA,nNIA,A200,nCUENTA,1,nASIG,"Conjunto"),"")))</f>
        <v/>
      </c>
      <c r="E200" t="str">
        <f>IF(A200="","",IF(A200="[FÓRMULA MANUAL]","",IFERROR(SUMPRODUCT((nNIA=A200)*(nCUENTA=1)*(COUNTIF(CONFIG_ASIGNATURAS!$B$7:$B$27,nASIG)&gt;0)*(nNOTA))/SUMPRODUCT((nNIA=A200)*(nCUENTA=1)*(COUNTIF(CONFIG_ASIGNATURAS!$B$7:$B$27,nASIG)&gt;0)*1),"")))</f>
        <v/>
      </c>
      <c r="H200" t="str">
        <f>IF(G200="","",IF(G200="[FÓRMULA MANUAL]","",IFERROR(AVERAGEIFS(nNOTA,nNIA,G200,nCUENTA,1,nASIG,"Lenguaje Musical"),"")))</f>
        <v/>
      </c>
      <c r="I200" t="str">
        <f>IF(G200="","",IF(G200="[FÓRMULA MANUAL]","",IFERROR(AVERAGEIFS(nNOTA,nNIA,G200,nCUENTA,1,nASIG,"Orquesta/Banda/Conjunto"),"")))</f>
        <v/>
      </c>
      <c r="J200" t="str">
        <f>IF(G200="","",IF(G200="[FÓRMULA MANUAL]","",IFERROR(AVERAGEIFS(nNOTA,nNIA,G200,nCUENTA,1,nASIG,"Conjunto"),"")))</f>
        <v/>
      </c>
      <c r="K200" t="str">
        <f>IF(G200="","",IF(G200="[FÓRMULA MANUAL]","",IFERROR(SUMPRODUCT((nNIA=G200)*(nCUENTA=1)*(COUNTIF(CONFIG_ASIGNATURAS!$B$7:$B$27,nASIG)&gt;0)*(nNOTA))/SUMPRODUCT((nNIA=G200)*(nCUENTA=1)*(COUNTIF(CONFIG_ASIGNATURAS!$B$7:$B$27,nASIG)&gt;0)*1),"")))</f>
        <v/>
      </c>
      <c r="N200" t="str">
        <f>IF(M200="","",IF(M200="[FÓRMULA MANUAL]","",IFERROR(AVERAGEIFS(nNOTA,nNIA,M200,nCUENTA,1,nASIG,"Armonía"),"")))</f>
        <v/>
      </c>
      <c r="O200" t="str">
        <f>IF(M200="","",IF(M200="[FÓRMULA MANUAL]","",IFERROR(AVERAGEIFS(nNOTA,nNIA,M200,nCUENTA,1,nASIG,"Orquesta/Banda/Conjunto"),"")))</f>
        <v/>
      </c>
      <c r="P200" t="str">
        <f>IF(M200="","",IF(M200="[FÓRMULA MANUAL]","",IFERROR(AVERAGEIFS(nNOTA,nNIA,M200,nCUENTA,1,nASIG,"Música de Cámara"),"")))</f>
        <v/>
      </c>
      <c r="Q200" t="str">
        <f>IF(M200="","",IF(M200="[FÓRMULA MANUAL]","",IFERROR(SUMPRODUCT((nNIA=M200)*(nCUENTA=1)*(COUNTIF(CONFIG_ASIGNATURAS!$B$7:$B$27,nASIG)&gt;0)*(nNOTA))/SUMPRODUCT((nNIA=M200)*(nCUENTA=1)*(COUNTIF(CONFIG_ASIGNATURAS!$B$7:$B$27,nASIG)&gt;0)*1),"")))</f>
        <v/>
      </c>
      <c r="T200" t="str">
        <f>IF(S200="","",IF(S200="[FÓRMULA MANUAL]","",IFERROR(AVERAGEIFS(nNOTA,nNIA,S200,nCUENTA,1,nASIG,"Armonía"),"")))</f>
        <v/>
      </c>
      <c r="U200" t="str">
        <f>IF(S200="","",IF(S200="[FÓRMULA MANUAL]","",IFERROR(AVERAGEIFS(nNOTA,nNIA,S200,nCUENTA,1,nASIG,"Orquesta/Banda/Conjunto"),"")))</f>
        <v/>
      </c>
      <c r="V200" t="str">
        <f>IF(S200="","",IF(S200="[FÓRMULA MANUAL]","",IFERROR(AVERAGEIFS(nNOTA,nNIA,S200,nCUENTA,1,nASIG,"Música de Cámara"),"")))</f>
        <v/>
      </c>
      <c r="W200" t="str">
        <f>IF(S200="","",IF(S200="[FÓRMULA MANUAL]","",IFERROR(SUMPRODUCT((nNIA=S200)*(nCUENTA=1)*(COUNTIF(CONFIG_ASIGNATURAS!$B$7:$B$27,nASIG)&gt;0)*(nNOTA))/SUMPRODUCT((nNIA=S200)*(nCUENTA=1)*(COUNTIF(CONFIG_ASIGNATURAS!$B$7:$B$27,nASIG)&gt;0)*1),"")))</f>
        <v/>
      </c>
      <c r="Z200" t="str">
        <f>IF(Y200="","",IF(Y200="[FÓRMULA MANUAL]","",IFERROR(AVERAGEIFS(nNOTA,nNIA,Y200,nCUENTA,1,nASIG,"Análisis"),"")))</f>
        <v/>
      </c>
      <c r="AA200" t="str">
        <f>IF(Y200="","",IF(Y200="[FÓRMULA MANUAL]","",IFERROR(AVERAGEIFS(nNOTA,nNIA,Y200,nCUENTA,1,nASIG,"Orquesta/Banda/Conjunto"),"")))</f>
        <v/>
      </c>
      <c r="AB200" t="str">
        <f>IF(Y200="","",IF(Y200="[FÓRMULA MANUAL]","",IFERROR(AVERAGEIFS(nNOTA,nNIA,Y200,nCUENTA,1,nASIG,"Música de Cámara"),"")))</f>
        <v/>
      </c>
      <c r="AC200" t="str">
        <f>IF(Y200="","",IF(Y200="[FÓRMULA MANUAL]","",IFERROR(SUMPRODUCT((nNIA=Y200)*(nCUENTA=1)*(COUNTIF(CONFIG_ASIGNATURAS!$B$7:$B$27,nASIG)&gt;0)*(nNOTA))/SUMPRODUCT((nNIA=Y200)*(nCUENTA=1)*(COUNTIF(CONFIG_ASIGNATURAS!$B$7:$B$27,nASIG)&gt;0)*1),"")))</f>
        <v/>
      </c>
      <c r="AF200" t="str">
        <f>IF(AE200="","",IF(AE200="[FÓRMULA MANUAL]","",IFERROR(AVERAGEIFS(nNOTA,nNIA,AE200,nCUENTA,1,nASIG,"Análisis"),"")))</f>
        <v/>
      </c>
      <c r="AG200" t="str">
        <f>IF(AE200="","",IF(AE200="[FÓRMULA MANUAL]","",IFERROR(AVERAGEIFS(nNOTA,nNIA,AE200,nCUENTA,1,nASIG,"Orquesta/Banda/Conjunto"),"")))</f>
        <v/>
      </c>
      <c r="AH200" t="str">
        <f>IF(AE200="","",IF(AE200="[FÓRMULA MANUAL]","",IFERROR(AVERAGEIFS(nNOTA,nNIA,AE200,nCUENTA,1,nASIG,"Música de Cámara"),"")))</f>
        <v/>
      </c>
      <c r="AI200" t="str">
        <f>IF(AE200="","",IF(AE200="[FÓRMULA MANUAL]","",IFERROR(SUMPRODUCT((nNIA=AE200)*(nCUENTA=1)*(COUNTIF(CONFIG_ASIGNATURAS!$B$7:$B$27,nASIG)&gt;0)*(nNOTA))/SUMPRODUCT((nNIA=AE200)*(nCUENTA=1)*(COUNTIF(CONFIG_ASIGNATURAS!$B$7:$B$27,nASIG)&gt;0)*1),"")))</f>
        <v/>
      </c>
    </row>
    <row r="201" spans="2:35" x14ac:dyDescent="0.2">
      <c r="B201" t="str">
        <f>IF(A201="","",IF(A201="[FÓRMULA MANUAL]","",IFERROR(AVERAGEIFS(nNOTA,nNIA,A201,nCUENTA,1,nASIG,"Lenguaje Musical"),"")))</f>
        <v/>
      </c>
      <c r="C201" t="str">
        <f>IF(A201="","",IF(A201="[FÓRMULA MANUAL]","",IFERROR(AVERAGEIFS(nNOTA,nNIA,A201,nCUENTA,1,nASIG,"Orquesta/Banda/Conjunto"),"")))</f>
        <v/>
      </c>
      <c r="D201" t="str">
        <f>IF(A201="","",IF(A201="[FÓRMULA MANUAL]","",IFERROR(AVERAGEIFS(nNOTA,nNIA,A201,nCUENTA,1,nASIG,"Conjunto"),"")))</f>
        <v/>
      </c>
      <c r="E201" t="str">
        <f>IF(A201="","",IF(A201="[FÓRMULA MANUAL]","",IFERROR(SUMPRODUCT((nNIA=A201)*(nCUENTA=1)*(COUNTIF(CONFIG_ASIGNATURAS!$B$7:$B$27,nASIG)&gt;0)*(nNOTA))/SUMPRODUCT((nNIA=A201)*(nCUENTA=1)*(COUNTIF(CONFIG_ASIGNATURAS!$B$7:$B$27,nASIG)&gt;0)*1),"")))</f>
        <v/>
      </c>
      <c r="H201" t="str">
        <f>IF(G201="","",IF(G201="[FÓRMULA MANUAL]","",IFERROR(AVERAGEIFS(nNOTA,nNIA,G201,nCUENTA,1,nASIG,"Lenguaje Musical"),"")))</f>
        <v/>
      </c>
      <c r="I201" t="str">
        <f>IF(G201="","",IF(G201="[FÓRMULA MANUAL]","",IFERROR(AVERAGEIFS(nNOTA,nNIA,G201,nCUENTA,1,nASIG,"Orquesta/Banda/Conjunto"),"")))</f>
        <v/>
      </c>
      <c r="J201" t="str">
        <f>IF(G201="","",IF(G201="[FÓRMULA MANUAL]","",IFERROR(AVERAGEIFS(nNOTA,nNIA,G201,nCUENTA,1,nASIG,"Conjunto"),"")))</f>
        <v/>
      </c>
      <c r="K201" t="str">
        <f>IF(G201="","",IF(G201="[FÓRMULA MANUAL]","",IFERROR(SUMPRODUCT((nNIA=G201)*(nCUENTA=1)*(COUNTIF(CONFIG_ASIGNATURAS!$B$7:$B$27,nASIG)&gt;0)*(nNOTA))/SUMPRODUCT((nNIA=G201)*(nCUENTA=1)*(COUNTIF(CONFIG_ASIGNATURAS!$B$7:$B$27,nASIG)&gt;0)*1),"")))</f>
        <v/>
      </c>
      <c r="N201" t="str">
        <f>IF(M201="","",IF(M201="[FÓRMULA MANUAL]","",IFERROR(AVERAGEIFS(nNOTA,nNIA,M201,nCUENTA,1,nASIG,"Armonía"),"")))</f>
        <v/>
      </c>
      <c r="O201" t="str">
        <f>IF(M201="","",IF(M201="[FÓRMULA MANUAL]","",IFERROR(AVERAGEIFS(nNOTA,nNIA,M201,nCUENTA,1,nASIG,"Orquesta/Banda/Conjunto"),"")))</f>
        <v/>
      </c>
      <c r="P201" t="str">
        <f>IF(M201="","",IF(M201="[FÓRMULA MANUAL]","",IFERROR(AVERAGEIFS(nNOTA,nNIA,M201,nCUENTA,1,nASIG,"Música de Cámara"),"")))</f>
        <v/>
      </c>
      <c r="Q201" t="str">
        <f>IF(M201="","",IF(M201="[FÓRMULA MANUAL]","",IFERROR(SUMPRODUCT((nNIA=M201)*(nCUENTA=1)*(COUNTIF(CONFIG_ASIGNATURAS!$B$7:$B$27,nASIG)&gt;0)*(nNOTA))/SUMPRODUCT((nNIA=M201)*(nCUENTA=1)*(COUNTIF(CONFIG_ASIGNATURAS!$B$7:$B$27,nASIG)&gt;0)*1),"")))</f>
        <v/>
      </c>
      <c r="T201" t="str">
        <f>IF(S201="","",IF(S201="[FÓRMULA MANUAL]","",IFERROR(AVERAGEIFS(nNOTA,nNIA,S201,nCUENTA,1,nASIG,"Armonía"),"")))</f>
        <v/>
      </c>
      <c r="U201" t="str">
        <f>IF(S201="","",IF(S201="[FÓRMULA MANUAL]","",IFERROR(AVERAGEIFS(nNOTA,nNIA,S201,nCUENTA,1,nASIG,"Orquesta/Banda/Conjunto"),"")))</f>
        <v/>
      </c>
      <c r="V201" t="str">
        <f>IF(S201="","",IF(S201="[FÓRMULA MANUAL]","",IFERROR(AVERAGEIFS(nNOTA,nNIA,S201,nCUENTA,1,nASIG,"Música de Cámara"),"")))</f>
        <v/>
      </c>
      <c r="W201" t="str">
        <f>IF(S201="","",IF(S201="[FÓRMULA MANUAL]","",IFERROR(SUMPRODUCT((nNIA=S201)*(nCUENTA=1)*(COUNTIF(CONFIG_ASIGNATURAS!$B$7:$B$27,nASIG)&gt;0)*(nNOTA))/SUMPRODUCT((nNIA=S201)*(nCUENTA=1)*(COUNTIF(CONFIG_ASIGNATURAS!$B$7:$B$27,nASIG)&gt;0)*1),"")))</f>
        <v/>
      </c>
      <c r="Z201" t="str">
        <f>IF(Y201="","",IF(Y201="[FÓRMULA MANUAL]","",IFERROR(AVERAGEIFS(nNOTA,nNIA,Y201,nCUENTA,1,nASIG,"Análisis"),"")))</f>
        <v/>
      </c>
      <c r="AA201" t="str">
        <f>IF(Y201="","",IF(Y201="[FÓRMULA MANUAL]","",IFERROR(AVERAGEIFS(nNOTA,nNIA,Y201,nCUENTA,1,nASIG,"Orquesta/Banda/Conjunto"),"")))</f>
        <v/>
      </c>
      <c r="AB201" t="str">
        <f>IF(Y201="","",IF(Y201="[FÓRMULA MANUAL]","",IFERROR(AVERAGEIFS(nNOTA,nNIA,Y201,nCUENTA,1,nASIG,"Música de Cámara"),"")))</f>
        <v/>
      </c>
      <c r="AC201" t="str">
        <f>IF(Y201="","",IF(Y201="[FÓRMULA MANUAL]","",IFERROR(SUMPRODUCT((nNIA=Y201)*(nCUENTA=1)*(COUNTIF(CONFIG_ASIGNATURAS!$B$7:$B$27,nASIG)&gt;0)*(nNOTA))/SUMPRODUCT((nNIA=Y201)*(nCUENTA=1)*(COUNTIF(CONFIG_ASIGNATURAS!$B$7:$B$27,nASIG)&gt;0)*1),"")))</f>
        <v/>
      </c>
      <c r="AF201" t="str">
        <f>IF(AE201="","",IF(AE201="[FÓRMULA MANUAL]","",IFERROR(AVERAGEIFS(nNOTA,nNIA,AE201,nCUENTA,1,nASIG,"Análisis"),"")))</f>
        <v/>
      </c>
      <c r="AG201" t="str">
        <f>IF(AE201="","",IF(AE201="[FÓRMULA MANUAL]","",IFERROR(AVERAGEIFS(nNOTA,nNIA,AE201,nCUENTA,1,nASIG,"Orquesta/Banda/Conjunto"),"")))</f>
        <v/>
      </c>
      <c r="AH201" t="str">
        <f>IF(AE201="","",IF(AE201="[FÓRMULA MANUAL]","",IFERROR(AVERAGEIFS(nNOTA,nNIA,AE201,nCUENTA,1,nASIG,"Música de Cámara"),"")))</f>
        <v/>
      </c>
      <c r="AI201" t="str">
        <f>IF(AE201="","",IF(AE201="[FÓRMULA MANUAL]","",IFERROR(SUMPRODUCT((nNIA=AE201)*(nCUENTA=1)*(COUNTIF(CONFIG_ASIGNATURAS!$B$7:$B$27,nASIG)&gt;0)*(nNOTA))/SUMPRODUCT((nNIA=AE201)*(nCUENTA=1)*(COUNTIF(CONFIG_ASIGNATURAS!$B$7:$B$27,nASIG)&gt;0)*1),"")))</f>
        <v/>
      </c>
    </row>
    <row r="202" spans="2:35" x14ac:dyDescent="0.2">
      <c r="B202" t="str">
        <f>IF(A202="","",IF(A202="[FÓRMULA MANUAL]","",IFERROR(AVERAGEIFS(nNOTA,nNIA,A202,nCUENTA,1,nASIG,"Lenguaje Musical"),"")))</f>
        <v/>
      </c>
      <c r="C202" t="str">
        <f>IF(A202="","",IF(A202="[FÓRMULA MANUAL]","",IFERROR(AVERAGEIFS(nNOTA,nNIA,A202,nCUENTA,1,nASIG,"Orquesta/Banda/Conjunto"),"")))</f>
        <v/>
      </c>
      <c r="D202" t="str">
        <f>IF(A202="","",IF(A202="[FÓRMULA MANUAL]","",IFERROR(AVERAGEIFS(nNOTA,nNIA,A202,nCUENTA,1,nASIG,"Conjunto"),"")))</f>
        <v/>
      </c>
      <c r="E202" t="str">
        <f>IF(A202="","",IF(A202="[FÓRMULA MANUAL]","",IFERROR(SUMPRODUCT((nNIA=A202)*(nCUENTA=1)*(COUNTIF(CONFIG_ASIGNATURAS!$B$7:$B$27,nASIG)&gt;0)*(nNOTA))/SUMPRODUCT((nNIA=A202)*(nCUENTA=1)*(COUNTIF(CONFIG_ASIGNATURAS!$B$7:$B$27,nASIG)&gt;0)*1),"")))</f>
        <v/>
      </c>
      <c r="H202" t="str">
        <f>IF(G202="","",IF(G202="[FÓRMULA MANUAL]","",IFERROR(AVERAGEIFS(nNOTA,nNIA,G202,nCUENTA,1,nASIG,"Lenguaje Musical"),"")))</f>
        <v/>
      </c>
      <c r="I202" t="str">
        <f>IF(G202="","",IF(G202="[FÓRMULA MANUAL]","",IFERROR(AVERAGEIFS(nNOTA,nNIA,G202,nCUENTA,1,nASIG,"Orquesta/Banda/Conjunto"),"")))</f>
        <v/>
      </c>
      <c r="J202" t="str">
        <f>IF(G202="","",IF(G202="[FÓRMULA MANUAL]","",IFERROR(AVERAGEIFS(nNOTA,nNIA,G202,nCUENTA,1,nASIG,"Conjunto"),"")))</f>
        <v/>
      </c>
      <c r="K202" t="str">
        <f>IF(G202="","",IF(G202="[FÓRMULA MANUAL]","",IFERROR(SUMPRODUCT((nNIA=G202)*(nCUENTA=1)*(COUNTIF(CONFIG_ASIGNATURAS!$B$7:$B$27,nASIG)&gt;0)*(nNOTA))/SUMPRODUCT((nNIA=G202)*(nCUENTA=1)*(COUNTIF(CONFIG_ASIGNATURAS!$B$7:$B$27,nASIG)&gt;0)*1),"")))</f>
        <v/>
      </c>
      <c r="N202" t="str">
        <f>IF(M202="","",IF(M202="[FÓRMULA MANUAL]","",IFERROR(AVERAGEIFS(nNOTA,nNIA,M202,nCUENTA,1,nASIG,"Armonía"),"")))</f>
        <v/>
      </c>
      <c r="O202" t="str">
        <f>IF(M202="","",IF(M202="[FÓRMULA MANUAL]","",IFERROR(AVERAGEIFS(nNOTA,nNIA,M202,nCUENTA,1,nASIG,"Orquesta/Banda/Conjunto"),"")))</f>
        <v/>
      </c>
      <c r="P202" t="str">
        <f>IF(M202="","",IF(M202="[FÓRMULA MANUAL]","",IFERROR(AVERAGEIFS(nNOTA,nNIA,M202,nCUENTA,1,nASIG,"Música de Cámara"),"")))</f>
        <v/>
      </c>
      <c r="Q202" t="str">
        <f>IF(M202="","",IF(M202="[FÓRMULA MANUAL]","",IFERROR(SUMPRODUCT((nNIA=M202)*(nCUENTA=1)*(COUNTIF(CONFIG_ASIGNATURAS!$B$7:$B$27,nASIG)&gt;0)*(nNOTA))/SUMPRODUCT((nNIA=M202)*(nCUENTA=1)*(COUNTIF(CONFIG_ASIGNATURAS!$B$7:$B$27,nASIG)&gt;0)*1),"")))</f>
        <v/>
      </c>
      <c r="T202" t="str">
        <f>IF(S202="","",IF(S202="[FÓRMULA MANUAL]","",IFERROR(AVERAGEIFS(nNOTA,nNIA,S202,nCUENTA,1,nASIG,"Armonía"),"")))</f>
        <v/>
      </c>
      <c r="U202" t="str">
        <f>IF(S202="","",IF(S202="[FÓRMULA MANUAL]","",IFERROR(AVERAGEIFS(nNOTA,nNIA,S202,nCUENTA,1,nASIG,"Orquesta/Banda/Conjunto"),"")))</f>
        <v/>
      </c>
      <c r="V202" t="str">
        <f>IF(S202="","",IF(S202="[FÓRMULA MANUAL]","",IFERROR(AVERAGEIFS(nNOTA,nNIA,S202,nCUENTA,1,nASIG,"Música de Cámara"),"")))</f>
        <v/>
      </c>
      <c r="W202" t="str">
        <f>IF(S202="","",IF(S202="[FÓRMULA MANUAL]","",IFERROR(SUMPRODUCT((nNIA=S202)*(nCUENTA=1)*(COUNTIF(CONFIG_ASIGNATURAS!$B$7:$B$27,nASIG)&gt;0)*(nNOTA))/SUMPRODUCT((nNIA=S202)*(nCUENTA=1)*(COUNTIF(CONFIG_ASIGNATURAS!$B$7:$B$27,nASIG)&gt;0)*1),"")))</f>
        <v/>
      </c>
      <c r="Z202" t="str">
        <f>IF(Y202="","",IF(Y202="[FÓRMULA MANUAL]","",IFERROR(AVERAGEIFS(nNOTA,nNIA,Y202,nCUENTA,1,nASIG,"Análisis"),"")))</f>
        <v/>
      </c>
      <c r="AA202" t="str">
        <f>IF(Y202="","",IF(Y202="[FÓRMULA MANUAL]","",IFERROR(AVERAGEIFS(nNOTA,nNIA,Y202,nCUENTA,1,nASIG,"Orquesta/Banda/Conjunto"),"")))</f>
        <v/>
      </c>
      <c r="AB202" t="str">
        <f>IF(Y202="","",IF(Y202="[FÓRMULA MANUAL]","",IFERROR(AVERAGEIFS(nNOTA,nNIA,Y202,nCUENTA,1,nASIG,"Música de Cámara"),"")))</f>
        <v/>
      </c>
      <c r="AC202" t="str">
        <f>IF(Y202="","",IF(Y202="[FÓRMULA MANUAL]","",IFERROR(SUMPRODUCT((nNIA=Y202)*(nCUENTA=1)*(COUNTIF(CONFIG_ASIGNATURAS!$B$7:$B$27,nASIG)&gt;0)*(nNOTA))/SUMPRODUCT((nNIA=Y202)*(nCUENTA=1)*(COUNTIF(CONFIG_ASIGNATURAS!$B$7:$B$27,nASIG)&gt;0)*1),"")))</f>
        <v/>
      </c>
      <c r="AF202" t="str">
        <f>IF(AE202="","",IF(AE202="[FÓRMULA MANUAL]","",IFERROR(AVERAGEIFS(nNOTA,nNIA,AE202,nCUENTA,1,nASIG,"Análisis"),"")))</f>
        <v/>
      </c>
      <c r="AG202" t="str">
        <f>IF(AE202="","",IF(AE202="[FÓRMULA MANUAL]","",IFERROR(AVERAGEIFS(nNOTA,nNIA,AE202,nCUENTA,1,nASIG,"Orquesta/Banda/Conjunto"),"")))</f>
        <v/>
      </c>
      <c r="AH202" t="str">
        <f>IF(AE202="","",IF(AE202="[FÓRMULA MANUAL]","",IFERROR(AVERAGEIFS(nNOTA,nNIA,AE202,nCUENTA,1,nASIG,"Música de Cámara"),"")))</f>
        <v/>
      </c>
      <c r="AI202" t="str">
        <f>IF(AE202="","",IF(AE202="[FÓRMULA MANUAL]","",IFERROR(SUMPRODUCT((nNIA=AE202)*(nCUENTA=1)*(COUNTIF(CONFIG_ASIGNATURAS!$B$7:$B$27,nASIG)&gt;0)*(nNOTA))/SUMPRODUCT((nNIA=AE202)*(nCUENTA=1)*(COUNTIF(CONFIG_ASIGNATURAS!$B$7:$B$27,nASIG)&gt;0)*1),"")))</f>
        <v/>
      </c>
    </row>
    <row r="203" spans="2:35" x14ac:dyDescent="0.2">
      <c r="B203" t="str">
        <f>IF(A203="","",IF(A203="[FÓRMULA MANUAL]","",IFERROR(AVERAGEIFS(nNOTA,nNIA,A203,nCUENTA,1,nASIG,"Lenguaje Musical"),"")))</f>
        <v/>
      </c>
      <c r="C203" t="str">
        <f>IF(A203="","",IF(A203="[FÓRMULA MANUAL]","",IFERROR(AVERAGEIFS(nNOTA,nNIA,A203,nCUENTA,1,nASIG,"Orquesta/Banda/Conjunto"),"")))</f>
        <v/>
      </c>
      <c r="D203" t="str">
        <f>IF(A203="","",IF(A203="[FÓRMULA MANUAL]","",IFERROR(AVERAGEIFS(nNOTA,nNIA,A203,nCUENTA,1,nASIG,"Conjunto"),"")))</f>
        <v/>
      </c>
      <c r="E203" t="str">
        <f>IF(A203="","",IF(A203="[FÓRMULA MANUAL]","",IFERROR(SUMPRODUCT((nNIA=A203)*(nCUENTA=1)*(COUNTIF(CONFIG_ASIGNATURAS!$B$7:$B$27,nASIG)&gt;0)*(nNOTA))/SUMPRODUCT((nNIA=A203)*(nCUENTA=1)*(COUNTIF(CONFIG_ASIGNATURAS!$B$7:$B$27,nASIG)&gt;0)*1),"")))</f>
        <v/>
      </c>
      <c r="H203" t="str">
        <f>IF(G203="","",IF(G203="[FÓRMULA MANUAL]","",IFERROR(AVERAGEIFS(nNOTA,nNIA,G203,nCUENTA,1,nASIG,"Lenguaje Musical"),"")))</f>
        <v/>
      </c>
      <c r="I203" t="str">
        <f>IF(G203="","",IF(G203="[FÓRMULA MANUAL]","",IFERROR(AVERAGEIFS(nNOTA,nNIA,G203,nCUENTA,1,nASIG,"Orquesta/Banda/Conjunto"),"")))</f>
        <v/>
      </c>
      <c r="J203" t="str">
        <f>IF(G203="","",IF(G203="[FÓRMULA MANUAL]","",IFERROR(AVERAGEIFS(nNOTA,nNIA,G203,nCUENTA,1,nASIG,"Conjunto"),"")))</f>
        <v/>
      </c>
      <c r="K203" t="str">
        <f>IF(G203="","",IF(G203="[FÓRMULA MANUAL]","",IFERROR(SUMPRODUCT((nNIA=G203)*(nCUENTA=1)*(COUNTIF(CONFIG_ASIGNATURAS!$B$7:$B$27,nASIG)&gt;0)*(nNOTA))/SUMPRODUCT((nNIA=G203)*(nCUENTA=1)*(COUNTIF(CONFIG_ASIGNATURAS!$B$7:$B$27,nASIG)&gt;0)*1),"")))</f>
        <v/>
      </c>
      <c r="N203" t="str">
        <f>IF(M203="","",IF(M203="[FÓRMULA MANUAL]","",IFERROR(AVERAGEIFS(nNOTA,nNIA,M203,nCUENTA,1,nASIG,"Armonía"),"")))</f>
        <v/>
      </c>
      <c r="O203" t="str">
        <f>IF(M203="","",IF(M203="[FÓRMULA MANUAL]","",IFERROR(AVERAGEIFS(nNOTA,nNIA,M203,nCUENTA,1,nASIG,"Orquesta/Banda/Conjunto"),"")))</f>
        <v/>
      </c>
      <c r="P203" t="str">
        <f>IF(M203="","",IF(M203="[FÓRMULA MANUAL]","",IFERROR(AVERAGEIFS(nNOTA,nNIA,M203,nCUENTA,1,nASIG,"Música de Cámara"),"")))</f>
        <v/>
      </c>
      <c r="Q203" t="str">
        <f>IF(M203="","",IF(M203="[FÓRMULA MANUAL]","",IFERROR(SUMPRODUCT((nNIA=M203)*(nCUENTA=1)*(COUNTIF(CONFIG_ASIGNATURAS!$B$7:$B$27,nASIG)&gt;0)*(nNOTA))/SUMPRODUCT((nNIA=M203)*(nCUENTA=1)*(COUNTIF(CONFIG_ASIGNATURAS!$B$7:$B$27,nASIG)&gt;0)*1),"")))</f>
        <v/>
      </c>
      <c r="T203" t="str">
        <f>IF(S203="","",IF(S203="[FÓRMULA MANUAL]","",IFERROR(AVERAGEIFS(nNOTA,nNIA,S203,nCUENTA,1,nASIG,"Armonía"),"")))</f>
        <v/>
      </c>
      <c r="U203" t="str">
        <f>IF(S203="","",IF(S203="[FÓRMULA MANUAL]","",IFERROR(AVERAGEIFS(nNOTA,nNIA,S203,nCUENTA,1,nASIG,"Orquesta/Banda/Conjunto"),"")))</f>
        <v/>
      </c>
      <c r="V203" t="str">
        <f>IF(S203="","",IF(S203="[FÓRMULA MANUAL]","",IFERROR(AVERAGEIFS(nNOTA,nNIA,S203,nCUENTA,1,nASIG,"Música de Cámara"),"")))</f>
        <v/>
      </c>
      <c r="W203" t="str">
        <f>IF(S203="","",IF(S203="[FÓRMULA MANUAL]","",IFERROR(SUMPRODUCT((nNIA=S203)*(nCUENTA=1)*(COUNTIF(CONFIG_ASIGNATURAS!$B$7:$B$27,nASIG)&gt;0)*(nNOTA))/SUMPRODUCT((nNIA=S203)*(nCUENTA=1)*(COUNTIF(CONFIG_ASIGNATURAS!$B$7:$B$27,nASIG)&gt;0)*1),"")))</f>
        <v/>
      </c>
      <c r="Z203" t="str">
        <f>IF(Y203="","",IF(Y203="[FÓRMULA MANUAL]","",IFERROR(AVERAGEIFS(nNOTA,nNIA,Y203,nCUENTA,1,nASIG,"Análisis"),"")))</f>
        <v/>
      </c>
      <c r="AA203" t="str">
        <f>IF(Y203="","",IF(Y203="[FÓRMULA MANUAL]","",IFERROR(AVERAGEIFS(nNOTA,nNIA,Y203,nCUENTA,1,nASIG,"Orquesta/Banda/Conjunto"),"")))</f>
        <v/>
      </c>
      <c r="AB203" t="str">
        <f>IF(Y203="","",IF(Y203="[FÓRMULA MANUAL]","",IFERROR(AVERAGEIFS(nNOTA,nNIA,Y203,nCUENTA,1,nASIG,"Música de Cámara"),"")))</f>
        <v/>
      </c>
      <c r="AC203" t="str">
        <f>IF(Y203="","",IF(Y203="[FÓRMULA MANUAL]","",IFERROR(SUMPRODUCT((nNIA=Y203)*(nCUENTA=1)*(COUNTIF(CONFIG_ASIGNATURAS!$B$7:$B$27,nASIG)&gt;0)*(nNOTA))/SUMPRODUCT((nNIA=Y203)*(nCUENTA=1)*(COUNTIF(CONFIG_ASIGNATURAS!$B$7:$B$27,nASIG)&gt;0)*1),"")))</f>
        <v/>
      </c>
      <c r="AF203" t="str">
        <f>IF(AE203="","",IF(AE203="[FÓRMULA MANUAL]","",IFERROR(AVERAGEIFS(nNOTA,nNIA,AE203,nCUENTA,1,nASIG,"Análisis"),"")))</f>
        <v/>
      </c>
      <c r="AG203" t="str">
        <f>IF(AE203="","",IF(AE203="[FÓRMULA MANUAL]","",IFERROR(AVERAGEIFS(nNOTA,nNIA,AE203,nCUENTA,1,nASIG,"Orquesta/Banda/Conjunto"),"")))</f>
        <v/>
      </c>
      <c r="AH203" t="str">
        <f>IF(AE203="","",IF(AE203="[FÓRMULA MANUAL]","",IFERROR(AVERAGEIFS(nNOTA,nNIA,AE203,nCUENTA,1,nASIG,"Música de Cámara"),"")))</f>
        <v/>
      </c>
      <c r="AI203" t="str">
        <f>IF(AE203="","",IF(AE203="[FÓRMULA MANUAL]","",IFERROR(SUMPRODUCT((nNIA=AE203)*(nCUENTA=1)*(COUNTIF(CONFIG_ASIGNATURAS!$B$7:$B$27,nASIG)&gt;0)*(nNOTA))/SUMPRODUCT((nNIA=AE203)*(nCUENTA=1)*(COUNTIF(CONFIG_ASIGNATURAS!$B$7:$B$27,nASIG)&gt;0)*1),"")))</f>
        <v/>
      </c>
    </row>
    <row r="204" spans="2:35" x14ac:dyDescent="0.2">
      <c r="B204" t="str">
        <f>IF(A204="","",IF(A204="[FÓRMULA MANUAL]","",IFERROR(AVERAGEIFS(nNOTA,nNIA,A204,nCUENTA,1,nASIG,"Lenguaje Musical"),"")))</f>
        <v/>
      </c>
      <c r="C204" t="str">
        <f>IF(A204="","",IF(A204="[FÓRMULA MANUAL]","",IFERROR(AVERAGEIFS(nNOTA,nNIA,A204,nCUENTA,1,nASIG,"Orquesta/Banda/Conjunto"),"")))</f>
        <v/>
      </c>
      <c r="D204" t="str">
        <f>IF(A204="","",IF(A204="[FÓRMULA MANUAL]","",IFERROR(AVERAGEIFS(nNOTA,nNIA,A204,nCUENTA,1,nASIG,"Conjunto"),"")))</f>
        <v/>
      </c>
      <c r="E204" t="str">
        <f>IF(A204="","",IF(A204="[FÓRMULA MANUAL]","",IFERROR(SUMPRODUCT((nNIA=A204)*(nCUENTA=1)*(COUNTIF(CONFIG_ASIGNATURAS!$B$7:$B$27,nASIG)&gt;0)*(nNOTA))/SUMPRODUCT((nNIA=A204)*(nCUENTA=1)*(COUNTIF(CONFIG_ASIGNATURAS!$B$7:$B$27,nASIG)&gt;0)*1),"")))</f>
        <v/>
      </c>
      <c r="H204" t="str">
        <f>IF(G204="","",IF(G204="[FÓRMULA MANUAL]","",IFERROR(AVERAGEIFS(nNOTA,nNIA,G204,nCUENTA,1,nASIG,"Lenguaje Musical"),"")))</f>
        <v/>
      </c>
      <c r="I204" t="str">
        <f>IF(G204="","",IF(G204="[FÓRMULA MANUAL]","",IFERROR(AVERAGEIFS(nNOTA,nNIA,G204,nCUENTA,1,nASIG,"Orquesta/Banda/Conjunto"),"")))</f>
        <v/>
      </c>
      <c r="J204" t="str">
        <f>IF(G204="","",IF(G204="[FÓRMULA MANUAL]","",IFERROR(AVERAGEIFS(nNOTA,nNIA,G204,nCUENTA,1,nASIG,"Conjunto"),"")))</f>
        <v/>
      </c>
      <c r="K204" t="str">
        <f>IF(G204="","",IF(G204="[FÓRMULA MANUAL]","",IFERROR(SUMPRODUCT((nNIA=G204)*(nCUENTA=1)*(COUNTIF(CONFIG_ASIGNATURAS!$B$7:$B$27,nASIG)&gt;0)*(nNOTA))/SUMPRODUCT((nNIA=G204)*(nCUENTA=1)*(COUNTIF(CONFIG_ASIGNATURAS!$B$7:$B$27,nASIG)&gt;0)*1),"")))</f>
        <v/>
      </c>
      <c r="N204" t="str">
        <f>IF(M204="","",IF(M204="[FÓRMULA MANUAL]","",IFERROR(AVERAGEIFS(nNOTA,nNIA,M204,nCUENTA,1,nASIG,"Armonía"),"")))</f>
        <v/>
      </c>
      <c r="O204" t="str">
        <f>IF(M204="","",IF(M204="[FÓRMULA MANUAL]","",IFERROR(AVERAGEIFS(nNOTA,nNIA,M204,nCUENTA,1,nASIG,"Orquesta/Banda/Conjunto"),"")))</f>
        <v/>
      </c>
      <c r="P204" t="str">
        <f>IF(M204="","",IF(M204="[FÓRMULA MANUAL]","",IFERROR(AVERAGEIFS(nNOTA,nNIA,M204,nCUENTA,1,nASIG,"Música de Cámara"),"")))</f>
        <v/>
      </c>
      <c r="Q204" t="str">
        <f>IF(M204="","",IF(M204="[FÓRMULA MANUAL]","",IFERROR(SUMPRODUCT((nNIA=M204)*(nCUENTA=1)*(COUNTIF(CONFIG_ASIGNATURAS!$B$7:$B$27,nASIG)&gt;0)*(nNOTA))/SUMPRODUCT((nNIA=M204)*(nCUENTA=1)*(COUNTIF(CONFIG_ASIGNATURAS!$B$7:$B$27,nASIG)&gt;0)*1),"")))</f>
        <v/>
      </c>
      <c r="T204" t="str">
        <f>IF(S204="","",IF(S204="[FÓRMULA MANUAL]","",IFERROR(AVERAGEIFS(nNOTA,nNIA,S204,nCUENTA,1,nASIG,"Armonía"),"")))</f>
        <v/>
      </c>
      <c r="U204" t="str">
        <f>IF(S204="","",IF(S204="[FÓRMULA MANUAL]","",IFERROR(AVERAGEIFS(nNOTA,nNIA,S204,nCUENTA,1,nASIG,"Orquesta/Banda/Conjunto"),"")))</f>
        <v/>
      </c>
      <c r="V204" t="str">
        <f>IF(S204="","",IF(S204="[FÓRMULA MANUAL]","",IFERROR(AVERAGEIFS(nNOTA,nNIA,S204,nCUENTA,1,nASIG,"Música de Cámara"),"")))</f>
        <v/>
      </c>
      <c r="W204" t="str">
        <f>IF(S204="","",IF(S204="[FÓRMULA MANUAL]","",IFERROR(SUMPRODUCT((nNIA=S204)*(nCUENTA=1)*(COUNTIF(CONFIG_ASIGNATURAS!$B$7:$B$27,nASIG)&gt;0)*(nNOTA))/SUMPRODUCT((nNIA=S204)*(nCUENTA=1)*(COUNTIF(CONFIG_ASIGNATURAS!$B$7:$B$27,nASIG)&gt;0)*1),"")))</f>
        <v/>
      </c>
      <c r="Z204" t="str">
        <f>IF(Y204="","",IF(Y204="[FÓRMULA MANUAL]","",IFERROR(AVERAGEIFS(nNOTA,nNIA,Y204,nCUENTA,1,nASIG,"Análisis"),"")))</f>
        <v/>
      </c>
      <c r="AA204" t="str">
        <f>IF(Y204="","",IF(Y204="[FÓRMULA MANUAL]","",IFERROR(AVERAGEIFS(nNOTA,nNIA,Y204,nCUENTA,1,nASIG,"Orquesta/Banda/Conjunto"),"")))</f>
        <v/>
      </c>
      <c r="AB204" t="str">
        <f>IF(Y204="","",IF(Y204="[FÓRMULA MANUAL]","",IFERROR(AVERAGEIFS(nNOTA,nNIA,Y204,nCUENTA,1,nASIG,"Música de Cámara"),"")))</f>
        <v/>
      </c>
      <c r="AC204" t="str">
        <f>IF(Y204="","",IF(Y204="[FÓRMULA MANUAL]","",IFERROR(SUMPRODUCT((nNIA=Y204)*(nCUENTA=1)*(COUNTIF(CONFIG_ASIGNATURAS!$B$7:$B$27,nASIG)&gt;0)*(nNOTA))/SUMPRODUCT((nNIA=Y204)*(nCUENTA=1)*(COUNTIF(CONFIG_ASIGNATURAS!$B$7:$B$27,nASIG)&gt;0)*1),"")))</f>
        <v/>
      </c>
      <c r="AF204" t="str">
        <f>IF(AE204="","",IF(AE204="[FÓRMULA MANUAL]","",IFERROR(AVERAGEIFS(nNOTA,nNIA,AE204,nCUENTA,1,nASIG,"Análisis"),"")))</f>
        <v/>
      </c>
      <c r="AG204" t="str">
        <f>IF(AE204="","",IF(AE204="[FÓRMULA MANUAL]","",IFERROR(AVERAGEIFS(nNOTA,nNIA,AE204,nCUENTA,1,nASIG,"Orquesta/Banda/Conjunto"),"")))</f>
        <v/>
      </c>
      <c r="AH204" t="str">
        <f>IF(AE204="","",IF(AE204="[FÓRMULA MANUAL]","",IFERROR(AVERAGEIFS(nNOTA,nNIA,AE204,nCUENTA,1,nASIG,"Música de Cámara"),"")))</f>
        <v/>
      </c>
      <c r="AI204" t="str">
        <f>IF(AE204="","",IF(AE204="[FÓRMULA MANUAL]","",IFERROR(SUMPRODUCT((nNIA=AE204)*(nCUENTA=1)*(COUNTIF(CONFIG_ASIGNATURAS!$B$7:$B$27,nASIG)&gt;0)*(nNOTA))/SUMPRODUCT((nNIA=AE204)*(nCUENTA=1)*(COUNTIF(CONFIG_ASIGNATURAS!$B$7:$B$27,nASIG)&gt;0)*1),"")))</f>
        <v/>
      </c>
    </row>
    <row r="205" spans="2:35" x14ac:dyDescent="0.2">
      <c r="B205" t="str">
        <f>IF(A205="","",IF(A205="[FÓRMULA MANUAL]","",IFERROR(AVERAGEIFS(nNOTA,nNIA,A205,nCUENTA,1,nASIG,"Lenguaje Musical"),"")))</f>
        <v/>
      </c>
      <c r="C205" t="str">
        <f>IF(A205="","",IF(A205="[FÓRMULA MANUAL]","",IFERROR(AVERAGEIFS(nNOTA,nNIA,A205,nCUENTA,1,nASIG,"Orquesta/Banda/Conjunto"),"")))</f>
        <v/>
      </c>
      <c r="D205" t="str">
        <f>IF(A205="","",IF(A205="[FÓRMULA MANUAL]","",IFERROR(AVERAGEIFS(nNOTA,nNIA,A205,nCUENTA,1,nASIG,"Conjunto"),"")))</f>
        <v/>
      </c>
      <c r="E205" t="str">
        <f>IF(A205="","",IF(A205="[FÓRMULA MANUAL]","",IFERROR(SUMPRODUCT((nNIA=A205)*(nCUENTA=1)*(COUNTIF(CONFIG_ASIGNATURAS!$B$7:$B$27,nASIG)&gt;0)*(nNOTA))/SUMPRODUCT((nNIA=A205)*(nCUENTA=1)*(COUNTIF(CONFIG_ASIGNATURAS!$B$7:$B$27,nASIG)&gt;0)*1),"")))</f>
        <v/>
      </c>
      <c r="H205" t="str">
        <f>IF(G205="","",IF(G205="[FÓRMULA MANUAL]","",IFERROR(AVERAGEIFS(nNOTA,nNIA,G205,nCUENTA,1,nASIG,"Lenguaje Musical"),"")))</f>
        <v/>
      </c>
      <c r="I205" t="str">
        <f>IF(G205="","",IF(G205="[FÓRMULA MANUAL]","",IFERROR(AVERAGEIFS(nNOTA,nNIA,G205,nCUENTA,1,nASIG,"Orquesta/Banda/Conjunto"),"")))</f>
        <v/>
      </c>
      <c r="J205" t="str">
        <f>IF(G205="","",IF(G205="[FÓRMULA MANUAL]","",IFERROR(AVERAGEIFS(nNOTA,nNIA,G205,nCUENTA,1,nASIG,"Conjunto"),"")))</f>
        <v/>
      </c>
      <c r="K205" t="str">
        <f>IF(G205="","",IF(G205="[FÓRMULA MANUAL]","",IFERROR(SUMPRODUCT((nNIA=G205)*(nCUENTA=1)*(COUNTIF(CONFIG_ASIGNATURAS!$B$7:$B$27,nASIG)&gt;0)*(nNOTA))/SUMPRODUCT((nNIA=G205)*(nCUENTA=1)*(COUNTIF(CONFIG_ASIGNATURAS!$B$7:$B$27,nASIG)&gt;0)*1),"")))</f>
        <v/>
      </c>
      <c r="N205" t="str">
        <f>IF(M205="","",IF(M205="[FÓRMULA MANUAL]","",IFERROR(AVERAGEIFS(nNOTA,nNIA,M205,nCUENTA,1,nASIG,"Armonía"),"")))</f>
        <v/>
      </c>
      <c r="O205" t="str">
        <f>IF(M205="","",IF(M205="[FÓRMULA MANUAL]","",IFERROR(AVERAGEIFS(nNOTA,nNIA,M205,nCUENTA,1,nASIG,"Orquesta/Banda/Conjunto"),"")))</f>
        <v/>
      </c>
      <c r="P205" t="str">
        <f>IF(M205="","",IF(M205="[FÓRMULA MANUAL]","",IFERROR(AVERAGEIFS(nNOTA,nNIA,M205,nCUENTA,1,nASIG,"Música de Cámara"),"")))</f>
        <v/>
      </c>
      <c r="Q205" t="str">
        <f>IF(M205="","",IF(M205="[FÓRMULA MANUAL]","",IFERROR(SUMPRODUCT((nNIA=M205)*(nCUENTA=1)*(COUNTIF(CONFIG_ASIGNATURAS!$B$7:$B$27,nASIG)&gt;0)*(nNOTA))/SUMPRODUCT((nNIA=M205)*(nCUENTA=1)*(COUNTIF(CONFIG_ASIGNATURAS!$B$7:$B$27,nASIG)&gt;0)*1),"")))</f>
        <v/>
      </c>
      <c r="T205" t="str">
        <f>IF(S205="","",IF(S205="[FÓRMULA MANUAL]","",IFERROR(AVERAGEIFS(nNOTA,nNIA,S205,nCUENTA,1,nASIG,"Armonía"),"")))</f>
        <v/>
      </c>
      <c r="U205" t="str">
        <f>IF(S205="","",IF(S205="[FÓRMULA MANUAL]","",IFERROR(AVERAGEIFS(nNOTA,nNIA,S205,nCUENTA,1,nASIG,"Orquesta/Banda/Conjunto"),"")))</f>
        <v/>
      </c>
      <c r="V205" t="str">
        <f>IF(S205="","",IF(S205="[FÓRMULA MANUAL]","",IFERROR(AVERAGEIFS(nNOTA,nNIA,S205,nCUENTA,1,nASIG,"Música de Cámara"),"")))</f>
        <v/>
      </c>
      <c r="W205" t="str">
        <f>IF(S205="","",IF(S205="[FÓRMULA MANUAL]","",IFERROR(SUMPRODUCT((nNIA=S205)*(nCUENTA=1)*(COUNTIF(CONFIG_ASIGNATURAS!$B$7:$B$27,nASIG)&gt;0)*(nNOTA))/SUMPRODUCT((nNIA=S205)*(nCUENTA=1)*(COUNTIF(CONFIG_ASIGNATURAS!$B$7:$B$27,nASIG)&gt;0)*1),"")))</f>
        <v/>
      </c>
      <c r="Z205" t="str">
        <f>IF(Y205="","",IF(Y205="[FÓRMULA MANUAL]","",IFERROR(AVERAGEIFS(nNOTA,nNIA,Y205,nCUENTA,1,nASIG,"Análisis"),"")))</f>
        <v/>
      </c>
      <c r="AA205" t="str">
        <f>IF(Y205="","",IF(Y205="[FÓRMULA MANUAL]","",IFERROR(AVERAGEIFS(nNOTA,nNIA,Y205,nCUENTA,1,nASIG,"Orquesta/Banda/Conjunto"),"")))</f>
        <v/>
      </c>
      <c r="AB205" t="str">
        <f>IF(Y205="","",IF(Y205="[FÓRMULA MANUAL]","",IFERROR(AVERAGEIFS(nNOTA,nNIA,Y205,nCUENTA,1,nASIG,"Música de Cámara"),"")))</f>
        <v/>
      </c>
      <c r="AC205" t="str">
        <f>IF(Y205="","",IF(Y205="[FÓRMULA MANUAL]","",IFERROR(SUMPRODUCT((nNIA=Y205)*(nCUENTA=1)*(COUNTIF(CONFIG_ASIGNATURAS!$B$7:$B$27,nASIG)&gt;0)*(nNOTA))/SUMPRODUCT((nNIA=Y205)*(nCUENTA=1)*(COUNTIF(CONFIG_ASIGNATURAS!$B$7:$B$27,nASIG)&gt;0)*1),"")))</f>
        <v/>
      </c>
      <c r="AF205" t="str">
        <f>IF(AE205="","",IF(AE205="[FÓRMULA MANUAL]","",IFERROR(AVERAGEIFS(nNOTA,nNIA,AE205,nCUENTA,1,nASIG,"Análisis"),"")))</f>
        <v/>
      </c>
      <c r="AG205" t="str">
        <f>IF(AE205="","",IF(AE205="[FÓRMULA MANUAL]","",IFERROR(AVERAGEIFS(nNOTA,nNIA,AE205,nCUENTA,1,nASIG,"Orquesta/Banda/Conjunto"),"")))</f>
        <v/>
      </c>
      <c r="AH205" t="str">
        <f>IF(AE205="","",IF(AE205="[FÓRMULA MANUAL]","",IFERROR(AVERAGEIFS(nNOTA,nNIA,AE205,nCUENTA,1,nASIG,"Música de Cámara"),"")))</f>
        <v/>
      </c>
      <c r="AI205" t="str">
        <f>IF(AE205="","",IF(AE205="[FÓRMULA MANUAL]","",IFERROR(SUMPRODUCT((nNIA=AE205)*(nCUENTA=1)*(COUNTIF(CONFIG_ASIGNATURAS!$B$7:$B$27,nASIG)&gt;0)*(nNOTA))/SUMPRODUCT((nNIA=AE205)*(nCUENTA=1)*(COUNTIF(CONFIG_ASIGNATURAS!$B$7:$B$27,nASIG)&gt;0)*1),"")))</f>
        <v/>
      </c>
    </row>
    <row r="206" spans="2:35" x14ac:dyDescent="0.2">
      <c r="B206" t="str">
        <f>IF(A206="","",IF(A206="[FÓRMULA MANUAL]","",IFERROR(AVERAGEIFS(nNOTA,nNIA,A206,nCUENTA,1,nASIG,"Lenguaje Musical"),"")))</f>
        <v/>
      </c>
      <c r="C206" t="str">
        <f>IF(A206="","",IF(A206="[FÓRMULA MANUAL]","",IFERROR(AVERAGEIFS(nNOTA,nNIA,A206,nCUENTA,1,nASIG,"Orquesta/Banda/Conjunto"),"")))</f>
        <v/>
      </c>
      <c r="D206" t="str">
        <f>IF(A206="","",IF(A206="[FÓRMULA MANUAL]","",IFERROR(AVERAGEIFS(nNOTA,nNIA,A206,nCUENTA,1,nASIG,"Conjunto"),"")))</f>
        <v/>
      </c>
      <c r="E206" t="str">
        <f>IF(A206="","",IF(A206="[FÓRMULA MANUAL]","",IFERROR(SUMPRODUCT((nNIA=A206)*(nCUENTA=1)*(COUNTIF(CONFIG_ASIGNATURAS!$B$7:$B$27,nASIG)&gt;0)*(nNOTA))/SUMPRODUCT((nNIA=A206)*(nCUENTA=1)*(COUNTIF(CONFIG_ASIGNATURAS!$B$7:$B$27,nASIG)&gt;0)*1),"")))</f>
        <v/>
      </c>
      <c r="H206" t="str">
        <f>IF(G206="","",IF(G206="[FÓRMULA MANUAL]","",IFERROR(AVERAGEIFS(nNOTA,nNIA,G206,nCUENTA,1,nASIG,"Lenguaje Musical"),"")))</f>
        <v/>
      </c>
      <c r="I206" t="str">
        <f>IF(G206="","",IF(G206="[FÓRMULA MANUAL]","",IFERROR(AVERAGEIFS(nNOTA,nNIA,G206,nCUENTA,1,nASIG,"Orquesta/Banda/Conjunto"),"")))</f>
        <v/>
      </c>
      <c r="J206" t="str">
        <f>IF(G206="","",IF(G206="[FÓRMULA MANUAL]","",IFERROR(AVERAGEIFS(nNOTA,nNIA,G206,nCUENTA,1,nASIG,"Conjunto"),"")))</f>
        <v/>
      </c>
      <c r="K206" t="str">
        <f>IF(G206="","",IF(G206="[FÓRMULA MANUAL]","",IFERROR(SUMPRODUCT((nNIA=G206)*(nCUENTA=1)*(COUNTIF(CONFIG_ASIGNATURAS!$B$7:$B$27,nASIG)&gt;0)*(nNOTA))/SUMPRODUCT((nNIA=G206)*(nCUENTA=1)*(COUNTIF(CONFIG_ASIGNATURAS!$B$7:$B$27,nASIG)&gt;0)*1),"")))</f>
        <v/>
      </c>
      <c r="N206" t="str">
        <f>IF(M206="","",IF(M206="[FÓRMULA MANUAL]","",IFERROR(AVERAGEIFS(nNOTA,nNIA,M206,nCUENTA,1,nASIG,"Armonía"),"")))</f>
        <v/>
      </c>
      <c r="O206" t="str">
        <f>IF(M206="","",IF(M206="[FÓRMULA MANUAL]","",IFERROR(AVERAGEIFS(nNOTA,nNIA,M206,nCUENTA,1,nASIG,"Orquesta/Banda/Conjunto"),"")))</f>
        <v/>
      </c>
      <c r="P206" t="str">
        <f>IF(M206="","",IF(M206="[FÓRMULA MANUAL]","",IFERROR(AVERAGEIFS(nNOTA,nNIA,M206,nCUENTA,1,nASIG,"Música de Cámara"),"")))</f>
        <v/>
      </c>
      <c r="Q206" t="str">
        <f>IF(M206="","",IF(M206="[FÓRMULA MANUAL]","",IFERROR(SUMPRODUCT((nNIA=M206)*(nCUENTA=1)*(COUNTIF(CONFIG_ASIGNATURAS!$B$7:$B$27,nASIG)&gt;0)*(nNOTA))/SUMPRODUCT((nNIA=M206)*(nCUENTA=1)*(COUNTIF(CONFIG_ASIGNATURAS!$B$7:$B$27,nASIG)&gt;0)*1),"")))</f>
        <v/>
      </c>
      <c r="T206" t="str">
        <f>IF(S206="","",IF(S206="[FÓRMULA MANUAL]","",IFERROR(AVERAGEIFS(nNOTA,nNIA,S206,nCUENTA,1,nASIG,"Armonía"),"")))</f>
        <v/>
      </c>
      <c r="U206" t="str">
        <f>IF(S206="","",IF(S206="[FÓRMULA MANUAL]","",IFERROR(AVERAGEIFS(nNOTA,nNIA,S206,nCUENTA,1,nASIG,"Orquesta/Banda/Conjunto"),"")))</f>
        <v/>
      </c>
      <c r="V206" t="str">
        <f>IF(S206="","",IF(S206="[FÓRMULA MANUAL]","",IFERROR(AVERAGEIFS(nNOTA,nNIA,S206,nCUENTA,1,nASIG,"Música de Cámara"),"")))</f>
        <v/>
      </c>
      <c r="W206" t="str">
        <f>IF(S206="","",IF(S206="[FÓRMULA MANUAL]","",IFERROR(SUMPRODUCT((nNIA=S206)*(nCUENTA=1)*(COUNTIF(CONFIG_ASIGNATURAS!$B$7:$B$27,nASIG)&gt;0)*(nNOTA))/SUMPRODUCT((nNIA=S206)*(nCUENTA=1)*(COUNTIF(CONFIG_ASIGNATURAS!$B$7:$B$27,nASIG)&gt;0)*1),"")))</f>
        <v/>
      </c>
      <c r="Z206" t="str">
        <f>IF(Y206="","",IF(Y206="[FÓRMULA MANUAL]","",IFERROR(AVERAGEIFS(nNOTA,nNIA,Y206,nCUENTA,1,nASIG,"Análisis"),"")))</f>
        <v/>
      </c>
      <c r="AA206" t="str">
        <f>IF(Y206="","",IF(Y206="[FÓRMULA MANUAL]","",IFERROR(AVERAGEIFS(nNOTA,nNIA,Y206,nCUENTA,1,nASIG,"Orquesta/Banda/Conjunto"),"")))</f>
        <v/>
      </c>
      <c r="AB206" t="str">
        <f>IF(Y206="","",IF(Y206="[FÓRMULA MANUAL]","",IFERROR(AVERAGEIFS(nNOTA,nNIA,Y206,nCUENTA,1,nASIG,"Música de Cámara"),"")))</f>
        <v/>
      </c>
      <c r="AC206" t="str">
        <f>IF(Y206="","",IF(Y206="[FÓRMULA MANUAL]","",IFERROR(SUMPRODUCT((nNIA=Y206)*(nCUENTA=1)*(COUNTIF(CONFIG_ASIGNATURAS!$B$7:$B$27,nASIG)&gt;0)*(nNOTA))/SUMPRODUCT((nNIA=Y206)*(nCUENTA=1)*(COUNTIF(CONFIG_ASIGNATURAS!$B$7:$B$27,nASIG)&gt;0)*1),"")))</f>
        <v/>
      </c>
      <c r="AF206" t="str">
        <f>IF(AE206="","",IF(AE206="[FÓRMULA MANUAL]","",IFERROR(AVERAGEIFS(nNOTA,nNIA,AE206,nCUENTA,1,nASIG,"Análisis"),"")))</f>
        <v/>
      </c>
      <c r="AG206" t="str">
        <f>IF(AE206="","",IF(AE206="[FÓRMULA MANUAL]","",IFERROR(AVERAGEIFS(nNOTA,nNIA,AE206,nCUENTA,1,nASIG,"Orquesta/Banda/Conjunto"),"")))</f>
        <v/>
      </c>
      <c r="AH206" t="str">
        <f>IF(AE206="","",IF(AE206="[FÓRMULA MANUAL]","",IFERROR(AVERAGEIFS(nNOTA,nNIA,AE206,nCUENTA,1,nASIG,"Música de Cámara"),"")))</f>
        <v/>
      </c>
      <c r="AI206" t="str">
        <f>IF(AE206="","",IF(AE206="[FÓRMULA MANUAL]","",IFERROR(SUMPRODUCT((nNIA=AE206)*(nCUENTA=1)*(COUNTIF(CONFIG_ASIGNATURAS!$B$7:$B$27,nASIG)&gt;0)*(nNOTA))/SUMPRODUCT((nNIA=AE206)*(nCUENTA=1)*(COUNTIF(CONFIG_ASIGNATURAS!$B$7:$B$27,nASIG)&gt;0)*1),"")))</f>
        <v/>
      </c>
    </row>
    <row r="207" spans="2:35" x14ac:dyDescent="0.2">
      <c r="B207" t="str">
        <f>IF(A207="","",IF(A207="[FÓRMULA MANUAL]","",IFERROR(AVERAGEIFS(nNOTA,nNIA,A207,nCUENTA,1,nASIG,"Lenguaje Musical"),"")))</f>
        <v/>
      </c>
      <c r="C207" t="str">
        <f>IF(A207="","",IF(A207="[FÓRMULA MANUAL]","",IFERROR(AVERAGEIFS(nNOTA,nNIA,A207,nCUENTA,1,nASIG,"Orquesta/Banda/Conjunto"),"")))</f>
        <v/>
      </c>
      <c r="D207" t="str">
        <f>IF(A207="","",IF(A207="[FÓRMULA MANUAL]","",IFERROR(AVERAGEIFS(nNOTA,nNIA,A207,nCUENTA,1,nASIG,"Conjunto"),"")))</f>
        <v/>
      </c>
      <c r="E207" t="str">
        <f>IF(A207="","",IF(A207="[FÓRMULA MANUAL]","",IFERROR(SUMPRODUCT((nNIA=A207)*(nCUENTA=1)*(COUNTIF(CONFIG_ASIGNATURAS!$B$7:$B$27,nASIG)&gt;0)*(nNOTA))/SUMPRODUCT((nNIA=A207)*(nCUENTA=1)*(COUNTIF(CONFIG_ASIGNATURAS!$B$7:$B$27,nASIG)&gt;0)*1),"")))</f>
        <v/>
      </c>
      <c r="H207" t="str">
        <f>IF(G207="","",IF(G207="[FÓRMULA MANUAL]","",IFERROR(AVERAGEIFS(nNOTA,nNIA,G207,nCUENTA,1,nASIG,"Lenguaje Musical"),"")))</f>
        <v/>
      </c>
      <c r="I207" t="str">
        <f>IF(G207="","",IF(G207="[FÓRMULA MANUAL]","",IFERROR(AVERAGEIFS(nNOTA,nNIA,G207,nCUENTA,1,nASIG,"Orquesta/Banda/Conjunto"),"")))</f>
        <v/>
      </c>
      <c r="J207" t="str">
        <f>IF(G207="","",IF(G207="[FÓRMULA MANUAL]","",IFERROR(AVERAGEIFS(nNOTA,nNIA,G207,nCUENTA,1,nASIG,"Conjunto"),"")))</f>
        <v/>
      </c>
      <c r="K207" t="str">
        <f>IF(G207="","",IF(G207="[FÓRMULA MANUAL]","",IFERROR(SUMPRODUCT((nNIA=G207)*(nCUENTA=1)*(COUNTIF(CONFIG_ASIGNATURAS!$B$7:$B$27,nASIG)&gt;0)*(nNOTA))/SUMPRODUCT((nNIA=G207)*(nCUENTA=1)*(COUNTIF(CONFIG_ASIGNATURAS!$B$7:$B$27,nASIG)&gt;0)*1),"")))</f>
        <v/>
      </c>
      <c r="N207" t="str">
        <f>IF(M207="","",IF(M207="[FÓRMULA MANUAL]","",IFERROR(AVERAGEIFS(nNOTA,nNIA,M207,nCUENTA,1,nASIG,"Armonía"),"")))</f>
        <v/>
      </c>
      <c r="O207" t="str">
        <f>IF(M207="","",IF(M207="[FÓRMULA MANUAL]","",IFERROR(AVERAGEIFS(nNOTA,nNIA,M207,nCUENTA,1,nASIG,"Orquesta/Banda/Conjunto"),"")))</f>
        <v/>
      </c>
      <c r="P207" t="str">
        <f>IF(M207="","",IF(M207="[FÓRMULA MANUAL]","",IFERROR(AVERAGEIFS(nNOTA,nNIA,M207,nCUENTA,1,nASIG,"Música de Cámara"),"")))</f>
        <v/>
      </c>
      <c r="Q207" t="str">
        <f>IF(M207="","",IF(M207="[FÓRMULA MANUAL]","",IFERROR(SUMPRODUCT((nNIA=M207)*(nCUENTA=1)*(COUNTIF(CONFIG_ASIGNATURAS!$B$7:$B$27,nASIG)&gt;0)*(nNOTA))/SUMPRODUCT((nNIA=M207)*(nCUENTA=1)*(COUNTIF(CONFIG_ASIGNATURAS!$B$7:$B$27,nASIG)&gt;0)*1),"")))</f>
        <v/>
      </c>
      <c r="T207" t="str">
        <f>IF(S207="","",IF(S207="[FÓRMULA MANUAL]","",IFERROR(AVERAGEIFS(nNOTA,nNIA,S207,nCUENTA,1,nASIG,"Armonía"),"")))</f>
        <v/>
      </c>
      <c r="U207" t="str">
        <f>IF(S207="","",IF(S207="[FÓRMULA MANUAL]","",IFERROR(AVERAGEIFS(nNOTA,nNIA,S207,nCUENTA,1,nASIG,"Orquesta/Banda/Conjunto"),"")))</f>
        <v/>
      </c>
      <c r="V207" t="str">
        <f>IF(S207="","",IF(S207="[FÓRMULA MANUAL]","",IFERROR(AVERAGEIFS(nNOTA,nNIA,S207,nCUENTA,1,nASIG,"Música de Cámara"),"")))</f>
        <v/>
      </c>
      <c r="W207" t="str">
        <f>IF(S207="","",IF(S207="[FÓRMULA MANUAL]","",IFERROR(SUMPRODUCT((nNIA=S207)*(nCUENTA=1)*(COUNTIF(CONFIG_ASIGNATURAS!$B$7:$B$27,nASIG)&gt;0)*(nNOTA))/SUMPRODUCT((nNIA=S207)*(nCUENTA=1)*(COUNTIF(CONFIG_ASIGNATURAS!$B$7:$B$27,nASIG)&gt;0)*1),"")))</f>
        <v/>
      </c>
      <c r="Z207" t="str">
        <f>IF(Y207="","",IF(Y207="[FÓRMULA MANUAL]","",IFERROR(AVERAGEIFS(nNOTA,nNIA,Y207,nCUENTA,1,nASIG,"Análisis"),"")))</f>
        <v/>
      </c>
      <c r="AA207" t="str">
        <f>IF(Y207="","",IF(Y207="[FÓRMULA MANUAL]","",IFERROR(AVERAGEIFS(nNOTA,nNIA,Y207,nCUENTA,1,nASIG,"Orquesta/Banda/Conjunto"),"")))</f>
        <v/>
      </c>
      <c r="AB207" t="str">
        <f>IF(Y207="","",IF(Y207="[FÓRMULA MANUAL]","",IFERROR(AVERAGEIFS(nNOTA,nNIA,Y207,nCUENTA,1,nASIG,"Música de Cámara"),"")))</f>
        <v/>
      </c>
      <c r="AC207" t="str">
        <f>IF(Y207="","",IF(Y207="[FÓRMULA MANUAL]","",IFERROR(SUMPRODUCT((nNIA=Y207)*(nCUENTA=1)*(COUNTIF(CONFIG_ASIGNATURAS!$B$7:$B$27,nASIG)&gt;0)*(nNOTA))/SUMPRODUCT((nNIA=Y207)*(nCUENTA=1)*(COUNTIF(CONFIG_ASIGNATURAS!$B$7:$B$27,nASIG)&gt;0)*1),"")))</f>
        <v/>
      </c>
      <c r="AF207" t="str">
        <f>IF(AE207="","",IF(AE207="[FÓRMULA MANUAL]","",IFERROR(AVERAGEIFS(nNOTA,nNIA,AE207,nCUENTA,1,nASIG,"Análisis"),"")))</f>
        <v/>
      </c>
      <c r="AG207" t="str">
        <f>IF(AE207="","",IF(AE207="[FÓRMULA MANUAL]","",IFERROR(AVERAGEIFS(nNOTA,nNIA,AE207,nCUENTA,1,nASIG,"Orquesta/Banda/Conjunto"),"")))</f>
        <v/>
      </c>
      <c r="AH207" t="str">
        <f>IF(AE207="","",IF(AE207="[FÓRMULA MANUAL]","",IFERROR(AVERAGEIFS(nNOTA,nNIA,AE207,nCUENTA,1,nASIG,"Música de Cámara"),"")))</f>
        <v/>
      </c>
      <c r="AI207" t="str">
        <f>IF(AE207="","",IF(AE207="[FÓRMULA MANUAL]","",IFERROR(SUMPRODUCT((nNIA=AE207)*(nCUENTA=1)*(COUNTIF(CONFIG_ASIGNATURAS!$B$7:$B$27,nASIG)&gt;0)*(nNOTA))/SUMPRODUCT((nNIA=AE207)*(nCUENTA=1)*(COUNTIF(CONFIG_ASIGNATURAS!$B$7:$B$27,nASIG)&gt;0)*1),"")))</f>
        <v/>
      </c>
    </row>
    <row r="208" spans="2:35" x14ac:dyDescent="0.2">
      <c r="B208" t="str">
        <f>IF(A208="","",IF(A208="[FÓRMULA MANUAL]","",IFERROR(AVERAGEIFS(nNOTA,nNIA,A208,nCUENTA,1,nASIG,"Lenguaje Musical"),"")))</f>
        <v/>
      </c>
      <c r="C208" t="str">
        <f>IF(A208="","",IF(A208="[FÓRMULA MANUAL]","",IFERROR(AVERAGEIFS(nNOTA,nNIA,A208,nCUENTA,1,nASIG,"Orquesta/Banda/Conjunto"),"")))</f>
        <v/>
      </c>
      <c r="D208" t="str">
        <f>IF(A208="","",IF(A208="[FÓRMULA MANUAL]","",IFERROR(AVERAGEIFS(nNOTA,nNIA,A208,nCUENTA,1,nASIG,"Conjunto"),"")))</f>
        <v/>
      </c>
      <c r="E208" t="str">
        <f>IF(A208="","",IF(A208="[FÓRMULA MANUAL]","",IFERROR(SUMPRODUCT((nNIA=A208)*(nCUENTA=1)*(COUNTIF(CONFIG_ASIGNATURAS!$B$7:$B$27,nASIG)&gt;0)*(nNOTA))/SUMPRODUCT((nNIA=A208)*(nCUENTA=1)*(COUNTIF(CONFIG_ASIGNATURAS!$B$7:$B$27,nASIG)&gt;0)*1),"")))</f>
        <v/>
      </c>
      <c r="H208" t="str">
        <f>IF(G208="","",IF(G208="[FÓRMULA MANUAL]","",IFERROR(AVERAGEIFS(nNOTA,nNIA,G208,nCUENTA,1,nASIG,"Lenguaje Musical"),"")))</f>
        <v/>
      </c>
      <c r="I208" t="str">
        <f>IF(G208="","",IF(G208="[FÓRMULA MANUAL]","",IFERROR(AVERAGEIFS(nNOTA,nNIA,G208,nCUENTA,1,nASIG,"Orquesta/Banda/Conjunto"),"")))</f>
        <v/>
      </c>
      <c r="J208" t="str">
        <f>IF(G208="","",IF(G208="[FÓRMULA MANUAL]","",IFERROR(AVERAGEIFS(nNOTA,nNIA,G208,nCUENTA,1,nASIG,"Conjunto"),"")))</f>
        <v/>
      </c>
      <c r="K208" t="str">
        <f>IF(G208="","",IF(G208="[FÓRMULA MANUAL]","",IFERROR(SUMPRODUCT((nNIA=G208)*(nCUENTA=1)*(COUNTIF(CONFIG_ASIGNATURAS!$B$7:$B$27,nASIG)&gt;0)*(nNOTA))/SUMPRODUCT((nNIA=G208)*(nCUENTA=1)*(COUNTIF(CONFIG_ASIGNATURAS!$B$7:$B$27,nASIG)&gt;0)*1),"")))</f>
        <v/>
      </c>
      <c r="N208" t="str">
        <f>IF(M208="","",IF(M208="[FÓRMULA MANUAL]","",IFERROR(AVERAGEIFS(nNOTA,nNIA,M208,nCUENTA,1,nASIG,"Armonía"),"")))</f>
        <v/>
      </c>
      <c r="O208" t="str">
        <f>IF(M208="","",IF(M208="[FÓRMULA MANUAL]","",IFERROR(AVERAGEIFS(nNOTA,nNIA,M208,nCUENTA,1,nASIG,"Orquesta/Banda/Conjunto"),"")))</f>
        <v/>
      </c>
      <c r="P208" t="str">
        <f>IF(M208="","",IF(M208="[FÓRMULA MANUAL]","",IFERROR(AVERAGEIFS(nNOTA,nNIA,M208,nCUENTA,1,nASIG,"Música de Cámara"),"")))</f>
        <v/>
      </c>
      <c r="Q208" t="str">
        <f>IF(M208="","",IF(M208="[FÓRMULA MANUAL]","",IFERROR(SUMPRODUCT((nNIA=M208)*(nCUENTA=1)*(COUNTIF(CONFIG_ASIGNATURAS!$B$7:$B$27,nASIG)&gt;0)*(nNOTA))/SUMPRODUCT((nNIA=M208)*(nCUENTA=1)*(COUNTIF(CONFIG_ASIGNATURAS!$B$7:$B$27,nASIG)&gt;0)*1),"")))</f>
        <v/>
      </c>
      <c r="T208" t="str">
        <f>IF(S208="","",IF(S208="[FÓRMULA MANUAL]","",IFERROR(AVERAGEIFS(nNOTA,nNIA,S208,nCUENTA,1,nASIG,"Armonía"),"")))</f>
        <v/>
      </c>
      <c r="U208" t="str">
        <f>IF(S208="","",IF(S208="[FÓRMULA MANUAL]","",IFERROR(AVERAGEIFS(nNOTA,nNIA,S208,nCUENTA,1,nASIG,"Orquesta/Banda/Conjunto"),"")))</f>
        <v/>
      </c>
      <c r="V208" t="str">
        <f>IF(S208="","",IF(S208="[FÓRMULA MANUAL]","",IFERROR(AVERAGEIFS(nNOTA,nNIA,S208,nCUENTA,1,nASIG,"Música de Cámara"),"")))</f>
        <v/>
      </c>
      <c r="W208" t="str">
        <f>IF(S208="","",IF(S208="[FÓRMULA MANUAL]","",IFERROR(SUMPRODUCT((nNIA=S208)*(nCUENTA=1)*(COUNTIF(CONFIG_ASIGNATURAS!$B$7:$B$27,nASIG)&gt;0)*(nNOTA))/SUMPRODUCT((nNIA=S208)*(nCUENTA=1)*(COUNTIF(CONFIG_ASIGNATURAS!$B$7:$B$27,nASIG)&gt;0)*1),"")))</f>
        <v/>
      </c>
      <c r="Z208" t="str">
        <f>IF(Y208="","",IF(Y208="[FÓRMULA MANUAL]","",IFERROR(AVERAGEIFS(nNOTA,nNIA,Y208,nCUENTA,1,nASIG,"Análisis"),"")))</f>
        <v/>
      </c>
      <c r="AA208" t="str">
        <f>IF(Y208="","",IF(Y208="[FÓRMULA MANUAL]","",IFERROR(AVERAGEIFS(nNOTA,nNIA,Y208,nCUENTA,1,nASIG,"Orquesta/Banda/Conjunto"),"")))</f>
        <v/>
      </c>
      <c r="AB208" t="str">
        <f>IF(Y208="","",IF(Y208="[FÓRMULA MANUAL]","",IFERROR(AVERAGEIFS(nNOTA,nNIA,Y208,nCUENTA,1,nASIG,"Música de Cámara"),"")))</f>
        <v/>
      </c>
      <c r="AC208" t="str">
        <f>IF(Y208="","",IF(Y208="[FÓRMULA MANUAL]","",IFERROR(SUMPRODUCT((nNIA=Y208)*(nCUENTA=1)*(COUNTIF(CONFIG_ASIGNATURAS!$B$7:$B$27,nASIG)&gt;0)*(nNOTA))/SUMPRODUCT((nNIA=Y208)*(nCUENTA=1)*(COUNTIF(CONFIG_ASIGNATURAS!$B$7:$B$27,nASIG)&gt;0)*1),"")))</f>
        <v/>
      </c>
      <c r="AF208" t="str">
        <f>IF(AE208="","",IF(AE208="[FÓRMULA MANUAL]","",IFERROR(AVERAGEIFS(nNOTA,nNIA,AE208,nCUENTA,1,nASIG,"Análisis"),"")))</f>
        <v/>
      </c>
      <c r="AG208" t="str">
        <f>IF(AE208="","",IF(AE208="[FÓRMULA MANUAL]","",IFERROR(AVERAGEIFS(nNOTA,nNIA,AE208,nCUENTA,1,nASIG,"Orquesta/Banda/Conjunto"),"")))</f>
        <v/>
      </c>
      <c r="AH208" t="str">
        <f>IF(AE208="","",IF(AE208="[FÓRMULA MANUAL]","",IFERROR(AVERAGEIFS(nNOTA,nNIA,AE208,nCUENTA,1,nASIG,"Música de Cámara"),"")))</f>
        <v/>
      </c>
      <c r="AI208" t="str">
        <f>IF(AE208="","",IF(AE208="[FÓRMULA MANUAL]","",IFERROR(SUMPRODUCT((nNIA=AE208)*(nCUENTA=1)*(COUNTIF(CONFIG_ASIGNATURAS!$B$7:$B$27,nASIG)&gt;0)*(nNOTA))/SUMPRODUCT((nNIA=AE208)*(nCUENTA=1)*(COUNTIF(CONFIG_ASIGNATURAS!$B$7:$B$27,nASIG)&gt;0)*1),"")))</f>
        <v/>
      </c>
    </row>
    <row r="209" spans="2:35" x14ac:dyDescent="0.2">
      <c r="B209" t="str">
        <f>IF(A209="","",IF(A209="[FÓRMULA MANUAL]","",IFERROR(AVERAGEIFS(nNOTA,nNIA,A209,nCUENTA,1,nASIG,"Lenguaje Musical"),"")))</f>
        <v/>
      </c>
      <c r="C209" t="str">
        <f>IF(A209="","",IF(A209="[FÓRMULA MANUAL]","",IFERROR(AVERAGEIFS(nNOTA,nNIA,A209,nCUENTA,1,nASIG,"Orquesta/Banda/Conjunto"),"")))</f>
        <v/>
      </c>
      <c r="D209" t="str">
        <f>IF(A209="","",IF(A209="[FÓRMULA MANUAL]","",IFERROR(AVERAGEIFS(nNOTA,nNIA,A209,nCUENTA,1,nASIG,"Conjunto"),"")))</f>
        <v/>
      </c>
      <c r="E209" t="str">
        <f>IF(A209="","",IF(A209="[FÓRMULA MANUAL]","",IFERROR(SUMPRODUCT((nNIA=A209)*(nCUENTA=1)*(COUNTIF(CONFIG_ASIGNATURAS!$B$7:$B$27,nASIG)&gt;0)*(nNOTA))/SUMPRODUCT((nNIA=A209)*(nCUENTA=1)*(COUNTIF(CONFIG_ASIGNATURAS!$B$7:$B$27,nASIG)&gt;0)*1),"")))</f>
        <v/>
      </c>
      <c r="H209" t="str">
        <f>IF(G209="","",IF(G209="[FÓRMULA MANUAL]","",IFERROR(AVERAGEIFS(nNOTA,nNIA,G209,nCUENTA,1,nASIG,"Lenguaje Musical"),"")))</f>
        <v/>
      </c>
      <c r="I209" t="str">
        <f>IF(G209="","",IF(G209="[FÓRMULA MANUAL]","",IFERROR(AVERAGEIFS(nNOTA,nNIA,G209,nCUENTA,1,nASIG,"Orquesta/Banda/Conjunto"),"")))</f>
        <v/>
      </c>
      <c r="J209" t="str">
        <f>IF(G209="","",IF(G209="[FÓRMULA MANUAL]","",IFERROR(AVERAGEIFS(nNOTA,nNIA,G209,nCUENTA,1,nASIG,"Conjunto"),"")))</f>
        <v/>
      </c>
      <c r="K209" t="str">
        <f>IF(G209="","",IF(G209="[FÓRMULA MANUAL]","",IFERROR(SUMPRODUCT((nNIA=G209)*(nCUENTA=1)*(COUNTIF(CONFIG_ASIGNATURAS!$B$7:$B$27,nASIG)&gt;0)*(nNOTA))/SUMPRODUCT((nNIA=G209)*(nCUENTA=1)*(COUNTIF(CONFIG_ASIGNATURAS!$B$7:$B$27,nASIG)&gt;0)*1),"")))</f>
        <v/>
      </c>
      <c r="N209" t="str">
        <f>IF(M209="","",IF(M209="[FÓRMULA MANUAL]","",IFERROR(AVERAGEIFS(nNOTA,nNIA,M209,nCUENTA,1,nASIG,"Armonía"),"")))</f>
        <v/>
      </c>
      <c r="O209" t="str">
        <f>IF(M209="","",IF(M209="[FÓRMULA MANUAL]","",IFERROR(AVERAGEIFS(nNOTA,nNIA,M209,nCUENTA,1,nASIG,"Orquesta/Banda/Conjunto"),"")))</f>
        <v/>
      </c>
      <c r="P209" t="str">
        <f>IF(M209="","",IF(M209="[FÓRMULA MANUAL]","",IFERROR(AVERAGEIFS(nNOTA,nNIA,M209,nCUENTA,1,nASIG,"Música de Cámara"),"")))</f>
        <v/>
      </c>
      <c r="Q209" t="str">
        <f>IF(M209="","",IF(M209="[FÓRMULA MANUAL]","",IFERROR(SUMPRODUCT((nNIA=M209)*(nCUENTA=1)*(COUNTIF(CONFIG_ASIGNATURAS!$B$7:$B$27,nASIG)&gt;0)*(nNOTA))/SUMPRODUCT((nNIA=M209)*(nCUENTA=1)*(COUNTIF(CONFIG_ASIGNATURAS!$B$7:$B$27,nASIG)&gt;0)*1),"")))</f>
        <v/>
      </c>
      <c r="T209" t="str">
        <f>IF(S209="","",IF(S209="[FÓRMULA MANUAL]","",IFERROR(AVERAGEIFS(nNOTA,nNIA,S209,nCUENTA,1,nASIG,"Armonía"),"")))</f>
        <v/>
      </c>
      <c r="U209" t="str">
        <f>IF(S209="","",IF(S209="[FÓRMULA MANUAL]","",IFERROR(AVERAGEIFS(nNOTA,nNIA,S209,nCUENTA,1,nASIG,"Orquesta/Banda/Conjunto"),"")))</f>
        <v/>
      </c>
      <c r="V209" t="str">
        <f>IF(S209="","",IF(S209="[FÓRMULA MANUAL]","",IFERROR(AVERAGEIFS(nNOTA,nNIA,S209,nCUENTA,1,nASIG,"Música de Cámara"),"")))</f>
        <v/>
      </c>
      <c r="W209" t="str">
        <f>IF(S209="","",IF(S209="[FÓRMULA MANUAL]","",IFERROR(SUMPRODUCT((nNIA=S209)*(nCUENTA=1)*(COUNTIF(CONFIG_ASIGNATURAS!$B$7:$B$27,nASIG)&gt;0)*(nNOTA))/SUMPRODUCT((nNIA=S209)*(nCUENTA=1)*(COUNTIF(CONFIG_ASIGNATURAS!$B$7:$B$27,nASIG)&gt;0)*1),"")))</f>
        <v/>
      </c>
      <c r="Z209" t="str">
        <f>IF(Y209="","",IF(Y209="[FÓRMULA MANUAL]","",IFERROR(AVERAGEIFS(nNOTA,nNIA,Y209,nCUENTA,1,nASIG,"Análisis"),"")))</f>
        <v/>
      </c>
      <c r="AA209" t="str">
        <f>IF(Y209="","",IF(Y209="[FÓRMULA MANUAL]","",IFERROR(AVERAGEIFS(nNOTA,nNIA,Y209,nCUENTA,1,nASIG,"Orquesta/Banda/Conjunto"),"")))</f>
        <v/>
      </c>
      <c r="AB209" t="str">
        <f>IF(Y209="","",IF(Y209="[FÓRMULA MANUAL]","",IFERROR(AVERAGEIFS(nNOTA,nNIA,Y209,nCUENTA,1,nASIG,"Música de Cámara"),"")))</f>
        <v/>
      </c>
      <c r="AC209" t="str">
        <f>IF(Y209="","",IF(Y209="[FÓRMULA MANUAL]","",IFERROR(SUMPRODUCT((nNIA=Y209)*(nCUENTA=1)*(COUNTIF(CONFIG_ASIGNATURAS!$B$7:$B$27,nASIG)&gt;0)*(nNOTA))/SUMPRODUCT((nNIA=Y209)*(nCUENTA=1)*(COUNTIF(CONFIG_ASIGNATURAS!$B$7:$B$27,nASIG)&gt;0)*1),"")))</f>
        <v/>
      </c>
      <c r="AF209" t="str">
        <f>IF(AE209="","",IF(AE209="[FÓRMULA MANUAL]","",IFERROR(AVERAGEIFS(nNOTA,nNIA,AE209,nCUENTA,1,nASIG,"Análisis"),"")))</f>
        <v/>
      </c>
      <c r="AG209" t="str">
        <f>IF(AE209="","",IF(AE209="[FÓRMULA MANUAL]","",IFERROR(AVERAGEIFS(nNOTA,nNIA,AE209,nCUENTA,1,nASIG,"Orquesta/Banda/Conjunto"),"")))</f>
        <v/>
      </c>
      <c r="AH209" t="str">
        <f>IF(AE209="","",IF(AE209="[FÓRMULA MANUAL]","",IFERROR(AVERAGEIFS(nNOTA,nNIA,AE209,nCUENTA,1,nASIG,"Música de Cámara"),"")))</f>
        <v/>
      </c>
      <c r="AI209" t="str">
        <f>IF(AE209="","",IF(AE209="[FÓRMULA MANUAL]","",IFERROR(SUMPRODUCT((nNIA=AE209)*(nCUENTA=1)*(COUNTIF(CONFIG_ASIGNATURAS!$B$7:$B$27,nASIG)&gt;0)*(nNOTA))/SUMPRODUCT((nNIA=AE209)*(nCUENTA=1)*(COUNTIF(CONFIG_ASIGNATURAS!$B$7:$B$27,nASIG)&gt;0)*1),"")))</f>
        <v/>
      </c>
    </row>
    <row r="210" spans="2:35" x14ac:dyDescent="0.2">
      <c r="B210" t="str">
        <f>IF(A210="","",IF(A210="[FÓRMULA MANUAL]","",IFERROR(AVERAGEIFS(nNOTA,nNIA,A210,nCUENTA,1,nASIG,"Lenguaje Musical"),"")))</f>
        <v/>
      </c>
      <c r="C210" t="str">
        <f>IF(A210="","",IF(A210="[FÓRMULA MANUAL]","",IFERROR(AVERAGEIFS(nNOTA,nNIA,A210,nCUENTA,1,nASIG,"Orquesta/Banda/Conjunto"),"")))</f>
        <v/>
      </c>
      <c r="D210" t="str">
        <f>IF(A210="","",IF(A210="[FÓRMULA MANUAL]","",IFERROR(AVERAGEIFS(nNOTA,nNIA,A210,nCUENTA,1,nASIG,"Conjunto"),"")))</f>
        <v/>
      </c>
      <c r="E210" t="str">
        <f>IF(A210="","",IF(A210="[FÓRMULA MANUAL]","",IFERROR(SUMPRODUCT((nNIA=A210)*(nCUENTA=1)*(COUNTIF(CONFIG_ASIGNATURAS!$B$7:$B$27,nASIG)&gt;0)*(nNOTA))/SUMPRODUCT((nNIA=A210)*(nCUENTA=1)*(COUNTIF(CONFIG_ASIGNATURAS!$B$7:$B$27,nASIG)&gt;0)*1),"")))</f>
        <v/>
      </c>
      <c r="H210" t="str">
        <f>IF(G210="","",IF(G210="[FÓRMULA MANUAL]","",IFERROR(AVERAGEIFS(nNOTA,nNIA,G210,nCUENTA,1,nASIG,"Lenguaje Musical"),"")))</f>
        <v/>
      </c>
      <c r="I210" t="str">
        <f>IF(G210="","",IF(G210="[FÓRMULA MANUAL]","",IFERROR(AVERAGEIFS(nNOTA,nNIA,G210,nCUENTA,1,nASIG,"Orquesta/Banda/Conjunto"),"")))</f>
        <v/>
      </c>
      <c r="J210" t="str">
        <f>IF(G210="","",IF(G210="[FÓRMULA MANUAL]","",IFERROR(AVERAGEIFS(nNOTA,nNIA,G210,nCUENTA,1,nASIG,"Conjunto"),"")))</f>
        <v/>
      </c>
      <c r="K210" t="str">
        <f>IF(G210="","",IF(G210="[FÓRMULA MANUAL]","",IFERROR(SUMPRODUCT((nNIA=G210)*(nCUENTA=1)*(COUNTIF(CONFIG_ASIGNATURAS!$B$7:$B$27,nASIG)&gt;0)*(nNOTA))/SUMPRODUCT((nNIA=G210)*(nCUENTA=1)*(COUNTIF(CONFIG_ASIGNATURAS!$B$7:$B$27,nASIG)&gt;0)*1),"")))</f>
        <v/>
      </c>
      <c r="N210" t="str">
        <f>IF(M210="","",IF(M210="[FÓRMULA MANUAL]","",IFERROR(AVERAGEIFS(nNOTA,nNIA,M210,nCUENTA,1,nASIG,"Armonía"),"")))</f>
        <v/>
      </c>
      <c r="O210" t="str">
        <f>IF(M210="","",IF(M210="[FÓRMULA MANUAL]","",IFERROR(AVERAGEIFS(nNOTA,nNIA,M210,nCUENTA,1,nASIG,"Orquesta/Banda/Conjunto"),"")))</f>
        <v/>
      </c>
      <c r="P210" t="str">
        <f>IF(M210="","",IF(M210="[FÓRMULA MANUAL]","",IFERROR(AVERAGEIFS(nNOTA,nNIA,M210,nCUENTA,1,nASIG,"Música de Cámara"),"")))</f>
        <v/>
      </c>
      <c r="Q210" t="str">
        <f>IF(M210="","",IF(M210="[FÓRMULA MANUAL]","",IFERROR(SUMPRODUCT((nNIA=M210)*(nCUENTA=1)*(COUNTIF(CONFIG_ASIGNATURAS!$B$7:$B$27,nASIG)&gt;0)*(nNOTA))/SUMPRODUCT((nNIA=M210)*(nCUENTA=1)*(COUNTIF(CONFIG_ASIGNATURAS!$B$7:$B$27,nASIG)&gt;0)*1),"")))</f>
        <v/>
      </c>
      <c r="T210" t="str">
        <f>IF(S210="","",IF(S210="[FÓRMULA MANUAL]","",IFERROR(AVERAGEIFS(nNOTA,nNIA,S210,nCUENTA,1,nASIG,"Armonía"),"")))</f>
        <v/>
      </c>
      <c r="U210" t="str">
        <f>IF(S210="","",IF(S210="[FÓRMULA MANUAL]","",IFERROR(AVERAGEIFS(nNOTA,nNIA,S210,nCUENTA,1,nASIG,"Orquesta/Banda/Conjunto"),"")))</f>
        <v/>
      </c>
      <c r="V210" t="str">
        <f>IF(S210="","",IF(S210="[FÓRMULA MANUAL]","",IFERROR(AVERAGEIFS(nNOTA,nNIA,S210,nCUENTA,1,nASIG,"Música de Cámara"),"")))</f>
        <v/>
      </c>
      <c r="W210" t="str">
        <f>IF(S210="","",IF(S210="[FÓRMULA MANUAL]","",IFERROR(SUMPRODUCT((nNIA=S210)*(nCUENTA=1)*(COUNTIF(CONFIG_ASIGNATURAS!$B$7:$B$27,nASIG)&gt;0)*(nNOTA))/SUMPRODUCT((nNIA=S210)*(nCUENTA=1)*(COUNTIF(CONFIG_ASIGNATURAS!$B$7:$B$27,nASIG)&gt;0)*1),"")))</f>
        <v/>
      </c>
      <c r="Z210" t="str">
        <f>IF(Y210="","",IF(Y210="[FÓRMULA MANUAL]","",IFERROR(AVERAGEIFS(nNOTA,nNIA,Y210,nCUENTA,1,nASIG,"Análisis"),"")))</f>
        <v/>
      </c>
      <c r="AA210" t="str">
        <f>IF(Y210="","",IF(Y210="[FÓRMULA MANUAL]","",IFERROR(AVERAGEIFS(nNOTA,nNIA,Y210,nCUENTA,1,nASIG,"Orquesta/Banda/Conjunto"),"")))</f>
        <v/>
      </c>
      <c r="AB210" t="str">
        <f>IF(Y210="","",IF(Y210="[FÓRMULA MANUAL]","",IFERROR(AVERAGEIFS(nNOTA,nNIA,Y210,nCUENTA,1,nASIG,"Música de Cámara"),"")))</f>
        <v/>
      </c>
      <c r="AC210" t="str">
        <f>IF(Y210="","",IF(Y210="[FÓRMULA MANUAL]","",IFERROR(SUMPRODUCT((nNIA=Y210)*(nCUENTA=1)*(COUNTIF(CONFIG_ASIGNATURAS!$B$7:$B$27,nASIG)&gt;0)*(nNOTA))/SUMPRODUCT((nNIA=Y210)*(nCUENTA=1)*(COUNTIF(CONFIG_ASIGNATURAS!$B$7:$B$27,nASIG)&gt;0)*1),"")))</f>
        <v/>
      </c>
      <c r="AF210" t="str">
        <f>IF(AE210="","",IF(AE210="[FÓRMULA MANUAL]","",IFERROR(AVERAGEIFS(nNOTA,nNIA,AE210,nCUENTA,1,nASIG,"Análisis"),"")))</f>
        <v/>
      </c>
      <c r="AG210" t="str">
        <f>IF(AE210="","",IF(AE210="[FÓRMULA MANUAL]","",IFERROR(AVERAGEIFS(nNOTA,nNIA,AE210,nCUENTA,1,nASIG,"Orquesta/Banda/Conjunto"),"")))</f>
        <v/>
      </c>
      <c r="AH210" t="str">
        <f>IF(AE210="","",IF(AE210="[FÓRMULA MANUAL]","",IFERROR(AVERAGEIFS(nNOTA,nNIA,AE210,nCUENTA,1,nASIG,"Música de Cámara"),"")))</f>
        <v/>
      </c>
      <c r="AI210" t="str">
        <f>IF(AE210="","",IF(AE210="[FÓRMULA MANUAL]","",IFERROR(SUMPRODUCT((nNIA=AE210)*(nCUENTA=1)*(COUNTIF(CONFIG_ASIGNATURAS!$B$7:$B$27,nASIG)&gt;0)*(nNOTA))/SUMPRODUCT((nNIA=AE210)*(nCUENTA=1)*(COUNTIF(CONFIG_ASIGNATURAS!$B$7:$B$27,nASIG)&gt;0)*1),"")))</f>
        <v/>
      </c>
    </row>
    <row r="211" spans="2:35" x14ac:dyDescent="0.2">
      <c r="B211" t="str">
        <f>IF(A211="","",IF(A211="[FÓRMULA MANUAL]","",IFERROR(AVERAGEIFS(nNOTA,nNIA,A211,nCUENTA,1,nASIG,"Lenguaje Musical"),"")))</f>
        <v/>
      </c>
      <c r="C211" t="str">
        <f>IF(A211="","",IF(A211="[FÓRMULA MANUAL]","",IFERROR(AVERAGEIFS(nNOTA,nNIA,A211,nCUENTA,1,nASIG,"Orquesta/Banda/Conjunto"),"")))</f>
        <v/>
      </c>
      <c r="D211" t="str">
        <f>IF(A211="","",IF(A211="[FÓRMULA MANUAL]","",IFERROR(AVERAGEIFS(nNOTA,nNIA,A211,nCUENTA,1,nASIG,"Conjunto"),"")))</f>
        <v/>
      </c>
      <c r="E211" t="str">
        <f>IF(A211="","",IF(A211="[FÓRMULA MANUAL]","",IFERROR(SUMPRODUCT((nNIA=A211)*(nCUENTA=1)*(COUNTIF(CONFIG_ASIGNATURAS!$B$7:$B$27,nASIG)&gt;0)*(nNOTA))/SUMPRODUCT((nNIA=A211)*(nCUENTA=1)*(COUNTIF(CONFIG_ASIGNATURAS!$B$7:$B$27,nASIG)&gt;0)*1),"")))</f>
        <v/>
      </c>
      <c r="H211" t="str">
        <f>IF(G211="","",IF(G211="[FÓRMULA MANUAL]","",IFERROR(AVERAGEIFS(nNOTA,nNIA,G211,nCUENTA,1,nASIG,"Lenguaje Musical"),"")))</f>
        <v/>
      </c>
      <c r="I211" t="str">
        <f>IF(G211="","",IF(G211="[FÓRMULA MANUAL]","",IFERROR(AVERAGEIFS(nNOTA,nNIA,G211,nCUENTA,1,nASIG,"Orquesta/Banda/Conjunto"),"")))</f>
        <v/>
      </c>
      <c r="J211" t="str">
        <f>IF(G211="","",IF(G211="[FÓRMULA MANUAL]","",IFERROR(AVERAGEIFS(nNOTA,nNIA,G211,nCUENTA,1,nASIG,"Conjunto"),"")))</f>
        <v/>
      </c>
      <c r="K211" t="str">
        <f>IF(G211="","",IF(G211="[FÓRMULA MANUAL]","",IFERROR(SUMPRODUCT((nNIA=G211)*(nCUENTA=1)*(COUNTIF(CONFIG_ASIGNATURAS!$B$7:$B$27,nASIG)&gt;0)*(nNOTA))/SUMPRODUCT((nNIA=G211)*(nCUENTA=1)*(COUNTIF(CONFIG_ASIGNATURAS!$B$7:$B$27,nASIG)&gt;0)*1),"")))</f>
        <v/>
      </c>
      <c r="N211" t="str">
        <f>IF(M211="","",IF(M211="[FÓRMULA MANUAL]","",IFERROR(AVERAGEIFS(nNOTA,nNIA,M211,nCUENTA,1,nASIG,"Armonía"),"")))</f>
        <v/>
      </c>
      <c r="O211" t="str">
        <f>IF(M211="","",IF(M211="[FÓRMULA MANUAL]","",IFERROR(AVERAGEIFS(nNOTA,nNIA,M211,nCUENTA,1,nASIG,"Orquesta/Banda/Conjunto"),"")))</f>
        <v/>
      </c>
      <c r="P211" t="str">
        <f>IF(M211="","",IF(M211="[FÓRMULA MANUAL]","",IFERROR(AVERAGEIFS(nNOTA,nNIA,M211,nCUENTA,1,nASIG,"Música de Cámara"),"")))</f>
        <v/>
      </c>
      <c r="Q211" t="str">
        <f>IF(M211="","",IF(M211="[FÓRMULA MANUAL]","",IFERROR(SUMPRODUCT((nNIA=M211)*(nCUENTA=1)*(COUNTIF(CONFIG_ASIGNATURAS!$B$7:$B$27,nASIG)&gt;0)*(nNOTA))/SUMPRODUCT((nNIA=M211)*(nCUENTA=1)*(COUNTIF(CONFIG_ASIGNATURAS!$B$7:$B$27,nASIG)&gt;0)*1),"")))</f>
        <v/>
      </c>
      <c r="T211" t="str">
        <f>IF(S211="","",IF(S211="[FÓRMULA MANUAL]","",IFERROR(AVERAGEIFS(nNOTA,nNIA,S211,nCUENTA,1,nASIG,"Armonía"),"")))</f>
        <v/>
      </c>
      <c r="U211" t="str">
        <f>IF(S211="","",IF(S211="[FÓRMULA MANUAL]","",IFERROR(AVERAGEIFS(nNOTA,nNIA,S211,nCUENTA,1,nASIG,"Orquesta/Banda/Conjunto"),"")))</f>
        <v/>
      </c>
      <c r="V211" t="str">
        <f>IF(S211="","",IF(S211="[FÓRMULA MANUAL]","",IFERROR(AVERAGEIFS(nNOTA,nNIA,S211,nCUENTA,1,nASIG,"Música de Cámara"),"")))</f>
        <v/>
      </c>
      <c r="W211" t="str">
        <f>IF(S211="","",IF(S211="[FÓRMULA MANUAL]","",IFERROR(SUMPRODUCT((nNIA=S211)*(nCUENTA=1)*(COUNTIF(CONFIG_ASIGNATURAS!$B$7:$B$27,nASIG)&gt;0)*(nNOTA))/SUMPRODUCT((nNIA=S211)*(nCUENTA=1)*(COUNTIF(CONFIG_ASIGNATURAS!$B$7:$B$27,nASIG)&gt;0)*1),"")))</f>
        <v/>
      </c>
      <c r="Z211" t="str">
        <f>IF(Y211="","",IF(Y211="[FÓRMULA MANUAL]","",IFERROR(AVERAGEIFS(nNOTA,nNIA,Y211,nCUENTA,1,nASIG,"Análisis"),"")))</f>
        <v/>
      </c>
      <c r="AA211" t="str">
        <f>IF(Y211="","",IF(Y211="[FÓRMULA MANUAL]","",IFERROR(AVERAGEIFS(nNOTA,nNIA,Y211,nCUENTA,1,nASIG,"Orquesta/Banda/Conjunto"),"")))</f>
        <v/>
      </c>
      <c r="AB211" t="str">
        <f>IF(Y211="","",IF(Y211="[FÓRMULA MANUAL]","",IFERROR(AVERAGEIFS(nNOTA,nNIA,Y211,nCUENTA,1,nASIG,"Música de Cámara"),"")))</f>
        <v/>
      </c>
      <c r="AC211" t="str">
        <f>IF(Y211="","",IF(Y211="[FÓRMULA MANUAL]","",IFERROR(SUMPRODUCT((nNIA=Y211)*(nCUENTA=1)*(COUNTIF(CONFIG_ASIGNATURAS!$B$7:$B$27,nASIG)&gt;0)*(nNOTA))/SUMPRODUCT((nNIA=Y211)*(nCUENTA=1)*(COUNTIF(CONFIG_ASIGNATURAS!$B$7:$B$27,nASIG)&gt;0)*1),"")))</f>
        <v/>
      </c>
      <c r="AF211" t="str">
        <f>IF(AE211="","",IF(AE211="[FÓRMULA MANUAL]","",IFERROR(AVERAGEIFS(nNOTA,nNIA,AE211,nCUENTA,1,nASIG,"Análisis"),"")))</f>
        <v/>
      </c>
      <c r="AG211" t="str">
        <f>IF(AE211="","",IF(AE211="[FÓRMULA MANUAL]","",IFERROR(AVERAGEIFS(nNOTA,nNIA,AE211,nCUENTA,1,nASIG,"Orquesta/Banda/Conjunto"),"")))</f>
        <v/>
      </c>
      <c r="AH211" t="str">
        <f>IF(AE211="","",IF(AE211="[FÓRMULA MANUAL]","",IFERROR(AVERAGEIFS(nNOTA,nNIA,AE211,nCUENTA,1,nASIG,"Música de Cámara"),"")))</f>
        <v/>
      </c>
      <c r="AI211" t="str">
        <f>IF(AE211="","",IF(AE211="[FÓRMULA MANUAL]","",IFERROR(SUMPRODUCT((nNIA=AE211)*(nCUENTA=1)*(COUNTIF(CONFIG_ASIGNATURAS!$B$7:$B$27,nASIG)&gt;0)*(nNOTA))/SUMPRODUCT((nNIA=AE211)*(nCUENTA=1)*(COUNTIF(CONFIG_ASIGNATURAS!$B$7:$B$27,nASIG)&gt;0)*1),"")))</f>
        <v/>
      </c>
    </row>
    <row r="212" spans="2:35" x14ac:dyDescent="0.2">
      <c r="B212" t="str">
        <f>IF(A212="","",IF(A212="[FÓRMULA MANUAL]","",IFERROR(AVERAGEIFS(nNOTA,nNIA,A212,nCUENTA,1,nASIG,"Lenguaje Musical"),"")))</f>
        <v/>
      </c>
      <c r="C212" t="str">
        <f>IF(A212="","",IF(A212="[FÓRMULA MANUAL]","",IFERROR(AVERAGEIFS(nNOTA,nNIA,A212,nCUENTA,1,nASIG,"Orquesta/Banda/Conjunto"),"")))</f>
        <v/>
      </c>
      <c r="D212" t="str">
        <f>IF(A212="","",IF(A212="[FÓRMULA MANUAL]","",IFERROR(AVERAGEIFS(nNOTA,nNIA,A212,nCUENTA,1,nASIG,"Conjunto"),"")))</f>
        <v/>
      </c>
      <c r="E212" t="str">
        <f>IF(A212="","",IF(A212="[FÓRMULA MANUAL]","",IFERROR(SUMPRODUCT((nNIA=A212)*(nCUENTA=1)*(COUNTIF(CONFIG_ASIGNATURAS!$B$7:$B$27,nASIG)&gt;0)*(nNOTA))/SUMPRODUCT((nNIA=A212)*(nCUENTA=1)*(COUNTIF(CONFIG_ASIGNATURAS!$B$7:$B$27,nASIG)&gt;0)*1),"")))</f>
        <v/>
      </c>
      <c r="H212" t="str">
        <f>IF(G212="","",IF(G212="[FÓRMULA MANUAL]","",IFERROR(AVERAGEIFS(nNOTA,nNIA,G212,nCUENTA,1,nASIG,"Lenguaje Musical"),"")))</f>
        <v/>
      </c>
      <c r="I212" t="str">
        <f>IF(G212="","",IF(G212="[FÓRMULA MANUAL]","",IFERROR(AVERAGEIFS(nNOTA,nNIA,G212,nCUENTA,1,nASIG,"Orquesta/Banda/Conjunto"),"")))</f>
        <v/>
      </c>
      <c r="J212" t="str">
        <f>IF(G212="","",IF(G212="[FÓRMULA MANUAL]","",IFERROR(AVERAGEIFS(nNOTA,nNIA,G212,nCUENTA,1,nASIG,"Conjunto"),"")))</f>
        <v/>
      </c>
      <c r="K212" t="str">
        <f>IF(G212="","",IF(G212="[FÓRMULA MANUAL]","",IFERROR(SUMPRODUCT((nNIA=G212)*(nCUENTA=1)*(COUNTIF(CONFIG_ASIGNATURAS!$B$7:$B$27,nASIG)&gt;0)*(nNOTA))/SUMPRODUCT((nNIA=G212)*(nCUENTA=1)*(COUNTIF(CONFIG_ASIGNATURAS!$B$7:$B$27,nASIG)&gt;0)*1),"")))</f>
        <v/>
      </c>
      <c r="N212" t="str">
        <f>IF(M212="","",IF(M212="[FÓRMULA MANUAL]","",IFERROR(AVERAGEIFS(nNOTA,nNIA,M212,nCUENTA,1,nASIG,"Armonía"),"")))</f>
        <v/>
      </c>
      <c r="O212" t="str">
        <f>IF(M212="","",IF(M212="[FÓRMULA MANUAL]","",IFERROR(AVERAGEIFS(nNOTA,nNIA,M212,nCUENTA,1,nASIG,"Orquesta/Banda/Conjunto"),"")))</f>
        <v/>
      </c>
      <c r="P212" t="str">
        <f>IF(M212="","",IF(M212="[FÓRMULA MANUAL]","",IFERROR(AVERAGEIFS(nNOTA,nNIA,M212,nCUENTA,1,nASIG,"Música de Cámara"),"")))</f>
        <v/>
      </c>
      <c r="Q212" t="str">
        <f>IF(M212="","",IF(M212="[FÓRMULA MANUAL]","",IFERROR(SUMPRODUCT((nNIA=M212)*(nCUENTA=1)*(COUNTIF(CONFIG_ASIGNATURAS!$B$7:$B$27,nASIG)&gt;0)*(nNOTA))/SUMPRODUCT((nNIA=M212)*(nCUENTA=1)*(COUNTIF(CONFIG_ASIGNATURAS!$B$7:$B$27,nASIG)&gt;0)*1),"")))</f>
        <v/>
      </c>
      <c r="T212" t="str">
        <f>IF(S212="","",IF(S212="[FÓRMULA MANUAL]","",IFERROR(AVERAGEIFS(nNOTA,nNIA,S212,nCUENTA,1,nASIG,"Armonía"),"")))</f>
        <v/>
      </c>
      <c r="U212" t="str">
        <f>IF(S212="","",IF(S212="[FÓRMULA MANUAL]","",IFERROR(AVERAGEIFS(nNOTA,nNIA,S212,nCUENTA,1,nASIG,"Orquesta/Banda/Conjunto"),"")))</f>
        <v/>
      </c>
      <c r="V212" t="str">
        <f>IF(S212="","",IF(S212="[FÓRMULA MANUAL]","",IFERROR(AVERAGEIFS(nNOTA,nNIA,S212,nCUENTA,1,nASIG,"Música de Cámara"),"")))</f>
        <v/>
      </c>
      <c r="W212" t="str">
        <f>IF(S212="","",IF(S212="[FÓRMULA MANUAL]","",IFERROR(SUMPRODUCT((nNIA=S212)*(nCUENTA=1)*(COUNTIF(CONFIG_ASIGNATURAS!$B$7:$B$27,nASIG)&gt;0)*(nNOTA))/SUMPRODUCT((nNIA=S212)*(nCUENTA=1)*(COUNTIF(CONFIG_ASIGNATURAS!$B$7:$B$27,nASIG)&gt;0)*1),"")))</f>
        <v/>
      </c>
      <c r="Z212" t="str">
        <f>IF(Y212="","",IF(Y212="[FÓRMULA MANUAL]","",IFERROR(AVERAGEIFS(nNOTA,nNIA,Y212,nCUENTA,1,nASIG,"Análisis"),"")))</f>
        <v/>
      </c>
      <c r="AA212" t="str">
        <f>IF(Y212="","",IF(Y212="[FÓRMULA MANUAL]","",IFERROR(AVERAGEIFS(nNOTA,nNIA,Y212,nCUENTA,1,nASIG,"Orquesta/Banda/Conjunto"),"")))</f>
        <v/>
      </c>
      <c r="AB212" t="str">
        <f>IF(Y212="","",IF(Y212="[FÓRMULA MANUAL]","",IFERROR(AVERAGEIFS(nNOTA,nNIA,Y212,nCUENTA,1,nASIG,"Música de Cámara"),"")))</f>
        <v/>
      </c>
      <c r="AC212" t="str">
        <f>IF(Y212="","",IF(Y212="[FÓRMULA MANUAL]","",IFERROR(SUMPRODUCT((nNIA=Y212)*(nCUENTA=1)*(COUNTIF(CONFIG_ASIGNATURAS!$B$7:$B$27,nASIG)&gt;0)*(nNOTA))/SUMPRODUCT((nNIA=Y212)*(nCUENTA=1)*(COUNTIF(CONFIG_ASIGNATURAS!$B$7:$B$27,nASIG)&gt;0)*1),"")))</f>
        <v/>
      </c>
      <c r="AF212" t="str">
        <f>IF(AE212="","",IF(AE212="[FÓRMULA MANUAL]","",IFERROR(AVERAGEIFS(nNOTA,nNIA,AE212,nCUENTA,1,nASIG,"Análisis"),"")))</f>
        <v/>
      </c>
      <c r="AG212" t="str">
        <f>IF(AE212="","",IF(AE212="[FÓRMULA MANUAL]","",IFERROR(AVERAGEIFS(nNOTA,nNIA,AE212,nCUENTA,1,nASIG,"Orquesta/Banda/Conjunto"),"")))</f>
        <v/>
      </c>
      <c r="AH212" t="str">
        <f>IF(AE212="","",IF(AE212="[FÓRMULA MANUAL]","",IFERROR(AVERAGEIFS(nNOTA,nNIA,AE212,nCUENTA,1,nASIG,"Música de Cámara"),"")))</f>
        <v/>
      </c>
      <c r="AI212" t="str">
        <f>IF(AE212="","",IF(AE212="[FÓRMULA MANUAL]","",IFERROR(SUMPRODUCT((nNIA=AE212)*(nCUENTA=1)*(COUNTIF(CONFIG_ASIGNATURAS!$B$7:$B$27,nASIG)&gt;0)*(nNOTA))/SUMPRODUCT((nNIA=AE212)*(nCUENTA=1)*(COUNTIF(CONFIG_ASIGNATURAS!$B$7:$B$27,nASIG)&gt;0)*1),"")))</f>
        <v/>
      </c>
    </row>
    <row r="213" spans="2:35" x14ac:dyDescent="0.2">
      <c r="B213" t="str">
        <f>IF(A213="","",IF(A213="[FÓRMULA MANUAL]","",IFERROR(AVERAGEIFS(nNOTA,nNIA,A213,nCUENTA,1,nASIG,"Lenguaje Musical"),"")))</f>
        <v/>
      </c>
      <c r="C213" t="str">
        <f>IF(A213="","",IF(A213="[FÓRMULA MANUAL]","",IFERROR(AVERAGEIFS(nNOTA,nNIA,A213,nCUENTA,1,nASIG,"Orquesta/Banda/Conjunto"),"")))</f>
        <v/>
      </c>
      <c r="D213" t="str">
        <f>IF(A213="","",IF(A213="[FÓRMULA MANUAL]","",IFERROR(AVERAGEIFS(nNOTA,nNIA,A213,nCUENTA,1,nASIG,"Conjunto"),"")))</f>
        <v/>
      </c>
      <c r="E213" t="str">
        <f>IF(A213="","",IF(A213="[FÓRMULA MANUAL]","",IFERROR(SUMPRODUCT((nNIA=A213)*(nCUENTA=1)*(COUNTIF(CONFIG_ASIGNATURAS!$B$7:$B$27,nASIG)&gt;0)*(nNOTA))/SUMPRODUCT((nNIA=A213)*(nCUENTA=1)*(COUNTIF(CONFIG_ASIGNATURAS!$B$7:$B$27,nASIG)&gt;0)*1),"")))</f>
        <v/>
      </c>
      <c r="H213" t="str">
        <f>IF(G213="","",IF(G213="[FÓRMULA MANUAL]","",IFERROR(AVERAGEIFS(nNOTA,nNIA,G213,nCUENTA,1,nASIG,"Lenguaje Musical"),"")))</f>
        <v/>
      </c>
      <c r="I213" t="str">
        <f>IF(G213="","",IF(G213="[FÓRMULA MANUAL]","",IFERROR(AVERAGEIFS(nNOTA,nNIA,G213,nCUENTA,1,nASIG,"Orquesta/Banda/Conjunto"),"")))</f>
        <v/>
      </c>
      <c r="J213" t="str">
        <f>IF(G213="","",IF(G213="[FÓRMULA MANUAL]","",IFERROR(AVERAGEIFS(nNOTA,nNIA,G213,nCUENTA,1,nASIG,"Conjunto"),"")))</f>
        <v/>
      </c>
      <c r="K213" t="str">
        <f>IF(G213="","",IF(G213="[FÓRMULA MANUAL]","",IFERROR(SUMPRODUCT((nNIA=G213)*(nCUENTA=1)*(COUNTIF(CONFIG_ASIGNATURAS!$B$7:$B$27,nASIG)&gt;0)*(nNOTA))/SUMPRODUCT((nNIA=G213)*(nCUENTA=1)*(COUNTIF(CONFIG_ASIGNATURAS!$B$7:$B$27,nASIG)&gt;0)*1),"")))</f>
        <v/>
      </c>
      <c r="N213" t="str">
        <f>IF(M213="","",IF(M213="[FÓRMULA MANUAL]","",IFERROR(AVERAGEIFS(nNOTA,nNIA,M213,nCUENTA,1,nASIG,"Armonía"),"")))</f>
        <v/>
      </c>
      <c r="O213" t="str">
        <f>IF(M213="","",IF(M213="[FÓRMULA MANUAL]","",IFERROR(AVERAGEIFS(nNOTA,nNIA,M213,nCUENTA,1,nASIG,"Orquesta/Banda/Conjunto"),"")))</f>
        <v/>
      </c>
      <c r="P213" t="str">
        <f>IF(M213="","",IF(M213="[FÓRMULA MANUAL]","",IFERROR(AVERAGEIFS(nNOTA,nNIA,M213,nCUENTA,1,nASIG,"Música de Cámara"),"")))</f>
        <v/>
      </c>
      <c r="Q213" t="str">
        <f>IF(M213="","",IF(M213="[FÓRMULA MANUAL]","",IFERROR(SUMPRODUCT((nNIA=M213)*(nCUENTA=1)*(COUNTIF(CONFIG_ASIGNATURAS!$B$7:$B$27,nASIG)&gt;0)*(nNOTA))/SUMPRODUCT((nNIA=M213)*(nCUENTA=1)*(COUNTIF(CONFIG_ASIGNATURAS!$B$7:$B$27,nASIG)&gt;0)*1),"")))</f>
        <v/>
      </c>
      <c r="T213" t="str">
        <f>IF(S213="","",IF(S213="[FÓRMULA MANUAL]","",IFERROR(AVERAGEIFS(nNOTA,nNIA,S213,nCUENTA,1,nASIG,"Armonía"),"")))</f>
        <v/>
      </c>
      <c r="U213" t="str">
        <f>IF(S213="","",IF(S213="[FÓRMULA MANUAL]","",IFERROR(AVERAGEIFS(nNOTA,nNIA,S213,nCUENTA,1,nASIG,"Orquesta/Banda/Conjunto"),"")))</f>
        <v/>
      </c>
      <c r="V213" t="str">
        <f>IF(S213="","",IF(S213="[FÓRMULA MANUAL]","",IFERROR(AVERAGEIFS(nNOTA,nNIA,S213,nCUENTA,1,nASIG,"Música de Cámara"),"")))</f>
        <v/>
      </c>
      <c r="W213" t="str">
        <f>IF(S213="","",IF(S213="[FÓRMULA MANUAL]","",IFERROR(SUMPRODUCT((nNIA=S213)*(nCUENTA=1)*(COUNTIF(CONFIG_ASIGNATURAS!$B$7:$B$27,nASIG)&gt;0)*(nNOTA))/SUMPRODUCT((nNIA=S213)*(nCUENTA=1)*(COUNTIF(CONFIG_ASIGNATURAS!$B$7:$B$27,nASIG)&gt;0)*1),"")))</f>
        <v/>
      </c>
      <c r="Z213" t="str">
        <f>IF(Y213="","",IF(Y213="[FÓRMULA MANUAL]","",IFERROR(AVERAGEIFS(nNOTA,nNIA,Y213,nCUENTA,1,nASIG,"Análisis"),"")))</f>
        <v/>
      </c>
      <c r="AA213" t="str">
        <f>IF(Y213="","",IF(Y213="[FÓRMULA MANUAL]","",IFERROR(AVERAGEIFS(nNOTA,nNIA,Y213,nCUENTA,1,nASIG,"Orquesta/Banda/Conjunto"),"")))</f>
        <v/>
      </c>
      <c r="AB213" t="str">
        <f>IF(Y213="","",IF(Y213="[FÓRMULA MANUAL]","",IFERROR(AVERAGEIFS(nNOTA,nNIA,Y213,nCUENTA,1,nASIG,"Música de Cámara"),"")))</f>
        <v/>
      </c>
      <c r="AC213" t="str">
        <f>IF(Y213="","",IF(Y213="[FÓRMULA MANUAL]","",IFERROR(SUMPRODUCT((nNIA=Y213)*(nCUENTA=1)*(COUNTIF(CONFIG_ASIGNATURAS!$B$7:$B$27,nASIG)&gt;0)*(nNOTA))/SUMPRODUCT((nNIA=Y213)*(nCUENTA=1)*(COUNTIF(CONFIG_ASIGNATURAS!$B$7:$B$27,nASIG)&gt;0)*1),"")))</f>
        <v/>
      </c>
      <c r="AF213" t="str">
        <f>IF(AE213="","",IF(AE213="[FÓRMULA MANUAL]","",IFERROR(AVERAGEIFS(nNOTA,nNIA,AE213,nCUENTA,1,nASIG,"Análisis"),"")))</f>
        <v/>
      </c>
      <c r="AG213" t="str">
        <f>IF(AE213="","",IF(AE213="[FÓRMULA MANUAL]","",IFERROR(AVERAGEIFS(nNOTA,nNIA,AE213,nCUENTA,1,nASIG,"Orquesta/Banda/Conjunto"),"")))</f>
        <v/>
      </c>
      <c r="AH213" t="str">
        <f>IF(AE213="","",IF(AE213="[FÓRMULA MANUAL]","",IFERROR(AVERAGEIFS(nNOTA,nNIA,AE213,nCUENTA,1,nASIG,"Música de Cámara"),"")))</f>
        <v/>
      </c>
      <c r="AI213" t="str">
        <f>IF(AE213="","",IF(AE213="[FÓRMULA MANUAL]","",IFERROR(SUMPRODUCT((nNIA=AE213)*(nCUENTA=1)*(COUNTIF(CONFIG_ASIGNATURAS!$B$7:$B$27,nASIG)&gt;0)*(nNOTA))/SUMPRODUCT((nNIA=AE213)*(nCUENTA=1)*(COUNTIF(CONFIG_ASIGNATURAS!$B$7:$B$27,nASIG)&gt;0)*1),"")))</f>
        <v/>
      </c>
    </row>
    <row r="214" spans="2:35" x14ac:dyDescent="0.2">
      <c r="B214" t="str">
        <f>IF(A214="","",IF(A214="[FÓRMULA MANUAL]","",IFERROR(AVERAGEIFS(nNOTA,nNIA,A214,nCUENTA,1,nASIG,"Lenguaje Musical"),"")))</f>
        <v/>
      </c>
      <c r="C214" t="str">
        <f>IF(A214="","",IF(A214="[FÓRMULA MANUAL]","",IFERROR(AVERAGEIFS(nNOTA,nNIA,A214,nCUENTA,1,nASIG,"Orquesta/Banda/Conjunto"),"")))</f>
        <v/>
      </c>
      <c r="D214" t="str">
        <f>IF(A214="","",IF(A214="[FÓRMULA MANUAL]","",IFERROR(AVERAGEIFS(nNOTA,nNIA,A214,nCUENTA,1,nASIG,"Conjunto"),"")))</f>
        <v/>
      </c>
      <c r="E214" t="str">
        <f>IF(A214="","",IF(A214="[FÓRMULA MANUAL]","",IFERROR(SUMPRODUCT((nNIA=A214)*(nCUENTA=1)*(COUNTIF(CONFIG_ASIGNATURAS!$B$7:$B$27,nASIG)&gt;0)*(nNOTA))/SUMPRODUCT((nNIA=A214)*(nCUENTA=1)*(COUNTIF(CONFIG_ASIGNATURAS!$B$7:$B$27,nASIG)&gt;0)*1),"")))</f>
        <v/>
      </c>
      <c r="H214" t="str">
        <f>IF(G214="","",IF(G214="[FÓRMULA MANUAL]","",IFERROR(AVERAGEIFS(nNOTA,nNIA,G214,nCUENTA,1,nASIG,"Lenguaje Musical"),"")))</f>
        <v/>
      </c>
      <c r="I214" t="str">
        <f>IF(G214="","",IF(G214="[FÓRMULA MANUAL]","",IFERROR(AVERAGEIFS(nNOTA,nNIA,G214,nCUENTA,1,nASIG,"Orquesta/Banda/Conjunto"),"")))</f>
        <v/>
      </c>
      <c r="J214" t="str">
        <f>IF(G214="","",IF(G214="[FÓRMULA MANUAL]","",IFERROR(AVERAGEIFS(nNOTA,nNIA,G214,nCUENTA,1,nASIG,"Conjunto"),"")))</f>
        <v/>
      </c>
      <c r="K214" t="str">
        <f>IF(G214="","",IF(G214="[FÓRMULA MANUAL]","",IFERROR(SUMPRODUCT((nNIA=G214)*(nCUENTA=1)*(COUNTIF(CONFIG_ASIGNATURAS!$B$7:$B$27,nASIG)&gt;0)*(nNOTA))/SUMPRODUCT((nNIA=G214)*(nCUENTA=1)*(COUNTIF(CONFIG_ASIGNATURAS!$B$7:$B$27,nASIG)&gt;0)*1),"")))</f>
        <v/>
      </c>
      <c r="N214" t="str">
        <f>IF(M214="","",IF(M214="[FÓRMULA MANUAL]","",IFERROR(AVERAGEIFS(nNOTA,nNIA,M214,nCUENTA,1,nASIG,"Armonía"),"")))</f>
        <v/>
      </c>
      <c r="O214" t="str">
        <f>IF(M214="","",IF(M214="[FÓRMULA MANUAL]","",IFERROR(AVERAGEIFS(nNOTA,nNIA,M214,nCUENTA,1,nASIG,"Orquesta/Banda/Conjunto"),"")))</f>
        <v/>
      </c>
      <c r="P214" t="str">
        <f>IF(M214="","",IF(M214="[FÓRMULA MANUAL]","",IFERROR(AVERAGEIFS(nNOTA,nNIA,M214,nCUENTA,1,nASIG,"Música de Cámara"),"")))</f>
        <v/>
      </c>
      <c r="Q214" t="str">
        <f>IF(M214="","",IF(M214="[FÓRMULA MANUAL]","",IFERROR(SUMPRODUCT((nNIA=M214)*(nCUENTA=1)*(COUNTIF(CONFIG_ASIGNATURAS!$B$7:$B$27,nASIG)&gt;0)*(nNOTA))/SUMPRODUCT((nNIA=M214)*(nCUENTA=1)*(COUNTIF(CONFIG_ASIGNATURAS!$B$7:$B$27,nASIG)&gt;0)*1),"")))</f>
        <v/>
      </c>
      <c r="T214" t="str">
        <f>IF(S214="","",IF(S214="[FÓRMULA MANUAL]","",IFERROR(AVERAGEIFS(nNOTA,nNIA,S214,nCUENTA,1,nASIG,"Armonía"),"")))</f>
        <v/>
      </c>
      <c r="U214" t="str">
        <f>IF(S214="","",IF(S214="[FÓRMULA MANUAL]","",IFERROR(AVERAGEIFS(nNOTA,nNIA,S214,nCUENTA,1,nASIG,"Orquesta/Banda/Conjunto"),"")))</f>
        <v/>
      </c>
      <c r="V214" t="str">
        <f>IF(S214="","",IF(S214="[FÓRMULA MANUAL]","",IFERROR(AVERAGEIFS(nNOTA,nNIA,S214,nCUENTA,1,nASIG,"Música de Cámara"),"")))</f>
        <v/>
      </c>
      <c r="W214" t="str">
        <f>IF(S214="","",IF(S214="[FÓRMULA MANUAL]","",IFERROR(SUMPRODUCT((nNIA=S214)*(nCUENTA=1)*(COUNTIF(CONFIG_ASIGNATURAS!$B$7:$B$27,nASIG)&gt;0)*(nNOTA))/SUMPRODUCT((nNIA=S214)*(nCUENTA=1)*(COUNTIF(CONFIG_ASIGNATURAS!$B$7:$B$27,nASIG)&gt;0)*1),"")))</f>
        <v/>
      </c>
      <c r="Z214" t="str">
        <f>IF(Y214="","",IF(Y214="[FÓRMULA MANUAL]","",IFERROR(AVERAGEIFS(nNOTA,nNIA,Y214,nCUENTA,1,nASIG,"Análisis"),"")))</f>
        <v/>
      </c>
      <c r="AA214" t="str">
        <f>IF(Y214="","",IF(Y214="[FÓRMULA MANUAL]","",IFERROR(AVERAGEIFS(nNOTA,nNIA,Y214,nCUENTA,1,nASIG,"Orquesta/Banda/Conjunto"),"")))</f>
        <v/>
      </c>
      <c r="AB214" t="str">
        <f>IF(Y214="","",IF(Y214="[FÓRMULA MANUAL]","",IFERROR(AVERAGEIFS(nNOTA,nNIA,Y214,nCUENTA,1,nASIG,"Música de Cámara"),"")))</f>
        <v/>
      </c>
      <c r="AC214" t="str">
        <f>IF(Y214="","",IF(Y214="[FÓRMULA MANUAL]","",IFERROR(SUMPRODUCT((nNIA=Y214)*(nCUENTA=1)*(COUNTIF(CONFIG_ASIGNATURAS!$B$7:$B$27,nASIG)&gt;0)*(nNOTA))/SUMPRODUCT((nNIA=Y214)*(nCUENTA=1)*(COUNTIF(CONFIG_ASIGNATURAS!$B$7:$B$27,nASIG)&gt;0)*1),"")))</f>
        <v/>
      </c>
      <c r="AF214" t="str">
        <f>IF(AE214="","",IF(AE214="[FÓRMULA MANUAL]","",IFERROR(AVERAGEIFS(nNOTA,nNIA,AE214,nCUENTA,1,nASIG,"Análisis"),"")))</f>
        <v/>
      </c>
      <c r="AG214" t="str">
        <f>IF(AE214="","",IF(AE214="[FÓRMULA MANUAL]","",IFERROR(AVERAGEIFS(nNOTA,nNIA,AE214,nCUENTA,1,nASIG,"Orquesta/Banda/Conjunto"),"")))</f>
        <v/>
      </c>
      <c r="AH214" t="str">
        <f>IF(AE214="","",IF(AE214="[FÓRMULA MANUAL]","",IFERROR(AVERAGEIFS(nNOTA,nNIA,AE214,nCUENTA,1,nASIG,"Música de Cámara"),"")))</f>
        <v/>
      </c>
      <c r="AI214" t="str">
        <f>IF(AE214="","",IF(AE214="[FÓRMULA MANUAL]","",IFERROR(SUMPRODUCT((nNIA=AE214)*(nCUENTA=1)*(COUNTIF(CONFIG_ASIGNATURAS!$B$7:$B$27,nASIG)&gt;0)*(nNOTA))/SUMPRODUCT((nNIA=AE214)*(nCUENTA=1)*(COUNTIF(CONFIG_ASIGNATURAS!$B$7:$B$27,nASIG)&gt;0)*1),"")))</f>
        <v/>
      </c>
    </row>
    <row r="215" spans="2:35" x14ac:dyDescent="0.2">
      <c r="B215" t="str">
        <f>IF(A215="","",IF(A215="[FÓRMULA MANUAL]","",IFERROR(AVERAGEIFS(nNOTA,nNIA,A215,nCUENTA,1,nASIG,"Lenguaje Musical"),"")))</f>
        <v/>
      </c>
      <c r="C215" t="str">
        <f>IF(A215="","",IF(A215="[FÓRMULA MANUAL]","",IFERROR(AVERAGEIFS(nNOTA,nNIA,A215,nCUENTA,1,nASIG,"Orquesta/Banda/Conjunto"),"")))</f>
        <v/>
      </c>
      <c r="D215" t="str">
        <f>IF(A215="","",IF(A215="[FÓRMULA MANUAL]","",IFERROR(AVERAGEIFS(nNOTA,nNIA,A215,nCUENTA,1,nASIG,"Conjunto"),"")))</f>
        <v/>
      </c>
      <c r="E215" t="str">
        <f>IF(A215="","",IF(A215="[FÓRMULA MANUAL]","",IFERROR(SUMPRODUCT((nNIA=A215)*(nCUENTA=1)*(COUNTIF(CONFIG_ASIGNATURAS!$B$7:$B$27,nASIG)&gt;0)*(nNOTA))/SUMPRODUCT((nNIA=A215)*(nCUENTA=1)*(COUNTIF(CONFIG_ASIGNATURAS!$B$7:$B$27,nASIG)&gt;0)*1),"")))</f>
        <v/>
      </c>
      <c r="H215" t="str">
        <f>IF(G215="","",IF(G215="[FÓRMULA MANUAL]","",IFERROR(AVERAGEIFS(nNOTA,nNIA,G215,nCUENTA,1,nASIG,"Lenguaje Musical"),"")))</f>
        <v/>
      </c>
      <c r="I215" t="str">
        <f>IF(G215="","",IF(G215="[FÓRMULA MANUAL]","",IFERROR(AVERAGEIFS(nNOTA,nNIA,G215,nCUENTA,1,nASIG,"Orquesta/Banda/Conjunto"),"")))</f>
        <v/>
      </c>
      <c r="J215" t="str">
        <f>IF(G215="","",IF(G215="[FÓRMULA MANUAL]","",IFERROR(AVERAGEIFS(nNOTA,nNIA,G215,nCUENTA,1,nASIG,"Conjunto"),"")))</f>
        <v/>
      </c>
      <c r="K215" t="str">
        <f>IF(G215="","",IF(G215="[FÓRMULA MANUAL]","",IFERROR(SUMPRODUCT((nNIA=G215)*(nCUENTA=1)*(COUNTIF(CONFIG_ASIGNATURAS!$B$7:$B$27,nASIG)&gt;0)*(nNOTA))/SUMPRODUCT((nNIA=G215)*(nCUENTA=1)*(COUNTIF(CONFIG_ASIGNATURAS!$B$7:$B$27,nASIG)&gt;0)*1),"")))</f>
        <v/>
      </c>
      <c r="N215" t="str">
        <f>IF(M215="","",IF(M215="[FÓRMULA MANUAL]","",IFERROR(AVERAGEIFS(nNOTA,nNIA,M215,nCUENTA,1,nASIG,"Armonía"),"")))</f>
        <v/>
      </c>
      <c r="O215" t="str">
        <f>IF(M215="","",IF(M215="[FÓRMULA MANUAL]","",IFERROR(AVERAGEIFS(nNOTA,nNIA,M215,nCUENTA,1,nASIG,"Orquesta/Banda/Conjunto"),"")))</f>
        <v/>
      </c>
      <c r="P215" t="str">
        <f>IF(M215="","",IF(M215="[FÓRMULA MANUAL]","",IFERROR(AVERAGEIFS(nNOTA,nNIA,M215,nCUENTA,1,nASIG,"Música de Cámara"),"")))</f>
        <v/>
      </c>
      <c r="Q215" t="str">
        <f>IF(M215="","",IF(M215="[FÓRMULA MANUAL]","",IFERROR(SUMPRODUCT((nNIA=M215)*(nCUENTA=1)*(COUNTIF(CONFIG_ASIGNATURAS!$B$7:$B$27,nASIG)&gt;0)*(nNOTA))/SUMPRODUCT((nNIA=M215)*(nCUENTA=1)*(COUNTIF(CONFIG_ASIGNATURAS!$B$7:$B$27,nASIG)&gt;0)*1),"")))</f>
        <v/>
      </c>
      <c r="T215" t="str">
        <f>IF(S215="","",IF(S215="[FÓRMULA MANUAL]","",IFERROR(AVERAGEIFS(nNOTA,nNIA,S215,nCUENTA,1,nASIG,"Armonía"),"")))</f>
        <v/>
      </c>
      <c r="U215" t="str">
        <f>IF(S215="","",IF(S215="[FÓRMULA MANUAL]","",IFERROR(AVERAGEIFS(nNOTA,nNIA,S215,nCUENTA,1,nASIG,"Orquesta/Banda/Conjunto"),"")))</f>
        <v/>
      </c>
      <c r="V215" t="str">
        <f>IF(S215="","",IF(S215="[FÓRMULA MANUAL]","",IFERROR(AVERAGEIFS(nNOTA,nNIA,S215,nCUENTA,1,nASIG,"Música de Cámara"),"")))</f>
        <v/>
      </c>
      <c r="W215" t="str">
        <f>IF(S215="","",IF(S215="[FÓRMULA MANUAL]","",IFERROR(SUMPRODUCT((nNIA=S215)*(nCUENTA=1)*(COUNTIF(CONFIG_ASIGNATURAS!$B$7:$B$27,nASIG)&gt;0)*(nNOTA))/SUMPRODUCT((nNIA=S215)*(nCUENTA=1)*(COUNTIF(CONFIG_ASIGNATURAS!$B$7:$B$27,nASIG)&gt;0)*1),"")))</f>
        <v/>
      </c>
      <c r="Z215" t="str">
        <f>IF(Y215="","",IF(Y215="[FÓRMULA MANUAL]","",IFERROR(AVERAGEIFS(nNOTA,nNIA,Y215,nCUENTA,1,nASIG,"Análisis"),"")))</f>
        <v/>
      </c>
      <c r="AA215" t="str">
        <f>IF(Y215="","",IF(Y215="[FÓRMULA MANUAL]","",IFERROR(AVERAGEIFS(nNOTA,nNIA,Y215,nCUENTA,1,nASIG,"Orquesta/Banda/Conjunto"),"")))</f>
        <v/>
      </c>
      <c r="AB215" t="str">
        <f>IF(Y215="","",IF(Y215="[FÓRMULA MANUAL]","",IFERROR(AVERAGEIFS(nNOTA,nNIA,Y215,nCUENTA,1,nASIG,"Música de Cámara"),"")))</f>
        <v/>
      </c>
      <c r="AC215" t="str">
        <f>IF(Y215="","",IF(Y215="[FÓRMULA MANUAL]","",IFERROR(SUMPRODUCT((nNIA=Y215)*(nCUENTA=1)*(COUNTIF(CONFIG_ASIGNATURAS!$B$7:$B$27,nASIG)&gt;0)*(nNOTA))/SUMPRODUCT((nNIA=Y215)*(nCUENTA=1)*(COUNTIF(CONFIG_ASIGNATURAS!$B$7:$B$27,nASIG)&gt;0)*1),"")))</f>
        <v/>
      </c>
      <c r="AF215" t="str">
        <f>IF(AE215="","",IF(AE215="[FÓRMULA MANUAL]","",IFERROR(AVERAGEIFS(nNOTA,nNIA,AE215,nCUENTA,1,nASIG,"Análisis"),"")))</f>
        <v/>
      </c>
      <c r="AG215" t="str">
        <f>IF(AE215="","",IF(AE215="[FÓRMULA MANUAL]","",IFERROR(AVERAGEIFS(nNOTA,nNIA,AE215,nCUENTA,1,nASIG,"Orquesta/Banda/Conjunto"),"")))</f>
        <v/>
      </c>
      <c r="AH215" t="str">
        <f>IF(AE215="","",IF(AE215="[FÓRMULA MANUAL]","",IFERROR(AVERAGEIFS(nNOTA,nNIA,AE215,nCUENTA,1,nASIG,"Música de Cámara"),"")))</f>
        <v/>
      </c>
      <c r="AI215" t="str">
        <f>IF(AE215="","",IF(AE215="[FÓRMULA MANUAL]","",IFERROR(SUMPRODUCT((nNIA=AE215)*(nCUENTA=1)*(COUNTIF(CONFIG_ASIGNATURAS!$B$7:$B$27,nASIG)&gt;0)*(nNOTA))/SUMPRODUCT((nNIA=AE215)*(nCUENTA=1)*(COUNTIF(CONFIG_ASIGNATURAS!$B$7:$B$27,nASIG)&gt;0)*1),"")))</f>
        <v/>
      </c>
    </row>
    <row r="216" spans="2:35" x14ac:dyDescent="0.2">
      <c r="B216" t="str">
        <f>IF(A216="","",IF(A216="[FÓRMULA MANUAL]","",IFERROR(AVERAGEIFS(nNOTA,nNIA,A216,nCUENTA,1,nASIG,"Lenguaje Musical"),"")))</f>
        <v/>
      </c>
      <c r="C216" t="str">
        <f>IF(A216="","",IF(A216="[FÓRMULA MANUAL]","",IFERROR(AVERAGEIFS(nNOTA,nNIA,A216,nCUENTA,1,nASIG,"Orquesta/Banda/Conjunto"),"")))</f>
        <v/>
      </c>
      <c r="D216" t="str">
        <f>IF(A216="","",IF(A216="[FÓRMULA MANUAL]","",IFERROR(AVERAGEIFS(nNOTA,nNIA,A216,nCUENTA,1,nASIG,"Conjunto"),"")))</f>
        <v/>
      </c>
      <c r="E216" t="str">
        <f>IF(A216="","",IF(A216="[FÓRMULA MANUAL]","",IFERROR(SUMPRODUCT((nNIA=A216)*(nCUENTA=1)*(COUNTIF(CONFIG_ASIGNATURAS!$B$7:$B$27,nASIG)&gt;0)*(nNOTA))/SUMPRODUCT((nNIA=A216)*(nCUENTA=1)*(COUNTIF(CONFIG_ASIGNATURAS!$B$7:$B$27,nASIG)&gt;0)*1),"")))</f>
        <v/>
      </c>
      <c r="H216" t="str">
        <f>IF(G216="","",IF(G216="[FÓRMULA MANUAL]","",IFERROR(AVERAGEIFS(nNOTA,nNIA,G216,nCUENTA,1,nASIG,"Lenguaje Musical"),"")))</f>
        <v/>
      </c>
      <c r="I216" t="str">
        <f>IF(G216="","",IF(G216="[FÓRMULA MANUAL]","",IFERROR(AVERAGEIFS(nNOTA,nNIA,G216,nCUENTA,1,nASIG,"Orquesta/Banda/Conjunto"),"")))</f>
        <v/>
      </c>
      <c r="J216" t="str">
        <f>IF(G216="","",IF(G216="[FÓRMULA MANUAL]","",IFERROR(AVERAGEIFS(nNOTA,nNIA,G216,nCUENTA,1,nASIG,"Conjunto"),"")))</f>
        <v/>
      </c>
      <c r="K216" t="str">
        <f>IF(G216="","",IF(G216="[FÓRMULA MANUAL]","",IFERROR(SUMPRODUCT((nNIA=G216)*(nCUENTA=1)*(COUNTIF(CONFIG_ASIGNATURAS!$B$7:$B$27,nASIG)&gt;0)*(nNOTA))/SUMPRODUCT((nNIA=G216)*(nCUENTA=1)*(COUNTIF(CONFIG_ASIGNATURAS!$B$7:$B$27,nASIG)&gt;0)*1),"")))</f>
        <v/>
      </c>
      <c r="N216" t="str">
        <f>IF(M216="","",IF(M216="[FÓRMULA MANUAL]","",IFERROR(AVERAGEIFS(nNOTA,nNIA,M216,nCUENTA,1,nASIG,"Armonía"),"")))</f>
        <v/>
      </c>
      <c r="O216" t="str">
        <f>IF(M216="","",IF(M216="[FÓRMULA MANUAL]","",IFERROR(AVERAGEIFS(nNOTA,nNIA,M216,nCUENTA,1,nASIG,"Orquesta/Banda/Conjunto"),"")))</f>
        <v/>
      </c>
      <c r="P216" t="str">
        <f>IF(M216="","",IF(M216="[FÓRMULA MANUAL]","",IFERROR(AVERAGEIFS(nNOTA,nNIA,M216,nCUENTA,1,nASIG,"Música de Cámara"),"")))</f>
        <v/>
      </c>
      <c r="Q216" t="str">
        <f>IF(M216="","",IF(M216="[FÓRMULA MANUAL]","",IFERROR(SUMPRODUCT((nNIA=M216)*(nCUENTA=1)*(COUNTIF(CONFIG_ASIGNATURAS!$B$7:$B$27,nASIG)&gt;0)*(nNOTA))/SUMPRODUCT((nNIA=M216)*(nCUENTA=1)*(COUNTIF(CONFIG_ASIGNATURAS!$B$7:$B$27,nASIG)&gt;0)*1),"")))</f>
        <v/>
      </c>
      <c r="T216" t="str">
        <f>IF(S216="","",IF(S216="[FÓRMULA MANUAL]","",IFERROR(AVERAGEIFS(nNOTA,nNIA,S216,nCUENTA,1,nASIG,"Armonía"),"")))</f>
        <v/>
      </c>
      <c r="U216" t="str">
        <f>IF(S216="","",IF(S216="[FÓRMULA MANUAL]","",IFERROR(AVERAGEIFS(nNOTA,nNIA,S216,nCUENTA,1,nASIG,"Orquesta/Banda/Conjunto"),"")))</f>
        <v/>
      </c>
      <c r="V216" t="str">
        <f>IF(S216="","",IF(S216="[FÓRMULA MANUAL]","",IFERROR(AVERAGEIFS(nNOTA,nNIA,S216,nCUENTA,1,nASIG,"Música de Cámara"),"")))</f>
        <v/>
      </c>
      <c r="W216" t="str">
        <f>IF(S216="","",IF(S216="[FÓRMULA MANUAL]","",IFERROR(SUMPRODUCT((nNIA=S216)*(nCUENTA=1)*(COUNTIF(CONFIG_ASIGNATURAS!$B$7:$B$27,nASIG)&gt;0)*(nNOTA))/SUMPRODUCT((nNIA=S216)*(nCUENTA=1)*(COUNTIF(CONFIG_ASIGNATURAS!$B$7:$B$27,nASIG)&gt;0)*1),"")))</f>
        <v/>
      </c>
      <c r="Z216" t="str">
        <f>IF(Y216="","",IF(Y216="[FÓRMULA MANUAL]","",IFERROR(AVERAGEIFS(nNOTA,nNIA,Y216,nCUENTA,1,nASIG,"Análisis"),"")))</f>
        <v/>
      </c>
      <c r="AA216" t="str">
        <f>IF(Y216="","",IF(Y216="[FÓRMULA MANUAL]","",IFERROR(AVERAGEIFS(nNOTA,nNIA,Y216,nCUENTA,1,nASIG,"Orquesta/Banda/Conjunto"),"")))</f>
        <v/>
      </c>
      <c r="AB216" t="str">
        <f>IF(Y216="","",IF(Y216="[FÓRMULA MANUAL]","",IFERROR(AVERAGEIFS(nNOTA,nNIA,Y216,nCUENTA,1,nASIG,"Música de Cámara"),"")))</f>
        <v/>
      </c>
      <c r="AC216" t="str">
        <f>IF(Y216="","",IF(Y216="[FÓRMULA MANUAL]","",IFERROR(SUMPRODUCT((nNIA=Y216)*(nCUENTA=1)*(COUNTIF(CONFIG_ASIGNATURAS!$B$7:$B$27,nASIG)&gt;0)*(nNOTA))/SUMPRODUCT((nNIA=Y216)*(nCUENTA=1)*(COUNTIF(CONFIG_ASIGNATURAS!$B$7:$B$27,nASIG)&gt;0)*1),"")))</f>
        <v/>
      </c>
      <c r="AF216" t="str">
        <f>IF(AE216="","",IF(AE216="[FÓRMULA MANUAL]","",IFERROR(AVERAGEIFS(nNOTA,nNIA,AE216,nCUENTA,1,nASIG,"Análisis"),"")))</f>
        <v/>
      </c>
      <c r="AG216" t="str">
        <f>IF(AE216="","",IF(AE216="[FÓRMULA MANUAL]","",IFERROR(AVERAGEIFS(nNOTA,nNIA,AE216,nCUENTA,1,nASIG,"Orquesta/Banda/Conjunto"),"")))</f>
        <v/>
      </c>
      <c r="AH216" t="str">
        <f>IF(AE216="","",IF(AE216="[FÓRMULA MANUAL]","",IFERROR(AVERAGEIFS(nNOTA,nNIA,AE216,nCUENTA,1,nASIG,"Música de Cámara"),"")))</f>
        <v/>
      </c>
      <c r="AI216" t="str">
        <f>IF(AE216="","",IF(AE216="[FÓRMULA MANUAL]","",IFERROR(SUMPRODUCT((nNIA=AE216)*(nCUENTA=1)*(COUNTIF(CONFIG_ASIGNATURAS!$B$7:$B$27,nASIG)&gt;0)*(nNOTA))/SUMPRODUCT((nNIA=AE216)*(nCUENTA=1)*(COUNTIF(CONFIG_ASIGNATURAS!$B$7:$B$27,nASIG)&gt;0)*1),"")))</f>
        <v/>
      </c>
    </row>
    <row r="217" spans="2:35" x14ac:dyDescent="0.2">
      <c r="B217" t="str">
        <f>IF(A217="","",IF(A217="[FÓRMULA MANUAL]","",IFERROR(AVERAGEIFS(nNOTA,nNIA,A217,nCUENTA,1,nASIG,"Lenguaje Musical"),"")))</f>
        <v/>
      </c>
      <c r="C217" t="str">
        <f>IF(A217="","",IF(A217="[FÓRMULA MANUAL]","",IFERROR(AVERAGEIFS(nNOTA,nNIA,A217,nCUENTA,1,nASIG,"Orquesta/Banda/Conjunto"),"")))</f>
        <v/>
      </c>
      <c r="D217" t="str">
        <f>IF(A217="","",IF(A217="[FÓRMULA MANUAL]","",IFERROR(AVERAGEIFS(nNOTA,nNIA,A217,nCUENTA,1,nASIG,"Conjunto"),"")))</f>
        <v/>
      </c>
      <c r="E217" t="str">
        <f>IF(A217="","",IF(A217="[FÓRMULA MANUAL]","",IFERROR(SUMPRODUCT((nNIA=A217)*(nCUENTA=1)*(COUNTIF(CONFIG_ASIGNATURAS!$B$7:$B$27,nASIG)&gt;0)*(nNOTA))/SUMPRODUCT((nNIA=A217)*(nCUENTA=1)*(COUNTIF(CONFIG_ASIGNATURAS!$B$7:$B$27,nASIG)&gt;0)*1),"")))</f>
        <v/>
      </c>
      <c r="H217" t="str">
        <f>IF(G217="","",IF(G217="[FÓRMULA MANUAL]","",IFERROR(AVERAGEIFS(nNOTA,nNIA,G217,nCUENTA,1,nASIG,"Lenguaje Musical"),"")))</f>
        <v/>
      </c>
      <c r="I217" t="str">
        <f>IF(G217="","",IF(G217="[FÓRMULA MANUAL]","",IFERROR(AVERAGEIFS(nNOTA,nNIA,G217,nCUENTA,1,nASIG,"Orquesta/Banda/Conjunto"),"")))</f>
        <v/>
      </c>
      <c r="J217" t="str">
        <f>IF(G217="","",IF(G217="[FÓRMULA MANUAL]","",IFERROR(AVERAGEIFS(nNOTA,nNIA,G217,nCUENTA,1,nASIG,"Conjunto"),"")))</f>
        <v/>
      </c>
      <c r="K217" t="str">
        <f>IF(G217="","",IF(G217="[FÓRMULA MANUAL]","",IFERROR(SUMPRODUCT((nNIA=G217)*(nCUENTA=1)*(COUNTIF(CONFIG_ASIGNATURAS!$B$7:$B$27,nASIG)&gt;0)*(nNOTA))/SUMPRODUCT((nNIA=G217)*(nCUENTA=1)*(COUNTIF(CONFIG_ASIGNATURAS!$B$7:$B$27,nASIG)&gt;0)*1),"")))</f>
        <v/>
      </c>
      <c r="N217" t="str">
        <f>IF(M217="","",IF(M217="[FÓRMULA MANUAL]","",IFERROR(AVERAGEIFS(nNOTA,nNIA,M217,nCUENTA,1,nASIG,"Armonía"),"")))</f>
        <v/>
      </c>
      <c r="O217" t="str">
        <f>IF(M217="","",IF(M217="[FÓRMULA MANUAL]","",IFERROR(AVERAGEIFS(nNOTA,nNIA,M217,nCUENTA,1,nASIG,"Orquesta/Banda/Conjunto"),"")))</f>
        <v/>
      </c>
      <c r="P217" t="str">
        <f>IF(M217="","",IF(M217="[FÓRMULA MANUAL]","",IFERROR(AVERAGEIFS(nNOTA,nNIA,M217,nCUENTA,1,nASIG,"Música de Cámara"),"")))</f>
        <v/>
      </c>
      <c r="Q217" t="str">
        <f>IF(M217="","",IF(M217="[FÓRMULA MANUAL]","",IFERROR(SUMPRODUCT((nNIA=M217)*(nCUENTA=1)*(COUNTIF(CONFIG_ASIGNATURAS!$B$7:$B$27,nASIG)&gt;0)*(nNOTA))/SUMPRODUCT((nNIA=M217)*(nCUENTA=1)*(COUNTIF(CONFIG_ASIGNATURAS!$B$7:$B$27,nASIG)&gt;0)*1),"")))</f>
        <v/>
      </c>
      <c r="T217" t="str">
        <f>IF(S217="","",IF(S217="[FÓRMULA MANUAL]","",IFERROR(AVERAGEIFS(nNOTA,nNIA,S217,nCUENTA,1,nASIG,"Armonía"),"")))</f>
        <v/>
      </c>
      <c r="U217" t="str">
        <f>IF(S217="","",IF(S217="[FÓRMULA MANUAL]","",IFERROR(AVERAGEIFS(nNOTA,nNIA,S217,nCUENTA,1,nASIG,"Orquesta/Banda/Conjunto"),"")))</f>
        <v/>
      </c>
      <c r="V217" t="str">
        <f>IF(S217="","",IF(S217="[FÓRMULA MANUAL]","",IFERROR(AVERAGEIFS(nNOTA,nNIA,S217,nCUENTA,1,nASIG,"Música de Cámara"),"")))</f>
        <v/>
      </c>
      <c r="W217" t="str">
        <f>IF(S217="","",IF(S217="[FÓRMULA MANUAL]","",IFERROR(SUMPRODUCT((nNIA=S217)*(nCUENTA=1)*(COUNTIF(CONFIG_ASIGNATURAS!$B$7:$B$27,nASIG)&gt;0)*(nNOTA))/SUMPRODUCT((nNIA=S217)*(nCUENTA=1)*(COUNTIF(CONFIG_ASIGNATURAS!$B$7:$B$27,nASIG)&gt;0)*1),"")))</f>
        <v/>
      </c>
      <c r="Z217" t="str">
        <f>IF(Y217="","",IF(Y217="[FÓRMULA MANUAL]","",IFERROR(AVERAGEIFS(nNOTA,nNIA,Y217,nCUENTA,1,nASIG,"Análisis"),"")))</f>
        <v/>
      </c>
      <c r="AA217" t="str">
        <f>IF(Y217="","",IF(Y217="[FÓRMULA MANUAL]","",IFERROR(AVERAGEIFS(nNOTA,nNIA,Y217,nCUENTA,1,nASIG,"Orquesta/Banda/Conjunto"),"")))</f>
        <v/>
      </c>
      <c r="AB217" t="str">
        <f>IF(Y217="","",IF(Y217="[FÓRMULA MANUAL]","",IFERROR(AVERAGEIFS(nNOTA,nNIA,Y217,nCUENTA,1,nASIG,"Música de Cámara"),"")))</f>
        <v/>
      </c>
      <c r="AC217" t="str">
        <f>IF(Y217="","",IF(Y217="[FÓRMULA MANUAL]","",IFERROR(SUMPRODUCT((nNIA=Y217)*(nCUENTA=1)*(COUNTIF(CONFIG_ASIGNATURAS!$B$7:$B$27,nASIG)&gt;0)*(nNOTA))/SUMPRODUCT((nNIA=Y217)*(nCUENTA=1)*(COUNTIF(CONFIG_ASIGNATURAS!$B$7:$B$27,nASIG)&gt;0)*1),"")))</f>
        <v/>
      </c>
      <c r="AF217" t="str">
        <f>IF(AE217="","",IF(AE217="[FÓRMULA MANUAL]","",IFERROR(AVERAGEIFS(nNOTA,nNIA,AE217,nCUENTA,1,nASIG,"Análisis"),"")))</f>
        <v/>
      </c>
      <c r="AG217" t="str">
        <f>IF(AE217="","",IF(AE217="[FÓRMULA MANUAL]","",IFERROR(AVERAGEIFS(nNOTA,nNIA,AE217,nCUENTA,1,nASIG,"Orquesta/Banda/Conjunto"),"")))</f>
        <v/>
      </c>
      <c r="AH217" t="str">
        <f>IF(AE217="","",IF(AE217="[FÓRMULA MANUAL]","",IFERROR(AVERAGEIFS(nNOTA,nNIA,AE217,nCUENTA,1,nASIG,"Música de Cámara"),"")))</f>
        <v/>
      </c>
      <c r="AI217" t="str">
        <f>IF(AE217="","",IF(AE217="[FÓRMULA MANUAL]","",IFERROR(SUMPRODUCT((nNIA=AE217)*(nCUENTA=1)*(COUNTIF(CONFIG_ASIGNATURAS!$B$7:$B$27,nASIG)&gt;0)*(nNOTA))/SUMPRODUCT((nNIA=AE217)*(nCUENTA=1)*(COUNTIF(CONFIG_ASIGNATURAS!$B$7:$B$27,nASIG)&gt;0)*1),"")))</f>
        <v/>
      </c>
    </row>
    <row r="218" spans="2:35" x14ac:dyDescent="0.2">
      <c r="B218" t="str">
        <f>IF(A218="","",IF(A218="[FÓRMULA MANUAL]","",IFERROR(AVERAGEIFS(nNOTA,nNIA,A218,nCUENTA,1,nASIG,"Lenguaje Musical"),"")))</f>
        <v/>
      </c>
      <c r="C218" t="str">
        <f>IF(A218="","",IF(A218="[FÓRMULA MANUAL]","",IFERROR(AVERAGEIFS(nNOTA,nNIA,A218,nCUENTA,1,nASIG,"Orquesta/Banda/Conjunto"),"")))</f>
        <v/>
      </c>
      <c r="D218" t="str">
        <f>IF(A218="","",IF(A218="[FÓRMULA MANUAL]","",IFERROR(AVERAGEIFS(nNOTA,nNIA,A218,nCUENTA,1,nASIG,"Conjunto"),"")))</f>
        <v/>
      </c>
      <c r="E218" t="str">
        <f>IF(A218="","",IF(A218="[FÓRMULA MANUAL]","",IFERROR(SUMPRODUCT((nNIA=A218)*(nCUENTA=1)*(COUNTIF(CONFIG_ASIGNATURAS!$B$7:$B$27,nASIG)&gt;0)*(nNOTA))/SUMPRODUCT((nNIA=A218)*(nCUENTA=1)*(COUNTIF(CONFIG_ASIGNATURAS!$B$7:$B$27,nASIG)&gt;0)*1),"")))</f>
        <v/>
      </c>
      <c r="H218" t="str">
        <f>IF(G218="","",IF(G218="[FÓRMULA MANUAL]","",IFERROR(AVERAGEIFS(nNOTA,nNIA,G218,nCUENTA,1,nASIG,"Lenguaje Musical"),"")))</f>
        <v/>
      </c>
      <c r="I218" t="str">
        <f>IF(G218="","",IF(G218="[FÓRMULA MANUAL]","",IFERROR(AVERAGEIFS(nNOTA,nNIA,G218,nCUENTA,1,nASIG,"Orquesta/Banda/Conjunto"),"")))</f>
        <v/>
      </c>
      <c r="J218" t="str">
        <f>IF(G218="","",IF(G218="[FÓRMULA MANUAL]","",IFERROR(AVERAGEIFS(nNOTA,nNIA,G218,nCUENTA,1,nASIG,"Conjunto"),"")))</f>
        <v/>
      </c>
      <c r="K218" t="str">
        <f>IF(G218="","",IF(G218="[FÓRMULA MANUAL]","",IFERROR(SUMPRODUCT((nNIA=G218)*(nCUENTA=1)*(COUNTIF(CONFIG_ASIGNATURAS!$B$7:$B$27,nASIG)&gt;0)*(nNOTA))/SUMPRODUCT((nNIA=G218)*(nCUENTA=1)*(COUNTIF(CONFIG_ASIGNATURAS!$B$7:$B$27,nASIG)&gt;0)*1),"")))</f>
        <v/>
      </c>
      <c r="N218" t="str">
        <f>IF(M218="","",IF(M218="[FÓRMULA MANUAL]","",IFERROR(AVERAGEIFS(nNOTA,nNIA,M218,nCUENTA,1,nASIG,"Armonía"),"")))</f>
        <v/>
      </c>
      <c r="O218" t="str">
        <f>IF(M218="","",IF(M218="[FÓRMULA MANUAL]","",IFERROR(AVERAGEIFS(nNOTA,nNIA,M218,nCUENTA,1,nASIG,"Orquesta/Banda/Conjunto"),"")))</f>
        <v/>
      </c>
      <c r="P218" t="str">
        <f>IF(M218="","",IF(M218="[FÓRMULA MANUAL]","",IFERROR(AVERAGEIFS(nNOTA,nNIA,M218,nCUENTA,1,nASIG,"Música de Cámara"),"")))</f>
        <v/>
      </c>
      <c r="Q218" t="str">
        <f>IF(M218="","",IF(M218="[FÓRMULA MANUAL]","",IFERROR(SUMPRODUCT((nNIA=M218)*(nCUENTA=1)*(COUNTIF(CONFIG_ASIGNATURAS!$B$7:$B$27,nASIG)&gt;0)*(nNOTA))/SUMPRODUCT((nNIA=M218)*(nCUENTA=1)*(COUNTIF(CONFIG_ASIGNATURAS!$B$7:$B$27,nASIG)&gt;0)*1),"")))</f>
        <v/>
      </c>
      <c r="T218" t="str">
        <f>IF(S218="","",IF(S218="[FÓRMULA MANUAL]","",IFERROR(AVERAGEIFS(nNOTA,nNIA,S218,nCUENTA,1,nASIG,"Armonía"),"")))</f>
        <v/>
      </c>
      <c r="U218" t="str">
        <f>IF(S218="","",IF(S218="[FÓRMULA MANUAL]","",IFERROR(AVERAGEIFS(nNOTA,nNIA,S218,nCUENTA,1,nASIG,"Orquesta/Banda/Conjunto"),"")))</f>
        <v/>
      </c>
      <c r="V218" t="str">
        <f>IF(S218="","",IF(S218="[FÓRMULA MANUAL]","",IFERROR(AVERAGEIFS(nNOTA,nNIA,S218,nCUENTA,1,nASIG,"Música de Cámara"),"")))</f>
        <v/>
      </c>
      <c r="W218" t="str">
        <f>IF(S218="","",IF(S218="[FÓRMULA MANUAL]","",IFERROR(SUMPRODUCT((nNIA=S218)*(nCUENTA=1)*(COUNTIF(CONFIG_ASIGNATURAS!$B$7:$B$27,nASIG)&gt;0)*(nNOTA))/SUMPRODUCT((nNIA=S218)*(nCUENTA=1)*(COUNTIF(CONFIG_ASIGNATURAS!$B$7:$B$27,nASIG)&gt;0)*1),"")))</f>
        <v/>
      </c>
      <c r="Z218" t="str">
        <f>IF(Y218="","",IF(Y218="[FÓRMULA MANUAL]","",IFERROR(AVERAGEIFS(nNOTA,nNIA,Y218,nCUENTA,1,nASIG,"Análisis"),"")))</f>
        <v/>
      </c>
      <c r="AA218" t="str">
        <f>IF(Y218="","",IF(Y218="[FÓRMULA MANUAL]","",IFERROR(AVERAGEIFS(nNOTA,nNIA,Y218,nCUENTA,1,nASIG,"Orquesta/Banda/Conjunto"),"")))</f>
        <v/>
      </c>
      <c r="AB218" t="str">
        <f>IF(Y218="","",IF(Y218="[FÓRMULA MANUAL]","",IFERROR(AVERAGEIFS(nNOTA,nNIA,Y218,nCUENTA,1,nASIG,"Música de Cámara"),"")))</f>
        <v/>
      </c>
      <c r="AC218" t="str">
        <f>IF(Y218="","",IF(Y218="[FÓRMULA MANUAL]","",IFERROR(SUMPRODUCT((nNIA=Y218)*(nCUENTA=1)*(COUNTIF(CONFIG_ASIGNATURAS!$B$7:$B$27,nASIG)&gt;0)*(nNOTA))/SUMPRODUCT((nNIA=Y218)*(nCUENTA=1)*(COUNTIF(CONFIG_ASIGNATURAS!$B$7:$B$27,nASIG)&gt;0)*1),"")))</f>
        <v/>
      </c>
      <c r="AF218" t="str">
        <f>IF(AE218="","",IF(AE218="[FÓRMULA MANUAL]","",IFERROR(AVERAGEIFS(nNOTA,nNIA,AE218,nCUENTA,1,nASIG,"Análisis"),"")))</f>
        <v/>
      </c>
      <c r="AG218" t="str">
        <f>IF(AE218="","",IF(AE218="[FÓRMULA MANUAL]","",IFERROR(AVERAGEIFS(nNOTA,nNIA,AE218,nCUENTA,1,nASIG,"Orquesta/Banda/Conjunto"),"")))</f>
        <v/>
      </c>
      <c r="AH218" t="str">
        <f>IF(AE218="","",IF(AE218="[FÓRMULA MANUAL]","",IFERROR(AVERAGEIFS(nNOTA,nNIA,AE218,nCUENTA,1,nASIG,"Música de Cámara"),"")))</f>
        <v/>
      </c>
      <c r="AI218" t="str">
        <f>IF(AE218="","",IF(AE218="[FÓRMULA MANUAL]","",IFERROR(SUMPRODUCT((nNIA=AE218)*(nCUENTA=1)*(COUNTIF(CONFIG_ASIGNATURAS!$B$7:$B$27,nASIG)&gt;0)*(nNOTA))/SUMPRODUCT((nNIA=AE218)*(nCUENTA=1)*(COUNTIF(CONFIG_ASIGNATURAS!$B$7:$B$27,nASIG)&gt;0)*1),"")))</f>
        <v/>
      </c>
    </row>
    <row r="219" spans="2:35" x14ac:dyDescent="0.2">
      <c r="B219" t="str">
        <f>IF(A219="","",IF(A219="[FÓRMULA MANUAL]","",IFERROR(AVERAGEIFS(nNOTA,nNIA,A219,nCUENTA,1,nASIG,"Lenguaje Musical"),"")))</f>
        <v/>
      </c>
      <c r="C219" t="str">
        <f>IF(A219="","",IF(A219="[FÓRMULA MANUAL]","",IFERROR(AVERAGEIFS(nNOTA,nNIA,A219,nCUENTA,1,nASIG,"Orquesta/Banda/Conjunto"),"")))</f>
        <v/>
      </c>
      <c r="D219" t="str">
        <f>IF(A219="","",IF(A219="[FÓRMULA MANUAL]","",IFERROR(AVERAGEIFS(nNOTA,nNIA,A219,nCUENTA,1,nASIG,"Conjunto"),"")))</f>
        <v/>
      </c>
      <c r="E219" t="str">
        <f>IF(A219="","",IF(A219="[FÓRMULA MANUAL]","",IFERROR(SUMPRODUCT((nNIA=A219)*(nCUENTA=1)*(COUNTIF(CONFIG_ASIGNATURAS!$B$7:$B$27,nASIG)&gt;0)*(nNOTA))/SUMPRODUCT((nNIA=A219)*(nCUENTA=1)*(COUNTIF(CONFIG_ASIGNATURAS!$B$7:$B$27,nASIG)&gt;0)*1),"")))</f>
        <v/>
      </c>
      <c r="H219" t="str">
        <f>IF(G219="","",IF(G219="[FÓRMULA MANUAL]","",IFERROR(AVERAGEIFS(nNOTA,nNIA,G219,nCUENTA,1,nASIG,"Lenguaje Musical"),"")))</f>
        <v/>
      </c>
      <c r="I219" t="str">
        <f>IF(G219="","",IF(G219="[FÓRMULA MANUAL]","",IFERROR(AVERAGEIFS(nNOTA,nNIA,G219,nCUENTA,1,nASIG,"Orquesta/Banda/Conjunto"),"")))</f>
        <v/>
      </c>
      <c r="J219" t="str">
        <f>IF(G219="","",IF(G219="[FÓRMULA MANUAL]","",IFERROR(AVERAGEIFS(nNOTA,nNIA,G219,nCUENTA,1,nASIG,"Conjunto"),"")))</f>
        <v/>
      </c>
      <c r="K219" t="str">
        <f>IF(G219="","",IF(G219="[FÓRMULA MANUAL]","",IFERROR(SUMPRODUCT((nNIA=G219)*(nCUENTA=1)*(COUNTIF(CONFIG_ASIGNATURAS!$B$7:$B$27,nASIG)&gt;0)*(nNOTA))/SUMPRODUCT((nNIA=G219)*(nCUENTA=1)*(COUNTIF(CONFIG_ASIGNATURAS!$B$7:$B$27,nASIG)&gt;0)*1),"")))</f>
        <v/>
      </c>
      <c r="N219" t="str">
        <f>IF(M219="","",IF(M219="[FÓRMULA MANUAL]","",IFERROR(AVERAGEIFS(nNOTA,nNIA,M219,nCUENTA,1,nASIG,"Armonía"),"")))</f>
        <v/>
      </c>
      <c r="O219" t="str">
        <f>IF(M219="","",IF(M219="[FÓRMULA MANUAL]","",IFERROR(AVERAGEIFS(nNOTA,nNIA,M219,nCUENTA,1,nASIG,"Orquesta/Banda/Conjunto"),"")))</f>
        <v/>
      </c>
      <c r="P219" t="str">
        <f>IF(M219="","",IF(M219="[FÓRMULA MANUAL]","",IFERROR(AVERAGEIFS(nNOTA,nNIA,M219,nCUENTA,1,nASIG,"Música de Cámara"),"")))</f>
        <v/>
      </c>
      <c r="Q219" t="str">
        <f>IF(M219="","",IF(M219="[FÓRMULA MANUAL]","",IFERROR(SUMPRODUCT((nNIA=M219)*(nCUENTA=1)*(COUNTIF(CONFIG_ASIGNATURAS!$B$7:$B$27,nASIG)&gt;0)*(nNOTA))/SUMPRODUCT((nNIA=M219)*(nCUENTA=1)*(COUNTIF(CONFIG_ASIGNATURAS!$B$7:$B$27,nASIG)&gt;0)*1),"")))</f>
        <v/>
      </c>
      <c r="T219" t="str">
        <f>IF(S219="","",IF(S219="[FÓRMULA MANUAL]","",IFERROR(AVERAGEIFS(nNOTA,nNIA,S219,nCUENTA,1,nASIG,"Armonía"),"")))</f>
        <v/>
      </c>
      <c r="U219" t="str">
        <f>IF(S219="","",IF(S219="[FÓRMULA MANUAL]","",IFERROR(AVERAGEIFS(nNOTA,nNIA,S219,nCUENTA,1,nASIG,"Orquesta/Banda/Conjunto"),"")))</f>
        <v/>
      </c>
      <c r="V219" t="str">
        <f>IF(S219="","",IF(S219="[FÓRMULA MANUAL]","",IFERROR(AVERAGEIFS(nNOTA,nNIA,S219,nCUENTA,1,nASIG,"Música de Cámara"),"")))</f>
        <v/>
      </c>
      <c r="W219" t="str">
        <f>IF(S219="","",IF(S219="[FÓRMULA MANUAL]","",IFERROR(SUMPRODUCT((nNIA=S219)*(nCUENTA=1)*(COUNTIF(CONFIG_ASIGNATURAS!$B$7:$B$27,nASIG)&gt;0)*(nNOTA))/SUMPRODUCT((nNIA=S219)*(nCUENTA=1)*(COUNTIF(CONFIG_ASIGNATURAS!$B$7:$B$27,nASIG)&gt;0)*1),"")))</f>
        <v/>
      </c>
      <c r="Z219" t="str">
        <f>IF(Y219="","",IF(Y219="[FÓRMULA MANUAL]","",IFERROR(AVERAGEIFS(nNOTA,nNIA,Y219,nCUENTA,1,nASIG,"Análisis"),"")))</f>
        <v/>
      </c>
      <c r="AA219" t="str">
        <f>IF(Y219="","",IF(Y219="[FÓRMULA MANUAL]","",IFERROR(AVERAGEIFS(nNOTA,nNIA,Y219,nCUENTA,1,nASIG,"Orquesta/Banda/Conjunto"),"")))</f>
        <v/>
      </c>
      <c r="AB219" t="str">
        <f>IF(Y219="","",IF(Y219="[FÓRMULA MANUAL]","",IFERROR(AVERAGEIFS(nNOTA,nNIA,Y219,nCUENTA,1,nASIG,"Música de Cámara"),"")))</f>
        <v/>
      </c>
      <c r="AC219" t="str">
        <f>IF(Y219="","",IF(Y219="[FÓRMULA MANUAL]","",IFERROR(SUMPRODUCT((nNIA=Y219)*(nCUENTA=1)*(COUNTIF(CONFIG_ASIGNATURAS!$B$7:$B$27,nASIG)&gt;0)*(nNOTA))/SUMPRODUCT((nNIA=Y219)*(nCUENTA=1)*(COUNTIF(CONFIG_ASIGNATURAS!$B$7:$B$27,nASIG)&gt;0)*1),"")))</f>
        <v/>
      </c>
      <c r="AF219" t="str">
        <f>IF(AE219="","",IF(AE219="[FÓRMULA MANUAL]","",IFERROR(AVERAGEIFS(nNOTA,nNIA,AE219,nCUENTA,1,nASIG,"Análisis"),"")))</f>
        <v/>
      </c>
      <c r="AG219" t="str">
        <f>IF(AE219="","",IF(AE219="[FÓRMULA MANUAL]","",IFERROR(AVERAGEIFS(nNOTA,nNIA,AE219,nCUENTA,1,nASIG,"Orquesta/Banda/Conjunto"),"")))</f>
        <v/>
      </c>
      <c r="AH219" t="str">
        <f>IF(AE219="","",IF(AE219="[FÓRMULA MANUAL]","",IFERROR(AVERAGEIFS(nNOTA,nNIA,AE219,nCUENTA,1,nASIG,"Música de Cámara"),"")))</f>
        <v/>
      </c>
      <c r="AI219" t="str">
        <f>IF(AE219="","",IF(AE219="[FÓRMULA MANUAL]","",IFERROR(SUMPRODUCT((nNIA=AE219)*(nCUENTA=1)*(COUNTIF(CONFIG_ASIGNATURAS!$B$7:$B$27,nASIG)&gt;0)*(nNOTA))/SUMPRODUCT((nNIA=AE219)*(nCUENTA=1)*(COUNTIF(CONFIG_ASIGNATURAS!$B$7:$B$27,nASIG)&gt;0)*1),"")))</f>
        <v/>
      </c>
    </row>
    <row r="220" spans="2:35" x14ac:dyDescent="0.2">
      <c r="B220" t="str">
        <f>IF(A220="","",IF(A220="[FÓRMULA MANUAL]","",IFERROR(AVERAGEIFS(nNOTA,nNIA,A220,nCUENTA,1,nASIG,"Lenguaje Musical"),"")))</f>
        <v/>
      </c>
      <c r="C220" t="str">
        <f>IF(A220="","",IF(A220="[FÓRMULA MANUAL]","",IFERROR(AVERAGEIFS(nNOTA,nNIA,A220,nCUENTA,1,nASIG,"Orquesta/Banda/Conjunto"),"")))</f>
        <v/>
      </c>
      <c r="D220" t="str">
        <f>IF(A220="","",IF(A220="[FÓRMULA MANUAL]","",IFERROR(AVERAGEIFS(nNOTA,nNIA,A220,nCUENTA,1,nASIG,"Conjunto"),"")))</f>
        <v/>
      </c>
      <c r="E220" t="str">
        <f>IF(A220="","",IF(A220="[FÓRMULA MANUAL]","",IFERROR(SUMPRODUCT((nNIA=A220)*(nCUENTA=1)*(COUNTIF(CONFIG_ASIGNATURAS!$B$7:$B$27,nASIG)&gt;0)*(nNOTA))/SUMPRODUCT((nNIA=A220)*(nCUENTA=1)*(COUNTIF(CONFIG_ASIGNATURAS!$B$7:$B$27,nASIG)&gt;0)*1),"")))</f>
        <v/>
      </c>
      <c r="H220" t="str">
        <f>IF(G220="","",IF(G220="[FÓRMULA MANUAL]","",IFERROR(AVERAGEIFS(nNOTA,nNIA,G220,nCUENTA,1,nASIG,"Lenguaje Musical"),"")))</f>
        <v/>
      </c>
      <c r="I220" t="str">
        <f>IF(G220="","",IF(G220="[FÓRMULA MANUAL]","",IFERROR(AVERAGEIFS(nNOTA,nNIA,G220,nCUENTA,1,nASIG,"Orquesta/Banda/Conjunto"),"")))</f>
        <v/>
      </c>
      <c r="J220" t="str">
        <f>IF(G220="","",IF(G220="[FÓRMULA MANUAL]","",IFERROR(AVERAGEIFS(nNOTA,nNIA,G220,nCUENTA,1,nASIG,"Conjunto"),"")))</f>
        <v/>
      </c>
      <c r="K220" t="str">
        <f>IF(G220="","",IF(G220="[FÓRMULA MANUAL]","",IFERROR(SUMPRODUCT((nNIA=G220)*(nCUENTA=1)*(COUNTIF(CONFIG_ASIGNATURAS!$B$7:$B$27,nASIG)&gt;0)*(nNOTA))/SUMPRODUCT((nNIA=G220)*(nCUENTA=1)*(COUNTIF(CONFIG_ASIGNATURAS!$B$7:$B$27,nASIG)&gt;0)*1),"")))</f>
        <v/>
      </c>
      <c r="N220" t="str">
        <f>IF(M220="","",IF(M220="[FÓRMULA MANUAL]","",IFERROR(AVERAGEIFS(nNOTA,nNIA,M220,nCUENTA,1,nASIG,"Armonía"),"")))</f>
        <v/>
      </c>
      <c r="O220" t="str">
        <f>IF(M220="","",IF(M220="[FÓRMULA MANUAL]","",IFERROR(AVERAGEIFS(nNOTA,nNIA,M220,nCUENTA,1,nASIG,"Orquesta/Banda/Conjunto"),"")))</f>
        <v/>
      </c>
      <c r="P220" t="str">
        <f>IF(M220="","",IF(M220="[FÓRMULA MANUAL]","",IFERROR(AVERAGEIFS(nNOTA,nNIA,M220,nCUENTA,1,nASIG,"Música de Cámara"),"")))</f>
        <v/>
      </c>
      <c r="Q220" t="str">
        <f>IF(M220="","",IF(M220="[FÓRMULA MANUAL]","",IFERROR(SUMPRODUCT((nNIA=M220)*(nCUENTA=1)*(COUNTIF(CONFIG_ASIGNATURAS!$B$7:$B$27,nASIG)&gt;0)*(nNOTA))/SUMPRODUCT((nNIA=M220)*(nCUENTA=1)*(COUNTIF(CONFIG_ASIGNATURAS!$B$7:$B$27,nASIG)&gt;0)*1),"")))</f>
        <v/>
      </c>
      <c r="T220" t="str">
        <f>IF(S220="","",IF(S220="[FÓRMULA MANUAL]","",IFERROR(AVERAGEIFS(nNOTA,nNIA,S220,nCUENTA,1,nASIG,"Armonía"),"")))</f>
        <v/>
      </c>
      <c r="U220" t="str">
        <f>IF(S220="","",IF(S220="[FÓRMULA MANUAL]","",IFERROR(AVERAGEIFS(nNOTA,nNIA,S220,nCUENTA,1,nASIG,"Orquesta/Banda/Conjunto"),"")))</f>
        <v/>
      </c>
      <c r="V220" t="str">
        <f>IF(S220="","",IF(S220="[FÓRMULA MANUAL]","",IFERROR(AVERAGEIFS(nNOTA,nNIA,S220,nCUENTA,1,nASIG,"Música de Cámara"),"")))</f>
        <v/>
      </c>
      <c r="W220" t="str">
        <f>IF(S220="","",IF(S220="[FÓRMULA MANUAL]","",IFERROR(SUMPRODUCT((nNIA=S220)*(nCUENTA=1)*(COUNTIF(CONFIG_ASIGNATURAS!$B$7:$B$27,nASIG)&gt;0)*(nNOTA))/SUMPRODUCT((nNIA=S220)*(nCUENTA=1)*(COUNTIF(CONFIG_ASIGNATURAS!$B$7:$B$27,nASIG)&gt;0)*1),"")))</f>
        <v/>
      </c>
      <c r="Z220" t="str">
        <f>IF(Y220="","",IF(Y220="[FÓRMULA MANUAL]","",IFERROR(AVERAGEIFS(nNOTA,nNIA,Y220,nCUENTA,1,nASIG,"Análisis"),"")))</f>
        <v/>
      </c>
      <c r="AA220" t="str">
        <f>IF(Y220="","",IF(Y220="[FÓRMULA MANUAL]","",IFERROR(AVERAGEIFS(nNOTA,nNIA,Y220,nCUENTA,1,nASIG,"Orquesta/Banda/Conjunto"),"")))</f>
        <v/>
      </c>
      <c r="AB220" t="str">
        <f>IF(Y220="","",IF(Y220="[FÓRMULA MANUAL]","",IFERROR(AVERAGEIFS(nNOTA,nNIA,Y220,nCUENTA,1,nASIG,"Música de Cámara"),"")))</f>
        <v/>
      </c>
      <c r="AC220" t="str">
        <f>IF(Y220="","",IF(Y220="[FÓRMULA MANUAL]","",IFERROR(SUMPRODUCT((nNIA=Y220)*(nCUENTA=1)*(COUNTIF(CONFIG_ASIGNATURAS!$B$7:$B$27,nASIG)&gt;0)*(nNOTA))/SUMPRODUCT((nNIA=Y220)*(nCUENTA=1)*(COUNTIF(CONFIG_ASIGNATURAS!$B$7:$B$27,nASIG)&gt;0)*1),"")))</f>
        <v/>
      </c>
      <c r="AF220" t="str">
        <f>IF(AE220="","",IF(AE220="[FÓRMULA MANUAL]","",IFERROR(AVERAGEIFS(nNOTA,nNIA,AE220,nCUENTA,1,nASIG,"Análisis"),"")))</f>
        <v/>
      </c>
      <c r="AG220" t="str">
        <f>IF(AE220="","",IF(AE220="[FÓRMULA MANUAL]","",IFERROR(AVERAGEIFS(nNOTA,nNIA,AE220,nCUENTA,1,nASIG,"Orquesta/Banda/Conjunto"),"")))</f>
        <v/>
      </c>
      <c r="AH220" t="str">
        <f>IF(AE220="","",IF(AE220="[FÓRMULA MANUAL]","",IFERROR(AVERAGEIFS(nNOTA,nNIA,AE220,nCUENTA,1,nASIG,"Música de Cámara"),"")))</f>
        <v/>
      </c>
      <c r="AI220" t="str">
        <f>IF(AE220="","",IF(AE220="[FÓRMULA MANUAL]","",IFERROR(SUMPRODUCT((nNIA=AE220)*(nCUENTA=1)*(COUNTIF(CONFIG_ASIGNATURAS!$B$7:$B$27,nASIG)&gt;0)*(nNOTA))/SUMPRODUCT((nNIA=AE220)*(nCUENTA=1)*(COUNTIF(CONFIG_ASIGNATURAS!$B$7:$B$27,nASIG)&gt;0)*1),"")))</f>
        <v/>
      </c>
    </row>
    <row r="221" spans="2:35" x14ac:dyDescent="0.2">
      <c r="B221" t="str">
        <f>IF(A221="","",IF(A221="[FÓRMULA MANUAL]","",IFERROR(AVERAGEIFS(nNOTA,nNIA,A221,nCUENTA,1,nASIG,"Lenguaje Musical"),"")))</f>
        <v/>
      </c>
      <c r="C221" t="str">
        <f>IF(A221="","",IF(A221="[FÓRMULA MANUAL]","",IFERROR(AVERAGEIFS(nNOTA,nNIA,A221,nCUENTA,1,nASIG,"Orquesta/Banda/Conjunto"),"")))</f>
        <v/>
      </c>
      <c r="D221" t="str">
        <f>IF(A221="","",IF(A221="[FÓRMULA MANUAL]","",IFERROR(AVERAGEIFS(nNOTA,nNIA,A221,nCUENTA,1,nASIG,"Conjunto"),"")))</f>
        <v/>
      </c>
      <c r="E221" t="str">
        <f>IF(A221="","",IF(A221="[FÓRMULA MANUAL]","",IFERROR(SUMPRODUCT((nNIA=A221)*(nCUENTA=1)*(COUNTIF(CONFIG_ASIGNATURAS!$B$7:$B$27,nASIG)&gt;0)*(nNOTA))/SUMPRODUCT((nNIA=A221)*(nCUENTA=1)*(COUNTIF(CONFIG_ASIGNATURAS!$B$7:$B$27,nASIG)&gt;0)*1),"")))</f>
        <v/>
      </c>
      <c r="H221" t="str">
        <f>IF(G221="","",IF(G221="[FÓRMULA MANUAL]","",IFERROR(AVERAGEIFS(nNOTA,nNIA,G221,nCUENTA,1,nASIG,"Lenguaje Musical"),"")))</f>
        <v/>
      </c>
      <c r="I221" t="str">
        <f>IF(G221="","",IF(G221="[FÓRMULA MANUAL]","",IFERROR(AVERAGEIFS(nNOTA,nNIA,G221,nCUENTA,1,nASIG,"Orquesta/Banda/Conjunto"),"")))</f>
        <v/>
      </c>
      <c r="J221" t="str">
        <f>IF(G221="","",IF(G221="[FÓRMULA MANUAL]","",IFERROR(AVERAGEIFS(nNOTA,nNIA,G221,nCUENTA,1,nASIG,"Conjunto"),"")))</f>
        <v/>
      </c>
      <c r="K221" t="str">
        <f>IF(G221="","",IF(G221="[FÓRMULA MANUAL]","",IFERROR(SUMPRODUCT((nNIA=G221)*(nCUENTA=1)*(COUNTIF(CONFIG_ASIGNATURAS!$B$7:$B$27,nASIG)&gt;0)*(nNOTA))/SUMPRODUCT((nNIA=G221)*(nCUENTA=1)*(COUNTIF(CONFIG_ASIGNATURAS!$B$7:$B$27,nASIG)&gt;0)*1),"")))</f>
        <v/>
      </c>
      <c r="N221" t="str">
        <f>IF(M221="","",IF(M221="[FÓRMULA MANUAL]","",IFERROR(AVERAGEIFS(nNOTA,nNIA,M221,nCUENTA,1,nASIG,"Armonía"),"")))</f>
        <v/>
      </c>
      <c r="O221" t="str">
        <f>IF(M221="","",IF(M221="[FÓRMULA MANUAL]","",IFERROR(AVERAGEIFS(nNOTA,nNIA,M221,nCUENTA,1,nASIG,"Orquesta/Banda/Conjunto"),"")))</f>
        <v/>
      </c>
      <c r="P221" t="str">
        <f>IF(M221="","",IF(M221="[FÓRMULA MANUAL]","",IFERROR(AVERAGEIFS(nNOTA,nNIA,M221,nCUENTA,1,nASIG,"Música de Cámara"),"")))</f>
        <v/>
      </c>
      <c r="Q221" t="str">
        <f>IF(M221="","",IF(M221="[FÓRMULA MANUAL]","",IFERROR(SUMPRODUCT((nNIA=M221)*(nCUENTA=1)*(COUNTIF(CONFIG_ASIGNATURAS!$B$7:$B$27,nASIG)&gt;0)*(nNOTA))/SUMPRODUCT((nNIA=M221)*(nCUENTA=1)*(COUNTIF(CONFIG_ASIGNATURAS!$B$7:$B$27,nASIG)&gt;0)*1),"")))</f>
        <v/>
      </c>
      <c r="T221" t="str">
        <f>IF(S221="","",IF(S221="[FÓRMULA MANUAL]","",IFERROR(AVERAGEIFS(nNOTA,nNIA,S221,nCUENTA,1,nASIG,"Armonía"),"")))</f>
        <v/>
      </c>
      <c r="U221" t="str">
        <f>IF(S221="","",IF(S221="[FÓRMULA MANUAL]","",IFERROR(AVERAGEIFS(nNOTA,nNIA,S221,nCUENTA,1,nASIG,"Orquesta/Banda/Conjunto"),"")))</f>
        <v/>
      </c>
      <c r="V221" t="str">
        <f>IF(S221="","",IF(S221="[FÓRMULA MANUAL]","",IFERROR(AVERAGEIFS(nNOTA,nNIA,S221,nCUENTA,1,nASIG,"Música de Cámara"),"")))</f>
        <v/>
      </c>
      <c r="W221" t="str">
        <f>IF(S221="","",IF(S221="[FÓRMULA MANUAL]","",IFERROR(SUMPRODUCT((nNIA=S221)*(nCUENTA=1)*(COUNTIF(CONFIG_ASIGNATURAS!$B$7:$B$27,nASIG)&gt;0)*(nNOTA))/SUMPRODUCT((nNIA=S221)*(nCUENTA=1)*(COUNTIF(CONFIG_ASIGNATURAS!$B$7:$B$27,nASIG)&gt;0)*1),"")))</f>
        <v/>
      </c>
      <c r="Z221" t="str">
        <f>IF(Y221="","",IF(Y221="[FÓRMULA MANUAL]","",IFERROR(AVERAGEIFS(nNOTA,nNIA,Y221,nCUENTA,1,nASIG,"Análisis"),"")))</f>
        <v/>
      </c>
      <c r="AA221" t="str">
        <f>IF(Y221="","",IF(Y221="[FÓRMULA MANUAL]","",IFERROR(AVERAGEIFS(nNOTA,nNIA,Y221,nCUENTA,1,nASIG,"Orquesta/Banda/Conjunto"),"")))</f>
        <v/>
      </c>
      <c r="AB221" t="str">
        <f>IF(Y221="","",IF(Y221="[FÓRMULA MANUAL]","",IFERROR(AVERAGEIFS(nNOTA,nNIA,Y221,nCUENTA,1,nASIG,"Música de Cámara"),"")))</f>
        <v/>
      </c>
      <c r="AC221" t="str">
        <f>IF(Y221="","",IF(Y221="[FÓRMULA MANUAL]","",IFERROR(SUMPRODUCT((nNIA=Y221)*(nCUENTA=1)*(COUNTIF(CONFIG_ASIGNATURAS!$B$7:$B$27,nASIG)&gt;0)*(nNOTA))/SUMPRODUCT((nNIA=Y221)*(nCUENTA=1)*(COUNTIF(CONFIG_ASIGNATURAS!$B$7:$B$27,nASIG)&gt;0)*1),"")))</f>
        <v/>
      </c>
      <c r="AF221" t="str">
        <f>IF(AE221="","",IF(AE221="[FÓRMULA MANUAL]","",IFERROR(AVERAGEIFS(nNOTA,nNIA,AE221,nCUENTA,1,nASIG,"Análisis"),"")))</f>
        <v/>
      </c>
      <c r="AG221" t="str">
        <f>IF(AE221="","",IF(AE221="[FÓRMULA MANUAL]","",IFERROR(AVERAGEIFS(nNOTA,nNIA,AE221,nCUENTA,1,nASIG,"Orquesta/Banda/Conjunto"),"")))</f>
        <v/>
      </c>
      <c r="AH221" t="str">
        <f>IF(AE221="","",IF(AE221="[FÓRMULA MANUAL]","",IFERROR(AVERAGEIFS(nNOTA,nNIA,AE221,nCUENTA,1,nASIG,"Música de Cámara"),"")))</f>
        <v/>
      </c>
      <c r="AI221" t="str">
        <f>IF(AE221="","",IF(AE221="[FÓRMULA MANUAL]","",IFERROR(SUMPRODUCT((nNIA=AE221)*(nCUENTA=1)*(COUNTIF(CONFIG_ASIGNATURAS!$B$7:$B$27,nASIG)&gt;0)*(nNOTA))/SUMPRODUCT((nNIA=AE221)*(nCUENTA=1)*(COUNTIF(CONFIG_ASIGNATURAS!$B$7:$B$27,nASIG)&gt;0)*1),"")))</f>
        <v/>
      </c>
    </row>
    <row r="222" spans="2:35" x14ac:dyDescent="0.2">
      <c r="B222" t="str">
        <f>IF(A222="","",IF(A222="[FÓRMULA MANUAL]","",IFERROR(AVERAGEIFS(nNOTA,nNIA,A222,nCUENTA,1,nASIG,"Lenguaje Musical"),"")))</f>
        <v/>
      </c>
      <c r="C222" t="str">
        <f>IF(A222="","",IF(A222="[FÓRMULA MANUAL]","",IFERROR(AVERAGEIFS(nNOTA,nNIA,A222,nCUENTA,1,nASIG,"Orquesta/Banda/Conjunto"),"")))</f>
        <v/>
      </c>
      <c r="D222" t="str">
        <f>IF(A222="","",IF(A222="[FÓRMULA MANUAL]","",IFERROR(AVERAGEIFS(nNOTA,nNIA,A222,nCUENTA,1,nASIG,"Conjunto"),"")))</f>
        <v/>
      </c>
      <c r="E222" t="str">
        <f>IF(A222="","",IF(A222="[FÓRMULA MANUAL]","",IFERROR(SUMPRODUCT((nNIA=A222)*(nCUENTA=1)*(COUNTIF(CONFIG_ASIGNATURAS!$B$7:$B$27,nASIG)&gt;0)*(nNOTA))/SUMPRODUCT((nNIA=A222)*(nCUENTA=1)*(COUNTIF(CONFIG_ASIGNATURAS!$B$7:$B$27,nASIG)&gt;0)*1),"")))</f>
        <v/>
      </c>
      <c r="H222" t="str">
        <f>IF(G222="","",IF(G222="[FÓRMULA MANUAL]","",IFERROR(AVERAGEIFS(nNOTA,nNIA,G222,nCUENTA,1,nASIG,"Lenguaje Musical"),"")))</f>
        <v/>
      </c>
      <c r="I222" t="str">
        <f>IF(G222="","",IF(G222="[FÓRMULA MANUAL]","",IFERROR(AVERAGEIFS(nNOTA,nNIA,G222,nCUENTA,1,nASIG,"Orquesta/Banda/Conjunto"),"")))</f>
        <v/>
      </c>
      <c r="J222" t="str">
        <f>IF(G222="","",IF(G222="[FÓRMULA MANUAL]","",IFERROR(AVERAGEIFS(nNOTA,nNIA,G222,nCUENTA,1,nASIG,"Conjunto"),"")))</f>
        <v/>
      </c>
      <c r="K222" t="str">
        <f>IF(G222="","",IF(G222="[FÓRMULA MANUAL]","",IFERROR(SUMPRODUCT((nNIA=G222)*(nCUENTA=1)*(COUNTIF(CONFIG_ASIGNATURAS!$B$7:$B$27,nASIG)&gt;0)*(nNOTA))/SUMPRODUCT((nNIA=G222)*(nCUENTA=1)*(COUNTIF(CONFIG_ASIGNATURAS!$B$7:$B$27,nASIG)&gt;0)*1),"")))</f>
        <v/>
      </c>
      <c r="N222" t="str">
        <f>IF(M222="","",IF(M222="[FÓRMULA MANUAL]","",IFERROR(AVERAGEIFS(nNOTA,nNIA,M222,nCUENTA,1,nASIG,"Armonía"),"")))</f>
        <v/>
      </c>
      <c r="O222" t="str">
        <f>IF(M222="","",IF(M222="[FÓRMULA MANUAL]","",IFERROR(AVERAGEIFS(nNOTA,nNIA,M222,nCUENTA,1,nASIG,"Orquesta/Banda/Conjunto"),"")))</f>
        <v/>
      </c>
      <c r="P222" t="str">
        <f>IF(M222="","",IF(M222="[FÓRMULA MANUAL]","",IFERROR(AVERAGEIFS(nNOTA,nNIA,M222,nCUENTA,1,nASIG,"Música de Cámara"),"")))</f>
        <v/>
      </c>
      <c r="Q222" t="str">
        <f>IF(M222="","",IF(M222="[FÓRMULA MANUAL]","",IFERROR(SUMPRODUCT((nNIA=M222)*(nCUENTA=1)*(COUNTIF(CONFIG_ASIGNATURAS!$B$7:$B$27,nASIG)&gt;0)*(nNOTA))/SUMPRODUCT((nNIA=M222)*(nCUENTA=1)*(COUNTIF(CONFIG_ASIGNATURAS!$B$7:$B$27,nASIG)&gt;0)*1),"")))</f>
        <v/>
      </c>
      <c r="T222" t="str">
        <f>IF(S222="","",IF(S222="[FÓRMULA MANUAL]","",IFERROR(AVERAGEIFS(nNOTA,nNIA,S222,nCUENTA,1,nASIG,"Armonía"),"")))</f>
        <v/>
      </c>
      <c r="U222" t="str">
        <f>IF(S222="","",IF(S222="[FÓRMULA MANUAL]","",IFERROR(AVERAGEIFS(nNOTA,nNIA,S222,nCUENTA,1,nASIG,"Orquesta/Banda/Conjunto"),"")))</f>
        <v/>
      </c>
      <c r="V222" t="str">
        <f>IF(S222="","",IF(S222="[FÓRMULA MANUAL]","",IFERROR(AVERAGEIFS(nNOTA,nNIA,S222,nCUENTA,1,nASIG,"Música de Cámara"),"")))</f>
        <v/>
      </c>
      <c r="W222" t="str">
        <f>IF(S222="","",IF(S222="[FÓRMULA MANUAL]","",IFERROR(SUMPRODUCT((nNIA=S222)*(nCUENTA=1)*(COUNTIF(CONFIG_ASIGNATURAS!$B$7:$B$27,nASIG)&gt;0)*(nNOTA))/SUMPRODUCT((nNIA=S222)*(nCUENTA=1)*(COUNTIF(CONFIG_ASIGNATURAS!$B$7:$B$27,nASIG)&gt;0)*1),"")))</f>
        <v/>
      </c>
      <c r="Z222" t="str">
        <f>IF(Y222="","",IF(Y222="[FÓRMULA MANUAL]","",IFERROR(AVERAGEIFS(nNOTA,nNIA,Y222,nCUENTA,1,nASIG,"Análisis"),"")))</f>
        <v/>
      </c>
      <c r="AA222" t="str">
        <f>IF(Y222="","",IF(Y222="[FÓRMULA MANUAL]","",IFERROR(AVERAGEIFS(nNOTA,nNIA,Y222,nCUENTA,1,nASIG,"Orquesta/Banda/Conjunto"),"")))</f>
        <v/>
      </c>
      <c r="AB222" t="str">
        <f>IF(Y222="","",IF(Y222="[FÓRMULA MANUAL]","",IFERROR(AVERAGEIFS(nNOTA,nNIA,Y222,nCUENTA,1,nASIG,"Música de Cámara"),"")))</f>
        <v/>
      </c>
      <c r="AC222" t="str">
        <f>IF(Y222="","",IF(Y222="[FÓRMULA MANUAL]","",IFERROR(SUMPRODUCT((nNIA=Y222)*(nCUENTA=1)*(COUNTIF(CONFIG_ASIGNATURAS!$B$7:$B$27,nASIG)&gt;0)*(nNOTA))/SUMPRODUCT((nNIA=Y222)*(nCUENTA=1)*(COUNTIF(CONFIG_ASIGNATURAS!$B$7:$B$27,nASIG)&gt;0)*1),"")))</f>
        <v/>
      </c>
      <c r="AF222" t="str">
        <f>IF(AE222="","",IF(AE222="[FÓRMULA MANUAL]","",IFERROR(AVERAGEIFS(nNOTA,nNIA,AE222,nCUENTA,1,nASIG,"Análisis"),"")))</f>
        <v/>
      </c>
      <c r="AG222" t="str">
        <f>IF(AE222="","",IF(AE222="[FÓRMULA MANUAL]","",IFERROR(AVERAGEIFS(nNOTA,nNIA,AE222,nCUENTA,1,nASIG,"Orquesta/Banda/Conjunto"),"")))</f>
        <v/>
      </c>
      <c r="AH222" t="str">
        <f>IF(AE222="","",IF(AE222="[FÓRMULA MANUAL]","",IFERROR(AVERAGEIFS(nNOTA,nNIA,AE222,nCUENTA,1,nASIG,"Música de Cámara"),"")))</f>
        <v/>
      </c>
      <c r="AI222" t="str">
        <f>IF(AE222="","",IF(AE222="[FÓRMULA MANUAL]","",IFERROR(SUMPRODUCT((nNIA=AE222)*(nCUENTA=1)*(COUNTIF(CONFIG_ASIGNATURAS!$B$7:$B$27,nASIG)&gt;0)*(nNOTA))/SUMPRODUCT((nNIA=AE222)*(nCUENTA=1)*(COUNTIF(CONFIG_ASIGNATURAS!$B$7:$B$27,nASIG)&gt;0)*1),"")))</f>
        <v/>
      </c>
    </row>
    <row r="223" spans="2:35" x14ac:dyDescent="0.2">
      <c r="B223" t="str">
        <f>IF(A223="","",IF(A223="[FÓRMULA MANUAL]","",IFERROR(AVERAGEIFS(nNOTA,nNIA,A223,nCUENTA,1,nASIG,"Lenguaje Musical"),"")))</f>
        <v/>
      </c>
      <c r="C223" t="str">
        <f>IF(A223="","",IF(A223="[FÓRMULA MANUAL]","",IFERROR(AVERAGEIFS(nNOTA,nNIA,A223,nCUENTA,1,nASIG,"Orquesta/Banda/Conjunto"),"")))</f>
        <v/>
      </c>
      <c r="D223" t="str">
        <f>IF(A223="","",IF(A223="[FÓRMULA MANUAL]","",IFERROR(AVERAGEIFS(nNOTA,nNIA,A223,nCUENTA,1,nASIG,"Conjunto"),"")))</f>
        <v/>
      </c>
      <c r="E223" t="str">
        <f>IF(A223="","",IF(A223="[FÓRMULA MANUAL]","",IFERROR(SUMPRODUCT((nNIA=A223)*(nCUENTA=1)*(COUNTIF(CONFIG_ASIGNATURAS!$B$7:$B$27,nASIG)&gt;0)*(nNOTA))/SUMPRODUCT((nNIA=A223)*(nCUENTA=1)*(COUNTIF(CONFIG_ASIGNATURAS!$B$7:$B$27,nASIG)&gt;0)*1),"")))</f>
        <v/>
      </c>
      <c r="H223" t="str">
        <f>IF(G223="","",IF(G223="[FÓRMULA MANUAL]","",IFERROR(AVERAGEIFS(nNOTA,nNIA,G223,nCUENTA,1,nASIG,"Lenguaje Musical"),"")))</f>
        <v/>
      </c>
      <c r="I223" t="str">
        <f>IF(G223="","",IF(G223="[FÓRMULA MANUAL]","",IFERROR(AVERAGEIFS(nNOTA,nNIA,G223,nCUENTA,1,nASIG,"Orquesta/Banda/Conjunto"),"")))</f>
        <v/>
      </c>
      <c r="J223" t="str">
        <f>IF(G223="","",IF(G223="[FÓRMULA MANUAL]","",IFERROR(AVERAGEIFS(nNOTA,nNIA,G223,nCUENTA,1,nASIG,"Conjunto"),"")))</f>
        <v/>
      </c>
      <c r="K223" t="str">
        <f>IF(G223="","",IF(G223="[FÓRMULA MANUAL]","",IFERROR(SUMPRODUCT((nNIA=G223)*(nCUENTA=1)*(COUNTIF(CONFIG_ASIGNATURAS!$B$7:$B$27,nASIG)&gt;0)*(nNOTA))/SUMPRODUCT((nNIA=G223)*(nCUENTA=1)*(COUNTIF(CONFIG_ASIGNATURAS!$B$7:$B$27,nASIG)&gt;0)*1),"")))</f>
        <v/>
      </c>
      <c r="N223" t="str">
        <f>IF(M223="","",IF(M223="[FÓRMULA MANUAL]","",IFERROR(AVERAGEIFS(nNOTA,nNIA,M223,nCUENTA,1,nASIG,"Armonía"),"")))</f>
        <v/>
      </c>
      <c r="O223" t="str">
        <f>IF(M223="","",IF(M223="[FÓRMULA MANUAL]","",IFERROR(AVERAGEIFS(nNOTA,nNIA,M223,nCUENTA,1,nASIG,"Orquesta/Banda/Conjunto"),"")))</f>
        <v/>
      </c>
      <c r="P223" t="str">
        <f>IF(M223="","",IF(M223="[FÓRMULA MANUAL]","",IFERROR(AVERAGEIFS(nNOTA,nNIA,M223,nCUENTA,1,nASIG,"Música de Cámara"),"")))</f>
        <v/>
      </c>
      <c r="Q223" t="str">
        <f>IF(M223="","",IF(M223="[FÓRMULA MANUAL]","",IFERROR(SUMPRODUCT((nNIA=M223)*(nCUENTA=1)*(COUNTIF(CONFIG_ASIGNATURAS!$B$7:$B$27,nASIG)&gt;0)*(nNOTA))/SUMPRODUCT((nNIA=M223)*(nCUENTA=1)*(COUNTIF(CONFIG_ASIGNATURAS!$B$7:$B$27,nASIG)&gt;0)*1),"")))</f>
        <v/>
      </c>
      <c r="T223" t="str">
        <f>IF(S223="","",IF(S223="[FÓRMULA MANUAL]","",IFERROR(AVERAGEIFS(nNOTA,nNIA,S223,nCUENTA,1,nASIG,"Armonía"),"")))</f>
        <v/>
      </c>
      <c r="U223" t="str">
        <f>IF(S223="","",IF(S223="[FÓRMULA MANUAL]","",IFERROR(AVERAGEIFS(nNOTA,nNIA,S223,nCUENTA,1,nASIG,"Orquesta/Banda/Conjunto"),"")))</f>
        <v/>
      </c>
      <c r="V223" t="str">
        <f>IF(S223="","",IF(S223="[FÓRMULA MANUAL]","",IFERROR(AVERAGEIFS(nNOTA,nNIA,S223,nCUENTA,1,nASIG,"Música de Cámara"),"")))</f>
        <v/>
      </c>
      <c r="W223" t="str">
        <f>IF(S223="","",IF(S223="[FÓRMULA MANUAL]","",IFERROR(SUMPRODUCT((nNIA=S223)*(nCUENTA=1)*(COUNTIF(CONFIG_ASIGNATURAS!$B$7:$B$27,nASIG)&gt;0)*(nNOTA))/SUMPRODUCT((nNIA=S223)*(nCUENTA=1)*(COUNTIF(CONFIG_ASIGNATURAS!$B$7:$B$27,nASIG)&gt;0)*1),"")))</f>
        <v/>
      </c>
      <c r="Z223" t="str">
        <f>IF(Y223="","",IF(Y223="[FÓRMULA MANUAL]","",IFERROR(AVERAGEIFS(nNOTA,nNIA,Y223,nCUENTA,1,nASIG,"Análisis"),"")))</f>
        <v/>
      </c>
      <c r="AA223" t="str">
        <f>IF(Y223="","",IF(Y223="[FÓRMULA MANUAL]","",IFERROR(AVERAGEIFS(nNOTA,nNIA,Y223,nCUENTA,1,nASIG,"Orquesta/Banda/Conjunto"),"")))</f>
        <v/>
      </c>
      <c r="AB223" t="str">
        <f>IF(Y223="","",IF(Y223="[FÓRMULA MANUAL]","",IFERROR(AVERAGEIFS(nNOTA,nNIA,Y223,nCUENTA,1,nASIG,"Música de Cámara"),"")))</f>
        <v/>
      </c>
      <c r="AC223" t="str">
        <f>IF(Y223="","",IF(Y223="[FÓRMULA MANUAL]","",IFERROR(SUMPRODUCT((nNIA=Y223)*(nCUENTA=1)*(COUNTIF(CONFIG_ASIGNATURAS!$B$7:$B$27,nASIG)&gt;0)*(nNOTA))/SUMPRODUCT((nNIA=Y223)*(nCUENTA=1)*(COUNTIF(CONFIG_ASIGNATURAS!$B$7:$B$27,nASIG)&gt;0)*1),"")))</f>
        <v/>
      </c>
      <c r="AF223" t="str">
        <f>IF(AE223="","",IF(AE223="[FÓRMULA MANUAL]","",IFERROR(AVERAGEIFS(nNOTA,nNIA,AE223,nCUENTA,1,nASIG,"Análisis"),"")))</f>
        <v/>
      </c>
      <c r="AG223" t="str">
        <f>IF(AE223="","",IF(AE223="[FÓRMULA MANUAL]","",IFERROR(AVERAGEIFS(nNOTA,nNIA,AE223,nCUENTA,1,nASIG,"Orquesta/Banda/Conjunto"),"")))</f>
        <v/>
      </c>
      <c r="AH223" t="str">
        <f>IF(AE223="","",IF(AE223="[FÓRMULA MANUAL]","",IFERROR(AVERAGEIFS(nNOTA,nNIA,AE223,nCUENTA,1,nASIG,"Música de Cámara"),"")))</f>
        <v/>
      </c>
      <c r="AI223" t="str">
        <f>IF(AE223="","",IF(AE223="[FÓRMULA MANUAL]","",IFERROR(SUMPRODUCT((nNIA=AE223)*(nCUENTA=1)*(COUNTIF(CONFIG_ASIGNATURAS!$B$7:$B$27,nASIG)&gt;0)*(nNOTA))/SUMPRODUCT((nNIA=AE223)*(nCUENTA=1)*(COUNTIF(CONFIG_ASIGNATURAS!$B$7:$B$27,nASIG)&gt;0)*1),"")))</f>
        <v/>
      </c>
    </row>
    <row r="224" spans="2:35" x14ac:dyDescent="0.2">
      <c r="B224" t="str">
        <f>IF(A224="","",IF(A224="[FÓRMULA MANUAL]","",IFERROR(AVERAGEIFS(nNOTA,nNIA,A224,nCUENTA,1,nASIG,"Lenguaje Musical"),"")))</f>
        <v/>
      </c>
      <c r="C224" t="str">
        <f>IF(A224="","",IF(A224="[FÓRMULA MANUAL]","",IFERROR(AVERAGEIFS(nNOTA,nNIA,A224,nCUENTA,1,nASIG,"Orquesta/Banda/Conjunto"),"")))</f>
        <v/>
      </c>
      <c r="D224" t="str">
        <f>IF(A224="","",IF(A224="[FÓRMULA MANUAL]","",IFERROR(AVERAGEIFS(nNOTA,nNIA,A224,nCUENTA,1,nASIG,"Conjunto"),"")))</f>
        <v/>
      </c>
      <c r="E224" t="str">
        <f>IF(A224="","",IF(A224="[FÓRMULA MANUAL]","",IFERROR(SUMPRODUCT((nNIA=A224)*(nCUENTA=1)*(COUNTIF(CONFIG_ASIGNATURAS!$B$7:$B$27,nASIG)&gt;0)*(nNOTA))/SUMPRODUCT((nNIA=A224)*(nCUENTA=1)*(COUNTIF(CONFIG_ASIGNATURAS!$B$7:$B$27,nASIG)&gt;0)*1),"")))</f>
        <v/>
      </c>
      <c r="H224" t="str">
        <f>IF(G224="","",IF(G224="[FÓRMULA MANUAL]","",IFERROR(AVERAGEIFS(nNOTA,nNIA,G224,nCUENTA,1,nASIG,"Lenguaje Musical"),"")))</f>
        <v/>
      </c>
      <c r="I224" t="str">
        <f>IF(G224="","",IF(G224="[FÓRMULA MANUAL]","",IFERROR(AVERAGEIFS(nNOTA,nNIA,G224,nCUENTA,1,nASIG,"Orquesta/Banda/Conjunto"),"")))</f>
        <v/>
      </c>
      <c r="J224" t="str">
        <f>IF(G224="","",IF(G224="[FÓRMULA MANUAL]","",IFERROR(AVERAGEIFS(nNOTA,nNIA,G224,nCUENTA,1,nASIG,"Conjunto"),"")))</f>
        <v/>
      </c>
      <c r="K224" t="str">
        <f>IF(G224="","",IF(G224="[FÓRMULA MANUAL]","",IFERROR(SUMPRODUCT((nNIA=G224)*(nCUENTA=1)*(COUNTIF(CONFIG_ASIGNATURAS!$B$7:$B$27,nASIG)&gt;0)*(nNOTA))/SUMPRODUCT((nNIA=G224)*(nCUENTA=1)*(COUNTIF(CONFIG_ASIGNATURAS!$B$7:$B$27,nASIG)&gt;0)*1),"")))</f>
        <v/>
      </c>
      <c r="N224" t="str">
        <f>IF(M224="","",IF(M224="[FÓRMULA MANUAL]","",IFERROR(AVERAGEIFS(nNOTA,nNIA,M224,nCUENTA,1,nASIG,"Armonía"),"")))</f>
        <v/>
      </c>
      <c r="O224" t="str">
        <f>IF(M224="","",IF(M224="[FÓRMULA MANUAL]","",IFERROR(AVERAGEIFS(nNOTA,nNIA,M224,nCUENTA,1,nASIG,"Orquesta/Banda/Conjunto"),"")))</f>
        <v/>
      </c>
      <c r="P224" t="str">
        <f>IF(M224="","",IF(M224="[FÓRMULA MANUAL]","",IFERROR(AVERAGEIFS(nNOTA,nNIA,M224,nCUENTA,1,nASIG,"Música de Cámara"),"")))</f>
        <v/>
      </c>
      <c r="Q224" t="str">
        <f>IF(M224="","",IF(M224="[FÓRMULA MANUAL]","",IFERROR(SUMPRODUCT((nNIA=M224)*(nCUENTA=1)*(COUNTIF(CONFIG_ASIGNATURAS!$B$7:$B$27,nASIG)&gt;0)*(nNOTA))/SUMPRODUCT((nNIA=M224)*(nCUENTA=1)*(COUNTIF(CONFIG_ASIGNATURAS!$B$7:$B$27,nASIG)&gt;0)*1),"")))</f>
        <v/>
      </c>
      <c r="T224" t="str">
        <f>IF(S224="","",IF(S224="[FÓRMULA MANUAL]","",IFERROR(AVERAGEIFS(nNOTA,nNIA,S224,nCUENTA,1,nASIG,"Armonía"),"")))</f>
        <v/>
      </c>
      <c r="U224" t="str">
        <f>IF(S224="","",IF(S224="[FÓRMULA MANUAL]","",IFERROR(AVERAGEIFS(nNOTA,nNIA,S224,nCUENTA,1,nASIG,"Orquesta/Banda/Conjunto"),"")))</f>
        <v/>
      </c>
      <c r="V224" t="str">
        <f>IF(S224="","",IF(S224="[FÓRMULA MANUAL]","",IFERROR(AVERAGEIFS(nNOTA,nNIA,S224,nCUENTA,1,nASIG,"Música de Cámara"),"")))</f>
        <v/>
      </c>
      <c r="W224" t="str">
        <f>IF(S224="","",IF(S224="[FÓRMULA MANUAL]","",IFERROR(SUMPRODUCT((nNIA=S224)*(nCUENTA=1)*(COUNTIF(CONFIG_ASIGNATURAS!$B$7:$B$27,nASIG)&gt;0)*(nNOTA))/SUMPRODUCT((nNIA=S224)*(nCUENTA=1)*(COUNTIF(CONFIG_ASIGNATURAS!$B$7:$B$27,nASIG)&gt;0)*1),"")))</f>
        <v/>
      </c>
      <c r="Z224" t="str">
        <f>IF(Y224="","",IF(Y224="[FÓRMULA MANUAL]","",IFERROR(AVERAGEIFS(nNOTA,nNIA,Y224,nCUENTA,1,nASIG,"Análisis"),"")))</f>
        <v/>
      </c>
      <c r="AA224" t="str">
        <f>IF(Y224="","",IF(Y224="[FÓRMULA MANUAL]","",IFERROR(AVERAGEIFS(nNOTA,nNIA,Y224,nCUENTA,1,nASIG,"Orquesta/Banda/Conjunto"),"")))</f>
        <v/>
      </c>
      <c r="AB224" t="str">
        <f>IF(Y224="","",IF(Y224="[FÓRMULA MANUAL]","",IFERROR(AVERAGEIFS(nNOTA,nNIA,Y224,nCUENTA,1,nASIG,"Música de Cámara"),"")))</f>
        <v/>
      </c>
      <c r="AC224" t="str">
        <f>IF(Y224="","",IF(Y224="[FÓRMULA MANUAL]","",IFERROR(SUMPRODUCT((nNIA=Y224)*(nCUENTA=1)*(COUNTIF(CONFIG_ASIGNATURAS!$B$7:$B$27,nASIG)&gt;0)*(nNOTA))/SUMPRODUCT((nNIA=Y224)*(nCUENTA=1)*(COUNTIF(CONFIG_ASIGNATURAS!$B$7:$B$27,nASIG)&gt;0)*1),"")))</f>
        <v/>
      </c>
      <c r="AF224" t="str">
        <f>IF(AE224="","",IF(AE224="[FÓRMULA MANUAL]","",IFERROR(AVERAGEIFS(nNOTA,nNIA,AE224,nCUENTA,1,nASIG,"Análisis"),"")))</f>
        <v/>
      </c>
      <c r="AG224" t="str">
        <f>IF(AE224="","",IF(AE224="[FÓRMULA MANUAL]","",IFERROR(AVERAGEIFS(nNOTA,nNIA,AE224,nCUENTA,1,nASIG,"Orquesta/Banda/Conjunto"),"")))</f>
        <v/>
      </c>
      <c r="AH224" t="str">
        <f>IF(AE224="","",IF(AE224="[FÓRMULA MANUAL]","",IFERROR(AVERAGEIFS(nNOTA,nNIA,AE224,nCUENTA,1,nASIG,"Música de Cámara"),"")))</f>
        <v/>
      </c>
      <c r="AI224" t="str">
        <f>IF(AE224="","",IF(AE224="[FÓRMULA MANUAL]","",IFERROR(SUMPRODUCT((nNIA=AE224)*(nCUENTA=1)*(COUNTIF(CONFIG_ASIGNATURAS!$B$7:$B$27,nASIG)&gt;0)*(nNOTA))/SUMPRODUCT((nNIA=AE224)*(nCUENTA=1)*(COUNTIF(CONFIG_ASIGNATURAS!$B$7:$B$27,nASIG)&gt;0)*1),"")))</f>
        <v/>
      </c>
    </row>
    <row r="225" spans="2:35" x14ac:dyDescent="0.2">
      <c r="B225" t="str">
        <f>IF(A225="","",IF(A225="[FÓRMULA MANUAL]","",IFERROR(AVERAGEIFS(nNOTA,nNIA,A225,nCUENTA,1,nASIG,"Lenguaje Musical"),"")))</f>
        <v/>
      </c>
      <c r="C225" t="str">
        <f>IF(A225="","",IF(A225="[FÓRMULA MANUAL]","",IFERROR(AVERAGEIFS(nNOTA,nNIA,A225,nCUENTA,1,nASIG,"Orquesta/Banda/Conjunto"),"")))</f>
        <v/>
      </c>
      <c r="D225" t="str">
        <f>IF(A225="","",IF(A225="[FÓRMULA MANUAL]","",IFERROR(AVERAGEIFS(nNOTA,nNIA,A225,nCUENTA,1,nASIG,"Conjunto"),"")))</f>
        <v/>
      </c>
      <c r="E225" t="str">
        <f>IF(A225="","",IF(A225="[FÓRMULA MANUAL]","",IFERROR(SUMPRODUCT((nNIA=A225)*(nCUENTA=1)*(COUNTIF(CONFIG_ASIGNATURAS!$B$7:$B$27,nASIG)&gt;0)*(nNOTA))/SUMPRODUCT((nNIA=A225)*(nCUENTA=1)*(COUNTIF(CONFIG_ASIGNATURAS!$B$7:$B$27,nASIG)&gt;0)*1),"")))</f>
        <v/>
      </c>
      <c r="H225" t="str">
        <f>IF(G225="","",IF(G225="[FÓRMULA MANUAL]","",IFERROR(AVERAGEIFS(nNOTA,nNIA,G225,nCUENTA,1,nASIG,"Lenguaje Musical"),"")))</f>
        <v/>
      </c>
      <c r="I225" t="str">
        <f>IF(G225="","",IF(G225="[FÓRMULA MANUAL]","",IFERROR(AVERAGEIFS(nNOTA,nNIA,G225,nCUENTA,1,nASIG,"Orquesta/Banda/Conjunto"),"")))</f>
        <v/>
      </c>
      <c r="J225" t="str">
        <f>IF(G225="","",IF(G225="[FÓRMULA MANUAL]","",IFERROR(AVERAGEIFS(nNOTA,nNIA,G225,nCUENTA,1,nASIG,"Conjunto"),"")))</f>
        <v/>
      </c>
      <c r="K225" t="str">
        <f>IF(G225="","",IF(G225="[FÓRMULA MANUAL]","",IFERROR(SUMPRODUCT((nNIA=G225)*(nCUENTA=1)*(COUNTIF(CONFIG_ASIGNATURAS!$B$7:$B$27,nASIG)&gt;0)*(nNOTA))/SUMPRODUCT((nNIA=G225)*(nCUENTA=1)*(COUNTIF(CONFIG_ASIGNATURAS!$B$7:$B$27,nASIG)&gt;0)*1),"")))</f>
        <v/>
      </c>
      <c r="N225" t="str">
        <f>IF(M225="","",IF(M225="[FÓRMULA MANUAL]","",IFERROR(AVERAGEIFS(nNOTA,nNIA,M225,nCUENTA,1,nASIG,"Armonía"),"")))</f>
        <v/>
      </c>
      <c r="O225" t="str">
        <f>IF(M225="","",IF(M225="[FÓRMULA MANUAL]","",IFERROR(AVERAGEIFS(nNOTA,nNIA,M225,nCUENTA,1,nASIG,"Orquesta/Banda/Conjunto"),"")))</f>
        <v/>
      </c>
      <c r="P225" t="str">
        <f>IF(M225="","",IF(M225="[FÓRMULA MANUAL]","",IFERROR(AVERAGEIFS(nNOTA,nNIA,M225,nCUENTA,1,nASIG,"Música de Cámara"),"")))</f>
        <v/>
      </c>
      <c r="Q225" t="str">
        <f>IF(M225="","",IF(M225="[FÓRMULA MANUAL]","",IFERROR(SUMPRODUCT((nNIA=M225)*(nCUENTA=1)*(COUNTIF(CONFIG_ASIGNATURAS!$B$7:$B$27,nASIG)&gt;0)*(nNOTA))/SUMPRODUCT((nNIA=M225)*(nCUENTA=1)*(COUNTIF(CONFIG_ASIGNATURAS!$B$7:$B$27,nASIG)&gt;0)*1),"")))</f>
        <v/>
      </c>
      <c r="T225" t="str">
        <f>IF(S225="","",IF(S225="[FÓRMULA MANUAL]","",IFERROR(AVERAGEIFS(nNOTA,nNIA,S225,nCUENTA,1,nASIG,"Armonía"),"")))</f>
        <v/>
      </c>
      <c r="U225" t="str">
        <f>IF(S225="","",IF(S225="[FÓRMULA MANUAL]","",IFERROR(AVERAGEIFS(nNOTA,nNIA,S225,nCUENTA,1,nASIG,"Orquesta/Banda/Conjunto"),"")))</f>
        <v/>
      </c>
      <c r="V225" t="str">
        <f>IF(S225="","",IF(S225="[FÓRMULA MANUAL]","",IFERROR(AVERAGEIFS(nNOTA,nNIA,S225,nCUENTA,1,nASIG,"Música de Cámara"),"")))</f>
        <v/>
      </c>
      <c r="W225" t="str">
        <f>IF(S225="","",IF(S225="[FÓRMULA MANUAL]","",IFERROR(SUMPRODUCT((nNIA=S225)*(nCUENTA=1)*(COUNTIF(CONFIG_ASIGNATURAS!$B$7:$B$27,nASIG)&gt;0)*(nNOTA))/SUMPRODUCT((nNIA=S225)*(nCUENTA=1)*(COUNTIF(CONFIG_ASIGNATURAS!$B$7:$B$27,nASIG)&gt;0)*1),"")))</f>
        <v/>
      </c>
      <c r="Z225" t="str">
        <f>IF(Y225="","",IF(Y225="[FÓRMULA MANUAL]","",IFERROR(AVERAGEIFS(nNOTA,nNIA,Y225,nCUENTA,1,nASIG,"Análisis"),"")))</f>
        <v/>
      </c>
      <c r="AA225" t="str">
        <f>IF(Y225="","",IF(Y225="[FÓRMULA MANUAL]","",IFERROR(AVERAGEIFS(nNOTA,nNIA,Y225,nCUENTA,1,nASIG,"Orquesta/Banda/Conjunto"),"")))</f>
        <v/>
      </c>
      <c r="AB225" t="str">
        <f>IF(Y225="","",IF(Y225="[FÓRMULA MANUAL]","",IFERROR(AVERAGEIFS(nNOTA,nNIA,Y225,nCUENTA,1,nASIG,"Música de Cámara"),"")))</f>
        <v/>
      </c>
      <c r="AC225" t="str">
        <f>IF(Y225="","",IF(Y225="[FÓRMULA MANUAL]","",IFERROR(SUMPRODUCT((nNIA=Y225)*(nCUENTA=1)*(COUNTIF(CONFIG_ASIGNATURAS!$B$7:$B$27,nASIG)&gt;0)*(nNOTA))/SUMPRODUCT((nNIA=Y225)*(nCUENTA=1)*(COUNTIF(CONFIG_ASIGNATURAS!$B$7:$B$27,nASIG)&gt;0)*1),"")))</f>
        <v/>
      </c>
      <c r="AF225" t="str">
        <f>IF(AE225="","",IF(AE225="[FÓRMULA MANUAL]","",IFERROR(AVERAGEIFS(nNOTA,nNIA,AE225,nCUENTA,1,nASIG,"Análisis"),"")))</f>
        <v/>
      </c>
      <c r="AG225" t="str">
        <f>IF(AE225="","",IF(AE225="[FÓRMULA MANUAL]","",IFERROR(AVERAGEIFS(nNOTA,nNIA,AE225,nCUENTA,1,nASIG,"Orquesta/Banda/Conjunto"),"")))</f>
        <v/>
      </c>
      <c r="AH225" t="str">
        <f>IF(AE225="","",IF(AE225="[FÓRMULA MANUAL]","",IFERROR(AVERAGEIFS(nNOTA,nNIA,AE225,nCUENTA,1,nASIG,"Música de Cámara"),"")))</f>
        <v/>
      </c>
      <c r="AI225" t="str">
        <f>IF(AE225="","",IF(AE225="[FÓRMULA MANUAL]","",IFERROR(SUMPRODUCT((nNIA=AE225)*(nCUENTA=1)*(COUNTIF(CONFIG_ASIGNATURAS!$B$7:$B$27,nASIG)&gt;0)*(nNOTA))/SUMPRODUCT((nNIA=AE225)*(nCUENTA=1)*(COUNTIF(CONFIG_ASIGNATURAS!$B$7:$B$27,nASIG)&gt;0)*1),"")))</f>
        <v/>
      </c>
    </row>
    <row r="226" spans="2:35" x14ac:dyDescent="0.2">
      <c r="B226" t="str">
        <f>IF(A226="","",IF(A226="[FÓRMULA MANUAL]","",IFERROR(AVERAGEIFS(nNOTA,nNIA,A226,nCUENTA,1,nASIG,"Lenguaje Musical"),"")))</f>
        <v/>
      </c>
      <c r="C226" t="str">
        <f>IF(A226="","",IF(A226="[FÓRMULA MANUAL]","",IFERROR(AVERAGEIFS(nNOTA,nNIA,A226,nCUENTA,1,nASIG,"Orquesta/Banda/Conjunto"),"")))</f>
        <v/>
      </c>
      <c r="D226" t="str">
        <f>IF(A226="","",IF(A226="[FÓRMULA MANUAL]","",IFERROR(AVERAGEIFS(nNOTA,nNIA,A226,nCUENTA,1,nASIG,"Conjunto"),"")))</f>
        <v/>
      </c>
      <c r="E226" t="str">
        <f>IF(A226="","",IF(A226="[FÓRMULA MANUAL]","",IFERROR(SUMPRODUCT((nNIA=A226)*(nCUENTA=1)*(COUNTIF(CONFIG_ASIGNATURAS!$B$7:$B$27,nASIG)&gt;0)*(nNOTA))/SUMPRODUCT((nNIA=A226)*(nCUENTA=1)*(COUNTIF(CONFIG_ASIGNATURAS!$B$7:$B$27,nASIG)&gt;0)*1),"")))</f>
        <v/>
      </c>
      <c r="H226" t="str">
        <f>IF(G226="","",IF(G226="[FÓRMULA MANUAL]","",IFERROR(AVERAGEIFS(nNOTA,nNIA,G226,nCUENTA,1,nASIG,"Lenguaje Musical"),"")))</f>
        <v/>
      </c>
      <c r="I226" t="str">
        <f>IF(G226="","",IF(G226="[FÓRMULA MANUAL]","",IFERROR(AVERAGEIFS(nNOTA,nNIA,G226,nCUENTA,1,nASIG,"Orquesta/Banda/Conjunto"),"")))</f>
        <v/>
      </c>
      <c r="J226" t="str">
        <f>IF(G226="","",IF(G226="[FÓRMULA MANUAL]","",IFERROR(AVERAGEIFS(nNOTA,nNIA,G226,nCUENTA,1,nASIG,"Conjunto"),"")))</f>
        <v/>
      </c>
      <c r="K226" t="str">
        <f>IF(G226="","",IF(G226="[FÓRMULA MANUAL]","",IFERROR(SUMPRODUCT((nNIA=G226)*(nCUENTA=1)*(COUNTIF(CONFIG_ASIGNATURAS!$B$7:$B$27,nASIG)&gt;0)*(nNOTA))/SUMPRODUCT((nNIA=G226)*(nCUENTA=1)*(COUNTIF(CONFIG_ASIGNATURAS!$B$7:$B$27,nASIG)&gt;0)*1),"")))</f>
        <v/>
      </c>
      <c r="N226" t="str">
        <f>IF(M226="","",IF(M226="[FÓRMULA MANUAL]","",IFERROR(AVERAGEIFS(nNOTA,nNIA,M226,nCUENTA,1,nASIG,"Armonía"),"")))</f>
        <v/>
      </c>
      <c r="O226" t="str">
        <f>IF(M226="","",IF(M226="[FÓRMULA MANUAL]","",IFERROR(AVERAGEIFS(nNOTA,nNIA,M226,nCUENTA,1,nASIG,"Orquesta/Banda/Conjunto"),"")))</f>
        <v/>
      </c>
      <c r="P226" t="str">
        <f>IF(M226="","",IF(M226="[FÓRMULA MANUAL]","",IFERROR(AVERAGEIFS(nNOTA,nNIA,M226,nCUENTA,1,nASIG,"Música de Cámara"),"")))</f>
        <v/>
      </c>
      <c r="Q226" t="str">
        <f>IF(M226="","",IF(M226="[FÓRMULA MANUAL]","",IFERROR(SUMPRODUCT((nNIA=M226)*(nCUENTA=1)*(COUNTIF(CONFIG_ASIGNATURAS!$B$7:$B$27,nASIG)&gt;0)*(nNOTA))/SUMPRODUCT((nNIA=M226)*(nCUENTA=1)*(COUNTIF(CONFIG_ASIGNATURAS!$B$7:$B$27,nASIG)&gt;0)*1),"")))</f>
        <v/>
      </c>
      <c r="T226" t="str">
        <f>IF(S226="","",IF(S226="[FÓRMULA MANUAL]","",IFERROR(AVERAGEIFS(nNOTA,nNIA,S226,nCUENTA,1,nASIG,"Armonía"),"")))</f>
        <v/>
      </c>
      <c r="U226" t="str">
        <f>IF(S226="","",IF(S226="[FÓRMULA MANUAL]","",IFERROR(AVERAGEIFS(nNOTA,nNIA,S226,nCUENTA,1,nASIG,"Orquesta/Banda/Conjunto"),"")))</f>
        <v/>
      </c>
      <c r="V226" t="str">
        <f>IF(S226="","",IF(S226="[FÓRMULA MANUAL]","",IFERROR(AVERAGEIFS(nNOTA,nNIA,S226,nCUENTA,1,nASIG,"Música de Cámara"),"")))</f>
        <v/>
      </c>
      <c r="W226" t="str">
        <f>IF(S226="","",IF(S226="[FÓRMULA MANUAL]","",IFERROR(SUMPRODUCT((nNIA=S226)*(nCUENTA=1)*(COUNTIF(CONFIG_ASIGNATURAS!$B$7:$B$27,nASIG)&gt;0)*(nNOTA))/SUMPRODUCT((nNIA=S226)*(nCUENTA=1)*(COUNTIF(CONFIG_ASIGNATURAS!$B$7:$B$27,nASIG)&gt;0)*1),"")))</f>
        <v/>
      </c>
      <c r="Z226" t="str">
        <f>IF(Y226="","",IF(Y226="[FÓRMULA MANUAL]","",IFERROR(AVERAGEIFS(nNOTA,nNIA,Y226,nCUENTA,1,nASIG,"Análisis"),"")))</f>
        <v/>
      </c>
      <c r="AA226" t="str">
        <f>IF(Y226="","",IF(Y226="[FÓRMULA MANUAL]","",IFERROR(AVERAGEIFS(nNOTA,nNIA,Y226,nCUENTA,1,nASIG,"Orquesta/Banda/Conjunto"),"")))</f>
        <v/>
      </c>
      <c r="AB226" t="str">
        <f>IF(Y226="","",IF(Y226="[FÓRMULA MANUAL]","",IFERROR(AVERAGEIFS(nNOTA,nNIA,Y226,nCUENTA,1,nASIG,"Música de Cámara"),"")))</f>
        <v/>
      </c>
      <c r="AC226" t="str">
        <f>IF(Y226="","",IF(Y226="[FÓRMULA MANUAL]","",IFERROR(SUMPRODUCT((nNIA=Y226)*(nCUENTA=1)*(COUNTIF(CONFIG_ASIGNATURAS!$B$7:$B$27,nASIG)&gt;0)*(nNOTA))/SUMPRODUCT((nNIA=Y226)*(nCUENTA=1)*(COUNTIF(CONFIG_ASIGNATURAS!$B$7:$B$27,nASIG)&gt;0)*1),"")))</f>
        <v/>
      </c>
      <c r="AF226" t="str">
        <f>IF(AE226="","",IF(AE226="[FÓRMULA MANUAL]","",IFERROR(AVERAGEIFS(nNOTA,nNIA,AE226,nCUENTA,1,nASIG,"Análisis"),"")))</f>
        <v/>
      </c>
      <c r="AG226" t="str">
        <f>IF(AE226="","",IF(AE226="[FÓRMULA MANUAL]","",IFERROR(AVERAGEIFS(nNOTA,nNIA,AE226,nCUENTA,1,nASIG,"Orquesta/Banda/Conjunto"),"")))</f>
        <v/>
      </c>
      <c r="AH226" t="str">
        <f>IF(AE226="","",IF(AE226="[FÓRMULA MANUAL]","",IFERROR(AVERAGEIFS(nNOTA,nNIA,AE226,nCUENTA,1,nASIG,"Música de Cámara"),"")))</f>
        <v/>
      </c>
      <c r="AI226" t="str">
        <f>IF(AE226="","",IF(AE226="[FÓRMULA MANUAL]","",IFERROR(SUMPRODUCT((nNIA=AE226)*(nCUENTA=1)*(COUNTIF(CONFIG_ASIGNATURAS!$B$7:$B$27,nASIG)&gt;0)*(nNOTA))/SUMPRODUCT((nNIA=AE226)*(nCUENTA=1)*(COUNTIF(CONFIG_ASIGNATURAS!$B$7:$B$27,nASIG)&gt;0)*1),"")))</f>
        <v/>
      </c>
    </row>
    <row r="227" spans="2:35" x14ac:dyDescent="0.2">
      <c r="B227" t="str">
        <f>IF(A227="","",IF(A227="[FÓRMULA MANUAL]","",IFERROR(AVERAGEIFS(nNOTA,nNIA,A227,nCUENTA,1,nASIG,"Lenguaje Musical"),"")))</f>
        <v/>
      </c>
      <c r="C227" t="str">
        <f>IF(A227="","",IF(A227="[FÓRMULA MANUAL]","",IFERROR(AVERAGEIFS(nNOTA,nNIA,A227,nCUENTA,1,nASIG,"Orquesta/Banda/Conjunto"),"")))</f>
        <v/>
      </c>
      <c r="D227" t="str">
        <f>IF(A227="","",IF(A227="[FÓRMULA MANUAL]","",IFERROR(AVERAGEIFS(nNOTA,nNIA,A227,nCUENTA,1,nASIG,"Conjunto"),"")))</f>
        <v/>
      </c>
      <c r="E227" t="str">
        <f>IF(A227="","",IF(A227="[FÓRMULA MANUAL]","",IFERROR(SUMPRODUCT((nNIA=A227)*(nCUENTA=1)*(COUNTIF(CONFIG_ASIGNATURAS!$B$7:$B$27,nASIG)&gt;0)*(nNOTA))/SUMPRODUCT((nNIA=A227)*(nCUENTA=1)*(COUNTIF(CONFIG_ASIGNATURAS!$B$7:$B$27,nASIG)&gt;0)*1),"")))</f>
        <v/>
      </c>
      <c r="H227" t="str">
        <f>IF(G227="","",IF(G227="[FÓRMULA MANUAL]","",IFERROR(AVERAGEIFS(nNOTA,nNIA,G227,nCUENTA,1,nASIG,"Lenguaje Musical"),"")))</f>
        <v/>
      </c>
      <c r="I227" t="str">
        <f>IF(G227="","",IF(G227="[FÓRMULA MANUAL]","",IFERROR(AVERAGEIFS(nNOTA,nNIA,G227,nCUENTA,1,nASIG,"Orquesta/Banda/Conjunto"),"")))</f>
        <v/>
      </c>
      <c r="J227" t="str">
        <f>IF(G227="","",IF(G227="[FÓRMULA MANUAL]","",IFERROR(AVERAGEIFS(nNOTA,nNIA,G227,nCUENTA,1,nASIG,"Conjunto"),"")))</f>
        <v/>
      </c>
      <c r="K227" t="str">
        <f>IF(G227="","",IF(G227="[FÓRMULA MANUAL]","",IFERROR(SUMPRODUCT((nNIA=G227)*(nCUENTA=1)*(COUNTIF(CONFIG_ASIGNATURAS!$B$7:$B$27,nASIG)&gt;0)*(nNOTA))/SUMPRODUCT((nNIA=G227)*(nCUENTA=1)*(COUNTIF(CONFIG_ASIGNATURAS!$B$7:$B$27,nASIG)&gt;0)*1),"")))</f>
        <v/>
      </c>
      <c r="N227" t="str">
        <f>IF(M227="","",IF(M227="[FÓRMULA MANUAL]","",IFERROR(AVERAGEIFS(nNOTA,nNIA,M227,nCUENTA,1,nASIG,"Armonía"),"")))</f>
        <v/>
      </c>
      <c r="O227" t="str">
        <f>IF(M227="","",IF(M227="[FÓRMULA MANUAL]","",IFERROR(AVERAGEIFS(nNOTA,nNIA,M227,nCUENTA,1,nASIG,"Orquesta/Banda/Conjunto"),"")))</f>
        <v/>
      </c>
      <c r="P227" t="str">
        <f>IF(M227="","",IF(M227="[FÓRMULA MANUAL]","",IFERROR(AVERAGEIFS(nNOTA,nNIA,M227,nCUENTA,1,nASIG,"Música de Cámara"),"")))</f>
        <v/>
      </c>
      <c r="Q227" t="str">
        <f>IF(M227="","",IF(M227="[FÓRMULA MANUAL]","",IFERROR(SUMPRODUCT((nNIA=M227)*(nCUENTA=1)*(COUNTIF(CONFIG_ASIGNATURAS!$B$7:$B$27,nASIG)&gt;0)*(nNOTA))/SUMPRODUCT((nNIA=M227)*(nCUENTA=1)*(COUNTIF(CONFIG_ASIGNATURAS!$B$7:$B$27,nASIG)&gt;0)*1),"")))</f>
        <v/>
      </c>
      <c r="T227" t="str">
        <f>IF(S227="","",IF(S227="[FÓRMULA MANUAL]","",IFERROR(AVERAGEIFS(nNOTA,nNIA,S227,nCUENTA,1,nASIG,"Armonía"),"")))</f>
        <v/>
      </c>
      <c r="U227" t="str">
        <f>IF(S227="","",IF(S227="[FÓRMULA MANUAL]","",IFERROR(AVERAGEIFS(nNOTA,nNIA,S227,nCUENTA,1,nASIG,"Orquesta/Banda/Conjunto"),"")))</f>
        <v/>
      </c>
      <c r="V227" t="str">
        <f>IF(S227="","",IF(S227="[FÓRMULA MANUAL]","",IFERROR(AVERAGEIFS(nNOTA,nNIA,S227,nCUENTA,1,nASIG,"Música de Cámara"),"")))</f>
        <v/>
      </c>
      <c r="W227" t="str">
        <f>IF(S227="","",IF(S227="[FÓRMULA MANUAL]","",IFERROR(SUMPRODUCT((nNIA=S227)*(nCUENTA=1)*(COUNTIF(CONFIG_ASIGNATURAS!$B$7:$B$27,nASIG)&gt;0)*(nNOTA))/SUMPRODUCT((nNIA=S227)*(nCUENTA=1)*(COUNTIF(CONFIG_ASIGNATURAS!$B$7:$B$27,nASIG)&gt;0)*1),"")))</f>
        <v/>
      </c>
      <c r="Z227" t="str">
        <f>IF(Y227="","",IF(Y227="[FÓRMULA MANUAL]","",IFERROR(AVERAGEIFS(nNOTA,nNIA,Y227,nCUENTA,1,nASIG,"Análisis"),"")))</f>
        <v/>
      </c>
      <c r="AA227" t="str">
        <f>IF(Y227="","",IF(Y227="[FÓRMULA MANUAL]","",IFERROR(AVERAGEIFS(nNOTA,nNIA,Y227,nCUENTA,1,nASIG,"Orquesta/Banda/Conjunto"),"")))</f>
        <v/>
      </c>
      <c r="AB227" t="str">
        <f>IF(Y227="","",IF(Y227="[FÓRMULA MANUAL]","",IFERROR(AVERAGEIFS(nNOTA,nNIA,Y227,nCUENTA,1,nASIG,"Música de Cámara"),"")))</f>
        <v/>
      </c>
      <c r="AC227" t="str">
        <f>IF(Y227="","",IF(Y227="[FÓRMULA MANUAL]","",IFERROR(SUMPRODUCT((nNIA=Y227)*(nCUENTA=1)*(COUNTIF(CONFIG_ASIGNATURAS!$B$7:$B$27,nASIG)&gt;0)*(nNOTA))/SUMPRODUCT((nNIA=Y227)*(nCUENTA=1)*(COUNTIF(CONFIG_ASIGNATURAS!$B$7:$B$27,nASIG)&gt;0)*1),"")))</f>
        <v/>
      </c>
      <c r="AF227" t="str">
        <f>IF(AE227="","",IF(AE227="[FÓRMULA MANUAL]","",IFERROR(AVERAGEIFS(nNOTA,nNIA,AE227,nCUENTA,1,nASIG,"Análisis"),"")))</f>
        <v/>
      </c>
      <c r="AG227" t="str">
        <f>IF(AE227="","",IF(AE227="[FÓRMULA MANUAL]","",IFERROR(AVERAGEIFS(nNOTA,nNIA,AE227,nCUENTA,1,nASIG,"Orquesta/Banda/Conjunto"),"")))</f>
        <v/>
      </c>
      <c r="AH227" t="str">
        <f>IF(AE227="","",IF(AE227="[FÓRMULA MANUAL]","",IFERROR(AVERAGEIFS(nNOTA,nNIA,AE227,nCUENTA,1,nASIG,"Música de Cámara"),"")))</f>
        <v/>
      </c>
      <c r="AI227" t="str">
        <f>IF(AE227="","",IF(AE227="[FÓRMULA MANUAL]","",IFERROR(SUMPRODUCT((nNIA=AE227)*(nCUENTA=1)*(COUNTIF(CONFIG_ASIGNATURAS!$B$7:$B$27,nASIG)&gt;0)*(nNOTA))/SUMPRODUCT((nNIA=AE227)*(nCUENTA=1)*(COUNTIF(CONFIG_ASIGNATURAS!$B$7:$B$27,nASIG)&gt;0)*1),"")))</f>
        <v/>
      </c>
    </row>
    <row r="228" spans="2:35" x14ac:dyDescent="0.2">
      <c r="B228" t="str">
        <f>IF(A228="","",IF(A228="[FÓRMULA MANUAL]","",IFERROR(AVERAGEIFS(nNOTA,nNIA,A228,nCUENTA,1,nASIG,"Lenguaje Musical"),"")))</f>
        <v/>
      </c>
      <c r="C228" t="str">
        <f>IF(A228="","",IF(A228="[FÓRMULA MANUAL]","",IFERROR(AVERAGEIFS(nNOTA,nNIA,A228,nCUENTA,1,nASIG,"Orquesta/Banda/Conjunto"),"")))</f>
        <v/>
      </c>
      <c r="D228" t="str">
        <f>IF(A228="","",IF(A228="[FÓRMULA MANUAL]","",IFERROR(AVERAGEIFS(nNOTA,nNIA,A228,nCUENTA,1,nASIG,"Conjunto"),"")))</f>
        <v/>
      </c>
      <c r="E228" t="str">
        <f>IF(A228="","",IF(A228="[FÓRMULA MANUAL]","",IFERROR(SUMPRODUCT((nNIA=A228)*(nCUENTA=1)*(COUNTIF(CONFIG_ASIGNATURAS!$B$7:$B$27,nASIG)&gt;0)*(nNOTA))/SUMPRODUCT((nNIA=A228)*(nCUENTA=1)*(COUNTIF(CONFIG_ASIGNATURAS!$B$7:$B$27,nASIG)&gt;0)*1),"")))</f>
        <v/>
      </c>
      <c r="H228" t="str">
        <f>IF(G228="","",IF(G228="[FÓRMULA MANUAL]","",IFERROR(AVERAGEIFS(nNOTA,nNIA,G228,nCUENTA,1,nASIG,"Lenguaje Musical"),"")))</f>
        <v/>
      </c>
      <c r="I228" t="str">
        <f>IF(G228="","",IF(G228="[FÓRMULA MANUAL]","",IFERROR(AVERAGEIFS(nNOTA,nNIA,G228,nCUENTA,1,nASIG,"Orquesta/Banda/Conjunto"),"")))</f>
        <v/>
      </c>
      <c r="J228" t="str">
        <f>IF(G228="","",IF(G228="[FÓRMULA MANUAL]","",IFERROR(AVERAGEIFS(nNOTA,nNIA,G228,nCUENTA,1,nASIG,"Conjunto"),"")))</f>
        <v/>
      </c>
      <c r="K228" t="str">
        <f>IF(G228="","",IF(G228="[FÓRMULA MANUAL]","",IFERROR(SUMPRODUCT((nNIA=G228)*(nCUENTA=1)*(COUNTIF(CONFIG_ASIGNATURAS!$B$7:$B$27,nASIG)&gt;0)*(nNOTA))/SUMPRODUCT((nNIA=G228)*(nCUENTA=1)*(COUNTIF(CONFIG_ASIGNATURAS!$B$7:$B$27,nASIG)&gt;0)*1),"")))</f>
        <v/>
      </c>
      <c r="N228" t="str">
        <f>IF(M228="","",IF(M228="[FÓRMULA MANUAL]","",IFERROR(AVERAGEIFS(nNOTA,nNIA,M228,nCUENTA,1,nASIG,"Armonía"),"")))</f>
        <v/>
      </c>
      <c r="O228" t="str">
        <f>IF(M228="","",IF(M228="[FÓRMULA MANUAL]","",IFERROR(AVERAGEIFS(nNOTA,nNIA,M228,nCUENTA,1,nASIG,"Orquesta/Banda/Conjunto"),"")))</f>
        <v/>
      </c>
      <c r="P228" t="str">
        <f>IF(M228="","",IF(M228="[FÓRMULA MANUAL]","",IFERROR(AVERAGEIFS(nNOTA,nNIA,M228,nCUENTA,1,nASIG,"Música de Cámara"),"")))</f>
        <v/>
      </c>
      <c r="Q228" t="str">
        <f>IF(M228="","",IF(M228="[FÓRMULA MANUAL]","",IFERROR(SUMPRODUCT((nNIA=M228)*(nCUENTA=1)*(COUNTIF(CONFIG_ASIGNATURAS!$B$7:$B$27,nASIG)&gt;0)*(nNOTA))/SUMPRODUCT((nNIA=M228)*(nCUENTA=1)*(COUNTIF(CONFIG_ASIGNATURAS!$B$7:$B$27,nASIG)&gt;0)*1),"")))</f>
        <v/>
      </c>
      <c r="T228" t="str">
        <f>IF(S228="","",IF(S228="[FÓRMULA MANUAL]","",IFERROR(AVERAGEIFS(nNOTA,nNIA,S228,nCUENTA,1,nASIG,"Armonía"),"")))</f>
        <v/>
      </c>
      <c r="U228" t="str">
        <f>IF(S228="","",IF(S228="[FÓRMULA MANUAL]","",IFERROR(AVERAGEIFS(nNOTA,nNIA,S228,nCUENTA,1,nASIG,"Orquesta/Banda/Conjunto"),"")))</f>
        <v/>
      </c>
      <c r="V228" t="str">
        <f>IF(S228="","",IF(S228="[FÓRMULA MANUAL]","",IFERROR(AVERAGEIFS(nNOTA,nNIA,S228,nCUENTA,1,nASIG,"Música de Cámara"),"")))</f>
        <v/>
      </c>
      <c r="W228" t="str">
        <f>IF(S228="","",IF(S228="[FÓRMULA MANUAL]","",IFERROR(SUMPRODUCT((nNIA=S228)*(nCUENTA=1)*(COUNTIF(CONFIG_ASIGNATURAS!$B$7:$B$27,nASIG)&gt;0)*(nNOTA))/SUMPRODUCT((nNIA=S228)*(nCUENTA=1)*(COUNTIF(CONFIG_ASIGNATURAS!$B$7:$B$27,nASIG)&gt;0)*1),"")))</f>
        <v/>
      </c>
      <c r="Z228" t="str">
        <f>IF(Y228="","",IF(Y228="[FÓRMULA MANUAL]","",IFERROR(AVERAGEIFS(nNOTA,nNIA,Y228,nCUENTA,1,nASIG,"Análisis"),"")))</f>
        <v/>
      </c>
      <c r="AA228" t="str">
        <f>IF(Y228="","",IF(Y228="[FÓRMULA MANUAL]","",IFERROR(AVERAGEIFS(nNOTA,nNIA,Y228,nCUENTA,1,nASIG,"Orquesta/Banda/Conjunto"),"")))</f>
        <v/>
      </c>
      <c r="AB228" t="str">
        <f>IF(Y228="","",IF(Y228="[FÓRMULA MANUAL]","",IFERROR(AVERAGEIFS(nNOTA,nNIA,Y228,nCUENTA,1,nASIG,"Música de Cámara"),"")))</f>
        <v/>
      </c>
      <c r="AC228" t="str">
        <f>IF(Y228="","",IF(Y228="[FÓRMULA MANUAL]","",IFERROR(SUMPRODUCT((nNIA=Y228)*(nCUENTA=1)*(COUNTIF(CONFIG_ASIGNATURAS!$B$7:$B$27,nASIG)&gt;0)*(nNOTA))/SUMPRODUCT((nNIA=Y228)*(nCUENTA=1)*(COUNTIF(CONFIG_ASIGNATURAS!$B$7:$B$27,nASIG)&gt;0)*1),"")))</f>
        <v/>
      </c>
      <c r="AF228" t="str">
        <f>IF(AE228="","",IF(AE228="[FÓRMULA MANUAL]","",IFERROR(AVERAGEIFS(nNOTA,nNIA,AE228,nCUENTA,1,nASIG,"Análisis"),"")))</f>
        <v/>
      </c>
      <c r="AG228" t="str">
        <f>IF(AE228="","",IF(AE228="[FÓRMULA MANUAL]","",IFERROR(AVERAGEIFS(nNOTA,nNIA,AE228,nCUENTA,1,nASIG,"Orquesta/Banda/Conjunto"),"")))</f>
        <v/>
      </c>
      <c r="AH228" t="str">
        <f>IF(AE228="","",IF(AE228="[FÓRMULA MANUAL]","",IFERROR(AVERAGEIFS(nNOTA,nNIA,AE228,nCUENTA,1,nASIG,"Música de Cámara"),"")))</f>
        <v/>
      </c>
      <c r="AI228" t="str">
        <f>IF(AE228="","",IF(AE228="[FÓRMULA MANUAL]","",IFERROR(SUMPRODUCT((nNIA=AE228)*(nCUENTA=1)*(COUNTIF(CONFIG_ASIGNATURAS!$B$7:$B$27,nASIG)&gt;0)*(nNOTA))/SUMPRODUCT((nNIA=AE228)*(nCUENTA=1)*(COUNTIF(CONFIG_ASIGNATURAS!$B$7:$B$27,nASIG)&gt;0)*1),"")))</f>
        <v/>
      </c>
    </row>
    <row r="229" spans="2:35" x14ac:dyDescent="0.2">
      <c r="B229" t="str">
        <f>IF(A229="","",IF(A229="[FÓRMULA MANUAL]","",IFERROR(AVERAGEIFS(nNOTA,nNIA,A229,nCUENTA,1,nASIG,"Lenguaje Musical"),"")))</f>
        <v/>
      </c>
      <c r="C229" t="str">
        <f>IF(A229="","",IF(A229="[FÓRMULA MANUAL]","",IFERROR(AVERAGEIFS(nNOTA,nNIA,A229,nCUENTA,1,nASIG,"Orquesta/Banda/Conjunto"),"")))</f>
        <v/>
      </c>
      <c r="D229" t="str">
        <f>IF(A229="","",IF(A229="[FÓRMULA MANUAL]","",IFERROR(AVERAGEIFS(nNOTA,nNIA,A229,nCUENTA,1,nASIG,"Conjunto"),"")))</f>
        <v/>
      </c>
      <c r="E229" t="str">
        <f>IF(A229="","",IF(A229="[FÓRMULA MANUAL]","",IFERROR(SUMPRODUCT((nNIA=A229)*(nCUENTA=1)*(COUNTIF(CONFIG_ASIGNATURAS!$B$7:$B$27,nASIG)&gt;0)*(nNOTA))/SUMPRODUCT((nNIA=A229)*(nCUENTA=1)*(COUNTIF(CONFIG_ASIGNATURAS!$B$7:$B$27,nASIG)&gt;0)*1),"")))</f>
        <v/>
      </c>
      <c r="H229" t="str">
        <f>IF(G229="","",IF(G229="[FÓRMULA MANUAL]","",IFERROR(AVERAGEIFS(nNOTA,nNIA,G229,nCUENTA,1,nASIG,"Lenguaje Musical"),"")))</f>
        <v/>
      </c>
      <c r="I229" t="str">
        <f>IF(G229="","",IF(G229="[FÓRMULA MANUAL]","",IFERROR(AVERAGEIFS(nNOTA,nNIA,G229,nCUENTA,1,nASIG,"Orquesta/Banda/Conjunto"),"")))</f>
        <v/>
      </c>
      <c r="J229" t="str">
        <f>IF(G229="","",IF(G229="[FÓRMULA MANUAL]","",IFERROR(AVERAGEIFS(nNOTA,nNIA,G229,nCUENTA,1,nASIG,"Conjunto"),"")))</f>
        <v/>
      </c>
      <c r="K229" t="str">
        <f>IF(G229="","",IF(G229="[FÓRMULA MANUAL]","",IFERROR(SUMPRODUCT((nNIA=G229)*(nCUENTA=1)*(COUNTIF(CONFIG_ASIGNATURAS!$B$7:$B$27,nASIG)&gt;0)*(nNOTA))/SUMPRODUCT((nNIA=G229)*(nCUENTA=1)*(COUNTIF(CONFIG_ASIGNATURAS!$B$7:$B$27,nASIG)&gt;0)*1),"")))</f>
        <v/>
      </c>
      <c r="N229" t="str">
        <f>IF(M229="","",IF(M229="[FÓRMULA MANUAL]","",IFERROR(AVERAGEIFS(nNOTA,nNIA,M229,nCUENTA,1,nASIG,"Armonía"),"")))</f>
        <v/>
      </c>
      <c r="O229" t="str">
        <f>IF(M229="","",IF(M229="[FÓRMULA MANUAL]","",IFERROR(AVERAGEIFS(nNOTA,nNIA,M229,nCUENTA,1,nASIG,"Orquesta/Banda/Conjunto"),"")))</f>
        <v/>
      </c>
      <c r="P229" t="str">
        <f>IF(M229="","",IF(M229="[FÓRMULA MANUAL]","",IFERROR(AVERAGEIFS(nNOTA,nNIA,M229,nCUENTA,1,nASIG,"Música de Cámara"),"")))</f>
        <v/>
      </c>
      <c r="Q229" t="str">
        <f>IF(M229="","",IF(M229="[FÓRMULA MANUAL]","",IFERROR(SUMPRODUCT((nNIA=M229)*(nCUENTA=1)*(COUNTIF(CONFIG_ASIGNATURAS!$B$7:$B$27,nASIG)&gt;0)*(nNOTA))/SUMPRODUCT((nNIA=M229)*(nCUENTA=1)*(COUNTIF(CONFIG_ASIGNATURAS!$B$7:$B$27,nASIG)&gt;0)*1),"")))</f>
        <v/>
      </c>
      <c r="T229" t="str">
        <f>IF(S229="","",IF(S229="[FÓRMULA MANUAL]","",IFERROR(AVERAGEIFS(nNOTA,nNIA,S229,nCUENTA,1,nASIG,"Armonía"),"")))</f>
        <v/>
      </c>
      <c r="U229" t="str">
        <f>IF(S229="","",IF(S229="[FÓRMULA MANUAL]","",IFERROR(AVERAGEIFS(nNOTA,nNIA,S229,nCUENTA,1,nASIG,"Orquesta/Banda/Conjunto"),"")))</f>
        <v/>
      </c>
      <c r="V229" t="str">
        <f>IF(S229="","",IF(S229="[FÓRMULA MANUAL]","",IFERROR(AVERAGEIFS(nNOTA,nNIA,S229,nCUENTA,1,nASIG,"Música de Cámara"),"")))</f>
        <v/>
      </c>
      <c r="W229" t="str">
        <f>IF(S229="","",IF(S229="[FÓRMULA MANUAL]","",IFERROR(SUMPRODUCT((nNIA=S229)*(nCUENTA=1)*(COUNTIF(CONFIG_ASIGNATURAS!$B$7:$B$27,nASIG)&gt;0)*(nNOTA))/SUMPRODUCT((nNIA=S229)*(nCUENTA=1)*(COUNTIF(CONFIG_ASIGNATURAS!$B$7:$B$27,nASIG)&gt;0)*1),"")))</f>
        <v/>
      </c>
      <c r="Z229" t="str">
        <f>IF(Y229="","",IF(Y229="[FÓRMULA MANUAL]","",IFERROR(AVERAGEIFS(nNOTA,nNIA,Y229,nCUENTA,1,nASIG,"Análisis"),"")))</f>
        <v/>
      </c>
      <c r="AA229" t="str">
        <f>IF(Y229="","",IF(Y229="[FÓRMULA MANUAL]","",IFERROR(AVERAGEIFS(nNOTA,nNIA,Y229,nCUENTA,1,nASIG,"Orquesta/Banda/Conjunto"),"")))</f>
        <v/>
      </c>
      <c r="AB229" t="str">
        <f>IF(Y229="","",IF(Y229="[FÓRMULA MANUAL]","",IFERROR(AVERAGEIFS(nNOTA,nNIA,Y229,nCUENTA,1,nASIG,"Música de Cámara"),"")))</f>
        <v/>
      </c>
      <c r="AC229" t="str">
        <f>IF(Y229="","",IF(Y229="[FÓRMULA MANUAL]","",IFERROR(SUMPRODUCT((nNIA=Y229)*(nCUENTA=1)*(COUNTIF(CONFIG_ASIGNATURAS!$B$7:$B$27,nASIG)&gt;0)*(nNOTA))/SUMPRODUCT((nNIA=Y229)*(nCUENTA=1)*(COUNTIF(CONFIG_ASIGNATURAS!$B$7:$B$27,nASIG)&gt;0)*1),"")))</f>
        <v/>
      </c>
      <c r="AF229" t="str">
        <f>IF(AE229="","",IF(AE229="[FÓRMULA MANUAL]","",IFERROR(AVERAGEIFS(nNOTA,nNIA,AE229,nCUENTA,1,nASIG,"Análisis"),"")))</f>
        <v/>
      </c>
      <c r="AG229" t="str">
        <f>IF(AE229="","",IF(AE229="[FÓRMULA MANUAL]","",IFERROR(AVERAGEIFS(nNOTA,nNIA,AE229,nCUENTA,1,nASIG,"Orquesta/Banda/Conjunto"),"")))</f>
        <v/>
      </c>
      <c r="AH229" t="str">
        <f>IF(AE229="","",IF(AE229="[FÓRMULA MANUAL]","",IFERROR(AVERAGEIFS(nNOTA,nNIA,AE229,nCUENTA,1,nASIG,"Música de Cámara"),"")))</f>
        <v/>
      </c>
      <c r="AI229" t="str">
        <f>IF(AE229="","",IF(AE229="[FÓRMULA MANUAL]","",IFERROR(SUMPRODUCT((nNIA=AE229)*(nCUENTA=1)*(COUNTIF(CONFIG_ASIGNATURAS!$B$7:$B$27,nASIG)&gt;0)*(nNOTA))/SUMPRODUCT((nNIA=AE229)*(nCUENTA=1)*(COUNTIF(CONFIG_ASIGNATURAS!$B$7:$B$27,nASIG)&gt;0)*1),"")))</f>
        <v/>
      </c>
    </row>
    <row r="230" spans="2:35" x14ac:dyDescent="0.2">
      <c r="B230" t="str">
        <f>IF(A230="","",IF(A230="[FÓRMULA MANUAL]","",IFERROR(AVERAGEIFS(nNOTA,nNIA,A230,nCUENTA,1,nASIG,"Lenguaje Musical"),"")))</f>
        <v/>
      </c>
      <c r="C230" t="str">
        <f>IF(A230="","",IF(A230="[FÓRMULA MANUAL]","",IFERROR(AVERAGEIFS(nNOTA,nNIA,A230,nCUENTA,1,nASIG,"Orquesta/Banda/Conjunto"),"")))</f>
        <v/>
      </c>
      <c r="D230" t="str">
        <f>IF(A230="","",IF(A230="[FÓRMULA MANUAL]","",IFERROR(AVERAGEIFS(nNOTA,nNIA,A230,nCUENTA,1,nASIG,"Conjunto"),"")))</f>
        <v/>
      </c>
      <c r="E230" t="str">
        <f>IF(A230="","",IF(A230="[FÓRMULA MANUAL]","",IFERROR(SUMPRODUCT((nNIA=A230)*(nCUENTA=1)*(COUNTIF(CONFIG_ASIGNATURAS!$B$7:$B$27,nASIG)&gt;0)*(nNOTA))/SUMPRODUCT((nNIA=A230)*(nCUENTA=1)*(COUNTIF(CONFIG_ASIGNATURAS!$B$7:$B$27,nASIG)&gt;0)*1),"")))</f>
        <v/>
      </c>
      <c r="H230" t="str">
        <f>IF(G230="","",IF(G230="[FÓRMULA MANUAL]","",IFERROR(AVERAGEIFS(nNOTA,nNIA,G230,nCUENTA,1,nASIG,"Lenguaje Musical"),"")))</f>
        <v/>
      </c>
      <c r="I230" t="str">
        <f>IF(G230="","",IF(G230="[FÓRMULA MANUAL]","",IFERROR(AVERAGEIFS(nNOTA,nNIA,G230,nCUENTA,1,nASIG,"Orquesta/Banda/Conjunto"),"")))</f>
        <v/>
      </c>
      <c r="J230" t="str">
        <f>IF(G230="","",IF(G230="[FÓRMULA MANUAL]","",IFERROR(AVERAGEIFS(nNOTA,nNIA,G230,nCUENTA,1,nASIG,"Conjunto"),"")))</f>
        <v/>
      </c>
      <c r="K230" t="str">
        <f>IF(G230="","",IF(G230="[FÓRMULA MANUAL]","",IFERROR(SUMPRODUCT((nNIA=G230)*(nCUENTA=1)*(COUNTIF(CONFIG_ASIGNATURAS!$B$7:$B$27,nASIG)&gt;0)*(nNOTA))/SUMPRODUCT((nNIA=G230)*(nCUENTA=1)*(COUNTIF(CONFIG_ASIGNATURAS!$B$7:$B$27,nASIG)&gt;0)*1),"")))</f>
        <v/>
      </c>
      <c r="N230" t="str">
        <f>IF(M230="","",IF(M230="[FÓRMULA MANUAL]","",IFERROR(AVERAGEIFS(nNOTA,nNIA,M230,nCUENTA,1,nASIG,"Armonía"),"")))</f>
        <v/>
      </c>
      <c r="O230" t="str">
        <f>IF(M230="","",IF(M230="[FÓRMULA MANUAL]","",IFERROR(AVERAGEIFS(nNOTA,nNIA,M230,nCUENTA,1,nASIG,"Orquesta/Banda/Conjunto"),"")))</f>
        <v/>
      </c>
      <c r="P230" t="str">
        <f>IF(M230="","",IF(M230="[FÓRMULA MANUAL]","",IFERROR(AVERAGEIFS(nNOTA,nNIA,M230,nCUENTA,1,nASIG,"Música de Cámara"),"")))</f>
        <v/>
      </c>
      <c r="Q230" t="str">
        <f>IF(M230="","",IF(M230="[FÓRMULA MANUAL]","",IFERROR(SUMPRODUCT((nNIA=M230)*(nCUENTA=1)*(COUNTIF(CONFIG_ASIGNATURAS!$B$7:$B$27,nASIG)&gt;0)*(nNOTA))/SUMPRODUCT((nNIA=M230)*(nCUENTA=1)*(COUNTIF(CONFIG_ASIGNATURAS!$B$7:$B$27,nASIG)&gt;0)*1),"")))</f>
        <v/>
      </c>
      <c r="T230" t="str">
        <f>IF(S230="","",IF(S230="[FÓRMULA MANUAL]","",IFERROR(AVERAGEIFS(nNOTA,nNIA,S230,nCUENTA,1,nASIG,"Armonía"),"")))</f>
        <v/>
      </c>
      <c r="U230" t="str">
        <f>IF(S230="","",IF(S230="[FÓRMULA MANUAL]","",IFERROR(AVERAGEIFS(nNOTA,nNIA,S230,nCUENTA,1,nASIG,"Orquesta/Banda/Conjunto"),"")))</f>
        <v/>
      </c>
      <c r="V230" t="str">
        <f>IF(S230="","",IF(S230="[FÓRMULA MANUAL]","",IFERROR(AVERAGEIFS(nNOTA,nNIA,S230,nCUENTA,1,nASIG,"Música de Cámara"),"")))</f>
        <v/>
      </c>
      <c r="W230" t="str">
        <f>IF(S230="","",IF(S230="[FÓRMULA MANUAL]","",IFERROR(SUMPRODUCT((nNIA=S230)*(nCUENTA=1)*(COUNTIF(CONFIG_ASIGNATURAS!$B$7:$B$27,nASIG)&gt;0)*(nNOTA))/SUMPRODUCT((nNIA=S230)*(nCUENTA=1)*(COUNTIF(CONFIG_ASIGNATURAS!$B$7:$B$27,nASIG)&gt;0)*1),"")))</f>
        <v/>
      </c>
      <c r="Z230" t="str">
        <f>IF(Y230="","",IF(Y230="[FÓRMULA MANUAL]","",IFERROR(AVERAGEIFS(nNOTA,nNIA,Y230,nCUENTA,1,nASIG,"Análisis"),"")))</f>
        <v/>
      </c>
      <c r="AA230" t="str">
        <f>IF(Y230="","",IF(Y230="[FÓRMULA MANUAL]","",IFERROR(AVERAGEIFS(nNOTA,nNIA,Y230,nCUENTA,1,nASIG,"Orquesta/Banda/Conjunto"),"")))</f>
        <v/>
      </c>
      <c r="AB230" t="str">
        <f>IF(Y230="","",IF(Y230="[FÓRMULA MANUAL]","",IFERROR(AVERAGEIFS(nNOTA,nNIA,Y230,nCUENTA,1,nASIG,"Música de Cámara"),"")))</f>
        <v/>
      </c>
      <c r="AC230" t="str">
        <f>IF(Y230="","",IF(Y230="[FÓRMULA MANUAL]","",IFERROR(SUMPRODUCT((nNIA=Y230)*(nCUENTA=1)*(COUNTIF(CONFIG_ASIGNATURAS!$B$7:$B$27,nASIG)&gt;0)*(nNOTA))/SUMPRODUCT((nNIA=Y230)*(nCUENTA=1)*(COUNTIF(CONFIG_ASIGNATURAS!$B$7:$B$27,nASIG)&gt;0)*1),"")))</f>
        <v/>
      </c>
      <c r="AF230" t="str">
        <f>IF(AE230="","",IF(AE230="[FÓRMULA MANUAL]","",IFERROR(AVERAGEIFS(nNOTA,nNIA,AE230,nCUENTA,1,nASIG,"Análisis"),"")))</f>
        <v/>
      </c>
      <c r="AG230" t="str">
        <f>IF(AE230="","",IF(AE230="[FÓRMULA MANUAL]","",IFERROR(AVERAGEIFS(nNOTA,nNIA,AE230,nCUENTA,1,nASIG,"Orquesta/Banda/Conjunto"),"")))</f>
        <v/>
      </c>
      <c r="AH230" t="str">
        <f>IF(AE230="","",IF(AE230="[FÓRMULA MANUAL]","",IFERROR(AVERAGEIFS(nNOTA,nNIA,AE230,nCUENTA,1,nASIG,"Música de Cámara"),"")))</f>
        <v/>
      </c>
      <c r="AI230" t="str">
        <f>IF(AE230="","",IF(AE230="[FÓRMULA MANUAL]","",IFERROR(SUMPRODUCT((nNIA=AE230)*(nCUENTA=1)*(COUNTIF(CONFIG_ASIGNATURAS!$B$7:$B$27,nASIG)&gt;0)*(nNOTA))/SUMPRODUCT((nNIA=AE230)*(nCUENTA=1)*(COUNTIF(CONFIG_ASIGNATURAS!$B$7:$B$27,nASIG)&gt;0)*1),"")))</f>
        <v/>
      </c>
    </row>
    <row r="231" spans="2:35" x14ac:dyDescent="0.2">
      <c r="B231" t="str">
        <f>IF(A231="","",IF(A231="[FÓRMULA MANUAL]","",IFERROR(AVERAGEIFS(nNOTA,nNIA,A231,nCUENTA,1,nASIG,"Lenguaje Musical"),"")))</f>
        <v/>
      </c>
      <c r="C231" t="str">
        <f>IF(A231="","",IF(A231="[FÓRMULA MANUAL]","",IFERROR(AVERAGEIFS(nNOTA,nNIA,A231,nCUENTA,1,nASIG,"Orquesta/Banda/Conjunto"),"")))</f>
        <v/>
      </c>
      <c r="D231" t="str">
        <f>IF(A231="","",IF(A231="[FÓRMULA MANUAL]","",IFERROR(AVERAGEIFS(nNOTA,nNIA,A231,nCUENTA,1,nASIG,"Conjunto"),"")))</f>
        <v/>
      </c>
      <c r="E231" t="str">
        <f>IF(A231="","",IF(A231="[FÓRMULA MANUAL]","",IFERROR(SUMPRODUCT((nNIA=A231)*(nCUENTA=1)*(COUNTIF(CONFIG_ASIGNATURAS!$B$7:$B$27,nASIG)&gt;0)*(nNOTA))/SUMPRODUCT((nNIA=A231)*(nCUENTA=1)*(COUNTIF(CONFIG_ASIGNATURAS!$B$7:$B$27,nASIG)&gt;0)*1),"")))</f>
        <v/>
      </c>
      <c r="H231" t="str">
        <f>IF(G231="","",IF(G231="[FÓRMULA MANUAL]","",IFERROR(AVERAGEIFS(nNOTA,nNIA,G231,nCUENTA,1,nASIG,"Lenguaje Musical"),"")))</f>
        <v/>
      </c>
      <c r="I231" t="str">
        <f>IF(G231="","",IF(G231="[FÓRMULA MANUAL]","",IFERROR(AVERAGEIFS(nNOTA,nNIA,G231,nCUENTA,1,nASIG,"Orquesta/Banda/Conjunto"),"")))</f>
        <v/>
      </c>
      <c r="J231" t="str">
        <f>IF(G231="","",IF(G231="[FÓRMULA MANUAL]","",IFERROR(AVERAGEIFS(nNOTA,nNIA,G231,nCUENTA,1,nASIG,"Conjunto"),"")))</f>
        <v/>
      </c>
      <c r="K231" t="str">
        <f>IF(G231="","",IF(G231="[FÓRMULA MANUAL]","",IFERROR(SUMPRODUCT((nNIA=G231)*(nCUENTA=1)*(COUNTIF(CONFIG_ASIGNATURAS!$B$7:$B$27,nASIG)&gt;0)*(nNOTA))/SUMPRODUCT((nNIA=G231)*(nCUENTA=1)*(COUNTIF(CONFIG_ASIGNATURAS!$B$7:$B$27,nASIG)&gt;0)*1),"")))</f>
        <v/>
      </c>
      <c r="N231" t="str">
        <f>IF(M231="","",IF(M231="[FÓRMULA MANUAL]","",IFERROR(AVERAGEIFS(nNOTA,nNIA,M231,nCUENTA,1,nASIG,"Armonía"),"")))</f>
        <v/>
      </c>
      <c r="O231" t="str">
        <f>IF(M231="","",IF(M231="[FÓRMULA MANUAL]","",IFERROR(AVERAGEIFS(nNOTA,nNIA,M231,nCUENTA,1,nASIG,"Orquesta/Banda/Conjunto"),"")))</f>
        <v/>
      </c>
      <c r="P231" t="str">
        <f>IF(M231="","",IF(M231="[FÓRMULA MANUAL]","",IFERROR(AVERAGEIFS(nNOTA,nNIA,M231,nCUENTA,1,nASIG,"Música de Cámara"),"")))</f>
        <v/>
      </c>
      <c r="Q231" t="str">
        <f>IF(M231="","",IF(M231="[FÓRMULA MANUAL]","",IFERROR(SUMPRODUCT((nNIA=M231)*(nCUENTA=1)*(COUNTIF(CONFIG_ASIGNATURAS!$B$7:$B$27,nASIG)&gt;0)*(nNOTA))/SUMPRODUCT((nNIA=M231)*(nCUENTA=1)*(COUNTIF(CONFIG_ASIGNATURAS!$B$7:$B$27,nASIG)&gt;0)*1),"")))</f>
        <v/>
      </c>
      <c r="T231" t="str">
        <f>IF(S231="","",IF(S231="[FÓRMULA MANUAL]","",IFERROR(AVERAGEIFS(nNOTA,nNIA,S231,nCUENTA,1,nASIG,"Armonía"),"")))</f>
        <v/>
      </c>
      <c r="U231" t="str">
        <f>IF(S231="","",IF(S231="[FÓRMULA MANUAL]","",IFERROR(AVERAGEIFS(nNOTA,nNIA,S231,nCUENTA,1,nASIG,"Orquesta/Banda/Conjunto"),"")))</f>
        <v/>
      </c>
      <c r="V231" t="str">
        <f>IF(S231="","",IF(S231="[FÓRMULA MANUAL]","",IFERROR(AVERAGEIFS(nNOTA,nNIA,S231,nCUENTA,1,nASIG,"Música de Cámara"),"")))</f>
        <v/>
      </c>
      <c r="W231" t="str">
        <f>IF(S231="","",IF(S231="[FÓRMULA MANUAL]","",IFERROR(SUMPRODUCT((nNIA=S231)*(nCUENTA=1)*(COUNTIF(CONFIG_ASIGNATURAS!$B$7:$B$27,nASIG)&gt;0)*(nNOTA))/SUMPRODUCT((nNIA=S231)*(nCUENTA=1)*(COUNTIF(CONFIG_ASIGNATURAS!$B$7:$B$27,nASIG)&gt;0)*1),"")))</f>
        <v/>
      </c>
      <c r="Z231" t="str">
        <f>IF(Y231="","",IF(Y231="[FÓRMULA MANUAL]","",IFERROR(AVERAGEIFS(nNOTA,nNIA,Y231,nCUENTA,1,nASIG,"Análisis"),"")))</f>
        <v/>
      </c>
      <c r="AA231" t="str">
        <f>IF(Y231="","",IF(Y231="[FÓRMULA MANUAL]","",IFERROR(AVERAGEIFS(nNOTA,nNIA,Y231,nCUENTA,1,nASIG,"Orquesta/Banda/Conjunto"),"")))</f>
        <v/>
      </c>
      <c r="AB231" t="str">
        <f>IF(Y231="","",IF(Y231="[FÓRMULA MANUAL]","",IFERROR(AVERAGEIFS(nNOTA,nNIA,Y231,nCUENTA,1,nASIG,"Música de Cámara"),"")))</f>
        <v/>
      </c>
      <c r="AC231" t="str">
        <f>IF(Y231="","",IF(Y231="[FÓRMULA MANUAL]","",IFERROR(SUMPRODUCT((nNIA=Y231)*(nCUENTA=1)*(COUNTIF(CONFIG_ASIGNATURAS!$B$7:$B$27,nASIG)&gt;0)*(nNOTA))/SUMPRODUCT((nNIA=Y231)*(nCUENTA=1)*(COUNTIF(CONFIG_ASIGNATURAS!$B$7:$B$27,nASIG)&gt;0)*1),"")))</f>
        <v/>
      </c>
      <c r="AF231" t="str">
        <f>IF(AE231="","",IF(AE231="[FÓRMULA MANUAL]","",IFERROR(AVERAGEIFS(nNOTA,nNIA,AE231,nCUENTA,1,nASIG,"Análisis"),"")))</f>
        <v/>
      </c>
      <c r="AG231" t="str">
        <f>IF(AE231="","",IF(AE231="[FÓRMULA MANUAL]","",IFERROR(AVERAGEIFS(nNOTA,nNIA,AE231,nCUENTA,1,nASIG,"Orquesta/Banda/Conjunto"),"")))</f>
        <v/>
      </c>
      <c r="AH231" t="str">
        <f>IF(AE231="","",IF(AE231="[FÓRMULA MANUAL]","",IFERROR(AVERAGEIFS(nNOTA,nNIA,AE231,nCUENTA,1,nASIG,"Música de Cámara"),"")))</f>
        <v/>
      </c>
      <c r="AI231" t="str">
        <f>IF(AE231="","",IF(AE231="[FÓRMULA MANUAL]","",IFERROR(SUMPRODUCT((nNIA=AE231)*(nCUENTA=1)*(COUNTIF(CONFIG_ASIGNATURAS!$B$7:$B$27,nASIG)&gt;0)*(nNOTA))/SUMPRODUCT((nNIA=AE231)*(nCUENTA=1)*(COUNTIF(CONFIG_ASIGNATURAS!$B$7:$B$27,nASIG)&gt;0)*1),"")))</f>
        <v/>
      </c>
    </row>
    <row r="232" spans="2:35" x14ac:dyDescent="0.2">
      <c r="B232" t="str">
        <f>IF(A232="","",IF(A232="[FÓRMULA MANUAL]","",IFERROR(AVERAGEIFS(nNOTA,nNIA,A232,nCUENTA,1,nASIG,"Lenguaje Musical"),"")))</f>
        <v/>
      </c>
      <c r="C232" t="str">
        <f>IF(A232="","",IF(A232="[FÓRMULA MANUAL]","",IFERROR(AVERAGEIFS(nNOTA,nNIA,A232,nCUENTA,1,nASIG,"Orquesta/Banda/Conjunto"),"")))</f>
        <v/>
      </c>
      <c r="D232" t="str">
        <f>IF(A232="","",IF(A232="[FÓRMULA MANUAL]","",IFERROR(AVERAGEIFS(nNOTA,nNIA,A232,nCUENTA,1,nASIG,"Conjunto"),"")))</f>
        <v/>
      </c>
      <c r="E232" t="str">
        <f>IF(A232="","",IF(A232="[FÓRMULA MANUAL]","",IFERROR(SUMPRODUCT((nNIA=A232)*(nCUENTA=1)*(COUNTIF(CONFIG_ASIGNATURAS!$B$7:$B$27,nASIG)&gt;0)*(nNOTA))/SUMPRODUCT((nNIA=A232)*(nCUENTA=1)*(COUNTIF(CONFIG_ASIGNATURAS!$B$7:$B$27,nASIG)&gt;0)*1),"")))</f>
        <v/>
      </c>
      <c r="H232" t="str">
        <f>IF(G232="","",IF(G232="[FÓRMULA MANUAL]","",IFERROR(AVERAGEIFS(nNOTA,nNIA,G232,nCUENTA,1,nASIG,"Lenguaje Musical"),"")))</f>
        <v/>
      </c>
      <c r="I232" t="str">
        <f>IF(G232="","",IF(G232="[FÓRMULA MANUAL]","",IFERROR(AVERAGEIFS(nNOTA,nNIA,G232,nCUENTA,1,nASIG,"Orquesta/Banda/Conjunto"),"")))</f>
        <v/>
      </c>
      <c r="J232" t="str">
        <f>IF(G232="","",IF(G232="[FÓRMULA MANUAL]","",IFERROR(AVERAGEIFS(nNOTA,nNIA,G232,nCUENTA,1,nASIG,"Conjunto"),"")))</f>
        <v/>
      </c>
      <c r="K232" t="str">
        <f>IF(G232="","",IF(G232="[FÓRMULA MANUAL]","",IFERROR(SUMPRODUCT((nNIA=G232)*(nCUENTA=1)*(COUNTIF(CONFIG_ASIGNATURAS!$B$7:$B$27,nASIG)&gt;0)*(nNOTA))/SUMPRODUCT((nNIA=G232)*(nCUENTA=1)*(COUNTIF(CONFIG_ASIGNATURAS!$B$7:$B$27,nASIG)&gt;0)*1),"")))</f>
        <v/>
      </c>
      <c r="N232" t="str">
        <f>IF(M232="","",IF(M232="[FÓRMULA MANUAL]","",IFERROR(AVERAGEIFS(nNOTA,nNIA,M232,nCUENTA,1,nASIG,"Armonía"),"")))</f>
        <v/>
      </c>
      <c r="O232" t="str">
        <f>IF(M232="","",IF(M232="[FÓRMULA MANUAL]","",IFERROR(AVERAGEIFS(nNOTA,nNIA,M232,nCUENTA,1,nASIG,"Orquesta/Banda/Conjunto"),"")))</f>
        <v/>
      </c>
      <c r="P232" t="str">
        <f>IF(M232="","",IF(M232="[FÓRMULA MANUAL]","",IFERROR(AVERAGEIFS(nNOTA,nNIA,M232,nCUENTA,1,nASIG,"Música de Cámara"),"")))</f>
        <v/>
      </c>
      <c r="Q232" t="str">
        <f>IF(M232="","",IF(M232="[FÓRMULA MANUAL]","",IFERROR(SUMPRODUCT((nNIA=M232)*(nCUENTA=1)*(COUNTIF(CONFIG_ASIGNATURAS!$B$7:$B$27,nASIG)&gt;0)*(nNOTA))/SUMPRODUCT((nNIA=M232)*(nCUENTA=1)*(COUNTIF(CONFIG_ASIGNATURAS!$B$7:$B$27,nASIG)&gt;0)*1),"")))</f>
        <v/>
      </c>
      <c r="T232" t="str">
        <f>IF(S232="","",IF(S232="[FÓRMULA MANUAL]","",IFERROR(AVERAGEIFS(nNOTA,nNIA,S232,nCUENTA,1,nASIG,"Armonía"),"")))</f>
        <v/>
      </c>
      <c r="U232" t="str">
        <f>IF(S232="","",IF(S232="[FÓRMULA MANUAL]","",IFERROR(AVERAGEIFS(nNOTA,nNIA,S232,nCUENTA,1,nASIG,"Orquesta/Banda/Conjunto"),"")))</f>
        <v/>
      </c>
      <c r="V232" t="str">
        <f>IF(S232="","",IF(S232="[FÓRMULA MANUAL]","",IFERROR(AVERAGEIFS(nNOTA,nNIA,S232,nCUENTA,1,nASIG,"Música de Cámara"),"")))</f>
        <v/>
      </c>
      <c r="W232" t="str">
        <f>IF(S232="","",IF(S232="[FÓRMULA MANUAL]","",IFERROR(SUMPRODUCT((nNIA=S232)*(nCUENTA=1)*(COUNTIF(CONFIG_ASIGNATURAS!$B$7:$B$27,nASIG)&gt;0)*(nNOTA))/SUMPRODUCT((nNIA=S232)*(nCUENTA=1)*(COUNTIF(CONFIG_ASIGNATURAS!$B$7:$B$27,nASIG)&gt;0)*1),"")))</f>
        <v/>
      </c>
      <c r="Z232" t="str">
        <f>IF(Y232="","",IF(Y232="[FÓRMULA MANUAL]","",IFERROR(AVERAGEIFS(nNOTA,nNIA,Y232,nCUENTA,1,nASIG,"Análisis"),"")))</f>
        <v/>
      </c>
      <c r="AA232" t="str">
        <f>IF(Y232="","",IF(Y232="[FÓRMULA MANUAL]","",IFERROR(AVERAGEIFS(nNOTA,nNIA,Y232,nCUENTA,1,nASIG,"Orquesta/Banda/Conjunto"),"")))</f>
        <v/>
      </c>
      <c r="AB232" t="str">
        <f>IF(Y232="","",IF(Y232="[FÓRMULA MANUAL]","",IFERROR(AVERAGEIFS(nNOTA,nNIA,Y232,nCUENTA,1,nASIG,"Música de Cámara"),"")))</f>
        <v/>
      </c>
      <c r="AC232" t="str">
        <f>IF(Y232="","",IF(Y232="[FÓRMULA MANUAL]","",IFERROR(SUMPRODUCT((nNIA=Y232)*(nCUENTA=1)*(COUNTIF(CONFIG_ASIGNATURAS!$B$7:$B$27,nASIG)&gt;0)*(nNOTA))/SUMPRODUCT((nNIA=Y232)*(nCUENTA=1)*(COUNTIF(CONFIG_ASIGNATURAS!$B$7:$B$27,nASIG)&gt;0)*1),"")))</f>
        <v/>
      </c>
      <c r="AF232" t="str">
        <f>IF(AE232="","",IF(AE232="[FÓRMULA MANUAL]","",IFERROR(AVERAGEIFS(nNOTA,nNIA,AE232,nCUENTA,1,nASIG,"Análisis"),"")))</f>
        <v/>
      </c>
      <c r="AG232" t="str">
        <f>IF(AE232="","",IF(AE232="[FÓRMULA MANUAL]","",IFERROR(AVERAGEIFS(nNOTA,nNIA,AE232,nCUENTA,1,nASIG,"Orquesta/Banda/Conjunto"),"")))</f>
        <v/>
      </c>
      <c r="AH232" t="str">
        <f>IF(AE232="","",IF(AE232="[FÓRMULA MANUAL]","",IFERROR(AVERAGEIFS(nNOTA,nNIA,AE232,nCUENTA,1,nASIG,"Música de Cámara"),"")))</f>
        <v/>
      </c>
      <c r="AI232" t="str">
        <f>IF(AE232="","",IF(AE232="[FÓRMULA MANUAL]","",IFERROR(SUMPRODUCT((nNIA=AE232)*(nCUENTA=1)*(COUNTIF(CONFIG_ASIGNATURAS!$B$7:$B$27,nASIG)&gt;0)*(nNOTA))/SUMPRODUCT((nNIA=AE232)*(nCUENTA=1)*(COUNTIF(CONFIG_ASIGNATURAS!$B$7:$B$27,nASIG)&gt;0)*1),"")))</f>
        <v/>
      </c>
    </row>
    <row r="233" spans="2:35" x14ac:dyDescent="0.2">
      <c r="B233" t="str">
        <f>IF(A233="","",IF(A233="[FÓRMULA MANUAL]","",IFERROR(AVERAGEIFS(nNOTA,nNIA,A233,nCUENTA,1,nASIG,"Lenguaje Musical"),"")))</f>
        <v/>
      </c>
      <c r="C233" t="str">
        <f>IF(A233="","",IF(A233="[FÓRMULA MANUAL]","",IFERROR(AVERAGEIFS(nNOTA,nNIA,A233,nCUENTA,1,nASIG,"Orquesta/Banda/Conjunto"),"")))</f>
        <v/>
      </c>
      <c r="D233" t="str">
        <f>IF(A233="","",IF(A233="[FÓRMULA MANUAL]","",IFERROR(AVERAGEIFS(nNOTA,nNIA,A233,nCUENTA,1,nASIG,"Conjunto"),"")))</f>
        <v/>
      </c>
      <c r="E233" t="str">
        <f>IF(A233="","",IF(A233="[FÓRMULA MANUAL]","",IFERROR(SUMPRODUCT((nNIA=A233)*(nCUENTA=1)*(COUNTIF(CONFIG_ASIGNATURAS!$B$7:$B$27,nASIG)&gt;0)*(nNOTA))/SUMPRODUCT((nNIA=A233)*(nCUENTA=1)*(COUNTIF(CONFIG_ASIGNATURAS!$B$7:$B$27,nASIG)&gt;0)*1),"")))</f>
        <v/>
      </c>
      <c r="H233" t="str">
        <f>IF(G233="","",IF(G233="[FÓRMULA MANUAL]","",IFERROR(AVERAGEIFS(nNOTA,nNIA,G233,nCUENTA,1,nASIG,"Lenguaje Musical"),"")))</f>
        <v/>
      </c>
      <c r="I233" t="str">
        <f>IF(G233="","",IF(G233="[FÓRMULA MANUAL]","",IFERROR(AVERAGEIFS(nNOTA,nNIA,G233,nCUENTA,1,nASIG,"Orquesta/Banda/Conjunto"),"")))</f>
        <v/>
      </c>
      <c r="J233" t="str">
        <f>IF(G233="","",IF(G233="[FÓRMULA MANUAL]","",IFERROR(AVERAGEIFS(nNOTA,nNIA,G233,nCUENTA,1,nASIG,"Conjunto"),"")))</f>
        <v/>
      </c>
      <c r="K233" t="str">
        <f>IF(G233="","",IF(G233="[FÓRMULA MANUAL]","",IFERROR(SUMPRODUCT((nNIA=G233)*(nCUENTA=1)*(COUNTIF(CONFIG_ASIGNATURAS!$B$7:$B$27,nASIG)&gt;0)*(nNOTA))/SUMPRODUCT((nNIA=G233)*(nCUENTA=1)*(COUNTIF(CONFIG_ASIGNATURAS!$B$7:$B$27,nASIG)&gt;0)*1),"")))</f>
        <v/>
      </c>
      <c r="N233" t="str">
        <f>IF(M233="","",IF(M233="[FÓRMULA MANUAL]","",IFERROR(AVERAGEIFS(nNOTA,nNIA,M233,nCUENTA,1,nASIG,"Armonía"),"")))</f>
        <v/>
      </c>
      <c r="O233" t="str">
        <f>IF(M233="","",IF(M233="[FÓRMULA MANUAL]","",IFERROR(AVERAGEIFS(nNOTA,nNIA,M233,nCUENTA,1,nASIG,"Orquesta/Banda/Conjunto"),"")))</f>
        <v/>
      </c>
      <c r="P233" t="str">
        <f>IF(M233="","",IF(M233="[FÓRMULA MANUAL]","",IFERROR(AVERAGEIFS(nNOTA,nNIA,M233,nCUENTA,1,nASIG,"Música de Cámara"),"")))</f>
        <v/>
      </c>
      <c r="Q233" t="str">
        <f>IF(M233="","",IF(M233="[FÓRMULA MANUAL]","",IFERROR(SUMPRODUCT((nNIA=M233)*(nCUENTA=1)*(COUNTIF(CONFIG_ASIGNATURAS!$B$7:$B$27,nASIG)&gt;0)*(nNOTA))/SUMPRODUCT((nNIA=M233)*(nCUENTA=1)*(COUNTIF(CONFIG_ASIGNATURAS!$B$7:$B$27,nASIG)&gt;0)*1),"")))</f>
        <v/>
      </c>
      <c r="T233" t="str">
        <f>IF(S233="","",IF(S233="[FÓRMULA MANUAL]","",IFERROR(AVERAGEIFS(nNOTA,nNIA,S233,nCUENTA,1,nASIG,"Armonía"),"")))</f>
        <v/>
      </c>
      <c r="U233" t="str">
        <f>IF(S233="","",IF(S233="[FÓRMULA MANUAL]","",IFERROR(AVERAGEIFS(nNOTA,nNIA,S233,nCUENTA,1,nASIG,"Orquesta/Banda/Conjunto"),"")))</f>
        <v/>
      </c>
      <c r="V233" t="str">
        <f>IF(S233="","",IF(S233="[FÓRMULA MANUAL]","",IFERROR(AVERAGEIFS(nNOTA,nNIA,S233,nCUENTA,1,nASIG,"Música de Cámara"),"")))</f>
        <v/>
      </c>
      <c r="W233" t="str">
        <f>IF(S233="","",IF(S233="[FÓRMULA MANUAL]","",IFERROR(SUMPRODUCT((nNIA=S233)*(nCUENTA=1)*(COUNTIF(CONFIG_ASIGNATURAS!$B$7:$B$27,nASIG)&gt;0)*(nNOTA))/SUMPRODUCT((nNIA=S233)*(nCUENTA=1)*(COUNTIF(CONFIG_ASIGNATURAS!$B$7:$B$27,nASIG)&gt;0)*1),"")))</f>
        <v/>
      </c>
      <c r="Z233" t="str">
        <f>IF(Y233="","",IF(Y233="[FÓRMULA MANUAL]","",IFERROR(AVERAGEIFS(nNOTA,nNIA,Y233,nCUENTA,1,nASIG,"Análisis"),"")))</f>
        <v/>
      </c>
      <c r="AA233" t="str">
        <f>IF(Y233="","",IF(Y233="[FÓRMULA MANUAL]","",IFERROR(AVERAGEIFS(nNOTA,nNIA,Y233,nCUENTA,1,nASIG,"Orquesta/Banda/Conjunto"),"")))</f>
        <v/>
      </c>
      <c r="AB233" t="str">
        <f>IF(Y233="","",IF(Y233="[FÓRMULA MANUAL]","",IFERROR(AVERAGEIFS(nNOTA,nNIA,Y233,nCUENTA,1,nASIG,"Música de Cámara"),"")))</f>
        <v/>
      </c>
      <c r="AC233" t="str">
        <f>IF(Y233="","",IF(Y233="[FÓRMULA MANUAL]","",IFERROR(SUMPRODUCT((nNIA=Y233)*(nCUENTA=1)*(COUNTIF(CONFIG_ASIGNATURAS!$B$7:$B$27,nASIG)&gt;0)*(nNOTA))/SUMPRODUCT((nNIA=Y233)*(nCUENTA=1)*(COUNTIF(CONFIG_ASIGNATURAS!$B$7:$B$27,nASIG)&gt;0)*1),"")))</f>
        <v/>
      </c>
      <c r="AF233" t="str">
        <f>IF(AE233="","",IF(AE233="[FÓRMULA MANUAL]","",IFERROR(AVERAGEIFS(nNOTA,nNIA,AE233,nCUENTA,1,nASIG,"Análisis"),"")))</f>
        <v/>
      </c>
      <c r="AG233" t="str">
        <f>IF(AE233="","",IF(AE233="[FÓRMULA MANUAL]","",IFERROR(AVERAGEIFS(nNOTA,nNIA,AE233,nCUENTA,1,nASIG,"Orquesta/Banda/Conjunto"),"")))</f>
        <v/>
      </c>
      <c r="AH233" t="str">
        <f>IF(AE233="","",IF(AE233="[FÓRMULA MANUAL]","",IFERROR(AVERAGEIFS(nNOTA,nNIA,AE233,nCUENTA,1,nASIG,"Música de Cámara"),"")))</f>
        <v/>
      </c>
      <c r="AI233" t="str">
        <f>IF(AE233="","",IF(AE233="[FÓRMULA MANUAL]","",IFERROR(SUMPRODUCT((nNIA=AE233)*(nCUENTA=1)*(COUNTIF(CONFIG_ASIGNATURAS!$B$7:$B$27,nASIG)&gt;0)*(nNOTA))/SUMPRODUCT((nNIA=AE233)*(nCUENTA=1)*(COUNTIF(CONFIG_ASIGNATURAS!$B$7:$B$27,nASIG)&gt;0)*1),"")))</f>
        <v/>
      </c>
    </row>
    <row r="234" spans="2:35" x14ac:dyDescent="0.2">
      <c r="B234" t="str">
        <f>IF(A234="","",IF(A234="[FÓRMULA MANUAL]","",IFERROR(AVERAGEIFS(nNOTA,nNIA,A234,nCUENTA,1,nASIG,"Lenguaje Musical"),"")))</f>
        <v/>
      </c>
      <c r="C234" t="str">
        <f>IF(A234="","",IF(A234="[FÓRMULA MANUAL]","",IFERROR(AVERAGEIFS(nNOTA,nNIA,A234,nCUENTA,1,nASIG,"Orquesta/Banda/Conjunto"),"")))</f>
        <v/>
      </c>
      <c r="D234" t="str">
        <f>IF(A234="","",IF(A234="[FÓRMULA MANUAL]","",IFERROR(AVERAGEIFS(nNOTA,nNIA,A234,nCUENTA,1,nASIG,"Conjunto"),"")))</f>
        <v/>
      </c>
      <c r="E234" t="str">
        <f>IF(A234="","",IF(A234="[FÓRMULA MANUAL]","",IFERROR(SUMPRODUCT((nNIA=A234)*(nCUENTA=1)*(COUNTIF(CONFIG_ASIGNATURAS!$B$7:$B$27,nASIG)&gt;0)*(nNOTA))/SUMPRODUCT((nNIA=A234)*(nCUENTA=1)*(COUNTIF(CONFIG_ASIGNATURAS!$B$7:$B$27,nASIG)&gt;0)*1),"")))</f>
        <v/>
      </c>
      <c r="H234" t="str">
        <f>IF(G234="","",IF(G234="[FÓRMULA MANUAL]","",IFERROR(AVERAGEIFS(nNOTA,nNIA,G234,nCUENTA,1,nASIG,"Lenguaje Musical"),"")))</f>
        <v/>
      </c>
      <c r="I234" t="str">
        <f>IF(G234="","",IF(G234="[FÓRMULA MANUAL]","",IFERROR(AVERAGEIFS(nNOTA,nNIA,G234,nCUENTA,1,nASIG,"Orquesta/Banda/Conjunto"),"")))</f>
        <v/>
      </c>
      <c r="J234" t="str">
        <f>IF(G234="","",IF(G234="[FÓRMULA MANUAL]","",IFERROR(AVERAGEIFS(nNOTA,nNIA,G234,nCUENTA,1,nASIG,"Conjunto"),"")))</f>
        <v/>
      </c>
      <c r="K234" t="str">
        <f>IF(G234="","",IF(G234="[FÓRMULA MANUAL]","",IFERROR(SUMPRODUCT((nNIA=G234)*(nCUENTA=1)*(COUNTIF(CONFIG_ASIGNATURAS!$B$7:$B$27,nASIG)&gt;0)*(nNOTA))/SUMPRODUCT((nNIA=G234)*(nCUENTA=1)*(COUNTIF(CONFIG_ASIGNATURAS!$B$7:$B$27,nASIG)&gt;0)*1),"")))</f>
        <v/>
      </c>
      <c r="N234" t="str">
        <f>IF(M234="","",IF(M234="[FÓRMULA MANUAL]","",IFERROR(AVERAGEIFS(nNOTA,nNIA,M234,nCUENTA,1,nASIG,"Armonía"),"")))</f>
        <v/>
      </c>
      <c r="O234" t="str">
        <f>IF(M234="","",IF(M234="[FÓRMULA MANUAL]","",IFERROR(AVERAGEIFS(nNOTA,nNIA,M234,nCUENTA,1,nASIG,"Orquesta/Banda/Conjunto"),"")))</f>
        <v/>
      </c>
      <c r="P234" t="str">
        <f>IF(M234="","",IF(M234="[FÓRMULA MANUAL]","",IFERROR(AVERAGEIFS(nNOTA,nNIA,M234,nCUENTA,1,nASIG,"Música de Cámara"),"")))</f>
        <v/>
      </c>
      <c r="Q234" t="str">
        <f>IF(M234="","",IF(M234="[FÓRMULA MANUAL]","",IFERROR(SUMPRODUCT((nNIA=M234)*(nCUENTA=1)*(COUNTIF(CONFIG_ASIGNATURAS!$B$7:$B$27,nASIG)&gt;0)*(nNOTA))/SUMPRODUCT((nNIA=M234)*(nCUENTA=1)*(COUNTIF(CONFIG_ASIGNATURAS!$B$7:$B$27,nASIG)&gt;0)*1),"")))</f>
        <v/>
      </c>
      <c r="T234" t="str">
        <f>IF(S234="","",IF(S234="[FÓRMULA MANUAL]","",IFERROR(AVERAGEIFS(nNOTA,nNIA,S234,nCUENTA,1,nASIG,"Armonía"),"")))</f>
        <v/>
      </c>
      <c r="U234" t="str">
        <f>IF(S234="","",IF(S234="[FÓRMULA MANUAL]","",IFERROR(AVERAGEIFS(nNOTA,nNIA,S234,nCUENTA,1,nASIG,"Orquesta/Banda/Conjunto"),"")))</f>
        <v/>
      </c>
      <c r="V234" t="str">
        <f>IF(S234="","",IF(S234="[FÓRMULA MANUAL]","",IFERROR(AVERAGEIFS(nNOTA,nNIA,S234,nCUENTA,1,nASIG,"Música de Cámara"),"")))</f>
        <v/>
      </c>
      <c r="W234" t="str">
        <f>IF(S234="","",IF(S234="[FÓRMULA MANUAL]","",IFERROR(SUMPRODUCT((nNIA=S234)*(nCUENTA=1)*(COUNTIF(CONFIG_ASIGNATURAS!$B$7:$B$27,nASIG)&gt;0)*(nNOTA))/SUMPRODUCT((nNIA=S234)*(nCUENTA=1)*(COUNTIF(CONFIG_ASIGNATURAS!$B$7:$B$27,nASIG)&gt;0)*1),"")))</f>
        <v/>
      </c>
      <c r="Z234" t="str">
        <f>IF(Y234="","",IF(Y234="[FÓRMULA MANUAL]","",IFERROR(AVERAGEIFS(nNOTA,nNIA,Y234,nCUENTA,1,nASIG,"Análisis"),"")))</f>
        <v/>
      </c>
      <c r="AA234" t="str">
        <f>IF(Y234="","",IF(Y234="[FÓRMULA MANUAL]","",IFERROR(AVERAGEIFS(nNOTA,nNIA,Y234,nCUENTA,1,nASIG,"Orquesta/Banda/Conjunto"),"")))</f>
        <v/>
      </c>
      <c r="AB234" t="str">
        <f>IF(Y234="","",IF(Y234="[FÓRMULA MANUAL]","",IFERROR(AVERAGEIFS(nNOTA,nNIA,Y234,nCUENTA,1,nASIG,"Música de Cámara"),"")))</f>
        <v/>
      </c>
      <c r="AC234" t="str">
        <f>IF(Y234="","",IF(Y234="[FÓRMULA MANUAL]","",IFERROR(SUMPRODUCT((nNIA=Y234)*(nCUENTA=1)*(COUNTIF(CONFIG_ASIGNATURAS!$B$7:$B$27,nASIG)&gt;0)*(nNOTA))/SUMPRODUCT((nNIA=Y234)*(nCUENTA=1)*(COUNTIF(CONFIG_ASIGNATURAS!$B$7:$B$27,nASIG)&gt;0)*1),"")))</f>
        <v/>
      </c>
      <c r="AF234" t="str">
        <f>IF(AE234="","",IF(AE234="[FÓRMULA MANUAL]","",IFERROR(AVERAGEIFS(nNOTA,nNIA,AE234,nCUENTA,1,nASIG,"Análisis"),"")))</f>
        <v/>
      </c>
      <c r="AG234" t="str">
        <f>IF(AE234="","",IF(AE234="[FÓRMULA MANUAL]","",IFERROR(AVERAGEIFS(nNOTA,nNIA,AE234,nCUENTA,1,nASIG,"Orquesta/Banda/Conjunto"),"")))</f>
        <v/>
      </c>
      <c r="AH234" t="str">
        <f>IF(AE234="","",IF(AE234="[FÓRMULA MANUAL]","",IFERROR(AVERAGEIFS(nNOTA,nNIA,AE234,nCUENTA,1,nASIG,"Música de Cámara"),"")))</f>
        <v/>
      </c>
      <c r="AI234" t="str">
        <f>IF(AE234="","",IF(AE234="[FÓRMULA MANUAL]","",IFERROR(SUMPRODUCT((nNIA=AE234)*(nCUENTA=1)*(COUNTIF(CONFIG_ASIGNATURAS!$B$7:$B$27,nASIG)&gt;0)*(nNOTA))/SUMPRODUCT((nNIA=AE234)*(nCUENTA=1)*(COUNTIF(CONFIG_ASIGNATURAS!$B$7:$B$27,nASIG)&gt;0)*1),"")))</f>
        <v/>
      </c>
    </row>
    <row r="235" spans="2:35" x14ac:dyDescent="0.2">
      <c r="B235" t="str">
        <f>IF(A235="","",IF(A235="[FÓRMULA MANUAL]","",IFERROR(AVERAGEIFS(nNOTA,nNIA,A235,nCUENTA,1,nASIG,"Lenguaje Musical"),"")))</f>
        <v/>
      </c>
      <c r="C235" t="str">
        <f>IF(A235="","",IF(A235="[FÓRMULA MANUAL]","",IFERROR(AVERAGEIFS(nNOTA,nNIA,A235,nCUENTA,1,nASIG,"Orquesta/Banda/Conjunto"),"")))</f>
        <v/>
      </c>
      <c r="D235" t="str">
        <f>IF(A235="","",IF(A235="[FÓRMULA MANUAL]","",IFERROR(AVERAGEIFS(nNOTA,nNIA,A235,nCUENTA,1,nASIG,"Conjunto"),"")))</f>
        <v/>
      </c>
      <c r="E235" t="str">
        <f>IF(A235="","",IF(A235="[FÓRMULA MANUAL]","",IFERROR(SUMPRODUCT((nNIA=A235)*(nCUENTA=1)*(COUNTIF(CONFIG_ASIGNATURAS!$B$7:$B$27,nASIG)&gt;0)*(nNOTA))/SUMPRODUCT((nNIA=A235)*(nCUENTA=1)*(COUNTIF(CONFIG_ASIGNATURAS!$B$7:$B$27,nASIG)&gt;0)*1),"")))</f>
        <v/>
      </c>
      <c r="H235" t="str">
        <f>IF(G235="","",IF(G235="[FÓRMULA MANUAL]","",IFERROR(AVERAGEIFS(nNOTA,nNIA,G235,nCUENTA,1,nASIG,"Lenguaje Musical"),"")))</f>
        <v/>
      </c>
      <c r="I235" t="str">
        <f>IF(G235="","",IF(G235="[FÓRMULA MANUAL]","",IFERROR(AVERAGEIFS(nNOTA,nNIA,G235,nCUENTA,1,nASIG,"Orquesta/Banda/Conjunto"),"")))</f>
        <v/>
      </c>
      <c r="J235" t="str">
        <f>IF(G235="","",IF(G235="[FÓRMULA MANUAL]","",IFERROR(AVERAGEIFS(nNOTA,nNIA,G235,nCUENTA,1,nASIG,"Conjunto"),"")))</f>
        <v/>
      </c>
      <c r="K235" t="str">
        <f>IF(G235="","",IF(G235="[FÓRMULA MANUAL]","",IFERROR(SUMPRODUCT((nNIA=G235)*(nCUENTA=1)*(COUNTIF(CONFIG_ASIGNATURAS!$B$7:$B$27,nASIG)&gt;0)*(nNOTA))/SUMPRODUCT((nNIA=G235)*(nCUENTA=1)*(COUNTIF(CONFIG_ASIGNATURAS!$B$7:$B$27,nASIG)&gt;0)*1),"")))</f>
        <v/>
      </c>
      <c r="N235" t="str">
        <f>IF(M235="","",IF(M235="[FÓRMULA MANUAL]","",IFERROR(AVERAGEIFS(nNOTA,nNIA,M235,nCUENTA,1,nASIG,"Armonía"),"")))</f>
        <v/>
      </c>
      <c r="O235" t="str">
        <f>IF(M235="","",IF(M235="[FÓRMULA MANUAL]","",IFERROR(AVERAGEIFS(nNOTA,nNIA,M235,nCUENTA,1,nASIG,"Orquesta/Banda/Conjunto"),"")))</f>
        <v/>
      </c>
      <c r="P235" t="str">
        <f>IF(M235="","",IF(M235="[FÓRMULA MANUAL]","",IFERROR(AVERAGEIFS(nNOTA,nNIA,M235,nCUENTA,1,nASIG,"Música de Cámara"),"")))</f>
        <v/>
      </c>
      <c r="Q235" t="str">
        <f>IF(M235="","",IF(M235="[FÓRMULA MANUAL]","",IFERROR(SUMPRODUCT((nNIA=M235)*(nCUENTA=1)*(COUNTIF(CONFIG_ASIGNATURAS!$B$7:$B$27,nASIG)&gt;0)*(nNOTA))/SUMPRODUCT((nNIA=M235)*(nCUENTA=1)*(COUNTIF(CONFIG_ASIGNATURAS!$B$7:$B$27,nASIG)&gt;0)*1),"")))</f>
        <v/>
      </c>
      <c r="T235" t="str">
        <f>IF(S235="","",IF(S235="[FÓRMULA MANUAL]","",IFERROR(AVERAGEIFS(nNOTA,nNIA,S235,nCUENTA,1,nASIG,"Armonía"),"")))</f>
        <v/>
      </c>
      <c r="U235" t="str">
        <f>IF(S235="","",IF(S235="[FÓRMULA MANUAL]","",IFERROR(AVERAGEIFS(nNOTA,nNIA,S235,nCUENTA,1,nASIG,"Orquesta/Banda/Conjunto"),"")))</f>
        <v/>
      </c>
      <c r="V235" t="str">
        <f>IF(S235="","",IF(S235="[FÓRMULA MANUAL]","",IFERROR(AVERAGEIFS(nNOTA,nNIA,S235,nCUENTA,1,nASIG,"Música de Cámara"),"")))</f>
        <v/>
      </c>
      <c r="W235" t="str">
        <f>IF(S235="","",IF(S235="[FÓRMULA MANUAL]","",IFERROR(SUMPRODUCT((nNIA=S235)*(nCUENTA=1)*(COUNTIF(CONFIG_ASIGNATURAS!$B$7:$B$27,nASIG)&gt;0)*(nNOTA))/SUMPRODUCT((nNIA=S235)*(nCUENTA=1)*(COUNTIF(CONFIG_ASIGNATURAS!$B$7:$B$27,nASIG)&gt;0)*1),"")))</f>
        <v/>
      </c>
      <c r="Z235" t="str">
        <f>IF(Y235="","",IF(Y235="[FÓRMULA MANUAL]","",IFERROR(AVERAGEIFS(nNOTA,nNIA,Y235,nCUENTA,1,nASIG,"Análisis"),"")))</f>
        <v/>
      </c>
      <c r="AA235" t="str">
        <f>IF(Y235="","",IF(Y235="[FÓRMULA MANUAL]","",IFERROR(AVERAGEIFS(nNOTA,nNIA,Y235,nCUENTA,1,nASIG,"Orquesta/Banda/Conjunto"),"")))</f>
        <v/>
      </c>
      <c r="AB235" t="str">
        <f>IF(Y235="","",IF(Y235="[FÓRMULA MANUAL]","",IFERROR(AVERAGEIFS(nNOTA,nNIA,Y235,nCUENTA,1,nASIG,"Música de Cámara"),"")))</f>
        <v/>
      </c>
      <c r="AC235" t="str">
        <f>IF(Y235="","",IF(Y235="[FÓRMULA MANUAL]","",IFERROR(SUMPRODUCT((nNIA=Y235)*(nCUENTA=1)*(COUNTIF(CONFIG_ASIGNATURAS!$B$7:$B$27,nASIG)&gt;0)*(nNOTA))/SUMPRODUCT((nNIA=Y235)*(nCUENTA=1)*(COUNTIF(CONFIG_ASIGNATURAS!$B$7:$B$27,nASIG)&gt;0)*1),"")))</f>
        <v/>
      </c>
      <c r="AF235" t="str">
        <f>IF(AE235="","",IF(AE235="[FÓRMULA MANUAL]","",IFERROR(AVERAGEIFS(nNOTA,nNIA,AE235,nCUENTA,1,nASIG,"Análisis"),"")))</f>
        <v/>
      </c>
      <c r="AG235" t="str">
        <f>IF(AE235="","",IF(AE235="[FÓRMULA MANUAL]","",IFERROR(AVERAGEIFS(nNOTA,nNIA,AE235,nCUENTA,1,nASIG,"Orquesta/Banda/Conjunto"),"")))</f>
        <v/>
      </c>
      <c r="AH235" t="str">
        <f>IF(AE235="","",IF(AE235="[FÓRMULA MANUAL]","",IFERROR(AVERAGEIFS(nNOTA,nNIA,AE235,nCUENTA,1,nASIG,"Música de Cámara"),"")))</f>
        <v/>
      </c>
      <c r="AI235" t="str">
        <f>IF(AE235="","",IF(AE235="[FÓRMULA MANUAL]","",IFERROR(SUMPRODUCT((nNIA=AE235)*(nCUENTA=1)*(COUNTIF(CONFIG_ASIGNATURAS!$B$7:$B$27,nASIG)&gt;0)*(nNOTA))/SUMPRODUCT((nNIA=AE235)*(nCUENTA=1)*(COUNTIF(CONFIG_ASIGNATURAS!$B$7:$B$27,nASIG)&gt;0)*1),"")))</f>
        <v/>
      </c>
    </row>
    <row r="236" spans="2:35" x14ac:dyDescent="0.2">
      <c r="B236" t="str">
        <f>IF(A236="","",IF(A236="[FÓRMULA MANUAL]","",IFERROR(AVERAGEIFS(nNOTA,nNIA,A236,nCUENTA,1,nASIG,"Lenguaje Musical"),"")))</f>
        <v/>
      </c>
      <c r="C236" t="str">
        <f>IF(A236="","",IF(A236="[FÓRMULA MANUAL]","",IFERROR(AVERAGEIFS(nNOTA,nNIA,A236,nCUENTA,1,nASIG,"Orquesta/Banda/Conjunto"),"")))</f>
        <v/>
      </c>
      <c r="D236" t="str">
        <f>IF(A236="","",IF(A236="[FÓRMULA MANUAL]","",IFERROR(AVERAGEIFS(nNOTA,nNIA,A236,nCUENTA,1,nASIG,"Conjunto"),"")))</f>
        <v/>
      </c>
      <c r="E236" t="str">
        <f>IF(A236="","",IF(A236="[FÓRMULA MANUAL]","",IFERROR(SUMPRODUCT((nNIA=A236)*(nCUENTA=1)*(COUNTIF(CONFIG_ASIGNATURAS!$B$7:$B$27,nASIG)&gt;0)*(nNOTA))/SUMPRODUCT((nNIA=A236)*(nCUENTA=1)*(COUNTIF(CONFIG_ASIGNATURAS!$B$7:$B$27,nASIG)&gt;0)*1),"")))</f>
        <v/>
      </c>
      <c r="H236" t="str">
        <f>IF(G236="","",IF(G236="[FÓRMULA MANUAL]","",IFERROR(AVERAGEIFS(nNOTA,nNIA,G236,nCUENTA,1,nASIG,"Lenguaje Musical"),"")))</f>
        <v/>
      </c>
      <c r="I236" t="str">
        <f>IF(G236="","",IF(G236="[FÓRMULA MANUAL]","",IFERROR(AVERAGEIFS(nNOTA,nNIA,G236,nCUENTA,1,nASIG,"Orquesta/Banda/Conjunto"),"")))</f>
        <v/>
      </c>
      <c r="J236" t="str">
        <f>IF(G236="","",IF(G236="[FÓRMULA MANUAL]","",IFERROR(AVERAGEIFS(nNOTA,nNIA,G236,nCUENTA,1,nASIG,"Conjunto"),"")))</f>
        <v/>
      </c>
      <c r="K236" t="str">
        <f>IF(G236="","",IF(G236="[FÓRMULA MANUAL]","",IFERROR(SUMPRODUCT((nNIA=G236)*(nCUENTA=1)*(COUNTIF(CONFIG_ASIGNATURAS!$B$7:$B$27,nASIG)&gt;0)*(nNOTA))/SUMPRODUCT((nNIA=G236)*(nCUENTA=1)*(COUNTIF(CONFIG_ASIGNATURAS!$B$7:$B$27,nASIG)&gt;0)*1),"")))</f>
        <v/>
      </c>
      <c r="N236" t="str">
        <f>IF(M236="","",IF(M236="[FÓRMULA MANUAL]","",IFERROR(AVERAGEIFS(nNOTA,nNIA,M236,nCUENTA,1,nASIG,"Armonía"),"")))</f>
        <v/>
      </c>
      <c r="O236" t="str">
        <f>IF(M236="","",IF(M236="[FÓRMULA MANUAL]","",IFERROR(AVERAGEIFS(nNOTA,nNIA,M236,nCUENTA,1,nASIG,"Orquesta/Banda/Conjunto"),"")))</f>
        <v/>
      </c>
      <c r="P236" t="str">
        <f>IF(M236="","",IF(M236="[FÓRMULA MANUAL]","",IFERROR(AVERAGEIFS(nNOTA,nNIA,M236,nCUENTA,1,nASIG,"Música de Cámara"),"")))</f>
        <v/>
      </c>
      <c r="Q236" t="str">
        <f>IF(M236="","",IF(M236="[FÓRMULA MANUAL]","",IFERROR(SUMPRODUCT((nNIA=M236)*(nCUENTA=1)*(COUNTIF(CONFIG_ASIGNATURAS!$B$7:$B$27,nASIG)&gt;0)*(nNOTA))/SUMPRODUCT((nNIA=M236)*(nCUENTA=1)*(COUNTIF(CONFIG_ASIGNATURAS!$B$7:$B$27,nASIG)&gt;0)*1),"")))</f>
        <v/>
      </c>
      <c r="T236" t="str">
        <f>IF(S236="","",IF(S236="[FÓRMULA MANUAL]","",IFERROR(AVERAGEIFS(nNOTA,nNIA,S236,nCUENTA,1,nASIG,"Armonía"),"")))</f>
        <v/>
      </c>
      <c r="U236" t="str">
        <f>IF(S236="","",IF(S236="[FÓRMULA MANUAL]","",IFERROR(AVERAGEIFS(nNOTA,nNIA,S236,nCUENTA,1,nASIG,"Orquesta/Banda/Conjunto"),"")))</f>
        <v/>
      </c>
      <c r="V236" t="str">
        <f>IF(S236="","",IF(S236="[FÓRMULA MANUAL]","",IFERROR(AVERAGEIFS(nNOTA,nNIA,S236,nCUENTA,1,nASIG,"Música de Cámara"),"")))</f>
        <v/>
      </c>
      <c r="W236" t="str">
        <f>IF(S236="","",IF(S236="[FÓRMULA MANUAL]","",IFERROR(SUMPRODUCT((nNIA=S236)*(nCUENTA=1)*(COUNTIF(CONFIG_ASIGNATURAS!$B$7:$B$27,nASIG)&gt;0)*(nNOTA))/SUMPRODUCT((nNIA=S236)*(nCUENTA=1)*(COUNTIF(CONFIG_ASIGNATURAS!$B$7:$B$27,nASIG)&gt;0)*1),"")))</f>
        <v/>
      </c>
      <c r="Z236" t="str">
        <f>IF(Y236="","",IF(Y236="[FÓRMULA MANUAL]","",IFERROR(AVERAGEIFS(nNOTA,nNIA,Y236,nCUENTA,1,nASIG,"Análisis"),"")))</f>
        <v/>
      </c>
      <c r="AA236" t="str">
        <f>IF(Y236="","",IF(Y236="[FÓRMULA MANUAL]","",IFERROR(AVERAGEIFS(nNOTA,nNIA,Y236,nCUENTA,1,nASIG,"Orquesta/Banda/Conjunto"),"")))</f>
        <v/>
      </c>
      <c r="AB236" t="str">
        <f>IF(Y236="","",IF(Y236="[FÓRMULA MANUAL]","",IFERROR(AVERAGEIFS(nNOTA,nNIA,Y236,nCUENTA,1,nASIG,"Música de Cámara"),"")))</f>
        <v/>
      </c>
      <c r="AC236" t="str">
        <f>IF(Y236="","",IF(Y236="[FÓRMULA MANUAL]","",IFERROR(SUMPRODUCT((nNIA=Y236)*(nCUENTA=1)*(COUNTIF(CONFIG_ASIGNATURAS!$B$7:$B$27,nASIG)&gt;0)*(nNOTA))/SUMPRODUCT((nNIA=Y236)*(nCUENTA=1)*(COUNTIF(CONFIG_ASIGNATURAS!$B$7:$B$27,nASIG)&gt;0)*1),"")))</f>
        <v/>
      </c>
      <c r="AF236" t="str">
        <f>IF(AE236="","",IF(AE236="[FÓRMULA MANUAL]","",IFERROR(AVERAGEIFS(nNOTA,nNIA,AE236,nCUENTA,1,nASIG,"Análisis"),"")))</f>
        <v/>
      </c>
      <c r="AG236" t="str">
        <f>IF(AE236="","",IF(AE236="[FÓRMULA MANUAL]","",IFERROR(AVERAGEIFS(nNOTA,nNIA,AE236,nCUENTA,1,nASIG,"Orquesta/Banda/Conjunto"),"")))</f>
        <v/>
      </c>
      <c r="AH236" t="str">
        <f>IF(AE236="","",IF(AE236="[FÓRMULA MANUAL]","",IFERROR(AVERAGEIFS(nNOTA,nNIA,AE236,nCUENTA,1,nASIG,"Música de Cámara"),"")))</f>
        <v/>
      </c>
      <c r="AI236" t="str">
        <f>IF(AE236="","",IF(AE236="[FÓRMULA MANUAL]","",IFERROR(SUMPRODUCT((nNIA=AE236)*(nCUENTA=1)*(COUNTIF(CONFIG_ASIGNATURAS!$B$7:$B$27,nASIG)&gt;0)*(nNOTA))/SUMPRODUCT((nNIA=AE236)*(nCUENTA=1)*(COUNTIF(CONFIG_ASIGNATURAS!$B$7:$B$27,nASIG)&gt;0)*1),"")))</f>
        <v/>
      </c>
    </row>
    <row r="237" spans="2:35" x14ac:dyDescent="0.2">
      <c r="B237" t="str">
        <f>IF(A237="","",IF(A237="[FÓRMULA MANUAL]","",IFERROR(AVERAGEIFS(nNOTA,nNIA,A237,nCUENTA,1,nASIG,"Lenguaje Musical"),"")))</f>
        <v/>
      </c>
      <c r="C237" t="str">
        <f>IF(A237="","",IF(A237="[FÓRMULA MANUAL]","",IFERROR(AVERAGEIFS(nNOTA,nNIA,A237,nCUENTA,1,nASIG,"Orquesta/Banda/Conjunto"),"")))</f>
        <v/>
      </c>
      <c r="D237" t="str">
        <f>IF(A237="","",IF(A237="[FÓRMULA MANUAL]","",IFERROR(AVERAGEIFS(nNOTA,nNIA,A237,nCUENTA,1,nASIG,"Conjunto"),"")))</f>
        <v/>
      </c>
      <c r="E237" t="str">
        <f>IF(A237="","",IF(A237="[FÓRMULA MANUAL]","",IFERROR(SUMPRODUCT((nNIA=A237)*(nCUENTA=1)*(COUNTIF(CONFIG_ASIGNATURAS!$B$7:$B$27,nASIG)&gt;0)*(nNOTA))/SUMPRODUCT((nNIA=A237)*(nCUENTA=1)*(COUNTIF(CONFIG_ASIGNATURAS!$B$7:$B$27,nASIG)&gt;0)*1),"")))</f>
        <v/>
      </c>
      <c r="H237" t="str">
        <f>IF(G237="","",IF(G237="[FÓRMULA MANUAL]","",IFERROR(AVERAGEIFS(nNOTA,nNIA,G237,nCUENTA,1,nASIG,"Lenguaje Musical"),"")))</f>
        <v/>
      </c>
      <c r="I237" t="str">
        <f>IF(G237="","",IF(G237="[FÓRMULA MANUAL]","",IFERROR(AVERAGEIFS(nNOTA,nNIA,G237,nCUENTA,1,nASIG,"Orquesta/Banda/Conjunto"),"")))</f>
        <v/>
      </c>
      <c r="J237" t="str">
        <f>IF(G237="","",IF(G237="[FÓRMULA MANUAL]","",IFERROR(AVERAGEIFS(nNOTA,nNIA,G237,nCUENTA,1,nASIG,"Conjunto"),"")))</f>
        <v/>
      </c>
      <c r="K237" t="str">
        <f>IF(G237="","",IF(G237="[FÓRMULA MANUAL]","",IFERROR(SUMPRODUCT((nNIA=G237)*(nCUENTA=1)*(COUNTIF(CONFIG_ASIGNATURAS!$B$7:$B$27,nASIG)&gt;0)*(nNOTA))/SUMPRODUCT((nNIA=G237)*(nCUENTA=1)*(COUNTIF(CONFIG_ASIGNATURAS!$B$7:$B$27,nASIG)&gt;0)*1),"")))</f>
        <v/>
      </c>
      <c r="N237" t="str">
        <f>IF(M237="","",IF(M237="[FÓRMULA MANUAL]","",IFERROR(AVERAGEIFS(nNOTA,nNIA,M237,nCUENTA,1,nASIG,"Armonía"),"")))</f>
        <v/>
      </c>
      <c r="O237" t="str">
        <f>IF(M237="","",IF(M237="[FÓRMULA MANUAL]","",IFERROR(AVERAGEIFS(nNOTA,nNIA,M237,nCUENTA,1,nASIG,"Orquesta/Banda/Conjunto"),"")))</f>
        <v/>
      </c>
      <c r="P237" t="str">
        <f>IF(M237="","",IF(M237="[FÓRMULA MANUAL]","",IFERROR(AVERAGEIFS(nNOTA,nNIA,M237,nCUENTA,1,nASIG,"Música de Cámara"),"")))</f>
        <v/>
      </c>
      <c r="Q237" t="str">
        <f>IF(M237="","",IF(M237="[FÓRMULA MANUAL]","",IFERROR(SUMPRODUCT((nNIA=M237)*(nCUENTA=1)*(COUNTIF(CONFIG_ASIGNATURAS!$B$7:$B$27,nASIG)&gt;0)*(nNOTA))/SUMPRODUCT((nNIA=M237)*(nCUENTA=1)*(COUNTIF(CONFIG_ASIGNATURAS!$B$7:$B$27,nASIG)&gt;0)*1),"")))</f>
        <v/>
      </c>
      <c r="T237" t="str">
        <f>IF(S237="","",IF(S237="[FÓRMULA MANUAL]","",IFERROR(AVERAGEIFS(nNOTA,nNIA,S237,nCUENTA,1,nASIG,"Armonía"),"")))</f>
        <v/>
      </c>
      <c r="U237" t="str">
        <f>IF(S237="","",IF(S237="[FÓRMULA MANUAL]","",IFERROR(AVERAGEIFS(nNOTA,nNIA,S237,nCUENTA,1,nASIG,"Orquesta/Banda/Conjunto"),"")))</f>
        <v/>
      </c>
      <c r="V237" t="str">
        <f>IF(S237="","",IF(S237="[FÓRMULA MANUAL]","",IFERROR(AVERAGEIFS(nNOTA,nNIA,S237,nCUENTA,1,nASIG,"Música de Cámara"),"")))</f>
        <v/>
      </c>
      <c r="W237" t="str">
        <f>IF(S237="","",IF(S237="[FÓRMULA MANUAL]","",IFERROR(SUMPRODUCT((nNIA=S237)*(nCUENTA=1)*(COUNTIF(CONFIG_ASIGNATURAS!$B$7:$B$27,nASIG)&gt;0)*(nNOTA))/SUMPRODUCT((nNIA=S237)*(nCUENTA=1)*(COUNTIF(CONFIG_ASIGNATURAS!$B$7:$B$27,nASIG)&gt;0)*1),"")))</f>
        <v/>
      </c>
      <c r="Z237" t="str">
        <f>IF(Y237="","",IF(Y237="[FÓRMULA MANUAL]","",IFERROR(AVERAGEIFS(nNOTA,nNIA,Y237,nCUENTA,1,nASIG,"Análisis"),"")))</f>
        <v/>
      </c>
      <c r="AA237" t="str">
        <f>IF(Y237="","",IF(Y237="[FÓRMULA MANUAL]","",IFERROR(AVERAGEIFS(nNOTA,nNIA,Y237,nCUENTA,1,nASIG,"Orquesta/Banda/Conjunto"),"")))</f>
        <v/>
      </c>
      <c r="AB237" t="str">
        <f>IF(Y237="","",IF(Y237="[FÓRMULA MANUAL]","",IFERROR(AVERAGEIFS(nNOTA,nNIA,Y237,nCUENTA,1,nASIG,"Música de Cámara"),"")))</f>
        <v/>
      </c>
      <c r="AC237" t="str">
        <f>IF(Y237="","",IF(Y237="[FÓRMULA MANUAL]","",IFERROR(SUMPRODUCT((nNIA=Y237)*(nCUENTA=1)*(COUNTIF(CONFIG_ASIGNATURAS!$B$7:$B$27,nASIG)&gt;0)*(nNOTA))/SUMPRODUCT((nNIA=Y237)*(nCUENTA=1)*(COUNTIF(CONFIG_ASIGNATURAS!$B$7:$B$27,nASIG)&gt;0)*1),"")))</f>
        <v/>
      </c>
      <c r="AF237" t="str">
        <f>IF(AE237="","",IF(AE237="[FÓRMULA MANUAL]","",IFERROR(AVERAGEIFS(nNOTA,nNIA,AE237,nCUENTA,1,nASIG,"Análisis"),"")))</f>
        <v/>
      </c>
      <c r="AG237" t="str">
        <f>IF(AE237="","",IF(AE237="[FÓRMULA MANUAL]","",IFERROR(AVERAGEIFS(nNOTA,nNIA,AE237,nCUENTA,1,nASIG,"Orquesta/Banda/Conjunto"),"")))</f>
        <v/>
      </c>
      <c r="AH237" t="str">
        <f>IF(AE237="","",IF(AE237="[FÓRMULA MANUAL]","",IFERROR(AVERAGEIFS(nNOTA,nNIA,AE237,nCUENTA,1,nASIG,"Música de Cámara"),"")))</f>
        <v/>
      </c>
      <c r="AI237" t="str">
        <f>IF(AE237="","",IF(AE237="[FÓRMULA MANUAL]","",IFERROR(SUMPRODUCT((nNIA=AE237)*(nCUENTA=1)*(COUNTIF(CONFIG_ASIGNATURAS!$B$7:$B$27,nASIG)&gt;0)*(nNOTA))/SUMPRODUCT((nNIA=AE237)*(nCUENTA=1)*(COUNTIF(CONFIG_ASIGNATURAS!$B$7:$B$27,nASIG)&gt;0)*1),"")))</f>
        <v/>
      </c>
    </row>
    <row r="238" spans="2:35" x14ac:dyDescent="0.2">
      <c r="B238" t="str">
        <f>IF(A238="","",IF(A238="[FÓRMULA MANUAL]","",IFERROR(AVERAGEIFS(nNOTA,nNIA,A238,nCUENTA,1,nASIG,"Lenguaje Musical"),"")))</f>
        <v/>
      </c>
      <c r="C238" t="str">
        <f>IF(A238="","",IF(A238="[FÓRMULA MANUAL]","",IFERROR(AVERAGEIFS(nNOTA,nNIA,A238,nCUENTA,1,nASIG,"Orquesta/Banda/Conjunto"),"")))</f>
        <v/>
      </c>
      <c r="D238" t="str">
        <f>IF(A238="","",IF(A238="[FÓRMULA MANUAL]","",IFERROR(AVERAGEIFS(nNOTA,nNIA,A238,nCUENTA,1,nASIG,"Conjunto"),"")))</f>
        <v/>
      </c>
      <c r="E238" t="str">
        <f>IF(A238="","",IF(A238="[FÓRMULA MANUAL]","",IFERROR(SUMPRODUCT((nNIA=A238)*(nCUENTA=1)*(COUNTIF(CONFIG_ASIGNATURAS!$B$7:$B$27,nASIG)&gt;0)*(nNOTA))/SUMPRODUCT((nNIA=A238)*(nCUENTA=1)*(COUNTIF(CONFIG_ASIGNATURAS!$B$7:$B$27,nASIG)&gt;0)*1),"")))</f>
        <v/>
      </c>
      <c r="H238" t="str">
        <f>IF(G238="","",IF(G238="[FÓRMULA MANUAL]","",IFERROR(AVERAGEIFS(nNOTA,nNIA,G238,nCUENTA,1,nASIG,"Lenguaje Musical"),"")))</f>
        <v/>
      </c>
      <c r="I238" t="str">
        <f>IF(G238="","",IF(G238="[FÓRMULA MANUAL]","",IFERROR(AVERAGEIFS(nNOTA,nNIA,G238,nCUENTA,1,nASIG,"Orquesta/Banda/Conjunto"),"")))</f>
        <v/>
      </c>
      <c r="J238" t="str">
        <f>IF(G238="","",IF(G238="[FÓRMULA MANUAL]","",IFERROR(AVERAGEIFS(nNOTA,nNIA,G238,nCUENTA,1,nASIG,"Conjunto"),"")))</f>
        <v/>
      </c>
      <c r="K238" t="str">
        <f>IF(G238="","",IF(G238="[FÓRMULA MANUAL]","",IFERROR(SUMPRODUCT((nNIA=G238)*(nCUENTA=1)*(COUNTIF(CONFIG_ASIGNATURAS!$B$7:$B$27,nASIG)&gt;0)*(nNOTA))/SUMPRODUCT((nNIA=G238)*(nCUENTA=1)*(COUNTIF(CONFIG_ASIGNATURAS!$B$7:$B$27,nASIG)&gt;0)*1),"")))</f>
        <v/>
      </c>
      <c r="N238" t="str">
        <f>IF(M238="","",IF(M238="[FÓRMULA MANUAL]","",IFERROR(AVERAGEIFS(nNOTA,nNIA,M238,nCUENTA,1,nASIG,"Armonía"),"")))</f>
        <v/>
      </c>
      <c r="O238" t="str">
        <f>IF(M238="","",IF(M238="[FÓRMULA MANUAL]","",IFERROR(AVERAGEIFS(nNOTA,nNIA,M238,nCUENTA,1,nASIG,"Orquesta/Banda/Conjunto"),"")))</f>
        <v/>
      </c>
      <c r="P238" t="str">
        <f>IF(M238="","",IF(M238="[FÓRMULA MANUAL]","",IFERROR(AVERAGEIFS(nNOTA,nNIA,M238,nCUENTA,1,nASIG,"Música de Cámara"),"")))</f>
        <v/>
      </c>
      <c r="Q238" t="str">
        <f>IF(M238="","",IF(M238="[FÓRMULA MANUAL]","",IFERROR(SUMPRODUCT((nNIA=M238)*(nCUENTA=1)*(COUNTIF(CONFIG_ASIGNATURAS!$B$7:$B$27,nASIG)&gt;0)*(nNOTA))/SUMPRODUCT((nNIA=M238)*(nCUENTA=1)*(COUNTIF(CONFIG_ASIGNATURAS!$B$7:$B$27,nASIG)&gt;0)*1),"")))</f>
        <v/>
      </c>
      <c r="T238" t="str">
        <f>IF(S238="","",IF(S238="[FÓRMULA MANUAL]","",IFERROR(AVERAGEIFS(nNOTA,nNIA,S238,nCUENTA,1,nASIG,"Armonía"),"")))</f>
        <v/>
      </c>
      <c r="U238" t="str">
        <f>IF(S238="","",IF(S238="[FÓRMULA MANUAL]","",IFERROR(AVERAGEIFS(nNOTA,nNIA,S238,nCUENTA,1,nASIG,"Orquesta/Banda/Conjunto"),"")))</f>
        <v/>
      </c>
      <c r="V238" t="str">
        <f>IF(S238="","",IF(S238="[FÓRMULA MANUAL]","",IFERROR(AVERAGEIFS(nNOTA,nNIA,S238,nCUENTA,1,nASIG,"Música de Cámara"),"")))</f>
        <v/>
      </c>
      <c r="W238" t="str">
        <f>IF(S238="","",IF(S238="[FÓRMULA MANUAL]","",IFERROR(SUMPRODUCT((nNIA=S238)*(nCUENTA=1)*(COUNTIF(CONFIG_ASIGNATURAS!$B$7:$B$27,nASIG)&gt;0)*(nNOTA))/SUMPRODUCT((nNIA=S238)*(nCUENTA=1)*(COUNTIF(CONFIG_ASIGNATURAS!$B$7:$B$27,nASIG)&gt;0)*1),"")))</f>
        <v/>
      </c>
      <c r="Z238" t="str">
        <f>IF(Y238="","",IF(Y238="[FÓRMULA MANUAL]","",IFERROR(AVERAGEIFS(nNOTA,nNIA,Y238,nCUENTA,1,nASIG,"Análisis"),"")))</f>
        <v/>
      </c>
      <c r="AA238" t="str">
        <f>IF(Y238="","",IF(Y238="[FÓRMULA MANUAL]","",IFERROR(AVERAGEIFS(nNOTA,nNIA,Y238,nCUENTA,1,nASIG,"Orquesta/Banda/Conjunto"),"")))</f>
        <v/>
      </c>
      <c r="AB238" t="str">
        <f>IF(Y238="","",IF(Y238="[FÓRMULA MANUAL]","",IFERROR(AVERAGEIFS(nNOTA,nNIA,Y238,nCUENTA,1,nASIG,"Música de Cámara"),"")))</f>
        <v/>
      </c>
      <c r="AC238" t="str">
        <f>IF(Y238="","",IF(Y238="[FÓRMULA MANUAL]","",IFERROR(SUMPRODUCT((nNIA=Y238)*(nCUENTA=1)*(COUNTIF(CONFIG_ASIGNATURAS!$B$7:$B$27,nASIG)&gt;0)*(nNOTA))/SUMPRODUCT((nNIA=Y238)*(nCUENTA=1)*(COUNTIF(CONFIG_ASIGNATURAS!$B$7:$B$27,nASIG)&gt;0)*1),"")))</f>
        <v/>
      </c>
      <c r="AF238" t="str">
        <f>IF(AE238="","",IF(AE238="[FÓRMULA MANUAL]","",IFERROR(AVERAGEIFS(nNOTA,nNIA,AE238,nCUENTA,1,nASIG,"Análisis"),"")))</f>
        <v/>
      </c>
      <c r="AG238" t="str">
        <f>IF(AE238="","",IF(AE238="[FÓRMULA MANUAL]","",IFERROR(AVERAGEIFS(nNOTA,nNIA,AE238,nCUENTA,1,nASIG,"Orquesta/Banda/Conjunto"),"")))</f>
        <v/>
      </c>
      <c r="AH238" t="str">
        <f>IF(AE238="","",IF(AE238="[FÓRMULA MANUAL]","",IFERROR(AVERAGEIFS(nNOTA,nNIA,AE238,nCUENTA,1,nASIG,"Música de Cámara"),"")))</f>
        <v/>
      </c>
      <c r="AI238" t="str">
        <f>IF(AE238="","",IF(AE238="[FÓRMULA MANUAL]","",IFERROR(SUMPRODUCT((nNIA=AE238)*(nCUENTA=1)*(COUNTIF(CONFIG_ASIGNATURAS!$B$7:$B$27,nASIG)&gt;0)*(nNOTA))/SUMPRODUCT((nNIA=AE238)*(nCUENTA=1)*(COUNTIF(CONFIG_ASIGNATURAS!$B$7:$B$27,nASIG)&gt;0)*1),"")))</f>
        <v/>
      </c>
    </row>
    <row r="239" spans="2:35" x14ac:dyDescent="0.2">
      <c r="B239" t="str">
        <f>IF(A239="","",IF(A239="[FÓRMULA MANUAL]","",IFERROR(AVERAGEIFS(nNOTA,nNIA,A239,nCUENTA,1,nASIG,"Lenguaje Musical"),"")))</f>
        <v/>
      </c>
      <c r="C239" t="str">
        <f>IF(A239="","",IF(A239="[FÓRMULA MANUAL]","",IFERROR(AVERAGEIFS(nNOTA,nNIA,A239,nCUENTA,1,nASIG,"Orquesta/Banda/Conjunto"),"")))</f>
        <v/>
      </c>
      <c r="D239" t="str">
        <f>IF(A239="","",IF(A239="[FÓRMULA MANUAL]","",IFERROR(AVERAGEIFS(nNOTA,nNIA,A239,nCUENTA,1,nASIG,"Conjunto"),"")))</f>
        <v/>
      </c>
      <c r="E239" t="str">
        <f>IF(A239="","",IF(A239="[FÓRMULA MANUAL]","",IFERROR(SUMPRODUCT((nNIA=A239)*(nCUENTA=1)*(COUNTIF(CONFIG_ASIGNATURAS!$B$7:$B$27,nASIG)&gt;0)*(nNOTA))/SUMPRODUCT((nNIA=A239)*(nCUENTA=1)*(COUNTIF(CONFIG_ASIGNATURAS!$B$7:$B$27,nASIG)&gt;0)*1),"")))</f>
        <v/>
      </c>
      <c r="H239" t="str">
        <f>IF(G239="","",IF(G239="[FÓRMULA MANUAL]","",IFERROR(AVERAGEIFS(nNOTA,nNIA,G239,nCUENTA,1,nASIG,"Lenguaje Musical"),"")))</f>
        <v/>
      </c>
      <c r="I239" t="str">
        <f>IF(G239="","",IF(G239="[FÓRMULA MANUAL]","",IFERROR(AVERAGEIFS(nNOTA,nNIA,G239,nCUENTA,1,nASIG,"Orquesta/Banda/Conjunto"),"")))</f>
        <v/>
      </c>
      <c r="J239" t="str">
        <f>IF(G239="","",IF(G239="[FÓRMULA MANUAL]","",IFERROR(AVERAGEIFS(nNOTA,nNIA,G239,nCUENTA,1,nASIG,"Conjunto"),"")))</f>
        <v/>
      </c>
      <c r="K239" t="str">
        <f>IF(G239="","",IF(G239="[FÓRMULA MANUAL]","",IFERROR(SUMPRODUCT((nNIA=G239)*(nCUENTA=1)*(COUNTIF(CONFIG_ASIGNATURAS!$B$7:$B$27,nASIG)&gt;0)*(nNOTA))/SUMPRODUCT((nNIA=G239)*(nCUENTA=1)*(COUNTIF(CONFIG_ASIGNATURAS!$B$7:$B$27,nASIG)&gt;0)*1),"")))</f>
        <v/>
      </c>
      <c r="N239" t="str">
        <f>IF(M239="","",IF(M239="[FÓRMULA MANUAL]","",IFERROR(AVERAGEIFS(nNOTA,nNIA,M239,nCUENTA,1,nASIG,"Armonía"),"")))</f>
        <v/>
      </c>
      <c r="O239" t="str">
        <f>IF(M239="","",IF(M239="[FÓRMULA MANUAL]","",IFERROR(AVERAGEIFS(nNOTA,nNIA,M239,nCUENTA,1,nASIG,"Orquesta/Banda/Conjunto"),"")))</f>
        <v/>
      </c>
      <c r="P239" t="str">
        <f>IF(M239="","",IF(M239="[FÓRMULA MANUAL]","",IFERROR(AVERAGEIFS(nNOTA,nNIA,M239,nCUENTA,1,nASIG,"Música de Cámara"),"")))</f>
        <v/>
      </c>
      <c r="Q239" t="str">
        <f>IF(M239="","",IF(M239="[FÓRMULA MANUAL]","",IFERROR(SUMPRODUCT((nNIA=M239)*(nCUENTA=1)*(COUNTIF(CONFIG_ASIGNATURAS!$B$7:$B$27,nASIG)&gt;0)*(nNOTA))/SUMPRODUCT((nNIA=M239)*(nCUENTA=1)*(COUNTIF(CONFIG_ASIGNATURAS!$B$7:$B$27,nASIG)&gt;0)*1),"")))</f>
        <v/>
      </c>
      <c r="T239" t="str">
        <f>IF(S239="","",IF(S239="[FÓRMULA MANUAL]","",IFERROR(AVERAGEIFS(nNOTA,nNIA,S239,nCUENTA,1,nASIG,"Armonía"),"")))</f>
        <v/>
      </c>
      <c r="U239" t="str">
        <f>IF(S239="","",IF(S239="[FÓRMULA MANUAL]","",IFERROR(AVERAGEIFS(nNOTA,nNIA,S239,nCUENTA,1,nASIG,"Orquesta/Banda/Conjunto"),"")))</f>
        <v/>
      </c>
      <c r="V239" t="str">
        <f>IF(S239="","",IF(S239="[FÓRMULA MANUAL]","",IFERROR(AVERAGEIFS(nNOTA,nNIA,S239,nCUENTA,1,nASIG,"Música de Cámara"),"")))</f>
        <v/>
      </c>
      <c r="W239" t="str">
        <f>IF(S239="","",IF(S239="[FÓRMULA MANUAL]","",IFERROR(SUMPRODUCT((nNIA=S239)*(nCUENTA=1)*(COUNTIF(CONFIG_ASIGNATURAS!$B$7:$B$27,nASIG)&gt;0)*(nNOTA))/SUMPRODUCT((nNIA=S239)*(nCUENTA=1)*(COUNTIF(CONFIG_ASIGNATURAS!$B$7:$B$27,nASIG)&gt;0)*1),"")))</f>
        <v/>
      </c>
      <c r="Z239" t="str">
        <f>IF(Y239="","",IF(Y239="[FÓRMULA MANUAL]","",IFERROR(AVERAGEIFS(nNOTA,nNIA,Y239,nCUENTA,1,nASIG,"Análisis"),"")))</f>
        <v/>
      </c>
      <c r="AA239" t="str">
        <f>IF(Y239="","",IF(Y239="[FÓRMULA MANUAL]","",IFERROR(AVERAGEIFS(nNOTA,nNIA,Y239,nCUENTA,1,nASIG,"Orquesta/Banda/Conjunto"),"")))</f>
        <v/>
      </c>
      <c r="AB239" t="str">
        <f>IF(Y239="","",IF(Y239="[FÓRMULA MANUAL]","",IFERROR(AVERAGEIFS(nNOTA,nNIA,Y239,nCUENTA,1,nASIG,"Música de Cámara"),"")))</f>
        <v/>
      </c>
      <c r="AC239" t="str">
        <f>IF(Y239="","",IF(Y239="[FÓRMULA MANUAL]","",IFERROR(SUMPRODUCT((nNIA=Y239)*(nCUENTA=1)*(COUNTIF(CONFIG_ASIGNATURAS!$B$7:$B$27,nASIG)&gt;0)*(nNOTA))/SUMPRODUCT((nNIA=Y239)*(nCUENTA=1)*(COUNTIF(CONFIG_ASIGNATURAS!$B$7:$B$27,nASIG)&gt;0)*1),"")))</f>
        <v/>
      </c>
      <c r="AF239" t="str">
        <f>IF(AE239="","",IF(AE239="[FÓRMULA MANUAL]","",IFERROR(AVERAGEIFS(nNOTA,nNIA,AE239,nCUENTA,1,nASIG,"Análisis"),"")))</f>
        <v/>
      </c>
      <c r="AG239" t="str">
        <f>IF(AE239="","",IF(AE239="[FÓRMULA MANUAL]","",IFERROR(AVERAGEIFS(nNOTA,nNIA,AE239,nCUENTA,1,nASIG,"Orquesta/Banda/Conjunto"),"")))</f>
        <v/>
      </c>
      <c r="AH239" t="str">
        <f>IF(AE239="","",IF(AE239="[FÓRMULA MANUAL]","",IFERROR(AVERAGEIFS(nNOTA,nNIA,AE239,nCUENTA,1,nASIG,"Música de Cámara"),"")))</f>
        <v/>
      </c>
      <c r="AI239" t="str">
        <f>IF(AE239="","",IF(AE239="[FÓRMULA MANUAL]","",IFERROR(SUMPRODUCT((nNIA=AE239)*(nCUENTA=1)*(COUNTIF(CONFIG_ASIGNATURAS!$B$7:$B$27,nASIG)&gt;0)*(nNOTA))/SUMPRODUCT((nNIA=AE239)*(nCUENTA=1)*(COUNTIF(CONFIG_ASIGNATURAS!$B$7:$B$27,nASIG)&gt;0)*1),"")))</f>
        <v/>
      </c>
    </row>
    <row r="240" spans="2:35" x14ac:dyDescent="0.2">
      <c r="B240" t="str">
        <f>IF(A240="","",IF(A240="[FÓRMULA MANUAL]","",IFERROR(AVERAGEIFS(nNOTA,nNIA,A240,nCUENTA,1,nASIG,"Lenguaje Musical"),"")))</f>
        <v/>
      </c>
      <c r="C240" t="str">
        <f>IF(A240="","",IF(A240="[FÓRMULA MANUAL]","",IFERROR(AVERAGEIFS(nNOTA,nNIA,A240,nCUENTA,1,nASIG,"Orquesta/Banda/Conjunto"),"")))</f>
        <v/>
      </c>
      <c r="D240" t="str">
        <f>IF(A240="","",IF(A240="[FÓRMULA MANUAL]","",IFERROR(AVERAGEIFS(nNOTA,nNIA,A240,nCUENTA,1,nASIG,"Conjunto"),"")))</f>
        <v/>
      </c>
      <c r="E240" t="str">
        <f>IF(A240="","",IF(A240="[FÓRMULA MANUAL]","",IFERROR(SUMPRODUCT((nNIA=A240)*(nCUENTA=1)*(COUNTIF(CONFIG_ASIGNATURAS!$B$7:$B$27,nASIG)&gt;0)*(nNOTA))/SUMPRODUCT((nNIA=A240)*(nCUENTA=1)*(COUNTIF(CONFIG_ASIGNATURAS!$B$7:$B$27,nASIG)&gt;0)*1),"")))</f>
        <v/>
      </c>
      <c r="H240" t="str">
        <f>IF(G240="","",IF(G240="[FÓRMULA MANUAL]","",IFERROR(AVERAGEIFS(nNOTA,nNIA,G240,nCUENTA,1,nASIG,"Lenguaje Musical"),"")))</f>
        <v/>
      </c>
      <c r="I240" t="str">
        <f>IF(G240="","",IF(G240="[FÓRMULA MANUAL]","",IFERROR(AVERAGEIFS(nNOTA,nNIA,G240,nCUENTA,1,nASIG,"Orquesta/Banda/Conjunto"),"")))</f>
        <v/>
      </c>
      <c r="J240" t="str">
        <f>IF(G240="","",IF(G240="[FÓRMULA MANUAL]","",IFERROR(AVERAGEIFS(nNOTA,nNIA,G240,nCUENTA,1,nASIG,"Conjunto"),"")))</f>
        <v/>
      </c>
      <c r="K240" t="str">
        <f>IF(G240="","",IF(G240="[FÓRMULA MANUAL]","",IFERROR(SUMPRODUCT((nNIA=G240)*(nCUENTA=1)*(COUNTIF(CONFIG_ASIGNATURAS!$B$7:$B$27,nASIG)&gt;0)*(nNOTA))/SUMPRODUCT((nNIA=G240)*(nCUENTA=1)*(COUNTIF(CONFIG_ASIGNATURAS!$B$7:$B$27,nASIG)&gt;0)*1),"")))</f>
        <v/>
      </c>
      <c r="N240" t="str">
        <f>IF(M240="","",IF(M240="[FÓRMULA MANUAL]","",IFERROR(AVERAGEIFS(nNOTA,nNIA,M240,nCUENTA,1,nASIG,"Armonía"),"")))</f>
        <v/>
      </c>
      <c r="O240" t="str">
        <f>IF(M240="","",IF(M240="[FÓRMULA MANUAL]","",IFERROR(AVERAGEIFS(nNOTA,nNIA,M240,nCUENTA,1,nASIG,"Orquesta/Banda/Conjunto"),"")))</f>
        <v/>
      </c>
      <c r="P240" t="str">
        <f>IF(M240="","",IF(M240="[FÓRMULA MANUAL]","",IFERROR(AVERAGEIFS(nNOTA,nNIA,M240,nCUENTA,1,nASIG,"Música de Cámara"),"")))</f>
        <v/>
      </c>
      <c r="Q240" t="str">
        <f>IF(M240="","",IF(M240="[FÓRMULA MANUAL]","",IFERROR(SUMPRODUCT((nNIA=M240)*(nCUENTA=1)*(COUNTIF(CONFIG_ASIGNATURAS!$B$7:$B$27,nASIG)&gt;0)*(nNOTA))/SUMPRODUCT((nNIA=M240)*(nCUENTA=1)*(COUNTIF(CONFIG_ASIGNATURAS!$B$7:$B$27,nASIG)&gt;0)*1),"")))</f>
        <v/>
      </c>
      <c r="T240" t="str">
        <f>IF(S240="","",IF(S240="[FÓRMULA MANUAL]","",IFERROR(AVERAGEIFS(nNOTA,nNIA,S240,nCUENTA,1,nASIG,"Armonía"),"")))</f>
        <v/>
      </c>
      <c r="U240" t="str">
        <f>IF(S240="","",IF(S240="[FÓRMULA MANUAL]","",IFERROR(AVERAGEIFS(nNOTA,nNIA,S240,nCUENTA,1,nASIG,"Orquesta/Banda/Conjunto"),"")))</f>
        <v/>
      </c>
      <c r="V240" t="str">
        <f>IF(S240="","",IF(S240="[FÓRMULA MANUAL]","",IFERROR(AVERAGEIFS(nNOTA,nNIA,S240,nCUENTA,1,nASIG,"Música de Cámara"),"")))</f>
        <v/>
      </c>
      <c r="W240" t="str">
        <f>IF(S240="","",IF(S240="[FÓRMULA MANUAL]","",IFERROR(SUMPRODUCT((nNIA=S240)*(nCUENTA=1)*(COUNTIF(CONFIG_ASIGNATURAS!$B$7:$B$27,nASIG)&gt;0)*(nNOTA))/SUMPRODUCT((nNIA=S240)*(nCUENTA=1)*(COUNTIF(CONFIG_ASIGNATURAS!$B$7:$B$27,nASIG)&gt;0)*1),"")))</f>
        <v/>
      </c>
      <c r="Z240" t="str">
        <f>IF(Y240="","",IF(Y240="[FÓRMULA MANUAL]","",IFERROR(AVERAGEIFS(nNOTA,nNIA,Y240,nCUENTA,1,nASIG,"Análisis"),"")))</f>
        <v/>
      </c>
      <c r="AA240" t="str">
        <f>IF(Y240="","",IF(Y240="[FÓRMULA MANUAL]","",IFERROR(AVERAGEIFS(nNOTA,nNIA,Y240,nCUENTA,1,nASIG,"Orquesta/Banda/Conjunto"),"")))</f>
        <v/>
      </c>
      <c r="AB240" t="str">
        <f>IF(Y240="","",IF(Y240="[FÓRMULA MANUAL]","",IFERROR(AVERAGEIFS(nNOTA,nNIA,Y240,nCUENTA,1,nASIG,"Música de Cámara"),"")))</f>
        <v/>
      </c>
      <c r="AC240" t="str">
        <f>IF(Y240="","",IF(Y240="[FÓRMULA MANUAL]","",IFERROR(SUMPRODUCT((nNIA=Y240)*(nCUENTA=1)*(COUNTIF(CONFIG_ASIGNATURAS!$B$7:$B$27,nASIG)&gt;0)*(nNOTA))/SUMPRODUCT((nNIA=Y240)*(nCUENTA=1)*(COUNTIF(CONFIG_ASIGNATURAS!$B$7:$B$27,nASIG)&gt;0)*1),"")))</f>
        <v/>
      </c>
      <c r="AF240" t="str">
        <f>IF(AE240="","",IF(AE240="[FÓRMULA MANUAL]","",IFERROR(AVERAGEIFS(nNOTA,nNIA,AE240,nCUENTA,1,nASIG,"Análisis"),"")))</f>
        <v/>
      </c>
      <c r="AG240" t="str">
        <f>IF(AE240="","",IF(AE240="[FÓRMULA MANUAL]","",IFERROR(AVERAGEIFS(nNOTA,nNIA,AE240,nCUENTA,1,nASIG,"Orquesta/Banda/Conjunto"),"")))</f>
        <v/>
      </c>
      <c r="AH240" t="str">
        <f>IF(AE240="","",IF(AE240="[FÓRMULA MANUAL]","",IFERROR(AVERAGEIFS(nNOTA,nNIA,AE240,nCUENTA,1,nASIG,"Música de Cámara"),"")))</f>
        <v/>
      </c>
      <c r="AI240" t="str">
        <f>IF(AE240="","",IF(AE240="[FÓRMULA MANUAL]","",IFERROR(SUMPRODUCT((nNIA=AE240)*(nCUENTA=1)*(COUNTIF(CONFIG_ASIGNATURAS!$B$7:$B$27,nASIG)&gt;0)*(nNOTA))/SUMPRODUCT((nNIA=AE240)*(nCUENTA=1)*(COUNTIF(CONFIG_ASIGNATURAS!$B$7:$B$27,nASIG)&gt;0)*1),"")))</f>
        <v/>
      </c>
    </row>
    <row r="241" spans="2:35" x14ac:dyDescent="0.2">
      <c r="B241" t="str">
        <f>IF(A241="","",IF(A241="[FÓRMULA MANUAL]","",IFERROR(AVERAGEIFS(nNOTA,nNIA,A241,nCUENTA,1,nASIG,"Lenguaje Musical"),"")))</f>
        <v/>
      </c>
      <c r="C241" t="str">
        <f>IF(A241="","",IF(A241="[FÓRMULA MANUAL]","",IFERROR(AVERAGEIFS(nNOTA,nNIA,A241,nCUENTA,1,nASIG,"Orquesta/Banda/Conjunto"),"")))</f>
        <v/>
      </c>
      <c r="D241" t="str">
        <f>IF(A241="","",IF(A241="[FÓRMULA MANUAL]","",IFERROR(AVERAGEIFS(nNOTA,nNIA,A241,nCUENTA,1,nASIG,"Conjunto"),"")))</f>
        <v/>
      </c>
      <c r="E241" t="str">
        <f>IF(A241="","",IF(A241="[FÓRMULA MANUAL]","",IFERROR(SUMPRODUCT((nNIA=A241)*(nCUENTA=1)*(COUNTIF(CONFIG_ASIGNATURAS!$B$7:$B$27,nASIG)&gt;0)*(nNOTA))/SUMPRODUCT((nNIA=A241)*(nCUENTA=1)*(COUNTIF(CONFIG_ASIGNATURAS!$B$7:$B$27,nASIG)&gt;0)*1),"")))</f>
        <v/>
      </c>
      <c r="H241" t="str">
        <f>IF(G241="","",IF(G241="[FÓRMULA MANUAL]","",IFERROR(AVERAGEIFS(nNOTA,nNIA,G241,nCUENTA,1,nASIG,"Lenguaje Musical"),"")))</f>
        <v/>
      </c>
      <c r="I241" t="str">
        <f>IF(G241="","",IF(G241="[FÓRMULA MANUAL]","",IFERROR(AVERAGEIFS(nNOTA,nNIA,G241,nCUENTA,1,nASIG,"Orquesta/Banda/Conjunto"),"")))</f>
        <v/>
      </c>
      <c r="J241" t="str">
        <f>IF(G241="","",IF(G241="[FÓRMULA MANUAL]","",IFERROR(AVERAGEIFS(nNOTA,nNIA,G241,nCUENTA,1,nASIG,"Conjunto"),"")))</f>
        <v/>
      </c>
      <c r="K241" t="str">
        <f>IF(G241="","",IF(G241="[FÓRMULA MANUAL]","",IFERROR(SUMPRODUCT((nNIA=G241)*(nCUENTA=1)*(COUNTIF(CONFIG_ASIGNATURAS!$B$7:$B$27,nASIG)&gt;0)*(nNOTA))/SUMPRODUCT((nNIA=G241)*(nCUENTA=1)*(COUNTIF(CONFIG_ASIGNATURAS!$B$7:$B$27,nASIG)&gt;0)*1),"")))</f>
        <v/>
      </c>
      <c r="N241" t="str">
        <f>IF(M241="","",IF(M241="[FÓRMULA MANUAL]","",IFERROR(AVERAGEIFS(nNOTA,nNIA,M241,nCUENTA,1,nASIG,"Armonía"),"")))</f>
        <v/>
      </c>
      <c r="O241" t="str">
        <f>IF(M241="","",IF(M241="[FÓRMULA MANUAL]","",IFERROR(AVERAGEIFS(nNOTA,nNIA,M241,nCUENTA,1,nASIG,"Orquesta/Banda/Conjunto"),"")))</f>
        <v/>
      </c>
      <c r="P241" t="str">
        <f>IF(M241="","",IF(M241="[FÓRMULA MANUAL]","",IFERROR(AVERAGEIFS(nNOTA,nNIA,M241,nCUENTA,1,nASIG,"Música de Cámara"),"")))</f>
        <v/>
      </c>
      <c r="Q241" t="str">
        <f>IF(M241="","",IF(M241="[FÓRMULA MANUAL]","",IFERROR(SUMPRODUCT((nNIA=M241)*(nCUENTA=1)*(COUNTIF(CONFIG_ASIGNATURAS!$B$7:$B$27,nASIG)&gt;0)*(nNOTA))/SUMPRODUCT((nNIA=M241)*(nCUENTA=1)*(COUNTIF(CONFIG_ASIGNATURAS!$B$7:$B$27,nASIG)&gt;0)*1),"")))</f>
        <v/>
      </c>
      <c r="T241" t="str">
        <f>IF(S241="","",IF(S241="[FÓRMULA MANUAL]","",IFERROR(AVERAGEIFS(nNOTA,nNIA,S241,nCUENTA,1,nASIG,"Armonía"),"")))</f>
        <v/>
      </c>
      <c r="U241" t="str">
        <f>IF(S241="","",IF(S241="[FÓRMULA MANUAL]","",IFERROR(AVERAGEIFS(nNOTA,nNIA,S241,nCUENTA,1,nASIG,"Orquesta/Banda/Conjunto"),"")))</f>
        <v/>
      </c>
      <c r="V241" t="str">
        <f>IF(S241="","",IF(S241="[FÓRMULA MANUAL]","",IFERROR(AVERAGEIFS(nNOTA,nNIA,S241,nCUENTA,1,nASIG,"Música de Cámara"),"")))</f>
        <v/>
      </c>
      <c r="W241" t="str">
        <f>IF(S241="","",IF(S241="[FÓRMULA MANUAL]","",IFERROR(SUMPRODUCT((nNIA=S241)*(nCUENTA=1)*(COUNTIF(CONFIG_ASIGNATURAS!$B$7:$B$27,nASIG)&gt;0)*(nNOTA))/SUMPRODUCT((nNIA=S241)*(nCUENTA=1)*(COUNTIF(CONFIG_ASIGNATURAS!$B$7:$B$27,nASIG)&gt;0)*1),"")))</f>
        <v/>
      </c>
      <c r="Z241" t="str">
        <f>IF(Y241="","",IF(Y241="[FÓRMULA MANUAL]","",IFERROR(AVERAGEIFS(nNOTA,nNIA,Y241,nCUENTA,1,nASIG,"Análisis"),"")))</f>
        <v/>
      </c>
      <c r="AA241" t="str">
        <f>IF(Y241="","",IF(Y241="[FÓRMULA MANUAL]","",IFERROR(AVERAGEIFS(nNOTA,nNIA,Y241,nCUENTA,1,nASIG,"Orquesta/Banda/Conjunto"),"")))</f>
        <v/>
      </c>
      <c r="AB241" t="str">
        <f>IF(Y241="","",IF(Y241="[FÓRMULA MANUAL]","",IFERROR(AVERAGEIFS(nNOTA,nNIA,Y241,nCUENTA,1,nASIG,"Música de Cámara"),"")))</f>
        <v/>
      </c>
      <c r="AC241" t="str">
        <f>IF(Y241="","",IF(Y241="[FÓRMULA MANUAL]","",IFERROR(SUMPRODUCT((nNIA=Y241)*(nCUENTA=1)*(COUNTIF(CONFIG_ASIGNATURAS!$B$7:$B$27,nASIG)&gt;0)*(nNOTA))/SUMPRODUCT((nNIA=Y241)*(nCUENTA=1)*(COUNTIF(CONFIG_ASIGNATURAS!$B$7:$B$27,nASIG)&gt;0)*1),"")))</f>
        <v/>
      </c>
      <c r="AF241" t="str">
        <f>IF(AE241="","",IF(AE241="[FÓRMULA MANUAL]","",IFERROR(AVERAGEIFS(nNOTA,nNIA,AE241,nCUENTA,1,nASIG,"Análisis"),"")))</f>
        <v/>
      </c>
      <c r="AG241" t="str">
        <f>IF(AE241="","",IF(AE241="[FÓRMULA MANUAL]","",IFERROR(AVERAGEIFS(nNOTA,nNIA,AE241,nCUENTA,1,nASIG,"Orquesta/Banda/Conjunto"),"")))</f>
        <v/>
      </c>
      <c r="AH241" t="str">
        <f>IF(AE241="","",IF(AE241="[FÓRMULA MANUAL]","",IFERROR(AVERAGEIFS(nNOTA,nNIA,AE241,nCUENTA,1,nASIG,"Música de Cámara"),"")))</f>
        <v/>
      </c>
      <c r="AI241" t="str">
        <f>IF(AE241="","",IF(AE241="[FÓRMULA MANUAL]","",IFERROR(SUMPRODUCT((nNIA=AE241)*(nCUENTA=1)*(COUNTIF(CONFIG_ASIGNATURAS!$B$7:$B$27,nASIG)&gt;0)*(nNOTA))/SUMPRODUCT((nNIA=AE241)*(nCUENTA=1)*(COUNTIF(CONFIG_ASIGNATURAS!$B$7:$B$27,nASIG)&gt;0)*1),"")))</f>
        <v/>
      </c>
    </row>
    <row r="242" spans="2:35" x14ac:dyDescent="0.2">
      <c r="B242" t="str">
        <f>IF(A242="","",IF(A242="[FÓRMULA MANUAL]","",IFERROR(AVERAGEIFS(nNOTA,nNIA,A242,nCUENTA,1,nASIG,"Lenguaje Musical"),"")))</f>
        <v/>
      </c>
      <c r="C242" t="str">
        <f>IF(A242="","",IF(A242="[FÓRMULA MANUAL]","",IFERROR(AVERAGEIFS(nNOTA,nNIA,A242,nCUENTA,1,nASIG,"Orquesta/Banda/Conjunto"),"")))</f>
        <v/>
      </c>
      <c r="D242" t="str">
        <f>IF(A242="","",IF(A242="[FÓRMULA MANUAL]","",IFERROR(AVERAGEIFS(nNOTA,nNIA,A242,nCUENTA,1,nASIG,"Conjunto"),"")))</f>
        <v/>
      </c>
      <c r="E242" t="str">
        <f>IF(A242="","",IF(A242="[FÓRMULA MANUAL]","",IFERROR(SUMPRODUCT((nNIA=A242)*(nCUENTA=1)*(COUNTIF(CONFIG_ASIGNATURAS!$B$7:$B$27,nASIG)&gt;0)*(nNOTA))/SUMPRODUCT((nNIA=A242)*(nCUENTA=1)*(COUNTIF(CONFIG_ASIGNATURAS!$B$7:$B$27,nASIG)&gt;0)*1),"")))</f>
        <v/>
      </c>
      <c r="H242" t="str">
        <f>IF(G242="","",IF(G242="[FÓRMULA MANUAL]","",IFERROR(AVERAGEIFS(nNOTA,nNIA,G242,nCUENTA,1,nASIG,"Lenguaje Musical"),"")))</f>
        <v/>
      </c>
      <c r="I242" t="str">
        <f>IF(G242="","",IF(G242="[FÓRMULA MANUAL]","",IFERROR(AVERAGEIFS(nNOTA,nNIA,G242,nCUENTA,1,nASIG,"Orquesta/Banda/Conjunto"),"")))</f>
        <v/>
      </c>
      <c r="J242" t="str">
        <f>IF(G242="","",IF(G242="[FÓRMULA MANUAL]","",IFERROR(AVERAGEIFS(nNOTA,nNIA,G242,nCUENTA,1,nASIG,"Conjunto"),"")))</f>
        <v/>
      </c>
      <c r="K242" t="str">
        <f>IF(G242="","",IF(G242="[FÓRMULA MANUAL]","",IFERROR(SUMPRODUCT((nNIA=G242)*(nCUENTA=1)*(COUNTIF(CONFIG_ASIGNATURAS!$B$7:$B$27,nASIG)&gt;0)*(nNOTA))/SUMPRODUCT((nNIA=G242)*(nCUENTA=1)*(COUNTIF(CONFIG_ASIGNATURAS!$B$7:$B$27,nASIG)&gt;0)*1),"")))</f>
        <v/>
      </c>
      <c r="N242" t="str">
        <f>IF(M242="","",IF(M242="[FÓRMULA MANUAL]","",IFERROR(AVERAGEIFS(nNOTA,nNIA,M242,nCUENTA,1,nASIG,"Armonía"),"")))</f>
        <v/>
      </c>
      <c r="O242" t="str">
        <f>IF(M242="","",IF(M242="[FÓRMULA MANUAL]","",IFERROR(AVERAGEIFS(nNOTA,nNIA,M242,nCUENTA,1,nASIG,"Orquesta/Banda/Conjunto"),"")))</f>
        <v/>
      </c>
      <c r="P242" t="str">
        <f>IF(M242="","",IF(M242="[FÓRMULA MANUAL]","",IFERROR(AVERAGEIFS(nNOTA,nNIA,M242,nCUENTA,1,nASIG,"Música de Cámara"),"")))</f>
        <v/>
      </c>
      <c r="Q242" t="str">
        <f>IF(M242="","",IF(M242="[FÓRMULA MANUAL]","",IFERROR(SUMPRODUCT((nNIA=M242)*(nCUENTA=1)*(COUNTIF(CONFIG_ASIGNATURAS!$B$7:$B$27,nASIG)&gt;0)*(nNOTA))/SUMPRODUCT((nNIA=M242)*(nCUENTA=1)*(COUNTIF(CONFIG_ASIGNATURAS!$B$7:$B$27,nASIG)&gt;0)*1),"")))</f>
        <v/>
      </c>
      <c r="T242" t="str">
        <f>IF(S242="","",IF(S242="[FÓRMULA MANUAL]","",IFERROR(AVERAGEIFS(nNOTA,nNIA,S242,nCUENTA,1,nASIG,"Armonía"),"")))</f>
        <v/>
      </c>
      <c r="U242" t="str">
        <f>IF(S242="","",IF(S242="[FÓRMULA MANUAL]","",IFERROR(AVERAGEIFS(nNOTA,nNIA,S242,nCUENTA,1,nASIG,"Orquesta/Banda/Conjunto"),"")))</f>
        <v/>
      </c>
      <c r="V242" t="str">
        <f>IF(S242="","",IF(S242="[FÓRMULA MANUAL]","",IFERROR(AVERAGEIFS(nNOTA,nNIA,S242,nCUENTA,1,nASIG,"Música de Cámara"),"")))</f>
        <v/>
      </c>
      <c r="W242" t="str">
        <f>IF(S242="","",IF(S242="[FÓRMULA MANUAL]","",IFERROR(SUMPRODUCT((nNIA=S242)*(nCUENTA=1)*(COUNTIF(CONFIG_ASIGNATURAS!$B$7:$B$27,nASIG)&gt;0)*(nNOTA))/SUMPRODUCT((nNIA=S242)*(nCUENTA=1)*(COUNTIF(CONFIG_ASIGNATURAS!$B$7:$B$27,nASIG)&gt;0)*1),"")))</f>
        <v/>
      </c>
      <c r="Z242" t="str">
        <f>IF(Y242="","",IF(Y242="[FÓRMULA MANUAL]","",IFERROR(AVERAGEIFS(nNOTA,nNIA,Y242,nCUENTA,1,nASIG,"Análisis"),"")))</f>
        <v/>
      </c>
      <c r="AA242" t="str">
        <f>IF(Y242="","",IF(Y242="[FÓRMULA MANUAL]","",IFERROR(AVERAGEIFS(nNOTA,nNIA,Y242,nCUENTA,1,nASIG,"Orquesta/Banda/Conjunto"),"")))</f>
        <v/>
      </c>
      <c r="AB242" t="str">
        <f>IF(Y242="","",IF(Y242="[FÓRMULA MANUAL]","",IFERROR(AVERAGEIFS(nNOTA,nNIA,Y242,nCUENTA,1,nASIG,"Música de Cámara"),"")))</f>
        <v/>
      </c>
      <c r="AC242" t="str">
        <f>IF(Y242="","",IF(Y242="[FÓRMULA MANUAL]","",IFERROR(SUMPRODUCT((nNIA=Y242)*(nCUENTA=1)*(COUNTIF(CONFIG_ASIGNATURAS!$B$7:$B$27,nASIG)&gt;0)*(nNOTA))/SUMPRODUCT((nNIA=Y242)*(nCUENTA=1)*(COUNTIF(CONFIG_ASIGNATURAS!$B$7:$B$27,nASIG)&gt;0)*1),"")))</f>
        <v/>
      </c>
      <c r="AF242" t="str">
        <f>IF(AE242="","",IF(AE242="[FÓRMULA MANUAL]","",IFERROR(AVERAGEIFS(nNOTA,nNIA,AE242,nCUENTA,1,nASIG,"Análisis"),"")))</f>
        <v/>
      </c>
      <c r="AG242" t="str">
        <f>IF(AE242="","",IF(AE242="[FÓRMULA MANUAL]","",IFERROR(AVERAGEIFS(nNOTA,nNIA,AE242,nCUENTA,1,nASIG,"Orquesta/Banda/Conjunto"),"")))</f>
        <v/>
      </c>
      <c r="AH242" t="str">
        <f>IF(AE242="","",IF(AE242="[FÓRMULA MANUAL]","",IFERROR(AVERAGEIFS(nNOTA,nNIA,AE242,nCUENTA,1,nASIG,"Música de Cámara"),"")))</f>
        <v/>
      </c>
      <c r="AI242" t="str">
        <f>IF(AE242="","",IF(AE242="[FÓRMULA MANUAL]","",IFERROR(SUMPRODUCT((nNIA=AE242)*(nCUENTA=1)*(COUNTIF(CONFIG_ASIGNATURAS!$B$7:$B$27,nASIG)&gt;0)*(nNOTA))/SUMPRODUCT((nNIA=AE242)*(nCUENTA=1)*(COUNTIF(CONFIG_ASIGNATURAS!$B$7:$B$27,nASIG)&gt;0)*1),"")))</f>
        <v/>
      </c>
    </row>
    <row r="243" spans="2:35" x14ac:dyDescent="0.2">
      <c r="B243" t="str">
        <f>IF(A243="","",IF(A243="[FÓRMULA MANUAL]","",IFERROR(AVERAGEIFS(nNOTA,nNIA,A243,nCUENTA,1,nASIG,"Lenguaje Musical"),"")))</f>
        <v/>
      </c>
      <c r="C243" t="str">
        <f>IF(A243="","",IF(A243="[FÓRMULA MANUAL]","",IFERROR(AVERAGEIFS(nNOTA,nNIA,A243,nCUENTA,1,nASIG,"Orquesta/Banda/Conjunto"),"")))</f>
        <v/>
      </c>
      <c r="D243" t="str">
        <f>IF(A243="","",IF(A243="[FÓRMULA MANUAL]","",IFERROR(AVERAGEIFS(nNOTA,nNIA,A243,nCUENTA,1,nASIG,"Conjunto"),"")))</f>
        <v/>
      </c>
      <c r="E243" t="str">
        <f>IF(A243="","",IF(A243="[FÓRMULA MANUAL]","",IFERROR(SUMPRODUCT((nNIA=A243)*(nCUENTA=1)*(COUNTIF(CONFIG_ASIGNATURAS!$B$7:$B$27,nASIG)&gt;0)*(nNOTA))/SUMPRODUCT((nNIA=A243)*(nCUENTA=1)*(COUNTIF(CONFIG_ASIGNATURAS!$B$7:$B$27,nASIG)&gt;0)*1),"")))</f>
        <v/>
      </c>
      <c r="H243" t="str">
        <f>IF(G243="","",IF(G243="[FÓRMULA MANUAL]","",IFERROR(AVERAGEIFS(nNOTA,nNIA,G243,nCUENTA,1,nASIG,"Lenguaje Musical"),"")))</f>
        <v/>
      </c>
      <c r="I243" t="str">
        <f>IF(G243="","",IF(G243="[FÓRMULA MANUAL]","",IFERROR(AVERAGEIFS(nNOTA,nNIA,G243,nCUENTA,1,nASIG,"Orquesta/Banda/Conjunto"),"")))</f>
        <v/>
      </c>
      <c r="J243" t="str">
        <f>IF(G243="","",IF(G243="[FÓRMULA MANUAL]","",IFERROR(AVERAGEIFS(nNOTA,nNIA,G243,nCUENTA,1,nASIG,"Conjunto"),"")))</f>
        <v/>
      </c>
      <c r="K243" t="str">
        <f>IF(G243="","",IF(G243="[FÓRMULA MANUAL]","",IFERROR(SUMPRODUCT((nNIA=G243)*(nCUENTA=1)*(COUNTIF(CONFIG_ASIGNATURAS!$B$7:$B$27,nASIG)&gt;0)*(nNOTA))/SUMPRODUCT((nNIA=G243)*(nCUENTA=1)*(COUNTIF(CONFIG_ASIGNATURAS!$B$7:$B$27,nASIG)&gt;0)*1),"")))</f>
        <v/>
      </c>
      <c r="N243" t="str">
        <f>IF(M243="","",IF(M243="[FÓRMULA MANUAL]","",IFERROR(AVERAGEIFS(nNOTA,nNIA,M243,nCUENTA,1,nASIG,"Armonía"),"")))</f>
        <v/>
      </c>
      <c r="O243" t="str">
        <f>IF(M243="","",IF(M243="[FÓRMULA MANUAL]","",IFERROR(AVERAGEIFS(nNOTA,nNIA,M243,nCUENTA,1,nASIG,"Orquesta/Banda/Conjunto"),"")))</f>
        <v/>
      </c>
      <c r="P243" t="str">
        <f>IF(M243="","",IF(M243="[FÓRMULA MANUAL]","",IFERROR(AVERAGEIFS(nNOTA,nNIA,M243,nCUENTA,1,nASIG,"Música de Cámara"),"")))</f>
        <v/>
      </c>
      <c r="Q243" t="str">
        <f>IF(M243="","",IF(M243="[FÓRMULA MANUAL]","",IFERROR(SUMPRODUCT((nNIA=M243)*(nCUENTA=1)*(COUNTIF(CONFIG_ASIGNATURAS!$B$7:$B$27,nASIG)&gt;0)*(nNOTA))/SUMPRODUCT((nNIA=M243)*(nCUENTA=1)*(COUNTIF(CONFIG_ASIGNATURAS!$B$7:$B$27,nASIG)&gt;0)*1),"")))</f>
        <v/>
      </c>
      <c r="T243" t="str">
        <f>IF(S243="","",IF(S243="[FÓRMULA MANUAL]","",IFERROR(AVERAGEIFS(nNOTA,nNIA,S243,nCUENTA,1,nASIG,"Armonía"),"")))</f>
        <v/>
      </c>
      <c r="U243" t="str">
        <f>IF(S243="","",IF(S243="[FÓRMULA MANUAL]","",IFERROR(AVERAGEIFS(nNOTA,nNIA,S243,nCUENTA,1,nASIG,"Orquesta/Banda/Conjunto"),"")))</f>
        <v/>
      </c>
      <c r="V243" t="str">
        <f>IF(S243="","",IF(S243="[FÓRMULA MANUAL]","",IFERROR(AVERAGEIFS(nNOTA,nNIA,S243,nCUENTA,1,nASIG,"Música de Cámara"),"")))</f>
        <v/>
      </c>
      <c r="W243" t="str">
        <f>IF(S243="","",IF(S243="[FÓRMULA MANUAL]","",IFERROR(SUMPRODUCT((nNIA=S243)*(nCUENTA=1)*(COUNTIF(CONFIG_ASIGNATURAS!$B$7:$B$27,nASIG)&gt;0)*(nNOTA))/SUMPRODUCT((nNIA=S243)*(nCUENTA=1)*(COUNTIF(CONFIG_ASIGNATURAS!$B$7:$B$27,nASIG)&gt;0)*1),"")))</f>
        <v/>
      </c>
      <c r="Z243" t="str">
        <f>IF(Y243="","",IF(Y243="[FÓRMULA MANUAL]","",IFERROR(AVERAGEIFS(nNOTA,nNIA,Y243,nCUENTA,1,nASIG,"Análisis"),"")))</f>
        <v/>
      </c>
      <c r="AA243" t="str">
        <f>IF(Y243="","",IF(Y243="[FÓRMULA MANUAL]","",IFERROR(AVERAGEIFS(nNOTA,nNIA,Y243,nCUENTA,1,nASIG,"Orquesta/Banda/Conjunto"),"")))</f>
        <v/>
      </c>
      <c r="AB243" t="str">
        <f>IF(Y243="","",IF(Y243="[FÓRMULA MANUAL]","",IFERROR(AVERAGEIFS(nNOTA,nNIA,Y243,nCUENTA,1,nASIG,"Música de Cámara"),"")))</f>
        <v/>
      </c>
      <c r="AC243" t="str">
        <f>IF(Y243="","",IF(Y243="[FÓRMULA MANUAL]","",IFERROR(SUMPRODUCT((nNIA=Y243)*(nCUENTA=1)*(COUNTIF(CONFIG_ASIGNATURAS!$B$7:$B$27,nASIG)&gt;0)*(nNOTA))/SUMPRODUCT((nNIA=Y243)*(nCUENTA=1)*(COUNTIF(CONFIG_ASIGNATURAS!$B$7:$B$27,nASIG)&gt;0)*1),"")))</f>
        <v/>
      </c>
      <c r="AF243" t="str">
        <f>IF(AE243="","",IF(AE243="[FÓRMULA MANUAL]","",IFERROR(AVERAGEIFS(nNOTA,nNIA,AE243,nCUENTA,1,nASIG,"Análisis"),"")))</f>
        <v/>
      </c>
      <c r="AG243" t="str">
        <f>IF(AE243="","",IF(AE243="[FÓRMULA MANUAL]","",IFERROR(AVERAGEIFS(nNOTA,nNIA,AE243,nCUENTA,1,nASIG,"Orquesta/Banda/Conjunto"),"")))</f>
        <v/>
      </c>
      <c r="AH243" t="str">
        <f>IF(AE243="","",IF(AE243="[FÓRMULA MANUAL]","",IFERROR(AVERAGEIFS(nNOTA,nNIA,AE243,nCUENTA,1,nASIG,"Música de Cámara"),"")))</f>
        <v/>
      </c>
      <c r="AI243" t="str">
        <f>IF(AE243="","",IF(AE243="[FÓRMULA MANUAL]","",IFERROR(SUMPRODUCT((nNIA=AE243)*(nCUENTA=1)*(COUNTIF(CONFIG_ASIGNATURAS!$B$7:$B$27,nASIG)&gt;0)*(nNOTA))/SUMPRODUCT((nNIA=AE243)*(nCUENTA=1)*(COUNTIF(CONFIG_ASIGNATURAS!$B$7:$B$27,nASIG)&gt;0)*1),"")))</f>
        <v/>
      </c>
    </row>
    <row r="244" spans="2:35" x14ac:dyDescent="0.2">
      <c r="B244" t="str">
        <f>IF(A244="","",IF(A244="[FÓRMULA MANUAL]","",IFERROR(AVERAGEIFS(nNOTA,nNIA,A244,nCUENTA,1,nASIG,"Lenguaje Musical"),"")))</f>
        <v/>
      </c>
      <c r="C244" t="str">
        <f>IF(A244="","",IF(A244="[FÓRMULA MANUAL]","",IFERROR(AVERAGEIFS(nNOTA,nNIA,A244,nCUENTA,1,nASIG,"Orquesta/Banda/Conjunto"),"")))</f>
        <v/>
      </c>
      <c r="D244" t="str">
        <f>IF(A244="","",IF(A244="[FÓRMULA MANUAL]","",IFERROR(AVERAGEIFS(nNOTA,nNIA,A244,nCUENTA,1,nASIG,"Conjunto"),"")))</f>
        <v/>
      </c>
      <c r="E244" t="str">
        <f>IF(A244="","",IF(A244="[FÓRMULA MANUAL]","",IFERROR(SUMPRODUCT((nNIA=A244)*(nCUENTA=1)*(COUNTIF(CONFIG_ASIGNATURAS!$B$7:$B$27,nASIG)&gt;0)*(nNOTA))/SUMPRODUCT((nNIA=A244)*(nCUENTA=1)*(COUNTIF(CONFIG_ASIGNATURAS!$B$7:$B$27,nASIG)&gt;0)*1),"")))</f>
        <v/>
      </c>
      <c r="H244" t="str">
        <f>IF(G244="","",IF(G244="[FÓRMULA MANUAL]","",IFERROR(AVERAGEIFS(nNOTA,nNIA,G244,nCUENTA,1,nASIG,"Lenguaje Musical"),"")))</f>
        <v/>
      </c>
      <c r="I244" t="str">
        <f>IF(G244="","",IF(G244="[FÓRMULA MANUAL]","",IFERROR(AVERAGEIFS(nNOTA,nNIA,G244,nCUENTA,1,nASIG,"Orquesta/Banda/Conjunto"),"")))</f>
        <v/>
      </c>
      <c r="J244" t="str">
        <f>IF(G244="","",IF(G244="[FÓRMULA MANUAL]","",IFERROR(AVERAGEIFS(nNOTA,nNIA,G244,nCUENTA,1,nASIG,"Conjunto"),"")))</f>
        <v/>
      </c>
      <c r="K244" t="str">
        <f>IF(G244="","",IF(G244="[FÓRMULA MANUAL]","",IFERROR(SUMPRODUCT((nNIA=G244)*(nCUENTA=1)*(COUNTIF(CONFIG_ASIGNATURAS!$B$7:$B$27,nASIG)&gt;0)*(nNOTA))/SUMPRODUCT((nNIA=G244)*(nCUENTA=1)*(COUNTIF(CONFIG_ASIGNATURAS!$B$7:$B$27,nASIG)&gt;0)*1),"")))</f>
        <v/>
      </c>
      <c r="N244" t="str">
        <f>IF(M244="","",IF(M244="[FÓRMULA MANUAL]","",IFERROR(AVERAGEIFS(nNOTA,nNIA,M244,nCUENTA,1,nASIG,"Armonía"),"")))</f>
        <v/>
      </c>
      <c r="O244" t="str">
        <f>IF(M244="","",IF(M244="[FÓRMULA MANUAL]","",IFERROR(AVERAGEIFS(nNOTA,nNIA,M244,nCUENTA,1,nASIG,"Orquesta/Banda/Conjunto"),"")))</f>
        <v/>
      </c>
      <c r="P244" t="str">
        <f>IF(M244="","",IF(M244="[FÓRMULA MANUAL]","",IFERROR(AVERAGEIFS(nNOTA,nNIA,M244,nCUENTA,1,nASIG,"Música de Cámara"),"")))</f>
        <v/>
      </c>
      <c r="Q244" t="str">
        <f>IF(M244="","",IF(M244="[FÓRMULA MANUAL]","",IFERROR(SUMPRODUCT((nNIA=M244)*(nCUENTA=1)*(COUNTIF(CONFIG_ASIGNATURAS!$B$7:$B$27,nASIG)&gt;0)*(nNOTA))/SUMPRODUCT((nNIA=M244)*(nCUENTA=1)*(COUNTIF(CONFIG_ASIGNATURAS!$B$7:$B$27,nASIG)&gt;0)*1),"")))</f>
        <v/>
      </c>
      <c r="T244" t="str">
        <f>IF(S244="","",IF(S244="[FÓRMULA MANUAL]","",IFERROR(AVERAGEIFS(nNOTA,nNIA,S244,nCUENTA,1,nASIG,"Armonía"),"")))</f>
        <v/>
      </c>
      <c r="U244" t="str">
        <f>IF(S244="","",IF(S244="[FÓRMULA MANUAL]","",IFERROR(AVERAGEIFS(nNOTA,nNIA,S244,nCUENTA,1,nASIG,"Orquesta/Banda/Conjunto"),"")))</f>
        <v/>
      </c>
      <c r="V244" t="str">
        <f>IF(S244="","",IF(S244="[FÓRMULA MANUAL]","",IFERROR(AVERAGEIFS(nNOTA,nNIA,S244,nCUENTA,1,nASIG,"Música de Cámara"),"")))</f>
        <v/>
      </c>
      <c r="W244" t="str">
        <f>IF(S244="","",IF(S244="[FÓRMULA MANUAL]","",IFERROR(SUMPRODUCT((nNIA=S244)*(nCUENTA=1)*(COUNTIF(CONFIG_ASIGNATURAS!$B$7:$B$27,nASIG)&gt;0)*(nNOTA))/SUMPRODUCT((nNIA=S244)*(nCUENTA=1)*(COUNTIF(CONFIG_ASIGNATURAS!$B$7:$B$27,nASIG)&gt;0)*1),"")))</f>
        <v/>
      </c>
      <c r="Z244" t="str">
        <f>IF(Y244="","",IF(Y244="[FÓRMULA MANUAL]","",IFERROR(AVERAGEIFS(nNOTA,nNIA,Y244,nCUENTA,1,nASIG,"Análisis"),"")))</f>
        <v/>
      </c>
      <c r="AA244" t="str">
        <f>IF(Y244="","",IF(Y244="[FÓRMULA MANUAL]","",IFERROR(AVERAGEIFS(nNOTA,nNIA,Y244,nCUENTA,1,nASIG,"Orquesta/Banda/Conjunto"),"")))</f>
        <v/>
      </c>
      <c r="AB244" t="str">
        <f>IF(Y244="","",IF(Y244="[FÓRMULA MANUAL]","",IFERROR(AVERAGEIFS(nNOTA,nNIA,Y244,nCUENTA,1,nASIG,"Música de Cámara"),"")))</f>
        <v/>
      </c>
      <c r="AC244" t="str">
        <f>IF(Y244="","",IF(Y244="[FÓRMULA MANUAL]","",IFERROR(SUMPRODUCT((nNIA=Y244)*(nCUENTA=1)*(COUNTIF(CONFIG_ASIGNATURAS!$B$7:$B$27,nASIG)&gt;0)*(nNOTA))/SUMPRODUCT((nNIA=Y244)*(nCUENTA=1)*(COUNTIF(CONFIG_ASIGNATURAS!$B$7:$B$27,nASIG)&gt;0)*1),"")))</f>
        <v/>
      </c>
      <c r="AF244" t="str">
        <f>IF(AE244="","",IF(AE244="[FÓRMULA MANUAL]","",IFERROR(AVERAGEIFS(nNOTA,nNIA,AE244,nCUENTA,1,nASIG,"Análisis"),"")))</f>
        <v/>
      </c>
      <c r="AG244" t="str">
        <f>IF(AE244="","",IF(AE244="[FÓRMULA MANUAL]","",IFERROR(AVERAGEIFS(nNOTA,nNIA,AE244,nCUENTA,1,nASIG,"Orquesta/Banda/Conjunto"),"")))</f>
        <v/>
      </c>
      <c r="AH244" t="str">
        <f>IF(AE244="","",IF(AE244="[FÓRMULA MANUAL]","",IFERROR(AVERAGEIFS(nNOTA,nNIA,AE244,nCUENTA,1,nASIG,"Música de Cámara"),"")))</f>
        <v/>
      </c>
      <c r="AI244" t="str">
        <f>IF(AE244="","",IF(AE244="[FÓRMULA MANUAL]","",IFERROR(SUMPRODUCT((nNIA=AE244)*(nCUENTA=1)*(COUNTIF(CONFIG_ASIGNATURAS!$B$7:$B$27,nASIG)&gt;0)*(nNOTA))/SUMPRODUCT((nNIA=AE244)*(nCUENTA=1)*(COUNTIF(CONFIG_ASIGNATURAS!$B$7:$B$27,nASIG)&gt;0)*1),"")))</f>
        <v/>
      </c>
    </row>
    <row r="245" spans="2:35" x14ac:dyDescent="0.2">
      <c r="B245" t="str">
        <f>IF(A245="","",IF(A245="[FÓRMULA MANUAL]","",IFERROR(AVERAGEIFS(nNOTA,nNIA,A245,nCUENTA,1,nASIG,"Lenguaje Musical"),"")))</f>
        <v/>
      </c>
      <c r="C245" t="str">
        <f>IF(A245="","",IF(A245="[FÓRMULA MANUAL]","",IFERROR(AVERAGEIFS(nNOTA,nNIA,A245,nCUENTA,1,nASIG,"Orquesta/Banda/Conjunto"),"")))</f>
        <v/>
      </c>
      <c r="D245" t="str">
        <f>IF(A245="","",IF(A245="[FÓRMULA MANUAL]","",IFERROR(AVERAGEIFS(nNOTA,nNIA,A245,nCUENTA,1,nASIG,"Conjunto"),"")))</f>
        <v/>
      </c>
      <c r="E245" t="str">
        <f>IF(A245="","",IF(A245="[FÓRMULA MANUAL]","",IFERROR(SUMPRODUCT((nNIA=A245)*(nCUENTA=1)*(COUNTIF(CONFIG_ASIGNATURAS!$B$7:$B$27,nASIG)&gt;0)*(nNOTA))/SUMPRODUCT((nNIA=A245)*(nCUENTA=1)*(COUNTIF(CONFIG_ASIGNATURAS!$B$7:$B$27,nASIG)&gt;0)*1),"")))</f>
        <v/>
      </c>
      <c r="H245" t="str">
        <f>IF(G245="","",IF(G245="[FÓRMULA MANUAL]","",IFERROR(AVERAGEIFS(nNOTA,nNIA,G245,nCUENTA,1,nASIG,"Lenguaje Musical"),"")))</f>
        <v/>
      </c>
      <c r="I245" t="str">
        <f>IF(G245="","",IF(G245="[FÓRMULA MANUAL]","",IFERROR(AVERAGEIFS(nNOTA,nNIA,G245,nCUENTA,1,nASIG,"Orquesta/Banda/Conjunto"),"")))</f>
        <v/>
      </c>
      <c r="J245" t="str">
        <f>IF(G245="","",IF(G245="[FÓRMULA MANUAL]","",IFERROR(AVERAGEIFS(nNOTA,nNIA,G245,nCUENTA,1,nASIG,"Conjunto"),"")))</f>
        <v/>
      </c>
      <c r="K245" t="str">
        <f>IF(G245="","",IF(G245="[FÓRMULA MANUAL]","",IFERROR(SUMPRODUCT((nNIA=G245)*(nCUENTA=1)*(COUNTIF(CONFIG_ASIGNATURAS!$B$7:$B$27,nASIG)&gt;0)*(nNOTA))/SUMPRODUCT((nNIA=G245)*(nCUENTA=1)*(COUNTIF(CONFIG_ASIGNATURAS!$B$7:$B$27,nASIG)&gt;0)*1),"")))</f>
        <v/>
      </c>
      <c r="N245" t="str">
        <f>IF(M245="","",IF(M245="[FÓRMULA MANUAL]","",IFERROR(AVERAGEIFS(nNOTA,nNIA,M245,nCUENTA,1,nASIG,"Armonía"),"")))</f>
        <v/>
      </c>
      <c r="O245" t="str">
        <f>IF(M245="","",IF(M245="[FÓRMULA MANUAL]","",IFERROR(AVERAGEIFS(nNOTA,nNIA,M245,nCUENTA,1,nASIG,"Orquesta/Banda/Conjunto"),"")))</f>
        <v/>
      </c>
      <c r="P245" t="str">
        <f>IF(M245="","",IF(M245="[FÓRMULA MANUAL]","",IFERROR(AVERAGEIFS(nNOTA,nNIA,M245,nCUENTA,1,nASIG,"Música de Cámara"),"")))</f>
        <v/>
      </c>
      <c r="Q245" t="str">
        <f>IF(M245="","",IF(M245="[FÓRMULA MANUAL]","",IFERROR(SUMPRODUCT((nNIA=M245)*(nCUENTA=1)*(COUNTIF(CONFIG_ASIGNATURAS!$B$7:$B$27,nASIG)&gt;0)*(nNOTA))/SUMPRODUCT((nNIA=M245)*(nCUENTA=1)*(COUNTIF(CONFIG_ASIGNATURAS!$B$7:$B$27,nASIG)&gt;0)*1),"")))</f>
        <v/>
      </c>
      <c r="T245" t="str">
        <f>IF(S245="","",IF(S245="[FÓRMULA MANUAL]","",IFERROR(AVERAGEIFS(nNOTA,nNIA,S245,nCUENTA,1,nASIG,"Armonía"),"")))</f>
        <v/>
      </c>
      <c r="U245" t="str">
        <f>IF(S245="","",IF(S245="[FÓRMULA MANUAL]","",IFERROR(AVERAGEIFS(nNOTA,nNIA,S245,nCUENTA,1,nASIG,"Orquesta/Banda/Conjunto"),"")))</f>
        <v/>
      </c>
      <c r="V245" t="str">
        <f>IF(S245="","",IF(S245="[FÓRMULA MANUAL]","",IFERROR(AVERAGEIFS(nNOTA,nNIA,S245,nCUENTA,1,nASIG,"Música de Cámara"),"")))</f>
        <v/>
      </c>
      <c r="W245" t="str">
        <f>IF(S245="","",IF(S245="[FÓRMULA MANUAL]","",IFERROR(SUMPRODUCT((nNIA=S245)*(nCUENTA=1)*(COUNTIF(CONFIG_ASIGNATURAS!$B$7:$B$27,nASIG)&gt;0)*(nNOTA))/SUMPRODUCT((nNIA=S245)*(nCUENTA=1)*(COUNTIF(CONFIG_ASIGNATURAS!$B$7:$B$27,nASIG)&gt;0)*1),"")))</f>
        <v/>
      </c>
      <c r="Z245" t="str">
        <f>IF(Y245="","",IF(Y245="[FÓRMULA MANUAL]","",IFERROR(AVERAGEIFS(nNOTA,nNIA,Y245,nCUENTA,1,nASIG,"Análisis"),"")))</f>
        <v/>
      </c>
      <c r="AA245" t="str">
        <f>IF(Y245="","",IF(Y245="[FÓRMULA MANUAL]","",IFERROR(AVERAGEIFS(nNOTA,nNIA,Y245,nCUENTA,1,nASIG,"Orquesta/Banda/Conjunto"),"")))</f>
        <v/>
      </c>
      <c r="AB245" t="str">
        <f>IF(Y245="","",IF(Y245="[FÓRMULA MANUAL]","",IFERROR(AVERAGEIFS(nNOTA,nNIA,Y245,nCUENTA,1,nASIG,"Música de Cámara"),"")))</f>
        <v/>
      </c>
      <c r="AC245" t="str">
        <f>IF(Y245="","",IF(Y245="[FÓRMULA MANUAL]","",IFERROR(SUMPRODUCT((nNIA=Y245)*(nCUENTA=1)*(COUNTIF(CONFIG_ASIGNATURAS!$B$7:$B$27,nASIG)&gt;0)*(nNOTA))/SUMPRODUCT((nNIA=Y245)*(nCUENTA=1)*(COUNTIF(CONFIG_ASIGNATURAS!$B$7:$B$27,nASIG)&gt;0)*1),"")))</f>
        <v/>
      </c>
      <c r="AF245" t="str">
        <f>IF(AE245="","",IF(AE245="[FÓRMULA MANUAL]","",IFERROR(AVERAGEIFS(nNOTA,nNIA,AE245,nCUENTA,1,nASIG,"Análisis"),"")))</f>
        <v/>
      </c>
      <c r="AG245" t="str">
        <f>IF(AE245="","",IF(AE245="[FÓRMULA MANUAL]","",IFERROR(AVERAGEIFS(nNOTA,nNIA,AE245,nCUENTA,1,nASIG,"Orquesta/Banda/Conjunto"),"")))</f>
        <v/>
      </c>
      <c r="AH245" t="str">
        <f>IF(AE245="","",IF(AE245="[FÓRMULA MANUAL]","",IFERROR(AVERAGEIFS(nNOTA,nNIA,AE245,nCUENTA,1,nASIG,"Música de Cámara"),"")))</f>
        <v/>
      </c>
      <c r="AI245" t="str">
        <f>IF(AE245="","",IF(AE245="[FÓRMULA MANUAL]","",IFERROR(SUMPRODUCT((nNIA=AE245)*(nCUENTA=1)*(COUNTIF(CONFIG_ASIGNATURAS!$B$7:$B$27,nASIG)&gt;0)*(nNOTA))/SUMPRODUCT((nNIA=AE245)*(nCUENTA=1)*(COUNTIF(CONFIG_ASIGNATURAS!$B$7:$B$27,nASIG)&gt;0)*1),"")))</f>
        <v/>
      </c>
    </row>
    <row r="246" spans="2:35" x14ac:dyDescent="0.2">
      <c r="B246" t="str">
        <f>IF(A246="","",IF(A246="[FÓRMULA MANUAL]","",IFERROR(AVERAGEIFS(nNOTA,nNIA,A246,nCUENTA,1,nASIG,"Lenguaje Musical"),"")))</f>
        <v/>
      </c>
      <c r="C246" t="str">
        <f>IF(A246="","",IF(A246="[FÓRMULA MANUAL]","",IFERROR(AVERAGEIFS(nNOTA,nNIA,A246,nCUENTA,1,nASIG,"Orquesta/Banda/Conjunto"),"")))</f>
        <v/>
      </c>
      <c r="D246" t="str">
        <f>IF(A246="","",IF(A246="[FÓRMULA MANUAL]","",IFERROR(AVERAGEIFS(nNOTA,nNIA,A246,nCUENTA,1,nASIG,"Conjunto"),"")))</f>
        <v/>
      </c>
      <c r="E246" t="str">
        <f>IF(A246="","",IF(A246="[FÓRMULA MANUAL]","",IFERROR(SUMPRODUCT((nNIA=A246)*(nCUENTA=1)*(COUNTIF(CONFIG_ASIGNATURAS!$B$7:$B$27,nASIG)&gt;0)*(nNOTA))/SUMPRODUCT((nNIA=A246)*(nCUENTA=1)*(COUNTIF(CONFIG_ASIGNATURAS!$B$7:$B$27,nASIG)&gt;0)*1),"")))</f>
        <v/>
      </c>
      <c r="H246" t="str">
        <f>IF(G246="","",IF(G246="[FÓRMULA MANUAL]","",IFERROR(AVERAGEIFS(nNOTA,nNIA,G246,nCUENTA,1,nASIG,"Lenguaje Musical"),"")))</f>
        <v/>
      </c>
      <c r="I246" t="str">
        <f>IF(G246="","",IF(G246="[FÓRMULA MANUAL]","",IFERROR(AVERAGEIFS(nNOTA,nNIA,G246,nCUENTA,1,nASIG,"Orquesta/Banda/Conjunto"),"")))</f>
        <v/>
      </c>
      <c r="J246" t="str">
        <f>IF(G246="","",IF(G246="[FÓRMULA MANUAL]","",IFERROR(AVERAGEIFS(nNOTA,nNIA,G246,nCUENTA,1,nASIG,"Conjunto"),"")))</f>
        <v/>
      </c>
      <c r="K246" t="str">
        <f>IF(G246="","",IF(G246="[FÓRMULA MANUAL]","",IFERROR(SUMPRODUCT((nNIA=G246)*(nCUENTA=1)*(COUNTIF(CONFIG_ASIGNATURAS!$B$7:$B$27,nASIG)&gt;0)*(nNOTA))/SUMPRODUCT((nNIA=G246)*(nCUENTA=1)*(COUNTIF(CONFIG_ASIGNATURAS!$B$7:$B$27,nASIG)&gt;0)*1),"")))</f>
        <v/>
      </c>
      <c r="N246" t="str">
        <f>IF(M246="","",IF(M246="[FÓRMULA MANUAL]","",IFERROR(AVERAGEIFS(nNOTA,nNIA,M246,nCUENTA,1,nASIG,"Armonía"),"")))</f>
        <v/>
      </c>
      <c r="O246" t="str">
        <f>IF(M246="","",IF(M246="[FÓRMULA MANUAL]","",IFERROR(AVERAGEIFS(nNOTA,nNIA,M246,nCUENTA,1,nASIG,"Orquesta/Banda/Conjunto"),"")))</f>
        <v/>
      </c>
      <c r="P246" t="str">
        <f>IF(M246="","",IF(M246="[FÓRMULA MANUAL]","",IFERROR(AVERAGEIFS(nNOTA,nNIA,M246,nCUENTA,1,nASIG,"Música de Cámara"),"")))</f>
        <v/>
      </c>
      <c r="Q246" t="str">
        <f>IF(M246="","",IF(M246="[FÓRMULA MANUAL]","",IFERROR(SUMPRODUCT((nNIA=M246)*(nCUENTA=1)*(COUNTIF(CONFIG_ASIGNATURAS!$B$7:$B$27,nASIG)&gt;0)*(nNOTA))/SUMPRODUCT((nNIA=M246)*(nCUENTA=1)*(COUNTIF(CONFIG_ASIGNATURAS!$B$7:$B$27,nASIG)&gt;0)*1),"")))</f>
        <v/>
      </c>
      <c r="T246" t="str">
        <f>IF(S246="","",IF(S246="[FÓRMULA MANUAL]","",IFERROR(AVERAGEIFS(nNOTA,nNIA,S246,nCUENTA,1,nASIG,"Armonía"),"")))</f>
        <v/>
      </c>
      <c r="U246" t="str">
        <f>IF(S246="","",IF(S246="[FÓRMULA MANUAL]","",IFERROR(AVERAGEIFS(nNOTA,nNIA,S246,nCUENTA,1,nASIG,"Orquesta/Banda/Conjunto"),"")))</f>
        <v/>
      </c>
      <c r="V246" t="str">
        <f>IF(S246="","",IF(S246="[FÓRMULA MANUAL]","",IFERROR(AVERAGEIFS(nNOTA,nNIA,S246,nCUENTA,1,nASIG,"Música de Cámara"),"")))</f>
        <v/>
      </c>
      <c r="W246" t="str">
        <f>IF(S246="","",IF(S246="[FÓRMULA MANUAL]","",IFERROR(SUMPRODUCT((nNIA=S246)*(nCUENTA=1)*(COUNTIF(CONFIG_ASIGNATURAS!$B$7:$B$27,nASIG)&gt;0)*(nNOTA))/SUMPRODUCT((nNIA=S246)*(nCUENTA=1)*(COUNTIF(CONFIG_ASIGNATURAS!$B$7:$B$27,nASIG)&gt;0)*1),"")))</f>
        <v/>
      </c>
      <c r="Z246" t="str">
        <f>IF(Y246="","",IF(Y246="[FÓRMULA MANUAL]","",IFERROR(AVERAGEIFS(nNOTA,nNIA,Y246,nCUENTA,1,nASIG,"Análisis"),"")))</f>
        <v/>
      </c>
      <c r="AA246" t="str">
        <f>IF(Y246="","",IF(Y246="[FÓRMULA MANUAL]","",IFERROR(AVERAGEIFS(nNOTA,nNIA,Y246,nCUENTA,1,nASIG,"Orquesta/Banda/Conjunto"),"")))</f>
        <v/>
      </c>
      <c r="AB246" t="str">
        <f>IF(Y246="","",IF(Y246="[FÓRMULA MANUAL]","",IFERROR(AVERAGEIFS(nNOTA,nNIA,Y246,nCUENTA,1,nASIG,"Música de Cámara"),"")))</f>
        <v/>
      </c>
      <c r="AC246" t="str">
        <f>IF(Y246="","",IF(Y246="[FÓRMULA MANUAL]","",IFERROR(SUMPRODUCT((nNIA=Y246)*(nCUENTA=1)*(COUNTIF(CONFIG_ASIGNATURAS!$B$7:$B$27,nASIG)&gt;0)*(nNOTA))/SUMPRODUCT((nNIA=Y246)*(nCUENTA=1)*(COUNTIF(CONFIG_ASIGNATURAS!$B$7:$B$27,nASIG)&gt;0)*1),"")))</f>
        <v/>
      </c>
      <c r="AF246" t="str">
        <f>IF(AE246="","",IF(AE246="[FÓRMULA MANUAL]","",IFERROR(AVERAGEIFS(nNOTA,nNIA,AE246,nCUENTA,1,nASIG,"Análisis"),"")))</f>
        <v/>
      </c>
      <c r="AG246" t="str">
        <f>IF(AE246="","",IF(AE246="[FÓRMULA MANUAL]","",IFERROR(AVERAGEIFS(nNOTA,nNIA,AE246,nCUENTA,1,nASIG,"Orquesta/Banda/Conjunto"),"")))</f>
        <v/>
      </c>
      <c r="AH246" t="str">
        <f>IF(AE246="","",IF(AE246="[FÓRMULA MANUAL]","",IFERROR(AVERAGEIFS(nNOTA,nNIA,AE246,nCUENTA,1,nASIG,"Música de Cámara"),"")))</f>
        <v/>
      </c>
      <c r="AI246" t="str">
        <f>IF(AE246="","",IF(AE246="[FÓRMULA MANUAL]","",IFERROR(SUMPRODUCT((nNIA=AE246)*(nCUENTA=1)*(COUNTIF(CONFIG_ASIGNATURAS!$B$7:$B$27,nASIG)&gt;0)*(nNOTA))/SUMPRODUCT((nNIA=AE246)*(nCUENTA=1)*(COUNTIF(CONFIG_ASIGNATURAS!$B$7:$B$27,nASIG)&gt;0)*1),"")))</f>
        <v/>
      </c>
    </row>
    <row r="247" spans="2:35" x14ac:dyDescent="0.2">
      <c r="B247" t="str">
        <f>IF(A247="","",IF(A247="[FÓRMULA MANUAL]","",IFERROR(AVERAGEIFS(nNOTA,nNIA,A247,nCUENTA,1,nASIG,"Lenguaje Musical"),"")))</f>
        <v/>
      </c>
      <c r="C247" t="str">
        <f>IF(A247="","",IF(A247="[FÓRMULA MANUAL]","",IFERROR(AVERAGEIFS(nNOTA,nNIA,A247,nCUENTA,1,nASIG,"Orquesta/Banda/Conjunto"),"")))</f>
        <v/>
      </c>
      <c r="D247" t="str">
        <f>IF(A247="","",IF(A247="[FÓRMULA MANUAL]","",IFERROR(AVERAGEIFS(nNOTA,nNIA,A247,nCUENTA,1,nASIG,"Conjunto"),"")))</f>
        <v/>
      </c>
      <c r="E247" t="str">
        <f>IF(A247="","",IF(A247="[FÓRMULA MANUAL]","",IFERROR(SUMPRODUCT((nNIA=A247)*(nCUENTA=1)*(COUNTIF(CONFIG_ASIGNATURAS!$B$7:$B$27,nASIG)&gt;0)*(nNOTA))/SUMPRODUCT((nNIA=A247)*(nCUENTA=1)*(COUNTIF(CONFIG_ASIGNATURAS!$B$7:$B$27,nASIG)&gt;0)*1),"")))</f>
        <v/>
      </c>
      <c r="H247" t="str">
        <f>IF(G247="","",IF(G247="[FÓRMULA MANUAL]","",IFERROR(AVERAGEIFS(nNOTA,nNIA,G247,nCUENTA,1,nASIG,"Lenguaje Musical"),"")))</f>
        <v/>
      </c>
      <c r="I247" t="str">
        <f>IF(G247="","",IF(G247="[FÓRMULA MANUAL]","",IFERROR(AVERAGEIFS(nNOTA,nNIA,G247,nCUENTA,1,nASIG,"Orquesta/Banda/Conjunto"),"")))</f>
        <v/>
      </c>
      <c r="J247" t="str">
        <f>IF(G247="","",IF(G247="[FÓRMULA MANUAL]","",IFERROR(AVERAGEIFS(nNOTA,nNIA,G247,nCUENTA,1,nASIG,"Conjunto"),"")))</f>
        <v/>
      </c>
      <c r="K247" t="str">
        <f>IF(G247="","",IF(G247="[FÓRMULA MANUAL]","",IFERROR(SUMPRODUCT((nNIA=G247)*(nCUENTA=1)*(COUNTIF(CONFIG_ASIGNATURAS!$B$7:$B$27,nASIG)&gt;0)*(nNOTA))/SUMPRODUCT((nNIA=G247)*(nCUENTA=1)*(COUNTIF(CONFIG_ASIGNATURAS!$B$7:$B$27,nASIG)&gt;0)*1),"")))</f>
        <v/>
      </c>
      <c r="N247" t="str">
        <f>IF(M247="","",IF(M247="[FÓRMULA MANUAL]","",IFERROR(AVERAGEIFS(nNOTA,nNIA,M247,nCUENTA,1,nASIG,"Armonía"),"")))</f>
        <v/>
      </c>
      <c r="O247" t="str">
        <f>IF(M247="","",IF(M247="[FÓRMULA MANUAL]","",IFERROR(AVERAGEIFS(nNOTA,nNIA,M247,nCUENTA,1,nASIG,"Orquesta/Banda/Conjunto"),"")))</f>
        <v/>
      </c>
      <c r="P247" t="str">
        <f>IF(M247="","",IF(M247="[FÓRMULA MANUAL]","",IFERROR(AVERAGEIFS(nNOTA,nNIA,M247,nCUENTA,1,nASIG,"Música de Cámara"),"")))</f>
        <v/>
      </c>
      <c r="Q247" t="str">
        <f>IF(M247="","",IF(M247="[FÓRMULA MANUAL]","",IFERROR(SUMPRODUCT((nNIA=M247)*(nCUENTA=1)*(COUNTIF(CONFIG_ASIGNATURAS!$B$7:$B$27,nASIG)&gt;0)*(nNOTA))/SUMPRODUCT((nNIA=M247)*(nCUENTA=1)*(COUNTIF(CONFIG_ASIGNATURAS!$B$7:$B$27,nASIG)&gt;0)*1),"")))</f>
        <v/>
      </c>
      <c r="T247" t="str">
        <f>IF(S247="","",IF(S247="[FÓRMULA MANUAL]","",IFERROR(AVERAGEIFS(nNOTA,nNIA,S247,nCUENTA,1,nASIG,"Armonía"),"")))</f>
        <v/>
      </c>
      <c r="U247" t="str">
        <f>IF(S247="","",IF(S247="[FÓRMULA MANUAL]","",IFERROR(AVERAGEIFS(nNOTA,nNIA,S247,nCUENTA,1,nASIG,"Orquesta/Banda/Conjunto"),"")))</f>
        <v/>
      </c>
      <c r="V247" t="str">
        <f>IF(S247="","",IF(S247="[FÓRMULA MANUAL]","",IFERROR(AVERAGEIFS(nNOTA,nNIA,S247,nCUENTA,1,nASIG,"Música de Cámara"),"")))</f>
        <v/>
      </c>
      <c r="W247" t="str">
        <f>IF(S247="","",IF(S247="[FÓRMULA MANUAL]","",IFERROR(SUMPRODUCT((nNIA=S247)*(nCUENTA=1)*(COUNTIF(CONFIG_ASIGNATURAS!$B$7:$B$27,nASIG)&gt;0)*(nNOTA))/SUMPRODUCT((nNIA=S247)*(nCUENTA=1)*(COUNTIF(CONFIG_ASIGNATURAS!$B$7:$B$27,nASIG)&gt;0)*1),"")))</f>
        <v/>
      </c>
      <c r="Z247" t="str">
        <f>IF(Y247="","",IF(Y247="[FÓRMULA MANUAL]","",IFERROR(AVERAGEIFS(nNOTA,nNIA,Y247,nCUENTA,1,nASIG,"Análisis"),"")))</f>
        <v/>
      </c>
      <c r="AA247" t="str">
        <f>IF(Y247="","",IF(Y247="[FÓRMULA MANUAL]","",IFERROR(AVERAGEIFS(nNOTA,nNIA,Y247,nCUENTA,1,nASIG,"Orquesta/Banda/Conjunto"),"")))</f>
        <v/>
      </c>
      <c r="AB247" t="str">
        <f>IF(Y247="","",IF(Y247="[FÓRMULA MANUAL]","",IFERROR(AVERAGEIFS(nNOTA,nNIA,Y247,nCUENTA,1,nASIG,"Música de Cámara"),"")))</f>
        <v/>
      </c>
      <c r="AC247" t="str">
        <f>IF(Y247="","",IF(Y247="[FÓRMULA MANUAL]","",IFERROR(SUMPRODUCT((nNIA=Y247)*(nCUENTA=1)*(COUNTIF(CONFIG_ASIGNATURAS!$B$7:$B$27,nASIG)&gt;0)*(nNOTA))/SUMPRODUCT((nNIA=Y247)*(nCUENTA=1)*(COUNTIF(CONFIG_ASIGNATURAS!$B$7:$B$27,nASIG)&gt;0)*1),"")))</f>
        <v/>
      </c>
      <c r="AF247" t="str">
        <f>IF(AE247="","",IF(AE247="[FÓRMULA MANUAL]","",IFERROR(AVERAGEIFS(nNOTA,nNIA,AE247,nCUENTA,1,nASIG,"Análisis"),"")))</f>
        <v/>
      </c>
      <c r="AG247" t="str">
        <f>IF(AE247="","",IF(AE247="[FÓRMULA MANUAL]","",IFERROR(AVERAGEIFS(nNOTA,nNIA,AE247,nCUENTA,1,nASIG,"Orquesta/Banda/Conjunto"),"")))</f>
        <v/>
      </c>
      <c r="AH247" t="str">
        <f>IF(AE247="","",IF(AE247="[FÓRMULA MANUAL]","",IFERROR(AVERAGEIFS(nNOTA,nNIA,AE247,nCUENTA,1,nASIG,"Música de Cámara"),"")))</f>
        <v/>
      </c>
      <c r="AI247" t="str">
        <f>IF(AE247="","",IF(AE247="[FÓRMULA MANUAL]","",IFERROR(SUMPRODUCT((nNIA=AE247)*(nCUENTA=1)*(COUNTIF(CONFIG_ASIGNATURAS!$B$7:$B$27,nASIG)&gt;0)*(nNOTA))/SUMPRODUCT((nNIA=AE247)*(nCUENTA=1)*(COUNTIF(CONFIG_ASIGNATURAS!$B$7:$B$27,nASIG)&gt;0)*1),"")))</f>
        <v/>
      </c>
    </row>
    <row r="248" spans="2:35" x14ac:dyDescent="0.2">
      <c r="B248" t="str">
        <f>IF(A248="","",IF(A248="[FÓRMULA MANUAL]","",IFERROR(AVERAGEIFS(nNOTA,nNIA,A248,nCUENTA,1,nASIG,"Lenguaje Musical"),"")))</f>
        <v/>
      </c>
      <c r="C248" t="str">
        <f>IF(A248="","",IF(A248="[FÓRMULA MANUAL]","",IFERROR(AVERAGEIFS(nNOTA,nNIA,A248,nCUENTA,1,nASIG,"Orquesta/Banda/Conjunto"),"")))</f>
        <v/>
      </c>
      <c r="D248" t="str">
        <f>IF(A248="","",IF(A248="[FÓRMULA MANUAL]","",IFERROR(AVERAGEIFS(nNOTA,nNIA,A248,nCUENTA,1,nASIG,"Conjunto"),"")))</f>
        <v/>
      </c>
      <c r="E248" t="str">
        <f>IF(A248="","",IF(A248="[FÓRMULA MANUAL]","",IFERROR(SUMPRODUCT((nNIA=A248)*(nCUENTA=1)*(COUNTIF(CONFIG_ASIGNATURAS!$B$7:$B$27,nASIG)&gt;0)*(nNOTA))/SUMPRODUCT((nNIA=A248)*(nCUENTA=1)*(COUNTIF(CONFIG_ASIGNATURAS!$B$7:$B$27,nASIG)&gt;0)*1),"")))</f>
        <v/>
      </c>
      <c r="H248" t="str">
        <f>IF(G248="","",IF(G248="[FÓRMULA MANUAL]","",IFERROR(AVERAGEIFS(nNOTA,nNIA,G248,nCUENTA,1,nASIG,"Lenguaje Musical"),"")))</f>
        <v/>
      </c>
      <c r="I248" t="str">
        <f>IF(G248="","",IF(G248="[FÓRMULA MANUAL]","",IFERROR(AVERAGEIFS(nNOTA,nNIA,G248,nCUENTA,1,nASIG,"Orquesta/Banda/Conjunto"),"")))</f>
        <v/>
      </c>
      <c r="J248" t="str">
        <f>IF(G248="","",IF(G248="[FÓRMULA MANUAL]","",IFERROR(AVERAGEIFS(nNOTA,nNIA,G248,nCUENTA,1,nASIG,"Conjunto"),"")))</f>
        <v/>
      </c>
      <c r="K248" t="str">
        <f>IF(G248="","",IF(G248="[FÓRMULA MANUAL]","",IFERROR(SUMPRODUCT((nNIA=G248)*(nCUENTA=1)*(COUNTIF(CONFIG_ASIGNATURAS!$B$7:$B$27,nASIG)&gt;0)*(nNOTA))/SUMPRODUCT((nNIA=G248)*(nCUENTA=1)*(COUNTIF(CONFIG_ASIGNATURAS!$B$7:$B$27,nASIG)&gt;0)*1),"")))</f>
        <v/>
      </c>
      <c r="N248" t="str">
        <f>IF(M248="","",IF(M248="[FÓRMULA MANUAL]","",IFERROR(AVERAGEIFS(nNOTA,nNIA,M248,nCUENTA,1,nASIG,"Armonía"),"")))</f>
        <v/>
      </c>
      <c r="O248" t="str">
        <f>IF(M248="","",IF(M248="[FÓRMULA MANUAL]","",IFERROR(AVERAGEIFS(nNOTA,nNIA,M248,nCUENTA,1,nASIG,"Orquesta/Banda/Conjunto"),"")))</f>
        <v/>
      </c>
      <c r="P248" t="str">
        <f>IF(M248="","",IF(M248="[FÓRMULA MANUAL]","",IFERROR(AVERAGEIFS(nNOTA,nNIA,M248,nCUENTA,1,nASIG,"Música de Cámara"),"")))</f>
        <v/>
      </c>
      <c r="Q248" t="str">
        <f>IF(M248="","",IF(M248="[FÓRMULA MANUAL]","",IFERROR(SUMPRODUCT((nNIA=M248)*(nCUENTA=1)*(COUNTIF(CONFIG_ASIGNATURAS!$B$7:$B$27,nASIG)&gt;0)*(nNOTA))/SUMPRODUCT((nNIA=M248)*(nCUENTA=1)*(COUNTIF(CONFIG_ASIGNATURAS!$B$7:$B$27,nASIG)&gt;0)*1),"")))</f>
        <v/>
      </c>
      <c r="T248" t="str">
        <f>IF(S248="","",IF(S248="[FÓRMULA MANUAL]","",IFERROR(AVERAGEIFS(nNOTA,nNIA,S248,nCUENTA,1,nASIG,"Armonía"),"")))</f>
        <v/>
      </c>
      <c r="U248" t="str">
        <f>IF(S248="","",IF(S248="[FÓRMULA MANUAL]","",IFERROR(AVERAGEIFS(nNOTA,nNIA,S248,nCUENTA,1,nASIG,"Orquesta/Banda/Conjunto"),"")))</f>
        <v/>
      </c>
      <c r="V248" t="str">
        <f>IF(S248="","",IF(S248="[FÓRMULA MANUAL]","",IFERROR(AVERAGEIFS(nNOTA,nNIA,S248,nCUENTA,1,nASIG,"Música de Cámara"),"")))</f>
        <v/>
      </c>
      <c r="W248" t="str">
        <f>IF(S248="","",IF(S248="[FÓRMULA MANUAL]","",IFERROR(SUMPRODUCT((nNIA=S248)*(nCUENTA=1)*(COUNTIF(CONFIG_ASIGNATURAS!$B$7:$B$27,nASIG)&gt;0)*(nNOTA))/SUMPRODUCT((nNIA=S248)*(nCUENTA=1)*(COUNTIF(CONFIG_ASIGNATURAS!$B$7:$B$27,nASIG)&gt;0)*1),"")))</f>
        <v/>
      </c>
      <c r="Z248" t="str">
        <f>IF(Y248="","",IF(Y248="[FÓRMULA MANUAL]","",IFERROR(AVERAGEIFS(nNOTA,nNIA,Y248,nCUENTA,1,nASIG,"Análisis"),"")))</f>
        <v/>
      </c>
      <c r="AA248" t="str">
        <f>IF(Y248="","",IF(Y248="[FÓRMULA MANUAL]","",IFERROR(AVERAGEIFS(nNOTA,nNIA,Y248,nCUENTA,1,nASIG,"Orquesta/Banda/Conjunto"),"")))</f>
        <v/>
      </c>
      <c r="AB248" t="str">
        <f>IF(Y248="","",IF(Y248="[FÓRMULA MANUAL]","",IFERROR(AVERAGEIFS(nNOTA,nNIA,Y248,nCUENTA,1,nASIG,"Música de Cámara"),"")))</f>
        <v/>
      </c>
      <c r="AC248" t="str">
        <f>IF(Y248="","",IF(Y248="[FÓRMULA MANUAL]","",IFERROR(SUMPRODUCT((nNIA=Y248)*(nCUENTA=1)*(COUNTIF(CONFIG_ASIGNATURAS!$B$7:$B$27,nASIG)&gt;0)*(nNOTA))/SUMPRODUCT((nNIA=Y248)*(nCUENTA=1)*(COUNTIF(CONFIG_ASIGNATURAS!$B$7:$B$27,nASIG)&gt;0)*1),"")))</f>
        <v/>
      </c>
      <c r="AF248" t="str">
        <f>IF(AE248="","",IF(AE248="[FÓRMULA MANUAL]","",IFERROR(AVERAGEIFS(nNOTA,nNIA,AE248,nCUENTA,1,nASIG,"Análisis"),"")))</f>
        <v/>
      </c>
      <c r="AG248" t="str">
        <f>IF(AE248="","",IF(AE248="[FÓRMULA MANUAL]","",IFERROR(AVERAGEIFS(nNOTA,nNIA,AE248,nCUENTA,1,nASIG,"Orquesta/Banda/Conjunto"),"")))</f>
        <v/>
      </c>
      <c r="AH248" t="str">
        <f>IF(AE248="","",IF(AE248="[FÓRMULA MANUAL]","",IFERROR(AVERAGEIFS(nNOTA,nNIA,AE248,nCUENTA,1,nASIG,"Música de Cámara"),"")))</f>
        <v/>
      </c>
      <c r="AI248" t="str">
        <f>IF(AE248="","",IF(AE248="[FÓRMULA MANUAL]","",IFERROR(SUMPRODUCT((nNIA=AE248)*(nCUENTA=1)*(COUNTIF(CONFIG_ASIGNATURAS!$B$7:$B$27,nASIG)&gt;0)*(nNOTA))/SUMPRODUCT((nNIA=AE248)*(nCUENTA=1)*(COUNTIF(CONFIG_ASIGNATURAS!$B$7:$B$27,nASIG)&gt;0)*1),"")))</f>
        <v/>
      </c>
    </row>
    <row r="249" spans="2:35" x14ac:dyDescent="0.2">
      <c r="B249" t="str">
        <f>IF(A249="","",IF(A249="[FÓRMULA MANUAL]","",IFERROR(AVERAGEIFS(nNOTA,nNIA,A249,nCUENTA,1,nASIG,"Lenguaje Musical"),"")))</f>
        <v/>
      </c>
      <c r="C249" t="str">
        <f>IF(A249="","",IF(A249="[FÓRMULA MANUAL]","",IFERROR(AVERAGEIFS(nNOTA,nNIA,A249,nCUENTA,1,nASIG,"Orquesta/Banda/Conjunto"),"")))</f>
        <v/>
      </c>
      <c r="D249" t="str">
        <f>IF(A249="","",IF(A249="[FÓRMULA MANUAL]","",IFERROR(AVERAGEIFS(nNOTA,nNIA,A249,nCUENTA,1,nASIG,"Conjunto"),"")))</f>
        <v/>
      </c>
      <c r="E249" t="str">
        <f>IF(A249="","",IF(A249="[FÓRMULA MANUAL]","",IFERROR(SUMPRODUCT((nNIA=A249)*(nCUENTA=1)*(COUNTIF(CONFIG_ASIGNATURAS!$B$7:$B$27,nASIG)&gt;0)*(nNOTA))/SUMPRODUCT((nNIA=A249)*(nCUENTA=1)*(COUNTIF(CONFIG_ASIGNATURAS!$B$7:$B$27,nASIG)&gt;0)*1),"")))</f>
        <v/>
      </c>
      <c r="H249" t="str">
        <f>IF(G249="","",IF(G249="[FÓRMULA MANUAL]","",IFERROR(AVERAGEIFS(nNOTA,nNIA,G249,nCUENTA,1,nASIG,"Lenguaje Musical"),"")))</f>
        <v/>
      </c>
      <c r="I249" t="str">
        <f>IF(G249="","",IF(G249="[FÓRMULA MANUAL]","",IFERROR(AVERAGEIFS(nNOTA,nNIA,G249,nCUENTA,1,nASIG,"Orquesta/Banda/Conjunto"),"")))</f>
        <v/>
      </c>
      <c r="J249" t="str">
        <f>IF(G249="","",IF(G249="[FÓRMULA MANUAL]","",IFERROR(AVERAGEIFS(nNOTA,nNIA,G249,nCUENTA,1,nASIG,"Conjunto"),"")))</f>
        <v/>
      </c>
      <c r="K249" t="str">
        <f>IF(G249="","",IF(G249="[FÓRMULA MANUAL]","",IFERROR(SUMPRODUCT((nNIA=G249)*(nCUENTA=1)*(COUNTIF(CONFIG_ASIGNATURAS!$B$7:$B$27,nASIG)&gt;0)*(nNOTA))/SUMPRODUCT((nNIA=G249)*(nCUENTA=1)*(COUNTIF(CONFIG_ASIGNATURAS!$B$7:$B$27,nASIG)&gt;0)*1),"")))</f>
        <v/>
      </c>
      <c r="N249" t="str">
        <f>IF(M249="","",IF(M249="[FÓRMULA MANUAL]","",IFERROR(AVERAGEIFS(nNOTA,nNIA,M249,nCUENTA,1,nASIG,"Armonía"),"")))</f>
        <v/>
      </c>
      <c r="O249" t="str">
        <f>IF(M249="","",IF(M249="[FÓRMULA MANUAL]","",IFERROR(AVERAGEIFS(nNOTA,nNIA,M249,nCUENTA,1,nASIG,"Orquesta/Banda/Conjunto"),"")))</f>
        <v/>
      </c>
      <c r="P249" t="str">
        <f>IF(M249="","",IF(M249="[FÓRMULA MANUAL]","",IFERROR(AVERAGEIFS(nNOTA,nNIA,M249,nCUENTA,1,nASIG,"Música de Cámara"),"")))</f>
        <v/>
      </c>
      <c r="Q249" t="str">
        <f>IF(M249="","",IF(M249="[FÓRMULA MANUAL]","",IFERROR(SUMPRODUCT((nNIA=M249)*(nCUENTA=1)*(COUNTIF(CONFIG_ASIGNATURAS!$B$7:$B$27,nASIG)&gt;0)*(nNOTA))/SUMPRODUCT((nNIA=M249)*(nCUENTA=1)*(COUNTIF(CONFIG_ASIGNATURAS!$B$7:$B$27,nASIG)&gt;0)*1),"")))</f>
        <v/>
      </c>
      <c r="T249" t="str">
        <f>IF(S249="","",IF(S249="[FÓRMULA MANUAL]","",IFERROR(AVERAGEIFS(nNOTA,nNIA,S249,nCUENTA,1,nASIG,"Armonía"),"")))</f>
        <v/>
      </c>
      <c r="U249" t="str">
        <f>IF(S249="","",IF(S249="[FÓRMULA MANUAL]","",IFERROR(AVERAGEIFS(nNOTA,nNIA,S249,nCUENTA,1,nASIG,"Orquesta/Banda/Conjunto"),"")))</f>
        <v/>
      </c>
      <c r="V249" t="str">
        <f>IF(S249="","",IF(S249="[FÓRMULA MANUAL]","",IFERROR(AVERAGEIFS(nNOTA,nNIA,S249,nCUENTA,1,nASIG,"Música de Cámara"),"")))</f>
        <v/>
      </c>
      <c r="W249" t="str">
        <f>IF(S249="","",IF(S249="[FÓRMULA MANUAL]","",IFERROR(SUMPRODUCT((nNIA=S249)*(nCUENTA=1)*(COUNTIF(CONFIG_ASIGNATURAS!$B$7:$B$27,nASIG)&gt;0)*(nNOTA))/SUMPRODUCT((nNIA=S249)*(nCUENTA=1)*(COUNTIF(CONFIG_ASIGNATURAS!$B$7:$B$27,nASIG)&gt;0)*1),"")))</f>
        <v/>
      </c>
      <c r="Z249" t="str">
        <f>IF(Y249="","",IF(Y249="[FÓRMULA MANUAL]","",IFERROR(AVERAGEIFS(nNOTA,nNIA,Y249,nCUENTA,1,nASIG,"Análisis"),"")))</f>
        <v/>
      </c>
      <c r="AA249" t="str">
        <f>IF(Y249="","",IF(Y249="[FÓRMULA MANUAL]","",IFERROR(AVERAGEIFS(nNOTA,nNIA,Y249,nCUENTA,1,nASIG,"Orquesta/Banda/Conjunto"),"")))</f>
        <v/>
      </c>
      <c r="AB249" t="str">
        <f>IF(Y249="","",IF(Y249="[FÓRMULA MANUAL]","",IFERROR(AVERAGEIFS(nNOTA,nNIA,Y249,nCUENTA,1,nASIG,"Música de Cámara"),"")))</f>
        <v/>
      </c>
      <c r="AC249" t="str">
        <f>IF(Y249="","",IF(Y249="[FÓRMULA MANUAL]","",IFERROR(SUMPRODUCT((nNIA=Y249)*(nCUENTA=1)*(COUNTIF(CONFIG_ASIGNATURAS!$B$7:$B$27,nASIG)&gt;0)*(nNOTA))/SUMPRODUCT((nNIA=Y249)*(nCUENTA=1)*(COUNTIF(CONFIG_ASIGNATURAS!$B$7:$B$27,nASIG)&gt;0)*1),"")))</f>
        <v/>
      </c>
      <c r="AF249" t="str">
        <f>IF(AE249="","",IF(AE249="[FÓRMULA MANUAL]","",IFERROR(AVERAGEIFS(nNOTA,nNIA,AE249,nCUENTA,1,nASIG,"Análisis"),"")))</f>
        <v/>
      </c>
      <c r="AG249" t="str">
        <f>IF(AE249="","",IF(AE249="[FÓRMULA MANUAL]","",IFERROR(AVERAGEIFS(nNOTA,nNIA,AE249,nCUENTA,1,nASIG,"Orquesta/Banda/Conjunto"),"")))</f>
        <v/>
      </c>
      <c r="AH249" t="str">
        <f>IF(AE249="","",IF(AE249="[FÓRMULA MANUAL]","",IFERROR(AVERAGEIFS(nNOTA,nNIA,AE249,nCUENTA,1,nASIG,"Música de Cámara"),"")))</f>
        <v/>
      </c>
      <c r="AI249" t="str">
        <f>IF(AE249="","",IF(AE249="[FÓRMULA MANUAL]","",IFERROR(SUMPRODUCT((nNIA=AE249)*(nCUENTA=1)*(COUNTIF(CONFIG_ASIGNATURAS!$B$7:$B$27,nASIG)&gt;0)*(nNOTA))/SUMPRODUCT((nNIA=AE249)*(nCUENTA=1)*(COUNTIF(CONFIG_ASIGNATURAS!$B$7:$B$27,nASIG)&gt;0)*1),"")))</f>
        <v/>
      </c>
    </row>
    <row r="250" spans="2:35" x14ac:dyDescent="0.2">
      <c r="B250" t="str">
        <f>IF(A250="","",IF(A250="[FÓRMULA MANUAL]","",IFERROR(AVERAGEIFS(nNOTA,nNIA,A250,nCUENTA,1,nASIG,"Lenguaje Musical"),"")))</f>
        <v/>
      </c>
      <c r="C250" t="str">
        <f>IF(A250="","",IF(A250="[FÓRMULA MANUAL]","",IFERROR(AVERAGEIFS(nNOTA,nNIA,A250,nCUENTA,1,nASIG,"Orquesta/Banda/Conjunto"),"")))</f>
        <v/>
      </c>
      <c r="D250" t="str">
        <f>IF(A250="","",IF(A250="[FÓRMULA MANUAL]","",IFERROR(AVERAGEIFS(nNOTA,nNIA,A250,nCUENTA,1,nASIG,"Conjunto"),"")))</f>
        <v/>
      </c>
      <c r="E250" t="str">
        <f>IF(A250="","",IF(A250="[FÓRMULA MANUAL]","",IFERROR(SUMPRODUCT((nNIA=A250)*(nCUENTA=1)*(COUNTIF(CONFIG_ASIGNATURAS!$B$7:$B$27,nASIG)&gt;0)*(nNOTA))/SUMPRODUCT((nNIA=A250)*(nCUENTA=1)*(COUNTIF(CONFIG_ASIGNATURAS!$B$7:$B$27,nASIG)&gt;0)*1),"")))</f>
        <v/>
      </c>
      <c r="H250" t="str">
        <f>IF(G250="","",IF(G250="[FÓRMULA MANUAL]","",IFERROR(AVERAGEIFS(nNOTA,nNIA,G250,nCUENTA,1,nASIG,"Lenguaje Musical"),"")))</f>
        <v/>
      </c>
      <c r="I250" t="str">
        <f>IF(G250="","",IF(G250="[FÓRMULA MANUAL]","",IFERROR(AVERAGEIFS(nNOTA,nNIA,G250,nCUENTA,1,nASIG,"Orquesta/Banda/Conjunto"),"")))</f>
        <v/>
      </c>
      <c r="J250" t="str">
        <f>IF(G250="","",IF(G250="[FÓRMULA MANUAL]","",IFERROR(AVERAGEIFS(nNOTA,nNIA,G250,nCUENTA,1,nASIG,"Conjunto"),"")))</f>
        <v/>
      </c>
      <c r="K250" t="str">
        <f>IF(G250="","",IF(G250="[FÓRMULA MANUAL]","",IFERROR(SUMPRODUCT((nNIA=G250)*(nCUENTA=1)*(COUNTIF(CONFIG_ASIGNATURAS!$B$7:$B$27,nASIG)&gt;0)*(nNOTA))/SUMPRODUCT((nNIA=G250)*(nCUENTA=1)*(COUNTIF(CONFIG_ASIGNATURAS!$B$7:$B$27,nASIG)&gt;0)*1),"")))</f>
        <v/>
      </c>
      <c r="N250" t="str">
        <f>IF(M250="","",IF(M250="[FÓRMULA MANUAL]","",IFERROR(AVERAGEIFS(nNOTA,nNIA,M250,nCUENTA,1,nASIG,"Armonía"),"")))</f>
        <v/>
      </c>
      <c r="O250" t="str">
        <f>IF(M250="","",IF(M250="[FÓRMULA MANUAL]","",IFERROR(AVERAGEIFS(nNOTA,nNIA,M250,nCUENTA,1,nASIG,"Orquesta/Banda/Conjunto"),"")))</f>
        <v/>
      </c>
      <c r="P250" t="str">
        <f>IF(M250="","",IF(M250="[FÓRMULA MANUAL]","",IFERROR(AVERAGEIFS(nNOTA,nNIA,M250,nCUENTA,1,nASIG,"Música de Cámara"),"")))</f>
        <v/>
      </c>
      <c r="Q250" t="str">
        <f>IF(M250="","",IF(M250="[FÓRMULA MANUAL]","",IFERROR(SUMPRODUCT((nNIA=M250)*(nCUENTA=1)*(COUNTIF(CONFIG_ASIGNATURAS!$B$7:$B$27,nASIG)&gt;0)*(nNOTA))/SUMPRODUCT((nNIA=M250)*(nCUENTA=1)*(COUNTIF(CONFIG_ASIGNATURAS!$B$7:$B$27,nASIG)&gt;0)*1),"")))</f>
        <v/>
      </c>
      <c r="T250" t="str">
        <f>IF(S250="","",IF(S250="[FÓRMULA MANUAL]","",IFERROR(AVERAGEIFS(nNOTA,nNIA,S250,nCUENTA,1,nASIG,"Armonía"),"")))</f>
        <v/>
      </c>
      <c r="U250" t="str">
        <f>IF(S250="","",IF(S250="[FÓRMULA MANUAL]","",IFERROR(AVERAGEIFS(nNOTA,nNIA,S250,nCUENTA,1,nASIG,"Orquesta/Banda/Conjunto"),"")))</f>
        <v/>
      </c>
      <c r="V250" t="str">
        <f>IF(S250="","",IF(S250="[FÓRMULA MANUAL]","",IFERROR(AVERAGEIFS(nNOTA,nNIA,S250,nCUENTA,1,nASIG,"Música de Cámara"),"")))</f>
        <v/>
      </c>
      <c r="W250" t="str">
        <f>IF(S250="","",IF(S250="[FÓRMULA MANUAL]","",IFERROR(SUMPRODUCT((nNIA=S250)*(nCUENTA=1)*(COUNTIF(CONFIG_ASIGNATURAS!$B$7:$B$27,nASIG)&gt;0)*(nNOTA))/SUMPRODUCT((nNIA=S250)*(nCUENTA=1)*(COUNTIF(CONFIG_ASIGNATURAS!$B$7:$B$27,nASIG)&gt;0)*1),"")))</f>
        <v/>
      </c>
      <c r="Z250" t="str">
        <f>IF(Y250="","",IF(Y250="[FÓRMULA MANUAL]","",IFERROR(AVERAGEIFS(nNOTA,nNIA,Y250,nCUENTA,1,nASIG,"Análisis"),"")))</f>
        <v/>
      </c>
      <c r="AA250" t="str">
        <f>IF(Y250="","",IF(Y250="[FÓRMULA MANUAL]","",IFERROR(AVERAGEIFS(nNOTA,nNIA,Y250,nCUENTA,1,nASIG,"Orquesta/Banda/Conjunto"),"")))</f>
        <v/>
      </c>
      <c r="AB250" t="str">
        <f>IF(Y250="","",IF(Y250="[FÓRMULA MANUAL]","",IFERROR(AVERAGEIFS(nNOTA,nNIA,Y250,nCUENTA,1,nASIG,"Música de Cámara"),"")))</f>
        <v/>
      </c>
      <c r="AC250" t="str">
        <f>IF(Y250="","",IF(Y250="[FÓRMULA MANUAL]","",IFERROR(SUMPRODUCT((nNIA=Y250)*(nCUENTA=1)*(COUNTIF(CONFIG_ASIGNATURAS!$B$7:$B$27,nASIG)&gt;0)*(nNOTA))/SUMPRODUCT((nNIA=Y250)*(nCUENTA=1)*(COUNTIF(CONFIG_ASIGNATURAS!$B$7:$B$27,nASIG)&gt;0)*1),"")))</f>
        <v/>
      </c>
      <c r="AF250" t="str">
        <f>IF(AE250="","",IF(AE250="[FÓRMULA MANUAL]","",IFERROR(AVERAGEIFS(nNOTA,nNIA,AE250,nCUENTA,1,nASIG,"Análisis"),"")))</f>
        <v/>
      </c>
      <c r="AG250" t="str">
        <f>IF(AE250="","",IF(AE250="[FÓRMULA MANUAL]","",IFERROR(AVERAGEIFS(nNOTA,nNIA,AE250,nCUENTA,1,nASIG,"Orquesta/Banda/Conjunto"),"")))</f>
        <v/>
      </c>
      <c r="AH250" t="str">
        <f>IF(AE250="","",IF(AE250="[FÓRMULA MANUAL]","",IFERROR(AVERAGEIFS(nNOTA,nNIA,AE250,nCUENTA,1,nASIG,"Música de Cámara"),"")))</f>
        <v/>
      </c>
      <c r="AI250" t="str">
        <f>IF(AE250="","",IF(AE250="[FÓRMULA MANUAL]","",IFERROR(SUMPRODUCT((nNIA=AE250)*(nCUENTA=1)*(COUNTIF(CONFIG_ASIGNATURAS!$B$7:$B$27,nASIG)&gt;0)*(nNOTA))/SUMPRODUCT((nNIA=AE250)*(nCUENTA=1)*(COUNTIF(CONFIG_ASIGNATURAS!$B$7:$B$27,nASIG)&gt;0)*1),"")))</f>
        <v/>
      </c>
    </row>
    <row r="251" spans="2:35" x14ac:dyDescent="0.2">
      <c r="B251" t="str">
        <f>IF(A251="","",IF(A251="[FÓRMULA MANUAL]","",IFERROR(AVERAGEIFS(nNOTA,nNIA,A251,nCUENTA,1,nASIG,"Lenguaje Musical"),"")))</f>
        <v/>
      </c>
      <c r="C251" t="str">
        <f>IF(A251="","",IF(A251="[FÓRMULA MANUAL]","",IFERROR(AVERAGEIFS(nNOTA,nNIA,A251,nCUENTA,1,nASIG,"Orquesta/Banda/Conjunto"),"")))</f>
        <v/>
      </c>
      <c r="D251" t="str">
        <f>IF(A251="","",IF(A251="[FÓRMULA MANUAL]","",IFERROR(AVERAGEIFS(nNOTA,nNIA,A251,nCUENTA,1,nASIG,"Conjunto"),"")))</f>
        <v/>
      </c>
      <c r="E251" t="str">
        <f>IF(A251="","",IF(A251="[FÓRMULA MANUAL]","",IFERROR(SUMPRODUCT((nNIA=A251)*(nCUENTA=1)*(COUNTIF(CONFIG_ASIGNATURAS!$B$7:$B$27,nASIG)&gt;0)*(nNOTA))/SUMPRODUCT((nNIA=A251)*(nCUENTA=1)*(COUNTIF(CONFIG_ASIGNATURAS!$B$7:$B$27,nASIG)&gt;0)*1),"")))</f>
        <v/>
      </c>
      <c r="H251" t="str">
        <f>IF(G251="","",IF(G251="[FÓRMULA MANUAL]","",IFERROR(AVERAGEIFS(nNOTA,nNIA,G251,nCUENTA,1,nASIG,"Lenguaje Musical"),"")))</f>
        <v/>
      </c>
      <c r="I251" t="str">
        <f>IF(G251="","",IF(G251="[FÓRMULA MANUAL]","",IFERROR(AVERAGEIFS(nNOTA,nNIA,G251,nCUENTA,1,nASIG,"Orquesta/Banda/Conjunto"),"")))</f>
        <v/>
      </c>
      <c r="J251" t="str">
        <f>IF(G251="","",IF(G251="[FÓRMULA MANUAL]","",IFERROR(AVERAGEIFS(nNOTA,nNIA,G251,nCUENTA,1,nASIG,"Conjunto"),"")))</f>
        <v/>
      </c>
      <c r="K251" t="str">
        <f>IF(G251="","",IF(G251="[FÓRMULA MANUAL]","",IFERROR(SUMPRODUCT((nNIA=G251)*(nCUENTA=1)*(COUNTIF(CONFIG_ASIGNATURAS!$B$7:$B$27,nASIG)&gt;0)*(nNOTA))/SUMPRODUCT((nNIA=G251)*(nCUENTA=1)*(COUNTIF(CONFIG_ASIGNATURAS!$B$7:$B$27,nASIG)&gt;0)*1),"")))</f>
        <v/>
      </c>
      <c r="N251" t="str">
        <f>IF(M251="","",IF(M251="[FÓRMULA MANUAL]","",IFERROR(AVERAGEIFS(nNOTA,nNIA,M251,nCUENTA,1,nASIG,"Armonía"),"")))</f>
        <v/>
      </c>
      <c r="O251" t="str">
        <f>IF(M251="","",IF(M251="[FÓRMULA MANUAL]","",IFERROR(AVERAGEIFS(nNOTA,nNIA,M251,nCUENTA,1,nASIG,"Orquesta/Banda/Conjunto"),"")))</f>
        <v/>
      </c>
      <c r="P251" t="str">
        <f>IF(M251="","",IF(M251="[FÓRMULA MANUAL]","",IFERROR(AVERAGEIFS(nNOTA,nNIA,M251,nCUENTA,1,nASIG,"Música de Cámara"),"")))</f>
        <v/>
      </c>
      <c r="Q251" t="str">
        <f>IF(M251="","",IF(M251="[FÓRMULA MANUAL]","",IFERROR(SUMPRODUCT((nNIA=M251)*(nCUENTA=1)*(COUNTIF(CONFIG_ASIGNATURAS!$B$7:$B$27,nASIG)&gt;0)*(nNOTA))/SUMPRODUCT((nNIA=M251)*(nCUENTA=1)*(COUNTIF(CONFIG_ASIGNATURAS!$B$7:$B$27,nASIG)&gt;0)*1),"")))</f>
        <v/>
      </c>
      <c r="T251" t="str">
        <f>IF(S251="","",IF(S251="[FÓRMULA MANUAL]","",IFERROR(AVERAGEIFS(nNOTA,nNIA,S251,nCUENTA,1,nASIG,"Armonía"),"")))</f>
        <v/>
      </c>
      <c r="U251" t="str">
        <f>IF(S251="","",IF(S251="[FÓRMULA MANUAL]","",IFERROR(AVERAGEIFS(nNOTA,nNIA,S251,nCUENTA,1,nASIG,"Orquesta/Banda/Conjunto"),"")))</f>
        <v/>
      </c>
      <c r="V251" t="str">
        <f>IF(S251="","",IF(S251="[FÓRMULA MANUAL]","",IFERROR(AVERAGEIFS(nNOTA,nNIA,S251,nCUENTA,1,nASIG,"Música de Cámara"),"")))</f>
        <v/>
      </c>
      <c r="W251" t="str">
        <f>IF(S251="","",IF(S251="[FÓRMULA MANUAL]","",IFERROR(SUMPRODUCT((nNIA=S251)*(nCUENTA=1)*(COUNTIF(CONFIG_ASIGNATURAS!$B$7:$B$27,nASIG)&gt;0)*(nNOTA))/SUMPRODUCT((nNIA=S251)*(nCUENTA=1)*(COUNTIF(CONFIG_ASIGNATURAS!$B$7:$B$27,nASIG)&gt;0)*1),"")))</f>
        <v/>
      </c>
      <c r="Z251" t="str">
        <f>IF(Y251="","",IF(Y251="[FÓRMULA MANUAL]","",IFERROR(AVERAGEIFS(nNOTA,nNIA,Y251,nCUENTA,1,nASIG,"Análisis"),"")))</f>
        <v/>
      </c>
      <c r="AA251" t="str">
        <f>IF(Y251="","",IF(Y251="[FÓRMULA MANUAL]","",IFERROR(AVERAGEIFS(nNOTA,nNIA,Y251,nCUENTA,1,nASIG,"Orquesta/Banda/Conjunto"),"")))</f>
        <v/>
      </c>
      <c r="AB251" t="str">
        <f>IF(Y251="","",IF(Y251="[FÓRMULA MANUAL]","",IFERROR(AVERAGEIFS(nNOTA,nNIA,Y251,nCUENTA,1,nASIG,"Música de Cámara"),"")))</f>
        <v/>
      </c>
      <c r="AC251" t="str">
        <f>IF(Y251="","",IF(Y251="[FÓRMULA MANUAL]","",IFERROR(SUMPRODUCT((nNIA=Y251)*(nCUENTA=1)*(COUNTIF(CONFIG_ASIGNATURAS!$B$7:$B$27,nASIG)&gt;0)*(nNOTA))/SUMPRODUCT((nNIA=Y251)*(nCUENTA=1)*(COUNTIF(CONFIG_ASIGNATURAS!$B$7:$B$27,nASIG)&gt;0)*1),"")))</f>
        <v/>
      </c>
      <c r="AF251" t="str">
        <f>IF(AE251="","",IF(AE251="[FÓRMULA MANUAL]","",IFERROR(AVERAGEIFS(nNOTA,nNIA,AE251,nCUENTA,1,nASIG,"Análisis"),"")))</f>
        <v/>
      </c>
      <c r="AG251" t="str">
        <f>IF(AE251="","",IF(AE251="[FÓRMULA MANUAL]","",IFERROR(AVERAGEIFS(nNOTA,nNIA,AE251,nCUENTA,1,nASIG,"Orquesta/Banda/Conjunto"),"")))</f>
        <v/>
      </c>
      <c r="AH251" t="str">
        <f>IF(AE251="","",IF(AE251="[FÓRMULA MANUAL]","",IFERROR(AVERAGEIFS(nNOTA,nNIA,AE251,nCUENTA,1,nASIG,"Música de Cámara"),"")))</f>
        <v/>
      </c>
      <c r="AI251" t="str">
        <f>IF(AE251="","",IF(AE251="[FÓRMULA MANUAL]","",IFERROR(SUMPRODUCT((nNIA=AE251)*(nCUENTA=1)*(COUNTIF(CONFIG_ASIGNATURAS!$B$7:$B$27,nASIG)&gt;0)*(nNOTA))/SUMPRODUCT((nNIA=AE251)*(nCUENTA=1)*(COUNTIF(CONFIG_ASIGNATURAS!$B$7:$B$27,nASIG)&gt;0)*1),"")))</f>
        <v/>
      </c>
    </row>
    <row r="252" spans="2:35" x14ac:dyDescent="0.2">
      <c r="B252" t="str">
        <f>IF(A252="","",IF(A252="[FÓRMULA MANUAL]","",IFERROR(AVERAGEIFS(nNOTA,nNIA,A252,nCUENTA,1,nASIG,"Lenguaje Musical"),"")))</f>
        <v/>
      </c>
      <c r="C252" t="str">
        <f>IF(A252="","",IF(A252="[FÓRMULA MANUAL]","",IFERROR(AVERAGEIFS(nNOTA,nNIA,A252,nCUENTA,1,nASIG,"Orquesta/Banda/Conjunto"),"")))</f>
        <v/>
      </c>
      <c r="D252" t="str">
        <f>IF(A252="","",IF(A252="[FÓRMULA MANUAL]","",IFERROR(AVERAGEIFS(nNOTA,nNIA,A252,nCUENTA,1,nASIG,"Conjunto"),"")))</f>
        <v/>
      </c>
      <c r="E252" t="str">
        <f>IF(A252="","",IF(A252="[FÓRMULA MANUAL]","",IFERROR(SUMPRODUCT((nNIA=A252)*(nCUENTA=1)*(COUNTIF(CONFIG_ASIGNATURAS!$B$7:$B$27,nASIG)&gt;0)*(nNOTA))/SUMPRODUCT((nNIA=A252)*(nCUENTA=1)*(COUNTIF(CONFIG_ASIGNATURAS!$B$7:$B$27,nASIG)&gt;0)*1),"")))</f>
        <v/>
      </c>
      <c r="H252" t="str">
        <f>IF(G252="","",IF(G252="[FÓRMULA MANUAL]","",IFERROR(AVERAGEIFS(nNOTA,nNIA,G252,nCUENTA,1,nASIG,"Lenguaje Musical"),"")))</f>
        <v/>
      </c>
      <c r="I252" t="str">
        <f>IF(G252="","",IF(G252="[FÓRMULA MANUAL]","",IFERROR(AVERAGEIFS(nNOTA,nNIA,G252,nCUENTA,1,nASIG,"Orquesta/Banda/Conjunto"),"")))</f>
        <v/>
      </c>
      <c r="J252" t="str">
        <f>IF(G252="","",IF(G252="[FÓRMULA MANUAL]","",IFERROR(AVERAGEIFS(nNOTA,nNIA,G252,nCUENTA,1,nASIG,"Conjunto"),"")))</f>
        <v/>
      </c>
      <c r="K252" t="str">
        <f>IF(G252="","",IF(G252="[FÓRMULA MANUAL]","",IFERROR(SUMPRODUCT((nNIA=G252)*(nCUENTA=1)*(COUNTIF(CONFIG_ASIGNATURAS!$B$7:$B$27,nASIG)&gt;0)*(nNOTA))/SUMPRODUCT((nNIA=G252)*(nCUENTA=1)*(COUNTIF(CONFIG_ASIGNATURAS!$B$7:$B$27,nASIG)&gt;0)*1),"")))</f>
        <v/>
      </c>
      <c r="N252" t="str">
        <f>IF(M252="","",IF(M252="[FÓRMULA MANUAL]","",IFERROR(AVERAGEIFS(nNOTA,nNIA,M252,nCUENTA,1,nASIG,"Armonía"),"")))</f>
        <v/>
      </c>
      <c r="O252" t="str">
        <f>IF(M252="","",IF(M252="[FÓRMULA MANUAL]","",IFERROR(AVERAGEIFS(nNOTA,nNIA,M252,nCUENTA,1,nASIG,"Orquesta/Banda/Conjunto"),"")))</f>
        <v/>
      </c>
      <c r="P252" t="str">
        <f>IF(M252="","",IF(M252="[FÓRMULA MANUAL]","",IFERROR(AVERAGEIFS(nNOTA,nNIA,M252,nCUENTA,1,nASIG,"Música de Cámara"),"")))</f>
        <v/>
      </c>
      <c r="Q252" t="str">
        <f>IF(M252="","",IF(M252="[FÓRMULA MANUAL]","",IFERROR(SUMPRODUCT((nNIA=M252)*(nCUENTA=1)*(COUNTIF(CONFIG_ASIGNATURAS!$B$7:$B$27,nASIG)&gt;0)*(nNOTA))/SUMPRODUCT((nNIA=M252)*(nCUENTA=1)*(COUNTIF(CONFIG_ASIGNATURAS!$B$7:$B$27,nASIG)&gt;0)*1),"")))</f>
        <v/>
      </c>
      <c r="T252" t="str">
        <f>IF(S252="","",IF(S252="[FÓRMULA MANUAL]","",IFERROR(AVERAGEIFS(nNOTA,nNIA,S252,nCUENTA,1,nASIG,"Armonía"),"")))</f>
        <v/>
      </c>
      <c r="U252" t="str">
        <f>IF(S252="","",IF(S252="[FÓRMULA MANUAL]","",IFERROR(AVERAGEIFS(nNOTA,nNIA,S252,nCUENTA,1,nASIG,"Orquesta/Banda/Conjunto"),"")))</f>
        <v/>
      </c>
      <c r="V252" t="str">
        <f>IF(S252="","",IF(S252="[FÓRMULA MANUAL]","",IFERROR(AVERAGEIFS(nNOTA,nNIA,S252,nCUENTA,1,nASIG,"Música de Cámara"),"")))</f>
        <v/>
      </c>
      <c r="W252" t="str">
        <f>IF(S252="","",IF(S252="[FÓRMULA MANUAL]","",IFERROR(SUMPRODUCT((nNIA=S252)*(nCUENTA=1)*(COUNTIF(CONFIG_ASIGNATURAS!$B$7:$B$27,nASIG)&gt;0)*(nNOTA))/SUMPRODUCT((nNIA=S252)*(nCUENTA=1)*(COUNTIF(CONFIG_ASIGNATURAS!$B$7:$B$27,nASIG)&gt;0)*1),"")))</f>
        <v/>
      </c>
      <c r="Z252" t="str">
        <f>IF(Y252="","",IF(Y252="[FÓRMULA MANUAL]","",IFERROR(AVERAGEIFS(nNOTA,nNIA,Y252,nCUENTA,1,nASIG,"Análisis"),"")))</f>
        <v/>
      </c>
      <c r="AA252" t="str">
        <f>IF(Y252="","",IF(Y252="[FÓRMULA MANUAL]","",IFERROR(AVERAGEIFS(nNOTA,nNIA,Y252,nCUENTA,1,nASIG,"Orquesta/Banda/Conjunto"),"")))</f>
        <v/>
      </c>
      <c r="AB252" t="str">
        <f>IF(Y252="","",IF(Y252="[FÓRMULA MANUAL]","",IFERROR(AVERAGEIFS(nNOTA,nNIA,Y252,nCUENTA,1,nASIG,"Música de Cámara"),"")))</f>
        <v/>
      </c>
      <c r="AC252" t="str">
        <f>IF(Y252="","",IF(Y252="[FÓRMULA MANUAL]","",IFERROR(SUMPRODUCT((nNIA=Y252)*(nCUENTA=1)*(COUNTIF(CONFIG_ASIGNATURAS!$B$7:$B$27,nASIG)&gt;0)*(nNOTA))/SUMPRODUCT((nNIA=Y252)*(nCUENTA=1)*(COUNTIF(CONFIG_ASIGNATURAS!$B$7:$B$27,nASIG)&gt;0)*1),"")))</f>
        <v/>
      </c>
      <c r="AF252" t="str">
        <f>IF(AE252="","",IF(AE252="[FÓRMULA MANUAL]","",IFERROR(AVERAGEIFS(nNOTA,nNIA,AE252,nCUENTA,1,nASIG,"Análisis"),"")))</f>
        <v/>
      </c>
      <c r="AG252" t="str">
        <f>IF(AE252="","",IF(AE252="[FÓRMULA MANUAL]","",IFERROR(AVERAGEIFS(nNOTA,nNIA,AE252,nCUENTA,1,nASIG,"Orquesta/Banda/Conjunto"),"")))</f>
        <v/>
      </c>
      <c r="AH252" t="str">
        <f>IF(AE252="","",IF(AE252="[FÓRMULA MANUAL]","",IFERROR(AVERAGEIFS(nNOTA,nNIA,AE252,nCUENTA,1,nASIG,"Música de Cámara"),"")))</f>
        <v/>
      </c>
      <c r="AI252" t="str">
        <f>IF(AE252="","",IF(AE252="[FÓRMULA MANUAL]","",IFERROR(SUMPRODUCT((nNIA=AE252)*(nCUENTA=1)*(COUNTIF(CONFIG_ASIGNATURAS!$B$7:$B$27,nASIG)&gt;0)*(nNOTA))/SUMPRODUCT((nNIA=AE252)*(nCUENTA=1)*(COUNTIF(CONFIG_ASIGNATURAS!$B$7:$B$27,nASIG)&gt;0)*1),"")))</f>
        <v/>
      </c>
    </row>
    <row r="253" spans="2:35" x14ac:dyDescent="0.2">
      <c r="B253" t="str">
        <f>IF(A253="","",IF(A253="[FÓRMULA MANUAL]","",IFERROR(AVERAGEIFS(nNOTA,nNIA,A253,nCUENTA,1,nASIG,"Lenguaje Musical"),"")))</f>
        <v/>
      </c>
      <c r="C253" t="str">
        <f>IF(A253="","",IF(A253="[FÓRMULA MANUAL]","",IFERROR(AVERAGEIFS(nNOTA,nNIA,A253,nCUENTA,1,nASIG,"Orquesta/Banda/Conjunto"),"")))</f>
        <v/>
      </c>
      <c r="D253" t="str">
        <f>IF(A253="","",IF(A253="[FÓRMULA MANUAL]","",IFERROR(AVERAGEIFS(nNOTA,nNIA,A253,nCUENTA,1,nASIG,"Conjunto"),"")))</f>
        <v/>
      </c>
      <c r="E253" t="str">
        <f>IF(A253="","",IF(A253="[FÓRMULA MANUAL]","",IFERROR(SUMPRODUCT((nNIA=A253)*(nCUENTA=1)*(COUNTIF(CONFIG_ASIGNATURAS!$B$7:$B$27,nASIG)&gt;0)*(nNOTA))/SUMPRODUCT((nNIA=A253)*(nCUENTA=1)*(COUNTIF(CONFIG_ASIGNATURAS!$B$7:$B$27,nASIG)&gt;0)*1),"")))</f>
        <v/>
      </c>
      <c r="H253" t="str">
        <f>IF(G253="","",IF(G253="[FÓRMULA MANUAL]","",IFERROR(AVERAGEIFS(nNOTA,nNIA,G253,nCUENTA,1,nASIG,"Lenguaje Musical"),"")))</f>
        <v/>
      </c>
      <c r="I253" t="str">
        <f>IF(G253="","",IF(G253="[FÓRMULA MANUAL]","",IFERROR(AVERAGEIFS(nNOTA,nNIA,G253,nCUENTA,1,nASIG,"Orquesta/Banda/Conjunto"),"")))</f>
        <v/>
      </c>
      <c r="J253" t="str">
        <f>IF(G253="","",IF(G253="[FÓRMULA MANUAL]","",IFERROR(AVERAGEIFS(nNOTA,nNIA,G253,nCUENTA,1,nASIG,"Conjunto"),"")))</f>
        <v/>
      </c>
      <c r="K253" t="str">
        <f>IF(G253="","",IF(G253="[FÓRMULA MANUAL]","",IFERROR(SUMPRODUCT((nNIA=G253)*(nCUENTA=1)*(COUNTIF(CONFIG_ASIGNATURAS!$B$7:$B$27,nASIG)&gt;0)*(nNOTA))/SUMPRODUCT((nNIA=G253)*(nCUENTA=1)*(COUNTIF(CONFIG_ASIGNATURAS!$B$7:$B$27,nASIG)&gt;0)*1),"")))</f>
        <v/>
      </c>
      <c r="N253" t="str">
        <f>IF(M253="","",IF(M253="[FÓRMULA MANUAL]","",IFERROR(AVERAGEIFS(nNOTA,nNIA,M253,nCUENTA,1,nASIG,"Armonía"),"")))</f>
        <v/>
      </c>
      <c r="O253" t="str">
        <f>IF(M253="","",IF(M253="[FÓRMULA MANUAL]","",IFERROR(AVERAGEIFS(nNOTA,nNIA,M253,nCUENTA,1,nASIG,"Orquesta/Banda/Conjunto"),"")))</f>
        <v/>
      </c>
      <c r="P253" t="str">
        <f>IF(M253="","",IF(M253="[FÓRMULA MANUAL]","",IFERROR(AVERAGEIFS(nNOTA,nNIA,M253,nCUENTA,1,nASIG,"Música de Cámara"),"")))</f>
        <v/>
      </c>
      <c r="Q253" t="str">
        <f>IF(M253="","",IF(M253="[FÓRMULA MANUAL]","",IFERROR(SUMPRODUCT((nNIA=M253)*(nCUENTA=1)*(COUNTIF(CONFIG_ASIGNATURAS!$B$7:$B$27,nASIG)&gt;0)*(nNOTA))/SUMPRODUCT((nNIA=M253)*(nCUENTA=1)*(COUNTIF(CONFIG_ASIGNATURAS!$B$7:$B$27,nASIG)&gt;0)*1),"")))</f>
        <v/>
      </c>
      <c r="T253" t="str">
        <f>IF(S253="","",IF(S253="[FÓRMULA MANUAL]","",IFERROR(AVERAGEIFS(nNOTA,nNIA,S253,nCUENTA,1,nASIG,"Armonía"),"")))</f>
        <v/>
      </c>
      <c r="U253" t="str">
        <f>IF(S253="","",IF(S253="[FÓRMULA MANUAL]","",IFERROR(AVERAGEIFS(nNOTA,nNIA,S253,nCUENTA,1,nASIG,"Orquesta/Banda/Conjunto"),"")))</f>
        <v/>
      </c>
      <c r="V253" t="str">
        <f>IF(S253="","",IF(S253="[FÓRMULA MANUAL]","",IFERROR(AVERAGEIFS(nNOTA,nNIA,S253,nCUENTA,1,nASIG,"Música de Cámara"),"")))</f>
        <v/>
      </c>
      <c r="W253" t="str">
        <f>IF(S253="","",IF(S253="[FÓRMULA MANUAL]","",IFERROR(SUMPRODUCT((nNIA=S253)*(nCUENTA=1)*(COUNTIF(CONFIG_ASIGNATURAS!$B$7:$B$27,nASIG)&gt;0)*(nNOTA))/SUMPRODUCT((nNIA=S253)*(nCUENTA=1)*(COUNTIF(CONFIG_ASIGNATURAS!$B$7:$B$27,nASIG)&gt;0)*1),"")))</f>
        <v/>
      </c>
      <c r="Z253" t="str">
        <f>IF(Y253="","",IF(Y253="[FÓRMULA MANUAL]","",IFERROR(AVERAGEIFS(nNOTA,nNIA,Y253,nCUENTA,1,nASIG,"Análisis"),"")))</f>
        <v/>
      </c>
      <c r="AA253" t="str">
        <f>IF(Y253="","",IF(Y253="[FÓRMULA MANUAL]","",IFERROR(AVERAGEIFS(nNOTA,nNIA,Y253,nCUENTA,1,nASIG,"Orquesta/Banda/Conjunto"),"")))</f>
        <v/>
      </c>
      <c r="AB253" t="str">
        <f>IF(Y253="","",IF(Y253="[FÓRMULA MANUAL]","",IFERROR(AVERAGEIFS(nNOTA,nNIA,Y253,nCUENTA,1,nASIG,"Música de Cámara"),"")))</f>
        <v/>
      </c>
      <c r="AC253" t="str">
        <f>IF(Y253="","",IF(Y253="[FÓRMULA MANUAL]","",IFERROR(SUMPRODUCT((nNIA=Y253)*(nCUENTA=1)*(COUNTIF(CONFIG_ASIGNATURAS!$B$7:$B$27,nASIG)&gt;0)*(nNOTA))/SUMPRODUCT((nNIA=Y253)*(nCUENTA=1)*(COUNTIF(CONFIG_ASIGNATURAS!$B$7:$B$27,nASIG)&gt;0)*1),"")))</f>
        <v/>
      </c>
      <c r="AF253" t="str">
        <f>IF(AE253="","",IF(AE253="[FÓRMULA MANUAL]","",IFERROR(AVERAGEIFS(nNOTA,nNIA,AE253,nCUENTA,1,nASIG,"Análisis"),"")))</f>
        <v/>
      </c>
      <c r="AG253" t="str">
        <f>IF(AE253="","",IF(AE253="[FÓRMULA MANUAL]","",IFERROR(AVERAGEIFS(nNOTA,nNIA,AE253,nCUENTA,1,nASIG,"Orquesta/Banda/Conjunto"),"")))</f>
        <v/>
      </c>
      <c r="AH253" t="str">
        <f>IF(AE253="","",IF(AE253="[FÓRMULA MANUAL]","",IFERROR(AVERAGEIFS(nNOTA,nNIA,AE253,nCUENTA,1,nASIG,"Música de Cámara"),"")))</f>
        <v/>
      </c>
      <c r="AI253" t="str">
        <f>IF(AE253="","",IF(AE253="[FÓRMULA MANUAL]","",IFERROR(SUMPRODUCT((nNIA=AE253)*(nCUENTA=1)*(COUNTIF(CONFIG_ASIGNATURAS!$B$7:$B$27,nASIG)&gt;0)*(nNOTA))/SUMPRODUCT((nNIA=AE253)*(nCUENTA=1)*(COUNTIF(CONFIG_ASIGNATURAS!$B$7:$B$27,nASIG)&gt;0)*1),"")))</f>
        <v/>
      </c>
    </row>
    <row r="254" spans="2:35" x14ac:dyDescent="0.2">
      <c r="B254" t="str">
        <f>IF(A254="","",IF(A254="[FÓRMULA MANUAL]","",IFERROR(AVERAGEIFS(nNOTA,nNIA,A254,nCUENTA,1,nASIG,"Lenguaje Musical"),"")))</f>
        <v/>
      </c>
      <c r="C254" t="str">
        <f>IF(A254="","",IF(A254="[FÓRMULA MANUAL]","",IFERROR(AVERAGEIFS(nNOTA,nNIA,A254,nCUENTA,1,nASIG,"Orquesta/Banda/Conjunto"),"")))</f>
        <v/>
      </c>
      <c r="D254" t="str">
        <f>IF(A254="","",IF(A254="[FÓRMULA MANUAL]","",IFERROR(AVERAGEIFS(nNOTA,nNIA,A254,nCUENTA,1,nASIG,"Conjunto"),"")))</f>
        <v/>
      </c>
      <c r="E254" t="str">
        <f>IF(A254="","",IF(A254="[FÓRMULA MANUAL]","",IFERROR(SUMPRODUCT((nNIA=A254)*(nCUENTA=1)*(COUNTIF(CONFIG_ASIGNATURAS!$B$7:$B$27,nASIG)&gt;0)*(nNOTA))/SUMPRODUCT((nNIA=A254)*(nCUENTA=1)*(COUNTIF(CONFIG_ASIGNATURAS!$B$7:$B$27,nASIG)&gt;0)*1),"")))</f>
        <v/>
      </c>
      <c r="H254" t="str">
        <f>IF(G254="","",IF(G254="[FÓRMULA MANUAL]","",IFERROR(AVERAGEIFS(nNOTA,nNIA,G254,nCUENTA,1,nASIG,"Lenguaje Musical"),"")))</f>
        <v/>
      </c>
      <c r="I254" t="str">
        <f>IF(G254="","",IF(G254="[FÓRMULA MANUAL]","",IFERROR(AVERAGEIFS(nNOTA,nNIA,G254,nCUENTA,1,nASIG,"Orquesta/Banda/Conjunto"),"")))</f>
        <v/>
      </c>
      <c r="J254" t="str">
        <f>IF(G254="","",IF(G254="[FÓRMULA MANUAL]","",IFERROR(AVERAGEIFS(nNOTA,nNIA,G254,nCUENTA,1,nASIG,"Conjunto"),"")))</f>
        <v/>
      </c>
      <c r="K254" t="str">
        <f>IF(G254="","",IF(G254="[FÓRMULA MANUAL]","",IFERROR(SUMPRODUCT((nNIA=G254)*(nCUENTA=1)*(COUNTIF(CONFIG_ASIGNATURAS!$B$7:$B$27,nASIG)&gt;0)*(nNOTA))/SUMPRODUCT((nNIA=G254)*(nCUENTA=1)*(COUNTIF(CONFIG_ASIGNATURAS!$B$7:$B$27,nASIG)&gt;0)*1),"")))</f>
        <v/>
      </c>
      <c r="N254" t="str">
        <f>IF(M254="","",IF(M254="[FÓRMULA MANUAL]","",IFERROR(AVERAGEIFS(nNOTA,nNIA,M254,nCUENTA,1,nASIG,"Armonía"),"")))</f>
        <v/>
      </c>
      <c r="O254" t="str">
        <f>IF(M254="","",IF(M254="[FÓRMULA MANUAL]","",IFERROR(AVERAGEIFS(nNOTA,nNIA,M254,nCUENTA,1,nASIG,"Orquesta/Banda/Conjunto"),"")))</f>
        <v/>
      </c>
      <c r="P254" t="str">
        <f>IF(M254="","",IF(M254="[FÓRMULA MANUAL]","",IFERROR(AVERAGEIFS(nNOTA,nNIA,M254,nCUENTA,1,nASIG,"Música de Cámara"),"")))</f>
        <v/>
      </c>
      <c r="Q254" t="str">
        <f>IF(M254="","",IF(M254="[FÓRMULA MANUAL]","",IFERROR(SUMPRODUCT((nNIA=M254)*(nCUENTA=1)*(COUNTIF(CONFIG_ASIGNATURAS!$B$7:$B$27,nASIG)&gt;0)*(nNOTA))/SUMPRODUCT((nNIA=M254)*(nCUENTA=1)*(COUNTIF(CONFIG_ASIGNATURAS!$B$7:$B$27,nASIG)&gt;0)*1),"")))</f>
        <v/>
      </c>
      <c r="T254" t="str">
        <f>IF(S254="","",IF(S254="[FÓRMULA MANUAL]","",IFERROR(AVERAGEIFS(nNOTA,nNIA,S254,nCUENTA,1,nASIG,"Armonía"),"")))</f>
        <v/>
      </c>
      <c r="U254" t="str">
        <f>IF(S254="","",IF(S254="[FÓRMULA MANUAL]","",IFERROR(AVERAGEIFS(nNOTA,nNIA,S254,nCUENTA,1,nASIG,"Orquesta/Banda/Conjunto"),"")))</f>
        <v/>
      </c>
      <c r="V254" t="str">
        <f>IF(S254="","",IF(S254="[FÓRMULA MANUAL]","",IFERROR(AVERAGEIFS(nNOTA,nNIA,S254,nCUENTA,1,nASIG,"Música de Cámara"),"")))</f>
        <v/>
      </c>
      <c r="W254" t="str">
        <f>IF(S254="","",IF(S254="[FÓRMULA MANUAL]","",IFERROR(SUMPRODUCT((nNIA=S254)*(nCUENTA=1)*(COUNTIF(CONFIG_ASIGNATURAS!$B$7:$B$27,nASIG)&gt;0)*(nNOTA))/SUMPRODUCT((nNIA=S254)*(nCUENTA=1)*(COUNTIF(CONFIG_ASIGNATURAS!$B$7:$B$27,nASIG)&gt;0)*1),"")))</f>
        <v/>
      </c>
      <c r="Z254" t="str">
        <f>IF(Y254="","",IF(Y254="[FÓRMULA MANUAL]","",IFERROR(AVERAGEIFS(nNOTA,nNIA,Y254,nCUENTA,1,nASIG,"Análisis"),"")))</f>
        <v/>
      </c>
      <c r="AA254" t="str">
        <f>IF(Y254="","",IF(Y254="[FÓRMULA MANUAL]","",IFERROR(AVERAGEIFS(nNOTA,nNIA,Y254,nCUENTA,1,nASIG,"Orquesta/Banda/Conjunto"),"")))</f>
        <v/>
      </c>
      <c r="AB254" t="str">
        <f>IF(Y254="","",IF(Y254="[FÓRMULA MANUAL]","",IFERROR(AVERAGEIFS(nNOTA,nNIA,Y254,nCUENTA,1,nASIG,"Música de Cámara"),"")))</f>
        <v/>
      </c>
      <c r="AC254" t="str">
        <f>IF(Y254="","",IF(Y254="[FÓRMULA MANUAL]","",IFERROR(SUMPRODUCT((nNIA=Y254)*(nCUENTA=1)*(COUNTIF(CONFIG_ASIGNATURAS!$B$7:$B$27,nASIG)&gt;0)*(nNOTA))/SUMPRODUCT((nNIA=Y254)*(nCUENTA=1)*(COUNTIF(CONFIG_ASIGNATURAS!$B$7:$B$27,nASIG)&gt;0)*1),"")))</f>
        <v/>
      </c>
      <c r="AF254" t="str">
        <f>IF(AE254="","",IF(AE254="[FÓRMULA MANUAL]","",IFERROR(AVERAGEIFS(nNOTA,nNIA,AE254,nCUENTA,1,nASIG,"Análisis"),"")))</f>
        <v/>
      </c>
      <c r="AG254" t="str">
        <f>IF(AE254="","",IF(AE254="[FÓRMULA MANUAL]","",IFERROR(AVERAGEIFS(nNOTA,nNIA,AE254,nCUENTA,1,nASIG,"Orquesta/Banda/Conjunto"),"")))</f>
        <v/>
      </c>
      <c r="AH254" t="str">
        <f>IF(AE254="","",IF(AE254="[FÓRMULA MANUAL]","",IFERROR(AVERAGEIFS(nNOTA,nNIA,AE254,nCUENTA,1,nASIG,"Música de Cámara"),"")))</f>
        <v/>
      </c>
      <c r="AI254" t="str">
        <f>IF(AE254="","",IF(AE254="[FÓRMULA MANUAL]","",IFERROR(SUMPRODUCT((nNIA=AE254)*(nCUENTA=1)*(COUNTIF(CONFIG_ASIGNATURAS!$B$7:$B$27,nASIG)&gt;0)*(nNOTA))/SUMPRODUCT((nNIA=AE254)*(nCUENTA=1)*(COUNTIF(CONFIG_ASIGNATURAS!$B$7:$B$27,nASIG)&gt;0)*1),"")))</f>
        <v/>
      </c>
    </row>
    <row r="255" spans="2:35" x14ac:dyDescent="0.2">
      <c r="B255" t="str">
        <f>IF(A255="","",IF(A255="[FÓRMULA MANUAL]","",IFERROR(AVERAGEIFS(nNOTA,nNIA,A255,nCUENTA,1,nASIG,"Lenguaje Musical"),"")))</f>
        <v/>
      </c>
      <c r="C255" t="str">
        <f>IF(A255="","",IF(A255="[FÓRMULA MANUAL]","",IFERROR(AVERAGEIFS(nNOTA,nNIA,A255,nCUENTA,1,nASIG,"Orquesta/Banda/Conjunto"),"")))</f>
        <v/>
      </c>
      <c r="D255" t="str">
        <f>IF(A255="","",IF(A255="[FÓRMULA MANUAL]","",IFERROR(AVERAGEIFS(nNOTA,nNIA,A255,nCUENTA,1,nASIG,"Conjunto"),"")))</f>
        <v/>
      </c>
      <c r="E255" t="str">
        <f>IF(A255="","",IF(A255="[FÓRMULA MANUAL]","",IFERROR(SUMPRODUCT((nNIA=A255)*(nCUENTA=1)*(COUNTIF(CONFIG_ASIGNATURAS!$B$7:$B$27,nASIG)&gt;0)*(nNOTA))/SUMPRODUCT((nNIA=A255)*(nCUENTA=1)*(COUNTIF(CONFIG_ASIGNATURAS!$B$7:$B$27,nASIG)&gt;0)*1),"")))</f>
        <v/>
      </c>
      <c r="H255" t="str">
        <f>IF(G255="","",IF(G255="[FÓRMULA MANUAL]","",IFERROR(AVERAGEIFS(nNOTA,nNIA,G255,nCUENTA,1,nASIG,"Lenguaje Musical"),"")))</f>
        <v/>
      </c>
      <c r="I255" t="str">
        <f>IF(G255="","",IF(G255="[FÓRMULA MANUAL]","",IFERROR(AVERAGEIFS(nNOTA,nNIA,G255,nCUENTA,1,nASIG,"Orquesta/Banda/Conjunto"),"")))</f>
        <v/>
      </c>
      <c r="J255" t="str">
        <f>IF(G255="","",IF(G255="[FÓRMULA MANUAL]","",IFERROR(AVERAGEIFS(nNOTA,nNIA,G255,nCUENTA,1,nASIG,"Conjunto"),"")))</f>
        <v/>
      </c>
      <c r="K255" t="str">
        <f>IF(G255="","",IF(G255="[FÓRMULA MANUAL]","",IFERROR(SUMPRODUCT((nNIA=G255)*(nCUENTA=1)*(COUNTIF(CONFIG_ASIGNATURAS!$B$7:$B$27,nASIG)&gt;0)*(nNOTA))/SUMPRODUCT((nNIA=G255)*(nCUENTA=1)*(COUNTIF(CONFIG_ASIGNATURAS!$B$7:$B$27,nASIG)&gt;0)*1),"")))</f>
        <v/>
      </c>
      <c r="N255" t="str">
        <f>IF(M255="","",IF(M255="[FÓRMULA MANUAL]","",IFERROR(AVERAGEIFS(nNOTA,nNIA,M255,nCUENTA,1,nASIG,"Armonía"),"")))</f>
        <v/>
      </c>
      <c r="O255" t="str">
        <f>IF(M255="","",IF(M255="[FÓRMULA MANUAL]","",IFERROR(AVERAGEIFS(nNOTA,nNIA,M255,nCUENTA,1,nASIG,"Orquesta/Banda/Conjunto"),"")))</f>
        <v/>
      </c>
      <c r="P255" t="str">
        <f>IF(M255="","",IF(M255="[FÓRMULA MANUAL]","",IFERROR(AVERAGEIFS(nNOTA,nNIA,M255,nCUENTA,1,nASIG,"Música de Cámara"),"")))</f>
        <v/>
      </c>
      <c r="Q255" t="str">
        <f>IF(M255="","",IF(M255="[FÓRMULA MANUAL]","",IFERROR(SUMPRODUCT((nNIA=M255)*(nCUENTA=1)*(COUNTIF(CONFIG_ASIGNATURAS!$B$7:$B$27,nASIG)&gt;0)*(nNOTA))/SUMPRODUCT((nNIA=M255)*(nCUENTA=1)*(COUNTIF(CONFIG_ASIGNATURAS!$B$7:$B$27,nASIG)&gt;0)*1),"")))</f>
        <v/>
      </c>
      <c r="T255" t="str">
        <f>IF(S255="","",IF(S255="[FÓRMULA MANUAL]","",IFERROR(AVERAGEIFS(nNOTA,nNIA,S255,nCUENTA,1,nASIG,"Armonía"),"")))</f>
        <v/>
      </c>
      <c r="U255" t="str">
        <f>IF(S255="","",IF(S255="[FÓRMULA MANUAL]","",IFERROR(AVERAGEIFS(nNOTA,nNIA,S255,nCUENTA,1,nASIG,"Orquesta/Banda/Conjunto"),"")))</f>
        <v/>
      </c>
      <c r="V255" t="str">
        <f>IF(S255="","",IF(S255="[FÓRMULA MANUAL]","",IFERROR(AVERAGEIFS(nNOTA,nNIA,S255,nCUENTA,1,nASIG,"Música de Cámara"),"")))</f>
        <v/>
      </c>
      <c r="W255" t="str">
        <f>IF(S255="","",IF(S255="[FÓRMULA MANUAL]","",IFERROR(SUMPRODUCT((nNIA=S255)*(nCUENTA=1)*(COUNTIF(CONFIG_ASIGNATURAS!$B$7:$B$27,nASIG)&gt;0)*(nNOTA))/SUMPRODUCT((nNIA=S255)*(nCUENTA=1)*(COUNTIF(CONFIG_ASIGNATURAS!$B$7:$B$27,nASIG)&gt;0)*1),"")))</f>
        <v/>
      </c>
      <c r="Z255" t="str">
        <f>IF(Y255="","",IF(Y255="[FÓRMULA MANUAL]","",IFERROR(AVERAGEIFS(nNOTA,nNIA,Y255,nCUENTA,1,nASIG,"Análisis"),"")))</f>
        <v/>
      </c>
      <c r="AA255" t="str">
        <f>IF(Y255="","",IF(Y255="[FÓRMULA MANUAL]","",IFERROR(AVERAGEIFS(nNOTA,nNIA,Y255,nCUENTA,1,nASIG,"Orquesta/Banda/Conjunto"),"")))</f>
        <v/>
      </c>
      <c r="AB255" t="str">
        <f>IF(Y255="","",IF(Y255="[FÓRMULA MANUAL]","",IFERROR(AVERAGEIFS(nNOTA,nNIA,Y255,nCUENTA,1,nASIG,"Música de Cámara"),"")))</f>
        <v/>
      </c>
      <c r="AC255" t="str">
        <f>IF(Y255="","",IF(Y255="[FÓRMULA MANUAL]","",IFERROR(SUMPRODUCT((nNIA=Y255)*(nCUENTA=1)*(COUNTIF(CONFIG_ASIGNATURAS!$B$7:$B$27,nASIG)&gt;0)*(nNOTA))/SUMPRODUCT((nNIA=Y255)*(nCUENTA=1)*(COUNTIF(CONFIG_ASIGNATURAS!$B$7:$B$27,nASIG)&gt;0)*1),"")))</f>
        <v/>
      </c>
      <c r="AF255" t="str">
        <f>IF(AE255="","",IF(AE255="[FÓRMULA MANUAL]","",IFERROR(AVERAGEIFS(nNOTA,nNIA,AE255,nCUENTA,1,nASIG,"Análisis"),"")))</f>
        <v/>
      </c>
      <c r="AG255" t="str">
        <f>IF(AE255="","",IF(AE255="[FÓRMULA MANUAL]","",IFERROR(AVERAGEIFS(nNOTA,nNIA,AE255,nCUENTA,1,nASIG,"Orquesta/Banda/Conjunto"),"")))</f>
        <v/>
      </c>
      <c r="AH255" t="str">
        <f>IF(AE255="","",IF(AE255="[FÓRMULA MANUAL]","",IFERROR(AVERAGEIFS(nNOTA,nNIA,AE255,nCUENTA,1,nASIG,"Música de Cámara"),"")))</f>
        <v/>
      </c>
      <c r="AI255" t="str">
        <f>IF(AE255="","",IF(AE255="[FÓRMULA MANUAL]","",IFERROR(SUMPRODUCT((nNIA=AE255)*(nCUENTA=1)*(COUNTIF(CONFIG_ASIGNATURAS!$B$7:$B$27,nASIG)&gt;0)*(nNOTA))/SUMPRODUCT((nNIA=AE255)*(nCUENTA=1)*(COUNTIF(CONFIG_ASIGNATURAS!$B$7:$B$27,nASIG)&gt;0)*1),"")))</f>
        <v/>
      </c>
    </row>
    <row r="256" spans="2:35" x14ac:dyDescent="0.2">
      <c r="B256" t="str">
        <f>IF(A256="","",IF(A256="[FÓRMULA MANUAL]","",IFERROR(AVERAGEIFS(nNOTA,nNIA,A256,nCUENTA,1,nASIG,"Lenguaje Musical"),"")))</f>
        <v/>
      </c>
      <c r="C256" t="str">
        <f>IF(A256="","",IF(A256="[FÓRMULA MANUAL]","",IFERROR(AVERAGEIFS(nNOTA,nNIA,A256,nCUENTA,1,nASIG,"Orquesta/Banda/Conjunto"),"")))</f>
        <v/>
      </c>
      <c r="D256" t="str">
        <f>IF(A256="","",IF(A256="[FÓRMULA MANUAL]","",IFERROR(AVERAGEIFS(nNOTA,nNIA,A256,nCUENTA,1,nASIG,"Conjunto"),"")))</f>
        <v/>
      </c>
      <c r="E256" t="str">
        <f>IF(A256="","",IF(A256="[FÓRMULA MANUAL]","",IFERROR(SUMPRODUCT((nNIA=A256)*(nCUENTA=1)*(COUNTIF(CONFIG_ASIGNATURAS!$B$7:$B$27,nASIG)&gt;0)*(nNOTA))/SUMPRODUCT((nNIA=A256)*(nCUENTA=1)*(COUNTIF(CONFIG_ASIGNATURAS!$B$7:$B$27,nASIG)&gt;0)*1),"")))</f>
        <v/>
      </c>
      <c r="H256" t="str">
        <f>IF(G256="","",IF(G256="[FÓRMULA MANUAL]","",IFERROR(AVERAGEIFS(nNOTA,nNIA,G256,nCUENTA,1,nASIG,"Lenguaje Musical"),"")))</f>
        <v/>
      </c>
      <c r="I256" t="str">
        <f>IF(G256="","",IF(G256="[FÓRMULA MANUAL]","",IFERROR(AVERAGEIFS(nNOTA,nNIA,G256,nCUENTA,1,nASIG,"Orquesta/Banda/Conjunto"),"")))</f>
        <v/>
      </c>
      <c r="J256" t="str">
        <f>IF(G256="","",IF(G256="[FÓRMULA MANUAL]","",IFERROR(AVERAGEIFS(nNOTA,nNIA,G256,nCUENTA,1,nASIG,"Conjunto"),"")))</f>
        <v/>
      </c>
      <c r="K256" t="str">
        <f>IF(G256="","",IF(G256="[FÓRMULA MANUAL]","",IFERROR(SUMPRODUCT((nNIA=G256)*(nCUENTA=1)*(COUNTIF(CONFIG_ASIGNATURAS!$B$7:$B$27,nASIG)&gt;0)*(nNOTA))/SUMPRODUCT((nNIA=G256)*(nCUENTA=1)*(COUNTIF(CONFIG_ASIGNATURAS!$B$7:$B$27,nASIG)&gt;0)*1),"")))</f>
        <v/>
      </c>
      <c r="N256" t="str">
        <f>IF(M256="","",IF(M256="[FÓRMULA MANUAL]","",IFERROR(AVERAGEIFS(nNOTA,nNIA,M256,nCUENTA,1,nASIG,"Armonía"),"")))</f>
        <v/>
      </c>
      <c r="O256" t="str">
        <f>IF(M256="","",IF(M256="[FÓRMULA MANUAL]","",IFERROR(AVERAGEIFS(nNOTA,nNIA,M256,nCUENTA,1,nASIG,"Orquesta/Banda/Conjunto"),"")))</f>
        <v/>
      </c>
      <c r="P256" t="str">
        <f>IF(M256="","",IF(M256="[FÓRMULA MANUAL]","",IFERROR(AVERAGEIFS(nNOTA,nNIA,M256,nCUENTA,1,nASIG,"Música de Cámara"),"")))</f>
        <v/>
      </c>
      <c r="Q256" t="str">
        <f>IF(M256="","",IF(M256="[FÓRMULA MANUAL]","",IFERROR(SUMPRODUCT((nNIA=M256)*(nCUENTA=1)*(COUNTIF(CONFIG_ASIGNATURAS!$B$7:$B$27,nASIG)&gt;0)*(nNOTA))/SUMPRODUCT((nNIA=M256)*(nCUENTA=1)*(COUNTIF(CONFIG_ASIGNATURAS!$B$7:$B$27,nASIG)&gt;0)*1),"")))</f>
        <v/>
      </c>
      <c r="T256" t="str">
        <f>IF(S256="","",IF(S256="[FÓRMULA MANUAL]","",IFERROR(AVERAGEIFS(nNOTA,nNIA,S256,nCUENTA,1,nASIG,"Armonía"),"")))</f>
        <v/>
      </c>
      <c r="U256" t="str">
        <f>IF(S256="","",IF(S256="[FÓRMULA MANUAL]","",IFERROR(AVERAGEIFS(nNOTA,nNIA,S256,nCUENTA,1,nASIG,"Orquesta/Banda/Conjunto"),"")))</f>
        <v/>
      </c>
      <c r="V256" t="str">
        <f>IF(S256="","",IF(S256="[FÓRMULA MANUAL]","",IFERROR(AVERAGEIFS(nNOTA,nNIA,S256,nCUENTA,1,nASIG,"Música de Cámara"),"")))</f>
        <v/>
      </c>
      <c r="W256" t="str">
        <f>IF(S256="","",IF(S256="[FÓRMULA MANUAL]","",IFERROR(SUMPRODUCT((nNIA=S256)*(nCUENTA=1)*(COUNTIF(CONFIG_ASIGNATURAS!$B$7:$B$27,nASIG)&gt;0)*(nNOTA))/SUMPRODUCT((nNIA=S256)*(nCUENTA=1)*(COUNTIF(CONFIG_ASIGNATURAS!$B$7:$B$27,nASIG)&gt;0)*1),"")))</f>
        <v/>
      </c>
      <c r="Z256" t="str">
        <f>IF(Y256="","",IF(Y256="[FÓRMULA MANUAL]","",IFERROR(AVERAGEIFS(nNOTA,nNIA,Y256,nCUENTA,1,nASIG,"Análisis"),"")))</f>
        <v/>
      </c>
      <c r="AA256" t="str">
        <f>IF(Y256="","",IF(Y256="[FÓRMULA MANUAL]","",IFERROR(AVERAGEIFS(nNOTA,nNIA,Y256,nCUENTA,1,nASIG,"Orquesta/Banda/Conjunto"),"")))</f>
        <v/>
      </c>
      <c r="AB256" t="str">
        <f>IF(Y256="","",IF(Y256="[FÓRMULA MANUAL]","",IFERROR(AVERAGEIFS(nNOTA,nNIA,Y256,nCUENTA,1,nASIG,"Música de Cámara"),"")))</f>
        <v/>
      </c>
      <c r="AC256" t="str">
        <f>IF(Y256="","",IF(Y256="[FÓRMULA MANUAL]","",IFERROR(SUMPRODUCT((nNIA=Y256)*(nCUENTA=1)*(COUNTIF(CONFIG_ASIGNATURAS!$B$7:$B$27,nASIG)&gt;0)*(nNOTA))/SUMPRODUCT((nNIA=Y256)*(nCUENTA=1)*(COUNTIF(CONFIG_ASIGNATURAS!$B$7:$B$27,nASIG)&gt;0)*1),"")))</f>
        <v/>
      </c>
      <c r="AF256" t="str">
        <f>IF(AE256="","",IF(AE256="[FÓRMULA MANUAL]","",IFERROR(AVERAGEIFS(nNOTA,nNIA,AE256,nCUENTA,1,nASIG,"Análisis"),"")))</f>
        <v/>
      </c>
      <c r="AG256" t="str">
        <f>IF(AE256="","",IF(AE256="[FÓRMULA MANUAL]","",IFERROR(AVERAGEIFS(nNOTA,nNIA,AE256,nCUENTA,1,nASIG,"Orquesta/Banda/Conjunto"),"")))</f>
        <v/>
      </c>
      <c r="AH256" t="str">
        <f>IF(AE256="","",IF(AE256="[FÓRMULA MANUAL]","",IFERROR(AVERAGEIFS(nNOTA,nNIA,AE256,nCUENTA,1,nASIG,"Música de Cámara"),"")))</f>
        <v/>
      </c>
      <c r="AI256" t="str">
        <f>IF(AE256="","",IF(AE256="[FÓRMULA MANUAL]","",IFERROR(SUMPRODUCT((nNIA=AE256)*(nCUENTA=1)*(COUNTIF(CONFIG_ASIGNATURAS!$B$7:$B$27,nASIG)&gt;0)*(nNOTA))/SUMPRODUCT((nNIA=AE256)*(nCUENTA=1)*(COUNTIF(CONFIG_ASIGNATURAS!$B$7:$B$27,nASIG)&gt;0)*1),"")))</f>
        <v/>
      </c>
    </row>
    <row r="257" spans="2:35" x14ac:dyDescent="0.2">
      <c r="B257" t="str">
        <f>IF(A257="","",IF(A257="[FÓRMULA MANUAL]","",IFERROR(AVERAGEIFS(nNOTA,nNIA,A257,nCUENTA,1,nASIG,"Lenguaje Musical"),"")))</f>
        <v/>
      </c>
      <c r="C257" t="str">
        <f>IF(A257="","",IF(A257="[FÓRMULA MANUAL]","",IFERROR(AVERAGEIFS(nNOTA,nNIA,A257,nCUENTA,1,nASIG,"Orquesta/Banda/Conjunto"),"")))</f>
        <v/>
      </c>
      <c r="D257" t="str">
        <f>IF(A257="","",IF(A257="[FÓRMULA MANUAL]","",IFERROR(AVERAGEIFS(nNOTA,nNIA,A257,nCUENTA,1,nASIG,"Conjunto"),"")))</f>
        <v/>
      </c>
      <c r="E257" t="str">
        <f>IF(A257="","",IF(A257="[FÓRMULA MANUAL]","",IFERROR(SUMPRODUCT((nNIA=A257)*(nCUENTA=1)*(COUNTIF(CONFIG_ASIGNATURAS!$B$7:$B$27,nASIG)&gt;0)*(nNOTA))/SUMPRODUCT((nNIA=A257)*(nCUENTA=1)*(COUNTIF(CONFIG_ASIGNATURAS!$B$7:$B$27,nASIG)&gt;0)*1),"")))</f>
        <v/>
      </c>
      <c r="H257" t="str">
        <f>IF(G257="","",IF(G257="[FÓRMULA MANUAL]","",IFERROR(AVERAGEIFS(nNOTA,nNIA,G257,nCUENTA,1,nASIG,"Lenguaje Musical"),"")))</f>
        <v/>
      </c>
      <c r="I257" t="str">
        <f>IF(G257="","",IF(G257="[FÓRMULA MANUAL]","",IFERROR(AVERAGEIFS(nNOTA,nNIA,G257,nCUENTA,1,nASIG,"Orquesta/Banda/Conjunto"),"")))</f>
        <v/>
      </c>
      <c r="J257" t="str">
        <f>IF(G257="","",IF(G257="[FÓRMULA MANUAL]","",IFERROR(AVERAGEIFS(nNOTA,nNIA,G257,nCUENTA,1,nASIG,"Conjunto"),"")))</f>
        <v/>
      </c>
      <c r="K257" t="str">
        <f>IF(G257="","",IF(G257="[FÓRMULA MANUAL]","",IFERROR(SUMPRODUCT((nNIA=G257)*(nCUENTA=1)*(COUNTIF(CONFIG_ASIGNATURAS!$B$7:$B$27,nASIG)&gt;0)*(nNOTA))/SUMPRODUCT((nNIA=G257)*(nCUENTA=1)*(COUNTIF(CONFIG_ASIGNATURAS!$B$7:$B$27,nASIG)&gt;0)*1),"")))</f>
        <v/>
      </c>
      <c r="N257" t="str">
        <f>IF(M257="","",IF(M257="[FÓRMULA MANUAL]","",IFERROR(AVERAGEIFS(nNOTA,nNIA,M257,nCUENTA,1,nASIG,"Armonía"),"")))</f>
        <v/>
      </c>
      <c r="O257" t="str">
        <f>IF(M257="","",IF(M257="[FÓRMULA MANUAL]","",IFERROR(AVERAGEIFS(nNOTA,nNIA,M257,nCUENTA,1,nASIG,"Orquesta/Banda/Conjunto"),"")))</f>
        <v/>
      </c>
      <c r="P257" t="str">
        <f>IF(M257="","",IF(M257="[FÓRMULA MANUAL]","",IFERROR(AVERAGEIFS(nNOTA,nNIA,M257,nCUENTA,1,nASIG,"Música de Cámara"),"")))</f>
        <v/>
      </c>
      <c r="Q257" t="str">
        <f>IF(M257="","",IF(M257="[FÓRMULA MANUAL]","",IFERROR(SUMPRODUCT((nNIA=M257)*(nCUENTA=1)*(COUNTIF(CONFIG_ASIGNATURAS!$B$7:$B$27,nASIG)&gt;0)*(nNOTA))/SUMPRODUCT((nNIA=M257)*(nCUENTA=1)*(COUNTIF(CONFIG_ASIGNATURAS!$B$7:$B$27,nASIG)&gt;0)*1),"")))</f>
        <v/>
      </c>
      <c r="T257" t="str">
        <f>IF(S257="","",IF(S257="[FÓRMULA MANUAL]","",IFERROR(AVERAGEIFS(nNOTA,nNIA,S257,nCUENTA,1,nASIG,"Armonía"),"")))</f>
        <v/>
      </c>
      <c r="U257" t="str">
        <f>IF(S257="","",IF(S257="[FÓRMULA MANUAL]","",IFERROR(AVERAGEIFS(nNOTA,nNIA,S257,nCUENTA,1,nASIG,"Orquesta/Banda/Conjunto"),"")))</f>
        <v/>
      </c>
      <c r="V257" t="str">
        <f>IF(S257="","",IF(S257="[FÓRMULA MANUAL]","",IFERROR(AVERAGEIFS(nNOTA,nNIA,S257,nCUENTA,1,nASIG,"Música de Cámara"),"")))</f>
        <v/>
      </c>
      <c r="W257" t="str">
        <f>IF(S257="","",IF(S257="[FÓRMULA MANUAL]","",IFERROR(SUMPRODUCT((nNIA=S257)*(nCUENTA=1)*(COUNTIF(CONFIG_ASIGNATURAS!$B$7:$B$27,nASIG)&gt;0)*(nNOTA))/SUMPRODUCT((nNIA=S257)*(nCUENTA=1)*(COUNTIF(CONFIG_ASIGNATURAS!$B$7:$B$27,nASIG)&gt;0)*1),"")))</f>
        <v/>
      </c>
      <c r="Z257" t="str">
        <f>IF(Y257="","",IF(Y257="[FÓRMULA MANUAL]","",IFERROR(AVERAGEIFS(nNOTA,nNIA,Y257,nCUENTA,1,nASIG,"Análisis"),"")))</f>
        <v/>
      </c>
      <c r="AA257" t="str">
        <f>IF(Y257="","",IF(Y257="[FÓRMULA MANUAL]","",IFERROR(AVERAGEIFS(nNOTA,nNIA,Y257,nCUENTA,1,nASIG,"Orquesta/Banda/Conjunto"),"")))</f>
        <v/>
      </c>
      <c r="AB257" t="str">
        <f>IF(Y257="","",IF(Y257="[FÓRMULA MANUAL]","",IFERROR(AVERAGEIFS(nNOTA,nNIA,Y257,nCUENTA,1,nASIG,"Música de Cámara"),"")))</f>
        <v/>
      </c>
      <c r="AC257" t="str">
        <f>IF(Y257="","",IF(Y257="[FÓRMULA MANUAL]","",IFERROR(SUMPRODUCT((nNIA=Y257)*(nCUENTA=1)*(COUNTIF(CONFIG_ASIGNATURAS!$B$7:$B$27,nASIG)&gt;0)*(nNOTA))/SUMPRODUCT((nNIA=Y257)*(nCUENTA=1)*(COUNTIF(CONFIG_ASIGNATURAS!$B$7:$B$27,nASIG)&gt;0)*1),"")))</f>
        <v/>
      </c>
      <c r="AF257" t="str">
        <f>IF(AE257="","",IF(AE257="[FÓRMULA MANUAL]","",IFERROR(AVERAGEIFS(nNOTA,nNIA,AE257,nCUENTA,1,nASIG,"Análisis"),"")))</f>
        <v/>
      </c>
      <c r="AG257" t="str">
        <f>IF(AE257="","",IF(AE257="[FÓRMULA MANUAL]","",IFERROR(AVERAGEIFS(nNOTA,nNIA,AE257,nCUENTA,1,nASIG,"Orquesta/Banda/Conjunto"),"")))</f>
        <v/>
      </c>
      <c r="AH257" t="str">
        <f>IF(AE257="","",IF(AE257="[FÓRMULA MANUAL]","",IFERROR(AVERAGEIFS(nNOTA,nNIA,AE257,nCUENTA,1,nASIG,"Música de Cámara"),"")))</f>
        <v/>
      </c>
      <c r="AI257" t="str">
        <f>IF(AE257="","",IF(AE257="[FÓRMULA MANUAL]","",IFERROR(SUMPRODUCT((nNIA=AE257)*(nCUENTA=1)*(COUNTIF(CONFIG_ASIGNATURAS!$B$7:$B$27,nASIG)&gt;0)*(nNOTA))/SUMPRODUCT((nNIA=AE257)*(nCUENTA=1)*(COUNTIF(CONFIG_ASIGNATURAS!$B$7:$B$27,nASIG)&gt;0)*1),"")))</f>
        <v/>
      </c>
    </row>
    <row r="258" spans="2:35" x14ac:dyDescent="0.2">
      <c r="B258" t="str">
        <f>IF(A258="","",IF(A258="[FÓRMULA MANUAL]","",IFERROR(AVERAGEIFS(nNOTA,nNIA,A258,nCUENTA,1,nASIG,"Lenguaje Musical"),"")))</f>
        <v/>
      </c>
      <c r="C258" t="str">
        <f>IF(A258="","",IF(A258="[FÓRMULA MANUAL]","",IFERROR(AVERAGEIFS(nNOTA,nNIA,A258,nCUENTA,1,nASIG,"Orquesta/Banda/Conjunto"),"")))</f>
        <v/>
      </c>
      <c r="D258" t="str">
        <f>IF(A258="","",IF(A258="[FÓRMULA MANUAL]","",IFERROR(AVERAGEIFS(nNOTA,nNIA,A258,nCUENTA,1,nASIG,"Conjunto"),"")))</f>
        <v/>
      </c>
      <c r="E258" t="str">
        <f>IF(A258="","",IF(A258="[FÓRMULA MANUAL]","",IFERROR(SUMPRODUCT((nNIA=A258)*(nCUENTA=1)*(COUNTIF(CONFIG_ASIGNATURAS!$B$7:$B$27,nASIG)&gt;0)*(nNOTA))/SUMPRODUCT((nNIA=A258)*(nCUENTA=1)*(COUNTIF(CONFIG_ASIGNATURAS!$B$7:$B$27,nASIG)&gt;0)*1),"")))</f>
        <v/>
      </c>
      <c r="H258" t="str">
        <f>IF(G258="","",IF(G258="[FÓRMULA MANUAL]","",IFERROR(AVERAGEIFS(nNOTA,nNIA,G258,nCUENTA,1,nASIG,"Lenguaje Musical"),"")))</f>
        <v/>
      </c>
      <c r="I258" t="str">
        <f>IF(G258="","",IF(G258="[FÓRMULA MANUAL]","",IFERROR(AVERAGEIFS(nNOTA,nNIA,G258,nCUENTA,1,nASIG,"Orquesta/Banda/Conjunto"),"")))</f>
        <v/>
      </c>
      <c r="J258" t="str">
        <f>IF(G258="","",IF(G258="[FÓRMULA MANUAL]","",IFERROR(AVERAGEIFS(nNOTA,nNIA,G258,nCUENTA,1,nASIG,"Conjunto"),"")))</f>
        <v/>
      </c>
      <c r="K258" t="str">
        <f>IF(G258="","",IF(G258="[FÓRMULA MANUAL]","",IFERROR(SUMPRODUCT((nNIA=G258)*(nCUENTA=1)*(COUNTIF(CONFIG_ASIGNATURAS!$B$7:$B$27,nASIG)&gt;0)*(nNOTA))/SUMPRODUCT((nNIA=G258)*(nCUENTA=1)*(COUNTIF(CONFIG_ASIGNATURAS!$B$7:$B$27,nASIG)&gt;0)*1),"")))</f>
        <v/>
      </c>
      <c r="N258" t="str">
        <f>IF(M258="","",IF(M258="[FÓRMULA MANUAL]","",IFERROR(AVERAGEIFS(nNOTA,nNIA,M258,nCUENTA,1,nASIG,"Armonía"),"")))</f>
        <v/>
      </c>
      <c r="O258" t="str">
        <f>IF(M258="","",IF(M258="[FÓRMULA MANUAL]","",IFERROR(AVERAGEIFS(nNOTA,nNIA,M258,nCUENTA,1,nASIG,"Orquesta/Banda/Conjunto"),"")))</f>
        <v/>
      </c>
      <c r="P258" t="str">
        <f>IF(M258="","",IF(M258="[FÓRMULA MANUAL]","",IFERROR(AVERAGEIFS(nNOTA,nNIA,M258,nCUENTA,1,nASIG,"Música de Cámara"),"")))</f>
        <v/>
      </c>
      <c r="Q258" t="str">
        <f>IF(M258="","",IF(M258="[FÓRMULA MANUAL]","",IFERROR(SUMPRODUCT((nNIA=M258)*(nCUENTA=1)*(COUNTIF(CONFIG_ASIGNATURAS!$B$7:$B$27,nASIG)&gt;0)*(nNOTA))/SUMPRODUCT((nNIA=M258)*(nCUENTA=1)*(COUNTIF(CONFIG_ASIGNATURAS!$B$7:$B$27,nASIG)&gt;0)*1),"")))</f>
        <v/>
      </c>
      <c r="T258" t="str">
        <f>IF(S258="","",IF(S258="[FÓRMULA MANUAL]","",IFERROR(AVERAGEIFS(nNOTA,nNIA,S258,nCUENTA,1,nASIG,"Armonía"),"")))</f>
        <v/>
      </c>
      <c r="U258" t="str">
        <f>IF(S258="","",IF(S258="[FÓRMULA MANUAL]","",IFERROR(AVERAGEIFS(nNOTA,nNIA,S258,nCUENTA,1,nASIG,"Orquesta/Banda/Conjunto"),"")))</f>
        <v/>
      </c>
      <c r="V258" t="str">
        <f>IF(S258="","",IF(S258="[FÓRMULA MANUAL]","",IFERROR(AVERAGEIFS(nNOTA,nNIA,S258,nCUENTA,1,nASIG,"Música de Cámara"),"")))</f>
        <v/>
      </c>
      <c r="W258" t="str">
        <f>IF(S258="","",IF(S258="[FÓRMULA MANUAL]","",IFERROR(SUMPRODUCT((nNIA=S258)*(nCUENTA=1)*(COUNTIF(CONFIG_ASIGNATURAS!$B$7:$B$27,nASIG)&gt;0)*(nNOTA))/SUMPRODUCT((nNIA=S258)*(nCUENTA=1)*(COUNTIF(CONFIG_ASIGNATURAS!$B$7:$B$27,nASIG)&gt;0)*1),"")))</f>
        <v/>
      </c>
      <c r="Z258" t="str">
        <f>IF(Y258="","",IF(Y258="[FÓRMULA MANUAL]","",IFERROR(AVERAGEIFS(nNOTA,nNIA,Y258,nCUENTA,1,nASIG,"Análisis"),"")))</f>
        <v/>
      </c>
      <c r="AA258" t="str">
        <f>IF(Y258="","",IF(Y258="[FÓRMULA MANUAL]","",IFERROR(AVERAGEIFS(nNOTA,nNIA,Y258,nCUENTA,1,nASIG,"Orquesta/Banda/Conjunto"),"")))</f>
        <v/>
      </c>
      <c r="AB258" t="str">
        <f>IF(Y258="","",IF(Y258="[FÓRMULA MANUAL]","",IFERROR(AVERAGEIFS(nNOTA,nNIA,Y258,nCUENTA,1,nASIG,"Música de Cámara"),"")))</f>
        <v/>
      </c>
      <c r="AC258" t="str">
        <f>IF(Y258="","",IF(Y258="[FÓRMULA MANUAL]","",IFERROR(SUMPRODUCT((nNIA=Y258)*(nCUENTA=1)*(COUNTIF(CONFIG_ASIGNATURAS!$B$7:$B$27,nASIG)&gt;0)*(nNOTA))/SUMPRODUCT((nNIA=Y258)*(nCUENTA=1)*(COUNTIF(CONFIG_ASIGNATURAS!$B$7:$B$27,nASIG)&gt;0)*1),"")))</f>
        <v/>
      </c>
      <c r="AF258" t="str">
        <f>IF(AE258="","",IF(AE258="[FÓRMULA MANUAL]","",IFERROR(AVERAGEIFS(nNOTA,nNIA,AE258,nCUENTA,1,nASIG,"Análisis"),"")))</f>
        <v/>
      </c>
      <c r="AG258" t="str">
        <f>IF(AE258="","",IF(AE258="[FÓRMULA MANUAL]","",IFERROR(AVERAGEIFS(nNOTA,nNIA,AE258,nCUENTA,1,nASIG,"Orquesta/Banda/Conjunto"),"")))</f>
        <v/>
      </c>
      <c r="AH258" t="str">
        <f>IF(AE258="","",IF(AE258="[FÓRMULA MANUAL]","",IFERROR(AVERAGEIFS(nNOTA,nNIA,AE258,nCUENTA,1,nASIG,"Música de Cámara"),"")))</f>
        <v/>
      </c>
      <c r="AI258" t="str">
        <f>IF(AE258="","",IF(AE258="[FÓRMULA MANUAL]","",IFERROR(SUMPRODUCT((nNIA=AE258)*(nCUENTA=1)*(COUNTIF(CONFIG_ASIGNATURAS!$B$7:$B$27,nASIG)&gt;0)*(nNOTA))/SUMPRODUCT((nNIA=AE258)*(nCUENTA=1)*(COUNTIF(CONFIG_ASIGNATURAS!$B$7:$B$27,nASIG)&gt;0)*1),"")))</f>
        <v/>
      </c>
    </row>
    <row r="259" spans="2:35" x14ac:dyDescent="0.2">
      <c r="B259" t="str">
        <f>IF(A259="","",IF(A259="[FÓRMULA MANUAL]","",IFERROR(AVERAGEIFS(nNOTA,nNIA,A259,nCUENTA,1,nASIG,"Lenguaje Musical"),"")))</f>
        <v/>
      </c>
      <c r="C259" t="str">
        <f>IF(A259="","",IF(A259="[FÓRMULA MANUAL]","",IFERROR(AVERAGEIFS(nNOTA,nNIA,A259,nCUENTA,1,nASIG,"Orquesta/Banda/Conjunto"),"")))</f>
        <v/>
      </c>
      <c r="D259" t="str">
        <f>IF(A259="","",IF(A259="[FÓRMULA MANUAL]","",IFERROR(AVERAGEIFS(nNOTA,nNIA,A259,nCUENTA,1,nASIG,"Conjunto"),"")))</f>
        <v/>
      </c>
      <c r="E259" t="str">
        <f>IF(A259="","",IF(A259="[FÓRMULA MANUAL]","",IFERROR(SUMPRODUCT((nNIA=A259)*(nCUENTA=1)*(COUNTIF(CONFIG_ASIGNATURAS!$B$7:$B$27,nASIG)&gt;0)*(nNOTA))/SUMPRODUCT((nNIA=A259)*(nCUENTA=1)*(COUNTIF(CONFIG_ASIGNATURAS!$B$7:$B$27,nASIG)&gt;0)*1),"")))</f>
        <v/>
      </c>
      <c r="H259" t="str">
        <f>IF(G259="","",IF(G259="[FÓRMULA MANUAL]","",IFERROR(AVERAGEIFS(nNOTA,nNIA,G259,nCUENTA,1,nASIG,"Lenguaje Musical"),"")))</f>
        <v/>
      </c>
      <c r="I259" t="str">
        <f>IF(G259="","",IF(G259="[FÓRMULA MANUAL]","",IFERROR(AVERAGEIFS(nNOTA,nNIA,G259,nCUENTA,1,nASIG,"Orquesta/Banda/Conjunto"),"")))</f>
        <v/>
      </c>
      <c r="J259" t="str">
        <f>IF(G259="","",IF(G259="[FÓRMULA MANUAL]","",IFERROR(AVERAGEIFS(nNOTA,nNIA,G259,nCUENTA,1,nASIG,"Conjunto"),"")))</f>
        <v/>
      </c>
      <c r="K259" t="str">
        <f>IF(G259="","",IF(G259="[FÓRMULA MANUAL]","",IFERROR(SUMPRODUCT((nNIA=G259)*(nCUENTA=1)*(COUNTIF(CONFIG_ASIGNATURAS!$B$7:$B$27,nASIG)&gt;0)*(nNOTA))/SUMPRODUCT((nNIA=G259)*(nCUENTA=1)*(COUNTIF(CONFIG_ASIGNATURAS!$B$7:$B$27,nASIG)&gt;0)*1),"")))</f>
        <v/>
      </c>
      <c r="N259" t="str">
        <f>IF(M259="","",IF(M259="[FÓRMULA MANUAL]","",IFERROR(AVERAGEIFS(nNOTA,nNIA,M259,nCUENTA,1,nASIG,"Armonía"),"")))</f>
        <v/>
      </c>
      <c r="O259" t="str">
        <f>IF(M259="","",IF(M259="[FÓRMULA MANUAL]","",IFERROR(AVERAGEIFS(nNOTA,nNIA,M259,nCUENTA,1,nASIG,"Orquesta/Banda/Conjunto"),"")))</f>
        <v/>
      </c>
      <c r="P259" t="str">
        <f>IF(M259="","",IF(M259="[FÓRMULA MANUAL]","",IFERROR(AVERAGEIFS(nNOTA,nNIA,M259,nCUENTA,1,nASIG,"Música de Cámara"),"")))</f>
        <v/>
      </c>
      <c r="Q259" t="str">
        <f>IF(M259="","",IF(M259="[FÓRMULA MANUAL]","",IFERROR(SUMPRODUCT((nNIA=M259)*(nCUENTA=1)*(COUNTIF(CONFIG_ASIGNATURAS!$B$7:$B$27,nASIG)&gt;0)*(nNOTA))/SUMPRODUCT((nNIA=M259)*(nCUENTA=1)*(COUNTIF(CONFIG_ASIGNATURAS!$B$7:$B$27,nASIG)&gt;0)*1),"")))</f>
        <v/>
      </c>
      <c r="T259" t="str">
        <f>IF(S259="","",IF(S259="[FÓRMULA MANUAL]","",IFERROR(AVERAGEIFS(nNOTA,nNIA,S259,nCUENTA,1,nASIG,"Armonía"),"")))</f>
        <v/>
      </c>
      <c r="U259" t="str">
        <f>IF(S259="","",IF(S259="[FÓRMULA MANUAL]","",IFERROR(AVERAGEIFS(nNOTA,nNIA,S259,nCUENTA,1,nASIG,"Orquesta/Banda/Conjunto"),"")))</f>
        <v/>
      </c>
      <c r="V259" t="str">
        <f>IF(S259="","",IF(S259="[FÓRMULA MANUAL]","",IFERROR(AVERAGEIFS(nNOTA,nNIA,S259,nCUENTA,1,nASIG,"Música de Cámara"),"")))</f>
        <v/>
      </c>
      <c r="W259" t="str">
        <f>IF(S259="","",IF(S259="[FÓRMULA MANUAL]","",IFERROR(SUMPRODUCT((nNIA=S259)*(nCUENTA=1)*(COUNTIF(CONFIG_ASIGNATURAS!$B$7:$B$27,nASIG)&gt;0)*(nNOTA))/SUMPRODUCT((nNIA=S259)*(nCUENTA=1)*(COUNTIF(CONFIG_ASIGNATURAS!$B$7:$B$27,nASIG)&gt;0)*1),"")))</f>
        <v/>
      </c>
      <c r="Z259" t="str">
        <f>IF(Y259="","",IF(Y259="[FÓRMULA MANUAL]","",IFERROR(AVERAGEIFS(nNOTA,nNIA,Y259,nCUENTA,1,nASIG,"Análisis"),"")))</f>
        <v/>
      </c>
      <c r="AA259" t="str">
        <f>IF(Y259="","",IF(Y259="[FÓRMULA MANUAL]","",IFERROR(AVERAGEIFS(nNOTA,nNIA,Y259,nCUENTA,1,nASIG,"Orquesta/Banda/Conjunto"),"")))</f>
        <v/>
      </c>
      <c r="AB259" t="str">
        <f>IF(Y259="","",IF(Y259="[FÓRMULA MANUAL]","",IFERROR(AVERAGEIFS(nNOTA,nNIA,Y259,nCUENTA,1,nASIG,"Música de Cámara"),"")))</f>
        <v/>
      </c>
      <c r="AC259" t="str">
        <f>IF(Y259="","",IF(Y259="[FÓRMULA MANUAL]","",IFERROR(SUMPRODUCT((nNIA=Y259)*(nCUENTA=1)*(COUNTIF(CONFIG_ASIGNATURAS!$B$7:$B$27,nASIG)&gt;0)*(nNOTA))/SUMPRODUCT((nNIA=Y259)*(nCUENTA=1)*(COUNTIF(CONFIG_ASIGNATURAS!$B$7:$B$27,nASIG)&gt;0)*1),"")))</f>
        <v/>
      </c>
      <c r="AF259" t="str">
        <f>IF(AE259="","",IF(AE259="[FÓRMULA MANUAL]","",IFERROR(AVERAGEIFS(nNOTA,nNIA,AE259,nCUENTA,1,nASIG,"Análisis"),"")))</f>
        <v/>
      </c>
      <c r="AG259" t="str">
        <f>IF(AE259="","",IF(AE259="[FÓRMULA MANUAL]","",IFERROR(AVERAGEIFS(nNOTA,nNIA,AE259,nCUENTA,1,nASIG,"Orquesta/Banda/Conjunto"),"")))</f>
        <v/>
      </c>
      <c r="AH259" t="str">
        <f>IF(AE259="","",IF(AE259="[FÓRMULA MANUAL]","",IFERROR(AVERAGEIFS(nNOTA,nNIA,AE259,nCUENTA,1,nASIG,"Música de Cámara"),"")))</f>
        <v/>
      </c>
      <c r="AI259" t="str">
        <f>IF(AE259="","",IF(AE259="[FÓRMULA MANUAL]","",IFERROR(SUMPRODUCT((nNIA=AE259)*(nCUENTA=1)*(COUNTIF(CONFIG_ASIGNATURAS!$B$7:$B$27,nASIG)&gt;0)*(nNOTA))/SUMPRODUCT((nNIA=AE259)*(nCUENTA=1)*(COUNTIF(CONFIG_ASIGNATURAS!$B$7:$B$27,nASIG)&gt;0)*1),"")))</f>
        <v/>
      </c>
    </row>
    <row r="260" spans="2:35" x14ac:dyDescent="0.2">
      <c r="B260" t="str">
        <f>IF(A260="","",IF(A260="[FÓRMULA MANUAL]","",IFERROR(AVERAGEIFS(nNOTA,nNIA,A260,nCUENTA,1,nASIG,"Lenguaje Musical"),"")))</f>
        <v/>
      </c>
      <c r="C260" t="str">
        <f>IF(A260="","",IF(A260="[FÓRMULA MANUAL]","",IFERROR(AVERAGEIFS(nNOTA,nNIA,A260,nCUENTA,1,nASIG,"Orquesta/Banda/Conjunto"),"")))</f>
        <v/>
      </c>
      <c r="D260" t="str">
        <f>IF(A260="","",IF(A260="[FÓRMULA MANUAL]","",IFERROR(AVERAGEIFS(nNOTA,nNIA,A260,nCUENTA,1,nASIG,"Conjunto"),"")))</f>
        <v/>
      </c>
      <c r="E260" t="str">
        <f>IF(A260="","",IF(A260="[FÓRMULA MANUAL]","",IFERROR(SUMPRODUCT((nNIA=A260)*(nCUENTA=1)*(COUNTIF(CONFIG_ASIGNATURAS!$B$7:$B$27,nASIG)&gt;0)*(nNOTA))/SUMPRODUCT((nNIA=A260)*(nCUENTA=1)*(COUNTIF(CONFIG_ASIGNATURAS!$B$7:$B$27,nASIG)&gt;0)*1),"")))</f>
        <v/>
      </c>
      <c r="H260" t="str">
        <f>IF(G260="","",IF(G260="[FÓRMULA MANUAL]","",IFERROR(AVERAGEIFS(nNOTA,nNIA,G260,nCUENTA,1,nASIG,"Lenguaje Musical"),"")))</f>
        <v/>
      </c>
      <c r="I260" t="str">
        <f>IF(G260="","",IF(G260="[FÓRMULA MANUAL]","",IFERROR(AVERAGEIFS(nNOTA,nNIA,G260,nCUENTA,1,nASIG,"Orquesta/Banda/Conjunto"),"")))</f>
        <v/>
      </c>
      <c r="J260" t="str">
        <f>IF(G260="","",IF(G260="[FÓRMULA MANUAL]","",IFERROR(AVERAGEIFS(nNOTA,nNIA,G260,nCUENTA,1,nASIG,"Conjunto"),"")))</f>
        <v/>
      </c>
      <c r="K260" t="str">
        <f>IF(G260="","",IF(G260="[FÓRMULA MANUAL]","",IFERROR(SUMPRODUCT((nNIA=G260)*(nCUENTA=1)*(COUNTIF(CONFIG_ASIGNATURAS!$B$7:$B$27,nASIG)&gt;0)*(nNOTA))/SUMPRODUCT((nNIA=G260)*(nCUENTA=1)*(COUNTIF(CONFIG_ASIGNATURAS!$B$7:$B$27,nASIG)&gt;0)*1),"")))</f>
        <v/>
      </c>
      <c r="N260" t="str">
        <f>IF(M260="","",IF(M260="[FÓRMULA MANUAL]","",IFERROR(AVERAGEIFS(nNOTA,nNIA,M260,nCUENTA,1,nASIG,"Armonía"),"")))</f>
        <v/>
      </c>
      <c r="O260" t="str">
        <f>IF(M260="","",IF(M260="[FÓRMULA MANUAL]","",IFERROR(AVERAGEIFS(nNOTA,nNIA,M260,nCUENTA,1,nASIG,"Orquesta/Banda/Conjunto"),"")))</f>
        <v/>
      </c>
      <c r="P260" t="str">
        <f>IF(M260="","",IF(M260="[FÓRMULA MANUAL]","",IFERROR(AVERAGEIFS(nNOTA,nNIA,M260,nCUENTA,1,nASIG,"Música de Cámara"),"")))</f>
        <v/>
      </c>
      <c r="Q260" t="str">
        <f>IF(M260="","",IF(M260="[FÓRMULA MANUAL]","",IFERROR(SUMPRODUCT((nNIA=M260)*(nCUENTA=1)*(COUNTIF(CONFIG_ASIGNATURAS!$B$7:$B$27,nASIG)&gt;0)*(nNOTA))/SUMPRODUCT((nNIA=M260)*(nCUENTA=1)*(COUNTIF(CONFIG_ASIGNATURAS!$B$7:$B$27,nASIG)&gt;0)*1),"")))</f>
        <v/>
      </c>
      <c r="T260" t="str">
        <f>IF(S260="","",IF(S260="[FÓRMULA MANUAL]","",IFERROR(AVERAGEIFS(nNOTA,nNIA,S260,nCUENTA,1,nASIG,"Armonía"),"")))</f>
        <v/>
      </c>
      <c r="U260" t="str">
        <f>IF(S260="","",IF(S260="[FÓRMULA MANUAL]","",IFERROR(AVERAGEIFS(nNOTA,nNIA,S260,nCUENTA,1,nASIG,"Orquesta/Banda/Conjunto"),"")))</f>
        <v/>
      </c>
      <c r="V260" t="str">
        <f>IF(S260="","",IF(S260="[FÓRMULA MANUAL]","",IFERROR(AVERAGEIFS(nNOTA,nNIA,S260,nCUENTA,1,nASIG,"Música de Cámara"),"")))</f>
        <v/>
      </c>
      <c r="W260" t="str">
        <f>IF(S260="","",IF(S260="[FÓRMULA MANUAL]","",IFERROR(SUMPRODUCT((nNIA=S260)*(nCUENTA=1)*(COUNTIF(CONFIG_ASIGNATURAS!$B$7:$B$27,nASIG)&gt;0)*(nNOTA))/SUMPRODUCT((nNIA=S260)*(nCUENTA=1)*(COUNTIF(CONFIG_ASIGNATURAS!$B$7:$B$27,nASIG)&gt;0)*1),"")))</f>
        <v/>
      </c>
      <c r="Z260" t="str">
        <f>IF(Y260="","",IF(Y260="[FÓRMULA MANUAL]","",IFERROR(AVERAGEIFS(nNOTA,nNIA,Y260,nCUENTA,1,nASIG,"Análisis"),"")))</f>
        <v/>
      </c>
      <c r="AA260" t="str">
        <f>IF(Y260="","",IF(Y260="[FÓRMULA MANUAL]","",IFERROR(AVERAGEIFS(nNOTA,nNIA,Y260,nCUENTA,1,nASIG,"Orquesta/Banda/Conjunto"),"")))</f>
        <v/>
      </c>
      <c r="AB260" t="str">
        <f>IF(Y260="","",IF(Y260="[FÓRMULA MANUAL]","",IFERROR(AVERAGEIFS(nNOTA,nNIA,Y260,nCUENTA,1,nASIG,"Música de Cámara"),"")))</f>
        <v/>
      </c>
      <c r="AC260" t="str">
        <f>IF(Y260="","",IF(Y260="[FÓRMULA MANUAL]","",IFERROR(SUMPRODUCT((nNIA=Y260)*(nCUENTA=1)*(COUNTIF(CONFIG_ASIGNATURAS!$B$7:$B$27,nASIG)&gt;0)*(nNOTA))/SUMPRODUCT((nNIA=Y260)*(nCUENTA=1)*(COUNTIF(CONFIG_ASIGNATURAS!$B$7:$B$27,nASIG)&gt;0)*1),"")))</f>
        <v/>
      </c>
      <c r="AF260" t="str">
        <f>IF(AE260="","",IF(AE260="[FÓRMULA MANUAL]","",IFERROR(AVERAGEIFS(nNOTA,nNIA,AE260,nCUENTA,1,nASIG,"Análisis"),"")))</f>
        <v/>
      </c>
      <c r="AG260" t="str">
        <f>IF(AE260="","",IF(AE260="[FÓRMULA MANUAL]","",IFERROR(AVERAGEIFS(nNOTA,nNIA,AE260,nCUENTA,1,nASIG,"Orquesta/Banda/Conjunto"),"")))</f>
        <v/>
      </c>
      <c r="AH260" t="str">
        <f>IF(AE260="","",IF(AE260="[FÓRMULA MANUAL]","",IFERROR(AVERAGEIFS(nNOTA,nNIA,AE260,nCUENTA,1,nASIG,"Música de Cámara"),"")))</f>
        <v/>
      </c>
      <c r="AI260" t="str">
        <f>IF(AE260="","",IF(AE260="[FÓRMULA MANUAL]","",IFERROR(SUMPRODUCT((nNIA=AE260)*(nCUENTA=1)*(COUNTIF(CONFIG_ASIGNATURAS!$B$7:$B$27,nASIG)&gt;0)*(nNOTA))/SUMPRODUCT((nNIA=AE260)*(nCUENTA=1)*(COUNTIF(CONFIG_ASIGNATURAS!$B$7:$B$27,nASIG)&gt;0)*1),"")))</f>
        <v/>
      </c>
    </row>
    <row r="261" spans="2:35" x14ac:dyDescent="0.2">
      <c r="B261" t="str">
        <f>IF(A261="","",IF(A261="[FÓRMULA MANUAL]","",IFERROR(AVERAGEIFS(nNOTA,nNIA,A261,nCUENTA,1,nASIG,"Lenguaje Musical"),"")))</f>
        <v/>
      </c>
      <c r="C261" t="str">
        <f>IF(A261="","",IF(A261="[FÓRMULA MANUAL]","",IFERROR(AVERAGEIFS(nNOTA,nNIA,A261,nCUENTA,1,nASIG,"Orquesta/Banda/Conjunto"),"")))</f>
        <v/>
      </c>
      <c r="D261" t="str">
        <f>IF(A261="","",IF(A261="[FÓRMULA MANUAL]","",IFERROR(AVERAGEIFS(nNOTA,nNIA,A261,nCUENTA,1,nASIG,"Conjunto"),"")))</f>
        <v/>
      </c>
      <c r="E261" t="str">
        <f>IF(A261="","",IF(A261="[FÓRMULA MANUAL]","",IFERROR(SUMPRODUCT((nNIA=A261)*(nCUENTA=1)*(COUNTIF(CONFIG_ASIGNATURAS!$B$7:$B$27,nASIG)&gt;0)*(nNOTA))/SUMPRODUCT((nNIA=A261)*(nCUENTA=1)*(COUNTIF(CONFIG_ASIGNATURAS!$B$7:$B$27,nASIG)&gt;0)*1),"")))</f>
        <v/>
      </c>
      <c r="H261" t="str">
        <f>IF(G261="","",IF(G261="[FÓRMULA MANUAL]","",IFERROR(AVERAGEIFS(nNOTA,nNIA,G261,nCUENTA,1,nASIG,"Lenguaje Musical"),"")))</f>
        <v/>
      </c>
      <c r="I261" t="str">
        <f>IF(G261="","",IF(G261="[FÓRMULA MANUAL]","",IFERROR(AVERAGEIFS(nNOTA,nNIA,G261,nCUENTA,1,nASIG,"Orquesta/Banda/Conjunto"),"")))</f>
        <v/>
      </c>
      <c r="J261" t="str">
        <f>IF(G261="","",IF(G261="[FÓRMULA MANUAL]","",IFERROR(AVERAGEIFS(nNOTA,nNIA,G261,nCUENTA,1,nASIG,"Conjunto"),"")))</f>
        <v/>
      </c>
      <c r="K261" t="str">
        <f>IF(G261="","",IF(G261="[FÓRMULA MANUAL]","",IFERROR(SUMPRODUCT((nNIA=G261)*(nCUENTA=1)*(COUNTIF(CONFIG_ASIGNATURAS!$B$7:$B$27,nASIG)&gt;0)*(nNOTA))/SUMPRODUCT((nNIA=G261)*(nCUENTA=1)*(COUNTIF(CONFIG_ASIGNATURAS!$B$7:$B$27,nASIG)&gt;0)*1),"")))</f>
        <v/>
      </c>
      <c r="N261" t="str">
        <f>IF(M261="","",IF(M261="[FÓRMULA MANUAL]","",IFERROR(AVERAGEIFS(nNOTA,nNIA,M261,nCUENTA,1,nASIG,"Armonía"),"")))</f>
        <v/>
      </c>
      <c r="O261" t="str">
        <f>IF(M261="","",IF(M261="[FÓRMULA MANUAL]","",IFERROR(AVERAGEIFS(nNOTA,nNIA,M261,nCUENTA,1,nASIG,"Orquesta/Banda/Conjunto"),"")))</f>
        <v/>
      </c>
      <c r="P261" t="str">
        <f>IF(M261="","",IF(M261="[FÓRMULA MANUAL]","",IFERROR(AVERAGEIFS(nNOTA,nNIA,M261,nCUENTA,1,nASIG,"Música de Cámara"),"")))</f>
        <v/>
      </c>
      <c r="Q261" t="str">
        <f>IF(M261="","",IF(M261="[FÓRMULA MANUAL]","",IFERROR(SUMPRODUCT((nNIA=M261)*(nCUENTA=1)*(COUNTIF(CONFIG_ASIGNATURAS!$B$7:$B$27,nASIG)&gt;0)*(nNOTA))/SUMPRODUCT((nNIA=M261)*(nCUENTA=1)*(COUNTIF(CONFIG_ASIGNATURAS!$B$7:$B$27,nASIG)&gt;0)*1),"")))</f>
        <v/>
      </c>
      <c r="T261" t="str">
        <f>IF(S261="","",IF(S261="[FÓRMULA MANUAL]","",IFERROR(AVERAGEIFS(nNOTA,nNIA,S261,nCUENTA,1,nASIG,"Armonía"),"")))</f>
        <v/>
      </c>
      <c r="U261" t="str">
        <f>IF(S261="","",IF(S261="[FÓRMULA MANUAL]","",IFERROR(AVERAGEIFS(nNOTA,nNIA,S261,nCUENTA,1,nASIG,"Orquesta/Banda/Conjunto"),"")))</f>
        <v/>
      </c>
      <c r="V261" t="str">
        <f>IF(S261="","",IF(S261="[FÓRMULA MANUAL]","",IFERROR(AVERAGEIFS(nNOTA,nNIA,S261,nCUENTA,1,nASIG,"Música de Cámara"),"")))</f>
        <v/>
      </c>
      <c r="W261" t="str">
        <f>IF(S261="","",IF(S261="[FÓRMULA MANUAL]","",IFERROR(SUMPRODUCT((nNIA=S261)*(nCUENTA=1)*(COUNTIF(CONFIG_ASIGNATURAS!$B$7:$B$27,nASIG)&gt;0)*(nNOTA))/SUMPRODUCT((nNIA=S261)*(nCUENTA=1)*(COUNTIF(CONFIG_ASIGNATURAS!$B$7:$B$27,nASIG)&gt;0)*1),"")))</f>
        <v/>
      </c>
      <c r="Z261" t="str">
        <f>IF(Y261="","",IF(Y261="[FÓRMULA MANUAL]","",IFERROR(AVERAGEIFS(nNOTA,nNIA,Y261,nCUENTA,1,nASIG,"Análisis"),"")))</f>
        <v/>
      </c>
      <c r="AA261" t="str">
        <f>IF(Y261="","",IF(Y261="[FÓRMULA MANUAL]","",IFERROR(AVERAGEIFS(nNOTA,nNIA,Y261,nCUENTA,1,nASIG,"Orquesta/Banda/Conjunto"),"")))</f>
        <v/>
      </c>
      <c r="AB261" t="str">
        <f>IF(Y261="","",IF(Y261="[FÓRMULA MANUAL]","",IFERROR(AVERAGEIFS(nNOTA,nNIA,Y261,nCUENTA,1,nASIG,"Música de Cámara"),"")))</f>
        <v/>
      </c>
      <c r="AC261" t="str">
        <f>IF(Y261="","",IF(Y261="[FÓRMULA MANUAL]","",IFERROR(SUMPRODUCT((nNIA=Y261)*(nCUENTA=1)*(COUNTIF(CONFIG_ASIGNATURAS!$B$7:$B$27,nASIG)&gt;0)*(nNOTA))/SUMPRODUCT((nNIA=Y261)*(nCUENTA=1)*(COUNTIF(CONFIG_ASIGNATURAS!$B$7:$B$27,nASIG)&gt;0)*1),"")))</f>
        <v/>
      </c>
      <c r="AF261" t="str">
        <f>IF(AE261="","",IF(AE261="[FÓRMULA MANUAL]","",IFERROR(AVERAGEIFS(nNOTA,nNIA,AE261,nCUENTA,1,nASIG,"Análisis"),"")))</f>
        <v/>
      </c>
      <c r="AG261" t="str">
        <f>IF(AE261="","",IF(AE261="[FÓRMULA MANUAL]","",IFERROR(AVERAGEIFS(nNOTA,nNIA,AE261,nCUENTA,1,nASIG,"Orquesta/Banda/Conjunto"),"")))</f>
        <v/>
      </c>
      <c r="AH261" t="str">
        <f>IF(AE261="","",IF(AE261="[FÓRMULA MANUAL]","",IFERROR(AVERAGEIFS(nNOTA,nNIA,AE261,nCUENTA,1,nASIG,"Música de Cámara"),"")))</f>
        <v/>
      </c>
      <c r="AI261" t="str">
        <f>IF(AE261="","",IF(AE261="[FÓRMULA MANUAL]","",IFERROR(SUMPRODUCT((nNIA=AE261)*(nCUENTA=1)*(COUNTIF(CONFIG_ASIGNATURAS!$B$7:$B$27,nASIG)&gt;0)*(nNOTA))/SUMPRODUCT((nNIA=AE261)*(nCUENTA=1)*(COUNTIF(CONFIG_ASIGNATURAS!$B$7:$B$27,nASIG)&gt;0)*1),"")))</f>
        <v/>
      </c>
    </row>
    <row r="262" spans="2:35" x14ac:dyDescent="0.2">
      <c r="B262" t="str">
        <f>IF(A262="","",IF(A262="[FÓRMULA MANUAL]","",IFERROR(AVERAGEIFS(nNOTA,nNIA,A262,nCUENTA,1,nASIG,"Lenguaje Musical"),"")))</f>
        <v/>
      </c>
      <c r="C262" t="str">
        <f>IF(A262="","",IF(A262="[FÓRMULA MANUAL]","",IFERROR(AVERAGEIFS(nNOTA,nNIA,A262,nCUENTA,1,nASIG,"Orquesta/Banda/Conjunto"),"")))</f>
        <v/>
      </c>
      <c r="D262" t="str">
        <f>IF(A262="","",IF(A262="[FÓRMULA MANUAL]","",IFERROR(AVERAGEIFS(nNOTA,nNIA,A262,nCUENTA,1,nASIG,"Conjunto"),"")))</f>
        <v/>
      </c>
      <c r="E262" t="str">
        <f>IF(A262="","",IF(A262="[FÓRMULA MANUAL]","",IFERROR(SUMPRODUCT((nNIA=A262)*(nCUENTA=1)*(COUNTIF(CONFIG_ASIGNATURAS!$B$7:$B$27,nASIG)&gt;0)*(nNOTA))/SUMPRODUCT((nNIA=A262)*(nCUENTA=1)*(COUNTIF(CONFIG_ASIGNATURAS!$B$7:$B$27,nASIG)&gt;0)*1),"")))</f>
        <v/>
      </c>
      <c r="H262" t="str">
        <f>IF(G262="","",IF(G262="[FÓRMULA MANUAL]","",IFERROR(AVERAGEIFS(nNOTA,nNIA,G262,nCUENTA,1,nASIG,"Lenguaje Musical"),"")))</f>
        <v/>
      </c>
      <c r="I262" t="str">
        <f>IF(G262="","",IF(G262="[FÓRMULA MANUAL]","",IFERROR(AVERAGEIFS(nNOTA,nNIA,G262,nCUENTA,1,nASIG,"Orquesta/Banda/Conjunto"),"")))</f>
        <v/>
      </c>
      <c r="J262" t="str">
        <f>IF(G262="","",IF(G262="[FÓRMULA MANUAL]","",IFERROR(AVERAGEIFS(nNOTA,nNIA,G262,nCUENTA,1,nASIG,"Conjunto"),"")))</f>
        <v/>
      </c>
      <c r="K262" t="str">
        <f>IF(G262="","",IF(G262="[FÓRMULA MANUAL]","",IFERROR(SUMPRODUCT((nNIA=G262)*(nCUENTA=1)*(COUNTIF(CONFIG_ASIGNATURAS!$B$7:$B$27,nASIG)&gt;0)*(nNOTA))/SUMPRODUCT((nNIA=G262)*(nCUENTA=1)*(COUNTIF(CONFIG_ASIGNATURAS!$B$7:$B$27,nASIG)&gt;0)*1),"")))</f>
        <v/>
      </c>
      <c r="N262" t="str">
        <f>IF(M262="","",IF(M262="[FÓRMULA MANUAL]","",IFERROR(AVERAGEIFS(nNOTA,nNIA,M262,nCUENTA,1,nASIG,"Armonía"),"")))</f>
        <v/>
      </c>
      <c r="O262" t="str">
        <f>IF(M262="","",IF(M262="[FÓRMULA MANUAL]","",IFERROR(AVERAGEIFS(nNOTA,nNIA,M262,nCUENTA,1,nASIG,"Orquesta/Banda/Conjunto"),"")))</f>
        <v/>
      </c>
      <c r="P262" t="str">
        <f>IF(M262="","",IF(M262="[FÓRMULA MANUAL]","",IFERROR(AVERAGEIFS(nNOTA,nNIA,M262,nCUENTA,1,nASIG,"Música de Cámara"),"")))</f>
        <v/>
      </c>
      <c r="Q262" t="str">
        <f>IF(M262="","",IF(M262="[FÓRMULA MANUAL]","",IFERROR(SUMPRODUCT((nNIA=M262)*(nCUENTA=1)*(COUNTIF(CONFIG_ASIGNATURAS!$B$7:$B$27,nASIG)&gt;0)*(nNOTA))/SUMPRODUCT((nNIA=M262)*(nCUENTA=1)*(COUNTIF(CONFIG_ASIGNATURAS!$B$7:$B$27,nASIG)&gt;0)*1),"")))</f>
        <v/>
      </c>
      <c r="T262" t="str">
        <f>IF(S262="","",IF(S262="[FÓRMULA MANUAL]","",IFERROR(AVERAGEIFS(nNOTA,nNIA,S262,nCUENTA,1,nASIG,"Armonía"),"")))</f>
        <v/>
      </c>
      <c r="U262" t="str">
        <f>IF(S262="","",IF(S262="[FÓRMULA MANUAL]","",IFERROR(AVERAGEIFS(nNOTA,nNIA,S262,nCUENTA,1,nASIG,"Orquesta/Banda/Conjunto"),"")))</f>
        <v/>
      </c>
      <c r="V262" t="str">
        <f>IF(S262="","",IF(S262="[FÓRMULA MANUAL]","",IFERROR(AVERAGEIFS(nNOTA,nNIA,S262,nCUENTA,1,nASIG,"Música de Cámara"),"")))</f>
        <v/>
      </c>
      <c r="W262" t="str">
        <f>IF(S262="","",IF(S262="[FÓRMULA MANUAL]","",IFERROR(SUMPRODUCT((nNIA=S262)*(nCUENTA=1)*(COUNTIF(CONFIG_ASIGNATURAS!$B$7:$B$27,nASIG)&gt;0)*(nNOTA))/SUMPRODUCT((nNIA=S262)*(nCUENTA=1)*(COUNTIF(CONFIG_ASIGNATURAS!$B$7:$B$27,nASIG)&gt;0)*1),"")))</f>
        <v/>
      </c>
      <c r="Z262" t="str">
        <f>IF(Y262="","",IF(Y262="[FÓRMULA MANUAL]","",IFERROR(AVERAGEIFS(nNOTA,nNIA,Y262,nCUENTA,1,nASIG,"Análisis"),"")))</f>
        <v/>
      </c>
      <c r="AA262" t="str">
        <f>IF(Y262="","",IF(Y262="[FÓRMULA MANUAL]","",IFERROR(AVERAGEIFS(nNOTA,nNIA,Y262,nCUENTA,1,nASIG,"Orquesta/Banda/Conjunto"),"")))</f>
        <v/>
      </c>
      <c r="AB262" t="str">
        <f>IF(Y262="","",IF(Y262="[FÓRMULA MANUAL]","",IFERROR(AVERAGEIFS(nNOTA,nNIA,Y262,nCUENTA,1,nASIG,"Música de Cámara"),"")))</f>
        <v/>
      </c>
      <c r="AC262" t="str">
        <f>IF(Y262="","",IF(Y262="[FÓRMULA MANUAL]","",IFERROR(SUMPRODUCT((nNIA=Y262)*(nCUENTA=1)*(COUNTIF(CONFIG_ASIGNATURAS!$B$7:$B$27,nASIG)&gt;0)*(nNOTA))/SUMPRODUCT((nNIA=Y262)*(nCUENTA=1)*(COUNTIF(CONFIG_ASIGNATURAS!$B$7:$B$27,nASIG)&gt;0)*1),"")))</f>
        <v/>
      </c>
      <c r="AF262" t="str">
        <f>IF(AE262="","",IF(AE262="[FÓRMULA MANUAL]","",IFERROR(AVERAGEIFS(nNOTA,nNIA,AE262,nCUENTA,1,nASIG,"Análisis"),"")))</f>
        <v/>
      </c>
      <c r="AG262" t="str">
        <f>IF(AE262="","",IF(AE262="[FÓRMULA MANUAL]","",IFERROR(AVERAGEIFS(nNOTA,nNIA,AE262,nCUENTA,1,nASIG,"Orquesta/Banda/Conjunto"),"")))</f>
        <v/>
      </c>
      <c r="AH262" t="str">
        <f>IF(AE262="","",IF(AE262="[FÓRMULA MANUAL]","",IFERROR(AVERAGEIFS(nNOTA,nNIA,AE262,nCUENTA,1,nASIG,"Música de Cámara"),"")))</f>
        <v/>
      </c>
      <c r="AI262" t="str">
        <f>IF(AE262="","",IF(AE262="[FÓRMULA MANUAL]","",IFERROR(SUMPRODUCT((nNIA=AE262)*(nCUENTA=1)*(COUNTIF(CONFIG_ASIGNATURAS!$B$7:$B$27,nASIG)&gt;0)*(nNOTA))/SUMPRODUCT((nNIA=AE262)*(nCUENTA=1)*(COUNTIF(CONFIG_ASIGNATURAS!$B$7:$B$27,nASIG)&gt;0)*1),"")))</f>
        <v/>
      </c>
    </row>
    <row r="263" spans="2:35" x14ac:dyDescent="0.2">
      <c r="B263" t="str">
        <f>IF(A263="","",IF(A263="[FÓRMULA MANUAL]","",IFERROR(AVERAGEIFS(nNOTA,nNIA,A263,nCUENTA,1,nASIG,"Lenguaje Musical"),"")))</f>
        <v/>
      </c>
      <c r="C263" t="str">
        <f>IF(A263="","",IF(A263="[FÓRMULA MANUAL]","",IFERROR(AVERAGEIFS(nNOTA,nNIA,A263,nCUENTA,1,nASIG,"Orquesta/Banda/Conjunto"),"")))</f>
        <v/>
      </c>
      <c r="D263" t="str">
        <f>IF(A263="","",IF(A263="[FÓRMULA MANUAL]","",IFERROR(AVERAGEIFS(nNOTA,nNIA,A263,nCUENTA,1,nASIG,"Conjunto"),"")))</f>
        <v/>
      </c>
      <c r="E263" t="str">
        <f>IF(A263="","",IF(A263="[FÓRMULA MANUAL]","",IFERROR(SUMPRODUCT((nNIA=A263)*(nCUENTA=1)*(COUNTIF(CONFIG_ASIGNATURAS!$B$7:$B$27,nASIG)&gt;0)*(nNOTA))/SUMPRODUCT((nNIA=A263)*(nCUENTA=1)*(COUNTIF(CONFIG_ASIGNATURAS!$B$7:$B$27,nASIG)&gt;0)*1),"")))</f>
        <v/>
      </c>
      <c r="H263" t="str">
        <f>IF(G263="","",IF(G263="[FÓRMULA MANUAL]","",IFERROR(AVERAGEIFS(nNOTA,nNIA,G263,nCUENTA,1,nASIG,"Lenguaje Musical"),"")))</f>
        <v/>
      </c>
      <c r="I263" t="str">
        <f>IF(G263="","",IF(G263="[FÓRMULA MANUAL]","",IFERROR(AVERAGEIFS(nNOTA,nNIA,G263,nCUENTA,1,nASIG,"Orquesta/Banda/Conjunto"),"")))</f>
        <v/>
      </c>
      <c r="J263" t="str">
        <f>IF(G263="","",IF(G263="[FÓRMULA MANUAL]","",IFERROR(AVERAGEIFS(nNOTA,nNIA,G263,nCUENTA,1,nASIG,"Conjunto"),"")))</f>
        <v/>
      </c>
      <c r="K263" t="str">
        <f>IF(G263="","",IF(G263="[FÓRMULA MANUAL]","",IFERROR(SUMPRODUCT((nNIA=G263)*(nCUENTA=1)*(COUNTIF(CONFIG_ASIGNATURAS!$B$7:$B$27,nASIG)&gt;0)*(nNOTA))/SUMPRODUCT((nNIA=G263)*(nCUENTA=1)*(COUNTIF(CONFIG_ASIGNATURAS!$B$7:$B$27,nASIG)&gt;0)*1),"")))</f>
        <v/>
      </c>
      <c r="N263" t="str">
        <f>IF(M263="","",IF(M263="[FÓRMULA MANUAL]","",IFERROR(AVERAGEIFS(nNOTA,nNIA,M263,nCUENTA,1,nASIG,"Armonía"),"")))</f>
        <v/>
      </c>
      <c r="O263" t="str">
        <f>IF(M263="","",IF(M263="[FÓRMULA MANUAL]","",IFERROR(AVERAGEIFS(nNOTA,nNIA,M263,nCUENTA,1,nASIG,"Orquesta/Banda/Conjunto"),"")))</f>
        <v/>
      </c>
      <c r="P263" t="str">
        <f>IF(M263="","",IF(M263="[FÓRMULA MANUAL]","",IFERROR(AVERAGEIFS(nNOTA,nNIA,M263,nCUENTA,1,nASIG,"Música de Cámara"),"")))</f>
        <v/>
      </c>
      <c r="Q263" t="str">
        <f>IF(M263="","",IF(M263="[FÓRMULA MANUAL]","",IFERROR(SUMPRODUCT((nNIA=M263)*(nCUENTA=1)*(COUNTIF(CONFIG_ASIGNATURAS!$B$7:$B$27,nASIG)&gt;0)*(nNOTA))/SUMPRODUCT((nNIA=M263)*(nCUENTA=1)*(COUNTIF(CONFIG_ASIGNATURAS!$B$7:$B$27,nASIG)&gt;0)*1),"")))</f>
        <v/>
      </c>
      <c r="T263" t="str">
        <f>IF(S263="","",IF(S263="[FÓRMULA MANUAL]","",IFERROR(AVERAGEIFS(nNOTA,nNIA,S263,nCUENTA,1,nASIG,"Armonía"),"")))</f>
        <v/>
      </c>
      <c r="U263" t="str">
        <f>IF(S263="","",IF(S263="[FÓRMULA MANUAL]","",IFERROR(AVERAGEIFS(nNOTA,nNIA,S263,nCUENTA,1,nASIG,"Orquesta/Banda/Conjunto"),"")))</f>
        <v/>
      </c>
      <c r="V263" t="str">
        <f>IF(S263="","",IF(S263="[FÓRMULA MANUAL]","",IFERROR(AVERAGEIFS(nNOTA,nNIA,S263,nCUENTA,1,nASIG,"Música de Cámara"),"")))</f>
        <v/>
      </c>
      <c r="W263" t="str">
        <f>IF(S263="","",IF(S263="[FÓRMULA MANUAL]","",IFERROR(SUMPRODUCT((nNIA=S263)*(nCUENTA=1)*(COUNTIF(CONFIG_ASIGNATURAS!$B$7:$B$27,nASIG)&gt;0)*(nNOTA))/SUMPRODUCT((nNIA=S263)*(nCUENTA=1)*(COUNTIF(CONFIG_ASIGNATURAS!$B$7:$B$27,nASIG)&gt;0)*1),"")))</f>
        <v/>
      </c>
      <c r="Z263" t="str">
        <f>IF(Y263="","",IF(Y263="[FÓRMULA MANUAL]","",IFERROR(AVERAGEIFS(nNOTA,nNIA,Y263,nCUENTA,1,nASIG,"Análisis"),"")))</f>
        <v/>
      </c>
      <c r="AA263" t="str">
        <f>IF(Y263="","",IF(Y263="[FÓRMULA MANUAL]","",IFERROR(AVERAGEIFS(nNOTA,nNIA,Y263,nCUENTA,1,nASIG,"Orquesta/Banda/Conjunto"),"")))</f>
        <v/>
      </c>
      <c r="AB263" t="str">
        <f>IF(Y263="","",IF(Y263="[FÓRMULA MANUAL]","",IFERROR(AVERAGEIFS(nNOTA,nNIA,Y263,nCUENTA,1,nASIG,"Música de Cámara"),"")))</f>
        <v/>
      </c>
      <c r="AC263" t="str">
        <f>IF(Y263="","",IF(Y263="[FÓRMULA MANUAL]","",IFERROR(SUMPRODUCT((nNIA=Y263)*(nCUENTA=1)*(COUNTIF(CONFIG_ASIGNATURAS!$B$7:$B$27,nASIG)&gt;0)*(nNOTA))/SUMPRODUCT((nNIA=Y263)*(nCUENTA=1)*(COUNTIF(CONFIG_ASIGNATURAS!$B$7:$B$27,nASIG)&gt;0)*1),"")))</f>
        <v/>
      </c>
      <c r="AF263" t="str">
        <f>IF(AE263="","",IF(AE263="[FÓRMULA MANUAL]","",IFERROR(AVERAGEIFS(nNOTA,nNIA,AE263,nCUENTA,1,nASIG,"Análisis"),"")))</f>
        <v/>
      </c>
      <c r="AG263" t="str">
        <f>IF(AE263="","",IF(AE263="[FÓRMULA MANUAL]","",IFERROR(AVERAGEIFS(nNOTA,nNIA,AE263,nCUENTA,1,nASIG,"Orquesta/Banda/Conjunto"),"")))</f>
        <v/>
      </c>
      <c r="AH263" t="str">
        <f>IF(AE263="","",IF(AE263="[FÓRMULA MANUAL]","",IFERROR(AVERAGEIFS(nNOTA,nNIA,AE263,nCUENTA,1,nASIG,"Música de Cámara"),"")))</f>
        <v/>
      </c>
      <c r="AI263" t="str">
        <f>IF(AE263="","",IF(AE263="[FÓRMULA MANUAL]","",IFERROR(SUMPRODUCT((nNIA=AE263)*(nCUENTA=1)*(COUNTIF(CONFIG_ASIGNATURAS!$B$7:$B$27,nASIG)&gt;0)*(nNOTA))/SUMPRODUCT((nNIA=AE263)*(nCUENTA=1)*(COUNTIF(CONFIG_ASIGNATURAS!$B$7:$B$27,nASIG)&gt;0)*1),"")))</f>
        <v/>
      </c>
    </row>
    <row r="264" spans="2:35" x14ac:dyDescent="0.2">
      <c r="B264" t="str">
        <f>IF(A264="","",IF(A264="[FÓRMULA MANUAL]","",IFERROR(AVERAGEIFS(nNOTA,nNIA,A264,nCUENTA,1,nASIG,"Lenguaje Musical"),"")))</f>
        <v/>
      </c>
      <c r="C264" t="str">
        <f>IF(A264="","",IF(A264="[FÓRMULA MANUAL]","",IFERROR(AVERAGEIFS(nNOTA,nNIA,A264,nCUENTA,1,nASIG,"Orquesta/Banda/Conjunto"),"")))</f>
        <v/>
      </c>
      <c r="D264" t="str">
        <f>IF(A264="","",IF(A264="[FÓRMULA MANUAL]","",IFERROR(AVERAGEIFS(nNOTA,nNIA,A264,nCUENTA,1,nASIG,"Conjunto"),"")))</f>
        <v/>
      </c>
      <c r="E264" t="str">
        <f>IF(A264="","",IF(A264="[FÓRMULA MANUAL]","",IFERROR(SUMPRODUCT((nNIA=A264)*(nCUENTA=1)*(COUNTIF(CONFIG_ASIGNATURAS!$B$7:$B$27,nASIG)&gt;0)*(nNOTA))/SUMPRODUCT((nNIA=A264)*(nCUENTA=1)*(COUNTIF(CONFIG_ASIGNATURAS!$B$7:$B$27,nASIG)&gt;0)*1),"")))</f>
        <v/>
      </c>
      <c r="H264" t="str">
        <f>IF(G264="","",IF(G264="[FÓRMULA MANUAL]","",IFERROR(AVERAGEIFS(nNOTA,nNIA,G264,nCUENTA,1,nASIG,"Lenguaje Musical"),"")))</f>
        <v/>
      </c>
      <c r="I264" t="str">
        <f>IF(G264="","",IF(G264="[FÓRMULA MANUAL]","",IFERROR(AVERAGEIFS(nNOTA,nNIA,G264,nCUENTA,1,nASIG,"Orquesta/Banda/Conjunto"),"")))</f>
        <v/>
      </c>
      <c r="J264" t="str">
        <f>IF(G264="","",IF(G264="[FÓRMULA MANUAL]","",IFERROR(AVERAGEIFS(nNOTA,nNIA,G264,nCUENTA,1,nASIG,"Conjunto"),"")))</f>
        <v/>
      </c>
      <c r="K264" t="str">
        <f>IF(G264="","",IF(G264="[FÓRMULA MANUAL]","",IFERROR(SUMPRODUCT((nNIA=G264)*(nCUENTA=1)*(COUNTIF(CONFIG_ASIGNATURAS!$B$7:$B$27,nASIG)&gt;0)*(nNOTA))/SUMPRODUCT((nNIA=G264)*(nCUENTA=1)*(COUNTIF(CONFIG_ASIGNATURAS!$B$7:$B$27,nASIG)&gt;0)*1),"")))</f>
        <v/>
      </c>
      <c r="N264" t="str">
        <f>IF(M264="","",IF(M264="[FÓRMULA MANUAL]","",IFERROR(AVERAGEIFS(nNOTA,nNIA,M264,nCUENTA,1,nASIG,"Armonía"),"")))</f>
        <v/>
      </c>
      <c r="O264" t="str">
        <f>IF(M264="","",IF(M264="[FÓRMULA MANUAL]","",IFERROR(AVERAGEIFS(nNOTA,nNIA,M264,nCUENTA,1,nASIG,"Orquesta/Banda/Conjunto"),"")))</f>
        <v/>
      </c>
      <c r="P264" t="str">
        <f>IF(M264="","",IF(M264="[FÓRMULA MANUAL]","",IFERROR(AVERAGEIFS(nNOTA,nNIA,M264,nCUENTA,1,nASIG,"Música de Cámara"),"")))</f>
        <v/>
      </c>
      <c r="Q264" t="str">
        <f>IF(M264="","",IF(M264="[FÓRMULA MANUAL]","",IFERROR(SUMPRODUCT((nNIA=M264)*(nCUENTA=1)*(COUNTIF(CONFIG_ASIGNATURAS!$B$7:$B$27,nASIG)&gt;0)*(nNOTA))/SUMPRODUCT((nNIA=M264)*(nCUENTA=1)*(COUNTIF(CONFIG_ASIGNATURAS!$B$7:$B$27,nASIG)&gt;0)*1),"")))</f>
        <v/>
      </c>
      <c r="T264" t="str">
        <f>IF(S264="","",IF(S264="[FÓRMULA MANUAL]","",IFERROR(AVERAGEIFS(nNOTA,nNIA,S264,nCUENTA,1,nASIG,"Armonía"),"")))</f>
        <v/>
      </c>
      <c r="U264" t="str">
        <f>IF(S264="","",IF(S264="[FÓRMULA MANUAL]","",IFERROR(AVERAGEIFS(nNOTA,nNIA,S264,nCUENTA,1,nASIG,"Orquesta/Banda/Conjunto"),"")))</f>
        <v/>
      </c>
      <c r="V264" t="str">
        <f>IF(S264="","",IF(S264="[FÓRMULA MANUAL]","",IFERROR(AVERAGEIFS(nNOTA,nNIA,S264,nCUENTA,1,nASIG,"Música de Cámara"),"")))</f>
        <v/>
      </c>
      <c r="W264" t="str">
        <f>IF(S264="","",IF(S264="[FÓRMULA MANUAL]","",IFERROR(SUMPRODUCT((nNIA=S264)*(nCUENTA=1)*(COUNTIF(CONFIG_ASIGNATURAS!$B$7:$B$27,nASIG)&gt;0)*(nNOTA))/SUMPRODUCT((nNIA=S264)*(nCUENTA=1)*(COUNTIF(CONFIG_ASIGNATURAS!$B$7:$B$27,nASIG)&gt;0)*1),"")))</f>
        <v/>
      </c>
      <c r="Z264" t="str">
        <f>IF(Y264="","",IF(Y264="[FÓRMULA MANUAL]","",IFERROR(AVERAGEIFS(nNOTA,nNIA,Y264,nCUENTA,1,nASIG,"Análisis"),"")))</f>
        <v/>
      </c>
      <c r="AA264" t="str">
        <f>IF(Y264="","",IF(Y264="[FÓRMULA MANUAL]","",IFERROR(AVERAGEIFS(nNOTA,nNIA,Y264,nCUENTA,1,nASIG,"Orquesta/Banda/Conjunto"),"")))</f>
        <v/>
      </c>
      <c r="AB264" t="str">
        <f>IF(Y264="","",IF(Y264="[FÓRMULA MANUAL]","",IFERROR(AVERAGEIFS(nNOTA,nNIA,Y264,nCUENTA,1,nASIG,"Música de Cámara"),"")))</f>
        <v/>
      </c>
      <c r="AC264" t="str">
        <f>IF(Y264="","",IF(Y264="[FÓRMULA MANUAL]","",IFERROR(SUMPRODUCT((nNIA=Y264)*(nCUENTA=1)*(COUNTIF(CONFIG_ASIGNATURAS!$B$7:$B$27,nASIG)&gt;0)*(nNOTA))/SUMPRODUCT((nNIA=Y264)*(nCUENTA=1)*(COUNTIF(CONFIG_ASIGNATURAS!$B$7:$B$27,nASIG)&gt;0)*1),"")))</f>
        <v/>
      </c>
      <c r="AF264" t="str">
        <f>IF(AE264="","",IF(AE264="[FÓRMULA MANUAL]","",IFERROR(AVERAGEIFS(nNOTA,nNIA,AE264,nCUENTA,1,nASIG,"Análisis"),"")))</f>
        <v/>
      </c>
      <c r="AG264" t="str">
        <f>IF(AE264="","",IF(AE264="[FÓRMULA MANUAL]","",IFERROR(AVERAGEIFS(nNOTA,nNIA,AE264,nCUENTA,1,nASIG,"Orquesta/Banda/Conjunto"),"")))</f>
        <v/>
      </c>
      <c r="AH264" t="str">
        <f>IF(AE264="","",IF(AE264="[FÓRMULA MANUAL]","",IFERROR(AVERAGEIFS(nNOTA,nNIA,AE264,nCUENTA,1,nASIG,"Música de Cámara"),"")))</f>
        <v/>
      </c>
      <c r="AI264" t="str">
        <f>IF(AE264="","",IF(AE264="[FÓRMULA MANUAL]","",IFERROR(SUMPRODUCT((nNIA=AE264)*(nCUENTA=1)*(COUNTIF(CONFIG_ASIGNATURAS!$B$7:$B$27,nASIG)&gt;0)*(nNOTA))/SUMPRODUCT((nNIA=AE264)*(nCUENTA=1)*(COUNTIF(CONFIG_ASIGNATURAS!$B$7:$B$27,nASIG)&gt;0)*1),"")))</f>
        <v/>
      </c>
    </row>
    <row r="265" spans="2:35" x14ac:dyDescent="0.2">
      <c r="B265" t="str">
        <f>IF(A265="","",IF(A265="[FÓRMULA MANUAL]","",IFERROR(AVERAGEIFS(nNOTA,nNIA,A265,nCUENTA,1,nASIG,"Lenguaje Musical"),"")))</f>
        <v/>
      </c>
      <c r="C265" t="str">
        <f>IF(A265="","",IF(A265="[FÓRMULA MANUAL]","",IFERROR(AVERAGEIFS(nNOTA,nNIA,A265,nCUENTA,1,nASIG,"Orquesta/Banda/Conjunto"),"")))</f>
        <v/>
      </c>
      <c r="D265" t="str">
        <f>IF(A265="","",IF(A265="[FÓRMULA MANUAL]","",IFERROR(AVERAGEIFS(nNOTA,nNIA,A265,nCUENTA,1,nASIG,"Conjunto"),"")))</f>
        <v/>
      </c>
      <c r="E265" t="str">
        <f>IF(A265="","",IF(A265="[FÓRMULA MANUAL]","",IFERROR(SUMPRODUCT((nNIA=A265)*(nCUENTA=1)*(COUNTIF(CONFIG_ASIGNATURAS!$B$7:$B$27,nASIG)&gt;0)*(nNOTA))/SUMPRODUCT((nNIA=A265)*(nCUENTA=1)*(COUNTIF(CONFIG_ASIGNATURAS!$B$7:$B$27,nASIG)&gt;0)*1),"")))</f>
        <v/>
      </c>
      <c r="H265" t="str">
        <f>IF(G265="","",IF(G265="[FÓRMULA MANUAL]","",IFERROR(AVERAGEIFS(nNOTA,nNIA,G265,nCUENTA,1,nASIG,"Lenguaje Musical"),"")))</f>
        <v/>
      </c>
      <c r="I265" t="str">
        <f>IF(G265="","",IF(G265="[FÓRMULA MANUAL]","",IFERROR(AVERAGEIFS(nNOTA,nNIA,G265,nCUENTA,1,nASIG,"Orquesta/Banda/Conjunto"),"")))</f>
        <v/>
      </c>
      <c r="J265" t="str">
        <f>IF(G265="","",IF(G265="[FÓRMULA MANUAL]","",IFERROR(AVERAGEIFS(nNOTA,nNIA,G265,nCUENTA,1,nASIG,"Conjunto"),"")))</f>
        <v/>
      </c>
      <c r="K265" t="str">
        <f>IF(G265="","",IF(G265="[FÓRMULA MANUAL]","",IFERROR(SUMPRODUCT((nNIA=G265)*(nCUENTA=1)*(COUNTIF(CONFIG_ASIGNATURAS!$B$7:$B$27,nASIG)&gt;0)*(nNOTA))/SUMPRODUCT((nNIA=G265)*(nCUENTA=1)*(COUNTIF(CONFIG_ASIGNATURAS!$B$7:$B$27,nASIG)&gt;0)*1),"")))</f>
        <v/>
      </c>
      <c r="N265" t="str">
        <f>IF(M265="","",IF(M265="[FÓRMULA MANUAL]","",IFERROR(AVERAGEIFS(nNOTA,nNIA,M265,nCUENTA,1,nASIG,"Armonía"),"")))</f>
        <v/>
      </c>
      <c r="O265" t="str">
        <f>IF(M265="","",IF(M265="[FÓRMULA MANUAL]","",IFERROR(AVERAGEIFS(nNOTA,nNIA,M265,nCUENTA,1,nASIG,"Orquesta/Banda/Conjunto"),"")))</f>
        <v/>
      </c>
      <c r="P265" t="str">
        <f>IF(M265="","",IF(M265="[FÓRMULA MANUAL]","",IFERROR(AVERAGEIFS(nNOTA,nNIA,M265,nCUENTA,1,nASIG,"Música de Cámara"),"")))</f>
        <v/>
      </c>
      <c r="Q265" t="str">
        <f>IF(M265="","",IF(M265="[FÓRMULA MANUAL]","",IFERROR(SUMPRODUCT((nNIA=M265)*(nCUENTA=1)*(COUNTIF(CONFIG_ASIGNATURAS!$B$7:$B$27,nASIG)&gt;0)*(nNOTA))/SUMPRODUCT((nNIA=M265)*(nCUENTA=1)*(COUNTIF(CONFIG_ASIGNATURAS!$B$7:$B$27,nASIG)&gt;0)*1),"")))</f>
        <v/>
      </c>
      <c r="T265" t="str">
        <f>IF(S265="","",IF(S265="[FÓRMULA MANUAL]","",IFERROR(AVERAGEIFS(nNOTA,nNIA,S265,nCUENTA,1,nASIG,"Armonía"),"")))</f>
        <v/>
      </c>
      <c r="U265" t="str">
        <f>IF(S265="","",IF(S265="[FÓRMULA MANUAL]","",IFERROR(AVERAGEIFS(nNOTA,nNIA,S265,nCUENTA,1,nASIG,"Orquesta/Banda/Conjunto"),"")))</f>
        <v/>
      </c>
      <c r="V265" t="str">
        <f>IF(S265="","",IF(S265="[FÓRMULA MANUAL]","",IFERROR(AVERAGEIFS(nNOTA,nNIA,S265,nCUENTA,1,nASIG,"Música de Cámara"),"")))</f>
        <v/>
      </c>
      <c r="W265" t="str">
        <f>IF(S265="","",IF(S265="[FÓRMULA MANUAL]","",IFERROR(SUMPRODUCT((nNIA=S265)*(nCUENTA=1)*(COUNTIF(CONFIG_ASIGNATURAS!$B$7:$B$27,nASIG)&gt;0)*(nNOTA))/SUMPRODUCT((nNIA=S265)*(nCUENTA=1)*(COUNTIF(CONFIG_ASIGNATURAS!$B$7:$B$27,nASIG)&gt;0)*1),"")))</f>
        <v/>
      </c>
      <c r="Z265" t="str">
        <f>IF(Y265="","",IF(Y265="[FÓRMULA MANUAL]","",IFERROR(AVERAGEIFS(nNOTA,nNIA,Y265,nCUENTA,1,nASIG,"Análisis"),"")))</f>
        <v/>
      </c>
      <c r="AA265" t="str">
        <f>IF(Y265="","",IF(Y265="[FÓRMULA MANUAL]","",IFERROR(AVERAGEIFS(nNOTA,nNIA,Y265,nCUENTA,1,nASIG,"Orquesta/Banda/Conjunto"),"")))</f>
        <v/>
      </c>
      <c r="AB265" t="str">
        <f>IF(Y265="","",IF(Y265="[FÓRMULA MANUAL]","",IFERROR(AVERAGEIFS(nNOTA,nNIA,Y265,nCUENTA,1,nASIG,"Música de Cámara"),"")))</f>
        <v/>
      </c>
      <c r="AC265" t="str">
        <f>IF(Y265="","",IF(Y265="[FÓRMULA MANUAL]","",IFERROR(SUMPRODUCT((nNIA=Y265)*(nCUENTA=1)*(COUNTIF(CONFIG_ASIGNATURAS!$B$7:$B$27,nASIG)&gt;0)*(nNOTA))/SUMPRODUCT((nNIA=Y265)*(nCUENTA=1)*(COUNTIF(CONFIG_ASIGNATURAS!$B$7:$B$27,nASIG)&gt;0)*1),"")))</f>
        <v/>
      </c>
      <c r="AF265" t="str">
        <f>IF(AE265="","",IF(AE265="[FÓRMULA MANUAL]","",IFERROR(AVERAGEIFS(nNOTA,nNIA,AE265,nCUENTA,1,nASIG,"Análisis"),"")))</f>
        <v/>
      </c>
      <c r="AG265" t="str">
        <f>IF(AE265="","",IF(AE265="[FÓRMULA MANUAL]","",IFERROR(AVERAGEIFS(nNOTA,nNIA,AE265,nCUENTA,1,nASIG,"Orquesta/Banda/Conjunto"),"")))</f>
        <v/>
      </c>
      <c r="AH265" t="str">
        <f>IF(AE265="","",IF(AE265="[FÓRMULA MANUAL]","",IFERROR(AVERAGEIFS(nNOTA,nNIA,AE265,nCUENTA,1,nASIG,"Música de Cámara"),"")))</f>
        <v/>
      </c>
      <c r="AI265" t="str">
        <f>IF(AE265="","",IF(AE265="[FÓRMULA MANUAL]","",IFERROR(SUMPRODUCT((nNIA=AE265)*(nCUENTA=1)*(COUNTIF(CONFIG_ASIGNATURAS!$B$7:$B$27,nASIG)&gt;0)*(nNOTA))/SUMPRODUCT((nNIA=AE265)*(nCUENTA=1)*(COUNTIF(CONFIG_ASIGNATURAS!$B$7:$B$27,nASIG)&gt;0)*1),"")))</f>
        <v/>
      </c>
    </row>
    <row r="266" spans="2:35" x14ac:dyDescent="0.2">
      <c r="B266" t="str">
        <f>IF(A266="","",IF(A266="[FÓRMULA MANUAL]","",IFERROR(AVERAGEIFS(nNOTA,nNIA,A266,nCUENTA,1,nASIG,"Lenguaje Musical"),"")))</f>
        <v/>
      </c>
      <c r="C266" t="str">
        <f>IF(A266="","",IF(A266="[FÓRMULA MANUAL]","",IFERROR(AVERAGEIFS(nNOTA,nNIA,A266,nCUENTA,1,nASIG,"Orquesta/Banda/Conjunto"),"")))</f>
        <v/>
      </c>
      <c r="D266" t="str">
        <f>IF(A266="","",IF(A266="[FÓRMULA MANUAL]","",IFERROR(AVERAGEIFS(nNOTA,nNIA,A266,nCUENTA,1,nASIG,"Conjunto"),"")))</f>
        <v/>
      </c>
      <c r="E266" t="str">
        <f>IF(A266="","",IF(A266="[FÓRMULA MANUAL]","",IFERROR(SUMPRODUCT((nNIA=A266)*(nCUENTA=1)*(COUNTIF(CONFIG_ASIGNATURAS!$B$7:$B$27,nASIG)&gt;0)*(nNOTA))/SUMPRODUCT((nNIA=A266)*(nCUENTA=1)*(COUNTIF(CONFIG_ASIGNATURAS!$B$7:$B$27,nASIG)&gt;0)*1),"")))</f>
        <v/>
      </c>
      <c r="H266" t="str">
        <f>IF(G266="","",IF(G266="[FÓRMULA MANUAL]","",IFERROR(AVERAGEIFS(nNOTA,nNIA,G266,nCUENTA,1,nASIG,"Lenguaje Musical"),"")))</f>
        <v/>
      </c>
      <c r="I266" t="str">
        <f>IF(G266="","",IF(G266="[FÓRMULA MANUAL]","",IFERROR(AVERAGEIFS(nNOTA,nNIA,G266,nCUENTA,1,nASIG,"Orquesta/Banda/Conjunto"),"")))</f>
        <v/>
      </c>
      <c r="J266" t="str">
        <f>IF(G266="","",IF(G266="[FÓRMULA MANUAL]","",IFERROR(AVERAGEIFS(nNOTA,nNIA,G266,nCUENTA,1,nASIG,"Conjunto"),"")))</f>
        <v/>
      </c>
      <c r="K266" t="str">
        <f>IF(G266="","",IF(G266="[FÓRMULA MANUAL]","",IFERROR(SUMPRODUCT((nNIA=G266)*(nCUENTA=1)*(COUNTIF(CONFIG_ASIGNATURAS!$B$7:$B$27,nASIG)&gt;0)*(nNOTA))/SUMPRODUCT((nNIA=G266)*(nCUENTA=1)*(COUNTIF(CONFIG_ASIGNATURAS!$B$7:$B$27,nASIG)&gt;0)*1),"")))</f>
        <v/>
      </c>
      <c r="N266" t="str">
        <f>IF(M266="","",IF(M266="[FÓRMULA MANUAL]","",IFERROR(AVERAGEIFS(nNOTA,nNIA,M266,nCUENTA,1,nASIG,"Armonía"),"")))</f>
        <v/>
      </c>
      <c r="O266" t="str">
        <f>IF(M266="","",IF(M266="[FÓRMULA MANUAL]","",IFERROR(AVERAGEIFS(nNOTA,nNIA,M266,nCUENTA,1,nASIG,"Orquesta/Banda/Conjunto"),"")))</f>
        <v/>
      </c>
      <c r="P266" t="str">
        <f>IF(M266="","",IF(M266="[FÓRMULA MANUAL]","",IFERROR(AVERAGEIFS(nNOTA,nNIA,M266,nCUENTA,1,nASIG,"Música de Cámara"),"")))</f>
        <v/>
      </c>
      <c r="Q266" t="str">
        <f>IF(M266="","",IF(M266="[FÓRMULA MANUAL]","",IFERROR(SUMPRODUCT((nNIA=M266)*(nCUENTA=1)*(COUNTIF(CONFIG_ASIGNATURAS!$B$7:$B$27,nASIG)&gt;0)*(nNOTA))/SUMPRODUCT((nNIA=M266)*(nCUENTA=1)*(COUNTIF(CONFIG_ASIGNATURAS!$B$7:$B$27,nASIG)&gt;0)*1),"")))</f>
        <v/>
      </c>
      <c r="T266" t="str">
        <f>IF(S266="","",IF(S266="[FÓRMULA MANUAL]","",IFERROR(AVERAGEIFS(nNOTA,nNIA,S266,nCUENTA,1,nASIG,"Armonía"),"")))</f>
        <v/>
      </c>
      <c r="U266" t="str">
        <f>IF(S266="","",IF(S266="[FÓRMULA MANUAL]","",IFERROR(AVERAGEIFS(nNOTA,nNIA,S266,nCUENTA,1,nASIG,"Orquesta/Banda/Conjunto"),"")))</f>
        <v/>
      </c>
      <c r="V266" t="str">
        <f>IF(S266="","",IF(S266="[FÓRMULA MANUAL]","",IFERROR(AVERAGEIFS(nNOTA,nNIA,S266,nCUENTA,1,nASIG,"Música de Cámara"),"")))</f>
        <v/>
      </c>
      <c r="W266" t="str">
        <f>IF(S266="","",IF(S266="[FÓRMULA MANUAL]","",IFERROR(SUMPRODUCT((nNIA=S266)*(nCUENTA=1)*(COUNTIF(CONFIG_ASIGNATURAS!$B$7:$B$27,nASIG)&gt;0)*(nNOTA))/SUMPRODUCT((nNIA=S266)*(nCUENTA=1)*(COUNTIF(CONFIG_ASIGNATURAS!$B$7:$B$27,nASIG)&gt;0)*1),"")))</f>
        <v/>
      </c>
      <c r="Z266" t="str">
        <f>IF(Y266="","",IF(Y266="[FÓRMULA MANUAL]","",IFERROR(AVERAGEIFS(nNOTA,nNIA,Y266,nCUENTA,1,nASIG,"Análisis"),"")))</f>
        <v/>
      </c>
      <c r="AA266" t="str">
        <f>IF(Y266="","",IF(Y266="[FÓRMULA MANUAL]","",IFERROR(AVERAGEIFS(nNOTA,nNIA,Y266,nCUENTA,1,nASIG,"Orquesta/Banda/Conjunto"),"")))</f>
        <v/>
      </c>
      <c r="AB266" t="str">
        <f>IF(Y266="","",IF(Y266="[FÓRMULA MANUAL]","",IFERROR(AVERAGEIFS(nNOTA,nNIA,Y266,nCUENTA,1,nASIG,"Música de Cámara"),"")))</f>
        <v/>
      </c>
      <c r="AC266" t="str">
        <f>IF(Y266="","",IF(Y266="[FÓRMULA MANUAL]","",IFERROR(SUMPRODUCT((nNIA=Y266)*(nCUENTA=1)*(COUNTIF(CONFIG_ASIGNATURAS!$B$7:$B$27,nASIG)&gt;0)*(nNOTA))/SUMPRODUCT((nNIA=Y266)*(nCUENTA=1)*(COUNTIF(CONFIG_ASIGNATURAS!$B$7:$B$27,nASIG)&gt;0)*1),"")))</f>
        <v/>
      </c>
      <c r="AF266" t="str">
        <f>IF(AE266="","",IF(AE266="[FÓRMULA MANUAL]","",IFERROR(AVERAGEIFS(nNOTA,nNIA,AE266,nCUENTA,1,nASIG,"Análisis"),"")))</f>
        <v/>
      </c>
      <c r="AG266" t="str">
        <f>IF(AE266="","",IF(AE266="[FÓRMULA MANUAL]","",IFERROR(AVERAGEIFS(nNOTA,nNIA,AE266,nCUENTA,1,nASIG,"Orquesta/Banda/Conjunto"),"")))</f>
        <v/>
      </c>
      <c r="AH266" t="str">
        <f>IF(AE266="","",IF(AE266="[FÓRMULA MANUAL]","",IFERROR(AVERAGEIFS(nNOTA,nNIA,AE266,nCUENTA,1,nASIG,"Música de Cámara"),"")))</f>
        <v/>
      </c>
      <c r="AI266" t="str">
        <f>IF(AE266="","",IF(AE266="[FÓRMULA MANUAL]","",IFERROR(SUMPRODUCT((nNIA=AE266)*(nCUENTA=1)*(COUNTIF(CONFIG_ASIGNATURAS!$B$7:$B$27,nASIG)&gt;0)*(nNOTA))/SUMPRODUCT((nNIA=AE266)*(nCUENTA=1)*(COUNTIF(CONFIG_ASIGNATURAS!$B$7:$B$27,nASIG)&gt;0)*1),"")))</f>
        <v/>
      </c>
    </row>
    <row r="267" spans="2:35" x14ac:dyDescent="0.2">
      <c r="B267" t="str">
        <f>IF(A267="","",IF(A267="[FÓRMULA MANUAL]","",IFERROR(AVERAGEIFS(nNOTA,nNIA,A267,nCUENTA,1,nASIG,"Lenguaje Musical"),"")))</f>
        <v/>
      </c>
      <c r="C267" t="str">
        <f>IF(A267="","",IF(A267="[FÓRMULA MANUAL]","",IFERROR(AVERAGEIFS(nNOTA,nNIA,A267,nCUENTA,1,nASIG,"Orquesta/Banda/Conjunto"),"")))</f>
        <v/>
      </c>
      <c r="D267" t="str">
        <f>IF(A267="","",IF(A267="[FÓRMULA MANUAL]","",IFERROR(AVERAGEIFS(nNOTA,nNIA,A267,nCUENTA,1,nASIG,"Conjunto"),"")))</f>
        <v/>
      </c>
      <c r="E267" t="str">
        <f>IF(A267="","",IF(A267="[FÓRMULA MANUAL]","",IFERROR(SUMPRODUCT((nNIA=A267)*(nCUENTA=1)*(COUNTIF(CONFIG_ASIGNATURAS!$B$7:$B$27,nASIG)&gt;0)*(nNOTA))/SUMPRODUCT((nNIA=A267)*(nCUENTA=1)*(COUNTIF(CONFIG_ASIGNATURAS!$B$7:$B$27,nASIG)&gt;0)*1),"")))</f>
        <v/>
      </c>
      <c r="H267" t="str">
        <f>IF(G267="","",IF(G267="[FÓRMULA MANUAL]","",IFERROR(AVERAGEIFS(nNOTA,nNIA,G267,nCUENTA,1,nASIG,"Lenguaje Musical"),"")))</f>
        <v/>
      </c>
      <c r="I267" t="str">
        <f>IF(G267="","",IF(G267="[FÓRMULA MANUAL]","",IFERROR(AVERAGEIFS(nNOTA,nNIA,G267,nCUENTA,1,nASIG,"Orquesta/Banda/Conjunto"),"")))</f>
        <v/>
      </c>
      <c r="J267" t="str">
        <f>IF(G267="","",IF(G267="[FÓRMULA MANUAL]","",IFERROR(AVERAGEIFS(nNOTA,nNIA,G267,nCUENTA,1,nASIG,"Conjunto"),"")))</f>
        <v/>
      </c>
      <c r="K267" t="str">
        <f>IF(G267="","",IF(G267="[FÓRMULA MANUAL]","",IFERROR(SUMPRODUCT((nNIA=G267)*(nCUENTA=1)*(COUNTIF(CONFIG_ASIGNATURAS!$B$7:$B$27,nASIG)&gt;0)*(nNOTA))/SUMPRODUCT((nNIA=G267)*(nCUENTA=1)*(COUNTIF(CONFIG_ASIGNATURAS!$B$7:$B$27,nASIG)&gt;0)*1),"")))</f>
        <v/>
      </c>
      <c r="N267" t="str">
        <f>IF(M267="","",IF(M267="[FÓRMULA MANUAL]","",IFERROR(AVERAGEIFS(nNOTA,nNIA,M267,nCUENTA,1,nASIG,"Armonía"),"")))</f>
        <v/>
      </c>
      <c r="O267" t="str">
        <f>IF(M267="","",IF(M267="[FÓRMULA MANUAL]","",IFERROR(AVERAGEIFS(nNOTA,nNIA,M267,nCUENTA,1,nASIG,"Orquesta/Banda/Conjunto"),"")))</f>
        <v/>
      </c>
      <c r="P267" t="str">
        <f>IF(M267="","",IF(M267="[FÓRMULA MANUAL]","",IFERROR(AVERAGEIFS(nNOTA,nNIA,M267,nCUENTA,1,nASIG,"Música de Cámara"),"")))</f>
        <v/>
      </c>
      <c r="Q267" t="str">
        <f>IF(M267="","",IF(M267="[FÓRMULA MANUAL]","",IFERROR(SUMPRODUCT((nNIA=M267)*(nCUENTA=1)*(COUNTIF(CONFIG_ASIGNATURAS!$B$7:$B$27,nASIG)&gt;0)*(nNOTA))/SUMPRODUCT((nNIA=M267)*(nCUENTA=1)*(COUNTIF(CONFIG_ASIGNATURAS!$B$7:$B$27,nASIG)&gt;0)*1),"")))</f>
        <v/>
      </c>
      <c r="T267" t="str">
        <f>IF(S267="","",IF(S267="[FÓRMULA MANUAL]","",IFERROR(AVERAGEIFS(nNOTA,nNIA,S267,nCUENTA,1,nASIG,"Armonía"),"")))</f>
        <v/>
      </c>
      <c r="U267" t="str">
        <f>IF(S267="","",IF(S267="[FÓRMULA MANUAL]","",IFERROR(AVERAGEIFS(nNOTA,nNIA,S267,nCUENTA,1,nASIG,"Orquesta/Banda/Conjunto"),"")))</f>
        <v/>
      </c>
      <c r="V267" t="str">
        <f>IF(S267="","",IF(S267="[FÓRMULA MANUAL]","",IFERROR(AVERAGEIFS(nNOTA,nNIA,S267,nCUENTA,1,nASIG,"Música de Cámara"),"")))</f>
        <v/>
      </c>
      <c r="W267" t="str">
        <f>IF(S267="","",IF(S267="[FÓRMULA MANUAL]","",IFERROR(SUMPRODUCT((nNIA=S267)*(nCUENTA=1)*(COUNTIF(CONFIG_ASIGNATURAS!$B$7:$B$27,nASIG)&gt;0)*(nNOTA))/SUMPRODUCT((nNIA=S267)*(nCUENTA=1)*(COUNTIF(CONFIG_ASIGNATURAS!$B$7:$B$27,nASIG)&gt;0)*1),"")))</f>
        <v/>
      </c>
      <c r="Z267" t="str">
        <f>IF(Y267="","",IF(Y267="[FÓRMULA MANUAL]","",IFERROR(AVERAGEIFS(nNOTA,nNIA,Y267,nCUENTA,1,nASIG,"Análisis"),"")))</f>
        <v/>
      </c>
      <c r="AA267" t="str">
        <f>IF(Y267="","",IF(Y267="[FÓRMULA MANUAL]","",IFERROR(AVERAGEIFS(nNOTA,nNIA,Y267,nCUENTA,1,nASIG,"Orquesta/Banda/Conjunto"),"")))</f>
        <v/>
      </c>
      <c r="AB267" t="str">
        <f>IF(Y267="","",IF(Y267="[FÓRMULA MANUAL]","",IFERROR(AVERAGEIFS(nNOTA,nNIA,Y267,nCUENTA,1,nASIG,"Música de Cámara"),"")))</f>
        <v/>
      </c>
      <c r="AC267" t="str">
        <f>IF(Y267="","",IF(Y267="[FÓRMULA MANUAL]","",IFERROR(SUMPRODUCT((nNIA=Y267)*(nCUENTA=1)*(COUNTIF(CONFIG_ASIGNATURAS!$B$7:$B$27,nASIG)&gt;0)*(nNOTA))/SUMPRODUCT((nNIA=Y267)*(nCUENTA=1)*(COUNTIF(CONFIG_ASIGNATURAS!$B$7:$B$27,nASIG)&gt;0)*1),"")))</f>
        <v/>
      </c>
      <c r="AF267" t="str">
        <f>IF(AE267="","",IF(AE267="[FÓRMULA MANUAL]","",IFERROR(AVERAGEIFS(nNOTA,nNIA,AE267,nCUENTA,1,nASIG,"Análisis"),"")))</f>
        <v/>
      </c>
      <c r="AG267" t="str">
        <f>IF(AE267="","",IF(AE267="[FÓRMULA MANUAL]","",IFERROR(AVERAGEIFS(nNOTA,nNIA,AE267,nCUENTA,1,nASIG,"Orquesta/Banda/Conjunto"),"")))</f>
        <v/>
      </c>
      <c r="AH267" t="str">
        <f>IF(AE267="","",IF(AE267="[FÓRMULA MANUAL]","",IFERROR(AVERAGEIFS(nNOTA,nNIA,AE267,nCUENTA,1,nASIG,"Música de Cámara"),"")))</f>
        <v/>
      </c>
      <c r="AI267" t="str">
        <f>IF(AE267="","",IF(AE267="[FÓRMULA MANUAL]","",IFERROR(SUMPRODUCT((nNIA=AE267)*(nCUENTA=1)*(COUNTIF(CONFIG_ASIGNATURAS!$B$7:$B$27,nASIG)&gt;0)*(nNOTA))/SUMPRODUCT((nNIA=AE267)*(nCUENTA=1)*(COUNTIF(CONFIG_ASIGNATURAS!$B$7:$B$27,nASIG)&gt;0)*1),"")))</f>
        <v/>
      </c>
    </row>
    <row r="268" spans="2:35" x14ac:dyDescent="0.2">
      <c r="B268" t="str">
        <f>IF(A268="","",IF(A268="[FÓRMULA MANUAL]","",IFERROR(AVERAGEIFS(nNOTA,nNIA,A268,nCUENTA,1,nASIG,"Lenguaje Musical"),"")))</f>
        <v/>
      </c>
      <c r="C268" t="str">
        <f>IF(A268="","",IF(A268="[FÓRMULA MANUAL]","",IFERROR(AVERAGEIFS(nNOTA,nNIA,A268,nCUENTA,1,nASIG,"Orquesta/Banda/Conjunto"),"")))</f>
        <v/>
      </c>
      <c r="D268" t="str">
        <f>IF(A268="","",IF(A268="[FÓRMULA MANUAL]","",IFERROR(AVERAGEIFS(nNOTA,nNIA,A268,nCUENTA,1,nASIG,"Conjunto"),"")))</f>
        <v/>
      </c>
      <c r="E268" t="str">
        <f>IF(A268="","",IF(A268="[FÓRMULA MANUAL]","",IFERROR(SUMPRODUCT((nNIA=A268)*(nCUENTA=1)*(COUNTIF(CONFIG_ASIGNATURAS!$B$7:$B$27,nASIG)&gt;0)*(nNOTA))/SUMPRODUCT((nNIA=A268)*(nCUENTA=1)*(COUNTIF(CONFIG_ASIGNATURAS!$B$7:$B$27,nASIG)&gt;0)*1),"")))</f>
        <v/>
      </c>
      <c r="H268" t="str">
        <f>IF(G268="","",IF(G268="[FÓRMULA MANUAL]","",IFERROR(AVERAGEIFS(nNOTA,nNIA,G268,nCUENTA,1,nASIG,"Lenguaje Musical"),"")))</f>
        <v/>
      </c>
      <c r="I268" t="str">
        <f>IF(G268="","",IF(G268="[FÓRMULA MANUAL]","",IFERROR(AVERAGEIFS(nNOTA,nNIA,G268,nCUENTA,1,nASIG,"Orquesta/Banda/Conjunto"),"")))</f>
        <v/>
      </c>
      <c r="J268" t="str">
        <f>IF(G268="","",IF(G268="[FÓRMULA MANUAL]","",IFERROR(AVERAGEIFS(nNOTA,nNIA,G268,nCUENTA,1,nASIG,"Conjunto"),"")))</f>
        <v/>
      </c>
      <c r="K268" t="str">
        <f>IF(G268="","",IF(G268="[FÓRMULA MANUAL]","",IFERROR(SUMPRODUCT((nNIA=G268)*(nCUENTA=1)*(COUNTIF(CONFIG_ASIGNATURAS!$B$7:$B$27,nASIG)&gt;0)*(nNOTA))/SUMPRODUCT((nNIA=G268)*(nCUENTA=1)*(COUNTIF(CONFIG_ASIGNATURAS!$B$7:$B$27,nASIG)&gt;0)*1),"")))</f>
        <v/>
      </c>
      <c r="N268" t="str">
        <f>IF(M268="","",IF(M268="[FÓRMULA MANUAL]","",IFERROR(AVERAGEIFS(nNOTA,nNIA,M268,nCUENTA,1,nASIG,"Armonía"),"")))</f>
        <v/>
      </c>
      <c r="O268" t="str">
        <f>IF(M268="","",IF(M268="[FÓRMULA MANUAL]","",IFERROR(AVERAGEIFS(nNOTA,nNIA,M268,nCUENTA,1,nASIG,"Orquesta/Banda/Conjunto"),"")))</f>
        <v/>
      </c>
      <c r="P268" t="str">
        <f>IF(M268="","",IF(M268="[FÓRMULA MANUAL]","",IFERROR(AVERAGEIFS(nNOTA,nNIA,M268,nCUENTA,1,nASIG,"Música de Cámara"),"")))</f>
        <v/>
      </c>
      <c r="Q268" t="str">
        <f>IF(M268="","",IF(M268="[FÓRMULA MANUAL]","",IFERROR(SUMPRODUCT((nNIA=M268)*(nCUENTA=1)*(COUNTIF(CONFIG_ASIGNATURAS!$B$7:$B$27,nASIG)&gt;0)*(nNOTA))/SUMPRODUCT((nNIA=M268)*(nCUENTA=1)*(COUNTIF(CONFIG_ASIGNATURAS!$B$7:$B$27,nASIG)&gt;0)*1),"")))</f>
        <v/>
      </c>
      <c r="T268" t="str">
        <f>IF(S268="","",IF(S268="[FÓRMULA MANUAL]","",IFERROR(AVERAGEIFS(nNOTA,nNIA,S268,nCUENTA,1,nASIG,"Armonía"),"")))</f>
        <v/>
      </c>
      <c r="U268" t="str">
        <f>IF(S268="","",IF(S268="[FÓRMULA MANUAL]","",IFERROR(AVERAGEIFS(nNOTA,nNIA,S268,nCUENTA,1,nASIG,"Orquesta/Banda/Conjunto"),"")))</f>
        <v/>
      </c>
      <c r="V268" t="str">
        <f>IF(S268="","",IF(S268="[FÓRMULA MANUAL]","",IFERROR(AVERAGEIFS(nNOTA,nNIA,S268,nCUENTA,1,nASIG,"Música de Cámara"),"")))</f>
        <v/>
      </c>
      <c r="W268" t="str">
        <f>IF(S268="","",IF(S268="[FÓRMULA MANUAL]","",IFERROR(SUMPRODUCT((nNIA=S268)*(nCUENTA=1)*(COUNTIF(CONFIG_ASIGNATURAS!$B$7:$B$27,nASIG)&gt;0)*(nNOTA))/SUMPRODUCT((nNIA=S268)*(nCUENTA=1)*(COUNTIF(CONFIG_ASIGNATURAS!$B$7:$B$27,nASIG)&gt;0)*1),"")))</f>
        <v/>
      </c>
      <c r="Z268" t="str">
        <f>IF(Y268="","",IF(Y268="[FÓRMULA MANUAL]","",IFERROR(AVERAGEIFS(nNOTA,nNIA,Y268,nCUENTA,1,nASIG,"Análisis"),"")))</f>
        <v/>
      </c>
      <c r="AA268" t="str">
        <f>IF(Y268="","",IF(Y268="[FÓRMULA MANUAL]","",IFERROR(AVERAGEIFS(nNOTA,nNIA,Y268,nCUENTA,1,nASIG,"Orquesta/Banda/Conjunto"),"")))</f>
        <v/>
      </c>
      <c r="AB268" t="str">
        <f>IF(Y268="","",IF(Y268="[FÓRMULA MANUAL]","",IFERROR(AVERAGEIFS(nNOTA,nNIA,Y268,nCUENTA,1,nASIG,"Música de Cámara"),"")))</f>
        <v/>
      </c>
      <c r="AC268" t="str">
        <f>IF(Y268="","",IF(Y268="[FÓRMULA MANUAL]","",IFERROR(SUMPRODUCT((nNIA=Y268)*(nCUENTA=1)*(COUNTIF(CONFIG_ASIGNATURAS!$B$7:$B$27,nASIG)&gt;0)*(nNOTA))/SUMPRODUCT((nNIA=Y268)*(nCUENTA=1)*(COUNTIF(CONFIG_ASIGNATURAS!$B$7:$B$27,nASIG)&gt;0)*1),"")))</f>
        <v/>
      </c>
      <c r="AF268" t="str">
        <f>IF(AE268="","",IF(AE268="[FÓRMULA MANUAL]","",IFERROR(AVERAGEIFS(nNOTA,nNIA,AE268,nCUENTA,1,nASIG,"Análisis"),"")))</f>
        <v/>
      </c>
      <c r="AG268" t="str">
        <f>IF(AE268="","",IF(AE268="[FÓRMULA MANUAL]","",IFERROR(AVERAGEIFS(nNOTA,nNIA,AE268,nCUENTA,1,nASIG,"Orquesta/Banda/Conjunto"),"")))</f>
        <v/>
      </c>
      <c r="AH268" t="str">
        <f>IF(AE268="","",IF(AE268="[FÓRMULA MANUAL]","",IFERROR(AVERAGEIFS(nNOTA,nNIA,AE268,nCUENTA,1,nASIG,"Música de Cámara"),"")))</f>
        <v/>
      </c>
      <c r="AI268" t="str">
        <f>IF(AE268="","",IF(AE268="[FÓRMULA MANUAL]","",IFERROR(SUMPRODUCT((nNIA=AE268)*(nCUENTA=1)*(COUNTIF(CONFIG_ASIGNATURAS!$B$7:$B$27,nASIG)&gt;0)*(nNOTA))/SUMPRODUCT((nNIA=AE268)*(nCUENTA=1)*(COUNTIF(CONFIG_ASIGNATURAS!$B$7:$B$27,nASIG)&gt;0)*1),"")))</f>
        <v/>
      </c>
    </row>
    <row r="269" spans="2:35" x14ac:dyDescent="0.2">
      <c r="B269" t="str">
        <f>IF(A269="","",IF(A269="[FÓRMULA MANUAL]","",IFERROR(AVERAGEIFS(nNOTA,nNIA,A269,nCUENTA,1,nASIG,"Lenguaje Musical"),"")))</f>
        <v/>
      </c>
      <c r="C269" t="str">
        <f>IF(A269="","",IF(A269="[FÓRMULA MANUAL]","",IFERROR(AVERAGEIFS(nNOTA,nNIA,A269,nCUENTA,1,nASIG,"Orquesta/Banda/Conjunto"),"")))</f>
        <v/>
      </c>
      <c r="D269" t="str">
        <f>IF(A269="","",IF(A269="[FÓRMULA MANUAL]","",IFERROR(AVERAGEIFS(nNOTA,nNIA,A269,nCUENTA,1,nASIG,"Conjunto"),"")))</f>
        <v/>
      </c>
      <c r="E269" t="str">
        <f>IF(A269="","",IF(A269="[FÓRMULA MANUAL]","",IFERROR(SUMPRODUCT((nNIA=A269)*(nCUENTA=1)*(COUNTIF(CONFIG_ASIGNATURAS!$B$7:$B$27,nASIG)&gt;0)*(nNOTA))/SUMPRODUCT((nNIA=A269)*(nCUENTA=1)*(COUNTIF(CONFIG_ASIGNATURAS!$B$7:$B$27,nASIG)&gt;0)*1),"")))</f>
        <v/>
      </c>
      <c r="H269" t="str">
        <f>IF(G269="","",IF(G269="[FÓRMULA MANUAL]","",IFERROR(AVERAGEIFS(nNOTA,nNIA,G269,nCUENTA,1,nASIG,"Lenguaje Musical"),"")))</f>
        <v/>
      </c>
      <c r="I269" t="str">
        <f>IF(G269="","",IF(G269="[FÓRMULA MANUAL]","",IFERROR(AVERAGEIFS(nNOTA,nNIA,G269,nCUENTA,1,nASIG,"Orquesta/Banda/Conjunto"),"")))</f>
        <v/>
      </c>
      <c r="J269" t="str">
        <f>IF(G269="","",IF(G269="[FÓRMULA MANUAL]","",IFERROR(AVERAGEIFS(nNOTA,nNIA,G269,nCUENTA,1,nASIG,"Conjunto"),"")))</f>
        <v/>
      </c>
      <c r="K269" t="str">
        <f>IF(G269="","",IF(G269="[FÓRMULA MANUAL]","",IFERROR(SUMPRODUCT((nNIA=G269)*(nCUENTA=1)*(COUNTIF(CONFIG_ASIGNATURAS!$B$7:$B$27,nASIG)&gt;0)*(nNOTA))/SUMPRODUCT((nNIA=G269)*(nCUENTA=1)*(COUNTIF(CONFIG_ASIGNATURAS!$B$7:$B$27,nASIG)&gt;0)*1),"")))</f>
        <v/>
      </c>
      <c r="N269" t="str">
        <f>IF(M269="","",IF(M269="[FÓRMULA MANUAL]","",IFERROR(AVERAGEIFS(nNOTA,nNIA,M269,nCUENTA,1,nASIG,"Armonía"),"")))</f>
        <v/>
      </c>
      <c r="O269" t="str">
        <f>IF(M269="","",IF(M269="[FÓRMULA MANUAL]","",IFERROR(AVERAGEIFS(nNOTA,nNIA,M269,nCUENTA,1,nASIG,"Orquesta/Banda/Conjunto"),"")))</f>
        <v/>
      </c>
      <c r="P269" t="str">
        <f>IF(M269="","",IF(M269="[FÓRMULA MANUAL]","",IFERROR(AVERAGEIFS(nNOTA,nNIA,M269,nCUENTA,1,nASIG,"Música de Cámara"),"")))</f>
        <v/>
      </c>
      <c r="Q269" t="str">
        <f>IF(M269="","",IF(M269="[FÓRMULA MANUAL]","",IFERROR(SUMPRODUCT((nNIA=M269)*(nCUENTA=1)*(COUNTIF(CONFIG_ASIGNATURAS!$B$7:$B$27,nASIG)&gt;0)*(nNOTA))/SUMPRODUCT((nNIA=M269)*(nCUENTA=1)*(COUNTIF(CONFIG_ASIGNATURAS!$B$7:$B$27,nASIG)&gt;0)*1),"")))</f>
        <v/>
      </c>
      <c r="T269" t="str">
        <f>IF(S269="","",IF(S269="[FÓRMULA MANUAL]","",IFERROR(AVERAGEIFS(nNOTA,nNIA,S269,nCUENTA,1,nASIG,"Armonía"),"")))</f>
        <v/>
      </c>
      <c r="U269" t="str">
        <f>IF(S269="","",IF(S269="[FÓRMULA MANUAL]","",IFERROR(AVERAGEIFS(nNOTA,nNIA,S269,nCUENTA,1,nASIG,"Orquesta/Banda/Conjunto"),"")))</f>
        <v/>
      </c>
      <c r="V269" t="str">
        <f>IF(S269="","",IF(S269="[FÓRMULA MANUAL]","",IFERROR(AVERAGEIFS(nNOTA,nNIA,S269,nCUENTA,1,nASIG,"Música de Cámara"),"")))</f>
        <v/>
      </c>
      <c r="W269" t="str">
        <f>IF(S269="","",IF(S269="[FÓRMULA MANUAL]","",IFERROR(SUMPRODUCT((nNIA=S269)*(nCUENTA=1)*(COUNTIF(CONFIG_ASIGNATURAS!$B$7:$B$27,nASIG)&gt;0)*(nNOTA))/SUMPRODUCT((nNIA=S269)*(nCUENTA=1)*(COUNTIF(CONFIG_ASIGNATURAS!$B$7:$B$27,nASIG)&gt;0)*1),"")))</f>
        <v/>
      </c>
      <c r="Z269" t="str">
        <f>IF(Y269="","",IF(Y269="[FÓRMULA MANUAL]","",IFERROR(AVERAGEIFS(nNOTA,nNIA,Y269,nCUENTA,1,nASIG,"Análisis"),"")))</f>
        <v/>
      </c>
      <c r="AA269" t="str">
        <f>IF(Y269="","",IF(Y269="[FÓRMULA MANUAL]","",IFERROR(AVERAGEIFS(nNOTA,nNIA,Y269,nCUENTA,1,nASIG,"Orquesta/Banda/Conjunto"),"")))</f>
        <v/>
      </c>
      <c r="AB269" t="str">
        <f>IF(Y269="","",IF(Y269="[FÓRMULA MANUAL]","",IFERROR(AVERAGEIFS(nNOTA,nNIA,Y269,nCUENTA,1,nASIG,"Música de Cámara"),"")))</f>
        <v/>
      </c>
      <c r="AC269" t="str">
        <f>IF(Y269="","",IF(Y269="[FÓRMULA MANUAL]","",IFERROR(SUMPRODUCT((nNIA=Y269)*(nCUENTA=1)*(COUNTIF(CONFIG_ASIGNATURAS!$B$7:$B$27,nASIG)&gt;0)*(nNOTA))/SUMPRODUCT((nNIA=Y269)*(nCUENTA=1)*(COUNTIF(CONFIG_ASIGNATURAS!$B$7:$B$27,nASIG)&gt;0)*1),"")))</f>
        <v/>
      </c>
      <c r="AF269" t="str">
        <f>IF(AE269="","",IF(AE269="[FÓRMULA MANUAL]","",IFERROR(AVERAGEIFS(nNOTA,nNIA,AE269,nCUENTA,1,nASIG,"Análisis"),"")))</f>
        <v/>
      </c>
      <c r="AG269" t="str">
        <f>IF(AE269="","",IF(AE269="[FÓRMULA MANUAL]","",IFERROR(AVERAGEIFS(nNOTA,nNIA,AE269,nCUENTA,1,nASIG,"Orquesta/Banda/Conjunto"),"")))</f>
        <v/>
      </c>
      <c r="AH269" t="str">
        <f>IF(AE269="","",IF(AE269="[FÓRMULA MANUAL]","",IFERROR(AVERAGEIFS(nNOTA,nNIA,AE269,nCUENTA,1,nASIG,"Música de Cámara"),"")))</f>
        <v/>
      </c>
      <c r="AI269" t="str">
        <f>IF(AE269="","",IF(AE269="[FÓRMULA MANUAL]","",IFERROR(SUMPRODUCT((nNIA=AE269)*(nCUENTA=1)*(COUNTIF(CONFIG_ASIGNATURAS!$B$7:$B$27,nASIG)&gt;0)*(nNOTA))/SUMPRODUCT((nNIA=AE269)*(nCUENTA=1)*(COUNTIF(CONFIG_ASIGNATURAS!$B$7:$B$27,nASIG)&gt;0)*1),"")))</f>
        <v/>
      </c>
    </row>
    <row r="270" spans="2:35" x14ac:dyDescent="0.2">
      <c r="B270" t="str">
        <f>IF(A270="","",IF(A270="[FÓRMULA MANUAL]","",IFERROR(AVERAGEIFS(nNOTA,nNIA,A270,nCUENTA,1,nASIG,"Lenguaje Musical"),"")))</f>
        <v/>
      </c>
      <c r="C270" t="str">
        <f>IF(A270="","",IF(A270="[FÓRMULA MANUAL]","",IFERROR(AVERAGEIFS(nNOTA,nNIA,A270,nCUENTA,1,nASIG,"Orquesta/Banda/Conjunto"),"")))</f>
        <v/>
      </c>
      <c r="D270" t="str">
        <f>IF(A270="","",IF(A270="[FÓRMULA MANUAL]","",IFERROR(AVERAGEIFS(nNOTA,nNIA,A270,nCUENTA,1,nASIG,"Conjunto"),"")))</f>
        <v/>
      </c>
      <c r="E270" t="str">
        <f>IF(A270="","",IF(A270="[FÓRMULA MANUAL]","",IFERROR(SUMPRODUCT((nNIA=A270)*(nCUENTA=1)*(COUNTIF(CONFIG_ASIGNATURAS!$B$7:$B$27,nASIG)&gt;0)*(nNOTA))/SUMPRODUCT((nNIA=A270)*(nCUENTA=1)*(COUNTIF(CONFIG_ASIGNATURAS!$B$7:$B$27,nASIG)&gt;0)*1),"")))</f>
        <v/>
      </c>
      <c r="H270" t="str">
        <f>IF(G270="","",IF(G270="[FÓRMULA MANUAL]","",IFERROR(AVERAGEIFS(nNOTA,nNIA,G270,nCUENTA,1,nASIG,"Lenguaje Musical"),"")))</f>
        <v/>
      </c>
      <c r="I270" t="str">
        <f>IF(G270="","",IF(G270="[FÓRMULA MANUAL]","",IFERROR(AVERAGEIFS(nNOTA,nNIA,G270,nCUENTA,1,nASIG,"Orquesta/Banda/Conjunto"),"")))</f>
        <v/>
      </c>
      <c r="J270" t="str">
        <f>IF(G270="","",IF(G270="[FÓRMULA MANUAL]","",IFERROR(AVERAGEIFS(nNOTA,nNIA,G270,nCUENTA,1,nASIG,"Conjunto"),"")))</f>
        <v/>
      </c>
      <c r="K270" t="str">
        <f>IF(G270="","",IF(G270="[FÓRMULA MANUAL]","",IFERROR(SUMPRODUCT((nNIA=G270)*(nCUENTA=1)*(COUNTIF(CONFIG_ASIGNATURAS!$B$7:$B$27,nASIG)&gt;0)*(nNOTA))/SUMPRODUCT((nNIA=G270)*(nCUENTA=1)*(COUNTIF(CONFIG_ASIGNATURAS!$B$7:$B$27,nASIG)&gt;0)*1),"")))</f>
        <v/>
      </c>
      <c r="N270" t="str">
        <f>IF(M270="","",IF(M270="[FÓRMULA MANUAL]","",IFERROR(AVERAGEIFS(nNOTA,nNIA,M270,nCUENTA,1,nASIG,"Armonía"),"")))</f>
        <v/>
      </c>
      <c r="O270" t="str">
        <f>IF(M270="","",IF(M270="[FÓRMULA MANUAL]","",IFERROR(AVERAGEIFS(nNOTA,nNIA,M270,nCUENTA,1,nASIG,"Orquesta/Banda/Conjunto"),"")))</f>
        <v/>
      </c>
      <c r="P270" t="str">
        <f>IF(M270="","",IF(M270="[FÓRMULA MANUAL]","",IFERROR(AVERAGEIFS(nNOTA,nNIA,M270,nCUENTA,1,nASIG,"Música de Cámara"),"")))</f>
        <v/>
      </c>
      <c r="Q270" t="str">
        <f>IF(M270="","",IF(M270="[FÓRMULA MANUAL]","",IFERROR(SUMPRODUCT((nNIA=M270)*(nCUENTA=1)*(COUNTIF(CONFIG_ASIGNATURAS!$B$7:$B$27,nASIG)&gt;0)*(nNOTA))/SUMPRODUCT((nNIA=M270)*(nCUENTA=1)*(COUNTIF(CONFIG_ASIGNATURAS!$B$7:$B$27,nASIG)&gt;0)*1),"")))</f>
        <v/>
      </c>
      <c r="T270" t="str">
        <f>IF(S270="","",IF(S270="[FÓRMULA MANUAL]","",IFERROR(AVERAGEIFS(nNOTA,nNIA,S270,nCUENTA,1,nASIG,"Armonía"),"")))</f>
        <v/>
      </c>
      <c r="U270" t="str">
        <f>IF(S270="","",IF(S270="[FÓRMULA MANUAL]","",IFERROR(AVERAGEIFS(nNOTA,nNIA,S270,nCUENTA,1,nASIG,"Orquesta/Banda/Conjunto"),"")))</f>
        <v/>
      </c>
      <c r="V270" t="str">
        <f>IF(S270="","",IF(S270="[FÓRMULA MANUAL]","",IFERROR(AVERAGEIFS(nNOTA,nNIA,S270,nCUENTA,1,nASIG,"Música de Cámara"),"")))</f>
        <v/>
      </c>
      <c r="W270" t="str">
        <f>IF(S270="","",IF(S270="[FÓRMULA MANUAL]","",IFERROR(SUMPRODUCT((nNIA=S270)*(nCUENTA=1)*(COUNTIF(CONFIG_ASIGNATURAS!$B$7:$B$27,nASIG)&gt;0)*(nNOTA))/SUMPRODUCT((nNIA=S270)*(nCUENTA=1)*(COUNTIF(CONFIG_ASIGNATURAS!$B$7:$B$27,nASIG)&gt;0)*1),"")))</f>
        <v/>
      </c>
      <c r="Z270" t="str">
        <f>IF(Y270="","",IF(Y270="[FÓRMULA MANUAL]","",IFERROR(AVERAGEIFS(nNOTA,nNIA,Y270,nCUENTA,1,nASIG,"Análisis"),"")))</f>
        <v/>
      </c>
      <c r="AA270" t="str">
        <f>IF(Y270="","",IF(Y270="[FÓRMULA MANUAL]","",IFERROR(AVERAGEIFS(nNOTA,nNIA,Y270,nCUENTA,1,nASIG,"Orquesta/Banda/Conjunto"),"")))</f>
        <v/>
      </c>
      <c r="AB270" t="str">
        <f>IF(Y270="","",IF(Y270="[FÓRMULA MANUAL]","",IFERROR(AVERAGEIFS(nNOTA,nNIA,Y270,nCUENTA,1,nASIG,"Música de Cámara"),"")))</f>
        <v/>
      </c>
      <c r="AC270" t="str">
        <f>IF(Y270="","",IF(Y270="[FÓRMULA MANUAL]","",IFERROR(SUMPRODUCT((nNIA=Y270)*(nCUENTA=1)*(COUNTIF(CONFIG_ASIGNATURAS!$B$7:$B$27,nASIG)&gt;0)*(nNOTA))/SUMPRODUCT((nNIA=Y270)*(nCUENTA=1)*(COUNTIF(CONFIG_ASIGNATURAS!$B$7:$B$27,nASIG)&gt;0)*1),"")))</f>
        <v/>
      </c>
      <c r="AF270" t="str">
        <f>IF(AE270="","",IF(AE270="[FÓRMULA MANUAL]","",IFERROR(AVERAGEIFS(nNOTA,nNIA,AE270,nCUENTA,1,nASIG,"Análisis"),"")))</f>
        <v/>
      </c>
      <c r="AG270" t="str">
        <f>IF(AE270="","",IF(AE270="[FÓRMULA MANUAL]","",IFERROR(AVERAGEIFS(nNOTA,nNIA,AE270,nCUENTA,1,nASIG,"Orquesta/Banda/Conjunto"),"")))</f>
        <v/>
      </c>
      <c r="AH270" t="str">
        <f>IF(AE270="","",IF(AE270="[FÓRMULA MANUAL]","",IFERROR(AVERAGEIFS(nNOTA,nNIA,AE270,nCUENTA,1,nASIG,"Música de Cámara"),"")))</f>
        <v/>
      </c>
      <c r="AI270" t="str">
        <f>IF(AE270="","",IF(AE270="[FÓRMULA MANUAL]","",IFERROR(SUMPRODUCT((nNIA=AE270)*(nCUENTA=1)*(COUNTIF(CONFIG_ASIGNATURAS!$B$7:$B$27,nASIG)&gt;0)*(nNOTA))/SUMPRODUCT((nNIA=AE270)*(nCUENTA=1)*(COUNTIF(CONFIG_ASIGNATURAS!$B$7:$B$27,nASIG)&gt;0)*1),"")))</f>
        <v/>
      </c>
    </row>
    <row r="271" spans="2:35" x14ac:dyDescent="0.2">
      <c r="B271" t="str">
        <f>IF(A271="","",IF(A271="[FÓRMULA MANUAL]","",IFERROR(AVERAGEIFS(nNOTA,nNIA,A271,nCUENTA,1,nASIG,"Lenguaje Musical"),"")))</f>
        <v/>
      </c>
      <c r="C271" t="str">
        <f>IF(A271="","",IF(A271="[FÓRMULA MANUAL]","",IFERROR(AVERAGEIFS(nNOTA,nNIA,A271,nCUENTA,1,nASIG,"Orquesta/Banda/Conjunto"),"")))</f>
        <v/>
      </c>
      <c r="D271" t="str">
        <f>IF(A271="","",IF(A271="[FÓRMULA MANUAL]","",IFERROR(AVERAGEIFS(nNOTA,nNIA,A271,nCUENTA,1,nASIG,"Conjunto"),"")))</f>
        <v/>
      </c>
      <c r="E271" t="str">
        <f>IF(A271="","",IF(A271="[FÓRMULA MANUAL]","",IFERROR(SUMPRODUCT((nNIA=A271)*(nCUENTA=1)*(COUNTIF(CONFIG_ASIGNATURAS!$B$7:$B$27,nASIG)&gt;0)*(nNOTA))/SUMPRODUCT((nNIA=A271)*(nCUENTA=1)*(COUNTIF(CONFIG_ASIGNATURAS!$B$7:$B$27,nASIG)&gt;0)*1),"")))</f>
        <v/>
      </c>
      <c r="H271" t="str">
        <f>IF(G271="","",IF(G271="[FÓRMULA MANUAL]","",IFERROR(AVERAGEIFS(nNOTA,nNIA,G271,nCUENTA,1,nASIG,"Lenguaje Musical"),"")))</f>
        <v/>
      </c>
      <c r="I271" t="str">
        <f>IF(G271="","",IF(G271="[FÓRMULA MANUAL]","",IFERROR(AVERAGEIFS(nNOTA,nNIA,G271,nCUENTA,1,nASIG,"Orquesta/Banda/Conjunto"),"")))</f>
        <v/>
      </c>
      <c r="J271" t="str">
        <f>IF(G271="","",IF(G271="[FÓRMULA MANUAL]","",IFERROR(AVERAGEIFS(nNOTA,nNIA,G271,nCUENTA,1,nASIG,"Conjunto"),"")))</f>
        <v/>
      </c>
      <c r="K271" t="str">
        <f>IF(G271="","",IF(G271="[FÓRMULA MANUAL]","",IFERROR(SUMPRODUCT((nNIA=G271)*(nCUENTA=1)*(COUNTIF(CONFIG_ASIGNATURAS!$B$7:$B$27,nASIG)&gt;0)*(nNOTA))/SUMPRODUCT((nNIA=G271)*(nCUENTA=1)*(COUNTIF(CONFIG_ASIGNATURAS!$B$7:$B$27,nASIG)&gt;0)*1),"")))</f>
        <v/>
      </c>
      <c r="N271" t="str">
        <f>IF(M271="","",IF(M271="[FÓRMULA MANUAL]","",IFERROR(AVERAGEIFS(nNOTA,nNIA,M271,nCUENTA,1,nASIG,"Armonía"),"")))</f>
        <v/>
      </c>
      <c r="O271" t="str">
        <f>IF(M271="","",IF(M271="[FÓRMULA MANUAL]","",IFERROR(AVERAGEIFS(nNOTA,nNIA,M271,nCUENTA,1,nASIG,"Orquesta/Banda/Conjunto"),"")))</f>
        <v/>
      </c>
      <c r="P271" t="str">
        <f>IF(M271="","",IF(M271="[FÓRMULA MANUAL]","",IFERROR(AVERAGEIFS(nNOTA,nNIA,M271,nCUENTA,1,nASIG,"Música de Cámara"),"")))</f>
        <v/>
      </c>
      <c r="Q271" t="str">
        <f>IF(M271="","",IF(M271="[FÓRMULA MANUAL]","",IFERROR(SUMPRODUCT((nNIA=M271)*(nCUENTA=1)*(COUNTIF(CONFIG_ASIGNATURAS!$B$7:$B$27,nASIG)&gt;0)*(nNOTA))/SUMPRODUCT((nNIA=M271)*(nCUENTA=1)*(COUNTIF(CONFIG_ASIGNATURAS!$B$7:$B$27,nASIG)&gt;0)*1),"")))</f>
        <v/>
      </c>
      <c r="T271" t="str">
        <f>IF(S271="","",IF(S271="[FÓRMULA MANUAL]","",IFERROR(AVERAGEIFS(nNOTA,nNIA,S271,nCUENTA,1,nASIG,"Armonía"),"")))</f>
        <v/>
      </c>
      <c r="U271" t="str">
        <f>IF(S271="","",IF(S271="[FÓRMULA MANUAL]","",IFERROR(AVERAGEIFS(nNOTA,nNIA,S271,nCUENTA,1,nASIG,"Orquesta/Banda/Conjunto"),"")))</f>
        <v/>
      </c>
      <c r="V271" t="str">
        <f>IF(S271="","",IF(S271="[FÓRMULA MANUAL]","",IFERROR(AVERAGEIFS(nNOTA,nNIA,S271,nCUENTA,1,nASIG,"Música de Cámara"),"")))</f>
        <v/>
      </c>
      <c r="W271" t="str">
        <f>IF(S271="","",IF(S271="[FÓRMULA MANUAL]","",IFERROR(SUMPRODUCT((nNIA=S271)*(nCUENTA=1)*(COUNTIF(CONFIG_ASIGNATURAS!$B$7:$B$27,nASIG)&gt;0)*(nNOTA))/SUMPRODUCT((nNIA=S271)*(nCUENTA=1)*(COUNTIF(CONFIG_ASIGNATURAS!$B$7:$B$27,nASIG)&gt;0)*1),"")))</f>
        <v/>
      </c>
      <c r="Z271" t="str">
        <f>IF(Y271="","",IF(Y271="[FÓRMULA MANUAL]","",IFERROR(AVERAGEIFS(nNOTA,nNIA,Y271,nCUENTA,1,nASIG,"Análisis"),"")))</f>
        <v/>
      </c>
      <c r="AA271" t="str">
        <f>IF(Y271="","",IF(Y271="[FÓRMULA MANUAL]","",IFERROR(AVERAGEIFS(nNOTA,nNIA,Y271,nCUENTA,1,nASIG,"Orquesta/Banda/Conjunto"),"")))</f>
        <v/>
      </c>
      <c r="AB271" t="str">
        <f>IF(Y271="","",IF(Y271="[FÓRMULA MANUAL]","",IFERROR(AVERAGEIFS(nNOTA,nNIA,Y271,nCUENTA,1,nASIG,"Música de Cámara"),"")))</f>
        <v/>
      </c>
      <c r="AC271" t="str">
        <f>IF(Y271="","",IF(Y271="[FÓRMULA MANUAL]","",IFERROR(SUMPRODUCT((nNIA=Y271)*(nCUENTA=1)*(COUNTIF(CONFIG_ASIGNATURAS!$B$7:$B$27,nASIG)&gt;0)*(nNOTA))/SUMPRODUCT((nNIA=Y271)*(nCUENTA=1)*(COUNTIF(CONFIG_ASIGNATURAS!$B$7:$B$27,nASIG)&gt;0)*1),"")))</f>
        <v/>
      </c>
      <c r="AF271" t="str">
        <f>IF(AE271="","",IF(AE271="[FÓRMULA MANUAL]","",IFERROR(AVERAGEIFS(nNOTA,nNIA,AE271,nCUENTA,1,nASIG,"Análisis"),"")))</f>
        <v/>
      </c>
      <c r="AG271" t="str">
        <f>IF(AE271="","",IF(AE271="[FÓRMULA MANUAL]","",IFERROR(AVERAGEIFS(nNOTA,nNIA,AE271,nCUENTA,1,nASIG,"Orquesta/Banda/Conjunto"),"")))</f>
        <v/>
      </c>
      <c r="AH271" t="str">
        <f>IF(AE271="","",IF(AE271="[FÓRMULA MANUAL]","",IFERROR(AVERAGEIFS(nNOTA,nNIA,AE271,nCUENTA,1,nASIG,"Música de Cámara"),"")))</f>
        <v/>
      </c>
      <c r="AI271" t="str">
        <f>IF(AE271="","",IF(AE271="[FÓRMULA MANUAL]","",IFERROR(SUMPRODUCT((nNIA=AE271)*(nCUENTA=1)*(COUNTIF(CONFIG_ASIGNATURAS!$B$7:$B$27,nASIG)&gt;0)*(nNOTA))/SUMPRODUCT((nNIA=AE271)*(nCUENTA=1)*(COUNTIF(CONFIG_ASIGNATURAS!$B$7:$B$27,nASIG)&gt;0)*1),"")))</f>
        <v/>
      </c>
    </row>
    <row r="272" spans="2:35" x14ac:dyDescent="0.2">
      <c r="B272" t="str">
        <f>IF(A272="","",IF(A272="[FÓRMULA MANUAL]","",IFERROR(AVERAGEIFS(nNOTA,nNIA,A272,nCUENTA,1,nASIG,"Lenguaje Musical"),"")))</f>
        <v/>
      </c>
      <c r="C272" t="str">
        <f>IF(A272="","",IF(A272="[FÓRMULA MANUAL]","",IFERROR(AVERAGEIFS(nNOTA,nNIA,A272,nCUENTA,1,nASIG,"Orquesta/Banda/Conjunto"),"")))</f>
        <v/>
      </c>
      <c r="D272" t="str">
        <f>IF(A272="","",IF(A272="[FÓRMULA MANUAL]","",IFERROR(AVERAGEIFS(nNOTA,nNIA,A272,nCUENTA,1,nASIG,"Conjunto"),"")))</f>
        <v/>
      </c>
      <c r="E272" t="str">
        <f>IF(A272="","",IF(A272="[FÓRMULA MANUAL]","",IFERROR(SUMPRODUCT((nNIA=A272)*(nCUENTA=1)*(COUNTIF(CONFIG_ASIGNATURAS!$B$7:$B$27,nASIG)&gt;0)*(nNOTA))/SUMPRODUCT((nNIA=A272)*(nCUENTA=1)*(COUNTIF(CONFIG_ASIGNATURAS!$B$7:$B$27,nASIG)&gt;0)*1),"")))</f>
        <v/>
      </c>
      <c r="H272" t="str">
        <f>IF(G272="","",IF(G272="[FÓRMULA MANUAL]","",IFERROR(AVERAGEIFS(nNOTA,nNIA,G272,nCUENTA,1,nASIG,"Lenguaje Musical"),"")))</f>
        <v/>
      </c>
      <c r="I272" t="str">
        <f>IF(G272="","",IF(G272="[FÓRMULA MANUAL]","",IFERROR(AVERAGEIFS(nNOTA,nNIA,G272,nCUENTA,1,nASIG,"Orquesta/Banda/Conjunto"),"")))</f>
        <v/>
      </c>
      <c r="J272" t="str">
        <f>IF(G272="","",IF(G272="[FÓRMULA MANUAL]","",IFERROR(AVERAGEIFS(nNOTA,nNIA,G272,nCUENTA,1,nASIG,"Conjunto"),"")))</f>
        <v/>
      </c>
      <c r="K272" t="str">
        <f>IF(G272="","",IF(G272="[FÓRMULA MANUAL]","",IFERROR(SUMPRODUCT((nNIA=G272)*(nCUENTA=1)*(COUNTIF(CONFIG_ASIGNATURAS!$B$7:$B$27,nASIG)&gt;0)*(nNOTA))/SUMPRODUCT((nNIA=G272)*(nCUENTA=1)*(COUNTIF(CONFIG_ASIGNATURAS!$B$7:$B$27,nASIG)&gt;0)*1),"")))</f>
        <v/>
      </c>
      <c r="N272" t="str">
        <f>IF(M272="","",IF(M272="[FÓRMULA MANUAL]","",IFERROR(AVERAGEIFS(nNOTA,nNIA,M272,nCUENTA,1,nASIG,"Armonía"),"")))</f>
        <v/>
      </c>
      <c r="O272" t="str">
        <f>IF(M272="","",IF(M272="[FÓRMULA MANUAL]","",IFERROR(AVERAGEIFS(nNOTA,nNIA,M272,nCUENTA,1,nASIG,"Orquesta/Banda/Conjunto"),"")))</f>
        <v/>
      </c>
      <c r="P272" t="str">
        <f>IF(M272="","",IF(M272="[FÓRMULA MANUAL]","",IFERROR(AVERAGEIFS(nNOTA,nNIA,M272,nCUENTA,1,nASIG,"Música de Cámara"),"")))</f>
        <v/>
      </c>
      <c r="Q272" t="str">
        <f>IF(M272="","",IF(M272="[FÓRMULA MANUAL]","",IFERROR(SUMPRODUCT((nNIA=M272)*(nCUENTA=1)*(COUNTIF(CONFIG_ASIGNATURAS!$B$7:$B$27,nASIG)&gt;0)*(nNOTA))/SUMPRODUCT((nNIA=M272)*(nCUENTA=1)*(COUNTIF(CONFIG_ASIGNATURAS!$B$7:$B$27,nASIG)&gt;0)*1),"")))</f>
        <v/>
      </c>
      <c r="T272" t="str">
        <f>IF(S272="","",IF(S272="[FÓRMULA MANUAL]","",IFERROR(AVERAGEIFS(nNOTA,nNIA,S272,nCUENTA,1,nASIG,"Armonía"),"")))</f>
        <v/>
      </c>
      <c r="U272" t="str">
        <f>IF(S272="","",IF(S272="[FÓRMULA MANUAL]","",IFERROR(AVERAGEIFS(nNOTA,nNIA,S272,nCUENTA,1,nASIG,"Orquesta/Banda/Conjunto"),"")))</f>
        <v/>
      </c>
      <c r="V272" t="str">
        <f>IF(S272="","",IF(S272="[FÓRMULA MANUAL]","",IFERROR(AVERAGEIFS(nNOTA,nNIA,S272,nCUENTA,1,nASIG,"Música de Cámara"),"")))</f>
        <v/>
      </c>
      <c r="W272" t="str">
        <f>IF(S272="","",IF(S272="[FÓRMULA MANUAL]","",IFERROR(SUMPRODUCT((nNIA=S272)*(nCUENTA=1)*(COUNTIF(CONFIG_ASIGNATURAS!$B$7:$B$27,nASIG)&gt;0)*(nNOTA))/SUMPRODUCT((nNIA=S272)*(nCUENTA=1)*(COUNTIF(CONFIG_ASIGNATURAS!$B$7:$B$27,nASIG)&gt;0)*1),"")))</f>
        <v/>
      </c>
      <c r="Z272" t="str">
        <f>IF(Y272="","",IF(Y272="[FÓRMULA MANUAL]","",IFERROR(AVERAGEIFS(nNOTA,nNIA,Y272,nCUENTA,1,nASIG,"Análisis"),"")))</f>
        <v/>
      </c>
      <c r="AA272" t="str">
        <f>IF(Y272="","",IF(Y272="[FÓRMULA MANUAL]","",IFERROR(AVERAGEIFS(nNOTA,nNIA,Y272,nCUENTA,1,nASIG,"Orquesta/Banda/Conjunto"),"")))</f>
        <v/>
      </c>
      <c r="AB272" t="str">
        <f>IF(Y272="","",IF(Y272="[FÓRMULA MANUAL]","",IFERROR(AVERAGEIFS(nNOTA,nNIA,Y272,nCUENTA,1,nASIG,"Música de Cámara"),"")))</f>
        <v/>
      </c>
      <c r="AC272" t="str">
        <f>IF(Y272="","",IF(Y272="[FÓRMULA MANUAL]","",IFERROR(SUMPRODUCT((nNIA=Y272)*(nCUENTA=1)*(COUNTIF(CONFIG_ASIGNATURAS!$B$7:$B$27,nASIG)&gt;0)*(nNOTA))/SUMPRODUCT((nNIA=Y272)*(nCUENTA=1)*(COUNTIF(CONFIG_ASIGNATURAS!$B$7:$B$27,nASIG)&gt;0)*1),"")))</f>
        <v/>
      </c>
      <c r="AF272" t="str">
        <f>IF(AE272="","",IF(AE272="[FÓRMULA MANUAL]","",IFERROR(AVERAGEIFS(nNOTA,nNIA,AE272,nCUENTA,1,nASIG,"Análisis"),"")))</f>
        <v/>
      </c>
      <c r="AG272" t="str">
        <f>IF(AE272="","",IF(AE272="[FÓRMULA MANUAL]","",IFERROR(AVERAGEIFS(nNOTA,nNIA,AE272,nCUENTA,1,nASIG,"Orquesta/Banda/Conjunto"),"")))</f>
        <v/>
      </c>
      <c r="AH272" t="str">
        <f>IF(AE272="","",IF(AE272="[FÓRMULA MANUAL]","",IFERROR(AVERAGEIFS(nNOTA,nNIA,AE272,nCUENTA,1,nASIG,"Música de Cámara"),"")))</f>
        <v/>
      </c>
      <c r="AI272" t="str">
        <f>IF(AE272="","",IF(AE272="[FÓRMULA MANUAL]","",IFERROR(SUMPRODUCT((nNIA=AE272)*(nCUENTA=1)*(COUNTIF(CONFIG_ASIGNATURAS!$B$7:$B$27,nASIG)&gt;0)*(nNOTA))/SUMPRODUCT((nNIA=AE272)*(nCUENTA=1)*(COUNTIF(CONFIG_ASIGNATURAS!$B$7:$B$27,nASIG)&gt;0)*1),"")))</f>
        <v/>
      </c>
    </row>
    <row r="273" spans="2:35" x14ac:dyDescent="0.2">
      <c r="B273" t="str">
        <f>IF(A273="","",IF(A273="[FÓRMULA MANUAL]","",IFERROR(AVERAGEIFS(nNOTA,nNIA,A273,nCUENTA,1,nASIG,"Lenguaje Musical"),"")))</f>
        <v/>
      </c>
      <c r="C273" t="str">
        <f>IF(A273="","",IF(A273="[FÓRMULA MANUAL]","",IFERROR(AVERAGEIFS(nNOTA,nNIA,A273,nCUENTA,1,nASIG,"Orquesta/Banda/Conjunto"),"")))</f>
        <v/>
      </c>
      <c r="D273" t="str">
        <f>IF(A273="","",IF(A273="[FÓRMULA MANUAL]","",IFERROR(AVERAGEIFS(nNOTA,nNIA,A273,nCUENTA,1,nASIG,"Conjunto"),"")))</f>
        <v/>
      </c>
      <c r="E273" t="str">
        <f>IF(A273="","",IF(A273="[FÓRMULA MANUAL]","",IFERROR(SUMPRODUCT((nNIA=A273)*(nCUENTA=1)*(COUNTIF(CONFIG_ASIGNATURAS!$B$7:$B$27,nASIG)&gt;0)*(nNOTA))/SUMPRODUCT((nNIA=A273)*(nCUENTA=1)*(COUNTIF(CONFIG_ASIGNATURAS!$B$7:$B$27,nASIG)&gt;0)*1),"")))</f>
        <v/>
      </c>
      <c r="H273" t="str">
        <f>IF(G273="","",IF(G273="[FÓRMULA MANUAL]","",IFERROR(AVERAGEIFS(nNOTA,nNIA,G273,nCUENTA,1,nASIG,"Lenguaje Musical"),"")))</f>
        <v/>
      </c>
      <c r="I273" t="str">
        <f>IF(G273="","",IF(G273="[FÓRMULA MANUAL]","",IFERROR(AVERAGEIFS(nNOTA,nNIA,G273,nCUENTA,1,nASIG,"Orquesta/Banda/Conjunto"),"")))</f>
        <v/>
      </c>
      <c r="J273" t="str">
        <f>IF(G273="","",IF(G273="[FÓRMULA MANUAL]","",IFERROR(AVERAGEIFS(nNOTA,nNIA,G273,nCUENTA,1,nASIG,"Conjunto"),"")))</f>
        <v/>
      </c>
      <c r="K273" t="str">
        <f>IF(G273="","",IF(G273="[FÓRMULA MANUAL]","",IFERROR(SUMPRODUCT((nNIA=G273)*(nCUENTA=1)*(COUNTIF(CONFIG_ASIGNATURAS!$B$7:$B$27,nASIG)&gt;0)*(nNOTA))/SUMPRODUCT((nNIA=G273)*(nCUENTA=1)*(COUNTIF(CONFIG_ASIGNATURAS!$B$7:$B$27,nASIG)&gt;0)*1),"")))</f>
        <v/>
      </c>
      <c r="N273" t="str">
        <f>IF(M273="","",IF(M273="[FÓRMULA MANUAL]","",IFERROR(AVERAGEIFS(nNOTA,nNIA,M273,nCUENTA,1,nASIG,"Armonía"),"")))</f>
        <v/>
      </c>
      <c r="O273" t="str">
        <f>IF(M273="","",IF(M273="[FÓRMULA MANUAL]","",IFERROR(AVERAGEIFS(nNOTA,nNIA,M273,nCUENTA,1,nASIG,"Orquesta/Banda/Conjunto"),"")))</f>
        <v/>
      </c>
      <c r="P273" t="str">
        <f>IF(M273="","",IF(M273="[FÓRMULA MANUAL]","",IFERROR(AVERAGEIFS(nNOTA,nNIA,M273,nCUENTA,1,nASIG,"Música de Cámara"),"")))</f>
        <v/>
      </c>
      <c r="Q273" t="str">
        <f>IF(M273="","",IF(M273="[FÓRMULA MANUAL]","",IFERROR(SUMPRODUCT((nNIA=M273)*(nCUENTA=1)*(COUNTIF(CONFIG_ASIGNATURAS!$B$7:$B$27,nASIG)&gt;0)*(nNOTA))/SUMPRODUCT((nNIA=M273)*(nCUENTA=1)*(COUNTIF(CONFIG_ASIGNATURAS!$B$7:$B$27,nASIG)&gt;0)*1),"")))</f>
        <v/>
      </c>
      <c r="T273" t="str">
        <f>IF(S273="","",IF(S273="[FÓRMULA MANUAL]","",IFERROR(AVERAGEIFS(nNOTA,nNIA,S273,nCUENTA,1,nASIG,"Armonía"),"")))</f>
        <v/>
      </c>
      <c r="U273" t="str">
        <f>IF(S273="","",IF(S273="[FÓRMULA MANUAL]","",IFERROR(AVERAGEIFS(nNOTA,nNIA,S273,nCUENTA,1,nASIG,"Orquesta/Banda/Conjunto"),"")))</f>
        <v/>
      </c>
      <c r="V273" t="str">
        <f>IF(S273="","",IF(S273="[FÓRMULA MANUAL]","",IFERROR(AVERAGEIFS(nNOTA,nNIA,S273,nCUENTA,1,nASIG,"Música de Cámara"),"")))</f>
        <v/>
      </c>
      <c r="W273" t="str">
        <f>IF(S273="","",IF(S273="[FÓRMULA MANUAL]","",IFERROR(SUMPRODUCT((nNIA=S273)*(nCUENTA=1)*(COUNTIF(CONFIG_ASIGNATURAS!$B$7:$B$27,nASIG)&gt;0)*(nNOTA))/SUMPRODUCT((nNIA=S273)*(nCUENTA=1)*(COUNTIF(CONFIG_ASIGNATURAS!$B$7:$B$27,nASIG)&gt;0)*1),"")))</f>
        <v/>
      </c>
      <c r="Z273" t="str">
        <f>IF(Y273="","",IF(Y273="[FÓRMULA MANUAL]","",IFERROR(AVERAGEIFS(nNOTA,nNIA,Y273,nCUENTA,1,nASIG,"Análisis"),"")))</f>
        <v/>
      </c>
      <c r="AA273" t="str">
        <f>IF(Y273="","",IF(Y273="[FÓRMULA MANUAL]","",IFERROR(AVERAGEIFS(nNOTA,nNIA,Y273,nCUENTA,1,nASIG,"Orquesta/Banda/Conjunto"),"")))</f>
        <v/>
      </c>
      <c r="AB273" t="str">
        <f>IF(Y273="","",IF(Y273="[FÓRMULA MANUAL]","",IFERROR(AVERAGEIFS(nNOTA,nNIA,Y273,nCUENTA,1,nASIG,"Música de Cámara"),"")))</f>
        <v/>
      </c>
      <c r="AC273" t="str">
        <f>IF(Y273="","",IF(Y273="[FÓRMULA MANUAL]","",IFERROR(SUMPRODUCT((nNIA=Y273)*(nCUENTA=1)*(COUNTIF(CONFIG_ASIGNATURAS!$B$7:$B$27,nASIG)&gt;0)*(nNOTA))/SUMPRODUCT((nNIA=Y273)*(nCUENTA=1)*(COUNTIF(CONFIG_ASIGNATURAS!$B$7:$B$27,nASIG)&gt;0)*1),"")))</f>
        <v/>
      </c>
      <c r="AF273" t="str">
        <f>IF(AE273="","",IF(AE273="[FÓRMULA MANUAL]","",IFERROR(AVERAGEIFS(nNOTA,nNIA,AE273,nCUENTA,1,nASIG,"Análisis"),"")))</f>
        <v/>
      </c>
      <c r="AG273" t="str">
        <f>IF(AE273="","",IF(AE273="[FÓRMULA MANUAL]","",IFERROR(AVERAGEIFS(nNOTA,nNIA,AE273,nCUENTA,1,nASIG,"Orquesta/Banda/Conjunto"),"")))</f>
        <v/>
      </c>
      <c r="AH273" t="str">
        <f>IF(AE273="","",IF(AE273="[FÓRMULA MANUAL]","",IFERROR(AVERAGEIFS(nNOTA,nNIA,AE273,nCUENTA,1,nASIG,"Música de Cámara"),"")))</f>
        <v/>
      </c>
      <c r="AI273" t="str">
        <f>IF(AE273="","",IF(AE273="[FÓRMULA MANUAL]","",IFERROR(SUMPRODUCT((nNIA=AE273)*(nCUENTA=1)*(COUNTIF(CONFIG_ASIGNATURAS!$B$7:$B$27,nASIG)&gt;0)*(nNOTA))/SUMPRODUCT((nNIA=AE273)*(nCUENTA=1)*(COUNTIF(CONFIG_ASIGNATURAS!$B$7:$B$27,nASIG)&gt;0)*1),"")))</f>
        <v/>
      </c>
    </row>
    <row r="274" spans="2:35" x14ac:dyDescent="0.2">
      <c r="B274" t="str">
        <f>IF(A274="","",IF(A274="[FÓRMULA MANUAL]","",IFERROR(AVERAGEIFS(nNOTA,nNIA,A274,nCUENTA,1,nASIG,"Lenguaje Musical"),"")))</f>
        <v/>
      </c>
      <c r="C274" t="str">
        <f>IF(A274="","",IF(A274="[FÓRMULA MANUAL]","",IFERROR(AVERAGEIFS(nNOTA,nNIA,A274,nCUENTA,1,nASIG,"Orquesta/Banda/Conjunto"),"")))</f>
        <v/>
      </c>
      <c r="D274" t="str">
        <f>IF(A274="","",IF(A274="[FÓRMULA MANUAL]","",IFERROR(AVERAGEIFS(nNOTA,nNIA,A274,nCUENTA,1,nASIG,"Conjunto"),"")))</f>
        <v/>
      </c>
      <c r="E274" t="str">
        <f>IF(A274="","",IF(A274="[FÓRMULA MANUAL]","",IFERROR(SUMPRODUCT((nNIA=A274)*(nCUENTA=1)*(COUNTIF(CONFIG_ASIGNATURAS!$B$7:$B$27,nASIG)&gt;0)*(nNOTA))/SUMPRODUCT((nNIA=A274)*(nCUENTA=1)*(COUNTIF(CONFIG_ASIGNATURAS!$B$7:$B$27,nASIG)&gt;0)*1),"")))</f>
        <v/>
      </c>
      <c r="H274" t="str">
        <f>IF(G274="","",IF(G274="[FÓRMULA MANUAL]","",IFERROR(AVERAGEIFS(nNOTA,nNIA,G274,nCUENTA,1,nASIG,"Lenguaje Musical"),"")))</f>
        <v/>
      </c>
      <c r="I274" t="str">
        <f>IF(G274="","",IF(G274="[FÓRMULA MANUAL]","",IFERROR(AVERAGEIFS(nNOTA,nNIA,G274,nCUENTA,1,nASIG,"Orquesta/Banda/Conjunto"),"")))</f>
        <v/>
      </c>
      <c r="J274" t="str">
        <f>IF(G274="","",IF(G274="[FÓRMULA MANUAL]","",IFERROR(AVERAGEIFS(nNOTA,nNIA,G274,nCUENTA,1,nASIG,"Conjunto"),"")))</f>
        <v/>
      </c>
      <c r="K274" t="str">
        <f>IF(G274="","",IF(G274="[FÓRMULA MANUAL]","",IFERROR(SUMPRODUCT((nNIA=G274)*(nCUENTA=1)*(COUNTIF(CONFIG_ASIGNATURAS!$B$7:$B$27,nASIG)&gt;0)*(nNOTA))/SUMPRODUCT((nNIA=G274)*(nCUENTA=1)*(COUNTIF(CONFIG_ASIGNATURAS!$B$7:$B$27,nASIG)&gt;0)*1),"")))</f>
        <v/>
      </c>
      <c r="N274" t="str">
        <f>IF(M274="","",IF(M274="[FÓRMULA MANUAL]","",IFERROR(AVERAGEIFS(nNOTA,nNIA,M274,nCUENTA,1,nASIG,"Armonía"),"")))</f>
        <v/>
      </c>
      <c r="O274" t="str">
        <f>IF(M274="","",IF(M274="[FÓRMULA MANUAL]","",IFERROR(AVERAGEIFS(nNOTA,nNIA,M274,nCUENTA,1,nASIG,"Orquesta/Banda/Conjunto"),"")))</f>
        <v/>
      </c>
      <c r="P274" t="str">
        <f>IF(M274="","",IF(M274="[FÓRMULA MANUAL]","",IFERROR(AVERAGEIFS(nNOTA,nNIA,M274,nCUENTA,1,nASIG,"Música de Cámara"),"")))</f>
        <v/>
      </c>
      <c r="Q274" t="str">
        <f>IF(M274="","",IF(M274="[FÓRMULA MANUAL]","",IFERROR(SUMPRODUCT((nNIA=M274)*(nCUENTA=1)*(COUNTIF(CONFIG_ASIGNATURAS!$B$7:$B$27,nASIG)&gt;0)*(nNOTA))/SUMPRODUCT((nNIA=M274)*(nCUENTA=1)*(COUNTIF(CONFIG_ASIGNATURAS!$B$7:$B$27,nASIG)&gt;0)*1),"")))</f>
        <v/>
      </c>
      <c r="T274" t="str">
        <f>IF(S274="","",IF(S274="[FÓRMULA MANUAL]","",IFERROR(AVERAGEIFS(nNOTA,nNIA,S274,nCUENTA,1,nASIG,"Armonía"),"")))</f>
        <v/>
      </c>
      <c r="U274" t="str">
        <f>IF(S274="","",IF(S274="[FÓRMULA MANUAL]","",IFERROR(AVERAGEIFS(nNOTA,nNIA,S274,nCUENTA,1,nASIG,"Orquesta/Banda/Conjunto"),"")))</f>
        <v/>
      </c>
      <c r="V274" t="str">
        <f>IF(S274="","",IF(S274="[FÓRMULA MANUAL]","",IFERROR(AVERAGEIFS(nNOTA,nNIA,S274,nCUENTA,1,nASIG,"Música de Cámara"),"")))</f>
        <v/>
      </c>
      <c r="W274" t="str">
        <f>IF(S274="","",IF(S274="[FÓRMULA MANUAL]","",IFERROR(SUMPRODUCT((nNIA=S274)*(nCUENTA=1)*(COUNTIF(CONFIG_ASIGNATURAS!$B$7:$B$27,nASIG)&gt;0)*(nNOTA))/SUMPRODUCT((nNIA=S274)*(nCUENTA=1)*(COUNTIF(CONFIG_ASIGNATURAS!$B$7:$B$27,nASIG)&gt;0)*1),"")))</f>
        <v/>
      </c>
      <c r="Z274" t="str">
        <f>IF(Y274="","",IF(Y274="[FÓRMULA MANUAL]","",IFERROR(AVERAGEIFS(nNOTA,nNIA,Y274,nCUENTA,1,nASIG,"Análisis"),"")))</f>
        <v/>
      </c>
      <c r="AA274" t="str">
        <f>IF(Y274="","",IF(Y274="[FÓRMULA MANUAL]","",IFERROR(AVERAGEIFS(nNOTA,nNIA,Y274,nCUENTA,1,nASIG,"Orquesta/Banda/Conjunto"),"")))</f>
        <v/>
      </c>
      <c r="AB274" t="str">
        <f>IF(Y274="","",IF(Y274="[FÓRMULA MANUAL]","",IFERROR(AVERAGEIFS(nNOTA,nNIA,Y274,nCUENTA,1,nASIG,"Música de Cámara"),"")))</f>
        <v/>
      </c>
      <c r="AC274" t="str">
        <f>IF(Y274="","",IF(Y274="[FÓRMULA MANUAL]","",IFERROR(SUMPRODUCT((nNIA=Y274)*(nCUENTA=1)*(COUNTIF(CONFIG_ASIGNATURAS!$B$7:$B$27,nASIG)&gt;0)*(nNOTA))/SUMPRODUCT((nNIA=Y274)*(nCUENTA=1)*(COUNTIF(CONFIG_ASIGNATURAS!$B$7:$B$27,nASIG)&gt;0)*1),"")))</f>
        <v/>
      </c>
      <c r="AF274" t="str">
        <f>IF(AE274="","",IF(AE274="[FÓRMULA MANUAL]","",IFERROR(AVERAGEIFS(nNOTA,nNIA,AE274,nCUENTA,1,nASIG,"Análisis"),"")))</f>
        <v/>
      </c>
      <c r="AG274" t="str">
        <f>IF(AE274="","",IF(AE274="[FÓRMULA MANUAL]","",IFERROR(AVERAGEIFS(nNOTA,nNIA,AE274,nCUENTA,1,nASIG,"Orquesta/Banda/Conjunto"),"")))</f>
        <v/>
      </c>
      <c r="AH274" t="str">
        <f>IF(AE274="","",IF(AE274="[FÓRMULA MANUAL]","",IFERROR(AVERAGEIFS(nNOTA,nNIA,AE274,nCUENTA,1,nASIG,"Música de Cámara"),"")))</f>
        <v/>
      </c>
      <c r="AI274" t="str">
        <f>IF(AE274="","",IF(AE274="[FÓRMULA MANUAL]","",IFERROR(SUMPRODUCT((nNIA=AE274)*(nCUENTA=1)*(COUNTIF(CONFIG_ASIGNATURAS!$B$7:$B$27,nASIG)&gt;0)*(nNOTA))/SUMPRODUCT((nNIA=AE274)*(nCUENTA=1)*(COUNTIF(CONFIG_ASIGNATURAS!$B$7:$B$27,nASIG)&gt;0)*1),"")))</f>
        <v/>
      </c>
    </row>
    <row r="275" spans="2:35" x14ac:dyDescent="0.2">
      <c r="B275" t="str">
        <f>IF(A275="","",IF(A275="[FÓRMULA MANUAL]","",IFERROR(AVERAGEIFS(nNOTA,nNIA,A275,nCUENTA,1,nASIG,"Lenguaje Musical"),"")))</f>
        <v/>
      </c>
      <c r="C275" t="str">
        <f>IF(A275="","",IF(A275="[FÓRMULA MANUAL]","",IFERROR(AVERAGEIFS(nNOTA,nNIA,A275,nCUENTA,1,nASIG,"Orquesta/Banda/Conjunto"),"")))</f>
        <v/>
      </c>
      <c r="D275" t="str">
        <f>IF(A275="","",IF(A275="[FÓRMULA MANUAL]","",IFERROR(AVERAGEIFS(nNOTA,nNIA,A275,nCUENTA,1,nASIG,"Conjunto"),"")))</f>
        <v/>
      </c>
      <c r="E275" t="str">
        <f>IF(A275="","",IF(A275="[FÓRMULA MANUAL]","",IFERROR(SUMPRODUCT((nNIA=A275)*(nCUENTA=1)*(COUNTIF(CONFIG_ASIGNATURAS!$B$7:$B$27,nASIG)&gt;0)*(nNOTA))/SUMPRODUCT((nNIA=A275)*(nCUENTA=1)*(COUNTIF(CONFIG_ASIGNATURAS!$B$7:$B$27,nASIG)&gt;0)*1),"")))</f>
        <v/>
      </c>
      <c r="H275" t="str">
        <f>IF(G275="","",IF(G275="[FÓRMULA MANUAL]","",IFERROR(AVERAGEIFS(nNOTA,nNIA,G275,nCUENTA,1,nASIG,"Lenguaje Musical"),"")))</f>
        <v/>
      </c>
      <c r="I275" t="str">
        <f>IF(G275="","",IF(G275="[FÓRMULA MANUAL]","",IFERROR(AVERAGEIFS(nNOTA,nNIA,G275,nCUENTA,1,nASIG,"Orquesta/Banda/Conjunto"),"")))</f>
        <v/>
      </c>
      <c r="J275" t="str">
        <f>IF(G275="","",IF(G275="[FÓRMULA MANUAL]","",IFERROR(AVERAGEIFS(nNOTA,nNIA,G275,nCUENTA,1,nASIG,"Conjunto"),"")))</f>
        <v/>
      </c>
      <c r="K275" t="str">
        <f>IF(G275="","",IF(G275="[FÓRMULA MANUAL]","",IFERROR(SUMPRODUCT((nNIA=G275)*(nCUENTA=1)*(COUNTIF(CONFIG_ASIGNATURAS!$B$7:$B$27,nASIG)&gt;0)*(nNOTA))/SUMPRODUCT((nNIA=G275)*(nCUENTA=1)*(COUNTIF(CONFIG_ASIGNATURAS!$B$7:$B$27,nASIG)&gt;0)*1),"")))</f>
        <v/>
      </c>
      <c r="N275" t="str">
        <f>IF(M275="","",IF(M275="[FÓRMULA MANUAL]","",IFERROR(AVERAGEIFS(nNOTA,nNIA,M275,nCUENTA,1,nASIG,"Armonía"),"")))</f>
        <v/>
      </c>
      <c r="O275" t="str">
        <f>IF(M275="","",IF(M275="[FÓRMULA MANUAL]","",IFERROR(AVERAGEIFS(nNOTA,nNIA,M275,nCUENTA,1,nASIG,"Orquesta/Banda/Conjunto"),"")))</f>
        <v/>
      </c>
      <c r="P275" t="str">
        <f>IF(M275="","",IF(M275="[FÓRMULA MANUAL]","",IFERROR(AVERAGEIFS(nNOTA,nNIA,M275,nCUENTA,1,nASIG,"Música de Cámara"),"")))</f>
        <v/>
      </c>
      <c r="Q275" t="str">
        <f>IF(M275="","",IF(M275="[FÓRMULA MANUAL]","",IFERROR(SUMPRODUCT((nNIA=M275)*(nCUENTA=1)*(COUNTIF(CONFIG_ASIGNATURAS!$B$7:$B$27,nASIG)&gt;0)*(nNOTA))/SUMPRODUCT((nNIA=M275)*(nCUENTA=1)*(COUNTIF(CONFIG_ASIGNATURAS!$B$7:$B$27,nASIG)&gt;0)*1),"")))</f>
        <v/>
      </c>
      <c r="T275" t="str">
        <f>IF(S275="","",IF(S275="[FÓRMULA MANUAL]","",IFERROR(AVERAGEIFS(nNOTA,nNIA,S275,nCUENTA,1,nASIG,"Armonía"),"")))</f>
        <v/>
      </c>
      <c r="U275" t="str">
        <f>IF(S275="","",IF(S275="[FÓRMULA MANUAL]","",IFERROR(AVERAGEIFS(nNOTA,nNIA,S275,nCUENTA,1,nASIG,"Orquesta/Banda/Conjunto"),"")))</f>
        <v/>
      </c>
      <c r="V275" t="str">
        <f>IF(S275="","",IF(S275="[FÓRMULA MANUAL]","",IFERROR(AVERAGEIFS(nNOTA,nNIA,S275,nCUENTA,1,nASIG,"Música de Cámara"),"")))</f>
        <v/>
      </c>
      <c r="W275" t="str">
        <f>IF(S275="","",IF(S275="[FÓRMULA MANUAL]","",IFERROR(SUMPRODUCT((nNIA=S275)*(nCUENTA=1)*(COUNTIF(CONFIG_ASIGNATURAS!$B$7:$B$27,nASIG)&gt;0)*(nNOTA))/SUMPRODUCT((nNIA=S275)*(nCUENTA=1)*(COUNTIF(CONFIG_ASIGNATURAS!$B$7:$B$27,nASIG)&gt;0)*1),"")))</f>
        <v/>
      </c>
      <c r="Z275" t="str">
        <f>IF(Y275="","",IF(Y275="[FÓRMULA MANUAL]","",IFERROR(AVERAGEIFS(nNOTA,nNIA,Y275,nCUENTA,1,nASIG,"Análisis"),"")))</f>
        <v/>
      </c>
      <c r="AA275" t="str">
        <f>IF(Y275="","",IF(Y275="[FÓRMULA MANUAL]","",IFERROR(AVERAGEIFS(nNOTA,nNIA,Y275,nCUENTA,1,nASIG,"Orquesta/Banda/Conjunto"),"")))</f>
        <v/>
      </c>
      <c r="AB275" t="str">
        <f>IF(Y275="","",IF(Y275="[FÓRMULA MANUAL]","",IFERROR(AVERAGEIFS(nNOTA,nNIA,Y275,nCUENTA,1,nASIG,"Música de Cámara"),"")))</f>
        <v/>
      </c>
      <c r="AC275" t="str">
        <f>IF(Y275="","",IF(Y275="[FÓRMULA MANUAL]","",IFERROR(SUMPRODUCT((nNIA=Y275)*(nCUENTA=1)*(COUNTIF(CONFIG_ASIGNATURAS!$B$7:$B$27,nASIG)&gt;0)*(nNOTA))/SUMPRODUCT((nNIA=Y275)*(nCUENTA=1)*(COUNTIF(CONFIG_ASIGNATURAS!$B$7:$B$27,nASIG)&gt;0)*1),"")))</f>
        <v/>
      </c>
      <c r="AF275" t="str">
        <f>IF(AE275="","",IF(AE275="[FÓRMULA MANUAL]","",IFERROR(AVERAGEIFS(nNOTA,nNIA,AE275,nCUENTA,1,nASIG,"Análisis"),"")))</f>
        <v/>
      </c>
      <c r="AG275" t="str">
        <f>IF(AE275="","",IF(AE275="[FÓRMULA MANUAL]","",IFERROR(AVERAGEIFS(nNOTA,nNIA,AE275,nCUENTA,1,nASIG,"Orquesta/Banda/Conjunto"),"")))</f>
        <v/>
      </c>
      <c r="AH275" t="str">
        <f>IF(AE275="","",IF(AE275="[FÓRMULA MANUAL]","",IFERROR(AVERAGEIFS(nNOTA,nNIA,AE275,nCUENTA,1,nASIG,"Música de Cámara"),"")))</f>
        <v/>
      </c>
      <c r="AI275" t="str">
        <f>IF(AE275="","",IF(AE275="[FÓRMULA MANUAL]","",IFERROR(SUMPRODUCT((nNIA=AE275)*(nCUENTA=1)*(COUNTIF(CONFIG_ASIGNATURAS!$B$7:$B$27,nASIG)&gt;0)*(nNOTA))/SUMPRODUCT((nNIA=AE275)*(nCUENTA=1)*(COUNTIF(CONFIG_ASIGNATURAS!$B$7:$B$27,nASIG)&gt;0)*1),"")))</f>
        <v/>
      </c>
    </row>
    <row r="276" spans="2:35" x14ac:dyDescent="0.2">
      <c r="B276" t="str">
        <f>IF(A276="","",IF(A276="[FÓRMULA MANUAL]","",IFERROR(AVERAGEIFS(nNOTA,nNIA,A276,nCUENTA,1,nASIG,"Lenguaje Musical"),"")))</f>
        <v/>
      </c>
      <c r="C276" t="str">
        <f>IF(A276="","",IF(A276="[FÓRMULA MANUAL]","",IFERROR(AVERAGEIFS(nNOTA,nNIA,A276,nCUENTA,1,nASIG,"Orquesta/Banda/Conjunto"),"")))</f>
        <v/>
      </c>
      <c r="D276" t="str">
        <f>IF(A276="","",IF(A276="[FÓRMULA MANUAL]","",IFERROR(AVERAGEIFS(nNOTA,nNIA,A276,nCUENTA,1,nASIG,"Conjunto"),"")))</f>
        <v/>
      </c>
      <c r="E276" t="str">
        <f>IF(A276="","",IF(A276="[FÓRMULA MANUAL]","",IFERROR(SUMPRODUCT((nNIA=A276)*(nCUENTA=1)*(COUNTIF(CONFIG_ASIGNATURAS!$B$7:$B$27,nASIG)&gt;0)*(nNOTA))/SUMPRODUCT((nNIA=A276)*(nCUENTA=1)*(COUNTIF(CONFIG_ASIGNATURAS!$B$7:$B$27,nASIG)&gt;0)*1),"")))</f>
        <v/>
      </c>
      <c r="H276" t="str">
        <f>IF(G276="","",IF(G276="[FÓRMULA MANUAL]","",IFERROR(AVERAGEIFS(nNOTA,nNIA,G276,nCUENTA,1,nASIG,"Lenguaje Musical"),"")))</f>
        <v/>
      </c>
      <c r="I276" t="str">
        <f>IF(G276="","",IF(G276="[FÓRMULA MANUAL]","",IFERROR(AVERAGEIFS(nNOTA,nNIA,G276,nCUENTA,1,nASIG,"Orquesta/Banda/Conjunto"),"")))</f>
        <v/>
      </c>
      <c r="J276" t="str">
        <f>IF(G276="","",IF(G276="[FÓRMULA MANUAL]","",IFERROR(AVERAGEIFS(nNOTA,nNIA,G276,nCUENTA,1,nASIG,"Conjunto"),"")))</f>
        <v/>
      </c>
      <c r="K276" t="str">
        <f>IF(G276="","",IF(G276="[FÓRMULA MANUAL]","",IFERROR(SUMPRODUCT((nNIA=G276)*(nCUENTA=1)*(COUNTIF(CONFIG_ASIGNATURAS!$B$7:$B$27,nASIG)&gt;0)*(nNOTA))/SUMPRODUCT((nNIA=G276)*(nCUENTA=1)*(COUNTIF(CONFIG_ASIGNATURAS!$B$7:$B$27,nASIG)&gt;0)*1),"")))</f>
        <v/>
      </c>
      <c r="N276" t="str">
        <f>IF(M276="","",IF(M276="[FÓRMULA MANUAL]","",IFERROR(AVERAGEIFS(nNOTA,nNIA,M276,nCUENTA,1,nASIG,"Armonía"),"")))</f>
        <v/>
      </c>
      <c r="O276" t="str">
        <f>IF(M276="","",IF(M276="[FÓRMULA MANUAL]","",IFERROR(AVERAGEIFS(nNOTA,nNIA,M276,nCUENTA,1,nASIG,"Orquesta/Banda/Conjunto"),"")))</f>
        <v/>
      </c>
      <c r="P276" t="str">
        <f>IF(M276="","",IF(M276="[FÓRMULA MANUAL]","",IFERROR(AVERAGEIFS(nNOTA,nNIA,M276,nCUENTA,1,nASIG,"Música de Cámara"),"")))</f>
        <v/>
      </c>
      <c r="Q276" t="str">
        <f>IF(M276="","",IF(M276="[FÓRMULA MANUAL]","",IFERROR(SUMPRODUCT((nNIA=M276)*(nCUENTA=1)*(COUNTIF(CONFIG_ASIGNATURAS!$B$7:$B$27,nASIG)&gt;0)*(nNOTA))/SUMPRODUCT((nNIA=M276)*(nCUENTA=1)*(COUNTIF(CONFIG_ASIGNATURAS!$B$7:$B$27,nASIG)&gt;0)*1),"")))</f>
        <v/>
      </c>
      <c r="T276" t="str">
        <f>IF(S276="","",IF(S276="[FÓRMULA MANUAL]","",IFERROR(AVERAGEIFS(nNOTA,nNIA,S276,nCUENTA,1,nASIG,"Armonía"),"")))</f>
        <v/>
      </c>
      <c r="U276" t="str">
        <f>IF(S276="","",IF(S276="[FÓRMULA MANUAL]","",IFERROR(AVERAGEIFS(nNOTA,nNIA,S276,nCUENTA,1,nASIG,"Orquesta/Banda/Conjunto"),"")))</f>
        <v/>
      </c>
      <c r="V276" t="str">
        <f>IF(S276="","",IF(S276="[FÓRMULA MANUAL]","",IFERROR(AVERAGEIFS(nNOTA,nNIA,S276,nCUENTA,1,nASIG,"Música de Cámara"),"")))</f>
        <v/>
      </c>
      <c r="W276" t="str">
        <f>IF(S276="","",IF(S276="[FÓRMULA MANUAL]","",IFERROR(SUMPRODUCT((nNIA=S276)*(nCUENTA=1)*(COUNTIF(CONFIG_ASIGNATURAS!$B$7:$B$27,nASIG)&gt;0)*(nNOTA))/SUMPRODUCT((nNIA=S276)*(nCUENTA=1)*(COUNTIF(CONFIG_ASIGNATURAS!$B$7:$B$27,nASIG)&gt;0)*1),"")))</f>
        <v/>
      </c>
      <c r="Z276" t="str">
        <f>IF(Y276="","",IF(Y276="[FÓRMULA MANUAL]","",IFERROR(AVERAGEIFS(nNOTA,nNIA,Y276,nCUENTA,1,nASIG,"Análisis"),"")))</f>
        <v/>
      </c>
      <c r="AA276" t="str">
        <f>IF(Y276="","",IF(Y276="[FÓRMULA MANUAL]","",IFERROR(AVERAGEIFS(nNOTA,nNIA,Y276,nCUENTA,1,nASIG,"Orquesta/Banda/Conjunto"),"")))</f>
        <v/>
      </c>
      <c r="AB276" t="str">
        <f>IF(Y276="","",IF(Y276="[FÓRMULA MANUAL]","",IFERROR(AVERAGEIFS(nNOTA,nNIA,Y276,nCUENTA,1,nASIG,"Música de Cámara"),"")))</f>
        <v/>
      </c>
      <c r="AC276" t="str">
        <f>IF(Y276="","",IF(Y276="[FÓRMULA MANUAL]","",IFERROR(SUMPRODUCT((nNIA=Y276)*(nCUENTA=1)*(COUNTIF(CONFIG_ASIGNATURAS!$B$7:$B$27,nASIG)&gt;0)*(nNOTA))/SUMPRODUCT((nNIA=Y276)*(nCUENTA=1)*(COUNTIF(CONFIG_ASIGNATURAS!$B$7:$B$27,nASIG)&gt;0)*1),"")))</f>
        <v/>
      </c>
      <c r="AF276" t="str">
        <f>IF(AE276="","",IF(AE276="[FÓRMULA MANUAL]","",IFERROR(AVERAGEIFS(nNOTA,nNIA,AE276,nCUENTA,1,nASIG,"Análisis"),"")))</f>
        <v/>
      </c>
      <c r="AG276" t="str">
        <f>IF(AE276="","",IF(AE276="[FÓRMULA MANUAL]","",IFERROR(AVERAGEIFS(nNOTA,nNIA,AE276,nCUENTA,1,nASIG,"Orquesta/Banda/Conjunto"),"")))</f>
        <v/>
      </c>
      <c r="AH276" t="str">
        <f>IF(AE276="","",IF(AE276="[FÓRMULA MANUAL]","",IFERROR(AVERAGEIFS(nNOTA,nNIA,AE276,nCUENTA,1,nASIG,"Música de Cámara"),"")))</f>
        <v/>
      </c>
      <c r="AI276" t="str">
        <f>IF(AE276="","",IF(AE276="[FÓRMULA MANUAL]","",IFERROR(SUMPRODUCT((nNIA=AE276)*(nCUENTA=1)*(COUNTIF(CONFIG_ASIGNATURAS!$B$7:$B$27,nASIG)&gt;0)*(nNOTA))/SUMPRODUCT((nNIA=AE276)*(nCUENTA=1)*(COUNTIF(CONFIG_ASIGNATURAS!$B$7:$B$27,nASIG)&gt;0)*1),"")))</f>
        <v/>
      </c>
    </row>
    <row r="277" spans="2:35" x14ac:dyDescent="0.2">
      <c r="B277" t="str">
        <f>IF(A277="","",IF(A277="[FÓRMULA MANUAL]","",IFERROR(AVERAGEIFS(nNOTA,nNIA,A277,nCUENTA,1,nASIG,"Lenguaje Musical"),"")))</f>
        <v/>
      </c>
      <c r="C277" t="str">
        <f>IF(A277="","",IF(A277="[FÓRMULA MANUAL]","",IFERROR(AVERAGEIFS(nNOTA,nNIA,A277,nCUENTA,1,nASIG,"Orquesta/Banda/Conjunto"),"")))</f>
        <v/>
      </c>
      <c r="D277" t="str">
        <f>IF(A277="","",IF(A277="[FÓRMULA MANUAL]","",IFERROR(AVERAGEIFS(nNOTA,nNIA,A277,nCUENTA,1,nASIG,"Conjunto"),"")))</f>
        <v/>
      </c>
      <c r="E277" t="str">
        <f>IF(A277="","",IF(A277="[FÓRMULA MANUAL]","",IFERROR(SUMPRODUCT((nNIA=A277)*(nCUENTA=1)*(COUNTIF(CONFIG_ASIGNATURAS!$B$7:$B$27,nASIG)&gt;0)*(nNOTA))/SUMPRODUCT((nNIA=A277)*(nCUENTA=1)*(COUNTIF(CONFIG_ASIGNATURAS!$B$7:$B$27,nASIG)&gt;0)*1),"")))</f>
        <v/>
      </c>
      <c r="H277" t="str">
        <f>IF(G277="","",IF(G277="[FÓRMULA MANUAL]","",IFERROR(AVERAGEIFS(nNOTA,nNIA,G277,nCUENTA,1,nASIG,"Lenguaje Musical"),"")))</f>
        <v/>
      </c>
      <c r="I277" t="str">
        <f>IF(G277="","",IF(G277="[FÓRMULA MANUAL]","",IFERROR(AVERAGEIFS(nNOTA,nNIA,G277,nCUENTA,1,nASIG,"Orquesta/Banda/Conjunto"),"")))</f>
        <v/>
      </c>
      <c r="J277" t="str">
        <f>IF(G277="","",IF(G277="[FÓRMULA MANUAL]","",IFERROR(AVERAGEIFS(nNOTA,nNIA,G277,nCUENTA,1,nASIG,"Conjunto"),"")))</f>
        <v/>
      </c>
      <c r="K277" t="str">
        <f>IF(G277="","",IF(G277="[FÓRMULA MANUAL]","",IFERROR(SUMPRODUCT((nNIA=G277)*(nCUENTA=1)*(COUNTIF(CONFIG_ASIGNATURAS!$B$7:$B$27,nASIG)&gt;0)*(nNOTA))/SUMPRODUCT((nNIA=G277)*(nCUENTA=1)*(COUNTIF(CONFIG_ASIGNATURAS!$B$7:$B$27,nASIG)&gt;0)*1),"")))</f>
        <v/>
      </c>
      <c r="N277" t="str">
        <f>IF(M277="","",IF(M277="[FÓRMULA MANUAL]","",IFERROR(AVERAGEIFS(nNOTA,nNIA,M277,nCUENTA,1,nASIG,"Armonía"),"")))</f>
        <v/>
      </c>
      <c r="O277" t="str">
        <f>IF(M277="","",IF(M277="[FÓRMULA MANUAL]","",IFERROR(AVERAGEIFS(nNOTA,nNIA,M277,nCUENTA,1,nASIG,"Orquesta/Banda/Conjunto"),"")))</f>
        <v/>
      </c>
      <c r="P277" t="str">
        <f>IF(M277="","",IF(M277="[FÓRMULA MANUAL]","",IFERROR(AVERAGEIFS(nNOTA,nNIA,M277,nCUENTA,1,nASIG,"Música de Cámara"),"")))</f>
        <v/>
      </c>
      <c r="Q277" t="str">
        <f>IF(M277="","",IF(M277="[FÓRMULA MANUAL]","",IFERROR(SUMPRODUCT((nNIA=M277)*(nCUENTA=1)*(COUNTIF(CONFIG_ASIGNATURAS!$B$7:$B$27,nASIG)&gt;0)*(nNOTA))/SUMPRODUCT((nNIA=M277)*(nCUENTA=1)*(COUNTIF(CONFIG_ASIGNATURAS!$B$7:$B$27,nASIG)&gt;0)*1),"")))</f>
        <v/>
      </c>
      <c r="T277" t="str">
        <f>IF(S277="","",IF(S277="[FÓRMULA MANUAL]","",IFERROR(AVERAGEIFS(nNOTA,nNIA,S277,nCUENTA,1,nASIG,"Armonía"),"")))</f>
        <v/>
      </c>
      <c r="U277" t="str">
        <f>IF(S277="","",IF(S277="[FÓRMULA MANUAL]","",IFERROR(AVERAGEIFS(nNOTA,nNIA,S277,nCUENTA,1,nASIG,"Orquesta/Banda/Conjunto"),"")))</f>
        <v/>
      </c>
      <c r="V277" t="str">
        <f>IF(S277="","",IF(S277="[FÓRMULA MANUAL]","",IFERROR(AVERAGEIFS(nNOTA,nNIA,S277,nCUENTA,1,nASIG,"Música de Cámara"),"")))</f>
        <v/>
      </c>
      <c r="W277" t="str">
        <f>IF(S277="","",IF(S277="[FÓRMULA MANUAL]","",IFERROR(SUMPRODUCT((nNIA=S277)*(nCUENTA=1)*(COUNTIF(CONFIG_ASIGNATURAS!$B$7:$B$27,nASIG)&gt;0)*(nNOTA))/SUMPRODUCT((nNIA=S277)*(nCUENTA=1)*(COUNTIF(CONFIG_ASIGNATURAS!$B$7:$B$27,nASIG)&gt;0)*1),"")))</f>
        <v/>
      </c>
      <c r="Z277" t="str">
        <f>IF(Y277="","",IF(Y277="[FÓRMULA MANUAL]","",IFERROR(AVERAGEIFS(nNOTA,nNIA,Y277,nCUENTA,1,nASIG,"Análisis"),"")))</f>
        <v/>
      </c>
      <c r="AA277" t="str">
        <f>IF(Y277="","",IF(Y277="[FÓRMULA MANUAL]","",IFERROR(AVERAGEIFS(nNOTA,nNIA,Y277,nCUENTA,1,nASIG,"Orquesta/Banda/Conjunto"),"")))</f>
        <v/>
      </c>
      <c r="AB277" t="str">
        <f>IF(Y277="","",IF(Y277="[FÓRMULA MANUAL]","",IFERROR(AVERAGEIFS(nNOTA,nNIA,Y277,nCUENTA,1,nASIG,"Música de Cámara"),"")))</f>
        <v/>
      </c>
      <c r="AC277" t="str">
        <f>IF(Y277="","",IF(Y277="[FÓRMULA MANUAL]","",IFERROR(SUMPRODUCT((nNIA=Y277)*(nCUENTA=1)*(COUNTIF(CONFIG_ASIGNATURAS!$B$7:$B$27,nASIG)&gt;0)*(nNOTA))/SUMPRODUCT((nNIA=Y277)*(nCUENTA=1)*(COUNTIF(CONFIG_ASIGNATURAS!$B$7:$B$27,nASIG)&gt;0)*1),"")))</f>
        <v/>
      </c>
      <c r="AF277" t="str">
        <f>IF(AE277="","",IF(AE277="[FÓRMULA MANUAL]","",IFERROR(AVERAGEIFS(nNOTA,nNIA,AE277,nCUENTA,1,nASIG,"Análisis"),"")))</f>
        <v/>
      </c>
      <c r="AG277" t="str">
        <f>IF(AE277="","",IF(AE277="[FÓRMULA MANUAL]","",IFERROR(AVERAGEIFS(nNOTA,nNIA,AE277,nCUENTA,1,nASIG,"Orquesta/Banda/Conjunto"),"")))</f>
        <v/>
      </c>
      <c r="AH277" t="str">
        <f>IF(AE277="","",IF(AE277="[FÓRMULA MANUAL]","",IFERROR(AVERAGEIFS(nNOTA,nNIA,AE277,nCUENTA,1,nASIG,"Música de Cámara"),"")))</f>
        <v/>
      </c>
      <c r="AI277" t="str">
        <f>IF(AE277="","",IF(AE277="[FÓRMULA MANUAL]","",IFERROR(SUMPRODUCT((nNIA=AE277)*(nCUENTA=1)*(COUNTIF(CONFIG_ASIGNATURAS!$B$7:$B$27,nASIG)&gt;0)*(nNOTA))/SUMPRODUCT((nNIA=AE277)*(nCUENTA=1)*(COUNTIF(CONFIG_ASIGNATURAS!$B$7:$B$27,nASIG)&gt;0)*1),"")))</f>
        <v/>
      </c>
    </row>
    <row r="278" spans="2:35" x14ac:dyDescent="0.2">
      <c r="B278" t="str">
        <f>IF(A278="","",IF(A278="[FÓRMULA MANUAL]","",IFERROR(AVERAGEIFS(nNOTA,nNIA,A278,nCUENTA,1,nASIG,"Lenguaje Musical"),"")))</f>
        <v/>
      </c>
      <c r="C278" t="str">
        <f>IF(A278="","",IF(A278="[FÓRMULA MANUAL]","",IFERROR(AVERAGEIFS(nNOTA,nNIA,A278,nCUENTA,1,nASIG,"Orquesta/Banda/Conjunto"),"")))</f>
        <v/>
      </c>
      <c r="D278" t="str">
        <f>IF(A278="","",IF(A278="[FÓRMULA MANUAL]","",IFERROR(AVERAGEIFS(nNOTA,nNIA,A278,nCUENTA,1,nASIG,"Conjunto"),"")))</f>
        <v/>
      </c>
      <c r="E278" t="str">
        <f>IF(A278="","",IF(A278="[FÓRMULA MANUAL]","",IFERROR(SUMPRODUCT((nNIA=A278)*(nCUENTA=1)*(COUNTIF(CONFIG_ASIGNATURAS!$B$7:$B$27,nASIG)&gt;0)*(nNOTA))/SUMPRODUCT((nNIA=A278)*(nCUENTA=1)*(COUNTIF(CONFIG_ASIGNATURAS!$B$7:$B$27,nASIG)&gt;0)*1),"")))</f>
        <v/>
      </c>
      <c r="H278" t="str">
        <f>IF(G278="","",IF(G278="[FÓRMULA MANUAL]","",IFERROR(AVERAGEIFS(nNOTA,nNIA,G278,nCUENTA,1,nASIG,"Lenguaje Musical"),"")))</f>
        <v/>
      </c>
      <c r="I278" t="str">
        <f>IF(G278="","",IF(G278="[FÓRMULA MANUAL]","",IFERROR(AVERAGEIFS(nNOTA,nNIA,G278,nCUENTA,1,nASIG,"Orquesta/Banda/Conjunto"),"")))</f>
        <v/>
      </c>
      <c r="J278" t="str">
        <f>IF(G278="","",IF(G278="[FÓRMULA MANUAL]","",IFERROR(AVERAGEIFS(nNOTA,nNIA,G278,nCUENTA,1,nASIG,"Conjunto"),"")))</f>
        <v/>
      </c>
      <c r="K278" t="str">
        <f>IF(G278="","",IF(G278="[FÓRMULA MANUAL]","",IFERROR(SUMPRODUCT((nNIA=G278)*(nCUENTA=1)*(COUNTIF(CONFIG_ASIGNATURAS!$B$7:$B$27,nASIG)&gt;0)*(nNOTA))/SUMPRODUCT((nNIA=G278)*(nCUENTA=1)*(COUNTIF(CONFIG_ASIGNATURAS!$B$7:$B$27,nASIG)&gt;0)*1),"")))</f>
        <v/>
      </c>
      <c r="N278" t="str">
        <f>IF(M278="","",IF(M278="[FÓRMULA MANUAL]","",IFERROR(AVERAGEIFS(nNOTA,nNIA,M278,nCUENTA,1,nASIG,"Armonía"),"")))</f>
        <v/>
      </c>
      <c r="O278" t="str">
        <f>IF(M278="","",IF(M278="[FÓRMULA MANUAL]","",IFERROR(AVERAGEIFS(nNOTA,nNIA,M278,nCUENTA,1,nASIG,"Orquesta/Banda/Conjunto"),"")))</f>
        <v/>
      </c>
      <c r="P278" t="str">
        <f>IF(M278="","",IF(M278="[FÓRMULA MANUAL]","",IFERROR(AVERAGEIFS(nNOTA,nNIA,M278,nCUENTA,1,nASIG,"Música de Cámara"),"")))</f>
        <v/>
      </c>
      <c r="Q278" t="str">
        <f>IF(M278="","",IF(M278="[FÓRMULA MANUAL]","",IFERROR(SUMPRODUCT((nNIA=M278)*(nCUENTA=1)*(COUNTIF(CONFIG_ASIGNATURAS!$B$7:$B$27,nASIG)&gt;0)*(nNOTA))/SUMPRODUCT((nNIA=M278)*(nCUENTA=1)*(COUNTIF(CONFIG_ASIGNATURAS!$B$7:$B$27,nASIG)&gt;0)*1),"")))</f>
        <v/>
      </c>
      <c r="T278" t="str">
        <f>IF(S278="","",IF(S278="[FÓRMULA MANUAL]","",IFERROR(AVERAGEIFS(nNOTA,nNIA,S278,nCUENTA,1,nASIG,"Armonía"),"")))</f>
        <v/>
      </c>
      <c r="U278" t="str">
        <f>IF(S278="","",IF(S278="[FÓRMULA MANUAL]","",IFERROR(AVERAGEIFS(nNOTA,nNIA,S278,nCUENTA,1,nASIG,"Orquesta/Banda/Conjunto"),"")))</f>
        <v/>
      </c>
      <c r="V278" t="str">
        <f>IF(S278="","",IF(S278="[FÓRMULA MANUAL]","",IFERROR(AVERAGEIFS(nNOTA,nNIA,S278,nCUENTA,1,nASIG,"Música de Cámara"),"")))</f>
        <v/>
      </c>
      <c r="W278" t="str">
        <f>IF(S278="","",IF(S278="[FÓRMULA MANUAL]","",IFERROR(SUMPRODUCT((nNIA=S278)*(nCUENTA=1)*(COUNTIF(CONFIG_ASIGNATURAS!$B$7:$B$27,nASIG)&gt;0)*(nNOTA))/SUMPRODUCT((nNIA=S278)*(nCUENTA=1)*(COUNTIF(CONFIG_ASIGNATURAS!$B$7:$B$27,nASIG)&gt;0)*1),"")))</f>
        <v/>
      </c>
      <c r="Z278" t="str">
        <f>IF(Y278="","",IF(Y278="[FÓRMULA MANUAL]","",IFERROR(AVERAGEIFS(nNOTA,nNIA,Y278,nCUENTA,1,nASIG,"Análisis"),"")))</f>
        <v/>
      </c>
      <c r="AA278" t="str">
        <f>IF(Y278="","",IF(Y278="[FÓRMULA MANUAL]","",IFERROR(AVERAGEIFS(nNOTA,nNIA,Y278,nCUENTA,1,nASIG,"Orquesta/Banda/Conjunto"),"")))</f>
        <v/>
      </c>
      <c r="AB278" t="str">
        <f>IF(Y278="","",IF(Y278="[FÓRMULA MANUAL]","",IFERROR(AVERAGEIFS(nNOTA,nNIA,Y278,nCUENTA,1,nASIG,"Música de Cámara"),"")))</f>
        <v/>
      </c>
      <c r="AC278" t="str">
        <f>IF(Y278="","",IF(Y278="[FÓRMULA MANUAL]","",IFERROR(SUMPRODUCT((nNIA=Y278)*(nCUENTA=1)*(COUNTIF(CONFIG_ASIGNATURAS!$B$7:$B$27,nASIG)&gt;0)*(nNOTA))/SUMPRODUCT((nNIA=Y278)*(nCUENTA=1)*(COUNTIF(CONFIG_ASIGNATURAS!$B$7:$B$27,nASIG)&gt;0)*1),"")))</f>
        <v/>
      </c>
      <c r="AF278" t="str">
        <f>IF(AE278="","",IF(AE278="[FÓRMULA MANUAL]","",IFERROR(AVERAGEIFS(nNOTA,nNIA,AE278,nCUENTA,1,nASIG,"Análisis"),"")))</f>
        <v/>
      </c>
      <c r="AG278" t="str">
        <f>IF(AE278="","",IF(AE278="[FÓRMULA MANUAL]","",IFERROR(AVERAGEIFS(nNOTA,nNIA,AE278,nCUENTA,1,nASIG,"Orquesta/Banda/Conjunto"),"")))</f>
        <v/>
      </c>
      <c r="AH278" t="str">
        <f>IF(AE278="","",IF(AE278="[FÓRMULA MANUAL]","",IFERROR(AVERAGEIFS(nNOTA,nNIA,AE278,nCUENTA,1,nASIG,"Música de Cámara"),"")))</f>
        <v/>
      </c>
      <c r="AI278" t="str">
        <f>IF(AE278="","",IF(AE278="[FÓRMULA MANUAL]","",IFERROR(SUMPRODUCT((nNIA=AE278)*(nCUENTA=1)*(COUNTIF(CONFIG_ASIGNATURAS!$B$7:$B$27,nASIG)&gt;0)*(nNOTA))/SUMPRODUCT((nNIA=AE278)*(nCUENTA=1)*(COUNTIF(CONFIG_ASIGNATURAS!$B$7:$B$27,nASIG)&gt;0)*1),"")))</f>
        <v/>
      </c>
    </row>
    <row r="279" spans="2:35" x14ac:dyDescent="0.2">
      <c r="B279" t="str">
        <f>IF(A279="","",IF(A279="[FÓRMULA MANUAL]","",IFERROR(AVERAGEIFS(nNOTA,nNIA,A279,nCUENTA,1,nASIG,"Lenguaje Musical"),"")))</f>
        <v/>
      </c>
      <c r="C279" t="str">
        <f>IF(A279="","",IF(A279="[FÓRMULA MANUAL]","",IFERROR(AVERAGEIFS(nNOTA,nNIA,A279,nCUENTA,1,nASIG,"Orquesta/Banda/Conjunto"),"")))</f>
        <v/>
      </c>
      <c r="D279" t="str">
        <f>IF(A279="","",IF(A279="[FÓRMULA MANUAL]","",IFERROR(AVERAGEIFS(nNOTA,nNIA,A279,nCUENTA,1,nASIG,"Conjunto"),"")))</f>
        <v/>
      </c>
      <c r="E279" t="str">
        <f>IF(A279="","",IF(A279="[FÓRMULA MANUAL]","",IFERROR(SUMPRODUCT((nNIA=A279)*(nCUENTA=1)*(COUNTIF(CONFIG_ASIGNATURAS!$B$7:$B$27,nASIG)&gt;0)*(nNOTA))/SUMPRODUCT((nNIA=A279)*(nCUENTA=1)*(COUNTIF(CONFIG_ASIGNATURAS!$B$7:$B$27,nASIG)&gt;0)*1),"")))</f>
        <v/>
      </c>
      <c r="H279" t="str">
        <f>IF(G279="","",IF(G279="[FÓRMULA MANUAL]","",IFERROR(AVERAGEIFS(nNOTA,nNIA,G279,nCUENTA,1,nASIG,"Lenguaje Musical"),"")))</f>
        <v/>
      </c>
      <c r="I279" t="str">
        <f>IF(G279="","",IF(G279="[FÓRMULA MANUAL]","",IFERROR(AVERAGEIFS(nNOTA,nNIA,G279,nCUENTA,1,nASIG,"Orquesta/Banda/Conjunto"),"")))</f>
        <v/>
      </c>
      <c r="J279" t="str">
        <f>IF(G279="","",IF(G279="[FÓRMULA MANUAL]","",IFERROR(AVERAGEIFS(nNOTA,nNIA,G279,nCUENTA,1,nASIG,"Conjunto"),"")))</f>
        <v/>
      </c>
      <c r="K279" t="str">
        <f>IF(G279="","",IF(G279="[FÓRMULA MANUAL]","",IFERROR(SUMPRODUCT((nNIA=G279)*(nCUENTA=1)*(COUNTIF(CONFIG_ASIGNATURAS!$B$7:$B$27,nASIG)&gt;0)*(nNOTA))/SUMPRODUCT((nNIA=G279)*(nCUENTA=1)*(COUNTIF(CONFIG_ASIGNATURAS!$B$7:$B$27,nASIG)&gt;0)*1),"")))</f>
        <v/>
      </c>
      <c r="N279" t="str">
        <f>IF(M279="","",IF(M279="[FÓRMULA MANUAL]","",IFERROR(AVERAGEIFS(nNOTA,nNIA,M279,nCUENTA,1,nASIG,"Armonía"),"")))</f>
        <v/>
      </c>
      <c r="O279" t="str">
        <f>IF(M279="","",IF(M279="[FÓRMULA MANUAL]","",IFERROR(AVERAGEIFS(nNOTA,nNIA,M279,nCUENTA,1,nASIG,"Orquesta/Banda/Conjunto"),"")))</f>
        <v/>
      </c>
      <c r="P279" t="str">
        <f>IF(M279="","",IF(M279="[FÓRMULA MANUAL]","",IFERROR(AVERAGEIFS(nNOTA,nNIA,M279,nCUENTA,1,nASIG,"Música de Cámara"),"")))</f>
        <v/>
      </c>
      <c r="Q279" t="str">
        <f>IF(M279="","",IF(M279="[FÓRMULA MANUAL]","",IFERROR(SUMPRODUCT((nNIA=M279)*(nCUENTA=1)*(COUNTIF(CONFIG_ASIGNATURAS!$B$7:$B$27,nASIG)&gt;0)*(nNOTA))/SUMPRODUCT((nNIA=M279)*(nCUENTA=1)*(COUNTIF(CONFIG_ASIGNATURAS!$B$7:$B$27,nASIG)&gt;0)*1),"")))</f>
        <v/>
      </c>
      <c r="T279" t="str">
        <f>IF(S279="","",IF(S279="[FÓRMULA MANUAL]","",IFERROR(AVERAGEIFS(nNOTA,nNIA,S279,nCUENTA,1,nASIG,"Armonía"),"")))</f>
        <v/>
      </c>
      <c r="U279" t="str">
        <f>IF(S279="","",IF(S279="[FÓRMULA MANUAL]","",IFERROR(AVERAGEIFS(nNOTA,nNIA,S279,nCUENTA,1,nASIG,"Orquesta/Banda/Conjunto"),"")))</f>
        <v/>
      </c>
      <c r="V279" t="str">
        <f>IF(S279="","",IF(S279="[FÓRMULA MANUAL]","",IFERROR(AVERAGEIFS(nNOTA,nNIA,S279,nCUENTA,1,nASIG,"Música de Cámara"),"")))</f>
        <v/>
      </c>
      <c r="W279" t="str">
        <f>IF(S279="","",IF(S279="[FÓRMULA MANUAL]","",IFERROR(SUMPRODUCT((nNIA=S279)*(nCUENTA=1)*(COUNTIF(CONFIG_ASIGNATURAS!$B$7:$B$27,nASIG)&gt;0)*(nNOTA))/SUMPRODUCT((nNIA=S279)*(nCUENTA=1)*(COUNTIF(CONFIG_ASIGNATURAS!$B$7:$B$27,nASIG)&gt;0)*1),"")))</f>
        <v/>
      </c>
      <c r="Z279" t="str">
        <f>IF(Y279="","",IF(Y279="[FÓRMULA MANUAL]","",IFERROR(AVERAGEIFS(nNOTA,nNIA,Y279,nCUENTA,1,nASIG,"Análisis"),"")))</f>
        <v/>
      </c>
      <c r="AA279" t="str">
        <f>IF(Y279="","",IF(Y279="[FÓRMULA MANUAL]","",IFERROR(AVERAGEIFS(nNOTA,nNIA,Y279,nCUENTA,1,nASIG,"Orquesta/Banda/Conjunto"),"")))</f>
        <v/>
      </c>
      <c r="AB279" t="str">
        <f>IF(Y279="","",IF(Y279="[FÓRMULA MANUAL]","",IFERROR(AVERAGEIFS(nNOTA,nNIA,Y279,nCUENTA,1,nASIG,"Música de Cámara"),"")))</f>
        <v/>
      </c>
      <c r="AC279" t="str">
        <f>IF(Y279="","",IF(Y279="[FÓRMULA MANUAL]","",IFERROR(SUMPRODUCT((nNIA=Y279)*(nCUENTA=1)*(COUNTIF(CONFIG_ASIGNATURAS!$B$7:$B$27,nASIG)&gt;0)*(nNOTA))/SUMPRODUCT((nNIA=Y279)*(nCUENTA=1)*(COUNTIF(CONFIG_ASIGNATURAS!$B$7:$B$27,nASIG)&gt;0)*1),"")))</f>
        <v/>
      </c>
      <c r="AF279" t="str">
        <f>IF(AE279="","",IF(AE279="[FÓRMULA MANUAL]","",IFERROR(AVERAGEIFS(nNOTA,nNIA,AE279,nCUENTA,1,nASIG,"Análisis"),"")))</f>
        <v/>
      </c>
      <c r="AG279" t="str">
        <f>IF(AE279="","",IF(AE279="[FÓRMULA MANUAL]","",IFERROR(AVERAGEIFS(nNOTA,nNIA,AE279,nCUENTA,1,nASIG,"Orquesta/Banda/Conjunto"),"")))</f>
        <v/>
      </c>
      <c r="AH279" t="str">
        <f>IF(AE279="","",IF(AE279="[FÓRMULA MANUAL]","",IFERROR(AVERAGEIFS(nNOTA,nNIA,AE279,nCUENTA,1,nASIG,"Música de Cámara"),"")))</f>
        <v/>
      </c>
      <c r="AI279" t="str">
        <f>IF(AE279="","",IF(AE279="[FÓRMULA MANUAL]","",IFERROR(SUMPRODUCT((nNIA=AE279)*(nCUENTA=1)*(COUNTIF(CONFIG_ASIGNATURAS!$B$7:$B$27,nASIG)&gt;0)*(nNOTA))/SUMPRODUCT((nNIA=AE279)*(nCUENTA=1)*(COUNTIF(CONFIG_ASIGNATURAS!$B$7:$B$27,nASIG)&gt;0)*1),"")))</f>
        <v/>
      </c>
    </row>
    <row r="280" spans="2:35" x14ac:dyDescent="0.2">
      <c r="B280" t="str">
        <f>IF(A280="","",IF(A280="[FÓRMULA MANUAL]","",IFERROR(AVERAGEIFS(nNOTA,nNIA,A280,nCUENTA,1,nASIG,"Lenguaje Musical"),"")))</f>
        <v/>
      </c>
      <c r="C280" t="str">
        <f>IF(A280="","",IF(A280="[FÓRMULA MANUAL]","",IFERROR(AVERAGEIFS(nNOTA,nNIA,A280,nCUENTA,1,nASIG,"Orquesta/Banda/Conjunto"),"")))</f>
        <v/>
      </c>
      <c r="D280" t="str">
        <f>IF(A280="","",IF(A280="[FÓRMULA MANUAL]","",IFERROR(AVERAGEIFS(nNOTA,nNIA,A280,nCUENTA,1,nASIG,"Conjunto"),"")))</f>
        <v/>
      </c>
      <c r="E280" t="str">
        <f>IF(A280="","",IF(A280="[FÓRMULA MANUAL]","",IFERROR(SUMPRODUCT((nNIA=A280)*(nCUENTA=1)*(COUNTIF(CONFIG_ASIGNATURAS!$B$7:$B$27,nASIG)&gt;0)*(nNOTA))/SUMPRODUCT((nNIA=A280)*(nCUENTA=1)*(COUNTIF(CONFIG_ASIGNATURAS!$B$7:$B$27,nASIG)&gt;0)*1),"")))</f>
        <v/>
      </c>
      <c r="H280" t="str">
        <f>IF(G280="","",IF(G280="[FÓRMULA MANUAL]","",IFERROR(AVERAGEIFS(nNOTA,nNIA,G280,nCUENTA,1,nASIG,"Lenguaje Musical"),"")))</f>
        <v/>
      </c>
      <c r="I280" t="str">
        <f>IF(G280="","",IF(G280="[FÓRMULA MANUAL]","",IFERROR(AVERAGEIFS(nNOTA,nNIA,G280,nCUENTA,1,nASIG,"Orquesta/Banda/Conjunto"),"")))</f>
        <v/>
      </c>
      <c r="J280" t="str">
        <f>IF(G280="","",IF(G280="[FÓRMULA MANUAL]","",IFERROR(AVERAGEIFS(nNOTA,nNIA,G280,nCUENTA,1,nASIG,"Conjunto"),"")))</f>
        <v/>
      </c>
      <c r="K280" t="str">
        <f>IF(G280="","",IF(G280="[FÓRMULA MANUAL]","",IFERROR(SUMPRODUCT((nNIA=G280)*(nCUENTA=1)*(COUNTIF(CONFIG_ASIGNATURAS!$B$7:$B$27,nASIG)&gt;0)*(nNOTA))/SUMPRODUCT((nNIA=G280)*(nCUENTA=1)*(COUNTIF(CONFIG_ASIGNATURAS!$B$7:$B$27,nASIG)&gt;0)*1),"")))</f>
        <v/>
      </c>
      <c r="N280" t="str">
        <f>IF(M280="","",IF(M280="[FÓRMULA MANUAL]","",IFERROR(AVERAGEIFS(nNOTA,nNIA,M280,nCUENTA,1,nASIG,"Armonía"),"")))</f>
        <v/>
      </c>
      <c r="O280" t="str">
        <f>IF(M280="","",IF(M280="[FÓRMULA MANUAL]","",IFERROR(AVERAGEIFS(nNOTA,nNIA,M280,nCUENTA,1,nASIG,"Orquesta/Banda/Conjunto"),"")))</f>
        <v/>
      </c>
      <c r="P280" t="str">
        <f>IF(M280="","",IF(M280="[FÓRMULA MANUAL]","",IFERROR(AVERAGEIFS(nNOTA,nNIA,M280,nCUENTA,1,nASIG,"Música de Cámara"),"")))</f>
        <v/>
      </c>
      <c r="Q280" t="str">
        <f>IF(M280="","",IF(M280="[FÓRMULA MANUAL]","",IFERROR(SUMPRODUCT((nNIA=M280)*(nCUENTA=1)*(COUNTIF(CONFIG_ASIGNATURAS!$B$7:$B$27,nASIG)&gt;0)*(nNOTA))/SUMPRODUCT((nNIA=M280)*(nCUENTA=1)*(COUNTIF(CONFIG_ASIGNATURAS!$B$7:$B$27,nASIG)&gt;0)*1),"")))</f>
        <v/>
      </c>
      <c r="T280" t="str">
        <f>IF(S280="","",IF(S280="[FÓRMULA MANUAL]","",IFERROR(AVERAGEIFS(nNOTA,nNIA,S280,nCUENTA,1,nASIG,"Armonía"),"")))</f>
        <v/>
      </c>
      <c r="U280" t="str">
        <f>IF(S280="","",IF(S280="[FÓRMULA MANUAL]","",IFERROR(AVERAGEIFS(nNOTA,nNIA,S280,nCUENTA,1,nASIG,"Orquesta/Banda/Conjunto"),"")))</f>
        <v/>
      </c>
      <c r="V280" t="str">
        <f>IF(S280="","",IF(S280="[FÓRMULA MANUAL]","",IFERROR(AVERAGEIFS(nNOTA,nNIA,S280,nCUENTA,1,nASIG,"Música de Cámara"),"")))</f>
        <v/>
      </c>
      <c r="W280" t="str">
        <f>IF(S280="","",IF(S280="[FÓRMULA MANUAL]","",IFERROR(SUMPRODUCT((nNIA=S280)*(nCUENTA=1)*(COUNTIF(CONFIG_ASIGNATURAS!$B$7:$B$27,nASIG)&gt;0)*(nNOTA))/SUMPRODUCT((nNIA=S280)*(nCUENTA=1)*(COUNTIF(CONFIG_ASIGNATURAS!$B$7:$B$27,nASIG)&gt;0)*1),"")))</f>
        <v/>
      </c>
      <c r="Z280" t="str">
        <f>IF(Y280="","",IF(Y280="[FÓRMULA MANUAL]","",IFERROR(AVERAGEIFS(nNOTA,nNIA,Y280,nCUENTA,1,nASIG,"Análisis"),"")))</f>
        <v/>
      </c>
      <c r="AA280" t="str">
        <f>IF(Y280="","",IF(Y280="[FÓRMULA MANUAL]","",IFERROR(AVERAGEIFS(nNOTA,nNIA,Y280,nCUENTA,1,nASIG,"Orquesta/Banda/Conjunto"),"")))</f>
        <v/>
      </c>
      <c r="AB280" t="str">
        <f>IF(Y280="","",IF(Y280="[FÓRMULA MANUAL]","",IFERROR(AVERAGEIFS(nNOTA,nNIA,Y280,nCUENTA,1,nASIG,"Música de Cámara"),"")))</f>
        <v/>
      </c>
      <c r="AC280" t="str">
        <f>IF(Y280="","",IF(Y280="[FÓRMULA MANUAL]","",IFERROR(SUMPRODUCT((nNIA=Y280)*(nCUENTA=1)*(COUNTIF(CONFIG_ASIGNATURAS!$B$7:$B$27,nASIG)&gt;0)*(nNOTA))/SUMPRODUCT((nNIA=Y280)*(nCUENTA=1)*(COUNTIF(CONFIG_ASIGNATURAS!$B$7:$B$27,nASIG)&gt;0)*1),"")))</f>
        <v/>
      </c>
      <c r="AF280" t="str">
        <f>IF(AE280="","",IF(AE280="[FÓRMULA MANUAL]","",IFERROR(AVERAGEIFS(nNOTA,nNIA,AE280,nCUENTA,1,nASIG,"Análisis"),"")))</f>
        <v/>
      </c>
      <c r="AG280" t="str">
        <f>IF(AE280="","",IF(AE280="[FÓRMULA MANUAL]","",IFERROR(AVERAGEIFS(nNOTA,nNIA,AE280,nCUENTA,1,nASIG,"Orquesta/Banda/Conjunto"),"")))</f>
        <v/>
      </c>
      <c r="AH280" t="str">
        <f>IF(AE280="","",IF(AE280="[FÓRMULA MANUAL]","",IFERROR(AVERAGEIFS(nNOTA,nNIA,AE280,nCUENTA,1,nASIG,"Música de Cámara"),"")))</f>
        <v/>
      </c>
      <c r="AI280" t="str">
        <f>IF(AE280="","",IF(AE280="[FÓRMULA MANUAL]","",IFERROR(SUMPRODUCT((nNIA=AE280)*(nCUENTA=1)*(COUNTIF(CONFIG_ASIGNATURAS!$B$7:$B$27,nASIG)&gt;0)*(nNOTA))/SUMPRODUCT((nNIA=AE280)*(nCUENTA=1)*(COUNTIF(CONFIG_ASIGNATURAS!$B$7:$B$27,nASIG)&gt;0)*1),"")))</f>
        <v/>
      </c>
    </row>
    <row r="281" spans="2:35" x14ac:dyDescent="0.2">
      <c r="B281" t="str">
        <f>IF(A281="","",IF(A281="[FÓRMULA MANUAL]","",IFERROR(AVERAGEIFS(nNOTA,nNIA,A281,nCUENTA,1,nASIG,"Lenguaje Musical"),"")))</f>
        <v/>
      </c>
      <c r="C281" t="str">
        <f>IF(A281="","",IF(A281="[FÓRMULA MANUAL]","",IFERROR(AVERAGEIFS(nNOTA,nNIA,A281,nCUENTA,1,nASIG,"Orquesta/Banda/Conjunto"),"")))</f>
        <v/>
      </c>
      <c r="D281" t="str">
        <f>IF(A281="","",IF(A281="[FÓRMULA MANUAL]","",IFERROR(AVERAGEIFS(nNOTA,nNIA,A281,nCUENTA,1,nASIG,"Conjunto"),"")))</f>
        <v/>
      </c>
      <c r="E281" t="str">
        <f>IF(A281="","",IF(A281="[FÓRMULA MANUAL]","",IFERROR(SUMPRODUCT((nNIA=A281)*(nCUENTA=1)*(COUNTIF(CONFIG_ASIGNATURAS!$B$7:$B$27,nASIG)&gt;0)*(nNOTA))/SUMPRODUCT((nNIA=A281)*(nCUENTA=1)*(COUNTIF(CONFIG_ASIGNATURAS!$B$7:$B$27,nASIG)&gt;0)*1),"")))</f>
        <v/>
      </c>
      <c r="H281" t="str">
        <f>IF(G281="","",IF(G281="[FÓRMULA MANUAL]","",IFERROR(AVERAGEIFS(nNOTA,nNIA,G281,nCUENTA,1,nASIG,"Lenguaje Musical"),"")))</f>
        <v/>
      </c>
      <c r="I281" t="str">
        <f>IF(G281="","",IF(G281="[FÓRMULA MANUAL]","",IFERROR(AVERAGEIFS(nNOTA,nNIA,G281,nCUENTA,1,nASIG,"Orquesta/Banda/Conjunto"),"")))</f>
        <v/>
      </c>
      <c r="J281" t="str">
        <f>IF(G281="","",IF(G281="[FÓRMULA MANUAL]","",IFERROR(AVERAGEIFS(nNOTA,nNIA,G281,nCUENTA,1,nASIG,"Conjunto"),"")))</f>
        <v/>
      </c>
      <c r="K281" t="str">
        <f>IF(G281="","",IF(G281="[FÓRMULA MANUAL]","",IFERROR(SUMPRODUCT((nNIA=G281)*(nCUENTA=1)*(COUNTIF(CONFIG_ASIGNATURAS!$B$7:$B$27,nASIG)&gt;0)*(nNOTA))/SUMPRODUCT((nNIA=G281)*(nCUENTA=1)*(COUNTIF(CONFIG_ASIGNATURAS!$B$7:$B$27,nASIG)&gt;0)*1),"")))</f>
        <v/>
      </c>
      <c r="N281" t="str">
        <f>IF(M281="","",IF(M281="[FÓRMULA MANUAL]","",IFERROR(AVERAGEIFS(nNOTA,nNIA,M281,nCUENTA,1,nASIG,"Armonía"),"")))</f>
        <v/>
      </c>
      <c r="O281" t="str">
        <f>IF(M281="","",IF(M281="[FÓRMULA MANUAL]","",IFERROR(AVERAGEIFS(nNOTA,nNIA,M281,nCUENTA,1,nASIG,"Orquesta/Banda/Conjunto"),"")))</f>
        <v/>
      </c>
      <c r="P281" t="str">
        <f>IF(M281="","",IF(M281="[FÓRMULA MANUAL]","",IFERROR(AVERAGEIFS(nNOTA,nNIA,M281,nCUENTA,1,nASIG,"Música de Cámara"),"")))</f>
        <v/>
      </c>
      <c r="Q281" t="str">
        <f>IF(M281="","",IF(M281="[FÓRMULA MANUAL]","",IFERROR(SUMPRODUCT((nNIA=M281)*(nCUENTA=1)*(COUNTIF(CONFIG_ASIGNATURAS!$B$7:$B$27,nASIG)&gt;0)*(nNOTA))/SUMPRODUCT((nNIA=M281)*(nCUENTA=1)*(COUNTIF(CONFIG_ASIGNATURAS!$B$7:$B$27,nASIG)&gt;0)*1),"")))</f>
        <v/>
      </c>
      <c r="T281" t="str">
        <f>IF(S281="","",IF(S281="[FÓRMULA MANUAL]","",IFERROR(AVERAGEIFS(nNOTA,nNIA,S281,nCUENTA,1,nASIG,"Armonía"),"")))</f>
        <v/>
      </c>
      <c r="U281" t="str">
        <f>IF(S281="","",IF(S281="[FÓRMULA MANUAL]","",IFERROR(AVERAGEIFS(nNOTA,nNIA,S281,nCUENTA,1,nASIG,"Orquesta/Banda/Conjunto"),"")))</f>
        <v/>
      </c>
      <c r="V281" t="str">
        <f>IF(S281="","",IF(S281="[FÓRMULA MANUAL]","",IFERROR(AVERAGEIFS(nNOTA,nNIA,S281,nCUENTA,1,nASIG,"Música de Cámara"),"")))</f>
        <v/>
      </c>
      <c r="W281" t="str">
        <f>IF(S281="","",IF(S281="[FÓRMULA MANUAL]","",IFERROR(SUMPRODUCT((nNIA=S281)*(nCUENTA=1)*(COUNTIF(CONFIG_ASIGNATURAS!$B$7:$B$27,nASIG)&gt;0)*(nNOTA))/SUMPRODUCT((nNIA=S281)*(nCUENTA=1)*(COUNTIF(CONFIG_ASIGNATURAS!$B$7:$B$27,nASIG)&gt;0)*1),"")))</f>
        <v/>
      </c>
      <c r="Z281" t="str">
        <f>IF(Y281="","",IF(Y281="[FÓRMULA MANUAL]","",IFERROR(AVERAGEIFS(nNOTA,nNIA,Y281,nCUENTA,1,nASIG,"Análisis"),"")))</f>
        <v/>
      </c>
      <c r="AA281" t="str">
        <f>IF(Y281="","",IF(Y281="[FÓRMULA MANUAL]","",IFERROR(AVERAGEIFS(nNOTA,nNIA,Y281,nCUENTA,1,nASIG,"Orquesta/Banda/Conjunto"),"")))</f>
        <v/>
      </c>
      <c r="AB281" t="str">
        <f>IF(Y281="","",IF(Y281="[FÓRMULA MANUAL]","",IFERROR(AVERAGEIFS(nNOTA,nNIA,Y281,nCUENTA,1,nASIG,"Música de Cámara"),"")))</f>
        <v/>
      </c>
      <c r="AC281" t="str">
        <f>IF(Y281="","",IF(Y281="[FÓRMULA MANUAL]","",IFERROR(SUMPRODUCT((nNIA=Y281)*(nCUENTA=1)*(COUNTIF(CONFIG_ASIGNATURAS!$B$7:$B$27,nASIG)&gt;0)*(nNOTA))/SUMPRODUCT((nNIA=Y281)*(nCUENTA=1)*(COUNTIF(CONFIG_ASIGNATURAS!$B$7:$B$27,nASIG)&gt;0)*1),"")))</f>
        <v/>
      </c>
      <c r="AF281" t="str">
        <f>IF(AE281="","",IF(AE281="[FÓRMULA MANUAL]","",IFERROR(AVERAGEIFS(nNOTA,nNIA,AE281,nCUENTA,1,nASIG,"Análisis"),"")))</f>
        <v/>
      </c>
      <c r="AG281" t="str">
        <f>IF(AE281="","",IF(AE281="[FÓRMULA MANUAL]","",IFERROR(AVERAGEIFS(nNOTA,nNIA,AE281,nCUENTA,1,nASIG,"Orquesta/Banda/Conjunto"),"")))</f>
        <v/>
      </c>
      <c r="AH281" t="str">
        <f>IF(AE281="","",IF(AE281="[FÓRMULA MANUAL]","",IFERROR(AVERAGEIFS(nNOTA,nNIA,AE281,nCUENTA,1,nASIG,"Música de Cámara"),"")))</f>
        <v/>
      </c>
      <c r="AI281" t="str">
        <f>IF(AE281="","",IF(AE281="[FÓRMULA MANUAL]","",IFERROR(SUMPRODUCT((nNIA=AE281)*(nCUENTA=1)*(COUNTIF(CONFIG_ASIGNATURAS!$B$7:$B$27,nASIG)&gt;0)*(nNOTA))/SUMPRODUCT((nNIA=AE281)*(nCUENTA=1)*(COUNTIF(CONFIG_ASIGNATURAS!$B$7:$B$27,nASIG)&gt;0)*1),"")))</f>
        <v/>
      </c>
    </row>
    <row r="282" spans="2:35" x14ac:dyDescent="0.2">
      <c r="B282" t="str">
        <f>IF(A282="","",IF(A282="[FÓRMULA MANUAL]","",IFERROR(AVERAGEIFS(nNOTA,nNIA,A282,nCUENTA,1,nASIG,"Lenguaje Musical"),"")))</f>
        <v/>
      </c>
      <c r="C282" t="str">
        <f>IF(A282="","",IF(A282="[FÓRMULA MANUAL]","",IFERROR(AVERAGEIFS(nNOTA,nNIA,A282,nCUENTA,1,nASIG,"Orquesta/Banda/Conjunto"),"")))</f>
        <v/>
      </c>
      <c r="D282" t="str">
        <f>IF(A282="","",IF(A282="[FÓRMULA MANUAL]","",IFERROR(AVERAGEIFS(nNOTA,nNIA,A282,nCUENTA,1,nASIG,"Conjunto"),"")))</f>
        <v/>
      </c>
      <c r="E282" t="str">
        <f>IF(A282="","",IF(A282="[FÓRMULA MANUAL]","",IFERROR(SUMPRODUCT((nNIA=A282)*(nCUENTA=1)*(COUNTIF(CONFIG_ASIGNATURAS!$B$7:$B$27,nASIG)&gt;0)*(nNOTA))/SUMPRODUCT((nNIA=A282)*(nCUENTA=1)*(COUNTIF(CONFIG_ASIGNATURAS!$B$7:$B$27,nASIG)&gt;0)*1),"")))</f>
        <v/>
      </c>
      <c r="H282" t="str">
        <f>IF(G282="","",IF(G282="[FÓRMULA MANUAL]","",IFERROR(AVERAGEIFS(nNOTA,nNIA,G282,nCUENTA,1,nASIG,"Lenguaje Musical"),"")))</f>
        <v/>
      </c>
      <c r="I282" t="str">
        <f>IF(G282="","",IF(G282="[FÓRMULA MANUAL]","",IFERROR(AVERAGEIFS(nNOTA,nNIA,G282,nCUENTA,1,nASIG,"Orquesta/Banda/Conjunto"),"")))</f>
        <v/>
      </c>
      <c r="J282" t="str">
        <f>IF(G282="","",IF(G282="[FÓRMULA MANUAL]","",IFERROR(AVERAGEIFS(nNOTA,nNIA,G282,nCUENTA,1,nASIG,"Conjunto"),"")))</f>
        <v/>
      </c>
      <c r="K282" t="str">
        <f>IF(G282="","",IF(G282="[FÓRMULA MANUAL]","",IFERROR(SUMPRODUCT((nNIA=G282)*(nCUENTA=1)*(COUNTIF(CONFIG_ASIGNATURAS!$B$7:$B$27,nASIG)&gt;0)*(nNOTA))/SUMPRODUCT((nNIA=G282)*(nCUENTA=1)*(COUNTIF(CONFIG_ASIGNATURAS!$B$7:$B$27,nASIG)&gt;0)*1),"")))</f>
        <v/>
      </c>
      <c r="N282" t="str">
        <f>IF(M282="","",IF(M282="[FÓRMULA MANUAL]","",IFERROR(AVERAGEIFS(nNOTA,nNIA,M282,nCUENTA,1,nASIG,"Armonía"),"")))</f>
        <v/>
      </c>
      <c r="O282" t="str">
        <f>IF(M282="","",IF(M282="[FÓRMULA MANUAL]","",IFERROR(AVERAGEIFS(nNOTA,nNIA,M282,nCUENTA,1,nASIG,"Orquesta/Banda/Conjunto"),"")))</f>
        <v/>
      </c>
      <c r="P282" t="str">
        <f>IF(M282="","",IF(M282="[FÓRMULA MANUAL]","",IFERROR(AVERAGEIFS(nNOTA,nNIA,M282,nCUENTA,1,nASIG,"Música de Cámara"),"")))</f>
        <v/>
      </c>
      <c r="Q282" t="str">
        <f>IF(M282="","",IF(M282="[FÓRMULA MANUAL]","",IFERROR(SUMPRODUCT((nNIA=M282)*(nCUENTA=1)*(COUNTIF(CONFIG_ASIGNATURAS!$B$7:$B$27,nASIG)&gt;0)*(nNOTA))/SUMPRODUCT((nNIA=M282)*(nCUENTA=1)*(COUNTIF(CONFIG_ASIGNATURAS!$B$7:$B$27,nASIG)&gt;0)*1),"")))</f>
        <v/>
      </c>
      <c r="T282" t="str">
        <f>IF(S282="","",IF(S282="[FÓRMULA MANUAL]","",IFERROR(AVERAGEIFS(nNOTA,nNIA,S282,nCUENTA,1,nASIG,"Armonía"),"")))</f>
        <v/>
      </c>
      <c r="U282" t="str">
        <f>IF(S282="","",IF(S282="[FÓRMULA MANUAL]","",IFERROR(AVERAGEIFS(nNOTA,nNIA,S282,nCUENTA,1,nASIG,"Orquesta/Banda/Conjunto"),"")))</f>
        <v/>
      </c>
      <c r="V282" t="str">
        <f>IF(S282="","",IF(S282="[FÓRMULA MANUAL]","",IFERROR(AVERAGEIFS(nNOTA,nNIA,S282,nCUENTA,1,nASIG,"Música de Cámara"),"")))</f>
        <v/>
      </c>
      <c r="W282" t="str">
        <f>IF(S282="","",IF(S282="[FÓRMULA MANUAL]","",IFERROR(SUMPRODUCT((nNIA=S282)*(nCUENTA=1)*(COUNTIF(CONFIG_ASIGNATURAS!$B$7:$B$27,nASIG)&gt;0)*(nNOTA))/SUMPRODUCT((nNIA=S282)*(nCUENTA=1)*(COUNTIF(CONFIG_ASIGNATURAS!$B$7:$B$27,nASIG)&gt;0)*1),"")))</f>
        <v/>
      </c>
      <c r="Z282" t="str">
        <f>IF(Y282="","",IF(Y282="[FÓRMULA MANUAL]","",IFERROR(AVERAGEIFS(nNOTA,nNIA,Y282,nCUENTA,1,nASIG,"Análisis"),"")))</f>
        <v/>
      </c>
      <c r="AA282" t="str">
        <f>IF(Y282="","",IF(Y282="[FÓRMULA MANUAL]","",IFERROR(AVERAGEIFS(nNOTA,nNIA,Y282,nCUENTA,1,nASIG,"Orquesta/Banda/Conjunto"),"")))</f>
        <v/>
      </c>
      <c r="AB282" t="str">
        <f>IF(Y282="","",IF(Y282="[FÓRMULA MANUAL]","",IFERROR(AVERAGEIFS(nNOTA,nNIA,Y282,nCUENTA,1,nASIG,"Música de Cámara"),"")))</f>
        <v/>
      </c>
      <c r="AC282" t="str">
        <f>IF(Y282="","",IF(Y282="[FÓRMULA MANUAL]","",IFERROR(SUMPRODUCT((nNIA=Y282)*(nCUENTA=1)*(COUNTIF(CONFIG_ASIGNATURAS!$B$7:$B$27,nASIG)&gt;0)*(nNOTA))/SUMPRODUCT((nNIA=Y282)*(nCUENTA=1)*(COUNTIF(CONFIG_ASIGNATURAS!$B$7:$B$27,nASIG)&gt;0)*1),"")))</f>
        <v/>
      </c>
      <c r="AF282" t="str">
        <f>IF(AE282="","",IF(AE282="[FÓRMULA MANUAL]","",IFERROR(AVERAGEIFS(nNOTA,nNIA,AE282,nCUENTA,1,nASIG,"Análisis"),"")))</f>
        <v/>
      </c>
      <c r="AG282" t="str">
        <f>IF(AE282="","",IF(AE282="[FÓRMULA MANUAL]","",IFERROR(AVERAGEIFS(nNOTA,nNIA,AE282,nCUENTA,1,nASIG,"Orquesta/Banda/Conjunto"),"")))</f>
        <v/>
      </c>
      <c r="AH282" t="str">
        <f>IF(AE282="","",IF(AE282="[FÓRMULA MANUAL]","",IFERROR(AVERAGEIFS(nNOTA,nNIA,AE282,nCUENTA,1,nASIG,"Música de Cámara"),"")))</f>
        <v/>
      </c>
      <c r="AI282" t="str">
        <f>IF(AE282="","",IF(AE282="[FÓRMULA MANUAL]","",IFERROR(SUMPRODUCT((nNIA=AE282)*(nCUENTA=1)*(COUNTIF(CONFIG_ASIGNATURAS!$B$7:$B$27,nASIG)&gt;0)*(nNOTA))/SUMPRODUCT((nNIA=AE282)*(nCUENTA=1)*(COUNTIF(CONFIG_ASIGNATURAS!$B$7:$B$27,nASIG)&gt;0)*1),"")))</f>
        <v/>
      </c>
    </row>
    <row r="283" spans="2:35" x14ac:dyDescent="0.2">
      <c r="B283" t="str">
        <f>IF(A283="","",IF(A283="[FÓRMULA MANUAL]","",IFERROR(AVERAGEIFS(nNOTA,nNIA,A283,nCUENTA,1,nASIG,"Lenguaje Musical"),"")))</f>
        <v/>
      </c>
      <c r="C283" t="str">
        <f>IF(A283="","",IF(A283="[FÓRMULA MANUAL]","",IFERROR(AVERAGEIFS(nNOTA,nNIA,A283,nCUENTA,1,nASIG,"Orquesta/Banda/Conjunto"),"")))</f>
        <v/>
      </c>
      <c r="D283" t="str">
        <f>IF(A283="","",IF(A283="[FÓRMULA MANUAL]","",IFERROR(AVERAGEIFS(nNOTA,nNIA,A283,nCUENTA,1,nASIG,"Conjunto"),"")))</f>
        <v/>
      </c>
      <c r="E283" t="str">
        <f>IF(A283="","",IF(A283="[FÓRMULA MANUAL]","",IFERROR(SUMPRODUCT((nNIA=A283)*(nCUENTA=1)*(COUNTIF(CONFIG_ASIGNATURAS!$B$7:$B$27,nASIG)&gt;0)*(nNOTA))/SUMPRODUCT((nNIA=A283)*(nCUENTA=1)*(COUNTIF(CONFIG_ASIGNATURAS!$B$7:$B$27,nASIG)&gt;0)*1),"")))</f>
        <v/>
      </c>
      <c r="H283" t="str">
        <f>IF(G283="","",IF(G283="[FÓRMULA MANUAL]","",IFERROR(AVERAGEIFS(nNOTA,nNIA,G283,nCUENTA,1,nASIG,"Lenguaje Musical"),"")))</f>
        <v/>
      </c>
      <c r="I283" t="str">
        <f>IF(G283="","",IF(G283="[FÓRMULA MANUAL]","",IFERROR(AVERAGEIFS(nNOTA,nNIA,G283,nCUENTA,1,nASIG,"Orquesta/Banda/Conjunto"),"")))</f>
        <v/>
      </c>
      <c r="J283" t="str">
        <f>IF(G283="","",IF(G283="[FÓRMULA MANUAL]","",IFERROR(AVERAGEIFS(nNOTA,nNIA,G283,nCUENTA,1,nASIG,"Conjunto"),"")))</f>
        <v/>
      </c>
      <c r="K283" t="str">
        <f>IF(G283="","",IF(G283="[FÓRMULA MANUAL]","",IFERROR(SUMPRODUCT((nNIA=G283)*(nCUENTA=1)*(COUNTIF(CONFIG_ASIGNATURAS!$B$7:$B$27,nASIG)&gt;0)*(nNOTA))/SUMPRODUCT((nNIA=G283)*(nCUENTA=1)*(COUNTIF(CONFIG_ASIGNATURAS!$B$7:$B$27,nASIG)&gt;0)*1),"")))</f>
        <v/>
      </c>
      <c r="N283" t="str">
        <f>IF(M283="","",IF(M283="[FÓRMULA MANUAL]","",IFERROR(AVERAGEIFS(nNOTA,nNIA,M283,nCUENTA,1,nASIG,"Armonía"),"")))</f>
        <v/>
      </c>
      <c r="O283" t="str">
        <f>IF(M283="","",IF(M283="[FÓRMULA MANUAL]","",IFERROR(AVERAGEIFS(nNOTA,nNIA,M283,nCUENTA,1,nASIG,"Orquesta/Banda/Conjunto"),"")))</f>
        <v/>
      </c>
      <c r="P283" t="str">
        <f>IF(M283="","",IF(M283="[FÓRMULA MANUAL]","",IFERROR(AVERAGEIFS(nNOTA,nNIA,M283,nCUENTA,1,nASIG,"Música de Cámara"),"")))</f>
        <v/>
      </c>
      <c r="Q283" t="str">
        <f>IF(M283="","",IF(M283="[FÓRMULA MANUAL]","",IFERROR(SUMPRODUCT((nNIA=M283)*(nCUENTA=1)*(COUNTIF(CONFIG_ASIGNATURAS!$B$7:$B$27,nASIG)&gt;0)*(nNOTA))/SUMPRODUCT((nNIA=M283)*(nCUENTA=1)*(COUNTIF(CONFIG_ASIGNATURAS!$B$7:$B$27,nASIG)&gt;0)*1),"")))</f>
        <v/>
      </c>
      <c r="T283" t="str">
        <f>IF(S283="","",IF(S283="[FÓRMULA MANUAL]","",IFERROR(AVERAGEIFS(nNOTA,nNIA,S283,nCUENTA,1,nASIG,"Armonía"),"")))</f>
        <v/>
      </c>
      <c r="U283" t="str">
        <f>IF(S283="","",IF(S283="[FÓRMULA MANUAL]","",IFERROR(AVERAGEIFS(nNOTA,nNIA,S283,nCUENTA,1,nASIG,"Orquesta/Banda/Conjunto"),"")))</f>
        <v/>
      </c>
      <c r="V283" t="str">
        <f>IF(S283="","",IF(S283="[FÓRMULA MANUAL]","",IFERROR(AVERAGEIFS(nNOTA,nNIA,S283,nCUENTA,1,nASIG,"Música de Cámara"),"")))</f>
        <v/>
      </c>
      <c r="W283" t="str">
        <f>IF(S283="","",IF(S283="[FÓRMULA MANUAL]","",IFERROR(SUMPRODUCT((nNIA=S283)*(nCUENTA=1)*(COUNTIF(CONFIG_ASIGNATURAS!$B$7:$B$27,nASIG)&gt;0)*(nNOTA))/SUMPRODUCT((nNIA=S283)*(nCUENTA=1)*(COUNTIF(CONFIG_ASIGNATURAS!$B$7:$B$27,nASIG)&gt;0)*1),"")))</f>
        <v/>
      </c>
      <c r="Z283" t="str">
        <f>IF(Y283="","",IF(Y283="[FÓRMULA MANUAL]","",IFERROR(AVERAGEIFS(nNOTA,nNIA,Y283,nCUENTA,1,nASIG,"Análisis"),"")))</f>
        <v/>
      </c>
      <c r="AA283" t="str">
        <f>IF(Y283="","",IF(Y283="[FÓRMULA MANUAL]","",IFERROR(AVERAGEIFS(nNOTA,nNIA,Y283,nCUENTA,1,nASIG,"Orquesta/Banda/Conjunto"),"")))</f>
        <v/>
      </c>
      <c r="AB283" t="str">
        <f>IF(Y283="","",IF(Y283="[FÓRMULA MANUAL]","",IFERROR(AVERAGEIFS(nNOTA,nNIA,Y283,nCUENTA,1,nASIG,"Música de Cámara"),"")))</f>
        <v/>
      </c>
      <c r="AC283" t="str">
        <f>IF(Y283="","",IF(Y283="[FÓRMULA MANUAL]","",IFERROR(SUMPRODUCT((nNIA=Y283)*(nCUENTA=1)*(COUNTIF(CONFIG_ASIGNATURAS!$B$7:$B$27,nASIG)&gt;0)*(nNOTA))/SUMPRODUCT((nNIA=Y283)*(nCUENTA=1)*(COUNTIF(CONFIG_ASIGNATURAS!$B$7:$B$27,nASIG)&gt;0)*1),"")))</f>
        <v/>
      </c>
      <c r="AF283" t="str">
        <f>IF(AE283="","",IF(AE283="[FÓRMULA MANUAL]","",IFERROR(AVERAGEIFS(nNOTA,nNIA,AE283,nCUENTA,1,nASIG,"Análisis"),"")))</f>
        <v/>
      </c>
      <c r="AG283" t="str">
        <f>IF(AE283="","",IF(AE283="[FÓRMULA MANUAL]","",IFERROR(AVERAGEIFS(nNOTA,nNIA,AE283,nCUENTA,1,nASIG,"Orquesta/Banda/Conjunto"),"")))</f>
        <v/>
      </c>
      <c r="AH283" t="str">
        <f>IF(AE283="","",IF(AE283="[FÓRMULA MANUAL]","",IFERROR(AVERAGEIFS(nNOTA,nNIA,AE283,nCUENTA,1,nASIG,"Música de Cámara"),"")))</f>
        <v/>
      </c>
      <c r="AI283" t="str">
        <f>IF(AE283="","",IF(AE283="[FÓRMULA MANUAL]","",IFERROR(SUMPRODUCT((nNIA=AE283)*(nCUENTA=1)*(COUNTIF(CONFIG_ASIGNATURAS!$B$7:$B$27,nASIG)&gt;0)*(nNOTA))/SUMPRODUCT((nNIA=AE283)*(nCUENTA=1)*(COUNTIF(CONFIG_ASIGNATURAS!$B$7:$B$27,nASIG)&gt;0)*1),"")))</f>
        <v/>
      </c>
    </row>
    <row r="284" spans="2:35" x14ac:dyDescent="0.2">
      <c r="B284" t="str">
        <f>IF(A284="","",IF(A284="[FÓRMULA MANUAL]","",IFERROR(AVERAGEIFS(nNOTA,nNIA,A284,nCUENTA,1,nASIG,"Lenguaje Musical"),"")))</f>
        <v/>
      </c>
      <c r="C284" t="str">
        <f>IF(A284="","",IF(A284="[FÓRMULA MANUAL]","",IFERROR(AVERAGEIFS(nNOTA,nNIA,A284,nCUENTA,1,nASIG,"Orquesta/Banda/Conjunto"),"")))</f>
        <v/>
      </c>
      <c r="D284" t="str">
        <f>IF(A284="","",IF(A284="[FÓRMULA MANUAL]","",IFERROR(AVERAGEIFS(nNOTA,nNIA,A284,nCUENTA,1,nASIG,"Conjunto"),"")))</f>
        <v/>
      </c>
      <c r="E284" t="str">
        <f>IF(A284="","",IF(A284="[FÓRMULA MANUAL]","",IFERROR(SUMPRODUCT((nNIA=A284)*(nCUENTA=1)*(COUNTIF(CONFIG_ASIGNATURAS!$B$7:$B$27,nASIG)&gt;0)*(nNOTA))/SUMPRODUCT((nNIA=A284)*(nCUENTA=1)*(COUNTIF(CONFIG_ASIGNATURAS!$B$7:$B$27,nASIG)&gt;0)*1),"")))</f>
        <v/>
      </c>
      <c r="H284" t="str">
        <f>IF(G284="","",IF(G284="[FÓRMULA MANUAL]","",IFERROR(AVERAGEIFS(nNOTA,nNIA,G284,nCUENTA,1,nASIG,"Lenguaje Musical"),"")))</f>
        <v/>
      </c>
      <c r="I284" t="str">
        <f>IF(G284="","",IF(G284="[FÓRMULA MANUAL]","",IFERROR(AVERAGEIFS(nNOTA,nNIA,G284,nCUENTA,1,nASIG,"Orquesta/Banda/Conjunto"),"")))</f>
        <v/>
      </c>
      <c r="J284" t="str">
        <f>IF(G284="","",IF(G284="[FÓRMULA MANUAL]","",IFERROR(AVERAGEIFS(nNOTA,nNIA,G284,nCUENTA,1,nASIG,"Conjunto"),"")))</f>
        <v/>
      </c>
      <c r="K284" t="str">
        <f>IF(G284="","",IF(G284="[FÓRMULA MANUAL]","",IFERROR(SUMPRODUCT((nNIA=G284)*(nCUENTA=1)*(COUNTIF(CONFIG_ASIGNATURAS!$B$7:$B$27,nASIG)&gt;0)*(nNOTA))/SUMPRODUCT((nNIA=G284)*(nCUENTA=1)*(COUNTIF(CONFIG_ASIGNATURAS!$B$7:$B$27,nASIG)&gt;0)*1),"")))</f>
        <v/>
      </c>
      <c r="N284" t="str">
        <f>IF(M284="","",IF(M284="[FÓRMULA MANUAL]","",IFERROR(AVERAGEIFS(nNOTA,nNIA,M284,nCUENTA,1,nASIG,"Armonía"),"")))</f>
        <v/>
      </c>
      <c r="O284" t="str">
        <f>IF(M284="","",IF(M284="[FÓRMULA MANUAL]","",IFERROR(AVERAGEIFS(nNOTA,nNIA,M284,nCUENTA,1,nASIG,"Orquesta/Banda/Conjunto"),"")))</f>
        <v/>
      </c>
      <c r="P284" t="str">
        <f>IF(M284="","",IF(M284="[FÓRMULA MANUAL]","",IFERROR(AVERAGEIFS(nNOTA,nNIA,M284,nCUENTA,1,nASIG,"Música de Cámara"),"")))</f>
        <v/>
      </c>
      <c r="Q284" t="str">
        <f>IF(M284="","",IF(M284="[FÓRMULA MANUAL]","",IFERROR(SUMPRODUCT((nNIA=M284)*(nCUENTA=1)*(COUNTIF(CONFIG_ASIGNATURAS!$B$7:$B$27,nASIG)&gt;0)*(nNOTA))/SUMPRODUCT((nNIA=M284)*(nCUENTA=1)*(COUNTIF(CONFIG_ASIGNATURAS!$B$7:$B$27,nASIG)&gt;0)*1),"")))</f>
        <v/>
      </c>
      <c r="T284" t="str">
        <f>IF(S284="","",IF(S284="[FÓRMULA MANUAL]","",IFERROR(AVERAGEIFS(nNOTA,nNIA,S284,nCUENTA,1,nASIG,"Armonía"),"")))</f>
        <v/>
      </c>
      <c r="U284" t="str">
        <f>IF(S284="","",IF(S284="[FÓRMULA MANUAL]","",IFERROR(AVERAGEIFS(nNOTA,nNIA,S284,nCUENTA,1,nASIG,"Orquesta/Banda/Conjunto"),"")))</f>
        <v/>
      </c>
      <c r="V284" t="str">
        <f>IF(S284="","",IF(S284="[FÓRMULA MANUAL]","",IFERROR(AVERAGEIFS(nNOTA,nNIA,S284,nCUENTA,1,nASIG,"Música de Cámara"),"")))</f>
        <v/>
      </c>
      <c r="W284" t="str">
        <f>IF(S284="","",IF(S284="[FÓRMULA MANUAL]","",IFERROR(SUMPRODUCT((nNIA=S284)*(nCUENTA=1)*(COUNTIF(CONFIG_ASIGNATURAS!$B$7:$B$27,nASIG)&gt;0)*(nNOTA))/SUMPRODUCT((nNIA=S284)*(nCUENTA=1)*(COUNTIF(CONFIG_ASIGNATURAS!$B$7:$B$27,nASIG)&gt;0)*1),"")))</f>
        <v/>
      </c>
      <c r="Z284" t="str">
        <f>IF(Y284="","",IF(Y284="[FÓRMULA MANUAL]","",IFERROR(AVERAGEIFS(nNOTA,nNIA,Y284,nCUENTA,1,nASIG,"Análisis"),"")))</f>
        <v/>
      </c>
      <c r="AA284" t="str">
        <f>IF(Y284="","",IF(Y284="[FÓRMULA MANUAL]","",IFERROR(AVERAGEIFS(nNOTA,nNIA,Y284,nCUENTA,1,nASIG,"Orquesta/Banda/Conjunto"),"")))</f>
        <v/>
      </c>
      <c r="AB284" t="str">
        <f>IF(Y284="","",IF(Y284="[FÓRMULA MANUAL]","",IFERROR(AVERAGEIFS(nNOTA,nNIA,Y284,nCUENTA,1,nASIG,"Música de Cámara"),"")))</f>
        <v/>
      </c>
      <c r="AC284" t="str">
        <f>IF(Y284="","",IF(Y284="[FÓRMULA MANUAL]","",IFERROR(SUMPRODUCT((nNIA=Y284)*(nCUENTA=1)*(COUNTIF(CONFIG_ASIGNATURAS!$B$7:$B$27,nASIG)&gt;0)*(nNOTA))/SUMPRODUCT((nNIA=Y284)*(nCUENTA=1)*(COUNTIF(CONFIG_ASIGNATURAS!$B$7:$B$27,nASIG)&gt;0)*1),"")))</f>
        <v/>
      </c>
      <c r="AF284" t="str">
        <f>IF(AE284="","",IF(AE284="[FÓRMULA MANUAL]","",IFERROR(AVERAGEIFS(nNOTA,nNIA,AE284,nCUENTA,1,nASIG,"Análisis"),"")))</f>
        <v/>
      </c>
      <c r="AG284" t="str">
        <f>IF(AE284="","",IF(AE284="[FÓRMULA MANUAL]","",IFERROR(AVERAGEIFS(nNOTA,nNIA,AE284,nCUENTA,1,nASIG,"Orquesta/Banda/Conjunto"),"")))</f>
        <v/>
      </c>
      <c r="AH284" t="str">
        <f>IF(AE284="","",IF(AE284="[FÓRMULA MANUAL]","",IFERROR(AVERAGEIFS(nNOTA,nNIA,AE284,nCUENTA,1,nASIG,"Música de Cámara"),"")))</f>
        <v/>
      </c>
      <c r="AI284" t="str">
        <f>IF(AE284="","",IF(AE284="[FÓRMULA MANUAL]","",IFERROR(SUMPRODUCT((nNIA=AE284)*(nCUENTA=1)*(COUNTIF(CONFIG_ASIGNATURAS!$B$7:$B$27,nASIG)&gt;0)*(nNOTA))/SUMPRODUCT((nNIA=AE284)*(nCUENTA=1)*(COUNTIF(CONFIG_ASIGNATURAS!$B$7:$B$27,nASIG)&gt;0)*1),"")))</f>
        <v/>
      </c>
    </row>
    <row r="285" spans="2:35" x14ac:dyDescent="0.2">
      <c r="B285" t="str">
        <f>IF(A285="","",IF(A285="[FÓRMULA MANUAL]","",IFERROR(AVERAGEIFS(nNOTA,nNIA,A285,nCUENTA,1,nASIG,"Lenguaje Musical"),"")))</f>
        <v/>
      </c>
      <c r="C285" t="str">
        <f>IF(A285="","",IF(A285="[FÓRMULA MANUAL]","",IFERROR(AVERAGEIFS(nNOTA,nNIA,A285,nCUENTA,1,nASIG,"Orquesta/Banda/Conjunto"),"")))</f>
        <v/>
      </c>
      <c r="D285" t="str">
        <f>IF(A285="","",IF(A285="[FÓRMULA MANUAL]","",IFERROR(AVERAGEIFS(nNOTA,nNIA,A285,nCUENTA,1,nASIG,"Conjunto"),"")))</f>
        <v/>
      </c>
      <c r="E285" t="str">
        <f>IF(A285="","",IF(A285="[FÓRMULA MANUAL]","",IFERROR(SUMPRODUCT((nNIA=A285)*(nCUENTA=1)*(COUNTIF(CONFIG_ASIGNATURAS!$B$7:$B$27,nASIG)&gt;0)*(nNOTA))/SUMPRODUCT((nNIA=A285)*(nCUENTA=1)*(COUNTIF(CONFIG_ASIGNATURAS!$B$7:$B$27,nASIG)&gt;0)*1),"")))</f>
        <v/>
      </c>
      <c r="H285" t="str">
        <f>IF(G285="","",IF(G285="[FÓRMULA MANUAL]","",IFERROR(AVERAGEIFS(nNOTA,nNIA,G285,nCUENTA,1,nASIG,"Lenguaje Musical"),"")))</f>
        <v/>
      </c>
      <c r="I285" t="str">
        <f>IF(G285="","",IF(G285="[FÓRMULA MANUAL]","",IFERROR(AVERAGEIFS(nNOTA,nNIA,G285,nCUENTA,1,nASIG,"Orquesta/Banda/Conjunto"),"")))</f>
        <v/>
      </c>
      <c r="J285" t="str">
        <f>IF(G285="","",IF(G285="[FÓRMULA MANUAL]","",IFERROR(AVERAGEIFS(nNOTA,nNIA,G285,nCUENTA,1,nASIG,"Conjunto"),"")))</f>
        <v/>
      </c>
      <c r="K285" t="str">
        <f>IF(G285="","",IF(G285="[FÓRMULA MANUAL]","",IFERROR(SUMPRODUCT((nNIA=G285)*(nCUENTA=1)*(COUNTIF(CONFIG_ASIGNATURAS!$B$7:$B$27,nASIG)&gt;0)*(nNOTA))/SUMPRODUCT((nNIA=G285)*(nCUENTA=1)*(COUNTIF(CONFIG_ASIGNATURAS!$B$7:$B$27,nASIG)&gt;0)*1),"")))</f>
        <v/>
      </c>
      <c r="N285" t="str">
        <f>IF(M285="","",IF(M285="[FÓRMULA MANUAL]","",IFERROR(AVERAGEIFS(nNOTA,nNIA,M285,nCUENTA,1,nASIG,"Armonía"),"")))</f>
        <v/>
      </c>
      <c r="O285" t="str">
        <f>IF(M285="","",IF(M285="[FÓRMULA MANUAL]","",IFERROR(AVERAGEIFS(nNOTA,nNIA,M285,nCUENTA,1,nASIG,"Orquesta/Banda/Conjunto"),"")))</f>
        <v/>
      </c>
      <c r="P285" t="str">
        <f>IF(M285="","",IF(M285="[FÓRMULA MANUAL]","",IFERROR(AVERAGEIFS(nNOTA,nNIA,M285,nCUENTA,1,nASIG,"Música de Cámara"),"")))</f>
        <v/>
      </c>
      <c r="Q285" t="str">
        <f>IF(M285="","",IF(M285="[FÓRMULA MANUAL]","",IFERROR(SUMPRODUCT((nNIA=M285)*(nCUENTA=1)*(COUNTIF(CONFIG_ASIGNATURAS!$B$7:$B$27,nASIG)&gt;0)*(nNOTA))/SUMPRODUCT((nNIA=M285)*(nCUENTA=1)*(COUNTIF(CONFIG_ASIGNATURAS!$B$7:$B$27,nASIG)&gt;0)*1),"")))</f>
        <v/>
      </c>
      <c r="T285" t="str">
        <f>IF(S285="","",IF(S285="[FÓRMULA MANUAL]","",IFERROR(AVERAGEIFS(nNOTA,nNIA,S285,nCUENTA,1,nASIG,"Armonía"),"")))</f>
        <v/>
      </c>
      <c r="U285" t="str">
        <f>IF(S285="","",IF(S285="[FÓRMULA MANUAL]","",IFERROR(AVERAGEIFS(nNOTA,nNIA,S285,nCUENTA,1,nASIG,"Orquesta/Banda/Conjunto"),"")))</f>
        <v/>
      </c>
      <c r="V285" t="str">
        <f>IF(S285="","",IF(S285="[FÓRMULA MANUAL]","",IFERROR(AVERAGEIFS(nNOTA,nNIA,S285,nCUENTA,1,nASIG,"Música de Cámara"),"")))</f>
        <v/>
      </c>
      <c r="W285" t="str">
        <f>IF(S285="","",IF(S285="[FÓRMULA MANUAL]","",IFERROR(SUMPRODUCT((nNIA=S285)*(nCUENTA=1)*(COUNTIF(CONFIG_ASIGNATURAS!$B$7:$B$27,nASIG)&gt;0)*(nNOTA))/SUMPRODUCT((nNIA=S285)*(nCUENTA=1)*(COUNTIF(CONFIG_ASIGNATURAS!$B$7:$B$27,nASIG)&gt;0)*1),"")))</f>
        <v/>
      </c>
      <c r="Z285" t="str">
        <f>IF(Y285="","",IF(Y285="[FÓRMULA MANUAL]","",IFERROR(AVERAGEIFS(nNOTA,nNIA,Y285,nCUENTA,1,nASIG,"Análisis"),"")))</f>
        <v/>
      </c>
      <c r="AA285" t="str">
        <f>IF(Y285="","",IF(Y285="[FÓRMULA MANUAL]","",IFERROR(AVERAGEIFS(nNOTA,nNIA,Y285,nCUENTA,1,nASIG,"Orquesta/Banda/Conjunto"),"")))</f>
        <v/>
      </c>
      <c r="AB285" t="str">
        <f>IF(Y285="","",IF(Y285="[FÓRMULA MANUAL]","",IFERROR(AVERAGEIFS(nNOTA,nNIA,Y285,nCUENTA,1,nASIG,"Música de Cámara"),"")))</f>
        <v/>
      </c>
      <c r="AC285" t="str">
        <f>IF(Y285="","",IF(Y285="[FÓRMULA MANUAL]","",IFERROR(SUMPRODUCT((nNIA=Y285)*(nCUENTA=1)*(COUNTIF(CONFIG_ASIGNATURAS!$B$7:$B$27,nASIG)&gt;0)*(nNOTA))/SUMPRODUCT((nNIA=Y285)*(nCUENTA=1)*(COUNTIF(CONFIG_ASIGNATURAS!$B$7:$B$27,nASIG)&gt;0)*1),"")))</f>
        <v/>
      </c>
      <c r="AF285" t="str">
        <f>IF(AE285="","",IF(AE285="[FÓRMULA MANUAL]","",IFERROR(AVERAGEIFS(nNOTA,nNIA,AE285,nCUENTA,1,nASIG,"Análisis"),"")))</f>
        <v/>
      </c>
      <c r="AG285" t="str">
        <f>IF(AE285="","",IF(AE285="[FÓRMULA MANUAL]","",IFERROR(AVERAGEIFS(nNOTA,nNIA,AE285,nCUENTA,1,nASIG,"Orquesta/Banda/Conjunto"),"")))</f>
        <v/>
      </c>
      <c r="AH285" t="str">
        <f>IF(AE285="","",IF(AE285="[FÓRMULA MANUAL]","",IFERROR(AVERAGEIFS(nNOTA,nNIA,AE285,nCUENTA,1,nASIG,"Música de Cámara"),"")))</f>
        <v/>
      </c>
      <c r="AI285" t="str">
        <f>IF(AE285="","",IF(AE285="[FÓRMULA MANUAL]","",IFERROR(SUMPRODUCT((nNIA=AE285)*(nCUENTA=1)*(COUNTIF(CONFIG_ASIGNATURAS!$B$7:$B$27,nASIG)&gt;0)*(nNOTA))/SUMPRODUCT((nNIA=AE285)*(nCUENTA=1)*(COUNTIF(CONFIG_ASIGNATURAS!$B$7:$B$27,nASIG)&gt;0)*1),"")))</f>
        <v/>
      </c>
    </row>
    <row r="286" spans="2:35" x14ac:dyDescent="0.2">
      <c r="B286" t="str">
        <f>IF(A286="","",IF(A286="[FÓRMULA MANUAL]","",IFERROR(AVERAGEIFS(nNOTA,nNIA,A286,nCUENTA,1,nASIG,"Lenguaje Musical"),"")))</f>
        <v/>
      </c>
      <c r="C286" t="str">
        <f>IF(A286="","",IF(A286="[FÓRMULA MANUAL]","",IFERROR(AVERAGEIFS(nNOTA,nNIA,A286,nCUENTA,1,nASIG,"Orquesta/Banda/Conjunto"),"")))</f>
        <v/>
      </c>
      <c r="D286" t="str">
        <f>IF(A286="","",IF(A286="[FÓRMULA MANUAL]","",IFERROR(AVERAGEIFS(nNOTA,nNIA,A286,nCUENTA,1,nASIG,"Conjunto"),"")))</f>
        <v/>
      </c>
      <c r="E286" t="str">
        <f>IF(A286="","",IF(A286="[FÓRMULA MANUAL]","",IFERROR(SUMPRODUCT((nNIA=A286)*(nCUENTA=1)*(COUNTIF(CONFIG_ASIGNATURAS!$B$7:$B$27,nASIG)&gt;0)*(nNOTA))/SUMPRODUCT((nNIA=A286)*(nCUENTA=1)*(COUNTIF(CONFIG_ASIGNATURAS!$B$7:$B$27,nASIG)&gt;0)*1),"")))</f>
        <v/>
      </c>
      <c r="H286" t="str">
        <f>IF(G286="","",IF(G286="[FÓRMULA MANUAL]","",IFERROR(AVERAGEIFS(nNOTA,nNIA,G286,nCUENTA,1,nASIG,"Lenguaje Musical"),"")))</f>
        <v/>
      </c>
      <c r="I286" t="str">
        <f>IF(G286="","",IF(G286="[FÓRMULA MANUAL]","",IFERROR(AVERAGEIFS(nNOTA,nNIA,G286,nCUENTA,1,nASIG,"Orquesta/Banda/Conjunto"),"")))</f>
        <v/>
      </c>
      <c r="J286" t="str">
        <f>IF(G286="","",IF(G286="[FÓRMULA MANUAL]","",IFERROR(AVERAGEIFS(nNOTA,nNIA,G286,nCUENTA,1,nASIG,"Conjunto"),"")))</f>
        <v/>
      </c>
      <c r="K286" t="str">
        <f>IF(G286="","",IF(G286="[FÓRMULA MANUAL]","",IFERROR(SUMPRODUCT((nNIA=G286)*(nCUENTA=1)*(COUNTIF(CONFIG_ASIGNATURAS!$B$7:$B$27,nASIG)&gt;0)*(nNOTA))/SUMPRODUCT((nNIA=G286)*(nCUENTA=1)*(COUNTIF(CONFIG_ASIGNATURAS!$B$7:$B$27,nASIG)&gt;0)*1),"")))</f>
        <v/>
      </c>
      <c r="N286" t="str">
        <f>IF(M286="","",IF(M286="[FÓRMULA MANUAL]","",IFERROR(AVERAGEIFS(nNOTA,nNIA,M286,nCUENTA,1,nASIG,"Armonía"),"")))</f>
        <v/>
      </c>
      <c r="O286" t="str">
        <f>IF(M286="","",IF(M286="[FÓRMULA MANUAL]","",IFERROR(AVERAGEIFS(nNOTA,nNIA,M286,nCUENTA,1,nASIG,"Orquesta/Banda/Conjunto"),"")))</f>
        <v/>
      </c>
      <c r="P286" t="str">
        <f>IF(M286="","",IF(M286="[FÓRMULA MANUAL]","",IFERROR(AVERAGEIFS(nNOTA,nNIA,M286,nCUENTA,1,nASIG,"Música de Cámara"),"")))</f>
        <v/>
      </c>
      <c r="Q286" t="str">
        <f>IF(M286="","",IF(M286="[FÓRMULA MANUAL]","",IFERROR(SUMPRODUCT((nNIA=M286)*(nCUENTA=1)*(COUNTIF(CONFIG_ASIGNATURAS!$B$7:$B$27,nASIG)&gt;0)*(nNOTA))/SUMPRODUCT((nNIA=M286)*(nCUENTA=1)*(COUNTIF(CONFIG_ASIGNATURAS!$B$7:$B$27,nASIG)&gt;0)*1),"")))</f>
        <v/>
      </c>
      <c r="T286" t="str">
        <f>IF(S286="","",IF(S286="[FÓRMULA MANUAL]","",IFERROR(AVERAGEIFS(nNOTA,nNIA,S286,nCUENTA,1,nASIG,"Armonía"),"")))</f>
        <v/>
      </c>
      <c r="U286" t="str">
        <f>IF(S286="","",IF(S286="[FÓRMULA MANUAL]","",IFERROR(AVERAGEIFS(nNOTA,nNIA,S286,nCUENTA,1,nASIG,"Orquesta/Banda/Conjunto"),"")))</f>
        <v/>
      </c>
      <c r="V286" t="str">
        <f>IF(S286="","",IF(S286="[FÓRMULA MANUAL]","",IFERROR(AVERAGEIFS(nNOTA,nNIA,S286,nCUENTA,1,nASIG,"Música de Cámara"),"")))</f>
        <v/>
      </c>
      <c r="W286" t="str">
        <f>IF(S286="","",IF(S286="[FÓRMULA MANUAL]","",IFERROR(SUMPRODUCT((nNIA=S286)*(nCUENTA=1)*(COUNTIF(CONFIG_ASIGNATURAS!$B$7:$B$27,nASIG)&gt;0)*(nNOTA))/SUMPRODUCT((nNIA=S286)*(nCUENTA=1)*(COUNTIF(CONFIG_ASIGNATURAS!$B$7:$B$27,nASIG)&gt;0)*1),"")))</f>
        <v/>
      </c>
      <c r="Z286" t="str">
        <f>IF(Y286="","",IF(Y286="[FÓRMULA MANUAL]","",IFERROR(AVERAGEIFS(nNOTA,nNIA,Y286,nCUENTA,1,nASIG,"Análisis"),"")))</f>
        <v/>
      </c>
      <c r="AA286" t="str">
        <f>IF(Y286="","",IF(Y286="[FÓRMULA MANUAL]","",IFERROR(AVERAGEIFS(nNOTA,nNIA,Y286,nCUENTA,1,nASIG,"Orquesta/Banda/Conjunto"),"")))</f>
        <v/>
      </c>
      <c r="AB286" t="str">
        <f>IF(Y286="","",IF(Y286="[FÓRMULA MANUAL]","",IFERROR(AVERAGEIFS(nNOTA,nNIA,Y286,nCUENTA,1,nASIG,"Música de Cámara"),"")))</f>
        <v/>
      </c>
      <c r="AC286" t="str">
        <f>IF(Y286="","",IF(Y286="[FÓRMULA MANUAL]","",IFERROR(SUMPRODUCT((nNIA=Y286)*(nCUENTA=1)*(COUNTIF(CONFIG_ASIGNATURAS!$B$7:$B$27,nASIG)&gt;0)*(nNOTA))/SUMPRODUCT((nNIA=Y286)*(nCUENTA=1)*(COUNTIF(CONFIG_ASIGNATURAS!$B$7:$B$27,nASIG)&gt;0)*1),"")))</f>
        <v/>
      </c>
      <c r="AF286" t="str">
        <f>IF(AE286="","",IF(AE286="[FÓRMULA MANUAL]","",IFERROR(AVERAGEIFS(nNOTA,nNIA,AE286,nCUENTA,1,nASIG,"Análisis"),"")))</f>
        <v/>
      </c>
      <c r="AG286" t="str">
        <f>IF(AE286="","",IF(AE286="[FÓRMULA MANUAL]","",IFERROR(AVERAGEIFS(nNOTA,nNIA,AE286,nCUENTA,1,nASIG,"Orquesta/Banda/Conjunto"),"")))</f>
        <v/>
      </c>
      <c r="AH286" t="str">
        <f>IF(AE286="","",IF(AE286="[FÓRMULA MANUAL]","",IFERROR(AVERAGEIFS(nNOTA,nNIA,AE286,nCUENTA,1,nASIG,"Música de Cámara"),"")))</f>
        <v/>
      </c>
      <c r="AI286" t="str">
        <f>IF(AE286="","",IF(AE286="[FÓRMULA MANUAL]","",IFERROR(SUMPRODUCT((nNIA=AE286)*(nCUENTA=1)*(COUNTIF(CONFIG_ASIGNATURAS!$B$7:$B$27,nASIG)&gt;0)*(nNOTA))/SUMPRODUCT((nNIA=AE286)*(nCUENTA=1)*(COUNTIF(CONFIG_ASIGNATURAS!$B$7:$B$27,nASIG)&gt;0)*1),"")))</f>
        <v/>
      </c>
    </row>
    <row r="287" spans="2:35" x14ac:dyDescent="0.2">
      <c r="B287" t="str">
        <f>IF(A287="","",IF(A287="[FÓRMULA MANUAL]","",IFERROR(AVERAGEIFS(nNOTA,nNIA,A287,nCUENTA,1,nASIG,"Lenguaje Musical"),"")))</f>
        <v/>
      </c>
      <c r="C287" t="str">
        <f>IF(A287="","",IF(A287="[FÓRMULA MANUAL]","",IFERROR(AVERAGEIFS(nNOTA,nNIA,A287,nCUENTA,1,nASIG,"Orquesta/Banda/Conjunto"),"")))</f>
        <v/>
      </c>
      <c r="D287" t="str">
        <f>IF(A287="","",IF(A287="[FÓRMULA MANUAL]","",IFERROR(AVERAGEIFS(nNOTA,nNIA,A287,nCUENTA,1,nASIG,"Conjunto"),"")))</f>
        <v/>
      </c>
      <c r="E287" t="str">
        <f>IF(A287="","",IF(A287="[FÓRMULA MANUAL]","",IFERROR(SUMPRODUCT((nNIA=A287)*(nCUENTA=1)*(COUNTIF(CONFIG_ASIGNATURAS!$B$7:$B$27,nASIG)&gt;0)*(nNOTA))/SUMPRODUCT((nNIA=A287)*(nCUENTA=1)*(COUNTIF(CONFIG_ASIGNATURAS!$B$7:$B$27,nASIG)&gt;0)*1),"")))</f>
        <v/>
      </c>
      <c r="H287" t="str">
        <f>IF(G287="","",IF(G287="[FÓRMULA MANUAL]","",IFERROR(AVERAGEIFS(nNOTA,nNIA,G287,nCUENTA,1,nASIG,"Lenguaje Musical"),"")))</f>
        <v/>
      </c>
      <c r="I287" t="str">
        <f>IF(G287="","",IF(G287="[FÓRMULA MANUAL]","",IFERROR(AVERAGEIFS(nNOTA,nNIA,G287,nCUENTA,1,nASIG,"Orquesta/Banda/Conjunto"),"")))</f>
        <v/>
      </c>
      <c r="J287" t="str">
        <f>IF(G287="","",IF(G287="[FÓRMULA MANUAL]","",IFERROR(AVERAGEIFS(nNOTA,nNIA,G287,nCUENTA,1,nASIG,"Conjunto"),"")))</f>
        <v/>
      </c>
      <c r="K287" t="str">
        <f>IF(G287="","",IF(G287="[FÓRMULA MANUAL]","",IFERROR(SUMPRODUCT((nNIA=G287)*(nCUENTA=1)*(COUNTIF(CONFIG_ASIGNATURAS!$B$7:$B$27,nASIG)&gt;0)*(nNOTA))/SUMPRODUCT((nNIA=G287)*(nCUENTA=1)*(COUNTIF(CONFIG_ASIGNATURAS!$B$7:$B$27,nASIG)&gt;0)*1),"")))</f>
        <v/>
      </c>
      <c r="N287" t="str">
        <f>IF(M287="","",IF(M287="[FÓRMULA MANUAL]","",IFERROR(AVERAGEIFS(nNOTA,nNIA,M287,nCUENTA,1,nASIG,"Armonía"),"")))</f>
        <v/>
      </c>
      <c r="O287" t="str">
        <f>IF(M287="","",IF(M287="[FÓRMULA MANUAL]","",IFERROR(AVERAGEIFS(nNOTA,nNIA,M287,nCUENTA,1,nASIG,"Orquesta/Banda/Conjunto"),"")))</f>
        <v/>
      </c>
      <c r="P287" t="str">
        <f>IF(M287="","",IF(M287="[FÓRMULA MANUAL]","",IFERROR(AVERAGEIFS(nNOTA,nNIA,M287,nCUENTA,1,nASIG,"Música de Cámara"),"")))</f>
        <v/>
      </c>
      <c r="Q287" t="str">
        <f>IF(M287="","",IF(M287="[FÓRMULA MANUAL]","",IFERROR(SUMPRODUCT((nNIA=M287)*(nCUENTA=1)*(COUNTIF(CONFIG_ASIGNATURAS!$B$7:$B$27,nASIG)&gt;0)*(nNOTA))/SUMPRODUCT((nNIA=M287)*(nCUENTA=1)*(COUNTIF(CONFIG_ASIGNATURAS!$B$7:$B$27,nASIG)&gt;0)*1),"")))</f>
        <v/>
      </c>
      <c r="T287" t="str">
        <f>IF(S287="","",IF(S287="[FÓRMULA MANUAL]","",IFERROR(AVERAGEIFS(nNOTA,nNIA,S287,nCUENTA,1,nASIG,"Armonía"),"")))</f>
        <v/>
      </c>
      <c r="U287" t="str">
        <f>IF(S287="","",IF(S287="[FÓRMULA MANUAL]","",IFERROR(AVERAGEIFS(nNOTA,nNIA,S287,nCUENTA,1,nASIG,"Orquesta/Banda/Conjunto"),"")))</f>
        <v/>
      </c>
      <c r="V287" t="str">
        <f>IF(S287="","",IF(S287="[FÓRMULA MANUAL]","",IFERROR(AVERAGEIFS(nNOTA,nNIA,S287,nCUENTA,1,nASIG,"Música de Cámara"),"")))</f>
        <v/>
      </c>
      <c r="W287" t="str">
        <f>IF(S287="","",IF(S287="[FÓRMULA MANUAL]","",IFERROR(SUMPRODUCT((nNIA=S287)*(nCUENTA=1)*(COUNTIF(CONFIG_ASIGNATURAS!$B$7:$B$27,nASIG)&gt;0)*(nNOTA))/SUMPRODUCT((nNIA=S287)*(nCUENTA=1)*(COUNTIF(CONFIG_ASIGNATURAS!$B$7:$B$27,nASIG)&gt;0)*1),"")))</f>
        <v/>
      </c>
      <c r="Z287" t="str">
        <f>IF(Y287="","",IF(Y287="[FÓRMULA MANUAL]","",IFERROR(AVERAGEIFS(nNOTA,nNIA,Y287,nCUENTA,1,nASIG,"Análisis"),"")))</f>
        <v/>
      </c>
      <c r="AA287" t="str">
        <f>IF(Y287="","",IF(Y287="[FÓRMULA MANUAL]","",IFERROR(AVERAGEIFS(nNOTA,nNIA,Y287,nCUENTA,1,nASIG,"Orquesta/Banda/Conjunto"),"")))</f>
        <v/>
      </c>
      <c r="AB287" t="str">
        <f>IF(Y287="","",IF(Y287="[FÓRMULA MANUAL]","",IFERROR(AVERAGEIFS(nNOTA,nNIA,Y287,nCUENTA,1,nASIG,"Música de Cámara"),"")))</f>
        <v/>
      </c>
      <c r="AC287" t="str">
        <f>IF(Y287="","",IF(Y287="[FÓRMULA MANUAL]","",IFERROR(SUMPRODUCT((nNIA=Y287)*(nCUENTA=1)*(COUNTIF(CONFIG_ASIGNATURAS!$B$7:$B$27,nASIG)&gt;0)*(nNOTA))/SUMPRODUCT((nNIA=Y287)*(nCUENTA=1)*(COUNTIF(CONFIG_ASIGNATURAS!$B$7:$B$27,nASIG)&gt;0)*1),"")))</f>
        <v/>
      </c>
      <c r="AF287" t="str">
        <f>IF(AE287="","",IF(AE287="[FÓRMULA MANUAL]","",IFERROR(AVERAGEIFS(nNOTA,nNIA,AE287,nCUENTA,1,nASIG,"Análisis"),"")))</f>
        <v/>
      </c>
      <c r="AG287" t="str">
        <f>IF(AE287="","",IF(AE287="[FÓRMULA MANUAL]","",IFERROR(AVERAGEIFS(nNOTA,nNIA,AE287,nCUENTA,1,nASIG,"Orquesta/Banda/Conjunto"),"")))</f>
        <v/>
      </c>
      <c r="AH287" t="str">
        <f>IF(AE287="","",IF(AE287="[FÓRMULA MANUAL]","",IFERROR(AVERAGEIFS(nNOTA,nNIA,AE287,nCUENTA,1,nASIG,"Música de Cámara"),"")))</f>
        <v/>
      </c>
      <c r="AI287" t="str">
        <f>IF(AE287="","",IF(AE287="[FÓRMULA MANUAL]","",IFERROR(SUMPRODUCT((nNIA=AE287)*(nCUENTA=1)*(COUNTIF(CONFIG_ASIGNATURAS!$B$7:$B$27,nASIG)&gt;0)*(nNOTA))/SUMPRODUCT((nNIA=AE287)*(nCUENTA=1)*(COUNTIF(CONFIG_ASIGNATURAS!$B$7:$B$27,nASIG)&gt;0)*1),"")))</f>
        <v/>
      </c>
    </row>
    <row r="288" spans="2:35" x14ac:dyDescent="0.2">
      <c r="B288" t="str">
        <f>IF(A288="","",IF(A288="[FÓRMULA MANUAL]","",IFERROR(AVERAGEIFS(nNOTA,nNIA,A288,nCUENTA,1,nASIG,"Lenguaje Musical"),"")))</f>
        <v/>
      </c>
      <c r="C288" t="str">
        <f>IF(A288="","",IF(A288="[FÓRMULA MANUAL]","",IFERROR(AVERAGEIFS(nNOTA,nNIA,A288,nCUENTA,1,nASIG,"Orquesta/Banda/Conjunto"),"")))</f>
        <v/>
      </c>
      <c r="D288" t="str">
        <f>IF(A288="","",IF(A288="[FÓRMULA MANUAL]","",IFERROR(AVERAGEIFS(nNOTA,nNIA,A288,nCUENTA,1,nASIG,"Conjunto"),"")))</f>
        <v/>
      </c>
      <c r="E288" t="str">
        <f>IF(A288="","",IF(A288="[FÓRMULA MANUAL]","",IFERROR(SUMPRODUCT((nNIA=A288)*(nCUENTA=1)*(COUNTIF(CONFIG_ASIGNATURAS!$B$7:$B$27,nASIG)&gt;0)*(nNOTA))/SUMPRODUCT((nNIA=A288)*(nCUENTA=1)*(COUNTIF(CONFIG_ASIGNATURAS!$B$7:$B$27,nASIG)&gt;0)*1),"")))</f>
        <v/>
      </c>
      <c r="H288" t="str">
        <f>IF(G288="","",IF(G288="[FÓRMULA MANUAL]","",IFERROR(AVERAGEIFS(nNOTA,nNIA,G288,nCUENTA,1,nASIG,"Lenguaje Musical"),"")))</f>
        <v/>
      </c>
      <c r="I288" t="str">
        <f>IF(G288="","",IF(G288="[FÓRMULA MANUAL]","",IFERROR(AVERAGEIFS(nNOTA,nNIA,G288,nCUENTA,1,nASIG,"Orquesta/Banda/Conjunto"),"")))</f>
        <v/>
      </c>
      <c r="J288" t="str">
        <f>IF(G288="","",IF(G288="[FÓRMULA MANUAL]","",IFERROR(AVERAGEIFS(nNOTA,nNIA,G288,nCUENTA,1,nASIG,"Conjunto"),"")))</f>
        <v/>
      </c>
      <c r="K288" t="str">
        <f>IF(G288="","",IF(G288="[FÓRMULA MANUAL]","",IFERROR(SUMPRODUCT((nNIA=G288)*(nCUENTA=1)*(COUNTIF(CONFIG_ASIGNATURAS!$B$7:$B$27,nASIG)&gt;0)*(nNOTA))/SUMPRODUCT((nNIA=G288)*(nCUENTA=1)*(COUNTIF(CONFIG_ASIGNATURAS!$B$7:$B$27,nASIG)&gt;0)*1),"")))</f>
        <v/>
      </c>
      <c r="N288" t="str">
        <f>IF(M288="","",IF(M288="[FÓRMULA MANUAL]","",IFERROR(AVERAGEIFS(nNOTA,nNIA,M288,nCUENTA,1,nASIG,"Armonía"),"")))</f>
        <v/>
      </c>
      <c r="O288" t="str">
        <f>IF(M288="","",IF(M288="[FÓRMULA MANUAL]","",IFERROR(AVERAGEIFS(nNOTA,nNIA,M288,nCUENTA,1,nASIG,"Orquesta/Banda/Conjunto"),"")))</f>
        <v/>
      </c>
      <c r="P288" t="str">
        <f>IF(M288="","",IF(M288="[FÓRMULA MANUAL]","",IFERROR(AVERAGEIFS(nNOTA,nNIA,M288,nCUENTA,1,nASIG,"Música de Cámara"),"")))</f>
        <v/>
      </c>
      <c r="Q288" t="str">
        <f>IF(M288="","",IF(M288="[FÓRMULA MANUAL]","",IFERROR(SUMPRODUCT((nNIA=M288)*(nCUENTA=1)*(COUNTIF(CONFIG_ASIGNATURAS!$B$7:$B$27,nASIG)&gt;0)*(nNOTA))/SUMPRODUCT((nNIA=M288)*(nCUENTA=1)*(COUNTIF(CONFIG_ASIGNATURAS!$B$7:$B$27,nASIG)&gt;0)*1),"")))</f>
        <v/>
      </c>
      <c r="T288" t="str">
        <f>IF(S288="","",IF(S288="[FÓRMULA MANUAL]","",IFERROR(AVERAGEIFS(nNOTA,nNIA,S288,nCUENTA,1,nASIG,"Armonía"),"")))</f>
        <v/>
      </c>
      <c r="U288" t="str">
        <f>IF(S288="","",IF(S288="[FÓRMULA MANUAL]","",IFERROR(AVERAGEIFS(nNOTA,nNIA,S288,nCUENTA,1,nASIG,"Orquesta/Banda/Conjunto"),"")))</f>
        <v/>
      </c>
      <c r="V288" t="str">
        <f>IF(S288="","",IF(S288="[FÓRMULA MANUAL]","",IFERROR(AVERAGEIFS(nNOTA,nNIA,S288,nCUENTA,1,nASIG,"Música de Cámara"),"")))</f>
        <v/>
      </c>
      <c r="W288" t="str">
        <f>IF(S288="","",IF(S288="[FÓRMULA MANUAL]","",IFERROR(SUMPRODUCT((nNIA=S288)*(nCUENTA=1)*(COUNTIF(CONFIG_ASIGNATURAS!$B$7:$B$27,nASIG)&gt;0)*(nNOTA))/SUMPRODUCT((nNIA=S288)*(nCUENTA=1)*(COUNTIF(CONFIG_ASIGNATURAS!$B$7:$B$27,nASIG)&gt;0)*1),"")))</f>
        <v/>
      </c>
      <c r="Z288" t="str">
        <f>IF(Y288="","",IF(Y288="[FÓRMULA MANUAL]","",IFERROR(AVERAGEIFS(nNOTA,nNIA,Y288,nCUENTA,1,nASIG,"Análisis"),"")))</f>
        <v/>
      </c>
      <c r="AA288" t="str">
        <f>IF(Y288="","",IF(Y288="[FÓRMULA MANUAL]","",IFERROR(AVERAGEIFS(nNOTA,nNIA,Y288,nCUENTA,1,nASIG,"Orquesta/Banda/Conjunto"),"")))</f>
        <v/>
      </c>
      <c r="AB288" t="str">
        <f>IF(Y288="","",IF(Y288="[FÓRMULA MANUAL]","",IFERROR(AVERAGEIFS(nNOTA,nNIA,Y288,nCUENTA,1,nASIG,"Música de Cámara"),"")))</f>
        <v/>
      </c>
      <c r="AC288" t="str">
        <f>IF(Y288="","",IF(Y288="[FÓRMULA MANUAL]","",IFERROR(SUMPRODUCT((nNIA=Y288)*(nCUENTA=1)*(COUNTIF(CONFIG_ASIGNATURAS!$B$7:$B$27,nASIG)&gt;0)*(nNOTA))/SUMPRODUCT((nNIA=Y288)*(nCUENTA=1)*(COUNTIF(CONFIG_ASIGNATURAS!$B$7:$B$27,nASIG)&gt;0)*1),"")))</f>
        <v/>
      </c>
      <c r="AF288" t="str">
        <f>IF(AE288="","",IF(AE288="[FÓRMULA MANUAL]","",IFERROR(AVERAGEIFS(nNOTA,nNIA,AE288,nCUENTA,1,nASIG,"Análisis"),"")))</f>
        <v/>
      </c>
      <c r="AG288" t="str">
        <f>IF(AE288="","",IF(AE288="[FÓRMULA MANUAL]","",IFERROR(AVERAGEIFS(nNOTA,nNIA,AE288,nCUENTA,1,nASIG,"Orquesta/Banda/Conjunto"),"")))</f>
        <v/>
      </c>
      <c r="AH288" t="str">
        <f>IF(AE288="","",IF(AE288="[FÓRMULA MANUAL]","",IFERROR(AVERAGEIFS(nNOTA,nNIA,AE288,nCUENTA,1,nASIG,"Música de Cámara"),"")))</f>
        <v/>
      </c>
      <c r="AI288" t="str">
        <f>IF(AE288="","",IF(AE288="[FÓRMULA MANUAL]","",IFERROR(SUMPRODUCT((nNIA=AE288)*(nCUENTA=1)*(COUNTIF(CONFIG_ASIGNATURAS!$B$7:$B$27,nASIG)&gt;0)*(nNOTA))/SUMPRODUCT((nNIA=AE288)*(nCUENTA=1)*(COUNTIF(CONFIG_ASIGNATURAS!$B$7:$B$27,nASIG)&gt;0)*1),"")))</f>
        <v/>
      </c>
    </row>
    <row r="289" spans="2:35" x14ac:dyDescent="0.2">
      <c r="B289" t="str">
        <f>IF(A289="","",IF(A289="[FÓRMULA MANUAL]","",IFERROR(AVERAGEIFS(nNOTA,nNIA,A289,nCUENTA,1,nASIG,"Lenguaje Musical"),"")))</f>
        <v/>
      </c>
      <c r="C289" t="str">
        <f>IF(A289="","",IF(A289="[FÓRMULA MANUAL]","",IFERROR(AVERAGEIFS(nNOTA,nNIA,A289,nCUENTA,1,nASIG,"Orquesta/Banda/Conjunto"),"")))</f>
        <v/>
      </c>
      <c r="D289" t="str">
        <f>IF(A289="","",IF(A289="[FÓRMULA MANUAL]","",IFERROR(AVERAGEIFS(nNOTA,nNIA,A289,nCUENTA,1,nASIG,"Conjunto"),"")))</f>
        <v/>
      </c>
      <c r="E289" t="str">
        <f>IF(A289="","",IF(A289="[FÓRMULA MANUAL]","",IFERROR(SUMPRODUCT((nNIA=A289)*(nCUENTA=1)*(COUNTIF(CONFIG_ASIGNATURAS!$B$7:$B$27,nASIG)&gt;0)*(nNOTA))/SUMPRODUCT((nNIA=A289)*(nCUENTA=1)*(COUNTIF(CONFIG_ASIGNATURAS!$B$7:$B$27,nASIG)&gt;0)*1),"")))</f>
        <v/>
      </c>
      <c r="H289" t="str">
        <f>IF(G289="","",IF(G289="[FÓRMULA MANUAL]","",IFERROR(AVERAGEIFS(nNOTA,nNIA,G289,nCUENTA,1,nASIG,"Lenguaje Musical"),"")))</f>
        <v/>
      </c>
      <c r="I289" t="str">
        <f>IF(G289="","",IF(G289="[FÓRMULA MANUAL]","",IFERROR(AVERAGEIFS(nNOTA,nNIA,G289,nCUENTA,1,nASIG,"Orquesta/Banda/Conjunto"),"")))</f>
        <v/>
      </c>
      <c r="J289" t="str">
        <f>IF(G289="","",IF(G289="[FÓRMULA MANUAL]","",IFERROR(AVERAGEIFS(nNOTA,nNIA,G289,nCUENTA,1,nASIG,"Conjunto"),"")))</f>
        <v/>
      </c>
      <c r="K289" t="str">
        <f>IF(G289="","",IF(G289="[FÓRMULA MANUAL]","",IFERROR(SUMPRODUCT((nNIA=G289)*(nCUENTA=1)*(COUNTIF(CONFIG_ASIGNATURAS!$B$7:$B$27,nASIG)&gt;0)*(nNOTA))/SUMPRODUCT((nNIA=G289)*(nCUENTA=1)*(COUNTIF(CONFIG_ASIGNATURAS!$B$7:$B$27,nASIG)&gt;0)*1),"")))</f>
        <v/>
      </c>
      <c r="N289" t="str">
        <f>IF(M289="","",IF(M289="[FÓRMULA MANUAL]","",IFERROR(AVERAGEIFS(nNOTA,nNIA,M289,nCUENTA,1,nASIG,"Armonía"),"")))</f>
        <v/>
      </c>
      <c r="O289" t="str">
        <f>IF(M289="","",IF(M289="[FÓRMULA MANUAL]","",IFERROR(AVERAGEIFS(nNOTA,nNIA,M289,nCUENTA,1,nASIG,"Orquesta/Banda/Conjunto"),"")))</f>
        <v/>
      </c>
      <c r="P289" t="str">
        <f>IF(M289="","",IF(M289="[FÓRMULA MANUAL]","",IFERROR(AVERAGEIFS(nNOTA,nNIA,M289,nCUENTA,1,nASIG,"Música de Cámara"),"")))</f>
        <v/>
      </c>
      <c r="Q289" t="str">
        <f>IF(M289="","",IF(M289="[FÓRMULA MANUAL]","",IFERROR(SUMPRODUCT((nNIA=M289)*(nCUENTA=1)*(COUNTIF(CONFIG_ASIGNATURAS!$B$7:$B$27,nASIG)&gt;0)*(nNOTA))/SUMPRODUCT((nNIA=M289)*(nCUENTA=1)*(COUNTIF(CONFIG_ASIGNATURAS!$B$7:$B$27,nASIG)&gt;0)*1),"")))</f>
        <v/>
      </c>
      <c r="T289" t="str">
        <f>IF(S289="","",IF(S289="[FÓRMULA MANUAL]","",IFERROR(AVERAGEIFS(nNOTA,nNIA,S289,nCUENTA,1,nASIG,"Armonía"),"")))</f>
        <v/>
      </c>
      <c r="U289" t="str">
        <f>IF(S289="","",IF(S289="[FÓRMULA MANUAL]","",IFERROR(AVERAGEIFS(nNOTA,nNIA,S289,nCUENTA,1,nASIG,"Orquesta/Banda/Conjunto"),"")))</f>
        <v/>
      </c>
      <c r="V289" t="str">
        <f>IF(S289="","",IF(S289="[FÓRMULA MANUAL]","",IFERROR(AVERAGEIFS(nNOTA,nNIA,S289,nCUENTA,1,nASIG,"Música de Cámara"),"")))</f>
        <v/>
      </c>
      <c r="W289" t="str">
        <f>IF(S289="","",IF(S289="[FÓRMULA MANUAL]","",IFERROR(SUMPRODUCT((nNIA=S289)*(nCUENTA=1)*(COUNTIF(CONFIG_ASIGNATURAS!$B$7:$B$27,nASIG)&gt;0)*(nNOTA))/SUMPRODUCT((nNIA=S289)*(nCUENTA=1)*(COUNTIF(CONFIG_ASIGNATURAS!$B$7:$B$27,nASIG)&gt;0)*1),"")))</f>
        <v/>
      </c>
      <c r="Z289" t="str">
        <f>IF(Y289="","",IF(Y289="[FÓRMULA MANUAL]","",IFERROR(AVERAGEIFS(nNOTA,nNIA,Y289,nCUENTA,1,nASIG,"Análisis"),"")))</f>
        <v/>
      </c>
      <c r="AA289" t="str">
        <f>IF(Y289="","",IF(Y289="[FÓRMULA MANUAL]","",IFERROR(AVERAGEIFS(nNOTA,nNIA,Y289,nCUENTA,1,nASIG,"Orquesta/Banda/Conjunto"),"")))</f>
        <v/>
      </c>
      <c r="AB289" t="str">
        <f>IF(Y289="","",IF(Y289="[FÓRMULA MANUAL]","",IFERROR(AVERAGEIFS(nNOTA,nNIA,Y289,nCUENTA,1,nASIG,"Música de Cámara"),"")))</f>
        <v/>
      </c>
      <c r="AC289" t="str">
        <f>IF(Y289="","",IF(Y289="[FÓRMULA MANUAL]","",IFERROR(SUMPRODUCT((nNIA=Y289)*(nCUENTA=1)*(COUNTIF(CONFIG_ASIGNATURAS!$B$7:$B$27,nASIG)&gt;0)*(nNOTA))/SUMPRODUCT((nNIA=Y289)*(nCUENTA=1)*(COUNTIF(CONFIG_ASIGNATURAS!$B$7:$B$27,nASIG)&gt;0)*1),"")))</f>
        <v/>
      </c>
      <c r="AF289" t="str">
        <f>IF(AE289="","",IF(AE289="[FÓRMULA MANUAL]","",IFERROR(AVERAGEIFS(nNOTA,nNIA,AE289,nCUENTA,1,nASIG,"Análisis"),"")))</f>
        <v/>
      </c>
      <c r="AG289" t="str">
        <f>IF(AE289="","",IF(AE289="[FÓRMULA MANUAL]","",IFERROR(AVERAGEIFS(nNOTA,nNIA,AE289,nCUENTA,1,nASIG,"Orquesta/Banda/Conjunto"),"")))</f>
        <v/>
      </c>
      <c r="AH289" t="str">
        <f>IF(AE289="","",IF(AE289="[FÓRMULA MANUAL]","",IFERROR(AVERAGEIFS(nNOTA,nNIA,AE289,nCUENTA,1,nASIG,"Música de Cámara"),"")))</f>
        <v/>
      </c>
      <c r="AI289" t="str">
        <f>IF(AE289="","",IF(AE289="[FÓRMULA MANUAL]","",IFERROR(SUMPRODUCT((nNIA=AE289)*(nCUENTA=1)*(COUNTIF(CONFIG_ASIGNATURAS!$B$7:$B$27,nASIG)&gt;0)*(nNOTA))/SUMPRODUCT((nNIA=AE289)*(nCUENTA=1)*(COUNTIF(CONFIG_ASIGNATURAS!$B$7:$B$27,nASIG)&gt;0)*1),"")))</f>
        <v/>
      </c>
    </row>
    <row r="290" spans="2:35" x14ac:dyDescent="0.2">
      <c r="B290" t="str">
        <f>IF(A290="","",IF(A290="[FÓRMULA MANUAL]","",IFERROR(AVERAGEIFS(nNOTA,nNIA,A290,nCUENTA,1,nASIG,"Lenguaje Musical"),"")))</f>
        <v/>
      </c>
      <c r="C290" t="str">
        <f>IF(A290="","",IF(A290="[FÓRMULA MANUAL]","",IFERROR(AVERAGEIFS(nNOTA,nNIA,A290,nCUENTA,1,nASIG,"Orquesta/Banda/Conjunto"),"")))</f>
        <v/>
      </c>
      <c r="D290" t="str">
        <f>IF(A290="","",IF(A290="[FÓRMULA MANUAL]","",IFERROR(AVERAGEIFS(nNOTA,nNIA,A290,nCUENTA,1,nASIG,"Conjunto"),"")))</f>
        <v/>
      </c>
      <c r="E290" t="str">
        <f>IF(A290="","",IF(A290="[FÓRMULA MANUAL]","",IFERROR(SUMPRODUCT((nNIA=A290)*(nCUENTA=1)*(COUNTIF(CONFIG_ASIGNATURAS!$B$7:$B$27,nASIG)&gt;0)*(nNOTA))/SUMPRODUCT((nNIA=A290)*(nCUENTA=1)*(COUNTIF(CONFIG_ASIGNATURAS!$B$7:$B$27,nASIG)&gt;0)*1),"")))</f>
        <v/>
      </c>
      <c r="H290" t="str">
        <f>IF(G290="","",IF(G290="[FÓRMULA MANUAL]","",IFERROR(AVERAGEIFS(nNOTA,nNIA,G290,nCUENTA,1,nASIG,"Lenguaje Musical"),"")))</f>
        <v/>
      </c>
      <c r="I290" t="str">
        <f>IF(G290="","",IF(G290="[FÓRMULA MANUAL]","",IFERROR(AVERAGEIFS(nNOTA,nNIA,G290,nCUENTA,1,nASIG,"Orquesta/Banda/Conjunto"),"")))</f>
        <v/>
      </c>
      <c r="J290" t="str">
        <f>IF(G290="","",IF(G290="[FÓRMULA MANUAL]","",IFERROR(AVERAGEIFS(nNOTA,nNIA,G290,nCUENTA,1,nASIG,"Conjunto"),"")))</f>
        <v/>
      </c>
      <c r="K290" t="str">
        <f>IF(G290="","",IF(G290="[FÓRMULA MANUAL]","",IFERROR(SUMPRODUCT((nNIA=G290)*(nCUENTA=1)*(COUNTIF(CONFIG_ASIGNATURAS!$B$7:$B$27,nASIG)&gt;0)*(nNOTA))/SUMPRODUCT((nNIA=G290)*(nCUENTA=1)*(COUNTIF(CONFIG_ASIGNATURAS!$B$7:$B$27,nASIG)&gt;0)*1),"")))</f>
        <v/>
      </c>
      <c r="N290" t="str">
        <f>IF(M290="","",IF(M290="[FÓRMULA MANUAL]","",IFERROR(AVERAGEIFS(nNOTA,nNIA,M290,nCUENTA,1,nASIG,"Armonía"),"")))</f>
        <v/>
      </c>
      <c r="O290" t="str">
        <f>IF(M290="","",IF(M290="[FÓRMULA MANUAL]","",IFERROR(AVERAGEIFS(nNOTA,nNIA,M290,nCUENTA,1,nASIG,"Orquesta/Banda/Conjunto"),"")))</f>
        <v/>
      </c>
      <c r="P290" t="str">
        <f>IF(M290="","",IF(M290="[FÓRMULA MANUAL]","",IFERROR(AVERAGEIFS(nNOTA,nNIA,M290,nCUENTA,1,nASIG,"Música de Cámara"),"")))</f>
        <v/>
      </c>
      <c r="Q290" t="str">
        <f>IF(M290="","",IF(M290="[FÓRMULA MANUAL]","",IFERROR(SUMPRODUCT((nNIA=M290)*(nCUENTA=1)*(COUNTIF(CONFIG_ASIGNATURAS!$B$7:$B$27,nASIG)&gt;0)*(nNOTA))/SUMPRODUCT((nNIA=M290)*(nCUENTA=1)*(COUNTIF(CONFIG_ASIGNATURAS!$B$7:$B$27,nASIG)&gt;0)*1),"")))</f>
        <v/>
      </c>
      <c r="T290" t="str">
        <f>IF(S290="","",IF(S290="[FÓRMULA MANUAL]","",IFERROR(AVERAGEIFS(nNOTA,nNIA,S290,nCUENTA,1,nASIG,"Armonía"),"")))</f>
        <v/>
      </c>
      <c r="U290" t="str">
        <f>IF(S290="","",IF(S290="[FÓRMULA MANUAL]","",IFERROR(AVERAGEIFS(nNOTA,nNIA,S290,nCUENTA,1,nASIG,"Orquesta/Banda/Conjunto"),"")))</f>
        <v/>
      </c>
      <c r="V290" t="str">
        <f>IF(S290="","",IF(S290="[FÓRMULA MANUAL]","",IFERROR(AVERAGEIFS(nNOTA,nNIA,S290,nCUENTA,1,nASIG,"Música de Cámara"),"")))</f>
        <v/>
      </c>
      <c r="W290" t="str">
        <f>IF(S290="","",IF(S290="[FÓRMULA MANUAL]","",IFERROR(SUMPRODUCT((nNIA=S290)*(nCUENTA=1)*(COUNTIF(CONFIG_ASIGNATURAS!$B$7:$B$27,nASIG)&gt;0)*(nNOTA))/SUMPRODUCT((nNIA=S290)*(nCUENTA=1)*(COUNTIF(CONFIG_ASIGNATURAS!$B$7:$B$27,nASIG)&gt;0)*1),"")))</f>
        <v/>
      </c>
      <c r="Z290" t="str">
        <f>IF(Y290="","",IF(Y290="[FÓRMULA MANUAL]","",IFERROR(AVERAGEIFS(nNOTA,nNIA,Y290,nCUENTA,1,nASIG,"Análisis"),"")))</f>
        <v/>
      </c>
      <c r="AA290" t="str">
        <f>IF(Y290="","",IF(Y290="[FÓRMULA MANUAL]","",IFERROR(AVERAGEIFS(nNOTA,nNIA,Y290,nCUENTA,1,nASIG,"Orquesta/Banda/Conjunto"),"")))</f>
        <v/>
      </c>
      <c r="AB290" t="str">
        <f>IF(Y290="","",IF(Y290="[FÓRMULA MANUAL]","",IFERROR(AVERAGEIFS(nNOTA,nNIA,Y290,nCUENTA,1,nASIG,"Música de Cámara"),"")))</f>
        <v/>
      </c>
      <c r="AC290" t="str">
        <f>IF(Y290="","",IF(Y290="[FÓRMULA MANUAL]","",IFERROR(SUMPRODUCT((nNIA=Y290)*(nCUENTA=1)*(COUNTIF(CONFIG_ASIGNATURAS!$B$7:$B$27,nASIG)&gt;0)*(nNOTA))/SUMPRODUCT((nNIA=Y290)*(nCUENTA=1)*(COUNTIF(CONFIG_ASIGNATURAS!$B$7:$B$27,nASIG)&gt;0)*1),"")))</f>
        <v/>
      </c>
      <c r="AF290" t="str">
        <f>IF(AE290="","",IF(AE290="[FÓRMULA MANUAL]","",IFERROR(AVERAGEIFS(nNOTA,nNIA,AE290,nCUENTA,1,nASIG,"Análisis"),"")))</f>
        <v/>
      </c>
      <c r="AG290" t="str">
        <f>IF(AE290="","",IF(AE290="[FÓRMULA MANUAL]","",IFERROR(AVERAGEIFS(nNOTA,nNIA,AE290,nCUENTA,1,nASIG,"Orquesta/Banda/Conjunto"),"")))</f>
        <v/>
      </c>
      <c r="AH290" t="str">
        <f>IF(AE290="","",IF(AE290="[FÓRMULA MANUAL]","",IFERROR(AVERAGEIFS(nNOTA,nNIA,AE290,nCUENTA,1,nASIG,"Música de Cámara"),"")))</f>
        <v/>
      </c>
      <c r="AI290" t="str">
        <f>IF(AE290="","",IF(AE290="[FÓRMULA MANUAL]","",IFERROR(SUMPRODUCT((nNIA=AE290)*(nCUENTA=1)*(COUNTIF(CONFIG_ASIGNATURAS!$B$7:$B$27,nASIG)&gt;0)*(nNOTA))/SUMPRODUCT((nNIA=AE290)*(nCUENTA=1)*(COUNTIF(CONFIG_ASIGNATURAS!$B$7:$B$27,nASIG)&gt;0)*1),"")))</f>
        <v/>
      </c>
    </row>
    <row r="291" spans="2:35" x14ac:dyDescent="0.2">
      <c r="B291" t="str">
        <f>IF(A291="","",IF(A291="[FÓRMULA MANUAL]","",IFERROR(AVERAGEIFS(nNOTA,nNIA,A291,nCUENTA,1,nASIG,"Lenguaje Musical"),"")))</f>
        <v/>
      </c>
      <c r="C291" t="str">
        <f>IF(A291="","",IF(A291="[FÓRMULA MANUAL]","",IFERROR(AVERAGEIFS(nNOTA,nNIA,A291,nCUENTA,1,nASIG,"Orquesta/Banda/Conjunto"),"")))</f>
        <v/>
      </c>
      <c r="D291" t="str">
        <f>IF(A291="","",IF(A291="[FÓRMULA MANUAL]","",IFERROR(AVERAGEIFS(nNOTA,nNIA,A291,nCUENTA,1,nASIG,"Conjunto"),"")))</f>
        <v/>
      </c>
      <c r="E291" t="str">
        <f>IF(A291="","",IF(A291="[FÓRMULA MANUAL]","",IFERROR(SUMPRODUCT((nNIA=A291)*(nCUENTA=1)*(COUNTIF(CONFIG_ASIGNATURAS!$B$7:$B$27,nASIG)&gt;0)*(nNOTA))/SUMPRODUCT((nNIA=A291)*(nCUENTA=1)*(COUNTIF(CONFIG_ASIGNATURAS!$B$7:$B$27,nASIG)&gt;0)*1),"")))</f>
        <v/>
      </c>
      <c r="H291" t="str">
        <f>IF(G291="","",IF(G291="[FÓRMULA MANUAL]","",IFERROR(AVERAGEIFS(nNOTA,nNIA,G291,nCUENTA,1,nASIG,"Lenguaje Musical"),"")))</f>
        <v/>
      </c>
      <c r="I291" t="str">
        <f>IF(G291="","",IF(G291="[FÓRMULA MANUAL]","",IFERROR(AVERAGEIFS(nNOTA,nNIA,G291,nCUENTA,1,nASIG,"Orquesta/Banda/Conjunto"),"")))</f>
        <v/>
      </c>
      <c r="J291" t="str">
        <f>IF(G291="","",IF(G291="[FÓRMULA MANUAL]","",IFERROR(AVERAGEIFS(nNOTA,nNIA,G291,nCUENTA,1,nASIG,"Conjunto"),"")))</f>
        <v/>
      </c>
      <c r="K291" t="str">
        <f>IF(G291="","",IF(G291="[FÓRMULA MANUAL]","",IFERROR(SUMPRODUCT((nNIA=G291)*(nCUENTA=1)*(COUNTIF(CONFIG_ASIGNATURAS!$B$7:$B$27,nASIG)&gt;0)*(nNOTA))/SUMPRODUCT((nNIA=G291)*(nCUENTA=1)*(COUNTIF(CONFIG_ASIGNATURAS!$B$7:$B$27,nASIG)&gt;0)*1),"")))</f>
        <v/>
      </c>
      <c r="N291" t="str">
        <f>IF(M291="","",IF(M291="[FÓRMULA MANUAL]","",IFERROR(AVERAGEIFS(nNOTA,nNIA,M291,nCUENTA,1,nASIG,"Armonía"),"")))</f>
        <v/>
      </c>
      <c r="O291" t="str">
        <f>IF(M291="","",IF(M291="[FÓRMULA MANUAL]","",IFERROR(AVERAGEIFS(nNOTA,nNIA,M291,nCUENTA,1,nASIG,"Orquesta/Banda/Conjunto"),"")))</f>
        <v/>
      </c>
      <c r="P291" t="str">
        <f>IF(M291="","",IF(M291="[FÓRMULA MANUAL]","",IFERROR(AVERAGEIFS(nNOTA,nNIA,M291,nCUENTA,1,nASIG,"Música de Cámara"),"")))</f>
        <v/>
      </c>
      <c r="Q291" t="str">
        <f>IF(M291="","",IF(M291="[FÓRMULA MANUAL]","",IFERROR(SUMPRODUCT((nNIA=M291)*(nCUENTA=1)*(COUNTIF(CONFIG_ASIGNATURAS!$B$7:$B$27,nASIG)&gt;0)*(nNOTA))/SUMPRODUCT((nNIA=M291)*(nCUENTA=1)*(COUNTIF(CONFIG_ASIGNATURAS!$B$7:$B$27,nASIG)&gt;0)*1),"")))</f>
        <v/>
      </c>
      <c r="T291" t="str">
        <f>IF(S291="","",IF(S291="[FÓRMULA MANUAL]","",IFERROR(AVERAGEIFS(nNOTA,nNIA,S291,nCUENTA,1,nASIG,"Armonía"),"")))</f>
        <v/>
      </c>
      <c r="U291" t="str">
        <f>IF(S291="","",IF(S291="[FÓRMULA MANUAL]","",IFERROR(AVERAGEIFS(nNOTA,nNIA,S291,nCUENTA,1,nASIG,"Orquesta/Banda/Conjunto"),"")))</f>
        <v/>
      </c>
      <c r="V291" t="str">
        <f>IF(S291="","",IF(S291="[FÓRMULA MANUAL]","",IFERROR(AVERAGEIFS(nNOTA,nNIA,S291,nCUENTA,1,nASIG,"Música de Cámara"),"")))</f>
        <v/>
      </c>
      <c r="W291" t="str">
        <f>IF(S291="","",IF(S291="[FÓRMULA MANUAL]","",IFERROR(SUMPRODUCT((nNIA=S291)*(nCUENTA=1)*(COUNTIF(CONFIG_ASIGNATURAS!$B$7:$B$27,nASIG)&gt;0)*(nNOTA))/SUMPRODUCT((nNIA=S291)*(nCUENTA=1)*(COUNTIF(CONFIG_ASIGNATURAS!$B$7:$B$27,nASIG)&gt;0)*1),"")))</f>
        <v/>
      </c>
      <c r="Z291" t="str">
        <f>IF(Y291="","",IF(Y291="[FÓRMULA MANUAL]","",IFERROR(AVERAGEIFS(nNOTA,nNIA,Y291,nCUENTA,1,nASIG,"Análisis"),"")))</f>
        <v/>
      </c>
      <c r="AA291" t="str">
        <f>IF(Y291="","",IF(Y291="[FÓRMULA MANUAL]","",IFERROR(AVERAGEIFS(nNOTA,nNIA,Y291,nCUENTA,1,nASIG,"Orquesta/Banda/Conjunto"),"")))</f>
        <v/>
      </c>
      <c r="AB291" t="str">
        <f>IF(Y291="","",IF(Y291="[FÓRMULA MANUAL]","",IFERROR(AVERAGEIFS(nNOTA,nNIA,Y291,nCUENTA,1,nASIG,"Música de Cámara"),"")))</f>
        <v/>
      </c>
      <c r="AC291" t="str">
        <f>IF(Y291="","",IF(Y291="[FÓRMULA MANUAL]","",IFERROR(SUMPRODUCT((nNIA=Y291)*(nCUENTA=1)*(COUNTIF(CONFIG_ASIGNATURAS!$B$7:$B$27,nASIG)&gt;0)*(nNOTA))/SUMPRODUCT((nNIA=Y291)*(nCUENTA=1)*(COUNTIF(CONFIG_ASIGNATURAS!$B$7:$B$27,nASIG)&gt;0)*1),"")))</f>
        <v/>
      </c>
      <c r="AF291" t="str">
        <f>IF(AE291="","",IF(AE291="[FÓRMULA MANUAL]","",IFERROR(AVERAGEIFS(nNOTA,nNIA,AE291,nCUENTA,1,nASIG,"Análisis"),"")))</f>
        <v/>
      </c>
      <c r="AG291" t="str">
        <f>IF(AE291="","",IF(AE291="[FÓRMULA MANUAL]","",IFERROR(AVERAGEIFS(nNOTA,nNIA,AE291,nCUENTA,1,nASIG,"Orquesta/Banda/Conjunto"),"")))</f>
        <v/>
      </c>
      <c r="AH291" t="str">
        <f>IF(AE291="","",IF(AE291="[FÓRMULA MANUAL]","",IFERROR(AVERAGEIFS(nNOTA,nNIA,AE291,nCUENTA,1,nASIG,"Música de Cámara"),"")))</f>
        <v/>
      </c>
      <c r="AI291" t="str">
        <f>IF(AE291="","",IF(AE291="[FÓRMULA MANUAL]","",IFERROR(SUMPRODUCT((nNIA=AE291)*(nCUENTA=1)*(COUNTIF(CONFIG_ASIGNATURAS!$B$7:$B$27,nASIG)&gt;0)*(nNOTA))/SUMPRODUCT((nNIA=AE291)*(nCUENTA=1)*(COUNTIF(CONFIG_ASIGNATURAS!$B$7:$B$27,nASIG)&gt;0)*1),"")))</f>
        <v/>
      </c>
    </row>
    <row r="292" spans="2:35" x14ac:dyDescent="0.2">
      <c r="B292" t="str">
        <f>IF(A292="","",IF(A292="[FÓRMULA MANUAL]","",IFERROR(AVERAGEIFS(nNOTA,nNIA,A292,nCUENTA,1,nASIG,"Lenguaje Musical"),"")))</f>
        <v/>
      </c>
      <c r="C292" t="str">
        <f>IF(A292="","",IF(A292="[FÓRMULA MANUAL]","",IFERROR(AVERAGEIFS(nNOTA,nNIA,A292,nCUENTA,1,nASIG,"Orquesta/Banda/Conjunto"),"")))</f>
        <v/>
      </c>
      <c r="D292" t="str">
        <f>IF(A292="","",IF(A292="[FÓRMULA MANUAL]","",IFERROR(AVERAGEIFS(nNOTA,nNIA,A292,nCUENTA,1,nASIG,"Conjunto"),"")))</f>
        <v/>
      </c>
      <c r="E292" t="str">
        <f>IF(A292="","",IF(A292="[FÓRMULA MANUAL]","",IFERROR(SUMPRODUCT((nNIA=A292)*(nCUENTA=1)*(COUNTIF(CONFIG_ASIGNATURAS!$B$7:$B$27,nASIG)&gt;0)*(nNOTA))/SUMPRODUCT((nNIA=A292)*(nCUENTA=1)*(COUNTIF(CONFIG_ASIGNATURAS!$B$7:$B$27,nASIG)&gt;0)*1),"")))</f>
        <v/>
      </c>
      <c r="H292" t="str">
        <f>IF(G292="","",IF(G292="[FÓRMULA MANUAL]","",IFERROR(AVERAGEIFS(nNOTA,nNIA,G292,nCUENTA,1,nASIG,"Lenguaje Musical"),"")))</f>
        <v/>
      </c>
      <c r="I292" t="str">
        <f>IF(G292="","",IF(G292="[FÓRMULA MANUAL]","",IFERROR(AVERAGEIFS(nNOTA,nNIA,G292,nCUENTA,1,nASIG,"Orquesta/Banda/Conjunto"),"")))</f>
        <v/>
      </c>
      <c r="J292" t="str">
        <f>IF(G292="","",IF(G292="[FÓRMULA MANUAL]","",IFERROR(AVERAGEIFS(nNOTA,nNIA,G292,nCUENTA,1,nASIG,"Conjunto"),"")))</f>
        <v/>
      </c>
      <c r="K292" t="str">
        <f>IF(G292="","",IF(G292="[FÓRMULA MANUAL]","",IFERROR(SUMPRODUCT((nNIA=G292)*(nCUENTA=1)*(COUNTIF(CONFIG_ASIGNATURAS!$B$7:$B$27,nASIG)&gt;0)*(nNOTA))/SUMPRODUCT((nNIA=G292)*(nCUENTA=1)*(COUNTIF(CONFIG_ASIGNATURAS!$B$7:$B$27,nASIG)&gt;0)*1),"")))</f>
        <v/>
      </c>
      <c r="N292" t="str">
        <f>IF(M292="","",IF(M292="[FÓRMULA MANUAL]","",IFERROR(AVERAGEIFS(nNOTA,nNIA,M292,nCUENTA,1,nASIG,"Armonía"),"")))</f>
        <v/>
      </c>
      <c r="O292" t="str">
        <f>IF(M292="","",IF(M292="[FÓRMULA MANUAL]","",IFERROR(AVERAGEIFS(nNOTA,nNIA,M292,nCUENTA,1,nASIG,"Orquesta/Banda/Conjunto"),"")))</f>
        <v/>
      </c>
      <c r="P292" t="str">
        <f>IF(M292="","",IF(M292="[FÓRMULA MANUAL]","",IFERROR(AVERAGEIFS(nNOTA,nNIA,M292,nCUENTA,1,nASIG,"Música de Cámara"),"")))</f>
        <v/>
      </c>
      <c r="Q292" t="str">
        <f>IF(M292="","",IF(M292="[FÓRMULA MANUAL]","",IFERROR(SUMPRODUCT((nNIA=M292)*(nCUENTA=1)*(COUNTIF(CONFIG_ASIGNATURAS!$B$7:$B$27,nASIG)&gt;0)*(nNOTA))/SUMPRODUCT((nNIA=M292)*(nCUENTA=1)*(COUNTIF(CONFIG_ASIGNATURAS!$B$7:$B$27,nASIG)&gt;0)*1),"")))</f>
        <v/>
      </c>
      <c r="T292" t="str">
        <f>IF(S292="","",IF(S292="[FÓRMULA MANUAL]","",IFERROR(AVERAGEIFS(nNOTA,nNIA,S292,nCUENTA,1,nASIG,"Armonía"),"")))</f>
        <v/>
      </c>
      <c r="U292" t="str">
        <f>IF(S292="","",IF(S292="[FÓRMULA MANUAL]","",IFERROR(AVERAGEIFS(nNOTA,nNIA,S292,nCUENTA,1,nASIG,"Orquesta/Banda/Conjunto"),"")))</f>
        <v/>
      </c>
      <c r="V292" t="str">
        <f>IF(S292="","",IF(S292="[FÓRMULA MANUAL]","",IFERROR(AVERAGEIFS(nNOTA,nNIA,S292,nCUENTA,1,nASIG,"Música de Cámara"),"")))</f>
        <v/>
      </c>
      <c r="W292" t="str">
        <f>IF(S292="","",IF(S292="[FÓRMULA MANUAL]","",IFERROR(SUMPRODUCT((nNIA=S292)*(nCUENTA=1)*(COUNTIF(CONFIG_ASIGNATURAS!$B$7:$B$27,nASIG)&gt;0)*(nNOTA))/SUMPRODUCT((nNIA=S292)*(nCUENTA=1)*(COUNTIF(CONFIG_ASIGNATURAS!$B$7:$B$27,nASIG)&gt;0)*1),"")))</f>
        <v/>
      </c>
      <c r="Z292" t="str">
        <f>IF(Y292="","",IF(Y292="[FÓRMULA MANUAL]","",IFERROR(AVERAGEIFS(nNOTA,nNIA,Y292,nCUENTA,1,nASIG,"Análisis"),"")))</f>
        <v/>
      </c>
      <c r="AA292" t="str">
        <f>IF(Y292="","",IF(Y292="[FÓRMULA MANUAL]","",IFERROR(AVERAGEIFS(nNOTA,nNIA,Y292,nCUENTA,1,nASIG,"Orquesta/Banda/Conjunto"),"")))</f>
        <v/>
      </c>
      <c r="AB292" t="str">
        <f>IF(Y292="","",IF(Y292="[FÓRMULA MANUAL]","",IFERROR(AVERAGEIFS(nNOTA,nNIA,Y292,nCUENTA,1,nASIG,"Música de Cámara"),"")))</f>
        <v/>
      </c>
      <c r="AC292" t="str">
        <f>IF(Y292="","",IF(Y292="[FÓRMULA MANUAL]","",IFERROR(SUMPRODUCT((nNIA=Y292)*(nCUENTA=1)*(COUNTIF(CONFIG_ASIGNATURAS!$B$7:$B$27,nASIG)&gt;0)*(nNOTA))/SUMPRODUCT((nNIA=Y292)*(nCUENTA=1)*(COUNTIF(CONFIG_ASIGNATURAS!$B$7:$B$27,nASIG)&gt;0)*1),"")))</f>
        <v/>
      </c>
      <c r="AF292" t="str">
        <f>IF(AE292="","",IF(AE292="[FÓRMULA MANUAL]","",IFERROR(AVERAGEIFS(nNOTA,nNIA,AE292,nCUENTA,1,nASIG,"Análisis"),"")))</f>
        <v/>
      </c>
      <c r="AG292" t="str">
        <f>IF(AE292="","",IF(AE292="[FÓRMULA MANUAL]","",IFERROR(AVERAGEIFS(nNOTA,nNIA,AE292,nCUENTA,1,nASIG,"Orquesta/Banda/Conjunto"),"")))</f>
        <v/>
      </c>
      <c r="AH292" t="str">
        <f>IF(AE292="","",IF(AE292="[FÓRMULA MANUAL]","",IFERROR(AVERAGEIFS(nNOTA,nNIA,AE292,nCUENTA,1,nASIG,"Música de Cámara"),"")))</f>
        <v/>
      </c>
      <c r="AI292" t="str">
        <f>IF(AE292="","",IF(AE292="[FÓRMULA MANUAL]","",IFERROR(SUMPRODUCT((nNIA=AE292)*(nCUENTA=1)*(COUNTIF(CONFIG_ASIGNATURAS!$B$7:$B$27,nASIG)&gt;0)*(nNOTA))/SUMPRODUCT((nNIA=AE292)*(nCUENTA=1)*(COUNTIF(CONFIG_ASIGNATURAS!$B$7:$B$27,nASIG)&gt;0)*1),"")))</f>
        <v/>
      </c>
    </row>
    <row r="293" spans="2:35" x14ac:dyDescent="0.2">
      <c r="B293" t="str">
        <f>IF(A293="","",IF(A293="[FÓRMULA MANUAL]","",IFERROR(AVERAGEIFS(nNOTA,nNIA,A293,nCUENTA,1,nASIG,"Lenguaje Musical"),"")))</f>
        <v/>
      </c>
      <c r="C293" t="str">
        <f>IF(A293="","",IF(A293="[FÓRMULA MANUAL]","",IFERROR(AVERAGEIFS(nNOTA,nNIA,A293,nCUENTA,1,nASIG,"Orquesta/Banda/Conjunto"),"")))</f>
        <v/>
      </c>
      <c r="D293" t="str">
        <f>IF(A293="","",IF(A293="[FÓRMULA MANUAL]","",IFERROR(AVERAGEIFS(nNOTA,nNIA,A293,nCUENTA,1,nASIG,"Conjunto"),"")))</f>
        <v/>
      </c>
      <c r="E293" t="str">
        <f>IF(A293="","",IF(A293="[FÓRMULA MANUAL]","",IFERROR(SUMPRODUCT((nNIA=A293)*(nCUENTA=1)*(COUNTIF(CONFIG_ASIGNATURAS!$B$7:$B$27,nASIG)&gt;0)*(nNOTA))/SUMPRODUCT((nNIA=A293)*(nCUENTA=1)*(COUNTIF(CONFIG_ASIGNATURAS!$B$7:$B$27,nASIG)&gt;0)*1),"")))</f>
        <v/>
      </c>
      <c r="H293" t="str">
        <f>IF(G293="","",IF(G293="[FÓRMULA MANUAL]","",IFERROR(AVERAGEIFS(nNOTA,nNIA,G293,nCUENTA,1,nASIG,"Lenguaje Musical"),"")))</f>
        <v/>
      </c>
      <c r="I293" t="str">
        <f>IF(G293="","",IF(G293="[FÓRMULA MANUAL]","",IFERROR(AVERAGEIFS(nNOTA,nNIA,G293,nCUENTA,1,nASIG,"Orquesta/Banda/Conjunto"),"")))</f>
        <v/>
      </c>
      <c r="J293" t="str">
        <f>IF(G293="","",IF(G293="[FÓRMULA MANUAL]","",IFERROR(AVERAGEIFS(nNOTA,nNIA,G293,nCUENTA,1,nASIG,"Conjunto"),"")))</f>
        <v/>
      </c>
      <c r="K293" t="str">
        <f>IF(G293="","",IF(G293="[FÓRMULA MANUAL]","",IFERROR(SUMPRODUCT((nNIA=G293)*(nCUENTA=1)*(COUNTIF(CONFIG_ASIGNATURAS!$B$7:$B$27,nASIG)&gt;0)*(nNOTA))/SUMPRODUCT((nNIA=G293)*(nCUENTA=1)*(COUNTIF(CONFIG_ASIGNATURAS!$B$7:$B$27,nASIG)&gt;0)*1),"")))</f>
        <v/>
      </c>
      <c r="N293" t="str">
        <f>IF(M293="","",IF(M293="[FÓRMULA MANUAL]","",IFERROR(AVERAGEIFS(nNOTA,nNIA,M293,nCUENTA,1,nASIG,"Armonía"),"")))</f>
        <v/>
      </c>
      <c r="O293" t="str">
        <f>IF(M293="","",IF(M293="[FÓRMULA MANUAL]","",IFERROR(AVERAGEIFS(nNOTA,nNIA,M293,nCUENTA,1,nASIG,"Orquesta/Banda/Conjunto"),"")))</f>
        <v/>
      </c>
      <c r="P293" t="str">
        <f>IF(M293="","",IF(M293="[FÓRMULA MANUAL]","",IFERROR(AVERAGEIFS(nNOTA,nNIA,M293,nCUENTA,1,nASIG,"Música de Cámara"),"")))</f>
        <v/>
      </c>
      <c r="Q293" t="str">
        <f>IF(M293="","",IF(M293="[FÓRMULA MANUAL]","",IFERROR(SUMPRODUCT((nNIA=M293)*(nCUENTA=1)*(COUNTIF(CONFIG_ASIGNATURAS!$B$7:$B$27,nASIG)&gt;0)*(nNOTA))/SUMPRODUCT((nNIA=M293)*(nCUENTA=1)*(COUNTIF(CONFIG_ASIGNATURAS!$B$7:$B$27,nASIG)&gt;0)*1),"")))</f>
        <v/>
      </c>
      <c r="T293" t="str">
        <f>IF(S293="","",IF(S293="[FÓRMULA MANUAL]","",IFERROR(AVERAGEIFS(nNOTA,nNIA,S293,nCUENTA,1,nASIG,"Armonía"),"")))</f>
        <v/>
      </c>
      <c r="U293" t="str">
        <f>IF(S293="","",IF(S293="[FÓRMULA MANUAL]","",IFERROR(AVERAGEIFS(nNOTA,nNIA,S293,nCUENTA,1,nASIG,"Orquesta/Banda/Conjunto"),"")))</f>
        <v/>
      </c>
      <c r="V293" t="str">
        <f>IF(S293="","",IF(S293="[FÓRMULA MANUAL]","",IFERROR(AVERAGEIFS(nNOTA,nNIA,S293,nCUENTA,1,nASIG,"Música de Cámara"),"")))</f>
        <v/>
      </c>
      <c r="W293" t="str">
        <f>IF(S293="","",IF(S293="[FÓRMULA MANUAL]","",IFERROR(SUMPRODUCT((nNIA=S293)*(nCUENTA=1)*(COUNTIF(CONFIG_ASIGNATURAS!$B$7:$B$27,nASIG)&gt;0)*(nNOTA))/SUMPRODUCT((nNIA=S293)*(nCUENTA=1)*(COUNTIF(CONFIG_ASIGNATURAS!$B$7:$B$27,nASIG)&gt;0)*1),"")))</f>
        <v/>
      </c>
      <c r="Z293" t="str">
        <f>IF(Y293="","",IF(Y293="[FÓRMULA MANUAL]","",IFERROR(AVERAGEIFS(nNOTA,nNIA,Y293,nCUENTA,1,nASIG,"Análisis"),"")))</f>
        <v/>
      </c>
      <c r="AA293" t="str">
        <f>IF(Y293="","",IF(Y293="[FÓRMULA MANUAL]","",IFERROR(AVERAGEIFS(nNOTA,nNIA,Y293,nCUENTA,1,nASIG,"Orquesta/Banda/Conjunto"),"")))</f>
        <v/>
      </c>
      <c r="AB293" t="str">
        <f>IF(Y293="","",IF(Y293="[FÓRMULA MANUAL]","",IFERROR(AVERAGEIFS(nNOTA,nNIA,Y293,nCUENTA,1,nASIG,"Música de Cámara"),"")))</f>
        <v/>
      </c>
      <c r="AC293" t="str">
        <f>IF(Y293="","",IF(Y293="[FÓRMULA MANUAL]","",IFERROR(SUMPRODUCT((nNIA=Y293)*(nCUENTA=1)*(COUNTIF(CONFIG_ASIGNATURAS!$B$7:$B$27,nASIG)&gt;0)*(nNOTA))/SUMPRODUCT((nNIA=Y293)*(nCUENTA=1)*(COUNTIF(CONFIG_ASIGNATURAS!$B$7:$B$27,nASIG)&gt;0)*1),"")))</f>
        <v/>
      </c>
      <c r="AF293" t="str">
        <f>IF(AE293="","",IF(AE293="[FÓRMULA MANUAL]","",IFERROR(AVERAGEIFS(nNOTA,nNIA,AE293,nCUENTA,1,nASIG,"Análisis"),"")))</f>
        <v/>
      </c>
      <c r="AG293" t="str">
        <f>IF(AE293="","",IF(AE293="[FÓRMULA MANUAL]","",IFERROR(AVERAGEIFS(nNOTA,nNIA,AE293,nCUENTA,1,nASIG,"Orquesta/Banda/Conjunto"),"")))</f>
        <v/>
      </c>
      <c r="AH293" t="str">
        <f>IF(AE293="","",IF(AE293="[FÓRMULA MANUAL]","",IFERROR(AVERAGEIFS(nNOTA,nNIA,AE293,nCUENTA,1,nASIG,"Música de Cámara"),"")))</f>
        <v/>
      </c>
      <c r="AI293" t="str">
        <f>IF(AE293="","",IF(AE293="[FÓRMULA MANUAL]","",IFERROR(SUMPRODUCT((nNIA=AE293)*(nCUENTA=1)*(COUNTIF(CONFIG_ASIGNATURAS!$B$7:$B$27,nASIG)&gt;0)*(nNOTA))/SUMPRODUCT((nNIA=AE293)*(nCUENTA=1)*(COUNTIF(CONFIG_ASIGNATURAS!$B$7:$B$27,nASIG)&gt;0)*1),"")))</f>
        <v/>
      </c>
    </row>
    <row r="294" spans="2:35" x14ac:dyDescent="0.2">
      <c r="B294" t="str">
        <f>IF(A294="","",IF(A294="[FÓRMULA MANUAL]","",IFERROR(AVERAGEIFS(nNOTA,nNIA,A294,nCUENTA,1,nASIG,"Lenguaje Musical"),"")))</f>
        <v/>
      </c>
      <c r="C294" t="str">
        <f>IF(A294="","",IF(A294="[FÓRMULA MANUAL]","",IFERROR(AVERAGEIFS(nNOTA,nNIA,A294,nCUENTA,1,nASIG,"Orquesta/Banda/Conjunto"),"")))</f>
        <v/>
      </c>
      <c r="D294" t="str">
        <f>IF(A294="","",IF(A294="[FÓRMULA MANUAL]","",IFERROR(AVERAGEIFS(nNOTA,nNIA,A294,nCUENTA,1,nASIG,"Conjunto"),"")))</f>
        <v/>
      </c>
      <c r="E294" t="str">
        <f>IF(A294="","",IF(A294="[FÓRMULA MANUAL]","",IFERROR(SUMPRODUCT((nNIA=A294)*(nCUENTA=1)*(COUNTIF(CONFIG_ASIGNATURAS!$B$7:$B$27,nASIG)&gt;0)*(nNOTA))/SUMPRODUCT((nNIA=A294)*(nCUENTA=1)*(COUNTIF(CONFIG_ASIGNATURAS!$B$7:$B$27,nASIG)&gt;0)*1),"")))</f>
        <v/>
      </c>
      <c r="H294" t="str">
        <f>IF(G294="","",IF(G294="[FÓRMULA MANUAL]","",IFERROR(AVERAGEIFS(nNOTA,nNIA,G294,nCUENTA,1,nASIG,"Lenguaje Musical"),"")))</f>
        <v/>
      </c>
      <c r="I294" t="str">
        <f>IF(G294="","",IF(G294="[FÓRMULA MANUAL]","",IFERROR(AVERAGEIFS(nNOTA,nNIA,G294,nCUENTA,1,nASIG,"Orquesta/Banda/Conjunto"),"")))</f>
        <v/>
      </c>
      <c r="J294" t="str">
        <f>IF(G294="","",IF(G294="[FÓRMULA MANUAL]","",IFERROR(AVERAGEIFS(nNOTA,nNIA,G294,nCUENTA,1,nASIG,"Conjunto"),"")))</f>
        <v/>
      </c>
      <c r="K294" t="str">
        <f>IF(G294="","",IF(G294="[FÓRMULA MANUAL]","",IFERROR(SUMPRODUCT((nNIA=G294)*(nCUENTA=1)*(COUNTIF(CONFIG_ASIGNATURAS!$B$7:$B$27,nASIG)&gt;0)*(nNOTA))/SUMPRODUCT((nNIA=G294)*(nCUENTA=1)*(COUNTIF(CONFIG_ASIGNATURAS!$B$7:$B$27,nASIG)&gt;0)*1),"")))</f>
        <v/>
      </c>
      <c r="N294" t="str">
        <f>IF(M294="","",IF(M294="[FÓRMULA MANUAL]","",IFERROR(AVERAGEIFS(nNOTA,nNIA,M294,nCUENTA,1,nASIG,"Armonía"),"")))</f>
        <v/>
      </c>
      <c r="O294" t="str">
        <f>IF(M294="","",IF(M294="[FÓRMULA MANUAL]","",IFERROR(AVERAGEIFS(nNOTA,nNIA,M294,nCUENTA,1,nASIG,"Orquesta/Banda/Conjunto"),"")))</f>
        <v/>
      </c>
      <c r="P294" t="str">
        <f>IF(M294="","",IF(M294="[FÓRMULA MANUAL]","",IFERROR(AVERAGEIFS(nNOTA,nNIA,M294,nCUENTA,1,nASIG,"Música de Cámara"),"")))</f>
        <v/>
      </c>
      <c r="Q294" t="str">
        <f>IF(M294="","",IF(M294="[FÓRMULA MANUAL]","",IFERROR(SUMPRODUCT((nNIA=M294)*(nCUENTA=1)*(COUNTIF(CONFIG_ASIGNATURAS!$B$7:$B$27,nASIG)&gt;0)*(nNOTA))/SUMPRODUCT((nNIA=M294)*(nCUENTA=1)*(COUNTIF(CONFIG_ASIGNATURAS!$B$7:$B$27,nASIG)&gt;0)*1),"")))</f>
        <v/>
      </c>
      <c r="T294" t="str">
        <f>IF(S294="","",IF(S294="[FÓRMULA MANUAL]","",IFERROR(AVERAGEIFS(nNOTA,nNIA,S294,nCUENTA,1,nASIG,"Armonía"),"")))</f>
        <v/>
      </c>
      <c r="U294" t="str">
        <f>IF(S294="","",IF(S294="[FÓRMULA MANUAL]","",IFERROR(AVERAGEIFS(nNOTA,nNIA,S294,nCUENTA,1,nASIG,"Orquesta/Banda/Conjunto"),"")))</f>
        <v/>
      </c>
      <c r="V294" t="str">
        <f>IF(S294="","",IF(S294="[FÓRMULA MANUAL]","",IFERROR(AVERAGEIFS(nNOTA,nNIA,S294,nCUENTA,1,nASIG,"Música de Cámara"),"")))</f>
        <v/>
      </c>
      <c r="W294" t="str">
        <f>IF(S294="","",IF(S294="[FÓRMULA MANUAL]","",IFERROR(SUMPRODUCT((nNIA=S294)*(nCUENTA=1)*(COUNTIF(CONFIG_ASIGNATURAS!$B$7:$B$27,nASIG)&gt;0)*(nNOTA))/SUMPRODUCT((nNIA=S294)*(nCUENTA=1)*(COUNTIF(CONFIG_ASIGNATURAS!$B$7:$B$27,nASIG)&gt;0)*1),"")))</f>
        <v/>
      </c>
      <c r="Z294" t="str">
        <f>IF(Y294="","",IF(Y294="[FÓRMULA MANUAL]","",IFERROR(AVERAGEIFS(nNOTA,nNIA,Y294,nCUENTA,1,nASIG,"Análisis"),"")))</f>
        <v/>
      </c>
      <c r="AA294" t="str">
        <f>IF(Y294="","",IF(Y294="[FÓRMULA MANUAL]","",IFERROR(AVERAGEIFS(nNOTA,nNIA,Y294,nCUENTA,1,nASIG,"Orquesta/Banda/Conjunto"),"")))</f>
        <v/>
      </c>
      <c r="AB294" t="str">
        <f>IF(Y294="","",IF(Y294="[FÓRMULA MANUAL]","",IFERROR(AVERAGEIFS(nNOTA,nNIA,Y294,nCUENTA,1,nASIG,"Música de Cámara"),"")))</f>
        <v/>
      </c>
      <c r="AC294" t="str">
        <f>IF(Y294="","",IF(Y294="[FÓRMULA MANUAL]","",IFERROR(SUMPRODUCT((nNIA=Y294)*(nCUENTA=1)*(COUNTIF(CONFIG_ASIGNATURAS!$B$7:$B$27,nASIG)&gt;0)*(nNOTA))/SUMPRODUCT((nNIA=Y294)*(nCUENTA=1)*(COUNTIF(CONFIG_ASIGNATURAS!$B$7:$B$27,nASIG)&gt;0)*1),"")))</f>
        <v/>
      </c>
      <c r="AF294" t="str">
        <f>IF(AE294="","",IF(AE294="[FÓRMULA MANUAL]","",IFERROR(AVERAGEIFS(nNOTA,nNIA,AE294,nCUENTA,1,nASIG,"Análisis"),"")))</f>
        <v/>
      </c>
      <c r="AG294" t="str">
        <f>IF(AE294="","",IF(AE294="[FÓRMULA MANUAL]","",IFERROR(AVERAGEIFS(nNOTA,nNIA,AE294,nCUENTA,1,nASIG,"Orquesta/Banda/Conjunto"),"")))</f>
        <v/>
      </c>
      <c r="AH294" t="str">
        <f>IF(AE294="","",IF(AE294="[FÓRMULA MANUAL]","",IFERROR(AVERAGEIFS(nNOTA,nNIA,AE294,nCUENTA,1,nASIG,"Música de Cámara"),"")))</f>
        <v/>
      </c>
      <c r="AI294" t="str">
        <f>IF(AE294="","",IF(AE294="[FÓRMULA MANUAL]","",IFERROR(SUMPRODUCT((nNIA=AE294)*(nCUENTA=1)*(COUNTIF(CONFIG_ASIGNATURAS!$B$7:$B$27,nASIG)&gt;0)*(nNOTA))/SUMPRODUCT((nNIA=AE294)*(nCUENTA=1)*(COUNTIF(CONFIG_ASIGNATURAS!$B$7:$B$27,nASIG)&gt;0)*1),"")))</f>
        <v/>
      </c>
    </row>
    <row r="295" spans="2:35" x14ac:dyDescent="0.2">
      <c r="B295" t="str">
        <f>IF(A295="","",IF(A295="[FÓRMULA MANUAL]","",IFERROR(AVERAGEIFS(nNOTA,nNIA,A295,nCUENTA,1,nASIG,"Lenguaje Musical"),"")))</f>
        <v/>
      </c>
      <c r="C295" t="str">
        <f>IF(A295="","",IF(A295="[FÓRMULA MANUAL]","",IFERROR(AVERAGEIFS(nNOTA,nNIA,A295,nCUENTA,1,nASIG,"Orquesta/Banda/Conjunto"),"")))</f>
        <v/>
      </c>
      <c r="D295" t="str">
        <f>IF(A295="","",IF(A295="[FÓRMULA MANUAL]","",IFERROR(AVERAGEIFS(nNOTA,nNIA,A295,nCUENTA,1,nASIG,"Conjunto"),"")))</f>
        <v/>
      </c>
      <c r="E295" t="str">
        <f>IF(A295="","",IF(A295="[FÓRMULA MANUAL]","",IFERROR(SUMPRODUCT((nNIA=A295)*(nCUENTA=1)*(COUNTIF(CONFIG_ASIGNATURAS!$B$7:$B$27,nASIG)&gt;0)*(nNOTA))/SUMPRODUCT((nNIA=A295)*(nCUENTA=1)*(COUNTIF(CONFIG_ASIGNATURAS!$B$7:$B$27,nASIG)&gt;0)*1),"")))</f>
        <v/>
      </c>
      <c r="H295" t="str">
        <f>IF(G295="","",IF(G295="[FÓRMULA MANUAL]","",IFERROR(AVERAGEIFS(nNOTA,nNIA,G295,nCUENTA,1,nASIG,"Lenguaje Musical"),"")))</f>
        <v/>
      </c>
      <c r="I295" t="str">
        <f>IF(G295="","",IF(G295="[FÓRMULA MANUAL]","",IFERROR(AVERAGEIFS(nNOTA,nNIA,G295,nCUENTA,1,nASIG,"Orquesta/Banda/Conjunto"),"")))</f>
        <v/>
      </c>
      <c r="J295" t="str">
        <f>IF(G295="","",IF(G295="[FÓRMULA MANUAL]","",IFERROR(AVERAGEIFS(nNOTA,nNIA,G295,nCUENTA,1,nASIG,"Conjunto"),"")))</f>
        <v/>
      </c>
      <c r="K295" t="str">
        <f>IF(G295="","",IF(G295="[FÓRMULA MANUAL]","",IFERROR(SUMPRODUCT((nNIA=G295)*(nCUENTA=1)*(COUNTIF(CONFIG_ASIGNATURAS!$B$7:$B$27,nASIG)&gt;0)*(nNOTA))/SUMPRODUCT((nNIA=G295)*(nCUENTA=1)*(COUNTIF(CONFIG_ASIGNATURAS!$B$7:$B$27,nASIG)&gt;0)*1),"")))</f>
        <v/>
      </c>
      <c r="N295" t="str">
        <f>IF(M295="","",IF(M295="[FÓRMULA MANUAL]","",IFERROR(AVERAGEIFS(nNOTA,nNIA,M295,nCUENTA,1,nASIG,"Armonía"),"")))</f>
        <v/>
      </c>
      <c r="O295" t="str">
        <f>IF(M295="","",IF(M295="[FÓRMULA MANUAL]","",IFERROR(AVERAGEIFS(nNOTA,nNIA,M295,nCUENTA,1,nASIG,"Orquesta/Banda/Conjunto"),"")))</f>
        <v/>
      </c>
      <c r="P295" t="str">
        <f>IF(M295="","",IF(M295="[FÓRMULA MANUAL]","",IFERROR(AVERAGEIFS(nNOTA,nNIA,M295,nCUENTA,1,nASIG,"Música de Cámara"),"")))</f>
        <v/>
      </c>
      <c r="Q295" t="str">
        <f>IF(M295="","",IF(M295="[FÓRMULA MANUAL]","",IFERROR(SUMPRODUCT((nNIA=M295)*(nCUENTA=1)*(COUNTIF(CONFIG_ASIGNATURAS!$B$7:$B$27,nASIG)&gt;0)*(nNOTA))/SUMPRODUCT((nNIA=M295)*(nCUENTA=1)*(COUNTIF(CONFIG_ASIGNATURAS!$B$7:$B$27,nASIG)&gt;0)*1),"")))</f>
        <v/>
      </c>
      <c r="T295" t="str">
        <f>IF(S295="","",IF(S295="[FÓRMULA MANUAL]","",IFERROR(AVERAGEIFS(nNOTA,nNIA,S295,nCUENTA,1,nASIG,"Armonía"),"")))</f>
        <v/>
      </c>
      <c r="U295" t="str">
        <f>IF(S295="","",IF(S295="[FÓRMULA MANUAL]","",IFERROR(AVERAGEIFS(nNOTA,nNIA,S295,nCUENTA,1,nASIG,"Orquesta/Banda/Conjunto"),"")))</f>
        <v/>
      </c>
      <c r="V295" t="str">
        <f>IF(S295="","",IF(S295="[FÓRMULA MANUAL]","",IFERROR(AVERAGEIFS(nNOTA,nNIA,S295,nCUENTA,1,nASIG,"Música de Cámara"),"")))</f>
        <v/>
      </c>
      <c r="W295" t="str">
        <f>IF(S295="","",IF(S295="[FÓRMULA MANUAL]","",IFERROR(SUMPRODUCT((nNIA=S295)*(nCUENTA=1)*(COUNTIF(CONFIG_ASIGNATURAS!$B$7:$B$27,nASIG)&gt;0)*(nNOTA))/SUMPRODUCT((nNIA=S295)*(nCUENTA=1)*(COUNTIF(CONFIG_ASIGNATURAS!$B$7:$B$27,nASIG)&gt;0)*1),"")))</f>
        <v/>
      </c>
      <c r="Z295" t="str">
        <f>IF(Y295="","",IF(Y295="[FÓRMULA MANUAL]","",IFERROR(AVERAGEIFS(nNOTA,nNIA,Y295,nCUENTA,1,nASIG,"Análisis"),"")))</f>
        <v/>
      </c>
      <c r="AA295" t="str">
        <f>IF(Y295="","",IF(Y295="[FÓRMULA MANUAL]","",IFERROR(AVERAGEIFS(nNOTA,nNIA,Y295,nCUENTA,1,nASIG,"Orquesta/Banda/Conjunto"),"")))</f>
        <v/>
      </c>
      <c r="AB295" t="str">
        <f>IF(Y295="","",IF(Y295="[FÓRMULA MANUAL]","",IFERROR(AVERAGEIFS(nNOTA,nNIA,Y295,nCUENTA,1,nASIG,"Música de Cámara"),"")))</f>
        <v/>
      </c>
      <c r="AC295" t="str">
        <f>IF(Y295="","",IF(Y295="[FÓRMULA MANUAL]","",IFERROR(SUMPRODUCT((nNIA=Y295)*(nCUENTA=1)*(COUNTIF(CONFIG_ASIGNATURAS!$B$7:$B$27,nASIG)&gt;0)*(nNOTA))/SUMPRODUCT((nNIA=Y295)*(nCUENTA=1)*(COUNTIF(CONFIG_ASIGNATURAS!$B$7:$B$27,nASIG)&gt;0)*1),"")))</f>
        <v/>
      </c>
      <c r="AF295" t="str">
        <f>IF(AE295="","",IF(AE295="[FÓRMULA MANUAL]","",IFERROR(AVERAGEIFS(nNOTA,nNIA,AE295,nCUENTA,1,nASIG,"Análisis"),"")))</f>
        <v/>
      </c>
      <c r="AG295" t="str">
        <f>IF(AE295="","",IF(AE295="[FÓRMULA MANUAL]","",IFERROR(AVERAGEIFS(nNOTA,nNIA,AE295,nCUENTA,1,nASIG,"Orquesta/Banda/Conjunto"),"")))</f>
        <v/>
      </c>
      <c r="AH295" t="str">
        <f>IF(AE295="","",IF(AE295="[FÓRMULA MANUAL]","",IFERROR(AVERAGEIFS(nNOTA,nNIA,AE295,nCUENTA,1,nASIG,"Música de Cámara"),"")))</f>
        <v/>
      </c>
      <c r="AI295" t="str">
        <f>IF(AE295="","",IF(AE295="[FÓRMULA MANUAL]","",IFERROR(SUMPRODUCT((nNIA=AE295)*(nCUENTA=1)*(COUNTIF(CONFIG_ASIGNATURAS!$B$7:$B$27,nASIG)&gt;0)*(nNOTA))/SUMPRODUCT((nNIA=AE295)*(nCUENTA=1)*(COUNTIF(CONFIG_ASIGNATURAS!$B$7:$B$27,nASIG)&gt;0)*1),"")))</f>
        <v/>
      </c>
    </row>
    <row r="296" spans="2:35" x14ac:dyDescent="0.2">
      <c r="B296" t="str">
        <f>IF(A296="","",IF(A296="[FÓRMULA MANUAL]","",IFERROR(AVERAGEIFS(nNOTA,nNIA,A296,nCUENTA,1,nASIG,"Lenguaje Musical"),"")))</f>
        <v/>
      </c>
      <c r="C296" t="str">
        <f>IF(A296="","",IF(A296="[FÓRMULA MANUAL]","",IFERROR(AVERAGEIFS(nNOTA,nNIA,A296,nCUENTA,1,nASIG,"Orquesta/Banda/Conjunto"),"")))</f>
        <v/>
      </c>
      <c r="D296" t="str">
        <f>IF(A296="","",IF(A296="[FÓRMULA MANUAL]","",IFERROR(AVERAGEIFS(nNOTA,nNIA,A296,nCUENTA,1,nASIG,"Conjunto"),"")))</f>
        <v/>
      </c>
      <c r="E296" t="str">
        <f>IF(A296="","",IF(A296="[FÓRMULA MANUAL]","",IFERROR(SUMPRODUCT((nNIA=A296)*(nCUENTA=1)*(COUNTIF(CONFIG_ASIGNATURAS!$B$7:$B$27,nASIG)&gt;0)*(nNOTA))/SUMPRODUCT((nNIA=A296)*(nCUENTA=1)*(COUNTIF(CONFIG_ASIGNATURAS!$B$7:$B$27,nASIG)&gt;0)*1),"")))</f>
        <v/>
      </c>
      <c r="H296" t="str">
        <f>IF(G296="","",IF(G296="[FÓRMULA MANUAL]","",IFERROR(AVERAGEIFS(nNOTA,nNIA,G296,nCUENTA,1,nASIG,"Lenguaje Musical"),"")))</f>
        <v/>
      </c>
      <c r="I296" t="str">
        <f>IF(G296="","",IF(G296="[FÓRMULA MANUAL]","",IFERROR(AVERAGEIFS(nNOTA,nNIA,G296,nCUENTA,1,nASIG,"Orquesta/Banda/Conjunto"),"")))</f>
        <v/>
      </c>
      <c r="J296" t="str">
        <f>IF(G296="","",IF(G296="[FÓRMULA MANUAL]","",IFERROR(AVERAGEIFS(nNOTA,nNIA,G296,nCUENTA,1,nASIG,"Conjunto"),"")))</f>
        <v/>
      </c>
      <c r="K296" t="str">
        <f>IF(G296="","",IF(G296="[FÓRMULA MANUAL]","",IFERROR(SUMPRODUCT((nNIA=G296)*(nCUENTA=1)*(COUNTIF(CONFIG_ASIGNATURAS!$B$7:$B$27,nASIG)&gt;0)*(nNOTA))/SUMPRODUCT((nNIA=G296)*(nCUENTA=1)*(COUNTIF(CONFIG_ASIGNATURAS!$B$7:$B$27,nASIG)&gt;0)*1),"")))</f>
        <v/>
      </c>
      <c r="N296" t="str">
        <f>IF(M296="","",IF(M296="[FÓRMULA MANUAL]","",IFERROR(AVERAGEIFS(nNOTA,nNIA,M296,nCUENTA,1,nASIG,"Armonía"),"")))</f>
        <v/>
      </c>
      <c r="O296" t="str">
        <f>IF(M296="","",IF(M296="[FÓRMULA MANUAL]","",IFERROR(AVERAGEIFS(nNOTA,nNIA,M296,nCUENTA,1,nASIG,"Orquesta/Banda/Conjunto"),"")))</f>
        <v/>
      </c>
      <c r="P296" t="str">
        <f>IF(M296="","",IF(M296="[FÓRMULA MANUAL]","",IFERROR(AVERAGEIFS(nNOTA,nNIA,M296,nCUENTA,1,nASIG,"Música de Cámara"),"")))</f>
        <v/>
      </c>
      <c r="Q296" t="str">
        <f>IF(M296="","",IF(M296="[FÓRMULA MANUAL]","",IFERROR(SUMPRODUCT((nNIA=M296)*(nCUENTA=1)*(COUNTIF(CONFIG_ASIGNATURAS!$B$7:$B$27,nASIG)&gt;0)*(nNOTA))/SUMPRODUCT((nNIA=M296)*(nCUENTA=1)*(COUNTIF(CONFIG_ASIGNATURAS!$B$7:$B$27,nASIG)&gt;0)*1),"")))</f>
        <v/>
      </c>
      <c r="T296" t="str">
        <f>IF(S296="","",IF(S296="[FÓRMULA MANUAL]","",IFERROR(AVERAGEIFS(nNOTA,nNIA,S296,nCUENTA,1,nASIG,"Armonía"),"")))</f>
        <v/>
      </c>
      <c r="U296" t="str">
        <f>IF(S296="","",IF(S296="[FÓRMULA MANUAL]","",IFERROR(AVERAGEIFS(nNOTA,nNIA,S296,nCUENTA,1,nASIG,"Orquesta/Banda/Conjunto"),"")))</f>
        <v/>
      </c>
      <c r="V296" t="str">
        <f>IF(S296="","",IF(S296="[FÓRMULA MANUAL]","",IFERROR(AVERAGEIFS(nNOTA,nNIA,S296,nCUENTA,1,nASIG,"Música de Cámara"),"")))</f>
        <v/>
      </c>
      <c r="W296" t="str">
        <f>IF(S296="","",IF(S296="[FÓRMULA MANUAL]","",IFERROR(SUMPRODUCT((nNIA=S296)*(nCUENTA=1)*(COUNTIF(CONFIG_ASIGNATURAS!$B$7:$B$27,nASIG)&gt;0)*(nNOTA))/SUMPRODUCT((nNIA=S296)*(nCUENTA=1)*(COUNTIF(CONFIG_ASIGNATURAS!$B$7:$B$27,nASIG)&gt;0)*1),"")))</f>
        <v/>
      </c>
      <c r="Z296" t="str">
        <f>IF(Y296="","",IF(Y296="[FÓRMULA MANUAL]","",IFERROR(AVERAGEIFS(nNOTA,nNIA,Y296,nCUENTA,1,nASIG,"Análisis"),"")))</f>
        <v/>
      </c>
      <c r="AA296" t="str">
        <f>IF(Y296="","",IF(Y296="[FÓRMULA MANUAL]","",IFERROR(AVERAGEIFS(nNOTA,nNIA,Y296,nCUENTA,1,nASIG,"Orquesta/Banda/Conjunto"),"")))</f>
        <v/>
      </c>
      <c r="AB296" t="str">
        <f>IF(Y296="","",IF(Y296="[FÓRMULA MANUAL]","",IFERROR(AVERAGEIFS(nNOTA,nNIA,Y296,nCUENTA,1,nASIG,"Música de Cámara"),"")))</f>
        <v/>
      </c>
      <c r="AC296" t="str">
        <f>IF(Y296="","",IF(Y296="[FÓRMULA MANUAL]","",IFERROR(SUMPRODUCT((nNIA=Y296)*(nCUENTA=1)*(COUNTIF(CONFIG_ASIGNATURAS!$B$7:$B$27,nASIG)&gt;0)*(nNOTA))/SUMPRODUCT((nNIA=Y296)*(nCUENTA=1)*(COUNTIF(CONFIG_ASIGNATURAS!$B$7:$B$27,nASIG)&gt;0)*1),"")))</f>
        <v/>
      </c>
      <c r="AF296" t="str">
        <f>IF(AE296="","",IF(AE296="[FÓRMULA MANUAL]","",IFERROR(AVERAGEIFS(nNOTA,nNIA,AE296,nCUENTA,1,nASIG,"Análisis"),"")))</f>
        <v/>
      </c>
      <c r="AG296" t="str">
        <f>IF(AE296="","",IF(AE296="[FÓRMULA MANUAL]","",IFERROR(AVERAGEIFS(nNOTA,nNIA,AE296,nCUENTA,1,nASIG,"Orquesta/Banda/Conjunto"),"")))</f>
        <v/>
      </c>
      <c r="AH296" t="str">
        <f>IF(AE296="","",IF(AE296="[FÓRMULA MANUAL]","",IFERROR(AVERAGEIFS(nNOTA,nNIA,AE296,nCUENTA,1,nASIG,"Música de Cámara"),"")))</f>
        <v/>
      </c>
      <c r="AI296" t="str">
        <f>IF(AE296="","",IF(AE296="[FÓRMULA MANUAL]","",IFERROR(SUMPRODUCT((nNIA=AE296)*(nCUENTA=1)*(COUNTIF(CONFIG_ASIGNATURAS!$B$7:$B$27,nASIG)&gt;0)*(nNOTA))/SUMPRODUCT((nNIA=AE296)*(nCUENTA=1)*(COUNTIF(CONFIG_ASIGNATURAS!$B$7:$B$27,nASIG)&gt;0)*1),"")))</f>
        <v/>
      </c>
    </row>
    <row r="297" spans="2:35" x14ac:dyDescent="0.2">
      <c r="B297" t="str">
        <f>IF(A297="","",IF(A297="[FÓRMULA MANUAL]","",IFERROR(AVERAGEIFS(nNOTA,nNIA,A297,nCUENTA,1,nASIG,"Lenguaje Musical"),"")))</f>
        <v/>
      </c>
      <c r="C297" t="str">
        <f>IF(A297="","",IF(A297="[FÓRMULA MANUAL]","",IFERROR(AVERAGEIFS(nNOTA,nNIA,A297,nCUENTA,1,nASIG,"Orquesta/Banda/Conjunto"),"")))</f>
        <v/>
      </c>
      <c r="D297" t="str">
        <f>IF(A297="","",IF(A297="[FÓRMULA MANUAL]","",IFERROR(AVERAGEIFS(nNOTA,nNIA,A297,nCUENTA,1,nASIG,"Conjunto"),"")))</f>
        <v/>
      </c>
      <c r="E297" t="str">
        <f>IF(A297="","",IF(A297="[FÓRMULA MANUAL]","",IFERROR(SUMPRODUCT((nNIA=A297)*(nCUENTA=1)*(COUNTIF(CONFIG_ASIGNATURAS!$B$7:$B$27,nASIG)&gt;0)*(nNOTA))/SUMPRODUCT((nNIA=A297)*(nCUENTA=1)*(COUNTIF(CONFIG_ASIGNATURAS!$B$7:$B$27,nASIG)&gt;0)*1),"")))</f>
        <v/>
      </c>
      <c r="H297" t="str">
        <f>IF(G297="","",IF(G297="[FÓRMULA MANUAL]","",IFERROR(AVERAGEIFS(nNOTA,nNIA,G297,nCUENTA,1,nASIG,"Lenguaje Musical"),"")))</f>
        <v/>
      </c>
      <c r="I297" t="str">
        <f>IF(G297="","",IF(G297="[FÓRMULA MANUAL]","",IFERROR(AVERAGEIFS(nNOTA,nNIA,G297,nCUENTA,1,nASIG,"Orquesta/Banda/Conjunto"),"")))</f>
        <v/>
      </c>
      <c r="J297" t="str">
        <f>IF(G297="","",IF(G297="[FÓRMULA MANUAL]","",IFERROR(AVERAGEIFS(nNOTA,nNIA,G297,nCUENTA,1,nASIG,"Conjunto"),"")))</f>
        <v/>
      </c>
      <c r="K297" t="str">
        <f>IF(G297="","",IF(G297="[FÓRMULA MANUAL]","",IFERROR(SUMPRODUCT((nNIA=G297)*(nCUENTA=1)*(COUNTIF(CONFIG_ASIGNATURAS!$B$7:$B$27,nASIG)&gt;0)*(nNOTA))/SUMPRODUCT((nNIA=G297)*(nCUENTA=1)*(COUNTIF(CONFIG_ASIGNATURAS!$B$7:$B$27,nASIG)&gt;0)*1),"")))</f>
        <v/>
      </c>
      <c r="N297" t="str">
        <f>IF(M297="","",IF(M297="[FÓRMULA MANUAL]","",IFERROR(AVERAGEIFS(nNOTA,nNIA,M297,nCUENTA,1,nASIG,"Armonía"),"")))</f>
        <v/>
      </c>
      <c r="O297" t="str">
        <f>IF(M297="","",IF(M297="[FÓRMULA MANUAL]","",IFERROR(AVERAGEIFS(nNOTA,nNIA,M297,nCUENTA,1,nASIG,"Orquesta/Banda/Conjunto"),"")))</f>
        <v/>
      </c>
      <c r="P297" t="str">
        <f>IF(M297="","",IF(M297="[FÓRMULA MANUAL]","",IFERROR(AVERAGEIFS(nNOTA,nNIA,M297,nCUENTA,1,nASIG,"Música de Cámara"),"")))</f>
        <v/>
      </c>
      <c r="Q297" t="str">
        <f>IF(M297="","",IF(M297="[FÓRMULA MANUAL]","",IFERROR(SUMPRODUCT((nNIA=M297)*(nCUENTA=1)*(COUNTIF(CONFIG_ASIGNATURAS!$B$7:$B$27,nASIG)&gt;0)*(nNOTA))/SUMPRODUCT((nNIA=M297)*(nCUENTA=1)*(COUNTIF(CONFIG_ASIGNATURAS!$B$7:$B$27,nASIG)&gt;0)*1),"")))</f>
        <v/>
      </c>
      <c r="T297" t="str">
        <f>IF(S297="","",IF(S297="[FÓRMULA MANUAL]","",IFERROR(AVERAGEIFS(nNOTA,nNIA,S297,nCUENTA,1,nASIG,"Armonía"),"")))</f>
        <v/>
      </c>
      <c r="U297" t="str">
        <f>IF(S297="","",IF(S297="[FÓRMULA MANUAL]","",IFERROR(AVERAGEIFS(nNOTA,nNIA,S297,nCUENTA,1,nASIG,"Orquesta/Banda/Conjunto"),"")))</f>
        <v/>
      </c>
      <c r="V297" t="str">
        <f>IF(S297="","",IF(S297="[FÓRMULA MANUAL]","",IFERROR(AVERAGEIFS(nNOTA,nNIA,S297,nCUENTA,1,nASIG,"Música de Cámara"),"")))</f>
        <v/>
      </c>
      <c r="W297" t="str">
        <f>IF(S297="","",IF(S297="[FÓRMULA MANUAL]","",IFERROR(SUMPRODUCT((nNIA=S297)*(nCUENTA=1)*(COUNTIF(CONFIG_ASIGNATURAS!$B$7:$B$27,nASIG)&gt;0)*(nNOTA))/SUMPRODUCT((nNIA=S297)*(nCUENTA=1)*(COUNTIF(CONFIG_ASIGNATURAS!$B$7:$B$27,nASIG)&gt;0)*1),"")))</f>
        <v/>
      </c>
      <c r="Z297" t="str">
        <f>IF(Y297="","",IF(Y297="[FÓRMULA MANUAL]","",IFERROR(AVERAGEIFS(nNOTA,nNIA,Y297,nCUENTA,1,nASIG,"Análisis"),"")))</f>
        <v/>
      </c>
      <c r="AA297" t="str">
        <f>IF(Y297="","",IF(Y297="[FÓRMULA MANUAL]","",IFERROR(AVERAGEIFS(nNOTA,nNIA,Y297,nCUENTA,1,nASIG,"Orquesta/Banda/Conjunto"),"")))</f>
        <v/>
      </c>
      <c r="AB297" t="str">
        <f>IF(Y297="","",IF(Y297="[FÓRMULA MANUAL]","",IFERROR(AVERAGEIFS(nNOTA,nNIA,Y297,nCUENTA,1,nASIG,"Música de Cámara"),"")))</f>
        <v/>
      </c>
      <c r="AC297" t="str">
        <f>IF(Y297="","",IF(Y297="[FÓRMULA MANUAL]","",IFERROR(SUMPRODUCT((nNIA=Y297)*(nCUENTA=1)*(COUNTIF(CONFIG_ASIGNATURAS!$B$7:$B$27,nASIG)&gt;0)*(nNOTA))/SUMPRODUCT((nNIA=Y297)*(nCUENTA=1)*(COUNTIF(CONFIG_ASIGNATURAS!$B$7:$B$27,nASIG)&gt;0)*1),"")))</f>
        <v/>
      </c>
      <c r="AF297" t="str">
        <f>IF(AE297="","",IF(AE297="[FÓRMULA MANUAL]","",IFERROR(AVERAGEIFS(nNOTA,nNIA,AE297,nCUENTA,1,nASIG,"Análisis"),"")))</f>
        <v/>
      </c>
      <c r="AG297" t="str">
        <f>IF(AE297="","",IF(AE297="[FÓRMULA MANUAL]","",IFERROR(AVERAGEIFS(nNOTA,nNIA,AE297,nCUENTA,1,nASIG,"Orquesta/Banda/Conjunto"),"")))</f>
        <v/>
      </c>
      <c r="AH297" t="str">
        <f>IF(AE297="","",IF(AE297="[FÓRMULA MANUAL]","",IFERROR(AVERAGEIFS(nNOTA,nNIA,AE297,nCUENTA,1,nASIG,"Música de Cámara"),"")))</f>
        <v/>
      </c>
      <c r="AI297" t="str">
        <f>IF(AE297="","",IF(AE297="[FÓRMULA MANUAL]","",IFERROR(SUMPRODUCT((nNIA=AE297)*(nCUENTA=1)*(COUNTIF(CONFIG_ASIGNATURAS!$B$7:$B$27,nASIG)&gt;0)*(nNOTA))/SUMPRODUCT((nNIA=AE297)*(nCUENTA=1)*(COUNTIF(CONFIG_ASIGNATURAS!$B$7:$B$27,nASIG)&gt;0)*1),"")))</f>
        <v/>
      </c>
    </row>
    <row r="298" spans="2:35" x14ac:dyDescent="0.2">
      <c r="B298" t="str">
        <f>IF(A298="","",IF(A298="[FÓRMULA MANUAL]","",IFERROR(AVERAGEIFS(nNOTA,nNIA,A298,nCUENTA,1,nASIG,"Lenguaje Musical"),"")))</f>
        <v/>
      </c>
      <c r="C298" t="str">
        <f>IF(A298="","",IF(A298="[FÓRMULA MANUAL]","",IFERROR(AVERAGEIFS(nNOTA,nNIA,A298,nCUENTA,1,nASIG,"Orquesta/Banda/Conjunto"),"")))</f>
        <v/>
      </c>
      <c r="D298" t="str">
        <f>IF(A298="","",IF(A298="[FÓRMULA MANUAL]","",IFERROR(AVERAGEIFS(nNOTA,nNIA,A298,nCUENTA,1,nASIG,"Conjunto"),"")))</f>
        <v/>
      </c>
      <c r="E298" t="str">
        <f>IF(A298="","",IF(A298="[FÓRMULA MANUAL]","",IFERROR(SUMPRODUCT((nNIA=A298)*(nCUENTA=1)*(COUNTIF(CONFIG_ASIGNATURAS!$B$7:$B$27,nASIG)&gt;0)*(nNOTA))/SUMPRODUCT((nNIA=A298)*(nCUENTA=1)*(COUNTIF(CONFIG_ASIGNATURAS!$B$7:$B$27,nASIG)&gt;0)*1),"")))</f>
        <v/>
      </c>
      <c r="H298" t="str">
        <f>IF(G298="","",IF(G298="[FÓRMULA MANUAL]","",IFERROR(AVERAGEIFS(nNOTA,nNIA,G298,nCUENTA,1,nASIG,"Lenguaje Musical"),"")))</f>
        <v/>
      </c>
      <c r="I298" t="str">
        <f>IF(G298="","",IF(G298="[FÓRMULA MANUAL]","",IFERROR(AVERAGEIFS(nNOTA,nNIA,G298,nCUENTA,1,nASIG,"Orquesta/Banda/Conjunto"),"")))</f>
        <v/>
      </c>
      <c r="J298" t="str">
        <f>IF(G298="","",IF(G298="[FÓRMULA MANUAL]","",IFERROR(AVERAGEIFS(nNOTA,nNIA,G298,nCUENTA,1,nASIG,"Conjunto"),"")))</f>
        <v/>
      </c>
      <c r="K298" t="str">
        <f>IF(G298="","",IF(G298="[FÓRMULA MANUAL]","",IFERROR(SUMPRODUCT((nNIA=G298)*(nCUENTA=1)*(COUNTIF(CONFIG_ASIGNATURAS!$B$7:$B$27,nASIG)&gt;0)*(nNOTA))/SUMPRODUCT((nNIA=G298)*(nCUENTA=1)*(COUNTIF(CONFIG_ASIGNATURAS!$B$7:$B$27,nASIG)&gt;0)*1),"")))</f>
        <v/>
      </c>
      <c r="N298" t="str">
        <f>IF(M298="","",IF(M298="[FÓRMULA MANUAL]","",IFERROR(AVERAGEIFS(nNOTA,nNIA,M298,nCUENTA,1,nASIG,"Armonía"),"")))</f>
        <v/>
      </c>
      <c r="O298" t="str">
        <f>IF(M298="","",IF(M298="[FÓRMULA MANUAL]","",IFERROR(AVERAGEIFS(nNOTA,nNIA,M298,nCUENTA,1,nASIG,"Orquesta/Banda/Conjunto"),"")))</f>
        <v/>
      </c>
      <c r="P298" t="str">
        <f>IF(M298="","",IF(M298="[FÓRMULA MANUAL]","",IFERROR(AVERAGEIFS(nNOTA,nNIA,M298,nCUENTA,1,nASIG,"Música de Cámara"),"")))</f>
        <v/>
      </c>
      <c r="Q298" t="str">
        <f>IF(M298="","",IF(M298="[FÓRMULA MANUAL]","",IFERROR(SUMPRODUCT((nNIA=M298)*(nCUENTA=1)*(COUNTIF(CONFIG_ASIGNATURAS!$B$7:$B$27,nASIG)&gt;0)*(nNOTA))/SUMPRODUCT((nNIA=M298)*(nCUENTA=1)*(COUNTIF(CONFIG_ASIGNATURAS!$B$7:$B$27,nASIG)&gt;0)*1),"")))</f>
        <v/>
      </c>
      <c r="T298" t="str">
        <f>IF(S298="","",IF(S298="[FÓRMULA MANUAL]","",IFERROR(AVERAGEIFS(nNOTA,nNIA,S298,nCUENTA,1,nASIG,"Armonía"),"")))</f>
        <v/>
      </c>
      <c r="U298" t="str">
        <f>IF(S298="","",IF(S298="[FÓRMULA MANUAL]","",IFERROR(AVERAGEIFS(nNOTA,nNIA,S298,nCUENTA,1,nASIG,"Orquesta/Banda/Conjunto"),"")))</f>
        <v/>
      </c>
      <c r="V298" t="str">
        <f>IF(S298="","",IF(S298="[FÓRMULA MANUAL]","",IFERROR(AVERAGEIFS(nNOTA,nNIA,S298,nCUENTA,1,nASIG,"Música de Cámara"),"")))</f>
        <v/>
      </c>
      <c r="W298" t="str">
        <f>IF(S298="","",IF(S298="[FÓRMULA MANUAL]","",IFERROR(SUMPRODUCT((nNIA=S298)*(nCUENTA=1)*(COUNTIF(CONFIG_ASIGNATURAS!$B$7:$B$27,nASIG)&gt;0)*(nNOTA))/SUMPRODUCT((nNIA=S298)*(nCUENTA=1)*(COUNTIF(CONFIG_ASIGNATURAS!$B$7:$B$27,nASIG)&gt;0)*1),"")))</f>
        <v/>
      </c>
      <c r="Z298" t="str">
        <f>IF(Y298="","",IF(Y298="[FÓRMULA MANUAL]","",IFERROR(AVERAGEIFS(nNOTA,nNIA,Y298,nCUENTA,1,nASIG,"Análisis"),"")))</f>
        <v/>
      </c>
      <c r="AA298" t="str">
        <f>IF(Y298="","",IF(Y298="[FÓRMULA MANUAL]","",IFERROR(AVERAGEIFS(nNOTA,nNIA,Y298,nCUENTA,1,nASIG,"Orquesta/Banda/Conjunto"),"")))</f>
        <v/>
      </c>
      <c r="AB298" t="str">
        <f>IF(Y298="","",IF(Y298="[FÓRMULA MANUAL]","",IFERROR(AVERAGEIFS(nNOTA,nNIA,Y298,nCUENTA,1,nASIG,"Música de Cámara"),"")))</f>
        <v/>
      </c>
      <c r="AC298" t="str">
        <f>IF(Y298="","",IF(Y298="[FÓRMULA MANUAL]","",IFERROR(SUMPRODUCT((nNIA=Y298)*(nCUENTA=1)*(COUNTIF(CONFIG_ASIGNATURAS!$B$7:$B$27,nASIG)&gt;0)*(nNOTA))/SUMPRODUCT((nNIA=Y298)*(nCUENTA=1)*(COUNTIF(CONFIG_ASIGNATURAS!$B$7:$B$27,nASIG)&gt;0)*1),"")))</f>
        <v/>
      </c>
      <c r="AF298" t="str">
        <f>IF(AE298="","",IF(AE298="[FÓRMULA MANUAL]","",IFERROR(AVERAGEIFS(nNOTA,nNIA,AE298,nCUENTA,1,nASIG,"Análisis"),"")))</f>
        <v/>
      </c>
      <c r="AG298" t="str">
        <f>IF(AE298="","",IF(AE298="[FÓRMULA MANUAL]","",IFERROR(AVERAGEIFS(nNOTA,nNIA,AE298,nCUENTA,1,nASIG,"Orquesta/Banda/Conjunto"),"")))</f>
        <v/>
      </c>
      <c r="AH298" t="str">
        <f>IF(AE298="","",IF(AE298="[FÓRMULA MANUAL]","",IFERROR(AVERAGEIFS(nNOTA,nNIA,AE298,nCUENTA,1,nASIG,"Música de Cámara"),"")))</f>
        <v/>
      </c>
      <c r="AI298" t="str">
        <f>IF(AE298="","",IF(AE298="[FÓRMULA MANUAL]","",IFERROR(SUMPRODUCT((nNIA=AE298)*(nCUENTA=1)*(COUNTIF(CONFIG_ASIGNATURAS!$B$7:$B$27,nASIG)&gt;0)*(nNOTA))/SUMPRODUCT((nNIA=AE298)*(nCUENTA=1)*(COUNTIF(CONFIG_ASIGNATURAS!$B$7:$B$27,nASIG)&gt;0)*1),"")))</f>
        <v/>
      </c>
    </row>
    <row r="299" spans="2:35" x14ac:dyDescent="0.2">
      <c r="B299" t="str">
        <f>IF(A299="","",IF(A299="[FÓRMULA MANUAL]","",IFERROR(AVERAGEIFS(nNOTA,nNIA,A299,nCUENTA,1,nASIG,"Lenguaje Musical"),"")))</f>
        <v/>
      </c>
      <c r="C299" t="str">
        <f>IF(A299="","",IF(A299="[FÓRMULA MANUAL]","",IFERROR(AVERAGEIFS(nNOTA,nNIA,A299,nCUENTA,1,nASIG,"Orquesta/Banda/Conjunto"),"")))</f>
        <v/>
      </c>
      <c r="D299" t="str">
        <f>IF(A299="","",IF(A299="[FÓRMULA MANUAL]","",IFERROR(AVERAGEIFS(nNOTA,nNIA,A299,nCUENTA,1,nASIG,"Conjunto"),"")))</f>
        <v/>
      </c>
      <c r="E299" t="str">
        <f>IF(A299="","",IF(A299="[FÓRMULA MANUAL]","",IFERROR(SUMPRODUCT((nNIA=A299)*(nCUENTA=1)*(COUNTIF(CONFIG_ASIGNATURAS!$B$7:$B$27,nASIG)&gt;0)*(nNOTA))/SUMPRODUCT((nNIA=A299)*(nCUENTA=1)*(COUNTIF(CONFIG_ASIGNATURAS!$B$7:$B$27,nASIG)&gt;0)*1),"")))</f>
        <v/>
      </c>
      <c r="H299" t="str">
        <f>IF(G299="","",IF(G299="[FÓRMULA MANUAL]","",IFERROR(AVERAGEIFS(nNOTA,nNIA,G299,nCUENTA,1,nASIG,"Lenguaje Musical"),"")))</f>
        <v/>
      </c>
      <c r="I299" t="str">
        <f>IF(G299="","",IF(G299="[FÓRMULA MANUAL]","",IFERROR(AVERAGEIFS(nNOTA,nNIA,G299,nCUENTA,1,nASIG,"Orquesta/Banda/Conjunto"),"")))</f>
        <v/>
      </c>
      <c r="J299" t="str">
        <f>IF(G299="","",IF(G299="[FÓRMULA MANUAL]","",IFERROR(AVERAGEIFS(nNOTA,nNIA,G299,nCUENTA,1,nASIG,"Conjunto"),"")))</f>
        <v/>
      </c>
      <c r="K299" t="str">
        <f>IF(G299="","",IF(G299="[FÓRMULA MANUAL]","",IFERROR(SUMPRODUCT((nNIA=G299)*(nCUENTA=1)*(COUNTIF(CONFIG_ASIGNATURAS!$B$7:$B$27,nASIG)&gt;0)*(nNOTA))/SUMPRODUCT((nNIA=G299)*(nCUENTA=1)*(COUNTIF(CONFIG_ASIGNATURAS!$B$7:$B$27,nASIG)&gt;0)*1),"")))</f>
        <v/>
      </c>
      <c r="N299" t="str">
        <f>IF(M299="","",IF(M299="[FÓRMULA MANUAL]","",IFERROR(AVERAGEIFS(nNOTA,nNIA,M299,nCUENTA,1,nASIG,"Armonía"),"")))</f>
        <v/>
      </c>
      <c r="O299" t="str">
        <f>IF(M299="","",IF(M299="[FÓRMULA MANUAL]","",IFERROR(AVERAGEIFS(nNOTA,nNIA,M299,nCUENTA,1,nASIG,"Orquesta/Banda/Conjunto"),"")))</f>
        <v/>
      </c>
      <c r="P299" t="str">
        <f>IF(M299="","",IF(M299="[FÓRMULA MANUAL]","",IFERROR(AVERAGEIFS(nNOTA,nNIA,M299,nCUENTA,1,nASIG,"Música de Cámara"),"")))</f>
        <v/>
      </c>
      <c r="Q299" t="str">
        <f>IF(M299="","",IF(M299="[FÓRMULA MANUAL]","",IFERROR(SUMPRODUCT((nNIA=M299)*(nCUENTA=1)*(COUNTIF(CONFIG_ASIGNATURAS!$B$7:$B$27,nASIG)&gt;0)*(nNOTA))/SUMPRODUCT((nNIA=M299)*(nCUENTA=1)*(COUNTIF(CONFIG_ASIGNATURAS!$B$7:$B$27,nASIG)&gt;0)*1),"")))</f>
        <v/>
      </c>
      <c r="T299" t="str">
        <f>IF(S299="","",IF(S299="[FÓRMULA MANUAL]","",IFERROR(AVERAGEIFS(nNOTA,nNIA,S299,nCUENTA,1,nASIG,"Armonía"),"")))</f>
        <v/>
      </c>
      <c r="U299" t="str">
        <f>IF(S299="","",IF(S299="[FÓRMULA MANUAL]","",IFERROR(AVERAGEIFS(nNOTA,nNIA,S299,nCUENTA,1,nASIG,"Orquesta/Banda/Conjunto"),"")))</f>
        <v/>
      </c>
      <c r="V299" t="str">
        <f>IF(S299="","",IF(S299="[FÓRMULA MANUAL]","",IFERROR(AVERAGEIFS(nNOTA,nNIA,S299,nCUENTA,1,nASIG,"Música de Cámara"),"")))</f>
        <v/>
      </c>
      <c r="W299" t="str">
        <f>IF(S299="","",IF(S299="[FÓRMULA MANUAL]","",IFERROR(SUMPRODUCT((nNIA=S299)*(nCUENTA=1)*(COUNTIF(CONFIG_ASIGNATURAS!$B$7:$B$27,nASIG)&gt;0)*(nNOTA))/SUMPRODUCT((nNIA=S299)*(nCUENTA=1)*(COUNTIF(CONFIG_ASIGNATURAS!$B$7:$B$27,nASIG)&gt;0)*1),"")))</f>
        <v/>
      </c>
      <c r="Z299" t="str">
        <f>IF(Y299="","",IF(Y299="[FÓRMULA MANUAL]","",IFERROR(AVERAGEIFS(nNOTA,nNIA,Y299,nCUENTA,1,nASIG,"Análisis"),"")))</f>
        <v/>
      </c>
      <c r="AA299" t="str">
        <f>IF(Y299="","",IF(Y299="[FÓRMULA MANUAL]","",IFERROR(AVERAGEIFS(nNOTA,nNIA,Y299,nCUENTA,1,nASIG,"Orquesta/Banda/Conjunto"),"")))</f>
        <v/>
      </c>
      <c r="AB299" t="str">
        <f>IF(Y299="","",IF(Y299="[FÓRMULA MANUAL]","",IFERROR(AVERAGEIFS(nNOTA,nNIA,Y299,nCUENTA,1,nASIG,"Música de Cámara"),"")))</f>
        <v/>
      </c>
      <c r="AC299" t="str">
        <f>IF(Y299="","",IF(Y299="[FÓRMULA MANUAL]","",IFERROR(SUMPRODUCT((nNIA=Y299)*(nCUENTA=1)*(COUNTIF(CONFIG_ASIGNATURAS!$B$7:$B$27,nASIG)&gt;0)*(nNOTA))/SUMPRODUCT((nNIA=Y299)*(nCUENTA=1)*(COUNTIF(CONFIG_ASIGNATURAS!$B$7:$B$27,nASIG)&gt;0)*1),"")))</f>
        <v/>
      </c>
      <c r="AF299" t="str">
        <f>IF(AE299="","",IF(AE299="[FÓRMULA MANUAL]","",IFERROR(AVERAGEIFS(nNOTA,nNIA,AE299,nCUENTA,1,nASIG,"Análisis"),"")))</f>
        <v/>
      </c>
      <c r="AG299" t="str">
        <f>IF(AE299="","",IF(AE299="[FÓRMULA MANUAL]","",IFERROR(AVERAGEIFS(nNOTA,nNIA,AE299,nCUENTA,1,nASIG,"Orquesta/Banda/Conjunto"),"")))</f>
        <v/>
      </c>
      <c r="AH299" t="str">
        <f>IF(AE299="","",IF(AE299="[FÓRMULA MANUAL]","",IFERROR(AVERAGEIFS(nNOTA,nNIA,AE299,nCUENTA,1,nASIG,"Música de Cámara"),"")))</f>
        <v/>
      </c>
      <c r="AI299" t="str">
        <f>IF(AE299="","",IF(AE299="[FÓRMULA MANUAL]","",IFERROR(SUMPRODUCT((nNIA=AE299)*(nCUENTA=1)*(COUNTIF(CONFIG_ASIGNATURAS!$B$7:$B$27,nASIG)&gt;0)*(nNOTA))/SUMPRODUCT((nNIA=AE299)*(nCUENTA=1)*(COUNTIF(CONFIG_ASIGNATURAS!$B$7:$B$27,nASIG)&gt;0)*1),"")))</f>
        <v/>
      </c>
    </row>
    <row r="300" spans="2:35" x14ac:dyDescent="0.2">
      <c r="B300" t="str">
        <f>IF(A300="","",IF(A300="[FÓRMULA MANUAL]","",IFERROR(AVERAGEIFS(nNOTA,nNIA,A300,nCUENTA,1,nASIG,"Lenguaje Musical"),"")))</f>
        <v/>
      </c>
      <c r="C300" t="str">
        <f>IF(A300="","",IF(A300="[FÓRMULA MANUAL]","",IFERROR(AVERAGEIFS(nNOTA,nNIA,A300,nCUENTA,1,nASIG,"Orquesta/Banda/Conjunto"),"")))</f>
        <v/>
      </c>
      <c r="D300" t="str">
        <f>IF(A300="","",IF(A300="[FÓRMULA MANUAL]","",IFERROR(AVERAGEIFS(nNOTA,nNIA,A300,nCUENTA,1,nASIG,"Conjunto"),"")))</f>
        <v/>
      </c>
      <c r="E300" t="str">
        <f>IF(A300="","",IF(A300="[FÓRMULA MANUAL]","",IFERROR(SUMPRODUCT((nNIA=A300)*(nCUENTA=1)*(COUNTIF(CONFIG_ASIGNATURAS!$B$7:$B$27,nASIG)&gt;0)*(nNOTA))/SUMPRODUCT((nNIA=A300)*(nCUENTA=1)*(COUNTIF(CONFIG_ASIGNATURAS!$B$7:$B$27,nASIG)&gt;0)*1),"")))</f>
        <v/>
      </c>
      <c r="H300" t="str">
        <f>IF(G300="","",IF(G300="[FÓRMULA MANUAL]","",IFERROR(AVERAGEIFS(nNOTA,nNIA,G300,nCUENTA,1,nASIG,"Lenguaje Musical"),"")))</f>
        <v/>
      </c>
      <c r="I300" t="str">
        <f>IF(G300="","",IF(G300="[FÓRMULA MANUAL]","",IFERROR(AVERAGEIFS(nNOTA,nNIA,G300,nCUENTA,1,nASIG,"Orquesta/Banda/Conjunto"),"")))</f>
        <v/>
      </c>
      <c r="J300" t="str">
        <f>IF(G300="","",IF(G300="[FÓRMULA MANUAL]","",IFERROR(AVERAGEIFS(nNOTA,nNIA,G300,nCUENTA,1,nASIG,"Conjunto"),"")))</f>
        <v/>
      </c>
      <c r="K300" t="str">
        <f>IF(G300="","",IF(G300="[FÓRMULA MANUAL]","",IFERROR(SUMPRODUCT((nNIA=G300)*(nCUENTA=1)*(COUNTIF(CONFIG_ASIGNATURAS!$B$7:$B$27,nASIG)&gt;0)*(nNOTA))/SUMPRODUCT((nNIA=G300)*(nCUENTA=1)*(COUNTIF(CONFIG_ASIGNATURAS!$B$7:$B$27,nASIG)&gt;0)*1),"")))</f>
        <v/>
      </c>
      <c r="N300" t="str">
        <f>IF(M300="","",IF(M300="[FÓRMULA MANUAL]","",IFERROR(AVERAGEIFS(nNOTA,nNIA,M300,nCUENTA,1,nASIG,"Armonía"),"")))</f>
        <v/>
      </c>
      <c r="O300" t="str">
        <f>IF(M300="","",IF(M300="[FÓRMULA MANUAL]","",IFERROR(AVERAGEIFS(nNOTA,nNIA,M300,nCUENTA,1,nASIG,"Orquesta/Banda/Conjunto"),"")))</f>
        <v/>
      </c>
      <c r="P300" t="str">
        <f>IF(M300="","",IF(M300="[FÓRMULA MANUAL]","",IFERROR(AVERAGEIFS(nNOTA,nNIA,M300,nCUENTA,1,nASIG,"Música de Cámara"),"")))</f>
        <v/>
      </c>
      <c r="Q300" t="str">
        <f>IF(M300="","",IF(M300="[FÓRMULA MANUAL]","",IFERROR(SUMPRODUCT((nNIA=M300)*(nCUENTA=1)*(COUNTIF(CONFIG_ASIGNATURAS!$B$7:$B$27,nASIG)&gt;0)*(nNOTA))/SUMPRODUCT((nNIA=M300)*(nCUENTA=1)*(COUNTIF(CONFIG_ASIGNATURAS!$B$7:$B$27,nASIG)&gt;0)*1),"")))</f>
        <v/>
      </c>
      <c r="T300" t="str">
        <f>IF(S300="","",IF(S300="[FÓRMULA MANUAL]","",IFERROR(AVERAGEIFS(nNOTA,nNIA,S300,nCUENTA,1,nASIG,"Armonía"),"")))</f>
        <v/>
      </c>
      <c r="U300" t="str">
        <f>IF(S300="","",IF(S300="[FÓRMULA MANUAL]","",IFERROR(AVERAGEIFS(nNOTA,nNIA,S300,nCUENTA,1,nASIG,"Orquesta/Banda/Conjunto"),"")))</f>
        <v/>
      </c>
      <c r="V300" t="str">
        <f>IF(S300="","",IF(S300="[FÓRMULA MANUAL]","",IFERROR(AVERAGEIFS(nNOTA,nNIA,S300,nCUENTA,1,nASIG,"Música de Cámara"),"")))</f>
        <v/>
      </c>
      <c r="W300" t="str">
        <f>IF(S300="","",IF(S300="[FÓRMULA MANUAL]","",IFERROR(SUMPRODUCT((nNIA=S300)*(nCUENTA=1)*(COUNTIF(CONFIG_ASIGNATURAS!$B$7:$B$27,nASIG)&gt;0)*(nNOTA))/SUMPRODUCT((nNIA=S300)*(nCUENTA=1)*(COUNTIF(CONFIG_ASIGNATURAS!$B$7:$B$27,nASIG)&gt;0)*1),"")))</f>
        <v/>
      </c>
      <c r="Z300" t="str">
        <f>IF(Y300="","",IF(Y300="[FÓRMULA MANUAL]","",IFERROR(AVERAGEIFS(nNOTA,nNIA,Y300,nCUENTA,1,nASIG,"Análisis"),"")))</f>
        <v/>
      </c>
      <c r="AA300" t="str">
        <f>IF(Y300="","",IF(Y300="[FÓRMULA MANUAL]","",IFERROR(AVERAGEIFS(nNOTA,nNIA,Y300,nCUENTA,1,nASIG,"Orquesta/Banda/Conjunto"),"")))</f>
        <v/>
      </c>
      <c r="AB300" t="str">
        <f>IF(Y300="","",IF(Y300="[FÓRMULA MANUAL]","",IFERROR(AVERAGEIFS(nNOTA,nNIA,Y300,nCUENTA,1,nASIG,"Música de Cámara"),"")))</f>
        <v/>
      </c>
      <c r="AC300" t="str">
        <f>IF(Y300="","",IF(Y300="[FÓRMULA MANUAL]","",IFERROR(SUMPRODUCT((nNIA=Y300)*(nCUENTA=1)*(COUNTIF(CONFIG_ASIGNATURAS!$B$7:$B$27,nASIG)&gt;0)*(nNOTA))/SUMPRODUCT((nNIA=Y300)*(nCUENTA=1)*(COUNTIF(CONFIG_ASIGNATURAS!$B$7:$B$27,nASIG)&gt;0)*1),"")))</f>
        <v/>
      </c>
      <c r="AF300" t="str">
        <f>IF(AE300="","",IF(AE300="[FÓRMULA MANUAL]","",IFERROR(AVERAGEIFS(nNOTA,nNIA,AE300,nCUENTA,1,nASIG,"Análisis"),"")))</f>
        <v/>
      </c>
      <c r="AG300" t="str">
        <f>IF(AE300="","",IF(AE300="[FÓRMULA MANUAL]","",IFERROR(AVERAGEIFS(nNOTA,nNIA,AE300,nCUENTA,1,nASIG,"Orquesta/Banda/Conjunto"),"")))</f>
        <v/>
      </c>
      <c r="AH300" t="str">
        <f>IF(AE300="","",IF(AE300="[FÓRMULA MANUAL]","",IFERROR(AVERAGEIFS(nNOTA,nNIA,AE300,nCUENTA,1,nASIG,"Música de Cámara"),"")))</f>
        <v/>
      </c>
      <c r="AI300" t="str">
        <f>IF(AE300="","",IF(AE300="[FÓRMULA MANUAL]","",IFERROR(SUMPRODUCT((nNIA=AE300)*(nCUENTA=1)*(COUNTIF(CONFIG_ASIGNATURAS!$B$7:$B$27,nASIG)&gt;0)*(nNOTA))/SUMPRODUCT((nNIA=AE300)*(nCUENTA=1)*(COUNTIF(CONFIG_ASIGNATURAS!$B$7:$B$27,nASIG)&gt;0)*1),"")))</f>
        <v/>
      </c>
    </row>
    <row r="301" spans="2:35" x14ac:dyDescent="0.2">
      <c r="B301" t="str">
        <f>IF(A301="","",IF(A301="[FÓRMULA MANUAL]","",IFERROR(AVERAGEIFS(nNOTA,nNIA,A301,nCUENTA,1,nASIG,"Lenguaje Musical"),"")))</f>
        <v/>
      </c>
      <c r="C301" t="str">
        <f>IF(A301="","",IF(A301="[FÓRMULA MANUAL]","",IFERROR(AVERAGEIFS(nNOTA,nNIA,A301,nCUENTA,1,nASIG,"Orquesta/Banda/Conjunto"),"")))</f>
        <v/>
      </c>
      <c r="D301" t="str">
        <f>IF(A301="","",IF(A301="[FÓRMULA MANUAL]","",IFERROR(AVERAGEIFS(nNOTA,nNIA,A301,nCUENTA,1,nASIG,"Conjunto"),"")))</f>
        <v/>
      </c>
      <c r="E301" t="str">
        <f>IF(A301="","",IF(A301="[FÓRMULA MANUAL]","",IFERROR(SUMPRODUCT((nNIA=A301)*(nCUENTA=1)*(COUNTIF(CONFIG_ASIGNATURAS!$B$7:$B$27,nASIG)&gt;0)*(nNOTA))/SUMPRODUCT((nNIA=A301)*(nCUENTA=1)*(COUNTIF(CONFIG_ASIGNATURAS!$B$7:$B$27,nASIG)&gt;0)*1),"")))</f>
        <v/>
      </c>
      <c r="H301" t="str">
        <f>IF(G301="","",IF(G301="[FÓRMULA MANUAL]","",IFERROR(AVERAGEIFS(nNOTA,nNIA,G301,nCUENTA,1,nASIG,"Lenguaje Musical"),"")))</f>
        <v/>
      </c>
      <c r="I301" t="str">
        <f>IF(G301="","",IF(G301="[FÓRMULA MANUAL]","",IFERROR(AVERAGEIFS(nNOTA,nNIA,G301,nCUENTA,1,nASIG,"Orquesta/Banda/Conjunto"),"")))</f>
        <v/>
      </c>
      <c r="J301" t="str">
        <f>IF(G301="","",IF(G301="[FÓRMULA MANUAL]","",IFERROR(AVERAGEIFS(nNOTA,nNIA,G301,nCUENTA,1,nASIG,"Conjunto"),"")))</f>
        <v/>
      </c>
      <c r="K301" t="str">
        <f>IF(G301="","",IF(G301="[FÓRMULA MANUAL]","",IFERROR(SUMPRODUCT((nNIA=G301)*(nCUENTA=1)*(COUNTIF(CONFIG_ASIGNATURAS!$B$7:$B$27,nASIG)&gt;0)*(nNOTA))/SUMPRODUCT((nNIA=G301)*(nCUENTA=1)*(COUNTIF(CONFIG_ASIGNATURAS!$B$7:$B$27,nASIG)&gt;0)*1),"")))</f>
        <v/>
      </c>
      <c r="N301" t="str">
        <f>IF(M301="","",IF(M301="[FÓRMULA MANUAL]","",IFERROR(AVERAGEIFS(nNOTA,nNIA,M301,nCUENTA,1,nASIG,"Armonía"),"")))</f>
        <v/>
      </c>
      <c r="O301" t="str">
        <f>IF(M301="","",IF(M301="[FÓRMULA MANUAL]","",IFERROR(AVERAGEIFS(nNOTA,nNIA,M301,nCUENTA,1,nASIG,"Orquesta/Banda/Conjunto"),"")))</f>
        <v/>
      </c>
      <c r="P301" t="str">
        <f>IF(M301="","",IF(M301="[FÓRMULA MANUAL]","",IFERROR(AVERAGEIFS(nNOTA,nNIA,M301,nCUENTA,1,nASIG,"Música de Cámara"),"")))</f>
        <v/>
      </c>
      <c r="Q301" t="str">
        <f>IF(M301="","",IF(M301="[FÓRMULA MANUAL]","",IFERROR(SUMPRODUCT((nNIA=M301)*(nCUENTA=1)*(COUNTIF(CONFIG_ASIGNATURAS!$B$7:$B$27,nASIG)&gt;0)*(nNOTA))/SUMPRODUCT((nNIA=M301)*(nCUENTA=1)*(COUNTIF(CONFIG_ASIGNATURAS!$B$7:$B$27,nASIG)&gt;0)*1),"")))</f>
        <v/>
      </c>
      <c r="T301" t="str">
        <f>IF(S301="","",IF(S301="[FÓRMULA MANUAL]","",IFERROR(AVERAGEIFS(nNOTA,nNIA,S301,nCUENTA,1,nASIG,"Armonía"),"")))</f>
        <v/>
      </c>
      <c r="U301" t="str">
        <f>IF(S301="","",IF(S301="[FÓRMULA MANUAL]","",IFERROR(AVERAGEIFS(nNOTA,nNIA,S301,nCUENTA,1,nASIG,"Orquesta/Banda/Conjunto"),"")))</f>
        <v/>
      </c>
      <c r="V301" t="str">
        <f>IF(S301="","",IF(S301="[FÓRMULA MANUAL]","",IFERROR(AVERAGEIFS(nNOTA,nNIA,S301,nCUENTA,1,nASIG,"Música de Cámara"),"")))</f>
        <v/>
      </c>
      <c r="W301" t="str">
        <f>IF(S301="","",IF(S301="[FÓRMULA MANUAL]","",IFERROR(SUMPRODUCT((nNIA=S301)*(nCUENTA=1)*(COUNTIF(CONFIG_ASIGNATURAS!$B$7:$B$27,nASIG)&gt;0)*(nNOTA))/SUMPRODUCT((nNIA=S301)*(nCUENTA=1)*(COUNTIF(CONFIG_ASIGNATURAS!$B$7:$B$27,nASIG)&gt;0)*1),"")))</f>
        <v/>
      </c>
      <c r="Z301" t="str">
        <f>IF(Y301="","",IF(Y301="[FÓRMULA MANUAL]","",IFERROR(AVERAGEIFS(nNOTA,nNIA,Y301,nCUENTA,1,nASIG,"Análisis"),"")))</f>
        <v/>
      </c>
      <c r="AA301" t="str">
        <f>IF(Y301="","",IF(Y301="[FÓRMULA MANUAL]","",IFERROR(AVERAGEIFS(nNOTA,nNIA,Y301,nCUENTA,1,nASIG,"Orquesta/Banda/Conjunto"),"")))</f>
        <v/>
      </c>
      <c r="AB301" t="str">
        <f>IF(Y301="","",IF(Y301="[FÓRMULA MANUAL]","",IFERROR(AVERAGEIFS(nNOTA,nNIA,Y301,nCUENTA,1,nASIG,"Música de Cámara"),"")))</f>
        <v/>
      </c>
      <c r="AC301" t="str">
        <f>IF(Y301="","",IF(Y301="[FÓRMULA MANUAL]","",IFERROR(SUMPRODUCT((nNIA=Y301)*(nCUENTA=1)*(COUNTIF(CONFIG_ASIGNATURAS!$B$7:$B$27,nASIG)&gt;0)*(nNOTA))/SUMPRODUCT((nNIA=Y301)*(nCUENTA=1)*(COUNTIF(CONFIG_ASIGNATURAS!$B$7:$B$27,nASIG)&gt;0)*1),"")))</f>
        <v/>
      </c>
      <c r="AF301" t="str">
        <f>IF(AE301="","",IF(AE301="[FÓRMULA MANUAL]","",IFERROR(AVERAGEIFS(nNOTA,nNIA,AE301,nCUENTA,1,nASIG,"Análisis"),"")))</f>
        <v/>
      </c>
      <c r="AG301" t="str">
        <f>IF(AE301="","",IF(AE301="[FÓRMULA MANUAL]","",IFERROR(AVERAGEIFS(nNOTA,nNIA,AE301,nCUENTA,1,nASIG,"Orquesta/Banda/Conjunto"),"")))</f>
        <v/>
      </c>
      <c r="AH301" t="str">
        <f>IF(AE301="","",IF(AE301="[FÓRMULA MANUAL]","",IFERROR(AVERAGEIFS(nNOTA,nNIA,AE301,nCUENTA,1,nASIG,"Música de Cámara"),"")))</f>
        <v/>
      </c>
      <c r="AI301" t="str">
        <f>IF(AE301="","",IF(AE301="[FÓRMULA MANUAL]","",IFERROR(SUMPRODUCT((nNIA=AE301)*(nCUENTA=1)*(COUNTIF(CONFIG_ASIGNATURAS!$B$7:$B$27,nASIG)&gt;0)*(nNOTA))/SUMPRODUCT((nNIA=AE301)*(nCUENTA=1)*(COUNTIF(CONFIG_ASIGNATURAS!$B$7:$B$27,nASIG)&gt;0)*1),"")))</f>
        <v/>
      </c>
    </row>
    <row r="302" spans="2:35" x14ac:dyDescent="0.2">
      <c r="B302" t="str">
        <f>IF(A302="","",IF(A302="[FÓRMULA MANUAL]","",IFERROR(AVERAGEIFS(nNOTA,nNIA,A302,nCUENTA,1,nASIG,"Lenguaje Musical"),"")))</f>
        <v/>
      </c>
      <c r="C302" t="str">
        <f>IF(A302="","",IF(A302="[FÓRMULA MANUAL]","",IFERROR(AVERAGEIFS(nNOTA,nNIA,A302,nCUENTA,1,nASIG,"Orquesta/Banda/Conjunto"),"")))</f>
        <v/>
      </c>
      <c r="D302" t="str">
        <f>IF(A302="","",IF(A302="[FÓRMULA MANUAL]","",IFERROR(AVERAGEIFS(nNOTA,nNIA,A302,nCUENTA,1,nASIG,"Conjunto"),"")))</f>
        <v/>
      </c>
      <c r="E302" t="str">
        <f>IF(A302="","",IF(A302="[FÓRMULA MANUAL]","",IFERROR(SUMPRODUCT((nNIA=A302)*(nCUENTA=1)*(COUNTIF(CONFIG_ASIGNATURAS!$B$7:$B$27,nASIG)&gt;0)*(nNOTA))/SUMPRODUCT((nNIA=A302)*(nCUENTA=1)*(COUNTIF(CONFIG_ASIGNATURAS!$B$7:$B$27,nASIG)&gt;0)*1),"")))</f>
        <v/>
      </c>
      <c r="H302" t="str">
        <f>IF(G302="","",IF(G302="[FÓRMULA MANUAL]","",IFERROR(AVERAGEIFS(nNOTA,nNIA,G302,nCUENTA,1,nASIG,"Lenguaje Musical"),"")))</f>
        <v/>
      </c>
      <c r="I302" t="str">
        <f>IF(G302="","",IF(G302="[FÓRMULA MANUAL]","",IFERROR(AVERAGEIFS(nNOTA,nNIA,G302,nCUENTA,1,nASIG,"Orquesta/Banda/Conjunto"),"")))</f>
        <v/>
      </c>
      <c r="J302" t="str">
        <f>IF(G302="","",IF(G302="[FÓRMULA MANUAL]","",IFERROR(AVERAGEIFS(nNOTA,nNIA,G302,nCUENTA,1,nASIG,"Conjunto"),"")))</f>
        <v/>
      </c>
      <c r="K302" t="str">
        <f>IF(G302="","",IF(G302="[FÓRMULA MANUAL]","",IFERROR(SUMPRODUCT((nNIA=G302)*(nCUENTA=1)*(COUNTIF(CONFIG_ASIGNATURAS!$B$7:$B$27,nASIG)&gt;0)*(nNOTA))/SUMPRODUCT((nNIA=G302)*(nCUENTA=1)*(COUNTIF(CONFIG_ASIGNATURAS!$B$7:$B$27,nASIG)&gt;0)*1),"")))</f>
        <v/>
      </c>
      <c r="N302" t="str">
        <f>IF(M302="","",IF(M302="[FÓRMULA MANUAL]","",IFERROR(AVERAGEIFS(nNOTA,nNIA,M302,nCUENTA,1,nASIG,"Armonía"),"")))</f>
        <v/>
      </c>
      <c r="O302" t="str">
        <f>IF(M302="","",IF(M302="[FÓRMULA MANUAL]","",IFERROR(AVERAGEIFS(nNOTA,nNIA,M302,nCUENTA,1,nASIG,"Orquesta/Banda/Conjunto"),"")))</f>
        <v/>
      </c>
      <c r="P302" t="str">
        <f>IF(M302="","",IF(M302="[FÓRMULA MANUAL]","",IFERROR(AVERAGEIFS(nNOTA,nNIA,M302,nCUENTA,1,nASIG,"Música de Cámara"),"")))</f>
        <v/>
      </c>
      <c r="Q302" t="str">
        <f>IF(M302="","",IF(M302="[FÓRMULA MANUAL]","",IFERROR(SUMPRODUCT((nNIA=M302)*(nCUENTA=1)*(COUNTIF(CONFIG_ASIGNATURAS!$B$7:$B$27,nASIG)&gt;0)*(nNOTA))/SUMPRODUCT((nNIA=M302)*(nCUENTA=1)*(COUNTIF(CONFIG_ASIGNATURAS!$B$7:$B$27,nASIG)&gt;0)*1),"")))</f>
        <v/>
      </c>
      <c r="T302" t="str">
        <f>IF(S302="","",IF(S302="[FÓRMULA MANUAL]","",IFERROR(AVERAGEIFS(nNOTA,nNIA,S302,nCUENTA,1,nASIG,"Armonía"),"")))</f>
        <v/>
      </c>
      <c r="U302" t="str">
        <f>IF(S302="","",IF(S302="[FÓRMULA MANUAL]","",IFERROR(AVERAGEIFS(nNOTA,nNIA,S302,nCUENTA,1,nASIG,"Orquesta/Banda/Conjunto"),"")))</f>
        <v/>
      </c>
      <c r="V302" t="str">
        <f>IF(S302="","",IF(S302="[FÓRMULA MANUAL]","",IFERROR(AVERAGEIFS(nNOTA,nNIA,S302,nCUENTA,1,nASIG,"Música de Cámara"),"")))</f>
        <v/>
      </c>
      <c r="W302" t="str">
        <f>IF(S302="","",IF(S302="[FÓRMULA MANUAL]","",IFERROR(SUMPRODUCT((nNIA=S302)*(nCUENTA=1)*(COUNTIF(CONFIG_ASIGNATURAS!$B$7:$B$27,nASIG)&gt;0)*(nNOTA))/SUMPRODUCT((nNIA=S302)*(nCUENTA=1)*(COUNTIF(CONFIG_ASIGNATURAS!$B$7:$B$27,nASIG)&gt;0)*1),"")))</f>
        <v/>
      </c>
      <c r="Z302" t="str">
        <f>IF(Y302="","",IF(Y302="[FÓRMULA MANUAL]","",IFERROR(AVERAGEIFS(nNOTA,nNIA,Y302,nCUENTA,1,nASIG,"Análisis"),"")))</f>
        <v/>
      </c>
      <c r="AA302" t="str">
        <f>IF(Y302="","",IF(Y302="[FÓRMULA MANUAL]","",IFERROR(AVERAGEIFS(nNOTA,nNIA,Y302,nCUENTA,1,nASIG,"Orquesta/Banda/Conjunto"),"")))</f>
        <v/>
      </c>
      <c r="AB302" t="str">
        <f>IF(Y302="","",IF(Y302="[FÓRMULA MANUAL]","",IFERROR(AVERAGEIFS(nNOTA,nNIA,Y302,nCUENTA,1,nASIG,"Música de Cámara"),"")))</f>
        <v/>
      </c>
      <c r="AC302" t="str">
        <f>IF(Y302="","",IF(Y302="[FÓRMULA MANUAL]","",IFERROR(SUMPRODUCT((nNIA=Y302)*(nCUENTA=1)*(COUNTIF(CONFIG_ASIGNATURAS!$B$7:$B$27,nASIG)&gt;0)*(nNOTA))/SUMPRODUCT((nNIA=Y302)*(nCUENTA=1)*(COUNTIF(CONFIG_ASIGNATURAS!$B$7:$B$27,nASIG)&gt;0)*1),"")))</f>
        <v/>
      </c>
      <c r="AF302" t="str">
        <f>IF(AE302="","",IF(AE302="[FÓRMULA MANUAL]","",IFERROR(AVERAGEIFS(nNOTA,nNIA,AE302,nCUENTA,1,nASIG,"Análisis"),"")))</f>
        <v/>
      </c>
      <c r="AG302" t="str">
        <f>IF(AE302="","",IF(AE302="[FÓRMULA MANUAL]","",IFERROR(AVERAGEIFS(nNOTA,nNIA,AE302,nCUENTA,1,nASIG,"Orquesta/Banda/Conjunto"),"")))</f>
        <v/>
      </c>
      <c r="AH302" t="str">
        <f>IF(AE302="","",IF(AE302="[FÓRMULA MANUAL]","",IFERROR(AVERAGEIFS(nNOTA,nNIA,AE302,nCUENTA,1,nASIG,"Música de Cámara"),"")))</f>
        <v/>
      </c>
      <c r="AI302" t="str">
        <f>IF(AE302="","",IF(AE302="[FÓRMULA MANUAL]","",IFERROR(SUMPRODUCT((nNIA=AE302)*(nCUENTA=1)*(COUNTIF(CONFIG_ASIGNATURAS!$B$7:$B$27,nASIG)&gt;0)*(nNOTA))/SUMPRODUCT((nNIA=AE302)*(nCUENTA=1)*(COUNTIF(CONFIG_ASIGNATURAS!$B$7:$B$27,nASIG)&gt;0)*1),"")))</f>
        <v/>
      </c>
    </row>
    <row r="303" spans="2:35" x14ac:dyDescent="0.2">
      <c r="B303" t="str">
        <f>IF(A303="","",IF(A303="[FÓRMULA MANUAL]","",IFERROR(AVERAGEIFS(nNOTA,nNIA,A303,nCUENTA,1,nASIG,"Lenguaje Musical"),"")))</f>
        <v/>
      </c>
      <c r="C303" t="str">
        <f>IF(A303="","",IF(A303="[FÓRMULA MANUAL]","",IFERROR(AVERAGEIFS(nNOTA,nNIA,A303,nCUENTA,1,nASIG,"Orquesta/Banda/Conjunto"),"")))</f>
        <v/>
      </c>
      <c r="D303" t="str">
        <f>IF(A303="","",IF(A303="[FÓRMULA MANUAL]","",IFERROR(AVERAGEIFS(nNOTA,nNIA,A303,nCUENTA,1,nASIG,"Conjunto"),"")))</f>
        <v/>
      </c>
      <c r="E303" t="str">
        <f>IF(A303="","",IF(A303="[FÓRMULA MANUAL]","",IFERROR(SUMPRODUCT((nNIA=A303)*(nCUENTA=1)*(COUNTIF(CONFIG_ASIGNATURAS!$B$7:$B$27,nASIG)&gt;0)*(nNOTA))/SUMPRODUCT((nNIA=A303)*(nCUENTA=1)*(COUNTIF(CONFIG_ASIGNATURAS!$B$7:$B$27,nASIG)&gt;0)*1),"")))</f>
        <v/>
      </c>
      <c r="H303" t="str">
        <f>IF(G303="","",IF(G303="[FÓRMULA MANUAL]","",IFERROR(AVERAGEIFS(nNOTA,nNIA,G303,nCUENTA,1,nASIG,"Lenguaje Musical"),"")))</f>
        <v/>
      </c>
      <c r="I303" t="str">
        <f>IF(G303="","",IF(G303="[FÓRMULA MANUAL]","",IFERROR(AVERAGEIFS(nNOTA,nNIA,G303,nCUENTA,1,nASIG,"Orquesta/Banda/Conjunto"),"")))</f>
        <v/>
      </c>
      <c r="J303" t="str">
        <f>IF(G303="","",IF(G303="[FÓRMULA MANUAL]","",IFERROR(AVERAGEIFS(nNOTA,nNIA,G303,nCUENTA,1,nASIG,"Conjunto"),"")))</f>
        <v/>
      </c>
      <c r="K303" t="str">
        <f>IF(G303="","",IF(G303="[FÓRMULA MANUAL]","",IFERROR(SUMPRODUCT((nNIA=G303)*(nCUENTA=1)*(COUNTIF(CONFIG_ASIGNATURAS!$B$7:$B$27,nASIG)&gt;0)*(nNOTA))/SUMPRODUCT((nNIA=G303)*(nCUENTA=1)*(COUNTIF(CONFIG_ASIGNATURAS!$B$7:$B$27,nASIG)&gt;0)*1),"")))</f>
        <v/>
      </c>
      <c r="N303" t="str">
        <f>IF(M303="","",IF(M303="[FÓRMULA MANUAL]","",IFERROR(AVERAGEIFS(nNOTA,nNIA,M303,nCUENTA,1,nASIG,"Armonía"),"")))</f>
        <v/>
      </c>
      <c r="O303" t="str">
        <f>IF(M303="","",IF(M303="[FÓRMULA MANUAL]","",IFERROR(AVERAGEIFS(nNOTA,nNIA,M303,nCUENTA,1,nASIG,"Orquesta/Banda/Conjunto"),"")))</f>
        <v/>
      </c>
      <c r="P303" t="str">
        <f>IF(M303="","",IF(M303="[FÓRMULA MANUAL]","",IFERROR(AVERAGEIFS(nNOTA,nNIA,M303,nCUENTA,1,nASIG,"Música de Cámara"),"")))</f>
        <v/>
      </c>
      <c r="Q303" t="str">
        <f>IF(M303="","",IF(M303="[FÓRMULA MANUAL]","",IFERROR(SUMPRODUCT((nNIA=M303)*(nCUENTA=1)*(COUNTIF(CONFIG_ASIGNATURAS!$B$7:$B$27,nASIG)&gt;0)*(nNOTA))/SUMPRODUCT((nNIA=M303)*(nCUENTA=1)*(COUNTIF(CONFIG_ASIGNATURAS!$B$7:$B$27,nASIG)&gt;0)*1),"")))</f>
        <v/>
      </c>
      <c r="T303" t="str">
        <f>IF(S303="","",IF(S303="[FÓRMULA MANUAL]","",IFERROR(AVERAGEIFS(nNOTA,nNIA,S303,nCUENTA,1,nASIG,"Armonía"),"")))</f>
        <v/>
      </c>
      <c r="U303" t="str">
        <f>IF(S303="","",IF(S303="[FÓRMULA MANUAL]","",IFERROR(AVERAGEIFS(nNOTA,nNIA,S303,nCUENTA,1,nASIG,"Orquesta/Banda/Conjunto"),"")))</f>
        <v/>
      </c>
      <c r="V303" t="str">
        <f>IF(S303="","",IF(S303="[FÓRMULA MANUAL]","",IFERROR(AVERAGEIFS(nNOTA,nNIA,S303,nCUENTA,1,nASIG,"Música de Cámara"),"")))</f>
        <v/>
      </c>
      <c r="W303" t="str">
        <f>IF(S303="","",IF(S303="[FÓRMULA MANUAL]","",IFERROR(SUMPRODUCT((nNIA=S303)*(nCUENTA=1)*(COUNTIF(CONFIG_ASIGNATURAS!$B$7:$B$27,nASIG)&gt;0)*(nNOTA))/SUMPRODUCT((nNIA=S303)*(nCUENTA=1)*(COUNTIF(CONFIG_ASIGNATURAS!$B$7:$B$27,nASIG)&gt;0)*1),"")))</f>
        <v/>
      </c>
      <c r="Z303" t="str">
        <f>IF(Y303="","",IF(Y303="[FÓRMULA MANUAL]","",IFERROR(AVERAGEIFS(nNOTA,nNIA,Y303,nCUENTA,1,nASIG,"Análisis"),"")))</f>
        <v/>
      </c>
      <c r="AA303" t="str">
        <f>IF(Y303="","",IF(Y303="[FÓRMULA MANUAL]","",IFERROR(AVERAGEIFS(nNOTA,nNIA,Y303,nCUENTA,1,nASIG,"Orquesta/Banda/Conjunto"),"")))</f>
        <v/>
      </c>
      <c r="AB303" t="str">
        <f>IF(Y303="","",IF(Y303="[FÓRMULA MANUAL]","",IFERROR(AVERAGEIFS(nNOTA,nNIA,Y303,nCUENTA,1,nASIG,"Música de Cámara"),"")))</f>
        <v/>
      </c>
      <c r="AC303" t="str">
        <f>IF(Y303="","",IF(Y303="[FÓRMULA MANUAL]","",IFERROR(SUMPRODUCT((nNIA=Y303)*(nCUENTA=1)*(COUNTIF(CONFIG_ASIGNATURAS!$B$7:$B$27,nASIG)&gt;0)*(nNOTA))/SUMPRODUCT((nNIA=Y303)*(nCUENTA=1)*(COUNTIF(CONFIG_ASIGNATURAS!$B$7:$B$27,nASIG)&gt;0)*1),"")))</f>
        <v/>
      </c>
      <c r="AF303" t="str">
        <f>IF(AE303="","",IF(AE303="[FÓRMULA MANUAL]","",IFERROR(AVERAGEIFS(nNOTA,nNIA,AE303,nCUENTA,1,nASIG,"Análisis"),"")))</f>
        <v/>
      </c>
      <c r="AG303" t="str">
        <f>IF(AE303="","",IF(AE303="[FÓRMULA MANUAL]","",IFERROR(AVERAGEIFS(nNOTA,nNIA,AE303,nCUENTA,1,nASIG,"Orquesta/Banda/Conjunto"),"")))</f>
        <v/>
      </c>
      <c r="AH303" t="str">
        <f>IF(AE303="","",IF(AE303="[FÓRMULA MANUAL]","",IFERROR(AVERAGEIFS(nNOTA,nNIA,AE303,nCUENTA,1,nASIG,"Música de Cámara"),"")))</f>
        <v/>
      </c>
      <c r="AI303" t="str">
        <f>IF(AE303="","",IF(AE303="[FÓRMULA MANUAL]","",IFERROR(SUMPRODUCT((nNIA=AE303)*(nCUENTA=1)*(COUNTIF(CONFIG_ASIGNATURAS!$B$7:$B$27,nASIG)&gt;0)*(nNOTA))/SUMPRODUCT((nNIA=AE303)*(nCUENTA=1)*(COUNTIF(CONFIG_ASIGNATURAS!$B$7:$B$27,nASIG)&gt;0)*1),"")))</f>
        <v/>
      </c>
    </row>
    <row r="304" spans="2:35" x14ac:dyDescent="0.2">
      <c r="B304" t="str">
        <f>IF(A304="","",IF(A304="[FÓRMULA MANUAL]","",IFERROR(AVERAGEIFS(nNOTA,nNIA,A304,nCUENTA,1,nASIG,"Lenguaje Musical"),"")))</f>
        <v/>
      </c>
      <c r="C304" t="str">
        <f>IF(A304="","",IF(A304="[FÓRMULA MANUAL]","",IFERROR(AVERAGEIFS(nNOTA,nNIA,A304,nCUENTA,1,nASIG,"Orquesta/Banda/Conjunto"),"")))</f>
        <v/>
      </c>
      <c r="D304" t="str">
        <f>IF(A304="","",IF(A304="[FÓRMULA MANUAL]","",IFERROR(AVERAGEIFS(nNOTA,nNIA,A304,nCUENTA,1,nASIG,"Conjunto"),"")))</f>
        <v/>
      </c>
      <c r="E304" t="str">
        <f>IF(A304="","",IF(A304="[FÓRMULA MANUAL]","",IFERROR(SUMPRODUCT((nNIA=A304)*(nCUENTA=1)*(COUNTIF(CONFIG_ASIGNATURAS!$B$7:$B$27,nASIG)&gt;0)*(nNOTA))/SUMPRODUCT((nNIA=A304)*(nCUENTA=1)*(COUNTIF(CONFIG_ASIGNATURAS!$B$7:$B$27,nASIG)&gt;0)*1),"")))</f>
        <v/>
      </c>
      <c r="H304" t="str">
        <f>IF(G304="","",IF(G304="[FÓRMULA MANUAL]","",IFERROR(AVERAGEIFS(nNOTA,nNIA,G304,nCUENTA,1,nASIG,"Lenguaje Musical"),"")))</f>
        <v/>
      </c>
      <c r="I304" t="str">
        <f>IF(G304="","",IF(G304="[FÓRMULA MANUAL]","",IFERROR(AVERAGEIFS(nNOTA,nNIA,G304,nCUENTA,1,nASIG,"Orquesta/Banda/Conjunto"),"")))</f>
        <v/>
      </c>
      <c r="J304" t="str">
        <f>IF(G304="","",IF(G304="[FÓRMULA MANUAL]","",IFERROR(AVERAGEIFS(nNOTA,nNIA,G304,nCUENTA,1,nASIG,"Conjunto"),"")))</f>
        <v/>
      </c>
      <c r="K304" t="str">
        <f>IF(G304="","",IF(G304="[FÓRMULA MANUAL]","",IFERROR(SUMPRODUCT((nNIA=G304)*(nCUENTA=1)*(COUNTIF(CONFIG_ASIGNATURAS!$B$7:$B$27,nASIG)&gt;0)*(nNOTA))/SUMPRODUCT((nNIA=G304)*(nCUENTA=1)*(COUNTIF(CONFIG_ASIGNATURAS!$B$7:$B$27,nASIG)&gt;0)*1),"")))</f>
        <v/>
      </c>
      <c r="N304" t="str">
        <f>IF(M304="","",IF(M304="[FÓRMULA MANUAL]","",IFERROR(AVERAGEIFS(nNOTA,nNIA,M304,nCUENTA,1,nASIG,"Armonía"),"")))</f>
        <v/>
      </c>
      <c r="O304" t="str">
        <f>IF(M304="","",IF(M304="[FÓRMULA MANUAL]","",IFERROR(AVERAGEIFS(nNOTA,nNIA,M304,nCUENTA,1,nASIG,"Orquesta/Banda/Conjunto"),"")))</f>
        <v/>
      </c>
      <c r="P304" t="str">
        <f>IF(M304="","",IF(M304="[FÓRMULA MANUAL]","",IFERROR(AVERAGEIFS(nNOTA,nNIA,M304,nCUENTA,1,nASIG,"Música de Cámara"),"")))</f>
        <v/>
      </c>
      <c r="Q304" t="str">
        <f>IF(M304="","",IF(M304="[FÓRMULA MANUAL]","",IFERROR(SUMPRODUCT((nNIA=M304)*(nCUENTA=1)*(COUNTIF(CONFIG_ASIGNATURAS!$B$7:$B$27,nASIG)&gt;0)*(nNOTA))/SUMPRODUCT((nNIA=M304)*(nCUENTA=1)*(COUNTIF(CONFIG_ASIGNATURAS!$B$7:$B$27,nASIG)&gt;0)*1),"")))</f>
        <v/>
      </c>
      <c r="T304" t="str">
        <f>IF(S304="","",IF(S304="[FÓRMULA MANUAL]","",IFERROR(AVERAGEIFS(nNOTA,nNIA,S304,nCUENTA,1,nASIG,"Armonía"),"")))</f>
        <v/>
      </c>
      <c r="U304" t="str">
        <f>IF(S304="","",IF(S304="[FÓRMULA MANUAL]","",IFERROR(AVERAGEIFS(nNOTA,nNIA,S304,nCUENTA,1,nASIG,"Orquesta/Banda/Conjunto"),"")))</f>
        <v/>
      </c>
      <c r="V304" t="str">
        <f>IF(S304="","",IF(S304="[FÓRMULA MANUAL]","",IFERROR(AVERAGEIFS(nNOTA,nNIA,S304,nCUENTA,1,nASIG,"Música de Cámara"),"")))</f>
        <v/>
      </c>
      <c r="W304" t="str">
        <f>IF(S304="","",IF(S304="[FÓRMULA MANUAL]","",IFERROR(SUMPRODUCT((nNIA=S304)*(nCUENTA=1)*(COUNTIF(CONFIG_ASIGNATURAS!$B$7:$B$27,nASIG)&gt;0)*(nNOTA))/SUMPRODUCT((nNIA=S304)*(nCUENTA=1)*(COUNTIF(CONFIG_ASIGNATURAS!$B$7:$B$27,nASIG)&gt;0)*1),"")))</f>
        <v/>
      </c>
      <c r="Z304" t="str">
        <f>IF(Y304="","",IF(Y304="[FÓRMULA MANUAL]","",IFERROR(AVERAGEIFS(nNOTA,nNIA,Y304,nCUENTA,1,nASIG,"Análisis"),"")))</f>
        <v/>
      </c>
      <c r="AA304" t="str">
        <f>IF(Y304="","",IF(Y304="[FÓRMULA MANUAL]","",IFERROR(AVERAGEIFS(nNOTA,nNIA,Y304,nCUENTA,1,nASIG,"Orquesta/Banda/Conjunto"),"")))</f>
        <v/>
      </c>
      <c r="AB304" t="str">
        <f>IF(Y304="","",IF(Y304="[FÓRMULA MANUAL]","",IFERROR(AVERAGEIFS(nNOTA,nNIA,Y304,nCUENTA,1,nASIG,"Música de Cámara"),"")))</f>
        <v/>
      </c>
      <c r="AC304" t="str">
        <f>IF(Y304="","",IF(Y304="[FÓRMULA MANUAL]","",IFERROR(SUMPRODUCT((nNIA=Y304)*(nCUENTA=1)*(COUNTIF(CONFIG_ASIGNATURAS!$B$7:$B$27,nASIG)&gt;0)*(nNOTA))/SUMPRODUCT((nNIA=Y304)*(nCUENTA=1)*(COUNTIF(CONFIG_ASIGNATURAS!$B$7:$B$27,nASIG)&gt;0)*1),"")))</f>
        <v/>
      </c>
      <c r="AF304" t="str">
        <f>IF(AE304="","",IF(AE304="[FÓRMULA MANUAL]","",IFERROR(AVERAGEIFS(nNOTA,nNIA,AE304,nCUENTA,1,nASIG,"Análisis"),"")))</f>
        <v/>
      </c>
      <c r="AG304" t="str">
        <f>IF(AE304="","",IF(AE304="[FÓRMULA MANUAL]","",IFERROR(AVERAGEIFS(nNOTA,nNIA,AE304,nCUENTA,1,nASIG,"Orquesta/Banda/Conjunto"),"")))</f>
        <v/>
      </c>
      <c r="AH304" t="str">
        <f>IF(AE304="","",IF(AE304="[FÓRMULA MANUAL]","",IFERROR(AVERAGEIFS(nNOTA,nNIA,AE304,nCUENTA,1,nASIG,"Música de Cámara"),"")))</f>
        <v/>
      </c>
      <c r="AI304" t="str">
        <f>IF(AE304="","",IF(AE304="[FÓRMULA MANUAL]","",IFERROR(SUMPRODUCT((nNIA=AE304)*(nCUENTA=1)*(COUNTIF(CONFIG_ASIGNATURAS!$B$7:$B$27,nASIG)&gt;0)*(nNOTA))/SUMPRODUCT((nNIA=AE304)*(nCUENTA=1)*(COUNTIF(CONFIG_ASIGNATURAS!$B$7:$B$27,nASIG)&gt;0)*1),"")))</f>
        <v/>
      </c>
    </row>
    <row r="305" spans="2:35" x14ac:dyDescent="0.2">
      <c r="B305" t="str">
        <f>IF(A305="","",IF(A305="[FÓRMULA MANUAL]","",IFERROR(AVERAGEIFS(nNOTA,nNIA,A305,nCUENTA,1,nASIG,"Lenguaje Musical"),"")))</f>
        <v/>
      </c>
      <c r="C305" t="str">
        <f>IF(A305="","",IF(A305="[FÓRMULA MANUAL]","",IFERROR(AVERAGEIFS(nNOTA,nNIA,A305,nCUENTA,1,nASIG,"Orquesta/Banda/Conjunto"),"")))</f>
        <v/>
      </c>
      <c r="D305" t="str">
        <f>IF(A305="","",IF(A305="[FÓRMULA MANUAL]","",IFERROR(AVERAGEIFS(nNOTA,nNIA,A305,nCUENTA,1,nASIG,"Conjunto"),"")))</f>
        <v/>
      </c>
      <c r="E305" t="str">
        <f>IF(A305="","",IF(A305="[FÓRMULA MANUAL]","",IFERROR(SUMPRODUCT((nNIA=A305)*(nCUENTA=1)*(COUNTIF(CONFIG_ASIGNATURAS!$B$7:$B$27,nASIG)&gt;0)*(nNOTA))/SUMPRODUCT((nNIA=A305)*(nCUENTA=1)*(COUNTIF(CONFIG_ASIGNATURAS!$B$7:$B$27,nASIG)&gt;0)*1),"")))</f>
        <v/>
      </c>
      <c r="H305" t="str">
        <f>IF(G305="","",IF(G305="[FÓRMULA MANUAL]","",IFERROR(AVERAGEIFS(nNOTA,nNIA,G305,nCUENTA,1,nASIG,"Lenguaje Musical"),"")))</f>
        <v/>
      </c>
      <c r="I305" t="str">
        <f>IF(G305="","",IF(G305="[FÓRMULA MANUAL]","",IFERROR(AVERAGEIFS(nNOTA,nNIA,G305,nCUENTA,1,nASIG,"Orquesta/Banda/Conjunto"),"")))</f>
        <v/>
      </c>
      <c r="J305" t="str">
        <f>IF(G305="","",IF(G305="[FÓRMULA MANUAL]","",IFERROR(AVERAGEIFS(nNOTA,nNIA,G305,nCUENTA,1,nASIG,"Conjunto"),"")))</f>
        <v/>
      </c>
      <c r="K305" t="str">
        <f>IF(G305="","",IF(G305="[FÓRMULA MANUAL]","",IFERROR(SUMPRODUCT((nNIA=G305)*(nCUENTA=1)*(COUNTIF(CONFIG_ASIGNATURAS!$B$7:$B$27,nASIG)&gt;0)*(nNOTA))/SUMPRODUCT((nNIA=G305)*(nCUENTA=1)*(COUNTIF(CONFIG_ASIGNATURAS!$B$7:$B$27,nASIG)&gt;0)*1),"")))</f>
        <v/>
      </c>
      <c r="N305" t="str">
        <f>IF(M305="","",IF(M305="[FÓRMULA MANUAL]","",IFERROR(AVERAGEIFS(nNOTA,nNIA,M305,nCUENTA,1,nASIG,"Armonía"),"")))</f>
        <v/>
      </c>
      <c r="O305" t="str">
        <f>IF(M305="","",IF(M305="[FÓRMULA MANUAL]","",IFERROR(AVERAGEIFS(nNOTA,nNIA,M305,nCUENTA,1,nASIG,"Orquesta/Banda/Conjunto"),"")))</f>
        <v/>
      </c>
      <c r="P305" t="str">
        <f>IF(M305="","",IF(M305="[FÓRMULA MANUAL]","",IFERROR(AVERAGEIFS(nNOTA,nNIA,M305,nCUENTA,1,nASIG,"Música de Cámara"),"")))</f>
        <v/>
      </c>
      <c r="Q305" t="str">
        <f>IF(M305="","",IF(M305="[FÓRMULA MANUAL]","",IFERROR(SUMPRODUCT((nNIA=M305)*(nCUENTA=1)*(COUNTIF(CONFIG_ASIGNATURAS!$B$7:$B$27,nASIG)&gt;0)*(nNOTA))/SUMPRODUCT((nNIA=M305)*(nCUENTA=1)*(COUNTIF(CONFIG_ASIGNATURAS!$B$7:$B$27,nASIG)&gt;0)*1),"")))</f>
        <v/>
      </c>
      <c r="T305" t="str">
        <f>IF(S305="","",IF(S305="[FÓRMULA MANUAL]","",IFERROR(AVERAGEIFS(nNOTA,nNIA,S305,nCUENTA,1,nASIG,"Armonía"),"")))</f>
        <v/>
      </c>
      <c r="U305" t="str">
        <f>IF(S305="","",IF(S305="[FÓRMULA MANUAL]","",IFERROR(AVERAGEIFS(nNOTA,nNIA,S305,nCUENTA,1,nASIG,"Orquesta/Banda/Conjunto"),"")))</f>
        <v/>
      </c>
      <c r="V305" t="str">
        <f>IF(S305="","",IF(S305="[FÓRMULA MANUAL]","",IFERROR(AVERAGEIFS(nNOTA,nNIA,S305,nCUENTA,1,nASIG,"Música de Cámara"),"")))</f>
        <v/>
      </c>
      <c r="W305" t="str">
        <f>IF(S305="","",IF(S305="[FÓRMULA MANUAL]","",IFERROR(SUMPRODUCT((nNIA=S305)*(nCUENTA=1)*(COUNTIF(CONFIG_ASIGNATURAS!$B$7:$B$27,nASIG)&gt;0)*(nNOTA))/SUMPRODUCT((nNIA=S305)*(nCUENTA=1)*(COUNTIF(CONFIG_ASIGNATURAS!$B$7:$B$27,nASIG)&gt;0)*1),"")))</f>
        <v/>
      </c>
      <c r="Z305" t="str">
        <f>IF(Y305="","",IF(Y305="[FÓRMULA MANUAL]","",IFERROR(AVERAGEIFS(nNOTA,nNIA,Y305,nCUENTA,1,nASIG,"Análisis"),"")))</f>
        <v/>
      </c>
      <c r="AA305" t="str">
        <f>IF(Y305="","",IF(Y305="[FÓRMULA MANUAL]","",IFERROR(AVERAGEIFS(nNOTA,nNIA,Y305,nCUENTA,1,nASIG,"Orquesta/Banda/Conjunto"),"")))</f>
        <v/>
      </c>
      <c r="AB305" t="str">
        <f>IF(Y305="","",IF(Y305="[FÓRMULA MANUAL]","",IFERROR(AVERAGEIFS(nNOTA,nNIA,Y305,nCUENTA,1,nASIG,"Música de Cámara"),"")))</f>
        <v/>
      </c>
      <c r="AC305" t="str">
        <f>IF(Y305="","",IF(Y305="[FÓRMULA MANUAL]","",IFERROR(SUMPRODUCT((nNIA=Y305)*(nCUENTA=1)*(COUNTIF(CONFIG_ASIGNATURAS!$B$7:$B$27,nASIG)&gt;0)*(nNOTA))/SUMPRODUCT((nNIA=Y305)*(nCUENTA=1)*(COUNTIF(CONFIG_ASIGNATURAS!$B$7:$B$27,nASIG)&gt;0)*1),"")))</f>
        <v/>
      </c>
      <c r="AF305" t="str">
        <f>IF(AE305="","",IF(AE305="[FÓRMULA MANUAL]","",IFERROR(AVERAGEIFS(nNOTA,nNIA,AE305,nCUENTA,1,nASIG,"Análisis"),"")))</f>
        <v/>
      </c>
      <c r="AG305" t="str">
        <f>IF(AE305="","",IF(AE305="[FÓRMULA MANUAL]","",IFERROR(AVERAGEIFS(nNOTA,nNIA,AE305,nCUENTA,1,nASIG,"Orquesta/Banda/Conjunto"),"")))</f>
        <v/>
      </c>
      <c r="AH305" t="str">
        <f>IF(AE305="","",IF(AE305="[FÓRMULA MANUAL]","",IFERROR(AVERAGEIFS(nNOTA,nNIA,AE305,nCUENTA,1,nASIG,"Música de Cámara"),"")))</f>
        <v/>
      </c>
      <c r="AI305" t="str">
        <f>IF(AE305="","",IF(AE305="[FÓRMULA MANUAL]","",IFERROR(SUMPRODUCT((nNIA=AE305)*(nCUENTA=1)*(COUNTIF(CONFIG_ASIGNATURAS!$B$7:$B$27,nASIG)&gt;0)*(nNOTA))/SUMPRODUCT((nNIA=AE305)*(nCUENTA=1)*(COUNTIF(CONFIG_ASIGNATURAS!$B$7:$B$27,nASIG)&gt;0)*1),"")))</f>
        <v/>
      </c>
    </row>
    <row r="306" spans="2:35" x14ac:dyDescent="0.2">
      <c r="B306" t="str">
        <f>IF(A306="","",IF(A306="[FÓRMULA MANUAL]","",IFERROR(AVERAGEIFS(nNOTA,nNIA,A306,nCUENTA,1,nASIG,"Lenguaje Musical"),"")))</f>
        <v/>
      </c>
      <c r="C306" t="str">
        <f>IF(A306="","",IF(A306="[FÓRMULA MANUAL]","",IFERROR(AVERAGEIFS(nNOTA,nNIA,A306,nCUENTA,1,nASIG,"Orquesta/Banda/Conjunto"),"")))</f>
        <v/>
      </c>
      <c r="D306" t="str">
        <f>IF(A306="","",IF(A306="[FÓRMULA MANUAL]","",IFERROR(AVERAGEIFS(nNOTA,nNIA,A306,nCUENTA,1,nASIG,"Conjunto"),"")))</f>
        <v/>
      </c>
      <c r="E306" t="str">
        <f>IF(A306="","",IF(A306="[FÓRMULA MANUAL]","",IFERROR(SUMPRODUCT((nNIA=A306)*(nCUENTA=1)*(COUNTIF(CONFIG_ASIGNATURAS!$B$7:$B$27,nASIG)&gt;0)*(nNOTA))/SUMPRODUCT((nNIA=A306)*(nCUENTA=1)*(COUNTIF(CONFIG_ASIGNATURAS!$B$7:$B$27,nASIG)&gt;0)*1),"")))</f>
        <v/>
      </c>
      <c r="H306" t="str">
        <f>IF(G306="","",IF(G306="[FÓRMULA MANUAL]","",IFERROR(AVERAGEIFS(nNOTA,nNIA,G306,nCUENTA,1,nASIG,"Lenguaje Musical"),"")))</f>
        <v/>
      </c>
      <c r="I306" t="str">
        <f>IF(G306="","",IF(G306="[FÓRMULA MANUAL]","",IFERROR(AVERAGEIFS(nNOTA,nNIA,G306,nCUENTA,1,nASIG,"Orquesta/Banda/Conjunto"),"")))</f>
        <v/>
      </c>
      <c r="J306" t="str">
        <f>IF(G306="","",IF(G306="[FÓRMULA MANUAL]","",IFERROR(AVERAGEIFS(nNOTA,nNIA,G306,nCUENTA,1,nASIG,"Conjunto"),"")))</f>
        <v/>
      </c>
      <c r="K306" t="str">
        <f>IF(G306="","",IF(G306="[FÓRMULA MANUAL]","",IFERROR(SUMPRODUCT((nNIA=G306)*(nCUENTA=1)*(COUNTIF(CONFIG_ASIGNATURAS!$B$7:$B$27,nASIG)&gt;0)*(nNOTA))/SUMPRODUCT((nNIA=G306)*(nCUENTA=1)*(COUNTIF(CONFIG_ASIGNATURAS!$B$7:$B$27,nASIG)&gt;0)*1),"")))</f>
        <v/>
      </c>
      <c r="N306" t="str">
        <f>IF(M306="","",IF(M306="[FÓRMULA MANUAL]","",IFERROR(AVERAGEIFS(nNOTA,nNIA,M306,nCUENTA,1,nASIG,"Armonía"),"")))</f>
        <v/>
      </c>
      <c r="O306" t="str">
        <f>IF(M306="","",IF(M306="[FÓRMULA MANUAL]","",IFERROR(AVERAGEIFS(nNOTA,nNIA,M306,nCUENTA,1,nASIG,"Orquesta/Banda/Conjunto"),"")))</f>
        <v/>
      </c>
      <c r="P306" t="str">
        <f>IF(M306="","",IF(M306="[FÓRMULA MANUAL]","",IFERROR(AVERAGEIFS(nNOTA,nNIA,M306,nCUENTA,1,nASIG,"Música de Cámara"),"")))</f>
        <v/>
      </c>
      <c r="Q306" t="str">
        <f>IF(M306="","",IF(M306="[FÓRMULA MANUAL]","",IFERROR(SUMPRODUCT((nNIA=M306)*(nCUENTA=1)*(COUNTIF(CONFIG_ASIGNATURAS!$B$7:$B$27,nASIG)&gt;0)*(nNOTA))/SUMPRODUCT((nNIA=M306)*(nCUENTA=1)*(COUNTIF(CONFIG_ASIGNATURAS!$B$7:$B$27,nASIG)&gt;0)*1),"")))</f>
        <v/>
      </c>
      <c r="T306" t="str">
        <f>IF(S306="","",IF(S306="[FÓRMULA MANUAL]","",IFERROR(AVERAGEIFS(nNOTA,nNIA,S306,nCUENTA,1,nASIG,"Armonía"),"")))</f>
        <v/>
      </c>
      <c r="U306" t="str">
        <f>IF(S306="","",IF(S306="[FÓRMULA MANUAL]","",IFERROR(AVERAGEIFS(nNOTA,nNIA,S306,nCUENTA,1,nASIG,"Orquesta/Banda/Conjunto"),"")))</f>
        <v/>
      </c>
      <c r="V306" t="str">
        <f>IF(S306="","",IF(S306="[FÓRMULA MANUAL]","",IFERROR(AVERAGEIFS(nNOTA,nNIA,S306,nCUENTA,1,nASIG,"Música de Cámara"),"")))</f>
        <v/>
      </c>
      <c r="W306" t="str">
        <f>IF(S306="","",IF(S306="[FÓRMULA MANUAL]","",IFERROR(SUMPRODUCT((nNIA=S306)*(nCUENTA=1)*(COUNTIF(CONFIG_ASIGNATURAS!$B$7:$B$27,nASIG)&gt;0)*(nNOTA))/SUMPRODUCT((nNIA=S306)*(nCUENTA=1)*(COUNTIF(CONFIG_ASIGNATURAS!$B$7:$B$27,nASIG)&gt;0)*1),"")))</f>
        <v/>
      </c>
      <c r="Z306" t="str">
        <f>IF(Y306="","",IF(Y306="[FÓRMULA MANUAL]","",IFERROR(AVERAGEIFS(nNOTA,nNIA,Y306,nCUENTA,1,nASIG,"Análisis"),"")))</f>
        <v/>
      </c>
      <c r="AA306" t="str">
        <f>IF(Y306="","",IF(Y306="[FÓRMULA MANUAL]","",IFERROR(AVERAGEIFS(nNOTA,nNIA,Y306,nCUENTA,1,nASIG,"Orquesta/Banda/Conjunto"),"")))</f>
        <v/>
      </c>
      <c r="AB306" t="str">
        <f>IF(Y306="","",IF(Y306="[FÓRMULA MANUAL]","",IFERROR(AVERAGEIFS(nNOTA,nNIA,Y306,nCUENTA,1,nASIG,"Música de Cámara"),"")))</f>
        <v/>
      </c>
      <c r="AC306" t="str">
        <f>IF(Y306="","",IF(Y306="[FÓRMULA MANUAL]","",IFERROR(SUMPRODUCT((nNIA=Y306)*(nCUENTA=1)*(COUNTIF(CONFIG_ASIGNATURAS!$B$7:$B$27,nASIG)&gt;0)*(nNOTA))/SUMPRODUCT((nNIA=Y306)*(nCUENTA=1)*(COUNTIF(CONFIG_ASIGNATURAS!$B$7:$B$27,nASIG)&gt;0)*1),"")))</f>
        <v/>
      </c>
      <c r="AF306" t="str">
        <f>IF(AE306="","",IF(AE306="[FÓRMULA MANUAL]","",IFERROR(AVERAGEIFS(nNOTA,nNIA,AE306,nCUENTA,1,nASIG,"Análisis"),"")))</f>
        <v/>
      </c>
      <c r="AG306" t="str">
        <f>IF(AE306="","",IF(AE306="[FÓRMULA MANUAL]","",IFERROR(AVERAGEIFS(nNOTA,nNIA,AE306,nCUENTA,1,nASIG,"Orquesta/Banda/Conjunto"),"")))</f>
        <v/>
      </c>
      <c r="AH306" t="str">
        <f>IF(AE306="","",IF(AE306="[FÓRMULA MANUAL]","",IFERROR(AVERAGEIFS(nNOTA,nNIA,AE306,nCUENTA,1,nASIG,"Música de Cámara"),"")))</f>
        <v/>
      </c>
      <c r="AI306" t="str">
        <f>IF(AE306="","",IF(AE306="[FÓRMULA MANUAL]","",IFERROR(SUMPRODUCT((nNIA=AE306)*(nCUENTA=1)*(COUNTIF(CONFIG_ASIGNATURAS!$B$7:$B$27,nASIG)&gt;0)*(nNOTA))/SUMPRODUCT((nNIA=AE306)*(nCUENTA=1)*(COUNTIF(CONFIG_ASIGNATURAS!$B$7:$B$27,nASIG)&gt;0)*1),"")))</f>
        <v/>
      </c>
    </row>
    <row r="307" spans="2:35" x14ac:dyDescent="0.2">
      <c r="B307" t="str">
        <f>IF(A307="","",IF(A307="[FÓRMULA MANUAL]","",IFERROR(AVERAGEIFS(nNOTA,nNIA,A307,nCUENTA,1,nASIG,"Lenguaje Musical"),"")))</f>
        <v/>
      </c>
      <c r="C307" t="str">
        <f>IF(A307="","",IF(A307="[FÓRMULA MANUAL]","",IFERROR(AVERAGEIFS(nNOTA,nNIA,A307,nCUENTA,1,nASIG,"Orquesta/Banda/Conjunto"),"")))</f>
        <v/>
      </c>
      <c r="D307" t="str">
        <f>IF(A307="","",IF(A307="[FÓRMULA MANUAL]","",IFERROR(AVERAGEIFS(nNOTA,nNIA,A307,nCUENTA,1,nASIG,"Conjunto"),"")))</f>
        <v/>
      </c>
      <c r="E307" t="str">
        <f>IF(A307="","",IF(A307="[FÓRMULA MANUAL]","",IFERROR(SUMPRODUCT((nNIA=A307)*(nCUENTA=1)*(COUNTIF(CONFIG_ASIGNATURAS!$B$7:$B$27,nASIG)&gt;0)*(nNOTA))/SUMPRODUCT((nNIA=A307)*(nCUENTA=1)*(COUNTIF(CONFIG_ASIGNATURAS!$B$7:$B$27,nASIG)&gt;0)*1),"")))</f>
        <v/>
      </c>
      <c r="H307" t="str">
        <f>IF(G307="","",IF(G307="[FÓRMULA MANUAL]","",IFERROR(AVERAGEIFS(nNOTA,nNIA,G307,nCUENTA,1,nASIG,"Lenguaje Musical"),"")))</f>
        <v/>
      </c>
      <c r="I307" t="str">
        <f>IF(G307="","",IF(G307="[FÓRMULA MANUAL]","",IFERROR(AVERAGEIFS(nNOTA,nNIA,G307,nCUENTA,1,nASIG,"Orquesta/Banda/Conjunto"),"")))</f>
        <v/>
      </c>
      <c r="J307" t="str">
        <f>IF(G307="","",IF(G307="[FÓRMULA MANUAL]","",IFERROR(AVERAGEIFS(nNOTA,nNIA,G307,nCUENTA,1,nASIG,"Conjunto"),"")))</f>
        <v/>
      </c>
      <c r="K307" t="str">
        <f>IF(G307="","",IF(G307="[FÓRMULA MANUAL]","",IFERROR(SUMPRODUCT((nNIA=G307)*(nCUENTA=1)*(COUNTIF(CONFIG_ASIGNATURAS!$B$7:$B$27,nASIG)&gt;0)*(nNOTA))/SUMPRODUCT((nNIA=G307)*(nCUENTA=1)*(COUNTIF(CONFIG_ASIGNATURAS!$B$7:$B$27,nASIG)&gt;0)*1),"")))</f>
        <v/>
      </c>
      <c r="N307" t="str">
        <f>IF(M307="","",IF(M307="[FÓRMULA MANUAL]","",IFERROR(AVERAGEIFS(nNOTA,nNIA,M307,nCUENTA,1,nASIG,"Armonía"),"")))</f>
        <v/>
      </c>
      <c r="O307" t="str">
        <f>IF(M307="","",IF(M307="[FÓRMULA MANUAL]","",IFERROR(AVERAGEIFS(nNOTA,nNIA,M307,nCUENTA,1,nASIG,"Orquesta/Banda/Conjunto"),"")))</f>
        <v/>
      </c>
      <c r="P307" t="str">
        <f>IF(M307="","",IF(M307="[FÓRMULA MANUAL]","",IFERROR(AVERAGEIFS(nNOTA,nNIA,M307,nCUENTA,1,nASIG,"Música de Cámara"),"")))</f>
        <v/>
      </c>
      <c r="Q307" t="str">
        <f>IF(M307="","",IF(M307="[FÓRMULA MANUAL]","",IFERROR(SUMPRODUCT((nNIA=M307)*(nCUENTA=1)*(COUNTIF(CONFIG_ASIGNATURAS!$B$7:$B$27,nASIG)&gt;0)*(nNOTA))/SUMPRODUCT((nNIA=M307)*(nCUENTA=1)*(COUNTIF(CONFIG_ASIGNATURAS!$B$7:$B$27,nASIG)&gt;0)*1),"")))</f>
        <v/>
      </c>
      <c r="T307" t="str">
        <f>IF(S307="","",IF(S307="[FÓRMULA MANUAL]","",IFERROR(AVERAGEIFS(nNOTA,nNIA,S307,nCUENTA,1,nASIG,"Armonía"),"")))</f>
        <v/>
      </c>
      <c r="U307" t="str">
        <f>IF(S307="","",IF(S307="[FÓRMULA MANUAL]","",IFERROR(AVERAGEIFS(nNOTA,nNIA,S307,nCUENTA,1,nASIG,"Orquesta/Banda/Conjunto"),"")))</f>
        <v/>
      </c>
      <c r="V307" t="str">
        <f>IF(S307="","",IF(S307="[FÓRMULA MANUAL]","",IFERROR(AVERAGEIFS(nNOTA,nNIA,S307,nCUENTA,1,nASIG,"Música de Cámara"),"")))</f>
        <v/>
      </c>
      <c r="W307" t="str">
        <f>IF(S307="","",IF(S307="[FÓRMULA MANUAL]","",IFERROR(SUMPRODUCT((nNIA=S307)*(nCUENTA=1)*(COUNTIF(CONFIG_ASIGNATURAS!$B$7:$B$27,nASIG)&gt;0)*(nNOTA))/SUMPRODUCT((nNIA=S307)*(nCUENTA=1)*(COUNTIF(CONFIG_ASIGNATURAS!$B$7:$B$27,nASIG)&gt;0)*1),"")))</f>
        <v/>
      </c>
      <c r="Z307" t="str">
        <f>IF(Y307="","",IF(Y307="[FÓRMULA MANUAL]","",IFERROR(AVERAGEIFS(nNOTA,nNIA,Y307,nCUENTA,1,nASIG,"Análisis"),"")))</f>
        <v/>
      </c>
      <c r="AA307" t="str">
        <f>IF(Y307="","",IF(Y307="[FÓRMULA MANUAL]","",IFERROR(AVERAGEIFS(nNOTA,nNIA,Y307,nCUENTA,1,nASIG,"Orquesta/Banda/Conjunto"),"")))</f>
        <v/>
      </c>
      <c r="AB307" t="str">
        <f>IF(Y307="","",IF(Y307="[FÓRMULA MANUAL]","",IFERROR(AVERAGEIFS(nNOTA,nNIA,Y307,nCUENTA,1,nASIG,"Música de Cámara"),"")))</f>
        <v/>
      </c>
      <c r="AC307" t="str">
        <f>IF(Y307="","",IF(Y307="[FÓRMULA MANUAL]","",IFERROR(SUMPRODUCT((nNIA=Y307)*(nCUENTA=1)*(COUNTIF(CONFIG_ASIGNATURAS!$B$7:$B$27,nASIG)&gt;0)*(nNOTA))/SUMPRODUCT((nNIA=Y307)*(nCUENTA=1)*(COUNTIF(CONFIG_ASIGNATURAS!$B$7:$B$27,nASIG)&gt;0)*1),"")))</f>
        <v/>
      </c>
      <c r="AF307" t="str">
        <f>IF(AE307="","",IF(AE307="[FÓRMULA MANUAL]","",IFERROR(AVERAGEIFS(nNOTA,nNIA,AE307,nCUENTA,1,nASIG,"Análisis"),"")))</f>
        <v/>
      </c>
      <c r="AG307" t="str">
        <f>IF(AE307="","",IF(AE307="[FÓRMULA MANUAL]","",IFERROR(AVERAGEIFS(nNOTA,nNIA,AE307,nCUENTA,1,nASIG,"Orquesta/Banda/Conjunto"),"")))</f>
        <v/>
      </c>
      <c r="AH307" t="str">
        <f>IF(AE307="","",IF(AE307="[FÓRMULA MANUAL]","",IFERROR(AVERAGEIFS(nNOTA,nNIA,AE307,nCUENTA,1,nASIG,"Música de Cámara"),"")))</f>
        <v/>
      </c>
      <c r="AI307" t="str">
        <f>IF(AE307="","",IF(AE307="[FÓRMULA MANUAL]","",IFERROR(SUMPRODUCT((nNIA=AE307)*(nCUENTA=1)*(COUNTIF(CONFIG_ASIGNATURAS!$B$7:$B$27,nASIG)&gt;0)*(nNOTA))/SUMPRODUCT((nNIA=AE307)*(nCUENTA=1)*(COUNTIF(CONFIG_ASIGNATURAS!$B$7:$B$27,nASIG)&gt;0)*1),"")))</f>
        <v/>
      </c>
    </row>
    <row r="308" spans="2:35" x14ac:dyDescent="0.2">
      <c r="B308" t="str">
        <f>IF(A308="","",IF(A308="[FÓRMULA MANUAL]","",IFERROR(AVERAGEIFS(nNOTA,nNIA,A308,nCUENTA,1,nASIG,"Lenguaje Musical"),"")))</f>
        <v/>
      </c>
      <c r="C308" t="str">
        <f>IF(A308="","",IF(A308="[FÓRMULA MANUAL]","",IFERROR(AVERAGEIFS(nNOTA,nNIA,A308,nCUENTA,1,nASIG,"Orquesta/Banda/Conjunto"),"")))</f>
        <v/>
      </c>
      <c r="D308" t="str">
        <f>IF(A308="","",IF(A308="[FÓRMULA MANUAL]","",IFERROR(AVERAGEIFS(nNOTA,nNIA,A308,nCUENTA,1,nASIG,"Conjunto"),"")))</f>
        <v/>
      </c>
      <c r="E308" t="str">
        <f>IF(A308="","",IF(A308="[FÓRMULA MANUAL]","",IFERROR(SUMPRODUCT((nNIA=A308)*(nCUENTA=1)*(COUNTIF(CONFIG_ASIGNATURAS!$B$7:$B$27,nASIG)&gt;0)*(nNOTA))/SUMPRODUCT((nNIA=A308)*(nCUENTA=1)*(COUNTIF(CONFIG_ASIGNATURAS!$B$7:$B$27,nASIG)&gt;0)*1),"")))</f>
        <v/>
      </c>
      <c r="H308" t="str">
        <f>IF(G308="","",IF(G308="[FÓRMULA MANUAL]","",IFERROR(AVERAGEIFS(nNOTA,nNIA,G308,nCUENTA,1,nASIG,"Lenguaje Musical"),"")))</f>
        <v/>
      </c>
      <c r="I308" t="str">
        <f>IF(G308="","",IF(G308="[FÓRMULA MANUAL]","",IFERROR(AVERAGEIFS(nNOTA,nNIA,G308,nCUENTA,1,nASIG,"Orquesta/Banda/Conjunto"),"")))</f>
        <v/>
      </c>
      <c r="J308" t="str">
        <f>IF(G308="","",IF(G308="[FÓRMULA MANUAL]","",IFERROR(AVERAGEIFS(nNOTA,nNIA,G308,nCUENTA,1,nASIG,"Conjunto"),"")))</f>
        <v/>
      </c>
      <c r="K308" t="str">
        <f>IF(G308="","",IF(G308="[FÓRMULA MANUAL]","",IFERROR(SUMPRODUCT((nNIA=G308)*(nCUENTA=1)*(COUNTIF(CONFIG_ASIGNATURAS!$B$7:$B$27,nASIG)&gt;0)*(nNOTA))/SUMPRODUCT((nNIA=G308)*(nCUENTA=1)*(COUNTIF(CONFIG_ASIGNATURAS!$B$7:$B$27,nASIG)&gt;0)*1),"")))</f>
        <v/>
      </c>
      <c r="N308" t="str">
        <f>IF(M308="","",IF(M308="[FÓRMULA MANUAL]","",IFERROR(AVERAGEIFS(nNOTA,nNIA,M308,nCUENTA,1,nASIG,"Armonía"),"")))</f>
        <v/>
      </c>
      <c r="O308" t="str">
        <f>IF(M308="","",IF(M308="[FÓRMULA MANUAL]","",IFERROR(AVERAGEIFS(nNOTA,nNIA,M308,nCUENTA,1,nASIG,"Orquesta/Banda/Conjunto"),"")))</f>
        <v/>
      </c>
      <c r="P308" t="str">
        <f>IF(M308="","",IF(M308="[FÓRMULA MANUAL]","",IFERROR(AVERAGEIFS(nNOTA,nNIA,M308,nCUENTA,1,nASIG,"Música de Cámara"),"")))</f>
        <v/>
      </c>
      <c r="Q308" t="str">
        <f>IF(M308="","",IF(M308="[FÓRMULA MANUAL]","",IFERROR(SUMPRODUCT((nNIA=M308)*(nCUENTA=1)*(COUNTIF(CONFIG_ASIGNATURAS!$B$7:$B$27,nASIG)&gt;0)*(nNOTA))/SUMPRODUCT((nNIA=M308)*(nCUENTA=1)*(COUNTIF(CONFIG_ASIGNATURAS!$B$7:$B$27,nASIG)&gt;0)*1),"")))</f>
        <v/>
      </c>
      <c r="T308" t="str">
        <f>IF(S308="","",IF(S308="[FÓRMULA MANUAL]","",IFERROR(AVERAGEIFS(nNOTA,nNIA,S308,nCUENTA,1,nASIG,"Armonía"),"")))</f>
        <v/>
      </c>
      <c r="U308" t="str">
        <f>IF(S308="","",IF(S308="[FÓRMULA MANUAL]","",IFERROR(AVERAGEIFS(nNOTA,nNIA,S308,nCUENTA,1,nASIG,"Orquesta/Banda/Conjunto"),"")))</f>
        <v/>
      </c>
      <c r="V308" t="str">
        <f>IF(S308="","",IF(S308="[FÓRMULA MANUAL]","",IFERROR(AVERAGEIFS(nNOTA,nNIA,S308,nCUENTA,1,nASIG,"Música de Cámara"),"")))</f>
        <v/>
      </c>
      <c r="W308" t="str">
        <f>IF(S308="","",IF(S308="[FÓRMULA MANUAL]","",IFERROR(SUMPRODUCT((nNIA=S308)*(nCUENTA=1)*(COUNTIF(CONFIG_ASIGNATURAS!$B$7:$B$27,nASIG)&gt;0)*(nNOTA))/SUMPRODUCT((nNIA=S308)*(nCUENTA=1)*(COUNTIF(CONFIG_ASIGNATURAS!$B$7:$B$27,nASIG)&gt;0)*1),"")))</f>
        <v/>
      </c>
      <c r="Z308" t="str">
        <f>IF(Y308="","",IF(Y308="[FÓRMULA MANUAL]","",IFERROR(AVERAGEIFS(nNOTA,nNIA,Y308,nCUENTA,1,nASIG,"Análisis"),"")))</f>
        <v/>
      </c>
      <c r="AA308" t="str">
        <f>IF(Y308="","",IF(Y308="[FÓRMULA MANUAL]","",IFERROR(AVERAGEIFS(nNOTA,nNIA,Y308,nCUENTA,1,nASIG,"Orquesta/Banda/Conjunto"),"")))</f>
        <v/>
      </c>
      <c r="AB308" t="str">
        <f>IF(Y308="","",IF(Y308="[FÓRMULA MANUAL]","",IFERROR(AVERAGEIFS(nNOTA,nNIA,Y308,nCUENTA,1,nASIG,"Música de Cámara"),"")))</f>
        <v/>
      </c>
      <c r="AC308" t="str">
        <f>IF(Y308="","",IF(Y308="[FÓRMULA MANUAL]","",IFERROR(SUMPRODUCT((nNIA=Y308)*(nCUENTA=1)*(COUNTIF(CONFIG_ASIGNATURAS!$B$7:$B$27,nASIG)&gt;0)*(nNOTA))/SUMPRODUCT((nNIA=Y308)*(nCUENTA=1)*(COUNTIF(CONFIG_ASIGNATURAS!$B$7:$B$27,nASIG)&gt;0)*1),"")))</f>
        <v/>
      </c>
      <c r="AF308" t="str">
        <f>IF(AE308="","",IF(AE308="[FÓRMULA MANUAL]","",IFERROR(AVERAGEIFS(nNOTA,nNIA,AE308,nCUENTA,1,nASIG,"Análisis"),"")))</f>
        <v/>
      </c>
      <c r="AG308" t="str">
        <f>IF(AE308="","",IF(AE308="[FÓRMULA MANUAL]","",IFERROR(AVERAGEIFS(nNOTA,nNIA,AE308,nCUENTA,1,nASIG,"Orquesta/Banda/Conjunto"),"")))</f>
        <v/>
      </c>
      <c r="AH308" t="str">
        <f>IF(AE308="","",IF(AE308="[FÓRMULA MANUAL]","",IFERROR(AVERAGEIFS(nNOTA,nNIA,AE308,nCUENTA,1,nASIG,"Música de Cámara"),"")))</f>
        <v/>
      </c>
      <c r="AI308" t="str">
        <f>IF(AE308="","",IF(AE308="[FÓRMULA MANUAL]","",IFERROR(SUMPRODUCT((nNIA=AE308)*(nCUENTA=1)*(COUNTIF(CONFIG_ASIGNATURAS!$B$7:$B$27,nASIG)&gt;0)*(nNOTA))/SUMPRODUCT((nNIA=AE308)*(nCUENTA=1)*(COUNTIF(CONFIG_ASIGNATURAS!$B$7:$B$27,nASIG)&gt;0)*1),"")))</f>
        <v/>
      </c>
    </row>
    <row r="309" spans="2:35" x14ac:dyDescent="0.2">
      <c r="B309" t="str">
        <f>IF(A309="","",IF(A309="[FÓRMULA MANUAL]","",IFERROR(AVERAGEIFS(nNOTA,nNIA,A309,nCUENTA,1,nASIG,"Lenguaje Musical"),"")))</f>
        <v/>
      </c>
      <c r="C309" t="str">
        <f>IF(A309="","",IF(A309="[FÓRMULA MANUAL]","",IFERROR(AVERAGEIFS(nNOTA,nNIA,A309,nCUENTA,1,nASIG,"Orquesta/Banda/Conjunto"),"")))</f>
        <v/>
      </c>
      <c r="D309" t="str">
        <f>IF(A309="","",IF(A309="[FÓRMULA MANUAL]","",IFERROR(AVERAGEIFS(nNOTA,nNIA,A309,nCUENTA,1,nASIG,"Conjunto"),"")))</f>
        <v/>
      </c>
      <c r="E309" t="str">
        <f>IF(A309="","",IF(A309="[FÓRMULA MANUAL]","",IFERROR(SUMPRODUCT((nNIA=A309)*(nCUENTA=1)*(COUNTIF(CONFIG_ASIGNATURAS!$B$7:$B$27,nASIG)&gt;0)*(nNOTA))/SUMPRODUCT((nNIA=A309)*(nCUENTA=1)*(COUNTIF(CONFIG_ASIGNATURAS!$B$7:$B$27,nASIG)&gt;0)*1),"")))</f>
        <v/>
      </c>
      <c r="H309" t="str">
        <f>IF(G309="","",IF(G309="[FÓRMULA MANUAL]","",IFERROR(AVERAGEIFS(nNOTA,nNIA,G309,nCUENTA,1,nASIG,"Lenguaje Musical"),"")))</f>
        <v/>
      </c>
      <c r="I309" t="str">
        <f>IF(G309="","",IF(G309="[FÓRMULA MANUAL]","",IFERROR(AVERAGEIFS(nNOTA,nNIA,G309,nCUENTA,1,nASIG,"Orquesta/Banda/Conjunto"),"")))</f>
        <v/>
      </c>
      <c r="J309" t="str">
        <f>IF(G309="","",IF(G309="[FÓRMULA MANUAL]","",IFERROR(AVERAGEIFS(nNOTA,nNIA,G309,nCUENTA,1,nASIG,"Conjunto"),"")))</f>
        <v/>
      </c>
      <c r="K309" t="str">
        <f>IF(G309="","",IF(G309="[FÓRMULA MANUAL]","",IFERROR(SUMPRODUCT((nNIA=G309)*(nCUENTA=1)*(COUNTIF(CONFIG_ASIGNATURAS!$B$7:$B$27,nASIG)&gt;0)*(nNOTA))/SUMPRODUCT((nNIA=G309)*(nCUENTA=1)*(COUNTIF(CONFIG_ASIGNATURAS!$B$7:$B$27,nASIG)&gt;0)*1),"")))</f>
        <v/>
      </c>
      <c r="N309" t="str">
        <f>IF(M309="","",IF(M309="[FÓRMULA MANUAL]","",IFERROR(AVERAGEIFS(nNOTA,nNIA,M309,nCUENTA,1,nASIG,"Armonía"),"")))</f>
        <v/>
      </c>
      <c r="O309" t="str">
        <f>IF(M309="","",IF(M309="[FÓRMULA MANUAL]","",IFERROR(AVERAGEIFS(nNOTA,nNIA,M309,nCUENTA,1,nASIG,"Orquesta/Banda/Conjunto"),"")))</f>
        <v/>
      </c>
      <c r="P309" t="str">
        <f>IF(M309="","",IF(M309="[FÓRMULA MANUAL]","",IFERROR(AVERAGEIFS(nNOTA,nNIA,M309,nCUENTA,1,nASIG,"Música de Cámara"),"")))</f>
        <v/>
      </c>
      <c r="Q309" t="str">
        <f>IF(M309="","",IF(M309="[FÓRMULA MANUAL]","",IFERROR(SUMPRODUCT((nNIA=M309)*(nCUENTA=1)*(COUNTIF(CONFIG_ASIGNATURAS!$B$7:$B$27,nASIG)&gt;0)*(nNOTA))/SUMPRODUCT((nNIA=M309)*(nCUENTA=1)*(COUNTIF(CONFIG_ASIGNATURAS!$B$7:$B$27,nASIG)&gt;0)*1),"")))</f>
        <v/>
      </c>
      <c r="T309" t="str">
        <f>IF(S309="","",IF(S309="[FÓRMULA MANUAL]","",IFERROR(AVERAGEIFS(nNOTA,nNIA,S309,nCUENTA,1,nASIG,"Armonía"),"")))</f>
        <v/>
      </c>
      <c r="U309" t="str">
        <f>IF(S309="","",IF(S309="[FÓRMULA MANUAL]","",IFERROR(AVERAGEIFS(nNOTA,nNIA,S309,nCUENTA,1,nASIG,"Orquesta/Banda/Conjunto"),"")))</f>
        <v/>
      </c>
      <c r="V309" t="str">
        <f>IF(S309="","",IF(S309="[FÓRMULA MANUAL]","",IFERROR(AVERAGEIFS(nNOTA,nNIA,S309,nCUENTA,1,nASIG,"Música de Cámara"),"")))</f>
        <v/>
      </c>
      <c r="W309" t="str">
        <f>IF(S309="","",IF(S309="[FÓRMULA MANUAL]","",IFERROR(SUMPRODUCT((nNIA=S309)*(nCUENTA=1)*(COUNTIF(CONFIG_ASIGNATURAS!$B$7:$B$27,nASIG)&gt;0)*(nNOTA))/SUMPRODUCT((nNIA=S309)*(nCUENTA=1)*(COUNTIF(CONFIG_ASIGNATURAS!$B$7:$B$27,nASIG)&gt;0)*1),"")))</f>
        <v/>
      </c>
      <c r="Z309" t="str">
        <f>IF(Y309="","",IF(Y309="[FÓRMULA MANUAL]","",IFERROR(AVERAGEIFS(nNOTA,nNIA,Y309,nCUENTA,1,nASIG,"Análisis"),"")))</f>
        <v/>
      </c>
      <c r="AA309" t="str">
        <f>IF(Y309="","",IF(Y309="[FÓRMULA MANUAL]","",IFERROR(AVERAGEIFS(nNOTA,nNIA,Y309,nCUENTA,1,nASIG,"Orquesta/Banda/Conjunto"),"")))</f>
        <v/>
      </c>
      <c r="AB309" t="str">
        <f>IF(Y309="","",IF(Y309="[FÓRMULA MANUAL]","",IFERROR(AVERAGEIFS(nNOTA,nNIA,Y309,nCUENTA,1,nASIG,"Música de Cámara"),"")))</f>
        <v/>
      </c>
      <c r="AC309" t="str">
        <f>IF(Y309="","",IF(Y309="[FÓRMULA MANUAL]","",IFERROR(SUMPRODUCT((nNIA=Y309)*(nCUENTA=1)*(COUNTIF(CONFIG_ASIGNATURAS!$B$7:$B$27,nASIG)&gt;0)*(nNOTA))/SUMPRODUCT((nNIA=Y309)*(nCUENTA=1)*(COUNTIF(CONFIG_ASIGNATURAS!$B$7:$B$27,nASIG)&gt;0)*1),"")))</f>
        <v/>
      </c>
      <c r="AF309" t="str">
        <f>IF(AE309="","",IF(AE309="[FÓRMULA MANUAL]","",IFERROR(AVERAGEIFS(nNOTA,nNIA,AE309,nCUENTA,1,nASIG,"Análisis"),"")))</f>
        <v/>
      </c>
      <c r="AG309" t="str">
        <f>IF(AE309="","",IF(AE309="[FÓRMULA MANUAL]","",IFERROR(AVERAGEIFS(nNOTA,nNIA,AE309,nCUENTA,1,nASIG,"Orquesta/Banda/Conjunto"),"")))</f>
        <v/>
      </c>
      <c r="AH309" t="str">
        <f>IF(AE309="","",IF(AE309="[FÓRMULA MANUAL]","",IFERROR(AVERAGEIFS(nNOTA,nNIA,AE309,nCUENTA,1,nASIG,"Música de Cámara"),"")))</f>
        <v/>
      </c>
      <c r="AI309" t="str">
        <f>IF(AE309="","",IF(AE309="[FÓRMULA MANUAL]","",IFERROR(SUMPRODUCT((nNIA=AE309)*(nCUENTA=1)*(COUNTIF(CONFIG_ASIGNATURAS!$B$7:$B$27,nASIG)&gt;0)*(nNOTA))/SUMPRODUCT((nNIA=AE309)*(nCUENTA=1)*(COUNTIF(CONFIG_ASIGNATURAS!$B$7:$B$27,nASIG)&gt;0)*1),"")))</f>
        <v/>
      </c>
    </row>
    <row r="310" spans="2:35" x14ac:dyDescent="0.2">
      <c r="B310" t="str">
        <f>IF(A310="","",IF(A310="[FÓRMULA MANUAL]","",IFERROR(AVERAGEIFS(nNOTA,nNIA,A310,nCUENTA,1,nASIG,"Lenguaje Musical"),"")))</f>
        <v/>
      </c>
      <c r="C310" t="str">
        <f>IF(A310="","",IF(A310="[FÓRMULA MANUAL]","",IFERROR(AVERAGEIFS(nNOTA,nNIA,A310,nCUENTA,1,nASIG,"Orquesta/Banda/Conjunto"),"")))</f>
        <v/>
      </c>
      <c r="D310" t="str">
        <f>IF(A310="","",IF(A310="[FÓRMULA MANUAL]","",IFERROR(AVERAGEIFS(nNOTA,nNIA,A310,nCUENTA,1,nASIG,"Conjunto"),"")))</f>
        <v/>
      </c>
      <c r="E310" t="str">
        <f>IF(A310="","",IF(A310="[FÓRMULA MANUAL]","",IFERROR(SUMPRODUCT((nNIA=A310)*(nCUENTA=1)*(COUNTIF(CONFIG_ASIGNATURAS!$B$7:$B$27,nASIG)&gt;0)*(nNOTA))/SUMPRODUCT((nNIA=A310)*(nCUENTA=1)*(COUNTIF(CONFIG_ASIGNATURAS!$B$7:$B$27,nASIG)&gt;0)*1),"")))</f>
        <v/>
      </c>
      <c r="H310" t="str">
        <f>IF(G310="","",IF(G310="[FÓRMULA MANUAL]","",IFERROR(AVERAGEIFS(nNOTA,nNIA,G310,nCUENTA,1,nASIG,"Lenguaje Musical"),"")))</f>
        <v/>
      </c>
      <c r="I310" t="str">
        <f>IF(G310="","",IF(G310="[FÓRMULA MANUAL]","",IFERROR(AVERAGEIFS(nNOTA,nNIA,G310,nCUENTA,1,nASIG,"Orquesta/Banda/Conjunto"),"")))</f>
        <v/>
      </c>
      <c r="J310" t="str">
        <f>IF(G310="","",IF(G310="[FÓRMULA MANUAL]","",IFERROR(AVERAGEIFS(nNOTA,nNIA,G310,nCUENTA,1,nASIG,"Conjunto"),"")))</f>
        <v/>
      </c>
      <c r="K310" t="str">
        <f>IF(G310="","",IF(G310="[FÓRMULA MANUAL]","",IFERROR(SUMPRODUCT((nNIA=G310)*(nCUENTA=1)*(COUNTIF(CONFIG_ASIGNATURAS!$B$7:$B$27,nASIG)&gt;0)*(nNOTA))/SUMPRODUCT((nNIA=G310)*(nCUENTA=1)*(COUNTIF(CONFIG_ASIGNATURAS!$B$7:$B$27,nASIG)&gt;0)*1),"")))</f>
        <v/>
      </c>
      <c r="N310" t="str">
        <f>IF(M310="","",IF(M310="[FÓRMULA MANUAL]","",IFERROR(AVERAGEIFS(nNOTA,nNIA,M310,nCUENTA,1,nASIG,"Armonía"),"")))</f>
        <v/>
      </c>
      <c r="O310" t="str">
        <f>IF(M310="","",IF(M310="[FÓRMULA MANUAL]","",IFERROR(AVERAGEIFS(nNOTA,nNIA,M310,nCUENTA,1,nASIG,"Orquesta/Banda/Conjunto"),"")))</f>
        <v/>
      </c>
      <c r="P310" t="str">
        <f>IF(M310="","",IF(M310="[FÓRMULA MANUAL]","",IFERROR(AVERAGEIFS(nNOTA,nNIA,M310,nCUENTA,1,nASIG,"Música de Cámara"),"")))</f>
        <v/>
      </c>
      <c r="Q310" t="str">
        <f>IF(M310="","",IF(M310="[FÓRMULA MANUAL]","",IFERROR(SUMPRODUCT((nNIA=M310)*(nCUENTA=1)*(COUNTIF(CONFIG_ASIGNATURAS!$B$7:$B$27,nASIG)&gt;0)*(nNOTA))/SUMPRODUCT((nNIA=M310)*(nCUENTA=1)*(COUNTIF(CONFIG_ASIGNATURAS!$B$7:$B$27,nASIG)&gt;0)*1),"")))</f>
        <v/>
      </c>
      <c r="T310" t="str">
        <f>IF(S310="","",IF(S310="[FÓRMULA MANUAL]","",IFERROR(AVERAGEIFS(nNOTA,nNIA,S310,nCUENTA,1,nASIG,"Armonía"),"")))</f>
        <v/>
      </c>
      <c r="U310" t="str">
        <f>IF(S310="","",IF(S310="[FÓRMULA MANUAL]","",IFERROR(AVERAGEIFS(nNOTA,nNIA,S310,nCUENTA,1,nASIG,"Orquesta/Banda/Conjunto"),"")))</f>
        <v/>
      </c>
      <c r="V310" t="str">
        <f>IF(S310="","",IF(S310="[FÓRMULA MANUAL]","",IFERROR(AVERAGEIFS(nNOTA,nNIA,S310,nCUENTA,1,nASIG,"Música de Cámara"),"")))</f>
        <v/>
      </c>
      <c r="W310" t="str">
        <f>IF(S310="","",IF(S310="[FÓRMULA MANUAL]","",IFERROR(SUMPRODUCT((nNIA=S310)*(nCUENTA=1)*(COUNTIF(CONFIG_ASIGNATURAS!$B$7:$B$27,nASIG)&gt;0)*(nNOTA))/SUMPRODUCT((nNIA=S310)*(nCUENTA=1)*(COUNTIF(CONFIG_ASIGNATURAS!$B$7:$B$27,nASIG)&gt;0)*1),"")))</f>
        <v/>
      </c>
      <c r="Z310" t="str">
        <f>IF(Y310="","",IF(Y310="[FÓRMULA MANUAL]","",IFERROR(AVERAGEIFS(nNOTA,nNIA,Y310,nCUENTA,1,nASIG,"Análisis"),"")))</f>
        <v/>
      </c>
      <c r="AA310" t="str">
        <f>IF(Y310="","",IF(Y310="[FÓRMULA MANUAL]","",IFERROR(AVERAGEIFS(nNOTA,nNIA,Y310,nCUENTA,1,nASIG,"Orquesta/Banda/Conjunto"),"")))</f>
        <v/>
      </c>
      <c r="AB310" t="str">
        <f>IF(Y310="","",IF(Y310="[FÓRMULA MANUAL]","",IFERROR(AVERAGEIFS(nNOTA,nNIA,Y310,nCUENTA,1,nASIG,"Música de Cámara"),"")))</f>
        <v/>
      </c>
      <c r="AC310" t="str">
        <f>IF(Y310="","",IF(Y310="[FÓRMULA MANUAL]","",IFERROR(SUMPRODUCT((nNIA=Y310)*(nCUENTA=1)*(COUNTIF(CONFIG_ASIGNATURAS!$B$7:$B$27,nASIG)&gt;0)*(nNOTA))/SUMPRODUCT((nNIA=Y310)*(nCUENTA=1)*(COUNTIF(CONFIG_ASIGNATURAS!$B$7:$B$27,nASIG)&gt;0)*1),"")))</f>
        <v/>
      </c>
      <c r="AF310" t="str">
        <f>IF(AE310="","",IF(AE310="[FÓRMULA MANUAL]","",IFERROR(AVERAGEIFS(nNOTA,nNIA,AE310,nCUENTA,1,nASIG,"Análisis"),"")))</f>
        <v/>
      </c>
      <c r="AG310" t="str">
        <f>IF(AE310="","",IF(AE310="[FÓRMULA MANUAL]","",IFERROR(AVERAGEIFS(nNOTA,nNIA,AE310,nCUENTA,1,nASIG,"Orquesta/Banda/Conjunto"),"")))</f>
        <v/>
      </c>
      <c r="AH310" t="str">
        <f>IF(AE310="","",IF(AE310="[FÓRMULA MANUAL]","",IFERROR(AVERAGEIFS(nNOTA,nNIA,AE310,nCUENTA,1,nASIG,"Música de Cámara"),"")))</f>
        <v/>
      </c>
      <c r="AI310" t="str">
        <f>IF(AE310="","",IF(AE310="[FÓRMULA MANUAL]","",IFERROR(SUMPRODUCT((nNIA=AE310)*(nCUENTA=1)*(COUNTIF(CONFIG_ASIGNATURAS!$B$7:$B$27,nASIG)&gt;0)*(nNOTA))/SUMPRODUCT((nNIA=AE310)*(nCUENTA=1)*(COUNTIF(CONFIG_ASIGNATURAS!$B$7:$B$27,nASIG)&gt;0)*1),"")))</f>
        <v/>
      </c>
    </row>
    <row r="311" spans="2:35" x14ac:dyDescent="0.2">
      <c r="B311" t="str">
        <f>IF(A311="","",IF(A311="[FÓRMULA MANUAL]","",IFERROR(AVERAGEIFS(nNOTA,nNIA,A311,nCUENTA,1,nASIG,"Lenguaje Musical"),"")))</f>
        <v/>
      </c>
      <c r="C311" t="str">
        <f>IF(A311="","",IF(A311="[FÓRMULA MANUAL]","",IFERROR(AVERAGEIFS(nNOTA,nNIA,A311,nCUENTA,1,nASIG,"Orquesta/Banda/Conjunto"),"")))</f>
        <v/>
      </c>
      <c r="D311" t="str">
        <f>IF(A311="","",IF(A311="[FÓRMULA MANUAL]","",IFERROR(AVERAGEIFS(nNOTA,nNIA,A311,nCUENTA,1,nASIG,"Conjunto"),"")))</f>
        <v/>
      </c>
      <c r="E311" t="str">
        <f>IF(A311="","",IF(A311="[FÓRMULA MANUAL]","",IFERROR(SUMPRODUCT((nNIA=A311)*(nCUENTA=1)*(COUNTIF(CONFIG_ASIGNATURAS!$B$7:$B$27,nASIG)&gt;0)*(nNOTA))/SUMPRODUCT((nNIA=A311)*(nCUENTA=1)*(COUNTIF(CONFIG_ASIGNATURAS!$B$7:$B$27,nASIG)&gt;0)*1),"")))</f>
        <v/>
      </c>
      <c r="H311" t="str">
        <f>IF(G311="","",IF(G311="[FÓRMULA MANUAL]","",IFERROR(AVERAGEIFS(nNOTA,nNIA,G311,nCUENTA,1,nASIG,"Lenguaje Musical"),"")))</f>
        <v/>
      </c>
      <c r="I311" t="str">
        <f>IF(G311="","",IF(G311="[FÓRMULA MANUAL]","",IFERROR(AVERAGEIFS(nNOTA,nNIA,G311,nCUENTA,1,nASIG,"Orquesta/Banda/Conjunto"),"")))</f>
        <v/>
      </c>
      <c r="J311" t="str">
        <f>IF(G311="","",IF(G311="[FÓRMULA MANUAL]","",IFERROR(AVERAGEIFS(nNOTA,nNIA,G311,nCUENTA,1,nASIG,"Conjunto"),"")))</f>
        <v/>
      </c>
      <c r="K311" t="str">
        <f>IF(G311="","",IF(G311="[FÓRMULA MANUAL]","",IFERROR(SUMPRODUCT((nNIA=G311)*(nCUENTA=1)*(COUNTIF(CONFIG_ASIGNATURAS!$B$7:$B$27,nASIG)&gt;0)*(nNOTA))/SUMPRODUCT((nNIA=G311)*(nCUENTA=1)*(COUNTIF(CONFIG_ASIGNATURAS!$B$7:$B$27,nASIG)&gt;0)*1),"")))</f>
        <v/>
      </c>
      <c r="N311" t="str">
        <f>IF(M311="","",IF(M311="[FÓRMULA MANUAL]","",IFERROR(AVERAGEIFS(nNOTA,nNIA,M311,nCUENTA,1,nASIG,"Armonía"),"")))</f>
        <v/>
      </c>
      <c r="O311" t="str">
        <f>IF(M311="","",IF(M311="[FÓRMULA MANUAL]","",IFERROR(AVERAGEIFS(nNOTA,nNIA,M311,nCUENTA,1,nASIG,"Orquesta/Banda/Conjunto"),"")))</f>
        <v/>
      </c>
      <c r="P311" t="str">
        <f>IF(M311="","",IF(M311="[FÓRMULA MANUAL]","",IFERROR(AVERAGEIFS(nNOTA,nNIA,M311,nCUENTA,1,nASIG,"Música de Cámara"),"")))</f>
        <v/>
      </c>
      <c r="Q311" t="str">
        <f>IF(M311="","",IF(M311="[FÓRMULA MANUAL]","",IFERROR(SUMPRODUCT((nNIA=M311)*(nCUENTA=1)*(COUNTIF(CONFIG_ASIGNATURAS!$B$7:$B$27,nASIG)&gt;0)*(nNOTA))/SUMPRODUCT((nNIA=M311)*(nCUENTA=1)*(COUNTIF(CONFIG_ASIGNATURAS!$B$7:$B$27,nASIG)&gt;0)*1),"")))</f>
        <v/>
      </c>
      <c r="T311" t="str">
        <f>IF(S311="","",IF(S311="[FÓRMULA MANUAL]","",IFERROR(AVERAGEIFS(nNOTA,nNIA,S311,nCUENTA,1,nASIG,"Armonía"),"")))</f>
        <v/>
      </c>
      <c r="U311" t="str">
        <f>IF(S311="","",IF(S311="[FÓRMULA MANUAL]","",IFERROR(AVERAGEIFS(nNOTA,nNIA,S311,nCUENTA,1,nASIG,"Orquesta/Banda/Conjunto"),"")))</f>
        <v/>
      </c>
      <c r="V311" t="str">
        <f>IF(S311="","",IF(S311="[FÓRMULA MANUAL]","",IFERROR(AVERAGEIFS(nNOTA,nNIA,S311,nCUENTA,1,nASIG,"Música de Cámara"),"")))</f>
        <v/>
      </c>
      <c r="W311" t="str">
        <f>IF(S311="","",IF(S311="[FÓRMULA MANUAL]","",IFERROR(SUMPRODUCT((nNIA=S311)*(nCUENTA=1)*(COUNTIF(CONFIG_ASIGNATURAS!$B$7:$B$27,nASIG)&gt;0)*(nNOTA))/SUMPRODUCT((nNIA=S311)*(nCUENTA=1)*(COUNTIF(CONFIG_ASIGNATURAS!$B$7:$B$27,nASIG)&gt;0)*1),"")))</f>
        <v/>
      </c>
      <c r="Z311" t="str">
        <f>IF(Y311="","",IF(Y311="[FÓRMULA MANUAL]","",IFERROR(AVERAGEIFS(nNOTA,nNIA,Y311,nCUENTA,1,nASIG,"Análisis"),"")))</f>
        <v/>
      </c>
      <c r="AA311" t="str">
        <f>IF(Y311="","",IF(Y311="[FÓRMULA MANUAL]","",IFERROR(AVERAGEIFS(nNOTA,nNIA,Y311,nCUENTA,1,nASIG,"Orquesta/Banda/Conjunto"),"")))</f>
        <v/>
      </c>
      <c r="AB311" t="str">
        <f>IF(Y311="","",IF(Y311="[FÓRMULA MANUAL]","",IFERROR(AVERAGEIFS(nNOTA,nNIA,Y311,nCUENTA,1,nASIG,"Música de Cámara"),"")))</f>
        <v/>
      </c>
      <c r="AC311" t="str">
        <f>IF(Y311="","",IF(Y311="[FÓRMULA MANUAL]","",IFERROR(SUMPRODUCT((nNIA=Y311)*(nCUENTA=1)*(COUNTIF(CONFIG_ASIGNATURAS!$B$7:$B$27,nASIG)&gt;0)*(nNOTA))/SUMPRODUCT((nNIA=Y311)*(nCUENTA=1)*(COUNTIF(CONFIG_ASIGNATURAS!$B$7:$B$27,nASIG)&gt;0)*1),"")))</f>
        <v/>
      </c>
      <c r="AF311" t="str">
        <f>IF(AE311="","",IF(AE311="[FÓRMULA MANUAL]","",IFERROR(AVERAGEIFS(nNOTA,nNIA,AE311,nCUENTA,1,nASIG,"Análisis"),"")))</f>
        <v/>
      </c>
      <c r="AG311" t="str">
        <f>IF(AE311="","",IF(AE311="[FÓRMULA MANUAL]","",IFERROR(AVERAGEIFS(nNOTA,nNIA,AE311,nCUENTA,1,nASIG,"Orquesta/Banda/Conjunto"),"")))</f>
        <v/>
      </c>
      <c r="AH311" t="str">
        <f>IF(AE311="","",IF(AE311="[FÓRMULA MANUAL]","",IFERROR(AVERAGEIFS(nNOTA,nNIA,AE311,nCUENTA,1,nASIG,"Música de Cámara"),"")))</f>
        <v/>
      </c>
      <c r="AI311" t="str">
        <f>IF(AE311="","",IF(AE311="[FÓRMULA MANUAL]","",IFERROR(SUMPRODUCT((nNIA=AE311)*(nCUENTA=1)*(COUNTIF(CONFIG_ASIGNATURAS!$B$7:$B$27,nASIG)&gt;0)*(nNOTA))/SUMPRODUCT((nNIA=AE311)*(nCUENTA=1)*(COUNTIF(CONFIG_ASIGNATURAS!$B$7:$B$27,nASIG)&gt;0)*1),"")))</f>
        <v/>
      </c>
    </row>
    <row r="312" spans="2:35" x14ac:dyDescent="0.2">
      <c r="B312" t="str">
        <f>IF(A312="","",IF(A312="[FÓRMULA MANUAL]","",IFERROR(AVERAGEIFS(nNOTA,nNIA,A312,nCUENTA,1,nASIG,"Lenguaje Musical"),"")))</f>
        <v/>
      </c>
      <c r="C312" t="str">
        <f>IF(A312="","",IF(A312="[FÓRMULA MANUAL]","",IFERROR(AVERAGEIFS(nNOTA,nNIA,A312,nCUENTA,1,nASIG,"Orquesta/Banda/Conjunto"),"")))</f>
        <v/>
      </c>
      <c r="D312" t="str">
        <f>IF(A312="","",IF(A312="[FÓRMULA MANUAL]","",IFERROR(AVERAGEIFS(nNOTA,nNIA,A312,nCUENTA,1,nASIG,"Conjunto"),"")))</f>
        <v/>
      </c>
      <c r="E312" t="str">
        <f>IF(A312="","",IF(A312="[FÓRMULA MANUAL]","",IFERROR(SUMPRODUCT((nNIA=A312)*(nCUENTA=1)*(COUNTIF(CONFIG_ASIGNATURAS!$B$7:$B$27,nASIG)&gt;0)*(nNOTA))/SUMPRODUCT((nNIA=A312)*(nCUENTA=1)*(COUNTIF(CONFIG_ASIGNATURAS!$B$7:$B$27,nASIG)&gt;0)*1),"")))</f>
        <v/>
      </c>
      <c r="H312" t="str">
        <f>IF(G312="","",IF(G312="[FÓRMULA MANUAL]","",IFERROR(AVERAGEIFS(nNOTA,nNIA,G312,nCUENTA,1,nASIG,"Lenguaje Musical"),"")))</f>
        <v/>
      </c>
      <c r="I312" t="str">
        <f>IF(G312="","",IF(G312="[FÓRMULA MANUAL]","",IFERROR(AVERAGEIFS(nNOTA,nNIA,G312,nCUENTA,1,nASIG,"Orquesta/Banda/Conjunto"),"")))</f>
        <v/>
      </c>
      <c r="J312" t="str">
        <f>IF(G312="","",IF(G312="[FÓRMULA MANUAL]","",IFERROR(AVERAGEIFS(nNOTA,nNIA,G312,nCUENTA,1,nASIG,"Conjunto"),"")))</f>
        <v/>
      </c>
      <c r="K312" t="str">
        <f>IF(G312="","",IF(G312="[FÓRMULA MANUAL]","",IFERROR(SUMPRODUCT((nNIA=G312)*(nCUENTA=1)*(COUNTIF(CONFIG_ASIGNATURAS!$B$7:$B$27,nASIG)&gt;0)*(nNOTA))/SUMPRODUCT((nNIA=G312)*(nCUENTA=1)*(COUNTIF(CONFIG_ASIGNATURAS!$B$7:$B$27,nASIG)&gt;0)*1),"")))</f>
        <v/>
      </c>
      <c r="N312" t="str">
        <f>IF(M312="","",IF(M312="[FÓRMULA MANUAL]","",IFERROR(AVERAGEIFS(nNOTA,nNIA,M312,nCUENTA,1,nASIG,"Armonía"),"")))</f>
        <v/>
      </c>
      <c r="O312" t="str">
        <f>IF(M312="","",IF(M312="[FÓRMULA MANUAL]","",IFERROR(AVERAGEIFS(nNOTA,nNIA,M312,nCUENTA,1,nASIG,"Orquesta/Banda/Conjunto"),"")))</f>
        <v/>
      </c>
      <c r="P312" t="str">
        <f>IF(M312="","",IF(M312="[FÓRMULA MANUAL]","",IFERROR(AVERAGEIFS(nNOTA,nNIA,M312,nCUENTA,1,nASIG,"Música de Cámara"),"")))</f>
        <v/>
      </c>
      <c r="Q312" t="str">
        <f>IF(M312="","",IF(M312="[FÓRMULA MANUAL]","",IFERROR(SUMPRODUCT((nNIA=M312)*(nCUENTA=1)*(COUNTIF(CONFIG_ASIGNATURAS!$B$7:$B$27,nASIG)&gt;0)*(nNOTA))/SUMPRODUCT((nNIA=M312)*(nCUENTA=1)*(COUNTIF(CONFIG_ASIGNATURAS!$B$7:$B$27,nASIG)&gt;0)*1),"")))</f>
        <v/>
      </c>
      <c r="T312" t="str">
        <f>IF(S312="","",IF(S312="[FÓRMULA MANUAL]","",IFERROR(AVERAGEIFS(nNOTA,nNIA,S312,nCUENTA,1,nASIG,"Armonía"),"")))</f>
        <v/>
      </c>
      <c r="U312" t="str">
        <f>IF(S312="","",IF(S312="[FÓRMULA MANUAL]","",IFERROR(AVERAGEIFS(nNOTA,nNIA,S312,nCUENTA,1,nASIG,"Orquesta/Banda/Conjunto"),"")))</f>
        <v/>
      </c>
      <c r="V312" t="str">
        <f>IF(S312="","",IF(S312="[FÓRMULA MANUAL]","",IFERROR(AVERAGEIFS(nNOTA,nNIA,S312,nCUENTA,1,nASIG,"Música de Cámara"),"")))</f>
        <v/>
      </c>
      <c r="W312" t="str">
        <f>IF(S312="","",IF(S312="[FÓRMULA MANUAL]","",IFERROR(SUMPRODUCT((nNIA=S312)*(nCUENTA=1)*(COUNTIF(CONFIG_ASIGNATURAS!$B$7:$B$27,nASIG)&gt;0)*(nNOTA))/SUMPRODUCT((nNIA=S312)*(nCUENTA=1)*(COUNTIF(CONFIG_ASIGNATURAS!$B$7:$B$27,nASIG)&gt;0)*1),"")))</f>
        <v/>
      </c>
      <c r="Z312" t="str">
        <f>IF(Y312="","",IF(Y312="[FÓRMULA MANUAL]","",IFERROR(AVERAGEIFS(nNOTA,nNIA,Y312,nCUENTA,1,nASIG,"Análisis"),"")))</f>
        <v/>
      </c>
      <c r="AA312" t="str">
        <f>IF(Y312="","",IF(Y312="[FÓRMULA MANUAL]","",IFERROR(AVERAGEIFS(nNOTA,nNIA,Y312,nCUENTA,1,nASIG,"Orquesta/Banda/Conjunto"),"")))</f>
        <v/>
      </c>
      <c r="AB312" t="str">
        <f>IF(Y312="","",IF(Y312="[FÓRMULA MANUAL]","",IFERROR(AVERAGEIFS(nNOTA,nNIA,Y312,nCUENTA,1,nASIG,"Música de Cámara"),"")))</f>
        <v/>
      </c>
      <c r="AC312" t="str">
        <f>IF(Y312="","",IF(Y312="[FÓRMULA MANUAL]","",IFERROR(SUMPRODUCT((nNIA=Y312)*(nCUENTA=1)*(COUNTIF(CONFIG_ASIGNATURAS!$B$7:$B$27,nASIG)&gt;0)*(nNOTA))/SUMPRODUCT((nNIA=Y312)*(nCUENTA=1)*(COUNTIF(CONFIG_ASIGNATURAS!$B$7:$B$27,nASIG)&gt;0)*1),"")))</f>
        <v/>
      </c>
      <c r="AF312" t="str">
        <f>IF(AE312="","",IF(AE312="[FÓRMULA MANUAL]","",IFERROR(AVERAGEIFS(nNOTA,nNIA,AE312,nCUENTA,1,nASIG,"Análisis"),"")))</f>
        <v/>
      </c>
      <c r="AG312" t="str">
        <f>IF(AE312="","",IF(AE312="[FÓRMULA MANUAL]","",IFERROR(AVERAGEIFS(nNOTA,nNIA,AE312,nCUENTA,1,nASIG,"Orquesta/Banda/Conjunto"),"")))</f>
        <v/>
      </c>
      <c r="AH312" t="str">
        <f>IF(AE312="","",IF(AE312="[FÓRMULA MANUAL]","",IFERROR(AVERAGEIFS(nNOTA,nNIA,AE312,nCUENTA,1,nASIG,"Música de Cámara"),"")))</f>
        <v/>
      </c>
      <c r="AI312" t="str">
        <f>IF(AE312="","",IF(AE312="[FÓRMULA MANUAL]","",IFERROR(SUMPRODUCT((nNIA=AE312)*(nCUENTA=1)*(COUNTIF(CONFIG_ASIGNATURAS!$B$7:$B$27,nASIG)&gt;0)*(nNOTA))/SUMPRODUCT((nNIA=AE312)*(nCUENTA=1)*(COUNTIF(CONFIG_ASIGNATURAS!$B$7:$B$27,nASIG)&gt;0)*1),"")))</f>
        <v/>
      </c>
    </row>
    <row r="313" spans="2:35" x14ac:dyDescent="0.2">
      <c r="B313" t="str">
        <f>IF(A313="","",IF(A313="[FÓRMULA MANUAL]","",IFERROR(AVERAGEIFS(nNOTA,nNIA,A313,nCUENTA,1,nASIG,"Lenguaje Musical"),"")))</f>
        <v/>
      </c>
      <c r="C313" t="str">
        <f>IF(A313="","",IF(A313="[FÓRMULA MANUAL]","",IFERROR(AVERAGEIFS(nNOTA,nNIA,A313,nCUENTA,1,nASIG,"Orquesta/Banda/Conjunto"),"")))</f>
        <v/>
      </c>
      <c r="D313" t="str">
        <f>IF(A313="","",IF(A313="[FÓRMULA MANUAL]","",IFERROR(AVERAGEIFS(nNOTA,nNIA,A313,nCUENTA,1,nASIG,"Conjunto"),"")))</f>
        <v/>
      </c>
      <c r="E313" t="str">
        <f>IF(A313="","",IF(A313="[FÓRMULA MANUAL]","",IFERROR(SUMPRODUCT((nNIA=A313)*(nCUENTA=1)*(COUNTIF(CONFIG_ASIGNATURAS!$B$7:$B$27,nASIG)&gt;0)*(nNOTA))/SUMPRODUCT((nNIA=A313)*(nCUENTA=1)*(COUNTIF(CONFIG_ASIGNATURAS!$B$7:$B$27,nASIG)&gt;0)*1),"")))</f>
        <v/>
      </c>
      <c r="H313" t="str">
        <f>IF(G313="","",IF(G313="[FÓRMULA MANUAL]","",IFERROR(AVERAGEIFS(nNOTA,nNIA,G313,nCUENTA,1,nASIG,"Lenguaje Musical"),"")))</f>
        <v/>
      </c>
      <c r="I313" t="str">
        <f>IF(G313="","",IF(G313="[FÓRMULA MANUAL]","",IFERROR(AVERAGEIFS(nNOTA,nNIA,G313,nCUENTA,1,nASIG,"Orquesta/Banda/Conjunto"),"")))</f>
        <v/>
      </c>
      <c r="J313" t="str">
        <f>IF(G313="","",IF(G313="[FÓRMULA MANUAL]","",IFERROR(AVERAGEIFS(nNOTA,nNIA,G313,nCUENTA,1,nASIG,"Conjunto"),"")))</f>
        <v/>
      </c>
      <c r="K313" t="str">
        <f>IF(G313="","",IF(G313="[FÓRMULA MANUAL]","",IFERROR(SUMPRODUCT((nNIA=G313)*(nCUENTA=1)*(COUNTIF(CONFIG_ASIGNATURAS!$B$7:$B$27,nASIG)&gt;0)*(nNOTA))/SUMPRODUCT((nNIA=G313)*(nCUENTA=1)*(COUNTIF(CONFIG_ASIGNATURAS!$B$7:$B$27,nASIG)&gt;0)*1),"")))</f>
        <v/>
      </c>
      <c r="N313" t="str">
        <f>IF(M313="","",IF(M313="[FÓRMULA MANUAL]","",IFERROR(AVERAGEIFS(nNOTA,nNIA,M313,nCUENTA,1,nASIG,"Armonía"),"")))</f>
        <v/>
      </c>
      <c r="O313" t="str">
        <f>IF(M313="","",IF(M313="[FÓRMULA MANUAL]","",IFERROR(AVERAGEIFS(nNOTA,nNIA,M313,nCUENTA,1,nASIG,"Orquesta/Banda/Conjunto"),"")))</f>
        <v/>
      </c>
      <c r="P313" t="str">
        <f>IF(M313="","",IF(M313="[FÓRMULA MANUAL]","",IFERROR(AVERAGEIFS(nNOTA,nNIA,M313,nCUENTA,1,nASIG,"Música de Cámara"),"")))</f>
        <v/>
      </c>
      <c r="Q313" t="str">
        <f>IF(M313="","",IF(M313="[FÓRMULA MANUAL]","",IFERROR(SUMPRODUCT((nNIA=M313)*(nCUENTA=1)*(COUNTIF(CONFIG_ASIGNATURAS!$B$7:$B$27,nASIG)&gt;0)*(nNOTA))/SUMPRODUCT((nNIA=M313)*(nCUENTA=1)*(COUNTIF(CONFIG_ASIGNATURAS!$B$7:$B$27,nASIG)&gt;0)*1),"")))</f>
        <v/>
      </c>
      <c r="T313" t="str">
        <f>IF(S313="","",IF(S313="[FÓRMULA MANUAL]","",IFERROR(AVERAGEIFS(nNOTA,nNIA,S313,nCUENTA,1,nASIG,"Armonía"),"")))</f>
        <v/>
      </c>
      <c r="U313" t="str">
        <f>IF(S313="","",IF(S313="[FÓRMULA MANUAL]","",IFERROR(AVERAGEIFS(nNOTA,nNIA,S313,nCUENTA,1,nASIG,"Orquesta/Banda/Conjunto"),"")))</f>
        <v/>
      </c>
      <c r="V313" t="str">
        <f>IF(S313="","",IF(S313="[FÓRMULA MANUAL]","",IFERROR(AVERAGEIFS(nNOTA,nNIA,S313,nCUENTA,1,nASIG,"Música de Cámara"),"")))</f>
        <v/>
      </c>
      <c r="W313" t="str">
        <f>IF(S313="","",IF(S313="[FÓRMULA MANUAL]","",IFERROR(SUMPRODUCT((nNIA=S313)*(nCUENTA=1)*(COUNTIF(CONFIG_ASIGNATURAS!$B$7:$B$27,nASIG)&gt;0)*(nNOTA))/SUMPRODUCT((nNIA=S313)*(nCUENTA=1)*(COUNTIF(CONFIG_ASIGNATURAS!$B$7:$B$27,nASIG)&gt;0)*1),"")))</f>
        <v/>
      </c>
      <c r="Z313" t="str">
        <f>IF(Y313="","",IF(Y313="[FÓRMULA MANUAL]","",IFERROR(AVERAGEIFS(nNOTA,nNIA,Y313,nCUENTA,1,nASIG,"Análisis"),"")))</f>
        <v/>
      </c>
      <c r="AA313" t="str">
        <f>IF(Y313="","",IF(Y313="[FÓRMULA MANUAL]","",IFERROR(AVERAGEIFS(nNOTA,nNIA,Y313,nCUENTA,1,nASIG,"Orquesta/Banda/Conjunto"),"")))</f>
        <v/>
      </c>
      <c r="AB313" t="str">
        <f>IF(Y313="","",IF(Y313="[FÓRMULA MANUAL]","",IFERROR(AVERAGEIFS(nNOTA,nNIA,Y313,nCUENTA,1,nASIG,"Música de Cámara"),"")))</f>
        <v/>
      </c>
      <c r="AC313" t="str">
        <f>IF(Y313="","",IF(Y313="[FÓRMULA MANUAL]","",IFERROR(SUMPRODUCT((nNIA=Y313)*(nCUENTA=1)*(COUNTIF(CONFIG_ASIGNATURAS!$B$7:$B$27,nASIG)&gt;0)*(nNOTA))/SUMPRODUCT((nNIA=Y313)*(nCUENTA=1)*(COUNTIF(CONFIG_ASIGNATURAS!$B$7:$B$27,nASIG)&gt;0)*1),"")))</f>
        <v/>
      </c>
      <c r="AF313" t="str">
        <f>IF(AE313="","",IF(AE313="[FÓRMULA MANUAL]","",IFERROR(AVERAGEIFS(nNOTA,nNIA,AE313,nCUENTA,1,nASIG,"Análisis"),"")))</f>
        <v/>
      </c>
      <c r="AG313" t="str">
        <f>IF(AE313="","",IF(AE313="[FÓRMULA MANUAL]","",IFERROR(AVERAGEIFS(nNOTA,nNIA,AE313,nCUENTA,1,nASIG,"Orquesta/Banda/Conjunto"),"")))</f>
        <v/>
      </c>
      <c r="AH313" t="str">
        <f>IF(AE313="","",IF(AE313="[FÓRMULA MANUAL]","",IFERROR(AVERAGEIFS(nNOTA,nNIA,AE313,nCUENTA,1,nASIG,"Música de Cámara"),"")))</f>
        <v/>
      </c>
      <c r="AI313" t="str">
        <f>IF(AE313="","",IF(AE313="[FÓRMULA MANUAL]","",IFERROR(SUMPRODUCT((nNIA=AE313)*(nCUENTA=1)*(COUNTIF(CONFIG_ASIGNATURAS!$B$7:$B$27,nASIG)&gt;0)*(nNOTA))/SUMPRODUCT((nNIA=AE313)*(nCUENTA=1)*(COUNTIF(CONFIG_ASIGNATURAS!$B$7:$B$27,nASIG)&gt;0)*1),"")))</f>
        <v/>
      </c>
    </row>
    <row r="314" spans="2:35" x14ac:dyDescent="0.2">
      <c r="B314" t="str">
        <f>IF(A314="","",IF(A314="[FÓRMULA MANUAL]","",IFERROR(AVERAGEIFS(nNOTA,nNIA,A314,nCUENTA,1,nASIG,"Lenguaje Musical"),"")))</f>
        <v/>
      </c>
      <c r="C314" t="str">
        <f>IF(A314="","",IF(A314="[FÓRMULA MANUAL]","",IFERROR(AVERAGEIFS(nNOTA,nNIA,A314,nCUENTA,1,nASIG,"Orquesta/Banda/Conjunto"),"")))</f>
        <v/>
      </c>
      <c r="D314" t="str">
        <f>IF(A314="","",IF(A314="[FÓRMULA MANUAL]","",IFERROR(AVERAGEIFS(nNOTA,nNIA,A314,nCUENTA,1,nASIG,"Conjunto"),"")))</f>
        <v/>
      </c>
      <c r="E314" t="str">
        <f>IF(A314="","",IF(A314="[FÓRMULA MANUAL]","",IFERROR(SUMPRODUCT((nNIA=A314)*(nCUENTA=1)*(COUNTIF(CONFIG_ASIGNATURAS!$B$7:$B$27,nASIG)&gt;0)*(nNOTA))/SUMPRODUCT((nNIA=A314)*(nCUENTA=1)*(COUNTIF(CONFIG_ASIGNATURAS!$B$7:$B$27,nASIG)&gt;0)*1),"")))</f>
        <v/>
      </c>
      <c r="H314" t="str">
        <f>IF(G314="","",IF(G314="[FÓRMULA MANUAL]","",IFERROR(AVERAGEIFS(nNOTA,nNIA,G314,nCUENTA,1,nASIG,"Lenguaje Musical"),"")))</f>
        <v/>
      </c>
      <c r="I314" t="str">
        <f>IF(G314="","",IF(G314="[FÓRMULA MANUAL]","",IFERROR(AVERAGEIFS(nNOTA,nNIA,G314,nCUENTA,1,nASIG,"Orquesta/Banda/Conjunto"),"")))</f>
        <v/>
      </c>
      <c r="J314" t="str">
        <f>IF(G314="","",IF(G314="[FÓRMULA MANUAL]","",IFERROR(AVERAGEIFS(nNOTA,nNIA,G314,nCUENTA,1,nASIG,"Conjunto"),"")))</f>
        <v/>
      </c>
      <c r="K314" t="str">
        <f>IF(G314="","",IF(G314="[FÓRMULA MANUAL]","",IFERROR(SUMPRODUCT((nNIA=G314)*(nCUENTA=1)*(COUNTIF(CONFIG_ASIGNATURAS!$B$7:$B$27,nASIG)&gt;0)*(nNOTA))/SUMPRODUCT((nNIA=G314)*(nCUENTA=1)*(COUNTIF(CONFIG_ASIGNATURAS!$B$7:$B$27,nASIG)&gt;0)*1),"")))</f>
        <v/>
      </c>
      <c r="N314" t="str">
        <f>IF(M314="","",IF(M314="[FÓRMULA MANUAL]","",IFERROR(AVERAGEIFS(nNOTA,nNIA,M314,nCUENTA,1,nASIG,"Armonía"),"")))</f>
        <v/>
      </c>
      <c r="O314" t="str">
        <f>IF(M314="","",IF(M314="[FÓRMULA MANUAL]","",IFERROR(AVERAGEIFS(nNOTA,nNIA,M314,nCUENTA,1,nASIG,"Orquesta/Banda/Conjunto"),"")))</f>
        <v/>
      </c>
      <c r="P314" t="str">
        <f>IF(M314="","",IF(M314="[FÓRMULA MANUAL]","",IFERROR(AVERAGEIFS(nNOTA,nNIA,M314,nCUENTA,1,nASIG,"Música de Cámara"),"")))</f>
        <v/>
      </c>
      <c r="Q314" t="str">
        <f>IF(M314="","",IF(M314="[FÓRMULA MANUAL]","",IFERROR(SUMPRODUCT((nNIA=M314)*(nCUENTA=1)*(COUNTIF(CONFIG_ASIGNATURAS!$B$7:$B$27,nASIG)&gt;0)*(nNOTA))/SUMPRODUCT((nNIA=M314)*(nCUENTA=1)*(COUNTIF(CONFIG_ASIGNATURAS!$B$7:$B$27,nASIG)&gt;0)*1),"")))</f>
        <v/>
      </c>
      <c r="T314" t="str">
        <f>IF(S314="","",IF(S314="[FÓRMULA MANUAL]","",IFERROR(AVERAGEIFS(nNOTA,nNIA,S314,nCUENTA,1,nASIG,"Armonía"),"")))</f>
        <v/>
      </c>
      <c r="U314" t="str">
        <f>IF(S314="","",IF(S314="[FÓRMULA MANUAL]","",IFERROR(AVERAGEIFS(nNOTA,nNIA,S314,nCUENTA,1,nASIG,"Orquesta/Banda/Conjunto"),"")))</f>
        <v/>
      </c>
      <c r="V314" t="str">
        <f>IF(S314="","",IF(S314="[FÓRMULA MANUAL]","",IFERROR(AVERAGEIFS(nNOTA,nNIA,S314,nCUENTA,1,nASIG,"Música de Cámara"),"")))</f>
        <v/>
      </c>
      <c r="W314" t="str">
        <f>IF(S314="","",IF(S314="[FÓRMULA MANUAL]","",IFERROR(SUMPRODUCT((nNIA=S314)*(nCUENTA=1)*(COUNTIF(CONFIG_ASIGNATURAS!$B$7:$B$27,nASIG)&gt;0)*(nNOTA))/SUMPRODUCT((nNIA=S314)*(nCUENTA=1)*(COUNTIF(CONFIG_ASIGNATURAS!$B$7:$B$27,nASIG)&gt;0)*1),"")))</f>
        <v/>
      </c>
      <c r="Z314" t="str">
        <f>IF(Y314="","",IF(Y314="[FÓRMULA MANUAL]","",IFERROR(AVERAGEIFS(nNOTA,nNIA,Y314,nCUENTA,1,nASIG,"Análisis"),"")))</f>
        <v/>
      </c>
      <c r="AA314" t="str">
        <f>IF(Y314="","",IF(Y314="[FÓRMULA MANUAL]","",IFERROR(AVERAGEIFS(nNOTA,nNIA,Y314,nCUENTA,1,nASIG,"Orquesta/Banda/Conjunto"),"")))</f>
        <v/>
      </c>
      <c r="AB314" t="str">
        <f>IF(Y314="","",IF(Y314="[FÓRMULA MANUAL]","",IFERROR(AVERAGEIFS(nNOTA,nNIA,Y314,nCUENTA,1,nASIG,"Música de Cámara"),"")))</f>
        <v/>
      </c>
      <c r="AC314" t="str">
        <f>IF(Y314="","",IF(Y314="[FÓRMULA MANUAL]","",IFERROR(SUMPRODUCT((nNIA=Y314)*(nCUENTA=1)*(COUNTIF(CONFIG_ASIGNATURAS!$B$7:$B$27,nASIG)&gt;0)*(nNOTA))/SUMPRODUCT((nNIA=Y314)*(nCUENTA=1)*(COUNTIF(CONFIG_ASIGNATURAS!$B$7:$B$27,nASIG)&gt;0)*1),"")))</f>
        <v/>
      </c>
      <c r="AF314" t="str">
        <f>IF(AE314="","",IF(AE314="[FÓRMULA MANUAL]","",IFERROR(AVERAGEIFS(nNOTA,nNIA,AE314,nCUENTA,1,nASIG,"Análisis"),"")))</f>
        <v/>
      </c>
      <c r="AG314" t="str">
        <f>IF(AE314="","",IF(AE314="[FÓRMULA MANUAL]","",IFERROR(AVERAGEIFS(nNOTA,nNIA,AE314,nCUENTA,1,nASIG,"Orquesta/Banda/Conjunto"),"")))</f>
        <v/>
      </c>
      <c r="AH314" t="str">
        <f>IF(AE314="","",IF(AE314="[FÓRMULA MANUAL]","",IFERROR(AVERAGEIFS(nNOTA,nNIA,AE314,nCUENTA,1,nASIG,"Música de Cámara"),"")))</f>
        <v/>
      </c>
      <c r="AI314" t="str">
        <f>IF(AE314="","",IF(AE314="[FÓRMULA MANUAL]","",IFERROR(SUMPRODUCT((nNIA=AE314)*(nCUENTA=1)*(COUNTIF(CONFIG_ASIGNATURAS!$B$7:$B$27,nASIG)&gt;0)*(nNOTA))/SUMPRODUCT((nNIA=AE314)*(nCUENTA=1)*(COUNTIF(CONFIG_ASIGNATURAS!$B$7:$B$27,nASIG)&gt;0)*1),"")))</f>
        <v/>
      </c>
    </row>
    <row r="315" spans="2:35" x14ac:dyDescent="0.2">
      <c r="B315" t="str">
        <f>IF(A315="","",IF(A315="[FÓRMULA MANUAL]","",IFERROR(AVERAGEIFS(nNOTA,nNIA,A315,nCUENTA,1,nASIG,"Lenguaje Musical"),"")))</f>
        <v/>
      </c>
      <c r="C315" t="str">
        <f>IF(A315="","",IF(A315="[FÓRMULA MANUAL]","",IFERROR(AVERAGEIFS(nNOTA,nNIA,A315,nCUENTA,1,nASIG,"Orquesta/Banda/Conjunto"),"")))</f>
        <v/>
      </c>
      <c r="D315" t="str">
        <f>IF(A315="","",IF(A315="[FÓRMULA MANUAL]","",IFERROR(AVERAGEIFS(nNOTA,nNIA,A315,nCUENTA,1,nASIG,"Conjunto"),"")))</f>
        <v/>
      </c>
      <c r="E315" t="str">
        <f>IF(A315="","",IF(A315="[FÓRMULA MANUAL]","",IFERROR(SUMPRODUCT((nNIA=A315)*(nCUENTA=1)*(COUNTIF(CONFIG_ASIGNATURAS!$B$7:$B$27,nASIG)&gt;0)*(nNOTA))/SUMPRODUCT((nNIA=A315)*(nCUENTA=1)*(COUNTIF(CONFIG_ASIGNATURAS!$B$7:$B$27,nASIG)&gt;0)*1),"")))</f>
        <v/>
      </c>
      <c r="H315" t="str">
        <f>IF(G315="","",IF(G315="[FÓRMULA MANUAL]","",IFERROR(AVERAGEIFS(nNOTA,nNIA,G315,nCUENTA,1,nASIG,"Lenguaje Musical"),"")))</f>
        <v/>
      </c>
      <c r="I315" t="str">
        <f>IF(G315="","",IF(G315="[FÓRMULA MANUAL]","",IFERROR(AVERAGEIFS(nNOTA,nNIA,G315,nCUENTA,1,nASIG,"Orquesta/Banda/Conjunto"),"")))</f>
        <v/>
      </c>
      <c r="J315" t="str">
        <f>IF(G315="","",IF(G315="[FÓRMULA MANUAL]","",IFERROR(AVERAGEIFS(nNOTA,nNIA,G315,nCUENTA,1,nASIG,"Conjunto"),"")))</f>
        <v/>
      </c>
      <c r="K315" t="str">
        <f>IF(G315="","",IF(G315="[FÓRMULA MANUAL]","",IFERROR(SUMPRODUCT((nNIA=G315)*(nCUENTA=1)*(COUNTIF(CONFIG_ASIGNATURAS!$B$7:$B$27,nASIG)&gt;0)*(nNOTA))/SUMPRODUCT((nNIA=G315)*(nCUENTA=1)*(COUNTIF(CONFIG_ASIGNATURAS!$B$7:$B$27,nASIG)&gt;0)*1),"")))</f>
        <v/>
      </c>
      <c r="N315" t="str">
        <f>IF(M315="","",IF(M315="[FÓRMULA MANUAL]","",IFERROR(AVERAGEIFS(nNOTA,nNIA,M315,nCUENTA,1,nASIG,"Armonía"),"")))</f>
        <v/>
      </c>
      <c r="O315" t="str">
        <f>IF(M315="","",IF(M315="[FÓRMULA MANUAL]","",IFERROR(AVERAGEIFS(nNOTA,nNIA,M315,nCUENTA,1,nASIG,"Orquesta/Banda/Conjunto"),"")))</f>
        <v/>
      </c>
      <c r="P315" t="str">
        <f>IF(M315="","",IF(M315="[FÓRMULA MANUAL]","",IFERROR(AVERAGEIFS(nNOTA,nNIA,M315,nCUENTA,1,nASIG,"Música de Cámara"),"")))</f>
        <v/>
      </c>
      <c r="Q315" t="str">
        <f>IF(M315="","",IF(M315="[FÓRMULA MANUAL]","",IFERROR(SUMPRODUCT((nNIA=M315)*(nCUENTA=1)*(COUNTIF(CONFIG_ASIGNATURAS!$B$7:$B$27,nASIG)&gt;0)*(nNOTA))/SUMPRODUCT((nNIA=M315)*(nCUENTA=1)*(COUNTIF(CONFIG_ASIGNATURAS!$B$7:$B$27,nASIG)&gt;0)*1),"")))</f>
        <v/>
      </c>
      <c r="T315" t="str">
        <f>IF(S315="","",IF(S315="[FÓRMULA MANUAL]","",IFERROR(AVERAGEIFS(nNOTA,nNIA,S315,nCUENTA,1,nASIG,"Armonía"),"")))</f>
        <v/>
      </c>
      <c r="U315" t="str">
        <f>IF(S315="","",IF(S315="[FÓRMULA MANUAL]","",IFERROR(AVERAGEIFS(nNOTA,nNIA,S315,nCUENTA,1,nASIG,"Orquesta/Banda/Conjunto"),"")))</f>
        <v/>
      </c>
      <c r="V315" t="str">
        <f>IF(S315="","",IF(S315="[FÓRMULA MANUAL]","",IFERROR(AVERAGEIFS(nNOTA,nNIA,S315,nCUENTA,1,nASIG,"Música de Cámara"),"")))</f>
        <v/>
      </c>
      <c r="W315" t="str">
        <f>IF(S315="","",IF(S315="[FÓRMULA MANUAL]","",IFERROR(SUMPRODUCT((nNIA=S315)*(nCUENTA=1)*(COUNTIF(CONFIG_ASIGNATURAS!$B$7:$B$27,nASIG)&gt;0)*(nNOTA))/SUMPRODUCT((nNIA=S315)*(nCUENTA=1)*(COUNTIF(CONFIG_ASIGNATURAS!$B$7:$B$27,nASIG)&gt;0)*1),"")))</f>
        <v/>
      </c>
      <c r="Z315" t="str">
        <f>IF(Y315="","",IF(Y315="[FÓRMULA MANUAL]","",IFERROR(AVERAGEIFS(nNOTA,nNIA,Y315,nCUENTA,1,nASIG,"Análisis"),"")))</f>
        <v/>
      </c>
      <c r="AA315" t="str">
        <f>IF(Y315="","",IF(Y315="[FÓRMULA MANUAL]","",IFERROR(AVERAGEIFS(nNOTA,nNIA,Y315,nCUENTA,1,nASIG,"Orquesta/Banda/Conjunto"),"")))</f>
        <v/>
      </c>
      <c r="AB315" t="str">
        <f>IF(Y315="","",IF(Y315="[FÓRMULA MANUAL]","",IFERROR(AVERAGEIFS(nNOTA,nNIA,Y315,nCUENTA,1,nASIG,"Música de Cámara"),"")))</f>
        <v/>
      </c>
      <c r="AC315" t="str">
        <f>IF(Y315="","",IF(Y315="[FÓRMULA MANUAL]","",IFERROR(SUMPRODUCT((nNIA=Y315)*(nCUENTA=1)*(COUNTIF(CONFIG_ASIGNATURAS!$B$7:$B$27,nASIG)&gt;0)*(nNOTA))/SUMPRODUCT((nNIA=Y315)*(nCUENTA=1)*(COUNTIF(CONFIG_ASIGNATURAS!$B$7:$B$27,nASIG)&gt;0)*1),"")))</f>
        <v/>
      </c>
      <c r="AF315" t="str">
        <f>IF(AE315="","",IF(AE315="[FÓRMULA MANUAL]","",IFERROR(AVERAGEIFS(nNOTA,nNIA,AE315,nCUENTA,1,nASIG,"Análisis"),"")))</f>
        <v/>
      </c>
      <c r="AG315" t="str">
        <f>IF(AE315="","",IF(AE315="[FÓRMULA MANUAL]","",IFERROR(AVERAGEIFS(nNOTA,nNIA,AE315,nCUENTA,1,nASIG,"Orquesta/Banda/Conjunto"),"")))</f>
        <v/>
      </c>
      <c r="AH315" t="str">
        <f>IF(AE315="","",IF(AE315="[FÓRMULA MANUAL]","",IFERROR(AVERAGEIFS(nNOTA,nNIA,AE315,nCUENTA,1,nASIG,"Música de Cámara"),"")))</f>
        <v/>
      </c>
      <c r="AI315" t="str">
        <f>IF(AE315="","",IF(AE315="[FÓRMULA MANUAL]","",IFERROR(SUMPRODUCT((nNIA=AE315)*(nCUENTA=1)*(COUNTIF(CONFIG_ASIGNATURAS!$B$7:$B$27,nASIG)&gt;0)*(nNOTA))/SUMPRODUCT((nNIA=AE315)*(nCUENTA=1)*(COUNTIF(CONFIG_ASIGNATURAS!$B$7:$B$27,nASIG)&gt;0)*1),"")))</f>
        <v/>
      </c>
    </row>
    <row r="316" spans="2:35" x14ac:dyDescent="0.2">
      <c r="B316" t="str">
        <f>IF(A316="","",IF(A316="[FÓRMULA MANUAL]","",IFERROR(AVERAGEIFS(nNOTA,nNIA,A316,nCUENTA,1,nASIG,"Lenguaje Musical"),"")))</f>
        <v/>
      </c>
      <c r="C316" t="str">
        <f>IF(A316="","",IF(A316="[FÓRMULA MANUAL]","",IFERROR(AVERAGEIFS(nNOTA,nNIA,A316,nCUENTA,1,nASIG,"Orquesta/Banda/Conjunto"),"")))</f>
        <v/>
      </c>
      <c r="D316" t="str">
        <f>IF(A316="","",IF(A316="[FÓRMULA MANUAL]","",IFERROR(AVERAGEIFS(nNOTA,nNIA,A316,nCUENTA,1,nASIG,"Conjunto"),"")))</f>
        <v/>
      </c>
      <c r="E316" t="str">
        <f>IF(A316="","",IF(A316="[FÓRMULA MANUAL]","",IFERROR(SUMPRODUCT((nNIA=A316)*(nCUENTA=1)*(COUNTIF(CONFIG_ASIGNATURAS!$B$7:$B$27,nASIG)&gt;0)*(nNOTA))/SUMPRODUCT((nNIA=A316)*(nCUENTA=1)*(COUNTIF(CONFIG_ASIGNATURAS!$B$7:$B$27,nASIG)&gt;0)*1),"")))</f>
        <v/>
      </c>
      <c r="H316" t="str">
        <f>IF(G316="","",IF(G316="[FÓRMULA MANUAL]","",IFERROR(AVERAGEIFS(nNOTA,nNIA,G316,nCUENTA,1,nASIG,"Lenguaje Musical"),"")))</f>
        <v/>
      </c>
      <c r="I316" t="str">
        <f>IF(G316="","",IF(G316="[FÓRMULA MANUAL]","",IFERROR(AVERAGEIFS(nNOTA,nNIA,G316,nCUENTA,1,nASIG,"Orquesta/Banda/Conjunto"),"")))</f>
        <v/>
      </c>
      <c r="J316" t="str">
        <f>IF(G316="","",IF(G316="[FÓRMULA MANUAL]","",IFERROR(AVERAGEIFS(nNOTA,nNIA,G316,nCUENTA,1,nASIG,"Conjunto"),"")))</f>
        <v/>
      </c>
      <c r="K316" t="str">
        <f>IF(G316="","",IF(G316="[FÓRMULA MANUAL]","",IFERROR(SUMPRODUCT((nNIA=G316)*(nCUENTA=1)*(COUNTIF(CONFIG_ASIGNATURAS!$B$7:$B$27,nASIG)&gt;0)*(nNOTA))/SUMPRODUCT((nNIA=G316)*(nCUENTA=1)*(COUNTIF(CONFIG_ASIGNATURAS!$B$7:$B$27,nASIG)&gt;0)*1),"")))</f>
        <v/>
      </c>
      <c r="N316" t="str">
        <f>IF(M316="","",IF(M316="[FÓRMULA MANUAL]","",IFERROR(AVERAGEIFS(nNOTA,nNIA,M316,nCUENTA,1,nASIG,"Armonía"),"")))</f>
        <v/>
      </c>
      <c r="O316" t="str">
        <f>IF(M316="","",IF(M316="[FÓRMULA MANUAL]","",IFERROR(AVERAGEIFS(nNOTA,nNIA,M316,nCUENTA,1,nASIG,"Orquesta/Banda/Conjunto"),"")))</f>
        <v/>
      </c>
      <c r="P316" t="str">
        <f>IF(M316="","",IF(M316="[FÓRMULA MANUAL]","",IFERROR(AVERAGEIFS(nNOTA,nNIA,M316,nCUENTA,1,nASIG,"Música de Cámara"),"")))</f>
        <v/>
      </c>
      <c r="Q316" t="str">
        <f>IF(M316="","",IF(M316="[FÓRMULA MANUAL]","",IFERROR(SUMPRODUCT((nNIA=M316)*(nCUENTA=1)*(COUNTIF(CONFIG_ASIGNATURAS!$B$7:$B$27,nASIG)&gt;0)*(nNOTA))/SUMPRODUCT((nNIA=M316)*(nCUENTA=1)*(COUNTIF(CONFIG_ASIGNATURAS!$B$7:$B$27,nASIG)&gt;0)*1),"")))</f>
        <v/>
      </c>
      <c r="T316" t="str">
        <f>IF(S316="","",IF(S316="[FÓRMULA MANUAL]","",IFERROR(AVERAGEIFS(nNOTA,nNIA,S316,nCUENTA,1,nASIG,"Armonía"),"")))</f>
        <v/>
      </c>
      <c r="U316" t="str">
        <f>IF(S316="","",IF(S316="[FÓRMULA MANUAL]","",IFERROR(AVERAGEIFS(nNOTA,nNIA,S316,nCUENTA,1,nASIG,"Orquesta/Banda/Conjunto"),"")))</f>
        <v/>
      </c>
      <c r="V316" t="str">
        <f>IF(S316="","",IF(S316="[FÓRMULA MANUAL]","",IFERROR(AVERAGEIFS(nNOTA,nNIA,S316,nCUENTA,1,nASIG,"Música de Cámara"),"")))</f>
        <v/>
      </c>
      <c r="W316" t="str">
        <f>IF(S316="","",IF(S316="[FÓRMULA MANUAL]","",IFERROR(SUMPRODUCT((nNIA=S316)*(nCUENTA=1)*(COUNTIF(CONFIG_ASIGNATURAS!$B$7:$B$27,nASIG)&gt;0)*(nNOTA))/SUMPRODUCT((nNIA=S316)*(nCUENTA=1)*(COUNTIF(CONFIG_ASIGNATURAS!$B$7:$B$27,nASIG)&gt;0)*1),"")))</f>
        <v/>
      </c>
      <c r="Z316" t="str">
        <f>IF(Y316="","",IF(Y316="[FÓRMULA MANUAL]","",IFERROR(AVERAGEIFS(nNOTA,nNIA,Y316,nCUENTA,1,nASIG,"Análisis"),"")))</f>
        <v/>
      </c>
      <c r="AA316" t="str">
        <f>IF(Y316="","",IF(Y316="[FÓRMULA MANUAL]","",IFERROR(AVERAGEIFS(nNOTA,nNIA,Y316,nCUENTA,1,nASIG,"Orquesta/Banda/Conjunto"),"")))</f>
        <v/>
      </c>
      <c r="AB316" t="str">
        <f>IF(Y316="","",IF(Y316="[FÓRMULA MANUAL]","",IFERROR(AVERAGEIFS(nNOTA,nNIA,Y316,nCUENTA,1,nASIG,"Música de Cámara"),"")))</f>
        <v/>
      </c>
      <c r="AC316" t="str">
        <f>IF(Y316="","",IF(Y316="[FÓRMULA MANUAL]","",IFERROR(SUMPRODUCT((nNIA=Y316)*(nCUENTA=1)*(COUNTIF(CONFIG_ASIGNATURAS!$B$7:$B$27,nASIG)&gt;0)*(nNOTA))/SUMPRODUCT((nNIA=Y316)*(nCUENTA=1)*(COUNTIF(CONFIG_ASIGNATURAS!$B$7:$B$27,nASIG)&gt;0)*1),"")))</f>
        <v/>
      </c>
      <c r="AF316" t="str">
        <f>IF(AE316="","",IF(AE316="[FÓRMULA MANUAL]","",IFERROR(AVERAGEIFS(nNOTA,nNIA,AE316,nCUENTA,1,nASIG,"Análisis"),"")))</f>
        <v/>
      </c>
      <c r="AG316" t="str">
        <f>IF(AE316="","",IF(AE316="[FÓRMULA MANUAL]","",IFERROR(AVERAGEIFS(nNOTA,nNIA,AE316,nCUENTA,1,nASIG,"Orquesta/Banda/Conjunto"),"")))</f>
        <v/>
      </c>
      <c r="AH316" t="str">
        <f>IF(AE316="","",IF(AE316="[FÓRMULA MANUAL]","",IFERROR(AVERAGEIFS(nNOTA,nNIA,AE316,nCUENTA,1,nASIG,"Música de Cámara"),"")))</f>
        <v/>
      </c>
      <c r="AI316" t="str">
        <f>IF(AE316="","",IF(AE316="[FÓRMULA MANUAL]","",IFERROR(SUMPRODUCT((nNIA=AE316)*(nCUENTA=1)*(COUNTIF(CONFIG_ASIGNATURAS!$B$7:$B$27,nASIG)&gt;0)*(nNOTA))/SUMPRODUCT((nNIA=AE316)*(nCUENTA=1)*(COUNTIF(CONFIG_ASIGNATURAS!$B$7:$B$27,nASIG)&gt;0)*1),"")))</f>
        <v/>
      </c>
    </row>
    <row r="317" spans="2:35" x14ac:dyDescent="0.2">
      <c r="B317" t="str">
        <f>IF(A317="","",IF(A317="[FÓRMULA MANUAL]","",IFERROR(AVERAGEIFS(nNOTA,nNIA,A317,nCUENTA,1,nASIG,"Lenguaje Musical"),"")))</f>
        <v/>
      </c>
      <c r="C317" t="str">
        <f>IF(A317="","",IF(A317="[FÓRMULA MANUAL]","",IFERROR(AVERAGEIFS(nNOTA,nNIA,A317,nCUENTA,1,nASIG,"Orquesta/Banda/Conjunto"),"")))</f>
        <v/>
      </c>
      <c r="D317" t="str">
        <f>IF(A317="","",IF(A317="[FÓRMULA MANUAL]","",IFERROR(AVERAGEIFS(nNOTA,nNIA,A317,nCUENTA,1,nASIG,"Conjunto"),"")))</f>
        <v/>
      </c>
      <c r="E317" t="str">
        <f>IF(A317="","",IF(A317="[FÓRMULA MANUAL]","",IFERROR(SUMPRODUCT((nNIA=A317)*(nCUENTA=1)*(COUNTIF(CONFIG_ASIGNATURAS!$B$7:$B$27,nASIG)&gt;0)*(nNOTA))/SUMPRODUCT((nNIA=A317)*(nCUENTA=1)*(COUNTIF(CONFIG_ASIGNATURAS!$B$7:$B$27,nASIG)&gt;0)*1),"")))</f>
        <v/>
      </c>
      <c r="H317" t="str">
        <f>IF(G317="","",IF(G317="[FÓRMULA MANUAL]","",IFERROR(AVERAGEIFS(nNOTA,nNIA,G317,nCUENTA,1,nASIG,"Lenguaje Musical"),"")))</f>
        <v/>
      </c>
      <c r="I317" t="str">
        <f>IF(G317="","",IF(G317="[FÓRMULA MANUAL]","",IFERROR(AVERAGEIFS(nNOTA,nNIA,G317,nCUENTA,1,nASIG,"Orquesta/Banda/Conjunto"),"")))</f>
        <v/>
      </c>
      <c r="J317" t="str">
        <f>IF(G317="","",IF(G317="[FÓRMULA MANUAL]","",IFERROR(AVERAGEIFS(nNOTA,nNIA,G317,nCUENTA,1,nASIG,"Conjunto"),"")))</f>
        <v/>
      </c>
      <c r="K317" t="str">
        <f>IF(G317="","",IF(G317="[FÓRMULA MANUAL]","",IFERROR(SUMPRODUCT((nNIA=G317)*(nCUENTA=1)*(COUNTIF(CONFIG_ASIGNATURAS!$B$7:$B$27,nASIG)&gt;0)*(nNOTA))/SUMPRODUCT((nNIA=G317)*(nCUENTA=1)*(COUNTIF(CONFIG_ASIGNATURAS!$B$7:$B$27,nASIG)&gt;0)*1),"")))</f>
        <v/>
      </c>
      <c r="N317" t="str">
        <f>IF(M317="","",IF(M317="[FÓRMULA MANUAL]","",IFERROR(AVERAGEIFS(nNOTA,nNIA,M317,nCUENTA,1,nASIG,"Armonía"),"")))</f>
        <v/>
      </c>
      <c r="O317" t="str">
        <f>IF(M317="","",IF(M317="[FÓRMULA MANUAL]","",IFERROR(AVERAGEIFS(nNOTA,nNIA,M317,nCUENTA,1,nASIG,"Orquesta/Banda/Conjunto"),"")))</f>
        <v/>
      </c>
      <c r="P317" t="str">
        <f>IF(M317="","",IF(M317="[FÓRMULA MANUAL]","",IFERROR(AVERAGEIFS(nNOTA,nNIA,M317,nCUENTA,1,nASIG,"Música de Cámara"),"")))</f>
        <v/>
      </c>
      <c r="Q317" t="str">
        <f>IF(M317="","",IF(M317="[FÓRMULA MANUAL]","",IFERROR(SUMPRODUCT((nNIA=M317)*(nCUENTA=1)*(COUNTIF(CONFIG_ASIGNATURAS!$B$7:$B$27,nASIG)&gt;0)*(nNOTA))/SUMPRODUCT((nNIA=M317)*(nCUENTA=1)*(COUNTIF(CONFIG_ASIGNATURAS!$B$7:$B$27,nASIG)&gt;0)*1),"")))</f>
        <v/>
      </c>
      <c r="T317" t="str">
        <f>IF(S317="","",IF(S317="[FÓRMULA MANUAL]","",IFERROR(AVERAGEIFS(nNOTA,nNIA,S317,nCUENTA,1,nASIG,"Armonía"),"")))</f>
        <v/>
      </c>
      <c r="U317" t="str">
        <f>IF(S317="","",IF(S317="[FÓRMULA MANUAL]","",IFERROR(AVERAGEIFS(nNOTA,nNIA,S317,nCUENTA,1,nASIG,"Orquesta/Banda/Conjunto"),"")))</f>
        <v/>
      </c>
      <c r="V317" t="str">
        <f>IF(S317="","",IF(S317="[FÓRMULA MANUAL]","",IFERROR(AVERAGEIFS(nNOTA,nNIA,S317,nCUENTA,1,nASIG,"Música de Cámara"),"")))</f>
        <v/>
      </c>
      <c r="W317" t="str">
        <f>IF(S317="","",IF(S317="[FÓRMULA MANUAL]","",IFERROR(SUMPRODUCT((nNIA=S317)*(nCUENTA=1)*(COUNTIF(CONFIG_ASIGNATURAS!$B$7:$B$27,nASIG)&gt;0)*(nNOTA))/SUMPRODUCT((nNIA=S317)*(nCUENTA=1)*(COUNTIF(CONFIG_ASIGNATURAS!$B$7:$B$27,nASIG)&gt;0)*1),"")))</f>
        <v/>
      </c>
      <c r="Z317" t="str">
        <f>IF(Y317="","",IF(Y317="[FÓRMULA MANUAL]","",IFERROR(AVERAGEIFS(nNOTA,nNIA,Y317,nCUENTA,1,nASIG,"Análisis"),"")))</f>
        <v/>
      </c>
      <c r="AA317" t="str">
        <f>IF(Y317="","",IF(Y317="[FÓRMULA MANUAL]","",IFERROR(AVERAGEIFS(nNOTA,nNIA,Y317,nCUENTA,1,nASIG,"Orquesta/Banda/Conjunto"),"")))</f>
        <v/>
      </c>
      <c r="AB317" t="str">
        <f>IF(Y317="","",IF(Y317="[FÓRMULA MANUAL]","",IFERROR(AVERAGEIFS(nNOTA,nNIA,Y317,nCUENTA,1,nASIG,"Música de Cámara"),"")))</f>
        <v/>
      </c>
      <c r="AC317" t="str">
        <f>IF(Y317="","",IF(Y317="[FÓRMULA MANUAL]","",IFERROR(SUMPRODUCT((nNIA=Y317)*(nCUENTA=1)*(COUNTIF(CONFIG_ASIGNATURAS!$B$7:$B$27,nASIG)&gt;0)*(nNOTA))/SUMPRODUCT((nNIA=Y317)*(nCUENTA=1)*(COUNTIF(CONFIG_ASIGNATURAS!$B$7:$B$27,nASIG)&gt;0)*1),"")))</f>
        <v/>
      </c>
      <c r="AF317" t="str">
        <f>IF(AE317="","",IF(AE317="[FÓRMULA MANUAL]","",IFERROR(AVERAGEIFS(nNOTA,nNIA,AE317,nCUENTA,1,nASIG,"Análisis"),"")))</f>
        <v/>
      </c>
      <c r="AG317" t="str">
        <f>IF(AE317="","",IF(AE317="[FÓRMULA MANUAL]","",IFERROR(AVERAGEIFS(nNOTA,nNIA,AE317,nCUENTA,1,nASIG,"Orquesta/Banda/Conjunto"),"")))</f>
        <v/>
      </c>
      <c r="AH317" t="str">
        <f>IF(AE317="","",IF(AE317="[FÓRMULA MANUAL]","",IFERROR(AVERAGEIFS(nNOTA,nNIA,AE317,nCUENTA,1,nASIG,"Música de Cámara"),"")))</f>
        <v/>
      </c>
      <c r="AI317" t="str">
        <f>IF(AE317="","",IF(AE317="[FÓRMULA MANUAL]","",IFERROR(SUMPRODUCT((nNIA=AE317)*(nCUENTA=1)*(COUNTIF(CONFIG_ASIGNATURAS!$B$7:$B$27,nASIG)&gt;0)*(nNOTA))/SUMPRODUCT((nNIA=AE317)*(nCUENTA=1)*(COUNTIF(CONFIG_ASIGNATURAS!$B$7:$B$27,nASIG)&gt;0)*1),"")))</f>
        <v/>
      </c>
    </row>
    <row r="318" spans="2:35" x14ac:dyDescent="0.2">
      <c r="B318" t="str">
        <f>IF(A318="","",IF(A318="[FÓRMULA MANUAL]","",IFERROR(AVERAGEIFS(nNOTA,nNIA,A318,nCUENTA,1,nASIG,"Lenguaje Musical"),"")))</f>
        <v/>
      </c>
      <c r="C318" t="str">
        <f>IF(A318="","",IF(A318="[FÓRMULA MANUAL]","",IFERROR(AVERAGEIFS(nNOTA,nNIA,A318,nCUENTA,1,nASIG,"Orquesta/Banda/Conjunto"),"")))</f>
        <v/>
      </c>
      <c r="D318" t="str">
        <f>IF(A318="","",IF(A318="[FÓRMULA MANUAL]","",IFERROR(AVERAGEIFS(nNOTA,nNIA,A318,nCUENTA,1,nASIG,"Conjunto"),"")))</f>
        <v/>
      </c>
      <c r="E318" t="str">
        <f>IF(A318="","",IF(A318="[FÓRMULA MANUAL]","",IFERROR(SUMPRODUCT((nNIA=A318)*(nCUENTA=1)*(COUNTIF(CONFIG_ASIGNATURAS!$B$7:$B$27,nASIG)&gt;0)*(nNOTA))/SUMPRODUCT((nNIA=A318)*(nCUENTA=1)*(COUNTIF(CONFIG_ASIGNATURAS!$B$7:$B$27,nASIG)&gt;0)*1),"")))</f>
        <v/>
      </c>
      <c r="H318" t="str">
        <f>IF(G318="","",IF(G318="[FÓRMULA MANUAL]","",IFERROR(AVERAGEIFS(nNOTA,nNIA,G318,nCUENTA,1,nASIG,"Lenguaje Musical"),"")))</f>
        <v/>
      </c>
      <c r="I318" t="str">
        <f>IF(G318="","",IF(G318="[FÓRMULA MANUAL]","",IFERROR(AVERAGEIFS(nNOTA,nNIA,G318,nCUENTA,1,nASIG,"Orquesta/Banda/Conjunto"),"")))</f>
        <v/>
      </c>
      <c r="J318" t="str">
        <f>IF(G318="","",IF(G318="[FÓRMULA MANUAL]","",IFERROR(AVERAGEIFS(nNOTA,nNIA,G318,nCUENTA,1,nASIG,"Conjunto"),"")))</f>
        <v/>
      </c>
      <c r="K318" t="str">
        <f>IF(G318="","",IF(G318="[FÓRMULA MANUAL]","",IFERROR(SUMPRODUCT((nNIA=G318)*(nCUENTA=1)*(COUNTIF(CONFIG_ASIGNATURAS!$B$7:$B$27,nASIG)&gt;0)*(nNOTA))/SUMPRODUCT((nNIA=G318)*(nCUENTA=1)*(COUNTIF(CONFIG_ASIGNATURAS!$B$7:$B$27,nASIG)&gt;0)*1),"")))</f>
        <v/>
      </c>
      <c r="N318" t="str">
        <f>IF(M318="","",IF(M318="[FÓRMULA MANUAL]","",IFERROR(AVERAGEIFS(nNOTA,nNIA,M318,nCUENTA,1,nASIG,"Armonía"),"")))</f>
        <v/>
      </c>
      <c r="O318" t="str">
        <f>IF(M318="","",IF(M318="[FÓRMULA MANUAL]","",IFERROR(AVERAGEIFS(nNOTA,nNIA,M318,nCUENTA,1,nASIG,"Orquesta/Banda/Conjunto"),"")))</f>
        <v/>
      </c>
      <c r="P318" t="str">
        <f>IF(M318="","",IF(M318="[FÓRMULA MANUAL]","",IFERROR(AVERAGEIFS(nNOTA,nNIA,M318,nCUENTA,1,nASIG,"Música de Cámara"),"")))</f>
        <v/>
      </c>
      <c r="Q318" t="str">
        <f>IF(M318="","",IF(M318="[FÓRMULA MANUAL]","",IFERROR(SUMPRODUCT((nNIA=M318)*(nCUENTA=1)*(COUNTIF(CONFIG_ASIGNATURAS!$B$7:$B$27,nASIG)&gt;0)*(nNOTA))/SUMPRODUCT((nNIA=M318)*(nCUENTA=1)*(COUNTIF(CONFIG_ASIGNATURAS!$B$7:$B$27,nASIG)&gt;0)*1),"")))</f>
        <v/>
      </c>
      <c r="T318" t="str">
        <f>IF(S318="","",IF(S318="[FÓRMULA MANUAL]","",IFERROR(AVERAGEIFS(nNOTA,nNIA,S318,nCUENTA,1,nASIG,"Armonía"),"")))</f>
        <v/>
      </c>
      <c r="U318" t="str">
        <f>IF(S318="","",IF(S318="[FÓRMULA MANUAL]","",IFERROR(AVERAGEIFS(nNOTA,nNIA,S318,nCUENTA,1,nASIG,"Orquesta/Banda/Conjunto"),"")))</f>
        <v/>
      </c>
      <c r="V318" t="str">
        <f>IF(S318="","",IF(S318="[FÓRMULA MANUAL]","",IFERROR(AVERAGEIFS(nNOTA,nNIA,S318,nCUENTA,1,nASIG,"Música de Cámara"),"")))</f>
        <v/>
      </c>
      <c r="W318" t="str">
        <f>IF(S318="","",IF(S318="[FÓRMULA MANUAL]","",IFERROR(SUMPRODUCT((nNIA=S318)*(nCUENTA=1)*(COUNTIF(CONFIG_ASIGNATURAS!$B$7:$B$27,nASIG)&gt;0)*(nNOTA))/SUMPRODUCT((nNIA=S318)*(nCUENTA=1)*(COUNTIF(CONFIG_ASIGNATURAS!$B$7:$B$27,nASIG)&gt;0)*1),"")))</f>
        <v/>
      </c>
      <c r="Z318" t="str">
        <f>IF(Y318="","",IF(Y318="[FÓRMULA MANUAL]","",IFERROR(AVERAGEIFS(nNOTA,nNIA,Y318,nCUENTA,1,nASIG,"Análisis"),"")))</f>
        <v/>
      </c>
      <c r="AA318" t="str">
        <f>IF(Y318="","",IF(Y318="[FÓRMULA MANUAL]","",IFERROR(AVERAGEIFS(nNOTA,nNIA,Y318,nCUENTA,1,nASIG,"Orquesta/Banda/Conjunto"),"")))</f>
        <v/>
      </c>
      <c r="AB318" t="str">
        <f>IF(Y318="","",IF(Y318="[FÓRMULA MANUAL]","",IFERROR(AVERAGEIFS(nNOTA,nNIA,Y318,nCUENTA,1,nASIG,"Música de Cámara"),"")))</f>
        <v/>
      </c>
      <c r="AC318" t="str">
        <f>IF(Y318="","",IF(Y318="[FÓRMULA MANUAL]","",IFERROR(SUMPRODUCT((nNIA=Y318)*(nCUENTA=1)*(COUNTIF(CONFIG_ASIGNATURAS!$B$7:$B$27,nASIG)&gt;0)*(nNOTA))/SUMPRODUCT((nNIA=Y318)*(nCUENTA=1)*(COUNTIF(CONFIG_ASIGNATURAS!$B$7:$B$27,nASIG)&gt;0)*1),"")))</f>
        <v/>
      </c>
      <c r="AF318" t="str">
        <f>IF(AE318="","",IF(AE318="[FÓRMULA MANUAL]","",IFERROR(AVERAGEIFS(nNOTA,nNIA,AE318,nCUENTA,1,nASIG,"Análisis"),"")))</f>
        <v/>
      </c>
      <c r="AG318" t="str">
        <f>IF(AE318="","",IF(AE318="[FÓRMULA MANUAL]","",IFERROR(AVERAGEIFS(nNOTA,nNIA,AE318,nCUENTA,1,nASIG,"Orquesta/Banda/Conjunto"),"")))</f>
        <v/>
      </c>
      <c r="AH318" t="str">
        <f>IF(AE318="","",IF(AE318="[FÓRMULA MANUAL]","",IFERROR(AVERAGEIFS(nNOTA,nNIA,AE318,nCUENTA,1,nASIG,"Música de Cámara"),"")))</f>
        <v/>
      </c>
      <c r="AI318" t="str">
        <f>IF(AE318="","",IF(AE318="[FÓRMULA MANUAL]","",IFERROR(SUMPRODUCT((nNIA=AE318)*(nCUENTA=1)*(COUNTIF(CONFIG_ASIGNATURAS!$B$7:$B$27,nASIG)&gt;0)*(nNOTA))/SUMPRODUCT((nNIA=AE318)*(nCUENTA=1)*(COUNTIF(CONFIG_ASIGNATURAS!$B$7:$B$27,nASIG)&gt;0)*1),"")))</f>
        <v/>
      </c>
    </row>
    <row r="319" spans="2:35" x14ac:dyDescent="0.2">
      <c r="B319" t="str">
        <f>IF(A319="","",IF(A319="[FÓRMULA MANUAL]","",IFERROR(AVERAGEIFS(nNOTA,nNIA,A319,nCUENTA,1,nASIG,"Lenguaje Musical"),"")))</f>
        <v/>
      </c>
      <c r="C319" t="str">
        <f>IF(A319="","",IF(A319="[FÓRMULA MANUAL]","",IFERROR(AVERAGEIFS(nNOTA,nNIA,A319,nCUENTA,1,nASIG,"Orquesta/Banda/Conjunto"),"")))</f>
        <v/>
      </c>
      <c r="D319" t="str">
        <f>IF(A319="","",IF(A319="[FÓRMULA MANUAL]","",IFERROR(AVERAGEIFS(nNOTA,nNIA,A319,nCUENTA,1,nASIG,"Conjunto"),"")))</f>
        <v/>
      </c>
      <c r="E319" t="str">
        <f>IF(A319="","",IF(A319="[FÓRMULA MANUAL]","",IFERROR(SUMPRODUCT((nNIA=A319)*(nCUENTA=1)*(COUNTIF(CONFIG_ASIGNATURAS!$B$7:$B$27,nASIG)&gt;0)*(nNOTA))/SUMPRODUCT((nNIA=A319)*(nCUENTA=1)*(COUNTIF(CONFIG_ASIGNATURAS!$B$7:$B$27,nASIG)&gt;0)*1),"")))</f>
        <v/>
      </c>
      <c r="H319" t="str">
        <f>IF(G319="","",IF(G319="[FÓRMULA MANUAL]","",IFERROR(AVERAGEIFS(nNOTA,nNIA,G319,nCUENTA,1,nASIG,"Lenguaje Musical"),"")))</f>
        <v/>
      </c>
      <c r="I319" t="str">
        <f>IF(G319="","",IF(G319="[FÓRMULA MANUAL]","",IFERROR(AVERAGEIFS(nNOTA,nNIA,G319,nCUENTA,1,nASIG,"Orquesta/Banda/Conjunto"),"")))</f>
        <v/>
      </c>
      <c r="J319" t="str">
        <f>IF(G319="","",IF(G319="[FÓRMULA MANUAL]","",IFERROR(AVERAGEIFS(nNOTA,nNIA,G319,nCUENTA,1,nASIG,"Conjunto"),"")))</f>
        <v/>
      </c>
      <c r="K319" t="str">
        <f>IF(G319="","",IF(G319="[FÓRMULA MANUAL]","",IFERROR(SUMPRODUCT((nNIA=G319)*(nCUENTA=1)*(COUNTIF(CONFIG_ASIGNATURAS!$B$7:$B$27,nASIG)&gt;0)*(nNOTA))/SUMPRODUCT((nNIA=G319)*(nCUENTA=1)*(COUNTIF(CONFIG_ASIGNATURAS!$B$7:$B$27,nASIG)&gt;0)*1),"")))</f>
        <v/>
      </c>
      <c r="N319" t="str">
        <f>IF(M319="","",IF(M319="[FÓRMULA MANUAL]","",IFERROR(AVERAGEIFS(nNOTA,nNIA,M319,nCUENTA,1,nASIG,"Armonía"),"")))</f>
        <v/>
      </c>
      <c r="O319" t="str">
        <f>IF(M319="","",IF(M319="[FÓRMULA MANUAL]","",IFERROR(AVERAGEIFS(nNOTA,nNIA,M319,nCUENTA,1,nASIG,"Orquesta/Banda/Conjunto"),"")))</f>
        <v/>
      </c>
      <c r="P319" t="str">
        <f>IF(M319="","",IF(M319="[FÓRMULA MANUAL]","",IFERROR(AVERAGEIFS(nNOTA,nNIA,M319,nCUENTA,1,nASIG,"Música de Cámara"),"")))</f>
        <v/>
      </c>
      <c r="Q319" t="str">
        <f>IF(M319="","",IF(M319="[FÓRMULA MANUAL]","",IFERROR(SUMPRODUCT((nNIA=M319)*(nCUENTA=1)*(COUNTIF(CONFIG_ASIGNATURAS!$B$7:$B$27,nASIG)&gt;0)*(nNOTA))/SUMPRODUCT((nNIA=M319)*(nCUENTA=1)*(COUNTIF(CONFIG_ASIGNATURAS!$B$7:$B$27,nASIG)&gt;0)*1),"")))</f>
        <v/>
      </c>
      <c r="T319" t="str">
        <f>IF(S319="","",IF(S319="[FÓRMULA MANUAL]","",IFERROR(AVERAGEIFS(nNOTA,nNIA,S319,nCUENTA,1,nASIG,"Armonía"),"")))</f>
        <v/>
      </c>
      <c r="U319" t="str">
        <f>IF(S319="","",IF(S319="[FÓRMULA MANUAL]","",IFERROR(AVERAGEIFS(nNOTA,nNIA,S319,nCUENTA,1,nASIG,"Orquesta/Banda/Conjunto"),"")))</f>
        <v/>
      </c>
      <c r="V319" t="str">
        <f>IF(S319="","",IF(S319="[FÓRMULA MANUAL]","",IFERROR(AVERAGEIFS(nNOTA,nNIA,S319,nCUENTA,1,nASIG,"Música de Cámara"),"")))</f>
        <v/>
      </c>
      <c r="W319" t="str">
        <f>IF(S319="","",IF(S319="[FÓRMULA MANUAL]","",IFERROR(SUMPRODUCT((nNIA=S319)*(nCUENTA=1)*(COUNTIF(CONFIG_ASIGNATURAS!$B$7:$B$27,nASIG)&gt;0)*(nNOTA))/SUMPRODUCT((nNIA=S319)*(nCUENTA=1)*(COUNTIF(CONFIG_ASIGNATURAS!$B$7:$B$27,nASIG)&gt;0)*1),"")))</f>
        <v/>
      </c>
      <c r="Z319" t="str">
        <f>IF(Y319="","",IF(Y319="[FÓRMULA MANUAL]","",IFERROR(AVERAGEIFS(nNOTA,nNIA,Y319,nCUENTA,1,nASIG,"Análisis"),"")))</f>
        <v/>
      </c>
      <c r="AA319" t="str">
        <f>IF(Y319="","",IF(Y319="[FÓRMULA MANUAL]","",IFERROR(AVERAGEIFS(nNOTA,nNIA,Y319,nCUENTA,1,nASIG,"Orquesta/Banda/Conjunto"),"")))</f>
        <v/>
      </c>
      <c r="AB319" t="str">
        <f>IF(Y319="","",IF(Y319="[FÓRMULA MANUAL]","",IFERROR(AVERAGEIFS(nNOTA,nNIA,Y319,nCUENTA,1,nASIG,"Música de Cámara"),"")))</f>
        <v/>
      </c>
      <c r="AC319" t="str">
        <f>IF(Y319="","",IF(Y319="[FÓRMULA MANUAL]","",IFERROR(SUMPRODUCT((nNIA=Y319)*(nCUENTA=1)*(COUNTIF(CONFIG_ASIGNATURAS!$B$7:$B$27,nASIG)&gt;0)*(nNOTA))/SUMPRODUCT((nNIA=Y319)*(nCUENTA=1)*(COUNTIF(CONFIG_ASIGNATURAS!$B$7:$B$27,nASIG)&gt;0)*1),"")))</f>
        <v/>
      </c>
      <c r="AF319" t="str">
        <f>IF(AE319="","",IF(AE319="[FÓRMULA MANUAL]","",IFERROR(AVERAGEIFS(nNOTA,nNIA,AE319,nCUENTA,1,nASIG,"Análisis"),"")))</f>
        <v/>
      </c>
      <c r="AG319" t="str">
        <f>IF(AE319="","",IF(AE319="[FÓRMULA MANUAL]","",IFERROR(AVERAGEIFS(nNOTA,nNIA,AE319,nCUENTA,1,nASIG,"Orquesta/Banda/Conjunto"),"")))</f>
        <v/>
      </c>
      <c r="AH319" t="str">
        <f>IF(AE319="","",IF(AE319="[FÓRMULA MANUAL]","",IFERROR(AVERAGEIFS(nNOTA,nNIA,AE319,nCUENTA,1,nASIG,"Música de Cámara"),"")))</f>
        <v/>
      </c>
      <c r="AI319" t="str">
        <f>IF(AE319="","",IF(AE319="[FÓRMULA MANUAL]","",IFERROR(SUMPRODUCT((nNIA=AE319)*(nCUENTA=1)*(COUNTIF(CONFIG_ASIGNATURAS!$B$7:$B$27,nASIG)&gt;0)*(nNOTA))/SUMPRODUCT((nNIA=AE319)*(nCUENTA=1)*(COUNTIF(CONFIG_ASIGNATURAS!$B$7:$B$27,nASIG)&gt;0)*1),"")))</f>
        <v/>
      </c>
    </row>
    <row r="320" spans="2:35" x14ac:dyDescent="0.2">
      <c r="B320" t="str">
        <f>IF(A320="","",IF(A320="[FÓRMULA MANUAL]","",IFERROR(AVERAGEIFS(nNOTA,nNIA,A320,nCUENTA,1,nASIG,"Lenguaje Musical"),"")))</f>
        <v/>
      </c>
      <c r="C320" t="str">
        <f>IF(A320="","",IF(A320="[FÓRMULA MANUAL]","",IFERROR(AVERAGEIFS(nNOTA,nNIA,A320,nCUENTA,1,nASIG,"Orquesta/Banda/Conjunto"),"")))</f>
        <v/>
      </c>
      <c r="D320" t="str">
        <f>IF(A320="","",IF(A320="[FÓRMULA MANUAL]","",IFERROR(AVERAGEIFS(nNOTA,nNIA,A320,nCUENTA,1,nASIG,"Conjunto"),"")))</f>
        <v/>
      </c>
      <c r="E320" t="str">
        <f>IF(A320="","",IF(A320="[FÓRMULA MANUAL]","",IFERROR(SUMPRODUCT((nNIA=A320)*(nCUENTA=1)*(COUNTIF(CONFIG_ASIGNATURAS!$B$7:$B$27,nASIG)&gt;0)*(nNOTA))/SUMPRODUCT((nNIA=A320)*(nCUENTA=1)*(COUNTIF(CONFIG_ASIGNATURAS!$B$7:$B$27,nASIG)&gt;0)*1),"")))</f>
        <v/>
      </c>
      <c r="H320" t="str">
        <f>IF(G320="","",IF(G320="[FÓRMULA MANUAL]","",IFERROR(AVERAGEIFS(nNOTA,nNIA,G320,nCUENTA,1,nASIG,"Lenguaje Musical"),"")))</f>
        <v/>
      </c>
      <c r="I320" t="str">
        <f>IF(G320="","",IF(G320="[FÓRMULA MANUAL]","",IFERROR(AVERAGEIFS(nNOTA,nNIA,G320,nCUENTA,1,nASIG,"Orquesta/Banda/Conjunto"),"")))</f>
        <v/>
      </c>
      <c r="J320" t="str">
        <f>IF(G320="","",IF(G320="[FÓRMULA MANUAL]","",IFERROR(AVERAGEIFS(nNOTA,nNIA,G320,nCUENTA,1,nASIG,"Conjunto"),"")))</f>
        <v/>
      </c>
      <c r="K320" t="str">
        <f>IF(G320="","",IF(G320="[FÓRMULA MANUAL]","",IFERROR(SUMPRODUCT((nNIA=G320)*(nCUENTA=1)*(COUNTIF(CONFIG_ASIGNATURAS!$B$7:$B$27,nASIG)&gt;0)*(nNOTA))/SUMPRODUCT((nNIA=G320)*(nCUENTA=1)*(COUNTIF(CONFIG_ASIGNATURAS!$B$7:$B$27,nASIG)&gt;0)*1),"")))</f>
        <v/>
      </c>
      <c r="N320" t="str">
        <f>IF(M320="","",IF(M320="[FÓRMULA MANUAL]","",IFERROR(AVERAGEIFS(nNOTA,nNIA,M320,nCUENTA,1,nASIG,"Armonía"),"")))</f>
        <v/>
      </c>
      <c r="O320" t="str">
        <f>IF(M320="","",IF(M320="[FÓRMULA MANUAL]","",IFERROR(AVERAGEIFS(nNOTA,nNIA,M320,nCUENTA,1,nASIG,"Orquesta/Banda/Conjunto"),"")))</f>
        <v/>
      </c>
      <c r="P320" t="str">
        <f>IF(M320="","",IF(M320="[FÓRMULA MANUAL]","",IFERROR(AVERAGEIFS(nNOTA,nNIA,M320,nCUENTA,1,nASIG,"Música de Cámara"),"")))</f>
        <v/>
      </c>
      <c r="Q320" t="str">
        <f>IF(M320="","",IF(M320="[FÓRMULA MANUAL]","",IFERROR(SUMPRODUCT((nNIA=M320)*(nCUENTA=1)*(COUNTIF(CONFIG_ASIGNATURAS!$B$7:$B$27,nASIG)&gt;0)*(nNOTA))/SUMPRODUCT((nNIA=M320)*(nCUENTA=1)*(COUNTIF(CONFIG_ASIGNATURAS!$B$7:$B$27,nASIG)&gt;0)*1),"")))</f>
        <v/>
      </c>
      <c r="T320" t="str">
        <f>IF(S320="","",IF(S320="[FÓRMULA MANUAL]","",IFERROR(AVERAGEIFS(nNOTA,nNIA,S320,nCUENTA,1,nASIG,"Armonía"),"")))</f>
        <v/>
      </c>
      <c r="U320" t="str">
        <f>IF(S320="","",IF(S320="[FÓRMULA MANUAL]","",IFERROR(AVERAGEIFS(nNOTA,nNIA,S320,nCUENTA,1,nASIG,"Orquesta/Banda/Conjunto"),"")))</f>
        <v/>
      </c>
      <c r="V320" t="str">
        <f>IF(S320="","",IF(S320="[FÓRMULA MANUAL]","",IFERROR(AVERAGEIFS(nNOTA,nNIA,S320,nCUENTA,1,nASIG,"Música de Cámara"),"")))</f>
        <v/>
      </c>
      <c r="W320" t="str">
        <f>IF(S320="","",IF(S320="[FÓRMULA MANUAL]","",IFERROR(SUMPRODUCT((nNIA=S320)*(nCUENTA=1)*(COUNTIF(CONFIG_ASIGNATURAS!$B$7:$B$27,nASIG)&gt;0)*(nNOTA))/SUMPRODUCT((nNIA=S320)*(nCUENTA=1)*(COUNTIF(CONFIG_ASIGNATURAS!$B$7:$B$27,nASIG)&gt;0)*1),"")))</f>
        <v/>
      </c>
      <c r="Z320" t="str">
        <f>IF(Y320="","",IF(Y320="[FÓRMULA MANUAL]","",IFERROR(AVERAGEIFS(nNOTA,nNIA,Y320,nCUENTA,1,nASIG,"Análisis"),"")))</f>
        <v/>
      </c>
      <c r="AA320" t="str">
        <f>IF(Y320="","",IF(Y320="[FÓRMULA MANUAL]","",IFERROR(AVERAGEIFS(nNOTA,nNIA,Y320,nCUENTA,1,nASIG,"Orquesta/Banda/Conjunto"),"")))</f>
        <v/>
      </c>
      <c r="AB320" t="str">
        <f>IF(Y320="","",IF(Y320="[FÓRMULA MANUAL]","",IFERROR(AVERAGEIFS(nNOTA,nNIA,Y320,nCUENTA,1,nASIG,"Música de Cámara"),"")))</f>
        <v/>
      </c>
      <c r="AC320" t="str">
        <f>IF(Y320="","",IF(Y320="[FÓRMULA MANUAL]","",IFERROR(SUMPRODUCT((nNIA=Y320)*(nCUENTA=1)*(COUNTIF(CONFIG_ASIGNATURAS!$B$7:$B$27,nASIG)&gt;0)*(nNOTA))/SUMPRODUCT((nNIA=Y320)*(nCUENTA=1)*(COUNTIF(CONFIG_ASIGNATURAS!$B$7:$B$27,nASIG)&gt;0)*1),"")))</f>
        <v/>
      </c>
      <c r="AF320" t="str">
        <f>IF(AE320="","",IF(AE320="[FÓRMULA MANUAL]","",IFERROR(AVERAGEIFS(nNOTA,nNIA,AE320,nCUENTA,1,nASIG,"Análisis"),"")))</f>
        <v/>
      </c>
      <c r="AG320" t="str">
        <f>IF(AE320="","",IF(AE320="[FÓRMULA MANUAL]","",IFERROR(AVERAGEIFS(nNOTA,nNIA,AE320,nCUENTA,1,nASIG,"Orquesta/Banda/Conjunto"),"")))</f>
        <v/>
      </c>
      <c r="AH320" t="str">
        <f>IF(AE320="","",IF(AE320="[FÓRMULA MANUAL]","",IFERROR(AVERAGEIFS(nNOTA,nNIA,AE320,nCUENTA,1,nASIG,"Música de Cámara"),"")))</f>
        <v/>
      </c>
      <c r="AI320" t="str">
        <f>IF(AE320="","",IF(AE320="[FÓRMULA MANUAL]","",IFERROR(SUMPRODUCT((nNIA=AE320)*(nCUENTA=1)*(COUNTIF(CONFIG_ASIGNATURAS!$B$7:$B$27,nASIG)&gt;0)*(nNOTA))/SUMPRODUCT((nNIA=AE320)*(nCUENTA=1)*(COUNTIF(CONFIG_ASIGNATURAS!$B$7:$B$27,nASIG)&gt;0)*1),"")))</f>
        <v/>
      </c>
    </row>
    <row r="321" spans="2:35" x14ac:dyDescent="0.2">
      <c r="B321" t="str">
        <f>IF(A321="","",IF(A321="[FÓRMULA MANUAL]","",IFERROR(AVERAGEIFS(nNOTA,nNIA,A321,nCUENTA,1,nASIG,"Lenguaje Musical"),"")))</f>
        <v/>
      </c>
      <c r="C321" t="str">
        <f>IF(A321="","",IF(A321="[FÓRMULA MANUAL]","",IFERROR(AVERAGEIFS(nNOTA,nNIA,A321,nCUENTA,1,nASIG,"Orquesta/Banda/Conjunto"),"")))</f>
        <v/>
      </c>
      <c r="D321" t="str">
        <f>IF(A321="","",IF(A321="[FÓRMULA MANUAL]","",IFERROR(AVERAGEIFS(nNOTA,nNIA,A321,nCUENTA,1,nASIG,"Conjunto"),"")))</f>
        <v/>
      </c>
      <c r="E321" t="str">
        <f>IF(A321="","",IF(A321="[FÓRMULA MANUAL]","",IFERROR(SUMPRODUCT((nNIA=A321)*(nCUENTA=1)*(COUNTIF(CONFIG_ASIGNATURAS!$B$7:$B$27,nASIG)&gt;0)*(nNOTA))/SUMPRODUCT((nNIA=A321)*(nCUENTA=1)*(COUNTIF(CONFIG_ASIGNATURAS!$B$7:$B$27,nASIG)&gt;0)*1),"")))</f>
        <v/>
      </c>
      <c r="H321" t="str">
        <f>IF(G321="","",IF(G321="[FÓRMULA MANUAL]","",IFERROR(AVERAGEIFS(nNOTA,nNIA,G321,nCUENTA,1,nASIG,"Lenguaje Musical"),"")))</f>
        <v/>
      </c>
      <c r="I321" t="str">
        <f>IF(G321="","",IF(G321="[FÓRMULA MANUAL]","",IFERROR(AVERAGEIFS(nNOTA,nNIA,G321,nCUENTA,1,nASIG,"Orquesta/Banda/Conjunto"),"")))</f>
        <v/>
      </c>
      <c r="J321" t="str">
        <f>IF(G321="","",IF(G321="[FÓRMULA MANUAL]","",IFERROR(AVERAGEIFS(nNOTA,nNIA,G321,nCUENTA,1,nASIG,"Conjunto"),"")))</f>
        <v/>
      </c>
      <c r="K321" t="str">
        <f>IF(G321="","",IF(G321="[FÓRMULA MANUAL]","",IFERROR(SUMPRODUCT((nNIA=G321)*(nCUENTA=1)*(COUNTIF(CONFIG_ASIGNATURAS!$B$7:$B$27,nASIG)&gt;0)*(nNOTA))/SUMPRODUCT((nNIA=G321)*(nCUENTA=1)*(COUNTIF(CONFIG_ASIGNATURAS!$B$7:$B$27,nASIG)&gt;0)*1),"")))</f>
        <v/>
      </c>
      <c r="N321" t="str">
        <f>IF(M321="","",IF(M321="[FÓRMULA MANUAL]","",IFERROR(AVERAGEIFS(nNOTA,nNIA,M321,nCUENTA,1,nASIG,"Armonía"),"")))</f>
        <v/>
      </c>
      <c r="O321" t="str">
        <f>IF(M321="","",IF(M321="[FÓRMULA MANUAL]","",IFERROR(AVERAGEIFS(nNOTA,nNIA,M321,nCUENTA,1,nASIG,"Orquesta/Banda/Conjunto"),"")))</f>
        <v/>
      </c>
      <c r="P321" t="str">
        <f>IF(M321="","",IF(M321="[FÓRMULA MANUAL]","",IFERROR(AVERAGEIFS(nNOTA,nNIA,M321,nCUENTA,1,nASIG,"Música de Cámara"),"")))</f>
        <v/>
      </c>
      <c r="Q321" t="str">
        <f>IF(M321="","",IF(M321="[FÓRMULA MANUAL]","",IFERROR(SUMPRODUCT((nNIA=M321)*(nCUENTA=1)*(COUNTIF(CONFIG_ASIGNATURAS!$B$7:$B$27,nASIG)&gt;0)*(nNOTA))/SUMPRODUCT((nNIA=M321)*(nCUENTA=1)*(COUNTIF(CONFIG_ASIGNATURAS!$B$7:$B$27,nASIG)&gt;0)*1),"")))</f>
        <v/>
      </c>
      <c r="T321" t="str">
        <f>IF(S321="","",IF(S321="[FÓRMULA MANUAL]","",IFERROR(AVERAGEIFS(nNOTA,nNIA,S321,nCUENTA,1,nASIG,"Armonía"),"")))</f>
        <v/>
      </c>
      <c r="U321" t="str">
        <f>IF(S321="","",IF(S321="[FÓRMULA MANUAL]","",IFERROR(AVERAGEIFS(nNOTA,nNIA,S321,nCUENTA,1,nASIG,"Orquesta/Banda/Conjunto"),"")))</f>
        <v/>
      </c>
      <c r="V321" t="str">
        <f>IF(S321="","",IF(S321="[FÓRMULA MANUAL]","",IFERROR(AVERAGEIFS(nNOTA,nNIA,S321,nCUENTA,1,nASIG,"Música de Cámara"),"")))</f>
        <v/>
      </c>
      <c r="W321" t="str">
        <f>IF(S321="","",IF(S321="[FÓRMULA MANUAL]","",IFERROR(SUMPRODUCT((nNIA=S321)*(nCUENTA=1)*(COUNTIF(CONFIG_ASIGNATURAS!$B$7:$B$27,nASIG)&gt;0)*(nNOTA))/SUMPRODUCT((nNIA=S321)*(nCUENTA=1)*(COUNTIF(CONFIG_ASIGNATURAS!$B$7:$B$27,nASIG)&gt;0)*1),"")))</f>
        <v/>
      </c>
      <c r="Z321" t="str">
        <f>IF(Y321="","",IF(Y321="[FÓRMULA MANUAL]","",IFERROR(AVERAGEIFS(nNOTA,nNIA,Y321,nCUENTA,1,nASIG,"Análisis"),"")))</f>
        <v/>
      </c>
      <c r="AA321" t="str">
        <f>IF(Y321="","",IF(Y321="[FÓRMULA MANUAL]","",IFERROR(AVERAGEIFS(nNOTA,nNIA,Y321,nCUENTA,1,nASIG,"Orquesta/Banda/Conjunto"),"")))</f>
        <v/>
      </c>
      <c r="AB321" t="str">
        <f>IF(Y321="","",IF(Y321="[FÓRMULA MANUAL]","",IFERROR(AVERAGEIFS(nNOTA,nNIA,Y321,nCUENTA,1,nASIG,"Música de Cámara"),"")))</f>
        <v/>
      </c>
      <c r="AC321" t="str">
        <f>IF(Y321="","",IF(Y321="[FÓRMULA MANUAL]","",IFERROR(SUMPRODUCT((nNIA=Y321)*(nCUENTA=1)*(COUNTIF(CONFIG_ASIGNATURAS!$B$7:$B$27,nASIG)&gt;0)*(nNOTA))/SUMPRODUCT((nNIA=Y321)*(nCUENTA=1)*(COUNTIF(CONFIG_ASIGNATURAS!$B$7:$B$27,nASIG)&gt;0)*1),"")))</f>
        <v/>
      </c>
      <c r="AF321" t="str">
        <f>IF(AE321="","",IF(AE321="[FÓRMULA MANUAL]","",IFERROR(AVERAGEIFS(nNOTA,nNIA,AE321,nCUENTA,1,nASIG,"Análisis"),"")))</f>
        <v/>
      </c>
      <c r="AG321" t="str">
        <f>IF(AE321="","",IF(AE321="[FÓRMULA MANUAL]","",IFERROR(AVERAGEIFS(nNOTA,nNIA,AE321,nCUENTA,1,nASIG,"Orquesta/Banda/Conjunto"),"")))</f>
        <v/>
      </c>
      <c r="AH321" t="str">
        <f>IF(AE321="","",IF(AE321="[FÓRMULA MANUAL]","",IFERROR(AVERAGEIFS(nNOTA,nNIA,AE321,nCUENTA,1,nASIG,"Música de Cámara"),"")))</f>
        <v/>
      </c>
      <c r="AI321" t="str">
        <f>IF(AE321="","",IF(AE321="[FÓRMULA MANUAL]","",IFERROR(SUMPRODUCT((nNIA=AE321)*(nCUENTA=1)*(COUNTIF(CONFIG_ASIGNATURAS!$B$7:$B$27,nASIG)&gt;0)*(nNOTA))/SUMPRODUCT((nNIA=AE321)*(nCUENTA=1)*(COUNTIF(CONFIG_ASIGNATURAS!$B$7:$B$27,nASIG)&gt;0)*1),"")))</f>
        <v/>
      </c>
    </row>
    <row r="322" spans="2:35" x14ac:dyDescent="0.2">
      <c r="B322" t="str">
        <f>IF(A322="","",IF(A322="[FÓRMULA MANUAL]","",IFERROR(AVERAGEIFS(nNOTA,nNIA,A322,nCUENTA,1,nASIG,"Lenguaje Musical"),"")))</f>
        <v/>
      </c>
      <c r="C322" t="str">
        <f>IF(A322="","",IF(A322="[FÓRMULA MANUAL]","",IFERROR(AVERAGEIFS(nNOTA,nNIA,A322,nCUENTA,1,nASIG,"Orquesta/Banda/Conjunto"),"")))</f>
        <v/>
      </c>
      <c r="D322" t="str">
        <f>IF(A322="","",IF(A322="[FÓRMULA MANUAL]","",IFERROR(AVERAGEIFS(nNOTA,nNIA,A322,nCUENTA,1,nASIG,"Conjunto"),"")))</f>
        <v/>
      </c>
      <c r="E322" t="str">
        <f>IF(A322="","",IF(A322="[FÓRMULA MANUAL]","",IFERROR(SUMPRODUCT((nNIA=A322)*(nCUENTA=1)*(COUNTIF(CONFIG_ASIGNATURAS!$B$7:$B$27,nASIG)&gt;0)*(nNOTA))/SUMPRODUCT((nNIA=A322)*(nCUENTA=1)*(COUNTIF(CONFIG_ASIGNATURAS!$B$7:$B$27,nASIG)&gt;0)*1),"")))</f>
        <v/>
      </c>
      <c r="H322" t="str">
        <f>IF(G322="","",IF(G322="[FÓRMULA MANUAL]","",IFERROR(AVERAGEIFS(nNOTA,nNIA,G322,nCUENTA,1,nASIG,"Lenguaje Musical"),"")))</f>
        <v/>
      </c>
      <c r="I322" t="str">
        <f>IF(G322="","",IF(G322="[FÓRMULA MANUAL]","",IFERROR(AVERAGEIFS(nNOTA,nNIA,G322,nCUENTA,1,nASIG,"Orquesta/Banda/Conjunto"),"")))</f>
        <v/>
      </c>
      <c r="J322" t="str">
        <f>IF(G322="","",IF(G322="[FÓRMULA MANUAL]","",IFERROR(AVERAGEIFS(nNOTA,nNIA,G322,nCUENTA,1,nASIG,"Conjunto"),"")))</f>
        <v/>
      </c>
      <c r="K322" t="str">
        <f>IF(G322="","",IF(G322="[FÓRMULA MANUAL]","",IFERROR(SUMPRODUCT((nNIA=G322)*(nCUENTA=1)*(COUNTIF(CONFIG_ASIGNATURAS!$B$7:$B$27,nASIG)&gt;0)*(nNOTA))/SUMPRODUCT((nNIA=G322)*(nCUENTA=1)*(COUNTIF(CONFIG_ASIGNATURAS!$B$7:$B$27,nASIG)&gt;0)*1),"")))</f>
        <v/>
      </c>
      <c r="N322" t="str">
        <f>IF(M322="","",IF(M322="[FÓRMULA MANUAL]","",IFERROR(AVERAGEIFS(nNOTA,nNIA,M322,nCUENTA,1,nASIG,"Armonía"),"")))</f>
        <v/>
      </c>
      <c r="O322" t="str">
        <f>IF(M322="","",IF(M322="[FÓRMULA MANUAL]","",IFERROR(AVERAGEIFS(nNOTA,nNIA,M322,nCUENTA,1,nASIG,"Orquesta/Banda/Conjunto"),"")))</f>
        <v/>
      </c>
      <c r="P322" t="str">
        <f>IF(M322="","",IF(M322="[FÓRMULA MANUAL]","",IFERROR(AVERAGEIFS(nNOTA,nNIA,M322,nCUENTA,1,nASIG,"Música de Cámara"),"")))</f>
        <v/>
      </c>
      <c r="Q322" t="str">
        <f>IF(M322="","",IF(M322="[FÓRMULA MANUAL]","",IFERROR(SUMPRODUCT((nNIA=M322)*(nCUENTA=1)*(COUNTIF(CONFIG_ASIGNATURAS!$B$7:$B$27,nASIG)&gt;0)*(nNOTA))/SUMPRODUCT((nNIA=M322)*(nCUENTA=1)*(COUNTIF(CONFIG_ASIGNATURAS!$B$7:$B$27,nASIG)&gt;0)*1),"")))</f>
        <v/>
      </c>
      <c r="T322" t="str">
        <f>IF(S322="","",IF(S322="[FÓRMULA MANUAL]","",IFERROR(AVERAGEIFS(nNOTA,nNIA,S322,nCUENTA,1,nASIG,"Armonía"),"")))</f>
        <v/>
      </c>
      <c r="U322" t="str">
        <f>IF(S322="","",IF(S322="[FÓRMULA MANUAL]","",IFERROR(AVERAGEIFS(nNOTA,nNIA,S322,nCUENTA,1,nASIG,"Orquesta/Banda/Conjunto"),"")))</f>
        <v/>
      </c>
      <c r="V322" t="str">
        <f>IF(S322="","",IF(S322="[FÓRMULA MANUAL]","",IFERROR(AVERAGEIFS(nNOTA,nNIA,S322,nCUENTA,1,nASIG,"Música de Cámara"),"")))</f>
        <v/>
      </c>
      <c r="W322" t="str">
        <f>IF(S322="","",IF(S322="[FÓRMULA MANUAL]","",IFERROR(SUMPRODUCT((nNIA=S322)*(nCUENTA=1)*(COUNTIF(CONFIG_ASIGNATURAS!$B$7:$B$27,nASIG)&gt;0)*(nNOTA))/SUMPRODUCT((nNIA=S322)*(nCUENTA=1)*(COUNTIF(CONFIG_ASIGNATURAS!$B$7:$B$27,nASIG)&gt;0)*1),"")))</f>
        <v/>
      </c>
      <c r="Z322" t="str">
        <f>IF(Y322="","",IF(Y322="[FÓRMULA MANUAL]","",IFERROR(AVERAGEIFS(nNOTA,nNIA,Y322,nCUENTA,1,nASIG,"Análisis"),"")))</f>
        <v/>
      </c>
      <c r="AA322" t="str">
        <f>IF(Y322="","",IF(Y322="[FÓRMULA MANUAL]","",IFERROR(AVERAGEIFS(nNOTA,nNIA,Y322,nCUENTA,1,nASIG,"Orquesta/Banda/Conjunto"),"")))</f>
        <v/>
      </c>
      <c r="AB322" t="str">
        <f>IF(Y322="","",IF(Y322="[FÓRMULA MANUAL]","",IFERROR(AVERAGEIFS(nNOTA,nNIA,Y322,nCUENTA,1,nASIG,"Música de Cámara"),"")))</f>
        <v/>
      </c>
      <c r="AC322" t="str">
        <f>IF(Y322="","",IF(Y322="[FÓRMULA MANUAL]","",IFERROR(SUMPRODUCT((nNIA=Y322)*(nCUENTA=1)*(COUNTIF(CONFIG_ASIGNATURAS!$B$7:$B$27,nASIG)&gt;0)*(nNOTA))/SUMPRODUCT((nNIA=Y322)*(nCUENTA=1)*(COUNTIF(CONFIG_ASIGNATURAS!$B$7:$B$27,nASIG)&gt;0)*1),"")))</f>
        <v/>
      </c>
      <c r="AF322" t="str">
        <f>IF(AE322="","",IF(AE322="[FÓRMULA MANUAL]","",IFERROR(AVERAGEIFS(nNOTA,nNIA,AE322,nCUENTA,1,nASIG,"Análisis"),"")))</f>
        <v/>
      </c>
      <c r="AG322" t="str">
        <f>IF(AE322="","",IF(AE322="[FÓRMULA MANUAL]","",IFERROR(AVERAGEIFS(nNOTA,nNIA,AE322,nCUENTA,1,nASIG,"Orquesta/Banda/Conjunto"),"")))</f>
        <v/>
      </c>
      <c r="AH322" t="str">
        <f>IF(AE322="","",IF(AE322="[FÓRMULA MANUAL]","",IFERROR(AVERAGEIFS(nNOTA,nNIA,AE322,nCUENTA,1,nASIG,"Música de Cámara"),"")))</f>
        <v/>
      </c>
      <c r="AI322" t="str">
        <f>IF(AE322="","",IF(AE322="[FÓRMULA MANUAL]","",IFERROR(SUMPRODUCT((nNIA=AE322)*(nCUENTA=1)*(COUNTIF(CONFIG_ASIGNATURAS!$B$7:$B$27,nASIG)&gt;0)*(nNOTA))/SUMPRODUCT((nNIA=AE322)*(nCUENTA=1)*(COUNTIF(CONFIG_ASIGNATURAS!$B$7:$B$27,nASIG)&gt;0)*1),"")))</f>
        <v/>
      </c>
    </row>
    <row r="323" spans="2:35" x14ac:dyDescent="0.2">
      <c r="B323" t="str">
        <f>IF(A323="","",IF(A323="[FÓRMULA MANUAL]","",IFERROR(AVERAGEIFS(nNOTA,nNIA,A323,nCUENTA,1,nASIG,"Lenguaje Musical"),"")))</f>
        <v/>
      </c>
      <c r="C323" t="str">
        <f>IF(A323="","",IF(A323="[FÓRMULA MANUAL]","",IFERROR(AVERAGEIFS(nNOTA,nNIA,A323,nCUENTA,1,nASIG,"Orquesta/Banda/Conjunto"),"")))</f>
        <v/>
      </c>
      <c r="D323" t="str">
        <f>IF(A323="","",IF(A323="[FÓRMULA MANUAL]","",IFERROR(AVERAGEIFS(nNOTA,nNIA,A323,nCUENTA,1,nASIG,"Conjunto"),"")))</f>
        <v/>
      </c>
      <c r="E323" t="str">
        <f>IF(A323="","",IF(A323="[FÓRMULA MANUAL]","",IFERROR(SUMPRODUCT((nNIA=A323)*(nCUENTA=1)*(COUNTIF(CONFIG_ASIGNATURAS!$B$7:$B$27,nASIG)&gt;0)*(nNOTA))/SUMPRODUCT((nNIA=A323)*(nCUENTA=1)*(COUNTIF(CONFIG_ASIGNATURAS!$B$7:$B$27,nASIG)&gt;0)*1),"")))</f>
        <v/>
      </c>
      <c r="H323" t="str">
        <f>IF(G323="","",IF(G323="[FÓRMULA MANUAL]","",IFERROR(AVERAGEIFS(nNOTA,nNIA,G323,nCUENTA,1,nASIG,"Lenguaje Musical"),"")))</f>
        <v/>
      </c>
      <c r="I323" t="str">
        <f>IF(G323="","",IF(G323="[FÓRMULA MANUAL]","",IFERROR(AVERAGEIFS(nNOTA,nNIA,G323,nCUENTA,1,nASIG,"Orquesta/Banda/Conjunto"),"")))</f>
        <v/>
      </c>
      <c r="J323" t="str">
        <f>IF(G323="","",IF(G323="[FÓRMULA MANUAL]","",IFERROR(AVERAGEIFS(nNOTA,nNIA,G323,nCUENTA,1,nASIG,"Conjunto"),"")))</f>
        <v/>
      </c>
      <c r="K323" t="str">
        <f>IF(G323="","",IF(G323="[FÓRMULA MANUAL]","",IFERROR(SUMPRODUCT((nNIA=G323)*(nCUENTA=1)*(COUNTIF(CONFIG_ASIGNATURAS!$B$7:$B$27,nASIG)&gt;0)*(nNOTA))/SUMPRODUCT((nNIA=G323)*(nCUENTA=1)*(COUNTIF(CONFIG_ASIGNATURAS!$B$7:$B$27,nASIG)&gt;0)*1),"")))</f>
        <v/>
      </c>
      <c r="N323" t="str">
        <f>IF(M323="","",IF(M323="[FÓRMULA MANUAL]","",IFERROR(AVERAGEIFS(nNOTA,nNIA,M323,nCUENTA,1,nASIG,"Armonía"),"")))</f>
        <v/>
      </c>
      <c r="O323" t="str">
        <f>IF(M323="","",IF(M323="[FÓRMULA MANUAL]","",IFERROR(AVERAGEIFS(nNOTA,nNIA,M323,nCUENTA,1,nASIG,"Orquesta/Banda/Conjunto"),"")))</f>
        <v/>
      </c>
      <c r="P323" t="str">
        <f>IF(M323="","",IF(M323="[FÓRMULA MANUAL]","",IFERROR(AVERAGEIFS(nNOTA,nNIA,M323,nCUENTA,1,nASIG,"Música de Cámara"),"")))</f>
        <v/>
      </c>
      <c r="Q323" t="str">
        <f>IF(M323="","",IF(M323="[FÓRMULA MANUAL]","",IFERROR(SUMPRODUCT((nNIA=M323)*(nCUENTA=1)*(COUNTIF(CONFIG_ASIGNATURAS!$B$7:$B$27,nASIG)&gt;0)*(nNOTA))/SUMPRODUCT((nNIA=M323)*(nCUENTA=1)*(COUNTIF(CONFIG_ASIGNATURAS!$B$7:$B$27,nASIG)&gt;0)*1),"")))</f>
        <v/>
      </c>
      <c r="T323" t="str">
        <f>IF(S323="","",IF(S323="[FÓRMULA MANUAL]","",IFERROR(AVERAGEIFS(nNOTA,nNIA,S323,nCUENTA,1,nASIG,"Armonía"),"")))</f>
        <v/>
      </c>
      <c r="U323" t="str">
        <f>IF(S323="","",IF(S323="[FÓRMULA MANUAL]","",IFERROR(AVERAGEIFS(nNOTA,nNIA,S323,nCUENTA,1,nASIG,"Orquesta/Banda/Conjunto"),"")))</f>
        <v/>
      </c>
      <c r="V323" t="str">
        <f>IF(S323="","",IF(S323="[FÓRMULA MANUAL]","",IFERROR(AVERAGEIFS(nNOTA,nNIA,S323,nCUENTA,1,nASIG,"Música de Cámara"),"")))</f>
        <v/>
      </c>
      <c r="W323" t="str">
        <f>IF(S323="","",IF(S323="[FÓRMULA MANUAL]","",IFERROR(SUMPRODUCT((nNIA=S323)*(nCUENTA=1)*(COUNTIF(CONFIG_ASIGNATURAS!$B$7:$B$27,nASIG)&gt;0)*(nNOTA))/SUMPRODUCT((nNIA=S323)*(nCUENTA=1)*(COUNTIF(CONFIG_ASIGNATURAS!$B$7:$B$27,nASIG)&gt;0)*1),"")))</f>
        <v/>
      </c>
      <c r="Z323" t="str">
        <f>IF(Y323="","",IF(Y323="[FÓRMULA MANUAL]","",IFERROR(AVERAGEIFS(nNOTA,nNIA,Y323,nCUENTA,1,nASIG,"Análisis"),"")))</f>
        <v/>
      </c>
      <c r="AA323" t="str">
        <f>IF(Y323="","",IF(Y323="[FÓRMULA MANUAL]","",IFERROR(AVERAGEIFS(nNOTA,nNIA,Y323,nCUENTA,1,nASIG,"Orquesta/Banda/Conjunto"),"")))</f>
        <v/>
      </c>
      <c r="AB323" t="str">
        <f>IF(Y323="","",IF(Y323="[FÓRMULA MANUAL]","",IFERROR(AVERAGEIFS(nNOTA,nNIA,Y323,nCUENTA,1,nASIG,"Música de Cámara"),"")))</f>
        <v/>
      </c>
      <c r="AC323" t="str">
        <f>IF(Y323="","",IF(Y323="[FÓRMULA MANUAL]","",IFERROR(SUMPRODUCT((nNIA=Y323)*(nCUENTA=1)*(COUNTIF(CONFIG_ASIGNATURAS!$B$7:$B$27,nASIG)&gt;0)*(nNOTA))/SUMPRODUCT((nNIA=Y323)*(nCUENTA=1)*(COUNTIF(CONFIG_ASIGNATURAS!$B$7:$B$27,nASIG)&gt;0)*1),"")))</f>
        <v/>
      </c>
      <c r="AF323" t="str">
        <f>IF(AE323="","",IF(AE323="[FÓRMULA MANUAL]","",IFERROR(AVERAGEIFS(nNOTA,nNIA,AE323,nCUENTA,1,nASIG,"Análisis"),"")))</f>
        <v/>
      </c>
      <c r="AG323" t="str">
        <f>IF(AE323="","",IF(AE323="[FÓRMULA MANUAL]","",IFERROR(AVERAGEIFS(nNOTA,nNIA,AE323,nCUENTA,1,nASIG,"Orquesta/Banda/Conjunto"),"")))</f>
        <v/>
      </c>
      <c r="AH323" t="str">
        <f>IF(AE323="","",IF(AE323="[FÓRMULA MANUAL]","",IFERROR(AVERAGEIFS(nNOTA,nNIA,AE323,nCUENTA,1,nASIG,"Música de Cámara"),"")))</f>
        <v/>
      </c>
      <c r="AI323" t="str">
        <f>IF(AE323="","",IF(AE323="[FÓRMULA MANUAL]","",IFERROR(SUMPRODUCT((nNIA=AE323)*(nCUENTA=1)*(COUNTIF(CONFIG_ASIGNATURAS!$B$7:$B$27,nASIG)&gt;0)*(nNOTA))/SUMPRODUCT((nNIA=AE323)*(nCUENTA=1)*(COUNTIF(CONFIG_ASIGNATURAS!$B$7:$B$27,nASIG)&gt;0)*1),"")))</f>
        <v/>
      </c>
    </row>
    <row r="324" spans="2:35" x14ac:dyDescent="0.2">
      <c r="B324" t="str">
        <f>IF(A324="","",IF(A324="[FÓRMULA MANUAL]","",IFERROR(AVERAGEIFS(nNOTA,nNIA,A324,nCUENTA,1,nASIG,"Lenguaje Musical"),"")))</f>
        <v/>
      </c>
      <c r="C324" t="str">
        <f>IF(A324="","",IF(A324="[FÓRMULA MANUAL]","",IFERROR(AVERAGEIFS(nNOTA,nNIA,A324,nCUENTA,1,nASIG,"Orquesta/Banda/Conjunto"),"")))</f>
        <v/>
      </c>
      <c r="D324" t="str">
        <f>IF(A324="","",IF(A324="[FÓRMULA MANUAL]","",IFERROR(AVERAGEIFS(nNOTA,nNIA,A324,nCUENTA,1,nASIG,"Conjunto"),"")))</f>
        <v/>
      </c>
      <c r="E324" t="str">
        <f>IF(A324="","",IF(A324="[FÓRMULA MANUAL]","",IFERROR(SUMPRODUCT((nNIA=A324)*(nCUENTA=1)*(COUNTIF(CONFIG_ASIGNATURAS!$B$7:$B$27,nASIG)&gt;0)*(nNOTA))/SUMPRODUCT((nNIA=A324)*(nCUENTA=1)*(COUNTIF(CONFIG_ASIGNATURAS!$B$7:$B$27,nASIG)&gt;0)*1),"")))</f>
        <v/>
      </c>
      <c r="H324" t="str">
        <f>IF(G324="","",IF(G324="[FÓRMULA MANUAL]","",IFERROR(AVERAGEIFS(nNOTA,nNIA,G324,nCUENTA,1,nASIG,"Lenguaje Musical"),"")))</f>
        <v/>
      </c>
      <c r="I324" t="str">
        <f>IF(G324="","",IF(G324="[FÓRMULA MANUAL]","",IFERROR(AVERAGEIFS(nNOTA,nNIA,G324,nCUENTA,1,nASIG,"Orquesta/Banda/Conjunto"),"")))</f>
        <v/>
      </c>
      <c r="J324" t="str">
        <f>IF(G324="","",IF(G324="[FÓRMULA MANUAL]","",IFERROR(AVERAGEIFS(nNOTA,nNIA,G324,nCUENTA,1,nASIG,"Conjunto"),"")))</f>
        <v/>
      </c>
      <c r="K324" t="str">
        <f>IF(G324="","",IF(G324="[FÓRMULA MANUAL]","",IFERROR(SUMPRODUCT((nNIA=G324)*(nCUENTA=1)*(COUNTIF(CONFIG_ASIGNATURAS!$B$7:$B$27,nASIG)&gt;0)*(nNOTA))/SUMPRODUCT((nNIA=G324)*(nCUENTA=1)*(COUNTIF(CONFIG_ASIGNATURAS!$B$7:$B$27,nASIG)&gt;0)*1),"")))</f>
        <v/>
      </c>
      <c r="N324" t="str">
        <f>IF(M324="","",IF(M324="[FÓRMULA MANUAL]","",IFERROR(AVERAGEIFS(nNOTA,nNIA,M324,nCUENTA,1,nASIG,"Armonía"),"")))</f>
        <v/>
      </c>
      <c r="O324" t="str">
        <f>IF(M324="","",IF(M324="[FÓRMULA MANUAL]","",IFERROR(AVERAGEIFS(nNOTA,nNIA,M324,nCUENTA,1,nASIG,"Orquesta/Banda/Conjunto"),"")))</f>
        <v/>
      </c>
      <c r="P324" t="str">
        <f>IF(M324="","",IF(M324="[FÓRMULA MANUAL]","",IFERROR(AVERAGEIFS(nNOTA,nNIA,M324,nCUENTA,1,nASIG,"Música de Cámara"),"")))</f>
        <v/>
      </c>
      <c r="Q324" t="str">
        <f>IF(M324="","",IF(M324="[FÓRMULA MANUAL]","",IFERROR(SUMPRODUCT((nNIA=M324)*(nCUENTA=1)*(COUNTIF(CONFIG_ASIGNATURAS!$B$7:$B$27,nASIG)&gt;0)*(nNOTA))/SUMPRODUCT((nNIA=M324)*(nCUENTA=1)*(COUNTIF(CONFIG_ASIGNATURAS!$B$7:$B$27,nASIG)&gt;0)*1),"")))</f>
        <v/>
      </c>
      <c r="T324" t="str">
        <f>IF(S324="","",IF(S324="[FÓRMULA MANUAL]","",IFERROR(AVERAGEIFS(nNOTA,nNIA,S324,nCUENTA,1,nASIG,"Armonía"),"")))</f>
        <v/>
      </c>
      <c r="U324" t="str">
        <f>IF(S324="","",IF(S324="[FÓRMULA MANUAL]","",IFERROR(AVERAGEIFS(nNOTA,nNIA,S324,nCUENTA,1,nASIG,"Orquesta/Banda/Conjunto"),"")))</f>
        <v/>
      </c>
      <c r="V324" t="str">
        <f>IF(S324="","",IF(S324="[FÓRMULA MANUAL]","",IFERROR(AVERAGEIFS(nNOTA,nNIA,S324,nCUENTA,1,nASIG,"Música de Cámara"),"")))</f>
        <v/>
      </c>
      <c r="W324" t="str">
        <f>IF(S324="","",IF(S324="[FÓRMULA MANUAL]","",IFERROR(SUMPRODUCT((nNIA=S324)*(nCUENTA=1)*(COUNTIF(CONFIG_ASIGNATURAS!$B$7:$B$27,nASIG)&gt;0)*(nNOTA))/SUMPRODUCT((nNIA=S324)*(nCUENTA=1)*(COUNTIF(CONFIG_ASIGNATURAS!$B$7:$B$27,nASIG)&gt;0)*1),"")))</f>
        <v/>
      </c>
      <c r="Z324" t="str">
        <f>IF(Y324="","",IF(Y324="[FÓRMULA MANUAL]","",IFERROR(AVERAGEIFS(nNOTA,nNIA,Y324,nCUENTA,1,nASIG,"Análisis"),"")))</f>
        <v/>
      </c>
      <c r="AA324" t="str">
        <f>IF(Y324="","",IF(Y324="[FÓRMULA MANUAL]","",IFERROR(AVERAGEIFS(nNOTA,nNIA,Y324,nCUENTA,1,nASIG,"Orquesta/Banda/Conjunto"),"")))</f>
        <v/>
      </c>
      <c r="AB324" t="str">
        <f>IF(Y324="","",IF(Y324="[FÓRMULA MANUAL]","",IFERROR(AVERAGEIFS(nNOTA,nNIA,Y324,nCUENTA,1,nASIG,"Música de Cámara"),"")))</f>
        <v/>
      </c>
      <c r="AC324" t="str">
        <f>IF(Y324="","",IF(Y324="[FÓRMULA MANUAL]","",IFERROR(SUMPRODUCT((nNIA=Y324)*(nCUENTA=1)*(COUNTIF(CONFIG_ASIGNATURAS!$B$7:$B$27,nASIG)&gt;0)*(nNOTA))/SUMPRODUCT((nNIA=Y324)*(nCUENTA=1)*(COUNTIF(CONFIG_ASIGNATURAS!$B$7:$B$27,nASIG)&gt;0)*1),"")))</f>
        <v/>
      </c>
      <c r="AF324" t="str">
        <f>IF(AE324="","",IF(AE324="[FÓRMULA MANUAL]","",IFERROR(AVERAGEIFS(nNOTA,nNIA,AE324,nCUENTA,1,nASIG,"Análisis"),"")))</f>
        <v/>
      </c>
      <c r="AG324" t="str">
        <f>IF(AE324="","",IF(AE324="[FÓRMULA MANUAL]","",IFERROR(AVERAGEIFS(nNOTA,nNIA,AE324,nCUENTA,1,nASIG,"Orquesta/Banda/Conjunto"),"")))</f>
        <v/>
      </c>
      <c r="AH324" t="str">
        <f>IF(AE324="","",IF(AE324="[FÓRMULA MANUAL]","",IFERROR(AVERAGEIFS(nNOTA,nNIA,AE324,nCUENTA,1,nASIG,"Música de Cámara"),"")))</f>
        <v/>
      </c>
      <c r="AI324" t="str">
        <f>IF(AE324="","",IF(AE324="[FÓRMULA MANUAL]","",IFERROR(SUMPRODUCT((nNIA=AE324)*(nCUENTA=1)*(COUNTIF(CONFIG_ASIGNATURAS!$B$7:$B$27,nASIG)&gt;0)*(nNOTA))/SUMPRODUCT((nNIA=AE324)*(nCUENTA=1)*(COUNTIF(CONFIG_ASIGNATURAS!$B$7:$B$27,nASIG)&gt;0)*1),"")))</f>
        <v/>
      </c>
    </row>
    <row r="325" spans="2:35" x14ac:dyDescent="0.2">
      <c r="B325" t="str">
        <f>IF(A325="","",IF(A325="[FÓRMULA MANUAL]","",IFERROR(AVERAGEIFS(nNOTA,nNIA,A325,nCUENTA,1,nASIG,"Lenguaje Musical"),"")))</f>
        <v/>
      </c>
      <c r="C325" t="str">
        <f>IF(A325="","",IF(A325="[FÓRMULA MANUAL]","",IFERROR(AVERAGEIFS(nNOTA,nNIA,A325,nCUENTA,1,nASIG,"Orquesta/Banda/Conjunto"),"")))</f>
        <v/>
      </c>
      <c r="D325" t="str">
        <f>IF(A325="","",IF(A325="[FÓRMULA MANUAL]","",IFERROR(AVERAGEIFS(nNOTA,nNIA,A325,nCUENTA,1,nASIG,"Conjunto"),"")))</f>
        <v/>
      </c>
      <c r="E325" t="str">
        <f>IF(A325="","",IF(A325="[FÓRMULA MANUAL]","",IFERROR(SUMPRODUCT((nNIA=A325)*(nCUENTA=1)*(COUNTIF(CONFIG_ASIGNATURAS!$B$7:$B$27,nASIG)&gt;0)*(nNOTA))/SUMPRODUCT((nNIA=A325)*(nCUENTA=1)*(COUNTIF(CONFIG_ASIGNATURAS!$B$7:$B$27,nASIG)&gt;0)*1),"")))</f>
        <v/>
      </c>
      <c r="H325" t="str">
        <f>IF(G325="","",IF(G325="[FÓRMULA MANUAL]","",IFERROR(AVERAGEIFS(nNOTA,nNIA,G325,nCUENTA,1,nASIG,"Lenguaje Musical"),"")))</f>
        <v/>
      </c>
      <c r="I325" t="str">
        <f>IF(G325="","",IF(G325="[FÓRMULA MANUAL]","",IFERROR(AVERAGEIFS(nNOTA,nNIA,G325,nCUENTA,1,nASIG,"Orquesta/Banda/Conjunto"),"")))</f>
        <v/>
      </c>
      <c r="J325" t="str">
        <f>IF(G325="","",IF(G325="[FÓRMULA MANUAL]","",IFERROR(AVERAGEIFS(nNOTA,nNIA,G325,nCUENTA,1,nASIG,"Conjunto"),"")))</f>
        <v/>
      </c>
      <c r="K325" t="str">
        <f>IF(G325="","",IF(G325="[FÓRMULA MANUAL]","",IFERROR(SUMPRODUCT((nNIA=G325)*(nCUENTA=1)*(COUNTIF(CONFIG_ASIGNATURAS!$B$7:$B$27,nASIG)&gt;0)*(nNOTA))/SUMPRODUCT((nNIA=G325)*(nCUENTA=1)*(COUNTIF(CONFIG_ASIGNATURAS!$B$7:$B$27,nASIG)&gt;0)*1),"")))</f>
        <v/>
      </c>
      <c r="N325" t="str">
        <f>IF(M325="","",IF(M325="[FÓRMULA MANUAL]","",IFERROR(AVERAGEIFS(nNOTA,nNIA,M325,nCUENTA,1,nASIG,"Armonía"),"")))</f>
        <v/>
      </c>
      <c r="O325" t="str">
        <f>IF(M325="","",IF(M325="[FÓRMULA MANUAL]","",IFERROR(AVERAGEIFS(nNOTA,nNIA,M325,nCUENTA,1,nASIG,"Orquesta/Banda/Conjunto"),"")))</f>
        <v/>
      </c>
      <c r="P325" t="str">
        <f>IF(M325="","",IF(M325="[FÓRMULA MANUAL]","",IFERROR(AVERAGEIFS(nNOTA,nNIA,M325,nCUENTA,1,nASIG,"Música de Cámara"),"")))</f>
        <v/>
      </c>
      <c r="Q325" t="str">
        <f>IF(M325="","",IF(M325="[FÓRMULA MANUAL]","",IFERROR(SUMPRODUCT((nNIA=M325)*(nCUENTA=1)*(COUNTIF(CONFIG_ASIGNATURAS!$B$7:$B$27,nASIG)&gt;0)*(nNOTA))/SUMPRODUCT((nNIA=M325)*(nCUENTA=1)*(COUNTIF(CONFIG_ASIGNATURAS!$B$7:$B$27,nASIG)&gt;0)*1),"")))</f>
        <v/>
      </c>
      <c r="T325" t="str">
        <f>IF(S325="","",IF(S325="[FÓRMULA MANUAL]","",IFERROR(AVERAGEIFS(nNOTA,nNIA,S325,nCUENTA,1,nASIG,"Armonía"),"")))</f>
        <v/>
      </c>
      <c r="U325" t="str">
        <f>IF(S325="","",IF(S325="[FÓRMULA MANUAL]","",IFERROR(AVERAGEIFS(nNOTA,nNIA,S325,nCUENTA,1,nASIG,"Orquesta/Banda/Conjunto"),"")))</f>
        <v/>
      </c>
      <c r="V325" t="str">
        <f>IF(S325="","",IF(S325="[FÓRMULA MANUAL]","",IFERROR(AVERAGEIFS(nNOTA,nNIA,S325,nCUENTA,1,nASIG,"Música de Cámara"),"")))</f>
        <v/>
      </c>
      <c r="W325" t="str">
        <f>IF(S325="","",IF(S325="[FÓRMULA MANUAL]","",IFERROR(SUMPRODUCT((nNIA=S325)*(nCUENTA=1)*(COUNTIF(CONFIG_ASIGNATURAS!$B$7:$B$27,nASIG)&gt;0)*(nNOTA))/SUMPRODUCT((nNIA=S325)*(nCUENTA=1)*(COUNTIF(CONFIG_ASIGNATURAS!$B$7:$B$27,nASIG)&gt;0)*1),"")))</f>
        <v/>
      </c>
      <c r="Z325" t="str">
        <f>IF(Y325="","",IF(Y325="[FÓRMULA MANUAL]","",IFERROR(AVERAGEIFS(nNOTA,nNIA,Y325,nCUENTA,1,nASIG,"Análisis"),"")))</f>
        <v/>
      </c>
      <c r="AA325" t="str">
        <f>IF(Y325="","",IF(Y325="[FÓRMULA MANUAL]","",IFERROR(AVERAGEIFS(nNOTA,nNIA,Y325,nCUENTA,1,nASIG,"Orquesta/Banda/Conjunto"),"")))</f>
        <v/>
      </c>
      <c r="AB325" t="str">
        <f>IF(Y325="","",IF(Y325="[FÓRMULA MANUAL]","",IFERROR(AVERAGEIFS(nNOTA,nNIA,Y325,nCUENTA,1,nASIG,"Música de Cámara"),"")))</f>
        <v/>
      </c>
      <c r="AC325" t="str">
        <f>IF(Y325="","",IF(Y325="[FÓRMULA MANUAL]","",IFERROR(SUMPRODUCT((nNIA=Y325)*(nCUENTA=1)*(COUNTIF(CONFIG_ASIGNATURAS!$B$7:$B$27,nASIG)&gt;0)*(nNOTA))/SUMPRODUCT((nNIA=Y325)*(nCUENTA=1)*(COUNTIF(CONFIG_ASIGNATURAS!$B$7:$B$27,nASIG)&gt;0)*1),"")))</f>
        <v/>
      </c>
      <c r="AF325" t="str">
        <f>IF(AE325="","",IF(AE325="[FÓRMULA MANUAL]","",IFERROR(AVERAGEIFS(nNOTA,nNIA,AE325,nCUENTA,1,nASIG,"Análisis"),"")))</f>
        <v/>
      </c>
      <c r="AG325" t="str">
        <f>IF(AE325="","",IF(AE325="[FÓRMULA MANUAL]","",IFERROR(AVERAGEIFS(nNOTA,nNIA,AE325,nCUENTA,1,nASIG,"Orquesta/Banda/Conjunto"),"")))</f>
        <v/>
      </c>
      <c r="AH325" t="str">
        <f>IF(AE325="","",IF(AE325="[FÓRMULA MANUAL]","",IFERROR(AVERAGEIFS(nNOTA,nNIA,AE325,nCUENTA,1,nASIG,"Música de Cámara"),"")))</f>
        <v/>
      </c>
      <c r="AI325" t="str">
        <f>IF(AE325="","",IF(AE325="[FÓRMULA MANUAL]","",IFERROR(SUMPRODUCT((nNIA=AE325)*(nCUENTA=1)*(COUNTIF(CONFIG_ASIGNATURAS!$B$7:$B$27,nASIG)&gt;0)*(nNOTA))/SUMPRODUCT((nNIA=AE325)*(nCUENTA=1)*(COUNTIF(CONFIG_ASIGNATURAS!$B$7:$B$27,nASIG)&gt;0)*1),"")))</f>
        <v/>
      </c>
    </row>
    <row r="326" spans="2:35" x14ac:dyDescent="0.2">
      <c r="B326" t="str">
        <f>IF(A326="","",IF(A326="[FÓRMULA MANUAL]","",IFERROR(AVERAGEIFS(nNOTA,nNIA,A326,nCUENTA,1,nASIG,"Lenguaje Musical"),"")))</f>
        <v/>
      </c>
      <c r="C326" t="str">
        <f>IF(A326="","",IF(A326="[FÓRMULA MANUAL]","",IFERROR(AVERAGEIFS(nNOTA,nNIA,A326,nCUENTA,1,nASIG,"Orquesta/Banda/Conjunto"),"")))</f>
        <v/>
      </c>
      <c r="D326" t="str">
        <f>IF(A326="","",IF(A326="[FÓRMULA MANUAL]","",IFERROR(AVERAGEIFS(nNOTA,nNIA,A326,nCUENTA,1,nASIG,"Conjunto"),"")))</f>
        <v/>
      </c>
      <c r="E326" t="str">
        <f>IF(A326="","",IF(A326="[FÓRMULA MANUAL]","",IFERROR(SUMPRODUCT((nNIA=A326)*(nCUENTA=1)*(COUNTIF(CONFIG_ASIGNATURAS!$B$7:$B$27,nASIG)&gt;0)*(nNOTA))/SUMPRODUCT((nNIA=A326)*(nCUENTA=1)*(COUNTIF(CONFIG_ASIGNATURAS!$B$7:$B$27,nASIG)&gt;0)*1),"")))</f>
        <v/>
      </c>
      <c r="H326" t="str">
        <f>IF(G326="","",IF(G326="[FÓRMULA MANUAL]","",IFERROR(AVERAGEIFS(nNOTA,nNIA,G326,nCUENTA,1,nASIG,"Lenguaje Musical"),"")))</f>
        <v/>
      </c>
      <c r="I326" t="str">
        <f>IF(G326="","",IF(G326="[FÓRMULA MANUAL]","",IFERROR(AVERAGEIFS(nNOTA,nNIA,G326,nCUENTA,1,nASIG,"Orquesta/Banda/Conjunto"),"")))</f>
        <v/>
      </c>
      <c r="J326" t="str">
        <f>IF(G326="","",IF(G326="[FÓRMULA MANUAL]","",IFERROR(AVERAGEIFS(nNOTA,nNIA,G326,nCUENTA,1,nASIG,"Conjunto"),"")))</f>
        <v/>
      </c>
      <c r="K326" t="str">
        <f>IF(G326="","",IF(G326="[FÓRMULA MANUAL]","",IFERROR(SUMPRODUCT((nNIA=G326)*(nCUENTA=1)*(COUNTIF(CONFIG_ASIGNATURAS!$B$7:$B$27,nASIG)&gt;0)*(nNOTA))/SUMPRODUCT((nNIA=G326)*(nCUENTA=1)*(COUNTIF(CONFIG_ASIGNATURAS!$B$7:$B$27,nASIG)&gt;0)*1),"")))</f>
        <v/>
      </c>
      <c r="N326" t="str">
        <f>IF(M326="","",IF(M326="[FÓRMULA MANUAL]","",IFERROR(AVERAGEIFS(nNOTA,nNIA,M326,nCUENTA,1,nASIG,"Armonía"),"")))</f>
        <v/>
      </c>
      <c r="O326" t="str">
        <f>IF(M326="","",IF(M326="[FÓRMULA MANUAL]","",IFERROR(AVERAGEIFS(nNOTA,nNIA,M326,nCUENTA,1,nASIG,"Orquesta/Banda/Conjunto"),"")))</f>
        <v/>
      </c>
      <c r="P326" t="str">
        <f>IF(M326="","",IF(M326="[FÓRMULA MANUAL]","",IFERROR(AVERAGEIFS(nNOTA,nNIA,M326,nCUENTA,1,nASIG,"Música de Cámara"),"")))</f>
        <v/>
      </c>
      <c r="Q326" t="str">
        <f>IF(M326="","",IF(M326="[FÓRMULA MANUAL]","",IFERROR(SUMPRODUCT((nNIA=M326)*(nCUENTA=1)*(COUNTIF(CONFIG_ASIGNATURAS!$B$7:$B$27,nASIG)&gt;0)*(nNOTA))/SUMPRODUCT((nNIA=M326)*(nCUENTA=1)*(COUNTIF(CONFIG_ASIGNATURAS!$B$7:$B$27,nASIG)&gt;0)*1),"")))</f>
        <v/>
      </c>
      <c r="T326" t="str">
        <f>IF(S326="","",IF(S326="[FÓRMULA MANUAL]","",IFERROR(AVERAGEIFS(nNOTA,nNIA,S326,nCUENTA,1,nASIG,"Armonía"),"")))</f>
        <v/>
      </c>
      <c r="U326" t="str">
        <f>IF(S326="","",IF(S326="[FÓRMULA MANUAL]","",IFERROR(AVERAGEIFS(nNOTA,nNIA,S326,nCUENTA,1,nASIG,"Orquesta/Banda/Conjunto"),"")))</f>
        <v/>
      </c>
      <c r="V326" t="str">
        <f>IF(S326="","",IF(S326="[FÓRMULA MANUAL]","",IFERROR(AVERAGEIFS(nNOTA,nNIA,S326,nCUENTA,1,nASIG,"Música de Cámara"),"")))</f>
        <v/>
      </c>
      <c r="W326" t="str">
        <f>IF(S326="","",IF(S326="[FÓRMULA MANUAL]","",IFERROR(SUMPRODUCT((nNIA=S326)*(nCUENTA=1)*(COUNTIF(CONFIG_ASIGNATURAS!$B$7:$B$27,nASIG)&gt;0)*(nNOTA))/SUMPRODUCT((nNIA=S326)*(nCUENTA=1)*(COUNTIF(CONFIG_ASIGNATURAS!$B$7:$B$27,nASIG)&gt;0)*1),"")))</f>
        <v/>
      </c>
      <c r="Z326" t="str">
        <f>IF(Y326="","",IF(Y326="[FÓRMULA MANUAL]","",IFERROR(AVERAGEIFS(nNOTA,nNIA,Y326,nCUENTA,1,nASIG,"Análisis"),"")))</f>
        <v/>
      </c>
      <c r="AA326" t="str">
        <f>IF(Y326="","",IF(Y326="[FÓRMULA MANUAL]","",IFERROR(AVERAGEIFS(nNOTA,nNIA,Y326,nCUENTA,1,nASIG,"Orquesta/Banda/Conjunto"),"")))</f>
        <v/>
      </c>
      <c r="AB326" t="str">
        <f>IF(Y326="","",IF(Y326="[FÓRMULA MANUAL]","",IFERROR(AVERAGEIFS(nNOTA,nNIA,Y326,nCUENTA,1,nASIG,"Música de Cámara"),"")))</f>
        <v/>
      </c>
      <c r="AC326" t="str">
        <f>IF(Y326="","",IF(Y326="[FÓRMULA MANUAL]","",IFERROR(SUMPRODUCT((nNIA=Y326)*(nCUENTA=1)*(COUNTIF(CONFIG_ASIGNATURAS!$B$7:$B$27,nASIG)&gt;0)*(nNOTA))/SUMPRODUCT((nNIA=Y326)*(nCUENTA=1)*(COUNTIF(CONFIG_ASIGNATURAS!$B$7:$B$27,nASIG)&gt;0)*1),"")))</f>
        <v/>
      </c>
      <c r="AF326" t="str">
        <f>IF(AE326="","",IF(AE326="[FÓRMULA MANUAL]","",IFERROR(AVERAGEIFS(nNOTA,nNIA,AE326,nCUENTA,1,nASIG,"Análisis"),"")))</f>
        <v/>
      </c>
      <c r="AG326" t="str">
        <f>IF(AE326="","",IF(AE326="[FÓRMULA MANUAL]","",IFERROR(AVERAGEIFS(nNOTA,nNIA,AE326,nCUENTA,1,nASIG,"Orquesta/Banda/Conjunto"),"")))</f>
        <v/>
      </c>
      <c r="AH326" t="str">
        <f>IF(AE326="","",IF(AE326="[FÓRMULA MANUAL]","",IFERROR(AVERAGEIFS(nNOTA,nNIA,AE326,nCUENTA,1,nASIG,"Música de Cámara"),"")))</f>
        <v/>
      </c>
      <c r="AI326" t="str">
        <f>IF(AE326="","",IF(AE326="[FÓRMULA MANUAL]","",IFERROR(SUMPRODUCT((nNIA=AE326)*(nCUENTA=1)*(COUNTIF(CONFIG_ASIGNATURAS!$B$7:$B$27,nASIG)&gt;0)*(nNOTA))/SUMPRODUCT((nNIA=AE326)*(nCUENTA=1)*(COUNTIF(CONFIG_ASIGNATURAS!$B$7:$B$27,nASIG)&gt;0)*1),"")))</f>
        <v/>
      </c>
    </row>
    <row r="327" spans="2:35" x14ac:dyDescent="0.2">
      <c r="B327" t="str">
        <f>IF(A327="","",IF(A327="[FÓRMULA MANUAL]","",IFERROR(AVERAGEIFS(nNOTA,nNIA,A327,nCUENTA,1,nASIG,"Lenguaje Musical"),"")))</f>
        <v/>
      </c>
      <c r="C327" t="str">
        <f>IF(A327="","",IF(A327="[FÓRMULA MANUAL]","",IFERROR(AVERAGEIFS(nNOTA,nNIA,A327,nCUENTA,1,nASIG,"Orquesta/Banda/Conjunto"),"")))</f>
        <v/>
      </c>
      <c r="D327" t="str">
        <f>IF(A327="","",IF(A327="[FÓRMULA MANUAL]","",IFERROR(AVERAGEIFS(nNOTA,nNIA,A327,nCUENTA,1,nASIG,"Conjunto"),"")))</f>
        <v/>
      </c>
      <c r="E327" t="str">
        <f>IF(A327="","",IF(A327="[FÓRMULA MANUAL]","",IFERROR(SUMPRODUCT((nNIA=A327)*(nCUENTA=1)*(COUNTIF(CONFIG_ASIGNATURAS!$B$7:$B$27,nASIG)&gt;0)*(nNOTA))/SUMPRODUCT((nNIA=A327)*(nCUENTA=1)*(COUNTIF(CONFIG_ASIGNATURAS!$B$7:$B$27,nASIG)&gt;0)*1),"")))</f>
        <v/>
      </c>
      <c r="H327" t="str">
        <f>IF(G327="","",IF(G327="[FÓRMULA MANUAL]","",IFERROR(AVERAGEIFS(nNOTA,nNIA,G327,nCUENTA,1,nASIG,"Lenguaje Musical"),"")))</f>
        <v/>
      </c>
      <c r="I327" t="str">
        <f>IF(G327="","",IF(G327="[FÓRMULA MANUAL]","",IFERROR(AVERAGEIFS(nNOTA,nNIA,G327,nCUENTA,1,nASIG,"Orquesta/Banda/Conjunto"),"")))</f>
        <v/>
      </c>
      <c r="J327" t="str">
        <f>IF(G327="","",IF(G327="[FÓRMULA MANUAL]","",IFERROR(AVERAGEIFS(nNOTA,nNIA,G327,nCUENTA,1,nASIG,"Conjunto"),"")))</f>
        <v/>
      </c>
      <c r="K327" t="str">
        <f>IF(G327="","",IF(G327="[FÓRMULA MANUAL]","",IFERROR(SUMPRODUCT((nNIA=G327)*(nCUENTA=1)*(COUNTIF(CONFIG_ASIGNATURAS!$B$7:$B$27,nASIG)&gt;0)*(nNOTA))/SUMPRODUCT((nNIA=G327)*(nCUENTA=1)*(COUNTIF(CONFIG_ASIGNATURAS!$B$7:$B$27,nASIG)&gt;0)*1),"")))</f>
        <v/>
      </c>
      <c r="N327" t="str">
        <f>IF(M327="","",IF(M327="[FÓRMULA MANUAL]","",IFERROR(AVERAGEIFS(nNOTA,nNIA,M327,nCUENTA,1,nASIG,"Armonía"),"")))</f>
        <v/>
      </c>
      <c r="O327" t="str">
        <f>IF(M327="","",IF(M327="[FÓRMULA MANUAL]","",IFERROR(AVERAGEIFS(nNOTA,nNIA,M327,nCUENTA,1,nASIG,"Orquesta/Banda/Conjunto"),"")))</f>
        <v/>
      </c>
      <c r="P327" t="str">
        <f>IF(M327="","",IF(M327="[FÓRMULA MANUAL]","",IFERROR(AVERAGEIFS(nNOTA,nNIA,M327,nCUENTA,1,nASIG,"Música de Cámara"),"")))</f>
        <v/>
      </c>
      <c r="Q327" t="str">
        <f>IF(M327="","",IF(M327="[FÓRMULA MANUAL]","",IFERROR(SUMPRODUCT((nNIA=M327)*(nCUENTA=1)*(COUNTIF(CONFIG_ASIGNATURAS!$B$7:$B$27,nASIG)&gt;0)*(nNOTA))/SUMPRODUCT((nNIA=M327)*(nCUENTA=1)*(COUNTIF(CONFIG_ASIGNATURAS!$B$7:$B$27,nASIG)&gt;0)*1),"")))</f>
        <v/>
      </c>
      <c r="T327" t="str">
        <f>IF(S327="","",IF(S327="[FÓRMULA MANUAL]","",IFERROR(AVERAGEIFS(nNOTA,nNIA,S327,nCUENTA,1,nASIG,"Armonía"),"")))</f>
        <v/>
      </c>
      <c r="U327" t="str">
        <f>IF(S327="","",IF(S327="[FÓRMULA MANUAL]","",IFERROR(AVERAGEIFS(nNOTA,nNIA,S327,nCUENTA,1,nASIG,"Orquesta/Banda/Conjunto"),"")))</f>
        <v/>
      </c>
      <c r="V327" t="str">
        <f>IF(S327="","",IF(S327="[FÓRMULA MANUAL]","",IFERROR(AVERAGEIFS(nNOTA,nNIA,S327,nCUENTA,1,nASIG,"Música de Cámara"),"")))</f>
        <v/>
      </c>
      <c r="W327" t="str">
        <f>IF(S327="","",IF(S327="[FÓRMULA MANUAL]","",IFERROR(SUMPRODUCT((nNIA=S327)*(nCUENTA=1)*(COUNTIF(CONFIG_ASIGNATURAS!$B$7:$B$27,nASIG)&gt;0)*(nNOTA))/SUMPRODUCT((nNIA=S327)*(nCUENTA=1)*(COUNTIF(CONFIG_ASIGNATURAS!$B$7:$B$27,nASIG)&gt;0)*1),"")))</f>
        <v/>
      </c>
      <c r="Z327" t="str">
        <f>IF(Y327="","",IF(Y327="[FÓRMULA MANUAL]","",IFERROR(AVERAGEIFS(nNOTA,nNIA,Y327,nCUENTA,1,nASIG,"Análisis"),"")))</f>
        <v/>
      </c>
      <c r="AA327" t="str">
        <f>IF(Y327="","",IF(Y327="[FÓRMULA MANUAL]","",IFERROR(AVERAGEIFS(nNOTA,nNIA,Y327,nCUENTA,1,nASIG,"Orquesta/Banda/Conjunto"),"")))</f>
        <v/>
      </c>
      <c r="AB327" t="str">
        <f>IF(Y327="","",IF(Y327="[FÓRMULA MANUAL]","",IFERROR(AVERAGEIFS(nNOTA,nNIA,Y327,nCUENTA,1,nASIG,"Música de Cámara"),"")))</f>
        <v/>
      </c>
      <c r="AC327" t="str">
        <f>IF(Y327="","",IF(Y327="[FÓRMULA MANUAL]","",IFERROR(SUMPRODUCT((nNIA=Y327)*(nCUENTA=1)*(COUNTIF(CONFIG_ASIGNATURAS!$B$7:$B$27,nASIG)&gt;0)*(nNOTA))/SUMPRODUCT((nNIA=Y327)*(nCUENTA=1)*(COUNTIF(CONFIG_ASIGNATURAS!$B$7:$B$27,nASIG)&gt;0)*1),"")))</f>
        <v/>
      </c>
      <c r="AF327" t="str">
        <f>IF(AE327="","",IF(AE327="[FÓRMULA MANUAL]","",IFERROR(AVERAGEIFS(nNOTA,nNIA,AE327,nCUENTA,1,nASIG,"Análisis"),"")))</f>
        <v/>
      </c>
      <c r="AG327" t="str">
        <f>IF(AE327="","",IF(AE327="[FÓRMULA MANUAL]","",IFERROR(AVERAGEIFS(nNOTA,nNIA,AE327,nCUENTA,1,nASIG,"Orquesta/Banda/Conjunto"),"")))</f>
        <v/>
      </c>
      <c r="AH327" t="str">
        <f>IF(AE327="","",IF(AE327="[FÓRMULA MANUAL]","",IFERROR(AVERAGEIFS(nNOTA,nNIA,AE327,nCUENTA,1,nASIG,"Música de Cámara"),"")))</f>
        <v/>
      </c>
      <c r="AI327" t="str">
        <f>IF(AE327="","",IF(AE327="[FÓRMULA MANUAL]","",IFERROR(SUMPRODUCT((nNIA=AE327)*(nCUENTA=1)*(COUNTIF(CONFIG_ASIGNATURAS!$B$7:$B$27,nASIG)&gt;0)*(nNOTA))/SUMPRODUCT((nNIA=AE327)*(nCUENTA=1)*(COUNTIF(CONFIG_ASIGNATURAS!$B$7:$B$27,nASIG)&gt;0)*1),"")))</f>
        <v/>
      </c>
    </row>
    <row r="328" spans="2:35" x14ac:dyDescent="0.2">
      <c r="B328" t="str">
        <f>IF(A328="","",IF(A328="[FÓRMULA MANUAL]","",IFERROR(AVERAGEIFS(nNOTA,nNIA,A328,nCUENTA,1,nASIG,"Lenguaje Musical"),"")))</f>
        <v/>
      </c>
      <c r="C328" t="str">
        <f>IF(A328="","",IF(A328="[FÓRMULA MANUAL]","",IFERROR(AVERAGEIFS(nNOTA,nNIA,A328,nCUENTA,1,nASIG,"Orquesta/Banda/Conjunto"),"")))</f>
        <v/>
      </c>
      <c r="D328" t="str">
        <f>IF(A328="","",IF(A328="[FÓRMULA MANUAL]","",IFERROR(AVERAGEIFS(nNOTA,nNIA,A328,nCUENTA,1,nASIG,"Conjunto"),"")))</f>
        <v/>
      </c>
      <c r="E328" t="str">
        <f>IF(A328="","",IF(A328="[FÓRMULA MANUAL]","",IFERROR(SUMPRODUCT((nNIA=A328)*(nCUENTA=1)*(COUNTIF(CONFIG_ASIGNATURAS!$B$7:$B$27,nASIG)&gt;0)*(nNOTA))/SUMPRODUCT((nNIA=A328)*(nCUENTA=1)*(COUNTIF(CONFIG_ASIGNATURAS!$B$7:$B$27,nASIG)&gt;0)*1),"")))</f>
        <v/>
      </c>
      <c r="H328" t="str">
        <f>IF(G328="","",IF(G328="[FÓRMULA MANUAL]","",IFERROR(AVERAGEIFS(nNOTA,nNIA,G328,nCUENTA,1,nASIG,"Lenguaje Musical"),"")))</f>
        <v/>
      </c>
      <c r="I328" t="str">
        <f>IF(G328="","",IF(G328="[FÓRMULA MANUAL]","",IFERROR(AVERAGEIFS(nNOTA,nNIA,G328,nCUENTA,1,nASIG,"Orquesta/Banda/Conjunto"),"")))</f>
        <v/>
      </c>
      <c r="J328" t="str">
        <f>IF(G328="","",IF(G328="[FÓRMULA MANUAL]","",IFERROR(AVERAGEIFS(nNOTA,nNIA,G328,nCUENTA,1,nASIG,"Conjunto"),"")))</f>
        <v/>
      </c>
      <c r="K328" t="str">
        <f>IF(G328="","",IF(G328="[FÓRMULA MANUAL]","",IFERROR(SUMPRODUCT((nNIA=G328)*(nCUENTA=1)*(COUNTIF(CONFIG_ASIGNATURAS!$B$7:$B$27,nASIG)&gt;0)*(nNOTA))/SUMPRODUCT((nNIA=G328)*(nCUENTA=1)*(COUNTIF(CONFIG_ASIGNATURAS!$B$7:$B$27,nASIG)&gt;0)*1),"")))</f>
        <v/>
      </c>
      <c r="N328" t="str">
        <f>IF(M328="","",IF(M328="[FÓRMULA MANUAL]","",IFERROR(AVERAGEIFS(nNOTA,nNIA,M328,nCUENTA,1,nASIG,"Armonía"),"")))</f>
        <v/>
      </c>
      <c r="O328" t="str">
        <f>IF(M328="","",IF(M328="[FÓRMULA MANUAL]","",IFERROR(AVERAGEIFS(nNOTA,nNIA,M328,nCUENTA,1,nASIG,"Orquesta/Banda/Conjunto"),"")))</f>
        <v/>
      </c>
      <c r="P328" t="str">
        <f>IF(M328="","",IF(M328="[FÓRMULA MANUAL]","",IFERROR(AVERAGEIFS(nNOTA,nNIA,M328,nCUENTA,1,nASIG,"Música de Cámara"),"")))</f>
        <v/>
      </c>
      <c r="Q328" t="str">
        <f>IF(M328="","",IF(M328="[FÓRMULA MANUAL]","",IFERROR(SUMPRODUCT((nNIA=M328)*(nCUENTA=1)*(COUNTIF(CONFIG_ASIGNATURAS!$B$7:$B$27,nASIG)&gt;0)*(nNOTA))/SUMPRODUCT((nNIA=M328)*(nCUENTA=1)*(COUNTIF(CONFIG_ASIGNATURAS!$B$7:$B$27,nASIG)&gt;0)*1),"")))</f>
        <v/>
      </c>
      <c r="T328" t="str">
        <f>IF(S328="","",IF(S328="[FÓRMULA MANUAL]","",IFERROR(AVERAGEIFS(nNOTA,nNIA,S328,nCUENTA,1,nASIG,"Armonía"),"")))</f>
        <v/>
      </c>
      <c r="U328" t="str">
        <f>IF(S328="","",IF(S328="[FÓRMULA MANUAL]","",IFERROR(AVERAGEIFS(nNOTA,nNIA,S328,nCUENTA,1,nASIG,"Orquesta/Banda/Conjunto"),"")))</f>
        <v/>
      </c>
      <c r="V328" t="str">
        <f>IF(S328="","",IF(S328="[FÓRMULA MANUAL]","",IFERROR(AVERAGEIFS(nNOTA,nNIA,S328,nCUENTA,1,nASIG,"Música de Cámara"),"")))</f>
        <v/>
      </c>
      <c r="W328" t="str">
        <f>IF(S328="","",IF(S328="[FÓRMULA MANUAL]","",IFERROR(SUMPRODUCT((nNIA=S328)*(nCUENTA=1)*(COUNTIF(CONFIG_ASIGNATURAS!$B$7:$B$27,nASIG)&gt;0)*(nNOTA))/SUMPRODUCT((nNIA=S328)*(nCUENTA=1)*(COUNTIF(CONFIG_ASIGNATURAS!$B$7:$B$27,nASIG)&gt;0)*1),"")))</f>
        <v/>
      </c>
      <c r="Z328" t="str">
        <f>IF(Y328="","",IF(Y328="[FÓRMULA MANUAL]","",IFERROR(AVERAGEIFS(nNOTA,nNIA,Y328,nCUENTA,1,nASIG,"Análisis"),"")))</f>
        <v/>
      </c>
      <c r="AA328" t="str">
        <f>IF(Y328="","",IF(Y328="[FÓRMULA MANUAL]","",IFERROR(AVERAGEIFS(nNOTA,nNIA,Y328,nCUENTA,1,nASIG,"Orquesta/Banda/Conjunto"),"")))</f>
        <v/>
      </c>
      <c r="AB328" t="str">
        <f>IF(Y328="","",IF(Y328="[FÓRMULA MANUAL]","",IFERROR(AVERAGEIFS(nNOTA,nNIA,Y328,nCUENTA,1,nASIG,"Música de Cámara"),"")))</f>
        <v/>
      </c>
      <c r="AC328" t="str">
        <f>IF(Y328="","",IF(Y328="[FÓRMULA MANUAL]","",IFERROR(SUMPRODUCT((nNIA=Y328)*(nCUENTA=1)*(COUNTIF(CONFIG_ASIGNATURAS!$B$7:$B$27,nASIG)&gt;0)*(nNOTA))/SUMPRODUCT((nNIA=Y328)*(nCUENTA=1)*(COUNTIF(CONFIG_ASIGNATURAS!$B$7:$B$27,nASIG)&gt;0)*1),"")))</f>
        <v/>
      </c>
      <c r="AF328" t="str">
        <f>IF(AE328="","",IF(AE328="[FÓRMULA MANUAL]","",IFERROR(AVERAGEIFS(nNOTA,nNIA,AE328,nCUENTA,1,nASIG,"Análisis"),"")))</f>
        <v/>
      </c>
      <c r="AG328" t="str">
        <f>IF(AE328="","",IF(AE328="[FÓRMULA MANUAL]","",IFERROR(AVERAGEIFS(nNOTA,nNIA,AE328,nCUENTA,1,nASIG,"Orquesta/Banda/Conjunto"),"")))</f>
        <v/>
      </c>
      <c r="AH328" t="str">
        <f>IF(AE328="","",IF(AE328="[FÓRMULA MANUAL]","",IFERROR(AVERAGEIFS(nNOTA,nNIA,AE328,nCUENTA,1,nASIG,"Música de Cámara"),"")))</f>
        <v/>
      </c>
      <c r="AI328" t="str">
        <f>IF(AE328="","",IF(AE328="[FÓRMULA MANUAL]","",IFERROR(SUMPRODUCT((nNIA=AE328)*(nCUENTA=1)*(COUNTIF(CONFIG_ASIGNATURAS!$B$7:$B$27,nASIG)&gt;0)*(nNOTA))/SUMPRODUCT((nNIA=AE328)*(nCUENTA=1)*(COUNTIF(CONFIG_ASIGNATURAS!$B$7:$B$27,nASIG)&gt;0)*1),"")))</f>
        <v/>
      </c>
    </row>
    <row r="329" spans="2:35" x14ac:dyDescent="0.2">
      <c r="B329" t="str">
        <f>IF(A329="","",IF(A329="[FÓRMULA MANUAL]","",IFERROR(AVERAGEIFS(nNOTA,nNIA,A329,nCUENTA,1,nASIG,"Lenguaje Musical"),"")))</f>
        <v/>
      </c>
      <c r="C329" t="str">
        <f>IF(A329="","",IF(A329="[FÓRMULA MANUAL]","",IFERROR(AVERAGEIFS(nNOTA,nNIA,A329,nCUENTA,1,nASIG,"Orquesta/Banda/Conjunto"),"")))</f>
        <v/>
      </c>
      <c r="D329" t="str">
        <f>IF(A329="","",IF(A329="[FÓRMULA MANUAL]","",IFERROR(AVERAGEIFS(nNOTA,nNIA,A329,nCUENTA,1,nASIG,"Conjunto"),"")))</f>
        <v/>
      </c>
      <c r="E329" t="str">
        <f>IF(A329="","",IF(A329="[FÓRMULA MANUAL]","",IFERROR(SUMPRODUCT((nNIA=A329)*(nCUENTA=1)*(COUNTIF(CONFIG_ASIGNATURAS!$B$7:$B$27,nASIG)&gt;0)*(nNOTA))/SUMPRODUCT((nNIA=A329)*(nCUENTA=1)*(COUNTIF(CONFIG_ASIGNATURAS!$B$7:$B$27,nASIG)&gt;0)*1),"")))</f>
        <v/>
      </c>
      <c r="H329" t="str">
        <f>IF(G329="","",IF(G329="[FÓRMULA MANUAL]","",IFERROR(AVERAGEIFS(nNOTA,nNIA,G329,nCUENTA,1,nASIG,"Lenguaje Musical"),"")))</f>
        <v/>
      </c>
      <c r="I329" t="str">
        <f>IF(G329="","",IF(G329="[FÓRMULA MANUAL]","",IFERROR(AVERAGEIFS(nNOTA,nNIA,G329,nCUENTA,1,nASIG,"Orquesta/Banda/Conjunto"),"")))</f>
        <v/>
      </c>
      <c r="J329" t="str">
        <f>IF(G329="","",IF(G329="[FÓRMULA MANUAL]","",IFERROR(AVERAGEIFS(nNOTA,nNIA,G329,nCUENTA,1,nASIG,"Conjunto"),"")))</f>
        <v/>
      </c>
      <c r="K329" t="str">
        <f>IF(G329="","",IF(G329="[FÓRMULA MANUAL]","",IFERROR(SUMPRODUCT((nNIA=G329)*(nCUENTA=1)*(COUNTIF(CONFIG_ASIGNATURAS!$B$7:$B$27,nASIG)&gt;0)*(nNOTA))/SUMPRODUCT((nNIA=G329)*(nCUENTA=1)*(COUNTIF(CONFIG_ASIGNATURAS!$B$7:$B$27,nASIG)&gt;0)*1),"")))</f>
        <v/>
      </c>
      <c r="N329" t="str">
        <f>IF(M329="","",IF(M329="[FÓRMULA MANUAL]","",IFERROR(AVERAGEIFS(nNOTA,nNIA,M329,nCUENTA,1,nASIG,"Armonía"),"")))</f>
        <v/>
      </c>
      <c r="O329" t="str">
        <f>IF(M329="","",IF(M329="[FÓRMULA MANUAL]","",IFERROR(AVERAGEIFS(nNOTA,nNIA,M329,nCUENTA,1,nASIG,"Orquesta/Banda/Conjunto"),"")))</f>
        <v/>
      </c>
      <c r="P329" t="str">
        <f>IF(M329="","",IF(M329="[FÓRMULA MANUAL]","",IFERROR(AVERAGEIFS(nNOTA,nNIA,M329,nCUENTA,1,nASIG,"Música de Cámara"),"")))</f>
        <v/>
      </c>
      <c r="Q329" t="str">
        <f>IF(M329="","",IF(M329="[FÓRMULA MANUAL]","",IFERROR(SUMPRODUCT((nNIA=M329)*(nCUENTA=1)*(COUNTIF(CONFIG_ASIGNATURAS!$B$7:$B$27,nASIG)&gt;0)*(nNOTA))/SUMPRODUCT((nNIA=M329)*(nCUENTA=1)*(COUNTIF(CONFIG_ASIGNATURAS!$B$7:$B$27,nASIG)&gt;0)*1),"")))</f>
        <v/>
      </c>
      <c r="T329" t="str">
        <f>IF(S329="","",IF(S329="[FÓRMULA MANUAL]","",IFERROR(AVERAGEIFS(nNOTA,nNIA,S329,nCUENTA,1,nASIG,"Armonía"),"")))</f>
        <v/>
      </c>
      <c r="U329" t="str">
        <f>IF(S329="","",IF(S329="[FÓRMULA MANUAL]","",IFERROR(AVERAGEIFS(nNOTA,nNIA,S329,nCUENTA,1,nASIG,"Orquesta/Banda/Conjunto"),"")))</f>
        <v/>
      </c>
      <c r="V329" t="str">
        <f>IF(S329="","",IF(S329="[FÓRMULA MANUAL]","",IFERROR(AVERAGEIFS(nNOTA,nNIA,S329,nCUENTA,1,nASIG,"Música de Cámara"),"")))</f>
        <v/>
      </c>
      <c r="W329" t="str">
        <f>IF(S329="","",IF(S329="[FÓRMULA MANUAL]","",IFERROR(SUMPRODUCT((nNIA=S329)*(nCUENTA=1)*(COUNTIF(CONFIG_ASIGNATURAS!$B$7:$B$27,nASIG)&gt;0)*(nNOTA))/SUMPRODUCT((nNIA=S329)*(nCUENTA=1)*(COUNTIF(CONFIG_ASIGNATURAS!$B$7:$B$27,nASIG)&gt;0)*1),"")))</f>
        <v/>
      </c>
      <c r="Z329" t="str">
        <f>IF(Y329="","",IF(Y329="[FÓRMULA MANUAL]","",IFERROR(AVERAGEIFS(nNOTA,nNIA,Y329,nCUENTA,1,nASIG,"Análisis"),"")))</f>
        <v/>
      </c>
      <c r="AA329" t="str">
        <f>IF(Y329="","",IF(Y329="[FÓRMULA MANUAL]","",IFERROR(AVERAGEIFS(nNOTA,nNIA,Y329,nCUENTA,1,nASIG,"Orquesta/Banda/Conjunto"),"")))</f>
        <v/>
      </c>
      <c r="AB329" t="str">
        <f>IF(Y329="","",IF(Y329="[FÓRMULA MANUAL]","",IFERROR(AVERAGEIFS(nNOTA,nNIA,Y329,nCUENTA,1,nASIG,"Música de Cámara"),"")))</f>
        <v/>
      </c>
      <c r="AC329" t="str">
        <f>IF(Y329="","",IF(Y329="[FÓRMULA MANUAL]","",IFERROR(SUMPRODUCT((nNIA=Y329)*(nCUENTA=1)*(COUNTIF(CONFIG_ASIGNATURAS!$B$7:$B$27,nASIG)&gt;0)*(nNOTA))/SUMPRODUCT((nNIA=Y329)*(nCUENTA=1)*(COUNTIF(CONFIG_ASIGNATURAS!$B$7:$B$27,nASIG)&gt;0)*1),"")))</f>
        <v/>
      </c>
      <c r="AF329" t="str">
        <f>IF(AE329="","",IF(AE329="[FÓRMULA MANUAL]","",IFERROR(AVERAGEIFS(nNOTA,nNIA,AE329,nCUENTA,1,nASIG,"Análisis"),"")))</f>
        <v/>
      </c>
      <c r="AG329" t="str">
        <f>IF(AE329="","",IF(AE329="[FÓRMULA MANUAL]","",IFERROR(AVERAGEIFS(nNOTA,nNIA,AE329,nCUENTA,1,nASIG,"Orquesta/Banda/Conjunto"),"")))</f>
        <v/>
      </c>
      <c r="AH329" t="str">
        <f>IF(AE329="","",IF(AE329="[FÓRMULA MANUAL]","",IFERROR(AVERAGEIFS(nNOTA,nNIA,AE329,nCUENTA,1,nASIG,"Música de Cámara"),"")))</f>
        <v/>
      </c>
      <c r="AI329" t="str">
        <f>IF(AE329="","",IF(AE329="[FÓRMULA MANUAL]","",IFERROR(SUMPRODUCT((nNIA=AE329)*(nCUENTA=1)*(COUNTIF(CONFIG_ASIGNATURAS!$B$7:$B$27,nASIG)&gt;0)*(nNOTA))/SUMPRODUCT((nNIA=AE329)*(nCUENTA=1)*(COUNTIF(CONFIG_ASIGNATURAS!$B$7:$B$27,nASIG)&gt;0)*1),"")))</f>
        <v/>
      </c>
    </row>
    <row r="330" spans="2:35" x14ac:dyDescent="0.2">
      <c r="B330" t="str">
        <f>IF(A330="","",IF(A330="[FÓRMULA MANUAL]","",IFERROR(AVERAGEIFS(nNOTA,nNIA,A330,nCUENTA,1,nASIG,"Lenguaje Musical"),"")))</f>
        <v/>
      </c>
      <c r="C330" t="str">
        <f>IF(A330="","",IF(A330="[FÓRMULA MANUAL]","",IFERROR(AVERAGEIFS(nNOTA,nNIA,A330,nCUENTA,1,nASIG,"Orquesta/Banda/Conjunto"),"")))</f>
        <v/>
      </c>
      <c r="D330" t="str">
        <f>IF(A330="","",IF(A330="[FÓRMULA MANUAL]","",IFERROR(AVERAGEIFS(nNOTA,nNIA,A330,nCUENTA,1,nASIG,"Conjunto"),"")))</f>
        <v/>
      </c>
      <c r="E330" t="str">
        <f>IF(A330="","",IF(A330="[FÓRMULA MANUAL]","",IFERROR(SUMPRODUCT((nNIA=A330)*(nCUENTA=1)*(COUNTIF(CONFIG_ASIGNATURAS!$B$7:$B$27,nASIG)&gt;0)*(nNOTA))/SUMPRODUCT((nNIA=A330)*(nCUENTA=1)*(COUNTIF(CONFIG_ASIGNATURAS!$B$7:$B$27,nASIG)&gt;0)*1),"")))</f>
        <v/>
      </c>
      <c r="H330" t="str">
        <f>IF(G330="","",IF(G330="[FÓRMULA MANUAL]","",IFERROR(AVERAGEIFS(nNOTA,nNIA,G330,nCUENTA,1,nASIG,"Lenguaje Musical"),"")))</f>
        <v/>
      </c>
      <c r="I330" t="str">
        <f>IF(G330="","",IF(G330="[FÓRMULA MANUAL]","",IFERROR(AVERAGEIFS(nNOTA,nNIA,G330,nCUENTA,1,nASIG,"Orquesta/Banda/Conjunto"),"")))</f>
        <v/>
      </c>
      <c r="J330" t="str">
        <f>IF(G330="","",IF(G330="[FÓRMULA MANUAL]","",IFERROR(AVERAGEIFS(nNOTA,nNIA,G330,nCUENTA,1,nASIG,"Conjunto"),"")))</f>
        <v/>
      </c>
      <c r="K330" t="str">
        <f>IF(G330="","",IF(G330="[FÓRMULA MANUAL]","",IFERROR(SUMPRODUCT((nNIA=G330)*(nCUENTA=1)*(COUNTIF(CONFIG_ASIGNATURAS!$B$7:$B$27,nASIG)&gt;0)*(nNOTA))/SUMPRODUCT((nNIA=G330)*(nCUENTA=1)*(COUNTIF(CONFIG_ASIGNATURAS!$B$7:$B$27,nASIG)&gt;0)*1),"")))</f>
        <v/>
      </c>
      <c r="N330" t="str">
        <f>IF(M330="","",IF(M330="[FÓRMULA MANUAL]","",IFERROR(AVERAGEIFS(nNOTA,nNIA,M330,nCUENTA,1,nASIG,"Armonía"),"")))</f>
        <v/>
      </c>
      <c r="O330" t="str">
        <f>IF(M330="","",IF(M330="[FÓRMULA MANUAL]","",IFERROR(AVERAGEIFS(nNOTA,nNIA,M330,nCUENTA,1,nASIG,"Orquesta/Banda/Conjunto"),"")))</f>
        <v/>
      </c>
      <c r="P330" t="str">
        <f>IF(M330="","",IF(M330="[FÓRMULA MANUAL]","",IFERROR(AVERAGEIFS(nNOTA,nNIA,M330,nCUENTA,1,nASIG,"Música de Cámara"),"")))</f>
        <v/>
      </c>
      <c r="Q330" t="str">
        <f>IF(M330="","",IF(M330="[FÓRMULA MANUAL]","",IFERROR(SUMPRODUCT((nNIA=M330)*(nCUENTA=1)*(COUNTIF(CONFIG_ASIGNATURAS!$B$7:$B$27,nASIG)&gt;0)*(nNOTA))/SUMPRODUCT((nNIA=M330)*(nCUENTA=1)*(COUNTIF(CONFIG_ASIGNATURAS!$B$7:$B$27,nASIG)&gt;0)*1),"")))</f>
        <v/>
      </c>
      <c r="T330" t="str">
        <f>IF(S330="","",IF(S330="[FÓRMULA MANUAL]","",IFERROR(AVERAGEIFS(nNOTA,nNIA,S330,nCUENTA,1,nASIG,"Armonía"),"")))</f>
        <v/>
      </c>
      <c r="U330" t="str">
        <f>IF(S330="","",IF(S330="[FÓRMULA MANUAL]","",IFERROR(AVERAGEIFS(nNOTA,nNIA,S330,nCUENTA,1,nASIG,"Orquesta/Banda/Conjunto"),"")))</f>
        <v/>
      </c>
      <c r="V330" t="str">
        <f>IF(S330="","",IF(S330="[FÓRMULA MANUAL]","",IFERROR(AVERAGEIFS(nNOTA,nNIA,S330,nCUENTA,1,nASIG,"Música de Cámara"),"")))</f>
        <v/>
      </c>
      <c r="W330" t="str">
        <f>IF(S330="","",IF(S330="[FÓRMULA MANUAL]","",IFERROR(SUMPRODUCT((nNIA=S330)*(nCUENTA=1)*(COUNTIF(CONFIG_ASIGNATURAS!$B$7:$B$27,nASIG)&gt;0)*(nNOTA))/SUMPRODUCT((nNIA=S330)*(nCUENTA=1)*(COUNTIF(CONFIG_ASIGNATURAS!$B$7:$B$27,nASIG)&gt;0)*1),"")))</f>
        <v/>
      </c>
      <c r="Z330" t="str">
        <f>IF(Y330="","",IF(Y330="[FÓRMULA MANUAL]","",IFERROR(AVERAGEIFS(nNOTA,nNIA,Y330,nCUENTA,1,nASIG,"Análisis"),"")))</f>
        <v/>
      </c>
      <c r="AA330" t="str">
        <f>IF(Y330="","",IF(Y330="[FÓRMULA MANUAL]","",IFERROR(AVERAGEIFS(nNOTA,nNIA,Y330,nCUENTA,1,nASIG,"Orquesta/Banda/Conjunto"),"")))</f>
        <v/>
      </c>
      <c r="AB330" t="str">
        <f>IF(Y330="","",IF(Y330="[FÓRMULA MANUAL]","",IFERROR(AVERAGEIFS(nNOTA,nNIA,Y330,nCUENTA,1,nASIG,"Música de Cámara"),"")))</f>
        <v/>
      </c>
      <c r="AC330" t="str">
        <f>IF(Y330="","",IF(Y330="[FÓRMULA MANUAL]","",IFERROR(SUMPRODUCT((nNIA=Y330)*(nCUENTA=1)*(COUNTIF(CONFIG_ASIGNATURAS!$B$7:$B$27,nASIG)&gt;0)*(nNOTA))/SUMPRODUCT((nNIA=Y330)*(nCUENTA=1)*(COUNTIF(CONFIG_ASIGNATURAS!$B$7:$B$27,nASIG)&gt;0)*1),"")))</f>
        <v/>
      </c>
      <c r="AF330" t="str">
        <f>IF(AE330="","",IF(AE330="[FÓRMULA MANUAL]","",IFERROR(AVERAGEIFS(nNOTA,nNIA,AE330,nCUENTA,1,nASIG,"Análisis"),"")))</f>
        <v/>
      </c>
      <c r="AG330" t="str">
        <f>IF(AE330="","",IF(AE330="[FÓRMULA MANUAL]","",IFERROR(AVERAGEIFS(nNOTA,nNIA,AE330,nCUENTA,1,nASIG,"Orquesta/Banda/Conjunto"),"")))</f>
        <v/>
      </c>
      <c r="AH330" t="str">
        <f>IF(AE330="","",IF(AE330="[FÓRMULA MANUAL]","",IFERROR(AVERAGEIFS(nNOTA,nNIA,AE330,nCUENTA,1,nASIG,"Música de Cámara"),"")))</f>
        <v/>
      </c>
      <c r="AI330" t="str">
        <f>IF(AE330="","",IF(AE330="[FÓRMULA MANUAL]","",IFERROR(SUMPRODUCT((nNIA=AE330)*(nCUENTA=1)*(COUNTIF(CONFIG_ASIGNATURAS!$B$7:$B$27,nASIG)&gt;0)*(nNOTA))/SUMPRODUCT((nNIA=AE330)*(nCUENTA=1)*(COUNTIF(CONFIG_ASIGNATURAS!$B$7:$B$27,nASIG)&gt;0)*1),"")))</f>
        <v/>
      </c>
    </row>
    <row r="331" spans="2:35" x14ac:dyDescent="0.2">
      <c r="B331" t="str">
        <f>IF(A331="","",IF(A331="[FÓRMULA MANUAL]","",IFERROR(AVERAGEIFS(nNOTA,nNIA,A331,nCUENTA,1,nASIG,"Lenguaje Musical"),"")))</f>
        <v/>
      </c>
      <c r="C331" t="str">
        <f>IF(A331="","",IF(A331="[FÓRMULA MANUAL]","",IFERROR(AVERAGEIFS(nNOTA,nNIA,A331,nCUENTA,1,nASIG,"Orquesta/Banda/Conjunto"),"")))</f>
        <v/>
      </c>
      <c r="D331" t="str">
        <f>IF(A331="","",IF(A331="[FÓRMULA MANUAL]","",IFERROR(AVERAGEIFS(nNOTA,nNIA,A331,nCUENTA,1,nASIG,"Conjunto"),"")))</f>
        <v/>
      </c>
      <c r="E331" t="str">
        <f>IF(A331="","",IF(A331="[FÓRMULA MANUAL]","",IFERROR(SUMPRODUCT((nNIA=A331)*(nCUENTA=1)*(COUNTIF(CONFIG_ASIGNATURAS!$B$7:$B$27,nASIG)&gt;0)*(nNOTA))/SUMPRODUCT((nNIA=A331)*(nCUENTA=1)*(COUNTIF(CONFIG_ASIGNATURAS!$B$7:$B$27,nASIG)&gt;0)*1),"")))</f>
        <v/>
      </c>
      <c r="H331" t="str">
        <f>IF(G331="","",IF(G331="[FÓRMULA MANUAL]","",IFERROR(AVERAGEIFS(nNOTA,nNIA,G331,nCUENTA,1,nASIG,"Lenguaje Musical"),"")))</f>
        <v/>
      </c>
      <c r="I331" t="str">
        <f>IF(G331="","",IF(G331="[FÓRMULA MANUAL]","",IFERROR(AVERAGEIFS(nNOTA,nNIA,G331,nCUENTA,1,nASIG,"Orquesta/Banda/Conjunto"),"")))</f>
        <v/>
      </c>
      <c r="J331" t="str">
        <f>IF(G331="","",IF(G331="[FÓRMULA MANUAL]","",IFERROR(AVERAGEIFS(nNOTA,nNIA,G331,nCUENTA,1,nASIG,"Conjunto"),"")))</f>
        <v/>
      </c>
      <c r="K331" t="str">
        <f>IF(G331="","",IF(G331="[FÓRMULA MANUAL]","",IFERROR(SUMPRODUCT((nNIA=G331)*(nCUENTA=1)*(COUNTIF(CONFIG_ASIGNATURAS!$B$7:$B$27,nASIG)&gt;0)*(nNOTA))/SUMPRODUCT((nNIA=G331)*(nCUENTA=1)*(COUNTIF(CONFIG_ASIGNATURAS!$B$7:$B$27,nASIG)&gt;0)*1),"")))</f>
        <v/>
      </c>
      <c r="N331" t="str">
        <f>IF(M331="","",IF(M331="[FÓRMULA MANUAL]","",IFERROR(AVERAGEIFS(nNOTA,nNIA,M331,nCUENTA,1,nASIG,"Armonía"),"")))</f>
        <v/>
      </c>
      <c r="O331" t="str">
        <f>IF(M331="","",IF(M331="[FÓRMULA MANUAL]","",IFERROR(AVERAGEIFS(nNOTA,nNIA,M331,nCUENTA,1,nASIG,"Orquesta/Banda/Conjunto"),"")))</f>
        <v/>
      </c>
      <c r="P331" t="str">
        <f>IF(M331="","",IF(M331="[FÓRMULA MANUAL]","",IFERROR(AVERAGEIFS(nNOTA,nNIA,M331,nCUENTA,1,nASIG,"Música de Cámara"),"")))</f>
        <v/>
      </c>
      <c r="Q331" t="str">
        <f>IF(M331="","",IF(M331="[FÓRMULA MANUAL]","",IFERROR(SUMPRODUCT((nNIA=M331)*(nCUENTA=1)*(COUNTIF(CONFIG_ASIGNATURAS!$B$7:$B$27,nASIG)&gt;0)*(nNOTA))/SUMPRODUCT((nNIA=M331)*(nCUENTA=1)*(COUNTIF(CONFIG_ASIGNATURAS!$B$7:$B$27,nASIG)&gt;0)*1),"")))</f>
        <v/>
      </c>
      <c r="T331" t="str">
        <f>IF(S331="","",IF(S331="[FÓRMULA MANUAL]","",IFERROR(AVERAGEIFS(nNOTA,nNIA,S331,nCUENTA,1,nASIG,"Armonía"),"")))</f>
        <v/>
      </c>
      <c r="U331" t="str">
        <f>IF(S331="","",IF(S331="[FÓRMULA MANUAL]","",IFERROR(AVERAGEIFS(nNOTA,nNIA,S331,nCUENTA,1,nASIG,"Orquesta/Banda/Conjunto"),"")))</f>
        <v/>
      </c>
      <c r="V331" t="str">
        <f>IF(S331="","",IF(S331="[FÓRMULA MANUAL]","",IFERROR(AVERAGEIFS(nNOTA,nNIA,S331,nCUENTA,1,nASIG,"Música de Cámara"),"")))</f>
        <v/>
      </c>
      <c r="W331" t="str">
        <f>IF(S331="","",IF(S331="[FÓRMULA MANUAL]","",IFERROR(SUMPRODUCT((nNIA=S331)*(nCUENTA=1)*(COUNTIF(CONFIG_ASIGNATURAS!$B$7:$B$27,nASIG)&gt;0)*(nNOTA))/SUMPRODUCT((nNIA=S331)*(nCUENTA=1)*(COUNTIF(CONFIG_ASIGNATURAS!$B$7:$B$27,nASIG)&gt;0)*1),"")))</f>
        <v/>
      </c>
      <c r="Z331" t="str">
        <f>IF(Y331="","",IF(Y331="[FÓRMULA MANUAL]","",IFERROR(AVERAGEIFS(nNOTA,nNIA,Y331,nCUENTA,1,nASIG,"Análisis"),"")))</f>
        <v/>
      </c>
      <c r="AA331" t="str">
        <f>IF(Y331="","",IF(Y331="[FÓRMULA MANUAL]","",IFERROR(AVERAGEIFS(nNOTA,nNIA,Y331,nCUENTA,1,nASIG,"Orquesta/Banda/Conjunto"),"")))</f>
        <v/>
      </c>
      <c r="AB331" t="str">
        <f>IF(Y331="","",IF(Y331="[FÓRMULA MANUAL]","",IFERROR(AVERAGEIFS(nNOTA,nNIA,Y331,nCUENTA,1,nASIG,"Música de Cámara"),"")))</f>
        <v/>
      </c>
      <c r="AC331" t="str">
        <f>IF(Y331="","",IF(Y331="[FÓRMULA MANUAL]","",IFERROR(SUMPRODUCT((nNIA=Y331)*(nCUENTA=1)*(COUNTIF(CONFIG_ASIGNATURAS!$B$7:$B$27,nASIG)&gt;0)*(nNOTA))/SUMPRODUCT((nNIA=Y331)*(nCUENTA=1)*(COUNTIF(CONFIG_ASIGNATURAS!$B$7:$B$27,nASIG)&gt;0)*1),"")))</f>
        <v/>
      </c>
      <c r="AF331" t="str">
        <f>IF(AE331="","",IF(AE331="[FÓRMULA MANUAL]","",IFERROR(AVERAGEIFS(nNOTA,nNIA,AE331,nCUENTA,1,nASIG,"Análisis"),"")))</f>
        <v/>
      </c>
      <c r="AG331" t="str">
        <f>IF(AE331="","",IF(AE331="[FÓRMULA MANUAL]","",IFERROR(AVERAGEIFS(nNOTA,nNIA,AE331,nCUENTA,1,nASIG,"Orquesta/Banda/Conjunto"),"")))</f>
        <v/>
      </c>
      <c r="AH331" t="str">
        <f>IF(AE331="","",IF(AE331="[FÓRMULA MANUAL]","",IFERROR(AVERAGEIFS(nNOTA,nNIA,AE331,nCUENTA,1,nASIG,"Música de Cámara"),"")))</f>
        <v/>
      </c>
      <c r="AI331" t="str">
        <f>IF(AE331="","",IF(AE331="[FÓRMULA MANUAL]","",IFERROR(SUMPRODUCT((nNIA=AE331)*(nCUENTA=1)*(COUNTIF(CONFIG_ASIGNATURAS!$B$7:$B$27,nASIG)&gt;0)*(nNOTA))/SUMPRODUCT((nNIA=AE331)*(nCUENTA=1)*(COUNTIF(CONFIG_ASIGNATURAS!$B$7:$B$27,nASIG)&gt;0)*1),"")))</f>
        <v/>
      </c>
    </row>
    <row r="332" spans="2:35" x14ac:dyDescent="0.2">
      <c r="B332" t="str">
        <f>IF(A332="","",IF(A332="[FÓRMULA MANUAL]","",IFERROR(AVERAGEIFS(nNOTA,nNIA,A332,nCUENTA,1,nASIG,"Lenguaje Musical"),"")))</f>
        <v/>
      </c>
      <c r="C332" t="str">
        <f>IF(A332="","",IF(A332="[FÓRMULA MANUAL]","",IFERROR(AVERAGEIFS(nNOTA,nNIA,A332,nCUENTA,1,nASIG,"Orquesta/Banda/Conjunto"),"")))</f>
        <v/>
      </c>
      <c r="D332" t="str">
        <f>IF(A332="","",IF(A332="[FÓRMULA MANUAL]","",IFERROR(AVERAGEIFS(nNOTA,nNIA,A332,nCUENTA,1,nASIG,"Conjunto"),"")))</f>
        <v/>
      </c>
      <c r="E332" t="str">
        <f>IF(A332="","",IF(A332="[FÓRMULA MANUAL]","",IFERROR(SUMPRODUCT((nNIA=A332)*(nCUENTA=1)*(COUNTIF(CONFIG_ASIGNATURAS!$B$7:$B$27,nASIG)&gt;0)*(nNOTA))/SUMPRODUCT((nNIA=A332)*(nCUENTA=1)*(COUNTIF(CONFIG_ASIGNATURAS!$B$7:$B$27,nASIG)&gt;0)*1),"")))</f>
        <v/>
      </c>
      <c r="H332" t="str">
        <f>IF(G332="","",IF(G332="[FÓRMULA MANUAL]","",IFERROR(AVERAGEIFS(nNOTA,nNIA,G332,nCUENTA,1,nASIG,"Lenguaje Musical"),"")))</f>
        <v/>
      </c>
      <c r="I332" t="str">
        <f>IF(G332="","",IF(G332="[FÓRMULA MANUAL]","",IFERROR(AVERAGEIFS(nNOTA,nNIA,G332,nCUENTA,1,nASIG,"Orquesta/Banda/Conjunto"),"")))</f>
        <v/>
      </c>
      <c r="J332" t="str">
        <f>IF(G332="","",IF(G332="[FÓRMULA MANUAL]","",IFERROR(AVERAGEIFS(nNOTA,nNIA,G332,nCUENTA,1,nASIG,"Conjunto"),"")))</f>
        <v/>
      </c>
      <c r="K332" t="str">
        <f>IF(G332="","",IF(G332="[FÓRMULA MANUAL]","",IFERROR(SUMPRODUCT((nNIA=G332)*(nCUENTA=1)*(COUNTIF(CONFIG_ASIGNATURAS!$B$7:$B$27,nASIG)&gt;0)*(nNOTA))/SUMPRODUCT((nNIA=G332)*(nCUENTA=1)*(COUNTIF(CONFIG_ASIGNATURAS!$B$7:$B$27,nASIG)&gt;0)*1),"")))</f>
        <v/>
      </c>
      <c r="N332" t="str">
        <f>IF(M332="","",IF(M332="[FÓRMULA MANUAL]","",IFERROR(AVERAGEIFS(nNOTA,nNIA,M332,nCUENTA,1,nASIG,"Armonía"),"")))</f>
        <v/>
      </c>
      <c r="O332" t="str">
        <f>IF(M332="","",IF(M332="[FÓRMULA MANUAL]","",IFERROR(AVERAGEIFS(nNOTA,nNIA,M332,nCUENTA,1,nASIG,"Orquesta/Banda/Conjunto"),"")))</f>
        <v/>
      </c>
      <c r="P332" t="str">
        <f>IF(M332="","",IF(M332="[FÓRMULA MANUAL]","",IFERROR(AVERAGEIFS(nNOTA,nNIA,M332,nCUENTA,1,nASIG,"Música de Cámara"),"")))</f>
        <v/>
      </c>
      <c r="Q332" t="str">
        <f>IF(M332="","",IF(M332="[FÓRMULA MANUAL]","",IFERROR(SUMPRODUCT((nNIA=M332)*(nCUENTA=1)*(COUNTIF(CONFIG_ASIGNATURAS!$B$7:$B$27,nASIG)&gt;0)*(nNOTA))/SUMPRODUCT((nNIA=M332)*(nCUENTA=1)*(COUNTIF(CONFIG_ASIGNATURAS!$B$7:$B$27,nASIG)&gt;0)*1),"")))</f>
        <v/>
      </c>
      <c r="T332" t="str">
        <f>IF(S332="","",IF(S332="[FÓRMULA MANUAL]","",IFERROR(AVERAGEIFS(nNOTA,nNIA,S332,nCUENTA,1,nASIG,"Armonía"),"")))</f>
        <v/>
      </c>
      <c r="U332" t="str">
        <f>IF(S332="","",IF(S332="[FÓRMULA MANUAL]","",IFERROR(AVERAGEIFS(nNOTA,nNIA,S332,nCUENTA,1,nASIG,"Orquesta/Banda/Conjunto"),"")))</f>
        <v/>
      </c>
      <c r="V332" t="str">
        <f>IF(S332="","",IF(S332="[FÓRMULA MANUAL]","",IFERROR(AVERAGEIFS(nNOTA,nNIA,S332,nCUENTA,1,nASIG,"Música de Cámara"),"")))</f>
        <v/>
      </c>
      <c r="W332" t="str">
        <f>IF(S332="","",IF(S332="[FÓRMULA MANUAL]","",IFERROR(SUMPRODUCT((nNIA=S332)*(nCUENTA=1)*(COUNTIF(CONFIG_ASIGNATURAS!$B$7:$B$27,nASIG)&gt;0)*(nNOTA))/SUMPRODUCT((nNIA=S332)*(nCUENTA=1)*(COUNTIF(CONFIG_ASIGNATURAS!$B$7:$B$27,nASIG)&gt;0)*1),"")))</f>
        <v/>
      </c>
      <c r="Z332" t="str">
        <f>IF(Y332="","",IF(Y332="[FÓRMULA MANUAL]","",IFERROR(AVERAGEIFS(nNOTA,nNIA,Y332,nCUENTA,1,nASIG,"Análisis"),"")))</f>
        <v/>
      </c>
      <c r="AA332" t="str">
        <f>IF(Y332="","",IF(Y332="[FÓRMULA MANUAL]","",IFERROR(AVERAGEIFS(nNOTA,nNIA,Y332,nCUENTA,1,nASIG,"Orquesta/Banda/Conjunto"),"")))</f>
        <v/>
      </c>
      <c r="AB332" t="str">
        <f>IF(Y332="","",IF(Y332="[FÓRMULA MANUAL]","",IFERROR(AVERAGEIFS(nNOTA,nNIA,Y332,nCUENTA,1,nASIG,"Música de Cámara"),"")))</f>
        <v/>
      </c>
      <c r="AC332" t="str">
        <f>IF(Y332="","",IF(Y332="[FÓRMULA MANUAL]","",IFERROR(SUMPRODUCT((nNIA=Y332)*(nCUENTA=1)*(COUNTIF(CONFIG_ASIGNATURAS!$B$7:$B$27,nASIG)&gt;0)*(nNOTA))/SUMPRODUCT((nNIA=Y332)*(nCUENTA=1)*(COUNTIF(CONFIG_ASIGNATURAS!$B$7:$B$27,nASIG)&gt;0)*1),"")))</f>
        <v/>
      </c>
      <c r="AF332" t="str">
        <f>IF(AE332="","",IF(AE332="[FÓRMULA MANUAL]","",IFERROR(AVERAGEIFS(nNOTA,nNIA,AE332,nCUENTA,1,nASIG,"Análisis"),"")))</f>
        <v/>
      </c>
      <c r="AG332" t="str">
        <f>IF(AE332="","",IF(AE332="[FÓRMULA MANUAL]","",IFERROR(AVERAGEIFS(nNOTA,nNIA,AE332,nCUENTA,1,nASIG,"Orquesta/Banda/Conjunto"),"")))</f>
        <v/>
      </c>
      <c r="AH332" t="str">
        <f>IF(AE332="","",IF(AE332="[FÓRMULA MANUAL]","",IFERROR(AVERAGEIFS(nNOTA,nNIA,AE332,nCUENTA,1,nASIG,"Música de Cámara"),"")))</f>
        <v/>
      </c>
      <c r="AI332" t="str">
        <f>IF(AE332="","",IF(AE332="[FÓRMULA MANUAL]","",IFERROR(SUMPRODUCT((nNIA=AE332)*(nCUENTA=1)*(COUNTIF(CONFIG_ASIGNATURAS!$B$7:$B$27,nASIG)&gt;0)*(nNOTA))/SUMPRODUCT((nNIA=AE332)*(nCUENTA=1)*(COUNTIF(CONFIG_ASIGNATURAS!$B$7:$B$27,nASIG)&gt;0)*1),"")))</f>
        <v/>
      </c>
    </row>
    <row r="333" spans="2:35" x14ac:dyDescent="0.2">
      <c r="B333" t="str">
        <f>IF(A333="","",IF(A333="[FÓRMULA MANUAL]","",IFERROR(AVERAGEIFS(nNOTA,nNIA,A333,nCUENTA,1,nASIG,"Lenguaje Musical"),"")))</f>
        <v/>
      </c>
      <c r="C333" t="str">
        <f>IF(A333="","",IF(A333="[FÓRMULA MANUAL]","",IFERROR(AVERAGEIFS(nNOTA,nNIA,A333,nCUENTA,1,nASIG,"Orquesta/Banda/Conjunto"),"")))</f>
        <v/>
      </c>
      <c r="D333" t="str">
        <f>IF(A333="","",IF(A333="[FÓRMULA MANUAL]","",IFERROR(AVERAGEIFS(nNOTA,nNIA,A333,nCUENTA,1,nASIG,"Conjunto"),"")))</f>
        <v/>
      </c>
      <c r="E333" t="str">
        <f>IF(A333="","",IF(A333="[FÓRMULA MANUAL]","",IFERROR(SUMPRODUCT((nNIA=A333)*(nCUENTA=1)*(COUNTIF(CONFIG_ASIGNATURAS!$B$7:$B$27,nASIG)&gt;0)*(nNOTA))/SUMPRODUCT((nNIA=A333)*(nCUENTA=1)*(COUNTIF(CONFIG_ASIGNATURAS!$B$7:$B$27,nASIG)&gt;0)*1),"")))</f>
        <v/>
      </c>
      <c r="H333" t="str">
        <f>IF(G333="","",IF(G333="[FÓRMULA MANUAL]","",IFERROR(AVERAGEIFS(nNOTA,nNIA,G333,nCUENTA,1,nASIG,"Lenguaje Musical"),"")))</f>
        <v/>
      </c>
      <c r="I333" t="str">
        <f>IF(G333="","",IF(G333="[FÓRMULA MANUAL]","",IFERROR(AVERAGEIFS(nNOTA,nNIA,G333,nCUENTA,1,nASIG,"Orquesta/Banda/Conjunto"),"")))</f>
        <v/>
      </c>
      <c r="J333" t="str">
        <f>IF(G333="","",IF(G333="[FÓRMULA MANUAL]","",IFERROR(AVERAGEIFS(nNOTA,nNIA,G333,nCUENTA,1,nASIG,"Conjunto"),"")))</f>
        <v/>
      </c>
      <c r="K333" t="str">
        <f>IF(G333="","",IF(G333="[FÓRMULA MANUAL]","",IFERROR(SUMPRODUCT((nNIA=G333)*(nCUENTA=1)*(COUNTIF(CONFIG_ASIGNATURAS!$B$7:$B$27,nASIG)&gt;0)*(nNOTA))/SUMPRODUCT((nNIA=G333)*(nCUENTA=1)*(COUNTIF(CONFIG_ASIGNATURAS!$B$7:$B$27,nASIG)&gt;0)*1),"")))</f>
        <v/>
      </c>
      <c r="N333" t="str">
        <f>IF(M333="","",IF(M333="[FÓRMULA MANUAL]","",IFERROR(AVERAGEIFS(nNOTA,nNIA,M333,nCUENTA,1,nASIG,"Armonía"),"")))</f>
        <v/>
      </c>
      <c r="O333" t="str">
        <f>IF(M333="","",IF(M333="[FÓRMULA MANUAL]","",IFERROR(AVERAGEIFS(nNOTA,nNIA,M333,nCUENTA,1,nASIG,"Orquesta/Banda/Conjunto"),"")))</f>
        <v/>
      </c>
      <c r="P333" t="str">
        <f>IF(M333="","",IF(M333="[FÓRMULA MANUAL]","",IFERROR(AVERAGEIFS(nNOTA,nNIA,M333,nCUENTA,1,nASIG,"Música de Cámara"),"")))</f>
        <v/>
      </c>
      <c r="Q333" t="str">
        <f>IF(M333="","",IF(M333="[FÓRMULA MANUAL]","",IFERROR(SUMPRODUCT((nNIA=M333)*(nCUENTA=1)*(COUNTIF(CONFIG_ASIGNATURAS!$B$7:$B$27,nASIG)&gt;0)*(nNOTA))/SUMPRODUCT((nNIA=M333)*(nCUENTA=1)*(COUNTIF(CONFIG_ASIGNATURAS!$B$7:$B$27,nASIG)&gt;0)*1),"")))</f>
        <v/>
      </c>
      <c r="T333" t="str">
        <f>IF(S333="","",IF(S333="[FÓRMULA MANUAL]","",IFERROR(AVERAGEIFS(nNOTA,nNIA,S333,nCUENTA,1,nASIG,"Armonía"),"")))</f>
        <v/>
      </c>
      <c r="U333" t="str">
        <f>IF(S333="","",IF(S333="[FÓRMULA MANUAL]","",IFERROR(AVERAGEIFS(nNOTA,nNIA,S333,nCUENTA,1,nASIG,"Orquesta/Banda/Conjunto"),"")))</f>
        <v/>
      </c>
      <c r="V333" t="str">
        <f>IF(S333="","",IF(S333="[FÓRMULA MANUAL]","",IFERROR(AVERAGEIFS(nNOTA,nNIA,S333,nCUENTA,1,nASIG,"Música de Cámara"),"")))</f>
        <v/>
      </c>
      <c r="W333" t="str">
        <f>IF(S333="","",IF(S333="[FÓRMULA MANUAL]","",IFERROR(SUMPRODUCT((nNIA=S333)*(nCUENTA=1)*(COUNTIF(CONFIG_ASIGNATURAS!$B$7:$B$27,nASIG)&gt;0)*(nNOTA))/SUMPRODUCT((nNIA=S333)*(nCUENTA=1)*(COUNTIF(CONFIG_ASIGNATURAS!$B$7:$B$27,nASIG)&gt;0)*1),"")))</f>
        <v/>
      </c>
      <c r="Z333" t="str">
        <f>IF(Y333="","",IF(Y333="[FÓRMULA MANUAL]","",IFERROR(AVERAGEIFS(nNOTA,nNIA,Y333,nCUENTA,1,nASIG,"Análisis"),"")))</f>
        <v/>
      </c>
      <c r="AA333" t="str">
        <f>IF(Y333="","",IF(Y333="[FÓRMULA MANUAL]","",IFERROR(AVERAGEIFS(nNOTA,nNIA,Y333,nCUENTA,1,nASIG,"Orquesta/Banda/Conjunto"),"")))</f>
        <v/>
      </c>
      <c r="AB333" t="str">
        <f>IF(Y333="","",IF(Y333="[FÓRMULA MANUAL]","",IFERROR(AVERAGEIFS(nNOTA,nNIA,Y333,nCUENTA,1,nASIG,"Música de Cámara"),"")))</f>
        <v/>
      </c>
      <c r="AC333" t="str">
        <f>IF(Y333="","",IF(Y333="[FÓRMULA MANUAL]","",IFERROR(SUMPRODUCT((nNIA=Y333)*(nCUENTA=1)*(COUNTIF(CONFIG_ASIGNATURAS!$B$7:$B$27,nASIG)&gt;0)*(nNOTA))/SUMPRODUCT((nNIA=Y333)*(nCUENTA=1)*(COUNTIF(CONFIG_ASIGNATURAS!$B$7:$B$27,nASIG)&gt;0)*1),"")))</f>
        <v/>
      </c>
      <c r="AF333" t="str">
        <f>IF(AE333="","",IF(AE333="[FÓRMULA MANUAL]","",IFERROR(AVERAGEIFS(nNOTA,nNIA,AE333,nCUENTA,1,nASIG,"Análisis"),"")))</f>
        <v/>
      </c>
      <c r="AG333" t="str">
        <f>IF(AE333="","",IF(AE333="[FÓRMULA MANUAL]","",IFERROR(AVERAGEIFS(nNOTA,nNIA,AE333,nCUENTA,1,nASIG,"Orquesta/Banda/Conjunto"),"")))</f>
        <v/>
      </c>
      <c r="AH333" t="str">
        <f>IF(AE333="","",IF(AE333="[FÓRMULA MANUAL]","",IFERROR(AVERAGEIFS(nNOTA,nNIA,AE333,nCUENTA,1,nASIG,"Música de Cámara"),"")))</f>
        <v/>
      </c>
      <c r="AI333" t="str">
        <f>IF(AE333="","",IF(AE333="[FÓRMULA MANUAL]","",IFERROR(SUMPRODUCT((nNIA=AE333)*(nCUENTA=1)*(COUNTIF(CONFIG_ASIGNATURAS!$B$7:$B$27,nASIG)&gt;0)*(nNOTA))/SUMPRODUCT((nNIA=AE333)*(nCUENTA=1)*(COUNTIF(CONFIG_ASIGNATURAS!$B$7:$B$27,nASIG)&gt;0)*1),"")))</f>
        <v/>
      </c>
    </row>
    <row r="334" spans="2:35" x14ac:dyDescent="0.2">
      <c r="B334" t="str">
        <f>IF(A334="","",IF(A334="[FÓRMULA MANUAL]","",IFERROR(AVERAGEIFS(nNOTA,nNIA,A334,nCUENTA,1,nASIG,"Lenguaje Musical"),"")))</f>
        <v/>
      </c>
      <c r="C334" t="str">
        <f>IF(A334="","",IF(A334="[FÓRMULA MANUAL]","",IFERROR(AVERAGEIFS(nNOTA,nNIA,A334,nCUENTA,1,nASIG,"Orquesta/Banda/Conjunto"),"")))</f>
        <v/>
      </c>
      <c r="D334" t="str">
        <f>IF(A334="","",IF(A334="[FÓRMULA MANUAL]","",IFERROR(AVERAGEIFS(nNOTA,nNIA,A334,nCUENTA,1,nASIG,"Conjunto"),"")))</f>
        <v/>
      </c>
      <c r="E334" t="str">
        <f>IF(A334="","",IF(A334="[FÓRMULA MANUAL]","",IFERROR(SUMPRODUCT((nNIA=A334)*(nCUENTA=1)*(COUNTIF(CONFIG_ASIGNATURAS!$B$7:$B$27,nASIG)&gt;0)*(nNOTA))/SUMPRODUCT((nNIA=A334)*(nCUENTA=1)*(COUNTIF(CONFIG_ASIGNATURAS!$B$7:$B$27,nASIG)&gt;0)*1),"")))</f>
        <v/>
      </c>
      <c r="H334" t="str">
        <f>IF(G334="","",IF(G334="[FÓRMULA MANUAL]","",IFERROR(AVERAGEIFS(nNOTA,nNIA,G334,nCUENTA,1,nASIG,"Lenguaje Musical"),"")))</f>
        <v/>
      </c>
      <c r="I334" t="str">
        <f>IF(G334="","",IF(G334="[FÓRMULA MANUAL]","",IFERROR(AVERAGEIFS(nNOTA,nNIA,G334,nCUENTA,1,nASIG,"Orquesta/Banda/Conjunto"),"")))</f>
        <v/>
      </c>
      <c r="J334" t="str">
        <f>IF(G334="","",IF(G334="[FÓRMULA MANUAL]","",IFERROR(AVERAGEIFS(nNOTA,nNIA,G334,nCUENTA,1,nASIG,"Conjunto"),"")))</f>
        <v/>
      </c>
      <c r="K334" t="str">
        <f>IF(G334="","",IF(G334="[FÓRMULA MANUAL]","",IFERROR(SUMPRODUCT((nNIA=G334)*(nCUENTA=1)*(COUNTIF(CONFIG_ASIGNATURAS!$B$7:$B$27,nASIG)&gt;0)*(nNOTA))/SUMPRODUCT((nNIA=G334)*(nCUENTA=1)*(COUNTIF(CONFIG_ASIGNATURAS!$B$7:$B$27,nASIG)&gt;0)*1),"")))</f>
        <v/>
      </c>
      <c r="N334" t="str">
        <f>IF(M334="","",IF(M334="[FÓRMULA MANUAL]","",IFERROR(AVERAGEIFS(nNOTA,nNIA,M334,nCUENTA,1,nASIG,"Armonía"),"")))</f>
        <v/>
      </c>
      <c r="O334" t="str">
        <f>IF(M334="","",IF(M334="[FÓRMULA MANUAL]","",IFERROR(AVERAGEIFS(nNOTA,nNIA,M334,nCUENTA,1,nASIG,"Orquesta/Banda/Conjunto"),"")))</f>
        <v/>
      </c>
      <c r="P334" t="str">
        <f>IF(M334="","",IF(M334="[FÓRMULA MANUAL]","",IFERROR(AVERAGEIFS(nNOTA,nNIA,M334,nCUENTA,1,nASIG,"Música de Cámara"),"")))</f>
        <v/>
      </c>
      <c r="Q334" t="str">
        <f>IF(M334="","",IF(M334="[FÓRMULA MANUAL]","",IFERROR(SUMPRODUCT((nNIA=M334)*(nCUENTA=1)*(COUNTIF(CONFIG_ASIGNATURAS!$B$7:$B$27,nASIG)&gt;0)*(nNOTA))/SUMPRODUCT((nNIA=M334)*(nCUENTA=1)*(COUNTIF(CONFIG_ASIGNATURAS!$B$7:$B$27,nASIG)&gt;0)*1),"")))</f>
        <v/>
      </c>
      <c r="T334" t="str">
        <f>IF(S334="","",IF(S334="[FÓRMULA MANUAL]","",IFERROR(AVERAGEIFS(nNOTA,nNIA,S334,nCUENTA,1,nASIG,"Armonía"),"")))</f>
        <v/>
      </c>
      <c r="U334" t="str">
        <f>IF(S334="","",IF(S334="[FÓRMULA MANUAL]","",IFERROR(AVERAGEIFS(nNOTA,nNIA,S334,nCUENTA,1,nASIG,"Orquesta/Banda/Conjunto"),"")))</f>
        <v/>
      </c>
      <c r="V334" t="str">
        <f>IF(S334="","",IF(S334="[FÓRMULA MANUAL]","",IFERROR(AVERAGEIFS(nNOTA,nNIA,S334,nCUENTA,1,nASIG,"Música de Cámara"),"")))</f>
        <v/>
      </c>
      <c r="W334" t="str">
        <f>IF(S334="","",IF(S334="[FÓRMULA MANUAL]","",IFERROR(SUMPRODUCT((nNIA=S334)*(nCUENTA=1)*(COUNTIF(CONFIG_ASIGNATURAS!$B$7:$B$27,nASIG)&gt;0)*(nNOTA))/SUMPRODUCT((nNIA=S334)*(nCUENTA=1)*(COUNTIF(CONFIG_ASIGNATURAS!$B$7:$B$27,nASIG)&gt;0)*1),"")))</f>
        <v/>
      </c>
      <c r="Z334" t="str">
        <f>IF(Y334="","",IF(Y334="[FÓRMULA MANUAL]","",IFERROR(AVERAGEIFS(nNOTA,nNIA,Y334,nCUENTA,1,nASIG,"Análisis"),"")))</f>
        <v/>
      </c>
      <c r="AA334" t="str">
        <f>IF(Y334="","",IF(Y334="[FÓRMULA MANUAL]","",IFERROR(AVERAGEIFS(nNOTA,nNIA,Y334,nCUENTA,1,nASIG,"Orquesta/Banda/Conjunto"),"")))</f>
        <v/>
      </c>
      <c r="AB334" t="str">
        <f>IF(Y334="","",IF(Y334="[FÓRMULA MANUAL]","",IFERROR(AVERAGEIFS(nNOTA,nNIA,Y334,nCUENTA,1,nASIG,"Música de Cámara"),"")))</f>
        <v/>
      </c>
      <c r="AC334" t="str">
        <f>IF(Y334="","",IF(Y334="[FÓRMULA MANUAL]","",IFERROR(SUMPRODUCT((nNIA=Y334)*(nCUENTA=1)*(COUNTIF(CONFIG_ASIGNATURAS!$B$7:$B$27,nASIG)&gt;0)*(nNOTA))/SUMPRODUCT((nNIA=Y334)*(nCUENTA=1)*(COUNTIF(CONFIG_ASIGNATURAS!$B$7:$B$27,nASIG)&gt;0)*1),"")))</f>
        <v/>
      </c>
      <c r="AF334" t="str">
        <f>IF(AE334="","",IF(AE334="[FÓRMULA MANUAL]","",IFERROR(AVERAGEIFS(nNOTA,nNIA,AE334,nCUENTA,1,nASIG,"Análisis"),"")))</f>
        <v/>
      </c>
      <c r="AG334" t="str">
        <f>IF(AE334="","",IF(AE334="[FÓRMULA MANUAL]","",IFERROR(AVERAGEIFS(nNOTA,nNIA,AE334,nCUENTA,1,nASIG,"Orquesta/Banda/Conjunto"),"")))</f>
        <v/>
      </c>
      <c r="AH334" t="str">
        <f>IF(AE334="","",IF(AE334="[FÓRMULA MANUAL]","",IFERROR(AVERAGEIFS(nNOTA,nNIA,AE334,nCUENTA,1,nASIG,"Música de Cámara"),"")))</f>
        <v/>
      </c>
      <c r="AI334" t="str">
        <f>IF(AE334="","",IF(AE334="[FÓRMULA MANUAL]","",IFERROR(SUMPRODUCT((nNIA=AE334)*(nCUENTA=1)*(COUNTIF(CONFIG_ASIGNATURAS!$B$7:$B$27,nASIG)&gt;0)*(nNOTA))/SUMPRODUCT((nNIA=AE334)*(nCUENTA=1)*(COUNTIF(CONFIG_ASIGNATURAS!$B$7:$B$27,nASIG)&gt;0)*1),"")))</f>
        <v/>
      </c>
    </row>
    <row r="335" spans="2:35" x14ac:dyDescent="0.2">
      <c r="B335" t="str">
        <f>IF(A335="","",IF(A335="[FÓRMULA MANUAL]","",IFERROR(AVERAGEIFS(nNOTA,nNIA,A335,nCUENTA,1,nASIG,"Lenguaje Musical"),"")))</f>
        <v/>
      </c>
      <c r="C335" t="str">
        <f>IF(A335="","",IF(A335="[FÓRMULA MANUAL]","",IFERROR(AVERAGEIFS(nNOTA,nNIA,A335,nCUENTA,1,nASIG,"Orquesta/Banda/Conjunto"),"")))</f>
        <v/>
      </c>
      <c r="D335" t="str">
        <f>IF(A335="","",IF(A335="[FÓRMULA MANUAL]","",IFERROR(AVERAGEIFS(nNOTA,nNIA,A335,nCUENTA,1,nASIG,"Conjunto"),"")))</f>
        <v/>
      </c>
      <c r="E335" t="str">
        <f>IF(A335="","",IF(A335="[FÓRMULA MANUAL]","",IFERROR(SUMPRODUCT((nNIA=A335)*(nCUENTA=1)*(COUNTIF(CONFIG_ASIGNATURAS!$B$7:$B$27,nASIG)&gt;0)*(nNOTA))/SUMPRODUCT((nNIA=A335)*(nCUENTA=1)*(COUNTIF(CONFIG_ASIGNATURAS!$B$7:$B$27,nASIG)&gt;0)*1),"")))</f>
        <v/>
      </c>
      <c r="H335" t="str">
        <f>IF(G335="","",IF(G335="[FÓRMULA MANUAL]","",IFERROR(AVERAGEIFS(nNOTA,nNIA,G335,nCUENTA,1,nASIG,"Lenguaje Musical"),"")))</f>
        <v/>
      </c>
      <c r="I335" t="str">
        <f>IF(G335="","",IF(G335="[FÓRMULA MANUAL]","",IFERROR(AVERAGEIFS(nNOTA,nNIA,G335,nCUENTA,1,nASIG,"Orquesta/Banda/Conjunto"),"")))</f>
        <v/>
      </c>
      <c r="J335" t="str">
        <f>IF(G335="","",IF(G335="[FÓRMULA MANUAL]","",IFERROR(AVERAGEIFS(nNOTA,nNIA,G335,nCUENTA,1,nASIG,"Conjunto"),"")))</f>
        <v/>
      </c>
      <c r="K335" t="str">
        <f>IF(G335="","",IF(G335="[FÓRMULA MANUAL]","",IFERROR(SUMPRODUCT((nNIA=G335)*(nCUENTA=1)*(COUNTIF(CONFIG_ASIGNATURAS!$B$7:$B$27,nASIG)&gt;0)*(nNOTA))/SUMPRODUCT((nNIA=G335)*(nCUENTA=1)*(COUNTIF(CONFIG_ASIGNATURAS!$B$7:$B$27,nASIG)&gt;0)*1),"")))</f>
        <v/>
      </c>
      <c r="N335" t="str">
        <f>IF(M335="","",IF(M335="[FÓRMULA MANUAL]","",IFERROR(AVERAGEIFS(nNOTA,nNIA,M335,nCUENTA,1,nASIG,"Armonía"),"")))</f>
        <v/>
      </c>
      <c r="O335" t="str">
        <f>IF(M335="","",IF(M335="[FÓRMULA MANUAL]","",IFERROR(AVERAGEIFS(nNOTA,nNIA,M335,nCUENTA,1,nASIG,"Orquesta/Banda/Conjunto"),"")))</f>
        <v/>
      </c>
      <c r="P335" t="str">
        <f>IF(M335="","",IF(M335="[FÓRMULA MANUAL]","",IFERROR(AVERAGEIFS(nNOTA,nNIA,M335,nCUENTA,1,nASIG,"Música de Cámara"),"")))</f>
        <v/>
      </c>
      <c r="Q335" t="str">
        <f>IF(M335="","",IF(M335="[FÓRMULA MANUAL]","",IFERROR(SUMPRODUCT((nNIA=M335)*(nCUENTA=1)*(COUNTIF(CONFIG_ASIGNATURAS!$B$7:$B$27,nASIG)&gt;0)*(nNOTA))/SUMPRODUCT((nNIA=M335)*(nCUENTA=1)*(COUNTIF(CONFIG_ASIGNATURAS!$B$7:$B$27,nASIG)&gt;0)*1),"")))</f>
        <v/>
      </c>
      <c r="T335" t="str">
        <f>IF(S335="","",IF(S335="[FÓRMULA MANUAL]","",IFERROR(AVERAGEIFS(nNOTA,nNIA,S335,nCUENTA,1,nASIG,"Armonía"),"")))</f>
        <v/>
      </c>
      <c r="U335" t="str">
        <f>IF(S335="","",IF(S335="[FÓRMULA MANUAL]","",IFERROR(AVERAGEIFS(nNOTA,nNIA,S335,nCUENTA,1,nASIG,"Orquesta/Banda/Conjunto"),"")))</f>
        <v/>
      </c>
      <c r="V335" t="str">
        <f>IF(S335="","",IF(S335="[FÓRMULA MANUAL]","",IFERROR(AVERAGEIFS(nNOTA,nNIA,S335,nCUENTA,1,nASIG,"Música de Cámara"),"")))</f>
        <v/>
      </c>
      <c r="W335" t="str">
        <f>IF(S335="","",IF(S335="[FÓRMULA MANUAL]","",IFERROR(SUMPRODUCT((nNIA=S335)*(nCUENTA=1)*(COUNTIF(CONFIG_ASIGNATURAS!$B$7:$B$27,nASIG)&gt;0)*(nNOTA))/SUMPRODUCT((nNIA=S335)*(nCUENTA=1)*(COUNTIF(CONFIG_ASIGNATURAS!$B$7:$B$27,nASIG)&gt;0)*1),"")))</f>
        <v/>
      </c>
      <c r="Z335" t="str">
        <f>IF(Y335="","",IF(Y335="[FÓRMULA MANUAL]","",IFERROR(AVERAGEIFS(nNOTA,nNIA,Y335,nCUENTA,1,nASIG,"Análisis"),"")))</f>
        <v/>
      </c>
      <c r="AA335" t="str">
        <f>IF(Y335="","",IF(Y335="[FÓRMULA MANUAL]","",IFERROR(AVERAGEIFS(nNOTA,nNIA,Y335,nCUENTA,1,nASIG,"Orquesta/Banda/Conjunto"),"")))</f>
        <v/>
      </c>
      <c r="AB335" t="str">
        <f>IF(Y335="","",IF(Y335="[FÓRMULA MANUAL]","",IFERROR(AVERAGEIFS(nNOTA,nNIA,Y335,nCUENTA,1,nASIG,"Música de Cámara"),"")))</f>
        <v/>
      </c>
      <c r="AC335" t="str">
        <f>IF(Y335="","",IF(Y335="[FÓRMULA MANUAL]","",IFERROR(SUMPRODUCT((nNIA=Y335)*(nCUENTA=1)*(COUNTIF(CONFIG_ASIGNATURAS!$B$7:$B$27,nASIG)&gt;0)*(nNOTA))/SUMPRODUCT((nNIA=Y335)*(nCUENTA=1)*(COUNTIF(CONFIG_ASIGNATURAS!$B$7:$B$27,nASIG)&gt;0)*1),"")))</f>
        <v/>
      </c>
      <c r="AF335" t="str">
        <f>IF(AE335="","",IF(AE335="[FÓRMULA MANUAL]","",IFERROR(AVERAGEIFS(nNOTA,nNIA,AE335,nCUENTA,1,nASIG,"Análisis"),"")))</f>
        <v/>
      </c>
      <c r="AG335" t="str">
        <f>IF(AE335="","",IF(AE335="[FÓRMULA MANUAL]","",IFERROR(AVERAGEIFS(nNOTA,nNIA,AE335,nCUENTA,1,nASIG,"Orquesta/Banda/Conjunto"),"")))</f>
        <v/>
      </c>
      <c r="AH335" t="str">
        <f>IF(AE335="","",IF(AE335="[FÓRMULA MANUAL]","",IFERROR(AVERAGEIFS(nNOTA,nNIA,AE335,nCUENTA,1,nASIG,"Música de Cámara"),"")))</f>
        <v/>
      </c>
      <c r="AI335" t="str">
        <f>IF(AE335="","",IF(AE335="[FÓRMULA MANUAL]","",IFERROR(SUMPRODUCT((nNIA=AE335)*(nCUENTA=1)*(COUNTIF(CONFIG_ASIGNATURAS!$B$7:$B$27,nASIG)&gt;0)*(nNOTA))/SUMPRODUCT((nNIA=AE335)*(nCUENTA=1)*(COUNTIF(CONFIG_ASIGNATURAS!$B$7:$B$27,nASIG)&gt;0)*1),"")))</f>
        <v/>
      </c>
    </row>
    <row r="336" spans="2:35" x14ac:dyDescent="0.2">
      <c r="B336" t="str">
        <f>IF(A336="","",IF(A336="[FÓRMULA MANUAL]","",IFERROR(AVERAGEIFS(nNOTA,nNIA,A336,nCUENTA,1,nASIG,"Lenguaje Musical"),"")))</f>
        <v/>
      </c>
      <c r="C336" t="str">
        <f>IF(A336="","",IF(A336="[FÓRMULA MANUAL]","",IFERROR(AVERAGEIFS(nNOTA,nNIA,A336,nCUENTA,1,nASIG,"Orquesta/Banda/Conjunto"),"")))</f>
        <v/>
      </c>
      <c r="D336" t="str">
        <f>IF(A336="","",IF(A336="[FÓRMULA MANUAL]","",IFERROR(AVERAGEIFS(nNOTA,nNIA,A336,nCUENTA,1,nASIG,"Conjunto"),"")))</f>
        <v/>
      </c>
      <c r="E336" t="str">
        <f>IF(A336="","",IF(A336="[FÓRMULA MANUAL]","",IFERROR(SUMPRODUCT((nNIA=A336)*(nCUENTA=1)*(COUNTIF(CONFIG_ASIGNATURAS!$B$7:$B$27,nASIG)&gt;0)*(nNOTA))/SUMPRODUCT((nNIA=A336)*(nCUENTA=1)*(COUNTIF(CONFIG_ASIGNATURAS!$B$7:$B$27,nASIG)&gt;0)*1),"")))</f>
        <v/>
      </c>
      <c r="H336" t="str">
        <f>IF(G336="","",IF(G336="[FÓRMULA MANUAL]","",IFERROR(AVERAGEIFS(nNOTA,nNIA,G336,nCUENTA,1,nASIG,"Lenguaje Musical"),"")))</f>
        <v/>
      </c>
      <c r="I336" t="str">
        <f>IF(G336="","",IF(G336="[FÓRMULA MANUAL]","",IFERROR(AVERAGEIFS(nNOTA,nNIA,G336,nCUENTA,1,nASIG,"Orquesta/Banda/Conjunto"),"")))</f>
        <v/>
      </c>
      <c r="J336" t="str">
        <f>IF(G336="","",IF(G336="[FÓRMULA MANUAL]","",IFERROR(AVERAGEIFS(nNOTA,nNIA,G336,nCUENTA,1,nASIG,"Conjunto"),"")))</f>
        <v/>
      </c>
      <c r="K336" t="str">
        <f>IF(G336="","",IF(G336="[FÓRMULA MANUAL]","",IFERROR(SUMPRODUCT((nNIA=G336)*(nCUENTA=1)*(COUNTIF(CONFIG_ASIGNATURAS!$B$7:$B$27,nASIG)&gt;0)*(nNOTA))/SUMPRODUCT((nNIA=G336)*(nCUENTA=1)*(COUNTIF(CONFIG_ASIGNATURAS!$B$7:$B$27,nASIG)&gt;0)*1),"")))</f>
        <v/>
      </c>
      <c r="N336" t="str">
        <f>IF(M336="","",IF(M336="[FÓRMULA MANUAL]","",IFERROR(AVERAGEIFS(nNOTA,nNIA,M336,nCUENTA,1,nASIG,"Armonía"),"")))</f>
        <v/>
      </c>
      <c r="O336" t="str">
        <f>IF(M336="","",IF(M336="[FÓRMULA MANUAL]","",IFERROR(AVERAGEIFS(nNOTA,nNIA,M336,nCUENTA,1,nASIG,"Orquesta/Banda/Conjunto"),"")))</f>
        <v/>
      </c>
      <c r="P336" t="str">
        <f>IF(M336="","",IF(M336="[FÓRMULA MANUAL]","",IFERROR(AVERAGEIFS(nNOTA,nNIA,M336,nCUENTA,1,nASIG,"Música de Cámara"),"")))</f>
        <v/>
      </c>
      <c r="Q336" t="str">
        <f>IF(M336="","",IF(M336="[FÓRMULA MANUAL]","",IFERROR(SUMPRODUCT((nNIA=M336)*(nCUENTA=1)*(COUNTIF(CONFIG_ASIGNATURAS!$B$7:$B$27,nASIG)&gt;0)*(nNOTA))/SUMPRODUCT((nNIA=M336)*(nCUENTA=1)*(COUNTIF(CONFIG_ASIGNATURAS!$B$7:$B$27,nASIG)&gt;0)*1),"")))</f>
        <v/>
      </c>
      <c r="T336" t="str">
        <f>IF(S336="","",IF(S336="[FÓRMULA MANUAL]","",IFERROR(AVERAGEIFS(nNOTA,nNIA,S336,nCUENTA,1,nASIG,"Armonía"),"")))</f>
        <v/>
      </c>
      <c r="U336" t="str">
        <f>IF(S336="","",IF(S336="[FÓRMULA MANUAL]","",IFERROR(AVERAGEIFS(nNOTA,nNIA,S336,nCUENTA,1,nASIG,"Orquesta/Banda/Conjunto"),"")))</f>
        <v/>
      </c>
      <c r="V336" t="str">
        <f>IF(S336="","",IF(S336="[FÓRMULA MANUAL]","",IFERROR(AVERAGEIFS(nNOTA,nNIA,S336,nCUENTA,1,nASIG,"Música de Cámara"),"")))</f>
        <v/>
      </c>
      <c r="W336" t="str">
        <f>IF(S336="","",IF(S336="[FÓRMULA MANUAL]","",IFERROR(SUMPRODUCT((nNIA=S336)*(nCUENTA=1)*(COUNTIF(CONFIG_ASIGNATURAS!$B$7:$B$27,nASIG)&gt;0)*(nNOTA))/SUMPRODUCT((nNIA=S336)*(nCUENTA=1)*(COUNTIF(CONFIG_ASIGNATURAS!$B$7:$B$27,nASIG)&gt;0)*1),"")))</f>
        <v/>
      </c>
      <c r="Z336" t="str">
        <f>IF(Y336="","",IF(Y336="[FÓRMULA MANUAL]","",IFERROR(AVERAGEIFS(nNOTA,nNIA,Y336,nCUENTA,1,nASIG,"Análisis"),"")))</f>
        <v/>
      </c>
      <c r="AA336" t="str">
        <f>IF(Y336="","",IF(Y336="[FÓRMULA MANUAL]","",IFERROR(AVERAGEIFS(nNOTA,nNIA,Y336,nCUENTA,1,nASIG,"Orquesta/Banda/Conjunto"),"")))</f>
        <v/>
      </c>
      <c r="AB336" t="str">
        <f>IF(Y336="","",IF(Y336="[FÓRMULA MANUAL]","",IFERROR(AVERAGEIFS(nNOTA,nNIA,Y336,nCUENTA,1,nASIG,"Música de Cámara"),"")))</f>
        <v/>
      </c>
      <c r="AC336" t="str">
        <f>IF(Y336="","",IF(Y336="[FÓRMULA MANUAL]","",IFERROR(SUMPRODUCT((nNIA=Y336)*(nCUENTA=1)*(COUNTIF(CONFIG_ASIGNATURAS!$B$7:$B$27,nASIG)&gt;0)*(nNOTA))/SUMPRODUCT((nNIA=Y336)*(nCUENTA=1)*(COUNTIF(CONFIG_ASIGNATURAS!$B$7:$B$27,nASIG)&gt;0)*1),"")))</f>
        <v/>
      </c>
      <c r="AF336" t="str">
        <f>IF(AE336="","",IF(AE336="[FÓRMULA MANUAL]","",IFERROR(AVERAGEIFS(nNOTA,nNIA,AE336,nCUENTA,1,nASIG,"Análisis"),"")))</f>
        <v/>
      </c>
      <c r="AG336" t="str">
        <f>IF(AE336="","",IF(AE336="[FÓRMULA MANUAL]","",IFERROR(AVERAGEIFS(nNOTA,nNIA,AE336,nCUENTA,1,nASIG,"Orquesta/Banda/Conjunto"),"")))</f>
        <v/>
      </c>
      <c r="AH336" t="str">
        <f>IF(AE336="","",IF(AE336="[FÓRMULA MANUAL]","",IFERROR(AVERAGEIFS(nNOTA,nNIA,AE336,nCUENTA,1,nASIG,"Música de Cámara"),"")))</f>
        <v/>
      </c>
      <c r="AI336" t="str">
        <f>IF(AE336="","",IF(AE336="[FÓRMULA MANUAL]","",IFERROR(SUMPRODUCT((nNIA=AE336)*(nCUENTA=1)*(COUNTIF(CONFIG_ASIGNATURAS!$B$7:$B$27,nASIG)&gt;0)*(nNOTA))/SUMPRODUCT((nNIA=AE336)*(nCUENTA=1)*(COUNTIF(CONFIG_ASIGNATURAS!$B$7:$B$27,nASIG)&gt;0)*1),"")))</f>
        <v/>
      </c>
    </row>
    <row r="337" spans="2:35" x14ac:dyDescent="0.2">
      <c r="B337" t="str">
        <f>IF(A337="","",IF(A337="[FÓRMULA MANUAL]","",IFERROR(AVERAGEIFS(nNOTA,nNIA,A337,nCUENTA,1,nASIG,"Lenguaje Musical"),"")))</f>
        <v/>
      </c>
      <c r="C337" t="str">
        <f>IF(A337="","",IF(A337="[FÓRMULA MANUAL]","",IFERROR(AVERAGEIFS(nNOTA,nNIA,A337,nCUENTA,1,nASIG,"Orquesta/Banda/Conjunto"),"")))</f>
        <v/>
      </c>
      <c r="D337" t="str">
        <f>IF(A337="","",IF(A337="[FÓRMULA MANUAL]","",IFERROR(AVERAGEIFS(nNOTA,nNIA,A337,nCUENTA,1,nASIG,"Conjunto"),"")))</f>
        <v/>
      </c>
      <c r="E337" t="str">
        <f>IF(A337="","",IF(A337="[FÓRMULA MANUAL]","",IFERROR(SUMPRODUCT((nNIA=A337)*(nCUENTA=1)*(COUNTIF(CONFIG_ASIGNATURAS!$B$7:$B$27,nASIG)&gt;0)*(nNOTA))/SUMPRODUCT((nNIA=A337)*(nCUENTA=1)*(COUNTIF(CONFIG_ASIGNATURAS!$B$7:$B$27,nASIG)&gt;0)*1),"")))</f>
        <v/>
      </c>
      <c r="H337" t="str">
        <f>IF(G337="","",IF(G337="[FÓRMULA MANUAL]","",IFERROR(AVERAGEIFS(nNOTA,nNIA,G337,nCUENTA,1,nASIG,"Lenguaje Musical"),"")))</f>
        <v/>
      </c>
      <c r="I337" t="str">
        <f>IF(G337="","",IF(G337="[FÓRMULA MANUAL]","",IFERROR(AVERAGEIFS(nNOTA,nNIA,G337,nCUENTA,1,nASIG,"Orquesta/Banda/Conjunto"),"")))</f>
        <v/>
      </c>
      <c r="J337" t="str">
        <f>IF(G337="","",IF(G337="[FÓRMULA MANUAL]","",IFERROR(AVERAGEIFS(nNOTA,nNIA,G337,nCUENTA,1,nASIG,"Conjunto"),"")))</f>
        <v/>
      </c>
      <c r="K337" t="str">
        <f>IF(G337="","",IF(G337="[FÓRMULA MANUAL]","",IFERROR(SUMPRODUCT((nNIA=G337)*(nCUENTA=1)*(COUNTIF(CONFIG_ASIGNATURAS!$B$7:$B$27,nASIG)&gt;0)*(nNOTA))/SUMPRODUCT((nNIA=G337)*(nCUENTA=1)*(COUNTIF(CONFIG_ASIGNATURAS!$B$7:$B$27,nASIG)&gt;0)*1),"")))</f>
        <v/>
      </c>
      <c r="N337" t="str">
        <f>IF(M337="","",IF(M337="[FÓRMULA MANUAL]","",IFERROR(AVERAGEIFS(nNOTA,nNIA,M337,nCUENTA,1,nASIG,"Armonía"),"")))</f>
        <v/>
      </c>
      <c r="O337" t="str">
        <f>IF(M337="","",IF(M337="[FÓRMULA MANUAL]","",IFERROR(AVERAGEIFS(nNOTA,nNIA,M337,nCUENTA,1,nASIG,"Orquesta/Banda/Conjunto"),"")))</f>
        <v/>
      </c>
      <c r="P337" t="str">
        <f>IF(M337="","",IF(M337="[FÓRMULA MANUAL]","",IFERROR(AVERAGEIFS(nNOTA,nNIA,M337,nCUENTA,1,nASIG,"Música de Cámara"),"")))</f>
        <v/>
      </c>
      <c r="Q337" t="str">
        <f>IF(M337="","",IF(M337="[FÓRMULA MANUAL]","",IFERROR(SUMPRODUCT((nNIA=M337)*(nCUENTA=1)*(COUNTIF(CONFIG_ASIGNATURAS!$B$7:$B$27,nASIG)&gt;0)*(nNOTA))/SUMPRODUCT((nNIA=M337)*(nCUENTA=1)*(COUNTIF(CONFIG_ASIGNATURAS!$B$7:$B$27,nASIG)&gt;0)*1),"")))</f>
        <v/>
      </c>
      <c r="T337" t="str">
        <f>IF(S337="","",IF(S337="[FÓRMULA MANUAL]","",IFERROR(AVERAGEIFS(nNOTA,nNIA,S337,nCUENTA,1,nASIG,"Armonía"),"")))</f>
        <v/>
      </c>
      <c r="U337" t="str">
        <f>IF(S337="","",IF(S337="[FÓRMULA MANUAL]","",IFERROR(AVERAGEIFS(nNOTA,nNIA,S337,nCUENTA,1,nASIG,"Orquesta/Banda/Conjunto"),"")))</f>
        <v/>
      </c>
      <c r="V337" t="str">
        <f>IF(S337="","",IF(S337="[FÓRMULA MANUAL]","",IFERROR(AVERAGEIFS(nNOTA,nNIA,S337,nCUENTA,1,nASIG,"Música de Cámara"),"")))</f>
        <v/>
      </c>
      <c r="W337" t="str">
        <f>IF(S337="","",IF(S337="[FÓRMULA MANUAL]","",IFERROR(SUMPRODUCT((nNIA=S337)*(nCUENTA=1)*(COUNTIF(CONFIG_ASIGNATURAS!$B$7:$B$27,nASIG)&gt;0)*(nNOTA))/SUMPRODUCT((nNIA=S337)*(nCUENTA=1)*(COUNTIF(CONFIG_ASIGNATURAS!$B$7:$B$27,nASIG)&gt;0)*1),"")))</f>
        <v/>
      </c>
      <c r="Z337" t="str">
        <f>IF(Y337="","",IF(Y337="[FÓRMULA MANUAL]","",IFERROR(AVERAGEIFS(nNOTA,nNIA,Y337,nCUENTA,1,nASIG,"Análisis"),"")))</f>
        <v/>
      </c>
      <c r="AA337" t="str">
        <f>IF(Y337="","",IF(Y337="[FÓRMULA MANUAL]","",IFERROR(AVERAGEIFS(nNOTA,nNIA,Y337,nCUENTA,1,nASIG,"Orquesta/Banda/Conjunto"),"")))</f>
        <v/>
      </c>
      <c r="AB337" t="str">
        <f>IF(Y337="","",IF(Y337="[FÓRMULA MANUAL]","",IFERROR(AVERAGEIFS(nNOTA,nNIA,Y337,nCUENTA,1,nASIG,"Música de Cámara"),"")))</f>
        <v/>
      </c>
      <c r="AC337" t="str">
        <f>IF(Y337="","",IF(Y337="[FÓRMULA MANUAL]","",IFERROR(SUMPRODUCT((nNIA=Y337)*(nCUENTA=1)*(COUNTIF(CONFIG_ASIGNATURAS!$B$7:$B$27,nASIG)&gt;0)*(nNOTA))/SUMPRODUCT((nNIA=Y337)*(nCUENTA=1)*(COUNTIF(CONFIG_ASIGNATURAS!$B$7:$B$27,nASIG)&gt;0)*1),"")))</f>
        <v/>
      </c>
      <c r="AF337" t="str">
        <f>IF(AE337="","",IF(AE337="[FÓRMULA MANUAL]","",IFERROR(AVERAGEIFS(nNOTA,nNIA,AE337,nCUENTA,1,nASIG,"Análisis"),"")))</f>
        <v/>
      </c>
      <c r="AG337" t="str">
        <f>IF(AE337="","",IF(AE337="[FÓRMULA MANUAL]","",IFERROR(AVERAGEIFS(nNOTA,nNIA,AE337,nCUENTA,1,nASIG,"Orquesta/Banda/Conjunto"),"")))</f>
        <v/>
      </c>
      <c r="AH337" t="str">
        <f>IF(AE337="","",IF(AE337="[FÓRMULA MANUAL]","",IFERROR(AVERAGEIFS(nNOTA,nNIA,AE337,nCUENTA,1,nASIG,"Música de Cámara"),"")))</f>
        <v/>
      </c>
      <c r="AI337" t="str">
        <f>IF(AE337="","",IF(AE337="[FÓRMULA MANUAL]","",IFERROR(SUMPRODUCT((nNIA=AE337)*(nCUENTA=1)*(COUNTIF(CONFIG_ASIGNATURAS!$B$7:$B$27,nASIG)&gt;0)*(nNOTA))/SUMPRODUCT((nNIA=AE337)*(nCUENTA=1)*(COUNTIF(CONFIG_ASIGNATURAS!$B$7:$B$27,nASIG)&gt;0)*1),"")))</f>
        <v/>
      </c>
    </row>
    <row r="338" spans="2:35" x14ac:dyDescent="0.2">
      <c r="B338" t="str">
        <f>IF(A338="","",IF(A338="[FÓRMULA MANUAL]","",IFERROR(AVERAGEIFS(nNOTA,nNIA,A338,nCUENTA,1,nASIG,"Lenguaje Musical"),"")))</f>
        <v/>
      </c>
      <c r="C338" t="str">
        <f>IF(A338="","",IF(A338="[FÓRMULA MANUAL]","",IFERROR(AVERAGEIFS(nNOTA,nNIA,A338,nCUENTA,1,nASIG,"Orquesta/Banda/Conjunto"),"")))</f>
        <v/>
      </c>
      <c r="D338" t="str">
        <f>IF(A338="","",IF(A338="[FÓRMULA MANUAL]","",IFERROR(AVERAGEIFS(nNOTA,nNIA,A338,nCUENTA,1,nASIG,"Conjunto"),"")))</f>
        <v/>
      </c>
      <c r="E338" t="str">
        <f>IF(A338="","",IF(A338="[FÓRMULA MANUAL]","",IFERROR(SUMPRODUCT((nNIA=A338)*(nCUENTA=1)*(COUNTIF(CONFIG_ASIGNATURAS!$B$7:$B$27,nASIG)&gt;0)*(nNOTA))/SUMPRODUCT((nNIA=A338)*(nCUENTA=1)*(COUNTIF(CONFIG_ASIGNATURAS!$B$7:$B$27,nASIG)&gt;0)*1),"")))</f>
        <v/>
      </c>
      <c r="H338" t="str">
        <f>IF(G338="","",IF(G338="[FÓRMULA MANUAL]","",IFERROR(AVERAGEIFS(nNOTA,nNIA,G338,nCUENTA,1,nASIG,"Lenguaje Musical"),"")))</f>
        <v/>
      </c>
      <c r="I338" t="str">
        <f>IF(G338="","",IF(G338="[FÓRMULA MANUAL]","",IFERROR(AVERAGEIFS(nNOTA,nNIA,G338,nCUENTA,1,nASIG,"Orquesta/Banda/Conjunto"),"")))</f>
        <v/>
      </c>
      <c r="J338" t="str">
        <f>IF(G338="","",IF(G338="[FÓRMULA MANUAL]","",IFERROR(AVERAGEIFS(nNOTA,nNIA,G338,nCUENTA,1,nASIG,"Conjunto"),"")))</f>
        <v/>
      </c>
      <c r="K338" t="str">
        <f>IF(G338="","",IF(G338="[FÓRMULA MANUAL]","",IFERROR(SUMPRODUCT((nNIA=G338)*(nCUENTA=1)*(COUNTIF(CONFIG_ASIGNATURAS!$B$7:$B$27,nASIG)&gt;0)*(nNOTA))/SUMPRODUCT((nNIA=G338)*(nCUENTA=1)*(COUNTIF(CONFIG_ASIGNATURAS!$B$7:$B$27,nASIG)&gt;0)*1),"")))</f>
        <v/>
      </c>
      <c r="N338" t="str">
        <f>IF(M338="","",IF(M338="[FÓRMULA MANUAL]","",IFERROR(AVERAGEIFS(nNOTA,nNIA,M338,nCUENTA,1,nASIG,"Armonía"),"")))</f>
        <v/>
      </c>
      <c r="O338" t="str">
        <f>IF(M338="","",IF(M338="[FÓRMULA MANUAL]","",IFERROR(AVERAGEIFS(nNOTA,nNIA,M338,nCUENTA,1,nASIG,"Orquesta/Banda/Conjunto"),"")))</f>
        <v/>
      </c>
      <c r="P338" t="str">
        <f>IF(M338="","",IF(M338="[FÓRMULA MANUAL]","",IFERROR(AVERAGEIFS(nNOTA,nNIA,M338,nCUENTA,1,nASIG,"Música de Cámara"),"")))</f>
        <v/>
      </c>
      <c r="Q338" t="str">
        <f>IF(M338="","",IF(M338="[FÓRMULA MANUAL]","",IFERROR(SUMPRODUCT((nNIA=M338)*(nCUENTA=1)*(COUNTIF(CONFIG_ASIGNATURAS!$B$7:$B$27,nASIG)&gt;0)*(nNOTA))/SUMPRODUCT((nNIA=M338)*(nCUENTA=1)*(COUNTIF(CONFIG_ASIGNATURAS!$B$7:$B$27,nASIG)&gt;0)*1),"")))</f>
        <v/>
      </c>
      <c r="T338" t="str">
        <f>IF(S338="","",IF(S338="[FÓRMULA MANUAL]","",IFERROR(AVERAGEIFS(nNOTA,nNIA,S338,nCUENTA,1,nASIG,"Armonía"),"")))</f>
        <v/>
      </c>
      <c r="U338" t="str">
        <f>IF(S338="","",IF(S338="[FÓRMULA MANUAL]","",IFERROR(AVERAGEIFS(nNOTA,nNIA,S338,nCUENTA,1,nASIG,"Orquesta/Banda/Conjunto"),"")))</f>
        <v/>
      </c>
      <c r="V338" t="str">
        <f>IF(S338="","",IF(S338="[FÓRMULA MANUAL]","",IFERROR(AVERAGEIFS(nNOTA,nNIA,S338,nCUENTA,1,nASIG,"Música de Cámara"),"")))</f>
        <v/>
      </c>
      <c r="W338" t="str">
        <f>IF(S338="","",IF(S338="[FÓRMULA MANUAL]","",IFERROR(SUMPRODUCT((nNIA=S338)*(nCUENTA=1)*(COUNTIF(CONFIG_ASIGNATURAS!$B$7:$B$27,nASIG)&gt;0)*(nNOTA))/SUMPRODUCT((nNIA=S338)*(nCUENTA=1)*(COUNTIF(CONFIG_ASIGNATURAS!$B$7:$B$27,nASIG)&gt;0)*1),"")))</f>
        <v/>
      </c>
      <c r="Z338" t="str">
        <f>IF(Y338="","",IF(Y338="[FÓRMULA MANUAL]","",IFERROR(AVERAGEIFS(nNOTA,nNIA,Y338,nCUENTA,1,nASIG,"Análisis"),"")))</f>
        <v/>
      </c>
      <c r="AA338" t="str">
        <f>IF(Y338="","",IF(Y338="[FÓRMULA MANUAL]","",IFERROR(AVERAGEIFS(nNOTA,nNIA,Y338,nCUENTA,1,nASIG,"Orquesta/Banda/Conjunto"),"")))</f>
        <v/>
      </c>
      <c r="AB338" t="str">
        <f>IF(Y338="","",IF(Y338="[FÓRMULA MANUAL]","",IFERROR(AVERAGEIFS(nNOTA,nNIA,Y338,nCUENTA,1,nASIG,"Música de Cámara"),"")))</f>
        <v/>
      </c>
      <c r="AC338" t="str">
        <f>IF(Y338="","",IF(Y338="[FÓRMULA MANUAL]","",IFERROR(SUMPRODUCT((nNIA=Y338)*(nCUENTA=1)*(COUNTIF(CONFIG_ASIGNATURAS!$B$7:$B$27,nASIG)&gt;0)*(nNOTA))/SUMPRODUCT((nNIA=Y338)*(nCUENTA=1)*(COUNTIF(CONFIG_ASIGNATURAS!$B$7:$B$27,nASIG)&gt;0)*1),"")))</f>
        <v/>
      </c>
      <c r="AF338" t="str">
        <f>IF(AE338="","",IF(AE338="[FÓRMULA MANUAL]","",IFERROR(AVERAGEIFS(nNOTA,nNIA,AE338,nCUENTA,1,nASIG,"Análisis"),"")))</f>
        <v/>
      </c>
      <c r="AG338" t="str">
        <f>IF(AE338="","",IF(AE338="[FÓRMULA MANUAL]","",IFERROR(AVERAGEIFS(nNOTA,nNIA,AE338,nCUENTA,1,nASIG,"Orquesta/Banda/Conjunto"),"")))</f>
        <v/>
      </c>
      <c r="AH338" t="str">
        <f>IF(AE338="","",IF(AE338="[FÓRMULA MANUAL]","",IFERROR(AVERAGEIFS(nNOTA,nNIA,AE338,nCUENTA,1,nASIG,"Música de Cámara"),"")))</f>
        <v/>
      </c>
      <c r="AI338" t="str">
        <f>IF(AE338="","",IF(AE338="[FÓRMULA MANUAL]","",IFERROR(SUMPRODUCT((nNIA=AE338)*(nCUENTA=1)*(COUNTIF(CONFIG_ASIGNATURAS!$B$7:$B$27,nASIG)&gt;0)*(nNOTA))/SUMPRODUCT((nNIA=AE338)*(nCUENTA=1)*(COUNTIF(CONFIG_ASIGNATURAS!$B$7:$B$27,nASIG)&gt;0)*1),"")))</f>
        <v/>
      </c>
    </row>
    <row r="339" spans="2:35" x14ac:dyDescent="0.2">
      <c r="B339" t="str">
        <f>IF(A339="","",IF(A339="[FÓRMULA MANUAL]","",IFERROR(AVERAGEIFS(nNOTA,nNIA,A339,nCUENTA,1,nASIG,"Lenguaje Musical"),"")))</f>
        <v/>
      </c>
      <c r="C339" t="str">
        <f>IF(A339="","",IF(A339="[FÓRMULA MANUAL]","",IFERROR(AVERAGEIFS(nNOTA,nNIA,A339,nCUENTA,1,nASIG,"Orquesta/Banda/Conjunto"),"")))</f>
        <v/>
      </c>
      <c r="D339" t="str">
        <f>IF(A339="","",IF(A339="[FÓRMULA MANUAL]","",IFERROR(AVERAGEIFS(nNOTA,nNIA,A339,nCUENTA,1,nASIG,"Conjunto"),"")))</f>
        <v/>
      </c>
      <c r="E339" t="str">
        <f>IF(A339="","",IF(A339="[FÓRMULA MANUAL]","",IFERROR(SUMPRODUCT((nNIA=A339)*(nCUENTA=1)*(COUNTIF(CONFIG_ASIGNATURAS!$B$7:$B$27,nASIG)&gt;0)*(nNOTA))/SUMPRODUCT((nNIA=A339)*(nCUENTA=1)*(COUNTIF(CONFIG_ASIGNATURAS!$B$7:$B$27,nASIG)&gt;0)*1),"")))</f>
        <v/>
      </c>
      <c r="H339" t="str">
        <f>IF(G339="","",IF(G339="[FÓRMULA MANUAL]","",IFERROR(AVERAGEIFS(nNOTA,nNIA,G339,nCUENTA,1,nASIG,"Lenguaje Musical"),"")))</f>
        <v/>
      </c>
      <c r="I339" t="str">
        <f>IF(G339="","",IF(G339="[FÓRMULA MANUAL]","",IFERROR(AVERAGEIFS(nNOTA,nNIA,G339,nCUENTA,1,nASIG,"Orquesta/Banda/Conjunto"),"")))</f>
        <v/>
      </c>
      <c r="J339" t="str">
        <f>IF(G339="","",IF(G339="[FÓRMULA MANUAL]","",IFERROR(AVERAGEIFS(nNOTA,nNIA,G339,nCUENTA,1,nASIG,"Conjunto"),"")))</f>
        <v/>
      </c>
      <c r="K339" t="str">
        <f>IF(G339="","",IF(G339="[FÓRMULA MANUAL]","",IFERROR(SUMPRODUCT((nNIA=G339)*(nCUENTA=1)*(COUNTIF(CONFIG_ASIGNATURAS!$B$7:$B$27,nASIG)&gt;0)*(nNOTA))/SUMPRODUCT((nNIA=G339)*(nCUENTA=1)*(COUNTIF(CONFIG_ASIGNATURAS!$B$7:$B$27,nASIG)&gt;0)*1),"")))</f>
        <v/>
      </c>
      <c r="N339" t="str">
        <f>IF(M339="","",IF(M339="[FÓRMULA MANUAL]","",IFERROR(AVERAGEIFS(nNOTA,nNIA,M339,nCUENTA,1,nASIG,"Armonía"),"")))</f>
        <v/>
      </c>
      <c r="O339" t="str">
        <f>IF(M339="","",IF(M339="[FÓRMULA MANUAL]","",IFERROR(AVERAGEIFS(nNOTA,nNIA,M339,nCUENTA,1,nASIG,"Orquesta/Banda/Conjunto"),"")))</f>
        <v/>
      </c>
      <c r="P339" t="str">
        <f>IF(M339="","",IF(M339="[FÓRMULA MANUAL]","",IFERROR(AVERAGEIFS(nNOTA,nNIA,M339,nCUENTA,1,nASIG,"Música de Cámara"),"")))</f>
        <v/>
      </c>
      <c r="Q339" t="str">
        <f>IF(M339="","",IF(M339="[FÓRMULA MANUAL]","",IFERROR(SUMPRODUCT((nNIA=M339)*(nCUENTA=1)*(COUNTIF(CONFIG_ASIGNATURAS!$B$7:$B$27,nASIG)&gt;0)*(nNOTA))/SUMPRODUCT((nNIA=M339)*(nCUENTA=1)*(COUNTIF(CONFIG_ASIGNATURAS!$B$7:$B$27,nASIG)&gt;0)*1),"")))</f>
        <v/>
      </c>
      <c r="T339" t="str">
        <f>IF(S339="","",IF(S339="[FÓRMULA MANUAL]","",IFERROR(AVERAGEIFS(nNOTA,nNIA,S339,nCUENTA,1,nASIG,"Armonía"),"")))</f>
        <v/>
      </c>
      <c r="U339" t="str">
        <f>IF(S339="","",IF(S339="[FÓRMULA MANUAL]","",IFERROR(AVERAGEIFS(nNOTA,nNIA,S339,nCUENTA,1,nASIG,"Orquesta/Banda/Conjunto"),"")))</f>
        <v/>
      </c>
      <c r="V339" t="str">
        <f>IF(S339="","",IF(S339="[FÓRMULA MANUAL]","",IFERROR(AVERAGEIFS(nNOTA,nNIA,S339,nCUENTA,1,nASIG,"Música de Cámara"),"")))</f>
        <v/>
      </c>
      <c r="W339" t="str">
        <f>IF(S339="","",IF(S339="[FÓRMULA MANUAL]","",IFERROR(SUMPRODUCT((nNIA=S339)*(nCUENTA=1)*(COUNTIF(CONFIG_ASIGNATURAS!$B$7:$B$27,nASIG)&gt;0)*(nNOTA))/SUMPRODUCT((nNIA=S339)*(nCUENTA=1)*(COUNTIF(CONFIG_ASIGNATURAS!$B$7:$B$27,nASIG)&gt;0)*1),"")))</f>
        <v/>
      </c>
      <c r="Z339" t="str">
        <f>IF(Y339="","",IF(Y339="[FÓRMULA MANUAL]","",IFERROR(AVERAGEIFS(nNOTA,nNIA,Y339,nCUENTA,1,nASIG,"Análisis"),"")))</f>
        <v/>
      </c>
      <c r="AA339" t="str">
        <f>IF(Y339="","",IF(Y339="[FÓRMULA MANUAL]","",IFERROR(AVERAGEIFS(nNOTA,nNIA,Y339,nCUENTA,1,nASIG,"Orquesta/Banda/Conjunto"),"")))</f>
        <v/>
      </c>
      <c r="AB339" t="str">
        <f>IF(Y339="","",IF(Y339="[FÓRMULA MANUAL]","",IFERROR(AVERAGEIFS(nNOTA,nNIA,Y339,nCUENTA,1,nASIG,"Música de Cámara"),"")))</f>
        <v/>
      </c>
      <c r="AC339" t="str">
        <f>IF(Y339="","",IF(Y339="[FÓRMULA MANUAL]","",IFERROR(SUMPRODUCT((nNIA=Y339)*(nCUENTA=1)*(COUNTIF(CONFIG_ASIGNATURAS!$B$7:$B$27,nASIG)&gt;0)*(nNOTA))/SUMPRODUCT((nNIA=Y339)*(nCUENTA=1)*(COUNTIF(CONFIG_ASIGNATURAS!$B$7:$B$27,nASIG)&gt;0)*1),"")))</f>
        <v/>
      </c>
      <c r="AF339" t="str">
        <f>IF(AE339="","",IF(AE339="[FÓRMULA MANUAL]","",IFERROR(AVERAGEIFS(nNOTA,nNIA,AE339,nCUENTA,1,nASIG,"Análisis"),"")))</f>
        <v/>
      </c>
      <c r="AG339" t="str">
        <f>IF(AE339="","",IF(AE339="[FÓRMULA MANUAL]","",IFERROR(AVERAGEIFS(nNOTA,nNIA,AE339,nCUENTA,1,nASIG,"Orquesta/Banda/Conjunto"),"")))</f>
        <v/>
      </c>
      <c r="AH339" t="str">
        <f>IF(AE339="","",IF(AE339="[FÓRMULA MANUAL]","",IFERROR(AVERAGEIFS(nNOTA,nNIA,AE339,nCUENTA,1,nASIG,"Música de Cámara"),"")))</f>
        <v/>
      </c>
      <c r="AI339" t="str">
        <f>IF(AE339="","",IF(AE339="[FÓRMULA MANUAL]","",IFERROR(SUMPRODUCT((nNIA=AE339)*(nCUENTA=1)*(COUNTIF(CONFIG_ASIGNATURAS!$B$7:$B$27,nASIG)&gt;0)*(nNOTA))/SUMPRODUCT((nNIA=AE339)*(nCUENTA=1)*(COUNTIF(CONFIG_ASIGNATURAS!$B$7:$B$27,nASIG)&gt;0)*1),"")))</f>
        <v/>
      </c>
    </row>
    <row r="340" spans="2:35" x14ac:dyDescent="0.2">
      <c r="B340" t="str">
        <f>IF(A340="","",IF(A340="[FÓRMULA MANUAL]","",IFERROR(AVERAGEIFS(nNOTA,nNIA,A340,nCUENTA,1,nASIG,"Lenguaje Musical"),"")))</f>
        <v/>
      </c>
      <c r="C340" t="str">
        <f>IF(A340="","",IF(A340="[FÓRMULA MANUAL]","",IFERROR(AVERAGEIFS(nNOTA,nNIA,A340,nCUENTA,1,nASIG,"Orquesta/Banda/Conjunto"),"")))</f>
        <v/>
      </c>
      <c r="D340" t="str">
        <f>IF(A340="","",IF(A340="[FÓRMULA MANUAL]","",IFERROR(AVERAGEIFS(nNOTA,nNIA,A340,nCUENTA,1,nASIG,"Conjunto"),"")))</f>
        <v/>
      </c>
      <c r="E340" t="str">
        <f>IF(A340="","",IF(A340="[FÓRMULA MANUAL]","",IFERROR(SUMPRODUCT((nNIA=A340)*(nCUENTA=1)*(COUNTIF(CONFIG_ASIGNATURAS!$B$7:$B$27,nASIG)&gt;0)*(nNOTA))/SUMPRODUCT((nNIA=A340)*(nCUENTA=1)*(COUNTIF(CONFIG_ASIGNATURAS!$B$7:$B$27,nASIG)&gt;0)*1),"")))</f>
        <v/>
      </c>
      <c r="H340" t="str">
        <f>IF(G340="","",IF(G340="[FÓRMULA MANUAL]","",IFERROR(AVERAGEIFS(nNOTA,nNIA,G340,nCUENTA,1,nASIG,"Lenguaje Musical"),"")))</f>
        <v/>
      </c>
      <c r="I340" t="str">
        <f>IF(G340="","",IF(G340="[FÓRMULA MANUAL]","",IFERROR(AVERAGEIFS(nNOTA,nNIA,G340,nCUENTA,1,nASIG,"Orquesta/Banda/Conjunto"),"")))</f>
        <v/>
      </c>
      <c r="J340" t="str">
        <f>IF(G340="","",IF(G340="[FÓRMULA MANUAL]","",IFERROR(AVERAGEIFS(nNOTA,nNIA,G340,nCUENTA,1,nASIG,"Conjunto"),"")))</f>
        <v/>
      </c>
      <c r="K340" t="str">
        <f>IF(G340="","",IF(G340="[FÓRMULA MANUAL]","",IFERROR(SUMPRODUCT((nNIA=G340)*(nCUENTA=1)*(COUNTIF(CONFIG_ASIGNATURAS!$B$7:$B$27,nASIG)&gt;0)*(nNOTA))/SUMPRODUCT((nNIA=G340)*(nCUENTA=1)*(COUNTIF(CONFIG_ASIGNATURAS!$B$7:$B$27,nASIG)&gt;0)*1),"")))</f>
        <v/>
      </c>
      <c r="N340" t="str">
        <f>IF(M340="","",IF(M340="[FÓRMULA MANUAL]","",IFERROR(AVERAGEIFS(nNOTA,nNIA,M340,nCUENTA,1,nASIG,"Armonía"),"")))</f>
        <v/>
      </c>
      <c r="O340" t="str">
        <f>IF(M340="","",IF(M340="[FÓRMULA MANUAL]","",IFERROR(AVERAGEIFS(nNOTA,nNIA,M340,nCUENTA,1,nASIG,"Orquesta/Banda/Conjunto"),"")))</f>
        <v/>
      </c>
      <c r="P340" t="str">
        <f>IF(M340="","",IF(M340="[FÓRMULA MANUAL]","",IFERROR(AVERAGEIFS(nNOTA,nNIA,M340,nCUENTA,1,nASIG,"Música de Cámara"),"")))</f>
        <v/>
      </c>
      <c r="Q340" t="str">
        <f>IF(M340="","",IF(M340="[FÓRMULA MANUAL]","",IFERROR(SUMPRODUCT((nNIA=M340)*(nCUENTA=1)*(COUNTIF(CONFIG_ASIGNATURAS!$B$7:$B$27,nASIG)&gt;0)*(nNOTA))/SUMPRODUCT((nNIA=M340)*(nCUENTA=1)*(COUNTIF(CONFIG_ASIGNATURAS!$B$7:$B$27,nASIG)&gt;0)*1),"")))</f>
        <v/>
      </c>
      <c r="T340" t="str">
        <f>IF(S340="","",IF(S340="[FÓRMULA MANUAL]","",IFERROR(AVERAGEIFS(nNOTA,nNIA,S340,nCUENTA,1,nASIG,"Armonía"),"")))</f>
        <v/>
      </c>
      <c r="U340" t="str">
        <f>IF(S340="","",IF(S340="[FÓRMULA MANUAL]","",IFERROR(AVERAGEIFS(nNOTA,nNIA,S340,nCUENTA,1,nASIG,"Orquesta/Banda/Conjunto"),"")))</f>
        <v/>
      </c>
      <c r="V340" t="str">
        <f>IF(S340="","",IF(S340="[FÓRMULA MANUAL]","",IFERROR(AVERAGEIFS(nNOTA,nNIA,S340,nCUENTA,1,nASIG,"Música de Cámara"),"")))</f>
        <v/>
      </c>
      <c r="W340" t="str">
        <f>IF(S340="","",IF(S340="[FÓRMULA MANUAL]","",IFERROR(SUMPRODUCT((nNIA=S340)*(nCUENTA=1)*(COUNTIF(CONFIG_ASIGNATURAS!$B$7:$B$27,nASIG)&gt;0)*(nNOTA))/SUMPRODUCT((nNIA=S340)*(nCUENTA=1)*(COUNTIF(CONFIG_ASIGNATURAS!$B$7:$B$27,nASIG)&gt;0)*1),"")))</f>
        <v/>
      </c>
      <c r="Z340" t="str">
        <f>IF(Y340="","",IF(Y340="[FÓRMULA MANUAL]","",IFERROR(AVERAGEIFS(nNOTA,nNIA,Y340,nCUENTA,1,nASIG,"Análisis"),"")))</f>
        <v/>
      </c>
      <c r="AA340" t="str">
        <f>IF(Y340="","",IF(Y340="[FÓRMULA MANUAL]","",IFERROR(AVERAGEIFS(nNOTA,nNIA,Y340,nCUENTA,1,nASIG,"Orquesta/Banda/Conjunto"),"")))</f>
        <v/>
      </c>
      <c r="AB340" t="str">
        <f>IF(Y340="","",IF(Y340="[FÓRMULA MANUAL]","",IFERROR(AVERAGEIFS(nNOTA,nNIA,Y340,nCUENTA,1,nASIG,"Música de Cámara"),"")))</f>
        <v/>
      </c>
      <c r="AC340" t="str">
        <f>IF(Y340="","",IF(Y340="[FÓRMULA MANUAL]","",IFERROR(SUMPRODUCT((nNIA=Y340)*(nCUENTA=1)*(COUNTIF(CONFIG_ASIGNATURAS!$B$7:$B$27,nASIG)&gt;0)*(nNOTA))/SUMPRODUCT((nNIA=Y340)*(nCUENTA=1)*(COUNTIF(CONFIG_ASIGNATURAS!$B$7:$B$27,nASIG)&gt;0)*1),"")))</f>
        <v/>
      </c>
      <c r="AF340" t="str">
        <f>IF(AE340="","",IF(AE340="[FÓRMULA MANUAL]","",IFERROR(AVERAGEIFS(nNOTA,nNIA,AE340,nCUENTA,1,nASIG,"Análisis"),"")))</f>
        <v/>
      </c>
      <c r="AG340" t="str">
        <f>IF(AE340="","",IF(AE340="[FÓRMULA MANUAL]","",IFERROR(AVERAGEIFS(nNOTA,nNIA,AE340,nCUENTA,1,nASIG,"Orquesta/Banda/Conjunto"),"")))</f>
        <v/>
      </c>
      <c r="AH340" t="str">
        <f>IF(AE340="","",IF(AE340="[FÓRMULA MANUAL]","",IFERROR(AVERAGEIFS(nNOTA,nNIA,AE340,nCUENTA,1,nASIG,"Música de Cámara"),"")))</f>
        <v/>
      </c>
      <c r="AI340" t="str">
        <f>IF(AE340="","",IF(AE340="[FÓRMULA MANUAL]","",IFERROR(SUMPRODUCT((nNIA=AE340)*(nCUENTA=1)*(COUNTIF(CONFIG_ASIGNATURAS!$B$7:$B$27,nASIG)&gt;0)*(nNOTA))/SUMPRODUCT((nNIA=AE340)*(nCUENTA=1)*(COUNTIF(CONFIG_ASIGNATURAS!$B$7:$B$27,nASIG)&gt;0)*1),"")))</f>
        <v/>
      </c>
    </row>
    <row r="341" spans="2:35" x14ac:dyDescent="0.2">
      <c r="B341" t="str">
        <f>IF(A341="","",IF(A341="[FÓRMULA MANUAL]","",IFERROR(AVERAGEIFS(nNOTA,nNIA,A341,nCUENTA,1,nASIG,"Lenguaje Musical"),"")))</f>
        <v/>
      </c>
      <c r="C341" t="str">
        <f>IF(A341="","",IF(A341="[FÓRMULA MANUAL]","",IFERROR(AVERAGEIFS(nNOTA,nNIA,A341,nCUENTA,1,nASIG,"Orquesta/Banda/Conjunto"),"")))</f>
        <v/>
      </c>
      <c r="D341" t="str">
        <f>IF(A341="","",IF(A341="[FÓRMULA MANUAL]","",IFERROR(AVERAGEIFS(nNOTA,nNIA,A341,nCUENTA,1,nASIG,"Conjunto"),"")))</f>
        <v/>
      </c>
      <c r="E341" t="str">
        <f>IF(A341="","",IF(A341="[FÓRMULA MANUAL]","",IFERROR(SUMPRODUCT((nNIA=A341)*(nCUENTA=1)*(COUNTIF(CONFIG_ASIGNATURAS!$B$7:$B$27,nASIG)&gt;0)*(nNOTA))/SUMPRODUCT((nNIA=A341)*(nCUENTA=1)*(COUNTIF(CONFIG_ASIGNATURAS!$B$7:$B$27,nASIG)&gt;0)*1),"")))</f>
        <v/>
      </c>
      <c r="H341" t="str">
        <f>IF(G341="","",IF(G341="[FÓRMULA MANUAL]","",IFERROR(AVERAGEIFS(nNOTA,nNIA,G341,nCUENTA,1,nASIG,"Lenguaje Musical"),"")))</f>
        <v/>
      </c>
      <c r="I341" t="str">
        <f>IF(G341="","",IF(G341="[FÓRMULA MANUAL]","",IFERROR(AVERAGEIFS(nNOTA,nNIA,G341,nCUENTA,1,nASIG,"Orquesta/Banda/Conjunto"),"")))</f>
        <v/>
      </c>
      <c r="J341" t="str">
        <f>IF(G341="","",IF(G341="[FÓRMULA MANUAL]","",IFERROR(AVERAGEIFS(nNOTA,nNIA,G341,nCUENTA,1,nASIG,"Conjunto"),"")))</f>
        <v/>
      </c>
      <c r="K341" t="str">
        <f>IF(G341="","",IF(G341="[FÓRMULA MANUAL]","",IFERROR(SUMPRODUCT((nNIA=G341)*(nCUENTA=1)*(COUNTIF(CONFIG_ASIGNATURAS!$B$7:$B$27,nASIG)&gt;0)*(nNOTA))/SUMPRODUCT((nNIA=G341)*(nCUENTA=1)*(COUNTIF(CONFIG_ASIGNATURAS!$B$7:$B$27,nASIG)&gt;0)*1),"")))</f>
        <v/>
      </c>
      <c r="N341" t="str">
        <f>IF(M341="","",IF(M341="[FÓRMULA MANUAL]","",IFERROR(AVERAGEIFS(nNOTA,nNIA,M341,nCUENTA,1,nASIG,"Armonía"),"")))</f>
        <v/>
      </c>
      <c r="O341" t="str">
        <f>IF(M341="","",IF(M341="[FÓRMULA MANUAL]","",IFERROR(AVERAGEIFS(nNOTA,nNIA,M341,nCUENTA,1,nASIG,"Orquesta/Banda/Conjunto"),"")))</f>
        <v/>
      </c>
      <c r="P341" t="str">
        <f>IF(M341="","",IF(M341="[FÓRMULA MANUAL]","",IFERROR(AVERAGEIFS(nNOTA,nNIA,M341,nCUENTA,1,nASIG,"Música de Cámara"),"")))</f>
        <v/>
      </c>
      <c r="Q341" t="str">
        <f>IF(M341="","",IF(M341="[FÓRMULA MANUAL]","",IFERROR(SUMPRODUCT((nNIA=M341)*(nCUENTA=1)*(COUNTIF(CONFIG_ASIGNATURAS!$B$7:$B$27,nASIG)&gt;0)*(nNOTA))/SUMPRODUCT((nNIA=M341)*(nCUENTA=1)*(COUNTIF(CONFIG_ASIGNATURAS!$B$7:$B$27,nASIG)&gt;0)*1),"")))</f>
        <v/>
      </c>
      <c r="T341" t="str">
        <f>IF(S341="","",IF(S341="[FÓRMULA MANUAL]","",IFERROR(AVERAGEIFS(nNOTA,nNIA,S341,nCUENTA,1,nASIG,"Armonía"),"")))</f>
        <v/>
      </c>
      <c r="U341" t="str">
        <f>IF(S341="","",IF(S341="[FÓRMULA MANUAL]","",IFERROR(AVERAGEIFS(nNOTA,nNIA,S341,nCUENTA,1,nASIG,"Orquesta/Banda/Conjunto"),"")))</f>
        <v/>
      </c>
      <c r="V341" t="str">
        <f>IF(S341="","",IF(S341="[FÓRMULA MANUAL]","",IFERROR(AVERAGEIFS(nNOTA,nNIA,S341,nCUENTA,1,nASIG,"Música de Cámara"),"")))</f>
        <v/>
      </c>
      <c r="W341" t="str">
        <f>IF(S341="","",IF(S341="[FÓRMULA MANUAL]","",IFERROR(SUMPRODUCT((nNIA=S341)*(nCUENTA=1)*(COUNTIF(CONFIG_ASIGNATURAS!$B$7:$B$27,nASIG)&gt;0)*(nNOTA))/SUMPRODUCT((nNIA=S341)*(nCUENTA=1)*(COUNTIF(CONFIG_ASIGNATURAS!$B$7:$B$27,nASIG)&gt;0)*1),"")))</f>
        <v/>
      </c>
      <c r="Z341" t="str">
        <f>IF(Y341="","",IF(Y341="[FÓRMULA MANUAL]","",IFERROR(AVERAGEIFS(nNOTA,nNIA,Y341,nCUENTA,1,nASIG,"Análisis"),"")))</f>
        <v/>
      </c>
      <c r="AA341" t="str">
        <f>IF(Y341="","",IF(Y341="[FÓRMULA MANUAL]","",IFERROR(AVERAGEIFS(nNOTA,nNIA,Y341,nCUENTA,1,nASIG,"Orquesta/Banda/Conjunto"),"")))</f>
        <v/>
      </c>
      <c r="AB341" t="str">
        <f>IF(Y341="","",IF(Y341="[FÓRMULA MANUAL]","",IFERROR(AVERAGEIFS(nNOTA,nNIA,Y341,nCUENTA,1,nASIG,"Música de Cámara"),"")))</f>
        <v/>
      </c>
      <c r="AC341" t="str">
        <f>IF(Y341="","",IF(Y341="[FÓRMULA MANUAL]","",IFERROR(SUMPRODUCT((nNIA=Y341)*(nCUENTA=1)*(COUNTIF(CONFIG_ASIGNATURAS!$B$7:$B$27,nASIG)&gt;0)*(nNOTA))/SUMPRODUCT((nNIA=Y341)*(nCUENTA=1)*(COUNTIF(CONFIG_ASIGNATURAS!$B$7:$B$27,nASIG)&gt;0)*1),"")))</f>
        <v/>
      </c>
      <c r="AF341" t="str">
        <f>IF(AE341="","",IF(AE341="[FÓRMULA MANUAL]","",IFERROR(AVERAGEIFS(nNOTA,nNIA,AE341,nCUENTA,1,nASIG,"Análisis"),"")))</f>
        <v/>
      </c>
      <c r="AG341" t="str">
        <f>IF(AE341="","",IF(AE341="[FÓRMULA MANUAL]","",IFERROR(AVERAGEIFS(nNOTA,nNIA,AE341,nCUENTA,1,nASIG,"Orquesta/Banda/Conjunto"),"")))</f>
        <v/>
      </c>
      <c r="AH341" t="str">
        <f>IF(AE341="","",IF(AE341="[FÓRMULA MANUAL]","",IFERROR(AVERAGEIFS(nNOTA,nNIA,AE341,nCUENTA,1,nASIG,"Música de Cámara"),"")))</f>
        <v/>
      </c>
      <c r="AI341" t="str">
        <f>IF(AE341="","",IF(AE341="[FÓRMULA MANUAL]","",IFERROR(SUMPRODUCT((nNIA=AE341)*(nCUENTA=1)*(COUNTIF(CONFIG_ASIGNATURAS!$B$7:$B$27,nASIG)&gt;0)*(nNOTA))/SUMPRODUCT((nNIA=AE341)*(nCUENTA=1)*(COUNTIF(CONFIG_ASIGNATURAS!$B$7:$B$27,nASIG)&gt;0)*1),"")))</f>
        <v/>
      </c>
    </row>
    <row r="342" spans="2:35" x14ac:dyDescent="0.2">
      <c r="B342" t="str">
        <f>IF(A342="","",IF(A342="[FÓRMULA MANUAL]","",IFERROR(AVERAGEIFS(nNOTA,nNIA,A342,nCUENTA,1,nASIG,"Lenguaje Musical"),"")))</f>
        <v/>
      </c>
      <c r="C342" t="str">
        <f>IF(A342="","",IF(A342="[FÓRMULA MANUAL]","",IFERROR(AVERAGEIFS(nNOTA,nNIA,A342,nCUENTA,1,nASIG,"Orquesta/Banda/Conjunto"),"")))</f>
        <v/>
      </c>
      <c r="D342" t="str">
        <f>IF(A342="","",IF(A342="[FÓRMULA MANUAL]","",IFERROR(AVERAGEIFS(nNOTA,nNIA,A342,nCUENTA,1,nASIG,"Conjunto"),"")))</f>
        <v/>
      </c>
      <c r="E342" t="str">
        <f>IF(A342="","",IF(A342="[FÓRMULA MANUAL]","",IFERROR(SUMPRODUCT((nNIA=A342)*(nCUENTA=1)*(COUNTIF(CONFIG_ASIGNATURAS!$B$7:$B$27,nASIG)&gt;0)*(nNOTA))/SUMPRODUCT((nNIA=A342)*(nCUENTA=1)*(COUNTIF(CONFIG_ASIGNATURAS!$B$7:$B$27,nASIG)&gt;0)*1),"")))</f>
        <v/>
      </c>
      <c r="H342" t="str">
        <f>IF(G342="","",IF(G342="[FÓRMULA MANUAL]","",IFERROR(AVERAGEIFS(nNOTA,nNIA,G342,nCUENTA,1,nASIG,"Lenguaje Musical"),"")))</f>
        <v/>
      </c>
      <c r="I342" t="str">
        <f>IF(G342="","",IF(G342="[FÓRMULA MANUAL]","",IFERROR(AVERAGEIFS(nNOTA,nNIA,G342,nCUENTA,1,nASIG,"Orquesta/Banda/Conjunto"),"")))</f>
        <v/>
      </c>
      <c r="J342" t="str">
        <f>IF(G342="","",IF(G342="[FÓRMULA MANUAL]","",IFERROR(AVERAGEIFS(nNOTA,nNIA,G342,nCUENTA,1,nASIG,"Conjunto"),"")))</f>
        <v/>
      </c>
      <c r="K342" t="str">
        <f>IF(G342="","",IF(G342="[FÓRMULA MANUAL]","",IFERROR(SUMPRODUCT((nNIA=G342)*(nCUENTA=1)*(COUNTIF(CONFIG_ASIGNATURAS!$B$7:$B$27,nASIG)&gt;0)*(nNOTA))/SUMPRODUCT((nNIA=G342)*(nCUENTA=1)*(COUNTIF(CONFIG_ASIGNATURAS!$B$7:$B$27,nASIG)&gt;0)*1),"")))</f>
        <v/>
      </c>
      <c r="N342" t="str">
        <f>IF(M342="","",IF(M342="[FÓRMULA MANUAL]","",IFERROR(AVERAGEIFS(nNOTA,nNIA,M342,nCUENTA,1,nASIG,"Armonía"),"")))</f>
        <v/>
      </c>
      <c r="O342" t="str">
        <f>IF(M342="","",IF(M342="[FÓRMULA MANUAL]","",IFERROR(AVERAGEIFS(nNOTA,nNIA,M342,nCUENTA,1,nASIG,"Orquesta/Banda/Conjunto"),"")))</f>
        <v/>
      </c>
      <c r="P342" t="str">
        <f>IF(M342="","",IF(M342="[FÓRMULA MANUAL]","",IFERROR(AVERAGEIFS(nNOTA,nNIA,M342,nCUENTA,1,nASIG,"Música de Cámara"),"")))</f>
        <v/>
      </c>
      <c r="Q342" t="str">
        <f>IF(M342="","",IF(M342="[FÓRMULA MANUAL]","",IFERROR(SUMPRODUCT((nNIA=M342)*(nCUENTA=1)*(COUNTIF(CONFIG_ASIGNATURAS!$B$7:$B$27,nASIG)&gt;0)*(nNOTA))/SUMPRODUCT((nNIA=M342)*(nCUENTA=1)*(COUNTIF(CONFIG_ASIGNATURAS!$B$7:$B$27,nASIG)&gt;0)*1),"")))</f>
        <v/>
      </c>
      <c r="T342" t="str">
        <f>IF(S342="","",IF(S342="[FÓRMULA MANUAL]","",IFERROR(AVERAGEIFS(nNOTA,nNIA,S342,nCUENTA,1,nASIG,"Armonía"),"")))</f>
        <v/>
      </c>
      <c r="U342" t="str">
        <f>IF(S342="","",IF(S342="[FÓRMULA MANUAL]","",IFERROR(AVERAGEIFS(nNOTA,nNIA,S342,nCUENTA,1,nASIG,"Orquesta/Banda/Conjunto"),"")))</f>
        <v/>
      </c>
      <c r="V342" t="str">
        <f>IF(S342="","",IF(S342="[FÓRMULA MANUAL]","",IFERROR(AVERAGEIFS(nNOTA,nNIA,S342,nCUENTA,1,nASIG,"Música de Cámara"),"")))</f>
        <v/>
      </c>
      <c r="W342" t="str">
        <f>IF(S342="","",IF(S342="[FÓRMULA MANUAL]","",IFERROR(SUMPRODUCT((nNIA=S342)*(nCUENTA=1)*(COUNTIF(CONFIG_ASIGNATURAS!$B$7:$B$27,nASIG)&gt;0)*(nNOTA))/SUMPRODUCT((nNIA=S342)*(nCUENTA=1)*(COUNTIF(CONFIG_ASIGNATURAS!$B$7:$B$27,nASIG)&gt;0)*1),"")))</f>
        <v/>
      </c>
      <c r="Z342" t="str">
        <f>IF(Y342="","",IF(Y342="[FÓRMULA MANUAL]","",IFERROR(AVERAGEIFS(nNOTA,nNIA,Y342,nCUENTA,1,nASIG,"Análisis"),"")))</f>
        <v/>
      </c>
      <c r="AA342" t="str">
        <f>IF(Y342="","",IF(Y342="[FÓRMULA MANUAL]","",IFERROR(AVERAGEIFS(nNOTA,nNIA,Y342,nCUENTA,1,nASIG,"Orquesta/Banda/Conjunto"),"")))</f>
        <v/>
      </c>
      <c r="AB342" t="str">
        <f>IF(Y342="","",IF(Y342="[FÓRMULA MANUAL]","",IFERROR(AVERAGEIFS(nNOTA,nNIA,Y342,nCUENTA,1,nASIG,"Música de Cámara"),"")))</f>
        <v/>
      </c>
      <c r="AC342" t="str">
        <f>IF(Y342="","",IF(Y342="[FÓRMULA MANUAL]","",IFERROR(SUMPRODUCT((nNIA=Y342)*(nCUENTA=1)*(COUNTIF(CONFIG_ASIGNATURAS!$B$7:$B$27,nASIG)&gt;0)*(nNOTA))/SUMPRODUCT((nNIA=Y342)*(nCUENTA=1)*(COUNTIF(CONFIG_ASIGNATURAS!$B$7:$B$27,nASIG)&gt;0)*1),"")))</f>
        <v/>
      </c>
      <c r="AF342" t="str">
        <f>IF(AE342="","",IF(AE342="[FÓRMULA MANUAL]","",IFERROR(AVERAGEIFS(nNOTA,nNIA,AE342,nCUENTA,1,nASIG,"Análisis"),"")))</f>
        <v/>
      </c>
      <c r="AG342" t="str">
        <f>IF(AE342="","",IF(AE342="[FÓRMULA MANUAL]","",IFERROR(AVERAGEIFS(nNOTA,nNIA,AE342,nCUENTA,1,nASIG,"Orquesta/Banda/Conjunto"),"")))</f>
        <v/>
      </c>
      <c r="AH342" t="str">
        <f>IF(AE342="","",IF(AE342="[FÓRMULA MANUAL]","",IFERROR(AVERAGEIFS(nNOTA,nNIA,AE342,nCUENTA,1,nASIG,"Música de Cámara"),"")))</f>
        <v/>
      </c>
      <c r="AI342" t="str">
        <f>IF(AE342="","",IF(AE342="[FÓRMULA MANUAL]","",IFERROR(SUMPRODUCT((nNIA=AE342)*(nCUENTA=1)*(COUNTIF(CONFIG_ASIGNATURAS!$B$7:$B$27,nASIG)&gt;0)*(nNOTA))/SUMPRODUCT((nNIA=AE342)*(nCUENTA=1)*(COUNTIF(CONFIG_ASIGNATURAS!$B$7:$B$27,nASIG)&gt;0)*1),"")))</f>
        <v/>
      </c>
    </row>
    <row r="343" spans="2:35" x14ac:dyDescent="0.2">
      <c r="B343" t="str">
        <f>IF(A343="","",IF(A343="[FÓRMULA MANUAL]","",IFERROR(AVERAGEIFS(nNOTA,nNIA,A343,nCUENTA,1,nASIG,"Lenguaje Musical"),"")))</f>
        <v/>
      </c>
      <c r="C343" t="str">
        <f>IF(A343="","",IF(A343="[FÓRMULA MANUAL]","",IFERROR(AVERAGEIFS(nNOTA,nNIA,A343,nCUENTA,1,nASIG,"Orquesta/Banda/Conjunto"),"")))</f>
        <v/>
      </c>
      <c r="D343" t="str">
        <f>IF(A343="","",IF(A343="[FÓRMULA MANUAL]","",IFERROR(AVERAGEIFS(nNOTA,nNIA,A343,nCUENTA,1,nASIG,"Conjunto"),"")))</f>
        <v/>
      </c>
      <c r="E343" t="str">
        <f>IF(A343="","",IF(A343="[FÓRMULA MANUAL]","",IFERROR(SUMPRODUCT((nNIA=A343)*(nCUENTA=1)*(COUNTIF(CONFIG_ASIGNATURAS!$B$7:$B$27,nASIG)&gt;0)*(nNOTA))/SUMPRODUCT((nNIA=A343)*(nCUENTA=1)*(COUNTIF(CONFIG_ASIGNATURAS!$B$7:$B$27,nASIG)&gt;0)*1),"")))</f>
        <v/>
      </c>
      <c r="H343" t="str">
        <f>IF(G343="","",IF(G343="[FÓRMULA MANUAL]","",IFERROR(AVERAGEIFS(nNOTA,nNIA,G343,nCUENTA,1,nASIG,"Lenguaje Musical"),"")))</f>
        <v/>
      </c>
      <c r="I343" t="str">
        <f>IF(G343="","",IF(G343="[FÓRMULA MANUAL]","",IFERROR(AVERAGEIFS(nNOTA,nNIA,G343,nCUENTA,1,nASIG,"Orquesta/Banda/Conjunto"),"")))</f>
        <v/>
      </c>
      <c r="J343" t="str">
        <f>IF(G343="","",IF(G343="[FÓRMULA MANUAL]","",IFERROR(AVERAGEIFS(nNOTA,nNIA,G343,nCUENTA,1,nASIG,"Conjunto"),"")))</f>
        <v/>
      </c>
      <c r="K343" t="str">
        <f>IF(G343="","",IF(G343="[FÓRMULA MANUAL]","",IFERROR(SUMPRODUCT((nNIA=G343)*(nCUENTA=1)*(COUNTIF(CONFIG_ASIGNATURAS!$B$7:$B$27,nASIG)&gt;0)*(nNOTA))/SUMPRODUCT((nNIA=G343)*(nCUENTA=1)*(COUNTIF(CONFIG_ASIGNATURAS!$B$7:$B$27,nASIG)&gt;0)*1),"")))</f>
        <v/>
      </c>
      <c r="N343" t="str">
        <f>IF(M343="","",IF(M343="[FÓRMULA MANUAL]","",IFERROR(AVERAGEIFS(nNOTA,nNIA,M343,nCUENTA,1,nASIG,"Armonía"),"")))</f>
        <v/>
      </c>
      <c r="O343" t="str">
        <f>IF(M343="","",IF(M343="[FÓRMULA MANUAL]","",IFERROR(AVERAGEIFS(nNOTA,nNIA,M343,nCUENTA,1,nASIG,"Orquesta/Banda/Conjunto"),"")))</f>
        <v/>
      </c>
      <c r="P343" t="str">
        <f>IF(M343="","",IF(M343="[FÓRMULA MANUAL]","",IFERROR(AVERAGEIFS(nNOTA,nNIA,M343,nCUENTA,1,nASIG,"Música de Cámara"),"")))</f>
        <v/>
      </c>
      <c r="Q343" t="str">
        <f>IF(M343="","",IF(M343="[FÓRMULA MANUAL]","",IFERROR(SUMPRODUCT((nNIA=M343)*(nCUENTA=1)*(COUNTIF(CONFIG_ASIGNATURAS!$B$7:$B$27,nASIG)&gt;0)*(nNOTA))/SUMPRODUCT((nNIA=M343)*(nCUENTA=1)*(COUNTIF(CONFIG_ASIGNATURAS!$B$7:$B$27,nASIG)&gt;0)*1),"")))</f>
        <v/>
      </c>
      <c r="T343" t="str">
        <f>IF(S343="","",IF(S343="[FÓRMULA MANUAL]","",IFERROR(AVERAGEIFS(nNOTA,nNIA,S343,nCUENTA,1,nASIG,"Armonía"),"")))</f>
        <v/>
      </c>
      <c r="U343" t="str">
        <f>IF(S343="","",IF(S343="[FÓRMULA MANUAL]","",IFERROR(AVERAGEIFS(nNOTA,nNIA,S343,nCUENTA,1,nASIG,"Orquesta/Banda/Conjunto"),"")))</f>
        <v/>
      </c>
      <c r="V343" t="str">
        <f>IF(S343="","",IF(S343="[FÓRMULA MANUAL]","",IFERROR(AVERAGEIFS(nNOTA,nNIA,S343,nCUENTA,1,nASIG,"Música de Cámara"),"")))</f>
        <v/>
      </c>
      <c r="W343" t="str">
        <f>IF(S343="","",IF(S343="[FÓRMULA MANUAL]","",IFERROR(SUMPRODUCT((nNIA=S343)*(nCUENTA=1)*(COUNTIF(CONFIG_ASIGNATURAS!$B$7:$B$27,nASIG)&gt;0)*(nNOTA))/SUMPRODUCT((nNIA=S343)*(nCUENTA=1)*(COUNTIF(CONFIG_ASIGNATURAS!$B$7:$B$27,nASIG)&gt;0)*1),"")))</f>
        <v/>
      </c>
      <c r="Z343" t="str">
        <f>IF(Y343="","",IF(Y343="[FÓRMULA MANUAL]","",IFERROR(AVERAGEIFS(nNOTA,nNIA,Y343,nCUENTA,1,nASIG,"Análisis"),"")))</f>
        <v/>
      </c>
      <c r="AA343" t="str">
        <f>IF(Y343="","",IF(Y343="[FÓRMULA MANUAL]","",IFERROR(AVERAGEIFS(nNOTA,nNIA,Y343,nCUENTA,1,nASIG,"Orquesta/Banda/Conjunto"),"")))</f>
        <v/>
      </c>
      <c r="AB343" t="str">
        <f>IF(Y343="","",IF(Y343="[FÓRMULA MANUAL]","",IFERROR(AVERAGEIFS(nNOTA,nNIA,Y343,nCUENTA,1,nASIG,"Música de Cámara"),"")))</f>
        <v/>
      </c>
      <c r="AC343" t="str">
        <f>IF(Y343="","",IF(Y343="[FÓRMULA MANUAL]","",IFERROR(SUMPRODUCT((nNIA=Y343)*(nCUENTA=1)*(COUNTIF(CONFIG_ASIGNATURAS!$B$7:$B$27,nASIG)&gt;0)*(nNOTA))/SUMPRODUCT((nNIA=Y343)*(nCUENTA=1)*(COUNTIF(CONFIG_ASIGNATURAS!$B$7:$B$27,nASIG)&gt;0)*1),"")))</f>
        <v/>
      </c>
      <c r="AF343" t="str">
        <f>IF(AE343="","",IF(AE343="[FÓRMULA MANUAL]","",IFERROR(AVERAGEIFS(nNOTA,nNIA,AE343,nCUENTA,1,nASIG,"Análisis"),"")))</f>
        <v/>
      </c>
      <c r="AG343" t="str">
        <f>IF(AE343="","",IF(AE343="[FÓRMULA MANUAL]","",IFERROR(AVERAGEIFS(nNOTA,nNIA,AE343,nCUENTA,1,nASIG,"Orquesta/Banda/Conjunto"),"")))</f>
        <v/>
      </c>
      <c r="AH343" t="str">
        <f>IF(AE343="","",IF(AE343="[FÓRMULA MANUAL]","",IFERROR(AVERAGEIFS(nNOTA,nNIA,AE343,nCUENTA,1,nASIG,"Música de Cámara"),"")))</f>
        <v/>
      </c>
      <c r="AI343" t="str">
        <f>IF(AE343="","",IF(AE343="[FÓRMULA MANUAL]","",IFERROR(SUMPRODUCT((nNIA=AE343)*(nCUENTA=1)*(COUNTIF(CONFIG_ASIGNATURAS!$B$7:$B$27,nASIG)&gt;0)*(nNOTA))/SUMPRODUCT((nNIA=AE343)*(nCUENTA=1)*(COUNTIF(CONFIG_ASIGNATURAS!$B$7:$B$27,nASIG)&gt;0)*1),"")))</f>
        <v/>
      </c>
    </row>
    <row r="344" spans="2:35" x14ac:dyDescent="0.2">
      <c r="B344" t="str">
        <f>IF(A344="","",IF(A344="[FÓRMULA MANUAL]","",IFERROR(AVERAGEIFS(nNOTA,nNIA,A344,nCUENTA,1,nASIG,"Lenguaje Musical"),"")))</f>
        <v/>
      </c>
      <c r="C344" t="str">
        <f>IF(A344="","",IF(A344="[FÓRMULA MANUAL]","",IFERROR(AVERAGEIFS(nNOTA,nNIA,A344,nCUENTA,1,nASIG,"Orquesta/Banda/Conjunto"),"")))</f>
        <v/>
      </c>
      <c r="D344" t="str">
        <f>IF(A344="","",IF(A344="[FÓRMULA MANUAL]","",IFERROR(AVERAGEIFS(nNOTA,nNIA,A344,nCUENTA,1,nASIG,"Conjunto"),"")))</f>
        <v/>
      </c>
      <c r="E344" t="str">
        <f>IF(A344="","",IF(A344="[FÓRMULA MANUAL]","",IFERROR(SUMPRODUCT((nNIA=A344)*(nCUENTA=1)*(COUNTIF(CONFIG_ASIGNATURAS!$B$7:$B$27,nASIG)&gt;0)*(nNOTA))/SUMPRODUCT((nNIA=A344)*(nCUENTA=1)*(COUNTIF(CONFIG_ASIGNATURAS!$B$7:$B$27,nASIG)&gt;0)*1),"")))</f>
        <v/>
      </c>
      <c r="H344" t="str">
        <f>IF(G344="","",IF(G344="[FÓRMULA MANUAL]","",IFERROR(AVERAGEIFS(nNOTA,nNIA,G344,nCUENTA,1,nASIG,"Lenguaje Musical"),"")))</f>
        <v/>
      </c>
      <c r="I344" t="str">
        <f>IF(G344="","",IF(G344="[FÓRMULA MANUAL]","",IFERROR(AVERAGEIFS(nNOTA,nNIA,G344,nCUENTA,1,nASIG,"Orquesta/Banda/Conjunto"),"")))</f>
        <v/>
      </c>
      <c r="J344" t="str">
        <f>IF(G344="","",IF(G344="[FÓRMULA MANUAL]","",IFERROR(AVERAGEIFS(nNOTA,nNIA,G344,nCUENTA,1,nASIG,"Conjunto"),"")))</f>
        <v/>
      </c>
      <c r="K344" t="str">
        <f>IF(G344="","",IF(G344="[FÓRMULA MANUAL]","",IFERROR(SUMPRODUCT((nNIA=G344)*(nCUENTA=1)*(COUNTIF(CONFIG_ASIGNATURAS!$B$7:$B$27,nASIG)&gt;0)*(nNOTA))/SUMPRODUCT((nNIA=G344)*(nCUENTA=1)*(COUNTIF(CONFIG_ASIGNATURAS!$B$7:$B$27,nASIG)&gt;0)*1),"")))</f>
        <v/>
      </c>
      <c r="N344" t="str">
        <f>IF(M344="","",IF(M344="[FÓRMULA MANUAL]","",IFERROR(AVERAGEIFS(nNOTA,nNIA,M344,nCUENTA,1,nASIG,"Armonía"),"")))</f>
        <v/>
      </c>
      <c r="O344" t="str">
        <f>IF(M344="","",IF(M344="[FÓRMULA MANUAL]","",IFERROR(AVERAGEIFS(nNOTA,nNIA,M344,nCUENTA,1,nASIG,"Orquesta/Banda/Conjunto"),"")))</f>
        <v/>
      </c>
      <c r="P344" t="str">
        <f>IF(M344="","",IF(M344="[FÓRMULA MANUAL]","",IFERROR(AVERAGEIFS(nNOTA,nNIA,M344,nCUENTA,1,nASIG,"Música de Cámara"),"")))</f>
        <v/>
      </c>
      <c r="Q344" t="str">
        <f>IF(M344="","",IF(M344="[FÓRMULA MANUAL]","",IFERROR(SUMPRODUCT((nNIA=M344)*(nCUENTA=1)*(COUNTIF(CONFIG_ASIGNATURAS!$B$7:$B$27,nASIG)&gt;0)*(nNOTA))/SUMPRODUCT((nNIA=M344)*(nCUENTA=1)*(COUNTIF(CONFIG_ASIGNATURAS!$B$7:$B$27,nASIG)&gt;0)*1),"")))</f>
        <v/>
      </c>
      <c r="T344" t="str">
        <f>IF(S344="","",IF(S344="[FÓRMULA MANUAL]","",IFERROR(AVERAGEIFS(nNOTA,nNIA,S344,nCUENTA,1,nASIG,"Armonía"),"")))</f>
        <v/>
      </c>
      <c r="U344" t="str">
        <f>IF(S344="","",IF(S344="[FÓRMULA MANUAL]","",IFERROR(AVERAGEIFS(nNOTA,nNIA,S344,nCUENTA,1,nASIG,"Orquesta/Banda/Conjunto"),"")))</f>
        <v/>
      </c>
      <c r="V344" t="str">
        <f>IF(S344="","",IF(S344="[FÓRMULA MANUAL]","",IFERROR(AVERAGEIFS(nNOTA,nNIA,S344,nCUENTA,1,nASIG,"Música de Cámara"),"")))</f>
        <v/>
      </c>
      <c r="W344" t="str">
        <f>IF(S344="","",IF(S344="[FÓRMULA MANUAL]","",IFERROR(SUMPRODUCT((nNIA=S344)*(nCUENTA=1)*(COUNTIF(CONFIG_ASIGNATURAS!$B$7:$B$27,nASIG)&gt;0)*(nNOTA))/SUMPRODUCT((nNIA=S344)*(nCUENTA=1)*(COUNTIF(CONFIG_ASIGNATURAS!$B$7:$B$27,nASIG)&gt;0)*1),"")))</f>
        <v/>
      </c>
      <c r="Z344" t="str">
        <f>IF(Y344="","",IF(Y344="[FÓRMULA MANUAL]","",IFERROR(AVERAGEIFS(nNOTA,nNIA,Y344,nCUENTA,1,nASIG,"Análisis"),"")))</f>
        <v/>
      </c>
      <c r="AA344" t="str">
        <f>IF(Y344="","",IF(Y344="[FÓRMULA MANUAL]","",IFERROR(AVERAGEIFS(nNOTA,nNIA,Y344,nCUENTA,1,nASIG,"Orquesta/Banda/Conjunto"),"")))</f>
        <v/>
      </c>
      <c r="AB344" t="str">
        <f>IF(Y344="","",IF(Y344="[FÓRMULA MANUAL]","",IFERROR(AVERAGEIFS(nNOTA,nNIA,Y344,nCUENTA,1,nASIG,"Música de Cámara"),"")))</f>
        <v/>
      </c>
      <c r="AC344" t="str">
        <f>IF(Y344="","",IF(Y344="[FÓRMULA MANUAL]","",IFERROR(SUMPRODUCT((nNIA=Y344)*(nCUENTA=1)*(COUNTIF(CONFIG_ASIGNATURAS!$B$7:$B$27,nASIG)&gt;0)*(nNOTA))/SUMPRODUCT((nNIA=Y344)*(nCUENTA=1)*(COUNTIF(CONFIG_ASIGNATURAS!$B$7:$B$27,nASIG)&gt;0)*1),"")))</f>
        <v/>
      </c>
      <c r="AF344" t="str">
        <f>IF(AE344="","",IF(AE344="[FÓRMULA MANUAL]","",IFERROR(AVERAGEIFS(nNOTA,nNIA,AE344,nCUENTA,1,nASIG,"Análisis"),"")))</f>
        <v/>
      </c>
      <c r="AG344" t="str">
        <f>IF(AE344="","",IF(AE344="[FÓRMULA MANUAL]","",IFERROR(AVERAGEIFS(nNOTA,nNIA,AE344,nCUENTA,1,nASIG,"Orquesta/Banda/Conjunto"),"")))</f>
        <v/>
      </c>
      <c r="AH344" t="str">
        <f>IF(AE344="","",IF(AE344="[FÓRMULA MANUAL]","",IFERROR(AVERAGEIFS(nNOTA,nNIA,AE344,nCUENTA,1,nASIG,"Música de Cámara"),"")))</f>
        <v/>
      </c>
      <c r="AI344" t="str">
        <f>IF(AE344="","",IF(AE344="[FÓRMULA MANUAL]","",IFERROR(SUMPRODUCT((nNIA=AE344)*(nCUENTA=1)*(COUNTIF(CONFIG_ASIGNATURAS!$B$7:$B$27,nASIG)&gt;0)*(nNOTA))/SUMPRODUCT((nNIA=AE344)*(nCUENTA=1)*(COUNTIF(CONFIG_ASIGNATURAS!$B$7:$B$27,nASIG)&gt;0)*1),"")))</f>
        <v/>
      </c>
    </row>
    <row r="345" spans="2:35" x14ac:dyDescent="0.2">
      <c r="B345" t="str">
        <f>IF(A345="","",IF(A345="[FÓRMULA MANUAL]","",IFERROR(AVERAGEIFS(nNOTA,nNIA,A345,nCUENTA,1,nASIG,"Lenguaje Musical"),"")))</f>
        <v/>
      </c>
      <c r="C345" t="str">
        <f>IF(A345="","",IF(A345="[FÓRMULA MANUAL]","",IFERROR(AVERAGEIFS(nNOTA,nNIA,A345,nCUENTA,1,nASIG,"Orquesta/Banda/Conjunto"),"")))</f>
        <v/>
      </c>
      <c r="D345" t="str">
        <f>IF(A345="","",IF(A345="[FÓRMULA MANUAL]","",IFERROR(AVERAGEIFS(nNOTA,nNIA,A345,nCUENTA,1,nASIG,"Conjunto"),"")))</f>
        <v/>
      </c>
      <c r="E345" t="str">
        <f>IF(A345="","",IF(A345="[FÓRMULA MANUAL]","",IFERROR(SUMPRODUCT((nNIA=A345)*(nCUENTA=1)*(COUNTIF(CONFIG_ASIGNATURAS!$B$7:$B$27,nASIG)&gt;0)*(nNOTA))/SUMPRODUCT((nNIA=A345)*(nCUENTA=1)*(COUNTIF(CONFIG_ASIGNATURAS!$B$7:$B$27,nASIG)&gt;0)*1),"")))</f>
        <v/>
      </c>
      <c r="H345" t="str">
        <f>IF(G345="","",IF(G345="[FÓRMULA MANUAL]","",IFERROR(AVERAGEIFS(nNOTA,nNIA,G345,nCUENTA,1,nASIG,"Lenguaje Musical"),"")))</f>
        <v/>
      </c>
      <c r="I345" t="str">
        <f>IF(G345="","",IF(G345="[FÓRMULA MANUAL]","",IFERROR(AVERAGEIFS(nNOTA,nNIA,G345,nCUENTA,1,nASIG,"Orquesta/Banda/Conjunto"),"")))</f>
        <v/>
      </c>
      <c r="J345" t="str">
        <f>IF(G345="","",IF(G345="[FÓRMULA MANUAL]","",IFERROR(AVERAGEIFS(nNOTA,nNIA,G345,nCUENTA,1,nASIG,"Conjunto"),"")))</f>
        <v/>
      </c>
      <c r="K345" t="str">
        <f>IF(G345="","",IF(G345="[FÓRMULA MANUAL]","",IFERROR(SUMPRODUCT((nNIA=G345)*(nCUENTA=1)*(COUNTIF(CONFIG_ASIGNATURAS!$B$7:$B$27,nASIG)&gt;0)*(nNOTA))/SUMPRODUCT((nNIA=G345)*(nCUENTA=1)*(COUNTIF(CONFIG_ASIGNATURAS!$B$7:$B$27,nASIG)&gt;0)*1),"")))</f>
        <v/>
      </c>
      <c r="N345" t="str">
        <f>IF(M345="","",IF(M345="[FÓRMULA MANUAL]","",IFERROR(AVERAGEIFS(nNOTA,nNIA,M345,nCUENTA,1,nASIG,"Armonía"),"")))</f>
        <v/>
      </c>
      <c r="O345" t="str">
        <f>IF(M345="","",IF(M345="[FÓRMULA MANUAL]","",IFERROR(AVERAGEIFS(nNOTA,nNIA,M345,nCUENTA,1,nASIG,"Orquesta/Banda/Conjunto"),"")))</f>
        <v/>
      </c>
      <c r="P345" t="str">
        <f>IF(M345="","",IF(M345="[FÓRMULA MANUAL]","",IFERROR(AVERAGEIFS(nNOTA,nNIA,M345,nCUENTA,1,nASIG,"Música de Cámara"),"")))</f>
        <v/>
      </c>
      <c r="Q345" t="str">
        <f>IF(M345="","",IF(M345="[FÓRMULA MANUAL]","",IFERROR(SUMPRODUCT((nNIA=M345)*(nCUENTA=1)*(COUNTIF(CONFIG_ASIGNATURAS!$B$7:$B$27,nASIG)&gt;0)*(nNOTA))/SUMPRODUCT((nNIA=M345)*(nCUENTA=1)*(COUNTIF(CONFIG_ASIGNATURAS!$B$7:$B$27,nASIG)&gt;0)*1),"")))</f>
        <v/>
      </c>
      <c r="T345" t="str">
        <f>IF(S345="","",IF(S345="[FÓRMULA MANUAL]","",IFERROR(AVERAGEIFS(nNOTA,nNIA,S345,nCUENTA,1,nASIG,"Armonía"),"")))</f>
        <v/>
      </c>
      <c r="U345" t="str">
        <f>IF(S345="","",IF(S345="[FÓRMULA MANUAL]","",IFERROR(AVERAGEIFS(nNOTA,nNIA,S345,nCUENTA,1,nASIG,"Orquesta/Banda/Conjunto"),"")))</f>
        <v/>
      </c>
      <c r="V345" t="str">
        <f>IF(S345="","",IF(S345="[FÓRMULA MANUAL]","",IFERROR(AVERAGEIFS(nNOTA,nNIA,S345,nCUENTA,1,nASIG,"Música de Cámara"),"")))</f>
        <v/>
      </c>
      <c r="W345" t="str">
        <f>IF(S345="","",IF(S345="[FÓRMULA MANUAL]","",IFERROR(SUMPRODUCT((nNIA=S345)*(nCUENTA=1)*(COUNTIF(CONFIG_ASIGNATURAS!$B$7:$B$27,nASIG)&gt;0)*(nNOTA))/SUMPRODUCT((nNIA=S345)*(nCUENTA=1)*(COUNTIF(CONFIG_ASIGNATURAS!$B$7:$B$27,nASIG)&gt;0)*1),"")))</f>
        <v/>
      </c>
      <c r="Z345" t="str">
        <f>IF(Y345="","",IF(Y345="[FÓRMULA MANUAL]","",IFERROR(AVERAGEIFS(nNOTA,nNIA,Y345,nCUENTA,1,nASIG,"Análisis"),"")))</f>
        <v/>
      </c>
      <c r="AA345" t="str">
        <f>IF(Y345="","",IF(Y345="[FÓRMULA MANUAL]","",IFERROR(AVERAGEIFS(nNOTA,nNIA,Y345,nCUENTA,1,nASIG,"Orquesta/Banda/Conjunto"),"")))</f>
        <v/>
      </c>
      <c r="AB345" t="str">
        <f>IF(Y345="","",IF(Y345="[FÓRMULA MANUAL]","",IFERROR(AVERAGEIFS(nNOTA,nNIA,Y345,nCUENTA,1,nASIG,"Música de Cámara"),"")))</f>
        <v/>
      </c>
      <c r="AC345" t="str">
        <f>IF(Y345="","",IF(Y345="[FÓRMULA MANUAL]","",IFERROR(SUMPRODUCT((nNIA=Y345)*(nCUENTA=1)*(COUNTIF(CONFIG_ASIGNATURAS!$B$7:$B$27,nASIG)&gt;0)*(nNOTA))/SUMPRODUCT((nNIA=Y345)*(nCUENTA=1)*(COUNTIF(CONFIG_ASIGNATURAS!$B$7:$B$27,nASIG)&gt;0)*1),"")))</f>
        <v/>
      </c>
      <c r="AF345" t="str">
        <f>IF(AE345="","",IF(AE345="[FÓRMULA MANUAL]","",IFERROR(AVERAGEIFS(nNOTA,nNIA,AE345,nCUENTA,1,nASIG,"Análisis"),"")))</f>
        <v/>
      </c>
      <c r="AG345" t="str">
        <f>IF(AE345="","",IF(AE345="[FÓRMULA MANUAL]","",IFERROR(AVERAGEIFS(nNOTA,nNIA,AE345,nCUENTA,1,nASIG,"Orquesta/Banda/Conjunto"),"")))</f>
        <v/>
      </c>
      <c r="AH345" t="str">
        <f>IF(AE345="","",IF(AE345="[FÓRMULA MANUAL]","",IFERROR(AVERAGEIFS(nNOTA,nNIA,AE345,nCUENTA,1,nASIG,"Música de Cámara"),"")))</f>
        <v/>
      </c>
      <c r="AI345" t="str">
        <f>IF(AE345="","",IF(AE345="[FÓRMULA MANUAL]","",IFERROR(SUMPRODUCT((nNIA=AE345)*(nCUENTA=1)*(COUNTIF(CONFIG_ASIGNATURAS!$B$7:$B$27,nASIG)&gt;0)*(nNOTA))/SUMPRODUCT((nNIA=AE345)*(nCUENTA=1)*(COUNTIF(CONFIG_ASIGNATURAS!$B$7:$B$27,nASIG)&gt;0)*1),"")))</f>
        <v/>
      </c>
    </row>
    <row r="346" spans="2:35" x14ac:dyDescent="0.2">
      <c r="B346" t="str">
        <f>IF(A346="","",IF(A346="[FÓRMULA MANUAL]","",IFERROR(AVERAGEIFS(nNOTA,nNIA,A346,nCUENTA,1,nASIG,"Lenguaje Musical"),"")))</f>
        <v/>
      </c>
      <c r="C346" t="str">
        <f>IF(A346="","",IF(A346="[FÓRMULA MANUAL]","",IFERROR(AVERAGEIFS(nNOTA,nNIA,A346,nCUENTA,1,nASIG,"Orquesta/Banda/Conjunto"),"")))</f>
        <v/>
      </c>
      <c r="D346" t="str">
        <f>IF(A346="","",IF(A346="[FÓRMULA MANUAL]","",IFERROR(AVERAGEIFS(nNOTA,nNIA,A346,nCUENTA,1,nASIG,"Conjunto"),"")))</f>
        <v/>
      </c>
      <c r="E346" t="str">
        <f>IF(A346="","",IF(A346="[FÓRMULA MANUAL]","",IFERROR(SUMPRODUCT((nNIA=A346)*(nCUENTA=1)*(COUNTIF(CONFIG_ASIGNATURAS!$B$7:$B$27,nASIG)&gt;0)*(nNOTA))/SUMPRODUCT((nNIA=A346)*(nCUENTA=1)*(COUNTIF(CONFIG_ASIGNATURAS!$B$7:$B$27,nASIG)&gt;0)*1),"")))</f>
        <v/>
      </c>
      <c r="H346" t="str">
        <f>IF(G346="","",IF(G346="[FÓRMULA MANUAL]","",IFERROR(AVERAGEIFS(nNOTA,nNIA,G346,nCUENTA,1,nASIG,"Lenguaje Musical"),"")))</f>
        <v/>
      </c>
      <c r="I346" t="str">
        <f>IF(G346="","",IF(G346="[FÓRMULA MANUAL]","",IFERROR(AVERAGEIFS(nNOTA,nNIA,G346,nCUENTA,1,nASIG,"Orquesta/Banda/Conjunto"),"")))</f>
        <v/>
      </c>
      <c r="J346" t="str">
        <f>IF(G346="","",IF(G346="[FÓRMULA MANUAL]","",IFERROR(AVERAGEIFS(nNOTA,nNIA,G346,nCUENTA,1,nASIG,"Conjunto"),"")))</f>
        <v/>
      </c>
      <c r="K346" t="str">
        <f>IF(G346="","",IF(G346="[FÓRMULA MANUAL]","",IFERROR(SUMPRODUCT((nNIA=G346)*(nCUENTA=1)*(COUNTIF(CONFIG_ASIGNATURAS!$B$7:$B$27,nASIG)&gt;0)*(nNOTA))/SUMPRODUCT((nNIA=G346)*(nCUENTA=1)*(COUNTIF(CONFIG_ASIGNATURAS!$B$7:$B$27,nASIG)&gt;0)*1),"")))</f>
        <v/>
      </c>
      <c r="N346" t="str">
        <f>IF(M346="","",IF(M346="[FÓRMULA MANUAL]","",IFERROR(AVERAGEIFS(nNOTA,nNIA,M346,nCUENTA,1,nASIG,"Armonía"),"")))</f>
        <v/>
      </c>
      <c r="O346" t="str">
        <f>IF(M346="","",IF(M346="[FÓRMULA MANUAL]","",IFERROR(AVERAGEIFS(nNOTA,nNIA,M346,nCUENTA,1,nASIG,"Orquesta/Banda/Conjunto"),"")))</f>
        <v/>
      </c>
      <c r="P346" t="str">
        <f>IF(M346="","",IF(M346="[FÓRMULA MANUAL]","",IFERROR(AVERAGEIFS(nNOTA,nNIA,M346,nCUENTA,1,nASIG,"Música de Cámara"),"")))</f>
        <v/>
      </c>
      <c r="Q346" t="str">
        <f>IF(M346="","",IF(M346="[FÓRMULA MANUAL]","",IFERROR(SUMPRODUCT((nNIA=M346)*(nCUENTA=1)*(COUNTIF(CONFIG_ASIGNATURAS!$B$7:$B$27,nASIG)&gt;0)*(nNOTA))/SUMPRODUCT((nNIA=M346)*(nCUENTA=1)*(COUNTIF(CONFIG_ASIGNATURAS!$B$7:$B$27,nASIG)&gt;0)*1),"")))</f>
        <v/>
      </c>
      <c r="T346" t="str">
        <f>IF(S346="","",IF(S346="[FÓRMULA MANUAL]","",IFERROR(AVERAGEIFS(nNOTA,nNIA,S346,nCUENTA,1,nASIG,"Armonía"),"")))</f>
        <v/>
      </c>
      <c r="U346" t="str">
        <f>IF(S346="","",IF(S346="[FÓRMULA MANUAL]","",IFERROR(AVERAGEIFS(nNOTA,nNIA,S346,nCUENTA,1,nASIG,"Orquesta/Banda/Conjunto"),"")))</f>
        <v/>
      </c>
      <c r="V346" t="str">
        <f>IF(S346="","",IF(S346="[FÓRMULA MANUAL]","",IFERROR(AVERAGEIFS(nNOTA,nNIA,S346,nCUENTA,1,nASIG,"Música de Cámara"),"")))</f>
        <v/>
      </c>
      <c r="W346" t="str">
        <f>IF(S346="","",IF(S346="[FÓRMULA MANUAL]","",IFERROR(SUMPRODUCT((nNIA=S346)*(nCUENTA=1)*(COUNTIF(CONFIG_ASIGNATURAS!$B$7:$B$27,nASIG)&gt;0)*(nNOTA))/SUMPRODUCT((nNIA=S346)*(nCUENTA=1)*(COUNTIF(CONFIG_ASIGNATURAS!$B$7:$B$27,nASIG)&gt;0)*1),"")))</f>
        <v/>
      </c>
      <c r="Z346" t="str">
        <f>IF(Y346="","",IF(Y346="[FÓRMULA MANUAL]","",IFERROR(AVERAGEIFS(nNOTA,nNIA,Y346,nCUENTA,1,nASIG,"Análisis"),"")))</f>
        <v/>
      </c>
      <c r="AA346" t="str">
        <f>IF(Y346="","",IF(Y346="[FÓRMULA MANUAL]","",IFERROR(AVERAGEIFS(nNOTA,nNIA,Y346,nCUENTA,1,nASIG,"Orquesta/Banda/Conjunto"),"")))</f>
        <v/>
      </c>
      <c r="AB346" t="str">
        <f>IF(Y346="","",IF(Y346="[FÓRMULA MANUAL]","",IFERROR(AVERAGEIFS(nNOTA,nNIA,Y346,nCUENTA,1,nASIG,"Música de Cámara"),"")))</f>
        <v/>
      </c>
      <c r="AC346" t="str">
        <f>IF(Y346="","",IF(Y346="[FÓRMULA MANUAL]","",IFERROR(SUMPRODUCT((nNIA=Y346)*(nCUENTA=1)*(COUNTIF(CONFIG_ASIGNATURAS!$B$7:$B$27,nASIG)&gt;0)*(nNOTA))/SUMPRODUCT((nNIA=Y346)*(nCUENTA=1)*(COUNTIF(CONFIG_ASIGNATURAS!$B$7:$B$27,nASIG)&gt;0)*1),"")))</f>
        <v/>
      </c>
      <c r="AF346" t="str">
        <f>IF(AE346="","",IF(AE346="[FÓRMULA MANUAL]","",IFERROR(AVERAGEIFS(nNOTA,nNIA,AE346,nCUENTA,1,nASIG,"Análisis"),"")))</f>
        <v/>
      </c>
      <c r="AG346" t="str">
        <f>IF(AE346="","",IF(AE346="[FÓRMULA MANUAL]","",IFERROR(AVERAGEIFS(nNOTA,nNIA,AE346,nCUENTA,1,nASIG,"Orquesta/Banda/Conjunto"),"")))</f>
        <v/>
      </c>
      <c r="AH346" t="str">
        <f>IF(AE346="","",IF(AE346="[FÓRMULA MANUAL]","",IFERROR(AVERAGEIFS(nNOTA,nNIA,AE346,nCUENTA,1,nASIG,"Música de Cámara"),"")))</f>
        <v/>
      </c>
      <c r="AI346" t="str">
        <f>IF(AE346="","",IF(AE346="[FÓRMULA MANUAL]","",IFERROR(SUMPRODUCT((nNIA=AE346)*(nCUENTA=1)*(COUNTIF(CONFIG_ASIGNATURAS!$B$7:$B$27,nASIG)&gt;0)*(nNOTA))/SUMPRODUCT((nNIA=AE346)*(nCUENTA=1)*(COUNTIF(CONFIG_ASIGNATURAS!$B$7:$B$27,nASIG)&gt;0)*1),"")))</f>
        <v/>
      </c>
    </row>
    <row r="347" spans="2:35" x14ac:dyDescent="0.2">
      <c r="B347" t="str">
        <f>IF(A347="","",IF(A347="[FÓRMULA MANUAL]","",IFERROR(AVERAGEIFS(nNOTA,nNIA,A347,nCUENTA,1,nASIG,"Lenguaje Musical"),"")))</f>
        <v/>
      </c>
      <c r="C347" t="str">
        <f>IF(A347="","",IF(A347="[FÓRMULA MANUAL]","",IFERROR(AVERAGEIFS(nNOTA,nNIA,A347,nCUENTA,1,nASIG,"Orquesta/Banda/Conjunto"),"")))</f>
        <v/>
      </c>
      <c r="D347" t="str">
        <f>IF(A347="","",IF(A347="[FÓRMULA MANUAL]","",IFERROR(AVERAGEIFS(nNOTA,nNIA,A347,nCUENTA,1,nASIG,"Conjunto"),"")))</f>
        <v/>
      </c>
      <c r="E347" t="str">
        <f>IF(A347="","",IF(A347="[FÓRMULA MANUAL]","",IFERROR(SUMPRODUCT((nNIA=A347)*(nCUENTA=1)*(COUNTIF(CONFIG_ASIGNATURAS!$B$7:$B$27,nASIG)&gt;0)*(nNOTA))/SUMPRODUCT((nNIA=A347)*(nCUENTA=1)*(COUNTIF(CONFIG_ASIGNATURAS!$B$7:$B$27,nASIG)&gt;0)*1),"")))</f>
        <v/>
      </c>
      <c r="H347" t="str">
        <f>IF(G347="","",IF(G347="[FÓRMULA MANUAL]","",IFERROR(AVERAGEIFS(nNOTA,nNIA,G347,nCUENTA,1,nASIG,"Lenguaje Musical"),"")))</f>
        <v/>
      </c>
      <c r="I347" t="str">
        <f>IF(G347="","",IF(G347="[FÓRMULA MANUAL]","",IFERROR(AVERAGEIFS(nNOTA,nNIA,G347,nCUENTA,1,nASIG,"Orquesta/Banda/Conjunto"),"")))</f>
        <v/>
      </c>
      <c r="J347" t="str">
        <f>IF(G347="","",IF(G347="[FÓRMULA MANUAL]","",IFERROR(AVERAGEIFS(nNOTA,nNIA,G347,nCUENTA,1,nASIG,"Conjunto"),"")))</f>
        <v/>
      </c>
      <c r="K347" t="str">
        <f>IF(G347="","",IF(G347="[FÓRMULA MANUAL]","",IFERROR(SUMPRODUCT((nNIA=G347)*(nCUENTA=1)*(COUNTIF(CONFIG_ASIGNATURAS!$B$7:$B$27,nASIG)&gt;0)*(nNOTA))/SUMPRODUCT((nNIA=G347)*(nCUENTA=1)*(COUNTIF(CONFIG_ASIGNATURAS!$B$7:$B$27,nASIG)&gt;0)*1),"")))</f>
        <v/>
      </c>
      <c r="N347" t="str">
        <f>IF(M347="","",IF(M347="[FÓRMULA MANUAL]","",IFERROR(AVERAGEIFS(nNOTA,nNIA,M347,nCUENTA,1,nASIG,"Armonía"),"")))</f>
        <v/>
      </c>
      <c r="O347" t="str">
        <f>IF(M347="","",IF(M347="[FÓRMULA MANUAL]","",IFERROR(AVERAGEIFS(nNOTA,nNIA,M347,nCUENTA,1,nASIG,"Orquesta/Banda/Conjunto"),"")))</f>
        <v/>
      </c>
      <c r="P347" t="str">
        <f>IF(M347="","",IF(M347="[FÓRMULA MANUAL]","",IFERROR(AVERAGEIFS(nNOTA,nNIA,M347,nCUENTA,1,nASIG,"Música de Cámara"),"")))</f>
        <v/>
      </c>
      <c r="Q347" t="str">
        <f>IF(M347="","",IF(M347="[FÓRMULA MANUAL]","",IFERROR(SUMPRODUCT((nNIA=M347)*(nCUENTA=1)*(COUNTIF(CONFIG_ASIGNATURAS!$B$7:$B$27,nASIG)&gt;0)*(nNOTA))/SUMPRODUCT((nNIA=M347)*(nCUENTA=1)*(COUNTIF(CONFIG_ASIGNATURAS!$B$7:$B$27,nASIG)&gt;0)*1),"")))</f>
        <v/>
      </c>
      <c r="T347" t="str">
        <f>IF(S347="","",IF(S347="[FÓRMULA MANUAL]","",IFERROR(AVERAGEIFS(nNOTA,nNIA,S347,nCUENTA,1,nASIG,"Armonía"),"")))</f>
        <v/>
      </c>
      <c r="U347" t="str">
        <f>IF(S347="","",IF(S347="[FÓRMULA MANUAL]","",IFERROR(AVERAGEIFS(nNOTA,nNIA,S347,nCUENTA,1,nASIG,"Orquesta/Banda/Conjunto"),"")))</f>
        <v/>
      </c>
      <c r="V347" t="str">
        <f>IF(S347="","",IF(S347="[FÓRMULA MANUAL]","",IFERROR(AVERAGEIFS(nNOTA,nNIA,S347,nCUENTA,1,nASIG,"Música de Cámara"),"")))</f>
        <v/>
      </c>
      <c r="W347" t="str">
        <f>IF(S347="","",IF(S347="[FÓRMULA MANUAL]","",IFERROR(SUMPRODUCT((nNIA=S347)*(nCUENTA=1)*(COUNTIF(CONFIG_ASIGNATURAS!$B$7:$B$27,nASIG)&gt;0)*(nNOTA))/SUMPRODUCT((nNIA=S347)*(nCUENTA=1)*(COUNTIF(CONFIG_ASIGNATURAS!$B$7:$B$27,nASIG)&gt;0)*1),"")))</f>
        <v/>
      </c>
      <c r="Z347" t="str">
        <f>IF(Y347="","",IF(Y347="[FÓRMULA MANUAL]","",IFERROR(AVERAGEIFS(nNOTA,nNIA,Y347,nCUENTA,1,nASIG,"Análisis"),"")))</f>
        <v/>
      </c>
      <c r="AA347" t="str">
        <f>IF(Y347="","",IF(Y347="[FÓRMULA MANUAL]","",IFERROR(AVERAGEIFS(nNOTA,nNIA,Y347,nCUENTA,1,nASIG,"Orquesta/Banda/Conjunto"),"")))</f>
        <v/>
      </c>
      <c r="AB347" t="str">
        <f>IF(Y347="","",IF(Y347="[FÓRMULA MANUAL]","",IFERROR(AVERAGEIFS(nNOTA,nNIA,Y347,nCUENTA,1,nASIG,"Música de Cámara"),"")))</f>
        <v/>
      </c>
      <c r="AC347" t="str">
        <f>IF(Y347="","",IF(Y347="[FÓRMULA MANUAL]","",IFERROR(SUMPRODUCT((nNIA=Y347)*(nCUENTA=1)*(COUNTIF(CONFIG_ASIGNATURAS!$B$7:$B$27,nASIG)&gt;0)*(nNOTA))/SUMPRODUCT((nNIA=Y347)*(nCUENTA=1)*(COUNTIF(CONFIG_ASIGNATURAS!$B$7:$B$27,nASIG)&gt;0)*1),"")))</f>
        <v/>
      </c>
      <c r="AF347" t="str">
        <f>IF(AE347="","",IF(AE347="[FÓRMULA MANUAL]","",IFERROR(AVERAGEIFS(nNOTA,nNIA,AE347,nCUENTA,1,nASIG,"Análisis"),"")))</f>
        <v/>
      </c>
      <c r="AG347" t="str">
        <f>IF(AE347="","",IF(AE347="[FÓRMULA MANUAL]","",IFERROR(AVERAGEIFS(nNOTA,nNIA,AE347,nCUENTA,1,nASIG,"Orquesta/Banda/Conjunto"),"")))</f>
        <v/>
      </c>
      <c r="AH347" t="str">
        <f>IF(AE347="","",IF(AE347="[FÓRMULA MANUAL]","",IFERROR(AVERAGEIFS(nNOTA,nNIA,AE347,nCUENTA,1,nASIG,"Música de Cámara"),"")))</f>
        <v/>
      </c>
      <c r="AI347" t="str">
        <f>IF(AE347="","",IF(AE347="[FÓRMULA MANUAL]","",IFERROR(SUMPRODUCT((nNIA=AE347)*(nCUENTA=1)*(COUNTIF(CONFIG_ASIGNATURAS!$B$7:$B$27,nASIG)&gt;0)*(nNOTA))/SUMPRODUCT((nNIA=AE347)*(nCUENTA=1)*(COUNTIF(CONFIG_ASIGNATURAS!$B$7:$B$27,nASIG)&gt;0)*1),"")))</f>
        <v/>
      </c>
    </row>
    <row r="348" spans="2:35" x14ac:dyDescent="0.2">
      <c r="B348" t="str">
        <f>IF(A348="","",IF(A348="[FÓRMULA MANUAL]","",IFERROR(AVERAGEIFS(nNOTA,nNIA,A348,nCUENTA,1,nASIG,"Lenguaje Musical"),"")))</f>
        <v/>
      </c>
      <c r="C348" t="str">
        <f>IF(A348="","",IF(A348="[FÓRMULA MANUAL]","",IFERROR(AVERAGEIFS(nNOTA,nNIA,A348,nCUENTA,1,nASIG,"Orquesta/Banda/Conjunto"),"")))</f>
        <v/>
      </c>
      <c r="D348" t="str">
        <f>IF(A348="","",IF(A348="[FÓRMULA MANUAL]","",IFERROR(AVERAGEIFS(nNOTA,nNIA,A348,nCUENTA,1,nASIG,"Conjunto"),"")))</f>
        <v/>
      </c>
      <c r="E348" t="str">
        <f>IF(A348="","",IF(A348="[FÓRMULA MANUAL]","",IFERROR(SUMPRODUCT((nNIA=A348)*(nCUENTA=1)*(COUNTIF(CONFIG_ASIGNATURAS!$B$7:$B$27,nASIG)&gt;0)*(nNOTA))/SUMPRODUCT((nNIA=A348)*(nCUENTA=1)*(COUNTIF(CONFIG_ASIGNATURAS!$B$7:$B$27,nASIG)&gt;0)*1),"")))</f>
        <v/>
      </c>
      <c r="H348" t="str">
        <f>IF(G348="","",IF(G348="[FÓRMULA MANUAL]","",IFERROR(AVERAGEIFS(nNOTA,nNIA,G348,nCUENTA,1,nASIG,"Lenguaje Musical"),"")))</f>
        <v/>
      </c>
      <c r="I348" t="str">
        <f>IF(G348="","",IF(G348="[FÓRMULA MANUAL]","",IFERROR(AVERAGEIFS(nNOTA,nNIA,G348,nCUENTA,1,nASIG,"Orquesta/Banda/Conjunto"),"")))</f>
        <v/>
      </c>
      <c r="J348" t="str">
        <f>IF(G348="","",IF(G348="[FÓRMULA MANUAL]","",IFERROR(AVERAGEIFS(nNOTA,nNIA,G348,nCUENTA,1,nASIG,"Conjunto"),"")))</f>
        <v/>
      </c>
      <c r="K348" t="str">
        <f>IF(G348="","",IF(G348="[FÓRMULA MANUAL]","",IFERROR(SUMPRODUCT((nNIA=G348)*(nCUENTA=1)*(COUNTIF(CONFIG_ASIGNATURAS!$B$7:$B$27,nASIG)&gt;0)*(nNOTA))/SUMPRODUCT((nNIA=G348)*(nCUENTA=1)*(COUNTIF(CONFIG_ASIGNATURAS!$B$7:$B$27,nASIG)&gt;0)*1),"")))</f>
        <v/>
      </c>
      <c r="N348" t="str">
        <f>IF(M348="","",IF(M348="[FÓRMULA MANUAL]","",IFERROR(AVERAGEIFS(nNOTA,nNIA,M348,nCUENTA,1,nASIG,"Armonía"),"")))</f>
        <v/>
      </c>
      <c r="O348" t="str">
        <f>IF(M348="","",IF(M348="[FÓRMULA MANUAL]","",IFERROR(AVERAGEIFS(nNOTA,nNIA,M348,nCUENTA,1,nASIG,"Orquesta/Banda/Conjunto"),"")))</f>
        <v/>
      </c>
      <c r="P348" t="str">
        <f>IF(M348="","",IF(M348="[FÓRMULA MANUAL]","",IFERROR(AVERAGEIFS(nNOTA,nNIA,M348,nCUENTA,1,nASIG,"Música de Cámara"),"")))</f>
        <v/>
      </c>
      <c r="Q348" t="str">
        <f>IF(M348="","",IF(M348="[FÓRMULA MANUAL]","",IFERROR(SUMPRODUCT((nNIA=M348)*(nCUENTA=1)*(COUNTIF(CONFIG_ASIGNATURAS!$B$7:$B$27,nASIG)&gt;0)*(nNOTA))/SUMPRODUCT((nNIA=M348)*(nCUENTA=1)*(COUNTIF(CONFIG_ASIGNATURAS!$B$7:$B$27,nASIG)&gt;0)*1),"")))</f>
        <v/>
      </c>
      <c r="T348" t="str">
        <f>IF(S348="","",IF(S348="[FÓRMULA MANUAL]","",IFERROR(AVERAGEIFS(nNOTA,nNIA,S348,nCUENTA,1,nASIG,"Armonía"),"")))</f>
        <v/>
      </c>
      <c r="U348" t="str">
        <f>IF(S348="","",IF(S348="[FÓRMULA MANUAL]","",IFERROR(AVERAGEIFS(nNOTA,nNIA,S348,nCUENTA,1,nASIG,"Orquesta/Banda/Conjunto"),"")))</f>
        <v/>
      </c>
      <c r="V348" t="str">
        <f>IF(S348="","",IF(S348="[FÓRMULA MANUAL]","",IFERROR(AVERAGEIFS(nNOTA,nNIA,S348,nCUENTA,1,nASIG,"Música de Cámara"),"")))</f>
        <v/>
      </c>
      <c r="W348" t="str">
        <f>IF(S348="","",IF(S348="[FÓRMULA MANUAL]","",IFERROR(SUMPRODUCT((nNIA=S348)*(nCUENTA=1)*(COUNTIF(CONFIG_ASIGNATURAS!$B$7:$B$27,nASIG)&gt;0)*(nNOTA))/SUMPRODUCT((nNIA=S348)*(nCUENTA=1)*(COUNTIF(CONFIG_ASIGNATURAS!$B$7:$B$27,nASIG)&gt;0)*1),"")))</f>
        <v/>
      </c>
      <c r="Z348" t="str">
        <f>IF(Y348="","",IF(Y348="[FÓRMULA MANUAL]","",IFERROR(AVERAGEIFS(nNOTA,nNIA,Y348,nCUENTA,1,nASIG,"Análisis"),"")))</f>
        <v/>
      </c>
      <c r="AA348" t="str">
        <f>IF(Y348="","",IF(Y348="[FÓRMULA MANUAL]","",IFERROR(AVERAGEIFS(nNOTA,nNIA,Y348,nCUENTA,1,nASIG,"Orquesta/Banda/Conjunto"),"")))</f>
        <v/>
      </c>
      <c r="AB348" t="str">
        <f>IF(Y348="","",IF(Y348="[FÓRMULA MANUAL]","",IFERROR(AVERAGEIFS(nNOTA,nNIA,Y348,nCUENTA,1,nASIG,"Música de Cámara"),"")))</f>
        <v/>
      </c>
      <c r="AC348" t="str">
        <f>IF(Y348="","",IF(Y348="[FÓRMULA MANUAL]","",IFERROR(SUMPRODUCT((nNIA=Y348)*(nCUENTA=1)*(COUNTIF(CONFIG_ASIGNATURAS!$B$7:$B$27,nASIG)&gt;0)*(nNOTA))/SUMPRODUCT((nNIA=Y348)*(nCUENTA=1)*(COUNTIF(CONFIG_ASIGNATURAS!$B$7:$B$27,nASIG)&gt;0)*1),"")))</f>
        <v/>
      </c>
      <c r="AF348" t="str">
        <f>IF(AE348="","",IF(AE348="[FÓRMULA MANUAL]","",IFERROR(AVERAGEIFS(nNOTA,nNIA,AE348,nCUENTA,1,nASIG,"Análisis"),"")))</f>
        <v/>
      </c>
      <c r="AG348" t="str">
        <f>IF(AE348="","",IF(AE348="[FÓRMULA MANUAL]","",IFERROR(AVERAGEIFS(nNOTA,nNIA,AE348,nCUENTA,1,nASIG,"Orquesta/Banda/Conjunto"),"")))</f>
        <v/>
      </c>
      <c r="AH348" t="str">
        <f>IF(AE348="","",IF(AE348="[FÓRMULA MANUAL]","",IFERROR(AVERAGEIFS(nNOTA,nNIA,AE348,nCUENTA,1,nASIG,"Música de Cámara"),"")))</f>
        <v/>
      </c>
      <c r="AI348" t="str">
        <f>IF(AE348="","",IF(AE348="[FÓRMULA MANUAL]","",IFERROR(SUMPRODUCT((nNIA=AE348)*(nCUENTA=1)*(COUNTIF(CONFIG_ASIGNATURAS!$B$7:$B$27,nASIG)&gt;0)*(nNOTA))/SUMPRODUCT((nNIA=AE348)*(nCUENTA=1)*(COUNTIF(CONFIG_ASIGNATURAS!$B$7:$B$27,nASIG)&gt;0)*1),"")))</f>
        <v/>
      </c>
    </row>
    <row r="349" spans="2:35" x14ac:dyDescent="0.2">
      <c r="B349" t="str">
        <f>IF(A349="","",IF(A349="[FÓRMULA MANUAL]","",IFERROR(AVERAGEIFS(nNOTA,nNIA,A349,nCUENTA,1,nASIG,"Lenguaje Musical"),"")))</f>
        <v/>
      </c>
      <c r="C349" t="str">
        <f>IF(A349="","",IF(A349="[FÓRMULA MANUAL]","",IFERROR(AVERAGEIFS(nNOTA,nNIA,A349,nCUENTA,1,nASIG,"Orquesta/Banda/Conjunto"),"")))</f>
        <v/>
      </c>
      <c r="D349" t="str">
        <f>IF(A349="","",IF(A349="[FÓRMULA MANUAL]","",IFERROR(AVERAGEIFS(nNOTA,nNIA,A349,nCUENTA,1,nASIG,"Conjunto"),"")))</f>
        <v/>
      </c>
      <c r="E349" t="str">
        <f>IF(A349="","",IF(A349="[FÓRMULA MANUAL]","",IFERROR(SUMPRODUCT((nNIA=A349)*(nCUENTA=1)*(COUNTIF(CONFIG_ASIGNATURAS!$B$7:$B$27,nASIG)&gt;0)*(nNOTA))/SUMPRODUCT((nNIA=A349)*(nCUENTA=1)*(COUNTIF(CONFIG_ASIGNATURAS!$B$7:$B$27,nASIG)&gt;0)*1),"")))</f>
        <v/>
      </c>
      <c r="H349" t="str">
        <f>IF(G349="","",IF(G349="[FÓRMULA MANUAL]","",IFERROR(AVERAGEIFS(nNOTA,nNIA,G349,nCUENTA,1,nASIG,"Lenguaje Musical"),"")))</f>
        <v/>
      </c>
      <c r="I349" t="str">
        <f>IF(G349="","",IF(G349="[FÓRMULA MANUAL]","",IFERROR(AVERAGEIFS(nNOTA,nNIA,G349,nCUENTA,1,nASIG,"Orquesta/Banda/Conjunto"),"")))</f>
        <v/>
      </c>
      <c r="J349" t="str">
        <f>IF(G349="","",IF(G349="[FÓRMULA MANUAL]","",IFERROR(AVERAGEIFS(nNOTA,nNIA,G349,nCUENTA,1,nASIG,"Conjunto"),"")))</f>
        <v/>
      </c>
      <c r="K349" t="str">
        <f>IF(G349="","",IF(G349="[FÓRMULA MANUAL]","",IFERROR(SUMPRODUCT((nNIA=G349)*(nCUENTA=1)*(COUNTIF(CONFIG_ASIGNATURAS!$B$7:$B$27,nASIG)&gt;0)*(nNOTA))/SUMPRODUCT((nNIA=G349)*(nCUENTA=1)*(COUNTIF(CONFIG_ASIGNATURAS!$B$7:$B$27,nASIG)&gt;0)*1),"")))</f>
        <v/>
      </c>
      <c r="N349" t="str">
        <f>IF(M349="","",IF(M349="[FÓRMULA MANUAL]","",IFERROR(AVERAGEIFS(nNOTA,nNIA,M349,nCUENTA,1,nASIG,"Armonía"),"")))</f>
        <v/>
      </c>
      <c r="O349" t="str">
        <f>IF(M349="","",IF(M349="[FÓRMULA MANUAL]","",IFERROR(AVERAGEIFS(nNOTA,nNIA,M349,nCUENTA,1,nASIG,"Orquesta/Banda/Conjunto"),"")))</f>
        <v/>
      </c>
      <c r="P349" t="str">
        <f>IF(M349="","",IF(M349="[FÓRMULA MANUAL]","",IFERROR(AVERAGEIFS(nNOTA,nNIA,M349,nCUENTA,1,nASIG,"Música de Cámara"),"")))</f>
        <v/>
      </c>
      <c r="Q349" t="str">
        <f>IF(M349="","",IF(M349="[FÓRMULA MANUAL]","",IFERROR(SUMPRODUCT((nNIA=M349)*(nCUENTA=1)*(COUNTIF(CONFIG_ASIGNATURAS!$B$7:$B$27,nASIG)&gt;0)*(nNOTA))/SUMPRODUCT((nNIA=M349)*(nCUENTA=1)*(COUNTIF(CONFIG_ASIGNATURAS!$B$7:$B$27,nASIG)&gt;0)*1),"")))</f>
        <v/>
      </c>
      <c r="T349" t="str">
        <f>IF(S349="","",IF(S349="[FÓRMULA MANUAL]","",IFERROR(AVERAGEIFS(nNOTA,nNIA,S349,nCUENTA,1,nASIG,"Armonía"),"")))</f>
        <v/>
      </c>
      <c r="U349" t="str">
        <f>IF(S349="","",IF(S349="[FÓRMULA MANUAL]","",IFERROR(AVERAGEIFS(nNOTA,nNIA,S349,nCUENTA,1,nASIG,"Orquesta/Banda/Conjunto"),"")))</f>
        <v/>
      </c>
      <c r="V349" t="str">
        <f>IF(S349="","",IF(S349="[FÓRMULA MANUAL]","",IFERROR(AVERAGEIFS(nNOTA,nNIA,S349,nCUENTA,1,nASIG,"Música de Cámara"),"")))</f>
        <v/>
      </c>
      <c r="W349" t="str">
        <f>IF(S349="","",IF(S349="[FÓRMULA MANUAL]","",IFERROR(SUMPRODUCT((nNIA=S349)*(nCUENTA=1)*(COUNTIF(CONFIG_ASIGNATURAS!$B$7:$B$27,nASIG)&gt;0)*(nNOTA))/SUMPRODUCT((nNIA=S349)*(nCUENTA=1)*(COUNTIF(CONFIG_ASIGNATURAS!$B$7:$B$27,nASIG)&gt;0)*1),"")))</f>
        <v/>
      </c>
      <c r="Z349" t="str">
        <f>IF(Y349="","",IF(Y349="[FÓRMULA MANUAL]","",IFERROR(AVERAGEIFS(nNOTA,nNIA,Y349,nCUENTA,1,nASIG,"Análisis"),"")))</f>
        <v/>
      </c>
      <c r="AA349" t="str">
        <f>IF(Y349="","",IF(Y349="[FÓRMULA MANUAL]","",IFERROR(AVERAGEIFS(nNOTA,nNIA,Y349,nCUENTA,1,nASIG,"Orquesta/Banda/Conjunto"),"")))</f>
        <v/>
      </c>
      <c r="AB349" t="str">
        <f>IF(Y349="","",IF(Y349="[FÓRMULA MANUAL]","",IFERROR(AVERAGEIFS(nNOTA,nNIA,Y349,nCUENTA,1,nASIG,"Música de Cámara"),"")))</f>
        <v/>
      </c>
      <c r="AC349" t="str">
        <f>IF(Y349="","",IF(Y349="[FÓRMULA MANUAL]","",IFERROR(SUMPRODUCT((nNIA=Y349)*(nCUENTA=1)*(COUNTIF(CONFIG_ASIGNATURAS!$B$7:$B$27,nASIG)&gt;0)*(nNOTA))/SUMPRODUCT((nNIA=Y349)*(nCUENTA=1)*(COUNTIF(CONFIG_ASIGNATURAS!$B$7:$B$27,nASIG)&gt;0)*1),"")))</f>
        <v/>
      </c>
      <c r="AF349" t="str">
        <f>IF(AE349="","",IF(AE349="[FÓRMULA MANUAL]","",IFERROR(AVERAGEIFS(nNOTA,nNIA,AE349,nCUENTA,1,nASIG,"Análisis"),"")))</f>
        <v/>
      </c>
      <c r="AG349" t="str">
        <f>IF(AE349="","",IF(AE349="[FÓRMULA MANUAL]","",IFERROR(AVERAGEIFS(nNOTA,nNIA,AE349,nCUENTA,1,nASIG,"Orquesta/Banda/Conjunto"),"")))</f>
        <v/>
      </c>
      <c r="AH349" t="str">
        <f>IF(AE349="","",IF(AE349="[FÓRMULA MANUAL]","",IFERROR(AVERAGEIFS(nNOTA,nNIA,AE349,nCUENTA,1,nASIG,"Música de Cámara"),"")))</f>
        <v/>
      </c>
      <c r="AI349" t="str">
        <f>IF(AE349="","",IF(AE349="[FÓRMULA MANUAL]","",IFERROR(SUMPRODUCT((nNIA=AE349)*(nCUENTA=1)*(COUNTIF(CONFIG_ASIGNATURAS!$B$7:$B$27,nASIG)&gt;0)*(nNOTA))/SUMPRODUCT((nNIA=AE349)*(nCUENTA=1)*(COUNTIF(CONFIG_ASIGNATURAS!$B$7:$B$27,nASIG)&gt;0)*1),"")))</f>
        <v/>
      </c>
    </row>
    <row r="350" spans="2:35" x14ac:dyDescent="0.2">
      <c r="B350" t="str">
        <f>IF(A350="","",IF(A350="[FÓRMULA MANUAL]","",IFERROR(AVERAGEIFS(nNOTA,nNIA,A350,nCUENTA,1,nASIG,"Lenguaje Musical"),"")))</f>
        <v/>
      </c>
      <c r="C350" t="str">
        <f>IF(A350="","",IF(A350="[FÓRMULA MANUAL]","",IFERROR(AVERAGEIFS(nNOTA,nNIA,A350,nCUENTA,1,nASIG,"Orquesta/Banda/Conjunto"),"")))</f>
        <v/>
      </c>
      <c r="D350" t="str">
        <f>IF(A350="","",IF(A350="[FÓRMULA MANUAL]","",IFERROR(AVERAGEIFS(nNOTA,nNIA,A350,nCUENTA,1,nASIG,"Conjunto"),"")))</f>
        <v/>
      </c>
      <c r="E350" t="str">
        <f>IF(A350="","",IF(A350="[FÓRMULA MANUAL]","",IFERROR(SUMPRODUCT((nNIA=A350)*(nCUENTA=1)*(COUNTIF(CONFIG_ASIGNATURAS!$B$7:$B$27,nASIG)&gt;0)*(nNOTA))/SUMPRODUCT((nNIA=A350)*(nCUENTA=1)*(COUNTIF(CONFIG_ASIGNATURAS!$B$7:$B$27,nASIG)&gt;0)*1),"")))</f>
        <v/>
      </c>
      <c r="H350" t="str">
        <f>IF(G350="","",IF(G350="[FÓRMULA MANUAL]","",IFERROR(AVERAGEIFS(nNOTA,nNIA,G350,nCUENTA,1,nASIG,"Lenguaje Musical"),"")))</f>
        <v/>
      </c>
      <c r="I350" t="str">
        <f>IF(G350="","",IF(G350="[FÓRMULA MANUAL]","",IFERROR(AVERAGEIFS(nNOTA,nNIA,G350,nCUENTA,1,nASIG,"Orquesta/Banda/Conjunto"),"")))</f>
        <v/>
      </c>
      <c r="J350" t="str">
        <f>IF(G350="","",IF(G350="[FÓRMULA MANUAL]","",IFERROR(AVERAGEIFS(nNOTA,nNIA,G350,nCUENTA,1,nASIG,"Conjunto"),"")))</f>
        <v/>
      </c>
      <c r="K350" t="str">
        <f>IF(G350="","",IF(G350="[FÓRMULA MANUAL]","",IFERROR(SUMPRODUCT((nNIA=G350)*(nCUENTA=1)*(COUNTIF(CONFIG_ASIGNATURAS!$B$7:$B$27,nASIG)&gt;0)*(nNOTA))/SUMPRODUCT((nNIA=G350)*(nCUENTA=1)*(COUNTIF(CONFIG_ASIGNATURAS!$B$7:$B$27,nASIG)&gt;0)*1),"")))</f>
        <v/>
      </c>
      <c r="N350" t="str">
        <f>IF(M350="","",IF(M350="[FÓRMULA MANUAL]","",IFERROR(AVERAGEIFS(nNOTA,nNIA,M350,nCUENTA,1,nASIG,"Armonía"),"")))</f>
        <v/>
      </c>
      <c r="O350" t="str">
        <f>IF(M350="","",IF(M350="[FÓRMULA MANUAL]","",IFERROR(AVERAGEIFS(nNOTA,nNIA,M350,nCUENTA,1,nASIG,"Orquesta/Banda/Conjunto"),"")))</f>
        <v/>
      </c>
      <c r="P350" t="str">
        <f>IF(M350="","",IF(M350="[FÓRMULA MANUAL]","",IFERROR(AVERAGEIFS(nNOTA,nNIA,M350,nCUENTA,1,nASIG,"Música de Cámara"),"")))</f>
        <v/>
      </c>
      <c r="Q350" t="str">
        <f>IF(M350="","",IF(M350="[FÓRMULA MANUAL]","",IFERROR(SUMPRODUCT((nNIA=M350)*(nCUENTA=1)*(COUNTIF(CONFIG_ASIGNATURAS!$B$7:$B$27,nASIG)&gt;0)*(nNOTA))/SUMPRODUCT((nNIA=M350)*(nCUENTA=1)*(COUNTIF(CONFIG_ASIGNATURAS!$B$7:$B$27,nASIG)&gt;0)*1),"")))</f>
        <v/>
      </c>
      <c r="T350" t="str">
        <f>IF(S350="","",IF(S350="[FÓRMULA MANUAL]","",IFERROR(AVERAGEIFS(nNOTA,nNIA,S350,nCUENTA,1,nASIG,"Armonía"),"")))</f>
        <v/>
      </c>
      <c r="U350" t="str">
        <f>IF(S350="","",IF(S350="[FÓRMULA MANUAL]","",IFERROR(AVERAGEIFS(nNOTA,nNIA,S350,nCUENTA,1,nASIG,"Orquesta/Banda/Conjunto"),"")))</f>
        <v/>
      </c>
      <c r="V350" t="str">
        <f>IF(S350="","",IF(S350="[FÓRMULA MANUAL]","",IFERROR(AVERAGEIFS(nNOTA,nNIA,S350,nCUENTA,1,nASIG,"Música de Cámara"),"")))</f>
        <v/>
      </c>
      <c r="W350" t="str">
        <f>IF(S350="","",IF(S350="[FÓRMULA MANUAL]","",IFERROR(SUMPRODUCT((nNIA=S350)*(nCUENTA=1)*(COUNTIF(CONFIG_ASIGNATURAS!$B$7:$B$27,nASIG)&gt;0)*(nNOTA))/SUMPRODUCT((nNIA=S350)*(nCUENTA=1)*(COUNTIF(CONFIG_ASIGNATURAS!$B$7:$B$27,nASIG)&gt;0)*1),"")))</f>
        <v/>
      </c>
      <c r="Z350" t="str">
        <f>IF(Y350="","",IF(Y350="[FÓRMULA MANUAL]","",IFERROR(AVERAGEIFS(nNOTA,nNIA,Y350,nCUENTA,1,nASIG,"Análisis"),"")))</f>
        <v/>
      </c>
      <c r="AA350" t="str">
        <f>IF(Y350="","",IF(Y350="[FÓRMULA MANUAL]","",IFERROR(AVERAGEIFS(nNOTA,nNIA,Y350,nCUENTA,1,nASIG,"Orquesta/Banda/Conjunto"),"")))</f>
        <v/>
      </c>
      <c r="AB350" t="str">
        <f>IF(Y350="","",IF(Y350="[FÓRMULA MANUAL]","",IFERROR(AVERAGEIFS(nNOTA,nNIA,Y350,nCUENTA,1,nASIG,"Música de Cámara"),"")))</f>
        <v/>
      </c>
      <c r="AC350" t="str">
        <f>IF(Y350="","",IF(Y350="[FÓRMULA MANUAL]","",IFERROR(SUMPRODUCT((nNIA=Y350)*(nCUENTA=1)*(COUNTIF(CONFIG_ASIGNATURAS!$B$7:$B$27,nASIG)&gt;0)*(nNOTA))/SUMPRODUCT((nNIA=Y350)*(nCUENTA=1)*(COUNTIF(CONFIG_ASIGNATURAS!$B$7:$B$27,nASIG)&gt;0)*1),"")))</f>
        <v/>
      </c>
      <c r="AF350" t="str">
        <f>IF(AE350="","",IF(AE350="[FÓRMULA MANUAL]","",IFERROR(AVERAGEIFS(nNOTA,nNIA,AE350,nCUENTA,1,nASIG,"Análisis"),"")))</f>
        <v/>
      </c>
      <c r="AG350" t="str">
        <f>IF(AE350="","",IF(AE350="[FÓRMULA MANUAL]","",IFERROR(AVERAGEIFS(nNOTA,nNIA,AE350,nCUENTA,1,nASIG,"Orquesta/Banda/Conjunto"),"")))</f>
        <v/>
      </c>
      <c r="AH350" t="str">
        <f>IF(AE350="","",IF(AE350="[FÓRMULA MANUAL]","",IFERROR(AVERAGEIFS(nNOTA,nNIA,AE350,nCUENTA,1,nASIG,"Música de Cámara"),"")))</f>
        <v/>
      </c>
      <c r="AI350" t="str">
        <f>IF(AE350="","",IF(AE350="[FÓRMULA MANUAL]","",IFERROR(SUMPRODUCT((nNIA=AE350)*(nCUENTA=1)*(COUNTIF(CONFIG_ASIGNATURAS!$B$7:$B$27,nASIG)&gt;0)*(nNOTA))/SUMPRODUCT((nNIA=AE350)*(nCUENTA=1)*(COUNTIF(CONFIG_ASIGNATURAS!$B$7:$B$27,nASIG)&gt;0)*1),"")))</f>
        <v/>
      </c>
    </row>
    <row r="351" spans="2:35" x14ac:dyDescent="0.2">
      <c r="B351" t="str">
        <f>IF(A351="","",IF(A351="[FÓRMULA MANUAL]","",IFERROR(AVERAGEIFS(nNOTA,nNIA,A351,nCUENTA,1,nASIG,"Lenguaje Musical"),"")))</f>
        <v/>
      </c>
      <c r="C351" t="str">
        <f>IF(A351="","",IF(A351="[FÓRMULA MANUAL]","",IFERROR(AVERAGEIFS(nNOTA,nNIA,A351,nCUENTA,1,nASIG,"Orquesta/Banda/Conjunto"),"")))</f>
        <v/>
      </c>
      <c r="D351" t="str">
        <f>IF(A351="","",IF(A351="[FÓRMULA MANUAL]","",IFERROR(AVERAGEIFS(nNOTA,nNIA,A351,nCUENTA,1,nASIG,"Conjunto"),"")))</f>
        <v/>
      </c>
      <c r="E351" t="str">
        <f>IF(A351="","",IF(A351="[FÓRMULA MANUAL]","",IFERROR(SUMPRODUCT((nNIA=A351)*(nCUENTA=1)*(COUNTIF(CONFIG_ASIGNATURAS!$B$7:$B$27,nASIG)&gt;0)*(nNOTA))/SUMPRODUCT((nNIA=A351)*(nCUENTA=1)*(COUNTIF(CONFIG_ASIGNATURAS!$B$7:$B$27,nASIG)&gt;0)*1),"")))</f>
        <v/>
      </c>
      <c r="H351" t="str">
        <f>IF(G351="","",IF(G351="[FÓRMULA MANUAL]","",IFERROR(AVERAGEIFS(nNOTA,nNIA,G351,nCUENTA,1,nASIG,"Lenguaje Musical"),"")))</f>
        <v/>
      </c>
      <c r="I351" t="str">
        <f>IF(G351="","",IF(G351="[FÓRMULA MANUAL]","",IFERROR(AVERAGEIFS(nNOTA,nNIA,G351,nCUENTA,1,nASIG,"Orquesta/Banda/Conjunto"),"")))</f>
        <v/>
      </c>
      <c r="J351" t="str">
        <f>IF(G351="","",IF(G351="[FÓRMULA MANUAL]","",IFERROR(AVERAGEIFS(nNOTA,nNIA,G351,nCUENTA,1,nASIG,"Conjunto"),"")))</f>
        <v/>
      </c>
      <c r="K351" t="str">
        <f>IF(G351="","",IF(G351="[FÓRMULA MANUAL]","",IFERROR(SUMPRODUCT((nNIA=G351)*(nCUENTA=1)*(COUNTIF(CONFIG_ASIGNATURAS!$B$7:$B$27,nASIG)&gt;0)*(nNOTA))/SUMPRODUCT((nNIA=G351)*(nCUENTA=1)*(COUNTIF(CONFIG_ASIGNATURAS!$B$7:$B$27,nASIG)&gt;0)*1),"")))</f>
        <v/>
      </c>
      <c r="N351" t="str">
        <f>IF(M351="","",IF(M351="[FÓRMULA MANUAL]","",IFERROR(AVERAGEIFS(nNOTA,nNIA,M351,nCUENTA,1,nASIG,"Armonía"),"")))</f>
        <v/>
      </c>
      <c r="O351" t="str">
        <f>IF(M351="","",IF(M351="[FÓRMULA MANUAL]","",IFERROR(AVERAGEIFS(nNOTA,nNIA,M351,nCUENTA,1,nASIG,"Orquesta/Banda/Conjunto"),"")))</f>
        <v/>
      </c>
      <c r="P351" t="str">
        <f>IF(M351="","",IF(M351="[FÓRMULA MANUAL]","",IFERROR(AVERAGEIFS(nNOTA,nNIA,M351,nCUENTA,1,nASIG,"Música de Cámara"),"")))</f>
        <v/>
      </c>
      <c r="Q351" t="str">
        <f>IF(M351="","",IF(M351="[FÓRMULA MANUAL]","",IFERROR(SUMPRODUCT((nNIA=M351)*(nCUENTA=1)*(COUNTIF(CONFIG_ASIGNATURAS!$B$7:$B$27,nASIG)&gt;0)*(nNOTA))/SUMPRODUCT((nNIA=M351)*(nCUENTA=1)*(COUNTIF(CONFIG_ASIGNATURAS!$B$7:$B$27,nASIG)&gt;0)*1),"")))</f>
        <v/>
      </c>
      <c r="T351" t="str">
        <f>IF(S351="","",IF(S351="[FÓRMULA MANUAL]","",IFERROR(AVERAGEIFS(nNOTA,nNIA,S351,nCUENTA,1,nASIG,"Armonía"),"")))</f>
        <v/>
      </c>
      <c r="U351" t="str">
        <f>IF(S351="","",IF(S351="[FÓRMULA MANUAL]","",IFERROR(AVERAGEIFS(nNOTA,nNIA,S351,nCUENTA,1,nASIG,"Orquesta/Banda/Conjunto"),"")))</f>
        <v/>
      </c>
      <c r="V351" t="str">
        <f>IF(S351="","",IF(S351="[FÓRMULA MANUAL]","",IFERROR(AVERAGEIFS(nNOTA,nNIA,S351,nCUENTA,1,nASIG,"Música de Cámara"),"")))</f>
        <v/>
      </c>
      <c r="W351" t="str">
        <f>IF(S351="","",IF(S351="[FÓRMULA MANUAL]","",IFERROR(SUMPRODUCT((nNIA=S351)*(nCUENTA=1)*(COUNTIF(CONFIG_ASIGNATURAS!$B$7:$B$27,nASIG)&gt;0)*(nNOTA))/SUMPRODUCT((nNIA=S351)*(nCUENTA=1)*(COUNTIF(CONFIG_ASIGNATURAS!$B$7:$B$27,nASIG)&gt;0)*1),"")))</f>
        <v/>
      </c>
      <c r="Z351" t="str">
        <f>IF(Y351="","",IF(Y351="[FÓRMULA MANUAL]","",IFERROR(AVERAGEIFS(nNOTA,nNIA,Y351,nCUENTA,1,nASIG,"Análisis"),"")))</f>
        <v/>
      </c>
      <c r="AA351" t="str">
        <f>IF(Y351="","",IF(Y351="[FÓRMULA MANUAL]","",IFERROR(AVERAGEIFS(nNOTA,nNIA,Y351,nCUENTA,1,nASIG,"Orquesta/Banda/Conjunto"),"")))</f>
        <v/>
      </c>
      <c r="AB351" t="str">
        <f>IF(Y351="","",IF(Y351="[FÓRMULA MANUAL]","",IFERROR(AVERAGEIFS(nNOTA,nNIA,Y351,nCUENTA,1,nASIG,"Música de Cámara"),"")))</f>
        <v/>
      </c>
      <c r="AC351" t="str">
        <f>IF(Y351="","",IF(Y351="[FÓRMULA MANUAL]","",IFERROR(SUMPRODUCT((nNIA=Y351)*(nCUENTA=1)*(COUNTIF(CONFIG_ASIGNATURAS!$B$7:$B$27,nASIG)&gt;0)*(nNOTA))/SUMPRODUCT((nNIA=Y351)*(nCUENTA=1)*(COUNTIF(CONFIG_ASIGNATURAS!$B$7:$B$27,nASIG)&gt;0)*1),"")))</f>
        <v/>
      </c>
      <c r="AF351" t="str">
        <f>IF(AE351="","",IF(AE351="[FÓRMULA MANUAL]","",IFERROR(AVERAGEIFS(nNOTA,nNIA,AE351,nCUENTA,1,nASIG,"Análisis"),"")))</f>
        <v/>
      </c>
      <c r="AG351" t="str">
        <f>IF(AE351="","",IF(AE351="[FÓRMULA MANUAL]","",IFERROR(AVERAGEIFS(nNOTA,nNIA,AE351,nCUENTA,1,nASIG,"Orquesta/Banda/Conjunto"),"")))</f>
        <v/>
      </c>
      <c r="AH351" t="str">
        <f>IF(AE351="","",IF(AE351="[FÓRMULA MANUAL]","",IFERROR(AVERAGEIFS(nNOTA,nNIA,AE351,nCUENTA,1,nASIG,"Música de Cámara"),"")))</f>
        <v/>
      </c>
      <c r="AI351" t="str">
        <f>IF(AE351="","",IF(AE351="[FÓRMULA MANUAL]","",IFERROR(SUMPRODUCT((nNIA=AE351)*(nCUENTA=1)*(COUNTIF(CONFIG_ASIGNATURAS!$B$7:$B$27,nASIG)&gt;0)*(nNOTA))/SUMPRODUCT((nNIA=AE351)*(nCUENTA=1)*(COUNTIF(CONFIG_ASIGNATURAS!$B$7:$B$27,nASIG)&gt;0)*1),"")))</f>
        <v/>
      </c>
    </row>
    <row r="352" spans="2:35" x14ac:dyDescent="0.2">
      <c r="B352" t="str">
        <f>IF(A352="","",IF(A352="[FÓRMULA MANUAL]","",IFERROR(AVERAGEIFS(nNOTA,nNIA,A352,nCUENTA,1,nASIG,"Lenguaje Musical"),"")))</f>
        <v/>
      </c>
      <c r="C352" t="str">
        <f>IF(A352="","",IF(A352="[FÓRMULA MANUAL]","",IFERROR(AVERAGEIFS(nNOTA,nNIA,A352,nCUENTA,1,nASIG,"Orquesta/Banda/Conjunto"),"")))</f>
        <v/>
      </c>
      <c r="D352" t="str">
        <f>IF(A352="","",IF(A352="[FÓRMULA MANUAL]","",IFERROR(AVERAGEIFS(nNOTA,nNIA,A352,nCUENTA,1,nASIG,"Conjunto"),"")))</f>
        <v/>
      </c>
      <c r="E352" t="str">
        <f>IF(A352="","",IF(A352="[FÓRMULA MANUAL]","",IFERROR(SUMPRODUCT((nNIA=A352)*(nCUENTA=1)*(COUNTIF(CONFIG_ASIGNATURAS!$B$7:$B$27,nASIG)&gt;0)*(nNOTA))/SUMPRODUCT((nNIA=A352)*(nCUENTA=1)*(COUNTIF(CONFIG_ASIGNATURAS!$B$7:$B$27,nASIG)&gt;0)*1),"")))</f>
        <v/>
      </c>
      <c r="H352" t="str">
        <f>IF(G352="","",IF(G352="[FÓRMULA MANUAL]","",IFERROR(AVERAGEIFS(nNOTA,nNIA,G352,nCUENTA,1,nASIG,"Lenguaje Musical"),"")))</f>
        <v/>
      </c>
      <c r="I352" t="str">
        <f>IF(G352="","",IF(G352="[FÓRMULA MANUAL]","",IFERROR(AVERAGEIFS(nNOTA,nNIA,G352,nCUENTA,1,nASIG,"Orquesta/Banda/Conjunto"),"")))</f>
        <v/>
      </c>
      <c r="J352" t="str">
        <f>IF(G352="","",IF(G352="[FÓRMULA MANUAL]","",IFERROR(AVERAGEIFS(nNOTA,nNIA,G352,nCUENTA,1,nASIG,"Conjunto"),"")))</f>
        <v/>
      </c>
      <c r="K352" t="str">
        <f>IF(G352="","",IF(G352="[FÓRMULA MANUAL]","",IFERROR(SUMPRODUCT((nNIA=G352)*(nCUENTA=1)*(COUNTIF(CONFIG_ASIGNATURAS!$B$7:$B$27,nASIG)&gt;0)*(nNOTA))/SUMPRODUCT((nNIA=G352)*(nCUENTA=1)*(COUNTIF(CONFIG_ASIGNATURAS!$B$7:$B$27,nASIG)&gt;0)*1),"")))</f>
        <v/>
      </c>
      <c r="N352" t="str">
        <f>IF(M352="","",IF(M352="[FÓRMULA MANUAL]","",IFERROR(AVERAGEIFS(nNOTA,nNIA,M352,nCUENTA,1,nASIG,"Armonía"),"")))</f>
        <v/>
      </c>
      <c r="O352" t="str">
        <f>IF(M352="","",IF(M352="[FÓRMULA MANUAL]","",IFERROR(AVERAGEIFS(nNOTA,nNIA,M352,nCUENTA,1,nASIG,"Orquesta/Banda/Conjunto"),"")))</f>
        <v/>
      </c>
      <c r="P352" t="str">
        <f>IF(M352="","",IF(M352="[FÓRMULA MANUAL]","",IFERROR(AVERAGEIFS(nNOTA,nNIA,M352,nCUENTA,1,nASIG,"Música de Cámara"),"")))</f>
        <v/>
      </c>
      <c r="Q352" t="str">
        <f>IF(M352="","",IF(M352="[FÓRMULA MANUAL]","",IFERROR(SUMPRODUCT((nNIA=M352)*(nCUENTA=1)*(COUNTIF(CONFIG_ASIGNATURAS!$B$7:$B$27,nASIG)&gt;0)*(nNOTA))/SUMPRODUCT((nNIA=M352)*(nCUENTA=1)*(COUNTIF(CONFIG_ASIGNATURAS!$B$7:$B$27,nASIG)&gt;0)*1),"")))</f>
        <v/>
      </c>
      <c r="T352" t="str">
        <f>IF(S352="","",IF(S352="[FÓRMULA MANUAL]","",IFERROR(AVERAGEIFS(nNOTA,nNIA,S352,nCUENTA,1,nASIG,"Armonía"),"")))</f>
        <v/>
      </c>
      <c r="U352" t="str">
        <f>IF(S352="","",IF(S352="[FÓRMULA MANUAL]","",IFERROR(AVERAGEIFS(nNOTA,nNIA,S352,nCUENTA,1,nASIG,"Orquesta/Banda/Conjunto"),"")))</f>
        <v/>
      </c>
      <c r="V352" t="str">
        <f>IF(S352="","",IF(S352="[FÓRMULA MANUAL]","",IFERROR(AVERAGEIFS(nNOTA,nNIA,S352,nCUENTA,1,nASIG,"Música de Cámara"),"")))</f>
        <v/>
      </c>
      <c r="W352" t="str">
        <f>IF(S352="","",IF(S352="[FÓRMULA MANUAL]","",IFERROR(SUMPRODUCT((nNIA=S352)*(nCUENTA=1)*(COUNTIF(CONFIG_ASIGNATURAS!$B$7:$B$27,nASIG)&gt;0)*(nNOTA))/SUMPRODUCT((nNIA=S352)*(nCUENTA=1)*(COUNTIF(CONFIG_ASIGNATURAS!$B$7:$B$27,nASIG)&gt;0)*1),"")))</f>
        <v/>
      </c>
      <c r="Z352" t="str">
        <f>IF(Y352="","",IF(Y352="[FÓRMULA MANUAL]","",IFERROR(AVERAGEIFS(nNOTA,nNIA,Y352,nCUENTA,1,nASIG,"Análisis"),"")))</f>
        <v/>
      </c>
      <c r="AA352" t="str">
        <f>IF(Y352="","",IF(Y352="[FÓRMULA MANUAL]","",IFERROR(AVERAGEIFS(nNOTA,nNIA,Y352,nCUENTA,1,nASIG,"Orquesta/Banda/Conjunto"),"")))</f>
        <v/>
      </c>
      <c r="AB352" t="str">
        <f>IF(Y352="","",IF(Y352="[FÓRMULA MANUAL]","",IFERROR(AVERAGEIFS(nNOTA,nNIA,Y352,nCUENTA,1,nASIG,"Música de Cámara"),"")))</f>
        <v/>
      </c>
      <c r="AC352" t="str">
        <f>IF(Y352="","",IF(Y352="[FÓRMULA MANUAL]","",IFERROR(SUMPRODUCT((nNIA=Y352)*(nCUENTA=1)*(COUNTIF(CONFIG_ASIGNATURAS!$B$7:$B$27,nASIG)&gt;0)*(nNOTA))/SUMPRODUCT((nNIA=Y352)*(nCUENTA=1)*(COUNTIF(CONFIG_ASIGNATURAS!$B$7:$B$27,nASIG)&gt;0)*1),"")))</f>
        <v/>
      </c>
      <c r="AF352" t="str">
        <f>IF(AE352="","",IF(AE352="[FÓRMULA MANUAL]","",IFERROR(AVERAGEIFS(nNOTA,nNIA,AE352,nCUENTA,1,nASIG,"Análisis"),"")))</f>
        <v/>
      </c>
      <c r="AG352" t="str">
        <f>IF(AE352="","",IF(AE352="[FÓRMULA MANUAL]","",IFERROR(AVERAGEIFS(nNOTA,nNIA,AE352,nCUENTA,1,nASIG,"Orquesta/Banda/Conjunto"),"")))</f>
        <v/>
      </c>
      <c r="AH352" t="str">
        <f>IF(AE352="","",IF(AE352="[FÓRMULA MANUAL]","",IFERROR(AVERAGEIFS(nNOTA,nNIA,AE352,nCUENTA,1,nASIG,"Música de Cámara"),"")))</f>
        <v/>
      </c>
      <c r="AI352" t="str">
        <f>IF(AE352="","",IF(AE352="[FÓRMULA MANUAL]","",IFERROR(SUMPRODUCT((nNIA=AE352)*(nCUENTA=1)*(COUNTIF(CONFIG_ASIGNATURAS!$B$7:$B$27,nASIG)&gt;0)*(nNOTA))/SUMPRODUCT((nNIA=AE352)*(nCUENTA=1)*(COUNTIF(CONFIG_ASIGNATURAS!$B$7:$B$27,nASIG)&gt;0)*1),"")))</f>
        <v/>
      </c>
    </row>
    <row r="353" spans="2:35" x14ac:dyDescent="0.2">
      <c r="B353" t="str">
        <f>IF(A353="","",IF(A353="[FÓRMULA MANUAL]","",IFERROR(AVERAGEIFS(nNOTA,nNIA,A353,nCUENTA,1,nASIG,"Lenguaje Musical"),"")))</f>
        <v/>
      </c>
      <c r="C353" t="str">
        <f>IF(A353="","",IF(A353="[FÓRMULA MANUAL]","",IFERROR(AVERAGEIFS(nNOTA,nNIA,A353,nCUENTA,1,nASIG,"Orquesta/Banda/Conjunto"),"")))</f>
        <v/>
      </c>
      <c r="D353" t="str">
        <f>IF(A353="","",IF(A353="[FÓRMULA MANUAL]","",IFERROR(AVERAGEIFS(nNOTA,nNIA,A353,nCUENTA,1,nASIG,"Conjunto"),"")))</f>
        <v/>
      </c>
      <c r="E353" t="str">
        <f>IF(A353="","",IF(A353="[FÓRMULA MANUAL]","",IFERROR(SUMPRODUCT((nNIA=A353)*(nCUENTA=1)*(COUNTIF(CONFIG_ASIGNATURAS!$B$7:$B$27,nASIG)&gt;0)*(nNOTA))/SUMPRODUCT((nNIA=A353)*(nCUENTA=1)*(COUNTIF(CONFIG_ASIGNATURAS!$B$7:$B$27,nASIG)&gt;0)*1),"")))</f>
        <v/>
      </c>
      <c r="H353" t="str">
        <f>IF(G353="","",IF(G353="[FÓRMULA MANUAL]","",IFERROR(AVERAGEIFS(nNOTA,nNIA,G353,nCUENTA,1,nASIG,"Lenguaje Musical"),"")))</f>
        <v/>
      </c>
      <c r="I353" t="str">
        <f>IF(G353="","",IF(G353="[FÓRMULA MANUAL]","",IFERROR(AVERAGEIFS(nNOTA,nNIA,G353,nCUENTA,1,nASIG,"Orquesta/Banda/Conjunto"),"")))</f>
        <v/>
      </c>
      <c r="J353" t="str">
        <f>IF(G353="","",IF(G353="[FÓRMULA MANUAL]","",IFERROR(AVERAGEIFS(nNOTA,nNIA,G353,nCUENTA,1,nASIG,"Conjunto"),"")))</f>
        <v/>
      </c>
      <c r="K353" t="str">
        <f>IF(G353="","",IF(G353="[FÓRMULA MANUAL]","",IFERROR(SUMPRODUCT((nNIA=G353)*(nCUENTA=1)*(COUNTIF(CONFIG_ASIGNATURAS!$B$7:$B$27,nASIG)&gt;0)*(nNOTA))/SUMPRODUCT((nNIA=G353)*(nCUENTA=1)*(COUNTIF(CONFIG_ASIGNATURAS!$B$7:$B$27,nASIG)&gt;0)*1),"")))</f>
        <v/>
      </c>
      <c r="N353" t="str">
        <f>IF(M353="","",IF(M353="[FÓRMULA MANUAL]","",IFERROR(AVERAGEIFS(nNOTA,nNIA,M353,nCUENTA,1,nASIG,"Armonía"),"")))</f>
        <v/>
      </c>
      <c r="O353" t="str">
        <f>IF(M353="","",IF(M353="[FÓRMULA MANUAL]","",IFERROR(AVERAGEIFS(nNOTA,nNIA,M353,nCUENTA,1,nASIG,"Orquesta/Banda/Conjunto"),"")))</f>
        <v/>
      </c>
      <c r="P353" t="str">
        <f>IF(M353="","",IF(M353="[FÓRMULA MANUAL]","",IFERROR(AVERAGEIFS(nNOTA,nNIA,M353,nCUENTA,1,nASIG,"Música de Cámara"),"")))</f>
        <v/>
      </c>
      <c r="Q353" t="str">
        <f>IF(M353="","",IF(M353="[FÓRMULA MANUAL]","",IFERROR(SUMPRODUCT((nNIA=M353)*(nCUENTA=1)*(COUNTIF(CONFIG_ASIGNATURAS!$B$7:$B$27,nASIG)&gt;0)*(nNOTA))/SUMPRODUCT((nNIA=M353)*(nCUENTA=1)*(COUNTIF(CONFIG_ASIGNATURAS!$B$7:$B$27,nASIG)&gt;0)*1),"")))</f>
        <v/>
      </c>
      <c r="T353" t="str">
        <f>IF(S353="","",IF(S353="[FÓRMULA MANUAL]","",IFERROR(AVERAGEIFS(nNOTA,nNIA,S353,nCUENTA,1,nASIG,"Armonía"),"")))</f>
        <v/>
      </c>
      <c r="U353" t="str">
        <f>IF(S353="","",IF(S353="[FÓRMULA MANUAL]","",IFERROR(AVERAGEIFS(nNOTA,nNIA,S353,nCUENTA,1,nASIG,"Orquesta/Banda/Conjunto"),"")))</f>
        <v/>
      </c>
      <c r="V353" t="str">
        <f>IF(S353="","",IF(S353="[FÓRMULA MANUAL]","",IFERROR(AVERAGEIFS(nNOTA,nNIA,S353,nCUENTA,1,nASIG,"Música de Cámara"),"")))</f>
        <v/>
      </c>
      <c r="W353" t="str">
        <f>IF(S353="","",IF(S353="[FÓRMULA MANUAL]","",IFERROR(SUMPRODUCT((nNIA=S353)*(nCUENTA=1)*(COUNTIF(CONFIG_ASIGNATURAS!$B$7:$B$27,nASIG)&gt;0)*(nNOTA))/SUMPRODUCT((nNIA=S353)*(nCUENTA=1)*(COUNTIF(CONFIG_ASIGNATURAS!$B$7:$B$27,nASIG)&gt;0)*1),"")))</f>
        <v/>
      </c>
      <c r="Z353" t="str">
        <f>IF(Y353="","",IF(Y353="[FÓRMULA MANUAL]","",IFERROR(AVERAGEIFS(nNOTA,nNIA,Y353,nCUENTA,1,nASIG,"Análisis"),"")))</f>
        <v/>
      </c>
      <c r="AA353" t="str">
        <f>IF(Y353="","",IF(Y353="[FÓRMULA MANUAL]","",IFERROR(AVERAGEIFS(nNOTA,nNIA,Y353,nCUENTA,1,nASIG,"Orquesta/Banda/Conjunto"),"")))</f>
        <v/>
      </c>
      <c r="AB353" t="str">
        <f>IF(Y353="","",IF(Y353="[FÓRMULA MANUAL]","",IFERROR(AVERAGEIFS(nNOTA,nNIA,Y353,nCUENTA,1,nASIG,"Música de Cámara"),"")))</f>
        <v/>
      </c>
      <c r="AC353" t="str">
        <f>IF(Y353="","",IF(Y353="[FÓRMULA MANUAL]","",IFERROR(SUMPRODUCT((nNIA=Y353)*(nCUENTA=1)*(COUNTIF(CONFIG_ASIGNATURAS!$B$7:$B$27,nASIG)&gt;0)*(nNOTA))/SUMPRODUCT((nNIA=Y353)*(nCUENTA=1)*(COUNTIF(CONFIG_ASIGNATURAS!$B$7:$B$27,nASIG)&gt;0)*1),"")))</f>
        <v/>
      </c>
      <c r="AF353" t="str">
        <f>IF(AE353="","",IF(AE353="[FÓRMULA MANUAL]","",IFERROR(AVERAGEIFS(nNOTA,nNIA,AE353,nCUENTA,1,nASIG,"Análisis"),"")))</f>
        <v/>
      </c>
      <c r="AG353" t="str">
        <f>IF(AE353="","",IF(AE353="[FÓRMULA MANUAL]","",IFERROR(AVERAGEIFS(nNOTA,nNIA,AE353,nCUENTA,1,nASIG,"Orquesta/Banda/Conjunto"),"")))</f>
        <v/>
      </c>
      <c r="AH353" t="str">
        <f>IF(AE353="","",IF(AE353="[FÓRMULA MANUAL]","",IFERROR(AVERAGEIFS(nNOTA,nNIA,AE353,nCUENTA,1,nASIG,"Música de Cámara"),"")))</f>
        <v/>
      </c>
      <c r="AI353" t="str">
        <f>IF(AE353="","",IF(AE353="[FÓRMULA MANUAL]","",IFERROR(SUMPRODUCT((nNIA=AE353)*(nCUENTA=1)*(COUNTIF(CONFIG_ASIGNATURAS!$B$7:$B$27,nASIG)&gt;0)*(nNOTA))/SUMPRODUCT((nNIA=AE353)*(nCUENTA=1)*(COUNTIF(CONFIG_ASIGNATURAS!$B$7:$B$27,nASIG)&gt;0)*1),"")))</f>
        <v/>
      </c>
    </row>
    <row r="354" spans="2:35" x14ac:dyDescent="0.2">
      <c r="B354" t="str">
        <f>IF(A354="","",IF(A354="[FÓRMULA MANUAL]","",IFERROR(AVERAGEIFS(nNOTA,nNIA,A354,nCUENTA,1,nASIG,"Lenguaje Musical"),"")))</f>
        <v/>
      </c>
      <c r="C354" t="str">
        <f>IF(A354="","",IF(A354="[FÓRMULA MANUAL]","",IFERROR(AVERAGEIFS(nNOTA,nNIA,A354,nCUENTA,1,nASIG,"Orquesta/Banda/Conjunto"),"")))</f>
        <v/>
      </c>
      <c r="D354" t="str">
        <f>IF(A354="","",IF(A354="[FÓRMULA MANUAL]","",IFERROR(AVERAGEIFS(nNOTA,nNIA,A354,nCUENTA,1,nASIG,"Conjunto"),"")))</f>
        <v/>
      </c>
      <c r="E354" t="str">
        <f>IF(A354="","",IF(A354="[FÓRMULA MANUAL]","",IFERROR(SUMPRODUCT((nNIA=A354)*(nCUENTA=1)*(COUNTIF(CONFIG_ASIGNATURAS!$B$7:$B$27,nASIG)&gt;0)*(nNOTA))/SUMPRODUCT((nNIA=A354)*(nCUENTA=1)*(COUNTIF(CONFIG_ASIGNATURAS!$B$7:$B$27,nASIG)&gt;0)*1),"")))</f>
        <v/>
      </c>
      <c r="H354" t="str">
        <f>IF(G354="","",IF(G354="[FÓRMULA MANUAL]","",IFERROR(AVERAGEIFS(nNOTA,nNIA,G354,nCUENTA,1,nASIG,"Lenguaje Musical"),"")))</f>
        <v/>
      </c>
      <c r="I354" t="str">
        <f>IF(G354="","",IF(G354="[FÓRMULA MANUAL]","",IFERROR(AVERAGEIFS(nNOTA,nNIA,G354,nCUENTA,1,nASIG,"Orquesta/Banda/Conjunto"),"")))</f>
        <v/>
      </c>
      <c r="J354" t="str">
        <f>IF(G354="","",IF(G354="[FÓRMULA MANUAL]","",IFERROR(AVERAGEIFS(nNOTA,nNIA,G354,nCUENTA,1,nASIG,"Conjunto"),"")))</f>
        <v/>
      </c>
      <c r="K354" t="str">
        <f>IF(G354="","",IF(G354="[FÓRMULA MANUAL]","",IFERROR(SUMPRODUCT((nNIA=G354)*(nCUENTA=1)*(COUNTIF(CONFIG_ASIGNATURAS!$B$7:$B$27,nASIG)&gt;0)*(nNOTA))/SUMPRODUCT((nNIA=G354)*(nCUENTA=1)*(COUNTIF(CONFIG_ASIGNATURAS!$B$7:$B$27,nASIG)&gt;0)*1),"")))</f>
        <v/>
      </c>
      <c r="N354" t="str">
        <f>IF(M354="","",IF(M354="[FÓRMULA MANUAL]","",IFERROR(AVERAGEIFS(nNOTA,nNIA,M354,nCUENTA,1,nASIG,"Armonía"),"")))</f>
        <v/>
      </c>
      <c r="O354" t="str">
        <f>IF(M354="","",IF(M354="[FÓRMULA MANUAL]","",IFERROR(AVERAGEIFS(nNOTA,nNIA,M354,nCUENTA,1,nASIG,"Orquesta/Banda/Conjunto"),"")))</f>
        <v/>
      </c>
      <c r="P354" t="str">
        <f>IF(M354="","",IF(M354="[FÓRMULA MANUAL]","",IFERROR(AVERAGEIFS(nNOTA,nNIA,M354,nCUENTA,1,nASIG,"Música de Cámara"),"")))</f>
        <v/>
      </c>
      <c r="Q354" t="str">
        <f>IF(M354="","",IF(M354="[FÓRMULA MANUAL]","",IFERROR(SUMPRODUCT((nNIA=M354)*(nCUENTA=1)*(COUNTIF(CONFIG_ASIGNATURAS!$B$7:$B$27,nASIG)&gt;0)*(nNOTA))/SUMPRODUCT((nNIA=M354)*(nCUENTA=1)*(COUNTIF(CONFIG_ASIGNATURAS!$B$7:$B$27,nASIG)&gt;0)*1),"")))</f>
        <v/>
      </c>
      <c r="T354" t="str">
        <f>IF(S354="","",IF(S354="[FÓRMULA MANUAL]","",IFERROR(AVERAGEIFS(nNOTA,nNIA,S354,nCUENTA,1,nASIG,"Armonía"),"")))</f>
        <v/>
      </c>
      <c r="U354" t="str">
        <f>IF(S354="","",IF(S354="[FÓRMULA MANUAL]","",IFERROR(AVERAGEIFS(nNOTA,nNIA,S354,nCUENTA,1,nASIG,"Orquesta/Banda/Conjunto"),"")))</f>
        <v/>
      </c>
      <c r="V354" t="str">
        <f>IF(S354="","",IF(S354="[FÓRMULA MANUAL]","",IFERROR(AVERAGEIFS(nNOTA,nNIA,S354,nCUENTA,1,nASIG,"Música de Cámara"),"")))</f>
        <v/>
      </c>
      <c r="W354" t="str">
        <f>IF(S354="","",IF(S354="[FÓRMULA MANUAL]","",IFERROR(SUMPRODUCT((nNIA=S354)*(nCUENTA=1)*(COUNTIF(CONFIG_ASIGNATURAS!$B$7:$B$27,nASIG)&gt;0)*(nNOTA))/SUMPRODUCT((nNIA=S354)*(nCUENTA=1)*(COUNTIF(CONFIG_ASIGNATURAS!$B$7:$B$27,nASIG)&gt;0)*1),"")))</f>
        <v/>
      </c>
      <c r="Z354" t="str">
        <f>IF(Y354="","",IF(Y354="[FÓRMULA MANUAL]","",IFERROR(AVERAGEIFS(nNOTA,nNIA,Y354,nCUENTA,1,nASIG,"Análisis"),"")))</f>
        <v/>
      </c>
      <c r="AA354" t="str">
        <f>IF(Y354="","",IF(Y354="[FÓRMULA MANUAL]","",IFERROR(AVERAGEIFS(nNOTA,nNIA,Y354,nCUENTA,1,nASIG,"Orquesta/Banda/Conjunto"),"")))</f>
        <v/>
      </c>
      <c r="AB354" t="str">
        <f>IF(Y354="","",IF(Y354="[FÓRMULA MANUAL]","",IFERROR(AVERAGEIFS(nNOTA,nNIA,Y354,nCUENTA,1,nASIG,"Música de Cámara"),"")))</f>
        <v/>
      </c>
      <c r="AC354" t="str">
        <f>IF(Y354="","",IF(Y354="[FÓRMULA MANUAL]","",IFERROR(SUMPRODUCT((nNIA=Y354)*(nCUENTA=1)*(COUNTIF(CONFIG_ASIGNATURAS!$B$7:$B$27,nASIG)&gt;0)*(nNOTA))/SUMPRODUCT((nNIA=Y354)*(nCUENTA=1)*(COUNTIF(CONFIG_ASIGNATURAS!$B$7:$B$27,nASIG)&gt;0)*1),"")))</f>
        <v/>
      </c>
      <c r="AF354" t="str">
        <f>IF(AE354="","",IF(AE354="[FÓRMULA MANUAL]","",IFERROR(AVERAGEIFS(nNOTA,nNIA,AE354,nCUENTA,1,nASIG,"Análisis"),"")))</f>
        <v/>
      </c>
      <c r="AG354" t="str">
        <f>IF(AE354="","",IF(AE354="[FÓRMULA MANUAL]","",IFERROR(AVERAGEIFS(nNOTA,nNIA,AE354,nCUENTA,1,nASIG,"Orquesta/Banda/Conjunto"),"")))</f>
        <v/>
      </c>
      <c r="AH354" t="str">
        <f>IF(AE354="","",IF(AE354="[FÓRMULA MANUAL]","",IFERROR(AVERAGEIFS(nNOTA,nNIA,AE354,nCUENTA,1,nASIG,"Música de Cámara"),"")))</f>
        <v/>
      </c>
      <c r="AI354" t="str">
        <f>IF(AE354="","",IF(AE354="[FÓRMULA MANUAL]","",IFERROR(SUMPRODUCT((nNIA=AE354)*(nCUENTA=1)*(COUNTIF(CONFIG_ASIGNATURAS!$B$7:$B$27,nASIG)&gt;0)*(nNOTA))/SUMPRODUCT((nNIA=AE354)*(nCUENTA=1)*(COUNTIF(CONFIG_ASIGNATURAS!$B$7:$B$27,nASIG)&gt;0)*1),"")))</f>
        <v/>
      </c>
    </row>
    <row r="355" spans="2:35" x14ac:dyDescent="0.2">
      <c r="B355" t="str">
        <f>IF(A355="","",IF(A355="[FÓRMULA MANUAL]","",IFERROR(AVERAGEIFS(nNOTA,nNIA,A355,nCUENTA,1,nASIG,"Lenguaje Musical"),"")))</f>
        <v/>
      </c>
      <c r="C355" t="str">
        <f>IF(A355="","",IF(A355="[FÓRMULA MANUAL]","",IFERROR(AVERAGEIFS(nNOTA,nNIA,A355,nCUENTA,1,nASIG,"Orquesta/Banda/Conjunto"),"")))</f>
        <v/>
      </c>
      <c r="D355" t="str">
        <f>IF(A355="","",IF(A355="[FÓRMULA MANUAL]","",IFERROR(AVERAGEIFS(nNOTA,nNIA,A355,nCUENTA,1,nASIG,"Conjunto"),"")))</f>
        <v/>
      </c>
      <c r="E355" t="str">
        <f>IF(A355="","",IF(A355="[FÓRMULA MANUAL]","",IFERROR(SUMPRODUCT((nNIA=A355)*(nCUENTA=1)*(COUNTIF(CONFIG_ASIGNATURAS!$B$7:$B$27,nASIG)&gt;0)*(nNOTA))/SUMPRODUCT((nNIA=A355)*(nCUENTA=1)*(COUNTIF(CONFIG_ASIGNATURAS!$B$7:$B$27,nASIG)&gt;0)*1),"")))</f>
        <v/>
      </c>
      <c r="H355" t="str">
        <f>IF(G355="","",IF(G355="[FÓRMULA MANUAL]","",IFERROR(AVERAGEIFS(nNOTA,nNIA,G355,nCUENTA,1,nASIG,"Lenguaje Musical"),"")))</f>
        <v/>
      </c>
      <c r="I355" t="str">
        <f>IF(G355="","",IF(G355="[FÓRMULA MANUAL]","",IFERROR(AVERAGEIFS(nNOTA,nNIA,G355,nCUENTA,1,nASIG,"Orquesta/Banda/Conjunto"),"")))</f>
        <v/>
      </c>
      <c r="J355" t="str">
        <f>IF(G355="","",IF(G355="[FÓRMULA MANUAL]","",IFERROR(AVERAGEIFS(nNOTA,nNIA,G355,nCUENTA,1,nASIG,"Conjunto"),"")))</f>
        <v/>
      </c>
      <c r="K355" t="str">
        <f>IF(G355="","",IF(G355="[FÓRMULA MANUAL]","",IFERROR(SUMPRODUCT((nNIA=G355)*(nCUENTA=1)*(COUNTIF(CONFIG_ASIGNATURAS!$B$7:$B$27,nASIG)&gt;0)*(nNOTA))/SUMPRODUCT((nNIA=G355)*(nCUENTA=1)*(COUNTIF(CONFIG_ASIGNATURAS!$B$7:$B$27,nASIG)&gt;0)*1),"")))</f>
        <v/>
      </c>
      <c r="N355" t="str">
        <f>IF(M355="","",IF(M355="[FÓRMULA MANUAL]","",IFERROR(AVERAGEIFS(nNOTA,nNIA,M355,nCUENTA,1,nASIG,"Armonía"),"")))</f>
        <v/>
      </c>
      <c r="O355" t="str">
        <f>IF(M355="","",IF(M355="[FÓRMULA MANUAL]","",IFERROR(AVERAGEIFS(nNOTA,nNIA,M355,nCUENTA,1,nASIG,"Orquesta/Banda/Conjunto"),"")))</f>
        <v/>
      </c>
      <c r="P355" t="str">
        <f>IF(M355="","",IF(M355="[FÓRMULA MANUAL]","",IFERROR(AVERAGEIFS(nNOTA,nNIA,M355,nCUENTA,1,nASIG,"Música de Cámara"),"")))</f>
        <v/>
      </c>
      <c r="Q355" t="str">
        <f>IF(M355="","",IF(M355="[FÓRMULA MANUAL]","",IFERROR(SUMPRODUCT((nNIA=M355)*(nCUENTA=1)*(COUNTIF(CONFIG_ASIGNATURAS!$B$7:$B$27,nASIG)&gt;0)*(nNOTA))/SUMPRODUCT((nNIA=M355)*(nCUENTA=1)*(COUNTIF(CONFIG_ASIGNATURAS!$B$7:$B$27,nASIG)&gt;0)*1),"")))</f>
        <v/>
      </c>
      <c r="T355" t="str">
        <f>IF(S355="","",IF(S355="[FÓRMULA MANUAL]","",IFERROR(AVERAGEIFS(nNOTA,nNIA,S355,nCUENTA,1,nASIG,"Armonía"),"")))</f>
        <v/>
      </c>
      <c r="U355" t="str">
        <f>IF(S355="","",IF(S355="[FÓRMULA MANUAL]","",IFERROR(AVERAGEIFS(nNOTA,nNIA,S355,nCUENTA,1,nASIG,"Orquesta/Banda/Conjunto"),"")))</f>
        <v/>
      </c>
      <c r="V355" t="str">
        <f>IF(S355="","",IF(S355="[FÓRMULA MANUAL]","",IFERROR(AVERAGEIFS(nNOTA,nNIA,S355,nCUENTA,1,nASIG,"Música de Cámara"),"")))</f>
        <v/>
      </c>
      <c r="W355" t="str">
        <f>IF(S355="","",IF(S355="[FÓRMULA MANUAL]","",IFERROR(SUMPRODUCT((nNIA=S355)*(nCUENTA=1)*(COUNTIF(CONFIG_ASIGNATURAS!$B$7:$B$27,nASIG)&gt;0)*(nNOTA))/SUMPRODUCT((nNIA=S355)*(nCUENTA=1)*(COUNTIF(CONFIG_ASIGNATURAS!$B$7:$B$27,nASIG)&gt;0)*1),"")))</f>
        <v/>
      </c>
      <c r="Z355" t="str">
        <f>IF(Y355="","",IF(Y355="[FÓRMULA MANUAL]","",IFERROR(AVERAGEIFS(nNOTA,nNIA,Y355,nCUENTA,1,nASIG,"Análisis"),"")))</f>
        <v/>
      </c>
      <c r="AA355" t="str">
        <f>IF(Y355="","",IF(Y355="[FÓRMULA MANUAL]","",IFERROR(AVERAGEIFS(nNOTA,nNIA,Y355,nCUENTA,1,nASIG,"Orquesta/Banda/Conjunto"),"")))</f>
        <v/>
      </c>
      <c r="AB355" t="str">
        <f>IF(Y355="","",IF(Y355="[FÓRMULA MANUAL]","",IFERROR(AVERAGEIFS(nNOTA,nNIA,Y355,nCUENTA,1,nASIG,"Música de Cámara"),"")))</f>
        <v/>
      </c>
      <c r="AC355" t="str">
        <f>IF(Y355="","",IF(Y355="[FÓRMULA MANUAL]","",IFERROR(SUMPRODUCT((nNIA=Y355)*(nCUENTA=1)*(COUNTIF(CONFIG_ASIGNATURAS!$B$7:$B$27,nASIG)&gt;0)*(nNOTA))/SUMPRODUCT((nNIA=Y355)*(nCUENTA=1)*(COUNTIF(CONFIG_ASIGNATURAS!$B$7:$B$27,nASIG)&gt;0)*1),"")))</f>
        <v/>
      </c>
      <c r="AF355" t="str">
        <f>IF(AE355="","",IF(AE355="[FÓRMULA MANUAL]","",IFERROR(AVERAGEIFS(nNOTA,nNIA,AE355,nCUENTA,1,nASIG,"Análisis"),"")))</f>
        <v/>
      </c>
      <c r="AG355" t="str">
        <f>IF(AE355="","",IF(AE355="[FÓRMULA MANUAL]","",IFERROR(AVERAGEIFS(nNOTA,nNIA,AE355,nCUENTA,1,nASIG,"Orquesta/Banda/Conjunto"),"")))</f>
        <v/>
      </c>
      <c r="AH355" t="str">
        <f>IF(AE355="","",IF(AE355="[FÓRMULA MANUAL]","",IFERROR(AVERAGEIFS(nNOTA,nNIA,AE355,nCUENTA,1,nASIG,"Música de Cámara"),"")))</f>
        <v/>
      </c>
      <c r="AI355" t="str">
        <f>IF(AE355="","",IF(AE355="[FÓRMULA MANUAL]","",IFERROR(SUMPRODUCT((nNIA=AE355)*(nCUENTA=1)*(COUNTIF(CONFIG_ASIGNATURAS!$B$7:$B$27,nASIG)&gt;0)*(nNOTA))/SUMPRODUCT((nNIA=AE355)*(nCUENTA=1)*(COUNTIF(CONFIG_ASIGNATURAS!$B$7:$B$27,nASIG)&gt;0)*1),"")))</f>
        <v/>
      </c>
    </row>
    <row r="356" spans="2:35" x14ac:dyDescent="0.2">
      <c r="B356" t="str">
        <f>IF(A356="","",IF(A356="[FÓRMULA MANUAL]","",IFERROR(AVERAGEIFS(nNOTA,nNIA,A356,nCUENTA,1,nASIG,"Lenguaje Musical"),"")))</f>
        <v/>
      </c>
      <c r="C356" t="str">
        <f>IF(A356="","",IF(A356="[FÓRMULA MANUAL]","",IFERROR(AVERAGEIFS(nNOTA,nNIA,A356,nCUENTA,1,nASIG,"Orquesta/Banda/Conjunto"),"")))</f>
        <v/>
      </c>
      <c r="D356" t="str">
        <f>IF(A356="","",IF(A356="[FÓRMULA MANUAL]","",IFERROR(AVERAGEIFS(nNOTA,nNIA,A356,nCUENTA,1,nASIG,"Conjunto"),"")))</f>
        <v/>
      </c>
      <c r="E356" t="str">
        <f>IF(A356="","",IF(A356="[FÓRMULA MANUAL]","",IFERROR(SUMPRODUCT((nNIA=A356)*(nCUENTA=1)*(COUNTIF(CONFIG_ASIGNATURAS!$B$7:$B$27,nASIG)&gt;0)*(nNOTA))/SUMPRODUCT((nNIA=A356)*(nCUENTA=1)*(COUNTIF(CONFIG_ASIGNATURAS!$B$7:$B$27,nASIG)&gt;0)*1),"")))</f>
        <v/>
      </c>
      <c r="H356" t="str">
        <f>IF(G356="","",IF(G356="[FÓRMULA MANUAL]","",IFERROR(AVERAGEIFS(nNOTA,nNIA,G356,nCUENTA,1,nASIG,"Lenguaje Musical"),"")))</f>
        <v/>
      </c>
      <c r="I356" t="str">
        <f>IF(G356="","",IF(G356="[FÓRMULA MANUAL]","",IFERROR(AVERAGEIFS(nNOTA,nNIA,G356,nCUENTA,1,nASIG,"Orquesta/Banda/Conjunto"),"")))</f>
        <v/>
      </c>
      <c r="J356" t="str">
        <f>IF(G356="","",IF(G356="[FÓRMULA MANUAL]","",IFERROR(AVERAGEIFS(nNOTA,nNIA,G356,nCUENTA,1,nASIG,"Conjunto"),"")))</f>
        <v/>
      </c>
      <c r="K356" t="str">
        <f>IF(G356="","",IF(G356="[FÓRMULA MANUAL]","",IFERROR(SUMPRODUCT((nNIA=G356)*(nCUENTA=1)*(COUNTIF(CONFIG_ASIGNATURAS!$B$7:$B$27,nASIG)&gt;0)*(nNOTA))/SUMPRODUCT((nNIA=G356)*(nCUENTA=1)*(COUNTIF(CONFIG_ASIGNATURAS!$B$7:$B$27,nASIG)&gt;0)*1),"")))</f>
        <v/>
      </c>
      <c r="N356" t="str">
        <f>IF(M356="","",IF(M356="[FÓRMULA MANUAL]","",IFERROR(AVERAGEIFS(nNOTA,nNIA,M356,nCUENTA,1,nASIG,"Armonía"),"")))</f>
        <v/>
      </c>
      <c r="O356" t="str">
        <f>IF(M356="","",IF(M356="[FÓRMULA MANUAL]","",IFERROR(AVERAGEIFS(nNOTA,nNIA,M356,nCUENTA,1,nASIG,"Orquesta/Banda/Conjunto"),"")))</f>
        <v/>
      </c>
      <c r="P356" t="str">
        <f>IF(M356="","",IF(M356="[FÓRMULA MANUAL]","",IFERROR(AVERAGEIFS(nNOTA,nNIA,M356,nCUENTA,1,nASIG,"Música de Cámara"),"")))</f>
        <v/>
      </c>
      <c r="Q356" t="str">
        <f>IF(M356="","",IF(M356="[FÓRMULA MANUAL]","",IFERROR(SUMPRODUCT((nNIA=M356)*(nCUENTA=1)*(COUNTIF(CONFIG_ASIGNATURAS!$B$7:$B$27,nASIG)&gt;0)*(nNOTA))/SUMPRODUCT((nNIA=M356)*(nCUENTA=1)*(COUNTIF(CONFIG_ASIGNATURAS!$B$7:$B$27,nASIG)&gt;0)*1),"")))</f>
        <v/>
      </c>
      <c r="T356" t="str">
        <f>IF(S356="","",IF(S356="[FÓRMULA MANUAL]","",IFERROR(AVERAGEIFS(nNOTA,nNIA,S356,nCUENTA,1,nASIG,"Armonía"),"")))</f>
        <v/>
      </c>
      <c r="U356" t="str">
        <f>IF(S356="","",IF(S356="[FÓRMULA MANUAL]","",IFERROR(AVERAGEIFS(nNOTA,nNIA,S356,nCUENTA,1,nASIG,"Orquesta/Banda/Conjunto"),"")))</f>
        <v/>
      </c>
      <c r="V356" t="str">
        <f>IF(S356="","",IF(S356="[FÓRMULA MANUAL]","",IFERROR(AVERAGEIFS(nNOTA,nNIA,S356,nCUENTA,1,nASIG,"Música de Cámara"),"")))</f>
        <v/>
      </c>
      <c r="W356" t="str">
        <f>IF(S356="","",IF(S356="[FÓRMULA MANUAL]","",IFERROR(SUMPRODUCT((nNIA=S356)*(nCUENTA=1)*(COUNTIF(CONFIG_ASIGNATURAS!$B$7:$B$27,nASIG)&gt;0)*(nNOTA))/SUMPRODUCT((nNIA=S356)*(nCUENTA=1)*(COUNTIF(CONFIG_ASIGNATURAS!$B$7:$B$27,nASIG)&gt;0)*1),"")))</f>
        <v/>
      </c>
      <c r="Z356" t="str">
        <f>IF(Y356="","",IF(Y356="[FÓRMULA MANUAL]","",IFERROR(AVERAGEIFS(nNOTA,nNIA,Y356,nCUENTA,1,nASIG,"Análisis"),"")))</f>
        <v/>
      </c>
      <c r="AA356" t="str">
        <f>IF(Y356="","",IF(Y356="[FÓRMULA MANUAL]","",IFERROR(AVERAGEIFS(nNOTA,nNIA,Y356,nCUENTA,1,nASIG,"Orquesta/Banda/Conjunto"),"")))</f>
        <v/>
      </c>
      <c r="AB356" t="str">
        <f>IF(Y356="","",IF(Y356="[FÓRMULA MANUAL]","",IFERROR(AVERAGEIFS(nNOTA,nNIA,Y356,nCUENTA,1,nASIG,"Música de Cámara"),"")))</f>
        <v/>
      </c>
      <c r="AC356" t="str">
        <f>IF(Y356="","",IF(Y356="[FÓRMULA MANUAL]","",IFERROR(SUMPRODUCT((nNIA=Y356)*(nCUENTA=1)*(COUNTIF(CONFIG_ASIGNATURAS!$B$7:$B$27,nASIG)&gt;0)*(nNOTA))/SUMPRODUCT((nNIA=Y356)*(nCUENTA=1)*(COUNTIF(CONFIG_ASIGNATURAS!$B$7:$B$27,nASIG)&gt;0)*1),"")))</f>
        <v/>
      </c>
      <c r="AF356" t="str">
        <f>IF(AE356="","",IF(AE356="[FÓRMULA MANUAL]","",IFERROR(AVERAGEIFS(nNOTA,nNIA,AE356,nCUENTA,1,nASIG,"Análisis"),"")))</f>
        <v/>
      </c>
      <c r="AG356" t="str">
        <f>IF(AE356="","",IF(AE356="[FÓRMULA MANUAL]","",IFERROR(AVERAGEIFS(nNOTA,nNIA,AE356,nCUENTA,1,nASIG,"Orquesta/Banda/Conjunto"),"")))</f>
        <v/>
      </c>
      <c r="AH356" t="str">
        <f>IF(AE356="","",IF(AE356="[FÓRMULA MANUAL]","",IFERROR(AVERAGEIFS(nNOTA,nNIA,AE356,nCUENTA,1,nASIG,"Música de Cámara"),"")))</f>
        <v/>
      </c>
      <c r="AI356" t="str">
        <f>IF(AE356="","",IF(AE356="[FÓRMULA MANUAL]","",IFERROR(SUMPRODUCT((nNIA=AE356)*(nCUENTA=1)*(COUNTIF(CONFIG_ASIGNATURAS!$B$7:$B$27,nASIG)&gt;0)*(nNOTA))/SUMPRODUCT((nNIA=AE356)*(nCUENTA=1)*(COUNTIF(CONFIG_ASIGNATURAS!$B$7:$B$27,nASIG)&gt;0)*1),"")))</f>
        <v/>
      </c>
    </row>
    <row r="357" spans="2:35" x14ac:dyDescent="0.2">
      <c r="B357" t="str">
        <f>IF(A357="","",IF(A357="[FÓRMULA MANUAL]","",IFERROR(AVERAGEIFS(nNOTA,nNIA,A357,nCUENTA,1,nASIG,"Lenguaje Musical"),"")))</f>
        <v/>
      </c>
      <c r="C357" t="str">
        <f>IF(A357="","",IF(A357="[FÓRMULA MANUAL]","",IFERROR(AVERAGEIFS(nNOTA,nNIA,A357,nCUENTA,1,nASIG,"Orquesta/Banda/Conjunto"),"")))</f>
        <v/>
      </c>
      <c r="D357" t="str">
        <f>IF(A357="","",IF(A357="[FÓRMULA MANUAL]","",IFERROR(AVERAGEIFS(nNOTA,nNIA,A357,nCUENTA,1,nASIG,"Conjunto"),"")))</f>
        <v/>
      </c>
      <c r="E357" t="str">
        <f>IF(A357="","",IF(A357="[FÓRMULA MANUAL]","",IFERROR(SUMPRODUCT((nNIA=A357)*(nCUENTA=1)*(COUNTIF(CONFIG_ASIGNATURAS!$B$7:$B$27,nASIG)&gt;0)*(nNOTA))/SUMPRODUCT((nNIA=A357)*(nCUENTA=1)*(COUNTIF(CONFIG_ASIGNATURAS!$B$7:$B$27,nASIG)&gt;0)*1),"")))</f>
        <v/>
      </c>
      <c r="H357" t="str">
        <f>IF(G357="","",IF(G357="[FÓRMULA MANUAL]","",IFERROR(AVERAGEIFS(nNOTA,nNIA,G357,nCUENTA,1,nASIG,"Lenguaje Musical"),"")))</f>
        <v/>
      </c>
      <c r="I357" t="str">
        <f>IF(G357="","",IF(G357="[FÓRMULA MANUAL]","",IFERROR(AVERAGEIFS(nNOTA,nNIA,G357,nCUENTA,1,nASIG,"Orquesta/Banda/Conjunto"),"")))</f>
        <v/>
      </c>
      <c r="J357" t="str">
        <f>IF(G357="","",IF(G357="[FÓRMULA MANUAL]","",IFERROR(AVERAGEIFS(nNOTA,nNIA,G357,nCUENTA,1,nASIG,"Conjunto"),"")))</f>
        <v/>
      </c>
      <c r="K357" t="str">
        <f>IF(G357="","",IF(G357="[FÓRMULA MANUAL]","",IFERROR(SUMPRODUCT((nNIA=G357)*(nCUENTA=1)*(COUNTIF(CONFIG_ASIGNATURAS!$B$7:$B$27,nASIG)&gt;0)*(nNOTA))/SUMPRODUCT((nNIA=G357)*(nCUENTA=1)*(COUNTIF(CONFIG_ASIGNATURAS!$B$7:$B$27,nASIG)&gt;0)*1),"")))</f>
        <v/>
      </c>
      <c r="N357" t="str">
        <f>IF(M357="","",IF(M357="[FÓRMULA MANUAL]","",IFERROR(AVERAGEIFS(nNOTA,nNIA,M357,nCUENTA,1,nASIG,"Armonía"),"")))</f>
        <v/>
      </c>
      <c r="O357" t="str">
        <f>IF(M357="","",IF(M357="[FÓRMULA MANUAL]","",IFERROR(AVERAGEIFS(nNOTA,nNIA,M357,nCUENTA,1,nASIG,"Orquesta/Banda/Conjunto"),"")))</f>
        <v/>
      </c>
      <c r="P357" t="str">
        <f>IF(M357="","",IF(M357="[FÓRMULA MANUAL]","",IFERROR(AVERAGEIFS(nNOTA,nNIA,M357,nCUENTA,1,nASIG,"Música de Cámara"),"")))</f>
        <v/>
      </c>
      <c r="Q357" t="str">
        <f>IF(M357="","",IF(M357="[FÓRMULA MANUAL]","",IFERROR(SUMPRODUCT((nNIA=M357)*(nCUENTA=1)*(COUNTIF(CONFIG_ASIGNATURAS!$B$7:$B$27,nASIG)&gt;0)*(nNOTA))/SUMPRODUCT((nNIA=M357)*(nCUENTA=1)*(COUNTIF(CONFIG_ASIGNATURAS!$B$7:$B$27,nASIG)&gt;0)*1),"")))</f>
        <v/>
      </c>
      <c r="T357" t="str">
        <f>IF(S357="","",IF(S357="[FÓRMULA MANUAL]","",IFERROR(AVERAGEIFS(nNOTA,nNIA,S357,nCUENTA,1,nASIG,"Armonía"),"")))</f>
        <v/>
      </c>
      <c r="U357" t="str">
        <f>IF(S357="","",IF(S357="[FÓRMULA MANUAL]","",IFERROR(AVERAGEIFS(nNOTA,nNIA,S357,nCUENTA,1,nASIG,"Orquesta/Banda/Conjunto"),"")))</f>
        <v/>
      </c>
      <c r="V357" t="str">
        <f>IF(S357="","",IF(S357="[FÓRMULA MANUAL]","",IFERROR(AVERAGEIFS(nNOTA,nNIA,S357,nCUENTA,1,nASIG,"Música de Cámara"),"")))</f>
        <v/>
      </c>
      <c r="W357" t="str">
        <f>IF(S357="","",IF(S357="[FÓRMULA MANUAL]","",IFERROR(SUMPRODUCT((nNIA=S357)*(nCUENTA=1)*(COUNTIF(CONFIG_ASIGNATURAS!$B$7:$B$27,nASIG)&gt;0)*(nNOTA))/SUMPRODUCT((nNIA=S357)*(nCUENTA=1)*(COUNTIF(CONFIG_ASIGNATURAS!$B$7:$B$27,nASIG)&gt;0)*1),"")))</f>
        <v/>
      </c>
      <c r="Z357" t="str">
        <f>IF(Y357="","",IF(Y357="[FÓRMULA MANUAL]","",IFERROR(AVERAGEIFS(nNOTA,nNIA,Y357,nCUENTA,1,nASIG,"Análisis"),"")))</f>
        <v/>
      </c>
      <c r="AA357" t="str">
        <f>IF(Y357="","",IF(Y357="[FÓRMULA MANUAL]","",IFERROR(AVERAGEIFS(nNOTA,nNIA,Y357,nCUENTA,1,nASIG,"Orquesta/Banda/Conjunto"),"")))</f>
        <v/>
      </c>
      <c r="AB357" t="str">
        <f>IF(Y357="","",IF(Y357="[FÓRMULA MANUAL]","",IFERROR(AVERAGEIFS(nNOTA,nNIA,Y357,nCUENTA,1,nASIG,"Música de Cámara"),"")))</f>
        <v/>
      </c>
      <c r="AC357" t="str">
        <f>IF(Y357="","",IF(Y357="[FÓRMULA MANUAL]","",IFERROR(SUMPRODUCT((nNIA=Y357)*(nCUENTA=1)*(COUNTIF(CONFIG_ASIGNATURAS!$B$7:$B$27,nASIG)&gt;0)*(nNOTA))/SUMPRODUCT((nNIA=Y357)*(nCUENTA=1)*(COUNTIF(CONFIG_ASIGNATURAS!$B$7:$B$27,nASIG)&gt;0)*1),"")))</f>
        <v/>
      </c>
      <c r="AF357" t="str">
        <f>IF(AE357="","",IF(AE357="[FÓRMULA MANUAL]","",IFERROR(AVERAGEIFS(nNOTA,nNIA,AE357,nCUENTA,1,nASIG,"Análisis"),"")))</f>
        <v/>
      </c>
      <c r="AG357" t="str">
        <f>IF(AE357="","",IF(AE357="[FÓRMULA MANUAL]","",IFERROR(AVERAGEIFS(nNOTA,nNIA,AE357,nCUENTA,1,nASIG,"Orquesta/Banda/Conjunto"),"")))</f>
        <v/>
      </c>
      <c r="AH357" t="str">
        <f>IF(AE357="","",IF(AE357="[FÓRMULA MANUAL]","",IFERROR(AVERAGEIFS(nNOTA,nNIA,AE357,nCUENTA,1,nASIG,"Música de Cámara"),"")))</f>
        <v/>
      </c>
      <c r="AI357" t="str">
        <f>IF(AE357="","",IF(AE357="[FÓRMULA MANUAL]","",IFERROR(SUMPRODUCT((nNIA=AE357)*(nCUENTA=1)*(COUNTIF(CONFIG_ASIGNATURAS!$B$7:$B$27,nASIG)&gt;0)*(nNOTA))/SUMPRODUCT((nNIA=AE357)*(nCUENTA=1)*(COUNTIF(CONFIG_ASIGNATURAS!$B$7:$B$27,nASIG)&gt;0)*1),"")))</f>
        <v/>
      </c>
    </row>
    <row r="358" spans="2:35" x14ac:dyDescent="0.2">
      <c r="B358" t="str">
        <f>IF(A358="","",IF(A358="[FÓRMULA MANUAL]","",IFERROR(AVERAGEIFS(nNOTA,nNIA,A358,nCUENTA,1,nASIG,"Lenguaje Musical"),"")))</f>
        <v/>
      </c>
      <c r="C358" t="str">
        <f>IF(A358="","",IF(A358="[FÓRMULA MANUAL]","",IFERROR(AVERAGEIFS(nNOTA,nNIA,A358,nCUENTA,1,nASIG,"Orquesta/Banda/Conjunto"),"")))</f>
        <v/>
      </c>
      <c r="D358" t="str">
        <f>IF(A358="","",IF(A358="[FÓRMULA MANUAL]","",IFERROR(AVERAGEIFS(nNOTA,nNIA,A358,nCUENTA,1,nASIG,"Conjunto"),"")))</f>
        <v/>
      </c>
      <c r="E358" t="str">
        <f>IF(A358="","",IF(A358="[FÓRMULA MANUAL]","",IFERROR(SUMPRODUCT((nNIA=A358)*(nCUENTA=1)*(COUNTIF(CONFIG_ASIGNATURAS!$B$7:$B$27,nASIG)&gt;0)*(nNOTA))/SUMPRODUCT((nNIA=A358)*(nCUENTA=1)*(COUNTIF(CONFIG_ASIGNATURAS!$B$7:$B$27,nASIG)&gt;0)*1),"")))</f>
        <v/>
      </c>
      <c r="H358" t="str">
        <f>IF(G358="","",IF(G358="[FÓRMULA MANUAL]","",IFERROR(AVERAGEIFS(nNOTA,nNIA,G358,nCUENTA,1,nASIG,"Lenguaje Musical"),"")))</f>
        <v/>
      </c>
      <c r="I358" t="str">
        <f>IF(G358="","",IF(G358="[FÓRMULA MANUAL]","",IFERROR(AVERAGEIFS(nNOTA,nNIA,G358,nCUENTA,1,nASIG,"Orquesta/Banda/Conjunto"),"")))</f>
        <v/>
      </c>
      <c r="J358" t="str">
        <f>IF(G358="","",IF(G358="[FÓRMULA MANUAL]","",IFERROR(AVERAGEIFS(nNOTA,nNIA,G358,nCUENTA,1,nASIG,"Conjunto"),"")))</f>
        <v/>
      </c>
      <c r="K358" t="str">
        <f>IF(G358="","",IF(G358="[FÓRMULA MANUAL]","",IFERROR(SUMPRODUCT((nNIA=G358)*(nCUENTA=1)*(COUNTIF(CONFIG_ASIGNATURAS!$B$7:$B$27,nASIG)&gt;0)*(nNOTA))/SUMPRODUCT((nNIA=G358)*(nCUENTA=1)*(COUNTIF(CONFIG_ASIGNATURAS!$B$7:$B$27,nASIG)&gt;0)*1),"")))</f>
        <v/>
      </c>
      <c r="N358" t="str">
        <f>IF(M358="","",IF(M358="[FÓRMULA MANUAL]","",IFERROR(AVERAGEIFS(nNOTA,nNIA,M358,nCUENTA,1,nASIG,"Armonía"),"")))</f>
        <v/>
      </c>
      <c r="O358" t="str">
        <f>IF(M358="","",IF(M358="[FÓRMULA MANUAL]","",IFERROR(AVERAGEIFS(nNOTA,nNIA,M358,nCUENTA,1,nASIG,"Orquesta/Banda/Conjunto"),"")))</f>
        <v/>
      </c>
      <c r="P358" t="str">
        <f>IF(M358="","",IF(M358="[FÓRMULA MANUAL]","",IFERROR(AVERAGEIFS(nNOTA,nNIA,M358,nCUENTA,1,nASIG,"Música de Cámara"),"")))</f>
        <v/>
      </c>
      <c r="Q358" t="str">
        <f>IF(M358="","",IF(M358="[FÓRMULA MANUAL]","",IFERROR(SUMPRODUCT((nNIA=M358)*(nCUENTA=1)*(COUNTIF(CONFIG_ASIGNATURAS!$B$7:$B$27,nASIG)&gt;0)*(nNOTA))/SUMPRODUCT((nNIA=M358)*(nCUENTA=1)*(COUNTIF(CONFIG_ASIGNATURAS!$B$7:$B$27,nASIG)&gt;0)*1),"")))</f>
        <v/>
      </c>
      <c r="T358" t="str">
        <f>IF(S358="","",IF(S358="[FÓRMULA MANUAL]","",IFERROR(AVERAGEIFS(nNOTA,nNIA,S358,nCUENTA,1,nASIG,"Armonía"),"")))</f>
        <v/>
      </c>
      <c r="U358" t="str">
        <f>IF(S358="","",IF(S358="[FÓRMULA MANUAL]","",IFERROR(AVERAGEIFS(nNOTA,nNIA,S358,nCUENTA,1,nASIG,"Orquesta/Banda/Conjunto"),"")))</f>
        <v/>
      </c>
      <c r="V358" t="str">
        <f>IF(S358="","",IF(S358="[FÓRMULA MANUAL]","",IFERROR(AVERAGEIFS(nNOTA,nNIA,S358,nCUENTA,1,nASIG,"Música de Cámara"),"")))</f>
        <v/>
      </c>
      <c r="W358" t="str">
        <f>IF(S358="","",IF(S358="[FÓRMULA MANUAL]","",IFERROR(SUMPRODUCT((nNIA=S358)*(nCUENTA=1)*(COUNTIF(CONFIG_ASIGNATURAS!$B$7:$B$27,nASIG)&gt;0)*(nNOTA))/SUMPRODUCT((nNIA=S358)*(nCUENTA=1)*(COUNTIF(CONFIG_ASIGNATURAS!$B$7:$B$27,nASIG)&gt;0)*1),"")))</f>
        <v/>
      </c>
      <c r="Z358" t="str">
        <f>IF(Y358="","",IF(Y358="[FÓRMULA MANUAL]","",IFERROR(AVERAGEIFS(nNOTA,nNIA,Y358,nCUENTA,1,nASIG,"Análisis"),"")))</f>
        <v/>
      </c>
      <c r="AA358" t="str">
        <f>IF(Y358="","",IF(Y358="[FÓRMULA MANUAL]","",IFERROR(AVERAGEIFS(nNOTA,nNIA,Y358,nCUENTA,1,nASIG,"Orquesta/Banda/Conjunto"),"")))</f>
        <v/>
      </c>
      <c r="AB358" t="str">
        <f>IF(Y358="","",IF(Y358="[FÓRMULA MANUAL]","",IFERROR(AVERAGEIFS(nNOTA,nNIA,Y358,nCUENTA,1,nASIG,"Música de Cámara"),"")))</f>
        <v/>
      </c>
      <c r="AC358" t="str">
        <f>IF(Y358="","",IF(Y358="[FÓRMULA MANUAL]","",IFERROR(SUMPRODUCT((nNIA=Y358)*(nCUENTA=1)*(COUNTIF(CONFIG_ASIGNATURAS!$B$7:$B$27,nASIG)&gt;0)*(nNOTA))/SUMPRODUCT((nNIA=Y358)*(nCUENTA=1)*(COUNTIF(CONFIG_ASIGNATURAS!$B$7:$B$27,nASIG)&gt;0)*1),"")))</f>
        <v/>
      </c>
      <c r="AF358" t="str">
        <f>IF(AE358="","",IF(AE358="[FÓRMULA MANUAL]","",IFERROR(AVERAGEIFS(nNOTA,nNIA,AE358,nCUENTA,1,nASIG,"Análisis"),"")))</f>
        <v/>
      </c>
      <c r="AG358" t="str">
        <f>IF(AE358="","",IF(AE358="[FÓRMULA MANUAL]","",IFERROR(AVERAGEIFS(nNOTA,nNIA,AE358,nCUENTA,1,nASIG,"Orquesta/Banda/Conjunto"),"")))</f>
        <v/>
      </c>
      <c r="AH358" t="str">
        <f>IF(AE358="","",IF(AE358="[FÓRMULA MANUAL]","",IFERROR(AVERAGEIFS(nNOTA,nNIA,AE358,nCUENTA,1,nASIG,"Música de Cámara"),"")))</f>
        <v/>
      </c>
      <c r="AI358" t="str">
        <f>IF(AE358="","",IF(AE358="[FÓRMULA MANUAL]","",IFERROR(SUMPRODUCT((nNIA=AE358)*(nCUENTA=1)*(COUNTIF(CONFIG_ASIGNATURAS!$B$7:$B$27,nASIG)&gt;0)*(nNOTA))/SUMPRODUCT((nNIA=AE358)*(nCUENTA=1)*(COUNTIF(CONFIG_ASIGNATURAS!$B$7:$B$27,nASIG)&gt;0)*1),"")))</f>
        <v/>
      </c>
    </row>
    <row r="359" spans="2:35" x14ac:dyDescent="0.2">
      <c r="B359" t="str">
        <f>IF(A359="","",IF(A359="[FÓRMULA MANUAL]","",IFERROR(AVERAGEIFS(nNOTA,nNIA,A359,nCUENTA,1,nASIG,"Lenguaje Musical"),"")))</f>
        <v/>
      </c>
      <c r="C359" t="str">
        <f>IF(A359="","",IF(A359="[FÓRMULA MANUAL]","",IFERROR(AVERAGEIFS(nNOTA,nNIA,A359,nCUENTA,1,nASIG,"Orquesta/Banda/Conjunto"),"")))</f>
        <v/>
      </c>
      <c r="D359" t="str">
        <f>IF(A359="","",IF(A359="[FÓRMULA MANUAL]","",IFERROR(AVERAGEIFS(nNOTA,nNIA,A359,nCUENTA,1,nASIG,"Conjunto"),"")))</f>
        <v/>
      </c>
      <c r="E359" t="str">
        <f>IF(A359="","",IF(A359="[FÓRMULA MANUAL]","",IFERROR(SUMPRODUCT((nNIA=A359)*(nCUENTA=1)*(COUNTIF(CONFIG_ASIGNATURAS!$B$7:$B$27,nASIG)&gt;0)*(nNOTA))/SUMPRODUCT((nNIA=A359)*(nCUENTA=1)*(COUNTIF(CONFIG_ASIGNATURAS!$B$7:$B$27,nASIG)&gt;0)*1),"")))</f>
        <v/>
      </c>
      <c r="H359" t="str">
        <f>IF(G359="","",IF(G359="[FÓRMULA MANUAL]","",IFERROR(AVERAGEIFS(nNOTA,nNIA,G359,nCUENTA,1,nASIG,"Lenguaje Musical"),"")))</f>
        <v/>
      </c>
      <c r="I359" t="str">
        <f>IF(G359="","",IF(G359="[FÓRMULA MANUAL]","",IFERROR(AVERAGEIFS(nNOTA,nNIA,G359,nCUENTA,1,nASIG,"Orquesta/Banda/Conjunto"),"")))</f>
        <v/>
      </c>
      <c r="J359" t="str">
        <f>IF(G359="","",IF(G359="[FÓRMULA MANUAL]","",IFERROR(AVERAGEIFS(nNOTA,nNIA,G359,nCUENTA,1,nASIG,"Conjunto"),"")))</f>
        <v/>
      </c>
      <c r="K359" t="str">
        <f>IF(G359="","",IF(G359="[FÓRMULA MANUAL]","",IFERROR(SUMPRODUCT((nNIA=G359)*(nCUENTA=1)*(COUNTIF(CONFIG_ASIGNATURAS!$B$7:$B$27,nASIG)&gt;0)*(nNOTA))/SUMPRODUCT((nNIA=G359)*(nCUENTA=1)*(COUNTIF(CONFIG_ASIGNATURAS!$B$7:$B$27,nASIG)&gt;0)*1),"")))</f>
        <v/>
      </c>
      <c r="N359" t="str">
        <f>IF(M359="","",IF(M359="[FÓRMULA MANUAL]","",IFERROR(AVERAGEIFS(nNOTA,nNIA,M359,nCUENTA,1,nASIG,"Armonía"),"")))</f>
        <v/>
      </c>
      <c r="O359" t="str">
        <f>IF(M359="","",IF(M359="[FÓRMULA MANUAL]","",IFERROR(AVERAGEIFS(nNOTA,nNIA,M359,nCUENTA,1,nASIG,"Orquesta/Banda/Conjunto"),"")))</f>
        <v/>
      </c>
      <c r="P359" t="str">
        <f>IF(M359="","",IF(M359="[FÓRMULA MANUAL]","",IFERROR(AVERAGEIFS(nNOTA,nNIA,M359,nCUENTA,1,nASIG,"Música de Cámara"),"")))</f>
        <v/>
      </c>
      <c r="Q359" t="str">
        <f>IF(M359="","",IF(M359="[FÓRMULA MANUAL]","",IFERROR(SUMPRODUCT((nNIA=M359)*(nCUENTA=1)*(COUNTIF(CONFIG_ASIGNATURAS!$B$7:$B$27,nASIG)&gt;0)*(nNOTA))/SUMPRODUCT((nNIA=M359)*(nCUENTA=1)*(COUNTIF(CONFIG_ASIGNATURAS!$B$7:$B$27,nASIG)&gt;0)*1),"")))</f>
        <v/>
      </c>
      <c r="T359" t="str">
        <f>IF(S359="","",IF(S359="[FÓRMULA MANUAL]","",IFERROR(AVERAGEIFS(nNOTA,nNIA,S359,nCUENTA,1,nASIG,"Armonía"),"")))</f>
        <v/>
      </c>
      <c r="U359" t="str">
        <f>IF(S359="","",IF(S359="[FÓRMULA MANUAL]","",IFERROR(AVERAGEIFS(nNOTA,nNIA,S359,nCUENTA,1,nASIG,"Orquesta/Banda/Conjunto"),"")))</f>
        <v/>
      </c>
      <c r="V359" t="str">
        <f>IF(S359="","",IF(S359="[FÓRMULA MANUAL]","",IFERROR(AVERAGEIFS(nNOTA,nNIA,S359,nCUENTA,1,nASIG,"Música de Cámara"),"")))</f>
        <v/>
      </c>
      <c r="W359" t="str">
        <f>IF(S359="","",IF(S359="[FÓRMULA MANUAL]","",IFERROR(SUMPRODUCT((nNIA=S359)*(nCUENTA=1)*(COUNTIF(CONFIG_ASIGNATURAS!$B$7:$B$27,nASIG)&gt;0)*(nNOTA))/SUMPRODUCT((nNIA=S359)*(nCUENTA=1)*(COUNTIF(CONFIG_ASIGNATURAS!$B$7:$B$27,nASIG)&gt;0)*1),"")))</f>
        <v/>
      </c>
      <c r="Z359" t="str">
        <f>IF(Y359="","",IF(Y359="[FÓRMULA MANUAL]","",IFERROR(AVERAGEIFS(nNOTA,nNIA,Y359,nCUENTA,1,nASIG,"Análisis"),"")))</f>
        <v/>
      </c>
      <c r="AA359" t="str">
        <f>IF(Y359="","",IF(Y359="[FÓRMULA MANUAL]","",IFERROR(AVERAGEIFS(nNOTA,nNIA,Y359,nCUENTA,1,nASIG,"Orquesta/Banda/Conjunto"),"")))</f>
        <v/>
      </c>
      <c r="AB359" t="str">
        <f>IF(Y359="","",IF(Y359="[FÓRMULA MANUAL]","",IFERROR(AVERAGEIFS(nNOTA,nNIA,Y359,nCUENTA,1,nASIG,"Música de Cámara"),"")))</f>
        <v/>
      </c>
      <c r="AC359" t="str">
        <f>IF(Y359="","",IF(Y359="[FÓRMULA MANUAL]","",IFERROR(SUMPRODUCT((nNIA=Y359)*(nCUENTA=1)*(COUNTIF(CONFIG_ASIGNATURAS!$B$7:$B$27,nASIG)&gt;0)*(nNOTA))/SUMPRODUCT((nNIA=Y359)*(nCUENTA=1)*(COUNTIF(CONFIG_ASIGNATURAS!$B$7:$B$27,nASIG)&gt;0)*1),"")))</f>
        <v/>
      </c>
      <c r="AF359" t="str">
        <f>IF(AE359="","",IF(AE359="[FÓRMULA MANUAL]","",IFERROR(AVERAGEIFS(nNOTA,nNIA,AE359,nCUENTA,1,nASIG,"Análisis"),"")))</f>
        <v/>
      </c>
      <c r="AG359" t="str">
        <f>IF(AE359="","",IF(AE359="[FÓRMULA MANUAL]","",IFERROR(AVERAGEIFS(nNOTA,nNIA,AE359,nCUENTA,1,nASIG,"Orquesta/Banda/Conjunto"),"")))</f>
        <v/>
      </c>
      <c r="AH359" t="str">
        <f>IF(AE359="","",IF(AE359="[FÓRMULA MANUAL]","",IFERROR(AVERAGEIFS(nNOTA,nNIA,AE359,nCUENTA,1,nASIG,"Música de Cámara"),"")))</f>
        <v/>
      </c>
      <c r="AI359" t="str">
        <f>IF(AE359="","",IF(AE359="[FÓRMULA MANUAL]","",IFERROR(SUMPRODUCT((nNIA=AE359)*(nCUENTA=1)*(COUNTIF(CONFIG_ASIGNATURAS!$B$7:$B$27,nASIG)&gt;0)*(nNOTA))/SUMPRODUCT((nNIA=AE359)*(nCUENTA=1)*(COUNTIF(CONFIG_ASIGNATURAS!$B$7:$B$27,nASIG)&gt;0)*1),"")))</f>
        <v/>
      </c>
    </row>
    <row r="360" spans="2:35" x14ac:dyDescent="0.2">
      <c r="B360" t="str">
        <f>IF(A360="","",IF(A360="[FÓRMULA MANUAL]","",IFERROR(AVERAGEIFS(nNOTA,nNIA,A360,nCUENTA,1,nASIG,"Lenguaje Musical"),"")))</f>
        <v/>
      </c>
      <c r="C360" t="str">
        <f>IF(A360="","",IF(A360="[FÓRMULA MANUAL]","",IFERROR(AVERAGEIFS(nNOTA,nNIA,A360,nCUENTA,1,nASIG,"Orquesta/Banda/Conjunto"),"")))</f>
        <v/>
      </c>
      <c r="D360" t="str">
        <f>IF(A360="","",IF(A360="[FÓRMULA MANUAL]","",IFERROR(AVERAGEIFS(nNOTA,nNIA,A360,nCUENTA,1,nASIG,"Conjunto"),"")))</f>
        <v/>
      </c>
      <c r="E360" t="str">
        <f>IF(A360="","",IF(A360="[FÓRMULA MANUAL]","",IFERROR(SUMPRODUCT((nNIA=A360)*(nCUENTA=1)*(COUNTIF(CONFIG_ASIGNATURAS!$B$7:$B$27,nASIG)&gt;0)*(nNOTA))/SUMPRODUCT((nNIA=A360)*(nCUENTA=1)*(COUNTIF(CONFIG_ASIGNATURAS!$B$7:$B$27,nASIG)&gt;0)*1),"")))</f>
        <v/>
      </c>
      <c r="H360" t="str">
        <f>IF(G360="","",IF(G360="[FÓRMULA MANUAL]","",IFERROR(AVERAGEIFS(nNOTA,nNIA,G360,nCUENTA,1,nASIG,"Lenguaje Musical"),"")))</f>
        <v/>
      </c>
      <c r="I360" t="str">
        <f>IF(G360="","",IF(G360="[FÓRMULA MANUAL]","",IFERROR(AVERAGEIFS(nNOTA,nNIA,G360,nCUENTA,1,nASIG,"Orquesta/Banda/Conjunto"),"")))</f>
        <v/>
      </c>
      <c r="J360" t="str">
        <f>IF(G360="","",IF(G360="[FÓRMULA MANUAL]","",IFERROR(AVERAGEIFS(nNOTA,nNIA,G360,nCUENTA,1,nASIG,"Conjunto"),"")))</f>
        <v/>
      </c>
      <c r="K360" t="str">
        <f>IF(G360="","",IF(G360="[FÓRMULA MANUAL]","",IFERROR(SUMPRODUCT((nNIA=G360)*(nCUENTA=1)*(COUNTIF(CONFIG_ASIGNATURAS!$B$7:$B$27,nASIG)&gt;0)*(nNOTA))/SUMPRODUCT((nNIA=G360)*(nCUENTA=1)*(COUNTIF(CONFIG_ASIGNATURAS!$B$7:$B$27,nASIG)&gt;0)*1),"")))</f>
        <v/>
      </c>
      <c r="N360" t="str">
        <f>IF(M360="","",IF(M360="[FÓRMULA MANUAL]","",IFERROR(AVERAGEIFS(nNOTA,nNIA,M360,nCUENTA,1,nASIG,"Armonía"),"")))</f>
        <v/>
      </c>
      <c r="O360" t="str">
        <f>IF(M360="","",IF(M360="[FÓRMULA MANUAL]","",IFERROR(AVERAGEIFS(nNOTA,nNIA,M360,nCUENTA,1,nASIG,"Orquesta/Banda/Conjunto"),"")))</f>
        <v/>
      </c>
      <c r="P360" t="str">
        <f>IF(M360="","",IF(M360="[FÓRMULA MANUAL]","",IFERROR(AVERAGEIFS(nNOTA,nNIA,M360,nCUENTA,1,nASIG,"Música de Cámara"),"")))</f>
        <v/>
      </c>
      <c r="Q360" t="str">
        <f>IF(M360="","",IF(M360="[FÓRMULA MANUAL]","",IFERROR(SUMPRODUCT((nNIA=M360)*(nCUENTA=1)*(COUNTIF(CONFIG_ASIGNATURAS!$B$7:$B$27,nASIG)&gt;0)*(nNOTA))/SUMPRODUCT((nNIA=M360)*(nCUENTA=1)*(COUNTIF(CONFIG_ASIGNATURAS!$B$7:$B$27,nASIG)&gt;0)*1),"")))</f>
        <v/>
      </c>
      <c r="T360" t="str">
        <f>IF(S360="","",IF(S360="[FÓRMULA MANUAL]","",IFERROR(AVERAGEIFS(nNOTA,nNIA,S360,nCUENTA,1,nASIG,"Armonía"),"")))</f>
        <v/>
      </c>
      <c r="U360" t="str">
        <f>IF(S360="","",IF(S360="[FÓRMULA MANUAL]","",IFERROR(AVERAGEIFS(nNOTA,nNIA,S360,nCUENTA,1,nASIG,"Orquesta/Banda/Conjunto"),"")))</f>
        <v/>
      </c>
      <c r="V360" t="str">
        <f>IF(S360="","",IF(S360="[FÓRMULA MANUAL]","",IFERROR(AVERAGEIFS(nNOTA,nNIA,S360,nCUENTA,1,nASIG,"Música de Cámara"),"")))</f>
        <v/>
      </c>
      <c r="W360" t="str">
        <f>IF(S360="","",IF(S360="[FÓRMULA MANUAL]","",IFERROR(SUMPRODUCT((nNIA=S360)*(nCUENTA=1)*(COUNTIF(CONFIG_ASIGNATURAS!$B$7:$B$27,nASIG)&gt;0)*(nNOTA))/SUMPRODUCT((nNIA=S360)*(nCUENTA=1)*(COUNTIF(CONFIG_ASIGNATURAS!$B$7:$B$27,nASIG)&gt;0)*1),"")))</f>
        <v/>
      </c>
      <c r="Z360" t="str">
        <f>IF(Y360="","",IF(Y360="[FÓRMULA MANUAL]","",IFERROR(AVERAGEIFS(nNOTA,nNIA,Y360,nCUENTA,1,nASIG,"Análisis"),"")))</f>
        <v/>
      </c>
      <c r="AA360" t="str">
        <f>IF(Y360="","",IF(Y360="[FÓRMULA MANUAL]","",IFERROR(AVERAGEIFS(nNOTA,nNIA,Y360,nCUENTA,1,nASIG,"Orquesta/Banda/Conjunto"),"")))</f>
        <v/>
      </c>
      <c r="AB360" t="str">
        <f>IF(Y360="","",IF(Y360="[FÓRMULA MANUAL]","",IFERROR(AVERAGEIFS(nNOTA,nNIA,Y360,nCUENTA,1,nASIG,"Música de Cámara"),"")))</f>
        <v/>
      </c>
      <c r="AC360" t="str">
        <f>IF(Y360="","",IF(Y360="[FÓRMULA MANUAL]","",IFERROR(SUMPRODUCT((nNIA=Y360)*(nCUENTA=1)*(COUNTIF(CONFIG_ASIGNATURAS!$B$7:$B$27,nASIG)&gt;0)*(nNOTA))/SUMPRODUCT((nNIA=Y360)*(nCUENTA=1)*(COUNTIF(CONFIG_ASIGNATURAS!$B$7:$B$27,nASIG)&gt;0)*1),"")))</f>
        <v/>
      </c>
      <c r="AF360" t="str">
        <f>IF(AE360="","",IF(AE360="[FÓRMULA MANUAL]","",IFERROR(AVERAGEIFS(nNOTA,nNIA,AE360,nCUENTA,1,nASIG,"Análisis"),"")))</f>
        <v/>
      </c>
      <c r="AG360" t="str">
        <f>IF(AE360="","",IF(AE360="[FÓRMULA MANUAL]","",IFERROR(AVERAGEIFS(nNOTA,nNIA,AE360,nCUENTA,1,nASIG,"Orquesta/Banda/Conjunto"),"")))</f>
        <v/>
      </c>
      <c r="AH360" t="str">
        <f>IF(AE360="","",IF(AE360="[FÓRMULA MANUAL]","",IFERROR(AVERAGEIFS(nNOTA,nNIA,AE360,nCUENTA,1,nASIG,"Música de Cámara"),"")))</f>
        <v/>
      </c>
      <c r="AI360" t="str">
        <f>IF(AE360="","",IF(AE360="[FÓRMULA MANUAL]","",IFERROR(SUMPRODUCT((nNIA=AE360)*(nCUENTA=1)*(COUNTIF(CONFIG_ASIGNATURAS!$B$7:$B$27,nASIG)&gt;0)*(nNOTA))/SUMPRODUCT((nNIA=AE360)*(nCUENTA=1)*(COUNTIF(CONFIG_ASIGNATURAS!$B$7:$B$27,nASIG)&gt;0)*1),"")))</f>
        <v/>
      </c>
    </row>
    <row r="361" spans="2:35" x14ac:dyDescent="0.2">
      <c r="B361" t="str">
        <f>IF(A361="","",IF(A361="[FÓRMULA MANUAL]","",IFERROR(AVERAGEIFS(nNOTA,nNIA,A361,nCUENTA,1,nASIG,"Lenguaje Musical"),"")))</f>
        <v/>
      </c>
      <c r="C361" t="str">
        <f>IF(A361="","",IF(A361="[FÓRMULA MANUAL]","",IFERROR(AVERAGEIFS(nNOTA,nNIA,A361,nCUENTA,1,nASIG,"Orquesta/Banda/Conjunto"),"")))</f>
        <v/>
      </c>
      <c r="D361" t="str">
        <f>IF(A361="","",IF(A361="[FÓRMULA MANUAL]","",IFERROR(AVERAGEIFS(nNOTA,nNIA,A361,nCUENTA,1,nASIG,"Conjunto"),"")))</f>
        <v/>
      </c>
      <c r="E361" t="str">
        <f>IF(A361="","",IF(A361="[FÓRMULA MANUAL]","",IFERROR(SUMPRODUCT((nNIA=A361)*(nCUENTA=1)*(COUNTIF(CONFIG_ASIGNATURAS!$B$7:$B$27,nASIG)&gt;0)*(nNOTA))/SUMPRODUCT((nNIA=A361)*(nCUENTA=1)*(COUNTIF(CONFIG_ASIGNATURAS!$B$7:$B$27,nASIG)&gt;0)*1),"")))</f>
        <v/>
      </c>
      <c r="H361" t="str">
        <f>IF(G361="","",IF(G361="[FÓRMULA MANUAL]","",IFERROR(AVERAGEIFS(nNOTA,nNIA,G361,nCUENTA,1,nASIG,"Lenguaje Musical"),"")))</f>
        <v/>
      </c>
      <c r="I361" t="str">
        <f>IF(G361="","",IF(G361="[FÓRMULA MANUAL]","",IFERROR(AVERAGEIFS(nNOTA,nNIA,G361,nCUENTA,1,nASIG,"Orquesta/Banda/Conjunto"),"")))</f>
        <v/>
      </c>
      <c r="J361" t="str">
        <f>IF(G361="","",IF(G361="[FÓRMULA MANUAL]","",IFERROR(AVERAGEIFS(nNOTA,nNIA,G361,nCUENTA,1,nASIG,"Conjunto"),"")))</f>
        <v/>
      </c>
      <c r="K361" t="str">
        <f>IF(G361="","",IF(G361="[FÓRMULA MANUAL]","",IFERROR(SUMPRODUCT((nNIA=G361)*(nCUENTA=1)*(COUNTIF(CONFIG_ASIGNATURAS!$B$7:$B$27,nASIG)&gt;0)*(nNOTA))/SUMPRODUCT((nNIA=G361)*(nCUENTA=1)*(COUNTIF(CONFIG_ASIGNATURAS!$B$7:$B$27,nASIG)&gt;0)*1),"")))</f>
        <v/>
      </c>
      <c r="N361" t="str">
        <f>IF(M361="","",IF(M361="[FÓRMULA MANUAL]","",IFERROR(AVERAGEIFS(nNOTA,nNIA,M361,nCUENTA,1,nASIG,"Armonía"),"")))</f>
        <v/>
      </c>
      <c r="O361" t="str">
        <f>IF(M361="","",IF(M361="[FÓRMULA MANUAL]","",IFERROR(AVERAGEIFS(nNOTA,nNIA,M361,nCUENTA,1,nASIG,"Orquesta/Banda/Conjunto"),"")))</f>
        <v/>
      </c>
      <c r="P361" t="str">
        <f>IF(M361="","",IF(M361="[FÓRMULA MANUAL]","",IFERROR(AVERAGEIFS(nNOTA,nNIA,M361,nCUENTA,1,nASIG,"Música de Cámara"),"")))</f>
        <v/>
      </c>
      <c r="Q361" t="str">
        <f>IF(M361="","",IF(M361="[FÓRMULA MANUAL]","",IFERROR(SUMPRODUCT((nNIA=M361)*(nCUENTA=1)*(COUNTIF(CONFIG_ASIGNATURAS!$B$7:$B$27,nASIG)&gt;0)*(nNOTA))/SUMPRODUCT((nNIA=M361)*(nCUENTA=1)*(COUNTIF(CONFIG_ASIGNATURAS!$B$7:$B$27,nASIG)&gt;0)*1),"")))</f>
        <v/>
      </c>
      <c r="T361" t="str">
        <f>IF(S361="","",IF(S361="[FÓRMULA MANUAL]","",IFERROR(AVERAGEIFS(nNOTA,nNIA,S361,nCUENTA,1,nASIG,"Armonía"),"")))</f>
        <v/>
      </c>
      <c r="U361" t="str">
        <f>IF(S361="","",IF(S361="[FÓRMULA MANUAL]","",IFERROR(AVERAGEIFS(nNOTA,nNIA,S361,nCUENTA,1,nASIG,"Orquesta/Banda/Conjunto"),"")))</f>
        <v/>
      </c>
      <c r="V361" t="str">
        <f>IF(S361="","",IF(S361="[FÓRMULA MANUAL]","",IFERROR(AVERAGEIFS(nNOTA,nNIA,S361,nCUENTA,1,nASIG,"Música de Cámara"),"")))</f>
        <v/>
      </c>
      <c r="W361" t="str">
        <f>IF(S361="","",IF(S361="[FÓRMULA MANUAL]","",IFERROR(SUMPRODUCT((nNIA=S361)*(nCUENTA=1)*(COUNTIF(CONFIG_ASIGNATURAS!$B$7:$B$27,nASIG)&gt;0)*(nNOTA))/SUMPRODUCT((nNIA=S361)*(nCUENTA=1)*(COUNTIF(CONFIG_ASIGNATURAS!$B$7:$B$27,nASIG)&gt;0)*1),"")))</f>
        <v/>
      </c>
      <c r="Z361" t="str">
        <f>IF(Y361="","",IF(Y361="[FÓRMULA MANUAL]","",IFERROR(AVERAGEIFS(nNOTA,nNIA,Y361,nCUENTA,1,nASIG,"Análisis"),"")))</f>
        <v/>
      </c>
      <c r="AA361" t="str">
        <f>IF(Y361="","",IF(Y361="[FÓRMULA MANUAL]","",IFERROR(AVERAGEIFS(nNOTA,nNIA,Y361,nCUENTA,1,nASIG,"Orquesta/Banda/Conjunto"),"")))</f>
        <v/>
      </c>
      <c r="AB361" t="str">
        <f>IF(Y361="","",IF(Y361="[FÓRMULA MANUAL]","",IFERROR(AVERAGEIFS(nNOTA,nNIA,Y361,nCUENTA,1,nASIG,"Música de Cámara"),"")))</f>
        <v/>
      </c>
      <c r="AC361" t="str">
        <f>IF(Y361="","",IF(Y361="[FÓRMULA MANUAL]","",IFERROR(SUMPRODUCT((nNIA=Y361)*(nCUENTA=1)*(COUNTIF(CONFIG_ASIGNATURAS!$B$7:$B$27,nASIG)&gt;0)*(nNOTA))/SUMPRODUCT((nNIA=Y361)*(nCUENTA=1)*(COUNTIF(CONFIG_ASIGNATURAS!$B$7:$B$27,nASIG)&gt;0)*1),"")))</f>
        <v/>
      </c>
      <c r="AF361" t="str">
        <f>IF(AE361="","",IF(AE361="[FÓRMULA MANUAL]","",IFERROR(AVERAGEIFS(nNOTA,nNIA,AE361,nCUENTA,1,nASIG,"Análisis"),"")))</f>
        <v/>
      </c>
      <c r="AG361" t="str">
        <f>IF(AE361="","",IF(AE361="[FÓRMULA MANUAL]","",IFERROR(AVERAGEIFS(nNOTA,nNIA,AE361,nCUENTA,1,nASIG,"Orquesta/Banda/Conjunto"),"")))</f>
        <v/>
      </c>
      <c r="AH361" t="str">
        <f>IF(AE361="","",IF(AE361="[FÓRMULA MANUAL]","",IFERROR(AVERAGEIFS(nNOTA,nNIA,AE361,nCUENTA,1,nASIG,"Música de Cámara"),"")))</f>
        <v/>
      </c>
      <c r="AI361" t="str">
        <f>IF(AE361="","",IF(AE361="[FÓRMULA MANUAL]","",IFERROR(SUMPRODUCT((nNIA=AE361)*(nCUENTA=1)*(COUNTIF(CONFIG_ASIGNATURAS!$B$7:$B$27,nASIG)&gt;0)*(nNOTA))/SUMPRODUCT((nNIA=AE361)*(nCUENTA=1)*(COUNTIF(CONFIG_ASIGNATURAS!$B$7:$B$27,nASIG)&gt;0)*1),"")))</f>
        <v/>
      </c>
    </row>
    <row r="362" spans="2:35" x14ac:dyDescent="0.2">
      <c r="B362" t="str">
        <f>IF(A362="","",IF(A362="[FÓRMULA MANUAL]","",IFERROR(AVERAGEIFS(nNOTA,nNIA,A362,nCUENTA,1,nASIG,"Lenguaje Musical"),"")))</f>
        <v/>
      </c>
      <c r="C362" t="str">
        <f>IF(A362="","",IF(A362="[FÓRMULA MANUAL]","",IFERROR(AVERAGEIFS(nNOTA,nNIA,A362,nCUENTA,1,nASIG,"Orquesta/Banda/Conjunto"),"")))</f>
        <v/>
      </c>
      <c r="D362" t="str">
        <f>IF(A362="","",IF(A362="[FÓRMULA MANUAL]","",IFERROR(AVERAGEIFS(nNOTA,nNIA,A362,nCUENTA,1,nASIG,"Conjunto"),"")))</f>
        <v/>
      </c>
      <c r="E362" t="str">
        <f>IF(A362="","",IF(A362="[FÓRMULA MANUAL]","",IFERROR(SUMPRODUCT((nNIA=A362)*(nCUENTA=1)*(COUNTIF(CONFIG_ASIGNATURAS!$B$7:$B$27,nASIG)&gt;0)*(nNOTA))/SUMPRODUCT((nNIA=A362)*(nCUENTA=1)*(COUNTIF(CONFIG_ASIGNATURAS!$B$7:$B$27,nASIG)&gt;0)*1),"")))</f>
        <v/>
      </c>
      <c r="H362" t="str">
        <f>IF(G362="","",IF(G362="[FÓRMULA MANUAL]","",IFERROR(AVERAGEIFS(nNOTA,nNIA,G362,nCUENTA,1,nASIG,"Lenguaje Musical"),"")))</f>
        <v/>
      </c>
      <c r="I362" t="str">
        <f>IF(G362="","",IF(G362="[FÓRMULA MANUAL]","",IFERROR(AVERAGEIFS(nNOTA,nNIA,G362,nCUENTA,1,nASIG,"Orquesta/Banda/Conjunto"),"")))</f>
        <v/>
      </c>
      <c r="J362" t="str">
        <f>IF(G362="","",IF(G362="[FÓRMULA MANUAL]","",IFERROR(AVERAGEIFS(nNOTA,nNIA,G362,nCUENTA,1,nASIG,"Conjunto"),"")))</f>
        <v/>
      </c>
      <c r="K362" t="str">
        <f>IF(G362="","",IF(G362="[FÓRMULA MANUAL]","",IFERROR(SUMPRODUCT((nNIA=G362)*(nCUENTA=1)*(COUNTIF(CONFIG_ASIGNATURAS!$B$7:$B$27,nASIG)&gt;0)*(nNOTA))/SUMPRODUCT((nNIA=G362)*(nCUENTA=1)*(COUNTIF(CONFIG_ASIGNATURAS!$B$7:$B$27,nASIG)&gt;0)*1),"")))</f>
        <v/>
      </c>
      <c r="N362" t="str">
        <f>IF(M362="","",IF(M362="[FÓRMULA MANUAL]","",IFERROR(AVERAGEIFS(nNOTA,nNIA,M362,nCUENTA,1,nASIG,"Armonía"),"")))</f>
        <v/>
      </c>
      <c r="O362" t="str">
        <f>IF(M362="","",IF(M362="[FÓRMULA MANUAL]","",IFERROR(AVERAGEIFS(nNOTA,nNIA,M362,nCUENTA,1,nASIG,"Orquesta/Banda/Conjunto"),"")))</f>
        <v/>
      </c>
      <c r="P362" t="str">
        <f>IF(M362="","",IF(M362="[FÓRMULA MANUAL]","",IFERROR(AVERAGEIFS(nNOTA,nNIA,M362,nCUENTA,1,nASIG,"Música de Cámara"),"")))</f>
        <v/>
      </c>
      <c r="Q362" t="str">
        <f>IF(M362="","",IF(M362="[FÓRMULA MANUAL]","",IFERROR(SUMPRODUCT((nNIA=M362)*(nCUENTA=1)*(COUNTIF(CONFIG_ASIGNATURAS!$B$7:$B$27,nASIG)&gt;0)*(nNOTA))/SUMPRODUCT((nNIA=M362)*(nCUENTA=1)*(COUNTIF(CONFIG_ASIGNATURAS!$B$7:$B$27,nASIG)&gt;0)*1),"")))</f>
        <v/>
      </c>
      <c r="T362" t="str">
        <f>IF(S362="","",IF(S362="[FÓRMULA MANUAL]","",IFERROR(AVERAGEIFS(nNOTA,nNIA,S362,nCUENTA,1,nASIG,"Armonía"),"")))</f>
        <v/>
      </c>
      <c r="U362" t="str">
        <f>IF(S362="","",IF(S362="[FÓRMULA MANUAL]","",IFERROR(AVERAGEIFS(nNOTA,nNIA,S362,nCUENTA,1,nASIG,"Orquesta/Banda/Conjunto"),"")))</f>
        <v/>
      </c>
      <c r="V362" t="str">
        <f>IF(S362="","",IF(S362="[FÓRMULA MANUAL]","",IFERROR(AVERAGEIFS(nNOTA,nNIA,S362,nCUENTA,1,nASIG,"Música de Cámara"),"")))</f>
        <v/>
      </c>
      <c r="W362" t="str">
        <f>IF(S362="","",IF(S362="[FÓRMULA MANUAL]","",IFERROR(SUMPRODUCT((nNIA=S362)*(nCUENTA=1)*(COUNTIF(CONFIG_ASIGNATURAS!$B$7:$B$27,nASIG)&gt;0)*(nNOTA))/SUMPRODUCT((nNIA=S362)*(nCUENTA=1)*(COUNTIF(CONFIG_ASIGNATURAS!$B$7:$B$27,nASIG)&gt;0)*1),"")))</f>
        <v/>
      </c>
      <c r="Z362" t="str">
        <f>IF(Y362="","",IF(Y362="[FÓRMULA MANUAL]","",IFERROR(AVERAGEIFS(nNOTA,nNIA,Y362,nCUENTA,1,nASIG,"Análisis"),"")))</f>
        <v/>
      </c>
      <c r="AA362" t="str">
        <f>IF(Y362="","",IF(Y362="[FÓRMULA MANUAL]","",IFERROR(AVERAGEIFS(nNOTA,nNIA,Y362,nCUENTA,1,nASIG,"Orquesta/Banda/Conjunto"),"")))</f>
        <v/>
      </c>
      <c r="AB362" t="str">
        <f>IF(Y362="","",IF(Y362="[FÓRMULA MANUAL]","",IFERROR(AVERAGEIFS(nNOTA,nNIA,Y362,nCUENTA,1,nASIG,"Música de Cámara"),"")))</f>
        <v/>
      </c>
      <c r="AC362" t="str">
        <f>IF(Y362="","",IF(Y362="[FÓRMULA MANUAL]","",IFERROR(SUMPRODUCT((nNIA=Y362)*(nCUENTA=1)*(COUNTIF(CONFIG_ASIGNATURAS!$B$7:$B$27,nASIG)&gt;0)*(nNOTA))/SUMPRODUCT((nNIA=Y362)*(nCUENTA=1)*(COUNTIF(CONFIG_ASIGNATURAS!$B$7:$B$27,nASIG)&gt;0)*1),"")))</f>
        <v/>
      </c>
      <c r="AF362" t="str">
        <f>IF(AE362="","",IF(AE362="[FÓRMULA MANUAL]","",IFERROR(AVERAGEIFS(nNOTA,nNIA,AE362,nCUENTA,1,nASIG,"Análisis"),"")))</f>
        <v/>
      </c>
      <c r="AG362" t="str">
        <f>IF(AE362="","",IF(AE362="[FÓRMULA MANUAL]","",IFERROR(AVERAGEIFS(nNOTA,nNIA,AE362,nCUENTA,1,nASIG,"Orquesta/Banda/Conjunto"),"")))</f>
        <v/>
      </c>
      <c r="AH362" t="str">
        <f>IF(AE362="","",IF(AE362="[FÓRMULA MANUAL]","",IFERROR(AVERAGEIFS(nNOTA,nNIA,AE362,nCUENTA,1,nASIG,"Música de Cámara"),"")))</f>
        <v/>
      </c>
      <c r="AI362" t="str">
        <f>IF(AE362="","",IF(AE362="[FÓRMULA MANUAL]","",IFERROR(SUMPRODUCT((nNIA=AE362)*(nCUENTA=1)*(COUNTIF(CONFIG_ASIGNATURAS!$B$7:$B$27,nASIG)&gt;0)*(nNOTA))/SUMPRODUCT((nNIA=AE362)*(nCUENTA=1)*(COUNTIF(CONFIG_ASIGNATURAS!$B$7:$B$27,nASIG)&gt;0)*1),"")))</f>
        <v/>
      </c>
    </row>
    <row r="363" spans="2:35" x14ac:dyDescent="0.2">
      <c r="B363" t="str">
        <f>IF(A363="","",IF(A363="[FÓRMULA MANUAL]","",IFERROR(AVERAGEIFS(nNOTA,nNIA,A363,nCUENTA,1,nASIG,"Lenguaje Musical"),"")))</f>
        <v/>
      </c>
      <c r="C363" t="str">
        <f>IF(A363="","",IF(A363="[FÓRMULA MANUAL]","",IFERROR(AVERAGEIFS(nNOTA,nNIA,A363,nCUENTA,1,nASIG,"Orquesta/Banda/Conjunto"),"")))</f>
        <v/>
      </c>
      <c r="D363" t="str">
        <f>IF(A363="","",IF(A363="[FÓRMULA MANUAL]","",IFERROR(AVERAGEIFS(nNOTA,nNIA,A363,nCUENTA,1,nASIG,"Conjunto"),"")))</f>
        <v/>
      </c>
      <c r="E363" t="str">
        <f>IF(A363="","",IF(A363="[FÓRMULA MANUAL]","",IFERROR(SUMPRODUCT((nNIA=A363)*(nCUENTA=1)*(COUNTIF(CONFIG_ASIGNATURAS!$B$7:$B$27,nASIG)&gt;0)*(nNOTA))/SUMPRODUCT((nNIA=A363)*(nCUENTA=1)*(COUNTIF(CONFIG_ASIGNATURAS!$B$7:$B$27,nASIG)&gt;0)*1),"")))</f>
        <v/>
      </c>
      <c r="H363" t="str">
        <f>IF(G363="","",IF(G363="[FÓRMULA MANUAL]","",IFERROR(AVERAGEIFS(nNOTA,nNIA,G363,nCUENTA,1,nASIG,"Lenguaje Musical"),"")))</f>
        <v/>
      </c>
      <c r="I363" t="str">
        <f>IF(G363="","",IF(G363="[FÓRMULA MANUAL]","",IFERROR(AVERAGEIFS(nNOTA,nNIA,G363,nCUENTA,1,nASIG,"Orquesta/Banda/Conjunto"),"")))</f>
        <v/>
      </c>
      <c r="J363" t="str">
        <f>IF(G363="","",IF(G363="[FÓRMULA MANUAL]","",IFERROR(AVERAGEIFS(nNOTA,nNIA,G363,nCUENTA,1,nASIG,"Conjunto"),"")))</f>
        <v/>
      </c>
      <c r="K363" t="str">
        <f>IF(G363="","",IF(G363="[FÓRMULA MANUAL]","",IFERROR(SUMPRODUCT((nNIA=G363)*(nCUENTA=1)*(COUNTIF(CONFIG_ASIGNATURAS!$B$7:$B$27,nASIG)&gt;0)*(nNOTA))/SUMPRODUCT((nNIA=G363)*(nCUENTA=1)*(COUNTIF(CONFIG_ASIGNATURAS!$B$7:$B$27,nASIG)&gt;0)*1),"")))</f>
        <v/>
      </c>
      <c r="N363" t="str">
        <f>IF(M363="","",IF(M363="[FÓRMULA MANUAL]","",IFERROR(AVERAGEIFS(nNOTA,nNIA,M363,nCUENTA,1,nASIG,"Armonía"),"")))</f>
        <v/>
      </c>
      <c r="O363" t="str">
        <f>IF(M363="","",IF(M363="[FÓRMULA MANUAL]","",IFERROR(AVERAGEIFS(nNOTA,nNIA,M363,nCUENTA,1,nASIG,"Orquesta/Banda/Conjunto"),"")))</f>
        <v/>
      </c>
      <c r="P363" t="str">
        <f>IF(M363="","",IF(M363="[FÓRMULA MANUAL]","",IFERROR(AVERAGEIFS(nNOTA,nNIA,M363,nCUENTA,1,nASIG,"Música de Cámara"),"")))</f>
        <v/>
      </c>
      <c r="Q363" t="str">
        <f>IF(M363="","",IF(M363="[FÓRMULA MANUAL]","",IFERROR(SUMPRODUCT((nNIA=M363)*(nCUENTA=1)*(COUNTIF(CONFIG_ASIGNATURAS!$B$7:$B$27,nASIG)&gt;0)*(nNOTA))/SUMPRODUCT((nNIA=M363)*(nCUENTA=1)*(COUNTIF(CONFIG_ASIGNATURAS!$B$7:$B$27,nASIG)&gt;0)*1),"")))</f>
        <v/>
      </c>
      <c r="T363" t="str">
        <f>IF(S363="","",IF(S363="[FÓRMULA MANUAL]","",IFERROR(AVERAGEIFS(nNOTA,nNIA,S363,nCUENTA,1,nASIG,"Armonía"),"")))</f>
        <v/>
      </c>
      <c r="U363" t="str">
        <f>IF(S363="","",IF(S363="[FÓRMULA MANUAL]","",IFERROR(AVERAGEIFS(nNOTA,nNIA,S363,nCUENTA,1,nASIG,"Orquesta/Banda/Conjunto"),"")))</f>
        <v/>
      </c>
      <c r="V363" t="str">
        <f>IF(S363="","",IF(S363="[FÓRMULA MANUAL]","",IFERROR(AVERAGEIFS(nNOTA,nNIA,S363,nCUENTA,1,nASIG,"Música de Cámara"),"")))</f>
        <v/>
      </c>
      <c r="W363" t="str">
        <f>IF(S363="","",IF(S363="[FÓRMULA MANUAL]","",IFERROR(SUMPRODUCT((nNIA=S363)*(nCUENTA=1)*(COUNTIF(CONFIG_ASIGNATURAS!$B$7:$B$27,nASIG)&gt;0)*(nNOTA))/SUMPRODUCT((nNIA=S363)*(nCUENTA=1)*(COUNTIF(CONFIG_ASIGNATURAS!$B$7:$B$27,nASIG)&gt;0)*1),"")))</f>
        <v/>
      </c>
      <c r="Z363" t="str">
        <f>IF(Y363="","",IF(Y363="[FÓRMULA MANUAL]","",IFERROR(AVERAGEIFS(nNOTA,nNIA,Y363,nCUENTA,1,nASIG,"Análisis"),"")))</f>
        <v/>
      </c>
      <c r="AA363" t="str">
        <f>IF(Y363="","",IF(Y363="[FÓRMULA MANUAL]","",IFERROR(AVERAGEIFS(nNOTA,nNIA,Y363,nCUENTA,1,nASIG,"Orquesta/Banda/Conjunto"),"")))</f>
        <v/>
      </c>
      <c r="AB363" t="str">
        <f>IF(Y363="","",IF(Y363="[FÓRMULA MANUAL]","",IFERROR(AVERAGEIFS(nNOTA,nNIA,Y363,nCUENTA,1,nASIG,"Música de Cámara"),"")))</f>
        <v/>
      </c>
      <c r="AC363" t="str">
        <f>IF(Y363="","",IF(Y363="[FÓRMULA MANUAL]","",IFERROR(SUMPRODUCT((nNIA=Y363)*(nCUENTA=1)*(COUNTIF(CONFIG_ASIGNATURAS!$B$7:$B$27,nASIG)&gt;0)*(nNOTA))/SUMPRODUCT((nNIA=Y363)*(nCUENTA=1)*(COUNTIF(CONFIG_ASIGNATURAS!$B$7:$B$27,nASIG)&gt;0)*1),"")))</f>
        <v/>
      </c>
      <c r="AF363" t="str">
        <f>IF(AE363="","",IF(AE363="[FÓRMULA MANUAL]","",IFERROR(AVERAGEIFS(nNOTA,nNIA,AE363,nCUENTA,1,nASIG,"Análisis"),"")))</f>
        <v/>
      </c>
      <c r="AG363" t="str">
        <f>IF(AE363="","",IF(AE363="[FÓRMULA MANUAL]","",IFERROR(AVERAGEIFS(nNOTA,nNIA,AE363,nCUENTA,1,nASIG,"Orquesta/Banda/Conjunto"),"")))</f>
        <v/>
      </c>
      <c r="AH363" t="str">
        <f>IF(AE363="","",IF(AE363="[FÓRMULA MANUAL]","",IFERROR(AVERAGEIFS(nNOTA,nNIA,AE363,nCUENTA,1,nASIG,"Música de Cámara"),"")))</f>
        <v/>
      </c>
      <c r="AI363" t="str">
        <f>IF(AE363="","",IF(AE363="[FÓRMULA MANUAL]","",IFERROR(SUMPRODUCT((nNIA=AE363)*(nCUENTA=1)*(COUNTIF(CONFIG_ASIGNATURAS!$B$7:$B$27,nASIG)&gt;0)*(nNOTA))/SUMPRODUCT((nNIA=AE363)*(nCUENTA=1)*(COUNTIF(CONFIG_ASIGNATURAS!$B$7:$B$27,nASIG)&gt;0)*1),"")))</f>
        <v/>
      </c>
    </row>
    <row r="364" spans="2:35" x14ac:dyDescent="0.2">
      <c r="B364" t="str">
        <f>IF(A364="","",IF(A364="[FÓRMULA MANUAL]","",IFERROR(AVERAGEIFS(nNOTA,nNIA,A364,nCUENTA,1,nASIG,"Lenguaje Musical"),"")))</f>
        <v/>
      </c>
      <c r="C364" t="str">
        <f>IF(A364="","",IF(A364="[FÓRMULA MANUAL]","",IFERROR(AVERAGEIFS(nNOTA,nNIA,A364,nCUENTA,1,nASIG,"Orquesta/Banda/Conjunto"),"")))</f>
        <v/>
      </c>
      <c r="D364" t="str">
        <f>IF(A364="","",IF(A364="[FÓRMULA MANUAL]","",IFERROR(AVERAGEIFS(nNOTA,nNIA,A364,nCUENTA,1,nASIG,"Conjunto"),"")))</f>
        <v/>
      </c>
      <c r="E364" t="str">
        <f>IF(A364="","",IF(A364="[FÓRMULA MANUAL]","",IFERROR(SUMPRODUCT((nNIA=A364)*(nCUENTA=1)*(COUNTIF(CONFIG_ASIGNATURAS!$B$7:$B$27,nASIG)&gt;0)*(nNOTA))/SUMPRODUCT((nNIA=A364)*(nCUENTA=1)*(COUNTIF(CONFIG_ASIGNATURAS!$B$7:$B$27,nASIG)&gt;0)*1),"")))</f>
        <v/>
      </c>
      <c r="H364" t="str">
        <f>IF(G364="","",IF(G364="[FÓRMULA MANUAL]","",IFERROR(AVERAGEIFS(nNOTA,nNIA,G364,nCUENTA,1,nASIG,"Lenguaje Musical"),"")))</f>
        <v/>
      </c>
      <c r="I364" t="str">
        <f>IF(G364="","",IF(G364="[FÓRMULA MANUAL]","",IFERROR(AVERAGEIFS(nNOTA,nNIA,G364,nCUENTA,1,nASIG,"Orquesta/Banda/Conjunto"),"")))</f>
        <v/>
      </c>
      <c r="J364" t="str">
        <f>IF(G364="","",IF(G364="[FÓRMULA MANUAL]","",IFERROR(AVERAGEIFS(nNOTA,nNIA,G364,nCUENTA,1,nASIG,"Conjunto"),"")))</f>
        <v/>
      </c>
      <c r="K364" t="str">
        <f>IF(G364="","",IF(G364="[FÓRMULA MANUAL]","",IFERROR(SUMPRODUCT((nNIA=G364)*(nCUENTA=1)*(COUNTIF(CONFIG_ASIGNATURAS!$B$7:$B$27,nASIG)&gt;0)*(nNOTA))/SUMPRODUCT((nNIA=G364)*(nCUENTA=1)*(COUNTIF(CONFIG_ASIGNATURAS!$B$7:$B$27,nASIG)&gt;0)*1),"")))</f>
        <v/>
      </c>
      <c r="N364" t="str">
        <f>IF(M364="","",IF(M364="[FÓRMULA MANUAL]","",IFERROR(AVERAGEIFS(nNOTA,nNIA,M364,nCUENTA,1,nASIG,"Armonía"),"")))</f>
        <v/>
      </c>
      <c r="O364" t="str">
        <f>IF(M364="","",IF(M364="[FÓRMULA MANUAL]","",IFERROR(AVERAGEIFS(nNOTA,nNIA,M364,nCUENTA,1,nASIG,"Orquesta/Banda/Conjunto"),"")))</f>
        <v/>
      </c>
      <c r="P364" t="str">
        <f>IF(M364="","",IF(M364="[FÓRMULA MANUAL]","",IFERROR(AVERAGEIFS(nNOTA,nNIA,M364,nCUENTA,1,nASIG,"Música de Cámara"),"")))</f>
        <v/>
      </c>
      <c r="Q364" t="str">
        <f>IF(M364="","",IF(M364="[FÓRMULA MANUAL]","",IFERROR(SUMPRODUCT((nNIA=M364)*(nCUENTA=1)*(COUNTIF(CONFIG_ASIGNATURAS!$B$7:$B$27,nASIG)&gt;0)*(nNOTA))/SUMPRODUCT((nNIA=M364)*(nCUENTA=1)*(COUNTIF(CONFIG_ASIGNATURAS!$B$7:$B$27,nASIG)&gt;0)*1),"")))</f>
        <v/>
      </c>
      <c r="T364" t="str">
        <f>IF(S364="","",IF(S364="[FÓRMULA MANUAL]","",IFERROR(AVERAGEIFS(nNOTA,nNIA,S364,nCUENTA,1,nASIG,"Armonía"),"")))</f>
        <v/>
      </c>
      <c r="U364" t="str">
        <f>IF(S364="","",IF(S364="[FÓRMULA MANUAL]","",IFERROR(AVERAGEIFS(nNOTA,nNIA,S364,nCUENTA,1,nASIG,"Orquesta/Banda/Conjunto"),"")))</f>
        <v/>
      </c>
      <c r="V364" t="str">
        <f>IF(S364="","",IF(S364="[FÓRMULA MANUAL]","",IFERROR(AVERAGEIFS(nNOTA,nNIA,S364,nCUENTA,1,nASIG,"Música de Cámara"),"")))</f>
        <v/>
      </c>
      <c r="W364" t="str">
        <f>IF(S364="","",IF(S364="[FÓRMULA MANUAL]","",IFERROR(SUMPRODUCT((nNIA=S364)*(nCUENTA=1)*(COUNTIF(CONFIG_ASIGNATURAS!$B$7:$B$27,nASIG)&gt;0)*(nNOTA))/SUMPRODUCT((nNIA=S364)*(nCUENTA=1)*(COUNTIF(CONFIG_ASIGNATURAS!$B$7:$B$27,nASIG)&gt;0)*1),"")))</f>
        <v/>
      </c>
      <c r="Z364" t="str">
        <f>IF(Y364="","",IF(Y364="[FÓRMULA MANUAL]","",IFERROR(AVERAGEIFS(nNOTA,nNIA,Y364,nCUENTA,1,nASIG,"Análisis"),"")))</f>
        <v/>
      </c>
      <c r="AA364" t="str">
        <f>IF(Y364="","",IF(Y364="[FÓRMULA MANUAL]","",IFERROR(AVERAGEIFS(nNOTA,nNIA,Y364,nCUENTA,1,nASIG,"Orquesta/Banda/Conjunto"),"")))</f>
        <v/>
      </c>
      <c r="AB364" t="str">
        <f>IF(Y364="","",IF(Y364="[FÓRMULA MANUAL]","",IFERROR(AVERAGEIFS(nNOTA,nNIA,Y364,nCUENTA,1,nASIG,"Música de Cámara"),"")))</f>
        <v/>
      </c>
      <c r="AC364" t="str">
        <f>IF(Y364="","",IF(Y364="[FÓRMULA MANUAL]","",IFERROR(SUMPRODUCT((nNIA=Y364)*(nCUENTA=1)*(COUNTIF(CONFIG_ASIGNATURAS!$B$7:$B$27,nASIG)&gt;0)*(nNOTA))/SUMPRODUCT((nNIA=Y364)*(nCUENTA=1)*(COUNTIF(CONFIG_ASIGNATURAS!$B$7:$B$27,nASIG)&gt;0)*1),"")))</f>
        <v/>
      </c>
      <c r="AF364" t="str">
        <f>IF(AE364="","",IF(AE364="[FÓRMULA MANUAL]","",IFERROR(AVERAGEIFS(nNOTA,nNIA,AE364,nCUENTA,1,nASIG,"Análisis"),"")))</f>
        <v/>
      </c>
      <c r="AG364" t="str">
        <f>IF(AE364="","",IF(AE364="[FÓRMULA MANUAL]","",IFERROR(AVERAGEIFS(nNOTA,nNIA,AE364,nCUENTA,1,nASIG,"Orquesta/Banda/Conjunto"),"")))</f>
        <v/>
      </c>
      <c r="AH364" t="str">
        <f>IF(AE364="","",IF(AE364="[FÓRMULA MANUAL]","",IFERROR(AVERAGEIFS(nNOTA,nNIA,AE364,nCUENTA,1,nASIG,"Música de Cámara"),"")))</f>
        <v/>
      </c>
      <c r="AI364" t="str">
        <f>IF(AE364="","",IF(AE364="[FÓRMULA MANUAL]","",IFERROR(SUMPRODUCT((nNIA=AE364)*(nCUENTA=1)*(COUNTIF(CONFIG_ASIGNATURAS!$B$7:$B$27,nASIG)&gt;0)*(nNOTA))/SUMPRODUCT((nNIA=AE364)*(nCUENTA=1)*(COUNTIF(CONFIG_ASIGNATURAS!$B$7:$B$27,nASIG)&gt;0)*1),"")))</f>
        <v/>
      </c>
    </row>
    <row r="365" spans="2:35" x14ac:dyDescent="0.2">
      <c r="B365" t="str">
        <f>IF(A365="","",IF(A365="[FÓRMULA MANUAL]","",IFERROR(AVERAGEIFS(nNOTA,nNIA,A365,nCUENTA,1,nASIG,"Lenguaje Musical"),"")))</f>
        <v/>
      </c>
      <c r="C365" t="str">
        <f>IF(A365="","",IF(A365="[FÓRMULA MANUAL]","",IFERROR(AVERAGEIFS(nNOTA,nNIA,A365,nCUENTA,1,nASIG,"Orquesta/Banda/Conjunto"),"")))</f>
        <v/>
      </c>
      <c r="D365" t="str">
        <f>IF(A365="","",IF(A365="[FÓRMULA MANUAL]","",IFERROR(AVERAGEIFS(nNOTA,nNIA,A365,nCUENTA,1,nASIG,"Conjunto"),"")))</f>
        <v/>
      </c>
      <c r="E365" t="str">
        <f>IF(A365="","",IF(A365="[FÓRMULA MANUAL]","",IFERROR(SUMPRODUCT((nNIA=A365)*(nCUENTA=1)*(COUNTIF(CONFIG_ASIGNATURAS!$B$7:$B$27,nASIG)&gt;0)*(nNOTA))/SUMPRODUCT((nNIA=A365)*(nCUENTA=1)*(COUNTIF(CONFIG_ASIGNATURAS!$B$7:$B$27,nASIG)&gt;0)*1),"")))</f>
        <v/>
      </c>
      <c r="H365" t="str">
        <f>IF(G365="","",IF(G365="[FÓRMULA MANUAL]","",IFERROR(AVERAGEIFS(nNOTA,nNIA,G365,nCUENTA,1,nASIG,"Lenguaje Musical"),"")))</f>
        <v/>
      </c>
      <c r="I365" t="str">
        <f>IF(G365="","",IF(G365="[FÓRMULA MANUAL]","",IFERROR(AVERAGEIFS(nNOTA,nNIA,G365,nCUENTA,1,nASIG,"Orquesta/Banda/Conjunto"),"")))</f>
        <v/>
      </c>
      <c r="J365" t="str">
        <f>IF(G365="","",IF(G365="[FÓRMULA MANUAL]","",IFERROR(AVERAGEIFS(nNOTA,nNIA,G365,nCUENTA,1,nASIG,"Conjunto"),"")))</f>
        <v/>
      </c>
      <c r="K365" t="str">
        <f>IF(G365="","",IF(G365="[FÓRMULA MANUAL]","",IFERROR(SUMPRODUCT((nNIA=G365)*(nCUENTA=1)*(COUNTIF(CONFIG_ASIGNATURAS!$B$7:$B$27,nASIG)&gt;0)*(nNOTA))/SUMPRODUCT((nNIA=G365)*(nCUENTA=1)*(COUNTIF(CONFIG_ASIGNATURAS!$B$7:$B$27,nASIG)&gt;0)*1),"")))</f>
        <v/>
      </c>
      <c r="N365" t="str">
        <f>IF(M365="","",IF(M365="[FÓRMULA MANUAL]","",IFERROR(AVERAGEIFS(nNOTA,nNIA,M365,nCUENTA,1,nASIG,"Armonía"),"")))</f>
        <v/>
      </c>
      <c r="O365" t="str">
        <f>IF(M365="","",IF(M365="[FÓRMULA MANUAL]","",IFERROR(AVERAGEIFS(nNOTA,nNIA,M365,nCUENTA,1,nASIG,"Orquesta/Banda/Conjunto"),"")))</f>
        <v/>
      </c>
      <c r="P365" t="str">
        <f>IF(M365="","",IF(M365="[FÓRMULA MANUAL]","",IFERROR(AVERAGEIFS(nNOTA,nNIA,M365,nCUENTA,1,nASIG,"Música de Cámara"),"")))</f>
        <v/>
      </c>
      <c r="Q365" t="str">
        <f>IF(M365="","",IF(M365="[FÓRMULA MANUAL]","",IFERROR(SUMPRODUCT((nNIA=M365)*(nCUENTA=1)*(COUNTIF(CONFIG_ASIGNATURAS!$B$7:$B$27,nASIG)&gt;0)*(nNOTA))/SUMPRODUCT((nNIA=M365)*(nCUENTA=1)*(COUNTIF(CONFIG_ASIGNATURAS!$B$7:$B$27,nASIG)&gt;0)*1),"")))</f>
        <v/>
      </c>
      <c r="T365" t="str">
        <f>IF(S365="","",IF(S365="[FÓRMULA MANUAL]","",IFERROR(AVERAGEIFS(nNOTA,nNIA,S365,nCUENTA,1,nASIG,"Armonía"),"")))</f>
        <v/>
      </c>
      <c r="U365" t="str">
        <f>IF(S365="","",IF(S365="[FÓRMULA MANUAL]","",IFERROR(AVERAGEIFS(nNOTA,nNIA,S365,nCUENTA,1,nASIG,"Orquesta/Banda/Conjunto"),"")))</f>
        <v/>
      </c>
      <c r="V365" t="str">
        <f>IF(S365="","",IF(S365="[FÓRMULA MANUAL]","",IFERROR(AVERAGEIFS(nNOTA,nNIA,S365,nCUENTA,1,nASIG,"Música de Cámara"),"")))</f>
        <v/>
      </c>
      <c r="W365" t="str">
        <f>IF(S365="","",IF(S365="[FÓRMULA MANUAL]","",IFERROR(SUMPRODUCT((nNIA=S365)*(nCUENTA=1)*(COUNTIF(CONFIG_ASIGNATURAS!$B$7:$B$27,nASIG)&gt;0)*(nNOTA))/SUMPRODUCT((nNIA=S365)*(nCUENTA=1)*(COUNTIF(CONFIG_ASIGNATURAS!$B$7:$B$27,nASIG)&gt;0)*1),"")))</f>
        <v/>
      </c>
      <c r="Z365" t="str">
        <f>IF(Y365="","",IF(Y365="[FÓRMULA MANUAL]","",IFERROR(AVERAGEIFS(nNOTA,nNIA,Y365,nCUENTA,1,nASIG,"Análisis"),"")))</f>
        <v/>
      </c>
      <c r="AA365" t="str">
        <f>IF(Y365="","",IF(Y365="[FÓRMULA MANUAL]","",IFERROR(AVERAGEIFS(nNOTA,nNIA,Y365,nCUENTA,1,nASIG,"Orquesta/Banda/Conjunto"),"")))</f>
        <v/>
      </c>
      <c r="AB365" t="str">
        <f>IF(Y365="","",IF(Y365="[FÓRMULA MANUAL]","",IFERROR(AVERAGEIFS(nNOTA,nNIA,Y365,nCUENTA,1,nASIG,"Música de Cámara"),"")))</f>
        <v/>
      </c>
      <c r="AC365" t="str">
        <f>IF(Y365="","",IF(Y365="[FÓRMULA MANUAL]","",IFERROR(SUMPRODUCT((nNIA=Y365)*(nCUENTA=1)*(COUNTIF(CONFIG_ASIGNATURAS!$B$7:$B$27,nASIG)&gt;0)*(nNOTA))/SUMPRODUCT((nNIA=Y365)*(nCUENTA=1)*(COUNTIF(CONFIG_ASIGNATURAS!$B$7:$B$27,nASIG)&gt;0)*1),"")))</f>
        <v/>
      </c>
      <c r="AF365" t="str">
        <f>IF(AE365="","",IF(AE365="[FÓRMULA MANUAL]","",IFERROR(AVERAGEIFS(nNOTA,nNIA,AE365,nCUENTA,1,nASIG,"Análisis"),"")))</f>
        <v/>
      </c>
      <c r="AG365" t="str">
        <f>IF(AE365="","",IF(AE365="[FÓRMULA MANUAL]","",IFERROR(AVERAGEIFS(nNOTA,nNIA,AE365,nCUENTA,1,nASIG,"Orquesta/Banda/Conjunto"),"")))</f>
        <v/>
      </c>
      <c r="AH365" t="str">
        <f>IF(AE365="","",IF(AE365="[FÓRMULA MANUAL]","",IFERROR(AVERAGEIFS(nNOTA,nNIA,AE365,nCUENTA,1,nASIG,"Música de Cámara"),"")))</f>
        <v/>
      </c>
      <c r="AI365" t="str">
        <f>IF(AE365="","",IF(AE365="[FÓRMULA MANUAL]","",IFERROR(SUMPRODUCT((nNIA=AE365)*(nCUENTA=1)*(COUNTIF(CONFIG_ASIGNATURAS!$B$7:$B$27,nASIG)&gt;0)*(nNOTA))/SUMPRODUCT((nNIA=AE365)*(nCUENTA=1)*(COUNTIF(CONFIG_ASIGNATURAS!$B$7:$B$27,nASIG)&gt;0)*1),"")))</f>
        <v/>
      </c>
    </row>
    <row r="366" spans="2:35" x14ac:dyDescent="0.2">
      <c r="B366" t="str">
        <f>IF(A366="","",IF(A366="[FÓRMULA MANUAL]","",IFERROR(AVERAGEIFS(nNOTA,nNIA,A366,nCUENTA,1,nASIG,"Lenguaje Musical"),"")))</f>
        <v/>
      </c>
      <c r="C366" t="str">
        <f>IF(A366="","",IF(A366="[FÓRMULA MANUAL]","",IFERROR(AVERAGEIFS(nNOTA,nNIA,A366,nCUENTA,1,nASIG,"Orquesta/Banda/Conjunto"),"")))</f>
        <v/>
      </c>
      <c r="D366" t="str">
        <f>IF(A366="","",IF(A366="[FÓRMULA MANUAL]","",IFERROR(AVERAGEIFS(nNOTA,nNIA,A366,nCUENTA,1,nASIG,"Conjunto"),"")))</f>
        <v/>
      </c>
      <c r="E366" t="str">
        <f>IF(A366="","",IF(A366="[FÓRMULA MANUAL]","",IFERROR(SUMPRODUCT((nNIA=A366)*(nCUENTA=1)*(COUNTIF(CONFIG_ASIGNATURAS!$B$7:$B$27,nASIG)&gt;0)*(nNOTA))/SUMPRODUCT((nNIA=A366)*(nCUENTA=1)*(COUNTIF(CONFIG_ASIGNATURAS!$B$7:$B$27,nASIG)&gt;0)*1),"")))</f>
        <v/>
      </c>
      <c r="H366" t="str">
        <f>IF(G366="","",IF(G366="[FÓRMULA MANUAL]","",IFERROR(AVERAGEIFS(nNOTA,nNIA,G366,nCUENTA,1,nASIG,"Lenguaje Musical"),"")))</f>
        <v/>
      </c>
      <c r="I366" t="str">
        <f>IF(G366="","",IF(G366="[FÓRMULA MANUAL]","",IFERROR(AVERAGEIFS(nNOTA,nNIA,G366,nCUENTA,1,nASIG,"Orquesta/Banda/Conjunto"),"")))</f>
        <v/>
      </c>
      <c r="J366" t="str">
        <f>IF(G366="","",IF(G366="[FÓRMULA MANUAL]","",IFERROR(AVERAGEIFS(nNOTA,nNIA,G366,nCUENTA,1,nASIG,"Conjunto"),"")))</f>
        <v/>
      </c>
      <c r="K366" t="str">
        <f>IF(G366="","",IF(G366="[FÓRMULA MANUAL]","",IFERROR(SUMPRODUCT((nNIA=G366)*(nCUENTA=1)*(COUNTIF(CONFIG_ASIGNATURAS!$B$7:$B$27,nASIG)&gt;0)*(nNOTA))/SUMPRODUCT((nNIA=G366)*(nCUENTA=1)*(COUNTIF(CONFIG_ASIGNATURAS!$B$7:$B$27,nASIG)&gt;0)*1),"")))</f>
        <v/>
      </c>
      <c r="N366" t="str">
        <f>IF(M366="","",IF(M366="[FÓRMULA MANUAL]","",IFERROR(AVERAGEIFS(nNOTA,nNIA,M366,nCUENTA,1,nASIG,"Armonía"),"")))</f>
        <v/>
      </c>
      <c r="O366" t="str">
        <f>IF(M366="","",IF(M366="[FÓRMULA MANUAL]","",IFERROR(AVERAGEIFS(nNOTA,nNIA,M366,nCUENTA,1,nASIG,"Orquesta/Banda/Conjunto"),"")))</f>
        <v/>
      </c>
      <c r="P366" t="str">
        <f>IF(M366="","",IF(M366="[FÓRMULA MANUAL]","",IFERROR(AVERAGEIFS(nNOTA,nNIA,M366,nCUENTA,1,nASIG,"Música de Cámara"),"")))</f>
        <v/>
      </c>
      <c r="Q366" t="str">
        <f>IF(M366="","",IF(M366="[FÓRMULA MANUAL]","",IFERROR(SUMPRODUCT((nNIA=M366)*(nCUENTA=1)*(COUNTIF(CONFIG_ASIGNATURAS!$B$7:$B$27,nASIG)&gt;0)*(nNOTA))/SUMPRODUCT((nNIA=M366)*(nCUENTA=1)*(COUNTIF(CONFIG_ASIGNATURAS!$B$7:$B$27,nASIG)&gt;0)*1),"")))</f>
        <v/>
      </c>
      <c r="T366" t="str">
        <f>IF(S366="","",IF(S366="[FÓRMULA MANUAL]","",IFERROR(AVERAGEIFS(nNOTA,nNIA,S366,nCUENTA,1,nASIG,"Armonía"),"")))</f>
        <v/>
      </c>
      <c r="U366" t="str">
        <f>IF(S366="","",IF(S366="[FÓRMULA MANUAL]","",IFERROR(AVERAGEIFS(nNOTA,nNIA,S366,nCUENTA,1,nASIG,"Orquesta/Banda/Conjunto"),"")))</f>
        <v/>
      </c>
      <c r="V366" t="str">
        <f>IF(S366="","",IF(S366="[FÓRMULA MANUAL]","",IFERROR(AVERAGEIFS(nNOTA,nNIA,S366,nCUENTA,1,nASIG,"Música de Cámara"),"")))</f>
        <v/>
      </c>
      <c r="W366" t="str">
        <f>IF(S366="","",IF(S366="[FÓRMULA MANUAL]","",IFERROR(SUMPRODUCT((nNIA=S366)*(nCUENTA=1)*(COUNTIF(CONFIG_ASIGNATURAS!$B$7:$B$27,nASIG)&gt;0)*(nNOTA))/SUMPRODUCT((nNIA=S366)*(nCUENTA=1)*(COUNTIF(CONFIG_ASIGNATURAS!$B$7:$B$27,nASIG)&gt;0)*1),"")))</f>
        <v/>
      </c>
      <c r="Z366" t="str">
        <f>IF(Y366="","",IF(Y366="[FÓRMULA MANUAL]","",IFERROR(AVERAGEIFS(nNOTA,nNIA,Y366,nCUENTA,1,nASIG,"Análisis"),"")))</f>
        <v/>
      </c>
      <c r="AA366" t="str">
        <f>IF(Y366="","",IF(Y366="[FÓRMULA MANUAL]","",IFERROR(AVERAGEIFS(nNOTA,nNIA,Y366,nCUENTA,1,nASIG,"Orquesta/Banda/Conjunto"),"")))</f>
        <v/>
      </c>
      <c r="AB366" t="str">
        <f>IF(Y366="","",IF(Y366="[FÓRMULA MANUAL]","",IFERROR(AVERAGEIFS(nNOTA,nNIA,Y366,nCUENTA,1,nASIG,"Música de Cámara"),"")))</f>
        <v/>
      </c>
      <c r="AC366" t="str">
        <f>IF(Y366="","",IF(Y366="[FÓRMULA MANUAL]","",IFERROR(SUMPRODUCT((nNIA=Y366)*(nCUENTA=1)*(COUNTIF(CONFIG_ASIGNATURAS!$B$7:$B$27,nASIG)&gt;0)*(nNOTA))/SUMPRODUCT((nNIA=Y366)*(nCUENTA=1)*(COUNTIF(CONFIG_ASIGNATURAS!$B$7:$B$27,nASIG)&gt;0)*1),"")))</f>
        <v/>
      </c>
      <c r="AF366" t="str">
        <f>IF(AE366="","",IF(AE366="[FÓRMULA MANUAL]","",IFERROR(AVERAGEIFS(nNOTA,nNIA,AE366,nCUENTA,1,nASIG,"Análisis"),"")))</f>
        <v/>
      </c>
      <c r="AG366" t="str">
        <f>IF(AE366="","",IF(AE366="[FÓRMULA MANUAL]","",IFERROR(AVERAGEIFS(nNOTA,nNIA,AE366,nCUENTA,1,nASIG,"Orquesta/Banda/Conjunto"),"")))</f>
        <v/>
      </c>
      <c r="AH366" t="str">
        <f>IF(AE366="","",IF(AE366="[FÓRMULA MANUAL]","",IFERROR(AVERAGEIFS(nNOTA,nNIA,AE366,nCUENTA,1,nASIG,"Música de Cámara"),"")))</f>
        <v/>
      </c>
      <c r="AI366" t="str">
        <f>IF(AE366="","",IF(AE366="[FÓRMULA MANUAL]","",IFERROR(SUMPRODUCT((nNIA=AE366)*(nCUENTA=1)*(COUNTIF(CONFIG_ASIGNATURAS!$B$7:$B$27,nASIG)&gt;0)*(nNOTA))/SUMPRODUCT((nNIA=AE366)*(nCUENTA=1)*(COUNTIF(CONFIG_ASIGNATURAS!$B$7:$B$27,nASIG)&gt;0)*1),"")))</f>
        <v/>
      </c>
    </row>
    <row r="367" spans="2:35" x14ac:dyDescent="0.2">
      <c r="B367" t="str">
        <f>IF(A367="","",IF(A367="[FÓRMULA MANUAL]","",IFERROR(AVERAGEIFS(nNOTA,nNIA,A367,nCUENTA,1,nASIG,"Lenguaje Musical"),"")))</f>
        <v/>
      </c>
      <c r="C367" t="str">
        <f>IF(A367="","",IF(A367="[FÓRMULA MANUAL]","",IFERROR(AVERAGEIFS(nNOTA,nNIA,A367,nCUENTA,1,nASIG,"Orquesta/Banda/Conjunto"),"")))</f>
        <v/>
      </c>
      <c r="D367" t="str">
        <f>IF(A367="","",IF(A367="[FÓRMULA MANUAL]","",IFERROR(AVERAGEIFS(nNOTA,nNIA,A367,nCUENTA,1,nASIG,"Conjunto"),"")))</f>
        <v/>
      </c>
      <c r="E367" t="str">
        <f>IF(A367="","",IF(A367="[FÓRMULA MANUAL]","",IFERROR(SUMPRODUCT((nNIA=A367)*(nCUENTA=1)*(COUNTIF(CONFIG_ASIGNATURAS!$B$7:$B$27,nASIG)&gt;0)*(nNOTA))/SUMPRODUCT((nNIA=A367)*(nCUENTA=1)*(COUNTIF(CONFIG_ASIGNATURAS!$B$7:$B$27,nASIG)&gt;0)*1),"")))</f>
        <v/>
      </c>
      <c r="H367" t="str">
        <f>IF(G367="","",IF(G367="[FÓRMULA MANUAL]","",IFERROR(AVERAGEIFS(nNOTA,nNIA,G367,nCUENTA,1,nASIG,"Lenguaje Musical"),"")))</f>
        <v/>
      </c>
      <c r="I367" t="str">
        <f>IF(G367="","",IF(G367="[FÓRMULA MANUAL]","",IFERROR(AVERAGEIFS(nNOTA,nNIA,G367,nCUENTA,1,nASIG,"Orquesta/Banda/Conjunto"),"")))</f>
        <v/>
      </c>
      <c r="J367" t="str">
        <f>IF(G367="","",IF(G367="[FÓRMULA MANUAL]","",IFERROR(AVERAGEIFS(nNOTA,nNIA,G367,nCUENTA,1,nASIG,"Conjunto"),"")))</f>
        <v/>
      </c>
      <c r="K367" t="str">
        <f>IF(G367="","",IF(G367="[FÓRMULA MANUAL]","",IFERROR(SUMPRODUCT((nNIA=G367)*(nCUENTA=1)*(COUNTIF(CONFIG_ASIGNATURAS!$B$7:$B$27,nASIG)&gt;0)*(nNOTA))/SUMPRODUCT((nNIA=G367)*(nCUENTA=1)*(COUNTIF(CONFIG_ASIGNATURAS!$B$7:$B$27,nASIG)&gt;0)*1),"")))</f>
        <v/>
      </c>
      <c r="N367" t="str">
        <f>IF(M367="","",IF(M367="[FÓRMULA MANUAL]","",IFERROR(AVERAGEIFS(nNOTA,nNIA,M367,nCUENTA,1,nASIG,"Armonía"),"")))</f>
        <v/>
      </c>
      <c r="O367" t="str">
        <f>IF(M367="","",IF(M367="[FÓRMULA MANUAL]","",IFERROR(AVERAGEIFS(nNOTA,nNIA,M367,nCUENTA,1,nASIG,"Orquesta/Banda/Conjunto"),"")))</f>
        <v/>
      </c>
      <c r="P367" t="str">
        <f>IF(M367="","",IF(M367="[FÓRMULA MANUAL]","",IFERROR(AVERAGEIFS(nNOTA,nNIA,M367,nCUENTA,1,nASIG,"Música de Cámara"),"")))</f>
        <v/>
      </c>
      <c r="Q367" t="str">
        <f>IF(M367="","",IF(M367="[FÓRMULA MANUAL]","",IFERROR(SUMPRODUCT((nNIA=M367)*(nCUENTA=1)*(COUNTIF(CONFIG_ASIGNATURAS!$B$7:$B$27,nASIG)&gt;0)*(nNOTA))/SUMPRODUCT((nNIA=M367)*(nCUENTA=1)*(COUNTIF(CONFIG_ASIGNATURAS!$B$7:$B$27,nASIG)&gt;0)*1),"")))</f>
        <v/>
      </c>
      <c r="T367" t="str">
        <f>IF(S367="","",IF(S367="[FÓRMULA MANUAL]","",IFERROR(AVERAGEIFS(nNOTA,nNIA,S367,nCUENTA,1,nASIG,"Armonía"),"")))</f>
        <v/>
      </c>
      <c r="U367" t="str">
        <f>IF(S367="","",IF(S367="[FÓRMULA MANUAL]","",IFERROR(AVERAGEIFS(nNOTA,nNIA,S367,nCUENTA,1,nASIG,"Orquesta/Banda/Conjunto"),"")))</f>
        <v/>
      </c>
      <c r="V367" t="str">
        <f>IF(S367="","",IF(S367="[FÓRMULA MANUAL]","",IFERROR(AVERAGEIFS(nNOTA,nNIA,S367,nCUENTA,1,nASIG,"Música de Cámara"),"")))</f>
        <v/>
      </c>
      <c r="W367" t="str">
        <f>IF(S367="","",IF(S367="[FÓRMULA MANUAL]","",IFERROR(SUMPRODUCT((nNIA=S367)*(nCUENTA=1)*(COUNTIF(CONFIG_ASIGNATURAS!$B$7:$B$27,nASIG)&gt;0)*(nNOTA))/SUMPRODUCT((nNIA=S367)*(nCUENTA=1)*(COUNTIF(CONFIG_ASIGNATURAS!$B$7:$B$27,nASIG)&gt;0)*1),"")))</f>
        <v/>
      </c>
      <c r="Z367" t="str">
        <f>IF(Y367="","",IF(Y367="[FÓRMULA MANUAL]","",IFERROR(AVERAGEIFS(nNOTA,nNIA,Y367,nCUENTA,1,nASIG,"Análisis"),"")))</f>
        <v/>
      </c>
      <c r="AA367" t="str">
        <f>IF(Y367="","",IF(Y367="[FÓRMULA MANUAL]","",IFERROR(AVERAGEIFS(nNOTA,nNIA,Y367,nCUENTA,1,nASIG,"Orquesta/Banda/Conjunto"),"")))</f>
        <v/>
      </c>
      <c r="AB367" t="str">
        <f>IF(Y367="","",IF(Y367="[FÓRMULA MANUAL]","",IFERROR(AVERAGEIFS(nNOTA,nNIA,Y367,nCUENTA,1,nASIG,"Música de Cámara"),"")))</f>
        <v/>
      </c>
      <c r="AC367" t="str">
        <f>IF(Y367="","",IF(Y367="[FÓRMULA MANUAL]","",IFERROR(SUMPRODUCT((nNIA=Y367)*(nCUENTA=1)*(COUNTIF(CONFIG_ASIGNATURAS!$B$7:$B$27,nASIG)&gt;0)*(nNOTA))/SUMPRODUCT((nNIA=Y367)*(nCUENTA=1)*(COUNTIF(CONFIG_ASIGNATURAS!$B$7:$B$27,nASIG)&gt;0)*1),"")))</f>
        <v/>
      </c>
      <c r="AF367" t="str">
        <f>IF(AE367="","",IF(AE367="[FÓRMULA MANUAL]","",IFERROR(AVERAGEIFS(nNOTA,nNIA,AE367,nCUENTA,1,nASIG,"Análisis"),"")))</f>
        <v/>
      </c>
      <c r="AG367" t="str">
        <f>IF(AE367="","",IF(AE367="[FÓRMULA MANUAL]","",IFERROR(AVERAGEIFS(nNOTA,nNIA,AE367,nCUENTA,1,nASIG,"Orquesta/Banda/Conjunto"),"")))</f>
        <v/>
      </c>
      <c r="AH367" t="str">
        <f>IF(AE367="","",IF(AE367="[FÓRMULA MANUAL]","",IFERROR(AVERAGEIFS(nNOTA,nNIA,AE367,nCUENTA,1,nASIG,"Música de Cámara"),"")))</f>
        <v/>
      </c>
      <c r="AI367" t="str">
        <f>IF(AE367="","",IF(AE367="[FÓRMULA MANUAL]","",IFERROR(SUMPRODUCT((nNIA=AE367)*(nCUENTA=1)*(COUNTIF(CONFIG_ASIGNATURAS!$B$7:$B$27,nASIG)&gt;0)*(nNOTA))/SUMPRODUCT((nNIA=AE367)*(nCUENTA=1)*(COUNTIF(CONFIG_ASIGNATURAS!$B$7:$B$27,nASIG)&gt;0)*1),"")))</f>
        <v/>
      </c>
    </row>
    <row r="368" spans="2:35" x14ac:dyDescent="0.2">
      <c r="B368" t="str">
        <f>IF(A368="","",IF(A368="[FÓRMULA MANUAL]","",IFERROR(AVERAGEIFS(nNOTA,nNIA,A368,nCUENTA,1,nASIG,"Lenguaje Musical"),"")))</f>
        <v/>
      </c>
      <c r="C368" t="str">
        <f>IF(A368="","",IF(A368="[FÓRMULA MANUAL]","",IFERROR(AVERAGEIFS(nNOTA,nNIA,A368,nCUENTA,1,nASIG,"Orquesta/Banda/Conjunto"),"")))</f>
        <v/>
      </c>
      <c r="D368" t="str">
        <f>IF(A368="","",IF(A368="[FÓRMULA MANUAL]","",IFERROR(AVERAGEIFS(nNOTA,nNIA,A368,nCUENTA,1,nASIG,"Conjunto"),"")))</f>
        <v/>
      </c>
      <c r="E368" t="str">
        <f>IF(A368="","",IF(A368="[FÓRMULA MANUAL]","",IFERROR(SUMPRODUCT((nNIA=A368)*(nCUENTA=1)*(COUNTIF(CONFIG_ASIGNATURAS!$B$7:$B$27,nASIG)&gt;0)*(nNOTA))/SUMPRODUCT((nNIA=A368)*(nCUENTA=1)*(COUNTIF(CONFIG_ASIGNATURAS!$B$7:$B$27,nASIG)&gt;0)*1),"")))</f>
        <v/>
      </c>
      <c r="H368" t="str">
        <f>IF(G368="","",IF(G368="[FÓRMULA MANUAL]","",IFERROR(AVERAGEIFS(nNOTA,nNIA,G368,nCUENTA,1,nASIG,"Lenguaje Musical"),"")))</f>
        <v/>
      </c>
      <c r="I368" t="str">
        <f>IF(G368="","",IF(G368="[FÓRMULA MANUAL]","",IFERROR(AVERAGEIFS(nNOTA,nNIA,G368,nCUENTA,1,nASIG,"Orquesta/Banda/Conjunto"),"")))</f>
        <v/>
      </c>
      <c r="J368" t="str">
        <f>IF(G368="","",IF(G368="[FÓRMULA MANUAL]","",IFERROR(AVERAGEIFS(nNOTA,nNIA,G368,nCUENTA,1,nASIG,"Conjunto"),"")))</f>
        <v/>
      </c>
      <c r="K368" t="str">
        <f>IF(G368="","",IF(G368="[FÓRMULA MANUAL]","",IFERROR(SUMPRODUCT((nNIA=G368)*(nCUENTA=1)*(COUNTIF(CONFIG_ASIGNATURAS!$B$7:$B$27,nASIG)&gt;0)*(nNOTA))/SUMPRODUCT((nNIA=G368)*(nCUENTA=1)*(COUNTIF(CONFIG_ASIGNATURAS!$B$7:$B$27,nASIG)&gt;0)*1),"")))</f>
        <v/>
      </c>
      <c r="N368" t="str">
        <f>IF(M368="","",IF(M368="[FÓRMULA MANUAL]","",IFERROR(AVERAGEIFS(nNOTA,nNIA,M368,nCUENTA,1,nASIG,"Armonía"),"")))</f>
        <v/>
      </c>
      <c r="O368" t="str">
        <f>IF(M368="","",IF(M368="[FÓRMULA MANUAL]","",IFERROR(AVERAGEIFS(nNOTA,nNIA,M368,nCUENTA,1,nASIG,"Orquesta/Banda/Conjunto"),"")))</f>
        <v/>
      </c>
      <c r="P368" t="str">
        <f>IF(M368="","",IF(M368="[FÓRMULA MANUAL]","",IFERROR(AVERAGEIFS(nNOTA,nNIA,M368,nCUENTA,1,nASIG,"Música de Cámara"),"")))</f>
        <v/>
      </c>
      <c r="Q368" t="str">
        <f>IF(M368="","",IF(M368="[FÓRMULA MANUAL]","",IFERROR(SUMPRODUCT((nNIA=M368)*(nCUENTA=1)*(COUNTIF(CONFIG_ASIGNATURAS!$B$7:$B$27,nASIG)&gt;0)*(nNOTA))/SUMPRODUCT((nNIA=M368)*(nCUENTA=1)*(COUNTIF(CONFIG_ASIGNATURAS!$B$7:$B$27,nASIG)&gt;0)*1),"")))</f>
        <v/>
      </c>
      <c r="T368" t="str">
        <f>IF(S368="","",IF(S368="[FÓRMULA MANUAL]","",IFERROR(AVERAGEIFS(nNOTA,nNIA,S368,nCUENTA,1,nASIG,"Armonía"),"")))</f>
        <v/>
      </c>
      <c r="U368" t="str">
        <f>IF(S368="","",IF(S368="[FÓRMULA MANUAL]","",IFERROR(AVERAGEIFS(nNOTA,nNIA,S368,nCUENTA,1,nASIG,"Orquesta/Banda/Conjunto"),"")))</f>
        <v/>
      </c>
      <c r="V368" t="str">
        <f>IF(S368="","",IF(S368="[FÓRMULA MANUAL]","",IFERROR(AVERAGEIFS(nNOTA,nNIA,S368,nCUENTA,1,nASIG,"Música de Cámara"),"")))</f>
        <v/>
      </c>
      <c r="W368" t="str">
        <f>IF(S368="","",IF(S368="[FÓRMULA MANUAL]","",IFERROR(SUMPRODUCT((nNIA=S368)*(nCUENTA=1)*(COUNTIF(CONFIG_ASIGNATURAS!$B$7:$B$27,nASIG)&gt;0)*(nNOTA))/SUMPRODUCT((nNIA=S368)*(nCUENTA=1)*(COUNTIF(CONFIG_ASIGNATURAS!$B$7:$B$27,nASIG)&gt;0)*1),"")))</f>
        <v/>
      </c>
      <c r="Z368" t="str">
        <f>IF(Y368="","",IF(Y368="[FÓRMULA MANUAL]","",IFERROR(AVERAGEIFS(nNOTA,nNIA,Y368,nCUENTA,1,nASIG,"Análisis"),"")))</f>
        <v/>
      </c>
      <c r="AA368" t="str">
        <f>IF(Y368="","",IF(Y368="[FÓRMULA MANUAL]","",IFERROR(AVERAGEIFS(nNOTA,nNIA,Y368,nCUENTA,1,nASIG,"Orquesta/Banda/Conjunto"),"")))</f>
        <v/>
      </c>
      <c r="AB368" t="str">
        <f>IF(Y368="","",IF(Y368="[FÓRMULA MANUAL]","",IFERROR(AVERAGEIFS(nNOTA,nNIA,Y368,nCUENTA,1,nASIG,"Música de Cámara"),"")))</f>
        <v/>
      </c>
      <c r="AC368" t="str">
        <f>IF(Y368="","",IF(Y368="[FÓRMULA MANUAL]","",IFERROR(SUMPRODUCT((nNIA=Y368)*(nCUENTA=1)*(COUNTIF(CONFIG_ASIGNATURAS!$B$7:$B$27,nASIG)&gt;0)*(nNOTA))/SUMPRODUCT((nNIA=Y368)*(nCUENTA=1)*(COUNTIF(CONFIG_ASIGNATURAS!$B$7:$B$27,nASIG)&gt;0)*1),"")))</f>
        <v/>
      </c>
      <c r="AF368" t="str">
        <f>IF(AE368="","",IF(AE368="[FÓRMULA MANUAL]","",IFERROR(AVERAGEIFS(nNOTA,nNIA,AE368,nCUENTA,1,nASIG,"Análisis"),"")))</f>
        <v/>
      </c>
      <c r="AG368" t="str">
        <f>IF(AE368="","",IF(AE368="[FÓRMULA MANUAL]","",IFERROR(AVERAGEIFS(nNOTA,nNIA,AE368,nCUENTA,1,nASIG,"Orquesta/Banda/Conjunto"),"")))</f>
        <v/>
      </c>
      <c r="AH368" t="str">
        <f>IF(AE368="","",IF(AE368="[FÓRMULA MANUAL]","",IFERROR(AVERAGEIFS(nNOTA,nNIA,AE368,nCUENTA,1,nASIG,"Música de Cámara"),"")))</f>
        <v/>
      </c>
      <c r="AI368" t="str">
        <f>IF(AE368="","",IF(AE368="[FÓRMULA MANUAL]","",IFERROR(SUMPRODUCT((nNIA=AE368)*(nCUENTA=1)*(COUNTIF(CONFIG_ASIGNATURAS!$B$7:$B$27,nASIG)&gt;0)*(nNOTA))/SUMPRODUCT((nNIA=AE368)*(nCUENTA=1)*(COUNTIF(CONFIG_ASIGNATURAS!$B$7:$B$27,nASIG)&gt;0)*1),"")))</f>
        <v/>
      </c>
    </row>
    <row r="369" spans="2:35" x14ac:dyDescent="0.2">
      <c r="B369" t="str">
        <f>IF(A369="","",IF(A369="[FÓRMULA MANUAL]","",IFERROR(AVERAGEIFS(nNOTA,nNIA,A369,nCUENTA,1,nASIG,"Lenguaje Musical"),"")))</f>
        <v/>
      </c>
      <c r="C369" t="str">
        <f>IF(A369="","",IF(A369="[FÓRMULA MANUAL]","",IFERROR(AVERAGEIFS(nNOTA,nNIA,A369,nCUENTA,1,nASIG,"Orquesta/Banda/Conjunto"),"")))</f>
        <v/>
      </c>
      <c r="D369" t="str">
        <f>IF(A369="","",IF(A369="[FÓRMULA MANUAL]","",IFERROR(AVERAGEIFS(nNOTA,nNIA,A369,nCUENTA,1,nASIG,"Conjunto"),"")))</f>
        <v/>
      </c>
      <c r="E369" t="str">
        <f>IF(A369="","",IF(A369="[FÓRMULA MANUAL]","",IFERROR(SUMPRODUCT((nNIA=A369)*(nCUENTA=1)*(COUNTIF(CONFIG_ASIGNATURAS!$B$7:$B$27,nASIG)&gt;0)*(nNOTA))/SUMPRODUCT((nNIA=A369)*(nCUENTA=1)*(COUNTIF(CONFIG_ASIGNATURAS!$B$7:$B$27,nASIG)&gt;0)*1),"")))</f>
        <v/>
      </c>
      <c r="H369" t="str">
        <f>IF(G369="","",IF(G369="[FÓRMULA MANUAL]","",IFERROR(AVERAGEIFS(nNOTA,nNIA,G369,nCUENTA,1,nASIG,"Lenguaje Musical"),"")))</f>
        <v/>
      </c>
      <c r="I369" t="str">
        <f>IF(G369="","",IF(G369="[FÓRMULA MANUAL]","",IFERROR(AVERAGEIFS(nNOTA,nNIA,G369,nCUENTA,1,nASIG,"Orquesta/Banda/Conjunto"),"")))</f>
        <v/>
      </c>
      <c r="J369" t="str">
        <f>IF(G369="","",IF(G369="[FÓRMULA MANUAL]","",IFERROR(AVERAGEIFS(nNOTA,nNIA,G369,nCUENTA,1,nASIG,"Conjunto"),"")))</f>
        <v/>
      </c>
      <c r="K369" t="str">
        <f>IF(G369="","",IF(G369="[FÓRMULA MANUAL]","",IFERROR(SUMPRODUCT((nNIA=G369)*(nCUENTA=1)*(COUNTIF(CONFIG_ASIGNATURAS!$B$7:$B$27,nASIG)&gt;0)*(nNOTA))/SUMPRODUCT((nNIA=G369)*(nCUENTA=1)*(COUNTIF(CONFIG_ASIGNATURAS!$B$7:$B$27,nASIG)&gt;0)*1),"")))</f>
        <v/>
      </c>
      <c r="N369" t="str">
        <f>IF(M369="","",IF(M369="[FÓRMULA MANUAL]","",IFERROR(AVERAGEIFS(nNOTA,nNIA,M369,nCUENTA,1,nASIG,"Armonía"),"")))</f>
        <v/>
      </c>
      <c r="O369" t="str">
        <f>IF(M369="","",IF(M369="[FÓRMULA MANUAL]","",IFERROR(AVERAGEIFS(nNOTA,nNIA,M369,nCUENTA,1,nASIG,"Orquesta/Banda/Conjunto"),"")))</f>
        <v/>
      </c>
      <c r="P369" t="str">
        <f>IF(M369="","",IF(M369="[FÓRMULA MANUAL]","",IFERROR(AVERAGEIFS(nNOTA,nNIA,M369,nCUENTA,1,nASIG,"Música de Cámara"),"")))</f>
        <v/>
      </c>
      <c r="Q369" t="str">
        <f>IF(M369="","",IF(M369="[FÓRMULA MANUAL]","",IFERROR(SUMPRODUCT((nNIA=M369)*(nCUENTA=1)*(COUNTIF(CONFIG_ASIGNATURAS!$B$7:$B$27,nASIG)&gt;0)*(nNOTA))/SUMPRODUCT((nNIA=M369)*(nCUENTA=1)*(COUNTIF(CONFIG_ASIGNATURAS!$B$7:$B$27,nASIG)&gt;0)*1),"")))</f>
        <v/>
      </c>
      <c r="T369" t="str">
        <f>IF(S369="","",IF(S369="[FÓRMULA MANUAL]","",IFERROR(AVERAGEIFS(nNOTA,nNIA,S369,nCUENTA,1,nASIG,"Armonía"),"")))</f>
        <v/>
      </c>
      <c r="U369" t="str">
        <f>IF(S369="","",IF(S369="[FÓRMULA MANUAL]","",IFERROR(AVERAGEIFS(nNOTA,nNIA,S369,nCUENTA,1,nASIG,"Orquesta/Banda/Conjunto"),"")))</f>
        <v/>
      </c>
      <c r="V369" t="str">
        <f>IF(S369="","",IF(S369="[FÓRMULA MANUAL]","",IFERROR(AVERAGEIFS(nNOTA,nNIA,S369,nCUENTA,1,nASIG,"Música de Cámara"),"")))</f>
        <v/>
      </c>
      <c r="W369" t="str">
        <f>IF(S369="","",IF(S369="[FÓRMULA MANUAL]","",IFERROR(SUMPRODUCT((nNIA=S369)*(nCUENTA=1)*(COUNTIF(CONFIG_ASIGNATURAS!$B$7:$B$27,nASIG)&gt;0)*(nNOTA))/SUMPRODUCT((nNIA=S369)*(nCUENTA=1)*(COUNTIF(CONFIG_ASIGNATURAS!$B$7:$B$27,nASIG)&gt;0)*1),"")))</f>
        <v/>
      </c>
      <c r="Z369" t="str">
        <f>IF(Y369="","",IF(Y369="[FÓRMULA MANUAL]","",IFERROR(AVERAGEIFS(nNOTA,nNIA,Y369,nCUENTA,1,nASIG,"Análisis"),"")))</f>
        <v/>
      </c>
      <c r="AA369" t="str">
        <f>IF(Y369="","",IF(Y369="[FÓRMULA MANUAL]","",IFERROR(AVERAGEIFS(nNOTA,nNIA,Y369,nCUENTA,1,nASIG,"Orquesta/Banda/Conjunto"),"")))</f>
        <v/>
      </c>
      <c r="AB369" t="str">
        <f>IF(Y369="","",IF(Y369="[FÓRMULA MANUAL]","",IFERROR(AVERAGEIFS(nNOTA,nNIA,Y369,nCUENTA,1,nASIG,"Música de Cámara"),"")))</f>
        <v/>
      </c>
      <c r="AC369" t="str">
        <f>IF(Y369="","",IF(Y369="[FÓRMULA MANUAL]","",IFERROR(SUMPRODUCT((nNIA=Y369)*(nCUENTA=1)*(COUNTIF(CONFIG_ASIGNATURAS!$B$7:$B$27,nASIG)&gt;0)*(nNOTA))/SUMPRODUCT((nNIA=Y369)*(nCUENTA=1)*(COUNTIF(CONFIG_ASIGNATURAS!$B$7:$B$27,nASIG)&gt;0)*1),"")))</f>
        <v/>
      </c>
      <c r="AF369" t="str">
        <f>IF(AE369="","",IF(AE369="[FÓRMULA MANUAL]","",IFERROR(AVERAGEIFS(nNOTA,nNIA,AE369,nCUENTA,1,nASIG,"Análisis"),"")))</f>
        <v/>
      </c>
      <c r="AG369" t="str">
        <f>IF(AE369="","",IF(AE369="[FÓRMULA MANUAL]","",IFERROR(AVERAGEIFS(nNOTA,nNIA,AE369,nCUENTA,1,nASIG,"Orquesta/Banda/Conjunto"),"")))</f>
        <v/>
      </c>
      <c r="AH369" t="str">
        <f>IF(AE369="","",IF(AE369="[FÓRMULA MANUAL]","",IFERROR(AVERAGEIFS(nNOTA,nNIA,AE369,nCUENTA,1,nASIG,"Música de Cámara"),"")))</f>
        <v/>
      </c>
      <c r="AI369" t="str">
        <f>IF(AE369="","",IF(AE369="[FÓRMULA MANUAL]","",IFERROR(SUMPRODUCT((nNIA=AE369)*(nCUENTA=1)*(COUNTIF(CONFIG_ASIGNATURAS!$B$7:$B$27,nASIG)&gt;0)*(nNOTA))/SUMPRODUCT((nNIA=AE369)*(nCUENTA=1)*(COUNTIF(CONFIG_ASIGNATURAS!$B$7:$B$27,nASIG)&gt;0)*1),"")))</f>
        <v/>
      </c>
    </row>
    <row r="370" spans="2:35" x14ac:dyDescent="0.2">
      <c r="B370" t="str">
        <f>IF(A370="","",IF(A370="[FÓRMULA MANUAL]","",IFERROR(AVERAGEIFS(nNOTA,nNIA,A370,nCUENTA,1,nASIG,"Lenguaje Musical"),"")))</f>
        <v/>
      </c>
      <c r="C370" t="str">
        <f>IF(A370="","",IF(A370="[FÓRMULA MANUAL]","",IFERROR(AVERAGEIFS(nNOTA,nNIA,A370,nCUENTA,1,nASIG,"Orquesta/Banda/Conjunto"),"")))</f>
        <v/>
      </c>
      <c r="D370" t="str">
        <f>IF(A370="","",IF(A370="[FÓRMULA MANUAL]","",IFERROR(AVERAGEIFS(nNOTA,nNIA,A370,nCUENTA,1,nASIG,"Conjunto"),"")))</f>
        <v/>
      </c>
      <c r="E370" t="str">
        <f>IF(A370="","",IF(A370="[FÓRMULA MANUAL]","",IFERROR(SUMPRODUCT((nNIA=A370)*(nCUENTA=1)*(COUNTIF(CONFIG_ASIGNATURAS!$B$7:$B$27,nASIG)&gt;0)*(nNOTA))/SUMPRODUCT((nNIA=A370)*(nCUENTA=1)*(COUNTIF(CONFIG_ASIGNATURAS!$B$7:$B$27,nASIG)&gt;0)*1),"")))</f>
        <v/>
      </c>
      <c r="H370" t="str">
        <f>IF(G370="","",IF(G370="[FÓRMULA MANUAL]","",IFERROR(AVERAGEIFS(nNOTA,nNIA,G370,nCUENTA,1,nASIG,"Lenguaje Musical"),"")))</f>
        <v/>
      </c>
      <c r="I370" t="str">
        <f>IF(G370="","",IF(G370="[FÓRMULA MANUAL]","",IFERROR(AVERAGEIFS(nNOTA,nNIA,G370,nCUENTA,1,nASIG,"Orquesta/Banda/Conjunto"),"")))</f>
        <v/>
      </c>
      <c r="J370" t="str">
        <f>IF(G370="","",IF(G370="[FÓRMULA MANUAL]","",IFERROR(AVERAGEIFS(nNOTA,nNIA,G370,nCUENTA,1,nASIG,"Conjunto"),"")))</f>
        <v/>
      </c>
      <c r="K370" t="str">
        <f>IF(G370="","",IF(G370="[FÓRMULA MANUAL]","",IFERROR(SUMPRODUCT((nNIA=G370)*(nCUENTA=1)*(COUNTIF(CONFIG_ASIGNATURAS!$B$7:$B$27,nASIG)&gt;0)*(nNOTA))/SUMPRODUCT((nNIA=G370)*(nCUENTA=1)*(COUNTIF(CONFIG_ASIGNATURAS!$B$7:$B$27,nASIG)&gt;0)*1),"")))</f>
        <v/>
      </c>
      <c r="N370" t="str">
        <f>IF(M370="","",IF(M370="[FÓRMULA MANUAL]","",IFERROR(AVERAGEIFS(nNOTA,nNIA,M370,nCUENTA,1,nASIG,"Armonía"),"")))</f>
        <v/>
      </c>
      <c r="O370" t="str">
        <f>IF(M370="","",IF(M370="[FÓRMULA MANUAL]","",IFERROR(AVERAGEIFS(nNOTA,nNIA,M370,nCUENTA,1,nASIG,"Orquesta/Banda/Conjunto"),"")))</f>
        <v/>
      </c>
      <c r="P370" t="str">
        <f>IF(M370="","",IF(M370="[FÓRMULA MANUAL]","",IFERROR(AVERAGEIFS(nNOTA,nNIA,M370,nCUENTA,1,nASIG,"Música de Cámara"),"")))</f>
        <v/>
      </c>
      <c r="Q370" t="str">
        <f>IF(M370="","",IF(M370="[FÓRMULA MANUAL]","",IFERROR(SUMPRODUCT((nNIA=M370)*(nCUENTA=1)*(COUNTIF(CONFIG_ASIGNATURAS!$B$7:$B$27,nASIG)&gt;0)*(nNOTA))/SUMPRODUCT((nNIA=M370)*(nCUENTA=1)*(COUNTIF(CONFIG_ASIGNATURAS!$B$7:$B$27,nASIG)&gt;0)*1),"")))</f>
        <v/>
      </c>
      <c r="T370" t="str">
        <f>IF(S370="","",IF(S370="[FÓRMULA MANUAL]","",IFERROR(AVERAGEIFS(nNOTA,nNIA,S370,nCUENTA,1,nASIG,"Armonía"),"")))</f>
        <v/>
      </c>
      <c r="U370" t="str">
        <f>IF(S370="","",IF(S370="[FÓRMULA MANUAL]","",IFERROR(AVERAGEIFS(nNOTA,nNIA,S370,nCUENTA,1,nASIG,"Orquesta/Banda/Conjunto"),"")))</f>
        <v/>
      </c>
      <c r="V370" t="str">
        <f>IF(S370="","",IF(S370="[FÓRMULA MANUAL]","",IFERROR(AVERAGEIFS(nNOTA,nNIA,S370,nCUENTA,1,nASIG,"Música de Cámara"),"")))</f>
        <v/>
      </c>
      <c r="W370" t="str">
        <f>IF(S370="","",IF(S370="[FÓRMULA MANUAL]","",IFERROR(SUMPRODUCT((nNIA=S370)*(nCUENTA=1)*(COUNTIF(CONFIG_ASIGNATURAS!$B$7:$B$27,nASIG)&gt;0)*(nNOTA))/SUMPRODUCT((nNIA=S370)*(nCUENTA=1)*(COUNTIF(CONFIG_ASIGNATURAS!$B$7:$B$27,nASIG)&gt;0)*1),"")))</f>
        <v/>
      </c>
      <c r="Z370" t="str">
        <f>IF(Y370="","",IF(Y370="[FÓRMULA MANUAL]","",IFERROR(AVERAGEIFS(nNOTA,nNIA,Y370,nCUENTA,1,nASIG,"Análisis"),"")))</f>
        <v/>
      </c>
      <c r="AA370" t="str">
        <f>IF(Y370="","",IF(Y370="[FÓRMULA MANUAL]","",IFERROR(AVERAGEIFS(nNOTA,nNIA,Y370,nCUENTA,1,nASIG,"Orquesta/Banda/Conjunto"),"")))</f>
        <v/>
      </c>
      <c r="AB370" t="str">
        <f>IF(Y370="","",IF(Y370="[FÓRMULA MANUAL]","",IFERROR(AVERAGEIFS(nNOTA,nNIA,Y370,nCUENTA,1,nASIG,"Música de Cámara"),"")))</f>
        <v/>
      </c>
      <c r="AC370" t="str">
        <f>IF(Y370="","",IF(Y370="[FÓRMULA MANUAL]","",IFERROR(SUMPRODUCT((nNIA=Y370)*(nCUENTA=1)*(COUNTIF(CONFIG_ASIGNATURAS!$B$7:$B$27,nASIG)&gt;0)*(nNOTA))/SUMPRODUCT((nNIA=Y370)*(nCUENTA=1)*(COUNTIF(CONFIG_ASIGNATURAS!$B$7:$B$27,nASIG)&gt;0)*1),"")))</f>
        <v/>
      </c>
      <c r="AF370" t="str">
        <f>IF(AE370="","",IF(AE370="[FÓRMULA MANUAL]","",IFERROR(AVERAGEIFS(nNOTA,nNIA,AE370,nCUENTA,1,nASIG,"Análisis"),"")))</f>
        <v/>
      </c>
      <c r="AG370" t="str">
        <f>IF(AE370="","",IF(AE370="[FÓRMULA MANUAL]","",IFERROR(AVERAGEIFS(nNOTA,nNIA,AE370,nCUENTA,1,nASIG,"Orquesta/Banda/Conjunto"),"")))</f>
        <v/>
      </c>
      <c r="AH370" t="str">
        <f>IF(AE370="","",IF(AE370="[FÓRMULA MANUAL]","",IFERROR(AVERAGEIFS(nNOTA,nNIA,AE370,nCUENTA,1,nASIG,"Música de Cámara"),"")))</f>
        <v/>
      </c>
      <c r="AI370" t="str">
        <f>IF(AE370="","",IF(AE370="[FÓRMULA MANUAL]","",IFERROR(SUMPRODUCT((nNIA=AE370)*(nCUENTA=1)*(COUNTIF(CONFIG_ASIGNATURAS!$B$7:$B$27,nASIG)&gt;0)*(nNOTA))/SUMPRODUCT((nNIA=AE370)*(nCUENTA=1)*(COUNTIF(CONFIG_ASIGNATURAS!$B$7:$B$27,nASIG)&gt;0)*1),"")))</f>
        <v/>
      </c>
    </row>
    <row r="371" spans="2:35" x14ac:dyDescent="0.2">
      <c r="B371" t="str">
        <f>IF(A371="","",IF(A371="[FÓRMULA MANUAL]","",IFERROR(AVERAGEIFS(nNOTA,nNIA,A371,nCUENTA,1,nASIG,"Lenguaje Musical"),"")))</f>
        <v/>
      </c>
      <c r="C371" t="str">
        <f>IF(A371="","",IF(A371="[FÓRMULA MANUAL]","",IFERROR(AVERAGEIFS(nNOTA,nNIA,A371,nCUENTA,1,nASIG,"Orquesta/Banda/Conjunto"),"")))</f>
        <v/>
      </c>
      <c r="D371" t="str">
        <f>IF(A371="","",IF(A371="[FÓRMULA MANUAL]","",IFERROR(AVERAGEIFS(nNOTA,nNIA,A371,nCUENTA,1,nASIG,"Conjunto"),"")))</f>
        <v/>
      </c>
      <c r="E371" t="str">
        <f>IF(A371="","",IF(A371="[FÓRMULA MANUAL]","",IFERROR(SUMPRODUCT((nNIA=A371)*(nCUENTA=1)*(COUNTIF(CONFIG_ASIGNATURAS!$B$7:$B$27,nASIG)&gt;0)*(nNOTA))/SUMPRODUCT((nNIA=A371)*(nCUENTA=1)*(COUNTIF(CONFIG_ASIGNATURAS!$B$7:$B$27,nASIG)&gt;0)*1),"")))</f>
        <v/>
      </c>
      <c r="H371" t="str">
        <f>IF(G371="","",IF(G371="[FÓRMULA MANUAL]","",IFERROR(AVERAGEIFS(nNOTA,nNIA,G371,nCUENTA,1,nASIG,"Lenguaje Musical"),"")))</f>
        <v/>
      </c>
      <c r="I371" t="str">
        <f>IF(G371="","",IF(G371="[FÓRMULA MANUAL]","",IFERROR(AVERAGEIFS(nNOTA,nNIA,G371,nCUENTA,1,nASIG,"Orquesta/Banda/Conjunto"),"")))</f>
        <v/>
      </c>
      <c r="J371" t="str">
        <f>IF(G371="","",IF(G371="[FÓRMULA MANUAL]","",IFERROR(AVERAGEIFS(nNOTA,nNIA,G371,nCUENTA,1,nASIG,"Conjunto"),"")))</f>
        <v/>
      </c>
      <c r="K371" t="str">
        <f>IF(G371="","",IF(G371="[FÓRMULA MANUAL]","",IFERROR(SUMPRODUCT((nNIA=G371)*(nCUENTA=1)*(COUNTIF(CONFIG_ASIGNATURAS!$B$7:$B$27,nASIG)&gt;0)*(nNOTA))/SUMPRODUCT((nNIA=G371)*(nCUENTA=1)*(COUNTIF(CONFIG_ASIGNATURAS!$B$7:$B$27,nASIG)&gt;0)*1),"")))</f>
        <v/>
      </c>
      <c r="N371" t="str">
        <f>IF(M371="","",IF(M371="[FÓRMULA MANUAL]","",IFERROR(AVERAGEIFS(nNOTA,nNIA,M371,nCUENTA,1,nASIG,"Armonía"),"")))</f>
        <v/>
      </c>
      <c r="O371" t="str">
        <f>IF(M371="","",IF(M371="[FÓRMULA MANUAL]","",IFERROR(AVERAGEIFS(nNOTA,nNIA,M371,nCUENTA,1,nASIG,"Orquesta/Banda/Conjunto"),"")))</f>
        <v/>
      </c>
      <c r="P371" t="str">
        <f>IF(M371="","",IF(M371="[FÓRMULA MANUAL]","",IFERROR(AVERAGEIFS(nNOTA,nNIA,M371,nCUENTA,1,nASIG,"Música de Cámara"),"")))</f>
        <v/>
      </c>
      <c r="Q371" t="str">
        <f>IF(M371="","",IF(M371="[FÓRMULA MANUAL]","",IFERROR(SUMPRODUCT((nNIA=M371)*(nCUENTA=1)*(COUNTIF(CONFIG_ASIGNATURAS!$B$7:$B$27,nASIG)&gt;0)*(nNOTA))/SUMPRODUCT((nNIA=M371)*(nCUENTA=1)*(COUNTIF(CONFIG_ASIGNATURAS!$B$7:$B$27,nASIG)&gt;0)*1),"")))</f>
        <v/>
      </c>
      <c r="T371" t="str">
        <f>IF(S371="","",IF(S371="[FÓRMULA MANUAL]","",IFERROR(AVERAGEIFS(nNOTA,nNIA,S371,nCUENTA,1,nASIG,"Armonía"),"")))</f>
        <v/>
      </c>
      <c r="U371" t="str">
        <f>IF(S371="","",IF(S371="[FÓRMULA MANUAL]","",IFERROR(AVERAGEIFS(nNOTA,nNIA,S371,nCUENTA,1,nASIG,"Orquesta/Banda/Conjunto"),"")))</f>
        <v/>
      </c>
      <c r="V371" t="str">
        <f>IF(S371="","",IF(S371="[FÓRMULA MANUAL]","",IFERROR(AVERAGEIFS(nNOTA,nNIA,S371,nCUENTA,1,nASIG,"Música de Cámara"),"")))</f>
        <v/>
      </c>
      <c r="W371" t="str">
        <f>IF(S371="","",IF(S371="[FÓRMULA MANUAL]","",IFERROR(SUMPRODUCT((nNIA=S371)*(nCUENTA=1)*(COUNTIF(CONFIG_ASIGNATURAS!$B$7:$B$27,nASIG)&gt;0)*(nNOTA))/SUMPRODUCT((nNIA=S371)*(nCUENTA=1)*(COUNTIF(CONFIG_ASIGNATURAS!$B$7:$B$27,nASIG)&gt;0)*1),"")))</f>
        <v/>
      </c>
      <c r="Z371" t="str">
        <f>IF(Y371="","",IF(Y371="[FÓRMULA MANUAL]","",IFERROR(AVERAGEIFS(nNOTA,nNIA,Y371,nCUENTA,1,nASIG,"Análisis"),"")))</f>
        <v/>
      </c>
      <c r="AA371" t="str">
        <f>IF(Y371="","",IF(Y371="[FÓRMULA MANUAL]","",IFERROR(AVERAGEIFS(nNOTA,nNIA,Y371,nCUENTA,1,nASIG,"Orquesta/Banda/Conjunto"),"")))</f>
        <v/>
      </c>
      <c r="AB371" t="str">
        <f>IF(Y371="","",IF(Y371="[FÓRMULA MANUAL]","",IFERROR(AVERAGEIFS(nNOTA,nNIA,Y371,nCUENTA,1,nASIG,"Música de Cámara"),"")))</f>
        <v/>
      </c>
      <c r="AC371" t="str">
        <f>IF(Y371="","",IF(Y371="[FÓRMULA MANUAL]","",IFERROR(SUMPRODUCT((nNIA=Y371)*(nCUENTA=1)*(COUNTIF(CONFIG_ASIGNATURAS!$B$7:$B$27,nASIG)&gt;0)*(nNOTA))/SUMPRODUCT((nNIA=Y371)*(nCUENTA=1)*(COUNTIF(CONFIG_ASIGNATURAS!$B$7:$B$27,nASIG)&gt;0)*1),"")))</f>
        <v/>
      </c>
      <c r="AF371" t="str">
        <f>IF(AE371="","",IF(AE371="[FÓRMULA MANUAL]","",IFERROR(AVERAGEIFS(nNOTA,nNIA,AE371,nCUENTA,1,nASIG,"Análisis"),"")))</f>
        <v/>
      </c>
      <c r="AG371" t="str">
        <f>IF(AE371="","",IF(AE371="[FÓRMULA MANUAL]","",IFERROR(AVERAGEIFS(nNOTA,nNIA,AE371,nCUENTA,1,nASIG,"Orquesta/Banda/Conjunto"),"")))</f>
        <v/>
      </c>
      <c r="AH371" t="str">
        <f>IF(AE371="","",IF(AE371="[FÓRMULA MANUAL]","",IFERROR(AVERAGEIFS(nNOTA,nNIA,AE371,nCUENTA,1,nASIG,"Música de Cámara"),"")))</f>
        <v/>
      </c>
      <c r="AI371" t="str">
        <f>IF(AE371="","",IF(AE371="[FÓRMULA MANUAL]","",IFERROR(SUMPRODUCT((nNIA=AE371)*(nCUENTA=1)*(COUNTIF(CONFIG_ASIGNATURAS!$B$7:$B$27,nASIG)&gt;0)*(nNOTA))/SUMPRODUCT((nNIA=AE371)*(nCUENTA=1)*(COUNTIF(CONFIG_ASIGNATURAS!$B$7:$B$27,nASIG)&gt;0)*1),"")))</f>
        <v/>
      </c>
    </row>
    <row r="372" spans="2:35" x14ac:dyDescent="0.2">
      <c r="B372" t="str">
        <f>IF(A372="","",IF(A372="[FÓRMULA MANUAL]","",IFERROR(AVERAGEIFS(nNOTA,nNIA,A372,nCUENTA,1,nASIG,"Lenguaje Musical"),"")))</f>
        <v/>
      </c>
      <c r="C372" t="str">
        <f>IF(A372="","",IF(A372="[FÓRMULA MANUAL]","",IFERROR(AVERAGEIFS(nNOTA,nNIA,A372,nCUENTA,1,nASIG,"Orquesta/Banda/Conjunto"),"")))</f>
        <v/>
      </c>
      <c r="D372" t="str">
        <f>IF(A372="","",IF(A372="[FÓRMULA MANUAL]","",IFERROR(AVERAGEIFS(nNOTA,nNIA,A372,nCUENTA,1,nASIG,"Conjunto"),"")))</f>
        <v/>
      </c>
      <c r="E372" t="str">
        <f>IF(A372="","",IF(A372="[FÓRMULA MANUAL]","",IFERROR(SUMPRODUCT((nNIA=A372)*(nCUENTA=1)*(COUNTIF(CONFIG_ASIGNATURAS!$B$7:$B$27,nASIG)&gt;0)*(nNOTA))/SUMPRODUCT((nNIA=A372)*(nCUENTA=1)*(COUNTIF(CONFIG_ASIGNATURAS!$B$7:$B$27,nASIG)&gt;0)*1),"")))</f>
        <v/>
      </c>
      <c r="H372" t="str">
        <f>IF(G372="","",IF(G372="[FÓRMULA MANUAL]","",IFERROR(AVERAGEIFS(nNOTA,nNIA,G372,nCUENTA,1,nASIG,"Lenguaje Musical"),"")))</f>
        <v/>
      </c>
      <c r="I372" t="str">
        <f>IF(G372="","",IF(G372="[FÓRMULA MANUAL]","",IFERROR(AVERAGEIFS(nNOTA,nNIA,G372,nCUENTA,1,nASIG,"Orquesta/Banda/Conjunto"),"")))</f>
        <v/>
      </c>
      <c r="J372" t="str">
        <f>IF(G372="","",IF(G372="[FÓRMULA MANUAL]","",IFERROR(AVERAGEIFS(nNOTA,nNIA,G372,nCUENTA,1,nASIG,"Conjunto"),"")))</f>
        <v/>
      </c>
      <c r="K372" t="str">
        <f>IF(G372="","",IF(G372="[FÓRMULA MANUAL]","",IFERROR(SUMPRODUCT((nNIA=G372)*(nCUENTA=1)*(COUNTIF(CONFIG_ASIGNATURAS!$B$7:$B$27,nASIG)&gt;0)*(nNOTA))/SUMPRODUCT((nNIA=G372)*(nCUENTA=1)*(COUNTIF(CONFIG_ASIGNATURAS!$B$7:$B$27,nASIG)&gt;0)*1),"")))</f>
        <v/>
      </c>
      <c r="N372" t="str">
        <f>IF(M372="","",IF(M372="[FÓRMULA MANUAL]","",IFERROR(AVERAGEIFS(nNOTA,nNIA,M372,nCUENTA,1,nASIG,"Armonía"),"")))</f>
        <v/>
      </c>
      <c r="O372" t="str">
        <f>IF(M372="","",IF(M372="[FÓRMULA MANUAL]","",IFERROR(AVERAGEIFS(nNOTA,nNIA,M372,nCUENTA,1,nASIG,"Orquesta/Banda/Conjunto"),"")))</f>
        <v/>
      </c>
      <c r="P372" t="str">
        <f>IF(M372="","",IF(M372="[FÓRMULA MANUAL]","",IFERROR(AVERAGEIFS(nNOTA,nNIA,M372,nCUENTA,1,nASIG,"Música de Cámara"),"")))</f>
        <v/>
      </c>
      <c r="Q372" t="str">
        <f>IF(M372="","",IF(M372="[FÓRMULA MANUAL]","",IFERROR(SUMPRODUCT((nNIA=M372)*(nCUENTA=1)*(COUNTIF(CONFIG_ASIGNATURAS!$B$7:$B$27,nASIG)&gt;0)*(nNOTA))/SUMPRODUCT((nNIA=M372)*(nCUENTA=1)*(COUNTIF(CONFIG_ASIGNATURAS!$B$7:$B$27,nASIG)&gt;0)*1),"")))</f>
        <v/>
      </c>
      <c r="T372" t="str">
        <f>IF(S372="","",IF(S372="[FÓRMULA MANUAL]","",IFERROR(AVERAGEIFS(nNOTA,nNIA,S372,nCUENTA,1,nASIG,"Armonía"),"")))</f>
        <v/>
      </c>
      <c r="U372" t="str">
        <f>IF(S372="","",IF(S372="[FÓRMULA MANUAL]","",IFERROR(AVERAGEIFS(nNOTA,nNIA,S372,nCUENTA,1,nASIG,"Orquesta/Banda/Conjunto"),"")))</f>
        <v/>
      </c>
      <c r="V372" t="str">
        <f>IF(S372="","",IF(S372="[FÓRMULA MANUAL]","",IFERROR(AVERAGEIFS(nNOTA,nNIA,S372,nCUENTA,1,nASIG,"Música de Cámara"),"")))</f>
        <v/>
      </c>
      <c r="W372" t="str">
        <f>IF(S372="","",IF(S372="[FÓRMULA MANUAL]","",IFERROR(SUMPRODUCT((nNIA=S372)*(nCUENTA=1)*(COUNTIF(CONFIG_ASIGNATURAS!$B$7:$B$27,nASIG)&gt;0)*(nNOTA))/SUMPRODUCT((nNIA=S372)*(nCUENTA=1)*(COUNTIF(CONFIG_ASIGNATURAS!$B$7:$B$27,nASIG)&gt;0)*1),"")))</f>
        <v/>
      </c>
      <c r="Z372" t="str">
        <f>IF(Y372="","",IF(Y372="[FÓRMULA MANUAL]","",IFERROR(AVERAGEIFS(nNOTA,nNIA,Y372,nCUENTA,1,nASIG,"Análisis"),"")))</f>
        <v/>
      </c>
      <c r="AA372" t="str">
        <f>IF(Y372="","",IF(Y372="[FÓRMULA MANUAL]","",IFERROR(AVERAGEIFS(nNOTA,nNIA,Y372,nCUENTA,1,nASIG,"Orquesta/Banda/Conjunto"),"")))</f>
        <v/>
      </c>
      <c r="AB372" t="str">
        <f>IF(Y372="","",IF(Y372="[FÓRMULA MANUAL]","",IFERROR(AVERAGEIFS(nNOTA,nNIA,Y372,nCUENTA,1,nASIG,"Música de Cámara"),"")))</f>
        <v/>
      </c>
      <c r="AC372" t="str">
        <f>IF(Y372="","",IF(Y372="[FÓRMULA MANUAL]","",IFERROR(SUMPRODUCT((nNIA=Y372)*(nCUENTA=1)*(COUNTIF(CONFIG_ASIGNATURAS!$B$7:$B$27,nASIG)&gt;0)*(nNOTA))/SUMPRODUCT((nNIA=Y372)*(nCUENTA=1)*(COUNTIF(CONFIG_ASIGNATURAS!$B$7:$B$27,nASIG)&gt;0)*1),"")))</f>
        <v/>
      </c>
      <c r="AF372" t="str">
        <f>IF(AE372="","",IF(AE372="[FÓRMULA MANUAL]","",IFERROR(AVERAGEIFS(nNOTA,nNIA,AE372,nCUENTA,1,nASIG,"Análisis"),"")))</f>
        <v/>
      </c>
      <c r="AG372" t="str">
        <f>IF(AE372="","",IF(AE372="[FÓRMULA MANUAL]","",IFERROR(AVERAGEIFS(nNOTA,nNIA,AE372,nCUENTA,1,nASIG,"Orquesta/Banda/Conjunto"),"")))</f>
        <v/>
      </c>
      <c r="AH372" t="str">
        <f>IF(AE372="","",IF(AE372="[FÓRMULA MANUAL]","",IFERROR(AVERAGEIFS(nNOTA,nNIA,AE372,nCUENTA,1,nASIG,"Música de Cámara"),"")))</f>
        <v/>
      </c>
      <c r="AI372" t="str">
        <f>IF(AE372="","",IF(AE372="[FÓRMULA MANUAL]","",IFERROR(SUMPRODUCT((nNIA=AE372)*(nCUENTA=1)*(COUNTIF(CONFIG_ASIGNATURAS!$B$7:$B$27,nASIG)&gt;0)*(nNOTA))/SUMPRODUCT((nNIA=AE372)*(nCUENTA=1)*(COUNTIF(CONFIG_ASIGNATURAS!$B$7:$B$27,nASIG)&gt;0)*1),"")))</f>
        <v/>
      </c>
    </row>
    <row r="373" spans="2:35" x14ac:dyDescent="0.2">
      <c r="B373" t="str">
        <f>IF(A373="","",IF(A373="[FÓRMULA MANUAL]","",IFERROR(AVERAGEIFS(nNOTA,nNIA,A373,nCUENTA,1,nASIG,"Lenguaje Musical"),"")))</f>
        <v/>
      </c>
      <c r="C373" t="str">
        <f>IF(A373="","",IF(A373="[FÓRMULA MANUAL]","",IFERROR(AVERAGEIFS(nNOTA,nNIA,A373,nCUENTA,1,nASIG,"Orquesta/Banda/Conjunto"),"")))</f>
        <v/>
      </c>
      <c r="D373" t="str">
        <f>IF(A373="","",IF(A373="[FÓRMULA MANUAL]","",IFERROR(AVERAGEIFS(nNOTA,nNIA,A373,nCUENTA,1,nASIG,"Conjunto"),"")))</f>
        <v/>
      </c>
      <c r="E373" t="str">
        <f>IF(A373="","",IF(A373="[FÓRMULA MANUAL]","",IFERROR(SUMPRODUCT((nNIA=A373)*(nCUENTA=1)*(COUNTIF(CONFIG_ASIGNATURAS!$B$7:$B$27,nASIG)&gt;0)*(nNOTA))/SUMPRODUCT((nNIA=A373)*(nCUENTA=1)*(COUNTIF(CONFIG_ASIGNATURAS!$B$7:$B$27,nASIG)&gt;0)*1),"")))</f>
        <v/>
      </c>
      <c r="H373" t="str">
        <f>IF(G373="","",IF(G373="[FÓRMULA MANUAL]","",IFERROR(AVERAGEIFS(nNOTA,nNIA,G373,nCUENTA,1,nASIG,"Lenguaje Musical"),"")))</f>
        <v/>
      </c>
      <c r="I373" t="str">
        <f>IF(G373="","",IF(G373="[FÓRMULA MANUAL]","",IFERROR(AVERAGEIFS(nNOTA,nNIA,G373,nCUENTA,1,nASIG,"Orquesta/Banda/Conjunto"),"")))</f>
        <v/>
      </c>
      <c r="J373" t="str">
        <f>IF(G373="","",IF(G373="[FÓRMULA MANUAL]","",IFERROR(AVERAGEIFS(nNOTA,nNIA,G373,nCUENTA,1,nASIG,"Conjunto"),"")))</f>
        <v/>
      </c>
      <c r="K373" t="str">
        <f>IF(G373="","",IF(G373="[FÓRMULA MANUAL]","",IFERROR(SUMPRODUCT((nNIA=G373)*(nCUENTA=1)*(COUNTIF(CONFIG_ASIGNATURAS!$B$7:$B$27,nASIG)&gt;0)*(nNOTA))/SUMPRODUCT((nNIA=G373)*(nCUENTA=1)*(COUNTIF(CONFIG_ASIGNATURAS!$B$7:$B$27,nASIG)&gt;0)*1),"")))</f>
        <v/>
      </c>
      <c r="N373" t="str">
        <f>IF(M373="","",IF(M373="[FÓRMULA MANUAL]","",IFERROR(AVERAGEIFS(nNOTA,nNIA,M373,nCUENTA,1,nASIG,"Armonía"),"")))</f>
        <v/>
      </c>
      <c r="O373" t="str">
        <f>IF(M373="","",IF(M373="[FÓRMULA MANUAL]","",IFERROR(AVERAGEIFS(nNOTA,nNIA,M373,nCUENTA,1,nASIG,"Orquesta/Banda/Conjunto"),"")))</f>
        <v/>
      </c>
      <c r="P373" t="str">
        <f>IF(M373="","",IF(M373="[FÓRMULA MANUAL]","",IFERROR(AVERAGEIFS(nNOTA,nNIA,M373,nCUENTA,1,nASIG,"Música de Cámara"),"")))</f>
        <v/>
      </c>
      <c r="Q373" t="str">
        <f>IF(M373="","",IF(M373="[FÓRMULA MANUAL]","",IFERROR(SUMPRODUCT((nNIA=M373)*(nCUENTA=1)*(COUNTIF(CONFIG_ASIGNATURAS!$B$7:$B$27,nASIG)&gt;0)*(nNOTA))/SUMPRODUCT((nNIA=M373)*(nCUENTA=1)*(COUNTIF(CONFIG_ASIGNATURAS!$B$7:$B$27,nASIG)&gt;0)*1),"")))</f>
        <v/>
      </c>
      <c r="T373" t="str">
        <f>IF(S373="","",IF(S373="[FÓRMULA MANUAL]","",IFERROR(AVERAGEIFS(nNOTA,nNIA,S373,nCUENTA,1,nASIG,"Armonía"),"")))</f>
        <v/>
      </c>
      <c r="U373" t="str">
        <f>IF(S373="","",IF(S373="[FÓRMULA MANUAL]","",IFERROR(AVERAGEIFS(nNOTA,nNIA,S373,nCUENTA,1,nASIG,"Orquesta/Banda/Conjunto"),"")))</f>
        <v/>
      </c>
      <c r="V373" t="str">
        <f>IF(S373="","",IF(S373="[FÓRMULA MANUAL]","",IFERROR(AVERAGEIFS(nNOTA,nNIA,S373,nCUENTA,1,nASIG,"Música de Cámara"),"")))</f>
        <v/>
      </c>
      <c r="W373" t="str">
        <f>IF(S373="","",IF(S373="[FÓRMULA MANUAL]","",IFERROR(SUMPRODUCT((nNIA=S373)*(nCUENTA=1)*(COUNTIF(CONFIG_ASIGNATURAS!$B$7:$B$27,nASIG)&gt;0)*(nNOTA))/SUMPRODUCT((nNIA=S373)*(nCUENTA=1)*(COUNTIF(CONFIG_ASIGNATURAS!$B$7:$B$27,nASIG)&gt;0)*1),"")))</f>
        <v/>
      </c>
      <c r="Z373" t="str">
        <f>IF(Y373="","",IF(Y373="[FÓRMULA MANUAL]","",IFERROR(AVERAGEIFS(nNOTA,nNIA,Y373,nCUENTA,1,nASIG,"Análisis"),"")))</f>
        <v/>
      </c>
      <c r="AA373" t="str">
        <f>IF(Y373="","",IF(Y373="[FÓRMULA MANUAL]","",IFERROR(AVERAGEIFS(nNOTA,nNIA,Y373,nCUENTA,1,nASIG,"Orquesta/Banda/Conjunto"),"")))</f>
        <v/>
      </c>
      <c r="AB373" t="str">
        <f>IF(Y373="","",IF(Y373="[FÓRMULA MANUAL]","",IFERROR(AVERAGEIFS(nNOTA,nNIA,Y373,nCUENTA,1,nASIG,"Música de Cámara"),"")))</f>
        <v/>
      </c>
      <c r="AC373" t="str">
        <f>IF(Y373="","",IF(Y373="[FÓRMULA MANUAL]","",IFERROR(SUMPRODUCT((nNIA=Y373)*(nCUENTA=1)*(COUNTIF(CONFIG_ASIGNATURAS!$B$7:$B$27,nASIG)&gt;0)*(nNOTA))/SUMPRODUCT((nNIA=Y373)*(nCUENTA=1)*(COUNTIF(CONFIG_ASIGNATURAS!$B$7:$B$27,nASIG)&gt;0)*1),"")))</f>
        <v/>
      </c>
      <c r="AF373" t="str">
        <f>IF(AE373="","",IF(AE373="[FÓRMULA MANUAL]","",IFERROR(AVERAGEIFS(nNOTA,nNIA,AE373,nCUENTA,1,nASIG,"Análisis"),"")))</f>
        <v/>
      </c>
      <c r="AG373" t="str">
        <f>IF(AE373="","",IF(AE373="[FÓRMULA MANUAL]","",IFERROR(AVERAGEIFS(nNOTA,nNIA,AE373,nCUENTA,1,nASIG,"Orquesta/Banda/Conjunto"),"")))</f>
        <v/>
      </c>
      <c r="AH373" t="str">
        <f>IF(AE373="","",IF(AE373="[FÓRMULA MANUAL]","",IFERROR(AVERAGEIFS(nNOTA,nNIA,AE373,nCUENTA,1,nASIG,"Música de Cámara"),"")))</f>
        <v/>
      </c>
      <c r="AI373" t="str">
        <f>IF(AE373="","",IF(AE373="[FÓRMULA MANUAL]","",IFERROR(SUMPRODUCT((nNIA=AE373)*(nCUENTA=1)*(COUNTIF(CONFIG_ASIGNATURAS!$B$7:$B$27,nASIG)&gt;0)*(nNOTA))/SUMPRODUCT((nNIA=AE373)*(nCUENTA=1)*(COUNTIF(CONFIG_ASIGNATURAS!$B$7:$B$27,nASIG)&gt;0)*1),"")))</f>
        <v/>
      </c>
    </row>
    <row r="374" spans="2:35" x14ac:dyDescent="0.2">
      <c r="B374" t="str">
        <f>IF(A374="","",IF(A374="[FÓRMULA MANUAL]","",IFERROR(AVERAGEIFS(nNOTA,nNIA,A374,nCUENTA,1,nASIG,"Lenguaje Musical"),"")))</f>
        <v/>
      </c>
      <c r="C374" t="str">
        <f>IF(A374="","",IF(A374="[FÓRMULA MANUAL]","",IFERROR(AVERAGEIFS(nNOTA,nNIA,A374,nCUENTA,1,nASIG,"Orquesta/Banda/Conjunto"),"")))</f>
        <v/>
      </c>
      <c r="D374" t="str">
        <f>IF(A374="","",IF(A374="[FÓRMULA MANUAL]","",IFERROR(AVERAGEIFS(nNOTA,nNIA,A374,nCUENTA,1,nASIG,"Conjunto"),"")))</f>
        <v/>
      </c>
      <c r="E374" t="str">
        <f>IF(A374="","",IF(A374="[FÓRMULA MANUAL]","",IFERROR(SUMPRODUCT((nNIA=A374)*(nCUENTA=1)*(COUNTIF(CONFIG_ASIGNATURAS!$B$7:$B$27,nASIG)&gt;0)*(nNOTA))/SUMPRODUCT((nNIA=A374)*(nCUENTA=1)*(COUNTIF(CONFIG_ASIGNATURAS!$B$7:$B$27,nASIG)&gt;0)*1),"")))</f>
        <v/>
      </c>
      <c r="H374" t="str">
        <f>IF(G374="","",IF(G374="[FÓRMULA MANUAL]","",IFERROR(AVERAGEIFS(nNOTA,nNIA,G374,nCUENTA,1,nASIG,"Lenguaje Musical"),"")))</f>
        <v/>
      </c>
      <c r="I374" t="str">
        <f>IF(G374="","",IF(G374="[FÓRMULA MANUAL]","",IFERROR(AVERAGEIFS(nNOTA,nNIA,G374,nCUENTA,1,nASIG,"Orquesta/Banda/Conjunto"),"")))</f>
        <v/>
      </c>
      <c r="J374" t="str">
        <f>IF(G374="","",IF(G374="[FÓRMULA MANUAL]","",IFERROR(AVERAGEIFS(nNOTA,nNIA,G374,nCUENTA,1,nASIG,"Conjunto"),"")))</f>
        <v/>
      </c>
      <c r="K374" t="str">
        <f>IF(G374="","",IF(G374="[FÓRMULA MANUAL]","",IFERROR(SUMPRODUCT((nNIA=G374)*(nCUENTA=1)*(COUNTIF(CONFIG_ASIGNATURAS!$B$7:$B$27,nASIG)&gt;0)*(nNOTA))/SUMPRODUCT((nNIA=G374)*(nCUENTA=1)*(COUNTIF(CONFIG_ASIGNATURAS!$B$7:$B$27,nASIG)&gt;0)*1),"")))</f>
        <v/>
      </c>
      <c r="N374" t="str">
        <f>IF(M374="","",IF(M374="[FÓRMULA MANUAL]","",IFERROR(AVERAGEIFS(nNOTA,nNIA,M374,nCUENTA,1,nASIG,"Armonía"),"")))</f>
        <v/>
      </c>
      <c r="O374" t="str">
        <f>IF(M374="","",IF(M374="[FÓRMULA MANUAL]","",IFERROR(AVERAGEIFS(nNOTA,nNIA,M374,nCUENTA,1,nASIG,"Orquesta/Banda/Conjunto"),"")))</f>
        <v/>
      </c>
      <c r="P374" t="str">
        <f>IF(M374="","",IF(M374="[FÓRMULA MANUAL]","",IFERROR(AVERAGEIFS(nNOTA,nNIA,M374,nCUENTA,1,nASIG,"Música de Cámara"),"")))</f>
        <v/>
      </c>
      <c r="Q374" t="str">
        <f>IF(M374="","",IF(M374="[FÓRMULA MANUAL]","",IFERROR(SUMPRODUCT((nNIA=M374)*(nCUENTA=1)*(COUNTIF(CONFIG_ASIGNATURAS!$B$7:$B$27,nASIG)&gt;0)*(nNOTA))/SUMPRODUCT((nNIA=M374)*(nCUENTA=1)*(COUNTIF(CONFIG_ASIGNATURAS!$B$7:$B$27,nASIG)&gt;0)*1),"")))</f>
        <v/>
      </c>
      <c r="T374" t="str">
        <f>IF(S374="","",IF(S374="[FÓRMULA MANUAL]","",IFERROR(AVERAGEIFS(nNOTA,nNIA,S374,nCUENTA,1,nASIG,"Armonía"),"")))</f>
        <v/>
      </c>
      <c r="U374" t="str">
        <f>IF(S374="","",IF(S374="[FÓRMULA MANUAL]","",IFERROR(AVERAGEIFS(nNOTA,nNIA,S374,nCUENTA,1,nASIG,"Orquesta/Banda/Conjunto"),"")))</f>
        <v/>
      </c>
      <c r="V374" t="str">
        <f>IF(S374="","",IF(S374="[FÓRMULA MANUAL]","",IFERROR(AVERAGEIFS(nNOTA,nNIA,S374,nCUENTA,1,nASIG,"Música de Cámara"),"")))</f>
        <v/>
      </c>
      <c r="W374" t="str">
        <f>IF(S374="","",IF(S374="[FÓRMULA MANUAL]","",IFERROR(SUMPRODUCT((nNIA=S374)*(nCUENTA=1)*(COUNTIF(CONFIG_ASIGNATURAS!$B$7:$B$27,nASIG)&gt;0)*(nNOTA))/SUMPRODUCT((nNIA=S374)*(nCUENTA=1)*(COUNTIF(CONFIG_ASIGNATURAS!$B$7:$B$27,nASIG)&gt;0)*1),"")))</f>
        <v/>
      </c>
      <c r="Z374" t="str">
        <f>IF(Y374="","",IF(Y374="[FÓRMULA MANUAL]","",IFERROR(AVERAGEIFS(nNOTA,nNIA,Y374,nCUENTA,1,nASIG,"Análisis"),"")))</f>
        <v/>
      </c>
      <c r="AA374" t="str">
        <f>IF(Y374="","",IF(Y374="[FÓRMULA MANUAL]","",IFERROR(AVERAGEIFS(nNOTA,nNIA,Y374,nCUENTA,1,nASIG,"Orquesta/Banda/Conjunto"),"")))</f>
        <v/>
      </c>
      <c r="AB374" t="str">
        <f>IF(Y374="","",IF(Y374="[FÓRMULA MANUAL]","",IFERROR(AVERAGEIFS(nNOTA,nNIA,Y374,nCUENTA,1,nASIG,"Música de Cámara"),"")))</f>
        <v/>
      </c>
      <c r="AC374" t="str">
        <f>IF(Y374="","",IF(Y374="[FÓRMULA MANUAL]","",IFERROR(SUMPRODUCT((nNIA=Y374)*(nCUENTA=1)*(COUNTIF(CONFIG_ASIGNATURAS!$B$7:$B$27,nASIG)&gt;0)*(nNOTA))/SUMPRODUCT((nNIA=Y374)*(nCUENTA=1)*(COUNTIF(CONFIG_ASIGNATURAS!$B$7:$B$27,nASIG)&gt;0)*1),"")))</f>
        <v/>
      </c>
      <c r="AF374" t="str">
        <f>IF(AE374="","",IF(AE374="[FÓRMULA MANUAL]","",IFERROR(AVERAGEIFS(nNOTA,nNIA,AE374,nCUENTA,1,nASIG,"Análisis"),"")))</f>
        <v/>
      </c>
      <c r="AG374" t="str">
        <f>IF(AE374="","",IF(AE374="[FÓRMULA MANUAL]","",IFERROR(AVERAGEIFS(nNOTA,nNIA,AE374,nCUENTA,1,nASIG,"Orquesta/Banda/Conjunto"),"")))</f>
        <v/>
      </c>
      <c r="AH374" t="str">
        <f>IF(AE374="","",IF(AE374="[FÓRMULA MANUAL]","",IFERROR(AVERAGEIFS(nNOTA,nNIA,AE374,nCUENTA,1,nASIG,"Música de Cámara"),"")))</f>
        <v/>
      </c>
      <c r="AI374" t="str">
        <f>IF(AE374="","",IF(AE374="[FÓRMULA MANUAL]","",IFERROR(SUMPRODUCT((nNIA=AE374)*(nCUENTA=1)*(COUNTIF(CONFIG_ASIGNATURAS!$B$7:$B$27,nASIG)&gt;0)*(nNOTA))/SUMPRODUCT((nNIA=AE374)*(nCUENTA=1)*(COUNTIF(CONFIG_ASIGNATURAS!$B$7:$B$27,nASIG)&gt;0)*1),"")))</f>
        <v/>
      </c>
    </row>
    <row r="375" spans="2:35" x14ac:dyDescent="0.2">
      <c r="B375" t="str">
        <f>IF(A375="","",IF(A375="[FÓRMULA MANUAL]","",IFERROR(AVERAGEIFS(nNOTA,nNIA,A375,nCUENTA,1,nASIG,"Lenguaje Musical"),"")))</f>
        <v/>
      </c>
      <c r="C375" t="str">
        <f>IF(A375="","",IF(A375="[FÓRMULA MANUAL]","",IFERROR(AVERAGEIFS(nNOTA,nNIA,A375,nCUENTA,1,nASIG,"Orquesta/Banda/Conjunto"),"")))</f>
        <v/>
      </c>
      <c r="D375" t="str">
        <f>IF(A375="","",IF(A375="[FÓRMULA MANUAL]","",IFERROR(AVERAGEIFS(nNOTA,nNIA,A375,nCUENTA,1,nASIG,"Conjunto"),"")))</f>
        <v/>
      </c>
      <c r="E375" t="str">
        <f>IF(A375="","",IF(A375="[FÓRMULA MANUAL]","",IFERROR(SUMPRODUCT((nNIA=A375)*(nCUENTA=1)*(COUNTIF(CONFIG_ASIGNATURAS!$B$7:$B$27,nASIG)&gt;0)*(nNOTA))/SUMPRODUCT((nNIA=A375)*(nCUENTA=1)*(COUNTIF(CONFIG_ASIGNATURAS!$B$7:$B$27,nASIG)&gt;0)*1),"")))</f>
        <v/>
      </c>
      <c r="H375" t="str">
        <f>IF(G375="","",IF(G375="[FÓRMULA MANUAL]","",IFERROR(AVERAGEIFS(nNOTA,nNIA,G375,nCUENTA,1,nASIG,"Lenguaje Musical"),"")))</f>
        <v/>
      </c>
      <c r="I375" t="str">
        <f>IF(G375="","",IF(G375="[FÓRMULA MANUAL]","",IFERROR(AVERAGEIFS(nNOTA,nNIA,G375,nCUENTA,1,nASIG,"Orquesta/Banda/Conjunto"),"")))</f>
        <v/>
      </c>
      <c r="J375" t="str">
        <f>IF(G375="","",IF(G375="[FÓRMULA MANUAL]","",IFERROR(AVERAGEIFS(nNOTA,nNIA,G375,nCUENTA,1,nASIG,"Conjunto"),"")))</f>
        <v/>
      </c>
      <c r="K375" t="str">
        <f>IF(G375="","",IF(G375="[FÓRMULA MANUAL]","",IFERROR(SUMPRODUCT((nNIA=G375)*(nCUENTA=1)*(COUNTIF(CONFIG_ASIGNATURAS!$B$7:$B$27,nASIG)&gt;0)*(nNOTA))/SUMPRODUCT((nNIA=G375)*(nCUENTA=1)*(COUNTIF(CONFIG_ASIGNATURAS!$B$7:$B$27,nASIG)&gt;0)*1),"")))</f>
        <v/>
      </c>
      <c r="N375" t="str">
        <f>IF(M375="","",IF(M375="[FÓRMULA MANUAL]","",IFERROR(AVERAGEIFS(nNOTA,nNIA,M375,nCUENTA,1,nASIG,"Armonía"),"")))</f>
        <v/>
      </c>
      <c r="O375" t="str">
        <f>IF(M375="","",IF(M375="[FÓRMULA MANUAL]","",IFERROR(AVERAGEIFS(nNOTA,nNIA,M375,nCUENTA,1,nASIG,"Orquesta/Banda/Conjunto"),"")))</f>
        <v/>
      </c>
      <c r="P375" t="str">
        <f>IF(M375="","",IF(M375="[FÓRMULA MANUAL]","",IFERROR(AVERAGEIFS(nNOTA,nNIA,M375,nCUENTA,1,nASIG,"Música de Cámara"),"")))</f>
        <v/>
      </c>
      <c r="Q375" t="str">
        <f>IF(M375="","",IF(M375="[FÓRMULA MANUAL]","",IFERROR(SUMPRODUCT((nNIA=M375)*(nCUENTA=1)*(COUNTIF(CONFIG_ASIGNATURAS!$B$7:$B$27,nASIG)&gt;0)*(nNOTA))/SUMPRODUCT((nNIA=M375)*(nCUENTA=1)*(COUNTIF(CONFIG_ASIGNATURAS!$B$7:$B$27,nASIG)&gt;0)*1),"")))</f>
        <v/>
      </c>
      <c r="T375" t="str">
        <f>IF(S375="","",IF(S375="[FÓRMULA MANUAL]","",IFERROR(AVERAGEIFS(nNOTA,nNIA,S375,nCUENTA,1,nASIG,"Armonía"),"")))</f>
        <v/>
      </c>
      <c r="U375" t="str">
        <f>IF(S375="","",IF(S375="[FÓRMULA MANUAL]","",IFERROR(AVERAGEIFS(nNOTA,nNIA,S375,nCUENTA,1,nASIG,"Orquesta/Banda/Conjunto"),"")))</f>
        <v/>
      </c>
      <c r="V375" t="str">
        <f>IF(S375="","",IF(S375="[FÓRMULA MANUAL]","",IFERROR(AVERAGEIFS(nNOTA,nNIA,S375,nCUENTA,1,nASIG,"Música de Cámara"),"")))</f>
        <v/>
      </c>
      <c r="W375" t="str">
        <f>IF(S375="","",IF(S375="[FÓRMULA MANUAL]","",IFERROR(SUMPRODUCT((nNIA=S375)*(nCUENTA=1)*(COUNTIF(CONFIG_ASIGNATURAS!$B$7:$B$27,nASIG)&gt;0)*(nNOTA))/SUMPRODUCT((nNIA=S375)*(nCUENTA=1)*(COUNTIF(CONFIG_ASIGNATURAS!$B$7:$B$27,nASIG)&gt;0)*1),"")))</f>
        <v/>
      </c>
      <c r="Z375" t="str">
        <f>IF(Y375="","",IF(Y375="[FÓRMULA MANUAL]","",IFERROR(AVERAGEIFS(nNOTA,nNIA,Y375,nCUENTA,1,nASIG,"Análisis"),"")))</f>
        <v/>
      </c>
      <c r="AA375" t="str">
        <f>IF(Y375="","",IF(Y375="[FÓRMULA MANUAL]","",IFERROR(AVERAGEIFS(nNOTA,nNIA,Y375,nCUENTA,1,nASIG,"Orquesta/Banda/Conjunto"),"")))</f>
        <v/>
      </c>
      <c r="AB375" t="str">
        <f>IF(Y375="","",IF(Y375="[FÓRMULA MANUAL]","",IFERROR(AVERAGEIFS(nNOTA,nNIA,Y375,nCUENTA,1,nASIG,"Música de Cámara"),"")))</f>
        <v/>
      </c>
      <c r="AC375" t="str">
        <f>IF(Y375="","",IF(Y375="[FÓRMULA MANUAL]","",IFERROR(SUMPRODUCT((nNIA=Y375)*(nCUENTA=1)*(COUNTIF(CONFIG_ASIGNATURAS!$B$7:$B$27,nASIG)&gt;0)*(nNOTA))/SUMPRODUCT((nNIA=Y375)*(nCUENTA=1)*(COUNTIF(CONFIG_ASIGNATURAS!$B$7:$B$27,nASIG)&gt;0)*1),"")))</f>
        <v/>
      </c>
      <c r="AF375" t="str">
        <f>IF(AE375="","",IF(AE375="[FÓRMULA MANUAL]","",IFERROR(AVERAGEIFS(nNOTA,nNIA,AE375,nCUENTA,1,nASIG,"Análisis"),"")))</f>
        <v/>
      </c>
      <c r="AG375" t="str">
        <f>IF(AE375="","",IF(AE375="[FÓRMULA MANUAL]","",IFERROR(AVERAGEIFS(nNOTA,nNIA,AE375,nCUENTA,1,nASIG,"Orquesta/Banda/Conjunto"),"")))</f>
        <v/>
      </c>
      <c r="AH375" t="str">
        <f>IF(AE375="","",IF(AE375="[FÓRMULA MANUAL]","",IFERROR(AVERAGEIFS(nNOTA,nNIA,AE375,nCUENTA,1,nASIG,"Música de Cámara"),"")))</f>
        <v/>
      </c>
      <c r="AI375" t="str">
        <f>IF(AE375="","",IF(AE375="[FÓRMULA MANUAL]","",IFERROR(SUMPRODUCT((nNIA=AE375)*(nCUENTA=1)*(COUNTIF(CONFIG_ASIGNATURAS!$B$7:$B$27,nASIG)&gt;0)*(nNOTA))/SUMPRODUCT((nNIA=AE375)*(nCUENTA=1)*(COUNTIF(CONFIG_ASIGNATURAS!$B$7:$B$27,nASIG)&gt;0)*1),"")))</f>
        <v/>
      </c>
    </row>
    <row r="376" spans="2:35" x14ac:dyDescent="0.2">
      <c r="B376" t="str">
        <f>IF(A376="","",IF(A376="[FÓRMULA MANUAL]","",IFERROR(AVERAGEIFS(nNOTA,nNIA,A376,nCUENTA,1,nASIG,"Lenguaje Musical"),"")))</f>
        <v/>
      </c>
      <c r="C376" t="str">
        <f>IF(A376="","",IF(A376="[FÓRMULA MANUAL]","",IFERROR(AVERAGEIFS(nNOTA,nNIA,A376,nCUENTA,1,nASIG,"Orquesta/Banda/Conjunto"),"")))</f>
        <v/>
      </c>
      <c r="D376" t="str">
        <f>IF(A376="","",IF(A376="[FÓRMULA MANUAL]","",IFERROR(AVERAGEIFS(nNOTA,nNIA,A376,nCUENTA,1,nASIG,"Conjunto"),"")))</f>
        <v/>
      </c>
      <c r="E376" t="str">
        <f>IF(A376="","",IF(A376="[FÓRMULA MANUAL]","",IFERROR(SUMPRODUCT((nNIA=A376)*(nCUENTA=1)*(COUNTIF(CONFIG_ASIGNATURAS!$B$7:$B$27,nASIG)&gt;0)*(nNOTA))/SUMPRODUCT((nNIA=A376)*(nCUENTA=1)*(COUNTIF(CONFIG_ASIGNATURAS!$B$7:$B$27,nASIG)&gt;0)*1),"")))</f>
        <v/>
      </c>
      <c r="H376" t="str">
        <f>IF(G376="","",IF(G376="[FÓRMULA MANUAL]","",IFERROR(AVERAGEIFS(nNOTA,nNIA,G376,nCUENTA,1,nASIG,"Lenguaje Musical"),"")))</f>
        <v/>
      </c>
      <c r="I376" t="str">
        <f>IF(G376="","",IF(G376="[FÓRMULA MANUAL]","",IFERROR(AVERAGEIFS(nNOTA,nNIA,G376,nCUENTA,1,nASIG,"Orquesta/Banda/Conjunto"),"")))</f>
        <v/>
      </c>
      <c r="J376" t="str">
        <f>IF(G376="","",IF(G376="[FÓRMULA MANUAL]","",IFERROR(AVERAGEIFS(nNOTA,nNIA,G376,nCUENTA,1,nASIG,"Conjunto"),"")))</f>
        <v/>
      </c>
      <c r="K376" t="str">
        <f>IF(G376="","",IF(G376="[FÓRMULA MANUAL]","",IFERROR(SUMPRODUCT((nNIA=G376)*(nCUENTA=1)*(COUNTIF(CONFIG_ASIGNATURAS!$B$7:$B$27,nASIG)&gt;0)*(nNOTA))/SUMPRODUCT((nNIA=G376)*(nCUENTA=1)*(COUNTIF(CONFIG_ASIGNATURAS!$B$7:$B$27,nASIG)&gt;0)*1),"")))</f>
        <v/>
      </c>
      <c r="N376" t="str">
        <f>IF(M376="","",IF(M376="[FÓRMULA MANUAL]","",IFERROR(AVERAGEIFS(nNOTA,nNIA,M376,nCUENTA,1,nASIG,"Armonía"),"")))</f>
        <v/>
      </c>
      <c r="O376" t="str">
        <f>IF(M376="","",IF(M376="[FÓRMULA MANUAL]","",IFERROR(AVERAGEIFS(nNOTA,nNIA,M376,nCUENTA,1,nASIG,"Orquesta/Banda/Conjunto"),"")))</f>
        <v/>
      </c>
      <c r="P376" t="str">
        <f>IF(M376="","",IF(M376="[FÓRMULA MANUAL]","",IFERROR(AVERAGEIFS(nNOTA,nNIA,M376,nCUENTA,1,nASIG,"Música de Cámara"),"")))</f>
        <v/>
      </c>
      <c r="Q376" t="str">
        <f>IF(M376="","",IF(M376="[FÓRMULA MANUAL]","",IFERROR(SUMPRODUCT((nNIA=M376)*(nCUENTA=1)*(COUNTIF(CONFIG_ASIGNATURAS!$B$7:$B$27,nASIG)&gt;0)*(nNOTA))/SUMPRODUCT((nNIA=M376)*(nCUENTA=1)*(COUNTIF(CONFIG_ASIGNATURAS!$B$7:$B$27,nASIG)&gt;0)*1),"")))</f>
        <v/>
      </c>
      <c r="T376" t="str">
        <f>IF(S376="","",IF(S376="[FÓRMULA MANUAL]","",IFERROR(AVERAGEIFS(nNOTA,nNIA,S376,nCUENTA,1,nASIG,"Armonía"),"")))</f>
        <v/>
      </c>
      <c r="U376" t="str">
        <f>IF(S376="","",IF(S376="[FÓRMULA MANUAL]","",IFERROR(AVERAGEIFS(nNOTA,nNIA,S376,nCUENTA,1,nASIG,"Orquesta/Banda/Conjunto"),"")))</f>
        <v/>
      </c>
      <c r="V376" t="str">
        <f>IF(S376="","",IF(S376="[FÓRMULA MANUAL]","",IFERROR(AVERAGEIFS(nNOTA,nNIA,S376,nCUENTA,1,nASIG,"Música de Cámara"),"")))</f>
        <v/>
      </c>
      <c r="W376" t="str">
        <f>IF(S376="","",IF(S376="[FÓRMULA MANUAL]","",IFERROR(SUMPRODUCT((nNIA=S376)*(nCUENTA=1)*(COUNTIF(CONFIG_ASIGNATURAS!$B$7:$B$27,nASIG)&gt;0)*(nNOTA))/SUMPRODUCT((nNIA=S376)*(nCUENTA=1)*(COUNTIF(CONFIG_ASIGNATURAS!$B$7:$B$27,nASIG)&gt;0)*1),"")))</f>
        <v/>
      </c>
      <c r="Z376" t="str">
        <f>IF(Y376="","",IF(Y376="[FÓRMULA MANUAL]","",IFERROR(AVERAGEIFS(nNOTA,nNIA,Y376,nCUENTA,1,nASIG,"Análisis"),"")))</f>
        <v/>
      </c>
      <c r="AA376" t="str">
        <f>IF(Y376="","",IF(Y376="[FÓRMULA MANUAL]","",IFERROR(AVERAGEIFS(nNOTA,nNIA,Y376,nCUENTA,1,nASIG,"Orquesta/Banda/Conjunto"),"")))</f>
        <v/>
      </c>
      <c r="AB376" t="str">
        <f>IF(Y376="","",IF(Y376="[FÓRMULA MANUAL]","",IFERROR(AVERAGEIFS(nNOTA,nNIA,Y376,nCUENTA,1,nASIG,"Música de Cámara"),"")))</f>
        <v/>
      </c>
      <c r="AC376" t="str">
        <f>IF(Y376="","",IF(Y376="[FÓRMULA MANUAL]","",IFERROR(SUMPRODUCT((nNIA=Y376)*(nCUENTA=1)*(COUNTIF(CONFIG_ASIGNATURAS!$B$7:$B$27,nASIG)&gt;0)*(nNOTA))/SUMPRODUCT((nNIA=Y376)*(nCUENTA=1)*(COUNTIF(CONFIG_ASIGNATURAS!$B$7:$B$27,nASIG)&gt;0)*1),"")))</f>
        <v/>
      </c>
      <c r="AF376" t="str">
        <f>IF(AE376="","",IF(AE376="[FÓRMULA MANUAL]","",IFERROR(AVERAGEIFS(nNOTA,nNIA,AE376,nCUENTA,1,nASIG,"Análisis"),"")))</f>
        <v/>
      </c>
      <c r="AG376" t="str">
        <f>IF(AE376="","",IF(AE376="[FÓRMULA MANUAL]","",IFERROR(AVERAGEIFS(nNOTA,nNIA,AE376,nCUENTA,1,nASIG,"Orquesta/Banda/Conjunto"),"")))</f>
        <v/>
      </c>
      <c r="AH376" t="str">
        <f>IF(AE376="","",IF(AE376="[FÓRMULA MANUAL]","",IFERROR(AVERAGEIFS(nNOTA,nNIA,AE376,nCUENTA,1,nASIG,"Música de Cámara"),"")))</f>
        <v/>
      </c>
      <c r="AI376" t="str">
        <f>IF(AE376="","",IF(AE376="[FÓRMULA MANUAL]","",IFERROR(SUMPRODUCT((nNIA=AE376)*(nCUENTA=1)*(COUNTIF(CONFIG_ASIGNATURAS!$B$7:$B$27,nASIG)&gt;0)*(nNOTA))/SUMPRODUCT((nNIA=AE376)*(nCUENTA=1)*(COUNTIF(CONFIG_ASIGNATURAS!$B$7:$B$27,nASIG)&gt;0)*1),"")))</f>
        <v/>
      </c>
    </row>
    <row r="377" spans="2:35" x14ac:dyDescent="0.2">
      <c r="B377" t="str">
        <f>IF(A377="","",IF(A377="[FÓRMULA MANUAL]","",IFERROR(AVERAGEIFS(nNOTA,nNIA,A377,nCUENTA,1,nASIG,"Lenguaje Musical"),"")))</f>
        <v/>
      </c>
      <c r="C377" t="str">
        <f>IF(A377="","",IF(A377="[FÓRMULA MANUAL]","",IFERROR(AVERAGEIFS(nNOTA,nNIA,A377,nCUENTA,1,nASIG,"Orquesta/Banda/Conjunto"),"")))</f>
        <v/>
      </c>
      <c r="D377" t="str">
        <f>IF(A377="","",IF(A377="[FÓRMULA MANUAL]","",IFERROR(AVERAGEIFS(nNOTA,nNIA,A377,nCUENTA,1,nASIG,"Conjunto"),"")))</f>
        <v/>
      </c>
      <c r="E377" t="str">
        <f>IF(A377="","",IF(A377="[FÓRMULA MANUAL]","",IFERROR(SUMPRODUCT((nNIA=A377)*(nCUENTA=1)*(COUNTIF(CONFIG_ASIGNATURAS!$B$7:$B$27,nASIG)&gt;0)*(nNOTA))/SUMPRODUCT((nNIA=A377)*(nCUENTA=1)*(COUNTIF(CONFIG_ASIGNATURAS!$B$7:$B$27,nASIG)&gt;0)*1),"")))</f>
        <v/>
      </c>
      <c r="H377" t="str">
        <f>IF(G377="","",IF(G377="[FÓRMULA MANUAL]","",IFERROR(AVERAGEIFS(nNOTA,nNIA,G377,nCUENTA,1,nASIG,"Lenguaje Musical"),"")))</f>
        <v/>
      </c>
      <c r="I377" t="str">
        <f>IF(G377="","",IF(G377="[FÓRMULA MANUAL]","",IFERROR(AVERAGEIFS(nNOTA,nNIA,G377,nCUENTA,1,nASIG,"Orquesta/Banda/Conjunto"),"")))</f>
        <v/>
      </c>
      <c r="J377" t="str">
        <f>IF(G377="","",IF(G377="[FÓRMULA MANUAL]","",IFERROR(AVERAGEIFS(nNOTA,nNIA,G377,nCUENTA,1,nASIG,"Conjunto"),"")))</f>
        <v/>
      </c>
      <c r="K377" t="str">
        <f>IF(G377="","",IF(G377="[FÓRMULA MANUAL]","",IFERROR(SUMPRODUCT((nNIA=G377)*(nCUENTA=1)*(COUNTIF(CONFIG_ASIGNATURAS!$B$7:$B$27,nASIG)&gt;0)*(nNOTA))/SUMPRODUCT((nNIA=G377)*(nCUENTA=1)*(COUNTIF(CONFIG_ASIGNATURAS!$B$7:$B$27,nASIG)&gt;0)*1),"")))</f>
        <v/>
      </c>
      <c r="N377" t="str">
        <f>IF(M377="","",IF(M377="[FÓRMULA MANUAL]","",IFERROR(AVERAGEIFS(nNOTA,nNIA,M377,nCUENTA,1,nASIG,"Armonía"),"")))</f>
        <v/>
      </c>
      <c r="O377" t="str">
        <f>IF(M377="","",IF(M377="[FÓRMULA MANUAL]","",IFERROR(AVERAGEIFS(nNOTA,nNIA,M377,nCUENTA,1,nASIG,"Orquesta/Banda/Conjunto"),"")))</f>
        <v/>
      </c>
      <c r="P377" t="str">
        <f>IF(M377="","",IF(M377="[FÓRMULA MANUAL]","",IFERROR(AVERAGEIFS(nNOTA,nNIA,M377,nCUENTA,1,nASIG,"Música de Cámara"),"")))</f>
        <v/>
      </c>
      <c r="Q377" t="str">
        <f>IF(M377="","",IF(M377="[FÓRMULA MANUAL]","",IFERROR(SUMPRODUCT((nNIA=M377)*(nCUENTA=1)*(COUNTIF(CONFIG_ASIGNATURAS!$B$7:$B$27,nASIG)&gt;0)*(nNOTA))/SUMPRODUCT((nNIA=M377)*(nCUENTA=1)*(COUNTIF(CONFIG_ASIGNATURAS!$B$7:$B$27,nASIG)&gt;0)*1),"")))</f>
        <v/>
      </c>
      <c r="T377" t="str">
        <f>IF(S377="","",IF(S377="[FÓRMULA MANUAL]","",IFERROR(AVERAGEIFS(nNOTA,nNIA,S377,nCUENTA,1,nASIG,"Armonía"),"")))</f>
        <v/>
      </c>
      <c r="U377" t="str">
        <f>IF(S377="","",IF(S377="[FÓRMULA MANUAL]","",IFERROR(AVERAGEIFS(nNOTA,nNIA,S377,nCUENTA,1,nASIG,"Orquesta/Banda/Conjunto"),"")))</f>
        <v/>
      </c>
      <c r="V377" t="str">
        <f>IF(S377="","",IF(S377="[FÓRMULA MANUAL]","",IFERROR(AVERAGEIFS(nNOTA,nNIA,S377,nCUENTA,1,nASIG,"Música de Cámara"),"")))</f>
        <v/>
      </c>
      <c r="W377" t="str">
        <f>IF(S377="","",IF(S377="[FÓRMULA MANUAL]","",IFERROR(SUMPRODUCT((nNIA=S377)*(nCUENTA=1)*(COUNTIF(CONFIG_ASIGNATURAS!$B$7:$B$27,nASIG)&gt;0)*(nNOTA))/SUMPRODUCT((nNIA=S377)*(nCUENTA=1)*(COUNTIF(CONFIG_ASIGNATURAS!$B$7:$B$27,nASIG)&gt;0)*1),"")))</f>
        <v/>
      </c>
      <c r="Z377" t="str">
        <f>IF(Y377="","",IF(Y377="[FÓRMULA MANUAL]","",IFERROR(AVERAGEIFS(nNOTA,nNIA,Y377,nCUENTA,1,nASIG,"Análisis"),"")))</f>
        <v/>
      </c>
      <c r="AA377" t="str">
        <f>IF(Y377="","",IF(Y377="[FÓRMULA MANUAL]","",IFERROR(AVERAGEIFS(nNOTA,nNIA,Y377,nCUENTA,1,nASIG,"Orquesta/Banda/Conjunto"),"")))</f>
        <v/>
      </c>
      <c r="AB377" t="str">
        <f>IF(Y377="","",IF(Y377="[FÓRMULA MANUAL]","",IFERROR(AVERAGEIFS(nNOTA,nNIA,Y377,nCUENTA,1,nASIG,"Música de Cámara"),"")))</f>
        <v/>
      </c>
      <c r="AC377" t="str">
        <f>IF(Y377="","",IF(Y377="[FÓRMULA MANUAL]","",IFERROR(SUMPRODUCT((nNIA=Y377)*(nCUENTA=1)*(COUNTIF(CONFIG_ASIGNATURAS!$B$7:$B$27,nASIG)&gt;0)*(nNOTA))/SUMPRODUCT((nNIA=Y377)*(nCUENTA=1)*(COUNTIF(CONFIG_ASIGNATURAS!$B$7:$B$27,nASIG)&gt;0)*1),"")))</f>
        <v/>
      </c>
      <c r="AF377" t="str">
        <f>IF(AE377="","",IF(AE377="[FÓRMULA MANUAL]","",IFERROR(AVERAGEIFS(nNOTA,nNIA,AE377,nCUENTA,1,nASIG,"Análisis"),"")))</f>
        <v/>
      </c>
      <c r="AG377" t="str">
        <f>IF(AE377="","",IF(AE377="[FÓRMULA MANUAL]","",IFERROR(AVERAGEIFS(nNOTA,nNIA,AE377,nCUENTA,1,nASIG,"Orquesta/Banda/Conjunto"),"")))</f>
        <v/>
      </c>
      <c r="AH377" t="str">
        <f>IF(AE377="","",IF(AE377="[FÓRMULA MANUAL]","",IFERROR(AVERAGEIFS(nNOTA,nNIA,AE377,nCUENTA,1,nASIG,"Música de Cámara"),"")))</f>
        <v/>
      </c>
      <c r="AI377" t="str">
        <f>IF(AE377="","",IF(AE377="[FÓRMULA MANUAL]","",IFERROR(SUMPRODUCT((nNIA=AE377)*(nCUENTA=1)*(COUNTIF(CONFIG_ASIGNATURAS!$B$7:$B$27,nASIG)&gt;0)*(nNOTA))/SUMPRODUCT((nNIA=AE377)*(nCUENTA=1)*(COUNTIF(CONFIG_ASIGNATURAS!$B$7:$B$27,nASIG)&gt;0)*1),"")))</f>
        <v/>
      </c>
    </row>
    <row r="378" spans="2:35" x14ac:dyDescent="0.2">
      <c r="B378" t="str">
        <f>IF(A378="","",IF(A378="[FÓRMULA MANUAL]","",IFERROR(AVERAGEIFS(nNOTA,nNIA,A378,nCUENTA,1,nASIG,"Lenguaje Musical"),"")))</f>
        <v/>
      </c>
      <c r="C378" t="str">
        <f>IF(A378="","",IF(A378="[FÓRMULA MANUAL]","",IFERROR(AVERAGEIFS(nNOTA,nNIA,A378,nCUENTA,1,nASIG,"Orquesta/Banda/Conjunto"),"")))</f>
        <v/>
      </c>
      <c r="D378" t="str">
        <f>IF(A378="","",IF(A378="[FÓRMULA MANUAL]","",IFERROR(AVERAGEIFS(nNOTA,nNIA,A378,nCUENTA,1,nASIG,"Conjunto"),"")))</f>
        <v/>
      </c>
      <c r="E378" t="str">
        <f>IF(A378="","",IF(A378="[FÓRMULA MANUAL]","",IFERROR(SUMPRODUCT((nNIA=A378)*(nCUENTA=1)*(COUNTIF(CONFIG_ASIGNATURAS!$B$7:$B$27,nASIG)&gt;0)*(nNOTA))/SUMPRODUCT((nNIA=A378)*(nCUENTA=1)*(COUNTIF(CONFIG_ASIGNATURAS!$B$7:$B$27,nASIG)&gt;0)*1),"")))</f>
        <v/>
      </c>
      <c r="H378" t="str">
        <f>IF(G378="","",IF(G378="[FÓRMULA MANUAL]","",IFERROR(AVERAGEIFS(nNOTA,nNIA,G378,nCUENTA,1,nASIG,"Lenguaje Musical"),"")))</f>
        <v/>
      </c>
      <c r="I378" t="str">
        <f>IF(G378="","",IF(G378="[FÓRMULA MANUAL]","",IFERROR(AVERAGEIFS(nNOTA,nNIA,G378,nCUENTA,1,nASIG,"Orquesta/Banda/Conjunto"),"")))</f>
        <v/>
      </c>
      <c r="J378" t="str">
        <f>IF(G378="","",IF(G378="[FÓRMULA MANUAL]","",IFERROR(AVERAGEIFS(nNOTA,nNIA,G378,nCUENTA,1,nASIG,"Conjunto"),"")))</f>
        <v/>
      </c>
      <c r="K378" t="str">
        <f>IF(G378="","",IF(G378="[FÓRMULA MANUAL]","",IFERROR(SUMPRODUCT((nNIA=G378)*(nCUENTA=1)*(COUNTIF(CONFIG_ASIGNATURAS!$B$7:$B$27,nASIG)&gt;0)*(nNOTA))/SUMPRODUCT((nNIA=G378)*(nCUENTA=1)*(COUNTIF(CONFIG_ASIGNATURAS!$B$7:$B$27,nASIG)&gt;0)*1),"")))</f>
        <v/>
      </c>
      <c r="N378" t="str">
        <f>IF(M378="","",IF(M378="[FÓRMULA MANUAL]","",IFERROR(AVERAGEIFS(nNOTA,nNIA,M378,nCUENTA,1,nASIG,"Armonía"),"")))</f>
        <v/>
      </c>
      <c r="O378" t="str">
        <f>IF(M378="","",IF(M378="[FÓRMULA MANUAL]","",IFERROR(AVERAGEIFS(nNOTA,nNIA,M378,nCUENTA,1,nASIG,"Orquesta/Banda/Conjunto"),"")))</f>
        <v/>
      </c>
      <c r="P378" t="str">
        <f>IF(M378="","",IF(M378="[FÓRMULA MANUAL]","",IFERROR(AVERAGEIFS(nNOTA,nNIA,M378,nCUENTA,1,nASIG,"Música de Cámara"),"")))</f>
        <v/>
      </c>
      <c r="Q378" t="str">
        <f>IF(M378="","",IF(M378="[FÓRMULA MANUAL]","",IFERROR(SUMPRODUCT((nNIA=M378)*(nCUENTA=1)*(COUNTIF(CONFIG_ASIGNATURAS!$B$7:$B$27,nASIG)&gt;0)*(nNOTA))/SUMPRODUCT((nNIA=M378)*(nCUENTA=1)*(COUNTIF(CONFIG_ASIGNATURAS!$B$7:$B$27,nASIG)&gt;0)*1),"")))</f>
        <v/>
      </c>
      <c r="T378" t="str">
        <f>IF(S378="","",IF(S378="[FÓRMULA MANUAL]","",IFERROR(AVERAGEIFS(nNOTA,nNIA,S378,nCUENTA,1,nASIG,"Armonía"),"")))</f>
        <v/>
      </c>
      <c r="U378" t="str">
        <f>IF(S378="","",IF(S378="[FÓRMULA MANUAL]","",IFERROR(AVERAGEIFS(nNOTA,nNIA,S378,nCUENTA,1,nASIG,"Orquesta/Banda/Conjunto"),"")))</f>
        <v/>
      </c>
      <c r="V378" t="str">
        <f>IF(S378="","",IF(S378="[FÓRMULA MANUAL]","",IFERROR(AVERAGEIFS(nNOTA,nNIA,S378,nCUENTA,1,nASIG,"Música de Cámara"),"")))</f>
        <v/>
      </c>
      <c r="W378" t="str">
        <f>IF(S378="","",IF(S378="[FÓRMULA MANUAL]","",IFERROR(SUMPRODUCT((nNIA=S378)*(nCUENTA=1)*(COUNTIF(CONFIG_ASIGNATURAS!$B$7:$B$27,nASIG)&gt;0)*(nNOTA))/SUMPRODUCT((nNIA=S378)*(nCUENTA=1)*(COUNTIF(CONFIG_ASIGNATURAS!$B$7:$B$27,nASIG)&gt;0)*1),"")))</f>
        <v/>
      </c>
      <c r="Z378" t="str">
        <f>IF(Y378="","",IF(Y378="[FÓRMULA MANUAL]","",IFERROR(AVERAGEIFS(nNOTA,nNIA,Y378,nCUENTA,1,nASIG,"Análisis"),"")))</f>
        <v/>
      </c>
      <c r="AA378" t="str">
        <f>IF(Y378="","",IF(Y378="[FÓRMULA MANUAL]","",IFERROR(AVERAGEIFS(nNOTA,nNIA,Y378,nCUENTA,1,nASIG,"Orquesta/Banda/Conjunto"),"")))</f>
        <v/>
      </c>
      <c r="AB378" t="str">
        <f>IF(Y378="","",IF(Y378="[FÓRMULA MANUAL]","",IFERROR(AVERAGEIFS(nNOTA,nNIA,Y378,nCUENTA,1,nASIG,"Música de Cámara"),"")))</f>
        <v/>
      </c>
      <c r="AC378" t="str">
        <f>IF(Y378="","",IF(Y378="[FÓRMULA MANUAL]","",IFERROR(SUMPRODUCT((nNIA=Y378)*(nCUENTA=1)*(COUNTIF(CONFIG_ASIGNATURAS!$B$7:$B$27,nASIG)&gt;0)*(nNOTA))/SUMPRODUCT((nNIA=Y378)*(nCUENTA=1)*(COUNTIF(CONFIG_ASIGNATURAS!$B$7:$B$27,nASIG)&gt;0)*1),"")))</f>
        <v/>
      </c>
      <c r="AF378" t="str">
        <f>IF(AE378="","",IF(AE378="[FÓRMULA MANUAL]","",IFERROR(AVERAGEIFS(nNOTA,nNIA,AE378,nCUENTA,1,nASIG,"Análisis"),"")))</f>
        <v/>
      </c>
      <c r="AG378" t="str">
        <f>IF(AE378="","",IF(AE378="[FÓRMULA MANUAL]","",IFERROR(AVERAGEIFS(nNOTA,nNIA,AE378,nCUENTA,1,nASIG,"Orquesta/Banda/Conjunto"),"")))</f>
        <v/>
      </c>
      <c r="AH378" t="str">
        <f>IF(AE378="","",IF(AE378="[FÓRMULA MANUAL]","",IFERROR(AVERAGEIFS(nNOTA,nNIA,AE378,nCUENTA,1,nASIG,"Música de Cámara"),"")))</f>
        <v/>
      </c>
      <c r="AI378" t="str">
        <f>IF(AE378="","",IF(AE378="[FÓRMULA MANUAL]","",IFERROR(SUMPRODUCT((nNIA=AE378)*(nCUENTA=1)*(COUNTIF(CONFIG_ASIGNATURAS!$B$7:$B$27,nASIG)&gt;0)*(nNOTA))/SUMPRODUCT((nNIA=AE378)*(nCUENTA=1)*(COUNTIF(CONFIG_ASIGNATURAS!$B$7:$B$27,nASIG)&gt;0)*1),"")))</f>
        <v/>
      </c>
    </row>
    <row r="379" spans="2:35" x14ac:dyDescent="0.2">
      <c r="B379" t="str">
        <f>IF(A379="","",IF(A379="[FÓRMULA MANUAL]","",IFERROR(AVERAGEIFS(nNOTA,nNIA,A379,nCUENTA,1,nASIG,"Lenguaje Musical"),"")))</f>
        <v/>
      </c>
      <c r="C379" t="str">
        <f>IF(A379="","",IF(A379="[FÓRMULA MANUAL]","",IFERROR(AVERAGEIFS(nNOTA,nNIA,A379,nCUENTA,1,nASIG,"Orquesta/Banda/Conjunto"),"")))</f>
        <v/>
      </c>
      <c r="D379" t="str">
        <f>IF(A379="","",IF(A379="[FÓRMULA MANUAL]","",IFERROR(AVERAGEIFS(nNOTA,nNIA,A379,nCUENTA,1,nASIG,"Conjunto"),"")))</f>
        <v/>
      </c>
      <c r="E379" t="str">
        <f>IF(A379="","",IF(A379="[FÓRMULA MANUAL]","",IFERROR(SUMPRODUCT((nNIA=A379)*(nCUENTA=1)*(COUNTIF(CONFIG_ASIGNATURAS!$B$7:$B$27,nASIG)&gt;0)*(nNOTA))/SUMPRODUCT((nNIA=A379)*(nCUENTA=1)*(COUNTIF(CONFIG_ASIGNATURAS!$B$7:$B$27,nASIG)&gt;0)*1),"")))</f>
        <v/>
      </c>
      <c r="H379" t="str">
        <f>IF(G379="","",IF(G379="[FÓRMULA MANUAL]","",IFERROR(AVERAGEIFS(nNOTA,nNIA,G379,nCUENTA,1,nASIG,"Lenguaje Musical"),"")))</f>
        <v/>
      </c>
      <c r="I379" t="str">
        <f>IF(G379="","",IF(G379="[FÓRMULA MANUAL]","",IFERROR(AVERAGEIFS(nNOTA,nNIA,G379,nCUENTA,1,nASIG,"Orquesta/Banda/Conjunto"),"")))</f>
        <v/>
      </c>
      <c r="J379" t="str">
        <f>IF(G379="","",IF(G379="[FÓRMULA MANUAL]","",IFERROR(AVERAGEIFS(nNOTA,nNIA,G379,nCUENTA,1,nASIG,"Conjunto"),"")))</f>
        <v/>
      </c>
      <c r="K379" t="str">
        <f>IF(G379="","",IF(G379="[FÓRMULA MANUAL]","",IFERROR(SUMPRODUCT((nNIA=G379)*(nCUENTA=1)*(COUNTIF(CONFIG_ASIGNATURAS!$B$7:$B$27,nASIG)&gt;0)*(nNOTA))/SUMPRODUCT((nNIA=G379)*(nCUENTA=1)*(COUNTIF(CONFIG_ASIGNATURAS!$B$7:$B$27,nASIG)&gt;0)*1),"")))</f>
        <v/>
      </c>
      <c r="N379" t="str">
        <f>IF(M379="","",IF(M379="[FÓRMULA MANUAL]","",IFERROR(AVERAGEIFS(nNOTA,nNIA,M379,nCUENTA,1,nASIG,"Armonía"),"")))</f>
        <v/>
      </c>
      <c r="O379" t="str">
        <f>IF(M379="","",IF(M379="[FÓRMULA MANUAL]","",IFERROR(AVERAGEIFS(nNOTA,nNIA,M379,nCUENTA,1,nASIG,"Orquesta/Banda/Conjunto"),"")))</f>
        <v/>
      </c>
      <c r="P379" t="str">
        <f>IF(M379="","",IF(M379="[FÓRMULA MANUAL]","",IFERROR(AVERAGEIFS(nNOTA,nNIA,M379,nCUENTA,1,nASIG,"Música de Cámara"),"")))</f>
        <v/>
      </c>
      <c r="Q379" t="str">
        <f>IF(M379="","",IF(M379="[FÓRMULA MANUAL]","",IFERROR(SUMPRODUCT((nNIA=M379)*(nCUENTA=1)*(COUNTIF(CONFIG_ASIGNATURAS!$B$7:$B$27,nASIG)&gt;0)*(nNOTA))/SUMPRODUCT((nNIA=M379)*(nCUENTA=1)*(COUNTIF(CONFIG_ASIGNATURAS!$B$7:$B$27,nASIG)&gt;0)*1),"")))</f>
        <v/>
      </c>
      <c r="T379" t="str">
        <f>IF(S379="","",IF(S379="[FÓRMULA MANUAL]","",IFERROR(AVERAGEIFS(nNOTA,nNIA,S379,nCUENTA,1,nASIG,"Armonía"),"")))</f>
        <v/>
      </c>
      <c r="U379" t="str">
        <f>IF(S379="","",IF(S379="[FÓRMULA MANUAL]","",IFERROR(AVERAGEIFS(nNOTA,nNIA,S379,nCUENTA,1,nASIG,"Orquesta/Banda/Conjunto"),"")))</f>
        <v/>
      </c>
      <c r="V379" t="str">
        <f>IF(S379="","",IF(S379="[FÓRMULA MANUAL]","",IFERROR(AVERAGEIFS(nNOTA,nNIA,S379,nCUENTA,1,nASIG,"Música de Cámara"),"")))</f>
        <v/>
      </c>
      <c r="W379" t="str">
        <f>IF(S379="","",IF(S379="[FÓRMULA MANUAL]","",IFERROR(SUMPRODUCT((nNIA=S379)*(nCUENTA=1)*(COUNTIF(CONFIG_ASIGNATURAS!$B$7:$B$27,nASIG)&gt;0)*(nNOTA))/SUMPRODUCT((nNIA=S379)*(nCUENTA=1)*(COUNTIF(CONFIG_ASIGNATURAS!$B$7:$B$27,nASIG)&gt;0)*1),"")))</f>
        <v/>
      </c>
      <c r="Z379" t="str">
        <f>IF(Y379="","",IF(Y379="[FÓRMULA MANUAL]","",IFERROR(AVERAGEIFS(nNOTA,nNIA,Y379,nCUENTA,1,nASIG,"Análisis"),"")))</f>
        <v/>
      </c>
      <c r="AA379" t="str">
        <f>IF(Y379="","",IF(Y379="[FÓRMULA MANUAL]","",IFERROR(AVERAGEIFS(nNOTA,nNIA,Y379,nCUENTA,1,nASIG,"Orquesta/Banda/Conjunto"),"")))</f>
        <v/>
      </c>
      <c r="AB379" t="str">
        <f>IF(Y379="","",IF(Y379="[FÓRMULA MANUAL]","",IFERROR(AVERAGEIFS(nNOTA,nNIA,Y379,nCUENTA,1,nASIG,"Música de Cámara"),"")))</f>
        <v/>
      </c>
      <c r="AC379" t="str">
        <f>IF(Y379="","",IF(Y379="[FÓRMULA MANUAL]","",IFERROR(SUMPRODUCT((nNIA=Y379)*(nCUENTA=1)*(COUNTIF(CONFIG_ASIGNATURAS!$B$7:$B$27,nASIG)&gt;0)*(nNOTA))/SUMPRODUCT((nNIA=Y379)*(nCUENTA=1)*(COUNTIF(CONFIG_ASIGNATURAS!$B$7:$B$27,nASIG)&gt;0)*1),"")))</f>
        <v/>
      </c>
      <c r="AF379" t="str">
        <f>IF(AE379="","",IF(AE379="[FÓRMULA MANUAL]","",IFERROR(AVERAGEIFS(nNOTA,nNIA,AE379,nCUENTA,1,nASIG,"Análisis"),"")))</f>
        <v/>
      </c>
      <c r="AG379" t="str">
        <f>IF(AE379="","",IF(AE379="[FÓRMULA MANUAL]","",IFERROR(AVERAGEIFS(nNOTA,nNIA,AE379,nCUENTA,1,nASIG,"Orquesta/Banda/Conjunto"),"")))</f>
        <v/>
      </c>
      <c r="AH379" t="str">
        <f>IF(AE379="","",IF(AE379="[FÓRMULA MANUAL]","",IFERROR(AVERAGEIFS(nNOTA,nNIA,AE379,nCUENTA,1,nASIG,"Música de Cámara"),"")))</f>
        <v/>
      </c>
      <c r="AI379" t="str">
        <f>IF(AE379="","",IF(AE379="[FÓRMULA MANUAL]","",IFERROR(SUMPRODUCT((nNIA=AE379)*(nCUENTA=1)*(COUNTIF(CONFIG_ASIGNATURAS!$B$7:$B$27,nASIG)&gt;0)*(nNOTA))/SUMPRODUCT((nNIA=AE379)*(nCUENTA=1)*(COUNTIF(CONFIG_ASIGNATURAS!$B$7:$B$27,nASIG)&gt;0)*1),"")))</f>
        <v/>
      </c>
    </row>
    <row r="380" spans="2:35" x14ac:dyDescent="0.2">
      <c r="B380" t="str">
        <f>IF(A380="","",IF(A380="[FÓRMULA MANUAL]","",IFERROR(AVERAGEIFS(nNOTA,nNIA,A380,nCUENTA,1,nASIG,"Lenguaje Musical"),"")))</f>
        <v/>
      </c>
      <c r="C380" t="str">
        <f>IF(A380="","",IF(A380="[FÓRMULA MANUAL]","",IFERROR(AVERAGEIFS(nNOTA,nNIA,A380,nCUENTA,1,nASIG,"Orquesta/Banda/Conjunto"),"")))</f>
        <v/>
      </c>
      <c r="D380" t="str">
        <f>IF(A380="","",IF(A380="[FÓRMULA MANUAL]","",IFERROR(AVERAGEIFS(nNOTA,nNIA,A380,nCUENTA,1,nASIG,"Conjunto"),"")))</f>
        <v/>
      </c>
      <c r="E380" t="str">
        <f>IF(A380="","",IF(A380="[FÓRMULA MANUAL]","",IFERROR(SUMPRODUCT((nNIA=A380)*(nCUENTA=1)*(COUNTIF(CONFIG_ASIGNATURAS!$B$7:$B$27,nASIG)&gt;0)*(nNOTA))/SUMPRODUCT((nNIA=A380)*(nCUENTA=1)*(COUNTIF(CONFIG_ASIGNATURAS!$B$7:$B$27,nASIG)&gt;0)*1),"")))</f>
        <v/>
      </c>
      <c r="H380" t="str">
        <f>IF(G380="","",IF(G380="[FÓRMULA MANUAL]","",IFERROR(AVERAGEIFS(nNOTA,nNIA,G380,nCUENTA,1,nASIG,"Lenguaje Musical"),"")))</f>
        <v/>
      </c>
      <c r="I380" t="str">
        <f>IF(G380="","",IF(G380="[FÓRMULA MANUAL]","",IFERROR(AVERAGEIFS(nNOTA,nNIA,G380,nCUENTA,1,nASIG,"Orquesta/Banda/Conjunto"),"")))</f>
        <v/>
      </c>
      <c r="J380" t="str">
        <f>IF(G380="","",IF(G380="[FÓRMULA MANUAL]","",IFERROR(AVERAGEIFS(nNOTA,nNIA,G380,nCUENTA,1,nASIG,"Conjunto"),"")))</f>
        <v/>
      </c>
      <c r="K380" t="str">
        <f>IF(G380="","",IF(G380="[FÓRMULA MANUAL]","",IFERROR(SUMPRODUCT((nNIA=G380)*(nCUENTA=1)*(COUNTIF(CONFIG_ASIGNATURAS!$B$7:$B$27,nASIG)&gt;0)*(nNOTA))/SUMPRODUCT((nNIA=G380)*(nCUENTA=1)*(COUNTIF(CONFIG_ASIGNATURAS!$B$7:$B$27,nASIG)&gt;0)*1),"")))</f>
        <v/>
      </c>
      <c r="N380" t="str">
        <f>IF(M380="","",IF(M380="[FÓRMULA MANUAL]","",IFERROR(AVERAGEIFS(nNOTA,nNIA,M380,nCUENTA,1,nASIG,"Armonía"),"")))</f>
        <v/>
      </c>
      <c r="O380" t="str">
        <f>IF(M380="","",IF(M380="[FÓRMULA MANUAL]","",IFERROR(AVERAGEIFS(nNOTA,nNIA,M380,nCUENTA,1,nASIG,"Orquesta/Banda/Conjunto"),"")))</f>
        <v/>
      </c>
      <c r="P380" t="str">
        <f>IF(M380="","",IF(M380="[FÓRMULA MANUAL]","",IFERROR(AVERAGEIFS(nNOTA,nNIA,M380,nCUENTA,1,nASIG,"Música de Cámara"),"")))</f>
        <v/>
      </c>
      <c r="Q380" t="str">
        <f>IF(M380="","",IF(M380="[FÓRMULA MANUAL]","",IFERROR(SUMPRODUCT((nNIA=M380)*(nCUENTA=1)*(COUNTIF(CONFIG_ASIGNATURAS!$B$7:$B$27,nASIG)&gt;0)*(nNOTA))/SUMPRODUCT((nNIA=M380)*(nCUENTA=1)*(COUNTIF(CONFIG_ASIGNATURAS!$B$7:$B$27,nASIG)&gt;0)*1),"")))</f>
        <v/>
      </c>
      <c r="T380" t="str">
        <f>IF(S380="","",IF(S380="[FÓRMULA MANUAL]","",IFERROR(AVERAGEIFS(nNOTA,nNIA,S380,nCUENTA,1,nASIG,"Armonía"),"")))</f>
        <v/>
      </c>
      <c r="U380" t="str">
        <f>IF(S380="","",IF(S380="[FÓRMULA MANUAL]","",IFERROR(AVERAGEIFS(nNOTA,nNIA,S380,nCUENTA,1,nASIG,"Orquesta/Banda/Conjunto"),"")))</f>
        <v/>
      </c>
      <c r="V380" t="str">
        <f>IF(S380="","",IF(S380="[FÓRMULA MANUAL]","",IFERROR(AVERAGEIFS(nNOTA,nNIA,S380,nCUENTA,1,nASIG,"Música de Cámara"),"")))</f>
        <v/>
      </c>
      <c r="W380" t="str">
        <f>IF(S380="","",IF(S380="[FÓRMULA MANUAL]","",IFERROR(SUMPRODUCT((nNIA=S380)*(nCUENTA=1)*(COUNTIF(CONFIG_ASIGNATURAS!$B$7:$B$27,nASIG)&gt;0)*(nNOTA))/SUMPRODUCT((nNIA=S380)*(nCUENTA=1)*(COUNTIF(CONFIG_ASIGNATURAS!$B$7:$B$27,nASIG)&gt;0)*1),"")))</f>
        <v/>
      </c>
      <c r="Z380" t="str">
        <f>IF(Y380="","",IF(Y380="[FÓRMULA MANUAL]","",IFERROR(AVERAGEIFS(nNOTA,nNIA,Y380,nCUENTA,1,nASIG,"Análisis"),"")))</f>
        <v/>
      </c>
      <c r="AA380" t="str">
        <f>IF(Y380="","",IF(Y380="[FÓRMULA MANUAL]","",IFERROR(AVERAGEIFS(nNOTA,nNIA,Y380,nCUENTA,1,nASIG,"Orquesta/Banda/Conjunto"),"")))</f>
        <v/>
      </c>
      <c r="AB380" t="str">
        <f>IF(Y380="","",IF(Y380="[FÓRMULA MANUAL]","",IFERROR(AVERAGEIFS(nNOTA,nNIA,Y380,nCUENTA,1,nASIG,"Música de Cámara"),"")))</f>
        <v/>
      </c>
      <c r="AC380" t="str">
        <f>IF(Y380="","",IF(Y380="[FÓRMULA MANUAL]","",IFERROR(SUMPRODUCT((nNIA=Y380)*(nCUENTA=1)*(COUNTIF(CONFIG_ASIGNATURAS!$B$7:$B$27,nASIG)&gt;0)*(nNOTA))/SUMPRODUCT((nNIA=Y380)*(nCUENTA=1)*(COUNTIF(CONFIG_ASIGNATURAS!$B$7:$B$27,nASIG)&gt;0)*1),"")))</f>
        <v/>
      </c>
      <c r="AF380" t="str">
        <f>IF(AE380="","",IF(AE380="[FÓRMULA MANUAL]","",IFERROR(AVERAGEIFS(nNOTA,nNIA,AE380,nCUENTA,1,nASIG,"Análisis"),"")))</f>
        <v/>
      </c>
      <c r="AG380" t="str">
        <f>IF(AE380="","",IF(AE380="[FÓRMULA MANUAL]","",IFERROR(AVERAGEIFS(nNOTA,nNIA,AE380,nCUENTA,1,nASIG,"Orquesta/Banda/Conjunto"),"")))</f>
        <v/>
      </c>
      <c r="AH380" t="str">
        <f>IF(AE380="","",IF(AE380="[FÓRMULA MANUAL]","",IFERROR(AVERAGEIFS(nNOTA,nNIA,AE380,nCUENTA,1,nASIG,"Música de Cámara"),"")))</f>
        <v/>
      </c>
      <c r="AI380" t="str">
        <f>IF(AE380="","",IF(AE380="[FÓRMULA MANUAL]","",IFERROR(SUMPRODUCT((nNIA=AE380)*(nCUENTA=1)*(COUNTIF(CONFIG_ASIGNATURAS!$B$7:$B$27,nASIG)&gt;0)*(nNOTA))/SUMPRODUCT((nNIA=AE380)*(nCUENTA=1)*(COUNTIF(CONFIG_ASIGNATURAS!$B$7:$B$27,nASIG)&gt;0)*1),"")))</f>
        <v/>
      </c>
    </row>
    <row r="381" spans="2:35" x14ac:dyDescent="0.2">
      <c r="B381" t="str">
        <f>IF(A381="","",IF(A381="[FÓRMULA MANUAL]","",IFERROR(AVERAGEIFS(nNOTA,nNIA,A381,nCUENTA,1,nASIG,"Lenguaje Musical"),"")))</f>
        <v/>
      </c>
      <c r="C381" t="str">
        <f>IF(A381="","",IF(A381="[FÓRMULA MANUAL]","",IFERROR(AVERAGEIFS(nNOTA,nNIA,A381,nCUENTA,1,nASIG,"Orquesta/Banda/Conjunto"),"")))</f>
        <v/>
      </c>
      <c r="D381" t="str">
        <f>IF(A381="","",IF(A381="[FÓRMULA MANUAL]","",IFERROR(AVERAGEIFS(nNOTA,nNIA,A381,nCUENTA,1,nASIG,"Conjunto"),"")))</f>
        <v/>
      </c>
      <c r="E381" t="str">
        <f>IF(A381="","",IF(A381="[FÓRMULA MANUAL]","",IFERROR(SUMPRODUCT((nNIA=A381)*(nCUENTA=1)*(COUNTIF(CONFIG_ASIGNATURAS!$B$7:$B$27,nASIG)&gt;0)*(nNOTA))/SUMPRODUCT((nNIA=A381)*(nCUENTA=1)*(COUNTIF(CONFIG_ASIGNATURAS!$B$7:$B$27,nASIG)&gt;0)*1),"")))</f>
        <v/>
      </c>
      <c r="H381" t="str">
        <f>IF(G381="","",IF(G381="[FÓRMULA MANUAL]","",IFERROR(AVERAGEIFS(nNOTA,nNIA,G381,nCUENTA,1,nASIG,"Lenguaje Musical"),"")))</f>
        <v/>
      </c>
      <c r="I381" t="str">
        <f>IF(G381="","",IF(G381="[FÓRMULA MANUAL]","",IFERROR(AVERAGEIFS(nNOTA,nNIA,G381,nCUENTA,1,nASIG,"Orquesta/Banda/Conjunto"),"")))</f>
        <v/>
      </c>
      <c r="J381" t="str">
        <f>IF(G381="","",IF(G381="[FÓRMULA MANUAL]","",IFERROR(AVERAGEIFS(nNOTA,nNIA,G381,nCUENTA,1,nASIG,"Conjunto"),"")))</f>
        <v/>
      </c>
      <c r="K381" t="str">
        <f>IF(G381="","",IF(G381="[FÓRMULA MANUAL]","",IFERROR(SUMPRODUCT((nNIA=G381)*(nCUENTA=1)*(COUNTIF(CONFIG_ASIGNATURAS!$B$7:$B$27,nASIG)&gt;0)*(nNOTA))/SUMPRODUCT((nNIA=G381)*(nCUENTA=1)*(COUNTIF(CONFIG_ASIGNATURAS!$B$7:$B$27,nASIG)&gt;0)*1),"")))</f>
        <v/>
      </c>
      <c r="N381" t="str">
        <f>IF(M381="","",IF(M381="[FÓRMULA MANUAL]","",IFERROR(AVERAGEIFS(nNOTA,nNIA,M381,nCUENTA,1,nASIG,"Armonía"),"")))</f>
        <v/>
      </c>
      <c r="O381" t="str">
        <f>IF(M381="","",IF(M381="[FÓRMULA MANUAL]","",IFERROR(AVERAGEIFS(nNOTA,nNIA,M381,nCUENTA,1,nASIG,"Orquesta/Banda/Conjunto"),"")))</f>
        <v/>
      </c>
      <c r="P381" t="str">
        <f>IF(M381="","",IF(M381="[FÓRMULA MANUAL]","",IFERROR(AVERAGEIFS(nNOTA,nNIA,M381,nCUENTA,1,nASIG,"Música de Cámara"),"")))</f>
        <v/>
      </c>
      <c r="Q381" t="str">
        <f>IF(M381="","",IF(M381="[FÓRMULA MANUAL]","",IFERROR(SUMPRODUCT((nNIA=M381)*(nCUENTA=1)*(COUNTIF(CONFIG_ASIGNATURAS!$B$7:$B$27,nASIG)&gt;0)*(nNOTA))/SUMPRODUCT((nNIA=M381)*(nCUENTA=1)*(COUNTIF(CONFIG_ASIGNATURAS!$B$7:$B$27,nASIG)&gt;0)*1),"")))</f>
        <v/>
      </c>
      <c r="T381" t="str">
        <f>IF(S381="","",IF(S381="[FÓRMULA MANUAL]","",IFERROR(AVERAGEIFS(nNOTA,nNIA,S381,nCUENTA,1,nASIG,"Armonía"),"")))</f>
        <v/>
      </c>
      <c r="U381" t="str">
        <f>IF(S381="","",IF(S381="[FÓRMULA MANUAL]","",IFERROR(AVERAGEIFS(nNOTA,nNIA,S381,nCUENTA,1,nASIG,"Orquesta/Banda/Conjunto"),"")))</f>
        <v/>
      </c>
      <c r="V381" t="str">
        <f>IF(S381="","",IF(S381="[FÓRMULA MANUAL]","",IFERROR(AVERAGEIFS(nNOTA,nNIA,S381,nCUENTA,1,nASIG,"Música de Cámara"),"")))</f>
        <v/>
      </c>
      <c r="W381" t="str">
        <f>IF(S381="","",IF(S381="[FÓRMULA MANUAL]","",IFERROR(SUMPRODUCT((nNIA=S381)*(nCUENTA=1)*(COUNTIF(CONFIG_ASIGNATURAS!$B$7:$B$27,nASIG)&gt;0)*(nNOTA))/SUMPRODUCT((nNIA=S381)*(nCUENTA=1)*(COUNTIF(CONFIG_ASIGNATURAS!$B$7:$B$27,nASIG)&gt;0)*1),"")))</f>
        <v/>
      </c>
      <c r="Z381" t="str">
        <f>IF(Y381="","",IF(Y381="[FÓRMULA MANUAL]","",IFERROR(AVERAGEIFS(nNOTA,nNIA,Y381,nCUENTA,1,nASIG,"Análisis"),"")))</f>
        <v/>
      </c>
      <c r="AA381" t="str">
        <f>IF(Y381="","",IF(Y381="[FÓRMULA MANUAL]","",IFERROR(AVERAGEIFS(nNOTA,nNIA,Y381,nCUENTA,1,nASIG,"Orquesta/Banda/Conjunto"),"")))</f>
        <v/>
      </c>
      <c r="AB381" t="str">
        <f>IF(Y381="","",IF(Y381="[FÓRMULA MANUAL]","",IFERROR(AVERAGEIFS(nNOTA,nNIA,Y381,nCUENTA,1,nASIG,"Música de Cámara"),"")))</f>
        <v/>
      </c>
      <c r="AC381" t="str">
        <f>IF(Y381="","",IF(Y381="[FÓRMULA MANUAL]","",IFERROR(SUMPRODUCT((nNIA=Y381)*(nCUENTA=1)*(COUNTIF(CONFIG_ASIGNATURAS!$B$7:$B$27,nASIG)&gt;0)*(nNOTA))/SUMPRODUCT((nNIA=Y381)*(nCUENTA=1)*(COUNTIF(CONFIG_ASIGNATURAS!$B$7:$B$27,nASIG)&gt;0)*1),"")))</f>
        <v/>
      </c>
      <c r="AF381" t="str">
        <f>IF(AE381="","",IF(AE381="[FÓRMULA MANUAL]","",IFERROR(AVERAGEIFS(nNOTA,nNIA,AE381,nCUENTA,1,nASIG,"Análisis"),"")))</f>
        <v/>
      </c>
      <c r="AG381" t="str">
        <f>IF(AE381="","",IF(AE381="[FÓRMULA MANUAL]","",IFERROR(AVERAGEIFS(nNOTA,nNIA,AE381,nCUENTA,1,nASIG,"Orquesta/Banda/Conjunto"),"")))</f>
        <v/>
      </c>
      <c r="AH381" t="str">
        <f>IF(AE381="","",IF(AE381="[FÓRMULA MANUAL]","",IFERROR(AVERAGEIFS(nNOTA,nNIA,AE381,nCUENTA,1,nASIG,"Música de Cámara"),"")))</f>
        <v/>
      </c>
      <c r="AI381" t="str">
        <f>IF(AE381="","",IF(AE381="[FÓRMULA MANUAL]","",IFERROR(SUMPRODUCT((nNIA=AE381)*(nCUENTA=1)*(COUNTIF(CONFIG_ASIGNATURAS!$B$7:$B$27,nASIG)&gt;0)*(nNOTA))/SUMPRODUCT((nNIA=AE381)*(nCUENTA=1)*(COUNTIF(CONFIG_ASIGNATURAS!$B$7:$B$27,nASIG)&gt;0)*1),"")))</f>
        <v/>
      </c>
    </row>
    <row r="382" spans="2:35" x14ac:dyDescent="0.2">
      <c r="B382" t="str">
        <f>IF(A382="","",IF(A382="[FÓRMULA MANUAL]","",IFERROR(AVERAGEIFS(nNOTA,nNIA,A382,nCUENTA,1,nASIG,"Lenguaje Musical"),"")))</f>
        <v/>
      </c>
      <c r="C382" t="str">
        <f>IF(A382="","",IF(A382="[FÓRMULA MANUAL]","",IFERROR(AVERAGEIFS(nNOTA,nNIA,A382,nCUENTA,1,nASIG,"Orquesta/Banda/Conjunto"),"")))</f>
        <v/>
      </c>
      <c r="D382" t="str">
        <f>IF(A382="","",IF(A382="[FÓRMULA MANUAL]","",IFERROR(AVERAGEIFS(nNOTA,nNIA,A382,nCUENTA,1,nASIG,"Conjunto"),"")))</f>
        <v/>
      </c>
      <c r="E382" t="str">
        <f>IF(A382="","",IF(A382="[FÓRMULA MANUAL]","",IFERROR(SUMPRODUCT((nNIA=A382)*(nCUENTA=1)*(COUNTIF(CONFIG_ASIGNATURAS!$B$7:$B$27,nASIG)&gt;0)*(nNOTA))/SUMPRODUCT((nNIA=A382)*(nCUENTA=1)*(COUNTIF(CONFIG_ASIGNATURAS!$B$7:$B$27,nASIG)&gt;0)*1),"")))</f>
        <v/>
      </c>
      <c r="H382" t="str">
        <f>IF(G382="","",IF(G382="[FÓRMULA MANUAL]","",IFERROR(AVERAGEIFS(nNOTA,nNIA,G382,nCUENTA,1,nASIG,"Lenguaje Musical"),"")))</f>
        <v/>
      </c>
      <c r="I382" t="str">
        <f>IF(G382="","",IF(G382="[FÓRMULA MANUAL]","",IFERROR(AVERAGEIFS(nNOTA,nNIA,G382,nCUENTA,1,nASIG,"Orquesta/Banda/Conjunto"),"")))</f>
        <v/>
      </c>
      <c r="J382" t="str">
        <f>IF(G382="","",IF(G382="[FÓRMULA MANUAL]","",IFERROR(AVERAGEIFS(nNOTA,nNIA,G382,nCUENTA,1,nASIG,"Conjunto"),"")))</f>
        <v/>
      </c>
      <c r="K382" t="str">
        <f>IF(G382="","",IF(G382="[FÓRMULA MANUAL]","",IFERROR(SUMPRODUCT((nNIA=G382)*(nCUENTA=1)*(COUNTIF(CONFIG_ASIGNATURAS!$B$7:$B$27,nASIG)&gt;0)*(nNOTA))/SUMPRODUCT((nNIA=G382)*(nCUENTA=1)*(COUNTIF(CONFIG_ASIGNATURAS!$B$7:$B$27,nASIG)&gt;0)*1),"")))</f>
        <v/>
      </c>
      <c r="N382" t="str">
        <f>IF(M382="","",IF(M382="[FÓRMULA MANUAL]","",IFERROR(AVERAGEIFS(nNOTA,nNIA,M382,nCUENTA,1,nASIG,"Armonía"),"")))</f>
        <v/>
      </c>
      <c r="O382" t="str">
        <f>IF(M382="","",IF(M382="[FÓRMULA MANUAL]","",IFERROR(AVERAGEIFS(nNOTA,nNIA,M382,nCUENTA,1,nASIG,"Orquesta/Banda/Conjunto"),"")))</f>
        <v/>
      </c>
      <c r="P382" t="str">
        <f>IF(M382="","",IF(M382="[FÓRMULA MANUAL]","",IFERROR(AVERAGEIFS(nNOTA,nNIA,M382,nCUENTA,1,nASIG,"Música de Cámara"),"")))</f>
        <v/>
      </c>
      <c r="Q382" t="str">
        <f>IF(M382="","",IF(M382="[FÓRMULA MANUAL]","",IFERROR(SUMPRODUCT((nNIA=M382)*(nCUENTA=1)*(COUNTIF(CONFIG_ASIGNATURAS!$B$7:$B$27,nASIG)&gt;0)*(nNOTA))/SUMPRODUCT((nNIA=M382)*(nCUENTA=1)*(COUNTIF(CONFIG_ASIGNATURAS!$B$7:$B$27,nASIG)&gt;0)*1),"")))</f>
        <v/>
      </c>
      <c r="T382" t="str">
        <f>IF(S382="","",IF(S382="[FÓRMULA MANUAL]","",IFERROR(AVERAGEIFS(nNOTA,nNIA,S382,nCUENTA,1,nASIG,"Armonía"),"")))</f>
        <v/>
      </c>
      <c r="U382" t="str">
        <f>IF(S382="","",IF(S382="[FÓRMULA MANUAL]","",IFERROR(AVERAGEIFS(nNOTA,nNIA,S382,nCUENTA,1,nASIG,"Orquesta/Banda/Conjunto"),"")))</f>
        <v/>
      </c>
      <c r="V382" t="str">
        <f>IF(S382="","",IF(S382="[FÓRMULA MANUAL]","",IFERROR(AVERAGEIFS(nNOTA,nNIA,S382,nCUENTA,1,nASIG,"Música de Cámara"),"")))</f>
        <v/>
      </c>
      <c r="W382" t="str">
        <f>IF(S382="","",IF(S382="[FÓRMULA MANUAL]","",IFERROR(SUMPRODUCT((nNIA=S382)*(nCUENTA=1)*(COUNTIF(CONFIG_ASIGNATURAS!$B$7:$B$27,nASIG)&gt;0)*(nNOTA))/SUMPRODUCT((nNIA=S382)*(nCUENTA=1)*(COUNTIF(CONFIG_ASIGNATURAS!$B$7:$B$27,nASIG)&gt;0)*1),"")))</f>
        <v/>
      </c>
      <c r="Z382" t="str">
        <f>IF(Y382="","",IF(Y382="[FÓRMULA MANUAL]","",IFERROR(AVERAGEIFS(nNOTA,nNIA,Y382,nCUENTA,1,nASIG,"Análisis"),"")))</f>
        <v/>
      </c>
      <c r="AA382" t="str">
        <f>IF(Y382="","",IF(Y382="[FÓRMULA MANUAL]","",IFERROR(AVERAGEIFS(nNOTA,nNIA,Y382,nCUENTA,1,nASIG,"Orquesta/Banda/Conjunto"),"")))</f>
        <v/>
      </c>
      <c r="AB382" t="str">
        <f>IF(Y382="","",IF(Y382="[FÓRMULA MANUAL]","",IFERROR(AVERAGEIFS(nNOTA,nNIA,Y382,nCUENTA,1,nASIG,"Música de Cámara"),"")))</f>
        <v/>
      </c>
      <c r="AC382" t="str">
        <f>IF(Y382="","",IF(Y382="[FÓRMULA MANUAL]","",IFERROR(SUMPRODUCT((nNIA=Y382)*(nCUENTA=1)*(COUNTIF(CONFIG_ASIGNATURAS!$B$7:$B$27,nASIG)&gt;0)*(nNOTA))/SUMPRODUCT((nNIA=Y382)*(nCUENTA=1)*(COUNTIF(CONFIG_ASIGNATURAS!$B$7:$B$27,nASIG)&gt;0)*1),"")))</f>
        <v/>
      </c>
      <c r="AF382" t="str">
        <f>IF(AE382="","",IF(AE382="[FÓRMULA MANUAL]","",IFERROR(AVERAGEIFS(nNOTA,nNIA,AE382,nCUENTA,1,nASIG,"Análisis"),"")))</f>
        <v/>
      </c>
      <c r="AG382" t="str">
        <f>IF(AE382="","",IF(AE382="[FÓRMULA MANUAL]","",IFERROR(AVERAGEIFS(nNOTA,nNIA,AE382,nCUENTA,1,nASIG,"Orquesta/Banda/Conjunto"),"")))</f>
        <v/>
      </c>
      <c r="AH382" t="str">
        <f>IF(AE382="","",IF(AE382="[FÓRMULA MANUAL]","",IFERROR(AVERAGEIFS(nNOTA,nNIA,AE382,nCUENTA,1,nASIG,"Música de Cámara"),"")))</f>
        <v/>
      </c>
      <c r="AI382" t="str">
        <f>IF(AE382="","",IF(AE382="[FÓRMULA MANUAL]","",IFERROR(SUMPRODUCT((nNIA=AE382)*(nCUENTA=1)*(COUNTIF(CONFIG_ASIGNATURAS!$B$7:$B$27,nASIG)&gt;0)*(nNOTA))/SUMPRODUCT((nNIA=AE382)*(nCUENTA=1)*(COUNTIF(CONFIG_ASIGNATURAS!$B$7:$B$27,nASIG)&gt;0)*1),"")))</f>
        <v/>
      </c>
    </row>
    <row r="383" spans="2:35" x14ac:dyDescent="0.2">
      <c r="B383" t="str">
        <f>IF(A383="","",IF(A383="[FÓRMULA MANUAL]","",IFERROR(AVERAGEIFS(nNOTA,nNIA,A383,nCUENTA,1,nASIG,"Lenguaje Musical"),"")))</f>
        <v/>
      </c>
      <c r="C383" t="str">
        <f>IF(A383="","",IF(A383="[FÓRMULA MANUAL]","",IFERROR(AVERAGEIFS(nNOTA,nNIA,A383,nCUENTA,1,nASIG,"Orquesta/Banda/Conjunto"),"")))</f>
        <v/>
      </c>
      <c r="D383" t="str">
        <f>IF(A383="","",IF(A383="[FÓRMULA MANUAL]","",IFERROR(AVERAGEIFS(nNOTA,nNIA,A383,nCUENTA,1,nASIG,"Conjunto"),"")))</f>
        <v/>
      </c>
      <c r="E383" t="str">
        <f>IF(A383="","",IF(A383="[FÓRMULA MANUAL]","",IFERROR(SUMPRODUCT((nNIA=A383)*(nCUENTA=1)*(COUNTIF(CONFIG_ASIGNATURAS!$B$7:$B$27,nASIG)&gt;0)*(nNOTA))/SUMPRODUCT((nNIA=A383)*(nCUENTA=1)*(COUNTIF(CONFIG_ASIGNATURAS!$B$7:$B$27,nASIG)&gt;0)*1),"")))</f>
        <v/>
      </c>
      <c r="H383" t="str">
        <f>IF(G383="","",IF(G383="[FÓRMULA MANUAL]","",IFERROR(AVERAGEIFS(nNOTA,nNIA,G383,nCUENTA,1,nASIG,"Lenguaje Musical"),"")))</f>
        <v/>
      </c>
      <c r="I383" t="str">
        <f>IF(G383="","",IF(G383="[FÓRMULA MANUAL]","",IFERROR(AVERAGEIFS(nNOTA,nNIA,G383,nCUENTA,1,nASIG,"Orquesta/Banda/Conjunto"),"")))</f>
        <v/>
      </c>
      <c r="J383" t="str">
        <f>IF(G383="","",IF(G383="[FÓRMULA MANUAL]","",IFERROR(AVERAGEIFS(nNOTA,nNIA,G383,nCUENTA,1,nASIG,"Conjunto"),"")))</f>
        <v/>
      </c>
      <c r="K383" t="str">
        <f>IF(G383="","",IF(G383="[FÓRMULA MANUAL]","",IFERROR(SUMPRODUCT((nNIA=G383)*(nCUENTA=1)*(COUNTIF(CONFIG_ASIGNATURAS!$B$7:$B$27,nASIG)&gt;0)*(nNOTA))/SUMPRODUCT((nNIA=G383)*(nCUENTA=1)*(COUNTIF(CONFIG_ASIGNATURAS!$B$7:$B$27,nASIG)&gt;0)*1),"")))</f>
        <v/>
      </c>
      <c r="N383" t="str">
        <f>IF(M383="","",IF(M383="[FÓRMULA MANUAL]","",IFERROR(AVERAGEIFS(nNOTA,nNIA,M383,nCUENTA,1,nASIG,"Armonía"),"")))</f>
        <v/>
      </c>
      <c r="O383" t="str">
        <f>IF(M383="","",IF(M383="[FÓRMULA MANUAL]","",IFERROR(AVERAGEIFS(nNOTA,nNIA,M383,nCUENTA,1,nASIG,"Orquesta/Banda/Conjunto"),"")))</f>
        <v/>
      </c>
      <c r="P383" t="str">
        <f>IF(M383="","",IF(M383="[FÓRMULA MANUAL]","",IFERROR(AVERAGEIFS(nNOTA,nNIA,M383,nCUENTA,1,nASIG,"Música de Cámara"),"")))</f>
        <v/>
      </c>
      <c r="Q383" t="str">
        <f>IF(M383="","",IF(M383="[FÓRMULA MANUAL]","",IFERROR(SUMPRODUCT((nNIA=M383)*(nCUENTA=1)*(COUNTIF(CONFIG_ASIGNATURAS!$B$7:$B$27,nASIG)&gt;0)*(nNOTA))/SUMPRODUCT((nNIA=M383)*(nCUENTA=1)*(COUNTIF(CONFIG_ASIGNATURAS!$B$7:$B$27,nASIG)&gt;0)*1),"")))</f>
        <v/>
      </c>
      <c r="T383" t="str">
        <f>IF(S383="","",IF(S383="[FÓRMULA MANUAL]","",IFERROR(AVERAGEIFS(nNOTA,nNIA,S383,nCUENTA,1,nASIG,"Armonía"),"")))</f>
        <v/>
      </c>
      <c r="U383" t="str">
        <f>IF(S383="","",IF(S383="[FÓRMULA MANUAL]","",IFERROR(AVERAGEIFS(nNOTA,nNIA,S383,nCUENTA,1,nASIG,"Orquesta/Banda/Conjunto"),"")))</f>
        <v/>
      </c>
      <c r="V383" t="str">
        <f>IF(S383="","",IF(S383="[FÓRMULA MANUAL]","",IFERROR(AVERAGEIFS(nNOTA,nNIA,S383,nCUENTA,1,nASIG,"Música de Cámara"),"")))</f>
        <v/>
      </c>
      <c r="W383" t="str">
        <f>IF(S383="","",IF(S383="[FÓRMULA MANUAL]","",IFERROR(SUMPRODUCT((nNIA=S383)*(nCUENTA=1)*(COUNTIF(CONFIG_ASIGNATURAS!$B$7:$B$27,nASIG)&gt;0)*(nNOTA))/SUMPRODUCT((nNIA=S383)*(nCUENTA=1)*(COUNTIF(CONFIG_ASIGNATURAS!$B$7:$B$27,nASIG)&gt;0)*1),"")))</f>
        <v/>
      </c>
      <c r="Z383" t="str">
        <f>IF(Y383="","",IF(Y383="[FÓRMULA MANUAL]","",IFERROR(AVERAGEIFS(nNOTA,nNIA,Y383,nCUENTA,1,nASIG,"Análisis"),"")))</f>
        <v/>
      </c>
      <c r="AA383" t="str">
        <f>IF(Y383="","",IF(Y383="[FÓRMULA MANUAL]","",IFERROR(AVERAGEIFS(nNOTA,nNIA,Y383,nCUENTA,1,nASIG,"Orquesta/Banda/Conjunto"),"")))</f>
        <v/>
      </c>
      <c r="AB383" t="str">
        <f>IF(Y383="","",IF(Y383="[FÓRMULA MANUAL]","",IFERROR(AVERAGEIFS(nNOTA,nNIA,Y383,nCUENTA,1,nASIG,"Música de Cámara"),"")))</f>
        <v/>
      </c>
      <c r="AC383" t="str">
        <f>IF(Y383="","",IF(Y383="[FÓRMULA MANUAL]","",IFERROR(SUMPRODUCT((nNIA=Y383)*(nCUENTA=1)*(COUNTIF(CONFIG_ASIGNATURAS!$B$7:$B$27,nASIG)&gt;0)*(nNOTA))/SUMPRODUCT((nNIA=Y383)*(nCUENTA=1)*(COUNTIF(CONFIG_ASIGNATURAS!$B$7:$B$27,nASIG)&gt;0)*1),"")))</f>
        <v/>
      </c>
      <c r="AF383" t="str">
        <f>IF(AE383="","",IF(AE383="[FÓRMULA MANUAL]","",IFERROR(AVERAGEIFS(nNOTA,nNIA,AE383,nCUENTA,1,nASIG,"Análisis"),"")))</f>
        <v/>
      </c>
      <c r="AG383" t="str">
        <f>IF(AE383="","",IF(AE383="[FÓRMULA MANUAL]","",IFERROR(AVERAGEIFS(nNOTA,nNIA,AE383,nCUENTA,1,nASIG,"Orquesta/Banda/Conjunto"),"")))</f>
        <v/>
      </c>
      <c r="AH383" t="str">
        <f>IF(AE383="","",IF(AE383="[FÓRMULA MANUAL]","",IFERROR(AVERAGEIFS(nNOTA,nNIA,AE383,nCUENTA,1,nASIG,"Música de Cámara"),"")))</f>
        <v/>
      </c>
      <c r="AI383" t="str">
        <f>IF(AE383="","",IF(AE383="[FÓRMULA MANUAL]","",IFERROR(SUMPRODUCT((nNIA=AE383)*(nCUENTA=1)*(COUNTIF(CONFIG_ASIGNATURAS!$B$7:$B$27,nASIG)&gt;0)*(nNOTA))/SUMPRODUCT((nNIA=AE383)*(nCUENTA=1)*(COUNTIF(CONFIG_ASIGNATURAS!$B$7:$B$27,nASIG)&gt;0)*1),"")))</f>
        <v/>
      </c>
    </row>
    <row r="384" spans="2:35" x14ac:dyDescent="0.2">
      <c r="B384" t="str">
        <f>IF(A384="","",IF(A384="[FÓRMULA MANUAL]","",IFERROR(AVERAGEIFS(nNOTA,nNIA,A384,nCUENTA,1,nASIG,"Lenguaje Musical"),"")))</f>
        <v/>
      </c>
      <c r="C384" t="str">
        <f>IF(A384="","",IF(A384="[FÓRMULA MANUAL]","",IFERROR(AVERAGEIFS(nNOTA,nNIA,A384,nCUENTA,1,nASIG,"Orquesta/Banda/Conjunto"),"")))</f>
        <v/>
      </c>
      <c r="D384" t="str">
        <f>IF(A384="","",IF(A384="[FÓRMULA MANUAL]","",IFERROR(AVERAGEIFS(nNOTA,nNIA,A384,nCUENTA,1,nASIG,"Conjunto"),"")))</f>
        <v/>
      </c>
      <c r="E384" t="str">
        <f>IF(A384="","",IF(A384="[FÓRMULA MANUAL]","",IFERROR(SUMPRODUCT((nNIA=A384)*(nCUENTA=1)*(COUNTIF(CONFIG_ASIGNATURAS!$B$7:$B$27,nASIG)&gt;0)*(nNOTA))/SUMPRODUCT((nNIA=A384)*(nCUENTA=1)*(COUNTIF(CONFIG_ASIGNATURAS!$B$7:$B$27,nASIG)&gt;0)*1),"")))</f>
        <v/>
      </c>
      <c r="H384" t="str">
        <f>IF(G384="","",IF(G384="[FÓRMULA MANUAL]","",IFERROR(AVERAGEIFS(nNOTA,nNIA,G384,nCUENTA,1,nASIG,"Lenguaje Musical"),"")))</f>
        <v/>
      </c>
      <c r="I384" t="str">
        <f>IF(G384="","",IF(G384="[FÓRMULA MANUAL]","",IFERROR(AVERAGEIFS(nNOTA,nNIA,G384,nCUENTA,1,nASIG,"Orquesta/Banda/Conjunto"),"")))</f>
        <v/>
      </c>
      <c r="J384" t="str">
        <f>IF(G384="","",IF(G384="[FÓRMULA MANUAL]","",IFERROR(AVERAGEIFS(nNOTA,nNIA,G384,nCUENTA,1,nASIG,"Conjunto"),"")))</f>
        <v/>
      </c>
      <c r="K384" t="str">
        <f>IF(G384="","",IF(G384="[FÓRMULA MANUAL]","",IFERROR(SUMPRODUCT((nNIA=G384)*(nCUENTA=1)*(COUNTIF(CONFIG_ASIGNATURAS!$B$7:$B$27,nASIG)&gt;0)*(nNOTA))/SUMPRODUCT((nNIA=G384)*(nCUENTA=1)*(COUNTIF(CONFIG_ASIGNATURAS!$B$7:$B$27,nASIG)&gt;0)*1),"")))</f>
        <v/>
      </c>
      <c r="N384" t="str">
        <f>IF(M384="","",IF(M384="[FÓRMULA MANUAL]","",IFERROR(AVERAGEIFS(nNOTA,nNIA,M384,nCUENTA,1,nASIG,"Armonía"),"")))</f>
        <v/>
      </c>
      <c r="O384" t="str">
        <f>IF(M384="","",IF(M384="[FÓRMULA MANUAL]","",IFERROR(AVERAGEIFS(nNOTA,nNIA,M384,nCUENTA,1,nASIG,"Orquesta/Banda/Conjunto"),"")))</f>
        <v/>
      </c>
      <c r="P384" t="str">
        <f>IF(M384="","",IF(M384="[FÓRMULA MANUAL]","",IFERROR(AVERAGEIFS(nNOTA,nNIA,M384,nCUENTA,1,nASIG,"Música de Cámara"),"")))</f>
        <v/>
      </c>
      <c r="Q384" t="str">
        <f>IF(M384="","",IF(M384="[FÓRMULA MANUAL]","",IFERROR(SUMPRODUCT((nNIA=M384)*(nCUENTA=1)*(COUNTIF(CONFIG_ASIGNATURAS!$B$7:$B$27,nASIG)&gt;0)*(nNOTA))/SUMPRODUCT((nNIA=M384)*(nCUENTA=1)*(COUNTIF(CONFIG_ASIGNATURAS!$B$7:$B$27,nASIG)&gt;0)*1),"")))</f>
        <v/>
      </c>
      <c r="T384" t="str">
        <f>IF(S384="","",IF(S384="[FÓRMULA MANUAL]","",IFERROR(AVERAGEIFS(nNOTA,nNIA,S384,nCUENTA,1,nASIG,"Armonía"),"")))</f>
        <v/>
      </c>
      <c r="U384" t="str">
        <f>IF(S384="","",IF(S384="[FÓRMULA MANUAL]","",IFERROR(AVERAGEIFS(nNOTA,nNIA,S384,nCUENTA,1,nASIG,"Orquesta/Banda/Conjunto"),"")))</f>
        <v/>
      </c>
      <c r="V384" t="str">
        <f>IF(S384="","",IF(S384="[FÓRMULA MANUAL]","",IFERROR(AVERAGEIFS(nNOTA,nNIA,S384,nCUENTA,1,nASIG,"Música de Cámara"),"")))</f>
        <v/>
      </c>
      <c r="W384" t="str">
        <f>IF(S384="","",IF(S384="[FÓRMULA MANUAL]","",IFERROR(SUMPRODUCT((nNIA=S384)*(nCUENTA=1)*(COUNTIF(CONFIG_ASIGNATURAS!$B$7:$B$27,nASIG)&gt;0)*(nNOTA))/SUMPRODUCT((nNIA=S384)*(nCUENTA=1)*(COUNTIF(CONFIG_ASIGNATURAS!$B$7:$B$27,nASIG)&gt;0)*1),"")))</f>
        <v/>
      </c>
      <c r="Z384" t="str">
        <f>IF(Y384="","",IF(Y384="[FÓRMULA MANUAL]","",IFERROR(AVERAGEIFS(nNOTA,nNIA,Y384,nCUENTA,1,nASIG,"Análisis"),"")))</f>
        <v/>
      </c>
      <c r="AA384" t="str">
        <f>IF(Y384="","",IF(Y384="[FÓRMULA MANUAL]","",IFERROR(AVERAGEIFS(nNOTA,nNIA,Y384,nCUENTA,1,nASIG,"Orquesta/Banda/Conjunto"),"")))</f>
        <v/>
      </c>
      <c r="AB384" t="str">
        <f>IF(Y384="","",IF(Y384="[FÓRMULA MANUAL]","",IFERROR(AVERAGEIFS(nNOTA,nNIA,Y384,nCUENTA,1,nASIG,"Música de Cámara"),"")))</f>
        <v/>
      </c>
      <c r="AC384" t="str">
        <f>IF(Y384="","",IF(Y384="[FÓRMULA MANUAL]","",IFERROR(SUMPRODUCT((nNIA=Y384)*(nCUENTA=1)*(COUNTIF(CONFIG_ASIGNATURAS!$B$7:$B$27,nASIG)&gt;0)*(nNOTA))/SUMPRODUCT((nNIA=Y384)*(nCUENTA=1)*(COUNTIF(CONFIG_ASIGNATURAS!$B$7:$B$27,nASIG)&gt;0)*1),"")))</f>
        <v/>
      </c>
      <c r="AF384" t="str">
        <f>IF(AE384="","",IF(AE384="[FÓRMULA MANUAL]","",IFERROR(AVERAGEIFS(nNOTA,nNIA,AE384,nCUENTA,1,nASIG,"Análisis"),"")))</f>
        <v/>
      </c>
      <c r="AG384" t="str">
        <f>IF(AE384="","",IF(AE384="[FÓRMULA MANUAL]","",IFERROR(AVERAGEIFS(nNOTA,nNIA,AE384,nCUENTA,1,nASIG,"Orquesta/Banda/Conjunto"),"")))</f>
        <v/>
      </c>
      <c r="AH384" t="str">
        <f>IF(AE384="","",IF(AE384="[FÓRMULA MANUAL]","",IFERROR(AVERAGEIFS(nNOTA,nNIA,AE384,nCUENTA,1,nASIG,"Música de Cámara"),"")))</f>
        <v/>
      </c>
      <c r="AI384" t="str">
        <f>IF(AE384="","",IF(AE384="[FÓRMULA MANUAL]","",IFERROR(SUMPRODUCT((nNIA=AE384)*(nCUENTA=1)*(COUNTIF(CONFIG_ASIGNATURAS!$B$7:$B$27,nASIG)&gt;0)*(nNOTA))/SUMPRODUCT((nNIA=AE384)*(nCUENTA=1)*(COUNTIF(CONFIG_ASIGNATURAS!$B$7:$B$27,nASIG)&gt;0)*1),"")))</f>
        <v/>
      </c>
    </row>
    <row r="385" spans="2:35" x14ac:dyDescent="0.2">
      <c r="B385" t="str">
        <f>IF(A385="","",IF(A385="[FÓRMULA MANUAL]","",IFERROR(AVERAGEIFS(nNOTA,nNIA,A385,nCUENTA,1,nASIG,"Lenguaje Musical"),"")))</f>
        <v/>
      </c>
      <c r="C385" t="str">
        <f>IF(A385="","",IF(A385="[FÓRMULA MANUAL]","",IFERROR(AVERAGEIFS(nNOTA,nNIA,A385,nCUENTA,1,nASIG,"Orquesta/Banda/Conjunto"),"")))</f>
        <v/>
      </c>
      <c r="D385" t="str">
        <f>IF(A385="","",IF(A385="[FÓRMULA MANUAL]","",IFERROR(AVERAGEIFS(nNOTA,nNIA,A385,nCUENTA,1,nASIG,"Conjunto"),"")))</f>
        <v/>
      </c>
      <c r="E385" t="str">
        <f>IF(A385="","",IF(A385="[FÓRMULA MANUAL]","",IFERROR(SUMPRODUCT((nNIA=A385)*(nCUENTA=1)*(COUNTIF(CONFIG_ASIGNATURAS!$B$7:$B$27,nASIG)&gt;0)*(nNOTA))/SUMPRODUCT((nNIA=A385)*(nCUENTA=1)*(COUNTIF(CONFIG_ASIGNATURAS!$B$7:$B$27,nASIG)&gt;0)*1),"")))</f>
        <v/>
      </c>
      <c r="H385" t="str">
        <f>IF(G385="","",IF(G385="[FÓRMULA MANUAL]","",IFERROR(AVERAGEIFS(nNOTA,nNIA,G385,nCUENTA,1,nASIG,"Lenguaje Musical"),"")))</f>
        <v/>
      </c>
      <c r="I385" t="str">
        <f>IF(G385="","",IF(G385="[FÓRMULA MANUAL]","",IFERROR(AVERAGEIFS(nNOTA,nNIA,G385,nCUENTA,1,nASIG,"Orquesta/Banda/Conjunto"),"")))</f>
        <v/>
      </c>
      <c r="J385" t="str">
        <f>IF(G385="","",IF(G385="[FÓRMULA MANUAL]","",IFERROR(AVERAGEIFS(nNOTA,nNIA,G385,nCUENTA,1,nASIG,"Conjunto"),"")))</f>
        <v/>
      </c>
      <c r="K385" t="str">
        <f>IF(G385="","",IF(G385="[FÓRMULA MANUAL]","",IFERROR(SUMPRODUCT((nNIA=G385)*(nCUENTA=1)*(COUNTIF(CONFIG_ASIGNATURAS!$B$7:$B$27,nASIG)&gt;0)*(nNOTA))/SUMPRODUCT((nNIA=G385)*(nCUENTA=1)*(COUNTIF(CONFIG_ASIGNATURAS!$B$7:$B$27,nASIG)&gt;0)*1),"")))</f>
        <v/>
      </c>
      <c r="N385" t="str">
        <f>IF(M385="","",IF(M385="[FÓRMULA MANUAL]","",IFERROR(AVERAGEIFS(nNOTA,nNIA,M385,nCUENTA,1,nASIG,"Armonía"),"")))</f>
        <v/>
      </c>
      <c r="O385" t="str">
        <f>IF(M385="","",IF(M385="[FÓRMULA MANUAL]","",IFERROR(AVERAGEIFS(nNOTA,nNIA,M385,nCUENTA,1,nASIG,"Orquesta/Banda/Conjunto"),"")))</f>
        <v/>
      </c>
      <c r="P385" t="str">
        <f>IF(M385="","",IF(M385="[FÓRMULA MANUAL]","",IFERROR(AVERAGEIFS(nNOTA,nNIA,M385,nCUENTA,1,nASIG,"Música de Cámara"),"")))</f>
        <v/>
      </c>
      <c r="Q385" t="str">
        <f>IF(M385="","",IF(M385="[FÓRMULA MANUAL]","",IFERROR(SUMPRODUCT((nNIA=M385)*(nCUENTA=1)*(COUNTIF(CONFIG_ASIGNATURAS!$B$7:$B$27,nASIG)&gt;0)*(nNOTA))/SUMPRODUCT((nNIA=M385)*(nCUENTA=1)*(COUNTIF(CONFIG_ASIGNATURAS!$B$7:$B$27,nASIG)&gt;0)*1),"")))</f>
        <v/>
      </c>
      <c r="T385" t="str">
        <f>IF(S385="","",IF(S385="[FÓRMULA MANUAL]","",IFERROR(AVERAGEIFS(nNOTA,nNIA,S385,nCUENTA,1,nASIG,"Armonía"),"")))</f>
        <v/>
      </c>
      <c r="U385" t="str">
        <f>IF(S385="","",IF(S385="[FÓRMULA MANUAL]","",IFERROR(AVERAGEIFS(nNOTA,nNIA,S385,nCUENTA,1,nASIG,"Orquesta/Banda/Conjunto"),"")))</f>
        <v/>
      </c>
      <c r="V385" t="str">
        <f>IF(S385="","",IF(S385="[FÓRMULA MANUAL]","",IFERROR(AVERAGEIFS(nNOTA,nNIA,S385,nCUENTA,1,nASIG,"Música de Cámara"),"")))</f>
        <v/>
      </c>
      <c r="W385" t="str">
        <f>IF(S385="","",IF(S385="[FÓRMULA MANUAL]","",IFERROR(SUMPRODUCT((nNIA=S385)*(nCUENTA=1)*(COUNTIF(CONFIG_ASIGNATURAS!$B$7:$B$27,nASIG)&gt;0)*(nNOTA))/SUMPRODUCT((nNIA=S385)*(nCUENTA=1)*(COUNTIF(CONFIG_ASIGNATURAS!$B$7:$B$27,nASIG)&gt;0)*1),"")))</f>
        <v/>
      </c>
      <c r="Z385" t="str">
        <f>IF(Y385="","",IF(Y385="[FÓRMULA MANUAL]","",IFERROR(AVERAGEIFS(nNOTA,nNIA,Y385,nCUENTA,1,nASIG,"Análisis"),"")))</f>
        <v/>
      </c>
      <c r="AA385" t="str">
        <f>IF(Y385="","",IF(Y385="[FÓRMULA MANUAL]","",IFERROR(AVERAGEIFS(nNOTA,nNIA,Y385,nCUENTA,1,nASIG,"Orquesta/Banda/Conjunto"),"")))</f>
        <v/>
      </c>
      <c r="AB385" t="str">
        <f>IF(Y385="","",IF(Y385="[FÓRMULA MANUAL]","",IFERROR(AVERAGEIFS(nNOTA,nNIA,Y385,nCUENTA,1,nASIG,"Música de Cámara"),"")))</f>
        <v/>
      </c>
      <c r="AC385" t="str">
        <f>IF(Y385="","",IF(Y385="[FÓRMULA MANUAL]","",IFERROR(SUMPRODUCT((nNIA=Y385)*(nCUENTA=1)*(COUNTIF(CONFIG_ASIGNATURAS!$B$7:$B$27,nASIG)&gt;0)*(nNOTA))/SUMPRODUCT((nNIA=Y385)*(nCUENTA=1)*(COUNTIF(CONFIG_ASIGNATURAS!$B$7:$B$27,nASIG)&gt;0)*1),"")))</f>
        <v/>
      </c>
      <c r="AF385" t="str">
        <f>IF(AE385="","",IF(AE385="[FÓRMULA MANUAL]","",IFERROR(AVERAGEIFS(nNOTA,nNIA,AE385,nCUENTA,1,nASIG,"Análisis"),"")))</f>
        <v/>
      </c>
      <c r="AG385" t="str">
        <f>IF(AE385="","",IF(AE385="[FÓRMULA MANUAL]","",IFERROR(AVERAGEIFS(nNOTA,nNIA,AE385,nCUENTA,1,nASIG,"Orquesta/Banda/Conjunto"),"")))</f>
        <v/>
      </c>
      <c r="AH385" t="str">
        <f>IF(AE385="","",IF(AE385="[FÓRMULA MANUAL]","",IFERROR(AVERAGEIFS(nNOTA,nNIA,AE385,nCUENTA,1,nASIG,"Música de Cámara"),"")))</f>
        <v/>
      </c>
      <c r="AI385" t="str">
        <f>IF(AE385="","",IF(AE385="[FÓRMULA MANUAL]","",IFERROR(SUMPRODUCT((nNIA=AE385)*(nCUENTA=1)*(COUNTIF(CONFIG_ASIGNATURAS!$B$7:$B$27,nASIG)&gt;0)*(nNOTA))/SUMPRODUCT((nNIA=AE385)*(nCUENTA=1)*(COUNTIF(CONFIG_ASIGNATURAS!$B$7:$B$27,nASIG)&gt;0)*1),"")))</f>
        <v/>
      </c>
    </row>
    <row r="386" spans="2:35" x14ac:dyDescent="0.2">
      <c r="B386" t="str">
        <f>IF(A386="","",IF(A386="[FÓRMULA MANUAL]","",IFERROR(AVERAGEIFS(nNOTA,nNIA,A386,nCUENTA,1,nASIG,"Lenguaje Musical"),"")))</f>
        <v/>
      </c>
      <c r="C386" t="str">
        <f>IF(A386="","",IF(A386="[FÓRMULA MANUAL]","",IFERROR(AVERAGEIFS(nNOTA,nNIA,A386,nCUENTA,1,nASIG,"Orquesta/Banda/Conjunto"),"")))</f>
        <v/>
      </c>
      <c r="D386" t="str">
        <f>IF(A386="","",IF(A386="[FÓRMULA MANUAL]","",IFERROR(AVERAGEIFS(nNOTA,nNIA,A386,nCUENTA,1,nASIG,"Conjunto"),"")))</f>
        <v/>
      </c>
      <c r="E386" t="str">
        <f>IF(A386="","",IF(A386="[FÓRMULA MANUAL]","",IFERROR(SUMPRODUCT((nNIA=A386)*(nCUENTA=1)*(COUNTIF(CONFIG_ASIGNATURAS!$B$7:$B$27,nASIG)&gt;0)*(nNOTA))/SUMPRODUCT((nNIA=A386)*(nCUENTA=1)*(COUNTIF(CONFIG_ASIGNATURAS!$B$7:$B$27,nASIG)&gt;0)*1),"")))</f>
        <v/>
      </c>
      <c r="H386" t="str">
        <f>IF(G386="","",IF(G386="[FÓRMULA MANUAL]","",IFERROR(AVERAGEIFS(nNOTA,nNIA,G386,nCUENTA,1,nASIG,"Lenguaje Musical"),"")))</f>
        <v/>
      </c>
      <c r="I386" t="str">
        <f>IF(G386="","",IF(G386="[FÓRMULA MANUAL]","",IFERROR(AVERAGEIFS(nNOTA,nNIA,G386,nCUENTA,1,nASIG,"Orquesta/Banda/Conjunto"),"")))</f>
        <v/>
      </c>
      <c r="J386" t="str">
        <f>IF(G386="","",IF(G386="[FÓRMULA MANUAL]","",IFERROR(AVERAGEIFS(nNOTA,nNIA,G386,nCUENTA,1,nASIG,"Conjunto"),"")))</f>
        <v/>
      </c>
      <c r="K386" t="str">
        <f>IF(G386="","",IF(G386="[FÓRMULA MANUAL]","",IFERROR(SUMPRODUCT((nNIA=G386)*(nCUENTA=1)*(COUNTIF(CONFIG_ASIGNATURAS!$B$7:$B$27,nASIG)&gt;0)*(nNOTA))/SUMPRODUCT((nNIA=G386)*(nCUENTA=1)*(COUNTIF(CONFIG_ASIGNATURAS!$B$7:$B$27,nASIG)&gt;0)*1),"")))</f>
        <v/>
      </c>
      <c r="N386" t="str">
        <f>IF(M386="","",IF(M386="[FÓRMULA MANUAL]","",IFERROR(AVERAGEIFS(nNOTA,nNIA,M386,nCUENTA,1,nASIG,"Armonía"),"")))</f>
        <v/>
      </c>
      <c r="O386" t="str">
        <f>IF(M386="","",IF(M386="[FÓRMULA MANUAL]","",IFERROR(AVERAGEIFS(nNOTA,nNIA,M386,nCUENTA,1,nASIG,"Orquesta/Banda/Conjunto"),"")))</f>
        <v/>
      </c>
      <c r="P386" t="str">
        <f>IF(M386="","",IF(M386="[FÓRMULA MANUAL]","",IFERROR(AVERAGEIFS(nNOTA,nNIA,M386,nCUENTA,1,nASIG,"Música de Cámara"),"")))</f>
        <v/>
      </c>
      <c r="Q386" t="str">
        <f>IF(M386="","",IF(M386="[FÓRMULA MANUAL]","",IFERROR(SUMPRODUCT((nNIA=M386)*(nCUENTA=1)*(COUNTIF(CONFIG_ASIGNATURAS!$B$7:$B$27,nASIG)&gt;0)*(nNOTA))/SUMPRODUCT((nNIA=M386)*(nCUENTA=1)*(COUNTIF(CONFIG_ASIGNATURAS!$B$7:$B$27,nASIG)&gt;0)*1),"")))</f>
        <v/>
      </c>
      <c r="T386" t="str">
        <f>IF(S386="","",IF(S386="[FÓRMULA MANUAL]","",IFERROR(AVERAGEIFS(nNOTA,nNIA,S386,nCUENTA,1,nASIG,"Armonía"),"")))</f>
        <v/>
      </c>
      <c r="U386" t="str">
        <f>IF(S386="","",IF(S386="[FÓRMULA MANUAL]","",IFERROR(AVERAGEIFS(nNOTA,nNIA,S386,nCUENTA,1,nASIG,"Orquesta/Banda/Conjunto"),"")))</f>
        <v/>
      </c>
      <c r="V386" t="str">
        <f>IF(S386="","",IF(S386="[FÓRMULA MANUAL]","",IFERROR(AVERAGEIFS(nNOTA,nNIA,S386,nCUENTA,1,nASIG,"Música de Cámara"),"")))</f>
        <v/>
      </c>
      <c r="W386" t="str">
        <f>IF(S386="","",IF(S386="[FÓRMULA MANUAL]","",IFERROR(SUMPRODUCT((nNIA=S386)*(nCUENTA=1)*(COUNTIF(CONFIG_ASIGNATURAS!$B$7:$B$27,nASIG)&gt;0)*(nNOTA))/SUMPRODUCT((nNIA=S386)*(nCUENTA=1)*(COUNTIF(CONFIG_ASIGNATURAS!$B$7:$B$27,nASIG)&gt;0)*1),"")))</f>
        <v/>
      </c>
      <c r="Z386" t="str">
        <f>IF(Y386="","",IF(Y386="[FÓRMULA MANUAL]","",IFERROR(AVERAGEIFS(nNOTA,nNIA,Y386,nCUENTA,1,nASIG,"Análisis"),"")))</f>
        <v/>
      </c>
      <c r="AA386" t="str">
        <f>IF(Y386="","",IF(Y386="[FÓRMULA MANUAL]","",IFERROR(AVERAGEIFS(nNOTA,nNIA,Y386,nCUENTA,1,nASIG,"Orquesta/Banda/Conjunto"),"")))</f>
        <v/>
      </c>
      <c r="AB386" t="str">
        <f>IF(Y386="","",IF(Y386="[FÓRMULA MANUAL]","",IFERROR(AVERAGEIFS(nNOTA,nNIA,Y386,nCUENTA,1,nASIG,"Música de Cámara"),"")))</f>
        <v/>
      </c>
      <c r="AC386" t="str">
        <f>IF(Y386="","",IF(Y386="[FÓRMULA MANUAL]","",IFERROR(SUMPRODUCT((nNIA=Y386)*(nCUENTA=1)*(COUNTIF(CONFIG_ASIGNATURAS!$B$7:$B$27,nASIG)&gt;0)*(nNOTA))/SUMPRODUCT((nNIA=Y386)*(nCUENTA=1)*(COUNTIF(CONFIG_ASIGNATURAS!$B$7:$B$27,nASIG)&gt;0)*1),"")))</f>
        <v/>
      </c>
      <c r="AF386" t="str">
        <f>IF(AE386="","",IF(AE386="[FÓRMULA MANUAL]","",IFERROR(AVERAGEIFS(nNOTA,nNIA,AE386,nCUENTA,1,nASIG,"Análisis"),"")))</f>
        <v/>
      </c>
      <c r="AG386" t="str">
        <f>IF(AE386="","",IF(AE386="[FÓRMULA MANUAL]","",IFERROR(AVERAGEIFS(nNOTA,nNIA,AE386,nCUENTA,1,nASIG,"Orquesta/Banda/Conjunto"),"")))</f>
        <v/>
      </c>
      <c r="AH386" t="str">
        <f>IF(AE386="","",IF(AE386="[FÓRMULA MANUAL]","",IFERROR(AVERAGEIFS(nNOTA,nNIA,AE386,nCUENTA,1,nASIG,"Música de Cámara"),"")))</f>
        <v/>
      </c>
      <c r="AI386" t="str">
        <f>IF(AE386="","",IF(AE386="[FÓRMULA MANUAL]","",IFERROR(SUMPRODUCT((nNIA=AE386)*(nCUENTA=1)*(COUNTIF(CONFIG_ASIGNATURAS!$B$7:$B$27,nASIG)&gt;0)*(nNOTA))/SUMPRODUCT((nNIA=AE386)*(nCUENTA=1)*(COUNTIF(CONFIG_ASIGNATURAS!$B$7:$B$27,nASIG)&gt;0)*1),"")))</f>
        <v/>
      </c>
    </row>
    <row r="387" spans="2:35" x14ac:dyDescent="0.2">
      <c r="B387" t="str">
        <f>IF(A387="","",IF(A387="[FÓRMULA MANUAL]","",IFERROR(AVERAGEIFS(nNOTA,nNIA,A387,nCUENTA,1,nASIG,"Lenguaje Musical"),"")))</f>
        <v/>
      </c>
      <c r="C387" t="str">
        <f>IF(A387="","",IF(A387="[FÓRMULA MANUAL]","",IFERROR(AVERAGEIFS(nNOTA,nNIA,A387,nCUENTA,1,nASIG,"Orquesta/Banda/Conjunto"),"")))</f>
        <v/>
      </c>
      <c r="D387" t="str">
        <f>IF(A387="","",IF(A387="[FÓRMULA MANUAL]","",IFERROR(AVERAGEIFS(nNOTA,nNIA,A387,nCUENTA,1,nASIG,"Conjunto"),"")))</f>
        <v/>
      </c>
      <c r="E387" t="str">
        <f>IF(A387="","",IF(A387="[FÓRMULA MANUAL]","",IFERROR(SUMPRODUCT((nNIA=A387)*(nCUENTA=1)*(COUNTIF(CONFIG_ASIGNATURAS!$B$7:$B$27,nASIG)&gt;0)*(nNOTA))/SUMPRODUCT((nNIA=A387)*(nCUENTA=1)*(COUNTIF(CONFIG_ASIGNATURAS!$B$7:$B$27,nASIG)&gt;0)*1),"")))</f>
        <v/>
      </c>
      <c r="H387" t="str">
        <f>IF(G387="","",IF(G387="[FÓRMULA MANUAL]","",IFERROR(AVERAGEIFS(nNOTA,nNIA,G387,nCUENTA,1,nASIG,"Lenguaje Musical"),"")))</f>
        <v/>
      </c>
      <c r="I387" t="str">
        <f>IF(G387="","",IF(G387="[FÓRMULA MANUAL]","",IFERROR(AVERAGEIFS(nNOTA,nNIA,G387,nCUENTA,1,nASIG,"Orquesta/Banda/Conjunto"),"")))</f>
        <v/>
      </c>
      <c r="J387" t="str">
        <f>IF(G387="","",IF(G387="[FÓRMULA MANUAL]","",IFERROR(AVERAGEIFS(nNOTA,nNIA,G387,nCUENTA,1,nASIG,"Conjunto"),"")))</f>
        <v/>
      </c>
      <c r="K387" t="str">
        <f>IF(G387="","",IF(G387="[FÓRMULA MANUAL]","",IFERROR(SUMPRODUCT((nNIA=G387)*(nCUENTA=1)*(COUNTIF(CONFIG_ASIGNATURAS!$B$7:$B$27,nASIG)&gt;0)*(nNOTA))/SUMPRODUCT((nNIA=G387)*(nCUENTA=1)*(COUNTIF(CONFIG_ASIGNATURAS!$B$7:$B$27,nASIG)&gt;0)*1),"")))</f>
        <v/>
      </c>
      <c r="N387" t="str">
        <f>IF(M387="","",IF(M387="[FÓRMULA MANUAL]","",IFERROR(AVERAGEIFS(nNOTA,nNIA,M387,nCUENTA,1,nASIG,"Armonía"),"")))</f>
        <v/>
      </c>
      <c r="O387" t="str">
        <f>IF(M387="","",IF(M387="[FÓRMULA MANUAL]","",IFERROR(AVERAGEIFS(nNOTA,nNIA,M387,nCUENTA,1,nASIG,"Orquesta/Banda/Conjunto"),"")))</f>
        <v/>
      </c>
      <c r="P387" t="str">
        <f>IF(M387="","",IF(M387="[FÓRMULA MANUAL]","",IFERROR(AVERAGEIFS(nNOTA,nNIA,M387,nCUENTA,1,nASIG,"Música de Cámara"),"")))</f>
        <v/>
      </c>
      <c r="Q387" t="str">
        <f>IF(M387="","",IF(M387="[FÓRMULA MANUAL]","",IFERROR(SUMPRODUCT((nNIA=M387)*(nCUENTA=1)*(COUNTIF(CONFIG_ASIGNATURAS!$B$7:$B$27,nASIG)&gt;0)*(nNOTA))/SUMPRODUCT((nNIA=M387)*(nCUENTA=1)*(COUNTIF(CONFIG_ASIGNATURAS!$B$7:$B$27,nASIG)&gt;0)*1),"")))</f>
        <v/>
      </c>
      <c r="T387" t="str">
        <f>IF(S387="","",IF(S387="[FÓRMULA MANUAL]","",IFERROR(AVERAGEIFS(nNOTA,nNIA,S387,nCUENTA,1,nASIG,"Armonía"),"")))</f>
        <v/>
      </c>
      <c r="U387" t="str">
        <f>IF(S387="","",IF(S387="[FÓRMULA MANUAL]","",IFERROR(AVERAGEIFS(nNOTA,nNIA,S387,nCUENTA,1,nASIG,"Orquesta/Banda/Conjunto"),"")))</f>
        <v/>
      </c>
      <c r="V387" t="str">
        <f>IF(S387="","",IF(S387="[FÓRMULA MANUAL]","",IFERROR(AVERAGEIFS(nNOTA,nNIA,S387,nCUENTA,1,nASIG,"Música de Cámara"),"")))</f>
        <v/>
      </c>
      <c r="W387" t="str">
        <f>IF(S387="","",IF(S387="[FÓRMULA MANUAL]","",IFERROR(SUMPRODUCT((nNIA=S387)*(nCUENTA=1)*(COUNTIF(CONFIG_ASIGNATURAS!$B$7:$B$27,nASIG)&gt;0)*(nNOTA))/SUMPRODUCT((nNIA=S387)*(nCUENTA=1)*(COUNTIF(CONFIG_ASIGNATURAS!$B$7:$B$27,nASIG)&gt;0)*1),"")))</f>
        <v/>
      </c>
      <c r="Z387" t="str">
        <f>IF(Y387="","",IF(Y387="[FÓRMULA MANUAL]","",IFERROR(AVERAGEIFS(nNOTA,nNIA,Y387,nCUENTA,1,nASIG,"Análisis"),"")))</f>
        <v/>
      </c>
      <c r="AA387" t="str">
        <f>IF(Y387="","",IF(Y387="[FÓRMULA MANUAL]","",IFERROR(AVERAGEIFS(nNOTA,nNIA,Y387,nCUENTA,1,nASIG,"Orquesta/Banda/Conjunto"),"")))</f>
        <v/>
      </c>
      <c r="AB387" t="str">
        <f>IF(Y387="","",IF(Y387="[FÓRMULA MANUAL]","",IFERROR(AVERAGEIFS(nNOTA,nNIA,Y387,nCUENTA,1,nASIG,"Música de Cámara"),"")))</f>
        <v/>
      </c>
      <c r="AC387" t="str">
        <f>IF(Y387="","",IF(Y387="[FÓRMULA MANUAL]","",IFERROR(SUMPRODUCT((nNIA=Y387)*(nCUENTA=1)*(COUNTIF(CONFIG_ASIGNATURAS!$B$7:$B$27,nASIG)&gt;0)*(nNOTA))/SUMPRODUCT((nNIA=Y387)*(nCUENTA=1)*(COUNTIF(CONFIG_ASIGNATURAS!$B$7:$B$27,nASIG)&gt;0)*1),"")))</f>
        <v/>
      </c>
      <c r="AF387" t="str">
        <f>IF(AE387="","",IF(AE387="[FÓRMULA MANUAL]","",IFERROR(AVERAGEIFS(nNOTA,nNIA,AE387,nCUENTA,1,nASIG,"Análisis"),"")))</f>
        <v/>
      </c>
      <c r="AG387" t="str">
        <f>IF(AE387="","",IF(AE387="[FÓRMULA MANUAL]","",IFERROR(AVERAGEIFS(nNOTA,nNIA,AE387,nCUENTA,1,nASIG,"Orquesta/Banda/Conjunto"),"")))</f>
        <v/>
      </c>
      <c r="AH387" t="str">
        <f>IF(AE387="","",IF(AE387="[FÓRMULA MANUAL]","",IFERROR(AVERAGEIFS(nNOTA,nNIA,AE387,nCUENTA,1,nASIG,"Música de Cámara"),"")))</f>
        <v/>
      </c>
      <c r="AI387" t="str">
        <f>IF(AE387="","",IF(AE387="[FÓRMULA MANUAL]","",IFERROR(SUMPRODUCT((nNIA=AE387)*(nCUENTA=1)*(COUNTIF(CONFIG_ASIGNATURAS!$B$7:$B$27,nASIG)&gt;0)*(nNOTA))/SUMPRODUCT((nNIA=AE387)*(nCUENTA=1)*(COUNTIF(CONFIG_ASIGNATURAS!$B$7:$B$27,nASIG)&gt;0)*1),"")))</f>
        <v/>
      </c>
    </row>
    <row r="388" spans="2:35" x14ac:dyDescent="0.2">
      <c r="B388" t="str">
        <f>IF(A388="","",IF(A388="[FÓRMULA MANUAL]","",IFERROR(AVERAGEIFS(nNOTA,nNIA,A388,nCUENTA,1,nASIG,"Lenguaje Musical"),"")))</f>
        <v/>
      </c>
      <c r="C388" t="str">
        <f>IF(A388="","",IF(A388="[FÓRMULA MANUAL]","",IFERROR(AVERAGEIFS(nNOTA,nNIA,A388,nCUENTA,1,nASIG,"Orquesta/Banda/Conjunto"),"")))</f>
        <v/>
      </c>
      <c r="D388" t="str">
        <f>IF(A388="","",IF(A388="[FÓRMULA MANUAL]","",IFERROR(AVERAGEIFS(nNOTA,nNIA,A388,nCUENTA,1,nASIG,"Conjunto"),"")))</f>
        <v/>
      </c>
      <c r="E388" t="str">
        <f>IF(A388="","",IF(A388="[FÓRMULA MANUAL]","",IFERROR(SUMPRODUCT((nNIA=A388)*(nCUENTA=1)*(COUNTIF(CONFIG_ASIGNATURAS!$B$7:$B$27,nASIG)&gt;0)*(nNOTA))/SUMPRODUCT((nNIA=A388)*(nCUENTA=1)*(COUNTIF(CONFIG_ASIGNATURAS!$B$7:$B$27,nASIG)&gt;0)*1),"")))</f>
        <v/>
      </c>
      <c r="H388" t="str">
        <f>IF(G388="","",IF(G388="[FÓRMULA MANUAL]","",IFERROR(AVERAGEIFS(nNOTA,nNIA,G388,nCUENTA,1,nASIG,"Lenguaje Musical"),"")))</f>
        <v/>
      </c>
      <c r="I388" t="str">
        <f>IF(G388="","",IF(G388="[FÓRMULA MANUAL]","",IFERROR(AVERAGEIFS(nNOTA,nNIA,G388,nCUENTA,1,nASIG,"Orquesta/Banda/Conjunto"),"")))</f>
        <v/>
      </c>
      <c r="J388" t="str">
        <f>IF(G388="","",IF(G388="[FÓRMULA MANUAL]","",IFERROR(AVERAGEIFS(nNOTA,nNIA,G388,nCUENTA,1,nASIG,"Conjunto"),"")))</f>
        <v/>
      </c>
      <c r="K388" t="str">
        <f>IF(G388="","",IF(G388="[FÓRMULA MANUAL]","",IFERROR(SUMPRODUCT((nNIA=G388)*(nCUENTA=1)*(COUNTIF(CONFIG_ASIGNATURAS!$B$7:$B$27,nASIG)&gt;0)*(nNOTA))/SUMPRODUCT((nNIA=G388)*(nCUENTA=1)*(COUNTIF(CONFIG_ASIGNATURAS!$B$7:$B$27,nASIG)&gt;0)*1),"")))</f>
        <v/>
      </c>
      <c r="N388" t="str">
        <f>IF(M388="","",IF(M388="[FÓRMULA MANUAL]","",IFERROR(AVERAGEIFS(nNOTA,nNIA,M388,nCUENTA,1,nASIG,"Armonía"),"")))</f>
        <v/>
      </c>
      <c r="O388" t="str">
        <f>IF(M388="","",IF(M388="[FÓRMULA MANUAL]","",IFERROR(AVERAGEIFS(nNOTA,nNIA,M388,nCUENTA,1,nASIG,"Orquesta/Banda/Conjunto"),"")))</f>
        <v/>
      </c>
      <c r="P388" t="str">
        <f>IF(M388="","",IF(M388="[FÓRMULA MANUAL]","",IFERROR(AVERAGEIFS(nNOTA,nNIA,M388,nCUENTA,1,nASIG,"Música de Cámara"),"")))</f>
        <v/>
      </c>
      <c r="Q388" t="str">
        <f>IF(M388="","",IF(M388="[FÓRMULA MANUAL]","",IFERROR(SUMPRODUCT((nNIA=M388)*(nCUENTA=1)*(COUNTIF(CONFIG_ASIGNATURAS!$B$7:$B$27,nASIG)&gt;0)*(nNOTA))/SUMPRODUCT((nNIA=M388)*(nCUENTA=1)*(COUNTIF(CONFIG_ASIGNATURAS!$B$7:$B$27,nASIG)&gt;0)*1),"")))</f>
        <v/>
      </c>
      <c r="T388" t="str">
        <f>IF(S388="","",IF(S388="[FÓRMULA MANUAL]","",IFERROR(AVERAGEIFS(nNOTA,nNIA,S388,nCUENTA,1,nASIG,"Armonía"),"")))</f>
        <v/>
      </c>
      <c r="U388" t="str">
        <f>IF(S388="","",IF(S388="[FÓRMULA MANUAL]","",IFERROR(AVERAGEIFS(nNOTA,nNIA,S388,nCUENTA,1,nASIG,"Orquesta/Banda/Conjunto"),"")))</f>
        <v/>
      </c>
      <c r="V388" t="str">
        <f>IF(S388="","",IF(S388="[FÓRMULA MANUAL]","",IFERROR(AVERAGEIFS(nNOTA,nNIA,S388,nCUENTA,1,nASIG,"Música de Cámara"),"")))</f>
        <v/>
      </c>
      <c r="W388" t="str">
        <f>IF(S388="","",IF(S388="[FÓRMULA MANUAL]","",IFERROR(SUMPRODUCT((nNIA=S388)*(nCUENTA=1)*(COUNTIF(CONFIG_ASIGNATURAS!$B$7:$B$27,nASIG)&gt;0)*(nNOTA))/SUMPRODUCT((nNIA=S388)*(nCUENTA=1)*(COUNTIF(CONFIG_ASIGNATURAS!$B$7:$B$27,nASIG)&gt;0)*1),"")))</f>
        <v/>
      </c>
      <c r="Z388" t="str">
        <f>IF(Y388="","",IF(Y388="[FÓRMULA MANUAL]","",IFERROR(AVERAGEIFS(nNOTA,nNIA,Y388,nCUENTA,1,nASIG,"Análisis"),"")))</f>
        <v/>
      </c>
      <c r="AA388" t="str">
        <f>IF(Y388="","",IF(Y388="[FÓRMULA MANUAL]","",IFERROR(AVERAGEIFS(nNOTA,nNIA,Y388,nCUENTA,1,nASIG,"Orquesta/Banda/Conjunto"),"")))</f>
        <v/>
      </c>
      <c r="AB388" t="str">
        <f>IF(Y388="","",IF(Y388="[FÓRMULA MANUAL]","",IFERROR(AVERAGEIFS(nNOTA,nNIA,Y388,nCUENTA,1,nASIG,"Música de Cámara"),"")))</f>
        <v/>
      </c>
      <c r="AC388" t="str">
        <f>IF(Y388="","",IF(Y388="[FÓRMULA MANUAL]","",IFERROR(SUMPRODUCT((nNIA=Y388)*(nCUENTA=1)*(COUNTIF(CONFIG_ASIGNATURAS!$B$7:$B$27,nASIG)&gt;0)*(nNOTA))/SUMPRODUCT((nNIA=Y388)*(nCUENTA=1)*(COUNTIF(CONFIG_ASIGNATURAS!$B$7:$B$27,nASIG)&gt;0)*1),"")))</f>
        <v/>
      </c>
      <c r="AF388" t="str">
        <f>IF(AE388="","",IF(AE388="[FÓRMULA MANUAL]","",IFERROR(AVERAGEIFS(nNOTA,nNIA,AE388,nCUENTA,1,nASIG,"Análisis"),"")))</f>
        <v/>
      </c>
      <c r="AG388" t="str">
        <f>IF(AE388="","",IF(AE388="[FÓRMULA MANUAL]","",IFERROR(AVERAGEIFS(nNOTA,nNIA,AE388,nCUENTA,1,nASIG,"Orquesta/Banda/Conjunto"),"")))</f>
        <v/>
      </c>
      <c r="AH388" t="str">
        <f>IF(AE388="","",IF(AE388="[FÓRMULA MANUAL]","",IFERROR(AVERAGEIFS(nNOTA,nNIA,AE388,nCUENTA,1,nASIG,"Música de Cámara"),"")))</f>
        <v/>
      </c>
      <c r="AI388" t="str">
        <f>IF(AE388="","",IF(AE388="[FÓRMULA MANUAL]","",IFERROR(SUMPRODUCT((nNIA=AE388)*(nCUENTA=1)*(COUNTIF(CONFIG_ASIGNATURAS!$B$7:$B$27,nASIG)&gt;0)*(nNOTA))/SUMPRODUCT((nNIA=AE388)*(nCUENTA=1)*(COUNTIF(CONFIG_ASIGNATURAS!$B$7:$B$27,nASIG)&gt;0)*1),"")))</f>
        <v/>
      </c>
    </row>
    <row r="389" spans="2:35" x14ac:dyDescent="0.2">
      <c r="B389" t="str">
        <f>IF(A389="","",IF(A389="[FÓRMULA MANUAL]","",IFERROR(AVERAGEIFS(nNOTA,nNIA,A389,nCUENTA,1,nASIG,"Lenguaje Musical"),"")))</f>
        <v/>
      </c>
      <c r="C389" t="str">
        <f>IF(A389="","",IF(A389="[FÓRMULA MANUAL]","",IFERROR(AVERAGEIFS(nNOTA,nNIA,A389,nCUENTA,1,nASIG,"Orquesta/Banda/Conjunto"),"")))</f>
        <v/>
      </c>
      <c r="D389" t="str">
        <f>IF(A389="","",IF(A389="[FÓRMULA MANUAL]","",IFERROR(AVERAGEIFS(nNOTA,nNIA,A389,nCUENTA,1,nASIG,"Conjunto"),"")))</f>
        <v/>
      </c>
      <c r="E389" t="str">
        <f>IF(A389="","",IF(A389="[FÓRMULA MANUAL]","",IFERROR(SUMPRODUCT((nNIA=A389)*(nCUENTA=1)*(COUNTIF(CONFIG_ASIGNATURAS!$B$7:$B$27,nASIG)&gt;0)*(nNOTA))/SUMPRODUCT((nNIA=A389)*(nCUENTA=1)*(COUNTIF(CONFIG_ASIGNATURAS!$B$7:$B$27,nASIG)&gt;0)*1),"")))</f>
        <v/>
      </c>
      <c r="H389" t="str">
        <f>IF(G389="","",IF(G389="[FÓRMULA MANUAL]","",IFERROR(AVERAGEIFS(nNOTA,nNIA,G389,nCUENTA,1,nASIG,"Lenguaje Musical"),"")))</f>
        <v/>
      </c>
      <c r="I389" t="str">
        <f>IF(G389="","",IF(G389="[FÓRMULA MANUAL]","",IFERROR(AVERAGEIFS(nNOTA,nNIA,G389,nCUENTA,1,nASIG,"Orquesta/Banda/Conjunto"),"")))</f>
        <v/>
      </c>
      <c r="J389" t="str">
        <f>IF(G389="","",IF(G389="[FÓRMULA MANUAL]","",IFERROR(AVERAGEIFS(nNOTA,nNIA,G389,nCUENTA,1,nASIG,"Conjunto"),"")))</f>
        <v/>
      </c>
      <c r="K389" t="str">
        <f>IF(G389="","",IF(G389="[FÓRMULA MANUAL]","",IFERROR(SUMPRODUCT((nNIA=G389)*(nCUENTA=1)*(COUNTIF(CONFIG_ASIGNATURAS!$B$7:$B$27,nASIG)&gt;0)*(nNOTA))/SUMPRODUCT((nNIA=G389)*(nCUENTA=1)*(COUNTIF(CONFIG_ASIGNATURAS!$B$7:$B$27,nASIG)&gt;0)*1),"")))</f>
        <v/>
      </c>
      <c r="N389" t="str">
        <f>IF(M389="","",IF(M389="[FÓRMULA MANUAL]","",IFERROR(AVERAGEIFS(nNOTA,nNIA,M389,nCUENTA,1,nASIG,"Armonía"),"")))</f>
        <v/>
      </c>
      <c r="O389" t="str">
        <f>IF(M389="","",IF(M389="[FÓRMULA MANUAL]","",IFERROR(AVERAGEIFS(nNOTA,nNIA,M389,nCUENTA,1,nASIG,"Orquesta/Banda/Conjunto"),"")))</f>
        <v/>
      </c>
      <c r="P389" t="str">
        <f>IF(M389="","",IF(M389="[FÓRMULA MANUAL]","",IFERROR(AVERAGEIFS(nNOTA,nNIA,M389,nCUENTA,1,nASIG,"Música de Cámara"),"")))</f>
        <v/>
      </c>
      <c r="Q389" t="str">
        <f>IF(M389="","",IF(M389="[FÓRMULA MANUAL]","",IFERROR(SUMPRODUCT((nNIA=M389)*(nCUENTA=1)*(COUNTIF(CONFIG_ASIGNATURAS!$B$7:$B$27,nASIG)&gt;0)*(nNOTA))/SUMPRODUCT((nNIA=M389)*(nCUENTA=1)*(COUNTIF(CONFIG_ASIGNATURAS!$B$7:$B$27,nASIG)&gt;0)*1),"")))</f>
        <v/>
      </c>
      <c r="T389" t="str">
        <f>IF(S389="","",IF(S389="[FÓRMULA MANUAL]","",IFERROR(AVERAGEIFS(nNOTA,nNIA,S389,nCUENTA,1,nASIG,"Armonía"),"")))</f>
        <v/>
      </c>
      <c r="U389" t="str">
        <f>IF(S389="","",IF(S389="[FÓRMULA MANUAL]","",IFERROR(AVERAGEIFS(nNOTA,nNIA,S389,nCUENTA,1,nASIG,"Orquesta/Banda/Conjunto"),"")))</f>
        <v/>
      </c>
      <c r="V389" t="str">
        <f>IF(S389="","",IF(S389="[FÓRMULA MANUAL]","",IFERROR(AVERAGEIFS(nNOTA,nNIA,S389,nCUENTA,1,nASIG,"Música de Cámara"),"")))</f>
        <v/>
      </c>
      <c r="W389" t="str">
        <f>IF(S389="","",IF(S389="[FÓRMULA MANUAL]","",IFERROR(SUMPRODUCT((nNIA=S389)*(nCUENTA=1)*(COUNTIF(CONFIG_ASIGNATURAS!$B$7:$B$27,nASIG)&gt;0)*(nNOTA))/SUMPRODUCT((nNIA=S389)*(nCUENTA=1)*(COUNTIF(CONFIG_ASIGNATURAS!$B$7:$B$27,nASIG)&gt;0)*1),"")))</f>
        <v/>
      </c>
      <c r="Z389" t="str">
        <f>IF(Y389="","",IF(Y389="[FÓRMULA MANUAL]","",IFERROR(AVERAGEIFS(nNOTA,nNIA,Y389,nCUENTA,1,nASIG,"Análisis"),"")))</f>
        <v/>
      </c>
      <c r="AA389" t="str">
        <f>IF(Y389="","",IF(Y389="[FÓRMULA MANUAL]","",IFERROR(AVERAGEIFS(nNOTA,nNIA,Y389,nCUENTA,1,nASIG,"Orquesta/Banda/Conjunto"),"")))</f>
        <v/>
      </c>
      <c r="AB389" t="str">
        <f>IF(Y389="","",IF(Y389="[FÓRMULA MANUAL]","",IFERROR(AVERAGEIFS(nNOTA,nNIA,Y389,nCUENTA,1,nASIG,"Música de Cámara"),"")))</f>
        <v/>
      </c>
      <c r="AC389" t="str">
        <f>IF(Y389="","",IF(Y389="[FÓRMULA MANUAL]","",IFERROR(SUMPRODUCT((nNIA=Y389)*(nCUENTA=1)*(COUNTIF(CONFIG_ASIGNATURAS!$B$7:$B$27,nASIG)&gt;0)*(nNOTA))/SUMPRODUCT((nNIA=Y389)*(nCUENTA=1)*(COUNTIF(CONFIG_ASIGNATURAS!$B$7:$B$27,nASIG)&gt;0)*1),"")))</f>
        <v/>
      </c>
      <c r="AF389" t="str">
        <f>IF(AE389="","",IF(AE389="[FÓRMULA MANUAL]","",IFERROR(AVERAGEIFS(nNOTA,nNIA,AE389,nCUENTA,1,nASIG,"Análisis"),"")))</f>
        <v/>
      </c>
      <c r="AG389" t="str">
        <f>IF(AE389="","",IF(AE389="[FÓRMULA MANUAL]","",IFERROR(AVERAGEIFS(nNOTA,nNIA,AE389,nCUENTA,1,nASIG,"Orquesta/Banda/Conjunto"),"")))</f>
        <v/>
      </c>
      <c r="AH389" t="str">
        <f>IF(AE389="","",IF(AE389="[FÓRMULA MANUAL]","",IFERROR(AVERAGEIFS(nNOTA,nNIA,AE389,nCUENTA,1,nASIG,"Música de Cámara"),"")))</f>
        <v/>
      </c>
      <c r="AI389" t="str">
        <f>IF(AE389="","",IF(AE389="[FÓRMULA MANUAL]","",IFERROR(SUMPRODUCT((nNIA=AE389)*(nCUENTA=1)*(COUNTIF(CONFIG_ASIGNATURAS!$B$7:$B$27,nASIG)&gt;0)*(nNOTA))/SUMPRODUCT((nNIA=AE389)*(nCUENTA=1)*(COUNTIF(CONFIG_ASIGNATURAS!$B$7:$B$27,nASIG)&gt;0)*1),"")))</f>
        <v/>
      </c>
    </row>
    <row r="390" spans="2:35" x14ac:dyDescent="0.2">
      <c r="B390" t="str">
        <f>IF(A390="","",IF(A390="[FÓRMULA MANUAL]","",IFERROR(AVERAGEIFS(nNOTA,nNIA,A390,nCUENTA,1,nASIG,"Lenguaje Musical"),"")))</f>
        <v/>
      </c>
      <c r="C390" t="str">
        <f>IF(A390="","",IF(A390="[FÓRMULA MANUAL]","",IFERROR(AVERAGEIFS(nNOTA,nNIA,A390,nCUENTA,1,nASIG,"Orquesta/Banda/Conjunto"),"")))</f>
        <v/>
      </c>
      <c r="D390" t="str">
        <f>IF(A390="","",IF(A390="[FÓRMULA MANUAL]","",IFERROR(AVERAGEIFS(nNOTA,nNIA,A390,nCUENTA,1,nASIG,"Conjunto"),"")))</f>
        <v/>
      </c>
      <c r="E390" t="str">
        <f>IF(A390="","",IF(A390="[FÓRMULA MANUAL]","",IFERROR(SUMPRODUCT((nNIA=A390)*(nCUENTA=1)*(COUNTIF(CONFIG_ASIGNATURAS!$B$7:$B$27,nASIG)&gt;0)*(nNOTA))/SUMPRODUCT((nNIA=A390)*(nCUENTA=1)*(COUNTIF(CONFIG_ASIGNATURAS!$B$7:$B$27,nASIG)&gt;0)*1),"")))</f>
        <v/>
      </c>
      <c r="H390" t="str">
        <f>IF(G390="","",IF(G390="[FÓRMULA MANUAL]","",IFERROR(AVERAGEIFS(nNOTA,nNIA,G390,nCUENTA,1,nASIG,"Lenguaje Musical"),"")))</f>
        <v/>
      </c>
      <c r="I390" t="str">
        <f>IF(G390="","",IF(G390="[FÓRMULA MANUAL]","",IFERROR(AVERAGEIFS(nNOTA,nNIA,G390,nCUENTA,1,nASIG,"Orquesta/Banda/Conjunto"),"")))</f>
        <v/>
      </c>
      <c r="J390" t="str">
        <f>IF(G390="","",IF(G390="[FÓRMULA MANUAL]","",IFERROR(AVERAGEIFS(nNOTA,nNIA,G390,nCUENTA,1,nASIG,"Conjunto"),"")))</f>
        <v/>
      </c>
      <c r="K390" t="str">
        <f>IF(G390="","",IF(G390="[FÓRMULA MANUAL]","",IFERROR(SUMPRODUCT((nNIA=G390)*(nCUENTA=1)*(COUNTIF(CONFIG_ASIGNATURAS!$B$7:$B$27,nASIG)&gt;0)*(nNOTA))/SUMPRODUCT((nNIA=G390)*(nCUENTA=1)*(COUNTIF(CONFIG_ASIGNATURAS!$B$7:$B$27,nASIG)&gt;0)*1),"")))</f>
        <v/>
      </c>
      <c r="N390" t="str">
        <f>IF(M390="","",IF(M390="[FÓRMULA MANUAL]","",IFERROR(AVERAGEIFS(nNOTA,nNIA,M390,nCUENTA,1,nASIG,"Armonía"),"")))</f>
        <v/>
      </c>
      <c r="O390" t="str">
        <f>IF(M390="","",IF(M390="[FÓRMULA MANUAL]","",IFERROR(AVERAGEIFS(nNOTA,nNIA,M390,nCUENTA,1,nASIG,"Orquesta/Banda/Conjunto"),"")))</f>
        <v/>
      </c>
      <c r="P390" t="str">
        <f>IF(M390="","",IF(M390="[FÓRMULA MANUAL]","",IFERROR(AVERAGEIFS(nNOTA,nNIA,M390,nCUENTA,1,nASIG,"Música de Cámara"),"")))</f>
        <v/>
      </c>
      <c r="Q390" t="str">
        <f>IF(M390="","",IF(M390="[FÓRMULA MANUAL]","",IFERROR(SUMPRODUCT((nNIA=M390)*(nCUENTA=1)*(COUNTIF(CONFIG_ASIGNATURAS!$B$7:$B$27,nASIG)&gt;0)*(nNOTA))/SUMPRODUCT((nNIA=M390)*(nCUENTA=1)*(COUNTIF(CONFIG_ASIGNATURAS!$B$7:$B$27,nASIG)&gt;0)*1),"")))</f>
        <v/>
      </c>
      <c r="T390" t="str">
        <f>IF(S390="","",IF(S390="[FÓRMULA MANUAL]","",IFERROR(AVERAGEIFS(nNOTA,nNIA,S390,nCUENTA,1,nASIG,"Armonía"),"")))</f>
        <v/>
      </c>
      <c r="U390" t="str">
        <f>IF(S390="","",IF(S390="[FÓRMULA MANUAL]","",IFERROR(AVERAGEIFS(nNOTA,nNIA,S390,nCUENTA,1,nASIG,"Orquesta/Banda/Conjunto"),"")))</f>
        <v/>
      </c>
      <c r="V390" t="str">
        <f>IF(S390="","",IF(S390="[FÓRMULA MANUAL]","",IFERROR(AVERAGEIFS(nNOTA,nNIA,S390,nCUENTA,1,nASIG,"Música de Cámara"),"")))</f>
        <v/>
      </c>
      <c r="W390" t="str">
        <f>IF(S390="","",IF(S390="[FÓRMULA MANUAL]","",IFERROR(SUMPRODUCT((nNIA=S390)*(nCUENTA=1)*(COUNTIF(CONFIG_ASIGNATURAS!$B$7:$B$27,nASIG)&gt;0)*(nNOTA))/SUMPRODUCT((nNIA=S390)*(nCUENTA=1)*(COUNTIF(CONFIG_ASIGNATURAS!$B$7:$B$27,nASIG)&gt;0)*1),"")))</f>
        <v/>
      </c>
      <c r="Z390" t="str">
        <f>IF(Y390="","",IF(Y390="[FÓRMULA MANUAL]","",IFERROR(AVERAGEIFS(nNOTA,nNIA,Y390,nCUENTA,1,nASIG,"Análisis"),"")))</f>
        <v/>
      </c>
      <c r="AA390" t="str">
        <f>IF(Y390="","",IF(Y390="[FÓRMULA MANUAL]","",IFERROR(AVERAGEIFS(nNOTA,nNIA,Y390,nCUENTA,1,nASIG,"Orquesta/Banda/Conjunto"),"")))</f>
        <v/>
      </c>
      <c r="AB390" t="str">
        <f>IF(Y390="","",IF(Y390="[FÓRMULA MANUAL]","",IFERROR(AVERAGEIFS(nNOTA,nNIA,Y390,nCUENTA,1,nASIG,"Música de Cámara"),"")))</f>
        <v/>
      </c>
      <c r="AC390" t="str">
        <f>IF(Y390="","",IF(Y390="[FÓRMULA MANUAL]","",IFERROR(SUMPRODUCT((nNIA=Y390)*(nCUENTA=1)*(COUNTIF(CONFIG_ASIGNATURAS!$B$7:$B$27,nASIG)&gt;0)*(nNOTA))/SUMPRODUCT((nNIA=Y390)*(nCUENTA=1)*(COUNTIF(CONFIG_ASIGNATURAS!$B$7:$B$27,nASIG)&gt;0)*1),"")))</f>
        <v/>
      </c>
      <c r="AF390" t="str">
        <f>IF(AE390="","",IF(AE390="[FÓRMULA MANUAL]","",IFERROR(AVERAGEIFS(nNOTA,nNIA,AE390,nCUENTA,1,nASIG,"Análisis"),"")))</f>
        <v/>
      </c>
      <c r="AG390" t="str">
        <f>IF(AE390="","",IF(AE390="[FÓRMULA MANUAL]","",IFERROR(AVERAGEIFS(nNOTA,nNIA,AE390,nCUENTA,1,nASIG,"Orquesta/Banda/Conjunto"),"")))</f>
        <v/>
      </c>
      <c r="AH390" t="str">
        <f>IF(AE390="","",IF(AE390="[FÓRMULA MANUAL]","",IFERROR(AVERAGEIFS(nNOTA,nNIA,AE390,nCUENTA,1,nASIG,"Música de Cámara"),"")))</f>
        <v/>
      </c>
      <c r="AI390" t="str">
        <f>IF(AE390="","",IF(AE390="[FÓRMULA MANUAL]","",IFERROR(SUMPRODUCT((nNIA=AE390)*(nCUENTA=1)*(COUNTIF(CONFIG_ASIGNATURAS!$B$7:$B$27,nASIG)&gt;0)*(nNOTA))/SUMPRODUCT((nNIA=AE390)*(nCUENTA=1)*(COUNTIF(CONFIG_ASIGNATURAS!$B$7:$B$27,nASIG)&gt;0)*1),"")))</f>
        <v/>
      </c>
    </row>
    <row r="391" spans="2:35" x14ac:dyDescent="0.2">
      <c r="B391" t="str">
        <f>IF(A391="","",IF(A391="[FÓRMULA MANUAL]","",IFERROR(AVERAGEIFS(nNOTA,nNIA,A391,nCUENTA,1,nASIG,"Lenguaje Musical"),"")))</f>
        <v/>
      </c>
      <c r="C391" t="str">
        <f>IF(A391="","",IF(A391="[FÓRMULA MANUAL]","",IFERROR(AVERAGEIFS(nNOTA,nNIA,A391,nCUENTA,1,nASIG,"Orquesta/Banda/Conjunto"),"")))</f>
        <v/>
      </c>
      <c r="D391" t="str">
        <f>IF(A391="","",IF(A391="[FÓRMULA MANUAL]","",IFERROR(AVERAGEIFS(nNOTA,nNIA,A391,nCUENTA,1,nASIG,"Conjunto"),"")))</f>
        <v/>
      </c>
      <c r="E391" t="str">
        <f>IF(A391="","",IF(A391="[FÓRMULA MANUAL]","",IFERROR(SUMPRODUCT((nNIA=A391)*(nCUENTA=1)*(COUNTIF(CONFIG_ASIGNATURAS!$B$7:$B$27,nASIG)&gt;0)*(nNOTA))/SUMPRODUCT((nNIA=A391)*(nCUENTA=1)*(COUNTIF(CONFIG_ASIGNATURAS!$B$7:$B$27,nASIG)&gt;0)*1),"")))</f>
        <v/>
      </c>
      <c r="H391" t="str">
        <f>IF(G391="","",IF(G391="[FÓRMULA MANUAL]","",IFERROR(AVERAGEIFS(nNOTA,nNIA,G391,nCUENTA,1,nASIG,"Lenguaje Musical"),"")))</f>
        <v/>
      </c>
      <c r="I391" t="str">
        <f>IF(G391="","",IF(G391="[FÓRMULA MANUAL]","",IFERROR(AVERAGEIFS(nNOTA,nNIA,G391,nCUENTA,1,nASIG,"Orquesta/Banda/Conjunto"),"")))</f>
        <v/>
      </c>
      <c r="J391" t="str">
        <f>IF(G391="","",IF(G391="[FÓRMULA MANUAL]","",IFERROR(AVERAGEIFS(nNOTA,nNIA,G391,nCUENTA,1,nASIG,"Conjunto"),"")))</f>
        <v/>
      </c>
      <c r="K391" t="str">
        <f>IF(G391="","",IF(G391="[FÓRMULA MANUAL]","",IFERROR(SUMPRODUCT((nNIA=G391)*(nCUENTA=1)*(COUNTIF(CONFIG_ASIGNATURAS!$B$7:$B$27,nASIG)&gt;0)*(nNOTA))/SUMPRODUCT((nNIA=G391)*(nCUENTA=1)*(COUNTIF(CONFIG_ASIGNATURAS!$B$7:$B$27,nASIG)&gt;0)*1),"")))</f>
        <v/>
      </c>
      <c r="N391" t="str">
        <f>IF(M391="","",IF(M391="[FÓRMULA MANUAL]","",IFERROR(AVERAGEIFS(nNOTA,nNIA,M391,nCUENTA,1,nASIG,"Armonía"),"")))</f>
        <v/>
      </c>
      <c r="O391" t="str">
        <f>IF(M391="","",IF(M391="[FÓRMULA MANUAL]","",IFERROR(AVERAGEIFS(nNOTA,nNIA,M391,nCUENTA,1,nASIG,"Orquesta/Banda/Conjunto"),"")))</f>
        <v/>
      </c>
      <c r="P391" t="str">
        <f>IF(M391="","",IF(M391="[FÓRMULA MANUAL]","",IFERROR(AVERAGEIFS(nNOTA,nNIA,M391,nCUENTA,1,nASIG,"Música de Cámara"),"")))</f>
        <v/>
      </c>
      <c r="Q391" t="str">
        <f>IF(M391="","",IF(M391="[FÓRMULA MANUAL]","",IFERROR(SUMPRODUCT((nNIA=M391)*(nCUENTA=1)*(COUNTIF(CONFIG_ASIGNATURAS!$B$7:$B$27,nASIG)&gt;0)*(nNOTA))/SUMPRODUCT((nNIA=M391)*(nCUENTA=1)*(COUNTIF(CONFIG_ASIGNATURAS!$B$7:$B$27,nASIG)&gt;0)*1),"")))</f>
        <v/>
      </c>
      <c r="T391" t="str">
        <f>IF(S391="","",IF(S391="[FÓRMULA MANUAL]","",IFERROR(AVERAGEIFS(nNOTA,nNIA,S391,nCUENTA,1,nASIG,"Armonía"),"")))</f>
        <v/>
      </c>
      <c r="U391" t="str">
        <f>IF(S391="","",IF(S391="[FÓRMULA MANUAL]","",IFERROR(AVERAGEIFS(nNOTA,nNIA,S391,nCUENTA,1,nASIG,"Orquesta/Banda/Conjunto"),"")))</f>
        <v/>
      </c>
      <c r="V391" t="str">
        <f>IF(S391="","",IF(S391="[FÓRMULA MANUAL]","",IFERROR(AVERAGEIFS(nNOTA,nNIA,S391,nCUENTA,1,nASIG,"Música de Cámara"),"")))</f>
        <v/>
      </c>
      <c r="W391" t="str">
        <f>IF(S391="","",IF(S391="[FÓRMULA MANUAL]","",IFERROR(SUMPRODUCT((nNIA=S391)*(nCUENTA=1)*(COUNTIF(CONFIG_ASIGNATURAS!$B$7:$B$27,nASIG)&gt;0)*(nNOTA))/SUMPRODUCT((nNIA=S391)*(nCUENTA=1)*(COUNTIF(CONFIG_ASIGNATURAS!$B$7:$B$27,nASIG)&gt;0)*1),"")))</f>
        <v/>
      </c>
      <c r="Z391" t="str">
        <f>IF(Y391="","",IF(Y391="[FÓRMULA MANUAL]","",IFERROR(AVERAGEIFS(nNOTA,nNIA,Y391,nCUENTA,1,nASIG,"Análisis"),"")))</f>
        <v/>
      </c>
      <c r="AA391" t="str">
        <f>IF(Y391="","",IF(Y391="[FÓRMULA MANUAL]","",IFERROR(AVERAGEIFS(nNOTA,nNIA,Y391,nCUENTA,1,nASIG,"Orquesta/Banda/Conjunto"),"")))</f>
        <v/>
      </c>
      <c r="AB391" t="str">
        <f>IF(Y391="","",IF(Y391="[FÓRMULA MANUAL]","",IFERROR(AVERAGEIFS(nNOTA,nNIA,Y391,nCUENTA,1,nASIG,"Música de Cámara"),"")))</f>
        <v/>
      </c>
      <c r="AC391" t="str">
        <f>IF(Y391="","",IF(Y391="[FÓRMULA MANUAL]","",IFERROR(SUMPRODUCT((nNIA=Y391)*(nCUENTA=1)*(COUNTIF(CONFIG_ASIGNATURAS!$B$7:$B$27,nASIG)&gt;0)*(nNOTA))/SUMPRODUCT((nNIA=Y391)*(nCUENTA=1)*(COUNTIF(CONFIG_ASIGNATURAS!$B$7:$B$27,nASIG)&gt;0)*1),"")))</f>
        <v/>
      </c>
      <c r="AF391" t="str">
        <f>IF(AE391="","",IF(AE391="[FÓRMULA MANUAL]","",IFERROR(AVERAGEIFS(nNOTA,nNIA,AE391,nCUENTA,1,nASIG,"Análisis"),"")))</f>
        <v/>
      </c>
      <c r="AG391" t="str">
        <f>IF(AE391="","",IF(AE391="[FÓRMULA MANUAL]","",IFERROR(AVERAGEIFS(nNOTA,nNIA,AE391,nCUENTA,1,nASIG,"Orquesta/Banda/Conjunto"),"")))</f>
        <v/>
      </c>
      <c r="AH391" t="str">
        <f>IF(AE391="","",IF(AE391="[FÓRMULA MANUAL]","",IFERROR(AVERAGEIFS(nNOTA,nNIA,AE391,nCUENTA,1,nASIG,"Música de Cámara"),"")))</f>
        <v/>
      </c>
      <c r="AI391" t="str">
        <f>IF(AE391="","",IF(AE391="[FÓRMULA MANUAL]","",IFERROR(SUMPRODUCT((nNIA=AE391)*(nCUENTA=1)*(COUNTIF(CONFIG_ASIGNATURAS!$B$7:$B$27,nASIG)&gt;0)*(nNOTA))/SUMPRODUCT((nNIA=AE391)*(nCUENTA=1)*(COUNTIF(CONFIG_ASIGNATURAS!$B$7:$B$27,nASIG)&gt;0)*1),"")))</f>
        <v/>
      </c>
    </row>
    <row r="392" spans="2:35" x14ac:dyDescent="0.2">
      <c r="B392" t="str">
        <f>IF(A392="","",IF(A392="[FÓRMULA MANUAL]","",IFERROR(AVERAGEIFS(nNOTA,nNIA,A392,nCUENTA,1,nASIG,"Lenguaje Musical"),"")))</f>
        <v/>
      </c>
      <c r="C392" t="str">
        <f>IF(A392="","",IF(A392="[FÓRMULA MANUAL]","",IFERROR(AVERAGEIFS(nNOTA,nNIA,A392,nCUENTA,1,nASIG,"Orquesta/Banda/Conjunto"),"")))</f>
        <v/>
      </c>
      <c r="D392" t="str">
        <f>IF(A392="","",IF(A392="[FÓRMULA MANUAL]","",IFERROR(AVERAGEIFS(nNOTA,nNIA,A392,nCUENTA,1,nASIG,"Conjunto"),"")))</f>
        <v/>
      </c>
      <c r="E392" t="str">
        <f>IF(A392="","",IF(A392="[FÓRMULA MANUAL]","",IFERROR(SUMPRODUCT((nNIA=A392)*(nCUENTA=1)*(COUNTIF(CONFIG_ASIGNATURAS!$B$7:$B$27,nASIG)&gt;0)*(nNOTA))/SUMPRODUCT((nNIA=A392)*(nCUENTA=1)*(COUNTIF(CONFIG_ASIGNATURAS!$B$7:$B$27,nASIG)&gt;0)*1),"")))</f>
        <v/>
      </c>
      <c r="H392" t="str">
        <f>IF(G392="","",IF(G392="[FÓRMULA MANUAL]","",IFERROR(AVERAGEIFS(nNOTA,nNIA,G392,nCUENTA,1,nASIG,"Lenguaje Musical"),"")))</f>
        <v/>
      </c>
      <c r="I392" t="str">
        <f>IF(G392="","",IF(G392="[FÓRMULA MANUAL]","",IFERROR(AVERAGEIFS(nNOTA,nNIA,G392,nCUENTA,1,nASIG,"Orquesta/Banda/Conjunto"),"")))</f>
        <v/>
      </c>
      <c r="J392" t="str">
        <f>IF(G392="","",IF(G392="[FÓRMULA MANUAL]","",IFERROR(AVERAGEIFS(nNOTA,nNIA,G392,nCUENTA,1,nASIG,"Conjunto"),"")))</f>
        <v/>
      </c>
      <c r="K392" t="str">
        <f>IF(G392="","",IF(G392="[FÓRMULA MANUAL]","",IFERROR(SUMPRODUCT((nNIA=G392)*(nCUENTA=1)*(COUNTIF(CONFIG_ASIGNATURAS!$B$7:$B$27,nASIG)&gt;0)*(nNOTA))/SUMPRODUCT((nNIA=G392)*(nCUENTA=1)*(COUNTIF(CONFIG_ASIGNATURAS!$B$7:$B$27,nASIG)&gt;0)*1),"")))</f>
        <v/>
      </c>
      <c r="N392" t="str">
        <f>IF(M392="","",IF(M392="[FÓRMULA MANUAL]","",IFERROR(AVERAGEIFS(nNOTA,nNIA,M392,nCUENTA,1,nASIG,"Armonía"),"")))</f>
        <v/>
      </c>
      <c r="O392" t="str">
        <f>IF(M392="","",IF(M392="[FÓRMULA MANUAL]","",IFERROR(AVERAGEIFS(nNOTA,nNIA,M392,nCUENTA,1,nASIG,"Orquesta/Banda/Conjunto"),"")))</f>
        <v/>
      </c>
      <c r="P392" t="str">
        <f>IF(M392="","",IF(M392="[FÓRMULA MANUAL]","",IFERROR(AVERAGEIFS(nNOTA,nNIA,M392,nCUENTA,1,nASIG,"Música de Cámara"),"")))</f>
        <v/>
      </c>
      <c r="Q392" t="str">
        <f>IF(M392="","",IF(M392="[FÓRMULA MANUAL]","",IFERROR(SUMPRODUCT((nNIA=M392)*(nCUENTA=1)*(COUNTIF(CONFIG_ASIGNATURAS!$B$7:$B$27,nASIG)&gt;0)*(nNOTA))/SUMPRODUCT((nNIA=M392)*(nCUENTA=1)*(COUNTIF(CONFIG_ASIGNATURAS!$B$7:$B$27,nASIG)&gt;0)*1),"")))</f>
        <v/>
      </c>
      <c r="T392" t="str">
        <f>IF(S392="","",IF(S392="[FÓRMULA MANUAL]","",IFERROR(AVERAGEIFS(nNOTA,nNIA,S392,nCUENTA,1,nASIG,"Armonía"),"")))</f>
        <v/>
      </c>
      <c r="U392" t="str">
        <f>IF(S392="","",IF(S392="[FÓRMULA MANUAL]","",IFERROR(AVERAGEIFS(nNOTA,nNIA,S392,nCUENTA,1,nASIG,"Orquesta/Banda/Conjunto"),"")))</f>
        <v/>
      </c>
      <c r="V392" t="str">
        <f>IF(S392="","",IF(S392="[FÓRMULA MANUAL]","",IFERROR(AVERAGEIFS(nNOTA,nNIA,S392,nCUENTA,1,nASIG,"Música de Cámara"),"")))</f>
        <v/>
      </c>
      <c r="W392" t="str">
        <f>IF(S392="","",IF(S392="[FÓRMULA MANUAL]","",IFERROR(SUMPRODUCT((nNIA=S392)*(nCUENTA=1)*(COUNTIF(CONFIG_ASIGNATURAS!$B$7:$B$27,nASIG)&gt;0)*(nNOTA))/SUMPRODUCT((nNIA=S392)*(nCUENTA=1)*(COUNTIF(CONFIG_ASIGNATURAS!$B$7:$B$27,nASIG)&gt;0)*1),"")))</f>
        <v/>
      </c>
      <c r="Z392" t="str">
        <f>IF(Y392="","",IF(Y392="[FÓRMULA MANUAL]","",IFERROR(AVERAGEIFS(nNOTA,nNIA,Y392,nCUENTA,1,nASIG,"Análisis"),"")))</f>
        <v/>
      </c>
      <c r="AA392" t="str">
        <f>IF(Y392="","",IF(Y392="[FÓRMULA MANUAL]","",IFERROR(AVERAGEIFS(nNOTA,nNIA,Y392,nCUENTA,1,nASIG,"Orquesta/Banda/Conjunto"),"")))</f>
        <v/>
      </c>
      <c r="AB392" t="str">
        <f>IF(Y392="","",IF(Y392="[FÓRMULA MANUAL]","",IFERROR(AVERAGEIFS(nNOTA,nNIA,Y392,nCUENTA,1,nASIG,"Música de Cámara"),"")))</f>
        <v/>
      </c>
      <c r="AC392" t="str">
        <f>IF(Y392="","",IF(Y392="[FÓRMULA MANUAL]","",IFERROR(SUMPRODUCT((nNIA=Y392)*(nCUENTA=1)*(COUNTIF(CONFIG_ASIGNATURAS!$B$7:$B$27,nASIG)&gt;0)*(nNOTA))/SUMPRODUCT((nNIA=Y392)*(nCUENTA=1)*(COUNTIF(CONFIG_ASIGNATURAS!$B$7:$B$27,nASIG)&gt;0)*1),"")))</f>
        <v/>
      </c>
      <c r="AF392" t="str">
        <f>IF(AE392="","",IF(AE392="[FÓRMULA MANUAL]","",IFERROR(AVERAGEIFS(nNOTA,nNIA,AE392,nCUENTA,1,nASIG,"Análisis"),"")))</f>
        <v/>
      </c>
      <c r="AG392" t="str">
        <f>IF(AE392="","",IF(AE392="[FÓRMULA MANUAL]","",IFERROR(AVERAGEIFS(nNOTA,nNIA,AE392,nCUENTA,1,nASIG,"Orquesta/Banda/Conjunto"),"")))</f>
        <v/>
      </c>
      <c r="AH392" t="str">
        <f>IF(AE392="","",IF(AE392="[FÓRMULA MANUAL]","",IFERROR(AVERAGEIFS(nNOTA,nNIA,AE392,nCUENTA,1,nASIG,"Música de Cámara"),"")))</f>
        <v/>
      </c>
      <c r="AI392" t="str">
        <f>IF(AE392="","",IF(AE392="[FÓRMULA MANUAL]","",IFERROR(SUMPRODUCT((nNIA=AE392)*(nCUENTA=1)*(COUNTIF(CONFIG_ASIGNATURAS!$B$7:$B$27,nASIG)&gt;0)*(nNOTA))/SUMPRODUCT((nNIA=AE392)*(nCUENTA=1)*(COUNTIF(CONFIG_ASIGNATURAS!$B$7:$B$27,nASIG)&gt;0)*1),"")))</f>
        <v/>
      </c>
    </row>
    <row r="393" spans="2:35" x14ac:dyDescent="0.2">
      <c r="B393" t="str">
        <f>IF(A393="","",IF(A393="[FÓRMULA MANUAL]","",IFERROR(AVERAGEIFS(nNOTA,nNIA,A393,nCUENTA,1,nASIG,"Lenguaje Musical"),"")))</f>
        <v/>
      </c>
      <c r="C393" t="str">
        <f>IF(A393="","",IF(A393="[FÓRMULA MANUAL]","",IFERROR(AVERAGEIFS(nNOTA,nNIA,A393,nCUENTA,1,nASIG,"Orquesta/Banda/Conjunto"),"")))</f>
        <v/>
      </c>
      <c r="D393" t="str">
        <f>IF(A393="","",IF(A393="[FÓRMULA MANUAL]","",IFERROR(AVERAGEIFS(nNOTA,nNIA,A393,nCUENTA,1,nASIG,"Conjunto"),"")))</f>
        <v/>
      </c>
      <c r="E393" t="str">
        <f>IF(A393="","",IF(A393="[FÓRMULA MANUAL]","",IFERROR(SUMPRODUCT((nNIA=A393)*(nCUENTA=1)*(COUNTIF(CONFIG_ASIGNATURAS!$B$7:$B$27,nASIG)&gt;0)*(nNOTA))/SUMPRODUCT((nNIA=A393)*(nCUENTA=1)*(COUNTIF(CONFIG_ASIGNATURAS!$B$7:$B$27,nASIG)&gt;0)*1),"")))</f>
        <v/>
      </c>
      <c r="H393" t="str">
        <f>IF(G393="","",IF(G393="[FÓRMULA MANUAL]","",IFERROR(AVERAGEIFS(nNOTA,nNIA,G393,nCUENTA,1,nASIG,"Lenguaje Musical"),"")))</f>
        <v/>
      </c>
      <c r="I393" t="str">
        <f>IF(G393="","",IF(G393="[FÓRMULA MANUAL]","",IFERROR(AVERAGEIFS(nNOTA,nNIA,G393,nCUENTA,1,nASIG,"Orquesta/Banda/Conjunto"),"")))</f>
        <v/>
      </c>
      <c r="J393" t="str">
        <f>IF(G393="","",IF(G393="[FÓRMULA MANUAL]","",IFERROR(AVERAGEIFS(nNOTA,nNIA,G393,nCUENTA,1,nASIG,"Conjunto"),"")))</f>
        <v/>
      </c>
      <c r="K393" t="str">
        <f>IF(G393="","",IF(G393="[FÓRMULA MANUAL]","",IFERROR(SUMPRODUCT((nNIA=G393)*(nCUENTA=1)*(COUNTIF(CONFIG_ASIGNATURAS!$B$7:$B$27,nASIG)&gt;0)*(nNOTA))/SUMPRODUCT((nNIA=G393)*(nCUENTA=1)*(COUNTIF(CONFIG_ASIGNATURAS!$B$7:$B$27,nASIG)&gt;0)*1),"")))</f>
        <v/>
      </c>
      <c r="N393" t="str">
        <f>IF(M393="","",IF(M393="[FÓRMULA MANUAL]","",IFERROR(AVERAGEIFS(nNOTA,nNIA,M393,nCUENTA,1,nASIG,"Armonía"),"")))</f>
        <v/>
      </c>
      <c r="O393" t="str">
        <f>IF(M393="","",IF(M393="[FÓRMULA MANUAL]","",IFERROR(AVERAGEIFS(nNOTA,nNIA,M393,nCUENTA,1,nASIG,"Orquesta/Banda/Conjunto"),"")))</f>
        <v/>
      </c>
      <c r="P393" t="str">
        <f>IF(M393="","",IF(M393="[FÓRMULA MANUAL]","",IFERROR(AVERAGEIFS(nNOTA,nNIA,M393,nCUENTA,1,nASIG,"Música de Cámara"),"")))</f>
        <v/>
      </c>
      <c r="Q393" t="str">
        <f>IF(M393="","",IF(M393="[FÓRMULA MANUAL]","",IFERROR(SUMPRODUCT((nNIA=M393)*(nCUENTA=1)*(COUNTIF(CONFIG_ASIGNATURAS!$B$7:$B$27,nASIG)&gt;0)*(nNOTA))/SUMPRODUCT((nNIA=M393)*(nCUENTA=1)*(COUNTIF(CONFIG_ASIGNATURAS!$B$7:$B$27,nASIG)&gt;0)*1),"")))</f>
        <v/>
      </c>
      <c r="T393" t="str">
        <f>IF(S393="","",IF(S393="[FÓRMULA MANUAL]","",IFERROR(AVERAGEIFS(nNOTA,nNIA,S393,nCUENTA,1,nASIG,"Armonía"),"")))</f>
        <v/>
      </c>
      <c r="U393" t="str">
        <f>IF(S393="","",IF(S393="[FÓRMULA MANUAL]","",IFERROR(AVERAGEIFS(nNOTA,nNIA,S393,nCUENTA,1,nASIG,"Orquesta/Banda/Conjunto"),"")))</f>
        <v/>
      </c>
      <c r="V393" t="str">
        <f>IF(S393="","",IF(S393="[FÓRMULA MANUAL]","",IFERROR(AVERAGEIFS(nNOTA,nNIA,S393,nCUENTA,1,nASIG,"Música de Cámara"),"")))</f>
        <v/>
      </c>
      <c r="W393" t="str">
        <f>IF(S393="","",IF(S393="[FÓRMULA MANUAL]","",IFERROR(SUMPRODUCT((nNIA=S393)*(nCUENTA=1)*(COUNTIF(CONFIG_ASIGNATURAS!$B$7:$B$27,nASIG)&gt;0)*(nNOTA))/SUMPRODUCT((nNIA=S393)*(nCUENTA=1)*(COUNTIF(CONFIG_ASIGNATURAS!$B$7:$B$27,nASIG)&gt;0)*1),"")))</f>
        <v/>
      </c>
      <c r="Z393" t="str">
        <f>IF(Y393="","",IF(Y393="[FÓRMULA MANUAL]","",IFERROR(AVERAGEIFS(nNOTA,nNIA,Y393,nCUENTA,1,nASIG,"Análisis"),"")))</f>
        <v/>
      </c>
      <c r="AA393" t="str">
        <f>IF(Y393="","",IF(Y393="[FÓRMULA MANUAL]","",IFERROR(AVERAGEIFS(nNOTA,nNIA,Y393,nCUENTA,1,nASIG,"Orquesta/Banda/Conjunto"),"")))</f>
        <v/>
      </c>
      <c r="AB393" t="str">
        <f>IF(Y393="","",IF(Y393="[FÓRMULA MANUAL]","",IFERROR(AVERAGEIFS(nNOTA,nNIA,Y393,nCUENTA,1,nASIG,"Música de Cámara"),"")))</f>
        <v/>
      </c>
      <c r="AC393" t="str">
        <f>IF(Y393="","",IF(Y393="[FÓRMULA MANUAL]","",IFERROR(SUMPRODUCT((nNIA=Y393)*(nCUENTA=1)*(COUNTIF(CONFIG_ASIGNATURAS!$B$7:$B$27,nASIG)&gt;0)*(nNOTA))/SUMPRODUCT((nNIA=Y393)*(nCUENTA=1)*(COUNTIF(CONFIG_ASIGNATURAS!$B$7:$B$27,nASIG)&gt;0)*1),"")))</f>
        <v/>
      </c>
      <c r="AF393" t="str">
        <f>IF(AE393="","",IF(AE393="[FÓRMULA MANUAL]","",IFERROR(AVERAGEIFS(nNOTA,nNIA,AE393,nCUENTA,1,nASIG,"Análisis"),"")))</f>
        <v/>
      </c>
      <c r="AG393" t="str">
        <f>IF(AE393="","",IF(AE393="[FÓRMULA MANUAL]","",IFERROR(AVERAGEIFS(nNOTA,nNIA,AE393,nCUENTA,1,nASIG,"Orquesta/Banda/Conjunto"),"")))</f>
        <v/>
      </c>
      <c r="AH393" t="str">
        <f>IF(AE393="","",IF(AE393="[FÓRMULA MANUAL]","",IFERROR(AVERAGEIFS(nNOTA,nNIA,AE393,nCUENTA,1,nASIG,"Música de Cámara"),"")))</f>
        <v/>
      </c>
      <c r="AI393" t="str">
        <f>IF(AE393="","",IF(AE393="[FÓRMULA MANUAL]","",IFERROR(SUMPRODUCT((nNIA=AE393)*(nCUENTA=1)*(COUNTIF(CONFIG_ASIGNATURAS!$B$7:$B$27,nASIG)&gt;0)*(nNOTA))/SUMPRODUCT((nNIA=AE393)*(nCUENTA=1)*(COUNTIF(CONFIG_ASIGNATURAS!$B$7:$B$27,nASIG)&gt;0)*1),"")))</f>
        <v/>
      </c>
    </row>
    <row r="394" spans="2:35" x14ac:dyDescent="0.2">
      <c r="B394" t="str">
        <f>IF(A394="","",IF(A394="[FÓRMULA MANUAL]","",IFERROR(AVERAGEIFS(nNOTA,nNIA,A394,nCUENTA,1,nASIG,"Lenguaje Musical"),"")))</f>
        <v/>
      </c>
      <c r="C394" t="str">
        <f>IF(A394="","",IF(A394="[FÓRMULA MANUAL]","",IFERROR(AVERAGEIFS(nNOTA,nNIA,A394,nCUENTA,1,nASIG,"Orquesta/Banda/Conjunto"),"")))</f>
        <v/>
      </c>
      <c r="D394" t="str">
        <f>IF(A394="","",IF(A394="[FÓRMULA MANUAL]","",IFERROR(AVERAGEIFS(nNOTA,nNIA,A394,nCUENTA,1,nASIG,"Conjunto"),"")))</f>
        <v/>
      </c>
      <c r="E394" t="str">
        <f>IF(A394="","",IF(A394="[FÓRMULA MANUAL]","",IFERROR(SUMPRODUCT((nNIA=A394)*(nCUENTA=1)*(COUNTIF(CONFIG_ASIGNATURAS!$B$7:$B$27,nASIG)&gt;0)*(nNOTA))/SUMPRODUCT((nNIA=A394)*(nCUENTA=1)*(COUNTIF(CONFIG_ASIGNATURAS!$B$7:$B$27,nASIG)&gt;0)*1),"")))</f>
        <v/>
      </c>
      <c r="H394" t="str">
        <f>IF(G394="","",IF(G394="[FÓRMULA MANUAL]","",IFERROR(AVERAGEIFS(nNOTA,nNIA,G394,nCUENTA,1,nASIG,"Lenguaje Musical"),"")))</f>
        <v/>
      </c>
      <c r="I394" t="str">
        <f>IF(G394="","",IF(G394="[FÓRMULA MANUAL]","",IFERROR(AVERAGEIFS(nNOTA,nNIA,G394,nCUENTA,1,nASIG,"Orquesta/Banda/Conjunto"),"")))</f>
        <v/>
      </c>
      <c r="J394" t="str">
        <f>IF(G394="","",IF(G394="[FÓRMULA MANUAL]","",IFERROR(AVERAGEIFS(nNOTA,nNIA,G394,nCUENTA,1,nASIG,"Conjunto"),"")))</f>
        <v/>
      </c>
      <c r="K394" t="str">
        <f>IF(G394="","",IF(G394="[FÓRMULA MANUAL]","",IFERROR(SUMPRODUCT((nNIA=G394)*(nCUENTA=1)*(COUNTIF(CONFIG_ASIGNATURAS!$B$7:$B$27,nASIG)&gt;0)*(nNOTA))/SUMPRODUCT((nNIA=G394)*(nCUENTA=1)*(COUNTIF(CONFIG_ASIGNATURAS!$B$7:$B$27,nASIG)&gt;0)*1),"")))</f>
        <v/>
      </c>
      <c r="N394" t="str">
        <f>IF(M394="","",IF(M394="[FÓRMULA MANUAL]","",IFERROR(AVERAGEIFS(nNOTA,nNIA,M394,nCUENTA,1,nASIG,"Armonía"),"")))</f>
        <v/>
      </c>
      <c r="O394" t="str">
        <f>IF(M394="","",IF(M394="[FÓRMULA MANUAL]","",IFERROR(AVERAGEIFS(nNOTA,nNIA,M394,nCUENTA,1,nASIG,"Orquesta/Banda/Conjunto"),"")))</f>
        <v/>
      </c>
      <c r="P394" t="str">
        <f>IF(M394="","",IF(M394="[FÓRMULA MANUAL]","",IFERROR(AVERAGEIFS(nNOTA,nNIA,M394,nCUENTA,1,nASIG,"Música de Cámara"),"")))</f>
        <v/>
      </c>
      <c r="Q394" t="str">
        <f>IF(M394="","",IF(M394="[FÓRMULA MANUAL]","",IFERROR(SUMPRODUCT((nNIA=M394)*(nCUENTA=1)*(COUNTIF(CONFIG_ASIGNATURAS!$B$7:$B$27,nASIG)&gt;0)*(nNOTA))/SUMPRODUCT((nNIA=M394)*(nCUENTA=1)*(COUNTIF(CONFIG_ASIGNATURAS!$B$7:$B$27,nASIG)&gt;0)*1),"")))</f>
        <v/>
      </c>
      <c r="T394" t="str">
        <f>IF(S394="","",IF(S394="[FÓRMULA MANUAL]","",IFERROR(AVERAGEIFS(nNOTA,nNIA,S394,nCUENTA,1,nASIG,"Armonía"),"")))</f>
        <v/>
      </c>
      <c r="U394" t="str">
        <f>IF(S394="","",IF(S394="[FÓRMULA MANUAL]","",IFERROR(AVERAGEIFS(nNOTA,nNIA,S394,nCUENTA,1,nASIG,"Orquesta/Banda/Conjunto"),"")))</f>
        <v/>
      </c>
      <c r="V394" t="str">
        <f>IF(S394="","",IF(S394="[FÓRMULA MANUAL]","",IFERROR(AVERAGEIFS(nNOTA,nNIA,S394,nCUENTA,1,nASIG,"Música de Cámara"),"")))</f>
        <v/>
      </c>
      <c r="W394" t="str">
        <f>IF(S394="","",IF(S394="[FÓRMULA MANUAL]","",IFERROR(SUMPRODUCT((nNIA=S394)*(nCUENTA=1)*(COUNTIF(CONFIG_ASIGNATURAS!$B$7:$B$27,nASIG)&gt;0)*(nNOTA))/SUMPRODUCT((nNIA=S394)*(nCUENTA=1)*(COUNTIF(CONFIG_ASIGNATURAS!$B$7:$B$27,nASIG)&gt;0)*1),"")))</f>
        <v/>
      </c>
      <c r="Z394" t="str">
        <f>IF(Y394="","",IF(Y394="[FÓRMULA MANUAL]","",IFERROR(AVERAGEIFS(nNOTA,nNIA,Y394,nCUENTA,1,nASIG,"Análisis"),"")))</f>
        <v/>
      </c>
      <c r="AA394" t="str">
        <f>IF(Y394="","",IF(Y394="[FÓRMULA MANUAL]","",IFERROR(AVERAGEIFS(nNOTA,nNIA,Y394,nCUENTA,1,nASIG,"Orquesta/Banda/Conjunto"),"")))</f>
        <v/>
      </c>
      <c r="AB394" t="str">
        <f>IF(Y394="","",IF(Y394="[FÓRMULA MANUAL]","",IFERROR(AVERAGEIFS(nNOTA,nNIA,Y394,nCUENTA,1,nASIG,"Música de Cámara"),"")))</f>
        <v/>
      </c>
      <c r="AC394" t="str">
        <f>IF(Y394="","",IF(Y394="[FÓRMULA MANUAL]","",IFERROR(SUMPRODUCT((nNIA=Y394)*(nCUENTA=1)*(COUNTIF(CONFIG_ASIGNATURAS!$B$7:$B$27,nASIG)&gt;0)*(nNOTA))/SUMPRODUCT((nNIA=Y394)*(nCUENTA=1)*(COUNTIF(CONFIG_ASIGNATURAS!$B$7:$B$27,nASIG)&gt;0)*1),"")))</f>
        <v/>
      </c>
      <c r="AF394" t="str">
        <f>IF(AE394="","",IF(AE394="[FÓRMULA MANUAL]","",IFERROR(AVERAGEIFS(nNOTA,nNIA,AE394,nCUENTA,1,nASIG,"Análisis"),"")))</f>
        <v/>
      </c>
      <c r="AG394" t="str">
        <f>IF(AE394="","",IF(AE394="[FÓRMULA MANUAL]","",IFERROR(AVERAGEIFS(nNOTA,nNIA,AE394,nCUENTA,1,nASIG,"Orquesta/Banda/Conjunto"),"")))</f>
        <v/>
      </c>
      <c r="AH394" t="str">
        <f>IF(AE394="","",IF(AE394="[FÓRMULA MANUAL]","",IFERROR(AVERAGEIFS(nNOTA,nNIA,AE394,nCUENTA,1,nASIG,"Música de Cámara"),"")))</f>
        <v/>
      </c>
      <c r="AI394" t="str">
        <f>IF(AE394="","",IF(AE394="[FÓRMULA MANUAL]","",IFERROR(SUMPRODUCT((nNIA=AE394)*(nCUENTA=1)*(COUNTIF(CONFIG_ASIGNATURAS!$B$7:$B$27,nASIG)&gt;0)*(nNOTA))/SUMPRODUCT((nNIA=AE394)*(nCUENTA=1)*(COUNTIF(CONFIG_ASIGNATURAS!$B$7:$B$27,nASIG)&gt;0)*1),"")))</f>
        <v/>
      </c>
    </row>
    <row r="395" spans="2:35" x14ac:dyDescent="0.2">
      <c r="B395" t="str">
        <f>IF(A395="","",IF(A395="[FÓRMULA MANUAL]","",IFERROR(AVERAGEIFS(nNOTA,nNIA,A395,nCUENTA,1,nASIG,"Lenguaje Musical"),"")))</f>
        <v/>
      </c>
      <c r="C395" t="str">
        <f>IF(A395="","",IF(A395="[FÓRMULA MANUAL]","",IFERROR(AVERAGEIFS(nNOTA,nNIA,A395,nCUENTA,1,nASIG,"Orquesta/Banda/Conjunto"),"")))</f>
        <v/>
      </c>
      <c r="D395" t="str">
        <f>IF(A395="","",IF(A395="[FÓRMULA MANUAL]","",IFERROR(AVERAGEIFS(nNOTA,nNIA,A395,nCUENTA,1,nASIG,"Conjunto"),"")))</f>
        <v/>
      </c>
      <c r="E395" t="str">
        <f>IF(A395="","",IF(A395="[FÓRMULA MANUAL]","",IFERROR(SUMPRODUCT((nNIA=A395)*(nCUENTA=1)*(COUNTIF(CONFIG_ASIGNATURAS!$B$7:$B$27,nASIG)&gt;0)*(nNOTA))/SUMPRODUCT((nNIA=A395)*(nCUENTA=1)*(COUNTIF(CONFIG_ASIGNATURAS!$B$7:$B$27,nASIG)&gt;0)*1),"")))</f>
        <v/>
      </c>
      <c r="H395" t="str">
        <f>IF(G395="","",IF(G395="[FÓRMULA MANUAL]","",IFERROR(AVERAGEIFS(nNOTA,nNIA,G395,nCUENTA,1,nASIG,"Lenguaje Musical"),"")))</f>
        <v/>
      </c>
      <c r="I395" t="str">
        <f>IF(G395="","",IF(G395="[FÓRMULA MANUAL]","",IFERROR(AVERAGEIFS(nNOTA,nNIA,G395,nCUENTA,1,nASIG,"Orquesta/Banda/Conjunto"),"")))</f>
        <v/>
      </c>
      <c r="J395" t="str">
        <f>IF(G395="","",IF(G395="[FÓRMULA MANUAL]","",IFERROR(AVERAGEIFS(nNOTA,nNIA,G395,nCUENTA,1,nASIG,"Conjunto"),"")))</f>
        <v/>
      </c>
      <c r="K395" t="str">
        <f>IF(G395="","",IF(G395="[FÓRMULA MANUAL]","",IFERROR(SUMPRODUCT((nNIA=G395)*(nCUENTA=1)*(COUNTIF(CONFIG_ASIGNATURAS!$B$7:$B$27,nASIG)&gt;0)*(nNOTA))/SUMPRODUCT((nNIA=G395)*(nCUENTA=1)*(COUNTIF(CONFIG_ASIGNATURAS!$B$7:$B$27,nASIG)&gt;0)*1),"")))</f>
        <v/>
      </c>
      <c r="N395" t="str">
        <f>IF(M395="","",IF(M395="[FÓRMULA MANUAL]","",IFERROR(AVERAGEIFS(nNOTA,nNIA,M395,nCUENTA,1,nASIG,"Armonía"),"")))</f>
        <v/>
      </c>
      <c r="O395" t="str">
        <f>IF(M395="","",IF(M395="[FÓRMULA MANUAL]","",IFERROR(AVERAGEIFS(nNOTA,nNIA,M395,nCUENTA,1,nASIG,"Orquesta/Banda/Conjunto"),"")))</f>
        <v/>
      </c>
      <c r="P395" t="str">
        <f>IF(M395="","",IF(M395="[FÓRMULA MANUAL]","",IFERROR(AVERAGEIFS(nNOTA,nNIA,M395,nCUENTA,1,nASIG,"Música de Cámara"),"")))</f>
        <v/>
      </c>
      <c r="Q395" t="str">
        <f>IF(M395="","",IF(M395="[FÓRMULA MANUAL]","",IFERROR(SUMPRODUCT((nNIA=M395)*(nCUENTA=1)*(COUNTIF(CONFIG_ASIGNATURAS!$B$7:$B$27,nASIG)&gt;0)*(nNOTA))/SUMPRODUCT((nNIA=M395)*(nCUENTA=1)*(COUNTIF(CONFIG_ASIGNATURAS!$B$7:$B$27,nASIG)&gt;0)*1),"")))</f>
        <v/>
      </c>
      <c r="T395" t="str">
        <f>IF(S395="","",IF(S395="[FÓRMULA MANUAL]","",IFERROR(AVERAGEIFS(nNOTA,nNIA,S395,nCUENTA,1,nASIG,"Armonía"),"")))</f>
        <v/>
      </c>
      <c r="U395" t="str">
        <f>IF(S395="","",IF(S395="[FÓRMULA MANUAL]","",IFERROR(AVERAGEIFS(nNOTA,nNIA,S395,nCUENTA,1,nASIG,"Orquesta/Banda/Conjunto"),"")))</f>
        <v/>
      </c>
      <c r="V395" t="str">
        <f>IF(S395="","",IF(S395="[FÓRMULA MANUAL]","",IFERROR(AVERAGEIFS(nNOTA,nNIA,S395,nCUENTA,1,nASIG,"Música de Cámara"),"")))</f>
        <v/>
      </c>
      <c r="W395" t="str">
        <f>IF(S395="","",IF(S395="[FÓRMULA MANUAL]","",IFERROR(SUMPRODUCT((nNIA=S395)*(nCUENTA=1)*(COUNTIF(CONFIG_ASIGNATURAS!$B$7:$B$27,nASIG)&gt;0)*(nNOTA))/SUMPRODUCT((nNIA=S395)*(nCUENTA=1)*(COUNTIF(CONFIG_ASIGNATURAS!$B$7:$B$27,nASIG)&gt;0)*1),"")))</f>
        <v/>
      </c>
      <c r="Z395" t="str">
        <f>IF(Y395="","",IF(Y395="[FÓRMULA MANUAL]","",IFERROR(AVERAGEIFS(nNOTA,nNIA,Y395,nCUENTA,1,nASIG,"Análisis"),"")))</f>
        <v/>
      </c>
      <c r="AA395" t="str">
        <f>IF(Y395="","",IF(Y395="[FÓRMULA MANUAL]","",IFERROR(AVERAGEIFS(nNOTA,nNIA,Y395,nCUENTA,1,nASIG,"Orquesta/Banda/Conjunto"),"")))</f>
        <v/>
      </c>
      <c r="AB395" t="str">
        <f>IF(Y395="","",IF(Y395="[FÓRMULA MANUAL]","",IFERROR(AVERAGEIFS(nNOTA,nNIA,Y395,nCUENTA,1,nASIG,"Música de Cámara"),"")))</f>
        <v/>
      </c>
      <c r="AC395" t="str">
        <f>IF(Y395="","",IF(Y395="[FÓRMULA MANUAL]","",IFERROR(SUMPRODUCT((nNIA=Y395)*(nCUENTA=1)*(COUNTIF(CONFIG_ASIGNATURAS!$B$7:$B$27,nASIG)&gt;0)*(nNOTA))/SUMPRODUCT((nNIA=Y395)*(nCUENTA=1)*(COUNTIF(CONFIG_ASIGNATURAS!$B$7:$B$27,nASIG)&gt;0)*1),"")))</f>
        <v/>
      </c>
      <c r="AF395" t="str">
        <f>IF(AE395="","",IF(AE395="[FÓRMULA MANUAL]","",IFERROR(AVERAGEIFS(nNOTA,nNIA,AE395,nCUENTA,1,nASIG,"Análisis"),"")))</f>
        <v/>
      </c>
      <c r="AG395" t="str">
        <f>IF(AE395="","",IF(AE395="[FÓRMULA MANUAL]","",IFERROR(AVERAGEIFS(nNOTA,nNIA,AE395,nCUENTA,1,nASIG,"Orquesta/Banda/Conjunto"),"")))</f>
        <v/>
      </c>
      <c r="AH395" t="str">
        <f>IF(AE395="","",IF(AE395="[FÓRMULA MANUAL]","",IFERROR(AVERAGEIFS(nNOTA,nNIA,AE395,nCUENTA,1,nASIG,"Música de Cámara"),"")))</f>
        <v/>
      </c>
      <c r="AI395" t="str">
        <f>IF(AE395="","",IF(AE395="[FÓRMULA MANUAL]","",IFERROR(SUMPRODUCT((nNIA=AE395)*(nCUENTA=1)*(COUNTIF(CONFIG_ASIGNATURAS!$B$7:$B$27,nASIG)&gt;0)*(nNOTA))/SUMPRODUCT((nNIA=AE395)*(nCUENTA=1)*(COUNTIF(CONFIG_ASIGNATURAS!$B$7:$B$27,nASIG)&gt;0)*1),"")))</f>
        <v/>
      </c>
    </row>
    <row r="396" spans="2:35" x14ac:dyDescent="0.2">
      <c r="B396" t="str">
        <f>IF(A396="","",IF(A396="[FÓRMULA MANUAL]","",IFERROR(AVERAGEIFS(nNOTA,nNIA,A396,nCUENTA,1,nASIG,"Lenguaje Musical"),"")))</f>
        <v/>
      </c>
      <c r="C396" t="str">
        <f>IF(A396="","",IF(A396="[FÓRMULA MANUAL]","",IFERROR(AVERAGEIFS(nNOTA,nNIA,A396,nCUENTA,1,nASIG,"Orquesta/Banda/Conjunto"),"")))</f>
        <v/>
      </c>
      <c r="D396" t="str">
        <f>IF(A396="","",IF(A396="[FÓRMULA MANUAL]","",IFERROR(AVERAGEIFS(nNOTA,nNIA,A396,nCUENTA,1,nASIG,"Conjunto"),"")))</f>
        <v/>
      </c>
      <c r="E396" t="str">
        <f>IF(A396="","",IF(A396="[FÓRMULA MANUAL]","",IFERROR(SUMPRODUCT((nNIA=A396)*(nCUENTA=1)*(COUNTIF(CONFIG_ASIGNATURAS!$B$7:$B$27,nASIG)&gt;0)*(nNOTA))/SUMPRODUCT((nNIA=A396)*(nCUENTA=1)*(COUNTIF(CONFIG_ASIGNATURAS!$B$7:$B$27,nASIG)&gt;0)*1),"")))</f>
        <v/>
      </c>
      <c r="H396" t="str">
        <f>IF(G396="","",IF(G396="[FÓRMULA MANUAL]","",IFERROR(AVERAGEIFS(nNOTA,nNIA,G396,nCUENTA,1,nASIG,"Lenguaje Musical"),"")))</f>
        <v/>
      </c>
      <c r="I396" t="str">
        <f>IF(G396="","",IF(G396="[FÓRMULA MANUAL]","",IFERROR(AVERAGEIFS(nNOTA,nNIA,G396,nCUENTA,1,nASIG,"Orquesta/Banda/Conjunto"),"")))</f>
        <v/>
      </c>
      <c r="J396" t="str">
        <f>IF(G396="","",IF(G396="[FÓRMULA MANUAL]","",IFERROR(AVERAGEIFS(nNOTA,nNIA,G396,nCUENTA,1,nASIG,"Conjunto"),"")))</f>
        <v/>
      </c>
      <c r="K396" t="str">
        <f>IF(G396="","",IF(G396="[FÓRMULA MANUAL]","",IFERROR(SUMPRODUCT((nNIA=G396)*(nCUENTA=1)*(COUNTIF(CONFIG_ASIGNATURAS!$B$7:$B$27,nASIG)&gt;0)*(nNOTA))/SUMPRODUCT((nNIA=G396)*(nCUENTA=1)*(COUNTIF(CONFIG_ASIGNATURAS!$B$7:$B$27,nASIG)&gt;0)*1),"")))</f>
        <v/>
      </c>
      <c r="N396" t="str">
        <f>IF(M396="","",IF(M396="[FÓRMULA MANUAL]","",IFERROR(AVERAGEIFS(nNOTA,nNIA,M396,nCUENTA,1,nASIG,"Armonía"),"")))</f>
        <v/>
      </c>
      <c r="O396" t="str">
        <f>IF(M396="","",IF(M396="[FÓRMULA MANUAL]","",IFERROR(AVERAGEIFS(nNOTA,nNIA,M396,nCUENTA,1,nASIG,"Orquesta/Banda/Conjunto"),"")))</f>
        <v/>
      </c>
      <c r="P396" t="str">
        <f>IF(M396="","",IF(M396="[FÓRMULA MANUAL]","",IFERROR(AVERAGEIFS(nNOTA,nNIA,M396,nCUENTA,1,nASIG,"Música de Cámara"),"")))</f>
        <v/>
      </c>
      <c r="Q396" t="str">
        <f>IF(M396="","",IF(M396="[FÓRMULA MANUAL]","",IFERROR(SUMPRODUCT((nNIA=M396)*(nCUENTA=1)*(COUNTIF(CONFIG_ASIGNATURAS!$B$7:$B$27,nASIG)&gt;0)*(nNOTA))/SUMPRODUCT((nNIA=M396)*(nCUENTA=1)*(COUNTIF(CONFIG_ASIGNATURAS!$B$7:$B$27,nASIG)&gt;0)*1),"")))</f>
        <v/>
      </c>
      <c r="T396" t="str">
        <f>IF(S396="","",IF(S396="[FÓRMULA MANUAL]","",IFERROR(AVERAGEIFS(nNOTA,nNIA,S396,nCUENTA,1,nASIG,"Armonía"),"")))</f>
        <v/>
      </c>
      <c r="U396" t="str">
        <f>IF(S396="","",IF(S396="[FÓRMULA MANUAL]","",IFERROR(AVERAGEIFS(nNOTA,nNIA,S396,nCUENTA,1,nASIG,"Orquesta/Banda/Conjunto"),"")))</f>
        <v/>
      </c>
      <c r="V396" t="str">
        <f>IF(S396="","",IF(S396="[FÓRMULA MANUAL]","",IFERROR(AVERAGEIFS(nNOTA,nNIA,S396,nCUENTA,1,nASIG,"Música de Cámara"),"")))</f>
        <v/>
      </c>
      <c r="W396" t="str">
        <f>IF(S396="","",IF(S396="[FÓRMULA MANUAL]","",IFERROR(SUMPRODUCT((nNIA=S396)*(nCUENTA=1)*(COUNTIF(CONFIG_ASIGNATURAS!$B$7:$B$27,nASIG)&gt;0)*(nNOTA))/SUMPRODUCT((nNIA=S396)*(nCUENTA=1)*(COUNTIF(CONFIG_ASIGNATURAS!$B$7:$B$27,nASIG)&gt;0)*1),"")))</f>
        <v/>
      </c>
      <c r="Z396" t="str">
        <f>IF(Y396="","",IF(Y396="[FÓRMULA MANUAL]","",IFERROR(AVERAGEIFS(nNOTA,nNIA,Y396,nCUENTA,1,nASIG,"Análisis"),"")))</f>
        <v/>
      </c>
      <c r="AA396" t="str">
        <f>IF(Y396="","",IF(Y396="[FÓRMULA MANUAL]","",IFERROR(AVERAGEIFS(nNOTA,nNIA,Y396,nCUENTA,1,nASIG,"Orquesta/Banda/Conjunto"),"")))</f>
        <v/>
      </c>
      <c r="AB396" t="str">
        <f>IF(Y396="","",IF(Y396="[FÓRMULA MANUAL]","",IFERROR(AVERAGEIFS(nNOTA,nNIA,Y396,nCUENTA,1,nASIG,"Música de Cámara"),"")))</f>
        <v/>
      </c>
      <c r="AC396" t="str">
        <f>IF(Y396="","",IF(Y396="[FÓRMULA MANUAL]","",IFERROR(SUMPRODUCT((nNIA=Y396)*(nCUENTA=1)*(COUNTIF(CONFIG_ASIGNATURAS!$B$7:$B$27,nASIG)&gt;0)*(nNOTA))/SUMPRODUCT((nNIA=Y396)*(nCUENTA=1)*(COUNTIF(CONFIG_ASIGNATURAS!$B$7:$B$27,nASIG)&gt;0)*1),"")))</f>
        <v/>
      </c>
      <c r="AF396" t="str">
        <f>IF(AE396="","",IF(AE396="[FÓRMULA MANUAL]","",IFERROR(AVERAGEIFS(nNOTA,nNIA,AE396,nCUENTA,1,nASIG,"Análisis"),"")))</f>
        <v/>
      </c>
      <c r="AG396" t="str">
        <f>IF(AE396="","",IF(AE396="[FÓRMULA MANUAL]","",IFERROR(AVERAGEIFS(nNOTA,nNIA,AE396,nCUENTA,1,nASIG,"Orquesta/Banda/Conjunto"),"")))</f>
        <v/>
      </c>
      <c r="AH396" t="str">
        <f>IF(AE396="","",IF(AE396="[FÓRMULA MANUAL]","",IFERROR(AVERAGEIFS(nNOTA,nNIA,AE396,nCUENTA,1,nASIG,"Música de Cámara"),"")))</f>
        <v/>
      </c>
      <c r="AI396" t="str">
        <f>IF(AE396="","",IF(AE396="[FÓRMULA MANUAL]","",IFERROR(SUMPRODUCT((nNIA=AE396)*(nCUENTA=1)*(COUNTIF(CONFIG_ASIGNATURAS!$B$7:$B$27,nASIG)&gt;0)*(nNOTA))/SUMPRODUCT((nNIA=AE396)*(nCUENTA=1)*(COUNTIF(CONFIG_ASIGNATURAS!$B$7:$B$27,nASIG)&gt;0)*1),"")))</f>
        <v/>
      </c>
    </row>
    <row r="397" spans="2:35" x14ac:dyDescent="0.2">
      <c r="B397" t="str">
        <f>IF(A397="","",IF(A397="[FÓRMULA MANUAL]","",IFERROR(AVERAGEIFS(nNOTA,nNIA,A397,nCUENTA,1,nASIG,"Lenguaje Musical"),"")))</f>
        <v/>
      </c>
      <c r="C397" t="str">
        <f>IF(A397="","",IF(A397="[FÓRMULA MANUAL]","",IFERROR(AVERAGEIFS(nNOTA,nNIA,A397,nCUENTA,1,nASIG,"Orquesta/Banda/Conjunto"),"")))</f>
        <v/>
      </c>
      <c r="D397" t="str">
        <f>IF(A397="","",IF(A397="[FÓRMULA MANUAL]","",IFERROR(AVERAGEIFS(nNOTA,nNIA,A397,nCUENTA,1,nASIG,"Conjunto"),"")))</f>
        <v/>
      </c>
      <c r="E397" t="str">
        <f>IF(A397="","",IF(A397="[FÓRMULA MANUAL]","",IFERROR(SUMPRODUCT((nNIA=A397)*(nCUENTA=1)*(COUNTIF(CONFIG_ASIGNATURAS!$B$7:$B$27,nASIG)&gt;0)*(nNOTA))/SUMPRODUCT((nNIA=A397)*(nCUENTA=1)*(COUNTIF(CONFIG_ASIGNATURAS!$B$7:$B$27,nASIG)&gt;0)*1),"")))</f>
        <v/>
      </c>
      <c r="H397" t="str">
        <f>IF(G397="","",IF(G397="[FÓRMULA MANUAL]","",IFERROR(AVERAGEIFS(nNOTA,nNIA,G397,nCUENTA,1,nASIG,"Lenguaje Musical"),"")))</f>
        <v/>
      </c>
      <c r="I397" t="str">
        <f>IF(G397="","",IF(G397="[FÓRMULA MANUAL]","",IFERROR(AVERAGEIFS(nNOTA,nNIA,G397,nCUENTA,1,nASIG,"Orquesta/Banda/Conjunto"),"")))</f>
        <v/>
      </c>
      <c r="J397" t="str">
        <f>IF(G397="","",IF(G397="[FÓRMULA MANUAL]","",IFERROR(AVERAGEIFS(nNOTA,nNIA,G397,nCUENTA,1,nASIG,"Conjunto"),"")))</f>
        <v/>
      </c>
      <c r="K397" t="str">
        <f>IF(G397="","",IF(G397="[FÓRMULA MANUAL]","",IFERROR(SUMPRODUCT((nNIA=G397)*(nCUENTA=1)*(COUNTIF(CONFIG_ASIGNATURAS!$B$7:$B$27,nASIG)&gt;0)*(nNOTA))/SUMPRODUCT((nNIA=G397)*(nCUENTA=1)*(COUNTIF(CONFIG_ASIGNATURAS!$B$7:$B$27,nASIG)&gt;0)*1),"")))</f>
        <v/>
      </c>
      <c r="N397" t="str">
        <f>IF(M397="","",IF(M397="[FÓRMULA MANUAL]","",IFERROR(AVERAGEIFS(nNOTA,nNIA,M397,nCUENTA,1,nASIG,"Armonía"),"")))</f>
        <v/>
      </c>
      <c r="O397" t="str">
        <f>IF(M397="","",IF(M397="[FÓRMULA MANUAL]","",IFERROR(AVERAGEIFS(nNOTA,nNIA,M397,nCUENTA,1,nASIG,"Orquesta/Banda/Conjunto"),"")))</f>
        <v/>
      </c>
      <c r="P397" t="str">
        <f>IF(M397="","",IF(M397="[FÓRMULA MANUAL]","",IFERROR(AVERAGEIFS(nNOTA,nNIA,M397,nCUENTA,1,nASIG,"Música de Cámara"),"")))</f>
        <v/>
      </c>
      <c r="Q397" t="str">
        <f>IF(M397="","",IF(M397="[FÓRMULA MANUAL]","",IFERROR(SUMPRODUCT((nNIA=M397)*(nCUENTA=1)*(COUNTIF(CONFIG_ASIGNATURAS!$B$7:$B$27,nASIG)&gt;0)*(nNOTA))/SUMPRODUCT((nNIA=M397)*(nCUENTA=1)*(COUNTIF(CONFIG_ASIGNATURAS!$B$7:$B$27,nASIG)&gt;0)*1),"")))</f>
        <v/>
      </c>
      <c r="T397" t="str">
        <f>IF(S397="","",IF(S397="[FÓRMULA MANUAL]","",IFERROR(AVERAGEIFS(nNOTA,nNIA,S397,nCUENTA,1,nASIG,"Armonía"),"")))</f>
        <v/>
      </c>
      <c r="U397" t="str">
        <f>IF(S397="","",IF(S397="[FÓRMULA MANUAL]","",IFERROR(AVERAGEIFS(nNOTA,nNIA,S397,nCUENTA,1,nASIG,"Orquesta/Banda/Conjunto"),"")))</f>
        <v/>
      </c>
      <c r="V397" t="str">
        <f>IF(S397="","",IF(S397="[FÓRMULA MANUAL]","",IFERROR(AVERAGEIFS(nNOTA,nNIA,S397,nCUENTA,1,nASIG,"Música de Cámara"),"")))</f>
        <v/>
      </c>
      <c r="W397" t="str">
        <f>IF(S397="","",IF(S397="[FÓRMULA MANUAL]","",IFERROR(SUMPRODUCT((nNIA=S397)*(nCUENTA=1)*(COUNTIF(CONFIG_ASIGNATURAS!$B$7:$B$27,nASIG)&gt;0)*(nNOTA))/SUMPRODUCT((nNIA=S397)*(nCUENTA=1)*(COUNTIF(CONFIG_ASIGNATURAS!$B$7:$B$27,nASIG)&gt;0)*1),"")))</f>
        <v/>
      </c>
      <c r="Z397" t="str">
        <f>IF(Y397="","",IF(Y397="[FÓRMULA MANUAL]","",IFERROR(AVERAGEIFS(nNOTA,nNIA,Y397,nCUENTA,1,nASIG,"Análisis"),"")))</f>
        <v/>
      </c>
      <c r="AA397" t="str">
        <f>IF(Y397="","",IF(Y397="[FÓRMULA MANUAL]","",IFERROR(AVERAGEIFS(nNOTA,nNIA,Y397,nCUENTA,1,nASIG,"Orquesta/Banda/Conjunto"),"")))</f>
        <v/>
      </c>
      <c r="AB397" t="str">
        <f>IF(Y397="","",IF(Y397="[FÓRMULA MANUAL]","",IFERROR(AVERAGEIFS(nNOTA,nNIA,Y397,nCUENTA,1,nASIG,"Música de Cámara"),"")))</f>
        <v/>
      </c>
      <c r="AC397" t="str">
        <f>IF(Y397="","",IF(Y397="[FÓRMULA MANUAL]","",IFERROR(SUMPRODUCT((nNIA=Y397)*(nCUENTA=1)*(COUNTIF(CONFIG_ASIGNATURAS!$B$7:$B$27,nASIG)&gt;0)*(nNOTA))/SUMPRODUCT((nNIA=Y397)*(nCUENTA=1)*(COUNTIF(CONFIG_ASIGNATURAS!$B$7:$B$27,nASIG)&gt;0)*1),"")))</f>
        <v/>
      </c>
      <c r="AF397" t="str">
        <f>IF(AE397="","",IF(AE397="[FÓRMULA MANUAL]","",IFERROR(AVERAGEIFS(nNOTA,nNIA,AE397,nCUENTA,1,nASIG,"Análisis"),"")))</f>
        <v/>
      </c>
      <c r="AG397" t="str">
        <f>IF(AE397="","",IF(AE397="[FÓRMULA MANUAL]","",IFERROR(AVERAGEIFS(nNOTA,nNIA,AE397,nCUENTA,1,nASIG,"Orquesta/Banda/Conjunto"),"")))</f>
        <v/>
      </c>
      <c r="AH397" t="str">
        <f>IF(AE397="","",IF(AE397="[FÓRMULA MANUAL]","",IFERROR(AVERAGEIFS(nNOTA,nNIA,AE397,nCUENTA,1,nASIG,"Música de Cámara"),"")))</f>
        <v/>
      </c>
      <c r="AI397" t="str">
        <f>IF(AE397="","",IF(AE397="[FÓRMULA MANUAL]","",IFERROR(SUMPRODUCT((nNIA=AE397)*(nCUENTA=1)*(COUNTIF(CONFIG_ASIGNATURAS!$B$7:$B$27,nASIG)&gt;0)*(nNOTA))/SUMPRODUCT((nNIA=AE397)*(nCUENTA=1)*(COUNTIF(CONFIG_ASIGNATURAS!$B$7:$B$27,nASIG)&gt;0)*1),"")))</f>
        <v/>
      </c>
    </row>
    <row r="398" spans="2:35" x14ac:dyDescent="0.2">
      <c r="B398" t="str">
        <f>IF(A398="","",IF(A398="[FÓRMULA MANUAL]","",IFERROR(AVERAGEIFS(nNOTA,nNIA,A398,nCUENTA,1,nASIG,"Lenguaje Musical"),"")))</f>
        <v/>
      </c>
      <c r="C398" t="str">
        <f>IF(A398="","",IF(A398="[FÓRMULA MANUAL]","",IFERROR(AVERAGEIFS(nNOTA,nNIA,A398,nCUENTA,1,nASIG,"Orquesta/Banda/Conjunto"),"")))</f>
        <v/>
      </c>
      <c r="D398" t="str">
        <f>IF(A398="","",IF(A398="[FÓRMULA MANUAL]","",IFERROR(AVERAGEIFS(nNOTA,nNIA,A398,nCUENTA,1,nASIG,"Conjunto"),"")))</f>
        <v/>
      </c>
      <c r="E398" t="str">
        <f>IF(A398="","",IF(A398="[FÓRMULA MANUAL]","",IFERROR(SUMPRODUCT((nNIA=A398)*(nCUENTA=1)*(COUNTIF(CONFIG_ASIGNATURAS!$B$7:$B$27,nASIG)&gt;0)*(nNOTA))/SUMPRODUCT((nNIA=A398)*(nCUENTA=1)*(COUNTIF(CONFIG_ASIGNATURAS!$B$7:$B$27,nASIG)&gt;0)*1),"")))</f>
        <v/>
      </c>
      <c r="H398" t="str">
        <f>IF(G398="","",IF(G398="[FÓRMULA MANUAL]","",IFERROR(AVERAGEIFS(nNOTA,nNIA,G398,nCUENTA,1,nASIG,"Lenguaje Musical"),"")))</f>
        <v/>
      </c>
      <c r="I398" t="str">
        <f>IF(G398="","",IF(G398="[FÓRMULA MANUAL]","",IFERROR(AVERAGEIFS(nNOTA,nNIA,G398,nCUENTA,1,nASIG,"Orquesta/Banda/Conjunto"),"")))</f>
        <v/>
      </c>
      <c r="J398" t="str">
        <f>IF(G398="","",IF(G398="[FÓRMULA MANUAL]","",IFERROR(AVERAGEIFS(nNOTA,nNIA,G398,nCUENTA,1,nASIG,"Conjunto"),"")))</f>
        <v/>
      </c>
      <c r="K398" t="str">
        <f>IF(G398="","",IF(G398="[FÓRMULA MANUAL]","",IFERROR(SUMPRODUCT((nNIA=G398)*(nCUENTA=1)*(COUNTIF(CONFIG_ASIGNATURAS!$B$7:$B$27,nASIG)&gt;0)*(nNOTA))/SUMPRODUCT((nNIA=G398)*(nCUENTA=1)*(COUNTIF(CONFIG_ASIGNATURAS!$B$7:$B$27,nASIG)&gt;0)*1),"")))</f>
        <v/>
      </c>
      <c r="N398" t="str">
        <f>IF(M398="","",IF(M398="[FÓRMULA MANUAL]","",IFERROR(AVERAGEIFS(nNOTA,nNIA,M398,nCUENTA,1,nASIG,"Armonía"),"")))</f>
        <v/>
      </c>
      <c r="O398" t="str">
        <f>IF(M398="","",IF(M398="[FÓRMULA MANUAL]","",IFERROR(AVERAGEIFS(nNOTA,nNIA,M398,nCUENTA,1,nASIG,"Orquesta/Banda/Conjunto"),"")))</f>
        <v/>
      </c>
      <c r="P398" t="str">
        <f>IF(M398="","",IF(M398="[FÓRMULA MANUAL]","",IFERROR(AVERAGEIFS(nNOTA,nNIA,M398,nCUENTA,1,nASIG,"Música de Cámara"),"")))</f>
        <v/>
      </c>
      <c r="Q398" t="str">
        <f>IF(M398="","",IF(M398="[FÓRMULA MANUAL]","",IFERROR(SUMPRODUCT((nNIA=M398)*(nCUENTA=1)*(COUNTIF(CONFIG_ASIGNATURAS!$B$7:$B$27,nASIG)&gt;0)*(nNOTA))/SUMPRODUCT((nNIA=M398)*(nCUENTA=1)*(COUNTIF(CONFIG_ASIGNATURAS!$B$7:$B$27,nASIG)&gt;0)*1),"")))</f>
        <v/>
      </c>
      <c r="T398" t="str">
        <f>IF(S398="","",IF(S398="[FÓRMULA MANUAL]","",IFERROR(AVERAGEIFS(nNOTA,nNIA,S398,nCUENTA,1,nASIG,"Armonía"),"")))</f>
        <v/>
      </c>
      <c r="U398" t="str">
        <f>IF(S398="","",IF(S398="[FÓRMULA MANUAL]","",IFERROR(AVERAGEIFS(nNOTA,nNIA,S398,nCUENTA,1,nASIG,"Orquesta/Banda/Conjunto"),"")))</f>
        <v/>
      </c>
      <c r="V398" t="str">
        <f>IF(S398="","",IF(S398="[FÓRMULA MANUAL]","",IFERROR(AVERAGEIFS(nNOTA,nNIA,S398,nCUENTA,1,nASIG,"Música de Cámara"),"")))</f>
        <v/>
      </c>
      <c r="W398" t="str">
        <f>IF(S398="","",IF(S398="[FÓRMULA MANUAL]","",IFERROR(SUMPRODUCT((nNIA=S398)*(nCUENTA=1)*(COUNTIF(CONFIG_ASIGNATURAS!$B$7:$B$27,nASIG)&gt;0)*(nNOTA))/SUMPRODUCT((nNIA=S398)*(nCUENTA=1)*(COUNTIF(CONFIG_ASIGNATURAS!$B$7:$B$27,nASIG)&gt;0)*1),"")))</f>
        <v/>
      </c>
      <c r="Z398" t="str">
        <f>IF(Y398="","",IF(Y398="[FÓRMULA MANUAL]","",IFERROR(AVERAGEIFS(nNOTA,nNIA,Y398,nCUENTA,1,nASIG,"Análisis"),"")))</f>
        <v/>
      </c>
      <c r="AA398" t="str">
        <f>IF(Y398="","",IF(Y398="[FÓRMULA MANUAL]","",IFERROR(AVERAGEIFS(nNOTA,nNIA,Y398,nCUENTA,1,nASIG,"Orquesta/Banda/Conjunto"),"")))</f>
        <v/>
      </c>
      <c r="AB398" t="str">
        <f>IF(Y398="","",IF(Y398="[FÓRMULA MANUAL]","",IFERROR(AVERAGEIFS(nNOTA,nNIA,Y398,nCUENTA,1,nASIG,"Música de Cámara"),"")))</f>
        <v/>
      </c>
      <c r="AC398" t="str">
        <f>IF(Y398="","",IF(Y398="[FÓRMULA MANUAL]","",IFERROR(SUMPRODUCT((nNIA=Y398)*(nCUENTA=1)*(COUNTIF(CONFIG_ASIGNATURAS!$B$7:$B$27,nASIG)&gt;0)*(nNOTA))/SUMPRODUCT((nNIA=Y398)*(nCUENTA=1)*(COUNTIF(CONFIG_ASIGNATURAS!$B$7:$B$27,nASIG)&gt;0)*1),"")))</f>
        <v/>
      </c>
      <c r="AF398" t="str">
        <f>IF(AE398="","",IF(AE398="[FÓRMULA MANUAL]","",IFERROR(AVERAGEIFS(nNOTA,nNIA,AE398,nCUENTA,1,nASIG,"Análisis"),"")))</f>
        <v/>
      </c>
      <c r="AG398" t="str">
        <f>IF(AE398="","",IF(AE398="[FÓRMULA MANUAL]","",IFERROR(AVERAGEIFS(nNOTA,nNIA,AE398,nCUENTA,1,nASIG,"Orquesta/Banda/Conjunto"),"")))</f>
        <v/>
      </c>
      <c r="AH398" t="str">
        <f>IF(AE398="","",IF(AE398="[FÓRMULA MANUAL]","",IFERROR(AVERAGEIFS(nNOTA,nNIA,AE398,nCUENTA,1,nASIG,"Música de Cámara"),"")))</f>
        <v/>
      </c>
      <c r="AI398" t="str">
        <f>IF(AE398="","",IF(AE398="[FÓRMULA MANUAL]","",IFERROR(SUMPRODUCT((nNIA=AE398)*(nCUENTA=1)*(COUNTIF(CONFIG_ASIGNATURAS!$B$7:$B$27,nASIG)&gt;0)*(nNOTA))/SUMPRODUCT((nNIA=AE398)*(nCUENTA=1)*(COUNTIF(CONFIG_ASIGNATURAS!$B$7:$B$27,nASIG)&gt;0)*1),"")))</f>
        <v/>
      </c>
    </row>
    <row r="399" spans="2:35" x14ac:dyDescent="0.2">
      <c r="B399" t="str">
        <f>IF(A399="","",IF(A399="[FÓRMULA MANUAL]","",IFERROR(AVERAGEIFS(nNOTA,nNIA,A399,nCUENTA,1,nASIG,"Lenguaje Musical"),"")))</f>
        <v/>
      </c>
      <c r="C399" t="str">
        <f>IF(A399="","",IF(A399="[FÓRMULA MANUAL]","",IFERROR(AVERAGEIFS(nNOTA,nNIA,A399,nCUENTA,1,nASIG,"Orquesta/Banda/Conjunto"),"")))</f>
        <v/>
      </c>
      <c r="D399" t="str">
        <f>IF(A399="","",IF(A399="[FÓRMULA MANUAL]","",IFERROR(AVERAGEIFS(nNOTA,nNIA,A399,nCUENTA,1,nASIG,"Conjunto"),"")))</f>
        <v/>
      </c>
      <c r="E399" t="str">
        <f>IF(A399="","",IF(A399="[FÓRMULA MANUAL]","",IFERROR(SUMPRODUCT((nNIA=A399)*(nCUENTA=1)*(COUNTIF(CONFIG_ASIGNATURAS!$B$7:$B$27,nASIG)&gt;0)*(nNOTA))/SUMPRODUCT((nNIA=A399)*(nCUENTA=1)*(COUNTIF(CONFIG_ASIGNATURAS!$B$7:$B$27,nASIG)&gt;0)*1),"")))</f>
        <v/>
      </c>
      <c r="H399" t="str">
        <f>IF(G399="","",IF(G399="[FÓRMULA MANUAL]","",IFERROR(AVERAGEIFS(nNOTA,nNIA,G399,nCUENTA,1,nASIG,"Lenguaje Musical"),"")))</f>
        <v/>
      </c>
      <c r="I399" t="str">
        <f>IF(G399="","",IF(G399="[FÓRMULA MANUAL]","",IFERROR(AVERAGEIFS(nNOTA,nNIA,G399,nCUENTA,1,nASIG,"Orquesta/Banda/Conjunto"),"")))</f>
        <v/>
      </c>
      <c r="J399" t="str">
        <f>IF(G399="","",IF(G399="[FÓRMULA MANUAL]","",IFERROR(AVERAGEIFS(nNOTA,nNIA,G399,nCUENTA,1,nASIG,"Conjunto"),"")))</f>
        <v/>
      </c>
      <c r="K399" t="str">
        <f>IF(G399="","",IF(G399="[FÓRMULA MANUAL]","",IFERROR(SUMPRODUCT((nNIA=G399)*(nCUENTA=1)*(COUNTIF(CONFIG_ASIGNATURAS!$B$7:$B$27,nASIG)&gt;0)*(nNOTA))/SUMPRODUCT((nNIA=G399)*(nCUENTA=1)*(COUNTIF(CONFIG_ASIGNATURAS!$B$7:$B$27,nASIG)&gt;0)*1),"")))</f>
        <v/>
      </c>
      <c r="N399" t="str">
        <f>IF(M399="","",IF(M399="[FÓRMULA MANUAL]","",IFERROR(AVERAGEIFS(nNOTA,nNIA,M399,nCUENTA,1,nASIG,"Armonía"),"")))</f>
        <v/>
      </c>
      <c r="O399" t="str">
        <f>IF(M399="","",IF(M399="[FÓRMULA MANUAL]","",IFERROR(AVERAGEIFS(nNOTA,nNIA,M399,nCUENTA,1,nASIG,"Orquesta/Banda/Conjunto"),"")))</f>
        <v/>
      </c>
      <c r="P399" t="str">
        <f>IF(M399="","",IF(M399="[FÓRMULA MANUAL]","",IFERROR(AVERAGEIFS(nNOTA,nNIA,M399,nCUENTA,1,nASIG,"Música de Cámara"),"")))</f>
        <v/>
      </c>
      <c r="Q399" t="str">
        <f>IF(M399="","",IF(M399="[FÓRMULA MANUAL]","",IFERROR(SUMPRODUCT((nNIA=M399)*(nCUENTA=1)*(COUNTIF(CONFIG_ASIGNATURAS!$B$7:$B$27,nASIG)&gt;0)*(nNOTA))/SUMPRODUCT((nNIA=M399)*(nCUENTA=1)*(COUNTIF(CONFIG_ASIGNATURAS!$B$7:$B$27,nASIG)&gt;0)*1),"")))</f>
        <v/>
      </c>
      <c r="T399" t="str">
        <f>IF(S399="","",IF(S399="[FÓRMULA MANUAL]","",IFERROR(AVERAGEIFS(nNOTA,nNIA,S399,nCUENTA,1,nASIG,"Armonía"),"")))</f>
        <v/>
      </c>
      <c r="U399" t="str">
        <f>IF(S399="","",IF(S399="[FÓRMULA MANUAL]","",IFERROR(AVERAGEIFS(nNOTA,nNIA,S399,nCUENTA,1,nASIG,"Orquesta/Banda/Conjunto"),"")))</f>
        <v/>
      </c>
      <c r="V399" t="str">
        <f>IF(S399="","",IF(S399="[FÓRMULA MANUAL]","",IFERROR(AVERAGEIFS(nNOTA,nNIA,S399,nCUENTA,1,nASIG,"Música de Cámara"),"")))</f>
        <v/>
      </c>
      <c r="W399" t="str">
        <f>IF(S399="","",IF(S399="[FÓRMULA MANUAL]","",IFERROR(SUMPRODUCT((nNIA=S399)*(nCUENTA=1)*(COUNTIF(CONFIG_ASIGNATURAS!$B$7:$B$27,nASIG)&gt;0)*(nNOTA))/SUMPRODUCT((nNIA=S399)*(nCUENTA=1)*(COUNTIF(CONFIG_ASIGNATURAS!$B$7:$B$27,nASIG)&gt;0)*1),"")))</f>
        <v/>
      </c>
      <c r="Z399" t="str">
        <f>IF(Y399="","",IF(Y399="[FÓRMULA MANUAL]","",IFERROR(AVERAGEIFS(nNOTA,nNIA,Y399,nCUENTA,1,nASIG,"Análisis"),"")))</f>
        <v/>
      </c>
      <c r="AA399" t="str">
        <f>IF(Y399="","",IF(Y399="[FÓRMULA MANUAL]","",IFERROR(AVERAGEIFS(nNOTA,nNIA,Y399,nCUENTA,1,nASIG,"Orquesta/Banda/Conjunto"),"")))</f>
        <v/>
      </c>
      <c r="AB399" t="str">
        <f>IF(Y399="","",IF(Y399="[FÓRMULA MANUAL]","",IFERROR(AVERAGEIFS(nNOTA,nNIA,Y399,nCUENTA,1,nASIG,"Música de Cámara"),"")))</f>
        <v/>
      </c>
      <c r="AC399" t="str">
        <f>IF(Y399="","",IF(Y399="[FÓRMULA MANUAL]","",IFERROR(SUMPRODUCT((nNIA=Y399)*(nCUENTA=1)*(COUNTIF(CONFIG_ASIGNATURAS!$B$7:$B$27,nASIG)&gt;0)*(nNOTA))/SUMPRODUCT((nNIA=Y399)*(nCUENTA=1)*(COUNTIF(CONFIG_ASIGNATURAS!$B$7:$B$27,nASIG)&gt;0)*1),"")))</f>
        <v/>
      </c>
      <c r="AF399" t="str">
        <f>IF(AE399="","",IF(AE399="[FÓRMULA MANUAL]","",IFERROR(AVERAGEIFS(nNOTA,nNIA,AE399,nCUENTA,1,nASIG,"Análisis"),"")))</f>
        <v/>
      </c>
      <c r="AG399" t="str">
        <f>IF(AE399="","",IF(AE399="[FÓRMULA MANUAL]","",IFERROR(AVERAGEIFS(nNOTA,nNIA,AE399,nCUENTA,1,nASIG,"Orquesta/Banda/Conjunto"),"")))</f>
        <v/>
      </c>
      <c r="AH399" t="str">
        <f>IF(AE399="","",IF(AE399="[FÓRMULA MANUAL]","",IFERROR(AVERAGEIFS(nNOTA,nNIA,AE399,nCUENTA,1,nASIG,"Música de Cámara"),"")))</f>
        <v/>
      </c>
      <c r="AI399" t="str">
        <f>IF(AE399="","",IF(AE399="[FÓRMULA MANUAL]","",IFERROR(SUMPRODUCT((nNIA=AE399)*(nCUENTA=1)*(COUNTIF(CONFIG_ASIGNATURAS!$B$7:$B$27,nASIG)&gt;0)*(nNOTA))/SUMPRODUCT((nNIA=AE399)*(nCUENTA=1)*(COUNTIF(CONFIG_ASIGNATURAS!$B$7:$B$27,nASIG)&gt;0)*1),"")))</f>
        <v/>
      </c>
    </row>
    <row r="400" spans="2:35" x14ac:dyDescent="0.2">
      <c r="B400" t="str">
        <f>IF(A400="","",IF(A400="[FÓRMULA MANUAL]","",IFERROR(AVERAGEIFS(nNOTA,nNIA,A400,nCUENTA,1,nASIG,"Lenguaje Musical"),"")))</f>
        <v/>
      </c>
      <c r="C400" t="str">
        <f>IF(A400="","",IF(A400="[FÓRMULA MANUAL]","",IFERROR(AVERAGEIFS(nNOTA,nNIA,A400,nCUENTA,1,nASIG,"Orquesta/Banda/Conjunto"),"")))</f>
        <v/>
      </c>
      <c r="D400" t="str">
        <f>IF(A400="","",IF(A400="[FÓRMULA MANUAL]","",IFERROR(AVERAGEIFS(nNOTA,nNIA,A400,nCUENTA,1,nASIG,"Conjunto"),"")))</f>
        <v/>
      </c>
      <c r="E400" t="str">
        <f>IF(A400="","",IF(A400="[FÓRMULA MANUAL]","",IFERROR(SUMPRODUCT((nNIA=A400)*(nCUENTA=1)*(COUNTIF(CONFIG_ASIGNATURAS!$B$7:$B$27,nASIG)&gt;0)*(nNOTA))/SUMPRODUCT((nNIA=A400)*(nCUENTA=1)*(COUNTIF(CONFIG_ASIGNATURAS!$B$7:$B$27,nASIG)&gt;0)*1),"")))</f>
        <v/>
      </c>
      <c r="H400" t="str">
        <f>IF(G400="","",IF(G400="[FÓRMULA MANUAL]","",IFERROR(AVERAGEIFS(nNOTA,nNIA,G400,nCUENTA,1,nASIG,"Lenguaje Musical"),"")))</f>
        <v/>
      </c>
      <c r="I400" t="str">
        <f>IF(G400="","",IF(G400="[FÓRMULA MANUAL]","",IFERROR(AVERAGEIFS(nNOTA,nNIA,G400,nCUENTA,1,nASIG,"Orquesta/Banda/Conjunto"),"")))</f>
        <v/>
      </c>
      <c r="J400" t="str">
        <f>IF(G400="","",IF(G400="[FÓRMULA MANUAL]","",IFERROR(AVERAGEIFS(nNOTA,nNIA,G400,nCUENTA,1,nASIG,"Conjunto"),"")))</f>
        <v/>
      </c>
      <c r="K400" t="str">
        <f>IF(G400="","",IF(G400="[FÓRMULA MANUAL]","",IFERROR(SUMPRODUCT((nNIA=G400)*(nCUENTA=1)*(COUNTIF(CONFIG_ASIGNATURAS!$B$7:$B$27,nASIG)&gt;0)*(nNOTA))/SUMPRODUCT((nNIA=G400)*(nCUENTA=1)*(COUNTIF(CONFIG_ASIGNATURAS!$B$7:$B$27,nASIG)&gt;0)*1),"")))</f>
        <v/>
      </c>
      <c r="N400" t="str">
        <f>IF(M400="","",IF(M400="[FÓRMULA MANUAL]","",IFERROR(AVERAGEIFS(nNOTA,nNIA,M400,nCUENTA,1,nASIG,"Armonía"),"")))</f>
        <v/>
      </c>
      <c r="O400" t="str">
        <f>IF(M400="","",IF(M400="[FÓRMULA MANUAL]","",IFERROR(AVERAGEIFS(nNOTA,nNIA,M400,nCUENTA,1,nASIG,"Orquesta/Banda/Conjunto"),"")))</f>
        <v/>
      </c>
      <c r="P400" t="str">
        <f>IF(M400="","",IF(M400="[FÓRMULA MANUAL]","",IFERROR(AVERAGEIFS(nNOTA,nNIA,M400,nCUENTA,1,nASIG,"Música de Cámara"),"")))</f>
        <v/>
      </c>
      <c r="Q400" t="str">
        <f>IF(M400="","",IF(M400="[FÓRMULA MANUAL]","",IFERROR(SUMPRODUCT((nNIA=M400)*(nCUENTA=1)*(COUNTIF(CONFIG_ASIGNATURAS!$B$7:$B$27,nASIG)&gt;0)*(nNOTA))/SUMPRODUCT((nNIA=M400)*(nCUENTA=1)*(COUNTIF(CONFIG_ASIGNATURAS!$B$7:$B$27,nASIG)&gt;0)*1),"")))</f>
        <v/>
      </c>
      <c r="T400" t="str">
        <f>IF(S400="","",IF(S400="[FÓRMULA MANUAL]","",IFERROR(AVERAGEIFS(nNOTA,nNIA,S400,nCUENTA,1,nASIG,"Armonía"),"")))</f>
        <v/>
      </c>
      <c r="U400" t="str">
        <f>IF(S400="","",IF(S400="[FÓRMULA MANUAL]","",IFERROR(AVERAGEIFS(nNOTA,nNIA,S400,nCUENTA,1,nASIG,"Orquesta/Banda/Conjunto"),"")))</f>
        <v/>
      </c>
      <c r="V400" t="str">
        <f>IF(S400="","",IF(S400="[FÓRMULA MANUAL]","",IFERROR(AVERAGEIFS(nNOTA,nNIA,S400,nCUENTA,1,nASIG,"Música de Cámara"),"")))</f>
        <v/>
      </c>
      <c r="W400" t="str">
        <f>IF(S400="","",IF(S400="[FÓRMULA MANUAL]","",IFERROR(SUMPRODUCT((nNIA=S400)*(nCUENTA=1)*(COUNTIF(CONFIG_ASIGNATURAS!$B$7:$B$27,nASIG)&gt;0)*(nNOTA))/SUMPRODUCT((nNIA=S400)*(nCUENTA=1)*(COUNTIF(CONFIG_ASIGNATURAS!$B$7:$B$27,nASIG)&gt;0)*1),"")))</f>
        <v/>
      </c>
      <c r="Z400" t="str">
        <f>IF(Y400="","",IF(Y400="[FÓRMULA MANUAL]","",IFERROR(AVERAGEIFS(nNOTA,nNIA,Y400,nCUENTA,1,nASIG,"Análisis"),"")))</f>
        <v/>
      </c>
      <c r="AA400" t="str">
        <f>IF(Y400="","",IF(Y400="[FÓRMULA MANUAL]","",IFERROR(AVERAGEIFS(nNOTA,nNIA,Y400,nCUENTA,1,nASIG,"Orquesta/Banda/Conjunto"),"")))</f>
        <v/>
      </c>
      <c r="AB400" t="str">
        <f>IF(Y400="","",IF(Y400="[FÓRMULA MANUAL]","",IFERROR(AVERAGEIFS(nNOTA,nNIA,Y400,nCUENTA,1,nASIG,"Música de Cámara"),"")))</f>
        <v/>
      </c>
      <c r="AC400" t="str">
        <f>IF(Y400="","",IF(Y400="[FÓRMULA MANUAL]","",IFERROR(SUMPRODUCT((nNIA=Y400)*(nCUENTA=1)*(COUNTIF(CONFIG_ASIGNATURAS!$B$7:$B$27,nASIG)&gt;0)*(nNOTA))/SUMPRODUCT((nNIA=Y400)*(nCUENTA=1)*(COUNTIF(CONFIG_ASIGNATURAS!$B$7:$B$27,nASIG)&gt;0)*1),"")))</f>
        <v/>
      </c>
      <c r="AF400" t="str">
        <f>IF(AE400="","",IF(AE400="[FÓRMULA MANUAL]","",IFERROR(AVERAGEIFS(nNOTA,nNIA,AE400,nCUENTA,1,nASIG,"Análisis"),"")))</f>
        <v/>
      </c>
      <c r="AG400" t="str">
        <f>IF(AE400="","",IF(AE400="[FÓRMULA MANUAL]","",IFERROR(AVERAGEIFS(nNOTA,nNIA,AE400,nCUENTA,1,nASIG,"Orquesta/Banda/Conjunto"),"")))</f>
        <v/>
      </c>
      <c r="AH400" t="str">
        <f>IF(AE400="","",IF(AE400="[FÓRMULA MANUAL]","",IFERROR(AVERAGEIFS(nNOTA,nNIA,AE400,nCUENTA,1,nASIG,"Música de Cámara"),"")))</f>
        <v/>
      </c>
      <c r="AI400" t="str">
        <f>IF(AE400="","",IF(AE400="[FÓRMULA MANUAL]","",IFERROR(SUMPRODUCT((nNIA=AE400)*(nCUENTA=1)*(COUNTIF(CONFIG_ASIGNATURAS!$B$7:$B$27,nASIG)&gt;0)*(nNOTA))/SUMPRODUCT((nNIA=AE400)*(nCUENTA=1)*(COUNTIF(CONFIG_ASIGNATURAS!$B$7:$B$27,nASIG)&gt;0)*1),"")))</f>
        <v/>
      </c>
    </row>
    <row r="401" spans="2:35" x14ac:dyDescent="0.2">
      <c r="B401" t="str">
        <f>IF(A401="","",IF(A401="[FÓRMULA MANUAL]","",IFERROR(AVERAGEIFS(nNOTA,nNIA,A401,nCUENTA,1,nASIG,"Lenguaje Musical"),"")))</f>
        <v/>
      </c>
      <c r="C401" t="str">
        <f>IF(A401="","",IF(A401="[FÓRMULA MANUAL]","",IFERROR(AVERAGEIFS(nNOTA,nNIA,A401,nCUENTA,1,nASIG,"Orquesta/Banda/Conjunto"),"")))</f>
        <v/>
      </c>
      <c r="D401" t="str">
        <f>IF(A401="","",IF(A401="[FÓRMULA MANUAL]","",IFERROR(AVERAGEIFS(nNOTA,nNIA,A401,nCUENTA,1,nASIG,"Conjunto"),"")))</f>
        <v/>
      </c>
      <c r="E401" t="str">
        <f>IF(A401="","",IF(A401="[FÓRMULA MANUAL]","",IFERROR(SUMPRODUCT((nNIA=A401)*(nCUENTA=1)*(COUNTIF(CONFIG_ASIGNATURAS!$B$7:$B$27,nASIG)&gt;0)*(nNOTA))/SUMPRODUCT((nNIA=A401)*(nCUENTA=1)*(COUNTIF(CONFIG_ASIGNATURAS!$B$7:$B$27,nASIG)&gt;0)*1),"")))</f>
        <v/>
      </c>
      <c r="H401" t="str">
        <f>IF(G401="","",IF(G401="[FÓRMULA MANUAL]","",IFERROR(AVERAGEIFS(nNOTA,nNIA,G401,nCUENTA,1,nASIG,"Lenguaje Musical"),"")))</f>
        <v/>
      </c>
      <c r="I401" t="str">
        <f>IF(G401="","",IF(G401="[FÓRMULA MANUAL]","",IFERROR(AVERAGEIFS(nNOTA,nNIA,G401,nCUENTA,1,nASIG,"Orquesta/Banda/Conjunto"),"")))</f>
        <v/>
      </c>
      <c r="J401" t="str">
        <f>IF(G401="","",IF(G401="[FÓRMULA MANUAL]","",IFERROR(AVERAGEIFS(nNOTA,nNIA,G401,nCUENTA,1,nASIG,"Conjunto"),"")))</f>
        <v/>
      </c>
      <c r="K401" t="str">
        <f>IF(G401="","",IF(G401="[FÓRMULA MANUAL]","",IFERROR(SUMPRODUCT((nNIA=G401)*(nCUENTA=1)*(COUNTIF(CONFIG_ASIGNATURAS!$B$7:$B$27,nASIG)&gt;0)*(nNOTA))/SUMPRODUCT((nNIA=G401)*(nCUENTA=1)*(COUNTIF(CONFIG_ASIGNATURAS!$B$7:$B$27,nASIG)&gt;0)*1),"")))</f>
        <v/>
      </c>
      <c r="N401" t="str">
        <f>IF(M401="","",IF(M401="[FÓRMULA MANUAL]","",IFERROR(AVERAGEIFS(nNOTA,nNIA,M401,nCUENTA,1,nASIG,"Armonía"),"")))</f>
        <v/>
      </c>
      <c r="O401" t="str">
        <f>IF(M401="","",IF(M401="[FÓRMULA MANUAL]","",IFERROR(AVERAGEIFS(nNOTA,nNIA,M401,nCUENTA,1,nASIG,"Orquesta/Banda/Conjunto"),"")))</f>
        <v/>
      </c>
      <c r="P401" t="str">
        <f>IF(M401="","",IF(M401="[FÓRMULA MANUAL]","",IFERROR(AVERAGEIFS(nNOTA,nNIA,M401,nCUENTA,1,nASIG,"Música de Cámara"),"")))</f>
        <v/>
      </c>
      <c r="Q401" t="str">
        <f>IF(M401="","",IF(M401="[FÓRMULA MANUAL]","",IFERROR(SUMPRODUCT((nNIA=M401)*(nCUENTA=1)*(COUNTIF(CONFIG_ASIGNATURAS!$B$7:$B$27,nASIG)&gt;0)*(nNOTA))/SUMPRODUCT((nNIA=M401)*(nCUENTA=1)*(COUNTIF(CONFIG_ASIGNATURAS!$B$7:$B$27,nASIG)&gt;0)*1),"")))</f>
        <v/>
      </c>
      <c r="T401" t="str">
        <f>IF(S401="","",IF(S401="[FÓRMULA MANUAL]","",IFERROR(AVERAGEIFS(nNOTA,nNIA,S401,nCUENTA,1,nASIG,"Armonía"),"")))</f>
        <v/>
      </c>
      <c r="U401" t="str">
        <f>IF(S401="","",IF(S401="[FÓRMULA MANUAL]","",IFERROR(AVERAGEIFS(nNOTA,nNIA,S401,nCUENTA,1,nASIG,"Orquesta/Banda/Conjunto"),"")))</f>
        <v/>
      </c>
      <c r="V401" t="str">
        <f>IF(S401="","",IF(S401="[FÓRMULA MANUAL]","",IFERROR(AVERAGEIFS(nNOTA,nNIA,S401,nCUENTA,1,nASIG,"Música de Cámara"),"")))</f>
        <v/>
      </c>
      <c r="W401" t="str">
        <f>IF(S401="","",IF(S401="[FÓRMULA MANUAL]","",IFERROR(SUMPRODUCT((nNIA=S401)*(nCUENTA=1)*(COUNTIF(CONFIG_ASIGNATURAS!$B$7:$B$27,nASIG)&gt;0)*(nNOTA))/SUMPRODUCT((nNIA=S401)*(nCUENTA=1)*(COUNTIF(CONFIG_ASIGNATURAS!$B$7:$B$27,nASIG)&gt;0)*1),"")))</f>
        <v/>
      </c>
      <c r="Z401" t="str">
        <f>IF(Y401="","",IF(Y401="[FÓRMULA MANUAL]","",IFERROR(AVERAGEIFS(nNOTA,nNIA,Y401,nCUENTA,1,nASIG,"Análisis"),"")))</f>
        <v/>
      </c>
      <c r="AA401" t="str">
        <f>IF(Y401="","",IF(Y401="[FÓRMULA MANUAL]","",IFERROR(AVERAGEIFS(nNOTA,nNIA,Y401,nCUENTA,1,nASIG,"Orquesta/Banda/Conjunto"),"")))</f>
        <v/>
      </c>
      <c r="AB401" t="str">
        <f>IF(Y401="","",IF(Y401="[FÓRMULA MANUAL]","",IFERROR(AVERAGEIFS(nNOTA,nNIA,Y401,nCUENTA,1,nASIG,"Música de Cámara"),"")))</f>
        <v/>
      </c>
      <c r="AC401" t="str">
        <f>IF(Y401="","",IF(Y401="[FÓRMULA MANUAL]","",IFERROR(SUMPRODUCT((nNIA=Y401)*(nCUENTA=1)*(COUNTIF(CONFIG_ASIGNATURAS!$B$7:$B$27,nASIG)&gt;0)*(nNOTA))/SUMPRODUCT((nNIA=Y401)*(nCUENTA=1)*(COUNTIF(CONFIG_ASIGNATURAS!$B$7:$B$27,nASIG)&gt;0)*1),"")))</f>
        <v/>
      </c>
      <c r="AF401" t="str">
        <f>IF(AE401="","",IF(AE401="[FÓRMULA MANUAL]","",IFERROR(AVERAGEIFS(nNOTA,nNIA,AE401,nCUENTA,1,nASIG,"Análisis"),"")))</f>
        <v/>
      </c>
      <c r="AG401" t="str">
        <f>IF(AE401="","",IF(AE401="[FÓRMULA MANUAL]","",IFERROR(AVERAGEIFS(nNOTA,nNIA,AE401,nCUENTA,1,nASIG,"Orquesta/Banda/Conjunto"),"")))</f>
        <v/>
      </c>
      <c r="AH401" t="str">
        <f>IF(AE401="","",IF(AE401="[FÓRMULA MANUAL]","",IFERROR(AVERAGEIFS(nNOTA,nNIA,AE401,nCUENTA,1,nASIG,"Música de Cámara"),"")))</f>
        <v/>
      </c>
      <c r="AI401" t="str">
        <f>IF(AE401="","",IF(AE401="[FÓRMULA MANUAL]","",IFERROR(SUMPRODUCT((nNIA=AE401)*(nCUENTA=1)*(COUNTIF(CONFIG_ASIGNATURAS!$B$7:$B$27,nASIG)&gt;0)*(nNOTA))/SUMPRODUCT((nNIA=AE401)*(nCUENTA=1)*(COUNTIF(CONFIG_ASIGNATURAS!$B$7:$B$27,nASIG)&gt;0)*1),"")))</f>
        <v/>
      </c>
    </row>
    <row r="402" spans="2:35" x14ac:dyDescent="0.2">
      <c r="B402" t="str">
        <f>IF(A402="","",IF(A402="[FÓRMULA MANUAL]","",IFERROR(AVERAGEIFS(nNOTA,nNIA,A402,nCUENTA,1,nASIG,"Lenguaje Musical"),"")))</f>
        <v/>
      </c>
      <c r="C402" t="str">
        <f>IF(A402="","",IF(A402="[FÓRMULA MANUAL]","",IFERROR(AVERAGEIFS(nNOTA,nNIA,A402,nCUENTA,1,nASIG,"Orquesta/Banda/Conjunto"),"")))</f>
        <v/>
      </c>
      <c r="D402" t="str">
        <f>IF(A402="","",IF(A402="[FÓRMULA MANUAL]","",IFERROR(AVERAGEIFS(nNOTA,nNIA,A402,nCUENTA,1,nASIG,"Conjunto"),"")))</f>
        <v/>
      </c>
      <c r="E402" t="str">
        <f>IF(A402="","",IF(A402="[FÓRMULA MANUAL]","",IFERROR(SUMPRODUCT((nNIA=A402)*(nCUENTA=1)*(COUNTIF(CONFIG_ASIGNATURAS!$B$7:$B$27,nASIG)&gt;0)*(nNOTA))/SUMPRODUCT((nNIA=A402)*(nCUENTA=1)*(COUNTIF(CONFIG_ASIGNATURAS!$B$7:$B$27,nASIG)&gt;0)*1),"")))</f>
        <v/>
      </c>
      <c r="H402" t="str">
        <f>IF(G402="","",IF(G402="[FÓRMULA MANUAL]","",IFERROR(AVERAGEIFS(nNOTA,nNIA,G402,nCUENTA,1,nASIG,"Lenguaje Musical"),"")))</f>
        <v/>
      </c>
      <c r="I402" t="str">
        <f>IF(G402="","",IF(G402="[FÓRMULA MANUAL]","",IFERROR(AVERAGEIFS(nNOTA,nNIA,G402,nCUENTA,1,nASIG,"Orquesta/Banda/Conjunto"),"")))</f>
        <v/>
      </c>
      <c r="J402" t="str">
        <f>IF(G402="","",IF(G402="[FÓRMULA MANUAL]","",IFERROR(AVERAGEIFS(nNOTA,nNIA,G402,nCUENTA,1,nASIG,"Conjunto"),"")))</f>
        <v/>
      </c>
      <c r="K402" t="str">
        <f>IF(G402="","",IF(G402="[FÓRMULA MANUAL]","",IFERROR(SUMPRODUCT((nNIA=G402)*(nCUENTA=1)*(COUNTIF(CONFIG_ASIGNATURAS!$B$7:$B$27,nASIG)&gt;0)*(nNOTA))/SUMPRODUCT((nNIA=G402)*(nCUENTA=1)*(COUNTIF(CONFIG_ASIGNATURAS!$B$7:$B$27,nASIG)&gt;0)*1),"")))</f>
        <v/>
      </c>
      <c r="N402" t="str">
        <f>IF(M402="","",IF(M402="[FÓRMULA MANUAL]","",IFERROR(AVERAGEIFS(nNOTA,nNIA,M402,nCUENTA,1,nASIG,"Armonía"),"")))</f>
        <v/>
      </c>
      <c r="O402" t="str">
        <f>IF(M402="","",IF(M402="[FÓRMULA MANUAL]","",IFERROR(AVERAGEIFS(nNOTA,nNIA,M402,nCUENTA,1,nASIG,"Orquesta/Banda/Conjunto"),"")))</f>
        <v/>
      </c>
      <c r="P402" t="str">
        <f>IF(M402="","",IF(M402="[FÓRMULA MANUAL]","",IFERROR(AVERAGEIFS(nNOTA,nNIA,M402,nCUENTA,1,nASIG,"Música de Cámara"),"")))</f>
        <v/>
      </c>
      <c r="Q402" t="str">
        <f>IF(M402="","",IF(M402="[FÓRMULA MANUAL]","",IFERROR(SUMPRODUCT((nNIA=M402)*(nCUENTA=1)*(COUNTIF(CONFIG_ASIGNATURAS!$B$7:$B$27,nASIG)&gt;0)*(nNOTA))/SUMPRODUCT((nNIA=M402)*(nCUENTA=1)*(COUNTIF(CONFIG_ASIGNATURAS!$B$7:$B$27,nASIG)&gt;0)*1),"")))</f>
        <v/>
      </c>
      <c r="T402" t="str">
        <f>IF(S402="","",IF(S402="[FÓRMULA MANUAL]","",IFERROR(AVERAGEIFS(nNOTA,nNIA,S402,nCUENTA,1,nASIG,"Armonía"),"")))</f>
        <v/>
      </c>
      <c r="U402" t="str">
        <f>IF(S402="","",IF(S402="[FÓRMULA MANUAL]","",IFERROR(AVERAGEIFS(nNOTA,nNIA,S402,nCUENTA,1,nASIG,"Orquesta/Banda/Conjunto"),"")))</f>
        <v/>
      </c>
      <c r="V402" t="str">
        <f>IF(S402="","",IF(S402="[FÓRMULA MANUAL]","",IFERROR(AVERAGEIFS(nNOTA,nNIA,S402,nCUENTA,1,nASIG,"Música de Cámara"),"")))</f>
        <v/>
      </c>
      <c r="W402" t="str">
        <f>IF(S402="","",IF(S402="[FÓRMULA MANUAL]","",IFERROR(SUMPRODUCT((nNIA=S402)*(nCUENTA=1)*(COUNTIF(CONFIG_ASIGNATURAS!$B$7:$B$27,nASIG)&gt;0)*(nNOTA))/SUMPRODUCT((nNIA=S402)*(nCUENTA=1)*(COUNTIF(CONFIG_ASIGNATURAS!$B$7:$B$27,nASIG)&gt;0)*1),"")))</f>
        <v/>
      </c>
      <c r="Z402" t="str">
        <f>IF(Y402="","",IF(Y402="[FÓRMULA MANUAL]","",IFERROR(AVERAGEIFS(nNOTA,nNIA,Y402,nCUENTA,1,nASIG,"Análisis"),"")))</f>
        <v/>
      </c>
      <c r="AA402" t="str">
        <f>IF(Y402="","",IF(Y402="[FÓRMULA MANUAL]","",IFERROR(AVERAGEIFS(nNOTA,nNIA,Y402,nCUENTA,1,nASIG,"Orquesta/Banda/Conjunto"),"")))</f>
        <v/>
      </c>
      <c r="AB402" t="str">
        <f>IF(Y402="","",IF(Y402="[FÓRMULA MANUAL]","",IFERROR(AVERAGEIFS(nNOTA,nNIA,Y402,nCUENTA,1,nASIG,"Música de Cámara"),"")))</f>
        <v/>
      </c>
      <c r="AC402" t="str">
        <f>IF(Y402="","",IF(Y402="[FÓRMULA MANUAL]","",IFERROR(SUMPRODUCT((nNIA=Y402)*(nCUENTA=1)*(COUNTIF(CONFIG_ASIGNATURAS!$B$7:$B$27,nASIG)&gt;0)*(nNOTA))/SUMPRODUCT((nNIA=Y402)*(nCUENTA=1)*(COUNTIF(CONFIG_ASIGNATURAS!$B$7:$B$27,nASIG)&gt;0)*1),"")))</f>
        <v/>
      </c>
      <c r="AF402" t="str">
        <f>IF(AE402="","",IF(AE402="[FÓRMULA MANUAL]","",IFERROR(AVERAGEIFS(nNOTA,nNIA,AE402,nCUENTA,1,nASIG,"Análisis"),"")))</f>
        <v/>
      </c>
      <c r="AG402" t="str">
        <f>IF(AE402="","",IF(AE402="[FÓRMULA MANUAL]","",IFERROR(AVERAGEIFS(nNOTA,nNIA,AE402,nCUENTA,1,nASIG,"Orquesta/Banda/Conjunto"),"")))</f>
        <v/>
      </c>
      <c r="AH402" t="str">
        <f>IF(AE402="","",IF(AE402="[FÓRMULA MANUAL]","",IFERROR(AVERAGEIFS(nNOTA,nNIA,AE402,nCUENTA,1,nASIG,"Música de Cámara"),"")))</f>
        <v/>
      </c>
      <c r="AI402" t="str">
        <f>IF(AE402="","",IF(AE402="[FÓRMULA MANUAL]","",IFERROR(SUMPRODUCT((nNIA=AE402)*(nCUENTA=1)*(COUNTIF(CONFIG_ASIGNATURAS!$B$7:$B$27,nASIG)&gt;0)*(nNOTA))/SUMPRODUCT((nNIA=AE402)*(nCUENTA=1)*(COUNTIF(CONFIG_ASIGNATURAS!$B$7:$B$27,nASIG)&gt;0)*1),"")))</f>
        <v/>
      </c>
    </row>
    <row r="403" spans="2:35" x14ac:dyDescent="0.2">
      <c r="B403" t="str">
        <f>IF(A403="","",IF(A403="[FÓRMULA MANUAL]","",IFERROR(AVERAGEIFS(nNOTA,nNIA,A403,nCUENTA,1,nASIG,"Lenguaje Musical"),"")))</f>
        <v/>
      </c>
      <c r="C403" t="str">
        <f>IF(A403="","",IF(A403="[FÓRMULA MANUAL]","",IFERROR(AVERAGEIFS(nNOTA,nNIA,A403,nCUENTA,1,nASIG,"Orquesta/Banda/Conjunto"),"")))</f>
        <v/>
      </c>
      <c r="D403" t="str">
        <f>IF(A403="","",IF(A403="[FÓRMULA MANUAL]","",IFERROR(AVERAGEIFS(nNOTA,nNIA,A403,nCUENTA,1,nASIG,"Conjunto"),"")))</f>
        <v/>
      </c>
      <c r="E403" t="str">
        <f>IF(A403="","",IF(A403="[FÓRMULA MANUAL]","",IFERROR(SUMPRODUCT((nNIA=A403)*(nCUENTA=1)*(COUNTIF(CONFIG_ASIGNATURAS!$B$7:$B$27,nASIG)&gt;0)*(nNOTA))/SUMPRODUCT((nNIA=A403)*(nCUENTA=1)*(COUNTIF(CONFIG_ASIGNATURAS!$B$7:$B$27,nASIG)&gt;0)*1),"")))</f>
        <v/>
      </c>
      <c r="H403" t="str">
        <f>IF(G403="","",IF(G403="[FÓRMULA MANUAL]","",IFERROR(AVERAGEIFS(nNOTA,nNIA,G403,nCUENTA,1,nASIG,"Lenguaje Musical"),"")))</f>
        <v/>
      </c>
      <c r="I403" t="str">
        <f>IF(G403="","",IF(G403="[FÓRMULA MANUAL]","",IFERROR(AVERAGEIFS(nNOTA,nNIA,G403,nCUENTA,1,nASIG,"Orquesta/Banda/Conjunto"),"")))</f>
        <v/>
      </c>
      <c r="J403" t="str">
        <f>IF(G403="","",IF(G403="[FÓRMULA MANUAL]","",IFERROR(AVERAGEIFS(nNOTA,nNIA,G403,nCUENTA,1,nASIG,"Conjunto"),"")))</f>
        <v/>
      </c>
      <c r="K403" t="str">
        <f>IF(G403="","",IF(G403="[FÓRMULA MANUAL]","",IFERROR(SUMPRODUCT((nNIA=G403)*(nCUENTA=1)*(COUNTIF(CONFIG_ASIGNATURAS!$B$7:$B$27,nASIG)&gt;0)*(nNOTA))/SUMPRODUCT((nNIA=G403)*(nCUENTA=1)*(COUNTIF(CONFIG_ASIGNATURAS!$B$7:$B$27,nASIG)&gt;0)*1),"")))</f>
        <v/>
      </c>
      <c r="N403" t="str">
        <f>IF(M403="","",IF(M403="[FÓRMULA MANUAL]","",IFERROR(AVERAGEIFS(nNOTA,nNIA,M403,nCUENTA,1,nASIG,"Armonía"),"")))</f>
        <v/>
      </c>
      <c r="O403" t="str">
        <f>IF(M403="","",IF(M403="[FÓRMULA MANUAL]","",IFERROR(AVERAGEIFS(nNOTA,nNIA,M403,nCUENTA,1,nASIG,"Orquesta/Banda/Conjunto"),"")))</f>
        <v/>
      </c>
      <c r="P403" t="str">
        <f>IF(M403="","",IF(M403="[FÓRMULA MANUAL]","",IFERROR(AVERAGEIFS(nNOTA,nNIA,M403,nCUENTA,1,nASIG,"Música de Cámara"),"")))</f>
        <v/>
      </c>
      <c r="Q403" t="str">
        <f>IF(M403="","",IF(M403="[FÓRMULA MANUAL]","",IFERROR(SUMPRODUCT((nNIA=M403)*(nCUENTA=1)*(COUNTIF(CONFIG_ASIGNATURAS!$B$7:$B$27,nASIG)&gt;0)*(nNOTA))/SUMPRODUCT((nNIA=M403)*(nCUENTA=1)*(COUNTIF(CONFIG_ASIGNATURAS!$B$7:$B$27,nASIG)&gt;0)*1),"")))</f>
        <v/>
      </c>
      <c r="T403" t="str">
        <f>IF(S403="","",IF(S403="[FÓRMULA MANUAL]","",IFERROR(AVERAGEIFS(nNOTA,nNIA,S403,nCUENTA,1,nASIG,"Armonía"),"")))</f>
        <v/>
      </c>
      <c r="U403" t="str">
        <f>IF(S403="","",IF(S403="[FÓRMULA MANUAL]","",IFERROR(AVERAGEIFS(nNOTA,nNIA,S403,nCUENTA,1,nASIG,"Orquesta/Banda/Conjunto"),"")))</f>
        <v/>
      </c>
      <c r="V403" t="str">
        <f>IF(S403="","",IF(S403="[FÓRMULA MANUAL]","",IFERROR(AVERAGEIFS(nNOTA,nNIA,S403,nCUENTA,1,nASIG,"Música de Cámara"),"")))</f>
        <v/>
      </c>
      <c r="W403" t="str">
        <f>IF(S403="","",IF(S403="[FÓRMULA MANUAL]","",IFERROR(SUMPRODUCT((nNIA=S403)*(nCUENTA=1)*(COUNTIF(CONFIG_ASIGNATURAS!$B$7:$B$27,nASIG)&gt;0)*(nNOTA))/SUMPRODUCT((nNIA=S403)*(nCUENTA=1)*(COUNTIF(CONFIG_ASIGNATURAS!$B$7:$B$27,nASIG)&gt;0)*1),"")))</f>
        <v/>
      </c>
      <c r="Z403" t="str">
        <f>IF(Y403="","",IF(Y403="[FÓRMULA MANUAL]","",IFERROR(AVERAGEIFS(nNOTA,nNIA,Y403,nCUENTA,1,nASIG,"Análisis"),"")))</f>
        <v/>
      </c>
      <c r="AA403" t="str">
        <f>IF(Y403="","",IF(Y403="[FÓRMULA MANUAL]","",IFERROR(AVERAGEIFS(nNOTA,nNIA,Y403,nCUENTA,1,nASIG,"Orquesta/Banda/Conjunto"),"")))</f>
        <v/>
      </c>
      <c r="AB403" t="str">
        <f>IF(Y403="","",IF(Y403="[FÓRMULA MANUAL]","",IFERROR(AVERAGEIFS(nNOTA,nNIA,Y403,nCUENTA,1,nASIG,"Música de Cámara"),"")))</f>
        <v/>
      </c>
      <c r="AC403" t="str">
        <f>IF(Y403="","",IF(Y403="[FÓRMULA MANUAL]","",IFERROR(SUMPRODUCT((nNIA=Y403)*(nCUENTA=1)*(COUNTIF(CONFIG_ASIGNATURAS!$B$7:$B$27,nASIG)&gt;0)*(nNOTA))/SUMPRODUCT((nNIA=Y403)*(nCUENTA=1)*(COUNTIF(CONFIG_ASIGNATURAS!$B$7:$B$27,nASIG)&gt;0)*1),"")))</f>
        <v/>
      </c>
      <c r="AF403" t="str">
        <f>IF(AE403="","",IF(AE403="[FÓRMULA MANUAL]","",IFERROR(AVERAGEIFS(nNOTA,nNIA,AE403,nCUENTA,1,nASIG,"Análisis"),"")))</f>
        <v/>
      </c>
      <c r="AG403" t="str">
        <f>IF(AE403="","",IF(AE403="[FÓRMULA MANUAL]","",IFERROR(AVERAGEIFS(nNOTA,nNIA,AE403,nCUENTA,1,nASIG,"Orquesta/Banda/Conjunto"),"")))</f>
        <v/>
      </c>
      <c r="AH403" t="str">
        <f>IF(AE403="","",IF(AE403="[FÓRMULA MANUAL]","",IFERROR(AVERAGEIFS(nNOTA,nNIA,AE403,nCUENTA,1,nASIG,"Música de Cámara"),"")))</f>
        <v/>
      </c>
      <c r="AI403" t="str">
        <f>IF(AE403="","",IF(AE403="[FÓRMULA MANUAL]","",IFERROR(SUMPRODUCT((nNIA=AE403)*(nCUENTA=1)*(COUNTIF(CONFIG_ASIGNATURAS!$B$7:$B$27,nASIG)&gt;0)*(nNOTA))/SUMPRODUCT((nNIA=AE403)*(nCUENTA=1)*(COUNTIF(CONFIG_ASIGNATURAS!$B$7:$B$27,nASIG)&gt;0)*1),"")))</f>
        <v/>
      </c>
    </row>
    <row r="404" spans="2:35" x14ac:dyDescent="0.2">
      <c r="B404" t="str">
        <f>IF(A404="","",IF(A404="[FÓRMULA MANUAL]","",IFERROR(AVERAGEIFS(nNOTA,nNIA,A404,nCUENTA,1,nASIG,"Lenguaje Musical"),"")))</f>
        <v/>
      </c>
      <c r="C404" t="str">
        <f>IF(A404="","",IF(A404="[FÓRMULA MANUAL]","",IFERROR(AVERAGEIFS(nNOTA,nNIA,A404,nCUENTA,1,nASIG,"Orquesta/Banda/Conjunto"),"")))</f>
        <v/>
      </c>
      <c r="D404" t="str">
        <f>IF(A404="","",IF(A404="[FÓRMULA MANUAL]","",IFERROR(AVERAGEIFS(nNOTA,nNIA,A404,nCUENTA,1,nASIG,"Conjunto"),"")))</f>
        <v/>
      </c>
      <c r="E404" t="str">
        <f>IF(A404="","",IF(A404="[FÓRMULA MANUAL]","",IFERROR(SUMPRODUCT((nNIA=A404)*(nCUENTA=1)*(COUNTIF(CONFIG_ASIGNATURAS!$B$7:$B$27,nASIG)&gt;0)*(nNOTA))/SUMPRODUCT((nNIA=A404)*(nCUENTA=1)*(COUNTIF(CONFIG_ASIGNATURAS!$B$7:$B$27,nASIG)&gt;0)*1),"")))</f>
        <v/>
      </c>
      <c r="H404" t="str">
        <f>IF(G404="","",IF(G404="[FÓRMULA MANUAL]","",IFERROR(AVERAGEIFS(nNOTA,nNIA,G404,nCUENTA,1,nASIG,"Lenguaje Musical"),"")))</f>
        <v/>
      </c>
      <c r="I404" t="str">
        <f>IF(G404="","",IF(G404="[FÓRMULA MANUAL]","",IFERROR(AVERAGEIFS(nNOTA,nNIA,G404,nCUENTA,1,nASIG,"Orquesta/Banda/Conjunto"),"")))</f>
        <v/>
      </c>
      <c r="J404" t="str">
        <f>IF(G404="","",IF(G404="[FÓRMULA MANUAL]","",IFERROR(AVERAGEIFS(nNOTA,nNIA,G404,nCUENTA,1,nASIG,"Conjunto"),"")))</f>
        <v/>
      </c>
      <c r="K404" t="str">
        <f>IF(G404="","",IF(G404="[FÓRMULA MANUAL]","",IFERROR(SUMPRODUCT((nNIA=G404)*(nCUENTA=1)*(COUNTIF(CONFIG_ASIGNATURAS!$B$7:$B$27,nASIG)&gt;0)*(nNOTA))/SUMPRODUCT((nNIA=G404)*(nCUENTA=1)*(COUNTIF(CONFIG_ASIGNATURAS!$B$7:$B$27,nASIG)&gt;0)*1),"")))</f>
        <v/>
      </c>
      <c r="N404" t="str">
        <f>IF(M404="","",IF(M404="[FÓRMULA MANUAL]","",IFERROR(AVERAGEIFS(nNOTA,nNIA,M404,nCUENTA,1,nASIG,"Armonía"),"")))</f>
        <v/>
      </c>
      <c r="O404" t="str">
        <f>IF(M404="","",IF(M404="[FÓRMULA MANUAL]","",IFERROR(AVERAGEIFS(nNOTA,nNIA,M404,nCUENTA,1,nASIG,"Orquesta/Banda/Conjunto"),"")))</f>
        <v/>
      </c>
      <c r="P404" t="str">
        <f>IF(M404="","",IF(M404="[FÓRMULA MANUAL]","",IFERROR(AVERAGEIFS(nNOTA,nNIA,M404,nCUENTA,1,nASIG,"Música de Cámara"),"")))</f>
        <v/>
      </c>
      <c r="Q404" t="str">
        <f>IF(M404="","",IF(M404="[FÓRMULA MANUAL]","",IFERROR(SUMPRODUCT((nNIA=M404)*(nCUENTA=1)*(COUNTIF(CONFIG_ASIGNATURAS!$B$7:$B$27,nASIG)&gt;0)*(nNOTA))/SUMPRODUCT((nNIA=M404)*(nCUENTA=1)*(COUNTIF(CONFIG_ASIGNATURAS!$B$7:$B$27,nASIG)&gt;0)*1),"")))</f>
        <v/>
      </c>
      <c r="T404" t="str">
        <f>IF(S404="","",IF(S404="[FÓRMULA MANUAL]","",IFERROR(AVERAGEIFS(nNOTA,nNIA,S404,nCUENTA,1,nASIG,"Armonía"),"")))</f>
        <v/>
      </c>
      <c r="U404" t="str">
        <f>IF(S404="","",IF(S404="[FÓRMULA MANUAL]","",IFERROR(AVERAGEIFS(nNOTA,nNIA,S404,nCUENTA,1,nASIG,"Orquesta/Banda/Conjunto"),"")))</f>
        <v/>
      </c>
      <c r="V404" t="str">
        <f>IF(S404="","",IF(S404="[FÓRMULA MANUAL]","",IFERROR(AVERAGEIFS(nNOTA,nNIA,S404,nCUENTA,1,nASIG,"Música de Cámara"),"")))</f>
        <v/>
      </c>
      <c r="W404" t="str">
        <f>IF(S404="","",IF(S404="[FÓRMULA MANUAL]","",IFERROR(SUMPRODUCT((nNIA=S404)*(nCUENTA=1)*(COUNTIF(CONFIG_ASIGNATURAS!$B$7:$B$27,nASIG)&gt;0)*(nNOTA))/SUMPRODUCT((nNIA=S404)*(nCUENTA=1)*(COUNTIF(CONFIG_ASIGNATURAS!$B$7:$B$27,nASIG)&gt;0)*1),"")))</f>
        <v/>
      </c>
      <c r="Z404" t="str">
        <f>IF(Y404="","",IF(Y404="[FÓRMULA MANUAL]","",IFERROR(AVERAGEIFS(nNOTA,nNIA,Y404,nCUENTA,1,nASIG,"Análisis"),"")))</f>
        <v/>
      </c>
      <c r="AA404" t="str">
        <f>IF(Y404="","",IF(Y404="[FÓRMULA MANUAL]","",IFERROR(AVERAGEIFS(nNOTA,nNIA,Y404,nCUENTA,1,nASIG,"Orquesta/Banda/Conjunto"),"")))</f>
        <v/>
      </c>
      <c r="AB404" t="str">
        <f>IF(Y404="","",IF(Y404="[FÓRMULA MANUAL]","",IFERROR(AVERAGEIFS(nNOTA,nNIA,Y404,nCUENTA,1,nASIG,"Música de Cámara"),"")))</f>
        <v/>
      </c>
      <c r="AC404" t="str">
        <f>IF(Y404="","",IF(Y404="[FÓRMULA MANUAL]","",IFERROR(SUMPRODUCT((nNIA=Y404)*(nCUENTA=1)*(COUNTIF(CONFIG_ASIGNATURAS!$B$7:$B$27,nASIG)&gt;0)*(nNOTA))/SUMPRODUCT((nNIA=Y404)*(nCUENTA=1)*(COUNTIF(CONFIG_ASIGNATURAS!$B$7:$B$27,nASIG)&gt;0)*1),"")))</f>
        <v/>
      </c>
      <c r="AF404" t="str">
        <f>IF(AE404="","",IF(AE404="[FÓRMULA MANUAL]","",IFERROR(AVERAGEIFS(nNOTA,nNIA,AE404,nCUENTA,1,nASIG,"Análisis"),"")))</f>
        <v/>
      </c>
      <c r="AG404" t="str">
        <f>IF(AE404="","",IF(AE404="[FÓRMULA MANUAL]","",IFERROR(AVERAGEIFS(nNOTA,nNIA,AE404,nCUENTA,1,nASIG,"Orquesta/Banda/Conjunto"),"")))</f>
        <v/>
      </c>
      <c r="AH404" t="str">
        <f>IF(AE404="","",IF(AE404="[FÓRMULA MANUAL]","",IFERROR(AVERAGEIFS(nNOTA,nNIA,AE404,nCUENTA,1,nASIG,"Música de Cámara"),"")))</f>
        <v/>
      </c>
      <c r="AI404" t="str">
        <f>IF(AE404="","",IF(AE404="[FÓRMULA MANUAL]","",IFERROR(SUMPRODUCT((nNIA=AE404)*(nCUENTA=1)*(COUNTIF(CONFIG_ASIGNATURAS!$B$7:$B$27,nASIG)&gt;0)*(nNOTA))/SUMPRODUCT((nNIA=AE404)*(nCUENTA=1)*(COUNTIF(CONFIG_ASIGNATURAS!$B$7:$B$27,nASIG)&gt;0)*1),"")))</f>
        <v/>
      </c>
    </row>
    <row r="405" spans="2:35" x14ac:dyDescent="0.2">
      <c r="B405" t="str">
        <f>IF(A405="","",IF(A405="[FÓRMULA MANUAL]","",IFERROR(AVERAGEIFS(nNOTA,nNIA,A405,nCUENTA,1,nASIG,"Lenguaje Musical"),"")))</f>
        <v/>
      </c>
      <c r="C405" t="str">
        <f>IF(A405="","",IF(A405="[FÓRMULA MANUAL]","",IFERROR(AVERAGEIFS(nNOTA,nNIA,A405,nCUENTA,1,nASIG,"Orquesta/Banda/Conjunto"),"")))</f>
        <v/>
      </c>
      <c r="D405" t="str">
        <f>IF(A405="","",IF(A405="[FÓRMULA MANUAL]","",IFERROR(AVERAGEIFS(nNOTA,nNIA,A405,nCUENTA,1,nASIG,"Conjunto"),"")))</f>
        <v/>
      </c>
      <c r="E405" t="str">
        <f>IF(A405="","",IF(A405="[FÓRMULA MANUAL]","",IFERROR(SUMPRODUCT((nNIA=A405)*(nCUENTA=1)*(COUNTIF(CONFIG_ASIGNATURAS!$B$7:$B$27,nASIG)&gt;0)*(nNOTA))/SUMPRODUCT((nNIA=A405)*(nCUENTA=1)*(COUNTIF(CONFIG_ASIGNATURAS!$B$7:$B$27,nASIG)&gt;0)*1),"")))</f>
        <v/>
      </c>
      <c r="H405" t="str">
        <f>IF(G405="","",IF(G405="[FÓRMULA MANUAL]","",IFERROR(AVERAGEIFS(nNOTA,nNIA,G405,nCUENTA,1,nASIG,"Lenguaje Musical"),"")))</f>
        <v/>
      </c>
      <c r="I405" t="str">
        <f>IF(G405="","",IF(G405="[FÓRMULA MANUAL]","",IFERROR(AVERAGEIFS(nNOTA,nNIA,G405,nCUENTA,1,nASIG,"Orquesta/Banda/Conjunto"),"")))</f>
        <v/>
      </c>
      <c r="J405" t="str">
        <f>IF(G405="","",IF(G405="[FÓRMULA MANUAL]","",IFERROR(AVERAGEIFS(nNOTA,nNIA,G405,nCUENTA,1,nASIG,"Conjunto"),"")))</f>
        <v/>
      </c>
      <c r="K405" t="str">
        <f>IF(G405="","",IF(G405="[FÓRMULA MANUAL]","",IFERROR(SUMPRODUCT((nNIA=G405)*(nCUENTA=1)*(COUNTIF(CONFIG_ASIGNATURAS!$B$7:$B$27,nASIG)&gt;0)*(nNOTA))/SUMPRODUCT((nNIA=G405)*(nCUENTA=1)*(COUNTIF(CONFIG_ASIGNATURAS!$B$7:$B$27,nASIG)&gt;0)*1),"")))</f>
        <v/>
      </c>
      <c r="N405" t="str">
        <f>IF(M405="","",IF(M405="[FÓRMULA MANUAL]","",IFERROR(AVERAGEIFS(nNOTA,nNIA,M405,nCUENTA,1,nASIG,"Armonía"),"")))</f>
        <v/>
      </c>
      <c r="O405" t="str">
        <f>IF(M405="","",IF(M405="[FÓRMULA MANUAL]","",IFERROR(AVERAGEIFS(nNOTA,nNIA,M405,nCUENTA,1,nASIG,"Orquesta/Banda/Conjunto"),"")))</f>
        <v/>
      </c>
      <c r="P405" t="str">
        <f>IF(M405="","",IF(M405="[FÓRMULA MANUAL]","",IFERROR(AVERAGEIFS(nNOTA,nNIA,M405,nCUENTA,1,nASIG,"Música de Cámara"),"")))</f>
        <v/>
      </c>
      <c r="Q405" t="str">
        <f>IF(M405="","",IF(M405="[FÓRMULA MANUAL]","",IFERROR(SUMPRODUCT((nNIA=M405)*(nCUENTA=1)*(COUNTIF(CONFIG_ASIGNATURAS!$B$7:$B$27,nASIG)&gt;0)*(nNOTA))/SUMPRODUCT((nNIA=M405)*(nCUENTA=1)*(COUNTIF(CONFIG_ASIGNATURAS!$B$7:$B$27,nASIG)&gt;0)*1),"")))</f>
        <v/>
      </c>
      <c r="T405" t="str">
        <f>IF(S405="","",IF(S405="[FÓRMULA MANUAL]","",IFERROR(AVERAGEIFS(nNOTA,nNIA,S405,nCUENTA,1,nASIG,"Armonía"),"")))</f>
        <v/>
      </c>
      <c r="U405" t="str">
        <f>IF(S405="","",IF(S405="[FÓRMULA MANUAL]","",IFERROR(AVERAGEIFS(nNOTA,nNIA,S405,nCUENTA,1,nASIG,"Orquesta/Banda/Conjunto"),"")))</f>
        <v/>
      </c>
      <c r="V405" t="str">
        <f>IF(S405="","",IF(S405="[FÓRMULA MANUAL]","",IFERROR(AVERAGEIFS(nNOTA,nNIA,S405,nCUENTA,1,nASIG,"Música de Cámara"),"")))</f>
        <v/>
      </c>
      <c r="W405" t="str">
        <f>IF(S405="","",IF(S405="[FÓRMULA MANUAL]","",IFERROR(SUMPRODUCT((nNIA=S405)*(nCUENTA=1)*(COUNTIF(CONFIG_ASIGNATURAS!$B$7:$B$27,nASIG)&gt;0)*(nNOTA))/SUMPRODUCT((nNIA=S405)*(nCUENTA=1)*(COUNTIF(CONFIG_ASIGNATURAS!$B$7:$B$27,nASIG)&gt;0)*1),"")))</f>
        <v/>
      </c>
      <c r="Z405" t="str">
        <f>IF(Y405="","",IF(Y405="[FÓRMULA MANUAL]","",IFERROR(AVERAGEIFS(nNOTA,nNIA,Y405,nCUENTA,1,nASIG,"Análisis"),"")))</f>
        <v/>
      </c>
      <c r="AA405" t="str">
        <f>IF(Y405="","",IF(Y405="[FÓRMULA MANUAL]","",IFERROR(AVERAGEIFS(nNOTA,nNIA,Y405,nCUENTA,1,nASIG,"Orquesta/Banda/Conjunto"),"")))</f>
        <v/>
      </c>
      <c r="AB405" t="str">
        <f>IF(Y405="","",IF(Y405="[FÓRMULA MANUAL]","",IFERROR(AVERAGEIFS(nNOTA,nNIA,Y405,nCUENTA,1,nASIG,"Música de Cámara"),"")))</f>
        <v/>
      </c>
      <c r="AC405" t="str">
        <f>IF(Y405="","",IF(Y405="[FÓRMULA MANUAL]","",IFERROR(SUMPRODUCT((nNIA=Y405)*(nCUENTA=1)*(COUNTIF(CONFIG_ASIGNATURAS!$B$7:$B$27,nASIG)&gt;0)*(nNOTA))/SUMPRODUCT((nNIA=Y405)*(nCUENTA=1)*(COUNTIF(CONFIG_ASIGNATURAS!$B$7:$B$27,nASIG)&gt;0)*1),"")))</f>
        <v/>
      </c>
      <c r="AF405" t="str">
        <f>IF(AE405="","",IF(AE405="[FÓRMULA MANUAL]","",IFERROR(AVERAGEIFS(nNOTA,nNIA,AE405,nCUENTA,1,nASIG,"Análisis"),"")))</f>
        <v/>
      </c>
      <c r="AG405" t="str">
        <f>IF(AE405="","",IF(AE405="[FÓRMULA MANUAL]","",IFERROR(AVERAGEIFS(nNOTA,nNIA,AE405,nCUENTA,1,nASIG,"Orquesta/Banda/Conjunto"),"")))</f>
        <v/>
      </c>
      <c r="AH405" t="str">
        <f>IF(AE405="","",IF(AE405="[FÓRMULA MANUAL]","",IFERROR(AVERAGEIFS(nNOTA,nNIA,AE405,nCUENTA,1,nASIG,"Música de Cámara"),"")))</f>
        <v/>
      </c>
      <c r="AI405" t="str">
        <f>IF(AE405="","",IF(AE405="[FÓRMULA MANUAL]","",IFERROR(SUMPRODUCT((nNIA=AE405)*(nCUENTA=1)*(COUNTIF(CONFIG_ASIGNATURAS!$B$7:$B$27,nASIG)&gt;0)*(nNOTA))/SUMPRODUCT((nNIA=AE405)*(nCUENTA=1)*(COUNTIF(CONFIG_ASIGNATURAS!$B$7:$B$27,nASIG)&gt;0)*1),"")))</f>
        <v/>
      </c>
    </row>
    <row r="406" spans="2:35" x14ac:dyDescent="0.2">
      <c r="B406" t="str">
        <f>IF(A406="","",IF(A406="[FÓRMULA MANUAL]","",IFERROR(AVERAGEIFS(nNOTA,nNIA,A406,nCUENTA,1,nASIG,"Lenguaje Musical"),"")))</f>
        <v/>
      </c>
      <c r="C406" t="str">
        <f>IF(A406="","",IF(A406="[FÓRMULA MANUAL]","",IFERROR(AVERAGEIFS(nNOTA,nNIA,A406,nCUENTA,1,nASIG,"Orquesta/Banda/Conjunto"),"")))</f>
        <v/>
      </c>
      <c r="D406" t="str">
        <f>IF(A406="","",IF(A406="[FÓRMULA MANUAL]","",IFERROR(AVERAGEIFS(nNOTA,nNIA,A406,nCUENTA,1,nASIG,"Conjunto"),"")))</f>
        <v/>
      </c>
      <c r="E406" t="str">
        <f>IF(A406="","",IF(A406="[FÓRMULA MANUAL]","",IFERROR(SUMPRODUCT((nNIA=A406)*(nCUENTA=1)*(COUNTIF(CONFIG_ASIGNATURAS!$B$7:$B$27,nASIG)&gt;0)*(nNOTA))/SUMPRODUCT((nNIA=A406)*(nCUENTA=1)*(COUNTIF(CONFIG_ASIGNATURAS!$B$7:$B$27,nASIG)&gt;0)*1),"")))</f>
        <v/>
      </c>
      <c r="H406" t="str">
        <f>IF(G406="","",IF(G406="[FÓRMULA MANUAL]","",IFERROR(AVERAGEIFS(nNOTA,nNIA,G406,nCUENTA,1,nASIG,"Lenguaje Musical"),"")))</f>
        <v/>
      </c>
      <c r="I406" t="str">
        <f>IF(G406="","",IF(G406="[FÓRMULA MANUAL]","",IFERROR(AVERAGEIFS(nNOTA,nNIA,G406,nCUENTA,1,nASIG,"Orquesta/Banda/Conjunto"),"")))</f>
        <v/>
      </c>
      <c r="J406" t="str">
        <f>IF(G406="","",IF(G406="[FÓRMULA MANUAL]","",IFERROR(AVERAGEIFS(nNOTA,nNIA,G406,nCUENTA,1,nASIG,"Conjunto"),"")))</f>
        <v/>
      </c>
      <c r="K406" t="str">
        <f>IF(G406="","",IF(G406="[FÓRMULA MANUAL]","",IFERROR(SUMPRODUCT((nNIA=G406)*(nCUENTA=1)*(COUNTIF(CONFIG_ASIGNATURAS!$B$7:$B$27,nASIG)&gt;0)*(nNOTA))/SUMPRODUCT((nNIA=G406)*(nCUENTA=1)*(COUNTIF(CONFIG_ASIGNATURAS!$B$7:$B$27,nASIG)&gt;0)*1),"")))</f>
        <v/>
      </c>
      <c r="N406" t="str">
        <f>IF(M406="","",IF(M406="[FÓRMULA MANUAL]","",IFERROR(AVERAGEIFS(nNOTA,nNIA,M406,nCUENTA,1,nASIG,"Armonía"),"")))</f>
        <v/>
      </c>
      <c r="O406" t="str">
        <f>IF(M406="","",IF(M406="[FÓRMULA MANUAL]","",IFERROR(AVERAGEIFS(nNOTA,nNIA,M406,nCUENTA,1,nASIG,"Orquesta/Banda/Conjunto"),"")))</f>
        <v/>
      </c>
      <c r="P406" t="str">
        <f>IF(M406="","",IF(M406="[FÓRMULA MANUAL]","",IFERROR(AVERAGEIFS(nNOTA,nNIA,M406,nCUENTA,1,nASIG,"Música de Cámara"),"")))</f>
        <v/>
      </c>
      <c r="Q406" t="str">
        <f>IF(M406="","",IF(M406="[FÓRMULA MANUAL]","",IFERROR(SUMPRODUCT((nNIA=M406)*(nCUENTA=1)*(COUNTIF(CONFIG_ASIGNATURAS!$B$7:$B$27,nASIG)&gt;0)*(nNOTA))/SUMPRODUCT((nNIA=M406)*(nCUENTA=1)*(COUNTIF(CONFIG_ASIGNATURAS!$B$7:$B$27,nASIG)&gt;0)*1),"")))</f>
        <v/>
      </c>
      <c r="T406" t="str">
        <f>IF(S406="","",IF(S406="[FÓRMULA MANUAL]","",IFERROR(AVERAGEIFS(nNOTA,nNIA,S406,nCUENTA,1,nASIG,"Armonía"),"")))</f>
        <v/>
      </c>
      <c r="U406" t="str">
        <f>IF(S406="","",IF(S406="[FÓRMULA MANUAL]","",IFERROR(AVERAGEIFS(nNOTA,nNIA,S406,nCUENTA,1,nASIG,"Orquesta/Banda/Conjunto"),"")))</f>
        <v/>
      </c>
      <c r="V406" t="str">
        <f>IF(S406="","",IF(S406="[FÓRMULA MANUAL]","",IFERROR(AVERAGEIFS(nNOTA,nNIA,S406,nCUENTA,1,nASIG,"Música de Cámara"),"")))</f>
        <v/>
      </c>
      <c r="W406" t="str">
        <f>IF(S406="","",IF(S406="[FÓRMULA MANUAL]","",IFERROR(SUMPRODUCT((nNIA=S406)*(nCUENTA=1)*(COUNTIF(CONFIG_ASIGNATURAS!$B$7:$B$27,nASIG)&gt;0)*(nNOTA))/SUMPRODUCT((nNIA=S406)*(nCUENTA=1)*(COUNTIF(CONFIG_ASIGNATURAS!$B$7:$B$27,nASIG)&gt;0)*1),"")))</f>
        <v/>
      </c>
      <c r="Z406" t="str">
        <f>IF(Y406="","",IF(Y406="[FÓRMULA MANUAL]","",IFERROR(AVERAGEIFS(nNOTA,nNIA,Y406,nCUENTA,1,nASIG,"Análisis"),"")))</f>
        <v/>
      </c>
      <c r="AA406" t="str">
        <f>IF(Y406="","",IF(Y406="[FÓRMULA MANUAL]","",IFERROR(AVERAGEIFS(nNOTA,nNIA,Y406,nCUENTA,1,nASIG,"Orquesta/Banda/Conjunto"),"")))</f>
        <v/>
      </c>
      <c r="AB406" t="str">
        <f>IF(Y406="","",IF(Y406="[FÓRMULA MANUAL]","",IFERROR(AVERAGEIFS(nNOTA,nNIA,Y406,nCUENTA,1,nASIG,"Música de Cámara"),"")))</f>
        <v/>
      </c>
      <c r="AC406" t="str">
        <f>IF(Y406="","",IF(Y406="[FÓRMULA MANUAL]","",IFERROR(SUMPRODUCT((nNIA=Y406)*(nCUENTA=1)*(COUNTIF(CONFIG_ASIGNATURAS!$B$7:$B$27,nASIG)&gt;0)*(nNOTA))/SUMPRODUCT((nNIA=Y406)*(nCUENTA=1)*(COUNTIF(CONFIG_ASIGNATURAS!$B$7:$B$27,nASIG)&gt;0)*1),"")))</f>
        <v/>
      </c>
      <c r="AF406" t="str">
        <f>IF(AE406="","",IF(AE406="[FÓRMULA MANUAL]","",IFERROR(AVERAGEIFS(nNOTA,nNIA,AE406,nCUENTA,1,nASIG,"Análisis"),"")))</f>
        <v/>
      </c>
      <c r="AG406" t="str">
        <f>IF(AE406="","",IF(AE406="[FÓRMULA MANUAL]","",IFERROR(AVERAGEIFS(nNOTA,nNIA,AE406,nCUENTA,1,nASIG,"Orquesta/Banda/Conjunto"),"")))</f>
        <v/>
      </c>
      <c r="AH406" t="str">
        <f>IF(AE406="","",IF(AE406="[FÓRMULA MANUAL]","",IFERROR(AVERAGEIFS(nNOTA,nNIA,AE406,nCUENTA,1,nASIG,"Música de Cámara"),"")))</f>
        <v/>
      </c>
      <c r="AI406" t="str">
        <f>IF(AE406="","",IF(AE406="[FÓRMULA MANUAL]","",IFERROR(SUMPRODUCT((nNIA=AE406)*(nCUENTA=1)*(COUNTIF(CONFIG_ASIGNATURAS!$B$7:$B$27,nASIG)&gt;0)*(nNOTA))/SUMPRODUCT((nNIA=AE406)*(nCUENTA=1)*(COUNTIF(CONFIG_ASIGNATURAS!$B$7:$B$27,nASIG)&gt;0)*1),"")))</f>
        <v/>
      </c>
    </row>
    <row r="407" spans="2:35" x14ac:dyDescent="0.2">
      <c r="B407" t="str">
        <f>IF(A407="","",IF(A407="[FÓRMULA MANUAL]","",IFERROR(AVERAGEIFS(nNOTA,nNIA,A407,nCUENTA,1,nASIG,"Lenguaje Musical"),"")))</f>
        <v/>
      </c>
      <c r="C407" t="str">
        <f>IF(A407="","",IF(A407="[FÓRMULA MANUAL]","",IFERROR(AVERAGEIFS(nNOTA,nNIA,A407,nCUENTA,1,nASIG,"Orquesta/Banda/Conjunto"),"")))</f>
        <v/>
      </c>
      <c r="D407" t="str">
        <f>IF(A407="","",IF(A407="[FÓRMULA MANUAL]","",IFERROR(AVERAGEIFS(nNOTA,nNIA,A407,nCUENTA,1,nASIG,"Conjunto"),"")))</f>
        <v/>
      </c>
      <c r="E407" t="str">
        <f>IF(A407="","",IF(A407="[FÓRMULA MANUAL]","",IFERROR(SUMPRODUCT((nNIA=A407)*(nCUENTA=1)*(COUNTIF(CONFIG_ASIGNATURAS!$B$7:$B$27,nASIG)&gt;0)*(nNOTA))/SUMPRODUCT((nNIA=A407)*(nCUENTA=1)*(COUNTIF(CONFIG_ASIGNATURAS!$B$7:$B$27,nASIG)&gt;0)*1),"")))</f>
        <v/>
      </c>
      <c r="H407" t="str">
        <f>IF(G407="","",IF(G407="[FÓRMULA MANUAL]","",IFERROR(AVERAGEIFS(nNOTA,nNIA,G407,nCUENTA,1,nASIG,"Lenguaje Musical"),"")))</f>
        <v/>
      </c>
      <c r="I407" t="str">
        <f>IF(G407="","",IF(G407="[FÓRMULA MANUAL]","",IFERROR(AVERAGEIFS(nNOTA,nNIA,G407,nCUENTA,1,nASIG,"Orquesta/Banda/Conjunto"),"")))</f>
        <v/>
      </c>
      <c r="J407" t="str">
        <f>IF(G407="","",IF(G407="[FÓRMULA MANUAL]","",IFERROR(AVERAGEIFS(nNOTA,nNIA,G407,nCUENTA,1,nASIG,"Conjunto"),"")))</f>
        <v/>
      </c>
      <c r="K407" t="str">
        <f>IF(G407="","",IF(G407="[FÓRMULA MANUAL]","",IFERROR(SUMPRODUCT((nNIA=G407)*(nCUENTA=1)*(COUNTIF(CONFIG_ASIGNATURAS!$B$7:$B$27,nASIG)&gt;0)*(nNOTA))/SUMPRODUCT((nNIA=G407)*(nCUENTA=1)*(COUNTIF(CONFIG_ASIGNATURAS!$B$7:$B$27,nASIG)&gt;0)*1),"")))</f>
        <v/>
      </c>
      <c r="N407" t="str">
        <f>IF(M407="","",IF(M407="[FÓRMULA MANUAL]","",IFERROR(AVERAGEIFS(nNOTA,nNIA,M407,nCUENTA,1,nASIG,"Armonía"),"")))</f>
        <v/>
      </c>
      <c r="O407" t="str">
        <f>IF(M407="","",IF(M407="[FÓRMULA MANUAL]","",IFERROR(AVERAGEIFS(nNOTA,nNIA,M407,nCUENTA,1,nASIG,"Orquesta/Banda/Conjunto"),"")))</f>
        <v/>
      </c>
      <c r="P407" t="str">
        <f>IF(M407="","",IF(M407="[FÓRMULA MANUAL]","",IFERROR(AVERAGEIFS(nNOTA,nNIA,M407,nCUENTA,1,nASIG,"Música de Cámara"),"")))</f>
        <v/>
      </c>
      <c r="Q407" t="str">
        <f>IF(M407="","",IF(M407="[FÓRMULA MANUAL]","",IFERROR(SUMPRODUCT((nNIA=M407)*(nCUENTA=1)*(COUNTIF(CONFIG_ASIGNATURAS!$B$7:$B$27,nASIG)&gt;0)*(nNOTA))/SUMPRODUCT((nNIA=M407)*(nCUENTA=1)*(COUNTIF(CONFIG_ASIGNATURAS!$B$7:$B$27,nASIG)&gt;0)*1),"")))</f>
        <v/>
      </c>
      <c r="T407" t="str">
        <f>IF(S407="","",IF(S407="[FÓRMULA MANUAL]","",IFERROR(AVERAGEIFS(nNOTA,nNIA,S407,nCUENTA,1,nASIG,"Armonía"),"")))</f>
        <v/>
      </c>
      <c r="U407" t="str">
        <f>IF(S407="","",IF(S407="[FÓRMULA MANUAL]","",IFERROR(AVERAGEIFS(nNOTA,nNIA,S407,nCUENTA,1,nASIG,"Orquesta/Banda/Conjunto"),"")))</f>
        <v/>
      </c>
      <c r="V407" t="str">
        <f>IF(S407="","",IF(S407="[FÓRMULA MANUAL]","",IFERROR(AVERAGEIFS(nNOTA,nNIA,S407,nCUENTA,1,nASIG,"Música de Cámara"),"")))</f>
        <v/>
      </c>
      <c r="W407" t="str">
        <f>IF(S407="","",IF(S407="[FÓRMULA MANUAL]","",IFERROR(SUMPRODUCT((nNIA=S407)*(nCUENTA=1)*(COUNTIF(CONFIG_ASIGNATURAS!$B$7:$B$27,nASIG)&gt;0)*(nNOTA))/SUMPRODUCT((nNIA=S407)*(nCUENTA=1)*(COUNTIF(CONFIG_ASIGNATURAS!$B$7:$B$27,nASIG)&gt;0)*1),"")))</f>
        <v/>
      </c>
      <c r="Z407" t="str">
        <f>IF(Y407="","",IF(Y407="[FÓRMULA MANUAL]","",IFERROR(AVERAGEIFS(nNOTA,nNIA,Y407,nCUENTA,1,nASIG,"Análisis"),"")))</f>
        <v/>
      </c>
      <c r="AA407" t="str">
        <f>IF(Y407="","",IF(Y407="[FÓRMULA MANUAL]","",IFERROR(AVERAGEIFS(nNOTA,nNIA,Y407,nCUENTA,1,nASIG,"Orquesta/Banda/Conjunto"),"")))</f>
        <v/>
      </c>
      <c r="AB407" t="str">
        <f>IF(Y407="","",IF(Y407="[FÓRMULA MANUAL]","",IFERROR(AVERAGEIFS(nNOTA,nNIA,Y407,nCUENTA,1,nASIG,"Música de Cámara"),"")))</f>
        <v/>
      </c>
      <c r="AC407" t="str">
        <f>IF(Y407="","",IF(Y407="[FÓRMULA MANUAL]","",IFERROR(SUMPRODUCT((nNIA=Y407)*(nCUENTA=1)*(COUNTIF(CONFIG_ASIGNATURAS!$B$7:$B$27,nASIG)&gt;0)*(nNOTA))/SUMPRODUCT((nNIA=Y407)*(nCUENTA=1)*(COUNTIF(CONFIG_ASIGNATURAS!$B$7:$B$27,nASIG)&gt;0)*1),"")))</f>
        <v/>
      </c>
      <c r="AF407" t="str">
        <f>IF(AE407="","",IF(AE407="[FÓRMULA MANUAL]","",IFERROR(AVERAGEIFS(nNOTA,nNIA,AE407,nCUENTA,1,nASIG,"Análisis"),"")))</f>
        <v/>
      </c>
      <c r="AG407" t="str">
        <f>IF(AE407="","",IF(AE407="[FÓRMULA MANUAL]","",IFERROR(AVERAGEIFS(nNOTA,nNIA,AE407,nCUENTA,1,nASIG,"Orquesta/Banda/Conjunto"),"")))</f>
        <v/>
      </c>
      <c r="AH407" t="str">
        <f>IF(AE407="","",IF(AE407="[FÓRMULA MANUAL]","",IFERROR(AVERAGEIFS(nNOTA,nNIA,AE407,nCUENTA,1,nASIG,"Música de Cámara"),"")))</f>
        <v/>
      </c>
      <c r="AI407" t="str">
        <f>IF(AE407="","",IF(AE407="[FÓRMULA MANUAL]","",IFERROR(SUMPRODUCT((nNIA=AE407)*(nCUENTA=1)*(COUNTIF(CONFIG_ASIGNATURAS!$B$7:$B$27,nASIG)&gt;0)*(nNOTA))/SUMPRODUCT((nNIA=AE407)*(nCUENTA=1)*(COUNTIF(CONFIG_ASIGNATURAS!$B$7:$B$27,nASIG)&gt;0)*1),"")))</f>
        <v/>
      </c>
    </row>
    <row r="408" spans="2:35" x14ac:dyDescent="0.2">
      <c r="B408" t="str">
        <f>IF(A408="","",IF(A408="[FÓRMULA MANUAL]","",IFERROR(AVERAGEIFS(nNOTA,nNIA,A408,nCUENTA,1,nASIG,"Lenguaje Musical"),"")))</f>
        <v/>
      </c>
      <c r="C408" t="str">
        <f>IF(A408="","",IF(A408="[FÓRMULA MANUAL]","",IFERROR(AVERAGEIFS(nNOTA,nNIA,A408,nCUENTA,1,nASIG,"Orquesta/Banda/Conjunto"),"")))</f>
        <v/>
      </c>
      <c r="D408" t="str">
        <f>IF(A408="","",IF(A408="[FÓRMULA MANUAL]","",IFERROR(AVERAGEIFS(nNOTA,nNIA,A408,nCUENTA,1,nASIG,"Conjunto"),"")))</f>
        <v/>
      </c>
      <c r="E408" t="str">
        <f>IF(A408="","",IF(A408="[FÓRMULA MANUAL]","",IFERROR(SUMPRODUCT((nNIA=A408)*(nCUENTA=1)*(COUNTIF(CONFIG_ASIGNATURAS!$B$7:$B$27,nASIG)&gt;0)*(nNOTA))/SUMPRODUCT((nNIA=A408)*(nCUENTA=1)*(COUNTIF(CONFIG_ASIGNATURAS!$B$7:$B$27,nASIG)&gt;0)*1),"")))</f>
        <v/>
      </c>
      <c r="H408" t="str">
        <f>IF(G408="","",IF(G408="[FÓRMULA MANUAL]","",IFERROR(AVERAGEIFS(nNOTA,nNIA,G408,nCUENTA,1,nASIG,"Lenguaje Musical"),"")))</f>
        <v/>
      </c>
      <c r="I408" t="str">
        <f>IF(G408="","",IF(G408="[FÓRMULA MANUAL]","",IFERROR(AVERAGEIFS(nNOTA,nNIA,G408,nCUENTA,1,nASIG,"Orquesta/Banda/Conjunto"),"")))</f>
        <v/>
      </c>
      <c r="J408" t="str">
        <f>IF(G408="","",IF(G408="[FÓRMULA MANUAL]","",IFERROR(AVERAGEIFS(nNOTA,nNIA,G408,nCUENTA,1,nASIG,"Conjunto"),"")))</f>
        <v/>
      </c>
      <c r="K408" t="str">
        <f>IF(G408="","",IF(G408="[FÓRMULA MANUAL]","",IFERROR(SUMPRODUCT((nNIA=G408)*(nCUENTA=1)*(COUNTIF(CONFIG_ASIGNATURAS!$B$7:$B$27,nASIG)&gt;0)*(nNOTA))/SUMPRODUCT((nNIA=G408)*(nCUENTA=1)*(COUNTIF(CONFIG_ASIGNATURAS!$B$7:$B$27,nASIG)&gt;0)*1),"")))</f>
        <v/>
      </c>
      <c r="N408" t="str">
        <f>IF(M408="","",IF(M408="[FÓRMULA MANUAL]","",IFERROR(AVERAGEIFS(nNOTA,nNIA,M408,nCUENTA,1,nASIG,"Armonía"),"")))</f>
        <v/>
      </c>
      <c r="O408" t="str">
        <f>IF(M408="","",IF(M408="[FÓRMULA MANUAL]","",IFERROR(AVERAGEIFS(nNOTA,nNIA,M408,nCUENTA,1,nASIG,"Orquesta/Banda/Conjunto"),"")))</f>
        <v/>
      </c>
      <c r="P408" t="str">
        <f>IF(M408="","",IF(M408="[FÓRMULA MANUAL]","",IFERROR(AVERAGEIFS(nNOTA,nNIA,M408,nCUENTA,1,nASIG,"Música de Cámara"),"")))</f>
        <v/>
      </c>
      <c r="Q408" t="str">
        <f>IF(M408="","",IF(M408="[FÓRMULA MANUAL]","",IFERROR(SUMPRODUCT((nNIA=M408)*(nCUENTA=1)*(COUNTIF(CONFIG_ASIGNATURAS!$B$7:$B$27,nASIG)&gt;0)*(nNOTA))/SUMPRODUCT((nNIA=M408)*(nCUENTA=1)*(COUNTIF(CONFIG_ASIGNATURAS!$B$7:$B$27,nASIG)&gt;0)*1),"")))</f>
        <v/>
      </c>
      <c r="T408" t="str">
        <f>IF(S408="","",IF(S408="[FÓRMULA MANUAL]","",IFERROR(AVERAGEIFS(nNOTA,nNIA,S408,nCUENTA,1,nASIG,"Armonía"),"")))</f>
        <v/>
      </c>
      <c r="U408" t="str">
        <f>IF(S408="","",IF(S408="[FÓRMULA MANUAL]","",IFERROR(AVERAGEIFS(nNOTA,nNIA,S408,nCUENTA,1,nASIG,"Orquesta/Banda/Conjunto"),"")))</f>
        <v/>
      </c>
      <c r="V408" t="str">
        <f>IF(S408="","",IF(S408="[FÓRMULA MANUAL]","",IFERROR(AVERAGEIFS(nNOTA,nNIA,S408,nCUENTA,1,nASIG,"Música de Cámara"),"")))</f>
        <v/>
      </c>
      <c r="W408" t="str">
        <f>IF(S408="","",IF(S408="[FÓRMULA MANUAL]","",IFERROR(SUMPRODUCT((nNIA=S408)*(nCUENTA=1)*(COUNTIF(CONFIG_ASIGNATURAS!$B$7:$B$27,nASIG)&gt;0)*(nNOTA))/SUMPRODUCT((nNIA=S408)*(nCUENTA=1)*(COUNTIF(CONFIG_ASIGNATURAS!$B$7:$B$27,nASIG)&gt;0)*1),"")))</f>
        <v/>
      </c>
      <c r="Z408" t="str">
        <f>IF(Y408="","",IF(Y408="[FÓRMULA MANUAL]","",IFERROR(AVERAGEIFS(nNOTA,nNIA,Y408,nCUENTA,1,nASIG,"Análisis"),"")))</f>
        <v/>
      </c>
      <c r="AA408" t="str">
        <f>IF(Y408="","",IF(Y408="[FÓRMULA MANUAL]","",IFERROR(AVERAGEIFS(nNOTA,nNIA,Y408,nCUENTA,1,nASIG,"Orquesta/Banda/Conjunto"),"")))</f>
        <v/>
      </c>
      <c r="AB408" t="str">
        <f>IF(Y408="","",IF(Y408="[FÓRMULA MANUAL]","",IFERROR(AVERAGEIFS(nNOTA,nNIA,Y408,nCUENTA,1,nASIG,"Música de Cámara"),"")))</f>
        <v/>
      </c>
      <c r="AC408" t="str">
        <f>IF(Y408="","",IF(Y408="[FÓRMULA MANUAL]","",IFERROR(SUMPRODUCT((nNIA=Y408)*(nCUENTA=1)*(COUNTIF(CONFIG_ASIGNATURAS!$B$7:$B$27,nASIG)&gt;0)*(nNOTA))/SUMPRODUCT((nNIA=Y408)*(nCUENTA=1)*(COUNTIF(CONFIG_ASIGNATURAS!$B$7:$B$27,nASIG)&gt;0)*1),"")))</f>
        <v/>
      </c>
      <c r="AF408" t="str">
        <f>IF(AE408="","",IF(AE408="[FÓRMULA MANUAL]","",IFERROR(AVERAGEIFS(nNOTA,nNIA,AE408,nCUENTA,1,nASIG,"Análisis"),"")))</f>
        <v/>
      </c>
      <c r="AG408" t="str">
        <f>IF(AE408="","",IF(AE408="[FÓRMULA MANUAL]","",IFERROR(AVERAGEIFS(nNOTA,nNIA,AE408,nCUENTA,1,nASIG,"Orquesta/Banda/Conjunto"),"")))</f>
        <v/>
      </c>
      <c r="AH408" t="str">
        <f>IF(AE408="","",IF(AE408="[FÓRMULA MANUAL]","",IFERROR(AVERAGEIFS(nNOTA,nNIA,AE408,nCUENTA,1,nASIG,"Música de Cámara"),"")))</f>
        <v/>
      </c>
      <c r="AI408" t="str">
        <f>IF(AE408="","",IF(AE408="[FÓRMULA MANUAL]","",IFERROR(SUMPRODUCT((nNIA=AE408)*(nCUENTA=1)*(COUNTIF(CONFIG_ASIGNATURAS!$B$7:$B$27,nASIG)&gt;0)*(nNOTA))/SUMPRODUCT((nNIA=AE408)*(nCUENTA=1)*(COUNTIF(CONFIG_ASIGNATURAS!$B$7:$B$27,nASIG)&gt;0)*1),"")))</f>
        <v/>
      </c>
    </row>
    <row r="409" spans="2:35" x14ac:dyDescent="0.2">
      <c r="B409" t="str">
        <f>IF(A409="","",IF(A409="[FÓRMULA MANUAL]","",IFERROR(AVERAGEIFS(nNOTA,nNIA,A409,nCUENTA,1,nASIG,"Lenguaje Musical"),"")))</f>
        <v/>
      </c>
      <c r="C409" t="str">
        <f>IF(A409="","",IF(A409="[FÓRMULA MANUAL]","",IFERROR(AVERAGEIFS(nNOTA,nNIA,A409,nCUENTA,1,nASIG,"Orquesta/Banda/Conjunto"),"")))</f>
        <v/>
      </c>
      <c r="D409" t="str">
        <f>IF(A409="","",IF(A409="[FÓRMULA MANUAL]","",IFERROR(AVERAGEIFS(nNOTA,nNIA,A409,nCUENTA,1,nASIG,"Conjunto"),"")))</f>
        <v/>
      </c>
      <c r="E409" t="str">
        <f>IF(A409="","",IF(A409="[FÓRMULA MANUAL]","",IFERROR(SUMPRODUCT((nNIA=A409)*(nCUENTA=1)*(COUNTIF(CONFIG_ASIGNATURAS!$B$7:$B$27,nASIG)&gt;0)*(nNOTA))/SUMPRODUCT((nNIA=A409)*(nCUENTA=1)*(COUNTIF(CONFIG_ASIGNATURAS!$B$7:$B$27,nASIG)&gt;0)*1),"")))</f>
        <v/>
      </c>
      <c r="H409" t="str">
        <f>IF(G409="","",IF(G409="[FÓRMULA MANUAL]","",IFERROR(AVERAGEIFS(nNOTA,nNIA,G409,nCUENTA,1,nASIG,"Lenguaje Musical"),"")))</f>
        <v/>
      </c>
      <c r="I409" t="str">
        <f>IF(G409="","",IF(G409="[FÓRMULA MANUAL]","",IFERROR(AVERAGEIFS(nNOTA,nNIA,G409,nCUENTA,1,nASIG,"Orquesta/Banda/Conjunto"),"")))</f>
        <v/>
      </c>
      <c r="J409" t="str">
        <f>IF(G409="","",IF(G409="[FÓRMULA MANUAL]","",IFERROR(AVERAGEIFS(nNOTA,nNIA,G409,nCUENTA,1,nASIG,"Conjunto"),"")))</f>
        <v/>
      </c>
      <c r="K409" t="str">
        <f>IF(G409="","",IF(G409="[FÓRMULA MANUAL]","",IFERROR(SUMPRODUCT((nNIA=G409)*(nCUENTA=1)*(COUNTIF(CONFIG_ASIGNATURAS!$B$7:$B$27,nASIG)&gt;0)*(nNOTA))/SUMPRODUCT((nNIA=G409)*(nCUENTA=1)*(COUNTIF(CONFIG_ASIGNATURAS!$B$7:$B$27,nASIG)&gt;0)*1),"")))</f>
        <v/>
      </c>
      <c r="N409" t="str">
        <f>IF(M409="","",IF(M409="[FÓRMULA MANUAL]","",IFERROR(AVERAGEIFS(nNOTA,nNIA,M409,nCUENTA,1,nASIG,"Armonía"),"")))</f>
        <v/>
      </c>
      <c r="O409" t="str">
        <f>IF(M409="","",IF(M409="[FÓRMULA MANUAL]","",IFERROR(AVERAGEIFS(nNOTA,nNIA,M409,nCUENTA,1,nASIG,"Orquesta/Banda/Conjunto"),"")))</f>
        <v/>
      </c>
      <c r="P409" t="str">
        <f>IF(M409="","",IF(M409="[FÓRMULA MANUAL]","",IFERROR(AVERAGEIFS(nNOTA,nNIA,M409,nCUENTA,1,nASIG,"Música de Cámara"),"")))</f>
        <v/>
      </c>
      <c r="Q409" t="str">
        <f>IF(M409="","",IF(M409="[FÓRMULA MANUAL]","",IFERROR(SUMPRODUCT((nNIA=M409)*(nCUENTA=1)*(COUNTIF(CONFIG_ASIGNATURAS!$B$7:$B$27,nASIG)&gt;0)*(nNOTA))/SUMPRODUCT((nNIA=M409)*(nCUENTA=1)*(COUNTIF(CONFIG_ASIGNATURAS!$B$7:$B$27,nASIG)&gt;0)*1),"")))</f>
        <v/>
      </c>
      <c r="T409" t="str">
        <f>IF(S409="","",IF(S409="[FÓRMULA MANUAL]","",IFERROR(AVERAGEIFS(nNOTA,nNIA,S409,nCUENTA,1,nASIG,"Armonía"),"")))</f>
        <v/>
      </c>
      <c r="U409" t="str">
        <f>IF(S409="","",IF(S409="[FÓRMULA MANUAL]","",IFERROR(AVERAGEIFS(nNOTA,nNIA,S409,nCUENTA,1,nASIG,"Orquesta/Banda/Conjunto"),"")))</f>
        <v/>
      </c>
      <c r="V409" t="str">
        <f>IF(S409="","",IF(S409="[FÓRMULA MANUAL]","",IFERROR(AVERAGEIFS(nNOTA,nNIA,S409,nCUENTA,1,nASIG,"Música de Cámara"),"")))</f>
        <v/>
      </c>
      <c r="W409" t="str">
        <f>IF(S409="","",IF(S409="[FÓRMULA MANUAL]","",IFERROR(SUMPRODUCT((nNIA=S409)*(nCUENTA=1)*(COUNTIF(CONFIG_ASIGNATURAS!$B$7:$B$27,nASIG)&gt;0)*(nNOTA))/SUMPRODUCT((nNIA=S409)*(nCUENTA=1)*(COUNTIF(CONFIG_ASIGNATURAS!$B$7:$B$27,nASIG)&gt;0)*1),"")))</f>
        <v/>
      </c>
      <c r="Z409" t="str">
        <f>IF(Y409="","",IF(Y409="[FÓRMULA MANUAL]","",IFERROR(AVERAGEIFS(nNOTA,nNIA,Y409,nCUENTA,1,nASIG,"Análisis"),"")))</f>
        <v/>
      </c>
      <c r="AA409" t="str">
        <f>IF(Y409="","",IF(Y409="[FÓRMULA MANUAL]","",IFERROR(AVERAGEIFS(nNOTA,nNIA,Y409,nCUENTA,1,nASIG,"Orquesta/Banda/Conjunto"),"")))</f>
        <v/>
      </c>
      <c r="AB409" t="str">
        <f>IF(Y409="","",IF(Y409="[FÓRMULA MANUAL]","",IFERROR(AVERAGEIFS(nNOTA,nNIA,Y409,nCUENTA,1,nASIG,"Música de Cámara"),"")))</f>
        <v/>
      </c>
      <c r="AC409" t="str">
        <f>IF(Y409="","",IF(Y409="[FÓRMULA MANUAL]","",IFERROR(SUMPRODUCT((nNIA=Y409)*(nCUENTA=1)*(COUNTIF(CONFIG_ASIGNATURAS!$B$7:$B$27,nASIG)&gt;0)*(nNOTA))/SUMPRODUCT((nNIA=Y409)*(nCUENTA=1)*(COUNTIF(CONFIG_ASIGNATURAS!$B$7:$B$27,nASIG)&gt;0)*1),"")))</f>
        <v/>
      </c>
      <c r="AF409" t="str">
        <f>IF(AE409="","",IF(AE409="[FÓRMULA MANUAL]","",IFERROR(AVERAGEIFS(nNOTA,nNIA,AE409,nCUENTA,1,nASIG,"Análisis"),"")))</f>
        <v/>
      </c>
      <c r="AG409" t="str">
        <f>IF(AE409="","",IF(AE409="[FÓRMULA MANUAL]","",IFERROR(AVERAGEIFS(nNOTA,nNIA,AE409,nCUENTA,1,nASIG,"Orquesta/Banda/Conjunto"),"")))</f>
        <v/>
      </c>
      <c r="AH409" t="str">
        <f>IF(AE409="","",IF(AE409="[FÓRMULA MANUAL]","",IFERROR(AVERAGEIFS(nNOTA,nNIA,AE409,nCUENTA,1,nASIG,"Música de Cámara"),"")))</f>
        <v/>
      </c>
      <c r="AI409" t="str">
        <f>IF(AE409="","",IF(AE409="[FÓRMULA MANUAL]","",IFERROR(SUMPRODUCT((nNIA=AE409)*(nCUENTA=1)*(COUNTIF(CONFIG_ASIGNATURAS!$B$7:$B$27,nASIG)&gt;0)*(nNOTA))/SUMPRODUCT((nNIA=AE409)*(nCUENTA=1)*(COUNTIF(CONFIG_ASIGNATURAS!$B$7:$B$27,nASIG)&gt;0)*1),"")))</f>
        <v/>
      </c>
    </row>
    <row r="410" spans="2:35" x14ac:dyDescent="0.2">
      <c r="B410" t="str">
        <f>IF(A410="","",IF(A410="[FÓRMULA MANUAL]","",IFERROR(AVERAGEIFS(nNOTA,nNIA,A410,nCUENTA,1,nASIG,"Lenguaje Musical"),"")))</f>
        <v/>
      </c>
      <c r="C410" t="str">
        <f>IF(A410="","",IF(A410="[FÓRMULA MANUAL]","",IFERROR(AVERAGEIFS(nNOTA,nNIA,A410,nCUENTA,1,nASIG,"Orquesta/Banda/Conjunto"),"")))</f>
        <v/>
      </c>
      <c r="D410" t="str">
        <f>IF(A410="","",IF(A410="[FÓRMULA MANUAL]","",IFERROR(AVERAGEIFS(nNOTA,nNIA,A410,nCUENTA,1,nASIG,"Conjunto"),"")))</f>
        <v/>
      </c>
      <c r="E410" t="str">
        <f>IF(A410="","",IF(A410="[FÓRMULA MANUAL]","",IFERROR(SUMPRODUCT((nNIA=A410)*(nCUENTA=1)*(COUNTIF(CONFIG_ASIGNATURAS!$B$7:$B$27,nASIG)&gt;0)*(nNOTA))/SUMPRODUCT((nNIA=A410)*(nCUENTA=1)*(COUNTIF(CONFIG_ASIGNATURAS!$B$7:$B$27,nASIG)&gt;0)*1),"")))</f>
        <v/>
      </c>
      <c r="H410" t="str">
        <f>IF(G410="","",IF(G410="[FÓRMULA MANUAL]","",IFERROR(AVERAGEIFS(nNOTA,nNIA,G410,nCUENTA,1,nASIG,"Lenguaje Musical"),"")))</f>
        <v/>
      </c>
      <c r="I410" t="str">
        <f>IF(G410="","",IF(G410="[FÓRMULA MANUAL]","",IFERROR(AVERAGEIFS(nNOTA,nNIA,G410,nCUENTA,1,nASIG,"Orquesta/Banda/Conjunto"),"")))</f>
        <v/>
      </c>
      <c r="J410" t="str">
        <f>IF(G410="","",IF(G410="[FÓRMULA MANUAL]","",IFERROR(AVERAGEIFS(nNOTA,nNIA,G410,nCUENTA,1,nASIG,"Conjunto"),"")))</f>
        <v/>
      </c>
      <c r="K410" t="str">
        <f>IF(G410="","",IF(G410="[FÓRMULA MANUAL]","",IFERROR(SUMPRODUCT((nNIA=G410)*(nCUENTA=1)*(COUNTIF(CONFIG_ASIGNATURAS!$B$7:$B$27,nASIG)&gt;0)*(nNOTA))/SUMPRODUCT((nNIA=G410)*(nCUENTA=1)*(COUNTIF(CONFIG_ASIGNATURAS!$B$7:$B$27,nASIG)&gt;0)*1),"")))</f>
        <v/>
      </c>
      <c r="N410" t="str">
        <f>IF(M410="","",IF(M410="[FÓRMULA MANUAL]","",IFERROR(AVERAGEIFS(nNOTA,nNIA,M410,nCUENTA,1,nASIG,"Armonía"),"")))</f>
        <v/>
      </c>
      <c r="O410" t="str">
        <f>IF(M410="","",IF(M410="[FÓRMULA MANUAL]","",IFERROR(AVERAGEIFS(nNOTA,nNIA,M410,nCUENTA,1,nASIG,"Orquesta/Banda/Conjunto"),"")))</f>
        <v/>
      </c>
      <c r="P410" t="str">
        <f>IF(M410="","",IF(M410="[FÓRMULA MANUAL]","",IFERROR(AVERAGEIFS(nNOTA,nNIA,M410,nCUENTA,1,nASIG,"Música de Cámara"),"")))</f>
        <v/>
      </c>
      <c r="Q410" t="str">
        <f>IF(M410="","",IF(M410="[FÓRMULA MANUAL]","",IFERROR(SUMPRODUCT((nNIA=M410)*(nCUENTA=1)*(COUNTIF(CONFIG_ASIGNATURAS!$B$7:$B$27,nASIG)&gt;0)*(nNOTA))/SUMPRODUCT((nNIA=M410)*(nCUENTA=1)*(COUNTIF(CONFIG_ASIGNATURAS!$B$7:$B$27,nASIG)&gt;0)*1),"")))</f>
        <v/>
      </c>
      <c r="T410" t="str">
        <f>IF(S410="","",IF(S410="[FÓRMULA MANUAL]","",IFERROR(AVERAGEIFS(nNOTA,nNIA,S410,nCUENTA,1,nASIG,"Armonía"),"")))</f>
        <v/>
      </c>
      <c r="U410" t="str">
        <f>IF(S410="","",IF(S410="[FÓRMULA MANUAL]","",IFERROR(AVERAGEIFS(nNOTA,nNIA,S410,nCUENTA,1,nASIG,"Orquesta/Banda/Conjunto"),"")))</f>
        <v/>
      </c>
      <c r="V410" t="str">
        <f>IF(S410="","",IF(S410="[FÓRMULA MANUAL]","",IFERROR(AVERAGEIFS(nNOTA,nNIA,S410,nCUENTA,1,nASIG,"Música de Cámara"),"")))</f>
        <v/>
      </c>
      <c r="W410" t="str">
        <f>IF(S410="","",IF(S410="[FÓRMULA MANUAL]","",IFERROR(SUMPRODUCT((nNIA=S410)*(nCUENTA=1)*(COUNTIF(CONFIG_ASIGNATURAS!$B$7:$B$27,nASIG)&gt;0)*(nNOTA))/SUMPRODUCT((nNIA=S410)*(nCUENTA=1)*(COUNTIF(CONFIG_ASIGNATURAS!$B$7:$B$27,nASIG)&gt;0)*1),"")))</f>
        <v/>
      </c>
      <c r="Z410" t="str">
        <f>IF(Y410="","",IF(Y410="[FÓRMULA MANUAL]","",IFERROR(AVERAGEIFS(nNOTA,nNIA,Y410,nCUENTA,1,nASIG,"Análisis"),"")))</f>
        <v/>
      </c>
      <c r="AA410" t="str">
        <f>IF(Y410="","",IF(Y410="[FÓRMULA MANUAL]","",IFERROR(AVERAGEIFS(nNOTA,nNIA,Y410,nCUENTA,1,nASIG,"Orquesta/Banda/Conjunto"),"")))</f>
        <v/>
      </c>
      <c r="AB410" t="str">
        <f>IF(Y410="","",IF(Y410="[FÓRMULA MANUAL]","",IFERROR(AVERAGEIFS(nNOTA,nNIA,Y410,nCUENTA,1,nASIG,"Música de Cámara"),"")))</f>
        <v/>
      </c>
      <c r="AC410" t="str">
        <f>IF(Y410="","",IF(Y410="[FÓRMULA MANUAL]","",IFERROR(SUMPRODUCT((nNIA=Y410)*(nCUENTA=1)*(COUNTIF(CONFIG_ASIGNATURAS!$B$7:$B$27,nASIG)&gt;0)*(nNOTA))/SUMPRODUCT((nNIA=Y410)*(nCUENTA=1)*(COUNTIF(CONFIG_ASIGNATURAS!$B$7:$B$27,nASIG)&gt;0)*1),"")))</f>
        <v/>
      </c>
      <c r="AF410" t="str">
        <f>IF(AE410="","",IF(AE410="[FÓRMULA MANUAL]","",IFERROR(AVERAGEIFS(nNOTA,nNIA,AE410,nCUENTA,1,nASIG,"Análisis"),"")))</f>
        <v/>
      </c>
      <c r="AG410" t="str">
        <f>IF(AE410="","",IF(AE410="[FÓRMULA MANUAL]","",IFERROR(AVERAGEIFS(nNOTA,nNIA,AE410,nCUENTA,1,nASIG,"Orquesta/Banda/Conjunto"),"")))</f>
        <v/>
      </c>
      <c r="AH410" t="str">
        <f>IF(AE410="","",IF(AE410="[FÓRMULA MANUAL]","",IFERROR(AVERAGEIFS(nNOTA,nNIA,AE410,nCUENTA,1,nASIG,"Música de Cámara"),"")))</f>
        <v/>
      </c>
      <c r="AI410" t="str">
        <f>IF(AE410="","",IF(AE410="[FÓRMULA MANUAL]","",IFERROR(SUMPRODUCT((nNIA=AE410)*(nCUENTA=1)*(COUNTIF(CONFIG_ASIGNATURAS!$B$7:$B$27,nASIG)&gt;0)*(nNOTA))/SUMPRODUCT((nNIA=AE410)*(nCUENTA=1)*(COUNTIF(CONFIG_ASIGNATURAS!$B$7:$B$27,nASIG)&gt;0)*1),"")))</f>
        <v/>
      </c>
    </row>
    <row r="411" spans="2:35" x14ac:dyDescent="0.2">
      <c r="B411" t="str">
        <f>IF(A411="","",IF(A411="[FÓRMULA MANUAL]","",IFERROR(AVERAGEIFS(nNOTA,nNIA,A411,nCUENTA,1,nASIG,"Lenguaje Musical"),"")))</f>
        <v/>
      </c>
      <c r="C411" t="str">
        <f>IF(A411="","",IF(A411="[FÓRMULA MANUAL]","",IFERROR(AVERAGEIFS(nNOTA,nNIA,A411,nCUENTA,1,nASIG,"Orquesta/Banda/Conjunto"),"")))</f>
        <v/>
      </c>
      <c r="D411" t="str">
        <f>IF(A411="","",IF(A411="[FÓRMULA MANUAL]","",IFERROR(AVERAGEIFS(nNOTA,nNIA,A411,nCUENTA,1,nASIG,"Conjunto"),"")))</f>
        <v/>
      </c>
      <c r="E411" t="str">
        <f>IF(A411="","",IF(A411="[FÓRMULA MANUAL]","",IFERROR(SUMPRODUCT((nNIA=A411)*(nCUENTA=1)*(COUNTIF(CONFIG_ASIGNATURAS!$B$7:$B$27,nASIG)&gt;0)*(nNOTA))/SUMPRODUCT((nNIA=A411)*(nCUENTA=1)*(COUNTIF(CONFIG_ASIGNATURAS!$B$7:$B$27,nASIG)&gt;0)*1),"")))</f>
        <v/>
      </c>
      <c r="H411" t="str">
        <f>IF(G411="","",IF(G411="[FÓRMULA MANUAL]","",IFERROR(AVERAGEIFS(nNOTA,nNIA,G411,nCUENTA,1,nASIG,"Lenguaje Musical"),"")))</f>
        <v/>
      </c>
      <c r="I411" t="str">
        <f>IF(G411="","",IF(G411="[FÓRMULA MANUAL]","",IFERROR(AVERAGEIFS(nNOTA,nNIA,G411,nCUENTA,1,nASIG,"Orquesta/Banda/Conjunto"),"")))</f>
        <v/>
      </c>
      <c r="J411" t="str">
        <f>IF(G411="","",IF(G411="[FÓRMULA MANUAL]","",IFERROR(AVERAGEIFS(nNOTA,nNIA,G411,nCUENTA,1,nASIG,"Conjunto"),"")))</f>
        <v/>
      </c>
      <c r="K411" t="str">
        <f>IF(G411="","",IF(G411="[FÓRMULA MANUAL]","",IFERROR(SUMPRODUCT((nNIA=G411)*(nCUENTA=1)*(COUNTIF(CONFIG_ASIGNATURAS!$B$7:$B$27,nASIG)&gt;0)*(nNOTA))/SUMPRODUCT((nNIA=G411)*(nCUENTA=1)*(COUNTIF(CONFIG_ASIGNATURAS!$B$7:$B$27,nASIG)&gt;0)*1),"")))</f>
        <v/>
      </c>
      <c r="N411" t="str">
        <f>IF(M411="","",IF(M411="[FÓRMULA MANUAL]","",IFERROR(AVERAGEIFS(nNOTA,nNIA,M411,nCUENTA,1,nASIG,"Armonía"),"")))</f>
        <v/>
      </c>
      <c r="O411" t="str">
        <f>IF(M411="","",IF(M411="[FÓRMULA MANUAL]","",IFERROR(AVERAGEIFS(nNOTA,nNIA,M411,nCUENTA,1,nASIG,"Orquesta/Banda/Conjunto"),"")))</f>
        <v/>
      </c>
      <c r="P411" t="str">
        <f>IF(M411="","",IF(M411="[FÓRMULA MANUAL]","",IFERROR(AVERAGEIFS(nNOTA,nNIA,M411,nCUENTA,1,nASIG,"Música de Cámara"),"")))</f>
        <v/>
      </c>
      <c r="Q411" t="str">
        <f>IF(M411="","",IF(M411="[FÓRMULA MANUAL]","",IFERROR(SUMPRODUCT((nNIA=M411)*(nCUENTA=1)*(COUNTIF(CONFIG_ASIGNATURAS!$B$7:$B$27,nASIG)&gt;0)*(nNOTA))/SUMPRODUCT((nNIA=M411)*(nCUENTA=1)*(COUNTIF(CONFIG_ASIGNATURAS!$B$7:$B$27,nASIG)&gt;0)*1),"")))</f>
        <v/>
      </c>
      <c r="T411" t="str">
        <f>IF(S411="","",IF(S411="[FÓRMULA MANUAL]","",IFERROR(AVERAGEIFS(nNOTA,nNIA,S411,nCUENTA,1,nASIG,"Armonía"),"")))</f>
        <v/>
      </c>
      <c r="U411" t="str">
        <f>IF(S411="","",IF(S411="[FÓRMULA MANUAL]","",IFERROR(AVERAGEIFS(nNOTA,nNIA,S411,nCUENTA,1,nASIG,"Orquesta/Banda/Conjunto"),"")))</f>
        <v/>
      </c>
      <c r="V411" t="str">
        <f>IF(S411="","",IF(S411="[FÓRMULA MANUAL]","",IFERROR(AVERAGEIFS(nNOTA,nNIA,S411,nCUENTA,1,nASIG,"Música de Cámara"),"")))</f>
        <v/>
      </c>
      <c r="W411" t="str">
        <f>IF(S411="","",IF(S411="[FÓRMULA MANUAL]","",IFERROR(SUMPRODUCT((nNIA=S411)*(nCUENTA=1)*(COUNTIF(CONFIG_ASIGNATURAS!$B$7:$B$27,nASIG)&gt;0)*(nNOTA))/SUMPRODUCT((nNIA=S411)*(nCUENTA=1)*(COUNTIF(CONFIG_ASIGNATURAS!$B$7:$B$27,nASIG)&gt;0)*1),"")))</f>
        <v/>
      </c>
      <c r="Z411" t="str">
        <f>IF(Y411="","",IF(Y411="[FÓRMULA MANUAL]","",IFERROR(AVERAGEIFS(nNOTA,nNIA,Y411,nCUENTA,1,nASIG,"Análisis"),"")))</f>
        <v/>
      </c>
      <c r="AA411" t="str">
        <f>IF(Y411="","",IF(Y411="[FÓRMULA MANUAL]","",IFERROR(AVERAGEIFS(nNOTA,nNIA,Y411,nCUENTA,1,nASIG,"Orquesta/Banda/Conjunto"),"")))</f>
        <v/>
      </c>
      <c r="AB411" t="str">
        <f>IF(Y411="","",IF(Y411="[FÓRMULA MANUAL]","",IFERROR(AVERAGEIFS(nNOTA,nNIA,Y411,nCUENTA,1,nASIG,"Música de Cámara"),"")))</f>
        <v/>
      </c>
      <c r="AC411" t="str">
        <f>IF(Y411="","",IF(Y411="[FÓRMULA MANUAL]","",IFERROR(SUMPRODUCT((nNIA=Y411)*(nCUENTA=1)*(COUNTIF(CONFIG_ASIGNATURAS!$B$7:$B$27,nASIG)&gt;0)*(nNOTA))/SUMPRODUCT((nNIA=Y411)*(nCUENTA=1)*(COUNTIF(CONFIG_ASIGNATURAS!$B$7:$B$27,nASIG)&gt;0)*1),"")))</f>
        <v/>
      </c>
      <c r="AF411" t="str">
        <f>IF(AE411="","",IF(AE411="[FÓRMULA MANUAL]","",IFERROR(AVERAGEIFS(nNOTA,nNIA,AE411,nCUENTA,1,nASIG,"Análisis"),"")))</f>
        <v/>
      </c>
      <c r="AG411" t="str">
        <f>IF(AE411="","",IF(AE411="[FÓRMULA MANUAL]","",IFERROR(AVERAGEIFS(nNOTA,nNIA,AE411,nCUENTA,1,nASIG,"Orquesta/Banda/Conjunto"),"")))</f>
        <v/>
      </c>
      <c r="AH411" t="str">
        <f>IF(AE411="","",IF(AE411="[FÓRMULA MANUAL]","",IFERROR(AVERAGEIFS(nNOTA,nNIA,AE411,nCUENTA,1,nASIG,"Música de Cámara"),"")))</f>
        <v/>
      </c>
      <c r="AI411" t="str">
        <f>IF(AE411="","",IF(AE411="[FÓRMULA MANUAL]","",IFERROR(SUMPRODUCT((nNIA=AE411)*(nCUENTA=1)*(COUNTIF(CONFIG_ASIGNATURAS!$B$7:$B$27,nASIG)&gt;0)*(nNOTA))/SUMPRODUCT((nNIA=AE411)*(nCUENTA=1)*(COUNTIF(CONFIG_ASIGNATURAS!$B$7:$B$27,nASIG)&gt;0)*1),"")))</f>
        <v/>
      </c>
    </row>
    <row r="412" spans="2:35" x14ac:dyDescent="0.2">
      <c r="B412" t="str">
        <f>IF(A412="","",IF(A412="[FÓRMULA MANUAL]","",IFERROR(AVERAGEIFS(nNOTA,nNIA,A412,nCUENTA,1,nASIG,"Lenguaje Musical"),"")))</f>
        <v/>
      </c>
      <c r="C412" t="str">
        <f>IF(A412="","",IF(A412="[FÓRMULA MANUAL]","",IFERROR(AVERAGEIFS(nNOTA,nNIA,A412,nCUENTA,1,nASIG,"Orquesta/Banda/Conjunto"),"")))</f>
        <v/>
      </c>
      <c r="D412" t="str">
        <f>IF(A412="","",IF(A412="[FÓRMULA MANUAL]","",IFERROR(AVERAGEIFS(nNOTA,nNIA,A412,nCUENTA,1,nASIG,"Conjunto"),"")))</f>
        <v/>
      </c>
      <c r="E412" t="str">
        <f>IF(A412="","",IF(A412="[FÓRMULA MANUAL]","",IFERROR(SUMPRODUCT((nNIA=A412)*(nCUENTA=1)*(COUNTIF(CONFIG_ASIGNATURAS!$B$7:$B$27,nASIG)&gt;0)*(nNOTA))/SUMPRODUCT((nNIA=A412)*(nCUENTA=1)*(COUNTIF(CONFIG_ASIGNATURAS!$B$7:$B$27,nASIG)&gt;0)*1),"")))</f>
        <v/>
      </c>
      <c r="H412" t="str">
        <f>IF(G412="","",IF(G412="[FÓRMULA MANUAL]","",IFERROR(AVERAGEIFS(nNOTA,nNIA,G412,nCUENTA,1,nASIG,"Lenguaje Musical"),"")))</f>
        <v/>
      </c>
      <c r="I412" t="str">
        <f>IF(G412="","",IF(G412="[FÓRMULA MANUAL]","",IFERROR(AVERAGEIFS(nNOTA,nNIA,G412,nCUENTA,1,nASIG,"Orquesta/Banda/Conjunto"),"")))</f>
        <v/>
      </c>
      <c r="J412" t="str">
        <f>IF(G412="","",IF(G412="[FÓRMULA MANUAL]","",IFERROR(AVERAGEIFS(nNOTA,nNIA,G412,nCUENTA,1,nASIG,"Conjunto"),"")))</f>
        <v/>
      </c>
      <c r="K412" t="str">
        <f>IF(G412="","",IF(G412="[FÓRMULA MANUAL]","",IFERROR(SUMPRODUCT((nNIA=G412)*(nCUENTA=1)*(COUNTIF(CONFIG_ASIGNATURAS!$B$7:$B$27,nASIG)&gt;0)*(nNOTA))/SUMPRODUCT((nNIA=G412)*(nCUENTA=1)*(COUNTIF(CONFIG_ASIGNATURAS!$B$7:$B$27,nASIG)&gt;0)*1),"")))</f>
        <v/>
      </c>
      <c r="N412" t="str">
        <f>IF(M412="","",IF(M412="[FÓRMULA MANUAL]","",IFERROR(AVERAGEIFS(nNOTA,nNIA,M412,nCUENTA,1,nASIG,"Armonía"),"")))</f>
        <v/>
      </c>
      <c r="O412" t="str">
        <f>IF(M412="","",IF(M412="[FÓRMULA MANUAL]","",IFERROR(AVERAGEIFS(nNOTA,nNIA,M412,nCUENTA,1,nASIG,"Orquesta/Banda/Conjunto"),"")))</f>
        <v/>
      </c>
      <c r="P412" t="str">
        <f>IF(M412="","",IF(M412="[FÓRMULA MANUAL]","",IFERROR(AVERAGEIFS(nNOTA,nNIA,M412,nCUENTA,1,nASIG,"Música de Cámara"),"")))</f>
        <v/>
      </c>
      <c r="Q412" t="str">
        <f>IF(M412="","",IF(M412="[FÓRMULA MANUAL]","",IFERROR(SUMPRODUCT((nNIA=M412)*(nCUENTA=1)*(COUNTIF(CONFIG_ASIGNATURAS!$B$7:$B$27,nASIG)&gt;0)*(nNOTA))/SUMPRODUCT((nNIA=M412)*(nCUENTA=1)*(COUNTIF(CONFIG_ASIGNATURAS!$B$7:$B$27,nASIG)&gt;0)*1),"")))</f>
        <v/>
      </c>
      <c r="T412" t="str">
        <f>IF(S412="","",IF(S412="[FÓRMULA MANUAL]","",IFERROR(AVERAGEIFS(nNOTA,nNIA,S412,nCUENTA,1,nASIG,"Armonía"),"")))</f>
        <v/>
      </c>
      <c r="U412" t="str">
        <f>IF(S412="","",IF(S412="[FÓRMULA MANUAL]","",IFERROR(AVERAGEIFS(nNOTA,nNIA,S412,nCUENTA,1,nASIG,"Orquesta/Banda/Conjunto"),"")))</f>
        <v/>
      </c>
      <c r="V412" t="str">
        <f>IF(S412="","",IF(S412="[FÓRMULA MANUAL]","",IFERROR(AVERAGEIFS(nNOTA,nNIA,S412,nCUENTA,1,nASIG,"Música de Cámara"),"")))</f>
        <v/>
      </c>
      <c r="W412" t="str">
        <f>IF(S412="","",IF(S412="[FÓRMULA MANUAL]","",IFERROR(SUMPRODUCT((nNIA=S412)*(nCUENTA=1)*(COUNTIF(CONFIG_ASIGNATURAS!$B$7:$B$27,nASIG)&gt;0)*(nNOTA))/SUMPRODUCT((nNIA=S412)*(nCUENTA=1)*(COUNTIF(CONFIG_ASIGNATURAS!$B$7:$B$27,nASIG)&gt;0)*1),"")))</f>
        <v/>
      </c>
      <c r="Z412" t="str">
        <f>IF(Y412="","",IF(Y412="[FÓRMULA MANUAL]","",IFERROR(AVERAGEIFS(nNOTA,nNIA,Y412,nCUENTA,1,nASIG,"Análisis"),"")))</f>
        <v/>
      </c>
      <c r="AA412" t="str">
        <f>IF(Y412="","",IF(Y412="[FÓRMULA MANUAL]","",IFERROR(AVERAGEIFS(nNOTA,nNIA,Y412,nCUENTA,1,nASIG,"Orquesta/Banda/Conjunto"),"")))</f>
        <v/>
      </c>
      <c r="AB412" t="str">
        <f>IF(Y412="","",IF(Y412="[FÓRMULA MANUAL]","",IFERROR(AVERAGEIFS(nNOTA,nNIA,Y412,nCUENTA,1,nASIG,"Música de Cámara"),"")))</f>
        <v/>
      </c>
      <c r="AC412" t="str">
        <f>IF(Y412="","",IF(Y412="[FÓRMULA MANUAL]","",IFERROR(SUMPRODUCT((nNIA=Y412)*(nCUENTA=1)*(COUNTIF(CONFIG_ASIGNATURAS!$B$7:$B$27,nASIG)&gt;0)*(nNOTA))/SUMPRODUCT((nNIA=Y412)*(nCUENTA=1)*(COUNTIF(CONFIG_ASIGNATURAS!$B$7:$B$27,nASIG)&gt;0)*1),"")))</f>
        <v/>
      </c>
      <c r="AF412" t="str">
        <f>IF(AE412="","",IF(AE412="[FÓRMULA MANUAL]","",IFERROR(AVERAGEIFS(nNOTA,nNIA,AE412,nCUENTA,1,nASIG,"Análisis"),"")))</f>
        <v/>
      </c>
      <c r="AG412" t="str">
        <f>IF(AE412="","",IF(AE412="[FÓRMULA MANUAL]","",IFERROR(AVERAGEIFS(nNOTA,nNIA,AE412,nCUENTA,1,nASIG,"Orquesta/Banda/Conjunto"),"")))</f>
        <v/>
      </c>
      <c r="AH412" t="str">
        <f>IF(AE412="","",IF(AE412="[FÓRMULA MANUAL]","",IFERROR(AVERAGEIFS(nNOTA,nNIA,AE412,nCUENTA,1,nASIG,"Música de Cámara"),"")))</f>
        <v/>
      </c>
      <c r="AI412" t="str">
        <f>IF(AE412="","",IF(AE412="[FÓRMULA MANUAL]","",IFERROR(SUMPRODUCT((nNIA=AE412)*(nCUENTA=1)*(COUNTIF(CONFIG_ASIGNATURAS!$B$7:$B$27,nASIG)&gt;0)*(nNOTA))/SUMPRODUCT((nNIA=AE412)*(nCUENTA=1)*(COUNTIF(CONFIG_ASIGNATURAS!$B$7:$B$27,nASIG)&gt;0)*1),"")))</f>
        <v/>
      </c>
    </row>
    <row r="413" spans="2:35" x14ac:dyDescent="0.2">
      <c r="B413" t="str">
        <f>IF(A413="","",IF(A413="[FÓRMULA MANUAL]","",IFERROR(AVERAGEIFS(nNOTA,nNIA,A413,nCUENTA,1,nASIG,"Lenguaje Musical"),"")))</f>
        <v/>
      </c>
      <c r="C413" t="str">
        <f>IF(A413="","",IF(A413="[FÓRMULA MANUAL]","",IFERROR(AVERAGEIFS(nNOTA,nNIA,A413,nCUENTA,1,nASIG,"Orquesta/Banda/Conjunto"),"")))</f>
        <v/>
      </c>
      <c r="D413" t="str">
        <f>IF(A413="","",IF(A413="[FÓRMULA MANUAL]","",IFERROR(AVERAGEIFS(nNOTA,nNIA,A413,nCUENTA,1,nASIG,"Conjunto"),"")))</f>
        <v/>
      </c>
      <c r="E413" t="str">
        <f>IF(A413="","",IF(A413="[FÓRMULA MANUAL]","",IFERROR(SUMPRODUCT((nNIA=A413)*(nCUENTA=1)*(COUNTIF(CONFIG_ASIGNATURAS!$B$7:$B$27,nASIG)&gt;0)*(nNOTA))/SUMPRODUCT((nNIA=A413)*(nCUENTA=1)*(COUNTIF(CONFIG_ASIGNATURAS!$B$7:$B$27,nASIG)&gt;0)*1),"")))</f>
        <v/>
      </c>
      <c r="H413" t="str">
        <f>IF(G413="","",IF(G413="[FÓRMULA MANUAL]","",IFERROR(AVERAGEIFS(nNOTA,nNIA,G413,nCUENTA,1,nASIG,"Lenguaje Musical"),"")))</f>
        <v/>
      </c>
      <c r="I413" t="str">
        <f>IF(G413="","",IF(G413="[FÓRMULA MANUAL]","",IFERROR(AVERAGEIFS(nNOTA,nNIA,G413,nCUENTA,1,nASIG,"Orquesta/Banda/Conjunto"),"")))</f>
        <v/>
      </c>
      <c r="J413" t="str">
        <f>IF(G413="","",IF(G413="[FÓRMULA MANUAL]","",IFERROR(AVERAGEIFS(nNOTA,nNIA,G413,nCUENTA,1,nASIG,"Conjunto"),"")))</f>
        <v/>
      </c>
      <c r="K413" t="str">
        <f>IF(G413="","",IF(G413="[FÓRMULA MANUAL]","",IFERROR(SUMPRODUCT((nNIA=G413)*(nCUENTA=1)*(COUNTIF(CONFIG_ASIGNATURAS!$B$7:$B$27,nASIG)&gt;0)*(nNOTA))/SUMPRODUCT((nNIA=G413)*(nCUENTA=1)*(COUNTIF(CONFIG_ASIGNATURAS!$B$7:$B$27,nASIG)&gt;0)*1),"")))</f>
        <v/>
      </c>
      <c r="N413" t="str">
        <f>IF(M413="","",IF(M413="[FÓRMULA MANUAL]","",IFERROR(AVERAGEIFS(nNOTA,nNIA,M413,nCUENTA,1,nASIG,"Armonía"),"")))</f>
        <v/>
      </c>
      <c r="O413" t="str">
        <f>IF(M413="","",IF(M413="[FÓRMULA MANUAL]","",IFERROR(AVERAGEIFS(nNOTA,nNIA,M413,nCUENTA,1,nASIG,"Orquesta/Banda/Conjunto"),"")))</f>
        <v/>
      </c>
      <c r="P413" t="str">
        <f>IF(M413="","",IF(M413="[FÓRMULA MANUAL]","",IFERROR(AVERAGEIFS(nNOTA,nNIA,M413,nCUENTA,1,nASIG,"Música de Cámara"),"")))</f>
        <v/>
      </c>
      <c r="Q413" t="str">
        <f>IF(M413="","",IF(M413="[FÓRMULA MANUAL]","",IFERROR(SUMPRODUCT((nNIA=M413)*(nCUENTA=1)*(COUNTIF(CONFIG_ASIGNATURAS!$B$7:$B$27,nASIG)&gt;0)*(nNOTA))/SUMPRODUCT((nNIA=M413)*(nCUENTA=1)*(COUNTIF(CONFIG_ASIGNATURAS!$B$7:$B$27,nASIG)&gt;0)*1),"")))</f>
        <v/>
      </c>
      <c r="T413" t="str">
        <f>IF(S413="","",IF(S413="[FÓRMULA MANUAL]","",IFERROR(AVERAGEIFS(nNOTA,nNIA,S413,nCUENTA,1,nASIG,"Armonía"),"")))</f>
        <v/>
      </c>
      <c r="U413" t="str">
        <f>IF(S413="","",IF(S413="[FÓRMULA MANUAL]","",IFERROR(AVERAGEIFS(nNOTA,nNIA,S413,nCUENTA,1,nASIG,"Orquesta/Banda/Conjunto"),"")))</f>
        <v/>
      </c>
      <c r="V413" t="str">
        <f>IF(S413="","",IF(S413="[FÓRMULA MANUAL]","",IFERROR(AVERAGEIFS(nNOTA,nNIA,S413,nCUENTA,1,nASIG,"Música de Cámara"),"")))</f>
        <v/>
      </c>
      <c r="W413" t="str">
        <f>IF(S413="","",IF(S413="[FÓRMULA MANUAL]","",IFERROR(SUMPRODUCT((nNIA=S413)*(nCUENTA=1)*(COUNTIF(CONFIG_ASIGNATURAS!$B$7:$B$27,nASIG)&gt;0)*(nNOTA))/SUMPRODUCT((nNIA=S413)*(nCUENTA=1)*(COUNTIF(CONFIG_ASIGNATURAS!$B$7:$B$27,nASIG)&gt;0)*1),"")))</f>
        <v/>
      </c>
      <c r="Z413" t="str">
        <f>IF(Y413="","",IF(Y413="[FÓRMULA MANUAL]","",IFERROR(AVERAGEIFS(nNOTA,nNIA,Y413,nCUENTA,1,nASIG,"Análisis"),"")))</f>
        <v/>
      </c>
      <c r="AA413" t="str">
        <f>IF(Y413="","",IF(Y413="[FÓRMULA MANUAL]","",IFERROR(AVERAGEIFS(nNOTA,nNIA,Y413,nCUENTA,1,nASIG,"Orquesta/Banda/Conjunto"),"")))</f>
        <v/>
      </c>
      <c r="AB413" t="str">
        <f>IF(Y413="","",IF(Y413="[FÓRMULA MANUAL]","",IFERROR(AVERAGEIFS(nNOTA,nNIA,Y413,nCUENTA,1,nASIG,"Música de Cámara"),"")))</f>
        <v/>
      </c>
      <c r="AC413" t="str">
        <f>IF(Y413="","",IF(Y413="[FÓRMULA MANUAL]","",IFERROR(SUMPRODUCT((nNIA=Y413)*(nCUENTA=1)*(COUNTIF(CONFIG_ASIGNATURAS!$B$7:$B$27,nASIG)&gt;0)*(nNOTA))/SUMPRODUCT((nNIA=Y413)*(nCUENTA=1)*(COUNTIF(CONFIG_ASIGNATURAS!$B$7:$B$27,nASIG)&gt;0)*1),"")))</f>
        <v/>
      </c>
      <c r="AF413" t="str">
        <f>IF(AE413="","",IF(AE413="[FÓRMULA MANUAL]","",IFERROR(AVERAGEIFS(nNOTA,nNIA,AE413,nCUENTA,1,nASIG,"Análisis"),"")))</f>
        <v/>
      </c>
      <c r="AG413" t="str">
        <f>IF(AE413="","",IF(AE413="[FÓRMULA MANUAL]","",IFERROR(AVERAGEIFS(nNOTA,nNIA,AE413,nCUENTA,1,nASIG,"Orquesta/Banda/Conjunto"),"")))</f>
        <v/>
      </c>
      <c r="AH413" t="str">
        <f>IF(AE413="","",IF(AE413="[FÓRMULA MANUAL]","",IFERROR(AVERAGEIFS(nNOTA,nNIA,AE413,nCUENTA,1,nASIG,"Música de Cámara"),"")))</f>
        <v/>
      </c>
      <c r="AI413" t="str">
        <f>IF(AE413="","",IF(AE413="[FÓRMULA MANUAL]","",IFERROR(SUMPRODUCT((nNIA=AE413)*(nCUENTA=1)*(COUNTIF(CONFIG_ASIGNATURAS!$B$7:$B$27,nASIG)&gt;0)*(nNOTA))/SUMPRODUCT((nNIA=AE413)*(nCUENTA=1)*(COUNTIF(CONFIG_ASIGNATURAS!$B$7:$B$27,nASIG)&gt;0)*1),"")))</f>
        <v/>
      </c>
    </row>
    <row r="414" spans="2:35" x14ac:dyDescent="0.2">
      <c r="B414" t="str">
        <f>IF(A414="","",IF(A414="[FÓRMULA MANUAL]","",IFERROR(AVERAGEIFS(nNOTA,nNIA,A414,nCUENTA,1,nASIG,"Lenguaje Musical"),"")))</f>
        <v/>
      </c>
      <c r="C414" t="str">
        <f>IF(A414="","",IF(A414="[FÓRMULA MANUAL]","",IFERROR(AVERAGEIFS(nNOTA,nNIA,A414,nCUENTA,1,nASIG,"Orquesta/Banda/Conjunto"),"")))</f>
        <v/>
      </c>
      <c r="D414" t="str">
        <f>IF(A414="","",IF(A414="[FÓRMULA MANUAL]","",IFERROR(AVERAGEIFS(nNOTA,nNIA,A414,nCUENTA,1,nASIG,"Conjunto"),"")))</f>
        <v/>
      </c>
      <c r="E414" t="str">
        <f>IF(A414="","",IF(A414="[FÓRMULA MANUAL]","",IFERROR(SUMPRODUCT((nNIA=A414)*(nCUENTA=1)*(COUNTIF(CONFIG_ASIGNATURAS!$B$7:$B$27,nASIG)&gt;0)*(nNOTA))/SUMPRODUCT((nNIA=A414)*(nCUENTA=1)*(COUNTIF(CONFIG_ASIGNATURAS!$B$7:$B$27,nASIG)&gt;0)*1),"")))</f>
        <v/>
      </c>
      <c r="H414" t="str">
        <f>IF(G414="","",IF(G414="[FÓRMULA MANUAL]","",IFERROR(AVERAGEIFS(nNOTA,nNIA,G414,nCUENTA,1,nASIG,"Lenguaje Musical"),"")))</f>
        <v/>
      </c>
      <c r="I414" t="str">
        <f>IF(G414="","",IF(G414="[FÓRMULA MANUAL]","",IFERROR(AVERAGEIFS(nNOTA,nNIA,G414,nCUENTA,1,nASIG,"Orquesta/Banda/Conjunto"),"")))</f>
        <v/>
      </c>
      <c r="J414" t="str">
        <f>IF(G414="","",IF(G414="[FÓRMULA MANUAL]","",IFERROR(AVERAGEIFS(nNOTA,nNIA,G414,nCUENTA,1,nASIG,"Conjunto"),"")))</f>
        <v/>
      </c>
      <c r="K414" t="str">
        <f>IF(G414="","",IF(G414="[FÓRMULA MANUAL]","",IFERROR(SUMPRODUCT((nNIA=G414)*(nCUENTA=1)*(COUNTIF(CONFIG_ASIGNATURAS!$B$7:$B$27,nASIG)&gt;0)*(nNOTA))/SUMPRODUCT((nNIA=G414)*(nCUENTA=1)*(COUNTIF(CONFIG_ASIGNATURAS!$B$7:$B$27,nASIG)&gt;0)*1),"")))</f>
        <v/>
      </c>
      <c r="N414" t="str">
        <f>IF(M414="","",IF(M414="[FÓRMULA MANUAL]","",IFERROR(AVERAGEIFS(nNOTA,nNIA,M414,nCUENTA,1,nASIG,"Armonía"),"")))</f>
        <v/>
      </c>
      <c r="O414" t="str">
        <f>IF(M414="","",IF(M414="[FÓRMULA MANUAL]","",IFERROR(AVERAGEIFS(nNOTA,nNIA,M414,nCUENTA,1,nASIG,"Orquesta/Banda/Conjunto"),"")))</f>
        <v/>
      </c>
      <c r="P414" t="str">
        <f>IF(M414="","",IF(M414="[FÓRMULA MANUAL]","",IFERROR(AVERAGEIFS(nNOTA,nNIA,M414,nCUENTA,1,nASIG,"Música de Cámara"),"")))</f>
        <v/>
      </c>
      <c r="Q414" t="str">
        <f>IF(M414="","",IF(M414="[FÓRMULA MANUAL]","",IFERROR(SUMPRODUCT((nNIA=M414)*(nCUENTA=1)*(COUNTIF(CONFIG_ASIGNATURAS!$B$7:$B$27,nASIG)&gt;0)*(nNOTA))/SUMPRODUCT((nNIA=M414)*(nCUENTA=1)*(COUNTIF(CONFIG_ASIGNATURAS!$B$7:$B$27,nASIG)&gt;0)*1),"")))</f>
        <v/>
      </c>
      <c r="T414" t="str">
        <f>IF(S414="","",IF(S414="[FÓRMULA MANUAL]","",IFERROR(AVERAGEIFS(nNOTA,nNIA,S414,nCUENTA,1,nASIG,"Armonía"),"")))</f>
        <v/>
      </c>
      <c r="U414" t="str">
        <f>IF(S414="","",IF(S414="[FÓRMULA MANUAL]","",IFERROR(AVERAGEIFS(nNOTA,nNIA,S414,nCUENTA,1,nASIG,"Orquesta/Banda/Conjunto"),"")))</f>
        <v/>
      </c>
      <c r="V414" t="str">
        <f>IF(S414="","",IF(S414="[FÓRMULA MANUAL]","",IFERROR(AVERAGEIFS(nNOTA,nNIA,S414,nCUENTA,1,nASIG,"Música de Cámara"),"")))</f>
        <v/>
      </c>
      <c r="W414" t="str">
        <f>IF(S414="","",IF(S414="[FÓRMULA MANUAL]","",IFERROR(SUMPRODUCT((nNIA=S414)*(nCUENTA=1)*(COUNTIF(CONFIG_ASIGNATURAS!$B$7:$B$27,nASIG)&gt;0)*(nNOTA))/SUMPRODUCT((nNIA=S414)*(nCUENTA=1)*(COUNTIF(CONFIG_ASIGNATURAS!$B$7:$B$27,nASIG)&gt;0)*1),"")))</f>
        <v/>
      </c>
      <c r="Z414" t="str">
        <f>IF(Y414="","",IF(Y414="[FÓRMULA MANUAL]","",IFERROR(AVERAGEIFS(nNOTA,nNIA,Y414,nCUENTA,1,nASIG,"Análisis"),"")))</f>
        <v/>
      </c>
      <c r="AA414" t="str">
        <f>IF(Y414="","",IF(Y414="[FÓRMULA MANUAL]","",IFERROR(AVERAGEIFS(nNOTA,nNIA,Y414,nCUENTA,1,nASIG,"Orquesta/Banda/Conjunto"),"")))</f>
        <v/>
      </c>
      <c r="AB414" t="str">
        <f>IF(Y414="","",IF(Y414="[FÓRMULA MANUAL]","",IFERROR(AVERAGEIFS(nNOTA,nNIA,Y414,nCUENTA,1,nASIG,"Música de Cámara"),"")))</f>
        <v/>
      </c>
      <c r="AC414" t="str">
        <f>IF(Y414="","",IF(Y414="[FÓRMULA MANUAL]","",IFERROR(SUMPRODUCT((nNIA=Y414)*(nCUENTA=1)*(COUNTIF(CONFIG_ASIGNATURAS!$B$7:$B$27,nASIG)&gt;0)*(nNOTA))/SUMPRODUCT((nNIA=Y414)*(nCUENTA=1)*(COUNTIF(CONFIG_ASIGNATURAS!$B$7:$B$27,nASIG)&gt;0)*1),"")))</f>
        <v/>
      </c>
      <c r="AF414" t="str">
        <f>IF(AE414="","",IF(AE414="[FÓRMULA MANUAL]","",IFERROR(AVERAGEIFS(nNOTA,nNIA,AE414,nCUENTA,1,nASIG,"Análisis"),"")))</f>
        <v/>
      </c>
      <c r="AG414" t="str">
        <f>IF(AE414="","",IF(AE414="[FÓRMULA MANUAL]","",IFERROR(AVERAGEIFS(nNOTA,nNIA,AE414,nCUENTA,1,nASIG,"Orquesta/Banda/Conjunto"),"")))</f>
        <v/>
      </c>
      <c r="AH414" t="str">
        <f>IF(AE414="","",IF(AE414="[FÓRMULA MANUAL]","",IFERROR(AVERAGEIFS(nNOTA,nNIA,AE414,nCUENTA,1,nASIG,"Música de Cámara"),"")))</f>
        <v/>
      </c>
      <c r="AI414" t="str">
        <f>IF(AE414="","",IF(AE414="[FÓRMULA MANUAL]","",IFERROR(SUMPRODUCT((nNIA=AE414)*(nCUENTA=1)*(COUNTIF(CONFIG_ASIGNATURAS!$B$7:$B$27,nASIG)&gt;0)*(nNOTA))/SUMPRODUCT((nNIA=AE414)*(nCUENTA=1)*(COUNTIF(CONFIG_ASIGNATURAS!$B$7:$B$27,nASIG)&gt;0)*1),"")))</f>
        <v/>
      </c>
    </row>
    <row r="415" spans="2:35" x14ac:dyDescent="0.2">
      <c r="B415" t="str">
        <f>IF(A415="","",IF(A415="[FÓRMULA MANUAL]","",IFERROR(AVERAGEIFS(nNOTA,nNIA,A415,nCUENTA,1,nASIG,"Lenguaje Musical"),"")))</f>
        <v/>
      </c>
      <c r="C415" t="str">
        <f>IF(A415="","",IF(A415="[FÓRMULA MANUAL]","",IFERROR(AVERAGEIFS(nNOTA,nNIA,A415,nCUENTA,1,nASIG,"Orquesta/Banda/Conjunto"),"")))</f>
        <v/>
      </c>
      <c r="D415" t="str">
        <f>IF(A415="","",IF(A415="[FÓRMULA MANUAL]","",IFERROR(AVERAGEIFS(nNOTA,nNIA,A415,nCUENTA,1,nASIG,"Conjunto"),"")))</f>
        <v/>
      </c>
      <c r="E415" t="str">
        <f>IF(A415="","",IF(A415="[FÓRMULA MANUAL]","",IFERROR(SUMPRODUCT((nNIA=A415)*(nCUENTA=1)*(COUNTIF(CONFIG_ASIGNATURAS!$B$7:$B$27,nASIG)&gt;0)*(nNOTA))/SUMPRODUCT((nNIA=A415)*(nCUENTA=1)*(COUNTIF(CONFIG_ASIGNATURAS!$B$7:$B$27,nASIG)&gt;0)*1),"")))</f>
        <v/>
      </c>
      <c r="H415" t="str">
        <f>IF(G415="","",IF(G415="[FÓRMULA MANUAL]","",IFERROR(AVERAGEIFS(nNOTA,nNIA,G415,nCUENTA,1,nASIG,"Lenguaje Musical"),"")))</f>
        <v/>
      </c>
      <c r="I415" t="str">
        <f>IF(G415="","",IF(G415="[FÓRMULA MANUAL]","",IFERROR(AVERAGEIFS(nNOTA,nNIA,G415,nCUENTA,1,nASIG,"Orquesta/Banda/Conjunto"),"")))</f>
        <v/>
      </c>
      <c r="J415" t="str">
        <f>IF(G415="","",IF(G415="[FÓRMULA MANUAL]","",IFERROR(AVERAGEIFS(nNOTA,nNIA,G415,nCUENTA,1,nASIG,"Conjunto"),"")))</f>
        <v/>
      </c>
      <c r="K415" t="str">
        <f>IF(G415="","",IF(G415="[FÓRMULA MANUAL]","",IFERROR(SUMPRODUCT((nNIA=G415)*(nCUENTA=1)*(COUNTIF(CONFIG_ASIGNATURAS!$B$7:$B$27,nASIG)&gt;0)*(nNOTA))/SUMPRODUCT((nNIA=G415)*(nCUENTA=1)*(COUNTIF(CONFIG_ASIGNATURAS!$B$7:$B$27,nASIG)&gt;0)*1),"")))</f>
        <v/>
      </c>
      <c r="N415" t="str">
        <f>IF(M415="","",IF(M415="[FÓRMULA MANUAL]","",IFERROR(AVERAGEIFS(nNOTA,nNIA,M415,nCUENTA,1,nASIG,"Armonía"),"")))</f>
        <v/>
      </c>
      <c r="O415" t="str">
        <f>IF(M415="","",IF(M415="[FÓRMULA MANUAL]","",IFERROR(AVERAGEIFS(nNOTA,nNIA,M415,nCUENTA,1,nASIG,"Orquesta/Banda/Conjunto"),"")))</f>
        <v/>
      </c>
      <c r="P415" t="str">
        <f>IF(M415="","",IF(M415="[FÓRMULA MANUAL]","",IFERROR(AVERAGEIFS(nNOTA,nNIA,M415,nCUENTA,1,nASIG,"Música de Cámara"),"")))</f>
        <v/>
      </c>
      <c r="Q415" t="str">
        <f>IF(M415="","",IF(M415="[FÓRMULA MANUAL]","",IFERROR(SUMPRODUCT((nNIA=M415)*(nCUENTA=1)*(COUNTIF(CONFIG_ASIGNATURAS!$B$7:$B$27,nASIG)&gt;0)*(nNOTA))/SUMPRODUCT((nNIA=M415)*(nCUENTA=1)*(COUNTIF(CONFIG_ASIGNATURAS!$B$7:$B$27,nASIG)&gt;0)*1),"")))</f>
        <v/>
      </c>
      <c r="T415" t="str">
        <f>IF(S415="","",IF(S415="[FÓRMULA MANUAL]","",IFERROR(AVERAGEIFS(nNOTA,nNIA,S415,nCUENTA,1,nASIG,"Armonía"),"")))</f>
        <v/>
      </c>
      <c r="U415" t="str">
        <f>IF(S415="","",IF(S415="[FÓRMULA MANUAL]","",IFERROR(AVERAGEIFS(nNOTA,nNIA,S415,nCUENTA,1,nASIG,"Orquesta/Banda/Conjunto"),"")))</f>
        <v/>
      </c>
      <c r="V415" t="str">
        <f>IF(S415="","",IF(S415="[FÓRMULA MANUAL]","",IFERROR(AVERAGEIFS(nNOTA,nNIA,S415,nCUENTA,1,nASIG,"Música de Cámara"),"")))</f>
        <v/>
      </c>
      <c r="W415" t="str">
        <f>IF(S415="","",IF(S415="[FÓRMULA MANUAL]","",IFERROR(SUMPRODUCT((nNIA=S415)*(nCUENTA=1)*(COUNTIF(CONFIG_ASIGNATURAS!$B$7:$B$27,nASIG)&gt;0)*(nNOTA))/SUMPRODUCT((nNIA=S415)*(nCUENTA=1)*(COUNTIF(CONFIG_ASIGNATURAS!$B$7:$B$27,nASIG)&gt;0)*1),"")))</f>
        <v/>
      </c>
      <c r="Z415" t="str">
        <f>IF(Y415="","",IF(Y415="[FÓRMULA MANUAL]","",IFERROR(AVERAGEIFS(nNOTA,nNIA,Y415,nCUENTA,1,nASIG,"Análisis"),"")))</f>
        <v/>
      </c>
      <c r="AA415" t="str">
        <f>IF(Y415="","",IF(Y415="[FÓRMULA MANUAL]","",IFERROR(AVERAGEIFS(nNOTA,nNIA,Y415,nCUENTA,1,nASIG,"Orquesta/Banda/Conjunto"),"")))</f>
        <v/>
      </c>
      <c r="AB415" t="str">
        <f>IF(Y415="","",IF(Y415="[FÓRMULA MANUAL]","",IFERROR(AVERAGEIFS(nNOTA,nNIA,Y415,nCUENTA,1,nASIG,"Música de Cámara"),"")))</f>
        <v/>
      </c>
      <c r="AC415" t="str">
        <f>IF(Y415="","",IF(Y415="[FÓRMULA MANUAL]","",IFERROR(SUMPRODUCT((nNIA=Y415)*(nCUENTA=1)*(COUNTIF(CONFIG_ASIGNATURAS!$B$7:$B$27,nASIG)&gt;0)*(nNOTA))/SUMPRODUCT((nNIA=Y415)*(nCUENTA=1)*(COUNTIF(CONFIG_ASIGNATURAS!$B$7:$B$27,nASIG)&gt;0)*1),"")))</f>
        <v/>
      </c>
      <c r="AF415" t="str">
        <f>IF(AE415="","",IF(AE415="[FÓRMULA MANUAL]","",IFERROR(AVERAGEIFS(nNOTA,nNIA,AE415,nCUENTA,1,nASIG,"Análisis"),"")))</f>
        <v/>
      </c>
      <c r="AG415" t="str">
        <f>IF(AE415="","",IF(AE415="[FÓRMULA MANUAL]","",IFERROR(AVERAGEIFS(nNOTA,nNIA,AE415,nCUENTA,1,nASIG,"Orquesta/Banda/Conjunto"),"")))</f>
        <v/>
      </c>
      <c r="AH415" t="str">
        <f>IF(AE415="","",IF(AE415="[FÓRMULA MANUAL]","",IFERROR(AVERAGEIFS(nNOTA,nNIA,AE415,nCUENTA,1,nASIG,"Música de Cámara"),"")))</f>
        <v/>
      </c>
      <c r="AI415" t="str">
        <f>IF(AE415="","",IF(AE415="[FÓRMULA MANUAL]","",IFERROR(SUMPRODUCT((nNIA=AE415)*(nCUENTA=1)*(COUNTIF(CONFIG_ASIGNATURAS!$B$7:$B$27,nASIG)&gt;0)*(nNOTA))/SUMPRODUCT((nNIA=AE415)*(nCUENTA=1)*(COUNTIF(CONFIG_ASIGNATURAS!$B$7:$B$27,nASIG)&gt;0)*1),"")))</f>
        <v/>
      </c>
    </row>
    <row r="416" spans="2:35" x14ac:dyDescent="0.2">
      <c r="B416" t="str">
        <f>IF(A416="","",IF(A416="[FÓRMULA MANUAL]","",IFERROR(AVERAGEIFS(nNOTA,nNIA,A416,nCUENTA,1,nASIG,"Lenguaje Musical"),"")))</f>
        <v/>
      </c>
      <c r="C416" t="str">
        <f>IF(A416="","",IF(A416="[FÓRMULA MANUAL]","",IFERROR(AVERAGEIFS(nNOTA,nNIA,A416,nCUENTA,1,nASIG,"Orquesta/Banda/Conjunto"),"")))</f>
        <v/>
      </c>
      <c r="D416" t="str">
        <f>IF(A416="","",IF(A416="[FÓRMULA MANUAL]","",IFERROR(AVERAGEIFS(nNOTA,nNIA,A416,nCUENTA,1,nASIG,"Conjunto"),"")))</f>
        <v/>
      </c>
      <c r="E416" t="str">
        <f>IF(A416="","",IF(A416="[FÓRMULA MANUAL]","",IFERROR(SUMPRODUCT((nNIA=A416)*(nCUENTA=1)*(COUNTIF(CONFIG_ASIGNATURAS!$B$7:$B$27,nASIG)&gt;0)*(nNOTA))/SUMPRODUCT((nNIA=A416)*(nCUENTA=1)*(COUNTIF(CONFIG_ASIGNATURAS!$B$7:$B$27,nASIG)&gt;0)*1),"")))</f>
        <v/>
      </c>
      <c r="H416" t="str">
        <f>IF(G416="","",IF(G416="[FÓRMULA MANUAL]","",IFERROR(AVERAGEIFS(nNOTA,nNIA,G416,nCUENTA,1,nASIG,"Lenguaje Musical"),"")))</f>
        <v/>
      </c>
      <c r="I416" t="str">
        <f>IF(G416="","",IF(G416="[FÓRMULA MANUAL]","",IFERROR(AVERAGEIFS(nNOTA,nNIA,G416,nCUENTA,1,nASIG,"Orquesta/Banda/Conjunto"),"")))</f>
        <v/>
      </c>
      <c r="J416" t="str">
        <f>IF(G416="","",IF(G416="[FÓRMULA MANUAL]","",IFERROR(AVERAGEIFS(nNOTA,nNIA,G416,nCUENTA,1,nASIG,"Conjunto"),"")))</f>
        <v/>
      </c>
      <c r="K416" t="str">
        <f>IF(G416="","",IF(G416="[FÓRMULA MANUAL]","",IFERROR(SUMPRODUCT((nNIA=G416)*(nCUENTA=1)*(COUNTIF(CONFIG_ASIGNATURAS!$B$7:$B$27,nASIG)&gt;0)*(nNOTA))/SUMPRODUCT((nNIA=G416)*(nCUENTA=1)*(COUNTIF(CONFIG_ASIGNATURAS!$B$7:$B$27,nASIG)&gt;0)*1),"")))</f>
        <v/>
      </c>
      <c r="N416" t="str">
        <f>IF(M416="","",IF(M416="[FÓRMULA MANUAL]","",IFERROR(AVERAGEIFS(nNOTA,nNIA,M416,nCUENTA,1,nASIG,"Armonía"),"")))</f>
        <v/>
      </c>
      <c r="O416" t="str">
        <f>IF(M416="","",IF(M416="[FÓRMULA MANUAL]","",IFERROR(AVERAGEIFS(nNOTA,nNIA,M416,nCUENTA,1,nASIG,"Orquesta/Banda/Conjunto"),"")))</f>
        <v/>
      </c>
      <c r="P416" t="str">
        <f>IF(M416="","",IF(M416="[FÓRMULA MANUAL]","",IFERROR(AVERAGEIFS(nNOTA,nNIA,M416,nCUENTA,1,nASIG,"Música de Cámara"),"")))</f>
        <v/>
      </c>
      <c r="Q416" t="str">
        <f>IF(M416="","",IF(M416="[FÓRMULA MANUAL]","",IFERROR(SUMPRODUCT((nNIA=M416)*(nCUENTA=1)*(COUNTIF(CONFIG_ASIGNATURAS!$B$7:$B$27,nASIG)&gt;0)*(nNOTA))/SUMPRODUCT((nNIA=M416)*(nCUENTA=1)*(COUNTIF(CONFIG_ASIGNATURAS!$B$7:$B$27,nASIG)&gt;0)*1),"")))</f>
        <v/>
      </c>
      <c r="T416" t="str">
        <f>IF(S416="","",IF(S416="[FÓRMULA MANUAL]","",IFERROR(AVERAGEIFS(nNOTA,nNIA,S416,nCUENTA,1,nASIG,"Armonía"),"")))</f>
        <v/>
      </c>
      <c r="U416" t="str">
        <f>IF(S416="","",IF(S416="[FÓRMULA MANUAL]","",IFERROR(AVERAGEIFS(nNOTA,nNIA,S416,nCUENTA,1,nASIG,"Orquesta/Banda/Conjunto"),"")))</f>
        <v/>
      </c>
      <c r="V416" t="str">
        <f>IF(S416="","",IF(S416="[FÓRMULA MANUAL]","",IFERROR(AVERAGEIFS(nNOTA,nNIA,S416,nCUENTA,1,nASIG,"Música de Cámara"),"")))</f>
        <v/>
      </c>
      <c r="W416" t="str">
        <f>IF(S416="","",IF(S416="[FÓRMULA MANUAL]","",IFERROR(SUMPRODUCT((nNIA=S416)*(nCUENTA=1)*(COUNTIF(CONFIG_ASIGNATURAS!$B$7:$B$27,nASIG)&gt;0)*(nNOTA))/SUMPRODUCT((nNIA=S416)*(nCUENTA=1)*(COUNTIF(CONFIG_ASIGNATURAS!$B$7:$B$27,nASIG)&gt;0)*1),"")))</f>
        <v/>
      </c>
      <c r="Z416" t="str">
        <f>IF(Y416="","",IF(Y416="[FÓRMULA MANUAL]","",IFERROR(AVERAGEIFS(nNOTA,nNIA,Y416,nCUENTA,1,nASIG,"Análisis"),"")))</f>
        <v/>
      </c>
      <c r="AA416" t="str">
        <f>IF(Y416="","",IF(Y416="[FÓRMULA MANUAL]","",IFERROR(AVERAGEIFS(nNOTA,nNIA,Y416,nCUENTA,1,nASIG,"Orquesta/Banda/Conjunto"),"")))</f>
        <v/>
      </c>
      <c r="AB416" t="str">
        <f>IF(Y416="","",IF(Y416="[FÓRMULA MANUAL]","",IFERROR(AVERAGEIFS(nNOTA,nNIA,Y416,nCUENTA,1,nASIG,"Música de Cámara"),"")))</f>
        <v/>
      </c>
      <c r="AC416" t="str">
        <f>IF(Y416="","",IF(Y416="[FÓRMULA MANUAL]","",IFERROR(SUMPRODUCT((nNIA=Y416)*(nCUENTA=1)*(COUNTIF(CONFIG_ASIGNATURAS!$B$7:$B$27,nASIG)&gt;0)*(nNOTA))/SUMPRODUCT((nNIA=Y416)*(nCUENTA=1)*(COUNTIF(CONFIG_ASIGNATURAS!$B$7:$B$27,nASIG)&gt;0)*1),"")))</f>
        <v/>
      </c>
      <c r="AF416" t="str">
        <f>IF(AE416="","",IF(AE416="[FÓRMULA MANUAL]","",IFERROR(AVERAGEIFS(nNOTA,nNIA,AE416,nCUENTA,1,nASIG,"Análisis"),"")))</f>
        <v/>
      </c>
      <c r="AG416" t="str">
        <f>IF(AE416="","",IF(AE416="[FÓRMULA MANUAL]","",IFERROR(AVERAGEIFS(nNOTA,nNIA,AE416,nCUENTA,1,nASIG,"Orquesta/Banda/Conjunto"),"")))</f>
        <v/>
      </c>
      <c r="AH416" t="str">
        <f>IF(AE416="","",IF(AE416="[FÓRMULA MANUAL]","",IFERROR(AVERAGEIFS(nNOTA,nNIA,AE416,nCUENTA,1,nASIG,"Música de Cámara"),"")))</f>
        <v/>
      </c>
      <c r="AI416" t="str">
        <f>IF(AE416="","",IF(AE416="[FÓRMULA MANUAL]","",IFERROR(SUMPRODUCT((nNIA=AE416)*(nCUENTA=1)*(COUNTIF(CONFIG_ASIGNATURAS!$B$7:$B$27,nASIG)&gt;0)*(nNOTA))/SUMPRODUCT((nNIA=AE416)*(nCUENTA=1)*(COUNTIF(CONFIG_ASIGNATURAS!$B$7:$B$27,nASIG)&gt;0)*1),"")))</f>
        <v/>
      </c>
    </row>
    <row r="417" spans="2:35" x14ac:dyDescent="0.2">
      <c r="B417" t="str">
        <f>IF(A417="","",IF(A417="[FÓRMULA MANUAL]","",IFERROR(AVERAGEIFS(nNOTA,nNIA,A417,nCUENTA,1,nASIG,"Lenguaje Musical"),"")))</f>
        <v/>
      </c>
      <c r="C417" t="str">
        <f>IF(A417="","",IF(A417="[FÓRMULA MANUAL]","",IFERROR(AVERAGEIFS(nNOTA,nNIA,A417,nCUENTA,1,nASIG,"Orquesta/Banda/Conjunto"),"")))</f>
        <v/>
      </c>
      <c r="D417" t="str">
        <f>IF(A417="","",IF(A417="[FÓRMULA MANUAL]","",IFERROR(AVERAGEIFS(nNOTA,nNIA,A417,nCUENTA,1,nASIG,"Conjunto"),"")))</f>
        <v/>
      </c>
      <c r="E417" t="str">
        <f>IF(A417="","",IF(A417="[FÓRMULA MANUAL]","",IFERROR(SUMPRODUCT((nNIA=A417)*(nCUENTA=1)*(COUNTIF(CONFIG_ASIGNATURAS!$B$7:$B$27,nASIG)&gt;0)*(nNOTA))/SUMPRODUCT((nNIA=A417)*(nCUENTA=1)*(COUNTIF(CONFIG_ASIGNATURAS!$B$7:$B$27,nASIG)&gt;0)*1),"")))</f>
        <v/>
      </c>
      <c r="H417" t="str">
        <f>IF(G417="","",IF(G417="[FÓRMULA MANUAL]","",IFERROR(AVERAGEIFS(nNOTA,nNIA,G417,nCUENTA,1,nASIG,"Lenguaje Musical"),"")))</f>
        <v/>
      </c>
      <c r="I417" t="str">
        <f>IF(G417="","",IF(G417="[FÓRMULA MANUAL]","",IFERROR(AVERAGEIFS(nNOTA,nNIA,G417,nCUENTA,1,nASIG,"Orquesta/Banda/Conjunto"),"")))</f>
        <v/>
      </c>
      <c r="J417" t="str">
        <f>IF(G417="","",IF(G417="[FÓRMULA MANUAL]","",IFERROR(AVERAGEIFS(nNOTA,nNIA,G417,nCUENTA,1,nASIG,"Conjunto"),"")))</f>
        <v/>
      </c>
      <c r="K417" t="str">
        <f>IF(G417="","",IF(G417="[FÓRMULA MANUAL]","",IFERROR(SUMPRODUCT((nNIA=G417)*(nCUENTA=1)*(COUNTIF(CONFIG_ASIGNATURAS!$B$7:$B$27,nASIG)&gt;0)*(nNOTA))/SUMPRODUCT((nNIA=G417)*(nCUENTA=1)*(COUNTIF(CONFIG_ASIGNATURAS!$B$7:$B$27,nASIG)&gt;0)*1),"")))</f>
        <v/>
      </c>
      <c r="N417" t="str">
        <f>IF(M417="","",IF(M417="[FÓRMULA MANUAL]","",IFERROR(AVERAGEIFS(nNOTA,nNIA,M417,nCUENTA,1,nASIG,"Armonía"),"")))</f>
        <v/>
      </c>
      <c r="O417" t="str">
        <f>IF(M417="","",IF(M417="[FÓRMULA MANUAL]","",IFERROR(AVERAGEIFS(nNOTA,nNIA,M417,nCUENTA,1,nASIG,"Orquesta/Banda/Conjunto"),"")))</f>
        <v/>
      </c>
      <c r="P417" t="str">
        <f>IF(M417="","",IF(M417="[FÓRMULA MANUAL]","",IFERROR(AVERAGEIFS(nNOTA,nNIA,M417,nCUENTA,1,nASIG,"Música de Cámara"),"")))</f>
        <v/>
      </c>
      <c r="Q417" t="str">
        <f>IF(M417="","",IF(M417="[FÓRMULA MANUAL]","",IFERROR(SUMPRODUCT((nNIA=M417)*(nCUENTA=1)*(COUNTIF(CONFIG_ASIGNATURAS!$B$7:$B$27,nASIG)&gt;0)*(nNOTA))/SUMPRODUCT((nNIA=M417)*(nCUENTA=1)*(COUNTIF(CONFIG_ASIGNATURAS!$B$7:$B$27,nASIG)&gt;0)*1),"")))</f>
        <v/>
      </c>
      <c r="T417" t="str">
        <f>IF(S417="","",IF(S417="[FÓRMULA MANUAL]","",IFERROR(AVERAGEIFS(nNOTA,nNIA,S417,nCUENTA,1,nASIG,"Armonía"),"")))</f>
        <v/>
      </c>
      <c r="U417" t="str">
        <f>IF(S417="","",IF(S417="[FÓRMULA MANUAL]","",IFERROR(AVERAGEIFS(nNOTA,nNIA,S417,nCUENTA,1,nASIG,"Orquesta/Banda/Conjunto"),"")))</f>
        <v/>
      </c>
      <c r="V417" t="str">
        <f>IF(S417="","",IF(S417="[FÓRMULA MANUAL]","",IFERROR(AVERAGEIFS(nNOTA,nNIA,S417,nCUENTA,1,nASIG,"Música de Cámara"),"")))</f>
        <v/>
      </c>
      <c r="W417" t="str">
        <f>IF(S417="","",IF(S417="[FÓRMULA MANUAL]","",IFERROR(SUMPRODUCT((nNIA=S417)*(nCUENTA=1)*(COUNTIF(CONFIG_ASIGNATURAS!$B$7:$B$27,nASIG)&gt;0)*(nNOTA))/SUMPRODUCT((nNIA=S417)*(nCUENTA=1)*(COUNTIF(CONFIG_ASIGNATURAS!$B$7:$B$27,nASIG)&gt;0)*1),"")))</f>
        <v/>
      </c>
      <c r="Z417" t="str">
        <f>IF(Y417="","",IF(Y417="[FÓRMULA MANUAL]","",IFERROR(AVERAGEIFS(nNOTA,nNIA,Y417,nCUENTA,1,nASIG,"Análisis"),"")))</f>
        <v/>
      </c>
      <c r="AA417" t="str">
        <f>IF(Y417="","",IF(Y417="[FÓRMULA MANUAL]","",IFERROR(AVERAGEIFS(nNOTA,nNIA,Y417,nCUENTA,1,nASIG,"Orquesta/Banda/Conjunto"),"")))</f>
        <v/>
      </c>
      <c r="AB417" t="str">
        <f>IF(Y417="","",IF(Y417="[FÓRMULA MANUAL]","",IFERROR(AVERAGEIFS(nNOTA,nNIA,Y417,nCUENTA,1,nASIG,"Música de Cámara"),"")))</f>
        <v/>
      </c>
      <c r="AC417" t="str">
        <f>IF(Y417="","",IF(Y417="[FÓRMULA MANUAL]","",IFERROR(SUMPRODUCT((nNIA=Y417)*(nCUENTA=1)*(COUNTIF(CONFIG_ASIGNATURAS!$B$7:$B$27,nASIG)&gt;0)*(nNOTA))/SUMPRODUCT((nNIA=Y417)*(nCUENTA=1)*(COUNTIF(CONFIG_ASIGNATURAS!$B$7:$B$27,nASIG)&gt;0)*1),"")))</f>
        <v/>
      </c>
      <c r="AF417" t="str">
        <f>IF(AE417="","",IF(AE417="[FÓRMULA MANUAL]","",IFERROR(AVERAGEIFS(nNOTA,nNIA,AE417,nCUENTA,1,nASIG,"Análisis"),"")))</f>
        <v/>
      </c>
      <c r="AG417" t="str">
        <f>IF(AE417="","",IF(AE417="[FÓRMULA MANUAL]","",IFERROR(AVERAGEIFS(nNOTA,nNIA,AE417,nCUENTA,1,nASIG,"Orquesta/Banda/Conjunto"),"")))</f>
        <v/>
      </c>
      <c r="AH417" t="str">
        <f>IF(AE417="","",IF(AE417="[FÓRMULA MANUAL]","",IFERROR(AVERAGEIFS(nNOTA,nNIA,AE417,nCUENTA,1,nASIG,"Música de Cámara"),"")))</f>
        <v/>
      </c>
      <c r="AI417" t="str">
        <f>IF(AE417="","",IF(AE417="[FÓRMULA MANUAL]","",IFERROR(SUMPRODUCT((nNIA=AE417)*(nCUENTA=1)*(COUNTIF(CONFIG_ASIGNATURAS!$B$7:$B$27,nASIG)&gt;0)*(nNOTA))/SUMPRODUCT((nNIA=AE417)*(nCUENTA=1)*(COUNTIF(CONFIG_ASIGNATURAS!$B$7:$B$27,nASIG)&gt;0)*1),"")))</f>
        <v/>
      </c>
    </row>
    <row r="418" spans="2:35" x14ac:dyDescent="0.2">
      <c r="B418" t="str">
        <f>IF(A418="","",IF(A418="[FÓRMULA MANUAL]","",IFERROR(AVERAGEIFS(nNOTA,nNIA,A418,nCUENTA,1,nASIG,"Lenguaje Musical"),"")))</f>
        <v/>
      </c>
      <c r="C418" t="str">
        <f>IF(A418="","",IF(A418="[FÓRMULA MANUAL]","",IFERROR(AVERAGEIFS(nNOTA,nNIA,A418,nCUENTA,1,nASIG,"Orquesta/Banda/Conjunto"),"")))</f>
        <v/>
      </c>
      <c r="D418" t="str">
        <f>IF(A418="","",IF(A418="[FÓRMULA MANUAL]","",IFERROR(AVERAGEIFS(nNOTA,nNIA,A418,nCUENTA,1,nASIG,"Conjunto"),"")))</f>
        <v/>
      </c>
      <c r="E418" t="str">
        <f>IF(A418="","",IF(A418="[FÓRMULA MANUAL]","",IFERROR(SUMPRODUCT((nNIA=A418)*(nCUENTA=1)*(COUNTIF(CONFIG_ASIGNATURAS!$B$7:$B$27,nASIG)&gt;0)*(nNOTA))/SUMPRODUCT((nNIA=A418)*(nCUENTA=1)*(COUNTIF(CONFIG_ASIGNATURAS!$B$7:$B$27,nASIG)&gt;0)*1),"")))</f>
        <v/>
      </c>
      <c r="H418" t="str">
        <f>IF(G418="","",IF(G418="[FÓRMULA MANUAL]","",IFERROR(AVERAGEIFS(nNOTA,nNIA,G418,nCUENTA,1,nASIG,"Lenguaje Musical"),"")))</f>
        <v/>
      </c>
      <c r="I418" t="str">
        <f>IF(G418="","",IF(G418="[FÓRMULA MANUAL]","",IFERROR(AVERAGEIFS(nNOTA,nNIA,G418,nCUENTA,1,nASIG,"Orquesta/Banda/Conjunto"),"")))</f>
        <v/>
      </c>
      <c r="J418" t="str">
        <f>IF(G418="","",IF(G418="[FÓRMULA MANUAL]","",IFERROR(AVERAGEIFS(nNOTA,nNIA,G418,nCUENTA,1,nASIG,"Conjunto"),"")))</f>
        <v/>
      </c>
      <c r="K418" t="str">
        <f>IF(G418="","",IF(G418="[FÓRMULA MANUAL]","",IFERROR(SUMPRODUCT((nNIA=G418)*(nCUENTA=1)*(COUNTIF(CONFIG_ASIGNATURAS!$B$7:$B$27,nASIG)&gt;0)*(nNOTA))/SUMPRODUCT((nNIA=G418)*(nCUENTA=1)*(COUNTIF(CONFIG_ASIGNATURAS!$B$7:$B$27,nASIG)&gt;0)*1),"")))</f>
        <v/>
      </c>
      <c r="N418" t="str">
        <f>IF(M418="","",IF(M418="[FÓRMULA MANUAL]","",IFERROR(AVERAGEIFS(nNOTA,nNIA,M418,nCUENTA,1,nASIG,"Armonía"),"")))</f>
        <v/>
      </c>
      <c r="O418" t="str">
        <f>IF(M418="","",IF(M418="[FÓRMULA MANUAL]","",IFERROR(AVERAGEIFS(nNOTA,nNIA,M418,nCUENTA,1,nASIG,"Orquesta/Banda/Conjunto"),"")))</f>
        <v/>
      </c>
      <c r="P418" t="str">
        <f>IF(M418="","",IF(M418="[FÓRMULA MANUAL]","",IFERROR(AVERAGEIFS(nNOTA,nNIA,M418,nCUENTA,1,nASIG,"Música de Cámara"),"")))</f>
        <v/>
      </c>
      <c r="Q418" t="str">
        <f>IF(M418="","",IF(M418="[FÓRMULA MANUAL]","",IFERROR(SUMPRODUCT((nNIA=M418)*(nCUENTA=1)*(COUNTIF(CONFIG_ASIGNATURAS!$B$7:$B$27,nASIG)&gt;0)*(nNOTA))/SUMPRODUCT((nNIA=M418)*(nCUENTA=1)*(COUNTIF(CONFIG_ASIGNATURAS!$B$7:$B$27,nASIG)&gt;0)*1),"")))</f>
        <v/>
      </c>
      <c r="T418" t="str">
        <f>IF(S418="","",IF(S418="[FÓRMULA MANUAL]","",IFERROR(AVERAGEIFS(nNOTA,nNIA,S418,nCUENTA,1,nASIG,"Armonía"),"")))</f>
        <v/>
      </c>
      <c r="U418" t="str">
        <f>IF(S418="","",IF(S418="[FÓRMULA MANUAL]","",IFERROR(AVERAGEIFS(nNOTA,nNIA,S418,nCUENTA,1,nASIG,"Orquesta/Banda/Conjunto"),"")))</f>
        <v/>
      </c>
      <c r="V418" t="str">
        <f>IF(S418="","",IF(S418="[FÓRMULA MANUAL]","",IFERROR(AVERAGEIFS(nNOTA,nNIA,S418,nCUENTA,1,nASIG,"Música de Cámara"),"")))</f>
        <v/>
      </c>
      <c r="W418" t="str">
        <f>IF(S418="","",IF(S418="[FÓRMULA MANUAL]","",IFERROR(SUMPRODUCT((nNIA=S418)*(nCUENTA=1)*(COUNTIF(CONFIG_ASIGNATURAS!$B$7:$B$27,nASIG)&gt;0)*(nNOTA))/SUMPRODUCT((nNIA=S418)*(nCUENTA=1)*(COUNTIF(CONFIG_ASIGNATURAS!$B$7:$B$27,nASIG)&gt;0)*1),"")))</f>
        <v/>
      </c>
      <c r="Z418" t="str">
        <f>IF(Y418="","",IF(Y418="[FÓRMULA MANUAL]","",IFERROR(AVERAGEIFS(nNOTA,nNIA,Y418,nCUENTA,1,nASIG,"Análisis"),"")))</f>
        <v/>
      </c>
      <c r="AA418" t="str">
        <f>IF(Y418="","",IF(Y418="[FÓRMULA MANUAL]","",IFERROR(AVERAGEIFS(nNOTA,nNIA,Y418,nCUENTA,1,nASIG,"Orquesta/Banda/Conjunto"),"")))</f>
        <v/>
      </c>
      <c r="AB418" t="str">
        <f>IF(Y418="","",IF(Y418="[FÓRMULA MANUAL]","",IFERROR(AVERAGEIFS(nNOTA,nNIA,Y418,nCUENTA,1,nASIG,"Música de Cámara"),"")))</f>
        <v/>
      </c>
      <c r="AC418" t="str">
        <f>IF(Y418="","",IF(Y418="[FÓRMULA MANUAL]","",IFERROR(SUMPRODUCT((nNIA=Y418)*(nCUENTA=1)*(COUNTIF(CONFIG_ASIGNATURAS!$B$7:$B$27,nASIG)&gt;0)*(nNOTA))/SUMPRODUCT((nNIA=Y418)*(nCUENTA=1)*(COUNTIF(CONFIG_ASIGNATURAS!$B$7:$B$27,nASIG)&gt;0)*1),"")))</f>
        <v/>
      </c>
      <c r="AF418" t="str">
        <f>IF(AE418="","",IF(AE418="[FÓRMULA MANUAL]","",IFERROR(AVERAGEIFS(nNOTA,nNIA,AE418,nCUENTA,1,nASIG,"Análisis"),"")))</f>
        <v/>
      </c>
      <c r="AG418" t="str">
        <f>IF(AE418="","",IF(AE418="[FÓRMULA MANUAL]","",IFERROR(AVERAGEIFS(nNOTA,nNIA,AE418,nCUENTA,1,nASIG,"Orquesta/Banda/Conjunto"),"")))</f>
        <v/>
      </c>
      <c r="AH418" t="str">
        <f>IF(AE418="","",IF(AE418="[FÓRMULA MANUAL]","",IFERROR(AVERAGEIFS(nNOTA,nNIA,AE418,nCUENTA,1,nASIG,"Música de Cámara"),"")))</f>
        <v/>
      </c>
      <c r="AI418" t="str">
        <f>IF(AE418="","",IF(AE418="[FÓRMULA MANUAL]","",IFERROR(SUMPRODUCT((nNIA=AE418)*(nCUENTA=1)*(COUNTIF(CONFIG_ASIGNATURAS!$B$7:$B$27,nASIG)&gt;0)*(nNOTA))/SUMPRODUCT((nNIA=AE418)*(nCUENTA=1)*(COUNTIF(CONFIG_ASIGNATURAS!$B$7:$B$27,nASIG)&gt;0)*1),"")))</f>
        <v/>
      </c>
    </row>
    <row r="419" spans="2:35" x14ac:dyDescent="0.2">
      <c r="B419" t="str">
        <f>IF(A419="","",IF(A419="[FÓRMULA MANUAL]","",IFERROR(AVERAGEIFS(nNOTA,nNIA,A419,nCUENTA,1,nASIG,"Lenguaje Musical"),"")))</f>
        <v/>
      </c>
      <c r="C419" t="str">
        <f>IF(A419="","",IF(A419="[FÓRMULA MANUAL]","",IFERROR(AVERAGEIFS(nNOTA,nNIA,A419,nCUENTA,1,nASIG,"Orquesta/Banda/Conjunto"),"")))</f>
        <v/>
      </c>
      <c r="D419" t="str">
        <f>IF(A419="","",IF(A419="[FÓRMULA MANUAL]","",IFERROR(AVERAGEIFS(nNOTA,nNIA,A419,nCUENTA,1,nASIG,"Conjunto"),"")))</f>
        <v/>
      </c>
      <c r="E419" t="str">
        <f>IF(A419="","",IF(A419="[FÓRMULA MANUAL]","",IFERROR(SUMPRODUCT((nNIA=A419)*(nCUENTA=1)*(COUNTIF(CONFIG_ASIGNATURAS!$B$7:$B$27,nASIG)&gt;0)*(nNOTA))/SUMPRODUCT((nNIA=A419)*(nCUENTA=1)*(COUNTIF(CONFIG_ASIGNATURAS!$B$7:$B$27,nASIG)&gt;0)*1),"")))</f>
        <v/>
      </c>
      <c r="H419" t="str">
        <f>IF(G419="","",IF(G419="[FÓRMULA MANUAL]","",IFERROR(AVERAGEIFS(nNOTA,nNIA,G419,nCUENTA,1,nASIG,"Lenguaje Musical"),"")))</f>
        <v/>
      </c>
      <c r="I419" t="str">
        <f>IF(G419="","",IF(G419="[FÓRMULA MANUAL]","",IFERROR(AVERAGEIFS(nNOTA,nNIA,G419,nCUENTA,1,nASIG,"Orquesta/Banda/Conjunto"),"")))</f>
        <v/>
      </c>
      <c r="J419" t="str">
        <f>IF(G419="","",IF(G419="[FÓRMULA MANUAL]","",IFERROR(AVERAGEIFS(nNOTA,nNIA,G419,nCUENTA,1,nASIG,"Conjunto"),"")))</f>
        <v/>
      </c>
      <c r="K419" t="str">
        <f>IF(G419="","",IF(G419="[FÓRMULA MANUAL]","",IFERROR(SUMPRODUCT((nNIA=G419)*(nCUENTA=1)*(COUNTIF(CONFIG_ASIGNATURAS!$B$7:$B$27,nASIG)&gt;0)*(nNOTA))/SUMPRODUCT((nNIA=G419)*(nCUENTA=1)*(COUNTIF(CONFIG_ASIGNATURAS!$B$7:$B$27,nASIG)&gt;0)*1),"")))</f>
        <v/>
      </c>
      <c r="N419" t="str">
        <f>IF(M419="","",IF(M419="[FÓRMULA MANUAL]","",IFERROR(AVERAGEIFS(nNOTA,nNIA,M419,nCUENTA,1,nASIG,"Armonía"),"")))</f>
        <v/>
      </c>
      <c r="O419" t="str">
        <f>IF(M419="","",IF(M419="[FÓRMULA MANUAL]","",IFERROR(AVERAGEIFS(nNOTA,nNIA,M419,nCUENTA,1,nASIG,"Orquesta/Banda/Conjunto"),"")))</f>
        <v/>
      </c>
      <c r="P419" t="str">
        <f>IF(M419="","",IF(M419="[FÓRMULA MANUAL]","",IFERROR(AVERAGEIFS(nNOTA,nNIA,M419,nCUENTA,1,nASIG,"Música de Cámara"),"")))</f>
        <v/>
      </c>
      <c r="Q419" t="str">
        <f>IF(M419="","",IF(M419="[FÓRMULA MANUAL]","",IFERROR(SUMPRODUCT((nNIA=M419)*(nCUENTA=1)*(COUNTIF(CONFIG_ASIGNATURAS!$B$7:$B$27,nASIG)&gt;0)*(nNOTA))/SUMPRODUCT((nNIA=M419)*(nCUENTA=1)*(COUNTIF(CONFIG_ASIGNATURAS!$B$7:$B$27,nASIG)&gt;0)*1),"")))</f>
        <v/>
      </c>
      <c r="T419" t="str">
        <f>IF(S419="","",IF(S419="[FÓRMULA MANUAL]","",IFERROR(AVERAGEIFS(nNOTA,nNIA,S419,nCUENTA,1,nASIG,"Armonía"),"")))</f>
        <v/>
      </c>
      <c r="U419" t="str">
        <f>IF(S419="","",IF(S419="[FÓRMULA MANUAL]","",IFERROR(AVERAGEIFS(nNOTA,nNIA,S419,nCUENTA,1,nASIG,"Orquesta/Banda/Conjunto"),"")))</f>
        <v/>
      </c>
      <c r="V419" t="str">
        <f>IF(S419="","",IF(S419="[FÓRMULA MANUAL]","",IFERROR(AVERAGEIFS(nNOTA,nNIA,S419,nCUENTA,1,nASIG,"Música de Cámara"),"")))</f>
        <v/>
      </c>
      <c r="W419" t="str">
        <f>IF(S419="","",IF(S419="[FÓRMULA MANUAL]","",IFERROR(SUMPRODUCT((nNIA=S419)*(nCUENTA=1)*(COUNTIF(CONFIG_ASIGNATURAS!$B$7:$B$27,nASIG)&gt;0)*(nNOTA))/SUMPRODUCT((nNIA=S419)*(nCUENTA=1)*(COUNTIF(CONFIG_ASIGNATURAS!$B$7:$B$27,nASIG)&gt;0)*1),"")))</f>
        <v/>
      </c>
      <c r="Z419" t="str">
        <f>IF(Y419="","",IF(Y419="[FÓRMULA MANUAL]","",IFERROR(AVERAGEIFS(nNOTA,nNIA,Y419,nCUENTA,1,nASIG,"Análisis"),"")))</f>
        <v/>
      </c>
      <c r="AA419" t="str">
        <f>IF(Y419="","",IF(Y419="[FÓRMULA MANUAL]","",IFERROR(AVERAGEIFS(nNOTA,nNIA,Y419,nCUENTA,1,nASIG,"Orquesta/Banda/Conjunto"),"")))</f>
        <v/>
      </c>
      <c r="AB419" t="str">
        <f>IF(Y419="","",IF(Y419="[FÓRMULA MANUAL]","",IFERROR(AVERAGEIFS(nNOTA,nNIA,Y419,nCUENTA,1,nASIG,"Música de Cámara"),"")))</f>
        <v/>
      </c>
      <c r="AC419" t="str">
        <f>IF(Y419="","",IF(Y419="[FÓRMULA MANUAL]","",IFERROR(SUMPRODUCT((nNIA=Y419)*(nCUENTA=1)*(COUNTIF(CONFIG_ASIGNATURAS!$B$7:$B$27,nASIG)&gt;0)*(nNOTA))/SUMPRODUCT((nNIA=Y419)*(nCUENTA=1)*(COUNTIF(CONFIG_ASIGNATURAS!$B$7:$B$27,nASIG)&gt;0)*1),"")))</f>
        <v/>
      </c>
      <c r="AF419" t="str">
        <f>IF(AE419="","",IF(AE419="[FÓRMULA MANUAL]","",IFERROR(AVERAGEIFS(nNOTA,nNIA,AE419,nCUENTA,1,nASIG,"Análisis"),"")))</f>
        <v/>
      </c>
      <c r="AG419" t="str">
        <f>IF(AE419="","",IF(AE419="[FÓRMULA MANUAL]","",IFERROR(AVERAGEIFS(nNOTA,nNIA,AE419,nCUENTA,1,nASIG,"Orquesta/Banda/Conjunto"),"")))</f>
        <v/>
      </c>
      <c r="AH419" t="str">
        <f>IF(AE419="","",IF(AE419="[FÓRMULA MANUAL]","",IFERROR(AVERAGEIFS(nNOTA,nNIA,AE419,nCUENTA,1,nASIG,"Música de Cámara"),"")))</f>
        <v/>
      </c>
      <c r="AI419" t="str">
        <f>IF(AE419="","",IF(AE419="[FÓRMULA MANUAL]","",IFERROR(SUMPRODUCT((nNIA=AE419)*(nCUENTA=1)*(COUNTIF(CONFIG_ASIGNATURAS!$B$7:$B$27,nASIG)&gt;0)*(nNOTA))/SUMPRODUCT((nNIA=AE419)*(nCUENTA=1)*(COUNTIF(CONFIG_ASIGNATURAS!$B$7:$B$27,nASIG)&gt;0)*1),"")))</f>
        <v/>
      </c>
    </row>
    <row r="420" spans="2:35" x14ac:dyDescent="0.2">
      <c r="B420" t="str">
        <f>IF(A420="","",IF(A420="[FÓRMULA MANUAL]","",IFERROR(AVERAGEIFS(nNOTA,nNIA,A420,nCUENTA,1,nASIG,"Lenguaje Musical"),"")))</f>
        <v/>
      </c>
      <c r="C420" t="str">
        <f>IF(A420="","",IF(A420="[FÓRMULA MANUAL]","",IFERROR(AVERAGEIFS(nNOTA,nNIA,A420,nCUENTA,1,nASIG,"Orquesta/Banda/Conjunto"),"")))</f>
        <v/>
      </c>
      <c r="D420" t="str">
        <f>IF(A420="","",IF(A420="[FÓRMULA MANUAL]","",IFERROR(AVERAGEIFS(nNOTA,nNIA,A420,nCUENTA,1,nASIG,"Conjunto"),"")))</f>
        <v/>
      </c>
      <c r="E420" t="str">
        <f>IF(A420="","",IF(A420="[FÓRMULA MANUAL]","",IFERROR(SUMPRODUCT((nNIA=A420)*(nCUENTA=1)*(COUNTIF(CONFIG_ASIGNATURAS!$B$7:$B$27,nASIG)&gt;0)*(nNOTA))/SUMPRODUCT((nNIA=A420)*(nCUENTA=1)*(COUNTIF(CONFIG_ASIGNATURAS!$B$7:$B$27,nASIG)&gt;0)*1),"")))</f>
        <v/>
      </c>
      <c r="H420" t="str">
        <f>IF(G420="","",IF(G420="[FÓRMULA MANUAL]","",IFERROR(AVERAGEIFS(nNOTA,nNIA,G420,nCUENTA,1,nASIG,"Lenguaje Musical"),"")))</f>
        <v/>
      </c>
      <c r="I420" t="str">
        <f>IF(G420="","",IF(G420="[FÓRMULA MANUAL]","",IFERROR(AVERAGEIFS(nNOTA,nNIA,G420,nCUENTA,1,nASIG,"Orquesta/Banda/Conjunto"),"")))</f>
        <v/>
      </c>
      <c r="J420" t="str">
        <f>IF(G420="","",IF(G420="[FÓRMULA MANUAL]","",IFERROR(AVERAGEIFS(nNOTA,nNIA,G420,nCUENTA,1,nASIG,"Conjunto"),"")))</f>
        <v/>
      </c>
      <c r="K420" t="str">
        <f>IF(G420="","",IF(G420="[FÓRMULA MANUAL]","",IFERROR(SUMPRODUCT((nNIA=G420)*(nCUENTA=1)*(COUNTIF(CONFIG_ASIGNATURAS!$B$7:$B$27,nASIG)&gt;0)*(nNOTA))/SUMPRODUCT((nNIA=G420)*(nCUENTA=1)*(COUNTIF(CONFIG_ASIGNATURAS!$B$7:$B$27,nASIG)&gt;0)*1),"")))</f>
        <v/>
      </c>
      <c r="N420" t="str">
        <f>IF(M420="","",IF(M420="[FÓRMULA MANUAL]","",IFERROR(AVERAGEIFS(nNOTA,nNIA,M420,nCUENTA,1,nASIG,"Armonía"),"")))</f>
        <v/>
      </c>
      <c r="O420" t="str">
        <f>IF(M420="","",IF(M420="[FÓRMULA MANUAL]","",IFERROR(AVERAGEIFS(nNOTA,nNIA,M420,nCUENTA,1,nASIG,"Orquesta/Banda/Conjunto"),"")))</f>
        <v/>
      </c>
      <c r="P420" t="str">
        <f>IF(M420="","",IF(M420="[FÓRMULA MANUAL]","",IFERROR(AVERAGEIFS(nNOTA,nNIA,M420,nCUENTA,1,nASIG,"Música de Cámara"),"")))</f>
        <v/>
      </c>
      <c r="Q420" t="str">
        <f>IF(M420="","",IF(M420="[FÓRMULA MANUAL]","",IFERROR(SUMPRODUCT((nNIA=M420)*(nCUENTA=1)*(COUNTIF(CONFIG_ASIGNATURAS!$B$7:$B$27,nASIG)&gt;0)*(nNOTA))/SUMPRODUCT((nNIA=M420)*(nCUENTA=1)*(COUNTIF(CONFIG_ASIGNATURAS!$B$7:$B$27,nASIG)&gt;0)*1),"")))</f>
        <v/>
      </c>
      <c r="T420" t="str">
        <f>IF(S420="","",IF(S420="[FÓRMULA MANUAL]","",IFERROR(AVERAGEIFS(nNOTA,nNIA,S420,nCUENTA,1,nASIG,"Armonía"),"")))</f>
        <v/>
      </c>
      <c r="U420" t="str">
        <f>IF(S420="","",IF(S420="[FÓRMULA MANUAL]","",IFERROR(AVERAGEIFS(nNOTA,nNIA,S420,nCUENTA,1,nASIG,"Orquesta/Banda/Conjunto"),"")))</f>
        <v/>
      </c>
      <c r="V420" t="str">
        <f>IF(S420="","",IF(S420="[FÓRMULA MANUAL]","",IFERROR(AVERAGEIFS(nNOTA,nNIA,S420,nCUENTA,1,nASIG,"Música de Cámara"),"")))</f>
        <v/>
      </c>
      <c r="W420" t="str">
        <f>IF(S420="","",IF(S420="[FÓRMULA MANUAL]","",IFERROR(SUMPRODUCT((nNIA=S420)*(nCUENTA=1)*(COUNTIF(CONFIG_ASIGNATURAS!$B$7:$B$27,nASIG)&gt;0)*(nNOTA))/SUMPRODUCT((nNIA=S420)*(nCUENTA=1)*(COUNTIF(CONFIG_ASIGNATURAS!$B$7:$B$27,nASIG)&gt;0)*1),"")))</f>
        <v/>
      </c>
      <c r="Z420" t="str">
        <f>IF(Y420="","",IF(Y420="[FÓRMULA MANUAL]","",IFERROR(AVERAGEIFS(nNOTA,nNIA,Y420,nCUENTA,1,nASIG,"Análisis"),"")))</f>
        <v/>
      </c>
      <c r="AA420" t="str">
        <f>IF(Y420="","",IF(Y420="[FÓRMULA MANUAL]","",IFERROR(AVERAGEIFS(nNOTA,nNIA,Y420,nCUENTA,1,nASIG,"Orquesta/Banda/Conjunto"),"")))</f>
        <v/>
      </c>
      <c r="AB420" t="str">
        <f>IF(Y420="","",IF(Y420="[FÓRMULA MANUAL]","",IFERROR(AVERAGEIFS(nNOTA,nNIA,Y420,nCUENTA,1,nASIG,"Música de Cámara"),"")))</f>
        <v/>
      </c>
      <c r="AC420" t="str">
        <f>IF(Y420="","",IF(Y420="[FÓRMULA MANUAL]","",IFERROR(SUMPRODUCT((nNIA=Y420)*(nCUENTA=1)*(COUNTIF(CONFIG_ASIGNATURAS!$B$7:$B$27,nASIG)&gt;0)*(nNOTA))/SUMPRODUCT((nNIA=Y420)*(nCUENTA=1)*(COUNTIF(CONFIG_ASIGNATURAS!$B$7:$B$27,nASIG)&gt;0)*1),"")))</f>
        <v/>
      </c>
      <c r="AF420" t="str">
        <f>IF(AE420="","",IF(AE420="[FÓRMULA MANUAL]","",IFERROR(AVERAGEIFS(nNOTA,nNIA,AE420,nCUENTA,1,nASIG,"Análisis"),"")))</f>
        <v/>
      </c>
      <c r="AG420" t="str">
        <f>IF(AE420="","",IF(AE420="[FÓRMULA MANUAL]","",IFERROR(AVERAGEIFS(nNOTA,nNIA,AE420,nCUENTA,1,nASIG,"Orquesta/Banda/Conjunto"),"")))</f>
        <v/>
      </c>
      <c r="AH420" t="str">
        <f>IF(AE420="","",IF(AE420="[FÓRMULA MANUAL]","",IFERROR(AVERAGEIFS(nNOTA,nNIA,AE420,nCUENTA,1,nASIG,"Música de Cámara"),"")))</f>
        <v/>
      </c>
      <c r="AI420" t="str">
        <f>IF(AE420="","",IF(AE420="[FÓRMULA MANUAL]","",IFERROR(SUMPRODUCT((nNIA=AE420)*(nCUENTA=1)*(COUNTIF(CONFIG_ASIGNATURAS!$B$7:$B$27,nASIG)&gt;0)*(nNOTA))/SUMPRODUCT((nNIA=AE420)*(nCUENTA=1)*(COUNTIF(CONFIG_ASIGNATURAS!$B$7:$B$27,nASIG)&gt;0)*1),"")))</f>
        <v/>
      </c>
    </row>
    <row r="421" spans="2:35" x14ac:dyDescent="0.2">
      <c r="B421" t="str">
        <f>IF(A421="","",IF(A421="[FÓRMULA MANUAL]","",IFERROR(AVERAGEIFS(nNOTA,nNIA,A421,nCUENTA,1,nASIG,"Lenguaje Musical"),"")))</f>
        <v/>
      </c>
      <c r="C421" t="str">
        <f>IF(A421="","",IF(A421="[FÓRMULA MANUAL]","",IFERROR(AVERAGEIFS(nNOTA,nNIA,A421,nCUENTA,1,nASIG,"Orquesta/Banda/Conjunto"),"")))</f>
        <v/>
      </c>
      <c r="D421" t="str">
        <f>IF(A421="","",IF(A421="[FÓRMULA MANUAL]","",IFERROR(AVERAGEIFS(nNOTA,nNIA,A421,nCUENTA,1,nASIG,"Conjunto"),"")))</f>
        <v/>
      </c>
      <c r="E421" t="str">
        <f>IF(A421="","",IF(A421="[FÓRMULA MANUAL]","",IFERROR(SUMPRODUCT((nNIA=A421)*(nCUENTA=1)*(COUNTIF(CONFIG_ASIGNATURAS!$B$7:$B$27,nASIG)&gt;0)*(nNOTA))/SUMPRODUCT((nNIA=A421)*(nCUENTA=1)*(COUNTIF(CONFIG_ASIGNATURAS!$B$7:$B$27,nASIG)&gt;0)*1),"")))</f>
        <v/>
      </c>
      <c r="H421" t="str">
        <f>IF(G421="","",IF(G421="[FÓRMULA MANUAL]","",IFERROR(AVERAGEIFS(nNOTA,nNIA,G421,nCUENTA,1,nASIG,"Lenguaje Musical"),"")))</f>
        <v/>
      </c>
      <c r="I421" t="str">
        <f>IF(G421="","",IF(G421="[FÓRMULA MANUAL]","",IFERROR(AVERAGEIFS(nNOTA,nNIA,G421,nCUENTA,1,nASIG,"Orquesta/Banda/Conjunto"),"")))</f>
        <v/>
      </c>
      <c r="J421" t="str">
        <f>IF(G421="","",IF(G421="[FÓRMULA MANUAL]","",IFERROR(AVERAGEIFS(nNOTA,nNIA,G421,nCUENTA,1,nASIG,"Conjunto"),"")))</f>
        <v/>
      </c>
      <c r="K421" t="str">
        <f>IF(G421="","",IF(G421="[FÓRMULA MANUAL]","",IFERROR(SUMPRODUCT((nNIA=G421)*(nCUENTA=1)*(COUNTIF(CONFIG_ASIGNATURAS!$B$7:$B$27,nASIG)&gt;0)*(nNOTA))/SUMPRODUCT((nNIA=G421)*(nCUENTA=1)*(COUNTIF(CONFIG_ASIGNATURAS!$B$7:$B$27,nASIG)&gt;0)*1),"")))</f>
        <v/>
      </c>
      <c r="N421" t="str">
        <f>IF(M421="","",IF(M421="[FÓRMULA MANUAL]","",IFERROR(AVERAGEIFS(nNOTA,nNIA,M421,nCUENTA,1,nASIG,"Armonía"),"")))</f>
        <v/>
      </c>
      <c r="O421" t="str">
        <f>IF(M421="","",IF(M421="[FÓRMULA MANUAL]","",IFERROR(AVERAGEIFS(nNOTA,nNIA,M421,nCUENTA,1,nASIG,"Orquesta/Banda/Conjunto"),"")))</f>
        <v/>
      </c>
      <c r="P421" t="str">
        <f>IF(M421="","",IF(M421="[FÓRMULA MANUAL]","",IFERROR(AVERAGEIFS(nNOTA,nNIA,M421,nCUENTA,1,nASIG,"Música de Cámara"),"")))</f>
        <v/>
      </c>
      <c r="Q421" t="str">
        <f>IF(M421="","",IF(M421="[FÓRMULA MANUAL]","",IFERROR(SUMPRODUCT((nNIA=M421)*(nCUENTA=1)*(COUNTIF(CONFIG_ASIGNATURAS!$B$7:$B$27,nASIG)&gt;0)*(nNOTA))/SUMPRODUCT((nNIA=M421)*(nCUENTA=1)*(COUNTIF(CONFIG_ASIGNATURAS!$B$7:$B$27,nASIG)&gt;0)*1),"")))</f>
        <v/>
      </c>
      <c r="T421" t="str">
        <f>IF(S421="","",IF(S421="[FÓRMULA MANUAL]","",IFERROR(AVERAGEIFS(nNOTA,nNIA,S421,nCUENTA,1,nASIG,"Armonía"),"")))</f>
        <v/>
      </c>
      <c r="U421" t="str">
        <f>IF(S421="","",IF(S421="[FÓRMULA MANUAL]","",IFERROR(AVERAGEIFS(nNOTA,nNIA,S421,nCUENTA,1,nASIG,"Orquesta/Banda/Conjunto"),"")))</f>
        <v/>
      </c>
      <c r="V421" t="str">
        <f>IF(S421="","",IF(S421="[FÓRMULA MANUAL]","",IFERROR(AVERAGEIFS(nNOTA,nNIA,S421,nCUENTA,1,nASIG,"Música de Cámara"),"")))</f>
        <v/>
      </c>
      <c r="W421" t="str">
        <f>IF(S421="","",IF(S421="[FÓRMULA MANUAL]","",IFERROR(SUMPRODUCT((nNIA=S421)*(nCUENTA=1)*(COUNTIF(CONFIG_ASIGNATURAS!$B$7:$B$27,nASIG)&gt;0)*(nNOTA))/SUMPRODUCT((nNIA=S421)*(nCUENTA=1)*(COUNTIF(CONFIG_ASIGNATURAS!$B$7:$B$27,nASIG)&gt;0)*1),"")))</f>
        <v/>
      </c>
      <c r="Z421" t="str">
        <f>IF(Y421="","",IF(Y421="[FÓRMULA MANUAL]","",IFERROR(AVERAGEIFS(nNOTA,nNIA,Y421,nCUENTA,1,nASIG,"Análisis"),"")))</f>
        <v/>
      </c>
      <c r="AA421" t="str">
        <f>IF(Y421="","",IF(Y421="[FÓRMULA MANUAL]","",IFERROR(AVERAGEIFS(nNOTA,nNIA,Y421,nCUENTA,1,nASIG,"Orquesta/Banda/Conjunto"),"")))</f>
        <v/>
      </c>
      <c r="AB421" t="str">
        <f>IF(Y421="","",IF(Y421="[FÓRMULA MANUAL]","",IFERROR(AVERAGEIFS(nNOTA,nNIA,Y421,nCUENTA,1,nASIG,"Música de Cámara"),"")))</f>
        <v/>
      </c>
      <c r="AC421" t="str">
        <f>IF(Y421="","",IF(Y421="[FÓRMULA MANUAL]","",IFERROR(SUMPRODUCT((nNIA=Y421)*(nCUENTA=1)*(COUNTIF(CONFIG_ASIGNATURAS!$B$7:$B$27,nASIG)&gt;0)*(nNOTA))/SUMPRODUCT((nNIA=Y421)*(nCUENTA=1)*(COUNTIF(CONFIG_ASIGNATURAS!$B$7:$B$27,nASIG)&gt;0)*1),"")))</f>
        <v/>
      </c>
      <c r="AF421" t="str">
        <f>IF(AE421="","",IF(AE421="[FÓRMULA MANUAL]","",IFERROR(AVERAGEIFS(nNOTA,nNIA,AE421,nCUENTA,1,nASIG,"Análisis"),"")))</f>
        <v/>
      </c>
      <c r="AG421" t="str">
        <f>IF(AE421="","",IF(AE421="[FÓRMULA MANUAL]","",IFERROR(AVERAGEIFS(nNOTA,nNIA,AE421,nCUENTA,1,nASIG,"Orquesta/Banda/Conjunto"),"")))</f>
        <v/>
      </c>
      <c r="AH421" t="str">
        <f>IF(AE421="","",IF(AE421="[FÓRMULA MANUAL]","",IFERROR(AVERAGEIFS(nNOTA,nNIA,AE421,nCUENTA,1,nASIG,"Música de Cámara"),"")))</f>
        <v/>
      </c>
      <c r="AI421" t="str">
        <f>IF(AE421="","",IF(AE421="[FÓRMULA MANUAL]","",IFERROR(SUMPRODUCT((nNIA=AE421)*(nCUENTA=1)*(COUNTIF(CONFIG_ASIGNATURAS!$B$7:$B$27,nASIG)&gt;0)*(nNOTA))/SUMPRODUCT((nNIA=AE421)*(nCUENTA=1)*(COUNTIF(CONFIG_ASIGNATURAS!$B$7:$B$27,nASIG)&gt;0)*1),"")))</f>
        <v/>
      </c>
    </row>
    <row r="422" spans="2:35" x14ac:dyDescent="0.2">
      <c r="B422" t="str">
        <f>IF(A422="","",IF(A422="[FÓRMULA MANUAL]","",IFERROR(AVERAGEIFS(nNOTA,nNIA,A422,nCUENTA,1,nASIG,"Lenguaje Musical"),"")))</f>
        <v/>
      </c>
      <c r="C422" t="str">
        <f>IF(A422="","",IF(A422="[FÓRMULA MANUAL]","",IFERROR(AVERAGEIFS(nNOTA,nNIA,A422,nCUENTA,1,nASIG,"Orquesta/Banda/Conjunto"),"")))</f>
        <v/>
      </c>
      <c r="D422" t="str">
        <f>IF(A422="","",IF(A422="[FÓRMULA MANUAL]","",IFERROR(AVERAGEIFS(nNOTA,nNIA,A422,nCUENTA,1,nASIG,"Conjunto"),"")))</f>
        <v/>
      </c>
      <c r="E422" t="str">
        <f>IF(A422="","",IF(A422="[FÓRMULA MANUAL]","",IFERROR(SUMPRODUCT((nNIA=A422)*(nCUENTA=1)*(COUNTIF(CONFIG_ASIGNATURAS!$B$7:$B$27,nASIG)&gt;0)*(nNOTA))/SUMPRODUCT((nNIA=A422)*(nCUENTA=1)*(COUNTIF(CONFIG_ASIGNATURAS!$B$7:$B$27,nASIG)&gt;0)*1),"")))</f>
        <v/>
      </c>
      <c r="H422" t="str">
        <f>IF(G422="","",IF(G422="[FÓRMULA MANUAL]","",IFERROR(AVERAGEIFS(nNOTA,nNIA,G422,nCUENTA,1,nASIG,"Lenguaje Musical"),"")))</f>
        <v/>
      </c>
      <c r="I422" t="str">
        <f>IF(G422="","",IF(G422="[FÓRMULA MANUAL]","",IFERROR(AVERAGEIFS(nNOTA,nNIA,G422,nCUENTA,1,nASIG,"Orquesta/Banda/Conjunto"),"")))</f>
        <v/>
      </c>
      <c r="J422" t="str">
        <f>IF(G422="","",IF(G422="[FÓRMULA MANUAL]","",IFERROR(AVERAGEIFS(nNOTA,nNIA,G422,nCUENTA,1,nASIG,"Conjunto"),"")))</f>
        <v/>
      </c>
      <c r="K422" t="str">
        <f>IF(G422="","",IF(G422="[FÓRMULA MANUAL]","",IFERROR(SUMPRODUCT((nNIA=G422)*(nCUENTA=1)*(COUNTIF(CONFIG_ASIGNATURAS!$B$7:$B$27,nASIG)&gt;0)*(nNOTA))/SUMPRODUCT((nNIA=G422)*(nCUENTA=1)*(COUNTIF(CONFIG_ASIGNATURAS!$B$7:$B$27,nASIG)&gt;0)*1),"")))</f>
        <v/>
      </c>
      <c r="N422" t="str">
        <f>IF(M422="","",IF(M422="[FÓRMULA MANUAL]","",IFERROR(AVERAGEIFS(nNOTA,nNIA,M422,nCUENTA,1,nASIG,"Armonía"),"")))</f>
        <v/>
      </c>
      <c r="O422" t="str">
        <f>IF(M422="","",IF(M422="[FÓRMULA MANUAL]","",IFERROR(AVERAGEIFS(nNOTA,nNIA,M422,nCUENTA,1,nASIG,"Orquesta/Banda/Conjunto"),"")))</f>
        <v/>
      </c>
      <c r="P422" t="str">
        <f>IF(M422="","",IF(M422="[FÓRMULA MANUAL]","",IFERROR(AVERAGEIFS(nNOTA,nNIA,M422,nCUENTA,1,nASIG,"Música de Cámara"),"")))</f>
        <v/>
      </c>
      <c r="Q422" t="str">
        <f>IF(M422="","",IF(M422="[FÓRMULA MANUAL]","",IFERROR(SUMPRODUCT((nNIA=M422)*(nCUENTA=1)*(COUNTIF(CONFIG_ASIGNATURAS!$B$7:$B$27,nASIG)&gt;0)*(nNOTA))/SUMPRODUCT((nNIA=M422)*(nCUENTA=1)*(COUNTIF(CONFIG_ASIGNATURAS!$B$7:$B$27,nASIG)&gt;0)*1),"")))</f>
        <v/>
      </c>
      <c r="T422" t="str">
        <f>IF(S422="","",IF(S422="[FÓRMULA MANUAL]","",IFERROR(AVERAGEIFS(nNOTA,nNIA,S422,nCUENTA,1,nASIG,"Armonía"),"")))</f>
        <v/>
      </c>
      <c r="U422" t="str">
        <f>IF(S422="","",IF(S422="[FÓRMULA MANUAL]","",IFERROR(AVERAGEIFS(nNOTA,nNIA,S422,nCUENTA,1,nASIG,"Orquesta/Banda/Conjunto"),"")))</f>
        <v/>
      </c>
      <c r="V422" t="str">
        <f>IF(S422="","",IF(S422="[FÓRMULA MANUAL]","",IFERROR(AVERAGEIFS(nNOTA,nNIA,S422,nCUENTA,1,nASIG,"Música de Cámara"),"")))</f>
        <v/>
      </c>
      <c r="W422" t="str">
        <f>IF(S422="","",IF(S422="[FÓRMULA MANUAL]","",IFERROR(SUMPRODUCT((nNIA=S422)*(nCUENTA=1)*(COUNTIF(CONFIG_ASIGNATURAS!$B$7:$B$27,nASIG)&gt;0)*(nNOTA))/SUMPRODUCT((nNIA=S422)*(nCUENTA=1)*(COUNTIF(CONFIG_ASIGNATURAS!$B$7:$B$27,nASIG)&gt;0)*1),"")))</f>
        <v/>
      </c>
      <c r="Z422" t="str">
        <f>IF(Y422="","",IF(Y422="[FÓRMULA MANUAL]","",IFERROR(AVERAGEIFS(nNOTA,nNIA,Y422,nCUENTA,1,nASIG,"Análisis"),"")))</f>
        <v/>
      </c>
      <c r="AA422" t="str">
        <f>IF(Y422="","",IF(Y422="[FÓRMULA MANUAL]","",IFERROR(AVERAGEIFS(nNOTA,nNIA,Y422,nCUENTA,1,nASIG,"Orquesta/Banda/Conjunto"),"")))</f>
        <v/>
      </c>
      <c r="AB422" t="str">
        <f>IF(Y422="","",IF(Y422="[FÓRMULA MANUAL]","",IFERROR(AVERAGEIFS(nNOTA,nNIA,Y422,nCUENTA,1,nASIG,"Música de Cámara"),"")))</f>
        <v/>
      </c>
      <c r="AC422" t="str">
        <f>IF(Y422="","",IF(Y422="[FÓRMULA MANUAL]","",IFERROR(SUMPRODUCT((nNIA=Y422)*(nCUENTA=1)*(COUNTIF(CONFIG_ASIGNATURAS!$B$7:$B$27,nASIG)&gt;0)*(nNOTA))/SUMPRODUCT((nNIA=Y422)*(nCUENTA=1)*(COUNTIF(CONFIG_ASIGNATURAS!$B$7:$B$27,nASIG)&gt;0)*1),"")))</f>
        <v/>
      </c>
      <c r="AF422" t="str">
        <f>IF(AE422="","",IF(AE422="[FÓRMULA MANUAL]","",IFERROR(AVERAGEIFS(nNOTA,nNIA,AE422,nCUENTA,1,nASIG,"Análisis"),"")))</f>
        <v/>
      </c>
      <c r="AG422" t="str">
        <f>IF(AE422="","",IF(AE422="[FÓRMULA MANUAL]","",IFERROR(AVERAGEIFS(nNOTA,nNIA,AE422,nCUENTA,1,nASIG,"Orquesta/Banda/Conjunto"),"")))</f>
        <v/>
      </c>
      <c r="AH422" t="str">
        <f>IF(AE422="","",IF(AE422="[FÓRMULA MANUAL]","",IFERROR(AVERAGEIFS(nNOTA,nNIA,AE422,nCUENTA,1,nASIG,"Música de Cámara"),"")))</f>
        <v/>
      </c>
      <c r="AI422" t="str">
        <f>IF(AE422="","",IF(AE422="[FÓRMULA MANUAL]","",IFERROR(SUMPRODUCT((nNIA=AE422)*(nCUENTA=1)*(COUNTIF(CONFIG_ASIGNATURAS!$B$7:$B$27,nASIG)&gt;0)*(nNOTA))/SUMPRODUCT((nNIA=AE422)*(nCUENTA=1)*(COUNTIF(CONFIG_ASIGNATURAS!$B$7:$B$27,nASIG)&gt;0)*1),"")))</f>
        <v/>
      </c>
    </row>
    <row r="423" spans="2:35" x14ac:dyDescent="0.2">
      <c r="B423" t="str">
        <f>IF(A423="","",IF(A423="[FÓRMULA MANUAL]","",IFERROR(AVERAGEIFS(nNOTA,nNIA,A423,nCUENTA,1,nASIG,"Lenguaje Musical"),"")))</f>
        <v/>
      </c>
      <c r="C423" t="str">
        <f>IF(A423="","",IF(A423="[FÓRMULA MANUAL]","",IFERROR(AVERAGEIFS(nNOTA,nNIA,A423,nCUENTA,1,nASIG,"Orquesta/Banda/Conjunto"),"")))</f>
        <v/>
      </c>
      <c r="D423" t="str">
        <f>IF(A423="","",IF(A423="[FÓRMULA MANUAL]","",IFERROR(AVERAGEIFS(nNOTA,nNIA,A423,nCUENTA,1,nASIG,"Conjunto"),"")))</f>
        <v/>
      </c>
      <c r="E423" t="str">
        <f>IF(A423="","",IF(A423="[FÓRMULA MANUAL]","",IFERROR(SUMPRODUCT((nNIA=A423)*(nCUENTA=1)*(COUNTIF(CONFIG_ASIGNATURAS!$B$7:$B$27,nASIG)&gt;0)*(nNOTA))/SUMPRODUCT((nNIA=A423)*(nCUENTA=1)*(COUNTIF(CONFIG_ASIGNATURAS!$B$7:$B$27,nASIG)&gt;0)*1),"")))</f>
        <v/>
      </c>
      <c r="H423" t="str">
        <f>IF(G423="","",IF(G423="[FÓRMULA MANUAL]","",IFERROR(AVERAGEIFS(nNOTA,nNIA,G423,nCUENTA,1,nASIG,"Lenguaje Musical"),"")))</f>
        <v/>
      </c>
      <c r="I423" t="str">
        <f>IF(G423="","",IF(G423="[FÓRMULA MANUAL]","",IFERROR(AVERAGEIFS(nNOTA,nNIA,G423,nCUENTA,1,nASIG,"Orquesta/Banda/Conjunto"),"")))</f>
        <v/>
      </c>
      <c r="J423" t="str">
        <f>IF(G423="","",IF(G423="[FÓRMULA MANUAL]","",IFERROR(AVERAGEIFS(nNOTA,nNIA,G423,nCUENTA,1,nASIG,"Conjunto"),"")))</f>
        <v/>
      </c>
      <c r="K423" t="str">
        <f>IF(G423="","",IF(G423="[FÓRMULA MANUAL]","",IFERROR(SUMPRODUCT((nNIA=G423)*(nCUENTA=1)*(COUNTIF(CONFIG_ASIGNATURAS!$B$7:$B$27,nASIG)&gt;0)*(nNOTA))/SUMPRODUCT((nNIA=G423)*(nCUENTA=1)*(COUNTIF(CONFIG_ASIGNATURAS!$B$7:$B$27,nASIG)&gt;0)*1),"")))</f>
        <v/>
      </c>
      <c r="N423" t="str">
        <f>IF(M423="","",IF(M423="[FÓRMULA MANUAL]","",IFERROR(AVERAGEIFS(nNOTA,nNIA,M423,nCUENTA,1,nASIG,"Armonía"),"")))</f>
        <v/>
      </c>
      <c r="O423" t="str">
        <f>IF(M423="","",IF(M423="[FÓRMULA MANUAL]","",IFERROR(AVERAGEIFS(nNOTA,nNIA,M423,nCUENTA,1,nASIG,"Orquesta/Banda/Conjunto"),"")))</f>
        <v/>
      </c>
      <c r="P423" t="str">
        <f>IF(M423="","",IF(M423="[FÓRMULA MANUAL]","",IFERROR(AVERAGEIFS(nNOTA,nNIA,M423,nCUENTA,1,nASIG,"Música de Cámara"),"")))</f>
        <v/>
      </c>
      <c r="Q423" t="str">
        <f>IF(M423="","",IF(M423="[FÓRMULA MANUAL]","",IFERROR(SUMPRODUCT((nNIA=M423)*(nCUENTA=1)*(COUNTIF(CONFIG_ASIGNATURAS!$B$7:$B$27,nASIG)&gt;0)*(nNOTA))/SUMPRODUCT((nNIA=M423)*(nCUENTA=1)*(COUNTIF(CONFIG_ASIGNATURAS!$B$7:$B$27,nASIG)&gt;0)*1),"")))</f>
        <v/>
      </c>
      <c r="T423" t="str">
        <f>IF(S423="","",IF(S423="[FÓRMULA MANUAL]","",IFERROR(AVERAGEIFS(nNOTA,nNIA,S423,nCUENTA,1,nASIG,"Armonía"),"")))</f>
        <v/>
      </c>
      <c r="U423" t="str">
        <f>IF(S423="","",IF(S423="[FÓRMULA MANUAL]","",IFERROR(AVERAGEIFS(nNOTA,nNIA,S423,nCUENTA,1,nASIG,"Orquesta/Banda/Conjunto"),"")))</f>
        <v/>
      </c>
      <c r="V423" t="str">
        <f>IF(S423="","",IF(S423="[FÓRMULA MANUAL]","",IFERROR(AVERAGEIFS(nNOTA,nNIA,S423,nCUENTA,1,nASIG,"Música de Cámara"),"")))</f>
        <v/>
      </c>
      <c r="W423" t="str">
        <f>IF(S423="","",IF(S423="[FÓRMULA MANUAL]","",IFERROR(SUMPRODUCT((nNIA=S423)*(nCUENTA=1)*(COUNTIF(CONFIG_ASIGNATURAS!$B$7:$B$27,nASIG)&gt;0)*(nNOTA))/SUMPRODUCT((nNIA=S423)*(nCUENTA=1)*(COUNTIF(CONFIG_ASIGNATURAS!$B$7:$B$27,nASIG)&gt;0)*1),"")))</f>
        <v/>
      </c>
      <c r="Z423" t="str">
        <f>IF(Y423="","",IF(Y423="[FÓRMULA MANUAL]","",IFERROR(AVERAGEIFS(nNOTA,nNIA,Y423,nCUENTA,1,nASIG,"Análisis"),"")))</f>
        <v/>
      </c>
      <c r="AA423" t="str">
        <f>IF(Y423="","",IF(Y423="[FÓRMULA MANUAL]","",IFERROR(AVERAGEIFS(nNOTA,nNIA,Y423,nCUENTA,1,nASIG,"Orquesta/Banda/Conjunto"),"")))</f>
        <v/>
      </c>
      <c r="AB423" t="str">
        <f>IF(Y423="","",IF(Y423="[FÓRMULA MANUAL]","",IFERROR(AVERAGEIFS(nNOTA,nNIA,Y423,nCUENTA,1,nASIG,"Música de Cámara"),"")))</f>
        <v/>
      </c>
      <c r="AC423" t="str">
        <f>IF(Y423="","",IF(Y423="[FÓRMULA MANUAL]","",IFERROR(SUMPRODUCT((nNIA=Y423)*(nCUENTA=1)*(COUNTIF(CONFIG_ASIGNATURAS!$B$7:$B$27,nASIG)&gt;0)*(nNOTA))/SUMPRODUCT((nNIA=Y423)*(nCUENTA=1)*(COUNTIF(CONFIG_ASIGNATURAS!$B$7:$B$27,nASIG)&gt;0)*1),"")))</f>
        <v/>
      </c>
      <c r="AF423" t="str">
        <f>IF(AE423="","",IF(AE423="[FÓRMULA MANUAL]","",IFERROR(AVERAGEIFS(nNOTA,nNIA,AE423,nCUENTA,1,nASIG,"Análisis"),"")))</f>
        <v/>
      </c>
      <c r="AG423" t="str">
        <f>IF(AE423="","",IF(AE423="[FÓRMULA MANUAL]","",IFERROR(AVERAGEIFS(nNOTA,nNIA,AE423,nCUENTA,1,nASIG,"Orquesta/Banda/Conjunto"),"")))</f>
        <v/>
      </c>
      <c r="AH423" t="str">
        <f>IF(AE423="","",IF(AE423="[FÓRMULA MANUAL]","",IFERROR(AVERAGEIFS(nNOTA,nNIA,AE423,nCUENTA,1,nASIG,"Música de Cámara"),"")))</f>
        <v/>
      </c>
      <c r="AI423" t="str">
        <f>IF(AE423="","",IF(AE423="[FÓRMULA MANUAL]","",IFERROR(SUMPRODUCT((nNIA=AE423)*(nCUENTA=1)*(COUNTIF(CONFIG_ASIGNATURAS!$B$7:$B$27,nASIG)&gt;0)*(nNOTA))/SUMPRODUCT((nNIA=AE423)*(nCUENTA=1)*(COUNTIF(CONFIG_ASIGNATURAS!$B$7:$B$27,nASIG)&gt;0)*1),"")))</f>
        <v/>
      </c>
    </row>
    <row r="424" spans="2:35" x14ac:dyDescent="0.2">
      <c r="B424" t="str">
        <f>IF(A424="","",IF(A424="[FÓRMULA MANUAL]","",IFERROR(AVERAGEIFS(nNOTA,nNIA,A424,nCUENTA,1,nASIG,"Lenguaje Musical"),"")))</f>
        <v/>
      </c>
      <c r="C424" t="str">
        <f>IF(A424="","",IF(A424="[FÓRMULA MANUAL]","",IFERROR(AVERAGEIFS(nNOTA,nNIA,A424,nCUENTA,1,nASIG,"Orquesta/Banda/Conjunto"),"")))</f>
        <v/>
      </c>
      <c r="D424" t="str">
        <f>IF(A424="","",IF(A424="[FÓRMULA MANUAL]","",IFERROR(AVERAGEIFS(nNOTA,nNIA,A424,nCUENTA,1,nASIG,"Conjunto"),"")))</f>
        <v/>
      </c>
      <c r="E424" t="str">
        <f>IF(A424="","",IF(A424="[FÓRMULA MANUAL]","",IFERROR(SUMPRODUCT((nNIA=A424)*(nCUENTA=1)*(COUNTIF(CONFIG_ASIGNATURAS!$B$7:$B$27,nASIG)&gt;0)*(nNOTA))/SUMPRODUCT((nNIA=A424)*(nCUENTA=1)*(COUNTIF(CONFIG_ASIGNATURAS!$B$7:$B$27,nASIG)&gt;0)*1),"")))</f>
        <v/>
      </c>
      <c r="H424" t="str">
        <f>IF(G424="","",IF(G424="[FÓRMULA MANUAL]","",IFERROR(AVERAGEIFS(nNOTA,nNIA,G424,nCUENTA,1,nASIG,"Lenguaje Musical"),"")))</f>
        <v/>
      </c>
      <c r="I424" t="str">
        <f>IF(G424="","",IF(G424="[FÓRMULA MANUAL]","",IFERROR(AVERAGEIFS(nNOTA,nNIA,G424,nCUENTA,1,nASIG,"Orquesta/Banda/Conjunto"),"")))</f>
        <v/>
      </c>
      <c r="J424" t="str">
        <f>IF(G424="","",IF(G424="[FÓRMULA MANUAL]","",IFERROR(AVERAGEIFS(nNOTA,nNIA,G424,nCUENTA,1,nASIG,"Conjunto"),"")))</f>
        <v/>
      </c>
      <c r="K424" t="str">
        <f>IF(G424="","",IF(G424="[FÓRMULA MANUAL]","",IFERROR(SUMPRODUCT((nNIA=G424)*(nCUENTA=1)*(COUNTIF(CONFIG_ASIGNATURAS!$B$7:$B$27,nASIG)&gt;0)*(nNOTA))/SUMPRODUCT((nNIA=G424)*(nCUENTA=1)*(COUNTIF(CONFIG_ASIGNATURAS!$B$7:$B$27,nASIG)&gt;0)*1),"")))</f>
        <v/>
      </c>
      <c r="N424" t="str">
        <f>IF(M424="","",IF(M424="[FÓRMULA MANUAL]","",IFERROR(AVERAGEIFS(nNOTA,nNIA,M424,nCUENTA,1,nASIG,"Armonía"),"")))</f>
        <v/>
      </c>
      <c r="O424" t="str">
        <f>IF(M424="","",IF(M424="[FÓRMULA MANUAL]","",IFERROR(AVERAGEIFS(nNOTA,nNIA,M424,nCUENTA,1,nASIG,"Orquesta/Banda/Conjunto"),"")))</f>
        <v/>
      </c>
      <c r="P424" t="str">
        <f>IF(M424="","",IF(M424="[FÓRMULA MANUAL]","",IFERROR(AVERAGEIFS(nNOTA,nNIA,M424,nCUENTA,1,nASIG,"Música de Cámara"),"")))</f>
        <v/>
      </c>
      <c r="Q424" t="str">
        <f>IF(M424="","",IF(M424="[FÓRMULA MANUAL]","",IFERROR(SUMPRODUCT((nNIA=M424)*(nCUENTA=1)*(COUNTIF(CONFIG_ASIGNATURAS!$B$7:$B$27,nASIG)&gt;0)*(nNOTA))/SUMPRODUCT((nNIA=M424)*(nCUENTA=1)*(COUNTIF(CONFIG_ASIGNATURAS!$B$7:$B$27,nASIG)&gt;0)*1),"")))</f>
        <v/>
      </c>
      <c r="T424" t="str">
        <f>IF(S424="","",IF(S424="[FÓRMULA MANUAL]","",IFERROR(AVERAGEIFS(nNOTA,nNIA,S424,nCUENTA,1,nASIG,"Armonía"),"")))</f>
        <v/>
      </c>
      <c r="U424" t="str">
        <f>IF(S424="","",IF(S424="[FÓRMULA MANUAL]","",IFERROR(AVERAGEIFS(nNOTA,nNIA,S424,nCUENTA,1,nASIG,"Orquesta/Banda/Conjunto"),"")))</f>
        <v/>
      </c>
      <c r="V424" t="str">
        <f>IF(S424="","",IF(S424="[FÓRMULA MANUAL]","",IFERROR(AVERAGEIFS(nNOTA,nNIA,S424,nCUENTA,1,nASIG,"Música de Cámara"),"")))</f>
        <v/>
      </c>
      <c r="W424" t="str">
        <f>IF(S424="","",IF(S424="[FÓRMULA MANUAL]","",IFERROR(SUMPRODUCT((nNIA=S424)*(nCUENTA=1)*(COUNTIF(CONFIG_ASIGNATURAS!$B$7:$B$27,nASIG)&gt;0)*(nNOTA))/SUMPRODUCT((nNIA=S424)*(nCUENTA=1)*(COUNTIF(CONFIG_ASIGNATURAS!$B$7:$B$27,nASIG)&gt;0)*1),"")))</f>
        <v/>
      </c>
      <c r="Z424" t="str">
        <f>IF(Y424="","",IF(Y424="[FÓRMULA MANUAL]","",IFERROR(AVERAGEIFS(nNOTA,nNIA,Y424,nCUENTA,1,nASIG,"Análisis"),"")))</f>
        <v/>
      </c>
      <c r="AA424" t="str">
        <f>IF(Y424="","",IF(Y424="[FÓRMULA MANUAL]","",IFERROR(AVERAGEIFS(nNOTA,nNIA,Y424,nCUENTA,1,nASIG,"Orquesta/Banda/Conjunto"),"")))</f>
        <v/>
      </c>
      <c r="AB424" t="str">
        <f>IF(Y424="","",IF(Y424="[FÓRMULA MANUAL]","",IFERROR(AVERAGEIFS(nNOTA,nNIA,Y424,nCUENTA,1,nASIG,"Música de Cámara"),"")))</f>
        <v/>
      </c>
      <c r="AC424" t="str">
        <f>IF(Y424="","",IF(Y424="[FÓRMULA MANUAL]","",IFERROR(SUMPRODUCT((nNIA=Y424)*(nCUENTA=1)*(COUNTIF(CONFIG_ASIGNATURAS!$B$7:$B$27,nASIG)&gt;0)*(nNOTA))/SUMPRODUCT((nNIA=Y424)*(nCUENTA=1)*(COUNTIF(CONFIG_ASIGNATURAS!$B$7:$B$27,nASIG)&gt;0)*1),"")))</f>
        <v/>
      </c>
      <c r="AF424" t="str">
        <f>IF(AE424="","",IF(AE424="[FÓRMULA MANUAL]","",IFERROR(AVERAGEIFS(nNOTA,nNIA,AE424,nCUENTA,1,nASIG,"Análisis"),"")))</f>
        <v/>
      </c>
      <c r="AG424" t="str">
        <f>IF(AE424="","",IF(AE424="[FÓRMULA MANUAL]","",IFERROR(AVERAGEIFS(nNOTA,nNIA,AE424,nCUENTA,1,nASIG,"Orquesta/Banda/Conjunto"),"")))</f>
        <v/>
      </c>
      <c r="AH424" t="str">
        <f>IF(AE424="","",IF(AE424="[FÓRMULA MANUAL]","",IFERROR(AVERAGEIFS(nNOTA,nNIA,AE424,nCUENTA,1,nASIG,"Música de Cámara"),"")))</f>
        <v/>
      </c>
      <c r="AI424" t="str">
        <f>IF(AE424="","",IF(AE424="[FÓRMULA MANUAL]","",IFERROR(SUMPRODUCT((nNIA=AE424)*(nCUENTA=1)*(COUNTIF(CONFIG_ASIGNATURAS!$B$7:$B$27,nASIG)&gt;0)*(nNOTA))/SUMPRODUCT((nNIA=AE424)*(nCUENTA=1)*(COUNTIF(CONFIG_ASIGNATURAS!$B$7:$B$27,nASIG)&gt;0)*1),"")))</f>
        <v/>
      </c>
    </row>
    <row r="425" spans="2:35" x14ac:dyDescent="0.2">
      <c r="B425" t="str">
        <f>IF(A425="","",IF(A425="[FÓRMULA MANUAL]","",IFERROR(AVERAGEIFS(nNOTA,nNIA,A425,nCUENTA,1,nASIG,"Lenguaje Musical"),"")))</f>
        <v/>
      </c>
      <c r="C425" t="str">
        <f>IF(A425="","",IF(A425="[FÓRMULA MANUAL]","",IFERROR(AVERAGEIFS(nNOTA,nNIA,A425,nCUENTA,1,nASIG,"Orquesta/Banda/Conjunto"),"")))</f>
        <v/>
      </c>
      <c r="D425" t="str">
        <f>IF(A425="","",IF(A425="[FÓRMULA MANUAL]","",IFERROR(AVERAGEIFS(nNOTA,nNIA,A425,nCUENTA,1,nASIG,"Conjunto"),"")))</f>
        <v/>
      </c>
      <c r="E425" t="str">
        <f>IF(A425="","",IF(A425="[FÓRMULA MANUAL]","",IFERROR(SUMPRODUCT((nNIA=A425)*(nCUENTA=1)*(COUNTIF(CONFIG_ASIGNATURAS!$B$7:$B$27,nASIG)&gt;0)*(nNOTA))/SUMPRODUCT((nNIA=A425)*(nCUENTA=1)*(COUNTIF(CONFIG_ASIGNATURAS!$B$7:$B$27,nASIG)&gt;0)*1),"")))</f>
        <v/>
      </c>
      <c r="H425" t="str">
        <f>IF(G425="","",IF(G425="[FÓRMULA MANUAL]","",IFERROR(AVERAGEIFS(nNOTA,nNIA,G425,nCUENTA,1,nASIG,"Lenguaje Musical"),"")))</f>
        <v/>
      </c>
      <c r="I425" t="str">
        <f>IF(G425="","",IF(G425="[FÓRMULA MANUAL]","",IFERROR(AVERAGEIFS(nNOTA,nNIA,G425,nCUENTA,1,nASIG,"Orquesta/Banda/Conjunto"),"")))</f>
        <v/>
      </c>
      <c r="J425" t="str">
        <f>IF(G425="","",IF(G425="[FÓRMULA MANUAL]","",IFERROR(AVERAGEIFS(nNOTA,nNIA,G425,nCUENTA,1,nASIG,"Conjunto"),"")))</f>
        <v/>
      </c>
      <c r="K425" t="str">
        <f>IF(G425="","",IF(G425="[FÓRMULA MANUAL]","",IFERROR(SUMPRODUCT((nNIA=G425)*(nCUENTA=1)*(COUNTIF(CONFIG_ASIGNATURAS!$B$7:$B$27,nASIG)&gt;0)*(nNOTA))/SUMPRODUCT((nNIA=G425)*(nCUENTA=1)*(COUNTIF(CONFIG_ASIGNATURAS!$B$7:$B$27,nASIG)&gt;0)*1),"")))</f>
        <v/>
      </c>
      <c r="N425" t="str">
        <f>IF(M425="","",IF(M425="[FÓRMULA MANUAL]","",IFERROR(AVERAGEIFS(nNOTA,nNIA,M425,nCUENTA,1,nASIG,"Armonía"),"")))</f>
        <v/>
      </c>
      <c r="O425" t="str">
        <f>IF(M425="","",IF(M425="[FÓRMULA MANUAL]","",IFERROR(AVERAGEIFS(nNOTA,nNIA,M425,nCUENTA,1,nASIG,"Orquesta/Banda/Conjunto"),"")))</f>
        <v/>
      </c>
      <c r="P425" t="str">
        <f>IF(M425="","",IF(M425="[FÓRMULA MANUAL]","",IFERROR(AVERAGEIFS(nNOTA,nNIA,M425,nCUENTA,1,nASIG,"Música de Cámara"),"")))</f>
        <v/>
      </c>
      <c r="Q425" t="str">
        <f>IF(M425="","",IF(M425="[FÓRMULA MANUAL]","",IFERROR(SUMPRODUCT((nNIA=M425)*(nCUENTA=1)*(COUNTIF(CONFIG_ASIGNATURAS!$B$7:$B$27,nASIG)&gt;0)*(nNOTA))/SUMPRODUCT((nNIA=M425)*(nCUENTA=1)*(COUNTIF(CONFIG_ASIGNATURAS!$B$7:$B$27,nASIG)&gt;0)*1),"")))</f>
        <v/>
      </c>
      <c r="T425" t="str">
        <f>IF(S425="","",IF(S425="[FÓRMULA MANUAL]","",IFERROR(AVERAGEIFS(nNOTA,nNIA,S425,nCUENTA,1,nASIG,"Armonía"),"")))</f>
        <v/>
      </c>
      <c r="U425" t="str">
        <f>IF(S425="","",IF(S425="[FÓRMULA MANUAL]","",IFERROR(AVERAGEIFS(nNOTA,nNIA,S425,nCUENTA,1,nASIG,"Orquesta/Banda/Conjunto"),"")))</f>
        <v/>
      </c>
      <c r="V425" t="str">
        <f>IF(S425="","",IF(S425="[FÓRMULA MANUAL]","",IFERROR(AVERAGEIFS(nNOTA,nNIA,S425,nCUENTA,1,nASIG,"Música de Cámara"),"")))</f>
        <v/>
      </c>
      <c r="W425" t="str">
        <f>IF(S425="","",IF(S425="[FÓRMULA MANUAL]","",IFERROR(SUMPRODUCT((nNIA=S425)*(nCUENTA=1)*(COUNTIF(CONFIG_ASIGNATURAS!$B$7:$B$27,nASIG)&gt;0)*(nNOTA))/SUMPRODUCT((nNIA=S425)*(nCUENTA=1)*(COUNTIF(CONFIG_ASIGNATURAS!$B$7:$B$27,nASIG)&gt;0)*1),"")))</f>
        <v/>
      </c>
      <c r="Z425" t="str">
        <f>IF(Y425="","",IF(Y425="[FÓRMULA MANUAL]","",IFERROR(AVERAGEIFS(nNOTA,nNIA,Y425,nCUENTA,1,nASIG,"Análisis"),"")))</f>
        <v/>
      </c>
      <c r="AA425" t="str">
        <f>IF(Y425="","",IF(Y425="[FÓRMULA MANUAL]","",IFERROR(AVERAGEIFS(nNOTA,nNIA,Y425,nCUENTA,1,nASIG,"Orquesta/Banda/Conjunto"),"")))</f>
        <v/>
      </c>
      <c r="AB425" t="str">
        <f>IF(Y425="","",IF(Y425="[FÓRMULA MANUAL]","",IFERROR(AVERAGEIFS(nNOTA,nNIA,Y425,nCUENTA,1,nASIG,"Música de Cámara"),"")))</f>
        <v/>
      </c>
      <c r="AC425" t="str">
        <f>IF(Y425="","",IF(Y425="[FÓRMULA MANUAL]","",IFERROR(SUMPRODUCT((nNIA=Y425)*(nCUENTA=1)*(COUNTIF(CONFIG_ASIGNATURAS!$B$7:$B$27,nASIG)&gt;0)*(nNOTA))/SUMPRODUCT((nNIA=Y425)*(nCUENTA=1)*(COUNTIF(CONFIG_ASIGNATURAS!$B$7:$B$27,nASIG)&gt;0)*1),"")))</f>
        <v/>
      </c>
      <c r="AF425" t="str">
        <f>IF(AE425="","",IF(AE425="[FÓRMULA MANUAL]","",IFERROR(AVERAGEIFS(nNOTA,nNIA,AE425,nCUENTA,1,nASIG,"Análisis"),"")))</f>
        <v/>
      </c>
      <c r="AG425" t="str">
        <f>IF(AE425="","",IF(AE425="[FÓRMULA MANUAL]","",IFERROR(AVERAGEIFS(nNOTA,nNIA,AE425,nCUENTA,1,nASIG,"Orquesta/Banda/Conjunto"),"")))</f>
        <v/>
      </c>
      <c r="AH425" t="str">
        <f>IF(AE425="","",IF(AE425="[FÓRMULA MANUAL]","",IFERROR(AVERAGEIFS(nNOTA,nNIA,AE425,nCUENTA,1,nASIG,"Música de Cámara"),"")))</f>
        <v/>
      </c>
      <c r="AI425" t="str">
        <f>IF(AE425="","",IF(AE425="[FÓRMULA MANUAL]","",IFERROR(SUMPRODUCT((nNIA=AE425)*(nCUENTA=1)*(COUNTIF(CONFIG_ASIGNATURAS!$B$7:$B$27,nASIG)&gt;0)*(nNOTA))/SUMPRODUCT((nNIA=AE425)*(nCUENTA=1)*(COUNTIF(CONFIG_ASIGNATURAS!$B$7:$B$27,nASIG)&gt;0)*1),"")))</f>
        <v/>
      </c>
    </row>
    <row r="426" spans="2:35" x14ac:dyDescent="0.2">
      <c r="B426" t="str">
        <f>IF(A426="","",IF(A426="[FÓRMULA MANUAL]","",IFERROR(AVERAGEIFS(nNOTA,nNIA,A426,nCUENTA,1,nASIG,"Lenguaje Musical"),"")))</f>
        <v/>
      </c>
      <c r="C426" t="str">
        <f>IF(A426="","",IF(A426="[FÓRMULA MANUAL]","",IFERROR(AVERAGEIFS(nNOTA,nNIA,A426,nCUENTA,1,nASIG,"Orquesta/Banda/Conjunto"),"")))</f>
        <v/>
      </c>
      <c r="D426" t="str">
        <f>IF(A426="","",IF(A426="[FÓRMULA MANUAL]","",IFERROR(AVERAGEIFS(nNOTA,nNIA,A426,nCUENTA,1,nASIG,"Conjunto"),"")))</f>
        <v/>
      </c>
      <c r="E426" t="str">
        <f>IF(A426="","",IF(A426="[FÓRMULA MANUAL]","",IFERROR(SUMPRODUCT((nNIA=A426)*(nCUENTA=1)*(COUNTIF(CONFIG_ASIGNATURAS!$B$7:$B$27,nASIG)&gt;0)*(nNOTA))/SUMPRODUCT((nNIA=A426)*(nCUENTA=1)*(COUNTIF(CONFIG_ASIGNATURAS!$B$7:$B$27,nASIG)&gt;0)*1),"")))</f>
        <v/>
      </c>
      <c r="H426" t="str">
        <f>IF(G426="","",IF(G426="[FÓRMULA MANUAL]","",IFERROR(AVERAGEIFS(nNOTA,nNIA,G426,nCUENTA,1,nASIG,"Lenguaje Musical"),"")))</f>
        <v/>
      </c>
      <c r="I426" t="str">
        <f>IF(G426="","",IF(G426="[FÓRMULA MANUAL]","",IFERROR(AVERAGEIFS(nNOTA,nNIA,G426,nCUENTA,1,nASIG,"Orquesta/Banda/Conjunto"),"")))</f>
        <v/>
      </c>
      <c r="J426" t="str">
        <f>IF(G426="","",IF(G426="[FÓRMULA MANUAL]","",IFERROR(AVERAGEIFS(nNOTA,nNIA,G426,nCUENTA,1,nASIG,"Conjunto"),"")))</f>
        <v/>
      </c>
      <c r="K426" t="str">
        <f>IF(G426="","",IF(G426="[FÓRMULA MANUAL]","",IFERROR(SUMPRODUCT((nNIA=G426)*(nCUENTA=1)*(COUNTIF(CONFIG_ASIGNATURAS!$B$7:$B$27,nASIG)&gt;0)*(nNOTA))/SUMPRODUCT((nNIA=G426)*(nCUENTA=1)*(COUNTIF(CONFIG_ASIGNATURAS!$B$7:$B$27,nASIG)&gt;0)*1),"")))</f>
        <v/>
      </c>
      <c r="N426" t="str">
        <f>IF(M426="","",IF(M426="[FÓRMULA MANUAL]","",IFERROR(AVERAGEIFS(nNOTA,nNIA,M426,nCUENTA,1,nASIG,"Armonía"),"")))</f>
        <v/>
      </c>
      <c r="O426" t="str">
        <f>IF(M426="","",IF(M426="[FÓRMULA MANUAL]","",IFERROR(AVERAGEIFS(nNOTA,nNIA,M426,nCUENTA,1,nASIG,"Orquesta/Banda/Conjunto"),"")))</f>
        <v/>
      </c>
      <c r="P426" t="str">
        <f>IF(M426="","",IF(M426="[FÓRMULA MANUAL]","",IFERROR(AVERAGEIFS(nNOTA,nNIA,M426,nCUENTA,1,nASIG,"Música de Cámara"),"")))</f>
        <v/>
      </c>
      <c r="Q426" t="str">
        <f>IF(M426="","",IF(M426="[FÓRMULA MANUAL]","",IFERROR(SUMPRODUCT((nNIA=M426)*(nCUENTA=1)*(COUNTIF(CONFIG_ASIGNATURAS!$B$7:$B$27,nASIG)&gt;0)*(nNOTA))/SUMPRODUCT((nNIA=M426)*(nCUENTA=1)*(COUNTIF(CONFIG_ASIGNATURAS!$B$7:$B$27,nASIG)&gt;0)*1),"")))</f>
        <v/>
      </c>
      <c r="T426" t="str">
        <f>IF(S426="","",IF(S426="[FÓRMULA MANUAL]","",IFERROR(AVERAGEIFS(nNOTA,nNIA,S426,nCUENTA,1,nASIG,"Armonía"),"")))</f>
        <v/>
      </c>
      <c r="U426" t="str">
        <f>IF(S426="","",IF(S426="[FÓRMULA MANUAL]","",IFERROR(AVERAGEIFS(nNOTA,nNIA,S426,nCUENTA,1,nASIG,"Orquesta/Banda/Conjunto"),"")))</f>
        <v/>
      </c>
      <c r="V426" t="str">
        <f>IF(S426="","",IF(S426="[FÓRMULA MANUAL]","",IFERROR(AVERAGEIFS(nNOTA,nNIA,S426,nCUENTA,1,nASIG,"Música de Cámara"),"")))</f>
        <v/>
      </c>
      <c r="W426" t="str">
        <f>IF(S426="","",IF(S426="[FÓRMULA MANUAL]","",IFERROR(SUMPRODUCT((nNIA=S426)*(nCUENTA=1)*(COUNTIF(CONFIG_ASIGNATURAS!$B$7:$B$27,nASIG)&gt;0)*(nNOTA))/SUMPRODUCT((nNIA=S426)*(nCUENTA=1)*(COUNTIF(CONFIG_ASIGNATURAS!$B$7:$B$27,nASIG)&gt;0)*1),"")))</f>
        <v/>
      </c>
      <c r="Z426" t="str">
        <f>IF(Y426="","",IF(Y426="[FÓRMULA MANUAL]","",IFERROR(AVERAGEIFS(nNOTA,nNIA,Y426,nCUENTA,1,nASIG,"Análisis"),"")))</f>
        <v/>
      </c>
      <c r="AA426" t="str">
        <f>IF(Y426="","",IF(Y426="[FÓRMULA MANUAL]","",IFERROR(AVERAGEIFS(nNOTA,nNIA,Y426,nCUENTA,1,nASIG,"Orquesta/Banda/Conjunto"),"")))</f>
        <v/>
      </c>
      <c r="AB426" t="str">
        <f>IF(Y426="","",IF(Y426="[FÓRMULA MANUAL]","",IFERROR(AVERAGEIFS(nNOTA,nNIA,Y426,nCUENTA,1,nASIG,"Música de Cámara"),"")))</f>
        <v/>
      </c>
      <c r="AC426" t="str">
        <f>IF(Y426="","",IF(Y426="[FÓRMULA MANUAL]","",IFERROR(SUMPRODUCT((nNIA=Y426)*(nCUENTA=1)*(COUNTIF(CONFIG_ASIGNATURAS!$B$7:$B$27,nASIG)&gt;0)*(nNOTA))/SUMPRODUCT((nNIA=Y426)*(nCUENTA=1)*(COUNTIF(CONFIG_ASIGNATURAS!$B$7:$B$27,nASIG)&gt;0)*1),"")))</f>
        <v/>
      </c>
      <c r="AF426" t="str">
        <f>IF(AE426="","",IF(AE426="[FÓRMULA MANUAL]","",IFERROR(AVERAGEIFS(nNOTA,nNIA,AE426,nCUENTA,1,nASIG,"Análisis"),"")))</f>
        <v/>
      </c>
      <c r="AG426" t="str">
        <f>IF(AE426="","",IF(AE426="[FÓRMULA MANUAL]","",IFERROR(AVERAGEIFS(nNOTA,nNIA,AE426,nCUENTA,1,nASIG,"Orquesta/Banda/Conjunto"),"")))</f>
        <v/>
      </c>
      <c r="AH426" t="str">
        <f>IF(AE426="","",IF(AE426="[FÓRMULA MANUAL]","",IFERROR(AVERAGEIFS(nNOTA,nNIA,AE426,nCUENTA,1,nASIG,"Música de Cámara"),"")))</f>
        <v/>
      </c>
      <c r="AI426" t="str">
        <f>IF(AE426="","",IF(AE426="[FÓRMULA MANUAL]","",IFERROR(SUMPRODUCT((nNIA=AE426)*(nCUENTA=1)*(COUNTIF(CONFIG_ASIGNATURAS!$B$7:$B$27,nASIG)&gt;0)*(nNOTA))/SUMPRODUCT((nNIA=AE426)*(nCUENTA=1)*(COUNTIF(CONFIG_ASIGNATURAS!$B$7:$B$27,nASIG)&gt;0)*1),"")))</f>
        <v/>
      </c>
    </row>
    <row r="427" spans="2:35" x14ac:dyDescent="0.2">
      <c r="B427" t="str">
        <f>IF(A427="","",IF(A427="[FÓRMULA MANUAL]","",IFERROR(AVERAGEIFS(nNOTA,nNIA,A427,nCUENTA,1,nASIG,"Lenguaje Musical"),"")))</f>
        <v/>
      </c>
      <c r="C427" t="str">
        <f>IF(A427="","",IF(A427="[FÓRMULA MANUAL]","",IFERROR(AVERAGEIFS(nNOTA,nNIA,A427,nCUENTA,1,nASIG,"Orquesta/Banda/Conjunto"),"")))</f>
        <v/>
      </c>
      <c r="D427" t="str">
        <f>IF(A427="","",IF(A427="[FÓRMULA MANUAL]","",IFERROR(AVERAGEIFS(nNOTA,nNIA,A427,nCUENTA,1,nASIG,"Conjunto"),"")))</f>
        <v/>
      </c>
      <c r="E427" t="str">
        <f>IF(A427="","",IF(A427="[FÓRMULA MANUAL]","",IFERROR(SUMPRODUCT((nNIA=A427)*(nCUENTA=1)*(COUNTIF(CONFIG_ASIGNATURAS!$B$7:$B$27,nASIG)&gt;0)*(nNOTA))/SUMPRODUCT((nNIA=A427)*(nCUENTA=1)*(COUNTIF(CONFIG_ASIGNATURAS!$B$7:$B$27,nASIG)&gt;0)*1),"")))</f>
        <v/>
      </c>
      <c r="H427" t="str">
        <f>IF(G427="","",IF(G427="[FÓRMULA MANUAL]","",IFERROR(AVERAGEIFS(nNOTA,nNIA,G427,nCUENTA,1,nASIG,"Lenguaje Musical"),"")))</f>
        <v/>
      </c>
      <c r="I427" t="str">
        <f>IF(G427="","",IF(G427="[FÓRMULA MANUAL]","",IFERROR(AVERAGEIFS(nNOTA,nNIA,G427,nCUENTA,1,nASIG,"Orquesta/Banda/Conjunto"),"")))</f>
        <v/>
      </c>
      <c r="J427" t="str">
        <f>IF(G427="","",IF(G427="[FÓRMULA MANUAL]","",IFERROR(AVERAGEIFS(nNOTA,nNIA,G427,nCUENTA,1,nASIG,"Conjunto"),"")))</f>
        <v/>
      </c>
      <c r="K427" t="str">
        <f>IF(G427="","",IF(G427="[FÓRMULA MANUAL]","",IFERROR(SUMPRODUCT((nNIA=G427)*(nCUENTA=1)*(COUNTIF(CONFIG_ASIGNATURAS!$B$7:$B$27,nASIG)&gt;0)*(nNOTA))/SUMPRODUCT((nNIA=G427)*(nCUENTA=1)*(COUNTIF(CONFIG_ASIGNATURAS!$B$7:$B$27,nASIG)&gt;0)*1),"")))</f>
        <v/>
      </c>
      <c r="N427" t="str">
        <f>IF(M427="","",IF(M427="[FÓRMULA MANUAL]","",IFERROR(AVERAGEIFS(nNOTA,nNIA,M427,nCUENTA,1,nASIG,"Armonía"),"")))</f>
        <v/>
      </c>
      <c r="O427" t="str">
        <f>IF(M427="","",IF(M427="[FÓRMULA MANUAL]","",IFERROR(AVERAGEIFS(nNOTA,nNIA,M427,nCUENTA,1,nASIG,"Orquesta/Banda/Conjunto"),"")))</f>
        <v/>
      </c>
      <c r="P427" t="str">
        <f>IF(M427="","",IF(M427="[FÓRMULA MANUAL]","",IFERROR(AVERAGEIFS(nNOTA,nNIA,M427,nCUENTA,1,nASIG,"Música de Cámara"),"")))</f>
        <v/>
      </c>
      <c r="Q427" t="str">
        <f>IF(M427="","",IF(M427="[FÓRMULA MANUAL]","",IFERROR(SUMPRODUCT((nNIA=M427)*(nCUENTA=1)*(COUNTIF(CONFIG_ASIGNATURAS!$B$7:$B$27,nASIG)&gt;0)*(nNOTA))/SUMPRODUCT((nNIA=M427)*(nCUENTA=1)*(COUNTIF(CONFIG_ASIGNATURAS!$B$7:$B$27,nASIG)&gt;0)*1),"")))</f>
        <v/>
      </c>
      <c r="T427" t="str">
        <f>IF(S427="","",IF(S427="[FÓRMULA MANUAL]","",IFERROR(AVERAGEIFS(nNOTA,nNIA,S427,nCUENTA,1,nASIG,"Armonía"),"")))</f>
        <v/>
      </c>
      <c r="U427" t="str">
        <f>IF(S427="","",IF(S427="[FÓRMULA MANUAL]","",IFERROR(AVERAGEIFS(nNOTA,nNIA,S427,nCUENTA,1,nASIG,"Orquesta/Banda/Conjunto"),"")))</f>
        <v/>
      </c>
      <c r="V427" t="str">
        <f>IF(S427="","",IF(S427="[FÓRMULA MANUAL]","",IFERROR(AVERAGEIFS(nNOTA,nNIA,S427,nCUENTA,1,nASIG,"Música de Cámara"),"")))</f>
        <v/>
      </c>
      <c r="W427" t="str">
        <f>IF(S427="","",IF(S427="[FÓRMULA MANUAL]","",IFERROR(SUMPRODUCT((nNIA=S427)*(nCUENTA=1)*(COUNTIF(CONFIG_ASIGNATURAS!$B$7:$B$27,nASIG)&gt;0)*(nNOTA))/SUMPRODUCT((nNIA=S427)*(nCUENTA=1)*(COUNTIF(CONFIG_ASIGNATURAS!$B$7:$B$27,nASIG)&gt;0)*1),"")))</f>
        <v/>
      </c>
      <c r="Z427" t="str">
        <f>IF(Y427="","",IF(Y427="[FÓRMULA MANUAL]","",IFERROR(AVERAGEIFS(nNOTA,nNIA,Y427,nCUENTA,1,nASIG,"Análisis"),"")))</f>
        <v/>
      </c>
      <c r="AA427" t="str">
        <f>IF(Y427="","",IF(Y427="[FÓRMULA MANUAL]","",IFERROR(AVERAGEIFS(nNOTA,nNIA,Y427,nCUENTA,1,nASIG,"Orquesta/Banda/Conjunto"),"")))</f>
        <v/>
      </c>
      <c r="AB427" t="str">
        <f>IF(Y427="","",IF(Y427="[FÓRMULA MANUAL]","",IFERROR(AVERAGEIFS(nNOTA,nNIA,Y427,nCUENTA,1,nASIG,"Música de Cámara"),"")))</f>
        <v/>
      </c>
      <c r="AC427" t="str">
        <f>IF(Y427="","",IF(Y427="[FÓRMULA MANUAL]","",IFERROR(SUMPRODUCT((nNIA=Y427)*(nCUENTA=1)*(COUNTIF(CONFIG_ASIGNATURAS!$B$7:$B$27,nASIG)&gt;0)*(nNOTA))/SUMPRODUCT((nNIA=Y427)*(nCUENTA=1)*(COUNTIF(CONFIG_ASIGNATURAS!$B$7:$B$27,nASIG)&gt;0)*1),"")))</f>
        <v/>
      </c>
      <c r="AF427" t="str">
        <f>IF(AE427="","",IF(AE427="[FÓRMULA MANUAL]","",IFERROR(AVERAGEIFS(nNOTA,nNIA,AE427,nCUENTA,1,nASIG,"Análisis"),"")))</f>
        <v/>
      </c>
      <c r="AG427" t="str">
        <f>IF(AE427="","",IF(AE427="[FÓRMULA MANUAL]","",IFERROR(AVERAGEIFS(nNOTA,nNIA,AE427,nCUENTA,1,nASIG,"Orquesta/Banda/Conjunto"),"")))</f>
        <v/>
      </c>
      <c r="AH427" t="str">
        <f>IF(AE427="","",IF(AE427="[FÓRMULA MANUAL]","",IFERROR(AVERAGEIFS(nNOTA,nNIA,AE427,nCUENTA,1,nASIG,"Música de Cámara"),"")))</f>
        <v/>
      </c>
      <c r="AI427" t="str">
        <f>IF(AE427="","",IF(AE427="[FÓRMULA MANUAL]","",IFERROR(SUMPRODUCT((nNIA=AE427)*(nCUENTA=1)*(COUNTIF(CONFIG_ASIGNATURAS!$B$7:$B$27,nASIG)&gt;0)*(nNOTA))/SUMPRODUCT((nNIA=AE427)*(nCUENTA=1)*(COUNTIF(CONFIG_ASIGNATURAS!$B$7:$B$27,nASIG)&gt;0)*1),"")))</f>
        <v/>
      </c>
    </row>
    <row r="428" spans="2:35" x14ac:dyDescent="0.2">
      <c r="B428" t="str">
        <f>IF(A428="","",IF(A428="[FÓRMULA MANUAL]","",IFERROR(AVERAGEIFS(nNOTA,nNIA,A428,nCUENTA,1,nASIG,"Lenguaje Musical"),"")))</f>
        <v/>
      </c>
      <c r="C428" t="str">
        <f>IF(A428="","",IF(A428="[FÓRMULA MANUAL]","",IFERROR(AVERAGEIFS(nNOTA,nNIA,A428,nCUENTA,1,nASIG,"Orquesta/Banda/Conjunto"),"")))</f>
        <v/>
      </c>
      <c r="D428" t="str">
        <f>IF(A428="","",IF(A428="[FÓRMULA MANUAL]","",IFERROR(AVERAGEIFS(nNOTA,nNIA,A428,nCUENTA,1,nASIG,"Conjunto"),"")))</f>
        <v/>
      </c>
      <c r="E428" t="str">
        <f>IF(A428="","",IF(A428="[FÓRMULA MANUAL]","",IFERROR(SUMPRODUCT((nNIA=A428)*(nCUENTA=1)*(COUNTIF(CONFIG_ASIGNATURAS!$B$7:$B$27,nASIG)&gt;0)*(nNOTA))/SUMPRODUCT((nNIA=A428)*(nCUENTA=1)*(COUNTIF(CONFIG_ASIGNATURAS!$B$7:$B$27,nASIG)&gt;0)*1),"")))</f>
        <v/>
      </c>
      <c r="H428" t="str">
        <f>IF(G428="","",IF(G428="[FÓRMULA MANUAL]","",IFERROR(AVERAGEIFS(nNOTA,nNIA,G428,nCUENTA,1,nASIG,"Lenguaje Musical"),"")))</f>
        <v/>
      </c>
      <c r="I428" t="str">
        <f>IF(G428="","",IF(G428="[FÓRMULA MANUAL]","",IFERROR(AVERAGEIFS(nNOTA,nNIA,G428,nCUENTA,1,nASIG,"Orquesta/Banda/Conjunto"),"")))</f>
        <v/>
      </c>
      <c r="J428" t="str">
        <f>IF(G428="","",IF(G428="[FÓRMULA MANUAL]","",IFERROR(AVERAGEIFS(nNOTA,nNIA,G428,nCUENTA,1,nASIG,"Conjunto"),"")))</f>
        <v/>
      </c>
      <c r="K428" t="str">
        <f>IF(G428="","",IF(G428="[FÓRMULA MANUAL]","",IFERROR(SUMPRODUCT((nNIA=G428)*(nCUENTA=1)*(COUNTIF(CONFIG_ASIGNATURAS!$B$7:$B$27,nASIG)&gt;0)*(nNOTA))/SUMPRODUCT((nNIA=G428)*(nCUENTA=1)*(COUNTIF(CONFIG_ASIGNATURAS!$B$7:$B$27,nASIG)&gt;0)*1),"")))</f>
        <v/>
      </c>
      <c r="N428" t="str">
        <f>IF(M428="","",IF(M428="[FÓRMULA MANUAL]","",IFERROR(AVERAGEIFS(nNOTA,nNIA,M428,nCUENTA,1,nASIG,"Armonía"),"")))</f>
        <v/>
      </c>
      <c r="O428" t="str">
        <f>IF(M428="","",IF(M428="[FÓRMULA MANUAL]","",IFERROR(AVERAGEIFS(nNOTA,nNIA,M428,nCUENTA,1,nASIG,"Orquesta/Banda/Conjunto"),"")))</f>
        <v/>
      </c>
      <c r="P428" t="str">
        <f>IF(M428="","",IF(M428="[FÓRMULA MANUAL]","",IFERROR(AVERAGEIFS(nNOTA,nNIA,M428,nCUENTA,1,nASIG,"Música de Cámara"),"")))</f>
        <v/>
      </c>
      <c r="Q428" t="str">
        <f>IF(M428="","",IF(M428="[FÓRMULA MANUAL]","",IFERROR(SUMPRODUCT((nNIA=M428)*(nCUENTA=1)*(COUNTIF(CONFIG_ASIGNATURAS!$B$7:$B$27,nASIG)&gt;0)*(nNOTA))/SUMPRODUCT((nNIA=M428)*(nCUENTA=1)*(COUNTIF(CONFIG_ASIGNATURAS!$B$7:$B$27,nASIG)&gt;0)*1),"")))</f>
        <v/>
      </c>
      <c r="T428" t="str">
        <f>IF(S428="","",IF(S428="[FÓRMULA MANUAL]","",IFERROR(AVERAGEIFS(nNOTA,nNIA,S428,nCUENTA,1,nASIG,"Armonía"),"")))</f>
        <v/>
      </c>
      <c r="U428" t="str">
        <f>IF(S428="","",IF(S428="[FÓRMULA MANUAL]","",IFERROR(AVERAGEIFS(nNOTA,nNIA,S428,nCUENTA,1,nASIG,"Orquesta/Banda/Conjunto"),"")))</f>
        <v/>
      </c>
      <c r="V428" t="str">
        <f>IF(S428="","",IF(S428="[FÓRMULA MANUAL]","",IFERROR(AVERAGEIFS(nNOTA,nNIA,S428,nCUENTA,1,nASIG,"Música de Cámara"),"")))</f>
        <v/>
      </c>
      <c r="W428" t="str">
        <f>IF(S428="","",IF(S428="[FÓRMULA MANUAL]","",IFERROR(SUMPRODUCT((nNIA=S428)*(nCUENTA=1)*(COUNTIF(CONFIG_ASIGNATURAS!$B$7:$B$27,nASIG)&gt;0)*(nNOTA))/SUMPRODUCT((nNIA=S428)*(nCUENTA=1)*(COUNTIF(CONFIG_ASIGNATURAS!$B$7:$B$27,nASIG)&gt;0)*1),"")))</f>
        <v/>
      </c>
      <c r="Z428" t="str">
        <f>IF(Y428="","",IF(Y428="[FÓRMULA MANUAL]","",IFERROR(AVERAGEIFS(nNOTA,nNIA,Y428,nCUENTA,1,nASIG,"Análisis"),"")))</f>
        <v/>
      </c>
      <c r="AA428" t="str">
        <f>IF(Y428="","",IF(Y428="[FÓRMULA MANUAL]","",IFERROR(AVERAGEIFS(nNOTA,nNIA,Y428,nCUENTA,1,nASIG,"Orquesta/Banda/Conjunto"),"")))</f>
        <v/>
      </c>
      <c r="AB428" t="str">
        <f>IF(Y428="","",IF(Y428="[FÓRMULA MANUAL]","",IFERROR(AVERAGEIFS(nNOTA,nNIA,Y428,nCUENTA,1,nASIG,"Música de Cámara"),"")))</f>
        <v/>
      </c>
      <c r="AC428" t="str">
        <f>IF(Y428="","",IF(Y428="[FÓRMULA MANUAL]","",IFERROR(SUMPRODUCT((nNIA=Y428)*(nCUENTA=1)*(COUNTIF(CONFIG_ASIGNATURAS!$B$7:$B$27,nASIG)&gt;0)*(nNOTA))/SUMPRODUCT((nNIA=Y428)*(nCUENTA=1)*(COUNTIF(CONFIG_ASIGNATURAS!$B$7:$B$27,nASIG)&gt;0)*1),"")))</f>
        <v/>
      </c>
      <c r="AF428" t="str">
        <f>IF(AE428="","",IF(AE428="[FÓRMULA MANUAL]","",IFERROR(AVERAGEIFS(nNOTA,nNIA,AE428,nCUENTA,1,nASIG,"Análisis"),"")))</f>
        <v/>
      </c>
      <c r="AG428" t="str">
        <f>IF(AE428="","",IF(AE428="[FÓRMULA MANUAL]","",IFERROR(AVERAGEIFS(nNOTA,nNIA,AE428,nCUENTA,1,nASIG,"Orquesta/Banda/Conjunto"),"")))</f>
        <v/>
      </c>
      <c r="AH428" t="str">
        <f>IF(AE428="","",IF(AE428="[FÓRMULA MANUAL]","",IFERROR(AVERAGEIFS(nNOTA,nNIA,AE428,nCUENTA,1,nASIG,"Música de Cámara"),"")))</f>
        <v/>
      </c>
      <c r="AI428" t="str">
        <f>IF(AE428="","",IF(AE428="[FÓRMULA MANUAL]","",IFERROR(SUMPRODUCT((nNIA=AE428)*(nCUENTA=1)*(COUNTIF(CONFIG_ASIGNATURAS!$B$7:$B$27,nASIG)&gt;0)*(nNOTA))/SUMPRODUCT((nNIA=AE428)*(nCUENTA=1)*(COUNTIF(CONFIG_ASIGNATURAS!$B$7:$B$27,nASIG)&gt;0)*1),"")))</f>
        <v/>
      </c>
    </row>
    <row r="429" spans="2:35" x14ac:dyDescent="0.2">
      <c r="B429" t="str">
        <f>IF(A429="","",IF(A429="[FÓRMULA MANUAL]","",IFERROR(AVERAGEIFS(nNOTA,nNIA,A429,nCUENTA,1,nASIG,"Lenguaje Musical"),"")))</f>
        <v/>
      </c>
      <c r="C429" t="str">
        <f>IF(A429="","",IF(A429="[FÓRMULA MANUAL]","",IFERROR(AVERAGEIFS(nNOTA,nNIA,A429,nCUENTA,1,nASIG,"Orquesta/Banda/Conjunto"),"")))</f>
        <v/>
      </c>
      <c r="D429" t="str">
        <f>IF(A429="","",IF(A429="[FÓRMULA MANUAL]","",IFERROR(AVERAGEIFS(nNOTA,nNIA,A429,nCUENTA,1,nASIG,"Conjunto"),"")))</f>
        <v/>
      </c>
      <c r="E429" t="str">
        <f>IF(A429="","",IF(A429="[FÓRMULA MANUAL]","",IFERROR(SUMPRODUCT((nNIA=A429)*(nCUENTA=1)*(COUNTIF(CONFIG_ASIGNATURAS!$B$7:$B$27,nASIG)&gt;0)*(nNOTA))/SUMPRODUCT((nNIA=A429)*(nCUENTA=1)*(COUNTIF(CONFIG_ASIGNATURAS!$B$7:$B$27,nASIG)&gt;0)*1),"")))</f>
        <v/>
      </c>
      <c r="H429" t="str">
        <f>IF(G429="","",IF(G429="[FÓRMULA MANUAL]","",IFERROR(AVERAGEIFS(nNOTA,nNIA,G429,nCUENTA,1,nASIG,"Lenguaje Musical"),"")))</f>
        <v/>
      </c>
      <c r="I429" t="str">
        <f>IF(G429="","",IF(G429="[FÓRMULA MANUAL]","",IFERROR(AVERAGEIFS(nNOTA,nNIA,G429,nCUENTA,1,nASIG,"Orquesta/Banda/Conjunto"),"")))</f>
        <v/>
      </c>
      <c r="J429" t="str">
        <f>IF(G429="","",IF(G429="[FÓRMULA MANUAL]","",IFERROR(AVERAGEIFS(nNOTA,nNIA,G429,nCUENTA,1,nASIG,"Conjunto"),"")))</f>
        <v/>
      </c>
      <c r="K429" t="str">
        <f>IF(G429="","",IF(G429="[FÓRMULA MANUAL]","",IFERROR(SUMPRODUCT((nNIA=G429)*(nCUENTA=1)*(COUNTIF(CONFIG_ASIGNATURAS!$B$7:$B$27,nASIG)&gt;0)*(nNOTA))/SUMPRODUCT((nNIA=G429)*(nCUENTA=1)*(COUNTIF(CONFIG_ASIGNATURAS!$B$7:$B$27,nASIG)&gt;0)*1),"")))</f>
        <v/>
      </c>
      <c r="N429" t="str">
        <f>IF(M429="","",IF(M429="[FÓRMULA MANUAL]","",IFERROR(AVERAGEIFS(nNOTA,nNIA,M429,nCUENTA,1,nASIG,"Armonía"),"")))</f>
        <v/>
      </c>
      <c r="O429" t="str">
        <f>IF(M429="","",IF(M429="[FÓRMULA MANUAL]","",IFERROR(AVERAGEIFS(nNOTA,nNIA,M429,nCUENTA,1,nASIG,"Orquesta/Banda/Conjunto"),"")))</f>
        <v/>
      </c>
      <c r="P429" t="str">
        <f>IF(M429="","",IF(M429="[FÓRMULA MANUAL]","",IFERROR(AVERAGEIFS(nNOTA,nNIA,M429,nCUENTA,1,nASIG,"Música de Cámara"),"")))</f>
        <v/>
      </c>
      <c r="Q429" t="str">
        <f>IF(M429="","",IF(M429="[FÓRMULA MANUAL]","",IFERROR(SUMPRODUCT((nNIA=M429)*(nCUENTA=1)*(COUNTIF(CONFIG_ASIGNATURAS!$B$7:$B$27,nASIG)&gt;0)*(nNOTA))/SUMPRODUCT((nNIA=M429)*(nCUENTA=1)*(COUNTIF(CONFIG_ASIGNATURAS!$B$7:$B$27,nASIG)&gt;0)*1),"")))</f>
        <v/>
      </c>
      <c r="T429" t="str">
        <f>IF(S429="","",IF(S429="[FÓRMULA MANUAL]","",IFERROR(AVERAGEIFS(nNOTA,nNIA,S429,nCUENTA,1,nASIG,"Armonía"),"")))</f>
        <v/>
      </c>
      <c r="U429" t="str">
        <f>IF(S429="","",IF(S429="[FÓRMULA MANUAL]","",IFERROR(AVERAGEIFS(nNOTA,nNIA,S429,nCUENTA,1,nASIG,"Orquesta/Banda/Conjunto"),"")))</f>
        <v/>
      </c>
      <c r="V429" t="str">
        <f>IF(S429="","",IF(S429="[FÓRMULA MANUAL]","",IFERROR(AVERAGEIFS(nNOTA,nNIA,S429,nCUENTA,1,nASIG,"Música de Cámara"),"")))</f>
        <v/>
      </c>
      <c r="W429" t="str">
        <f>IF(S429="","",IF(S429="[FÓRMULA MANUAL]","",IFERROR(SUMPRODUCT((nNIA=S429)*(nCUENTA=1)*(COUNTIF(CONFIG_ASIGNATURAS!$B$7:$B$27,nASIG)&gt;0)*(nNOTA))/SUMPRODUCT((nNIA=S429)*(nCUENTA=1)*(COUNTIF(CONFIG_ASIGNATURAS!$B$7:$B$27,nASIG)&gt;0)*1),"")))</f>
        <v/>
      </c>
      <c r="Z429" t="str">
        <f>IF(Y429="","",IF(Y429="[FÓRMULA MANUAL]","",IFERROR(AVERAGEIFS(nNOTA,nNIA,Y429,nCUENTA,1,nASIG,"Análisis"),"")))</f>
        <v/>
      </c>
      <c r="AA429" t="str">
        <f>IF(Y429="","",IF(Y429="[FÓRMULA MANUAL]","",IFERROR(AVERAGEIFS(nNOTA,nNIA,Y429,nCUENTA,1,nASIG,"Orquesta/Banda/Conjunto"),"")))</f>
        <v/>
      </c>
      <c r="AB429" t="str">
        <f>IF(Y429="","",IF(Y429="[FÓRMULA MANUAL]","",IFERROR(AVERAGEIFS(nNOTA,nNIA,Y429,nCUENTA,1,nASIG,"Música de Cámara"),"")))</f>
        <v/>
      </c>
      <c r="AC429" t="str">
        <f>IF(Y429="","",IF(Y429="[FÓRMULA MANUAL]","",IFERROR(SUMPRODUCT((nNIA=Y429)*(nCUENTA=1)*(COUNTIF(CONFIG_ASIGNATURAS!$B$7:$B$27,nASIG)&gt;0)*(nNOTA))/SUMPRODUCT((nNIA=Y429)*(nCUENTA=1)*(COUNTIF(CONFIG_ASIGNATURAS!$B$7:$B$27,nASIG)&gt;0)*1),"")))</f>
        <v/>
      </c>
      <c r="AF429" t="str">
        <f>IF(AE429="","",IF(AE429="[FÓRMULA MANUAL]","",IFERROR(AVERAGEIFS(nNOTA,nNIA,AE429,nCUENTA,1,nASIG,"Análisis"),"")))</f>
        <v/>
      </c>
      <c r="AG429" t="str">
        <f>IF(AE429="","",IF(AE429="[FÓRMULA MANUAL]","",IFERROR(AVERAGEIFS(nNOTA,nNIA,AE429,nCUENTA,1,nASIG,"Orquesta/Banda/Conjunto"),"")))</f>
        <v/>
      </c>
      <c r="AH429" t="str">
        <f>IF(AE429="","",IF(AE429="[FÓRMULA MANUAL]","",IFERROR(AVERAGEIFS(nNOTA,nNIA,AE429,nCUENTA,1,nASIG,"Música de Cámara"),"")))</f>
        <v/>
      </c>
      <c r="AI429" t="str">
        <f>IF(AE429="","",IF(AE429="[FÓRMULA MANUAL]","",IFERROR(SUMPRODUCT((nNIA=AE429)*(nCUENTA=1)*(COUNTIF(CONFIG_ASIGNATURAS!$B$7:$B$27,nASIG)&gt;0)*(nNOTA))/SUMPRODUCT((nNIA=AE429)*(nCUENTA=1)*(COUNTIF(CONFIG_ASIGNATURAS!$B$7:$B$27,nASIG)&gt;0)*1),"")))</f>
        <v/>
      </c>
    </row>
    <row r="430" spans="2:35" x14ac:dyDescent="0.2">
      <c r="B430" t="str">
        <f>IF(A430="","",IF(A430="[FÓRMULA MANUAL]","",IFERROR(AVERAGEIFS(nNOTA,nNIA,A430,nCUENTA,1,nASIG,"Lenguaje Musical"),"")))</f>
        <v/>
      </c>
      <c r="C430" t="str">
        <f>IF(A430="","",IF(A430="[FÓRMULA MANUAL]","",IFERROR(AVERAGEIFS(nNOTA,nNIA,A430,nCUENTA,1,nASIG,"Orquesta/Banda/Conjunto"),"")))</f>
        <v/>
      </c>
      <c r="D430" t="str">
        <f>IF(A430="","",IF(A430="[FÓRMULA MANUAL]","",IFERROR(AVERAGEIFS(nNOTA,nNIA,A430,nCUENTA,1,nASIG,"Conjunto"),"")))</f>
        <v/>
      </c>
      <c r="E430" t="str">
        <f>IF(A430="","",IF(A430="[FÓRMULA MANUAL]","",IFERROR(SUMPRODUCT((nNIA=A430)*(nCUENTA=1)*(COUNTIF(CONFIG_ASIGNATURAS!$B$7:$B$27,nASIG)&gt;0)*(nNOTA))/SUMPRODUCT((nNIA=A430)*(nCUENTA=1)*(COUNTIF(CONFIG_ASIGNATURAS!$B$7:$B$27,nASIG)&gt;0)*1),"")))</f>
        <v/>
      </c>
      <c r="H430" t="str">
        <f>IF(G430="","",IF(G430="[FÓRMULA MANUAL]","",IFERROR(AVERAGEIFS(nNOTA,nNIA,G430,nCUENTA,1,nASIG,"Lenguaje Musical"),"")))</f>
        <v/>
      </c>
      <c r="I430" t="str">
        <f>IF(G430="","",IF(G430="[FÓRMULA MANUAL]","",IFERROR(AVERAGEIFS(nNOTA,nNIA,G430,nCUENTA,1,nASIG,"Orquesta/Banda/Conjunto"),"")))</f>
        <v/>
      </c>
      <c r="J430" t="str">
        <f>IF(G430="","",IF(G430="[FÓRMULA MANUAL]","",IFERROR(AVERAGEIFS(nNOTA,nNIA,G430,nCUENTA,1,nASIG,"Conjunto"),"")))</f>
        <v/>
      </c>
      <c r="K430" t="str">
        <f>IF(G430="","",IF(G430="[FÓRMULA MANUAL]","",IFERROR(SUMPRODUCT((nNIA=G430)*(nCUENTA=1)*(COUNTIF(CONFIG_ASIGNATURAS!$B$7:$B$27,nASIG)&gt;0)*(nNOTA))/SUMPRODUCT((nNIA=G430)*(nCUENTA=1)*(COUNTIF(CONFIG_ASIGNATURAS!$B$7:$B$27,nASIG)&gt;0)*1),"")))</f>
        <v/>
      </c>
      <c r="N430" t="str">
        <f>IF(M430="","",IF(M430="[FÓRMULA MANUAL]","",IFERROR(AVERAGEIFS(nNOTA,nNIA,M430,nCUENTA,1,nASIG,"Armonía"),"")))</f>
        <v/>
      </c>
      <c r="O430" t="str">
        <f>IF(M430="","",IF(M430="[FÓRMULA MANUAL]","",IFERROR(AVERAGEIFS(nNOTA,nNIA,M430,nCUENTA,1,nASIG,"Orquesta/Banda/Conjunto"),"")))</f>
        <v/>
      </c>
      <c r="P430" t="str">
        <f>IF(M430="","",IF(M430="[FÓRMULA MANUAL]","",IFERROR(AVERAGEIFS(nNOTA,nNIA,M430,nCUENTA,1,nASIG,"Música de Cámara"),"")))</f>
        <v/>
      </c>
      <c r="Q430" t="str">
        <f>IF(M430="","",IF(M430="[FÓRMULA MANUAL]","",IFERROR(SUMPRODUCT((nNIA=M430)*(nCUENTA=1)*(COUNTIF(CONFIG_ASIGNATURAS!$B$7:$B$27,nASIG)&gt;0)*(nNOTA))/SUMPRODUCT((nNIA=M430)*(nCUENTA=1)*(COUNTIF(CONFIG_ASIGNATURAS!$B$7:$B$27,nASIG)&gt;0)*1),"")))</f>
        <v/>
      </c>
      <c r="T430" t="str">
        <f>IF(S430="","",IF(S430="[FÓRMULA MANUAL]","",IFERROR(AVERAGEIFS(nNOTA,nNIA,S430,nCUENTA,1,nASIG,"Armonía"),"")))</f>
        <v/>
      </c>
      <c r="U430" t="str">
        <f>IF(S430="","",IF(S430="[FÓRMULA MANUAL]","",IFERROR(AVERAGEIFS(nNOTA,nNIA,S430,nCUENTA,1,nASIG,"Orquesta/Banda/Conjunto"),"")))</f>
        <v/>
      </c>
      <c r="V430" t="str">
        <f>IF(S430="","",IF(S430="[FÓRMULA MANUAL]","",IFERROR(AVERAGEIFS(nNOTA,nNIA,S430,nCUENTA,1,nASIG,"Música de Cámara"),"")))</f>
        <v/>
      </c>
      <c r="W430" t="str">
        <f>IF(S430="","",IF(S430="[FÓRMULA MANUAL]","",IFERROR(SUMPRODUCT((nNIA=S430)*(nCUENTA=1)*(COUNTIF(CONFIG_ASIGNATURAS!$B$7:$B$27,nASIG)&gt;0)*(nNOTA))/SUMPRODUCT((nNIA=S430)*(nCUENTA=1)*(COUNTIF(CONFIG_ASIGNATURAS!$B$7:$B$27,nASIG)&gt;0)*1),"")))</f>
        <v/>
      </c>
      <c r="Z430" t="str">
        <f>IF(Y430="","",IF(Y430="[FÓRMULA MANUAL]","",IFERROR(AVERAGEIFS(nNOTA,nNIA,Y430,nCUENTA,1,nASIG,"Análisis"),"")))</f>
        <v/>
      </c>
      <c r="AA430" t="str">
        <f>IF(Y430="","",IF(Y430="[FÓRMULA MANUAL]","",IFERROR(AVERAGEIFS(nNOTA,nNIA,Y430,nCUENTA,1,nASIG,"Orquesta/Banda/Conjunto"),"")))</f>
        <v/>
      </c>
      <c r="AB430" t="str">
        <f>IF(Y430="","",IF(Y430="[FÓRMULA MANUAL]","",IFERROR(AVERAGEIFS(nNOTA,nNIA,Y430,nCUENTA,1,nASIG,"Música de Cámara"),"")))</f>
        <v/>
      </c>
      <c r="AC430" t="str">
        <f>IF(Y430="","",IF(Y430="[FÓRMULA MANUAL]","",IFERROR(SUMPRODUCT((nNIA=Y430)*(nCUENTA=1)*(COUNTIF(CONFIG_ASIGNATURAS!$B$7:$B$27,nASIG)&gt;0)*(nNOTA))/SUMPRODUCT((nNIA=Y430)*(nCUENTA=1)*(COUNTIF(CONFIG_ASIGNATURAS!$B$7:$B$27,nASIG)&gt;0)*1),"")))</f>
        <v/>
      </c>
      <c r="AF430" t="str">
        <f>IF(AE430="","",IF(AE430="[FÓRMULA MANUAL]","",IFERROR(AVERAGEIFS(nNOTA,nNIA,AE430,nCUENTA,1,nASIG,"Análisis"),"")))</f>
        <v/>
      </c>
      <c r="AG430" t="str">
        <f>IF(AE430="","",IF(AE430="[FÓRMULA MANUAL]","",IFERROR(AVERAGEIFS(nNOTA,nNIA,AE430,nCUENTA,1,nASIG,"Orquesta/Banda/Conjunto"),"")))</f>
        <v/>
      </c>
      <c r="AH430" t="str">
        <f>IF(AE430="","",IF(AE430="[FÓRMULA MANUAL]","",IFERROR(AVERAGEIFS(nNOTA,nNIA,AE430,nCUENTA,1,nASIG,"Música de Cámara"),"")))</f>
        <v/>
      </c>
      <c r="AI430" t="str">
        <f>IF(AE430="","",IF(AE430="[FÓRMULA MANUAL]","",IFERROR(SUMPRODUCT((nNIA=AE430)*(nCUENTA=1)*(COUNTIF(CONFIG_ASIGNATURAS!$B$7:$B$27,nASIG)&gt;0)*(nNOTA))/SUMPRODUCT((nNIA=AE430)*(nCUENTA=1)*(COUNTIF(CONFIG_ASIGNATURAS!$B$7:$B$27,nASIG)&gt;0)*1),"")))</f>
        <v/>
      </c>
    </row>
    <row r="431" spans="2:35" x14ac:dyDescent="0.2">
      <c r="B431" t="str">
        <f>IF(A431="","",IF(A431="[FÓRMULA MANUAL]","",IFERROR(AVERAGEIFS(nNOTA,nNIA,A431,nCUENTA,1,nASIG,"Lenguaje Musical"),"")))</f>
        <v/>
      </c>
      <c r="C431" t="str">
        <f>IF(A431="","",IF(A431="[FÓRMULA MANUAL]","",IFERROR(AVERAGEIFS(nNOTA,nNIA,A431,nCUENTA,1,nASIG,"Orquesta/Banda/Conjunto"),"")))</f>
        <v/>
      </c>
      <c r="D431" t="str">
        <f>IF(A431="","",IF(A431="[FÓRMULA MANUAL]","",IFERROR(AVERAGEIFS(nNOTA,nNIA,A431,nCUENTA,1,nASIG,"Conjunto"),"")))</f>
        <v/>
      </c>
      <c r="E431" t="str">
        <f>IF(A431="","",IF(A431="[FÓRMULA MANUAL]","",IFERROR(SUMPRODUCT((nNIA=A431)*(nCUENTA=1)*(COUNTIF(CONFIG_ASIGNATURAS!$B$7:$B$27,nASIG)&gt;0)*(nNOTA))/SUMPRODUCT((nNIA=A431)*(nCUENTA=1)*(COUNTIF(CONFIG_ASIGNATURAS!$B$7:$B$27,nASIG)&gt;0)*1),"")))</f>
        <v/>
      </c>
      <c r="H431" t="str">
        <f>IF(G431="","",IF(G431="[FÓRMULA MANUAL]","",IFERROR(AVERAGEIFS(nNOTA,nNIA,G431,nCUENTA,1,nASIG,"Lenguaje Musical"),"")))</f>
        <v/>
      </c>
      <c r="I431" t="str">
        <f>IF(G431="","",IF(G431="[FÓRMULA MANUAL]","",IFERROR(AVERAGEIFS(nNOTA,nNIA,G431,nCUENTA,1,nASIG,"Orquesta/Banda/Conjunto"),"")))</f>
        <v/>
      </c>
      <c r="J431" t="str">
        <f>IF(G431="","",IF(G431="[FÓRMULA MANUAL]","",IFERROR(AVERAGEIFS(nNOTA,nNIA,G431,nCUENTA,1,nASIG,"Conjunto"),"")))</f>
        <v/>
      </c>
      <c r="K431" t="str">
        <f>IF(G431="","",IF(G431="[FÓRMULA MANUAL]","",IFERROR(SUMPRODUCT((nNIA=G431)*(nCUENTA=1)*(COUNTIF(CONFIG_ASIGNATURAS!$B$7:$B$27,nASIG)&gt;0)*(nNOTA))/SUMPRODUCT((nNIA=G431)*(nCUENTA=1)*(COUNTIF(CONFIG_ASIGNATURAS!$B$7:$B$27,nASIG)&gt;0)*1),"")))</f>
        <v/>
      </c>
      <c r="N431" t="str">
        <f>IF(M431="","",IF(M431="[FÓRMULA MANUAL]","",IFERROR(AVERAGEIFS(nNOTA,nNIA,M431,nCUENTA,1,nASIG,"Armonía"),"")))</f>
        <v/>
      </c>
      <c r="O431" t="str">
        <f>IF(M431="","",IF(M431="[FÓRMULA MANUAL]","",IFERROR(AVERAGEIFS(nNOTA,nNIA,M431,nCUENTA,1,nASIG,"Orquesta/Banda/Conjunto"),"")))</f>
        <v/>
      </c>
      <c r="P431" t="str">
        <f>IF(M431="","",IF(M431="[FÓRMULA MANUAL]","",IFERROR(AVERAGEIFS(nNOTA,nNIA,M431,nCUENTA,1,nASIG,"Música de Cámara"),"")))</f>
        <v/>
      </c>
      <c r="Q431" t="str">
        <f>IF(M431="","",IF(M431="[FÓRMULA MANUAL]","",IFERROR(SUMPRODUCT((nNIA=M431)*(nCUENTA=1)*(COUNTIF(CONFIG_ASIGNATURAS!$B$7:$B$27,nASIG)&gt;0)*(nNOTA))/SUMPRODUCT((nNIA=M431)*(nCUENTA=1)*(COUNTIF(CONFIG_ASIGNATURAS!$B$7:$B$27,nASIG)&gt;0)*1),"")))</f>
        <v/>
      </c>
      <c r="T431" t="str">
        <f>IF(S431="","",IF(S431="[FÓRMULA MANUAL]","",IFERROR(AVERAGEIFS(nNOTA,nNIA,S431,nCUENTA,1,nASIG,"Armonía"),"")))</f>
        <v/>
      </c>
      <c r="U431" t="str">
        <f>IF(S431="","",IF(S431="[FÓRMULA MANUAL]","",IFERROR(AVERAGEIFS(nNOTA,nNIA,S431,nCUENTA,1,nASIG,"Orquesta/Banda/Conjunto"),"")))</f>
        <v/>
      </c>
      <c r="V431" t="str">
        <f>IF(S431="","",IF(S431="[FÓRMULA MANUAL]","",IFERROR(AVERAGEIFS(nNOTA,nNIA,S431,nCUENTA,1,nASIG,"Música de Cámara"),"")))</f>
        <v/>
      </c>
      <c r="W431" t="str">
        <f>IF(S431="","",IF(S431="[FÓRMULA MANUAL]","",IFERROR(SUMPRODUCT((nNIA=S431)*(nCUENTA=1)*(COUNTIF(CONFIG_ASIGNATURAS!$B$7:$B$27,nASIG)&gt;0)*(nNOTA))/SUMPRODUCT((nNIA=S431)*(nCUENTA=1)*(COUNTIF(CONFIG_ASIGNATURAS!$B$7:$B$27,nASIG)&gt;0)*1),"")))</f>
        <v/>
      </c>
      <c r="Z431" t="str">
        <f>IF(Y431="","",IF(Y431="[FÓRMULA MANUAL]","",IFERROR(AVERAGEIFS(nNOTA,nNIA,Y431,nCUENTA,1,nASIG,"Análisis"),"")))</f>
        <v/>
      </c>
      <c r="AA431" t="str">
        <f>IF(Y431="","",IF(Y431="[FÓRMULA MANUAL]","",IFERROR(AVERAGEIFS(nNOTA,nNIA,Y431,nCUENTA,1,nASIG,"Orquesta/Banda/Conjunto"),"")))</f>
        <v/>
      </c>
      <c r="AB431" t="str">
        <f>IF(Y431="","",IF(Y431="[FÓRMULA MANUAL]","",IFERROR(AVERAGEIFS(nNOTA,nNIA,Y431,nCUENTA,1,nASIG,"Música de Cámara"),"")))</f>
        <v/>
      </c>
      <c r="AC431" t="str">
        <f>IF(Y431="","",IF(Y431="[FÓRMULA MANUAL]","",IFERROR(SUMPRODUCT((nNIA=Y431)*(nCUENTA=1)*(COUNTIF(CONFIG_ASIGNATURAS!$B$7:$B$27,nASIG)&gt;0)*(nNOTA))/SUMPRODUCT((nNIA=Y431)*(nCUENTA=1)*(COUNTIF(CONFIG_ASIGNATURAS!$B$7:$B$27,nASIG)&gt;0)*1),"")))</f>
        <v/>
      </c>
      <c r="AF431" t="str">
        <f>IF(AE431="","",IF(AE431="[FÓRMULA MANUAL]","",IFERROR(AVERAGEIFS(nNOTA,nNIA,AE431,nCUENTA,1,nASIG,"Análisis"),"")))</f>
        <v/>
      </c>
      <c r="AG431" t="str">
        <f>IF(AE431="","",IF(AE431="[FÓRMULA MANUAL]","",IFERROR(AVERAGEIFS(nNOTA,nNIA,AE431,nCUENTA,1,nASIG,"Orquesta/Banda/Conjunto"),"")))</f>
        <v/>
      </c>
      <c r="AH431" t="str">
        <f>IF(AE431="","",IF(AE431="[FÓRMULA MANUAL]","",IFERROR(AVERAGEIFS(nNOTA,nNIA,AE431,nCUENTA,1,nASIG,"Música de Cámara"),"")))</f>
        <v/>
      </c>
      <c r="AI431" t="str">
        <f>IF(AE431="","",IF(AE431="[FÓRMULA MANUAL]","",IFERROR(SUMPRODUCT((nNIA=AE431)*(nCUENTA=1)*(COUNTIF(CONFIG_ASIGNATURAS!$B$7:$B$27,nASIG)&gt;0)*(nNOTA))/SUMPRODUCT((nNIA=AE431)*(nCUENTA=1)*(COUNTIF(CONFIG_ASIGNATURAS!$B$7:$B$27,nASIG)&gt;0)*1),"")))</f>
        <v/>
      </c>
    </row>
    <row r="432" spans="2:35" x14ac:dyDescent="0.2">
      <c r="B432" t="str">
        <f>IF(A432="","",IF(A432="[FÓRMULA MANUAL]","",IFERROR(AVERAGEIFS(nNOTA,nNIA,A432,nCUENTA,1,nASIG,"Lenguaje Musical"),"")))</f>
        <v/>
      </c>
      <c r="C432" t="str">
        <f>IF(A432="","",IF(A432="[FÓRMULA MANUAL]","",IFERROR(AVERAGEIFS(nNOTA,nNIA,A432,nCUENTA,1,nASIG,"Orquesta/Banda/Conjunto"),"")))</f>
        <v/>
      </c>
      <c r="D432" t="str">
        <f>IF(A432="","",IF(A432="[FÓRMULA MANUAL]","",IFERROR(AVERAGEIFS(nNOTA,nNIA,A432,nCUENTA,1,nASIG,"Conjunto"),"")))</f>
        <v/>
      </c>
      <c r="E432" t="str">
        <f>IF(A432="","",IF(A432="[FÓRMULA MANUAL]","",IFERROR(SUMPRODUCT((nNIA=A432)*(nCUENTA=1)*(COUNTIF(CONFIG_ASIGNATURAS!$B$7:$B$27,nASIG)&gt;0)*(nNOTA))/SUMPRODUCT((nNIA=A432)*(nCUENTA=1)*(COUNTIF(CONFIG_ASIGNATURAS!$B$7:$B$27,nASIG)&gt;0)*1),"")))</f>
        <v/>
      </c>
      <c r="H432" t="str">
        <f>IF(G432="","",IF(G432="[FÓRMULA MANUAL]","",IFERROR(AVERAGEIFS(nNOTA,nNIA,G432,nCUENTA,1,nASIG,"Lenguaje Musical"),"")))</f>
        <v/>
      </c>
      <c r="I432" t="str">
        <f>IF(G432="","",IF(G432="[FÓRMULA MANUAL]","",IFERROR(AVERAGEIFS(nNOTA,nNIA,G432,nCUENTA,1,nASIG,"Orquesta/Banda/Conjunto"),"")))</f>
        <v/>
      </c>
      <c r="J432" t="str">
        <f>IF(G432="","",IF(G432="[FÓRMULA MANUAL]","",IFERROR(AVERAGEIFS(nNOTA,nNIA,G432,nCUENTA,1,nASIG,"Conjunto"),"")))</f>
        <v/>
      </c>
      <c r="K432" t="str">
        <f>IF(G432="","",IF(G432="[FÓRMULA MANUAL]","",IFERROR(SUMPRODUCT((nNIA=G432)*(nCUENTA=1)*(COUNTIF(CONFIG_ASIGNATURAS!$B$7:$B$27,nASIG)&gt;0)*(nNOTA))/SUMPRODUCT((nNIA=G432)*(nCUENTA=1)*(COUNTIF(CONFIG_ASIGNATURAS!$B$7:$B$27,nASIG)&gt;0)*1),"")))</f>
        <v/>
      </c>
      <c r="N432" t="str">
        <f>IF(M432="","",IF(M432="[FÓRMULA MANUAL]","",IFERROR(AVERAGEIFS(nNOTA,nNIA,M432,nCUENTA,1,nASIG,"Armonía"),"")))</f>
        <v/>
      </c>
      <c r="O432" t="str">
        <f>IF(M432="","",IF(M432="[FÓRMULA MANUAL]","",IFERROR(AVERAGEIFS(nNOTA,nNIA,M432,nCUENTA,1,nASIG,"Orquesta/Banda/Conjunto"),"")))</f>
        <v/>
      </c>
      <c r="P432" t="str">
        <f>IF(M432="","",IF(M432="[FÓRMULA MANUAL]","",IFERROR(AVERAGEIFS(nNOTA,nNIA,M432,nCUENTA,1,nASIG,"Música de Cámara"),"")))</f>
        <v/>
      </c>
      <c r="Q432" t="str">
        <f>IF(M432="","",IF(M432="[FÓRMULA MANUAL]","",IFERROR(SUMPRODUCT((nNIA=M432)*(nCUENTA=1)*(COUNTIF(CONFIG_ASIGNATURAS!$B$7:$B$27,nASIG)&gt;0)*(nNOTA))/SUMPRODUCT((nNIA=M432)*(nCUENTA=1)*(COUNTIF(CONFIG_ASIGNATURAS!$B$7:$B$27,nASIG)&gt;0)*1),"")))</f>
        <v/>
      </c>
      <c r="T432" t="str">
        <f>IF(S432="","",IF(S432="[FÓRMULA MANUAL]","",IFERROR(AVERAGEIFS(nNOTA,nNIA,S432,nCUENTA,1,nASIG,"Armonía"),"")))</f>
        <v/>
      </c>
      <c r="U432" t="str">
        <f>IF(S432="","",IF(S432="[FÓRMULA MANUAL]","",IFERROR(AVERAGEIFS(nNOTA,nNIA,S432,nCUENTA,1,nASIG,"Orquesta/Banda/Conjunto"),"")))</f>
        <v/>
      </c>
      <c r="V432" t="str">
        <f>IF(S432="","",IF(S432="[FÓRMULA MANUAL]","",IFERROR(AVERAGEIFS(nNOTA,nNIA,S432,nCUENTA,1,nASIG,"Música de Cámara"),"")))</f>
        <v/>
      </c>
      <c r="W432" t="str">
        <f>IF(S432="","",IF(S432="[FÓRMULA MANUAL]","",IFERROR(SUMPRODUCT((nNIA=S432)*(nCUENTA=1)*(COUNTIF(CONFIG_ASIGNATURAS!$B$7:$B$27,nASIG)&gt;0)*(nNOTA))/SUMPRODUCT((nNIA=S432)*(nCUENTA=1)*(COUNTIF(CONFIG_ASIGNATURAS!$B$7:$B$27,nASIG)&gt;0)*1),"")))</f>
        <v/>
      </c>
      <c r="Z432" t="str">
        <f>IF(Y432="","",IF(Y432="[FÓRMULA MANUAL]","",IFERROR(AVERAGEIFS(nNOTA,nNIA,Y432,nCUENTA,1,nASIG,"Análisis"),"")))</f>
        <v/>
      </c>
      <c r="AA432" t="str">
        <f>IF(Y432="","",IF(Y432="[FÓRMULA MANUAL]","",IFERROR(AVERAGEIFS(nNOTA,nNIA,Y432,nCUENTA,1,nASIG,"Orquesta/Banda/Conjunto"),"")))</f>
        <v/>
      </c>
      <c r="AB432" t="str">
        <f>IF(Y432="","",IF(Y432="[FÓRMULA MANUAL]","",IFERROR(AVERAGEIFS(nNOTA,nNIA,Y432,nCUENTA,1,nASIG,"Música de Cámara"),"")))</f>
        <v/>
      </c>
      <c r="AC432" t="str">
        <f>IF(Y432="","",IF(Y432="[FÓRMULA MANUAL]","",IFERROR(SUMPRODUCT((nNIA=Y432)*(nCUENTA=1)*(COUNTIF(CONFIG_ASIGNATURAS!$B$7:$B$27,nASIG)&gt;0)*(nNOTA))/SUMPRODUCT((nNIA=Y432)*(nCUENTA=1)*(COUNTIF(CONFIG_ASIGNATURAS!$B$7:$B$27,nASIG)&gt;0)*1),"")))</f>
        <v/>
      </c>
      <c r="AF432" t="str">
        <f>IF(AE432="","",IF(AE432="[FÓRMULA MANUAL]","",IFERROR(AVERAGEIFS(nNOTA,nNIA,AE432,nCUENTA,1,nASIG,"Análisis"),"")))</f>
        <v/>
      </c>
      <c r="AG432" t="str">
        <f>IF(AE432="","",IF(AE432="[FÓRMULA MANUAL]","",IFERROR(AVERAGEIFS(nNOTA,nNIA,AE432,nCUENTA,1,nASIG,"Orquesta/Banda/Conjunto"),"")))</f>
        <v/>
      </c>
      <c r="AH432" t="str">
        <f>IF(AE432="","",IF(AE432="[FÓRMULA MANUAL]","",IFERROR(AVERAGEIFS(nNOTA,nNIA,AE432,nCUENTA,1,nASIG,"Música de Cámara"),"")))</f>
        <v/>
      </c>
      <c r="AI432" t="str">
        <f>IF(AE432="","",IF(AE432="[FÓRMULA MANUAL]","",IFERROR(SUMPRODUCT((nNIA=AE432)*(nCUENTA=1)*(COUNTIF(CONFIG_ASIGNATURAS!$B$7:$B$27,nASIG)&gt;0)*(nNOTA))/SUMPRODUCT((nNIA=AE432)*(nCUENTA=1)*(COUNTIF(CONFIG_ASIGNATURAS!$B$7:$B$27,nASIG)&gt;0)*1),"")))</f>
        <v/>
      </c>
    </row>
    <row r="433" spans="2:35" x14ac:dyDescent="0.2">
      <c r="B433" t="str">
        <f>IF(A433="","",IF(A433="[FÓRMULA MANUAL]","",IFERROR(AVERAGEIFS(nNOTA,nNIA,A433,nCUENTA,1,nASIG,"Lenguaje Musical"),"")))</f>
        <v/>
      </c>
      <c r="C433" t="str">
        <f>IF(A433="","",IF(A433="[FÓRMULA MANUAL]","",IFERROR(AVERAGEIFS(nNOTA,nNIA,A433,nCUENTA,1,nASIG,"Orquesta/Banda/Conjunto"),"")))</f>
        <v/>
      </c>
      <c r="D433" t="str">
        <f>IF(A433="","",IF(A433="[FÓRMULA MANUAL]","",IFERROR(AVERAGEIFS(nNOTA,nNIA,A433,nCUENTA,1,nASIG,"Conjunto"),"")))</f>
        <v/>
      </c>
      <c r="E433" t="str">
        <f>IF(A433="","",IF(A433="[FÓRMULA MANUAL]","",IFERROR(SUMPRODUCT((nNIA=A433)*(nCUENTA=1)*(COUNTIF(CONFIG_ASIGNATURAS!$B$7:$B$27,nASIG)&gt;0)*(nNOTA))/SUMPRODUCT((nNIA=A433)*(nCUENTA=1)*(COUNTIF(CONFIG_ASIGNATURAS!$B$7:$B$27,nASIG)&gt;0)*1),"")))</f>
        <v/>
      </c>
      <c r="H433" t="str">
        <f>IF(G433="","",IF(G433="[FÓRMULA MANUAL]","",IFERROR(AVERAGEIFS(nNOTA,nNIA,G433,nCUENTA,1,nASIG,"Lenguaje Musical"),"")))</f>
        <v/>
      </c>
      <c r="I433" t="str">
        <f>IF(G433="","",IF(G433="[FÓRMULA MANUAL]","",IFERROR(AVERAGEIFS(nNOTA,nNIA,G433,nCUENTA,1,nASIG,"Orquesta/Banda/Conjunto"),"")))</f>
        <v/>
      </c>
      <c r="J433" t="str">
        <f>IF(G433="","",IF(G433="[FÓRMULA MANUAL]","",IFERROR(AVERAGEIFS(nNOTA,nNIA,G433,nCUENTA,1,nASIG,"Conjunto"),"")))</f>
        <v/>
      </c>
      <c r="K433" t="str">
        <f>IF(G433="","",IF(G433="[FÓRMULA MANUAL]","",IFERROR(SUMPRODUCT((nNIA=G433)*(nCUENTA=1)*(COUNTIF(CONFIG_ASIGNATURAS!$B$7:$B$27,nASIG)&gt;0)*(nNOTA))/SUMPRODUCT((nNIA=G433)*(nCUENTA=1)*(COUNTIF(CONFIG_ASIGNATURAS!$B$7:$B$27,nASIG)&gt;0)*1),"")))</f>
        <v/>
      </c>
      <c r="N433" t="str">
        <f>IF(M433="","",IF(M433="[FÓRMULA MANUAL]","",IFERROR(AVERAGEIFS(nNOTA,nNIA,M433,nCUENTA,1,nASIG,"Armonía"),"")))</f>
        <v/>
      </c>
      <c r="O433" t="str">
        <f>IF(M433="","",IF(M433="[FÓRMULA MANUAL]","",IFERROR(AVERAGEIFS(nNOTA,nNIA,M433,nCUENTA,1,nASIG,"Orquesta/Banda/Conjunto"),"")))</f>
        <v/>
      </c>
      <c r="P433" t="str">
        <f>IF(M433="","",IF(M433="[FÓRMULA MANUAL]","",IFERROR(AVERAGEIFS(nNOTA,nNIA,M433,nCUENTA,1,nASIG,"Música de Cámara"),"")))</f>
        <v/>
      </c>
      <c r="Q433" t="str">
        <f>IF(M433="","",IF(M433="[FÓRMULA MANUAL]","",IFERROR(SUMPRODUCT((nNIA=M433)*(nCUENTA=1)*(COUNTIF(CONFIG_ASIGNATURAS!$B$7:$B$27,nASIG)&gt;0)*(nNOTA))/SUMPRODUCT((nNIA=M433)*(nCUENTA=1)*(COUNTIF(CONFIG_ASIGNATURAS!$B$7:$B$27,nASIG)&gt;0)*1),"")))</f>
        <v/>
      </c>
      <c r="T433" t="str">
        <f>IF(S433="","",IF(S433="[FÓRMULA MANUAL]","",IFERROR(AVERAGEIFS(nNOTA,nNIA,S433,nCUENTA,1,nASIG,"Armonía"),"")))</f>
        <v/>
      </c>
      <c r="U433" t="str">
        <f>IF(S433="","",IF(S433="[FÓRMULA MANUAL]","",IFERROR(AVERAGEIFS(nNOTA,nNIA,S433,nCUENTA,1,nASIG,"Orquesta/Banda/Conjunto"),"")))</f>
        <v/>
      </c>
      <c r="V433" t="str">
        <f>IF(S433="","",IF(S433="[FÓRMULA MANUAL]","",IFERROR(AVERAGEIFS(nNOTA,nNIA,S433,nCUENTA,1,nASIG,"Música de Cámara"),"")))</f>
        <v/>
      </c>
      <c r="W433" t="str">
        <f>IF(S433="","",IF(S433="[FÓRMULA MANUAL]","",IFERROR(SUMPRODUCT((nNIA=S433)*(nCUENTA=1)*(COUNTIF(CONFIG_ASIGNATURAS!$B$7:$B$27,nASIG)&gt;0)*(nNOTA))/SUMPRODUCT((nNIA=S433)*(nCUENTA=1)*(COUNTIF(CONFIG_ASIGNATURAS!$B$7:$B$27,nASIG)&gt;0)*1),"")))</f>
        <v/>
      </c>
      <c r="Z433" t="str">
        <f>IF(Y433="","",IF(Y433="[FÓRMULA MANUAL]","",IFERROR(AVERAGEIFS(nNOTA,nNIA,Y433,nCUENTA,1,nASIG,"Análisis"),"")))</f>
        <v/>
      </c>
      <c r="AA433" t="str">
        <f>IF(Y433="","",IF(Y433="[FÓRMULA MANUAL]","",IFERROR(AVERAGEIFS(nNOTA,nNIA,Y433,nCUENTA,1,nASIG,"Orquesta/Banda/Conjunto"),"")))</f>
        <v/>
      </c>
      <c r="AB433" t="str">
        <f>IF(Y433="","",IF(Y433="[FÓRMULA MANUAL]","",IFERROR(AVERAGEIFS(nNOTA,nNIA,Y433,nCUENTA,1,nASIG,"Música de Cámara"),"")))</f>
        <v/>
      </c>
      <c r="AC433" t="str">
        <f>IF(Y433="","",IF(Y433="[FÓRMULA MANUAL]","",IFERROR(SUMPRODUCT((nNIA=Y433)*(nCUENTA=1)*(COUNTIF(CONFIG_ASIGNATURAS!$B$7:$B$27,nASIG)&gt;0)*(nNOTA))/SUMPRODUCT((nNIA=Y433)*(nCUENTA=1)*(COUNTIF(CONFIG_ASIGNATURAS!$B$7:$B$27,nASIG)&gt;0)*1),"")))</f>
        <v/>
      </c>
      <c r="AF433" t="str">
        <f>IF(AE433="","",IF(AE433="[FÓRMULA MANUAL]","",IFERROR(AVERAGEIFS(nNOTA,nNIA,AE433,nCUENTA,1,nASIG,"Análisis"),"")))</f>
        <v/>
      </c>
      <c r="AG433" t="str">
        <f>IF(AE433="","",IF(AE433="[FÓRMULA MANUAL]","",IFERROR(AVERAGEIFS(nNOTA,nNIA,AE433,nCUENTA,1,nASIG,"Orquesta/Banda/Conjunto"),"")))</f>
        <v/>
      </c>
      <c r="AH433" t="str">
        <f>IF(AE433="","",IF(AE433="[FÓRMULA MANUAL]","",IFERROR(AVERAGEIFS(nNOTA,nNIA,AE433,nCUENTA,1,nASIG,"Música de Cámara"),"")))</f>
        <v/>
      </c>
      <c r="AI433" t="str">
        <f>IF(AE433="","",IF(AE433="[FÓRMULA MANUAL]","",IFERROR(SUMPRODUCT((nNIA=AE433)*(nCUENTA=1)*(COUNTIF(CONFIG_ASIGNATURAS!$B$7:$B$27,nASIG)&gt;0)*(nNOTA))/SUMPRODUCT((nNIA=AE433)*(nCUENTA=1)*(COUNTIF(CONFIG_ASIGNATURAS!$B$7:$B$27,nASIG)&gt;0)*1),"")))</f>
        <v/>
      </c>
    </row>
    <row r="434" spans="2:35" x14ac:dyDescent="0.2">
      <c r="B434" t="str">
        <f>IF(A434="","",IF(A434="[FÓRMULA MANUAL]","",IFERROR(AVERAGEIFS(nNOTA,nNIA,A434,nCUENTA,1,nASIG,"Lenguaje Musical"),"")))</f>
        <v/>
      </c>
      <c r="C434" t="str">
        <f>IF(A434="","",IF(A434="[FÓRMULA MANUAL]","",IFERROR(AVERAGEIFS(nNOTA,nNIA,A434,nCUENTA,1,nASIG,"Orquesta/Banda/Conjunto"),"")))</f>
        <v/>
      </c>
      <c r="D434" t="str">
        <f>IF(A434="","",IF(A434="[FÓRMULA MANUAL]","",IFERROR(AVERAGEIFS(nNOTA,nNIA,A434,nCUENTA,1,nASIG,"Conjunto"),"")))</f>
        <v/>
      </c>
      <c r="E434" t="str">
        <f>IF(A434="","",IF(A434="[FÓRMULA MANUAL]","",IFERROR(SUMPRODUCT((nNIA=A434)*(nCUENTA=1)*(COUNTIF(CONFIG_ASIGNATURAS!$B$7:$B$27,nASIG)&gt;0)*(nNOTA))/SUMPRODUCT((nNIA=A434)*(nCUENTA=1)*(COUNTIF(CONFIG_ASIGNATURAS!$B$7:$B$27,nASIG)&gt;0)*1),"")))</f>
        <v/>
      </c>
      <c r="H434" t="str">
        <f>IF(G434="","",IF(G434="[FÓRMULA MANUAL]","",IFERROR(AVERAGEIFS(nNOTA,nNIA,G434,nCUENTA,1,nASIG,"Lenguaje Musical"),"")))</f>
        <v/>
      </c>
      <c r="I434" t="str">
        <f>IF(G434="","",IF(G434="[FÓRMULA MANUAL]","",IFERROR(AVERAGEIFS(nNOTA,nNIA,G434,nCUENTA,1,nASIG,"Orquesta/Banda/Conjunto"),"")))</f>
        <v/>
      </c>
      <c r="J434" t="str">
        <f>IF(G434="","",IF(G434="[FÓRMULA MANUAL]","",IFERROR(AVERAGEIFS(nNOTA,nNIA,G434,nCUENTA,1,nASIG,"Conjunto"),"")))</f>
        <v/>
      </c>
      <c r="K434" t="str">
        <f>IF(G434="","",IF(G434="[FÓRMULA MANUAL]","",IFERROR(SUMPRODUCT((nNIA=G434)*(nCUENTA=1)*(COUNTIF(CONFIG_ASIGNATURAS!$B$7:$B$27,nASIG)&gt;0)*(nNOTA))/SUMPRODUCT((nNIA=G434)*(nCUENTA=1)*(COUNTIF(CONFIG_ASIGNATURAS!$B$7:$B$27,nASIG)&gt;0)*1),"")))</f>
        <v/>
      </c>
      <c r="N434" t="str">
        <f>IF(M434="","",IF(M434="[FÓRMULA MANUAL]","",IFERROR(AVERAGEIFS(nNOTA,nNIA,M434,nCUENTA,1,nASIG,"Armonía"),"")))</f>
        <v/>
      </c>
      <c r="O434" t="str">
        <f>IF(M434="","",IF(M434="[FÓRMULA MANUAL]","",IFERROR(AVERAGEIFS(nNOTA,nNIA,M434,nCUENTA,1,nASIG,"Orquesta/Banda/Conjunto"),"")))</f>
        <v/>
      </c>
      <c r="P434" t="str">
        <f>IF(M434="","",IF(M434="[FÓRMULA MANUAL]","",IFERROR(AVERAGEIFS(nNOTA,nNIA,M434,nCUENTA,1,nASIG,"Música de Cámara"),"")))</f>
        <v/>
      </c>
      <c r="Q434" t="str">
        <f>IF(M434="","",IF(M434="[FÓRMULA MANUAL]","",IFERROR(SUMPRODUCT((nNIA=M434)*(nCUENTA=1)*(COUNTIF(CONFIG_ASIGNATURAS!$B$7:$B$27,nASIG)&gt;0)*(nNOTA))/SUMPRODUCT((nNIA=M434)*(nCUENTA=1)*(COUNTIF(CONFIG_ASIGNATURAS!$B$7:$B$27,nASIG)&gt;0)*1),"")))</f>
        <v/>
      </c>
      <c r="T434" t="str">
        <f>IF(S434="","",IF(S434="[FÓRMULA MANUAL]","",IFERROR(AVERAGEIFS(nNOTA,nNIA,S434,nCUENTA,1,nASIG,"Armonía"),"")))</f>
        <v/>
      </c>
      <c r="U434" t="str">
        <f>IF(S434="","",IF(S434="[FÓRMULA MANUAL]","",IFERROR(AVERAGEIFS(nNOTA,nNIA,S434,nCUENTA,1,nASIG,"Orquesta/Banda/Conjunto"),"")))</f>
        <v/>
      </c>
      <c r="V434" t="str">
        <f>IF(S434="","",IF(S434="[FÓRMULA MANUAL]","",IFERROR(AVERAGEIFS(nNOTA,nNIA,S434,nCUENTA,1,nASIG,"Música de Cámara"),"")))</f>
        <v/>
      </c>
      <c r="W434" t="str">
        <f>IF(S434="","",IF(S434="[FÓRMULA MANUAL]","",IFERROR(SUMPRODUCT((nNIA=S434)*(nCUENTA=1)*(COUNTIF(CONFIG_ASIGNATURAS!$B$7:$B$27,nASIG)&gt;0)*(nNOTA))/SUMPRODUCT((nNIA=S434)*(nCUENTA=1)*(COUNTIF(CONFIG_ASIGNATURAS!$B$7:$B$27,nASIG)&gt;0)*1),"")))</f>
        <v/>
      </c>
      <c r="Z434" t="str">
        <f>IF(Y434="","",IF(Y434="[FÓRMULA MANUAL]","",IFERROR(AVERAGEIFS(nNOTA,nNIA,Y434,nCUENTA,1,nASIG,"Análisis"),"")))</f>
        <v/>
      </c>
      <c r="AA434" t="str">
        <f>IF(Y434="","",IF(Y434="[FÓRMULA MANUAL]","",IFERROR(AVERAGEIFS(nNOTA,nNIA,Y434,nCUENTA,1,nASIG,"Orquesta/Banda/Conjunto"),"")))</f>
        <v/>
      </c>
      <c r="AB434" t="str">
        <f>IF(Y434="","",IF(Y434="[FÓRMULA MANUAL]","",IFERROR(AVERAGEIFS(nNOTA,nNIA,Y434,nCUENTA,1,nASIG,"Música de Cámara"),"")))</f>
        <v/>
      </c>
      <c r="AC434" t="str">
        <f>IF(Y434="","",IF(Y434="[FÓRMULA MANUAL]","",IFERROR(SUMPRODUCT((nNIA=Y434)*(nCUENTA=1)*(COUNTIF(CONFIG_ASIGNATURAS!$B$7:$B$27,nASIG)&gt;0)*(nNOTA))/SUMPRODUCT((nNIA=Y434)*(nCUENTA=1)*(COUNTIF(CONFIG_ASIGNATURAS!$B$7:$B$27,nASIG)&gt;0)*1),"")))</f>
        <v/>
      </c>
      <c r="AF434" t="str">
        <f>IF(AE434="","",IF(AE434="[FÓRMULA MANUAL]","",IFERROR(AVERAGEIFS(nNOTA,nNIA,AE434,nCUENTA,1,nASIG,"Análisis"),"")))</f>
        <v/>
      </c>
      <c r="AG434" t="str">
        <f>IF(AE434="","",IF(AE434="[FÓRMULA MANUAL]","",IFERROR(AVERAGEIFS(nNOTA,nNIA,AE434,nCUENTA,1,nASIG,"Orquesta/Banda/Conjunto"),"")))</f>
        <v/>
      </c>
      <c r="AH434" t="str">
        <f>IF(AE434="","",IF(AE434="[FÓRMULA MANUAL]","",IFERROR(AVERAGEIFS(nNOTA,nNIA,AE434,nCUENTA,1,nASIG,"Música de Cámara"),"")))</f>
        <v/>
      </c>
      <c r="AI434" t="str">
        <f>IF(AE434="","",IF(AE434="[FÓRMULA MANUAL]","",IFERROR(SUMPRODUCT((nNIA=AE434)*(nCUENTA=1)*(COUNTIF(CONFIG_ASIGNATURAS!$B$7:$B$27,nASIG)&gt;0)*(nNOTA))/SUMPRODUCT((nNIA=AE434)*(nCUENTA=1)*(COUNTIF(CONFIG_ASIGNATURAS!$B$7:$B$27,nASIG)&gt;0)*1),"")))</f>
        <v/>
      </c>
    </row>
    <row r="435" spans="2:35" x14ac:dyDescent="0.2">
      <c r="B435" t="str">
        <f>IF(A435="","",IF(A435="[FÓRMULA MANUAL]","",IFERROR(AVERAGEIFS(nNOTA,nNIA,A435,nCUENTA,1,nASIG,"Lenguaje Musical"),"")))</f>
        <v/>
      </c>
      <c r="C435" t="str">
        <f>IF(A435="","",IF(A435="[FÓRMULA MANUAL]","",IFERROR(AVERAGEIFS(nNOTA,nNIA,A435,nCUENTA,1,nASIG,"Orquesta/Banda/Conjunto"),"")))</f>
        <v/>
      </c>
      <c r="D435" t="str">
        <f>IF(A435="","",IF(A435="[FÓRMULA MANUAL]","",IFERROR(AVERAGEIFS(nNOTA,nNIA,A435,nCUENTA,1,nASIG,"Conjunto"),"")))</f>
        <v/>
      </c>
      <c r="E435" t="str">
        <f>IF(A435="","",IF(A435="[FÓRMULA MANUAL]","",IFERROR(SUMPRODUCT((nNIA=A435)*(nCUENTA=1)*(COUNTIF(CONFIG_ASIGNATURAS!$B$7:$B$27,nASIG)&gt;0)*(nNOTA))/SUMPRODUCT((nNIA=A435)*(nCUENTA=1)*(COUNTIF(CONFIG_ASIGNATURAS!$B$7:$B$27,nASIG)&gt;0)*1),"")))</f>
        <v/>
      </c>
      <c r="H435" t="str">
        <f>IF(G435="","",IF(G435="[FÓRMULA MANUAL]","",IFERROR(AVERAGEIFS(nNOTA,nNIA,G435,nCUENTA,1,nASIG,"Lenguaje Musical"),"")))</f>
        <v/>
      </c>
      <c r="I435" t="str">
        <f>IF(G435="","",IF(G435="[FÓRMULA MANUAL]","",IFERROR(AVERAGEIFS(nNOTA,nNIA,G435,nCUENTA,1,nASIG,"Orquesta/Banda/Conjunto"),"")))</f>
        <v/>
      </c>
      <c r="J435" t="str">
        <f>IF(G435="","",IF(G435="[FÓRMULA MANUAL]","",IFERROR(AVERAGEIFS(nNOTA,nNIA,G435,nCUENTA,1,nASIG,"Conjunto"),"")))</f>
        <v/>
      </c>
      <c r="K435" t="str">
        <f>IF(G435="","",IF(G435="[FÓRMULA MANUAL]","",IFERROR(SUMPRODUCT((nNIA=G435)*(nCUENTA=1)*(COUNTIF(CONFIG_ASIGNATURAS!$B$7:$B$27,nASIG)&gt;0)*(nNOTA))/SUMPRODUCT((nNIA=G435)*(nCUENTA=1)*(COUNTIF(CONFIG_ASIGNATURAS!$B$7:$B$27,nASIG)&gt;0)*1),"")))</f>
        <v/>
      </c>
      <c r="N435" t="str">
        <f>IF(M435="","",IF(M435="[FÓRMULA MANUAL]","",IFERROR(AVERAGEIFS(nNOTA,nNIA,M435,nCUENTA,1,nASIG,"Armonía"),"")))</f>
        <v/>
      </c>
      <c r="O435" t="str">
        <f>IF(M435="","",IF(M435="[FÓRMULA MANUAL]","",IFERROR(AVERAGEIFS(nNOTA,nNIA,M435,nCUENTA,1,nASIG,"Orquesta/Banda/Conjunto"),"")))</f>
        <v/>
      </c>
      <c r="P435" t="str">
        <f>IF(M435="","",IF(M435="[FÓRMULA MANUAL]","",IFERROR(AVERAGEIFS(nNOTA,nNIA,M435,nCUENTA,1,nASIG,"Música de Cámara"),"")))</f>
        <v/>
      </c>
      <c r="Q435" t="str">
        <f>IF(M435="","",IF(M435="[FÓRMULA MANUAL]","",IFERROR(SUMPRODUCT((nNIA=M435)*(nCUENTA=1)*(COUNTIF(CONFIG_ASIGNATURAS!$B$7:$B$27,nASIG)&gt;0)*(nNOTA))/SUMPRODUCT((nNIA=M435)*(nCUENTA=1)*(COUNTIF(CONFIG_ASIGNATURAS!$B$7:$B$27,nASIG)&gt;0)*1),"")))</f>
        <v/>
      </c>
      <c r="T435" t="str">
        <f>IF(S435="","",IF(S435="[FÓRMULA MANUAL]","",IFERROR(AVERAGEIFS(nNOTA,nNIA,S435,nCUENTA,1,nASIG,"Armonía"),"")))</f>
        <v/>
      </c>
      <c r="U435" t="str">
        <f>IF(S435="","",IF(S435="[FÓRMULA MANUAL]","",IFERROR(AVERAGEIFS(nNOTA,nNIA,S435,nCUENTA,1,nASIG,"Orquesta/Banda/Conjunto"),"")))</f>
        <v/>
      </c>
      <c r="V435" t="str">
        <f>IF(S435="","",IF(S435="[FÓRMULA MANUAL]","",IFERROR(AVERAGEIFS(nNOTA,nNIA,S435,nCUENTA,1,nASIG,"Música de Cámara"),"")))</f>
        <v/>
      </c>
      <c r="W435" t="str">
        <f>IF(S435="","",IF(S435="[FÓRMULA MANUAL]","",IFERROR(SUMPRODUCT((nNIA=S435)*(nCUENTA=1)*(COUNTIF(CONFIG_ASIGNATURAS!$B$7:$B$27,nASIG)&gt;0)*(nNOTA))/SUMPRODUCT((nNIA=S435)*(nCUENTA=1)*(COUNTIF(CONFIG_ASIGNATURAS!$B$7:$B$27,nASIG)&gt;0)*1),"")))</f>
        <v/>
      </c>
      <c r="Z435" t="str">
        <f>IF(Y435="","",IF(Y435="[FÓRMULA MANUAL]","",IFERROR(AVERAGEIFS(nNOTA,nNIA,Y435,nCUENTA,1,nASIG,"Análisis"),"")))</f>
        <v/>
      </c>
      <c r="AA435" t="str">
        <f>IF(Y435="","",IF(Y435="[FÓRMULA MANUAL]","",IFERROR(AVERAGEIFS(nNOTA,nNIA,Y435,nCUENTA,1,nASIG,"Orquesta/Banda/Conjunto"),"")))</f>
        <v/>
      </c>
      <c r="AB435" t="str">
        <f>IF(Y435="","",IF(Y435="[FÓRMULA MANUAL]","",IFERROR(AVERAGEIFS(nNOTA,nNIA,Y435,nCUENTA,1,nASIG,"Música de Cámara"),"")))</f>
        <v/>
      </c>
      <c r="AC435" t="str">
        <f>IF(Y435="","",IF(Y435="[FÓRMULA MANUAL]","",IFERROR(SUMPRODUCT((nNIA=Y435)*(nCUENTA=1)*(COUNTIF(CONFIG_ASIGNATURAS!$B$7:$B$27,nASIG)&gt;0)*(nNOTA))/SUMPRODUCT((nNIA=Y435)*(nCUENTA=1)*(COUNTIF(CONFIG_ASIGNATURAS!$B$7:$B$27,nASIG)&gt;0)*1),"")))</f>
        <v/>
      </c>
      <c r="AF435" t="str">
        <f>IF(AE435="","",IF(AE435="[FÓRMULA MANUAL]","",IFERROR(AVERAGEIFS(nNOTA,nNIA,AE435,nCUENTA,1,nASIG,"Análisis"),"")))</f>
        <v/>
      </c>
      <c r="AG435" t="str">
        <f>IF(AE435="","",IF(AE435="[FÓRMULA MANUAL]","",IFERROR(AVERAGEIFS(nNOTA,nNIA,AE435,nCUENTA,1,nASIG,"Orquesta/Banda/Conjunto"),"")))</f>
        <v/>
      </c>
      <c r="AH435" t="str">
        <f>IF(AE435="","",IF(AE435="[FÓRMULA MANUAL]","",IFERROR(AVERAGEIFS(nNOTA,nNIA,AE435,nCUENTA,1,nASIG,"Música de Cámara"),"")))</f>
        <v/>
      </c>
      <c r="AI435" t="str">
        <f>IF(AE435="","",IF(AE435="[FÓRMULA MANUAL]","",IFERROR(SUMPRODUCT((nNIA=AE435)*(nCUENTA=1)*(COUNTIF(CONFIG_ASIGNATURAS!$B$7:$B$27,nASIG)&gt;0)*(nNOTA))/SUMPRODUCT((nNIA=AE435)*(nCUENTA=1)*(COUNTIF(CONFIG_ASIGNATURAS!$B$7:$B$27,nASIG)&gt;0)*1),"")))</f>
        <v/>
      </c>
    </row>
    <row r="436" spans="2:35" x14ac:dyDescent="0.2">
      <c r="B436" t="str">
        <f>IF(A436="","",IF(A436="[FÓRMULA MANUAL]","",IFERROR(AVERAGEIFS(nNOTA,nNIA,A436,nCUENTA,1,nASIG,"Lenguaje Musical"),"")))</f>
        <v/>
      </c>
      <c r="C436" t="str">
        <f>IF(A436="","",IF(A436="[FÓRMULA MANUAL]","",IFERROR(AVERAGEIFS(nNOTA,nNIA,A436,nCUENTA,1,nASIG,"Orquesta/Banda/Conjunto"),"")))</f>
        <v/>
      </c>
      <c r="D436" t="str">
        <f>IF(A436="","",IF(A436="[FÓRMULA MANUAL]","",IFERROR(AVERAGEIFS(nNOTA,nNIA,A436,nCUENTA,1,nASIG,"Conjunto"),"")))</f>
        <v/>
      </c>
      <c r="E436" t="str">
        <f>IF(A436="","",IF(A436="[FÓRMULA MANUAL]","",IFERROR(SUMPRODUCT((nNIA=A436)*(nCUENTA=1)*(COUNTIF(CONFIG_ASIGNATURAS!$B$7:$B$27,nASIG)&gt;0)*(nNOTA))/SUMPRODUCT((nNIA=A436)*(nCUENTA=1)*(COUNTIF(CONFIG_ASIGNATURAS!$B$7:$B$27,nASIG)&gt;0)*1),"")))</f>
        <v/>
      </c>
      <c r="H436" t="str">
        <f>IF(G436="","",IF(G436="[FÓRMULA MANUAL]","",IFERROR(AVERAGEIFS(nNOTA,nNIA,G436,nCUENTA,1,nASIG,"Lenguaje Musical"),"")))</f>
        <v/>
      </c>
      <c r="I436" t="str">
        <f>IF(G436="","",IF(G436="[FÓRMULA MANUAL]","",IFERROR(AVERAGEIFS(nNOTA,nNIA,G436,nCUENTA,1,nASIG,"Orquesta/Banda/Conjunto"),"")))</f>
        <v/>
      </c>
      <c r="J436" t="str">
        <f>IF(G436="","",IF(G436="[FÓRMULA MANUAL]","",IFERROR(AVERAGEIFS(nNOTA,nNIA,G436,nCUENTA,1,nASIG,"Conjunto"),"")))</f>
        <v/>
      </c>
      <c r="K436" t="str">
        <f>IF(G436="","",IF(G436="[FÓRMULA MANUAL]","",IFERROR(SUMPRODUCT((nNIA=G436)*(nCUENTA=1)*(COUNTIF(CONFIG_ASIGNATURAS!$B$7:$B$27,nASIG)&gt;0)*(nNOTA))/SUMPRODUCT((nNIA=G436)*(nCUENTA=1)*(COUNTIF(CONFIG_ASIGNATURAS!$B$7:$B$27,nASIG)&gt;0)*1),"")))</f>
        <v/>
      </c>
      <c r="N436" t="str">
        <f>IF(M436="","",IF(M436="[FÓRMULA MANUAL]","",IFERROR(AVERAGEIFS(nNOTA,nNIA,M436,nCUENTA,1,nASIG,"Armonía"),"")))</f>
        <v/>
      </c>
      <c r="O436" t="str">
        <f>IF(M436="","",IF(M436="[FÓRMULA MANUAL]","",IFERROR(AVERAGEIFS(nNOTA,nNIA,M436,nCUENTA,1,nASIG,"Orquesta/Banda/Conjunto"),"")))</f>
        <v/>
      </c>
      <c r="P436" t="str">
        <f>IF(M436="","",IF(M436="[FÓRMULA MANUAL]","",IFERROR(AVERAGEIFS(nNOTA,nNIA,M436,nCUENTA,1,nASIG,"Música de Cámara"),"")))</f>
        <v/>
      </c>
      <c r="Q436" t="str">
        <f>IF(M436="","",IF(M436="[FÓRMULA MANUAL]","",IFERROR(SUMPRODUCT((nNIA=M436)*(nCUENTA=1)*(COUNTIF(CONFIG_ASIGNATURAS!$B$7:$B$27,nASIG)&gt;0)*(nNOTA))/SUMPRODUCT((nNIA=M436)*(nCUENTA=1)*(COUNTIF(CONFIG_ASIGNATURAS!$B$7:$B$27,nASIG)&gt;0)*1),"")))</f>
        <v/>
      </c>
      <c r="T436" t="str">
        <f>IF(S436="","",IF(S436="[FÓRMULA MANUAL]","",IFERROR(AVERAGEIFS(nNOTA,nNIA,S436,nCUENTA,1,nASIG,"Armonía"),"")))</f>
        <v/>
      </c>
      <c r="U436" t="str">
        <f>IF(S436="","",IF(S436="[FÓRMULA MANUAL]","",IFERROR(AVERAGEIFS(nNOTA,nNIA,S436,nCUENTA,1,nASIG,"Orquesta/Banda/Conjunto"),"")))</f>
        <v/>
      </c>
      <c r="V436" t="str">
        <f>IF(S436="","",IF(S436="[FÓRMULA MANUAL]","",IFERROR(AVERAGEIFS(nNOTA,nNIA,S436,nCUENTA,1,nASIG,"Música de Cámara"),"")))</f>
        <v/>
      </c>
      <c r="W436" t="str">
        <f>IF(S436="","",IF(S436="[FÓRMULA MANUAL]","",IFERROR(SUMPRODUCT((nNIA=S436)*(nCUENTA=1)*(COUNTIF(CONFIG_ASIGNATURAS!$B$7:$B$27,nASIG)&gt;0)*(nNOTA))/SUMPRODUCT((nNIA=S436)*(nCUENTA=1)*(COUNTIF(CONFIG_ASIGNATURAS!$B$7:$B$27,nASIG)&gt;0)*1),"")))</f>
        <v/>
      </c>
      <c r="Z436" t="str">
        <f>IF(Y436="","",IF(Y436="[FÓRMULA MANUAL]","",IFERROR(AVERAGEIFS(nNOTA,nNIA,Y436,nCUENTA,1,nASIG,"Análisis"),"")))</f>
        <v/>
      </c>
      <c r="AA436" t="str">
        <f>IF(Y436="","",IF(Y436="[FÓRMULA MANUAL]","",IFERROR(AVERAGEIFS(nNOTA,nNIA,Y436,nCUENTA,1,nASIG,"Orquesta/Banda/Conjunto"),"")))</f>
        <v/>
      </c>
      <c r="AB436" t="str">
        <f>IF(Y436="","",IF(Y436="[FÓRMULA MANUAL]","",IFERROR(AVERAGEIFS(nNOTA,nNIA,Y436,nCUENTA,1,nASIG,"Música de Cámara"),"")))</f>
        <v/>
      </c>
      <c r="AC436" t="str">
        <f>IF(Y436="","",IF(Y436="[FÓRMULA MANUAL]","",IFERROR(SUMPRODUCT((nNIA=Y436)*(nCUENTA=1)*(COUNTIF(CONFIG_ASIGNATURAS!$B$7:$B$27,nASIG)&gt;0)*(nNOTA))/SUMPRODUCT((nNIA=Y436)*(nCUENTA=1)*(COUNTIF(CONFIG_ASIGNATURAS!$B$7:$B$27,nASIG)&gt;0)*1),"")))</f>
        <v/>
      </c>
      <c r="AF436" t="str">
        <f>IF(AE436="","",IF(AE436="[FÓRMULA MANUAL]","",IFERROR(AVERAGEIFS(nNOTA,nNIA,AE436,nCUENTA,1,nASIG,"Análisis"),"")))</f>
        <v/>
      </c>
      <c r="AG436" t="str">
        <f>IF(AE436="","",IF(AE436="[FÓRMULA MANUAL]","",IFERROR(AVERAGEIFS(nNOTA,nNIA,AE436,nCUENTA,1,nASIG,"Orquesta/Banda/Conjunto"),"")))</f>
        <v/>
      </c>
      <c r="AH436" t="str">
        <f>IF(AE436="","",IF(AE436="[FÓRMULA MANUAL]","",IFERROR(AVERAGEIFS(nNOTA,nNIA,AE436,nCUENTA,1,nASIG,"Música de Cámara"),"")))</f>
        <v/>
      </c>
      <c r="AI436" t="str">
        <f>IF(AE436="","",IF(AE436="[FÓRMULA MANUAL]","",IFERROR(SUMPRODUCT((nNIA=AE436)*(nCUENTA=1)*(COUNTIF(CONFIG_ASIGNATURAS!$B$7:$B$27,nASIG)&gt;0)*(nNOTA))/SUMPRODUCT((nNIA=AE436)*(nCUENTA=1)*(COUNTIF(CONFIG_ASIGNATURAS!$B$7:$B$27,nASIG)&gt;0)*1),"")))</f>
        <v/>
      </c>
    </row>
    <row r="437" spans="2:35" x14ac:dyDescent="0.2">
      <c r="B437" t="str">
        <f>IF(A437="","",IF(A437="[FÓRMULA MANUAL]","",IFERROR(AVERAGEIFS(nNOTA,nNIA,A437,nCUENTA,1,nASIG,"Lenguaje Musical"),"")))</f>
        <v/>
      </c>
      <c r="C437" t="str">
        <f>IF(A437="","",IF(A437="[FÓRMULA MANUAL]","",IFERROR(AVERAGEIFS(nNOTA,nNIA,A437,nCUENTA,1,nASIG,"Orquesta/Banda/Conjunto"),"")))</f>
        <v/>
      </c>
      <c r="D437" t="str">
        <f>IF(A437="","",IF(A437="[FÓRMULA MANUAL]","",IFERROR(AVERAGEIFS(nNOTA,nNIA,A437,nCUENTA,1,nASIG,"Conjunto"),"")))</f>
        <v/>
      </c>
      <c r="E437" t="str">
        <f>IF(A437="","",IF(A437="[FÓRMULA MANUAL]","",IFERROR(SUMPRODUCT((nNIA=A437)*(nCUENTA=1)*(COUNTIF(CONFIG_ASIGNATURAS!$B$7:$B$27,nASIG)&gt;0)*(nNOTA))/SUMPRODUCT((nNIA=A437)*(nCUENTA=1)*(COUNTIF(CONFIG_ASIGNATURAS!$B$7:$B$27,nASIG)&gt;0)*1),"")))</f>
        <v/>
      </c>
      <c r="H437" t="str">
        <f>IF(G437="","",IF(G437="[FÓRMULA MANUAL]","",IFERROR(AVERAGEIFS(nNOTA,nNIA,G437,nCUENTA,1,nASIG,"Lenguaje Musical"),"")))</f>
        <v/>
      </c>
      <c r="I437" t="str">
        <f>IF(G437="","",IF(G437="[FÓRMULA MANUAL]","",IFERROR(AVERAGEIFS(nNOTA,nNIA,G437,nCUENTA,1,nASIG,"Orquesta/Banda/Conjunto"),"")))</f>
        <v/>
      </c>
      <c r="J437" t="str">
        <f>IF(G437="","",IF(G437="[FÓRMULA MANUAL]","",IFERROR(AVERAGEIFS(nNOTA,nNIA,G437,nCUENTA,1,nASIG,"Conjunto"),"")))</f>
        <v/>
      </c>
      <c r="K437" t="str">
        <f>IF(G437="","",IF(G437="[FÓRMULA MANUAL]","",IFERROR(SUMPRODUCT((nNIA=G437)*(nCUENTA=1)*(COUNTIF(CONFIG_ASIGNATURAS!$B$7:$B$27,nASIG)&gt;0)*(nNOTA))/SUMPRODUCT((nNIA=G437)*(nCUENTA=1)*(COUNTIF(CONFIG_ASIGNATURAS!$B$7:$B$27,nASIG)&gt;0)*1),"")))</f>
        <v/>
      </c>
      <c r="N437" t="str">
        <f>IF(M437="","",IF(M437="[FÓRMULA MANUAL]","",IFERROR(AVERAGEIFS(nNOTA,nNIA,M437,nCUENTA,1,nASIG,"Armonía"),"")))</f>
        <v/>
      </c>
      <c r="O437" t="str">
        <f>IF(M437="","",IF(M437="[FÓRMULA MANUAL]","",IFERROR(AVERAGEIFS(nNOTA,nNIA,M437,nCUENTA,1,nASIG,"Orquesta/Banda/Conjunto"),"")))</f>
        <v/>
      </c>
      <c r="P437" t="str">
        <f>IF(M437="","",IF(M437="[FÓRMULA MANUAL]","",IFERROR(AVERAGEIFS(nNOTA,nNIA,M437,nCUENTA,1,nASIG,"Música de Cámara"),"")))</f>
        <v/>
      </c>
      <c r="Q437" t="str">
        <f>IF(M437="","",IF(M437="[FÓRMULA MANUAL]","",IFERROR(SUMPRODUCT((nNIA=M437)*(nCUENTA=1)*(COUNTIF(CONFIG_ASIGNATURAS!$B$7:$B$27,nASIG)&gt;0)*(nNOTA))/SUMPRODUCT((nNIA=M437)*(nCUENTA=1)*(COUNTIF(CONFIG_ASIGNATURAS!$B$7:$B$27,nASIG)&gt;0)*1),"")))</f>
        <v/>
      </c>
      <c r="T437" t="str">
        <f>IF(S437="","",IF(S437="[FÓRMULA MANUAL]","",IFERROR(AVERAGEIFS(nNOTA,nNIA,S437,nCUENTA,1,nASIG,"Armonía"),"")))</f>
        <v/>
      </c>
      <c r="U437" t="str">
        <f>IF(S437="","",IF(S437="[FÓRMULA MANUAL]","",IFERROR(AVERAGEIFS(nNOTA,nNIA,S437,nCUENTA,1,nASIG,"Orquesta/Banda/Conjunto"),"")))</f>
        <v/>
      </c>
      <c r="V437" t="str">
        <f>IF(S437="","",IF(S437="[FÓRMULA MANUAL]","",IFERROR(AVERAGEIFS(nNOTA,nNIA,S437,nCUENTA,1,nASIG,"Música de Cámara"),"")))</f>
        <v/>
      </c>
      <c r="W437" t="str">
        <f>IF(S437="","",IF(S437="[FÓRMULA MANUAL]","",IFERROR(SUMPRODUCT((nNIA=S437)*(nCUENTA=1)*(COUNTIF(CONFIG_ASIGNATURAS!$B$7:$B$27,nASIG)&gt;0)*(nNOTA))/SUMPRODUCT((nNIA=S437)*(nCUENTA=1)*(COUNTIF(CONFIG_ASIGNATURAS!$B$7:$B$27,nASIG)&gt;0)*1),"")))</f>
        <v/>
      </c>
      <c r="Z437" t="str">
        <f>IF(Y437="","",IF(Y437="[FÓRMULA MANUAL]","",IFERROR(AVERAGEIFS(nNOTA,nNIA,Y437,nCUENTA,1,nASIG,"Análisis"),"")))</f>
        <v/>
      </c>
      <c r="AA437" t="str">
        <f>IF(Y437="","",IF(Y437="[FÓRMULA MANUAL]","",IFERROR(AVERAGEIFS(nNOTA,nNIA,Y437,nCUENTA,1,nASIG,"Orquesta/Banda/Conjunto"),"")))</f>
        <v/>
      </c>
      <c r="AB437" t="str">
        <f>IF(Y437="","",IF(Y437="[FÓRMULA MANUAL]","",IFERROR(AVERAGEIFS(nNOTA,nNIA,Y437,nCUENTA,1,nASIG,"Música de Cámara"),"")))</f>
        <v/>
      </c>
      <c r="AC437" t="str">
        <f>IF(Y437="","",IF(Y437="[FÓRMULA MANUAL]","",IFERROR(SUMPRODUCT((nNIA=Y437)*(nCUENTA=1)*(COUNTIF(CONFIG_ASIGNATURAS!$B$7:$B$27,nASIG)&gt;0)*(nNOTA))/SUMPRODUCT((nNIA=Y437)*(nCUENTA=1)*(COUNTIF(CONFIG_ASIGNATURAS!$B$7:$B$27,nASIG)&gt;0)*1),"")))</f>
        <v/>
      </c>
      <c r="AF437" t="str">
        <f>IF(AE437="","",IF(AE437="[FÓRMULA MANUAL]","",IFERROR(AVERAGEIFS(nNOTA,nNIA,AE437,nCUENTA,1,nASIG,"Análisis"),"")))</f>
        <v/>
      </c>
      <c r="AG437" t="str">
        <f>IF(AE437="","",IF(AE437="[FÓRMULA MANUAL]","",IFERROR(AVERAGEIFS(nNOTA,nNIA,AE437,nCUENTA,1,nASIG,"Orquesta/Banda/Conjunto"),"")))</f>
        <v/>
      </c>
      <c r="AH437" t="str">
        <f>IF(AE437="","",IF(AE437="[FÓRMULA MANUAL]","",IFERROR(AVERAGEIFS(nNOTA,nNIA,AE437,nCUENTA,1,nASIG,"Música de Cámara"),"")))</f>
        <v/>
      </c>
      <c r="AI437" t="str">
        <f>IF(AE437="","",IF(AE437="[FÓRMULA MANUAL]","",IFERROR(SUMPRODUCT((nNIA=AE437)*(nCUENTA=1)*(COUNTIF(CONFIG_ASIGNATURAS!$B$7:$B$27,nASIG)&gt;0)*(nNOTA))/SUMPRODUCT((nNIA=AE437)*(nCUENTA=1)*(COUNTIF(CONFIG_ASIGNATURAS!$B$7:$B$27,nASIG)&gt;0)*1),"")))</f>
        <v/>
      </c>
    </row>
    <row r="438" spans="2:35" x14ac:dyDescent="0.2">
      <c r="B438" t="str">
        <f>IF(A438="","",IF(A438="[FÓRMULA MANUAL]","",IFERROR(AVERAGEIFS(nNOTA,nNIA,A438,nCUENTA,1,nASIG,"Lenguaje Musical"),"")))</f>
        <v/>
      </c>
      <c r="C438" t="str">
        <f>IF(A438="","",IF(A438="[FÓRMULA MANUAL]","",IFERROR(AVERAGEIFS(nNOTA,nNIA,A438,nCUENTA,1,nASIG,"Orquesta/Banda/Conjunto"),"")))</f>
        <v/>
      </c>
      <c r="D438" t="str">
        <f>IF(A438="","",IF(A438="[FÓRMULA MANUAL]","",IFERROR(AVERAGEIFS(nNOTA,nNIA,A438,nCUENTA,1,nASIG,"Conjunto"),"")))</f>
        <v/>
      </c>
      <c r="E438" t="str">
        <f>IF(A438="","",IF(A438="[FÓRMULA MANUAL]","",IFERROR(SUMPRODUCT((nNIA=A438)*(nCUENTA=1)*(COUNTIF(CONFIG_ASIGNATURAS!$B$7:$B$27,nASIG)&gt;0)*(nNOTA))/SUMPRODUCT((nNIA=A438)*(nCUENTA=1)*(COUNTIF(CONFIG_ASIGNATURAS!$B$7:$B$27,nASIG)&gt;0)*1),"")))</f>
        <v/>
      </c>
      <c r="H438" t="str">
        <f>IF(G438="","",IF(G438="[FÓRMULA MANUAL]","",IFERROR(AVERAGEIFS(nNOTA,nNIA,G438,nCUENTA,1,nASIG,"Lenguaje Musical"),"")))</f>
        <v/>
      </c>
      <c r="I438" t="str">
        <f>IF(G438="","",IF(G438="[FÓRMULA MANUAL]","",IFERROR(AVERAGEIFS(nNOTA,nNIA,G438,nCUENTA,1,nASIG,"Orquesta/Banda/Conjunto"),"")))</f>
        <v/>
      </c>
      <c r="J438" t="str">
        <f>IF(G438="","",IF(G438="[FÓRMULA MANUAL]","",IFERROR(AVERAGEIFS(nNOTA,nNIA,G438,nCUENTA,1,nASIG,"Conjunto"),"")))</f>
        <v/>
      </c>
      <c r="K438" t="str">
        <f>IF(G438="","",IF(G438="[FÓRMULA MANUAL]","",IFERROR(SUMPRODUCT((nNIA=G438)*(nCUENTA=1)*(COUNTIF(CONFIG_ASIGNATURAS!$B$7:$B$27,nASIG)&gt;0)*(nNOTA))/SUMPRODUCT((nNIA=G438)*(nCUENTA=1)*(COUNTIF(CONFIG_ASIGNATURAS!$B$7:$B$27,nASIG)&gt;0)*1),"")))</f>
        <v/>
      </c>
      <c r="N438" t="str">
        <f>IF(M438="","",IF(M438="[FÓRMULA MANUAL]","",IFERROR(AVERAGEIFS(nNOTA,nNIA,M438,nCUENTA,1,nASIG,"Armonía"),"")))</f>
        <v/>
      </c>
      <c r="O438" t="str">
        <f>IF(M438="","",IF(M438="[FÓRMULA MANUAL]","",IFERROR(AVERAGEIFS(nNOTA,nNIA,M438,nCUENTA,1,nASIG,"Orquesta/Banda/Conjunto"),"")))</f>
        <v/>
      </c>
      <c r="P438" t="str">
        <f>IF(M438="","",IF(M438="[FÓRMULA MANUAL]","",IFERROR(AVERAGEIFS(nNOTA,nNIA,M438,nCUENTA,1,nASIG,"Música de Cámara"),"")))</f>
        <v/>
      </c>
      <c r="Q438" t="str">
        <f>IF(M438="","",IF(M438="[FÓRMULA MANUAL]","",IFERROR(SUMPRODUCT((nNIA=M438)*(nCUENTA=1)*(COUNTIF(CONFIG_ASIGNATURAS!$B$7:$B$27,nASIG)&gt;0)*(nNOTA))/SUMPRODUCT((nNIA=M438)*(nCUENTA=1)*(COUNTIF(CONFIG_ASIGNATURAS!$B$7:$B$27,nASIG)&gt;0)*1),"")))</f>
        <v/>
      </c>
      <c r="T438" t="str">
        <f>IF(S438="","",IF(S438="[FÓRMULA MANUAL]","",IFERROR(AVERAGEIFS(nNOTA,nNIA,S438,nCUENTA,1,nASIG,"Armonía"),"")))</f>
        <v/>
      </c>
      <c r="U438" t="str">
        <f>IF(S438="","",IF(S438="[FÓRMULA MANUAL]","",IFERROR(AVERAGEIFS(nNOTA,nNIA,S438,nCUENTA,1,nASIG,"Orquesta/Banda/Conjunto"),"")))</f>
        <v/>
      </c>
      <c r="V438" t="str">
        <f>IF(S438="","",IF(S438="[FÓRMULA MANUAL]","",IFERROR(AVERAGEIFS(nNOTA,nNIA,S438,nCUENTA,1,nASIG,"Música de Cámara"),"")))</f>
        <v/>
      </c>
      <c r="W438" t="str">
        <f>IF(S438="","",IF(S438="[FÓRMULA MANUAL]","",IFERROR(SUMPRODUCT((nNIA=S438)*(nCUENTA=1)*(COUNTIF(CONFIG_ASIGNATURAS!$B$7:$B$27,nASIG)&gt;0)*(nNOTA))/SUMPRODUCT((nNIA=S438)*(nCUENTA=1)*(COUNTIF(CONFIG_ASIGNATURAS!$B$7:$B$27,nASIG)&gt;0)*1),"")))</f>
        <v/>
      </c>
      <c r="Z438" t="str">
        <f>IF(Y438="","",IF(Y438="[FÓRMULA MANUAL]","",IFERROR(AVERAGEIFS(nNOTA,nNIA,Y438,nCUENTA,1,nASIG,"Análisis"),"")))</f>
        <v/>
      </c>
      <c r="AA438" t="str">
        <f>IF(Y438="","",IF(Y438="[FÓRMULA MANUAL]","",IFERROR(AVERAGEIFS(nNOTA,nNIA,Y438,nCUENTA,1,nASIG,"Orquesta/Banda/Conjunto"),"")))</f>
        <v/>
      </c>
      <c r="AB438" t="str">
        <f>IF(Y438="","",IF(Y438="[FÓRMULA MANUAL]","",IFERROR(AVERAGEIFS(nNOTA,nNIA,Y438,nCUENTA,1,nASIG,"Música de Cámara"),"")))</f>
        <v/>
      </c>
      <c r="AC438" t="str">
        <f>IF(Y438="","",IF(Y438="[FÓRMULA MANUAL]","",IFERROR(SUMPRODUCT((nNIA=Y438)*(nCUENTA=1)*(COUNTIF(CONFIG_ASIGNATURAS!$B$7:$B$27,nASIG)&gt;0)*(nNOTA))/SUMPRODUCT((nNIA=Y438)*(nCUENTA=1)*(COUNTIF(CONFIG_ASIGNATURAS!$B$7:$B$27,nASIG)&gt;0)*1),"")))</f>
        <v/>
      </c>
      <c r="AF438" t="str">
        <f>IF(AE438="","",IF(AE438="[FÓRMULA MANUAL]","",IFERROR(AVERAGEIFS(nNOTA,nNIA,AE438,nCUENTA,1,nASIG,"Análisis"),"")))</f>
        <v/>
      </c>
      <c r="AG438" t="str">
        <f>IF(AE438="","",IF(AE438="[FÓRMULA MANUAL]","",IFERROR(AVERAGEIFS(nNOTA,nNIA,AE438,nCUENTA,1,nASIG,"Orquesta/Banda/Conjunto"),"")))</f>
        <v/>
      </c>
      <c r="AH438" t="str">
        <f>IF(AE438="","",IF(AE438="[FÓRMULA MANUAL]","",IFERROR(AVERAGEIFS(nNOTA,nNIA,AE438,nCUENTA,1,nASIG,"Música de Cámara"),"")))</f>
        <v/>
      </c>
      <c r="AI438" t="str">
        <f>IF(AE438="","",IF(AE438="[FÓRMULA MANUAL]","",IFERROR(SUMPRODUCT((nNIA=AE438)*(nCUENTA=1)*(COUNTIF(CONFIG_ASIGNATURAS!$B$7:$B$27,nASIG)&gt;0)*(nNOTA))/SUMPRODUCT((nNIA=AE438)*(nCUENTA=1)*(COUNTIF(CONFIG_ASIGNATURAS!$B$7:$B$27,nASIG)&gt;0)*1),"")))</f>
        <v/>
      </c>
    </row>
    <row r="439" spans="2:35" x14ac:dyDescent="0.2">
      <c r="B439" t="str">
        <f>IF(A439="","",IF(A439="[FÓRMULA MANUAL]","",IFERROR(AVERAGEIFS(nNOTA,nNIA,A439,nCUENTA,1,nASIG,"Lenguaje Musical"),"")))</f>
        <v/>
      </c>
      <c r="C439" t="str">
        <f>IF(A439="","",IF(A439="[FÓRMULA MANUAL]","",IFERROR(AVERAGEIFS(nNOTA,nNIA,A439,nCUENTA,1,nASIG,"Orquesta/Banda/Conjunto"),"")))</f>
        <v/>
      </c>
      <c r="D439" t="str">
        <f>IF(A439="","",IF(A439="[FÓRMULA MANUAL]","",IFERROR(AVERAGEIFS(nNOTA,nNIA,A439,nCUENTA,1,nASIG,"Conjunto"),"")))</f>
        <v/>
      </c>
      <c r="E439" t="str">
        <f>IF(A439="","",IF(A439="[FÓRMULA MANUAL]","",IFERROR(SUMPRODUCT((nNIA=A439)*(nCUENTA=1)*(COUNTIF(CONFIG_ASIGNATURAS!$B$7:$B$27,nASIG)&gt;0)*(nNOTA))/SUMPRODUCT((nNIA=A439)*(nCUENTA=1)*(COUNTIF(CONFIG_ASIGNATURAS!$B$7:$B$27,nASIG)&gt;0)*1),"")))</f>
        <v/>
      </c>
      <c r="H439" t="str">
        <f>IF(G439="","",IF(G439="[FÓRMULA MANUAL]","",IFERROR(AVERAGEIFS(nNOTA,nNIA,G439,nCUENTA,1,nASIG,"Lenguaje Musical"),"")))</f>
        <v/>
      </c>
      <c r="I439" t="str">
        <f>IF(G439="","",IF(G439="[FÓRMULA MANUAL]","",IFERROR(AVERAGEIFS(nNOTA,nNIA,G439,nCUENTA,1,nASIG,"Orquesta/Banda/Conjunto"),"")))</f>
        <v/>
      </c>
      <c r="J439" t="str">
        <f>IF(G439="","",IF(G439="[FÓRMULA MANUAL]","",IFERROR(AVERAGEIFS(nNOTA,nNIA,G439,nCUENTA,1,nASIG,"Conjunto"),"")))</f>
        <v/>
      </c>
      <c r="K439" t="str">
        <f>IF(G439="","",IF(G439="[FÓRMULA MANUAL]","",IFERROR(SUMPRODUCT((nNIA=G439)*(nCUENTA=1)*(COUNTIF(CONFIG_ASIGNATURAS!$B$7:$B$27,nASIG)&gt;0)*(nNOTA))/SUMPRODUCT((nNIA=G439)*(nCUENTA=1)*(COUNTIF(CONFIG_ASIGNATURAS!$B$7:$B$27,nASIG)&gt;0)*1),"")))</f>
        <v/>
      </c>
      <c r="N439" t="str">
        <f>IF(M439="","",IF(M439="[FÓRMULA MANUAL]","",IFERROR(AVERAGEIFS(nNOTA,nNIA,M439,nCUENTA,1,nASIG,"Armonía"),"")))</f>
        <v/>
      </c>
      <c r="O439" t="str">
        <f>IF(M439="","",IF(M439="[FÓRMULA MANUAL]","",IFERROR(AVERAGEIFS(nNOTA,nNIA,M439,nCUENTA,1,nASIG,"Orquesta/Banda/Conjunto"),"")))</f>
        <v/>
      </c>
      <c r="P439" t="str">
        <f>IF(M439="","",IF(M439="[FÓRMULA MANUAL]","",IFERROR(AVERAGEIFS(nNOTA,nNIA,M439,nCUENTA,1,nASIG,"Música de Cámara"),"")))</f>
        <v/>
      </c>
      <c r="Q439" t="str">
        <f>IF(M439="","",IF(M439="[FÓRMULA MANUAL]","",IFERROR(SUMPRODUCT((nNIA=M439)*(nCUENTA=1)*(COUNTIF(CONFIG_ASIGNATURAS!$B$7:$B$27,nASIG)&gt;0)*(nNOTA))/SUMPRODUCT((nNIA=M439)*(nCUENTA=1)*(COUNTIF(CONFIG_ASIGNATURAS!$B$7:$B$27,nASIG)&gt;0)*1),"")))</f>
        <v/>
      </c>
      <c r="T439" t="str">
        <f>IF(S439="","",IF(S439="[FÓRMULA MANUAL]","",IFERROR(AVERAGEIFS(nNOTA,nNIA,S439,nCUENTA,1,nASIG,"Armonía"),"")))</f>
        <v/>
      </c>
      <c r="U439" t="str">
        <f>IF(S439="","",IF(S439="[FÓRMULA MANUAL]","",IFERROR(AVERAGEIFS(nNOTA,nNIA,S439,nCUENTA,1,nASIG,"Orquesta/Banda/Conjunto"),"")))</f>
        <v/>
      </c>
      <c r="V439" t="str">
        <f>IF(S439="","",IF(S439="[FÓRMULA MANUAL]","",IFERROR(AVERAGEIFS(nNOTA,nNIA,S439,nCUENTA,1,nASIG,"Música de Cámara"),"")))</f>
        <v/>
      </c>
      <c r="W439" t="str">
        <f>IF(S439="","",IF(S439="[FÓRMULA MANUAL]","",IFERROR(SUMPRODUCT((nNIA=S439)*(nCUENTA=1)*(COUNTIF(CONFIG_ASIGNATURAS!$B$7:$B$27,nASIG)&gt;0)*(nNOTA))/SUMPRODUCT((nNIA=S439)*(nCUENTA=1)*(COUNTIF(CONFIG_ASIGNATURAS!$B$7:$B$27,nASIG)&gt;0)*1),"")))</f>
        <v/>
      </c>
      <c r="Z439" t="str">
        <f>IF(Y439="","",IF(Y439="[FÓRMULA MANUAL]","",IFERROR(AVERAGEIFS(nNOTA,nNIA,Y439,nCUENTA,1,nASIG,"Análisis"),"")))</f>
        <v/>
      </c>
      <c r="AA439" t="str">
        <f>IF(Y439="","",IF(Y439="[FÓRMULA MANUAL]","",IFERROR(AVERAGEIFS(nNOTA,nNIA,Y439,nCUENTA,1,nASIG,"Orquesta/Banda/Conjunto"),"")))</f>
        <v/>
      </c>
      <c r="AB439" t="str">
        <f>IF(Y439="","",IF(Y439="[FÓRMULA MANUAL]","",IFERROR(AVERAGEIFS(nNOTA,nNIA,Y439,nCUENTA,1,nASIG,"Música de Cámara"),"")))</f>
        <v/>
      </c>
      <c r="AC439" t="str">
        <f>IF(Y439="","",IF(Y439="[FÓRMULA MANUAL]","",IFERROR(SUMPRODUCT((nNIA=Y439)*(nCUENTA=1)*(COUNTIF(CONFIG_ASIGNATURAS!$B$7:$B$27,nASIG)&gt;0)*(nNOTA))/SUMPRODUCT((nNIA=Y439)*(nCUENTA=1)*(COUNTIF(CONFIG_ASIGNATURAS!$B$7:$B$27,nASIG)&gt;0)*1),"")))</f>
        <v/>
      </c>
      <c r="AF439" t="str">
        <f>IF(AE439="","",IF(AE439="[FÓRMULA MANUAL]","",IFERROR(AVERAGEIFS(nNOTA,nNIA,AE439,nCUENTA,1,nASIG,"Análisis"),"")))</f>
        <v/>
      </c>
      <c r="AG439" t="str">
        <f>IF(AE439="","",IF(AE439="[FÓRMULA MANUAL]","",IFERROR(AVERAGEIFS(nNOTA,nNIA,AE439,nCUENTA,1,nASIG,"Orquesta/Banda/Conjunto"),"")))</f>
        <v/>
      </c>
      <c r="AH439" t="str">
        <f>IF(AE439="","",IF(AE439="[FÓRMULA MANUAL]","",IFERROR(AVERAGEIFS(nNOTA,nNIA,AE439,nCUENTA,1,nASIG,"Música de Cámara"),"")))</f>
        <v/>
      </c>
      <c r="AI439" t="str">
        <f>IF(AE439="","",IF(AE439="[FÓRMULA MANUAL]","",IFERROR(SUMPRODUCT((nNIA=AE439)*(nCUENTA=1)*(COUNTIF(CONFIG_ASIGNATURAS!$B$7:$B$27,nASIG)&gt;0)*(nNOTA))/SUMPRODUCT((nNIA=AE439)*(nCUENTA=1)*(COUNTIF(CONFIG_ASIGNATURAS!$B$7:$B$27,nASIG)&gt;0)*1),"")))</f>
        <v/>
      </c>
    </row>
    <row r="440" spans="2:35" x14ac:dyDescent="0.2">
      <c r="B440" t="str">
        <f>IF(A440="","",IF(A440="[FÓRMULA MANUAL]","",IFERROR(AVERAGEIFS(nNOTA,nNIA,A440,nCUENTA,1,nASIG,"Lenguaje Musical"),"")))</f>
        <v/>
      </c>
      <c r="C440" t="str">
        <f>IF(A440="","",IF(A440="[FÓRMULA MANUAL]","",IFERROR(AVERAGEIFS(nNOTA,nNIA,A440,nCUENTA,1,nASIG,"Orquesta/Banda/Conjunto"),"")))</f>
        <v/>
      </c>
      <c r="D440" t="str">
        <f>IF(A440="","",IF(A440="[FÓRMULA MANUAL]","",IFERROR(AVERAGEIFS(nNOTA,nNIA,A440,nCUENTA,1,nASIG,"Conjunto"),"")))</f>
        <v/>
      </c>
      <c r="E440" t="str">
        <f>IF(A440="","",IF(A440="[FÓRMULA MANUAL]","",IFERROR(SUMPRODUCT((nNIA=A440)*(nCUENTA=1)*(COUNTIF(CONFIG_ASIGNATURAS!$B$7:$B$27,nASIG)&gt;0)*(nNOTA))/SUMPRODUCT((nNIA=A440)*(nCUENTA=1)*(COUNTIF(CONFIG_ASIGNATURAS!$B$7:$B$27,nASIG)&gt;0)*1),"")))</f>
        <v/>
      </c>
      <c r="H440" t="str">
        <f>IF(G440="","",IF(G440="[FÓRMULA MANUAL]","",IFERROR(AVERAGEIFS(nNOTA,nNIA,G440,nCUENTA,1,nASIG,"Lenguaje Musical"),"")))</f>
        <v/>
      </c>
      <c r="I440" t="str">
        <f>IF(G440="","",IF(G440="[FÓRMULA MANUAL]","",IFERROR(AVERAGEIFS(nNOTA,nNIA,G440,nCUENTA,1,nASIG,"Orquesta/Banda/Conjunto"),"")))</f>
        <v/>
      </c>
      <c r="J440" t="str">
        <f>IF(G440="","",IF(G440="[FÓRMULA MANUAL]","",IFERROR(AVERAGEIFS(nNOTA,nNIA,G440,nCUENTA,1,nASIG,"Conjunto"),"")))</f>
        <v/>
      </c>
      <c r="K440" t="str">
        <f>IF(G440="","",IF(G440="[FÓRMULA MANUAL]","",IFERROR(SUMPRODUCT((nNIA=G440)*(nCUENTA=1)*(COUNTIF(CONFIG_ASIGNATURAS!$B$7:$B$27,nASIG)&gt;0)*(nNOTA))/SUMPRODUCT((nNIA=G440)*(nCUENTA=1)*(COUNTIF(CONFIG_ASIGNATURAS!$B$7:$B$27,nASIG)&gt;0)*1),"")))</f>
        <v/>
      </c>
      <c r="N440" t="str">
        <f>IF(M440="","",IF(M440="[FÓRMULA MANUAL]","",IFERROR(AVERAGEIFS(nNOTA,nNIA,M440,nCUENTA,1,nASIG,"Armonía"),"")))</f>
        <v/>
      </c>
      <c r="O440" t="str">
        <f>IF(M440="","",IF(M440="[FÓRMULA MANUAL]","",IFERROR(AVERAGEIFS(nNOTA,nNIA,M440,nCUENTA,1,nASIG,"Orquesta/Banda/Conjunto"),"")))</f>
        <v/>
      </c>
      <c r="P440" t="str">
        <f>IF(M440="","",IF(M440="[FÓRMULA MANUAL]","",IFERROR(AVERAGEIFS(nNOTA,nNIA,M440,nCUENTA,1,nASIG,"Música de Cámara"),"")))</f>
        <v/>
      </c>
      <c r="Q440" t="str">
        <f>IF(M440="","",IF(M440="[FÓRMULA MANUAL]","",IFERROR(SUMPRODUCT((nNIA=M440)*(nCUENTA=1)*(COUNTIF(CONFIG_ASIGNATURAS!$B$7:$B$27,nASIG)&gt;0)*(nNOTA))/SUMPRODUCT((nNIA=M440)*(nCUENTA=1)*(COUNTIF(CONFIG_ASIGNATURAS!$B$7:$B$27,nASIG)&gt;0)*1),"")))</f>
        <v/>
      </c>
      <c r="T440" t="str">
        <f>IF(S440="","",IF(S440="[FÓRMULA MANUAL]","",IFERROR(AVERAGEIFS(nNOTA,nNIA,S440,nCUENTA,1,nASIG,"Armonía"),"")))</f>
        <v/>
      </c>
      <c r="U440" t="str">
        <f>IF(S440="","",IF(S440="[FÓRMULA MANUAL]","",IFERROR(AVERAGEIFS(nNOTA,nNIA,S440,nCUENTA,1,nASIG,"Orquesta/Banda/Conjunto"),"")))</f>
        <v/>
      </c>
      <c r="V440" t="str">
        <f>IF(S440="","",IF(S440="[FÓRMULA MANUAL]","",IFERROR(AVERAGEIFS(nNOTA,nNIA,S440,nCUENTA,1,nASIG,"Música de Cámara"),"")))</f>
        <v/>
      </c>
      <c r="W440" t="str">
        <f>IF(S440="","",IF(S440="[FÓRMULA MANUAL]","",IFERROR(SUMPRODUCT((nNIA=S440)*(nCUENTA=1)*(COUNTIF(CONFIG_ASIGNATURAS!$B$7:$B$27,nASIG)&gt;0)*(nNOTA))/SUMPRODUCT((nNIA=S440)*(nCUENTA=1)*(COUNTIF(CONFIG_ASIGNATURAS!$B$7:$B$27,nASIG)&gt;0)*1),"")))</f>
        <v/>
      </c>
      <c r="Z440" t="str">
        <f>IF(Y440="","",IF(Y440="[FÓRMULA MANUAL]","",IFERROR(AVERAGEIFS(nNOTA,nNIA,Y440,nCUENTA,1,nASIG,"Análisis"),"")))</f>
        <v/>
      </c>
      <c r="AA440" t="str">
        <f>IF(Y440="","",IF(Y440="[FÓRMULA MANUAL]","",IFERROR(AVERAGEIFS(nNOTA,nNIA,Y440,nCUENTA,1,nASIG,"Orquesta/Banda/Conjunto"),"")))</f>
        <v/>
      </c>
      <c r="AB440" t="str">
        <f>IF(Y440="","",IF(Y440="[FÓRMULA MANUAL]","",IFERROR(AVERAGEIFS(nNOTA,nNIA,Y440,nCUENTA,1,nASIG,"Música de Cámara"),"")))</f>
        <v/>
      </c>
      <c r="AC440" t="str">
        <f>IF(Y440="","",IF(Y440="[FÓRMULA MANUAL]","",IFERROR(SUMPRODUCT((nNIA=Y440)*(nCUENTA=1)*(COUNTIF(CONFIG_ASIGNATURAS!$B$7:$B$27,nASIG)&gt;0)*(nNOTA))/SUMPRODUCT((nNIA=Y440)*(nCUENTA=1)*(COUNTIF(CONFIG_ASIGNATURAS!$B$7:$B$27,nASIG)&gt;0)*1),"")))</f>
        <v/>
      </c>
      <c r="AF440" t="str">
        <f>IF(AE440="","",IF(AE440="[FÓRMULA MANUAL]","",IFERROR(AVERAGEIFS(nNOTA,nNIA,AE440,nCUENTA,1,nASIG,"Análisis"),"")))</f>
        <v/>
      </c>
      <c r="AG440" t="str">
        <f>IF(AE440="","",IF(AE440="[FÓRMULA MANUAL]","",IFERROR(AVERAGEIFS(nNOTA,nNIA,AE440,nCUENTA,1,nASIG,"Orquesta/Banda/Conjunto"),"")))</f>
        <v/>
      </c>
      <c r="AH440" t="str">
        <f>IF(AE440="","",IF(AE440="[FÓRMULA MANUAL]","",IFERROR(AVERAGEIFS(nNOTA,nNIA,AE440,nCUENTA,1,nASIG,"Música de Cámara"),"")))</f>
        <v/>
      </c>
      <c r="AI440" t="str">
        <f>IF(AE440="","",IF(AE440="[FÓRMULA MANUAL]","",IFERROR(SUMPRODUCT((nNIA=AE440)*(nCUENTA=1)*(COUNTIF(CONFIG_ASIGNATURAS!$B$7:$B$27,nASIG)&gt;0)*(nNOTA))/SUMPRODUCT((nNIA=AE440)*(nCUENTA=1)*(COUNTIF(CONFIG_ASIGNATURAS!$B$7:$B$27,nASIG)&gt;0)*1),"")))</f>
        <v/>
      </c>
    </row>
    <row r="441" spans="2:35" x14ac:dyDescent="0.2">
      <c r="B441" t="str">
        <f>IF(A441="","",IF(A441="[FÓRMULA MANUAL]","",IFERROR(AVERAGEIFS(nNOTA,nNIA,A441,nCUENTA,1,nASIG,"Lenguaje Musical"),"")))</f>
        <v/>
      </c>
      <c r="C441" t="str">
        <f>IF(A441="","",IF(A441="[FÓRMULA MANUAL]","",IFERROR(AVERAGEIFS(nNOTA,nNIA,A441,nCUENTA,1,nASIG,"Orquesta/Banda/Conjunto"),"")))</f>
        <v/>
      </c>
      <c r="D441" t="str">
        <f>IF(A441="","",IF(A441="[FÓRMULA MANUAL]","",IFERROR(AVERAGEIFS(nNOTA,nNIA,A441,nCUENTA,1,nASIG,"Conjunto"),"")))</f>
        <v/>
      </c>
      <c r="E441" t="str">
        <f>IF(A441="","",IF(A441="[FÓRMULA MANUAL]","",IFERROR(SUMPRODUCT((nNIA=A441)*(nCUENTA=1)*(COUNTIF(CONFIG_ASIGNATURAS!$B$7:$B$27,nASIG)&gt;0)*(nNOTA))/SUMPRODUCT((nNIA=A441)*(nCUENTA=1)*(COUNTIF(CONFIG_ASIGNATURAS!$B$7:$B$27,nASIG)&gt;0)*1),"")))</f>
        <v/>
      </c>
      <c r="H441" t="str">
        <f>IF(G441="","",IF(G441="[FÓRMULA MANUAL]","",IFERROR(AVERAGEIFS(nNOTA,nNIA,G441,nCUENTA,1,nASIG,"Lenguaje Musical"),"")))</f>
        <v/>
      </c>
      <c r="I441" t="str">
        <f>IF(G441="","",IF(G441="[FÓRMULA MANUAL]","",IFERROR(AVERAGEIFS(nNOTA,nNIA,G441,nCUENTA,1,nASIG,"Orquesta/Banda/Conjunto"),"")))</f>
        <v/>
      </c>
      <c r="J441" t="str">
        <f>IF(G441="","",IF(G441="[FÓRMULA MANUAL]","",IFERROR(AVERAGEIFS(nNOTA,nNIA,G441,nCUENTA,1,nASIG,"Conjunto"),"")))</f>
        <v/>
      </c>
      <c r="K441" t="str">
        <f>IF(G441="","",IF(G441="[FÓRMULA MANUAL]","",IFERROR(SUMPRODUCT((nNIA=G441)*(nCUENTA=1)*(COUNTIF(CONFIG_ASIGNATURAS!$B$7:$B$27,nASIG)&gt;0)*(nNOTA))/SUMPRODUCT((nNIA=G441)*(nCUENTA=1)*(COUNTIF(CONFIG_ASIGNATURAS!$B$7:$B$27,nASIG)&gt;0)*1),"")))</f>
        <v/>
      </c>
      <c r="N441" t="str">
        <f>IF(M441="","",IF(M441="[FÓRMULA MANUAL]","",IFERROR(AVERAGEIFS(nNOTA,nNIA,M441,nCUENTA,1,nASIG,"Armonía"),"")))</f>
        <v/>
      </c>
      <c r="O441" t="str">
        <f>IF(M441="","",IF(M441="[FÓRMULA MANUAL]","",IFERROR(AVERAGEIFS(nNOTA,nNIA,M441,nCUENTA,1,nASIG,"Orquesta/Banda/Conjunto"),"")))</f>
        <v/>
      </c>
      <c r="P441" t="str">
        <f>IF(M441="","",IF(M441="[FÓRMULA MANUAL]","",IFERROR(AVERAGEIFS(nNOTA,nNIA,M441,nCUENTA,1,nASIG,"Música de Cámara"),"")))</f>
        <v/>
      </c>
      <c r="Q441" t="str">
        <f>IF(M441="","",IF(M441="[FÓRMULA MANUAL]","",IFERROR(SUMPRODUCT((nNIA=M441)*(nCUENTA=1)*(COUNTIF(CONFIG_ASIGNATURAS!$B$7:$B$27,nASIG)&gt;0)*(nNOTA))/SUMPRODUCT((nNIA=M441)*(nCUENTA=1)*(COUNTIF(CONFIG_ASIGNATURAS!$B$7:$B$27,nASIG)&gt;0)*1),"")))</f>
        <v/>
      </c>
      <c r="T441" t="str">
        <f>IF(S441="","",IF(S441="[FÓRMULA MANUAL]","",IFERROR(AVERAGEIFS(nNOTA,nNIA,S441,nCUENTA,1,nASIG,"Armonía"),"")))</f>
        <v/>
      </c>
      <c r="U441" t="str">
        <f>IF(S441="","",IF(S441="[FÓRMULA MANUAL]","",IFERROR(AVERAGEIFS(nNOTA,nNIA,S441,nCUENTA,1,nASIG,"Orquesta/Banda/Conjunto"),"")))</f>
        <v/>
      </c>
      <c r="V441" t="str">
        <f>IF(S441="","",IF(S441="[FÓRMULA MANUAL]","",IFERROR(AVERAGEIFS(nNOTA,nNIA,S441,nCUENTA,1,nASIG,"Música de Cámara"),"")))</f>
        <v/>
      </c>
      <c r="W441" t="str">
        <f>IF(S441="","",IF(S441="[FÓRMULA MANUAL]","",IFERROR(SUMPRODUCT((nNIA=S441)*(nCUENTA=1)*(COUNTIF(CONFIG_ASIGNATURAS!$B$7:$B$27,nASIG)&gt;0)*(nNOTA))/SUMPRODUCT((nNIA=S441)*(nCUENTA=1)*(COUNTIF(CONFIG_ASIGNATURAS!$B$7:$B$27,nASIG)&gt;0)*1),"")))</f>
        <v/>
      </c>
      <c r="Z441" t="str">
        <f>IF(Y441="","",IF(Y441="[FÓRMULA MANUAL]","",IFERROR(AVERAGEIFS(nNOTA,nNIA,Y441,nCUENTA,1,nASIG,"Análisis"),"")))</f>
        <v/>
      </c>
      <c r="AA441" t="str">
        <f>IF(Y441="","",IF(Y441="[FÓRMULA MANUAL]","",IFERROR(AVERAGEIFS(nNOTA,nNIA,Y441,nCUENTA,1,nASIG,"Orquesta/Banda/Conjunto"),"")))</f>
        <v/>
      </c>
      <c r="AB441" t="str">
        <f>IF(Y441="","",IF(Y441="[FÓRMULA MANUAL]","",IFERROR(AVERAGEIFS(nNOTA,nNIA,Y441,nCUENTA,1,nASIG,"Música de Cámara"),"")))</f>
        <v/>
      </c>
      <c r="AC441" t="str">
        <f>IF(Y441="","",IF(Y441="[FÓRMULA MANUAL]","",IFERROR(SUMPRODUCT((nNIA=Y441)*(nCUENTA=1)*(COUNTIF(CONFIG_ASIGNATURAS!$B$7:$B$27,nASIG)&gt;0)*(nNOTA))/SUMPRODUCT((nNIA=Y441)*(nCUENTA=1)*(COUNTIF(CONFIG_ASIGNATURAS!$B$7:$B$27,nASIG)&gt;0)*1),"")))</f>
        <v/>
      </c>
      <c r="AF441" t="str">
        <f>IF(AE441="","",IF(AE441="[FÓRMULA MANUAL]","",IFERROR(AVERAGEIFS(nNOTA,nNIA,AE441,nCUENTA,1,nASIG,"Análisis"),"")))</f>
        <v/>
      </c>
      <c r="AG441" t="str">
        <f>IF(AE441="","",IF(AE441="[FÓRMULA MANUAL]","",IFERROR(AVERAGEIFS(nNOTA,nNIA,AE441,nCUENTA,1,nASIG,"Orquesta/Banda/Conjunto"),"")))</f>
        <v/>
      </c>
      <c r="AH441" t="str">
        <f>IF(AE441="","",IF(AE441="[FÓRMULA MANUAL]","",IFERROR(AVERAGEIFS(nNOTA,nNIA,AE441,nCUENTA,1,nASIG,"Música de Cámara"),"")))</f>
        <v/>
      </c>
      <c r="AI441" t="str">
        <f>IF(AE441="","",IF(AE441="[FÓRMULA MANUAL]","",IFERROR(SUMPRODUCT((nNIA=AE441)*(nCUENTA=1)*(COUNTIF(CONFIG_ASIGNATURAS!$B$7:$B$27,nASIG)&gt;0)*(nNOTA))/SUMPRODUCT((nNIA=AE441)*(nCUENTA=1)*(COUNTIF(CONFIG_ASIGNATURAS!$B$7:$B$27,nASIG)&gt;0)*1),"")))</f>
        <v/>
      </c>
    </row>
    <row r="442" spans="2:35" x14ac:dyDescent="0.2">
      <c r="B442" t="str">
        <f>IF(A442="","",IF(A442="[FÓRMULA MANUAL]","",IFERROR(AVERAGEIFS(nNOTA,nNIA,A442,nCUENTA,1,nASIG,"Lenguaje Musical"),"")))</f>
        <v/>
      </c>
      <c r="C442" t="str">
        <f>IF(A442="","",IF(A442="[FÓRMULA MANUAL]","",IFERROR(AVERAGEIFS(nNOTA,nNIA,A442,nCUENTA,1,nASIG,"Orquesta/Banda/Conjunto"),"")))</f>
        <v/>
      </c>
      <c r="D442" t="str">
        <f>IF(A442="","",IF(A442="[FÓRMULA MANUAL]","",IFERROR(AVERAGEIFS(nNOTA,nNIA,A442,nCUENTA,1,nASIG,"Conjunto"),"")))</f>
        <v/>
      </c>
      <c r="E442" t="str">
        <f>IF(A442="","",IF(A442="[FÓRMULA MANUAL]","",IFERROR(SUMPRODUCT((nNIA=A442)*(nCUENTA=1)*(COUNTIF(CONFIG_ASIGNATURAS!$B$7:$B$27,nASIG)&gt;0)*(nNOTA))/SUMPRODUCT((nNIA=A442)*(nCUENTA=1)*(COUNTIF(CONFIG_ASIGNATURAS!$B$7:$B$27,nASIG)&gt;0)*1),"")))</f>
        <v/>
      </c>
      <c r="H442" t="str">
        <f>IF(G442="","",IF(G442="[FÓRMULA MANUAL]","",IFERROR(AVERAGEIFS(nNOTA,nNIA,G442,nCUENTA,1,nASIG,"Lenguaje Musical"),"")))</f>
        <v/>
      </c>
      <c r="I442" t="str">
        <f>IF(G442="","",IF(G442="[FÓRMULA MANUAL]","",IFERROR(AVERAGEIFS(nNOTA,nNIA,G442,nCUENTA,1,nASIG,"Orquesta/Banda/Conjunto"),"")))</f>
        <v/>
      </c>
      <c r="J442" t="str">
        <f>IF(G442="","",IF(G442="[FÓRMULA MANUAL]","",IFERROR(AVERAGEIFS(nNOTA,nNIA,G442,nCUENTA,1,nASIG,"Conjunto"),"")))</f>
        <v/>
      </c>
      <c r="K442" t="str">
        <f>IF(G442="","",IF(G442="[FÓRMULA MANUAL]","",IFERROR(SUMPRODUCT((nNIA=G442)*(nCUENTA=1)*(COUNTIF(CONFIG_ASIGNATURAS!$B$7:$B$27,nASIG)&gt;0)*(nNOTA))/SUMPRODUCT((nNIA=G442)*(nCUENTA=1)*(COUNTIF(CONFIG_ASIGNATURAS!$B$7:$B$27,nASIG)&gt;0)*1),"")))</f>
        <v/>
      </c>
      <c r="N442" t="str">
        <f>IF(M442="","",IF(M442="[FÓRMULA MANUAL]","",IFERROR(AVERAGEIFS(nNOTA,nNIA,M442,nCUENTA,1,nASIG,"Armonía"),"")))</f>
        <v/>
      </c>
      <c r="O442" t="str">
        <f>IF(M442="","",IF(M442="[FÓRMULA MANUAL]","",IFERROR(AVERAGEIFS(nNOTA,nNIA,M442,nCUENTA,1,nASIG,"Orquesta/Banda/Conjunto"),"")))</f>
        <v/>
      </c>
      <c r="P442" t="str">
        <f>IF(M442="","",IF(M442="[FÓRMULA MANUAL]","",IFERROR(AVERAGEIFS(nNOTA,nNIA,M442,nCUENTA,1,nASIG,"Música de Cámara"),"")))</f>
        <v/>
      </c>
      <c r="Q442" t="str">
        <f>IF(M442="","",IF(M442="[FÓRMULA MANUAL]","",IFERROR(SUMPRODUCT((nNIA=M442)*(nCUENTA=1)*(COUNTIF(CONFIG_ASIGNATURAS!$B$7:$B$27,nASIG)&gt;0)*(nNOTA))/SUMPRODUCT((nNIA=M442)*(nCUENTA=1)*(COUNTIF(CONFIG_ASIGNATURAS!$B$7:$B$27,nASIG)&gt;0)*1),"")))</f>
        <v/>
      </c>
      <c r="T442" t="str">
        <f>IF(S442="","",IF(S442="[FÓRMULA MANUAL]","",IFERROR(AVERAGEIFS(nNOTA,nNIA,S442,nCUENTA,1,nASIG,"Armonía"),"")))</f>
        <v/>
      </c>
      <c r="U442" t="str">
        <f>IF(S442="","",IF(S442="[FÓRMULA MANUAL]","",IFERROR(AVERAGEIFS(nNOTA,nNIA,S442,nCUENTA,1,nASIG,"Orquesta/Banda/Conjunto"),"")))</f>
        <v/>
      </c>
      <c r="V442" t="str">
        <f>IF(S442="","",IF(S442="[FÓRMULA MANUAL]","",IFERROR(AVERAGEIFS(nNOTA,nNIA,S442,nCUENTA,1,nASIG,"Música de Cámara"),"")))</f>
        <v/>
      </c>
      <c r="W442" t="str">
        <f>IF(S442="","",IF(S442="[FÓRMULA MANUAL]","",IFERROR(SUMPRODUCT((nNIA=S442)*(nCUENTA=1)*(COUNTIF(CONFIG_ASIGNATURAS!$B$7:$B$27,nASIG)&gt;0)*(nNOTA))/SUMPRODUCT((nNIA=S442)*(nCUENTA=1)*(COUNTIF(CONFIG_ASIGNATURAS!$B$7:$B$27,nASIG)&gt;0)*1),"")))</f>
        <v/>
      </c>
      <c r="Z442" t="str">
        <f>IF(Y442="","",IF(Y442="[FÓRMULA MANUAL]","",IFERROR(AVERAGEIFS(nNOTA,nNIA,Y442,nCUENTA,1,nASIG,"Análisis"),"")))</f>
        <v/>
      </c>
      <c r="AA442" t="str">
        <f>IF(Y442="","",IF(Y442="[FÓRMULA MANUAL]","",IFERROR(AVERAGEIFS(nNOTA,nNIA,Y442,nCUENTA,1,nASIG,"Orquesta/Banda/Conjunto"),"")))</f>
        <v/>
      </c>
      <c r="AB442" t="str">
        <f>IF(Y442="","",IF(Y442="[FÓRMULA MANUAL]","",IFERROR(AVERAGEIFS(nNOTA,nNIA,Y442,nCUENTA,1,nASIG,"Música de Cámara"),"")))</f>
        <v/>
      </c>
      <c r="AC442" t="str">
        <f>IF(Y442="","",IF(Y442="[FÓRMULA MANUAL]","",IFERROR(SUMPRODUCT((nNIA=Y442)*(nCUENTA=1)*(COUNTIF(CONFIG_ASIGNATURAS!$B$7:$B$27,nASIG)&gt;0)*(nNOTA))/SUMPRODUCT((nNIA=Y442)*(nCUENTA=1)*(COUNTIF(CONFIG_ASIGNATURAS!$B$7:$B$27,nASIG)&gt;0)*1),"")))</f>
        <v/>
      </c>
      <c r="AF442" t="str">
        <f>IF(AE442="","",IF(AE442="[FÓRMULA MANUAL]","",IFERROR(AVERAGEIFS(nNOTA,nNIA,AE442,nCUENTA,1,nASIG,"Análisis"),"")))</f>
        <v/>
      </c>
      <c r="AG442" t="str">
        <f>IF(AE442="","",IF(AE442="[FÓRMULA MANUAL]","",IFERROR(AVERAGEIFS(nNOTA,nNIA,AE442,nCUENTA,1,nASIG,"Orquesta/Banda/Conjunto"),"")))</f>
        <v/>
      </c>
      <c r="AH442" t="str">
        <f>IF(AE442="","",IF(AE442="[FÓRMULA MANUAL]","",IFERROR(AVERAGEIFS(nNOTA,nNIA,AE442,nCUENTA,1,nASIG,"Música de Cámara"),"")))</f>
        <v/>
      </c>
      <c r="AI442" t="str">
        <f>IF(AE442="","",IF(AE442="[FÓRMULA MANUAL]","",IFERROR(SUMPRODUCT((nNIA=AE442)*(nCUENTA=1)*(COUNTIF(CONFIG_ASIGNATURAS!$B$7:$B$27,nASIG)&gt;0)*(nNOTA))/SUMPRODUCT((nNIA=AE442)*(nCUENTA=1)*(COUNTIF(CONFIG_ASIGNATURAS!$B$7:$B$27,nASIG)&gt;0)*1),"")))</f>
        <v/>
      </c>
    </row>
    <row r="443" spans="2:35" x14ac:dyDescent="0.2">
      <c r="B443" t="str">
        <f>IF(A443="","",IF(A443="[FÓRMULA MANUAL]","",IFERROR(AVERAGEIFS(nNOTA,nNIA,A443,nCUENTA,1,nASIG,"Lenguaje Musical"),"")))</f>
        <v/>
      </c>
      <c r="C443" t="str">
        <f>IF(A443="","",IF(A443="[FÓRMULA MANUAL]","",IFERROR(AVERAGEIFS(nNOTA,nNIA,A443,nCUENTA,1,nASIG,"Orquesta/Banda/Conjunto"),"")))</f>
        <v/>
      </c>
      <c r="D443" t="str">
        <f>IF(A443="","",IF(A443="[FÓRMULA MANUAL]","",IFERROR(AVERAGEIFS(nNOTA,nNIA,A443,nCUENTA,1,nASIG,"Conjunto"),"")))</f>
        <v/>
      </c>
      <c r="E443" t="str">
        <f>IF(A443="","",IF(A443="[FÓRMULA MANUAL]","",IFERROR(SUMPRODUCT((nNIA=A443)*(nCUENTA=1)*(COUNTIF(CONFIG_ASIGNATURAS!$B$7:$B$27,nASIG)&gt;0)*(nNOTA))/SUMPRODUCT((nNIA=A443)*(nCUENTA=1)*(COUNTIF(CONFIG_ASIGNATURAS!$B$7:$B$27,nASIG)&gt;0)*1),"")))</f>
        <v/>
      </c>
      <c r="H443" t="str">
        <f>IF(G443="","",IF(G443="[FÓRMULA MANUAL]","",IFERROR(AVERAGEIFS(nNOTA,nNIA,G443,nCUENTA,1,nASIG,"Lenguaje Musical"),"")))</f>
        <v/>
      </c>
      <c r="I443" t="str">
        <f>IF(G443="","",IF(G443="[FÓRMULA MANUAL]","",IFERROR(AVERAGEIFS(nNOTA,nNIA,G443,nCUENTA,1,nASIG,"Orquesta/Banda/Conjunto"),"")))</f>
        <v/>
      </c>
      <c r="J443" t="str">
        <f>IF(G443="","",IF(G443="[FÓRMULA MANUAL]","",IFERROR(AVERAGEIFS(nNOTA,nNIA,G443,nCUENTA,1,nASIG,"Conjunto"),"")))</f>
        <v/>
      </c>
      <c r="K443" t="str">
        <f>IF(G443="","",IF(G443="[FÓRMULA MANUAL]","",IFERROR(SUMPRODUCT((nNIA=G443)*(nCUENTA=1)*(COUNTIF(CONFIG_ASIGNATURAS!$B$7:$B$27,nASIG)&gt;0)*(nNOTA))/SUMPRODUCT((nNIA=G443)*(nCUENTA=1)*(COUNTIF(CONFIG_ASIGNATURAS!$B$7:$B$27,nASIG)&gt;0)*1),"")))</f>
        <v/>
      </c>
      <c r="N443" t="str">
        <f>IF(M443="","",IF(M443="[FÓRMULA MANUAL]","",IFERROR(AVERAGEIFS(nNOTA,nNIA,M443,nCUENTA,1,nASIG,"Armonía"),"")))</f>
        <v/>
      </c>
      <c r="O443" t="str">
        <f>IF(M443="","",IF(M443="[FÓRMULA MANUAL]","",IFERROR(AVERAGEIFS(nNOTA,nNIA,M443,nCUENTA,1,nASIG,"Orquesta/Banda/Conjunto"),"")))</f>
        <v/>
      </c>
      <c r="P443" t="str">
        <f>IF(M443="","",IF(M443="[FÓRMULA MANUAL]","",IFERROR(AVERAGEIFS(nNOTA,nNIA,M443,nCUENTA,1,nASIG,"Música de Cámara"),"")))</f>
        <v/>
      </c>
      <c r="Q443" t="str">
        <f>IF(M443="","",IF(M443="[FÓRMULA MANUAL]","",IFERROR(SUMPRODUCT((nNIA=M443)*(nCUENTA=1)*(COUNTIF(CONFIG_ASIGNATURAS!$B$7:$B$27,nASIG)&gt;0)*(nNOTA))/SUMPRODUCT((nNIA=M443)*(nCUENTA=1)*(COUNTIF(CONFIG_ASIGNATURAS!$B$7:$B$27,nASIG)&gt;0)*1),"")))</f>
        <v/>
      </c>
      <c r="T443" t="str">
        <f>IF(S443="","",IF(S443="[FÓRMULA MANUAL]","",IFERROR(AVERAGEIFS(nNOTA,nNIA,S443,nCUENTA,1,nASIG,"Armonía"),"")))</f>
        <v/>
      </c>
      <c r="U443" t="str">
        <f>IF(S443="","",IF(S443="[FÓRMULA MANUAL]","",IFERROR(AVERAGEIFS(nNOTA,nNIA,S443,nCUENTA,1,nASIG,"Orquesta/Banda/Conjunto"),"")))</f>
        <v/>
      </c>
      <c r="V443" t="str">
        <f>IF(S443="","",IF(S443="[FÓRMULA MANUAL]","",IFERROR(AVERAGEIFS(nNOTA,nNIA,S443,nCUENTA,1,nASIG,"Música de Cámara"),"")))</f>
        <v/>
      </c>
      <c r="W443" t="str">
        <f>IF(S443="","",IF(S443="[FÓRMULA MANUAL]","",IFERROR(SUMPRODUCT((nNIA=S443)*(nCUENTA=1)*(COUNTIF(CONFIG_ASIGNATURAS!$B$7:$B$27,nASIG)&gt;0)*(nNOTA))/SUMPRODUCT((nNIA=S443)*(nCUENTA=1)*(COUNTIF(CONFIG_ASIGNATURAS!$B$7:$B$27,nASIG)&gt;0)*1),"")))</f>
        <v/>
      </c>
      <c r="Z443" t="str">
        <f>IF(Y443="","",IF(Y443="[FÓRMULA MANUAL]","",IFERROR(AVERAGEIFS(nNOTA,nNIA,Y443,nCUENTA,1,nASIG,"Análisis"),"")))</f>
        <v/>
      </c>
      <c r="AA443" t="str">
        <f>IF(Y443="","",IF(Y443="[FÓRMULA MANUAL]","",IFERROR(AVERAGEIFS(nNOTA,nNIA,Y443,nCUENTA,1,nASIG,"Orquesta/Banda/Conjunto"),"")))</f>
        <v/>
      </c>
      <c r="AB443" t="str">
        <f>IF(Y443="","",IF(Y443="[FÓRMULA MANUAL]","",IFERROR(AVERAGEIFS(nNOTA,nNIA,Y443,nCUENTA,1,nASIG,"Música de Cámara"),"")))</f>
        <v/>
      </c>
      <c r="AC443" t="str">
        <f>IF(Y443="","",IF(Y443="[FÓRMULA MANUAL]","",IFERROR(SUMPRODUCT((nNIA=Y443)*(nCUENTA=1)*(COUNTIF(CONFIG_ASIGNATURAS!$B$7:$B$27,nASIG)&gt;0)*(nNOTA))/SUMPRODUCT((nNIA=Y443)*(nCUENTA=1)*(COUNTIF(CONFIG_ASIGNATURAS!$B$7:$B$27,nASIG)&gt;0)*1),"")))</f>
        <v/>
      </c>
      <c r="AF443" t="str">
        <f>IF(AE443="","",IF(AE443="[FÓRMULA MANUAL]","",IFERROR(AVERAGEIFS(nNOTA,nNIA,AE443,nCUENTA,1,nASIG,"Análisis"),"")))</f>
        <v/>
      </c>
      <c r="AG443" t="str">
        <f>IF(AE443="","",IF(AE443="[FÓRMULA MANUAL]","",IFERROR(AVERAGEIFS(nNOTA,nNIA,AE443,nCUENTA,1,nASIG,"Orquesta/Banda/Conjunto"),"")))</f>
        <v/>
      </c>
      <c r="AH443" t="str">
        <f>IF(AE443="","",IF(AE443="[FÓRMULA MANUAL]","",IFERROR(AVERAGEIFS(nNOTA,nNIA,AE443,nCUENTA,1,nASIG,"Música de Cámara"),"")))</f>
        <v/>
      </c>
      <c r="AI443" t="str">
        <f>IF(AE443="","",IF(AE443="[FÓRMULA MANUAL]","",IFERROR(SUMPRODUCT((nNIA=AE443)*(nCUENTA=1)*(COUNTIF(CONFIG_ASIGNATURAS!$B$7:$B$27,nASIG)&gt;0)*(nNOTA))/SUMPRODUCT((nNIA=AE443)*(nCUENTA=1)*(COUNTIF(CONFIG_ASIGNATURAS!$B$7:$B$27,nASIG)&gt;0)*1),"")))</f>
        <v/>
      </c>
    </row>
    <row r="444" spans="2:35" x14ac:dyDescent="0.2">
      <c r="B444" t="str">
        <f>IF(A444="","",IF(A444="[FÓRMULA MANUAL]","",IFERROR(AVERAGEIFS(nNOTA,nNIA,A444,nCUENTA,1,nASIG,"Lenguaje Musical"),"")))</f>
        <v/>
      </c>
      <c r="C444" t="str">
        <f>IF(A444="","",IF(A444="[FÓRMULA MANUAL]","",IFERROR(AVERAGEIFS(nNOTA,nNIA,A444,nCUENTA,1,nASIG,"Orquesta/Banda/Conjunto"),"")))</f>
        <v/>
      </c>
      <c r="D444" t="str">
        <f>IF(A444="","",IF(A444="[FÓRMULA MANUAL]","",IFERROR(AVERAGEIFS(nNOTA,nNIA,A444,nCUENTA,1,nASIG,"Conjunto"),"")))</f>
        <v/>
      </c>
      <c r="E444" t="str">
        <f>IF(A444="","",IF(A444="[FÓRMULA MANUAL]","",IFERROR(SUMPRODUCT((nNIA=A444)*(nCUENTA=1)*(COUNTIF(CONFIG_ASIGNATURAS!$B$7:$B$27,nASIG)&gt;0)*(nNOTA))/SUMPRODUCT((nNIA=A444)*(nCUENTA=1)*(COUNTIF(CONFIG_ASIGNATURAS!$B$7:$B$27,nASIG)&gt;0)*1),"")))</f>
        <v/>
      </c>
      <c r="H444" t="str">
        <f>IF(G444="","",IF(G444="[FÓRMULA MANUAL]","",IFERROR(AVERAGEIFS(nNOTA,nNIA,G444,nCUENTA,1,nASIG,"Lenguaje Musical"),"")))</f>
        <v/>
      </c>
      <c r="I444" t="str">
        <f>IF(G444="","",IF(G444="[FÓRMULA MANUAL]","",IFERROR(AVERAGEIFS(nNOTA,nNIA,G444,nCUENTA,1,nASIG,"Orquesta/Banda/Conjunto"),"")))</f>
        <v/>
      </c>
      <c r="J444" t="str">
        <f>IF(G444="","",IF(G444="[FÓRMULA MANUAL]","",IFERROR(AVERAGEIFS(nNOTA,nNIA,G444,nCUENTA,1,nASIG,"Conjunto"),"")))</f>
        <v/>
      </c>
      <c r="K444" t="str">
        <f>IF(G444="","",IF(G444="[FÓRMULA MANUAL]","",IFERROR(SUMPRODUCT((nNIA=G444)*(nCUENTA=1)*(COUNTIF(CONFIG_ASIGNATURAS!$B$7:$B$27,nASIG)&gt;0)*(nNOTA))/SUMPRODUCT((nNIA=G444)*(nCUENTA=1)*(COUNTIF(CONFIG_ASIGNATURAS!$B$7:$B$27,nASIG)&gt;0)*1),"")))</f>
        <v/>
      </c>
      <c r="N444" t="str">
        <f>IF(M444="","",IF(M444="[FÓRMULA MANUAL]","",IFERROR(AVERAGEIFS(nNOTA,nNIA,M444,nCUENTA,1,nASIG,"Armonía"),"")))</f>
        <v/>
      </c>
      <c r="O444" t="str">
        <f>IF(M444="","",IF(M444="[FÓRMULA MANUAL]","",IFERROR(AVERAGEIFS(nNOTA,nNIA,M444,nCUENTA,1,nASIG,"Orquesta/Banda/Conjunto"),"")))</f>
        <v/>
      </c>
      <c r="P444" t="str">
        <f>IF(M444="","",IF(M444="[FÓRMULA MANUAL]","",IFERROR(AVERAGEIFS(nNOTA,nNIA,M444,nCUENTA,1,nASIG,"Música de Cámara"),"")))</f>
        <v/>
      </c>
      <c r="Q444" t="str">
        <f>IF(M444="","",IF(M444="[FÓRMULA MANUAL]","",IFERROR(SUMPRODUCT((nNIA=M444)*(nCUENTA=1)*(COUNTIF(CONFIG_ASIGNATURAS!$B$7:$B$27,nASIG)&gt;0)*(nNOTA))/SUMPRODUCT((nNIA=M444)*(nCUENTA=1)*(COUNTIF(CONFIG_ASIGNATURAS!$B$7:$B$27,nASIG)&gt;0)*1),"")))</f>
        <v/>
      </c>
      <c r="T444" t="str">
        <f>IF(S444="","",IF(S444="[FÓRMULA MANUAL]","",IFERROR(AVERAGEIFS(nNOTA,nNIA,S444,nCUENTA,1,nASIG,"Armonía"),"")))</f>
        <v/>
      </c>
      <c r="U444" t="str">
        <f>IF(S444="","",IF(S444="[FÓRMULA MANUAL]","",IFERROR(AVERAGEIFS(nNOTA,nNIA,S444,nCUENTA,1,nASIG,"Orquesta/Banda/Conjunto"),"")))</f>
        <v/>
      </c>
      <c r="V444" t="str">
        <f>IF(S444="","",IF(S444="[FÓRMULA MANUAL]","",IFERROR(AVERAGEIFS(nNOTA,nNIA,S444,nCUENTA,1,nASIG,"Música de Cámara"),"")))</f>
        <v/>
      </c>
      <c r="W444" t="str">
        <f>IF(S444="","",IF(S444="[FÓRMULA MANUAL]","",IFERROR(SUMPRODUCT((nNIA=S444)*(nCUENTA=1)*(COUNTIF(CONFIG_ASIGNATURAS!$B$7:$B$27,nASIG)&gt;0)*(nNOTA))/SUMPRODUCT((nNIA=S444)*(nCUENTA=1)*(COUNTIF(CONFIG_ASIGNATURAS!$B$7:$B$27,nASIG)&gt;0)*1),"")))</f>
        <v/>
      </c>
      <c r="Z444" t="str">
        <f>IF(Y444="","",IF(Y444="[FÓRMULA MANUAL]","",IFERROR(AVERAGEIFS(nNOTA,nNIA,Y444,nCUENTA,1,nASIG,"Análisis"),"")))</f>
        <v/>
      </c>
      <c r="AA444" t="str">
        <f>IF(Y444="","",IF(Y444="[FÓRMULA MANUAL]","",IFERROR(AVERAGEIFS(nNOTA,nNIA,Y444,nCUENTA,1,nASIG,"Orquesta/Banda/Conjunto"),"")))</f>
        <v/>
      </c>
      <c r="AB444" t="str">
        <f>IF(Y444="","",IF(Y444="[FÓRMULA MANUAL]","",IFERROR(AVERAGEIFS(nNOTA,nNIA,Y444,nCUENTA,1,nASIG,"Música de Cámara"),"")))</f>
        <v/>
      </c>
      <c r="AC444" t="str">
        <f>IF(Y444="","",IF(Y444="[FÓRMULA MANUAL]","",IFERROR(SUMPRODUCT((nNIA=Y444)*(nCUENTA=1)*(COUNTIF(CONFIG_ASIGNATURAS!$B$7:$B$27,nASIG)&gt;0)*(nNOTA))/SUMPRODUCT((nNIA=Y444)*(nCUENTA=1)*(COUNTIF(CONFIG_ASIGNATURAS!$B$7:$B$27,nASIG)&gt;0)*1),"")))</f>
        <v/>
      </c>
      <c r="AF444" t="str">
        <f>IF(AE444="","",IF(AE444="[FÓRMULA MANUAL]","",IFERROR(AVERAGEIFS(nNOTA,nNIA,AE444,nCUENTA,1,nASIG,"Análisis"),"")))</f>
        <v/>
      </c>
      <c r="AG444" t="str">
        <f>IF(AE444="","",IF(AE444="[FÓRMULA MANUAL]","",IFERROR(AVERAGEIFS(nNOTA,nNIA,AE444,nCUENTA,1,nASIG,"Orquesta/Banda/Conjunto"),"")))</f>
        <v/>
      </c>
      <c r="AH444" t="str">
        <f>IF(AE444="","",IF(AE444="[FÓRMULA MANUAL]","",IFERROR(AVERAGEIFS(nNOTA,nNIA,AE444,nCUENTA,1,nASIG,"Música de Cámara"),"")))</f>
        <v/>
      </c>
      <c r="AI444" t="str">
        <f>IF(AE444="","",IF(AE444="[FÓRMULA MANUAL]","",IFERROR(SUMPRODUCT((nNIA=AE444)*(nCUENTA=1)*(COUNTIF(CONFIG_ASIGNATURAS!$B$7:$B$27,nASIG)&gt;0)*(nNOTA))/SUMPRODUCT((nNIA=AE444)*(nCUENTA=1)*(COUNTIF(CONFIG_ASIGNATURAS!$B$7:$B$27,nASIG)&gt;0)*1),"")))</f>
        <v/>
      </c>
    </row>
    <row r="445" spans="2:35" x14ac:dyDescent="0.2">
      <c r="B445" t="str">
        <f>IF(A445="","",IF(A445="[FÓRMULA MANUAL]","",IFERROR(AVERAGEIFS(nNOTA,nNIA,A445,nCUENTA,1,nASIG,"Lenguaje Musical"),"")))</f>
        <v/>
      </c>
      <c r="C445" t="str">
        <f>IF(A445="","",IF(A445="[FÓRMULA MANUAL]","",IFERROR(AVERAGEIFS(nNOTA,nNIA,A445,nCUENTA,1,nASIG,"Orquesta/Banda/Conjunto"),"")))</f>
        <v/>
      </c>
      <c r="D445" t="str">
        <f>IF(A445="","",IF(A445="[FÓRMULA MANUAL]","",IFERROR(AVERAGEIFS(nNOTA,nNIA,A445,nCUENTA,1,nASIG,"Conjunto"),"")))</f>
        <v/>
      </c>
      <c r="E445" t="str">
        <f>IF(A445="","",IF(A445="[FÓRMULA MANUAL]","",IFERROR(SUMPRODUCT((nNIA=A445)*(nCUENTA=1)*(COUNTIF(CONFIG_ASIGNATURAS!$B$7:$B$27,nASIG)&gt;0)*(nNOTA))/SUMPRODUCT((nNIA=A445)*(nCUENTA=1)*(COUNTIF(CONFIG_ASIGNATURAS!$B$7:$B$27,nASIG)&gt;0)*1),"")))</f>
        <v/>
      </c>
      <c r="H445" t="str">
        <f>IF(G445="","",IF(G445="[FÓRMULA MANUAL]","",IFERROR(AVERAGEIFS(nNOTA,nNIA,G445,nCUENTA,1,nASIG,"Lenguaje Musical"),"")))</f>
        <v/>
      </c>
      <c r="I445" t="str">
        <f>IF(G445="","",IF(G445="[FÓRMULA MANUAL]","",IFERROR(AVERAGEIFS(nNOTA,nNIA,G445,nCUENTA,1,nASIG,"Orquesta/Banda/Conjunto"),"")))</f>
        <v/>
      </c>
      <c r="J445" t="str">
        <f>IF(G445="","",IF(G445="[FÓRMULA MANUAL]","",IFERROR(AVERAGEIFS(nNOTA,nNIA,G445,nCUENTA,1,nASIG,"Conjunto"),"")))</f>
        <v/>
      </c>
      <c r="K445" t="str">
        <f>IF(G445="","",IF(G445="[FÓRMULA MANUAL]","",IFERROR(SUMPRODUCT((nNIA=G445)*(nCUENTA=1)*(COUNTIF(CONFIG_ASIGNATURAS!$B$7:$B$27,nASIG)&gt;0)*(nNOTA))/SUMPRODUCT((nNIA=G445)*(nCUENTA=1)*(COUNTIF(CONFIG_ASIGNATURAS!$B$7:$B$27,nASIG)&gt;0)*1),"")))</f>
        <v/>
      </c>
      <c r="N445" t="str">
        <f>IF(M445="","",IF(M445="[FÓRMULA MANUAL]","",IFERROR(AVERAGEIFS(nNOTA,nNIA,M445,nCUENTA,1,nASIG,"Armonía"),"")))</f>
        <v/>
      </c>
      <c r="O445" t="str">
        <f>IF(M445="","",IF(M445="[FÓRMULA MANUAL]","",IFERROR(AVERAGEIFS(nNOTA,nNIA,M445,nCUENTA,1,nASIG,"Orquesta/Banda/Conjunto"),"")))</f>
        <v/>
      </c>
      <c r="P445" t="str">
        <f>IF(M445="","",IF(M445="[FÓRMULA MANUAL]","",IFERROR(AVERAGEIFS(nNOTA,nNIA,M445,nCUENTA,1,nASIG,"Música de Cámara"),"")))</f>
        <v/>
      </c>
      <c r="Q445" t="str">
        <f>IF(M445="","",IF(M445="[FÓRMULA MANUAL]","",IFERROR(SUMPRODUCT((nNIA=M445)*(nCUENTA=1)*(COUNTIF(CONFIG_ASIGNATURAS!$B$7:$B$27,nASIG)&gt;0)*(nNOTA))/SUMPRODUCT((nNIA=M445)*(nCUENTA=1)*(COUNTIF(CONFIG_ASIGNATURAS!$B$7:$B$27,nASIG)&gt;0)*1),"")))</f>
        <v/>
      </c>
      <c r="T445" t="str">
        <f>IF(S445="","",IF(S445="[FÓRMULA MANUAL]","",IFERROR(AVERAGEIFS(nNOTA,nNIA,S445,nCUENTA,1,nASIG,"Armonía"),"")))</f>
        <v/>
      </c>
      <c r="U445" t="str">
        <f>IF(S445="","",IF(S445="[FÓRMULA MANUAL]","",IFERROR(AVERAGEIFS(nNOTA,nNIA,S445,nCUENTA,1,nASIG,"Orquesta/Banda/Conjunto"),"")))</f>
        <v/>
      </c>
      <c r="V445" t="str">
        <f>IF(S445="","",IF(S445="[FÓRMULA MANUAL]","",IFERROR(AVERAGEIFS(nNOTA,nNIA,S445,nCUENTA,1,nASIG,"Música de Cámara"),"")))</f>
        <v/>
      </c>
      <c r="W445" t="str">
        <f>IF(S445="","",IF(S445="[FÓRMULA MANUAL]","",IFERROR(SUMPRODUCT((nNIA=S445)*(nCUENTA=1)*(COUNTIF(CONFIG_ASIGNATURAS!$B$7:$B$27,nASIG)&gt;0)*(nNOTA))/SUMPRODUCT((nNIA=S445)*(nCUENTA=1)*(COUNTIF(CONFIG_ASIGNATURAS!$B$7:$B$27,nASIG)&gt;0)*1),"")))</f>
        <v/>
      </c>
      <c r="Z445" t="str">
        <f>IF(Y445="","",IF(Y445="[FÓRMULA MANUAL]","",IFERROR(AVERAGEIFS(nNOTA,nNIA,Y445,nCUENTA,1,nASIG,"Análisis"),"")))</f>
        <v/>
      </c>
      <c r="AA445" t="str">
        <f>IF(Y445="","",IF(Y445="[FÓRMULA MANUAL]","",IFERROR(AVERAGEIFS(nNOTA,nNIA,Y445,nCUENTA,1,nASIG,"Orquesta/Banda/Conjunto"),"")))</f>
        <v/>
      </c>
      <c r="AB445" t="str">
        <f>IF(Y445="","",IF(Y445="[FÓRMULA MANUAL]","",IFERROR(AVERAGEIFS(nNOTA,nNIA,Y445,nCUENTA,1,nASIG,"Música de Cámara"),"")))</f>
        <v/>
      </c>
      <c r="AC445" t="str">
        <f>IF(Y445="","",IF(Y445="[FÓRMULA MANUAL]","",IFERROR(SUMPRODUCT((nNIA=Y445)*(nCUENTA=1)*(COUNTIF(CONFIG_ASIGNATURAS!$B$7:$B$27,nASIG)&gt;0)*(nNOTA))/SUMPRODUCT((nNIA=Y445)*(nCUENTA=1)*(COUNTIF(CONFIG_ASIGNATURAS!$B$7:$B$27,nASIG)&gt;0)*1),"")))</f>
        <v/>
      </c>
      <c r="AF445" t="str">
        <f>IF(AE445="","",IF(AE445="[FÓRMULA MANUAL]","",IFERROR(AVERAGEIFS(nNOTA,nNIA,AE445,nCUENTA,1,nASIG,"Análisis"),"")))</f>
        <v/>
      </c>
      <c r="AG445" t="str">
        <f>IF(AE445="","",IF(AE445="[FÓRMULA MANUAL]","",IFERROR(AVERAGEIFS(nNOTA,nNIA,AE445,nCUENTA,1,nASIG,"Orquesta/Banda/Conjunto"),"")))</f>
        <v/>
      </c>
      <c r="AH445" t="str">
        <f>IF(AE445="","",IF(AE445="[FÓRMULA MANUAL]","",IFERROR(AVERAGEIFS(nNOTA,nNIA,AE445,nCUENTA,1,nASIG,"Música de Cámara"),"")))</f>
        <v/>
      </c>
      <c r="AI445" t="str">
        <f>IF(AE445="","",IF(AE445="[FÓRMULA MANUAL]","",IFERROR(SUMPRODUCT((nNIA=AE445)*(nCUENTA=1)*(COUNTIF(CONFIG_ASIGNATURAS!$B$7:$B$27,nASIG)&gt;0)*(nNOTA))/SUMPRODUCT((nNIA=AE445)*(nCUENTA=1)*(COUNTIF(CONFIG_ASIGNATURAS!$B$7:$B$27,nASIG)&gt;0)*1),"")))</f>
        <v/>
      </c>
    </row>
    <row r="446" spans="2:35" x14ac:dyDescent="0.2">
      <c r="B446" t="str">
        <f>IF(A446="","",IF(A446="[FÓRMULA MANUAL]","",IFERROR(AVERAGEIFS(nNOTA,nNIA,A446,nCUENTA,1,nASIG,"Lenguaje Musical"),"")))</f>
        <v/>
      </c>
      <c r="C446" t="str">
        <f>IF(A446="","",IF(A446="[FÓRMULA MANUAL]","",IFERROR(AVERAGEIFS(nNOTA,nNIA,A446,nCUENTA,1,nASIG,"Orquesta/Banda/Conjunto"),"")))</f>
        <v/>
      </c>
      <c r="D446" t="str">
        <f>IF(A446="","",IF(A446="[FÓRMULA MANUAL]","",IFERROR(AVERAGEIFS(nNOTA,nNIA,A446,nCUENTA,1,nASIG,"Conjunto"),"")))</f>
        <v/>
      </c>
      <c r="E446" t="str">
        <f>IF(A446="","",IF(A446="[FÓRMULA MANUAL]","",IFERROR(SUMPRODUCT((nNIA=A446)*(nCUENTA=1)*(COUNTIF(CONFIG_ASIGNATURAS!$B$7:$B$27,nASIG)&gt;0)*(nNOTA))/SUMPRODUCT((nNIA=A446)*(nCUENTA=1)*(COUNTIF(CONFIG_ASIGNATURAS!$B$7:$B$27,nASIG)&gt;0)*1),"")))</f>
        <v/>
      </c>
      <c r="H446" t="str">
        <f>IF(G446="","",IF(G446="[FÓRMULA MANUAL]","",IFERROR(AVERAGEIFS(nNOTA,nNIA,G446,nCUENTA,1,nASIG,"Lenguaje Musical"),"")))</f>
        <v/>
      </c>
      <c r="I446" t="str">
        <f>IF(G446="","",IF(G446="[FÓRMULA MANUAL]","",IFERROR(AVERAGEIFS(nNOTA,nNIA,G446,nCUENTA,1,nASIG,"Orquesta/Banda/Conjunto"),"")))</f>
        <v/>
      </c>
      <c r="J446" t="str">
        <f>IF(G446="","",IF(G446="[FÓRMULA MANUAL]","",IFERROR(AVERAGEIFS(nNOTA,nNIA,G446,nCUENTA,1,nASIG,"Conjunto"),"")))</f>
        <v/>
      </c>
      <c r="K446" t="str">
        <f>IF(G446="","",IF(G446="[FÓRMULA MANUAL]","",IFERROR(SUMPRODUCT((nNIA=G446)*(nCUENTA=1)*(COUNTIF(CONFIG_ASIGNATURAS!$B$7:$B$27,nASIG)&gt;0)*(nNOTA))/SUMPRODUCT((nNIA=G446)*(nCUENTA=1)*(COUNTIF(CONFIG_ASIGNATURAS!$B$7:$B$27,nASIG)&gt;0)*1),"")))</f>
        <v/>
      </c>
      <c r="N446" t="str">
        <f>IF(M446="","",IF(M446="[FÓRMULA MANUAL]","",IFERROR(AVERAGEIFS(nNOTA,nNIA,M446,nCUENTA,1,nASIG,"Armonía"),"")))</f>
        <v/>
      </c>
      <c r="O446" t="str">
        <f>IF(M446="","",IF(M446="[FÓRMULA MANUAL]","",IFERROR(AVERAGEIFS(nNOTA,nNIA,M446,nCUENTA,1,nASIG,"Orquesta/Banda/Conjunto"),"")))</f>
        <v/>
      </c>
      <c r="P446" t="str">
        <f>IF(M446="","",IF(M446="[FÓRMULA MANUAL]","",IFERROR(AVERAGEIFS(nNOTA,nNIA,M446,nCUENTA,1,nASIG,"Música de Cámara"),"")))</f>
        <v/>
      </c>
      <c r="Q446" t="str">
        <f>IF(M446="","",IF(M446="[FÓRMULA MANUAL]","",IFERROR(SUMPRODUCT((nNIA=M446)*(nCUENTA=1)*(COUNTIF(CONFIG_ASIGNATURAS!$B$7:$B$27,nASIG)&gt;0)*(nNOTA))/SUMPRODUCT((nNIA=M446)*(nCUENTA=1)*(COUNTIF(CONFIG_ASIGNATURAS!$B$7:$B$27,nASIG)&gt;0)*1),"")))</f>
        <v/>
      </c>
      <c r="T446" t="str">
        <f>IF(S446="","",IF(S446="[FÓRMULA MANUAL]","",IFERROR(AVERAGEIFS(nNOTA,nNIA,S446,nCUENTA,1,nASIG,"Armonía"),"")))</f>
        <v/>
      </c>
      <c r="U446" t="str">
        <f>IF(S446="","",IF(S446="[FÓRMULA MANUAL]","",IFERROR(AVERAGEIFS(nNOTA,nNIA,S446,nCUENTA,1,nASIG,"Orquesta/Banda/Conjunto"),"")))</f>
        <v/>
      </c>
      <c r="V446" t="str">
        <f>IF(S446="","",IF(S446="[FÓRMULA MANUAL]","",IFERROR(AVERAGEIFS(nNOTA,nNIA,S446,nCUENTA,1,nASIG,"Música de Cámara"),"")))</f>
        <v/>
      </c>
      <c r="W446" t="str">
        <f>IF(S446="","",IF(S446="[FÓRMULA MANUAL]","",IFERROR(SUMPRODUCT((nNIA=S446)*(nCUENTA=1)*(COUNTIF(CONFIG_ASIGNATURAS!$B$7:$B$27,nASIG)&gt;0)*(nNOTA))/SUMPRODUCT((nNIA=S446)*(nCUENTA=1)*(COUNTIF(CONFIG_ASIGNATURAS!$B$7:$B$27,nASIG)&gt;0)*1),"")))</f>
        <v/>
      </c>
      <c r="Z446" t="str">
        <f>IF(Y446="","",IF(Y446="[FÓRMULA MANUAL]","",IFERROR(AVERAGEIFS(nNOTA,nNIA,Y446,nCUENTA,1,nASIG,"Análisis"),"")))</f>
        <v/>
      </c>
      <c r="AA446" t="str">
        <f>IF(Y446="","",IF(Y446="[FÓRMULA MANUAL]","",IFERROR(AVERAGEIFS(nNOTA,nNIA,Y446,nCUENTA,1,nASIG,"Orquesta/Banda/Conjunto"),"")))</f>
        <v/>
      </c>
      <c r="AB446" t="str">
        <f>IF(Y446="","",IF(Y446="[FÓRMULA MANUAL]","",IFERROR(AVERAGEIFS(nNOTA,nNIA,Y446,nCUENTA,1,nASIG,"Música de Cámara"),"")))</f>
        <v/>
      </c>
      <c r="AC446" t="str">
        <f>IF(Y446="","",IF(Y446="[FÓRMULA MANUAL]","",IFERROR(SUMPRODUCT((nNIA=Y446)*(nCUENTA=1)*(COUNTIF(CONFIG_ASIGNATURAS!$B$7:$B$27,nASIG)&gt;0)*(nNOTA))/SUMPRODUCT((nNIA=Y446)*(nCUENTA=1)*(COUNTIF(CONFIG_ASIGNATURAS!$B$7:$B$27,nASIG)&gt;0)*1),"")))</f>
        <v/>
      </c>
      <c r="AF446" t="str">
        <f>IF(AE446="","",IF(AE446="[FÓRMULA MANUAL]","",IFERROR(AVERAGEIFS(nNOTA,nNIA,AE446,nCUENTA,1,nASIG,"Análisis"),"")))</f>
        <v/>
      </c>
      <c r="AG446" t="str">
        <f>IF(AE446="","",IF(AE446="[FÓRMULA MANUAL]","",IFERROR(AVERAGEIFS(nNOTA,nNIA,AE446,nCUENTA,1,nASIG,"Orquesta/Banda/Conjunto"),"")))</f>
        <v/>
      </c>
      <c r="AH446" t="str">
        <f>IF(AE446="","",IF(AE446="[FÓRMULA MANUAL]","",IFERROR(AVERAGEIFS(nNOTA,nNIA,AE446,nCUENTA,1,nASIG,"Música de Cámara"),"")))</f>
        <v/>
      </c>
      <c r="AI446" t="str">
        <f>IF(AE446="","",IF(AE446="[FÓRMULA MANUAL]","",IFERROR(SUMPRODUCT((nNIA=AE446)*(nCUENTA=1)*(COUNTIF(CONFIG_ASIGNATURAS!$B$7:$B$27,nASIG)&gt;0)*(nNOTA))/SUMPRODUCT((nNIA=AE446)*(nCUENTA=1)*(COUNTIF(CONFIG_ASIGNATURAS!$B$7:$B$27,nASIG)&gt;0)*1),"")))</f>
        <v/>
      </c>
    </row>
    <row r="447" spans="2:35" x14ac:dyDescent="0.2">
      <c r="B447" t="str">
        <f>IF(A447="","",IF(A447="[FÓRMULA MANUAL]","",IFERROR(AVERAGEIFS(nNOTA,nNIA,A447,nCUENTA,1,nASIG,"Lenguaje Musical"),"")))</f>
        <v/>
      </c>
      <c r="C447" t="str">
        <f>IF(A447="","",IF(A447="[FÓRMULA MANUAL]","",IFERROR(AVERAGEIFS(nNOTA,nNIA,A447,nCUENTA,1,nASIG,"Orquesta/Banda/Conjunto"),"")))</f>
        <v/>
      </c>
      <c r="D447" t="str">
        <f>IF(A447="","",IF(A447="[FÓRMULA MANUAL]","",IFERROR(AVERAGEIFS(nNOTA,nNIA,A447,nCUENTA,1,nASIG,"Conjunto"),"")))</f>
        <v/>
      </c>
      <c r="E447" t="str">
        <f>IF(A447="","",IF(A447="[FÓRMULA MANUAL]","",IFERROR(SUMPRODUCT((nNIA=A447)*(nCUENTA=1)*(COUNTIF(CONFIG_ASIGNATURAS!$B$7:$B$27,nASIG)&gt;0)*(nNOTA))/SUMPRODUCT((nNIA=A447)*(nCUENTA=1)*(COUNTIF(CONFIG_ASIGNATURAS!$B$7:$B$27,nASIG)&gt;0)*1),"")))</f>
        <v/>
      </c>
      <c r="H447" t="str">
        <f>IF(G447="","",IF(G447="[FÓRMULA MANUAL]","",IFERROR(AVERAGEIFS(nNOTA,nNIA,G447,nCUENTA,1,nASIG,"Lenguaje Musical"),"")))</f>
        <v/>
      </c>
      <c r="I447" t="str">
        <f>IF(G447="","",IF(G447="[FÓRMULA MANUAL]","",IFERROR(AVERAGEIFS(nNOTA,nNIA,G447,nCUENTA,1,nASIG,"Orquesta/Banda/Conjunto"),"")))</f>
        <v/>
      </c>
      <c r="J447" t="str">
        <f>IF(G447="","",IF(G447="[FÓRMULA MANUAL]","",IFERROR(AVERAGEIFS(nNOTA,nNIA,G447,nCUENTA,1,nASIG,"Conjunto"),"")))</f>
        <v/>
      </c>
      <c r="K447" t="str">
        <f>IF(G447="","",IF(G447="[FÓRMULA MANUAL]","",IFERROR(SUMPRODUCT((nNIA=G447)*(nCUENTA=1)*(COUNTIF(CONFIG_ASIGNATURAS!$B$7:$B$27,nASIG)&gt;0)*(nNOTA))/SUMPRODUCT((nNIA=G447)*(nCUENTA=1)*(COUNTIF(CONFIG_ASIGNATURAS!$B$7:$B$27,nASIG)&gt;0)*1),"")))</f>
        <v/>
      </c>
      <c r="N447" t="str">
        <f>IF(M447="","",IF(M447="[FÓRMULA MANUAL]","",IFERROR(AVERAGEIFS(nNOTA,nNIA,M447,nCUENTA,1,nASIG,"Armonía"),"")))</f>
        <v/>
      </c>
      <c r="O447" t="str">
        <f>IF(M447="","",IF(M447="[FÓRMULA MANUAL]","",IFERROR(AVERAGEIFS(nNOTA,nNIA,M447,nCUENTA,1,nASIG,"Orquesta/Banda/Conjunto"),"")))</f>
        <v/>
      </c>
      <c r="P447" t="str">
        <f>IF(M447="","",IF(M447="[FÓRMULA MANUAL]","",IFERROR(AVERAGEIFS(nNOTA,nNIA,M447,nCUENTA,1,nASIG,"Música de Cámara"),"")))</f>
        <v/>
      </c>
      <c r="Q447" t="str">
        <f>IF(M447="","",IF(M447="[FÓRMULA MANUAL]","",IFERROR(SUMPRODUCT((nNIA=M447)*(nCUENTA=1)*(COUNTIF(CONFIG_ASIGNATURAS!$B$7:$B$27,nASIG)&gt;0)*(nNOTA))/SUMPRODUCT((nNIA=M447)*(nCUENTA=1)*(COUNTIF(CONFIG_ASIGNATURAS!$B$7:$B$27,nASIG)&gt;0)*1),"")))</f>
        <v/>
      </c>
      <c r="T447" t="str">
        <f>IF(S447="","",IF(S447="[FÓRMULA MANUAL]","",IFERROR(AVERAGEIFS(nNOTA,nNIA,S447,nCUENTA,1,nASIG,"Armonía"),"")))</f>
        <v/>
      </c>
      <c r="U447" t="str">
        <f>IF(S447="","",IF(S447="[FÓRMULA MANUAL]","",IFERROR(AVERAGEIFS(nNOTA,nNIA,S447,nCUENTA,1,nASIG,"Orquesta/Banda/Conjunto"),"")))</f>
        <v/>
      </c>
      <c r="V447" t="str">
        <f>IF(S447="","",IF(S447="[FÓRMULA MANUAL]","",IFERROR(AVERAGEIFS(nNOTA,nNIA,S447,nCUENTA,1,nASIG,"Música de Cámara"),"")))</f>
        <v/>
      </c>
      <c r="W447" t="str">
        <f>IF(S447="","",IF(S447="[FÓRMULA MANUAL]","",IFERROR(SUMPRODUCT((nNIA=S447)*(nCUENTA=1)*(COUNTIF(CONFIG_ASIGNATURAS!$B$7:$B$27,nASIG)&gt;0)*(nNOTA))/SUMPRODUCT((nNIA=S447)*(nCUENTA=1)*(COUNTIF(CONFIG_ASIGNATURAS!$B$7:$B$27,nASIG)&gt;0)*1),"")))</f>
        <v/>
      </c>
      <c r="Z447" t="str">
        <f>IF(Y447="","",IF(Y447="[FÓRMULA MANUAL]","",IFERROR(AVERAGEIFS(nNOTA,nNIA,Y447,nCUENTA,1,nASIG,"Análisis"),"")))</f>
        <v/>
      </c>
      <c r="AA447" t="str">
        <f>IF(Y447="","",IF(Y447="[FÓRMULA MANUAL]","",IFERROR(AVERAGEIFS(nNOTA,nNIA,Y447,nCUENTA,1,nASIG,"Orquesta/Banda/Conjunto"),"")))</f>
        <v/>
      </c>
      <c r="AB447" t="str">
        <f>IF(Y447="","",IF(Y447="[FÓRMULA MANUAL]","",IFERROR(AVERAGEIFS(nNOTA,nNIA,Y447,nCUENTA,1,nASIG,"Música de Cámara"),"")))</f>
        <v/>
      </c>
      <c r="AC447" t="str">
        <f>IF(Y447="","",IF(Y447="[FÓRMULA MANUAL]","",IFERROR(SUMPRODUCT((nNIA=Y447)*(nCUENTA=1)*(COUNTIF(CONFIG_ASIGNATURAS!$B$7:$B$27,nASIG)&gt;0)*(nNOTA))/SUMPRODUCT((nNIA=Y447)*(nCUENTA=1)*(COUNTIF(CONFIG_ASIGNATURAS!$B$7:$B$27,nASIG)&gt;0)*1),"")))</f>
        <v/>
      </c>
      <c r="AF447" t="str">
        <f>IF(AE447="","",IF(AE447="[FÓRMULA MANUAL]","",IFERROR(AVERAGEIFS(nNOTA,nNIA,AE447,nCUENTA,1,nASIG,"Análisis"),"")))</f>
        <v/>
      </c>
      <c r="AG447" t="str">
        <f>IF(AE447="","",IF(AE447="[FÓRMULA MANUAL]","",IFERROR(AVERAGEIFS(nNOTA,nNIA,AE447,nCUENTA,1,nASIG,"Orquesta/Banda/Conjunto"),"")))</f>
        <v/>
      </c>
      <c r="AH447" t="str">
        <f>IF(AE447="","",IF(AE447="[FÓRMULA MANUAL]","",IFERROR(AVERAGEIFS(nNOTA,nNIA,AE447,nCUENTA,1,nASIG,"Música de Cámara"),"")))</f>
        <v/>
      </c>
      <c r="AI447" t="str">
        <f>IF(AE447="","",IF(AE447="[FÓRMULA MANUAL]","",IFERROR(SUMPRODUCT((nNIA=AE447)*(nCUENTA=1)*(COUNTIF(CONFIG_ASIGNATURAS!$B$7:$B$27,nASIG)&gt;0)*(nNOTA))/SUMPRODUCT((nNIA=AE447)*(nCUENTA=1)*(COUNTIF(CONFIG_ASIGNATURAS!$B$7:$B$27,nASIG)&gt;0)*1),"")))</f>
        <v/>
      </c>
    </row>
    <row r="448" spans="2:35" x14ac:dyDescent="0.2">
      <c r="B448" t="str">
        <f>IF(A448="","",IF(A448="[FÓRMULA MANUAL]","",IFERROR(AVERAGEIFS(nNOTA,nNIA,A448,nCUENTA,1,nASIG,"Lenguaje Musical"),"")))</f>
        <v/>
      </c>
      <c r="C448" t="str">
        <f>IF(A448="","",IF(A448="[FÓRMULA MANUAL]","",IFERROR(AVERAGEIFS(nNOTA,nNIA,A448,nCUENTA,1,nASIG,"Orquesta/Banda/Conjunto"),"")))</f>
        <v/>
      </c>
      <c r="D448" t="str">
        <f>IF(A448="","",IF(A448="[FÓRMULA MANUAL]","",IFERROR(AVERAGEIFS(nNOTA,nNIA,A448,nCUENTA,1,nASIG,"Conjunto"),"")))</f>
        <v/>
      </c>
      <c r="E448" t="str">
        <f>IF(A448="","",IF(A448="[FÓRMULA MANUAL]","",IFERROR(SUMPRODUCT((nNIA=A448)*(nCUENTA=1)*(COUNTIF(CONFIG_ASIGNATURAS!$B$7:$B$27,nASIG)&gt;0)*(nNOTA))/SUMPRODUCT((nNIA=A448)*(nCUENTA=1)*(COUNTIF(CONFIG_ASIGNATURAS!$B$7:$B$27,nASIG)&gt;0)*1),"")))</f>
        <v/>
      </c>
      <c r="H448" t="str">
        <f>IF(G448="","",IF(G448="[FÓRMULA MANUAL]","",IFERROR(AVERAGEIFS(nNOTA,nNIA,G448,nCUENTA,1,nASIG,"Lenguaje Musical"),"")))</f>
        <v/>
      </c>
      <c r="I448" t="str">
        <f>IF(G448="","",IF(G448="[FÓRMULA MANUAL]","",IFERROR(AVERAGEIFS(nNOTA,nNIA,G448,nCUENTA,1,nASIG,"Orquesta/Banda/Conjunto"),"")))</f>
        <v/>
      </c>
      <c r="J448" t="str">
        <f>IF(G448="","",IF(G448="[FÓRMULA MANUAL]","",IFERROR(AVERAGEIFS(nNOTA,nNIA,G448,nCUENTA,1,nASIG,"Conjunto"),"")))</f>
        <v/>
      </c>
      <c r="K448" t="str">
        <f>IF(G448="","",IF(G448="[FÓRMULA MANUAL]","",IFERROR(SUMPRODUCT((nNIA=G448)*(nCUENTA=1)*(COUNTIF(CONFIG_ASIGNATURAS!$B$7:$B$27,nASIG)&gt;0)*(nNOTA))/SUMPRODUCT((nNIA=G448)*(nCUENTA=1)*(COUNTIF(CONFIG_ASIGNATURAS!$B$7:$B$27,nASIG)&gt;0)*1),"")))</f>
        <v/>
      </c>
      <c r="N448" t="str">
        <f>IF(M448="","",IF(M448="[FÓRMULA MANUAL]","",IFERROR(AVERAGEIFS(nNOTA,nNIA,M448,nCUENTA,1,nASIG,"Armonía"),"")))</f>
        <v/>
      </c>
      <c r="O448" t="str">
        <f>IF(M448="","",IF(M448="[FÓRMULA MANUAL]","",IFERROR(AVERAGEIFS(nNOTA,nNIA,M448,nCUENTA,1,nASIG,"Orquesta/Banda/Conjunto"),"")))</f>
        <v/>
      </c>
      <c r="P448" t="str">
        <f>IF(M448="","",IF(M448="[FÓRMULA MANUAL]","",IFERROR(AVERAGEIFS(nNOTA,nNIA,M448,nCUENTA,1,nASIG,"Música de Cámara"),"")))</f>
        <v/>
      </c>
      <c r="Q448" t="str">
        <f>IF(M448="","",IF(M448="[FÓRMULA MANUAL]","",IFERROR(SUMPRODUCT((nNIA=M448)*(nCUENTA=1)*(COUNTIF(CONFIG_ASIGNATURAS!$B$7:$B$27,nASIG)&gt;0)*(nNOTA))/SUMPRODUCT((nNIA=M448)*(nCUENTA=1)*(COUNTIF(CONFIG_ASIGNATURAS!$B$7:$B$27,nASIG)&gt;0)*1),"")))</f>
        <v/>
      </c>
      <c r="T448" t="str">
        <f>IF(S448="","",IF(S448="[FÓRMULA MANUAL]","",IFERROR(AVERAGEIFS(nNOTA,nNIA,S448,nCUENTA,1,nASIG,"Armonía"),"")))</f>
        <v/>
      </c>
      <c r="U448" t="str">
        <f>IF(S448="","",IF(S448="[FÓRMULA MANUAL]","",IFERROR(AVERAGEIFS(nNOTA,nNIA,S448,nCUENTA,1,nASIG,"Orquesta/Banda/Conjunto"),"")))</f>
        <v/>
      </c>
      <c r="V448" t="str">
        <f>IF(S448="","",IF(S448="[FÓRMULA MANUAL]","",IFERROR(AVERAGEIFS(nNOTA,nNIA,S448,nCUENTA,1,nASIG,"Música de Cámara"),"")))</f>
        <v/>
      </c>
      <c r="W448" t="str">
        <f>IF(S448="","",IF(S448="[FÓRMULA MANUAL]","",IFERROR(SUMPRODUCT((nNIA=S448)*(nCUENTA=1)*(COUNTIF(CONFIG_ASIGNATURAS!$B$7:$B$27,nASIG)&gt;0)*(nNOTA))/SUMPRODUCT((nNIA=S448)*(nCUENTA=1)*(COUNTIF(CONFIG_ASIGNATURAS!$B$7:$B$27,nASIG)&gt;0)*1),"")))</f>
        <v/>
      </c>
      <c r="Z448" t="str">
        <f>IF(Y448="","",IF(Y448="[FÓRMULA MANUAL]","",IFERROR(AVERAGEIFS(nNOTA,nNIA,Y448,nCUENTA,1,nASIG,"Análisis"),"")))</f>
        <v/>
      </c>
      <c r="AA448" t="str">
        <f>IF(Y448="","",IF(Y448="[FÓRMULA MANUAL]","",IFERROR(AVERAGEIFS(nNOTA,nNIA,Y448,nCUENTA,1,nASIG,"Orquesta/Banda/Conjunto"),"")))</f>
        <v/>
      </c>
      <c r="AB448" t="str">
        <f>IF(Y448="","",IF(Y448="[FÓRMULA MANUAL]","",IFERROR(AVERAGEIFS(nNOTA,nNIA,Y448,nCUENTA,1,nASIG,"Música de Cámara"),"")))</f>
        <v/>
      </c>
      <c r="AC448" t="str">
        <f>IF(Y448="","",IF(Y448="[FÓRMULA MANUAL]","",IFERROR(SUMPRODUCT((nNIA=Y448)*(nCUENTA=1)*(COUNTIF(CONFIG_ASIGNATURAS!$B$7:$B$27,nASIG)&gt;0)*(nNOTA))/SUMPRODUCT((nNIA=Y448)*(nCUENTA=1)*(COUNTIF(CONFIG_ASIGNATURAS!$B$7:$B$27,nASIG)&gt;0)*1),"")))</f>
        <v/>
      </c>
      <c r="AF448" t="str">
        <f>IF(AE448="","",IF(AE448="[FÓRMULA MANUAL]","",IFERROR(AVERAGEIFS(nNOTA,nNIA,AE448,nCUENTA,1,nASIG,"Análisis"),"")))</f>
        <v/>
      </c>
      <c r="AG448" t="str">
        <f>IF(AE448="","",IF(AE448="[FÓRMULA MANUAL]","",IFERROR(AVERAGEIFS(nNOTA,nNIA,AE448,nCUENTA,1,nASIG,"Orquesta/Banda/Conjunto"),"")))</f>
        <v/>
      </c>
      <c r="AH448" t="str">
        <f>IF(AE448="","",IF(AE448="[FÓRMULA MANUAL]","",IFERROR(AVERAGEIFS(nNOTA,nNIA,AE448,nCUENTA,1,nASIG,"Música de Cámara"),"")))</f>
        <v/>
      </c>
      <c r="AI448" t="str">
        <f>IF(AE448="","",IF(AE448="[FÓRMULA MANUAL]","",IFERROR(SUMPRODUCT((nNIA=AE448)*(nCUENTA=1)*(COUNTIF(CONFIG_ASIGNATURAS!$B$7:$B$27,nASIG)&gt;0)*(nNOTA))/SUMPRODUCT((nNIA=AE448)*(nCUENTA=1)*(COUNTIF(CONFIG_ASIGNATURAS!$B$7:$B$27,nASIG)&gt;0)*1),"")))</f>
        <v/>
      </c>
    </row>
    <row r="449" spans="2:35" x14ac:dyDescent="0.2">
      <c r="B449" t="str">
        <f>IF(A449="","",IF(A449="[FÓRMULA MANUAL]","",IFERROR(AVERAGEIFS(nNOTA,nNIA,A449,nCUENTA,1,nASIG,"Lenguaje Musical"),"")))</f>
        <v/>
      </c>
      <c r="C449" t="str">
        <f>IF(A449="","",IF(A449="[FÓRMULA MANUAL]","",IFERROR(AVERAGEIFS(nNOTA,nNIA,A449,nCUENTA,1,nASIG,"Orquesta/Banda/Conjunto"),"")))</f>
        <v/>
      </c>
      <c r="D449" t="str">
        <f>IF(A449="","",IF(A449="[FÓRMULA MANUAL]","",IFERROR(AVERAGEIFS(nNOTA,nNIA,A449,nCUENTA,1,nASIG,"Conjunto"),"")))</f>
        <v/>
      </c>
      <c r="E449" t="str">
        <f>IF(A449="","",IF(A449="[FÓRMULA MANUAL]","",IFERROR(SUMPRODUCT((nNIA=A449)*(nCUENTA=1)*(COUNTIF(CONFIG_ASIGNATURAS!$B$7:$B$27,nASIG)&gt;0)*(nNOTA))/SUMPRODUCT((nNIA=A449)*(nCUENTA=1)*(COUNTIF(CONFIG_ASIGNATURAS!$B$7:$B$27,nASIG)&gt;0)*1),"")))</f>
        <v/>
      </c>
      <c r="H449" t="str">
        <f>IF(G449="","",IF(G449="[FÓRMULA MANUAL]","",IFERROR(AVERAGEIFS(nNOTA,nNIA,G449,nCUENTA,1,nASIG,"Lenguaje Musical"),"")))</f>
        <v/>
      </c>
      <c r="I449" t="str">
        <f>IF(G449="","",IF(G449="[FÓRMULA MANUAL]","",IFERROR(AVERAGEIFS(nNOTA,nNIA,G449,nCUENTA,1,nASIG,"Orquesta/Banda/Conjunto"),"")))</f>
        <v/>
      </c>
      <c r="J449" t="str">
        <f>IF(G449="","",IF(G449="[FÓRMULA MANUAL]","",IFERROR(AVERAGEIFS(nNOTA,nNIA,G449,nCUENTA,1,nASIG,"Conjunto"),"")))</f>
        <v/>
      </c>
      <c r="K449" t="str">
        <f>IF(G449="","",IF(G449="[FÓRMULA MANUAL]","",IFERROR(SUMPRODUCT((nNIA=G449)*(nCUENTA=1)*(COUNTIF(CONFIG_ASIGNATURAS!$B$7:$B$27,nASIG)&gt;0)*(nNOTA))/SUMPRODUCT((nNIA=G449)*(nCUENTA=1)*(COUNTIF(CONFIG_ASIGNATURAS!$B$7:$B$27,nASIG)&gt;0)*1),"")))</f>
        <v/>
      </c>
      <c r="N449" t="str">
        <f>IF(M449="","",IF(M449="[FÓRMULA MANUAL]","",IFERROR(AVERAGEIFS(nNOTA,nNIA,M449,nCUENTA,1,nASIG,"Armonía"),"")))</f>
        <v/>
      </c>
      <c r="O449" t="str">
        <f>IF(M449="","",IF(M449="[FÓRMULA MANUAL]","",IFERROR(AVERAGEIFS(nNOTA,nNIA,M449,nCUENTA,1,nASIG,"Orquesta/Banda/Conjunto"),"")))</f>
        <v/>
      </c>
      <c r="P449" t="str">
        <f>IF(M449="","",IF(M449="[FÓRMULA MANUAL]","",IFERROR(AVERAGEIFS(nNOTA,nNIA,M449,nCUENTA,1,nASIG,"Música de Cámara"),"")))</f>
        <v/>
      </c>
      <c r="Q449" t="str">
        <f>IF(M449="","",IF(M449="[FÓRMULA MANUAL]","",IFERROR(SUMPRODUCT((nNIA=M449)*(nCUENTA=1)*(COUNTIF(CONFIG_ASIGNATURAS!$B$7:$B$27,nASIG)&gt;0)*(nNOTA))/SUMPRODUCT((nNIA=M449)*(nCUENTA=1)*(COUNTIF(CONFIG_ASIGNATURAS!$B$7:$B$27,nASIG)&gt;0)*1),"")))</f>
        <v/>
      </c>
      <c r="T449" t="str">
        <f>IF(S449="","",IF(S449="[FÓRMULA MANUAL]","",IFERROR(AVERAGEIFS(nNOTA,nNIA,S449,nCUENTA,1,nASIG,"Armonía"),"")))</f>
        <v/>
      </c>
      <c r="U449" t="str">
        <f>IF(S449="","",IF(S449="[FÓRMULA MANUAL]","",IFERROR(AVERAGEIFS(nNOTA,nNIA,S449,nCUENTA,1,nASIG,"Orquesta/Banda/Conjunto"),"")))</f>
        <v/>
      </c>
      <c r="V449" t="str">
        <f>IF(S449="","",IF(S449="[FÓRMULA MANUAL]","",IFERROR(AVERAGEIFS(nNOTA,nNIA,S449,nCUENTA,1,nASIG,"Música de Cámara"),"")))</f>
        <v/>
      </c>
      <c r="W449" t="str">
        <f>IF(S449="","",IF(S449="[FÓRMULA MANUAL]","",IFERROR(SUMPRODUCT((nNIA=S449)*(nCUENTA=1)*(COUNTIF(CONFIG_ASIGNATURAS!$B$7:$B$27,nASIG)&gt;0)*(nNOTA))/SUMPRODUCT((nNIA=S449)*(nCUENTA=1)*(COUNTIF(CONFIG_ASIGNATURAS!$B$7:$B$27,nASIG)&gt;0)*1),"")))</f>
        <v/>
      </c>
      <c r="Z449" t="str">
        <f>IF(Y449="","",IF(Y449="[FÓRMULA MANUAL]","",IFERROR(AVERAGEIFS(nNOTA,nNIA,Y449,nCUENTA,1,nASIG,"Análisis"),"")))</f>
        <v/>
      </c>
      <c r="AA449" t="str">
        <f>IF(Y449="","",IF(Y449="[FÓRMULA MANUAL]","",IFERROR(AVERAGEIFS(nNOTA,nNIA,Y449,nCUENTA,1,nASIG,"Orquesta/Banda/Conjunto"),"")))</f>
        <v/>
      </c>
      <c r="AB449" t="str">
        <f>IF(Y449="","",IF(Y449="[FÓRMULA MANUAL]","",IFERROR(AVERAGEIFS(nNOTA,nNIA,Y449,nCUENTA,1,nASIG,"Música de Cámara"),"")))</f>
        <v/>
      </c>
      <c r="AC449" t="str">
        <f>IF(Y449="","",IF(Y449="[FÓRMULA MANUAL]","",IFERROR(SUMPRODUCT((nNIA=Y449)*(nCUENTA=1)*(COUNTIF(CONFIG_ASIGNATURAS!$B$7:$B$27,nASIG)&gt;0)*(nNOTA))/SUMPRODUCT((nNIA=Y449)*(nCUENTA=1)*(COUNTIF(CONFIG_ASIGNATURAS!$B$7:$B$27,nASIG)&gt;0)*1),"")))</f>
        <v/>
      </c>
      <c r="AF449" t="str">
        <f>IF(AE449="","",IF(AE449="[FÓRMULA MANUAL]","",IFERROR(AVERAGEIFS(nNOTA,nNIA,AE449,nCUENTA,1,nASIG,"Análisis"),"")))</f>
        <v/>
      </c>
      <c r="AG449" t="str">
        <f>IF(AE449="","",IF(AE449="[FÓRMULA MANUAL]","",IFERROR(AVERAGEIFS(nNOTA,nNIA,AE449,nCUENTA,1,nASIG,"Orquesta/Banda/Conjunto"),"")))</f>
        <v/>
      </c>
      <c r="AH449" t="str">
        <f>IF(AE449="","",IF(AE449="[FÓRMULA MANUAL]","",IFERROR(AVERAGEIFS(nNOTA,nNIA,AE449,nCUENTA,1,nASIG,"Música de Cámara"),"")))</f>
        <v/>
      </c>
      <c r="AI449" t="str">
        <f>IF(AE449="","",IF(AE449="[FÓRMULA MANUAL]","",IFERROR(SUMPRODUCT((nNIA=AE449)*(nCUENTA=1)*(COUNTIF(CONFIG_ASIGNATURAS!$B$7:$B$27,nASIG)&gt;0)*(nNOTA))/SUMPRODUCT((nNIA=AE449)*(nCUENTA=1)*(COUNTIF(CONFIG_ASIGNATURAS!$B$7:$B$27,nASIG)&gt;0)*1),"")))</f>
        <v/>
      </c>
    </row>
    <row r="450" spans="2:35" x14ac:dyDescent="0.2">
      <c r="B450" t="str">
        <f>IF(A450="","",IF(A450="[FÓRMULA MANUAL]","",IFERROR(AVERAGEIFS(nNOTA,nNIA,A450,nCUENTA,1,nASIG,"Lenguaje Musical"),"")))</f>
        <v/>
      </c>
      <c r="C450" t="str">
        <f>IF(A450="","",IF(A450="[FÓRMULA MANUAL]","",IFERROR(AVERAGEIFS(nNOTA,nNIA,A450,nCUENTA,1,nASIG,"Orquesta/Banda/Conjunto"),"")))</f>
        <v/>
      </c>
      <c r="D450" t="str">
        <f>IF(A450="","",IF(A450="[FÓRMULA MANUAL]","",IFERROR(AVERAGEIFS(nNOTA,nNIA,A450,nCUENTA,1,nASIG,"Conjunto"),"")))</f>
        <v/>
      </c>
      <c r="E450" t="str">
        <f>IF(A450="","",IF(A450="[FÓRMULA MANUAL]","",IFERROR(SUMPRODUCT((nNIA=A450)*(nCUENTA=1)*(COUNTIF(CONFIG_ASIGNATURAS!$B$7:$B$27,nASIG)&gt;0)*(nNOTA))/SUMPRODUCT((nNIA=A450)*(nCUENTA=1)*(COUNTIF(CONFIG_ASIGNATURAS!$B$7:$B$27,nASIG)&gt;0)*1),"")))</f>
        <v/>
      </c>
      <c r="H450" t="str">
        <f>IF(G450="","",IF(G450="[FÓRMULA MANUAL]","",IFERROR(AVERAGEIFS(nNOTA,nNIA,G450,nCUENTA,1,nASIG,"Lenguaje Musical"),"")))</f>
        <v/>
      </c>
      <c r="I450" t="str">
        <f>IF(G450="","",IF(G450="[FÓRMULA MANUAL]","",IFERROR(AVERAGEIFS(nNOTA,nNIA,G450,nCUENTA,1,nASIG,"Orquesta/Banda/Conjunto"),"")))</f>
        <v/>
      </c>
      <c r="J450" t="str">
        <f>IF(G450="","",IF(G450="[FÓRMULA MANUAL]","",IFERROR(AVERAGEIFS(nNOTA,nNIA,G450,nCUENTA,1,nASIG,"Conjunto"),"")))</f>
        <v/>
      </c>
      <c r="K450" t="str">
        <f>IF(G450="","",IF(G450="[FÓRMULA MANUAL]","",IFERROR(SUMPRODUCT((nNIA=G450)*(nCUENTA=1)*(COUNTIF(CONFIG_ASIGNATURAS!$B$7:$B$27,nASIG)&gt;0)*(nNOTA))/SUMPRODUCT((nNIA=G450)*(nCUENTA=1)*(COUNTIF(CONFIG_ASIGNATURAS!$B$7:$B$27,nASIG)&gt;0)*1),"")))</f>
        <v/>
      </c>
      <c r="N450" t="str">
        <f>IF(M450="","",IF(M450="[FÓRMULA MANUAL]","",IFERROR(AVERAGEIFS(nNOTA,nNIA,M450,nCUENTA,1,nASIG,"Armonía"),"")))</f>
        <v/>
      </c>
      <c r="O450" t="str">
        <f>IF(M450="","",IF(M450="[FÓRMULA MANUAL]","",IFERROR(AVERAGEIFS(nNOTA,nNIA,M450,nCUENTA,1,nASIG,"Orquesta/Banda/Conjunto"),"")))</f>
        <v/>
      </c>
      <c r="P450" t="str">
        <f>IF(M450="","",IF(M450="[FÓRMULA MANUAL]","",IFERROR(AVERAGEIFS(nNOTA,nNIA,M450,nCUENTA,1,nASIG,"Música de Cámara"),"")))</f>
        <v/>
      </c>
      <c r="Q450" t="str">
        <f>IF(M450="","",IF(M450="[FÓRMULA MANUAL]","",IFERROR(SUMPRODUCT((nNIA=M450)*(nCUENTA=1)*(COUNTIF(CONFIG_ASIGNATURAS!$B$7:$B$27,nASIG)&gt;0)*(nNOTA))/SUMPRODUCT((nNIA=M450)*(nCUENTA=1)*(COUNTIF(CONFIG_ASIGNATURAS!$B$7:$B$27,nASIG)&gt;0)*1),"")))</f>
        <v/>
      </c>
      <c r="T450" t="str">
        <f>IF(S450="","",IF(S450="[FÓRMULA MANUAL]","",IFERROR(AVERAGEIFS(nNOTA,nNIA,S450,nCUENTA,1,nASIG,"Armonía"),"")))</f>
        <v/>
      </c>
      <c r="U450" t="str">
        <f>IF(S450="","",IF(S450="[FÓRMULA MANUAL]","",IFERROR(AVERAGEIFS(nNOTA,nNIA,S450,nCUENTA,1,nASIG,"Orquesta/Banda/Conjunto"),"")))</f>
        <v/>
      </c>
      <c r="V450" t="str">
        <f>IF(S450="","",IF(S450="[FÓRMULA MANUAL]","",IFERROR(AVERAGEIFS(nNOTA,nNIA,S450,nCUENTA,1,nASIG,"Música de Cámara"),"")))</f>
        <v/>
      </c>
      <c r="W450" t="str">
        <f>IF(S450="","",IF(S450="[FÓRMULA MANUAL]","",IFERROR(SUMPRODUCT((nNIA=S450)*(nCUENTA=1)*(COUNTIF(CONFIG_ASIGNATURAS!$B$7:$B$27,nASIG)&gt;0)*(nNOTA))/SUMPRODUCT((nNIA=S450)*(nCUENTA=1)*(COUNTIF(CONFIG_ASIGNATURAS!$B$7:$B$27,nASIG)&gt;0)*1),"")))</f>
        <v/>
      </c>
      <c r="Z450" t="str">
        <f>IF(Y450="","",IF(Y450="[FÓRMULA MANUAL]","",IFERROR(AVERAGEIFS(nNOTA,nNIA,Y450,nCUENTA,1,nASIG,"Análisis"),"")))</f>
        <v/>
      </c>
      <c r="AA450" t="str">
        <f>IF(Y450="","",IF(Y450="[FÓRMULA MANUAL]","",IFERROR(AVERAGEIFS(nNOTA,nNIA,Y450,nCUENTA,1,nASIG,"Orquesta/Banda/Conjunto"),"")))</f>
        <v/>
      </c>
      <c r="AB450" t="str">
        <f>IF(Y450="","",IF(Y450="[FÓRMULA MANUAL]","",IFERROR(AVERAGEIFS(nNOTA,nNIA,Y450,nCUENTA,1,nASIG,"Música de Cámara"),"")))</f>
        <v/>
      </c>
      <c r="AC450" t="str">
        <f>IF(Y450="","",IF(Y450="[FÓRMULA MANUAL]","",IFERROR(SUMPRODUCT((nNIA=Y450)*(nCUENTA=1)*(COUNTIF(CONFIG_ASIGNATURAS!$B$7:$B$27,nASIG)&gt;0)*(nNOTA))/SUMPRODUCT((nNIA=Y450)*(nCUENTA=1)*(COUNTIF(CONFIG_ASIGNATURAS!$B$7:$B$27,nASIG)&gt;0)*1),"")))</f>
        <v/>
      </c>
      <c r="AF450" t="str">
        <f>IF(AE450="","",IF(AE450="[FÓRMULA MANUAL]","",IFERROR(AVERAGEIFS(nNOTA,nNIA,AE450,nCUENTA,1,nASIG,"Análisis"),"")))</f>
        <v/>
      </c>
      <c r="AG450" t="str">
        <f>IF(AE450="","",IF(AE450="[FÓRMULA MANUAL]","",IFERROR(AVERAGEIFS(nNOTA,nNIA,AE450,nCUENTA,1,nASIG,"Orquesta/Banda/Conjunto"),"")))</f>
        <v/>
      </c>
      <c r="AH450" t="str">
        <f>IF(AE450="","",IF(AE450="[FÓRMULA MANUAL]","",IFERROR(AVERAGEIFS(nNOTA,nNIA,AE450,nCUENTA,1,nASIG,"Música de Cámara"),"")))</f>
        <v/>
      </c>
      <c r="AI450" t="str">
        <f>IF(AE450="","",IF(AE450="[FÓRMULA MANUAL]","",IFERROR(SUMPRODUCT((nNIA=AE450)*(nCUENTA=1)*(COUNTIF(CONFIG_ASIGNATURAS!$B$7:$B$27,nASIG)&gt;0)*(nNOTA))/SUMPRODUCT((nNIA=AE450)*(nCUENTA=1)*(COUNTIF(CONFIG_ASIGNATURAS!$B$7:$B$27,nASIG)&gt;0)*1),"")))</f>
        <v/>
      </c>
    </row>
    <row r="451" spans="2:35" x14ac:dyDescent="0.2">
      <c r="B451" t="str">
        <f>IF(A451="","",IF(A451="[FÓRMULA MANUAL]","",IFERROR(AVERAGEIFS(nNOTA,nNIA,A451,nCUENTA,1,nASIG,"Lenguaje Musical"),"")))</f>
        <v/>
      </c>
      <c r="C451" t="str">
        <f>IF(A451="","",IF(A451="[FÓRMULA MANUAL]","",IFERROR(AVERAGEIFS(nNOTA,nNIA,A451,nCUENTA,1,nASIG,"Orquesta/Banda/Conjunto"),"")))</f>
        <v/>
      </c>
      <c r="D451" t="str">
        <f>IF(A451="","",IF(A451="[FÓRMULA MANUAL]","",IFERROR(AVERAGEIFS(nNOTA,nNIA,A451,nCUENTA,1,nASIG,"Conjunto"),"")))</f>
        <v/>
      </c>
      <c r="E451" t="str">
        <f>IF(A451="","",IF(A451="[FÓRMULA MANUAL]","",IFERROR(SUMPRODUCT((nNIA=A451)*(nCUENTA=1)*(COUNTIF(CONFIG_ASIGNATURAS!$B$7:$B$27,nASIG)&gt;0)*(nNOTA))/SUMPRODUCT((nNIA=A451)*(nCUENTA=1)*(COUNTIF(CONFIG_ASIGNATURAS!$B$7:$B$27,nASIG)&gt;0)*1),"")))</f>
        <v/>
      </c>
      <c r="H451" t="str">
        <f>IF(G451="","",IF(G451="[FÓRMULA MANUAL]","",IFERROR(AVERAGEIFS(nNOTA,nNIA,G451,nCUENTA,1,nASIG,"Lenguaje Musical"),"")))</f>
        <v/>
      </c>
      <c r="I451" t="str">
        <f>IF(G451="","",IF(G451="[FÓRMULA MANUAL]","",IFERROR(AVERAGEIFS(nNOTA,nNIA,G451,nCUENTA,1,nASIG,"Orquesta/Banda/Conjunto"),"")))</f>
        <v/>
      </c>
      <c r="J451" t="str">
        <f>IF(G451="","",IF(G451="[FÓRMULA MANUAL]","",IFERROR(AVERAGEIFS(nNOTA,nNIA,G451,nCUENTA,1,nASIG,"Conjunto"),"")))</f>
        <v/>
      </c>
      <c r="K451" t="str">
        <f>IF(G451="","",IF(G451="[FÓRMULA MANUAL]","",IFERROR(SUMPRODUCT((nNIA=G451)*(nCUENTA=1)*(COUNTIF(CONFIG_ASIGNATURAS!$B$7:$B$27,nASIG)&gt;0)*(nNOTA))/SUMPRODUCT((nNIA=G451)*(nCUENTA=1)*(COUNTIF(CONFIG_ASIGNATURAS!$B$7:$B$27,nASIG)&gt;0)*1),"")))</f>
        <v/>
      </c>
      <c r="N451" t="str">
        <f>IF(M451="","",IF(M451="[FÓRMULA MANUAL]","",IFERROR(AVERAGEIFS(nNOTA,nNIA,M451,nCUENTA,1,nASIG,"Armonía"),"")))</f>
        <v/>
      </c>
      <c r="O451" t="str">
        <f>IF(M451="","",IF(M451="[FÓRMULA MANUAL]","",IFERROR(AVERAGEIFS(nNOTA,nNIA,M451,nCUENTA,1,nASIG,"Orquesta/Banda/Conjunto"),"")))</f>
        <v/>
      </c>
      <c r="P451" t="str">
        <f>IF(M451="","",IF(M451="[FÓRMULA MANUAL]","",IFERROR(AVERAGEIFS(nNOTA,nNIA,M451,nCUENTA,1,nASIG,"Música de Cámara"),"")))</f>
        <v/>
      </c>
      <c r="Q451" t="str">
        <f>IF(M451="","",IF(M451="[FÓRMULA MANUAL]","",IFERROR(SUMPRODUCT((nNIA=M451)*(nCUENTA=1)*(COUNTIF(CONFIG_ASIGNATURAS!$B$7:$B$27,nASIG)&gt;0)*(nNOTA))/SUMPRODUCT((nNIA=M451)*(nCUENTA=1)*(COUNTIF(CONFIG_ASIGNATURAS!$B$7:$B$27,nASIG)&gt;0)*1),"")))</f>
        <v/>
      </c>
      <c r="T451" t="str">
        <f>IF(S451="","",IF(S451="[FÓRMULA MANUAL]","",IFERROR(AVERAGEIFS(nNOTA,nNIA,S451,nCUENTA,1,nASIG,"Armonía"),"")))</f>
        <v/>
      </c>
      <c r="U451" t="str">
        <f>IF(S451="","",IF(S451="[FÓRMULA MANUAL]","",IFERROR(AVERAGEIFS(nNOTA,nNIA,S451,nCUENTA,1,nASIG,"Orquesta/Banda/Conjunto"),"")))</f>
        <v/>
      </c>
      <c r="V451" t="str">
        <f>IF(S451="","",IF(S451="[FÓRMULA MANUAL]","",IFERROR(AVERAGEIFS(nNOTA,nNIA,S451,nCUENTA,1,nASIG,"Música de Cámara"),"")))</f>
        <v/>
      </c>
      <c r="W451" t="str">
        <f>IF(S451="","",IF(S451="[FÓRMULA MANUAL]","",IFERROR(SUMPRODUCT((nNIA=S451)*(nCUENTA=1)*(COUNTIF(CONFIG_ASIGNATURAS!$B$7:$B$27,nASIG)&gt;0)*(nNOTA))/SUMPRODUCT((nNIA=S451)*(nCUENTA=1)*(COUNTIF(CONFIG_ASIGNATURAS!$B$7:$B$27,nASIG)&gt;0)*1),"")))</f>
        <v/>
      </c>
      <c r="Z451" t="str">
        <f>IF(Y451="","",IF(Y451="[FÓRMULA MANUAL]","",IFERROR(AVERAGEIFS(nNOTA,nNIA,Y451,nCUENTA,1,nASIG,"Análisis"),"")))</f>
        <v/>
      </c>
      <c r="AA451" t="str">
        <f>IF(Y451="","",IF(Y451="[FÓRMULA MANUAL]","",IFERROR(AVERAGEIFS(nNOTA,nNIA,Y451,nCUENTA,1,nASIG,"Orquesta/Banda/Conjunto"),"")))</f>
        <v/>
      </c>
      <c r="AB451" t="str">
        <f>IF(Y451="","",IF(Y451="[FÓRMULA MANUAL]","",IFERROR(AVERAGEIFS(nNOTA,nNIA,Y451,nCUENTA,1,nASIG,"Música de Cámara"),"")))</f>
        <v/>
      </c>
      <c r="AC451" t="str">
        <f>IF(Y451="","",IF(Y451="[FÓRMULA MANUAL]","",IFERROR(SUMPRODUCT((nNIA=Y451)*(nCUENTA=1)*(COUNTIF(CONFIG_ASIGNATURAS!$B$7:$B$27,nASIG)&gt;0)*(nNOTA))/SUMPRODUCT((nNIA=Y451)*(nCUENTA=1)*(COUNTIF(CONFIG_ASIGNATURAS!$B$7:$B$27,nASIG)&gt;0)*1),"")))</f>
        <v/>
      </c>
      <c r="AF451" t="str">
        <f>IF(AE451="","",IF(AE451="[FÓRMULA MANUAL]","",IFERROR(AVERAGEIFS(nNOTA,nNIA,AE451,nCUENTA,1,nASIG,"Análisis"),"")))</f>
        <v/>
      </c>
      <c r="AG451" t="str">
        <f>IF(AE451="","",IF(AE451="[FÓRMULA MANUAL]","",IFERROR(AVERAGEIFS(nNOTA,nNIA,AE451,nCUENTA,1,nASIG,"Orquesta/Banda/Conjunto"),"")))</f>
        <v/>
      </c>
      <c r="AH451" t="str">
        <f>IF(AE451="","",IF(AE451="[FÓRMULA MANUAL]","",IFERROR(AVERAGEIFS(nNOTA,nNIA,AE451,nCUENTA,1,nASIG,"Música de Cámara"),"")))</f>
        <v/>
      </c>
      <c r="AI451" t="str">
        <f>IF(AE451="","",IF(AE451="[FÓRMULA MANUAL]","",IFERROR(SUMPRODUCT((nNIA=AE451)*(nCUENTA=1)*(COUNTIF(CONFIG_ASIGNATURAS!$B$7:$B$27,nASIG)&gt;0)*(nNOTA))/SUMPRODUCT((nNIA=AE451)*(nCUENTA=1)*(COUNTIF(CONFIG_ASIGNATURAS!$B$7:$B$27,nASIG)&gt;0)*1),"")))</f>
        <v/>
      </c>
    </row>
    <row r="452" spans="2:35" x14ac:dyDescent="0.2">
      <c r="B452" t="str">
        <f>IF(A452="","",IF(A452="[FÓRMULA MANUAL]","",IFERROR(AVERAGEIFS(nNOTA,nNIA,A452,nCUENTA,1,nASIG,"Lenguaje Musical"),"")))</f>
        <v/>
      </c>
      <c r="C452" t="str">
        <f>IF(A452="","",IF(A452="[FÓRMULA MANUAL]","",IFERROR(AVERAGEIFS(nNOTA,nNIA,A452,nCUENTA,1,nASIG,"Orquesta/Banda/Conjunto"),"")))</f>
        <v/>
      </c>
      <c r="D452" t="str">
        <f>IF(A452="","",IF(A452="[FÓRMULA MANUAL]","",IFERROR(AVERAGEIFS(nNOTA,nNIA,A452,nCUENTA,1,nASIG,"Conjunto"),"")))</f>
        <v/>
      </c>
      <c r="E452" t="str">
        <f>IF(A452="","",IF(A452="[FÓRMULA MANUAL]","",IFERROR(SUMPRODUCT((nNIA=A452)*(nCUENTA=1)*(COUNTIF(CONFIG_ASIGNATURAS!$B$7:$B$27,nASIG)&gt;0)*(nNOTA))/SUMPRODUCT((nNIA=A452)*(nCUENTA=1)*(COUNTIF(CONFIG_ASIGNATURAS!$B$7:$B$27,nASIG)&gt;0)*1),"")))</f>
        <v/>
      </c>
      <c r="H452" t="str">
        <f>IF(G452="","",IF(G452="[FÓRMULA MANUAL]","",IFERROR(AVERAGEIFS(nNOTA,nNIA,G452,nCUENTA,1,nASIG,"Lenguaje Musical"),"")))</f>
        <v/>
      </c>
      <c r="I452" t="str">
        <f>IF(G452="","",IF(G452="[FÓRMULA MANUAL]","",IFERROR(AVERAGEIFS(nNOTA,nNIA,G452,nCUENTA,1,nASIG,"Orquesta/Banda/Conjunto"),"")))</f>
        <v/>
      </c>
      <c r="J452" t="str">
        <f>IF(G452="","",IF(G452="[FÓRMULA MANUAL]","",IFERROR(AVERAGEIFS(nNOTA,nNIA,G452,nCUENTA,1,nASIG,"Conjunto"),"")))</f>
        <v/>
      </c>
      <c r="K452" t="str">
        <f>IF(G452="","",IF(G452="[FÓRMULA MANUAL]","",IFERROR(SUMPRODUCT((nNIA=G452)*(nCUENTA=1)*(COUNTIF(CONFIG_ASIGNATURAS!$B$7:$B$27,nASIG)&gt;0)*(nNOTA))/SUMPRODUCT((nNIA=G452)*(nCUENTA=1)*(COUNTIF(CONFIG_ASIGNATURAS!$B$7:$B$27,nASIG)&gt;0)*1),"")))</f>
        <v/>
      </c>
      <c r="N452" t="str">
        <f>IF(M452="","",IF(M452="[FÓRMULA MANUAL]","",IFERROR(AVERAGEIFS(nNOTA,nNIA,M452,nCUENTA,1,nASIG,"Armonía"),"")))</f>
        <v/>
      </c>
      <c r="O452" t="str">
        <f>IF(M452="","",IF(M452="[FÓRMULA MANUAL]","",IFERROR(AVERAGEIFS(nNOTA,nNIA,M452,nCUENTA,1,nASIG,"Orquesta/Banda/Conjunto"),"")))</f>
        <v/>
      </c>
      <c r="P452" t="str">
        <f>IF(M452="","",IF(M452="[FÓRMULA MANUAL]","",IFERROR(AVERAGEIFS(nNOTA,nNIA,M452,nCUENTA,1,nASIG,"Música de Cámara"),"")))</f>
        <v/>
      </c>
      <c r="Q452" t="str">
        <f>IF(M452="","",IF(M452="[FÓRMULA MANUAL]","",IFERROR(SUMPRODUCT((nNIA=M452)*(nCUENTA=1)*(COUNTIF(CONFIG_ASIGNATURAS!$B$7:$B$27,nASIG)&gt;0)*(nNOTA))/SUMPRODUCT((nNIA=M452)*(nCUENTA=1)*(COUNTIF(CONFIG_ASIGNATURAS!$B$7:$B$27,nASIG)&gt;0)*1),"")))</f>
        <v/>
      </c>
      <c r="T452" t="str">
        <f>IF(S452="","",IF(S452="[FÓRMULA MANUAL]","",IFERROR(AVERAGEIFS(nNOTA,nNIA,S452,nCUENTA,1,nASIG,"Armonía"),"")))</f>
        <v/>
      </c>
      <c r="U452" t="str">
        <f>IF(S452="","",IF(S452="[FÓRMULA MANUAL]","",IFERROR(AVERAGEIFS(nNOTA,nNIA,S452,nCUENTA,1,nASIG,"Orquesta/Banda/Conjunto"),"")))</f>
        <v/>
      </c>
      <c r="V452" t="str">
        <f>IF(S452="","",IF(S452="[FÓRMULA MANUAL]","",IFERROR(AVERAGEIFS(nNOTA,nNIA,S452,nCUENTA,1,nASIG,"Música de Cámara"),"")))</f>
        <v/>
      </c>
      <c r="W452" t="str">
        <f>IF(S452="","",IF(S452="[FÓRMULA MANUAL]","",IFERROR(SUMPRODUCT((nNIA=S452)*(nCUENTA=1)*(COUNTIF(CONFIG_ASIGNATURAS!$B$7:$B$27,nASIG)&gt;0)*(nNOTA))/SUMPRODUCT((nNIA=S452)*(nCUENTA=1)*(COUNTIF(CONFIG_ASIGNATURAS!$B$7:$B$27,nASIG)&gt;0)*1),"")))</f>
        <v/>
      </c>
      <c r="Z452" t="str">
        <f>IF(Y452="","",IF(Y452="[FÓRMULA MANUAL]","",IFERROR(AVERAGEIFS(nNOTA,nNIA,Y452,nCUENTA,1,nASIG,"Análisis"),"")))</f>
        <v/>
      </c>
      <c r="AA452" t="str">
        <f>IF(Y452="","",IF(Y452="[FÓRMULA MANUAL]","",IFERROR(AVERAGEIFS(nNOTA,nNIA,Y452,nCUENTA,1,nASIG,"Orquesta/Banda/Conjunto"),"")))</f>
        <v/>
      </c>
      <c r="AB452" t="str">
        <f>IF(Y452="","",IF(Y452="[FÓRMULA MANUAL]","",IFERROR(AVERAGEIFS(nNOTA,nNIA,Y452,nCUENTA,1,nASIG,"Música de Cámara"),"")))</f>
        <v/>
      </c>
      <c r="AC452" t="str">
        <f>IF(Y452="","",IF(Y452="[FÓRMULA MANUAL]","",IFERROR(SUMPRODUCT((nNIA=Y452)*(nCUENTA=1)*(COUNTIF(CONFIG_ASIGNATURAS!$B$7:$B$27,nASIG)&gt;0)*(nNOTA))/SUMPRODUCT((nNIA=Y452)*(nCUENTA=1)*(COUNTIF(CONFIG_ASIGNATURAS!$B$7:$B$27,nASIG)&gt;0)*1),"")))</f>
        <v/>
      </c>
      <c r="AF452" t="str">
        <f>IF(AE452="","",IF(AE452="[FÓRMULA MANUAL]","",IFERROR(AVERAGEIFS(nNOTA,nNIA,AE452,nCUENTA,1,nASIG,"Análisis"),"")))</f>
        <v/>
      </c>
      <c r="AG452" t="str">
        <f>IF(AE452="","",IF(AE452="[FÓRMULA MANUAL]","",IFERROR(AVERAGEIFS(nNOTA,nNIA,AE452,nCUENTA,1,nASIG,"Orquesta/Banda/Conjunto"),"")))</f>
        <v/>
      </c>
      <c r="AH452" t="str">
        <f>IF(AE452="","",IF(AE452="[FÓRMULA MANUAL]","",IFERROR(AVERAGEIFS(nNOTA,nNIA,AE452,nCUENTA,1,nASIG,"Música de Cámara"),"")))</f>
        <v/>
      </c>
      <c r="AI452" t="str">
        <f>IF(AE452="","",IF(AE452="[FÓRMULA MANUAL]","",IFERROR(SUMPRODUCT((nNIA=AE452)*(nCUENTA=1)*(COUNTIF(CONFIG_ASIGNATURAS!$B$7:$B$27,nASIG)&gt;0)*(nNOTA))/SUMPRODUCT((nNIA=AE452)*(nCUENTA=1)*(COUNTIF(CONFIG_ASIGNATURAS!$B$7:$B$27,nASIG)&gt;0)*1),"")))</f>
        <v/>
      </c>
    </row>
    <row r="453" spans="2:35" x14ac:dyDescent="0.2">
      <c r="B453" t="str">
        <f>IF(A453="","",IF(A453="[FÓRMULA MANUAL]","",IFERROR(AVERAGEIFS(nNOTA,nNIA,A453,nCUENTA,1,nASIG,"Lenguaje Musical"),"")))</f>
        <v/>
      </c>
      <c r="C453" t="str">
        <f>IF(A453="","",IF(A453="[FÓRMULA MANUAL]","",IFERROR(AVERAGEIFS(nNOTA,nNIA,A453,nCUENTA,1,nASIG,"Orquesta/Banda/Conjunto"),"")))</f>
        <v/>
      </c>
      <c r="D453" t="str">
        <f>IF(A453="","",IF(A453="[FÓRMULA MANUAL]","",IFERROR(AVERAGEIFS(nNOTA,nNIA,A453,nCUENTA,1,nASIG,"Conjunto"),"")))</f>
        <v/>
      </c>
      <c r="E453" t="str">
        <f>IF(A453="","",IF(A453="[FÓRMULA MANUAL]","",IFERROR(SUMPRODUCT((nNIA=A453)*(nCUENTA=1)*(COUNTIF(CONFIG_ASIGNATURAS!$B$7:$B$27,nASIG)&gt;0)*(nNOTA))/SUMPRODUCT((nNIA=A453)*(nCUENTA=1)*(COUNTIF(CONFIG_ASIGNATURAS!$B$7:$B$27,nASIG)&gt;0)*1),"")))</f>
        <v/>
      </c>
      <c r="H453" t="str">
        <f>IF(G453="","",IF(G453="[FÓRMULA MANUAL]","",IFERROR(AVERAGEIFS(nNOTA,nNIA,G453,nCUENTA,1,nASIG,"Lenguaje Musical"),"")))</f>
        <v/>
      </c>
      <c r="I453" t="str">
        <f>IF(G453="","",IF(G453="[FÓRMULA MANUAL]","",IFERROR(AVERAGEIFS(nNOTA,nNIA,G453,nCUENTA,1,nASIG,"Orquesta/Banda/Conjunto"),"")))</f>
        <v/>
      </c>
      <c r="J453" t="str">
        <f>IF(G453="","",IF(G453="[FÓRMULA MANUAL]","",IFERROR(AVERAGEIFS(nNOTA,nNIA,G453,nCUENTA,1,nASIG,"Conjunto"),"")))</f>
        <v/>
      </c>
      <c r="K453" t="str">
        <f>IF(G453="","",IF(G453="[FÓRMULA MANUAL]","",IFERROR(SUMPRODUCT((nNIA=G453)*(nCUENTA=1)*(COUNTIF(CONFIG_ASIGNATURAS!$B$7:$B$27,nASIG)&gt;0)*(nNOTA))/SUMPRODUCT((nNIA=G453)*(nCUENTA=1)*(COUNTIF(CONFIG_ASIGNATURAS!$B$7:$B$27,nASIG)&gt;0)*1),"")))</f>
        <v/>
      </c>
      <c r="N453" t="str">
        <f>IF(M453="","",IF(M453="[FÓRMULA MANUAL]","",IFERROR(AVERAGEIFS(nNOTA,nNIA,M453,nCUENTA,1,nASIG,"Armonía"),"")))</f>
        <v/>
      </c>
      <c r="O453" t="str">
        <f>IF(M453="","",IF(M453="[FÓRMULA MANUAL]","",IFERROR(AVERAGEIFS(nNOTA,nNIA,M453,nCUENTA,1,nASIG,"Orquesta/Banda/Conjunto"),"")))</f>
        <v/>
      </c>
      <c r="P453" t="str">
        <f>IF(M453="","",IF(M453="[FÓRMULA MANUAL]","",IFERROR(AVERAGEIFS(nNOTA,nNIA,M453,nCUENTA,1,nASIG,"Música de Cámara"),"")))</f>
        <v/>
      </c>
      <c r="Q453" t="str">
        <f>IF(M453="","",IF(M453="[FÓRMULA MANUAL]","",IFERROR(SUMPRODUCT((nNIA=M453)*(nCUENTA=1)*(COUNTIF(CONFIG_ASIGNATURAS!$B$7:$B$27,nASIG)&gt;0)*(nNOTA))/SUMPRODUCT((nNIA=M453)*(nCUENTA=1)*(COUNTIF(CONFIG_ASIGNATURAS!$B$7:$B$27,nASIG)&gt;0)*1),"")))</f>
        <v/>
      </c>
      <c r="T453" t="str">
        <f>IF(S453="","",IF(S453="[FÓRMULA MANUAL]","",IFERROR(AVERAGEIFS(nNOTA,nNIA,S453,nCUENTA,1,nASIG,"Armonía"),"")))</f>
        <v/>
      </c>
      <c r="U453" t="str">
        <f>IF(S453="","",IF(S453="[FÓRMULA MANUAL]","",IFERROR(AVERAGEIFS(nNOTA,nNIA,S453,nCUENTA,1,nASIG,"Orquesta/Banda/Conjunto"),"")))</f>
        <v/>
      </c>
      <c r="V453" t="str">
        <f>IF(S453="","",IF(S453="[FÓRMULA MANUAL]","",IFERROR(AVERAGEIFS(nNOTA,nNIA,S453,nCUENTA,1,nASIG,"Música de Cámara"),"")))</f>
        <v/>
      </c>
      <c r="W453" t="str">
        <f>IF(S453="","",IF(S453="[FÓRMULA MANUAL]","",IFERROR(SUMPRODUCT((nNIA=S453)*(nCUENTA=1)*(COUNTIF(CONFIG_ASIGNATURAS!$B$7:$B$27,nASIG)&gt;0)*(nNOTA))/SUMPRODUCT((nNIA=S453)*(nCUENTA=1)*(COUNTIF(CONFIG_ASIGNATURAS!$B$7:$B$27,nASIG)&gt;0)*1),"")))</f>
        <v/>
      </c>
      <c r="Z453" t="str">
        <f>IF(Y453="","",IF(Y453="[FÓRMULA MANUAL]","",IFERROR(AVERAGEIFS(nNOTA,nNIA,Y453,nCUENTA,1,nASIG,"Análisis"),"")))</f>
        <v/>
      </c>
      <c r="AA453" t="str">
        <f>IF(Y453="","",IF(Y453="[FÓRMULA MANUAL]","",IFERROR(AVERAGEIFS(nNOTA,nNIA,Y453,nCUENTA,1,nASIG,"Orquesta/Banda/Conjunto"),"")))</f>
        <v/>
      </c>
      <c r="AB453" t="str">
        <f>IF(Y453="","",IF(Y453="[FÓRMULA MANUAL]","",IFERROR(AVERAGEIFS(nNOTA,nNIA,Y453,nCUENTA,1,nASIG,"Música de Cámara"),"")))</f>
        <v/>
      </c>
      <c r="AC453" t="str">
        <f>IF(Y453="","",IF(Y453="[FÓRMULA MANUAL]","",IFERROR(SUMPRODUCT((nNIA=Y453)*(nCUENTA=1)*(COUNTIF(CONFIG_ASIGNATURAS!$B$7:$B$27,nASIG)&gt;0)*(nNOTA))/SUMPRODUCT((nNIA=Y453)*(nCUENTA=1)*(COUNTIF(CONFIG_ASIGNATURAS!$B$7:$B$27,nASIG)&gt;0)*1),"")))</f>
        <v/>
      </c>
      <c r="AF453" t="str">
        <f>IF(AE453="","",IF(AE453="[FÓRMULA MANUAL]","",IFERROR(AVERAGEIFS(nNOTA,nNIA,AE453,nCUENTA,1,nASIG,"Análisis"),"")))</f>
        <v/>
      </c>
      <c r="AG453" t="str">
        <f>IF(AE453="","",IF(AE453="[FÓRMULA MANUAL]","",IFERROR(AVERAGEIFS(nNOTA,nNIA,AE453,nCUENTA,1,nASIG,"Orquesta/Banda/Conjunto"),"")))</f>
        <v/>
      </c>
      <c r="AH453" t="str">
        <f>IF(AE453="","",IF(AE453="[FÓRMULA MANUAL]","",IFERROR(AVERAGEIFS(nNOTA,nNIA,AE453,nCUENTA,1,nASIG,"Música de Cámara"),"")))</f>
        <v/>
      </c>
      <c r="AI453" t="str">
        <f>IF(AE453="","",IF(AE453="[FÓRMULA MANUAL]","",IFERROR(SUMPRODUCT((nNIA=AE453)*(nCUENTA=1)*(COUNTIF(CONFIG_ASIGNATURAS!$B$7:$B$27,nASIG)&gt;0)*(nNOTA))/SUMPRODUCT((nNIA=AE453)*(nCUENTA=1)*(COUNTIF(CONFIG_ASIGNATURAS!$B$7:$B$27,nASIG)&gt;0)*1),"")))</f>
        <v/>
      </c>
    </row>
    <row r="454" spans="2:35" x14ac:dyDescent="0.2">
      <c r="B454" t="str">
        <f>IF(A454="","",IF(A454="[FÓRMULA MANUAL]","",IFERROR(AVERAGEIFS(nNOTA,nNIA,A454,nCUENTA,1,nASIG,"Lenguaje Musical"),"")))</f>
        <v/>
      </c>
      <c r="C454" t="str">
        <f>IF(A454="","",IF(A454="[FÓRMULA MANUAL]","",IFERROR(AVERAGEIFS(nNOTA,nNIA,A454,nCUENTA,1,nASIG,"Orquesta/Banda/Conjunto"),"")))</f>
        <v/>
      </c>
      <c r="D454" t="str">
        <f>IF(A454="","",IF(A454="[FÓRMULA MANUAL]","",IFERROR(AVERAGEIFS(nNOTA,nNIA,A454,nCUENTA,1,nASIG,"Conjunto"),"")))</f>
        <v/>
      </c>
      <c r="E454" t="str">
        <f>IF(A454="","",IF(A454="[FÓRMULA MANUAL]","",IFERROR(SUMPRODUCT((nNIA=A454)*(nCUENTA=1)*(COUNTIF(CONFIG_ASIGNATURAS!$B$7:$B$27,nASIG)&gt;0)*(nNOTA))/SUMPRODUCT((nNIA=A454)*(nCUENTA=1)*(COUNTIF(CONFIG_ASIGNATURAS!$B$7:$B$27,nASIG)&gt;0)*1),"")))</f>
        <v/>
      </c>
      <c r="H454" t="str">
        <f>IF(G454="","",IF(G454="[FÓRMULA MANUAL]","",IFERROR(AVERAGEIFS(nNOTA,nNIA,G454,nCUENTA,1,nASIG,"Lenguaje Musical"),"")))</f>
        <v/>
      </c>
      <c r="I454" t="str">
        <f>IF(G454="","",IF(G454="[FÓRMULA MANUAL]","",IFERROR(AVERAGEIFS(nNOTA,nNIA,G454,nCUENTA,1,nASIG,"Orquesta/Banda/Conjunto"),"")))</f>
        <v/>
      </c>
      <c r="J454" t="str">
        <f>IF(G454="","",IF(G454="[FÓRMULA MANUAL]","",IFERROR(AVERAGEIFS(nNOTA,nNIA,G454,nCUENTA,1,nASIG,"Conjunto"),"")))</f>
        <v/>
      </c>
      <c r="K454" t="str">
        <f>IF(G454="","",IF(G454="[FÓRMULA MANUAL]","",IFERROR(SUMPRODUCT((nNIA=G454)*(nCUENTA=1)*(COUNTIF(CONFIG_ASIGNATURAS!$B$7:$B$27,nASIG)&gt;0)*(nNOTA))/SUMPRODUCT((nNIA=G454)*(nCUENTA=1)*(COUNTIF(CONFIG_ASIGNATURAS!$B$7:$B$27,nASIG)&gt;0)*1),"")))</f>
        <v/>
      </c>
      <c r="N454" t="str">
        <f>IF(M454="","",IF(M454="[FÓRMULA MANUAL]","",IFERROR(AVERAGEIFS(nNOTA,nNIA,M454,nCUENTA,1,nASIG,"Armonía"),"")))</f>
        <v/>
      </c>
      <c r="O454" t="str">
        <f>IF(M454="","",IF(M454="[FÓRMULA MANUAL]","",IFERROR(AVERAGEIFS(nNOTA,nNIA,M454,nCUENTA,1,nASIG,"Orquesta/Banda/Conjunto"),"")))</f>
        <v/>
      </c>
      <c r="P454" t="str">
        <f>IF(M454="","",IF(M454="[FÓRMULA MANUAL]","",IFERROR(AVERAGEIFS(nNOTA,nNIA,M454,nCUENTA,1,nASIG,"Música de Cámara"),"")))</f>
        <v/>
      </c>
      <c r="Q454" t="str">
        <f>IF(M454="","",IF(M454="[FÓRMULA MANUAL]","",IFERROR(SUMPRODUCT((nNIA=M454)*(nCUENTA=1)*(COUNTIF(CONFIG_ASIGNATURAS!$B$7:$B$27,nASIG)&gt;0)*(nNOTA))/SUMPRODUCT((nNIA=M454)*(nCUENTA=1)*(COUNTIF(CONFIG_ASIGNATURAS!$B$7:$B$27,nASIG)&gt;0)*1),"")))</f>
        <v/>
      </c>
      <c r="T454" t="str">
        <f>IF(S454="","",IF(S454="[FÓRMULA MANUAL]","",IFERROR(AVERAGEIFS(nNOTA,nNIA,S454,nCUENTA,1,nASIG,"Armonía"),"")))</f>
        <v/>
      </c>
      <c r="U454" t="str">
        <f>IF(S454="","",IF(S454="[FÓRMULA MANUAL]","",IFERROR(AVERAGEIFS(nNOTA,nNIA,S454,nCUENTA,1,nASIG,"Orquesta/Banda/Conjunto"),"")))</f>
        <v/>
      </c>
      <c r="V454" t="str">
        <f>IF(S454="","",IF(S454="[FÓRMULA MANUAL]","",IFERROR(AVERAGEIFS(nNOTA,nNIA,S454,nCUENTA,1,nASIG,"Música de Cámara"),"")))</f>
        <v/>
      </c>
      <c r="W454" t="str">
        <f>IF(S454="","",IF(S454="[FÓRMULA MANUAL]","",IFERROR(SUMPRODUCT((nNIA=S454)*(nCUENTA=1)*(COUNTIF(CONFIG_ASIGNATURAS!$B$7:$B$27,nASIG)&gt;0)*(nNOTA))/SUMPRODUCT((nNIA=S454)*(nCUENTA=1)*(COUNTIF(CONFIG_ASIGNATURAS!$B$7:$B$27,nASIG)&gt;0)*1),"")))</f>
        <v/>
      </c>
      <c r="Z454" t="str">
        <f>IF(Y454="","",IF(Y454="[FÓRMULA MANUAL]","",IFERROR(AVERAGEIFS(nNOTA,nNIA,Y454,nCUENTA,1,nASIG,"Análisis"),"")))</f>
        <v/>
      </c>
      <c r="AA454" t="str">
        <f>IF(Y454="","",IF(Y454="[FÓRMULA MANUAL]","",IFERROR(AVERAGEIFS(nNOTA,nNIA,Y454,nCUENTA,1,nASIG,"Orquesta/Banda/Conjunto"),"")))</f>
        <v/>
      </c>
      <c r="AB454" t="str">
        <f>IF(Y454="","",IF(Y454="[FÓRMULA MANUAL]","",IFERROR(AVERAGEIFS(nNOTA,nNIA,Y454,nCUENTA,1,nASIG,"Música de Cámara"),"")))</f>
        <v/>
      </c>
      <c r="AC454" t="str">
        <f>IF(Y454="","",IF(Y454="[FÓRMULA MANUAL]","",IFERROR(SUMPRODUCT((nNIA=Y454)*(nCUENTA=1)*(COUNTIF(CONFIG_ASIGNATURAS!$B$7:$B$27,nASIG)&gt;0)*(nNOTA))/SUMPRODUCT((nNIA=Y454)*(nCUENTA=1)*(COUNTIF(CONFIG_ASIGNATURAS!$B$7:$B$27,nASIG)&gt;0)*1),"")))</f>
        <v/>
      </c>
      <c r="AF454" t="str">
        <f>IF(AE454="","",IF(AE454="[FÓRMULA MANUAL]","",IFERROR(AVERAGEIFS(nNOTA,nNIA,AE454,nCUENTA,1,nASIG,"Análisis"),"")))</f>
        <v/>
      </c>
      <c r="AG454" t="str">
        <f>IF(AE454="","",IF(AE454="[FÓRMULA MANUAL]","",IFERROR(AVERAGEIFS(nNOTA,nNIA,AE454,nCUENTA,1,nASIG,"Orquesta/Banda/Conjunto"),"")))</f>
        <v/>
      </c>
      <c r="AH454" t="str">
        <f>IF(AE454="","",IF(AE454="[FÓRMULA MANUAL]","",IFERROR(AVERAGEIFS(nNOTA,nNIA,AE454,nCUENTA,1,nASIG,"Música de Cámara"),"")))</f>
        <v/>
      </c>
      <c r="AI454" t="str">
        <f>IF(AE454="","",IF(AE454="[FÓRMULA MANUAL]","",IFERROR(SUMPRODUCT((nNIA=AE454)*(nCUENTA=1)*(COUNTIF(CONFIG_ASIGNATURAS!$B$7:$B$27,nASIG)&gt;0)*(nNOTA))/SUMPRODUCT((nNIA=AE454)*(nCUENTA=1)*(COUNTIF(CONFIG_ASIGNATURAS!$B$7:$B$27,nASIG)&gt;0)*1),"")))</f>
        <v/>
      </c>
    </row>
    <row r="455" spans="2:35" x14ac:dyDescent="0.2">
      <c r="B455" t="str">
        <f>IF(A455="","",IF(A455="[FÓRMULA MANUAL]","",IFERROR(AVERAGEIFS(nNOTA,nNIA,A455,nCUENTA,1,nASIG,"Lenguaje Musical"),"")))</f>
        <v/>
      </c>
      <c r="C455" t="str">
        <f>IF(A455="","",IF(A455="[FÓRMULA MANUAL]","",IFERROR(AVERAGEIFS(nNOTA,nNIA,A455,nCUENTA,1,nASIG,"Orquesta/Banda/Conjunto"),"")))</f>
        <v/>
      </c>
      <c r="D455" t="str">
        <f>IF(A455="","",IF(A455="[FÓRMULA MANUAL]","",IFERROR(AVERAGEIFS(nNOTA,nNIA,A455,nCUENTA,1,nASIG,"Conjunto"),"")))</f>
        <v/>
      </c>
      <c r="E455" t="str">
        <f>IF(A455="","",IF(A455="[FÓRMULA MANUAL]","",IFERROR(SUMPRODUCT((nNIA=A455)*(nCUENTA=1)*(COUNTIF(CONFIG_ASIGNATURAS!$B$7:$B$27,nASIG)&gt;0)*(nNOTA))/SUMPRODUCT((nNIA=A455)*(nCUENTA=1)*(COUNTIF(CONFIG_ASIGNATURAS!$B$7:$B$27,nASIG)&gt;0)*1),"")))</f>
        <v/>
      </c>
      <c r="H455" t="str">
        <f>IF(G455="","",IF(G455="[FÓRMULA MANUAL]","",IFERROR(AVERAGEIFS(nNOTA,nNIA,G455,nCUENTA,1,nASIG,"Lenguaje Musical"),"")))</f>
        <v/>
      </c>
      <c r="I455" t="str">
        <f>IF(G455="","",IF(G455="[FÓRMULA MANUAL]","",IFERROR(AVERAGEIFS(nNOTA,nNIA,G455,nCUENTA,1,nASIG,"Orquesta/Banda/Conjunto"),"")))</f>
        <v/>
      </c>
      <c r="J455" t="str">
        <f>IF(G455="","",IF(G455="[FÓRMULA MANUAL]","",IFERROR(AVERAGEIFS(nNOTA,nNIA,G455,nCUENTA,1,nASIG,"Conjunto"),"")))</f>
        <v/>
      </c>
      <c r="K455" t="str">
        <f>IF(G455="","",IF(G455="[FÓRMULA MANUAL]","",IFERROR(SUMPRODUCT((nNIA=G455)*(nCUENTA=1)*(COUNTIF(CONFIG_ASIGNATURAS!$B$7:$B$27,nASIG)&gt;0)*(nNOTA))/SUMPRODUCT((nNIA=G455)*(nCUENTA=1)*(COUNTIF(CONFIG_ASIGNATURAS!$B$7:$B$27,nASIG)&gt;0)*1),"")))</f>
        <v/>
      </c>
      <c r="N455" t="str">
        <f>IF(M455="","",IF(M455="[FÓRMULA MANUAL]","",IFERROR(AVERAGEIFS(nNOTA,nNIA,M455,nCUENTA,1,nASIG,"Armonía"),"")))</f>
        <v/>
      </c>
      <c r="O455" t="str">
        <f>IF(M455="","",IF(M455="[FÓRMULA MANUAL]","",IFERROR(AVERAGEIFS(nNOTA,nNIA,M455,nCUENTA,1,nASIG,"Orquesta/Banda/Conjunto"),"")))</f>
        <v/>
      </c>
      <c r="P455" t="str">
        <f>IF(M455="","",IF(M455="[FÓRMULA MANUAL]","",IFERROR(AVERAGEIFS(nNOTA,nNIA,M455,nCUENTA,1,nASIG,"Música de Cámara"),"")))</f>
        <v/>
      </c>
      <c r="Q455" t="str">
        <f>IF(M455="","",IF(M455="[FÓRMULA MANUAL]","",IFERROR(SUMPRODUCT((nNIA=M455)*(nCUENTA=1)*(COUNTIF(CONFIG_ASIGNATURAS!$B$7:$B$27,nASIG)&gt;0)*(nNOTA))/SUMPRODUCT((nNIA=M455)*(nCUENTA=1)*(COUNTIF(CONFIG_ASIGNATURAS!$B$7:$B$27,nASIG)&gt;0)*1),"")))</f>
        <v/>
      </c>
      <c r="T455" t="str">
        <f>IF(S455="","",IF(S455="[FÓRMULA MANUAL]","",IFERROR(AVERAGEIFS(nNOTA,nNIA,S455,nCUENTA,1,nASIG,"Armonía"),"")))</f>
        <v/>
      </c>
      <c r="U455" t="str">
        <f>IF(S455="","",IF(S455="[FÓRMULA MANUAL]","",IFERROR(AVERAGEIFS(nNOTA,nNIA,S455,nCUENTA,1,nASIG,"Orquesta/Banda/Conjunto"),"")))</f>
        <v/>
      </c>
      <c r="V455" t="str">
        <f>IF(S455="","",IF(S455="[FÓRMULA MANUAL]","",IFERROR(AVERAGEIFS(nNOTA,nNIA,S455,nCUENTA,1,nASIG,"Música de Cámara"),"")))</f>
        <v/>
      </c>
      <c r="W455" t="str">
        <f>IF(S455="","",IF(S455="[FÓRMULA MANUAL]","",IFERROR(SUMPRODUCT((nNIA=S455)*(nCUENTA=1)*(COUNTIF(CONFIG_ASIGNATURAS!$B$7:$B$27,nASIG)&gt;0)*(nNOTA))/SUMPRODUCT((nNIA=S455)*(nCUENTA=1)*(COUNTIF(CONFIG_ASIGNATURAS!$B$7:$B$27,nASIG)&gt;0)*1),"")))</f>
        <v/>
      </c>
      <c r="Z455" t="str">
        <f>IF(Y455="","",IF(Y455="[FÓRMULA MANUAL]","",IFERROR(AVERAGEIFS(nNOTA,nNIA,Y455,nCUENTA,1,nASIG,"Análisis"),"")))</f>
        <v/>
      </c>
      <c r="AA455" t="str">
        <f>IF(Y455="","",IF(Y455="[FÓRMULA MANUAL]","",IFERROR(AVERAGEIFS(nNOTA,nNIA,Y455,nCUENTA,1,nASIG,"Orquesta/Banda/Conjunto"),"")))</f>
        <v/>
      </c>
      <c r="AB455" t="str">
        <f>IF(Y455="","",IF(Y455="[FÓRMULA MANUAL]","",IFERROR(AVERAGEIFS(nNOTA,nNIA,Y455,nCUENTA,1,nASIG,"Música de Cámara"),"")))</f>
        <v/>
      </c>
      <c r="AC455" t="str">
        <f>IF(Y455="","",IF(Y455="[FÓRMULA MANUAL]","",IFERROR(SUMPRODUCT((nNIA=Y455)*(nCUENTA=1)*(COUNTIF(CONFIG_ASIGNATURAS!$B$7:$B$27,nASIG)&gt;0)*(nNOTA))/SUMPRODUCT((nNIA=Y455)*(nCUENTA=1)*(COUNTIF(CONFIG_ASIGNATURAS!$B$7:$B$27,nASIG)&gt;0)*1),"")))</f>
        <v/>
      </c>
      <c r="AF455" t="str">
        <f>IF(AE455="","",IF(AE455="[FÓRMULA MANUAL]","",IFERROR(AVERAGEIFS(nNOTA,nNIA,AE455,nCUENTA,1,nASIG,"Análisis"),"")))</f>
        <v/>
      </c>
      <c r="AG455" t="str">
        <f>IF(AE455="","",IF(AE455="[FÓRMULA MANUAL]","",IFERROR(AVERAGEIFS(nNOTA,nNIA,AE455,nCUENTA,1,nASIG,"Orquesta/Banda/Conjunto"),"")))</f>
        <v/>
      </c>
      <c r="AH455" t="str">
        <f>IF(AE455="","",IF(AE455="[FÓRMULA MANUAL]","",IFERROR(AVERAGEIFS(nNOTA,nNIA,AE455,nCUENTA,1,nASIG,"Música de Cámara"),"")))</f>
        <v/>
      </c>
      <c r="AI455" t="str">
        <f>IF(AE455="","",IF(AE455="[FÓRMULA MANUAL]","",IFERROR(SUMPRODUCT((nNIA=AE455)*(nCUENTA=1)*(COUNTIF(CONFIG_ASIGNATURAS!$B$7:$B$27,nASIG)&gt;0)*(nNOTA))/SUMPRODUCT((nNIA=AE455)*(nCUENTA=1)*(COUNTIF(CONFIG_ASIGNATURAS!$B$7:$B$27,nASIG)&gt;0)*1),"")))</f>
        <v/>
      </c>
    </row>
    <row r="456" spans="2:35" x14ac:dyDescent="0.2">
      <c r="B456" t="str">
        <f>IF(A456="","",IF(A456="[FÓRMULA MANUAL]","",IFERROR(AVERAGEIFS(nNOTA,nNIA,A456,nCUENTA,1,nASIG,"Lenguaje Musical"),"")))</f>
        <v/>
      </c>
      <c r="C456" t="str">
        <f>IF(A456="","",IF(A456="[FÓRMULA MANUAL]","",IFERROR(AVERAGEIFS(nNOTA,nNIA,A456,nCUENTA,1,nASIG,"Orquesta/Banda/Conjunto"),"")))</f>
        <v/>
      </c>
      <c r="D456" t="str">
        <f>IF(A456="","",IF(A456="[FÓRMULA MANUAL]","",IFERROR(AVERAGEIFS(nNOTA,nNIA,A456,nCUENTA,1,nASIG,"Conjunto"),"")))</f>
        <v/>
      </c>
      <c r="E456" t="str">
        <f>IF(A456="","",IF(A456="[FÓRMULA MANUAL]","",IFERROR(SUMPRODUCT((nNIA=A456)*(nCUENTA=1)*(COUNTIF(CONFIG_ASIGNATURAS!$B$7:$B$27,nASIG)&gt;0)*(nNOTA))/SUMPRODUCT((nNIA=A456)*(nCUENTA=1)*(COUNTIF(CONFIG_ASIGNATURAS!$B$7:$B$27,nASIG)&gt;0)*1),"")))</f>
        <v/>
      </c>
      <c r="H456" t="str">
        <f>IF(G456="","",IF(G456="[FÓRMULA MANUAL]","",IFERROR(AVERAGEIFS(nNOTA,nNIA,G456,nCUENTA,1,nASIG,"Lenguaje Musical"),"")))</f>
        <v/>
      </c>
      <c r="I456" t="str">
        <f>IF(G456="","",IF(G456="[FÓRMULA MANUAL]","",IFERROR(AVERAGEIFS(nNOTA,nNIA,G456,nCUENTA,1,nASIG,"Orquesta/Banda/Conjunto"),"")))</f>
        <v/>
      </c>
      <c r="J456" t="str">
        <f>IF(G456="","",IF(G456="[FÓRMULA MANUAL]","",IFERROR(AVERAGEIFS(nNOTA,nNIA,G456,nCUENTA,1,nASIG,"Conjunto"),"")))</f>
        <v/>
      </c>
      <c r="K456" t="str">
        <f>IF(G456="","",IF(G456="[FÓRMULA MANUAL]","",IFERROR(SUMPRODUCT((nNIA=G456)*(nCUENTA=1)*(COUNTIF(CONFIG_ASIGNATURAS!$B$7:$B$27,nASIG)&gt;0)*(nNOTA))/SUMPRODUCT((nNIA=G456)*(nCUENTA=1)*(COUNTIF(CONFIG_ASIGNATURAS!$B$7:$B$27,nASIG)&gt;0)*1),"")))</f>
        <v/>
      </c>
      <c r="N456" t="str">
        <f>IF(M456="","",IF(M456="[FÓRMULA MANUAL]","",IFERROR(AVERAGEIFS(nNOTA,nNIA,M456,nCUENTA,1,nASIG,"Armonía"),"")))</f>
        <v/>
      </c>
      <c r="O456" t="str">
        <f>IF(M456="","",IF(M456="[FÓRMULA MANUAL]","",IFERROR(AVERAGEIFS(nNOTA,nNIA,M456,nCUENTA,1,nASIG,"Orquesta/Banda/Conjunto"),"")))</f>
        <v/>
      </c>
      <c r="P456" t="str">
        <f>IF(M456="","",IF(M456="[FÓRMULA MANUAL]","",IFERROR(AVERAGEIFS(nNOTA,nNIA,M456,nCUENTA,1,nASIG,"Música de Cámara"),"")))</f>
        <v/>
      </c>
      <c r="Q456" t="str">
        <f>IF(M456="","",IF(M456="[FÓRMULA MANUAL]","",IFERROR(SUMPRODUCT((nNIA=M456)*(nCUENTA=1)*(COUNTIF(CONFIG_ASIGNATURAS!$B$7:$B$27,nASIG)&gt;0)*(nNOTA))/SUMPRODUCT((nNIA=M456)*(nCUENTA=1)*(COUNTIF(CONFIG_ASIGNATURAS!$B$7:$B$27,nASIG)&gt;0)*1),"")))</f>
        <v/>
      </c>
      <c r="T456" t="str">
        <f>IF(S456="","",IF(S456="[FÓRMULA MANUAL]","",IFERROR(AVERAGEIFS(nNOTA,nNIA,S456,nCUENTA,1,nASIG,"Armonía"),"")))</f>
        <v/>
      </c>
      <c r="U456" t="str">
        <f>IF(S456="","",IF(S456="[FÓRMULA MANUAL]","",IFERROR(AVERAGEIFS(nNOTA,nNIA,S456,nCUENTA,1,nASIG,"Orquesta/Banda/Conjunto"),"")))</f>
        <v/>
      </c>
      <c r="V456" t="str">
        <f>IF(S456="","",IF(S456="[FÓRMULA MANUAL]","",IFERROR(AVERAGEIFS(nNOTA,nNIA,S456,nCUENTA,1,nASIG,"Música de Cámara"),"")))</f>
        <v/>
      </c>
      <c r="W456" t="str">
        <f>IF(S456="","",IF(S456="[FÓRMULA MANUAL]","",IFERROR(SUMPRODUCT((nNIA=S456)*(nCUENTA=1)*(COUNTIF(CONFIG_ASIGNATURAS!$B$7:$B$27,nASIG)&gt;0)*(nNOTA))/SUMPRODUCT((nNIA=S456)*(nCUENTA=1)*(COUNTIF(CONFIG_ASIGNATURAS!$B$7:$B$27,nASIG)&gt;0)*1),"")))</f>
        <v/>
      </c>
      <c r="Z456" t="str">
        <f>IF(Y456="","",IF(Y456="[FÓRMULA MANUAL]","",IFERROR(AVERAGEIFS(nNOTA,nNIA,Y456,nCUENTA,1,nASIG,"Análisis"),"")))</f>
        <v/>
      </c>
      <c r="AA456" t="str">
        <f>IF(Y456="","",IF(Y456="[FÓRMULA MANUAL]","",IFERROR(AVERAGEIFS(nNOTA,nNIA,Y456,nCUENTA,1,nASIG,"Orquesta/Banda/Conjunto"),"")))</f>
        <v/>
      </c>
      <c r="AB456" t="str">
        <f>IF(Y456="","",IF(Y456="[FÓRMULA MANUAL]","",IFERROR(AVERAGEIFS(nNOTA,nNIA,Y456,nCUENTA,1,nASIG,"Música de Cámara"),"")))</f>
        <v/>
      </c>
      <c r="AC456" t="str">
        <f>IF(Y456="","",IF(Y456="[FÓRMULA MANUAL]","",IFERROR(SUMPRODUCT((nNIA=Y456)*(nCUENTA=1)*(COUNTIF(CONFIG_ASIGNATURAS!$B$7:$B$27,nASIG)&gt;0)*(nNOTA))/SUMPRODUCT((nNIA=Y456)*(nCUENTA=1)*(COUNTIF(CONFIG_ASIGNATURAS!$B$7:$B$27,nASIG)&gt;0)*1),"")))</f>
        <v/>
      </c>
      <c r="AF456" t="str">
        <f>IF(AE456="","",IF(AE456="[FÓRMULA MANUAL]","",IFERROR(AVERAGEIFS(nNOTA,nNIA,AE456,nCUENTA,1,nASIG,"Análisis"),"")))</f>
        <v/>
      </c>
      <c r="AG456" t="str">
        <f>IF(AE456="","",IF(AE456="[FÓRMULA MANUAL]","",IFERROR(AVERAGEIFS(nNOTA,nNIA,AE456,nCUENTA,1,nASIG,"Orquesta/Banda/Conjunto"),"")))</f>
        <v/>
      </c>
      <c r="AH456" t="str">
        <f>IF(AE456="","",IF(AE456="[FÓRMULA MANUAL]","",IFERROR(AVERAGEIFS(nNOTA,nNIA,AE456,nCUENTA,1,nASIG,"Música de Cámara"),"")))</f>
        <v/>
      </c>
      <c r="AI456" t="str">
        <f>IF(AE456="","",IF(AE456="[FÓRMULA MANUAL]","",IFERROR(SUMPRODUCT((nNIA=AE456)*(nCUENTA=1)*(COUNTIF(CONFIG_ASIGNATURAS!$B$7:$B$27,nASIG)&gt;0)*(nNOTA))/SUMPRODUCT((nNIA=AE456)*(nCUENTA=1)*(COUNTIF(CONFIG_ASIGNATURAS!$B$7:$B$27,nASIG)&gt;0)*1),"")))</f>
        <v/>
      </c>
    </row>
    <row r="457" spans="2:35" x14ac:dyDescent="0.2">
      <c r="B457" t="str">
        <f>IF(A457="","",IF(A457="[FÓRMULA MANUAL]","",IFERROR(AVERAGEIFS(nNOTA,nNIA,A457,nCUENTA,1,nASIG,"Lenguaje Musical"),"")))</f>
        <v/>
      </c>
      <c r="C457" t="str">
        <f>IF(A457="","",IF(A457="[FÓRMULA MANUAL]","",IFERROR(AVERAGEIFS(nNOTA,nNIA,A457,nCUENTA,1,nASIG,"Orquesta/Banda/Conjunto"),"")))</f>
        <v/>
      </c>
      <c r="D457" t="str">
        <f>IF(A457="","",IF(A457="[FÓRMULA MANUAL]","",IFERROR(AVERAGEIFS(nNOTA,nNIA,A457,nCUENTA,1,nASIG,"Conjunto"),"")))</f>
        <v/>
      </c>
      <c r="E457" t="str">
        <f>IF(A457="","",IF(A457="[FÓRMULA MANUAL]","",IFERROR(SUMPRODUCT((nNIA=A457)*(nCUENTA=1)*(COUNTIF(CONFIG_ASIGNATURAS!$B$7:$B$27,nASIG)&gt;0)*(nNOTA))/SUMPRODUCT((nNIA=A457)*(nCUENTA=1)*(COUNTIF(CONFIG_ASIGNATURAS!$B$7:$B$27,nASIG)&gt;0)*1),"")))</f>
        <v/>
      </c>
      <c r="H457" t="str">
        <f>IF(G457="","",IF(G457="[FÓRMULA MANUAL]","",IFERROR(AVERAGEIFS(nNOTA,nNIA,G457,nCUENTA,1,nASIG,"Lenguaje Musical"),"")))</f>
        <v/>
      </c>
      <c r="I457" t="str">
        <f>IF(G457="","",IF(G457="[FÓRMULA MANUAL]","",IFERROR(AVERAGEIFS(nNOTA,nNIA,G457,nCUENTA,1,nASIG,"Orquesta/Banda/Conjunto"),"")))</f>
        <v/>
      </c>
      <c r="J457" t="str">
        <f>IF(G457="","",IF(G457="[FÓRMULA MANUAL]","",IFERROR(AVERAGEIFS(nNOTA,nNIA,G457,nCUENTA,1,nASIG,"Conjunto"),"")))</f>
        <v/>
      </c>
      <c r="K457" t="str">
        <f>IF(G457="","",IF(G457="[FÓRMULA MANUAL]","",IFERROR(SUMPRODUCT((nNIA=G457)*(nCUENTA=1)*(COUNTIF(CONFIG_ASIGNATURAS!$B$7:$B$27,nASIG)&gt;0)*(nNOTA))/SUMPRODUCT((nNIA=G457)*(nCUENTA=1)*(COUNTIF(CONFIG_ASIGNATURAS!$B$7:$B$27,nASIG)&gt;0)*1),"")))</f>
        <v/>
      </c>
      <c r="N457" t="str">
        <f>IF(M457="","",IF(M457="[FÓRMULA MANUAL]","",IFERROR(AVERAGEIFS(nNOTA,nNIA,M457,nCUENTA,1,nASIG,"Armonía"),"")))</f>
        <v/>
      </c>
      <c r="O457" t="str">
        <f>IF(M457="","",IF(M457="[FÓRMULA MANUAL]","",IFERROR(AVERAGEIFS(nNOTA,nNIA,M457,nCUENTA,1,nASIG,"Orquesta/Banda/Conjunto"),"")))</f>
        <v/>
      </c>
      <c r="P457" t="str">
        <f>IF(M457="","",IF(M457="[FÓRMULA MANUAL]","",IFERROR(AVERAGEIFS(nNOTA,nNIA,M457,nCUENTA,1,nASIG,"Música de Cámara"),"")))</f>
        <v/>
      </c>
      <c r="Q457" t="str">
        <f>IF(M457="","",IF(M457="[FÓRMULA MANUAL]","",IFERROR(SUMPRODUCT((nNIA=M457)*(nCUENTA=1)*(COUNTIF(CONFIG_ASIGNATURAS!$B$7:$B$27,nASIG)&gt;0)*(nNOTA))/SUMPRODUCT((nNIA=M457)*(nCUENTA=1)*(COUNTIF(CONFIG_ASIGNATURAS!$B$7:$B$27,nASIG)&gt;0)*1),"")))</f>
        <v/>
      </c>
      <c r="T457" t="str">
        <f>IF(S457="","",IF(S457="[FÓRMULA MANUAL]","",IFERROR(AVERAGEIFS(nNOTA,nNIA,S457,nCUENTA,1,nASIG,"Armonía"),"")))</f>
        <v/>
      </c>
      <c r="U457" t="str">
        <f>IF(S457="","",IF(S457="[FÓRMULA MANUAL]","",IFERROR(AVERAGEIFS(nNOTA,nNIA,S457,nCUENTA,1,nASIG,"Orquesta/Banda/Conjunto"),"")))</f>
        <v/>
      </c>
      <c r="V457" t="str">
        <f>IF(S457="","",IF(S457="[FÓRMULA MANUAL]","",IFERROR(AVERAGEIFS(nNOTA,nNIA,S457,nCUENTA,1,nASIG,"Música de Cámara"),"")))</f>
        <v/>
      </c>
      <c r="W457" t="str">
        <f>IF(S457="","",IF(S457="[FÓRMULA MANUAL]","",IFERROR(SUMPRODUCT((nNIA=S457)*(nCUENTA=1)*(COUNTIF(CONFIG_ASIGNATURAS!$B$7:$B$27,nASIG)&gt;0)*(nNOTA))/SUMPRODUCT((nNIA=S457)*(nCUENTA=1)*(COUNTIF(CONFIG_ASIGNATURAS!$B$7:$B$27,nASIG)&gt;0)*1),"")))</f>
        <v/>
      </c>
      <c r="Z457" t="str">
        <f>IF(Y457="","",IF(Y457="[FÓRMULA MANUAL]","",IFERROR(AVERAGEIFS(nNOTA,nNIA,Y457,nCUENTA,1,nASIG,"Análisis"),"")))</f>
        <v/>
      </c>
      <c r="AA457" t="str">
        <f>IF(Y457="","",IF(Y457="[FÓRMULA MANUAL]","",IFERROR(AVERAGEIFS(nNOTA,nNIA,Y457,nCUENTA,1,nASIG,"Orquesta/Banda/Conjunto"),"")))</f>
        <v/>
      </c>
      <c r="AB457" t="str">
        <f>IF(Y457="","",IF(Y457="[FÓRMULA MANUAL]","",IFERROR(AVERAGEIFS(nNOTA,nNIA,Y457,nCUENTA,1,nASIG,"Música de Cámara"),"")))</f>
        <v/>
      </c>
      <c r="AC457" t="str">
        <f>IF(Y457="","",IF(Y457="[FÓRMULA MANUAL]","",IFERROR(SUMPRODUCT((nNIA=Y457)*(nCUENTA=1)*(COUNTIF(CONFIG_ASIGNATURAS!$B$7:$B$27,nASIG)&gt;0)*(nNOTA))/SUMPRODUCT((nNIA=Y457)*(nCUENTA=1)*(COUNTIF(CONFIG_ASIGNATURAS!$B$7:$B$27,nASIG)&gt;0)*1),"")))</f>
        <v/>
      </c>
      <c r="AF457" t="str">
        <f>IF(AE457="","",IF(AE457="[FÓRMULA MANUAL]","",IFERROR(AVERAGEIFS(nNOTA,nNIA,AE457,nCUENTA,1,nASIG,"Análisis"),"")))</f>
        <v/>
      </c>
      <c r="AG457" t="str">
        <f>IF(AE457="","",IF(AE457="[FÓRMULA MANUAL]","",IFERROR(AVERAGEIFS(nNOTA,nNIA,AE457,nCUENTA,1,nASIG,"Orquesta/Banda/Conjunto"),"")))</f>
        <v/>
      </c>
      <c r="AH457" t="str">
        <f>IF(AE457="","",IF(AE457="[FÓRMULA MANUAL]","",IFERROR(AVERAGEIFS(nNOTA,nNIA,AE457,nCUENTA,1,nASIG,"Música de Cámara"),"")))</f>
        <v/>
      </c>
      <c r="AI457" t="str">
        <f>IF(AE457="","",IF(AE457="[FÓRMULA MANUAL]","",IFERROR(SUMPRODUCT((nNIA=AE457)*(nCUENTA=1)*(COUNTIF(CONFIG_ASIGNATURAS!$B$7:$B$27,nASIG)&gt;0)*(nNOTA))/SUMPRODUCT((nNIA=AE457)*(nCUENTA=1)*(COUNTIF(CONFIG_ASIGNATURAS!$B$7:$B$27,nASIG)&gt;0)*1),"")))</f>
        <v/>
      </c>
    </row>
    <row r="458" spans="2:35" x14ac:dyDescent="0.2">
      <c r="B458" t="str">
        <f>IF(A458="","",IF(A458="[FÓRMULA MANUAL]","",IFERROR(AVERAGEIFS(nNOTA,nNIA,A458,nCUENTA,1,nASIG,"Lenguaje Musical"),"")))</f>
        <v/>
      </c>
      <c r="C458" t="str">
        <f>IF(A458="","",IF(A458="[FÓRMULA MANUAL]","",IFERROR(AVERAGEIFS(nNOTA,nNIA,A458,nCUENTA,1,nASIG,"Orquesta/Banda/Conjunto"),"")))</f>
        <v/>
      </c>
      <c r="D458" t="str">
        <f>IF(A458="","",IF(A458="[FÓRMULA MANUAL]","",IFERROR(AVERAGEIFS(nNOTA,nNIA,A458,nCUENTA,1,nASIG,"Conjunto"),"")))</f>
        <v/>
      </c>
      <c r="E458" t="str">
        <f>IF(A458="","",IF(A458="[FÓRMULA MANUAL]","",IFERROR(SUMPRODUCT((nNIA=A458)*(nCUENTA=1)*(COUNTIF(CONFIG_ASIGNATURAS!$B$7:$B$27,nASIG)&gt;0)*(nNOTA))/SUMPRODUCT((nNIA=A458)*(nCUENTA=1)*(COUNTIF(CONFIG_ASIGNATURAS!$B$7:$B$27,nASIG)&gt;0)*1),"")))</f>
        <v/>
      </c>
      <c r="H458" t="str">
        <f>IF(G458="","",IF(G458="[FÓRMULA MANUAL]","",IFERROR(AVERAGEIFS(nNOTA,nNIA,G458,nCUENTA,1,nASIG,"Lenguaje Musical"),"")))</f>
        <v/>
      </c>
      <c r="I458" t="str">
        <f>IF(G458="","",IF(G458="[FÓRMULA MANUAL]","",IFERROR(AVERAGEIFS(nNOTA,nNIA,G458,nCUENTA,1,nASIG,"Orquesta/Banda/Conjunto"),"")))</f>
        <v/>
      </c>
      <c r="J458" t="str">
        <f>IF(G458="","",IF(G458="[FÓRMULA MANUAL]","",IFERROR(AVERAGEIFS(nNOTA,nNIA,G458,nCUENTA,1,nASIG,"Conjunto"),"")))</f>
        <v/>
      </c>
      <c r="K458" t="str">
        <f>IF(G458="","",IF(G458="[FÓRMULA MANUAL]","",IFERROR(SUMPRODUCT((nNIA=G458)*(nCUENTA=1)*(COUNTIF(CONFIG_ASIGNATURAS!$B$7:$B$27,nASIG)&gt;0)*(nNOTA))/SUMPRODUCT((nNIA=G458)*(nCUENTA=1)*(COUNTIF(CONFIG_ASIGNATURAS!$B$7:$B$27,nASIG)&gt;0)*1),"")))</f>
        <v/>
      </c>
      <c r="N458" t="str">
        <f>IF(M458="","",IF(M458="[FÓRMULA MANUAL]","",IFERROR(AVERAGEIFS(nNOTA,nNIA,M458,nCUENTA,1,nASIG,"Armonía"),"")))</f>
        <v/>
      </c>
      <c r="O458" t="str">
        <f>IF(M458="","",IF(M458="[FÓRMULA MANUAL]","",IFERROR(AVERAGEIFS(nNOTA,nNIA,M458,nCUENTA,1,nASIG,"Orquesta/Banda/Conjunto"),"")))</f>
        <v/>
      </c>
      <c r="P458" t="str">
        <f>IF(M458="","",IF(M458="[FÓRMULA MANUAL]","",IFERROR(AVERAGEIFS(nNOTA,nNIA,M458,nCUENTA,1,nASIG,"Música de Cámara"),"")))</f>
        <v/>
      </c>
      <c r="Q458" t="str">
        <f>IF(M458="","",IF(M458="[FÓRMULA MANUAL]","",IFERROR(SUMPRODUCT((nNIA=M458)*(nCUENTA=1)*(COUNTIF(CONFIG_ASIGNATURAS!$B$7:$B$27,nASIG)&gt;0)*(nNOTA))/SUMPRODUCT((nNIA=M458)*(nCUENTA=1)*(COUNTIF(CONFIG_ASIGNATURAS!$B$7:$B$27,nASIG)&gt;0)*1),"")))</f>
        <v/>
      </c>
      <c r="T458" t="str">
        <f>IF(S458="","",IF(S458="[FÓRMULA MANUAL]","",IFERROR(AVERAGEIFS(nNOTA,nNIA,S458,nCUENTA,1,nASIG,"Armonía"),"")))</f>
        <v/>
      </c>
      <c r="U458" t="str">
        <f>IF(S458="","",IF(S458="[FÓRMULA MANUAL]","",IFERROR(AVERAGEIFS(nNOTA,nNIA,S458,nCUENTA,1,nASIG,"Orquesta/Banda/Conjunto"),"")))</f>
        <v/>
      </c>
      <c r="V458" t="str">
        <f>IF(S458="","",IF(S458="[FÓRMULA MANUAL]","",IFERROR(AVERAGEIFS(nNOTA,nNIA,S458,nCUENTA,1,nASIG,"Música de Cámara"),"")))</f>
        <v/>
      </c>
      <c r="W458" t="str">
        <f>IF(S458="","",IF(S458="[FÓRMULA MANUAL]","",IFERROR(SUMPRODUCT((nNIA=S458)*(nCUENTA=1)*(COUNTIF(CONFIG_ASIGNATURAS!$B$7:$B$27,nASIG)&gt;0)*(nNOTA))/SUMPRODUCT((nNIA=S458)*(nCUENTA=1)*(COUNTIF(CONFIG_ASIGNATURAS!$B$7:$B$27,nASIG)&gt;0)*1),"")))</f>
        <v/>
      </c>
      <c r="Z458" t="str">
        <f>IF(Y458="","",IF(Y458="[FÓRMULA MANUAL]","",IFERROR(AVERAGEIFS(nNOTA,nNIA,Y458,nCUENTA,1,nASIG,"Análisis"),"")))</f>
        <v/>
      </c>
      <c r="AA458" t="str">
        <f>IF(Y458="","",IF(Y458="[FÓRMULA MANUAL]","",IFERROR(AVERAGEIFS(nNOTA,nNIA,Y458,nCUENTA,1,nASIG,"Orquesta/Banda/Conjunto"),"")))</f>
        <v/>
      </c>
      <c r="AB458" t="str">
        <f>IF(Y458="","",IF(Y458="[FÓRMULA MANUAL]","",IFERROR(AVERAGEIFS(nNOTA,nNIA,Y458,nCUENTA,1,nASIG,"Música de Cámara"),"")))</f>
        <v/>
      </c>
      <c r="AC458" t="str">
        <f>IF(Y458="","",IF(Y458="[FÓRMULA MANUAL]","",IFERROR(SUMPRODUCT((nNIA=Y458)*(nCUENTA=1)*(COUNTIF(CONFIG_ASIGNATURAS!$B$7:$B$27,nASIG)&gt;0)*(nNOTA))/SUMPRODUCT((nNIA=Y458)*(nCUENTA=1)*(COUNTIF(CONFIG_ASIGNATURAS!$B$7:$B$27,nASIG)&gt;0)*1),"")))</f>
        <v/>
      </c>
      <c r="AF458" t="str">
        <f>IF(AE458="","",IF(AE458="[FÓRMULA MANUAL]","",IFERROR(AVERAGEIFS(nNOTA,nNIA,AE458,nCUENTA,1,nASIG,"Análisis"),"")))</f>
        <v/>
      </c>
      <c r="AG458" t="str">
        <f>IF(AE458="","",IF(AE458="[FÓRMULA MANUAL]","",IFERROR(AVERAGEIFS(nNOTA,nNIA,AE458,nCUENTA,1,nASIG,"Orquesta/Banda/Conjunto"),"")))</f>
        <v/>
      </c>
      <c r="AH458" t="str">
        <f>IF(AE458="","",IF(AE458="[FÓRMULA MANUAL]","",IFERROR(AVERAGEIFS(nNOTA,nNIA,AE458,nCUENTA,1,nASIG,"Música de Cámara"),"")))</f>
        <v/>
      </c>
      <c r="AI458" t="str">
        <f>IF(AE458="","",IF(AE458="[FÓRMULA MANUAL]","",IFERROR(SUMPRODUCT((nNIA=AE458)*(nCUENTA=1)*(COUNTIF(CONFIG_ASIGNATURAS!$B$7:$B$27,nASIG)&gt;0)*(nNOTA))/SUMPRODUCT((nNIA=AE458)*(nCUENTA=1)*(COUNTIF(CONFIG_ASIGNATURAS!$B$7:$B$27,nASIG)&gt;0)*1),"")))</f>
        <v/>
      </c>
    </row>
    <row r="459" spans="2:35" x14ac:dyDescent="0.2">
      <c r="B459" t="str">
        <f>IF(A459="","",IF(A459="[FÓRMULA MANUAL]","",IFERROR(AVERAGEIFS(nNOTA,nNIA,A459,nCUENTA,1,nASIG,"Lenguaje Musical"),"")))</f>
        <v/>
      </c>
      <c r="C459" t="str">
        <f>IF(A459="","",IF(A459="[FÓRMULA MANUAL]","",IFERROR(AVERAGEIFS(nNOTA,nNIA,A459,nCUENTA,1,nASIG,"Orquesta/Banda/Conjunto"),"")))</f>
        <v/>
      </c>
      <c r="D459" t="str">
        <f>IF(A459="","",IF(A459="[FÓRMULA MANUAL]","",IFERROR(AVERAGEIFS(nNOTA,nNIA,A459,nCUENTA,1,nASIG,"Conjunto"),"")))</f>
        <v/>
      </c>
      <c r="E459" t="str">
        <f>IF(A459="","",IF(A459="[FÓRMULA MANUAL]","",IFERROR(SUMPRODUCT((nNIA=A459)*(nCUENTA=1)*(COUNTIF(CONFIG_ASIGNATURAS!$B$7:$B$27,nASIG)&gt;0)*(nNOTA))/SUMPRODUCT((nNIA=A459)*(nCUENTA=1)*(COUNTIF(CONFIG_ASIGNATURAS!$B$7:$B$27,nASIG)&gt;0)*1),"")))</f>
        <v/>
      </c>
      <c r="H459" t="str">
        <f>IF(G459="","",IF(G459="[FÓRMULA MANUAL]","",IFERROR(AVERAGEIFS(nNOTA,nNIA,G459,nCUENTA,1,nASIG,"Lenguaje Musical"),"")))</f>
        <v/>
      </c>
      <c r="I459" t="str">
        <f>IF(G459="","",IF(G459="[FÓRMULA MANUAL]","",IFERROR(AVERAGEIFS(nNOTA,nNIA,G459,nCUENTA,1,nASIG,"Orquesta/Banda/Conjunto"),"")))</f>
        <v/>
      </c>
      <c r="J459" t="str">
        <f>IF(G459="","",IF(G459="[FÓRMULA MANUAL]","",IFERROR(AVERAGEIFS(nNOTA,nNIA,G459,nCUENTA,1,nASIG,"Conjunto"),"")))</f>
        <v/>
      </c>
      <c r="K459" t="str">
        <f>IF(G459="","",IF(G459="[FÓRMULA MANUAL]","",IFERROR(SUMPRODUCT((nNIA=G459)*(nCUENTA=1)*(COUNTIF(CONFIG_ASIGNATURAS!$B$7:$B$27,nASIG)&gt;0)*(nNOTA))/SUMPRODUCT((nNIA=G459)*(nCUENTA=1)*(COUNTIF(CONFIG_ASIGNATURAS!$B$7:$B$27,nASIG)&gt;0)*1),"")))</f>
        <v/>
      </c>
      <c r="N459" t="str">
        <f>IF(M459="","",IF(M459="[FÓRMULA MANUAL]","",IFERROR(AVERAGEIFS(nNOTA,nNIA,M459,nCUENTA,1,nASIG,"Armonía"),"")))</f>
        <v/>
      </c>
      <c r="O459" t="str">
        <f>IF(M459="","",IF(M459="[FÓRMULA MANUAL]","",IFERROR(AVERAGEIFS(nNOTA,nNIA,M459,nCUENTA,1,nASIG,"Orquesta/Banda/Conjunto"),"")))</f>
        <v/>
      </c>
      <c r="P459" t="str">
        <f>IF(M459="","",IF(M459="[FÓRMULA MANUAL]","",IFERROR(AVERAGEIFS(nNOTA,nNIA,M459,nCUENTA,1,nASIG,"Música de Cámara"),"")))</f>
        <v/>
      </c>
      <c r="Q459" t="str">
        <f>IF(M459="","",IF(M459="[FÓRMULA MANUAL]","",IFERROR(SUMPRODUCT((nNIA=M459)*(nCUENTA=1)*(COUNTIF(CONFIG_ASIGNATURAS!$B$7:$B$27,nASIG)&gt;0)*(nNOTA))/SUMPRODUCT((nNIA=M459)*(nCUENTA=1)*(COUNTIF(CONFIG_ASIGNATURAS!$B$7:$B$27,nASIG)&gt;0)*1),"")))</f>
        <v/>
      </c>
      <c r="T459" t="str">
        <f>IF(S459="","",IF(S459="[FÓRMULA MANUAL]","",IFERROR(AVERAGEIFS(nNOTA,nNIA,S459,nCUENTA,1,nASIG,"Armonía"),"")))</f>
        <v/>
      </c>
      <c r="U459" t="str">
        <f>IF(S459="","",IF(S459="[FÓRMULA MANUAL]","",IFERROR(AVERAGEIFS(nNOTA,nNIA,S459,nCUENTA,1,nASIG,"Orquesta/Banda/Conjunto"),"")))</f>
        <v/>
      </c>
      <c r="V459" t="str">
        <f>IF(S459="","",IF(S459="[FÓRMULA MANUAL]","",IFERROR(AVERAGEIFS(nNOTA,nNIA,S459,nCUENTA,1,nASIG,"Música de Cámara"),"")))</f>
        <v/>
      </c>
      <c r="W459" t="str">
        <f>IF(S459="","",IF(S459="[FÓRMULA MANUAL]","",IFERROR(SUMPRODUCT((nNIA=S459)*(nCUENTA=1)*(COUNTIF(CONFIG_ASIGNATURAS!$B$7:$B$27,nASIG)&gt;0)*(nNOTA))/SUMPRODUCT((nNIA=S459)*(nCUENTA=1)*(COUNTIF(CONFIG_ASIGNATURAS!$B$7:$B$27,nASIG)&gt;0)*1),"")))</f>
        <v/>
      </c>
      <c r="Z459" t="str">
        <f>IF(Y459="","",IF(Y459="[FÓRMULA MANUAL]","",IFERROR(AVERAGEIFS(nNOTA,nNIA,Y459,nCUENTA,1,nASIG,"Análisis"),"")))</f>
        <v/>
      </c>
      <c r="AA459" t="str">
        <f>IF(Y459="","",IF(Y459="[FÓRMULA MANUAL]","",IFERROR(AVERAGEIFS(nNOTA,nNIA,Y459,nCUENTA,1,nASIG,"Orquesta/Banda/Conjunto"),"")))</f>
        <v/>
      </c>
      <c r="AB459" t="str">
        <f>IF(Y459="","",IF(Y459="[FÓRMULA MANUAL]","",IFERROR(AVERAGEIFS(nNOTA,nNIA,Y459,nCUENTA,1,nASIG,"Música de Cámara"),"")))</f>
        <v/>
      </c>
      <c r="AC459" t="str">
        <f>IF(Y459="","",IF(Y459="[FÓRMULA MANUAL]","",IFERROR(SUMPRODUCT((nNIA=Y459)*(nCUENTA=1)*(COUNTIF(CONFIG_ASIGNATURAS!$B$7:$B$27,nASIG)&gt;0)*(nNOTA))/SUMPRODUCT((nNIA=Y459)*(nCUENTA=1)*(COUNTIF(CONFIG_ASIGNATURAS!$B$7:$B$27,nASIG)&gt;0)*1),"")))</f>
        <v/>
      </c>
      <c r="AF459" t="str">
        <f>IF(AE459="","",IF(AE459="[FÓRMULA MANUAL]","",IFERROR(AVERAGEIFS(nNOTA,nNIA,AE459,nCUENTA,1,nASIG,"Análisis"),"")))</f>
        <v/>
      </c>
      <c r="AG459" t="str">
        <f>IF(AE459="","",IF(AE459="[FÓRMULA MANUAL]","",IFERROR(AVERAGEIFS(nNOTA,nNIA,AE459,nCUENTA,1,nASIG,"Orquesta/Banda/Conjunto"),"")))</f>
        <v/>
      </c>
      <c r="AH459" t="str">
        <f>IF(AE459="","",IF(AE459="[FÓRMULA MANUAL]","",IFERROR(AVERAGEIFS(nNOTA,nNIA,AE459,nCUENTA,1,nASIG,"Música de Cámara"),"")))</f>
        <v/>
      </c>
      <c r="AI459" t="str">
        <f>IF(AE459="","",IF(AE459="[FÓRMULA MANUAL]","",IFERROR(SUMPRODUCT((nNIA=AE459)*(nCUENTA=1)*(COUNTIF(CONFIG_ASIGNATURAS!$B$7:$B$27,nASIG)&gt;0)*(nNOTA))/SUMPRODUCT((nNIA=AE459)*(nCUENTA=1)*(COUNTIF(CONFIG_ASIGNATURAS!$B$7:$B$27,nASIG)&gt;0)*1),"")))</f>
        <v/>
      </c>
    </row>
    <row r="460" spans="2:35" x14ac:dyDescent="0.2">
      <c r="B460" t="str">
        <f>IF(A460="","",IF(A460="[FÓRMULA MANUAL]","",IFERROR(AVERAGEIFS(nNOTA,nNIA,A460,nCUENTA,1,nASIG,"Lenguaje Musical"),"")))</f>
        <v/>
      </c>
      <c r="C460" t="str">
        <f>IF(A460="","",IF(A460="[FÓRMULA MANUAL]","",IFERROR(AVERAGEIFS(nNOTA,nNIA,A460,nCUENTA,1,nASIG,"Orquesta/Banda/Conjunto"),"")))</f>
        <v/>
      </c>
      <c r="D460" t="str">
        <f>IF(A460="","",IF(A460="[FÓRMULA MANUAL]","",IFERROR(AVERAGEIFS(nNOTA,nNIA,A460,nCUENTA,1,nASIG,"Conjunto"),"")))</f>
        <v/>
      </c>
      <c r="E460" t="str">
        <f>IF(A460="","",IF(A460="[FÓRMULA MANUAL]","",IFERROR(SUMPRODUCT((nNIA=A460)*(nCUENTA=1)*(COUNTIF(CONFIG_ASIGNATURAS!$B$7:$B$27,nASIG)&gt;0)*(nNOTA))/SUMPRODUCT((nNIA=A460)*(nCUENTA=1)*(COUNTIF(CONFIG_ASIGNATURAS!$B$7:$B$27,nASIG)&gt;0)*1),"")))</f>
        <v/>
      </c>
      <c r="H460" t="str">
        <f>IF(G460="","",IF(G460="[FÓRMULA MANUAL]","",IFERROR(AVERAGEIFS(nNOTA,nNIA,G460,nCUENTA,1,nASIG,"Lenguaje Musical"),"")))</f>
        <v/>
      </c>
      <c r="I460" t="str">
        <f>IF(G460="","",IF(G460="[FÓRMULA MANUAL]","",IFERROR(AVERAGEIFS(nNOTA,nNIA,G460,nCUENTA,1,nASIG,"Orquesta/Banda/Conjunto"),"")))</f>
        <v/>
      </c>
      <c r="J460" t="str">
        <f>IF(G460="","",IF(G460="[FÓRMULA MANUAL]","",IFERROR(AVERAGEIFS(nNOTA,nNIA,G460,nCUENTA,1,nASIG,"Conjunto"),"")))</f>
        <v/>
      </c>
      <c r="K460" t="str">
        <f>IF(G460="","",IF(G460="[FÓRMULA MANUAL]","",IFERROR(SUMPRODUCT((nNIA=G460)*(nCUENTA=1)*(COUNTIF(CONFIG_ASIGNATURAS!$B$7:$B$27,nASIG)&gt;0)*(nNOTA))/SUMPRODUCT((nNIA=G460)*(nCUENTA=1)*(COUNTIF(CONFIG_ASIGNATURAS!$B$7:$B$27,nASIG)&gt;0)*1),"")))</f>
        <v/>
      </c>
      <c r="N460" t="str">
        <f>IF(M460="","",IF(M460="[FÓRMULA MANUAL]","",IFERROR(AVERAGEIFS(nNOTA,nNIA,M460,nCUENTA,1,nASIG,"Armonía"),"")))</f>
        <v/>
      </c>
      <c r="O460" t="str">
        <f>IF(M460="","",IF(M460="[FÓRMULA MANUAL]","",IFERROR(AVERAGEIFS(nNOTA,nNIA,M460,nCUENTA,1,nASIG,"Orquesta/Banda/Conjunto"),"")))</f>
        <v/>
      </c>
      <c r="P460" t="str">
        <f>IF(M460="","",IF(M460="[FÓRMULA MANUAL]","",IFERROR(AVERAGEIFS(nNOTA,nNIA,M460,nCUENTA,1,nASIG,"Música de Cámara"),"")))</f>
        <v/>
      </c>
      <c r="Q460" t="str">
        <f>IF(M460="","",IF(M460="[FÓRMULA MANUAL]","",IFERROR(SUMPRODUCT((nNIA=M460)*(nCUENTA=1)*(COUNTIF(CONFIG_ASIGNATURAS!$B$7:$B$27,nASIG)&gt;0)*(nNOTA))/SUMPRODUCT((nNIA=M460)*(nCUENTA=1)*(COUNTIF(CONFIG_ASIGNATURAS!$B$7:$B$27,nASIG)&gt;0)*1),"")))</f>
        <v/>
      </c>
      <c r="T460" t="str">
        <f>IF(S460="","",IF(S460="[FÓRMULA MANUAL]","",IFERROR(AVERAGEIFS(nNOTA,nNIA,S460,nCUENTA,1,nASIG,"Armonía"),"")))</f>
        <v/>
      </c>
      <c r="U460" t="str">
        <f>IF(S460="","",IF(S460="[FÓRMULA MANUAL]","",IFERROR(AVERAGEIFS(nNOTA,nNIA,S460,nCUENTA,1,nASIG,"Orquesta/Banda/Conjunto"),"")))</f>
        <v/>
      </c>
      <c r="V460" t="str">
        <f>IF(S460="","",IF(S460="[FÓRMULA MANUAL]","",IFERROR(AVERAGEIFS(nNOTA,nNIA,S460,nCUENTA,1,nASIG,"Música de Cámara"),"")))</f>
        <v/>
      </c>
      <c r="W460" t="str">
        <f>IF(S460="","",IF(S460="[FÓRMULA MANUAL]","",IFERROR(SUMPRODUCT((nNIA=S460)*(nCUENTA=1)*(COUNTIF(CONFIG_ASIGNATURAS!$B$7:$B$27,nASIG)&gt;0)*(nNOTA))/SUMPRODUCT((nNIA=S460)*(nCUENTA=1)*(COUNTIF(CONFIG_ASIGNATURAS!$B$7:$B$27,nASIG)&gt;0)*1),"")))</f>
        <v/>
      </c>
      <c r="Z460" t="str">
        <f>IF(Y460="","",IF(Y460="[FÓRMULA MANUAL]","",IFERROR(AVERAGEIFS(nNOTA,nNIA,Y460,nCUENTA,1,nASIG,"Análisis"),"")))</f>
        <v/>
      </c>
      <c r="AA460" t="str">
        <f>IF(Y460="","",IF(Y460="[FÓRMULA MANUAL]","",IFERROR(AVERAGEIFS(nNOTA,nNIA,Y460,nCUENTA,1,nASIG,"Orquesta/Banda/Conjunto"),"")))</f>
        <v/>
      </c>
      <c r="AB460" t="str">
        <f>IF(Y460="","",IF(Y460="[FÓRMULA MANUAL]","",IFERROR(AVERAGEIFS(nNOTA,nNIA,Y460,nCUENTA,1,nASIG,"Música de Cámara"),"")))</f>
        <v/>
      </c>
      <c r="AC460" t="str">
        <f>IF(Y460="","",IF(Y460="[FÓRMULA MANUAL]","",IFERROR(SUMPRODUCT((nNIA=Y460)*(nCUENTA=1)*(COUNTIF(CONFIG_ASIGNATURAS!$B$7:$B$27,nASIG)&gt;0)*(nNOTA))/SUMPRODUCT((nNIA=Y460)*(nCUENTA=1)*(COUNTIF(CONFIG_ASIGNATURAS!$B$7:$B$27,nASIG)&gt;0)*1),"")))</f>
        <v/>
      </c>
      <c r="AF460" t="str">
        <f>IF(AE460="","",IF(AE460="[FÓRMULA MANUAL]","",IFERROR(AVERAGEIFS(nNOTA,nNIA,AE460,nCUENTA,1,nASIG,"Análisis"),"")))</f>
        <v/>
      </c>
      <c r="AG460" t="str">
        <f>IF(AE460="","",IF(AE460="[FÓRMULA MANUAL]","",IFERROR(AVERAGEIFS(nNOTA,nNIA,AE460,nCUENTA,1,nASIG,"Orquesta/Banda/Conjunto"),"")))</f>
        <v/>
      </c>
      <c r="AH460" t="str">
        <f>IF(AE460="","",IF(AE460="[FÓRMULA MANUAL]","",IFERROR(AVERAGEIFS(nNOTA,nNIA,AE460,nCUENTA,1,nASIG,"Música de Cámara"),"")))</f>
        <v/>
      </c>
      <c r="AI460" t="str">
        <f>IF(AE460="","",IF(AE460="[FÓRMULA MANUAL]","",IFERROR(SUMPRODUCT((nNIA=AE460)*(nCUENTA=1)*(COUNTIF(CONFIG_ASIGNATURAS!$B$7:$B$27,nASIG)&gt;0)*(nNOTA))/SUMPRODUCT((nNIA=AE460)*(nCUENTA=1)*(COUNTIF(CONFIG_ASIGNATURAS!$B$7:$B$27,nASIG)&gt;0)*1),"")))</f>
        <v/>
      </c>
    </row>
    <row r="461" spans="2:35" x14ac:dyDescent="0.2">
      <c r="B461" t="str">
        <f>IF(A461="","",IF(A461="[FÓRMULA MANUAL]","",IFERROR(AVERAGEIFS(nNOTA,nNIA,A461,nCUENTA,1,nASIG,"Lenguaje Musical"),"")))</f>
        <v/>
      </c>
      <c r="C461" t="str">
        <f>IF(A461="","",IF(A461="[FÓRMULA MANUAL]","",IFERROR(AVERAGEIFS(nNOTA,nNIA,A461,nCUENTA,1,nASIG,"Orquesta/Banda/Conjunto"),"")))</f>
        <v/>
      </c>
      <c r="D461" t="str">
        <f>IF(A461="","",IF(A461="[FÓRMULA MANUAL]","",IFERROR(AVERAGEIFS(nNOTA,nNIA,A461,nCUENTA,1,nASIG,"Conjunto"),"")))</f>
        <v/>
      </c>
      <c r="E461" t="str">
        <f>IF(A461="","",IF(A461="[FÓRMULA MANUAL]","",IFERROR(SUMPRODUCT((nNIA=A461)*(nCUENTA=1)*(COUNTIF(CONFIG_ASIGNATURAS!$B$7:$B$27,nASIG)&gt;0)*(nNOTA))/SUMPRODUCT((nNIA=A461)*(nCUENTA=1)*(COUNTIF(CONFIG_ASIGNATURAS!$B$7:$B$27,nASIG)&gt;0)*1),"")))</f>
        <v/>
      </c>
      <c r="H461" t="str">
        <f>IF(G461="","",IF(G461="[FÓRMULA MANUAL]","",IFERROR(AVERAGEIFS(nNOTA,nNIA,G461,nCUENTA,1,nASIG,"Lenguaje Musical"),"")))</f>
        <v/>
      </c>
      <c r="I461" t="str">
        <f>IF(G461="","",IF(G461="[FÓRMULA MANUAL]","",IFERROR(AVERAGEIFS(nNOTA,nNIA,G461,nCUENTA,1,nASIG,"Orquesta/Banda/Conjunto"),"")))</f>
        <v/>
      </c>
      <c r="J461" t="str">
        <f>IF(G461="","",IF(G461="[FÓRMULA MANUAL]","",IFERROR(AVERAGEIFS(nNOTA,nNIA,G461,nCUENTA,1,nASIG,"Conjunto"),"")))</f>
        <v/>
      </c>
      <c r="K461" t="str">
        <f>IF(G461="","",IF(G461="[FÓRMULA MANUAL]","",IFERROR(SUMPRODUCT((nNIA=G461)*(nCUENTA=1)*(COUNTIF(CONFIG_ASIGNATURAS!$B$7:$B$27,nASIG)&gt;0)*(nNOTA))/SUMPRODUCT((nNIA=G461)*(nCUENTA=1)*(COUNTIF(CONFIG_ASIGNATURAS!$B$7:$B$27,nASIG)&gt;0)*1),"")))</f>
        <v/>
      </c>
      <c r="N461" t="str">
        <f>IF(M461="","",IF(M461="[FÓRMULA MANUAL]","",IFERROR(AVERAGEIFS(nNOTA,nNIA,M461,nCUENTA,1,nASIG,"Armonía"),"")))</f>
        <v/>
      </c>
      <c r="O461" t="str">
        <f>IF(M461="","",IF(M461="[FÓRMULA MANUAL]","",IFERROR(AVERAGEIFS(nNOTA,nNIA,M461,nCUENTA,1,nASIG,"Orquesta/Banda/Conjunto"),"")))</f>
        <v/>
      </c>
      <c r="P461" t="str">
        <f>IF(M461="","",IF(M461="[FÓRMULA MANUAL]","",IFERROR(AVERAGEIFS(nNOTA,nNIA,M461,nCUENTA,1,nASIG,"Música de Cámara"),"")))</f>
        <v/>
      </c>
      <c r="Q461" t="str">
        <f>IF(M461="","",IF(M461="[FÓRMULA MANUAL]","",IFERROR(SUMPRODUCT((nNIA=M461)*(nCUENTA=1)*(COUNTIF(CONFIG_ASIGNATURAS!$B$7:$B$27,nASIG)&gt;0)*(nNOTA))/SUMPRODUCT((nNIA=M461)*(nCUENTA=1)*(COUNTIF(CONFIG_ASIGNATURAS!$B$7:$B$27,nASIG)&gt;0)*1),"")))</f>
        <v/>
      </c>
      <c r="T461" t="str">
        <f>IF(S461="","",IF(S461="[FÓRMULA MANUAL]","",IFERROR(AVERAGEIFS(nNOTA,nNIA,S461,nCUENTA,1,nASIG,"Armonía"),"")))</f>
        <v/>
      </c>
      <c r="U461" t="str">
        <f>IF(S461="","",IF(S461="[FÓRMULA MANUAL]","",IFERROR(AVERAGEIFS(nNOTA,nNIA,S461,nCUENTA,1,nASIG,"Orquesta/Banda/Conjunto"),"")))</f>
        <v/>
      </c>
      <c r="V461" t="str">
        <f>IF(S461="","",IF(S461="[FÓRMULA MANUAL]","",IFERROR(AVERAGEIFS(nNOTA,nNIA,S461,nCUENTA,1,nASIG,"Música de Cámara"),"")))</f>
        <v/>
      </c>
      <c r="W461" t="str">
        <f>IF(S461="","",IF(S461="[FÓRMULA MANUAL]","",IFERROR(SUMPRODUCT((nNIA=S461)*(nCUENTA=1)*(COUNTIF(CONFIG_ASIGNATURAS!$B$7:$B$27,nASIG)&gt;0)*(nNOTA))/SUMPRODUCT((nNIA=S461)*(nCUENTA=1)*(COUNTIF(CONFIG_ASIGNATURAS!$B$7:$B$27,nASIG)&gt;0)*1),"")))</f>
        <v/>
      </c>
      <c r="Z461" t="str">
        <f>IF(Y461="","",IF(Y461="[FÓRMULA MANUAL]","",IFERROR(AVERAGEIFS(nNOTA,nNIA,Y461,nCUENTA,1,nASIG,"Análisis"),"")))</f>
        <v/>
      </c>
      <c r="AA461" t="str">
        <f>IF(Y461="","",IF(Y461="[FÓRMULA MANUAL]","",IFERROR(AVERAGEIFS(nNOTA,nNIA,Y461,nCUENTA,1,nASIG,"Orquesta/Banda/Conjunto"),"")))</f>
        <v/>
      </c>
      <c r="AB461" t="str">
        <f>IF(Y461="","",IF(Y461="[FÓRMULA MANUAL]","",IFERROR(AVERAGEIFS(nNOTA,nNIA,Y461,nCUENTA,1,nASIG,"Música de Cámara"),"")))</f>
        <v/>
      </c>
      <c r="AC461" t="str">
        <f>IF(Y461="","",IF(Y461="[FÓRMULA MANUAL]","",IFERROR(SUMPRODUCT((nNIA=Y461)*(nCUENTA=1)*(COUNTIF(CONFIG_ASIGNATURAS!$B$7:$B$27,nASIG)&gt;0)*(nNOTA))/SUMPRODUCT((nNIA=Y461)*(nCUENTA=1)*(COUNTIF(CONFIG_ASIGNATURAS!$B$7:$B$27,nASIG)&gt;0)*1),"")))</f>
        <v/>
      </c>
      <c r="AF461" t="str">
        <f>IF(AE461="","",IF(AE461="[FÓRMULA MANUAL]","",IFERROR(AVERAGEIFS(nNOTA,nNIA,AE461,nCUENTA,1,nASIG,"Análisis"),"")))</f>
        <v/>
      </c>
      <c r="AG461" t="str">
        <f>IF(AE461="","",IF(AE461="[FÓRMULA MANUAL]","",IFERROR(AVERAGEIFS(nNOTA,nNIA,AE461,nCUENTA,1,nASIG,"Orquesta/Banda/Conjunto"),"")))</f>
        <v/>
      </c>
      <c r="AH461" t="str">
        <f>IF(AE461="","",IF(AE461="[FÓRMULA MANUAL]","",IFERROR(AVERAGEIFS(nNOTA,nNIA,AE461,nCUENTA,1,nASIG,"Música de Cámara"),"")))</f>
        <v/>
      </c>
      <c r="AI461" t="str">
        <f>IF(AE461="","",IF(AE461="[FÓRMULA MANUAL]","",IFERROR(SUMPRODUCT((nNIA=AE461)*(nCUENTA=1)*(COUNTIF(CONFIG_ASIGNATURAS!$B$7:$B$27,nASIG)&gt;0)*(nNOTA))/SUMPRODUCT((nNIA=AE461)*(nCUENTA=1)*(COUNTIF(CONFIG_ASIGNATURAS!$B$7:$B$27,nASIG)&gt;0)*1),"")))</f>
        <v/>
      </c>
    </row>
    <row r="462" spans="2:35" x14ac:dyDescent="0.2">
      <c r="B462" t="str">
        <f>IF(A462="","",IF(A462="[FÓRMULA MANUAL]","",IFERROR(AVERAGEIFS(nNOTA,nNIA,A462,nCUENTA,1,nASIG,"Lenguaje Musical"),"")))</f>
        <v/>
      </c>
      <c r="C462" t="str">
        <f>IF(A462="","",IF(A462="[FÓRMULA MANUAL]","",IFERROR(AVERAGEIFS(nNOTA,nNIA,A462,nCUENTA,1,nASIG,"Orquesta/Banda/Conjunto"),"")))</f>
        <v/>
      </c>
      <c r="D462" t="str">
        <f>IF(A462="","",IF(A462="[FÓRMULA MANUAL]","",IFERROR(AVERAGEIFS(nNOTA,nNIA,A462,nCUENTA,1,nASIG,"Conjunto"),"")))</f>
        <v/>
      </c>
      <c r="E462" t="str">
        <f>IF(A462="","",IF(A462="[FÓRMULA MANUAL]","",IFERROR(SUMPRODUCT((nNIA=A462)*(nCUENTA=1)*(COUNTIF(CONFIG_ASIGNATURAS!$B$7:$B$27,nASIG)&gt;0)*(nNOTA))/SUMPRODUCT((nNIA=A462)*(nCUENTA=1)*(COUNTIF(CONFIG_ASIGNATURAS!$B$7:$B$27,nASIG)&gt;0)*1),"")))</f>
        <v/>
      </c>
      <c r="H462" t="str">
        <f>IF(G462="","",IF(G462="[FÓRMULA MANUAL]","",IFERROR(AVERAGEIFS(nNOTA,nNIA,G462,nCUENTA,1,nASIG,"Lenguaje Musical"),"")))</f>
        <v/>
      </c>
      <c r="I462" t="str">
        <f>IF(G462="","",IF(G462="[FÓRMULA MANUAL]","",IFERROR(AVERAGEIFS(nNOTA,nNIA,G462,nCUENTA,1,nASIG,"Orquesta/Banda/Conjunto"),"")))</f>
        <v/>
      </c>
      <c r="J462" t="str">
        <f>IF(G462="","",IF(G462="[FÓRMULA MANUAL]","",IFERROR(AVERAGEIFS(nNOTA,nNIA,G462,nCUENTA,1,nASIG,"Conjunto"),"")))</f>
        <v/>
      </c>
      <c r="K462" t="str">
        <f>IF(G462="","",IF(G462="[FÓRMULA MANUAL]","",IFERROR(SUMPRODUCT((nNIA=G462)*(nCUENTA=1)*(COUNTIF(CONFIG_ASIGNATURAS!$B$7:$B$27,nASIG)&gt;0)*(nNOTA))/SUMPRODUCT((nNIA=G462)*(nCUENTA=1)*(COUNTIF(CONFIG_ASIGNATURAS!$B$7:$B$27,nASIG)&gt;0)*1),"")))</f>
        <v/>
      </c>
      <c r="N462" t="str">
        <f>IF(M462="","",IF(M462="[FÓRMULA MANUAL]","",IFERROR(AVERAGEIFS(nNOTA,nNIA,M462,nCUENTA,1,nASIG,"Armonía"),"")))</f>
        <v/>
      </c>
      <c r="O462" t="str">
        <f>IF(M462="","",IF(M462="[FÓRMULA MANUAL]","",IFERROR(AVERAGEIFS(nNOTA,nNIA,M462,nCUENTA,1,nASIG,"Orquesta/Banda/Conjunto"),"")))</f>
        <v/>
      </c>
      <c r="P462" t="str">
        <f>IF(M462="","",IF(M462="[FÓRMULA MANUAL]","",IFERROR(AVERAGEIFS(nNOTA,nNIA,M462,nCUENTA,1,nASIG,"Música de Cámara"),"")))</f>
        <v/>
      </c>
      <c r="Q462" t="str">
        <f>IF(M462="","",IF(M462="[FÓRMULA MANUAL]","",IFERROR(SUMPRODUCT((nNIA=M462)*(nCUENTA=1)*(COUNTIF(CONFIG_ASIGNATURAS!$B$7:$B$27,nASIG)&gt;0)*(nNOTA))/SUMPRODUCT((nNIA=M462)*(nCUENTA=1)*(COUNTIF(CONFIG_ASIGNATURAS!$B$7:$B$27,nASIG)&gt;0)*1),"")))</f>
        <v/>
      </c>
      <c r="T462" t="str">
        <f>IF(S462="","",IF(S462="[FÓRMULA MANUAL]","",IFERROR(AVERAGEIFS(nNOTA,nNIA,S462,nCUENTA,1,nASIG,"Armonía"),"")))</f>
        <v/>
      </c>
      <c r="U462" t="str">
        <f>IF(S462="","",IF(S462="[FÓRMULA MANUAL]","",IFERROR(AVERAGEIFS(nNOTA,nNIA,S462,nCUENTA,1,nASIG,"Orquesta/Banda/Conjunto"),"")))</f>
        <v/>
      </c>
      <c r="V462" t="str">
        <f>IF(S462="","",IF(S462="[FÓRMULA MANUAL]","",IFERROR(AVERAGEIFS(nNOTA,nNIA,S462,nCUENTA,1,nASIG,"Música de Cámara"),"")))</f>
        <v/>
      </c>
      <c r="W462" t="str">
        <f>IF(S462="","",IF(S462="[FÓRMULA MANUAL]","",IFERROR(SUMPRODUCT((nNIA=S462)*(nCUENTA=1)*(COUNTIF(CONFIG_ASIGNATURAS!$B$7:$B$27,nASIG)&gt;0)*(nNOTA))/SUMPRODUCT((nNIA=S462)*(nCUENTA=1)*(COUNTIF(CONFIG_ASIGNATURAS!$B$7:$B$27,nASIG)&gt;0)*1),"")))</f>
        <v/>
      </c>
      <c r="Z462" t="str">
        <f>IF(Y462="","",IF(Y462="[FÓRMULA MANUAL]","",IFERROR(AVERAGEIFS(nNOTA,nNIA,Y462,nCUENTA,1,nASIG,"Análisis"),"")))</f>
        <v/>
      </c>
      <c r="AA462" t="str">
        <f>IF(Y462="","",IF(Y462="[FÓRMULA MANUAL]","",IFERROR(AVERAGEIFS(nNOTA,nNIA,Y462,nCUENTA,1,nASIG,"Orquesta/Banda/Conjunto"),"")))</f>
        <v/>
      </c>
      <c r="AB462" t="str">
        <f>IF(Y462="","",IF(Y462="[FÓRMULA MANUAL]","",IFERROR(AVERAGEIFS(nNOTA,nNIA,Y462,nCUENTA,1,nASIG,"Música de Cámara"),"")))</f>
        <v/>
      </c>
      <c r="AC462" t="str">
        <f>IF(Y462="","",IF(Y462="[FÓRMULA MANUAL]","",IFERROR(SUMPRODUCT((nNIA=Y462)*(nCUENTA=1)*(COUNTIF(CONFIG_ASIGNATURAS!$B$7:$B$27,nASIG)&gt;0)*(nNOTA))/SUMPRODUCT((nNIA=Y462)*(nCUENTA=1)*(COUNTIF(CONFIG_ASIGNATURAS!$B$7:$B$27,nASIG)&gt;0)*1),"")))</f>
        <v/>
      </c>
      <c r="AF462" t="str">
        <f>IF(AE462="","",IF(AE462="[FÓRMULA MANUAL]","",IFERROR(AVERAGEIFS(nNOTA,nNIA,AE462,nCUENTA,1,nASIG,"Análisis"),"")))</f>
        <v/>
      </c>
      <c r="AG462" t="str">
        <f>IF(AE462="","",IF(AE462="[FÓRMULA MANUAL]","",IFERROR(AVERAGEIFS(nNOTA,nNIA,AE462,nCUENTA,1,nASIG,"Orquesta/Banda/Conjunto"),"")))</f>
        <v/>
      </c>
      <c r="AH462" t="str">
        <f>IF(AE462="","",IF(AE462="[FÓRMULA MANUAL]","",IFERROR(AVERAGEIFS(nNOTA,nNIA,AE462,nCUENTA,1,nASIG,"Música de Cámara"),"")))</f>
        <v/>
      </c>
      <c r="AI462" t="str">
        <f>IF(AE462="","",IF(AE462="[FÓRMULA MANUAL]","",IFERROR(SUMPRODUCT((nNIA=AE462)*(nCUENTA=1)*(COUNTIF(CONFIG_ASIGNATURAS!$B$7:$B$27,nASIG)&gt;0)*(nNOTA))/SUMPRODUCT((nNIA=AE462)*(nCUENTA=1)*(COUNTIF(CONFIG_ASIGNATURAS!$B$7:$B$27,nASIG)&gt;0)*1),"")))</f>
        <v/>
      </c>
    </row>
    <row r="463" spans="2:35" x14ac:dyDescent="0.2">
      <c r="B463" t="str">
        <f>IF(A463="","",IF(A463="[FÓRMULA MANUAL]","",IFERROR(AVERAGEIFS(nNOTA,nNIA,A463,nCUENTA,1,nASIG,"Lenguaje Musical"),"")))</f>
        <v/>
      </c>
      <c r="C463" t="str">
        <f>IF(A463="","",IF(A463="[FÓRMULA MANUAL]","",IFERROR(AVERAGEIFS(nNOTA,nNIA,A463,nCUENTA,1,nASIG,"Orquesta/Banda/Conjunto"),"")))</f>
        <v/>
      </c>
      <c r="D463" t="str">
        <f>IF(A463="","",IF(A463="[FÓRMULA MANUAL]","",IFERROR(AVERAGEIFS(nNOTA,nNIA,A463,nCUENTA,1,nASIG,"Conjunto"),"")))</f>
        <v/>
      </c>
      <c r="E463" t="str">
        <f>IF(A463="","",IF(A463="[FÓRMULA MANUAL]","",IFERROR(SUMPRODUCT((nNIA=A463)*(nCUENTA=1)*(COUNTIF(CONFIG_ASIGNATURAS!$B$7:$B$27,nASIG)&gt;0)*(nNOTA))/SUMPRODUCT((nNIA=A463)*(nCUENTA=1)*(COUNTIF(CONFIG_ASIGNATURAS!$B$7:$B$27,nASIG)&gt;0)*1),"")))</f>
        <v/>
      </c>
      <c r="H463" t="str">
        <f>IF(G463="","",IF(G463="[FÓRMULA MANUAL]","",IFERROR(AVERAGEIFS(nNOTA,nNIA,G463,nCUENTA,1,nASIG,"Lenguaje Musical"),"")))</f>
        <v/>
      </c>
      <c r="I463" t="str">
        <f>IF(G463="","",IF(G463="[FÓRMULA MANUAL]","",IFERROR(AVERAGEIFS(nNOTA,nNIA,G463,nCUENTA,1,nASIG,"Orquesta/Banda/Conjunto"),"")))</f>
        <v/>
      </c>
      <c r="J463" t="str">
        <f>IF(G463="","",IF(G463="[FÓRMULA MANUAL]","",IFERROR(AVERAGEIFS(nNOTA,nNIA,G463,nCUENTA,1,nASIG,"Conjunto"),"")))</f>
        <v/>
      </c>
      <c r="K463" t="str">
        <f>IF(G463="","",IF(G463="[FÓRMULA MANUAL]","",IFERROR(SUMPRODUCT((nNIA=G463)*(nCUENTA=1)*(COUNTIF(CONFIG_ASIGNATURAS!$B$7:$B$27,nASIG)&gt;0)*(nNOTA))/SUMPRODUCT((nNIA=G463)*(nCUENTA=1)*(COUNTIF(CONFIG_ASIGNATURAS!$B$7:$B$27,nASIG)&gt;0)*1),"")))</f>
        <v/>
      </c>
      <c r="N463" t="str">
        <f>IF(M463="","",IF(M463="[FÓRMULA MANUAL]","",IFERROR(AVERAGEIFS(nNOTA,nNIA,M463,nCUENTA,1,nASIG,"Armonía"),"")))</f>
        <v/>
      </c>
      <c r="O463" t="str">
        <f>IF(M463="","",IF(M463="[FÓRMULA MANUAL]","",IFERROR(AVERAGEIFS(nNOTA,nNIA,M463,nCUENTA,1,nASIG,"Orquesta/Banda/Conjunto"),"")))</f>
        <v/>
      </c>
      <c r="P463" t="str">
        <f>IF(M463="","",IF(M463="[FÓRMULA MANUAL]","",IFERROR(AVERAGEIFS(nNOTA,nNIA,M463,nCUENTA,1,nASIG,"Música de Cámara"),"")))</f>
        <v/>
      </c>
      <c r="Q463" t="str">
        <f>IF(M463="","",IF(M463="[FÓRMULA MANUAL]","",IFERROR(SUMPRODUCT((nNIA=M463)*(nCUENTA=1)*(COUNTIF(CONFIG_ASIGNATURAS!$B$7:$B$27,nASIG)&gt;0)*(nNOTA))/SUMPRODUCT((nNIA=M463)*(nCUENTA=1)*(COUNTIF(CONFIG_ASIGNATURAS!$B$7:$B$27,nASIG)&gt;0)*1),"")))</f>
        <v/>
      </c>
      <c r="T463" t="str">
        <f>IF(S463="","",IF(S463="[FÓRMULA MANUAL]","",IFERROR(AVERAGEIFS(nNOTA,nNIA,S463,nCUENTA,1,nASIG,"Armonía"),"")))</f>
        <v/>
      </c>
      <c r="U463" t="str">
        <f>IF(S463="","",IF(S463="[FÓRMULA MANUAL]","",IFERROR(AVERAGEIFS(nNOTA,nNIA,S463,nCUENTA,1,nASIG,"Orquesta/Banda/Conjunto"),"")))</f>
        <v/>
      </c>
      <c r="V463" t="str">
        <f>IF(S463="","",IF(S463="[FÓRMULA MANUAL]","",IFERROR(AVERAGEIFS(nNOTA,nNIA,S463,nCUENTA,1,nASIG,"Música de Cámara"),"")))</f>
        <v/>
      </c>
      <c r="W463" t="str">
        <f>IF(S463="","",IF(S463="[FÓRMULA MANUAL]","",IFERROR(SUMPRODUCT((nNIA=S463)*(nCUENTA=1)*(COUNTIF(CONFIG_ASIGNATURAS!$B$7:$B$27,nASIG)&gt;0)*(nNOTA))/SUMPRODUCT((nNIA=S463)*(nCUENTA=1)*(COUNTIF(CONFIG_ASIGNATURAS!$B$7:$B$27,nASIG)&gt;0)*1),"")))</f>
        <v/>
      </c>
      <c r="Z463" t="str">
        <f>IF(Y463="","",IF(Y463="[FÓRMULA MANUAL]","",IFERROR(AVERAGEIFS(nNOTA,nNIA,Y463,nCUENTA,1,nASIG,"Análisis"),"")))</f>
        <v/>
      </c>
      <c r="AA463" t="str">
        <f>IF(Y463="","",IF(Y463="[FÓRMULA MANUAL]","",IFERROR(AVERAGEIFS(nNOTA,nNIA,Y463,nCUENTA,1,nASIG,"Orquesta/Banda/Conjunto"),"")))</f>
        <v/>
      </c>
      <c r="AB463" t="str">
        <f>IF(Y463="","",IF(Y463="[FÓRMULA MANUAL]","",IFERROR(AVERAGEIFS(nNOTA,nNIA,Y463,nCUENTA,1,nASIG,"Música de Cámara"),"")))</f>
        <v/>
      </c>
      <c r="AC463" t="str">
        <f>IF(Y463="","",IF(Y463="[FÓRMULA MANUAL]","",IFERROR(SUMPRODUCT((nNIA=Y463)*(nCUENTA=1)*(COUNTIF(CONFIG_ASIGNATURAS!$B$7:$B$27,nASIG)&gt;0)*(nNOTA))/SUMPRODUCT((nNIA=Y463)*(nCUENTA=1)*(COUNTIF(CONFIG_ASIGNATURAS!$B$7:$B$27,nASIG)&gt;0)*1),"")))</f>
        <v/>
      </c>
      <c r="AF463" t="str">
        <f>IF(AE463="","",IF(AE463="[FÓRMULA MANUAL]","",IFERROR(AVERAGEIFS(nNOTA,nNIA,AE463,nCUENTA,1,nASIG,"Análisis"),"")))</f>
        <v/>
      </c>
      <c r="AG463" t="str">
        <f>IF(AE463="","",IF(AE463="[FÓRMULA MANUAL]","",IFERROR(AVERAGEIFS(nNOTA,nNIA,AE463,nCUENTA,1,nASIG,"Orquesta/Banda/Conjunto"),"")))</f>
        <v/>
      </c>
      <c r="AH463" t="str">
        <f>IF(AE463="","",IF(AE463="[FÓRMULA MANUAL]","",IFERROR(AVERAGEIFS(nNOTA,nNIA,AE463,nCUENTA,1,nASIG,"Música de Cámara"),"")))</f>
        <v/>
      </c>
      <c r="AI463" t="str">
        <f>IF(AE463="","",IF(AE463="[FÓRMULA MANUAL]","",IFERROR(SUMPRODUCT((nNIA=AE463)*(nCUENTA=1)*(COUNTIF(CONFIG_ASIGNATURAS!$B$7:$B$27,nASIG)&gt;0)*(nNOTA))/SUMPRODUCT((nNIA=AE463)*(nCUENTA=1)*(COUNTIF(CONFIG_ASIGNATURAS!$B$7:$B$27,nASIG)&gt;0)*1),"")))</f>
        <v/>
      </c>
    </row>
    <row r="464" spans="2:35" x14ac:dyDescent="0.2">
      <c r="B464" t="str">
        <f>IF(A464="","",IF(A464="[FÓRMULA MANUAL]","",IFERROR(AVERAGEIFS(nNOTA,nNIA,A464,nCUENTA,1,nASIG,"Lenguaje Musical"),"")))</f>
        <v/>
      </c>
      <c r="C464" t="str">
        <f>IF(A464="","",IF(A464="[FÓRMULA MANUAL]","",IFERROR(AVERAGEIFS(nNOTA,nNIA,A464,nCUENTA,1,nASIG,"Orquesta/Banda/Conjunto"),"")))</f>
        <v/>
      </c>
      <c r="D464" t="str">
        <f>IF(A464="","",IF(A464="[FÓRMULA MANUAL]","",IFERROR(AVERAGEIFS(nNOTA,nNIA,A464,nCUENTA,1,nASIG,"Conjunto"),"")))</f>
        <v/>
      </c>
      <c r="E464" t="str">
        <f>IF(A464="","",IF(A464="[FÓRMULA MANUAL]","",IFERROR(SUMPRODUCT((nNIA=A464)*(nCUENTA=1)*(COUNTIF(CONFIG_ASIGNATURAS!$B$7:$B$27,nASIG)&gt;0)*(nNOTA))/SUMPRODUCT((nNIA=A464)*(nCUENTA=1)*(COUNTIF(CONFIG_ASIGNATURAS!$B$7:$B$27,nASIG)&gt;0)*1),"")))</f>
        <v/>
      </c>
      <c r="H464" t="str">
        <f>IF(G464="","",IF(G464="[FÓRMULA MANUAL]","",IFERROR(AVERAGEIFS(nNOTA,nNIA,G464,nCUENTA,1,nASIG,"Lenguaje Musical"),"")))</f>
        <v/>
      </c>
      <c r="I464" t="str">
        <f>IF(G464="","",IF(G464="[FÓRMULA MANUAL]","",IFERROR(AVERAGEIFS(nNOTA,nNIA,G464,nCUENTA,1,nASIG,"Orquesta/Banda/Conjunto"),"")))</f>
        <v/>
      </c>
      <c r="J464" t="str">
        <f>IF(G464="","",IF(G464="[FÓRMULA MANUAL]","",IFERROR(AVERAGEIFS(nNOTA,nNIA,G464,nCUENTA,1,nASIG,"Conjunto"),"")))</f>
        <v/>
      </c>
      <c r="K464" t="str">
        <f>IF(G464="","",IF(G464="[FÓRMULA MANUAL]","",IFERROR(SUMPRODUCT((nNIA=G464)*(nCUENTA=1)*(COUNTIF(CONFIG_ASIGNATURAS!$B$7:$B$27,nASIG)&gt;0)*(nNOTA))/SUMPRODUCT((nNIA=G464)*(nCUENTA=1)*(COUNTIF(CONFIG_ASIGNATURAS!$B$7:$B$27,nASIG)&gt;0)*1),"")))</f>
        <v/>
      </c>
      <c r="N464" t="str">
        <f>IF(M464="","",IF(M464="[FÓRMULA MANUAL]","",IFERROR(AVERAGEIFS(nNOTA,nNIA,M464,nCUENTA,1,nASIG,"Armonía"),"")))</f>
        <v/>
      </c>
      <c r="O464" t="str">
        <f>IF(M464="","",IF(M464="[FÓRMULA MANUAL]","",IFERROR(AVERAGEIFS(nNOTA,nNIA,M464,nCUENTA,1,nASIG,"Orquesta/Banda/Conjunto"),"")))</f>
        <v/>
      </c>
      <c r="P464" t="str">
        <f>IF(M464="","",IF(M464="[FÓRMULA MANUAL]","",IFERROR(AVERAGEIFS(nNOTA,nNIA,M464,nCUENTA,1,nASIG,"Música de Cámara"),"")))</f>
        <v/>
      </c>
      <c r="Q464" t="str">
        <f>IF(M464="","",IF(M464="[FÓRMULA MANUAL]","",IFERROR(SUMPRODUCT((nNIA=M464)*(nCUENTA=1)*(COUNTIF(CONFIG_ASIGNATURAS!$B$7:$B$27,nASIG)&gt;0)*(nNOTA))/SUMPRODUCT((nNIA=M464)*(nCUENTA=1)*(COUNTIF(CONFIG_ASIGNATURAS!$B$7:$B$27,nASIG)&gt;0)*1),"")))</f>
        <v/>
      </c>
      <c r="T464" t="str">
        <f>IF(S464="","",IF(S464="[FÓRMULA MANUAL]","",IFERROR(AVERAGEIFS(nNOTA,nNIA,S464,nCUENTA,1,nASIG,"Armonía"),"")))</f>
        <v/>
      </c>
      <c r="U464" t="str">
        <f>IF(S464="","",IF(S464="[FÓRMULA MANUAL]","",IFERROR(AVERAGEIFS(nNOTA,nNIA,S464,nCUENTA,1,nASIG,"Orquesta/Banda/Conjunto"),"")))</f>
        <v/>
      </c>
      <c r="V464" t="str">
        <f>IF(S464="","",IF(S464="[FÓRMULA MANUAL]","",IFERROR(AVERAGEIFS(nNOTA,nNIA,S464,nCUENTA,1,nASIG,"Música de Cámara"),"")))</f>
        <v/>
      </c>
      <c r="W464" t="str">
        <f>IF(S464="","",IF(S464="[FÓRMULA MANUAL]","",IFERROR(SUMPRODUCT((nNIA=S464)*(nCUENTA=1)*(COUNTIF(CONFIG_ASIGNATURAS!$B$7:$B$27,nASIG)&gt;0)*(nNOTA))/SUMPRODUCT((nNIA=S464)*(nCUENTA=1)*(COUNTIF(CONFIG_ASIGNATURAS!$B$7:$B$27,nASIG)&gt;0)*1),"")))</f>
        <v/>
      </c>
      <c r="Z464" t="str">
        <f>IF(Y464="","",IF(Y464="[FÓRMULA MANUAL]","",IFERROR(AVERAGEIFS(nNOTA,nNIA,Y464,nCUENTA,1,nASIG,"Análisis"),"")))</f>
        <v/>
      </c>
      <c r="AA464" t="str">
        <f>IF(Y464="","",IF(Y464="[FÓRMULA MANUAL]","",IFERROR(AVERAGEIFS(nNOTA,nNIA,Y464,nCUENTA,1,nASIG,"Orquesta/Banda/Conjunto"),"")))</f>
        <v/>
      </c>
      <c r="AB464" t="str">
        <f>IF(Y464="","",IF(Y464="[FÓRMULA MANUAL]","",IFERROR(AVERAGEIFS(nNOTA,nNIA,Y464,nCUENTA,1,nASIG,"Música de Cámara"),"")))</f>
        <v/>
      </c>
      <c r="AC464" t="str">
        <f>IF(Y464="","",IF(Y464="[FÓRMULA MANUAL]","",IFERROR(SUMPRODUCT((nNIA=Y464)*(nCUENTA=1)*(COUNTIF(CONFIG_ASIGNATURAS!$B$7:$B$27,nASIG)&gt;0)*(nNOTA))/SUMPRODUCT((nNIA=Y464)*(nCUENTA=1)*(COUNTIF(CONFIG_ASIGNATURAS!$B$7:$B$27,nASIG)&gt;0)*1),"")))</f>
        <v/>
      </c>
      <c r="AF464" t="str">
        <f>IF(AE464="","",IF(AE464="[FÓRMULA MANUAL]","",IFERROR(AVERAGEIFS(nNOTA,nNIA,AE464,nCUENTA,1,nASIG,"Análisis"),"")))</f>
        <v/>
      </c>
      <c r="AG464" t="str">
        <f>IF(AE464="","",IF(AE464="[FÓRMULA MANUAL]","",IFERROR(AVERAGEIFS(nNOTA,nNIA,AE464,nCUENTA,1,nASIG,"Orquesta/Banda/Conjunto"),"")))</f>
        <v/>
      </c>
      <c r="AH464" t="str">
        <f>IF(AE464="","",IF(AE464="[FÓRMULA MANUAL]","",IFERROR(AVERAGEIFS(nNOTA,nNIA,AE464,nCUENTA,1,nASIG,"Música de Cámara"),"")))</f>
        <v/>
      </c>
      <c r="AI464" t="str">
        <f>IF(AE464="","",IF(AE464="[FÓRMULA MANUAL]","",IFERROR(SUMPRODUCT((nNIA=AE464)*(nCUENTA=1)*(COUNTIF(CONFIG_ASIGNATURAS!$B$7:$B$27,nASIG)&gt;0)*(nNOTA))/SUMPRODUCT((nNIA=AE464)*(nCUENTA=1)*(COUNTIF(CONFIG_ASIGNATURAS!$B$7:$B$27,nASIG)&gt;0)*1),"")))</f>
        <v/>
      </c>
    </row>
    <row r="465" spans="2:35" x14ac:dyDescent="0.2">
      <c r="B465" t="str">
        <f>IF(A465="","",IF(A465="[FÓRMULA MANUAL]","",IFERROR(AVERAGEIFS(nNOTA,nNIA,A465,nCUENTA,1,nASIG,"Lenguaje Musical"),"")))</f>
        <v/>
      </c>
      <c r="C465" t="str">
        <f>IF(A465="","",IF(A465="[FÓRMULA MANUAL]","",IFERROR(AVERAGEIFS(nNOTA,nNIA,A465,nCUENTA,1,nASIG,"Orquesta/Banda/Conjunto"),"")))</f>
        <v/>
      </c>
      <c r="D465" t="str">
        <f>IF(A465="","",IF(A465="[FÓRMULA MANUAL]","",IFERROR(AVERAGEIFS(nNOTA,nNIA,A465,nCUENTA,1,nASIG,"Conjunto"),"")))</f>
        <v/>
      </c>
      <c r="E465" t="str">
        <f>IF(A465="","",IF(A465="[FÓRMULA MANUAL]","",IFERROR(SUMPRODUCT((nNIA=A465)*(nCUENTA=1)*(COUNTIF(CONFIG_ASIGNATURAS!$B$7:$B$27,nASIG)&gt;0)*(nNOTA))/SUMPRODUCT((nNIA=A465)*(nCUENTA=1)*(COUNTIF(CONFIG_ASIGNATURAS!$B$7:$B$27,nASIG)&gt;0)*1),"")))</f>
        <v/>
      </c>
      <c r="H465" t="str">
        <f>IF(G465="","",IF(G465="[FÓRMULA MANUAL]","",IFERROR(AVERAGEIFS(nNOTA,nNIA,G465,nCUENTA,1,nASIG,"Lenguaje Musical"),"")))</f>
        <v/>
      </c>
      <c r="I465" t="str">
        <f>IF(G465="","",IF(G465="[FÓRMULA MANUAL]","",IFERROR(AVERAGEIFS(nNOTA,nNIA,G465,nCUENTA,1,nASIG,"Orquesta/Banda/Conjunto"),"")))</f>
        <v/>
      </c>
      <c r="J465" t="str">
        <f>IF(G465="","",IF(G465="[FÓRMULA MANUAL]","",IFERROR(AVERAGEIFS(nNOTA,nNIA,G465,nCUENTA,1,nASIG,"Conjunto"),"")))</f>
        <v/>
      </c>
      <c r="K465" t="str">
        <f>IF(G465="","",IF(G465="[FÓRMULA MANUAL]","",IFERROR(SUMPRODUCT((nNIA=G465)*(nCUENTA=1)*(COUNTIF(CONFIG_ASIGNATURAS!$B$7:$B$27,nASIG)&gt;0)*(nNOTA))/SUMPRODUCT((nNIA=G465)*(nCUENTA=1)*(COUNTIF(CONFIG_ASIGNATURAS!$B$7:$B$27,nASIG)&gt;0)*1),"")))</f>
        <v/>
      </c>
      <c r="N465" t="str">
        <f>IF(M465="","",IF(M465="[FÓRMULA MANUAL]","",IFERROR(AVERAGEIFS(nNOTA,nNIA,M465,nCUENTA,1,nASIG,"Armonía"),"")))</f>
        <v/>
      </c>
      <c r="O465" t="str">
        <f>IF(M465="","",IF(M465="[FÓRMULA MANUAL]","",IFERROR(AVERAGEIFS(nNOTA,nNIA,M465,nCUENTA,1,nASIG,"Orquesta/Banda/Conjunto"),"")))</f>
        <v/>
      </c>
      <c r="P465" t="str">
        <f>IF(M465="","",IF(M465="[FÓRMULA MANUAL]","",IFERROR(AVERAGEIFS(nNOTA,nNIA,M465,nCUENTA,1,nASIG,"Música de Cámara"),"")))</f>
        <v/>
      </c>
      <c r="Q465" t="str">
        <f>IF(M465="","",IF(M465="[FÓRMULA MANUAL]","",IFERROR(SUMPRODUCT((nNIA=M465)*(nCUENTA=1)*(COUNTIF(CONFIG_ASIGNATURAS!$B$7:$B$27,nASIG)&gt;0)*(nNOTA))/SUMPRODUCT((nNIA=M465)*(nCUENTA=1)*(COUNTIF(CONFIG_ASIGNATURAS!$B$7:$B$27,nASIG)&gt;0)*1),"")))</f>
        <v/>
      </c>
      <c r="T465" t="str">
        <f>IF(S465="","",IF(S465="[FÓRMULA MANUAL]","",IFERROR(AVERAGEIFS(nNOTA,nNIA,S465,nCUENTA,1,nASIG,"Armonía"),"")))</f>
        <v/>
      </c>
      <c r="U465" t="str">
        <f>IF(S465="","",IF(S465="[FÓRMULA MANUAL]","",IFERROR(AVERAGEIFS(nNOTA,nNIA,S465,nCUENTA,1,nASIG,"Orquesta/Banda/Conjunto"),"")))</f>
        <v/>
      </c>
      <c r="V465" t="str">
        <f>IF(S465="","",IF(S465="[FÓRMULA MANUAL]","",IFERROR(AVERAGEIFS(nNOTA,nNIA,S465,nCUENTA,1,nASIG,"Música de Cámara"),"")))</f>
        <v/>
      </c>
      <c r="W465" t="str">
        <f>IF(S465="","",IF(S465="[FÓRMULA MANUAL]","",IFERROR(SUMPRODUCT((nNIA=S465)*(nCUENTA=1)*(COUNTIF(CONFIG_ASIGNATURAS!$B$7:$B$27,nASIG)&gt;0)*(nNOTA))/SUMPRODUCT((nNIA=S465)*(nCUENTA=1)*(COUNTIF(CONFIG_ASIGNATURAS!$B$7:$B$27,nASIG)&gt;0)*1),"")))</f>
        <v/>
      </c>
      <c r="Z465" t="str">
        <f>IF(Y465="","",IF(Y465="[FÓRMULA MANUAL]","",IFERROR(AVERAGEIFS(nNOTA,nNIA,Y465,nCUENTA,1,nASIG,"Análisis"),"")))</f>
        <v/>
      </c>
      <c r="AA465" t="str">
        <f>IF(Y465="","",IF(Y465="[FÓRMULA MANUAL]","",IFERROR(AVERAGEIFS(nNOTA,nNIA,Y465,nCUENTA,1,nASIG,"Orquesta/Banda/Conjunto"),"")))</f>
        <v/>
      </c>
      <c r="AB465" t="str">
        <f>IF(Y465="","",IF(Y465="[FÓRMULA MANUAL]","",IFERROR(AVERAGEIFS(nNOTA,nNIA,Y465,nCUENTA,1,nASIG,"Música de Cámara"),"")))</f>
        <v/>
      </c>
      <c r="AC465" t="str">
        <f>IF(Y465="","",IF(Y465="[FÓRMULA MANUAL]","",IFERROR(SUMPRODUCT((nNIA=Y465)*(nCUENTA=1)*(COUNTIF(CONFIG_ASIGNATURAS!$B$7:$B$27,nASIG)&gt;0)*(nNOTA))/SUMPRODUCT((nNIA=Y465)*(nCUENTA=1)*(COUNTIF(CONFIG_ASIGNATURAS!$B$7:$B$27,nASIG)&gt;0)*1),"")))</f>
        <v/>
      </c>
      <c r="AF465" t="str">
        <f>IF(AE465="","",IF(AE465="[FÓRMULA MANUAL]","",IFERROR(AVERAGEIFS(nNOTA,nNIA,AE465,nCUENTA,1,nASIG,"Análisis"),"")))</f>
        <v/>
      </c>
      <c r="AG465" t="str">
        <f>IF(AE465="","",IF(AE465="[FÓRMULA MANUAL]","",IFERROR(AVERAGEIFS(nNOTA,nNIA,AE465,nCUENTA,1,nASIG,"Orquesta/Banda/Conjunto"),"")))</f>
        <v/>
      </c>
      <c r="AH465" t="str">
        <f>IF(AE465="","",IF(AE465="[FÓRMULA MANUAL]","",IFERROR(AVERAGEIFS(nNOTA,nNIA,AE465,nCUENTA,1,nASIG,"Música de Cámara"),"")))</f>
        <v/>
      </c>
      <c r="AI465" t="str">
        <f>IF(AE465="","",IF(AE465="[FÓRMULA MANUAL]","",IFERROR(SUMPRODUCT((nNIA=AE465)*(nCUENTA=1)*(COUNTIF(CONFIG_ASIGNATURAS!$B$7:$B$27,nASIG)&gt;0)*(nNOTA))/SUMPRODUCT((nNIA=AE465)*(nCUENTA=1)*(COUNTIF(CONFIG_ASIGNATURAS!$B$7:$B$27,nASIG)&gt;0)*1),"")))</f>
        <v/>
      </c>
    </row>
    <row r="466" spans="2:35" x14ac:dyDescent="0.2">
      <c r="B466" t="str">
        <f>IF(A466="","",IF(A466="[FÓRMULA MANUAL]","",IFERROR(AVERAGEIFS(nNOTA,nNIA,A466,nCUENTA,1,nASIG,"Lenguaje Musical"),"")))</f>
        <v/>
      </c>
      <c r="C466" t="str">
        <f>IF(A466="","",IF(A466="[FÓRMULA MANUAL]","",IFERROR(AVERAGEIFS(nNOTA,nNIA,A466,nCUENTA,1,nASIG,"Orquesta/Banda/Conjunto"),"")))</f>
        <v/>
      </c>
      <c r="D466" t="str">
        <f>IF(A466="","",IF(A466="[FÓRMULA MANUAL]","",IFERROR(AVERAGEIFS(nNOTA,nNIA,A466,nCUENTA,1,nASIG,"Conjunto"),"")))</f>
        <v/>
      </c>
      <c r="E466" t="str">
        <f>IF(A466="","",IF(A466="[FÓRMULA MANUAL]","",IFERROR(SUMPRODUCT((nNIA=A466)*(nCUENTA=1)*(COUNTIF(CONFIG_ASIGNATURAS!$B$7:$B$27,nASIG)&gt;0)*(nNOTA))/SUMPRODUCT((nNIA=A466)*(nCUENTA=1)*(COUNTIF(CONFIG_ASIGNATURAS!$B$7:$B$27,nASIG)&gt;0)*1),"")))</f>
        <v/>
      </c>
      <c r="H466" t="str">
        <f>IF(G466="","",IF(G466="[FÓRMULA MANUAL]","",IFERROR(AVERAGEIFS(nNOTA,nNIA,G466,nCUENTA,1,nASIG,"Lenguaje Musical"),"")))</f>
        <v/>
      </c>
      <c r="I466" t="str">
        <f>IF(G466="","",IF(G466="[FÓRMULA MANUAL]","",IFERROR(AVERAGEIFS(nNOTA,nNIA,G466,nCUENTA,1,nASIG,"Orquesta/Banda/Conjunto"),"")))</f>
        <v/>
      </c>
      <c r="J466" t="str">
        <f>IF(G466="","",IF(G466="[FÓRMULA MANUAL]","",IFERROR(AVERAGEIFS(nNOTA,nNIA,G466,nCUENTA,1,nASIG,"Conjunto"),"")))</f>
        <v/>
      </c>
      <c r="K466" t="str">
        <f>IF(G466="","",IF(G466="[FÓRMULA MANUAL]","",IFERROR(SUMPRODUCT((nNIA=G466)*(nCUENTA=1)*(COUNTIF(CONFIG_ASIGNATURAS!$B$7:$B$27,nASIG)&gt;0)*(nNOTA))/SUMPRODUCT((nNIA=G466)*(nCUENTA=1)*(COUNTIF(CONFIG_ASIGNATURAS!$B$7:$B$27,nASIG)&gt;0)*1),"")))</f>
        <v/>
      </c>
      <c r="N466" t="str">
        <f>IF(M466="","",IF(M466="[FÓRMULA MANUAL]","",IFERROR(AVERAGEIFS(nNOTA,nNIA,M466,nCUENTA,1,nASIG,"Armonía"),"")))</f>
        <v/>
      </c>
      <c r="O466" t="str">
        <f>IF(M466="","",IF(M466="[FÓRMULA MANUAL]","",IFERROR(AVERAGEIFS(nNOTA,nNIA,M466,nCUENTA,1,nASIG,"Orquesta/Banda/Conjunto"),"")))</f>
        <v/>
      </c>
      <c r="P466" t="str">
        <f>IF(M466="","",IF(M466="[FÓRMULA MANUAL]","",IFERROR(AVERAGEIFS(nNOTA,nNIA,M466,nCUENTA,1,nASIG,"Música de Cámara"),"")))</f>
        <v/>
      </c>
      <c r="Q466" t="str">
        <f>IF(M466="","",IF(M466="[FÓRMULA MANUAL]","",IFERROR(SUMPRODUCT((nNIA=M466)*(nCUENTA=1)*(COUNTIF(CONFIG_ASIGNATURAS!$B$7:$B$27,nASIG)&gt;0)*(nNOTA))/SUMPRODUCT((nNIA=M466)*(nCUENTA=1)*(COUNTIF(CONFIG_ASIGNATURAS!$B$7:$B$27,nASIG)&gt;0)*1),"")))</f>
        <v/>
      </c>
      <c r="T466" t="str">
        <f>IF(S466="","",IF(S466="[FÓRMULA MANUAL]","",IFERROR(AVERAGEIFS(nNOTA,nNIA,S466,nCUENTA,1,nASIG,"Armonía"),"")))</f>
        <v/>
      </c>
      <c r="U466" t="str">
        <f>IF(S466="","",IF(S466="[FÓRMULA MANUAL]","",IFERROR(AVERAGEIFS(nNOTA,nNIA,S466,nCUENTA,1,nASIG,"Orquesta/Banda/Conjunto"),"")))</f>
        <v/>
      </c>
      <c r="V466" t="str">
        <f>IF(S466="","",IF(S466="[FÓRMULA MANUAL]","",IFERROR(AVERAGEIFS(nNOTA,nNIA,S466,nCUENTA,1,nASIG,"Música de Cámara"),"")))</f>
        <v/>
      </c>
      <c r="W466" t="str">
        <f>IF(S466="","",IF(S466="[FÓRMULA MANUAL]","",IFERROR(SUMPRODUCT((nNIA=S466)*(nCUENTA=1)*(COUNTIF(CONFIG_ASIGNATURAS!$B$7:$B$27,nASIG)&gt;0)*(nNOTA))/SUMPRODUCT((nNIA=S466)*(nCUENTA=1)*(COUNTIF(CONFIG_ASIGNATURAS!$B$7:$B$27,nASIG)&gt;0)*1),"")))</f>
        <v/>
      </c>
      <c r="Z466" t="str">
        <f>IF(Y466="","",IF(Y466="[FÓRMULA MANUAL]","",IFERROR(AVERAGEIFS(nNOTA,nNIA,Y466,nCUENTA,1,nASIG,"Análisis"),"")))</f>
        <v/>
      </c>
      <c r="AA466" t="str">
        <f>IF(Y466="","",IF(Y466="[FÓRMULA MANUAL]","",IFERROR(AVERAGEIFS(nNOTA,nNIA,Y466,nCUENTA,1,nASIG,"Orquesta/Banda/Conjunto"),"")))</f>
        <v/>
      </c>
      <c r="AB466" t="str">
        <f>IF(Y466="","",IF(Y466="[FÓRMULA MANUAL]","",IFERROR(AVERAGEIFS(nNOTA,nNIA,Y466,nCUENTA,1,nASIG,"Música de Cámara"),"")))</f>
        <v/>
      </c>
      <c r="AC466" t="str">
        <f>IF(Y466="","",IF(Y466="[FÓRMULA MANUAL]","",IFERROR(SUMPRODUCT((nNIA=Y466)*(nCUENTA=1)*(COUNTIF(CONFIG_ASIGNATURAS!$B$7:$B$27,nASIG)&gt;0)*(nNOTA))/SUMPRODUCT((nNIA=Y466)*(nCUENTA=1)*(COUNTIF(CONFIG_ASIGNATURAS!$B$7:$B$27,nASIG)&gt;0)*1),"")))</f>
        <v/>
      </c>
      <c r="AF466" t="str">
        <f>IF(AE466="","",IF(AE466="[FÓRMULA MANUAL]","",IFERROR(AVERAGEIFS(nNOTA,nNIA,AE466,nCUENTA,1,nASIG,"Análisis"),"")))</f>
        <v/>
      </c>
      <c r="AG466" t="str">
        <f>IF(AE466="","",IF(AE466="[FÓRMULA MANUAL]","",IFERROR(AVERAGEIFS(nNOTA,nNIA,AE466,nCUENTA,1,nASIG,"Orquesta/Banda/Conjunto"),"")))</f>
        <v/>
      </c>
      <c r="AH466" t="str">
        <f>IF(AE466="","",IF(AE466="[FÓRMULA MANUAL]","",IFERROR(AVERAGEIFS(nNOTA,nNIA,AE466,nCUENTA,1,nASIG,"Música de Cámara"),"")))</f>
        <v/>
      </c>
      <c r="AI466" t="str">
        <f>IF(AE466="","",IF(AE466="[FÓRMULA MANUAL]","",IFERROR(SUMPRODUCT((nNIA=AE466)*(nCUENTA=1)*(COUNTIF(CONFIG_ASIGNATURAS!$B$7:$B$27,nASIG)&gt;0)*(nNOTA))/SUMPRODUCT((nNIA=AE466)*(nCUENTA=1)*(COUNTIF(CONFIG_ASIGNATURAS!$B$7:$B$27,nASIG)&gt;0)*1),"")))</f>
        <v/>
      </c>
    </row>
    <row r="467" spans="2:35" x14ac:dyDescent="0.2">
      <c r="B467" t="str">
        <f>IF(A467="","",IF(A467="[FÓRMULA MANUAL]","",IFERROR(AVERAGEIFS(nNOTA,nNIA,A467,nCUENTA,1,nASIG,"Lenguaje Musical"),"")))</f>
        <v/>
      </c>
      <c r="C467" t="str">
        <f>IF(A467="","",IF(A467="[FÓRMULA MANUAL]","",IFERROR(AVERAGEIFS(nNOTA,nNIA,A467,nCUENTA,1,nASIG,"Orquesta/Banda/Conjunto"),"")))</f>
        <v/>
      </c>
      <c r="D467" t="str">
        <f>IF(A467="","",IF(A467="[FÓRMULA MANUAL]","",IFERROR(AVERAGEIFS(nNOTA,nNIA,A467,nCUENTA,1,nASIG,"Conjunto"),"")))</f>
        <v/>
      </c>
      <c r="E467" t="str">
        <f>IF(A467="","",IF(A467="[FÓRMULA MANUAL]","",IFERROR(SUMPRODUCT((nNIA=A467)*(nCUENTA=1)*(COUNTIF(CONFIG_ASIGNATURAS!$B$7:$B$27,nASIG)&gt;0)*(nNOTA))/SUMPRODUCT((nNIA=A467)*(nCUENTA=1)*(COUNTIF(CONFIG_ASIGNATURAS!$B$7:$B$27,nASIG)&gt;0)*1),"")))</f>
        <v/>
      </c>
      <c r="H467" t="str">
        <f>IF(G467="","",IF(G467="[FÓRMULA MANUAL]","",IFERROR(AVERAGEIFS(nNOTA,nNIA,G467,nCUENTA,1,nASIG,"Lenguaje Musical"),"")))</f>
        <v/>
      </c>
      <c r="I467" t="str">
        <f>IF(G467="","",IF(G467="[FÓRMULA MANUAL]","",IFERROR(AVERAGEIFS(nNOTA,nNIA,G467,nCUENTA,1,nASIG,"Orquesta/Banda/Conjunto"),"")))</f>
        <v/>
      </c>
      <c r="J467" t="str">
        <f>IF(G467="","",IF(G467="[FÓRMULA MANUAL]","",IFERROR(AVERAGEIFS(nNOTA,nNIA,G467,nCUENTA,1,nASIG,"Conjunto"),"")))</f>
        <v/>
      </c>
      <c r="K467" t="str">
        <f>IF(G467="","",IF(G467="[FÓRMULA MANUAL]","",IFERROR(SUMPRODUCT((nNIA=G467)*(nCUENTA=1)*(COUNTIF(CONFIG_ASIGNATURAS!$B$7:$B$27,nASIG)&gt;0)*(nNOTA))/SUMPRODUCT((nNIA=G467)*(nCUENTA=1)*(COUNTIF(CONFIG_ASIGNATURAS!$B$7:$B$27,nASIG)&gt;0)*1),"")))</f>
        <v/>
      </c>
      <c r="N467" t="str">
        <f>IF(M467="","",IF(M467="[FÓRMULA MANUAL]","",IFERROR(AVERAGEIFS(nNOTA,nNIA,M467,nCUENTA,1,nASIG,"Armonía"),"")))</f>
        <v/>
      </c>
      <c r="O467" t="str">
        <f>IF(M467="","",IF(M467="[FÓRMULA MANUAL]","",IFERROR(AVERAGEIFS(nNOTA,nNIA,M467,nCUENTA,1,nASIG,"Orquesta/Banda/Conjunto"),"")))</f>
        <v/>
      </c>
      <c r="P467" t="str">
        <f>IF(M467="","",IF(M467="[FÓRMULA MANUAL]","",IFERROR(AVERAGEIFS(nNOTA,nNIA,M467,nCUENTA,1,nASIG,"Música de Cámara"),"")))</f>
        <v/>
      </c>
      <c r="Q467" t="str">
        <f>IF(M467="","",IF(M467="[FÓRMULA MANUAL]","",IFERROR(SUMPRODUCT((nNIA=M467)*(nCUENTA=1)*(COUNTIF(CONFIG_ASIGNATURAS!$B$7:$B$27,nASIG)&gt;0)*(nNOTA))/SUMPRODUCT((nNIA=M467)*(nCUENTA=1)*(COUNTIF(CONFIG_ASIGNATURAS!$B$7:$B$27,nASIG)&gt;0)*1),"")))</f>
        <v/>
      </c>
      <c r="T467" t="str">
        <f>IF(S467="","",IF(S467="[FÓRMULA MANUAL]","",IFERROR(AVERAGEIFS(nNOTA,nNIA,S467,nCUENTA,1,nASIG,"Armonía"),"")))</f>
        <v/>
      </c>
      <c r="U467" t="str">
        <f>IF(S467="","",IF(S467="[FÓRMULA MANUAL]","",IFERROR(AVERAGEIFS(nNOTA,nNIA,S467,nCUENTA,1,nASIG,"Orquesta/Banda/Conjunto"),"")))</f>
        <v/>
      </c>
      <c r="V467" t="str">
        <f>IF(S467="","",IF(S467="[FÓRMULA MANUAL]","",IFERROR(AVERAGEIFS(nNOTA,nNIA,S467,nCUENTA,1,nASIG,"Música de Cámara"),"")))</f>
        <v/>
      </c>
      <c r="W467" t="str">
        <f>IF(S467="","",IF(S467="[FÓRMULA MANUAL]","",IFERROR(SUMPRODUCT((nNIA=S467)*(nCUENTA=1)*(COUNTIF(CONFIG_ASIGNATURAS!$B$7:$B$27,nASIG)&gt;0)*(nNOTA))/SUMPRODUCT((nNIA=S467)*(nCUENTA=1)*(COUNTIF(CONFIG_ASIGNATURAS!$B$7:$B$27,nASIG)&gt;0)*1),"")))</f>
        <v/>
      </c>
      <c r="Z467" t="str">
        <f>IF(Y467="","",IF(Y467="[FÓRMULA MANUAL]","",IFERROR(AVERAGEIFS(nNOTA,nNIA,Y467,nCUENTA,1,nASIG,"Análisis"),"")))</f>
        <v/>
      </c>
      <c r="AA467" t="str">
        <f>IF(Y467="","",IF(Y467="[FÓRMULA MANUAL]","",IFERROR(AVERAGEIFS(nNOTA,nNIA,Y467,nCUENTA,1,nASIG,"Orquesta/Banda/Conjunto"),"")))</f>
        <v/>
      </c>
      <c r="AB467" t="str">
        <f>IF(Y467="","",IF(Y467="[FÓRMULA MANUAL]","",IFERROR(AVERAGEIFS(nNOTA,nNIA,Y467,nCUENTA,1,nASIG,"Música de Cámara"),"")))</f>
        <v/>
      </c>
      <c r="AC467" t="str">
        <f>IF(Y467="","",IF(Y467="[FÓRMULA MANUAL]","",IFERROR(SUMPRODUCT((nNIA=Y467)*(nCUENTA=1)*(COUNTIF(CONFIG_ASIGNATURAS!$B$7:$B$27,nASIG)&gt;0)*(nNOTA))/SUMPRODUCT((nNIA=Y467)*(nCUENTA=1)*(COUNTIF(CONFIG_ASIGNATURAS!$B$7:$B$27,nASIG)&gt;0)*1),"")))</f>
        <v/>
      </c>
      <c r="AF467" t="str">
        <f>IF(AE467="","",IF(AE467="[FÓRMULA MANUAL]","",IFERROR(AVERAGEIFS(nNOTA,nNIA,AE467,nCUENTA,1,nASIG,"Análisis"),"")))</f>
        <v/>
      </c>
      <c r="AG467" t="str">
        <f>IF(AE467="","",IF(AE467="[FÓRMULA MANUAL]","",IFERROR(AVERAGEIFS(nNOTA,nNIA,AE467,nCUENTA,1,nASIG,"Orquesta/Banda/Conjunto"),"")))</f>
        <v/>
      </c>
      <c r="AH467" t="str">
        <f>IF(AE467="","",IF(AE467="[FÓRMULA MANUAL]","",IFERROR(AVERAGEIFS(nNOTA,nNIA,AE467,nCUENTA,1,nASIG,"Música de Cámara"),"")))</f>
        <v/>
      </c>
      <c r="AI467" t="str">
        <f>IF(AE467="","",IF(AE467="[FÓRMULA MANUAL]","",IFERROR(SUMPRODUCT((nNIA=AE467)*(nCUENTA=1)*(COUNTIF(CONFIG_ASIGNATURAS!$B$7:$B$27,nASIG)&gt;0)*(nNOTA))/SUMPRODUCT((nNIA=AE467)*(nCUENTA=1)*(COUNTIF(CONFIG_ASIGNATURAS!$B$7:$B$27,nASIG)&gt;0)*1),"")))</f>
        <v/>
      </c>
    </row>
    <row r="468" spans="2:35" x14ac:dyDescent="0.2">
      <c r="B468" t="str">
        <f>IF(A468="","",IF(A468="[FÓRMULA MANUAL]","",IFERROR(AVERAGEIFS(nNOTA,nNIA,A468,nCUENTA,1,nASIG,"Lenguaje Musical"),"")))</f>
        <v/>
      </c>
      <c r="C468" t="str">
        <f>IF(A468="","",IF(A468="[FÓRMULA MANUAL]","",IFERROR(AVERAGEIFS(nNOTA,nNIA,A468,nCUENTA,1,nASIG,"Orquesta/Banda/Conjunto"),"")))</f>
        <v/>
      </c>
      <c r="D468" t="str">
        <f>IF(A468="","",IF(A468="[FÓRMULA MANUAL]","",IFERROR(AVERAGEIFS(nNOTA,nNIA,A468,nCUENTA,1,nASIG,"Conjunto"),"")))</f>
        <v/>
      </c>
      <c r="E468" t="str">
        <f>IF(A468="","",IF(A468="[FÓRMULA MANUAL]","",IFERROR(SUMPRODUCT((nNIA=A468)*(nCUENTA=1)*(COUNTIF(CONFIG_ASIGNATURAS!$B$7:$B$27,nASIG)&gt;0)*(nNOTA))/SUMPRODUCT((nNIA=A468)*(nCUENTA=1)*(COUNTIF(CONFIG_ASIGNATURAS!$B$7:$B$27,nASIG)&gt;0)*1),"")))</f>
        <v/>
      </c>
      <c r="H468" t="str">
        <f>IF(G468="","",IF(G468="[FÓRMULA MANUAL]","",IFERROR(AVERAGEIFS(nNOTA,nNIA,G468,nCUENTA,1,nASIG,"Lenguaje Musical"),"")))</f>
        <v/>
      </c>
      <c r="I468" t="str">
        <f>IF(G468="","",IF(G468="[FÓRMULA MANUAL]","",IFERROR(AVERAGEIFS(nNOTA,nNIA,G468,nCUENTA,1,nASIG,"Orquesta/Banda/Conjunto"),"")))</f>
        <v/>
      </c>
      <c r="J468" t="str">
        <f>IF(G468="","",IF(G468="[FÓRMULA MANUAL]","",IFERROR(AVERAGEIFS(nNOTA,nNIA,G468,nCUENTA,1,nASIG,"Conjunto"),"")))</f>
        <v/>
      </c>
      <c r="K468" t="str">
        <f>IF(G468="","",IF(G468="[FÓRMULA MANUAL]","",IFERROR(SUMPRODUCT((nNIA=G468)*(nCUENTA=1)*(COUNTIF(CONFIG_ASIGNATURAS!$B$7:$B$27,nASIG)&gt;0)*(nNOTA))/SUMPRODUCT((nNIA=G468)*(nCUENTA=1)*(COUNTIF(CONFIG_ASIGNATURAS!$B$7:$B$27,nASIG)&gt;0)*1),"")))</f>
        <v/>
      </c>
      <c r="N468" t="str">
        <f>IF(M468="","",IF(M468="[FÓRMULA MANUAL]","",IFERROR(AVERAGEIFS(nNOTA,nNIA,M468,nCUENTA,1,nASIG,"Armonía"),"")))</f>
        <v/>
      </c>
      <c r="O468" t="str">
        <f>IF(M468="","",IF(M468="[FÓRMULA MANUAL]","",IFERROR(AVERAGEIFS(nNOTA,nNIA,M468,nCUENTA,1,nASIG,"Orquesta/Banda/Conjunto"),"")))</f>
        <v/>
      </c>
      <c r="P468" t="str">
        <f>IF(M468="","",IF(M468="[FÓRMULA MANUAL]","",IFERROR(AVERAGEIFS(nNOTA,nNIA,M468,nCUENTA,1,nASIG,"Música de Cámara"),"")))</f>
        <v/>
      </c>
      <c r="Q468" t="str">
        <f>IF(M468="","",IF(M468="[FÓRMULA MANUAL]","",IFERROR(SUMPRODUCT((nNIA=M468)*(nCUENTA=1)*(COUNTIF(CONFIG_ASIGNATURAS!$B$7:$B$27,nASIG)&gt;0)*(nNOTA))/SUMPRODUCT((nNIA=M468)*(nCUENTA=1)*(COUNTIF(CONFIG_ASIGNATURAS!$B$7:$B$27,nASIG)&gt;0)*1),"")))</f>
        <v/>
      </c>
      <c r="T468" t="str">
        <f>IF(S468="","",IF(S468="[FÓRMULA MANUAL]","",IFERROR(AVERAGEIFS(nNOTA,nNIA,S468,nCUENTA,1,nASIG,"Armonía"),"")))</f>
        <v/>
      </c>
      <c r="U468" t="str">
        <f>IF(S468="","",IF(S468="[FÓRMULA MANUAL]","",IFERROR(AVERAGEIFS(nNOTA,nNIA,S468,nCUENTA,1,nASIG,"Orquesta/Banda/Conjunto"),"")))</f>
        <v/>
      </c>
      <c r="V468" t="str">
        <f>IF(S468="","",IF(S468="[FÓRMULA MANUAL]","",IFERROR(AVERAGEIFS(nNOTA,nNIA,S468,nCUENTA,1,nASIG,"Música de Cámara"),"")))</f>
        <v/>
      </c>
      <c r="W468" t="str">
        <f>IF(S468="","",IF(S468="[FÓRMULA MANUAL]","",IFERROR(SUMPRODUCT((nNIA=S468)*(nCUENTA=1)*(COUNTIF(CONFIG_ASIGNATURAS!$B$7:$B$27,nASIG)&gt;0)*(nNOTA))/SUMPRODUCT((nNIA=S468)*(nCUENTA=1)*(COUNTIF(CONFIG_ASIGNATURAS!$B$7:$B$27,nASIG)&gt;0)*1),"")))</f>
        <v/>
      </c>
      <c r="Z468" t="str">
        <f>IF(Y468="","",IF(Y468="[FÓRMULA MANUAL]","",IFERROR(AVERAGEIFS(nNOTA,nNIA,Y468,nCUENTA,1,nASIG,"Análisis"),"")))</f>
        <v/>
      </c>
      <c r="AA468" t="str">
        <f>IF(Y468="","",IF(Y468="[FÓRMULA MANUAL]","",IFERROR(AVERAGEIFS(nNOTA,nNIA,Y468,nCUENTA,1,nASIG,"Orquesta/Banda/Conjunto"),"")))</f>
        <v/>
      </c>
      <c r="AB468" t="str">
        <f>IF(Y468="","",IF(Y468="[FÓRMULA MANUAL]","",IFERROR(AVERAGEIFS(nNOTA,nNIA,Y468,nCUENTA,1,nASIG,"Música de Cámara"),"")))</f>
        <v/>
      </c>
      <c r="AC468" t="str">
        <f>IF(Y468="","",IF(Y468="[FÓRMULA MANUAL]","",IFERROR(SUMPRODUCT((nNIA=Y468)*(nCUENTA=1)*(COUNTIF(CONFIG_ASIGNATURAS!$B$7:$B$27,nASIG)&gt;0)*(nNOTA))/SUMPRODUCT((nNIA=Y468)*(nCUENTA=1)*(COUNTIF(CONFIG_ASIGNATURAS!$B$7:$B$27,nASIG)&gt;0)*1),"")))</f>
        <v/>
      </c>
      <c r="AF468" t="str">
        <f>IF(AE468="","",IF(AE468="[FÓRMULA MANUAL]","",IFERROR(AVERAGEIFS(nNOTA,nNIA,AE468,nCUENTA,1,nASIG,"Análisis"),"")))</f>
        <v/>
      </c>
      <c r="AG468" t="str">
        <f>IF(AE468="","",IF(AE468="[FÓRMULA MANUAL]","",IFERROR(AVERAGEIFS(nNOTA,nNIA,AE468,nCUENTA,1,nASIG,"Orquesta/Banda/Conjunto"),"")))</f>
        <v/>
      </c>
      <c r="AH468" t="str">
        <f>IF(AE468="","",IF(AE468="[FÓRMULA MANUAL]","",IFERROR(AVERAGEIFS(nNOTA,nNIA,AE468,nCUENTA,1,nASIG,"Música de Cámara"),"")))</f>
        <v/>
      </c>
      <c r="AI468" t="str">
        <f>IF(AE468="","",IF(AE468="[FÓRMULA MANUAL]","",IFERROR(SUMPRODUCT((nNIA=AE468)*(nCUENTA=1)*(COUNTIF(CONFIG_ASIGNATURAS!$B$7:$B$27,nASIG)&gt;0)*(nNOTA))/SUMPRODUCT((nNIA=AE468)*(nCUENTA=1)*(COUNTIF(CONFIG_ASIGNATURAS!$B$7:$B$27,nASIG)&gt;0)*1),"")))</f>
        <v/>
      </c>
    </row>
    <row r="469" spans="2:35" x14ac:dyDescent="0.2">
      <c r="B469" t="str">
        <f>IF(A469="","",IF(A469="[FÓRMULA MANUAL]","",IFERROR(AVERAGEIFS(nNOTA,nNIA,A469,nCUENTA,1,nASIG,"Lenguaje Musical"),"")))</f>
        <v/>
      </c>
      <c r="C469" t="str">
        <f>IF(A469="","",IF(A469="[FÓRMULA MANUAL]","",IFERROR(AVERAGEIFS(nNOTA,nNIA,A469,nCUENTA,1,nASIG,"Orquesta/Banda/Conjunto"),"")))</f>
        <v/>
      </c>
      <c r="D469" t="str">
        <f>IF(A469="","",IF(A469="[FÓRMULA MANUAL]","",IFERROR(AVERAGEIFS(nNOTA,nNIA,A469,nCUENTA,1,nASIG,"Conjunto"),"")))</f>
        <v/>
      </c>
      <c r="E469" t="str">
        <f>IF(A469="","",IF(A469="[FÓRMULA MANUAL]","",IFERROR(SUMPRODUCT((nNIA=A469)*(nCUENTA=1)*(COUNTIF(CONFIG_ASIGNATURAS!$B$7:$B$27,nASIG)&gt;0)*(nNOTA))/SUMPRODUCT((nNIA=A469)*(nCUENTA=1)*(COUNTIF(CONFIG_ASIGNATURAS!$B$7:$B$27,nASIG)&gt;0)*1),"")))</f>
        <v/>
      </c>
      <c r="H469" t="str">
        <f>IF(G469="","",IF(G469="[FÓRMULA MANUAL]","",IFERROR(AVERAGEIFS(nNOTA,nNIA,G469,nCUENTA,1,nASIG,"Lenguaje Musical"),"")))</f>
        <v/>
      </c>
      <c r="I469" t="str">
        <f>IF(G469="","",IF(G469="[FÓRMULA MANUAL]","",IFERROR(AVERAGEIFS(nNOTA,nNIA,G469,nCUENTA,1,nASIG,"Orquesta/Banda/Conjunto"),"")))</f>
        <v/>
      </c>
      <c r="J469" t="str">
        <f>IF(G469="","",IF(G469="[FÓRMULA MANUAL]","",IFERROR(AVERAGEIFS(nNOTA,nNIA,G469,nCUENTA,1,nASIG,"Conjunto"),"")))</f>
        <v/>
      </c>
      <c r="K469" t="str">
        <f>IF(G469="","",IF(G469="[FÓRMULA MANUAL]","",IFERROR(SUMPRODUCT((nNIA=G469)*(nCUENTA=1)*(COUNTIF(CONFIG_ASIGNATURAS!$B$7:$B$27,nASIG)&gt;0)*(nNOTA))/SUMPRODUCT((nNIA=G469)*(nCUENTA=1)*(COUNTIF(CONFIG_ASIGNATURAS!$B$7:$B$27,nASIG)&gt;0)*1),"")))</f>
        <v/>
      </c>
      <c r="N469" t="str">
        <f>IF(M469="","",IF(M469="[FÓRMULA MANUAL]","",IFERROR(AVERAGEIFS(nNOTA,nNIA,M469,nCUENTA,1,nASIG,"Armonía"),"")))</f>
        <v/>
      </c>
      <c r="O469" t="str">
        <f>IF(M469="","",IF(M469="[FÓRMULA MANUAL]","",IFERROR(AVERAGEIFS(nNOTA,nNIA,M469,nCUENTA,1,nASIG,"Orquesta/Banda/Conjunto"),"")))</f>
        <v/>
      </c>
      <c r="P469" t="str">
        <f>IF(M469="","",IF(M469="[FÓRMULA MANUAL]","",IFERROR(AVERAGEIFS(nNOTA,nNIA,M469,nCUENTA,1,nASIG,"Música de Cámara"),"")))</f>
        <v/>
      </c>
      <c r="Q469" t="str">
        <f>IF(M469="","",IF(M469="[FÓRMULA MANUAL]","",IFERROR(SUMPRODUCT((nNIA=M469)*(nCUENTA=1)*(COUNTIF(CONFIG_ASIGNATURAS!$B$7:$B$27,nASIG)&gt;0)*(nNOTA))/SUMPRODUCT((nNIA=M469)*(nCUENTA=1)*(COUNTIF(CONFIG_ASIGNATURAS!$B$7:$B$27,nASIG)&gt;0)*1),"")))</f>
        <v/>
      </c>
      <c r="T469" t="str">
        <f>IF(S469="","",IF(S469="[FÓRMULA MANUAL]","",IFERROR(AVERAGEIFS(nNOTA,nNIA,S469,nCUENTA,1,nASIG,"Armonía"),"")))</f>
        <v/>
      </c>
      <c r="U469" t="str">
        <f>IF(S469="","",IF(S469="[FÓRMULA MANUAL]","",IFERROR(AVERAGEIFS(nNOTA,nNIA,S469,nCUENTA,1,nASIG,"Orquesta/Banda/Conjunto"),"")))</f>
        <v/>
      </c>
      <c r="V469" t="str">
        <f>IF(S469="","",IF(S469="[FÓRMULA MANUAL]","",IFERROR(AVERAGEIFS(nNOTA,nNIA,S469,nCUENTA,1,nASIG,"Música de Cámara"),"")))</f>
        <v/>
      </c>
      <c r="W469" t="str">
        <f>IF(S469="","",IF(S469="[FÓRMULA MANUAL]","",IFERROR(SUMPRODUCT((nNIA=S469)*(nCUENTA=1)*(COUNTIF(CONFIG_ASIGNATURAS!$B$7:$B$27,nASIG)&gt;0)*(nNOTA))/SUMPRODUCT((nNIA=S469)*(nCUENTA=1)*(COUNTIF(CONFIG_ASIGNATURAS!$B$7:$B$27,nASIG)&gt;0)*1),"")))</f>
        <v/>
      </c>
      <c r="Z469" t="str">
        <f>IF(Y469="","",IF(Y469="[FÓRMULA MANUAL]","",IFERROR(AVERAGEIFS(nNOTA,nNIA,Y469,nCUENTA,1,nASIG,"Análisis"),"")))</f>
        <v/>
      </c>
      <c r="AA469" t="str">
        <f>IF(Y469="","",IF(Y469="[FÓRMULA MANUAL]","",IFERROR(AVERAGEIFS(nNOTA,nNIA,Y469,nCUENTA,1,nASIG,"Orquesta/Banda/Conjunto"),"")))</f>
        <v/>
      </c>
      <c r="AB469" t="str">
        <f>IF(Y469="","",IF(Y469="[FÓRMULA MANUAL]","",IFERROR(AVERAGEIFS(nNOTA,nNIA,Y469,nCUENTA,1,nASIG,"Música de Cámara"),"")))</f>
        <v/>
      </c>
      <c r="AC469" t="str">
        <f>IF(Y469="","",IF(Y469="[FÓRMULA MANUAL]","",IFERROR(SUMPRODUCT((nNIA=Y469)*(nCUENTA=1)*(COUNTIF(CONFIG_ASIGNATURAS!$B$7:$B$27,nASIG)&gt;0)*(nNOTA))/SUMPRODUCT((nNIA=Y469)*(nCUENTA=1)*(COUNTIF(CONFIG_ASIGNATURAS!$B$7:$B$27,nASIG)&gt;0)*1),"")))</f>
        <v/>
      </c>
      <c r="AF469" t="str">
        <f>IF(AE469="","",IF(AE469="[FÓRMULA MANUAL]","",IFERROR(AVERAGEIFS(nNOTA,nNIA,AE469,nCUENTA,1,nASIG,"Análisis"),"")))</f>
        <v/>
      </c>
      <c r="AG469" t="str">
        <f>IF(AE469="","",IF(AE469="[FÓRMULA MANUAL]","",IFERROR(AVERAGEIFS(nNOTA,nNIA,AE469,nCUENTA,1,nASIG,"Orquesta/Banda/Conjunto"),"")))</f>
        <v/>
      </c>
      <c r="AH469" t="str">
        <f>IF(AE469="","",IF(AE469="[FÓRMULA MANUAL]","",IFERROR(AVERAGEIFS(nNOTA,nNIA,AE469,nCUENTA,1,nASIG,"Música de Cámara"),"")))</f>
        <v/>
      </c>
      <c r="AI469" t="str">
        <f>IF(AE469="","",IF(AE469="[FÓRMULA MANUAL]","",IFERROR(SUMPRODUCT((nNIA=AE469)*(nCUENTA=1)*(COUNTIF(CONFIG_ASIGNATURAS!$B$7:$B$27,nASIG)&gt;0)*(nNOTA))/SUMPRODUCT((nNIA=AE469)*(nCUENTA=1)*(COUNTIF(CONFIG_ASIGNATURAS!$B$7:$B$27,nASIG)&gt;0)*1),"")))</f>
        <v/>
      </c>
    </row>
    <row r="470" spans="2:35" x14ac:dyDescent="0.2">
      <c r="B470" t="str">
        <f>IF(A470="","",IF(A470="[FÓRMULA MANUAL]","",IFERROR(AVERAGEIFS(nNOTA,nNIA,A470,nCUENTA,1,nASIG,"Lenguaje Musical"),"")))</f>
        <v/>
      </c>
      <c r="C470" t="str">
        <f>IF(A470="","",IF(A470="[FÓRMULA MANUAL]","",IFERROR(AVERAGEIFS(nNOTA,nNIA,A470,nCUENTA,1,nASIG,"Orquesta/Banda/Conjunto"),"")))</f>
        <v/>
      </c>
      <c r="D470" t="str">
        <f>IF(A470="","",IF(A470="[FÓRMULA MANUAL]","",IFERROR(AVERAGEIFS(nNOTA,nNIA,A470,nCUENTA,1,nASIG,"Conjunto"),"")))</f>
        <v/>
      </c>
      <c r="E470" t="str">
        <f>IF(A470="","",IF(A470="[FÓRMULA MANUAL]","",IFERROR(SUMPRODUCT((nNIA=A470)*(nCUENTA=1)*(COUNTIF(CONFIG_ASIGNATURAS!$B$7:$B$27,nASIG)&gt;0)*(nNOTA))/SUMPRODUCT((nNIA=A470)*(nCUENTA=1)*(COUNTIF(CONFIG_ASIGNATURAS!$B$7:$B$27,nASIG)&gt;0)*1),"")))</f>
        <v/>
      </c>
      <c r="H470" t="str">
        <f>IF(G470="","",IF(G470="[FÓRMULA MANUAL]","",IFERROR(AVERAGEIFS(nNOTA,nNIA,G470,nCUENTA,1,nASIG,"Lenguaje Musical"),"")))</f>
        <v/>
      </c>
      <c r="I470" t="str">
        <f>IF(G470="","",IF(G470="[FÓRMULA MANUAL]","",IFERROR(AVERAGEIFS(nNOTA,nNIA,G470,nCUENTA,1,nASIG,"Orquesta/Banda/Conjunto"),"")))</f>
        <v/>
      </c>
      <c r="J470" t="str">
        <f>IF(G470="","",IF(G470="[FÓRMULA MANUAL]","",IFERROR(AVERAGEIFS(nNOTA,nNIA,G470,nCUENTA,1,nASIG,"Conjunto"),"")))</f>
        <v/>
      </c>
      <c r="K470" t="str">
        <f>IF(G470="","",IF(G470="[FÓRMULA MANUAL]","",IFERROR(SUMPRODUCT((nNIA=G470)*(nCUENTA=1)*(COUNTIF(CONFIG_ASIGNATURAS!$B$7:$B$27,nASIG)&gt;0)*(nNOTA))/SUMPRODUCT((nNIA=G470)*(nCUENTA=1)*(COUNTIF(CONFIG_ASIGNATURAS!$B$7:$B$27,nASIG)&gt;0)*1),"")))</f>
        <v/>
      </c>
      <c r="N470" t="str">
        <f>IF(M470="","",IF(M470="[FÓRMULA MANUAL]","",IFERROR(AVERAGEIFS(nNOTA,nNIA,M470,nCUENTA,1,nASIG,"Armonía"),"")))</f>
        <v/>
      </c>
      <c r="O470" t="str">
        <f>IF(M470="","",IF(M470="[FÓRMULA MANUAL]","",IFERROR(AVERAGEIFS(nNOTA,nNIA,M470,nCUENTA,1,nASIG,"Orquesta/Banda/Conjunto"),"")))</f>
        <v/>
      </c>
      <c r="P470" t="str">
        <f>IF(M470="","",IF(M470="[FÓRMULA MANUAL]","",IFERROR(AVERAGEIFS(nNOTA,nNIA,M470,nCUENTA,1,nASIG,"Música de Cámara"),"")))</f>
        <v/>
      </c>
      <c r="Q470" t="str">
        <f>IF(M470="","",IF(M470="[FÓRMULA MANUAL]","",IFERROR(SUMPRODUCT((nNIA=M470)*(nCUENTA=1)*(COUNTIF(CONFIG_ASIGNATURAS!$B$7:$B$27,nASIG)&gt;0)*(nNOTA))/SUMPRODUCT((nNIA=M470)*(nCUENTA=1)*(COUNTIF(CONFIG_ASIGNATURAS!$B$7:$B$27,nASIG)&gt;0)*1),"")))</f>
        <v/>
      </c>
      <c r="T470" t="str">
        <f>IF(S470="","",IF(S470="[FÓRMULA MANUAL]","",IFERROR(AVERAGEIFS(nNOTA,nNIA,S470,nCUENTA,1,nASIG,"Armonía"),"")))</f>
        <v/>
      </c>
      <c r="U470" t="str">
        <f>IF(S470="","",IF(S470="[FÓRMULA MANUAL]","",IFERROR(AVERAGEIFS(nNOTA,nNIA,S470,nCUENTA,1,nASIG,"Orquesta/Banda/Conjunto"),"")))</f>
        <v/>
      </c>
      <c r="V470" t="str">
        <f>IF(S470="","",IF(S470="[FÓRMULA MANUAL]","",IFERROR(AVERAGEIFS(nNOTA,nNIA,S470,nCUENTA,1,nASIG,"Música de Cámara"),"")))</f>
        <v/>
      </c>
      <c r="W470" t="str">
        <f>IF(S470="","",IF(S470="[FÓRMULA MANUAL]","",IFERROR(SUMPRODUCT((nNIA=S470)*(nCUENTA=1)*(COUNTIF(CONFIG_ASIGNATURAS!$B$7:$B$27,nASIG)&gt;0)*(nNOTA))/SUMPRODUCT((nNIA=S470)*(nCUENTA=1)*(COUNTIF(CONFIG_ASIGNATURAS!$B$7:$B$27,nASIG)&gt;0)*1),"")))</f>
        <v/>
      </c>
      <c r="Z470" t="str">
        <f>IF(Y470="","",IF(Y470="[FÓRMULA MANUAL]","",IFERROR(AVERAGEIFS(nNOTA,nNIA,Y470,nCUENTA,1,nASIG,"Análisis"),"")))</f>
        <v/>
      </c>
      <c r="AA470" t="str">
        <f>IF(Y470="","",IF(Y470="[FÓRMULA MANUAL]","",IFERROR(AVERAGEIFS(nNOTA,nNIA,Y470,nCUENTA,1,nASIG,"Orquesta/Banda/Conjunto"),"")))</f>
        <v/>
      </c>
      <c r="AB470" t="str">
        <f>IF(Y470="","",IF(Y470="[FÓRMULA MANUAL]","",IFERROR(AVERAGEIFS(nNOTA,nNIA,Y470,nCUENTA,1,nASIG,"Música de Cámara"),"")))</f>
        <v/>
      </c>
      <c r="AC470" t="str">
        <f>IF(Y470="","",IF(Y470="[FÓRMULA MANUAL]","",IFERROR(SUMPRODUCT((nNIA=Y470)*(nCUENTA=1)*(COUNTIF(CONFIG_ASIGNATURAS!$B$7:$B$27,nASIG)&gt;0)*(nNOTA))/SUMPRODUCT((nNIA=Y470)*(nCUENTA=1)*(COUNTIF(CONFIG_ASIGNATURAS!$B$7:$B$27,nASIG)&gt;0)*1),"")))</f>
        <v/>
      </c>
      <c r="AF470" t="str">
        <f>IF(AE470="","",IF(AE470="[FÓRMULA MANUAL]","",IFERROR(AVERAGEIFS(nNOTA,nNIA,AE470,nCUENTA,1,nASIG,"Análisis"),"")))</f>
        <v/>
      </c>
      <c r="AG470" t="str">
        <f>IF(AE470="","",IF(AE470="[FÓRMULA MANUAL]","",IFERROR(AVERAGEIFS(nNOTA,nNIA,AE470,nCUENTA,1,nASIG,"Orquesta/Banda/Conjunto"),"")))</f>
        <v/>
      </c>
      <c r="AH470" t="str">
        <f>IF(AE470="","",IF(AE470="[FÓRMULA MANUAL]","",IFERROR(AVERAGEIFS(nNOTA,nNIA,AE470,nCUENTA,1,nASIG,"Música de Cámara"),"")))</f>
        <v/>
      </c>
      <c r="AI470" t="str">
        <f>IF(AE470="","",IF(AE470="[FÓRMULA MANUAL]","",IFERROR(SUMPRODUCT((nNIA=AE470)*(nCUENTA=1)*(COUNTIF(CONFIG_ASIGNATURAS!$B$7:$B$27,nASIG)&gt;0)*(nNOTA))/SUMPRODUCT((nNIA=AE470)*(nCUENTA=1)*(COUNTIF(CONFIG_ASIGNATURAS!$B$7:$B$27,nASIG)&gt;0)*1),"")))</f>
        <v/>
      </c>
    </row>
    <row r="471" spans="2:35" x14ac:dyDescent="0.2">
      <c r="B471" t="str">
        <f>IF(A471="","",IF(A471="[FÓRMULA MANUAL]","",IFERROR(AVERAGEIFS(nNOTA,nNIA,A471,nCUENTA,1,nASIG,"Lenguaje Musical"),"")))</f>
        <v/>
      </c>
      <c r="C471" t="str">
        <f>IF(A471="","",IF(A471="[FÓRMULA MANUAL]","",IFERROR(AVERAGEIFS(nNOTA,nNIA,A471,nCUENTA,1,nASIG,"Orquesta/Banda/Conjunto"),"")))</f>
        <v/>
      </c>
      <c r="D471" t="str">
        <f>IF(A471="","",IF(A471="[FÓRMULA MANUAL]","",IFERROR(AVERAGEIFS(nNOTA,nNIA,A471,nCUENTA,1,nASIG,"Conjunto"),"")))</f>
        <v/>
      </c>
      <c r="E471" t="str">
        <f>IF(A471="","",IF(A471="[FÓRMULA MANUAL]","",IFERROR(SUMPRODUCT((nNIA=A471)*(nCUENTA=1)*(COUNTIF(CONFIG_ASIGNATURAS!$B$7:$B$27,nASIG)&gt;0)*(nNOTA))/SUMPRODUCT((nNIA=A471)*(nCUENTA=1)*(COUNTIF(CONFIG_ASIGNATURAS!$B$7:$B$27,nASIG)&gt;0)*1),"")))</f>
        <v/>
      </c>
      <c r="H471" t="str">
        <f>IF(G471="","",IF(G471="[FÓRMULA MANUAL]","",IFERROR(AVERAGEIFS(nNOTA,nNIA,G471,nCUENTA,1,nASIG,"Lenguaje Musical"),"")))</f>
        <v/>
      </c>
      <c r="I471" t="str">
        <f>IF(G471="","",IF(G471="[FÓRMULA MANUAL]","",IFERROR(AVERAGEIFS(nNOTA,nNIA,G471,nCUENTA,1,nASIG,"Orquesta/Banda/Conjunto"),"")))</f>
        <v/>
      </c>
      <c r="J471" t="str">
        <f>IF(G471="","",IF(G471="[FÓRMULA MANUAL]","",IFERROR(AVERAGEIFS(nNOTA,nNIA,G471,nCUENTA,1,nASIG,"Conjunto"),"")))</f>
        <v/>
      </c>
      <c r="K471" t="str">
        <f>IF(G471="","",IF(G471="[FÓRMULA MANUAL]","",IFERROR(SUMPRODUCT((nNIA=G471)*(nCUENTA=1)*(COUNTIF(CONFIG_ASIGNATURAS!$B$7:$B$27,nASIG)&gt;0)*(nNOTA))/SUMPRODUCT((nNIA=G471)*(nCUENTA=1)*(COUNTIF(CONFIG_ASIGNATURAS!$B$7:$B$27,nASIG)&gt;0)*1),"")))</f>
        <v/>
      </c>
      <c r="N471" t="str">
        <f>IF(M471="","",IF(M471="[FÓRMULA MANUAL]","",IFERROR(AVERAGEIFS(nNOTA,nNIA,M471,nCUENTA,1,nASIG,"Armonía"),"")))</f>
        <v/>
      </c>
      <c r="O471" t="str">
        <f>IF(M471="","",IF(M471="[FÓRMULA MANUAL]","",IFERROR(AVERAGEIFS(nNOTA,nNIA,M471,nCUENTA,1,nASIG,"Orquesta/Banda/Conjunto"),"")))</f>
        <v/>
      </c>
      <c r="P471" t="str">
        <f>IF(M471="","",IF(M471="[FÓRMULA MANUAL]","",IFERROR(AVERAGEIFS(nNOTA,nNIA,M471,nCUENTA,1,nASIG,"Música de Cámara"),"")))</f>
        <v/>
      </c>
      <c r="Q471" t="str">
        <f>IF(M471="","",IF(M471="[FÓRMULA MANUAL]","",IFERROR(SUMPRODUCT((nNIA=M471)*(nCUENTA=1)*(COUNTIF(CONFIG_ASIGNATURAS!$B$7:$B$27,nASIG)&gt;0)*(nNOTA))/SUMPRODUCT((nNIA=M471)*(nCUENTA=1)*(COUNTIF(CONFIG_ASIGNATURAS!$B$7:$B$27,nASIG)&gt;0)*1),"")))</f>
        <v/>
      </c>
      <c r="T471" t="str">
        <f>IF(S471="","",IF(S471="[FÓRMULA MANUAL]","",IFERROR(AVERAGEIFS(nNOTA,nNIA,S471,nCUENTA,1,nASIG,"Armonía"),"")))</f>
        <v/>
      </c>
      <c r="U471" t="str">
        <f>IF(S471="","",IF(S471="[FÓRMULA MANUAL]","",IFERROR(AVERAGEIFS(nNOTA,nNIA,S471,nCUENTA,1,nASIG,"Orquesta/Banda/Conjunto"),"")))</f>
        <v/>
      </c>
      <c r="V471" t="str">
        <f>IF(S471="","",IF(S471="[FÓRMULA MANUAL]","",IFERROR(AVERAGEIFS(nNOTA,nNIA,S471,nCUENTA,1,nASIG,"Música de Cámara"),"")))</f>
        <v/>
      </c>
      <c r="W471" t="str">
        <f>IF(S471="","",IF(S471="[FÓRMULA MANUAL]","",IFERROR(SUMPRODUCT((nNIA=S471)*(nCUENTA=1)*(COUNTIF(CONFIG_ASIGNATURAS!$B$7:$B$27,nASIG)&gt;0)*(nNOTA))/SUMPRODUCT((nNIA=S471)*(nCUENTA=1)*(COUNTIF(CONFIG_ASIGNATURAS!$B$7:$B$27,nASIG)&gt;0)*1),"")))</f>
        <v/>
      </c>
      <c r="Z471" t="str">
        <f>IF(Y471="","",IF(Y471="[FÓRMULA MANUAL]","",IFERROR(AVERAGEIFS(nNOTA,nNIA,Y471,nCUENTA,1,nASIG,"Análisis"),"")))</f>
        <v/>
      </c>
      <c r="AA471" t="str">
        <f>IF(Y471="","",IF(Y471="[FÓRMULA MANUAL]","",IFERROR(AVERAGEIFS(nNOTA,nNIA,Y471,nCUENTA,1,nASIG,"Orquesta/Banda/Conjunto"),"")))</f>
        <v/>
      </c>
      <c r="AB471" t="str">
        <f>IF(Y471="","",IF(Y471="[FÓRMULA MANUAL]","",IFERROR(AVERAGEIFS(nNOTA,nNIA,Y471,nCUENTA,1,nASIG,"Música de Cámara"),"")))</f>
        <v/>
      </c>
      <c r="AC471" t="str">
        <f>IF(Y471="","",IF(Y471="[FÓRMULA MANUAL]","",IFERROR(SUMPRODUCT((nNIA=Y471)*(nCUENTA=1)*(COUNTIF(CONFIG_ASIGNATURAS!$B$7:$B$27,nASIG)&gt;0)*(nNOTA))/SUMPRODUCT((nNIA=Y471)*(nCUENTA=1)*(COUNTIF(CONFIG_ASIGNATURAS!$B$7:$B$27,nASIG)&gt;0)*1),"")))</f>
        <v/>
      </c>
      <c r="AF471" t="str">
        <f>IF(AE471="","",IF(AE471="[FÓRMULA MANUAL]","",IFERROR(AVERAGEIFS(nNOTA,nNIA,AE471,nCUENTA,1,nASIG,"Análisis"),"")))</f>
        <v/>
      </c>
      <c r="AG471" t="str">
        <f>IF(AE471="","",IF(AE471="[FÓRMULA MANUAL]","",IFERROR(AVERAGEIFS(nNOTA,nNIA,AE471,nCUENTA,1,nASIG,"Orquesta/Banda/Conjunto"),"")))</f>
        <v/>
      </c>
      <c r="AH471" t="str">
        <f>IF(AE471="","",IF(AE471="[FÓRMULA MANUAL]","",IFERROR(AVERAGEIFS(nNOTA,nNIA,AE471,nCUENTA,1,nASIG,"Música de Cámara"),"")))</f>
        <v/>
      </c>
      <c r="AI471" t="str">
        <f>IF(AE471="","",IF(AE471="[FÓRMULA MANUAL]","",IFERROR(SUMPRODUCT((nNIA=AE471)*(nCUENTA=1)*(COUNTIF(CONFIG_ASIGNATURAS!$B$7:$B$27,nASIG)&gt;0)*(nNOTA))/SUMPRODUCT((nNIA=AE471)*(nCUENTA=1)*(COUNTIF(CONFIG_ASIGNATURAS!$B$7:$B$27,nASIG)&gt;0)*1),"")))</f>
        <v/>
      </c>
    </row>
    <row r="472" spans="2:35" x14ac:dyDescent="0.2">
      <c r="B472" t="str">
        <f>IF(A472="","",IF(A472="[FÓRMULA MANUAL]","",IFERROR(AVERAGEIFS(nNOTA,nNIA,A472,nCUENTA,1,nASIG,"Lenguaje Musical"),"")))</f>
        <v/>
      </c>
      <c r="C472" t="str">
        <f>IF(A472="","",IF(A472="[FÓRMULA MANUAL]","",IFERROR(AVERAGEIFS(nNOTA,nNIA,A472,nCUENTA,1,nASIG,"Orquesta/Banda/Conjunto"),"")))</f>
        <v/>
      </c>
      <c r="D472" t="str">
        <f>IF(A472="","",IF(A472="[FÓRMULA MANUAL]","",IFERROR(AVERAGEIFS(nNOTA,nNIA,A472,nCUENTA,1,nASIG,"Conjunto"),"")))</f>
        <v/>
      </c>
      <c r="E472" t="str">
        <f>IF(A472="","",IF(A472="[FÓRMULA MANUAL]","",IFERROR(SUMPRODUCT((nNIA=A472)*(nCUENTA=1)*(COUNTIF(CONFIG_ASIGNATURAS!$B$7:$B$27,nASIG)&gt;0)*(nNOTA))/SUMPRODUCT((nNIA=A472)*(nCUENTA=1)*(COUNTIF(CONFIG_ASIGNATURAS!$B$7:$B$27,nASIG)&gt;0)*1),"")))</f>
        <v/>
      </c>
      <c r="H472" t="str">
        <f>IF(G472="","",IF(G472="[FÓRMULA MANUAL]","",IFERROR(AVERAGEIFS(nNOTA,nNIA,G472,nCUENTA,1,nASIG,"Lenguaje Musical"),"")))</f>
        <v/>
      </c>
      <c r="I472" t="str">
        <f>IF(G472="","",IF(G472="[FÓRMULA MANUAL]","",IFERROR(AVERAGEIFS(nNOTA,nNIA,G472,nCUENTA,1,nASIG,"Orquesta/Banda/Conjunto"),"")))</f>
        <v/>
      </c>
      <c r="J472" t="str">
        <f>IF(G472="","",IF(G472="[FÓRMULA MANUAL]","",IFERROR(AVERAGEIFS(nNOTA,nNIA,G472,nCUENTA,1,nASIG,"Conjunto"),"")))</f>
        <v/>
      </c>
      <c r="K472" t="str">
        <f>IF(G472="","",IF(G472="[FÓRMULA MANUAL]","",IFERROR(SUMPRODUCT((nNIA=G472)*(nCUENTA=1)*(COUNTIF(CONFIG_ASIGNATURAS!$B$7:$B$27,nASIG)&gt;0)*(nNOTA))/SUMPRODUCT((nNIA=G472)*(nCUENTA=1)*(COUNTIF(CONFIG_ASIGNATURAS!$B$7:$B$27,nASIG)&gt;0)*1),"")))</f>
        <v/>
      </c>
      <c r="N472" t="str">
        <f>IF(M472="","",IF(M472="[FÓRMULA MANUAL]","",IFERROR(AVERAGEIFS(nNOTA,nNIA,M472,nCUENTA,1,nASIG,"Armonía"),"")))</f>
        <v/>
      </c>
      <c r="O472" t="str">
        <f>IF(M472="","",IF(M472="[FÓRMULA MANUAL]","",IFERROR(AVERAGEIFS(nNOTA,nNIA,M472,nCUENTA,1,nASIG,"Orquesta/Banda/Conjunto"),"")))</f>
        <v/>
      </c>
      <c r="P472" t="str">
        <f>IF(M472="","",IF(M472="[FÓRMULA MANUAL]","",IFERROR(AVERAGEIFS(nNOTA,nNIA,M472,nCUENTA,1,nASIG,"Música de Cámara"),"")))</f>
        <v/>
      </c>
      <c r="Q472" t="str">
        <f>IF(M472="","",IF(M472="[FÓRMULA MANUAL]","",IFERROR(SUMPRODUCT((nNIA=M472)*(nCUENTA=1)*(COUNTIF(CONFIG_ASIGNATURAS!$B$7:$B$27,nASIG)&gt;0)*(nNOTA))/SUMPRODUCT((nNIA=M472)*(nCUENTA=1)*(COUNTIF(CONFIG_ASIGNATURAS!$B$7:$B$27,nASIG)&gt;0)*1),"")))</f>
        <v/>
      </c>
      <c r="T472" t="str">
        <f>IF(S472="","",IF(S472="[FÓRMULA MANUAL]","",IFERROR(AVERAGEIFS(nNOTA,nNIA,S472,nCUENTA,1,nASIG,"Armonía"),"")))</f>
        <v/>
      </c>
      <c r="U472" t="str">
        <f>IF(S472="","",IF(S472="[FÓRMULA MANUAL]","",IFERROR(AVERAGEIFS(nNOTA,nNIA,S472,nCUENTA,1,nASIG,"Orquesta/Banda/Conjunto"),"")))</f>
        <v/>
      </c>
      <c r="V472" t="str">
        <f>IF(S472="","",IF(S472="[FÓRMULA MANUAL]","",IFERROR(AVERAGEIFS(nNOTA,nNIA,S472,nCUENTA,1,nASIG,"Música de Cámara"),"")))</f>
        <v/>
      </c>
      <c r="W472" t="str">
        <f>IF(S472="","",IF(S472="[FÓRMULA MANUAL]","",IFERROR(SUMPRODUCT((nNIA=S472)*(nCUENTA=1)*(COUNTIF(CONFIG_ASIGNATURAS!$B$7:$B$27,nASIG)&gt;0)*(nNOTA))/SUMPRODUCT((nNIA=S472)*(nCUENTA=1)*(COUNTIF(CONFIG_ASIGNATURAS!$B$7:$B$27,nASIG)&gt;0)*1),"")))</f>
        <v/>
      </c>
      <c r="Z472" t="str">
        <f>IF(Y472="","",IF(Y472="[FÓRMULA MANUAL]","",IFERROR(AVERAGEIFS(nNOTA,nNIA,Y472,nCUENTA,1,nASIG,"Análisis"),"")))</f>
        <v/>
      </c>
      <c r="AA472" t="str">
        <f>IF(Y472="","",IF(Y472="[FÓRMULA MANUAL]","",IFERROR(AVERAGEIFS(nNOTA,nNIA,Y472,nCUENTA,1,nASIG,"Orquesta/Banda/Conjunto"),"")))</f>
        <v/>
      </c>
      <c r="AB472" t="str">
        <f>IF(Y472="","",IF(Y472="[FÓRMULA MANUAL]","",IFERROR(AVERAGEIFS(nNOTA,nNIA,Y472,nCUENTA,1,nASIG,"Música de Cámara"),"")))</f>
        <v/>
      </c>
      <c r="AC472" t="str">
        <f>IF(Y472="","",IF(Y472="[FÓRMULA MANUAL]","",IFERROR(SUMPRODUCT((nNIA=Y472)*(nCUENTA=1)*(COUNTIF(CONFIG_ASIGNATURAS!$B$7:$B$27,nASIG)&gt;0)*(nNOTA))/SUMPRODUCT((nNIA=Y472)*(nCUENTA=1)*(COUNTIF(CONFIG_ASIGNATURAS!$B$7:$B$27,nASIG)&gt;0)*1),"")))</f>
        <v/>
      </c>
      <c r="AF472" t="str">
        <f>IF(AE472="","",IF(AE472="[FÓRMULA MANUAL]","",IFERROR(AVERAGEIFS(nNOTA,nNIA,AE472,nCUENTA,1,nASIG,"Análisis"),"")))</f>
        <v/>
      </c>
      <c r="AG472" t="str">
        <f>IF(AE472="","",IF(AE472="[FÓRMULA MANUAL]","",IFERROR(AVERAGEIFS(nNOTA,nNIA,AE472,nCUENTA,1,nASIG,"Orquesta/Banda/Conjunto"),"")))</f>
        <v/>
      </c>
      <c r="AH472" t="str">
        <f>IF(AE472="","",IF(AE472="[FÓRMULA MANUAL]","",IFERROR(AVERAGEIFS(nNOTA,nNIA,AE472,nCUENTA,1,nASIG,"Música de Cámara"),"")))</f>
        <v/>
      </c>
      <c r="AI472" t="str">
        <f>IF(AE472="","",IF(AE472="[FÓRMULA MANUAL]","",IFERROR(SUMPRODUCT((nNIA=AE472)*(nCUENTA=1)*(COUNTIF(CONFIG_ASIGNATURAS!$B$7:$B$27,nASIG)&gt;0)*(nNOTA))/SUMPRODUCT((nNIA=AE472)*(nCUENTA=1)*(COUNTIF(CONFIG_ASIGNATURAS!$B$7:$B$27,nASIG)&gt;0)*1),"")))</f>
        <v/>
      </c>
    </row>
    <row r="473" spans="2:35" x14ac:dyDescent="0.2">
      <c r="B473" t="str">
        <f>IF(A473="","",IF(A473="[FÓRMULA MANUAL]","",IFERROR(AVERAGEIFS(nNOTA,nNIA,A473,nCUENTA,1,nASIG,"Lenguaje Musical"),"")))</f>
        <v/>
      </c>
      <c r="C473" t="str">
        <f>IF(A473="","",IF(A473="[FÓRMULA MANUAL]","",IFERROR(AVERAGEIFS(nNOTA,nNIA,A473,nCUENTA,1,nASIG,"Orquesta/Banda/Conjunto"),"")))</f>
        <v/>
      </c>
      <c r="D473" t="str">
        <f>IF(A473="","",IF(A473="[FÓRMULA MANUAL]","",IFERROR(AVERAGEIFS(nNOTA,nNIA,A473,nCUENTA,1,nASIG,"Conjunto"),"")))</f>
        <v/>
      </c>
      <c r="E473" t="str">
        <f>IF(A473="","",IF(A473="[FÓRMULA MANUAL]","",IFERROR(SUMPRODUCT((nNIA=A473)*(nCUENTA=1)*(COUNTIF(CONFIG_ASIGNATURAS!$B$7:$B$27,nASIG)&gt;0)*(nNOTA))/SUMPRODUCT((nNIA=A473)*(nCUENTA=1)*(COUNTIF(CONFIG_ASIGNATURAS!$B$7:$B$27,nASIG)&gt;0)*1),"")))</f>
        <v/>
      </c>
      <c r="H473" t="str">
        <f>IF(G473="","",IF(G473="[FÓRMULA MANUAL]","",IFERROR(AVERAGEIFS(nNOTA,nNIA,G473,nCUENTA,1,nASIG,"Lenguaje Musical"),"")))</f>
        <v/>
      </c>
      <c r="I473" t="str">
        <f>IF(G473="","",IF(G473="[FÓRMULA MANUAL]","",IFERROR(AVERAGEIFS(nNOTA,nNIA,G473,nCUENTA,1,nASIG,"Orquesta/Banda/Conjunto"),"")))</f>
        <v/>
      </c>
      <c r="J473" t="str">
        <f>IF(G473="","",IF(G473="[FÓRMULA MANUAL]","",IFERROR(AVERAGEIFS(nNOTA,nNIA,G473,nCUENTA,1,nASIG,"Conjunto"),"")))</f>
        <v/>
      </c>
      <c r="K473" t="str">
        <f>IF(G473="","",IF(G473="[FÓRMULA MANUAL]","",IFERROR(SUMPRODUCT((nNIA=G473)*(nCUENTA=1)*(COUNTIF(CONFIG_ASIGNATURAS!$B$7:$B$27,nASIG)&gt;0)*(nNOTA))/SUMPRODUCT((nNIA=G473)*(nCUENTA=1)*(COUNTIF(CONFIG_ASIGNATURAS!$B$7:$B$27,nASIG)&gt;0)*1),"")))</f>
        <v/>
      </c>
      <c r="N473" t="str">
        <f>IF(M473="","",IF(M473="[FÓRMULA MANUAL]","",IFERROR(AVERAGEIFS(nNOTA,nNIA,M473,nCUENTA,1,nASIG,"Armonía"),"")))</f>
        <v/>
      </c>
      <c r="O473" t="str">
        <f>IF(M473="","",IF(M473="[FÓRMULA MANUAL]","",IFERROR(AVERAGEIFS(nNOTA,nNIA,M473,nCUENTA,1,nASIG,"Orquesta/Banda/Conjunto"),"")))</f>
        <v/>
      </c>
      <c r="P473" t="str">
        <f>IF(M473="","",IF(M473="[FÓRMULA MANUAL]","",IFERROR(AVERAGEIFS(nNOTA,nNIA,M473,nCUENTA,1,nASIG,"Música de Cámara"),"")))</f>
        <v/>
      </c>
      <c r="Q473" t="str">
        <f>IF(M473="","",IF(M473="[FÓRMULA MANUAL]","",IFERROR(SUMPRODUCT((nNIA=M473)*(nCUENTA=1)*(COUNTIF(CONFIG_ASIGNATURAS!$B$7:$B$27,nASIG)&gt;0)*(nNOTA))/SUMPRODUCT((nNIA=M473)*(nCUENTA=1)*(COUNTIF(CONFIG_ASIGNATURAS!$B$7:$B$27,nASIG)&gt;0)*1),"")))</f>
        <v/>
      </c>
      <c r="T473" t="str">
        <f>IF(S473="","",IF(S473="[FÓRMULA MANUAL]","",IFERROR(AVERAGEIFS(nNOTA,nNIA,S473,nCUENTA,1,nASIG,"Armonía"),"")))</f>
        <v/>
      </c>
      <c r="U473" t="str">
        <f>IF(S473="","",IF(S473="[FÓRMULA MANUAL]","",IFERROR(AVERAGEIFS(nNOTA,nNIA,S473,nCUENTA,1,nASIG,"Orquesta/Banda/Conjunto"),"")))</f>
        <v/>
      </c>
      <c r="V473" t="str">
        <f>IF(S473="","",IF(S473="[FÓRMULA MANUAL]","",IFERROR(AVERAGEIFS(nNOTA,nNIA,S473,nCUENTA,1,nASIG,"Música de Cámara"),"")))</f>
        <v/>
      </c>
      <c r="W473" t="str">
        <f>IF(S473="","",IF(S473="[FÓRMULA MANUAL]","",IFERROR(SUMPRODUCT((nNIA=S473)*(nCUENTA=1)*(COUNTIF(CONFIG_ASIGNATURAS!$B$7:$B$27,nASIG)&gt;0)*(nNOTA))/SUMPRODUCT((nNIA=S473)*(nCUENTA=1)*(COUNTIF(CONFIG_ASIGNATURAS!$B$7:$B$27,nASIG)&gt;0)*1),"")))</f>
        <v/>
      </c>
      <c r="Z473" t="str">
        <f>IF(Y473="","",IF(Y473="[FÓRMULA MANUAL]","",IFERROR(AVERAGEIFS(nNOTA,nNIA,Y473,nCUENTA,1,nASIG,"Análisis"),"")))</f>
        <v/>
      </c>
      <c r="AA473" t="str">
        <f>IF(Y473="","",IF(Y473="[FÓRMULA MANUAL]","",IFERROR(AVERAGEIFS(nNOTA,nNIA,Y473,nCUENTA,1,nASIG,"Orquesta/Banda/Conjunto"),"")))</f>
        <v/>
      </c>
      <c r="AB473" t="str">
        <f>IF(Y473="","",IF(Y473="[FÓRMULA MANUAL]","",IFERROR(AVERAGEIFS(nNOTA,nNIA,Y473,nCUENTA,1,nASIG,"Música de Cámara"),"")))</f>
        <v/>
      </c>
      <c r="AC473" t="str">
        <f>IF(Y473="","",IF(Y473="[FÓRMULA MANUAL]","",IFERROR(SUMPRODUCT((nNIA=Y473)*(nCUENTA=1)*(COUNTIF(CONFIG_ASIGNATURAS!$B$7:$B$27,nASIG)&gt;0)*(nNOTA))/SUMPRODUCT((nNIA=Y473)*(nCUENTA=1)*(COUNTIF(CONFIG_ASIGNATURAS!$B$7:$B$27,nASIG)&gt;0)*1),"")))</f>
        <v/>
      </c>
      <c r="AF473" t="str">
        <f>IF(AE473="","",IF(AE473="[FÓRMULA MANUAL]","",IFERROR(AVERAGEIFS(nNOTA,nNIA,AE473,nCUENTA,1,nASIG,"Análisis"),"")))</f>
        <v/>
      </c>
      <c r="AG473" t="str">
        <f>IF(AE473="","",IF(AE473="[FÓRMULA MANUAL]","",IFERROR(AVERAGEIFS(nNOTA,nNIA,AE473,nCUENTA,1,nASIG,"Orquesta/Banda/Conjunto"),"")))</f>
        <v/>
      </c>
      <c r="AH473" t="str">
        <f>IF(AE473="","",IF(AE473="[FÓRMULA MANUAL]","",IFERROR(AVERAGEIFS(nNOTA,nNIA,AE473,nCUENTA,1,nASIG,"Música de Cámara"),"")))</f>
        <v/>
      </c>
      <c r="AI473" t="str">
        <f>IF(AE473="","",IF(AE473="[FÓRMULA MANUAL]","",IFERROR(SUMPRODUCT((nNIA=AE473)*(nCUENTA=1)*(COUNTIF(CONFIG_ASIGNATURAS!$B$7:$B$27,nASIG)&gt;0)*(nNOTA))/SUMPRODUCT((nNIA=AE473)*(nCUENTA=1)*(COUNTIF(CONFIG_ASIGNATURAS!$B$7:$B$27,nASIG)&gt;0)*1),"")))</f>
        <v/>
      </c>
    </row>
    <row r="474" spans="2:35" x14ac:dyDescent="0.2">
      <c r="B474" t="str">
        <f>IF(A474="","",IF(A474="[FÓRMULA MANUAL]","",IFERROR(AVERAGEIFS(nNOTA,nNIA,A474,nCUENTA,1,nASIG,"Lenguaje Musical"),"")))</f>
        <v/>
      </c>
      <c r="C474" t="str">
        <f>IF(A474="","",IF(A474="[FÓRMULA MANUAL]","",IFERROR(AVERAGEIFS(nNOTA,nNIA,A474,nCUENTA,1,nASIG,"Orquesta/Banda/Conjunto"),"")))</f>
        <v/>
      </c>
      <c r="D474" t="str">
        <f>IF(A474="","",IF(A474="[FÓRMULA MANUAL]","",IFERROR(AVERAGEIFS(nNOTA,nNIA,A474,nCUENTA,1,nASIG,"Conjunto"),"")))</f>
        <v/>
      </c>
      <c r="E474" t="str">
        <f>IF(A474="","",IF(A474="[FÓRMULA MANUAL]","",IFERROR(SUMPRODUCT((nNIA=A474)*(nCUENTA=1)*(COUNTIF(CONFIG_ASIGNATURAS!$B$7:$B$27,nASIG)&gt;0)*(nNOTA))/SUMPRODUCT((nNIA=A474)*(nCUENTA=1)*(COUNTIF(CONFIG_ASIGNATURAS!$B$7:$B$27,nASIG)&gt;0)*1),"")))</f>
        <v/>
      </c>
      <c r="H474" t="str">
        <f>IF(G474="","",IF(G474="[FÓRMULA MANUAL]","",IFERROR(AVERAGEIFS(nNOTA,nNIA,G474,nCUENTA,1,nASIG,"Lenguaje Musical"),"")))</f>
        <v/>
      </c>
      <c r="I474" t="str">
        <f>IF(G474="","",IF(G474="[FÓRMULA MANUAL]","",IFERROR(AVERAGEIFS(nNOTA,nNIA,G474,nCUENTA,1,nASIG,"Orquesta/Banda/Conjunto"),"")))</f>
        <v/>
      </c>
      <c r="J474" t="str">
        <f>IF(G474="","",IF(G474="[FÓRMULA MANUAL]","",IFERROR(AVERAGEIFS(nNOTA,nNIA,G474,nCUENTA,1,nASIG,"Conjunto"),"")))</f>
        <v/>
      </c>
      <c r="K474" t="str">
        <f>IF(G474="","",IF(G474="[FÓRMULA MANUAL]","",IFERROR(SUMPRODUCT((nNIA=G474)*(nCUENTA=1)*(COUNTIF(CONFIG_ASIGNATURAS!$B$7:$B$27,nASIG)&gt;0)*(nNOTA))/SUMPRODUCT((nNIA=G474)*(nCUENTA=1)*(COUNTIF(CONFIG_ASIGNATURAS!$B$7:$B$27,nASIG)&gt;0)*1),"")))</f>
        <v/>
      </c>
      <c r="N474" t="str">
        <f>IF(M474="","",IF(M474="[FÓRMULA MANUAL]","",IFERROR(AVERAGEIFS(nNOTA,nNIA,M474,nCUENTA,1,nASIG,"Armonía"),"")))</f>
        <v/>
      </c>
      <c r="O474" t="str">
        <f>IF(M474="","",IF(M474="[FÓRMULA MANUAL]","",IFERROR(AVERAGEIFS(nNOTA,nNIA,M474,nCUENTA,1,nASIG,"Orquesta/Banda/Conjunto"),"")))</f>
        <v/>
      </c>
      <c r="P474" t="str">
        <f>IF(M474="","",IF(M474="[FÓRMULA MANUAL]","",IFERROR(AVERAGEIFS(nNOTA,nNIA,M474,nCUENTA,1,nASIG,"Música de Cámara"),"")))</f>
        <v/>
      </c>
      <c r="Q474" t="str">
        <f>IF(M474="","",IF(M474="[FÓRMULA MANUAL]","",IFERROR(SUMPRODUCT((nNIA=M474)*(nCUENTA=1)*(COUNTIF(CONFIG_ASIGNATURAS!$B$7:$B$27,nASIG)&gt;0)*(nNOTA))/SUMPRODUCT((nNIA=M474)*(nCUENTA=1)*(COUNTIF(CONFIG_ASIGNATURAS!$B$7:$B$27,nASIG)&gt;0)*1),"")))</f>
        <v/>
      </c>
      <c r="T474" t="str">
        <f>IF(S474="","",IF(S474="[FÓRMULA MANUAL]","",IFERROR(AVERAGEIFS(nNOTA,nNIA,S474,nCUENTA,1,nASIG,"Armonía"),"")))</f>
        <v/>
      </c>
      <c r="U474" t="str">
        <f>IF(S474="","",IF(S474="[FÓRMULA MANUAL]","",IFERROR(AVERAGEIFS(nNOTA,nNIA,S474,nCUENTA,1,nASIG,"Orquesta/Banda/Conjunto"),"")))</f>
        <v/>
      </c>
      <c r="V474" t="str">
        <f>IF(S474="","",IF(S474="[FÓRMULA MANUAL]","",IFERROR(AVERAGEIFS(nNOTA,nNIA,S474,nCUENTA,1,nASIG,"Música de Cámara"),"")))</f>
        <v/>
      </c>
      <c r="W474" t="str">
        <f>IF(S474="","",IF(S474="[FÓRMULA MANUAL]","",IFERROR(SUMPRODUCT((nNIA=S474)*(nCUENTA=1)*(COUNTIF(CONFIG_ASIGNATURAS!$B$7:$B$27,nASIG)&gt;0)*(nNOTA))/SUMPRODUCT((nNIA=S474)*(nCUENTA=1)*(COUNTIF(CONFIG_ASIGNATURAS!$B$7:$B$27,nASIG)&gt;0)*1),"")))</f>
        <v/>
      </c>
      <c r="Z474" t="str">
        <f>IF(Y474="","",IF(Y474="[FÓRMULA MANUAL]","",IFERROR(AVERAGEIFS(nNOTA,nNIA,Y474,nCUENTA,1,nASIG,"Análisis"),"")))</f>
        <v/>
      </c>
      <c r="AA474" t="str">
        <f>IF(Y474="","",IF(Y474="[FÓRMULA MANUAL]","",IFERROR(AVERAGEIFS(nNOTA,nNIA,Y474,nCUENTA,1,nASIG,"Orquesta/Banda/Conjunto"),"")))</f>
        <v/>
      </c>
      <c r="AB474" t="str">
        <f>IF(Y474="","",IF(Y474="[FÓRMULA MANUAL]","",IFERROR(AVERAGEIFS(nNOTA,nNIA,Y474,nCUENTA,1,nASIG,"Música de Cámara"),"")))</f>
        <v/>
      </c>
      <c r="AC474" t="str">
        <f>IF(Y474="","",IF(Y474="[FÓRMULA MANUAL]","",IFERROR(SUMPRODUCT((nNIA=Y474)*(nCUENTA=1)*(COUNTIF(CONFIG_ASIGNATURAS!$B$7:$B$27,nASIG)&gt;0)*(nNOTA))/SUMPRODUCT((nNIA=Y474)*(nCUENTA=1)*(COUNTIF(CONFIG_ASIGNATURAS!$B$7:$B$27,nASIG)&gt;0)*1),"")))</f>
        <v/>
      </c>
      <c r="AF474" t="str">
        <f>IF(AE474="","",IF(AE474="[FÓRMULA MANUAL]","",IFERROR(AVERAGEIFS(nNOTA,nNIA,AE474,nCUENTA,1,nASIG,"Análisis"),"")))</f>
        <v/>
      </c>
      <c r="AG474" t="str">
        <f>IF(AE474="","",IF(AE474="[FÓRMULA MANUAL]","",IFERROR(AVERAGEIFS(nNOTA,nNIA,AE474,nCUENTA,1,nASIG,"Orquesta/Banda/Conjunto"),"")))</f>
        <v/>
      </c>
      <c r="AH474" t="str">
        <f>IF(AE474="","",IF(AE474="[FÓRMULA MANUAL]","",IFERROR(AVERAGEIFS(nNOTA,nNIA,AE474,nCUENTA,1,nASIG,"Música de Cámara"),"")))</f>
        <v/>
      </c>
      <c r="AI474" t="str">
        <f>IF(AE474="","",IF(AE474="[FÓRMULA MANUAL]","",IFERROR(SUMPRODUCT((nNIA=AE474)*(nCUENTA=1)*(COUNTIF(CONFIG_ASIGNATURAS!$B$7:$B$27,nASIG)&gt;0)*(nNOTA))/SUMPRODUCT((nNIA=AE474)*(nCUENTA=1)*(COUNTIF(CONFIG_ASIGNATURAS!$B$7:$B$27,nASIG)&gt;0)*1),"")))</f>
        <v/>
      </c>
    </row>
    <row r="475" spans="2:35" x14ac:dyDescent="0.2">
      <c r="B475" t="str">
        <f>IF(A475="","",IF(A475="[FÓRMULA MANUAL]","",IFERROR(AVERAGEIFS(nNOTA,nNIA,A475,nCUENTA,1,nASIG,"Lenguaje Musical"),"")))</f>
        <v/>
      </c>
      <c r="C475" t="str">
        <f>IF(A475="","",IF(A475="[FÓRMULA MANUAL]","",IFERROR(AVERAGEIFS(nNOTA,nNIA,A475,nCUENTA,1,nASIG,"Orquesta/Banda/Conjunto"),"")))</f>
        <v/>
      </c>
      <c r="D475" t="str">
        <f>IF(A475="","",IF(A475="[FÓRMULA MANUAL]","",IFERROR(AVERAGEIFS(nNOTA,nNIA,A475,nCUENTA,1,nASIG,"Conjunto"),"")))</f>
        <v/>
      </c>
      <c r="E475" t="str">
        <f>IF(A475="","",IF(A475="[FÓRMULA MANUAL]","",IFERROR(SUMPRODUCT((nNIA=A475)*(nCUENTA=1)*(COUNTIF(CONFIG_ASIGNATURAS!$B$7:$B$27,nASIG)&gt;0)*(nNOTA))/SUMPRODUCT((nNIA=A475)*(nCUENTA=1)*(COUNTIF(CONFIG_ASIGNATURAS!$B$7:$B$27,nASIG)&gt;0)*1),"")))</f>
        <v/>
      </c>
      <c r="H475" t="str">
        <f>IF(G475="","",IF(G475="[FÓRMULA MANUAL]","",IFERROR(AVERAGEIFS(nNOTA,nNIA,G475,nCUENTA,1,nASIG,"Lenguaje Musical"),"")))</f>
        <v/>
      </c>
      <c r="I475" t="str">
        <f>IF(G475="","",IF(G475="[FÓRMULA MANUAL]","",IFERROR(AVERAGEIFS(nNOTA,nNIA,G475,nCUENTA,1,nASIG,"Orquesta/Banda/Conjunto"),"")))</f>
        <v/>
      </c>
      <c r="J475" t="str">
        <f>IF(G475="","",IF(G475="[FÓRMULA MANUAL]","",IFERROR(AVERAGEIFS(nNOTA,nNIA,G475,nCUENTA,1,nASIG,"Conjunto"),"")))</f>
        <v/>
      </c>
      <c r="K475" t="str">
        <f>IF(G475="","",IF(G475="[FÓRMULA MANUAL]","",IFERROR(SUMPRODUCT((nNIA=G475)*(nCUENTA=1)*(COUNTIF(CONFIG_ASIGNATURAS!$B$7:$B$27,nASIG)&gt;0)*(nNOTA))/SUMPRODUCT((nNIA=G475)*(nCUENTA=1)*(COUNTIF(CONFIG_ASIGNATURAS!$B$7:$B$27,nASIG)&gt;0)*1),"")))</f>
        <v/>
      </c>
      <c r="N475" t="str">
        <f>IF(M475="","",IF(M475="[FÓRMULA MANUAL]","",IFERROR(AVERAGEIFS(nNOTA,nNIA,M475,nCUENTA,1,nASIG,"Armonía"),"")))</f>
        <v/>
      </c>
      <c r="O475" t="str">
        <f>IF(M475="","",IF(M475="[FÓRMULA MANUAL]","",IFERROR(AVERAGEIFS(nNOTA,nNIA,M475,nCUENTA,1,nASIG,"Orquesta/Banda/Conjunto"),"")))</f>
        <v/>
      </c>
      <c r="P475" t="str">
        <f>IF(M475="","",IF(M475="[FÓRMULA MANUAL]","",IFERROR(AVERAGEIFS(nNOTA,nNIA,M475,nCUENTA,1,nASIG,"Música de Cámara"),"")))</f>
        <v/>
      </c>
      <c r="Q475" t="str">
        <f>IF(M475="","",IF(M475="[FÓRMULA MANUAL]","",IFERROR(SUMPRODUCT((nNIA=M475)*(nCUENTA=1)*(COUNTIF(CONFIG_ASIGNATURAS!$B$7:$B$27,nASIG)&gt;0)*(nNOTA))/SUMPRODUCT((nNIA=M475)*(nCUENTA=1)*(COUNTIF(CONFIG_ASIGNATURAS!$B$7:$B$27,nASIG)&gt;0)*1),"")))</f>
        <v/>
      </c>
      <c r="T475" t="str">
        <f>IF(S475="","",IF(S475="[FÓRMULA MANUAL]","",IFERROR(AVERAGEIFS(nNOTA,nNIA,S475,nCUENTA,1,nASIG,"Armonía"),"")))</f>
        <v/>
      </c>
      <c r="U475" t="str">
        <f>IF(S475="","",IF(S475="[FÓRMULA MANUAL]","",IFERROR(AVERAGEIFS(nNOTA,nNIA,S475,nCUENTA,1,nASIG,"Orquesta/Banda/Conjunto"),"")))</f>
        <v/>
      </c>
      <c r="V475" t="str">
        <f>IF(S475="","",IF(S475="[FÓRMULA MANUAL]","",IFERROR(AVERAGEIFS(nNOTA,nNIA,S475,nCUENTA,1,nASIG,"Música de Cámara"),"")))</f>
        <v/>
      </c>
      <c r="W475" t="str">
        <f>IF(S475="","",IF(S475="[FÓRMULA MANUAL]","",IFERROR(SUMPRODUCT((nNIA=S475)*(nCUENTA=1)*(COUNTIF(CONFIG_ASIGNATURAS!$B$7:$B$27,nASIG)&gt;0)*(nNOTA))/SUMPRODUCT((nNIA=S475)*(nCUENTA=1)*(COUNTIF(CONFIG_ASIGNATURAS!$B$7:$B$27,nASIG)&gt;0)*1),"")))</f>
        <v/>
      </c>
      <c r="Z475" t="str">
        <f>IF(Y475="","",IF(Y475="[FÓRMULA MANUAL]","",IFERROR(AVERAGEIFS(nNOTA,nNIA,Y475,nCUENTA,1,nASIG,"Análisis"),"")))</f>
        <v/>
      </c>
      <c r="AA475" t="str">
        <f>IF(Y475="","",IF(Y475="[FÓRMULA MANUAL]","",IFERROR(AVERAGEIFS(nNOTA,nNIA,Y475,nCUENTA,1,nASIG,"Orquesta/Banda/Conjunto"),"")))</f>
        <v/>
      </c>
      <c r="AB475" t="str">
        <f>IF(Y475="","",IF(Y475="[FÓRMULA MANUAL]","",IFERROR(AVERAGEIFS(nNOTA,nNIA,Y475,nCUENTA,1,nASIG,"Música de Cámara"),"")))</f>
        <v/>
      </c>
      <c r="AC475" t="str">
        <f>IF(Y475="","",IF(Y475="[FÓRMULA MANUAL]","",IFERROR(SUMPRODUCT((nNIA=Y475)*(nCUENTA=1)*(COUNTIF(CONFIG_ASIGNATURAS!$B$7:$B$27,nASIG)&gt;0)*(nNOTA))/SUMPRODUCT((nNIA=Y475)*(nCUENTA=1)*(COUNTIF(CONFIG_ASIGNATURAS!$B$7:$B$27,nASIG)&gt;0)*1),"")))</f>
        <v/>
      </c>
      <c r="AF475" t="str">
        <f>IF(AE475="","",IF(AE475="[FÓRMULA MANUAL]","",IFERROR(AVERAGEIFS(nNOTA,nNIA,AE475,nCUENTA,1,nASIG,"Análisis"),"")))</f>
        <v/>
      </c>
      <c r="AG475" t="str">
        <f>IF(AE475="","",IF(AE475="[FÓRMULA MANUAL]","",IFERROR(AVERAGEIFS(nNOTA,nNIA,AE475,nCUENTA,1,nASIG,"Orquesta/Banda/Conjunto"),"")))</f>
        <v/>
      </c>
      <c r="AH475" t="str">
        <f>IF(AE475="","",IF(AE475="[FÓRMULA MANUAL]","",IFERROR(AVERAGEIFS(nNOTA,nNIA,AE475,nCUENTA,1,nASIG,"Música de Cámara"),"")))</f>
        <v/>
      </c>
      <c r="AI475" t="str">
        <f>IF(AE475="","",IF(AE475="[FÓRMULA MANUAL]","",IFERROR(SUMPRODUCT((nNIA=AE475)*(nCUENTA=1)*(COUNTIF(CONFIG_ASIGNATURAS!$B$7:$B$27,nASIG)&gt;0)*(nNOTA))/SUMPRODUCT((nNIA=AE475)*(nCUENTA=1)*(COUNTIF(CONFIG_ASIGNATURAS!$B$7:$B$27,nASIG)&gt;0)*1),"")))</f>
        <v/>
      </c>
    </row>
    <row r="476" spans="2:35" x14ac:dyDescent="0.2">
      <c r="B476" t="str">
        <f>IF(A476="","",IF(A476="[FÓRMULA MANUAL]","",IFERROR(AVERAGEIFS(nNOTA,nNIA,A476,nCUENTA,1,nASIG,"Lenguaje Musical"),"")))</f>
        <v/>
      </c>
      <c r="C476" t="str">
        <f>IF(A476="","",IF(A476="[FÓRMULA MANUAL]","",IFERROR(AVERAGEIFS(nNOTA,nNIA,A476,nCUENTA,1,nASIG,"Orquesta/Banda/Conjunto"),"")))</f>
        <v/>
      </c>
      <c r="D476" t="str">
        <f>IF(A476="","",IF(A476="[FÓRMULA MANUAL]","",IFERROR(AVERAGEIFS(nNOTA,nNIA,A476,nCUENTA,1,nASIG,"Conjunto"),"")))</f>
        <v/>
      </c>
      <c r="E476" t="str">
        <f>IF(A476="","",IF(A476="[FÓRMULA MANUAL]","",IFERROR(SUMPRODUCT((nNIA=A476)*(nCUENTA=1)*(COUNTIF(CONFIG_ASIGNATURAS!$B$7:$B$27,nASIG)&gt;0)*(nNOTA))/SUMPRODUCT((nNIA=A476)*(nCUENTA=1)*(COUNTIF(CONFIG_ASIGNATURAS!$B$7:$B$27,nASIG)&gt;0)*1),"")))</f>
        <v/>
      </c>
      <c r="H476" t="str">
        <f>IF(G476="","",IF(G476="[FÓRMULA MANUAL]","",IFERROR(AVERAGEIFS(nNOTA,nNIA,G476,nCUENTA,1,nASIG,"Lenguaje Musical"),"")))</f>
        <v/>
      </c>
      <c r="I476" t="str">
        <f>IF(G476="","",IF(G476="[FÓRMULA MANUAL]","",IFERROR(AVERAGEIFS(nNOTA,nNIA,G476,nCUENTA,1,nASIG,"Orquesta/Banda/Conjunto"),"")))</f>
        <v/>
      </c>
      <c r="J476" t="str">
        <f>IF(G476="","",IF(G476="[FÓRMULA MANUAL]","",IFERROR(AVERAGEIFS(nNOTA,nNIA,G476,nCUENTA,1,nASIG,"Conjunto"),"")))</f>
        <v/>
      </c>
      <c r="K476" t="str">
        <f>IF(G476="","",IF(G476="[FÓRMULA MANUAL]","",IFERROR(SUMPRODUCT((nNIA=G476)*(nCUENTA=1)*(COUNTIF(CONFIG_ASIGNATURAS!$B$7:$B$27,nASIG)&gt;0)*(nNOTA))/SUMPRODUCT((nNIA=G476)*(nCUENTA=1)*(COUNTIF(CONFIG_ASIGNATURAS!$B$7:$B$27,nASIG)&gt;0)*1),"")))</f>
        <v/>
      </c>
      <c r="N476" t="str">
        <f>IF(M476="","",IF(M476="[FÓRMULA MANUAL]","",IFERROR(AVERAGEIFS(nNOTA,nNIA,M476,nCUENTA,1,nASIG,"Armonía"),"")))</f>
        <v/>
      </c>
      <c r="O476" t="str">
        <f>IF(M476="","",IF(M476="[FÓRMULA MANUAL]","",IFERROR(AVERAGEIFS(nNOTA,nNIA,M476,nCUENTA,1,nASIG,"Orquesta/Banda/Conjunto"),"")))</f>
        <v/>
      </c>
      <c r="P476" t="str">
        <f>IF(M476="","",IF(M476="[FÓRMULA MANUAL]","",IFERROR(AVERAGEIFS(nNOTA,nNIA,M476,nCUENTA,1,nASIG,"Música de Cámara"),"")))</f>
        <v/>
      </c>
      <c r="Q476" t="str">
        <f>IF(M476="","",IF(M476="[FÓRMULA MANUAL]","",IFERROR(SUMPRODUCT((nNIA=M476)*(nCUENTA=1)*(COUNTIF(CONFIG_ASIGNATURAS!$B$7:$B$27,nASIG)&gt;0)*(nNOTA))/SUMPRODUCT((nNIA=M476)*(nCUENTA=1)*(COUNTIF(CONFIG_ASIGNATURAS!$B$7:$B$27,nASIG)&gt;0)*1),"")))</f>
        <v/>
      </c>
      <c r="T476" t="str">
        <f>IF(S476="","",IF(S476="[FÓRMULA MANUAL]","",IFERROR(AVERAGEIFS(nNOTA,nNIA,S476,nCUENTA,1,nASIG,"Armonía"),"")))</f>
        <v/>
      </c>
      <c r="U476" t="str">
        <f>IF(S476="","",IF(S476="[FÓRMULA MANUAL]","",IFERROR(AVERAGEIFS(nNOTA,nNIA,S476,nCUENTA,1,nASIG,"Orquesta/Banda/Conjunto"),"")))</f>
        <v/>
      </c>
      <c r="V476" t="str">
        <f>IF(S476="","",IF(S476="[FÓRMULA MANUAL]","",IFERROR(AVERAGEIFS(nNOTA,nNIA,S476,nCUENTA,1,nASIG,"Música de Cámara"),"")))</f>
        <v/>
      </c>
      <c r="W476" t="str">
        <f>IF(S476="","",IF(S476="[FÓRMULA MANUAL]","",IFERROR(SUMPRODUCT((nNIA=S476)*(nCUENTA=1)*(COUNTIF(CONFIG_ASIGNATURAS!$B$7:$B$27,nASIG)&gt;0)*(nNOTA))/SUMPRODUCT((nNIA=S476)*(nCUENTA=1)*(COUNTIF(CONFIG_ASIGNATURAS!$B$7:$B$27,nASIG)&gt;0)*1),"")))</f>
        <v/>
      </c>
      <c r="Z476" t="str">
        <f>IF(Y476="","",IF(Y476="[FÓRMULA MANUAL]","",IFERROR(AVERAGEIFS(nNOTA,nNIA,Y476,nCUENTA,1,nASIG,"Análisis"),"")))</f>
        <v/>
      </c>
      <c r="AA476" t="str">
        <f>IF(Y476="","",IF(Y476="[FÓRMULA MANUAL]","",IFERROR(AVERAGEIFS(nNOTA,nNIA,Y476,nCUENTA,1,nASIG,"Orquesta/Banda/Conjunto"),"")))</f>
        <v/>
      </c>
      <c r="AB476" t="str">
        <f>IF(Y476="","",IF(Y476="[FÓRMULA MANUAL]","",IFERROR(AVERAGEIFS(nNOTA,nNIA,Y476,nCUENTA,1,nASIG,"Música de Cámara"),"")))</f>
        <v/>
      </c>
      <c r="AC476" t="str">
        <f>IF(Y476="","",IF(Y476="[FÓRMULA MANUAL]","",IFERROR(SUMPRODUCT((nNIA=Y476)*(nCUENTA=1)*(COUNTIF(CONFIG_ASIGNATURAS!$B$7:$B$27,nASIG)&gt;0)*(nNOTA))/SUMPRODUCT((nNIA=Y476)*(nCUENTA=1)*(COUNTIF(CONFIG_ASIGNATURAS!$B$7:$B$27,nASIG)&gt;0)*1),"")))</f>
        <v/>
      </c>
      <c r="AF476" t="str">
        <f>IF(AE476="","",IF(AE476="[FÓRMULA MANUAL]","",IFERROR(AVERAGEIFS(nNOTA,nNIA,AE476,nCUENTA,1,nASIG,"Análisis"),"")))</f>
        <v/>
      </c>
      <c r="AG476" t="str">
        <f>IF(AE476="","",IF(AE476="[FÓRMULA MANUAL]","",IFERROR(AVERAGEIFS(nNOTA,nNIA,AE476,nCUENTA,1,nASIG,"Orquesta/Banda/Conjunto"),"")))</f>
        <v/>
      </c>
      <c r="AH476" t="str">
        <f>IF(AE476="","",IF(AE476="[FÓRMULA MANUAL]","",IFERROR(AVERAGEIFS(nNOTA,nNIA,AE476,nCUENTA,1,nASIG,"Música de Cámara"),"")))</f>
        <v/>
      </c>
      <c r="AI476" t="str">
        <f>IF(AE476="","",IF(AE476="[FÓRMULA MANUAL]","",IFERROR(SUMPRODUCT((nNIA=AE476)*(nCUENTA=1)*(COUNTIF(CONFIG_ASIGNATURAS!$B$7:$B$27,nASIG)&gt;0)*(nNOTA))/SUMPRODUCT((nNIA=AE476)*(nCUENTA=1)*(COUNTIF(CONFIG_ASIGNATURAS!$B$7:$B$27,nASIG)&gt;0)*1),"")))</f>
        <v/>
      </c>
    </row>
    <row r="477" spans="2:35" x14ac:dyDescent="0.2">
      <c r="B477" t="str">
        <f>IF(A477="","",IF(A477="[FÓRMULA MANUAL]","",IFERROR(AVERAGEIFS(nNOTA,nNIA,A477,nCUENTA,1,nASIG,"Lenguaje Musical"),"")))</f>
        <v/>
      </c>
      <c r="C477" t="str">
        <f>IF(A477="","",IF(A477="[FÓRMULA MANUAL]","",IFERROR(AVERAGEIFS(nNOTA,nNIA,A477,nCUENTA,1,nASIG,"Orquesta/Banda/Conjunto"),"")))</f>
        <v/>
      </c>
      <c r="D477" t="str">
        <f>IF(A477="","",IF(A477="[FÓRMULA MANUAL]","",IFERROR(AVERAGEIFS(nNOTA,nNIA,A477,nCUENTA,1,nASIG,"Conjunto"),"")))</f>
        <v/>
      </c>
      <c r="E477" t="str">
        <f>IF(A477="","",IF(A477="[FÓRMULA MANUAL]","",IFERROR(SUMPRODUCT((nNIA=A477)*(nCUENTA=1)*(COUNTIF(CONFIG_ASIGNATURAS!$B$7:$B$27,nASIG)&gt;0)*(nNOTA))/SUMPRODUCT((nNIA=A477)*(nCUENTA=1)*(COUNTIF(CONFIG_ASIGNATURAS!$B$7:$B$27,nASIG)&gt;0)*1),"")))</f>
        <v/>
      </c>
      <c r="H477" t="str">
        <f>IF(G477="","",IF(G477="[FÓRMULA MANUAL]","",IFERROR(AVERAGEIFS(nNOTA,nNIA,G477,nCUENTA,1,nASIG,"Lenguaje Musical"),"")))</f>
        <v/>
      </c>
      <c r="I477" t="str">
        <f>IF(G477="","",IF(G477="[FÓRMULA MANUAL]","",IFERROR(AVERAGEIFS(nNOTA,nNIA,G477,nCUENTA,1,nASIG,"Orquesta/Banda/Conjunto"),"")))</f>
        <v/>
      </c>
      <c r="J477" t="str">
        <f>IF(G477="","",IF(G477="[FÓRMULA MANUAL]","",IFERROR(AVERAGEIFS(nNOTA,nNIA,G477,nCUENTA,1,nASIG,"Conjunto"),"")))</f>
        <v/>
      </c>
      <c r="K477" t="str">
        <f>IF(G477="","",IF(G477="[FÓRMULA MANUAL]","",IFERROR(SUMPRODUCT((nNIA=G477)*(nCUENTA=1)*(COUNTIF(CONFIG_ASIGNATURAS!$B$7:$B$27,nASIG)&gt;0)*(nNOTA))/SUMPRODUCT((nNIA=G477)*(nCUENTA=1)*(COUNTIF(CONFIG_ASIGNATURAS!$B$7:$B$27,nASIG)&gt;0)*1),"")))</f>
        <v/>
      </c>
      <c r="N477" t="str">
        <f>IF(M477="","",IF(M477="[FÓRMULA MANUAL]","",IFERROR(AVERAGEIFS(nNOTA,nNIA,M477,nCUENTA,1,nASIG,"Armonía"),"")))</f>
        <v/>
      </c>
      <c r="O477" t="str">
        <f>IF(M477="","",IF(M477="[FÓRMULA MANUAL]","",IFERROR(AVERAGEIFS(nNOTA,nNIA,M477,nCUENTA,1,nASIG,"Orquesta/Banda/Conjunto"),"")))</f>
        <v/>
      </c>
      <c r="P477" t="str">
        <f>IF(M477="","",IF(M477="[FÓRMULA MANUAL]","",IFERROR(AVERAGEIFS(nNOTA,nNIA,M477,nCUENTA,1,nASIG,"Música de Cámara"),"")))</f>
        <v/>
      </c>
      <c r="Q477" t="str">
        <f>IF(M477="","",IF(M477="[FÓRMULA MANUAL]","",IFERROR(SUMPRODUCT((nNIA=M477)*(nCUENTA=1)*(COUNTIF(CONFIG_ASIGNATURAS!$B$7:$B$27,nASIG)&gt;0)*(nNOTA))/SUMPRODUCT((nNIA=M477)*(nCUENTA=1)*(COUNTIF(CONFIG_ASIGNATURAS!$B$7:$B$27,nASIG)&gt;0)*1),"")))</f>
        <v/>
      </c>
      <c r="T477" t="str">
        <f>IF(S477="","",IF(S477="[FÓRMULA MANUAL]","",IFERROR(AVERAGEIFS(nNOTA,nNIA,S477,nCUENTA,1,nASIG,"Armonía"),"")))</f>
        <v/>
      </c>
      <c r="U477" t="str">
        <f>IF(S477="","",IF(S477="[FÓRMULA MANUAL]","",IFERROR(AVERAGEIFS(nNOTA,nNIA,S477,nCUENTA,1,nASIG,"Orquesta/Banda/Conjunto"),"")))</f>
        <v/>
      </c>
      <c r="V477" t="str">
        <f>IF(S477="","",IF(S477="[FÓRMULA MANUAL]","",IFERROR(AVERAGEIFS(nNOTA,nNIA,S477,nCUENTA,1,nASIG,"Música de Cámara"),"")))</f>
        <v/>
      </c>
      <c r="W477" t="str">
        <f>IF(S477="","",IF(S477="[FÓRMULA MANUAL]","",IFERROR(SUMPRODUCT((nNIA=S477)*(nCUENTA=1)*(COUNTIF(CONFIG_ASIGNATURAS!$B$7:$B$27,nASIG)&gt;0)*(nNOTA))/SUMPRODUCT((nNIA=S477)*(nCUENTA=1)*(COUNTIF(CONFIG_ASIGNATURAS!$B$7:$B$27,nASIG)&gt;0)*1),"")))</f>
        <v/>
      </c>
      <c r="Z477" t="str">
        <f>IF(Y477="","",IF(Y477="[FÓRMULA MANUAL]","",IFERROR(AVERAGEIFS(nNOTA,nNIA,Y477,nCUENTA,1,nASIG,"Análisis"),"")))</f>
        <v/>
      </c>
      <c r="AA477" t="str">
        <f>IF(Y477="","",IF(Y477="[FÓRMULA MANUAL]","",IFERROR(AVERAGEIFS(nNOTA,nNIA,Y477,nCUENTA,1,nASIG,"Orquesta/Banda/Conjunto"),"")))</f>
        <v/>
      </c>
      <c r="AB477" t="str">
        <f>IF(Y477="","",IF(Y477="[FÓRMULA MANUAL]","",IFERROR(AVERAGEIFS(nNOTA,nNIA,Y477,nCUENTA,1,nASIG,"Música de Cámara"),"")))</f>
        <v/>
      </c>
      <c r="AC477" t="str">
        <f>IF(Y477="","",IF(Y477="[FÓRMULA MANUAL]","",IFERROR(SUMPRODUCT((nNIA=Y477)*(nCUENTA=1)*(COUNTIF(CONFIG_ASIGNATURAS!$B$7:$B$27,nASIG)&gt;0)*(nNOTA))/SUMPRODUCT((nNIA=Y477)*(nCUENTA=1)*(COUNTIF(CONFIG_ASIGNATURAS!$B$7:$B$27,nASIG)&gt;0)*1),"")))</f>
        <v/>
      </c>
      <c r="AF477" t="str">
        <f>IF(AE477="","",IF(AE477="[FÓRMULA MANUAL]","",IFERROR(AVERAGEIFS(nNOTA,nNIA,AE477,nCUENTA,1,nASIG,"Análisis"),"")))</f>
        <v/>
      </c>
      <c r="AG477" t="str">
        <f>IF(AE477="","",IF(AE477="[FÓRMULA MANUAL]","",IFERROR(AVERAGEIFS(nNOTA,nNIA,AE477,nCUENTA,1,nASIG,"Orquesta/Banda/Conjunto"),"")))</f>
        <v/>
      </c>
      <c r="AH477" t="str">
        <f>IF(AE477="","",IF(AE477="[FÓRMULA MANUAL]","",IFERROR(AVERAGEIFS(nNOTA,nNIA,AE477,nCUENTA,1,nASIG,"Música de Cámara"),"")))</f>
        <v/>
      </c>
      <c r="AI477" t="str">
        <f>IF(AE477="","",IF(AE477="[FÓRMULA MANUAL]","",IFERROR(SUMPRODUCT((nNIA=AE477)*(nCUENTA=1)*(COUNTIF(CONFIG_ASIGNATURAS!$B$7:$B$27,nASIG)&gt;0)*(nNOTA))/SUMPRODUCT((nNIA=AE477)*(nCUENTA=1)*(COUNTIF(CONFIG_ASIGNATURAS!$B$7:$B$27,nASIG)&gt;0)*1),"")))</f>
        <v/>
      </c>
    </row>
    <row r="478" spans="2:35" x14ac:dyDescent="0.2">
      <c r="B478" t="str">
        <f>IF(A478="","",IF(A478="[FÓRMULA MANUAL]","",IFERROR(AVERAGEIFS(nNOTA,nNIA,A478,nCUENTA,1,nASIG,"Lenguaje Musical"),"")))</f>
        <v/>
      </c>
      <c r="C478" t="str">
        <f>IF(A478="","",IF(A478="[FÓRMULA MANUAL]","",IFERROR(AVERAGEIFS(nNOTA,nNIA,A478,nCUENTA,1,nASIG,"Orquesta/Banda/Conjunto"),"")))</f>
        <v/>
      </c>
      <c r="D478" t="str">
        <f>IF(A478="","",IF(A478="[FÓRMULA MANUAL]","",IFERROR(AVERAGEIFS(nNOTA,nNIA,A478,nCUENTA,1,nASIG,"Conjunto"),"")))</f>
        <v/>
      </c>
      <c r="E478" t="str">
        <f>IF(A478="","",IF(A478="[FÓRMULA MANUAL]","",IFERROR(SUMPRODUCT((nNIA=A478)*(nCUENTA=1)*(COUNTIF(CONFIG_ASIGNATURAS!$B$7:$B$27,nASIG)&gt;0)*(nNOTA))/SUMPRODUCT((nNIA=A478)*(nCUENTA=1)*(COUNTIF(CONFIG_ASIGNATURAS!$B$7:$B$27,nASIG)&gt;0)*1),"")))</f>
        <v/>
      </c>
      <c r="H478" t="str">
        <f>IF(G478="","",IF(G478="[FÓRMULA MANUAL]","",IFERROR(AVERAGEIFS(nNOTA,nNIA,G478,nCUENTA,1,nASIG,"Lenguaje Musical"),"")))</f>
        <v/>
      </c>
      <c r="I478" t="str">
        <f>IF(G478="","",IF(G478="[FÓRMULA MANUAL]","",IFERROR(AVERAGEIFS(nNOTA,nNIA,G478,nCUENTA,1,nASIG,"Orquesta/Banda/Conjunto"),"")))</f>
        <v/>
      </c>
      <c r="J478" t="str">
        <f>IF(G478="","",IF(G478="[FÓRMULA MANUAL]","",IFERROR(AVERAGEIFS(nNOTA,nNIA,G478,nCUENTA,1,nASIG,"Conjunto"),"")))</f>
        <v/>
      </c>
      <c r="K478" t="str">
        <f>IF(G478="","",IF(G478="[FÓRMULA MANUAL]","",IFERROR(SUMPRODUCT((nNIA=G478)*(nCUENTA=1)*(COUNTIF(CONFIG_ASIGNATURAS!$B$7:$B$27,nASIG)&gt;0)*(nNOTA))/SUMPRODUCT((nNIA=G478)*(nCUENTA=1)*(COUNTIF(CONFIG_ASIGNATURAS!$B$7:$B$27,nASIG)&gt;0)*1),"")))</f>
        <v/>
      </c>
      <c r="N478" t="str">
        <f>IF(M478="","",IF(M478="[FÓRMULA MANUAL]","",IFERROR(AVERAGEIFS(nNOTA,nNIA,M478,nCUENTA,1,nASIG,"Armonía"),"")))</f>
        <v/>
      </c>
      <c r="O478" t="str">
        <f>IF(M478="","",IF(M478="[FÓRMULA MANUAL]","",IFERROR(AVERAGEIFS(nNOTA,nNIA,M478,nCUENTA,1,nASIG,"Orquesta/Banda/Conjunto"),"")))</f>
        <v/>
      </c>
      <c r="P478" t="str">
        <f>IF(M478="","",IF(M478="[FÓRMULA MANUAL]","",IFERROR(AVERAGEIFS(nNOTA,nNIA,M478,nCUENTA,1,nASIG,"Música de Cámara"),"")))</f>
        <v/>
      </c>
      <c r="Q478" t="str">
        <f>IF(M478="","",IF(M478="[FÓRMULA MANUAL]","",IFERROR(SUMPRODUCT((nNIA=M478)*(nCUENTA=1)*(COUNTIF(CONFIG_ASIGNATURAS!$B$7:$B$27,nASIG)&gt;0)*(nNOTA))/SUMPRODUCT((nNIA=M478)*(nCUENTA=1)*(COUNTIF(CONFIG_ASIGNATURAS!$B$7:$B$27,nASIG)&gt;0)*1),"")))</f>
        <v/>
      </c>
      <c r="T478" t="str">
        <f>IF(S478="","",IF(S478="[FÓRMULA MANUAL]","",IFERROR(AVERAGEIFS(nNOTA,nNIA,S478,nCUENTA,1,nASIG,"Armonía"),"")))</f>
        <v/>
      </c>
      <c r="U478" t="str">
        <f>IF(S478="","",IF(S478="[FÓRMULA MANUAL]","",IFERROR(AVERAGEIFS(nNOTA,nNIA,S478,nCUENTA,1,nASIG,"Orquesta/Banda/Conjunto"),"")))</f>
        <v/>
      </c>
      <c r="V478" t="str">
        <f>IF(S478="","",IF(S478="[FÓRMULA MANUAL]","",IFERROR(AVERAGEIFS(nNOTA,nNIA,S478,nCUENTA,1,nASIG,"Música de Cámara"),"")))</f>
        <v/>
      </c>
      <c r="W478" t="str">
        <f>IF(S478="","",IF(S478="[FÓRMULA MANUAL]","",IFERROR(SUMPRODUCT((nNIA=S478)*(nCUENTA=1)*(COUNTIF(CONFIG_ASIGNATURAS!$B$7:$B$27,nASIG)&gt;0)*(nNOTA))/SUMPRODUCT((nNIA=S478)*(nCUENTA=1)*(COUNTIF(CONFIG_ASIGNATURAS!$B$7:$B$27,nASIG)&gt;0)*1),"")))</f>
        <v/>
      </c>
      <c r="Z478" t="str">
        <f>IF(Y478="","",IF(Y478="[FÓRMULA MANUAL]","",IFERROR(AVERAGEIFS(nNOTA,nNIA,Y478,nCUENTA,1,nASIG,"Análisis"),"")))</f>
        <v/>
      </c>
      <c r="AA478" t="str">
        <f>IF(Y478="","",IF(Y478="[FÓRMULA MANUAL]","",IFERROR(AVERAGEIFS(nNOTA,nNIA,Y478,nCUENTA,1,nASIG,"Orquesta/Banda/Conjunto"),"")))</f>
        <v/>
      </c>
      <c r="AB478" t="str">
        <f>IF(Y478="","",IF(Y478="[FÓRMULA MANUAL]","",IFERROR(AVERAGEIFS(nNOTA,nNIA,Y478,nCUENTA,1,nASIG,"Música de Cámara"),"")))</f>
        <v/>
      </c>
      <c r="AC478" t="str">
        <f>IF(Y478="","",IF(Y478="[FÓRMULA MANUAL]","",IFERROR(SUMPRODUCT((nNIA=Y478)*(nCUENTA=1)*(COUNTIF(CONFIG_ASIGNATURAS!$B$7:$B$27,nASIG)&gt;0)*(nNOTA))/SUMPRODUCT((nNIA=Y478)*(nCUENTA=1)*(COUNTIF(CONFIG_ASIGNATURAS!$B$7:$B$27,nASIG)&gt;0)*1),"")))</f>
        <v/>
      </c>
      <c r="AF478" t="str">
        <f>IF(AE478="","",IF(AE478="[FÓRMULA MANUAL]","",IFERROR(AVERAGEIFS(nNOTA,nNIA,AE478,nCUENTA,1,nASIG,"Análisis"),"")))</f>
        <v/>
      </c>
      <c r="AG478" t="str">
        <f>IF(AE478="","",IF(AE478="[FÓRMULA MANUAL]","",IFERROR(AVERAGEIFS(nNOTA,nNIA,AE478,nCUENTA,1,nASIG,"Orquesta/Banda/Conjunto"),"")))</f>
        <v/>
      </c>
      <c r="AH478" t="str">
        <f>IF(AE478="","",IF(AE478="[FÓRMULA MANUAL]","",IFERROR(AVERAGEIFS(nNOTA,nNIA,AE478,nCUENTA,1,nASIG,"Música de Cámara"),"")))</f>
        <v/>
      </c>
      <c r="AI478" t="str">
        <f>IF(AE478="","",IF(AE478="[FÓRMULA MANUAL]","",IFERROR(SUMPRODUCT((nNIA=AE478)*(nCUENTA=1)*(COUNTIF(CONFIG_ASIGNATURAS!$B$7:$B$27,nASIG)&gt;0)*(nNOTA))/SUMPRODUCT((nNIA=AE478)*(nCUENTA=1)*(COUNTIF(CONFIG_ASIGNATURAS!$B$7:$B$27,nASIG)&gt;0)*1),"")))</f>
        <v/>
      </c>
    </row>
    <row r="479" spans="2:35" x14ac:dyDescent="0.2">
      <c r="B479" t="str">
        <f>IF(A479="","",IF(A479="[FÓRMULA MANUAL]","",IFERROR(AVERAGEIFS(nNOTA,nNIA,A479,nCUENTA,1,nASIG,"Lenguaje Musical"),"")))</f>
        <v/>
      </c>
      <c r="C479" t="str">
        <f>IF(A479="","",IF(A479="[FÓRMULA MANUAL]","",IFERROR(AVERAGEIFS(nNOTA,nNIA,A479,nCUENTA,1,nASIG,"Orquesta/Banda/Conjunto"),"")))</f>
        <v/>
      </c>
      <c r="D479" t="str">
        <f>IF(A479="","",IF(A479="[FÓRMULA MANUAL]","",IFERROR(AVERAGEIFS(nNOTA,nNIA,A479,nCUENTA,1,nASIG,"Conjunto"),"")))</f>
        <v/>
      </c>
      <c r="E479" t="str">
        <f>IF(A479="","",IF(A479="[FÓRMULA MANUAL]","",IFERROR(SUMPRODUCT((nNIA=A479)*(nCUENTA=1)*(COUNTIF(CONFIG_ASIGNATURAS!$B$7:$B$27,nASIG)&gt;0)*(nNOTA))/SUMPRODUCT((nNIA=A479)*(nCUENTA=1)*(COUNTIF(CONFIG_ASIGNATURAS!$B$7:$B$27,nASIG)&gt;0)*1),"")))</f>
        <v/>
      </c>
      <c r="H479" t="str">
        <f>IF(G479="","",IF(G479="[FÓRMULA MANUAL]","",IFERROR(AVERAGEIFS(nNOTA,nNIA,G479,nCUENTA,1,nASIG,"Lenguaje Musical"),"")))</f>
        <v/>
      </c>
      <c r="I479" t="str">
        <f>IF(G479="","",IF(G479="[FÓRMULA MANUAL]","",IFERROR(AVERAGEIFS(nNOTA,nNIA,G479,nCUENTA,1,nASIG,"Orquesta/Banda/Conjunto"),"")))</f>
        <v/>
      </c>
      <c r="J479" t="str">
        <f>IF(G479="","",IF(G479="[FÓRMULA MANUAL]","",IFERROR(AVERAGEIFS(nNOTA,nNIA,G479,nCUENTA,1,nASIG,"Conjunto"),"")))</f>
        <v/>
      </c>
      <c r="K479" t="str">
        <f>IF(G479="","",IF(G479="[FÓRMULA MANUAL]","",IFERROR(SUMPRODUCT((nNIA=G479)*(nCUENTA=1)*(COUNTIF(CONFIG_ASIGNATURAS!$B$7:$B$27,nASIG)&gt;0)*(nNOTA))/SUMPRODUCT((nNIA=G479)*(nCUENTA=1)*(COUNTIF(CONFIG_ASIGNATURAS!$B$7:$B$27,nASIG)&gt;0)*1),"")))</f>
        <v/>
      </c>
      <c r="N479" t="str">
        <f>IF(M479="","",IF(M479="[FÓRMULA MANUAL]","",IFERROR(AVERAGEIFS(nNOTA,nNIA,M479,nCUENTA,1,nASIG,"Armonía"),"")))</f>
        <v/>
      </c>
      <c r="O479" t="str">
        <f>IF(M479="","",IF(M479="[FÓRMULA MANUAL]","",IFERROR(AVERAGEIFS(nNOTA,nNIA,M479,nCUENTA,1,nASIG,"Orquesta/Banda/Conjunto"),"")))</f>
        <v/>
      </c>
      <c r="P479" t="str">
        <f>IF(M479="","",IF(M479="[FÓRMULA MANUAL]","",IFERROR(AVERAGEIFS(nNOTA,nNIA,M479,nCUENTA,1,nASIG,"Música de Cámara"),"")))</f>
        <v/>
      </c>
      <c r="Q479" t="str">
        <f>IF(M479="","",IF(M479="[FÓRMULA MANUAL]","",IFERROR(SUMPRODUCT((nNIA=M479)*(nCUENTA=1)*(COUNTIF(CONFIG_ASIGNATURAS!$B$7:$B$27,nASIG)&gt;0)*(nNOTA))/SUMPRODUCT((nNIA=M479)*(nCUENTA=1)*(COUNTIF(CONFIG_ASIGNATURAS!$B$7:$B$27,nASIG)&gt;0)*1),"")))</f>
        <v/>
      </c>
      <c r="T479" t="str">
        <f>IF(S479="","",IF(S479="[FÓRMULA MANUAL]","",IFERROR(AVERAGEIFS(nNOTA,nNIA,S479,nCUENTA,1,nASIG,"Armonía"),"")))</f>
        <v/>
      </c>
      <c r="U479" t="str">
        <f>IF(S479="","",IF(S479="[FÓRMULA MANUAL]","",IFERROR(AVERAGEIFS(nNOTA,nNIA,S479,nCUENTA,1,nASIG,"Orquesta/Banda/Conjunto"),"")))</f>
        <v/>
      </c>
      <c r="V479" t="str">
        <f>IF(S479="","",IF(S479="[FÓRMULA MANUAL]","",IFERROR(AVERAGEIFS(nNOTA,nNIA,S479,nCUENTA,1,nASIG,"Música de Cámara"),"")))</f>
        <v/>
      </c>
      <c r="W479" t="str">
        <f>IF(S479="","",IF(S479="[FÓRMULA MANUAL]","",IFERROR(SUMPRODUCT((nNIA=S479)*(nCUENTA=1)*(COUNTIF(CONFIG_ASIGNATURAS!$B$7:$B$27,nASIG)&gt;0)*(nNOTA))/SUMPRODUCT((nNIA=S479)*(nCUENTA=1)*(COUNTIF(CONFIG_ASIGNATURAS!$B$7:$B$27,nASIG)&gt;0)*1),"")))</f>
        <v/>
      </c>
      <c r="Z479" t="str">
        <f>IF(Y479="","",IF(Y479="[FÓRMULA MANUAL]","",IFERROR(AVERAGEIFS(nNOTA,nNIA,Y479,nCUENTA,1,nASIG,"Análisis"),"")))</f>
        <v/>
      </c>
      <c r="AA479" t="str">
        <f>IF(Y479="","",IF(Y479="[FÓRMULA MANUAL]","",IFERROR(AVERAGEIFS(nNOTA,nNIA,Y479,nCUENTA,1,nASIG,"Orquesta/Banda/Conjunto"),"")))</f>
        <v/>
      </c>
      <c r="AB479" t="str">
        <f>IF(Y479="","",IF(Y479="[FÓRMULA MANUAL]","",IFERROR(AVERAGEIFS(nNOTA,nNIA,Y479,nCUENTA,1,nASIG,"Música de Cámara"),"")))</f>
        <v/>
      </c>
      <c r="AC479" t="str">
        <f>IF(Y479="","",IF(Y479="[FÓRMULA MANUAL]","",IFERROR(SUMPRODUCT((nNIA=Y479)*(nCUENTA=1)*(COUNTIF(CONFIG_ASIGNATURAS!$B$7:$B$27,nASIG)&gt;0)*(nNOTA))/SUMPRODUCT((nNIA=Y479)*(nCUENTA=1)*(COUNTIF(CONFIG_ASIGNATURAS!$B$7:$B$27,nASIG)&gt;0)*1),"")))</f>
        <v/>
      </c>
      <c r="AF479" t="str">
        <f>IF(AE479="","",IF(AE479="[FÓRMULA MANUAL]","",IFERROR(AVERAGEIFS(nNOTA,nNIA,AE479,nCUENTA,1,nASIG,"Análisis"),"")))</f>
        <v/>
      </c>
      <c r="AG479" t="str">
        <f>IF(AE479="","",IF(AE479="[FÓRMULA MANUAL]","",IFERROR(AVERAGEIFS(nNOTA,nNIA,AE479,nCUENTA,1,nASIG,"Orquesta/Banda/Conjunto"),"")))</f>
        <v/>
      </c>
      <c r="AH479" t="str">
        <f>IF(AE479="","",IF(AE479="[FÓRMULA MANUAL]","",IFERROR(AVERAGEIFS(nNOTA,nNIA,AE479,nCUENTA,1,nASIG,"Música de Cámara"),"")))</f>
        <v/>
      </c>
      <c r="AI479" t="str">
        <f>IF(AE479="","",IF(AE479="[FÓRMULA MANUAL]","",IFERROR(SUMPRODUCT((nNIA=AE479)*(nCUENTA=1)*(COUNTIF(CONFIG_ASIGNATURAS!$B$7:$B$27,nASIG)&gt;0)*(nNOTA))/SUMPRODUCT((nNIA=AE479)*(nCUENTA=1)*(COUNTIF(CONFIG_ASIGNATURAS!$B$7:$B$27,nASIG)&gt;0)*1),"")))</f>
        <v/>
      </c>
    </row>
    <row r="480" spans="2:35" x14ac:dyDescent="0.2">
      <c r="B480" t="str">
        <f>IF(A480="","",IF(A480="[FÓRMULA MANUAL]","",IFERROR(AVERAGEIFS(nNOTA,nNIA,A480,nCUENTA,1,nASIG,"Lenguaje Musical"),"")))</f>
        <v/>
      </c>
      <c r="C480" t="str">
        <f>IF(A480="","",IF(A480="[FÓRMULA MANUAL]","",IFERROR(AVERAGEIFS(nNOTA,nNIA,A480,nCUENTA,1,nASIG,"Orquesta/Banda/Conjunto"),"")))</f>
        <v/>
      </c>
      <c r="D480" t="str">
        <f>IF(A480="","",IF(A480="[FÓRMULA MANUAL]","",IFERROR(AVERAGEIFS(nNOTA,nNIA,A480,nCUENTA,1,nASIG,"Conjunto"),"")))</f>
        <v/>
      </c>
      <c r="E480" t="str">
        <f>IF(A480="","",IF(A480="[FÓRMULA MANUAL]","",IFERROR(SUMPRODUCT((nNIA=A480)*(nCUENTA=1)*(COUNTIF(CONFIG_ASIGNATURAS!$B$7:$B$27,nASIG)&gt;0)*(nNOTA))/SUMPRODUCT((nNIA=A480)*(nCUENTA=1)*(COUNTIF(CONFIG_ASIGNATURAS!$B$7:$B$27,nASIG)&gt;0)*1),"")))</f>
        <v/>
      </c>
      <c r="H480" t="str">
        <f>IF(G480="","",IF(G480="[FÓRMULA MANUAL]","",IFERROR(AVERAGEIFS(nNOTA,nNIA,G480,nCUENTA,1,nASIG,"Lenguaje Musical"),"")))</f>
        <v/>
      </c>
      <c r="I480" t="str">
        <f>IF(G480="","",IF(G480="[FÓRMULA MANUAL]","",IFERROR(AVERAGEIFS(nNOTA,nNIA,G480,nCUENTA,1,nASIG,"Orquesta/Banda/Conjunto"),"")))</f>
        <v/>
      </c>
      <c r="J480" t="str">
        <f>IF(G480="","",IF(G480="[FÓRMULA MANUAL]","",IFERROR(AVERAGEIFS(nNOTA,nNIA,G480,nCUENTA,1,nASIG,"Conjunto"),"")))</f>
        <v/>
      </c>
      <c r="K480" t="str">
        <f>IF(G480="","",IF(G480="[FÓRMULA MANUAL]","",IFERROR(SUMPRODUCT((nNIA=G480)*(nCUENTA=1)*(COUNTIF(CONFIG_ASIGNATURAS!$B$7:$B$27,nASIG)&gt;0)*(nNOTA))/SUMPRODUCT((nNIA=G480)*(nCUENTA=1)*(COUNTIF(CONFIG_ASIGNATURAS!$B$7:$B$27,nASIG)&gt;0)*1),"")))</f>
        <v/>
      </c>
      <c r="N480" t="str">
        <f>IF(M480="","",IF(M480="[FÓRMULA MANUAL]","",IFERROR(AVERAGEIFS(nNOTA,nNIA,M480,nCUENTA,1,nASIG,"Armonía"),"")))</f>
        <v/>
      </c>
      <c r="O480" t="str">
        <f>IF(M480="","",IF(M480="[FÓRMULA MANUAL]","",IFERROR(AVERAGEIFS(nNOTA,nNIA,M480,nCUENTA,1,nASIG,"Orquesta/Banda/Conjunto"),"")))</f>
        <v/>
      </c>
      <c r="P480" t="str">
        <f>IF(M480="","",IF(M480="[FÓRMULA MANUAL]","",IFERROR(AVERAGEIFS(nNOTA,nNIA,M480,nCUENTA,1,nASIG,"Música de Cámara"),"")))</f>
        <v/>
      </c>
      <c r="Q480" t="str">
        <f>IF(M480="","",IF(M480="[FÓRMULA MANUAL]","",IFERROR(SUMPRODUCT((nNIA=M480)*(nCUENTA=1)*(COUNTIF(CONFIG_ASIGNATURAS!$B$7:$B$27,nASIG)&gt;0)*(nNOTA))/SUMPRODUCT((nNIA=M480)*(nCUENTA=1)*(COUNTIF(CONFIG_ASIGNATURAS!$B$7:$B$27,nASIG)&gt;0)*1),"")))</f>
        <v/>
      </c>
      <c r="T480" t="str">
        <f>IF(S480="","",IF(S480="[FÓRMULA MANUAL]","",IFERROR(AVERAGEIFS(nNOTA,nNIA,S480,nCUENTA,1,nASIG,"Armonía"),"")))</f>
        <v/>
      </c>
      <c r="U480" t="str">
        <f>IF(S480="","",IF(S480="[FÓRMULA MANUAL]","",IFERROR(AVERAGEIFS(nNOTA,nNIA,S480,nCUENTA,1,nASIG,"Orquesta/Banda/Conjunto"),"")))</f>
        <v/>
      </c>
      <c r="V480" t="str">
        <f>IF(S480="","",IF(S480="[FÓRMULA MANUAL]","",IFERROR(AVERAGEIFS(nNOTA,nNIA,S480,nCUENTA,1,nASIG,"Música de Cámara"),"")))</f>
        <v/>
      </c>
      <c r="W480" t="str">
        <f>IF(S480="","",IF(S480="[FÓRMULA MANUAL]","",IFERROR(SUMPRODUCT((nNIA=S480)*(nCUENTA=1)*(COUNTIF(CONFIG_ASIGNATURAS!$B$7:$B$27,nASIG)&gt;0)*(nNOTA))/SUMPRODUCT((nNIA=S480)*(nCUENTA=1)*(COUNTIF(CONFIG_ASIGNATURAS!$B$7:$B$27,nASIG)&gt;0)*1),"")))</f>
        <v/>
      </c>
      <c r="Z480" t="str">
        <f>IF(Y480="","",IF(Y480="[FÓRMULA MANUAL]","",IFERROR(AVERAGEIFS(nNOTA,nNIA,Y480,nCUENTA,1,nASIG,"Análisis"),"")))</f>
        <v/>
      </c>
      <c r="AA480" t="str">
        <f>IF(Y480="","",IF(Y480="[FÓRMULA MANUAL]","",IFERROR(AVERAGEIFS(nNOTA,nNIA,Y480,nCUENTA,1,nASIG,"Orquesta/Banda/Conjunto"),"")))</f>
        <v/>
      </c>
      <c r="AB480" t="str">
        <f>IF(Y480="","",IF(Y480="[FÓRMULA MANUAL]","",IFERROR(AVERAGEIFS(nNOTA,nNIA,Y480,nCUENTA,1,nASIG,"Música de Cámara"),"")))</f>
        <v/>
      </c>
      <c r="AC480" t="str">
        <f>IF(Y480="","",IF(Y480="[FÓRMULA MANUAL]","",IFERROR(SUMPRODUCT((nNIA=Y480)*(nCUENTA=1)*(COUNTIF(CONFIG_ASIGNATURAS!$B$7:$B$27,nASIG)&gt;0)*(nNOTA))/SUMPRODUCT((nNIA=Y480)*(nCUENTA=1)*(COUNTIF(CONFIG_ASIGNATURAS!$B$7:$B$27,nASIG)&gt;0)*1),"")))</f>
        <v/>
      </c>
      <c r="AF480" t="str">
        <f>IF(AE480="","",IF(AE480="[FÓRMULA MANUAL]","",IFERROR(AVERAGEIFS(nNOTA,nNIA,AE480,nCUENTA,1,nASIG,"Análisis"),"")))</f>
        <v/>
      </c>
      <c r="AG480" t="str">
        <f>IF(AE480="","",IF(AE480="[FÓRMULA MANUAL]","",IFERROR(AVERAGEIFS(nNOTA,nNIA,AE480,nCUENTA,1,nASIG,"Orquesta/Banda/Conjunto"),"")))</f>
        <v/>
      </c>
      <c r="AH480" t="str">
        <f>IF(AE480="","",IF(AE480="[FÓRMULA MANUAL]","",IFERROR(AVERAGEIFS(nNOTA,nNIA,AE480,nCUENTA,1,nASIG,"Música de Cámara"),"")))</f>
        <v/>
      </c>
      <c r="AI480" t="str">
        <f>IF(AE480="","",IF(AE480="[FÓRMULA MANUAL]","",IFERROR(SUMPRODUCT((nNIA=AE480)*(nCUENTA=1)*(COUNTIF(CONFIG_ASIGNATURAS!$B$7:$B$27,nASIG)&gt;0)*(nNOTA))/SUMPRODUCT((nNIA=AE480)*(nCUENTA=1)*(COUNTIF(CONFIG_ASIGNATURAS!$B$7:$B$27,nASIG)&gt;0)*1),"")))</f>
        <v/>
      </c>
    </row>
    <row r="481" spans="2:35" x14ac:dyDescent="0.2">
      <c r="B481" t="str">
        <f>IF(A481="","",IF(A481="[FÓRMULA MANUAL]","",IFERROR(AVERAGEIFS(nNOTA,nNIA,A481,nCUENTA,1,nASIG,"Lenguaje Musical"),"")))</f>
        <v/>
      </c>
      <c r="C481" t="str">
        <f>IF(A481="","",IF(A481="[FÓRMULA MANUAL]","",IFERROR(AVERAGEIFS(nNOTA,nNIA,A481,nCUENTA,1,nASIG,"Orquesta/Banda/Conjunto"),"")))</f>
        <v/>
      </c>
      <c r="D481" t="str">
        <f>IF(A481="","",IF(A481="[FÓRMULA MANUAL]","",IFERROR(AVERAGEIFS(nNOTA,nNIA,A481,nCUENTA,1,nASIG,"Conjunto"),"")))</f>
        <v/>
      </c>
      <c r="E481" t="str">
        <f>IF(A481="","",IF(A481="[FÓRMULA MANUAL]","",IFERROR(SUMPRODUCT((nNIA=A481)*(nCUENTA=1)*(COUNTIF(CONFIG_ASIGNATURAS!$B$7:$B$27,nASIG)&gt;0)*(nNOTA))/SUMPRODUCT((nNIA=A481)*(nCUENTA=1)*(COUNTIF(CONFIG_ASIGNATURAS!$B$7:$B$27,nASIG)&gt;0)*1),"")))</f>
        <v/>
      </c>
      <c r="H481" t="str">
        <f>IF(G481="","",IF(G481="[FÓRMULA MANUAL]","",IFERROR(AVERAGEIFS(nNOTA,nNIA,G481,nCUENTA,1,nASIG,"Lenguaje Musical"),"")))</f>
        <v/>
      </c>
      <c r="I481" t="str">
        <f>IF(G481="","",IF(G481="[FÓRMULA MANUAL]","",IFERROR(AVERAGEIFS(nNOTA,nNIA,G481,nCUENTA,1,nASIG,"Orquesta/Banda/Conjunto"),"")))</f>
        <v/>
      </c>
      <c r="J481" t="str">
        <f>IF(G481="","",IF(G481="[FÓRMULA MANUAL]","",IFERROR(AVERAGEIFS(nNOTA,nNIA,G481,nCUENTA,1,nASIG,"Conjunto"),"")))</f>
        <v/>
      </c>
      <c r="K481" t="str">
        <f>IF(G481="","",IF(G481="[FÓRMULA MANUAL]","",IFERROR(SUMPRODUCT((nNIA=G481)*(nCUENTA=1)*(COUNTIF(CONFIG_ASIGNATURAS!$B$7:$B$27,nASIG)&gt;0)*(nNOTA))/SUMPRODUCT((nNIA=G481)*(nCUENTA=1)*(COUNTIF(CONFIG_ASIGNATURAS!$B$7:$B$27,nASIG)&gt;0)*1),"")))</f>
        <v/>
      </c>
      <c r="N481" t="str">
        <f>IF(M481="","",IF(M481="[FÓRMULA MANUAL]","",IFERROR(AVERAGEIFS(nNOTA,nNIA,M481,nCUENTA,1,nASIG,"Armonía"),"")))</f>
        <v/>
      </c>
      <c r="O481" t="str">
        <f>IF(M481="","",IF(M481="[FÓRMULA MANUAL]","",IFERROR(AVERAGEIFS(nNOTA,nNIA,M481,nCUENTA,1,nASIG,"Orquesta/Banda/Conjunto"),"")))</f>
        <v/>
      </c>
      <c r="P481" t="str">
        <f>IF(M481="","",IF(M481="[FÓRMULA MANUAL]","",IFERROR(AVERAGEIFS(nNOTA,nNIA,M481,nCUENTA,1,nASIG,"Música de Cámara"),"")))</f>
        <v/>
      </c>
      <c r="Q481" t="str">
        <f>IF(M481="","",IF(M481="[FÓRMULA MANUAL]","",IFERROR(SUMPRODUCT((nNIA=M481)*(nCUENTA=1)*(COUNTIF(CONFIG_ASIGNATURAS!$B$7:$B$27,nASIG)&gt;0)*(nNOTA))/SUMPRODUCT((nNIA=M481)*(nCUENTA=1)*(COUNTIF(CONFIG_ASIGNATURAS!$B$7:$B$27,nASIG)&gt;0)*1),"")))</f>
        <v/>
      </c>
      <c r="T481" t="str">
        <f>IF(S481="","",IF(S481="[FÓRMULA MANUAL]","",IFERROR(AVERAGEIFS(nNOTA,nNIA,S481,nCUENTA,1,nASIG,"Armonía"),"")))</f>
        <v/>
      </c>
      <c r="U481" t="str">
        <f>IF(S481="","",IF(S481="[FÓRMULA MANUAL]","",IFERROR(AVERAGEIFS(nNOTA,nNIA,S481,nCUENTA,1,nASIG,"Orquesta/Banda/Conjunto"),"")))</f>
        <v/>
      </c>
      <c r="V481" t="str">
        <f>IF(S481="","",IF(S481="[FÓRMULA MANUAL]","",IFERROR(AVERAGEIFS(nNOTA,nNIA,S481,nCUENTA,1,nASIG,"Música de Cámara"),"")))</f>
        <v/>
      </c>
      <c r="W481" t="str">
        <f>IF(S481="","",IF(S481="[FÓRMULA MANUAL]","",IFERROR(SUMPRODUCT((nNIA=S481)*(nCUENTA=1)*(COUNTIF(CONFIG_ASIGNATURAS!$B$7:$B$27,nASIG)&gt;0)*(nNOTA))/SUMPRODUCT((nNIA=S481)*(nCUENTA=1)*(COUNTIF(CONFIG_ASIGNATURAS!$B$7:$B$27,nASIG)&gt;0)*1),"")))</f>
        <v/>
      </c>
      <c r="Z481" t="str">
        <f>IF(Y481="","",IF(Y481="[FÓRMULA MANUAL]","",IFERROR(AVERAGEIFS(nNOTA,nNIA,Y481,nCUENTA,1,nASIG,"Análisis"),"")))</f>
        <v/>
      </c>
      <c r="AA481" t="str">
        <f>IF(Y481="","",IF(Y481="[FÓRMULA MANUAL]","",IFERROR(AVERAGEIFS(nNOTA,nNIA,Y481,nCUENTA,1,nASIG,"Orquesta/Banda/Conjunto"),"")))</f>
        <v/>
      </c>
      <c r="AB481" t="str">
        <f>IF(Y481="","",IF(Y481="[FÓRMULA MANUAL]","",IFERROR(AVERAGEIFS(nNOTA,nNIA,Y481,nCUENTA,1,nASIG,"Música de Cámara"),"")))</f>
        <v/>
      </c>
      <c r="AC481" t="str">
        <f>IF(Y481="","",IF(Y481="[FÓRMULA MANUAL]","",IFERROR(SUMPRODUCT((nNIA=Y481)*(nCUENTA=1)*(COUNTIF(CONFIG_ASIGNATURAS!$B$7:$B$27,nASIG)&gt;0)*(nNOTA))/SUMPRODUCT((nNIA=Y481)*(nCUENTA=1)*(COUNTIF(CONFIG_ASIGNATURAS!$B$7:$B$27,nASIG)&gt;0)*1),"")))</f>
        <v/>
      </c>
      <c r="AF481" t="str">
        <f>IF(AE481="","",IF(AE481="[FÓRMULA MANUAL]","",IFERROR(AVERAGEIFS(nNOTA,nNIA,AE481,nCUENTA,1,nASIG,"Análisis"),"")))</f>
        <v/>
      </c>
      <c r="AG481" t="str">
        <f>IF(AE481="","",IF(AE481="[FÓRMULA MANUAL]","",IFERROR(AVERAGEIFS(nNOTA,nNIA,AE481,nCUENTA,1,nASIG,"Orquesta/Banda/Conjunto"),"")))</f>
        <v/>
      </c>
      <c r="AH481" t="str">
        <f>IF(AE481="","",IF(AE481="[FÓRMULA MANUAL]","",IFERROR(AVERAGEIFS(nNOTA,nNIA,AE481,nCUENTA,1,nASIG,"Música de Cámara"),"")))</f>
        <v/>
      </c>
      <c r="AI481" t="str">
        <f>IF(AE481="","",IF(AE481="[FÓRMULA MANUAL]","",IFERROR(SUMPRODUCT((nNIA=AE481)*(nCUENTA=1)*(COUNTIF(CONFIG_ASIGNATURAS!$B$7:$B$27,nASIG)&gt;0)*(nNOTA))/SUMPRODUCT((nNIA=AE481)*(nCUENTA=1)*(COUNTIF(CONFIG_ASIGNATURAS!$B$7:$B$27,nASIG)&gt;0)*1),"")))</f>
        <v/>
      </c>
    </row>
    <row r="482" spans="2:35" x14ac:dyDescent="0.2">
      <c r="B482" t="str">
        <f>IF(A482="","",IF(A482="[FÓRMULA MANUAL]","",IFERROR(AVERAGEIFS(nNOTA,nNIA,A482,nCUENTA,1,nASIG,"Lenguaje Musical"),"")))</f>
        <v/>
      </c>
      <c r="C482" t="str">
        <f>IF(A482="","",IF(A482="[FÓRMULA MANUAL]","",IFERROR(AVERAGEIFS(nNOTA,nNIA,A482,nCUENTA,1,nASIG,"Orquesta/Banda/Conjunto"),"")))</f>
        <v/>
      </c>
      <c r="D482" t="str">
        <f>IF(A482="","",IF(A482="[FÓRMULA MANUAL]","",IFERROR(AVERAGEIFS(nNOTA,nNIA,A482,nCUENTA,1,nASIG,"Conjunto"),"")))</f>
        <v/>
      </c>
      <c r="E482" t="str">
        <f>IF(A482="","",IF(A482="[FÓRMULA MANUAL]","",IFERROR(SUMPRODUCT((nNIA=A482)*(nCUENTA=1)*(COUNTIF(CONFIG_ASIGNATURAS!$B$7:$B$27,nASIG)&gt;0)*(nNOTA))/SUMPRODUCT((nNIA=A482)*(nCUENTA=1)*(COUNTIF(CONFIG_ASIGNATURAS!$B$7:$B$27,nASIG)&gt;0)*1),"")))</f>
        <v/>
      </c>
      <c r="H482" t="str">
        <f>IF(G482="","",IF(G482="[FÓRMULA MANUAL]","",IFERROR(AVERAGEIFS(nNOTA,nNIA,G482,nCUENTA,1,nASIG,"Lenguaje Musical"),"")))</f>
        <v/>
      </c>
      <c r="I482" t="str">
        <f>IF(G482="","",IF(G482="[FÓRMULA MANUAL]","",IFERROR(AVERAGEIFS(nNOTA,nNIA,G482,nCUENTA,1,nASIG,"Orquesta/Banda/Conjunto"),"")))</f>
        <v/>
      </c>
      <c r="J482" t="str">
        <f>IF(G482="","",IF(G482="[FÓRMULA MANUAL]","",IFERROR(AVERAGEIFS(nNOTA,nNIA,G482,nCUENTA,1,nASIG,"Conjunto"),"")))</f>
        <v/>
      </c>
      <c r="K482" t="str">
        <f>IF(G482="","",IF(G482="[FÓRMULA MANUAL]","",IFERROR(SUMPRODUCT((nNIA=G482)*(nCUENTA=1)*(COUNTIF(CONFIG_ASIGNATURAS!$B$7:$B$27,nASIG)&gt;0)*(nNOTA))/SUMPRODUCT((nNIA=G482)*(nCUENTA=1)*(COUNTIF(CONFIG_ASIGNATURAS!$B$7:$B$27,nASIG)&gt;0)*1),"")))</f>
        <v/>
      </c>
      <c r="N482" t="str">
        <f>IF(M482="","",IF(M482="[FÓRMULA MANUAL]","",IFERROR(AVERAGEIFS(nNOTA,nNIA,M482,nCUENTA,1,nASIG,"Armonía"),"")))</f>
        <v/>
      </c>
      <c r="O482" t="str">
        <f>IF(M482="","",IF(M482="[FÓRMULA MANUAL]","",IFERROR(AVERAGEIFS(nNOTA,nNIA,M482,nCUENTA,1,nASIG,"Orquesta/Banda/Conjunto"),"")))</f>
        <v/>
      </c>
      <c r="P482" t="str">
        <f>IF(M482="","",IF(M482="[FÓRMULA MANUAL]","",IFERROR(AVERAGEIFS(nNOTA,nNIA,M482,nCUENTA,1,nASIG,"Música de Cámara"),"")))</f>
        <v/>
      </c>
      <c r="Q482" t="str">
        <f>IF(M482="","",IF(M482="[FÓRMULA MANUAL]","",IFERROR(SUMPRODUCT((nNIA=M482)*(nCUENTA=1)*(COUNTIF(CONFIG_ASIGNATURAS!$B$7:$B$27,nASIG)&gt;0)*(nNOTA))/SUMPRODUCT((nNIA=M482)*(nCUENTA=1)*(COUNTIF(CONFIG_ASIGNATURAS!$B$7:$B$27,nASIG)&gt;0)*1),"")))</f>
        <v/>
      </c>
      <c r="T482" t="str">
        <f>IF(S482="","",IF(S482="[FÓRMULA MANUAL]","",IFERROR(AVERAGEIFS(nNOTA,nNIA,S482,nCUENTA,1,nASIG,"Armonía"),"")))</f>
        <v/>
      </c>
      <c r="U482" t="str">
        <f>IF(S482="","",IF(S482="[FÓRMULA MANUAL]","",IFERROR(AVERAGEIFS(nNOTA,nNIA,S482,nCUENTA,1,nASIG,"Orquesta/Banda/Conjunto"),"")))</f>
        <v/>
      </c>
      <c r="V482" t="str">
        <f>IF(S482="","",IF(S482="[FÓRMULA MANUAL]","",IFERROR(AVERAGEIFS(nNOTA,nNIA,S482,nCUENTA,1,nASIG,"Música de Cámara"),"")))</f>
        <v/>
      </c>
      <c r="W482" t="str">
        <f>IF(S482="","",IF(S482="[FÓRMULA MANUAL]","",IFERROR(SUMPRODUCT((nNIA=S482)*(nCUENTA=1)*(COUNTIF(CONFIG_ASIGNATURAS!$B$7:$B$27,nASIG)&gt;0)*(nNOTA))/SUMPRODUCT((nNIA=S482)*(nCUENTA=1)*(COUNTIF(CONFIG_ASIGNATURAS!$B$7:$B$27,nASIG)&gt;0)*1),"")))</f>
        <v/>
      </c>
      <c r="Z482" t="str">
        <f>IF(Y482="","",IF(Y482="[FÓRMULA MANUAL]","",IFERROR(AVERAGEIFS(nNOTA,nNIA,Y482,nCUENTA,1,nASIG,"Análisis"),"")))</f>
        <v/>
      </c>
      <c r="AA482" t="str">
        <f>IF(Y482="","",IF(Y482="[FÓRMULA MANUAL]","",IFERROR(AVERAGEIFS(nNOTA,nNIA,Y482,nCUENTA,1,nASIG,"Orquesta/Banda/Conjunto"),"")))</f>
        <v/>
      </c>
      <c r="AB482" t="str">
        <f>IF(Y482="","",IF(Y482="[FÓRMULA MANUAL]","",IFERROR(AVERAGEIFS(nNOTA,nNIA,Y482,nCUENTA,1,nASIG,"Música de Cámara"),"")))</f>
        <v/>
      </c>
      <c r="AC482" t="str">
        <f>IF(Y482="","",IF(Y482="[FÓRMULA MANUAL]","",IFERROR(SUMPRODUCT((nNIA=Y482)*(nCUENTA=1)*(COUNTIF(CONFIG_ASIGNATURAS!$B$7:$B$27,nASIG)&gt;0)*(nNOTA))/SUMPRODUCT((nNIA=Y482)*(nCUENTA=1)*(COUNTIF(CONFIG_ASIGNATURAS!$B$7:$B$27,nASIG)&gt;0)*1),"")))</f>
        <v/>
      </c>
      <c r="AF482" t="str">
        <f>IF(AE482="","",IF(AE482="[FÓRMULA MANUAL]","",IFERROR(AVERAGEIFS(nNOTA,nNIA,AE482,nCUENTA,1,nASIG,"Análisis"),"")))</f>
        <v/>
      </c>
      <c r="AG482" t="str">
        <f>IF(AE482="","",IF(AE482="[FÓRMULA MANUAL]","",IFERROR(AVERAGEIFS(nNOTA,nNIA,AE482,nCUENTA,1,nASIG,"Orquesta/Banda/Conjunto"),"")))</f>
        <v/>
      </c>
      <c r="AH482" t="str">
        <f>IF(AE482="","",IF(AE482="[FÓRMULA MANUAL]","",IFERROR(AVERAGEIFS(nNOTA,nNIA,AE482,nCUENTA,1,nASIG,"Música de Cámara"),"")))</f>
        <v/>
      </c>
      <c r="AI482" t="str">
        <f>IF(AE482="","",IF(AE482="[FÓRMULA MANUAL]","",IFERROR(SUMPRODUCT((nNIA=AE482)*(nCUENTA=1)*(COUNTIF(CONFIG_ASIGNATURAS!$B$7:$B$27,nASIG)&gt;0)*(nNOTA))/SUMPRODUCT((nNIA=AE482)*(nCUENTA=1)*(COUNTIF(CONFIG_ASIGNATURAS!$B$7:$B$27,nASIG)&gt;0)*1),"")))</f>
        <v/>
      </c>
    </row>
    <row r="483" spans="2:35" x14ac:dyDescent="0.2">
      <c r="B483" t="str">
        <f>IF(A483="","",IF(A483="[FÓRMULA MANUAL]","",IFERROR(AVERAGEIFS(nNOTA,nNIA,A483,nCUENTA,1,nASIG,"Lenguaje Musical"),"")))</f>
        <v/>
      </c>
      <c r="C483" t="str">
        <f>IF(A483="","",IF(A483="[FÓRMULA MANUAL]","",IFERROR(AVERAGEIFS(nNOTA,nNIA,A483,nCUENTA,1,nASIG,"Orquesta/Banda/Conjunto"),"")))</f>
        <v/>
      </c>
      <c r="D483" t="str">
        <f>IF(A483="","",IF(A483="[FÓRMULA MANUAL]","",IFERROR(AVERAGEIFS(nNOTA,nNIA,A483,nCUENTA,1,nASIG,"Conjunto"),"")))</f>
        <v/>
      </c>
      <c r="E483" t="str">
        <f>IF(A483="","",IF(A483="[FÓRMULA MANUAL]","",IFERROR(SUMPRODUCT((nNIA=A483)*(nCUENTA=1)*(COUNTIF(CONFIG_ASIGNATURAS!$B$7:$B$27,nASIG)&gt;0)*(nNOTA))/SUMPRODUCT((nNIA=A483)*(nCUENTA=1)*(COUNTIF(CONFIG_ASIGNATURAS!$B$7:$B$27,nASIG)&gt;0)*1),"")))</f>
        <v/>
      </c>
      <c r="H483" t="str">
        <f>IF(G483="","",IF(G483="[FÓRMULA MANUAL]","",IFERROR(AVERAGEIFS(nNOTA,nNIA,G483,nCUENTA,1,nASIG,"Lenguaje Musical"),"")))</f>
        <v/>
      </c>
      <c r="I483" t="str">
        <f>IF(G483="","",IF(G483="[FÓRMULA MANUAL]","",IFERROR(AVERAGEIFS(nNOTA,nNIA,G483,nCUENTA,1,nASIG,"Orquesta/Banda/Conjunto"),"")))</f>
        <v/>
      </c>
      <c r="J483" t="str">
        <f>IF(G483="","",IF(G483="[FÓRMULA MANUAL]","",IFERROR(AVERAGEIFS(nNOTA,nNIA,G483,nCUENTA,1,nASIG,"Conjunto"),"")))</f>
        <v/>
      </c>
      <c r="K483" t="str">
        <f>IF(G483="","",IF(G483="[FÓRMULA MANUAL]","",IFERROR(SUMPRODUCT((nNIA=G483)*(nCUENTA=1)*(COUNTIF(CONFIG_ASIGNATURAS!$B$7:$B$27,nASIG)&gt;0)*(nNOTA))/SUMPRODUCT((nNIA=G483)*(nCUENTA=1)*(COUNTIF(CONFIG_ASIGNATURAS!$B$7:$B$27,nASIG)&gt;0)*1),"")))</f>
        <v/>
      </c>
      <c r="N483" t="str">
        <f>IF(M483="","",IF(M483="[FÓRMULA MANUAL]","",IFERROR(AVERAGEIFS(nNOTA,nNIA,M483,nCUENTA,1,nASIG,"Armonía"),"")))</f>
        <v/>
      </c>
      <c r="O483" t="str">
        <f>IF(M483="","",IF(M483="[FÓRMULA MANUAL]","",IFERROR(AVERAGEIFS(nNOTA,nNIA,M483,nCUENTA,1,nASIG,"Orquesta/Banda/Conjunto"),"")))</f>
        <v/>
      </c>
      <c r="P483" t="str">
        <f>IF(M483="","",IF(M483="[FÓRMULA MANUAL]","",IFERROR(AVERAGEIFS(nNOTA,nNIA,M483,nCUENTA,1,nASIG,"Música de Cámara"),"")))</f>
        <v/>
      </c>
      <c r="Q483" t="str">
        <f>IF(M483="","",IF(M483="[FÓRMULA MANUAL]","",IFERROR(SUMPRODUCT((nNIA=M483)*(nCUENTA=1)*(COUNTIF(CONFIG_ASIGNATURAS!$B$7:$B$27,nASIG)&gt;0)*(nNOTA))/SUMPRODUCT((nNIA=M483)*(nCUENTA=1)*(COUNTIF(CONFIG_ASIGNATURAS!$B$7:$B$27,nASIG)&gt;0)*1),"")))</f>
        <v/>
      </c>
      <c r="T483" t="str">
        <f>IF(S483="","",IF(S483="[FÓRMULA MANUAL]","",IFERROR(AVERAGEIFS(nNOTA,nNIA,S483,nCUENTA,1,nASIG,"Armonía"),"")))</f>
        <v/>
      </c>
      <c r="U483" t="str">
        <f>IF(S483="","",IF(S483="[FÓRMULA MANUAL]","",IFERROR(AVERAGEIFS(nNOTA,nNIA,S483,nCUENTA,1,nASIG,"Orquesta/Banda/Conjunto"),"")))</f>
        <v/>
      </c>
      <c r="V483" t="str">
        <f>IF(S483="","",IF(S483="[FÓRMULA MANUAL]","",IFERROR(AVERAGEIFS(nNOTA,nNIA,S483,nCUENTA,1,nASIG,"Música de Cámara"),"")))</f>
        <v/>
      </c>
      <c r="W483" t="str">
        <f>IF(S483="","",IF(S483="[FÓRMULA MANUAL]","",IFERROR(SUMPRODUCT((nNIA=S483)*(nCUENTA=1)*(COUNTIF(CONFIG_ASIGNATURAS!$B$7:$B$27,nASIG)&gt;0)*(nNOTA))/SUMPRODUCT((nNIA=S483)*(nCUENTA=1)*(COUNTIF(CONFIG_ASIGNATURAS!$B$7:$B$27,nASIG)&gt;0)*1),"")))</f>
        <v/>
      </c>
      <c r="Z483" t="str">
        <f>IF(Y483="","",IF(Y483="[FÓRMULA MANUAL]","",IFERROR(AVERAGEIFS(nNOTA,nNIA,Y483,nCUENTA,1,nASIG,"Análisis"),"")))</f>
        <v/>
      </c>
      <c r="AA483" t="str">
        <f>IF(Y483="","",IF(Y483="[FÓRMULA MANUAL]","",IFERROR(AVERAGEIFS(nNOTA,nNIA,Y483,nCUENTA,1,nASIG,"Orquesta/Banda/Conjunto"),"")))</f>
        <v/>
      </c>
      <c r="AB483" t="str">
        <f>IF(Y483="","",IF(Y483="[FÓRMULA MANUAL]","",IFERROR(AVERAGEIFS(nNOTA,nNIA,Y483,nCUENTA,1,nASIG,"Música de Cámara"),"")))</f>
        <v/>
      </c>
      <c r="AC483" t="str">
        <f>IF(Y483="","",IF(Y483="[FÓRMULA MANUAL]","",IFERROR(SUMPRODUCT((nNIA=Y483)*(nCUENTA=1)*(COUNTIF(CONFIG_ASIGNATURAS!$B$7:$B$27,nASIG)&gt;0)*(nNOTA))/SUMPRODUCT((nNIA=Y483)*(nCUENTA=1)*(COUNTIF(CONFIG_ASIGNATURAS!$B$7:$B$27,nASIG)&gt;0)*1),"")))</f>
        <v/>
      </c>
      <c r="AF483" t="str">
        <f>IF(AE483="","",IF(AE483="[FÓRMULA MANUAL]","",IFERROR(AVERAGEIFS(nNOTA,nNIA,AE483,nCUENTA,1,nASIG,"Análisis"),"")))</f>
        <v/>
      </c>
      <c r="AG483" t="str">
        <f>IF(AE483="","",IF(AE483="[FÓRMULA MANUAL]","",IFERROR(AVERAGEIFS(nNOTA,nNIA,AE483,nCUENTA,1,nASIG,"Orquesta/Banda/Conjunto"),"")))</f>
        <v/>
      </c>
      <c r="AH483" t="str">
        <f>IF(AE483="","",IF(AE483="[FÓRMULA MANUAL]","",IFERROR(AVERAGEIFS(nNOTA,nNIA,AE483,nCUENTA,1,nASIG,"Música de Cámara"),"")))</f>
        <v/>
      </c>
      <c r="AI483" t="str">
        <f>IF(AE483="","",IF(AE483="[FÓRMULA MANUAL]","",IFERROR(SUMPRODUCT((nNIA=AE483)*(nCUENTA=1)*(COUNTIF(CONFIG_ASIGNATURAS!$B$7:$B$27,nASIG)&gt;0)*(nNOTA))/SUMPRODUCT((nNIA=AE483)*(nCUENTA=1)*(COUNTIF(CONFIG_ASIGNATURAS!$B$7:$B$27,nASIG)&gt;0)*1),"")))</f>
        <v/>
      </c>
    </row>
    <row r="484" spans="2:35" x14ac:dyDescent="0.2">
      <c r="B484" t="str">
        <f>IF(A484="","",IF(A484="[FÓRMULA MANUAL]","",IFERROR(AVERAGEIFS(nNOTA,nNIA,A484,nCUENTA,1,nASIG,"Lenguaje Musical"),"")))</f>
        <v/>
      </c>
      <c r="C484" t="str">
        <f>IF(A484="","",IF(A484="[FÓRMULA MANUAL]","",IFERROR(AVERAGEIFS(nNOTA,nNIA,A484,nCUENTA,1,nASIG,"Orquesta/Banda/Conjunto"),"")))</f>
        <v/>
      </c>
      <c r="D484" t="str">
        <f>IF(A484="","",IF(A484="[FÓRMULA MANUAL]","",IFERROR(AVERAGEIFS(nNOTA,nNIA,A484,nCUENTA,1,nASIG,"Conjunto"),"")))</f>
        <v/>
      </c>
      <c r="E484" t="str">
        <f>IF(A484="","",IF(A484="[FÓRMULA MANUAL]","",IFERROR(SUMPRODUCT((nNIA=A484)*(nCUENTA=1)*(COUNTIF(CONFIG_ASIGNATURAS!$B$7:$B$27,nASIG)&gt;0)*(nNOTA))/SUMPRODUCT((nNIA=A484)*(nCUENTA=1)*(COUNTIF(CONFIG_ASIGNATURAS!$B$7:$B$27,nASIG)&gt;0)*1),"")))</f>
        <v/>
      </c>
      <c r="H484" t="str">
        <f>IF(G484="","",IF(G484="[FÓRMULA MANUAL]","",IFERROR(AVERAGEIFS(nNOTA,nNIA,G484,nCUENTA,1,nASIG,"Lenguaje Musical"),"")))</f>
        <v/>
      </c>
      <c r="I484" t="str">
        <f>IF(G484="","",IF(G484="[FÓRMULA MANUAL]","",IFERROR(AVERAGEIFS(nNOTA,nNIA,G484,nCUENTA,1,nASIG,"Orquesta/Banda/Conjunto"),"")))</f>
        <v/>
      </c>
      <c r="J484" t="str">
        <f>IF(G484="","",IF(G484="[FÓRMULA MANUAL]","",IFERROR(AVERAGEIFS(nNOTA,nNIA,G484,nCUENTA,1,nASIG,"Conjunto"),"")))</f>
        <v/>
      </c>
      <c r="K484" t="str">
        <f>IF(G484="","",IF(G484="[FÓRMULA MANUAL]","",IFERROR(SUMPRODUCT((nNIA=G484)*(nCUENTA=1)*(COUNTIF(CONFIG_ASIGNATURAS!$B$7:$B$27,nASIG)&gt;0)*(nNOTA))/SUMPRODUCT((nNIA=G484)*(nCUENTA=1)*(COUNTIF(CONFIG_ASIGNATURAS!$B$7:$B$27,nASIG)&gt;0)*1),"")))</f>
        <v/>
      </c>
      <c r="N484" t="str">
        <f>IF(M484="","",IF(M484="[FÓRMULA MANUAL]","",IFERROR(AVERAGEIFS(nNOTA,nNIA,M484,nCUENTA,1,nASIG,"Armonía"),"")))</f>
        <v/>
      </c>
      <c r="O484" t="str">
        <f>IF(M484="","",IF(M484="[FÓRMULA MANUAL]","",IFERROR(AVERAGEIFS(nNOTA,nNIA,M484,nCUENTA,1,nASIG,"Orquesta/Banda/Conjunto"),"")))</f>
        <v/>
      </c>
      <c r="P484" t="str">
        <f>IF(M484="","",IF(M484="[FÓRMULA MANUAL]","",IFERROR(AVERAGEIFS(nNOTA,nNIA,M484,nCUENTA,1,nASIG,"Música de Cámara"),"")))</f>
        <v/>
      </c>
      <c r="Q484" t="str">
        <f>IF(M484="","",IF(M484="[FÓRMULA MANUAL]","",IFERROR(SUMPRODUCT((nNIA=M484)*(nCUENTA=1)*(COUNTIF(CONFIG_ASIGNATURAS!$B$7:$B$27,nASIG)&gt;0)*(nNOTA))/SUMPRODUCT((nNIA=M484)*(nCUENTA=1)*(COUNTIF(CONFIG_ASIGNATURAS!$B$7:$B$27,nASIG)&gt;0)*1),"")))</f>
        <v/>
      </c>
      <c r="T484" t="str">
        <f>IF(S484="","",IF(S484="[FÓRMULA MANUAL]","",IFERROR(AVERAGEIFS(nNOTA,nNIA,S484,nCUENTA,1,nASIG,"Armonía"),"")))</f>
        <v/>
      </c>
      <c r="U484" t="str">
        <f>IF(S484="","",IF(S484="[FÓRMULA MANUAL]","",IFERROR(AVERAGEIFS(nNOTA,nNIA,S484,nCUENTA,1,nASIG,"Orquesta/Banda/Conjunto"),"")))</f>
        <v/>
      </c>
      <c r="V484" t="str">
        <f>IF(S484="","",IF(S484="[FÓRMULA MANUAL]","",IFERROR(AVERAGEIFS(nNOTA,nNIA,S484,nCUENTA,1,nASIG,"Música de Cámara"),"")))</f>
        <v/>
      </c>
      <c r="W484" t="str">
        <f>IF(S484="","",IF(S484="[FÓRMULA MANUAL]","",IFERROR(SUMPRODUCT((nNIA=S484)*(nCUENTA=1)*(COUNTIF(CONFIG_ASIGNATURAS!$B$7:$B$27,nASIG)&gt;0)*(nNOTA))/SUMPRODUCT((nNIA=S484)*(nCUENTA=1)*(COUNTIF(CONFIG_ASIGNATURAS!$B$7:$B$27,nASIG)&gt;0)*1),"")))</f>
        <v/>
      </c>
      <c r="Z484" t="str">
        <f>IF(Y484="","",IF(Y484="[FÓRMULA MANUAL]","",IFERROR(AVERAGEIFS(nNOTA,nNIA,Y484,nCUENTA,1,nASIG,"Análisis"),"")))</f>
        <v/>
      </c>
      <c r="AA484" t="str">
        <f>IF(Y484="","",IF(Y484="[FÓRMULA MANUAL]","",IFERROR(AVERAGEIFS(nNOTA,nNIA,Y484,nCUENTA,1,nASIG,"Orquesta/Banda/Conjunto"),"")))</f>
        <v/>
      </c>
      <c r="AB484" t="str">
        <f>IF(Y484="","",IF(Y484="[FÓRMULA MANUAL]","",IFERROR(AVERAGEIFS(nNOTA,nNIA,Y484,nCUENTA,1,nASIG,"Música de Cámara"),"")))</f>
        <v/>
      </c>
      <c r="AC484" t="str">
        <f>IF(Y484="","",IF(Y484="[FÓRMULA MANUAL]","",IFERROR(SUMPRODUCT((nNIA=Y484)*(nCUENTA=1)*(COUNTIF(CONFIG_ASIGNATURAS!$B$7:$B$27,nASIG)&gt;0)*(nNOTA))/SUMPRODUCT((nNIA=Y484)*(nCUENTA=1)*(COUNTIF(CONFIG_ASIGNATURAS!$B$7:$B$27,nASIG)&gt;0)*1),"")))</f>
        <v/>
      </c>
      <c r="AF484" t="str">
        <f>IF(AE484="","",IF(AE484="[FÓRMULA MANUAL]","",IFERROR(AVERAGEIFS(nNOTA,nNIA,AE484,nCUENTA,1,nASIG,"Análisis"),"")))</f>
        <v/>
      </c>
      <c r="AG484" t="str">
        <f>IF(AE484="","",IF(AE484="[FÓRMULA MANUAL]","",IFERROR(AVERAGEIFS(nNOTA,nNIA,AE484,nCUENTA,1,nASIG,"Orquesta/Banda/Conjunto"),"")))</f>
        <v/>
      </c>
      <c r="AH484" t="str">
        <f>IF(AE484="","",IF(AE484="[FÓRMULA MANUAL]","",IFERROR(AVERAGEIFS(nNOTA,nNIA,AE484,nCUENTA,1,nASIG,"Música de Cámara"),"")))</f>
        <v/>
      </c>
      <c r="AI484" t="str">
        <f>IF(AE484="","",IF(AE484="[FÓRMULA MANUAL]","",IFERROR(SUMPRODUCT((nNIA=AE484)*(nCUENTA=1)*(COUNTIF(CONFIG_ASIGNATURAS!$B$7:$B$27,nASIG)&gt;0)*(nNOTA))/SUMPRODUCT((nNIA=AE484)*(nCUENTA=1)*(COUNTIF(CONFIG_ASIGNATURAS!$B$7:$B$27,nASIG)&gt;0)*1),"")))</f>
        <v/>
      </c>
    </row>
    <row r="485" spans="2:35" x14ac:dyDescent="0.2">
      <c r="B485" t="str">
        <f>IF(A485="","",IF(A485="[FÓRMULA MANUAL]","",IFERROR(AVERAGEIFS(nNOTA,nNIA,A485,nCUENTA,1,nASIG,"Lenguaje Musical"),"")))</f>
        <v/>
      </c>
      <c r="C485" t="str">
        <f>IF(A485="","",IF(A485="[FÓRMULA MANUAL]","",IFERROR(AVERAGEIFS(nNOTA,nNIA,A485,nCUENTA,1,nASIG,"Orquesta/Banda/Conjunto"),"")))</f>
        <v/>
      </c>
      <c r="D485" t="str">
        <f>IF(A485="","",IF(A485="[FÓRMULA MANUAL]","",IFERROR(AVERAGEIFS(nNOTA,nNIA,A485,nCUENTA,1,nASIG,"Conjunto"),"")))</f>
        <v/>
      </c>
      <c r="E485" t="str">
        <f>IF(A485="","",IF(A485="[FÓRMULA MANUAL]","",IFERROR(SUMPRODUCT((nNIA=A485)*(nCUENTA=1)*(COUNTIF(CONFIG_ASIGNATURAS!$B$7:$B$27,nASIG)&gt;0)*(nNOTA))/SUMPRODUCT((nNIA=A485)*(nCUENTA=1)*(COUNTIF(CONFIG_ASIGNATURAS!$B$7:$B$27,nASIG)&gt;0)*1),"")))</f>
        <v/>
      </c>
      <c r="H485" t="str">
        <f>IF(G485="","",IF(G485="[FÓRMULA MANUAL]","",IFERROR(AVERAGEIFS(nNOTA,nNIA,G485,nCUENTA,1,nASIG,"Lenguaje Musical"),"")))</f>
        <v/>
      </c>
      <c r="I485" t="str">
        <f>IF(G485="","",IF(G485="[FÓRMULA MANUAL]","",IFERROR(AVERAGEIFS(nNOTA,nNIA,G485,nCUENTA,1,nASIG,"Orquesta/Banda/Conjunto"),"")))</f>
        <v/>
      </c>
      <c r="J485" t="str">
        <f>IF(G485="","",IF(G485="[FÓRMULA MANUAL]","",IFERROR(AVERAGEIFS(nNOTA,nNIA,G485,nCUENTA,1,nASIG,"Conjunto"),"")))</f>
        <v/>
      </c>
      <c r="K485" t="str">
        <f>IF(G485="","",IF(G485="[FÓRMULA MANUAL]","",IFERROR(SUMPRODUCT((nNIA=G485)*(nCUENTA=1)*(COUNTIF(CONFIG_ASIGNATURAS!$B$7:$B$27,nASIG)&gt;0)*(nNOTA))/SUMPRODUCT((nNIA=G485)*(nCUENTA=1)*(COUNTIF(CONFIG_ASIGNATURAS!$B$7:$B$27,nASIG)&gt;0)*1),"")))</f>
        <v/>
      </c>
      <c r="N485" t="str">
        <f>IF(M485="","",IF(M485="[FÓRMULA MANUAL]","",IFERROR(AVERAGEIFS(nNOTA,nNIA,M485,nCUENTA,1,nASIG,"Armonía"),"")))</f>
        <v/>
      </c>
      <c r="O485" t="str">
        <f>IF(M485="","",IF(M485="[FÓRMULA MANUAL]","",IFERROR(AVERAGEIFS(nNOTA,nNIA,M485,nCUENTA,1,nASIG,"Orquesta/Banda/Conjunto"),"")))</f>
        <v/>
      </c>
      <c r="P485" t="str">
        <f>IF(M485="","",IF(M485="[FÓRMULA MANUAL]","",IFERROR(AVERAGEIFS(nNOTA,nNIA,M485,nCUENTA,1,nASIG,"Música de Cámara"),"")))</f>
        <v/>
      </c>
      <c r="Q485" t="str">
        <f>IF(M485="","",IF(M485="[FÓRMULA MANUAL]","",IFERROR(SUMPRODUCT((nNIA=M485)*(nCUENTA=1)*(COUNTIF(CONFIG_ASIGNATURAS!$B$7:$B$27,nASIG)&gt;0)*(nNOTA))/SUMPRODUCT((nNIA=M485)*(nCUENTA=1)*(COUNTIF(CONFIG_ASIGNATURAS!$B$7:$B$27,nASIG)&gt;0)*1),"")))</f>
        <v/>
      </c>
      <c r="T485" t="str">
        <f>IF(S485="","",IF(S485="[FÓRMULA MANUAL]","",IFERROR(AVERAGEIFS(nNOTA,nNIA,S485,nCUENTA,1,nASIG,"Armonía"),"")))</f>
        <v/>
      </c>
      <c r="U485" t="str">
        <f>IF(S485="","",IF(S485="[FÓRMULA MANUAL]","",IFERROR(AVERAGEIFS(nNOTA,nNIA,S485,nCUENTA,1,nASIG,"Orquesta/Banda/Conjunto"),"")))</f>
        <v/>
      </c>
      <c r="V485" t="str">
        <f>IF(S485="","",IF(S485="[FÓRMULA MANUAL]","",IFERROR(AVERAGEIFS(nNOTA,nNIA,S485,nCUENTA,1,nASIG,"Música de Cámara"),"")))</f>
        <v/>
      </c>
      <c r="W485" t="str">
        <f>IF(S485="","",IF(S485="[FÓRMULA MANUAL]","",IFERROR(SUMPRODUCT((nNIA=S485)*(nCUENTA=1)*(COUNTIF(CONFIG_ASIGNATURAS!$B$7:$B$27,nASIG)&gt;0)*(nNOTA))/SUMPRODUCT((nNIA=S485)*(nCUENTA=1)*(COUNTIF(CONFIG_ASIGNATURAS!$B$7:$B$27,nASIG)&gt;0)*1),"")))</f>
        <v/>
      </c>
      <c r="Z485" t="str">
        <f>IF(Y485="","",IF(Y485="[FÓRMULA MANUAL]","",IFERROR(AVERAGEIFS(nNOTA,nNIA,Y485,nCUENTA,1,nASIG,"Análisis"),"")))</f>
        <v/>
      </c>
      <c r="AA485" t="str">
        <f>IF(Y485="","",IF(Y485="[FÓRMULA MANUAL]","",IFERROR(AVERAGEIFS(nNOTA,nNIA,Y485,nCUENTA,1,nASIG,"Orquesta/Banda/Conjunto"),"")))</f>
        <v/>
      </c>
      <c r="AB485" t="str">
        <f>IF(Y485="","",IF(Y485="[FÓRMULA MANUAL]","",IFERROR(AVERAGEIFS(nNOTA,nNIA,Y485,nCUENTA,1,nASIG,"Música de Cámara"),"")))</f>
        <v/>
      </c>
      <c r="AC485" t="str">
        <f>IF(Y485="","",IF(Y485="[FÓRMULA MANUAL]","",IFERROR(SUMPRODUCT((nNIA=Y485)*(nCUENTA=1)*(COUNTIF(CONFIG_ASIGNATURAS!$B$7:$B$27,nASIG)&gt;0)*(nNOTA))/SUMPRODUCT((nNIA=Y485)*(nCUENTA=1)*(COUNTIF(CONFIG_ASIGNATURAS!$B$7:$B$27,nASIG)&gt;0)*1),"")))</f>
        <v/>
      </c>
      <c r="AF485" t="str">
        <f>IF(AE485="","",IF(AE485="[FÓRMULA MANUAL]","",IFERROR(AVERAGEIFS(nNOTA,nNIA,AE485,nCUENTA,1,nASIG,"Análisis"),"")))</f>
        <v/>
      </c>
      <c r="AG485" t="str">
        <f>IF(AE485="","",IF(AE485="[FÓRMULA MANUAL]","",IFERROR(AVERAGEIFS(nNOTA,nNIA,AE485,nCUENTA,1,nASIG,"Orquesta/Banda/Conjunto"),"")))</f>
        <v/>
      </c>
      <c r="AH485" t="str">
        <f>IF(AE485="","",IF(AE485="[FÓRMULA MANUAL]","",IFERROR(AVERAGEIFS(nNOTA,nNIA,AE485,nCUENTA,1,nASIG,"Música de Cámara"),"")))</f>
        <v/>
      </c>
      <c r="AI485" t="str">
        <f>IF(AE485="","",IF(AE485="[FÓRMULA MANUAL]","",IFERROR(SUMPRODUCT((nNIA=AE485)*(nCUENTA=1)*(COUNTIF(CONFIG_ASIGNATURAS!$B$7:$B$27,nASIG)&gt;0)*(nNOTA))/SUMPRODUCT((nNIA=AE485)*(nCUENTA=1)*(COUNTIF(CONFIG_ASIGNATURAS!$B$7:$B$27,nASIG)&gt;0)*1),"")))</f>
        <v/>
      </c>
    </row>
    <row r="486" spans="2:35" x14ac:dyDescent="0.2">
      <c r="B486" t="str">
        <f>IF(A486="","",IF(A486="[FÓRMULA MANUAL]","",IFERROR(AVERAGEIFS(nNOTA,nNIA,A486,nCUENTA,1,nASIG,"Lenguaje Musical"),"")))</f>
        <v/>
      </c>
      <c r="C486" t="str">
        <f>IF(A486="","",IF(A486="[FÓRMULA MANUAL]","",IFERROR(AVERAGEIFS(nNOTA,nNIA,A486,nCUENTA,1,nASIG,"Orquesta/Banda/Conjunto"),"")))</f>
        <v/>
      </c>
      <c r="D486" t="str">
        <f>IF(A486="","",IF(A486="[FÓRMULA MANUAL]","",IFERROR(AVERAGEIFS(nNOTA,nNIA,A486,nCUENTA,1,nASIG,"Conjunto"),"")))</f>
        <v/>
      </c>
      <c r="E486" t="str">
        <f>IF(A486="","",IF(A486="[FÓRMULA MANUAL]","",IFERROR(SUMPRODUCT((nNIA=A486)*(nCUENTA=1)*(COUNTIF(CONFIG_ASIGNATURAS!$B$7:$B$27,nASIG)&gt;0)*(nNOTA))/SUMPRODUCT((nNIA=A486)*(nCUENTA=1)*(COUNTIF(CONFIG_ASIGNATURAS!$B$7:$B$27,nASIG)&gt;0)*1),"")))</f>
        <v/>
      </c>
      <c r="H486" t="str">
        <f>IF(G486="","",IF(G486="[FÓRMULA MANUAL]","",IFERROR(AVERAGEIFS(nNOTA,nNIA,G486,nCUENTA,1,nASIG,"Lenguaje Musical"),"")))</f>
        <v/>
      </c>
      <c r="I486" t="str">
        <f>IF(G486="","",IF(G486="[FÓRMULA MANUAL]","",IFERROR(AVERAGEIFS(nNOTA,nNIA,G486,nCUENTA,1,nASIG,"Orquesta/Banda/Conjunto"),"")))</f>
        <v/>
      </c>
      <c r="J486" t="str">
        <f>IF(G486="","",IF(G486="[FÓRMULA MANUAL]","",IFERROR(AVERAGEIFS(nNOTA,nNIA,G486,nCUENTA,1,nASIG,"Conjunto"),"")))</f>
        <v/>
      </c>
      <c r="K486" t="str">
        <f>IF(G486="","",IF(G486="[FÓRMULA MANUAL]","",IFERROR(SUMPRODUCT((nNIA=G486)*(nCUENTA=1)*(COUNTIF(CONFIG_ASIGNATURAS!$B$7:$B$27,nASIG)&gt;0)*(nNOTA))/SUMPRODUCT((nNIA=G486)*(nCUENTA=1)*(COUNTIF(CONFIG_ASIGNATURAS!$B$7:$B$27,nASIG)&gt;0)*1),"")))</f>
        <v/>
      </c>
      <c r="N486" t="str">
        <f>IF(M486="","",IF(M486="[FÓRMULA MANUAL]","",IFERROR(AVERAGEIFS(nNOTA,nNIA,M486,nCUENTA,1,nASIG,"Armonía"),"")))</f>
        <v/>
      </c>
      <c r="O486" t="str">
        <f>IF(M486="","",IF(M486="[FÓRMULA MANUAL]","",IFERROR(AVERAGEIFS(nNOTA,nNIA,M486,nCUENTA,1,nASIG,"Orquesta/Banda/Conjunto"),"")))</f>
        <v/>
      </c>
      <c r="P486" t="str">
        <f>IF(M486="","",IF(M486="[FÓRMULA MANUAL]","",IFERROR(AVERAGEIFS(nNOTA,nNIA,M486,nCUENTA,1,nASIG,"Música de Cámara"),"")))</f>
        <v/>
      </c>
      <c r="Q486" t="str">
        <f>IF(M486="","",IF(M486="[FÓRMULA MANUAL]","",IFERROR(SUMPRODUCT((nNIA=M486)*(nCUENTA=1)*(COUNTIF(CONFIG_ASIGNATURAS!$B$7:$B$27,nASIG)&gt;0)*(nNOTA))/SUMPRODUCT((nNIA=M486)*(nCUENTA=1)*(COUNTIF(CONFIG_ASIGNATURAS!$B$7:$B$27,nASIG)&gt;0)*1),"")))</f>
        <v/>
      </c>
      <c r="T486" t="str">
        <f>IF(S486="","",IF(S486="[FÓRMULA MANUAL]","",IFERROR(AVERAGEIFS(nNOTA,nNIA,S486,nCUENTA,1,nASIG,"Armonía"),"")))</f>
        <v/>
      </c>
      <c r="U486" t="str">
        <f>IF(S486="","",IF(S486="[FÓRMULA MANUAL]","",IFERROR(AVERAGEIFS(nNOTA,nNIA,S486,nCUENTA,1,nASIG,"Orquesta/Banda/Conjunto"),"")))</f>
        <v/>
      </c>
      <c r="V486" t="str">
        <f>IF(S486="","",IF(S486="[FÓRMULA MANUAL]","",IFERROR(AVERAGEIFS(nNOTA,nNIA,S486,nCUENTA,1,nASIG,"Música de Cámara"),"")))</f>
        <v/>
      </c>
      <c r="W486" t="str">
        <f>IF(S486="","",IF(S486="[FÓRMULA MANUAL]","",IFERROR(SUMPRODUCT((nNIA=S486)*(nCUENTA=1)*(COUNTIF(CONFIG_ASIGNATURAS!$B$7:$B$27,nASIG)&gt;0)*(nNOTA))/SUMPRODUCT((nNIA=S486)*(nCUENTA=1)*(COUNTIF(CONFIG_ASIGNATURAS!$B$7:$B$27,nASIG)&gt;0)*1),"")))</f>
        <v/>
      </c>
      <c r="Z486" t="str">
        <f>IF(Y486="","",IF(Y486="[FÓRMULA MANUAL]","",IFERROR(AVERAGEIFS(nNOTA,nNIA,Y486,nCUENTA,1,nASIG,"Análisis"),"")))</f>
        <v/>
      </c>
      <c r="AA486" t="str">
        <f>IF(Y486="","",IF(Y486="[FÓRMULA MANUAL]","",IFERROR(AVERAGEIFS(nNOTA,nNIA,Y486,nCUENTA,1,nASIG,"Orquesta/Banda/Conjunto"),"")))</f>
        <v/>
      </c>
      <c r="AB486" t="str">
        <f>IF(Y486="","",IF(Y486="[FÓRMULA MANUAL]","",IFERROR(AVERAGEIFS(nNOTA,nNIA,Y486,nCUENTA,1,nASIG,"Música de Cámara"),"")))</f>
        <v/>
      </c>
      <c r="AC486" t="str">
        <f>IF(Y486="","",IF(Y486="[FÓRMULA MANUAL]","",IFERROR(SUMPRODUCT((nNIA=Y486)*(nCUENTA=1)*(COUNTIF(CONFIG_ASIGNATURAS!$B$7:$B$27,nASIG)&gt;0)*(nNOTA))/SUMPRODUCT((nNIA=Y486)*(nCUENTA=1)*(COUNTIF(CONFIG_ASIGNATURAS!$B$7:$B$27,nASIG)&gt;0)*1),"")))</f>
        <v/>
      </c>
      <c r="AF486" t="str">
        <f>IF(AE486="","",IF(AE486="[FÓRMULA MANUAL]","",IFERROR(AVERAGEIFS(nNOTA,nNIA,AE486,nCUENTA,1,nASIG,"Análisis"),"")))</f>
        <v/>
      </c>
      <c r="AG486" t="str">
        <f>IF(AE486="","",IF(AE486="[FÓRMULA MANUAL]","",IFERROR(AVERAGEIFS(nNOTA,nNIA,AE486,nCUENTA,1,nASIG,"Orquesta/Banda/Conjunto"),"")))</f>
        <v/>
      </c>
      <c r="AH486" t="str">
        <f>IF(AE486="","",IF(AE486="[FÓRMULA MANUAL]","",IFERROR(AVERAGEIFS(nNOTA,nNIA,AE486,nCUENTA,1,nASIG,"Música de Cámara"),"")))</f>
        <v/>
      </c>
      <c r="AI486" t="str">
        <f>IF(AE486="","",IF(AE486="[FÓRMULA MANUAL]","",IFERROR(SUMPRODUCT((nNIA=AE486)*(nCUENTA=1)*(COUNTIF(CONFIG_ASIGNATURAS!$B$7:$B$27,nASIG)&gt;0)*(nNOTA))/SUMPRODUCT((nNIA=AE486)*(nCUENTA=1)*(COUNTIF(CONFIG_ASIGNATURAS!$B$7:$B$27,nASIG)&gt;0)*1),"")))</f>
        <v/>
      </c>
    </row>
    <row r="487" spans="2:35" x14ac:dyDescent="0.2">
      <c r="B487" t="str">
        <f>IF(A487="","",IF(A487="[FÓRMULA MANUAL]","",IFERROR(AVERAGEIFS(nNOTA,nNIA,A487,nCUENTA,1,nASIG,"Lenguaje Musical"),"")))</f>
        <v/>
      </c>
      <c r="C487" t="str">
        <f>IF(A487="","",IF(A487="[FÓRMULA MANUAL]","",IFERROR(AVERAGEIFS(nNOTA,nNIA,A487,nCUENTA,1,nASIG,"Orquesta/Banda/Conjunto"),"")))</f>
        <v/>
      </c>
      <c r="D487" t="str">
        <f>IF(A487="","",IF(A487="[FÓRMULA MANUAL]","",IFERROR(AVERAGEIFS(nNOTA,nNIA,A487,nCUENTA,1,nASIG,"Conjunto"),"")))</f>
        <v/>
      </c>
      <c r="E487" t="str">
        <f>IF(A487="","",IF(A487="[FÓRMULA MANUAL]","",IFERROR(SUMPRODUCT((nNIA=A487)*(nCUENTA=1)*(COUNTIF(CONFIG_ASIGNATURAS!$B$7:$B$27,nASIG)&gt;0)*(nNOTA))/SUMPRODUCT((nNIA=A487)*(nCUENTA=1)*(COUNTIF(CONFIG_ASIGNATURAS!$B$7:$B$27,nASIG)&gt;0)*1),"")))</f>
        <v/>
      </c>
      <c r="H487" t="str">
        <f>IF(G487="","",IF(G487="[FÓRMULA MANUAL]","",IFERROR(AVERAGEIFS(nNOTA,nNIA,G487,nCUENTA,1,nASIG,"Lenguaje Musical"),"")))</f>
        <v/>
      </c>
      <c r="I487" t="str">
        <f>IF(G487="","",IF(G487="[FÓRMULA MANUAL]","",IFERROR(AVERAGEIFS(nNOTA,nNIA,G487,nCUENTA,1,nASIG,"Orquesta/Banda/Conjunto"),"")))</f>
        <v/>
      </c>
      <c r="J487" t="str">
        <f>IF(G487="","",IF(G487="[FÓRMULA MANUAL]","",IFERROR(AVERAGEIFS(nNOTA,nNIA,G487,nCUENTA,1,nASIG,"Conjunto"),"")))</f>
        <v/>
      </c>
      <c r="K487" t="str">
        <f>IF(G487="","",IF(G487="[FÓRMULA MANUAL]","",IFERROR(SUMPRODUCT((nNIA=G487)*(nCUENTA=1)*(COUNTIF(CONFIG_ASIGNATURAS!$B$7:$B$27,nASIG)&gt;0)*(nNOTA))/SUMPRODUCT((nNIA=G487)*(nCUENTA=1)*(COUNTIF(CONFIG_ASIGNATURAS!$B$7:$B$27,nASIG)&gt;0)*1),"")))</f>
        <v/>
      </c>
      <c r="N487" t="str">
        <f>IF(M487="","",IF(M487="[FÓRMULA MANUAL]","",IFERROR(AVERAGEIFS(nNOTA,nNIA,M487,nCUENTA,1,nASIG,"Armonía"),"")))</f>
        <v/>
      </c>
      <c r="O487" t="str">
        <f>IF(M487="","",IF(M487="[FÓRMULA MANUAL]","",IFERROR(AVERAGEIFS(nNOTA,nNIA,M487,nCUENTA,1,nASIG,"Orquesta/Banda/Conjunto"),"")))</f>
        <v/>
      </c>
      <c r="P487" t="str">
        <f>IF(M487="","",IF(M487="[FÓRMULA MANUAL]","",IFERROR(AVERAGEIFS(nNOTA,nNIA,M487,nCUENTA,1,nASIG,"Música de Cámara"),"")))</f>
        <v/>
      </c>
      <c r="Q487" t="str">
        <f>IF(M487="","",IF(M487="[FÓRMULA MANUAL]","",IFERROR(SUMPRODUCT((nNIA=M487)*(nCUENTA=1)*(COUNTIF(CONFIG_ASIGNATURAS!$B$7:$B$27,nASIG)&gt;0)*(nNOTA))/SUMPRODUCT((nNIA=M487)*(nCUENTA=1)*(COUNTIF(CONFIG_ASIGNATURAS!$B$7:$B$27,nASIG)&gt;0)*1),"")))</f>
        <v/>
      </c>
      <c r="T487" t="str">
        <f>IF(S487="","",IF(S487="[FÓRMULA MANUAL]","",IFERROR(AVERAGEIFS(nNOTA,nNIA,S487,nCUENTA,1,nASIG,"Armonía"),"")))</f>
        <v/>
      </c>
      <c r="U487" t="str">
        <f>IF(S487="","",IF(S487="[FÓRMULA MANUAL]","",IFERROR(AVERAGEIFS(nNOTA,nNIA,S487,nCUENTA,1,nASIG,"Orquesta/Banda/Conjunto"),"")))</f>
        <v/>
      </c>
      <c r="V487" t="str">
        <f>IF(S487="","",IF(S487="[FÓRMULA MANUAL]","",IFERROR(AVERAGEIFS(nNOTA,nNIA,S487,nCUENTA,1,nASIG,"Música de Cámara"),"")))</f>
        <v/>
      </c>
      <c r="W487" t="str">
        <f>IF(S487="","",IF(S487="[FÓRMULA MANUAL]","",IFERROR(SUMPRODUCT((nNIA=S487)*(nCUENTA=1)*(COUNTIF(CONFIG_ASIGNATURAS!$B$7:$B$27,nASIG)&gt;0)*(nNOTA))/SUMPRODUCT((nNIA=S487)*(nCUENTA=1)*(COUNTIF(CONFIG_ASIGNATURAS!$B$7:$B$27,nASIG)&gt;0)*1),"")))</f>
        <v/>
      </c>
      <c r="Z487" t="str">
        <f>IF(Y487="","",IF(Y487="[FÓRMULA MANUAL]","",IFERROR(AVERAGEIFS(nNOTA,nNIA,Y487,nCUENTA,1,nASIG,"Análisis"),"")))</f>
        <v/>
      </c>
      <c r="AA487" t="str">
        <f>IF(Y487="","",IF(Y487="[FÓRMULA MANUAL]","",IFERROR(AVERAGEIFS(nNOTA,nNIA,Y487,nCUENTA,1,nASIG,"Orquesta/Banda/Conjunto"),"")))</f>
        <v/>
      </c>
      <c r="AB487" t="str">
        <f>IF(Y487="","",IF(Y487="[FÓRMULA MANUAL]","",IFERROR(AVERAGEIFS(nNOTA,nNIA,Y487,nCUENTA,1,nASIG,"Música de Cámara"),"")))</f>
        <v/>
      </c>
      <c r="AC487" t="str">
        <f>IF(Y487="","",IF(Y487="[FÓRMULA MANUAL]","",IFERROR(SUMPRODUCT((nNIA=Y487)*(nCUENTA=1)*(COUNTIF(CONFIG_ASIGNATURAS!$B$7:$B$27,nASIG)&gt;0)*(nNOTA))/SUMPRODUCT((nNIA=Y487)*(nCUENTA=1)*(COUNTIF(CONFIG_ASIGNATURAS!$B$7:$B$27,nASIG)&gt;0)*1),"")))</f>
        <v/>
      </c>
      <c r="AF487" t="str">
        <f>IF(AE487="","",IF(AE487="[FÓRMULA MANUAL]","",IFERROR(AVERAGEIFS(nNOTA,nNIA,AE487,nCUENTA,1,nASIG,"Análisis"),"")))</f>
        <v/>
      </c>
      <c r="AG487" t="str">
        <f>IF(AE487="","",IF(AE487="[FÓRMULA MANUAL]","",IFERROR(AVERAGEIFS(nNOTA,nNIA,AE487,nCUENTA,1,nASIG,"Orquesta/Banda/Conjunto"),"")))</f>
        <v/>
      </c>
      <c r="AH487" t="str">
        <f>IF(AE487="","",IF(AE487="[FÓRMULA MANUAL]","",IFERROR(AVERAGEIFS(nNOTA,nNIA,AE487,nCUENTA,1,nASIG,"Música de Cámara"),"")))</f>
        <v/>
      </c>
      <c r="AI487" t="str">
        <f>IF(AE487="","",IF(AE487="[FÓRMULA MANUAL]","",IFERROR(SUMPRODUCT((nNIA=AE487)*(nCUENTA=1)*(COUNTIF(CONFIG_ASIGNATURAS!$B$7:$B$27,nASIG)&gt;0)*(nNOTA))/SUMPRODUCT((nNIA=AE487)*(nCUENTA=1)*(COUNTIF(CONFIG_ASIGNATURAS!$B$7:$B$27,nASIG)&gt;0)*1),"")))</f>
        <v/>
      </c>
    </row>
    <row r="488" spans="2:35" x14ac:dyDescent="0.2">
      <c r="B488" t="str">
        <f>IF(A488="","",IF(A488="[FÓRMULA MANUAL]","",IFERROR(AVERAGEIFS(nNOTA,nNIA,A488,nCUENTA,1,nASIG,"Lenguaje Musical"),"")))</f>
        <v/>
      </c>
      <c r="C488" t="str">
        <f>IF(A488="","",IF(A488="[FÓRMULA MANUAL]","",IFERROR(AVERAGEIFS(nNOTA,nNIA,A488,nCUENTA,1,nASIG,"Orquesta/Banda/Conjunto"),"")))</f>
        <v/>
      </c>
      <c r="D488" t="str">
        <f>IF(A488="","",IF(A488="[FÓRMULA MANUAL]","",IFERROR(AVERAGEIFS(nNOTA,nNIA,A488,nCUENTA,1,nASIG,"Conjunto"),"")))</f>
        <v/>
      </c>
      <c r="E488" t="str">
        <f>IF(A488="","",IF(A488="[FÓRMULA MANUAL]","",IFERROR(SUMPRODUCT((nNIA=A488)*(nCUENTA=1)*(COUNTIF(CONFIG_ASIGNATURAS!$B$7:$B$27,nASIG)&gt;0)*(nNOTA))/SUMPRODUCT((nNIA=A488)*(nCUENTA=1)*(COUNTIF(CONFIG_ASIGNATURAS!$B$7:$B$27,nASIG)&gt;0)*1),"")))</f>
        <v/>
      </c>
      <c r="H488" t="str">
        <f>IF(G488="","",IF(G488="[FÓRMULA MANUAL]","",IFERROR(AVERAGEIFS(nNOTA,nNIA,G488,nCUENTA,1,nASIG,"Lenguaje Musical"),"")))</f>
        <v/>
      </c>
      <c r="I488" t="str">
        <f>IF(G488="","",IF(G488="[FÓRMULA MANUAL]","",IFERROR(AVERAGEIFS(nNOTA,nNIA,G488,nCUENTA,1,nASIG,"Orquesta/Banda/Conjunto"),"")))</f>
        <v/>
      </c>
      <c r="J488" t="str">
        <f>IF(G488="","",IF(G488="[FÓRMULA MANUAL]","",IFERROR(AVERAGEIFS(nNOTA,nNIA,G488,nCUENTA,1,nASIG,"Conjunto"),"")))</f>
        <v/>
      </c>
      <c r="K488" t="str">
        <f>IF(G488="","",IF(G488="[FÓRMULA MANUAL]","",IFERROR(SUMPRODUCT((nNIA=G488)*(nCUENTA=1)*(COUNTIF(CONFIG_ASIGNATURAS!$B$7:$B$27,nASIG)&gt;0)*(nNOTA))/SUMPRODUCT((nNIA=G488)*(nCUENTA=1)*(COUNTIF(CONFIG_ASIGNATURAS!$B$7:$B$27,nASIG)&gt;0)*1),"")))</f>
        <v/>
      </c>
      <c r="N488" t="str">
        <f>IF(M488="","",IF(M488="[FÓRMULA MANUAL]","",IFERROR(AVERAGEIFS(nNOTA,nNIA,M488,nCUENTA,1,nASIG,"Armonía"),"")))</f>
        <v/>
      </c>
      <c r="O488" t="str">
        <f>IF(M488="","",IF(M488="[FÓRMULA MANUAL]","",IFERROR(AVERAGEIFS(nNOTA,nNIA,M488,nCUENTA,1,nASIG,"Orquesta/Banda/Conjunto"),"")))</f>
        <v/>
      </c>
      <c r="P488" t="str">
        <f>IF(M488="","",IF(M488="[FÓRMULA MANUAL]","",IFERROR(AVERAGEIFS(nNOTA,nNIA,M488,nCUENTA,1,nASIG,"Música de Cámara"),"")))</f>
        <v/>
      </c>
      <c r="Q488" t="str">
        <f>IF(M488="","",IF(M488="[FÓRMULA MANUAL]","",IFERROR(SUMPRODUCT((nNIA=M488)*(nCUENTA=1)*(COUNTIF(CONFIG_ASIGNATURAS!$B$7:$B$27,nASIG)&gt;0)*(nNOTA))/SUMPRODUCT((nNIA=M488)*(nCUENTA=1)*(COUNTIF(CONFIG_ASIGNATURAS!$B$7:$B$27,nASIG)&gt;0)*1),"")))</f>
        <v/>
      </c>
      <c r="T488" t="str">
        <f>IF(S488="","",IF(S488="[FÓRMULA MANUAL]","",IFERROR(AVERAGEIFS(nNOTA,nNIA,S488,nCUENTA,1,nASIG,"Armonía"),"")))</f>
        <v/>
      </c>
      <c r="U488" t="str">
        <f>IF(S488="","",IF(S488="[FÓRMULA MANUAL]","",IFERROR(AVERAGEIFS(nNOTA,nNIA,S488,nCUENTA,1,nASIG,"Orquesta/Banda/Conjunto"),"")))</f>
        <v/>
      </c>
      <c r="V488" t="str">
        <f>IF(S488="","",IF(S488="[FÓRMULA MANUAL]","",IFERROR(AVERAGEIFS(nNOTA,nNIA,S488,nCUENTA,1,nASIG,"Música de Cámara"),"")))</f>
        <v/>
      </c>
      <c r="W488" t="str">
        <f>IF(S488="","",IF(S488="[FÓRMULA MANUAL]","",IFERROR(SUMPRODUCT((nNIA=S488)*(nCUENTA=1)*(COUNTIF(CONFIG_ASIGNATURAS!$B$7:$B$27,nASIG)&gt;0)*(nNOTA))/SUMPRODUCT((nNIA=S488)*(nCUENTA=1)*(COUNTIF(CONFIG_ASIGNATURAS!$B$7:$B$27,nASIG)&gt;0)*1),"")))</f>
        <v/>
      </c>
      <c r="Z488" t="str">
        <f>IF(Y488="","",IF(Y488="[FÓRMULA MANUAL]","",IFERROR(AVERAGEIFS(nNOTA,nNIA,Y488,nCUENTA,1,nASIG,"Análisis"),"")))</f>
        <v/>
      </c>
      <c r="AA488" t="str">
        <f>IF(Y488="","",IF(Y488="[FÓRMULA MANUAL]","",IFERROR(AVERAGEIFS(nNOTA,nNIA,Y488,nCUENTA,1,nASIG,"Orquesta/Banda/Conjunto"),"")))</f>
        <v/>
      </c>
      <c r="AB488" t="str">
        <f>IF(Y488="","",IF(Y488="[FÓRMULA MANUAL]","",IFERROR(AVERAGEIFS(nNOTA,nNIA,Y488,nCUENTA,1,nASIG,"Música de Cámara"),"")))</f>
        <v/>
      </c>
      <c r="AC488" t="str">
        <f>IF(Y488="","",IF(Y488="[FÓRMULA MANUAL]","",IFERROR(SUMPRODUCT((nNIA=Y488)*(nCUENTA=1)*(COUNTIF(CONFIG_ASIGNATURAS!$B$7:$B$27,nASIG)&gt;0)*(nNOTA))/SUMPRODUCT((nNIA=Y488)*(nCUENTA=1)*(COUNTIF(CONFIG_ASIGNATURAS!$B$7:$B$27,nASIG)&gt;0)*1),"")))</f>
        <v/>
      </c>
      <c r="AF488" t="str">
        <f>IF(AE488="","",IF(AE488="[FÓRMULA MANUAL]","",IFERROR(AVERAGEIFS(nNOTA,nNIA,AE488,nCUENTA,1,nASIG,"Análisis"),"")))</f>
        <v/>
      </c>
      <c r="AG488" t="str">
        <f>IF(AE488="","",IF(AE488="[FÓRMULA MANUAL]","",IFERROR(AVERAGEIFS(nNOTA,nNIA,AE488,nCUENTA,1,nASIG,"Orquesta/Banda/Conjunto"),"")))</f>
        <v/>
      </c>
      <c r="AH488" t="str">
        <f>IF(AE488="","",IF(AE488="[FÓRMULA MANUAL]","",IFERROR(AVERAGEIFS(nNOTA,nNIA,AE488,nCUENTA,1,nASIG,"Música de Cámara"),"")))</f>
        <v/>
      </c>
      <c r="AI488" t="str">
        <f>IF(AE488="","",IF(AE488="[FÓRMULA MANUAL]","",IFERROR(SUMPRODUCT((nNIA=AE488)*(nCUENTA=1)*(COUNTIF(CONFIG_ASIGNATURAS!$B$7:$B$27,nASIG)&gt;0)*(nNOTA))/SUMPRODUCT((nNIA=AE488)*(nCUENTA=1)*(COUNTIF(CONFIG_ASIGNATURAS!$B$7:$B$27,nASIG)&gt;0)*1),"")))</f>
        <v/>
      </c>
    </row>
    <row r="489" spans="2:35" x14ac:dyDescent="0.2">
      <c r="B489" t="str">
        <f>IF(A489="","",IF(A489="[FÓRMULA MANUAL]","",IFERROR(AVERAGEIFS(nNOTA,nNIA,A489,nCUENTA,1,nASIG,"Lenguaje Musical"),"")))</f>
        <v/>
      </c>
      <c r="C489" t="str">
        <f>IF(A489="","",IF(A489="[FÓRMULA MANUAL]","",IFERROR(AVERAGEIFS(nNOTA,nNIA,A489,nCUENTA,1,nASIG,"Orquesta/Banda/Conjunto"),"")))</f>
        <v/>
      </c>
      <c r="D489" t="str">
        <f>IF(A489="","",IF(A489="[FÓRMULA MANUAL]","",IFERROR(AVERAGEIFS(nNOTA,nNIA,A489,nCUENTA,1,nASIG,"Conjunto"),"")))</f>
        <v/>
      </c>
      <c r="E489" t="str">
        <f>IF(A489="","",IF(A489="[FÓRMULA MANUAL]","",IFERROR(SUMPRODUCT((nNIA=A489)*(nCUENTA=1)*(COUNTIF(CONFIG_ASIGNATURAS!$B$7:$B$27,nASIG)&gt;0)*(nNOTA))/SUMPRODUCT((nNIA=A489)*(nCUENTA=1)*(COUNTIF(CONFIG_ASIGNATURAS!$B$7:$B$27,nASIG)&gt;0)*1),"")))</f>
        <v/>
      </c>
      <c r="H489" t="str">
        <f>IF(G489="","",IF(G489="[FÓRMULA MANUAL]","",IFERROR(AVERAGEIFS(nNOTA,nNIA,G489,nCUENTA,1,nASIG,"Lenguaje Musical"),"")))</f>
        <v/>
      </c>
      <c r="I489" t="str">
        <f>IF(G489="","",IF(G489="[FÓRMULA MANUAL]","",IFERROR(AVERAGEIFS(nNOTA,nNIA,G489,nCUENTA,1,nASIG,"Orquesta/Banda/Conjunto"),"")))</f>
        <v/>
      </c>
      <c r="J489" t="str">
        <f>IF(G489="","",IF(G489="[FÓRMULA MANUAL]","",IFERROR(AVERAGEIFS(nNOTA,nNIA,G489,nCUENTA,1,nASIG,"Conjunto"),"")))</f>
        <v/>
      </c>
      <c r="K489" t="str">
        <f>IF(G489="","",IF(G489="[FÓRMULA MANUAL]","",IFERROR(SUMPRODUCT((nNIA=G489)*(nCUENTA=1)*(COUNTIF(CONFIG_ASIGNATURAS!$B$7:$B$27,nASIG)&gt;0)*(nNOTA))/SUMPRODUCT((nNIA=G489)*(nCUENTA=1)*(COUNTIF(CONFIG_ASIGNATURAS!$B$7:$B$27,nASIG)&gt;0)*1),"")))</f>
        <v/>
      </c>
      <c r="N489" t="str">
        <f>IF(M489="","",IF(M489="[FÓRMULA MANUAL]","",IFERROR(AVERAGEIFS(nNOTA,nNIA,M489,nCUENTA,1,nASIG,"Armonía"),"")))</f>
        <v/>
      </c>
      <c r="O489" t="str">
        <f>IF(M489="","",IF(M489="[FÓRMULA MANUAL]","",IFERROR(AVERAGEIFS(nNOTA,nNIA,M489,nCUENTA,1,nASIG,"Orquesta/Banda/Conjunto"),"")))</f>
        <v/>
      </c>
      <c r="P489" t="str">
        <f>IF(M489="","",IF(M489="[FÓRMULA MANUAL]","",IFERROR(AVERAGEIFS(nNOTA,nNIA,M489,nCUENTA,1,nASIG,"Música de Cámara"),"")))</f>
        <v/>
      </c>
      <c r="Q489" t="str">
        <f>IF(M489="","",IF(M489="[FÓRMULA MANUAL]","",IFERROR(SUMPRODUCT((nNIA=M489)*(nCUENTA=1)*(COUNTIF(CONFIG_ASIGNATURAS!$B$7:$B$27,nASIG)&gt;0)*(nNOTA))/SUMPRODUCT((nNIA=M489)*(nCUENTA=1)*(COUNTIF(CONFIG_ASIGNATURAS!$B$7:$B$27,nASIG)&gt;0)*1),"")))</f>
        <v/>
      </c>
      <c r="T489" t="str">
        <f>IF(S489="","",IF(S489="[FÓRMULA MANUAL]","",IFERROR(AVERAGEIFS(nNOTA,nNIA,S489,nCUENTA,1,nASIG,"Armonía"),"")))</f>
        <v/>
      </c>
      <c r="U489" t="str">
        <f>IF(S489="","",IF(S489="[FÓRMULA MANUAL]","",IFERROR(AVERAGEIFS(nNOTA,nNIA,S489,nCUENTA,1,nASIG,"Orquesta/Banda/Conjunto"),"")))</f>
        <v/>
      </c>
      <c r="V489" t="str">
        <f>IF(S489="","",IF(S489="[FÓRMULA MANUAL]","",IFERROR(AVERAGEIFS(nNOTA,nNIA,S489,nCUENTA,1,nASIG,"Música de Cámara"),"")))</f>
        <v/>
      </c>
      <c r="W489" t="str">
        <f>IF(S489="","",IF(S489="[FÓRMULA MANUAL]","",IFERROR(SUMPRODUCT((nNIA=S489)*(nCUENTA=1)*(COUNTIF(CONFIG_ASIGNATURAS!$B$7:$B$27,nASIG)&gt;0)*(nNOTA))/SUMPRODUCT((nNIA=S489)*(nCUENTA=1)*(COUNTIF(CONFIG_ASIGNATURAS!$B$7:$B$27,nASIG)&gt;0)*1),"")))</f>
        <v/>
      </c>
      <c r="Z489" t="str">
        <f>IF(Y489="","",IF(Y489="[FÓRMULA MANUAL]","",IFERROR(AVERAGEIFS(nNOTA,nNIA,Y489,nCUENTA,1,nASIG,"Análisis"),"")))</f>
        <v/>
      </c>
      <c r="AA489" t="str">
        <f>IF(Y489="","",IF(Y489="[FÓRMULA MANUAL]","",IFERROR(AVERAGEIFS(nNOTA,nNIA,Y489,nCUENTA,1,nASIG,"Orquesta/Banda/Conjunto"),"")))</f>
        <v/>
      </c>
      <c r="AB489" t="str">
        <f>IF(Y489="","",IF(Y489="[FÓRMULA MANUAL]","",IFERROR(AVERAGEIFS(nNOTA,nNIA,Y489,nCUENTA,1,nASIG,"Música de Cámara"),"")))</f>
        <v/>
      </c>
      <c r="AC489" t="str">
        <f>IF(Y489="","",IF(Y489="[FÓRMULA MANUAL]","",IFERROR(SUMPRODUCT((nNIA=Y489)*(nCUENTA=1)*(COUNTIF(CONFIG_ASIGNATURAS!$B$7:$B$27,nASIG)&gt;0)*(nNOTA))/SUMPRODUCT((nNIA=Y489)*(nCUENTA=1)*(COUNTIF(CONFIG_ASIGNATURAS!$B$7:$B$27,nASIG)&gt;0)*1),"")))</f>
        <v/>
      </c>
      <c r="AF489" t="str">
        <f>IF(AE489="","",IF(AE489="[FÓRMULA MANUAL]","",IFERROR(AVERAGEIFS(nNOTA,nNIA,AE489,nCUENTA,1,nASIG,"Análisis"),"")))</f>
        <v/>
      </c>
      <c r="AG489" t="str">
        <f>IF(AE489="","",IF(AE489="[FÓRMULA MANUAL]","",IFERROR(AVERAGEIFS(nNOTA,nNIA,AE489,nCUENTA,1,nASIG,"Orquesta/Banda/Conjunto"),"")))</f>
        <v/>
      </c>
      <c r="AH489" t="str">
        <f>IF(AE489="","",IF(AE489="[FÓRMULA MANUAL]","",IFERROR(AVERAGEIFS(nNOTA,nNIA,AE489,nCUENTA,1,nASIG,"Música de Cámara"),"")))</f>
        <v/>
      </c>
      <c r="AI489" t="str">
        <f>IF(AE489="","",IF(AE489="[FÓRMULA MANUAL]","",IFERROR(SUMPRODUCT((nNIA=AE489)*(nCUENTA=1)*(COUNTIF(CONFIG_ASIGNATURAS!$B$7:$B$27,nASIG)&gt;0)*(nNOTA))/SUMPRODUCT((nNIA=AE489)*(nCUENTA=1)*(COUNTIF(CONFIG_ASIGNATURAS!$B$7:$B$27,nASIG)&gt;0)*1),"")))</f>
        <v/>
      </c>
    </row>
    <row r="490" spans="2:35" x14ac:dyDescent="0.2">
      <c r="B490" t="str">
        <f>IF(A490="","",IF(A490="[FÓRMULA MANUAL]","",IFERROR(AVERAGEIFS(nNOTA,nNIA,A490,nCUENTA,1,nASIG,"Lenguaje Musical"),"")))</f>
        <v/>
      </c>
      <c r="C490" t="str">
        <f>IF(A490="","",IF(A490="[FÓRMULA MANUAL]","",IFERROR(AVERAGEIFS(nNOTA,nNIA,A490,nCUENTA,1,nASIG,"Orquesta/Banda/Conjunto"),"")))</f>
        <v/>
      </c>
      <c r="D490" t="str">
        <f>IF(A490="","",IF(A490="[FÓRMULA MANUAL]","",IFERROR(AVERAGEIFS(nNOTA,nNIA,A490,nCUENTA,1,nASIG,"Conjunto"),"")))</f>
        <v/>
      </c>
      <c r="E490" t="str">
        <f>IF(A490="","",IF(A490="[FÓRMULA MANUAL]","",IFERROR(SUMPRODUCT((nNIA=A490)*(nCUENTA=1)*(COUNTIF(CONFIG_ASIGNATURAS!$B$7:$B$27,nASIG)&gt;0)*(nNOTA))/SUMPRODUCT((nNIA=A490)*(nCUENTA=1)*(COUNTIF(CONFIG_ASIGNATURAS!$B$7:$B$27,nASIG)&gt;0)*1),"")))</f>
        <v/>
      </c>
      <c r="H490" t="str">
        <f>IF(G490="","",IF(G490="[FÓRMULA MANUAL]","",IFERROR(AVERAGEIFS(nNOTA,nNIA,G490,nCUENTA,1,nASIG,"Lenguaje Musical"),"")))</f>
        <v/>
      </c>
      <c r="I490" t="str">
        <f>IF(G490="","",IF(G490="[FÓRMULA MANUAL]","",IFERROR(AVERAGEIFS(nNOTA,nNIA,G490,nCUENTA,1,nASIG,"Orquesta/Banda/Conjunto"),"")))</f>
        <v/>
      </c>
      <c r="J490" t="str">
        <f>IF(G490="","",IF(G490="[FÓRMULA MANUAL]","",IFERROR(AVERAGEIFS(nNOTA,nNIA,G490,nCUENTA,1,nASIG,"Conjunto"),"")))</f>
        <v/>
      </c>
      <c r="K490" t="str">
        <f>IF(G490="","",IF(G490="[FÓRMULA MANUAL]","",IFERROR(SUMPRODUCT((nNIA=G490)*(nCUENTA=1)*(COUNTIF(CONFIG_ASIGNATURAS!$B$7:$B$27,nASIG)&gt;0)*(nNOTA))/SUMPRODUCT((nNIA=G490)*(nCUENTA=1)*(COUNTIF(CONFIG_ASIGNATURAS!$B$7:$B$27,nASIG)&gt;0)*1),"")))</f>
        <v/>
      </c>
      <c r="N490" t="str">
        <f>IF(M490="","",IF(M490="[FÓRMULA MANUAL]","",IFERROR(AVERAGEIFS(nNOTA,nNIA,M490,nCUENTA,1,nASIG,"Armonía"),"")))</f>
        <v/>
      </c>
      <c r="O490" t="str">
        <f>IF(M490="","",IF(M490="[FÓRMULA MANUAL]","",IFERROR(AVERAGEIFS(nNOTA,nNIA,M490,nCUENTA,1,nASIG,"Orquesta/Banda/Conjunto"),"")))</f>
        <v/>
      </c>
      <c r="P490" t="str">
        <f>IF(M490="","",IF(M490="[FÓRMULA MANUAL]","",IFERROR(AVERAGEIFS(nNOTA,nNIA,M490,nCUENTA,1,nASIG,"Música de Cámara"),"")))</f>
        <v/>
      </c>
      <c r="Q490" t="str">
        <f>IF(M490="","",IF(M490="[FÓRMULA MANUAL]","",IFERROR(SUMPRODUCT((nNIA=M490)*(nCUENTA=1)*(COUNTIF(CONFIG_ASIGNATURAS!$B$7:$B$27,nASIG)&gt;0)*(nNOTA))/SUMPRODUCT((nNIA=M490)*(nCUENTA=1)*(COUNTIF(CONFIG_ASIGNATURAS!$B$7:$B$27,nASIG)&gt;0)*1),"")))</f>
        <v/>
      </c>
      <c r="T490" t="str">
        <f>IF(S490="","",IF(S490="[FÓRMULA MANUAL]","",IFERROR(AVERAGEIFS(nNOTA,nNIA,S490,nCUENTA,1,nASIG,"Armonía"),"")))</f>
        <v/>
      </c>
      <c r="U490" t="str">
        <f>IF(S490="","",IF(S490="[FÓRMULA MANUAL]","",IFERROR(AVERAGEIFS(nNOTA,nNIA,S490,nCUENTA,1,nASIG,"Orquesta/Banda/Conjunto"),"")))</f>
        <v/>
      </c>
      <c r="V490" t="str">
        <f>IF(S490="","",IF(S490="[FÓRMULA MANUAL]","",IFERROR(AVERAGEIFS(nNOTA,nNIA,S490,nCUENTA,1,nASIG,"Música de Cámara"),"")))</f>
        <v/>
      </c>
      <c r="W490" t="str">
        <f>IF(S490="","",IF(S490="[FÓRMULA MANUAL]","",IFERROR(SUMPRODUCT((nNIA=S490)*(nCUENTA=1)*(COUNTIF(CONFIG_ASIGNATURAS!$B$7:$B$27,nASIG)&gt;0)*(nNOTA))/SUMPRODUCT((nNIA=S490)*(nCUENTA=1)*(COUNTIF(CONFIG_ASIGNATURAS!$B$7:$B$27,nASIG)&gt;0)*1),"")))</f>
        <v/>
      </c>
      <c r="Z490" t="str">
        <f>IF(Y490="","",IF(Y490="[FÓRMULA MANUAL]","",IFERROR(AVERAGEIFS(nNOTA,nNIA,Y490,nCUENTA,1,nASIG,"Análisis"),"")))</f>
        <v/>
      </c>
      <c r="AA490" t="str">
        <f>IF(Y490="","",IF(Y490="[FÓRMULA MANUAL]","",IFERROR(AVERAGEIFS(nNOTA,nNIA,Y490,nCUENTA,1,nASIG,"Orquesta/Banda/Conjunto"),"")))</f>
        <v/>
      </c>
      <c r="AB490" t="str">
        <f>IF(Y490="","",IF(Y490="[FÓRMULA MANUAL]","",IFERROR(AVERAGEIFS(nNOTA,nNIA,Y490,nCUENTA,1,nASIG,"Música de Cámara"),"")))</f>
        <v/>
      </c>
      <c r="AC490" t="str">
        <f>IF(Y490="","",IF(Y490="[FÓRMULA MANUAL]","",IFERROR(SUMPRODUCT((nNIA=Y490)*(nCUENTA=1)*(COUNTIF(CONFIG_ASIGNATURAS!$B$7:$B$27,nASIG)&gt;0)*(nNOTA))/SUMPRODUCT((nNIA=Y490)*(nCUENTA=1)*(COUNTIF(CONFIG_ASIGNATURAS!$B$7:$B$27,nASIG)&gt;0)*1),"")))</f>
        <v/>
      </c>
      <c r="AF490" t="str">
        <f>IF(AE490="","",IF(AE490="[FÓRMULA MANUAL]","",IFERROR(AVERAGEIFS(nNOTA,nNIA,AE490,nCUENTA,1,nASIG,"Análisis"),"")))</f>
        <v/>
      </c>
      <c r="AG490" t="str">
        <f>IF(AE490="","",IF(AE490="[FÓRMULA MANUAL]","",IFERROR(AVERAGEIFS(nNOTA,nNIA,AE490,nCUENTA,1,nASIG,"Orquesta/Banda/Conjunto"),"")))</f>
        <v/>
      </c>
      <c r="AH490" t="str">
        <f>IF(AE490="","",IF(AE490="[FÓRMULA MANUAL]","",IFERROR(AVERAGEIFS(nNOTA,nNIA,AE490,nCUENTA,1,nASIG,"Música de Cámara"),"")))</f>
        <v/>
      </c>
      <c r="AI490" t="str">
        <f>IF(AE490="","",IF(AE490="[FÓRMULA MANUAL]","",IFERROR(SUMPRODUCT((nNIA=AE490)*(nCUENTA=1)*(COUNTIF(CONFIG_ASIGNATURAS!$B$7:$B$27,nASIG)&gt;0)*(nNOTA))/SUMPRODUCT((nNIA=AE490)*(nCUENTA=1)*(COUNTIF(CONFIG_ASIGNATURAS!$B$7:$B$27,nASIG)&gt;0)*1),"")))</f>
        <v/>
      </c>
    </row>
    <row r="491" spans="2:35" x14ac:dyDescent="0.2">
      <c r="B491" t="str">
        <f>IF(A491="","",IF(A491="[FÓRMULA MANUAL]","",IFERROR(AVERAGEIFS(nNOTA,nNIA,A491,nCUENTA,1,nASIG,"Lenguaje Musical"),"")))</f>
        <v/>
      </c>
      <c r="C491" t="str">
        <f>IF(A491="","",IF(A491="[FÓRMULA MANUAL]","",IFERROR(AVERAGEIFS(nNOTA,nNIA,A491,nCUENTA,1,nASIG,"Orquesta/Banda/Conjunto"),"")))</f>
        <v/>
      </c>
      <c r="D491" t="str">
        <f>IF(A491="","",IF(A491="[FÓRMULA MANUAL]","",IFERROR(AVERAGEIFS(nNOTA,nNIA,A491,nCUENTA,1,nASIG,"Conjunto"),"")))</f>
        <v/>
      </c>
      <c r="E491" t="str">
        <f>IF(A491="","",IF(A491="[FÓRMULA MANUAL]","",IFERROR(SUMPRODUCT((nNIA=A491)*(nCUENTA=1)*(COUNTIF(CONFIG_ASIGNATURAS!$B$7:$B$27,nASIG)&gt;0)*(nNOTA))/SUMPRODUCT((nNIA=A491)*(nCUENTA=1)*(COUNTIF(CONFIG_ASIGNATURAS!$B$7:$B$27,nASIG)&gt;0)*1),"")))</f>
        <v/>
      </c>
      <c r="H491" t="str">
        <f>IF(G491="","",IF(G491="[FÓRMULA MANUAL]","",IFERROR(AVERAGEIFS(nNOTA,nNIA,G491,nCUENTA,1,nASIG,"Lenguaje Musical"),"")))</f>
        <v/>
      </c>
      <c r="I491" t="str">
        <f>IF(G491="","",IF(G491="[FÓRMULA MANUAL]","",IFERROR(AVERAGEIFS(nNOTA,nNIA,G491,nCUENTA,1,nASIG,"Orquesta/Banda/Conjunto"),"")))</f>
        <v/>
      </c>
      <c r="J491" t="str">
        <f>IF(G491="","",IF(G491="[FÓRMULA MANUAL]","",IFERROR(AVERAGEIFS(nNOTA,nNIA,G491,nCUENTA,1,nASIG,"Conjunto"),"")))</f>
        <v/>
      </c>
      <c r="K491" t="str">
        <f>IF(G491="","",IF(G491="[FÓRMULA MANUAL]","",IFERROR(SUMPRODUCT((nNIA=G491)*(nCUENTA=1)*(COUNTIF(CONFIG_ASIGNATURAS!$B$7:$B$27,nASIG)&gt;0)*(nNOTA))/SUMPRODUCT((nNIA=G491)*(nCUENTA=1)*(COUNTIF(CONFIG_ASIGNATURAS!$B$7:$B$27,nASIG)&gt;0)*1),"")))</f>
        <v/>
      </c>
      <c r="N491" t="str">
        <f>IF(M491="","",IF(M491="[FÓRMULA MANUAL]","",IFERROR(AVERAGEIFS(nNOTA,nNIA,M491,nCUENTA,1,nASIG,"Armonía"),"")))</f>
        <v/>
      </c>
      <c r="O491" t="str">
        <f>IF(M491="","",IF(M491="[FÓRMULA MANUAL]","",IFERROR(AVERAGEIFS(nNOTA,nNIA,M491,nCUENTA,1,nASIG,"Orquesta/Banda/Conjunto"),"")))</f>
        <v/>
      </c>
      <c r="P491" t="str">
        <f>IF(M491="","",IF(M491="[FÓRMULA MANUAL]","",IFERROR(AVERAGEIFS(nNOTA,nNIA,M491,nCUENTA,1,nASIG,"Música de Cámara"),"")))</f>
        <v/>
      </c>
      <c r="Q491" t="str">
        <f>IF(M491="","",IF(M491="[FÓRMULA MANUAL]","",IFERROR(SUMPRODUCT((nNIA=M491)*(nCUENTA=1)*(COUNTIF(CONFIG_ASIGNATURAS!$B$7:$B$27,nASIG)&gt;0)*(nNOTA))/SUMPRODUCT((nNIA=M491)*(nCUENTA=1)*(COUNTIF(CONFIG_ASIGNATURAS!$B$7:$B$27,nASIG)&gt;0)*1),"")))</f>
        <v/>
      </c>
      <c r="T491" t="str">
        <f>IF(S491="","",IF(S491="[FÓRMULA MANUAL]","",IFERROR(AVERAGEIFS(nNOTA,nNIA,S491,nCUENTA,1,nASIG,"Armonía"),"")))</f>
        <v/>
      </c>
      <c r="U491" t="str">
        <f>IF(S491="","",IF(S491="[FÓRMULA MANUAL]","",IFERROR(AVERAGEIFS(nNOTA,nNIA,S491,nCUENTA,1,nASIG,"Orquesta/Banda/Conjunto"),"")))</f>
        <v/>
      </c>
      <c r="V491" t="str">
        <f>IF(S491="","",IF(S491="[FÓRMULA MANUAL]","",IFERROR(AVERAGEIFS(nNOTA,nNIA,S491,nCUENTA,1,nASIG,"Música de Cámara"),"")))</f>
        <v/>
      </c>
      <c r="W491" t="str">
        <f>IF(S491="","",IF(S491="[FÓRMULA MANUAL]","",IFERROR(SUMPRODUCT((nNIA=S491)*(nCUENTA=1)*(COUNTIF(CONFIG_ASIGNATURAS!$B$7:$B$27,nASIG)&gt;0)*(nNOTA))/SUMPRODUCT((nNIA=S491)*(nCUENTA=1)*(COUNTIF(CONFIG_ASIGNATURAS!$B$7:$B$27,nASIG)&gt;0)*1),"")))</f>
        <v/>
      </c>
      <c r="Z491" t="str">
        <f>IF(Y491="","",IF(Y491="[FÓRMULA MANUAL]","",IFERROR(AVERAGEIFS(nNOTA,nNIA,Y491,nCUENTA,1,nASIG,"Análisis"),"")))</f>
        <v/>
      </c>
      <c r="AA491" t="str">
        <f>IF(Y491="","",IF(Y491="[FÓRMULA MANUAL]","",IFERROR(AVERAGEIFS(nNOTA,nNIA,Y491,nCUENTA,1,nASIG,"Orquesta/Banda/Conjunto"),"")))</f>
        <v/>
      </c>
      <c r="AB491" t="str">
        <f>IF(Y491="","",IF(Y491="[FÓRMULA MANUAL]","",IFERROR(AVERAGEIFS(nNOTA,nNIA,Y491,nCUENTA,1,nASIG,"Música de Cámara"),"")))</f>
        <v/>
      </c>
      <c r="AC491" t="str">
        <f>IF(Y491="","",IF(Y491="[FÓRMULA MANUAL]","",IFERROR(SUMPRODUCT((nNIA=Y491)*(nCUENTA=1)*(COUNTIF(CONFIG_ASIGNATURAS!$B$7:$B$27,nASIG)&gt;0)*(nNOTA))/SUMPRODUCT((nNIA=Y491)*(nCUENTA=1)*(COUNTIF(CONFIG_ASIGNATURAS!$B$7:$B$27,nASIG)&gt;0)*1),"")))</f>
        <v/>
      </c>
      <c r="AF491" t="str">
        <f>IF(AE491="","",IF(AE491="[FÓRMULA MANUAL]","",IFERROR(AVERAGEIFS(nNOTA,nNIA,AE491,nCUENTA,1,nASIG,"Análisis"),"")))</f>
        <v/>
      </c>
      <c r="AG491" t="str">
        <f>IF(AE491="","",IF(AE491="[FÓRMULA MANUAL]","",IFERROR(AVERAGEIFS(nNOTA,nNIA,AE491,nCUENTA,1,nASIG,"Orquesta/Banda/Conjunto"),"")))</f>
        <v/>
      </c>
      <c r="AH491" t="str">
        <f>IF(AE491="","",IF(AE491="[FÓRMULA MANUAL]","",IFERROR(AVERAGEIFS(nNOTA,nNIA,AE491,nCUENTA,1,nASIG,"Música de Cámara"),"")))</f>
        <v/>
      </c>
      <c r="AI491" t="str">
        <f>IF(AE491="","",IF(AE491="[FÓRMULA MANUAL]","",IFERROR(SUMPRODUCT((nNIA=AE491)*(nCUENTA=1)*(COUNTIF(CONFIG_ASIGNATURAS!$B$7:$B$27,nASIG)&gt;0)*(nNOTA))/SUMPRODUCT((nNIA=AE491)*(nCUENTA=1)*(COUNTIF(CONFIG_ASIGNATURAS!$B$7:$B$27,nASIG)&gt;0)*1),"")))</f>
        <v/>
      </c>
    </row>
    <row r="492" spans="2:35" x14ac:dyDescent="0.2">
      <c r="B492" t="str">
        <f>IF(A492="","",IF(A492="[FÓRMULA MANUAL]","",IFERROR(AVERAGEIFS(nNOTA,nNIA,A492,nCUENTA,1,nASIG,"Lenguaje Musical"),"")))</f>
        <v/>
      </c>
      <c r="C492" t="str">
        <f>IF(A492="","",IF(A492="[FÓRMULA MANUAL]","",IFERROR(AVERAGEIFS(nNOTA,nNIA,A492,nCUENTA,1,nASIG,"Orquesta/Banda/Conjunto"),"")))</f>
        <v/>
      </c>
      <c r="D492" t="str">
        <f>IF(A492="","",IF(A492="[FÓRMULA MANUAL]","",IFERROR(AVERAGEIFS(nNOTA,nNIA,A492,nCUENTA,1,nASIG,"Conjunto"),"")))</f>
        <v/>
      </c>
      <c r="E492" t="str">
        <f>IF(A492="","",IF(A492="[FÓRMULA MANUAL]","",IFERROR(SUMPRODUCT((nNIA=A492)*(nCUENTA=1)*(COUNTIF(CONFIG_ASIGNATURAS!$B$7:$B$27,nASIG)&gt;0)*(nNOTA))/SUMPRODUCT((nNIA=A492)*(nCUENTA=1)*(COUNTIF(CONFIG_ASIGNATURAS!$B$7:$B$27,nASIG)&gt;0)*1),"")))</f>
        <v/>
      </c>
      <c r="H492" t="str">
        <f>IF(G492="","",IF(G492="[FÓRMULA MANUAL]","",IFERROR(AVERAGEIFS(nNOTA,nNIA,G492,nCUENTA,1,nASIG,"Lenguaje Musical"),"")))</f>
        <v/>
      </c>
      <c r="I492" t="str">
        <f>IF(G492="","",IF(G492="[FÓRMULA MANUAL]","",IFERROR(AVERAGEIFS(nNOTA,nNIA,G492,nCUENTA,1,nASIG,"Orquesta/Banda/Conjunto"),"")))</f>
        <v/>
      </c>
      <c r="J492" t="str">
        <f>IF(G492="","",IF(G492="[FÓRMULA MANUAL]","",IFERROR(AVERAGEIFS(nNOTA,nNIA,G492,nCUENTA,1,nASIG,"Conjunto"),"")))</f>
        <v/>
      </c>
      <c r="K492" t="str">
        <f>IF(G492="","",IF(G492="[FÓRMULA MANUAL]","",IFERROR(SUMPRODUCT((nNIA=G492)*(nCUENTA=1)*(COUNTIF(CONFIG_ASIGNATURAS!$B$7:$B$27,nASIG)&gt;0)*(nNOTA))/SUMPRODUCT((nNIA=G492)*(nCUENTA=1)*(COUNTIF(CONFIG_ASIGNATURAS!$B$7:$B$27,nASIG)&gt;0)*1),"")))</f>
        <v/>
      </c>
      <c r="N492" t="str">
        <f>IF(M492="","",IF(M492="[FÓRMULA MANUAL]","",IFERROR(AVERAGEIFS(nNOTA,nNIA,M492,nCUENTA,1,nASIG,"Armonía"),"")))</f>
        <v/>
      </c>
      <c r="O492" t="str">
        <f>IF(M492="","",IF(M492="[FÓRMULA MANUAL]","",IFERROR(AVERAGEIFS(nNOTA,nNIA,M492,nCUENTA,1,nASIG,"Orquesta/Banda/Conjunto"),"")))</f>
        <v/>
      </c>
      <c r="P492" t="str">
        <f>IF(M492="","",IF(M492="[FÓRMULA MANUAL]","",IFERROR(AVERAGEIFS(nNOTA,nNIA,M492,nCUENTA,1,nASIG,"Música de Cámara"),"")))</f>
        <v/>
      </c>
      <c r="Q492" t="str">
        <f>IF(M492="","",IF(M492="[FÓRMULA MANUAL]","",IFERROR(SUMPRODUCT((nNIA=M492)*(nCUENTA=1)*(COUNTIF(CONFIG_ASIGNATURAS!$B$7:$B$27,nASIG)&gt;0)*(nNOTA))/SUMPRODUCT((nNIA=M492)*(nCUENTA=1)*(COUNTIF(CONFIG_ASIGNATURAS!$B$7:$B$27,nASIG)&gt;0)*1),"")))</f>
        <v/>
      </c>
      <c r="T492" t="str">
        <f>IF(S492="","",IF(S492="[FÓRMULA MANUAL]","",IFERROR(AVERAGEIFS(nNOTA,nNIA,S492,nCUENTA,1,nASIG,"Armonía"),"")))</f>
        <v/>
      </c>
      <c r="U492" t="str">
        <f>IF(S492="","",IF(S492="[FÓRMULA MANUAL]","",IFERROR(AVERAGEIFS(nNOTA,nNIA,S492,nCUENTA,1,nASIG,"Orquesta/Banda/Conjunto"),"")))</f>
        <v/>
      </c>
      <c r="V492" t="str">
        <f>IF(S492="","",IF(S492="[FÓRMULA MANUAL]","",IFERROR(AVERAGEIFS(nNOTA,nNIA,S492,nCUENTA,1,nASIG,"Música de Cámara"),"")))</f>
        <v/>
      </c>
      <c r="W492" t="str">
        <f>IF(S492="","",IF(S492="[FÓRMULA MANUAL]","",IFERROR(SUMPRODUCT((nNIA=S492)*(nCUENTA=1)*(COUNTIF(CONFIG_ASIGNATURAS!$B$7:$B$27,nASIG)&gt;0)*(nNOTA))/SUMPRODUCT((nNIA=S492)*(nCUENTA=1)*(COUNTIF(CONFIG_ASIGNATURAS!$B$7:$B$27,nASIG)&gt;0)*1),"")))</f>
        <v/>
      </c>
      <c r="Z492" t="str">
        <f>IF(Y492="","",IF(Y492="[FÓRMULA MANUAL]","",IFERROR(AVERAGEIFS(nNOTA,nNIA,Y492,nCUENTA,1,nASIG,"Análisis"),"")))</f>
        <v/>
      </c>
      <c r="AA492" t="str">
        <f>IF(Y492="","",IF(Y492="[FÓRMULA MANUAL]","",IFERROR(AVERAGEIFS(nNOTA,nNIA,Y492,nCUENTA,1,nASIG,"Orquesta/Banda/Conjunto"),"")))</f>
        <v/>
      </c>
      <c r="AB492" t="str">
        <f>IF(Y492="","",IF(Y492="[FÓRMULA MANUAL]","",IFERROR(AVERAGEIFS(nNOTA,nNIA,Y492,nCUENTA,1,nASIG,"Música de Cámara"),"")))</f>
        <v/>
      </c>
      <c r="AC492" t="str">
        <f>IF(Y492="","",IF(Y492="[FÓRMULA MANUAL]","",IFERROR(SUMPRODUCT((nNIA=Y492)*(nCUENTA=1)*(COUNTIF(CONFIG_ASIGNATURAS!$B$7:$B$27,nASIG)&gt;0)*(nNOTA))/SUMPRODUCT((nNIA=Y492)*(nCUENTA=1)*(COUNTIF(CONFIG_ASIGNATURAS!$B$7:$B$27,nASIG)&gt;0)*1),"")))</f>
        <v/>
      </c>
      <c r="AF492" t="str">
        <f>IF(AE492="","",IF(AE492="[FÓRMULA MANUAL]","",IFERROR(AVERAGEIFS(nNOTA,nNIA,AE492,nCUENTA,1,nASIG,"Análisis"),"")))</f>
        <v/>
      </c>
      <c r="AG492" t="str">
        <f>IF(AE492="","",IF(AE492="[FÓRMULA MANUAL]","",IFERROR(AVERAGEIFS(nNOTA,nNIA,AE492,nCUENTA,1,nASIG,"Orquesta/Banda/Conjunto"),"")))</f>
        <v/>
      </c>
      <c r="AH492" t="str">
        <f>IF(AE492="","",IF(AE492="[FÓRMULA MANUAL]","",IFERROR(AVERAGEIFS(nNOTA,nNIA,AE492,nCUENTA,1,nASIG,"Música de Cámara"),"")))</f>
        <v/>
      </c>
      <c r="AI492" t="str">
        <f>IF(AE492="","",IF(AE492="[FÓRMULA MANUAL]","",IFERROR(SUMPRODUCT((nNIA=AE492)*(nCUENTA=1)*(COUNTIF(CONFIG_ASIGNATURAS!$B$7:$B$27,nASIG)&gt;0)*(nNOTA))/SUMPRODUCT((nNIA=AE492)*(nCUENTA=1)*(COUNTIF(CONFIG_ASIGNATURAS!$B$7:$B$27,nASIG)&gt;0)*1),"")))</f>
        <v/>
      </c>
    </row>
    <row r="493" spans="2:35" x14ac:dyDescent="0.2">
      <c r="B493" t="str">
        <f>IF(A493="","",IF(A493="[FÓRMULA MANUAL]","",IFERROR(AVERAGEIFS(nNOTA,nNIA,A493,nCUENTA,1,nASIG,"Lenguaje Musical"),"")))</f>
        <v/>
      </c>
      <c r="C493" t="str">
        <f>IF(A493="","",IF(A493="[FÓRMULA MANUAL]","",IFERROR(AVERAGEIFS(nNOTA,nNIA,A493,nCUENTA,1,nASIG,"Orquesta/Banda/Conjunto"),"")))</f>
        <v/>
      </c>
      <c r="D493" t="str">
        <f>IF(A493="","",IF(A493="[FÓRMULA MANUAL]","",IFERROR(AVERAGEIFS(nNOTA,nNIA,A493,nCUENTA,1,nASIG,"Conjunto"),"")))</f>
        <v/>
      </c>
      <c r="E493" t="str">
        <f>IF(A493="","",IF(A493="[FÓRMULA MANUAL]","",IFERROR(SUMPRODUCT((nNIA=A493)*(nCUENTA=1)*(COUNTIF(CONFIG_ASIGNATURAS!$B$7:$B$27,nASIG)&gt;0)*(nNOTA))/SUMPRODUCT((nNIA=A493)*(nCUENTA=1)*(COUNTIF(CONFIG_ASIGNATURAS!$B$7:$B$27,nASIG)&gt;0)*1),"")))</f>
        <v/>
      </c>
      <c r="H493" t="str">
        <f>IF(G493="","",IF(G493="[FÓRMULA MANUAL]","",IFERROR(AVERAGEIFS(nNOTA,nNIA,G493,nCUENTA,1,nASIG,"Lenguaje Musical"),"")))</f>
        <v/>
      </c>
      <c r="I493" t="str">
        <f>IF(G493="","",IF(G493="[FÓRMULA MANUAL]","",IFERROR(AVERAGEIFS(nNOTA,nNIA,G493,nCUENTA,1,nASIG,"Orquesta/Banda/Conjunto"),"")))</f>
        <v/>
      </c>
      <c r="J493" t="str">
        <f>IF(G493="","",IF(G493="[FÓRMULA MANUAL]","",IFERROR(AVERAGEIFS(nNOTA,nNIA,G493,nCUENTA,1,nASIG,"Conjunto"),"")))</f>
        <v/>
      </c>
      <c r="K493" t="str">
        <f>IF(G493="","",IF(G493="[FÓRMULA MANUAL]","",IFERROR(SUMPRODUCT((nNIA=G493)*(nCUENTA=1)*(COUNTIF(CONFIG_ASIGNATURAS!$B$7:$B$27,nASIG)&gt;0)*(nNOTA))/SUMPRODUCT((nNIA=G493)*(nCUENTA=1)*(COUNTIF(CONFIG_ASIGNATURAS!$B$7:$B$27,nASIG)&gt;0)*1),"")))</f>
        <v/>
      </c>
      <c r="N493" t="str">
        <f>IF(M493="","",IF(M493="[FÓRMULA MANUAL]","",IFERROR(AVERAGEIFS(nNOTA,nNIA,M493,nCUENTA,1,nASIG,"Armonía"),"")))</f>
        <v/>
      </c>
      <c r="O493" t="str">
        <f>IF(M493="","",IF(M493="[FÓRMULA MANUAL]","",IFERROR(AVERAGEIFS(nNOTA,nNIA,M493,nCUENTA,1,nASIG,"Orquesta/Banda/Conjunto"),"")))</f>
        <v/>
      </c>
      <c r="P493" t="str">
        <f>IF(M493="","",IF(M493="[FÓRMULA MANUAL]","",IFERROR(AVERAGEIFS(nNOTA,nNIA,M493,nCUENTA,1,nASIG,"Música de Cámara"),"")))</f>
        <v/>
      </c>
      <c r="Q493" t="str">
        <f>IF(M493="","",IF(M493="[FÓRMULA MANUAL]","",IFERROR(SUMPRODUCT((nNIA=M493)*(nCUENTA=1)*(COUNTIF(CONFIG_ASIGNATURAS!$B$7:$B$27,nASIG)&gt;0)*(nNOTA))/SUMPRODUCT((nNIA=M493)*(nCUENTA=1)*(COUNTIF(CONFIG_ASIGNATURAS!$B$7:$B$27,nASIG)&gt;0)*1),"")))</f>
        <v/>
      </c>
      <c r="T493" t="str">
        <f>IF(S493="","",IF(S493="[FÓRMULA MANUAL]","",IFERROR(AVERAGEIFS(nNOTA,nNIA,S493,nCUENTA,1,nASIG,"Armonía"),"")))</f>
        <v/>
      </c>
      <c r="U493" t="str">
        <f>IF(S493="","",IF(S493="[FÓRMULA MANUAL]","",IFERROR(AVERAGEIFS(nNOTA,nNIA,S493,nCUENTA,1,nASIG,"Orquesta/Banda/Conjunto"),"")))</f>
        <v/>
      </c>
      <c r="V493" t="str">
        <f>IF(S493="","",IF(S493="[FÓRMULA MANUAL]","",IFERROR(AVERAGEIFS(nNOTA,nNIA,S493,nCUENTA,1,nASIG,"Música de Cámara"),"")))</f>
        <v/>
      </c>
      <c r="W493" t="str">
        <f>IF(S493="","",IF(S493="[FÓRMULA MANUAL]","",IFERROR(SUMPRODUCT((nNIA=S493)*(nCUENTA=1)*(COUNTIF(CONFIG_ASIGNATURAS!$B$7:$B$27,nASIG)&gt;0)*(nNOTA))/SUMPRODUCT((nNIA=S493)*(nCUENTA=1)*(COUNTIF(CONFIG_ASIGNATURAS!$B$7:$B$27,nASIG)&gt;0)*1),"")))</f>
        <v/>
      </c>
      <c r="Z493" t="str">
        <f>IF(Y493="","",IF(Y493="[FÓRMULA MANUAL]","",IFERROR(AVERAGEIFS(nNOTA,nNIA,Y493,nCUENTA,1,nASIG,"Análisis"),"")))</f>
        <v/>
      </c>
      <c r="AA493" t="str">
        <f>IF(Y493="","",IF(Y493="[FÓRMULA MANUAL]","",IFERROR(AVERAGEIFS(nNOTA,nNIA,Y493,nCUENTA,1,nASIG,"Orquesta/Banda/Conjunto"),"")))</f>
        <v/>
      </c>
      <c r="AB493" t="str">
        <f>IF(Y493="","",IF(Y493="[FÓRMULA MANUAL]","",IFERROR(AVERAGEIFS(nNOTA,nNIA,Y493,nCUENTA,1,nASIG,"Música de Cámara"),"")))</f>
        <v/>
      </c>
      <c r="AC493" t="str">
        <f>IF(Y493="","",IF(Y493="[FÓRMULA MANUAL]","",IFERROR(SUMPRODUCT((nNIA=Y493)*(nCUENTA=1)*(COUNTIF(CONFIG_ASIGNATURAS!$B$7:$B$27,nASIG)&gt;0)*(nNOTA))/SUMPRODUCT((nNIA=Y493)*(nCUENTA=1)*(COUNTIF(CONFIG_ASIGNATURAS!$B$7:$B$27,nASIG)&gt;0)*1),"")))</f>
        <v/>
      </c>
      <c r="AF493" t="str">
        <f>IF(AE493="","",IF(AE493="[FÓRMULA MANUAL]","",IFERROR(AVERAGEIFS(nNOTA,nNIA,AE493,nCUENTA,1,nASIG,"Análisis"),"")))</f>
        <v/>
      </c>
      <c r="AG493" t="str">
        <f>IF(AE493="","",IF(AE493="[FÓRMULA MANUAL]","",IFERROR(AVERAGEIFS(nNOTA,nNIA,AE493,nCUENTA,1,nASIG,"Orquesta/Banda/Conjunto"),"")))</f>
        <v/>
      </c>
      <c r="AH493" t="str">
        <f>IF(AE493="","",IF(AE493="[FÓRMULA MANUAL]","",IFERROR(AVERAGEIFS(nNOTA,nNIA,AE493,nCUENTA,1,nASIG,"Música de Cámara"),"")))</f>
        <v/>
      </c>
      <c r="AI493" t="str">
        <f>IF(AE493="","",IF(AE493="[FÓRMULA MANUAL]","",IFERROR(SUMPRODUCT((nNIA=AE493)*(nCUENTA=1)*(COUNTIF(CONFIG_ASIGNATURAS!$B$7:$B$27,nASIG)&gt;0)*(nNOTA))/SUMPRODUCT((nNIA=AE493)*(nCUENTA=1)*(COUNTIF(CONFIG_ASIGNATURAS!$B$7:$B$27,nASIG)&gt;0)*1),"")))</f>
        <v/>
      </c>
    </row>
    <row r="494" spans="2:35" x14ac:dyDescent="0.2">
      <c r="B494" t="str">
        <f>IF(A494="","",IF(A494="[FÓRMULA MANUAL]","",IFERROR(AVERAGEIFS(nNOTA,nNIA,A494,nCUENTA,1,nASIG,"Lenguaje Musical"),"")))</f>
        <v/>
      </c>
      <c r="C494" t="str">
        <f>IF(A494="","",IF(A494="[FÓRMULA MANUAL]","",IFERROR(AVERAGEIFS(nNOTA,nNIA,A494,nCUENTA,1,nASIG,"Orquesta/Banda/Conjunto"),"")))</f>
        <v/>
      </c>
      <c r="D494" t="str">
        <f>IF(A494="","",IF(A494="[FÓRMULA MANUAL]","",IFERROR(AVERAGEIFS(nNOTA,nNIA,A494,nCUENTA,1,nASIG,"Conjunto"),"")))</f>
        <v/>
      </c>
      <c r="E494" t="str">
        <f>IF(A494="","",IF(A494="[FÓRMULA MANUAL]","",IFERROR(SUMPRODUCT((nNIA=A494)*(nCUENTA=1)*(COUNTIF(CONFIG_ASIGNATURAS!$B$7:$B$27,nASIG)&gt;0)*(nNOTA))/SUMPRODUCT((nNIA=A494)*(nCUENTA=1)*(COUNTIF(CONFIG_ASIGNATURAS!$B$7:$B$27,nASIG)&gt;0)*1),"")))</f>
        <v/>
      </c>
      <c r="H494" t="str">
        <f>IF(G494="","",IF(G494="[FÓRMULA MANUAL]","",IFERROR(AVERAGEIFS(nNOTA,nNIA,G494,nCUENTA,1,nASIG,"Lenguaje Musical"),"")))</f>
        <v/>
      </c>
      <c r="I494" t="str">
        <f>IF(G494="","",IF(G494="[FÓRMULA MANUAL]","",IFERROR(AVERAGEIFS(nNOTA,nNIA,G494,nCUENTA,1,nASIG,"Orquesta/Banda/Conjunto"),"")))</f>
        <v/>
      </c>
      <c r="J494" t="str">
        <f>IF(G494="","",IF(G494="[FÓRMULA MANUAL]","",IFERROR(AVERAGEIFS(nNOTA,nNIA,G494,nCUENTA,1,nASIG,"Conjunto"),"")))</f>
        <v/>
      </c>
      <c r="K494" t="str">
        <f>IF(G494="","",IF(G494="[FÓRMULA MANUAL]","",IFERROR(SUMPRODUCT((nNIA=G494)*(nCUENTA=1)*(COUNTIF(CONFIG_ASIGNATURAS!$B$7:$B$27,nASIG)&gt;0)*(nNOTA))/SUMPRODUCT((nNIA=G494)*(nCUENTA=1)*(COUNTIF(CONFIG_ASIGNATURAS!$B$7:$B$27,nASIG)&gt;0)*1),"")))</f>
        <v/>
      </c>
      <c r="N494" t="str">
        <f>IF(M494="","",IF(M494="[FÓRMULA MANUAL]","",IFERROR(AVERAGEIFS(nNOTA,nNIA,M494,nCUENTA,1,nASIG,"Armonía"),"")))</f>
        <v/>
      </c>
      <c r="O494" t="str">
        <f>IF(M494="","",IF(M494="[FÓRMULA MANUAL]","",IFERROR(AVERAGEIFS(nNOTA,nNIA,M494,nCUENTA,1,nASIG,"Orquesta/Banda/Conjunto"),"")))</f>
        <v/>
      </c>
      <c r="P494" t="str">
        <f>IF(M494="","",IF(M494="[FÓRMULA MANUAL]","",IFERROR(AVERAGEIFS(nNOTA,nNIA,M494,nCUENTA,1,nASIG,"Música de Cámara"),"")))</f>
        <v/>
      </c>
      <c r="Q494" t="str">
        <f>IF(M494="","",IF(M494="[FÓRMULA MANUAL]","",IFERROR(SUMPRODUCT((nNIA=M494)*(nCUENTA=1)*(COUNTIF(CONFIG_ASIGNATURAS!$B$7:$B$27,nASIG)&gt;0)*(nNOTA))/SUMPRODUCT((nNIA=M494)*(nCUENTA=1)*(COUNTIF(CONFIG_ASIGNATURAS!$B$7:$B$27,nASIG)&gt;0)*1),"")))</f>
        <v/>
      </c>
      <c r="T494" t="str">
        <f>IF(S494="","",IF(S494="[FÓRMULA MANUAL]","",IFERROR(AVERAGEIFS(nNOTA,nNIA,S494,nCUENTA,1,nASIG,"Armonía"),"")))</f>
        <v/>
      </c>
      <c r="U494" t="str">
        <f>IF(S494="","",IF(S494="[FÓRMULA MANUAL]","",IFERROR(AVERAGEIFS(nNOTA,nNIA,S494,nCUENTA,1,nASIG,"Orquesta/Banda/Conjunto"),"")))</f>
        <v/>
      </c>
      <c r="V494" t="str">
        <f>IF(S494="","",IF(S494="[FÓRMULA MANUAL]","",IFERROR(AVERAGEIFS(nNOTA,nNIA,S494,nCUENTA,1,nASIG,"Música de Cámara"),"")))</f>
        <v/>
      </c>
      <c r="W494" t="str">
        <f>IF(S494="","",IF(S494="[FÓRMULA MANUAL]","",IFERROR(SUMPRODUCT((nNIA=S494)*(nCUENTA=1)*(COUNTIF(CONFIG_ASIGNATURAS!$B$7:$B$27,nASIG)&gt;0)*(nNOTA))/SUMPRODUCT((nNIA=S494)*(nCUENTA=1)*(COUNTIF(CONFIG_ASIGNATURAS!$B$7:$B$27,nASIG)&gt;0)*1),"")))</f>
        <v/>
      </c>
      <c r="Z494" t="str">
        <f>IF(Y494="","",IF(Y494="[FÓRMULA MANUAL]","",IFERROR(AVERAGEIFS(nNOTA,nNIA,Y494,nCUENTA,1,nASIG,"Análisis"),"")))</f>
        <v/>
      </c>
      <c r="AA494" t="str">
        <f>IF(Y494="","",IF(Y494="[FÓRMULA MANUAL]","",IFERROR(AVERAGEIFS(nNOTA,nNIA,Y494,nCUENTA,1,nASIG,"Orquesta/Banda/Conjunto"),"")))</f>
        <v/>
      </c>
      <c r="AB494" t="str">
        <f>IF(Y494="","",IF(Y494="[FÓRMULA MANUAL]","",IFERROR(AVERAGEIFS(nNOTA,nNIA,Y494,nCUENTA,1,nASIG,"Música de Cámara"),"")))</f>
        <v/>
      </c>
      <c r="AC494" t="str">
        <f>IF(Y494="","",IF(Y494="[FÓRMULA MANUAL]","",IFERROR(SUMPRODUCT((nNIA=Y494)*(nCUENTA=1)*(COUNTIF(CONFIG_ASIGNATURAS!$B$7:$B$27,nASIG)&gt;0)*(nNOTA))/SUMPRODUCT((nNIA=Y494)*(nCUENTA=1)*(COUNTIF(CONFIG_ASIGNATURAS!$B$7:$B$27,nASIG)&gt;0)*1),"")))</f>
        <v/>
      </c>
      <c r="AF494" t="str">
        <f>IF(AE494="","",IF(AE494="[FÓRMULA MANUAL]","",IFERROR(AVERAGEIFS(nNOTA,nNIA,AE494,nCUENTA,1,nASIG,"Análisis"),"")))</f>
        <v/>
      </c>
      <c r="AG494" t="str">
        <f>IF(AE494="","",IF(AE494="[FÓRMULA MANUAL]","",IFERROR(AVERAGEIFS(nNOTA,nNIA,AE494,nCUENTA,1,nASIG,"Orquesta/Banda/Conjunto"),"")))</f>
        <v/>
      </c>
      <c r="AH494" t="str">
        <f>IF(AE494="","",IF(AE494="[FÓRMULA MANUAL]","",IFERROR(AVERAGEIFS(nNOTA,nNIA,AE494,nCUENTA,1,nASIG,"Música de Cámara"),"")))</f>
        <v/>
      </c>
      <c r="AI494" t="str">
        <f>IF(AE494="","",IF(AE494="[FÓRMULA MANUAL]","",IFERROR(SUMPRODUCT((nNIA=AE494)*(nCUENTA=1)*(COUNTIF(CONFIG_ASIGNATURAS!$B$7:$B$27,nASIG)&gt;0)*(nNOTA))/SUMPRODUCT((nNIA=AE494)*(nCUENTA=1)*(COUNTIF(CONFIG_ASIGNATURAS!$B$7:$B$27,nASIG)&gt;0)*1),"")))</f>
        <v/>
      </c>
    </row>
    <row r="495" spans="2:35" x14ac:dyDescent="0.2">
      <c r="B495" t="str">
        <f>IF(A495="","",IF(A495="[FÓRMULA MANUAL]","",IFERROR(AVERAGEIFS(nNOTA,nNIA,A495,nCUENTA,1,nASIG,"Lenguaje Musical"),"")))</f>
        <v/>
      </c>
      <c r="C495" t="str">
        <f>IF(A495="","",IF(A495="[FÓRMULA MANUAL]","",IFERROR(AVERAGEIFS(nNOTA,nNIA,A495,nCUENTA,1,nASIG,"Orquesta/Banda/Conjunto"),"")))</f>
        <v/>
      </c>
      <c r="D495" t="str">
        <f>IF(A495="","",IF(A495="[FÓRMULA MANUAL]","",IFERROR(AVERAGEIFS(nNOTA,nNIA,A495,nCUENTA,1,nASIG,"Conjunto"),"")))</f>
        <v/>
      </c>
      <c r="E495" t="str">
        <f>IF(A495="","",IF(A495="[FÓRMULA MANUAL]","",IFERROR(SUMPRODUCT((nNIA=A495)*(nCUENTA=1)*(COUNTIF(CONFIG_ASIGNATURAS!$B$7:$B$27,nASIG)&gt;0)*(nNOTA))/SUMPRODUCT((nNIA=A495)*(nCUENTA=1)*(COUNTIF(CONFIG_ASIGNATURAS!$B$7:$B$27,nASIG)&gt;0)*1),"")))</f>
        <v/>
      </c>
      <c r="H495" t="str">
        <f>IF(G495="","",IF(G495="[FÓRMULA MANUAL]","",IFERROR(AVERAGEIFS(nNOTA,nNIA,G495,nCUENTA,1,nASIG,"Lenguaje Musical"),"")))</f>
        <v/>
      </c>
      <c r="I495" t="str">
        <f>IF(G495="","",IF(G495="[FÓRMULA MANUAL]","",IFERROR(AVERAGEIFS(nNOTA,nNIA,G495,nCUENTA,1,nASIG,"Orquesta/Banda/Conjunto"),"")))</f>
        <v/>
      </c>
      <c r="J495" t="str">
        <f>IF(G495="","",IF(G495="[FÓRMULA MANUAL]","",IFERROR(AVERAGEIFS(nNOTA,nNIA,G495,nCUENTA,1,nASIG,"Conjunto"),"")))</f>
        <v/>
      </c>
      <c r="K495" t="str">
        <f>IF(G495="","",IF(G495="[FÓRMULA MANUAL]","",IFERROR(SUMPRODUCT((nNIA=G495)*(nCUENTA=1)*(COUNTIF(CONFIG_ASIGNATURAS!$B$7:$B$27,nASIG)&gt;0)*(nNOTA))/SUMPRODUCT((nNIA=G495)*(nCUENTA=1)*(COUNTIF(CONFIG_ASIGNATURAS!$B$7:$B$27,nASIG)&gt;0)*1),"")))</f>
        <v/>
      </c>
      <c r="N495" t="str">
        <f>IF(M495="","",IF(M495="[FÓRMULA MANUAL]","",IFERROR(AVERAGEIFS(nNOTA,nNIA,M495,nCUENTA,1,nASIG,"Armonía"),"")))</f>
        <v/>
      </c>
      <c r="O495" t="str">
        <f>IF(M495="","",IF(M495="[FÓRMULA MANUAL]","",IFERROR(AVERAGEIFS(nNOTA,nNIA,M495,nCUENTA,1,nASIG,"Orquesta/Banda/Conjunto"),"")))</f>
        <v/>
      </c>
      <c r="P495" t="str">
        <f>IF(M495="","",IF(M495="[FÓRMULA MANUAL]","",IFERROR(AVERAGEIFS(nNOTA,nNIA,M495,nCUENTA,1,nASIG,"Música de Cámara"),"")))</f>
        <v/>
      </c>
      <c r="Q495" t="str">
        <f>IF(M495="","",IF(M495="[FÓRMULA MANUAL]","",IFERROR(SUMPRODUCT((nNIA=M495)*(nCUENTA=1)*(COUNTIF(CONFIG_ASIGNATURAS!$B$7:$B$27,nASIG)&gt;0)*(nNOTA))/SUMPRODUCT((nNIA=M495)*(nCUENTA=1)*(COUNTIF(CONFIG_ASIGNATURAS!$B$7:$B$27,nASIG)&gt;0)*1),"")))</f>
        <v/>
      </c>
      <c r="T495" t="str">
        <f>IF(S495="","",IF(S495="[FÓRMULA MANUAL]","",IFERROR(AVERAGEIFS(nNOTA,nNIA,S495,nCUENTA,1,nASIG,"Armonía"),"")))</f>
        <v/>
      </c>
      <c r="U495" t="str">
        <f>IF(S495="","",IF(S495="[FÓRMULA MANUAL]","",IFERROR(AVERAGEIFS(nNOTA,nNIA,S495,nCUENTA,1,nASIG,"Orquesta/Banda/Conjunto"),"")))</f>
        <v/>
      </c>
      <c r="V495" t="str">
        <f>IF(S495="","",IF(S495="[FÓRMULA MANUAL]","",IFERROR(AVERAGEIFS(nNOTA,nNIA,S495,nCUENTA,1,nASIG,"Música de Cámara"),"")))</f>
        <v/>
      </c>
      <c r="W495" t="str">
        <f>IF(S495="","",IF(S495="[FÓRMULA MANUAL]","",IFERROR(SUMPRODUCT((nNIA=S495)*(nCUENTA=1)*(COUNTIF(CONFIG_ASIGNATURAS!$B$7:$B$27,nASIG)&gt;0)*(nNOTA))/SUMPRODUCT((nNIA=S495)*(nCUENTA=1)*(COUNTIF(CONFIG_ASIGNATURAS!$B$7:$B$27,nASIG)&gt;0)*1),"")))</f>
        <v/>
      </c>
      <c r="Z495" t="str">
        <f>IF(Y495="","",IF(Y495="[FÓRMULA MANUAL]","",IFERROR(AVERAGEIFS(nNOTA,nNIA,Y495,nCUENTA,1,nASIG,"Análisis"),"")))</f>
        <v/>
      </c>
      <c r="AA495" t="str">
        <f>IF(Y495="","",IF(Y495="[FÓRMULA MANUAL]","",IFERROR(AVERAGEIFS(nNOTA,nNIA,Y495,nCUENTA,1,nASIG,"Orquesta/Banda/Conjunto"),"")))</f>
        <v/>
      </c>
      <c r="AB495" t="str">
        <f>IF(Y495="","",IF(Y495="[FÓRMULA MANUAL]","",IFERROR(AVERAGEIFS(nNOTA,nNIA,Y495,nCUENTA,1,nASIG,"Música de Cámara"),"")))</f>
        <v/>
      </c>
      <c r="AC495" t="str">
        <f>IF(Y495="","",IF(Y495="[FÓRMULA MANUAL]","",IFERROR(SUMPRODUCT((nNIA=Y495)*(nCUENTA=1)*(COUNTIF(CONFIG_ASIGNATURAS!$B$7:$B$27,nASIG)&gt;0)*(nNOTA))/SUMPRODUCT((nNIA=Y495)*(nCUENTA=1)*(COUNTIF(CONFIG_ASIGNATURAS!$B$7:$B$27,nASIG)&gt;0)*1),"")))</f>
        <v/>
      </c>
      <c r="AF495" t="str">
        <f>IF(AE495="","",IF(AE495="[FÓRMULA MANUAL]","",IFERROR(AVERAGEIFS(nNOTA,nNIA,AE495,nCUENTA,1,nASIG,"Análisis"),"")))</f>
        <v/>
      </c>
      <c r="AG495" t="str">
        <f>IF(AE495="","",IF(AE495="[FÓRMULA MANUAL]","",IFERROR(AVERAGEIFS(nNOTA,nNIA,AE495,nCUENTA,1,nASIG,"Orquesta/Banda/Conjunto"),"")))</f>
        <v/>
      </c>
      <c r="AH495" t="str">
        <f>IF(AE495="","",IF(AE495="[FÓRMULA MANUAL]","",IFERROR(AVERAGEIFS(nNOTA,nNIA,AE495,nCUENTA,1,nASIG,"Música de Cámara"),"")))</f>
        <v/>
      </c>
      <c r="AI495" t="str">
        <f>IF(AE495="","",IF(AE495="[FÓRMULA MANUAL]","",IFERROR(SUMPRODUCT((nNIA=AE495)*(nCUENTA=1)*(COUNTIF(CONFIG_ASIGNATURAS!$B$7:$B$27,nASIG)&gt;0)*(nNOTA))/SUMPRODUCT((nNIA=AE495)*(nCUENTA=1)*(COUNTIF(CONFIG_ASIGNATURAS!$B$7:$B$27,nASIG)&gt;0)*1),"")))</f>
        <v/>
      </c>
    </row>
    <row r="496" spans="2:35" x14ac:dyDescent="0.2">
      <c r="B496" t="str">
        <f>IF(A496="","",IF(A496="[FÓRMULA MANUAL]","",IFERROR(AVERAGEIFS(nNOTA,nNIA,A496,nCUENTA,1,nASIG,"Lenguaje Musical"),"")))</f>
        <v/>
      </c>
      <c r="C496" t="str">
        <f>IF(A496="","",IF(A496="[FÓRMULA MANUAL]","",IFERROR(AVERAGEIFS(nNOTA,nNIA,A496,nCUENTA,1,nASIG,"Orquesta/Banda/Conjunto"),"")))</f>
        <v/>
      </c>
      <c r="D496" t="str">
        <f>IF(A496="","",IF(A496="[FÓRMULA MANUAL]","",IFERROR(AVERAGEIFS(nNOTA,nNIA,A496,nCUENTA,1,nASIG,"Conjunto"),"")))</f>
        <v/>
      </c>
      <c r="E496" t="str">
        <f>IF(A496="","",IF(A496="[FÓRMULA MANUAL]","",IFERROR(SUMPRODUCT((nNIA=A496)*(nCUENTA=1)*(COUNTIF(CONFIG_ASIGNATURAS!$B$7:$B$27,nASIG)&gt;0)*(nNOTA))/SUMPRODUCT((nNIA=A496)*(nCUENTA=1)*(COUNTIF(CONFIG_ASIGNATURAS!$B$7:$B$27,nASIG)&gt;0)*1),"")))</f>
        <v/>
      </c>
      <c r="H496" t="str">
        <f>IF(G496="","",IF(G496="[FÓRMULA MANUAL]","",IFERROR(AVERAGEIFS(nNOTA,nNIA,G496,nCUENTA,1,nASIG,"Lenguaje Musical"),"")))</f>
        <v/>
      </c>
      <c r="I496" t="str">
        <f>IF(G496="","",IF(G496="[FÓRMULA MANUAL]","",IFERROR(AVERAGEIFS(nNOTA,nNIA,G496,nCUENTA,1,nASIG,"Orquesta/Banda/Conjunto"),"")))</f>
        <v/>
      </c>
      <c r="J496" t="str">
        <f>IF(G496="","",IF(G496="[FÓRMULA MANUAL]","",IFERROR(AVERAGEIFS(nNOTA,nNIA,G496,nCUENTA,1,nASIG,"Conjunto"),"")))</f>
        <v/>
      </c>
      <c r="K496" t="str">
        <f>IF(G496="","",IF(G496="[FÓRMULA MANUAL]","",IFERROR(SUMPRODUCT((nNIA=G496)*(nCUENTA=1)*(COUNTIF(CONFIG_ASIGNATURAS!$B$7:$B$27,nASIG)&gt;0)*(nNOTA))/SUMPRODUCT((nNIA=G496)*(nCUENTA=1)*(COUNTIF(CONFIG_ASIGNATURAS!$B$7:$B$27,nASIG)&gt;0)*1),"")))</f>
        <v/>
      </c>
      <c r="N496" t="str">
        <f>IF(M496="","",IF(M496="[FÓRMULA MANUAL]","",IFERROR(AVERAGEIFS(nNOTA,nNIA,M496,nCUENTA,1,nASIG,"Armonía"),"")))</f>
        <v/>
      </c>
      <c r="O496" t="str">
        <f>IF(M496="","",IF(M496="[FÓRMULA MANUAL]","",IFERROR(AVERAGEIFS(nNOTA,nNIA,M496,nCUENTA,1,nASIG,"Orquesta/Banda/Conjunto"),"")))</f>
        <v/>
      </c>
      <c r="P496" t="str">
        <f>IF(M496="","",IF(M496="[FÓRMULA MANUAL]","",IFERROR(AVERAGEIFS(nNOTA,nNIA,M496,nCUENTA,1,nASIG,"Música de Cámara"),"")))</f>
        <v/>
      </c>
      <c r="Q496" t="str">
        <f>IF(M496="","",IF(M496="[FÓRMULA MANUAL]","",IFERROR(SUMPRODUCT((nNIA=M496)*(nCUENTA=1)*(COUNTIF(CONFIG_ASIGNATURAS!$B$7:$B$27,nASIG)&gt;0)*(nNOTA))/SUMPRODUCT((nNIA=M496)*(nCUENTA=1)*(COUNTIF(CONFIG_ASIGNATURAS!$B$7:$B$27,nASIG)&gt;0)*1),"")))</f>
        <v/>
      </c>
      <c r="T496" t="str">
        <f>IF(S496="","",IF(S496="[FÓRMULA MANUAL]","",IFERROR(AVERAGEIFS(nNOTA,nNIA,S496,nCUENTA,1,nASIG,"Armonía"),"")))</f>
        <v/>
      </c>
      <c r="U496" t="str">
        <f>IF(S496="","",IF(S496="[FÓRMULA MANUAL]","",IFERROR(AVERAGEIFS(nNOTA,nNIA,S496,nCUENTA,1,nASIG,"Orquesta/Banda/Conjunto"),"")))</f>
        <v/>
      </c>
      <c r="V496" t="str">
        <f>IF(S496="","",IF(S496="[FÓRMULA MANUAL]","",IFERROR(AVERAGEIFS(nNOTA,nNIA,S496,nCUENTA,1,nASIG,"Música de Cámara"),"")))</f>
        <v/>
      </c>
      <c r="W496" t="str">
        <f>IF(S496="","",IF(S496="[FÓRMULA MANUAL]","",IFERROR(SUMPRODUCT((nNIA=S496)*(nCUENTA=1)*(COUNTIF(CONFIG_ASIGNATURAS!$B$7:$B$27,nASIG)&gt;0)*(nNOTA))/SUMPRODUCT((nNIA=S496)*(nCUENTA=1)*(COUNTIF(CONFIG_ASIGNATURAS!$B$7:$B$27,nASIG)&gt;0)*1),"")))</f>
        <v/>
      </c>
      <c r="Z496" t="str">
        <f>IF(Y496="","",IF(Y496="[FÓRMULA MANUAL]","",IFERROR(AVERAGEIFS(nNOTA,nNIA,Y496,nCUENTA,1,nASIG,"Análisis"),"")))</f>
        <v/>
      </c>
      <c r="AA496" t="str">
        <f>IF(Y496="","",IF(Y496="[FÓRMULA MANUAL]","",IFERROR(AVERAGEIFS(nNOTA,nNIA,Y496,nCUENTA,1,nASIG,"Orquesta/Banda/Conjunto"),"")))</f>
        <v/>
      </c>
      <c r="AB496" t="str">
        <f>IF(Y496="","",IF(Y496="[FÓRMULA MANUAL]","",IFERROR(AVERAGEIFS(nNOTA,nNIA,Y496,nCUENTA,1,nASIG,"Música de Cámara"),"")))</f>
        <v/>
      </c>
      <c r="AC496" t="str">
        <f>IF(Y496="","",IF(Y496="[FÓRMULA MANUAL]","",IFERROR(SUMPRODUCT((nNIA=Y496)*(nCUENTA=1)*(COUNTIF(CONFIG_ASIGNATURAS!$B$7:$B$27,nASIG)&gt;0)*(nNOTA))/SUMPRODUCT((nNIA=Y496)*(nCUENTA=1)*(COUNTIF(CONFIG_ASIGNATURAS!$B$7:$B$27,nASIG)&gt;0)*1),"")))</f>
        <v/>
      </c>
      <c r="AF496" t="str">
        <f>IF(AE496="","",IF(AE496="[FÓRMULA MANUAL]","",IFERROR(AVERAGEIFS(nNOTA,nNIA,AE496,nCUENTA,1,nASIG,"Análisis"),"")))</f>
        <v/>
      </c>
      <c r="AG496" t="str">
        <f>IF(AE496="","",IF(AE496="[FÓRMULA MANUAL]","",IFERROR(AVERAGEIFS(nNOTA,nNIA,AE496,nCUENTA,1,nASIG,"Orquesta/Banda/Conjunto"),"")))</f>
        <v/>
      </c>
      <c r="AH496" t="str">
        <f>IF(AE496="","",IF(AE496="[FÓRMULA MANUAL]","",IFERROR(AVERAGEIFS(nNOTA,nNIA,AE496,nCUENTA,1,nASIG,"Música de Cámara"),"")))</f>
        <v/>
      </c>
      <c r="AI496" t="str">
        <f>IF(AE496="","",IF(AE496="[FÓRMULA MANUAL]","",IFERROR(SUMPRODUCT((nNIA=AE496)*(nCUENTA=1)*(COUNTIF(CONFIG_ASIGNATURAS!$B$7:$B$27,nASIG)&gt;0)*(nNOTA))/SUMPRODUCT((nNIA=AE496)*(nCUENTA=1)*(COUNTIF(CONFIG_ASIGNATURAS!$B$7:$B$27,nASIG)&gt;0)*1),"")))</f>
        <v/>
      </c>
    </row>
    <row r="497" spans="2:35" x14ac:dyDescent="0.2">
      <c r="B497" t="str">
        <f>IF(A497="","",IF(A497="[FÓRMULA MANUAL]","",IFERROR(AVERAGEIFS(nNOTA,nNIA,A497,nCUENTA,1,nASIG,"Lenguaje Musical"),"")))</f>
        <v/>
      </c>
      <c r="C497" t="str">
        <f>IF(A497="","",IF(A497="[FÓRMULA MANUAL]","",IFERROR(AVERAGEIFS(nNOTA,nNIA,A497,nCUENTA,1,nASIG,"Orquesta/Banda/Conjunto"),"")))</f>
        <v/>
      </c>
      <c r="D497" t="str">
        <f>IF(A497="","",IF(A497="[FÓRMULA MANUAL]","",IFERROR(AVERAGEIFS(nNOTA,nNIA,A497,nCUENTA,1,nASIG,"Conjunto"),"")))</f>
        <v/>
      </c>
      <c r="E497" t="str">
        <f>IF(A497="","",IF(A497="[FÓRMULA MANUAL]","",IFERROR(SUMPRODUCT((nNIA=A497)*(nCUENTA=1)*(COUNTIF(CONFIG_ASIGNATURAS!$B$7:$B$27,nASIG)&gt;0)*(nNOTA))/SUMPRODUCT((nNIA=A497)*(nCUENTA=1)*(COUNTIF(CONFIG_ASIGNATURAS!$B$7:$B$27,nASIG)&gt;0)*1),"")))</f>
        <v/>
      </c>
      <c r="H497" t="str">
        <f>IF(G497="","",IF(G497="[FÓRMULA MANUAL]","",IFERROR(AVERAGEIFS(nNOTA,nNIA,G497,nCUENTA,1,nASIG,"Lenguaje Musical"),"")))</f>
        <v/>
      </c>
      <c r="I497" t="str">
        <f>IF(G497="","",IF(G497="[FÓRMULA MANUAL]","",IFERROR(AVERAGEIFS(nNOTA,nNIA,G497,nCUENTA,1,nASIG,"Orquesta/Banda/Conjunto"),"")))</f>
        <v/>
      </c>
      <c r="J497" t="str">
        <f>IF(G497="","",IF(G497="[FÓRMULA MANUAL]","",IFERROR(AVERAGEIFS(nNOTA,nNIA,G497,nCUENTA,1,nASIG,"Conjunto"),"")))</f>
        <v/>
      </c>
      <c r="K497" t="str">
        <f>IF(G497="","",IF(G497="[FÓRMULA MANUAL]","",IFERROR(SUMPRODUCT((nNIA=G497)*(nCUENTA=1)*(COUNTIF(CONFIG_ASIGNATURAS!$B$7:$B$27,nASIG)&gt;0)*(nNOTA))/SUMPRODUCT((nNIA=G497)*(nCUENTA=1)*(COUNTIF(CONFIG_ASIGNATURAS!$B$7:$B$27,nASIG)&gt;0)*1),"")))</f>
        <v/>
      </c>
      <c r="N497" t="str">
        <f>IF(M497="","",IF(M497="[FÓRMULA MANUAL]","",IFERROR(AVERAGEIFS(nNOTA,nNIA,M497,nCUENTA,1,nASIG,"Armonía"),"")))</f>
        <v/>
      </c>
      <c r="O497" t="str">
        <f>IF(M497="","",IF(M497="[FÓRMULA MANUAL]","",IFERROR(AVERAGEIFS(nNOTA,nNIA,M497,nCUENTA,1,nASIG,"Orquesta/Banda/Conjunto"),"")))</f>
        <v/>
      </c>
      <c r="P497" t="str">
        <f>IF(M497="","",IF(M497="[FÓRMULA MANUAL]","",IFERROR(AVERAGEIFS(nNOTA,nNIA,M497,nCUENTA,1,nASIG,"Música de Cámara"),"")))</f>
        <v/>
      </c>
      <c r="Q497" t="str">
        <f>IF(M497="","",IF(M497="[FÓRMULA MANUAL]","",IFERROR(SUMPRODUCT((nNIA=M497)*(nCUENTA=1)*(COUNTIF(CONFIG_ASIGNATURAS!$B$7:$B$27,nASIG)&gt;0)*(nNOTA))/SUMPRODUCT((nNIA=M497)*(nCUENTA=1)*(COUNTIF(CONFIG_ASIGNATURAS!$B$7:$B$27,nASIG)&gt;0)*1),"")))</f>
        <v/>
      </c>
      <c r="T497" t="str">
        <f>IF(S497="","",IF(S497="[FÓRMULA MANUAL]","",IFERROR(AVERAGEIFS(nNOTA,nNIA,S497,nCUENTA,1,nASIG,"Armonía"),"")))</f>
        <v/>
      </c>
      <c r="U497" t="str">
        <f>IF(S497="","",IF(S497="[FÓRMULA MANUAL]","",IFERROR(AVERAGEIFS(nNOTA,nNIA,S497,nCUENTA,1,nASIG,"Orquesta/Banda/Conjunto"),"")))</f>
        <v/>
      </c>
      <c r="V497" t="str">
        <f>IF(S497="","",IF(S497="[FÓRMULA MANUAL]","",IFERROR(AVERAGEIFS(nNOTA,nNIA,S497,nCUENTA,1,nASIG,"Música de Cámara"),"")))</f>
        <v/>
      </c>
      <c r="W497" t="str">
        <f>IF(S497="","",IF(S497="[FÓRMULA MANUAL]","",IFERROR(SUMPRODUCT((nNIA=S497)*(nCUENTA=1)*(COUNTIF(CONFIG_ASIGNATURAS!$B$7:$B$27,nASIG)&gt;0)*(nNOTA))/SUMPRODUCT((nNIA=S497)*(nCUENTA=1)*(COUNTIF(CONFIG_ASIGNATURAS!$B$7:$B$27,nASIG)&gt;0)*1),"")))</f>
        <v/>
      </c>
      <c r="Z497" t="str">
        <f>IF(Y497="","",IF(Y497="[FÓRMULA MANUAL]","",IFERROR(AVERAGEIFS(nNOTA,nNIA,Y497,nCUENTA,1,nASIG,"Análisis"),"")))</f>
        <v/>
      </c>
      <c r="AA497" t="str">
        <f>IF(Y497="","",IF(Y497="[FÓRMULA MANUAL]","",IFERROR(AVERAGEIFS(nNOTA,nNIA,Y497,nCUENTA,1,nASIG,"Orquesta/Banda/Conjunto"),"")))</f>
        <v/>
      </c>
      <c r="AB497" t="str">
        <f>IF(Y497="","",IF(Y497="[FÓRMULA MANUAL]","",IFERROR(AVERAGEIFS(nNOTA,nNIA,Y497,nCUENTA,1,nASIG,"Música de Cámara"),"")))</f>
        <v/>
      </c>
      <c r="AC497" t="str">
        <f>IF(Y497="","",IF(Y497="[FÓRMULA MANUAL]","",IFERROR(SUMPRODUCT((nNIA=Y497)*(nCUENTA=1)*(COUNTIF(CONFIG_ASIGNATURAS!$B$7:$B$27,nASIG)&gt;0)*(nNOTA))/SUMPRODUCT((nNIA=Y497)*(nCUENTA=1)*(COUNTIF(CONFIG_ASIGNATURAS!$B$7:$B$27,nASIG)&gt;0)*1),"")))</f>
        <v/>
      </c>
      <c r="AF497" t="str">
        <f>IF(AE497="","",IF(AE497="[FÓRMULA MANUAL]","",IFERROR(AVERAGEIFS(nNOTA,nNIA,AE497,nCUENTA,1,nASIG,"Análisis"),"")))</f>
        <v/>
      </c>
      <c r="AG497" t="str">
        <f>IF(AE497="","",IF(AE497="[FÓRMULA MANUAL]","",IFERROR(AVERAGEIFS(nNOTA,nNIA,AE497,nCUENTA,1,nASIG,"Orquesta/Banda/Conjunto"),"")))</f>
        <v/>
      </c>
      <c r="AH497" t="str">
        <f>IF(AE497="","",IF(AE497="[FÓRMULA MANUAL]","",IFERROR(AVERAGEIFS(nNOTA,nNIA,AE497,nCUENTA,1,nASIG,"Música de Cámara"),"")))</f>
        <v/>
      </c>
      <c r="AI497" t="str">
        <f>IF(AE497="","",IF(AE497="[FÓRMULA MANUAL]","",IFERROR(SUMPRODUCT((nNIA=AE497)*(nCUENTA=1)*(COUNTIF(CONFIG_ASIGNATURAS!$B$7:$B$27,nASIG)&gt;0)*(nNOTA))/SUMPRODUCT((nNIA=AE497)*(nCUENTA=1)*(COUNTIF(CONFIG_ASIGNATURAS!$B$7:$B$27,nASIG)&gt;0)*1),"")))</f>
        <v/>
      </c>
    </row>
    <row r="498" spans="2:35" x14ac:dyDescent="0.2">
      <c r="B498" t="str">
        <f>IF(A498="","",IF(A498="[FÓRMULA MANUAL]","",IFERROR(AVERAGEIFS(nNOTA,nNIA,A498,nCUENTA,1,nASIG,"Lenguaje Musical"),"")))</f>
        <v/>
      </c>
      <c r="C498" t="str">
        <f>IF(A498="","",IF(A498="[FÓRMULA MANUAL]","",IFERROR(AVERAGEIFS(nNOTA,nNIA,A498,nCUENTA,1,nASIG,"Orquesta/Banda/Conjunto"),"")))</f>
        <v/>
      </c>
      <c r="D498" t="str">
        <f>IF(A498="","",IF(A498="[FÓRMULA MANUAL]","",IFERROR(AVERAGEIFS(nNOTA,nNIA,A498,nCUENTA,1,nASIG,"Conjunto"),"")))</f>
        <v/>
      </c>
      <c r="E498" t="str">
        <f>IF(A498="","",IF(A498="[FÓRMULA MANUAL]","",IFERROR(SUMPRODUCT((nNIA=A498)*(nCUENTA=1)*(COUNTIF(CONFIG_ASIGNATURAS!$B$7:$B$27,nASIG)&gt;0)*(nNOTA))/SUMPRODUCT((nNIA=A498)*(nCUENTA=1)*(COUNTIF(CONFIG_ASIGNATURAS!$B$7:$B$27,nASIG)&gt;0)*1),"")))</f>
        <v/>
      </c>
      <c r="H498" t="str">
        <f>IF(G498="","",IF(G498="[FÓRMULA MANUAL]","",IFERROR(AVERAGEIFS(nNOTA,nNIA,G498,nCUENTA,1,nASIG,"Lenguaje Musical"),"")))</f>
        <v/>
      </c>
      <c r="I498" t="str">
        <f>IF(G498="","",IF(G498="[FÓRMULA MANUAL]","",IFERROR(AVERAGEIFS(nNOTA,nNIA,G498,nCUENTA,1,nASIG,"Orquesta/Banda/Conjunto"),"")))</f>
        <v/>
      </c>
      <c r="J498" t="str">
        <f>IF(G498="","",IF(G498="[FÓRMULA MANUAL]","",IFERROR(AVERAGEIFS(nNOTA,nNIA,G498,nCUENTA,1,nASIG,"Conjunto"),"")))</f>
        <v/>
      </c>
      <c r="K498" t="str">
        <f>IF(G498="","",IF(G498="[FÓRMULA MANUAL]","",IFERROR(SUMPRODUCT((nNIA=G498)*(nCUENTA=1)*(COUNTIF(CONFIG_ASIGNATURAS!$B$7:$B$27,nASIG)&gt;0)*(nNOTA))/SUMPRODUCT((nNIA=G498)*(nCUENTA=1)*(COUNTIF(CONFIG_ASIGNATURAS!$B$7:$B$27,nASIG)&gt;0)*1),"")))</f>
        <v/>
      </c>
      <c r="N498" t="str">
        <f>IF(M498="","",IF(M498="[FÓRMULA MANUAL]","",IFERROR(AVERAGEIFS(nNOTA,nNIA,M498,nCUENTA,1,nASIG,"Armonía"),"")))</f>
        <v/>
      </c>
      <c r="O498" t="str">
        <f>IF(M498="","",IF(M498="[FÓRMULA MANUAL]","",IFERROR(AVERAGEIFS(nNOTA,nNIA,M498,nCUENTA,1,nASIG,"Orquesta/Banda/Conjunto"),"")))</f>
        <v/>
      </c>
      <c r="P498" t="str">
        <f>IF(M498="","",IF(M498="[FÓRMULA MANUAL]","",IFERROR(AVERAGEIFS(nNOTA,nNIA,M498,nCUENTA,1,nASIG,"Música de Cámara"),"")))</f>
        <v/>
      </c>
      <c r="Q498" t="str">
        <f>IF(M498="","",IF(M498="[FÓRMULA MANUAL]","",IFERROR(SUMPRODUCT((nNIA=M498)*(nCUENTA=1)*(COUNTIF(CONFIG_ASIGNATURAS!$B$7:$B$27,nASIG)&gt;0)*(nNOTA))/SUMPRODUCT((nNIA=M498)*(nCUENTA=1)*(COUNTIF(CONFIG_ASIGNATURAS!$B$7:$B$27,nASIG)&gt;0)*1),"")))</f>
        <v/>
      </c>
      <c r="T498" t="str">
        <f>IF(S498="","",IF(S498="[FÓRMULA MANUAL]","",IFERROR(AVERAGEIFS(nNOTA,nNIA,S498,nCUENTA,1,nASIG,"Armonía"),"")))</f>
        <v/>
      </c>
      <c r="U498" t="str">
        <f>IF(S498="","",IF(S498="[FÓRMULA MANUAL]","",IFERROR(AVERAGEIFS(nNOTA,nNIA,S498,nCUENTA,1,nASIG,"Orquesta/Banda/Conjunto"),"")))</f>
        <v/>
      </c>
      <c r="V498" t="str">
        <f>IF(S498="","",IF(S498="[FÓRMULA MANUAL]","",IFERROR(AVERAGEIFS(nNOTA,nNIA,S498,nCUENTA,1,nASIG,"Música de Cámara"),"")))</f>
        <v/>
      </c>
      <c r="W498" t="str">
        <f>IF(S498="","",IF(S498="[FÓRMULA MANUAL]","",IFERROR(SUMPRODUCT((nNIA=S498)*(nCUENTA=1)*(COUNTIF(CONFIG_ASIGNATURAS!$B$7:$B$27,nASIG)&gt;0)*(nNOTA))/SUMPRODUCT((nNIA=S498)*(nCUENTA=1)*(COUNTIF(CONFIG_ASIGNATURAS!$B$7:$B$27,nASIG)&gt;0)*1),"")))</f>
        <v/>
      </c>
      <c r="Z498" t="str">
        <f>IF(Y498="","",IF(Y498="[FÓRMULA MANUAL]","",IFERROR(AVERAGEIFS(nNOTA,nNIA,Y498,nCUENTA,1,nASIG,"Análisis"),"")))</f>
        <v/>
      </c>
      <c r="AA498" t="str">
        <f>IF(Y498="","",IF(Y498="[FÓRMULA MANUAL]","",IFERROR(AVERAGEIFS(nNOTA,nNIA,Y498,nCUENTA,1,nASIG,"Orquesta/Banda/Conjunto"),"")))</f>
        <v/>
      </c>
      <c r="AB498" t="str">
        <f>IF(Y498="","",IF(Y498="[FÓRMULA MANUAL]","",IFERROR(AVERAGEIFS(nNOTA,nNIA,Y498,nCUENTA,1,nASIG,"Música de Cámara"),"")))</f>
        <v/>
      </c>
      <c r="AC498" t="str">
        <f>IF(Y498="","",IF(Y498="[FÓRMULA MANUAL]","",IFERROR(SUMPRODUCT((nNIA=Y498)*(nCUENTA=1)*(COUNTIF(CONFIG_ASIGNATURAS!$B$7:$B$27,nASIG)&gt;0)*(nNOTA))/SUMPRODUCT((nNIA=Y498)*(nCUENTA=1)*(COUNTIF(CONFIG_ASIGNATURAS!$B$7:$B$27,nASIG)&gt;0)*1),"")))</f>
        <v/>
      </c>
      <c r="AF498" t="str">
        <f>IF(AE498="","",IF(AE498="[FÓRMULA MANUAL]","",IFERROR(AVERAGEIFS(nNOTA,nNIA,AE498,nCUENTA,1,nASIG,"Análisis"),"")))</f>
        <v/>
      </c>
      <c r="AG498" t="str">
        <f>IF(AE498="","",IF(AE498="[FÓRMULA MANUAL]","",IFERROR(AVERAGEIFS(nNOTA,nNIA,AE498,nCUENTA,1,nASIG,"Orquesta/Banda/Conjunto"),"")))</f>
        <v/>
      </c>
      <c r="AH498" t="str">
        <f>IF(AE498="","",IF(AE498="[FÓRMULA MANUAL]","",IFERROR(AVERAGEIFS(nNOTA,nNIA,AE498,nCUENTA,1,nASIG,"Música de Cámara"),"")))</f>
        <v/>
      </c>
      <c r="AI498" t="str">
        <f>IF(AE498="","",IF(AE498="[FÓRMULA MANUAL]","",IFERROR(SUMPRODUCT((nNIA=AE498)*(nCUENTA=1)*(COUNTIF(CONFIG_ASIGNATURAS!$B$7:$B$27,nASIG)&gt;0)*(nNOTA))/SUMPRODUCT((nNIA=AE498)*(nCUENTA=1)*(COUNTIF(CONFIG_ASIGNATURAS!$B$7:$B$27,nASIG)&gt;0)*1),"")))</f>
        <v/>
      </c>
    </row>
    <row r="499" spans="2:35" x14ac:dyDescent="0.2">
      <c r="B499" t="str">
        <f>IF(A499="","",IF(A499="[FÓRMULA MANUAL]","",IFERROR(AVERAGEIFS(nNOTA,nNIA,A499,nCUENTA,1,nASIG,"Lenguaje Musical"),"")))</f>
        <v/>
      </c>
      <c r="C499" t="str">
        <f>IF(A499="","",IF(A499="[FÓRMULA MANUAL]","",IFERROR(AVERAGEIFS(nNOTA,nNIA,A499,nCUENTA,1,nASIG,"Orquesta/Banda/Conjunto"),"")))</f>
        <v/>
      </c>
      <c r="D499" t="str">
        <f>IF(A499="","",IF(A499="[FÓRMULA MANUAL]","",IFERROR(AVERAGEIFS(nNOTA,nNIA,A499,nCUENTA,1,nASIG,"Conjunto"),"")))</f>
        <v/>
      </c>
      <c r="E499" t="str">
        <f>IF(A499="","",IF(A499="[FÓRMULA MANUAL]","",IFERROR(SUMPRODUCT((nNIA=A499)*(nCUENTA=1)*(COUNTIF(CONFIG_ASIGNATURAS!$B$7:$B$27,nASIG)&gt;0)*(nNOTA))/SUMPRODUCT((nNIA=A499)*(nCUENTA=1)*(COUNTIF(CONFIG_ASIGNATURAS!$B$7:$B$27,nASIG)&gt;0)*1),"")))</f>
        <v/>
      </c>
      <c r="H499" t="str">
        <f>IF(G499="","",IF(G499="[FÓRMULA MANUAL]","",IFERROR(AVERAGEIFS(nNOTA,nNIA,G499,nCUENTA,1,nASIG,"Lenguaje Musical"),"")))</f>
        <v/>
      </c>
      <c r="I499" t="str">
        <f>IF(G499="","",IF(G499="[FÓRMULA MANUAL]","",IFERROR(AVERAGEIFS(nNOTA,nNIA,G499,nCUENTA,1,nASIG,"Orquesta/Banda/Conjunto"),"")))</f>
        <v/>
      </c>
      <c r="J499" t="str">
        <f>IF(G499="","",IF(G499="[FÓRMULA MANUAL]","",IFERROR(AVERAGEIFS(nNOTA,nNIA,G499,nCUENTA,1,nASIG,"Conjunto"),"")))</f>
        <v/>
      </c>
      <c r="K499" t="str">
        <f>IF(G499="","",IF(G499="[FÓRMULA MANUAL]","",IFERROR(SUMPRODUCT((nNIA=G499)*(nCUENTA=1)*(COUNTIF(CONFIG_ASIGNATURAS!$B$7:$B$27,nASIG)&gt;0)*(nNOTA))/SUMPRODUCT((nNIA=G499)*(nCUENTA=1)*(COUNTIF(CONFIG_ASIGNATURAS!$B$7:$B$27,nASIG)&gt;0)*1),"")))</f>
        <v/>
      </c>
      <c r="N499" t="str">
        <f>IF(M499="","",IF(M499="[FÓRMULA MANUAL]","",IFERROR(AVERAGEIFS(nNOTA,nNIA,M499,nCUENTA,1,nASIG,"Armonía"),"")))</f>
        <v/>
      </c>
      <c r="O499" t="str">
        <f>IF(M499="","",IF(M499="[FÓRMULA MANUAL]","",IFERROR(AVERAGEIFS(nNOTA,nNIA,M499,nCUENTA,1,nASIG,"Orquesta/Banda/Conjunto"),"")))</f>
        <v/>
      </c>
      <c r="P499" t="str">
        <f>IF(M499="","",IF(M499="[FÓRMULA MANUAL]","",IFERROR(AVERAGEIFS(nNOTA,nNIA,M499,nCUENTA,1,nASIG,"Música de Cámara"),"")))</f>
        <v/>
      </c>
      <c r="Q499" t="str">
        <f>IF(M499="","",IF(M499="[FÓRMULA MANUAL]","",IFERROR(SUMPRODUCT((nNIA=M499)*(nCUENTA=1)*(COUNTIF(CONFIG_ASIGNATURAS!$B$7:$B$27,nASIG)&gt;0)*(nNOTA))/SUMPRODUCT((nNIA=M499)*(nCUENTA=1)*(COUNTIF(CONFIG_ASIGNATURAS!$B$7:$B$27,nASIG)&gt;0)*1),"")))</f>
        <v/>
      </c>
      <c r="T499" t="str">
        <f>IF(S499="","",IF(S499="[FÓRMULA MANUAL]","",IFERROR(AVERAGEIFS(nNOTA,nNIA,S499,nCUENTA,1,nASIG,"Armonía"),"")))</f>
        <v/>
      </c>
      <c r="U499" t="str">
        <f>IF(S499="","",IF(S499="[FÓRMULA MANUAL]","",IFERROR(AVERAGEIFS(nNOTA,nNIA,S499,nCUENTA,1,nASIG,"Orquesta/Banda/Conjunto"),"")))</f>
        <v/>
      </c>
      <c r="V499" t="str">
        <f>IF(S499="","",IF(S499="[FÓRMULA MANUAL]","",IFERROR(AVERAGEIFS(nNOTA,nNIA,S499,nCUENTA,1,nASIG,"Música de Cámara"),"")))</f>
        <v/>
      </c>
      <c r="W499" t="str">
        <f>IF(S499="","",IF(S499="[FÓRMULA MANUAL]","",IFERROR(SUMPRODUCT((nNIA=S499)*(nCUENTA=1)*(COUNTIF(CONFIG_ASIGNATURAS!$B$7:$B$27,nASIG)&gt;0)*(nNOTA))/SUMPRODUCT((nNIA=S499)*(nCUENTA=1)*(COUNTIF(CONFIG_ASIGNATURAS!$B$7:$B$27,nASIG)&gt;0)*1),"")))</f>
        <v/>
      </c>
      <c r="Z499" t="str">
        <f>IF(Y499="","",IF(Y499="[FÓRMULA MANUAL]","",IFERROR(AVERAGEIFS(nNOTA,nNIA,Y499,nCUENTA,1,nASIG,"Análisis"),"")))</f>
        <v/>
      </c>
      <c r="AA499" t="str">
        <f>IF(Y499="","",IF(Y499="[FÓRMULA MANUAL]","",IFERROR(AVERAGEIFS(nNOTA,nNIA,Y499,nCUENTA,1,nASIG,"Orquesta/Banda/Conjunto"),"")))</f>
        <v/>
      </c>
      <c r="AB499" t="str">
        <f>IF(Y499="","",IF(Y499="[FÓRMULA MANUAL]","",IFERROR(AVERAGEIFS(nNOTA,nNIA,Y499,nCUENTA,1,nASIG,"Música de Cámara"),"")))</f>
        <v/>
      </c>
      <c r="AC499" t="str">
        <f>IF(Y499="","",IF(Y499="[FÓRMULA MANUAL]","",IFERROR(SUMPRODUCT((nNIA=Y499)*(nCUENTA=1)*(COUNTIF(CONFIG_ASIGNATURAS!$B$7:$B$27,nASIG)&gt;0)*(nNOTA))/SUMPRODUCT((nNIA=Y499)*(nCUENTA=1)*(COUNTIF(CONFIG_ASIGNATURAS!$B$7:$B$27,nASIG)&gt;0)*1),"")))</f>
        <v/>
      </c>
      <c r="AF499" t="str">
        <f>IF(AE499="","",IF(AE499="[FÓRMULA MANUAL]","",IFERROR(AVERAGEIFS(nNOTA,nNIA,AE499,nCUENTA,1,nASIG,"Análisis"),"")))</f>
        <v/>
      </c>
      <c r="AG499" t="str">
        <f>IF(AE499="","",IF(AE499="[FÓRMULA MANUAL]","",IFERROR(AVERAGEIFS(nNOTA,nNIA,AE499,nCUENTA,1,nASIG,"Orquesta/Banda/Conjunto"),"")))</f>
        <v/>
      </c>
      <c r="AH499" t="str">
        <f>IF(AE499="","",IF(AE499="[FÓRMULA MANUAL]","",IFERROR(AVERAGEIFS(nNOTA,nNIA,AE499,nCUENTA,1,nASIG,"Música de Cámara"),"")))</f>
        <v/>
      </c>
      <c r="AI499" t="str">
        <f>IF(AE499="","",IF(AE499="[FÓRMULA MANUAL]","",IFERROR(SUMPRODUCT((nNIA=AE499)*(nCUENTA=1)*(COUNTIF(CONFIG_ASIGNATURAS!$B$7:$B$27,nASIG)&gt;0)*(nNOTA))/SUMPRODUCT((nNIA=AE499)*(nCUENTA=1)*(COUNTIF(CONFIG_ASIGNATURAS!$B$7:$B$27,nASIG)&gt;0)*1),"")))</f>
        <v/>
      </c>
    </row>
    <row r="500" spans="2:35" x14ac:dyDescent="0.2">
      <c r="B500" t="str">
        <f>IF(A500="","",IF(A500="[FÓRMULA MANUAL]","",IFERROR(AVERAGEIFS(nNOTA,nNIA,A500,nCUENTA,1,nASIG,"Lenguaje Musical"),"")))</f>
        <v/>
      </c>
      <c r="C500" t="str">
        <f>IF(A500="","",IF(A500="[FÓRMULA MANUAL]","",IFERROR(AVERAGEIFS(nNOTA,nNIA,A500,nCUENTA,1,nASIG,"Orquesta/Banda/Conjunto"),"")))</f>
        <v/>
      </c>
      <c r="D500" t="str">
        <f>IF(A500="","",IF(A500="[FÓRMULA MANUAL]","",IFERROR(AVERAGEIFS(nNOTA,nNIA,A500,nCUENTA,1,nASIG,"Conjunto"),"")))</f>
        <v/>
      </c>
      <c r="E500" t="str">
        <f>IF(A500="","",IF(A500="[FÓRMULA MANUAL]","",IFERROR(SUMPRODUCT((nNIA=A500)*(nCUENTA=1)*(COUNTIF(CONFIG_ASIGNATURAS!$B$7:$B$27,nASIG)&gt;0)*(nNOTA))/SUMPRODUCT((nNIA=A500)*(nCUENTA=1)*(COUNTIF(CONFIG_ASIGNATURAS!$B$7:$B$27,nASIG)&gt;0)*1),"")))</f>
        <v/>
      </c>
      <c r="H500" t="str">
        <f>IF(G500="","",IF(G500="[FÓRMULA MANUAL]","",IFERROR(AVERAGEIFS(nNOTA,nNIA,G500,nCUENTA,1,nASIG,"Lenguaje Musical"),"")))</f>
        <v/>
      </c>
      <c r="I500" t="str">
        <f>IF(G500="","",IF(G500="[FÓRMULA MANUAL]","",IFERROR(AVERAGEIFS(nNOTA,nNIA,G500,nCUENTA,1,nASIG,"Orquesta/Banda/Conjunto"),"")))</f>
        <v/>
      </c>
      <c r="J500" t="str">
        <f>IF(G500="","",IF(G500="[FÓRMULA MANUAL]","",IFERROR(AVERAGEIFS(nNOTA,nNIA,G500,nCUENTA,1,nASIG,"Conjunto"),"")))</f>
        <v/>
      </c>
      <c r="K500" t="str">
        <f>IF(G500="","",IF(G500="[FÓRMULA MANUAL]","",IFERROR(SUMPRODUCT((nNIA=G500)*(nCUENTA=1)*(COUNTIF(CONFIG_ASIGNATURAS!$B$7:$B$27,nASIG)&gt;0)*(nNOTA))/SUMPRODUCT((nNIA=G500)*(nCUENTA=1)*(COUNTIF(CONFIG_ASIGNATURAS!$B$7:$B$27,nASIG)&gt;0)*1),"")))</f>
        <v/>
      </c>
      <c r="N500" t="str">
        <f>IF(M500="","",IF(M500="[FÓRMULA MANUAL]","",IFERROR(AVERAGEIFS(nNOTA,nNIA,M500,nCUENTA,1,nASIG,"Armonía"),"")))</f>
        <v/>
      </c>
      <c r="O500" t="str">
        <f>IF(M500="","",IF(M500="[FÓRMULA MANUAL]","",IFERROR(AVERAGEIFS(nNOTA,nNIA,M500,nCUENTA,1,nASIG,"Orquesta/Banda/Conjunto"),"")))</f>
        <v/>
      </c>
      <c r="P500" t="str">
        <f>IF(M500="","",IF(M500="[FÓRMULA MANUAL]","",IFERROR(AVERAGEIFS(nNOTA,nNIA,M500,nCUENTA,1,nASIG,"Música de Cámara"),"")))</f>
        <v/>
      </c>
      <c r="Q500" t="str">
        <f>IF(M500="","",IF(M500="[FÓRMULA MANUAL]","",IFERROR(SUMPRODUCT((nNIA=M500)*(nCUENTA=1)*(COUNTIF(CONFIG_ASIGNATURAS!$B$7:$B$27,nASIG)&gt;0)*(nNOTA))/SUMPRODUCT((nNIA=M500)*(nCUENTA=1)*(COUNTIF(CONFIG_ASIGNATURAS!$B$7:$B$27,nASIG)&gt;0)*1),"")))</f>
        <v/>
      </c>
      <c r="T500" t="str">
        <f>IF(S500="","",IF(S500="[FÓRMULA MANUAL]","",IFERROR(AVERAGEIFS(nNOTA,nNIA,S500,nCUENTA,1,nASIG,"Armonía"),"")))</f>
        <v/>
      </c>
      <c r="U500" t="str">
        <f>IF(S500="","",IF(S500="[FÓRMULA MANUAL]","",IFERROR(AVERAGEIFS(nNOTA,nNIA,S500,nCUENTA,1,nASIG,"Orquesta/Banda/Conjunto"),"")))</f>
        <v/>
      </c>
      <c r="V500" t="str">
        <f>IF(S500="","",IF(S500="[FÓRMULA MANUAL]","",IFERROR(AVERAGEIFS(nNOTA,nNIA,S500,nCUENTA,1,nASIG,"Música de Cámara"),"")))</f>
        <v/>
      </c>
      <c r="W500" t="str">
        <f>IF(S500="","",IF(S500="[FÓRMULA MANUAL]","",IFERROR(SUMPRODUCT((nNIA=S500)*(nCUENTA=1)*(COUNTIF(CONFIG_ASIGNATURAS!$B$7:$B$27,nASIG)&gt;0)*(nNOTA))/SUMPRODUCT((nNIA=S500)*(nCUENTA=1)*(COUNTIF(CONFIG_ASIGNATURAS!$B$7:$B$27,nASIG)&gt;0)*1),"")))</f>
        <v/>
      </c>
      <c r="Z500" t="str">
        <f>IF(Y500="","",IF(Y500="[FÓRMULA MANUAL]","",IFERROR(AVERAGEIFS(nNOTA,nNIA,Y500,nCUENTA,1,nASIG,"Análisis"),"")))</f>
        <v/>
      </c>
      <c r="AA500" t="str">
        <f>IF(Y500="","",IF(Y500="[FÓRMULA MANUAL]","",IFERROR(AVERAGEIFS(nNOTA,nNIA,Y500,nCUENTA,1,nASIG,"Orquesta/Banda/Conjunto"),"")))</f>
        <v/>
      </c>
      <c r="AB500" t="str">
        <f>IF(Y500="","",IF(Y500="[FÓRMULA MANUAL]","",IFERROR(AVERAGEIFS(nNOTA,nNIA,Y500,nCUENTA,1,nASIG,"Música de Cámara"),"")))</f>
        <v/>
      </c>
      <c r="AC500" t="str">
        <f>IF(Y500="","",IF(Y500="[FÓRMULA MANUAL]","",IFERROR(SUMPRODUCT((nNIA=Y500)*(nCUENTA=1)*(COUNTIF(CONFIG_ASIGNATURAS!$B$7:$B$27,nASIG)&gt;0)*(nNOTA))/SUMPRODUCT((nNIA=Y500)*(nCUENTA=1)*(COUNTIF(CONFIG_ASIGNATURAS!$B$7:$B$27,nASIG)&gt;0)*1),"")))</f>
        <v/>
      </c>
      <c r="AF500" t="str">
        <f>IF(AE500="","",IF(AE500="[FÓRMULA MANUAL]","",IFERROR(AVERAGEIFS(nNOTA,nNIA,AE500,nCUENTA,1,nASIG,"Análisis"),"")))</f>
        <v/>
      </c>
      <c r="AG500" t="str">
        <f>IF(AE500="","",IF(AE500="[FÓRMULA MANUAL]","",IFERROR(AVERAGEIFS(nNOTA,nNIA,AE500,nCUENTA,1,nASIG,"Orquesta/Banda/Conjunto"),"")))</f>
        <v/>
      </c>
      <c r="AH500" t="str">
        <f>IF(AE500="","",IF(AE500="[FÓRMULA MANUAL]","",IFERROR(AVERAGEIFS(nNOTA,nNIA,AE500,nCUENTA,1,nASIG,"Música de Cámara"),"")))</f>
        <v/>
      </c>
      <c r="AI500" t="str">
        <f>IF(AE500="","",IF(AE500="[FÓRMULA MANUAL]","",IFERROR(SUMPRODUCT((nNIA=AE500)*(nCUENTA=1)*(COUNTIF(CONFIG_ASIGNATURAS!$B$7:$B$27,nASIG)&gt;0)*(nNOTA))/SUMPRODUCT((nNIA=AE500)*(nCUENTA=1)*(COUNTIF(CONFIG_ASIGNATURAS!$B$7:$B$27,nASIG)&gt;0)*1),"")))</f>
        <v/>
      </c>
    </row>
    <row r="501" spans="2:35" x14ac:dyDescent="0.2">
      <c r="B501" t="str">
        <f>IF(A501="","",IF(A501="[FÓRMULA MANUAL]","",IFERROR(AVERAGEIFS(nNOTA,nNIA,A501,nCUENTA,1,nASIG,"Lenguaje Musical"),"")))</f>
        <v/>
      </c>
      <c r="C501" t="str">
        <f>IF(A501="","",IF(A501="[FÓRMULA MANUAL]","",IFERROR(AVERAGEIFS(nNOTA,nNIA,A501,nCUENTA,1,nASIG,"Orquesta/Banda/Conjunto"),"")))</f>
        <v/>
      </c>
      <c r="D501" t="str">
        <f>IF(A501="","",IF(A501="[FÓRMULA MANUAL]","",IFERROR(AVERAGEIFS(nNOTA,nNIA,A501,nCUENTA,1,nASIG,"Conjunto"),"")))</f>
        <v/>
      </c>
      <c r="E501" t="str">
        <f>IF(A501="","",IF(A501="[FÓRMULA MANUAL]","",IFERROR(SUMPRODUCT((nNIA=A501)*(nCUENTA=1)*(COUNTIF(CONFIG_ASIGNATURAS!$B$7:$B$27,nASIG)&gt;0)*(nNOTA))/SUMPRODUCT((nNIA=A501)*(nCUENTA=1)*(COUNTIF(CONFIG_ASIGNATURAS!$B$7:$B$27,nASIG)&gt;0)*1),"")))</f>
        <v/>
      </c>
      <c r="H501" t="str">
        <f>IF(G501="","",IF(G501="[FÓRMULA MANUAL]","",IFERROR(AVERAGEIFS(nNOTA,nNIA,G501,nCUENTA,1,nASIG,"Lenguaje Musical"),"")))</f>
        <v/>
      </c>
      <c r="I501" t="str">
        <f>IF(G501="","",IF(G501="[FÓRMULA MANUAL]","",IFERROR(AVERAGEIFS(nNOTA,nNIA,G501,nCUENTA,1,nASIG,"Orquesta/Banda/Conjunto"),"")))</f>
        <v/>
      </c>
      <c r="J501" t="str">
        <f>IF(G501="","",IF(G501="[FÓRMULA MANUAL]","",IFERROR(AVERAGEIFS(nNOTA,nNIA,G501,nCUENTA,1,nASIG,"Conjunto"),"")))</f>
        <v/>
      </c>
      <c r="K501" t="str">
        <f>IF(G501="","",IF(G501="[FÓRMULA MANUAL]","",IFERROR(SUMPRODUCT((nNIA=G501)*(nCUENTA=1)*(COUNTIF(CONFIG_ASIGNATURAS!$B$7:$B$27,nASIG)&gt;0)*(nNOTA))/SUMPRODUCT((nNIA=G501)*(nCUENTA=1)*(COUNTIF(CONFIG_ASIGNATURAS!$B$7:$B$27,nASIG)&gt;0)*1),"")))</f>
        <v/>
      </c>
      <c r="N501" t="str">
        <f>IF(M501="","",IF(M501="[FÓRMULA MANUAL]","",IFERROR(AVERAGEIFS(nNOTA,nNIA,M501,nCUENTA,1,nASIG,"Armonía"),"")))</f>
        <v/>
      </c>
      <c r="O501" t="str">
        <f>IF(M501="","",IF(M501="[FÓRMULA MANUAL]","",IFERROR(AVERAGEIFS(nNOTA,nNIA,M501,nCUENTA,1,nASIG,"Orquesta/Banda/Conjunto"),"")))</f>
        <v/>
      </c>
      <c r="P501" t="str">
        <f>IF(M501="","",IF(M501="[FÓRMULA MANUAL]","",IFERROR(AVERAGEIFS(nNOTA,nNIA,M501,nCUENTA,1,nASIG,"Música de Cámara"),"")))</f>
        <v/>
      </c>
      <c r="Q501" t="str">
        <f>IF(M501="","",IF(M501="[FÓRMULA MANUAL]","",IFERROR(SUMPRODUCT((nNIA=M501)*(nCUENTA=1)*(COUNTIF(CONFIG_ASIGNATURAS!$B$7:$B$27,nASIG)&gt;0)*(nNOTA))/SUMPRODUCT((nNIA=M501)*(nCUENTA=1)*(COUNTIF(CONFIG_ASIGNATURAS!$B$7:$B$27,nASIG)&gt;0)*1),"")))</f>
        <v/>
      </c>
      <c r="T501" t="str">
        <f>IF(S501="","",IF(S501="[FÓRMULA MANUAL]","",IFERROR(AVERAGEIFS(nNOTA,nNIA,S501,nCUENTA,1,nASIG,"Armonía"),"")))</f>
        <v/>
      </c>
      <c r="U501" t="str">
        <f>IF(S501="","",IF(S501="[FÓRMULA MANUAL]","",IFERROR(AVERAGEIFS(nNOTA,nNIA,S501,nCUENTA,1,nASIG,"Orquesta/Banda/Conjunto"),"")))</f>
        <v/>
      </c>
      <c r="V501" t="str">
        <f>IF(S501="","",IF(S501="[FÓRMULA MANUAL]","",IFERROR(AVERAGEIFS(nNOTA,nNIA,S501,nCUENTA,1,nASIG,"Música de Cámara"),"")))</f>
        <v/>
      </c>
      <c r="W501" t="str">
        <f>IF(S501="","",IF(S501="[FÓRMULA MANUAL]","",IFERROR(SUMPRODUCT((nNIA=S501)*(nCUENTA=1)*(COUNTIF(CONFIG_ASIGNATURAS!$B$7:$B$27,nASIG)&gt;0)*(nNOTA))/SUMPRODUCT((nNIA=S501)*(nCUENTA=1)*(COUNTIF(CONFIG_ASIGNATURAS!$B$7:$B$27,nASIG)&gt;0)*1),"")))</f>
        <v/>
      </c>
      <c r="Z501" t="str">
        <f>IF(Y501="","",IF(Y501="[FÓRMULA MANUAL]","",IFERROR(AVERAGEIFS(nNOTA,nNIA,Y501,nCUENTA,1,nASIG,"Análisis"),"")))</f>
        <v/>
      </c>
      <c r="AA501" t="str">
        <f>IF(Y501="","",IF(Y501="[FÓRMULA MANUAL]","",IFERROR(AVERAGEIFS(nNOTA,nNIA,Y501,nCUENTA,1,nASIG,"Orquesta/Banda/Conjunto"),"")))</f>
        <v/>
      </c>
      <c r="AB501" t="str">
        <f>IF(Y501="","",IF(Y501="[FÓRMULA MANUAL]","",IFERROR(AVERAGEIFS(nNOTA,nNIA,Y501,nCUENTA,1,nASIG,"Música de Cámara"),"")))</f>
        <v/>
      </c>
      <c r="AC501" t="str">
        <f>IF(Y501="","",IF(Y501="[FÓRMULA MANUAL]","",IFERROR(SUMPRODUCT((nNIA=Y501)*(nCUENTA=1)*(COUNTIF(CONFIG_ASIGNATURAS!$B$7:$B$27,nASIG)&gt;0)*(nNOTA))/SUMPRODUCT((nNIA=Y501)*(nCUENTA=1)*(COUNTIF(CONFIG_ASIGNATURAS!$B$7:$B$27,nASIG)&gt;0)*1),"")))</f>
        <v/>
      </c>
      <c r="AF501" t="str">
        <f>IF(AE501="","",IF(AE501="[FÓRMULA MANUAL]","",IFERROR(AVERAGEIFS(nNOTA,nNIA,AE501,nCUENTA,1,nASIG,"Análisis"),"")))</f>
        <v/>
      </c>
      <c r="AG501" t="str">
        <f>IF(AE501="","",IF(AE501="[FÓRMULA MANUAL]","",IFERROR(AVERAGEIFS(nNOTA,nNIA,AE501,nCUENTA,1,nASIG,"Orquesta/Banda/Conjunto"),"")))</f>
        <v/>
      </c>
      <c r="AH501" t="str">
        <f>IF(AE501="","",IF(AE501="[FÓRMULA MANUAL]","",IFERROR(AVERAGEIFS(nNOTA,nNIA,AE501,nCUENTA,1,nASIG,"Música de Cámara"),"")))</f>
        <v/>
      </c>
      <c r="AI501" t="str">
        <f>IF(AE501="","",IF(AE501="[FÓRMULA MANUAL]","",IFERROR(SUMPRODUCT((nNIA=AE501)*(nCUENTA=1)*(COUNTIF(CONFIG_ASIGNATURAS!$B$7:$B$27,nASIG)&gt;0)*(nNOTA))/SUMPRODUCT((nNIA=AE501)*(nCUENTA=1)*(COUNTIF(CONFIG_ASIGNATURAS!$B$7:$B$27,nASIG)&gt;0)*1),"")))</f>
        <v/>
      </c>
    </row>
    <row r="502" spans="2:35" x14ac:dyDescent="0.2">
      <c r="B502" t="str">
        <f>IF(A502="","",IF(A502="[FÓRMULA MANUAL]","",IFERROR(AVERAGEIFS(nNOTA,nNIA,A502,nCUENTA,1,nASIG,"Lenguaje Musical"),"")))</f>
        <v/>
      </c>
      <c r="C502" t="str">
        <f>IF(A502="","",IF(A502="[FÓRMULA MANUAL]","",IFERROR(AVERAGEIFS(nNOTA,nNIA,A502,nCUENTA,1,nASIG,"Orquesta/Banda/Conjunto"),"")))</f>
        <v/>
      </c>
      <c r="D502" t="str">
        <f>IF(A502="","",IF(A502="[FÓRMULA MANUAL]","",IFERROR(AVERAGEIFS(nNOTA,nNIA,A502,nCUENTA,1,nASIG,"Conjunto"),"")))</f>
        <v/>
      </c>
      <c r="E502" t="str">
        <f>IF(A502="","",IF(A502="[FÓRMULA MANUAL]","",IFERROR(SUMPRODUCT((nNIA=A502)*(nCUENTA=1)*(COUNTIF(CONFIG_ASIGNATURAS!$B$7:$B$27,nASIG)&gt;0)*(nNOTA))/SUMPRODUCT((nNIA=A502)*(nCUENTA=1)*(COUNTIF(CONFIG_ASIGNATURAS!$B$7:$B$27,nASIG)&gt;0)*1),"")))</f>
        <v/>
      </c>
      <c r="H502" t="str">
        <f>IF(G502="","",IF(G502="[FÓRMULA MANUAL]","",IFERROR(AVERAGEIFS(nNOTA,nNIA,G502,nCUENTA,1,nASIG,"Lenguaje Musical"),"")))</f>
        <v/>
      </c>
      <c r="I502" t="str">
        <f>IF(G502="","",IF(G502="[FÓRMULA MANUAL]","",IFERROR(AVERAGEIFS(nNOTA,nNIA,G502,nCUENTA,1,nASIG,"Orquesta/Banda/Conjunto"),"")))</f>
        <v/>
      </c>
      <c r="J502" t="str">
        <f>IF(G502="","",IF(G502="[FÓRMULA MANUAL]","",IFERROR(AVERAGEIFS(nNOTA,nNIA,G502,nCUENTA,1,nASIG,"Conjunto"),"")))</f>
        <v/>
      </c>
      <c r="K502" t="str">
        <f>IF(G502="","",IF(G502="[FÓRMULA MANUAL]","",IFERROR(SUMPRODUCT((nNIA=G502)*(nCUENTA=1)*(COUNTIF(CONFIG_ASIGNATURAS!$B$7:$B$27,nASIG)&gt;0)*(nNOTA))/SUMPRODUCT((nNIA=G502)*(nCUENTA=1)*(COUNTIF(CONFIG_ASIGNATURAS!$B$7:$B$27,nASIG)&gt;0)*1),"")))</f>
        <v/>
      </c>
      <c r="N502" t="str">
        <f>IF(M502="","",IF(M502="[FÓRMULA MANUAL]","",IFERROR(AVERAGEIFS(nNOTA,nNIA,M502,nCUENTA,1,nASIG,"Armonía"),"")))</f>
        <v/>
      </c>
      <c r="O502" t="str">
        <f>IF(M502="","",IF(M502="[FÓRMULA MANUAL]","",IFERROR(AVERAGEIFS(nNOTA,nNIA,M502,nCUENTA,1,nASIG,"Orquesta/Banda/Conjunto"),"")))</f>
        <v/>
      </c>
      <c r="P502" t="str">
        <f>IF(M502="","",IF(M502="[FÓRMULA MANUAL]","",IFERROR(AVERAGEIFS(nNOTA,nNIA,M502,nCUENTA,1,nASIG,"Música de Cámara"),"")))</f>
        <v/>
      </c>
      <c r="Q502" t="str">
        <f>IF(M502="","",IF(M502="[FÓRMULA MANUAL]","",IFERROR(SUMPRODUCT((nNIA=M502)*(nCUENTA=1)*(COUNTIF(CONFIG_ASIGNATURAS!$B$7:$B$27,nASIG)&gt;0)*(nNOTA))/SUMPRODUCT((nNIA=M502)*(nCUENTA=1)*(COUNTIF(CONFIG_ASIGNATURAS!$B$7:$B$27,nASIG)&gt;0)*1),"")))</f>
        <v/>
      </c>
      <c r="T502" t="str">
        <f>IF(S502="","",IF(S502="[FÓRMULA MANUAL]","",IFERROR(AVERAGEIFS(nNOTA,nNIA,S502,nCUENTA,1,nASIG,"Armonía"),"")))</f>
        <v/>
      </c>
      <c r="U502" t="str">
        <f>IF(S502="","",IF(S502="[FÓRMULA MANUAL]","",IFERROR(AVERAGEIFS(nNOTA,nNIA,S502,nCUENTA,1,nASIG,"Orquesta/Banda/Conjunto"),"")))</f>
        <v/>
      </c>
      <c r="V502" t="str">
        <f>IF(S502="","",IF(S502="[FÓRMULA MANUAL]","",IFERROR(AVERAGEIFS(nNOTA,nNIA,S502,nCUENTA,1,nASIG,"Música de Cámara"),"")))</f>
        <v/>
      </c>
      <c r="W502" t="str">
        <f>IF(S502="","",IF(S502="[FÓRMULA MANUAL]","",IFERROR(SUMPRODUCT((nNIA=S502)*(nCUENTA=1)*(COUNTIF(CONFIG_ASIGNATURAS!$B$7:$B$27,nASIG)&gt;0)*(nNOTA))/SUMPRODUCT((nNIA=S502)*(nCUENTA=1)*(COUNTIF(CONFIG_ASIGNATURAS!$B$7:$B$27,nASIG)&gt;0)*1),"")))</f>
        <v/>
      </c>
      <c r="Z502" t="str">
        <f>IF(Y502="","",IF(Y502="[FÓRMULA MANUAL]","",IFERROR(AVERAGEIFS(nNOTA,nNIA,Y502,nCUENTA,1,nASIG,"Análisis"),"")))</f>
        <v/>
      </c>
      <c r="AA502" t="str">
        <f>IF(Y502="","",IF(Y502="[FÓRMULA MANUAL]","",IFERROR(AVERAGEIFS(nNOTA,nNIA,Y502,nCUENTA,1,nASIG,"Orquesta/Banda/Conjunto"),"")))</f>
        <v/>
      </c>
      <c r="AB502" t="str">
        <f>IF(Y502="","",IF(Y502="[FÓRMULA MANUAL]","",IFERROR(AVERAGEIFS(nNOTA,nNIA,Y502,nCUENTA,1,nASIG,"Música de Cámara"),"")))</f>
        <v/>
      </c>
      <c r="AC502" t="str">
        <f>IF(Y502="","",IF(Y502="[FÓRMULA MANUAL]","",IFERROR(SUMPRODUCT((nNIA=Y502)*(nCUENTA=1)*(COUNTIF(CONFIG_ASIGNATURAS!$B$7:$B$27,nASIG)&gt;0)*(nNOTA))/SUMPRODUCT((nNIA=Y502)*(nCUENTA=1)*(COUNTIF(CONFIG_ASIGNATURAS!$B$7:$B$27,nASIG)&gt;0)*1),"")))</f>
        <v/>
      </c>
      <c r="AF502" t="str">
        <f>IF(AE502="","",IF(AE502="[FÓRMULA MANUAL]","",IFERROR(AVERAGEIFS(nNOTA,nNIA,AE502,nCUENTA,1,nASIG,"Análisis"),"")))</f>
        <v/>
      </c>
      <c r="AG502" t="str">
        <f>IF(AE502="","",IF(AE502="[FÓRMULA MANUAL]","",IFERROR(AVERAGEIFS(nNOTA,nNIA,AE502,nCUENTA,1,nASIG,"Orquesta/Banda/Conjunto"),"")))</f>
        <v/>
      </c>
      <c r="AH502" t="str">
        <f>IF(AE502="","",IF(AE502="[FÓRMULA MANUAL]","",IFERROR(AVERAGEIFS(nNOTA,nNIA,AE502,nCUENTA,1,nASIG,"Música de Cámara"),"")))</f>
        <v/>
      </c>
      <c r="AI502" t="str">
        <f>IF(AE502="","",IF(AE502="[FÓRMULA MANUAL]","",IFERROR(SUMPRODUCT((nNIA=AE502)*(nCUENTA=1)*(COUNTIF(CONFIG_ASIGNATURAS!$B$7:$B$27,nASIG)&gt;0)*(nNOTA))/SUMPRODUCT((nNIA=AE502)*(nCUENTA=1)*(COUNTIF(CONFIG_ASIGNATURAS!$B$7:$B$27,nASIG)&gt;0)*1),"")))</f>
        <v/>
      </c>
    </row>
    <row r="503" spans="2:35" x14ac:dyDescent="0.2">
      <c r="B503" t="str">
        <f>IF(A503="","",IF(A503="[FÓRMULA MANUAL]","",IFERROR(AVERAGEIFS(nNOTA,nNIA,A503,nCUENTA,1,nASIG,"Lenguaje Musical"),"")))</f>
        <v/>
      </c>
      <c r="C503" t="str">
        <f>IF(A503="","",IF(A503="[FÓRMULA MANUAL]","",IFERROR(AVERAGEIFS(nNOTA,nNIA,A503,nCUENTA,1,nASIG,"Orquesta/Banda/Conjunto"),"")))</f>
        <v/>
      </c>
      <c r="D503" t="str">
        <f>IF(A503="","",IF(A503="[FÓRMULA MANUAL]","",IFERROR(AVERAGEIFS(nNOTA,nNIA,A503,nCUENTA,1,nASIG,"Conjunto"),"")))</f>
        <v/>
      </c>
      <c r="E503" t="str">
        <f>IF(A503="","",IF(A503="[FÓRMULA MANUAL]","",IFERROR(SUMPRODUCT((nNIA=A503)*(nCUENTA=1)*(COUNTIF(CONFIG_ASIGNATURAS!$B$7:$B$27,nASIG)&gt;0)*(nNOTA))/SUMPRODUCT((nNIA=A503)*(nCUENTA=1)*(COUNTIF(CONFIG_ASIGNATURAS!$B$7:$B$27,nASIG)&gt;0)*1),"")))</f>
        <v/>
      </c>
      <c r="H503" t="str">
        <f>IF(G503="","",IF(G503="[FÓRMULA MANUAL]","",IFERROR(AVERAGEIFS(nNOTA,nNIA,G503,nCUENTA,1,nASIG,"Lenguaje Musical"),"")))</f>
        <v/>
      </c>
      <c r="I503" t="str">
        <f>IF(G503="","",IF(G503="[FÓRMULA MANUAL]","",IFERROR(AVERAGEIFS(nNOTA,nNIA,G503,nCUENTA,1,nASIG,"Orquesta/Banda/Conjunto"),"")))</f>
        <v/>
      </c>
      <c r="J503" t="str">
        <f>IF(G503="","",IF(G503="[FÓRMULA MANUAL]","",IFERROR(AVERAGEIFS(nNOTA,nNIA,G503,nCUENTA,1,nASIG,"Conjunto"),"")))</f>
        <v/>
      </c>
      <c r="K503" t="str">
        <f>IF(G503="","",IF(G503="[FÓRMULA MANUAL]","",IFERROR(SUMPRODUCT((nNIA=G503)*(nCUENTA=1)*(COUNTIF(CONFIG_ASIGNATURAS!$B$7:$B$27,nASIG)&gt;0)*(nNOTA))/SUMPRODUCT((nNIA=G503)*(nCUENTA=1)*(COUNTIF(CONFIG_ASIGNATURAS!$B$7:$B$27,nASIG)&gt;0)*1),"")))</f>
        <v/>
      </c>
      <c r="N503" t="str">
        <f>IF(M503="","",IF(M503="[FÓRMULA MANUAL]","",IFERROR(AVERAGEIFS(nNOTA,nNIA,M503,nCUENTA,1,nASIG,"Armonía"),"")))</f>
        <v/>
      </c>
      <c r="O503" t="str">
        <f>IF(M503="","",IF(M503="[FÓRMULA MANUAL]","",IFERROR(AVERAGEIFS(nNOTA,nNIA,M503,nCUENTA,1,nASIG,"Orquesta/Banda/Conjunto"),"")))</f>
        <v/>
      </c>
      <c r="P503" t="str">
        <f>IF(M503="","",IF(M503="[FÓRMULA MANUAL]","",IFERROR(AVERAGEIFS(nNOTA,nNIA,M503,nCUENTA,1,nASIG,"Música de Cámara"),"")))</f>
        <v/>
      </c>
      <c r="Q503" t="str">
        <f>IF(M503="","",IF(M503="[FÓRMULA MANUAL]","",IFERROR(SUMPRODUCT((nNIA=M503)*(nCUENTA=1)*(COUNTIF(CONFIG_ASIGNATURAS!$B$7:$B$27,nASIG)&gt;0)*(nNOTA))/SUMPRODUCT((nNIA=M503)*(nCUENTA=1)*(COUNTIF(CONFIG_ASIGNATURAS!$B$7:$B$27,nASIG)&gt;0)*1),"")))</f>
        <v/>
      </c>
      <c r="T503" t="str">
        <f>IF(S503="","",IF(S503="[FÓRMULA MANUAL]","",IFERROR(AVERAGEIFS(nNOTA,nNIA,S503,nCUENTA,1,nASIG,"Armonía"),"")))</f>
        <v/>
      </c>
      <c r="U503" t="str">
        <f>IF(S503="","",IF(S503="[FÓRMULA MANUAL]","",IFERROR(AVERAGEIFS(nNOTA,nNIA,S503,nCUENTA,1,nASIG,"Orquesta/Banda/Conjunto"),"")))</f>
        <v/>
      </c>
      <c r="V503" t="str">
        <f>IF(S503="","",IF(S503="[FÓRMULA MANUAL]","",IFERROR(AVERAGEIFS(nNOTA,nNIA,S503,nCUENTA,1,nASIG,"Música de Cámara"),"")))</f>
        <v/>
      </c>
      <c r="W503" t="str">
        <f>IF(S503="","",IF(S503="[FÓRMULA MANUAL]","",IFERROR(SUMPRODUCT((nNIA=S503)*(nCUENTA=1)*(COUNTIF(CONFIG_ASIGNATURAS!$B$7:$B$27,nASIG)&gt;0)*(nNOTA))/SUMPRODUCT((nNIA=S503)*(nCUENTA=1)*(COUNTIF(CONFIG_ASIGNATURAS!$B$7:$B$27,nASIG)&gt;0)*1),"")))</f>
        <v/>
      </c>
      <c r="Z503" t="str">
        <f>IF(Y503="","",IF(Y503="[FÓRMULA MANUAL]","",IFERROR(AVERAGEIFS(nNOTA,nNIA,Y503,nCUENTA,1,nASIG,"Análisis"),"")))</f>
        <v/>
      </c>
      <c r="AA503" t="str">
        <f>IF(Y503="","",IF(Y503="[FÓRMULA MANUAL]","",IFERROR(AVERAGEIFS(nNOTA,nNIA,Y503,nCUENTA,1,nASIG,"Orquesta/Banda/Conjunto"),"")))</f>
        <v/>
      </c>
      <c r="AB503" t="str">
        <f>IF(Y503="","",IF(Y503="[FÓRMULA MANUAL]","",IFERROR(AVERAGEIFS(nNOTA,nNIA,Y503,nCUENTA,1,nASIG,"Música de Cámara"),"")))</f>
        <v/>
      </c>
      <c r="AC503" t="str">
        <f>IF(Y503="","",IF(Y503="[FÓRMULA MANUAL]","",IFERROR(SUMPRODUCT((nNIA=Y503)*(nCUENTA=1)*(COUNTIF(CONFIG_ASIGNATURAS!$B$7:$B$27,nASIG)&gt;0)*(nNOTA))/SUMPRODUCT((nNIA=Y503)*(nCUENTA=1)*(COUNTIF(CONFIG_ASIGNATURAS!$B$7:$B$27,nASIG)&gt;0)*1),"")))</f>
        <v/>
      </c>
      <c r="AF503" t="str">
        <f>IF(AE503="","",IF(AE503="[FÓRMULA MANUAL]","",IFERROR(AVERAGEIFS(nNOTA,nNIA,AE503,nCUENTA,1,nASIG,"Análisis"),"")))</f>
        <v/>
      </c>
      <c r="AG503" t="str">
        <f>IF(AE503="","",IF(AE503="[FÓRMULA MANUAL]","",IFERROR(AVERAGEIFS(nNOTA,nNIA,AE503,nCUENTA,1,nASIG,"Orquesta/Banda/Conjunto"),"")))</f>
        <v/>
      </c>
      <c r="AH503" t="str">
        <f>IF(AE503="","",IF(AE503="[FÓRMULA MANUAL]","",IFERROR(AVERAGEIFS(nNOTA,nNIA,AE503,nCUENTA,1,nASIG,"Música de Cámara"),"")))</f>
        <v/>
      </c>
      <c r="AI503" t="str">
        <f>IF(AE503="","",IF(AE503="[FÓRMULA MANUAL]","",IFERROR(SUMPRODUCT((nNIA=AE503)*(nCUENTA=1)*(COUNTIF(CONFIG_ASIGNATURAS!$B$7:$B$27,nASIG)&gt;0)*(nNOTA))/SUMPRODUCT((nNIA=AE503)*(nCUENTA=1)*(COUNTIF(CONFIG_ASIGNATURAS!$B$7:$B$27,nASIG)&gt;0)*1),"")))</f>
        <v/>
      </c>
    </row>
    <row r="504" spans="2:35" x14ac:dyDescent="0.2">
      <c r="B504" t="str">
        <f>IF(A504="","",IF(A504="[FÓRMULA MANUAL]","",IFERROR(AVERAGEIFS(nNOTA,nNIA,A504,nCUENTA,1,nASIG,"Lenguaje Musical"),"")))</f>
        <v/>
      </c>
      <c r="C504" t="str">
        <f>IF(A504="","",IF(A504="[FÓRMULA MANUAL]","",IFERROR(AVERAGEIFS(nNOTA,nNIA,A504,nCUENTA,1,nASIG,"Orquesta/Banda/Conjunto"),"")))</f>
        <v/>
      </c>
      <c r="D504" t="str">
        <f>IF(A504="","",IF(A504="[FÓRMULA MANUAL]","",IFERROR(AVERAGEIFS(nNOTA,nNIA,A504,nCUENTA,1,nASIG,"Conjunto"),"")))</f>
        <v/>
      </c>
      <c r="E504" t="str">
        <f>IF(A504="","",IF(A504="[FÓRMULA MANUAL]","",IFERROR(SUMPRODUCT((nNIA=A504)*(nCUENTA=1)*(COUNTIF(CONFIG_ASIGNATURAS!$B$7:$B$27,nASIG)&gt;0)*(nNOTA))/SUMPRODUCT((nNIA=A504)*(nCUENTA=1)*(COUNTIF(CONFIG_ASIGNATURAS!$B$7:$B$27,nASIG)&gt;0)*1),"")))</f>
        <v/>
      </c>
      <c r="H504" t="str">
        <f>IF(G504="","",IF(G504="[FÓRMULA MANUAL]","",IFERROR(AVERAGEIFS(nNOTA,nNIA,G504,nCUENTA,1,nASIG,"Lenguaje Musical"),"")))</f>
        <v/>
      </c>
      <c r="I504" t="str">
        <f>IF(G504="","",IF(G504="[FÓRMULA MANUAL]","",IFERROR(AVERAGEIFS(nNOTA,nNIA,G504,nCUENTA,1,nASIG,"Orquesta/Banda/Conjunto"),"")))</f>
        <v/>
      </c>
      <c r="J504" t="str">
        <f>IF(G504="","",IF(G504="[FÓRMULA MANUAL]","",IFERROR(AVERAGEIFS(nNOTA,nNIA,G504,nCUENTA,1,nASIG,"Conjunto"),"")))</f>
        <v/>
      </c>
      <c r="K504" t="str">
        <f>IF(G504="","",IF(G504="[FÓRMULA MANUAL]","",IFERROR(SUMPRODUCT((nNIA=G504)*(nCUENTA=1)*(COUNTIF(CONFIG_ASIGNATURAS!$B$7:$B$27,nASIG)&gt;0)*(nNOTA))/SUMPRODUCT((nNIA=G504)*(nCUENTA=1)*(COUNTIF(CONFIG_ASIGNATURAS!$B$7:$B$27,nASIG)&gt;0)*1),"")))</f>
        <v/>
      </c>
      <c r="N504" t="str">
        <f>IF(M504="","",IF(M504="[FÓRMULA MANUAL]","",IFERROR(AVERAGEIFS(nNOTA,nNIA,M504,nCUENTA,1,nASIG,"Armonía"),"")))</f>
        <v/>
      </c>
      <c r="O504" t="str">
        <f>IF(M504="","",IF(M504="[FÓRMULA MANUAL]","",IFERROR(AVERAGEIFS(nNOTA,nNIA,M504,nCUENTA,1,nASIG,"Orquesta/Banda/Conjunto"),"")))</f>
        <v/>
      </c>
      <c r="P504" t="str">
        <f>IF(M504="","",IF(M504="[FÓRMULA MANUAL]","",IFERROR(AVERAGEIFS(nNOTA,nNIA,M504,nCUENTA,1,nASIG,"Música de Cámara"),"")))</f>
        <v/>
      </c>
      <c r="Q504" t="str">
        <f>IF(M504="","",IF(M504="[FÓRMULA MANUAL]","",IFERROR(SUMPRODUCT((nNIA=M504)*(nCUENTA=1)*(COUNTIF(CONFIG_ASIGNATURAS!$B$7:$B$27,nASIG)&gt;0)*(nNOTA))/SUMPRODUCT((nNIA=M504)*(nCUENTA=1)*(COUNTIF(CONFIG_ASIGNATURAS!$B$7:$B$27,nASIG)&gt;0)*1),"")))</f>
        <v/>
      </c>
      <c r="T504" t="str">
        <f>IF(S504="","",IF(S504="[FÓRMULA MANUAL]","",IFERROR(AVERAGEIFS(nNOTA,nNIA,S504,nCUENTA,1,nASIG,"Armonía"),"")))</f>
        <v/>
      </c>
      <c r="U504" t="str">
        <f>IF(S504="","",IF(S504="[FÓRMULA MANUAL]","",IFERROR(AVERAGEIFS(nNOTA,nNIA,S504,nCUENTA,1,nASIG,"Orquesta/Banda/Conjunto"),"")))</f>
        <v/>
      </c>
      <c r="V504" t="str">
        <f>IF(S504="","",IF(S504="[FÓRMULA MANUAL]","",IFERROR(AVERAGEIFS(nNOTA,nNIA,S504,nCUENTA,1,nASIG,"Música de Cámara"),"")))</f>
        <v/>
      </c>
      <c r="W504" t="str">
        <f>IF(S504="","",IF(S504="[FÓRMULA MANUAL]","",IFERROR(SUMPRODUCT((nNIA=S504)*(nCUENTA=1)*(COUNTIF(CONFIG_ASIGNATURAS!$B$7:$B$27,nASIG)&gt;0)*(nNOTA))/SUMPRODUCT((nNIA=S504)*(nCUENTA=1)*(COUNTIF(CONFIG_ASIGNATURAS!$B$7:$B$27,nASIG)&gt;0)*1),"")))</f>
        <v/>
      </c>
      <c r="Z504" t="str">
        <f>IF(Y504="","",IF(Y504="[FÓRMULA MANUAL]","",IFERROR(AVERAGEIFS(nNOTA,nNIA,Y504,nCUENTA,1,nASIG,"Análisis"),"")))</f>
        <v/>
      </c>
      <c r="AA504" t="str">
        <f>IF(Y504="","",IF(Y504="[FÓRMULA MANUAL]","",IFERROR(AVERAGEIFS(nNOTA,nNIA,Y504,nCUENTA,1,nASIG,"Orquesta/Banda/Conjunto"),"")))</f>
        <v/>
      </c>
      <c r="AB504" t="str">
        <f>IF(Y504="","",IF(Y504="[FÓRMULA MANUAL]","",IFERROR(AVERAGEIFS(nNOTA,nNIA,Y504,nCUENTA,1,nASIG,"Música de Cámara"),"")))</f>
        <v/>
      </c>
      <c r="AC504" t="str">
        <f>IF(Y504="","",IF(Y504="[FÓRMULA MANUAL]","",IFERROR(SUMPRODUCT((nNIA=Y504)*(nCUENTA=1)*(COUNTIF(CONFIG_ASIGNATURAS!$B$7:$B$27,nASIG)&gt;0)*(nNOTA))/SUMPRODUCT((nNIA=Y504)*(nCUENTA=1)*(COUNTIF(CONFIG_ASIGNATURAS!$B$7:$B$27,nASIG)&gt;0)*1),"")))</f>
        <v/>
      </c>
      <c r="AF504" t="str">
        <f>IF(AE504="","",IF(AE504="[FÓRMULA MANUAL]","",IFERROR(AVERAGEIFS(nNOTA,nNIA,AE504,nCUENTA,1,nASIG,"Análisis"),"")))</f>
        <v/>
      </c>
      <c r="AG504" t="str">
        <f>IF(AE504="","",IF(AE504="[FÓRMULA MANUAL]","",IFERROR(AVERAGEIFS(nNOTA,nNIA,AE504,nCUENTA,1,nASIG,"Orquesta/Banda/Conjunto"),"")))</f>
        <v/>
      </c>
      <c r="AH504" t="str">
        <f>IF(AE504="","",IF(AE504="[FÓRMULA MANUAL]","",IFERROR(AVERAGEIFS(nNOTA,nNIA,AE504,nCUENTA,1,nASIG,"Música de Cámara"),"")))</f>
        <v/>
      </c>
      <c r="AI504" t="str">
        <f>IF(AE504="","",IF(AE504="[FÓRMULA MANUAL]","",IFERROR(SUMPRODUCT((nNIA=AE504)*(nCUENTA=1)*(COUNTIF(CONFIG_ASIGNATURAS!$B$7:$B$27,nASIG)&gt;0)*(nNOTA))/SUMPRODUCT((nNIA=AE504)*(nCUENTA=1)*(COUNTIF(CONFIG_ASIGNATURAS!$B$7:$B$27,nASIG)&gt;0)*1),"")))</f>
        <v/>
      </c>
    </row>
    <row r="505" spans="2:35" x14ac:dyDescent="0.2">
      <c r="B505" t="str">
        <f>IF(A505="","",IF(A505="[FÓRMULA MANUAL]","",IFERROR(AVERAGEIFS(nNOTA,nNIA,A505,nCUENTA,1,nASIG,"Lenguaje Musical"),"")))</f>
        <v/>
      </c>
      <c r="C505" t="str">
        <f>IF(A505="","",IF(A505="[FÓRMULA MANUAL]","",IFERROR(AVERAGEIFS(nNOTA,nNIA,A505,nCUENTA,1,nASIG,"Orquesta/Banda/Conjunto"),"")))</f>
        <v/>
      </c>
      <c r="D505" t="str">
        <f>IF(A505="","",IF(A505="[FÓRMULA MANUAL]","",IFERROR(AVERAGEIFS(nNOTA,nNIA,A505,nCUENTA,1,nASIG,"Conjunto"),"")))</f>
        <v/>
      </c>
      <c r="E505" t="str">
        <f>IF(A505="","",IF(A505="[FÓRMULA MANUAL]","",IFERROR(SUMPRODUCT((nNIA=A505)*(nCUENTA=1)*(COUNTIF(CONFIG_ASIGNATURAS!$B$7:$B$27,nASIG)&gt;0)*(nNOTA))/SUMPRODUCT((nNIA=A505)*(nCUENTA=1)*(COUNTIF(CONFIG_ASIGNATURAS!$B$7:$B$27,nASIG)&gt;0)*1),"")))</f>
        <v/>
      </c>
      <c r="H505" t="str">
        <f>IF(G505="","",IF(G505="[FÓRMULA MANUAL]","",IFERROR(AVERAGEIFS(nNOTA,nNIA,G505,nCUENTA,1,nASIG,"Lenguaje Musical"),"")))</f>
        <v/>
      </c>
      <c r="I505" t="str">
        <f>IF(G505="","",IF(G505="[FÓRMULA MANUAL]","",IFERROR(AVERAGEIFS(nNOTA,nNIA,G505,nCUENTA,1,nASIG,"Orquesta/Banda/Conjunto"),"")))</f>
        <v/>
      </c>
      <c r="J505" t="str">
        <f>IF(G505="","",IF(G505="[FÓRMULA MANUAL]","",IFERROR(AVERAGEIFS(nNOTA,nNIA,G505,nCUENTA,1,nASIG,"Conjunto"),"")))</f>
        <v/>
      </c>
      <c r="K505" t="str">
        <f>IF(G505="","",IF(G505="[FÓRMULA MANUAL]","",IFERROR(SUMPRODUCT((nNIA=G505)*(nCUENTA=1)*(COUNTIF(CONFIG_ASIGNATURAS!$B$7:$B$27,nASIG)&gt;0)*(nNOTA))/SUMPRODUCT((nNIA=G505)*(nCUENTA=1)*(COUNTIF(CONFIG_ASIGNATURAS!$B$7:$B$27,nASIG)&gt;0)*1),"")))</f>
        <v/>
      </c>
      <c r="N505" t="str">
        <f>IF(M505="","",IF(M505="[FÓRMULA MANUAL]","",IFERROR(AVERAGEIFS(nNOTA,nNIA,M505,nCUENTA,1,nASIG,"Armonía"),"")))</f>
        <v/>
      </c>
      <c r="O505" t="str">
        <f>IF(M505="","",IF(M505="[FÓRMULA MANUAL]","",IFERROR(AVERAGEIFS(nNOTA,nNIA,M505,nCUENTA,1,nASIG,"Orquesta/Banda/Conjunto"),"")))</f>
        <v/>
      </c>
      <c r="P505" t="str">
        <f>IF(M505="","",IF(M505="[FÓRMULA MANUAL]","",IFERROR(AVERAGEIFS(nNOTA,nNIA,M505,nCUENTA,1,nASIG,"Música de Cámara"),"")))</f>
        <v/>
      </c>
      <c r="Q505" t="str">
        <f>IF(M505="","",IF(M505="[FÓRMULA MANUAL]","",IFERROR(SUMPRODUCT((nNIA=M505)*(nCUENTA=1)*(COUNTIF(CONFIG_ASIGNATURAS!$B$7:$B$27,nASIG)&gt;0)*(nNOTA))/SUMPRODUCT((nNIA=M505)*(nCUENTA=1)*(COUNTIF(CONFIG_ASIGNATURAS!$B$7:$B$27,nASIG)&gt;0)*1),"")))</f>
        <v/>
      </c>
      <c r="T505" t="str">
        <f>IF(S505="","",IF(S505="[FÓRMULA MANUAL]","",IFERROR(AVERAGEIFS(nNOTA,nNIA,S505,nCUENTA,1,nASIG,"Armonía"),"")))</f>
        <v/>
      </c>
      <c r="U505" t="str">
        <f>IF(S505="","",IF(S505="[FÓRMULA MANUAL]","",IFERROR(AVERAGEIFS(nNOTA,nNIA,S505,nCUENTA,1,nASIG,"Orquesta/Banda/Conjunto"),"")))</f>
        <v/>
      </c>
      <c r="V505" t="str">
        <f>IF(S505="","",IF(S505="[FÓRMULA MANUAL]","",IFERROR(AVERAGEIFS(nNOTA,nNIA,S505,nCUENTA,1,nASIG,"Música de Cámara"),"")))</f>
        <v/>
      </c>
      <c r="W505" t="str">
        <f>IF(S505="","",IF(S505="[FÓRMULA MANUAL]","",IFERROR(SUMPRODUCT((nNIA=S505)*(nCUENTA=1)*(COUNTIF(CONFIG_ASIGNATURAS!$B$7:$B$27,nASIG)&gt;0)*(nNOTA))/SUMPRODUCT((nNIA=S505)*(nCUENTA=1)*(COUNTIF(CONFIG_ASIGNATURAS!$B$7:$B$27,nASIG)&gt;0)*1),"")))</f>
        <v/>
      </c>
      <c r="Z505" t="str">
        <f>IF(Y505="","",IF(Y505="[FÓRMULA MANUAL]","",IFERROR(AVERAGEIFS(nNOTA,nNIA,Y505,nCUENTA,1,nASIG,"Análisis"),"")))</f>
        <v/>
      </c>
      <c r="AA505" t="str">
        <f>IF(Y505="","",IF(Y505="[FÓRMULA MANUAL]","",IFERROR(AVERAGEIFS(nNOTA,nNIA,Y505,nCUENTA,1,nASIG,"Orquesta/Banda/Conjunto"),"")))</f>
        <v/>
      </c>
      <c r="AB505" t="str">
        <f>IF(Y505="","",IF(Y505="[FÓRMULA MANUAL]","",IFERROR(AVERAGEIFS(nNOTA,nNIA,Y505,nCUENTA,1,nASIG,"Música de Cámara"),"")))</f>
        <v/>
      </c>
      <c r="AC505" t="str">
        <f>IF(Y505="","",IF(Y505="[FÓRMULA MANUAL]","",IFERROR(SUMPRODUCT((nNIA=Y505)*(nCUENTA=1)*(COUNTIF(CONFIG_ASIGNATURAS!$B$7:$B$27,nASIG)&gt;0)*(nNOTA))/SUMPRODUCT((nNIA=Y505)*(nCUENTA=1)*(COUNTIF(CONFIG_ASIGNATURAS!$B$7:$B$27,nASIG)&gt;0)*1),"")))</f>
        <v/>
      </c>
      <c r="AF505" t="str">
        <f>IF(AE505="","",IF(AE505="[FÓRMULA MANUAL]","",IFERROR(AVERAGEIFS(nNOTA,nNIA,AE505,nCUENTA,1,nASIG,"Análisis"),"")))</f>
        <v/>
      </c>
      <c r="AG505" t="str">
        <f>IF(AE505="","",IF(AE505="[FÓRMULA MANUAL]","",IFERROR(AVERAGEIFS(nNOTA,nNIA,AE505,nCUENTA,1,nASIG,"Orquesta/Banda/Conjunto"),"")))</f>
        <v/>
      </c>
      <c r="AH505" t="str">
        <f>IF(AE505="","",IF(AE505="[FÓRMULA MANUAL]","",IFERROR(AVERAGEIFS(nNOTA,nNIA,AE505,nCUENTA,1,nASIG,"Música de Cámara"),"")))</f>
        <v/>
      </c>
      <c r="AI505" t="str">
        <f>IF(AE505="","",IF(AE505="[FÓRMULA MANUAL]","",IFERROR(SUMPRODUCT((nNIA=AE505)*(nCUENTA=1)*(COUNTIF(CONFIG_ASIGNATURAS!$B$7:$B$27,nASIG)&gt;0)*(nNOTA))/SUMPRODUCT((nNIA=AE505)*(nCUENTA=1)*(COUNTIF(CONFIG_ASIGNATURAS!$B$7:$B$27,nASIG)&gt;0)*1),"")))</f>
        <v/>
      </c>
    </row>
    <row r="506" spans="2:35" x14ac:dyDescent="0.2">
      <c r="B506" t="str">
        <f>IF(A506="","",IF(A506="[FÓRMULA MANUAL]","",IFERROR(AVERAGEIFS(nNOTA,nNIA,A506,nCUENTA,1,nASIG,"Lenguaje Musical"),"")))</f>
        <v/>
      </c>
      <c r="C506" t="str">
        <f>IF(A506="","",IF(A506="[FÓRMULA MANUAL]","",IFERROR(AVERAGEIFS(nNOTA,nNIA,A506,nCUENTA,1,nASIG,"Orquesta/Banda/Conjunto"),"")))</f>
        <v/>
      </c>
      <c r="D506" t="str">
        <f>IF(A506="","",IF(A506="[FÓRMULA MANUAL]","",IFERROR(AVERAGEIFS(nNOTA,nNIA,A506,nCUENTA,1,nASIG,"Conjunto"),"")))</f>
        <v/>
      </c>
      <c r="E506" t="str">
        <f>IF(A506="","",IF(A506="[FÓRMULA MANUAL]","",IFERROR(SUMPRODUCT((nNIA=A506)*(nCUENTA=1)*(COUNTIF(CONFIG_ASIGNATURAS!$B$7:$B$27,nASIG)&gt;0)*(nNOTA))/SUMPRODUCT((nNIA=A506)*(nCUENTA=1)*(COUNTIF(CONFIG_ASIGNATURAS!$B$7:$B$27,nASIG)&gt;0)*1),"")))</f>
        <v/>
      </c>
      <c r="H506" t="str">
        <f>IF(G506="","",IF(G506="[FÓRMULA MANUAL]","",IFERROR(AVERAGEIFS(nNOTA,nNIA,G506,nCUENTA,1,nASIG,"Lenguaje Musical"),"")))</f>
        <v/>
      </c>
      <c r="I506" t="str">
        <f>IF(G506="","",IF(G506="[FÓRMULA MANUAL]","",IFERROR(AVERAGEIFS(nNOTA,nNIA,G506,nCUENTA,1,nASIG,"Orquesta/Banda/Conjunto"),"")))</f>
        <v/>
      </c>
      <c r="J506" t="str">
        <f>IF(G506="","",IF(G506="[FÓRMULA MANUAL]","",IFERROR(AVERAGEIFS(nNOTA,nNIA,G506,nCUENTA,1,nASIG,"Conjunto"),"")))</f>
        <v/>
      </c>
      <c r="K506" t="str">
        <f>IF(G506="","",IF(G506="[FÓRMULA MANUAL]","",IFERROR(SUMPRODUCT((nNIA=G506)*(nCUENTA=1)*(COUNTIF(CONFIG_ASIGNATURAS!$B$7:$B$27,nASIG)&gt;0)*(nNOTA))/SUMPRODUCT((nNIA=G506)*(nCUENTA=1)*(COUNTIF(CONFIG_ASIGNATURAS!$B$7:$B$27,nASIG)&gt;0)*1),"")))</f>
        <v/>
      </c>
      <c r="N506" t="str">
        <f>IF(M506="","",IF(M506="[FÓRMULA MANUAL]","",IFERROR(AVERAGEIFS(nNOTA,nNIA,M506,nCUENTA,1,nASIG,"Armonía"),"")))</f>
        <v/>
      </c>
      <c r="O506" t="str">
        <f>IF(M506="","",IF(M506="[FÓRMULA MANUAL]","",IFERROR(AVERAGEIFS(nNOTA,nNIA,M506,nCUENTA,1,nASIG,"Orquesta/Banda/Conjunto"),"")))</f>
        <v/>
      </c>
      <c r="P506" t="str">
        <f>IF(M506="","",IF(M506="[FÓRMULA MANUAL]","",IFERROR(AVERAGEIFS(nNOTA,nNIA,M506,nCUENTA,1,nASIG,"Música de Cámara"),"")))</f>
        <v/>
      </c>
      <c r="Q506" t="str">
        <f>IF(M506="","",IF(M506="[FÓRMULA MANUAL]","",IFERROR(SUMPRODUCT((nNIA=M506)*(nCUENTA=1)*(COUNTIF(CONFIG_ASIGNATURAS!$B$7:$B$27,nASIG)&gt;0)*(nNOTA))/SUMPRODUCT((nNIA=M506)*(nCUENTA=1)*(COUNTIF(CONFIG_ASIGNATURAS!$B$7:$B$27,nASIG)&gt;0)*1),"")))</f>
        <v/>
      </c>
      <c r="T506" t="str">
        <f>IF(S506="","",IF(S506="[FÓRMULA MANUAL]","",IFERROR(AVERAGEIFS(nNOTA,nNIA,S506,nCUENTA,1,nASIG,"Armonía"),"")))</f>
        <v/>
      </c>
      <c r="U506" t="str">
        <f>IF(S506="","",IF(S506="[FÓRMULA MANUAL]","",IFERROR(AVERAGEIFS(nNOTA,nNIA,S506,nCUENTA,1,nASIG,"Orquesta/Banda/Conjunto"),"")))</f>
        <v/>
      </c>
      <c r="V506" t="str">
        <f>IF(S506="","",IF(S506="[FÓRMULA MANUAL]","",IFERROR(AVERAGEIFS(nNOTA,nNIA,S506,nCUENTA,1,nASIG,"Música de Cámara"),"")))</f>
        <v/>
      </c>
      <c r="W506" t="str">
        <f>IF(S506="","",IF(S506="[FÓRMULA MANUAL]","",IFERROR(SUMPRODUCT((nNIA=S506)*(nCUENTA=1)*(COUNTIF(CONFIG_ASIGNATURAS!$B$7:$B$27,nASIG)&gt;0)*(nNOTA))/SUMPRODUCT((nNIA=S506)*(nCUENTA=1)*(COUNTIF(CONFIG_ASIGNATURAS!$B$7:$B$27,nASIG)&gt;0)*1),"")))</f>
        <v/>
      </c>
      <c r="Z506" t="str">
        <f>IF(Y506="","",IF(Y506="[FÓRMULA MANUAL]","",IFERROR(AVERAGEIFS(nNOTA,nNIA,Y506,nCUENTA,1,nASIG,"Análisis"),"")))</f>
        <v/>
      </c>
      <c r="AA506" t="str">
        <f>IF(Y506="","",IF(Y506="[FÓRMULA MANUAL]","",IFERROR(AVERAGEIFS(nNOTA,nNIA,Y506,nCUENTA,1,nASIG,"Orquesta/Banda/Conjunto"),"")))</f>
        <v/>
      </c>
      <c r="AB506" t="str">
        <f>IF(Y506="","",IF(Y506="[FÓRMULA MANUAL]","",IFERROR(AVERAGEIFS(nNOTA,nNIA,Y506,nCUENTA,1,nASIG,"Música de Cámara"),"")))</f>
        <v/>
      </c>
      <c r="AC506" t="str">
        <f>IF(Y506="","",IF(Y506="[FÓRMULA MANUAL]","",IFERROR(SUMPRODUCT((nNIA=Y506)*(nCUENTA=1)*(COUNTIF(CONFIG_ASIGNATURAS!$B$7:$B$27,nASIG)&gt;0)*(nNOTA))/SUMPRODUCT((nNIA=Y506)*(nCUENTA=1)*(COUNTIF(CONFIG_ASIGNATURAS!$B$7:$B$27,nASIG)&gt;0)*1),"")))</f>
        <v/>
      </c>
      <c r="AF506" t="str">
        <f>IF(AE506="","",IF(AE506="[FÓRMULA MANUAL]","",IFERROR(AVERAGEIFS(nNOTA,nNIA,AE506,nCUENTA,1,nASIG,"Análisis"),"")))</f>
        <v/>
      </c>
      <c r="AG506" t="str">
        <f>IF(AE506="","",IF(AE506="[FÓRMULA MANUAL]","",IFERROR(AVERAGEIFS(nNOTA,nNIA,AE506,nCUENTA,1,nASIG,"Orquesta/Banda/Conjunto"),"")))</f>
        <v/>
      </c>
      <c r="AH506" t="str">
        <f>IF(AE506="","",IF(AE506="[FÓRMULA MANUAL]","",IFERROR(AVERAGEIFS(nNOTA,nNIA,AE506,nCUENTA,1,nASIG,"Música de Cámara"),"")))</f>
        <v/>
      </c>
      <c r="AI506" t="str">
        <f>IF(AE506="","",IF(AE506="[FÓRMULA MANUAL]","",IFERROR(SUMPRODUCT((nNIA=AE506)*(nCUENTA=1)*(COUNTIF(CONFIG_ASIGNATURAS!$B$7:$B$27,nASIG)&gt;0)*(nNOTA))/SUMPRODUCT((nNIA=AE506)*(nCUENTA=1)*(COUNTIF(CONFIG_ASIGNATURAS!$B$7:$B$27,nASIG)&gt;0)*1),"")))</f>
        <v/>
      </c>
    </row>
    <row r="507" spans="2:35" x14ac:dyDescent="0.2">
      <c r="B507" t="str">
        <f>IF(A507="","",IF(A507="[FÓRMULA MANUAL]","",IFERROR(AVERAGEIFS(nNOTA,nNIA,A507,nCUENTA,1,nASIG,"Lenguaje Musical"),"")))</f>
        <v/>
      </c>
      <c r="C507" t="str">
        <f>IF(A507="","",IF(A507="[FÓRMULA MANUAL]","",IFERROR(AVERAGEIFS(nNOTA,nNIA,A507,nCUENTA,1,nASIG,"Orquesta/Banda/Conjunto"),"")))</f>
        <v/>
      </c>
      <c r="D507" t="str">
        <f>IF(A507="","",IF(A507="[FÓRMULA MANUAL]","",IFERROR(AVERAGEIFS(nNOTA,nNIA,A507,nCUENTA,1,nASIG,"Conjunto"),"")))</f>
        <v/>
      </c>
      <c r="E507" t="str">
        <f>IF(A507="","",IF(A507="[FÓRMULA MANUAL]","",IFERROR(SUMPRODUCT((nNIA=A507)*(nCUENTA=1)*(COUNTIF(CONFIG_ASIGNATURAS!$B$7:$B$27,nASIG)&gt;0)*(nNOTA))/SUMPRODUCT((nNIA=A507)*(nCUENTA=1)*(COUNTIF(CONFIG_ASIGNATURAS!$B$7:$B$27,nASIG)&gt;0)*1),"")))</f>
        <v/>
      </c>
      <c r="H507" t="str">
        <f>IF(G507="","",IF(G507="[FÓRMULA MANUAL]","",IFERROR(AVERAGEIFS(nNOTA,nNIA,G507,nCUENTA,1,nASIG,"Lenguaje Musical"),"")))</f>
        <v/>
      </c>
      <c r="I507" t="str">
        <f>IF(G507="","",IF(G507="[FÓRMULA MANUAL]","",IFERROR(AVERAGEIFS(nNOTA,nNIA,G507,nCUENTA,1,nASIG,"Orquesta/Banda/Conjunto"),"")))</f>
        <v/>
      </c>
      <c r="J507" t="str">
        <f>IF(G507="","",IF(G507="[FÓRMULA MANUAL]","",IFERROR(AVERAGEIFS(nNOTA,nNIA,G507,nCUENTA,1,nASIG,"Conjunto"),"")))</f>
        <v/>
      </c>
      <c r="K507" t="str">
        <f>IF(G507="","",IF(G507="[FÓRMULA MANUAL]","",IFERROR(SUMPRODUCT((nNIA=G507)*(nCUENTA=1)*(COUNTIF(CONFIG_ASIGNATURAS!$B$7:$B$27,nASIG)&gt;0)*(nNOTA))/SUMPRODUCT((nNIA=G507)*(nCUENTA=1)*(COUNTIF(CONFIG_ASIGNATURAS!$B$7:$B$27,nASIG)&gt;0)*1),"")))</f>
        <v/>
      </c>
      <c r="N507" t="str">
        <f>IF(M507="","",IF(M507="[FÓRMULA MANUAL]","",IFERROR(AVERAGEIFS(nNOTA,nNIA,M507,nCUENTA,1,nASIG,"Armonía"),"")))</f>
        <v/>
      </c>
      <c r="O507" t="str">
        <f>IF(M507="","",IF(M507="[FÓRMULA MANUAL]","",IFERROR(AVERAGEIFS(nNOTA,nNIA,M507,nCUENTA,1,nASIG,"Orquesta/Banda/Conjunto"),"")))</f>
        <v/>
      </c>
      <c r="P507" t="str">
        <f>IF(M507="","",IF(M507="[FÓRMULA MANUAL]","",IFERROR(AVERAGEIFS(nNOTA,nNIA,M507,nCUENTA,1,nASIG,"Música de Cámara"),"")))</f>
        <v/>
      </c>
      <c r="Q507" t="str">
        <f>IF(M507="","",IF(M507="[FÓRMULA MANUAL]","",IFERROR(SUMPRODUCT((nNIA=M507)*(nCUENTA=1)*(COUNTIF(CONFIG_ASIGNATURAS!$B$7:$B$27,nASIG)&gt;0)*(nNOTA))/SUMPRODUCT((nNIA=M507)*(nCUENTA=1)*(COUNTIF(CONFIG_ASIGNATURAS!$B$7:$B$27,nASIG)&gt;0)*1),"")))</f>
        <v/>
      </c>
      <c r="T507" t="str">
        <f>IF(S507="","",IF(S507="[FÓRMULA MANUAL]","",IFERROR(AVERAGEIFS(nNOTA,nNIA,S507,nCUENTA,1,nASIG,"Armonía"),"")))</f>
        <v/>
      </c>
      <c r="U507" t="str">
        <f>IF(S507="","",IF(S507="[FÓRMULA MANUAL]","",IFERROR(AVERAGEIFS(nNOTA,nNIA,S507,nCUENTA,1,nASIG,"Orquesta/Banda/Conjunto"),"")))</f>
        <v/>
      </c>
      <c r="V507" t="str">
        <f>IF(S507="","",IF(S507="[FÓRMULA MANUAL]","",IFERROR(AVERAGEIFS(nNOTA,nNIA,S507,nCUENTA,1,nASIG,"Música de Cámara"),"")))</f>
        <v/>
      </c>
      <c r="W507" t="str">
        <f>IF(S507="","",IF(S507="[FÓRMULA MANUAL]","",IFERROR(SUMPRODUCT((nNIA=S507)*(nCUENTA=1)*(COUNTIF(CONFIG_ASIGNATURAS!$B$7:$B$27,nASIG)&gt;0)*(nNOTA))/SUMPRODUCT((nNIA=S507)*(nCUENTA=1)*(COUNTIF(CONFIG_ASIGNATURAS!$B$7:$B$27,nASIG)&gt;0)*1),"")))</f>
        <v/>
      </c>
      <c r="Z507" t="str">
        <f>IF(Y507="","",IF(Y507="[FÓRMULA MANUAL]","",IFERROR(AVERAGEIFS(nNOTA,nNIA,Y507,nCUENTA,1,nASIG,"Análisis"),"")))</f>
        <v/>
      </c>
      <c r="AA507" t="str">
        <f>IF(Y507="","",IF(Y507="[FÓRMULA MANUAL]","",IFERROR(AVERAGEIFS(nNOTA,nNIA,Y507,nCUENTA,1,nASIG,"Orquesta/Banda/Conjunto"),"")))</f>
        <v/>
      </c>
      <c r="AB507" t="str">
        <f>IF(Y507="","",IF(Y507="[FÓRMULA MANUAL]","",IFERROR(AVERAGEIFS(nNOTA,nNIA,Y507,nCUENTA,1,nASIG,"Música de Cámara"),"")))</f>
        <v/>
      </c>
      <c r="AC507" t="str">
        <f>IF(Y507="","",IF(Y507="[FÓRMULA MANUAL]","",IFERROR(SUMPRODUCT((nNIA=Y507)*(nCUENTA=1)*(COUNTIF(CONFIG_ASIGNATURAS!$B$7:$B$27,nASIG)&gt;0)*(nNOTA))/SUMPRODUCT((nNIA=Y507)*(nCUENTA=1)*(COUNTIF(CONFIG_ASIGNATURAS!$B$7:$B$27,nASIG)&gt;0)*1),"")))</f>
        <v/>
      </c>
      <c r="AF507" t="str">
        <f>IF(AE507="","",IF(AE507="[FÓRMULA MANUAL]","",IFERROR(AVERAGEIFS(nNOTA,nNIA,AE507,nCUENTA,1,nASIG,"Análisis"),"")))</f>
        <v/>
      </c>
      <c r="AG507" t="str">
        <f>IF(AE507="","",IF(AE507="[FÓRMULA MANUAL]","",IFERROR(AVERAGEIFS(nNOTA,nNIA,AE507,nCUENTA,1,nASIG,"Orquesta/Banda/Conjunto"),"")))</f>
        <v/>
      </c>
      <c r="AH507" t="str">
        <f>IF(AE507="","",IF(AE507="[FÓRMULA MANUAL]","",IFERROR(AVERAGEIFS(nNOTA,nNIA,AE507,nCUENTA,1,nASIG,"Música de Cámara"),"")))</f>
        <v/>
      </c>
      <c r="AI507" t="str">
        <f>IF(AE507="","",IF(AE507="[FÓRMULA MANUAL]","",IFERROR(SUMPRODUCT((nNIA=AE507)*(nCUENTA=1)*(COUNTIF(CONFIG_ASIGNATURAS!$B$7:$B$27,nASIG)&gt;0)*(nNOTA))/SUMPRODUCT((nNIA=AE507)*(nCUENTA=1)*(COUNTIF(CONFIG_ASIGNATURAS!$B$7:$B$27,nASIG)&gt;0)*1),"")))</f>
        <v/>
      </c>
    </row>
    <row r="508" spans="2:35" x14ac:dyDescent="0.2">
      <c r="B508" t="str">
        <f>IF(A508="","",IF(A508="[FÓRMULA MANUAL]","",IFERROR(AVERAGEIFS(nNOTA,nNIA,A508,nCUENTA,1,nASIG,"Lenguaje Musical"),"")))</f>
        <v/>
      </c>
      <c r="C508" t="str">
        <f>IF(A508="","",IF(A508="[FÓRMULA MANUAL]","",IFERROR(AVERAGEIFS(nNOTA,nNIA,A508,nCUENTA,1,nASIG,"Orquesta/Banda/Conjunto"),"")))</f>
        <v/>
      </c>
      <c r="D508" t="str">
        <f>IF(A508="","",IF(A508="[FÓRMULA MANUAL]","",IFERROR(AVERAGEIFS(nNOTA,nNIA,A508,nCUENTA,1,nASIG,"Conjunto"),"")))</f>
        <v/>
      </c>
      <c r="E508" t="str">
        <f>IF(A508="","",IF(A508="[FÓRMULA MANUAL]","",IFERROR(SUMPRODUCT((nNIA=A508)*(nCUENTA=1)*(COUNTIF(CONFIG_ASIGNATURAS!$B$7:$B$27,nASIG)&gt;0)*(nNOTA))/SUMPRODUCT((nNIA=A508)*(nCUENTA=1)*(COUNTIF(CONFIG_ASIGNATURAS!$B$7:$B$27,nASIG)&gt;0)*1),"")))</f>
        <v/>
      </c>
      <c r="H508" t="str">
        <f>IF(G508="","",IF(G508="[FÓRMULA MANUAL]","",IFERROR(AVERAGEIFS(nNOTA,nNIA,G508,nCUENTA,1,nASIG,"Lenguaje Musical"),"")))</f>
        <v/>
      </c>
      <c r="I508" t="str">
        <f>IF(G508="","",IF(G508="[FÓRMULA MANUAL]","",IFERROR(AVERAGEIFS(nNOTA,nNIA,G508,nCUENTA,1,nASIG,"Orquesta/Banda/Conjunto"),"")))</f>
        <v/>
      </c>
      <c r="J508" t="str">
        <f>IF(G508="","",IF(G508="[FÓRMULA MANUAL]","",IFERROR(AVERAGEIFS(nNOTA,nNIA,G508,nCUENTA,1,nASIG,"Conjunto"),"")))</f>
        <v/>
      </c>
      <c r="K508" t="str">
        <f>IF(G508="","",IF(G508="[FÓRMULA MANUAL]","",IFERROR(SUMPRODUCT((nNIA=G508)*(nCUENTA=1)*(COUNTIF(CONFIG_ASIGNATURAS!$B$7:$B$27,nASIG)&gt;0)*(nNOTA))/SUMPRODUCT((nNIA=G508)*(nCUENTA=1)*(COUNTIF(CONFIG_ASIGNATURAS!$B$7:$B$27,nASIG)&gt;0)*1),"")))</f>
        <v/>
      </c>
      <c r="N508" t="str">
        <f>IF(M508="","",IF(M508="[FÓRMULA MANUAL]","",IFERROR(AVERAGEIFS(nNOTA,nNIA,M508,nCUENTA,1,nASIG,"Armonía"),"")))</f>
        <v/>
      </c>
      <c r="O508" t="str">
        <f>IF(M508="","",IF(M508="[FÓRMULA MANUAL]","",IFERROR(AVERAGEIFS(nNOTA,nNIA,M508,nCUENTA,1,nASIG,"Orquesta/Banda/Conjunto"),"")))</f>
        <v/>
      </c>
      <c r="P508" t="str">
        <f>IF(M508="","",IF(M508="[FÓRMULA MANUAL]","",IFERROR(AVERAGEIFS(nNOTA,nNIA,M508,nCUENTA,1,nASIG,"Música de Cámara"),"")))</f>
        <v/>
      </c>
      <c r="Q508" t="str">
        <f>IF(M508="","",IF(M508="[FÓRMULA MANUAL]","",IFERROR(SUMPRODUCT((nNIA=M508)*(nCUENTA=1)*(COUNTIF(CONFIG_ASIGNATURAS!$B$7:$B$27,nASIG)&gt;0)*(nNOTA))/SUMPRODUCT((nNIA=M508)*(nCUENTA=1)*(COUNTIF(CONFIG_ASIGNATURAS!$B$7:$B$27,nASIG)&gt;0)*1),"")))</f>
        <v/>
      </c>
      <c r="T508" t="str">
        <f>IF(S508="","",IF(S508="[FÓRMULA MANUAL]","",IFERROR(AVERAGEIFS(nNOTA,nNIA,S508,nCUENTA,1,nASIG,"Armonía"),"")))</f>
        <v/>
      </c>
      <c r="U508" t="str">
        <f>IF(S508="","",IF(S508="[FÓRMULA MANUAL]","",IFERROR(AVERAGEIFS(nNOTA,nNIA,S508,nCUENTA,1,nASIG,"Orquesta/Banda/Conjunto"),"")))</f>
        <v/>
      </c>
      <c r="V508" t="str">
        <f>IF(S508="","",IF(S508="[FÓRMULA MANUAL]","",IFERROR(AVERAGEIFS(nNOTA,nNIA,S508,nCUENTA,1,nASIG,"Música de Cámara"),"")))</f>
        <v/>
      </c>
      <c r="W508" t="str">
        <f>IF(S508="","",IF(S508="[FÓRMULA MANUAL]","",IFERROR(SUMPRODUCT((nNIA=S508)*(nCUENTA=1)*(COUNTIF(CONFIG_ASIGNATURAS!$B$7:$B$27,nASIG)&gt;0)*(nNOTA))/SUMPRODUCT((nNIA=S508)*(nCUENTA=1)*(COUNTIF(CONFIG_ASIGNATURAS!$B$7:$B$27,nASIG)&gt;0)*1),"")))</f>
        <v/>
      </c>
      <c r="Z508" t="str">
        <f>IF(Y508="","",IF(Y508="[FÓRMULA MANUAL]","",IFERROR(AVERAGEIFS(nNOTA,nNIA,Y508,nCUENTA,1,nASIG,"Análisis"),"")))</f>
        <v/>
      </c>
      <c r="AA508" t="str">
        <f>IF(Y508="","",IF(Y508="[FÓRMULA MANUAL]","",IFERROR(AVERAGEIFS(nNOTA,nNIA,Y508,nCUENTA,1,nASIG,"Orquesta/Banda/Conjunto"),"")))</f>
        <v/>
      </c>
      <c r="AB508" t="str">
        <f>IF(Y508="","",IF(Y508="[FÓRMULA MANUAL]","",IFERROR(AVERAGEIFS(nNOTA,nNIA,Y508,nCUENTA,1,nASIG,"Música de Cámara"),"")))</f>
        <v/>
      </c>
      <c r="AC508" t="str">
        <f>IF(Y508="","",IF(Y508="[FÓRMULA MANUAL]","",IFERROR(SUMPRODUCT((nNIA=Y508)*(nCUENTA=1)*(COUNTIF(CONFIG_ASIGNATURAS!$B$7:$B$27,nASIG)&gt;0)*(nNOTA))/SUMPRODUCT((nNIA=Y508)*(nCUENTA=1)*(COUNTIF(CONFIG_ASIGNATURAS!$B$7:$B$27,nASIG)&gt;0)*1),"")))</f>
        <v/>
      </c>
      <c r="AF508" t="str">
        <f>IF(AE508="","",IF(AE508="[FÓRMULA MANUAL]","",IFERROR(AVERAGEIFS(nNOTA,nNIA,AE508,nCUENTA,1,nASIG,"Análisis"),"")))</f>
        <v/>
      </c>
      <c r="AG508" t="str">
        <f>IF(AE508="","",IF(AE508="[FÓRMULA MANUAL]","",IFERROR(AVERAGEIFS(nNOTA,nNIA,AE508,nCUENTA,1,nASIG,"Orquesta/Banda/Conjunto"),"")))</f>
        <v/>
      </c>
      <c r="AH508" t="str">
        <f>IF(AE508="","",IF(AE508="[FÓRMULA MANUAL]","",IFERROR(AVERAGEIFS(nNOTA,nNIA,AE508,nCUENTA,1,nASIG,"Música de Cámara"),"")))</f>
        <v/>
      </c>
      <c r="AI508" t="str">
        <f>IF(AE508="","",IF(AE508="[FÓRMULA MANUAL]","",IFERROR(SUMPRODUCT((nNIA=AE508)*(nCUENTA=1)*(COUNTIF(CONFIG_ASIGNATURAS!$B$7:$B$27,nASIG)&gt;0)*(nNOTA))/SUMPRODUCT((nNIA=AE508)*(nCUENTA=1)*(COUNTIF(CONFIG_ASIGNATURAS!$B$7:$B$27,nASIG)&gt;0)*1),"")))</f>
        <v/>
      </c>
    </row>
    <row r="509" spans="2:35" x14ac:dyDescent="0.2">
      <c r="B509" t="str">
        <f>IF(A509="","",IF(A509="[FÓRMULA MANUAL]","",IFERROR(AVERAGEIFS(nNOTA,nNIA,A509,nCUENTA,1,nASIG,"Lenguaje Musical"),"")))</f>
        <v/>
      </c>
      <c r="C509" t="str">
        <f>IF(A509="","",IF(A509="[FÓRMULA MANUAL]","",IFERROR(AVERAGEIFS(nNOTA,nNIA,A509,nCUENTA,1,nASIG,"Orquesta/Banda/Conjunto"),"")))</f>
        <v/>
      </c>
      <c r="D509" t="str">
        <f>IF(A509="","",IF(A509="[FÓRMULA MANUAL]","",IFERROR(AVERAGEIFS(nNOTA,nNIA,A509,nCUENTA,1,nASIG,"Conjunto"),"")))</f>
        <v/>
      </c>
      <c r="E509" t="str">
        <f>IF(A509="","",IF(A509="[FÓRMULA MANUAL]","",IFERROR(SUMPRODUCT((nNIA=A509)*(nCUENTA=1)*(COUNTIF(CONFIG_ASIGNATURAS!$B$7:$B$27,nASIG)&gt;0)*(nNOTA))/SUMPRODUCT((nNIA=A509)*(nCUENTA=1)*(COUNTIF(CONFIG_ASIGNATURAS!$B$7:$B$27,nASIG)&gt;0)*1),"")))</f>
        <v/>
      </c>
      <c r="H509" t="str">
        <f>IF(G509="","",IF(G509="[FÓRMULA MANUAL]","",IFERROR(AVERAGEIFS(nNOTA,nNIA,G509,nCUENTA,1,nASIG,"Lenguaje Musical"),"")))</f>
        <v/>
      </c>
      <c r="I509" t="str">
        <f>IF(G509="","",IF(G509="[FÓRMULA MANUAL]","",IFERROR(AVERAGEIFS(nNOTA,nNIA,G509,nCUENTA,1,nASIG,"Orquesta/Banda/Conjunto"),"")))</f>
        <v/>
      </c>
      <c r="J509" t="str">
        <f>IF(G509="","",IF(G509="[FÓRMULA MANUAL]","",IFERROR(AVERAGEIFS(nNOTA,nNIA,G509,nCUENTA,1,nASIG,"Conjunto"),"")))</f>
        <v/>
      </c>
      <c r="K509" t="str">
        <f>IF(G509="","",IF(G509="[FÓRMULA MANUAL]","",IFERROR(SUMPRODUCT((nNIA=G509)*(nCUENTA=1)*(COUNTIF(CONFIG_ASIGNATURAS!$B$7:$B$27,nASIG)&gt;0)*(nNOTA))/SUMPRODUCT((nNIA=G509)*(nCUENTA=1)*(COUNTIF(CONFIG_ASIGNATURAS!$B$7:$B$27,nASIG)&gt;0)*1),"")))</f>
        <v/>
      </c>
      <c r="N509" t="str">
        <f>IF(M509="","",IF(M509="[FÓRMULA MANUAL]","",IFERROR(AVERAGEIFS(nNOTA,nNIA,M509,nCUENTA,1,nASIG,"Armonía"),"")))</f>
        <v/>
      </c>
      <c r="O509" t="str">
        <f>IF(M509="","",IF(M509="[FÓRMULA MANUAL]","",IFERROR(AVERAGEIFS(nNOTA,nNIA,M509,nCUENTA,1,nASIG,"Orquesta/Banda/Conjunto"),"")))</f>
        <v/>
      </c>
      <c r="P509" t="str">
        <f>IF(M509="","",IF(M509="[FÓRMULA MANUAL]","",IFERROR(AVERAGEIFS(nNOTA,nNIA,M509,nCUENTA,1,nASIG,"Música de Cámara"),"")))</f>
        <v/>
      </c>
      <c r="Q509" t="str">
        <f>IF(M509="","",IF(M509="[FÓRMULA MANUAL]","",IFERROR(SUMPRODUCT((nNIA=M509)*(nCUENTA=1)*(COUNTIF(CONFIG_ASIGNATURAS!$B$7:$B$27,nASIG)&gt;0)*(nNOTA))/SUMPRODUCT((nNIA=M509)*(nCUENTA=1)*(COUNTIF(CONFIG_ASIGNATURAS!$B$7:$B$27,nASIG)&gt;0)*1),"")))</f>
        <v/>
      </c>
      <c r="T509" t="str">
        <f>IF(S509="","",IF(S509="[FÓRMULA MANUAL]","",IFERROR(AVERAGEIFS(nNOTA,nNIA,S509,nCUENTA,1,nASIG,"Armonía"),"")))</f>
        <v/>
      </c>
      <c r="U509" t="str">
        <f>IF(S509="","",IF(S509="[FÓRMULA MANUAL]","",IFERROR(AVERAGEIFS(nNOTA,nNIA,S509,nCUENTA,1,nASIG,"Orquesta/Banda/Conjunto"),"")))</f>
        <v/>
      </c>
      <c r="V509" t="str">
        <f>IF(S509="","",IF(S509="[FÓRMULA MANUAL]","",IFERROR(AVERAGEIFS(nNOTA,nNIA,S509,nCUENTA,1,nASIG,"Música de Cámara"),"")))</f>
        <v/>
      </c>
      <c r="W509" t="str">
        <f>IF(S509="","",IF(S509="[FÓRMULA MANUAL]","",IFERROR(SUMPRODUCT((nNIA=S509)*(nCUENTA=1)*(COUNTIF(CONFIG_ASIGNATURAS!$B$7:$B$27,nASIG)&gt;0)*(nNOTA))/SUMPRODUCT((nNIA=S509)*(nCUENTA=1)*(COUNTIF(CONFIG_ASIGNATURAS!$B$7:$B$27,nASIG)&gt;0)*1),"")))</f>
        <v/>
      </c>
      <c r="Z509" t="str">
        <f>IF(Y509="","",IF(Y509="[FÓRMULA MANUAL]","",IFERROR(AVERAGEIFS(nNOTA,nNIA,Y509,nCUENTA,1,nASIG,"Análisis"),"")))</f>
        <v/>
      </c>
      <c r="AA509" t="str">
        <f>IF(Y509="","",IF(Y509="[FÓRMULA MANUAL]","",IFERROR(AVERAGEIFS(nNOTA,nNIA,Y509,nCUENTA,1,nASIG,"Orquesta/Banda/Conjunto"),"")))</f>
        <v/>
      </c>
      <c r="AB509" t="str">
        <f>IF(Y509="","",IF(Y509="[FÓRMULA MANUAL]","",IFERROR(AVERAGEIFS(nNOTA,nNIA,Y509,nCUENTA,1,nASIG,"Música de Cámara"),"")))</f>
        <v/>
      </c>
      <c r="AC509" t="str">
        <f>IF(Y509="","",IF(Y509="[FÓRMULA MANUAL]","",IFERROR(SUMPRODUCT((nNIA=Y509)*(nCUENTA=1)*(COUNTIF(CONFIG_ASIGNATURAS!$B$7:$B$27,nASIG)&gt;0)*(nNOTA))/SUMPRODUCT((nNIA=Y509)*(nCUENTA=1)*(COUNTIF(CONFIG_ASIGNATURAS!$B$7:$B$27,nASIG)&gt;0)*1),"")))</f>
        <v/>
      </c>
      <c r="AF509" t="str">
        <f>IF(AE509="","",IF(AE509="[FÓRMULA MANUAL]","",IFERROR(AVERAGEIFS(nNOTA,nNIA,AE509,nCUENTA,1,nASIG,"Análisis"),"")))</f>
        <v/>
      </c>
      <c r="AG509" t="str">
        <f>IF(AE509="","",IF(AE509="[FÓRMULA MANUAL]","",IFERROR(AVERAGEIFS(nNOTA,nNIA,AE509,nCUENTA,1,nASIG,"Orquesta/Banda/Conjunto"),"")))</f>
        <v/>
      </c>
      <c r="AH509" t="str">
        <f>IF(AE509="","",IF(AE509="[FÓRMULA MANUAL]","",IFERROR(AVERAGEIFS(nNOTA,nNIA,AE509,nCUENTA,1,nASIG,"Música de Cámara"),"")))</f>
        <v/>
      </c>
      <c r="AI509" t="str">
        <f>IF(AE509="","",IF(AE509="[FÓRMULA MANUAL]","",IFERROR(SUMPRODUCT((nNIA=AE509)*(nCUENTA=1)*(COUNTIF(CONFIG_ASIGNATURAS!$B$7:$B$27,nASIG)&gt;0)*(nNOTA))/SUMPRODUCT((nNIA=AE509)*(nCUENTA=1)*(COUNTIF(CONFIG_ASIGNATURAS!$B$7:$B$27,nASIG)&gt;0)*1),"")))</f>
        <v/>
      </c>
    </row>
    <row r="510" spans="2:35" x14ac:dyDescent="0.2">
      <c r="B510" t="str">
        <f>IF(A510="","",IF(A510="[FÓRMULA MANUAL]","",IFERROR(AVERAGEIFS(nNOTA,nNIA,A510,nCUENTA,1,nASIG,"Lenguaje Musical"),"")))</f>
        <v/>
      </c>
      <c r="C510" t="str">
        <f>IF(A510="","",IF(A510="[FÓRMULA MANUAL]","",IFERROR(AVERAGEIFS(nNOTA,nNIA,A510,nCUENTA,1,nASIG,"Orquesta/Banda/Conjunto"),"")))</f>
        <v/>
      </c>
      <c r="D510" t="str">
        <f>IF(A510="","",IF(A510="[FÓRMULA MANUAL]","",IFERROR(AVERAGEIFS(nNOTA,nNIA,A510,nCUENTA,1,nASIG,"Conjunto"),"")))</f>
        <v/>
      </c>
      <c r="E510" t="str">
        <f>IF(A510="","",IF(A510="[FÓRMULA MANUAL]","",IFERROR(SUMPRODUCT((nNIA=A510)*(nCUENTA=1)*(COUNTIF(CONFIG_ASIGNATURAS!$B$7:$B$27,nASIG)&gt;0)*(nNOTA))/SUMPRODUCT((nNIA=A510)*(nCUENTA=1)*(COUNTIF(CONFIG_ASIGNATURAS!$B$7:$B$27,nASIG)&gt;0)*1),"")))</f>
        <v/>
      </c>
      <c r="H510" t="str">
        <f>IF(G510="","",IF(G510="[FÓRMULA MANUAL]","",IFERROR(AVERAGEIFS(nNOTA,nNIA,G510,nCUENTA,1,nASIG,"Lenguaje Musical"),"")))</f>
        <v/>
      </c>
      <c r="I510" t="str">
        <f>IF(G510="","",IF(G510="[FÓRMULA MANUAL]","",IFERROR(AVERAGEIFS(nNOTA,nNIA,G510,nCUENTA,1,nASIG,"Orquesta/Banda/Conjunto"),"")))</f>
        <v/>
      </c>
      <c r="J510" t="str">
        <f>IF(G510="","",IF(G510="[FÓRMULA MANUAL]","",IFERROR(AVERAGEIFS(nNOTA,nNIA,G510,nCUENTA,1,nASIG,"Conjunto"),"")))</f>
        <v/>
      </c>
      <c r="K510" t="str">
        <f>IF(G510="","",IF(G510="[FÓRMULA MANUAL]","",IFERROR(SUMPRODUCT((nNIA=G510)*(nCUENTA=1)*(COUNTIF(CONFIG_ASIGNATURAS!$B$7:$B$27,nASIG)&gt;0)*(nNOTA))/SUMPRODUCT((nNIA=G510)*(nCUENTA=1)*(COUNTIF(CONFIG_ASIGNATURAS!$B$7:$B$27,nASIG)&gt;0)*1),"")))</f>
        <v/>
      </c>
      <c r="N510" t="str">
        <f>IF(M510="","",IF(M510="[FÓRMULA MANUAL]","",IFERROR(AVERAGEIFS(nNOTA,nNIA,M510,nCUENTA,1,nASIG,"Armonía"),"")))</f>
        <v/>
      </c>
      <c r="O510" t="str">
        <f>IF(M510="","",IF(M510="[FÓRMULA MANUAL]","",IFERROR(AVERAGEIFS(nNOTA,nNIA,M510,nCUENTA,1,nASIG,"Orquesta/Banda/Conjunto"),"")))</f>
        <v/>
      </c>
      <c r="P510" t="str">
        <f>IF(M510="","",IF(M510="[FÓRMULA MANUAL]","",IFERROR(AVERAGEIFS(nNOTA,nNIA,M510,nCUENTA,1,nASIG,"Música de Cámara"),"")))</f>
        <v/>
      </c>
      <c r="Q510" t="str">
        <f>IF(M510="","",IF(M510="[FÓRMULA MANUAL]","",IFERROR(SUMPRODUCT((nNIA=M510)*(nCUENTA=1)*(COUNTIF(CONFIG_ASIGNATURAS!$B$7:$B$27,nASIG)&gt;0)*(nNOTA))/SUMPRODUCT((nNIA=M510)*(nCUENTA=1)*(COUNTIF(CONFIG_ASIGNATURAS!$B$7:$B$27,nASIG)&gt;0)*1),"")))</f>
        <v/>
      </c>
      <c r="T510" t="str">
        <f>IF(S510="","",IF(S510="[FÓRMULA MANUAL]","",IFERROR(AVERAGEIFS(nNOTA,nNIA,S510,nCUENTA,1,nASIG,"Armonía"),"")))</f>
        <v/>
      </c>
      <c r="U510" t="str">
        <f>IF(S510="","",IF(S510="[FÓRMULA MANUAL]","",IFERROR(AVERAGEIFS(nNOTA,nNIA,S510,nCUENTA,1,nASIG,"Orquesta/Banda/Conjunto"),"")))</f>
        <v/>
      </c>
      <c r="V510" t="str">
        <f>IF(S510="","",IF(S510="[FÓRMULA MANUAL]","",IFERROR(AVERAGEIFS(nNOTA,nNIA,S510,nCUENTA,1,nASIG,"Música de Cámara"),"")))</f>
        <v/>
      </c>
      <c r="W510" t="str">
        <f>IF(S510="","",IF(S510="[FÓRMULA MANUAL]","",IFERROR(SUMPRODUCT((nNIA=S510)*(nCUENTA=1)*(COUNTIF(CONFIG_ASIGNATURAS!$B$7:$B$27,nASIG)&gt;0)*(nNOTA))/SUMPRODUCT((nNIA=S510)*(nCUENTA=1)*(COUNTIF(CONFIG_ASIGNATURAS!$B$7:$B$27,nASIG)&gt;0)*1),"")))</f>
        <v/>
      </c>
      <c r="Z510" t="str">
        <f>IF(Y510="","",IF(Y510="[FÓRMULA MANUAL]","",IFERROR(AVERAGEIFS(nNOTA,nNIA,Y510,nCUENTA,1,nASIG,"Análisis"),"")))</f>
        <v/>
      </c>
      <c r="AA510" t="str">
        <f>IF(Y510="","",IF(Y510="[FÓRMULA MANUAL]","",IFERROR(AVERAGEIFS(nNOTA,nNIA,Y510,nCUENTA,1,nASIG,"Orquesta/Banda/Conjunto"),"")))</f>
        <v/>
      </c>
      <c r="AB510" t="str">
        <f>IF(Y510="","",IF(Y510="[FÓRMULA MANUAL]","",IFERROR(AVERAGEIFS(nNOTA,nNIA,Y510,nCUENTA,1,nASIG,"Música de Cámara"),"")))</f>
        <v/>
      </c>
      <c r="AC510" t="str">
        <f>IF(Y510="","",IF(Y510="[FÓRMULA MANUAL]","",IFERROR(SUMPRODUCT((nNIA=Y510)*(nCUENTA=1)*(COUNTIF(CONFIG_ASIGNATURAS!$B$7:$B$27,nASIG)&gt;0)*(nNOTA))/SUMPRODUCT((nNIA=Y510)*(nCUENTA=1)*(COUNTIF(CONFIG_ASIGNATURAS!$B$7:$B$27,nASIG)&gt;0)*1),"")))</f>
        <v/>
      </c>
      <c r="AF510" t="str">
        <f>IF(AE510="","",IF(AE510="[FÓRMULA MANUAL]","",IFERROR(AVERAGEIFS(nNOTA,nNIA,AE510,nCUENTA,1,nASIG,"Análisis"),"")))</f>
        <v/>
      </c>
      <c r="AG510" t="str">
        <f>IF(AE510="","",IF(AE510="[FÓRMULA MANUAL]","",IFERROR(AVERAGEIFS(nNOTA,nNIA,AE510,nCUENTA,1,nASIG,"Orquesta/Banda/Conjunto"),"")))</f>
        <v/>
      </c>
      <c r="AH510" t="str">
        <f>IF(AE510="","",IF(AE510="[FÓRMULA MANUAL]","",IFERROR(AVERAGEIFS(nNOTA,nNIA,AE510,nCUENTA,1,nASIG,"Música de Cámara"),"")))</f>
        <v/>
      </c>
      <c r="AI510" t="str">
        <f>IF(AE510="","",IF(AE510="[FÓRMULA MANUAL]","",IFERROR(SUMPRODUCT((nNIA=AE510)*(nCUENTA=1)*(COUNTIF(CONFIG_ASIGNATURAS!$B$7:$B$27,nASIG)&gt;0)*(nNOTA))/SUMPRODUCT((nNIA=AE510)*(nCUENTA=1)*(COUNTIF(CONFIG_ASIGNATURAS!$B$7:$B$27,nASIG)&gt;0)*1),"")))</f>
        <v/>
      </c>
    </row>
    <row r="511" spans="2:35" x14ac:dyDescent="0.2">
      <c r="B511" t="str">
        <f>IF(A511="","",IF(A511="[FÓRMULA MANUAL]","",IFERROR(AVERAGEIFS(nNOTA,nNIA,A511,nCUENTA,1,nASIG,"Lenguaje Musical"),"")))</f>
        <v/>
      </c>
      <c r="C511" t="str">
        <f>IF(A511="","",IF(A511="[FÓRMULA MANUAL]","",IFERROR(AVERAGEIFS(nNOTA,nNIA,A511,nCUENTA,1,nASIG,"Orquesta/Banda/Conjunto"),"")))</f>
        <v/>
      </c>
      <c r="D511" t="str">
        <f>IF(A511="","",IF(A511="[FÓRMULA MANUAL]","",IFERROR(AVERAGEIFS(nNOTA,nNIA,A511,nCUENTA,1,nASIG,"Conjunto"),"")))</f>
        <v/>
      </c>
      <c r="E511" t="str">
        <f>IF(A511="","",IF(A511="[FÓRMULA MANUAL]","",IFERROR(SUMPRODUCT((nNIA=A511)*(nCUENTA=1)*(COUNTIF(CONFIG_ASIGNATURAS!$B$7:$B$27,nASIG)&gt;0)*(nNOTA))/SUMPRODUCT((nNIA=A511)*(nCUENTA=1)*(COUNTIF(CONFIG_ASIGNATURAS!$B$7:$B$27,nASIG)&gt;0)*1),"")))</f>
        <v/>
      </c>
      <c r="H511" t="str">
        <f>IF(G511="","",IF(G511="[FÓRMULA MANUAL]","",IFERROR(AVERAGEIFS(nNOTA,nNIA,G511,nCUENTA,1,nASIG,"Lenguaje Musical"),"")))</f>
        <v/>
      </c>
      <c r="I511" t="str">
        <f>IF(G511="","",IF(G511="[FÓRMULA MANUAL]","",IFERROR(AVERAGEIFS(nNOTA,nNIA,G511,nCUENTA,1,nASIG,"Orquesta/Banda/Conjunto"),"")))</f>
        <v/>
      </c>
      <c r="J511" t="str">
        <f>IF(G511="","",IF(G511="[FÓRMULA MANUAL]","",IFERROR(AVERAGEIFS(nNOTA,nNIA,G511,nCUENTA,1,nASIG,"Conjunto"),"")))</f>
        <v/>
      </c>
      <c r="K511" t="str">
        <f>IF(G511="","",IF(G511="[FÓRMULA MANUAL]","",IFERROR(SUMPRODUCT((nNIA=G511)*(nCUENTA=1)*(COUNTIF(CONFIG_ASIGNATURAS!$B$7:$B$27,nASIG)&gt;0)*(nNOTA))/SUMPRODUCT((nNIA=G511)*(nCUENTA=1)*(COUNTIF(CONFIG_ASIGNATURAS!$B$7:$B$27,nASIG)&gt;0)*1),"")))</f>
        <v/>
      </c>
      <c r="N511" t="str">
        <f>IF(M511="","",IF(M511="[FÓRMULA MANUAL]","",IFERROR(AVERAGEIFS(nNOTA,nNIA,M511,nCUENTA,1,nASIG,"Armonía"),"")))</f>
        <v/>
      </c>
      <c r="O511" t="str">
        <f>IF(M511="","",IF(M511="[FÓRMULA MANUAL]","",IFERROR(AVERAGEIFS(nNOTA,nNIA,M511,nCUENTA,1,nASIG,"Orquesta/Banda/Conjunto"),"")))</f>
        <v/>
      </c>
      <c r="P511" t="str">
        <f>IF(M511="","",IF(M511="[FÓRMULA MANUAL]","",IFERROR(AVERAGEIFS(nNOTA,nNIA,M511,nCUENTA,1,nASIG,"Música de Cámara"),"")))</f>
        <v/>
      </c>
      <c r="Q511" t="str">
        <f>IF(M511="","",IF(M511="[FÓRMULA MANUAL]","",IFERROR(SUMPRODUCT((nNIA=M511)*(nCUENTA=1)*(COUNTIF(CONFIG_ASIGNATURAS!$B$7:$B$27,nASIG)&gt;0)*(nNOTA))/SUMPRODUCT((nNIA=M511)*(nCUENTA=1)*(COUNTIF(CONFIG_ASIGNATURAS!$B$7:$B$27,nASIG)&gt;0)*1),"")))</f>
        <v/>
      </c>
      <c r="T511" t="str">
        <f>IF(S511="","",IF(S511="[FÓRMULA MANUAL]","",IFERROR(AVERAGEIFS(nNOTA,nNIA,S511,nCUENTA,1,nASIG,"Armonía"),"")))</f>
        <v/>
      </c>
      <c r="U511" t="str">
        <f>IF(S511="","",IF(S511="[FÓRMULA MANUAL]","",IFERROR(AVERAGEIFS(nNOTA,nNIA,S511,nCUENTA,1,nASIG,"Orquesta/Banda/Conjunto"),"")))</f>
        <v/>
      </c>
      <c r="V511" t="str">
        <f>IF(S511="","",IF(S511="[FÓRMULA MANUAL]","",IFERROR(AVERAGEIFS(nNOTA,nNIA,S511,nCUENTA,1,nASIG,"Música de Cámara"),"")))</f>
        <v/>
      </c>
      <c r="W511" t="str">
        <f>IF(S511="","",IF(S511="[FÓRMULA MANUAL]","",IFERROR(SUMPRODUCT((nNIA=S511)*(nCUENTA=1)*(COUNTIF(CONFIG_ASIGNATURAS!$B$7:$B$27,nASIG)&gt;0)*(nNOTA))/SUMPRODUCT((nNIA=S511)*(nCUENTA=1)*(COUNTIF(CONFIG_ASIGNATURAS!$B$7:$B$27,nASIG)&gt;0)*1),"")))</f>
        <v/>
      </c>
      <c r="Z511" t="str">
        <f>IF(Y511="","",IF(Y511="[FÓRMULA MANUAL]","",IFERROR(AVERAGEIFS(nNOTA,nNIA,Y511,nCUENTA,1,nASIG,"Análisis"),"")))</f>
        <v/>
      </c>
      <c r="AA511" t="str">
        <f>IF(Y511="","",IF(Y511="[FÓRMULA MANUAL]","",IFERROR(AVERAGEIFS(nNOTA,nNIA,Y511,nCUENTA,1,nASIG,"Orquesta/Banda/Conjunto"),"")))</f>
        <v/>
      </c>
      <c r="AB511" t="str">
        <f>IF(Y511="","",IF(Y511="[FÓRMULA MANUAL]","",IFERROR(AVERAGEIFS(nNOTA,nNIA,Y511,nCUENTA,1,nASIG,"Música de Cámara"),"")))</f>
        <v/>
      </c>
      <c r="AC511" t="str">
        <f>IF(Y511="","",IF(Y511="[FÓRMULA MANUAL]","",IFERROR(SUMPRODUCT((nNIA=Y511)*(nCUENTA=1)*(COUNTIF(CONFIG_ASIGNATURAS!$B$7:$B$27,nASIG)&gt;0)*(nNOTA))/SUMPRODUCT((nNIA=Y511)*(nCUENTA=1)*(COUNTIF(CONFIG_ASIGNATURAS!$B$7:$B$27,nASIG)&gt;0)*1),"")))</f>
        <v/>
      </c>
      <c r="AF511" t="str">
        <f>IF(AE511="","",IF(AE511="[FÓRMULA MANUAL]","",IFERROR(AVERAGEIFS(nNOTA,nNIA,AE511,nCUENTA,1,nASIG,"Análisis"),"")))</f>
        <v/>
      </c>
      <c r="AG511" t="str">
        <f>IF(AE511="","",IF(AE511="[FÓRMULA MANUAL]","",IFERROR(AVERAGEIFS(nNOTA,nNIA,AE511,nCUENTA,1,nASIG,"Orquesta/Banda/Conjunto"),"")))</f>
        <v/>
      </c>
      <c r="AH511" t="str">
        <f>IF(AE511="","",IF(AE511="[FÓRMULA MANUAL]","",IFERROR(AVERAGEIFS(nNOTA,nNIA,AE511,nCUENTA,1,nASIG,"Música de Cámara"),"")))</f>
        <v/>
      </c>
      <c r="AI511" t="str">
        <f>IF(AE511="","",IF(AE511="[FÓRMULA MANUAL]","",IFERROR(SUMPRODUCT((nNIA=AE511)*(nCUENTA=1)*(COUNTIF(CONFIG_ASIGNATURAS!$B$7:$B$27,nASIG)&gt;0)*(nNOTA))/SUMPRODUCT((nNIA=AE511)*(nCUENTA=1)*(COUNTIF(CONFIG_ASIGNATURAS!$B$7:$B$27,nASIG)&gt;0)*1),"")))</f>
        <v/>
      </c>
    </row>
    <row r="512" spans="2:35" x14ac:dyDescent="0.2">
      <c r="B512" t="str">
        <f>IF(A512="","",IF(A512="[FÓRMULA MANUAL]","",IFERROR(AVERAGEIFS(nNOTA,nNIA,A512,nCUENTA,1,nASIG,"Lenguaje Musical"),"")))</f>
        <v/>
      </c>
      <c r="C512" t="str">
        <f>IF(A512="","",IF(A512="[FÓRMULA MANUAL]","",IFERROR(AVERAGEIFS(nNOTA,nNIA,A512,nCUENTA,1,nASIG,"Orquesta/Banda/Conjunto"),"")))</f>
        <v/>
      </c>
      <c r="D512" t="str">
        <f>IF(A512="","",IF(A512="[FÓRMULA MANUAL]","",IFERROR(AVERAGEIFS(nNOTA,nNIA,A512,nCUENTA,1,nASIG,"Conjunto"),"")))</f>
        <v/>
      </c>
      <c r="E512" t="str">
        <f>IF(A512="","",IF(A512="[FÓRMULA MANUAL]","",IFERROR(SUMPRODUCT((nNIA=A512)*(nCUENTA=1)*(COUNTIF(CONFIG_ASIGNATURAS!$B$7:$B$27,nASIG)&gt;0)*(nNOTA))/SUMPRODUCT((nNIA=A512)*(nCUENTA=1)*(COUNTIF(CONFIG_ASIGNATURAS!$B$7:$B$27,nASIG)&gt;0)*1),"")))</f>
        <v/>
      </c>
      <c r="H512" t="str">
        <f>IF(G512="","",IF(G512="[FÓRMULA MANUAL]","",IFERROR(AVERAGEIFS(nNOTA,nNIA,G512,nCUENTA,1,nASIG,"Lenguaje Musical"),"")))</f>
        <v/>
      </c>
      <c r="I512" t="str">
        <f>IF(G512="","",IF(G512="[FÓRMULA MANUAL]","",IFERROR(AVERAGEIFS(nNOTA,nNIA,G512,nCUENTA,1,nASIG,"Orquesta/Banda/Conjunto"),"")))</f>
        <v/>
      </c>
      <c r="J512" t="str">
        <f>IF(G512="","",IF(G512="[FÓRMULA MANUAL]","",IFERROR(AVERAGEIFS(nNOTA,nNIA,G512,nCUENTA,1,nASIG,"Conjunto"),"")))</f>
        <v/>
      </c>
      <c r="K512" t="str">
        <f>IF(G512="","",IF(G512="[FÓRMULA MANUAL]","",IFERROR(SUMPRODUCT((nNIA=G512)*(nCUENTA=1)*(COUNTIF(CONFIG_ASIGNATURAS!$B$7:$B$27,nASIG)&gt;0)*(nNOTA))/SUMPRODUCT((nNIA=G512)*(nCUENTA=1)*(COUNTIF(CONFIG_ASIGNATURAS!$B$7:$B$27,nASIG)&gt;0)*1),"")))</f>
        <v/>
      </c>
      <c r="N512" t="str">
        <f>IF(M512="","",IF(M512="[FÓRMULA MANUAL]","",IFERROR(AVERAGEIFS(nNOTA,nNIA,M512,nCUENTA,1,nASIG,"Armonía"),"")))</f>
        <v/>
      </c>
      <c r="O512" t="str">
        <f>IF(M512="","",IF(M512="[FÓRMULA MANUAL]","",IFERROR(AVERAGEIFS(nNOTA,nNIA,M512,nCUENTA,1,nASIG,"Orquesta/Banda/Conjunto"),"")))</f>
        <v/>
      </c>
      <c r="P512" t="str">
        <f>IF(M512="","",IF(M512="[FÓRMULA MANUAL]","",IFERROR(AVERAGEIFS(nNOTA,nNIA,M512,nCUENTA,1,nASIG,"Música de Cámara"),"")))</f>
        <v/>
      </c>
      <c r="Q512" t="str">
        <f>IF(M512="","",IF(M512="[FÓRMULA MANUAL]","",IFERROR(SUMPRODUCT((nNIA=M512)*(nCUENTA=1)*(COUNTIF(CONFIG_ASIGNATURAS!$B$7:$B$27,nASIG)&gt;0)*(nNOTA))/SUMPRODUCT((nNIA=M512)*(nCUENTA=1)*(COUNTIF(CONFIG_ASIGNATURAS!$B$7:$B$27,nASIG)&gt;0)*1),"")))</f>
        <v/>
      </c>
      <c r="T512" t="str">
        <f>IF(S512="","",IF(S512="[FÓRMULA MANUAL]","",IFERROR(AVERAGEIFS(nNOTA,nNIA,S512,nCUENTA,1,nASIG,"Armonía"),"")))</f>
        <v/>
      </c>
      <c r="U512" t="str">
        <f>IF(S512="","",IF(S512="[FÓRMULA MANUAL]","",IFERROR(AVERAGEIFS(nNOTA,nNIA,S512,nCUENTA,1,nASIG,"Orquesta/Banda/Conjunto"),"")))</f>
        <v/>
      </c>
      <c r="V512" t="str">
        <f>IF(S512="","",IF(S512="[FÓRMULA MANUAL]","",IFERROR(AVERAGEIFS(nNOTA,nNIA,S512,nCUENTA,1,nASIG,"Música de Cámara"),"")))</f>
        <v/>
      </c>
      <c r="W512" t="str">
        <f>IF(S512="","",IF(S512="[FÓRMULA MANUAL]","",IFERROR(SUMPRODUCT((nNIA=S512)*(nCUENTA=1)*(COUNTIF(CONFIG_ASIGNATURAS!$B$7:$B$27,nASIG)&gt;0)*(nNOTA))/SUMPRODUCT((nNIA=S512)*(nCUENTA=1)*(COUNTIF(CONFIG_ASIGNATURAS!$B$7:$B$27,nASIG)&gt;0)*1),"")))</f>
        <v/>
      </c>
      <c r="Z512" t="str">
        <f>IF(Y512="","",IF(Y512="[FÓRMULA MANUAL]","",IFERROR(AVERAGEIFS(nNOTA,nNIA,Y512,nCUENTA,1,nASIG,"Análisis"),"")))</f>
        <v/>
      </c>
      <c r="AA512" t="str">
        <f>IF(Y512="","",IF(Y512="[FÓRMULA MANUAL]","",IFERROR(AVERAGEIFS(nNOTA,nNIA,Y512,nCUENTA,1,nASIG,"Orquesta/Banda/Conjunto"),"")))</f>
        <v/>
      </c>
      <c r="AB512" t="str">
        <f>IF(Y512="","",IF(Y512="[FÓRMULA MANUAL]","",IFERROR(AVERAGEIFS(nNOTA,nNIA,Y512,nCUENTA,1,nASIG,"Música de Cámara"),"")))</f>
        <v/>
      </c>
      <c r="AC512" t="str">
        <f>IF(Y512="","",IF(Y512="[FÓRMULA MANUAL]","",IFERROR(SUMPRODUCT((nNIA=Y512)*(nCUENTA=1)*(COUNTIF(CONFIG_ASIGNATURAS!$B$7:$B$27,nASIG)&gt;0)*(nNOTA))/SUMPRODUCT((nNIA=Y512)*(nCUENTA=1)*(COUNTIF(CONFIG_ASIGNATURAS!$B$7:$B$27,nASIG)&gt;0)*1),"")))</f>
        <v/>
      </c>
      <c r="AF512" t="str">
        <f>IF(AE512="","",IF(AE512="[FÓRMULA MANUAL]","",IFERROR(AVERAGEIFS(nNOTA,nNIA,AE512,nCUENTA,1,nASIG,"Análisis"),"")))</f>
        <v/>
      </c>
      <c r="AG512" t="str">
        <f>IF(AE512="","",IF(AE512="[FÓRMULA MANUAL]","",IFERROR(AVERAGEIFS(nNOTA,nNIA,AE512,nCUENTA,1,nASIG,"Orquesta/Banda/Conjunto"),"")))</f>
        <v/>
      </c>
      <c r="AH512" t="str">
        <f>IF(AE512="","",IF(AE512="[FÓRMULA MANUAL]","",IFERROR(AVERAGEIFS(nNOTA,nNIA,AE512,nCUENTA,1,nASIG,"Música de Cámara"),"")))</f>
        <v/>
      </c>
      <c r="AI512" t="str">
        <f>IF(AE512="","",IF(AE512="[FÓRMULA MANUAL]","",IFERROR(SUMPRODUCT((nNIA=AE512)*(nCUENTA=1)*(COUNTIF(CONFIG_ASIGNATURAS!$B$7:$B$27,nASIG)&gt;0)*(nNOTA))/SUMPRODUCT((nNIA=AE512)*(nCUENTA=1)*(COUNTIF(CONFIG_ASIGNATURAS!$B$7:$B$27,nASIG)&gt;0)*1),"")))</f>
        <v/>
      </c>
    </row>
    <row r="513" spans="2:35" x14ac:dyDescent="0.2">
      <c r="B513" t="str">
        <f>IF(A513="","",IF(A513="[FÓRMULA MANUAL]","",IFERROR(AVERAGEIFS(nNOTA,nNIA,A513,nCUENTA,1,nASIG,"Lenguaje Musical"),"")))</f>
        <v/>
      </c>
      <c r="C513" t="str">
        <f>IF(A513="","",IF(A513="[FÓRMULA MANUAL]","",IFERROR(AVERAGEIFS(nNOTA,nNIA,A513,nCUENTA,1,nASIG,"Orquesta/Banda/Conjunto"),"")))</f>
        <v/>
      </c>
      <c r="D513" t="str">
        <f>IF(A513="","",IF(A513="[FÓRMULA MANUAL]","",IFERROR(AVERAGEIFS(nNOTA,nNIA,A513,nCUENTA,1,nASIG,"Conjunto"),"")))</f>
        <v/>
      </c>
      <c r="E513" t="str">
        <f>IF(A513="","",IF(A513="[FÓRMULA MANUAL]","",IFERROR(SUMPRODUCT((nNIA=A513)*(nCUENTA=1)*(COUNTIF(CONFIG_ASIGNATURAS!$B$7:$B$27,nASIG)&gt;0)*(nNOTA))/SUMPRODUCT((nNIA=A513)*(nCUENTA=1)*(COUNTIF(CONFIG_ASIGNATURAS!$B$7:$B$27,nASIG)&gt;0)*1),"")))</f>
        <v/>
      </c>
      <c r="H513" t="str">
        <f>IF(G513="","",IF(G513="[FÓRMULA MANUAL]","",IFERROR(AVERAGEIFS(nNOTA,nNIA,G513,nCUENTA,1,nASIG,"Lenguaje Musical"),"")))</f>
        <v/>
      </c>
      <c r="I513" t="str">
        <f>IF(G513="","",IF(G513="[FÓRMULA MANUAL]","",IFERROR(AVERAGEIFS(nNOTA,nNIA,G513,nCUENTA,1,nASIG,"Orquesta/Banda/Conjunto"),"")))</f>
        <v/>
      </c>
      <c r="J513" t="str">
        <f>IF(G513="","",IF(G513="[FÓRMULA MANUAL]","",IFERROR(AVERAGEIFS(nNOTA,nNIA,G513,nCUENTA,1,nASIG,"Conjunto"),"")))</f>
        <v/>
      </c>
      <c r="K513" t="str">
        <f>IF(G513="","",IF(G513="[FÓRMULA MANUAL]","",IFERROR(SUMPRODUCT((nNIA=G513)*(nCUENTA=1)*(COUNTIF(CONFIG_ASIGNATURAS!$B$7:$B$27,nASIG)&gt;0)*(nNOTA))/SUMPRODUCT((nNIA=G513)*(nCUENTA=1)*(COUNTIF(CONFIG_ASIGNATURAS!$B$7:$B$27,nASIG)&gt;0)*1),"")))</f>
        <v/>
      </c>
      <c r="N513" t="str">
        <f>IF(M513="","",IF(M513="[FÓRMULA MANUAL]","",IFERROR(AVERAGEIFS(nNOTA,nNIA,M513,nCUENTA,1,nASIG,"Armonía"),"")))</f>
        <v/>
      </c>
      <c r="O513" t="str">
        <f>IF(M513="","",IF(M513="[FÓRMULA MANUAL]","",IFERROR(AVERAGEIFS(nNOTA,nNIA,M513,nCUENTA,1,nASIG,"Orquesta/Banda/Conjunto"),"")))</f>
        <v/>
      </c>
      <c r="P513" t="str">
        <f>IF(M513="","",IF(M513="[FÓRMULA MANUAL]","",IFERROR(AVERAGEIFS(nNOTA,nNIA,M513,nCUENTA,1,nASIG,"Música de Cámara"),"")))</f>
        <v/>
      </c>
      <c r="Q513" t="str">
        <f>IF(M513="","",IF(M513="[FÓRMULA MANUAL]","",IFERROR(SUMPRODUCT((nNIA=M513)*(nCUENTA=1)*(COUNTIF(CONFIG_ASIGNATURAS!$B$7:$B$27,nASIG)&gt;0)*(nNOTA))/SUMPRODUCT((nNIA=M513)*(nCUENTA=1)*(COUNTIF(CONFIG_ASIGNATURAS!$B$7:$B$27,nASIG)&gt;0)*1),"")))</f>
        <v/>
      </c>
      <c r="T513" t="str">
        <f>IF(S513="","",IF(S513="[FÓRMULA MANUAL]","",IFERROR(AVERAGEIFS(nNOTA,nNIA,S513,nCUENTA,1,nASIG,"Armonía"),"")))</f>
        <v/>
      </c>
      <c r="U513" t="str">
        <f>IF(S513="","",IF(S513="[FÓRMULA MANUAL]","",IFERROR(AVERAGEIFS(nNOTA,nNIA,S513,nCUENTA,1,nASIG,"Orquesta/Banda/Conjunto"),"")))</f>
        <v/>
      </c>
      <c r="V513" t="str">
        <f>IF(S513="","",IF(S513="[FÓRMULA MANUAL]","",IFERROR(AVERAGEIFS(nNOTA,nNIA,S513,nCUENTA,1,nASIG,"Música de Cámara"),"")))</f>
        <v/>
      </c>
      <c r="W513" t="str">
        <f>IF(S513="","",IF(S513="[FÓRMULA MANUAL]","",IFERROR(SUMPRODUCT((nNIA=S513)*(nCUENTA=1)*(COUNTIF(CONFIG_ASIGNATURAS!$B$7:$B$27,nASIG)&gt;0)*(nNOTA))/SUMPRODUCT((nNIA=S513)*(nCUENTA=1)*(COUNTIF(CONFIG_ASIGNATURAS!$B$7:$B$27,nASIG)&gt;0)*1),"")))</f>
        <v/>
      </c>
      <c r="Z513" t="str">
        <f>IF(Y513="","",IF(Y513="[FÓRMULA MANUAL]","",IFERROR(AVERAGEIFS(nNOTA,nNIA,Y513,nCUENTA,1,nASIG,"Análisis"),"")))</f>
        <v/>
      </c>
      <c r="AA513" t="str">
        <f>IF(Y513="","",IF(Y513="[FÓRMULA MANUAL]","",IFERROR(AVERAGEIFS(nNOTA,nNIA,Y513,nCUENTA,1,nASIG,"Orquesta/Banda/Conjunto"),"")))</f>
        <v/>
      </c>
      <c r="AB513" t="str">
        <f>IF(Y513="","",IF(Y513="[FÓRMULA MANUAL]","",IFERROR(AVERAGEIFS(nNOTA,nNIA,Y513,nCUENTA,1,nASIG,"Música de Cámara"),"")))</f>
        <v/>
      </c>
      <c r="AC513" t="str">
        <f>IF(Y513="","",IF(Y513="[FÓRMULA MANUAL]","",IFERROR(SUMPRODUCT((nNIA=Y513)*(nCUENTA=1)*(COUNTIF(CONFIG_ASIGNATURAS!$B$7:$B$27,nASIG)&gt;0)*(nNOTA))/SUMPRODUCT((nNIA=Y513)*(nCUENTA=1)*(COUNTIF(CONFIG_ASIGNATURAS!$B$7:$B$27,nASIG)&gt;0)*1),"")))</f>
        <v/>
      </c>
      <c r="AF513" t="str">
        <f>IF(AE513="","",IF(AE513="[FÓRMULA MANUAL]","",IFERROR(AVERAGEIFS(nNOTA,nNIA,AE513,nCUENTA,1,nASIG,"Análisis"),"")))</f>
        <v/>
      </c>
      <c r="AG513" t="str">
        <f>IF(AE513="","",IF(AE513="[FÓRMULA MANUAL]","",IFERROR(AVERAGEIFS(nNOTA,nNIA,AE513,nCUENTA,1,nASIG,"Orquesta/Banda/Conjunto"),"")))</f>
        <v/>
      </c>
      <c r="AH513" t="str">
        <f>IF(AE513="","",IF(AE513="[FÓRMULA MANUAL]","",IFERROR(AVERAGEIFS(nNOTA,nNIA,AE513,nCUENTA,1,nASIG,"Música de Cámara"),"")))</f>
        <v/>
      </c>
      <c r="AI513" t="str">
        <f>IF(AE513="","",IF(AE513="[FÓRMULA MANUAL]","",IFERROR(SUMPRODUCT((nNIA=AE513)*(nCUENTA=1)*(COUNTIF(CONFIG_ASIGNATURAS!$B$7:$B$27,nASIG)&gt;0)*(nNOTA))/SUMPRODUCT((nNIA=AE513)*(nCUENTA=1)*(COUNTIF(CONFIG_ASIGNATURAS!$B$7:$B$27,nASIG)&gt;0)*1),"")))</f>
        <v/>
      </c>
    </row>
    <row r="514" spans="2:35" x14ac:dyDescent="0.2">
      <c r="B514" t="str">
        <f>IF(A514="","",IF(A514="[FÓRMULA MANUAL]","",IFERROR(AVERAGEIFS(nNOTA,nNIA,A514,nCUENTA,1,nASIG,"Lenguaje Musical"),"")))</f>
        <v/>
      </c>
      <c r="C514" t="str">
        <f>IF(A514="","",IF(A514="[FÓRMULA MANUAL]","",IFERROR(AVERAGEIFS(nNOTA,nNIA,A514,nCUENTA,1,nASIG,"Orquesta/Banda/Conjunto"),"")))</f>
        <v/>
      </c>
      <c r="D514" t="str">
        <f>IF(A514="","",IF(A514="[FÓRMULA MANUAL]","",IFERROR(AVERAGEIFS(nNOTA,nNIA,A514,nCUENTA,1,nASIG,"Conjunto"),"")))</f>
        <v/>
      </c>
      <c r="E514" t="str">
        <f>IF(A514="","",IF(A514="[FÓRMULA MANUAL]","",IFERROR(SUMPRODUCT((nNIA=A514)*(nCUENTA=1)*(COUNTIF(CONFIG_ASIGNATURAS!$B$7:$B$27,nASIG)&gt;0)*(nNOTA))/SUMPRODUCT((nNIA=A514)*(nCUENTA=1)*(COUNTIF(CONFIG_ASIGNATURAS!$B$7:$B$27,nASIG)&gt;0)*1),"")))</f>
        <v/>
      </c>
      <c r="H514" t="str">
        <f>IF(G514="","",IF(G514="[FÓRMULA MANUAL]","",IFERROR(AVERAGEIFS(nNOTA,nNIA,G514,nCUENTA,1,nASIG,"Lenguaje Musical"),"")))</f>
        <v/>
      </c>
      <c r="I514" t="str">
        <f>IF(G514="","",IF(G514="[FÓRMULA MANUAL]","",IFERROR(AVERAGEIFS(nNOTA,nNIA,G514,nCUENTA,1,nASIG,"Orquesta/Banda/Conjunto"),"")))</f>
        <v/>
      </c>
      <c r="J514" t="str">
        <f>IF(G514="","",IF(G514="[FÓRMULA MANUAL]","",IFERROR(AVERAGEIFS(nNOTA,nNIA,G514,nCUENTA,1,nASIG,"Conjunto"),"")))</f>
        <v/>
      </c>
      <c r="K514" t="str">
        <f>IF(G514="","",IF(G514="[FÓRMULA MANUAL]","",IFERROR(SUMPRODUCT((nNIA=G514)*(nCUENTA=1)*(COUNTIF(CONFIG_ASIGNATURAS!$B$7:$B$27,nASIG)&gt;0)*(nNOTA))/SUMPRODUCT((nNIA=G514)*(nCUENTA=1)*(COUNTIF(CONFIG_ASIGNATURAS!$B$7:$B$27,nASIG)&gt;0)*1),"")))</f>
        <v/>
      </c>
      <c r="N514" t="str">
        <f>IF(M514="","",IF(M514="[FÓRMULA MANUAL]","",IFERROR(AVERAGEIFS(nNOTA,nNIA,M514,nCUENTA,1,nASIG,"Armonía"),"")))</f>
        <v/>
      </c>
      <c r="O514" t="str">
        <f>IF(M514="","",IF(M514="[FÓRMULA MANUAL]","",IFERROR(AVERAGEIFS(nNOTA,nNIA,M514,nCUENTA,1,nASIG,"Orquesta/Banda/Conjunto"),"")))</f>
        <v/>
      </c>
      <c r="P514" t="str">
        <f>IF(M514="","",IF(M514="[FÓRMULA MANUAL]","",IFERROR(AVERAGEIFS(nNOTA,nNIA,M514,nCUENTA,1,nASIG,"Música de Cámara"),"")))</f>
        <v/>
      </c>
      <c r="Q514" t="str">
        <f>IF(M514="","",IF(M514="[FÓRMULA MANUAL]","",IFERROR(SUMPRODUCT((nNIA=M514)*(nCUENTA=1)*(COUNTIF(CONFIG_ASIGNATURAS!$B$7:$B$27,nASIG)&gt;0)*(nNOTA))/SUMPRODUCT((nNIA=M514)*(nCUENTA=1)*(COUNTIF(CONFIG_ASIGNATURAS!$B$7:$B$27,nASIG)&gt;0)*1),"")))</f>
        <v/>
      </c>
      <c r="T514" t="str">
        <f>IF(S514="","",IF(S514="[FÓRMULA MANUAL]","",IFERROR(AVERAGEIFS(nNOTA,nNIA,S514,nCUENTA,1,nASIG,"Armonía"),"")))</f>
        <v/>
      </c>
      <c r="U514" t="str">
        <f>IF(S514="","",IF(S514="[FÓRMULA MANUAL]","",IFERROR(AVERAGEIFS(nNOTA,nNIA,S514,nCUENTA,1,nASIG,"Orquesta/Banda/Conjunto"),"")))</f>
        <v/>
      </c>
      <c r="V514" t="str">
        <f>IF(S514="","",IF(S514="[FÓRMULA MANUAL]","",IFERROR(AVERAGEIFS(nNOTA,nNIA,S514,nCUENTA,1,nASIG,"Música de Cámara"),"")))</f>
        <v/>
      </c>
      <c r="W514" t="str">
        <f>IF(S514="","",IF(S514="[FÓRMULA MANUAL]","",IFERROR(SUMPRODUCT((nNIA=S514)*(nCUENTA=1)*(COUNTIF(CONFIG_ASIGNATURAS!$B$7:$B$27,nASIG)&gt;0)*(nNOTA))/SUMPRODUCT((nNIA=S514)*(nCUENTA=1)*(COUNTIF(CONFIG_ASIGNATURAS!$B$7:$B$27,nASIG)&gt;0)*1),"")))</f>
        <v/>
      </c>
      <c r="Z514" t="str">
        <f>IF(Y514="","",IF(Y514="[FÓRMULA MANUAL]","",IFERROR(AVERAGEIFS(nNOTA,nNIA,Y514,nCUENTA,1,nASIG,"Análisis"),"")))</f>
        <v/>
      </c>
      <c r="AA514" t="str">
        <f>IF(Y514="","",IF(Y514="[FÓRMULA MANUAL]","",IFERROR(AVERAGEIFS(nNOTA,nNIA,Y514,nCUENTA,1,nASIG,"Orquesta/Banda/Conjunto"),"")))</f>
        <v/>
      </c>
      <c r="AB514" t="str">
        <f>IF(Y514="","",IF(Y514="[FÓRMULA MANUAL]","",IFERROR(AVERAGEIFS(nNOTA,nNIA,Y514,nCUENTA,1,nASIG,"Música de Cámara"),"")))</f>
        <v/>
      </c>
      <c r="AC514" t="str">
        <f>IF(Y514="","",IF(Y514="[FÓRMULA MANUAL]","",IFERROR(SUMPRODUCT((nNIA=Y514)*(nCUENTA=1)*(COUNTIF(CONFIG_ASIGNATURAS!$B$7:$B$27,nASIG)&gt;0)*(nNOTA))/SUMPRODUCT((nNIA=Y514)*(nCUENTA=1)*(COUNTIF(CONFIG_ASIGNATURAS!$B$7:$B$27,nASIG)&gt;0)*1),"")))</f>
        <v/>
      </c>
      <c r="AF514" t="str">
        <f>IF(AE514="","",IF(AE514="[FÓRMULA MANUAL]","",IFERROR(AVERAGEIFS(nNOTA,nNIA,AE514,nCUENTA,1,nASIG,"Análisis"),"")))</f>
        <v/>
      </c>
      <c r="AG514" t="str">
        <f>IF(AE514="","",IF(AE514="[FÓRMULA MANUAL]","",IFERROR(AVERAGEIFS(nNOTA,nNIA,AE514,nCUENTA,1,nASIG,"Orquesta/Banda/Conjunto"),"")))</f>
        <v/>
      </c>
      <c r="AH514" t="str">
        <f>IF(AE514="","",IF(AE514="[FÓRMULA MANUAL]","",IFERROR(AVERAGEIFS(nNOTA,nNIA,AE514,nCUENTA,1,nASIG,"Música de Cámara"),"")))</f>
        <v/>
      </c>
      <c r="AI514" t="str">
        <f>IF(AE514="","",IF(AE514="[FÓRMULA MANUAL]","",IFERROR(SUMPRODUCT((nNIA=AE514)*(nCUENTA=1)*(COUNTIF(CONFIG_ASIGNATURAS!$B$7:$B$27,nASIG)&gt;0)*(nNOTA))/SUMPRODUCT((nNIA=AE514)*(nCUENTA=1)*(COUNTIF(CONFIG_ASIGNATURAS!$B$7:$B$27,nASIG)&gt;0)*1),"")))</f>
        <v/>
      </c>
    </row>
    <row r="515" spans="2:35" x14ac:dyDescent="0.2">
      <c r="B515" t="str">
        <f>IF(A515="","",IF(A515="[FÓRMULA MANUAL]","",IFERROR(AVERAGEIFS(nNOTA,nNIA,A515,nCUENTA,1,nASIG,"Lenguaje Musical"),"")))</f>
        <v/>
      </c>
      <c r="C515" t="str">
        <f>IF(A515="","",IF(A515="[FÓRMULA MANUAL]","",IFERROR(AVERAGEIFS(nNOTA,nNIA,A515,nCUENTA,1,nASIG,"Orquesta/Banda/Conjunto"),"")))</f>
        <v/>
      </c>
      <c r="D515" t="str">
        <f>IF(A515="","",IF(A515="[FÓRMULA MANUAL]","",IFERROR(AVERAGEIFS(nNOTA,nNIA,A515,nCUENTA,1,nASIG,"Conjunto"),"")))</f>
        <v/>
      </c>
      <c r="E515" t="str">
        <f>IF(A515="","",IF(A515="[FÓRMULA MANUAL]","",IFERROR(SUMPRODUCT((nNIA=A515)*(nCUENTA=1)*(COUNTIF(CONFIG_ASIGNATURAS!$B$7:$B$27,nASIG)&gt;0)*(nNOTA))/SUMPRODUCT((nNIA=A515)*(nCUENTA=1)*(COUNTIF(CONFIG_ASIGNATURAS!$B$7:$B$27,nASIG)&gt;0)*1),"")))</f>
        <v/>
      </c>
      <c r="H515" t="str">
        <f>IF(G515="","",IF(G515="[FÓRMULA MANUAL]","",IFERROR(AVERAGEIFS(nNOTA,nNIA,G515,nCUENTA,1,nASIG,"Lenguaje Musical"),"")))</f>
        <v/>
      </c>
      <c r="I515" t="str">
        <f>IF(G515="","",IF(G515="[FÓRMULA MANUAL]","",IFERROR(AVERAGEIFS(nNOTA,nNIA,G515,nCUENTA,1,nASIG,"Orquesta/Banda/Conjunto"),"")))</f>
        <v/>
      </c>
      <c r="J515" t="str">
        <f>IF(G515="","",IF(G515="[FÓRMULA MANUAL]","",IFERROR(AVERAGEIFS(nNOTA,nNIA,G515,nCUENTA,1,nASIG,"Conjunto"),"")))</f>
        <v/>
      </c>
      <c r="K515" t="str">
        <f>IF(G515="","",IF(G515="[FÓRMULA MANUAL]","",IFERROR(SUMPRODUCT((nNIA=G515)*(nCUENTA=1)*(COUNTIF(CONFIG_ASIGNATURAS!$B$7:$B$27,nASIG)&gt;0)*(nNOTA))/SUMPRODUCT((nNIA=G515)*(nCUENTA=1)*(COUNTIF(CONFIG_ASIGNATURAS!$B$7:$B$27,nASIG)&gt;0)*1),"")))</f>
        <v/>
      </c>
      <c r="N515" t="str">
        <f>IF(M515="","",IF(M515="[FÓRMULA MANUAL]","",IFERROR(AVERAGEIFS(nNOTA,nNIA,M515,nCUENTA,1,nASIG,"Armonía"),"")))</f>
        <v/>
      </c>
      <c r="O515" t="str">
        <f>IF(M515="","",IF(M515="[FÓRMULA MANUAL]","",IFERROR(AVERAGEIFS(nNOTA,nNIA,M515,nCUENTA,1,nASIG,"Orquesta/Banda/Conjunto"),"")))</f>
        <v/>
      </c>
      <c r="P515" t="str">
        <f>IF(M515="","",IF(M515="[FÓRMULA MANUAL]","",IFERROR(AVERAGEIFS(nNOTA,nNIA,M515,nCUENTA,1,nASIG,"Música de Cámara"),"")))</f>
        <v/>
      </c>
      <c r="Q515" t="str">
        <f>IF(M515="","",IF(M515="[FÓRMULA MANUAL]","",IFERROR(SUMPRODUCT((nNIA=M515)*(nCUENTA=1)*(COUNTIF(CONFIG_ASIGNATURAS!$B$7:$B$27,nASIG)&gt;0)*(nNOTA))/SUMPRODUCT((nNIA=M515)*(nCUENTA=1)*(COUNTIF(CONFIG_ASIGNATURAS!$B$7:$B$27,nASIG)&gt;0)*1),"")))</f>
        <v/>
      </c>
      <c r="T515" t="str">
        <f>IF(S515="","",IF(S515="[FÓRMULA MANUAL]","",IFERROR(AVERAGEIFS(nNOTA,nNIA,S515,nCUENTA,1,nASIG,"Armonía"),"")))</f>
        <v/>
      </c>
      <c r="U515" t="str">
        <f>IF(S515="","",IF(S515="[FÓRMULA MANUAL]","",IFERROR(AVERAGEIFS(nNOTA,nNIA,S515,nCUENTA,1,nASIG,"Orquesta/Banda/Conjunto"),"")))</f>
        <v/>
      </c>
      <c r="V515" t="str">
        <f>IF(S515="","",IF(S515="[FÓRMULA MANUAL]","",IFERROR(AVERAGEIFS(nNOTA,nNIA,S515,nCUENTA,1,nASIG,"Música de Cámara"),"")))</f>
        <v/>
      </c>
      <c r="W515" t="str">
        <f>IF(S515="","",IF(S515="[FÓRMULA MANUAL]","",IFERROR(SUMPRODUCT((nNIA=S515)*(nCUENTA=1)*(COUNTIF(CONFIG_ASIGNATURAS!$B$7:$B$27,nASIG)&gt;0)*(nNOTA))/SUMPRODUCT((nNIA=S515)*(nCUENTA=1)*(COUNTIF(CONFIG_ASIGNATURAS!$B$7:$B$27,nASIG)&gt;0)*1),"")))</f>
        <v/>
      </c>
      <c r="Z515" t="str">
        <f>IF(Y515="","",IF(Y515="[FÓRMULA MANUAL]","",IFERROR(AVERAGEIFS(nNOTA,nNIA,Y515,nCUENTA,1,nASIG,"Análisis"),"")))</f>
        <v/>
      </c>
      <c r="AA515" t="str">
        <f>IF(Y515="","",IF(Y515="[FÓRMULA MANUAL]","",IFERROR(AVERAGEIFS(nNOTA,nNIA,Y515,nCUENTA,1,nASIG,"Orquesta/Banda/Conjunto"),"")))</f>
        <v/>
      </c>
      <c r="AB515" t="str">
        <f>IF(Y515="","",IF(Y515="[FÓRMULA MANUAL]","",IFERROR(AVERAGEIFS(nNOTA,nNIA,Y515,nCUENTA,1,nASIG,"Música de Cámara"),"")))</f>
        <v/>
      </c>
      <c r="AC515" t="str">
        <f>IF(Y515="","",IF(Y515="[FÓRMULA MANUAL]","",IFERROR(SUMPRODUCT((nNIA=Y515)*(nCUENTA=1)*(COUNTIF(CONFIG_ASIGNATURAS!$B$7:$B$27,nASIG)&gt;0)*(nNOTA))/SUMPRODUCT((nNIA=Y515)*(nCUENTA=1)*(COUNTIF(CONFIG_ASIGNATURAS!$B$7:$B$27,nASIG)&gt;0)*1),"")))</f>
        <v/>
      </c>
      <c r="AF515" t="str">
        <f>IF(AE515="","",IF(AE515="[FÓRMULA MANUAL]","",IFERROR(AVERAGEIFS(nNOTA,nNIA,AE515,nCUENTA,1,nASIG,"Análisis"),"")))</f>
        <v/>
      </c>
      <c r="AG515" t="str">
        <f>IF(AE515="","",IF(AE515="[FÓRMULA MANUAL]","",IFERROR(AVERAGEIFS(nNOTA,nNIA,AE515,nCUENTA,1,nASIG,"Orquesta/Banda/Conjunto"),"")))</f>
        <v/>
      </c>
      <c r="AH515" t="str">
        <f>IF(AE515="","",IF(AE515="[FÓRMULA MANUAL]","",IFERROR(AVERAGEIFS(nNOTA,nNIA,AE515,nCUENTA,1,nASIG,"Música de Cámara"),"")))</f>
        <v/>
      </c>
      <c r="AI515" t="str">
        <f>IF(AE515="","",IF(AE515="[FÓRMULA MANUAL]","",IFERROR(SUMPRODUCT((nNIA=AE515)*(nCUENTA=1)*(COUNTIF(CONFIG_ASIGNATURAS!$B$7:$B$27,nASIG)&gt;0)*(nNOTA))/SUMPRODUCT((nNIA=AE515)*(nCUENTA=1)*(COUNTIF(CONFIG_ASIGNATURAS!$B$7:$B$27,nASIG)&gt;0)*1),"")))</f>
        <v/>
      </c>
    </row>
    <row r="516" spans="2:35" x14ac:dyDescent="0.2">
      <c r="B516" t="str">
        <f>IF(A516="","",IF(A516="[FÓRMULA MANUAL]","",IFERROR(AVERAGEIFS(nNOTA,nNIA,A516,nCUENTA,1,nASIG,"Lenguaje Musical"),"")))</f>
        <v/>
      </c>
      <c r="C516" t="str">
        <f>IF(A516="","",IF(A516="[FÓRMULA MANUAL]","",IFERROR(AVERAGEIFS(nNOTA,nNIA,A516,nCUENTA,1,nASIG,"Orquesta/Banda/Conjunto"),"")))</f>
        <v/>
      </c>
      <c r="D516" t="str">
        <f>IF(A516="","",IF(A516="[FÓRMULA MANUAL]","",IFERROR(AVERAGEIFS(nNOTA,nNIA,A516,nCUENTA,1,nASIG,"Conjunto"),"")))</f>
        <v/>
      </c>
      <c r="E516" t="str">
        <f>IF(A516="","",IF(A516="[FÓRMULA MANUAL]","",IFERROR(SUMPRODUCT((nNIA=A516)*(nCUENTA=1)*(COUNTIF(CONFIG_ASIGNATURAS!$B$7:$B$27,nASIG)&gt;0)*(nNOTA))/SUMPRODUCT((nNIA=A516)*(nCUENTA=1)*(COUNTIF(CONFIG_ASIGNATURAS!$B$7:$B$27,nASIG)&gt;0)*1),"")))</f>
        <v/>
      </c>
      <c r="H516" t="str">
        <f>IF(G516="","",IF(G516="[FÓRMULA MANUAL]","",IFERROR(AVERAGEIFS(nNOTA,nNIA,G516,nCUENTA,1,nASIG,"Lenguaje Musical"),"")))</f>
        <v/>
      </c>
      <c r="I516" t="str">
        <f>IF(G516="","",IF(G516="[FÓRMULA MANUAL]","",IFERROR(AVERAGEIFS(nNOTA,nNIA,G516,nCUENTA,1,nASIG,"Orquesta/Banda/Conjunto"),"")))</f>
        <v/>
      </c>
      <c r="J516" t="str">
        <f>IF(G516="","",IF(G516="[FÓRMULA MANUAL]","",IFERROR(AVERAGEIFS(nNOTA,nNIA,G516,nCUENTA,1,nASIG,"Conjunto"),"")))</f>
        <v/>
      </c>
      <c r="K516" t="str">
        <f>IF(G516="","",IF(G516="[FÓRMULA MANUAL]","",IFERROR(SUMPRODUCT((nNIA=G516)*(nCUENTA=1)*(COUNTIF(CONFIG_ASIGNATURAS!$B$7:$B$27,nASIG)&gt;0)*(nNOTA))/SUMPRODUCT((nNIA=G516)*(nCUENTA=1)*(COUNTIF(CONFIG_ASIGNATURAS!$B$7:$B$27,nASIG)&gt;0)*1),"")))</f>
        <v/>
      </c>
      <c r="N516" t="str">
        <f>IF(M516="","",IF(M516="[FÓRMULA MANUAL]","",IFERROR(AVERAGEIFS(nNOTA,nNIA,M516,nCUENTA,1,nASIG,"Armonía"),"")))</f>
        <v/>
      </c>
      <c r="O516" t="str">
        <f>IF(M516="","",IF(M516="[FÓRMULA MANUAL]","",IFERROR(AVERAGEIFS(nNOTA,nNIA,M516,nCUENTA,1,nASIG,"Orquesta/Banda/Conjunto"),"")))</f>
        <v/>
      </c>
      <c r="P516" t="str">
        <f>IF(M516="","",IF(M516="[FÓRMULA MANUAL]","",IFERROR(AVERAGEIFS(nNOTA,nNIA,M516,nCUENTA,1,nASIG,"Música de Cámara"),"")))</f>
        <v/>
      </c>
      <c r="Q516" t="str">
        <f>IF(M516="","",IF(M516="[FÓRMULA MANUAL]","",IFERROR(SUMPRODUCT((nNIA=M516)*(nCUENTA=1)*(COUNTIF(CONFIG_ASIGNATURAS!$B$7:$B$27,nASIG)&gt;0)*(nNOTA))/SUMPRODUCT((nNIA=M516)*(nCUENTA=1)*(COUNTIF(CONFIG_ASIGNATURAS!$B$7:$B$27,nASIG)&gt;0)*1),"")))</f>
        <v/>
      </c>
      <c r="T516" t="str">
        <f>IF(S516="","",IF(S516="[FÓRMULA MANUAL]","",IFERROR(AVERAGEIFS(nNOTA,nNIA,S516,nCUENTA,1,nASIG,"Armonía"),"")))</f>
        <v/>
      </c>
      <c r="U516" t="str">
        <f>IF(S516="","",IF(S516="[FÓRMULA MANUAL]","",IFERROR(AVERAGEIFS(nNOTA,nNIA,S516,nCUENTA,1,nASIG,"Orquesta/Banda/Conjunto"),"")))</f>
        <v/>
      </c>
      <c r="V516" t="str">
        <f>IF(S516="","",IF(S516="[FÓRMULA MANUAL]","",IFERROR(AVERAGEIFS(nNOTA,nNIA,S516,nCUENTA,1,nASIG,"Música de Cámara"),"")))</f>
        <v/>
      </c>
      <c r="W516" t="str">
        <f>IF(S516="","",IF(S516="[FÓRMULA MANUAL]","",IFERROR(SUMPRODUCT((nNIA=S516)*(nCUENTA=1)*(COUNTIF(CONFIG_ASIGNATURAS!$B$7:$B$27,nASIG)&gt;0)*(nNOTA))/SUMPRODUCT((nNIA=S516)*(nCUENTA=1)*(COUNTIF(CONFIG_ASIGNATURAS!$B$7:$B$27,nASIG)&gt;0)*1),"")))</f>
        <v/>
      </c>
      <c r="Z516" t="str">
        <f>IF(Y516="","",IF(Y516="[FÓRMULA MANUAL]","",IFERROR(AVERAGEIFS(nNOTA,nNIA,Y516,nCUENTA,1,nASIG,"Análisis"),"")))</f>
        <v/>
      </c>
      <c r="AA516" t="str">
        <f>IF(Y516="","",IF(Y516="[FÓRMULA MANUAL]","",IFERROR(AVERAGEIFS(nNOTA,nNIA,Y516,nCUENTA,1,nASIG,"Orquesta/Banda/Conjunto"),"")))</f>
        <v/>
      </c>
      <c r="AB516" t="str">
        <f>IF(Y516="","",IF(Y516="[FÓRMULA MANUAL]","",IFERROR(AVERAGEIFS(nNOTA,nNIA,Y516,nCUENTA,1,nASIG,"Música de Cámara"),"")))</f>
        <v/>
      </c>
      <c r="AC516" t="str">
        <f>IF(Y516="","",IF(Y516="[FÓRMULA MANUAL]","",IFERROR(SUMPRODUCT((nNIA=Y516)*(nCUENTA=1)*(COUNTIF(CONFIG_ASIGNATURAS!$B$7:$B$27,nASIG)&gt;0)*(nNOTA))/SUMPRODUCT((nNIA=Y516)*(nCUENTA=1)*(COUNTIF(CONFIG_ASIGNATURAS!$B$7:$B$27,nASIG)&gt;0)*1),"")))</f>
        <v/>
      </c>
      <c r="AF516" t="str">
        <f>IF(AE516="","",IF(AE516="[FÓRMULA MANUAL]","",IFERROR(AVERAGEIFS(nNOTA,nNIA,AE516,nCUENTA,1,nASIG,"Análisis"),"")))</f>
        <v/>
      </c>
      <c r="AG516" t="str">
        <f>IF(AE516="","",IF(AE516="[FÓRMULA MANUAL]","",IFERROR(AVERAGEIFS(nNOTA,nNIA,AE516,nCUENTA,1,nASIG,"Orquesta/Banda/Conjunto"),"")))</f>
        <v/>
      </c>
      <c r="AH516" t="str">
        <f>IF(AE516="","",IF(AE516="[FÓRMULA MANUAL]","",IFERROR(AVERAGEIFS(nNOTA,nNIA,AE516,nCUENTA,1,nASIG,"Música de Cámara"),"")))</f>
        <v/>
      </c>
      <c r="AI516" t="str">
        <f>IF(AE516="","",IF(AE516="[FÓRMULA MANUAL]","",IFERROR(SUMPRODUCT((nNIA=AE516)*(nCUENTA=1)*(COUNTIF(CONFIG_ASIGNATURAS!$B$7:$B$27,nASIG)&gt;0)*(nNOTA))/SUMPRODUCT((nNIA=AE516)*(nCUENTA=1)*(COUNTIF(CONFIG_ASIGNATURAS!$B$7:$B$27,nASIG)&gt;0)*1),"")))</f>
        <v/>
      </c>
    </row>
    <row r="517" spans="2:35" x14ac:dyDescent="0.2">
      <c r="B517" t="str">
        <f>IF(A517="","",IF(A517="[FÓRMULA MANUAL]","",IFERROR(AVERAGEIFS(nNOTA,nNIA,A517,nCUENTA,1,nASIG,"Lenguaje Musical"),"")))</f>
        <v/>
      </c>
      <c r="C517" t="str">
        <f>IF(A517="","",IF(A517="[FÓRMULA MANUAL]","",IFERROR(AVERAGEIFS(nNOTA,nNIA,A517,nCUENTA,1,nASIG,"Orquesta/Banda/Conjunto"),"")))</f>
        <v/>
      </c>
      <c r="D517" t="str">
        <f>IF(A517="","",IF(A517="[FÓRMULA MANUAL]","",IFERROR(AVERAGEIFS(nNOTA,nNIA,A517,nCUENTA,1,nASIG,"Conjunto"),"")))</f>
        <v/>
      </c>
      <c r="E517" t="str">
        <f>IF(A517="","",IF(A517="[FÓRMULA MANUAL]","",IFERROR(SUMPRODUCT((nNIA=A517)*(nCUENTA=1)*(COUNTIF(CONFIG_ASIGNATURAS!$B$7:$B$27,nASIG)&gt;0)*(nNOTA))/SUMPRODUCT((nNIA=A517)*(nCUENTA=1)*(COUNTIF(CONFIG_ASIGNATURAS!$B$7:$B$27,nASIG)&gt;0)*1),"")))</f>
        <v/>
      </c>
      <c r="H517" t="str">
        <f>IF(G517="","",IF(G517="[FÓRMULA MANUAL]","",IFERROR(AVERAGEIFS(nNOTA,nNIA,G517,nCUENTA,1,nASIG,"Lenguaje Musical"),"")))</f>
        <v/>
      </c>
      <c r="I517" t="str">
        <f>IF(G517="","",IF(G517="[FÓRMULA MANUAL]","",IFERROR(AVERAGEIFS(nNOTA,nNIA,G517,nCUENTA,1,nASIG,"Orquesta/Banda/Conjunto"),"")))</f>
        <v/>
      </c>
      <c r="J517" t="str">
        <f>IF(G517="","",IF(G517="[FÓRMULA MANUAL]","",IFERROR(AVERAGEIFS(nNOTA,nNIA,G517,nCUENTA,1,nASIG,"Conjunto"),"")))</f>
        <v/>
      </c>
      <c r="K517" t="str">
        <f>IF(G517="","",IF(G517="[FÓRMULA MANUAL]","",IFERROR(SUMPRODUCT((nNIA=G517)*(nCUENTA=1)*(COUNTIF(CONFIG_ASIGNATURAS!$B$7:$B$27,nASIG)&gt;0)*(nNOTA))/SUMPRODUCT((nNIA=G517)*(nCUENTA=1)*(COUNTIF(CONFIG_ASIGNATURAS!$B$7:$B$27,nASIG)&gt;0)*1),"")))</f>
        <v/>
      </c>
      <c r="N517" t="str">
        <f>IF(M517="","",IF(M517="[FÓRMULA MANUAL]","",IFERROR(AVERAGEIFS(nNOTA,nNIA,M517,nCUENTA,1,nASIG,"Armonía"),"")))</f>
        <v/>
      </c>
      <c r="O517" t="str">
        <f>IF(M517="","",IF(M517="[FÓRMULA MANUAL]","",IFERROR(AVERAGEIFS(nNOTA,nNIA,M517,nCUENTA,1,nASIG,"Orquesta/Banda/Conjunto"),"")))</f>
        <v/>
      </c>
      <c r="P517" t="str">
        <f>IF(M517="","",IF(M517="[FÓRMULA MANUAL]","",IFERROR(AVERAGEIFS(nNOTA,nNIA,M517,nCUENTA,1,nASIG,"Música de Cámara"),"")))</f>
        <v/>
      </c>
      <c r="Q517" t="str">
        <f>IF(M517="","",IF(M517="[FÓRMULA MANUAL]","",IFERROR(SUMPRODUCT((nNIA=M517)*(nCUENTA=1)*(COUNTIF(CONFIG_ASIGNATURAS!$B$7:$B$27,nASIG)&gt;0)*(nNOTA))/SUMPRODUCT((nNIA=M517)*(nCUENTA=1)*(COUNTIF(CONFIG_ASIGNATURAS!$B$7:$B$27,nASIG)&gt;0)*1),"")))</f>
        <v/>
      </c>
      <c r="T517" t="str">
        <f>IF(S517="","",IF(S517="[FÓRMULA MANUAL]","",IFERROR(AVERAGEIFS(nNOTA,nNIA,S517,nCUENTA,1,nASIG,"Armonía"),"")))</f>
        <v/>
      </c>
      <c r="U517" t="str">
        <f>IF(S517="","",IF(S517="[FÓRMULA MANUAL]","",IFERROR(AVERAGEIFS(nNOTA,nNIA,S517,nCUENTA,1,nASIG,"Orquesta/Banda/Conjunto"),"")))</f>
        <v/>
      </c>
      <c r="V517" t="str">
        <f>IF(S517="","",IF(S517="[FÓRMULA MANUAL]","",IFERROR(AVERAGEIFS(nNOTA,nNIA,S517,nCUENTA,1,nASIG,"Música de Cámara"),"")))</f>
        <v/>
      </c>
      <c r="W517" t="str">
        <f>IF(S517="","",IF(S517="[FÓRMULA MANUAL]","",IFERROR(SUMPRODUCT((nNIA=S517)*(nCUENTA=1)*(COUNTIF(CONFIG_ASIGNATURAS!$B$7:$B$27,nASIG)&gt;0)*(nNOTA))/SUMPRODUCT((nNIA=S517)*(nCUENTA=1)*(COUNTIF(CONFIG_ASIGNATURAS!$B$7:$B$27,nASIG)&gt;0)*1),"")))</f>
        <v/>
      </c>
      <c r="Z517" t="str">
        <f>IF(Y517="","",IF(Y517="[FÓRMULA MANUAL]","",IFERROR(AVERAGEIFS(nNOTA,nNIA,Y517,nCUENTA,1,nASIG,"Análisis"),"")))</f>
        <v/>
      </c>
      <c r="AA517" t="str">
        <f>IF(Y517="","",IF(Y517="[FÓRMULA MANUAL]","",IFERROR(AVERAGEIFS(nNOTA,nNIA,Y517,nCUENTA,1,nASIG,"Orquesta/Banda/Conjunto"),"")))</f>
        <v/>
      </c>
      <c r="AB517" t="str">
        <f>IF(Y517="","",IF(Y517="[FÓRMULA MANUAL]","",IFERROR(AVERAGEIFS(nNOTA,nNIA,Y517,nCUENTA,1,nASIG,"Música de Cámara"),"")))</f>
        <v/>
      </c>
      <c r="AC517" t="str">
        <f>IF(Y517="","",IF(Y517="[FÓRMULA MANUAL]","",IFERROR(SUMPRODUCT((nNIA=Y517)*(nCUENTA=1)*(COUNTIF(CONFIG_ASIGNATURAS!$B$7:$B$27,nASIG)&gt;0)*(nNOTA))/SUMPRODUCT((nNIA=Y517)*(nCUENTA=1)*(COUNTIF(CONFIG_ASIGNATURAS!$B$7:$B$27,nASIG)&gt;0)*1),"")))</f>
        <v/>
      </c>
      <c r="AF517" t="str">
        <f>IF(AE517="","",IF(AE517="[FÓRMULA MANUAL]","",IFERROR(AVERAGEIFS(nNOTA,nNIA,AE517,nCUENTA,1,nASIG,"Análisis"),"")))</f>
        <v/>
      </c>
      <c r="AG517" t="str">
        <f>IF(AE517="","",IF(AE517="[FÓRMULA MANUAL]","",IFERROR(AVERAGEIFS(nNOTA,nNIA,AE517,nCUENTA,1,nASIG,"Orquesta/Banda/Conjunto"),"")))</f>
        <v/>
      </c>
      <c r="AH517" t="str">
        <f>IF(AE517="","",IF(AE517="[FÓRMULA MANUAL]","",IFERROR(AVERAGEIFS(nNOTA,nNIA,AE517,nCUENTA,1,nASIG,"Música de Cámara"),"")))</f>
        <v/>
      </c>
      <c r="AI517" t="str">
        <f>IF(AE517="","",IF(AE517="[FÓRMULA MANUAL]","",IFERROR(SUMPRODUCT((nNIA=AE517)*(nCUENTA=1)*(COUNTIF(CONFIG_ASIGNATURAS!$B$7:$B$27,nASIG)&gt;0)*(nNOTA))/SUMPRODUCT((nNIA=AE517)*(nCUENTA=1)*(COUNTIF(CONFIG_ASIGNATURAS!$B$7:$B$27,nASIG)&gt;0)*1),"")))</f>
        <v/>
      </c>
    </row>
    <row r="518" spans="2:35" x14ac:dyDescent="0.2">
      <c r="B518" t="str">
        <f>IF(A518="","",IF(A518="[FÓRMULA MANUAL]","",IFERROR(AVERAGEIFS(nNOTA,nNIA,A518,nCUENTA,1,nASIG,"Lenguaje Musical"),"")))</f>
        <v/>
      </c>
      <c r="C518" t="str">
        <f>IF(A518="","",IF(A518="[FÓRMULA MANUAL]","",IFERROR(AVERAGEIFS(nNOTA,nNIA,A518,nCUENTA,1,nASIG,"Orquesta/Banda/Conjunto"),"")))</f>
        <v/>
      </c>
      <c r="D518" t="str">
        <f>IF(A518="","",IF(A518="[FÓRMULA MANUAL]","",IFERROR(AVERAGEIFS(nNOTA,nNIA,A518,nCUENTA,1,nASIG,"Conjunto"),"")))</f>
        <v/>
      </c>
      <c r="E518" t="str">
        <f>IF(A518="","",IF(A518="[FÓRMULA MANUAL]","",IFERROR(SUMPRODUCT((nNIA=A518)*(nCUENTA=1)*(COUNTIF(CONFIG_ASIGNATURAS!$B$7:$B$27,nASIG)&gt;0)*(nNOTA))/SUMPRODUCT((nNIA=A518)*(nCUENTA=1)*(COUNTIF(CONFIG_ASIGNATURAS!$B$7:$B$27,nASIG)&gt;0)*1),"")))</f>
        <v/>
      </c>
      <c r="H518" t="str">
        <f>IF(G518="","",IF(G518="[FÓRMULA MANUAL]","",IFERROR(AVERAGEIFS(nNOTA,nNIA,G518,nCUENTA,1,nASIG,"Lenguaje Musical"),"")))</f>
        <v/>
      </c>
      <c r="I518" t="str">
        <f>IF(G518="","",IF(G518="[FÓRMULA MANUAL]","",IFERROR(AVERAGEIFS(nNOTA,nNIA,G518,nCUENTA,1,nASIG,"Orquesta/Banda/Conjunto"),"")))</f>
        <v/>
      </c>
      <c r="J518" t="str">
        <f>IF(G518="","",IF(G518="[FÓRMULA MANUAL]","",IFERROR(AVERAGEIFS(nNOTA,nNIA,G518,nCUENTA,1,nASIG,"Conjunto"),"")))</f>
        <v/>
      </c>
      <c r="K518" t="str">
        <f>IF(G518="","",IF(G518="[FÓRMULA MANUAL]","",IFERROR(SUMPRODUCT((nNIA=G518)*(nCUENTA=1)*(COUNTIF(CONFIG_ASIGNATURAS!$B$7:$B$27,nASIG)&gt;0)*(nNOTA))/SUMPRODUCT((nNIA=G518)*(nCUENTA=1)*(COUNTIF(CONFIG_ASIGNATURAS!$B$7:$B$27,nASIG)&gt;0)*1),"")))</f>
        <v/>
      </c>
      <c r="N518" t="str">
        <f>IF(M518="","",IF(M518="[FÓRMULA MANUAL]","",IFERROR(AVERAGEIFS(nNOTA,nNIA,M518,nCUENTA,1,nASIG,"Armonía"),"")))</f>
        <v/>
      </c>
      <c r="O518" t="str">
        <f>IF(M518="","",IF(M518="[FÓRMULA MANUAL]","",IFERROR(AVERAGEIFS(nNOTA,nNIA,M518,nCUENTA,1,nASIG,"Orquesta/Banda/Conjunto"),"")))</f>
        <v/>
      </c>
      <c r="P518" t="str">
        <f>IF(M518="","",IF(M518="[FÓRMULA MANUAL]","",IFERROR(AVERAGEIFS(nNOTA,nNIA,M518,nCUENTA,1,nASIG,"Música de Cámara"),"")))</f>
        <v/>
      </c>
      <c r="Q518" t="str">
        <f>IF(M518="","",IF(M518="[FÓRMULA MANUAL]","",IFERROR(SUMPRODUCT((nNIA=M518)*(nCUENTA=1)*(COUNTIF(CONFIG_ASIGNATURAS!$B$7:$B$27,nASIG)&gt;0)*(nNOTA))/SUMPRODUCT((nNIA=M518)*(nCUENTA=1)*(COUNTIF(CONFIG_ASIGNATURAS!$B$7:$B$27,nASIG)&gt;0)*1),"")))</f>
        <v/>
      </c>
      <c r="T518" t="str">
        <f>IF(S518="","",IF(S518="[FÓRMULA MANUAL]","",IFERROR(AVERAGEIFS(nNOTA,nNIA,S518,nCUENTA,1,nASIG,"Armonía"),"")))</f>
        <v/>
      </c>
      <c r="U518" t="str">
        <f>IF(S518="","",IF(S518="[FÓRMULA MANUAL]","",IFERROR(AVERAGEIFS(nNOTA,nNIA,S518,nCUENTA,1,nASIG,"Orquesta/Banda/Conjunto"),"")))</f>
        <v/>
      </c>
      <c r="V518" t="str">
        <f>IF(S518="","",IF(S518="[FÓRMULA MANUAL]","",IFERROR(AVERAGEIFS(nNOTA,nNIA,S518,nCUENTA,1,nASIG,"Música de Cámara"),"")))</f>
        <v/>
      </c>
      <c r="W518" t="str">
        <f>IF(S518="","",IF(S518="[FÓRMULA MANUAL]","",IFERROR(SUMPRODUCT((nNIA=S518)*(nCUENTA=1)*(COUNTIF(CONFIG_ASIGNATURAS!$B$7:$B$27,nASIG)&gt;0)*(nNOTA))/SUMPRODUCT((nNIA=S518)*(nCUENTA=1)*(COUNTIF(CONFIG_ASIGNATURAS!$B$7:$B$27,nASIG)&gt;0)*1),"")))</f>
        <v/>
      </c>
      <c r="Z518" t="str">
        <f>IF(Y518="","",IF(Y518="[FÓRMULA MANUAL]","",IFERROR(AVERAGEIFS(nNOTA,nNIA,Y518,nCUENTA,1,nASIG,"Análisis"),"")))</f>
        <v/>
      </c>
      <c r="AA518" t="str">
        <f>IF(Y518="","",IF(Y518="[FÓRMULA MANUAL]","",IFERROR(AVERAGEIFS(nNOTA,nNIA,Y518,nCUENTA,1,nASIG,"Orquesta/Banda/Conjunto"),"")))</f>
        <v/>
      </c>
      <c r="AB518" t="str">
        <f>IF(Y518="","",IF(Y518="[FÓRMULA MANUAL]","",IFERROR(AVERAGEIFS(nNOTA,nNIA,Y518,nCUENTA,1,nASIG,"Música de Cámara"),"")))</f>
        <v/>
      </c>
      <c r="AC518" t="str">
        <f>IF(Y518="","",IF(Y518="[FÓRMULA MANUAL]","",IFERROR(SUMPRODUCT((nNIA=Y518)*(nCUENTA=1)*(COUNTIF(CONFIG_ASIGNATURAS!$B$7:$B$27,nASIG)&gt;0)*(nNOTA))/SUMPRODUCT((nNIA=Y518)*(nCUENTA=1)*(COUNTIF(CONFIG_ASIGNATURAS!$B$7:$B$27,nASIG)&gt;0)*1),"")))</f>
        <v/>
      </c>
      <c r="AF518" t="str">
        <f>IF(AE518="","",IF(AE518="[FÓRMULA MANUAL]","",IFERROR(AVERAGEIFS(nNOTA,nNIA,AE518,nCUENTA,1,nASIG,"Análisis"),"")))</f>
        <v/>
      </c>
      <c r="AG518" t="str">
        <f>IF(AE518="","",IF(AE518="[FÓRMULA MANUAL]","",IFERROR(AVERAGEIFS(nNOTA,nNIA,AE518,nCUENTA,1,nASIG,"Orquesta/Banda/Conjunto"),"")))</f>
        <v/>
      </c>
      <c r="AH518" t="str">
        <f>IF(AE518="","",IF(AE518="[FÓRMULA MANUAL]","",IFERROR(AVERAGEIFS(nNOTA,nNIA,AE518,nCUENTA,1,nASIG,"Música de Cámara"),"")))</f>
        <v/>
      </c>
      <c r="AI518" t="str">
        <f>IF(AE518="","",IF(AE518="[FÓRMULA MANUAL]","",IFERROR(SUMPRODUCT((nNIA=AE518)*(nCUENTA=1)*(COUNTIF(CONFIG_ASIGNATURAS!$B$7:$B$27,nASIG)&gt;0)*(nNOTA))/SUMPRODUCT((nNIA=AE518)*(nCUENTA=1)*(COUNTIF(CONFIG_ASIGNATURAS!$B$7:$B$27,nASIG)&gt;0)*1),"")))</f>
        <v/>
      </c>
    </row>
    <row r="519" spans="2:35" x14ac:dyDescent="0.2">
      <c r="B519" t="str">
        <f>IF(A519="","",IF(A519="[FÓRMULA MANUAL]","",IFERROR(AVERAGEIFS(nNOTA,nNIA,A519,nCUENTA,1,nASIG,"Lenguaje Musical"),"")))</f>
        <v/>
      </c>
      <c r="C519" t="str">
        <f>IF(A519="","",IF(A519="[FÓRMULA MANUAL]","",IFERROR(AVERAGEIFS(nNOTA,nNIA,A519,nCUENTA,1,nASIG,"Orquesta/Banda/Conjunto"),"")))</f>
        <v/>
      </c>
      <c r="D519" t="str">
        <f>IF(A519="","",IF(A519="[FÓRMULA MANUAL]","",IFERROR(AVERAGEIFS(nNOTA,nNIA,A519,nCUENTA,1,nASIG,"Conjunto"),"")))</f>
        <v/>
      </c>
      <c r="E519" t="str">
        <f>IF(A519="","",IF(A519="[FÓRMULA MANUAL]","",IFERROR(SUMPRODUCT((nNIA=A519)*(nCUENTA=1)*(COUNTIF(CONFIG_ASIGNATURAS!$B$7:$B$27,nASIG)&gt;0)*(nNOTA))/SUMPRODUCT((nNIA=A519)*(nCUENTA=1)*(COUNTIF(CONFIG_ASIGNATURAS!$B$7:$B$27,nASIG)&gt;0)*1),"")))</f>
        <v/>
      </c>
      <c r="H519" t="str">
        <f>IF(G519="","",IF(G519="[FÓRMULA MANUAL]","",IFERROR(AVERAGEIFS(nNOTA,nNIA,G519,nCUENTA,1,nASIG,"Lenguaje Musical"),"")))</f>
        <v/>
      </c>
      <c r="I519" t="str">
        <f>IF(G519="","",IF(G519="[FÓRMULA MANUAL]","",IFERROR(AVERAGEIFS(nNOTA,nNIA,G519,nCUENTA,1,nASIG,"Orquesta/Banda/Conjunto"),"")))</f>
        <v/>
      </c>
      <c r="J519" t="str">
        <f>IF(G519="","",IF(G519="[FÓRMULA MANUAL]","",IFERROR(AVERAGEIFS(nNOTA,nNIA,G519,nCUENTA,1,nASIG,"Conjunto"),"")))</f>
        <v/>
      </c>
      <c r="K519" t="str">
        <f>IF(G519="","",IF(G519="[FÓRMULA MANUAL]","",IFERROR(SUMPRODUCT((nNIA=G519)*(nCUENTA=1)*(COUNTIF(CONFIG_ASIGNATURAS!$B$7:$B$27,nASIG)&gt;0)*(nNOTA))/SUMPRODUCT((nNIA=G519)*(nCUENTA=1)*(COUNTIF(CONFIG_ASIGNATURAS!$B$7:$B$27,nASIG)&gt;0)*1),"")))</f>
        <v/>
      </c>
      <c r="N519" t="str">
        <f>IF(M519="","",IF(M519="[FÓRMULA MANUAL]","",IFERROR(AVERAGEIFS(nNOTA,nNIA,M519,nCUENTA,1,nASIG,"Armonía"),"")))</f>
        <v/>
      </c>
      <c r="O519" t="str">
        <f>IF(M519="","",IF(M519="[FÓRMULA MANUAL]","",IFERROR(AVERAGEIFS(nNOTA,nNIA,M519,nCUENTA,1,nASIG,"Orquesta/Banda/Conjunto"),"")))</f>
        <v/>
      </c>
      <c r="P519" t="str">
        <f>IF(M519="","",IF(M519="[FÓRMULA MANUAL]","",IFERROR(AVERAGEIFS(nNOTA,nNIA,M519,nCUENTA,1,nASIG,"Música de Cámara"),"")))</f>
        <v/>
      </c>
      <c r="Q519" t="str">
        <f>IF(M519="","",IF(M519="[FÓRMULA MANUAL]","",IFERROR(SUMPRODUCT((nNIA=M519)*(nCUENTA=1)*(COUNTIF(CONFIG_ASIGNATURAS!$B$7:$B$27,nASIG)&gt;0)*(nNOTA))/SUMPRODUCT((nNIA=M519)*(nCUENTA=1)*(COUNTIF(CONFIG_ASIGNATURAS!$B$7:$B$27,nASIG)&gt;0)*1),"")))</f>
        <v/>
      </c>
      <c r="T519" t="str">
        <f>IF(S519="","",IF(S519="[FÓRMULA MANUAL]","",IFERROR(AVERAGEIFS(nNOTA,nNIA,S519,nCUENTA,1,nASIG,"Armonía"),"")))</f>
        <v/>
      </c>
      <c r="U519" t="str">
        <f>IF(S519="","",IF(S519="[FÓRMULA MANUAL]","",IFERROR(AVERAGEIFS(nNOTA,nNIA,S519,nCUENTA,1,nASIG,"Orquesta/Banda/Conjunto"),"")))</f>
        <v/>
      </c>
      <c r="V519" t="str">
        <f>IF(S519="","",IF(S519="[FÓRMULA MANUAL]","",IFERROR(AVERAGEIFS(nNOTA,nNIA,S519,nCUENTA,1,nASIG,"Música de Cámara"),"")))</f>
        <v/>
      </c>
      <c r="W519" t="str">
        <f>IF(S519="","",IF(S519="[FÓRMULA MANUAL]","",IFERROR(SUMPRODUCT((nNIA=S519)*(nCUENTA=1)*(COUNTIF(CONFIG_ASIGNATURAS!$B$7:$B$27,nASIG)&gt;0)*(nNOTA))/SUMPRODUCT((nNIA=S519)*(nCUENTA=1)*(COUNTIF(CONFIG_ASIGNATURAS!$B$7:$B$27,nASIG)&gt;0)*1),"")))</f>
        <v/>
      </c>
      <c r="Z519" t="str">
        <f>IF(Y519="","",IF(Y519="[FÓRMULA MANUAL]","",IFERROR(AVERAGEIFS(nNOTA,nNIA,Y519,nCUENTA,1,nASIG,"Análisis"),"")))</f>
        <v/>
      </c>
      <c r="AA519" t="str">
        <f>IF(Y519="","",IF(Y519="[FÓRMULA MANUAL]","",IFERROR(AVERAGEIFS(nNOTA,nNIA,Y519,nCUENTA,1,nASIG,"Orquesta/Banda/Conjunto"),"")))</f>
        <v/>
      </c>
      <c r="AB519" t="str">
        <f>IF(Y519="","",IF(Y519="[FÓRMULA MANUAL]","",IFERROR(AVERAGEIFS(nNOTA,nNIA,Y519,nCUENTA,1,nASIG,"Música de Cámara"),"")))</f>
        <v/>
      </c>
      <c r="AC519" t="str">
        <f>IF(Y519="","",IF(Y519="[FÓRMULA MANUAL]","",IFERROR(SUMPRODUCT((nNIA=Y519)*(nCUENTA=1)*(COUNTIF(CONFIG_ASIGNATURAS!$B$7:$B$27,nASIG)&gt;0)*(nNOTA))/SUMPRODUCT((nNIA=Y519)*(nCUENTA=1)*(COUNTIF(CONFIG_ASIGNATURAS!$B$7:$B$27,nASIG)&gt;0)*1),"")))</f>
        <v/>
      </c>
      <c r="AF519" t="str">
        <f>IF(AE519="","",IF(AE519="[FÓRMULA MANUAL]","",IFERROR(AVERAGEIFS(nNOTA,nNIA,AE519,nCUENTA,1,nASIG,"Análisis"),"")))</f>
        <v/>
      </c>
      <c r="AG519" t="str">
        <f>IF(AE519="","",IF(AE519="[FÓRMULA MANUAL]","",IFERROR(AVERAGEIFS(nNOTA,nNIA,AE519,nCUENTA,1,nASIG,"Orquesta/Banda/Conjunto"),"")))</f>
        <v/>
      </c>
      <c r="AH519" t="str">
        <f>IF(AE519="","",IF(AE519="[FÓRMULA MANUAL]","",IFERROR(AVERAGEIFS(nNOTA,nNIA,AE519,nCUENTA,1,nASIG,"Música de Cámara"),"")))</f>
        <v/>
      </c>
      <c r="AI519" t="str">
        <f>IF(AE519="","",IF(AE519="[FÓRMULA MANUAL]","",IFERROR(SUMPRODUCT((nNIA=AE519)*(nCUENTA=1)*(COUNTIF(CONFIG_ASIGNATURAS!$B$7:$B$27,nASIG)&gt;0)*(nNOTA))/SUMPRODUCT((nNIA=AE519)*(nCUENTA=1)*(COUNTIF(CONFIG_ASIGNATURAS!$B$7:$B$27,nASIG)&gt;0)*1),"")))</f>
        <v/>
      </c>
    </row>
    <row r="520" spans="2:35" x14ac:dyDescent="0.2">
      <c r="B520" t="str">
        <f>IF(A520="","",IF(A520="[FÓRMULA MANUAL]","",IFERROR(AVERAGEIFS(nNOTA,nNIA,A520,nCUENTA,1,nASIG,"Lenguaje Musical"),"")))</f>
        <v/>
      </c>
      <c r="C520" t="str">
        <f>IF(A520="","",IF(A520="[FÓRMULA MANUAL]","",IFERROR(AVERAGEIFS(nNOTA,nNIA,A520,nCUENTA,1,nASIG,"Orquesta/Banda/Conjunto"),"")))</f>
        <v/>
      </c>
      <c r="D520" t="str">
        <f>IF(A520="","",IF(A520="[FÓRMULA MANUAL]","",IFERROR(AVERAGEIFS(nNOTA,nNIA,A520,nCUENTA,1,nASIG,"Conjunto"),"")))</f>
        <v/>
      </c>
      <c r="E520" t="str">
        <f>IF(A520="","",IF(A520="[FÓRMULA MANUAL]","",IFERROR(SUMPRODUCT((nNIA=A520)*(nCUENTA=1)*(COUNTIF(CONFIG_ASIGNATURAS!$B$7:$B$27,nASIG)&gt;0)*(nNOTA))/SUMPRODUCT((nNIA=A520)*(nCUENTA=1)*(COUNTIF(CONFIG_ASIGNATURAS!$B$7:$B$27,nASIG)&gt;0)*1),"")))</f>
        <v/>
      </c>
      <c r="H520" t="str">
        <f>IF(G520="","",IF(G520="[FÓRMULA MANUAL]","",IFERROR(AVERAGEIFS(nNOTA,nNIA,G520,nCUENTA,1,nASIG,"Lenguaje Musical"),"")))</f>
        <v/>
      </c>
      <c r="I520" t="str">
        <f>IF(G520="","",IF(G520="[FÓRMULA MANUAL]","",IFERROR(AVERAGEIFS(nNOTA,nNIA,G520,nCUENTA,1,nASIG,"Orquesta/Banda/Conjunto"),"")))</f>
        <v/>
      </c>
      <c r="J520" t="str">
        <f>IF(G520="","",IF(G520="[FÓRMULA MANUAL]","",IFERROR(AVERAGEIFS(nNOTA,nNIA,G520,nCUENTA,1,nASIG,"Conjunto"),"")))</f>
        <v/>
      </c>
      <c r="K520" t="str">
        <f>IF(G520="","",IF(G520="[FÓRMULA MANUAL]","",IFERROR(SUMPRODUCT((nNIA=G520)*(nCUENTA=1)*(COUNTIF(CONFIG_ASIGNATURAS!$B$7:$B$27,nASIG)&gt;0)*(nNOTA))/SUMPRODUCT((nNIA=G520)*(nCUENTA=1)*(COUNTIF(CONFIG_ASIGNATURAS!$B$7:$B$27,nASIG)&gt;0)*1),"")))</f>
        <v/>
      </c>
      <c r="N520" t="str">
        <f>IF(M520="","",IF(M520="[FÓRMULA MANUAL]","",IFERROR(AVERAGEIFS(nNOTA,nNIA,M520,nCUENTA,1,nASIG,"Armonía"),"")))</f>
        <v/>
      </c>
      <c r="O520" t="str">
        <f>IF(M520="","",IF(M520="[FÓRMULA MANUAL]","",IFERROR(AVERAGEIFS(nNOTA,nNIA,M520,nCUENTA,1,nASIG,"Orquesta/Banda/Conjunto"),"")))</f>
        <v/>
      </c>
      <c r="P520" t="str">
        <f>IF(M520="","",IF(M520="[FÓRMULA MANUAL]","",IFERROR(AVERAGEIFS(nNOTA,nNIA,M520,nCUENTA,1,nASIG,"Música de Cámara"),"")))</f>
        <v/>
      </c>
      <c r="Q520" t="str">
        <f>IF(M520="","",IF(M520="[FÓRMULA MANUAL]","",IFERROR(SUMPRODUCT((nNIA=M520)*(nCUENTA=1)*(COUNTIF(CONFIG_ASIGNATURAS!$B$7:$B$27,nASIG)&gt;0)*(nNOTA))/SUMPRODUCT((nNIA=M520)*(nCUENTA=1)*(COUNTIF(CONFIG_ASIGNATURAS!$B$7:$B$27,nASIG)&gt;0)*1),"")))</f>
        <v/>
      </c>
      <c r="T520" t="str">
        <f>IF(S520="","",IF(S520="[FÓRMULA MANUAL]","",IFERROR(AVERAGEIFS(nNOTA,nNIA,S520,nCUENTA,1,nASIG,"Armonía"),"")))</f>
        <v/>
      </c>
      <c r="U520" t="str">
        <f>IF(S520="","",IF(S520="[FÓRMULA MANUAL]","",IFERROR(AVERAGEIFS(nNOTA,nNIA,S520,nCUENTA,1,nASIG,"Orquesta/Banda/Conjunto"),"")))</f>
        <v/>
      </c>
      <c r="V520" t="str">
        <f>IF(S520="","",IF(S520="[FÓRMULA MANUAL]","",IFERROR(AVERAGEIFS(nNOTA,nNIA,S520,nCUENTA,1,nASIG,"Música de Cámara"),"")))</f>
        <v/>
      </c>
      <c r="W520" t="str">
        <f>IF(S520="","",IF(S520="[FÓRMULA MANUAL]","",IFERROR(SUMPRODUCT((nNIA=S520)*(nCUENTA=1)*(COUNTIF(CONFIG_ASIGNATURAS!$B$7:$B$27,nASIG)&gt;0)*(nNOTA))/SUMPRODUCT((nNIA=S520)*(nCUENTA=1)*(COUNTIF(CONFIG_ASIGNATURAS!$B$7:$B$27,nASIG)&gt;0)*1),"")))</f>
        <v/>
      </c>
      <c r="Z520" t="str">
        <f>IF(Y520="","",IF(Y520="[FÓRMULA MANUAL]","",IFERROR(AVERAGEIFS(nNOTA,nNIA,Y520,nCUENTA,1,nASIG,"Análisis"),"")))</f>
        <v/>
      </c>
      <c r="AA520" t="str">
        <f>IF(Y520="","",IF(Y520="[FÓRMULA MANUAL]","",IFERROR(AVERAGEIFS(nNOTA,nNIA,Y520,nCUENTA,1,nASIG,"Orquesta/Banda/Conjunto"),"")))</f>
        <v/>
      </c>
      <c r="AB520" t="str">
        <f>IF(Y520="","",IF(Y520="[FÓRMULA MANUAL]","",IFERROR(AVERAGEIFS(nNOTA,nNIA,Y520,nCUENTA,1,nASIG,"Música de Cámara"),"")))</f>
        <v/>
      </c>
      <c r="AC520" t="str">
        <f>IF(Y520="","",IF(Y520="[FÓRMULA MANUAL]","",IFERROR(SUMPRODUCT((nNIA=Y520)*(nCUENTA=1)*(COUNTIF(CONFIG_ASIGNATURAS!$B$7:$B$27,nASIG)&gt;0)*(nNOTA))/SUMPRODUCT((nNIA=Y520)*(nCUENTA=1)*(COUNTIF(CONFIG_ASIGNATURAS!$B$7:$B$27,nASIG)&gt;0)*1),"")))</f>
        <v/>
      </c>
      <c r="AF520" t="str">
        <f>IF(AE520="","",IF(AE520="[FÓRMULA MANUAL]","",IFERROR(AVERAGEIFS(nNOTA,nNIA,AE520,nCUENTA,1,nASIG,"Análisis"),"")))</f>
        <v/>
      </c>
      <c r="AG520" t="str">
        <f>IF(AE520="","",IF(AE520="[FÓRMULA MANUAL]","",IFERROR(AVERAGEIFS(nNOTA,nNIA,AE520,nCUENTA,1,nASIG,"Orquesta/Banda/Conjunto"),"")))</f>
        <v/>
      </c>
      <c r="AH520" t="str">
        <f>IF(AE520="","",IF(AE520="[FÓRMULA MANUAL]","",IFERROR(AVERAGEIFS(nNOTA,nNIA,AE520,nCUENTA,1,nASIG,"Música de Cámara"),"")))</f>
        <v/>
      </c>
      <c r="AI520" t="str">
        <f>IF(AE520="","",IF(AE520="[FÓRMULA MANUAL]","",IFERROR(SUMPRODUCT((nNIA=AE520)*(nCUENTA=1)*(COUNTIF(CONFIG_ASIGNATURAS!$B$7:$B$27,nASIG)&gt;0)*(nNOTA))/SUMPRODUCT((nNIA=AE520)*(nCUENTA=1)*(COUNTIF(CONFIG_ASIGNATURAS!$B$7:$B$27,nASIG)&gt;0)*1),"")))</f>
        <v/>
      </c>
    </row>
    <row r="521" spans="2:35" x14ac:dyDescent="0.2">
      <c r="B521" t="str">
        <f>IF(A521="","",IF(A521="[FÓRMULA MANUAL]","",IFERROR(AVERAGEIFS(nNOTA,nNIA,A521,nCUENTA,1,nASIG,"Lenguaje Musical"),"")))</f>
        <v/>
      </c>
      <c r="C521" t="str">
        <f>IF(A521="","",IF(A521="[FÓRMULA MANUAL]","",IFERROR(AVERAGEIFS(nNOTA,nNIA,A521,nCUENTA,1,nASIG,"Orquesta/Banda/Conjunto"),"")))</f>
        <v/>
      </c>
      <c r="D521" t="str">
        <f>IF(A521="","",IF(A521="[FÓRMULA MANUAL]","",IFERROR(AVERAGEIFS(nNOTA,nNIA,A521,nCUENTA,1,nASIG,"Conjunto"),"")))</f>
        <v/>
      </c>
      <c r="E521" t="str">
        <f>IF(A521="","",IF(A521="[FÓRMULA MANUAL]","",IFERROR(SUMPRODUCT((nNIA=A521)*(nCUENTA=1)*(COUNTIF(CONFIG_ASIGNATURAS!$B$7:$B$27,nASIG)&gt;0)*(nNOTA))/SUMPRODUCT((nNIA=A521)*(nCUENTA=1)*(COUNTIF(CONFIG_ASIGNATURAS!$B$7:$B$27,nASIG)&gt;0)*1),"")))</f>
        <v/>
      </c>
      <c r="H521" t="str">
        <f>IF(G521="","",IF(G521="[FÓRMULA MANUAL]","",IFERROR(AVERAGEIFS(nNOTA,nNIA,G521,nCUENTA,1,nASIG,"Lenguaje Musical"),"")))</f>
        <v/>
      </c>
      <c r="I521" t="str">
        <f>IF(G521="","",IF(G521="[FÓRMULA MANUAL]","",IFERROR(AVERAGEIFS(nNOTA,nNIA,G521,nCUENTA,1,nASIG,"Orquesta/Banda/Conjunto"),"")))</f>
        <v/>
      </c>
      <c r="J521" t="str">
        <f>IF(G521="","",IF(G521="[FÓRMULA MANUAL]","",IFERROR(AVERAGEIFS(nNOTA,nNIA,G521,nCUENTA,1,nASIG,"Conjunto"),"")))</f>
        <v/>
      </c>
      <c r="K521" t="str">
        <f>IF(G521="","",IF(G521="[FÓRMULA MANUAL]","",IFERROR(SUMPRODUCT((nNIA=G521)*(nCUENTA=1)*(COUNTIF(CONFIG_ASIGNATURAS!$B$7:$B$27,nASIG)&gt;0)*(nNOTA))/SUMPRODUCT((nNIA=G521)*(nCUENTA=1)*(COUNTIF(CONFIG_ASIGNATURAS!$B$7:$B$27,nASIG)&gt;0)*1),"")))</f>
        <v/>
      </c>
      <c r="N521" t="str">
        <f>IF(M521="","",IF(M521="[FÓRMULA MANUAL]","",IFERROR(AVERAGEIFS(nNOTA,nNIA,M521,nCUENTA,1,nASIG,"Armonía"),"")))</f>
        <v/>
      </c>
      <c r="O521" t="str">
        <f>IF(M521="","",IF(M521="[FÓRMULA MANUAL]","",IFERROR(AVERAGEIFS(nNOTA,nNIA,M521,nCUENTA,1,nASIG,"Orquesta/Banda/Conjunto"),"")))</f>
        <v/>
      </c>
      <c r="P521" t="str">
        <f>IF(M521="","",IF(M521="[FÓRMULA MANUAL]","",IFERROR(AVERAGEIFS(nNOTA,nNIA,M521,nCUENTA,1,nASIG,"Música de Cámara"),"")))</f>
        <v/>
      </c>
      <c r="Q521" t="str">
        <f>IF(M521="","",IF(M521="[FÓRMULA MANUAL]","",IFERROR(SUMPRODUCT((nNIA=M521)*(nCUENTA=1)*(COUNTIF(CONFIG_ASIGNATURAS!$B$7:$B$27,nASIG)&gt;0)*(nNOTA))/SUMPRODUCT((nNIA=M521)*(nCUENTA=1)*(COUNTIF(CONFIG_ASIGNATURAS!$B$7:$B$27,nASIG)&gt;0)*1),"")))</f>
        <v/>
      </c>
      <c r="T521" t="str">
        <f>IF(S521="","",IF(S521="[FÓRMULA MANUAL]","",IFERROR(AVERAGEIFS(nNOTA,nNIA,S521,nCUENTA,1,nASIG,"Armonía"),"")))</f>
        <v/>
      </c>
      <c r="U521" t="str">
        <f>IF(S521="","",IF(S521="[FÓRMULA MANUAL]","",IFERROR(AVERAGEIFS(nNOTA,nNIA,S521,nCUENTA,1,nASIG,"Orquesta/Banda/Conjunto"),"")))</f>
        <v/>
      </c>
      <c r="V521" t="str">
        <f>IF(S521="","",IF(S521="[FÓRMULA MANUAL]","",IFERROR(AVERAGEIFS(nNOTA,nNIA,S521,nCUENTA,1,nASIG,"Música de Cámara"),"")))</f>
        <v/>
      </c>
      <c r="W521" t="str">
        <f>IF(S521="","",IF(S521="[FÓRMULA MANUAL]","",IFERROR(SUMPRODUCT((nNIA=S521)*(nCUENTA=1)*(COUNTIF(CONFIG_ASIGNATURAS!$B$7:$B$27,nASIG)&gt;0)*(nNOTA))/SUMPRODUCT((nNIA=S521)*(nCUENTA=1)*(COUNTIF(CONFIG_ASIGNATURAS!$B$7:$B$27,nASIG)&gt;0)*1),"")))</f>
        <v/>
      </c>
      <c r="Z521" t="str">
        <f>IF(Y521="","",IF(Y521="[FÓRMULA MANUAL]","",IFERROR(AVERAGEIFS(nNOTA,nNIA,Y521,nCUENTA,1,nASIG,"Análisis"),"")))</f>
        <v/>
      </c>
      <c r="AA521" t="str">
        <f>IF(Y521="","",IF(Y521="[FÓRMULA MANUAL]","",IFERROR(AVERAGEIFS(nNOTA,nNIA,Y521,nCUENTA,1,nASIG,"Orquesta/Banda/Conjunto"),"")))</f>
        <v/>
      </c>
      <c r="AB521" t="str">
        <f>IF(Y521="","",IF(Y521="[FÓRMULA MANUAL]","",IFERROR(AVERAGEIFS(nNOTA,nNIA,Y521,nCUENTA,1,nASIG,"Música de Cámara"),"")))</f>
        <v/>
      </c>
      <c r="AC521" t="str">
        <f>IF(Y521="","",IF(Y521="[FÓRMULA MANUAL]","",IFERROR(SUMPRODUCT((nNIA=Y521)*(nCUENTA=1)*(COUNTIF(CONFIG_ASIGNATURAS!$B$7:$B$27,nASIG)&gt;0)*(nNOTA))/SUMPRODUCT((nNIA=Y521)*(nCUENTA=1)*(COUNTIF(CONFIG_ASIGNATURAS!$B$7:$B$27,nASIG)&gt;0)*1),"")))</f>
        <v/>
      </c>
      <c r="AF521" t="str">
        <f>IF(AE521="","",IF(AE521="[FÓRMULA MANUAL]","",IFERROR(AVERAGEIFS(nNOTA,nNIA,AE521,nCUENTA,1,nASIG,"Análisis"),"")))</f>
        <v/>
      </c>
      <c r="AG521" t="str">
        <f>IF(AE521="","",IF(AE521="[FÓRMULA MANUAL]","",IFERROR(AVERAGEIFS(nNOTA,nNIA,AE521,nCUENTA,1,nASIG,"Orquesta/Banda/Conjunto"),"")))</f>
        <v/>
      </c>
      <c r="AH521" t="str">
        <f>IF(AE521="","",IF(AE521="[FÓRMULA MANUAL]","",IFERROR(AVERAGEIFS(nNOTA,nNIA,AE521,nCUENTA,1,nASIG,"Música de Cámara"),"")))</f>
        <v/>
      </c>
      <c r="AI521" t="str">
        <f>IF(AE521="","",IF(AE521="[FÓRMULA MANUAL]","",IFERROR(SUMPRODUCT((nNIA=AE521)*(nCUENTA=1)*(COUNTIF(CONFIG_ASIGNATURAS!$B$7:$B$27,nASIG)&gt;0)*(nNOTA))/SUMPRODUCT((nNIA=AE521)*(nCUENTA=1)*(COUNTIF(CONFIG_ASIGNATURAS!$B$7:$B$27,nASIG)&gt;0)*1),"")))</f>
        <v/>
      </c>
    </row>
    <row r="522" spans="2:35" x14ac:dyDescent="0.2">
      <c r="B522" t="str">
        <f>IF(A522="","",IF(A522="[FÓRMULA MANUAL]","",IFERROR(AVERAGEIFS(nNOTA,nNIA,A522,nCUENTA,1,nASIG,"Lenguaje Musical"),"")))</f>
        <v/>
      </c>
      <c r="C522" t="str">
        <f>IF(A522="","",IF(A522="[FÓRMULA MANUAL]","",IFERROR(AVERAGEIFS(nNOTA,nNIA,A522,nCUENTA,1,nASIG,"Orquesta/Banda/Conjunto"),"")))</f>
        <v/>
      </c>
      <c r="D522" t="str">
        <f>IF(A522="","",IF(A522="[FÓRMULA MANUAL]","",IFERROR(AVERAGEIFS(nNOTA,nNIA,A522,nCUENTA,1,nASIG,"Conjunto"),"")))</f>
        <v/>
      </c>
      <c r="E522" t="str">
        <f>IF(A522="","",IF(A522="[FÓRMULA MANUAL]","",IFERROR(SUMPRODUCT((nNIA=A522)*(nCUENTA=1)*(COUNTIF(CONFIG_ASIGNATURAS!$B$7:$B$27,nASIG)&gt;0)*(nNOTA))/SUMPRODUCT((nNIA=A522)*(nCUENTA=1)*(COUNTIF(CONFIG_ASIGNATURAS!$B$7:$B$27,nASIG)&gt;0)*1),"")))</f>
        <v/>
      </c>
      <c r="H522" t="str">
        <f>IF(G522="","",IF(G522="[FÓRMULA MANUAL]","",IFERROR(AVERAGEIFS(nNOTA,nNIA,G522,nCUENTA,1,nASIG,"Lenguaje Musical"),"")))</f>
        <v/>
      </c>
      <c r="I522" t="str">
        <f>IF(G522="","",IF(G522="[FÓRMULA MANUAL]","",IFERROR(AVERAGEIFS(nNOTA,nNIA,G522,nCUENTA,1,nASIG,"Orquesta/Banda/Conjunto"),"")))</f>
        <v/>
      </c>
      <c r="J522" t="str">
        <f>IF(G522="","",IF(G522="[FÓRMULA MANUAL]","",IFERROR(AVERAGEIFS(nNOTA,nNIA,G522,nCUENTA,1,nASIG,"Conjunto"),"")))</f>
        <v/>
      </c>
      <c r="K522" t="str">
        <f>IF(G522="","",IF(G522="[FÓRMULA MANUAL]","",IFERROR(SUMPRODUCT((nNIA=G522)*(nCUENTA=1)*(COUNTIF(CONFIG_ASIGNATURAS!$B$7:$B$27,nASIG)&gt;0)*(nNOTA))/SUMPRODUCT((nNIA=G522)*(nCUENTA=1)*(COUNTIF(CONFIG_ASIGNATURAS!$B$7:$B$27,nASIG)&gt;0)*1),"")))</f>
        <v/>
      </c>
      <c r="N522" t="str">
        <f>IF(M522="","",IF(M522="[FÓRMULA MANUAL]","",IFERROR(AVERAGEIFS(nNOTA,nNIA,M522,nCUENTA,1,nASIG,"Armonía"),"")))</f>
        <v/>
      </c>
      <c r="O522" t="str">
        <f>IF(M522="","",IF(M522="[FÓRMULA MANUAL]","",IFERROR(AVERAGEIFS(nNOTA,nNIA,M522,nCUENTA,1,nASIG,"Orquesta/Banda/Conjunto"),"")))</f>
        <v/>
      </c>
      <c r="P522" t="str">
        <f>IF(M522="","",IF(M522="[FÓRMULA MANUAL]","",IFERROR(AVERAGEIFS(nNOTA,nNIA,M522,nCUENTA,1,nASIG,"Música de Cámara"),"")))</f>
        <v/>
      </c>
      <c r="Q522" t="str">
        <f>IF(M522="","",IF(M522="[FÓRMULA MANUAL]","",IFERROR(SUMPRODUCT((nNIA=M522)*(nCUENTA=1)*(COUNTIF(CONFIG_ASIGNATURAS!$B$7:$B$27,nASIG)&gt;0)*(nNOTA))/SUMPRODUCT((nNIA=M522)*(nCUENTA=1)*(COUNTIF(CONFIG_ASIGNATURAS!$B$7:$B$27,nASIG)&gt;0)*1),"")))</f>
        <v/>
      </c>
      <c r="T522" t="str">
        <f>IF(S522="","",IF(S522="[FÓRMULA MANUAL]","",IFERROR(AVERAGEIFS(nNOTA,nNIA,S522,nCUENTA,1,nASIG,"Armonía"),"")))</f>
        <v/>
      </c>
      <c r="U522" t="str">
        <f>IF(S522="","",IF(S522="[FÓRMULA MANUAL]","",IFERROR(AVERAGEIFS(nNOTA,nNIA,S522,nCUENTA,1,nASIG,"Orquesta/Banda/Conjunto"),"")))</f>
        <v/>
      </c>
      <c r="V522" t="str">
        <f>IF(S522="","",IF(S522="[FÓRMULA MANUAL]","",IFERROR(AVERAGEIFS(nNOTA,nNIA,S522,nCUENTA,1,nASIG,"Música de Cámara"),"")))</f>
        <v/>
      </c>
      <c r="W522" t="str">
        <f>IF(S522="","",IF(S522="[FÓRMULA MANUAL]","",IFERROR(SUMPRODUCT((nNIA=S522)*(nCUENTA=1)*(COUNTIF(CONFIG_ASIGNATURAS!$B$7:$B$27,nASIG)&gt;0)*(nNOTA))/SUMPRODUCT((nNIA=S522)*(nCUENTA=1)*(COUNTIF(CONFIG_ASIGNATURAS!$B$7:$B$27,nASIG)&gt;0)*1),"")))</f>
        <v/>
      </c>
      <c r="Z522" t="str">
        <f>IF(Y522="","",IF(Y522="[FÓRMULA MANUAL]","",IFERROR(AVERAGEIFS(nNOTA,nNIA,Y522,nCUENTA,1,nASIG,"Análisis"),"")))</f>
        <v/>
      </c>
      <c r="AA522" t="str">
        <f>IF(Y522="","",IF(Y522="[FÓRMULA MANUAL]","",IFERROR(AVERAGEIFS(nNOTA,nNIA,Y522,nCUENTA,1,nASIG,"Orquesta/Banda/Conjunto"),"")))</f>
        <v/>
      </c>
      <c r="AB522" t="str">
        <f>IF(Y522="","",IF(Y522="[FÓRMULA MANUAL]","",IFERROR(AVERAGEIFS(nNOTA,nNIA,Y522,nCUENTA,1,nASIG,"Música de Cámara"),"")))</f>
        <v/>
      </c>
      <c r="AC522" t="str">
        <f>IF(Y522="","",IF(Y522="[FÓRMULA MANUAL]","",IFERROR(SUMPRODUCT((nNIA=Y522)*(nCUENTA=1)*(COUNTIF(CONFIG_ASIGNATURAS!$B$7:$B$27,nASIG)&gt;0)*(nNOTA))/SUMPRODUCT((nNIA=Y522)*(nCUENTA=1)*(COUNTIF(CONFIG_ASIGNATURAS!$B$7:$B$27,nASIG)&gt;0)*1),"")))</f>
        <v/>
      </c>
      <c r="AF522" t="str">
        <f>IF(AE522="","",IF(AE522="[FÓRMULA MANUAL]","",IFERROR(AVERAGEIFS(nNOTA,nNIA,AE522,nCUENTA,1,nASIG,"Análisis"),"")))</f>
        <v/>
      </c>
      <c r="AG522" t="str">
        <f>IF(AE522="","",IF(AE522="[FÓRMULA MANUAL]","",IFERROR(AVERAGEIFS(nNOTA,nNIA,AE522,nCUENTA,1,nASIG,"Orquesta/Banda/Conjunto"),"")))</f>
        <v/>
      </c>
      <c r="AH522" t="str">
        <f>IF(AE522="","",IF(AE522="[FÓRMULA MANUAL]","",IFERROR(AVERAGEIFS(nNOTA,nNIA,AE522,nCUENTA,1,nASIG,"Música de Cámara"),"")))</f>
        <v/>
      </c>
      <c r="AI522" t="str">
        <f>IF(AE522="","",IF(AE522="[FÓRMULA MANUAL]","",IFERROR(SUMPRODUCT((nNIA=AE522)*(nCUENTA=1)*(COUNTIF(CONFIG_ASIGNATURAS!$B$7:$B$27,nASIG)&gt;0)*(nNOTA))/SUMPRODUCT((nNIA=AE522)*(nCUENTA=1)*(COUNTIF(CONFIG_ASIGNATURAS!$B$7:$B$27,nASIG)&gt;0)*1),"")))</f>
        <v/>
      </c>
    </row>
    <row r="523" spans="2:35" x14ac:dyDescent="0.2">
      <c r="B523" t="str">
        <f>IF(A523="","",IF(A523="[FÓRMULA MANUAL]","",IFERROR(AVERAGEIFS(nNOTA,nNIA,A523,nCUENTA,1,nASIG,"Lenguaje Musical"),"")))</f>
        <v/>
      </c>
      <c r="C523" t="str">
        <f>IF(A523="","",IF(A523="[FÓRMULA MANUAL]","",IFERROR(AVERAGEIFS(nNOTA,nNIA,A523,nCUENTA,1,nASIG,"Orquesta/Banda/Conjunto"),"")))</f>
        <v/>
      </c>
      <c r="D523" t="str">
        <f>IF(A523="","",IF(A523="[FÓRMULA MANUAL]","",IFERROR(AVERAGEIFS(nNOTA,nNIA,A523,nCUENTA,1,nASIG,"Conjunto"),"")))</f>
        <v/>
      </c>
      <c r="E523" t="str">
        <f>IF(A523="","",IF(A523="[FÓRMULA MANUAL]","",IFERROR(SUMPRODUCT((nNIA=A523)*(nCUENTA=1)*(COUNTIF(CONFIG_ASIGNATURAS!$B$7:$B$27,nASIG)&gt;0)*(nNOTA))/SUMPRODUCT((nNIA=A523)*(nCUENTA=1)*(COUNTIF(CONFIG_ASIGNATURAS!$B$7:$B$27,nASIG)&gt;0)*1),"")))</f>
        <v/>
      </c>
      <c r="H523" t="str">
        <f>IF(G523="","",IF(G523="[FÓRMULA MANUAL]","",IFERROR(AVERAGEIFS(nNOTA,nNIA,G523,nCUENTA,1,nASIG,"Lenguaje Musical"),"")))</f>
        <v/>
      </c>
      <c r="I523" t="str">
        <f>IF(G523="","",IF(G523="[FÓRMULA MANUAL]","",IFERROR(AVERAGEIFS(nNOTA,nNIA,G523,nCUENTA,1,nASIG,"Orquesta/Banda/Conjunto"),"")))</f>
        <v/>
      </c>
      <c r="J523" t="str">
        <f>IF(G523="","",IF(G523="[FÓRMULA MANUAL]","",IFERROR(AVERAGEIFS(nNOTA,nNIA,G523,nCUENTA,1,nASIG,"Conjunto"),"")))</f>
        <v/>
      </c>
      <c r="K523" t="str">
        <f>IF(G523="","",IF(G523="[FÓRMULA MANUAL]","",IFERROR(SUMPRODUCT((nNIA=G523)*(nCUENTA=1)*(COUNTIF(CONFIG_ASIGNATURAS!$B$7:$B$27,nASIG)&gt;0)*(nNOTA))/SUMPRODUCT((nNIA=G523)*(nCUENTA=1)*(COUNTIF(CONFIG_ASIGNATURAS!$B$7:$B$27,nASIG)&gt;0)*1),"")))</f>
        <v/>
      </c>
      <c r="N523" t="str">
        <f>IF(M523="","",IF(M523="[FÓRMULA MANUAL]","",IFERROR(AVERAGEIFS(nNOTA,nNIA,M523,nCUENTA,1,nASIG,"Armonía"),"")))</f>
        <v/>
      </c>
      <c r="O523" t="str">
        <f>IF(M523="","",IF(M523="[FÓRMULA MANUAL]","",IFERROR(AVERAGEIFS(nNOTA,nNIA,M523,nCUENTA,1,nASIG,"Orquesta/Banda/Conjunto"),"")))</f>
        <v/>
      </c>
      <c r="P523" t="str">
        <f>IF(M523="","",IF(M523="[FÓRMULA MANUAL]","",IFERROR(AVERAGEIFS(nNOTA,nNIA,M523,nCUENTA,1,nASIG,"Música de Cámara"),"")))</f>
        <v/>
      </c>
      <c r="Q523" t="str">
        <f>IF(M523="","",IF(M523="[FÓRMULA MANUAL]","",IFERROR(SUMPRODUCT((nNIA=M523)*(nCUENTA=1)*(COUNTIF(CONFIG_ASIGNATURAS!$B$7:$B$27,nASIG)&gt;0)*(nNOTA))/SUMPRODUCT((nNIA=M523)*(nCUENTA=1)*(COUNTIF(CONFIG_ASIGNATURAS!$B$7:$B$27,nASIG)&gt;0)*1),"")))</f>
        <v/>
      </c>
      <c r="T523" t="str">
        <f>IF(S523="","",IF(S523="[FÓRMULA MANUAL]","",IFERROR(AVERAGEIFS(nNOTA,nNIA,S523,nCUENTA,1,nASIG,"Armonía"),"")))</f>
        <v/>
      </c>
      <c r="U523" t="str">
        <f>IF(S523="","",IF(S523="[FÓRMULA MANUAL]","",IFERROR(AVERAGEIFS(nNOTA,nNIA,S523,nCUENTA,1,nASIG,"Orquesta/Banda/Conjunto"),"")))</f>
        <v/>
      </c>
      <c r="V523" t="str">
        <f>IF(S523="","",IF(S523="[FÓRMULA MANUAL]","",IFERROR(AVERAGEIFS(nNOTA,nNIA,S523,nCUENTA,1,nASIG,"Música de Cámara"),"")))</f>
        <v/>
      </c>
      <c r="W523" t="str">
        <f>IF(S523="","",IF(S523="[FÓRMULA MANUAL]","",IFERROR(SUMPRODUCT((nNIA=S523)*(nCUENTA=1)*(COUNTIF(CONFIG_ASIGNATURAS!$B$7:$B$27,nASIG)&gt;0)*(nNOTA))/SUMPRODUCT((nNIA=S523)*(nCUENTA=1)*(COUNTIF(CONFIG_ASIGNATURAS!$B$7:$B$27,nASIG)&gt;0)*1),"")))</f>
        <v/>
      </c>
      <c r="Z523" t="str">
        <f>IF(Y523="","",IF(Y523="[FÓRMULA MANUAL]","",IFERROR(AVERAGEIFS(nNOTA,nNIA,Y523,nCUENTA,1,nASIG,"Análisis"),"")))</f>
        <v/>
      </c>
      <c r="AA523" t="str">
        <f>IF(Y523="","",IF(Y523="[FÓRMULA MANUAL]","",IFERROR(AVERAGEIFS(nNOTA,nNIA,Y523,nCUENTA,1,nASIG,"Orquesta/Banda/Conjunto"),"")))</f>
        <v/>
      </c>
      <c r="AB523" t="str">
        <f>IF(Y523="","",IF(Y523="[FÓRMULA MANUAL]","",IFERROR(AVERAGEIFS(nNOTA,nNIA,Y523,nCUENTA,1,nASIG,"Música de Cámara"),"")))</f>
        <v/>
      </c>
      <c r="AC523" t="str">
        <f>IF(Y523="","",IF(Y523="[FÓRMULA MANUAL]","",IFERROR(SUMPRODUCT((nNIA=Y523)*(nCUENTA=1)*(COUNTIF(CONFIG_ASIGNATURAS!$B$7:$B$27,nASIG)&gt;0)*(nNOTA))/SUMPRODUCT((nNIA=Y523)*(nCUENTA=1)*(COUNTIF(CONFIG_ASIGNATURAS!$B$7:$B$27,nASIG)&gt;0)*1),"")))</f>
        <v/>
      </c>
      <c r="AF523" t="str">
        <f>IF(AE523="","",IF(AE523="[FÓRMULA MANUAL]","",IFERROR(AVERAGEIFS(nNOTA,nNIA,AE523,nCUENTA,1,nASIG,"Análisis"),"")))</f>
        <v/>
      </c>
      <c r="AG523" t="str">
        <f>IF(AE523="","",IF(AE523="[FÓRMULA MANUAL]","",IFERROR(AVERAGEIFS(nNOTA,nNIA,AE523,nCUENTA,1,nASIG,"Orquesta/Banda/Conjunto"),"")))</f>
        <v/>
      </c>
      <c r="AH523" t="str">
        <f>IF(AE523="","",IF(AE523="[FÓRMULA MANUAL]","",IFERROR(AVERAGEIFS(nNOTA,nNIA,AE523,nCUENTA,1,nASIG,"Música de Cámara"),"")))</f>
        <v/>
      </c>
      <c r="AI523" t="str">
        <f>IF(AE523="","",IF(AE523="[FÓRMULA MANUAL]","",IFERROR(SUMPRODUCT((nNIA=AE523)*(nCUENTA=1)*(COUNTIF(CONFIG_ASIGNATURAS!$B$7:$B$27,nASIG)&gt;0)*(nNOTA))/SUMPRODUCT((nNIA=AE523)*(nCUENTA=1)*(COUNTIF(CONFIG_ASIGNATURAS!$B$7:$B$27,nASIG)&gt;0)*1),"")))</f>
        <v/>
      </c>
    </row>
    <row r="524" spans="2:35" x14ac:dyDescent="0.2">
      <c r="B524" t="str">
        <f>IF(A524="","",IF(A524="[FÓRMULA MANUAL]","",IFERROR(AVERAGEIFS(nNOTA,nNIA,A524,nCUENTA,1,nASIG,"Lenguaje Musical"),"")))</f>
        <v/>
      </c>
      <c r="C524" t="str">
        <f>IF(A524="","",IF(A524="[FÓRMULA MANUAL]","",IFERROR(AVERAGEIFS(nNOTA,nNIA,A524,nCUENTA,1,nASIG,"Orquesta/Banda/Conjunto"),"")))</f>
        <v/>
      </c>
      <c r="D524" t="str">
        <f>IF(A524="","",IF(A524="[FÓRMULA MANUAL]","",IFERROR(AVERAGEIFS(nNOTA,nNIA,A524,nCUENTA,1,nASIG,"Conjunto"),"")))</f>
        <v/>
      </c>
      <c r="E524" t="str">
        <f>IF(A524="","",IF(A524="[FÓRMULA MANUAL]","",IFERROR(SUMPRODUCT((nNIA=A524)*(nCUENTA=1)*(COUNTIF(CONFIG_ASIGNATURAS!$B$7:$B$27,nASIG)&gt;0)*(nNOTA))/SUMPRODUCT((nNIA=A524)*(nCUENTA=1)*(COUNTIF(CONFIG_ASIGNATURAS!$B$7:$B$27,nASIG)&gt;0)*1),"")))</f>
        <v/>
      </c>
      <c r="H524" t="str">
        <f>IF(G524="","",IF(G524="[FÓRMULA MANUAL]","",IFERROR(AVERAGEIFS(nNOTA,nNIA,G524,nCUENTA,1,nASIG,"Lenguaje Musical"),"")))</f>
        <v/>
      </c>
      <c r="I524" t="str">
        <f>IF(G524="","",IF(G524="[FÓRMULA MANUAL]","",IFERROR(AVERAGEIFS(nNOTA,nNIA,G524,nCUENTA,1,nASIG,"Orquesta/Banda/Conjunto"),"")))</f>
        <v/>
      </c>
      <c r="J524" t="str">
        <f>IF(G524="","",IF(G524="[FÓRMULA MANUAL]","",IFERROR(AVERAGEIFS(nNOTA,nNIA,G524,nCUENTA,1,nASIG,"Conjunto"),"")))</f>
        <v/>
      </c>
      <c r="K524" t="str">
        <f>IF(G524="","",IF(G524="[FÓRMULA MANUAL]","",IFERROR(SUMPRODUCT((nNIA=G524)*(nCUENTA=1)*(COUNTIF(CONFIG_ASIGNATURAS!$B$7:$B$27,nASIG)&gt;0)*(nNOTA))/SUMPRODUCT((nNIA=G524)*(nCUENTA=1)*(COUNTIF(CONFIG_ASIGNATURAS!$B$7:$B$27,nASIG)&gt;0)*1),"")))</f>
        <v/>
      </c>
      <c r="N524" t="str">
        <f>IF(M524="","",IF(M524="[FÓRMULA MANUAL]","",IFERROR(AVERAGEIFS(nNOTA,nNIA,M524,nCUENTA,1,nASIG,"Armonía"),"")))</f>
        <v/>
      </c>
      <c r="O524" t="str">
        <f>IF(M524="","",IF(M524="[FÓRMULA MANUAL]","",IFERROR(AVERAGEIFS(nNOTA,nNIA,M524,nCUENTA,1,nASIG,"Orquesta/Banda/Conjunto"),"")))</f>
        <v/>
      </c>
      <c r="P524" t="str">
        <f>IF(M524="","",IF(M524="[FÓRMULA MANUAL]","",IFERROR(AVERAGEIFS(nNOTA,nNIA,M524,nCUENTA,1,nASIG,"Música de Cámara"),"")))</f>
        <v/>
      </c>
      <c r="Q524" t="str">
        <f>IF(M524="","",IF(M524="[FÓRMULA MANUAL]","",IFERROR(SUMPRODUCT((nNIA=M524)*(nCUENTA=1)*(COUNTIF(CONFIG_ASIGNATURAS!$B$7:$B$27,nASIG)&gt;0)*(nNOTA))/SUMPRODUCT((nNIA=M524)*(nCUENTA=1)*(COUNTIF(CONFIG_ASIGNATURAS!$B$7:$B$27,nASIG)&gt;0)*1),"")))</f>
        <v/>
      </c>
      <c r="T524" t="str">
        <f>IF(S524="","",IF(S524="[FÓRMULA MANUAL]","",IFERROR(AVERAGEIFS(nNOTA,nNIA,S524,nCUENTA,1,nASIG,"Armonía"),"")))</f>
        <v/>
      </c>
      <c r="U524" t="str">
        <f>IF(S524="","",IF(S524="[FÓRMULA MANUAL]","",IFERROR(AVERAGEIFS(nNOTA,nNIA,S524,nCUENTA,1,nASIG,"Orquesta/Banda/Conjunto"),"")))</f>
        <v/>
      </c>
      <c r="V524" t="str">
        <f>IF(S524="","",IF(S524="[FÓRMULA MANUAL]","",IFERROR(AVERAGEIFS(nNOTA,nNIA,S524,nCUENTA,1,nASIG,"Música de Cámara"),"")))</f>
        <v/>
      </c>
      <c r="W524" t="str">
        <f>IF(S524="","",IF(S524="[FÓRMULA MANUAL]","",IFERROR(SUMPRODUCT((nNIA=S524)*(nCUENTA=1)*(COUNTIF(CONFIG_ASIGNATURAS!$B$7:$B$27,nASIG)&gt;0)*(nNOTA))/SUMPRODUCT((nNIA=S524)*(nCUENTA=1)*(COUNTIF(CONFIG_ASIGNATURAS!$B$7:$B$27,nASIG)&gt;0)*1),"")))</f>
        <v/>
      </c>
      <c r="Z524" t="str">
        <f>IF(Y524="","",IF(Y524="[FÓRMULA MANUAL]","",IFERROR(AVERAGEIFS(nNOTA,nNIA,Y524,nCUENTA,1,nASIG,"Análisis"),"")))</f>
        <v/>
      </c>
      <c r="AA524" t="str">
        <f>IF(Y524="","",IF(Y524="[FÓRMULA MANUAL]","",IFERROR(AVERAGEIFS(nNOTA,nNIA,Y524,nCUENTA,1,nASIG,"Orquesta/Banda/Conjunto"),"")))</f>
        <v/>
      </c>
      <c r="AB524" t="str">
        <f>IF(Y524="","",IF(Y524="[FÓRMULA MANUAL]","",IFERROR(AVERAGEIFS(nNOTA,nNIA,Y524,nCUENTA,1,nASIG,"Música de Cámara"),"")))</f>
        <v/>
      </c>
      <c r="AC524" t="str">
        <f>IF(Y524="","",IF(Y524="[FÓRMULA MANUAL]","",IFERROR(SUMPRODUCT((nNIA=Y524)*(nCUENTA=1)*(COUNTIF(CONFIG_ASIGNATURAS!$B$7:$B$27,nASIG)&gt;0)*(nNOTA))/SUMPRODUCT((nNIA=Y524)*(nCUENTA=1)*(COUNTIF(CONFIG_ASIGNATURAS!$B$7:$B$27,nASIG)&gt;0)*1),"")))</f>
        <v/>
      </c>
      <c r="AF524" t="str">
        <f>IF(AE524="","",IF(AE524="[FÓRMULA MANUAL]","",IFERROR(AVERAGEIFS(nNOTA,nNIA,AE524,nCUENTA,1,nASIG,"Análisis"),"")))</f>
        <v/>
      </c>
      <c r="AG524" t="str">
        <f>IF(AE524="","",IF(AE524="[FÓRMULA MANUAL]","",IFERROR(AVERAGEIFS(nNOTA,nNIA,AE524,nCUENTA,1,nASIG,"Orquesta/Banda/Conjunto"),"")))</f>
        <v/>
      </c>
      <c r="AH524" t="str">
        <f>IF(AE524="","",IF(AE524="[FÓRMULA MANUAL]","",IFERROR(AVERAGEIFS(nNOTA,nNIA,AE524,nCUENTA,1,nASIG,"Música de Cámara"),"")))</f>
        <v/>
      </c>
      <c r="AI524" t="str">
        <f>IF(AE524="","",IF(AE524="[FÓRMULA MANUAL]","",IFERROR(SUMPRODUCT((nNIA=AE524)*(nCUENTA=1)*(COUNTIF(CONFIG_ASIGNATURAS!$B$7:$B$27,nASIG)&gt;0)*(nNOTA))/SUMPRODUCT((nNIA=AE524)*(nCUENTA=1)*(COUNTIF(CONFIG_ASIGNATURAS!$B$7:$B$27,nASIG)&gt;0)*1),"")))</f>
        <v/>
      </c>
    </row>
    <row r="525" spans="2:35" x14ac:dyDescent="0.2">
      <c r="B525" t="str">
        <f>IF(A525="","",IF(A525="[FÓRMULA MANUAL]","",IFERROR(AVERAGEIFS(nNOTA,nNIA,A525,nCUENTA,1,nASIG,"Lenguaje Musical"),"")))</f>
        <v/>
      </c>
      <c r="C525" t="str">
        <f>IF(A525="","",IF(A525="[FÓRMULA MANUAL]","",IFERROR(AVERAGEIFS(nNOTA,nNIA,A525,nCUENTA,1,nASIG,"Orquesta/Banda/Conjunto"),"")))</f>
        <v/>
      </c>
      <c r="D525" t="str">
        <f>IF(A525="","",IF(A525="[FÓRMULA MANUAL]","",IFERROR(AVERAGEIFS(nNOTA,nNIA,A525,nCUENTA,1,nASIG,"Conjunto"),"")))</f>
        <v/>
      </c>
      <c r="E525" t="str">
        <f>IF(A525="","",IF(A525="[FÓRMULA MANUAL]","",IFERROR(SUMPRODUCT((nNIA=A525)*(nCUENTA=1)*(COUNTIF(CONFIG_ASIGNATURAS!$B$7:$B$27,nASIG)&gt;0)*(nNOTA))/SUMPRODUCT((nNIA=A525)*(nCUENTA=1)*(COUNTIF(CONFIG_ASIGNATURAS!$B$7:$B$27,nASIG)&gt;0)*1),"")))</f>
        <v/>
      </c>
      <c r="H525" t="str">
        <f>IF(G525="","",IF(G525="[FÓRMULA MANUAL]","",IFERROR(AVERAGEIFS(nNOTA,nNIA,G525,nCUENTA,1,nASIG,"Lenguaje Musical"),"")))</f>
        <v/>
      </c>
      <c r="I525" t="str">
        <f>IF(G525="","",IF(G525="[FÓRMULA MANUAL]","",IFERROR(AVERAGEIFS(nNOTA,nNIA,G525,nCUENTA,1,nASIG,"Orquesta/Banda/Conjunto"),"")))</f>
        <v/>
      </c>
      <c r="J525" t="str">
        <f>IF(G525="","",IF(G525="[FÓRMULA MANUAL]","",IFERROR(AVERAGEIFS(nNOTA,nNIA,G525,nCUENTA,1,nASIG,"Conjunto"),"")))</f>
        <v/>
      </c>
      <c r="K525" t="str">
        <f>IF(G525="","",IF(G525="[FÓRMULA MANUAL]","",IFERROR(SUMPRODUCT((nNIA=G525)*(nCUENTA=1)*(COUNTIF(CONFIG_ASIGNATURAS!$B$7:$B$27,nASIG)&gt;0)*(nNOTA))/SUMPRODUCT((nNIA=G525)*(nCUENTA=1)*(COUNTIF(CONFIG_ASIGNATURAS!$B$7:$B$27,nASIG)&gt;0)*1),"")))</f>
        <v/>
      </c>
      <c r="N525" t="str">
        <f>IF(M525="","",IF(M525="[FÓRMULA MANUAL]","",IFERROR(AVERAGEIFS(nNOTA,nNIA,M525,nCUENTA,1,nASIG,"Armonía"),"")))</f>
        <v/>
      </c>
      <c r="O525" t="str">
        <f>IF(M525="","",IF(M525="[FÓRMULA MANUAL]","",IFERROR(AVERAGEIFS(nNOTA,nNIA,M525,nCUENTA,1,nASIG,"Orquesta/Banda/Conjunto"),"")))</f>
        <v/>
      </c>
      <c r="P525" t="str">
        <f>IF(M525="","",IF(M525="[FÓRMULA MANUAL]","",IFERROR(AVERAGEIFS(nNOTA,nNIA,M525,nCUENTA,1,nASIG,"Música de Cámara"),"")))</f>
        <v/>
      </c>
      <c r="Q525" t="str">
        <f>IF(M525="","",IF(M525="[FÓRMULA MANUAL]","",IFERROR(SUMPRODUCT((nNIA=M525)*(nCUENTA=1)*(COUNTIF(CONFIG_ASIGNATURAS!$B$7:$B$27,nASIG)&gt;0)*(nNOTA))/SUMPRODUCT((nNIA=M525)*(nCUENTA=1)*(COUNTIF(CONFIG_ASIGNATURAS!$B$7:$B$27,nASIG)&gt;0)*1),"")))</f>
        <v/>
      </c>
      <c r="T525" t="str">
        <f>IF(S525="","",IF(S525="[FÓRMULA MANUAL]","",IFERROR(AVERAGEIFS(nNOTA,nNIA,S525,nCUENTA,1,nASIG,"Armonía"),"")))</f>
        <v/>
      </c>
      <c r="U525" t="str">
        <f>IF(S525="","",IF(S525="[FÓRMULA MANUAL]","",IFERROR(AVERAGEIFS(nNOTA,nNIA,S525,nCUENTA,1,nASIG,"Orquesta/Banda/Conjunto"),"")))</f>
        <v/>
      </c>
      <c r="V525" t="str">
        <f>IF(S525="","",IF(S525="[FÓRMULA MANUAL]","",IFERROR(AVERAGEIFS(nNOTA,nNIA,S525,nCUENTA,1,nASIG,"Música de Cámara"),"")))</f>
        <v/>
      </c>
      <c r="W525" t="str">
        <f>IF(S525="","",IF(S525="[FÓRMULA MANUAL]","",IFERROR(SUMPRODUCT((nNIA=S525)*(nCUENTA=1)*(COUNTIF(CONFIG_ASIGNATURAS!$B$7:$B$27,nASIG)&gt;0)*(nNOTA))/SUMPRODUCT((nNIA=S525)*(nCUENTA=1)*(COUNTIF(CONFIG_ASIGNATURAS!$B$7:$B$27,nASIG)&gt;0)*1),"")))</f>
        <v/>
      </c>
      <c r="Z525" t="str">
        <f>IF(Y525="","",IF(Y525="[FÓRMULA MANUAL]","",IFERROR(AVERAGEIFS(nNOTA,nNIA,Y525,nCUENTA,1,nASIG,"Análisis"),"")))</f>
        <v/>
      </c>
      <c r="AA525" t="str">
        <f>IF(Y525="","",IF(Y525="[FÓRMULA MANUAL]","",IFERROR(AVERAGEIFS(nNOTA,nNIA,Y525,nCUENTA,1,nASIG,"Orquesta/Banda/Conjunto"),"")))</f>
        <v/>
      </c>
      <c r="AB525" t="str">
        <f>IF(Y525="","",IF(Y525="[FÓRMULA MANUAL]","",IFERROR(AVERAGEIFS(nNOTA,nNIA,Y525,nCUENTA,1,nASIG,"Música de Cámara"),"")))</f>
        <v/>
      </c>
      <c r="AC525" t="str">
        <f>IF(Y525="","",IF(Y525="[FÓRMULA MANUAL]","",IFERROR(SUMPRODUCT((nNIA=Y525)*(nCUENTA=1)*(COUNTIF(CONFIG_ASIGNATURAS!$B$7:$B$27,nASIG)&gt;0)*(nNOTA))/SUMPRODUCT((nNIA=Y525)*(nCUENTA=1)*(COUNTIF(CONFIG_ASIGNATURAS!$B$7:$B$27,nASIG)&gt;0)*1),"")))</f>
        <v/>
      </c>
      <c r="AF525" t="str">
        <f>IF(AE525="","",IF(AE525="[FÓRMULA MANUAL]","",IFERROR(AVERAGEIFS(nNOTA,nNIA,AE525,nCUENTA,1,nASIG,"Análisis"),"")))</f>
        <v/>
      </c>
      <c r="AG525" t="str">
        <f>IF(AE525="","",IF(AE525="[FÓRMULA MANUAL]","",IFERROR(AVERAGEIFS(nNOTA,nNIA,AE525,nCUENTA,1,nASIG,"Orquesta/Banda/Conjunto"),"")))</f>
        <v/>
      </c>
      <c r="AH525" t="str">
        <f>IF(AE525="","",IF(AE525="[FÓRMULA MANUAL]","",IFERROR(AVERAGEIFS(nNOTA,nNIA,AE525,nCUENTA,1,nASIG,"Música de Cámara"),"")))</f>
        <v/>
      </c>
      <c r="AI525" t="str">
        <f>IF(AE525="","",IF(AE525="[FÓRMULA MANUAL]","",IFERROR(SUMPRODUCT((nNIA=AE525)*(nCUENTA=1)*(COUNTIF(CONFIG_ASIGNATURAS!$B$7:$B$27,nASIG)&gt;0)*(nNOTA))/SUMPRODUCT((nNIA=AE525)*(nCUENTA=1)*(COUNTIF(CONFIG_ASIGNATURAS!$B$7:$B$27,nASIG)&gt;0)*1),"")))</f>
        <v/>
      </c>
    </row>
    <row r="526" spans="2:35" x14ac:dyDescent="0.2">
      <c r="B526" t="str">
        <f>IF(A526="","",IF(A526="[FÓRMULA MANUAL]","",IFERROR(AVERAGEIFS(nNOTA,nNIA,A526,nCUENTA,1,nASIG,"Lenguaje Musical"),"")))</f>
        <v/>
      </c>
      <c r="C526" t="str">
        <f>IF(A526="","",IF(A526="[FÓRMULA MANUAL]","",IFERROR(AVERAGEIFS(nNOTA,nNIA,A526,nCUENTA,1,nASIG,"Orquesta/Banda/Conjunto"),"")))</f>
        <v/>
      </c>
      <c r="D526" t="str">
        <f>IF(A526="","",IF(A526="[FÓRMULA MANUAL]","",IFERROR(AVERAGEIFS(nNOTA,nNIA,A526,nCUENTA,1,nASIG,"Conjunto"),"")))</f>
        <v/>
      </c>
      <c r="E526" t="str">
        <f>IF(A526="","",IF(A526="[FÓRMULA MANUAL]","",IFERROR(SUMPRODUCT((nNIA=A526)*(nCUENTA=1)*(COUNTIF(CONFIG_ASIGNATURAS!$B$7:$B$27,nASIG)&gt;0)*(nNOTA))/SUMPRODUCT((nNIA=A526)*(nCUENTA=1)*(COUNTIF(CONFIG_ASIGNATURAS!$B$7:$B$27,nASIG)&gt;0)*1),"")))</f>
        <v/>
      </c>
      <c r="H526" t="str">
        <f>IF(G526="","",IF(G526="[FÓRMULA MANUAL]","",IFERROR(AVERAGEIFS(nNOTA,nNIA,G526,nCUENTA,1,nASIG,"Lenguaje Musical"),"")))</f>
        <v/>
      </c>
      <c r="I526" t="str">
        <f>IF(G526="","",IF(G526="[FÓRMULA MANUAL]","",IFERROR(AVERAGEIFS(nNOTA,nNIA,G526,nCUENTA,1,nASIG,"Orquesta/Banda/Conjunto"),"")))</f>
        <v/>
      </c>
      <c r="J526" t="str">
        <f>IF(G526="","",IF(G526="[FÓRMULA MANUAL]","",IFERROR(AVERAGEIFS(nNOTA,nNIA,G526,nCUENTA,1,nASIG,"Conjunto"),"")))</f>
        <v/>
      </c>
      <c r="K526" t="str">
        <f>IF(G526="","",IF(G526="[FÓRMULA MANUAL]","",IFERROR(SUMPRODUCT((nNIA=G526)*(nCUENTA=1)*(COUNTIF(CONFIG_ASIGNATURAS!$B$7:$B$27,nASIG)&gt;0)*(nNOTA))/SUMPRODUCT((nNIA=G526)*(nCUENTA=1)*(COUNTIF(CONFIG_ASIGNATURAS!$B$7:$B$27,nASIG)&gt;0)*1),"")))</f>
        <v/>
      </c>
      <c r="N526" t="str">
        <f>IF(M526="","",IF(M526="[FÓRMULA MANUAL]","",IFERROR(AVERAGEIFS(nNOTA,nNIA,M526,nCUENTA,1,nASIG,"Armonía"),"")))</f>
        <v/>
      </c>
      <c r="O526" t="str">
        <f>IF(M526="","",IF(M526="[FÓRMULA MANUAL]","",IFERROR(AVERAGEIFS(nNOTA,nNIA,M526,nCUENTA,1,nASIG,"Orquesta/Banda/Conjunto"),"")))</f>
        <v/>
      </c>
      <c r="P526" t="str">
        <f>IF(M526="","",IF(M526="[FÓRMULA MANUAL]","",IFERROR(AVERAGEIFS(nNOTA,nNIA,M526,nCUENTA,1,nASIG,"Música de Cámara"),"")))</f>
        <v/>
      </c>
      <c r="Q526" t="str">
        <f>IF(M526="","",IF(M526="[FÓRMULA MANUAL]","",IFERROR(SUMPRODUCT((nNIA=M526)*(nCUENTA=1)*(COUNTIF(CONFIG_ASIGNATURAS!$B$7:$B$27,nASIG)&gt;0)*(nNOTA))/SUMPRODUCT((nNIA=M526)*(nCUENTA=1)*(COUNTIF(CONFIG_ASIGNATURAS!$B$7:$B$27,nASIG)&gt;0)*1),"")))</f>
        <v/>
      </c>
      <c r="T526" t="str">
        <f>IF(S526="","",IF(S526="[FÓRMULA MANUAL]","",IFERROR(AVERAGEIFS(nNOTA,nNIA,S526,nCUENTA,1,nASIG,"Armonía"),"")))</f>
        <v/>
      </c>
      <c r="U526" t="str">
        <f>IF(S526="","",IF(S526="[FÓRMULA MANUAL]","",IFERROR(AVERAGEIFS(nNOTA,nNIA,S526,nCUENTA,1,nASIG,"Orquesta/Banda/Conjunto"),"")))</f>
        <v/>
      </c>
      <c r="V526" t="str">
        <f>IF(S526="","",IF(S526="[FÓRMULA MANUAL]","",IFERROR(AVERAGEIFS(nNOTA,nNIA,S526,nCUENTA,1,nASIG,"Música de Cámara"),"")))</f>
        <v/>
      </c>
      <c r="W526" t="str">
        <f>IF(S526="","",IF(S526="[FÓRMULA MANUAL]","",IFERROR(SUMPRODUCT((nNIA=S526)*(nCUENTA=1)*(COUNTIF(CONFIG_ASIGNATURAS!$B$7:$B$27,nASIG)&gt;0)*(nNOTA))/SUMPRODUCT((nNIA=S526)*(nCUENTA=1)*(COUNTIF(CONFIG_ASIGNATURAS!$B$7:$B$27,nASIG)&gt;0)*1),"")))</f>
        <v/>
      </c>
      <c r="Z526" t="str">
        <f>IF(Y526="","",IF(Y526="[FÓRMULA MANUAL]","",IFERROR(AVERAGEIFS(nNOTA,nNIA,Y526,nCUENTA,1,nASIG,"Análisis"),"")))</f>
        <v/>
      </c>
      <c r="AA526" t="str">
        <f>IF(Y526="","",IF(Y526="[FÓRMULA MANUAL]","",IFERROR(AVERAGEIFS(nNOTA,nNIA,Y526,nCUENTA,1,nASIG,"Orquesta/Banda/Conjunto"),"")))</f>
        <v/>
      </c>
      <c r="AB526" t="str">
        <f>IF(Y526="","",IF(Y526="[FÓRMULA MANUAL]","",IFERROR(AVERAGEIFS(nNOTA,nNIA,Y526,nCUENTA,1,nASIG,"Música de Cámara"),"")))</f>
        <v/>
      </c>
      <c r="AC526" t="str">
        <f>IF(Y526="","",IF(Y526="[FÓRMULA MANUAL]","",IFERROR(SUMPRODUCT((nNIA=Y526)*(nCUENTA=1)*(COUNTIF(CONFIG_ASIGNATURAS!$B$7:$B$27,nASIG)&gt;0)*(nNOTA))/SUMPRODUCT((nNIA=Y526)*(nCUENTA=1)*(COUNTIF(CONFIG_ASIGNATURAS!$B$7:$B$27,nASIG)&gt;0)*1),"")))</f>
        <v/>
      </c>
      <c r="AF526" t="str">
        <f>IF(AE526="","",IF(AE526="[FÓRMULA MANUAL]","",IFERROR(AVERAGEIFS(nNOTA,nNIA,AE526,nCUENTA,1,nASIG,"Análisis"),"")))</f>
        <v/>
      </c>
      <c r="AG526" t="str">
        <f>IF(AE526="","",IF(AE526="[FÓRMULA MANUAL]","",IFERROR(AVERAGEIFS(nNOTA,nNIA,AE526,nCUENTA,1,nASIG,"Orquesta/Banda/Conjunto"),"")))</f>
        <v/>
      </c>
      <c r="AH526" t="str">
        <f>IF(AE526="","",IF(AE526="[FÓRMULA MANUAL]","",IFERROR(AVERAGEIFS(nNOTA,nNIA,AE526,nCUENTA,1,nASIG,"Música de Cámara"),"")))</f>
        <v/>
      </c>
      <c r="AI526" t="str">
        <f>IF(AE526="","",IF(AE526="[FÓRMULA MANUAL]","",IFERROR(SUMPRODUCT((nNIA=AE526)*(nCUENTA=1)*(COUNTIF(CONFIG_ASIGNATURAS!$B$7:$B$27,nASIG)&gt;0)*(nNOTA))/SUMPRODUCT((nNIA=AE526)*(nCUENTA=1)*(COUNTIF(CONFIG_ASIGNATURAS!$B$7:$B$27,nASIG)&gt;0)*1),"")))</f>
        <v/>
      </c>
    </row>
    <row r="527" spans="2:35" x14ac:dyDescent="0.2">
      <c r="B527" t="str">
        <f>IF(A527="","",IF(A527="[FÓRMULA MANUAL]","",IFERROR(AVERAGEIFS(nNOTA,nNIA,A527,nCUENTA,1,nASIG,"Lenguaje Musical"),"")))</f>
        <v/>
      </c>
      <c r="C527" t="str">
        <f>IF(A527="","",IF(A527="[FÓRMULA MANUAL]","",IFERROR(AVERAGEIFS(nNOTA,nNIA,A527,nCUENTA,1,nASIG,"Orquesta/Banda/Conjunto"),"")))</f>
        <v/>
      </c>
      <c r="D527" t="str">
        <f>IF(A527="","",IF(A527="[FÓRMULA MANUAL]","",IFERROR(AVERAGEIFS(nNOTA,nNIA,A527,nCUENTA,1,nASIG,"Conjunto"),"")))</f>
        <v/>
      </c>
      <c r="E527" t="str">
        <f>IF(A527="","",IF(A527="[FÓRMULA MANUAL]","",IFERROR(SUMPRODUCT((nNIA=A527)*(nCUENTA=1)*(COUNTIF(CONFIG_ASIGNATURAS!$B$7:$B$27,nASIG)&gt;0)*(nNOTA))/SUMPRODUCT((nNIA=A527)*(nCUENTA=1)*(COUNTIF(CONFIG_ASIGNATURAS!$B$7:$B$27,nASIG)&gt;0)*1),"")))</f>
        <v/>
      </c>
      <c r="H527" t="str">
        <f>IF(G527="","",IF(G527="[FÓRMULA MANUAL]","",IFERROR(AVERAGEIFS(nNOTA,nNIA,G527,nCUENTA,1,nASIG,"Lenguaje Musical"),"")))</f>
        <v/>
      </c>
      <c r="I527" t="str">
        <f>IF(G527="","",IF(G527="[FÓRMULA MANUAL]","",IFERROR(AVERAGEIFS(nNOTA,nNIA,G527,nCUENTA,1,nASIG,"Orquesta/Banda/Conjunto"),"")))</f>
        <v/>
      </c>
      <c r="J527" t="str">
        <f>IF(G527="","",IF(G527="[FÓRMULA MANUAL]","",IFERROR(AVERAGEIFS(nNOTA,nNIA,G527,nCUENTA,1,nASIG,"Conjunto"),"")))</f>
        <v/>
      </c>
      <c r="K527" t="str">
        <f>IF(G527="","",IF(G527="[FÓRMULA MANUAL]","",IFERROR(SUMPRODUCT((nNIA=G527)*(nCUENTA=1)*(COUNTIF(CONFIG_ASIGNATURAS!$B$7:$B$27,nASIG)&gt;0)*(nNOTA))/SUMPRODUCT((nNIA=G527)*(nCUENTA=1)*(COUNTIF(CONFIG_ASIGNATURAS!$B$7:$B$27,nASIG)&gt;0)*1),"")))</f>
        <v/>
      </c>
      <c r="N527" t="str">
        <f>IF(M527="","",IF(M527="[FÓRMULA MANUAL]","",IFERROR(AVERAGEIFS(nNOTA,nNIA,M527,nCUENTA,1,nASIG,"Armonía"),"")))</f>
        <v/>
      </c>
      <c r="O527" t="str">
        <f>IF(M527="","",IF(M527="[FÓRMULA MANUAL]","",IFERROR(AVERAGEIFS(nNOTA,nNIA,M527,nCUENTA,1,nASIG,"Orquesta/Banda/Conjunto"),"")))</f>
        <v/>
      </c>
      <c r="P527" t="str">
        <f>IF(M527="","",IF(M527="[FÓRMULA MANUAL]","",IFERROR(AVERAGEIFS(nNOTA,nNIA,M527,nCUENTA,1,nASIG,"Música de Cámara"),"")))</f>
        <v/>
      </c>
      <c r="Q527" t="str">
        <f>IF(M527="","",IF(M527="[FÓRMULA MANUAL]","",IFERROR(SUMPRODUCT((nNIA=M527)*(nCUENTA=1)*(COUNTIF(CONFIG_ASIGNATURAS!$B$7:$B$27,nASIG)&gt;0)*(nNOTA))/SUMPRODUCT((nNIA=M527)*(nCUENTA=1)*(COUNTIF(CONFIG_ASIGNATURAS!$B$7:$B$27,nASIG)&gt;0)*1),"")))</f>
        <v/>
      </c>
      <c r="T527" t="str">
        <f>IF(S527="","",IF(S527="[FÓRMULA MANUAL]","",IFERROR(AVERAGEIFS(nNOTA,nNIA,S527,nCUENTA,1,nASIG,"Armonía"),"")))</f>
        <v/>
      </c>
      <c r="U527" t="str">
        <f>IF(S527="","",IF(S527="[FÓRMULA MANUAL]","",IFERROR(AVERAGEIFS(nNOTA,nNIA,S527,nCUENTA,1,nASIG,"Orquesta/Banda/Conjunto"),"")))</f>
        <v/>
      </c>
      <c r="V527" t="str">
        <f>IF(S527="","",IF(S527="[FÓRMULA MANUAL]","",IFERROR(AVERAGEIFS(nNOTA,nNIA,S527,nCUENTA,1,nASIG,"Música de Cámara"),"")))</f>
        <v/>
      </c>
      <c r="W527" t="str">
        <f>IF(S527="","",IF(S527="[FÓRMULA MANUAL]","",IFERROR(SUMPRODUCT((nNIA=S527)*(nCUENTA=1)*(COUNTIF(CONFIG_ASIGNATURAS!$B$7:$B$27,nASIG)&gt;0)*(nNOTA))/SUMPRODUCT((nNIA=S527)*(nCUENTA=1)*(COUNTIF(CONFIG_ASIGNATURAS!$B$7:$B$27,nASIG)&gt;0)*1),"")))</f>
        <v/>
      </c>
      <c r="Z527" t="str">
        <f>IF(Y527="","",IF(Y527="[FÓRMULA MANUAL]","",IFERROR(AVERAGEIFS(nNOTA,nNIA,Y527,nCUENTA,1,nASIG,"Análisis"),"")))</f>
        <v/>
      </c>
      <c r="AA527" t="str">
        <f>IF(Y527="","",IF(Y527="[FÓRMULA MANUAL]","",IFERROR(AVERAGEIFS(nNOTA,nNIA,Y527,nCUENTA,1,nASIG,"Orquesta/Banda/Conjunto"),"")))</f>
        <v/>
      </c>
      <c r="AB527" t="str">
        <f>IF(Y527="","",IF(Y527="[FÓRMULA MANUAL]","",IFERROR(AVERAGEIFS(nNOTA,nNIA,Y527,nCUENTA,1,nASIG,"Música de Cámara"),"")))</f>
        <v/>
      </c>
      <c r="AC527" t="str">
        <f>IF(Y527="","",IF(Y527="[FÓRMULA MANUAL]","",IFERROR(SUMPRODUCT((nNIA=Y527)*(nCUENTA=1)*(COUNTIF(CONFIG_ASIGNATURAS!$B$7:$B$27,nASIG)&gt;0)*(nNOTA))/SUMPRODUCT((nNIA=Y527)*(nCUENTA=1)*(COUNTIF(CONFIG_ASIGNATURAS!$B$7:$B$27,nASIG)&gt;0)*1),"")))</f>
        <v/>
      </c>
      <c r="AF527" t="str">
        <f>IF(AE527="","",IF(AE527="[FÓRMULA MANUAL]","",IFERROR(AVERAGEIFS(nNOTA,nNIA,AE527,nCUENTA,1,nASIG,"Análisis"),"")))</f>
        <v/>
      </c>
      <c r="AG527" t="str">
        <f>IF(AE527="","",IF(AE527="[FÓRMULA MANUAL]","",IFERROR(AVERAGEIFS(nNOTA,nNIA,AE527,nCUENTA,1,nASIG,"Orquesta/Banda/Conjunto"),"")))</f>
        <v/>
      </c>
      <c r="AH527" t="str">
        <f>IF(AE527="","",IF(AE527="[FÓRMULA MANUAL]","",IFERROR(AVERAGEIFS(nNOTA,nNIA,AE527,nCUENTA,1,nASIG,"Música de Cámara"),"")))</f>
        <v/>
      </c>
      <c r="AI527" t="str">
        <f>IF(AE527="","",IF(AE527="[FÓRMULA MANUAL]","",IFERROR(SUMPRODUCT((nNIA=AE527)*(nCUENTA=1)*(COUNTIF(CONFIG_ASIGNATURAS!$B$7:$B$27,nASIG)&gt;0)*(nNOTA))/SUMPRODUCT((nNIA=AE527)*(nCUENTA=1)*(COUNTIF(CONFIG_ASIGNATURAS!$B$7:$B$27,nASIG)&gt;0)*1),"")))</f>
        <v/>
      </c>
    </row>
    <row r="528" spans="2:35" x14ac:dyDescent="0.2">
      <c r="B528" t="str">
        <f>IF(A528="","",IF(A528="[FÓRMULA MANUAL]","",IFERROR(AVERAGEIFS(nNOTA,nNIA,A528,nCUENTA,1,nASIG,"Lenguaje Musical"),"")))</f>
        <v/>
      </c>
      <c r="C528" t="str">
        <f>IF(A528="","",IF(A528="[FÓRMULA MANUAL]","",IFERROR(AVERAGEIFS(nNOTA,nNIA,A528,nCUENTA,1,nASIG,"Orquesta/Banda/Conjunto"),"")))</f>
        <v/>
      </c>
      <c r="D528" t="str">
        <f>IF(A528="","",IF(A528="[FÓRMULA MANUAL]","",IFERROR(AVERAGEIFS(nNOTA,nNIA,A528,nCUENTA,1,nASIG,"Conjunto"),"")))</f>
        <v/>
      </c>
      <c r="E528" t="str">
        <f>IF(A528="","",IF(A528="[FÓRMULA MANUAL]","",IFERROR(SUMPRODUCT((nNIA=A528)*(nCUENTA=1)*(COUNTIF(CONFIG_ASIGNATURAS!$B$7:$B$27,nASIG)&gt;0)*(nNOTA))/SUMPRODUCT((nNIA=A528)*(nCUENTA=1)*(COUNTIF(CONFIG_ASIGNATURAS!$B$7:$B$27,nASIG)&gt;0)*1),"")))</f>
        <v/>
      </c>
      <c r="H528" t="str">
        <f>IF(G528="","",IF(G528="[FÓRMULA MANUAL]","",IFERROR(AVERAGEIFS(nNOTA,nNIA,G528,nCUENTA,1,nASIG,"Lenguaje Musical"),"")))</f>
        <v/>
      </c>
      <c r="I528" t="str">
        <f>IF(G528="","",IF(G528="[FÓRMULA MANUAL]","",IFERROR(AVERAGEIFS(nNOTA,nNIA,G528,nCUENTA,1,nASIG,"Orquesta/Banda/Conjunto"),"")))</f>
        <v/>
      </c>
      <c r="J528" t="str">
        <f>IF(G528="","",IF(G528="[FÓRMULA MANUAL]","",IFERROR(AVERAGEIFS(nNOTA,nNIA,G528,nCUENTA,1,nASIG,"Conjunto"),"")))</f>
        <v/>
      </c>
      <c r="K528" t="str">
        <f>IF(G528="","",IF(G528="[FÓRMULA MANUAL]","",IFERROR(SUMPRODUCT((nNIA=G528)*(nCUENTA=1)*(COUNTIF(CONFIG_ASIGNATURAS!$B$7:$B$27,nASIG)&gt;0)*(nNOTA))/SUMPRODUCT((nNIA=G528)*(nCUENTA=1)*(COUNTIF(CONFIG_ASIGNATURAS!$B$7:$B$27,nASIG)&gt;0)*1),"")))</f>
        <v/>
      </c>
      <c r="N528" t="str">
        <f>IF(M528="","",IF(M528="[FÓRMULA MANUAL]","",IFERROR(AVERAGEIFS(nNOTA,nNIA,M528,nCUENTA,1,nASIG,"Armonía"),"")))</f>
        <v/>
      </c>
      <c r="O528" t="str">
        <f>IF(M528="","",IF(M528="[FÓRMULA MANUAL]","",IFERROR(AVERAGEIFS(nNOTA,nNIA,M528,nCUENTA,1,nASIG,"Orquesta/Banda/Conjunto"),"")))</f>
        <v/>
      </c>
      <c r="P528" t="str">
        <f>IF(M528="","",IF(M528="[FÓRMULA MANUAL]","",IFERROR(AVERAGEIFS(nNOTA,nNIA,M528,nCUENTA,1,nASIG,"Música de Cámara"),"")))</f>
        <v/>
      </c>
      <c r="Q528" t="str">
        <f>IF(M528="","",IF(M528="[FÓRMULA MANUAL]","",IFERROR(SUMPRODUCT((nNIA=M528)*(nCUENTA=1)*(COUNTIF(CONFIG_ASIGNATURAS!$B$7:$B$27,nASIG)&gt;0)*(nNOTA))/SUMPRODUCT((nNIA=M528)*(nCUENTA=1)*(COUNTIF(CONFIG_ASIGNATURAS!$B$7:$B$27,nASIG)&gt;0)*1),"")))</f>
        <v/>
      </c>
      <c r="T528" t="str">
        <f>IF(S528="","",IF(S528="[FÓRMULA MANUAL]","",IFERROR(AVERAGEIFS(nNOTA,nNIA,S528,nCUENTA,1,nASIG,"Armonía"),"")))</f>
        <v/>
      </c>
      <c r="U528" t="str">
        <f>IF(S528="","",IF(S528="[FÓRMULA MANUAL]","",IFERROR(AVERAGEIFS(nNOTA,nNIA,S528,nCUENTA,1,nASIG,"Orquesta/Banda/Conjunto"),"")))</f>
        <v/>
      </c>
      <c r="V528" t="str">
        <f>IF(S528="","",IF(S528="[FÓRMULA MANUAL]","",IFERROR(AVERAGEIFS(nNOTA,nNIA,S528,nCUENTA,1,nASIG,"Música de Cámara"),"")))</f>
        <v/>
      </c>
      <c r="W528" t="str">
        <f>IF(S528="","",IF(S528="[FÓRMULA MANUAL]","",IFERROR(SUMPRODUCT((nNIA=S528)*(nCUENTA=1)*(COUNTIF(CONFIG_ASIGNATURAS!$B$7:$B$27,nASIG)&gt;0)*(nNOTA))/SUMPRODUCT((nNIA=S528)*(nCUENTA=1)*(COUNTIF(CONFIG_ASIGNATURAS!$B$7:$B$27,nASIG)&gt;0)*1),"")))</f>
        <v/>
      </c>
      <c r="Z528" t="str">
        <f>IF(Y528="","",IF(Y528="[FÓRMULA MANUAL]","",IFERROR(AVERAGEIFS(nNOTA,nNIA,Y528,nCUENTA,1,nASIG,"Análisis"),"")))</f>
        <v/>
      </c>
      <c r="AA528" t="str">
        <f>IF(Y528="","",IF(Y528="[FÓRMULA MANUAL]","",IFERROR(AVERAGEIFS(nNOTA,nNIA,Y528,nCUENTA,1,nASIG,"Orquesta/Banda/Conjunto"),"")))</f>
        <v/>
      </c>
      <c r="AB528" t="str">
        <f>IF(Y528="","",IF(Y528="[FÓRMULA MANUAL]","",IFERROR(AVERAGEIFS(nNOTA,nNIA,Y528,nCUENTA,1,nASIG,"Música de Cámara"),"")))</f>
        <v/>
      </c>
      <c r="AC528" t="str">
        <f>IF(Y528="","",IF(Y528="[FÓRMULA MANUAL]","",IFERROR(SUMPRODUCT((nNIA=Y528)*(nCUENTA=1)*(COUNTIF(CONFIG_ASIGNATURAS!$B$7:$B$27,nASIG)&gt;0)*(nNOTA))/SUMPRODUCT((nNIA=Y528)*(nCUENTA=1)*(COUNTIF(CONFIG_ASIGNATURAS!$B$7:$B$27,nASIG)&gt;0)*1),"")))</f>
        <v/>
      </c>
      <c r="AF528" t="str">
        <f>IF(AE528="","",IF(AE528="[FÓRMULA MANUAL]","",IFERROR(AVERAGEIFS(nNOTA,nNIA,AE528,nCUENTA,1,nASIG,"Análisis"),"")))</f>
        <v/>
      </c>
      <c r="AG528" t="str">
        <f>IF(AE528="","",IF(AE528="[FÓRMULA MANUAL]","",IFERROR(AVERAGEIFS(nNOTA,nNIA,AE528,nCUENTA,1,nASIG,"Orquesta/Banda/Conjunto"),"")))</f>
        <v/>
      </c>
      <c r="AH528" t="str">
        <f>IF(AE528="","",IF(AE528="[FÓRMULA MANUAL]","",IFERROR(AVERAGEIFS(nNOTA,nNIA,AE528,nCUENTA,1,nASIG,"Música de Cámara"),"")))</f>
        <v/>
      </c>
      <c r="AI528" t="str">
        <f>IF(AE528="","",IF(AE528="[FÓRMULA MANUAL]","",IFERROR(SUMPRODUCT((nNIA=AE528)*(nCUENTA=1)*(COUNTIF(CONFIG_ASIGNATURAS!$B$7:$B$27,nASIG)&gt;0)*(nNOTA))/SUMPRODUCT((nNIA=AE528)*(nCUENTA=1)*(COUNTIF(CONFIG_ASIGNATURAS!$B$7:$B$27,nASIG)&gt;0)*1),"")))</f>
        <v/>
      </c>
    </row>
    <row r="529" spans="2:35" x14ac:dyDescent="0.2">
      <c r="B529" t="str">
        <f>IF(A529="","",IF(A529="[FÓRMULA MANUAL]","",IFERROR(AVERAGEIFS(nNOTA,nNIA,A529,nCUENTA,1,nASIG,"Lenguaje Musical"),"")))</f>
        <v/>
      </c>
      <c r="C529" t="str">
        <f>IF(A529="","",IF(A529="[FÓRMULA MANUAL]","",IFERROR(AVERAGEIFS(nNOTA,nNIA,A529,nCUENTA,1,nASIG,"Orquesta/Banda/Conjunto"),"")))</f>
        <v/>
      </c>
      <c r="D529" t="str">
        <f>IF(A529="","",IF(A529="[FÓRMULA MANUAL]","",IFERROR(AVERAGEIFS(nNOTA,nNIA,A529,nCUENTA,1,nASIG,"Conjunto"),"")))</f>
        <v/>
      </c>
      <c r="E529" t="str">
        <f>IF(A529="","",IF(A529="[FÓRMULA MANUAL]","",IFERROR(SUMPRODUCT((nNIA=A529)*(nCUENTA=1)*(COUNTIF(CONFIG_ASIGNATURAS!$B$7:$B$27,nASIG)&gt;0)*(nNOTA))/SUMPRODUCT((nNIA=A529)*(nCUENTA=1)*(COUNTIF(CONFIG_ASIGNATURAS!$B$7:$B$27,nASIG)&gt;0)*1),"")))</f>
        <v/>
      </c>
      <c r="H529" t="str">
        <f>IF(G529="","",IF(G529="[FÓRMULA MANUAL]","",IFERROR(AVERAGEIFS(nNOTA,nNIA,G529,nCUENTA,1,nASIG,"Lenguaje Musical"),"")))</f>
        <v/>
      </c>
      <c r="I529" t="str">
        <f>IF(G529="","",IF(G529="[FÓRMULA MANUAL]","",IFERROR(AVERAGEIFS(nNOTA,nNIA,G529,nCUENTA,1,nASIG,"Orquesta/Banda/Conjunto"),"")))</f>
        <v/>
      </c>
      <c r="J529" t="str">
        <f>IF(G529="","",IF(G529="[FÓRMULA MANUAL]","",IFERROR(AVERAGEIFS(nNOTA,nNIA,G529,nCUENTA,1,nASIG,"Conjunto"),"")))</f>
        <v/>
      </c>
      <c r="K529" t="str">
        <f>IF(G529="","",IF(G529="[FÓRMULA MANUAL]","",IFERROR(SUMPRODUCT((nNIA=G529)*(nCUENTA=1)*(COUNTIF(CONFIG_ASIGNATURAS!$B$7:$B$27,nASIG)&gt;0)*(nNOTA))/SUMPRODUCT((nNIA=G529)*(nCUENTA=1)*(COUNTIF(CONFIG_ASIGNATURAS!$B$7:$B$27,nASIG)&gt;0)*1),"")))</f>
        <v/>
      </c>
      <c r="N529" t="str">
        <f>IF(M529="","",IF(M529="[FÓRMULA MANUAL]","",IFERROR(AVERAGEIFS(nNOTA,nNIA,M529,nCUENTA,1,nASIG,"Armonía"),"")))</f>
        <v/>
      </c>
      <c r="O529" t="str">
        <f>IF(M529="","",IF(M529="[FÓRMULA MANUAL]","",IFERROR(AVERAGEIFS(nNOTA,nNIA,M529,nCUENTA,1,nASIG,"Orquesta/Banda/Conjunto"),"")))</f>
        <v/>
      </c>
      <c r="P529" t="str">
        <f>IF(M529="","",IF(M529="[FÓRMULA MANUAL]","",IFERROR(AVERAGEIFS(nNOTA,nNIA,M529,nCUENTA,1,nASIG,"Música de Cámara"),"")))</f>
        <v/>
      </c>
      <c r="Q529" t="str">
        <f>IF(M529="","",IF(M529="[FÓRMULA MANUAL]","",IFERROR(SUMPRODUCT((nNIA=M529)*(nCUENTA=1)*(COUNTIF(CONFIG_ASIGNATURAS!$B$7:$B$27,nASIG)&gt;0)*(nNOTA))/SUMPRODUCT((nNIA=M529)*(nCUENTA=1)*(COUNTIF(CONFIG_ASIGNATURAS!$B$7:$B$27,nASIG)&gt;0)*1),"")))</f>
        <v/>
      </c>
      <c r="T529" t="str">
        <f>IF(S529="","",IF(S529="[FÓRMULA MANUAL]","",IFERROR(AVERAGEIFS(nNOTA,nNIA,S529,nCUENTA,1,nASIG,"Armonía"),"")))</f>
        <v/>
      </c>
      <c r="U529" t="str">
        <f>IF(S529="","",IF(S529="[FÓRMULA MANUAL]","",IFERROR(AVERAGEIFS(nNOTA,nNIA,S529,nCUENTA,1,nASIG,"Orquesta/Banda/Conjunto"),"")))</f>
        <v/>
      </c>
      <c r="V529" t="str">
        <f>IF(S529="","",IF(S529="[FÓRMULA MANUAL]","",IFERROR(AVERAGEIFS(nNOTA,nNIA,S529,nCUENTA,1,nASIG,"Música de Cámara"),"")))</f>
        <v/>
      </c>
      <c r="W529" t="str">
        <f>IF(S529="","",IF(S529="[FÓRMULA MANUAL]","",IFERROR(SUMPRODUCT((nNIA=S529)*(nCUENTA=1)*(COUNTIF(CONFIG_ASIGNATURAS!$B$7:$B$27,nASIG)&gt;0)*(nNOTA))/SUMPRODUCT((nNIA=S529)*(nCUENTA=1)*(COUNTIF(CONFIG_ASIGNATURAS!$B$7:$B$27,nASIG)&gt;0)*1),"")))</f>
        <v/>
      </c>
      <c r="Z529" t="str">
        <f>IF(Y529="","",IF(Y529="[FÓRMULA MANUAL]","",IFERROR(AVERAGEIFS(nNOTA,nNIA,Y529,nCUENTA,1,nASIG,"Análisis"),"")))</f>
        <v/>
      </c>
      <c r="AA529" t="str">
        <f>IF(Y529="","",IF(Y529="[FÓRMULA MANUAL]","",IFERROR(AVERAGEIFS(nNOTA,nNIA,Y529,nCUENTA,1,nASIG,"Orquesta/Banda/Conjunto"),"")))</f>
        <v/>
      </c>
      <c r="AB529" t="str">
        <f>IF(Y529="","",IF(Y529="[FÓRMULA MANUAL]","",IFERROR(AVERAGEIFS(nNOTA,nNIA,Y529,nCUENTA,1,nASIG,"Música de Cámara"),"")))</f>
        <v/>
      </c>
      <c r="AC529" t="str">
        <f>IF(Y529="","",IF(Y529="[FÓRMULA MANUAL]","",IFERROR(SUMPRODUCT((nNIA=Y529)*(nCUENTA=1)*(COUNTIF(CONFIG_ASIGNATURAS!$B$7:$B$27,nASIG)&gt;0)*(nNOTA))/SUMPRODUCT((nNIA=Y529)*(nCUENTA=1)*(COUNTIF(CONFIG_ASIGNATURAS!$B$7:$B$27,nASIG)&gt;0)*1),"")))</f>
        <v/>
      </c>
      <c r="AF529" t="str">
        <f>IF(AE529="","",IF(AE529="[FÓRMULA MANUAL]","",IFERROR(AVERAGEIFS(nNOTA,nNIA,AE529,nCUENTA,1,nASIG,"Análisis"),"")))</f>
        <v/>
      </c>
      <c r="AG529" t="str">
        <f>IF(AE529="","",IF(AE529="[FÓRMULA MANUAL]","",IFERROR(AVERAGEIFS(nNOTA,nNIA,AE529,nCUENTA,1,nASIG,"Orquesta/Banda/Conjunto"),"")))</f>
        <v/>
      </c>
      <c r="AH529" t="str">
        <f>IF(AE529="","",IF(AE529="[FÓRMULA MANUAL]","",IFERROR(AVERAGEIFS(nNOTA,nNIA,AE529,nCUENTA,1,nASIG,"Música de Cámara"),"")))</f>
        <v/>
      </c>
      <c r="AI529" t="str">
        <f>IF(AE529="","",IF(AE529="[FÓRMULA MANUAL]","",IFERROR(SUMPRODUCT((nNIA=AE529)*(nCUENTA=1)*(COUNTIF(CONFIG_ASIGNATURAS!$B$7:$B$27,nASIG)&gt;0)*(nNOTA))/SUMPRODUCT((nNIA=AE529)*(nCUENTA=1)*(COUNTIF(CONFIG_ASIGNATURAS!$B$7:$B$27,nASIG)&gt;0)*1),"")))</f>
        <v/>
      </c>
    </row>
    <row r="530" spans="2:35" x14ac:dyDescent="0.2">
      <c r="B530" t="str">
        <f>IF(A530="","",IF(A530="[FÓRMULA MANUAL]","",IFERROR(AVERAGEIFS(nNOTA,nNIA,A530,nCUENTA,1,nASIG,"Lenguaje Musical"),"")))</f>
        <v/>
      </c>
      <c r="C530" t="str">
        <f>IF(A530="","",IF(A530="[FÓRMULA MANUAL]","",IFERROR(AVERAGEIFS(nNOTA,nNIA,A530,nCUENTA,1,nASIG,"Orquesta/Banda/Conjunto"),"")))</f>
        <v/>
      </c>
      <c r="D530" t="str">
        <f>IF(A530="","",IF(A530="[FÓRMULA MANUAL]","",IFERROR(AVERAGEIFS(nNOTA,nNIA,A530,nCUENTA,1,nASIG,"Conjunto"),"")))</f>
        <v/>
      </c>
      <c r="E530" t="str">
        <f>IF(A530="","",IF(A530="[FÓRMULA MANUAL]","",IFERROR(SUMPRODUCT((nNIA=A530)*(nCUENTA=1)*(COUNTIF(CONFIG_ASIGNATURAS!$B$7:$B$27,nASIG)&gt;0)*(nNOTA))/SUMPRODUCT((nNIA=A530)*(nCUENTA=1)*(COUNTIF(CONFIG_ASIGNATURAS!$B$7:$B$27,nASIG)&gt;0)*1),"")))</f>
        <v/>
      </c>
      <c r="H530" t="str">
        <f>IF(G530="","",IF(G530="[FÓRMULA MANUAL]","",IFERROR(AVERAGEIFS(nNOTA,nNIA,G530,nCUENTA,1,nASIG,"Lenguaje Musical"),"")))</f>
        <v/>
      </c>
      <c r="I530" t="str">
        <f>IF(G530="","",IF(G530="[FÓRMULA MANUAL]","",IFERROR(AVERAGEIFS(nNOTA,nNIA,G530,nCUENTA,1,nASIG,"Orquesta/Banda/Conjunto"),"")))</f>
        <v/>
      </c>
      <c r="J530" t="str">
        <f>IF(G530="","",IF(G530="[FÓRMULA MANUAL]","",IFERROR(AVERAGEIFS(nNOTA,nNIA,G530,nCUENTA,1,nASIG,"Conjunto"),"")))</f>
        <v/>
      </c>
      <c r="K530" t="str">
        <f>IF(G530="","",IF(G530="[FÓRMULA MANUAL]","",IFERROR(SUMPRODUCT((nNIA=G530)*(nCUENTA=1)*(COUNTIF(CONFIG_ASIGNATURAS!$B$7:$B$27,nASIG)&gt;0)*(nNOTA))/SUMPRODUCT((nNIA=G530)*(nCUENTA=1)*(COUNTIF(CONFIG_ASIGNATURAS!$B$7:$B$27,nASIG)&gt;0)*1),"")))</f>
        <v/>
      </c>
      <c r="N530" t="str">
        <f>IF(M530="","",IF(M530="[FÓRMULA MANUAL]","",IFERROR(AVERAGEIFS(nNOTA,nNIA,M530,nCUENTA,1,nASIG,"Armonía"),"")))</f>
        <v/>
      </c>
      <c r="O530" t="str">
        <f>IF(M530="","",IF(M530="[FÓRMULA MANUAL]","",IFERROR(AVERAGEIFS(nNOTA,nNIA,M530,nCUENTA,1,nASIG,"Orquesta/Banda/Conjunto"),"")))</f>
        <v/>
      </c>
      <c r="P530" t="str">
        <f>IF(M530="","",IF(M530="[FÓRMULA MANUAL]","",IFERROR(AVERAGEIFS(nNOTA,nNIA,M530,nCUENTA,1,nASIG,"Música de Cámara"),"")))</f>
        <v/>
      </c>
      <c r="Q530" t="str">
        <f>IF(M530="","",IF(M530="[FÓRMULA MANUAL]","",IFERROR(SUMPRODUCT((nNIA=M530)*(nCUENTA=1)*(COUNTIF(CONFIG_ASIGNATURAS!$B$7:$B$27,nASIG)&gt;0)*(nNOTA))/SUMPRODUCT((nNIA=M530)*(nCUENTA=1)*(COUNTIF(CONFIG_ASIGNATURAS!$B$7:$B$27,nASIG)&gt;0)*1),"")))</f>
        <v/>
      </c>
      <c r="T530" t="str">
        <f>IF(S530="","",IF(S530="[FÓRMULA MANUAL]","",IFERROR(AVERAGEIFS(nNOTA,nNIA,S530,nCUENTA,1,nASIG,"Armonía"),"")))</f>
        <v/>
      </c>
      <c r="U530" t="str">
        <f>IF(S530="","",IF(S530="[FÓRMULA MANUAL]","",IFERROR(AVERAGEIFS(nNOTA,nNIA,S530,nCUENTA,1,nASIG,"Orquesta/Banda/Conjunto"),"")))</f>
        <v/>
      </c>
      <c r="V530" t="str">
        <f>IF(S530="","",IF(S530="[FÓRMULA MANUAL]","",IFERROR(AVERAGEIFS(nNOTA,nNIA,S530,nCUENTA,1,nASIG,"Música de Cámara"),"")))</f>
        <v/>
      </c>
      <c r="W530" t="str">
        <f>IF(S530="","",IF(S530="[FÓRMULA MANUAL]","",IFERROR(SUMPRODUCT((nNIA=S530)*(nCUENTA=1)*(COUNTIF(CONFIG_ASIGNATURAS!$B$7:$B$27,nASIG)&gt;0)*(nNOTA))/SUMPRODUCT((nNIA=S530)*(nCUENTA=1)*(COUNTIF(CONFIG_ASIGNATURAS!$B$7:$B$27,nASIG)&gt;0)*1),"")))</f>
        <v/>
      </c>
      <c r="Z530" t="str">
        <f>IF(Y530="","",IF(Y530="[FÓRMULA MANUAL]","",IFERROR(AVERAGEIFS(nNOTA,nNIA,Y530,nCUENTA,1,nASIG,"Análisis"),"")))</f>
        <v/>
      </c>
      <c r="AA530" t="str">
        <f>IF(Y530="","",IF(Y530="[FÓRMULA MANUAL]","",IFERROR(AVERAGEIFS(nNOTA,nNIA,Y530,nCUENTA,1,nASIG,"Orquesta/Banda/Conjunto"),"")))</f>
        <v/>
      </c>
      <c r="AB530" t="str">
        <f>IF(Y530="","",IF(Y530="[FÓRMULA MANUAL]","",IFERROR(AVERAGEIFS(nNOTA,nNIA,Y530,nCUENTA,1,nASIG,"Música de Cámara"),"")))</f>
        <v/>
      </c>
      <c r="AC530" t="str">
        <f>IF(Y530="","",IF(Y530="[FÓRMULA MANUAL]","",IFERROR(SUMPRODUCT((nNIA=Y530)*(nCUENTA=1)*(COUNTIF(CONFIG_ASIGNATURAS!$B$7:$B$27,nASIG)&gt;0)*(nNOTA))/SUMPRODUCT((nNIA=Y530)*(nCUENTA=1)*(COUNTIF(CONFIG_ASIGNATURAS!$B$7:$B$27,nASIG)&gt;0)*1),"")))</f>
        <v/>
      </c>
      <c r="AF530" t="str">
        <f>IF(AE530="","",IF(AE530="[FÓRMULA MANUAL]","",IFERROR(AVERAGEIFS(nNOTA,nNIA,AE530,nCUENTA,1,nASIG,"Análisis"),"")))</f>
        <v/>
      </c>
      <c r="AG530" t="str">
        <f>IF(AE530="","",IF(AE530="[FÓRMULA MANUAL]","",IFERROR(AVERAGEIFS(nNOTA,nNIA,AE530,nCUENTA,1,nASIG,"Orquesta/Banda/Conjunto"),"")))</f>
        <v/>
      </c>
      <c r="AH530" t="str">
        <f>IF(AE530="","",IF(AE530="[FÓRMULA MANUAL]","",IFERROR(AVERAGEIFS(nNOTA,nNIA,AE530,nCUENTA,1,nASIG,"Música de Cámara"),"")))</f>
        <v/>
      </c>
      <c r="AI530" t="str">
        <f>IF(AE530="","",IF(AE530="[FÓRMULA MANUAL]","",IFERROR(SUMPRODUCT((nNIA=AE530)*(nCUENTA=1)*(COUNTIF(CONFIG_ASIGNATURAS!$B$7:$B$27,nASIG)&gt;0)*(nNOTA))/SUMPRODUCT((nNIA=AE530)*(nCUENTA=1)*(COUNTIF(CONFIG_ASIGNATURAS!$B$7:$B$27,nASIG)&gt;0)*1),"")))</f>
        <v/>
      </c>
    </row>
    <row r="531" spans="2:35" x14ac:dyDescent="0.2">
      <c r="B531" t="str">
        <f>IF(A531="","",IF(A531="[FÓRMULA MANUAL]","",IFERROR(AVERAGEIFS(nNOTA,nNIA,A531,nCUENTA,1,nASIG,"Lenguaje Musical"),"")))</f>
        <v/>
      </c>
      <c r="C531" t="str">
        <f>IF(A531="","",IF(A531="[FÓRMULA MANUAL]","",IFERROR(AVERAGEIFS(nNOTA,nNIA,A531,nCUENTA,1,nASIG,"Orquesta/Banda/Conjunto"),"")))</f>
        <v/>
      </c>
      <c r="D531" t="str">
        <f>IF(A531="","",IF(A531="[FÓRMULA MANUAL]","",IFERROR(AVERAGEIFS(nNOTA,nNIA,A531,nCUENTA,1,nASIG,"Conjunto"),"")))</f>
        <v/>
      </c>
      <c r="E531" t="str">
        <f>IF(A531="","",IF(A531="[FÓRMULA MANUAL]","",IFERROR(SUMPRODUCT((nNIA=A531)*(nCUENTA=1)*(COUNTIF(CONFIG_ASIGNATURAS!$B$7:$B$27,nASIG)&gt;0)*(nNOTA))/SUMPRODUCT((nNIA=A531)*(nCUENTA=1)*(COUNTIF(CONFIG_ASIGNATURAS!$B$7:$B$27,nASIG)&gt;0)*1),"")))</f>
        <v/>
      </c>
      <c r="H531" t="str">
        <f>IF(G531="","",IF(G531="[FÓRMULA MANUAL]","",IFERROR(AVERAGEIFS(nNOTA,nNIA,G531,nCUENTA,1,nASIG,"Lenguaje Musical"),"")))</f>
        <v/>
      </c>
      <c r="I531" t="str">
        <f>IF(G531="","",IF(G531="[FÓRMULA MANUAL]","",IFERROR(AVERAGEIFS(nNOTA,nNIA,G531,nCUENTA,1,nASIG,"Orquesta/Banda/Conjunto"),"")))</f>
        <v/>
      </c>
      <c r="J531" t="str">
        <f>IF(G531="","",IF(G531="[FÓRMULA MANUAL]","",IFERROR(AVERAGEIFS(nNOTA,nNIA,G531,nCUENTA,1,nASIG,"Conjunto"),"")))</f>
        <v/>
      </c>
      <c r="K531" t="str">
        <f>IF(G531="","",IF(G531="[FÓRMULA MANUAL]","",IFERROR(SUMPRODUCT((nNIA=G531)*(nCUENTA=1)*(COUNTIF(CONFIG_ASIGNATURAS!$B$7:$B$27,nASIG)&gt;0)*(nNOTA))/SUMPRODUCT((nNIA=G531)*(nCUENTA=1)*(COUNTIF(CONFIG_ASIGNATURAS!$B$7:$B$27,nASIG)&gt;0)*1),"")))</f>
        <v/>
      </c>
      <c r="N531" t="str">
        <f>IF(M531="","",IF(M531="[FÓRMULA MANUAL]","",IFERROR(AVERAGEIFS(nNOTA,nNIA,M531,nCUENTA,1,nASIG,"Armonía"),"")))</f>
        <v/>
      </c>
      <c r="O531" t="str">
        <f>IF(M531="","",IF(M531="[FÓRMULA MANUAL]","",IFERROR(AVERAGEIFS(nNOTA,nNIA,M531,nCUENTA,1,nASIG,"Orquesta/Banda/Conjunto"),"")))</f>
        <v/>
      </c>
      <c r="P531" t="str">
        <f>IF(M531="","",IF(M531="[FÓRMULA MANUAL]","",IFERROR(AVERAGEIFS(nNOTA,nNIA,M531,nCUENTA,1,nASIG,"Música de Cámara"),"")))</f>
        <v/>
      </c>
      <c r="Q531" t="str">
        <f>IF(M531="","",IF(M531="[FÓRMULA MANUAL]","",IFERROR(SUMPRODUCT((nNIA=M531)*(nCUENTA=1)*(COUNTIF(CONFIG_ASIGNATURAS!$B$7:$B$27,nASIG)&gt;0)*(nNOTA))/SUMPRODUCT((nNIA=M531)*(nCUENTA=1)*(COUNTIF(CONFIG_ASIGNATURAS!$B$7:$B$27,nASIG)&gt;0)*1),"")))</f>
        <v/>
      </c>
      <c r="T531" t="str">
        <f>IF(S531="","",IF(S531="[FÓRMULA MANUAL]","",IFERROR(AVERAGEIFS(nNOTA,nNIA,S531,nCUENTA,1,nASIG,"Armonía"),"")))</f>
        <v/>
      </c>
      <c r="U531" t="str">
        <f>IF(S531="","",IF(S531="[FÓRMULA MANUAL]","",IFERROR(AVERAGEIFS(nNOTA,nNIA,S531,nCUENTA,1,nASIG,"Orquesta/Banda/Conjunto"),"")))</f>
        <v/>
      </c>
      <c r="V531" t="str">
        <f>IF(S531="","",IF(S531="[FÓRMULA MANUAL]","",IFERROR(AVERAGEIFS(nNOTA,nNIA,S531,nCUENTA,1,nASIG,"Música de Cámara"),"")))</f>
        <v/>
      </c>
      <c r="W531" t="str">
        <f>IF(S531="","",IF(S531="[FÓRMULA MANUAL]","",IFERROR(SUMPRODUCT((nNIA=S531)*(nCUENTA=1)*(COUNTIF(CONFIG_ASIGNATURAS!$B$7:$B$27,nASIG)&gt;0)*(nNOTA))/SUMPRODUCT((nNIA=S531)*(nCUENTA=1)*(COUNTIF(CONFIG_ASIGNATURAS!$B$7:$B$27,nASIG)&gt;0)*1),"")))</f>
        <v/>
      </c>
      <c r="Z531" t="str">
        <f>IF(Y531="","",IF(Y531="[FÓRMULA MANUAL]","",IFERROR(AVERAGEIFS(nNOTA,nNIA,Y531,nCUENTA,1,nASIG,"Análisis"),"")))</f>
        <v/>
      </c>
      <c r="AA531" t="str">
        <f>IF(Y531="","",IF(Y531="[FÓRMULA MANUAL]","",IFERROR(AVERAGEIFS(nNOTA,nNIA,Y531,nCUENTA,1,nASIG,"Orquesta/Banda/Conjunto"),"")))</f>
        <v/>
      </c>
      <c r="AB531" t="str">
        <f>IF(Y531="","",IF(Y531="[FÓRMULA MANUAL]","",IFERROR(AVERAGEIFS(nNOTA,nNIA,Y531,nCUENTA,1,nASIG,"Música de Cámara"),"")))</f>
        <v/>
      </c>
      <c r="AC531" t="str">
        <f>IF(Y531="","",IF(Y531="[FÓRMULA MANUAL]","",IFERROR(SUMPRODUCT((nNIA=Y531)*(nCUENTA=1)*(COUNTIF(CONFIG_ASIGNATURAS!$B$7:$B$27,nASIG)&gt;0)*(nNOTA))/SUMPRODUCT((nNIA=Y531)*(nCUENTA=1)*(COUNTIF(CONFIG_ASIGNATURAS!$B$7:$B$27,nASIG)&gt;0)*1),"")))</f>
        <v/>
      </c>
      <c r="AF531" t="str">
        <f>IF(AE531="","",IF(AE531="[FÓRMULA MANUAL]","",IFERROR(AVERAGEIFS(nNOTA,nNIA,AE531,nCUENTA,1,nASIG,"Análisis"),"")))</f>
        <v/>
      </c>
      <c r="AG531" t="str">
        <f>IF(AE531="","",IF(AE531="[FÓRMULA MANUAL]","",IFERROR(AVERAGEIFS(nNOTA,nNIA,AE531,nCUENTA,1,nASIG,"Orquesta/Banda/Conjunto"),"")))</f>
        <v/>
      </c>
      <c r="AH531" t="str">
        <f>IF(AE531="","",IF(AE531="[FÓRMULA MANUAL]","",IFERROR(AVERAGEIFS(nNOTA,nNIA,AE531,nCUENTA,1,nASIG,"Música de Cámara"),"")))</f>
        <v/>
      </c>
      <c r="AI531" t="str">
        <f>IF(AE531="","",IF(AE531="[FÓRMULA MANUAL]","",IFERROR(SUMPRODUCT((nNIA=AE531)*(nCUENTA=1)*(COUNTIF(CONFIG_ASIGNATURAS!$B$7:$B$27,nASIG)&gt;0)*(nNOTA))/SUMPRODUCT((nNIA=AE531)*(nCUENTA=1)*(COUNTIF(CONFIG_ASIGNATURAS!$B$7:$B$27,nASIG)&gt;0)*1),"")))</f>
        <v/>
      </c>
    </row>
    <row r="532" spans="2:35" x14ac:dyDescent="0.2">
      <c r="B532" t="str">
        <f>IF(A532="","",IF(A532="[FÓRMULA MANUAL]","",IFERROR(AVERAGEIFS(nNOTA,nNIA,A532,nCUENTA,1,nASIG,"Lenguaje Musical"),"")))</f>
        <v/>
      </c>
      <c r="C532" t="str">
        <f>IF(A532="","",IF(A532="[FÓRMULA MANUAL]","",IFERROR(AVERAGEIFS(nNOTA,nNIA,A532,nCUENTA,1,nASIG,"Orquesta/Banda/Conjunto"),"")))</f>
        <v/>
      </c>
      <c r="D532" t="str">
        <f>IF(A532="","",IF(A532="[FÓRMULA MANUAL]","",IFERROR(AVERAGEIFS(nNOTA,nNIA,A532,nCUENTA,1,nASIG,"Conjunto"),"")))</f>
        <v/>
      </c>
      <c r="E532" t="str">
        <f>IF(A532="","",IF(A532="[FÓRMULA MANUAL]","",IFERROR(SUMPRODUCT((nNIA=A532)*(nCUENTA=1)*(COUNTIF(CONFIG_ASIGNATURAS!$B$7:$B$27,nASIG)&gt;0)*(nNOTA))/SUMPRODUCT((nNIA=A532)*(nCUENTA=1)*(COUNTIF(CONFIG_ASIGNATURAS!$B$7:$B$27,nASIG)&gt;0)*1),"")))</f>
        <v/>
      </c>
      <c r="H532" t="str">
        <f>IF(G532="","",IF(G532="[FÓRMULA MANUAL]","",IFERROR(AVERAGEIFS(nNOTA,nNIA,G532,nCUENTA,1,nASIG,"Lenguaje Musical"),"")))</f>
        <v/>
      </c>
      <c r="I532" t="str">
        <f>IF(G532="","",IF(G532="[FÓRMULA MANUAL]","",IFERROR(AVERAGEIFS(nNOTA,nNIA,G532,nCUENTA,1,nASIG,"Orquesta/Banda/Conjunto"),"")))</f>
        <v/>
      </c>
      <c r="J532" t="str">
        <f>IF(G532="","",IF(G532="[FÓRMULA MANUAL]","",IFERROR(AVERAGEIFS(nNOTA,nNIA,G532,nCUENTA,1,nASIG,"Conjunto"),"")))</f>
        <v/>
      </c>
      <c r="K532" t="str">
        <f>IF(G532="","",IF(G532="[FÓRMULA MANUAL]","",IFERROR(SUMPRODUCT((nNIA=G532)*(nCUENTA=1)*(COUNTIF(CONFIG_ASIGNATURAS!$B$7:$B$27,nASIG)&gt;0)*(nNOTA))/SUMPRODUCT((nNIA=G532)*(nCUENTA=1)*(COUNTIF(CONFIG_ASIGNATURAS!$B$7:$B$27,nASIG)&gt;0)*1),"")))</f>
        <v/>
      </c>
      <c r="N532" t="str">
        <f>IF(M532="","",IF(M532="[FÓRMULA MANUAL]","",IFERROR(AVERAGEIFS(nNOTA,nNIA,M532,nCUENTA,1,nASIG,"Armonía"),"")))</f>
        <v/>
      </c>
      <c r="O532" t="str">
        <f>IF(M532="","",IF(M532="[FÓRMULA MANUAL]","",IFERROR(AVERAGEIFS(nNOTA,nNIA,M532,nCUENTA,1,nASIG,"Orquesta/Banda/Conjunto"),"")))</f>
        <v/>
      </c>
      <c r="P532" t="str">
        <f>IF(M532="","",IF(M532="[FÓRMULA MANUAL]","",IFERROR(AVERAGEIFS(nNOTA,nNIA,M532,nCUENTA,1,nASIG,"Música de Cámara"),"")))</f>
        <v/>
      </c>
      <c r="Q532" t="str">
        <f>IF(M532="","",IF(M532="[FÓRMULA MANUAL]","",IFERROR(SUMPRODUCT((nNIA=M532)*(nCUENTA=1)*(COUNTIF(CONFIG_ASIGNATURAS!$B$7:$B$27,nASIG)&gt;0)*(nNOTA))/SUMPRODUCT((nNIA=M532)*(nCUENTA=1)*(COUNTIF(CONFIG_ASIGNATURAS!$B$7:$B$27,nASIG)&gt;0)*1),"")))</f>
        <v/>
      </c>
      <c r="T532" t="str">
        <f>IF(S532="","",IF(S532="[FÓRMULA MANUAL]","",IFERROR(AVERAGEIFS(nNOTA,nNIA,S532,nCUENTA,1,nASIG,"Armonía"),"")))</f>
        <v/>
      </c>
      <c r="U532" t="str">
        <f>IF(S532="","",IF(S532="[FÓRMULA MANUAL]","",IFERROR(AVERAGEIFS(nNOTA,nNIA,S532,nCUENTA,1,nASIG,"Orquesta/Banda/Conjunto"),"")))</f>
        <v/>
      </c>
      <c r="V532" t="str">
        <f>IF(S532="","",IF(S532="[FÓRMULA MANUAL]","",IFERROR(AVERAGEIFS(nNOTA,nNIA,S532,nCUENTA,1,nASIG,"Música de Cámara"),"")))</f>
        <v/>
      </c>
      <c r="W532" t="str">
        <f>IF(S532="","",IF(S532="[FÓRMULA MANUAL]","",IFERROR(SUMPRODUCT((nNIA=S532)*(nCUENTA=1)*(COUNTIF(CONFIG_ASIGNATURAS!$B$7:$B$27,nASIG)&gt;0)*(nNOTA))/SUMPRODUCT((nNIA=S532)*(nCUENTA=1)*(COUNTIF(CONFIG_ASIGNATURAS!$B$7:$B$27,nASIG)&gt;0)*1),"")))</f>
        <v/>
      </c>
      <c r="Z532" t="str">
        <f>IF(Y532="","",IF(Y532="[FÓRMULA MANUAL]","",IFERROR(AVERAGEIFS(nNOTA,nNIA,Y532,nCUENTA,1,nASIG,"Análisis"),"")))</f>
        <v/>
      </c>
      <c r="AA532" t="str">
        <f>IF(Y532="","",IF(Y532="[FÓRMULA MANUAL]","",IFERROR(AVERAGEIFS(nNOTA,nNIA,Y532,nCUENTA,1,nASIG,"Orquesta/Banda/Conjunto"),"")))</f>
        <v/>
      </c>
      <c r="AB532" t="str">
        <f>IF(Y532="","",IF(Y532="[FÓRMULA MANUAL]","",IFERROR(AVERAGEIFS(nNOTA,nNIA,Y532,nCUENTA,1,nASIG,"Música de Cámara"),"")))</f>
        <v/>
      </c>
      <c r="AC532" t="str">
        <f>IF(Y532="","",IF(Y532="[FÓRMULA MANUAL]","",IFERROR(SUMPRODUCT((nNIA=Y532)*(nCUENTA=1)*(COUNTIF(CONFIG_ASIGNATURAS!$B$7:$B$27,nASIG)&gt;0)*(nNOTA))/SUMPRODUCT((nNIA=Y532)*(nCUENTA=1)*(COUNTIF(CONFIG_ASIGNATURAS!$B$7:$B$27,nASIG)&gt;0)*1),"")))</f>
        <v/>
      </c>
      <c r="AF532" t="str">
        <f>IF(AE532="","",IF(AE532="[FÓRMULA MANUAL]","",IFERROR(AVERAGEIFS(nNOTA,nNIA,AE532,nCUENTA,1,nASIG,"Análisis"),"")))</f>
        <v/>
      </c>
      <c r="AG532" t="str">
        <f>IF(AE532="","",IF(AE532="[FÓRMULA MANUAL]","",IFERROR(AVERAGEIFS(nNOTA,nNIA,AE532,nCUENTA,1,nASIG,"Orquesta/Banda/Conjunto"),"")))</f>
        <v/>
      </c>
      <c r="AH532" t="str">
        <f>IF(AE532="","",IF(AE532="[FÓRMULA MANUAL]","",IFERROR(AVERAGEIFS(nNOTA,nNIA,AE532,nCUENTA,1,nASIG,"Música de Cámara"),"")))</f>
        <v/>
      </c>
      <c r="AI532" t="str">
        <f>IF(AE532="","",IF(AE532="[FÓRMULA MANUAL]","",IFERROR(SUMPRODUCT((nNIA=AE532)*(nCUENTA=1)*(COUNTIF(CONFIG_ASIGNATURAS!$B$7:$B$27,nASIG)&gt;0)*(nNOTA))/SUMPRODUCT((nNIA=AE532)*(nCUENTA=1)*(COUNTIF(CONFIG_ASIGNATURAS!$B$7:$B$27,nASIG)&gt;0)*1),"")))</f>
        <v/>
      </c>
    </row>
    <row r="533" spans="2:35" x14ac:dyDescent="0.2">
      <c r="B533" t="str">
        <f>IF(A533="","",IF(A533="[FÓRMULA MANUAL]","",IFERROR(AVERAGEIFS(nNOTA,nNIA,A533,nCUENTA,1,nASIG,"Lenguaje Musical"),"")))</f>
        <v/>
      </c>
      <c r="C533" t="str">
        <f>IF(A533="","",IF(A533="[FÓRMULA MANUAL]","",IFERROR(AVERAGEIFS(nNOTA,nNIA,A533,nCUENTA,1,nASIG,"Orquesta/Banda/Conjunto"),"")))</f>
        <v/>
      </c>
      <c r="D533" t="str">
        <f>IF(A533="","",IF(A533="[FÓRMULA MANUAL]","",IFERROR(AVERAGEIFS(nNOTA,nNIA,A533,nCUENTA,1,nASIG,"Conjunto"),"")))</f>
        <v/>
      </c>
      <c r="E533" t="str">
        <f>IF(A533="","",IF(A533="[FÓRMULA MANUAL]","",IFERROR(SUMPRODUCT((nNIA=A533)*(nCUENTA=1)*(COUNTIF(CONFIG_ASIGNATURAS!$B$7:$B$27,nASIG)&gt;0)*(nNOTA))/SUMPRODUCT((nNIA=A533)*(nCUENTA=1)*(COUNTIF(CONFIG_ASIGNATURAS!$B$7:$B$27,nASIG)&gt;0)*1),"")))</f>
        <v/>
      </c>
      <c r="H533" t="str">
        <f>IF(G533="","",IF(G533="[FÓRMULA MANUAL]","",IFERROR(AVERAGEIFS(nNOTA,nNIA,G533,nCUENTA,1,nASIG,"Lenguaje Musical"),"")))</f>
        <v/>
      </c>
      <c r="I533" t="str">
        <f>IF(G533="","",IF(G533="[FÓRMULA MANUAL]","",IFERROR(AVERAGEIFS(nNOTA,nNIA,G533,nCUENTA,1,nASIG,"Orquesta/Banda/Conjunto"),"")))</f>
        <v/>
      </c>
      <c r="J533" t="str">
        <f>IF(G533="","",IF(G533="[FÓRMULA MANUAL]","",IFERROR(AVERAGEIFS(nNOTA,nNIA,G533,nCUENTA,1,nASIG,"Conjunto"),"")))</f>
        <v/>
      </c>
      <c r="K533" t="str">
        <f>IF(G533="","",IF(G533="[FÓRMULA MANUAL]","",IFERROR(SUMPRODUCT((nNIA=G533)*(nCUENTA=1)*(COUNTIF(CONFIG_ASIGNATURAS!$B$7:$B$27,nASIG)&gt;0)*(nNOTA))/SUMPRODUCT((nNIA=G533)*(nCUENTA=1)*(COUNTIF(CONFIG_ASIGNATURAS!$B$7:$B$27,nASIG)&gt;0)*1),"")))</f>
        <v/>
      </c>
      <c r="N533" t="str">
        <f>IF(M533="","",IF(M533="[FÓRMULA MANUAL]","",IFERROR(AVERAGEIFS(nNOTA,nNIA,M533,nCUENTA,1,nASIG,"Armonía"),"")))</f>
        <v/>
      </c>
      <c r="O533" t="str">
        <f>IF(M533="","",IF(M533="[FÓRMULA MANUAL]","",IFERROR(AVERAGEIFS(nNOTA,nNIA,M533,nCUENTA,1,nASIG,"Orquesta/Banda/Conjunto"),"")))</f>
        <v/>
      </c>
      <c r="P533" t="str">
        <f>IF(M533="","",IF(M533="[FÓRMULA MANUAL]","",IFERROR(AVERAGEIFS(nNOTA,nNIA,M533,nCUENTA,1,nASIG,"Música de Cámara"),"")))</f>
        <v/>
      </c>
      <c r="Q533" t="str">
        <f>IF(M533="","",IF(M533="[FÓRMULA MANUAL]","",IFERROR(SUMPRODUCT((nNIA=M533)*(nCUENTA=1)*(COUNTIF(CONFIG_ASIGNATURAS!$B$7:$B$27,nASIG)&gt;0)*(nNOTA))/SUMPRODUCT((nNIA=M533)*(nCUENTA=1)*(COUNTIF(CONFIG_ASIGNATURAS!$B$7:$B$27,nASIG)&gt;0)*1),"")))</f>
        <v/>
      </c>
      <c r="T533" t="str">
        <f>IF(S533="","",IF(S533="[FÓRMULA MANUAL]","",IFERROR(AVERAGEIFS(nNOTA,nNIA,S533,nCUENTA,1,nASIG,"Armonía"),"")))</f>
        <v/>
      </c>
      <c r="U533" t="str">
        <f>IF(S533="","",IF(S533="[FÓRMULA MANUAL]","",IFERROR(AVERAGEIFS(nNOTA,nNIA,S533,nCUENTA,1,nASIG,"Orquesta/Banda/Conjunto"),"")))</f>
        <v/>
      </c>
      <c r="V533" t="str">
        <f>IF(S533="","",IF(S533="[FÓRMULA MANUAL]","",IFERROR(AVERAGEIFS(nNOTA,nNIA,S533,nCUENTA,1,nASIG,"Música de Cámara"),"")))</f>
        <v/>
      </c>
      <c r="W533" t="str">
        <f>IF(S533="","",IF(S533="[FÓRMULA MANUAL]","",IFERROR(SUMPRODUCT((nNIA=S533)*(nCUENTA=1)*(COUNTIF(CONFIG_ASIGNATURAS!$B$7:$B$27,nASIG)&gt;0)*(nNOTA))/SUMPRODUCT((nNIA=S533)*(nCUENTA=1)*(COUNTIF(CONFIG_ASIGNATURAS!$B$7:$B$27,nASIG)&gt;0)*1),"")))</f>
        <v/>
      </c>
      <c r="Z533" t="str">
        <f>IF(Y533="","",IF(Y533="[FÓRMULA MANUAL]","",IFERROR(AVERAGEIFS(nNOTA,nNIA,Y533,nCUENTA,1,nASIG,"Análisis"),"")))</f>
        <v/>
      </c>
      <c r="AA533" t="str">
        <f>IF(Y533="","",IF(Y533="[FÓRMULA MANUAL]","",IFERROR(AVERAGEIFS(nNOTA,nNIA,Y533,nCUENTA,1,nASIG,"Orquesta/Banda/Conjunto"),"")))</f>
        <v/>
      </c>
      <c r="AB533" t="str">
        <f>IF(Y533="","",IF(Y533="[FÓRMULA MANUAL]","",IFERROR(AVERAGEIFS(nNOTA,nNIA,Y533,nCUENTA,1,nASIG,"Música de Cámara"),"")))</f>
        <v/>
      </c>
      <c r="AC533" t="str">
        <f>IF(Y533="","",IF(Y533="[FÓRMULA MANUAL]","",IFERROR(SUMPRODUCT((nNIA=Y533)*(nCUENTA=1)*(COUNTIF(CONFIG_ASIGNATURAS!$B$7:$B$27,nASIG)&gt;0)*(nNOTA))/SUMPRODUCT((nNIA=Y533)*(nCUENTA=1)*(COUNTIF(CONFIG_ASIGNATURAS!$B$7:$B$27,nASIG)&gt;0)*1),"")))</f>
        <v/>
      </c>
      <c r="AF533" t="str">
        <f>IF(AE533="","",IF(AE533="[FÓRMULA MANUAL]","",IFERROR(AVERAGEIFS(nNOTA,nNIA,AE533,nCUENTA,1,nASIG,"Análisis"),"")))</f>
        <v/>
      </c>
      <c r="AG533" t="str">
        <f>IF(AE533="","",IF(AE533="[FÓRMULA MANUAL]","",IFERROR(AVERAGEIFS(nNOTA,nNIA,AE533,nCUENTA,1,nASIG,"Orquesta/Banda/Conjunto"),"")))</f>
        <v/>
      </c>
      <c r="AH533" t="str">
        <f>IF(AE533="","",IF(AE533="[FÓRMULA MANUAL]","",IFERROR(AVERAGEIFS(nNOTA,nNIA,AE533,nCUENTA,1,nASIG,"Música de Cámara"),"")))</f>
        <v/>
      </c>
      <c r="AI533" t="str">
        <f>IF(AE533="","",IF(AE533="[FÓRMULA MANUAL]","",IFERROR(SUMPRODUCT((nNIA=AE533)*(nCUENTA=1)*(COUNTIF(CONFIG_ASIGNATURAS!$B$7:$B$27,nASIG)&gt;0)*(nNOTA))/SUMPRODUCT((nNIA=AE533)*(nCUENTA=1)*(COUNTIF(CONFIG_ASIGNATURAS!$B$7:$B$27,nASIG)&gt;0)*1),"")))</f>
        <v/>
      </c>
    </row>
    <row r="534" spans="2:35" x14ac:dyDescent="0.2">
      <c r="B534" t="str">
        <f>IF(A534="","",IF(A534="[FÓRMULA MANUAL]","",IFERROR(AVERAGEIFS(nNOTA,nNIA,A534,nCUENTA,1,nASIG,"Lenguaje Musical"),"")))</f>
        <v/>
      </c>
      <c r="C534" t="str">
        <f>IF(A534="","",IF(A534="[FÓRMULA MANUAL]","",IFERROR(AVERAGEIFS(nNOTA,nNIA,A534,nCUENTA,1,nASIG,"Orquesta/Banda/Conjunto"),"")))</f>
        <v/>
      </c>
      <c r="D534" t="str">
        <f>IF(A534="","",IF(A534="[FÓRMULA MANUAL]","",IFERROR(AVERAGEIFS(nNOTA,nNIA,A534,nCUENTA,1,nASIG,"Conjunto"),"")))</f>
        <v/>
      </c>
      <c r="E534" t="str">
        <f>IF(A534="","",IF(A534="[FÓRMULA MANUAL]","",IFERROR(SUMPRODUCT((nNIA=A534)*(nCUENTA=1)*(COUNTIF(CONFIG_ASIGNATURAS!$B$7:$B$27,nASIG)&gt;0)*(nNOTA))/SUMPRODUCT((nNIA=A534)*(nCUENTA=1)*(COUNTIF(CONFIG_ASIGNATURAS!$B$7:$B$27,nASIG)&gt;0)*1),"")))</f>
        <v/>
      </c>
      <c r="H534" t="str">
        <f>IF(G534="","",IF(G534="[FÓRMULA MANUAL]","",IFERROR(AVERAGEIFS(nNOTA,nNIA,G534,nCUENTA,1,nASIG,"Lenguaje Musical"),"")))</f>
        <v/>
      </c>
      <c r="I534" t="str">
        <f>IF(G534="","",IF(G534="[FÓRMULA MANUAL]","",IFERROR(AVERAGEIFS(nNOTA,nNIA,G534,nCUENTA,1,nASIG,"Orquesta/Banda/Conjunto"),"")))</f>
        <v/>
      </c>
      <c r="J534" t="str">
        <f>IF(G534="","",IF(G534="[FÓRMULA MANUAL]","",IFERROR(AVERAGEIFS(nNOTA,nNIA,G534,nCUENTA,1,nASIG,"Conjunto"),"")))</f>
        <v/>
      </c>
      <c r="K534" t="str">
        <f>IF(G534="","",IF(G534="[FÓRMULA MANUAL]","",IFERROR(SUMPRODUCT((nNIA=G534)*(nCUENTA=1)*(COUNTIF(CONFIG_ASIGNATURAS!$B$7:$B$27,nASIG)&gt;0)*(nNOTA))/SUMPRODUCT((nNIA=G534)*(nCUENTA=1)*(COUNTIF(CONFIG_ASIGNATURAS!$B$7:$B$27,nASIG)&gt;0)*1),"")))</f>
        <v/>
      </c>
      <c r="N534" t="str">
        <f>IF(M534="","",IF(M534="[FÓRMULA MANUAL]","",IFERROR(AVERAGEIFS(nNOTA,nNIA,M534,nCUENTA,1,nASIG,"Armonía"),"")))</f>
        <v/>
      </c>
      <c r="O534" t="str">
        <f>IF(M534="","",IF(M534="[FÓRMULA MANUAL]","",IFERROR(AVERAGEIFS(nNOTA,nNIA,M534,nCUENTA,1,nASIG,"Orquesta/Banda/Conjunto"),"")))</f>
        <v/>
      </c>
      <c r="P534" t="str">
        <f>IF(M534="","",IF(M534="[FÓRMULA MANUAL]","",IFERROR(AVERAGEIFS(nNOTA,nNIA,M534,nCUENTA,1,nASIG,"Música de Cámara"),"")))</f>
        <v/>
      </c>
      <c r="Q534" t="str">
        <f>IF(M534="","",IF(M534="[FÓRMULA MANUAL]","",IFERROR(SUMPRODUCT((nNIA=M534)*(nCUENTA=1)*(COUNTIF(CONFIG_ASIGNATURAS!$B$7:$B$27,nASIG)&gt;0)*(nNOTA))/SUMPRODUCT((nNIA=M534)*(nCUENTA=1)*(COUNTIF(CONFIG_ASIGNATURAS!$B$7:$B$27,nASIG)&gt;0)*1),"")))</f>
        <v/>
      </c>
      <c r="T534" t="str">
        <f>IF(S534="","",IF(S534="[FÓRMULA MANUAL]","",IFERROR(AVERAGEIFS(nNOTA,nNIA,S534,nCUENTA,1,nASIG,"Armonía"),"")))</f>
        <v/>
      </c>
      <c r="U534" t="str">
        <f>IF(S534="","",IF(S534="[FÓRMULA MANUAL]","",IFERROR(AVERAGEIFS(nNOTA,nNIA,S534,nCUENTA,1,nASIG,"Orquesta/Banda/Conjunto"),"")))</f>
        <v/>
      </c>
      <c r="V534" t="str">
        <f>IF(S534="","",IF(S534="[FÓRMULA MANUAL]","",IFERROR(AVERAGEIFS(nNOTA,nNIA,S534,nCUENTA,1,nASIG,"Música de Cámara"),"")))</f>
        <v/>
      </c>
      <c r="W534" t="str">
        <f>IF(S534="","",IF(S534="[FÓRMULA MANUAL]","",IFERROR(SUMPRODUCT((nNIA=S534)*(nCUENTA=1)*(COUNTIF(CONFIG_ASIGNATURAS!$B$7:$B$27,nASIG)&gt;0)*(nNOTA))/SUMPRODUCT((nNIA=S534)*(nCUENTA=1)*(COUNTIF(CONFIG_ASIGNATURAS!$B$7:$B$27,nASIG)&gt;0)*1),"")))</f>
        <v/>
      </c>
      <c r="Z534" t="str">
        <f>IF(Y534="","",IF(Y534="[FÓRMULA MANUAL]","",IFERROR(AVERAGEIFS(nNOTA,nNIA,Y534,nCUENTA,1,nASIG,"Análisis"),"")))</f>
        <v/>
      </c>
      <c r="AA534" t="str">
        <f>IF(Y534="","",IF(Y534="[FÓRMULA MANUAL]","",IFERROR(AVERAGEIFS(nNOTA,nNIA,Y534,nCUENTA,1,nASIG,"Orquesta/Banda/Conjunto"),"")))</f>
        <v/>
      </c>
      <c r="AB534" t="str">
        <f>IF(Y534="","",IF(Y534="[FÓRMULA MANUAL]","",IFERROR(AVERAGEIFS(nNOTA,nNIA,Y534,nCUENTA,1,nASIG,"Música de Cámara"),"")))</f>
        <v/>
      </c>
      <c r="AC534" t="str">
        <f>IF(Y534="","",IF(Y534="[FÓRMULA MANUAL]","",IFERROR(SUMPRODUCT((nNIA=Y534)*(nCUENTA=1)*(COUNTIF(CONFIG_ASIGNATURAS!$B$7:$B$27,nASIG)&gt;0)*(nNOTA))/SUMPRODUCT((nNIA=Y534)*(nCUENTA=1)*(COUNTIF(CONFIG_ASIGNATURAS!$B$7:$B$27,nASIG)&gt;0)*1),"")))</f>
        <v/>
      </c>
      <c r="AF534" t="str">
        <f>IF(AE534="","",IF(AE534="[FÓRMULA MANUAL]","",IFERROR(AVERAGEIFS(nNOTA,nNIA,AE534,nCUENTA,1,nASIG,"Análisis"),"")))</f>
        <v/>
      </c>
      <c r="AG534" t="str">
        <f>IF(AE534="","",IF(AE534="[FÓRMULA MANUAL]","",IFERROR(AVERAGEIFS(nNOTA,nNIA,AE534,nCUENTA,1,nASIG,"Orquesta/Banda/Conjunto"),"")))</f>
        <v/>
      </c>
      <c r="AH534" t="str">
        <f>IF(AE534="","",IF(AE534="[FÓRMULA MANUAL]","",IFERROR(AVERAGEIFS(nNOTA,nNIA,AE534,nCUENTA,1,nASIG,"Música de Cámara"),"")))</f>
        <v/>
      </c>
      <c r="AI534" t="str">
        <f>IF(AE534="","",IF(AE534="[FÓRMULA MANUAL]","",IFERROR(SUMPRODUCT((nNIA=AE534)*(nCUENTA=1)*(COUNTIF(CONFIG_ASIGNATURAS!$B$7:$B$27,nASIG)&gt;0)*(nNOTA))/SUMPRODUCT((nNIA=AE534)*(nCUENTA=1)*(COUNTIF(CONFIG_ASIGNATURAS!$B$7:$B$27,nASIG)&gt;0)*1),"")))</f>
        <v/>
      </c>
    </row>
    <row r="535" spans="2:35" x14ac:dyDescent="0.2">
      <c r="B535" t="str">
        <f>IF(A535="","",IF(A535="[FÓRMULA MANUAL]","",IFERROR(AVERAGEIFS(nNOTA,nNIA,A535,nCUENTA,1,nASIG,"Lenguaje Musical"),"")))</f>
        <v/>
      </c>
      <c r="C535" t="str">
        <f>IF(A535="","",IF(A535="[FÓRMULA MANUAL]","",IFERROR(AVERAGEIFS(nNOTA,nNIA,A535,nCUENTA,1,nASIG,"Orquesta/Banda/Conjunto"),"")))</f>
        <v/>
      </c>
      <c r="D535" t="str">
        <f>IF(A535="","",IF(A535="[FÓRMULA MANUAL]","",IFERROR(AVERAGEIFS(nNOTA,nNIA,A535,nCUENTA,1,nASIG,"Conjunto"),"")))</f>
        <v/>
      </c>
      <c r="E535" t="str">
        <f>IF(A535="","",IF(A535="[FÓRMULA MANUAL]","",IFERROR(SUMPRODUCT((nNIA=A535)*(nCUENTA=1)*(COUNTIF(CONFIG_ASIGNATURAS!$B$7:$B$27,nASIG)&gt;0)*(nNOTA))/SUMPRODUCT((nNIA=A535)*(nCUENTA=1)*(COUNTIF(CONFIG_ASIGNATURAS!$B$7:$B$27,nASIG)&gt;0)*1),"")))</f>
        <v/>
      </c>
      <c r="H535" t="str">
        <f>IF(G535="","",IF(G535="[FÓRMULA MANUAL]","",IFERROR(AVERAGEIFS(nNOTA,nNIA,G535,nCUENTA,1,nASIG,"Lenguaje Musical"),"")))</f>
        <v/>
      </c>
      <c r="I535" t="str">
        <f>IF(G535="","",IF(G535="[FÓRMULA MANUAL]","",IFERROR(AVERAGEIFS(nNOTA,nNIA,G535,nCUENTA,1,nASIG,"Orquesta/Banda/Conjunto"),"")))</f>
        <v/>
      </c>
      <c r="J535" t="str">
        <f>IF(G535="","",IF(G535="[FÓRMULA MANUAL]","",IFERROR(AVERAGEIFS(nNOTA,nNIA,G535,nCUENTA,1,nASIG,"Conjunto"),"")))</f>
        <v/>
      </c>
      <c r="K535" t="str">
        <f>IF(G535="","",IF(G535="[FÓRMULA MANUAL]","",IFERROR(SUMPRODUCT((nNIA=G535)*(nCUENTA=1)*(COUNTIF(CONFIG_ASIGNATURAS!$B$7:$B$27,nASIG)&gt;0)*(nNOTA))/SUMPRODUCT((nNIA=G535)*(nCUENTA=1)*(COUNTIF(CONFIG_ASIGNATURAS!$B$7:$B$27,nASIG)&gt;0)*1),"")))</f>
        <v/>
      </c>
      <c r="N535" t="str">
        <f>IF(M535="","",IF(M535="[FÓRMULA MANUAL]","",IFERROR(AVERAGEIFS(nNOTA,nNIA,M535,nCUENTA,1,nASIG,"Armonía"),"")))</f>
        <v/>
      </c>
      <c r="O535" t="str">
        <f>IF(M535="","",IF(M535="[FÓRMULA MANUAL]","",IFERROR(AVERAGEIFS(nNOTA,nNIA,M535,nCUENTA,1,nASIG,"Orquesta/Banda/Conjunto"),"")))</f>
        <v/>
      </c>
      <c r="P535" t="str">
        <f>IF(M535="","",IF(M535="[FÓRMULA MANUAL]","",IFERROR(AVERAGEIFS(nNOTA,nNIA,M535,nCUENTA,1,nASIG,"Música de Cámara"),"")))</f>
        <v/>
      </c>
      <c r="Q535" t="str">
        <f>IF(M535="","",IF(M535="[FÓRMULA MANUAL]","",IFERROR(SUMPRODUCT((nNIA=M535)*(nCUENTA=1)*(COUNTIF(CONFIG_ASIGNATURAS!$B$7:$B$27,nASIG)&gt;0)*(nNOTA))/SUMPRODUCT((nNIA=M535)*(nCUENTA=1)*(COUNTIF(CONFIG_ASIGNATURAS!$B$7:$B$27,nASIG)&gt;0)*1),"")))</f>
        <v/>
      </c>
      <c r="T535" t="str">
        <f>IF(S535="","",IF(S535="[FÓRMULA MANUAL]","",IFERROR(AVERAGEIFS(nNOTA,nNIA,S535,nCUENTA,1,nASIG,"Armonía"),"")))</f>
        <v/>
      </c>
      <c r="U535" t="str">
        <f>IF(S535="","",IF(S535="[FÓRMULA MANUAL]","",IFERROR(AVERAGEIFS(nNOTA,nNIA,S535,nCUENTA,1,nASIG,"Orquesta/Banda/Conjunto"),"")))</f>
        <v/>
      </c>
      <c r="V535" t="str">
        <f>IF(S535="","",IF(S535="[FÓRMULA MANUAL]","",IFERROR(AVERAGEIFS(nNOTA,nNIA,S535,nCUENTA,1,nASIG,"Música de Cámara"),"")))</f>
        <v/>
      </c>
      <c r="W535" t="str">
        <f>IF(S535="","",IF(S535="[FÓRMULA MANUAL]","",IFERROR(SUMPRODUCT((nNIA=S535)*(nCUENTA=1)*(COUNTIF(CONFIG_ASIGNATURAS!$B$7:$B$27,nASIG)&gt;0)*(nNOTA))/SUMPRODUCT((nNIA=S535)*(nCUENTA=1)*(COUNTIF(CONFIG_ASIGNATURAS!$B$7:$B$27,nASIG)&gt;0)*1),"")))</f>
        <v/>
      </c>
      <c r="Z535" t="str">
        <f>IF(Y535="","",IF(Y535="[FÓRMULA MANUAL]","",IFERROR(AVERAGEIFS(nNOTA,nNIA,Y535,nCUENTA,1,nASIG,"Análisis"),"")))</f>
        <v/>
      </c>
      <c r="AA535" t="str">
        <f>IF(Y535="","",IF(Y535="[FÓRMULA MANUAL]","",IFERROR(AVERAGEIFS(nNOTA,nNIA,Y535,nCUENTA,1,nASIG,"Orquesta/Banda/Conjunto"),"")))</f>
        <v/>
      </c>
      <c r="AB535" t="str">
        <f>IF(Y535="","",IF(Y535="[FÓRMULA MANUAL]","",IFERROR(AVERAGEIFS(nNOTA,nNIA,Y535,nCUENTA,1,nASIG,"Música de Cámara"),"")))</f>
        <v/>
      </c>
      <c r="AC535" t="str">
        <f>IF(Y535="","",IF(Y535="[FÓRMULA MANUAL]","",IFERROR(SUMPRODUCT((nNIA=Y535)*(nCUENTA=1)*(COUNTIF(CONFIG_ASIGNATURAS!$B$7:$B$27,nASIG)&gt;0)*(nNOTA))/SUMPRODUCT((nNIA=Y535)*(nCUENTA=1)*(COUNTIF(CONFIG_ASIGNATURAS!$B$7:$B$27,nASIG)&gt;0)*1),"")))</f>
        <v/>
      </c>
      <c r="AF535" t="str">
        <f>IF(AE535="","",IF(AE535="[FÓRMULA MANUAL]","",IFERROR(AVERAGEIFS(nNOTA,nNIA,AE535,nCUENTA,1,nASIG,"Análisis"),"")))</f>
        <v/>
      </c>
      <c r="AG535" t="str">
        <f>IF(AE535="","",IF(AE535="[FÓRMULA MANUAL]","",IFERROR(AVERAGEIFS(nNOTA,nNIA,AE535,nCUENTA,1,nASIG,"Orquesta/Banda/Conjunto"),"")))</f>
        <v/>
      </c>
      <c r="AH535" t="str">
        <f>IF(AE535="","",IF(AE535="[FÓRMULA MANUAL]","",IFERROR(AVERAGEIFS(nNOTA,nNIA,AE535,nCUENTA,1,nASIG,"Música de Cámara"),"")))</f>
        <v/>
      </c>
      <c r="AI535" t="str">
        <f>IF(AE535="","",IF(AE535="[FÓRMULA MANUAL]","",IFERROR(SUMPRODUCT((nNIA=AE535)*(nCUENTA=1)*(COUNTIF(CONFIG_ASIGNATURAS!$B$7:$B$27,nASIG)&gt;0)*(nNOTA))/SUMPRODUCT((nNIA=AE535)*(nCUENTA=1)*(COUNTIF(CONFIG_ASIGNATURAS!$B$7:$B$27,nASIG)&gt;0)*1),"")))</f>
        <v/>
      </c>
    </row>
    <row r="536" spans="2:35" x14ac:dyDescent="0.2">
      <c r="B536" t="str">
        <f>IF(A536="","",IF(A536="[FÓRMULA MANUAL]","",IFERROR(AVERAGEIFS(nNOTA,nNIA,A536,nCUENTA,1,nASIG,"Lenguaje Musical"),"")))</f>
        <v/>
      </c>
      <c r="C536" t="str">
        <f>IF(A536="","",IF(A536="[FÓRMULA MANUAL]","",IFERROR(AVERAGEIFS(nNOTA,nNIA,A536,nCUENTA,1,nASIG,"Orquesta/Banda/Conjunto"),"")))</f>
        <v/>
      </c>
      <c r="D536" t="str">
        <f>IF(A536="","",IF(A536="[FÓRMULA MANUAL]","",IFERROR(AVERAGEIFS(nNOTA,nNIA,A536,nCUENTA,1,nASIG,"Conjunto"),"")))</f>
        <v/>
      </c>
      <c r="E536" t="str">
        <f>IF(A536="","",IF(A536="[FÓRMULA MANUAL]","",IFERROR(SUMPRODUCT((nNIA=A536)*(nCUENTA=1)*(COUNTIF(CONFIG_ASIGNATURAS!$B$7:$B$27,nASIG)&gt;0)*(nNOTA))/SUMPRODUCT((nNIA=A536)*(nCUENTA=1)*(COUNTIF(CONFIG_ASIGNATURAS!$B$7:$B$27,nASIG)&gt;0)*1),"")))</f>
        <v/>
      </c>
      <c r="H536" t="str">
        <f>IF(G536="","",IF(G536="[FÓRMULA MANUAL]","",IFERROR(AVERAGEIFS(nNOTA,nNIA,G536,nCUENTA,1,nASIG,"Lenguaje Musical"),"")))</f>
        <v/>
      </c>
      <c r="I536" t="str">
        <f>IF(G536="","",IF(G536="[FÓRMULA MANUAL]","",IFERROR(AVERAGEIFS(nNOTA,nNIA,G536,nCUENTA,1,nASIG,"Orquesta/Banda/Conjunto"),"")))</f>
        <v/>
      </c>
      <c r="J536" t="str">
        <f>IF(G536="","",IF(G536="[FÓRMULA MANUAL]","",IFERROR(AVERAGEIFS(nNOTA,nNIA,G536,nCUENTA,1,nASIG,"Conjunto"),"")))</f>
        <v/>
      </c>
      <c r="K536" t="str">
        <f>IF(G536="","",IF(G536="[FÓRMULA MANUAL]","",IFERROR(SUMPRODUCT((nNIA=G536)*(nCUENTA=1)*(COUNTIF(CONFIG_ASIGNATURAS!$B$7:$B$27,nASIG)&gt;0)*(nNOTA))/SUMPRODUCT((nNIA=G536)*(nCUENTA=1)*(COUNTIF(CONFIG_ASIGNATURAS!$B$7:$B$27,nASIG)&gt;0)*1),"")))</f>
        <v/>
      </c>
      <c r="N536" t="str">
        <f>IF(M536="","",IF(M536="[FÓRMULA MANUAL]","",IFERROR(AVERAGEIFS(nNOTA,nNIA,M536,nCUENTA,1,nASIG,"Armonía"),"")))</f>
        <v/>
      </c>
      <c r="O536" t="str">
        <f>IF(M536="","",IF(M536="[FÓRMULA MANUAL]","",IFERROR(AVERAGEIFS(nNOTA,nNIA,M536,nCUENTA,1,nASIG,"Orquesta/Banda/Conjunto"),"")))</f>
        <v/>
      </c>
      <c r="P536" t="str">
        <f>IF(M536="","",IF(M536="[FÓRMULA MANUAL]","",IFERROR(AVERAGEIFS(nNOTA,nNIA,M536,nCUENTA,1,nASIG,"Música de Cámara"),"")))</f>
        <v/>
      </c>
      <c r="Q536" t="str">
        <f>IF(M536="","",IF(M536="[FÓRMULA MANUAL]","",IFERROR(SUMPRODUCT((nNIA=M536)*(nCUENTA=1)*(COUNTIF(CONFIG_ASIGNATURAS!$B$7:$B$27,nASIG)&gt;0)*(nNOTA))/SUMPRODUCT((nNIA=M536)*(nCUENTA=1)*(COUNTIF(CONFIG_ASIGNATURAS!$B$7:$B$27,nASIG)&gt;0)*1),"")))</f>
        <v/>
      </c>
      <c r="T536" t="str">
        <f>IF(S536="","",IF(S536="[FÓRMULA MANUAL]","",IFERROR(AVERAGEIFS(nNOTA,nNIA,S536,nCUENTA,1,nASIG,"Armonía"),"")))</f>
        <v/>
      </c>
      <c r="U536" t="str">
        <f>IF(S536="","",IF(S536="[FÓRMULA MANUAL]","",IFERROR(AVERAGEIFS(nNOTA,nNIA,S536,nCUENTA,1,nASIG,"Orquesta/Banda/Conjunto"),"")))</f>
        <v/>
      </c>
      <c r="V536" t="str">
        <f>IF(S536="","",IF(S536="[FÓRMULA MANUAL]","",IFERROR(AVERAGEIFS(nNOTA,nNIA,S536,nCUENTA,1,nASIG,"Música de Cámara"),"")))</f>
        <v/>
      </c>
      <c r="W536" t="str">
        <f>IF(S536="","",IF(S536="[FÓRMULA MANUAL]","",IFERROR(SUMPRODUCT((nNIA=S536)*(nCUENTA=1)*(COUNTIF(CONFIG_ASIGNATURAS!$B$7:$B$27,nASIG)&gt;0)*(nNOTA))/SUMPRODUCT((nNIA=S536)*(nCUENTA=1)*(COUNTIF(CONFIG_ASIGNATURAS!$B$7:$B$27,nASIG)&gt;0)*1),"")))</f>
        <v/>
      </c>
      <c r="Z536" t="str">
        <f>IF(Y536="","",IF(Y536="[FÓRMULA MANUAL]","",IFERROR(AVERAGEIFS(nNOTA,nNIA,Y536,nCUENTA,1,nASIG,"Análisis"),"")))</f>
        <v/>
      </c>
      <c r="AA536" t="str">
        <f>IF(Y536="","",IF(Y536="[FÓRMULA MANUAL]","",IFERROR(AVERAGEIFS(nNOTA,nNIA,Y536,nCUENTA,1,nASIG,"Orquesta/Banda/Conjunto"),"")))</f>
        <v/>
      </c>
      <c r="AB536" t="str">
        <f>IF(Y536="","",IF(Y536="[FÓRMULA MANUAL]","",IFERROR(AVERAGEIFS(nNOTA,nNIA,Y536,nCUENTA,1,nASIG,"Música de Cámara"),"")))</f>
        <v/>
      </c>
      <c r="AC536" t="str">
        <f>IF(Y536="","",IF(Y536="[FÓRMULA MANUAL]","",IFERROR(SUMPRODUCT((nNIA=Y536)*(nCUENTA=1)*(COUNTIF(CONFIG_ASIGNATURAS!$B$7:$B$27,nASIG)&gt;0)*(nNOTA))/SUMPRODUCT((nNIA=Y536)*(nCUENTA=1)*(COUNTIF(CONFIG_ASIGNATURAS!$B$7:$B$27,nASIG)&gt;0)*1),"")))</f>
        <v/>
      </c>
      <c r="AF536" t="str">
        <f>IF(AE536="","",IF(AE536="[FÓRMULA MANUAL]","",IFERROR(AVERAGEIFS(nNOTA,nNIA,AE536,nCUENTA,1,nASIG,"Análisis"),"")))</f>
        <v/>
      </c>
      <c r="AG536" t="str">
        <f>IF(AE536="","",IF(AE536="[FÓRMULA MANUAL]","",IFERROR(AVERAGEIFS(nNOTA,nNIA,AE536,nCUENTA,1,nASIG,"Orquesta/Banda/Conjunto"),"")))</f>
        <v/>
      </c>
      <c r="AH536" t="str">
        <f>IF(AE536="","",IF(AE536="[FÓRMULA MANUAL]","",IFERROR(AVERAGEIFS(nNOTA,nNIA,AE536,nCUENTA,1,nASIG,"Música de Cámara"),"")))</f>
        <v/>
      </c>
      <c r="AI536" t="str">
        <f>IF(AE536="","",IF(AE536="[FÓRMULA MANUAL]","",IFERROR(SUMPRODUCT((nNIA=AE536)*(nCUENTA=1)*(COUNTIF(CONFIG_ASIGNATURAS!$B$7:$B$27,nASIG)&gt;0)*(nNOTA))/SUMPRODUCT((nNIA=AE536)*(nCUENTA=1)*(COUNTIF(CONFIG_ASIGNATURAS!$B$7:$B$27,nASIG)&gt;0)*1),"")))</f>
        <v/>
      </c>
    </row>
    <row r="537" spans="2:35" x14ac:dyDescent="0.2">
      <c r="B537" t="str">
        <f>IF(A537="","",IF(A537="[FÓRMULA MANUAL]","",IFERROR(AVERAGEIFS(nNOTA,nNIA,A537,nCUENTA,1,nASIG,"Lenguaje Musical"),"")))</f>
        <v/>
      </c>
      <c r="C537" t="str">
        <f>IF(A537="","",IF(A537="[FÓRMULA MANUAL]","",IFERROR(AVERAGEIFS(nNOTA,nNIA,A537,nCUENTA,1,nASIG,"Orquesta/Banda/Conjunto"),"")))</f>
        <v/>
      </c>
      <c r="D537" t="str">
        <f>IF(A537="","",IF(A537="[FÓRMULA MANUAL]","",IFERROR(AVERAGEIFS(nNOTA,nNIA,A537,nCUENTA,1,nASIG,"Conjunto"),"")))</f>
        <v/>
      </c>
      <c r="E537" t="str">
        <f>IF(A537="","",IF(A537="[FÓRMULA MANUAL]","",IFERROR(SUMPRODUCT((nNIA=A537)*(nCUENTA=1)*(COUNTIF(CONFIG_ASIGNATURAS!$B$7:$B$27,nASIG)&gt;0)*(nNOTA))/SUMPRODUCT((nNIA=A537)*(nCUENTA=1)*(COUNTIF(CONFIG_ASIGNATURAS!$B$7:$B$27,nASIG)&gt;0)*1),"")))</f>
        <v/>
      </c>
      <c r="H537" t="str">
        <f>IF(G537="","",IF(G537="[FÓRMULA MANUAL]","",IFERROR(AVERAGEIFS(nNOTA,nNIA,G537,nCUENTA,1,nASIG,"Lenguaje Musical"),"")))</f>
        <v/>
      </c>
      <c r="I537" t="str">
        <f>IF(G537="","",IF(G537="[FÓRMULA MANUAL]","",IFERROR(AVERAGEIFS(nNOTA,nNIA,G537,nCUENTA,1,nASIG,"Orquesta/Banda/Conjunto"),"")))</f>
        <v/>
      </c>
      <c r="J537" t="str">
        <f>IF(G537="","",IF(G537="[FÓRMULA MANUAL]","",IFERROR(AVERAGEIFS(nNOTA,nNIA,G537,nCUENTA,1,nASIG,"Conjunto"),"")))</f>
        <v/>
      </c>
      <c r="K537" t="str">
        <f>IF(G537="","",IF(G537="[FÓRMULA MANUAL]","",IFERROR(SUMPRODUCT((nNIA=G537)*(nCUENTA=1)*(COUNTIF(CONFIG_ASIGNATURAS!$B$7:$B$27,nASIG)&gt;0)*(nNOTA))/SUMPRODUCT((nNIA=G537)*(nCUENTA=1)*(COUNTIF(CONFIG_ASIGNATURAS!$B$7:$B$27,nASIG)&gt;0)*1),"")))</f>
        <v/>
      </c>
      <c r="N537" t="str">
        <f>IF(M537="","",IF(M537="[FÓRMULA MANUAL]","",IFERROR(AVERAGEIFS(nNOTA,nNIA,M537,nCUENTA,1,nASIG,"Armonía"),"")))</f>
        <v/>
      </c>
      <c r="O537" t="str">
        <f>IF(M537="","",IF(M537="[FÓRMULA MANUAL]","",IFERROR(AVERAGEIFS(nNOTA,nNIA,M537,nCUENTA,1,nASIG,"Orquesta/Banda/Conjunto"),"")))</f>
        <v/>
      </c>
      <c r="P537" t="str">
        <f>IF(M537="","",IF(M537="[FÓRMULA MANUAL]","",IFERROR(AVERAGEIFS(nNOTA,nNIA,M537,nCUENTA,1,nASIG,"Música de Cámara"),"")))</f>
        <v/>
      </c>
      <c r="Q537" t="str">
        <f>IF(M537="","",IF(M537="[FÓRMULA MANUAL]","",IFERROR(SUMPRODUCT((nNIA=M537)*(nCUENTA=1)*(COUNTIF(CONFIG_ASIGNATURAS!$B$7:$B$27,nASIG)&gt;0)*(nNOTA))/SUMPRODUCT((nNIA=M537)*(nCUENTA=1)*(COUNTIF(CONFIG_ASIGNATURAS!$B$7:$B$27,nASIG)&gt;0)*1),"")))</f>
        <v/>
      </c>
      <c r="T537" t="str">
        <f>IF(S537="","",IF(S537="[FÓRMULA MANUAL]","",IFERROR(AVERAGEIFS(nNOTA,nNIA,S537,nCUENTA,1,nASIG,"Armonía"),"")))</f>
        <v/>
      </c>
      <c r="U537" t="str">
        <f>IF(S537="","",IF(S537="[FÓRMULA MANUAL]","",IFERROR(AVERAGEIFS(nNOTA,nNIA,S537,nCUENTA,1,nASIG,"Orquesta/Banda/Conjunto"),"")))</f>
        <v/>
      </c>
      <c r="V537" t="str">
        <f>IF(S537="","",IF(S537="[FÓRMULA MANUAL]","",IFERROR(AVERAGEIFS(nNOTA,nNIA,S537,nCUENTA,1,nASIG,"Música de Cámara"),"")))</f>
        <v/>
      </c>
      <c r="W537" t="str">
        <f>IF(S537="","",IF(S537="[FÓRMULA MANUAL]","",IFERROR(SUMPRODUCT((nNIA=S537)*(nCUENTA=1)*(COUNTIF(CONFIG_ASIGNATURAS!$B$7:$B$27,nASIG)&gt;0)*(nNOTA))/SUMPRODUCT((nNIA=S537)*(nCUENTA=1)*(COUNTIF(CONFIG_ASIGNATURAS!$B$7:$B$27,nASIG)&gt;0)*1),"")))</f>
        <v/>
      </c>
      <c r="Z537" t="str">
        <f>IF(Y537="","",IF(Y537="[FÓRMULA MANUAL]","",IFERROR(AVERAGEIFS(nNOTA,nNIA,Y537,nCUENTA,1,nASIG,"Análisis"),"")))</f>
        <v/>
      </c>
      <c r="AA537" t="str">
        <f>IF(Y537="","",IF(Y537="[FÓRMULA MANUAL]","",IFERROR(AVERAGEIFS(nNOTA,nNIA,Y537,nCUENTA,1,nASIG,"Orquesta/Banda/Conjunto"),"")))</f>
        <v/>
      </c>
      <c r="AB537" t="str">
        <f>IF(Y537="","",IF(Y537="[FÓRMULA MANUAL]","",IFERROR(AVERAGEIFS(nNOTA,nNIA,Y537,nCUENTA,1,nASIG,"Música de Cámara"),"")))</f>
        <v/>
      </c>
      <c r="AC537" t="str">
        <f>IF(Y537="","",IF(Y537="[FÓRMULA MANUAL]","",IFERROR(SUMPRODUCT((nNIA=Y537)*(nCUENTA=1)*(COUNTIF(CONFIG_ASIGNATURAS!$B$7:$B$27,nASIG)&gt;0)*(nNOTA))/SUMPRODUCT((nNIA=Y537)*(nCUENTA=1)*(COUNTIF(CONFIG_ASIGNATURAS!$B$7:$B$27,nASIG)&gt;0)*1),"")))</f>
        <v/>
      </c>
      <c r="AF537" t="str">
        <f>IF(AE537="","",IF(AE537="[FÓRMULA MANUAL]","",IFERROR(AVERAGEIFS(nNOTA,nNIA,AE537,nCUENTA,1,nASIG,"Análisis"),"")))</f>
        <v/>
      </c>
      <c r="AG537" t="str">
        <f>IF(AE537="","",IF(AE537="[FÓRMULA MANUAL]","",IFERROR(AVERAGEIFS(nNOTA,nNIA,AE537,nCUENTA,1,nASIG,"Orquesta/Banda/Conjunto"),"")))</f>
        <v/>
      </c>
      <c r="AH537" t="str">
        <f>IF(AE537="","",IF(AE537="[FÓRMULA MANUAL]","",IFERROR(AVERAGEIFS(nNOTA,nNIA,AE537,nCUENTA,1,nASIG,"Música de Cámara"),"")))</f>
        <v/>
      </c>
      <c r="AI537" t="str">
        <f>IF(AE537="","",IF(AE537="[FÓRMULA MANUAL]","",IFERROR(SUMPRODUCT((nNIA=AE537)*(nCUENTA=1)*(COUNTIF(CONFIG_ASIGNATURAS!$B$7:$B$27,nASIG)&gt;0)*(nNOTA))/SUMPRODUCT((nNIA=AE537)*(nCUENTA=1)*(COUNTIF(CONFIG_ASIGNATURAS!$B$7:$B$27,nASIG)&gt;0)*1),"")))</f>
        <v/>
      </c>
    </row>
    <row r="538" spans="2:35" x14ac:dyDescent="0.2">
      <c r="B538" t="str">
        <f>IF(A538="","",IF(A538="[FÓRMULA MANUAL]","",IFERROR(AVERAGEIFS(nNOTA,nNIA,A538,nCUENTA,1,nASIG,"Lenguaje Musical"),"")))</f>
        <v/>
      </c>
      <c r="C538" t="str">
        <f>IF(A538="","",IF(A538="[FÓRMULA MANUAL]","",IFERROR(AVERAGEIFS(nNOTA,nNIA,A538,nCUENTA,1,nASIG,"Orquesta/Banda/Conjunto"),"")))</f>
        <v/>
      </c>
      <c r="D538" t="str">
        <f>IF(A538="","",IF(A538="[FÓRMULA MANUAL]","",IFERROR(AVERAGEIFS(nNOTA,nNIA,A538,nCUENTA,1,nASIG,"Conjunto"),"")))</f>
        <v/>
      </c>
      <c r="E538" t="str">
        <f>IF(A538="","",IF(A538="[FÓRMULA MANUAL]","",IFERROR(SUMPRODUCT((nNIA=A538)*(nCUENTA=1)*(COUNTIF(CONFIG_ASIGNATURAS!$B$7:$B$27,nASIG)&gt;0)*(nNOTA))/SUMPRODUCT((nNIA=A538)*(nCUENTA=1)*(COUNTIF(CONFIG_ASIGNATURAS!$B$7:$B$27,nASIG)&gt;0)*1),"")))</f>
        <v/>
      </c>
      <c r="H538" t="str">
        <f>IF(G538="","",IF(G538="[FÓRMULA MANUAL]","",IFERROR(AVERAGEIFS(nNOTA,nNIA,G538,nCUENTA,1,nASIG,"Lenguaje Musical"),"")))</f>
        <v/>
      </c>
      <c r="I538" t="str">
        <f>IF(G538="","",IF(G538="[FÓRMULA MANUAL]","",IFERROR(AVERAGEIFS(nNOTA,nNIA,G538,nCUENTA,1,nASIG,"Orquesta/Banda/Conjunto"),"")))</f>
        <v/>
      </c>
      <c r="J538" t="str">
        <f>IF(G538="","",IF(G538="[FÓRMULA MANUAL]","",IFERROR(AVERAGEIFS(nNOTA,nNIA,G538,nCUENTA,1,nASIG,"Conjunto"),"")))</f>
        <v/>
      </c>
      <c r="K538" t="str">
        <f>IF(G538="","",IF(G538="[FÓRMULA MANUAL]","",IFERROR(SUMPRODUCT((nNIA=G538)*(nCUENTA=1)*(COUNTIF(CONFIG_ASIGNATURAS!$B$7:$B$27,nASIG)&gt;0)*(nNOTA))/SUMPRODUCT((nNIA=G538)*(nCUENTA=1)*(COUNTIF(CONFIG_ASIGNATURAS!$B$7:$B$27,nASIG)&gt;0)*1),"")))</f>
        <v/>
      </c>
      <c r="N538" t="str">
        <f>IF(M538="","",IF(M538="[FÓRMULA MANUAL]","",IFERROR(AVERAGEIFS(nNOTA,nNIA,M538,nCUENTA,1,nASIG,"Armonía"),"")))</f>
        <v/>
      </c>
      <c r="O538" t="str">
        <f>IF(M538="","",IF(M538="[FÓRMULA MANUAL]","",IFERROR(AVERAGEIFS(nNOTA,nNIA,M538,nCUENTA,1,nASIG,"Orquesta/Banda/Conjunto"),"")))</f>
        <v/>
      </c>
      <c r="P538" t="str">
        <f>IF(M538="","",IF(M538="[FÓRMULA MANUAL]","",IFERROR(AVERAGEIFS(nNOTA,nNIA,M538,nCUENTA,1,nASIG,"Música de Cámara"),"")))</f>
        <v/>
      </c>
      <c r="Q538" t="str">
        <f>IF(M538="","",IF(M538="[FÓRMULA MANUAL]","",IFERROR(SUMPRODUCT((nNIA=M538)*(nCUENTA=1)*(COUNTIF(CONFIG_ASIGNATURAS!$B$7:$B$27,nASIG)&gt;0)*(nNOTA))/SUMPRODUCT((nNIA=M538)*(nCUENTA=1)*(COUNTIF(CONFIG_ASIGNATURAS!$B$7:$B$27,nASIG)&gt;0)*1),"")))</f>
        <v/>
      </c>
      <c r="T538" t="str">
        <f>IF(S538="","",IF(S538="[FÓRMULA MANUAL]","",IFERROR(AVERAGEIFS(nNOTA,nNIA,S538,nCUENTA,1,nASIG,"Armonía"),"")))</f>
        <v/>
      </c>
      <c r="U538" t="str">
        <f>IF(S538="","",IF(S538="[FÓRMULA MANUAL]","",IFERROR(AVERAGEIFS(nNOTA,nNIA,S538,nCUENTA,1,nASIG,"Orquesta/Banda/Conjunto"),"")))</f>
        <v/>
      </c>
      <c r="V538" t="str">
        <f>IF(S538="","",IF(S538="[FÓRMULA MANUAL]","",IFERROR(AVERAGEIFS(nNOTA,nNIA,S538,nCUENTA,1,nASIG,"Música de Cámara"),"")))</f>
        <v/>
      </c>
      <c r="W538" t="str">
        <f>IF(S538="","",IF(S538="[FÓRMULA MANUAL]","",IFERROR(SUMPRODUCT((nNIA=S538)*(nCUENTA=1)*(COUNTIF(CONFIG_ASIGNATURAS!$B$7:$B$27,nASIG)&gt;0)*(nNOTA))/SUMPRODUCT((nNIA=S538)*(nCUENTA=1)*(COUNTIF(CONFIG_ASIGNATURAS!$B$7:$B$27,nASIG)&gt;0)*1),"")))</f>
        <v/>
      </c>
      <c r="Z538" t="str">
        <f>IF(Y538="","",IF(Y538="[FÓRMULA MANUAL]","",IFERROR(AVERAGEIFS(nNOTA,nNIA,Y538,nCUENTA,1,nASIG,"Análisis"),"")))</f>
        <v/>
      </c>
      <c r="AA538" t="str">
        <f>IF(Y538="","",IF(Y538="[FÓRMULA MANUAL]","",IFERROR(AVERAGEIFS(nNOTA,nNIA,Y538,nCUENTA,1,nASIG,"Orquesta/Banda/Conjunto"),"")))</f>
        <v/>
      </c>
      <c r="AB538" t="str">
        <f>IF(Y538="","",IF(Y538="[FÓRMULA MANUAL]","",IFERROR(AVERAGEIFS(nNOTA,nNIA,Y538,nCUENTA,1,nASIG,"Música de Cámara"),"")))</f>
        <v/>
      </c>
      <c r="AC538" t="str">
        <f>IF(Y538="","",IF(Y538="[FÓRMULA MANUAL]","",IFERROR(SUMPRODUCT((nNIA=Y538)*(nCUENTA=1)*(COUNTIF(CONFIG_ASIGNATURAS!$B$7:$B$27,nASIG)&gt;0)*(nNOTA))/SUMPRODUCT((nNIA=Y538)*(nCUENTA=1)*(COUNTIF(CONFIG_ASIGNATURAS!$B$7:$B$27,nASIG)&gt;0)*1),"")))</f>
        <v/>
      </c>
      <c r="AF538" t="str">
        <f>IF(AE538="","",IF(AE538="[FÓRMULA MANUAL]","",IFERROR(AVERAGEIFS(nNOTA,nNIA,AE538,nCUENTA,1,nASIG,"Análisis"),"")))</f>
        <v/>
      </c>
      <c r="AG538" t="str">
        <f>IF(AE538="","",IF(AE538="[FÓRMULA MANUAL]","",IFERROR(AVERAGEIFS(nNOTA,nNIA,AE538,nCUENTA,1,nASIG,"Orquesta/Banda/Conjunto"),"")))</f>
        <v/>
      </c>
      <c r="AH538" t="str">
        <f>IF(AE538="","",IF(AE538="[FÓRMULA MANUAL]","",IFERROR(AVERAGEIFS(nNOTA,nNIA,AE538,nCUENTA,1,nASIG,"Música de Cámara"),"")))</f>
        <v/>
      </c>
      <c r="AI538" t="str">
        <f>IF(AE538="","",IF(AE538="[FÓRMULA MANUAL]","",IFERROR(SUMPRODUCT((nNIA=AE538)*(nCUENTA=1)*(COUNTIF(CONFIG_ASIGNATURAS!$B$7:$B$27,nASIG)&gt;0)*(nNOTA))/SUMPRODUCT((nNIA=AE538)*(nCUENTA=1)*(COUNTIF(CONFIG_ASIGNATURAS!$B$7:$B$27,nASIG)&gt;0)*1),"")))</f>
        <v/>
      </c>
    </row>
    <row r="539" spans="2:35" x14ac:dyDescent="0.2">
      <c r="B539" t="str">
        <f>IF(A539="","",IF(A539="[FÓRMULA MANUAL]","",IFERROR(AVERAGEIFS(nNOTA,nNIA,A539,nCUENTA,1,nASIG,"Lenguaje Musical"),"")))</f>
        <v/>
      </c>
      <c r="C539" t="str">
        <f>IF(A539="","",IF(A539="[FÓRMULA MANUAL]","",IFERROR(AVERAGEIFS(nNOTA,nNIA,A539,nCUENTA,1,nASIG,"Orquesta/Banda/Conjunto"),"")))</f>
        <v/>
      </c>
      <c r="D539" t="str">
        <f>IF(A539="","",IF(A539="[FÓRMULA MANUAL]","",IFERROR(AVERAGEIFS(nNOTA,nNIA,A539,nCUENTA,1,nASIG,"Conjunto"),"")))</f>
        <v/>
      </c>
      <c r="E539" t="str">
        <f>IF(A539="","",IF(A539="[FÓRMULA MANUAL]","",IFERROR(SUMPRODUCT((nNIA=A539)*(nCUENTA=1)*(COUNTIF(CONFIG_ASIGNATURAS!$B$7:$B$27,nASIG)&gt;0)*(nNOTA))/SUMPRODUCT((nNIA=A539)*(nCUENTA=1)*(COUNTIF(CONFIG_ASIGNATURAS!$B$7:$B$27,nASIG)&gt;0)*1),"")))</f>
        <v/>
      </c>
      <c r="H539" t="str">
        <f>IF(G539="","",IF(G539="[FÓRMULA MANUAL]","",IFERROR(AVERAGEIFS(nNOTA,nNIA,G539,nCUENTA,1,nASIG,"Lenguaje Musical"),"")))</f>
        <v/>
      </c>
      <c r="I539" t="str">
        <f>IF(G539="","",IF(G539="[FÓRMULA MANUAL]","",IFERROR(AVERAGEIFS(nNOTA,nNIA,G539,nCUENTA,1,nASIG,"Orquesta/Banda/Conjunto"),"")))</f>
        <v/>
      </c>
      <c r="J539" t="str">
        <f>IF(G539="","",IF(G539="[FÓRMULA MANUAL]","",IFERROR(AVERAGEIFS(nNOTA,nNIA,G539,nCUENTA,1,nASIG,"Conjunto"),"")))</f>
        <v/>
      </c>
      <c r="K539" t="str">
        <f>IF(G539="","",IF(G539="[FÓRMULA MANUAL]","",IFERROR(SUMPRODUCT((nNIA=G539)*(nCUENTA=1)*(COUNTIF(CONFIG_ASIGNATURAS!$B$7:$B$27,nASIG)&gt;0)*(nNOTA))/SUMPRODUCT((nNIA=G539)*(nCUENTA=1)*(COUNTIF(CONFIG_ASIGNATURAS!$B$7:$B$27,nASIG)&gt;0)*1),"")))</f>
        <v/>
      </c>
      <c r="N539" t="str">
        <f>IF(M539="","",IF(M539="[FÓRMULA MANUAL]","",IFERROR(AVERAGEIFS(nNOTA,nNIA,M539,nCUENTA,1,nASIG,"Armonía"),"")))</f>
        <v/>
      </c>
      <c r="O539" t="str">
        <f>IF(M539="","",IF(M539="[FÓRMULA MANUAL]","",IFERROR(AVERAGEIFS(nNOTA,nNIA,M539,nCUENTA,1,nASIG,"Orquesta/Banda/Conjunto"),"")))</f>
        <v/>
      </c>
      <c r="P539" t="str">
        <f>IF(M539="","",IF(M539="[FÓRMULA MANUAL]","",IFERROR(AVERAGEIFS(nNOTA,nNIA,M539,nCUENTA,1,nASIG,"Música de Cámara"),"")))</f>
        <v/>
      </c>
      <c r="Q539" t="str">
        <f>IF(M539="","",IF(M539="[FÓRMULA MANUAL]","",IFERROR(SUMPRODUCT((nNIA=M539)*(nCUENTA=1)*(COUNTIF(CONFIG_ASIGNATURAS!$B$7:$B$27,nASIG)&gt;0)*(nNOTA))/SUMPRODUCT((nNIA=M539)*(nCUENTA=1)*(COUNTIF(CONFIG_ASIGNATURAS!$B$7:$B$27,nASIG)&gt;0)*1),"")))</f>
        <v/>
      </c>
      <c r="T539" t="str">
        <f>IF(S539="","",IF(S539="[FÓRMULA MANUAL]","",IFERROR(AVERAGEIFS(nNOTA,nNIA,S539,nCUENTA,1,nASIG,"Armonía"),"")))</f>
        <v/>
      </c>
      <c r="U539" t="str">
        <f>IF(S539="","",IF(S539="[FÓRMULA MANUAL]","",IFERROR(AVERAGEIFS(nNOTA,nNIA,S539,nCUENTA,1,nASIG,"Orquesta/Banda/Conjunto"),"")))</f>
        <v/>
      </c>
      <c r="V539" t="str">
        <f>IF(S539="","",IF(S539="[FÓRMULA MANUAL]","",IFERROR(AVERAGEIFS(nNOTA,nNIA,S539,nCUENTA,1,nASIG,"Música de Cámara"),"")))</f>
        <v/>
      </c>
      <c r="W539" t="str">
        <f>IF(S539="","",IF(S539="[FÓRMULA MANUAL]","",IFERROR(SUMPRODUCT((nNIA=S539)*(nCUENTA=1)*(COUNTIF(CONFIG_ASIGNATURAS!$B$7:$B$27,nASIG)&gt;0)*(nNOTA))/SUMPRODUCT((nNIA=S539)*(nCUENTA=1)*(COUNTIF(CONFIG_ASIGNATURAS!$B$7:$B$27,nASIG)&gt;0)*1),"")))</f>
        <v/>
      </c>
      <c r="Z539" t="str">
        <f>IF(Y539="","",IF(Y539="[FÓRMULA MANUAL]","",IFERROR(AVERAGEIFS(nNOTA,nNIA,Y539,nCUENTA,1,nASIG,"Análisis"),"")))</f>
        <v/>
      </c>
      <c r="AA539" t="str">
        <f>IF(Y539="","",IF(Y539="[FÓRMULA MANUAL]","",IFERROR(AVERAGEIFS(nNOTA,nNIA,Y539,nCUENTA,1,nASIG,"Orquesta/Banda/Conjunto"),"")))</f>
        <v/>
      </c>
      <c r="AB539" t="str">
        <f>IF(Y539="","",IF(Y539="[FÓRMULA MANUAL]","",IFERROR(AVERAGEIFS(nNOTA,nNIA,Y539,nCUENTA,1,nASIG,"Música de Cámara"),"")))</f>
        <v/>
      </c>
      <c r="AC539" t="str">
        <f>IF(Y539="","",IF(Y539="[FÓRMULA MANUAL]","",IFERROR(SUMPRODUCT((nNIA=Y539)*(nCUENTA=1)*(COUNTIF(CONFIG_ASIGNATURAS!$B$7:$B$27,nASIG)&gt;0)*(nNOTA))/SUMPRODUCT((nNIA=Y539)*(nCUENTA=1)*(COUNTIF(CONFIG_ASIGNATURAS!$B$7:$B$27,nASIG)&gt;0)*1),"")))</f>
        <v/>
      </c>
      <c r="AF539" t="str">
        <f>IF(AE539="","",IF(AE539="[FÓRMULA MANUAL]","",IFERROR(AVERAGEIFS(nNOTA,nNIA,AE539,nCUENTA,1,nASIG,"Análisis"),"")))</f>
        <v/>
      </c>
      <c r="AG539" t="str">
        <f>IF(AE539="","",IF(AE539="[FÓRMULA MANUAL]","",IFERROR(AVERAGEIFS(nNOTA,nNIA,AE539,nCUENTA,1,nASIG,"Orquesta/Banda/Conjunto"),"")))</f>
        <v/>
      </c>
      <c r="AH539" t="str">
        <f>IF(AE539="","",IF(AE539="[FÓRMULA MANUAL]","",IFERROR(AVERAGEIFS(nNOTA,nNIA,AE539,nCUENTA,1,nASIG,"Música de Cámara"),"")))</f>
        <v/>
      </c>
      <c r="AI539" t="str">
        <f>IF(AE539="","",IF(AE539="[FÓRMULA MANUAL]","",IFERROR(SUMPRODUCT((nNIA=AE539)*(nCUENTA=1)*(COUNTIF(CONFIG_ASIGNATURAS!$B$7:$B$27,nASIG)&gt;0)*(nNOTA))/SUMPRODUCT((nNIA=AE539)*(nCUENTA=1)*(COUNTIF(CONFIG_ASIGNATURAS!$B$7:$B$27,nASIG)&gt;0)*1),"")))</f>
        <v/>
      </c>
    </row>
    <row r="540" spans="2:35" x14ac:dyDescent="0.2">
      <c r="B540" t="str">
        <f>IF(A540="","",IF(A540="[FÓRMULA MANUAL]","",IFERROR(AVERAGEIFS(nNOTA,nNIA,A540,nCUENTA,1,nASIG,"Lenguaje Musical"),"")))</f>
        <v/>
      </c>
      <c r="C540" t="str">
        <f>IF(A540="","",IF(A540="[FÓRMULA MANUAL]","",IFERROR(AVERAGEIFS(nNOTA,nNIA,A540,nCUENTA,1,nASIG,"Orquesta/Banda/Conjunto"),"")))</f>
        <v/>
      </c>
      <c r="D540" t="str">
        <f>IF(A540="","",IF(A540="[FÓRMULA MANUAL]","",IFERROR(AVERAGEIFS(nNOTA,nNIA,A540,nCUENTA,1,nASIG,"Conjunto"),"")))</f>
        <v/>
      </c>
      <c r="E540" t="str">
        <f>IF(A540="","",IF(A540="[FÓRMULA MANUAL]","",IFERROR(SUMPRODUCT((nNIA=A540)*(nCUENTA=1)*(COUNTIF(CONFIG_ASIGNATURAS!$B$7:$B$27,nASIG)&gt;0)*(nNOTA))/SUMPRODUCT((nNIA=A540)*(nCUENTA=1)*(COUNTIF(CONFIG_ASIGNATURAS!$B$7:$B$27,nASIG)&gt;0)*1),"")))</f>
        <v/>
      </c>
      <c r="H540" t="str">
        <f>IF(G540="","",IF(G540="[FÓRMULA MANUAL]","",IFERROR(AVERAGEIFS(nNOTA,nNIA,G540,nCUENTA,1,nASIG,"Lenguaje Musical"),"")))</f>
        <v/>
      </c>
      <c r="I540" t="str">
        <f>IF(G540="","",IF(G540="[FÓRMULA MANUAL]","",IFERROR(AVERAGEIFS(nNOTA,nNIA,G540,nCUENTA,1,nASIG,"Orquesta/Banda/Conjunto"),"")))</f>
        <v/>
      </c>
      <c r="J540" t="str">
        <f>IF(G540="","",IF(G540="[FÓRMULA MANUAL]","",IFERROR(AVERAGEIFS(nNOTA,nNIA,G540,nCUENTA,1,nASIG,"Conjunto"),"")))</f>
        <v/>
      </c>
      <c r="K540" t="str">
        <f>IF(G540="","",IF(G540="[FÓRMULA MANUAL]","",IFERROR(SUMPRODUCT((nNIA=G540)*(nCUENTA=1)*(COUNTIF(CONFIG_ASIGNATURAS!$B$7:$B$27,nASIG)&gt;0)*(nNOTA))/SUMPRODUCT((nNIA=G540)*(nCUENTA=1)*(COUNTIF(CONFIG_ASIGNATURAS!$B$7:$B$27,nASIG)&gt;0)*1),"")))</f>
        <v/>
      </c>
      <c r="N540" t="str">
        <f>IF(M540="","",IF(M540="[FÓRMULA MANUAL]","",IFERROR(AVERAGEIFS(nNOTA,nNIA,M540,nCUENTA,1,nASIG,"Armonía"),"")))</f>
        <v/>
      </c>
      <c r="O540" t="str">
        <f>IF(M540="","",IF(M540="[FÓRMULA MANUAL]","",IFERROR(AVERAGEIFS(nNOTA,nNIA,M540,nCUENTA,1,nASIG,"Orquesta/Banda/Conjunto"),"")))</f>
        <v/>
      </c>
      <c r="P540" t="str">
        <f>IF(M540="","",IF(M540="[FÓRMULA MANUAL]","",IFERROR(AVERAGEIFS(nNOTA,nNIA,M540,nCUENTA,1,nASIG,"Música de Cámara"),"")))</f>
        <v/>
      </c>
      <c r="Q540" t="str">
        <f>IF(M540="","",IF(M540="[FÓRMULA MANUAL]","",IFERROR(SUMPRODUCT((nNIA=M540)*(nCUENTA=1)*(COUNTIF(CONFIG_ASIGNATURAS!$B$7:$B$27,nASIG)&gt;0)*(nNOTA))/SUMPRODUCT((nNIA=M540)*(nCUENTA=1)*(COUNTIF(CONFIG_ASIGNATURAS!$B$7:$B$27,nASIG)&gt;0)*1),"")))</f>
        <v/>
      </c>
      <c r="T540" t="str">
        <f>IF(S540="","",IF(S540="[FÓRMULA MANUAL]","",IFERROR(AVERAGEIFS(nNOTA,nNIA,S540,nCUENTA,1,nASIG,"Armonía"),"")))</f>
        <v/>
      </c>
      <c r="U540" t="str">
        <f>IF(S540="","",IF(S540="[FÓRMULA MANUAL]","",IFERROR(AVERAGEIFS(nNOTA,nNIA,S540,nCUENTA,1,nASIG,"Orquesta/Banda/Conjunto"),"")))</f>
        <v/>
      </c>
      <c r="V540" t="str">
        <f>IF(S540="","",IF(S540="[FÓRMULA MANUAL]","",IFERROR(AVERAGEIFS(nNOTA,nNIA,S540,nCUENTA,1,nASIG,"Música de Cámara"),"")))</f>
        <v/>
      </c>
      <c r="W540" t="str">
        <f>IF(S540="","",IF(S540="[FÓRMULA MANUAL]","",IFERROR(SUMPRODUCT((nNIA=S540)*(nCUENTA=1)*(COUNTIF(CONFIG_ASIGNATURAS!$B$7:$B$27,nASIG)&gt;0)*(nNOTA))/SUMPRODUCT((nNIA=S540)*(nCUENTA=1)*(COUNTIF(CONFIG_ASIGNATURAS!$B$7:$B$27,nASIG)&gt;0)*1),"")))</f>
        <v/>
      </c>
      <c r="Z540" t="str">
        <f>IF(Y540="","",IF(Y540="[FÓRMULA MANUAL]","",IFERROR(AVERAGEIFS(nNOTA,nNIA,Y540,nCUENTA,1,nASIG,"Análisis"),"")))</f>
        <v/>
      </c>
      <c r="AA540" t="str">
        <f>IF(Y540="","",IF(Y540="[FÓRMULA MANUAL]","",IFERROR(AVERAGEIFS(nNOTA,nNIA,Y540,nCUENTA,1,nASIG,"Orquesta/Banda/Conjunto"),"")))</f>
        <v/>
      </c>
      <c r="AB540" t="str">
        <f>IF(Y540="","",IF(Y540="[FÓRMULA MANUAL]","",IFERROR(AVERAGEIFS(nNOTA,nNIA,Y540,nCUENTA,1,nASIG,"Música de Cámara"),"")))</f>
        <v/>
      </c>
      <c r="AC540" t="str">
        <f>IF(Y540="","",IF(Y540="[FÓRMULA MANUAL]","",IFERROR(SUMPRODUCT((nNIA=Y540)*(nCUENTA=1)*(COUNTIF(CONFIG_ASIGNATURAS!$B$7:$B$27,nASIG)&gt;0)*(nNOTA))/SUMPRODUCT((nNIA=Y540)*(nCUENTA=1)*(COUNTIF(CONFIG_ASIGNATURAS!$B$7:$B$27,nASIG)&gt;0)*1),"")))</f>
        <v/>
      </c>
      <c r="AF540" t="str">
        <f>IF(AE540="","",IF(AE540="[FÓRMULA MANUAL]","",IFERROR(AVERAGEIFS(nNOTA,nNIA,AE540,nCUENTA,1,nASIG,"Análisis"),"")))</f>
        <v/>
      </c>
      <c r="AG540" t="str">
        <f>IF(AE540="","",IF(AE540="[FÓRMULA MANUAL]","",IFERROR(AVERAGEIFS(nNOTA,nNIA,AE540,nCUENTA,1,nASIG,"Orquesta/Banda/Conjunto"),"")))</f>
        <v/>
      </c>
      <c r="AH540" t="str">
        <f>IF(AE540="","",IF(AE540="[FÓRMULA MANUAL]","",IFERROR(AVERAGEIFS(nNOTA,nNIA,AE540,nCUENTA,1,nASIG,"Música de Cámara"),"")))</f>
        <v/>
      </c>
      <c r="AI540" t="str">
        <f>IF(AE540="","",IF(AE540="[FÓRMULA MANUAL]","",IFERROR(SUMPRODUCT((nNIA=AE540)*(nCUENTA=1)*(COUNTIF(CONFIG_ASIGNATURAS!$B$7:$B$27,nASIG)&gt;0)*(nNOTA))/SUMPRODUCT((nNIA=AE540)*(nCUENTA=1)*(COUNTIF(CONFIG_ASIGNATURAS!$B$7:$B$27,nASIG)&gt;0)*1),"")))</f>
        <v/>
      </c>
    </row>
    <row r="541" spans="2:35" x14ac:dyDescent="0.2">
      <c r="B541" t="str">
        <f>IF(A541="","",IF(A541="[FÓRMULA MANUAL]","",IFERROR(AVERAGEIFS(nNOTA,nNIA,A541,nCUENTA,1,nASIG,"Lenguaje Musical"),"")))</f>
        <v/>
      </c>
      <c r="C541" t="str">
        <f>IF(A541="","",IF(A541="[FÓRMULA MANUAL]","",IFERROR(AVERAGEIFS(nNOTA,nNIA,A541,nCUENTA,1,nASIG,"Orquesta/Banda/Conjunto"),"")))</f>
        <v/>
      </c>
      <c r="D541" t="str">
        <f>IF(A541="","",IF(A541="[FÓRMULA MANUAL]","",IFERROR(AVERAGEIFS(nNOTA,nNIA,A541,nCUENTA,1,nASIG,"Conjunto"),"")))</f>
        <v/>
      </c>
      <c r="E541" t="str">
        <f>IF(A541="","",IF(A541="[FÓRMULA MANUAL]","",IFERROR(SUMPRODUCT((nNIA=A541)*(nCUENTA=1)*(COUNTIF(CONFIG_ASIGNATURAS!$B$7:$B$27,nASIG)&gt;0)*(nNOTA))/SUMPRODUCT((nNIA=A541)*(nCUENTA=1)*(COUNTIF(CONFIG_ASIGNATURAS!$B$7:$B$27,nASIG)&gt;0)*1),"")))</f>
        <v/>
      </c>
      <c r="H541" t="str">
        <f>IF(G541="","",IF(G541="[FÓRMULA MANUAL]","",IFERROR(AVERAGEIFS(nNOTA,nNIA,G541,nCUENTA,1,nASIG,"Lenguaje Musical"),"")))</f>
        <v/>
      </c>
      <c r="I541" t="str">
        <f>IF(G541="","",IF(G541="[FÓRMULA MANUAL]","",IFERROR(AVERAGEIFS(nNOTA,nNIA,G541,nCUENTA,1,nASIG,"Orquesta/Banda/Conjunto"),"")))</f>
        <v/>
      </c>
      <c r="J541" t="str">
        <f>IF(G541="","",IF(G541="[FÓRMULA MANUAL]","",IFERROR(AVERAGEIFS(nNOTA,nNIA,G541,nCUENTA,1,nASIG,"Conjunto"),"")))</f>
        <v/>
      </c>
      <c r="K541" t="str">
        <f>IF(G541="","",IF(G541="[FÓRMULA MANUAL]","",IFERROR(SUMPRODUCT((nNIA=G541)*(nCUENTA=1)*(COUNTIF(CONFIG_ASIGNATURAS!$B$7:$B$27,nASIG)&gt;0)*(nNOTA))/SUMPRODUCT((nNIA=G541)*(nCUENTA=1)*(COUNTIF(CONFIG_ASIGNATURAS!$B$7:$B$27,nASIG)&gt;0)*1),"")))</f>
        <v/>
      </c>
      <c r="N541" t="str">
        <f>IF(M541="","",IF(M541="[FÓRMULA MANUAL]","",IFERROR(AVERAGEIFS(nNOTA,nNIA,M541,nCUENTA,1,nASIG,"Armonía"),"")))</f>
        <v/>
      </c>
      <c r="O541" t="str">
        <f>IF(M541="","",IF(M541="[FÓRMULA MANUAL]","",IFERROR(AVERAGEIFS(nNOTA,nNIA,M541,nCUENTA,1,nASIG,"Orquesta/Banda/Conjunto"),"")))</f>
        <v/>
      </c>
      <c r="P541" t="str">
        <f>IF(M541="","",IF(M541="[FÓRMULA MANUAL]","",IFERROR(AVERAGEIFS(nNOTA,nNIA,M541,nCUENTA,1,nASIG,"Música de Cámara"),"")))</f>
        <v/>
      </c>
      <c r="Q541" t="str">
        <f>IF(M541="","",IF(M541="[FÓRMULA MANUAL]","",IFERROR(SUMPRODUCT((nNIA=M541)*(nCUENTA=1)*(COUNTIF(CONFIG_ASIGNATURAS!$B$7:$B$27,nASIG)&gt;0)*(nNOTA))/SUMPRODUCT((nNIA=M541)*(nCUENTA=1)*(COUNTIF(CONFIG_ASIGNATURAS!$B$7:$B$27,nASIG)&gt;0)*1),"")))</f>
        <v/>
      </c>
      <c r="T541" t="str">
        <f>IF(S541="","",IF(S541="[FÓRMULA MANUAL]","",IFERROR(AVERAGEIFS(nNOTA,nNIA,S541,nCUENTA,1,nASIG,"Armonía"),"")))</f>
        <v/>
      </c>
      <c r="U541" t="str">
        <f>IF(S541="","",IF(S541="[FÓRMULA MANUAL]","",IFERROR(AVERAGEIFS(nNOTA,nNIA,S541,nCUENTA,1,nASIG,"Orquesta/Banda/Conjunto"),"")))</f>
        <v/>
      </c>
      <c r="V541" t="str">
        <f>IF(S541="","",IF(S541="[FÓRMULA MANUAL]","",IFERROR(AVERAGEIFS(nNOTA,nNIA,S541,nCUENTA,1,nASIG,"Música de Cámara"),"")))</f>
        <v/>
      </c>
      <c r="W541" t="str">
        <f>IF(S541="","",IF(S541="[FÓRMULA MANUAL]","",IFERROR(SUMPRODUCT((nNIA=S541)*(nCUENTA=1)*(COUNTIF(CONFIG_ASIGNATURAS!$B$7:$B$27,nASIG)&gt;0)*(nNOTA))/SUMPRODUCT((nNIA=S541)*(nCUENTA=1)*(COUNTIF(CONFIG_ASIGNATURAS!$B$7:$B$27,nASIG)&gt;0)*1),"")))</f>
        <v/>
      </c>
      <c r="Z541" t="str">
        <f>IF(Y541="","",IF(Y541="[FÓRMULA MANUAL]","",IFERROR(AVERAGEIFS(nNOTA,nNIA,Y541,nCUENTA,1,nASIG,"Análisis"),"")))</f>
        <v/>
      </c>
      <c r="AA541" t="str">
        <f>IF(Y541="","",IF(Y541="[FÓRMULA MANUAL]","",IFERROR(AVERAGEIFS(nNOTA,nNIA,Y541,nCUENTA,1,nASIG,"Orquesta/Banda/Conjunto"),"")))</f>
        <v/>
      </c>
      <c r="AB541" t="str">
        <f>IF(Y541="","",IF(Y541="[FÓRMULA MANUAL]","",IFERROR(AVERAGEIFS(nNOTA,nNIA,Y541,nCUENTA,1,nASIG,"Música de Cámara"),"")))</f>
        <v/>
      </c>
      <c r="AC541" t="str">
        <f>IF(Y541="","",IF(Y541="[FÓRMULA MANUAL]","",IFERROR(SUMPRODUCT((nNIA=Y541)*(nCUENTA=1)*(COUNTIF(CONFIG_ASIGNATURAS!$B$7:$B$27,nASIG)&gt;0)*(nNOTA))/SUMPRODUCT((nNIA=Y541)*(nCUENTA=1)*(COUNTIF(CONFIG_ASIGNATURAS!$B$7:$B$27,nASIG)&gt;0)*1),"")))</f>
        <v/>
      </c>
      <c r="AF541" t="str">
        <f>IF(AE541="","",IF(AE541="[FÓRMULA MANUAL]","",IFERROR(AVERAGEIFS(nNOTA,nNIA,AE541,nCUENTA,1,nASIG,"Análisis"),"")))</f>
        <v/>
      </c>
      <c r="AG541" t="str">
        <f>IF(AE541="","",IF(AE541="[FÓRMULA MANUAL]","",IFERROR(AVERAGEIFS(nNOTA,nNIA,AE541,nCUENTA,1,nASIG,"Orquesta/Banda/Conjunto"),"")))</f>
        <v/>
      </c>
      <c r="AH541" t="str">
        <f>IF(AE541="","",IF(AE541="[FÓRMULA MANUAL]","",IFERROR(AVERAGEIFS(nNOTA,nNIA,AE541,nCUENTA,1,nASIG,"Música de Cámara"),"")))</f>
        <v/>
      </c>
      <c r="AI541" t="str">
        <f>IF(AE541="","",IF(AE541="[FÓRMULA MANUAL]","",IFERROR(SUMPRODUCT((nNIA=AE541)*(nCUENTA=1)*(COUNTIF(CONFIG_ASIGNATURAS!$B$7:$B$27,nASIG)&gt;0)*(nNOTA))/SUMPRODUCT((nNIA=AE541)*(nCUENTA=1)*(COUNTIF(CONFIG_ASIGNATURAS!$B$7:$B$27,nASIG)&gt;0)*1),"")))</f>
        <v/>
      </c>
    </row>
    <row r="542" spans="2:35" x14ac:dyDescent="0.2">
      <c r="B542" t="str">
        <f>IF(A542="","",IF(A542="[FÓRMULA MANUAL]","",IFERROR(AVERAGEIFS(nNOTA,nNIA,A542,nCUENTA,1,nASIG,"Lenguaje Musical"),"")))</f>
        <v/>
      </c>
      <c r="C542" t="str">
        <f>IF(A542="","",IF(A542="[FÓRMULA MANUAL]","",IFERROR(AVERAGEIFS(nNOTA,nNIA,A542,nCUENTA,1,nASIG,"Orquesta/Banda/Conjunto"),"")))</f>
        <v/>
      </c>
      <c r="D542" t="str">
        <f>IF(A542="","",IF(A542="[FÓRMULA MANUAL]","",IFERROR(AVERAGEIFS(nNOTA,nNIA,A542,nCUENTA,1,nASIG,"Conjunto"),"")))</f>
        <v/>
      </c>
      <c r="E542" t="str">
        <f>IF(A542="","",IF(A542="[FÓRMULA MANUAL]","",IFERROR(SUMPRODUCT((nNIA=A542)*(nCUENTA=1)*(COUNTIF(CONFIG_ASIGNATURAS!$B$7:$B$27,nASIG)&gt;0)*(nNOTA))/SUMPRODUCT((nNIA=A542)*(nCUENTA=1)*(COUNTIF(CONFIG_ASIGNATURAS!$B$7:$B$27,nASIG)&gt;0)*1),"")))</f>
        <v/>
      </c>
      <c r="H542" t="str">
        <f>IF(G542="","",IF(G542="[FÓRMULA MANUAL]","",IFERROR(AVERAGEIFS(nNOTA,nNIA,G542,nCUENTA,1,nASIG,"Lenguaje Musical"),"")))</f>
        <v/>
      </c>
      <c r="I542" t="str">
        <f>IF(G542="","",IF(G542="[FÓRMULA MANUAL]","",IFERROR(AVERAGEIFS(nNOTA,nNIA,G542,nCUENTA,1,nASIG,"Orquesta/Banda/Conjunto"),"")))</f>
        <v/>
      </c>
      <c r="J542" t="str">
        <f>IF(G542="","",IF(G542="[FÓRMULA MANUAL]","",IFERROR(AVERAGEIFS(nNOTA,nNIA,G542,nCUENTA,1,nASIG,"Conjunto"),"")))</f>
        <v/>
      </c>
      <c r="K542" t="str">
        <f>IF(G542="","",IF(G542="[FÓRMULA MANUAL]","",IFERROR(SUMPRODUCT((nNIA=G542)*(nCUENTA=1)*(COUNTIF(CONFIG_ASIGNATURAS!$B$7:$B$27,nASIG)&gt;0)*(nNOTA))/SUMPRODUCT((nNIA=G542)*(nCUENTA=1)*(COUNTIF(CONFIG_ASIGNATURAS!$B$7:$B$27,nASIG)&gt;0)*1),"")))</f>
        <v/>
      </c>
      <c r="N542" t="str">
        <f>IF(M542="","",IF(M542="[FÓRMULA MANUAL]","",IFERROR(AVERAGEIFS(nNOTA,nNIA,M542,nCUENTA,1,nASIG,"Armonía"),"")))</f>
        <v/>
      </c>
      <c r="O542" t="str">
        <f>IF(M542="","",IF(M542="[FÓRMULA MANUAL]","",IFERROR(AVERAGEIFS(nNOTA,nNIA,M542,nCUENTA,1,nASIG,"Orquesta/Banda/Conjunto"),"")))</f>
        <v/>
      </c>
      <c r="P542" t="str">
        <f>IF(M542="","",IF(M542="[FÓRMULA MANUAL]","",IFERROR(AVERAGEIFS(nNOTA,nNIA,M542,nCUENTA,1,nASIG,"Música de Cámara"),"")))</f>
        <v/>
      </c>
      <c r="Q542" t="str">
        <f>IF(M542="","",IF(M542="[FÓRMULA MANUAL]","",IFERROR(SUMPRODUCT((nNIA=M542)*(nCUENTA=1)*(COUNTIF(CONFIG_ASIGNATURAS!$B$7:$B$27,nASIG)&gt;0)*(nNOTA))/SUMPRODUCT((nNIA=M542)*(nCUENTA=1)*(COUNTIF(CONFIG_ASIGNATURAS!$B$7:$B$27,nASIG)&gt;0)*1),"")))</f>
        <v/>
      </c>
      <c r="T542" t="str">
        <f>IF(S542="","",IF(S542="[FÓRMULA MANUAL]","",IFERROR(AVERAGEIFS(nNOTA,nNIA,S542,nCUENTA,1,nASIG,"Armonía"),"")))</f>
        <v/>
      </c>
      <c r="U542" t="str">
        <f>IF(S542="","",IF(S542="[FÓRMULA MANUAL]","",IFERROR(AVERAGEIFS(nNOTA,nNIA,S542,nCUENTA,1,nASIG,"Orquesta/Banda/Conjunto"),"")))</f>
        <v/>
      </c>
      <c r="V542" t="str">
        <f>IF(S542="","",IF(S542="[FÓRMULA MANUAL]","",IFERROR(AVERAGEIFS(nNOTA,nNIA,S542,nCUENTA,1,nASIG,"Música de Cámara"),"")))</f>
        <v/>
      </c>
      <c r="W542" t="str">
        <f>IF(S542="","",IF(S542="[FÓRMULA MANUAL]","",IFERROR(SUMPRODUCT((nNIA=S542)*(nCUENTA=1)*(COUNTIF(CONFIG_ASIGNATURAS!$B$7:$B$27,nASIG)&gt;0)*(nNOTA))/SUMPRODUCT((nNIA=S542)*(nCUENTA=1)*(COUNTIF(CONFIG_ASIGNATURAS!$B$7:$B$27,nASIG)&gt;0)*1),"")))</f>
        <v/>
      </c>
      <c r="Z542" t="str">
        <f>IF(Y542="","",IF(Y542="[FÓRMULA MANUAL]","",IFERROR(AVERAGEIFS(nNOTA,nNIA,Y542,nCUENTA,1,nASIG,"Análisis"),"")))</f>
        <v/>
      </c>
      <c r="AA542" t="str">
        <f>IF(Y542="","",IF(Y542="[FÓRMULA MANUAL]","",IFERROR(AVERAGEIFS(nNOTA,nNIA,Y542,nCUENTA,1,nASIG,"Orquesta/Banda/Conjunto"),"")))</f>
        <v/>
      </c>
      <c r="AB542" t="str">
        <f>IF(Y542="","",IF(Y542="[FÓRMULA MANUAL]","",IFERROR(AVERAGEIFS(nNOTA,nNIA,Y542,nCUENTA,1,nASIG,"Música de Cámara"),"")))</f>
        <v/>
      </c>
      <c r="AC542" t="str">
        <f>IF(Y542="","",IF(Y542="[FÓRMULA MANUAL]","",IFERROR(SUMPRODUCT((nNIA=Y542)*(nCUENTA=1)*(COUNTIF(CONFIG_ASIGNATURAS!$B$7:$B$27,nASIG)&gt;0)*(nNOTA))/SUMPRODUCT((nNIA=Y542)*(nCUENTA=1)*(COUNTIF(CONFIG_ASIGNATURAS!$B$7:$B$27,nASIG)&gt;0)*1),"")))</f>
        <v/>
      </c>
      <c r="AF542" t="str">
        <f>IF(AE542="","",IF(AE542="[FÓRMULA MANUAL]","",IFERROR(AVERAGEIFS(nNOTA,nNIA,AE542,nCUENTA,1,nASIG,"Análisis"),"")))</f>
        <v/>
      </c>
      <c r="AG542" t="str">
        <f>IF(AE542="","",IF(AE542="[FÓRMULA MANUAL]","",IFERROR(AVERAGEIFS(nNOTA,nNIA,AE542,nCUENTA,1,nASIG,"Orquesta/Banda/Conjunto"),"")))</f>
        <v/>
      </c>
      <c r="AH542" t="str">
        <f>IF(AE542="","",IF(AE542="[FÓRMULA MANUAL]","",IFERROR(AVERAGEIFS(nNOTA,nNIA,AE542,nCUENTA,1,nASIG,"Música de Cámara"),"")))</f>
        <v/>
      </c>
      <c r="AI542" t="str">
        <f>IF(AE542="","",IF(AE542="[FÓRMULA MANUAL]","",IFERROR(SUMPRODUCT((nNIA=AE542)*(nCUENTA=1)*(COUNTIF(CONFIG_ASIGNATURAS!$B$7:$B$27,nASIG)&gt;0)*(nNOTA))/SUMPRODUCT((nNIA=AE542)*(nCUENTA=1)*(COUNTIF(CONFIG_ASIGNATURAS!$B$7:$B$27,nASIG)&gt;0)*1),"")))</f>
        <v/>
      </c>
    </row>
    <row r="543" spans="2:35" x14ac:dyDescent="0.2">
      <c r="B543" t="str">
        <f>IF(A543="","",IF(A543="[FÓRMULA MANUAL]","",IFERROR(AVERAGEIFS(nNOTA,nNIA,A543,nCUENTA,1,nASIG,"Lenguaje Musical"),"")))</f>
        <v/>
      </c>
      <c r="C543" t="str">
        <f>IF(A543="","",IF(A543="[FÓRMULA MANUAL]","",IFERROR(AVERAGEIFS(nNOTA,nNIA,A543,nCUENTA,1,nASIG,"Orquesta/Banda/Conjunto"),"")))</f>
        <v/>
      </c>
      <c r="D543" t="str">
        <f>IF(A543="","",IF(A543="[FÓRMULA MANUAL]","",IFERROR(AVERAGEIFS(nNOTA,nNIA,A543,nCUENTA,1,nASIG,"Conjunto"),"")))</f>
        <v/>
      </c>
      <c r="E543" t="str">
        <f>IF(A543="","",IF(A543="[FÓRMULA MANUAL]","",IFERROR(SUMPRODUCT((nNIA=A543)*(nCUENTA=1)*(COUNTIF(CONFIG_ASIGNATURAS!$B$7:$B$27,nASIG)&gt;0)*(nNOTA))/SUMPRODUCT((nNIA=A543)*(nCUENTA=1)*(COUNTIF(CONFIG_ASIGNATURAS!$B$7:$B$27,nASIG)&gt;0)*1),"")))</f>
        <v/>
      </c>
      <c r="H543" t="str">
        <f>IF(G543="","",IF(G543="[FÓRMULA MANUAL]","",IFERROR(AVERAGEIFS(nNOTA,nNIA,G543,nCUENTA,1,nASIG,"Lenguaje Musical"),"")))</f>
        <v/>
      </c>
      <c r="I543" t="str">
        <f>IF(G543="","",IF(G543="[FÓRMULA MANUAL]","",IFERROR(AVERAGEIFS(nNOTA,nNIA,G543,nCUENTA,1,nASIG,"Orquesta/Banda/Conjunto"),"")))</f>
        <v/>
      </c>
      <c r="J543" t="str">
        <f>IF(G543="","",IF(G543="[FÓRMULA MANUAL]","",IFERROR(AVERAGEIFS(nNOTA,nNIA,G543,nCUENTA,1,nASIG,"Conjunto"),"")))</f>
        <v/>
      </c>
      <c r="K543" t="str">
        <f>IF(G543="","",IF(G543="[FÓRMULA MANUAL]","",IFERROR(SUMPRODUCT((nNIA=G543)*(nCUENTA=1)*(COUNTIF(CONFIG_ASIGNATURAS!$B$7:$B$27,nASIG)&gt;0)*(nNOTA))/SUMPRODUCT((nNIA=G543)*(nCUENTA=1)*(COUNTIF(CONFIG_ASIGNATURAS!$B$7:$B$27,nASIG)&gt;0)*1),"")))</f>
        <v/>
      </c>
      <c r="N543" t="str">
        <f>IF(M543="","",IF(M543="[FÓRMULA MANUAL]","",IFERROR(AVERAGEIFS(nNOTA,nNIA,M543,nCUENTA,1,nASIG,"Armonía"),"")))</f>
        <v/>
      </c>
      <c r="O543" t="str">
        <f>IF(M543="","",IF(M543="[FÓRMULA MANUAL]","",IFERROR(AVERAGEIFS(nNOTA,nNIA,M543,nCUENTA,1,nASIG,"Orquesta/Banda/Conjunto"),"")))</f>
        <v/>
      </c>
      <c r="P543" t="str">
        <f>IF(M543="","",IF(M543="[FÓRMULA MANUAL]","",IFERROR(AVERAGEIFS(nNOTA,nNIA,M543,nCUENTA,1,nASIG,"Música de Cámara"),"")))</f>
        <v/>
      </c>
      <c r="Q543" t="str">
        <f>IF(M543="","",IF(M543="[FÓRMULA MANUAL]","",IFERROR(SUMPRODUCT((nNIA=M543)*(nCUENTA=1)*(COUNTIF(CONFIG_ASIGNATURAS!$B$7:$B$27,nASIG)&gt;0)*(nNOTA))/SUMPRODUCT((nNIA=M543)*(nCUENTA=1)*(COUNTIF(CONFIG_ASIGNATURAS!$B$7:$B$27,nASIG)&gt;0)*1),"")))</f>
        <v/>
      </c>
      <c r="T543" t="str">
        <f>IF(S543="","",IF(S543="[FÓRMULA MANUAL]","",IFERROR(AVERAGEIFS(nNOTA,nNIA,S543,nCUENTA,1,nASIG,"Armonía"),"")))</f>
        <v/>
      </c>
      <c r="U543" t="str">
        <f>IF(S543="","",IF(S543="[FÓRMULA MANUAL]","",IFERROR(AVERAGEIFS(nNOTA,nNIA,S543,nCUENTA,1,nASIG,"Orquesta/Banda/Conjunto"),"")))</f>
        <v/>
      </c>
      <c r="V543" t="str">
        <f>IF(S543="","",IF(S543="[FÓRMULA MANUAL]","",IFERROR(AVERAGEIFS(nNOTA,nNIA,S543,nCUENTA,1,nASIG,"Música de Cámara"),"")))</f>
        <v/>
      </c>
      <c r="W543" t="str">
        <f>IF(S543="","",IF(S543="[FÓRMULA MANUAL]","",IFERROR(SUMPRODUCT((nNIA=S543)*(nCUENTA=1)*(COUNTIF(CONFIG_ASIGNATURAS!$B$7:$B$27,nASIG)&gt;0)*(nNOTA))/SUMPRODUCT((nNIA=S543)*(nCUENTA=1)*(COUNTIF(CONFIG_ASIGNATURAS!$B$7:$B$27,nASIG)&gt;0)*1),"")))</f>
        <v/>
      </c>
      <c r="Z543" t="str">
        <f>IF(Y543="","",IF(Y543="[FÓRMULA MANUAL]","",IFERROR(AVERAGEIFS(nNOTA,nNIA,Y543,nCUENTA,1,nASIG,"Análisis"),"")))</f>
        <v/>
      </c>
      <c r="AA543" t="str">
        <f>IF(Y543="","",IF(Y543="[FÓRMULA MANUAL]","",IFERROR(AVERAGEIFS(nNOTA,nNIA,Y543,nCUENTA,1,nASIG,"Orquesta/Banda/Conjunto"),"")))</f>
        <v/>
      </c>
      <c r="AB543" t="str">
        <f>IF(Y543="","",IF(Y543="[FÓRMULA MANUAL]","",IFERROR(AVERAGEIFS(nNOTA,nNIA,Y543,nCUENTA,1,nASIG,"Música de Cámara"),"")))</f>
        <v/>
      </c>
      <c r="AC543" t="str">
        <f>IF(Y543="","",IF(Y543="[FÓRMULA MANUAL]","",IFERROR(SUMPRODUCT((nNIA=Y543)*(nCUENTA=1)*(COUNTIF(CONFIG_ASIGNATURAS!$B$7:$B$27,nASIG)&gt;0)*(nNOTA))/SUMPRODUCT((nNIA=Y543)*(nCUENTA=1)*(COUNTIF(CONFIG_ASIGNATURAS!$B$7:$B$27,nASIG)&gt;0)*1),"")))</f>
        <v/>
      </c>
      <c r="AF543" t="str">
        <f>IF(AE543="","",IF(AE543="[FÓRMULA MANUAL]","",IFERROR(AVERAGEIFS(nNOTA,nNIA,AE543,nCUENTA,1,nASIG,"Análisis"),"")))</f>
        <v/>
      </c>
      <c r="AG543" t="str">
        <f>IF(AE543="","",IF(AE543="[FÓRMULA MANUAL]","",IFERROR(AVERAGEIFS(nNOTA,nNIA,AE543,nCUENTA,1,nASIG,"Orquesta/Banda/Conjunto"),"")))</f>
        <v/>
      </c>
      <c r="AH543" t="str">
        <f>IF(AE543="","",IF(AE543="[FÓRMULA MANUAL]","",IFERROR(AVERAGEIFS(nNOTA,nNIA,AE543,nCUENTA,1,nASIG,"Música de Cámara"),"")))</f>
        <v/>
      </c>
      <c r="AI543" t="str">
        <f>IF(AE543="","",IF(AE543="[FÓRMULA MANUAL]","",IFERROR(SUMPRODUCT((nNIA=AE543)*(nCUENTA=1)*(COUNTIF(CONFIG_ASIGNATURAS!$B$7:$B$27,nASIG)&gt;0)*(nNOTA))/SUMPRODUCT((nNIA=AE543)*(nCUENTA=1)*(COUNTIF(CONFIG_ASIGNATURAS!$B$7:$B$27,nASIG)&gt;0)*1),"")))</f>
        <v/>
      </c>
    </row>
    <row r="544" spans="2:35" x14ac:dyDescent="0.2">
      <c r="B544" t="str">
        <f>IF(A544="","",IF(A544="[FÓRMULA MANUAL]","",IFERROR(AVERAGEIFS(nNOTA,nNIA,A544,nCUENTA,1,nASIG,"Lenguaje Musical"),"")))</f>
        <v/>
      </c>
      <c r="C544" t="str">
        <f>IF(A544="","",IF(A544="[FÓRMULA MANUAL]","",IFERROR(AVERAGEIFS(nNOTA,nNIA,A544,nCUENTA,1,nASIG,"Orquesta/Banda/Conjunto"),"")))</f>
        <v/>
      </c>
      <c r="D544" t="str">
        <f>IF(A544="","",IF(A544="[FÓRMULA MANUAL]","",IFERROR(AVERAGEIFS(nNOTA,nNIA,A544,nCUENTA,1,nASIG,"Conjunto"),"")))</f>
        <v/>
      </c>
      <c r="E544" t="str">
        <f>IF(A544="","",IF(A544="[FÓRMULA MANUAL]","",IFERROR(SUMPRODUCT((nNIA=A544)*(nCUENTA=1)*(COUNTIF(CONFIG_ASIGNATURAS!$B$7:$B$27,nASIG)&gt;0)*(nNOTA))/SUMPRODUCT((nNIA=A544)*(nCUENTA=1)*(COUNTIF(CONFIG_ASIGNATURAS!$B$7:$B$27,nASIG)&gt;0)*1),"")))</f>
        <v/>
      </c>
      <c r="H544" t="str">
        <f>IF(G544="","",IF(G544="[FÓRMULA MANUAL]","",IFERROR(AVERAGEIFS(nNOTA,nNIA,G544,nCUENTA,1,nASIG,"Lenguaje Musical"),"")))</f>
        <v/>
      </c>
      <c r="I544" t="str">
        <f>IF(G544="","",IF(G544="[FÓRMULA MANUAL]","",IFERROR(AVERAGEIFS(nNOTA,nNIA,G544,nCUENTA,1,nASIG,"Orquesta/Banda/Conjunto"),"")))</f>
        <v/>
      </c>
      <c r="J544" t="str">
        <f>IF(G544="","",IF(G544="[FÓRMULA MANUAL]","",IFERROR(AVERAGEIFS(nNOTA,nNIA,G544,nCUENTA,1,nASIG,"Conjunto"),"")))</f>
        <v/>
      </c>
      <c r="K544" t="str">
        <f>IF(G544="","",IF(G544="[FÓRMULA MANUAL]","",IFERROR(SUMPRODUCT((nNIA=G544)*(nCUENTA=1)*(COUNTIF(CONFIG_ASIGNATURAS!$B$7:$B$27,nASIG)&gt;0)*(nNOTA))/SUMPRODUCT((nNIA=G544)*(nCUENTA=1)*(COUNTIF(CONFIG_ASIGNATURAS!$B$7:$B$27,nASIG)&gt;0)*1),"")))</f>
        <v/>
      </c>
      <c r="N544" t="str">
        <f>IF(M544="","",IF(M544="[FÓRMULA MANUAL]","",IFERROR(AVERAGEIFS(nNOTA,nNIA,M544,nCUENTA,1,nASIG,"Armonía"),"")))</f>
        <v/>
      </c>
      <c r="O544" t="str">
        <f>IF(M544="","",IF(M544="[FÓRMULA MANUAL]","",IFERROR(AVERAGEIFS(nNOTA,nNIA,M544,nCUENTA,1,nASIG,"Orquesta/Banda/Conjunto"),"")))</f>
        <v/>
      </c>
      <c r="P544" t="str">
        <f>IF(M544="","",IF(M544="[FÓRMULA MANUAL]","",IFERROR(AVERAGEIFS(nNOTA,nNIA,M544,nCUENTA,1,nASIG,"Música de Cámara"),"")))</f>
        <v/>
      </c>
      <c r="Q544" t="str">
        <f>IF(M544="","",IF(M544="[FÓRMULA MANUAL]","",IFERROR(SUMPRODUCT((nNIA=M544)*(nCUENTA=1)*(COUNTIF(CONFIG_ASIGNATURAS!$B$7:$B$27,nASIG)&gt;0)*(nNOTA))/SUMPRODUCT((nNIA=M544)*(nCUENTA=1)*(COUNTIF(CONFIG_ASIGNATURAS!$B$7:$B$27,nASIG)&gt;0)*1),"")))</f>
        <v/>
      </c>
      <c r="T544" t="str">
        <f>IF(S544="","",IF(S544="[FÓRMULA MANUAL]","",IFERROR(AVERAGEIFS(nNOTA,nNIA,S544,nCUENTA,1,nASIG,"Armonía"),"")))</f>
        <v/>
      </c>
      <c r="U544" t="str">
        <f>IF(S544="","",IF(S544="[FÓRMULA MANUAL]","",IFERROR(AVERAGEIFS(nNOTA,nNIA,S544,nCUENTA,1,nASIG,"Orquesta/Banda/Conjunto"),"")))</f>
        <v/>
      </c>
      <c r="V544" t="str">
        <f>IF(S544="","",IF(S544="[FÓRMULA MANUAL]","",IFERROR(AVERAGEIFS(nNOTA,nNIA,S544,nCUENTA,1,nASIG,"Música de Cámara"),"")))</f>
        <v/>
      </c>
      <c r="W544" t="str">
        <f>IF(S544="","",IF(S544="[FÓRMULA MANUAL]","",IFERROR(SUMPRODUCT((nNIA=S544)*(nCUENTA=1)*(COUNTIF(CONFIG_ASIGNATURAS!$B$7:$B$27,nASIG)&gt;0)*(nNOTA))/SUMPRODUCT((nNIA=S544)*(nCUENTA=1)*(COUNTIF(CONFIG_ASIGNATURAS!$B$7:$B$27,nASIG)&gt;0)*1),"")))</f>
        <v/>
      </c>
      <c r="Z544" t="str">
        <f>IF(Y544="","",IF(Y544="[FÓRMULA MANUAL]","",IFERROR(AVERAGEIFS(nNOTA,nNIA,Y544,nCUENTA,1,nASIG,"Análisis"),"")))</f>
        <v/>
      </c>
      <c r="AA544" t="str">
        <f>IF(Y544="","",IF(Y544="[FÓRMULA MANUAL]","",IFERROR(AVERAGEIFS(nNOTA,nNIA,Y544,nCUENTA,1,nASIG,"Orquesta/Banda/Conjunto"),"")))</f>
        <v/>
      </c>
      <c r="AB544" t="str">
        <f>IF(Y544="","",IF(Y544="[FÓRMULA MANUAL]","",IFERROR(AVERAGEIFS(nNOTA,nNIA,Y544,nCUENTA,1,nASIG,"Música de Cámara"),"")))</f>
        <v/>
      </c>
      <c r="AC544" t="str">
        <f>IF(Y544="","",IF(Y544="[FÓRMULA MANUAL]","",IFERROR(SUMPRODUCT((nNIA=Y544)*(nCUENTA=1)*(COUNTIF(CONFIG_ASIGNATURAS!$B$7:$B$27,nASIG)&gt;0)*(nNOTA))/SUMPRODUCT((nNIA=Y544)*(nCUENTA=1)*(COUNTIF(CONFIG_ASIGNATURAS!$B$7:$B$27,nASIG)&gt;0)*1),"")))</f>
        <v/>
      </c>
      <c r="AF544" t="str">
        <f>IF(AE544="","",IF(AE544="[FÓRMULA MANUAL]","",IFERROR(AVERAGEIFS(nNOTA,nNIA,AE544,nCUENTA,1,nASIG,"Análisis"),"")))</f>
        <v/>
      </c>
      <c r="AG544" t="str">
        <f>IF(AE544="","",IF(AE544="[FÓRMULA MANUAL]","",IFERROR(AVERAGEIFS(nNOTA,nNIA,AE544,nCUENTA,1,nASIG,"Orquesta/Banda/Conjunto"),"")))</f>
        <v/>
      </c>
      <c r="AH544" t="str">
        <f>IF(AE544="","",IF(AE544="[FÓRMULA MANUAL]","",IFERROR(AVERAGEIFS(nNOTA,nNIA,AE544,nCUENTA,1,nASIG,"Música de Cámara"),"")))</f>
        <v/>
      </c>
      <c r="AI544" t="str">
        <f>IF(AE544="","",IF(AE544="[FÓRMULA MANUAL]","",IFERROR(SUMPRODUCT((nNIA=AE544)*(nCUENTA=1)*(COUNTIF(CONFIG_ASIGNATURAS!$B$7:$B$27,nASIG)&gt;0)*(nNOTA))/SUMPRODUCT((nNIA=AE544)*(nCUENTA=1)*(COUNTIF(CONFIG_ASIGNATURAS!$B$7:$B$27,nASIG)&gt;0)*1),"")))</f>
        <v/>
      </c>
    </row>
    <row r="545" spans="2:35" x14ac:dyDescent="0.2">
      <c r="B545" t="str">
        <f>IF(A545="","",IF(A545="[FÓRMULA MANUAL]","",IFERROR(AVERAGEIFS(nNOTA,nNIA,A545,nCUENTA,1,nASIG,"Lenguaje Musical"),"")))</f>
        <v/>
      </c>
      <c r="C545" t="str">
        <f>IF(A545="","",IF(A545="[FÓRMULA MANUAL]","",IFERROR(AVERAGEIFS(nNOTA,nNIA,A545,nCUENTA,1,nASIG,"Orquesta/Banda/Conjunto"),"")))</f>
        <v/>
      </c>
      <c r="D545" t="str">
        <f>IF(A545="","",IF(A545="[FÓRMULA MANUAL]","",IFERROR(AVERAGEIFS(nNOTA,nNIA,A545,nCUENTA,1,nASIG,"Conjunto"),"")))</f>
        <v/>
      </c>
      <c r="E545" t="str">
        <f>IF(A545="","",IF(A545="[FÓRMULA MANUAL]","",IFERROR(SUMPRODUCT((nNIA=A545)*(nCUENTA=1)*(COUNTIF(CONFIG_ASIGNATURAS!$B$7:$B$27,nASIG)&gt;0)*(nNOTA))/SUMPRODUCT((nNIA=A545)*(nCUENTA=1)*(COUNTIF(CONFIG_ASIGNATURAS!$B$7:$B$27,nASIG)&gt;0)*1),"")))</f>
        <v/>
      </c>
      <c r="H545" t="str">
        <f>IF(G545="","",IF(G545="[FÓRMULA MANUAL]","",IFERROR(AVERAGEIFS(nNOTA,nNIA,G545,nCUENTA,1,nASIG,"Lenguaje Musical"),"")))</f>
        <v/>
      </c>
      <c r="I545" t="str">
        <f>IF(G545="","",IF(G545="[FÓRMULA MANUAL]","",IFERROR(AVERAGEIFS(nNOTA,nNIA,G545,nCUENTA,1,nASIG,"Orquesta/Banda/Conjunto"),"")))</f>
        <v/>
      </c>
      <c r="J545" t="str">
        <f>IF(G545="","",IF(G545="[FÓRMULA MANUAL]","",IFERROR(AVERAGEIFS(nNOTA,nNIA,G545,nCUENTA,1,nASIG,"Conjunto"),"")))</f>
        <v/>
      </c>
      <c r="K545" t="str">
        <f>IF(G545="","",IF(G545="[FÓRMULA MANUAL]","",IFERROR(SUMPRODUCT((nNIA=G545)*(nCUENTA=1)*(COUNTIF(CONFIG_ASIGNATURAS!$B$7:$B$27,nASIG)&gt;0)*(nNOTA))/SUMPRODUCT((nNIA=G545)*(nCUENTA=1)*(COUNTIF(CONFIG_ASIGNATURAS!$B$7:$B$27,nASIG)&gt;0)*1),"")))</f>
        <v/>
      </c>
      <c r="N545" t="str">
        <f>IF(M545="","",IF(M545="[FÓRMULA MANUAL]","",IFERROR(AVERAGEIFS(nNOTA,nNIA,M545,nCUENTA,1,nASIG,"Armonía"),"")))</f>
        <v/>
      </c>
      <c r="O545" t="str">
        <f>IF(M545="","",IF(M545="[FÓRMULA MANUAL]","",IFERROR(AVERAGEIFS(nNOTA,nNIA,M545,nCUENTA,1,nASIG,"Orquesta/Banda/Conjunto"),"")))</f>
        <v/>
      </c>
      <c r="P545" t="str">
        <f>IF(M545="","",IF(M545="[FÓRMULA MANUAL]","",IFERROR(AVERAGEIFS(nNOTA,nNIA,M545,nCUENTA,1,nASIG,"Música de Cámara"),"")))</f>
        <v/>
      </c>
      <c r="Q545" t="str">
        <f>IF(M545="","",IF(M545="[FÓRMULA MANUAL]","",IFERROR(SUMPRODUCT((nNIA=M545)*(nCUENTA=1)*(COUNTIF(CONFIG_ASIGNATURAS!$B$7:$B$27,nASIG)&gt;0)*(nNOTA))/SUMPRODUCT((nNIA=M545)*(nCUENTA=1)*(COUNTIF(CONFIG_ASIGNATURAS!$B$7:$B$27,nASIG)&gt;0)*1),"")))</f>
        <v/>
      </c>
      <c r="T545" t="str">
        <f>IF(S545="","",IF(S545="[FÓRMULA MANUAL]","",IFERROR(AVERAGEIFS(nNOTA,nNIA,S545,nCUENTA,1,nASIG,"Armonía"),"")))</f>
        <v/>
      </c>
      <c r="U545" t="str">
        <f>IF(S545="","",IF(S545="[FÓRMULA MANUAL]","",IFERROR(AVERAGEIFS(nNOTA,nNIA,S545,nCUENTA,1,nASIG,"Orquesta/Banda/Conjunto"),"")))</f>
        <v/>
      </c>
      <c r="V545" t="str">
        <f>IF(S545="","",IF(S545="[FÓRMULA MANUAL]","",IFERROR(AVERAGEIFS(nNOTA,nNIA,S545,nCUENTA,1,nASIG,"Música de Cámara"),"")))</f>
        <v/>
      </c>
      <c r="W545" t="str">
        <f>IF(S545="","",IF(S545="[FÓRMULA MANUAL]","",IFERROR(SUMPRODUCT((nNIA=S545)*(nCUENTA=1)*(COUNTIF(CONFIG_ASIGNATURAS!$B$7:$B$27,nASIG)&gt;0)*(nNOTA))/SUMPRODUCT((nNIA=S545)*(nCUENTA=1)*(COUNTIF(CONFIG_ASIGNATURAS!$B$7:$B$27,nASIG)&gt;0)*1),"")))</f>
        <v/>
      </c>
      <c r="Z545" t="str">
        <f>IF(Y545="","",IF(Y545="[FÓRMULA MANUAL]","",IFERROR(AVERAGEIFS(nNOTA,nNIA,Y545,nCUENTA,1,nASIG,"Análisis"),"")))</f>
        <v/>
      </c>
      <c r="AA545" t="str">
        <f>IF(Y545="","",IF(Y545="[FÓRMULA MANUAL]","",IFERROR(AVERAGEIFS(nNOTA,nNIA,Y545,nCUENTA,1,nASIG,"Orquesta/Banda/Conjunto"),"")))</f>
        <v/>
      </c>
      <c r="AB545" t="str">
        <f>IF(Y545="","",IF(Y545="[FÓRMULA MANUAL]","",IFERROR(AVERAGEIFS(nNOTA,nNIA,Y545,nCUENTA,1,nASIG,"Música de Cámara"),"")))</f>
        <v/>
      </c>
      <c r="AC545" t="str">
        <f>IF(Y545="","",IF(Y545="[FÓRMULA MANUAL]","",IFERROR(SUMPRODUCT((nNIA=Y545)*(nCUENTA=1)*(COUNTIF(CONFIG_ASIGNATURAS!$B$7:$B$27,nASIG)&gt;0)*(nNOTA))/SUMPRODUCT((nNIA=Y545)*(nCUENTA=1)*(COUNTIF(CONFIG_ASIGNATURAS!$B$7:$B$27,nASIG)&gt;0)*1),"")))</f>
        <v/>
      </c>
      <c r="AF545" t="str">
        <f>IF(AE545="","",IF(AE545="[FÓRMULA MANUAL]","",IFERROR(AVERAGEIFS(nNOTA,nNIA,AE545,nCUENTA,1,nASIG,"Análisis"),"")))</f>
        <v/>
      </c>
      <c r="AG545" t="str">
        <f>IF(AE545="","",IF(AE545="[FÓRMULA MANUAL]","",IFERROR(AVERAGEIFS(nNOTA,nNIA,AE545,nCUENTA,1,nASIG,"Orquesta/Banda/Conjunto"),"")))</f>
        <v/>
      </c>
      <c r="AH545" t="str">
        <f>IF(AE545="","",IF(AE545="[FÓRMULA MANUAL]","",IFERROR(AVERAGEIFS(nNOTA,nNIA,AE545,nCUENTA,1,nASIG,"Música de Cámara"),"")))</f>
        <v/>
      </c>
      <c r="AI545" t="str">
        <f>IF(AE545="","",IF(AE545="[FÓRMULA MANUAL]","",IFERROR(SUMPRODUCT((nNIA=AE545)*(nCUENTA=1)*(COUNTIF(CONFIG_ASIGNATURAS!$B$7:$B$27,nASIG)&gt;0)*(nNOTA))/SUMPRODUCT((nNIA=AE545)*(nCUENTA=1)*(COUNTIF(CONFIG_ASIGNATURAS!$B$7:$B$27,nASIG)&gt;0)*1),"")))</f>
        <v/>
      </c>
    </row>
    <row r="546" spans="2:35" x14ac:dyDescent="0.2">
      <c r="B546" t="str">
        <f>IF(A546="","",IF(A546="[FÓRMULA MANUAL]","",IFERROR(AVERAGEIFS(nNOTA,nNIA,A546,nCUENTA,1,nASIG,"Lenguaje Musical"),"")))</f>
        <v/>
      </c>
      <c r="C546" t="str">
        <f>IF(A546="","",IF(A546="[FÓRMULA MANUAL]","",IFERROR(AVERAGEIFS(nNOTA,nNIA,A546,nCUENTA,1,nASIG,"Orquesta/Banda/Conjunto"),"")))</f>
        <v/>
      </c>
      <c r="D546" t="str">
        <f>IF(A546="","",IF(A546="[FÓRMULA MANUAL]","",IFERROR(AVERAGEIFS(nNOTA,nNIA,A546,nCUENTA,1,nASIG,"Conjunto"),"")))</f>
        <v/>
      </c>
      <c r="E546" t="str">
        <f>IF(A546="","",IF(A546="[FÓRMULA MANUAL]","",IFERROR(SUMPRODUCT((nNIA=A546)*(nCUENTA=1)*(COUNTIF(CONFIG_ASIGNATURAS!$B$7:$B$27,nASIG)&gt;0)*(nNOTA))/SUMPRODUCT((nNIA=A546)*(nCUENTA=1)*(COUNTIF(CONFIG_ASIGNATURAS!$B$7:$B$27,nASIG)&gt;0)*1),"")))</f>
        <v/>
      </c>
      <c r="H546" t="str">
        <f>IF(G546="","",IF(G546="[FÓRMULA MANUAL]","",IFERROR(AVERAGEIFS(nNOTA,nNIA,G546,nCUENTA,1,nASIG,"Lenguaje Musical"),"")))</f>
        <v/>
      </c>
      <c r="I546" t="str">
        <f>IF(G546="","",IF(G546="[FÓRMULA MANUAL]","",IFERROR(AVERAGEIFS(nNOTA,nNIA,G546,nCUENTA,1,nASIG,"Orquesta/Banda/Conjunto"),"")))</f>
        <v/>
      </c>
      <c r="J546" t="str">
        <f>IF(G546="","",IF(G546="[FÓRMULA MANUAL]","",IFERROR(AVERAGEIFS(nNOTA,nNIA,G546,nCUENTA,1,nASIG,"Conjunto"),"")))</f>
        <v/>
      </c>
      <c r="K546" t="str">
        <f>IF(G546="","",IF(G546="[FÓRMULA MANUAL]","",IFERROR(SUMPRODUCT((nNIA=G546)*(nCUENTA=1)*(COUNTIF(CONFIG_ASIGNATURAS!$B$7:$B$27,nASIG)&gt;0)*(nNOTA))/SUMPRODUCT((nNIA=G546)*(nCUENTA=1)*(COUNTIF(CONFIG_ASIGNATURAS!$B$7:$B$27,nASIG)&gt;0)*1),"")))</f>
        <v/>
      </c>
      <c r="N546" t="str">
        <f>IF(M546="","",IF(M546="[FÓRMULA MANUAL]","",IFERROR(AVERAGEIFS(nNOTA,nNIA,M546,nCUENTA,1,nASIG,"Armonía"),"")))</f>
        <v/>
      </c>
      <c r="O546" t="str">
        <f>IF(M546="","",IF(M546="[FÓRMULA MANUAL]","",IFERROR(AVERAGEIFS(nNOTA,nNIA,M546,nCUENTA,1,nASIG,"Orquesta/Banda/Conjunto"),"")))</f>
        <v/>
      </c>
      <c r="P546" t="str">
        <f>IF(M546="","",IF(M546="[FÓRMULA MANUAL]","",IFERROR(AVERAGEIFS(nNOTA,nNIA,M546,nCUENTA,1,nASIG,"Música de Cámara"),"")))</f>
        <v/>
      </c>
      <c r="Q546" t="str">
        <f>IF(M546="","",IF(M546="[FÓRMULA MANUAL]","",IFERROR(SUMPRODUCT((nNIA=M546)*(nCUENTA=1)*(COUNTIF(CONFIG_ASIGNATURAS!$B$7:$B$27,nASIG)&gt;0)*(nNOTA))/SUMPRODUCT((nNIA=M546)*(nCUENTA=1)*(COUNTIF(CONFIG_ASIGNATURAS!$B$7:$B$27,nASIG)&gt;0)*1),"")))</f>
        <v/>
      </c>
      <c r="T546" t="str">
        <f>IF(S546="","",IF(S546="[FÓRMULA MANUAL]","",IFERROR(AVERAGEIFS(nNOTA,nNIA,S546,nCUENTA,1,nASIG,"Armonía"),"")))</f>
        <v/>
      </c>
      <c r="U546" t="str">
        <f>IF(S546="","",IF(S546="[FÓRMULA MANUAL]","",IFERROR(AVERAGEIFS(nNOTA,nNIA,S546,nCUENTA,1,nASIG,"Orquesta/Banda/Conjunto"),"")))</f>
        <v/>
      </c>
      <c r="V546" t="str">
        <f>IF(S546="","",IF(S546="[FÓRMULA MANUAL]","",IFERROR(AVERAGEIFS(nNOTA,nNIA,S546,nCUENTA,1,nASIG,"Música de Cámara"),"")))</f>
        <v/>
      </c>
      <c r="W546" t="str">
        <f>IF(S546="","",IF(S546="[FÓRMULA MANUAL]","",IFERROR(SUMPRODUCT((nNIA=S546)*(nCUENTA=1)*(COUNTIF(CONFIG_ASIGNATURAS!$B$7:$B$27,nASIG)&gt;0)*(nNOTA))/SUMPRODUCT((nNIA=S546)*(nCUENTA=1)*(COUNTIF(CONFIG_ASIGNATURAS!$B$7:$B$27,nASIG)&gt;0)*1),"")))</f>
        <v/>
      </c>
      <c r="Z546" t="str">
        <f>IF(Y546="","",IF(Y546="[FÓRMULA MANUAL]","",IFERROR(AVERAGEIFS(nNOTA,nNIA,Y546,nCUENTA,1,nASIG,"Análisis"),"")))</f>
        <v/>
      </c>
      <c r="AA546" t="str">
        <f>IF(Y546="","",IF(Y546="[FÓRMULA MANUAL]","",IFERROR(AVERAGEIFS(nNOTA,nNIA,Y546,nCUENTA,1,nASIG,"Orquesta/Banda/Conjunto"),"")))</f>
        <v/>
      </c>
      <c r="AB546" t="str">
        <f>IF(Y546="","",IF(Y546="[FÓRMULA MANUAL]","",IFERROR(AVERAGEIFS(nNOTA,nNIA,Y546,nCUENTA,1,nASIG,"Música de Cámara"),"")))</f>
        <v/>
      </c>
      <c r="AC546" t="str">
        <f>IF(Y546="","",IF(Y546="[FÓRMULA MANUAL]","",IFERROR(SUMPRODUCT((nNIA=Y546)*(nCUENTA=1)*(COUNTIF(CONFIG_ASIGNATURAS!$B$7:$B$27,nASIG)&gt;0)*(nNOTA))/SUMPRODUCT((nNIA=Y546)*(nCUENTA=1)*(COUNTIF(CONFIG_ASIGNATURAS!$B$7:$B$27,nASIG)&gt;0)*1),"")))</f>
        <v/>
      </c>
      <c r="AF546" t="str">
        <f>IF(AE546="","",IF(AE546="[FÓRMULA MANUAL]","",IFERROR(AVERAGEIFS(nNOTA,nNIA,AE546,nCUENTA,1,nASIG,"Análisis"),"")))</f>
        <v/>
      </c>
      <c r="AG546" t="str">
        <f>IF(AE546="","",IF(AE546="[FÓRMULA MANUAL]","",IFERROR(AVERAGEIFS(nNOTA,nNIA,AE546,nCUENTA,1,nASIG,"Orquesta/Banda/Conjunto"),"")))</f>
        <v/>
      </c>
      <c r="AH546" t="str">
        <f>IF(AE546="","",IF(AE546="[FÓRMULA MANUAL]","",IFERROR(AVERAGEIFS(nNOTA,nNIA,AE546,nCUENTA,1,nASIG,"Música de Cámara"),"")))</f>
        <v/>
      </c>
      <c r="AI546" t="str">
        <f>IF(AE546="","",IF(AE546="[FÓRMULA MANUAL]","",IFERROR(SUMPRODUCT((nNIA=AE546)*(nCUENTA=1)*(COUNTIF(CONFIG_ASIGNATURAS!$B$7:$B$27,nASIG)&gt;0)*(nNOTA))/SUMPRODUCT((nNIA=AE546)*(nCUENTA=1)*(COUNTIF(CONFIG_ASIGNATURAS!$B$7:$B$27,nASIG)&gt;0)*1),"")))</f>
        <v/>
      </c>
    </row>
    <row r="547" spans="2:35" x14ac:dyDescent="0.2">
      <c r="B547" t="str">
        <f>IF(A547="","",IF(A547="[FÓRMULA MANUAL]","",IFERROR(AVERAGEIFS(nNOTA,nNIA,A547,nCUENTA,1,nASIG,"Lenguaje Musical"),"")))</f>
        <v/>
      </c>
      <c r="C547" t="str">
        <f>IF(A547="","",IF(A547="[FÓRMULA MANUAL]","",IFERROR(AVERAGEIFS(nNOTA,nNIA,A547,nCUENTA,1,nASIG,"Orquesta/Banda/Conjunto"),"")))</f>
        <v/>
      </c>
      <c r="D547" t="str">
        <f>IF(A547="","",IF(A547="[FÓRMULA MANUAL]","",IFERROR(AVERAGEIFS(nNOTA,nNIA,A547,nCUENTA,1,nASIG,"Conjunto"),"")))</f>
        <v/>
      </c>
      <c r="E547" t="str">
        <f>IF(A547="","",IF(A547="[FÓRMULA MANUAL]","",IFERROR(SUMPRODUCT((nNIA=A547)*(nCUENTA=1)*(COUNTIF(CONFIG_ASIGNATURAS!$B$7:$B$27,nASIG)&gt;0)*(nNOTA))/SUMPRODUCT((nNIA=A547)*(nCUENTA=1)*(COUNTIF(CONFIG_ASIGNATURAS!$B$7:$B$27,nASIG)&gt;0)*1),"")))</f>
        <v/>
      </c>
      <c r="H547" t="str">
        <f>IF(G547="","",IF(G547="[FÓRMULA MANUAL]","",IFERROR(AVERAGEIFS(nNOTA,nNIA,G547,nCUENTA,1,nASIG,"Lenguaje Musical"),"")))</f>
        <v/>
      </c>
      <c r="I547" t="str">
        <f>IF(G547="","",IF(G547="[FÓRMULA MANUAL]","",IFERROR(AVERAGEIFS(nNOTA,nNIA,G547,nCUENTA,1,nASIG,"Orquesta/Banda/Conjunto"),"")))</f>
        <v/>
      </c>
      <c r="J547" t="str">
        <f>IF(G547="","",IF(G547="[FÓRMULA MANUAL]","",IFERROR(AVERAGEIFS(nNOTA,nNIA,G547,nCUENTA,1,nASIG,"Conjunto"),"")))</f>
        <v/>
      </c>
      <c r="K547" t="str">
        <f>IF(G547="","",IF(G547="[FÓRMULA MANUAL]","",IFERROR(SUMPRODUCT((nNIA=G547)*(nCUENTA=1)*(COUNTIF(CONFIG_ASIGNATURAS!$B$7:$B$27,nASIG)&gt;0)*(nNOTA))/SUMPRODUCT((nNIA=G547)*(nCUENTA=1)*(COUNTIF(CONFIG_ASIGNATURAS!$B$7:$B$27,nASIG)&gt;0)*1),"")))</f>
        <v/>
      </c>
      <c r="N547" t="str">
        <f>IF(M547="","",IF(M547="[FÓRMULA MANUAL]","",IFERROR(AVERAGEIFS(nNOTA,nNIA,M547,nCUENTA,1,nASIG,"Armonía"),"")))</f>
        <v/>
      </c>
      <c r="O547" t="str">
        <f>IF(M547="","",IF(M547="[FÓRMULA MANUAL]","",IFERROR(AVERAGEIFS(nNOTA,nNIA,M547,nCUENTA,1,nASIG,"Orquesta/Banda/Conjunto"),"")))</f>
        <v/>
      </c>
      <c r="P547" t="str">
        <f>IF(M547="","",IF(M547="[FÓRMULA MANUAL]","",IFERROR(AVERAGEIFS(nNOTA,nNIA,M547,nCUENTA,1,nASIG,"Música de Cámara"),"")))</f>
        <v/>
      </c>
      <c r="Q547" t="str">
        <f>IF(M547="","",IF(M547="[FÓRMULA MANUAL]","",IFERROR(SUMPRODUCT((nNIA=M547)*(nCUENTA=1)*(COUNTIF(CONFIG_ASIGNATURAS!$B$7:$B$27,nASIG)&gt;0)*(nNOTA))/SUMPRODUCT((nNIA=M547)*(nCUENTA=1)*(COUNTIF(CONFIG_ASIGNATURAS!$B$7:$B$27,nASIG)&gt;0)*1),"")))</f>
        <v/>
      </c>
      <c r="T547" t="str">
        <f>IF(S547="","",IF(S547="[FÓRMULA MANUAL]","",IFERROR(AVERAGEIFS(nNOTA,nNIA,S547,nCUENTA,1,nASIG,"Armonía"),"")))</f>
        <v/>
      </c>
      <c r="U547" t="str">
        <f>IF(S547="","",IF(S547="[FÓRMULA MANUAL]","",IFERROR(AVERAGEIFS(nNOTA,nNIA,S547,nCUENTA,1,nASIG,"Orquesta/Banda/Conjunto"),"")))</f>
        <v/>
      </c>
      <c r="V547" t="str">
        <f>IF(S547="","",IF(S547="[FÓRMULA MANUAL]","",IFERROR(AVERAGEIFS(nNOTA,nNIA,S547,nCUENTA,1,nASIG,"Música de Cámara"),"")))</f>
        <v/>
      </c>
      <c r="W547" t="str">
        <f>IF(S547="","",IF(S547="[FÓRMULA MANUAL]","",IFERROR(SUMPRODUCT((nNIA=S547)*(nCUENTA=1)*(COUNTIF(CONFIG_ASIGNATURAS!$B$7:$B$27,nASIG)&gt;0)*(nNOTA))/SUMPRODUCT((nNIA=S547)*(nCUENTA=1)*(COUNTIF(CONFIG_ASIGNATURAS!$B$7:$B$27,nASIG)&gt;0)*1),"")))</f>
        <v/>
      </c>
      <c r="Z547" t="str">
        <f>IF(Y547="","",IF(Y547="[FÓRMULA MANUAL]","",IFERROR(AVERAGEIFS(nNOTA,nNIA,Y547,nCUENTA,1,nASIG,"Análisis"),"")))</f>
        <v/>
      </c>
      <c r="AA547" t="str">
        <f>IF(Y547="","",IF(Y547="[FÓRMULA MANUAL]","",IFERROR(AVERAGEIFS(nNOTA,nNIA,Y547,nCUENTA,1,nASIG,"Orquesta/Banda/Conjunto"),"")))</f>
        <v/>
      </c>
      <c r="AB547" t="str">
        <f>IF(Y547="","",IF(Y547="[FÓRMULA MANUAL]","",IFERROR(AVERAGEIFS(nNOTA,nNIA,Y547,nCUENTA,1,nASIG,"Música de Cámara"),"")))</f>
        <v/>
      </c>
      <c r="AC547" t="str">
        <f>IF(Y547="","",IF(Y547="[FÓRMULA MANUAL]","",IFERROR(SUMPRODUCT((nNIA=Y547)*(nCUENTA=1)*(COUNTIF(CONFIG_ASIGNATURAS!$B$7:$B$27,nASIG)&gt;0)*(nNOTA))/SUMPRODUCT((nNIA=Y547)*(nCUENTA=1)*(COUNTIF(CONFIG_ASIGNATURAS!$B$7:$B$27,nASIG)&gt;0)*1),"")))</f>
        <v/>
      </c>
      <c r="AF547" t="str">
        <f>IF(AE547="","",IF(AE547="[FÓRMULA MANUAL]","",IFERROR(AVERAGEIFS(nNOTA,nNIA,AE547,nCUENTA,1,nASIG,"Análisis"),"")))</f>
        <v/>
      </c>
      <c r="AG547" t="str">
        <f>IF(AE547="","",IF(AE547="[FÓRMULA MANUAL]","",IFERROR(AVERAGEIFS(nNOTA,nNIA,AE547,nCUENTA,1,nASIG,"Orquesta/Banda/Conjunto"),"")))</f>
        <v/>
      </c>
      <c r="AH547" t="str">
        <f>IF(AE547="","",IF(AE547="[FÓRMULA MANUAL]","",IFERROR(AVERAGEIFS(nNOTA,nNIA,AE547,nCUENTA,1,nASIG,"Música de Cámara"),"")))</f>
        <v/>
      </c>
      <c r="AI547" t="str">
        <f>IF(AE547="","",IF(AE547="[FÓRMULA MANUAL]","",IFERROR(SUMPRODUCT((nNIA=AE547)*(nCUENTA=1)*(COUNTIF(CONFIG_ASIGNATURAS!$B$7:$B$27,nASIG)&gt;0)*(nNOTA))/SUMPRODUCT((nNIA=AE547)*(nCUENTA=1)*(COUNTIF(CONFIG_ASIGNATURAS!$B$7:$B$27,nASIG)&gt;0)*1),"")))</f>
        <v/>
      </c>
    </row>
    <row r="548" spans="2:35" x14ac:dyDescent="0.2">
      <c r="B548" t="str">
        <f>IF(A548="","",IF(A548="[FÓRMULA MANUAL]","",IFERROR(AVERAGEIFS(nNOTA,nNIA,A548,nCUENTA,1,nASIG,"Lenguaje Musical"),"")))</f>
        <v/>
      </c>
      <c r="C548" t="str">
        <f>IF(A548="","",IF(A548="[FÓRMULA MANUAL]","",IFERROR(AVERAGEIFS(nNOTA,nNIA,A548,nCUENTA,1,nASIG,"Orquesta/Banda/Conjunto"),"")))</f>
        <v/>
      </c>
      <c r="D548" t="str">
        <f>IF(A548="","",IF(A548="[FÓRMULA MANUAL]","",IFERROR(AVERAGEIFS(nNOTA,nNIA,A548,nCUENTA,1,nASIG,"Conjunto"),"")))</f>
        <v/>
      </c>
      <c r="E548" t="str">
        <f>IF(A548="","",IF(A548="[FÓRMULA MANUAL]","",IFERROR(SUMPRODUCT((nNIA=A548)*(nCUENTA=1)*(COUNTIF(CONFIG_ASIGNATURAS!$B$7:$B$27,nASIG)&gt;0)*(nNOTA))/SUMPRODUCT((nNIA=A548)*(nCUENTA=1)*(COUNTIF(CONFIG_ASIGNATURAS!$B$7:$B$27,nASIG)&gt;0)*1),"")))</f>
        <v/>
      </c>
      <c r="H548" t="str">
        <f>IF(G548="","",IF(G548="[FÓRMULA MANUAL]","",IFERROR(AVERAGEIFS(nNOTA,nNIA,G548,nCUENTA,1,nASIG,"Lenguaje Musical"),"")))</f>
        <v/>
      </c>
      <c r="I548" t="str">
        <f>IF(G548="","",IF(G548="[FÓRMULA MANUAL]","",IFERROR(AVERAGEIFS(nNOTA,nNIA,G548,nCUENTA,1,nASIG,"Orquesta/Banda/Conjunto"),"")))</f>
        <v/>
      </c>
      <c r="J548" t="str">
        <f>IF(G548="","",IF(G548="[FÓRMULA MANUAL]","",IFERROR(AVERAGEIFS(nNOTA,nNIA,G548,nCUENTA,1,nASIG,"Conjunto"),"")))</f>
        <v/>
      </c>
      <c r="K548" t="str">
        <f>IF(G548="","",IF(G548="[FÓRMULA MANUAL]","",IFERROR(SUMPRODUCT((nNIA=G548)*(nCUENTA=1)*(COUNTIF(CONFIG_ASIGNATURAS!$B$7:$B$27,nASIG)&gt;0)*(nNOTA))/SUMPRODUCT((nNIA=G548)*(nCUENTA=1)*(COUNTIF(CONFIG_ASIGNATURAS!$B$7:$B$27,nASIG)&gt;0)*1),"")))</f>
        <v/>
      </c>
      <c r="N548" t="str">
        <f>IF(M548="","",IF(M548="[FÓRMULA MANUAL]","",IFERROR(AVERAGEIFS(nNOTA,nNIA,M548,nCUENTA,1,nASIG,"Armonía"),"")))</f>
        <v/>
      </c>
      <c r="O548" t="str">
        <f>IF(M548="","",IF(M548="[FÓRMULA MANUAL]","",IFERROR(AVERAGEIFS(nNOTA,nNIA,M548,nCUENTA,1,nASIG,"Orquesta/Banda/Conjunto"),"")))</f>
        <v/>
      </c>
      <c r="P548" t="str">
        <f>IF(M548="","",IF(M548="[FÓRMULA MANUAL]","",IFERROR(AVERAGEIFS(nNOTA,nNIA,M548,nCUENTA,1,nASIG,"Música de Cámara"),"")))</f>
        <v/>
      </c>
      <c r="Q548" t="str">
        <f>IF(M548="","",IF(M548="[FÓRMULA MANUAL]","",IFERROR(SUMPRODUCT((nNIA=M548)*(nCUENTA=1)*(COUNTIF(CONFIG_ASIGNATURAS!$B$7:$B$27,nASIG)&gt;0)*(nNOTA))/SUMPRODUCT((nNIA=M548)*(nCUENTA=1)*(COUNTIF(CONFIG_ASIGNATURAS!$B$7:$B$27,nASIG)&gt;0)*1),"")))</f>
        <v/>
      </c>
      <c r="T548" t="str">
        <f>IF(S548="","",IF(S548="[FÓRMULA MANUAL]","",IFERROR(AVERAGEIFS(nNOTA,nNIA,S548,nCUENTA,1,nASIG,"Armonía"),"")))</f>
        <v/>
      </c>
      <c r="U548" t="str">
        <f>IF(S548="","",IF(S548="[FÓRMULA MANUAL]","",IFERROR(AVERAGEIFS(nNOTA,nNIA,S548,nCUENTA,1,nASIG,"Orquesta/Banda/Conjunto"),"")))</f>
        <v/>
      </c>
      <c r="V548" t="str">
        <f>IF(S548="","",IF(S548="[FÓRMULA MANUAL]","",IFERROR(AVERAGEIFS(nNOTA,nNIA,S548,nCUENTA,1,nASIG,"Música de Cámara"),"")))</f>
        <v/>
      </c>
      <c r="W548" t="str">
        <f>IF(S548="","",IF(S548="[FÓRMULA MANUAL]","",IFERROR(SUMPRODUCT((nNIA=S548)*(nCUENTA=1)*(COUNTIF(CONFIG_ASIGNATURAS!$B$7:$B$27,nASIG)&gt;0)*(nNOTA))/SUMPRODUCT((nNIA=S548)*(nCUENTA=1)*(COUNTIF(CONFIG_ASIGNATURAS!$B$7:$B$27,nASIG)&gt;0)*1),"")))</f>
        <v/>
      </c>
      <c r="Z548" t="str">
        <f>IF(Y548="","",IF(Y548="[FÓRMULA MANUAL]","",IFERROR(AVERAGEIFS(nNOTA,nNIA,Y548,nCUENTA,1,nASIG,"Análisis"),"")))</f>
        <v/>
      </c>
      <c r="AA548" t="str">
        <f>IF(Y548="","",IF(Y548="[FÓRMULA MANUAL]","",IFERROR(AVERAGEIFS(nNOTA,nNIA,Y548,nCUENTA,1,nASIG,"Orquesta/Banda/Conjunto"),"")))</f>
        <v/>
      </c>
      <c r="AB548" t="str">
        <f>IF(Y548="","",IF(Y548="[FÓRMULA MANUAL]","",IFERROR(AVERAGEIFS(nNOTA,nNIA,Y548,nCUENTA,1,nASIG,"Música de Cámara"),"")))</f>
        <v/>
      </c>
      <c r="AC548" t="str">
        <f>IF(Y548="","",IF(Y548="[FÓRMULA MANUAL]","",IFERROR(SUMPRODUCT((nNIA=Y548)*(nCUENTA=1)*(COUNTIF(CONFIG_ASIGNATURAS!$B$7:$B$27,nASIG)&gt;0)*(nNOTA))/SUMPRODUCT((nNIA=Y548)*(nCUENTA=1)*(COUNTIF(CONFIG_ASIGNATURAS!$B$7:$B$27,nASIG)&gt;0)*1),"")))</f>
        <v/>
      </c>
      <c r="AF548" t="str">
        <f>IF(AE548="","",IF(AE548="[FÓRMULA MANUAL]","",IFERROR(AVERAGEIFS(nNOTA,nNIA,AE548,nCUENTA,1,nASIG,"Análisis"),"")))</f>
        <v/>
      </c>
      <c r="AG548" t="str">
        <f>IF(AE548="","",IF(AE548="[FÓRMULA MANUAL]","",IFERROR(AVERAGEIFS(nNOTA,nNIA,AE548,nCUENTA,1,nASIG,"Orquesta/Banda/Conjunto"),"")))</f>
        <v/>
      </c>
      <c r="AH548" t="str">
        <f>IF(AE548="","",IF(AE548="[FÓRMULA MANUAL]","",IFERROR(AVERAGEIFS(nNOTA,nNIA,AE548,nCUENTA,1,nASIG,"Música de Cámara"),"")))</f>
        <v/>
      </c>
      <c r="AI548" t="str">
        <f>IF(AE548="","",IF(AE548="[FÓRMULA MANUAL]","",IFERROR(SUMPRODUCT((nNIA=AE548)*(nCUENTA=1)*(COUNTIF(CONFIG_ASIGNATURAS!$B$7:$B$27,nASIG)&gt;0)*(nNOTA))/SUMPRODUCT((nNIA=AE548)*(nCUENTA=1)*(COUNTIF(CONFIG_ASIGNATURAS!$B$7:$B$27,nASIG)&gt;0)*1),"")))</f>
        <v/>
      </c>
    </row>
    <row r="549" spans="2:35" x14ac:dyDescent="0.2">
      <c r="B549" t="str">
        <f>IF(A549="","",IF(A549="[FÓRMULA MANUAL]","",IFERROR(AVERAGEIFS(nNOTA,nNIA,A549,nCUENTA,1,nASIG,"Lenguaje Musical"),"")))</f>
        <v/>
      </c>
      <c r="C549" t="str">
        <f>IF(A549="","",IF(A549="[FÓRMULA MANUAL]","",IFERROR(AVERAGEIFS(nNOTA,nNIA,A549,nCUENTA,1,nASIG,"Orquesta/Banda/Conjunto"),"")))</f>
        <v/>
      </c>
      <c r="D549" t="str">
        <f>IF(A549="","",IF(A549="[FÓRMULA MANUAL]","",IFERROR(AVERAGEIFS(nNOTA,nNIA,A549,nCUENTA,1,nASIG,"Conjunto"),"")))</f>
        <v/>
      </c>
      <c r="E549" t="str">
        <f>IF(A549="","",IF(A549="[FÓRMULA MANUAL]","",IFERROR(SUMPRODUCT((nNIA=A549)*(nCUENTA=1)*(COUNTIF(CONFIG_ASIGNATURAS!$B$7:$B$27,nASIG)&gt;0)*(nNOTA))/SUMPRODUCT((nNIA=A549)*(nCUENTA=1)*(COUNTIF(CONFIG_ASIGNATURAS!$B$7:$B$27,nASIG)&gt;0)*1),"")))</f>
        <v/>
      </c>
      <c r="H549" t="str">
        <f>IF(G549="","",IF(G549="[FÓRMULA MANUAL]","",IFERROR(AVERAGEIFS(nNOTA,nNIA,G549,nCUENTA,1,nASIG,"Lenguaje Musical"),"")))</f>
        <v/>
      </c>
      <c r="I549" t="str">
        <f>IF(G549="","",IF(G549="[FÓRMULA MANUAL]","",IFERROR(AVERAGEIFS(nNOTA,nNIA,G549,nCUENTA,1,nASIG,"Orquesta/Banda/Conjunto"),"")))</f>
        <v/>
      </c>
      <c r="J549" t="str">
        <f>IF(G549="","",IF(G549="[FÓRMULA MANUAL]","",IFERROR(AVERAGEIFS(nNOTA,nNIA,G549,nCUENTA,1,nASIG,"Conjunto"),"")))</f>
        <v/>
      </c>
      <c r="K549" t="str">
        <f>IF(G549="","",IF(G549="[FÓRMULA MANUAL]","",IFERROR(SUMPRODUCT((nNIA=G549)*(nCUENTA=1)*(COUNTIF(CONFIG_ASIGNATURAS!$B$7:$B$27,nASIG)&gt;0)*(nNOTA))/SUMPRODUCT((nNIA=G549)*(nCUENTA=1)*(COUNTIF(CONFIG_ASIGNATURAS!$B$7:$B$27,nASIG)&gt;0)*1),"")))</f>
        <v/>
      </c>
      <c r="N549" t="str">
        <f>IF(M549="","",IF(M549="[FÓRMULA MANUAL]","",IFERROR(AVERAGEIFS(nNOTA,nNIA,M549,nCUENTA,1,nASIG,"Armonía"),"")))</f>
        <v/>
      </c>
      <c r="O549" t="str">
        <f>IF(M549="","",IF(M549="[FÓRMULA MANUAL]","",IFERROR(AVERAGEIFS(nNOTA,nNIA,M549,nCUENTA,1,nASIG,"Orquesta/Banda/Conjunto"),"")))</f>
        <v/>
      </c>
      <c r="P549" t="str">
        <f>IF(M549="","",IF(M549="[FÓRMULA MANUAL]","",IFERROR(AVERAGEIFS(nNOTA,nNIA,M549,nCUENTA,1,nASIG,"Música de Cámara"),"")))</f>
        <v/>
      </c>
      <c r="Q549" t="str">
        <f>IF(M549="","",IF(M549="[FÓRMULA MANUAL]","",IFERROR(SUMPRODUCT((nNIA=M549)*(nCUENTA=1)*(COUNTIF(CONFIG_ASIGNATURAS!$B$7:$B$27,nASIG)&gt;0)*(nNOTA))/SUMPRODUCT((nNIA=M549)*(nCUENTA=1)*(COUNTIF(CONFIG_ASIGNATURAS!$B$7:$B$27,nASIG)&gt;0)*1),"")))</f>
        <v/>
      </c>
      <c r="T549" t="str">
        <f>IF(S549="","",IF(S549="[FÓRMULA MANUAL]","",IFERROR(AVERAGEIFS(nNOTA,nNIA,S549,nCUENTA,1,nASIG,"Armonía"),"")))</f>
        <v/>
      </c>
      <c r="U549" t="str">
        <f>IF(S549="","",IF(S549="[FÓRMULA MANUAL]","",IFERROR(AVERAGEIFS(nNOTA,nNIA,S549,nCUENTA,1,nASIG,"Orquesta/Banda/Conjunto"),"")))</f>
        <v/>
      </c>
      <c r="V549" t="str">
        <f>IF(S549="","",IF(S549="[FÓRMULA MANUAL]","",IFERROR(AVERAGEIFS(nNOTA,nNIA,S549,nCUENTA,1,nASIG,"Música de Cámara"),"")))</f>
        <v/>
      </c>
      <c r="W549" t="str">
        <f>IF(S549="","",IF(S549="[FÓRMULA MANUAL]","",IFERROR(SUMPRODUCT((nNIA=S549)*(nCUENTA=1)*(COUNTIF(CONFIG_ASIGNATURAS!$B$7:$B$27,nASIG)&gt;0)*(nNOTA))/SUMPRODUCT((nNIA=S549)*(nCUENTA=1)*(COUNTIF(CONFIG_ASIGNATURAS!$B$7:$B$27,nASIG)&gt;0)*1),"")))</f>
        <v/>
      </c>
      <c r="Z549" t="str">
        <f>IF(Y549="","",IF(Y549="[FÓRMULA MANUAL]","",IFERROR(AVERAGEIFS(nNOTA,nNIA,Y549,nCUENTA,1,nASIG,"Análisis"),"")))</f>
        <v/>
      </c>
      <c r="AA549" t="str">
        <f>IF(Y549="","",IF(Y549="[FÓRMULA MANUAL]","",IFERROR(AVERAGEIFS(nNOTA,nNIA,Y549,nCUENTA,1,nASIG,"Orquesta/Banda/Conjunto"),"")))</f>
        <v/>
      </c>
      <c r="AB549" t="str">
        <f>IF(Y549="","",IF(Y549="[FÓRMULA MANUAL]","",IFERROR(AVERAGEIFS(nNOTA,nNIA,Y549,nCUENTA,1,nASIG,"Música de Cámara"),"")))</f>
        <v/>
      </c>
      <c r="AC549" t="str">
        <f>IF(Y549="","",IF(Y549="[FÓRMULA MANUAL]","",IFERROR(SUMPRODUCT((nNIA=Y549)*(nCUENTA=1)*(COUNTIF(CONFIG_ASIGNATURAS!$B$7:$B$27,nASIG)&gt;0)*(nNOTA))/SUMPRODUCT((nNIA=Y549)*(nCUENTA=1)*(COUNTIF(CONFIG_ASIGNATURAS!$B$7:$B$27,nASIG)&gt;0)*1),"")))</f>
        <v/>
      </c>
      <c r="AF549" t="str">
        <f>IF(AE549="","",IF(AE549="[FÓRMULA MANUAL]","",IFERROR(AVERAGEIFS(nNOTA,nNIA,AE549,nCUENTA,1,nASIG,"Análisis"),"")))</f>
        <v/>
      </c>
      <c r="AG549" t="str">
        <f>IF(AE549="","",IF(AE549="[FÓRMULA MANUAL]","",IFERROR(AVERAGEIFS(nNOTA,nNIA,AE549,nCUENTA,1,nASIG,"Orquesta/Banda/Conjunto"),"")))</f>
        <v/>
      </c>
      <c r="AH549" t="str">
        <f>IF(AE549="","",IF(AE549="[FÓRMULA MANUAL]","",IFERROR(AVERAGEIFS(nNOTA,nNIA,AE549,nCUENTA,1,nASIG,"Música de Cámara"),"")))</f>
        <v/>
      </c>
      <c r="AI549" t="str">
        <f>IF(AE549="","",IF(AE549="[FÓRMULA MANUAL]","",IFERROR(SUMPRODUCT((nNIA=AE549)*(nCUENTA=1)*(COUNTIF(CONFIG_ASIGNATURAS!$B$7:$B$27,nASIG)&gt;0)*(nNOTA))/SUMPRODUCT((nNIA=AE549)*(nCUENTA=1)*(COUNTIF(CONFIG_ASIGNATURAS!$B$7:$B$27,nASIG)&gt;0)*1),"")))</f>
        <v/>
      </c>
    </row>
    <row r="550" spans="2:35" x14ac:dyDescent="0.2">
      <c r="B550" t="str">
        <f>IF(A550="","",IF(A550="[FÓRMULA MANUAL]","",IFERROR(AVERAGEIFS(nNOTA,nNIA,A550,nCUENTA,1,nASIG,"Lenguaje Musical"),"")))</f>
        <v/>
      </c>
      <c r="C550" t="str">
        <f>IF(A550="","",IF(A550="[FÓRMULA MANUAL]","",IFERROR(AVERAGEIFS(nNOTA,nNIA,A550,nCUENTA,1,nASIG,"Orquesta/Banda/Conjunto"),"")))</f>
        <v/>
      </c>
      <c r="D550" t="str">
        <f>IF(A550="","",IF(A550="[FÓRMULA MANUAL]","",IFERROR(AVERAGEIFS(nNOTA,nNIA,A550,nCUENTA,1,nASIG,"Conjunto"),"")))</f>
        <v/>
      </c>
      <c r="E550" t="str">
        <f>IF(A550="","",IF(A550="[FÓRMULA MANUAL]","",IFERROR(SUMPRODUCT((nNIA=A550)*(nCUENTA=1)*(COUNTIF(CONFIG_ASIGNATURAS!$B$7:$B$27,nASIG)&gt;0)*(nNOTA))/SUMPRODUCT((nNIA=A550)*(nCUENTA=1)*(COUNTIF(CONFIG_ASIGNATURAS!$B$7:$B$27,nASIG)&gt;0)*1),"")))</f>
        <v/>
      </c>
      <c r="H550" t="str">
        <f>IF(G550="","",IF(G550="[FÓRMULA MANUAL]","",IFERROR(AVERAGEIFS(nNOTA,nNIA,G550,nCUENTA,1,nASIG,"Lenguaje Musical"),"")))</f>
        <v/>
      </c>
      <c r="I550" t="str">
        <f>IF(G550="","",IF(G550="[FÓRMULA MANUAL]","",IFERROR(AVERAGEIFS(nNOTA,nNIA,G550,nCUENTA,1,nASIG,"Orquesta/Banda/Conjunto"),"")))</f>
        <v/>
      </c>
      <c r="J550" t="str">
        <f>IF(G550="","",IF(G550="[FÓRMULA MANUAL]","",IFERROR(AVERAGEIFS(nNOTA,nNIA,G550,nCUENTA,1,nASIG,"Conjunto"),"")))</f>
        <v/>
      </c>
      <c r="K550" t="str">
        <f>IF(G550="","",IF(G550="[FÓRMULA MANUAL]","",IFERROR(SUMPRODUCT((nNIA=G550)*(nCUENTA=1)*(COUNTIF(CONFIG_ASIGNATURAS!$B$7:$B$27,nASIG)&gt;0)*(nNOTA))/SUMPRODUCT((nNIA=G550)*(nCUENTA=1)*(COUNTIF(CONFIG_ASIGNATURAS!$B$7:$B$27,nASIG)&gt;0)*1),"")))</f>
        <v/>
      </c>
      <c r="N550" t="str">
        <f>IF(M550="","",IF(M550="[FÓRMULA MANUAL]","",IFERROR(AVERAGEIFS(nNOTA,nNIA,M550,nCUENTA,1,nASIG,"Armonía"),"")))</f>
        <v/>
      </c>
      <c r="O550" t="str">
        <f>IF(M550="","",IF(M550="[FÓRMULA MANUAL]","",IFERROR(AVERAGEIFS(nNOTA,nNIA,M550,nCUENTA,1,nASIG,"Orquesta/Banda/Conjunto"),"")))</f>
        <v/>
      </c>
      <c r="P550" t="str">
        <f>IF(M550="","",IF(M550="[FÓRMULA MANUAL]","",IFERROR(AVERAGEIFS(nNOTA,nNIA,M550,nCUENTA,1,nASIG,"Música de Cámara"),"")))</f>
        <v/>
      </c>
      <c r="Q550" t="str">
        <f>IF(M550="","",IF(M550="[FÓRMULA MANUAL]","",IFERROR(SUMPRODUCT((nNIA=M550)*(nCUENTA=1)*(COUNTIF(CONFIG_ASIGNATURAS!$B$7:$B$27,nASIG)&gt;0)*(nNOTA))/SUMPRODUCT((nNIA=M550)*(nCUENTA=1)*(COUNTIF(CONFIG_ASIGNATURAS!$B$7:$B$27,nASIG)&gt;0)*1),"")))</f>
        <v/>
      </c>
      <c r="T550" t="str">
        <f>IF(S550="","",IF(S550="[FÓRMULA MANUAL]","",IFERROR(AVERAGEIFS(nNOTA,nNIA,S550,nCUENTA,1,nASIG,"Armonía"),"")))</f>
        <v/>
      </c>
      <c r="U550" t="str">
        <f>IF(S550="","",IF(S550="[FÓRMULA MANUAL]","",IFERROR(AVERAGEIFS(nNOTA,nNIA,S550,nCUENTA,1,nASIG,"Orquesta/Banda/Conjunto"),"")))</f>
        <v/>
      </c>
      <c r="V550" t="str">
        <f>IF(S550="","",IF(S550="[FÓRMULA MANUAL]","",IFERROR(AVERAGEIFS(nNOTA,nNIA,S550,nCUENTA,1,nASIG,"Música de Cámara"),"")))</f>
        <v/>
      </c>
      <c r="W550" t="str">
        <f>IF(S550="","",IF(S550="[FÓRMULA MANUAL]","",IFERROR(SUMPRODUCT((nNIA=S550)*(nCUENTA=1)*(COUNTIF(CONFIG_ASIGNATURAS!$B$7:$B$27,nASIG)&gt;0)*(nNOTA))/SUMPRODUCT((nNIA=S550)*(nCUENTA=1)*(COUNTIF(CONFIG_ASIGNATURAS!$B$7:$B$27,nASIG)&gt;0)*1),"")))</f>
        <v/>
      </c>
      <c r="Z550" t="str">
        <f>IF(Y550="","",IF(Y550="[FÓRMULA MANUAL]","",IFERROR(AVERAGEIFS(nNOTA,nNIA,Y550,nCUENTA,1,nASIG,"Análisis"),"")))</f>
        <v/>
      </c>
      <c r="AA550" t="str">
        <f>IF(Y550="","",IF(Y550="[FÓRMULA MANUAL]","",IFERROR(AVERAGEIFS(nNOTA,nNIA,Y550,nCUENTA,1,nASIG,"Orquesta/Banda/Conjunto"),"")))</f>
        <v/>
      </c>
      <c r="AB550" t="str">
        <f>IF(Y550="","",IF(Y550="[FÓRMULA MANUAL]","",IFERROR(AVERAGEIFS(nNOTA,nNIA,Y550,nCUENTA,1,nASIG,"Música de Cámara"),"")))</f>
        <v/>
      </c>
      <c r="AC550" t="str">
        <f>IF(Y550="","",IF(Y550="[FÓRMULA MANUAL]","",IFERROR(SUMPRODUCT((nNIA=Y550)*(nCUENTA=1)*(COUNTIF(CONFIG_ASIGNATURAS!$B$7:$B$27,nASIG)&gt;0)*(nNOTA))/SUMPRODUCT((nNIA=Y550)*(nCUENTA=1)*(COUNTIF(CONFIG_ASIGNATURAS!$B$7:$B$27,nASIG)&gt;0)*1),"")))</f>
        <v/>
      </c>
      <c r="AF550" t="str">
        <f>IF(AE550="","",IF(AE550="[FÓRMULA MANUAL]","",IFERROR(AVERAGEIFS(nNOTA,nNIA,AE550,nCUENTA,1,nASIG,"Análisis"),"")))</f>
        <v/>
      </c>
      <c r="AG550" t="str">
        <f>IF(AE550="","",IF(AE550="[FÓRMULA MANUAL]","",IFERROR(AVERAGEIFS(nNOTA,nNIA,AE550,nCUENTA,1,nASIG,"Orquesta/Banda/Conjunto"),"")))</f>
        <v/>
      </c>
      <c r="AH550" t="str">
        <f>IF(AE550="","",IF(AE550="[FÓRMULA MANUAL]","",IFERROR(AVERAGEIFS(nNOTA,nNIA,AE550,nCUENTA,1,nASIG,"Música de Cámara"),"")))</f>
        <v/>
      </c>
      <c r="AI550" t="str">
        <f>IF(AE550="","",IF(AE550="[FÓRMULA MANUAL]","",IFERROR(SUMPRODUCT((nNIA=AE550)*(nCUENTA=1)*(COUNTIF(CONFIG_ASIGNATURAS!$B$7:$B$27,nASIG)&gt;0)*(nNOTA))/SUMPRODUCT((nNIA=AE550)*(nCUENTA=1)*(COUNTIF(CONFIG_ASIGNATURAS!$B$7:$B$27,nASIG)&gt;0)*1),"")))</f>
        <v/>
      </c>
    </row>
    <row r="551" spans="2:35" x14ac:dyDescent="0.2">
      <c r="B551" t="str">
        <f>IF(A551="","",IF(A551="[FÓRMULA MANUAL]","",IFERROR(AVERAGEIFS(nNOTA,nNIA,A551,nCUENTA,1,nASIG,"Lenguaje Musical"),"")))</f>
        <v/>
      </c>
      <c r="C551" t="str">
        <f>IF(A551="","",IF(A551="[FÓRMULA MANUAL]","",IFERROR(AVERAGEIFS(nNOTA,nNIA,A551,nCUENTA,1,nASIG,"Orquesta/Banda/Conjunto"),"")))</f>
        <v/>
      </c>
      <c r="D551" t="str">
        <f>IF(A551="","",IF(A551="[FÓRMULA MANUAL]","",IFERROR(AVERAGEIFS(nNOTA,nNIA,A551,nCUENTA,1,nASIG,"Conjunto"),"")))</f>
        <v/>
      </c>
      <c r="E551" t="str">
        <f>IF(A551="","",IF(A551="[FÓRMULA MANUAL]","",IFERROR(SUMPRODUCT((nNIA=A551)*(nCUENTA=1)*(COUNTIF(CONFIG_ASIGNATURAS!$B$7:$B$27,nASIG)&gt;0)*(nNOTA))/SUMPRODUCT((nNIA=A551)*(nCUENTA=1)*(COUNTIF(CONFIG_ASIGNATURAS!$B$7:$B$27,nASIG)&gt;0)*1),"")))</f>
        <v/>
      </c>
      <c r="H551" t="str">
        <f>IF(G551="","",IF(G551="[FÓRMULA MANUAL]","",IFERROR(AVERAGEIFS(nNOTA,nNIA,G551,nCUENTA,1,nASIG,"Lenguaje Musical"),"")))</f>
        <v/>
      </c>
      <c r="I551" t="str">
        <f>IF(G551="","",IF(G551="[FÓRMULA MANUAL]","",IFERROR(AVERAGEIFS(nNOTA,nNIA,G551,nCUENTA,1,nASIG,"Orquesta/Banda/Conjunto"),"")))</f>
        <v/>
      </c>
      <c r="J551" t="str">
        <f>IF(G551="","",IF(G551="[FÓRMULA MANUAL]","",IFERROR(AVERAGEIFS(nNOTA,nNIA,G551,nCUENTA,1,nASIG,"Conjunto"),"")))</f>
        <v/>
      </c>
      <c r="K551" t="str">
        <f>IF(G551="","",IF(G551="[FÓRMULA MANUAL]","",IFERROR(SUMPRODUCT((nNIA=G551)*(nCUENTA=1)*(COUNTIF(CONFIG_ASIGNATURAS!$B$7:$B$27,nASIG)&gt;0)*(nNOTA))/SUMPRODUCT((nNIA=G551)*(nCUENTA=1)*(COUNTIF(CONFIG_ASIGNATURAS!$B$7:$B$27,nASIG)&gt;0)*1),"")))</f>
        <v/>
      </c>
      <c r="N551" t="str">
        <f>IF(M551="","",IF(M551="[FÓRMULA MANUAL]","",IFERROR(AVERAGEIFS(nNOTA,nNIA,M551,nCUENTA,1,nASIG,"Armonía"),"")))</f>
        <v/>
      </c>
      <c r="O551" t="str">
        <f>IF(M551="","",IF(M551="[FÓRMULA MANUAL]","",IFERROR(AVERAGEIFS(nNOTA,nNIA,M551,nCUENTA,1,nASIG,"Orquesta/Banda/Conjunto"),"")))</f>
        <v/>
      </c>
      <c r="P551" t="str">
        <f>IF(M551="","",IF(M551="[FÓRMULA MANUAL]","",IFERROR(AVERAGEIFS(nNOTA,nNIA,M551,nCUENTA,1,nASIG,"Música de Cámara"),"")))</f>
        <v/>
      </c>
      <c r="Q551" t="str">
        <f>IF(M551="","",IF(M551="[FÓRMULA MANUAL]","",IFERROR(SUMPRODUCT((nNIA=M551)*(nCUENTA=1)*(COUNTIF(CONFIG_ASIGNATURAS!$B$7:$B$27,nASIG)&gt;0)*(nNOTA))/SUMPRODUCT((nNIA=M551)*(nCUENTA=1)*(COUNTIF(CONFIG_ASIGNATURAS!$B$7:$B$27,nASIG)&gt;0)*1),"")))</f>
        <v/>
      </c>
      <c r="T551" t="str">
        <f>IF(S551="","",IF(S551="[FÓRMULA MANUAL]","",IFERROR(AVERAGEIFS(nNOTA,nNIA,S551,nCUENTA,1,nASIG,"Armonía"),"")))</f>
        <v/>
      </c>
      <c r="U551" t="str">
        <f>IF(S551="","",IF(S551="[FÓRMULA MANUAL]","",IFERROR(AVERAGEIFS(nNOTA,nNIA,S551,nCUENTA,1,nASIG,"Orquesta/Banda/Conjunto"),"")))</f>
        <v/>
      </c>
      <c r="V551" t="str">
        <f>IF(S551="","",IF(S551="[FÓRMULA MANUAL]","",IFERROR(AVERAGEIFS(nNOTA,nNIA,S551,nCUENTA,1,nASIG,"Música de Cámara"),"")))</f>
        <v/>
      </c>
      <c r="W551" t="str">
        <f>IF(S551="","",IF(S551="[FÓRMULA MANUAL]","",IFERROR(SUMPRODUCT((nNIA=S551)*(nCUENTA=1)*(COUNTIF(CONFIG_ASIGNATURAS!$B$7:$B$27,nASIG)&gt;0)*(nNOTA))/SUMPRODUCT((nNIA=S551)*(nCUENTA=1)*(COUNTIF(CONFIG_ASIGNATURAS!$B$7:$B$27,nASIG)&gt;0)*1),"")))</f>
        <v/>
      </c>
      <c r="Z551" t="str">
        <f>IF(Y551="","",IF(Y551="[FÓRMULA MANUAL]","",IFERROR(AVERAGEIFS(nNOTA,nNIA,Y551,nCUENTA,1,nASIG,"Análisis"),"")))</f>
        <v/>
      </c>
      <c r="AA551" t="str">
        <f>IF(Y551="","",IF(Y551="[FÓRMULA MANUAL]","",IFERROR(AVERAGEIFS(nNOTA,nNIA,Y551,nCUENTA,1,nASIG,"Orquesta/Banda/Conjunto"),"")))</f>
        <v/>
      </c>
      <c r="AB551" t="str">
        <f>IF(Y551="","",IF(Y551="[FÓRMULA MANUAL]","",IFERROR(AVERAGEIFS(nNOTA,nNIA,Y551,nCUENTA,1,nASIG,"Música de Cámara"),"")))</f>
        <v/>
      </c>
      <c r="AC551" t="str">
        <f>IF(Y551="","",IF(Y551="[FÓRMULA MANUAL]","",IFERROR(SUMPRODUCT((nNIA=Y551)*(nCUENTA=1)*(COUNTIF(CONFIG_ASIGNATURAS!$B$7:$B$27,nASIG)&gt;0)*(nNOTA))/SUMPRODUCT((nNIA=Y551)*(nCUENTA=1)*(COUNTIF(CONFIG_ASIGNATURAS!$B$7:$B$27,nASIG)&gt;0)*1),"")))</f>
        <v/>
      </c>
      <c r="AF551" t="str">
        <f>IF(AE551="","",IF(AE551="[FÓRMULA MANUAL]","",IFERROR(AVERAGEIFS(nNOTA,nNIA,AE551,nCUENTA,1,nASIG,"Análisis"),"")))</f>
        <v/>
      </c>
      <c r="AG551" t="str">
        <f>IF(AE551="","",IF(AE551="[FÓRMULA MANUAL]","",IFERROR(AVERAGEIFS(nNOTA,nNIA,AE551,nCUENTA,1,nASIG,"Orquesta/Banda/Conjunto"),"")))</f>
        <v/>
      </c>
      <c r="AH551" t="str">
        <f>IF(AE551="","",IF(AE551="[FÓRMULA MANUAL]","",IFERROR(AVERAGEIFS(nNOTA,nNIA,AE551,nCUENTA,1,nASIG,"Música de Cámara"),"")))</f>
        <v/>
      </c>
      <c r="AI551" t="str">
        <f>IF(AE551="","",IF(AE551="[FÓRMULA MANUAL]","",IFERROR(SUMPRODUCT((nNIA=AE551)*(nCUENTA=1)*(COUNTIF(CONFIG_ASIGNATURAS!$B$7:$B$27,nASIG)&gt;0)*(nNOTA))/SUMPRODUCT((nNIA=AE551)*(nCUENTA=1)*(COUNTIF(CONFIG_ASIGNATURAS!$B$7:$B$27,nASIG)&gt;0)*1),"")))</f>
        <v/>
      </c>
    </row>
    <row r="552" spans="2:35" x14ac:dyDescent="0.2">
      <c r="B552" t="str">
        <f>IF(A552="","",IF(A552="[FÓRMULA MANUAL]","",IFERROR(AVERAGEIFS(nNOTA,nNIA,A552,nCUENTA,1,nASIG,"Lenguaje Musical"),"")))</f>
        <v/>
      </c>
      <c r="C552" t="str">
        <f>IF(A552="","",IF(A552="[FÓRMULA MANUAL]","",IFERROR(AVERAGEIFS(nNOTA,nNIA,A552,nCUENTA,1,nASIG,"Orquesta/Banda/Conjunto"),"")))</f>
        <v/>
      </c>
      <c r="D552" t="str">
        <f>IF(A552="","",IF(A552="[FÓRMULA MANUAL]","",IFERROR(AVERAGEIFS(nNOTA,nNIA,A552,nCUENTA,1,nASIG,"Conjunto"),"")))</f>
        <v/>
      </c>
      <c r="E552" t="str">
        <f>IF(A552="","",IF(A552="[FÓRMULA MANUAL]","",IFERROR(SUMPRODUCT((nNIA=A552)*(nCUENTA=1)*(COUNTIF(CONFIG_ASIGNATURAS!$B$7:$B$27,nASIG)&gt;0)*(nNOTA))/SUMPRODUCT((nNIA=A552)*(nCUENTA=1)*(COUNTIF(CONFIG_ASIGNATURAS!$B$7:$B$27,nASIG)&gt;0)*1),"")))</f>
        <v/>
      </c>
      <c r="H552" t="str">
        <f>IF(G552="","",IF(G552="[FÓRMULA MANUAL]","",IFERROR(AVERAGEIFS(nNOTA,nNIA,G552,nCUENTA,1,nASIG,"Lenguaje Musical"),"")))</f>
        <v/>
      </c>
      <c r="I552" t="str">
        <f>IF(G552="","",IF(G552="[FÓRMULA MANUAL]","",IFERROR(AVERAGEIFS(nNOTA,nNIA,G552,nCUENTA,1,nASIG,"Orquesta/Banda/Conjunto"),"")))</f>
        <v/>
      </c>
      <c r="J552" t="str">
        <f>IF(G552="","",IF(G552="[FÓRMULA MANUAL]","",IFERROR(AVERAGEIFS(nNOTA,nNIA,G552,nCUENTA,1,nASIG,"Conjunto"),"")))</f>
        <v/>
      </c>
      <c r="K552" t="str">
        <f>IF(G552="","",IF(G552="[FÓRMULA MANUAL]","",IFERROR(SUMPRODUCT((nNIA=G552)*(nCUENTA=1)*(COUNTIF(CONFIG_ASIGNATURAS!$B$7:$B$27,nASIG)&gt;0)*(nNOTA))/SUMPRODUCT((nNIA=G552)*(nCUENTA=1)*(COUNTIF(CONFIG_ASIGNATURAS!$B$7:$B$27,nASIG)&gt;0)*1),"")))</f>
        <v/>
      </c>
      <c r="N552" t="str">
        <f>IF(M552="","",IF(M552="[FÓRMULA MANUAL]","",IFERROR(AVERAGEIFS(nNOTA,nNIA,M552,nCUENTA,1,nASIG,"Armonía"),"")))</f>
        <v/>
      </c>
      <c r="O552" t="str">
        <f>IF(M552="","",IF(M552="[FÓRMULA MANUAL]","",IFERROR(AVERAGEIFS(nNOTA,nNIA,M552,nCUENTA,1,nASIG,"Orquesta/Banda/Conjunto"),"")))</f>
        <v/>
      </c>
      <c r="P552" t="str">
        <f>IF(M552="","",IF(M552="[FÓRMULA MANUAL]","",IFERROR(AVERAGEIFS(nNOTA,nNIA,M552,nCUENTA,1,nASIG,"Música de Cámara"),"")))</f>
        <v/>
      </c>
      <c r="Q552" t="str">
        <f>IF(M552="","",IF(M552="[FÓRMULA MANUAL]","",IFERROR(SUMPRODUCT((nNIA=M552)*(nCUENTA=1)*(COUNTIF(CONFIG_ASIGNATURAS!$B$7:$B$27,nASIG)&gt;0)*(nNOTA))/SUMPRODUCT((nNIA=M552)*(nCUENTA=1)*(COUNTIF(CONFIG_ASIGNATURAS!$B$7:$B$27,nASIG)&gt;0)*1),"")))</f>
        <v/>
      </c>
      <c r="T552" t="str">
        <f>IF(S552="","",IF(S552="[FÓRMULA MANUAL]","",IFERROR(AVERAGEIFS(nNOTA,nNIA,S552,nCUENTA,1,nASIG,"Armonía"),"")))</f>
        <v/>
      </c>
      <c r="U552" t="str">
        <f>IF(S552="","",IF(S552="[FÓRMULA MANUAL]","",IFERROR(AVERAGEIFS(nNOTA,nNIA,S552,nCUENTA,1,nASIG,"Orquesta/Banda/Conjunto"),"")))</f>
        <v/>
      </c>
      <c r="V552" t="str">
        <f>IF(S552="","",IF(S552="[FÓRMULA MANUAL]","",IFERROR(AVERAGEIFS(nNOTA,nNIA,S552,nCUENTA,1,nASIG,"Música de Cámara"),"")))</f>
        <v/>
      </c>
      <c r="W552" t="str">
        <f>IF(S552="","",IF(S552="[FÓRMULA MANUAL]","",IFERROR(SUMPRODUCT((nNIA=S552)*(nCUENTA=1)*(COUNTIF(CONFIG_ASIGNATURAS!$B$7:$B$27,nASIG)&gt;0)*(nNOTA))/SUMPRODUCT((nNIA=S552)*(nCUENTA=1)*(COUNTIF(CONFIG_ASIGNATURAS!$B$7:$B$27,nASIG)&gt;0)*1),"")))</f>
        <v/>
      </c>
      <c r="Z552" t="str">
        <f>IF(Y552="","",IF(Y552="[FÓRMULA MANUAL]","",IFERROR(AVERAGEIFS(nNOTA,nNIA,Y552,nCUENTA,1,nASIG,"Análisis"),"")))</f>
        <v/>
      </c>
      <c r="AA552" t="str">
        <f>IF(Y552="","",IF(Y552="[FÓRMULA MANUAL]","",IFERROR(AVERAGEIFS(nNOTA,nNIA,Y552,nCUENTA,1,nASIG,"Orquesta/Banda/Conjunto"),"")))</f>
        <v/>
      </c>
      <c r="AB552" t="str">
        <f>IF(Y552="","",IF(Y552="[FÓRMULA MANUAL]","",IFERROR(AVERAGEIFS(nNOTA,nNIA,Y552,nCUENTA,1,nASIG,"Música de Cámara"),"")))</f>
        <v/>
      </c>
      <c r="AC552" t="str">
        <f>IF(Y552="","",IF(Y552="[FÓRMULA MANUAL]","",IFERROR(SUMPRODUCT((nNIA=Y552)*(nCUENTA=1)*(COUNTIF(CONFIG_ASIGNATURAS!$B$7:$B$27,nASIG)&gt;0)*(nNOTA))/SUMPRODUCT((nNIA=Y552)*(nCUENTA=1)*(COUNTIF(CONFIG_ASIGNATURAS!$B$7:$B$27,nASIG)&gt;0)*1),"")))</f>
        <v/>
      </c>
      <c r="AF552" t="str">
        <f>IF(AE552="","",IF(AE552="[FÓRMULA MANUAL]","",IFERROR(AVERAGEIFS(nNOTA,nNIA,AE552,nCUENTA,1,nASIG,"Análisis"),"")))</f>
        <v/>
      </c>
      <c r="AG552" t="str">
        <f>IF(AE552="","",IF(AE552="[FÓRMULA MANUAL]","",IFERROR(AVERAGEIFS(nNOTA,nNIA,AE552,nCUENTA,1,nASIG,"Orquesta/Banda/Conjunto"),"")))</f>
        <v/>
      </c>
      <c r="AH552" t="str">
        <f>IF(AE552="","",IF(AE552="[FÓRMULA MANUAL]","",IFERROR(AVERAGEIFS(nNOTA,nNIA,AE552,nCUENTA,1,nASIG,"Música de Cámara"),"")))</f>
        <v/>
      </c>
      <c r="AI552" t="str">
        <f>IF(AE552="","",IF(AE552="[FÓRMULA MANUAL]","",IFERROR(SUMPRODUCT((nNIA=AE552)*(nCUENTA=1)*(COUNTIF(CONFIG_ASIGNATURAS!$B$7:$B$27,nASIG)&gt;0)*(nNOTA))/SUMPRODUCT((nNIA=AE552)*(nCUENTA=1)*(COUNTIF(CONFIG_ASIGNATURAS!$B$7:$B$27,nASIG)&gt;0)*1),"")))</f>
        <v/>
      </c>
    </row>
    <row r="553" spans="2:35" x14ac:dyDescent="0.2">
      <c r="B553" t="str">
        <f>IF(A553="","",IF(A553="[FÓRMULA MANUAL]","",IFERROR(AVERAGEIFS(nNOTA,nNIA,A553,nCUENTA,1,nASIG,"Lenguaje Musical"),"")))</f>
        <v/>
      </c>
      <c r="C553" t="str">
        <f>IF(A553="","",IF(A553="[FÓRMULA MANUAL]","",IFERROR(AVERAGEIFS(nNOTA,nNIA,A553,nCUENTA,1,nASIG,"Orquesta/Banda/Conjunto"),"")))</f>
        <v/>
      </c>
      <c r="D553" t="str">
        <f>IF(A553="","",IF(A553="[FÓRMULA MANUAL]","",IFERROR(AVERAGEIFS(nNOTA,nNIA,A553,nCUENTA,1,nASIG,"Conjunto"),"")))</f>
        <v/>
      </c>
      <c r="E553" t="str">
        <f>IF(A553="","",IF(A553="[FÓRMULA MANUAL]","",IFERROR(SUMPRODUCT((nNIA=A553)*(nCUENTA=1)*(COUNTIF(CONFIG_ASIGNATURAS!$B$7:$B$27,nASIG)&gt;0)*(nNOTA))/SUMPRODUCT((nNIA=A553)*(nCUENTA=1)*(COUNTIF(CONFIG_ASIGNATURAS!$B$7:$B$27,nASIG)&gt;0)*1),"")))</f>
        <v/>
      </c>
      <c r="H553" t="str">
        <f>IF(G553="","",IF(G553="[FÓRMULA MANUAL]","",IFERROR(AVERAGEIFS(nNOTA,nNIA,G553,nCUENTA,1,nASIG,"Lenguaje Musical"),"")))</f>
        <v/>
      </c>
      <c r="I553" t="str">
        <f>IF(G553="","",IF(G553="[FÓRMULA MANUAL]","",IFERROR(AVERAGEIFS(nNOTA,nNIA,G553,nCUENTA,1,nASIG,"Orquesta/Banda/Conjunto"),"")))</f>
        <v/>
      </c>
      <c r="J553" t="str">
        <f>IF(G553="","",IF(G553="[FÓRMULA MANUAL]","",IFERROR(AVERAGEIFS(nNOTA,nNIA,G553,nCUENTA,1,nASIG,"Conjunto"),"")))</f>
        <v/>
      </c>
      <c r="K553" t="str">
        <f>IF(G553="","",IF(G553="[FÓRMULA MANUAL]","",IFERROR(SUMPRODUCT((nNIA=G553)*(nCUENTA=1)*(COUNTIF(CONFIG_ASIGNATURAS!$B$7:$B$27,nASIG)&gt;0)*(nNOTA))/SUMPRODUCT((nNIA=G553)*(nCUENTA=1)*(COUNTIF(CONFIG_ASIGNATURAS!$B$7:$B$27,nASIG)&gt;0)*1),"")))</f>
        <v/>
      </c>
      <c r="N553" t="str">
        <f>IF(M553="","",IF(M553="[FÓRMULA MANUAL]","",IFERROR(AVERAGEIFS(nNOTA,nNIA,M553,nCUENTA,1,nASIG,"Armonía"),"")))</f>
        <v/>
      </c>
      <c r="O553" t="str">
        <f>IF(M553="","",IF(M553="[FÓRMULA MANUAL]","",IFERROR(AVERAGEIFS(nNOTA,nNIA,M553,nCUENTA,1,nASIG,"Orquesta/Banda/Conjunto"),"")))</f>
        <v/>
      </c>
      <c r="P553" t="str">
        <f>IF(M553="","",IF(M553="[FÓRMULA MANUAL]","",IFERROR(AVERAGEIFS(nNOTA,nNIA,M553,nCUENTA,1,nASIG,"Música de Cámara"),"")))</f>
        <v/>
      </c>
      <c r="Q553" t="str">
        <f>IF(M553="","",IF(M553="[FÓRMULA MANUAL]","",IFERROR(SUMPRODUCT((nNIA=M553)*(nCUENTA=1)*(COUNTIF(CONFIG_ASIGNATURAS!$B$7:$B$27,nASIG)&gt;0)*(nNOTA))/SUMPRODUCT((nNIA=M553)*(nCUENTA=1)*(COUNTIF(CONFIG_ASIGNATURAS!$B$7:$B$27,nASIG)&gt;0)*1),"")))</f>
        <v/>
      </c>
      <c r="T553" t="str">
        <f>IF(S553="","",IF(S553="[FÓRMULA MANUAL]","",IFERROR(AVERAGEIFS(nNOTA,nNIA,S553,nCUENTA,1,nASIG,"Armonía"),"")))</f>
        <v/>
      </c>
      <c r="U553" t="str">
        <f>IF(S553="","",IF(S553="[FÓRMULA MANUAL]","",IFERROR(AVERAGEIFS(nNOTA,nNIA,S553,nCUENTA,1,nASIG,"Orquesta/Banda/Conjunto"),"")))</f>
        <v/>
      </c>
      <c r="V553" t="str">
        <f>IF(S553="","",IF(S553="[FÓRMULA MANUAL]","",IFERROR(AVERAGEIFS(nNOTA,nNIA,S553,nCUENTA,1,nASIG,"Música de Cámara"),"")))</f>
        <v/>
      </c>
      <c r="W553" t="str">
        <f>IF(S553="","",IF(S553="[FÓRMULA MANUAL]","",IFERROR(SUMPRODUCT((nNIA=S553)*(nCUENTA=1)*(COUNTIF(CONFIG_ASIGNATURAS!$B$7:$B$27,nASIG)&gt;0)*(nNOTA))/SUMPRODUCT((nNIA=S553)*(nCUENTA=1)*(COUNTIF(CONFIG_ASIGNATURAS!$B$7:$B$27,nASIG)&gt;0)*1),"")))</f>
        <v/>
      </c>
      <c r="Z553" t="str">
        <f>IF(Y553="","",IF(Y553="[FÓRMULA MANUAL]","",IFERROR(AVERAGEIFS(nNOTA,nNIA,Y553,nCUENTA,1,nASIG,"Análisis"),"")))</f>
        <v/>
      </c>
      <c r="AA553" t="str">
        <f>IF(Y553="","",IF(Y553="[FÓRMULA MANUAL]","",IFERROR(AVERAGEIFS(nNOTA,nNIA,Y553,nCUENTA,1,nASIG,"Orquesta/Banda/Conjunto"),"")))</f>
        <v/>
      </c>
      <c r="AB553" t="str">
        <f>IF(Y553="","",IF(Y553="[FÓRMULA MANUAL]","",IFERROR(AVERAGEIFS(nNOTA,nNIA,Y553,nCUENTA,1,nASIG,"Música de Cámara"),"")))</f>
        <v/>
      </c>
      <c r="AC553" t="str">
        <f>IF(Y553="","",IF(Y553="[FÓRMULA MANUAL]","",IFERROR(SUMPRODUCT((nNIA=Y553)*(nCUENTA=1)*(COUNTIF(CONFIG_ASIGNATURAS!$B$7:$B$27,nASIG)&gt;0)*(nNOTA))/SUMPRODUCT((nNIA=Y553)*(nCUENTA=1)*(COUNTIF(CONFIG_ASIGNATURAS!$B$7:$B$27,nASIG)&gt;0)*1),"")))</f>
        <v/>
      </c>
      <c r="AF553" t="str">
        <f>IF(AE553="","",IF(AE553="[FÓRMULA MANUAL]","",IFERROR(AVERAGEIFS(nNOTA,nNIA,AE553,nCUENTA,1,nASIG,"Análisis"),"")))</f>
        <v/>
      </c>
      <c r="AG553" t="str">
        <f>IF(AE553="","",IF(AE553="[FÓRMULA MANUAL]","",IFERROR(AVERAGEIFS(nNOTA,nNIA,AE553,nCUENTA,1,nASIG,"Orquesta/Banda/Conjunto"),"")))</f>
        <v/>
      </c>
      <c r="AH553" t="str">
        <f>IF(AE553="","",IF(AE553="[FÓRMULA MANUAL]","",IFERROR(AVERAGEIFS(nNOTA,nNIA,AE553,nCUENTA,1,nASIG,"Música de Cámara"),"")))</f>
        <v/>
      </c>
      <c r="AI553" t="str">
        <f>IF(AE553="","",IF(AE553="[FÓRMULA MANUAL]","",IFERROR(SUMPRODUCT((nNIA=AE553)*(nCUENTA=1)*(COUNTIF(CONFIG_ASIGNATURAS!$B$7:$B$27,nASIG)&gt;0)*(nNOTA))/SUMPRODUCT((nNIA=AE553)*(nCUENTA=1)*(COUNTIF(CONFIG_ASIGNATURAS!$B$7:$B$27,nASIG)&gt;0)*1),"")))</f>
        <v/>
      </c>
    </row>
    <row r="554" spans="2:35" x14ac:dyDescent="0.2">
      <c r="B554" t="str">
        <f>IF(A554="","",IF(A554="[FÓRMULA MANUAL]","",IFERROR(AVERAGEIFS(nNOTA,nNIA,A554,nCUENTA,1,nASIG,"Lenguaje Musical"),"")))</f>
        <v/>
      </c>
      <c r="C554" t="str">
        <f>IF(A554="","",IF(A554="[FÓRMULA MANUAL]","",IFERROR(AVERAGEIFS(nNOTA,nNIA,A554,nCUENTA,1,nASIG,"Orquesta/Banda/Conjunto"),"")))</f>
        <v/>
      </c>
      <c r="D554" t="str">
        <f>IF(A554="","",IF(A554="[FÓRMULA MANUAL]","",IFERROR(AVERAGEIFS(nNOTA,nNIA,A554,nCUENTA,1,nASIG,"Conjunto"),"")))</f>
        <v/>
      </c>
      <c r="E554" t="str">
        <f>IF(A554="","",IF(A554="[FÓRMULA MANUAL]","",IFERROR(SUMPRODUCT((nNIA=A554)*(nCUENTA=1)*(COUNTIF(CONFIG_ASIGNATURAS!$B$7:$B$27,nASIG)&gt;0)*(nNOTA))/SUMPRODUCT((nNIA=A554)*(nCUENTA=1)*(COUNTIF(CONFIG_ASIGNATURAS!$B$7:$B$27,nASIG)&gt;0)*1),"")))</f>
        <v/>
      </c>
      <c r="H554" t="str">
        <f>IF(G554="","",IF(G554="[FÓRMULA MANUAL]","",IFERROR(AVERAGEIFS(nNOTA,nNIA,G554,nCUENTA,1,nASIG,"Lenguaje Musical"),"")))</f>
        <v/>
      </c>
      <c r="I554" t="str">
        <f>IF(G554="","",IF(G554="[FÓRMULA MANUAL]","",IFERROR(AVERAGEIFS(nNOTA,nNIA,G554,nCUENTA,1,nASIG,"Orquesta/Banda/Conjunto"),"")))</f>
        <v/>
      </c>
      <c r="J554" t="str">
        <f>IF(G554="","",IF(G554="[FÓRMULA MANUAL]","",IFERROR(AVERAGEIFS(nNOTA,nNIA,G554,nCUENTA,1,nASIG,"Conjunto"),"")))</f>
        <v/>
      </c>
      <c r="K554" t="str">
        <f>IF(G554="","",IF(G554="[FÓRMULA MANUAL]","",IFERROR(SUMPRODUCT((nNIA=G554)*(nCUENTA=1)*(COUNTIF(CONFIG_ASIGNATURAS!$B$7:$B$27,nASIG)&gt;0)*(nNOTA))/SUMPRODUCT((nNIA=G554)*(nCUENTA=1)*(COUNTIF(CONFIG_ASIGNATURAS!$B$7:$B$27,nASIG)&gt;0)*1),"")))</f>
        <v/>
      </c>
      <c r="N554" t="str">
        <f>IF(M554="","",IF(M554="[FÓRMULA MANUAL]","",IFERROR(AVERAGEIFS(nNOTA,nNIA,M554,nCUENTA,1,nASIG,"Armonía"),"")))</f>
        <v/>
      </c>
      <c r="O554" t="str">
        <f>IF(M554="","",IF(M554="[FÓRMULA MANUAL]","",IFERROR(AVERAGEIFS(nNOTA,nNIA,M554,nCUENTA,1,nASIG,"Orquesta/Banda/Conjunto"),"")))</f>
        <v/>
      </c>
      <c r="P554" t="str">
        <f>IF(M554="","",IF(M554="[FÓRMULA MANUAL]","",IFERROR(AVERAGEIFS(nNOTA,nNIA,M554,nCUENTA,1,nASIG,"Música de Cámara"),"")))</f>
        <v/>
      </c>
      <c r="Q554" t="str">
        <f>IF(M554="","",IF(M554="[FÓRMULA MANUAL]","",IFERROR(SUMPRODUCT((nNIA=M554)*(nCUENTA=1)*(COUNTIF(CONFIG_ASIGNATURAS!$B$7:$B$27,nASIG)&gt;0)*(nNOTA))/SUMPRODUCT((nNIA=M554)*(nCUENTA=1)*(COUNTIF(CONFIG_ASIGNATURAS!$B$7:$B$27,nASIG)&gt;0)*1),"")))</f>
        <v/>
      </c>
      <c r="T554" t="str">
        <f>IF(S554="","",IF(S554="[FÓRMULA MANUAL]","",IFERROR(AVERAGEIFS(nNOTA,nNIA,S554,nCUENTA,1,nASIG,"Armonía"),"")))</f>
        <v/>
      </c>
      <c r="U554" t="str">
        <f>IF(S554="","",IF(S554="[FÓRMULA MANUAL]","",IFERROR(AVERAGEIFS(nNOTA,nNIA,S554,nCUENTA,1,nASIG,"Orquesta/Banda/Conjunto"),"")))</f>
        <v/>
      </c>
      <c r="V554" t="str">
        <f>IF(S554="","",IF(S554="[FÓRMULA MANUAL]","",IFERROR(AVERAGEIFS(nNOTA,nNIA,S554,nCUENTA,1,nASIG,"Música de Cámara"),"")))</f>
        <v/>
      </c>
      <c r="W554" t="str">
        <f>IF(S554="","",IF(S554="[FÓRMULA MANUAL]","",IFERROR(SUMPRODUCT((nNIA=S554)*(nCUENTA=1)*(COUNTIF(CONFIG_ASIGNATURAS!$B$7:$B$27,nASIG)&gt;0)*(nNOTA))/SUMPRODUCT((nNIA=S554)*(nCUENTA=1)*(COUNTIF(CONFIG_ASIGNATURAS!$B$7:$B$27,nASIG)&gt;0)*1),"")))</f>
        <v/>
      </c>
      <c r="Z554" t="str">
        <f>IF(Y554="","",IF(Y554="[FÓRMULA MANUAL]","",IFERROR(AVERAGEIFS(nNOTA,nNIA,Y554,nCUENTA,1,nASIG,"Análisis"),"")))</f>
        <v/>
      </c>
      <c r="AA554" t="str">
        <f>IF(Y554="","",IF(Y554="[FÓRMULA MANUAL]","",IFERROR(AVERAGEIFS(nNOTA,nNIA,Y554,nCUENTA,1,nASIG,"Orquesta/Banda/Conjunto"),"")))</f>
        <v/>
      </c>
      <c r="AB554" t="str">
        <f>IF(Y554="","",IF(Y554="[FÓRMULA MANUAL]","",IFERROR(AVERAGEIFS(nNOTA,nNIA,Y554,nCUENTA,1,nASIG,"Música de Cámara"),"")))</f>
        <v/>
      </c>
      <c r="AC554" t="str">
        <f>IF(Y554="","",IF(Y554="[FÓRMULA MANUAL]","",IFERROR(SUMPRODUCT((nNIA=Y554)*(nCUENTA=1)*(COUNTIF(CONFIG_ASIGNATURAS!$B$7:$B$27,nASIG)&gt;0)*(nNOTA))/SUMPRODUCT((nNIA=Y554)*(nCUENTA=1)*(COUNTIF(CONFIG_ASIGNATURAS!$B$7:$B$27,nASIG)&gt;0)*1),"")))</f>
        <v/>
      </c>
      <c r="AF554" t="str">
        <f>IF(AE554="","",IF(AE554="[FÓRMULA MANUAL]","",IFERROR(AVERAGEIFS(nNOTA,nNIA,AE554,nCUENTA,1,nASIG,"Análisis"),"")))</f>
        <v/>
      </c>
      <c r="AG554" t="str">
        <f>IF(AE554="","",IF(AE554="[FÓRMULA MANUAL]","",IFERROR(AVERAGEIFS(nNOTA,nNIA,AE554,nCUENTA,1,nASIG,"Orquesta/Banda/Conjunto"),"")))</f>
        <v/>
      </c>
      <c r="AH554" t="str">
        <f>IF(AE554="","",IF(AE554="[FÓRMULA MANUAL]","",IFERROR(AVERAGEIFS(nNOTA,nNIA,AE554,nCUENTA,1,nASIG,"Música de Cámara"),"")))</f>
        <v/>
      </c>
      <c r="AI554" t="str">
        <f>IF(AE554="","",IF(AE554="[FÓRMULA MANUAL]","",IFERROR(SUMPRODUCT((nNIA=AE554)*(nCUENTA=1)*(COUNTIF(CONFIG_ASIGNATURAS!$B$7:$B$27,nASIG)&gt;0)*(nNOTA))/SUMPRODUCT((nNIA=AE554)*(nCUENTA=1)*(COUNTIF(CONFIG_ASIGNATURAS!$B$7:$B$27,nASIG)&gt;0)*1),"")))</f>
        <v/>
      </c>
    </row>
    <row r="555" spans="2:35" x14ac:dyDescent="0.2">
      <c r="B555" t="str">
        <f>IF(A555="","",IF(A555="[FÓRMULA MANUAL]","",IFERROR(AVERAGEIFS(nNOTA,nNIA,A555,nCUENTA,1,nASIG,"Lenguaje Musical"),"")))</f>
        <v/>
      </c>
      <c r="C555" t="str">
        <f>IF(A555="","",IF(A555="[FÓRMULA MANUAL]","",IFERROR(AVERAGEIFS(nNOTA,nNIA,A555,nCUENTA,1,nASIG,"Orquesta/Banda/Conjunto"),"")))</f>
        <v/>
      </c>
      <c r="D555" t="str">
        <f>IF(A555="","",IF(A555="[FÓRMULA MANUAL]","",IFERROR(AVERAGEIFS(nNOTA,nNIA,A555,nCUENTA,1,nASIG,"Conjunto"),"")))</f>
        <v/>
      </c>
      <c r="E555" t="str">
        <f>IF(A555="","",IF(A555="[FÓRMULA MANUAL]","",IFERROR(SUMPRODUCT((nNIA=A555)*(nCUENTA=1)*(COUNTIF(CONFIG_ASIGNATURAS!$B$7:$B$27,nASIG)&gt;0)*(nNOTA))/SUMPRODUCT((nNIA=A555)*(nCUENTA=1)*(COUNTIF(CONFIG_ASIGNATURAS!$B$7:$B$27,nASIG)&gt;0)*1),"")))</f>
        <v/>
      </c>
      <c r="H555" t="str">
        <f>IF(G555="","",IF(G555="[FÓRMULA MANUAL]","",IFERROR(AVERAGEIFS(nNOTA,nNIA,G555,nCUENTA,1,nASIG,"Lenguaje Musical"),"")))</f>
        <v/>
      </c>
      <c r="I555" t="str">
        <f>IF(G555="","",IF(G555="[FÓRMULA MANUAL]","",IFERROR(AVERAGEIFS(nNOTA,nNIA,G555,nCUENTA,1,nASIG,"Orquesta/Banda/Conjunto"),"")))</f>
        <v/>
      </c>
      <c r="J555" t="str">
        <f>IF(G555="","",IF(G555="[FÓRMULA MANUAL]","",IFERROR(AVERAGEIFS(nNOTA,nNIA,G555,nCUENTA,1,nASIG,"Conjunto"),"")))</f>
        <v/>
      </c>
      <c r="K555" t="str">
        <f>IF(G555="","",IF(G555="[FÓRMULA MANUAL]","",IFERROR(SUMPRODUCT((nNIA=G555)*(nCUENTA=1)*(COUNTIF(CONFIG_ASIGNATURAS!$B$7:$B$27,nASIG)&gt;0)*(nNOTA))/SUMPRODUCT((nNIA=G555)*(nCUENTA=1)*(COUNTIF(CONFIG_ASIGNATURAS!$B$7:$B$27,nASIG)&gt;0)*1),"")))</f>
        <v/>
      </c>
      <c r="N555" t="str">
        <f>IF(M555="","",IF(M555="[FÓRMULA MANUAL]","",IFERROR(AVERAGEIFS(nNOTA,nNIA,M555,nCUENTA,1,nASIG,"Armonía"),"")))</f>
        <v/>
      </c>
      <c r="O555" t="str">
        <f>IF(M555="","",IF(M555="[FÓRMULA MANUAL]","",IFERROR(AVERAGEIFS(nNOTA,nNIA,M555,nCUENTA,1,nASIG,"Orquesta/Banda/Conjunto"),"")))</f>
        <v/>
      </c>
      <c r="P555" t="str">
        <f>IF(M555="","",IF(M555="[FÓRMULA MANUAL]","",IFERROR(AVERAGEIFS(nNOTA,nNIA,M555,nCUENTA,1,nASIG,"Música de Cámara"),"")))</f>
        <v/>
      </c>
      <c r="Q555" t="str">
        <f>IF(M555="","",IF(M555="[FÓRMULA MANUAL]","",IFERROR(SUMPRODUCT((nNIA=M555)*(nCUENTA=1)*(COUNTIF(CONFIG_ASIGNATURAS!$B$7:$B$27,nASIG)&gt;0)*(nNOTA))/SUMPRODUCT((nNIA=M555)*(nCUENTA=1)*(COUNTIF(CONFIG_ASIGNATURAS!$B$7:$B$27,nASIG)&gt;0)*1),"")))</f>
        <v/>
      </c>
      <c r="T555" t="str">
        <f>IF(S555="","",IF(S555="[FÓRMULA MANUAL]","",IFERROR(AVERAGEIFS(nNOTA,nNIA,S555,nCUENTA,1,nASIG,"Armonía"),"")))</f>
        <v/>
      </c>
      <c r="U555" t="str">
        <f>IF(S555="","",IF(S555="[FÓRMULA MANUAL]","",IFERROR(AVERAGEIFS(nNOTA,nNIA,S555,nCUENTA,1,nASIG,"Orquesta/Banda/Conjunto"),"")))</f>
        <v/>
      </c>
      <c r="V555" t="str">
        <f>IF(S555="","",IF(S555="[FÓRMULA MANUAL]","",IFERROR(AVERAGEIFS(nNOTA,nNIA,S555,nCUENTA,1,nASIG,"Música de Cámara"),"")))</f>
        <v/>
      </c>
      <c r="W555" t="str">
        <f>IF(S555="","",IF(S555="[FÓRMULA MANUAL]","",IFERROR(SUMPRODUCT((nNIA=S555)*(nCUENTA=1)*(COUNTIF(CONFIG_ASIGNATURAS!$B$7:$B$27,nASIG)&gt;0)*(nNOTA))/SUMPRODUCT((nNIA=S555)*(nCUENTA=1)*(COUNTIF(CONFIG_ASIGNATURAS!$B$7:$B$27,nASIG)&gt;0)*1),"")))</f>
        <v/>
      </c>
      <c r="Z555" t="str">
        <f>IF(Y555="","",IF(Y555="[FÓRMULA MANUAL]","",IFERROR(AVERAGEIFS(nNOTA,nNIA,Y555,nCUENTA,1,nASIG,"Análisis"),"")))</f>
        <v/>
      </c>
      <c r="AA555" t="str">
        <f>IF(Y555="","",IF(Y555="[FÓRMULA MANUAL]","",IFERROR(AVERAGEIFS(nNOTA,nNIA,Y555,nCUENTA,1,nASIG,"Orquesta/Banda/Conjunto"),"")))</f>
        <v/>
      </c>
      <c r="AB555" t="str">
        <f>IF(Y555="","",IF(Y555="[FÓRMULA MANUAL]","",IFERROR(AVERAGEIFS(nNOTA,nNIA,Y555,nCUENTA,1,nASIG,"Música de Cámara"),"")))</f>
        <v/>
      </c>
      <c r="AC555" t="str">
        <f>IF(Y555="","",IF(Y555="[FÓRMULA MANUAL]","",IFERROR(SUMPRODUCT((nNIA=Y555)*(nCUENTA=1)*(COUNTIF(CONFIG_ASIGNATURAS!$B$7:$B$27,nASIG)&gt;0)*(nNOTA))/SUMPRODUCT((nNIA=Y555)*(nCUENTA=1)*(COUNTIF(CONFIG_ASIGNATURAS!$B$7:$B$27,nASIG)&gt;0)*1),"")))</f>
        <v/>
      </c>
      <c r="AF555" t="str">
        <f>IF(AE555="","",IF(AE555="[FÓRMULA MANUAL]","",IFERROR(AVERAGEIFS(nNOTA,nNIA,AE555,nCUENTA,1,nASIG,"Análisis"),"")))</f>
        <v/>
      </c>
      <c r="AG555" t="str">
        <f>IF(AE555="","",IF(AE555="[FÓRMULA MANUAL]","",IFERROR(AVERAGEIFS(nNOTA,nNIA,AE555,nCUENTA,1,nASIG,"Orquesta/Banda/Conjunto"),"")))</f>
        <v/>
      </c>
      <c r="AH555" t="str">
        <f>IF(AE555="","",IF(AE555="[FÓRMULA MANUAL]","",IFERROR(AVERAGEIFS(nNOTA,nNIA,AE555,nCUENTA,1,nASIG,"Música de Cámara"),"")))</f>
        <v/>
      </c>
      <c r="AI555" t="str">
        <f>IF(AE555="","",IF(AE555="[FÓRMULA MANUAL]","",IFERROR(SUMPRODUCT((nNIA=AE555)*(nCUENTA=1)*(COUNTIF(CONFIG_ASIGNATURAS!$B$7:$B$27,nASIG)&gt;0)*(nNOTA))/SUMPRODUCT((nNIA=AE555)*(nCUENTA=1)*(COUNTIF(CONFIG_ASIGNATURAS!$B$7:$B$27,nASIG)&gt;0)*1),"")))</f>
        <v/>
      </c>
    </row>
    <row r="556" spans="2:35" x14ac:dyDescent="0.2">
      <c r="B556" t="str">
        <f>IF(A556="","",IF(A556="[FÓRMULA MANUAL]","",IFERROR(AVERAGEIFS(nNOTA,nNIA,A556,nCUENTA,1,nASIG,"Lenguaje Musical"),"")))</f>
        <v/>
      </c>
      <c r="C556" t="str">
        <f>IF(A556="","",IF(A556="[FÓRMULA MANUAL]","",IFERROR(AVERAGEIFS(nNOTA,nNIA,A556,nCUENTA,1,nASIG,"Orquesta/Banda/Conjunto"),"")))</f>
        <v/>
      </c>
      <c r="D556" t="str">
        <f>IF(A556="","",IF(A556="[FÓRMULA MANUAL]","",IFERROR(AVERAGEIFS(nNOTA,nNIA,A556,nCUENTA,1,nASIG,"Conjunto"),"")))</f>
        <v/>
      </c>
      <c r="E556" t="str">
        <f>IF(A556="","",IF(A556="[FÓRMULA MANUAL]","",IFERROR(SUMPRODUCT((nNIA=A556)*(nCUENTA=1)*(COUNTIF(CONFIG_ASIGNATURAS!$B$7:$B$27,nASIG)&gt;0)*(nNOTA))/SUMPRODUCT((nNIA=A556)*(nCUENTA=1)*(COUNTIF(CONFIG_ASIGNATURAS!$B$7:$B$27,nASIG)&gt;0)*1),"")))</f>
        <v/>
      </c>
      <c r="H556" t="str">
        <f>IF(G556="","",IF(G556="[FÓRMULA MANUAL]","",IFERROR(AVERAGEIFS(nNOTA,nNIA,G556,nCUENTA,1,nASIG,"Lenguaje Musical"),"")))</f>
        <v/>
      </c>
      <c r="I556" t="str">
        <f>IF(G556="","",IF(G556="[FÓRMULA MANUAL]","",IFERROR(AVERAGEIFS(nNOTA,nNIA,G556,nCUENTA,1,nASIG,"Orquesta/Banda/Conjunto"),"")))</f>
        <v/>
      </c>
      <c r="J556" t="str">
        <f>IF(G556="","",IF(G556="[FÓRMULA MANUAL]","",IFERROR(AVERAGEIFS(nNOTA,nNIA,G556,nCUENTA,1,nASIG,"Conjunto"),"")))</f>
        <v/>
      </c>
      <c r="K556" t="str">
        <f>IF(G556="","",IF(G556="[FÓRMULA MANUAL]","",IFERROR(SUMPRODUCT((nNIA=G556)*(nCUENTA=1)*(COUNTIF(CONFIG_ASIGNATURAS!$B$7:$B$27,nASIG)&gt;0)*(nNOTA))/SUMPRODUCT((nNIA=G556)*(nCUENTA=1)*(COUNTIF(CONFIG_ASIGNATURAS!$B$7:$B$27,nASIG)&gt;0)*1),"")))</f>
        <v/>
      </c>
      <c r="N556" t="str">
        <f>IF(M556="","",IF(M556="[FÓRMULA MANUAL]","",IFERROR(AVERAGEIFS(nNOTA,nNIA,M556,nCUENTA,1,nASIG,"Armonía"),"")))</f>
        <v/>
      </c>
      <c r="O556" t="str">
        <f>IF(M556="","",IF(M556="[FÓRMULA MANUAL]","",IFERROR(AVERAGEIFS(nNOTA,nNIA,M556,nCUENTA,1,nASIG,"Orquesta/Banda/Conjunto"),"")))</f>
        <v/>
      </c>
      <c r="P556" t="str">
        <f>IF(M556="","",IF(M556="[FÓRMULA MANUAL]","",IFERROR(AVERAGEIFS(nNOTA,nNIA,M556,nCUENTA,1,nASIG,"Música de Cámara"),"")))</f>
        <v/>
      </c>
      <c r="Q556" t="str">
        <f>IF(M556="","",IF(M556="[FÓRMULA MANUAL]","",IFERROR(SUMPRODUCT((nNIA=M556)*(nCUENTA=1)*(COUNTIF(CONFIG_ASIGNATURAS!$B$7:$B$27,nASIG)&gt;0)*(nNOTA))/SUMPRODUCT((nNIA=M556)*(nCUENTA=1)*(COUNTIF(CONFIG_ASIGNATURAS!$B$7:$B$27,nASIG)&gt;0)*1),"")))</f>
        <v/>
      </c>
      <c r="T556" t="str">
        <f>IF(S556="","",IF(S556="[FÓRMULA MANUAL]","",IFERROR(AVERAGEIFS(nNOTA,nNIA,S556,nCUENTA,1,nASIG,"Armonía"),"")))</f>
        <v/>
      </c>
      <c r="U556" t="str">
        <f>IF(S556="","",IF(S556="[FÓRMULA MANUAL]","",IFERROR(AVERAGEIFS(nNOTA,nNIA,S556,nCUENTA,1,nASIG,"Orquesta/Banda/Conjunto"),"")))</f>
        <v/>
      </c>
      <c r="V556" t="str">
        <f>IF(S556="","",IF(S556="[FÓRMULA MANUAL]","",IFERROR(AVERAGEIFS(nNOTA,nNIA,S556,nCUENTA,1,nASIG,"Música de Cámara"),"")))</f>
        <v/>
      </c>
      <c r="W556" t="str">
        <f>IF(S556="","",IF(S556="[FÓRMULA MANUAL]","",IFERROR(SUMPRODUCT((nNIA=S556)*(nCUENTA=1)*(COUNTIF(CONFIG_ASIGNATURAS!$B$7:$B$27,nASIG)&gt;0)*(nNOTA))/SUMPRODUCT((nNIA=S556)*(nCUENTA=1)*(COUNTIF(CONFIG_ASIGNATURAS!$B$7:$B$27,nASIG)&gt;0)*1),"")))</f>
        <v/>
      </c>
      <c r="Z556" t="str">
        <f>IF(Y556="","",IF(Y556="[FÓRMULA MANUAL]","",IFERROR(AVERAGEIFS(nNOTA,nNIA,Y556,nCUENTA,1,nASIG,"Análisis"),"")))</f>
        <v/>
      </c>
      <c r="AA556" t="str">
        <f>IF(Y556="","",IF(Y556="[FÓRMULA MANUAL]","",IFERROR(AVERAGEIFS(nNOTA,nNIA,Y556,nCUENTA,1,nASIG,"Orquesta/Banda/Conjunto"),"")))</f>
        <v/>
      </c>
      <c r="AB556" t="str">
        <f>IF(Y556="","",IF(Y556="[FÓRMULA MANUAL]","",IFERROR(AVERAGEIFS(nNOTA,nNIA,Y556,nCUENTA,1,nASIG,"Música de Cámara"),"")))</f>
        <v/>
      </c>
      <c r="AC556" t="str">
        <f>IF(Y556="","",IF(Y556="[FÓRMULA MANUAL]","",IFERROR(SUMPRODUCT((nNIA=Y556)*(nCUENTA=1)*(COUNTIF(CONFIG_ASIGNATURAS!$B$7:$B$27,nASIG)&gt;0)*(nNOTA))/SUMPRODUCT((nNIA=Y556)*(nCUENTA=1)*(COUNTIF(CONFIG_ASIGNATURAS!$B$7:$B$27,nASIG)&gt;0)*1),"")))</f>
        <v/>
      </c>
      <c r="AF556" t="str">
        <f>IF(AE556="","",IF(AE556="[FÓRMULA MANUAL]","",IFERROR(AVERAGEIFS(nNOTA,nNIA,AE556,nCUENTA,1,nASIG,"Análisis"),"")))</f>
        <v/>
      </c>
      <c r="AG556" t="str">
        <f>IF(AE556="","",IF(AE556="[FÓRMULA MANUAL]","",IFERROR(AVERAGEIFS(nNOTA,nNIA,AE556,nCUENTA,1,nASIG,"Orquesta/Banda/Conjunto"),"")))</f>
        <v/>
      </c>
      <c r="AH556" t="str">
        <f>IF(AE556="","",IF(AE556="[FÓRMULA MANUAL]","",IFERROR(AVERAGEIFS(nNOTA,nNIA,AE556,nCUENTA,1,nASIG,"Música de Cámara"),"")))</f>
        <v/>
      </c>
      <c r="AI556" t="str">
        <f>IF(AE556="","",IF(AE556="[FÓRMULA MANUAL]","",IFERROR(SUMPRODUCT((nNIA=AE556)*(nCUENTA=1)*(COUNTIF(CONFIG_ASIGNATURAS!$B$7:$B$27,nASIG)&gt;0)*(nNOTA))/SUMPRODUCT((nNIA=AE556)*(nCUENTA=1)*(COUNTIF(CONFIG_ASIGNATURAS!$B$7:$B$27,nASIG)&gt;0)*1),"")))</f>
        <v/>
      </c>
    </row>
    <row r="557" spans="2:35" x14ac:dyDescent="0.2">
      <c r="B557" t="str">
        <f>IF(A557="","",IF(A557="[FÓRMULA MANUAL]","",IFERROR(AVERAGEIFS(nNOTA,nNIA,A557,nCUENTA,1,nASIG,"Lenguaje Musical"),"")))</f>
        <v/>
      </c>
      <c r="C557" t="str">
        <f>IF(A557="","",IF(A557="[FÓRMULA MANUAL]","",IFERROR(AVERAGEIFS(nNOTA,nNIA,A557,nCUENTA,1,nASIG,"Orquesta/Banda/Conjunto"),"")))</f>
        <v/>
      </c>
      <c r="D557" t="str">
        <f>IF(A557="","",IF(A557="[FÓRMULA MANUAL]","",IFERROR(AVERAGEIFS(nNOTA,nNIA,A557,nCUENTA,1,nASIG,"Conjunto"),"")))</f>
        <v/>
      </c>
      <c r="E557" t="str">
        <f>IF(A557="","",IF(A557="[FÓRMULA MANUAL]","",IFERROR(SUMPRODUCT((nNIA=A557)*(nCUENTA=1)*(COUNTIF(CONFIG_ASIGNATURAS!$B$7:$B$27,nASIG)&gt;0)*(nNOTA))/SUMPRODUCT((nNIA=A557)*(nCUENTA=1)*(COUNTIF(CONFIG_ASIGNATURAS!$B$7:$B$27,nASIG)&gt;0)*1),"")))</f>
        <v/>
      </c>
      <c r="H557" t="str">
        <f>IF(G557="","",IF(G557="[FÓRMULA MANUAL]","",IFERROR(AVERAGEIFS(nNOTA,nNIA,G557,nCUENTA,1,nASIG,"Lenguaje Musical"),"")))</f>
        <v/>
      </c>
      <c r="I557" t="str">
        <f>IF(G557="","",IF(G557="[FÓRMULA MANUAL]","",IFERROR(AVERAGEIFS(nNOTA,nNIA,G557,nCUENTA,1,nASIG,"Orquesta/Banda/Conjunto"),"")))</f>
        <v/>
      </c>
      <c r="J557" t="str">
        <f>IF(G557="","",IF(G557="[FÓRMULA MANUAL]","",IFERROR(AVERAGEIFS(nNOTA,nNIA,G557,nCUENTA,1,nASIG,"Conjunto"),"")))</f>
        <v/>
      </c>
      <c r="K557" t="str">
        <f>IF(G557="","",IF(G557="[FÓRMULA MANUAL]","",IFERROR(SUMPRODUCT((nNIA=G557)*(nCUENTA=1)*(COUNTIF(CONFIG_ASIGNATURAS!$B$7:$B$27,nASIG)&gt;0)*(nNOTA))/SUMPRODUCT((nNIA=G557)*(nCUENTA=1)*(COUNTIF(CONFIG_ASIGNATURAS!$B$7:$B$27,nASIG)&gt;0)*1),"")))</f>
        <v/>
      </c>
      <c r="N557" t="str">
        <f>IF(M557="","",IF(M557="[FÓRMULA MANUAL]","",IFERROR(AVERAGEIFS(nNOTA,nNIA,M557,nCUENTA,1,nASIG,"Armonía"),"")))</f>
        <v/>
      </c>
      <c r="O557" t="str">
        <f>IF(M557="","",IF(M557="[FÓRMULA MANUAL]","",IFERROR(AVERAGEIFS(nNOTA,nNIA,M557,nCUENTA,1,nASIG,"Orquesta/Banda/Conjunto"),"")))</f>
        <v/>
      </c>
      <c r="P557" t="str">
        <f>IF(M557="","",IF(M557="[FÓRMULA MANUAL]","",IFERROR(AVERAGEIFS(nNOTA,nNIA,M557,nCUENTA,1,nASIG,"Música de Cámara"),"")))</f>
        <v/>
      </c>
      <c r="Q557" t="str">
        <f>IF(M557="","",IF(M557="[FÓRMULA MANUAL]","",IFERROR(SUMPRODUCT((nNIA=M557)*(nCUENTA=1)*(COUNTIF(CONFIG_ASIGNATURAS!$B$7:$B$27,nASIG)&gt;0)*(nNOTA))/SUMPRODUCT((nNIA=M557)*(nCUENTA=1)*(COUNTIF(CONFIG_ASIGNATURAS!$B$7:$B$27,nASIG)&gt;0)*1),"")))</f>
        <v/>
      </c>
      <c r="T557" t="str">
        <f>IF(S557="","",IF(S557="[FÓRMULA MANUAL]","",IFERROR(AVERAGEIFS(nNOTA,nNIA,S557,nCUENTA,1,nASIG,"Armonía"),"")))</f>
        <v/>
      </c>
      <c r="U557" t="str">
        <f>IF(S557="","",IF(S557="[FÓRMULA MANUAL]","",IFERROR(AVERAGEIFS(nNOTA,nNIA,S557,nCUENTA,1,nASIG,"Orquesta/Banda/Conjunto"),"")))</f>
        <v/>
      </c>
      <c r="V557" t="str">
        <f>IF(S557="","",IF(S557="[FÓRMULA MANUAL]","",IFERROR(AVERAGEIFS(nNOTA,nNIA,S557,nCUENTA,1,nASIG,"Música de Cámara"),"")))</f>
        <v/>
      </c>
      <c r="W557" t="str">
        <f>IF(S557="","",IF(S557="[FÓRMULA MANUAL]","",IFERROR(SUMPRODUCT((nNIA=S557)*(nCUENTA=1)*(COUNTIF(CONFIG_ASIGNATURAS!$B$7:$B$27,nASIG)&gt;0)*(nNOTA))/SUMPRODUCT((nNIA=S557)*(nCUENTA=1)*(COUNTIF(CONFIG_ASIGNATURAS!$B$7:$B$27,nASIG)&gt;0)*1),"")))</f>
        <v/>
      </c>
      <c r="Z557" t="str">
        <f>IF(Y557="","",IF(Y557="[FÓRMULA MANUAL]","",IFERROR(AVERAGEIFS(nNOTA,nNIA,Y557,nCUENTA,1,nASIG,"Análisis"),"")))</f>
        <v/>
      </c>
      <c r="AA557" t="str">
        <f>IF(Y557="","",IF(Y557="[FÓRMULA MANUAL]","",IFERROR(AVERAGEIFS(nNOTA,nNIA,Y557,nCUENTA,1,nASIG,"Orquesta/Banda/Conjunto"),"")))</f>
        <v/>
      </c>
      <c r="AB557" t="str">
        <f>IF(Y557="","",IF(Y557="[FÓRMULA MANUAL]","",IFERROR(AVERAGEIFS(nNOTA,nNIA,Y557,nCUENTA,1,nASIG,"Música de Cámara"),"")))</f>
        <v/>
      </c>
      <c r="AC557" t="str">
        <f>IF(Y557="","",IF(Y557="[FÓRMULA MANUAL]","",IFERROR(SUMPRODUCT((nNIA=Y557)*(nCUENTA=1)*(COUNTIF(CONFIG_ASIGNATURAS!$B$7:$B$27,nASIG)&gt;0)*(nNOTA))/SUMPRODUCT((nNIA=Y557)*(nCUENTA=1)*(COUNTIF(CONFIG_ASIGNATURAS!$B$7:$B$27,nASIG)&gt;0)*1),"")))</f>
        <v/>
      </c>
      <c r="AF557" t="str">
        <f>IF(AE557="","",IF(AE557="[FÓRMULA MANUAL]","",IFERROR(AVERAGEIFS(nNOTA,nNIA,AE557,nCUENTA,1,nASIG,"Análisis"),"")))</f>
        <v/>
      </c>
      <c r="AG557" t="str">
        <f>IF(AE557="","",IF(AE557="[FÓRMULA MANUAL]","",IFERROR(AVERAGEIFS(nNOTA,nNIA,AE557,nCUENTA,1,nASIG,"Orquesta/Banda/Conjunto"),"")))</f>
        <v/>
      </c>
      <c r="AH557" t="str">
        <f>IF(AE557="","",IF(AE557="[FÓRMULA MANUAL]","",IFERROR(AVERAGEIFS(nNOTA,nNIA,AE557,nCUENTA,1,nASIG,"Música de Cámara"),"")))</f>
        <v/>
      </c>
      <c r="AI557" t="str">
        <f>IF(AE557="","",IF(AE557="[FÓRMULA MANUAL]","",IFERROR(SUMPRODUCT((nNIA=AE557)*(nCUENTA=1)*(COUNTIF(CONFIG_ASIGNATURAS!$B$7:$B$27,nASIG)&gt;0)*(nNOTA))/SUMPRODUCT((nNIA=AE557)*(nCUENTA=1)*(COUNTIF(CONFIG_ASIGNATURAS!$B$7:$B$27,nASIG)&gt;0)*1),"")))</f>
        <v/>
      </c>
    </row>
    <row r="558" spans="2:35" x14ac:dyDescent="0.2">
      <c r="B558" t="str">
        <f>IF(A558="","",IF(A558="[FÓRMULA MANUAL]","",IFERROR(AVERAGEIFS(nNOTA,nNIA,A558,nCUENTA,1,nASIG,"Lenguaje Musical"),"")))</f>
        <v/>
      </c>
      <c r="C558" t="str">
        <f>IF(A558="","",IF(A558="[FÓRMULA MANUAL]","",IFERROR(AVERAGEIFS(nNOTA,nNIA,A558,nCUENTA,1,nASIG,"Orquesta/Banda/Conjunto"),"")))</f>
        <v/>
      </c>
      <c r="D558" t="str">
        <f>IF(A558="","",IF(A558="[FÓRMULA MANUAL]","",IFERROR(AVERAGEIFS(nNOTA,nNIA,A558,nCUENTA,1,nASIG,"Conjunto"),"")))</f>
        <v/>
      </c>
      <c r="E558" t="str">
        <f>IF(A558="","",IF(A558="[FÓRMULA MANUAL]","",IFERROR(SUMPRODUCT((nNIA=A558)*(nCUENTA=1)*(COUNTIF(CONFIG_ASIGNATURAS!$B$7:$B$27,nASIG)&gt;0)*(nNOTA))/SUMPRODUCT((nNIA=A558)*(nCUENTA=1)*(COUNTIF(CONFIG_ASIGNATURAS!$B$7:$B$27,nASIG)&gt;0)*1),"")))</f>
        <v/>
      </c>
      <c r="H558" t="str">
        <f>IF(G558="","",IF(G558="[FÓRMULA MANUAL]","",IFERROR(AVERAGEIFS(nNOTA,nNIA,G558,nCUENTA,1,nASIG,"Lenguaje Musical"),"")))</f>
        <v/>
      </c>
      <c r="I558" t="str">
        <f>IF(G558="","",IF(G558="[FÓRMULA MANUAL]","",IFERROR(AVERAGEIFS(nNOTA,nNIA,G558,nCUENTA,1,nASIG,"Orquesta/Banda/Conjunto"),"")))</f>
        <v/>
      </c>
      <c r="J558" t="str">
        <f>IF(G558="","",IF(G558="[FÓRMULA MANUAL]","",IFERROR(AVERAGEIFS(nNOTA,nNIA,G558,nCUENTA,1,nASIG,"Conjunto"),"")))</f>
        <v/>
      </c>
      <c r="K558" t="str">
        <f>IF(G558="","",IF(G558="[FÓRMULA MANUAL]","",IFERROR(SUMPRODUCT((nNIA=G558)*(nCUENTA=1)*(COUNTIF(CONFIG_ASIGNATURAS!$B$7:$B$27,nASIG)&gt;0)*(nNOTA))/SUMPRODUCT((nNIA=G558)*(nCUENTA=1)*(COUNTIF(CONFIG_ASIGNATURAS!$B$7:$B$27,nASIG)&gt;0)*1),"")))</f>
        <v/>
      </c>
      <c r="N558" t="str">
        <f>IF(M558="","",IF(M558="[FÓRMULA MANUAL]","",IFERROR(AVERAGEIFS(nNOTA,nNIA,M558,nCUENTA,1,nASIG,"Armonía"),"")))</f>
        <v/>
      </c>
      <c r="O558" t="str">
        <f>IF(M558="","",IF(M558="[FÓRMULA MANUAL]","",IFERROR(AVERAGEIFS(nNOTA,nNIA,M558,nCUENTA,1,nASIG,"Orquesta/Banda/Conjunto"),"")))</f>
        <v/>
      </c>
      <c r="P558" t="str">
        <f>IF(M558="","",IF(M558="[FÓRMULA MANUAL]","",IFERROR(AVERAGEIFS(nNOTA,nNIA,M558,nCUENTA,1,nASIG,"Música de Cámara"),"")))</f>
        <v/>
      </c>
      <c r="Q558" t="str">
        <f>IF(M558="","",IF(M558="[FÓRMULA MANUAL]","",IFERROR(SUMPRODUCT((nNIA=M558)*(nCUENTA=1)*(COUNTIF(CONFIG_ASIGNATURAS!$B$7:$B$27,nASIG)&gt;0)*(nNOTA))/SUMPRODUCT((nNIA=M558)*(nCUENTA=1)*(COUNTIF(CONFIG_ASIGNATURAS!$B$7:$B$27,nASIG)&gt;0)*1),"")))</f>
        <v/>
      </c>
      <c r="T558" t="str">
        <f>IF(S558="","",IF(S558="[FÓRMULA MANUAL]","",IFERROR(AVERAGEIFS(nNOTA,nNIA,S558,nCUENTA,1,nASIG,"Armonía"),"")))</f>
        <v/>
      </c>
      <c r="U558" t="str">
        <f>IF(S558="","",IF(S558="[FÓRMULA MANUAL]","",IFERROR(AVERAGEIFS(nNOTA,nNIA,S558,nCUENTA,1,nASIG,"Orquesta/Banda/Conjunto"),"")))</f>
        <v/>
      </c>
      <c r="V558" t="str">
        <f>IF(S558="","",IF(S558="[FÓRMULA MANUAL]","",IFERROR(AVERAGEIFS(nNOTA,nNIA,S558,nCUENTA,1,nASIG,"Música de Cámara"),"")))</f>
        <v/>
      </c>
      <c r="W558" t="str">
        <f>IF(S558="","",IF(S558="[FÓRMULA MANUAL]","",IFERROR(SUMPRODUCT((nNIA=S558)*(nCUENTA=1)*(COUNTIF(CONFIG_ASIGNATURAS!$B$7:$B$27,nASIG)&gt;0)*(nNOTA))/SUMPRODUCT((nNIA=S558)*(nCUENTA=1)*(COUNTIF(CONFIG_ASIGNATURAS!$B$7:$B$27,nASIG)&gt;0)*1),"")))</f>
        <v/>
      </c>
      <c r="Z558" t="str">
        <f>IF(Y558="","",IF(Y558="[FÓRMULA MANUAL]","",IFERROR(AVERAGEIFS(nNOTA,nNIA,Y558,nCUENTA,1,nASIG,"Análisis"),"")))</f>
        <v/>
      </c>
      <c r="AA558" t="str">
        <f>IF(Y558="","",IF(Y558="[FÓRMULA MANUAL]","",IFERROR(AVERAGEIFS(nNOTA,nNIA,Y558,nCUENTA,1,nASIG,"Orquesta/Banda/Conjunto"),"")))</f>
        <v/>
      </c>
      <c r="AB558" t="str">
        <f>IF(Y558="","",IF(Y558="[FÓRMULA MANUAL]","",IFERROR(AVERAGEIFS(nNOTA,nNIA,Y558,nCUENTA,1,nASIG,"Música de Cámara"),"")))</f>
        <v/>
      </c>
      <c r="AC558" t="str">
        <f>IF(Y558="","",IF(Y558="[FÓRMULA MANUAL]","",IFERROR(SUMPRODUCT((nNIA=Y558)*(nCUENTA=1)*(COUNTIF(CONFIG_ASIGNATURAS!$B$7:$B$27,nASIG)&gt;0)*(nNOTA))/SUMPRODUCT((nNIA=Y558)*(nCUENTA=1)*(COUNTIF(CONFIG_ASIGNATURAS!$B$7:$B$27,nASIG)&gt;0)*1),"")))</f>
        <v/>
      </c>
      <c r="AF558" t="str">
        <f>IF(AE558="","",IF(AE558="[FÓRMULA MANUAL]","",IFERROR(AVERAGEIFS(nNOTA,nNIA,AE558,nCUENTA,1,nASIG,"Análisis"),"")))</f>
        <v/>
      </c>
      <c r="AG558" t="str">
        <f>IF(AE558="","",IF(AE558="[FÓRMULA MANUAL]","",IFERROR(AVERAGEIFS(nNOTA,nNIA,AE558,nCUENTA,1,nASIG,"Orquesta/Banda/Conjunto"),"")))</f>
        <v/>
      </c>
      <c r="AH558" t="str">
        <f>IF(AE558="","",IF(AE558="[FÓRMULA MANUAL]","",IFERROR(AVERAGEIFS(nNOTA,nNIA,AE558,nCUENTA,1,nASIG,"Música de Cámara"),"")))</f>
        <v/>
      </c>
      <c r="AI558" t="str">
        <f>IF(AE558="","",IF(AE558="[FÓRMULA MANUAL]","",IFERROR(SUMPRODUCT((nNIA=AE558)*(nCUENTA=1)*(COUNTIF(CONFIG_ASIGNATURAS!$B$7:$B$27,nASIG)&gt;0)*(nNOTA))/SUMPRODUCT((nNIA=AE558)*(nCUENTA=1)*(COUNTIF(CONFIG_ASIGNATURAS!$B$7:$B$27,nASIG)&gt;0)*1),"")))</f>
        <v/>
      </c>
    </row>
    <row r="559" spans="2:35" x14ac:dyDescent="0.2">
      <c r="B559" t="str">
        <f>IF(A559="","",IF(A559="[FÓRMULA MANUAL]","",IFERROR(AVERAGEIFS(nNOTA,nNIA,A559,nCUENTA,1,nASIG,"Lenguaje Musical"),"")))</f>
        <v/>
      </c>
      <c r="C559" t="str">
        <f>IF(A559="","",IF(A559="[FÓRMULA MANUAL]","",IFERROR(AVERAGEIFS(nNOTA,nNIA,A559,nCUENTA,1,nASIG,"Orquesta/Banda/Conjunto"),"")))</f>
        <v/>
      </c>
      <c r="D559" t="str">
        <f>IF(A559="","",IF(A559="[FÓRMULA MANUAL]","",IFERROR(AVERAGEIFS(nNOTA,nNIA,A559,nCUENTA,1,nASIG,"Conjunto"),"")))</f>
        <v/>
      </c>
      <c r="E559" t="str">
        <f>IF(A559="","",IF(A559="[FÓRMULA MANUAL]","",IFERROR(SUMPRODUCT((nNIA=A559)*(nCUENTA=1)*(COUNTIF(CONFIG_ASIGNATURAS!$B$7:$B$27,nASIG)&gt;0)*(nNOTA))/SUMPRODUCT((nNIA=A559)*(nCUENTA=1)*(COUNTIF(CONFIG_ASIGNATURAS!$B$7:$B$27,nASIG)&gt;0)*1),"")))</f>
        <v/>
      </c>
      <c r="H559" t="str">
        <f>IF(G559="","",IF(G559="[FÓRMULA MANUAL]","",IFERROR(AVERAGEIFS(nNOTA,nNIA,G559,nCUENTA,1,nASIG,"Lenguaje Musical"),"")))</f>
        <v/>
      </c>
      <c r="I559" t="str">
        <f>IF(G559="","",IF(G559="[FÓRMULA MANUAL]","",IFERROR(AVERAGEIFS(nNOTA,nNIA,G559,nCUENTA,1,nASIG,"Orquesta/Banda/Conjunto"),"")))</f>
        <v/>
      </c>
      <c r="J559" t="str">
        <f>IF(G559="","",IF(G559="[FÓRMULA MANUAL]","",IFERROR(AVERAGEIFS(nNOTA,nNIA,G559,nCUENTA,1,nASIG,"Conjunto"),"")))</f>
        <v/>
      </c>
      <c r="K559" t="str">
        <f>IF(G559="","",IF(G559="[FÓRMULA MANUAL]","",IFERROR(SUMPRODUCT((nNIA=G559)*(nCUENTA=1)*(COUNTIF(CONFIG_ASIGNATURAS!$B$7:$B$27,nASIG)&gt;0)*(nNOTA))/SUMPRODUCT((nNIA=G559)*(nCUENTA=1)*(COUNTIF(CONFIG_ASIGNATURAS!$B$7:$B$27,nASIG)&gt;0)*1),"")))</f>
        <v/>
      </c>
      <c r="N559" t="str">
        <f>IF(M559="","",IF(M559="[FÓRMULA MANUAL]","",IFERROR(AVERAGEIFS(nNOTA,nNIA,M559,nCUENTA,1,nASIG,"Armonía"),"")))</f>
        <v/>
      </c>
      <c r="O559" t="str">
        <f>IF(M559="","",IF(M559="[FÓRMULA MANUAL]","",IFERROR(AVERAGEIFS(nNOTA,nNIA,M559,nCUENTA,1,nASIG,"Orquesta/Banda/Conjunto"),"")))</f>
        <v/>
      </c>
      <c r="P559" t="str">
        <f>IF(M559="","",IF(M559="[FÓRMULA MANUAL]","",IFERROR(AVERAGEIFS(nNOTA,nNIA,M559,nCUENTA,1,nASIG,"Música de Cámara"),"")))</f>
        <v/>
      </c>
      <c r="Q559" t="str">
        <f>IF(M559="","",IF(M559="[FÓRMULA MANUAL]","",IFERROR(SUMPRODUCT((nNIA=M559)*(nCUENTA=1)*(COUNTIF(CONFIG_ASIGNATURAS!$B$7:$B$27,nASIG)&gt;0)*(nNOTA))/SUMPRODUCT((nNIA=M559)*(nCUENTA=1)*(COUNTIF(CONFIG_ASIGNATURAS!$B$7:$B$27,nASIG)&gt;0)*1),"")))</f>
        <v/>
      </c>
      <c r="T559" t="str">
        <f>IF(S559="","",IF(S559="[FÓRMULA MANUAL]","",IFERROR(AVERAGEIFS(nNOTA,nNIA,S559,nCUENTA,1,nASIG,"Armonía"),"")))</f>
        <v/>
      </c>
      <c r="U559" t="str">
        <f>IF(S559="","",IF(S559="[FÓRMULA MANUAL]","",IFERROR(AVERAGEIFS(nNOTA,nNIA,S559,nCUENTA,1,nASIG,"Orquesta/Banda/Conjunto"),"")))</f>
        <v/>
      </c>
      <c r="V559" t="str">
        <f>IF(S559="","",IF(S559="[FÓRMULA MANUAL]","",IFERROR(AVERAGEIFS(nNOTA,nNIA,S559,nCUENTA,1,nASIG,"Música de Cámara"),"")))</f>
        <v/>
      </c>
      <c r="W559" t="str">
        <f>IF(S559="","",IF(S559="[FÓRMULA MANUAL]","",IFERROR(SUMPRODUCT((nNIA=S559)*(nCUENTA=1)*(COUNTIF(CONFIG_ASIGNATURAS!$B$7:$B$27,nASIG)&gt;0)*(nNOTA))/SUMPRODUCT((nNIA=S559)*(nCUENTA=1)*(COUNTIF(CONFIG_ASIGNATURAS!$B$7:$B$27,nASIG)&gt;0)*1),"")))</f>
        <v/>
      </c>
      <c r="Z559" t="str">
        <f>IF(Y559="","",IF(Y559="[FÓRMULA MANUAL]","",IFERROR(AVERAGEIFS(nNOTA,nNIA,Y559,nCUENTA,1,nASIG,"Análisis"),"")))</f>
        <v/>
      </c>
      <c r="AA559" t="str">
        <f>IF(Y559="","",IF(Y559="[FÓRMULA MANUAL]","",IFERROR(AVERAGEIFS(nNOTA,nNIA,Y559,nCUENTA,1,nASIG,"Orquesta/Banda/Conjunto"),"")))</f>
        <v/>
      </c>
      <c r="AB559" t="str">
        <f>IF(Y559="","",IF(Y559="[FÓRMULA MANUAL]","",IFERROR(AVERAGEIFS(nNOTA,nNIA,Y559,nCUENTA,1,nASIG,"Música de Cámara"),"")))</f>
        <v/>
      </c>
      <c r="AC559" t="str">
        <f>IF(Y559="","",IF(Y559="[FÓRMULA MANUAL]","",IFERROR(SUMPRODUCT((nNIA=Y559)*(nCUENTA=1)*(COUNTIF(CONFIG_ASIGNATURAS!$B$7:$B$27,nASIG)&gt;0)*(nNOTA))/SUMPRODUCT((nNIA=Y559)*(nCUENTA=1)*(COUNTIF(CONFIG_ASIGNATURAS!$B$7:$B$27,nASIG)&gt;0)*1),"")))</f>
        <v/>
      </c>
      <c r="AF559" t="str">
        <f>IF(AE559="","",IF(AE559="[FÓRMULA MANUAL]","",IFERROR(AVERAGEIFS(nNOTA,nNIA,AE559,nCUENTA,1,nASIG,"Análisis"),"")))</f>
        <v/>
      </c>
      <c r="AG559" t="str">
        <f>IF(AE559="","",IF(AE559="[FÓRMULA MANUAL]","",IFERROR(AVERAGEIFS(nNOTA,nNIA,AE559,nCUENTA,1,nASIG,"Orquesta/Banda/Conjunto"),"")))</f>
        <v/>
      </c>
      <c r="AH559" t="str">
        <f>IF(AE559="","",IF(AE559="[FÓRMULA MANUAL]","",IFERROR(AVERAGEIFS(nNOTA,nNIA,AE559,nCUENTA,1,nASIG,"Música de Cámara"),"")))</f>
        <v/>
      </c>
      <c r="AI559" t="str">
        <f>IF(AE559="","",IF(AE559="[FÓRMULA MANUAL]","",IFERROR(SUMPRODUCT((nNIA=AE559)*(nCUENTA=1)*(COUNTIF(CONFIG_ASIGNATURAS!$B$7:$B$27,nASIG)&gt;0)*(nNOTA))/SUMPRODUCT((nNIA=AE559)*(nCUENTA=1)*(COUNTIF(CONFIG_ASIGNATURAS!$B$7:$B$27,nASIG)&gt;0)*1),"")))</f>
        <v/>
      </c>
    </row>
    <row r="560" spans="2:35" x14ac:dyDescent="0.2">
      <c r="B560" t="str">
        <f>IF(A560="","",IF(A560="[FÓRMULA MANUAL]","",IFERROR(AVERAGEIFS(nNOTA,nNIA,A560,nCUENTA,1,nASIG,"Lenguaje Musical"),"")))</f>
        <v/>
      </c>
      <c r="C560" t="str">
        <f>IF(A560="","",IF(A560="[FÓRMULA MANUAL]","",IFERROR(AVERAGEIFS(nNOTA,nNIA,A560,nCUENTA,1,nASIG,"Orquesta/Banda/Conjunto"),"")))</f>
        <v/>
      </c>
      <c r="D560" t="str">
        <f>IF(A560="","",IF(A560="[FÓRMULA MANUAL]","",IFERROR(AVERAGEIFS(nNOTA,nNIA,A560,nCUENTA,1,nASIG,"Conjunto"),"")))</f>
        <v/>
      </c>
      <c r="E560" t="str">
        <f>IF(A560="","",IF(A560="[FÓRMULA MANUAL]","",IFERROR(SUMPRODUCT((nNIA=A560)*(nCUENTA=1)*(COUNTIF(CONFIG_ASIGNATURAS!$B$7:$B$27,nASIG)&gt;0)*(nNOTA))/SUMPRODUCT((nNIA=A560)*(nCUENTA=1)*(COUNTIF(CONFIG_ASIGNATURAS!$B$7:$B$27,nASIG)&gt;0)*1),"")))</f>
        <v/>
      </c>
      <c r="H560" t="str">
        <f>IF(G560="","",IF(G560="[FÓRMULA MANUAL]","",IFERROR(AVERAGEIFS(nNOTA,nNIA,G560,nCUENTA,1,nASIG,"Lenguaje Musical"),"")))</f>
        <v/>
      </c>
      <c r="I560" t="str">
        <f>IF(G560="","",IF(G560="[FÓRMULA MANUAL]","",IFERROR(AVERAGEIFS(nNOTA,nNIA,G560,nCUENTA,1,nASIG,"Orquesta/Banda/Conjunto"),"")))</f>
        <v/>
      </c>
      <c r="J560" t="str">
        <f>IF(G560="","",IF(G560="[FÓRMULA MANUAL]","",IFERROR(AVERAGEIFS(nNOTA,nNIA,G560,nCUENTA,1,nASIG,"Conjunto"),"")))</f>
        <v/>
      </c>
      <c r="K560" t="str">
        <f>IF(G560="","",IF(G560="[FÓRMULA MANUAL]","",IFERROR(SUMPRODUCT((nNIA=G560)*(nCUENTA=1)*(COUNTIF(CONFIG_ASIGNATURAS!$B$7:$B$27,nASIG)&gt;0)*(nNOTA))/SUMPRODUCT((nNIA=G560)*(nCUENTA=1)*(COUNTIF(CONFIG_ASIGNATURAS!$B$7:$B$27,nASIG)&gt;0)*1),"")))</f>
        <v/>
      </c>
      <c r="N560" t="str">
        <f>IF(M560="","",IF(M560="[FÓRMULA MANUAL]","",IFERROR(AVERAGEIFS(nNOTA,nNIA,M560,nCUENTA,1,nASIG,"Armonía"),"")))</f>
        <v/>
      </c>
      <c r="O560" t="str">
        <f>IF(M560="","",IF(M560="[FÓRMULA MANUAL]","",IFERROR(AVERAGEIFS(nNOTA,nNIA,M560,nCUENTA,1,nASIG,"Orquesta/Banda/Conjunto"),"")))</f>
        <v/>
      </c>
      <c r="P560" t="str">
        <f>IF(M560="","",IF(M560="[FÓRMULA MANUAL]","",IFERROR(AVERAGEIFS(nNOTA,nNIA,M560,nCUENTA,1,nASIG,"Música de Cámara"),"")))</f>
        <v/>
      </c>
      <c r="Q560" t="str">
        <f>IF(M560="","",IF(M560="[FÓRMULA MANUAL]","",IFERROR(SUMPRODUCT((nNIA=M560)*(nCUENTA=1)*(COUNTIF(CONFIG_ASIGNATURAS!$B$7:$B$27,nASIG)&gt;0)*(nNOTA))/SUMPRODUCT((nNIA=M560)*(nCUENTA=1)*(COUNTIF(CONFIG_ASIGNATURAS!$B$7:$B$27,nASIG)&gt;0)*1),"")))</f>
        <v/>
      </c>
      <c r="T560" t="str">
        <f>IF(S560="","",IF(S560="[FÓRMULA MANUAL]","",IFERROR(AVERAGEIFS(nNOTA,nNIA,S560,nCUENTA,1,nASIG,"Armonía"),"")))</f>
        <v/>
      </c>
      <c r="U560" t="str">
        <f>IF(S560="","",IF(S560="[FÓRMULA MANUAL]","",IFERROR(AVERAGEIFS(nNOTA,nNIA,S560,nCUENTA,1,nASIG,"Orquesta/Banda/Conjunto"),"")))</f>
        <v/>
      </c>
      <c r="V560" t="str">
        <f>IF(S560="","",IF(S560="[FÓRMULA MANUAL]","",IFERROR(AVERAGEIFS(nNOTA,nNIA,S560,nCUENTA,1,nASIG,"Música de Cámara"),"")))</f>
        <v/>
      </c>
      <c r="W560" t="str">
        <f>IF(S560="","",IF(S560="[FÓRMULA MANUAL]","",IFERROR(SUMPRODUCT((nNIA=S560)*(nCUENTA=1)*(COUNTIF(CONFIG_ASIGNATURAS!$B$7:$B$27,nASIG)&gt;0)*(nNOTA))/SUMPRODUCT((nNIA=S560)*(nCUENTA=1)*(COUNTIF(CONFIG_ASIGNATURAS!$B$7:$B$27,nASIG)&gt;0)*1),"")))</f>
        <v/>
      </c>
      <c r="Z560" t="str">
        <f>IF(Y560="","",IF(Y560="[FÓRMULA MANUAL]","",IFERROR(AVERAGEIFS(nNOTA,nNIA,Y560,nCUENTA,1,nASIG,"Análisis"),"")))</f>
        <v/>
      </c>
      <c r="AA560" t="str">
        <f>IF(Y560="","",IF(Y560="[FÓRMULA MANUAL]","",IFERROR(AVERAGEIFS(nNOTA,nNIA,Y560,nCUENTA,1,nASIG,"Orquesta/Banda/Conjunto"),"")))</f>
        <v/>
      </c>
      <c r="AB560" t="str">
        <f>IF(Y560="","",IF(Y560="[FÓRMULA MANUAL]","",IFERROR(AVERAGEIFS(nNOTA,nNIA,Y560,nCUENTA,1,nASIG,"Música de Cámara"),"")))</f>
        <v/>
      </c>
      <c r="AC560" t="str">
        <f>IF(Y560="","",IF(Y560="[FÓRMULA MANUAL]","",IFERROR(SUMPRODUCT((nNIA=Y560)*(nCUENTA=1)*(COUNTIF(CONFIG_ASIGNATURAS!$B$7:$B$27,nASIG)&gt;0)*(nNOTA))/SUMPRODUCT((nNIA=Y560)*(nCUENTA=1)*(COUNTIF(CONFIG_ASIGNATURAS!$B$7:$B$27,nASIG)&gt;0)*1),"")))</f>
        <v/>
      </c>
      <c r="AF560" t="str">
        <f>IF(AE560="","",IF(AE560="[FÓRMULA MANUAL]","",IFERROR(AVERAGEIFS(nNOTA,nNIA,AE560,nCUENTA,1,nASIG,"Análisis"),"")))</f>
        <v/>
      </c>
      <c r="AG560" t="str">
        <f>IF(AE560="","",IF(AE560="[FÓRMULA MANUAL]","",IFERROR(AVERAGEIFS(nNOTA,nNIA,AE560,nCUENTA,1,nASIG,"Orquesta/Banda/Conjunto"),"")))</f>
        <v/>
      </c>
      <c r="AH560" t="str">
        <f>IF(AE560="","",IF(AE560="[FÓRMULA MANUAL]","",IFERROR(AVERAGEIFS(nNOTA,nNIA,AE560,nCUENTA,1,nASIG,"Música de Cámara"),"")))</f>
        <v/>
      </c>
      <c r="AI560" t="str">
        <f>IF(AE560="","",IF(AE560="[FÓRMULA MANUAL]","",IFERROR(SUMPRODUCT((nNIA=AE560)*(nCUENTA=1)*(COUNTIF(CONFIG_ASIGNATURAS!$B$7:$B$27,nASIG)&gt;0)*(nNOTA))/SUMPRODUCT((nNIA=AE560)*(nCUENTA=1)*(COUNTIF(CONFIG_ASIGNATURAS!$B$7:$B$27,nASIG)&gt;0)*1),"")))</f>
        <v/>
      </c>
    </row>
    <row r="561" spans="2:35" x14ac:dyDescent="0.2">
      <c r="B561" t="str">
        <f>IF(A561="","",IF(A561="[FÓRMULA MANUAL]","",IFERROR(AVERAGEIFS(nNOTA,nNIA,A561,nCUENTA,1,nASIG,"Lenguaje Musical"),"")))</f>
        <v/>
      </c>
      <c r="C561" t="str">
        <f>IF(A561="","",IF(A561="[FÓRMULA MANUAL]","",IFERROR(AVERAGEIFS(nNOTA,nNIA,A561,nCUENTA,1,nASIG,"Orquesta/Banda/Conjunto"),"")))</f>
        <v/>
      </c>
      <c r="D561" t="str">
        <f>IF(A561="","",IF(A561="[FÓRMULA MANUAL]","",IFERROR(AVERAGEIFS(nNOTA,nNIA,A561,nCUENTA,1,nASIG,"Conjunto"),"")))</f>
        <v/>
      </c>
      <c r="E561" t="str">
        <f>IF(A561="","",IF(A561="[FÓRMULA MANUAL]","",IFERROR(SUMPRODUCT((nNIA=A561)*(nCUENTA=1)*(COUNTIF(CONFIG_ASIGNATURAS!$B$7:$B$27,nASIG)&gt;0)*(nNOTA))/SUMPRODUCT((nNIA=A561)*(nCUENTA=1)*(COUNTIF(CONFIG_ASIGNATURAS!$B$7:$B$27,nASIG)&gt;0)*1),"")))</f>
        <v/>
      </c>
      <c r="H561" t="str">
        <f>IF(G561="","",IF(G561="[FÓRMULA MANUAL]","",IFERROR(AVERAGEIFS(nNOTA,nNIA,G561,nCUENTA,1,nASIG,"Lenguaje Musical"),"")))</f>
        <v/>
      </c>
      <c r="I561" t="str">
        <f>IF(G561="","",IF(G561="[FÓRMULA MANUAL]","",IFERROR(AVERAGEIFS(nNOTA,nNIA,G561,nCUENTA,1,nASIG,"Orquesta/Banda/Conjunto"),"")))</f>
        <v/>
      </c>
      <c r="J561" t="str">
        <f>IF(G561="","",IF(G561="[FÓRMULA MANUAL]","",IFERROR(AVERAGEIFS(nNOTA,nNIA,G561,nCUENTA,1,nASIG,"Conjunto"),"")))</f>
        <v/>
      </c>
      <c r="K561" t="str">
        <f>IF(G561="","",IF(G561="[FÓRMULA MANUAL]","",IFERROR(SUMPRODUCT((nNIA=G561)*(nCUENTA=1)*(COUNTIF(CONFIG_ASIGNATURAS!$B$7:$B$27,nASIG)&gt;0)*(nNOTA))/SUMPRODUCT((nNIA=G561)*(nCUENTA=1)*(COUNTIF(CONFIG_ASIGNATURAS!$B$7:$B$27,nASIG)&gt;0)*1),"")))</f>
        <v/>
      </c>
      <c r="N561" t="str">
        <f>IF(M561="","",IF(M561="[FÓRMULA MANUAL]","",IFERROR(AVERAGEIFS(nNOTA,nNIA,M561,nCUENTA,1,nASIG,"Armonía"),"")))</f>
        <v/>
      </c>
      <c r="O561" t="str">
        <f>IF(M561="","",IF(M561="[FÓRMULA MANUAL]","",IFERROR(AVERAGEIFS(nNOTA,nNIA,M561,nCUENTA,1,nASIG,"Orquesta/Banda/Conjunto"),"")))</f>
        <v/>
      </c>
      <c r="P561" t="str">
        <f>IF(M561="","",IF(M561="[FÓRMULA MANUAL]","",IFERROR(AVERAGEIFS(nNOTA,nNIA,M561,nCUENTA,1,nASIG,"Música de Cámara"),"")))</f>
        <v/>
      </c>
      <c r="Q561" t="str">
        <f>IF(M561="","",IF(M561="[FÓRMULA MANUAL]","",IFERROR(SUMPRODUCT((nNIA=M561)*(nCUENTA=1)*(COUNTIF(CONFIG_ASIGNATURAS!$B$7:$B$27,nASIG)&gt;0)*(nNOTA))/SUMPRODUCT((nNIA=M561)*(nCUENTA=1)*(COUNTIF(CONFIG_ASIGNATURAS!$B$7:$B$27,nASIG)&gt;0)*1),"")))</f>
        <v/>
      </c>
      <c r="T561" t="str">
        <f>IF(S561="","",IF(S561="[FÓRMULA MANUAL]","",IFERROR(AVERAGEIFS(nNOTA,nNIA,S561,nCUENTA,1,nASIG,"Armonía"),"")))</f>
        <v/>
      </c>
      <c r="U561" t="str">
        <f>IF(S561="","",IF(S561="[FÓRMULA MANUAL]","",IFERROR(AVERAGEIFS(nNOTA,nNIA,S561,nCUENTA,1,nASIG,"Orquesta/Banda/Conjunto"),"")))</f>
        <v/>
      </c>
      <c r="V561" t="str">
        <f>IF(S561="","",IF(S561="[FÓRMULA MANUAL]","",IFERROR(AVERAGEIFS(nNOTA,nNIA,S561,nCUENTA,1,nASIG,"Música de Cámara"),"")))</f>
        <v/>
      </c>
      <c r="W561" t="str">
        <f>IF(S561="","",IF(S561="[FÓRMULA MANUAL]","",IFERROR(SUMPRODUCT((nNIA=S561)*(nCUENTA=1)*(COUNTIF(CONFIG_ASIGNATURAS!$B$7:$B$27,nASIG)&gt;0)*(nNOTA))/SUMPRODUCT((nNIA=S561)*(nCUENTA=1)*(COUNTIF(CONFIG_ASIGNATURAS!$B$7:$B$27,nASIG)&gt;0)*1),"")))</f>
        <v/>
      </c>
      <c r="Z561" t="str">
        <f>IF(Y561="","",IF(Y561="[FÓRMULA MANUAL]","",IFERROR(AVERAGEIFS(nNOTA,nNIA,Y561,nCUENTA,1,nASIG,"Análisis"),"")))</f>
        <v/>
      </c>
      <c r="AA561" t="str">
        <f>IF(Y561="","",IF(Y561="[FÓRMULA MANUAL]","",IFERROR(AVERAGEIFS(nNOTA,nNIA,Y561,nCUENTA,1,nASIG,"Orquesta/Banda/Conjunto"),"")))</f>
        <v/>
      </c>
      <c r="AB561" t="str">
        <f>IF(Y561="","",IF(Y561="[FÓRMULA MANUAL]","",IFERROR(AVERAGEIFS(nNOTA,nNIA,Y561,nCUENTA,1,nASIG,"Música de Cámara"),"")))</f>
        <v/>
      </c>
      <c r="AC561" t="str">
        <f>IF(Y561="","",IF(Y561="[FÓRMULA MANUAL]","",IFERROR(SUMPRODUCT((nNIA=Y561)*(nCUENTA=1)*(COUNTIF(CONFIG_ASIGNATURAS!$B$7:$B$27,nASIG)&gt;0)*(nNOTA))/SUMPRODUCT((nNIA=Y561)*(nCUENTA=1)*(COUNTIF(CONFIG_ASIGNATURAS!$B$7:$B$27,nASIG)&gt;0)*1),"")))</f>
        <v/>
      </c>
      <c r="AF561" t="str">
        <f>IF(AE561="","",IF(AE561="[FÓRMULA MANUAL]","",IFERROR(AVERAGEIFS(nNOTA,nNIA,AE561,nCUENTA,1,nASIG,"Análisis"),"")))</f>
        <v/>
      </c>
      <c r="AG561" t="str">
        <f>IF(AE561="","",IF(AE561="[FÓRMULA MANUAL]","",IFERROR(AVERAGEIFS(nNOTA,nNIA,AE561,nCUENTA,1,nASIG,"Orquesta/Banda/Conjunto"),"")))</f>
        <v/>
      </c>
      <c r="AH561" t="str">
        <f>IF(AE561="","",IF(AE561="[FÓRMULA MANUAL]","",IFERROR(AVERAGEIFS(nNOTA,nNIA,AE561,nCUENTA,1,nASIG,"Música de Cámara"),"")))</f>
        <v/>
      </c>
      <c r="AI561" t="str">
        <f>IF(AE561="","",IF(AE561="[FÓRMULA MANUAL]","",IFERROR(SUMPRODUCT((nNIA=AE561)*(nCUENTA=1)*(COUNTIF(CONFIG_ASIGNATURAS!$B$7:$B$27,nASIG)&gt;0)*(nNOTA))/SUMPRODUCT((nNIA=AE561)*(nCUENTA=1)*(COUNTIF(CONFIG_ASIGNATURAS!$B$7:$B$27,nASIG)&gt;0)*1),"")))</f>
        <v/>
      </c>
    </row>
    <row r="562" spans="2:35" x14ac:dyDescent="0.2">
      <c r="B562" t="str">
        <f>IF(A562="","",IF(A562="[FÓRMULA MANUAL]","",IFERROR(AVERAGEIFS(nNOTA,nNIA,A562,nCUENTA,1,nASIG,"Lenguaje Musical"),"")))</f>
        <v/>
      </c>
      <c r="C562" t="str">
        <f>IF(A562="","",IF(A562="[FÓRMULA MANUAL]","",IFERROR(AVERAGEIFS(nNOTA,nNIA,A562,nCUENTA,1,nASIG,"Orquesta/Banda/Conjunto"),"")))</f>
        <v/>
      </c>
      <c r="D562" t="str">
        <f>IF(A562="","",IF(A562="[FÓRMULA MANUAL]","",IFERROR(AVERAGEIFS(nNOTA,nNIA,A562,nCUENTA,1,nASIG,"Conjunto"),"")))</f>
        <v/>
      </c>
      <c r="E562" t="str">
        <f>IF(A562="","",IF(A562="[FÓRMULA MANUAL]","",IFERROR(SUMPRODUCT((nNIA=A562)*(nCUENTA=1)*(COUNTIF(CONFIG_ASIGNATURAS!$B$7:$B$27,nASIG)&gt;0)*(nNOTA))/SUMPRODUCT((nNIA=A562)*(nCUENTA=1)*(COUNTIF(CONFIG_ASIGNATURAS!$B$7:$B$27,nASIG)&gt;0)*1),"")))</f>
        <v/>
      </c>
      <c r="H562" t="str">
        <f>IF(G562="","",IF(G562="[FÓRMULA MANUAL]","",IFERROR(AVERAGEIFS(nNOTA,nNIA,G562,nCUENTA,1,nASIG,"Lenguaje Musical"),"")))</f>
        <v/>
      </c>
      <c r="I562" t="str">
        <f>IF(G562="","",IF(G562="[FÓRMULA MANUAL]","",IFERROR(AVERAGEIFS(nNOTA,nNIA,G562,nCUENTA,1,nASIG,"Orquesta/Banda/Conjunto"),"")))</f>
        <v/>
      </c>
      <c r="J562" t="str">
        <f>IF(G562="","",IF(G562="[FÓRMULA MANUAL]","",IFERROR(AVERAGEIFS(nNOTA,nNIA,G562,nCUENTA,1,nASIG,"Conjunto"),"")))</f>
        <v/>
      </c>
      <c r="K562" t="str">
        <f>IF(G562="","",IF(G562="[FÓRMULA MANUAL]","",IFERROR(SUMPRODUCT((nNIA=G562)*(nCUENTA=1)*(COUNTIF(CONFIG_ASIGNATURAS!$B$7:$B$27,nASIG)&gt;0)*(nNOTA))/SUMPRODUCT((nNIA=G562)*(nCUENTA=1)*(COUNTIF(CONFIG_ASIGNATURAS!$B$7:$B$27,nASIG)&gt;0)*1),"")))</f>
        <v/>
      </c>
      <c r="N562" t="str">
        <f>IF(M562="","",IF(M562="[FÓRMULA MANUAL]","",IFERROR(AVERAGEIFS(nNOTA,nNIA,M562,nCUENTA,1,nASIG,"Armonía"),"")))</f>
        <v/>
      </c>
      <c r="O562" t="str">
        <f>IF(M562="","",IF(M562="[FÓRMULA MANUAL]","",IFERROR(AVERAGEIFS(nNOTA,nNIA,M562,nCUENTA,1,nASIG,"Orquesta/Banda/Conjunto"),"")))</f>
        <v/>
      </c>
      <c r="P562" t="str">
        <f>IF(M562="","",IF(M562="[FÓRMULA MANUAL]","",IFERROR(AVERAGEIFS(nNOTA,nNIA,M562,nCUENTA,1,nASIG,"Música de Cámara"),"")))</f>
        <v/>
      </c>
      <c r="Q562" t="str">
        <f>IF(M562="","",IF(M562="[FÓRMULA MANUAL]","",IFERROR(SUMPRODUCT((nNIA=M562)*(nCUENTA=1)*(COUNTIF(CONFIG_ASIGNATURAS!$B$7:$B$27,nASIG)&gt;0)*(nNOTA))/SUMPRODUCT((nNIA=M562)*(nCUENTA=1)*(COUNTIF(CONFIG_ASIGNATURAS!$B$7:$B$27,nASIG)&gt;0)*1),"")))</f>
        <v/>
      </c>
      <c r="T562" t="str">
        <f>IF(S562="","",IF(S562="[FÓRMULA MANUAL]","",IFERROR(AVERAGEIFS(nNOTA,nNIA,S562,nCUENTA,1,nASIG,"Armonía"),"")))</f>
        <v/>
      </c>
      <c r="U562" t="str">
        <f>IF(S562="","",IF(S562="[FÓRMULA MANUAL]","",IFERROR(AVERAGEIFS(nNOTA,nNIA,S562,nCUENTA,1,nASIG,"Orquesta/Banda/Conjunto"),"")))</f>
        <v/>
      </c>
      <c r="V562" t="str">
        <f>IF(S562="","",IF(S562="[FÓRMULA MANUAL]","",IFERROR(AVERAGEIFS(nNOTA,nNIA,S562,nCUENTA,1,nASIG,"Música de Cámara"),"")))</f>
        <v/>
      </c>
      <c r="W562" t="str">
        <f>IF(S562="","",IF(S562="[FÓRMULA MANUAL]","",IFERROR(SUMPRODUCT((nNIA=S562)*(nCUENTA=1)*(COUNTIF(CONFIG_ASIGNATURAS!$B$7:$B$27,nASIG)&gt;0)*(nNOTA))/SUMPRODUCT((nNIA=S562)*(nCUENTA=1)*(COUNTIF(CONFIG_ASIGNATURAS!$B$7:$B$27,nASIG)&gt;0)*1),"")))</f>
        <v/>
      </c>
      <c r="Z562" t="str">
        <f>IF(Y562="","",IF(Y562="[FÓRMULA MANUAL]","",IFERROR(AVERAGEIFS(nNOTA,nNIA,Y562,nCUENTA,1,nASIG,"Análisis"),"")))</f>
        <v/>
      </c>
      <c r="AA562" t="str">
        <f>IF(Y562="","",IF(Y562="[FÓRMULA MANUAL]","",IFERROR(AVERAGEIFS(nNOTA,nNIA,Y562,nCUENTA,1,nASIG,"Orquesta/Banda/Conjunto"),"")))</f>
        <v/>
      </c>
      <c r="AB562" t="str">
        <f>IF(Y562="","",IF(Y562="[FÓRMULA MANUAL]","",IFERROR(AVERAGEIFS(nNOTA,nNIA,Y562,nCUENTA,1,nASIG,"Música de Cámara"),"")))</f>
        <v/>
      </c>
      <c r="AC562" t="str">
        <f>IF(Y562="","",IF(Y562="[FÓRMULA MANUAL]","",IFERROR(SUMPRODUCT((nNIA=Y562)*(nCUENTA=1)*(COUNTIF(CONFIG_ASIGNATURAS!$B$7:$B$27,nASIG)&gt;0)*(nNOTA))/SUMPRODUCT((nNIA=Y562)*(nCUENTA=1)*(COUNTIF(CONFIG_ASIGNATURAS!$B$7:$B$27,nASIG)&gt;0)*1),"")))</f>
        <v/>
      </c>
      <c r="AF562" t="str">
        <f>IF(AE562="","",IF(AE562="[FÓRMULA MANUAL]","",IFERROR(AVERAGEIFS(nNOTA,nNIA,AE562,nCUENTA,1,nASIG,"Análisis"),"")))</f>
        <v/>
      </c>
      <c r="AG562" t="str">
        <f>IF(AE562="","",IF(AE562="[FÓRMULA MANUAL]","",IFERROR(AVERAGEIFS(nNOTA,nNIA,AE562,nCUENTA,1,nASIG,"Orquesta/Banda/Conjunto"),"")))</f>
        <v/>
      </c>
      <c r="AH562" t="str">
        <f>IF(AE562="","",IF(AE562="[FÓRMULA MANUAL]","",IFERROR(AVERAGEIFS(nNOTA,nNIA,AE562,nCUENTA,1,nASIG,"Música de Cámara"),"")))</f>
        <v/>
      </c>
      <c r="AI562" t="str">
        <f>IF(AE562="","",IF(AE562="[FÓRMULA MANUAL]","",IFERROR(SUMPRODUCT((nNIA=AE562)*(nCUENTA=1)*(COUNTIF(CONFIG_ASIGNATURAS!$B$7:$B$27,nASIG)&gt;0)*(nNOTA))/SUMPRODUCT((nNIA=AE562)*(nCUENTA=1)*(COUNTIF(CONFIG_ASIGNATURAS!$B$7:$B$27,nASIG)&gt;0)*1),"")))</f>
        <v/>
      </c>
    </row>
    <row r="563" spans="2:35" x14ac:dyDescent="0.2">
      <c r="B563" t="str">
        <f>IF(A563="","",IF(A563="[FÓRMULA MANUAL]","",IFERROR(AVERAGEIFS(nNOTA,nNIA,A563,nCUENTA,1,nASIG,"Lenguaje Musical"),"")))</f>
        <v/>
      </c>
      <c r="C563" t="str">
        <f>IF(A563="","",IF(A563="[FÓRMULA MANUAL]","",IFERROR(AVERAGEIFS(nNOTA,nNIA,A563,nCUENTA,1,nASIG,"Orquesta/Banda/Conjunto"),"")))</f>
        <v/>
      </c>
      <c r="D563" t="str">
        <f>IF(A563="","",IF(A563="[FÓRMULA MANUAL]","",IFERROR(AVERAGEIFS(nNOTA,nNIA,A563,nCUENTA,1,nASIG,"Conjunto"),"")))</f>
        <v/>
      </c>
      <c r="E563" t="str">
        <f>IF(A563="","",IF(A563="[FÓRMULA MANUAL]","",IFERROR(SUMPRODUCT((nNIA=A563)*(nCUENTA=1)*(COUNTIF(CONFIG_ASIGNATURAS!$B$7:$B$27,nASIG)&gt;0)*(nNOTA))/SUMPRODUCT((nNIA=A563)*(nCUENTA=1)*(COUNTIF(CONFIG_ASIGNATURAS!$B$7:$B$27,nASIG)&gt;0)*1),"")))</f>
        <v/>
      </c>
      <c r="H563" t="str">
        <f>IF(G563="","",IF(G563="[FÓRMULA MANUAL]","",IFERROR(AVERAGEIFS(nNOTA,nNIA,G563,nCUENTA,1,nASIG,"Lenguaje Musical"),"")))</f>
        <v/>
      </c>
      <c r="I563" t="str">
        <f>IF(G563="","",IF(G563="[FÓRMULA MANUAL]","",IFERROR(AVERAGEIFS(nNOTA,nNIA,G563,nCUENTA,1,nASIG,"Orquesta/Banda/Conjunto"),"")))</f>
        <v/>
      </c>
      <c r="J563" t="str">
        <f>IF(G563="","",IF(G563="[FÓRMULA MANUAL]","",IFERROR(AVERAGEIFS(nNOTA,nNIA,G563,nCUENTA,1,nASIG,"Conjunto"),"")))</f>
        <v/>
      </c>
      <c r="K563" t="str">
        <f>IF(G563="","",IF(G563="[FÓRMULA MANUAL]","",IFERROR(SUMPRODUCT((nNIA=G563)*(nCUENTA=1)*(COUNTIF(CONFIG_ASIGNATURAS!$B$7:$B$27,nASIG)&gt;0)*(nNOTA))/SUMPRODUCT((nNIA=G563)*(nCUENTA=1)*(COUNTIF(CONFIG_ASIGNATURAS!$B$7:$B$27,nASIG)&gt;0)*1),"")))</f>
        <v/>
      </c>
      <c r="N563" t="str">
        <f>IF(M563="","",IF(M563="[FÓRMULA MANUAL]","",IFERROR(AVERAGEIFS(nNOTA,nNIA,M563,nCUENTA,1,nASIG,"Armonía"),"")))</f>
        <v/>
      </c>
      <c r="O563" t="str">
        <f>IF(M563="","",IF(M563="[FÓRMULA MANUAL]","",IFERROR(AVERAGEIFS(nNOTA,nNIA,M563,nCUENTA,1,nASIG,"Orquesta/Banda/Conjunto"),"")))</f>
        <v/>
      </c>
      <c r="P563" t="str">
        <f>IF(M563="","",IF(M563="[FÓRMULA MANUAL]","",IFERROR(AVERAGEIFS(nNOTA,nNIA,M563,nCUENTA,1,nASIG,"Música de Cámara"),"")))</f>
        <v/>
      </c>
      <c r="Q563" t="str">
        <f>IF(M563="","",IF(M563="[FÓRMULA MANUAL]","",IFERROR(SUMPRODUCT((nNIA=M563)*(nCUENTA=1)*(COUNTIF(CONFIG_ASIGNATURAS!$B$7:$B$27,nASIG)&gt;0)*(nNOTA))/SUMPRODUCT((nNIA=M563)*(nCUENTA=1)*(COUNTIF(CONFIG_ASIGNATURAS!$B$7:$B$27,nASIG)&gt;0)*1),"")))</f>
        <v/>
      </c>
      <c r="T563" t="str">
        <f>IF(S563="","",IF(S563="[FÓRMULA MANUAL]","",IFERROR(AVERAGEIFS(nNOTA,nNIA,S563,nCUENTA,1,nASIG,"Armonía"),"")))</f>
        <v/>
      </c>
      <c r="U563" t="str">
        <f>IF(S563="","",IF(S563="[FÓRMULA MANUAL]","",IFERROR(AVERAGEIFS(nNOTA,nNIA,S563,nCUENTA,1,nASIG,"Orquesta/Banda/Conjunto"),"")))</f>
        <v/>
      </c>
      <c r="V563" t="str">
        <f>IF(S563="","",IF(S563="[FÓRMULA MANUAL]","",IFERROR(AVERAGEIFS(nNOTA,nNIA,S563,nCUENTA,1,nASIG,"Música de Cámara"),"")))</f>
        <v/>
      </c>
      <c r="W563" t="str">
        <f>IF(S563="","",IF(S563="[FÓRMULA MANUAL]","",IFERROR(SUMPRODUCT((nNIA=S563)*(nCUENTA=1)*(COUNTIF(CONFIG_ASIGNATURAS!$B$7:$B$27,nASIG)&gt;0)*(nNOTA))/SUMPRODUCT((nNIA=S563)*(nCUENTA=1)*(COUNTIF(CONFIG_ASIGNATURAS!$B$7:$B$27,nASIG)&gt;0)*1),"")))</f>
        <v/>
      </c>
      <c r="Z563" t="str">
        <f>IF(Y563="","",IF(Y563="[FÓRMULA MANUAL]","",IFERROR(AVERAGEIFS(nNOTA,nNIA,Y563,nCUENTA,1,nASIG,"Análisis"),"")))</f>
        <v/>
      </c>
      <c r="AA563" t="str">
        <f>IF(Y563="","",IF(Y563="[FÓRMULA MANUAL]","",IFERROR(AVERAGEIFS(nNOTA,nNIA,Y563,nCUENTA,1,nASIG,"Orquesta/Banda/Conjunto"),"")))</f>
        <v/>
      </c>
      <c r="AB563" t="str">
        <f>IF(Y563="","",IF(Y563="[FÓRMULA MANUAL]","",IFERROR(AVERAGEIFS(nNOTA,nNIA,Y563,nCUENTA,1,nASIG,"Música de Cámara"),"")))</f>
        <v/>
      </c>
      <c r="AC563" t="str">
        <f>IF(Y563="","",IF(Y563="[FÓRMULA MANUAL]","",IFERROR(SUMPRODUCT((nNIA=Y563)*(nCUENTA=1)*(COUNTIF(CONFIG_ASIGNATURAS!$B$7:$B$27,nASIG)&gt;0)*(nNOTA))/SUMPRODUCT((nNIA=Y563)*(nCUENTA=1)*(COUNTIF(CONFIG_ASIGNATURAS!$B$7:$B$27,nASIG)&gt;0)*1),"")))</f>
        <v/>
      </c>
      <c r="AF563" t="str">
        <f>IF(AE563="","",IF(AE563="[FÓRMULA MANUAL]","",IFERROR(AVERAGEIFS(nNOTA,nNIA,AE563,nCUENTA,1,nASIG,"Análisis"),"")))</f>
        <v/>
      </c>
      <c r="AG563" t="str">
        <f>IF(AE563="","",IF(AE563="[FÓRMULA MANUAL]","",IFERROR(AVERAGEIFS(nNOTA,nNIA,AE563,nCUENTA,1,nASIG,"Orquesta/Banda/Conjunto"),"")))</f>
        <v/>
      </c>
      <c r="AH563" t="str">
        <f>IF(AE563="","",IF(AE563="[FÓRMULA MANUAL]","",IFERROR(AVERAGEIFS(nNOTA,nNIA,AE563,nCUENTA,1,nASIG,"Música de Cámara"),"")))</f>
        <v/>
      </c>
      <c r="AI563" t="str">
        <f>IF(AE563="","",IF(AE563="[FÓRMULA MANUAL]","",IFERROR(SUMPRODUCT((nNIA=AE563)*(nCUENTA=1)*(COUNTIF(CONFIG_ASIGNATURAS!$B$7:$B$27,nASIG)&gt;0)*(nNOTA))/SUMPRODUCT((nNIA=AE563)*(nCUENTA=1)*(COUNTIF(CONFIG_ASIGNATURAS!$B$7:$B$27,nASIG)&gt;0)*1),"")))</f>
        <v/>
      </c>
    </row>
    <row r="564" spans="2:35" x14ac:dyDescent="0.2">
      <c r="B564" t="str">
        <f>IF(A564="","",IF(A564="[FÓRMULA MANUAL]","",IFERROR(AVERAGEIFS(nNOTA,nNIA,A564,nCUENTA,1,nASIG,"Lenguaje Musical"),"")))</f>
        <v/>
      </c>
      <c r="C564" t="str">
        <f>IF(A564="","",IF(A564="[FÓRMULA MANUAL]","",IFERROR(AVERAGEIFS(nNOTA,nNIA,A564,nCUENTA,1,nASIG,"Orquesta/Banda/Conjunto"),"")))</f>
        <v/>
      </c>
      <c r="D564" t="str">
        <f>IF(A564="","",IF(A564="[FÓRMULA MANUAL]","",IFERROR(AVERAGEIFS(nNOTA,nNIA,A564,nCUENTA,1,nASIG,"Conjunto"),"")))</f>
        <v/>
      </c>
      <c r="E564" t="str">
        <f>IF(A564="","",IF(A564="[FÓRMULA MANUAL]","",IFERROR(SUMPRODUCT((nNIA=A564)*(nCUENTA=1)*(COUNTIF(CONFIG_ASIGNATURAS!$B$7:$B$27,nASIG)&gt;0)*(nNOTA))/SUMPRODUCT((nNIA=A564)*(nCUENTA=1)*(COUNTIF(CONFIG_ASIGNATURAS!$B$7:$B$27,nASIG)&gt;0)*1),"")))</f>
        <v/>
      </c>
      <c r="H564" t="str">
        <f>IF(G564="","",IF(G564="[FÓRMULA MANUAL]","",IFERROR(AVERAGEIFS(nNOTA,nNIA,G564,nCUENTA,1,nASIG,"Lenguaje Musical"),"")))</f>
        <v/>
      </c>
      <c r="I564" t="str">
        <f>IF(G564="","",IF(G564="[FÓRMULA MANUAL]","",IFERROR(AVERAGEIFS(nNOTA,nNIA,G564,nCUENTA,1,nASIG,"Orquesta/Banda/Conjunto"),"")))</f>
        <v/>
      </c>
      <c r="J564" t="str">
        <f>IF(G564="","",IF(G564="[FÓRMULA MANUAL]","",IFERROR(AVERAGEIFS(nNOTA,nNIA,G564,nCUENTA,1,nASIG,"Conjunto"),"")))</f>
        <v/>
      </c>
      <c r="K564" t="str">
        <f>IF(G564="","",IF(G564="[FÓRMULA MANUAL]","",IFERROR(SUMPRODUCT((nNIA=G564)*(nCUENTA=1)*(COUNTIF(CONFIG_ASIGNATURAS!$B$7:$B$27,nASIG)&gt;0)*(nNOTA))/SUMPRODUCT((nNIA=G564)*(nCUENTA=1)*(COUNTIF(CONFIG_ASIGNATURAS!$B$7:$B$27,nASIG)&gt;0)*1),"")))</f>
        <v/>
      </c>
      <c r="N564" t="str">
        <f>IF(M564="","",IF(M564="[FÓRMULA MANUAL]","",IFERROR(AVERAGEIFS(nNOTA,nNIA,M564,nCUENTA,1,nASIG,"Armonía"),"")))</f>
        <v/>
      </c>
      <c r="O564" t="str">
        <f>IF(M564="","",IF(M564="[FÓRMULA MANUAL]","",IFERROR(AVERAGEIFS(nNOTA,nNIA,M564,nCUENTA,1,nASIG,"Orquesta/Banda/Conjunto"),"")))</f>
        <v/>
      </c>
      <c r="P564" t="str">
        <f>IF(M564="","",IF(M564="[FÓRMULA MANUAL]","",IFERROR(AVERAGEIFS(nNOTA,nNIA,M564,nCUENTA,1,nASIG,"Música de Cámara"),"")))</f>
        <v/>
      </c>
      <c r="Q564" t="str">
        <f>IF(M564="","",IF(M564="[FÓRMULA MANUAL]","",IFERROR(SUMPRODUCT((nNIA=M564)*(nCUENTA=1)*(COUNTIF(CONFIG_ASIGNATURAS!$B$7:$B$27,nASIG)&gt;0)*(nNOTA))/SUMPRODUCT((nNIA=M564)*(nCUENTA=1)*(COUNTIF(CONFIG_ASIGNATURAS!$B$7:$B$27,nASIG)&gt;0)*1),"")))</f>
        <v/>
      </c>
      <c r="T564" t="str">
        <f>IF(S564="","",IF(S564="[FÓRMULA MANUAL]","",IFERROR(AVERAGEIFS(nNOTA,nNIA,S564,nCUENTA,1,nASIG,"Armonía"),"")))</f>
        <v/>
      </c>
      <c r="U564" t="str">
        <f>IF(S564="","",IF(S564="[FÓRMULA MANUAL]","",IFERROR(AVERAGEIFS(nNOTA,nNIA,S564,nCUENTA,1,nASIG,"Orquesta/Banda/Conjunto"),"")))</f>
        <v/>
      </c>
      <c r="V564" t="str">
        <f>IF(S564="","",IF(S564="[FÓRMULA MANUAL]","",IFERROR(AVERAGEIFS(nNOTA,nNIA,S564,nCUENTA,1,nASIG,"Música de Cámara"),"")))</f>
        <v/>
      </c>
      <c r="W564" t="str">
        <f>IF(S564="","",IF(S564="[FÓRMULA MANUAL]","",IFERROR(SUMPRODUCT((nNIA=S564)*(nCUENTA=1)*(COUNTIF(CONFIG_ASIGNATURAS!$B$7:$B$27,nASIG)&gt;0)*(nNOTA))/SUMPRODUCT((nNIA=S564)*(nCUENTA=1)*(COUNTIF(CONFIG_ASIGNATURAS!$B$7:$B$27,nASIG)&gt;0)*1),"")))</f>
        <v/>
      </c>
      <c r="Z564" t="str">
        <f>IF(Y564="","",IF(Y564="[FÓRMULA MANUAL]","",IFERROR(AVERAGEIFS(nNOTA,nNIA,Y564,nCUENTA,1,nASIG,"Análisis"),"")))</f>
        <v/>
      </c>
      <c r="AA564" t="str">
        <f>IF(Y564="","",IF(Y564="[FÓRMULA MANUAL]","",IFERROR(AVERAGEIFS(nNOTA,nNIA,Y564,nCUENTA,1,nASIG,"Orquesta/Banda/Conjunto"),"")))</f>
        <v/>
      </c>
      <c r="AB564" t="str">
        <f>IF(Y564="","",IF(Y564="[FÓRMULA MANUAL]","",IFERROR(AVERAGEIFS(nNOTA,nNIA,Y564,nCUENTA,1,nASIG,"Música de Cámara"),"")))</f>
        <v/>
      </c>
      <c r="AC564" t="str">
        <f>IF(Y564="","",IF(Y564="[FÓRMULA MANUAL]","",IFERROR(SUMPRODUCT((nNIA=Y564)*(nCUENTA=1)*(COUNTIF(CONFIG_ASIGNATURAS!$B$7:$B$27,nASIG)&gt;0)*(nNOTA))/SUMPRODUCT((nNIA=Y564)*(nCUENTA=1)*(COUNTIF(CONFIG_ASIGNATURAS!$B$7:$B$27,nASIG)&gt;0)*1),"")))</f>
        <v/>
      </c>
      <c r="AF564" t="str">
        <f>IF(AE564="","",IF(AE564="[FÓRMULA MANUAL]","",IFERROR(AVERAGEIFS(nNOTA,nNIA,AE564,nCUENTA,1,nASIG,"Análisis"),"")))</f>
        <v/>
      </c>
      <c r="AG564" t="str">
        <f>IF(AE564="","",IF(AE564="[FÓRMULA MANUAL]","",IFERROR(AVERAGEIFS(nNOTA,nNIA,AE564,nCUENTA,1,nASIG,"Orquesta/Banda/Conjunto"),"")))</f>
        <v/>
      </c>
      <c r="AH564" t="str">
        <f>IF(AE564="","",IF(AE564="[FÓRMULA MANUAL]","",IFERROR(AVERAGEIFS(nNOTA,nNIA,AE564,nCUENTA,1,nASIG,"Música de Cámara"),"")))</f>
        <v/>
      </c>
      <c r="AI564" t="str">
        <f>IF(AE564="","",IF(AE564="[FÓRMULA MANUAL]","",IFERROR(SUMPRODUCT((nNIA=AE564)*(nCUENTA=1)*(COUNTIF(CONFIG_ASIGNATURAS!$B$7:$B$27,nASIG)&gt;0)*(nNOTA))/SUMPRODUCT((nNIA=AE564)*(nCUENTA=1)*(COUNTIF(CONFIG_ASIGNATURAS!$B$7:$B$27,nASIG)&gt;0)*1),"")))</f>
        <v/>
      </c>
    </row>
    <row r="565" spans="2:35" x14ac:dyDescent="0.2">
      <c r="B565" t="str">
        <f>IF(A565="","",IF(A565="[FÓRMULA MANUAL]","",IFERROR(AVERAGEIFS(nNOTA,nNIA,A565,nCUENTA,1,nASIG,"Lenguaje Musical"),"")))</f>
        <v/>
      </c>
      <c r="C565" t="str">
        <f>IF(A565="","",IF(A565="[FÓRMULA MANUAL]","",IFERROR(AVERAGEIFS(nNOTA,nNIA,A565,nCUENTA,1,nASIG,"Orquesta/Banda/Conjunto"),"")))</f>
        <v/>
      </c>
      <c r="D565" t="str">
        <f>IF(A565="","",IF(A565="[FÓRMULA MANUAL]","",IFERROR(AVERAGEIFS(nNOTA,nNIA,A565,nCUENTA,1,nASIG,"Conjunto"),"")))</f>
        <v/>
      </c>
      <c r="E565" t="str">
        <f>IF(A565="","",IF(A565="[FÓRMULA MANUAL]","",IFERROR(SUMPRODUCT((nNIA=A565)*(nCUENTA=1)*(COUNTIF(CONFIG_ASIGNATURAS!$B$7:$B$27,nASIG)&gt;0)*(nNOTA))/SUMPRODUCT((nNIA=A565)*(nCUENTA=1)*(COUNTIF(CONFIG_ASIGNATURAS!$B$7:$B$27,nASIG)&gt;0)*1),"")))</f>
        <v/>
      </c>
      <c r="H565" t="str">
        <f>IF(G565="","",IF(G565="[FÓRMULA MANUAL]","",IFERROR(AVERAGEIFS(nNOTA,nNIA,G565,nCUENTA,1,nASIG,"Lenguaje Musical"),"")))</f>
        <v/>
      </c>
      <c r="I565" t="str">
        <f>IF(G565="","",IF(G565="[FÓRMULA MANUAL]","",IFERROR(AVERAGEIFS(nNOTA,nNIA,G565,nCUENTA,1,nASIG,"Orquesta/Banda/Conjunto"),"")))</f>
        <v/>
      </c>
      <c r="J565" t="str">
        <f>IF(G565="","",IF(G565="[FÓRMULA MANUAL]","",IFERROR(AVERAGEIFS(nNOTA,nNIA,G565,nCUENTA,1,nASIG,"Conjunto"),"")))</f>
        <v/>
      </c>
      <c r="K565" t="str">
        <f>IF(G565="","",IF(G565="[FÓRMULA MANUAL]","",IFERROR(SUMPRODUCT((nNIA=G565)*(nCUENTA=1)*(COUNTIF(CONFIG_ASIGNATURAS!$B$7:$B$27,nASIG)&gt;0)*(nNOTA))/SUMPRODUCT((nNIA=G565)*(nCUENTA=1)*(COUNTIF(CONFIG_ASIGNATURAS!$B$7:$B$27,nASIG)&gt;0)*1),"")))</f>
        <v/>
      </c>
      <c r="N565" t="str">
        <f>IF(M565="","",IF(M565="[FÓRMULA MANUAL]","",IFERROR(AVERAGEIFS(nNOTA,nNIA,M565,nCUENTA,1,nASIG,"Armonía"),"")))</f>
        <v/>
      </c>
      <c r="O565" t="str">
        <f>IF(M565="","",IF(M565="[FÓRMULA MANUAL]","",IFERROR(AVERAGEIFS(nNOTA,nNIA,M565,nCUENTA,1,nASIG,"Orquesta/Banda/Conjunto"),"")))</f>
        <v/>
      </c>
      <c r="P565" t="str">
        <f>IF(M565="","",IF(M565="[FÓRMULA MANUAL]","",IFERROR(AVERAGEIFS(nNOTA,nNIA,M565,nCUENTA,1,nASIG,"Música de Cámara"),"")))</f>
        <v/>
      </c>
      <c r="Q565" t="str">
        <f>IF(M565="","",IF(M565="[FÓRMULA MANUAL]","",IFERROR(SUMPRODUCT((nNIA=M565)*(nCUENTA=1)*(COUNTIF(CONFIG_ASIGNATURAS!$B$7:$B$27,nASIG)&gt;0)*(nNOTA))/SUMPRODUCT((nNIA=M565)*(nCUENTA=1)*(COUNTIF(CONFIG_ASIGNATURAS!$B$7:$B$27,nASIG)&gt;0)*1),"")))</f>
        <v/>
      </c>
      <c r="T565" t="str">
        <f>IF(S565="","",IF(S565="[FÓRMULA MANUAL]","",IFERROR(AVERAGEIFS(nNOTA,nNIA,S565,nCUENTA,1,nASIG,"Armonía"),"")))</f>
        <v/>
      </c>
      <c r="U565" t="str">
        <f>IF(S565="","",IF(S565="[FÓRMULA MANUAL]","",IFERROR(AVERAGEIFS(nNOTA,nNIA,S565,nCUENTA,1,nASIG,"Orquesta/Banda/Conjunto"),"")))</f>
        <v/>
      </c>
      <c r="V565" t="str">
        <f>IF(S565="","",IF(S565="[FÓRMULA MANUAL]","",IFERROR(AVERAGEIFS(nNOTA,nNIA,S565,nCUENTA,1,nASIG,"Música de Cámara"),"")))</f>
        <v/>
      </c>
      <c r="W565" t="str">
        <f>IF(S565="","",IF(S565="[FÓRMULA MANUAL]","",IFERROR(SUMPRODUCT((nNIA=S565)*(nCUENTA=1)*(COUNTIF(CONFIG_ASIGNATURAS!$B$7:$B$27,nASIG)&gt;0)*(nNOTA))/SUMPRODUCT((nNIA=S565)*(nCUENTA=1)*(COUNTIF(CONFIG_ASIGNATURAS!$B$7:$B$27,nASIG)&gt;0)*1),"")))</f>
        <v/>
      </c>
      <c r="Z565" t="str">
        <f>IF(Y565="","",IF(Y565="[FÓRMULA MANUAL]","",IFERROR(AVERAGEIFS(nNOTA,nNIA,Y565,nCUENTA,1,nASIG,"Análisis"),"")))</f>
        <v/>
      </c>
      <c r="AA565" t="str">
        <f>IF(Y565="","",IF(Y565="[FÓRMULA MANUAL]","",IFERROR(AVERAGEIFS(nNOTA,nNIA,Y565,nCUENTA,1,nASIG,"Orquesta/Banda/Conjunto"),"")))</f>
        <v/>
      </c>
      <c r="AB565" t="str">
        <f>IF(Y565="","",IF(Y565="[FÓRMULA MANUAL]","",IFERROR(AVERAGEIFS(nNOTA,nNIA,Y565,nCUENTA,1,nASIG,"Música de Cámara"),"")))</f>
        <v/>
      </c>
      <c r="AC565" t="str">
        <f>IF(Y565="","",IF(Y565="[FÓRMULA MANUAL]","",IFERROR(SUMPRODUCT((nNIA=Y565)*(nCUENTA=1)*(COUNTIF(CONFIG_ASIGNATURAS!$B$7:$B$27,nASIG)&gt;0)*(nNOTA))/SUMPRODUCT((nNIA=Y565)*(nCUENTA=1)*(COUNTIF(CONFIG_ASIGNATURAS!$B$7:$B$27,nASIG)&gt;0)*1),"")))</f>
        <v/>
      </c>
      <c r="AF565" t="str">
        <f>IF(AE565="","",IF(AE565="[FÓRMULA MANUAL]","",IFERROR(AVERAGEIFS(nNOTA,nNIA,AE565,nCUENTA,1,nASIG,"Análisis"),"")))</f>
        <v/>
      </c>
      <c r="AG565" t="str">
        <f>IF(AE565="","",IF(AE565="[FÓRMULA MANUAL]","",IFERROR(AVERAGEIFS(nNOTA,nNIA,AE565,nCUENTA,1,nASIG,"Orquesta/Banda/Conjunto"),"")))</f>
        <v/>
      </c>
      <c r="AH565" t="str">
        <f>IF(AE565="","",IF(AE565="[FÓRMULA MANUAL]","",IFERROR(AVERAGEIFS(nNOTA,nNIA,AE565,nCUENTA,1,nASIG,"Música de Cámara"),"")))</f>
        <v/>
      </c>
      <c r="AI565" t="str">
        <f>IF(AE565="","",IF(AE565="[FÓRMULA MANUAL]","",IFERROR(SUMPRODUCT((nNIA=AE565)*(nCUENTA=1)*(COUNTIF(CONFIG_ASIGNATURAS!$B$7:$B$27,nASIG)&gt;0)*(nNOTA))/SUMPRODUCT((nNIA=AE565)*(nCUENTA=1)*(COUNTIF(CONFIG_ASIGNATURAS!$B$7:$B$27,nASIG)&gt;0)*1),"")))</f>
        <v/>
      </c>
    </row>
    <row r="566" spans="2:35" x14ac:dyDescent="0.2">
      <c r="B566" t="str">
        <f>IF(A566="","",IF(A566="[FÓRMULA MANUAL]","",IFERROR(AVERAGEIFS(nNOTA,nNIA,A566,nCUENTA,1,nASIG,"Lenguaje Musical"),"")))</f>
        <v/>
      </c>
      <c r="C566" t="str">
        <f>IF(A566="","",IF(A566="[FÓRMULA MANUAL]","",IFERROR(AVERAGEIFS(nNOTA,nNIA,A566,nCUENTA,1,nASIG,"Orquesta/Banda/Conjunto"),"")))</f>
        <v/>
      </c>
      <c r="D566" t="str">
        <f>IF(A566="","",IF(A566="[FÓRMULA MANUAL]","",IFERROR(AVERAGEIFS(nNOTA,nNIA,A566,nCUENTA,1,nASIG,"Conjunto"),"")))</f>
        <v/>
      </c>
      <c r="E566" t="str">
        <f>IF(A566="","",IF(A566="[FÓRMULA MANUAL]","",IFERROR(SUMPRODUCT((nNIA=A566)*(nCUENTA=1)*(COUNTIF(CONFIG_ASIGNATURAS!$B$7:$B$27,nASIG)&gt;0)*(nNOTA))/SUMPRODUCT((nNIA=A566)*(nCUENTA=1)*(COUNTIF(CONFIG_ASIGNATURAS!$B$7:$B$27,nASIG)&gt;0)*1),"")))</f>
        <v/>
      </c>
      <c r="H566" t="str">
        <f>IF(G566="","",IF(G566="[FÓRMULA MANUAL]","",IFERROR(AVERAGEIFS(nNOTA,nNIA,G566,nCUENTA,1,nASIG,"Lenguaje Musical"),"")))</f>
        <v/>
      </c>
      <c r="I566" t="str">
        <f>IF(G566="","",IF(G566="[FÓRMULA MANUAL]","",IFERROR(AVERAGEIFS(nNOTA,nNIA,G566,nCUENTA,1,nASIG,"Orquesta/Banda/Conjunto"),"")))</f>
        <v/>
      </c>
      <c r="J566" t="str">
        <f>IF(G566="","",IF(G566="[FÓRMULA MANUAL]","",IFERROR(AVERAGEIFS(nNOTA,nNIA,G566,nCUENTA,1,nASIG,"Conjunto"),"")))</f>
        <v/>
      </c>
      <c r="K566" t="str">
        <f>IF(G566="","",IF(G566="[FÓRMULA MANUAL]","",IFERROR(SUMPRODUCT((nNIA=G566)*(nCUENTA=1)*(COUNTIF(CONFIG_ASIGNATURAS!$B$7:$B$27,nASIG)&gt;0)*(nNOTA))/SUMPRODUCT((nNIA=G566)*(nCUENTA=1)*(COUNTIF(CONFIG_ASIGNATURAS!$B$7:$B$27,nASIG)&gt;0)*1),"")))</f>
        <v/>
      </c>
      <c r="N566" t="str">
        <f>IF(M566="","",IF(M566="[FÓRMULA MANUAL]","",IFERROR(AVERAGEIFS(nNOTA,nNIA,M566,nCUENTA,1,nASIG,"Armonía"),"")))</f>
        <v/>
      </c>
      <c r="O566" t="str">
        <f>IF(M566="","",IF(M566="[FÓRMULA MANUAL]","",IFERROR(AVERAGEIFS(nNOTA,nNIA,M566,nCUENTA,1,nASIG,"Orquesta/Banda/Conjunto"),"")))</f>
        <v/>
      </c>
      <c r="P566" t="str">
        <f>IF(M566="","",IF(M566="[FÓRMULA MANUAL]","",IFERROR(AVERAGEIFS(nNOTA,nNIA,M566,nCUENTA,1,nASIG,"Música de Cámara"),"")))</f>
        <v/>
      </c>
      <c r="Q566" t="str">
        <f>IF(M566="","",IF(M566="[FÓRMULA MANUAL]","",IFERROR(SUMPRODUCT((nNIA=M566)*(nCUENTA=1)*(COUNTIF(CONFIG_ASIGNATURAS!$B$7:$B$27,nASIG)&gt;0)*(nNOTA))/SUMPRODUCT((nNIA=M566)*(nCUENTA=1)*(COUNTIF(CONFIG_ASIGNATURAS!$B$7:$B$27,nASIG)&gt;0)*1),"")))</f>
        <v/>
      </c>
      <c r="T566" t="str">
        <f>IF(S566="","",IF(S566="[FÓRMULA MANUAL]","",IFERROR(AVERAGEIFS(nNOTA,nNIA,S566,nCUENTA,1,nASIG,"Armonía"),"")))</f>
        <v/>
      </c>
      <c r="U566" t="str">
        <f>IF(S566="","",IF(S566="[FÓRMULA MANUAL]","",IFERROR(AVERAGEIFS(nNOTA,nNIA,S566,nCUENTA,1,nASIG,"Orquesta/Banda/Conjunto"),"")))</f>
        <v/>
      </c>
      <c r="V566" t="str">
        <f>IF(S566="","",IF(S566="[FÓRMULA MANUAL]","",IFERROR(AVERAGEIFS(nNOTA,nNIA,S566,nCUENTA,1,nASIG,"Música de Cámara"),"")))</f>
        <v/>
      </c>
      <c r="W566" t="str">
        <f>IF(S566="","",IF(S566="[FÓRMULA MANUAL]","",IFERROR(SUMPRODUCT((nNIA=S566)*(nCUENTA=1)*(COUNTIF(CONFIG_ASIGNATURAS!$B$7:$B$27,nASIG)&gt;0)*(nNOTA))/SUMPRODUCT((nNIA=S566)*(nCUENTA=1)*(COUNTIF(CONFIG_ASIGNATURAS!$B$7:$B$27,nASIG)&gt;0)*1),"")))</f>
        <v/>
      </c>
      <c r="Z566" t="str">
        <f>IF(Y566="","",IF(Y566="[FÓRMULA MANUAL]","",IFERROR(AVERAGEIFS(nNOTA,nNIA,Y566,nCUENTA,1,nASIG,"Análisis"),"")))</f>
        <v/>
      </c>
      <c r="AA566" t="str">
        <f>IF(Y566="","",IF(Y566="[FÓRMULA MANUAL]","",IFERROR(AVERAGEIFS(nNOTA,nNIA,Y566,nCUENTA,1,nASIG,"Orquesta/Banda/Conjunto"),"")))</f>
        <v/>
      </c>
      <c r="AB566" t="str">
        <f>IF(Y566="","",IF(Y566="[FÓRMULA MANUAL]","",IFERROR(AVERAGEIFS(nNOTA,nNIA,Y566,nCUENTA,1,nASIG,"Música de Cámara"),"")))</f>
        <v/>
      </c>
      <c r="AC566" t="str">
        <f>IF(Y566="","",IF(Y566="[FÓRMULA MANUAL]","",IFERROR(SUMPRODUCT((nNIA=Y566)*(nCUENTA=1)*(COUNTIF(CONFIG_ASIGNATURAS!$B$7:$B$27,nASIG)&gt;0)*(nNOTA))/SUMPRODUCT((nNIA=Y566)*(nCUENTA=1)*(COUNTIF(CONFIG_ASIGNATURAS!$B$7:$B$27,nASIG)&gt;0)*1),"")))</f>
        <v/>
      </c>
      <c r="AF566" t="str">
        <f>IF(AE566="","",IF(AE566="[FÓRMULA MANUAL]","",IFERROR(AVERAGEIFS(nNOTA,nNIA,AE566,nCUENTA,1,nASIG,"Análisis"),"")))</f>
        <v/>
      </c>
      <c r="AG566" t="str">
        <f>IF(AE566="","",IF(AE566="[FÓRMULA MANUAL]","",IFERROR(AVERAGEIFS(nNOTA,nNIA,AE566,nCUENTA,1,nASIG,"Orquesta/Banda/Conjunto"),"")))</f>
        <v/>
      </c>
      <c r="AH566" t="str">
        <f>IF(AE566="","",IF(AE566="[FÓRMULA MANUAL]","",IFERROR(AVERAGEIFS(nNOTA,nNIA,AE566,nCUENTA,1,nASIG,"Música de Cámara"),"")))</f>
        <v/>
      </c>
      <c r="AI566" t="str">
        <f>IF(AE566="","",IF(AE566="[FÓRMULA MANUAL]","",IFERROR(SUMPRODUCT((nNIA=AE566)*(nCUENTA=1)*(COUNTIF(CONFIG_ASIGNATURAS!$B$7:$B$27,nASIG)&gt;0)*(nNOTA))/SUMPRODUCT((nNIA=AE566)*(nCUENTA=1)*(COUNTIF(CONFIG_ASIGNATURAS!$B$7:$B$27,nASIG)&gt;0)*1),"")))</f>
        <v/>
      </c>
    </row>
    <row r="567" spans="2:35" x14ac:dyDescent="0.2">
      <c r="B567" t="str">
        <f>IF(A567="","",IF(A567="[FÓRMULA MANUAL]","",IFERROR(AVERAGEIFS(nNOTA,nNIA,A567,nCUENTA,1,nASIG,"Lenguaje Musical"),"")))</f>
        <v/>
      </c>
      <c r="C567" t="str">
        <f>IF(A567="","",IF(A567="[FÓRMULA MANUAL]","",IFERROR(AVERAGEIFS(nNOTA,nNIA,A567,nCUENTA,1,nASIG,"Orquesta/Banda/Conjunto"),"")))</f>
        <v/>
      </c>
      <c r="D567" t="str">
        <f>IF(A567="","",IF(A567="[FÓRMULA MANUAL]","",IFERROR(AVERAGEIFS(nNOTA,nNIA,A567,nCUENTA,1,nASIG,"Conjunto"),"")))</f>
        <v/>
      </c>
      <c r="E567" t="str">
        <f>IF(A567="","",IF(A567="[FÓRMULA MANUAL]","",IFERROR(SUMPRODUCT((nNIA=A567)*(nCUENTA=1)*(COUNTIF(CONFIG_ASIGNATURAS!$B$7:$B$27,nASIG)&gt;0)*(nNOTA))/SUMPRODUCT((nNIA=A567)*(nCUENTA=1)*(COUNTIF(CONFIG_ASIGNATURAS!$B$7:$B$27,nASIG)&gt;0)*1),"")))</f>
        <v/>
      </c>
      <c r="H567" t="str">
        <f>IF(G567="","",IF(G567="[FÓRMULA MANUAL]","",IFERROR(AVERAGEIFS(nNOTA,nNIA,G567,nCUENTA,1,nASIG,"Lenguaje Musical"),"")))</f>
        <v/>
      </c>
      <c r="I567" t="str">
        <f>IF(G567="","",IF(G567="[FÓRMULA MANUAL]","",IFERROR(AVERAGEIFS(nNOTA,nNIA,G567,nCUENTA,1,nASIG,"Orquesta/Banda/Conjunto"),"")))</f>
        <v/>
      </c>
      <c r="J567" t="str">
        <f>IF(G567="","",IF(G567="[FÓRMULA MANUAL]","",IFERROR(AVERAGEIFS(nNOTA,nNIA,G567,nCUENTA,1,nASIG,"Conjunto"),"")))</f>
        <v/>
      </c>
      <c r="K567" t="str">
        <f>IF(G567="","",IF(G567="[FÓRMULA MANUAL]","",IFERROR(SUMPRODUCT((nNIA=G567)*(nCUENTA=1)*(COUNTIF(CONFIG_ASIGNATURAS!$B$7:$B$27,nASIG)&gt;0)*(nNOTA))/SUMPRODUCT((nNIA=G567)*(nCUENTA=1)*(COUNTIF(CONFIG_ASIGNATURAS!$B$7:$B$27,nASIG)&gt;0)*1),"")))</f>
        <v/>
      </c>
      <c r="N567" t="str">
        <f>IF(M567="","",IF(M567="[FÓRMULA MANUAL]","",IFERROR(AVERAGEIFS(nNOTA,nNIA,M567,nCUENTA,1,nASIG,"Armonía"),"")))</f>
        <v/>
      </c>
      <c r="O567" t="str">
        <f>IF(M567="","",IF(M567="[FÓRMULA MANUAL]","",IFERROR(AVERAGEIFS(nNOTA,nNIA,M567,nCUENTA,1,nASIG,"Orquesta/Banda/Conjunto"),"")))</f>
        <v/>
      </c>
      <c r="P567" t="str">
        <f>IF(M567="","",IF(M567="[FÓRMULA MANUAL]","",IFERROR(AVERAGEIFS(nNOTA,nNIA,M567,nCUENTA,1,nASIG,"Música de Cámara"),"")))</f>
        <v/>
      </c>
      <c r="Q567" t="str">
        <f>IF(M567="","",IF(M567="[FÓRMULA MANUAL]","",IFERROR(SUMPRODUCT((nNIA=M567)*(nCUENTA=1)*(COUNTIF(CONFIG_ASIGNATURAS!$B$7:$B$27,nASIG)&gt;0)*(nNOTA))/SUMPRODUCT((nNIA=M567)*(nCUENTA=1)*(COUNTIF(CONFIG_ASIGNATURAS!$B$7:$B$27,nASIG)&gt;0)*1),"")))</f>
        <v/>
      </c>
      <c r="T567" t="str">
        <f>IF(S567="","",IF(S567="[FÓRMULA MANUAL]","",IFERROR(AVERAGEIFS(nNOTA,nNIA,S567,nCUENTA,1,nASIG,"Armonía"),"")))</f>
        <v/>
      </c>
      <c r="U567" t="str">
        <f>IF(S567="","",IF(S567="[FÓRMULA MANUAL]","",IFERROR(AVERAGEIFS(nNOTA,nNIA,S567,nCUENTA,1,nASIG,"Orquesta/Banda/Conjunto"),"")))</f>
        <v/>
      </c>
      <c r="V567" t="str">
        <f>IF(S567="","",IF(S567="[FÓRMULA MANUAL]","",IFERROR(AVERAGEIFS(nNOTA,nNIA,S567,nCUENTA,1,nASIG,"Música de Cámara"),"")))</f>
        <v/>
      </c>
      <c r="W567" t="str">
        <f>IF(S567="","",IF(S567="[FÓRMULA MANUAL]","",IFERROR(SUMPRODUCT((nNIA=S567)*(nCUENTA=1)*(COUNTIF(CONFIG_ASIGNATURAS!$B$7:$B$27,nASIG)&gt;0)*(nNOTA))/SUMPRODUCT((nNIA=S567)*(nCUENTA=1)*(COUNTIF(CONFIG_ASIGNATURAS!$B$7:$B$27,nASIG)&gt;0)*1),"")))</f>
        <v/>
      </c>
      <c r="Z567" t="str">
        <f>IF(Y567="","",IF(Y567="[FÓRMULA MANUAL]","",IFERROR(AVERAGEIFS(nNOTA,nNIA,Y567,nCUENTA,1,nASIG,"Análisis"),"")))</f>
        <v/>
      </c>
      <c r="AA567" t="str">
        <f>IF(Y567="","",IF(Y567="[FÓRMULA MANUAL]","",IFERROR(AVERAGEIFS(nNOTA,nNIA,Y567,nCUENTA,1,nASIG,"Orquesta/Banda/Conjunto"),"")))</f>
        <v/>
      </c>
      <c r="AB567" t="str">
        <f>IF(Y567="","",IF(Y567="[FÓRMULA MANUAL]","",IFERROR(AVERAGEIFS(nNOTA,nNIA,Y567,nCUENTA,1,nASIG,"Música de Cámara"),"")))</f>
        <v/>
      </c>
      <c r="AC567" t="str">
        <f>IF(Y567="","",IF(Y567="[FÓRMULA MANUAL]","",IFERROR(SUMPRODUCT((nNIA=Y567)*(nCUENTA=1)*(COUNTIF(CONFIG_ASIGNATURAS!$B$7:$B$27,nASIG)&gt;0)*(nNOTA))/SUMPRODUCT((nNIA=Y567)*(nCUENTA=1)*(COUNTIF(CONFIG_ASIGNATURAS!$B$7:$B$27,nASIG)&gt;0)*1),"")))</f>
        <v/>
      </c>
      <c r="AF567" t="str">
        <f>IF(AE567="","",IF(AE567="[FÓRMULA MANUAL]","",IFERROR(AVERAGEIFS(nNOTA,nNIA,AE567,nCUENTA,1,nASIG,"Análisis"),"")))</f>
        <v/>
      </c>
      <c r="AG567" t="str">
        <f>IF(AE567="","",IF(AE567="[FÓRMULA MANUAL]","",IFERROR(AVERAGEIFS(nNOTA,nNIA,AE567,nCUENTA,1,nASIG,"Orquesta/Banda/Conjunto"),"")))</f>
        <v/>
      </c>
      <c r="AH567" t="str">
        <f>IF(AE567="","",IF(AE567="[FÓRMULA MANUAL]","",IFERROR(AVERAGEIFS(nNOTA,nNIA,AE567,nCUENTA,1,nASIG,"Música de Cámara"),"")))</f>
        <v/>
      </c>
      <c r="AI567" t="str">
        <f>IF(AE567="","",IF(AE567="[FÓRMULA MANUAL]","",IFERROR(SUMPRODUCT((nNIA=AE567)*(nCUENTA=1)*(COUNTIF(CONFIG_ASIGNATURAS!$B$7:$B$27,nASIG)&gt;0)*(nNOTA))/SUMPRODUCT((nNIA=AE567)*(nCUENTA=1)*(COUNTIF(CONFIG_ASIGNATURAS!$B$7:$B$27,nASIG)&gt;0)*1),"")))</f>
        <v/>
      </c>
    </row>
    <row r="568" spans="2:35" x14ac:dyDescent="0.2">
      <c r="B568" t="str">
        <f>IF(A568="","",IF(A568="[FÓRMULA MANUAL]","",IFERROR(AVERAGEIFS(nNOTA,nNIA,A568,nCUENTA,1,nASIG,"Lenguaje Musical"),"")))</f>
        <v/>
      </c>
      <c r="C568" t="str">
        <f>IF(A568="","",IF(A568="[FÓRMULA MANUAL]","",IFERROR(AVERAGEIFS(nNOTA,nNIA,A568,nCUENTA,1,nASIG,"Orquesta/Banda/Conjunto"),"")))</f>
        <v/>
      </c>
      <c r="D568" t="str">
        <f>IF(A568="","",IF(A568="[FÓRMULA MANUAL]","",IFERROR(AVERAGEIFS(nNOTA,nNIA,A568,nCUENTA,1,nASIG,"Conjunto"),"")))</f>
        <v/>
      </c>
      <c r="E568" t="str">
        <f>IF(A568="","",IF(A568="[FÓRMULA MANUAL]","",IFERROR(SUMPRODUCT((nNIA=A568)*(nCUENTA=1)*(COUNTIF(CONFIG_ASIGNATURAS!$B$7:$B$27,nASIG)&gt;0)*(nNOTA))/SUMPRODUCT((nNIA=A568)*(nCUENTA=1)*(COUNTIF(CONFIG_ASIGNATURAS!$B$7:$B$27,nASIG)&gt;0)*1),"")))</f>
        <v/>
      </c>
      <c r="H568" t="str">
        <f>IF(G568="","",IF(G568="[FÓRMULA MANUAL]","",IFERROR(AVERAGEIFS(nNOTA,nNIA,G568,nCUENTA,1,nASIG,"Lenguaje Musical"),"")))</f>
        <v/>
      </c>
      <c r="I568" t="str">
        <f>IF(G568="","",IF(G568="[FÓRMULA MANUAL]","",IFERROR(AVERAGEIFS(nNOTA,nNIA,G568,nCUENTA,1,nASIG,"Orquesta/Banda/Conjunto"),"")))</f>
        <v/>
      </c>
      <c r="J568" t="str">
        <f>IF(G568="","",IF(G568="[FÓRMULA MANUAL]","",IFERROR(AVERAGEIFS(nNOTA,nNIA,G568,nCUENTA,1,nASIG,"Conjunto"),"")))</f>
        <v/>
      </c>
      <c r="K568" t="str">
        <f>IF(G568="","",IF(G568="[FÓRMULA MANUAL]","",IFERROR(SUMPRODUCT((nNIA=G568)*(nCUENTA=1)*(COUNTIF(CONFIG_ASIGNATURAS!$B$7:$B$27,nASIG)&gt;0)*(nNOTA))/SUMPRODUCT((nNIA=G568)*(nCUENTA=1)*(COUNTIF(CONFIG_ASIGNATURAS!$B$7:$B$27,nASIG)&gt;0)*1),"")))</f>
        <v/>
      </c>
      <c r="N568" t="str">
        <f>IF(M568="","",IF(M568="[FÓRMULA MANUAL]","",IFERROR(AVERAGEIFS(nNOTA,nNIA,M568,nCUENTA,1,nASIG,"Armonía"),"")))</f>
        <v/>
      </c>
      <c r="O568" t="str">
        <f>IF(M568="","",IF(M568="[FÓRMULA MANUAL]","",IFERROR(AVERAGEIFS(nNOTA,nNIA,M568,nCUENTA,1,nASIG,"Orquesta/Banda/Conjunto"),"")))</f>
        <v/>
      </c>
      <c r="P568" t="str">
        <f>IF(M568="","",IF(M568="[FÓRMULA MANUAL]","",IFERROR(AVERAGEIFS(nNOTA,nNIA,M568,nCUENTA,1,nASIG,"Música de Cámara"),"")))</f>
        <v/>
      </c>
      <c r="Q568" t="str">
        <f>IF(M568="","",IF(M568="[FÓRMULA MANUAL]","",IFERROR(SUMPRODUCT((nNIA=M568)*(nCUENTA=1)*(COUNTIF(CONFIG_ASIGNATURAS!$B$7:$B$27,nASIG)&gt;0)*(nNOTA))/SUMPRODUCT((nNIA=M568)*(nCUENTA=1)*(COUNTIF(CONFIG_ASIGNATURAS!$B$7:$B$27,nASIG)&gt;0)*1),"")))</f>
        <v/>
      </c>
      <c r="T568" t="str">
        <f>IF(S568="","",IF(S568="[FÓRMULA MANUAL]","",IFERROR(AVERAGEIFS(nNOTA,nNIA,S568,nCUENTA,1,nASIG,"Armonía"),"")))</f>
        <v/>
      </c>
      <c r="U568" t="str">
        <f>IF(S568="","",IF(S568="[FÓRMULA MANUAL]","",IFERROR(AVERAGEIFS(nNOTA,nNIA,S568,nCUENTA,1,nASIG,"Orquesta/Banda/Conjunto"),"")))</f>
        <v/>
      </c>
      <c r="V568" t="str">
        <f>IF(S568="","",IF(S568="[FÓRMULA MANUAL]","",IFERROR(AVERAGEIFS(nNOTA,nNIA,S568,nCUENTA,1,nASIG,"Música de Cámara"),"")))</f>
        <v/>
      </c>
      <c r="W568" t="str">
        <f>IF(S568="","",IF(S568="[FÓRMULA MANUAL]","",IFERROR(SUMPRODUCT((nNIA=S568)*(nCUENTA=1)*(COUNTIF(CONFIG_ASIGNATURAS!$B$7:$B$27,nASIG)&gt;0)*(nNOTA))/SUMPRODUCT((nNIA=S568)*(nCUENTA=1)*(COUNTIF(CONFIG_ASIGNATURAS!$B$7:$B$27,nASIG)&gt;0)*1),"")))</f>
        <v/>
      </c>
      <c r="Z568" t="str">
        <f>IF(Y568="","",IF(Y568="[FÓRMULA MANUAL]","",IFERROR(AVERAGEIFS(nNOTA,nNIA,Y568,nCUENTA,1,nASIG,"Análisis"),"")))</f>
        <v/>
      </c>
      <c r="AA568" t="str">
        <f>IF(Y568="","",IF(Y568="[FÓRMULA MANUAL]","",IFERROR(AVERAGEIFS(nNOTA,nNIA,Y568,nCUENTA,1,nASIG,"Orquesta/Banda/Conjunto"),"")))</f>
        <v/>
      </c>
      <c r="AB568" t="str">
        <f>IF(Y568="","",IF(Y568="[FÓRMULA MANUAL]","",IFERROR(AVERAGEIFS(nNOTA,nNIA,Y568,nCUENTA,1,nASIG,"Música de Cámara"),"")))</f>
        <v/>
      </c>
      <c r="AC568" t="str">
        <f>IF(Y568="","",IF(Y568="[FÓRMULA MANUAL]","",IFERROR(SUMPRODUCT((nNIA=Y568)*(nCUENTA=1)*(COUNTIF(CONFIG_ASIGNATURAS!$B$7:$B$27,nASIG)&gt;0)*(nNOTA))/SUMPRODUCT((nNIA=Y568)*(nCUENTA=1)*(COUNTIF(CONFIG_ASIGNATURAS!$B$7:$B$27,nASIG)&gt;0)*1),"")))</f>
        <v/>
      </c>
      <c r="AF568" t="str">
        <f>IF(AE568="","",IF(AE568="[FÓRMULA MANUAL]","",IFERROR(AVERAGEIFS(nNOTA,nNIA,AE568,nCUENTA,1,nASIG,"Análisis"),"")))</f>
        <v/>
      </c>
      <c r="AG568" t="str">
        <f>IF(AE568="","",IF(AE568="[FÓRMULA MANUAL]","",IFERROR(AVERAGEIFS(nNOTA,nNIA,AE568,nCUENTA,1,nASIG,"Orquesta/Banda/Conjunto"),"")))</f>
        <v/>
      </c>
      <c r="AH568" t="str">
        <f>IF(AE568="","",IF(AE568="[FÓRMULA MANUAL]","",IFERROR(AVERAGEIFS(nNOTA,nNIA,AE568,nCUENTA,1,nASIG,"Música de Cámara"),"")))</f>
        <v/>
      </c>
      <c r="AI568" t="str">
        <f>IF(AE568="","",IF(AE568="[FÓRMULA MANUAL]","",IFERROR(SUMPRODUCT((nNIA=AE568)*(nCUENTA=1)*(COUNTIF(CONFIG_ASIGNATURAS!$B$7:$B$27,nASIG)&gt;0)*(nNOTA))/SUMPRODUCT((nNIA=AE568)*(nCUENTA=1)*(COUNTIF(CONFIG_ASIGNATURAS!$B$7:$B$27,nASIG)&gt;0)*1),"")))</f>
        <v/>
      </c>
    </row>
    <row r="569" spans="2:35" x14ac:dyDescent="0.2">
      <c r="B569" t="str">
        <f>IF(A569="","",IF(A569="[FÓRMULA MANUAL]","",IFERROR(AVERAGEIFS(nNOTA,nNIA,A569,nCUENTA,1,nASIG,"Lenguaje Musical"),"")))</f>
        <v/>
      </c>
      <c r="C569" t="str">
        <f>IF(A569="","",IF(A569="[FÓRMULA MANUAL]","",IFERROR(AVERAGEIFS(nNOTA,nNIA,A569,nCUENTA,1,nASIG,"Orquesta/Banda/Conjunto"),"")))</f>
        <v/>
      </c>
      <c r="D569" t="str">
        <f>IF(A569="","",IF(A569="[FÓRMULA MANUAL]","",IFERROR(AVERAGEIFS(nNOTA,nNIA,A569,nCUENTA,1,nASIG,"Conjunto"),"")))</f>
        <v/>
      </c>
      <c r="E569" t="str">
        <f>IF(A569="","",IF(A569="[FÓRMULA MANUAL]","",IFERROR(SUMPRODUCT((nNIA=A569)*(nCUENTA=1)*(COUNTIF(CONFIG_ASIGNATURAS!$B$7:$B$27,nASIG)&gt;0)*(nNOTA))/SUMPRODUCT((nNIA=A569)*(nCUENTA=1)*(COUNTIF(CONFIG_ASIGNATURAS!$B$7:$B$27,nASIG)&gt;0)*1),"")))</f>
        <v/>
      </c>
      <c r="H569" t="str">
        <f>IF(G569="","",IF(G569="[FÓRMULA MANUAL]","",IFERROR(AVERAGEIFS(nNOTA,nNIA,G569,nCUENTA,1,nASIG,"Lenguaje Musical"),"")))</f>
        <v/>
      </c>
      <c r="I569" t="str">
        <f>IF(G569="","",IF(G569="[FÓRMULA MANUAL]","",IFERROR(AVERAGEIFS(nNOTA,nNIA,G569,nCUENTA,1,nASIG,"Orquesta/Banda/Conjunto"),"")))</f>
        <v/>
      </c>
      <c r="J569" t="str">
        <f>IF(G569="","",IF(G569="[FÓRMULA MANUAL]","",IFERROR(AVERAGEIFS(nNOTA,nNIA,G569,nCUENTA,1,nASIG,"Conjunto"),"")))</f>
        <v/>
      </c>
      <c r="K569" t="str">
        <f>IF(G569="","",IF(G569="[FÓRMULA MANUAL]","",IFERROR(SUMPRODUCT((nNIA=G569)*(nCUENTA=1)*(COUNTIF(CONFIG_ASIGNATURAS!$B$7:$B$27,nASIG)&gt;0)*(nNOTA))/SUMPRODUCT((nNIA=G569)*(nCUENTA=1)*(COUNTIF(CONFIG_ASIGNATURAS!$B$7:$B$27,nASIG)&gt;0)*1),"")))</f>
        <v/>
      </c>
      <c r="N569" t="str">
        <f>IF(M569="","",IF(M569="[FÓRMULA MANUAL]","",IFERROR(AVERAGEIFS(nNOTA,nNIA,M569,nCUENTA,1,nASIG,"Armonía"),"")))</f>
        <v/>
      </c>
      <c r="O569" t="str">
        <f>IF(M569="","",IF(M569="[FÓRMULA MANUAL]","",IFERROR(AVERAGEIFS(nNOTA,nNIA,M569,nCUENTA,1,nASIG,"Orquesta/Banda/Conjunto"),"")))</f>
        <v/>
      </c>
      <c r="P569" t="str">
        <f>IF(M569="","",IF(M569="[FÓRMULA MANUAL]","",IFERROR(AVERAGEIFS(nNOTA,nNIA,M569,nCUENTA,1,nASIG,"Música de Cámara"),"")))</f>
        <v/>
      </c>
      <c r="Q569" t="str">
        <f>IF(M569="","",IF(M569="[FÓRMULA MANUAL]","",IFERROR(SUMPRODUCT((nNIA=M569)*(nCUENTA=1)*(COUNTIF(CONFIG_ASIGNATURAS!$B$7:$B$27,nASIG)&gt;0)*(nNOTA))/SUMPRODUCT((nNIA=M569)*(nCUENTA=1)*(COUNTIF(CONFIG_ASIGNATURAS!$B$7:$B$27,nASIG)&gt;0)*1),"")))</f>
        <v/>
      </c>
      <c r="T569" t="str">
        <f>IF(S569="","",IF(S569="[FÓRMULA MANUAL]","",IFERROR(AVERAGEIFS(nNOTA,nNIA,S569,nCUENTA,1,nASIG,"Armonía"),"")))</f>
        <v/>
      </c>
      <c r="U569" t="str">
        <f>IF(S569="","",IF(S569="[FÓRMULA MANUAL]","",IFERROR(AVERAGEIFS(nNOTA,nNIA,S569,nCUENTA,1,nASIG,"Orquesta/Banda/Conjunto"),"")))</f>
        <v/>
      </c>
      <c r="V569" t="str">
        <f>IF(S569="","",IF(S569="[FÓRMULA MANUAL]","",IFERROR(AVERAGEIFS(nNOTA,nNIA,S569,nCUENTA,1,nASIG,"Música de Cámara"),"")))</f>
        <v/>
      </c>
      <c r="W569" t="str">
        <f>IF(S569="","",IF(S569="[FÓRMULA MANUAL]","",IFERROR(SUMPRODUCT((nNIA=S569)*(nCUENTA=1)*(COUNTIF(CONFIG_ASIGNATURAS!$B$7:$B$27,nASIG)&gt;0)*(nNOTA))/SUMPRODUCT((nNIA=S569)*(nCUENTA=1)*(COUNTIF(CONFIG_ASIGNATURAS!$B$7:$B$27,nASIG)&gt;0)*1),"")))</f>
        <v/>
      </c>
      <c r="Z569" t="str">
        <f>IF(Y569="","",IF(Y569="[FÓRMULA MANUAL]","",IFERROR(AVERAGEIFS(nNOTA,nNIA,Y569,nCUENTA,1,nASIG,"Análisis"),"")))</f>
        <v/>
      </c>
      <c r="AA569" t="str">
        <f>IF(Y569="","",IF(Y569="[FÓRMULA MANUAL]","",IFERROR(AVERAGEIFS(nNOTA,nNIA,Y569,nCUENTA,1,nASIG,"Orquesta/Banda/Conjunto"),"")))</f>
        <v/>
      </c>
      <c r="AB569" t="str">
        <f>IF(Y569="","",IF(Y569="[FÓRMULA MANUAL]","",IFERROR(AVERAGEIFS(nNOTA,nNIA,Y569,nCUENTA,1,nASIG,"Música de Cámara"),"")))</f>
        <v/>
      </c>
      <c r="AC569" t="str">
        <f>IF(Y569="","",IF(Y569="[FÓRMULA MANUAL]","",IFERROR(SUMPRODUCT((nNIA=Y569)*(nCUENTA=1)*(COUNTIF(CONFIG_ASIGNATURAS!$B$7:$B$27,nASIG)&gt;0)*(nNOTA))/SUMPRODUCT((nNIA=Y569)*(nCUENTA=1)*(COUNTIF(CONFIG_ASIGNATURAS!$B$7:$B$27,nASIG)&gt;0)*1),"")))</f>
        <v/>
      </c>
      <c r="AF569" t="str">
        <f>IF(AE569="","",IF(AE569="[FÓRMULA MANUAL]","",IFERROR(AVERAGEIFS(nNOTA,nNIA,AE569,nCUENTA,1,nASIG,"Análisis"),"")))</f>
        <v/>
      </c>
      <c r="AG569" t="str">
        <f>IF(AE569="","",IF(AE569="[FÓRMULA MANUAL]","",IFERROR(AVERAGEIFS(nNOTA,nNIA,AE569,nCUENTA,1,nASIG,"Orquesta/Banda/Conjunto"),"")))</f>
        <v/>
      </c>
      <c r="AH569" t="str">
        <f>IF(AE569="","",IF(AE569="[FÓRMULA MANUAL]","",IFERROR(AVERAGEIFS(nNOTA,nNIA,AE569,nCUENTA,1,nASIG,"Música de Cámara"),"")))</f>
        <v/>
      </c>
      <c r="AI569" t="str">
        <f>IF(AE569="","",IF(AE569="[FÓRMULA MANUAL]","",IFERROR(SUMPRODUCT((nNIA=AE569)*(nCUENTA=1)*(COUNTIF(CONFIG_ASIGNATURAS!$B$7:$B$27,nASIG)&gt;0)*(nNOTA))/SUMPRODUCT((nNIA=AE569)*(nCUENTA=1)*(COUNTIF(CONFIG_ASIGNATURAS!$B$7:$B$27,nASIG)&gt;0)*1),"")))</f>
        <v/>
      </c>
    </row>
    <row r="570" spans="2:35" x14ac:dyDescent="0.2">
      <c r="B570" t="str">
        <f>IF(A570="","",IF(A570="[FÓRMULA MANUAL]","",IFERROR(AVERAGEIFS(nNOTA,nNIA,A570,nCUENTA,1,nASIG,"Lenguaje Musical"),"")))</f>
        <v/>
      </c>
      <c r="C570" t="str">
        <f>IF(A570="","",IF(A570="[FÓRMULA MANUAL]","",IFERROR(AVERAGEIFS(nNOTA,nNIA,A570,nCUENTA,1,nASIG,"Orquesta/Banda/Conjunto"),"")))</f>
        <v/>
      </c>
      <c r="D570" t="str">
        <f>IF(A570="","",IF(A570="[FÓRMULA MANUAL]","",IFERROR(AVERAGEIFS(nNOTA,nNIA,A570,nCUENTA,1,nASIG,"Conjunto"),"")))</f>
        <v/>
      </c>
      <c r="E570" t="str">
        <f>IF(A570="","",IF(A570="[FÓRMULA MANUAL]","",IFERROR(SUMPRODUCT((nNIA=A570)*(nCUENTA=1)*(COUNTIF(CONFIG_ASIGNATURAS!$B$7:$B$27,nASIG)&gt;0)*(nNOTA))/SUMPRODUCT((nNIA=A570)*(nCUENTA=1)*(COUNTIF(CONFIG_ASIGNATURAS!$B$7:$B$27,nASIG)&gt;0)*1),"")))</f>
        <v/>
      </c>
      <c r="H570" t="str">
        <f>IF(G570="","",IF(G570="[FÓRMULA MANUAL]","",IFERROR(AVERAGEIFS(nNOTA,nNIA,G570,nCUENTA,1,nASIG,"Lenguaje Musical"),"")))</f>
        <v/>
      </c>
      <c r="I570" t="str">
        <f>IF(G570="","",IF(G570="[FÓRMULA MANUAL]","",IFERROR(AVERAGEIFS(nNOTA,nNIA,G570,nCUENTA,1,nASIG,"Orquesta/Banda/Conjunto"),"")))</f>
        <v/>
      </c>
      <c r="J570" t="str">
        <f>IF(G570="","",IF(G570="[FÓRMULA MANUAL]","",IFERROR(AVERAGEIFS(nNOTA,nNIA,G570,nCUENTA,1,nASIG,"Conjunto"),"")))</f>
        <v/>
      </c>
      <c r="K570" t="str">
        <f>IF(G570="","",IF(G570="[FÓRMULA MANUAL]","",IFERROR(SUMPRODUCT((nNIA=G570)*(nCUENTA=1)*(COUNTIF(CONFIG_ASIGNATURAS!$B$7:$B$27,nASIG)&gt;0)*(nNOTA))/SUMPRODUCT((nNIA=G570)*(nCUENTA=1)*(COUNTIF(CONFIG_ASIGNATURAS!$B$7:$B$27,nASIG)&gt;0)*1),"")))</f>
        <v/>
      </c>
      <c r="N570" t="str">
        <f>IF(M570="","",IF(M570="[FÓRMULA MANUAL]","",IFERROR(AVERAGEIFS(nNOTA,nNIA,M570,nCUENTA,1,nASIG,"Armonía"),"")))</f>
        <v/>
      </c>
      <c r="O570" t="str">
        <f>IF(M570="","",IF(M570="[FÓRMULA MANUAL]","",IFERROR(AVERAGEIFS(nNOTA,nNIA,M570,nCUENTA,1,nASIG,"Orquesta/Banda/Conjunto"),"")))</f>
        <v/>
      </c>
      <c r="P570" t="str">
        <f>IF(M570="","",IF(M570="[FÓRMULA MANUAL]","",IFERROR(AVERAGEIFS(nNOTA,nNIA,M570,nCUENTA,1,nASIG,"Música de Cámara"),"")))</f>
        <v/>
      </c>
      <c r="Q570" t="str">
        <f>IF(M570="","",IF(M570="[FÓRMULA MANUAL]","",IFERROR(SUMPRODUCT((nNIA=M570)*(nCUENTA=1)*(COUNTIF(CONFIG_ASIGNATURAS!$B$7:$B$27,nASIG)&gt;0)*(nNOTA))/SUMPRODUCT((nNIA=M570)*(nCUENTA=1)*(COUNTIF(CONFIG_ASIGNATURAS!$B$7:$B$27,nASIG)&gt;0)*1),"")))</f>
        <v/>
      </c>
      <c r="T570" t="str">
        <f>IF(S570="","",IF(S570="[FÓRMULA MANUAL]","",IFERROR(AVERAGEIFS(nNOTA,nNIA,S570,nCUENTA,1,nASIG,"Armonía"),"")))</f>
        <v/>
      </c>
      <c r="U570" t="str">
        <f>IF(S570="","",IF(S570="[FÓRMULA MANUAL]","",IFERROR(AVERAGEIFS(nNOTA,nNIA,S570,nCUENTA,1,nASIG,"Orquesta/Banda/Conjunto"),"")))</f>
        <v/>
      </c>
      <c r="V570" t="str">
        <f>IF(S570="","",IF(S570="[FÓRMULA MANUAL]","",IFERROR(AVERAGEIFS(nNOTA,nNIA,S570,nCUENTA,1,nASIG,"Música de Cámara"),"")))</f>
        <v/>
      </c>
      <c r="W570" t="str">
        <f>IF(S570="","",IF(S570="[FÓRMULA MANUAL]","",IFERROR(SUMPRODUCT((nNIA=S570)*(nCUENTA=1)*(COUNTIF(CONFIG_ASIGNATURAS!$B$7:$B$27,nASIG)&gt;0)*(nNOTA))/SUMPRODUCT((nNIA=S570)*(nCUENTA=1)*(COUNTIF(CONFIG_ASIGNATURAS!$B$7:$B$27,nASIG)&gt;0)*1),"")))</f>
        <v/>
      </c>
      <c r="Z570" t="str">
        <f>IF(Y570="","",IF(Y570="[FÓRMULA MANUAL]","",IFERROR(AVERAGEIFS(nNOTA,nNIA,Y570,nCUENTA,1,nASIG,"Análisis"),"")))</f>
        <v/>
      </c>
      <c r="AA570" t="str">
        <f>IF(Y570="","",IF(Y570="[FÓRMULA MANUAL]","",IFERROR(AVERAGEIFS(nNOTA,nNIA,Y570,nCUENTA,1,nASIG,"Orquesta/Banda/Conjunto"),"")))</f>
        <v/>
      </c>
      <c r="AB570" t="str">
        <f>IF(Y570="","",IF(Y570="[FÓRMULA MANUAL]","",IFERROR(AVERAGEIFS(nNOTA,nNIA,Y570,nCUENTA,1,nASIG,"Música de Cámara"),"")))</f>
        <v/>
      </c>
      <c r="AC570" t="str">
        <f>IF(Y570="","",IF(Y570="[FÓRMULA MANUAL]","",IFERROR(SUMPRODUCT((nNIA=Y570)*(nCUENTA=1)*(COUNTIF(CONFIG_ASIGNATURAS!$B$7:$B$27,nASIG)&gt;0)*(nNOTA))/SUMPRODUCT((nNIA=Y570)*(nCUENTA=1)*(COUNTIF(CONFIG_ASIGNATURAS!$B$7:$B$27,nASIG)&gt;0)*1),"")))</f>
        <v/>
      </c>
      <c r="AF570" t="str">
        <f>IF(AE570="","",IF(AE570="[FÓRMULA MANUAL]","",IFERROR(AVERAGEIFS(nNOTA,nNIA,AE570,nCUENTA,1,nASIG,"Análisis"),"")))</f>
        <v/>
      </c>
      <c r="AG570" t="str">
        <f>IF(AE570="","",IF(AE570="[FÓRMULA MANUAL]","",IFERROR(AVERAGEIFS(nNOTA,nNIA,AE570,nCUENTA,1,nASIG,"Orquesta/Banda/Conjunto"),"")))</f>
        <v/>
      </c>
      <c r="AH570" t="str">
        <f>IF(AE570="","",IF(AE570="[FÓRMULA MANUAL]","",IFERROR(AVERAGEIFS(nNOTA,nNIA,AE570,nCUENTA,1,nASIG,"Música de Cámara"),"")))</f>
        <v/>
      </c>
      <c r="AI570" t="str">
        <f>IF(AE570="","",IF(AE570="[FÓRMULA MANUAL]","",IFERROR(SUMPRODUCT((nNIA=AE570)*(nCUENTA=1)*(COUNTIF(CONFIG_ASIGNATURAS!$B$7:$B$27,nASIG)&gt;0)*(nNOTA))/SUMPRODUCT((nNIA=AE570)*(nCUENTA=1)*(COUNTIF(CONFIG_ASIGNATURAS!$B$7:$B$27,nASIG)&gt;0)*1),"")))</f>
        <v/>
      </c>
    </row>
    <row r="571" spans="2:35" x14ac:dyDescent="0.2">
      <c r="B571" t="str">
        <f>IF(A571="","",IF(A571="[FÓRMULA MANUAL]","",IFERROR(AVERAGEIFS(nNOTA,nNIA,A571,nCUENTA,1,nASIG,"Lenguaje Musical"),"")))</f>
        <v/>
      </c>
      <c r="C571" t="str">
        <f>IF(A571="","",IF(A571="[FÓRMULA MANUAL]","",IFERROR(AVERAGEIFS(nNOTA,nNIA,A571,nCUENTA,1,nASIG,"Orquesta/Banda/Conjunto"),"")))</f>
        <v/>
      </c>
      <c r="D571" t="str">
        <f>IF(A571="","",IF(A571="[FÓRMULA MANUAL]","",IFERROR(AVERAGEIFS(nNOTA,nNIA,A571,nCUENTA,1,nASIG,"Conjunto"),"")))</f>
        <v/>
      </c>
      <c r="E571" t="str">
        <f>IF(A571="","",IF(A571="[FÓRMULA MANUAL]","",IFERROR(SUMPRODUCT((nNIA=A571)*(nCUENTA=1)*(COUNTIF(CONFIG_ASIGNATURAS!$B$7:$B$27,nASIG)&gt;0)*(nNOTA))/SUMPRODUCT((nNIA=A571)*(nCUENTA=1)*(COUNTIF(CONFIG_ASIGNATURAS!$B$7:$B$27,nASIG)&gt;0)*1),"")))</f>
        <v/>
      </c>
      <c r="H571" t="str">
        <f>IF(G571="","",IF(G571="[FÓRMULA MANUAL]","",IFERROR(AVERAGEIFS(nNOTA,nNIA,G571,nCUENTA,1,nASIG,"Lenguaje Musical"),"")))</f>
        <v/>
      </c>
      <c r="I571" t="str">
        <f>IF(G571="","",IF(G571="[FÓRMULA MANUAL]","",IFERROR(AVERAGEIFS(nNOTA,nNIA,G571,nCUENTA,1,nASIG,"Orquesta/Banda/Conjunto"),"")))</f>
        <v/>
      </c>
      <c r="J571" t="str">
        <f>IF(G571="","",IF(G571="[FÓRMULA MANUAL]","",IFERROR(AVERAGEIFS(nNOTA,nNIA,G571,nCUENTA,1,nASIG,"Conjunto"),"")))</f>
        <v/>
      </c>
      <c r="K571" t="str">
        <f>IF(G571="","",IF(G571="[FÓRMULA MANUAL]","",IFERROR(SUMPRODUCT((nNIA=G571)*(nCUENTA=1)*(COUNTIF(CONFIG_ASIGNATURAS!$B$7:$B$27,nASIG)&gt;0)*(nNOTA))/SUMPRODUCT((nNIA=G571)*(nCUENTA=1)*(COUNTIF(CONFIG_ASIGNATURAS!$B$7:$B$27,nASIG)&gt;0)*1),"")))</f>
        <v/>
      </c>
      <c r="N571" t="str">
        <f>IF(M571="","",IF(M571="[FÓRMULA MANUAL]","",IFERROR(AVERAGEIFS(nNOTA,nNIA,M571,nCUENTA,1,nASIG,"Armonía"),"")))</f>
        <v/>
      </c>
      <c r="O571" t="str">
        <f>IF(M571="","",IF(M571="[FÓRMULA MANUAL]","",IFERROR(AVERAGEIFS(nNOTA,nNIA,M571,nCUENTA,1,nASIG,"Orquesta/Banda/Conjunto"),"")))</f>
        <v/>
      </c>
      <c r="P571" t="str">
        <f>IF(M571="","",IF(M571="[FÓRMULA MANUAL]","",IFERROR(AVERAGEIFS(nNOTA,nNIA,M571,nCUENTA,1,nASIG,"Música de Cámara"),"")))</f>
        <v/>
      </c>
      <c r="Q571" t="str">
        <f>IF(M571="","",IF(M571="[FÓRMULA MANUAL]","",IFERROR(SUMPRODUCT((nNIA=M571)*(nCUENTA=1)*(COUNTIF(CONFIG_ASIGNATURAS!$B$7:$B$27,nASIG)&gt;0)*(nNOTA))/SUMPRODUCT((nNIA=M571)*(nCUENTA=1)*(COUNTIF(CONFIG_ASIGNATURAS!$B$7:$B$27,nASIG)&gt;0)*1),"")))</f>
        <v/>
      </c>
      <c r="T571" t="str">
        <f>IF(S571="","",IF(S571="[FÓRMULA MANUAL]","",IFERROR(AVERAGEIFS(nNOTA,nNIA,S571,nCUENTA,1,nASIG,"Armonía"),"")))</f>
        <v/>
      </c>
      <c r="U571" t="str">
        <f>IF(S571="","",IF(S571="[FÓRMULA MANUAL]","",IFERROR(AVERAGEIFS(nNOTA,nNIA,S571,nCUENTA,1,nASIG,"Orquesta/Banda/Conjunto"),"")))</f>
        <v/>
      </c>
      <c r="V571" t="str">
        <f>IF(S571="","",IF(S571="[FÓRMULA MANUAL]","",IFERROR(AVERAGEIFS(nNOTA,nNIA,S571,nCUENTA,1,nASIG,"Música de Cámara"),"")))</f>
        <v/>
      </c>
      <c r="W571" t="str">
        <f>IF(S571="","",IF(S571="[FÓRMULA MANUAL]","",IFERROR(SUMPRODUCT((nNIA=S571)*(nCUENTA=1)*(COUNTIF(CONFIG_ASIGNATURAS!$B$7:$B$27,nASIG)&gt;0)*(nNOTA))/SUMPRODUCT((nNIA=S571)*(nCUENTA=1)*(COUNTIF(CONFIG_ASIGNATURAS!$B$7:$B$27,nASIG)&gt;0)*1),"")))</f>
        <v/>
      </c>
      <c r="Z571" t="str">
        <f>IF(Y571="","",IF(Y571="[FÓRMULA MANUAL]","",IFERROR(AVERAGEIFS(nNOTA,nNIA,Y571,nCUENTA,1,nASIG,"Análisis"),"")))</f>
        <v/>
      </c>
      <c r="AA571" t="str">
        <f>IF(Y571="","",IF(Y571="[FÓRMULA MANUAL]","",IFERROR(AVERAGEIFS(nNOTA,nNIA,Y571,nCUENTA,1,nASIG,"Orquesta/Banda/Conjunto"),"")))</f>
        <v/>
      </c>
      <c r="AB571" t="str">
        <f>IF(Y571="","",IF(Y571="[FÓRMULA MANUAL]","",IFERROR(AVERAGEIFS(nNOTA,nNIA,Y571,nCUENTA,1,nASIG,"Música de Cámara"),"")))</f>
        <v/>
      </c>
      <c r="AC571" t="str">
        <f>IF(Y571="","",IF(Y571="[FÓRMULA MANUAL]","",IFERROR(SUMPRODUCT((nNIA=Y571)*(nCUENTA=1)*(COUNTIF(CONFIG_ASIGNATURAS!$B$7:$B$27,nASIG)&gt;0)*(nNOTA))/SUMPRODUCT((nNIA=Y571)*(nCUENTA=1)*(COUNTIF(CONFIG_ASIGNATURAS!$B$7:$B$27,nASIG)&gt;0)*1),"")))</f>
        <v/>
      </c>
      <c r="AF571" t="str">
        <f>IF(AE571="","",IF(AE571="[FÓRMULA MANUAL]","",IFERROR(AVERAGEIFS(nNOTA,nNIA,AE571,nCUENTA,1,nASIG,"Análisis"),"")))</f>
        <v/>
      </c>
      <c r="AG571" t="str">
        <f>IF(AE571="","",IF(AE571="[FÓRMULA MANUAL]","",IFERROR(AVERAGEIFS(nNOTA,nNIA,AE571,nCUENTA,1,nASIG,"Orquesta/Banda/Conjunto"),"")))</f>
        <v/>
      </c>
      <c r="AH571" t="str">
        <f>IF(AE571="","",IF(AE571="[FÓRMULA MANUAL]","",IFERROR(AVERAGEIFS(nNOTA,nNIA,AE571,nCUENTA,1,nASIG,"Música de Cámara"),"")))</f>
        <v/>
      </c>
      <c r="AI571" t="str">
        <f>IF(AE571="","",IF(AE571="[FÓRMULA MANUAL]","",IFERROR(SUMPRODUCT((nNIA=AE571)*(nCUENTA=1)*(COUNTIF(CONFIG_ASIGNATURAS!$B$7:$B$27,nASIG)&gt;0)*(nNOTA))/SUMPRODUCT((nNIA=AE571)*(nCUENTA=1)*(COUNTIF(CONFIG_ASIGNATURAS!$B$7:$B$27,nASIG)&gt;0)*1),"")))</f>
        <v/>
      </c>
    </row>
    <row r="572" spans="2:35" x14ac:dyDescent="0.2">
      <c r="B572" t="str">
        <f>IF(A572="","",IF(A572="[FÓRMULA MANUAL]","",IFERROR(AVERAGEIFS(nNOTA,nNIA,A572,nCUENTA,1,nASIG,"Lenguaje Musical"),"")))</f>
        <v/>
      </c>
      <c r="C572" t="str">
        <f>IF(A572="","",IF(A572="[FÓRMULA MANUAL]","",IFERROR(AVERAGEIFS(nNOTA,nNIA,A572,nCUENTA,1,nASIG,"Orquesta/Banda/Conjunto"),"")))</f>
        <v/>
      </c>
      <c r="D572" t="str">
        <f>IF(A572="","",IF(A572="[FÓRMULA MANUAL]","",IFERROR(AVERAGEIFS(nNOTA,nNIA,A572,nCUENTA,1,nASIG,"Conjunto"),"")))</f>
        <v/>
      </c>
      <c r="E572" t="str">
        <f>IF(A572="","",IF(A572="[FÓRMULA MANUAL]","",IFERROR(SUMPRODUCT((nNIA=A572)*(nCUENTA=1)*(COUNTIF(CONFIG_ASIGNATURAS!$B$7:$B$27,nASIG)&gt;0)*(nNOTA))/SUMPRODUCT((nNIA=A572)*(nCUENTA=1)*(COUNTIF(CONFIG_ASIGNATURAS!$B$7:$B$27,nASIG)&gt;0)*1),"")))</f>
        <v/>
      </c>
      <c r="H572" t="str">
        <f>IF(G572="","",IF(G572="[FÓRMULA MANUAL]","",IFERROR(AVERAGEIFS(nNOTA,nNIA,G572,nCUENTA,1,nASIG,"Lenguaje Musical"),"")))</f>
        <v/>
      </c>
      <c r="I572" t="str">
        <f>IF(G572="","",IF(G572="[FÓRMULA MANUAL]","",IFERROR(AVERAGEIFS(nNOTA,nNIA,G572,nCUENTA,1,nASIG,"Orquesta/Banda/Conjunto"),"")))</f>
        <v/>
      </c>
      <c r="J572" t="str">
        <f>IF(G572="","",IF(G572="[FÓRMULA MANUAL]","",IFERROR(AVERAGEIFS(nNOTA,nNIA,G572,nCUENTA,1,nASIG,"Conjunto"),"")))</f>
        <v/>
      </c>
      <c r="K572" t="str">
        <f>IF(G572="","",IF(G572="[FÓRMULA MANUAL]","",IFERROR(SUMPRODUCT((nNIA=G572)*(nCUENTA=1)*(COUNTIF(CONFIG_ASIGNATURAS!$B$7:$B$27,nASIG)&gt;0)*(nNOTA))/SUMPRODUCT((nNIA=G572)*(nCUENTA=1)*(COUNTIF(CONFIG_ASIGNATURAS!$B$7:$B$27,nASIG)&gt;0)*1),"")))</f>
        <v/>
      </c>
      <c r="N572" t="str">
        <f>IF(M572="","",IF(M572="[FÓRMULA MANUAL]","",IFERROR(AVERAGEIFS(nNOTA,nNIA,M572,nCUENTA,1,nASIG,"Armonía"),"")))</f>
        <v/>
      </c>
      <c r="O572" t="str">
        <f>IF(M572="","",IF(M572="[FÓRMULA MANUAL]","",IFERROR(AVERAGEIFS(nNOTA,nNIA,M572,nCUENTA,1,nASIG,"Orquesta/Banda/Conjunto"),"")))</f>
        <v/>
      </c>
      <c r="P572" t="str">
        <f>IF(M572="","",IF(M572="[FÓRMULA MANUAL]","",IFERROR(AVERAGEIFS(nNOTA,nNIA,M572,nCUENTA,1,nASIG,"Música de Cámara"),"")))</f>
        <v/>
      </c>
      <c r="Q572" t="str">
        <f>IF(M572="","",IF(M572="[FÓRMULA MANUAL]","",IFERROR(SUMPRODUCT((nNIA=M572)*(nCUENTA=1)*(COUNTIF(CONFIG_ASIGNATURAS!$B$7:$B$27,nASIG)&gt;0)*(nNOTA))/SUMPRODUCT((nNIA=M572)*(nCUENTA=1)*(COUNTIF(CONFIG_ASIGNATURAS!$B$7:$B$27,nASIG)&gt;0)*1),"")))</f>
        <v/>
      </c>
      <c r="T572" t="str">
        <f>IF(S572="","",IF(S572="[FÓRMULA MANUAL]","",IFERROR(AVERAGEIFS(nNOTA,nNIA,S572,nCUENTA,1,nASIG,"Armonía"),"")))</f>
        <v/>
      </c>
      <c r="U572" t="str">
        <f>IF(S572="","",IF(S572="[FÓRMULA MANUAL]","",IFERROR(AVERAGEIFS(nNOTA,nNIA,S572,nCUENTA,1,nASIG,"Orquesta/Banda/Conjunto"),"")))</f>
        <v/>
      </c>
      <c r="V572" t="str">
        <f>IF(S572="","",IF(S572="[FÓRMULA MANUAL]","",IFERROR(AVERAGEIFS(nNOTA,nNIA,S572,nCUENTA,1,nASIG,"Música de Cámara"),"")))</f>
        <v/>
      </c>
      <c r="W572" t="str">
        <f>IF(S572="","",IF(S572="[FÓRMULA MANUAL]","",IFERROR(SUMPRODUCT((nNIA=S572)*(nCUENTA=1)*(COUNTIF(CONFIG_ASIGNATURAS!$B$7:$B$27,nASIG)&gt;0)*(nNOTA))/SUMPRODUCT((nNIA=S572)*(nCUENTA=1)*(COUNTIF(CONFIG_ASIGNATURAS!$B$7:$B$27,nASIG)&gt;0)*1),"")))</f>
        <v/>
      </c>
      <c r="Z572" t="str">
        <f>IF(Y572="","",IF(Y572="[FÓRMULA MANUAL]","",IFERROR(AVERAGEIFS(nNOTA,nNIA,Y572,nCUENTA,1,nASIG,"Análisis"),"")))</f>
        <v/>
      </c>
      <c r="AA572" t="str">
        <f>IF(Y572="","",IF(Y572="[FÓRMULA MANUAL]","",IFERROR(AVERAGEIFS(nNOTA,nNIA,Y572,nCUENTA,1,nASIG,"Orquesta/Banda/Conjunto"),"")))</f>
        <v/>
      </c>
      <c r="AB572" t="str">
        <f>IF(Y572="","",IF(Y572="[FÓRMULA MANUAL]","",IFERROR(AVERAGEIFS(nNOTA,nNIA,Y572,nCUENTA,1,nASIG,"Música de Cámara"),"")))</f>
        <v/>
      </c>
      <c r="AC572" t="str">
        <f>IF(Y572="","",IF(Y572="[FÓRMULA MANUAL]","",IFERROR(SUMPRODUCT((nNIA=Y572)*(nCUENTA=1)*(COUNTIF(CONFIG_ASIGNATURAS!$B$7:$B$27,nASIG)&gt;0)*(nNOTA))/SUMPRODUCT((nNIA=Y572)*(nCUENTA=1)*(COUNTIF(CONFIG_ASIGNATURAS!$B$7:$B$27,nASIG)&gt;0)*1),"")))</f>
        <v/>
      </c>
      <c r="AF572" t="str">
        <f>IF(AE572="","",IF(AE572="[FÓRMULA MANUAL]","",IFERROR(AVERAGEIFS(nNOTA,nNIA,AE572,nCUENTA,1,nASIG,"Análisis"),"")))</f>
        <v/>
      </c>
      <c r="AG572" t="str">
        <f>IF(AE572="","",IF(AE572="[FÓRMULA MANUAL]","",IFERROR(AVERAGEIFS(nNOTA,nNIA,AE572,nCUENTA,1,nASIG,"Orquesta/Banda/Conjunto"),"")))</f>
        <v/>
      </c>
      <c r="AH572" t="str">
        <f>IF(AE572="","",IF(AE572="[FÓRMULA MANUAL]","",IFERROR(AVERAGEIFS(nNOTA,nNIA,AE572,nCUENTA,1,nASIG,"Música de Cámara"),"")))</f>
        <v/>
      </c>
      <c r="AI572" t="str">
        <f>IF(AE572="","",IF(AE572="[FÓRMULA MANUAL]","",IFERROR(SUMPRODUCT((nNIA=AE572)*(nCUENTA=1)*(COUNTIF(CONFIG_ASIGNATURAS!$B$7:$B$27,nASIG)&gt;0)*(nNOTA))/SUMPRODUCT((nNIA=AE572)*(nCUENTA=1)*(COUNTIF(CONFIG_ASIGNATURAS!$B$7:$B$27,nASIG)&gt;0)*1),"")))</f>
        <v/>
      </c>
    </row>
    <row r="573" spans="2:35" x14ac:dyDescent="0.2">
      <c r="B573" t="str">
        <f>IF(A573="","",IF(A573="[FÓRMULA MANUAL]","",IFERROR(AVERAGEIFS(nNOTA,nNIA,A573,nCUENTA,1,nASIG,"Lenguaje Musical"),"")))</f>
        <v/>
      </c>
      <c r="C573" t="str">
        <f>IF(A573="","",IF(A573="[FÓRMULA MANUAL]","",IFERROR(AVERAGEIFS(nNOTA,nNIA,A573,nCUENTA,1,nASIG,"Orquesta/Banda/Conjunto"),"")))</f>
        <v/>
      </c>
      <c r="D573" t="str">
        <f>IF(A573="","",IF(A573="[FÓRMULA MANUAL]","",IFERROR(AVERAGEIFS(nNOTA,nNIA,A573,nCUENTA,1,nASIG,"Conjunto"),"")))</f>
        <v/>
      </c>
      <c r="E573" t="str">
        <f>IF(A573="","",IF(A573="[FÓRMULA MANUAL]","",IFERROR(SUMPRODUCT((nNIA=A573)*(nCUENTA=1)*(COUNTIF(CONFIG_ASIGNATURAS!$B$7:$B$27,nASIG)&gt;0)*(nNOTA))/SUMPRODUCT((nNIA=A573)*(nCUENTA=1)*(COUNTIF(CONFIG_ASIGNATURAS!$B$7:$B$27,nASIG)&gt;0)*1),"")))</f>
        <v/>
      </c>
      <c r="H573" t="str">
        <f>IF(G573="","",IF(G573="[FÓRMULA MANUAL]","",IFERROR(AVERAGEIFS(nNOTA,nNIA,G573,nCUENTA,1,nASIG,"Lenguaje Musical"),"")))</f>
        <v/>
      </c>
      <c r="I573" t="str">
        <f>IF(G573="","",IF(G573="[FÓRMULA MANUAL]","",IFERROR(AVERAGEIFS(nNOTA,nNIA,G573,nCUENTA,1,nASIG,"Orquesta/Banda/Conjunto"),"")))</f>
        <v/>
      </c>
      <c r="J573" t="str">
        <f>IF(G573="","",IF(G573="[FÓRMULA MANUAL]","",IFERROR(AVERAGEIFS(nNOTA,nNIA,G573,nCUENTA,1,nASIG,"Conjunto"),"")))</f>
        <v/>
      </c>
      <c r="K573" t="str">
        <f>IF(G573="","",IF(G573="[FÓRMULA MANUAL]","",IFERROR(SUMPRODUCT((nNIA=G573)*(nCUENTA=1)*(COUNTIF(CONFIG_ASIGNATURAS!$B$7:$B$27,nASIG)&gt;0)*(nNOTA))/SUMPRODUCT((nNIA=G573)*(nCUENTA=1)*(COUNTIF(CONFIG_ASIGNATURAS!$B$7:$B$27,nASIG)&gt;0)*1),"")))</f>
        <v/>
      </c>
      <c r="N573" t="str">
        <f>IF(M573="","",IF(M573="[FÓRMULA MANUAL]","",IFERROR(AVERAGEIFS(nNOTA,nNIA,M573,nCUENTA,1,nASIG,"Armonía"),"")))</f>
        <v/>
      </c>
      <c r="O573" t="str">
        <f>IF(M573="","",IF(M573="[FÓRMULA MANUAL]","",IFERROR(AVERAGEIFS(nNOTA,nNIA,M573,nCUENTA,1,nASIG,"Orquesta/Banda/Conjunto"),"")))</f>
        <v/>
      </c>
      <c r="P573" t="str">
        <f>IF(M573="","",IF(M573="[FÓRMULA MANUAL]","",IFERROR(AVERAGEIFS(nNOTA,nNIA,M573,nCUENTA,1,nASIG,"Música de Cámara"),"")))</f>
        <v/>
      </c>
      <c r="Q573" t="str">
        <f>IF(M573="","",IF(M573="[FÓRMULA MANUAL]","",IFERROR(SUMPRODUCT((nNIA=M573)*(nCUENTA=1)*(COUNTIF(CONFIG_ASIGNATURAS!$B$7:$B$27,nASIG)&gt;0)*(nNOTA))/SUMPRODUCT((nNIA=M573)*(nCUENTA=1)*(COUNTIF(CONFIG_ASIGNATURAS!$B$7:$B$27,nASIG)&gt;0)*1),"")))</f>
        <v/>
      </c>
      <c r="T573" t="str">
        <f>IF(S573="","",IF(S573="[FÓRMULA MANUAL]","",IFERROR(AVERAGEIFS(nNOTA,nNIA,S573,nCUENTA,1,nASIG,"Armonía"),"")))</f>
        <v/>
      </c>
      <c r="U573" t="str">
        <f>IF(S573="","",IF(S573="[FÓRMULA MANUAL]","",IFERROR(AVERAGEIFS(nNOTA,nNIA,S573,nCUENTA,1,nASIG,"Orquesta/Banda/Conjunto"),"")))</f>
        <v/>
      </c>
      <c r="V573" t="str">
        <f>IF(S573="","",IF(S573="[FÓRMULA MANUAL]","",IFERROR(AVERAGEIFS(nNOTA,nNIA,S573,nCUENTA,1,nASIG,"Música de Cámara"),"")))</f>
        <v/>
      </c>
      <c r="W573" t="str">
        <f>IF(S573="","",IF(S573="[FÓRMULA MANUAL]","",IFERROR(SUMPRODUCT((nNIA=S573)*(nCUENTA=1)*(COUNTIF(CONFIG_ASIGNATURAS!$B$7:$B$27,nASIG)&gt;0)*(nNOTA))/SUMPRODUCT((nNIA=S573)*(nCUENTA=1)*(COUNTIF(CONFIG_ASIGNATURAS!$B$7:$B$27,nASIG)&gt;0)*1),"")))</f>
        <v/>
      </c>
      <c r="Z573" t="str">
        <f>IF(Y573="","",IF(Y573="[FÓRMULA MANUAL]","",IFERROR(AVERAGEIFS(nNOTA,nNIA,Y573,nCUENTA,1,nASIG,"Análisis"),"")))</f>
        <v/>
      </c>
      <c r="AA573" t="str">
        <f>IF(Y573="","",IF(Y573="[FÓRMULA MANUAL]","",IFERROR(AVERAGEIFS(nNOTA,nNIA,Y573,nCUENTA,1,nASIG,"Orquesta/Banda/Conjunto"),"")))</f>
        <v/>
      </c>
      <c r="AB573" t="str">
        <f>IF(Y573="","",IF(Y573="[FÓRMULA MANUAL]","",IFERROR(AVERAGEIFS(nNOTA,nNIA,Y573,nCUENTA,1,nASIG,"Música de Cámara"),"")))</f>
        <v/>
      </c>
      <c r="AC573" t="str">
        <f>IF(Y573="","",IF(Y573="[FÓRMULA MANUAL]","",IFERROR(SUMPRODUCT((nNIA=Y573)*(nCUENTA=1)*(COUNTIF(CONFIG_ASIGNATURAS!$B$7:$B$27,nASIG)&gt;0)*(nNOTA))/SUMPRODUCT((nNIA=Y573)*(nCUENTA=1)*(COUNTIF(CONFIG_ASIGNATURAS!$B$7:$B$27,nASIG)&gt;0)*1),"")))</f>
        <v/>
      </c>
      <c r="AF573" t="str">
        <f>IF(AE573="","",IF(AE573="[FÓRMULA MANUAL]","",IFERROR(AVERAGEIFS(nNOTA,nNIA,AE573,nCUENTA,1,nASIG,"Análisis"),"")))</f>
        <v/>
      </c>
      <c r="AG573" t="str">
        <f>IF(AE573="","",IF(AE573="[FÓRMULA MANUAL]","",IFERROR(AVERAGEIFS(nNOTA,nNIA,AE573,nCUENTA,1,nASIG,"Orquesta/Banda/Conjunto"),"")))</f>
        <v/>
      </c>
      <c r="AH573" t="str">
        <f>IF(AE573="","",IF(AE573="[FÓRMULA MANUAL]","",IFERROR(AVERAGEIFS(nNOTA,nNIA,AE573,nCUENTA,1,nASIG,"Música de Cámara"),"")))</f>
        <v/>
      </c>
      <c r="AI573" t="str">
        <f>IF(AE573="","",IF(AE573="[FÓRMULA MANUAL]","",IFERROR(SUMPRODUCT((nNIA=AE573)*(nCUENTA=1)*(COUNTIF(CONFIG_ASIGNATURAS!$B$7:$B$27,nASIG)&gt;0)*(nNOTA))/SUMPRODUCT((nNIA=AE573)*(nCUENTA=1)*(COUNTIF(CONFIG_ASIGNATURAS!$B$7:$B$27,nASIG)&gt;0)*1),"")))</f>
        <v/>
      </c>
    </row>
    <row r="574" spans="2:35" x14ac:dyDescent="0.2">
      <c r="B574" t="str">
        <f>IF(A574="","",IF(A574="[FÓRMULA MANUAL]","",IFERROR(AVERAGEIFS(nNOTA,nNIA,A574,nCUENTA,1,nASIG,"Lenguaje Musical"),"")))</f>
        <v/>
      </c>
      <c r="C574" t="str">
        <f>IF(A574="","",IF(A574="[FÓRMULA MANUAL]","",IFERROR(AVERAGEIFS(nNOTA,nNIA,A574,nCUENTA,1,nASIG,"Orquesta/Banda/Conjunto"),"")))</f>
        <v/>
      </c>
      <c r="D574" t="str">
        <f>IF(A574="","",IF(A574="[FÓRMULA MANUAL]","",IFERROR(AVERAGEIFS(nNOTA,nNIA,A574,nCUENTA,1,nASIG,"Conjunto"),"")))</f>
        <v/>
      </c>
      <c r="E574" t="str">
        <f>IF(A574="","",IF(A574="[FÓRMULA MANUAL]","",IFERROR(SUMPRODUCT((nNIA=A574)*(nCUENTA=1)*(COUNTIF(CONFIG_ASIGNATURAS!$B$7:$B$27,nASIG)&gt;0)*(nNOTA))/SUMPRODUCT((nNIA=A574)*(nCUENTA=1)*(COUNTIF(CONFIG_ASIGNATURAS!$B$7:$B$27,nASIG)&gt;0)*1),"")))</f>
        <v/>
      </c>
      <c r="H574" t="str">
        <f>IF(G574="","",IF(G574="[FÓRMULA MANUAL]","",IFERROR(AVERAGEIFS(nNOTA,nNIA,G574,nCUENTA,1,nASIG,"Lenguaje Musical"),"")))</f>
        <v/>
      </c>
      <c r="I574" t="str">
        <f>IF(G574="","",IF(G574="[FÓRMULA MANUAL]","",IFERROR(AVERAGEIFS(nNOTA,nNIA,G574,nCUENTA,1,nASIG,"Orquesta/Banda/Conjunto"),"")))</f>
        <v/>
      </c>
      <c r="J574" t="str">
        <f>IF(G574="","",IF(G574="[FÓRMULA MANUAL]","",IFERROR(AVERAGEIFS(nNOTA,nNIA,G574,nCUENTA,1,nASIG,"Conjunto"),"")))</f>
        <v/>
      </c>
      <c r="K574" t="str">
        <f>IF(G574="","",IF(G574="[FÓRMULA MANUAL]","",IFERROR(SUMPRODUCT((nNIA=G574)*(nCUENTA=1)*(COUNTIF(CONFIG_ASIGNATURAS!$B$7:$B$27,nASIG)&gt;0)*(nNOTA))/SUMPRODUCT((nNIA=G574)*(nCUENTA=1)*(COUNTIF(CONFIG_ASIGNATURAS!$B$7:$B$27,nASIG)&gt;0)*1),"")))</f>
        <v/>
      </c>
      <c r="N574" t="str">
        <f>IF(M574="","",IF(M574="[FÓRMULA MANUAL]","",IFERROR(AVERAGEIFS(nNOTA,nNIA,M574,nCUENTA,1,nASIG,"Armonía"),"")))</f>
        <v/>
      </c>
      <c r="O574" t="str">
        <f>IF(M574="","",IF(M574="[FÓRMULA MANUAL]","",IFERROR(AVERAGEIFS(nNOTA,nNIA,M574,nCUENTA,1,nASIG,"Orquesta/Banda/Conjunto"),"")))</f>
        <v/>
      </c>
      <c r="P574" t="str">
        <f>IF(M574="","",IF(M574="[FÓRMULA MANUAL]","",IFERROR(AVERAGEIFS(nNOTA,nNIA,M574,nCUENTA,1,nASIG,"Música de Cámara"),"")))</f>
        <v/>
      </c>
      <c r="Q574" t="str">
        <f>IF(M574="","",IF(M574="[FÓRMULA MANUAL]","",IFERROR(SUMPRODUCT((nNIA=M574)*(nCUENTA=1)*(COUNTIF(CONFIG_ASIGNATURAS!$B$7:$B$27,nASIG)&gt;0)*(nNOTA))/SUMPRODUCT((nNIA=M574)*(nCUENTA=1)*(COUNTIF(CONFIG_ASIGNATURAS!$B$7:$B$27,nASIG)&gt;0)*1),"")))</f>
        <v/>
      </c>
      <c r="T574" t="str">
        <f>IF(S574="","",IF(S574="[FÓRMULA MANUAL]","",IFERROR(AVERAGEIFS(nNOTA,nNIA,S574,nCUENTA,1,nASIG,"Armonía"),"")))</f>
        <v/>
      </c>
      <c r="U574" t="str">
        <f>IF(S574="","",IF(S574="[FÓRMULA MANUAL]","",IFERROR(AVERAGEIFS(nNOTA,nNIA,S574,nCUENTA,1,nASIG,"Orquesta/Banda/Conjunto"),"")))</f>
        <v/>
      </c>
      <c r="V574" t="str">
        <f>IF(S574="","",IF(S574="[FÓRMULA MANUAL]","",IFERROR(AVERAGEIFS(nNOTA,nNIA,S574,nCUENTA,1,nASIG,"Música de Cámara"),"")))</f>
        <v/>
      </c>
      <c r="W574" t="str">
        <f>IF(S574="","",IF(S574="[FÓRMULA MANUAL]","",IFERROR(SUMPRODUCT((nNIA=S574)*(nCUENTA=1)*(COUNTIF(CONFIG_ASIGNATURAS!$B$7:$B$27,nASIG)&gt;0)*(nNOTA))/SUMPRODUCT((nNIA=S574)*(nCUENTA=1)*(COUNTIF(CONFIG_ASIGNATURAS!$B$7:$B$27,nASIG)&gt;0)*1),"")))</f>
        <v/>
      </c>
      <c r="Z574" t="str">
        <f>IF(Y574="","",IF(Y574="[FÓRMULA MANUAL]","",IFERROR(AVERAGEIFS(nNOTA,nNIA,Y574,nCUENTA,1,nASIG,"Análisis"),"")))</f>
        <v/>
      </c>
      <c r="AA574" t="str">
        <f>IF(Y574="","",IF(Y574="[FÓRMULA MANUAL]","",IFERROR(AVERAGEIFS(nNOTA,nNIA,Y574,nCUENTA,1,nASIG,"Orquesta/Banda/Conjunto"),"")))</f>
        <v/>
      </c>
      <c r="AB574" t="str">
        <f>IF(Y574="","",IF(Y574="[FÓRMULA MANUAL]","",IFERROR(AVERAGEIFS(nNOTA,nNIA,Y574,nCUENTA,1,nASIG,"Música de Cámara"),"")))</f>
        <v/>
      </c>
      <c r="AC574" t="str">
        <f>IF(Y574="","",IF(Y574="[FÓRMULA MANUAL]","",IFERROR(SUMPRODUCT((nNIA=Y574)*(nCUENTA=1)*(COUNTIF(CONFIG_ASIGNATURAS!$B$7:$B$27,nASIG)&gt;0)*(nNOTA))/SUMPRODUCT((nNIA=Y574)*(nCUENTA=1)*(COUNTIF(CONFIG_ASIGNATURAS!$B$7:$B$27,nASIG)&gt;0)*1),"")))</f>
        <v/>
      </c>
      <c r="AF574" t="str">
        <f>IF(AE574="","",IF(AE574="[FÓRMULA MANUAL]","",IFERROR(AVERAGEIFS(nNOTA,nNIA,AE574,nCUENTA,1,nASIG,"Análisis"),"")))</f>
        <v/>
      </c>
      <c r="AG574" t="str">
        <f>IF(AE574="","",IF(AE574="[FÓRMULA MANUAL]","",IFERROR(AVERAGEIFS(nNOTA,nNIA,AE574,nCUENTA,1,nASIG,"Orquesta/Banda/Conjunto"),"")))</f>
        <v/>
      </c>
      <c r="AH574" t="str">
        <f>IF(AE574="","",IF(AE574="[FÓRMULA MANUAL]","",IFERROR(AVERAGEIFS(nNOTA,nNIA,AE574,nCUENTA,1,nASIG,"Música de Cámara"),"")))</f>
        <v/>
      </c>
      <c r="AI574" t="str">
        <f>IF(AE574="","",IF(AE574="[FÓRMULA MANUAL]","",IFERROR(SUMPRODUCT((nNIA=AE574)*(nCUENTA=1)*(COUNTIF(CONFIG_ASIGNATURAS!$B$7:$B$27,nASIG)&gt;0)*(nNOTA))/SUMPRODUCT((nNIA=AE574)*(nCUENTA=1)*(COUNTIF(CONFIG_ASIGNATURAS!$B$7:$B$27,nASIG)&gt;0)*1),"")))</f>
        <v/>
      </c>
    </row>
    <row r="575" spans="2:35" x14ac:dyDescent="0.2">
      <c r="B575" t="str">
        <f>IF(A575="","",IF(A575="[FÓRMULA MANUAL]","",IFERROR(AVERAGEIFS(nNOTA,nNIA,A575,nCUENTA,1,nASIG,"Lenguaje Musical"),"")))</f>
        <v/>
      </c>
      <c r="C575" t="str">
        <f>IF(A575="","",IF(A575="[FÓRMULA MANUAL]","",IFERROR(AVERAGEIFS(nNOTA,nNIA,A575,nCUENTA,1,nASIG,"Orquesta/Banda/Conjunto"),"")))</f>
        <v/>
      </c>
      <c r="D575" t="str">
        <f>IF(A575="","",IF(A575="[FÓRMULA MANUAL]","",IFERROR(AVERAGEIFS(nNOTA,nNIA,A575,nCUENTA,1,nASIG,"Conjunto"),"")))</f>
        <v/>
      </c>
      <c r="E575" t="str">
        <f>IF(A575="","",IF(A575="[FÓRMULA MANUAL]","",IFERROR(SUMPRODUCT((nNIA=A575)*(nCUENTA=1)*(COUNTIF(CONFIG_ASIGNATURAS!$B$7:$B$27,nASIG)&gt;0)*(nNOTA))/SUMPRODUCT((nNIA=A575)*(nCUENTA=1)*(COUNTIF(CONFIG_ASIGNATURAS!$B$7:$B$27,nASIG)&gt;0)*1),"")))</f>
        <v/>
      </c>
      <c r="H575" t="str">
        <f>IF(G575="","",IF(G575="[FÓRMULA MANUAL]","",IFERROR(AVERAGEIFS(nNOTA,nNIA,G575,nCUENTA,1,nASIG,"Lenguaje Musical"),"")))</f>
        <v/>
      </c>
      <c r="I575" t="str">
        <f>IF(G575="","",IF(G575="[FÓRMULA MANUAL]","",IFERROR(AVERAGEIFS(nNOTA,nNIA,G575,nCUENTA,1,nASIG,"Orquesta/Banda/Conjunto"),"")))</f>
        <v/>
      </c>
      <c r="J575" t="str">
        <f>IF(G575="","",IF(G575="[FÓRMULA MANUAL]","",IFERROR(AVERAGEIFS(nNOTA,nNIA,G575,nCUENTA,1,nASIG,"Conjunto"),"")))</f>
        <v/>
      </c>
      <c r="K575" t="str">
        <f>IF(G575="","",IF(G575="[FÓRMULA MANUAL]","",IFERROR(SUMPRODUCT((nNIA=G575)*(nCUENTA=1)*(COUNTIF(CONFIG_ASIGNATURAS!$B$7:$B$27,nASIG)&gt;0)*(nNOTA))/SUMPRODUCT((nNIA=G575)*(nCUENTA=1)*(COUNTIF(CONFIG_ASIGNATURAS!$B$7:$B$27,nASIG)&gt;0)*1),"")))</f>
        <v/>
      </c>
      <c r="N575" t="str">
        <f>IF(M575="","",IF(M575="[FÓRMULA MANUAL]","",IFERROR(AVERAGEIFS(nNOTA,nNIA,M575,nCUENTA,1,nASIG,"Armonía"),"")))</f>
        <v/>
      </c>
      <c r="O575" t="str">
        <f>IF(M575="","",IF(M575="[FÓRMULA MANUAL]","",IFERROR(AVERAGEIFS(nNOTA,nNIA,M575,nCUENTA,1,nASIG,"Orquesta/Banda/Conjunto"),"")))</f>
        <v/>
      </c>
      <c r="P575" t="str">
        <f>IF(M575="","",IF(M575="[FÓRMULA MANUAL]","",IFERROR(AVERAGEIFS(nNOTA,nNIA,M575,nCUENTA,1,nASIG,"Música de Cámara"),"")))</f>
        <v/>
      </c>
      <c r="Q575" t="str">
        <f>IF(M575="","",IF(M575="[FÓRMULA MANUAL]","",IFERROR(SUMPRODUCT((nNIA=M575)*(nCUENTA=1)*(COUNTIF(CONFIG_ASIGNATURAS!$B$7:$B$27,nASIG)&gt;0)*(nNOTA))/SUMPRODUCT((nNIA=M575)*(nCUENTA=1)*(COUNTIF(CONFIG_ASIGNATURAS!$B$7:$B$27,nASIG)&gt;0)*1),"")))</f>
        <v/>
      </c>
      <c r="T575" t="str">
        <f>IF(S575="","",IF(S575="[FÓRMULA MANUAL]","",IFERROR(AVERAGEIFS(nNOTA,nNIA,S575,nCUENTA,1,nASIG,"Armonía"),"")))</f>
        <v/>
      </c>
      <c r="U575" t="str">
        <f>IF(S575="","",IF(S575="[FÓRMULA MANUAL]","",IFERROR(AVERAGEIFS(nNOTA,nNIA,S575,nCUENTA,1,nASIG,"Orquesta/Banda/Conjunto"),"")))</f>
        <v/>
      </c>
      <c r="V575" t="str">
        <f>IF(S575="","",IF(S575="[FÓRMULA MANUAL]","",IFERROR(AVERAGEIFS(nNOTA,nNIA,S575,nCUENTA,1,nASIG,"Música de Cámara"),"")))</f>
        <v/>
      </c>
      <c r="W575" t="str">
        <f>IF(S575="","",IF(S575="[FÓRMULA MANUAL]","",IFERROR(SUMPRODUCT((nNIA=S575)*(nCUENTA=1)*(COUNTIF(CONFIG_ASIGNATURAS!$B$7:$B$27,nASIG)&gt;0)*(nNOTA))/SUMPRODUCT((nNIA=S575)*(nCUENTA=1)*(COUNTIF(CONFIG_ASIGNATURAS!$B$7:$B$27,nASIG)&gt;0)*1),"")))</f>
        <v/>
      </c>
      <c r="Z575" t="str">
        <f>IF(Y575="","",IF(Y575="[FÓRMULA MANUAL]","",IFERROR(AVERAGEIFS(nNOTA,nNIA,Y575,nCUENTA,1,nASIG,"Análisis"),"")))</f>
        <v/>
      </c>
      <c r="AA575" t="str">
        <f>IF(Y575="","",IF(Y575="[FÓRMULA MANUAL]","",IFERROR(AVERAGEIFS(nNOTA,nNIA,Y575,nCUENTA,1,nASIG,"Orquesta/Banda/Conjunto"),"")))</f>
        <v/>
      </c>
      <c r="AB575" t="str">
        <f>IF(Y575="","",IF(Y575="[FÓRMULA MANUAL]","",IFERROR(AVERAGEIFS(nNOTA,nNIA,Y575,nCUENTA,1,nASIG,"Música de Cámara"),"")))</f>
        <v/>
      </c>
      <c r="AC575" t="str">
        <f>IF(Y575="","",IF(Y575="[FÓRMULA MANUAL]","",IFERROR(SUMPRODUCT((nNIA=Y575)*(nCUENTA=1)*(COUNTIF(CONFIG_ASIGNATURAS!$B$7:$B$27,nASIG)&gt;0)*(nNOTA))/SUMPRODUCT((nNIA=Y575)*(nCUENTA=1)*(COUNTIF(CONFIG_ASIGNATURAS!$B$7:$B$27,nASIG)&gt;0)*1),"")))</f>
        <v/>
      </c>
      <c r="AF575" t="str">
        <f>IF(AE575="","",IF(AE575="[FÓRMULA MANUAL]","",IFERROR(AVERAGEIFS(nNOTA,nNIA,AE575,nCUENTA,1,nASIG,"Análisis"),"")))</f>
        <v/>
      </c>
      <c r="AG575" t="str">
        <f>IF(AE575="","",IF(AE575="[FÓRMULA MANUAL]","",IFERROR(AVERAGEIFS(nNOTA,nNIA,AE575,nCUENTA,1,nASIG,"Orquesta/Banda/Conjunto"),"")))</f>
        <v/>
      </c>
      <c r="AH575" t="str">
        <f>IF(AE575="","",IF(AE575="[FÓRMULA MANUAL]","",IFERROR(AVERAGEIFS(nNOTA,nNIA,AE575,nCUENTA,1,nASIG,"Música de Cámara"),"")))</f>
        <v/>
      </c>
      <c r="AI575" t="str">
        <f>IF(AE575="","",IF(AE575="[FÓRMULA MANUAL]","",IFERROR(SUMPRODUCT((nNIA=AE575)*(nCUENTA=1)*(COUNTIF(CONFIG_ASIGNATURAS!$B$7:$B$27,nASIG)&gt;0)*(nNOTA))/SUMPRODUCT((nNIA=AE575)*(nCUENTA=1)*(COUNTIF(CONFIG_ASIGNATURAS!$B$7:$B$27,nASIG)&gt;0)*1),"")))</f>
        <v/>
      </c>
    </row>
    <row r="576" spans="2:35" x14ac:dyDescent="0.2">
      <c r="B576" t="str">
        <f>IF(A576="","",IF(A576="[FÓRMULA MANUAL]","",IFERROR(AVERAGEIFS(nNOTA,nNIA,A576,nCUENTA,1,nASIG,"Lenguaje Musical"),"")))</f>
        <v/>
      </c>
      <c r="C576" t="str">
        <f>IF(A576="","",IF(A576="[FÓRMULA MANUAL]","",IFERROR(AVERAGEIFS(nNOTA,nNIA,A576,nCUENTA,1,nASIG,"Orquesta/Banda/Conjunto"),"")))</f>
        <v/>
      </c>
      <c r="D576" t="str">
        <f>IF(A576="","",IF(A576="[FÓRMULA MANUAL]","",IFERROR(AVERAGEIFS(nNOTA,nNIA,A576,nCUENTA,1,nASIG,"Conjunto"),"")))</f>
        <v/>
      </c>
      <c r="E576" t="str">
        <f>IF(A576="","",IF(A576="[FÓRMULA MANUAL]","",IFERROR(SUMPRODUCT((nNIA=A576)*(nCUENTA=1)*(COUNTIF(CONFIG_ASIGNATURAS!$B$7:$B$27,nASIG)&gt;0)*(nNOTA))/SUMPRODUCT((nNIA=A576)*(nCUENTA=1)*(COUNTIF(CONFIG_ASIGNATURAS!$B$7:$B$27,nASIG)&gt;0)*1),"")))</f>
        <v/>
      </c>
      <c r="H576" t="str">
        <f>IF(G576="","",IF(G576="[FÓRMULA MANUAL]","",IFERROR(AVERAGEIFS(nNOTA,nNIA,G576,nCUENTA,1,nASIG,"Lenguaje Musical"),"")))</f>
        <v/>
      </c>
      <c r="I576" t="str">
        <f>IF(G576="","",IF(G576="[FÓRMULA MANUAL]","",IFERROR(AVERAGEIFS(nNOTA,nNIA,G576,nCUENTA,1,nASIG,"Orquesta/Banda/Conjunto"),"")))</f>
        <v/>
      </c>
      <c r="J576" t="str">
        <f>IF(G576="","",IF(G576="[FÓRMULA MANUAL]","",IFERROR(AVERAGEIFS(nNOTA,nNIA,G576,nCUENTA,1,nASIG,"Conjunto"),"")))</f>
        <v/>
      </c>
      <c r="K576" t="str">
        <f>IF(G576="","",IF(G576="[FÓRMULA MANUAL]","",IFERROR(SUMPRODUCT((nNIA=G576)*(nCUENTA=1)*(COUNTIF(CONFIG_ASIGNATURAS!$B$7:$B$27,nASIG)&gt;0)*(nNOTA))/SUMPRODUCT((nNIA=G576)*(nCUENTA=1)*(COUNTIF(CONFIG_ASIGNATURAS!$B$7:$B$27,nASIG)&gt;0)*1),"")))</f>
        <v/>
      </c>
      <c r="N576" t="str">
        <f>IF(M576="","",IF(M576="[FÓRMULA MANUAL]","",IFERROR(AVERAGEIFS(nNOTA,nNIA,M576,nCUENTA,1,nASIG,"Armonía"),"")))</f>
        <v/>
      </c>
      <c r="O576" t="str">
        <f>IF(M576="","",IF(M576="[FÓRMULA MANUAL]","",IFERROR(AVERAGEIFS(nNOTA,nNIA,M576,nCUENTA,1,nASIG,"Orquesta/Banda/Conjunto"),"")))</f>
        <v/>
      </c>
      <c r="P576" t="str">
        <f>IF(M576="","",IF(M576="[FÓRMULA MANUAL]","",IFERROR(AVERAGEIFS(nNOTA,nNIA,M576,nCUENTA,1,nASIG,"Música de Cámara"),"")))</f>
        <v/>
      </c>
      <c r="Q576" t="str">
        <f>IF(M576="","",IF(M576="[FÓRMULA MANUAL]","",IFERROR(SUMPRODUCT((nNIA=M576)*(nCUENTA=1)*(COUNTIF(CONFIG_ASIGNATURAS!$B$7:$B$27,nASIG)&gt;0)*(nNOTA))/SUMPRODUCT((nNIA=M576)*(nCUENTA=1)*(COUNTIF(CONFIG_ASIGNATURAS!$B$7:$B$27,nASIG)&gt;0)*1),"")))</f>
        <v/>
      </c>
      <c r="T576" t="str">
        <f>IF(S576="","",IF(S576="[FÓRMULA MANUAL]","",IFERROR(AVERAGEIFS(nNOTA,nNIA,S576,nCUENTA,1,nASIG,"Armonía"),"")))</f>
        <v/>
      </c>
      <c r="U576" t="str">
        <f>IF(S576="","",IF(S576="[FÓRMULA MANUAL]","",IFERROR(AVERAGEIFS(nNOTA,nNIA,S576,nCUENTA,1,nASIG,"Orquesta/Banda/Conjunto"),"")))</f>
        <v/>
      </c>
      <c r="V576" t="str">
        <f>IF(S576="","",IF(S576="[FÓRMULA MANUAL]","",IFERROR(AVERAGEIFS(nNOTA,nNIA,S576,nCUENTA,1,nASIG,"Música de Cámara"),"")))</f>
        <v/>
      </c>
      <c r="W576" t="str">
        <f>IF(S576="","",IF(S576="[FÓRMULA MANUAL]","",IFERROR(SUMPRODUCT((nNIA=S576)*(nCUENTA=1)*(COUNTIF(CONFIG_ASIGNATURAS!$B$7:$B$27,nASIG)&gt;0)*(nNOTA))/SUMPRODUCT((nNIA=S576)*(nCUENTA=1)*(COUNTIF(CONFIG_ASIGNATURAS!$B$7:$B$27,nASIG)&gt;0)*1),"")))</f>
        <v/>
      </c>
      <c r="Z576" t="str">
        <f>IF(Y576="","",IF(Y576="[FÓRMULA MANUAL]","",IFERROR(AVERAGEIFS(nNOTA,nNIA,Y576,nCUENTA,1,nASIG,"Análisis"),"")))</f>
        <v/>
      </c>
      <c r="AA576" t="str">
        <f>IF(Y576="","",IF(Y576="[FÓRMULA MANUAL]","",IFERROR(AVERAGEIFS(nNOTA,nNIA,Y576,nCUENTA,1,nASIG,"Orquesta/Banda/Conjunto"),"")))</f>
        <v/>
      </c>
      <c r="AB576" t="str">
        <f>IF(Y576="","",IF(Y576="[FÓRMULA MANUAL]","",IFERROR(AVERAGEIFS(nNOTA,nNIA,Y576,nCUENTA,1,nASIG,"Música de Cámara"),"")))</f>
        <v/>
      </c>
      <c r="AC576" t="str">
        <f>IF(Y576="","",IF(Y576="[FÓRMULA MANUAL]","",IFERROR(SUMPRODUCT((nNIA=Y576)*(nCUENTA=1)*(COUNTIF(CONFIG_ASIGNATURAS!$B$7:$B$27,nASIG)&gt;0)*(nNOTA))/SUMPRODUCT((nNIA=Y576)*(nCUENTA=1)*(COUNTIF(CONFIG_ASIGNATURAS!$B$7:$B$27,nASIG)&gt;0)*1),"")))</f>
        <v/>
      </c>
      <c r="AF576" t="str">
        <f>IF(AE576="","",IF(AE576="[FÓRMULA MANUAL]","",IFERROR(AVERAGEIFS(nNOTA,nNIA,AE576,nCUENTA,1,nASIG,"Análisis"),"")))</f>
        <v/>
      </c>
      <c r="AG576" t="str">
        <f>IF(AE576="","",IF(AE576="[FÓRMULA MANUAL]","",IFERROR(AVERAGEIFS(nNOTA,nNIA,AE576,nCUENTA,1,nASIG,"Orquesta/Banda/Conjunto"),"")))</f>
        <v/>
      </c>
      <c r="AH576" t="str">
        <f>IF(AE576="","",IF(AE576="[FÓRMULA MANUAL]","",IFERROR(AVERAGEIFS(nNOTA,nNIA,AE576,nCUENTA,1,nASIG,"Música de Cámara"),"")))</f>
        <v/>
      </c>
      <c r="AI576" t="str">
        <f>IF(AE576="","",IF(AE576="[FÓRMULA MANUAL]","",IFERROR(SUMPRODUCT((nNIA=AE576)*(nCUENTA=1)*(COUNTIF(CONFIG_ASIGNATURAS!$B$7:$B$27,nASIG)&gt;0)*(nNOTA))/SUMPRODUCT((nNIA=AE576)*(nCUENTA=1)*(COUNTIF(CONFIG_ASIGNATURAS!$B$7:$B$27,nASIG)&gt;0)*1),"")))</f>
        <v/>
      </c>
    </row>
    <row r="577" spans="2:35" x14ac:dyDescent="0.2">
      <c r="B577" t="str">
        <f>IF(A577="","",IF(A577="[FÓRMULA MANUAL]","",IFERROR(AVERAGEIFS(nNOTA,nNIA,A577,nCUENTA,1,nASIG,"Lenguaje Musical"),"")))</f>
        <v/>
      </c>
      <c r="C577" t="str">
        <f>IF(A577="","",IF(A577="[FÓRMULA MANUAL]","",IFERROR(AVERAGEIFS(nNOTA,nNIA,A577,nCUENTA,1,nASIG,"Orquesta/Banda/Conjunto"),"")))</f>
        <v/>
      </c>
      <c r="D577" t="str">
        <f>IF(A577="","",IF(A577="[FÓRMULA MANUAL]","",IFERROR(AVERAGEIFS(nNOTA,nNIA,A577,nCUENTA,1,nASIG,"Conjunto"),"")))</f>
        <v/>
      </c>
      <c r="E577" t="str">
        <f>IF(A577="","",IF(A577="[FÓRMULA MANUAL]","",IFERROR(SUMPRODUCT((nNIA=A577)*(nCUENTA=1)*(COUNTIF(CONFIG_ASIGNATURAS!$B$7:$B$27,nASIG)&gt;0)*(nNOTA))/SUMPRODUCT((nNIA=A577)*(nCUENTA=1)*(COUNTIF(CONFIG_ASIGNATURAS!$B$7:$B$27,nASIG)&gt;0)*1),"")))</f>
        <v/>
      </c>
      <c r="H577" t="str">
        <f>IF(G577="","",IF(G577="[FÓRMULA MANUAL]","",IFERROR(AVERAGEIFS(nNOTA,nNIA,G577,nCUENTA,1,nASIG,"Lenguaje Musical"),"")))</f>
        <v/>
      </c>
      <c r="I577" t="str">
        <f>IF(G577="","",IF(G577="[FÓRMULA MANUAL]","",IFERROR(AVERAGEIFS(nNOTA,nNIA,G577,nCUENTA,1,nASIG,"Orquesta/Banda/Conjunto"),"")))</f>
        <v/>
      </c>
      <c r="J577" t="str">
        <f>IF(G577="","",IF(G577="[FÓRMULA MANUAL]","",IFERROR(AVERAGEIFS(nNOTA,nNIA,G577,nCUENTA,1,nASIG,"Conjunto"),"")))</f>
        <v/>
      </c>
      <c r="K577" t="str">
        <f>IF(G577="","",IF(G577="[FÓRMULA MANUAL]","",IFERROR(SUMPRODUCT((nNIA=G577)*(nCUENTA=1)*(COUNTIF(CONFIG_ASIGNATURAS!$B$7:$B$27,nASIG)&gt;0)*(nNOTA))/SUMPRODUCT((nNIA=G577)*(nCUENTA=1)*(COUNTIF(CONFIG_ASIGNATURAS!$B$7:$B$27,nASIG)&gt;0)*1),"")))</f>
        <v/>
      </c>
      <c r="N577" t="str">
        <f>IF(M577="","",IF(M577="[FÓRMULA MANUAL]","",IFERROR(AVERAGEIFS(nNOTA,nNIA,M577,nCUENTA,1,nASIG,"Armonía"),"")))</f>
        <v/>
      </c>
      <c r="O577" t="str">
        <f>IF(M577="","",IF(M577="[FÓRMULA MANUAL]","",IFERROR(AVERAGEIFS(nNOTA,nNIA,M577,nCUENTA,1,nASIG,"Orquesta/Banda/Conjunto"),"")))</f>
        <v/>
      </c>
      <c r="P577" t="str">
        <f>IF(M577="","",IF(M577="[FÓRMULA MANUAL]","",IFERROR(AVERAGEIFS(nNOTA,nNIA,M577,nCUENTA,1,nASIG,"Música de Cámara"),"")))</f>
        <v/>
      </c>
      <c r="Q577" t="str">
        <f>IF(M577="","",IF(M577="[FÓRMULA MANUAL]","",IFERROR(SUMPRODUCT((nNIA=M577)*(nCUENTA=1)*(COUNTIF(CONFIG_ASIGNATURAS!$B$7:$B$27,nASIG)&gt;0)*(nNOTA))/SUMPRODUCT((nNIA=M577)*(nCUENTA=1)*(COUNTIF(CONFIG_ASIGNATURAS!$B$7:$B$27,nASIG)&gt;0)*1),"")))</f>
        <v/>
      </c>
      <c r="T577" t="str">
        <f>IF(S577="","",IF(S577="[FÓRMULA MANUAL]","",IFERROR(AVERAGEIFS(nNOTA,nNIA,S577,nCUENTA,1,nASIG,"Armonía"),"")))</f>
        <v/>
      </c>
      <c r="U577" t="str">
        <f>IF(S577="","",IF(S577="[FÓRMULA MANUAL]","",IFERROR(AVERAGEIFS(nNOTA,nNIA,S577,nCUENTA,1,nASIG,"Orquesta/Banda/Conjunto"),"")))</f>
        <v/>
      </c>
      <c r="V577" t="str">
        <f>IF(S577="","",IF(S577="[FÓRMULA MANUAL]","",IFERROR(AVERAGEIFS(nNOTA,nNIA,S577,nCUENTA,1,nASIG,"Música de Cámara"),"")))</f>
        <v/>
      </c>
      <c r="W577" t="str">
        <f>IF(S577="","",IF(S577="[FÓRMULA MANUAL]","",IFERROR(SUMPRODUCT((nNIA=S577)*(nCUENTA=1)*(COUNTIF(CONFIG_ASIGNATURAS!$B$7:$B$27,nASIG)&gt;0)*(nNOTA))/SUMPRODUCT((nNIA=S577)*(nCUENTA=1)*(COUNTIF(CONFIG_ASIGNATURAS!$B$7:$B$27,nASIG)&gt;0)*1),"")))</f>
        <v/>
      </c>
      <c r="Z577" t="str">
        <f>IF(Y577="","",IF(Y577="[FÓRMULA MANUAL]","",IFERROR(AVERAGEIFS(nNOTA,nNIA,Y577,nCUENTA,1,nASIG,"Análisis"),"")))</f>
        <v/>
      </c>
      <c r="AA577" t="str">
        <f>IF(Y577="","",IF(Y577="[FÓRMULA MANUAL]","",IFERROR(AVERAGEIFS(nNOTA,nNIA,Y577,nCUENTA,1,nASIG,"Orquesta/Banda/Conjunto"),"")))</f>
        <v/>
      </c>
      <c r="AB577" t="str">
        <f>IF(Y577="","",IF(Y577="[FÓRMULA MANUAL]","",IFERROR(AVERAGEIFS(nNOTA,nNIA,Y577,nCUENTA,1,nASIG,"Música de Cámara"),"")))</f>
        <v/>
      </c>
      <c r="AC577" t="str">
        <f>IF(Y577="","",IF(Y577="[FÓRMULA MANUAL]","",IFERROR(SUMPRODUCT((nNIA=Y577)*(nCUENTA=1)*(COUNTIF(CONFIG_ASIGNATURAS!$B$7:$B$27,nASIG)&gt;0)*(nNOTA))/SUMPRODUCT((nNIA=Y577)*(nCUENTA=1)*(COUNTIF(CONFIG_ASIGNATURAS!$B$7:$B$27,nASIG)&gt;0)*1),"")))</f>
        <v/>
      </c>
      <c r="AF577" t="str">
        <f>IF(AE577="","",IF(AE577="[FÓRMULA MANUAL]","",IFERROR(AVERAGEIFS(nNOTA,nNIA,AE577,nCUENTA,1,nASIG,"Análisis"),"")))</f>
        <v/>
      </c>
      <c r="AG577" t="str">
        <f>IF(AE577="","",IF(AE577="[FÓRMULA MANUAL]","",IFERROR(AVERAGEIFS(nNOTA,nNIA,AE577,nCUENTA,1,nASIG,"Orquesta/Banda/Conjunto"),"")))</f>
        <v/>
      </c>
      <c r="AH577" t="str">
        <f>IF(AE577="","",IF(AE577="[FÓRMULA MANUAL]","",IFERROR(AVERAGEIFS(nNOTA,nNIA,AE577,nCUENTA,1,nASIG,"Música de Cámara"),"")))</f>
        <v/>
      </c>
      <c r="AI577" t="str">
        <f>IF(AE577="","",IF(AE577="[FÓRMULA MANUAL]","",IFERROR(SUMPRODUCT((nNIA=AE577)*(nCUENTA=1)*(COUNTIF(CONFIG_ASIGNATURAS!$B$7:$B$27,nASIG)&gt;0)*(nNOTA))/SUMPRODUCT((nNIA=AE577)*(nCUENTA=1)*(COUNTIF(CONFIG_ASIGNATURAS!$B$7:$B$27,nASIG)&gt;0)*1),"")))</f>
        <v/>
      </c>
    </row>
    <row r="578" spans="2:35" x14ac:dyDescent="0.2">
      <c r="B578" t="str">
        <f>IF(A578="","",IF(A578="[FÓRMULA MANUAL]","",IFERROR(AVERAGEIFS(nNOTA,nNIA,A578,nCUENTA,1,nASIG,"Lenguaje Musical"),"")))</f>
        <v/>
      </c>
      <c r="C578" t="str">
        <f>IF(A578="","",IF(A578="[FÓRMULA MANUAL]","",IFERROR(AVERAGEIFS(nNOTA,nNIA,A578,nCUENTA,1,nASIG,"Orquesta/Banda/Conjunto"),"")))</f>
        <v/>
      </c>
      <c r="D578" t="str">
        <f>IF(A578="","",IF(A578="[FÓRMULA MANUAL]","",IFERROR(AVERAGEIFS(nNOTA,nNIA,A578,nCUENTA,1,nASIG,"Conjunto"),"")))</f>
        <v/>
      </c>
      <c r="E578" t="str">
        <f>IF(A578="","",IF(A578="[FÓRMULA MANUAL]","",IFERROR(SUMPRODUCT((nNIA=A578)*(nCUENTA=1)*(COUNTIF(CONFIG_ASIGNATURAS!$B$7:$B$27,nASIG)&gt;0)*(nNOTA))/SUMPRODUCT((nNIA=A578)*(nCUENTA=1)*(COUNTIF(CONFIG_ASIGNATURAS!$B$7:$B$27,nASIG)&gt;0)*1),"")))</f>
        <v/>
      </c>
      <c r="H578" t="str">
        <f>IF(G578="","",IF(G578="[FÓRMULA MANUAL]","",IFERROR(AVERAGEIFS(nNOTA,nNIA,G578,nCUENTA,1,nASIG,"Lenguaje Musical"),"")))</f>
        <v/>
      </c>
      <c r="I578" t="str">
        <f>IF(G578="","",IF(G578="[FÓRMULA MANUAL]","",IFERROR(AVERAGEIFS(nNOTA,nNIA,G578,nCUENTA,1,nASIG,"Orquesta/Banda/Conjunto"),"")))</f>
        <v/>
      </c>
      <c r="J578" t="str">
        <f>IF(G578="","",IF(G578="[FÓRMULA MANUAL]","",IFERROR(AVERAGEIFS(nNOTA,nNIA,G578,nCUENTA,1,nASIG,"Conjunto"),"")))</f>
        <v/>
      </c>
      <c r="K578" t="str">
        <f>IF(G578="","",IF(G578="[FÓRMULA MANUAL]","",IFERROR(SUMPRODUCT((nNIA=G578)*(nCUENTA=1)*(COUNTIF(CONFIG_ASIGNATURAS!$B$7:$B$27,nASIG)&gt;0)*(nNOTA))/SUMPRODUCT((nNIA=G578)*(nCUENTA=1)*(COUNTIF(CONFIG_ASIGNATURAS!$B$7:$B$27,nASIG)&gt;0)*1),"")))</f>
        <v/>
      </c>
      <c r="N578" t="str">
        <f>IF(M578="","",IF(M578="[FÓRMULA MANUAL]","",IFERROR(AVERAGEIFS(nNOTA,nNIA,M578,nCUENTA,1,nASIG,"Armonía"),"")))</f>
        <v/>
      </c>
      <c r="O578" t="str">
        <f>IF(M578="","",IF(M578="[FÓRMULA MANUAL]","",IFERROR(AVERAGEIFS(nNOTA,nNIA,M578,nCUENTA,1,nASIG,"Orquesta/Banda/Conjunto"),"")))</f>
        <v/>
      </c>
      <c r="P578" t="str">
        <f>IF(M578="","",IF(M578="[FÓRMULA MANUAL]","",IFERROR(AVERAGEIFS(nNOTA,nNIA,M578,nCUENTA,1,nASIG,"Música de Cámara"),"")))</f>
        <v/>
      </c>
      <c r="Q578" t="str">
        <f>IF(M578="","",IF(M578="[FÓRMULA MANUAL]","",IFERROR(SUMPRODUCT((nNIA=M578)*(nCUENTA=1)*(COUNTIF(CONFIG_ASIGNATURAS!$B$7:$B$27,nASIG)&gt;0)*(nNOTA))/SUMPRODUCT((nNIA=M578)*(nCUENTA=1)*(COUNTIF(CONFIG_ASIGNATURAS!$B$7:$B$27,nASIG)&gt;0)*1),"")))</f>
        <v/>
      </c>
      <c r="T578" t="str">
        <f>IF(S578="","",IF(S578="[FÓRMULA MANUAL]","",IFERROR(AVERAGEIFS(nNOTA,nNIA,S578,nCUENTA,1,nASIG,"Armonía"),"")))</f>
        <v/>
      </c>
      <c r="U578" t="str">
        <f>IF(S578="","",IF(S578="[FÓRMULA MANUAL]","",IFERROR(AVERAGEIFS(nNOTA,nNIA,S578,nCUENTA,1,nASIG,"Orquesta/Banda/Conjunto"),"")))</f>
        <v/>
      </c>
      <c r="V578" t="str">
        <f>IF(S578="","",IF(S578="[FÓRMULA MANUAL]","",IFERROR(AVERAGEIFS(nNOTA,nNIA,S578,nCUENTA,1,nASIG,"Música de Cámara"),"")))</f>
        <v/>
      </c>
      <c r="W578" t="str">
        <f>IF(S578="","",IF(S578="[FÓRMULA MANUAL]","",IFERROR(SUMPRODUCT((nNIA=S578)*(nCUENTA=1)*(COUNTIF(CONFIG_ASIGNATURAS!$B$7:$B$27,nASIG)&gt;0)*(nNOTA))/SUMPRODUCT((nNIA=S578)*(nCUENTA=1)*(COUNTIF(CONFIG_ASIGNATURAS!$B$7:$B$27,nASIG)&gt;0)*1),"")))</f>
        <v/>
      </c>
      <c r="Z578" t="str">
        <f>IF(Y578="","",IF(Y578="[FÓRMULA MANUAL]","",IFERROR(AVERAGEIFS(nNOTA,nNIA,Y578,nCUENTA,1,nASIG,"Análisis"),"")))</f>
        <v/>
      </c>
      <c r="AA578" t="str">
        <f>IF(Y578="","",IF(Y578="[FÓRMULA MANUAL]","",IFERROR(AVERAGEIFS(nNOTA,nNIA,Y578,nCUENTA,1,nASIG,"Orquesta/Banda/Conjunto"),"")))</f>
        <v/>
      </c>
      <c r="AB578" t="str">
        <f>IF(Y578="","",IF(Y578="[FÓRMULA MANUAL]","",IFERROR(AVERAGEIFS(nNOTA,nNIA,Y578,nCUENTA,1,nASIG,"Música de Cámara"),"")))</f>
        <v/>
      </c>
      <c r="AC578" t="str">
        <f>IF(Y578="","",IF(Y578="[FÓRMULA MANUAL]","",IFERROR(SUMPRODUCT((nNIA=Y578)*(nCUENTA=1)*(COUNTIF(CONFIG_ASIGNATURAS!$B$7:$B$27,nASIG)&gt;0)*(nNOTA))/SUMPRODUCT((nNIA=Y578)*(nCUENTA=1)*(COUNTIF(CONFIG_ASIGNATURAS!$B$7:$B$27,nASIG)&gt;0)*1),"")))</f>
        <v/>
      </c>
      <c r="AF578" t="str">
        <f>IF(AE578="","",IF(AE578="[FÓRMULA MANUAL]","",IFERROR(AVERAGEIFS(nNOTA,nNIA,AE578,nCUENTA,1,nASIG,"Análisis"),"")))</f>
        <v/>
      </c>
      <c r="AG578" t="str">
        <f>IF(AE578="","",IF(AE578="[FÓRMULA MANUAL]","",IFERROR(AVERAGEIFS(nNOTA,nNIA,AE578,nCUENTA,1,nASIG,"Orquesta/Banda/Conjunto"),"")))</f>
        <v/>
      </c>
      <c r="AH578" t="str">
        <f>IF(AE578="","",IF(AE578="[FÓRMULA MANUAL]","",IFERROR(AVERAGEIFS(nNOTA,nNIA,AE578,nCUENTA,1,nASIG,"Música de Cámara"),"")))</f>
        <v/>
      </c>
      <c r="AI578" t="str">
        <f>IF(AE578="","",IF(AE578="[FÓRMULA MANUAL]","",IFERROR(SUMPRODUCT((nNIA=AE578)*(nCUENTA=1)*(COUNTIF(CONFIG_ASIGNATURAS!$B$7:$B$27,nASIG)&gt;0)*(nNOTA))/SUMPRODUCT((nNIA=AE578)*(nCUENTA=1)*(COUNTIF(CONFIG_ASIGNATURAS!$B$7:$B$27,nASIG)&gt;0)*1),"")))</f>
        <v/>
      </c>
    </row>
    <row r="579" spans="2:35" x14ac:dyDescent="0.2">
      <c r="B579" t="str">
        <f>IF(A579="","",IF(A579="[FÓRMULA MANUAL]","",IFERROR(AVERAGEIFS(nNOTA,nNIA,A579,nCUENTA,1,nASIG,"Lenguaje Musical"),"")))</f>
        <v/>
      </c>
      <c r="C579" t="str">
        <f>IF(A579="","",IF(A579="[FÓRMULA MANUAL]","",IFERROR(AVERAGEIFS(nNOTA,nNIA,A579,nCUENTA,1,nASIG,"Orquesta/Banda/Conjunto"),"")))</f>
        <v/>
      </c>
      <c r="D579" t="str">
        <f>IF(A579="","",IF(A579="[FÓRMULA MANUAL]","",IFERROR(AVERAGEIFS(nNOTA,nNIA,A579,nCUENTA,1,nASIG,"Conjunto"),"")))</f>
        <v/>
      </c>
      <c r="E579" t="str">
        <f>IF(A579="","",IF(A579="[FÓRMULA MANUAL]","",IFERROR(SUMPRODUCT((nNIA=A579)*(nCUENTA=1)*(COUNTIF(CONFIG_ASIGNATURAS!$B$7:$B$27,nASIG)&gt;0)*(nNOTA))/SUMPRODUCT((nNIA=A579)*(nCUENTA=1)*(COUNTIF(CONFIG_ASIGNATURAS!$B$7:$B$27,nASIG)&gt;0)*1),"")))</f>
        <v/>
      </c>
      <c r="H579" t="str">
        <f>IF(G579="","",IF(G579="[FÓRMULA MANUAL]","",IFERROR(AVERAGEIFS(nNOTA,nNIA,G579,nCUENTA,1,nASIG,"Lenguaje Musical"),"")))</f>
        <v/>
      </c>
      <c r="I579" t="str">
        <f>IF(G579="","",IF(G579="[FÓRMULA MANUAL]","",IFERROR(AVERAGEIFS(nNOTA,nNIA,G579,nCUENTA,1,nASIG,"Orquesta/Banda/Conjunto"),"")))</f>
        <v/>
      </c>
      <c r="J579" t="str">
        <f>IF(G579="","",IF(G579="[FÓRMULA MANUAL]","",IFERROR(AVERAGEIFS(nNOTA,nNIA,G579,nCUENTA,1,nASIG,"Conjunto"),"")))</f>
        <v/>
      </c>
      <c r="K579" t="str">
        <f>IF(G579="","",IF(G579="[FÓRMULA MANUAL]","",IFERROR(SUMPRODUCT((nNIA=G579)*(nCUENTA=1)*(COUNTIF(CONFIG_ASIGNATURAS!$B$7:$B$27,nASIG)&gt;0)*(nNOTA))/SUMPRODUCT((nNIA=G579)*(nCUENTA=1)*(COUNTIF(CONFIG_ASIGNATURAS!$B$7:$B$27,nASIG)&gt;0)*1),"")))</f>
        <v/>
      </c>
      <c r="N579" t="str">
        <f>IF(M579="","",IF(M579="[FÓRMULA MANUAL]","",IFERROR(AVERAGEIFS(nNOTA,nNIA,M579,nCUENTA,1,nASIG,"Armonía"),"")))</f>
        <v/>
      </c>
      <c r="O579" t="str">
        <f>IF(M579="","",IF(M579="[FÓRMULA MANUAL]","",IFERROR(AVERAGEIFS(nNOTA,nNIA,M579,nCUENTA,1,nASIG,"Orquesta/Banda/Conjunto"),"")))</f>
        <v/>
      </c>
      <c r="P579" t="str">
        <f>IF(M579="","",IF(M579="[FÓRMULA MANUAL]","",IFERROR(AVERAGEIFS(nNOTA,nNIA,M579,nCUENTA,1,nASIG,"Música de Cámara"),"")))</f>
        <v/>
      </c>
      <c r="Q579" t="str">
        <f>IF(M579="","",IF(M579="[FÓRMULA MANUAL]","",IFERROR(SUMPRODUCT((nNIA=M579)*(nCUENTA=1)*(COUNTIF(CONFIG_ASIGNATURAS!$B$7:$B$27,nASIG)&gt;0)*(nNOTA))/SUMPRODUCT((nNIA=M579)*(nCUENTA=1)*(COUNTIF(CONFIG_ASIGNATURAS!$B$7:$B$27,nASIG)&gt;0)*1),"")))</f>
        <v/>
      </c>
      <c r="T579" t="str">
        <f>IF(S579="","",IF(S579="[FÓRMULA MANUAL]","",IFERROR(AVERAGEIFS(nNOTA,nNIA,S579,nCUENTA,1,nASIG,"Armonía"),"")))</f>
        <v/>
      </c>
      <c r="U579" t="str">
        <f>IF(S579="","",IF(S579="[FÓRMULA MANUAL]","",IFERROR(AVERAGEIFS(nNOTA,nNIA,S579,nCUENTA,1,nASIG,"Orquesta/Banda/Conjunto"),"")))</f>
        <v/>
      </c>
      <c r="V579" t="str">
        <f>IF(S579="","",IF(S579="[FÓRMULA MANUAL]","",IFERROR(AVERAGEIFS(nNOTA,nNIA,S579,nCUENTA,1,nASIG,"Música de Cámara"),"")))</f>
        <v/>
      </c>
      <c r="W579" t="str">
        <f>IF(S579="","",IF(S579="[FÓRMULA MANUAL]","",IFERROR(SUMPRODUCT((nNIA=S579)*(nCUENTA=1)*(COUNTIF(CONFIG_ASIGNATURAS!$B$7:$B$27,nASIG)&gt;0)*(nNOTA))/SUMPRODUCT((nNIA=S579)*(nCUENTA=1)*(COUNTIF(CONFIG_ASIGNATURAS!$B$7:$B$27,nASIG)&gt;0)*1),"")))</f>
        <v/>
      </c>
      <c r="Z579" t="str">
        <f>IF(Y579="","",IF(Y579="[FÓRMULA MANUAL]","",IFERROR(AVERAGEIFS(nNOTA,nNIA,Y579,nCUENTA,1,nASIG,"Análisis"),"")))</f>
        <v/>
      </c>
      <c r="AA579" t="str">
        <f>IF(Y579="","",IF(Y579="[FÓRMULA MANUAL]","",IFERROR(AVERAGEIFS(nNOTA,nNIA,Y579,nCUENTA,1,nASIG,"Orquesta/Banda/Conjunto"),"")))</f>
        <v/>
      </c>
      <c r="AB579" t="str">
        <f>IF(Y579="","",IF(Y579="[FÓRMULA MANUAL]","",IFERROR(AVERAGEIFS(nNOTA,nNIA,Y579,nCUENTA,1,nASIG,"Música de Cámara"),"")))</f>
        <v/>
      </c>
      <c r="AC579" t="str">
        <f>IF(Y579="","",IF(Y579="[FÓRMULA MANUAL]","",IFERROR(SUMPRODUCT((nNIA=Y579)*(nCUENTA=1)*(COUNTIF(CONFIG_ASIGNATURAS!$B$7:$B$27,nASIG)&gt;0)*(nNOTA))/SUMPRODUCT((nNIA=Y579)*(nCUENTA=1)*(COUNTIF(CONFIG_ASIGNATURAS!$B$7:$B$27,nASIG)&gt;0)*1),"")))</f>
        <v/>
      </c>
      <c r="AF579" t="str">
        <f>IF(AE579="","",IF(AE579="[FÓRMULA MANUAL]","",IFERROR(AVERAGEIFS(nNOTA,nNIA,AE579,nCUENTA,1,nASIG,"Análisis"),"")))</f>
        <v/>
      </c>
      <c r="AG579" t="str">
        <f>IF(AE579="","",IF(AE579="[FÓRMULA MANUAL]","",IFERROR(AVERAGEIFS(nNOTA,nNIA,AE579,nCUENTA,1,nASIG,"Orquesta/Banda/Conjunto"),"")))</f>
        <v/>
      </c>
      <c r="AH579" t="str">
        <f>IF(AE579="","",IF(AE579="[FÓRMULA MANUAL]","",IFERROR(AVERAGEIFS(nNOTA,nNIA,AE579,nCUENTA,1,nASIG,"Música de Cámara"),"")))</f>
        <v/>
      </c>
      <c r="AI579" t="str">
        <f>IF(AE579="","",IF(AE579="[FÓRMULA MANUAL]","",IFERROR(SUMPRODUCT((nNIA=AE579)*(nCUENTA=1)*(COUNTIF(CONFIG_ASIGNATURAS!$B$7:$B$27,nASIG)&gt;0)*(nNOTA))/SUMPRODUCT((nNIA=AE579)*(nCUENTA=1)*(COUNTIF(CONFIG_ASIGNATURAS!$B$7:$B$27,nASIG)&gt;0)*1),"")))</f>
        <v/>
      </c>
    </row>
    <row r="580" spans="2:35" x14ac:dyDescent="0.2">
      <c r="B580" t="str">
        <f>IF(A580="","",IF(A580="[FÓRMULA MANUAL]","",IFERROR(AVERAGEIFS(nNOTA,nNIA,A580,nCUENTA,1,nASIG,"Lenguaje Musical"),"")))</f>
        <v/>
      </c>
      <c r="C580" t="str">
        <f>IF(A580="","",IF(A580="[FÓRMULA MANUAL]","",IFERROR(AVERAGEIFS(nNOTA,nNIA,A580,nCUENTA,1,nASIG,"Orquesta/Banda/Conjunto"),"")))</f>
        <v/>
      </c>
      <c r="D580" t="str">
        <f>IF(A580="","",IF(A580="[FÓRMULA MANUAL]","",IFERROR(AVERAGEIFS(nNOTA,nNIA,A580,nCUENTA,1,nASIG,"Conjunto"),"")))</f>
        <v/>
      </c>
      <c r="E580" t="str">
        <f>IF(A580="","",IF(A580="[FÓRMULA MANUAL]","",IFERROR(SUMPRODUCT((nNIA=A580)*(nCUENTA=1)*(COUNTIF(CONFIG_ASIGNATURAS!$B$7:$B$27,nASIG)&gt;0)*(nNOTA))/SUMPRODUCT((nNIA=A580)*(nCUENTA=1)*(COUNTIF(CONFIG_ASIGNATURAS!$B$7:$B$27,nASIG)&gt;0)*1),"")))</f>
        <v/>
      </c>
      <c r="H580" t="str">
        <f>IF(G580="","",IF(G580="[FÓRMULA MANUAL]","",IFERROR(AVERAGEIFS(nNOTA,nNIA,G580,nCUENTA,1,nASIG,"Lenguaje Musical"),"")))</f>
        <v/>
      </c>
      <c r="I580" t="str">
        <f>IF(G580="","",IF(G580="[FÓRMULA MANUAL]","",IFERROR(AVERAGEIFS(nNOTA,nNIA,G580,nCUENTA,1,nASIG,"Orquesta/Banda/Conjunto"),"")))</f>
        <v/>
      </c>
      <c r="J580" t="str">
        <f>IF(G580="","",IF(G580="[FÓRMULA MANUAL]","",IFERROR(AVERAGEIFS(nNOTA,nNIA,G580,nCUENTA,1,nASIG,"Conjunto"),"")))</f>
        <v/>
      </c>
      <c r="K580" t="str">
        <f>IF(G580="","",IF(G580="[FÓRMULA MANUAL]","",IFERROR(SUMPRODUCT((nNIA=G580)*(nCUENTA=1)*(COUNTIF(CONFIG_ASIGNATURAS!$B$7:$B$27,nASIG)&gt;0)*(nNOTA))/SUMPRODUCT((nNIA=G580)*(nCUENTA=1)*(COUNTIF(CONFIG_ASIGNATURAS!$B$7:$B$27,nASIG)&gt;0)*1),"")))</f>
        <v/>
      </c>
      <c r="N580" t="str">
        <f>IF(M580="","",IF(M580="[FÓRMULA MANUAL]","",IFERROR(AVERAGEIFS(nNOTA,nNIA,M580,nCUENTA,1,nASIG,"Armonía"),"")))</f>
        <v/>
      </c>
      <c r="O580" t="str">
        <f>IF(M580="","",IF(M580="[FÓRMULA MANUAL]","",IFERROR(AVERAGEIFS(nNOTA,nNIA,M580,nCUENTA,1,nASIG,"Orquesta/Banda/Conjunto"),"")))</f>
        <v/>
      </c>
      <c r="P580" t="str">
        <f>IF(M580="","",IF(M580="[FÓRMULA MANUAL]","",IFERROR(AVERAGEIFS(nNOTA,nNIA,M580,nCUENTA,1,nASIG,"Música de Cámara"),"")))</f>
        <v/>
      </c>
      <c r="Q580" t="str">
        <f>IF(M580="","",IF(M580="[FÓRMULA MANUAL]","",IFERROR(SUMPRODUCT((nNIA=M580)*(nCUENTA=1)*(COUNTIF(CONFIG_ASIGNATURAS!$B$7:$B$27,nASIG)&gt;0)*(nNOTA))/SUMPRODUCT((nNIA=M580)*(nCUENTA=1)*(COUNTIF(CONFIG_ASIGNATURAS!$B$7:$B$27,nASIG)&gt;0)*1),"")))</f>
        <v/>
      </c>
      <c r="T580" t="str">
        <f>IF(S580="","",IF(S580="[FÓRMULA MANUAL]","",IFERROR(AVERAGEIFS(nNOTA,nNIA,S580,nCUENTA,1,nASIG,"Armonía"),"")))</f>
        <v/>
      </c>
      <c r="U580" t="str">
        <f>IF(S580="","",IF(S580="[FÓRMULA MANUAL]","",IFERROR(AVERAGEIFS(nNOTA,nNIA,S580,nCUENTA,1,nASIG,"Orquesta/Banda/Conjunto"),"")))</f>
        <v/>
      </c>
      <c r="V580" t="str">
        <f>IF(S580="","",IF(S580="[FÓRMULA MANUAL]","",IFERROR(AVERAGEIFS(nNOTA,nNIA,S580,nCUENTA,1,nASIG,"Música de Cámara"),"")))</f>
        <v/>
      </c>
      <c r="W580" t="str">
        <f>IF(S580="","",IF(S580="[FÓRMULA MANUAL]","",IFERROR(SUMPRODUCT((nNIA=S580)*(nCUENTA=1)*(COUNTIF(CONFIG_ASIGNATURAS!$B$7:$B$27,nASIG)&gt;0)*(nNOTA))/SUMPRODUCT((nNIA=S580)*(nCUENTA=1)*(COUNTIF(CONFIG_ASIGNATURAS!$B$7:$B$27,nASIG)&gt;0)*1),"")))</f>
        <v/>
      </c>
      <c r="Z580" t="str">
        <f>IF(Y580="","",IF(Y580="[FÓRMULA MANUAL]","",IFERROR(AVERAGEIFS(nNOTA,nNIA,Y580,nCUENTA,1,nASIG,"Análisis"),"")))</f>
        <v/>
      </c>
      <c r="AA580" t="str">
        <f>IF(Y580="","",IF(Y580="[FÓRMULA MANUAL]","",IFERROR(AVERAGEIFS(nNOTA,nNIA,Y580,nCUENTA,1,nASIG,"Orquesta/Banda/Conjunto"),"")))</f>
        <v/>
      </c>
      <c r="AB580" t="str">
        <f>IF(Y580="","",IF(Y580="[FÓRMULA MANUAL]","",IFERROR(AVERAGEIFS(nNOTA,nNIA,Y580,nCUENTA,1,nASIG,"Música de Cámara"),"")))</f>
        <v/>
      </c>
      <c r="AC580" t="str">
        <f>IF(Y580="","",IF(Y580="[FÓRMULA MANUAL]","",IFERROR(SUMPRODUCT((nNIA=Y580)*(nCUENTA=1)*(COUNTIF(CONFIG_ASIGNATURAS!$B$7:$B$27,nASIG)&gt;0)*(nNOTA))/SUMPRODUCT((nNIA=Y580)*(nCUENTA=1)*(COUNTIF(CONFIG_ASIGNATURAS!$B$7:$B$27,nASIG)&gt;0)*1),"")))</f>
        <v/>
      </c>
      <c r="AF580" t="str">
        <f>IF(AE580="","",IF(AE580="[FÓRMULA MANUAL]","",IFERROR(AVERAGEIFS(nNOTA,nNIA,AE580,nCUENTA,1,nASIG,"Análisis"),"")))</f>
        <v/>
      </c>
      <c r="AG580" t="str">
        <f>IF(AE580="","",IF(AE580="[FÓRMULA MANUAL]","",IFERROR(AVERAGEIFS(nNOTA,nNIA,AE580,nCUENTA,1,nASIG,"Orquesta/Banda/Conjunto"),"")))</f>
        <v/>
      </c>
      <c r="AH580" t="str">
        <f>IF(AE580="","",IF(AE580="[FÓRMULA MANUAL]","",IFERROR(AVERAGEIFS(nNOTA,nNIA,AE580,nCUENTA,1,nASIG,"Música de Cámara"),"")))</f>
        <v/>
      </c>
      <c r="AI580" t="str">
        <f>IF(AE580="","",IF(AE580="[FÓRMULA MANUAL]","",IFERROR(SUMPRODUCT((nNIA=AE580)*(nCUENTA=1)*(COUNTIF(CONFIG_ASIGNATURAS!$B$7:$B$27,nASIG)&gt;0)*(nNOTA))/SUMPRODUCT((nNIA=AE580)*(nCUENTA=1)*(COUNTIF(CONFIG_ASIGNATURAS!$B$7:$B$27,nASIG)&gt;0)*1),"")))</f>
        <v/>
      </c>
    </row>
    <row r="581" spans="2:35" x14ac:dyDescent="0.2">
      <c r="B581" t="str">
        <f>IF(A581="","",IF(A581="[FÓRMULA MANUAL]","",IFERROR(AVERAGEIFS(nNOTA,nNIA,A581,nCUENTA,1,nASIG,"Lenguaje Musical"),"")))</f>
        <v/>
      </c>
      <c r="C581" t="str">
        <f>IF(A581="","",IF(A581="[FÓRMULA MANUAL]","",IFERROR(AVERAGEIFS(nNOTA,nNIA,A581,nCUENTA,1,nASIG,"Orquesta/Banda/Conjunto"),"")))</f>
        <v/>
      </c>
      <c r="D581" t="str">
        <f>IF(A581="","",IF(A581="[FÓRMULA MANUAL]","",IFERROR(AVERAGEIFS(nNOTA,nNIA,A581,nCUENTA,1,nASIG,"Conjunto"),"")))</f>
        <v/>
      </c>
      <c r="E581" t="str">
        <f>IF(A581="","",IF(A581="[FÓRMULA MANUAL]","",IFERROR(SUMPRODUCT((nNIA=A581)*(nCUENTA=1)*(COUNTIF(CONFIG_ASIGNATURAS!$B$7:$B$27,nASIG)&gt;0)*(nNOTA))/SUMPRODUCT((nNIA=A581)*(nCUENTA=1)*(COUNTIF(CONFIG_ASIGNATURAS!$B$7:$B$27,nASIG)&gt;0)*1),"")))</f>
        <v/>
      </c>
      <c r="H581" t="str">
        <f>IF(G581="","",IF(G581="[FÓRMULA MANUAL]","",IFERROR(AVERAGEIFS(nNOTA,nNIA,G581,nCUENTA,1,nASIG,"Lenguaje Musical"),"")))</f>
        <v/>
      </c>
      <c r="I581" t="str">
        <f>IF(G581="","",IF(G581="[FÓRMULA MANUAL]","",IFERROR(AVERAGEIFS(nNOTA,nNIA,G581,nCUENTA,1,nASIG,"Orquesta/Banda/Conjunto"),"")))</f>
        <v/>
      </c>
      <c r="J581" t="str">
        <f>IF(G581="","",IF(G581="[FÓRMULA MANUAL]","",IFERROR(AVERAGEIFS(nNOTA,nNIA,G581,nCUENTA,1,nASIG,"Conjunto"),"")))</f>
        <v/>
      </c>
      <c r="K581" t="str">
        <f>IF(G581="","",IF(G581="[FÓRMULA MANUAL]","",IFERROR(SUMPRODUCT((nNIA=G581)*(nCUENTA=1)*(COUNTIF(CONFIG_ASIGNATURAS!$B$7:$B$27,nASIG)&gt;0)*(nNOTA))/SUMPRODUCT((nNIA=G581)*(nCUENTA=1)*(COUNTIF(CONFIG_ASIGNATURAS!$B$7:$B$27,nASIG)&gt;0)*1),"")))</f>
        <v/>
      </c>
      <c r="N581" t="str">
        <f>IF(M581="","",IF(M581="[FÓRMULA MANUAL]","",IFERROR(AVERAGEIFS(nNOTA,nNIA,M581,nCUENTA,1,nASIG,"Armonía"),"")))</f>
        <v/>
      </c>
      <c r="O581" t="str">
        <f>IF(M581="","",IF(M581="[FÓRMULA MANUAL]","",IFERROR(AVERAGEIFS(nNOTA,nNIA,M581,nCUENTA,1,nASIG,"Orquesta/Banda/Conjunto"),"")))</f>
        <v/>
      </c>
      <c r="P581" t="str">
        <f>IF(M581="","",IF(M581="[FÓRMULA MANUAL]","",IFERROR(AVERAGEIFS(nNOTA,nNIA,M581,nCUENTA,1,nASIG,"Música de Cámara"),"")))</f>
        <v/>
      </c>
      <c r="Q581" t="str">
        <f>IF(M581="","",IF(M581="[FÓRMULA MANUAL]","",IFERROR(SUMPRODUCT((nNIA=M581)*(nCUENTA=1)*(COUNTIF(CONFIG_ASIGNATURAS!$B$7:$B$27,nASIG)&gt;0)*(nNOTA))/SUMPRODUCT((nNIA=M581)*(nCUENTA=1)*(COUNTIF(CONFIG_ASIGNATURAS!$B$7:$B$27,nASIG)&gt;0)*1),"")))</f>
        <v/>
      </c>
      <c r="T581" t="str">
        <f>IF(S581="","",IF(S581="[FÓRMULA MANUAL]","",IFERROR(AVERAGEIFS(nNOTA,nNIA,S581,nCUENTA,1,nASIG,"Armonía"),"")))</f>
        <v/>
      </c>
      <c r="U581" t="str">
        <f>IF(S581="","",IF(S581="[FÓRMULA MANUAL]","",IFERROR(AVERAGEIFS(nNOTA,nNIA,S581,nCUENTA,1,nASIG,"Orquesta/Banda/Conjunto"),"")))</f>
        <v/>
      </c>
      <c r="V581" t="str">
        <f>IF(S581="","",IF(S581="[FÓRMULA MANUAL]","",IFERROR(AVERAGEIFS(nNOTA,nNIA,S581,nCUENTA,1,nASIG,"Música de Cámara"),"")))</f>
        <v/>
      </c>
      <c r="W581" t="str">
        <f>IF(S581="","",IF(S581="[FÓRMULA MANUAL]","",IFERROR(SUMPRODUCT((nNIA=S581)*(nCUENTA=1)*(COUNTIF(CONFIG_ASIGNATURAS!$B$7:$B$27,nASIG)&gt;0)*(nNOTA))/SUMPRODUCT((nNIA=S581)*(nCUENTA=1)*(COUNTIF(CONFIG_ASIGNATURAS!$B$7:$B$27,nASIG)&gt;0)*1),"")))</f>
        <v/>
      </c>
      <c r="Z581" t="str">
        <f>IF(Y581="","",IF(Y581="[FÓRMULA MANUAL]","",IFERROR(AVERAGEIFS(nNOTA,nNIA,Y581,nCUENTA,1,nASIG,"Análisis"),"")))</f>
        <v/>
      </c>
      <c r="AA581" t="str">
        <f>IF(Y581="","",IF(Y581="[FÓRMULA MANUAL]","",IFERROR(AVERAGEIFS(nNOTA,nNIA,Y581,nCUENTA,1,nASIG,"Orquesta/Banda/Conjunto"),"")))</f>
        <v/>
      </c>
      <c r="AB581" t="str">
        <f>IF(Y581="","",IF(Y581="[FÓRMULA MANUAL]","",IFERROR(AVERAGEIFS(nNOTA,nNIA,Y581,nCUENTA,1,nASIG,"Música de Cámara"),"")))</f>
        <v/>
      </c>
      <c r="AC581" t="str">
        <f>IF(Y581="","",IF(Y581="[FÓRMULA MANUAL]","",IFERROR(SUMPRODUCT((nNIA=Y581)*(nCUENTA=1)*(COUNTIF(CONFIG_ASIGNATURAS!$B$7:$B$27,nASIG)&gt;0)*(nNOTA))/SUMPRODUCT((nNIA=Y581)*(nCUENTA=1)*(COUNTIF(CONFIG_ASIGNATURAS!$B$7:$B$27,nASIG)&gt;0)*1),"")))</f>
        <v/>
      </c>
      <c r="AF581" t="str">
        <f>IF(AE581="","",IF(AE581="[FÓRMULA MANUAL]","",IFERROR(AVERAGEIFS(nNOTA,nNIA,AE581,nCUENTA,1,nASIG,"Análisis"),"")))</f>
        <v/>
      </c>
      <c r="AG581" t="str">
        <f>IF(AE581="","",IF(AE581="[FÓRMULA MANUAL]","",IFERROR(AVERAGEIFS(nNOTA,nNIA,AE581,nCUENTA,1,nASIG,"Orquesta/Banda/Conjunto"),"")))</f>
        <v/>
      </c>
      <c r="AH581" t="str">
        <f>IF(AE581="","",IF(AE581="[FÓRMULA MANUAL]","",IFERROR(AVERAGEIFS(nNOTA,nNIA,AE581,nCUENTA,1,nASIG,"Música de Cámara"),"")))</f>
        <v/>
      </c>
      <c r="AI581" t="str">
        <f>IF(AE581="","",IF(AE581="[FÓRMULA MANUAL]","",IFERROR(SUMPRODUCT((nNIA=AE581)*(nCUENTA=1)*(COUNTIF(CONFIG_ASIGNATURAS!$B$7:$B$27,nASIG)&gt;0)*(nNOTA))/SUMPRODUCT((nNIA=AE581)*(nCUENTA=1)*(COUNTIF(CONFIG_ASIGNATURAS!$B$7:$B$27,nASIG)&gt;0)*1),"")))</f>
        <v/>
      </c>
    </row>
    <row r="582" spans="2:35" x14ac:dyDescent="0.2">
      <c r="B582" t="str">
        <f>IF(A582="","",IF(A582="[FÓRMULA MANUAL]","",IFERROR(AVERAGEIFS(nNOTA,nNIA,A582,nCUENTA,1,nASIG,"Lenguaje Musical"),"")))</f>
        <v/>
      </c>
      <c r="C582" t="str">
        <f>IF(A582="","",IF(A582="[FÓRMULA MANUAL]","",IFERROR(AVERAGEIFS(nNOTA,nNIA,A582,nCUENTA,1,nASIG,"Orquesta/Banda/Conjunto"),"")))</f>
        <v/>
      </c>
      <c r="D582" t="str">
        <f>IF(A582="","",IF(A582="[FÓRMULA MANUAL]","",IFERROR(AVERAGEIFS(nNOTA,nNIA,A582,nCUENTA,1,nASIG,"Conjunto"),"")))</f>
        <v/>
      </c>
      <c r="E582" t="str">
        <f>IF(A582="","",IF(A582="[FÓRMULA MANUAL]","",IFERROR(SUMPRODUCT((nNIA=A582)*(nCUENTA=1)*(COUNTIF(CONFIG_ASIGNATURAS!$B$7:$B$27,nASIG)&gt;0)*(nNOTA))/SUMPRODUCT((nNIA=A582)*(nCUENTA=1)*(COUNTIF(CONFIG_ASIGNATURAS!$B$7:$B$27,nASIG)&gt;0)*1),"")))</f>
        <v/>
      </c>
      <c r="H582" t="str">
        <f>IF(G582="","",IF(G582="[FÓRMULA MANUAL]","",IFERROR(AVERAGEIFS(nNOTA,nNIA,G582,nCUENTA,1,nASIG,"Lenguaje Musical"),"")))</f>
        <v/>
      </c>
      <c r="I582" t="str">
        <f>IF(G582="","",IF(G582="[FÓRMULA MANUAL]","",IFERROR(AVERAGEIFS(nNOTA,nNIA,G582,nCUENTA,1,nASIG,"Orquesta/Banda/Conjunto"),"")))</f>
        <v/>
      </c>
      <c r="J582" t="str">
        <f>IF(G582="","",IF(G582="[FÓRMULA MANUAL]","",IFERROR(AVERAGEIFS(nNOTA,nNIA,G582,nCUENTA,1,nASIG,"Conjunto"),"")))</f>
        <v/>
      </c>
      <c r="K582" t="str">
        <f>IF(G582="","",IF(G582="[FÓRMULA MANUAL]","",IFERROR(SUMPRODUCT((nNIA=G582)*(nCUENTA=1)*(COUNTIF(CONFIG_ASIGNATURAS!$B$7:$B$27,nASIG)&gt;0)*(nNOTA))/SUMPRODUCT((nNIA=G582)*(nCUENTA=1)*(COUNTIF(CONFIG_ASIGNATURAS!$B$7:$B$27,nASIG)&gt;0)*1),"")))</f>
        <v/>
      </c>
      <c r="N582" t="str">
        <f>IF(M582="","",IF(M582="[FÓRMULA MANUAL]","",IFERROR(AVERAGEIFS(nNOTA,nNIA,M582,nCUENTA,1,nASIG,"Armonía"),"")))</f>
        <v/>
      </c>
      <c r="O582" t="str">
        <f>IF(M582="","",IF(M582="[FÓRMULA MANUAL]","",IFERROR(AVERAGEIFS(nNOTA,nNIA,M582,nCUENTA,1,nASIG,"Orquesta/Banda/Conjunto"),"")))</f>
        <v/>
      </c>
      <c r="P582" t="str">
        <f>IF(M582="","",IF(M582="[FÓRMULA MANUAL]","",IFERROR(AVERAGEIFS(nNOTA,nNIA,M582,nCUENTA,1,nASIG,"Música de Cámara"),"")))</f>
        <v/>
      </c>
      <c r="Q582" t="str">
        <f>IF(M582="","",IF(M582="[FÓRMULA MANUAL]","",IFERROR(SUMPRODUCT((nNIA=M582)*(nCUENTA=1)*(COUNTIF(CONFIG_ASIGNATURAS!$B$7:$B$27,nASIG)&gt;0)*(nNOTA))/SUMPRODUCT((nNIA=M582)*(nCUENTA=1)*(COUNTIF(CONFIG_ASIGNATURAS!$B$7:$B$27,nASIG)&gt;0)*1),"")))</f>
        <v/>
      </c>
      <c r="T582" t="str">
        <f>IF(S582="","",IF(S582="[FÓRMULA MANUAL]","",IFERROR(AVERAGEIFS(nNOTA,nNIA,S582,nCUENTA,1,nASIG,"Armonía"),"")))</f>
        <v/>
      </c>
      <c r="U582" t="str">
        <f>IF(S582="","",IF(S582="[FÓRMULA MANUAL]","",IFERROR(AVERAGEIFS(nNOTA,nNIA,S582,nCUENTA,1,nASIG,"Orquesta/Banda/Conjunto"),"")))</f>
        <v/>
      </c>
      <c r="V582" t="str">
        <f>IF(S582="","",IF(S582="[FÓRMULA MANUAL]","",IFERROR(AVERAGEIFS(nNOTA,nNIA,S582,nCUENTA,1,nASIG,"Música de Cámara"),"")))</f>
        <v/>
      </c>
      <c r="W582" t="str">
        <f>IF(S582="","",IF(S582="[FÓRMULA MANUAL]","",IFERROR(SUMPRODUCT((nNIA=S582)*(nCUENTA=1)*(COUNTIF(CONFIG_ASIGNATURAS!$B$7:$B$27,nASIG)&gt;0)*(nNOTA))/SUMPRODUCT((nNIA=S582)*(nCUENTA=1)*(COUNTIF(CONFIG_ASIGNATURAS!$B$7:$B$27,nASIG)&gt;0)*1),"")))</f>
        <v/>
      </c>
      <c r="Z582" t="str">
        <f>IF(Y582="","",IF(Y582="[FÓRMULA MANUAL]","",IFERROR(AVERAGEIFS(nNOTA,nNIA,Y582,nCUENTA,1,nASIG,"Análisis"),"")))</f>
        <v/>
      </c>
      <c r="AA582" t="str">
        <f>IF(Y582="","",IF(Y582="[FÓRMULA MANUAL]","",IFERROR(AVERAGEIFS(nNOTA,nNIA,Y582,nCUENTA,1,nASIG,"Orquesta/Banda/Conjunto"),"")))</f>
        <v/>
      </c>
      <c r="AB582" t="str">
        <f>IF(Y582="","",IF(Y582="[FÓRMULA MANUAL]","",IFERROR(AVERAGEIFS(nNOTA,nNIA,Y582,nCUENTA,1,nASIG,"Música de Cámara"),"")))</f>
        <v/>
      </c>
      <c r="AC582" t="str">
        <f>IF(Y582="","",IF(Y582="[FÓRMULA MANUAL]","",IFERROR(SUMPRODUCT((nNIA=Y582)*(nCUENTA=1)*(COUNTIF(CONFIG_ASIGNATURAS!$B$7:$B$27,nASIG)&gt;0)*(nNOTA))/SUMPRODUCT((nNIA=Y582)*(nCUENTA=1)*(COUNTIF(CONFIG_ASIGNATURAS!$B$7:$B$27,nASIG)&gt;0)*1),"")))</f>
        <v/>
      </c>
      <c r="AF582" t="str">
        <f>IF(AE582="","",IF(AE582="[FÓRMULA MANUAL]","",IFERROR(AVERAGEIFS(nNOTA,nNIA,AE582,nCUENTA,1,nASIG,"Análisis"),"")))</f>
        <v/>
      </c>
      <c r="AG582" t="str">
        <f>IF(AE582="","",IF(AE582="[FÓRMULA MANUAL]","",IFERROR(AVERAGEIFS(nNOTA,nNIA,AE582,nCUENTA,1,nASIG,"Orquesta/Banda/Conjunto"),"")))</f>
        <v/>
      </c>
      <c r="AH582" t="str">
        <f>IF(AE582="","",IF(AE582="[FÓRMULA MANUAL]","",IFERROR(AVERAGEIFS(nNOTA,nNIA,AE582,nCUENTA,1,nASIG,"Música de Cámara"),"")))</f>
        <v/>
      </c>
      <c r="AI582" t="str">
        <f>IF(AE582="","",IF(AE582="[FÓRMULA MANUAL]","",IFERROR(SUMPRODUCT((nNIA=AE582)*(nCUENTA=1)*(COUNTIF(CONFIG_ASIGNATURAS!$B$7:$B$27,nASIG)&gt;0)*(nNOTA))/SUMPRODUCT((nNIA=AE582)*(nCUENTA=1)*(COUNTIF(CONFIG_ASIGNATURAS!$B$7:$B$27,nASIG)&gt;0)*1),"")))</f>
        <v/>
      </c>
    </row>
    <row r="583" spans="2:35" x14ac:dyDescent="0.2">
      <c r="B583" t="str">
        <f>IF(A583="","",IF(A583="[FÓRMULA MANUAL]","",IFERROR(AVERAGEIFS(nNOTA,nNIA,A583,nCUENTA,1,nASIG,"Lenguaje Musical"),"")))</f>
        <v/>
      </c>
      <c r="C583" t="str">
        <f>IF(A583="","",IF(A583="[FÓRMULA MANUAL]","",IFERROR(AVERAGEIFS(nNOTA,nNIA,A583,nCUENTA,1,nASIG,"Orquesta/Banda/Conjunto"),"")))</f>
        <v/>
      </c>
      <c r="D583" t="str">
        <f>IF(A583="","",IF(A583="[FÓRMULA MANUAL]","",IFERROR(AVERAGEIFS(nNOTA,nNIA,A583,nCUENTA,1,nASIG,"Conjunto"),"")))</f>
        <v/>
      </c>
      <c r="E583" t="str">
        <f>IF(A583="","",IF(A583="[FÓRMULA MANUAL]","",IFERROR(SUMPRODUCT((nNIA=A583)*(nCUENTA=1)*(COUNTIF(CONFIG_ASIGNATURAS!$B$7:$B$27,nASIG)&gt;0)*(nNOTA))/SUMPRODUCT((nNIA=A583)*(nCUENTA=1)*(COUNTIF(CONFIG_ASIGNATURAS!$B$7:$B$27,nASIG)&gt;0)*1),"")))</f>
        <v/>
      </c>
      <c r="H583" t="str">
        <f>IF(G583="","",IF(G583="[FÓRMULA MANUAL]","",IFERROR(AVERAGEIFS(nNOTA,nNIA,G583,nCUENTA,1,nASIG,"Lenguaje Musical"),"")))</f>
        <v/>
      </c>
      <c r="I583" t="str">
        <f>IF(G583="","",IF(G583="[FÓRMULA MANUAL]","",IFERROR(AVERAGEIFS(nNOTA,nNIA,G583,nCUENTA,1,nASIG,"Orquesta/Banda/Conjunto"),"")))</f>
        <v/>
      </c>
      <c r="J583" t="str">
        <f>IF(G583="","",IF(G583="[FÓRMULA MANUAL]","",IFERROR(AVERAGEIFS(nNOTA,nNIA,G583,nCUENTA,1,nASIG,"Conjunto"),"")))</f>
        <v/>
      </c>
      <c r="K583" t="str">
        <f>IF(G583="","",IF(G583="[FÓRMULA MANUAL]","",IFERROR(SUMPRODUCT((nNIA=G583)*(nCUENTA=1)*(COUNTIF(CONFIG_ASIGNATURAS!$B$7:$B$27,nASIG)&gt;0)*(nNOTA))/SUMPRODUCT((nNIA=G583)*(nCUENTA=1)*(COUNTIF(CONFIG_ASIGNATURAS!$B$7:$B$27,nASIG)&gt;0)*1),"")))</f>
        <v/>
      </c>
      <c r="N583" t="str">
        <f>IF(M583="","",IF(M583="[FÓRMULA MANUAL]","",IFERROR(AVERAGEIFS(nNOTA,nNIA,M583,nCUENTA,1,nASIG,"Armonía"),"")))</f>
        <v/>
      </c>
      <c r="O583" t="str">
        <f>IF(M583="","",IF(M583="[FÓRMULA MANUAL]","",IFERROR(AVERAGEIFS(nNOTA,nNIA,M583,nCUENTA,1,nASIG,"Orquesta/Banda/Conjunto"),"")))</f>
        <v/>
      </c>
      <c r="P583" t="str">
        <f>IF(M583="","",IF(M583="[FÓRMULA MANUAL]","",IFERROR(AVERAGEIFS(nNOTA,nNIA,M583,nCUENTA,1,nASIG,"Música de Cámara"),"")))</f>
        <v/>
      </c>
      <c r="Q583" t="str">
        <f>IF(M583="","",IF(M583="[FÓRMULA MANUAL]","",IFERROR(SUMPRODUCT((nNIA=M583)*(nCUENTA=1)*(COUNTIF(CONFIG_ASIGNATURAS!$B$7:$B$27,nASIG)&gt;0)*(nNOTA))/SUMPRODUCT((nNIA=M583)*(nCUENTA=1)*(COUNTIF(CONFIG_ASIGNATURAS!$B$7:$B$27,nASIG)&gt;0)*1),"")))</f>
        <v/>
      </c>
      <c r="T583" t="str">
        <f>IF(S583="","",IF(S583="[FÓRMULA MANUAL]","",IFERROR(AVERAGEIFS(nNOTA,nNIA,S583,nCUENTA,1,nASIG,"Armonía"),"")))</f>
        <v/>
      </c>
      <c r="U583" t="str">
        <f>IF(S583="","",IF(S583="[FÓRMULA MANUAL]","",IFERROR(AVERAGEIFS(nNOTA,nNIA,S583,nCUENTA,1,nASIG,"Orquesta/Banda/Conjunto"),"")))</f>
        <v/>
      </c>
      <c r="V583" t="str">
        <f>IF(S583="","",IF(S583="[FÓRMULA MANUAL]","",IFERROR(AVERAGEIFS(nNOTA,nNIA,S583,nCUENTA,1,nASIG,"Música de Cámara"),"")))</f>
        <v/>
      </c>
      <c r="W583" t="str">
        <f>IF(S583="","",IF(S583="[FÓRMULA MANUAL]","",IFERROR(SUMPRODUCT((nNIA=S583)*(nCUENTA=1)*(COUNTIF(CONFIG_ASIGNATURAS!$B$7:$B$27,nASIG)&gt;0)*(nNOTA))/SUMPRODUCT((nNIA=S583)*(nCUENTA=1)*(COUNTIF(CONFIG_ASIGNATURAS!$B$7:$B$27,nASIG)&gt;0)*1),"")))</f>
        <v/>
      </c>
      <c r="Z583" t="str">
        <f>IF(Y583="","",IF(Y583="[FÓRMULA MANUAL]","",IFERROR(AVERAGEIFS(nNOTA,nNIA,Y583,nCUENTA,1,nASIG,"Análisis"),"")))</f>
        <v/>
      </c>
      <c r="AA583" t="str">
        <f>IF(Y583="","",IF(Y583="[FÓRMULA MANUAL]","",IFERROR(AVERAGEIFS(nNOTA,nNIA,Y583,nCUENTA,1,nASIG,"Orquesta/Banda/Conjunto"),"")))</f>
        <v/>
      </c>
      <c r="AB583" t="str">
        <f>IF(Y583="","",IF(Y583="[FÓRMULA MANUAL]","",IFERROR(AVERAGEIFS(nNOTA,nNIA,Y583,nCUENTA,1,nASIG,"Música de Cámara"),"")))</f>
        <v/>
      </c>
      <c r="AC583" t="str">
        <f>IF(Y583="","",IF(Y583="[FÓRMULA MANUAL]","",IFERROR(SUMPRODUCT((nNIA=Y583)*(nCUENTA=1)*(COUNTIF(CONFIG_ASIGNATURAS!$B$7:$B$27,nASIG)&gt;0)*(nNOTA))/SUMPRODUCT((nNIA=Y583)*(nCUENTA=1)*(COUNTIF(CONFIG_ASIGNATURAS!$B$7:$B$27,nASIG)&gt;0)*1),"")))</f>
        <v/>
      </c>
      <c r="AF583" t="str">
        <f>IF(AE583="","",IF(AE583="[FÓRMULA MANUAL]","",IFERROR(AVERAGEIFS(nNOTA,nNIA,AE583,nCUENTA,1,nASIG,"Análisis"),"")))</f>
        <v/>
      </c>
      <c r="AG583" t="str">
        <f>IF(AE583="","",IF(AE583="[FÓRMULA MANUAL]","",IFERROR(AVERAGEIFS(nNOTA,nNIA,AE583,nCUENTA,1,nASIG,"Orquesta/Banda/Conjunto"),"")))</f>
        <v/>
      </c>
      <c r="AH583" t="str">
        <f>IF(AE583="","",IF(AE583="[FÓRMULA MANUAL]","",IFERROR(AVERAGEIFS(nNOTA,nNIA,AE583,nCUENTA,1,nASIG,"Música de Cámara"),"")))</f>
        <v/>
      </c>
      <c r="AI583" t="str">
        <f>IF(AE583="","",IF(AE583="[FÓRMULA MANUAL]","",IFERROR(SUMPRODUCT((nNIA=AE583)*(nCUENTA=1)*(COUNTIF(CONFIG_ASIGNATURAS!$B$7:$B$27,nASIG)&gt;0)*(nNOTA))/SUMPRODUCT((nNIA=AE583)*(nCUENTA=1)*(COUNTIF(CONFIG_ASIGNATURAS!$B$7:$B$27,nASIG)&gt;0)*1),"")))</f>
        <v/>
      </c>
    </row>
    <row r="584" spans="2:35" x14ac:dyDescent="0.2">
      <c r="B584" t="str">
        <f>IF(A584="","",IF(A584="[FÓRMULA MANUAL]","",IFERROR(AVERAGEIFS(nNOTA,nNIA,A584,nCUENTA,1,nASIG,"Lenguaje Musical"),"")))</f>
        <v/>
      </c>
      <c r="C584" t="str">
        <f>IF(A584="","",IF(A584="[FÓRMULA MANUAL]","",IFERROR(AVERAGEIFS(nNOTA,nNIA,A584,nCUENTA,1,nASIG,"Orquesta/Banda/Conjunto"),"")))</f>
        <v/>
      </c>
      <c r="D584" t="str">
        <f>IF(A584="","",IF(A584="[FÓRMULA MANUAL]","",IFERROR(AVERAGEIFS(nNOTA,nNIA,A584,nCUENTA,1,nASIG,"Conjunto"),"")))</f>
        <v/>
      </c>
      <c r="E584" t="str">
        <f>IF(A584="","",IF(A584="[FÓRMULA MANUAL]","",IFERROR(SUMPRODUCT((nNIA=A584)*(nCUENTA=1)*(COUNTIF(CONFIG_ASIGNATURAS!$B$7:$B$27,nASIG)&gt;0)*(nNOTA))/SUMPRODUCT((nNIA=A584)*(nCUENTA=1)*(COUNTIF(CONFIG_ASIGNATURAS!$B$7:$B$27,nASIG)&gt;0)*1),"")))</f>
        <v/>
      </c>
      <c r="H584" t="str">
        <f>IF(G584="","",IF(G584="[FÓRMULA MANUAL]","",IFERROR(AVERAGEIFS(nNOTA,nNIA,G584,nCUENTA,1,nASIG,"Lenguaje Musical"),"")))</f>
        <v/>
      </c>
      <c r="I584" t="str">
        <f>IF(G584="","",IF(G584="[FÓRMULA MANUAL]","",IFERROR(AVERAGEIFS(nNOTA,nNIA,G584,nCUENTA,1,nASIG,"Orquesta/Banda/Conjunto"),"")))</f>
        <v/>
      </c>
      <c r="J584" t="str">
        <f>IF(G584="","",IF(G584="[FÓRMULA MANUAL]","",IFERROR(AVERAGEIFS(nNOTA,nNIA,G584,nCUENTA,1,nASIG,"Conjunto"),"")))</f>
        <v/>
      </c>
      <c r="K584" t="str">
        <f>IF(G584="","",IF(G584="[FÓRMULA MANUAL]","",IFERROR(SUMPRODUCT((nNIA=G584)*(nCUENTA=1)*(COUNTIF(CONFIG_ASIGNATURAS!$B$7:$B$27,nASIG)&gt;0)*(nNOTA))/SUMPRODUCT((nNIA=G584)*(nCUENTA=1)*(COUNTIF(CONFIG_ASIGNATURAS!$B$7:$B$27,nASIG)&gt;0)*1),"")))</f>
        <v/>
      </c>
      <c r="N584" t="str">
        <f>IF(M584="","",IF(M584="[FÓRMULA MANUAL]","",IFERROR(AVERAGEIFS(nNOTA,nNIA,M584,nCUENTA,1,nASIG,"Armonía"),"")))</f>
        <v/>
      </c>
      <c r="O584" t="str">
        <f>IF(M584="","",IF(M584="[FÓRMULA MANUAL]","",IFERROR(AVERAGEIFS(nNOTA,nNIA,M584,nCUENTA,1,nASIG,"Orquesta/Banda/Conjunto"),"")))</f>
        <v/>
      </c>
      <c r="P584" t="str">
        <f>IF(M584="","",IF(M584="[FÓRMULA MANUAL]","",IFERROR(AVERAGEIFS(nNOTA,nNIA,M584,nCUENTA,1,nASIG,"Música de Cámara"),"")))</f>
        <v/>
      </c>
      <c r="Q584" t="str">
        <f>IF(M584="","",IF(M584="[FÓRMULA MANUAL]","",IFERROR(SUMPRODUCT((nNIA=M584)*(nCUENTA=1)*(COUNTIF(CONFIG_ASIGNATURAS!$B$7:$B$27,nASIG)&gt;0)*(nNOTA))/SUMPRODUCT((nNIA=M584)*(nCUENTA=1)*(COUNTIF(CONFIG_ASIGNATURAS!$B$7:$B$27,nASIG)&gt;0)*1),"")))</f>
        <v/>
      </c>
      <c r="T584" t="str">
        <f>IF(S584="","",IF(S584="[FÓRMULA MANUAL]","",IFERROR(AVERAGEIFS(nNOTA,nNIA,S584,nCUENTA,1,nASIG,"Armonía"),"")))</f>
        <v/>
      </c>
      <c r="U584" t="str">
        <f>IF(S584="","",IF(S584="[FÓRMULA MANUAL]","",IFERROR(AVERAGEIFS(nNOTA,nNIA,S584,nCUENTA,1,nASIG,"Orquesta/Banda/Conjunto"),"")))</f>
        <v/>
      </c>
      <c r="V584" t="str">
        <f>IF(S584="","",IF(S584="[FÓRMULA MANUAL]","",IFERROR(AVERAGEIFS(nNOTA,nNIA,S584,nCUENTA,1,nASIG,"Música de Cámara"),"")))</f>
        <v/>
      </c>
      <c r="W584" t="str">
        <f>IF(S584="","",IF(S584="[FÓRMULA MANUAL]","",IFERROR(SUMPRODUCT((nNIA=S584)*(nCUENTA=1)*(COUNTIF(CONFIG_ASIGNATURAS!$B$7:$B$27,nASIG)&gt;0)*(nNOTA))/SUMPRODUCT((nNIA=S584)*(nCUENTA=1)*(COUNTIF(CONFIG_ASIGNATURAS!$B$7:$B$27,nASIG)&gt;0)*1),"")))</f>
        <v/>
      </c>
      <c r="Z584" t="str">
        <f>IF(Y584="","",IF(Y584="[FÓRMULA MANUAL]","",IFERROR(AVERAGEIFS(nNOTA,nNIA,Y584,nCUENTA,1,nASIG,"Análisis"),"")))</f>
        <v/>
      </c>
      <c r="AA584" t="str">
        <f>IF(Y584="","",IF(Y584="[FÓRMULA MANUAL]","",IFERROR(AVERAGEIFS(nNOTA,nNIA,Y584,nCUENTA,1,nASIG,"Orquesta/Banda/Conjunto"),"")))</f>
        <v/>
      </c>
      <c r="AB584" t="str">
        <f>IF(Y584="","",IF(Y584="[FÓRMULA MANUAL]","",IFERROR(AVERAGEIFS(nNOTA,nNIA,Y584,nCUENTA,1,nASIG,"Música de Cámara"),"")))</f>
        <v/>
      </c>
      <c r="AC584" t="str">
        <f>IF(Y584="","",IF(Y584="[FÓRMULA MANUAL]","",IFERROR(SUMPRODUCT((nNIA=Y584)*(nCUENTA=1)*(COUNTIF(CONFIG_ASIGNATURAS!$B$7:$B$27,nASIG)&gt;0)*(nNOTA))/SUMPRODUCT((nNIA=Y584)*(nCUENTA=1)*(COUNTIF(CONFIG_ASIGNATURAS!$B$7:$B$27,nASIG)&gt;0)*1),"")))</f>
        <v/>
      </c>
      <c r="AF584" t="str">
        <f>IF(AE584="","",IF(AE584="[FÓRMULA MANUAL]","",IFERROR(AVERAGEIFS(nNOTA,nNIA,AE584,nCUENTA,1,nASIG,"Análisis"),"")))</f>
        <v/>
      </c>
      <c r="AG584" t="str">
        <f>IF(AE584="","",IF(AE584="[FÓRMULA MANUAL]","",IFERROR(AVERAGEIFS(nNOTA,nNIA,AE584,nCUENTA,1,nASIG,"Orquesta/Banda/Conjunto"),"")))</f>
        <v/>
      </c>
      <c r="AH584" t="str">
        <f>IF(AE584="","",IF(AE584="[FÓRMULA MANUAL]","",IFERROR(AVERAGEIFS(nNOTA,nNIA,AE584,nCUENTA,1,nASIG,"Música de Cámara"),"")))</f>
        <v/>
      </c>
      <c r="AI584" t="str">
        <f>IF(AE584="","",IF(AE584="[FÓRMULA MANUAL]","",IFERROR(SUMPRODUCT((nNIA=AE584)*(nCUENTA=1)*(COUNTIF(CONFIG_ASIGNATURAS!$B$7:$B$27,nASIG)&gt;0)*(nNOTA))/SUMPRODUCT((nNIA=AE584)*(nCUENTA=1)*(COUNTIF(CONFIG_ASIGNATURAS!$B$7:$B$27,nASIG)&gt;0)*1),"")))</f>
        <v/>
      </c>
    </row>
    <row r="585" spans="2:35" x14ac:dyDescent="0.2">
      <c r="B585" t="str">
        <f>IF(A585="","",IF(A585="[FÓRMULA MANUAL]","",IFERROR(AVERAGEIFS(nNOTA,nNIA,A585,nCUENTA,1,nASIG,"Lenguaje Musical"),"")))</f>
        <v/>
      </c>
      <c r="C585" t="str">
        <f>IF(A585="","",IF(A585="[FÓRMULA MANUAL]","",IFERROR(AVERAGEIFS(nNOTA,nNIA,A585,nCUENTA,1,nASIG,"Orquesta/Banda/Conjunto"),"")))</f>
        <v/>
      </c>
      <c r="D585" t="str">
        <f>IF(A585="","",IF(A585="[FÓRMULA MANUAL]","",IFERROR(AVERAGEIFS(nNOTA,nNIA,A585,nCUENTA,1,nASIG,"Conjunto"),"")))</f>
        <v/>
      </c>
      <c r="E585" t="str">
        <f>IF(A585="","",IF(A585="[FÓRMULA MANUAL]","",IFERROR(SUMPRODUCT((nNIA=A585)*(nCUENTA=1)*(COUNTIF(CONFIG_ASIGNATURAS!$B$7:$B$27,nASIG)&gt;0)*(nNOTA))/SUMPRODUCT((nNIA=A585)*(nCUENTA=1)*(COUNTIF(CONFIG_ASIGNATURAS!$B$7:$B$27,nASIG)&gt;0)*1),"")))</f>
        <v/>
      </c>
      <c r="H585" t="str">
        <f>IF(G585="","",IF(G585="[FÓRMULA MANUAL]","",IFERROR(AVERAGEIFS(nNOTA,nNIA,G585,nCUENTA,1,nASIG,"Lenguaje Musical"),"")))</f>
        <v/>
      </c>
      <c r="I585" t="str">
        <f>IF(G585="","",IF(G585="[FÓRMULA MANUAL]","",IFERROR(AVERAGEIFS(nNOTA,nNIA,G585,nCUENTA,1,nASIG,"Orquesta/Banda/Conjunto"),"")))</f>
        <v/>
      </c>
      <c r="J585" t="str">
        <f>IF(G585="","",IF(G585="[FÓRMULA MANUAL]","",IFERROR(AVERAGEIFS(nNOTA,nNIA,G585,nCUENTA,1,nASIG,"Conjunto"),"")))</f>
        <v/>
      </c>
      <c r="K585" t="str">
        <f>IF(G585="","",IF(G585="[FÓRMULA MANUAL]","",IFERROR(SUMPRODUCT((nNIA=G585)*(nCUENTA=1)*(COUNTIF(CONFIG_ASIGNATURAS!$B$7:$B$27,nASIG)&gt;0)*(nNOTA))/SUMPRODUCT((nNIA=G585)*(nCUENTA=1)*(COUNTIF(CONFIG_ASIGNATURAS!$B$7:$B$27,nASIG)&gt;0)*1),"")))</f>
        <v/>
      </c>
      <c r="N585" t="str">
        <f>IF(M585="","",IF(M585="[FÓRMULA MANUAL]","",IFERROR(AVERAGEIFS(nNOTA,nNIA,M585,nCUENTA,1,nASIG,"Armonía"),"")))</f>
        <v/>
      </c>
      <c r="O585" t="str">
        <f>IF(M585="","",IF(M585="[FÓRMULA MANUAL]","",IFERROR(AVERAGEIFS(nNOTA,nNIA,M585,nCUENTA,1,nASIG,"Orquesta/Banda/Conjunto"),"")))</f>
        <v/>
      </c>
      <c r="P585" t="str">
        <f>IF(M585="","",IF(M585="[FÓRMULA MANUAL]","",IFERROR(AVERAGEIFS(nNOTA,nNIA,M585,nCUENTA,1,nASIG,"Música de Cámara"),"")))</f>
        <v/>
      </c>
      <c r="Q585" t="str">
        <f>IF(M585="","",IF(M585="[FÓRMULA MANUAL]","",IFERROR(SUMPRODUCT((nNIA=M585)*(nCUENTA=1)*(COUNTIF(CONFIG_ASIGNATURAS!$B$7:$B$27,nASIG)&gt;0)*(nNOTA))/SUMPRODUCT((nNIA=M585)*(nCUENTA=1)*(COUNTIF(CONFIG_ASIGNATURAS!$B$7:$B$27,nASIG)&gt;0)*1),"")))</f>
        <v/>
      </c>
      <c r="T585" t="str">
        <f>IF(S585="","",IF(S585="[FÓRMULA MANUAL]","",IFERROR(AVERAGEIFS(nNOTA,nNIA,S585,nCUENTA,1,nASIG,"Armonía"),"")))</f>
        <v/>
      </c>
      <c r="U585" t="str">
        <f>IF(S585="","",IF(S585="[FÓRMULA MANUAL]","",IFERROR(AVERAGEIFS(nNOTA,nNIA,S585,nCUENTA,1,nASIG,"Orquesta/Banda/Conjunto"),"")))</f>
        <v/>
      </c>
      <c r="V585" t="str">
        <f>IF(S585="","",IF(S585="[FÓRMULA MANUAL]","",IFERROR(AVERAGEIFS(nNOTA,nNIA,S585,nCUENTA,1,nASIG,"Música de Cámara"),"")))</f>
        <v/>
      </c>
      <c r="W585" t="str">
        <f>IF(S585="","",IF(S585="[FÓRMULA MANUAL]","",IFERROR(SUMPRODUCT((nNIA=S585)*(nCUENTA=1)*(COUNTIF(CONFIG_ASIGNATURAS!$B$7:$B$27,nASIG)&gt;0)*(nNOTA))/SUMPRODUCT((nNIA=S585)*(nCUENTA=1)*(COUNTIF(CONFIG_ASIGNATURAS!$B$7:$B$27,nASIG)&gt;0)*1),"")))</f>
        <v/>
      </c>
      <c r="Z585" t="str">
        <f>IF(Y585="","",IF(Y585="[FÓRMULA MANUAL]","",IFERROR(AVERAGEIFS(nNOTA,nNIA,Y585,nCUENTA,1,nASIG,"Análisis"),"")))</f>
        <v/>
      </c>
      <c r="AA585" t="str">
        <f>IF(Y585="","",IF(Y585="[FÓRMULA MANUAL]","",IFERROR(AVERAGEIFS(nNOTA,nNIA,Y585,nCUENTA,1,nASIG,"Orquesta/Banda/Conjunto"),"")))</f>
        <v/>
      </c>
      <c r="AB585" t="str">
        <f>IF(Y585="","",IF(Y585="[FÓRMULA MANUAL]","",IFERROR(AVERAGEIFS(nNOTA,nNIA,Y585,nCUENTA,1,nASIG,"Música de Cámara"),"")))</f>
        <v/>
      </c>
      <c r="AC585" t="str">
        <f>IF(Y585="","",IF(Y585="[FÓRMULA MANUAL]","",IFERROR(SUMPRODUCT((nNIA=Y585)*(nCUENTA=1)*(COUNTIF(CONFIG_ASIGNATURAS!$B$7:$B$27,nASIG)&gt;0)*(nNOTA))/SUMPRODUCT((nNIA=Y585)*(nCUENTA=1)*(COUNTIF(CONFIG_ASIGNATURAS!$B$7:$B$27,nASIG)&gt;0)*1),"")))</f>
        <v/>
      </c>
      <c r="AF585" t="str">
        <f>IF(AE585="","",IF(AE585="[FÓRMULA MANUAL]","",IFERROR(AVERAGEIFS(nNOTA,nNIA,AE585,nCUENTA,1,nASIG,"Análisis"),"")))</f>
        <v/>
      </c>
      <c r="AG585" t="str">
        <f>IF(AE585="","",IF(AE585="[FÓRMULA MANUAL]","",IFERROR(AVERAGEIFS(nNOTA,nNIA,AE585,nCUENTA,1,nASIG,"Orquesta/Banda/Conjunto"),"")))</f>
        <v/>
      </c>
      <c r="AH585" t="str">
        <f>IF(AE585="","",IF(AE585="[FÓRMULA MANUAL]","",IFERROR(AVERAGEIFS(nNOTA,nNIA,AE585,nCUENTA,1,nASIG,"Música de Cámara"),"")))</f>
        <v/>
      </c>
      <c r="AI585" t="str">
        <f>IF(AE585="","",IF(AE585="[FÓRMULA MANUAL]","",IFERROR(SUMPRODUCT((nNIA=AE585)*(nCUENTA=1)*(COUNTIF(CONFIG_ASIGNATURAS!$B$7:$B$27,nASIG)&gt;0)*(nNOTA))/SUMPRODUCT((nNIA=AE585)*(nCUENTA=1)*(COUNTIF(CONFIG_ASIGNATURAS!$B$7:$B$27,nASIG)&gt;0)*1),"")))</f>
        <v/>
      </c>
    </row>
    <row r="586" spans="2:35" x14ac:dyDescent="0.2">
      <c r="B586" t="str">
        <f>IF(A586="","",IF(A586="[FÓRMULA MANUAL]","",IFERROR(AVERAGEIFS(nNOTA,nNIA,A586,nCUENTA,1,nASIG,"Lenguaje Musical"),"")))</f>
        <v/>
      </c>
      <c r="C586" t="str">
        <f>IF(A586="","",IF(A586="[FÓRMULA MANUAL]","",IFERROR(AVERAGEIFS(nNOTA,nNIA,A586,nCUENTA,1,nASIG,"Orquesta/Banda/Conjunto"),"")))</f>
        <v/>
      </c>
      <c r="D586" t="str">
        <f>IF(A586="","",IF(A586="[FÓRMULA MANUAL]","",IFERROR(AVERAGEIFS(nNOTA,nNIA,A586,nCUENTA,1,nASIG,"Conjunto"),"")))</f>
        <v/>
      </c>
      <c r="E586" t="str">
        <f>IF(A586="","",IF(A586="[FÓRMULA MANUAL]","",IFERROR(SUMPRODUCT((nNIA=A586)*(nCUENTA=1)*(COUNTIF(CONFIG_ASIGNATURAS!$B$7:$B$27,nASIG)&gt;0)*(nNOTA))/SUMPRODUCT((nNIA=A586)*(nCUENTA=1)*(COUNTIF(CONFIG_ASIGNATURAS!$B$7:$B$27,nASIG)&gt;0)*1),"")))</f>
        <v/>
      </c>
      <c r="H586" t="str">
        <f>IF(G586="","",IF(G586="[FÓRMULA MANUAL]","",IFERROR(AVERAGEIFS(nNOTA,nNIA,G586,nCUENTA,1,nASIG,"Lenguaje Musical"),"")))</f>
        <v/>
      </c>
      <c r="I586" t="str">
        <f>IF(G586="","",IF(G586="[FÓRMULA MANUAL]","",IFERROR(AVERAGEIFS(nNOTA,nNIA,G586,nCUENTA,1,nASIG,"Orquesta/Banda/Conjunto"),"")))</f>
        <v/>
      </c>
      <c r="J586" t="str">
        <f>IF(G586="","",IF(G586="[FÓRMULA MANUAL]","",IFERROR(AVERAGEIFS(nNOTA,nNIA,G586,nCUENTA,1,nASIG,"Conjunto"),"")))</f>
        <v/>
      </c>
      <c r="K586" t="str">
        <f>IF(G586="","",IF(G586="[FÓRMULA MANUAL]","",IFERROR(SUMPRODUCT((nNIA=G586)*(nCUENTA=1)*(COUNTIF(CONFIG_ASIGNATURAS!$B$7:$B$27,nASIG)&gt;0)*(nNOTA))/SUMPRODUCT((nNIA=G586)*(nCUENTA=1)*(COUNTIF(CONFIG_ASIGNATURAS!$B$7:$B$27,nASIG)&gt;0)*1),"")))</f>
        <v/>
      </c>
      <c r="N586" t="str">
        <f>IF(M586="","",IF(M586="[FÓRMULA MANUAL]","",IFERROR(AVERAGEIFS(nNOTA,nNIA,M586,nCUENTA,1,nASIG,"Armonía"),"")))</f>
        <v/>
      </c>
      <c r="O586" t="str">
        <f>IF(M586="","",IF(M586="[FÓRMULA MANUAL]","",IFERROR(AVERAGEIFS(nNOTA,nNIA,M586,nCUENTA,1,nASIG,"Orquesta/Banda/Conjunto"),"")))</f>
        <v/>
      </c>
      <c r="P586" t="str">
        <f>IF(M586="","",IF(M586="[FÓRMULA MANUAL]","",IFERROR(AVERAGEIFS(nNOTA,nNIA,M586,nCUENTA,1,nASIG,"Música de Cámara"),"")))</f>
        <v/>
      </c>
      <c r="Q586" t="str">
        <f>IF(M586="","",IF(M586="[FÓRMULA MANUAL]","",IFERROR(SUMPRODUCT((nNIA=M586)*(nCUENTA=1)*(COUNTIF(CONFIG_ASIGNATURAS!$B$7:$B$27,nASIG)&gt;0)*(nNOTA))/SUMPRODUCT((nNIA=M586)*(nCUENTA=1)*(COUNTIF(CONFIG_ASIGNATURAS!$B$7:$B$27,nASIG)&gt;0)*1),"")))</f>
        <v/>
      </c>
      <c r="T586" t="str">
        <f>IF(S586="","",IF(S586="[FÓRMULA MANUAL]","",IFERROR(AVERAGEIFS(nNOTA,nNIA,S586,nCUENTA,1,nASIG,"Armonía"),"")))</f>
        <v/>
      </c>
      <c r="U586" t="str">
        <f>IF(S586="","",IF(S586="[FÓRMULA MANUAL]","",IFERROR(AVERAGEIFS(nNOTA,nNIA,S586,nCUENTA,1,nASIG,"Orquesta/Banda/Conjunto"),"")))</f>
        <v/>
      </c>
      <c r="V586" t="str">
        <f>IF(S586="","",IF(S586="[FÓRMULA MANUAL]","",IFERROR(AVERAGEIFS(nNOTA,nNIA,S586,nCUENTA,1,nASIG,"Música de Cámara"),"")))</f>
        <v/>
      </c>
      <c r="W586" t="str">
        <f>IF(S586="","",IF(S586="[FÓRMULA MANUAL]","",IFERROR(SUMPRODUCT((nNIA=S586)*(nCUENTA=1)*(COUNTIF(CONFIG_ASIGNATURAS!$B$7:$B$27,nASIG)&gt;0)*(nNOTA))/SUMPRODUCT((nNIA=S586)*(nCUENTA=1)*(COUNTIF(CONFIG_ASIGNATURAS!$B$7:$B$27,nASIG)&gt;0)*1),"")))</f>
        <v/>
      </c>
      <c r="Z586" t="str">
        <f>IF(Y586="","",IF(Y586="[FÓRMULA MANUAL]","",IFERROR(AVERAGEIFS(nNOTA,nNIA,Y586,nCUENTA,1,nASIG,"Análisis"),"")))</f>
        <v/>
      </c>
      <c r="AA586" t="str">
        <f>IF(Y586="","",IF(Y586="[FÓRMULA MANUAL]","",IFERROR(AVERAGEIFS(nNOTA,nNIA,Y586,nCUENTA,1,nASIG,"Orquesta/Banda/Conjunto"),"")))</f>
        <v/>
      </c>
      <c r="AB586" t="str">
        <f>IF(Y586="","",IF(Y586="[FÓRMULA MANUAL]","",IFERROR(AVERAGEIFS(nNOTA,nNIA,Y586,nCUENTA,1,nASIG,"Música de Cámara"),"")))</f>
        <v/>
      </c>
      <c r="AC586" t="str">
        <f>IF(Y586="","",IF(Y586="[FÓRMULA MANUAL]","",IFERROR(SUMPRODUCT((nNIA=Y586)*(nCUENTA=1)*(COUNTIF(CONFIG_ASIGNATURAS!$B$7:$B$27,nASIG)&gt;0)*(nNOTA))/SUMPRODUCT((nNIA=Y586)*(nCUENTA=1)*(COUNTIF(CONFIG_ASIGNATURAS!$B$7:$B$27,nASIG)&gt;0)*1),"")))</f>
        <v/>
      </c>
      <c r="AF586" t="str">
        <f>IF(AE586="","",IF(AE586="[FÓRMULA MANUAL]","",IFERROR(AVERAGEIFS(nNOTA,nNIA,AE586,nCUENTA,1,nASIG,"Análisis"),"")))</f>
        <v/>
      </c>
      <c r="AG586" t="str">
        <f>IF(AE586="","",IF(AE586="[FÓRMULA MANUAL]","",IFERROR(AVERAGEIFS(nNOTA,nNIA,AE586,nCUENTA,1,nASIG,"Orquesta/Banda/Conjunto"),"")))</f>
        <v/>
      </c>
      <c r="AH586" t="str">
        <f>IF(AE586="","",IF(AE586="[FÓRMULA MANUAL]","",IFERROR(AVERAGEIFS(nNOTA,nNIA,AE586,nCUENTA,1,nASIG,"Música de Cámara"),"")))</f>
        <v/>
      </c>
      <c r="AI586" t="str">
        <f>IF(AE586="","",IF(AE586="[FÓRMULA MANUAL]","",IFERROR(SUMPRODUCT((nNIA=AE586)*(nCUENTA=1)*(COUNTIF(CONFIG_ASIGNATURAS!$B$7:$B$27,nASIG)&gt;0)*(nNOTA))/SUMPRODUCT((nNIA=AE586)*(nCUENTA=1)*(COUNTIF(CONFIG_ASIGNATURAS!$B$7:$B$27,nASIG)&gt;0)*1),"")))</f>
        <v/>
      </c>
    </row>
    <row r="587" spans="2:35" x14ac:dyDescent="0.2">
      <c r="B587" t="str">
        <f>IF(A587="","",IF(A587="[FÓRMULA MANUAL]","",IFERROR(AVERAGEIFS(nNOTA,nNIA,A587,nCUENTA,1,nASIG,"Lenguaje Musical"),"")))</f>
        <v/>
      </c>
      <c r="C587" t="str">
        <f>IF(A587="","",IF(A587="[FÓRMULA MANUAL]","",IFERROR(AVERAGEIFS(nNOTA,nNIA,A587,nCUENTA,1,nASIG,"Orquesta/Banda/Conjunto"),"")))</f>
        <v/>
      </c>
      <c r="D587" t="str">
        <f>IF(A587="","",IF(A587="[FÓRMULA MANUAL]","",IFERROR(AVERAGEIFS(nNOTA,nNIA,A587,nCUENTA,1,nASIG,"Conjunto"),"")))</f>
        <v/>
      </c>
      <c r="E587" t="str">
        <f>IF(A587="","",IF(A587="[FÓRMULA MANUAL]","",IFERROR(SUMPRODUCT((nNIA=A587)*(nCUENTA=1)*(COUNTIF(CONFIG_ASIGNATURAS!$B$7:$B$27,nASIG)&gt;0)*(nNOTA))/SUMPRODUCT((nNIA=A587)*(nCUENTA=1)*(COUNTIF(CONFIG_ASIGNATURAS!$B$7:$B$27,nASIG)&gt;0)*1),"")))</f>
        <v/>
      </c>
      <c r="H587" t="str">
        <f>IF(G587="","",IF(G587="[FÓRMULA MANUAL]","",IFERROR(AVERAGEIFS(nNOTA,nNIA,G587,nCUENTA,1,nASIG,"Lenguaje Musical"),"")))</f>
        <v/>
      </c>
      <c r="I587" t="str">
        <f>IF(G587="","",IF(G587="[FÓRMULA MANUAL]","",IFERROR(AVERAGEIFS(nNOTA,nNIA,G587,nCUENTA,1,nASIG,"Orquesta/Banda/Conjunto"),"")))</f>
        <v/>
      </c>
      <c r="J587" t="str">
        <f>IF(G587="","",IF(G587="[FÓRMULA MANUAL]","",IFERROR(AVERAGEIFS(nNOTA,nNIA,G587,nCUENTA,1,nASIG,"Conjunto"),"")))</f>
        <v/>
      </c>
      <c r="K587" t="str">
        <f>IF(G587="","",IF(G587="[FÓRMULA MANUAL]","",IFERROR(SUMPRODUCT((nNIA=G587)*(nCUENTA=1)*(COUNTIF(CONFIG_ASIGNATURAS!$B$7:$B$27,nASIG)&gt;0)*(nNOTA))/SUMPRODUCT((nNIA=G587)*(nCUENTA=1)*(COUNTIF(CONFIG_ASIGNATURAS!$B$7:$B$27,nASIG)&gt;0)*1),"")))</f>
        <v/>
      </c>
      <c r="N587" t="str">
        <f>IF(M587="","",IF(M587="[FÓRMULA MANUAL]","",IFERROR(AVERAGEIFS(nNOTA,nNIA,M587,nCUENTA,1,nASIG,"Armonía"),"")))</f>
        <v/>
      </c>
      <c r="O587" t="str">
        <f>IF(M587="","",IF(M587="[FÓRMULA MANUAL]","",IFERROR(AVERAGEIFS(nNOTA,nNIA,M587,nCUENTA,1,nASIG,"Orquesta/Banda/Conjunto"),"")))</f>
        <v/>
      </c>
      <c r="P587" t="str">
        <f>IF(M587="","",IF(M587="[FÓRMULA MANUAL]","",IFERROR(AVERAGEIFS(nNOTA,nNIA,M587,nCUENTA,1,nASIG,"Música de Cámara"),"")))</f>
        <v/>
      </c>
      <c r="Q587" t="str">
        <f>IF(M587="","",IF(M587="[FÓRMULA MANUAL]","",IFERROR(SUMPRODUCT((nNIA=M587)*(nCUENTA=1)*(COUNTIF(CONFIG_ASIGNATURAS!$B$7:$B$27,nASIG)&gt;0)*(nNOTA))/SUMPRODUCT((nNIA=M587)*(nCUENTA=1)*(COUNTIF(CONFIG_ASIGNATURAS!$B$7:$B$27,nASIG)&gt;0)*1),"")))</f>
        <v/>
      </c>
      <c r="T587" t="str">
        <f>IF(S587="","",IF(S587="[FÓRMULA MANUAL]","",IFERROR(AVERAGEIFS(nNOTA,nNIA,S587,nCUENTA,1,nASIG,"Armonía"),"")))</f>
        <v/>
      </c>
      <c r="U587" t="str">
        <f>IF(S587="","",IF(S587="[FÓRMULA MANUAL]","",IFERROR(AVERAGEIFS(nNOTA,nNIA,S587,nCUENTA,1,nASIG,"Orquesta/Banda/Conjunto"),"")))</f>
        <v/>
      </c>
      <c r="V587" t="str">
        <f>IF(S587="","",IF(S587="[FÓRMULA MANUAL]","",IFERROR(AVERAGEIFS(nNOTA,nNIA,S587,nCUENTA,1,nASIG,"Música de Cámara"),"")))</f>
        <v/>
      </c>
      <c r="W587" t="str">
        <f>IF(S587="","",IF(S587="[FÓRMULA MANUAL]","",IFERROR(SUMPRODUCT((nNIA=S587)*(nCUENTA=1)*(COUNTIF(CONFIG_ASIGNATURAS!$B$7:$B$27,nASIG)&gt;0)*(nNOTA))/SUMPRODUCT((nNIA=S587)*(nCUENTA=1)*(COUNTIF(CONFIG_ASIGNATURAS!$B$7:$B$27,nASIG)&gt;0)*1),"")))</f>
        <v/>
      </c>
      <c r="Z587" t="str">
        <f>IF(Y587="","",IF(Y587="[FÓRMULA MANUAL]","",IFERROR(AVERAGEIFS(nNOTA,nNIA,Y587,nCUENTA,1,nASIG,"Análisis"),"")))</f>
        <v/>
      </c>
      <c r="AA587" t="str">
        <f>IF(Y587="","",IF(Y587="[FÓRMULA MANUAL]","",IFERROR(AVERAGEIFS(nNOTA,nNIA,Y587,nCUENTA,1,nASIG,"Orquesta/Banda/Conjunto"),"")))</f>
        <v/>
      </c>
      <c r="AB587" t="str">
        <f>IF(Y587="","",IF(Y587="[FÓRMULA MANUAL]","",IFERROR(AVERAGEIFS(nNOTA,nNIA,Y587,nCUENTA,1,nASIG,"Música de Cámara"),"")))</f>
        <v/>
      </c>
      <c r="AC587" t="str">
        <f>IF(Y587="","",IF(Y587="[FÓRMULA MANUAL]","",IFERROR(SUMPRODUCT((nNIA=Y587)*(nCUENTA=1)*(COUNTIF(CONFIG_ASIGNATURAS!$B$7:$B$27,nASIG)&gt;0)*(nNOTA))/SUMPRODUCT((nNIA=Y587)*(nCUENTA=1)*(COUNTIF(CONFIG_ASIGNATURAS!$B$7:$B$27,nASIG)&gt;0)*1),"")))</f>
        <v/>
      </c>
      <c r="AF587" t="str">
        <f>IF(AE587="","",IF(AE587="[FÓRMULA MANUAL]","",IFERROR(AVERAGEIFS(nNOTA,nNIA,AE587,nCUENTA,1,nASIG,"Análisis"),"")))</f>
        <v/>
      </c>
      <c r="AG587" t="str">
        <f>IF(AE587="","",IF(AE587="[FÓRMULA MANUAL]","",IFERROR(AVERAGEIFS(nNOTA,nNIA,AE587,nCUENTA,1,nASIG,"Orquesta/Banda/Conjunto"),"")))</f>
        <v/>
      </c>
      <c r="AH587" t="str">
        <f>IF(AE587="","",IF(AE587="[FÓRMULA MANUAL]","",IFERROR(AVERAGEIFS(nNOTA,nNIA,AE587,nCUENTA,1,nASIG,"Música de Cámara"),"")))</f>
        <v/>
      </c>
      <c r="AI587" t="str">
        <f>IF(AE587="","",IF(AE587="[FÓRMULA MANUAL]","",IFERROR(SUMPRODUCT((nNIA=AE587)*(nCUENTA=1)*(COUNTIF(CONFIG_ASIGNATURAS!$B$7:$B$27,nASIG)&gt;0)*(nNOTA))/SUMPRODUCT((nNIA=AE587)*(nCUENTA=1)*(COUNTIF(CONFIG_ASIGNATURAS!$B$7:$B$27,nASIG)&gt;0)*1),"")))</f>
        <v/>
      </c>
    </row>
    <row r="588" spans="2:35" x14ac:dyDescent="0.2">
      <c r="B588" t="str">
        <f>IF(A588="","",IF(A588="[FÓRMULA MANUAL]","",IFERROR(AVERAGEIFS(nNOTA,nNIA,A588,nCUENTA,1,nASIG,"Lenguaje Musical"),"")))</f>
        <v/>
      </c>
      <c r="C588" t="str">
        <f>IF(A588="","",IF(A588="[FÓRMULA MANUAL]","",IFERROR(AVERAGEIFS(nNOTA,nNIA,A588,nCUENTA,1,nASIG,"Orquesta/Banda/Conjunto"),"")))</f>
        <v/>
      </c>
      <c r="D588" t="str">
        <f>IF(A588="","",IF(A588="[FÓRMULA MANUAL]","",IFERROR(AVERAGEIFS(nNOTA,nNIA,A588,nCUENTA,1,nASIG,"Conjunto"),"")))</f>
        <v/>
      </c>
      <c r="E588" t="str">
        <f>IF(A588="","",IF(A588="[FÓRMULA MANUAL]","",IFERROR(SUMPRODUCT((nNIA=A588)*(nCUENTA=1)*(COUNTIF(CONFIG_ASIGNATURAS!$B$7:$B$27,nASIG)&gt;0)*(nNOTA))/SUMPRODUCT((nNIA=A588)*(nCUENTA=1)*(COUNTIF(CONFIG_ASIGNATURAS!$B$7:$B$27,nASIG)&gt;0)*1),"")))</f>
        <v/>
      </c>
      <c r="H588" t="str">
        <f>IF(G588="","",IF(G588="[FÓRMULA MANUAL]","",IFERROR(AVERAGEIFS(nNOTA,nNIA,G588,nCUENTA,1,nASIG,"Lenguaje Musical"),"")))</f>
        <v/>
      </c>
      <c r="I588" t="str">
        <f>IF(G588="","",IF(G588="[FÓRMULA MANUAL]","",IFERROR(AVERAGEIFS(nNOTA,nNIA,G588,nCUENTA,1,nASIG,"Orquesta/Banda/Conjunto"),"")))</f>
        <v/>
      </c>
      <c r="J588" t="str">
        <f>IF(G588="","",IF(G588="[FÓRMULA MANUAL]","",IFERROR(AVERAGEIFS(nNOTA,nNIA,G588,nCUENTA,1,nASIG,"Conjunto"),"")))</f>
        <v/>
      </c>
      <c r="K588" t="str">
        <f>IF(G588="","",IF(G588="[FÓRMULA MANUAL]","",IFERROR(SUMPRODUCT((nNIA=G588)*(nCUENTA=1)*(COUNTIF(CONFIG_ASIGNATURAS!$B$7:$B$27,nASIG)&gt;0)*(nNOTA))/SUMPRODUCT((nNIA=G588)*(nCUENTA=1)*(COUNTIF(CONFIG_ASIGNATURAS!$B$7:$B$27,nASIG)&gt;0)*1),"")))</f>
        <v/>
      </c>
      <c r="N588" t="str">
        <f>IF(M588="","",IF(M588="[FÓRMULA MANUAL]","",IFERROR(AVERAGEIFS(nNOTA,nNIA,M588,nCUENTA,1,nASIG,"Armonía"),"")))</f>
        <v/>
      </c>
      <c r="O588" t="str">
        <f>IF(M588="","",IF(M588="[FÓRMULA MANUAL]","",IFERROR(AVERAGEIFS(nNOTA,nNIA,M588,nCUENTA,1,nASIG,"Orquesta/Banda/Conjunto"),"")))</f>
        <v/>
      </c>
      <c r="P588" t="str">
        <f>IF(M588="","",IF(M588="[FÓRMULA MANUAL]","",IFERROR(AVERAGEIFS(nNOTA,nNIA,M588,nCUENTA,1,nASIG,"Música de Cámara"),"")))</f>
        <v/>
      </c>
      <c r="Q588" t="str">
        <f>IF(M588="","",IF(M588="[FÓRMULA MANUAL]","",IFERROR(SUMPRODUCT((nNIA=M588)*(nCUENTA=1)*(COUNTIF(CONFIG_ASIGNATURAS!$B$7:$B$27,nASIG)&gt;0)*(nNOTA))/SUMPRODUCT((nNIA=M588)*(nCUENTA=1)*(COUNTIF(CONFIG_ASIGNATURAS!$B$7:$B$27,nASIG)&gt;0)*1),"")))</f>
        <v/>
      </c>
      <c r="T588" t="str">
        <f>IF(S588="","",IF(S588="[FÓRMULA MANUAL]","",IFERROR(AVERAGEIFS(nNOTA,nNIA,S588,nCUENTA,1,nASIG,"Armonía"),"")))</f>
        <v/>
      </c>
      <c r="U588" t="str">
        <f>IF(S588="","",IF(S588="[FÓRMULA MANUAL]","",IFERROR(AVERAGEIFS(nNOTA,nNIA,S588,nCUENTA,1,nASIG,"Orquesta/Banda/Conjunto"),"")))</f>
        <v/>
      </c>
      <c r="V588" t="str">
        <f>IF(S588="","",IF(S588="[FÓRMULA MANUAL]","",IFERROR(AVERAGEIFS(nNOTA,nNIA,S588,nCUENTA,1,nASIG,"Música de Cámara"),"")))</f>
        <v/>
      </c>
      <c r="W588" t="str">
        <f>IF(S588="","",IF(S588="[FÓRMULA MANUAL]","",IFERROR(SUMPRODUCT((nNIA=S588)*(nCUENTA=1)*(COUNTIF(CONFIG_ASIGNATURAS!$B$7:$B$27,nASIG)&gt;0)*(nNOTA))/SUMPRODUCT((nNIA=S588)*(nCUENTA=1)*(COUNTIF(CONFIG_ASIGNATURAS!$B$7:$B$27,nASIG)&gt;0)*1),"")))</f>
        <v/>
      </c>
      <c r="Z588" t="str">
        <f>IF(Y588="","",IF(Y588="[FÓRMULA MANUAL]","",IFERROR(AVERAGEIFS(nNOTA,nNIA,Y588,nCUENTA,1,nASIG,"Análisis"),"")))</f>
        <v/>
      </c>
      <c r="AA588" t="str">
        <f>IF(Y588="","",IF(Y588="[FÓRMULA MANUAL]","",IFERROR(AVERAGEIFS(nNOTA,nNIA,Y588,nCUENTA,1,nASIG,"Orquesta/Banda/Conjunto"),"")))</f>
        <v/>
      </c>
      <c r="AB588" t="str">
        <f>IF(Y588="","",IF(Y588="[FÓRMULA MANUAL]","",IFERROR(AVERAGEIFS(nNOTA,nNIA,Y588,nCUENTA,1,nASIG,"Música de Cámara"),"")))</f>
        <v/>
      </c>
      <c r="AC588" t="str">
        <f>IF(Y588="","",IF(Y588="[FÓRMULA MANUAL]","",IFERROR(SUMPRODUCT((nNIA=Y588)*(nCUENTA=1)*(COUNTIF(CONFIG_ASIGNATURAS!$B$7:$B$27,nASIG)&gt;0)*(nNOTA))/SUMPRODUCT((nNIA=Y588)*(nCUENTA=1)*(COUNTIF(CONFIG_ASIGNATURAS!$B$7:$B$27,nASIG)&gt;0)*1),"")))</f>
        <v/>
      </c>
      <c r="AF588" t="str">
        <f>IF(AE588="","",IF(AE588="[FÓRMULA MANUAL]","",IFERROR(AVERAGEIFS(nNOTA,nNIA,AE588,nCUENTA,1,nASIG,"Análisis"),"")))</f>
        <v/>
      </c>
      <c r="AG588" t="str">
        <f>IF(AE588="","",IF(AE588="[FÓRMULA MANUAL]","",IFERROR(AVERAGEIFS(nNOTA,nNIA,AE588,nCUENTA,1,nASIG,"Orquesta/Banda/Conjunto"),"")))</f>
        <v/>
      </c>
      <c r="AH588" t="str">
        <f>IF(AE588="","",IF(AE588="[FÓRMULA MANUAL]","",IFERROR(AVERAGEIFS(nNOTA,nNIA,AE588,nCUENTA,1,nASIG,"Música de Cámara"),"")))</f>
        <v/>
      </c>
      <c r="AI588" t="str">
        <f>IF(AE588="","",IF(AE588="[FÓRMULA MANUAL]","",IFERROR(SUMPRODUCT((nNIA=AE588)*(nCUENTA=1)*(COUNTIF(CONFIG_ASIGNATURAS!$B$7:$B$27,nASIG)&gt;0)*(nNOTA))/SUMPRODUCT((nNIA=AE588)*(nCUENTA=1)*(COUNTIF(CONFIG_ASIGNATURAS!$B$7:$B$27,nASIG)&gt;0)*1),"")))</f>
        <v/>
      </c>
    </row>
    <row r="589" spans="2:35" x14ac:dyDescent="0.2">
      <c r="B589" t="str">
        <f>IF(A589="","",IF(A589="[FÓRMULA MANUAL]","",IFERROR(AVERAGEIFS(nNOTA,nNIA,A589,nCUENTA,1,nASIG,"Lenguaje Musical"),"")))</f>
        <v/>
      </c>
      <c r="C589" t="str">
        <f>IF(A589="","",IF(A589="[FÓRMULA MANUAL]","",IFERROR(AVERAGEIFS(nNOTA,nNIA,A589,nCUENTA,1,nASIG,"Orquesta/Banda/Conjunto"),"")))</f>
        <v/>
      </c>
      <c r="D589" t="str">
        <f>IF(A589="","",IF(A589="[FÓRMULA MANUAL]","",IFERROR(AVERAGEIFS(nNOTA,nNIA,A589,nCUENTA,1,nASIG,"Conjunto"),"")))</f>
        <v/>
      </c>
      <c r="E589" t="str">
        <f>IF(A589="","",IF(A589="[FÓRMULA MANUAL]","",IFERROR(SUMPRODUCT((nNIA=A589)*(nCUENTA=1)*(COUNTIF(CONFIG_ASIGNATURAS!$B$7:$B$27,nASIG)&gt;0)*(nNOTA))/SUMPRODUCT((nNIA=A589)*(nCUENTA=1)*(COUNTIF(CONFIG_ASIGNATURAS!$B$7:$B$27,nASIG)&gt;0)*1),"")))</f>
        <v/>
      </c>
      <c r="H589" t="str">
        <f>IF(G589="","",IF(G589="[FÓRMULA MANUAL]","",IFERROR(AVERAGEIFS(nNOTA,nNIA,G589,nCUENTA,1,nASIG,"Lenguaje Musical"),"")))</f>
        <v/>
      </c>
      <c r="I589" t="str">
        <f>IF(G589="","",IF(G589="[FÓRMULA MANUAL]","",IFERROR(AVERAGEIFS(nNOTA,nNIA,G589,nCUENTA,1,nASIG,"Orquesta/Banda/Conjunto"),"")))</f>
        <v/>
      </c>
      <c r="J589" t="str">
        <f>IF(G589="","",IF(G589="[FÓRMULA MANUAL]","",IFERROR(AVERAGEIFS(nNOTA,nNIA,G589,nCUENTA,1,nASIG,"Conjunto"),"")))</f>
        <v/>
      </c>
      <c r="K589" t="str">
        <f>IF(G589="","",IF(G589="[FÓRMULA MANUAL]","",IFERROR(SUMPRODUCT((nNIA=G589)*(nCUENTA=1)*(COUNTIF(CONFIG_ASIGNATURAS!$B$7:$B$27,nASIG)&gt;0)*(nNOTA))/SUMPRODUCT((nNIA=G589)*(nCUENTA=1)*(COUNTIF(CONFIG_ASIGNATURAS!$B$7:$B$27,nASIG)&gt;0)*1),"")))</f>
        <v/>
      </c>
      <c r="N589" t="str">
        <f>IF(M589="","",IF(M589="[FÓRMULA MANUAL]","",IFERROR(AVERAGEIFS(nNOTA,nNIA,M589,nCUENTA,1,nASIG,"Armonía"),"")))</f>
        <v/>
      </c>
      <c r="O589" t="str">
        <f>IF(M589="","",IF(M589="[FÓRMULA MANUAL]","",IFERROR(AVERAGEIFS(nNOTA,nNIA,M589,nCUENTA,1,nASIG,"Orquesta/Banda/Conjunto"),"")))</f>
        <v/>
      </c>
      <c r="P589" t="str">
        <f>IF(M589="","",IF(M589="[FÓRMULA MANUAL]","",IFERROR(AVERAGEIFS(nNOTA,nNIA,M589,nCUENTA,1,nASIG,"Música de Cámara"),"")))</f>
        <v/>
      </c>
      <c r="Q589" t="str">
        <f>IF(M589="","",IF(M589="[FÓRMULA MANUAL]","",IFERROR(SUMPRODUCT((nNIA=M589)*(nCUENTA=1)*(COUNTIF(CONFIG_ASIGNATURAS!$B$7:$B$27,nASIG)&gt;0)*(nNOTA))/SUMPRODUCT((nNIA=M589)*(nCUENTA=1)*(COUNTIF(CONFIG_ASIGNATURAS!$B$7:$B$27,nASIG)&gt;0)*1),"")))</f>
        <v/>
      </c>
      <c r="T589" t="str">
        <f>IF(S589="","",IF(S589="[FÓRMULA MANUAL]","",IFERROR(AVERAGEIFS(nNOTA,nNIA,S589,nCUENTA,1,nASIG,"Armonía"),"")))</f>
        <v/>
      </c>
      <c r="U589" t="str">
        <f>IF(S589="","",IF(S589="[FÓRMULA MANUAL]","",IFERROR(AVERAGEIFS(nNOTA,nNIA,S589,nCUENTA,1,nASIG,"Orquesta/Banda/Conjunto"),"")))</f>
        <v/>
      </c>
      <c r="V589" t="str">
        <f>IF(S589="","",IF(S589="[FÓRMULA MANUAL]","",IFERROR(AVERAGEIFS(nNOTA,nNIA,S589,nCUENTA,1,nASIG,"Música de Cámara"),"")))</f>
        <v/>
      </c>
      <c r="W589" t="str">
        <f>IF(S589="","",IF(S589="[FÓRMULA MANUAL]","",IFERROR(SUMPRODUCT((nNIA=S589)*(nCUENTA=1)*(COUNTIF(CONFIG_ASIGNATURAS!$B$7:$B$27,nASIG)&gt;0)*(nNOTA))/SUMPRODUCT((nNIA=S589)*(nCUENTA=1)*(COUNTIF(CONFIG_ASIGNATURAS!$B$7:$B$27,nASIG)&gt;0)*1),"")))</f>
        <v/>
      </c>
      <c r="Z589" t="str">
        <f>IF(Y589="","",IF(Y589="[FÓRMULA MANUAL]","",IFERROR(AVERAGEIFS(nNOTA,nNIA,Y589,nCUENTA,1,nASIG,"Análisis"),"")))</f>
        <v/>
      </c>
      <c r="AA589" t="str">
        <f>IF(Y589="","",IF(Y589="[FÓRMULA MANUAL]","",IFERROR(AVERAGEIFS(nNOTA,nNIA,Y589,nCUENTA,1,nASIG,"Orquesta/Banda/Conjunto"),"")))</f>
        <v/>
      </c>
      <c r="AB589" t="str">
        <f>IF(Y589="","",IF(Y589="[FÓRMULA MANUAL]","",IFERROR(AVERAGEIFS(nNOTA,nNIA,Y589,nCUENTA,1,nASIG,"Música de Cámara"),"")))</f>
        <v/>
      </c>
      <c r="AC589" t="str">
        <f>IF(Y589="","",IF(Y589="[FÓRMULA MANUAL]","",IFERROR(SUMPRODUCT((nNIA=Y589)*(nCUENTA=1)*(COUNTIF(CONFIG_ASIGNATURAS!$B$7:$B$27,nASIG)&gt;0)*(nNOTA))/SUMPRODUCT((nNIA=Y589)*(nCUENTA=1)*(COUNTIF(CONFIG_ASIGNATURAS!$B$7:$B$27,nASIG)&gt;0)*1),"")))</f>
        <v/>
      </c>
      <c r="AF589" t="str">
        <f>IF(AE589="","",IF(AE589="[FÓRMULA MANUAL]","",IFERROR(AVERAGEIFS(nNOTA,nNIA,AE589,nCUENTA,1,nASIG,"Análisis"),"")))</f>
        <v/>
      </c>
      <c r="AG589" t="str">
        <f>IF(AE589="","",IF(AE589="[FÓRMULA MANUAL]","",IFERROR(AVERAGEIFS(nNOTA,nNIA,AE589,nCUENTA,1,nASIG,"Orquesta/Banda/Conjunto"),"")))</f>
        <v/>
      </c>
      <c r="AH589" t="str">
        <f>IF(AE589="","",IF(AE589="[FÓRMULA MANUAL]","",IFERROR(AVERAGEIFS(nNOTA,nNIA,AE589,nCUENTA,1,nASIG,"Música de Cámara"),"")))</f>
        <v/>
      </c>
      <c r="AI589" t="str">
        <f>IF(AE589="","",IF(AE589="[FÓRMULA MANUAL]","",IFERROR(SUMPRODUCT((nNIA=AE589)*(nCUENTA=1)*(COUNTIF(CONFIG_ASIGNATURAS!$B$7:$B$27,nASIG)&gt;0)*(nNOTA))/SUMPRODUCT((nNIA=AE589)*(nCUENTA=1)*(COUNTIF(CONFIG_ASIGNATURAS!$B$7:$B$27,nASIG)&gt;0)*1),"")))</f>
        <v/>
      </c>
    </row>
    <row r="590" spans="2:35" x14ac:dyDescent="0.2">
      <c r="B590" t="str">
        <f>IF(A590="","",IF(A590="[FÓRMULA MANUAL]","",IFERROR(AVERAGEIFS(nNOTA,nNIA,A590,nCUENTA,1,nASIG,"Lenguaje Musical"),"")))</f>
        <v/>
      </c>
      <c r="C590" t="str">
        <f>IF(A590="","",IF(A590="[FÓRMULA MANUAL]","",IFERROR(AVERAGEIFS(nNOTA,nNIA,A590,nCUENTA,1,nASIG,"Orquesta/Banda/Conjunto"),"")))</f>
        <v/>
      </c>
      <c r="D590" t="str">
        <f>IF(A590="","",IF(A590="[FÓRMULA MANUAL]","",IFERROR(AVERAGEIFS(nNOTA,nNIA,A590,nCUENTA,1,nASIG,"Conjunto"),"")))</f>
        <v/>
      </c>
      <c r="E590" t="str">
        <f>IF(A590="","",IF(A590="[FÓRMULA MANUAL]","",IFERROR(SUMPRODUCT((nNIA=A590)*(nCUENTA=1)*(COUNTIF(CONFIG_ASIGNATURAS!$B$7:$B$27,nASIG)&gt;0)*(nNOTA))/SUMPRODUCT((nNIA=A590)*(nCUENTA=1)*(COUNTIF(CONFIG_ASIGNATURAS!$B$7:$B$27,nASIG)&gt;0)*1),"")))</f>
        <v/>
      </c>
      <c r="H590" t="str">
        <f>IF(G590="","",IF(G590="[FÓRMULA MANUAL]","",IFERROR(AVERAGEIFS(nNOTA,nNIA,G590,nCUENTA,1,nASIG,"Lenguaje Musical"),"")))</f>
        <v/>
      </c>
      <c r="I590" t="str">
        <f>IF(G590="","",IF(G590="[FÓRMULA MANUAL]","",IFERROR(AVERAGEIFS(nNOTA,nNIA,G590,nCUENTA,1,nASIG,"Orquesta/Banda/Conjunto"),"")))</f>
        <v/>
      </c>
      <c r="J590" t="str">
        <f>IF(G590="","",IF(G590="[FÓRMULA MANUAL]","",IFERROR(AVERAGEIFS(nNOTA,nNIA,G590,nCUENTA,1,nASIG,"Conjunto"),"")))</f>
        <v/>
      </c>
      <c r="K590" t="str">
        <f>IF(G590="","",IF(G590="[FÓRMULA MANUAL]","",IFERROR(SUMPRODUCT((nNIA=G590)*(nCUENTA=1)*(COUNTIF(CONFIG_ASIGNATURAS!$B$7:$B$27,nASIG)&gt;0)*(nNOTA))/SUMPRODUCT((nNIA=G590)*(nCUENTA=1)*(COUNTIF(CONFIG_ASIGNATURAS!$B$7:$B$27,nASIG)&gt;0)*1),"")))</f>
        <v/>
      </c>
      <c r="N590" t="str">
        <f>IF(M590="","",IF(M590="[FÓRMULA MANUAL]","",IFERROR(AVERAGEIFS(nNOTA,nNIA,M590,nCUENTA,1,nASIG,"Armonía"),"")))</f>
        <v/>
      </c>
      <c r="O590" t="str">
        <f>IF(M590="","",IF(M590="[FÓRMULA MANUAL]","",IFERROR(AVERAGEIFS(nNOTA,nNIA,M590,nCUENTA,1,nASIG,"Orquesta/Banda/Conjunto"),"")))</f>
        <v/>
      </c>
      <c r="P590" t="str">
        <f>IF(M590="","",IF(M590="[FÓRMULA MANUAL]","",IFERROR(AVERAGEIFS(nNOTA,nNIA,M590,nCUENTA,1,nASIG,"Música de Cámara"),"")))</f>
        <v/>
      </c>
      <c r="Q590" t="str">
        <f>IF(M590="","",IF(M590="[FÓRMULA MANUAL]","",IFERROR(SUMPRODUCT((nNIA=M590)*(nCUENTA=1)*(COUNTIF(CONFIG_ASIGNATURAS!$B$7:$B$27,nASIG)&gt;0)*(nNOTA))/SUMPRODUCT((nNIA=M590)*(nCUENTA=1)*(COUNTIF(CONFIG_ASIGNATURAS!$B$7:$B$27,nASIG)&gt;0)*1),"")))</f>
        <v/>
      </c>
      <c r="T590" t="str">
        <f>IF(S590="","",IF(S590="[FÓRMULA MANUAL]","",IFERROR(AVERAGEIFS(nNOTA,nNIA,S590,nCUENTA,1,nASIG,"Armonía"),"")))</f>
        <v/>
      </c>
      <c r="U590" t="str">
        <f>IF(S590="","",IF(S590="[FÓRMULA MANUAL]","",IFERROR(AVERAGEIFS(nNOTA,nNIA,S590,nCUENTA,1,nASIG,"Orquesta/Banda/Conjunto"),"")))</f>
        <v/>
      </c>
      <c r="V590" t="str">
        <f>IF(S590="","",IF(S590="[FÓRMULA MANUAL]","",IFERROR(AVERAGEIFS(nNOTA,nNIA,S590,nCUENTA,1,nASIG,"Música de Cámara"),"")))</f>
        <v/>
      </c>
      <c r="W590" t="str">
        <f>IF(S590="","",IF(S590="[FÓRMULA MANUAL]","",IFERROR(SUMPRODUCT((nNIA=S590)*(nCUENTA=1)*(COUNTIF(CONFIG_ASIGNATURAS!$B$7:$B$27,nASIG)&gt;0)*(nNOTA))/SUMPRODUCT((nNIA=S590)*(nCUENTA=1)*(COUNTIF(CONFIG_ASIGNATURAS!$B$7:$B$27,nASIG)&gt;0)*1),"")))</f>
        <v/>
      </c>
      <c r="Z590" t="str">
        <f>IF(Y590="","",IF(Y590="[FÓRMULA MANUAL]","",IFERROR(AVERAGEIFS(nNOTA,nNIA,Y590,nCUENTA,1,nASIG,"Análisis"),"")))</f>
        <v/>
      </c>
      <c r="AA590" t="str">
        <f>IF(Y590="","",IF(Y590="[FÓRMULA MANUAL]","",IFERROR(AVERAGEIFS(nNOTA,nNIA,Y590,nCUENTA,1,nASIG,"Orquesta/Banda/Conjunto"),"")))</f>
        <v/>
      </c>
      <c r="AB590" t="str">
        <f>IF(Y590="","",IF(Y590="[FÓRMULA MANUAL]","",IFERROR(AVERAGEIFS(nNOTA,nNIA,Y590,nCUENTA,1,nASIG,"Música de Cámara"),"")))</f>
        <v/>
      </c>
      <c r="AC590" t="str">
        <f>IF(Y590="","",IF(Y590="[FÓRMULA MANUAL]","",IFERROR(SUMPRODUCT((nNIA=Y590)*(nCUENTA=1)*(COUNTIF(CONFIG_ASIGNATURAS!$B$7:$B$27,nASIG)&gt;0)*(nNOTA))/SUMPRODUCT((nNIA=Y590)*(nCUENTA=1)*(COUNTIF(CONFIG_ASIGNATURAS!$B$7:$B$27,nASIG)&gt;0)*1),"")))</f>
        <v/>
      </c>
      <c r="AF590" t="str">
        <f>IF(AE590="","",IF(AE590="[FÓRMULA MANUAL]","",IFERROR(AVERAGEIFS(nNOTA,nNIA,AE590,nCUENTA,1,nASIG,"Análisis"),"")))</f>
        <v/>
      </c>
      <c r="AG590" t="str">
        <f>IF(AE590="","",IF(AE590="[FÓRMULA MANUAL]","",IFERROR(AVERAGEIFS(nNOTA,nNIA,AE590,nCUENTA,1,nASIG,"Orquesta/Banda/Conjunto"),"")))</f>
        <v/>
      </c>
      <c r="AH590" t="str">
        <f>IF(AE590="","",IF(AE590="[FÓRMULA MANUAL]","",IFERROR(AVERAGEIFS(nNOTA,nNIA,AE590,nCUENTA,1,nASIG,"Música de Cámara"),"")))</f>
        <v/>
      </c>
      <c r="AI590" t="str">
        <f>IF(AE590="","",IF(AE590="[FÓRMULA MANUAL]","",IFERROR(SUMPRODUCT((nNIA=AE590)*(nCUENTA=1)*(COUNTIF(CONFIG_ASIGNATURAS!$B$7:$B$27,nASIG)&gt;0)*(nNOTA))/SUMPRODUCT((nNIA=AE590)*(nCUENTA=1)*(COUNTIF(CONFIG_ASIGNATURAS!$B$7:$B$27,nASIG)&gt;0)*1),"")))</f>
        <v/>
      </c>
    </row>
    <row r="591" spans="2:35" x14ac:dyDescent="0.2">
      <c r="B591" t="str">
        <f>IF(A591="","",IF(A591="[FÓRMULA MANUAL]","",IFERROR(AVERAGEIFS(nNOTA,nNIA,A591,nCUENTA,1,nASIG,"Lenguaje Musical"),"")))</f>
        <v/>
      </c>
      <c r="C591" t="str">
        <f>IF(A591="","",IF(A591="[FÓRMULA MANUAL]","",IFERROR(AVERAGEIFS(nNOTA,nNIA,A591,nCUENTA,1,nASIG,"Orquesta/Banda/Conjunto"),"")))</f>
        <v/>
      </c>
      <c r="D591" t="str">
        <f>IF(A591="","",IF(A591="[FÓRMULA MANUAL]","",IFERROR(AVERAGEIFS(nNOTA,nNIA,A591,nCUENTA,1,nASIG,"Conjunto"),"")))</f>
        <v/>
      </c>
      <c r="E591" t="str">
        <f>IF(A591="","",IF(A591="[FÓRMULA MANUAL]","",IFERROR(SUMPRODUCT((nNIA=A591)*(nCUENTA=1)*(COUNTIF(CONFIG_ASIGNATURAS!$B$7:$B$27,nASIG)&gt;0)*(nNOTA))/SUMPRODUCT((nNIA=A591)*(nCUENTA=1)*(COUNTIF(CONFIG_ASIGNATURAS!$B$7:$B$27,nASIG)&gt;0)*1),"")))</f>
        <v/>
      </c>
      <c r="H591" t="str">
        <f>IF(G591="","",IF(G591="[FÓRMULA MANUAL]","",IFERROR(AVERAGEIFS(nNOTA,nNIA,G591,nCUENTA,1,nASIG,"Lenguaje Musical"),"")))</f>
        <v/>
      </c>
      <c r="I591" t="str">
        <f>IF(G591="","",IF(G591="[FÓRMULA MANUAL]","",IFERROR(AVERAGEIFS(nNOTA,nNIA,G591,nCUENTA,1,nASIG,"Orquesta/Banda/Conjunto"),"")))</f>
        <v/>
      </c>
      <c r="J591" t="str">
        <f>IF(G591="","",IF(G591="[FÓRMULA MANUAL]","",IFERROR(AVERAGEIFS(nNOTA,nNIA,G591,nCUENTA,1,nASIG,"Conjunto"),"")))</f>
        <v/>
      </c>
      <c r="K591" t="str">
        <f>IF(G591="","",IF(G591="[FÓRMULA MANUAL]","",IFERROR(SUMPRODUCT((nNIA=G591)*(nCUENTA=1)*(COUNTIF(CONFIG_ASIGNATURAS!$B$7:$B$27,nASIG)&gt;0)*(nNOTA))/SUMPRODUCT((nNIA=G591)*(nCUENTA=1)*(COUNTIF(CONFIG_ASIGNATURAS!$B$7:$B$27,nASIG)&gt;0)*1),"")))</f>
        <v/>
      </c>
      <c r="N591" t="str">
        <f>IF(M591="","",IF(M591="[FÓRMULA MANUAL]","",IFERROR(AVERAGEIFS(nNOTA,nNIA,M591,nCUENTA,1,nASIG,"Armonía"),"")))</f>
        <v/>
      </c>
      <c r="O591" t="str">
        <f>IF(M591="","",IF(M591="[FÓRMULA MANUAL]","",IFERROR(AVERAGEIFS(nNOTA,nNIA,M591,nCUENTA,1,nASIG,"Orquesta/Banda/Conjunto"),"")))</f>
        <v/>
      </c>
      <c r="P591" t="str">
        <f>IF(M591="","",IF(M591="[FÓRMULA MANUAL]","",IFERROR(AVERAGEIFS(nNOTA,nNIA,M591,nCUENTA,1,nASIG,"Música de Cámara"),"")))</f>
        <v/>
      </c>
      <c r="Q591" t="str">
        <f>IF(M591="","",IF(M591="[FÓRMULA MANUAL]","",IFERROR(SUMPRODUCT((nNIA=M591)*(nCUENTA=1)*(COUNTIF(CONFIG_ASIGNATURAS!$B$7:$B$27,nASIG)&gt;0)*(nNOTA))/SUMPRODUCT((nNIA=M591)*(nCUENTA=1)*(COUNTIF(CONFIG_ASIGNATURAS!$B$7:$B$27,nASIG)&gt;0)*1),"")))</f>
        <v/>
      </c>
      <c r="T591" t="str">
        <f>IF(S591="","",IF(S591="[FÓRMULA MANUAL]","",IFERROR(AVERAGEIFS(nNOTA,nNIA,S591,nCUENTA,1,nASIG,"Armonía"),"")))</f>
        <v/>
      </c>
      <c r="U591" t="str">
        <f>IF(S591="","",IF(S591="[FÓRMULA MANUAL]","",IFERROR(AVERAGEIFS(nNOTA,nNIA,S591,nCUENTA,1,nASIG,"Orquesta/Banda/Conjunto"),"")))</f>
        <v/>
      </c>
      <c r="V591" t="str">
        <f>IF(S591="","",IF(S591="[FÓRMULA MANUAL]","",IFERROR(AVERAGEIFS(nNOTA,nNIA,S591,nCUENTA,1,nASIG,"Música de Cámara"),"")))</f>
        <v/>
      </c>
      <c r="W591" t="str">
        <f>IF(S591="","",IF(S591="[FÓRMULA MANUAL]","",IFERROR(SUMPRODUCT((nNIA=S591)*(nCUENTA=1)*(COUNTIF(CONFIG_ASIGNATURAS!$B$7:$B$27,nASIG)&gt;0)*(nNOTA))/SUMPRODUCT((nNIA=S591)*(nCUENTA=1)*(COUNTIF(CONFIG_ASIGNATURAS!$B$7:$B$27,nASIG)&gt;0)*1),"")))</f>
        <v/>
      </c>
      <c r="Z591" t="str">
        <f>IF(Y591="","",IF(Y591="[FÓRMULA MANUAL]","",IFERROR(AVERAGEIFS(nNOTA,nNIA,Y591,nCUENTA,1,nASIG,"Análisis"),"")))</f>
        <v/>
      </c>
      <c r="AA591" t="str">
        <f>IF(Y591="","",IF(Y591="[FÓRMULA MANUAL]","",IFERROR(AVERAGEIFS(nNOTA,nNIA,Y591,nCUENTA,1,nASIG,"Orquesta/Banda/Conjunto"),"")))</f>
        <v/>
      </c>
      <c r="AB591" t="str">
        <f>IF(Y591="","",IF(Y591="[FÓRMULA MANUAL]","",IFERROR(AVERAGEIFS(nNOTA,nNIA,Y591,nCUENTA,1,nASIG,"Música de Cámara"),"")))</f>
        <v/>
      </c>
      <c r="AC591" t="str">
        <f>IF(Y591="","",IF(Y591="[FÓRMULA MANUAL]","",IFERROR(SUMPRODUCT((nNIA=Y591)*(nCUENTA=1)*(COUNTIF(CONFIG_ASIGNATURAS!$B$7:$B$27,nASIG)&gt;0)*(nNOTA))/SUMPRODUCT((nNIA=Y591)*(nCUENTA=1)*(COUNTIF(CONFIG_ASIGNATURAS!$B$7:$B$27,nASIG)&gt;0)*1),"")))</f>
        <v/>
      </c>
      <c r="AF591" t="str">
        <f>IF(AE591="","",IF(AE591="[FÓRMULA MANUAL]","",IFERROR(AVERAGEIFS(nNOTA,nNIA,AE591,nCUENTA,1,nASIG,"Análisis"),"")))</f>
        <v/>
      </c>
      <c r="AG591" t="str">
        <f>IF(AE591="","",IF(AE591="[FÓRMULA MANUAL]","",IFERROR(AVERAGEIFS(nNOTA,nNIA,AE591,nCUENTA,1,nASIG,"Orquesta/Banda/Conjunto"),"")))</f>
        <v/>
      </c>
      <c r="AH591" t="str">
        <f>IF(AE591="","",IF(AE591="[FÓRMULA MANUAL]","",IFERROR(AVERAGEIFS(nNOTA,nNIA,AE591,nCUENTA,1,nASIG,"Música de Cámara"),"")))</f>
        <v/>
      </c>
      <c r="AI591" t="str">
        <f>IF(AE591="","",IF(AE591="[FÓRMULA MANUAL]","",IFERROR(SUMPRODUCT((nNIA=AE591)*(nCUENTA=1)*(COUNTIF(CONFIG_ASIGNATURAS!$B$7:$B$27,nASIG)&gt;0)*(nNOTA))/SUMPRODUCT((nNIA=AE591)*(nCUENTA=1)*(COUNTIF(CONFIG_ASIGNATURAS!$B$7:$B$27,nASIG)&gt;0)*1),"")))</f>
        <v/>
      </c>
    </row>
    <row r="592" spans="2:35" x14ac:dyDescent="0.2">
      <c r="B592" t="str">
        <f>IF(A592="","",IF(A592="[FÓRMULA MANUAL]","",IFERROR(AVERAGEIFS(nNOTA,nNIA,A592,nCUENTA,1,nASIG,"Lenguaje Musical"),"")))</f>
        <v/>
      </c>
      <c r="C592" t="str">
        <f>IF(A592="","",IF(A592="[FÓRMULA MANUAL]","",IFERROR(AVERAGEIFS(nNOTA,nNIA,A592,nCUENTA,1,nASIG,"Orquesta/Banda/Conjunto"),"")))</f>
        <v/>
      </c>
      <c r="D592" t="str">
        <f>IF(A592="","",IF(A592="[FÓRMULA MANUAL]","",IFERROR(AVERAGEIFS(nNOTA,nNIA,A592,nCUENTA,1,nASIG,"Conjunto"),"")))</f>
        <v/>
      </c>
      <c r="E592" t="str">
        <f>IF(A592="","",IF(A592="[FÓRMULA MANUAL]","",IFERROR(SUMPRODUCT((nNIA=A592)*(nCUENTA=1)*(COUNTIF(CONFIG_ASIGNATURAS!$B$7:$B$27,nASIG)&gt;0)*(nNOTA))/SUMPRODUCT((nNIA=A592)*(nCUENTA=1)*(COUNTIF(CONFIG_ASIGNATURAS!$B$7:$B$27,nASIG)&gt;0)*1),"")))</f>
        <v/>
      </c>
      <c r="H592" t="str">
        <f>IF(G592="","",IF(G592="[FÓRMULA MANUAL]","",IFERROR(AVERAGEIFS(nNOTA,nNIA,G592,nCUENTA,1,nASIG,"Lenguaje Musical"),"")))</f>
        <v/>
      </c>
      <c r="I592" t="str">
        <f>IF(G592="","",IF(G592="[FÓRMULA MANUAL]","",IFERROR(AVERAGEIFS(nNOTA,nNIA,G592,nCUENTA,1,nASIG,"Orquesta/Banda/Conjunto"),"")))</f>
        <v/>
      </c>
      <c r="J592" t="str">
        <f>IF(G592="","",IF(G592="[FÓRMULA MANUAL]","",IFERROR(AVERAGEIFS(nNOTA,nNIA,G592,nCUENTA,1,nASIG,"Conjunto"),"")))</f>
        <v/>
      </c>
      <c r="K592" t="str">
        <f>IF(G592="","",IF(G592="[FÓRMULA MANUAL]","",IFERROR(SUMPRODUCT((nNIA=G592)*(nCUENTA=1)*(COUNTIF(CONFIG_ASIGNATURAS!$B$7:$B$27,nASIG)&gt;0)*(nNOTA))/SUMPRODUCT((nNIA=G592)*(nCUENTA=1)*(COUNTIF(CONFIG_ASIGNATURAS!$B$7:$B$27,nASIG)&gt;0)*1),"")))</f>
        <v/>
      </c>
      <c r="N592" t="str">
        <f>IF(M592="","",IF(M592="[FÓRMULA MANUAL]","",IFERROR(AVERAGEIFS(nNOTA,nNIA,M592,nCUENTA,1,nASIG,"Armonía"),"")))</f>
        <v/>
      </c>
      <c r="O592" t="str">
        <f>IF(M592="","",IF(M592="[FÓRMULA MANUAL]","",IFERROR(AVERAGEIFS(nNOTA,nNIA,M592,nCUENTA,1,nASIG,"Orquesta/Banda/Conjunto"),"")))</f>
        <v/>
      </c>
      <c r="P592" t="str">
        <f>IF(M592="","",IF(M592="[FÓRMULA MANUAL]","",IFERROR(AVERAGEIFS(nNOTA,nNIA,M592,nCUENTA,1,nASIG,"Música de Cámara"),"")))</f>
        <v/>
      </c>
      <c r="Q592" t="str">
        <f>IF(M592="","",IF(M592="[FÓRMULA MANUAL]","",IFERROR(SUMPRODUCT((nNIA=M592)*(nCUENTA=1)*(COUNTIF(CONFIG_ASIGNATURAS!$B$7:$B$27,nASIG)&gt;0)*(nNOTA))/SUMPRODUCT((nNIA=M592)*(nCUENTA=1)*(COUNTIF(CONFIG_ASIGNATURAS!$B$7:$B$27,nASIG)&gt;0)*1),"")))</f>
        <v/>
      </c>
      <c r="T592" t="str">
        <f>IF(S592="","",IF(S592="[FÓRMULA MANUAL]","",IFERROR(AVERAGEIFS(nNOTA,nNIA,S592,nCUENTA,1,nASIG,"Armonía"),"")))</f>
        <v/>
      </c>
      <c r="U592" t="str">
        <f>IF(S592="","",IF(S592="[FÓRMULA MANUAL]","",IFERROR(AVERAGEIFS(nNOTA,nNIA,S592,nCUENTA,1,nASIG,"Orquesta/Banda/Conjunto"),"")))</f>
        <v/>
      </c>
      <c r="V592" t="str">
        <f>IF(S592="","",IF(S592="[FÓRMULA MANUAL]","",IFERROR(AVERAGEIFS(nNOTA,nNIA,S592,nCUENTA,1,nASIG,"Música de Cámara"),"")))</f>
        <v/>
      </c>
      <c r="W592" t="str">
        <f>IF(S592="","",IF(S592="[FÓRMULA MANUAL]","",IFERROR(SUMPRODUCT((nNIA=S592)*(nCUENTA=1)*(COUNTIF(CONFIG_ASIGNATURAS!$B$7:$B$27,nASIG)&gt;0)*(nNOTA))/SUMPRODUCT((nNIA=S592)*(nCUENTA=1)*(COUNTIF(CONFIG_ASIGNATURAS!$B$7:$B$27,nASIG)&gt;0)*1),"")))</f>
        <v/>
      </c>
      <c r="Z592" t="str">
        <f>IF(Y592="","",IF(Y592="[FÓRMULA MANUAL]","",IFERROR(AVERAGEIFS(nNOTA,nNIA,Y592,nCUENTA,1,nASIG,"Análisis"),"")))</f>
        <v/>
      </c>
      <c r="AA592" t="str">
        <f>IF(Y592="","",IF(Y592="[FÓRMULA MANUAL]","",IFERROR(AVERAGEIFS(nNOTA,nNIA,Y592,nCUENTA,1,nASIG,"Orquesta/Banda/Conjunto"),"")))</f>
        <v/>
      </c>
      <c r="AB592" t="str">
        <f>IF(Y592="","",IF(Y592="[FÓRMULA MANUAL]","",IFERROR(AVERAGEIFS(nNOTA,nNIA,Y592,nCUENTA,1,nASIG,"Música de Cámara"),"")))</f>
        <v/>
      </c>
      <c r="AC592" t="str">
        <f>IF(Y592="","",IF(Y592="[FÓRMULA MANUAL]","",IFERROR(SUMPRODUCT((nNIA=Y592)*(nCUENTA=1)*(COUNTIF(CONFIG_ASIGNATURAS!$B$7:$B$27,nASIG)&gt;0)*(nNOTA))/SUMPRODUCT((nNIA=Y592)*(nCUENTA=1)*(COUNTIF(CONFIG_ASIGNATURAS!$B$7:$B$27,nASIG)&gt;0)*1),"")))</f>
        <v/>
      </c>
      <c r="AF592" t="str">
        <f>IF(AE592="","",IF(AE592="[FÓRMULA MANUAL]","",IFERROR(AVERAGEIFS(nNOTA,nNIA,AE592,nCUENTA,1,nASIG,"Análisis"),"")))</f>
        <v/>
      </c>
      <c r="AG592" t="str">
        <f>IF(AE592="","",IF(AE592="[FÓRMULA MANUAL]","",IFERROR(AVERAGEIFS(nNOTA,nNIA,AE592,nCUENTA,1,nASIG,"Orquesta/Banda/Conjunto"),"")))</f>
        <v/>
      </c>
      <c r="AH592" t="str">
        <f>IF(AE592="","",IF(AE592="[FÓRMULA MANUAL]","",IFERROR(AVERAGEIFS(nNOTA,nNIA,AE592,nCUENTA,1,nASIG,"Música de Cámara"),"")))</f>
        <v/>
      </c>
      <c r="AI592" t="str">
        <f>IF(AE592="","",IF(AE592="[FÓRMULA MANUAL]","",IFERROR(SUMPRODUCT((nNIA=AE592)*(nCUENTA=1)*(COUNTIF(CONFIG_ASIGNATURAS!$B$7:$B$27,nASIG)&gt;0)*(nNOTA))/SUMPRODUCT((nNIA=AE592)*(nCUENTA=1)*(COUNTIF(CONFIG_ASIGNATURAS!$B$7:$B$27,nASIG)&gt;0)*1),"")))</f>
        <v/>
      </c>
    </row>
    <row r="593" spans="2:35" x14ac:dyDescent="0.2">
      <c r="B593" t="str">
        <f>IF(A593="","",IF(A593="[FÓRMULA MANUAL]","",IFERROR(AVERAGEIFS(nNOTA,nNIA,A593,nCUENTA,1,nASIG,"Lenguaje Musical"),"")))</f>
        <v/>
      </c>
      <c r="C593" t="str">
        <f>IF(A593="","",IF(A593="[FÓRMULA MANUAL]","",IFERROR(AVERAGEIFS(nNOTA,nNIA,A593,nCUENTA,1,nASIG,"Orquesta/Banda/Conjunto"),"")))</f>
        <v/>
      </c>
      <c r="D593" t="str">
        <f>IF(A593="","",IF(A593="[FÓRMULA MANUAL]","",IFERROR(AVERAGEIFS(nNOTA,nNIA,A593,nCUENTA,1,nASIG,"Conjunto"),"")))</f>
        <v/>
      </c>
      <c r="E593" t="str">
        <f>IF(A593="","",IF(A593="[FÓRMULA MANUAL]","",IFERROR(SUMPRODUCT((nNIA=A593)*(nCUENTA=1)*(COUNTIF(CONFIG_ASIGNATURAS!$B$7:$B$27,nASIG)&gt;0)*(nNOTA))/SUMPRODUCT((nNIA=A593)*(nCUENTA=1)*(COUNTIF(CONFIG_ASIGNATURAS!$B$7:$B$27,nASIG)&gt;0)*1),"")))</f>
        <v/>
      </c>
      <c r="H593" t="str">
        <f>IF(G593="","",IF(G593="[FÓRMULA MANUAL]","",IFERROR(AVERAGEIFS(nNOTA,nNIA,G593,nCUENTA,1,nASIG,"Lenguaje Musical"),"")))</f>
        <v/>
      </c>
      <c r="I593" t="str">
        <f>IF(G593="","",IF(G593="[FÓRMULA MANUAL]","",IFERROR(AVERAGEIFS(nNOTA,nNIA,G593,nCUENTA,1,nASIG,"Orquesta/Banda/Conjunto"),"")))</f>
        <v/>
      </c>
      <c r="J593" t="str">
        <f>IF(G593="","",IF(G593="[FÓRMULA MANUAL]","",IFERROR(AVERAGEIFS(nNOTA,nNIA,G593,nCUENTA,1,nASIG,"Conjunto"),"")))</f>
        <v/>
      </c>
      <c r="K593" t="str">
        <f>IF(G593="","",IF(G593="[FÓRMULA MANUAL]","",IFERROR(SUMPRODUCT((nNIA=G593)*(nCUENTA=1)*(COUNTIF(CONFIG_ASIGNATURAS!$B$7:$B$27,nASIG)&gt;0)*(nNOTA))/SUMPRODUCT((nNIA=G593)*(nCUENTA=1)*(COUNTIF(CONFIG_ASIGNATURAS!$B$7:$B$27,nASIG)&gt;0)*1),"")))</f>
        <v/>
      </c>
      <c r="N593" t="str">
        <f>IF(M593="","",IF(M593="[FÓRMULA MANUAL]","",IFERROR(AVERAGEIFS(nNOTA,nNIA,M593,nCUENTA,1,nASIG,"Armonía"),"")))</f>
        <v/>
      </c>
      <c r="O593" t="str">
        <f>IF(M593="","",IF(M593="[FÓRMULA MANUAL]","",IFERROR(AVERAGEIFS(nNOTA,nNIA,M593,nCUENTA,1,nASIG,"Orquesta/Banda/Conjunto"),"")))</f>
        <v/>
      </c>
      <c r="P593" t="str">
        <f>IF(M593="","",IF(M593="[FÓRMULA MANUAL]","",IFERROR(AVERAGEIFS(nNOTA,nNIA,M593,nCUENTA,1,nASIG,"Música de Cámara"),"")))</f>
        <v/>
      </c>
      <c r="Q593" t="str">
        <f>IF(M593="","",IF(M593="[FÓRMULA MANUAL]","",IFERROR(SUMPRODUCT((nNIA=M593)*(nCUENTA=1)*(COUNTIF(CONFIG_ASIGNATURAS!$B$7:$B$27,nASIG)&gt;0)*(nNOTA))/SUMPRODUCT((nNIA=M593)*(nCUENTA=1)*(COUNTIF(CONFIG_ASIGNATURAS!$B$7:$B$27,nASIG)&gt;0)*1),"")))</f>
        <v/>
      </c>
      <c r="T593" t="str">
        <f>IF(S593="","",IF(S593="[FÓRMULA MANUAL]","",IFERROR(AVERAGEIFS(nNOTA,nNIA,S593,nCUENTA,1,nASIG,"Armonía"),"")))</f>
        <v/>
      </c>
      <c r="U593" t="str">
        <f>IF(S593="","",IF(S593="[FÓRMULA MANUAL]","",IFERROR(AVERAGEIFS(nNOTA,nNIA,S593,nCUENTA,1,nASIG,"Orquesta/Banda/Conjunto"),"")))</f>
        <v/>
      </c>
      <c r="V593" t="str">
        <f>IF(S593="","",IF(S593="[FÓRMULA MANUAL]","",IFERROR(AVERAGEIFS(nNOTA,nNIA,S593,nCUENTA,1,nASIG,"Música de Cámara"),"")))</f>
        <v/>
      </c>
      <c r="W593" t="str">
        <f>IF(S593="","",IF(S593="[FÓRMULA MANUAL]","",IFERROR(SUMPRODUCT((nNIA=S593)*(nCUENTA=1)*(COUNTIF(CONFIG_ASIGNATURAS!$B$7:$B$27,nASIG)&gt;0)*(nNOTA))/SUMPRODUCT((nNIA=S593)*(nCUENTA=1)*(COUNTIF(CONFIG_ASIGNATURAS!$B$7:$B$27,nASIG)&gt;0)*1),"")))</f>
        <v/>
      </c>
      <c r="Z593" t="str">
        <f>IF(Y593="","",IF(Y593="[FÓRMULA MANUAL]","",IFERROR(AVERAGEIFS(nNOTA,nNIA,Y593,nCUENTA,1,nASIG,"Análisis"),"")))</f>
        <v/>
      </c>
      <c r="AA593" t="str">
        <f>IF(Y593="","",IF(Y593="[FÓRMULA MANUAL]","",IFERROR(AVERAGEIFS(nNOTA,nNIA,Y593,nCUENTA,1,nASIG,"Orquesta/Banda/Conjunto"),"")))</f>
        <v/>
      </c>
      <c r="AB593" t="str">
        <f>IF(Y593="","",IF(Y593="[FÓRMULA MANUAL]","",IFERROR(AVERAGEIFS(nNOTA,nNIA,Y593,nCUENTA,1,nASIG,"Música de Cámara"),"")))</f>
        <v/>
      </c>
      <c r="AC593" t="str">
        <f>IF(Y593="","",IF(Y593="[FÓRMULA MANUAL]","",IFERROR(SUMPRODUCT((nNIA=Y593)*(nCUENTA=1)*(COUNTIF(CONFIG_ASIGNATURAS!$B$7:$B$27,nASIG)&gt;0)*(nNOTA))/SUMPRODUCT((nNIA=Y593)*(nCUENTA=1)*(COUNTIF(CONFIG_ASIGNATURAS!$B$7:$B$27,nASIG)&gt;0)*1),"")))</f>
        <v/>
      </c>
      <c r="AF593" t="str">
        <f>IF(AE593="","",IF(AE593="[FÓRMULA MANUAL]","",IFERROR(AVERAGEIFS(nNOTA,nNIA,AE593,nCUENTA,1,nASIG,"Análisis"),"")))</f>
        <v/>
      </c>
      <c r="AG593" t="str">
        <f>IF(AE593="","",IF(AE593="[FÓRMULA MANUAL]","",IFERROR(AVERAGEIFS(nNOTA,nNIA,AE593,nCUENTA,1,nASIG,"Orquesta/Banda/Conjunto"),"")))</f>
        <v/>
      </c>
      <c r="AH593" t="str">
        <f>IF(AE593="","",IF(AE593="[FÓRMULA MANUAL]","",IFERROR(AVERAGEIFS(nNOTA,nNIA,AE593,nCUENTA,1,nASIG,"Música de Cámara"),"")))</f>
        <v/>
      </c>
      <c r="AI593" t="str">
        <f>IF(AE593="","",IF(AE593="[FÓRMULA MANUAL]","",IFERROR(SUMPRODUCT((nNIA=AE593)*(nCUENTA=1)*(COUNTIF(CONFIG_ASIGNATURAS!$B$7:$B$27,nASIG)&gt;0)*(nNOTA))/SUMPRODUCT((nNIA=AE593)*(nCUENTA=1)*(COUNTIF(CONFIG_ASIGNATURAS!$B$7:$B$27,nASIG)&gt;0)*1),"")))</f>
        <v/>
      </c>
    </row>
    <row r="594" spans="2:35" x14ac:dyDescent="0.2">
      <c r="B594" t="str">
        <f>IF(A594="","",IF(A594="[FÓRMULA MANUAL]","",IFERROR(AVERAGEIFS(nNOTA,nNIA,A594,nCUENTA,1,nASIG,"Lenguaje Musical"),"")))</f>
        <v/>
      </c>
      <c r="C594" t="str">
        <f>IF(A594="","",IF(A594="[FÓRMULA MANUAL]","",IFERROR(AVERAGEIFS(nNOTA,nNIA,A594,nCUENTA,1,nASIG,"Orquesta/Banda/Conjunto"),"")))</f>
        <v/>
      </c>
      <c r="D594" t="str">
        <f>IF(A594="","",IF(A594="[FÓRMULA MANUAL]","",IFERROR(AVERAGEIFS(nNOTA,nNIA,A594,nCUENTA,1,nASIG,"Conjunto"),"")))</f>
        <v/>
      </c>
      <c r="E594" t="str">
        <f>IF(A594="","",IF(A594="[FÓRMULA MANUAL]","",IFERROR(SUMPRODUCT((nNIA=A594)*(nCUENTA=1)*(COUNTIF(CONFIG_ASIGNATURAS!$B$7:$B$27,nASIG)&gt;0)*(nNOTA))/SUMPRODUCT((nNIA=A594)*(nCUENTA=1)*(COUNTIF(CONFIG_ASIGNATURAS!$B$7:$B$27,nASIG)&gt;0)*1),"")))</f>
        <v/>
      </c>
      <c r="H594" t="str">
        <f>IF(G594="","",IF(G594="[FÓRMULA MANUAL]","",IFERROR(AVERAGEIFS(nNOTA,nNIA,G594,nCUENTA,1,nASIG,"Lenguaje Musical"),"")))</f>
        <v/>
      </c>
      <c r="I594" t="str">
        <f>IF(G594="","",IF(G594="[FÓRMULA MANUAL]","",IFERROR(AVERAGEIFS(nNOTA,nNIA,G594,nCUENTA,1,nASIG,"Orquesta/Banda/Conjunto"),"")))</f>
        <v/>
      </c>
      <c r="J594" t="str">
        <f>IF(G594="","",IF(G594="[FÓRMULA MANUAL]","",IFERROR(AVERAGEIFS(nNOTA,nNIA,G594,nCUENTA,1,nASIG,"Conjunto"),"")))</f>
        <v/>
      </c>
      <c r="K594" t="str">
        <f>IF(G594="","",IF(G594="[FÓRMULA MANUAL]","",IFERROR(SUMPRODUCT((nNIA=G594)*(nCUENTA=1)*(COUNTIF(CONFIG_ASIGNATURAS!$B$7:$B$27,nASIG)&gt;0)*(nNOTA))/SUMPRODUCT((nNIA=G594)*(nCUENTA=1)*(COUNTIF(CONFIG_ASIGNATURAS!$B$7:$B$27,nASIG)&gt;0)*1),"")))</f>
        <v/>
      </c>
      <c r="N594" t="str">
        <f>IF(M594="","",IF(M594="[FÓRMULA MANUAL]","",IFERROR(AVERAGEIFS(nNOTA,nNIA,M594,nCUENTA,1,nASIG,"Armonía"),"")))</f>
        <v/>
      </c>
      <c r="O594" t="str">
        <f>IF(M594="","",IF(M594="[FÓRMULA MANUAL]","",IFERROR(AVERAGEIFS(nNOTA,nNIA,M594,nCUENTA,1,nASIG,"Orquesta/Banda/Conjunto"),"")))</f>
        <v/>
      </c>
      <c r="P594" t="str">
        <f>IF(M594="","",IF(M594="[FÓRMULA MANUAL]","",IFERROR(AVERAGEIFS(nNOTA,nNIA,M594,nCUENTA,1,nASIG,"Música de Cámara"),"")))</f>
        <v/>
      </c>
      <c r="Q594" t="str">
        <f>IF(M594="","",IF(M594="[FÓRMULA MANUAL]","",IFERROR(SUMPRODUCT((nNIA=M594)*(nCUENTA=1)*(COUNTIF(CONFIG_ASIGNATURAS!$B$7:$B$27,nASIG)&gt;0)*(nNOTA))/SUMPRODUCT((nNIA=M594)*(nCUENTA=1)*(COUNTIF(CONFIG_ASIGNATURAS!$B$7:$B$27,nASIG)&gt;0)*1),"")))</f>
        <v/>
      </c>
      <c r="T594" t="str">
        <f>IF(S594="","",IF(S594="[FÓRMULA MANUAL]","",IFERROR(AVERAGEIFS(nNOTA,nNIA,S594,nCUENTA,1,nASIG,"Armonía"),"")))</f>
        <v/>
      </c>
      <c r="U594" t="str">
        <f>IF(S594="","",IF(S594="[FÓRMULA MANUAL]","",IFERROR(AVERAGEIFS(nNOTA,nNIA,S594,nCUENTA,1,nASIG,"Orquesta/Banda/Conjunto"),"")))</f>
        <v/>
      </c>
      <c r="V594" t="str">
        <f>IF(S594="","",IF(S594="[FÓRMULA MANUAL]","",IFERROR(AVERAGEIFS(nNOTA,nNIA,S594,nCUENTA,1,nASIG,"Música de Cámara"),"")))</f>
        <v/>
      </c>
      <c r="W594" t="str">
        <f>IF(S594="","",IF(S594="[FÓRMULA MANUAL]","",IFERROR(SUMPRODUCT((nNIA=S594)*(nCUENTA=1)*(COUNTIF(CONFIG_ASIGNATURAS!$B$7:$B$27,nASIG)&gt;0)*(nNOTA))/SUMPRODUCT((nNIA=S594)*(nCUENTA=1)*(COUNTIF(CONFIG_ASIGNATURAS!$B$7:$B$27,nASIG)&gt;0)*1),"")))</f>
        <v/>
      </c>
      <c r="Z594" t="str">
        <f>IF(Y594="","",IF(Y594="[FÓRMULA MANUAL]","",IFERROR(AVERAGEIFS(nNOTA,nNIA,Y594,nCUENTA,1,nASIG,"Análisis"),"")))</f>
        <v/>
      </c>
      <c r="AA594" t="str">
        <f>IF(Y594="","",IF(Y594="[FÓRMULA MANUAL]","",IFERROR(AVERAGEIFS(nNOTA,nNIA,Y594,nCUENTA,1,nASIG,"Orquesta/Banda/Conjunto"),"")))</f>
        <v/>
      </c>
      <c r="AB594" t="str">
        <f>IF(Y594="","",IF(Y594="[FÓRMULA MANUAL]","",IFERROR(AVERAGEIFS(nNOTA,nNIA,Y594,nCUENTA,1,nASIG,"Música de Cámara"),"")))</f>
        <v/>
      </c>
      <c r="AC594" t="str">
        <f>IF(Y594="","",IF(Y594="[FÓRMULA MANUAL]","",IFERROR(SUMPRODUCT((nNIA=Y594)*(nCUENTA=1)*(COUNTIF(CONFIG_ASIGNATURAS!$B$7:$B$27,nASIG)&gt;0)*(nNOTA))/SUMPRODUCT((nNIA=Y594)*(nCUENTA=1)*(COUNTIF(CONFIG_ASIGNATURAS!$B$7:$B$27,nASIG)&gt;0)*1),"")))</f>
        <v/>
      </c>
      <c r="AF594" t="str">
        <f>IF(AE594="","",IF(AE594="[FÓRMULA MANUAL]","",IFERROR(AVERAGEIFS(nNOTA,nNIA,AE594,nCUENTA,1,nASIG,"Análisis"),"")))</f>
        <v/>
      </c>
      <c r="AG594" t="str">
        <f>IF(AE594="","",IF(AE594="[FÓRMULA MANUAL]","",IFERROR(AVERAGEIFS(nNOTA,nNIA,AE594,nCUENTA,1,nASIG,"Orquesta/Banda/Conjunto"),"")))</f>
        <v/>
      </c>
      <c r="AH594" t="str">
        <f>IF(AE594="","",IF(AE594="[FÓRMULA MANUAL]","",IFERROR(AVERAGEIFS(nNOTA,nNIA,AE594,nCUENTA,1,nASIG,"Música de Cámara"),"")))</f>
        <v/>
      </c>
      <c r="AI594" t="str">
        <f>IF(AE594="","",IF(AE594="[FÓRMULA MANUAL]","",IFERROR(SUMPRODUCT((nNIA=AE594)*(nCUENTA=1)*(COUNTIF(CONFIG_ASIGNATURAS!$B$7:$B$27,nASIG)&gt;0)*(nNOTA))/SUMPRODUCT((nNIA=AE594)*(nCUENTA=1)*(COUNTIF(CONFIG_ASIGNATURAS!$B$7:$B$27,nASIG)&gt;0)*1),"")))</f>
        <v/>
      </c>
    </row>
    <row r="595" spans="2:35" x14ac:dyDescent="0.2">
      <c r="B595" t="str">
        <f>IF(A595="","",IF(A595="[FÓRMULA MANUAL]","",IFERROR(AVERAGEIFS(nNOTA,nNIA,A595,nCUENTA,1,nASIG,"Lenguaje Musical"),"")))</f>
        <v/>
      </c>
      <c r="C595" t="str">
        <f>IF(A595="","",IF(A595="[FÓRMULA MANUAL]","",IFERROR(AVERAGEIFS(nNOTA,nNIA,A595,nCUENTA,1,nASIG,"Orquesta/Banda/Conjunto"),"")))</f>
        <v/>
      </c>
      <c r="D595" t="str">
        <f>IF(A595="","",IF(A595="[FÓRMULA MANUAL]","",IFERROR(AVERAGEIFS(nNOTA,nNIA,A595,nCUENTA,1,nASIG,"Conjunto"),"")))</f>
        <v/>
      </c>
      <c r="E595" t="str">
        <f>IF(A595="","",IF(A595="[FÓRMULA MANUAL]","",IFERROR(SUMPRODUCT((nNIA=A595)*(nCUENTA=1)*(COUNTIF(CONFIG_ASIGNATURAS!$B$7:$B$27,nASIG)&gt;0)*(nNOTA))/SUMPRODUCT((nNIA=A595)*(nCUENTA=1)*(COUNTIF(CONFIG_ASIGNATURAS!$B$7:$B$27,nASIG)&gt;0)*1),"")))</f>
        <v/>
      </c>
      <c r="H595" t="str">
        <f>IF(G595="","",IF(G595="[FÓRMULA MANUAL]","",IFERROR(AVERAGEIFS(nNOTA,nNIA,G595,nCUENTA,1,nASIG,"Lenguaje Musical"),"")))</f>
        <v/>
      </c>
      <c r="I595" t="str">
        <f>IF(G595="","",IF(G595="[FÓRMULA MANUAL]","",IFERROR(AVERAGEIFS(nNOTA,nNIA,G595,nCUENTA,1,nASIG,"Orquesta/Banda/Conjunto"),"")))</f>
        <v/>
      </c>
      <c r="J595" t="str">
        <f>IF(G595="","",IF(G595="[FÓRMULA MANUAL]","",IFERROR(AVERAGEIFS(nNOTA,nNIA,G595,nCUENTA,1,nASIG,"Conjunto"),"")))</f>
        <v/>
      </c>
      <c r="K595" t="str">
        <f>IF(G595="","",IF(G595="[FÓRMULA MANUAL]","",IFERROR(SUMPRODUCT((nNIA=G595)*(nCUENTA=1)*(COUNTIF(CONFIG_ASIGNATURAS!$B$7:$B$27,nASIG)&gt;0)*(nNOTA))/SUMPRODUCT((nNIA=G595)*(nCUENTA=1)*(COUNTIF(CONFIG_ASIGNATURAS!$B$7:$B$27,nASIG)&gt;0)*1),"")))</f>
        <v/>
      </c>
      <c r="N595" t="str">
        <f>IF(M595="","",IF(M595="[FÓRMULA MANUAL]","",IFERROR(AVERAGEIFS(nNOTA,nNIA,M595,nCUENTA,1,nASIG,"Armonía"),"")))</f>
        <v/>
      </c>
      <c r="O595" t="str">
        <f>IF(M595="","",IF(M595="[FÓRMULA MANUAL]","",IFERROR(AVERAGEIFS(nNOTA,nNIA,M595,nCUENTA,1,nASIG,"Orquesta/Banda/Conjunto"),"")))</f>
        <v/>
      </c>
      <c r="P595" t="str">
        <f>IF(M595="","",IF(M595="[FÓRMULA MANUAL]","",IFERROR(AVERAGEIFS(nNOTA,nNIA,M595,nCUENTA,1,nASIG,"Música de Cámara"),"")))</f>
        <v/>
      </c>
      <c r="Q595" t="str">
        <f>IF(M595="","",IF(M595="[FÓRMULA MANUAL]","",IFERROR(SUMPRODUCT((nNIA=M595)*(nCUENTA=1)*(COUNTIF(CONFIG_ASIGNATURAS!$B$7:$B$27,nASIG)&gt;0)*(nNOTA))/SUMPRODUCT((nNIA=M595)*(nCUENTA=1)*(COUNTIF(CONFIG_ASIGNATURAS!$B$7:$B$27,nASIG)&gt;0)*1),"")))</f>
        <v/>
      </c>
      <c r="T595" t="str">
        <f>IF(S595="","",IF(S595="[FÓRMULA MANUAL]","",IFERROR(AVERAGEIFS(nNOTA,nNIA,S595,nCUENTA,1,nASIG,"Armonía"),"")))</f>
        <v/>
      </c>
      <c r="U595" t="str">
        <f>IF(S595="","",IF(S595="[FÓRMULA MANUAL]","",IFERROR(AVERAGEIFS(nNOTA,nNIA,S595,nCUENTA,1,nASIG,"Orquesta/Banda/Conjunto"),"")))</f>
        <v/>
      </c>
      <c r="V595" t="str">
        <f>IF(S595="","",IF(S595="[FÓRMULA MANUAL]","",IFERROR(AVERAGEIFS(nNOTA,nNIA,S595,nCUENTA,1,nASIG,"Música de Cámara"),"")))</f>
        <v/>
      </c>
      <c r="W595" t="str">
        <f>IF(S595="","",IF(S595="[FÓRMULA MANUAL]","",IFERROR(SUMPRODUCT((nNIA=S595)*(nCUENTA=1)*(COUNTIF(CONFIG_ASIGNATURAS!$B$7:$B$27,nASIG)&gt;0)*(nNOTA))/SUMPRODUCT((nNIA=S595)*(nCUENTA=1)*(COUNTIF(CONFIG_ASIGNATURAS!$B$7:$B$27,nASIG)&gt;0)*1),"")))</f>
        <v/>
      </c>
      <c r="Z595" t="str">
        <f>IF(Y595="","",IF(Y595="[FÓRMULA MANUAL]","",IFERROR(AVERAGEIFS(nNOTA,nNIA,Y595,nCUENTA,1,nASIG,"Análisis"),"")))</f>
        <v/>
      </c>
      <c r="AA595" t="str">
        <f>IF(Y595="","",IF(Y595="[FÓRMULA MANUAL]","",IFERROR(AVERAGEIFS(nNOTA,nNIA,Y595,nCUENTA,1,nASIG,"Orquesta/Banda/Conjunto"),"")))</f>
        <v/>
      </c>
      <c r="AB595" t="str">
        <f>IF(Y595="","",IF(Y595="[FÓRMULA MANUAL]","",IFERROR(AVERAGEIFS(nNOTA,nNIA,Y595,nCUENTA,1,nASIG,"Música de Cámara"),"")))</f>
        <v/>
      </c>
      <c r="AC595" t="str">
        <f>IF(Y595="","",IF(Y595="[FÓRMULA MANUAL]","",IFERROR(SUMPRODUCT((nNIA=Y595)*(nCUENTA=1)*(COUNTIF(CONFIG_ASIGNATURAS!$B$7:$B$27,nASIG)&gt;0)*(nNOTA))/SUMPRODUCT((nNIA=Y595)*(nCUENTA=1)*(COUNTIF(CONFIG_ASIGNATURAS!$B$7:$B$27,nASIG)&gt;0)*1),"")))</f>
        <v/>
      </c>
      <c r="AF595" t="str">
        <f>IF(AE595="","",IF(AE595="[FÓRMULA MANUAL]","",IFERROR(AVERAGEIFS(nNOTA,nNIA,AE595,nCUENTA,1,nASIG,"Análisis"),"")))</f>
        <v/>
      </c>
      <c r="AG595" t="str">
        <f>IF(AE595="","",IF(AE595="[FÓRMULA MANUAL]","",IFERROR(AVERAGEIFS(nNOTA,nNIA,AE595,nCUENTA,1,nASIG,"Orquesta/Banda/Conjunto"),"")))</f>
        <v/>
      </c>
      <c r="AH595" t="str">
        <f>IF(AE595="","",IF(AE595="[FÓRMULA MANUAL]","",IFERROR(AVERAGEIFS(nNOTA,nNIA,AE595,nCUENTA,1,nASIG,"Música de Cámara"),"")))</f>
        <v/>
      </c>
      <c r="AI595" t="str">
        <f>IF(AE595="","",IF(AE595="[FÓRMULA MANUAL]","",IFERROR(SUMPRODUCT((nNIA=AE595)*(nCUENTA=1)*(COUNTIF(CONFIG_ASIGNATURAS!$B$7:$B$27,nASIG)&gt;0)*(nNOTA))/SUMPRODUCT((nNIA=AE595)*(nCUENTA=1)*(COUNTIF(CONFIG_ASIGNATURAS!$B$7:$B$27,nASIG)&gt;0)*1),"")))</f>
        <v/>
      </c>
    </row>
    <row r="596" spans="2:35" x14ac:dyDescent="0.2">
      <c r="B596" t="str">
        <f>IF(A596="","",IF(A596="[FÓRMULA MANUAL]","",IFERROR(AVERAGEIFS(nNOTA,nNIA,A596,nCUENTA,1,nASIG,"Lenguaje Musical"),"")))</f>
        <v/>
      </c>
      <c r="C596" t="str">
        <f>IF(A596="","",IF(A596="[FÓRMULA MANUAL]","",IFERROR(AVERAGEIFS(nNOTA,nNIA,A596,nCUENTA,1,nASIG,"Orquesta/Banda/Conjunto"),"")))</f>
        <v/>
      </c>
      <c r="D596" t="str">
        <f>IF(A596="","",IF(A596="[FÓRMULA MANUAL]","",IFERROR(AVERAGEIFS(nNOTA,nNIA,A596,nCUENTA,1,nASIG,"Conjunto"),"")))</f>
        <v/>
      </c>
      <c r="E596" t="str">
        <f>IF(A596="","",IF(A596="[FÓRMULA MANUAL]","",IFERROR(SUMPRODUCT((nNIA=A596)*(nCUENTA=1)*(COUNTIF(CONFIG_ASIGNATURAS!$B$7:$B$27,nASIG)&gt;0)*(nNOTA))/SUMPRODUCT((nNIA=A596)*(nCUENTA=1)*(COUNTIF(CONFIG_ASIGNATURAS!$B$7:$B$27,nASIG)&gt;0)*1),"")))</f>
        <v/>
      </c>
      <c r="H596" t="str">
        <f>IF(G596="","",IF(G596="[FÓRMULA MANUAL]","",IFERROR(AVERAGEIFS(nNOTA,nNIA,G596,nCUENTA,1,nASIG,"Lenguaje Musical"),"")))</f>
        <v/>
      </c>
      <c r="I596" t="str">
        <f>IF(G596="","",IF(G596="[FÓRMULA MANUAL]","",IFERROR(AVERAGEIFS(nNOTA,nNIA,G596,nCUENTA,1,nASIG,"Orquesta/Banda/Conjunto"),"")))</f>
        <v/>
      </c>
      <c r="J596" t="str">
        <f>IF(G596="","",IF(G596="[FÓRMULA MANUAL]","",IFERROR(AVERAGEIFS(nNOTA,nNIA,G596,nCUENTA,1,nASIG,"Conjunto"),"")))</f>
        <v/>
      </c>
      <c r="K596" t="str">
        <f>IF(G596="","",IF(G596="[FÓRMULA MANUAL]","",IFERROR(SUMPRODUCT((nNIA=G596)*(nCUENTA=1)*(COUNTIF(CONFIG_ASIGNATURAS!$B$7:$B$27,nASIG)&gt;0)*(nNOTA))/SUMPRODUCT((nNIA=G596)*(nCUENTA=1)*(COUNTIF(CONFIG_ASIGNATURAS!$B$7:$B$27,nASIG)&gt;0)*1),"")))</f>
        <v/>
      </c>
      <c r="N596" t="str">
        <f>IF(M596="","",IF(M596="[FÓRMULA MANUAL]","",IFERROR(AVERAGEIFS(nNOTA,nNIA,M596,nCUENTA,1,nASIG,"Armonía"),"")))</f>
        <v/>
      </c>
      <c r="O596" t="str">
        <f>IF(M596="","",IF(M596="[FÓRMULA MANUAL]","",IFERROR(AVERAGEIFS(nNOTA,nNIA,M596,nCUENTA,1,nASIG,"Orquesta/Banda/Conjunto"),"")))</f>
        <v/>
      </c>
      <c r="P596" t="str">
        <f>IF(M596="","",IF(M596="[FÓRMULA MANUAL]","",IFERROR(AVERAGEIFS(nNOTA,nNIA,M596,nCUENTA,1,nASIG,"Música de Cámara"),"")))</f>
        <v/>
      </c>
      <c r="Q596" t="str">
        <f>IF(M596="","",IF(M596="[FÓRMULA MANUAL]","",IFERROR(SUMPRODUCT((nNIA=M596)*(nCUENTA=1)*(COUNTIF(CONFIG_ASIGNATURAS!$B$7:$B$27,nASIG)&gt;0)*(nNOTA))/SUMPRODUCT((nNIA=M596)*(nCUENTA=1)*(COUNTIF(CONFIG_ASIGNATURAS!$B$7:$B$27,nASIG)&gt;0)*1),"")))</f>
        <v/>
      </c>
      <c r="T596" t="str">
        <f>IF(S596="","",IF(S596="[FÓRMULA MANUAL]","",IFERROR(AVERAGEIFS(nNOTA,nNIA,S596,nCUENTA,1,nASIG,"Armonía"),"")))</f>
        <v/>
      </c>
      <c r="U596" t="str">
        <f>IF(S596="","",IF(S596="[FÓRMULA MANUAL]","",IFERROR(AVERAGEIFS(nNOTA,nNIA,S596,nCUENTA,1,nASIG,"Orquesta/Banda/Conjunto"),"")))</f>
        <v/>
      </c>
      <c r="V596" t="str">
        <f>IF(S596="","",IF(S596="[FÓRMULA MANUAL]","",IFERROR(AVERAGEIFS(nNOTA,nNIA,S596,nCUENTA,1,nASIG,"Música de Cámara"),"")))</f>
        <v/>
      </c>
      <c r="W596" t="str">
        <f>IF(S596="","",IF(S596="[FÓRMULA MANUAL]","",IFERROR(SUMPRODUCT((nNIA=S596)*(nCUENTA=1)*(COUNTIF(CONFIG_ASIGNATURAS!$B$7:$B$27,nASIG)&gt;0)*(nNOTA))/SUMPRODUCT((nNIA=S596)*(nCUENTA=1)*(COUNTIF(CONFIG_ASIGNATURAS!$B$7:$B$27,nASIG)&gt;0)*1),"")))</f>
        <v/>
      </c>
      <c r="Z596" t="str">
        <f>IF(Y596="","",IF(Y596="[FÓRMULA MANUAL]","",IFERROR(AVERAGEIFS(nNOTA,nNIA,Y596,nCUENTA,1,nASIG,"Análisis"),"")))</f>
        <v/>
      </c>
      <c r="AA596" t="str">
        <f>IF(Y596="","",IF(Y596="[FÓRMULA MANUAL]","",IFERROR(AVERAGEIFS(nNOTA,nNIA,Y596,nCUENTA,1,nASIG,"Orquesta/Banda/Conjunto"),"")))</f>
        <v/>
      </c>
      <c r="AB596" t="str">
        <f>IF(Y596="","",IF(Y596="[FÓRMULA MANUAL]","",IFERROR(AVERAGEIFS(nNOTA,nNIA,Y596,nCUENTA,1,nASIG,"Música de Cámara"),"")))</f>
        <v/>
      </c>
      <c r="AC596" t="str">
        <f>IF(Y596="","",IF(Y596="[FÓRMULA MANUAL]","",IFERROR(SUMPRODUCT((nNIA=Y596)*(nCUENTA=1)*(COUNTIF(CONFIG_ASIGNATURAS!$B$7:$B$27,nASIG)&gt;0)*(nNOTA))/SUMPRODUCT((nNIA=Y596)*(nCUENTA=1)*(COUNTIF(CONFIG_ASIGNATURAS!$B$7:$B$27,nASIG)&gt;0)*1),"")))</f>
        <v/>
      </c>
      <c r="AF596" t="str">
        <f>IF(AE596="","",IF(AE596="[FÓRMULA MANUAL]","",IFERROR(AVERAGEIFS(nNOTA,nNIA,AE596,nCUENTA,1,nASIG,"Análisis"),"")))</f>
        <v/>
      </c>
      <c r="AG596" t="str">
        <f>IF(AE596="","",IF(AE596="[FÓRMULA MANUAL]","",IFERROR(AVERAGEIFS(nNOTA,nNIA,AE596,nCUENTA,1,nASIG,"Orquesta/Banda/Conjunto"),"")))</f>
        <v/>
      </c>
      <c r="AH596" t="str">
        <f>IF(AE596="","",IF(AE596="[FÓRMULA MANUAL]","",IFERROR(AVERAGEIFS(nNOTA,nNIA,AE596,nCUENTA,1,nASIG,"Música de Cámara"),"")))</f>
        <v/>
      </c>
      <c r="AI596" t="str">
        <f>IF(AE596="","",IF(AE596="[FÓRMULA MANUAL]","",IFERROR(SUMPRODUCT((nNIA=AE596)*(nCUENTA=1)*(COUNTIF(CONFIG_ASIGNATURAS!$B$7:$B$27,nASIG)&gt;0)*(nNOTA))/SUMPRODUCT((nNIA=AE596)*(nCUENTA=1)*(COUNTIF(CONFIG_ASIGNATURAS!$B$7:$B$27,nASIG)&gt;0)*1),"")))</f>
        <v/>
      </c>
    </row>
    <row r="597" spans="2:35" x14ac:dyDescent="0.2">
      <c r="B597" t="str">
        <f>IF(A597="","",IF(A597="[FÓRMULA MANUAL]","",IFERROR(AVERAGEIFS(nNOTA,nNIA,A597,nCUENTA,1,nASIG,"Lenguaje Musical"),"")))</f>
        <v/>
      </c>
      <c r="C597" t="str">
        <f>IF(A597="","",IF(A597="[FÓRMULA MANUAL]","",IFERROR(AVERAGEIFS(nNOTA,nNIA,A597,nCUENTA,1,nASIG,"Orquesta/Banda/Conjunto"),"")))</f>
        <v/>
      </c>
      <c r="D597" t="str">
        <f>IF(A597="","",IF(A597="[FÓRMULA MANUAL]","",IFERROR(AVERAGEIFS(nNOTA,nNIA,A597,nCUENTA,1,nASIG,"Conjunto"),"")))</f>
        <v/>
      </c>
      <c r="E597" t="str">
        <f>IF(A597="","",IF(A597="[FÓRMULA MANUAL]","",IFERROR(SUMPRODUCT((nNIA=A597)*(nCUENTA=1)*(COUNTIF(CONFIG_ASIGNATURAS!$B$7:$B$27,nASIG)&gt;0)*(nNOTA))/SUMPRODUCT((nNIA=A597)*(nCUENTA=1)*(COUNTIF(CONFIG_ASIGNATURAS!$B$7:$B$27,nASIG)&gt;0)*1),"")))</f>
        <v/>
      </c>
      <c r="H597" t="str">
        <f>IF(G597="","",IF(G597="[FÓRMULA MANUAL]","",IFERROR(AVERAGEIFS(nNOTA,nNIA,G597,nCUENTA,1,nASIG,"Lenguaje Musical"),"")))</f>
        <v/>
      </c>
      <c r="I597" t="str">
        <f>IF(G597="","",IF(G597="[FÓRMULA MANUAL]","",IFERROR(AVERAGEIFS(nNOTA,nNIA,G597,nCUENTA,1,nASIG,"Orquesta/Banda/Conjunto"),"")))</f>
        <v/>
      </c>
      <c r="J597" t="str">
        <f>IF(G597="","",IF(G597="[FÓRMULA MANUAL]","",IFERROR(AVERAGEIFS(nNOTA,nNIA,G597,nCUENTA,1,nASIG,"Conjunto"),"")))</f>
        <v/>
      </c>
      <c r="K597" t="str">
        <f>IF(G597="","",IF(G597="[FÓRMULA MANUAL]","",IFERROR(SUMPRODUCT((nNIA=G597)*(nCUENTA=1)*(COUNTIF(CONFIG_ASIGNATURAS!$B$7:$B$27,nASIG)&gt;0)*(nNOTA))/SUMPRODUCT((nNIA=G597)*(nCUENTA=1)*(COUNTIF(CONFIG_ASIGNATURAS!$B$7:$B$27,nASIG)&gt;0)*1),"")))</f>
        <v/>
      </c>
      <c r="N597" t="str">
        <f>IF(M597="","",IF(M597="[FÓRMULA MANUAL]","",IFERROR(AVERAGEIFS(nNOTA,nNIA,M597,nCUENTA,1,nASIG,"Armonía"),"")))</f>
        <v/>
      </c>
      <c r="O597" t="str">
        <f>IF(M597="","",IF(M597="[FÓRMULA MANUAL]","",IFERROR(AVERAGEIFS(nNOTA,nNIA,M597,nCUENTA,1,nASIG,"Orquesta/Banda/Conjunto"),"")))</f>
        <v/>
      </c>
      <c r="P597" t="str">
        <f>IF(M597="","",IF(M597="[FÓRMULA MANUAL]","",IFERROR(AVERAGEIFS(nNOTA,nNIA,M597,nCUENTA,1,nASIG,"Música de Cámara"),"")))</f>
        <v/>
      </c>
      <c r="Q597" t="str">
        <f>IF(M597="","",IF(M597="[FÓRMULA MANUAL]","",IFERROR(SUMPRODUCT((nNIA=M597)*(nCUENTA=1)*(COUNTIF(CONFIG_ASIGNATURAS!$B$7:$B$27,nASIG)&gt;0)*(nNOTA))/SUMPRODUCT((nNIA=M597)*(nCUENTA=1)*(COUNTIF(CONFIG_ASIGNATURAS!$B$7:$B$27,nASIG)&gt;0)*1),"")))</f>
        <v/>
      </c>
      <c r="T597" t="str">
        <f>IF(S597="","",IF(S597="[FÓRMULA MANUAL]","",IFERROR(AVERAGEIFS(nNOTA,nNIA,S597,nCUENTA,1,nASIG,"Armonía"),"")))</f>
        <v/>
      </c>
      <c r="U597" t="str">
        <f>IF(S597="","",IF(S597="[FÓRMULA MANUAL]","",IFERROR(AVERAGEIFS(nNOTA,nNIA,S597,nCUENTA,1,nASIG,"Orquesta/Banda/Conjunto"),"")))</f>
        <v/>
      </c>
      <c r="V597" t="str">
        <f>IF(S597="","",IF(S597="[FÓRMULA MANUAL]","",IFERROR(AVERAGEIFS(nNOTA,nNIA,S597,nCUENTA,1,nASIG,"Música de Cámara"),"")))</f>
        <v/>
      </c>
      <c r="W597" t="str">
        <f>IF(S597="","",IF(S597="[FÓRMULA MANUAL]","",IFERROR(SUMPRODUCT((nNIA=S597)*(nCUENTA=1)*(COUNTIF(CONFIG_ASIGNATURAS!$B$7:$B$27,nASIG)&gt;0)*(nNOTA))/SUMPRODUCT((nNIA=S597)*(nCUENTA=1)*(COUNTIF(CONFIG_ASIGNATURAS!$B$7:$B$27,nASIG)&gt;0)*1),"")))</f>
        <v/>
      </c>
      <c r="Z597" t="str">
        <f>IF(Y597="","",IF(Y597="[FÓRMULA MANUAL]","",IFERROR(AVERAGEIFS(nNOTA,nNIA,Y597,nCUENTA,1,nASIG,"Análisis"),"")))</f>
        <v/>
      </c>
      <c r="AA597" t="str">
        <f>IF(Y597="","",IF(Y597="[FÓRMULA MANUAL]","",IFERROR(AVERAGEIFS(nNOTA,nNIA,Y597,nCUENTA,1,nASIG,"Orquesta/Banda/Conjunto"),"")))</f>
        <v/>
      </c>
      <c r="AB597" t="str">
        <f>IF(Y597="","",IF(Y597="[FÓRMULA MANUAL]","",IFERROR(AVERAGEIFS(nNOTA,nNIA,Y597,nCUENTA,1,nASIG,"Música de Cámara"),"")))</f>
        <v/>
      </c>
      <c r="AC597" t="str">
        <f>IF(Y597="","",IF(Y597="[FÓRMULA MANUAL]","",IFERROR(SUMPRODUCT((nNIA=Y597)*(nCUENTA=1)*(COUNTIF(CONFIG_ASIGNATURAS!$B$7:$B$27,nASIG)&gt;0)*(nNOTA))/SUMPRODUCT((nNIA=Y597)*(nCUENTA=1)*(COUNTIF(CONFIG_ASIGNATURAS!$B$7:$B$27,nASIG)&gt;0)*1),"")))</f>
        <v/>
      </c>
      <c r="AF597" t="str">
        <f>IF(AE597="","",IF(AE597="[FÓRMULA MANUAL]","",IFERROR(AVERAGEIFS(nNOTA,nNIA,AE597,nCUENTA,1,nASIG,"Análisis"),"")))</f>
        <v/>
      </c>
      <c r="AG597" t="str">
        <f>IF(AE597="","",IF(AE597="[FÓRMULA MANUAL]","",IFERROR(AVERAGEIFS(nNOTA,nNIA,AE597,nCUENTA,1,nASIG,"Orquesta/Banda/Conjunto"),"")))</f>
        <v/>
      </c>
      <c r="AH597" t="str">
        <f>IF(AE597="","",IF(AE597="[FÓRMULA MANUAL]","",IFERROR(AVERAGEIFS(nNOTA,nNIA,AE597,nCUENTA,1,nASIG,"Música de Cámara"),"")))</f>
        <v/>
      </c>
      <c r="AI597" t="str">
        <f>IF(AE597="","",IF(AE597="[FÓRMULA MANUAL]","",IFERROR(SUMPRODUCT((nNIA=AE597)*(nCUENTA=1)*(COUNTIF(CONFIG_ASIGNATURAS!$B$7:$B$27,nASIG)&gt;0)*(nNOTA))/SUMPRODUCT((nNIA=AE597)*(nCUENTA=1)*(COUNTIF(CONFIG_ASIGNATURAS!$B$7:$B$27,nASIG)&gt;0)*1),"")))</f>
        <v/>
      </c>
    </row>
    <row r="598" spans="2:35" x14ac:dyDescent="0.2">
      <c r="B598" t="str">
        <f>IF(A598="","",IF(A598="[FÓRMULA MANUAL]","",IFERROR(AVERAGEIFS(nNOTA,nNIA,A598,nCUENTA,1,nASIG,"Lenguaje Musical"),"")))</f>
        <v/>
      </c>
      <c r="C598" t="str">
        <f>IF(A598="","",IF(A598="[FÓRMULA MANUAL]","",IFERROR(AVERAGEIFS(nNOTA,nNIA,A598,nCUENTA,1,nASIG,"Orquesta/Banda/Conjunto"),"")))</f>
        <v/>
      </c>
      <c r="D598" t="str">
        <f>IF(A598="","",IF(A598="[FÓRMULA MANUAL]","",IFERROR(AVERAGEIFS(nNOTA,nNIA,A598,nCUENTA,1,nASIG,"Conjunto"),"")))</f>
        <v/>
      </c>
      <c r="E598" t="str">
        <f>IF(A598="","",IF(A598="[FÓRMULA MANUAL]","",IFERROR(SUMPRODUCT((nNIA=A598)*(nCUENTA=1)*(COUNTIF(CONFIG_ASIGNATURAS!$B$7:$B$27,nASIG)&gt;0)*(nNOTA))/SUMPRODUCT((nNIA=A598)*(nCUENTA=1)*(COUNTIF(CONFIG_ASIGNATURAS!$B$7:$B$27,nASIG)&gt;0)*1),"")))</f>
        <v/>
      </c>
      <c r="H598" t="str">
        <f>IF(G598="","",IF(G598="[FÓRMULA MANUAL]","",IFERROR(AVERAGEIFS(nNOTA,nNIA,G598,nCUENTA,1,nASIG,"Lenguaje Musical"),"")))</f>
        <v/>
      </c>
      <c r="I598" t="str">
        <f>IF(G598="","",IF(G598="[FÓRMULA MANUAL]","",IFERROR(AVERAGEIFS(nNOTA,nNIA,G598,nCUENTA,1,nASIG,"Orquesta/Banda/Conjunto"),"")))</f>
        <v/>
      </c>
      <c r="J598" t="str">
        <f>IF(G598="","",IF(G598="[FÓRMULA MANUAL]","",IFERROR(AVERAGEIFS(nNOTA,nNIA,G598,nCUENTA,1,nASIG,"Conjunto"),"")))</f>
        <v/>
      </c>
      <c r="K598" t="str">
        <f>IF(G598="","",IF(G598="[FÓRMULA MANUAL]","",IFERROR(SUMPRODUCT((nNIA=G598)*(nCUENTA=1)*(COUNTIF(CONFIG_ASIGNATURAS!$B$7:$B$27,nASIG)&gt;0)*(nNOTA))/SUMPRODUCT((nNIA=G598)*(nCUENTA=1)*(COUNTIF(CONFIG_ASIGNATURAS!$B$7:$B$27,nASIG)&gt;0)*1),"")))</f>
        <v/>
      </c>
      <c r="N598" t="str">
        <f>IF(M598="","",IF(M598="[FÓRMULA MANUAL]","",IFERROR(AVERAGEIFS(nNOTA,nNIA,M598,nCUENTA,1,nASIG,"Armonía"),"")))</f>
        <v/>
      </c>
      <c r="O598" t="str">
        <f>IF(M598="","",IF(M598="[FÓRMULA MANUAL]","",IFERROR(AVERAGEIFS(nNOTA,nNIA,M598,nCUENTA,1,nASIG,"Orquesta/Banda/Conjunto"),"")))</f>
        <v/>
      </c>
      <c r="P598" t="str">
        <f>IF(M598="","",IF(M598="[FÓRMULA MANUAL]","",IFERROR(AVERAGEIFS(nNOTA,nNIA,M598,nCUENTA,1,nASIG,"Música de Cámara"),"")))</f>
        <v/>
      </c>
      <c r="Q598" t="str">
        <f>IF(M598="","",IF(M598="[FÓRMULA MANUAL]","",IFERROR(SUMPRODUCT((nNIA=M598)*(nCUENTA=1)*(COUNTIF(CONFIG_ASIGNATURAS!$B$7:$B$27,nASIG)&gt;0)*(nNOTA))/SUMPRODUCT((nNIA=M598)*(nCUENTA=1)*(COUNTIF(CONFIG_ASIGNATURAS!$B$7:$B$27,nASIG)&gt;0)*1),"")))</f>
        <v/>
      </c>
      <c r="T598" t="str">
        <f>IF(S598="","",IF(S598="[FÓRMULA MANUAL]","",IFERROR(AVERAGEIFS(nNOTA,nNIA,S598,nCUENTA,1,nASIG,"Armonía"),"")))</f>
        <v/>
      </c>
      <c r="U598" t="str">
        <f>IF(S598="","",IF(S598="[FÓRMULA MANUAL]","",IFERROR(AVERAGEIFS(nNOTA,nNIA,S598,nCUENTA,1,nASIG,"Orquesta/Banda/Conjunto"),"")))</f>
        <v/>
      </c>
      <c r="V598" t="str">
        <f>IF(S598="","",IF(S598="[FÓRMULA MANUAL]","",IFERROR(AVERAGEIFS(nNOTA,nNIA,S598,nCUENTA,1,nASIG,"Música de Cámara"),"")))</f>
        <v/>
      </c>
      <c r="W598" t="str">
        <f>IF(S598="","",IF(S598="[FÓRMULA MANUAL]","",IFERROR(SUMPRODUCT((nNIA=S598)*(nCUENTA=1)*(COUNTIF(CONFIG_ASIGNATURAS!$B$7:$B$27,nASIG)&gt;0)*(nNOTA))/SUMPRODUCT((nNIA=S598)*(nCUENTA=1)*(COUNTIF(CONFIG_ASIGNATURAS!$B$7:$B$27,nASIG)&gt;0)*1),"")))</f>
        <v/>
      </c>
      <c r="Z598" t="str">
        <f>IF(Y598="","",IF(Y598="[FÓRMULA MANUAL]","",IFERROR(AVERAGEIFS(nNOTA,nNIA,Y598,nCUENTA,1,nASIG,"Análisis"),"")))</f>
        <v/>
      </c>
      <c r="AA598" t="str">
        <f>IF(Y598="","",IF(Y598="[FÓRMULA MANUAL]","",IFERROR(AVERAGEIFS(nNOTA,nNIA,Y598,nCUENTA,1,nASIG,"Orquesta/Banda/Conjunto"),"")))</f>
        <v/>
      </c>
      <c r="AB598" t="str">
        <f>IF(Y598="","",IF(Y598="[FÓRMULA MANUAL]","",IFERROR(AVERAGEIFS(nNOTA,nNIA,Y598,nCUENTA,1,nASIG,"Música de Cámara"),"")))</f>
        <v/>
      </c>
      <c r="AC598" t="str">
        <f>IF(Y598="","",IF(Y598="[FÓRMULA MANUAL]","",IFERROR(SUMPRODUCT((nNIA=Y598)*(nCUENTA=1)*(COUNTIF(CONFIG_ASIGNATURAS!$B$7:$B$27,nASIG)&gt;0)*(nNOTA))/SUMPRODUCT((nNIA=Y598)*(nCUENTA=1)*(COUNTIF(CONFIG_ASIGNATURAS!$B$7:$B$27,nASIG)&gt;0)*1),"")))</f>
        <v/>
      </c>
      <c r="AF598" t="str">
        <f>IF(AE598="","",IF(AE598="[FÓRMULA MANUAL]","",IFERROR(AVERAGEIFS(nNOTA,nNIA,AE598,nCUENTA,1,nASIG,"Análisis"),"")))</f>
        <v/>
      </c>
      <c r="AG598" t="str">
        <f>IF(AE598="","",IF(AE598="[FÓRMULA MANUAL]","",IFERROR(AVERAGEIFS(nNOTA,nNIA,AE598,nCUENTA,1,nASIG,"Orquesta/Banda/Conjunto"),"")))</f>
        <v/>
      </c>
      <c r="AH598" t="str">
        <f>IF(AE598="","",IF(AE598="[FÓRMULA MANUAL]","",IFERROR(AVERAGEIFS(nNOTA,nNIA,AE598,nCUENTA,1,nASIG,"Música de Cámara"),"")))</f>
        <v/>
      </c>
      <c r="AI598" t="str">
        <f>IF(AE598="","",IF(AE598="[FÓRMULA MANUAL]","",IFERROR(SUMPRODUCT((nNIA=AE598)*(nCUENTA=1)*(COUNTIF(CONFIG_ASIGNATURAS!$B$7:$B$27,nASIG)&gt;0)*(nNOTA))/SUMPRODUCT((nNIA=AE598)*(nCUENTA=1)*(COUNTIF(CONFIG_ASIGNATURAS!$B$7:$B$27,nASIG)&gt;0)*1),"")))</f>
        <v/>
      </c>
    </row>
    <row r="599" spans="2:35" x14ac:dyDescent="0.2">
      <c r="B599" t="str">
        <f>IF(A599="","",IF(A599="[FÓRMULA MANUAL]","",IFERROR(AVERAGEIFS(nNOTA,nNIA,A599,nCUENTA,1,nASIG,"Lenguaje Musical"),"")))</f>
        <v/>
      </c>
      <c r="C599" t="str">
        <f>IF(A599="","",IF(A599="[FÓRMULA MANUAL]","",IFERROR(AVERAGEIFS(nNOTA,nNIA,A599,nCUENTA,1,nASIG,"Orquesta/Banda/Conjunto"),"")))</f>
        <v/>
      </c>
      <c r="D599" t="str">
        <f>IF(A599="","",IF(A599="[FÓRMULA MANUAL]","",IFERROR(AVERAGEIFS(nNOTA,nNIA,A599,nCUENTA,1,nASIG,"Conjunto"),"")))</f>
        <v/>
      </c>
      <c r="E599" t="str">
        <f>IF(A599="","",IF(A599="[FÓRMULA MANUAL]","",IFERROR(SUMPRODUCT((nNIA=A599)*(nCUENTA=1)*(COUNTIF(CONFIG_ASIGNATURAS!$B$7:$B$27,nASIG)&gt;0)*(nNOTA))/SUMPRODUCT((nNIA=A599)*(nCUENTA=1)*(COUNTIF(CONFIG_ASIGNATURAS!$B$7:$B$27,nASIG)&gt;0)*1),"")))</f>
        <v/>
      </c>
      <c r="H599" t="str">
        <f>IF(G599="","",IF(G599="[FÓRMULA MANUAL]","",IFERROR(AVERAGEIFS(nNOTA,nNIA,G599,nCUENTA,1,nASIG,"Lenguaje Musical"),"")))</f>
        <v/>
      </c>
      <c r="I599" t="str">
        <f>IF(G599="","",IF(G599="[FÓRMULA MANUAL]","",IFERROR(AVERAGEIFS(nNOTA,nNIA,G599,nCUENTA,1,nASIG,"Orquesta/Banda/Conjunto"),"")))</f>
        <v/>
      </c>
      <c r="J599" t="str">
        <f>IF(G599="","",IF(G599="[FÓRMULA MANUAL]","",IFERROR(AVERAGEIFS(nNOTA,nNIA,G599,nCUENTA,1,nASIG,"Conjunto"),"")))</f>
        <v/>
      </c>
      <c r="K599" t="str">
        <f>IF(G599="","",IF(G599="[FÓRMULA MANUAL]","",IFERROR(SUMPRODUCT((nNIA=G599)*(nCUENTA=1)*(COUNTIF(CONFIG_ASIGNATURAS!$B$7:$B$27,nASIG)&gt;0)*(nNOTA))/SUMPRODUCT((nNIA=G599)*(nCUENTA=1)*(COUNTIF(CONFIG_ASIGNATURAS!$B$7:$B$27,nASIG)&gt;0)*1),"")))</f>
        <v/>
      </c>
      <c r="N599" t="str">
        <f>IF(M599="","",IF(M599="[FÓRMULA MANUAL]","",IFERROR(AVERAGEIFS(nNOTA,nNIA,M599,nCUENTA,1,nASIG,"Armonía"),"")))</f>
        <v/>
      </c>
      <c r="O599" t="str">
        <f>IF(M599="","",IF(M599="[FÓRMULA MANUAL]","",IFERROR(AVERAGEIFS(nNOTA,nNIA,M599,nCUENTA,1,nASIG,"Orquesta/Banda/Conjunto"),"")))</f>
        <v/>
      </c>
      <c r="P599" t="str">
        <f>IF(M599="","",IF(M599="[FÓRMULA MANUAL]","",IFERROR(AVERAGEIFS(nNOTA,nNIA,M599,nCUENTA,1,nASIG,"Música de Cámara"),"")))</f>
        <v/>
      </c>
      <c r="Q599" t="str">
        <f>IF(M599="","",IF(M599="[FÓRMULA MANUAL]","",IFERROR(SUMPRODUCT((nNIA=M599)*(nCUENTA=1)*(COUNTIF(CONFIG_ASIGNATURAS!$B$7:$B$27,nASIG)&gt;0)*(nNOTA))/SUMPRODUCT((nNIA=M599)*(nCUENTA=1)*(COUNTIF(CONFIG_ASIGNATURAS!$B$7:$B$27,nASIG)&gt;0)*1),"")))</f>
        <v/>
      </c>
      <c r="T599" t="str">
        <f>IF(S599="","",IF(S599="[FÓRMULA MANUAL]","",IFERROR(AVERAGEIFS(nNOTA,nNIA,S599,nCUENTA,1,nASIG,"Armonía"),"")))</f>
        <v/>
      </c>
      <c r="U599" t="str">
        <f>IF(S599="","",IF(S599="[FÓRMULA MANUAL]","",IFERROR(AVERAGEIFS(nNOTA,nNIA,S599,nCUENTA,1,nASIG,"Orquesta/Banda/Conjunto"),"")))</f>
        <v/>
      </c>
      <c r="V599" t="str">
        <f>IF(S599="","",IF(S599="[FÓRMULA MANUAL]","",IFERROR(AVERAGEIFS(nNOTA,nNIA,S599,nCUENTA,1,nASIG,"Música de Cámara"),"")))</f>
        <v/>
      </c>
      <c r="W599" t="str">
        <f>IF(S599="","",IF(S599="[FÓRMULA MANUAL]","",IFERROR(SUMPRODUCT((nNIA=S599)*(nCUENTA=1)*(COUNTIF(CONFIG_ASIGNATURAS!$B$7:$B$27,nASIG)&gt;0)*(nNOTA))/SUMPRODUCT((nNIA=S599)*(nCUENTA=1)*(COUNTIF(CONFIG_ASIGNATURAS!$B$7:$B$27,nASIG)&gt;0)*1),"")))</f>
        <v/>
      </c>
      <c r="Z599" t="str">
        <f>IF(Y599="","",IF(Y599="[FÓRMULA MANUAL]","",IFERROR(AVERAGEIFS(nNOTA,nNIA,Y599,nCUENTA,1,nASIG,"Análisis"),"")))</f>
        <v/>
      </c>
      <c r="AA599" t="str">
        <f>IF(Y599="","",IF(Y599="[FÓRMULA MANUAL]","",IFERROR(AVERAGEIFS(nNOTA,nNIA,Y599,nCUENTA,1,nASIG,"Orquesta/Banda/Conjunto"),"")))</f>
        <v/>
      </c>
      <c r="AB599" t="str">
        <f>IF(Y599="","",IF(Y599="[FÓRMULA MANUAL]","",IFERROR(AVERAGEIFS(nNOTA,nNIA,Y599,nCUENTA,1,nASIG,"Música de Cámara"),"")))</f>
        <v/>
      </c>
      <c r="AC599" t="str">
        <f>IF(Y599="","",IF(Y599="[FÓRMULA MANUAL]","",IFERROR(SUMPRODUCT((nNIA=Y599)*(nCUENTA=1)*(COUNTIF(CONFIG_ASIGNATURAS!$B$7:$B$27,nASIG)&gt;0)*(nNOTA))/SUMPRODUCT((nNIA=Y599)*(nCUENTA=1)*(COUNTIF(CONFIG_ASIGNATURAS!$B$7:$B$27,nASIG)&gt;0)*1),"")))</f>
        <v/>
      </c>
      <c r="AF599" t="str">
        <f>IF(AE599="","",IF(AE599="[FÓRMULA MANUAL]","",IFERROR(AVERAGEIFS(nNOTA,nNIA,AE599,nCUENTA,1,nASIG,"Análisis"),"")))</f>
        <v/>
      </c>
      <c r="AG599" t="str">
        <f>IF(AE599="","",IF(AE599="[FÓRMULA MANUAL]","",IFERROR(AVERAGEIFS(nNOTA,nNIA,AE599,nCUENTA,1,nASIG,"Orquesta/Banda/Conjunto"),"")))</f>
        <v/>
      </c>
      <c r="AH599" t="str">
        <f>IF(AE599="","",IF(AE599="[FÓRMULA MANUAL]","",IFERROR(AVERAGEIFS(nNOTA,nNIA,AE599,nCUENTA,1,nASIG,"Música de Cámara"),"")))</f>
        <v/>
      </c>
      <c r="AI599" t="str">
        <f>IF(AE599="","",IF(AE599="[FÓRMULA MANUAL]","",IFERROR(SUMPRODUCT((nNIA=AE599)*(nCUENTA=1)*(COUNTIF(CONFIG_ASIGNATURAS!$B$7:$B$27,nASIG)&gt;0)*(nNOTA))/SUMPRODUCT((nNIA=AE599)*(nCUENTA=1)*(COUNTIF(CONFIG_ASIGNATURAS!$B$7:$B$27,nASIG)&gt;0)*1),"")))</f>
        <v/>
      </c>
    </row>
    <row r="600" spans="2:35" x14ac:dyDescent="0.2">
      <c r="B600" t="str">
        <f>IF(A600="","",IF(A600="[FÓRMULA MANUAL]","",IFERROR(AVERAGEIFS(nNOTA,nNIA,A600,nCUENTA,1,nASIG,"Lenguaje Musical"),"")))</f>
        <v/>
      </c>
      <c r="C600" t="str">
        <f>IF(A600="","",IF(A600="[FÓRMULA MANUAL]","",IFERROR(AVERAGEIFS(nNOTA,nNIA,A600,nCUENTA,1,nASIG,"Orquesta/Banda/Conjunto"),"")))</f>
        <v/>
      </c>
      <c r="D600" t="str">
        <f>IF(A600="","",IF(A600="[FÓRMULA MANUAL]","",IFERROR(AVERAGEIFS(nNOTA,nNIA,A600,nCUENTA,1,nASIG,"Conjunto"),"")))</f>
        <v/>
      </c>
      <c r="E600" t="str">
        <f>IF(A600="","",IF(A600="[FÓRMULA MANUAL]","",IFERROR(SUMPRODUCT((nNIA=A600)*(nCUENTA=1)*(COUNTIF(CONFIG_ASIGNATURAS!$B$7:$B$27,nASIG)&gt;0)*(nNOTA))/SUMPRODUCT((nNIA=A600)*(nCUENTA=1)*(COUNTIF(CONFIG_ASIGNATURAS!$B$7:$B$27,nASIG)&gt;0)*1),"")))</f>
        <v/>
      </c>
      <c r="H600" t="str">
        <f>IF(G600="","",IF(G600="[FÓRMULA MANUAL]","",IFERROR(AVERAGEIFS(nNOTA,nNIA,G600,nCUENTA,1,nASIG,"Lenguaje Musical"),"")))</f>
        <v/>
      </c>
      <c r="I600" t="str">
        <f>IF(G600="","",IF(G600="[FÓRMULA MANUAL]","",IFERROR(AVERAGEIFS(nNOTA,nNIA,G600,nCUENTA,1,nASIG,"Orquesta/Banda/Conjunto"),"")))</f>
        <v/>
      </c>
      <c r="J600" t="str">
        <f>IF(G600="","",IF(G600="[FÓRMULA MANUAL]","",IFERROR(AVERAGEIFS(nNOTA,nNIA,G600,nCUENTA,1,nASIG,"Conjunto"),"")))</f>
        <v/>
      </c>
      <c r="K600" t="str">
        <f>IF(G600="","",IF(G600="[FÓRMULA MANUAL]","",IFERROR(SUMPRODUCT((nNIA=G600)*(nCUENTA=1)*(COUNTIF(CONFIG_ASIGNATURAS!$B$7:$B$27,nASIG)&gt;0)*(nNOTA))/SUMPRODUCT((nNIA=G600)*(nCUENTA=1)*(COUNTIF(CONFIG_ASIGNATURAS!$B$7:$B$27,nASIG)&gt;0)*1),"")))</f>
        <v/>
      </c>
      <c r="N600" t="str">
        <f>IF(M600="","",IF(M600="[FÓRMULA MANUAL]","",IFERROR(AVERAGEIFS(nNOTA,nNIA,M600,nCUENTA,1,nASIG,"Armonía"),"")))</f>
        <v/>
      </c>
      <c r="O600" t="str">
        <f>IF(M600="","",IF(M600="[FÓRMULA MANUAL]","",IFERROR(AVERAGEIFS(nNOTA,nNIA,M600,nCUENTA,1,nASIG,"Orquesta/Banda/Conjunto"),"")))</f>
        <v/>
      </c>
      <c r="P600" t="str">
        <f>IF(M600="","",IF(M600="[FÓRMULA MANUAL]","",IFERROR(AVERAGEIFS(nNOTA,nNIA,M600,nCUENTA,1,nASIG,"Música de Cámara"),"")))</f>
        <v/>
      </c>
      <c r="Q600" t="str">
        <f>IF(M600="","",IF(M600="[FÓRMULA MANUAL]","",IFERROR(SUMPRODUCT((nNIA=M600)*(nCUENTA=1)*(COUNTIF(CONFIG_ASIGNATURAS!$B$7:$B$27,nASIG)&gt;0)*(nNOTA))/SUMPRODUCT((nNIA=M600)*(nCUENTA=1)*(COUNTIF(CONFIG_ASIGNATURAS!$B$7:$B$27,nASIG)&gt;0)*1),"")))</f>
        <v/>
      </c>
      <c r="T600" t="str">
        <f>IF(S600="","",IF(S600="[FÓRMULA MANUAL]","",IFERROR(AVERAGEIFS(nNOTA,nNIA,S600,nCUENTA,1,nASIG,"Armonía"),"")))</f>
        <v/>
      </c>
      <c r="U600" t="str">
        <f>IF(S600="","",IF(S600="[FÓRMULA MANUAL]","",IFERROR(AVERAGEIFS(nNOTA,nNIA,S600,nCUENTA,1,nASIG,"Orquesta/Banda/Conjunto"),"")))</f>
        <v/>
      </c>
      <c r="V600" t="str">
        <f>IF(S600="","",IF(S600="[FÓRMULA MANUAL]","",IFERROR(AVERAGEIFS(nNOTA,nNIA,S600,nCUENTA,1,nASIG,"Música de Cámara"),"")))</f>
        <v/>
      </c>
      <c r="W600" t="str">
        <f>IF(S600="","",IF(S600="[FÓRMULA MANUAL]","",IFERROR(SUMPRODUCT((nNIA=S600)*(nCUENTA=1)*(COUNTIF(CONFIG_ASIGNATURAS!$B$7:$B$27,nASIG)&gt;0)*(nNOTA))/SUMPRODUCT((nNIA=S600)*(nCUENTA=1)*(COUNTIF(CONFIG_ASIGNATURAS!$B$7:$B$27,nASIG)&gt;0)*1),"")))</f>
        <v/>
      </c>
      <c r="Z600" t="str">
        <f>IF(Y600="","",IF(Y600="[FÓRMULA MANUAL]","",IFERROR(AVERAGEIFS(nNOTA,nNIA,Y600,nCUENTA,1,nASIG,"Análisis"),"")))</f>
        <v/>
      </c>
      <c r="AA600" t="str">
        <f>IF(Y600="","",IF(Y600="[FÓRMULA MANUAL]","",IFERROR(AVERAGEIFS(nNOTA,nNIA,Y600,nCUENTA,1,nASIG,"Orquesta/Banda/Conjunto"),"")))</f>
        <v/>
      </c>
      <c r="AB600" t="str">
        <f>IF(Y600="","",IF(Y600="[FÓRMULA MANUAL]","",IFERROR(AVERAGEIFS(nNOTA,nNIA,Y600,nCUENTA,1,nASIG,"Música de Cámara"),"")))</f>
        <v/>
      </c>
      <c r="AC600" t="str">
        <f>IF(Y600="","",IF(Y600="[FÓRMULA MANUAL]","",IFERROR(SUMPRODUCT((nNIA=Y600)*(nCUENTA=1)*(COUNTIF(CONFIG_ASIGNATURAS!$B$7:$B$27,nASIG)&gt;0)*(nNOTA))/SUMPRODUCT((nNIA=Y600)*(nCUENTA=1)*(COUNTIF(CONFIG_ASIGNATURAS!$B$7:$B$27,nASIG)&gt;0)*1),"")))</f>
        <v/>
      </c>
      <c r="AF600" t="str">
        <f>IF(AE600="","",IF(AE600="[FÓRMULA MANUAL]","",IFERROR(AVERAGEIFS(nNOTA,nNIA,AE600,nCUENTA,1,nASIG,"Análisis"),"")))</f>
        <v/>
      </c>
      <c r="AG600" t="str">
        <f>IF(AE600="","",IF(AE600="[FÓRMULA MANUAL]","",IFERROR(AVERAGEIFS(nNOTA,nNIA,AE600,nCUENTA,1,nASIG,"Orquesta/Banda/Conjunto"),"")))</f>
        <v/>
      </c>
      <c r="AH600" t="str">
        <f>IF(AE600="","",IF(AE600="[FÓRMULA MANUAL]","",IFERROR(AVERAGEIFS(nNOTA,nNIA,AE600,nCUENTA,1,nASIG,"Música de Cámara"),"")))</f>
        <v/>
      </c>
      <c r="AI600" t="str">
        <f>IF(AE600="","",IF(AE600="[FÓRMULA MANUAL]","",IFERROR(SUMPRODUCT((nNIA=AE600)*(nCUENTA=1)*(COUNTIF(CONFIG_ASIGNATURAS!$B$7:$B$27,nASIG)&gt;0)*(nNOTA))/SUMPRODUCT((nNIA=AE600)*(nCUENTA=1)*(COUNTIF(CONFIG_ASIGNATURAS!$B$7:$B$27,nASIG)&gt;0)*1),"")))</f>
        <v/>
      </c>
    </row>
    <row r="601" spans="2:35" x14ac:dyDescent="0.2">
      <c r="B601" t="str">
        <f>IF(A601="","",IF(A601="[FÓRMULA MANUAL]","",IFERROR(AVERAGEIFS(nNOTA,nNIA,A601,nCUENTA,1,nASIG,"Lenguaje Musical"),"")))</f>
        <v/>
      </c>
      <c r="C601" t="str">
        <f>IF(A601="","",IF(A601="[FÓRMULA MANUAL]","",IFERROR(AVERAGEIFS(nNOTA,nNIA,A601,nCUENTA,1,nASIG,"Orquesta/Banda/Conjunto"),"")))</f>
        <v/>
      </c>
      <c r="D601" t="str">
        <f>IF(A601="","",IF(A601="[FÓRMULA MANUAL]","",IFERROR(AVERAGEIFS(nNOTA,nNIA,A601,nCUENTA,1,nASIG,"Conjunto"),"")))</f>
        <v/>
      </c>
      <c r="E601" t="str">
        <f>IF(A601="","",IF(A601="[FÓRMULA MANUAL]","",IFERROR(SUMPRODUCT((nNIA=A601)*(nCUENTA=1)*(COUNTIF(CONFIG_ASIGNATURAS!$B$7:$B$27,nASIG)&gt;0)*(nNOTA))/SUMPRODUCT((nNIA=A601)*(nCUENTA=1)*(COUNTIF(CONFIG_ASIGNATURAS!$B$7:$B$27,nASIG)&gt;0)*1),"")))</f>
        <v/>
      </c>
      <c r="H601" t="str">
        <f>IF(G601="","",IF(G601="[FÓRMULA MANUAL]","",IFERROR(AVERAGEIFS(nNOTA,nNIA,G601,nCUENTA,1,nASIG,"Lenguaje Musical"),"")))</f>
        <v/>
      </c>
      <c r="I601" t="str">
        <f>IF(G601="","",IF(G601="[FÓRMULA MANUAL]","",IFERROR(AVERAGEIFS(nNOTA,nNIA,G601,nCUENTA,1,nASIG,"Orquesta/Banda/Conjunto"),"")))</f>
        <v/>
      </c>
      <c r="J601" t="str">
        <f>IF(G601="","",IF(G601="[FÓRMULA MANUAL]","",IFERROR(AVERAGEIFS(nNOTA,nNIA,G601,nCUENTA,1,nASIG,"Conjunto"),"")))</f>
        <v/>
      </c>
      <c r="K601" t="str">
        <f>IF(G601="","",IF(G601="[FÓRMULA MANUAL]","",IFERROR(SUMPRODUCT((nNIA=G601)*(nCUENTA=1)*(COUNTIF(CONFIG_ASIGNATURAS!$B$7:$B$27,nASIG)&gt;0)*(nNOTA))/SUMPRODUCT((nNIA=G601)*(nCUENTA=1)*(COUNTIF(CONFIG_ASIGNATURAS!$B$7:$B$27,nASIG)&gt;0)*1),"")))</f>
        <v/>
      </c>
      <c r="N601" t="str">
        <f>IF(M601="","",IF(M601="[FÓRMULA MANUAL]","",IFERROR(AVERAGEIFS(nNOTA,nNIA,M601,nCUENTA,1,nASIG,"Armonía"),"")))</f>
        <v/>
      </c>
      <c r="O601" t="str">
        <f>IF(M601="","",IF(M601="[FÓRMULA MANUAL]","",IFERROR(AVERAGEIFS(nNOTA,nNIA,M601,nCUENTA,1,nASIG,"Orquesta/Banda/Conjunto"),"")))</f>
        <v/>
      </c>
      <c r="P601" t="str">
        <f>IF(M601="","",IF(M601="[FÓRMULA MANUAL]","",IFERROR(AVERAGEIFS(nNOTA,nNIA,M601,nCUENTA,1,nASIG,"Música de Cámara"),"")))</f>
        <v/>
      </c>
      <c r="Q601" t="str">
        <f>IF(M601="","",IF(M601="[FÓRMULA MANUAL]","",IFERROR(SUMPRODUCT((nNIA=M601)*(nCUENTA=1)*(COUNTIF(CONFIG_ASIGNATURAS!$B$7:$B$27,nASIG)&gt;0)*(nNOTA))/SUMPRODUCT((nNIA=M601)*(nCUENTA=1)*(COUNTIF(CONFIG_ASIGNATURAS!$B$7:$B$27,nASIG)&gt;0)*1),"")))</f>
        <v/>
      </c>
      <c r="T601" t="str">
        <f>IF(S601="","",IF(S601="[FÓRMULA MANUAL]","",IFERROR(AVERAGEIFS(nNOTA,nNIA,S601,nCUENTA,1,nASIG,"Armonía"),"")))</f>
        <v/>
      </c>
      <c r="U601" t="str">
        <f>IF(S601="","",IF(S601="[FÓRMULA MANUAL]","",IFERROR(AVERAGEIFS(nNOTA,nNIA,S601,nCUENTA,1,nASIG,"Orquesta/Banda/Conjunto"),"")))</f>
        <v/>
      </c>
      <c r="V601" t="str">
        <f>IF(S601="","",IF(S601="[FÓRMULA MANUAL]","",IFERROR(AVERAGEIFS(nNOTA,nNIA,S601,nCUENTA,1,nASIG,"Música de Cámara"),"")))</f>
        <v/>
      </c>
      <c r="W601" t="str">
        <f>IF(S601="","",IF(S601="[FÓRMULA MANUAL]","",IFERROR(SUMPRODUCT((nNIA=S601)*(nCUENTA=1)*(COUNTIF(CONFIG_ASIGNATURAS!$B$7:$B$27,nASIG)&gt;0)*(nNOTA))/SUMPRODUCT((nNIA=S601)*(nCUENTA=1)*(COUNTIF(CONFIG_ASIGNATURAS!$B$7:$B$27,nASIG)&gt;0)*1),"")))</f>
        <v/>
      </c>
      <c r="Z601" t="str">
        <f>IF(Y601="","",IF(Y601="[FÓRMULA MANUAL]","",IFERROR(AVERAGEIFS(nNOTA,nNIA,Y601,nCUENTA,1,nASIG,"Análisis"),"")))</f>
        <v/>
      </c>
      <c r="AA601" t="str">
        <f>IF(Y601="","",IF(Y601="[FÓRMULA MANUAL]","",IFERROR(AVERAGEIFS(nNOTA,nNIA,Y601,nCUENTA,1,nASIG,"Orquesta/Banda/Conjunto"),"")))</f>
        <v/>
      </c>
      <c r="AB601" t="str">
        <f>IF(Y601="","",IF(Y601="[FÓRMULA MANUAL]","",IFERROR(AVERAGEIFS(nNOTA,nNIA,Y601,nCUENTA,1,nASIG,"Música de Cámara"),"")))</f>
        <v/>
      </c>
      <c r="AC601" t="str">
        <f>IF(Y601="","",IF(Y601="[FÓRMULA MANUAL]","",IFERROR(SUMPRODUCT((nNIA=Y601)*(nCUENTA=1)*(COUNTIF(CONFIG_ASIGNATURAS!$B$7:$B$27,nASIG)&gt;0)*(nNOTA))/SUMPRODUCT((nNIA=Y601)*(nCUENTA=1)*(COUNTIF(CONFIG_ASIGNATURAS!$B$7:$B$27,nASIG)&gt;0)*1),"")))</f>
        <v/>
      </c>
      <c r="AF601" t="str">
        <f>IF(AE601="","",IF(AE601="[FÓRMULA MANUAL]","",IFERROR(AVERAGEIFS(nNOTA,nNIA,AE601,nCUENTA,1,nASIG,"Análisis"),"")))</f>
        <v/>
      </c>
      <c r="AG601" t="str">
        <f>IF(AE601="","",IF(AE601="[FÓRMULA MANUAL]","",IFERROR(AVERAGEIFS(nNOTA,nNIA,AE601,nCUENTA,1,nASIG,"Orquesta/Banda/Conjunto"),"")))</f>
        <v/>
      </c>
      <c r="AH601" t="str">
        <f>IF(AE601="","",IF(AE601="[FÓRMULA MANUAL]","",IFERROR(AVERAGEIFS(nNOTA,nNIA,AE601,nCUENTA,1,nASIG,"Música de Cámara"),"")))</f>
        <v/>
      </c>
      <c r="AI601" t="str">
        <f>IF(AE601="","",IF(AE601="[FÓRMULA MANUAL]","",IFERROR(SUMPRODUCT((nNIA=AE601)*(nCUENTA=1)*(COUNTIF(CONFIG_ASIGNATURAS!$B$7:$B$27,nASIG)&gt;0)*(nNOTA))/SUMPRODUCT((nNIA=AE601)*(nCUENTA=1)*(COUNTIF(CONFIG_ASIGNATURAS!$B$7:$B$27,nASIG)&gt;0)*1),"")))</f>
        <v/>
      </c>
    </row>
    <row r="602" spans="2:35" x14ac:dyDescent="0.2">
      <c r="B602" t="str">
        <f>IF(A602="","",IF(A602="[FÓRMULA MANUAL]","",IFERROR(AVERAGEIFS(nNOTA,nNIA,A602,nCUENTA,1,nASIG,"Lenguaje Musical"),"")))</f>
        <v/>
      </c>
      <c r="C602" t="str">
        <f>IF(A602="","",IF(A602="[FÓRMULA MANUAL]","",IFERROR(AVERAGEIFS(nNOTA,nNIA,A602,nCUENTA,1,nASIG,"Orquesta/Banda/Conjunto"),"")))</f>
        <v/>
      </c>
      <c r="D602" t="str">
        <f>IF(A602="","",IF(A602="[FÓRMULA MANUAL]","",IFERROR(AVERAGEIFS(nNOTA,nNIA,A602,nCUENTA,1,nASIG,"Conjunto"),"")))</f>
        <v/>
      </c>
      <c r="E602" t="str">
        <f>IF(A602="","",IF(A602="[FÓRMULA MANUAL]","",IFERROR(SUMPRODUCT((nNIA=A602)*(nCUENTA=1)*(COUNTIF(CONFIG_ASIGNATURAS!$B$7:$B$27,nASIG)&gt;0)*(nNOTA))/SUMPRODUCT((nNIA=A602)*(nCUENTA=1)*(COUNTIF(CONFIG_ASIGNATURAS!$B$7:$B$27,nASIG)&gt;0)*1),"")))</f>
        <v/>
      </c>
      <c r="H602" t="str">
        <f>IF(G602="","",IF(G602="[FÓRMULA MANUAL]","",IFERROR(AVERAGEIFS(nNOTA,nNIA,G602,nCUENTA,1,nASIG,"Lenguaje Musical"),"")))</f>
        <v/>
      </c>
      <c r="I602" t="str">
        <f>IF(G602="","",IF(G602="[FÓRMULA MANUAL]","",IFERROR(AVERAGEIFS(nNOTA,nNIA,G602,nCUENTA,1,nASIG,"Orquesta/Banda/Conjunto"),"")))</f>
        <v/>
      </c>
      <c r="J602" t="str">
        <f>IF(G602="","",IF(G602="[FÓRMULA MANUAL]","",IFERROR(AVERAGEIFS(nNOTA,nNIA,G602,nCUENTA,1,nASIG,"Conjunto"),"")))</f>
        <v/>
      </c>
      <c r="K602" t="str">
        <f>IF(G602="","",IF(G602="[FÓRMULA MANUAL]","",IFERROR(SUMPRODUCT((nNIA=G602)*(nCUENTA=1)*(COUNTIF(CONFIG_ASIGNATURAS!$B$7:$B$27,nASIG)&gt;0)*(nNOTA))/SUMPRODUCT((nNIA=G602)*(nCUENTA=1)*(COUNTIF(CONFIG_ASIGNATURAS!$B$7:$B$27,nASIG)&gt;0)*1),"")))</f>
        <v/>
      </c>
      <c r="N602" t="str">
        <f>IF(M602="","",IF(M602="[FÓRMULA MANUAL]","",IFERROR(AVERAGEIFS(nNOTA,nNIA,M602,nCUENTA,1,nASIG,"Armonía"),"")))</f>
        <v/>
      </c>
      <c r="O602" t="str">
        <f>IF(M602="","",IF(M602="[FÓRMULA MANUAL]","",IFERROR(AVERAGEIFS(nNOTA,nNIA,M602,nCUENTA,1,nASIG,"Orquesta/Banda/Conjunto"),"")))</f>
        <v/>
      </c>
      <c r="P602" t="str">
        <f>IF(M602="","",IF(M602="[FÓRMULA MANUAL]","",IFERROR(AVERAGEIFS(nNOTA,nNIA,M602,nCUENTA,1,nASIG,"Música de Cámara"),"")))</f>
        <v/>
      </c>
      <c r="Q602" t="str">
        <f>IF(M602="","",IF(M602="[FÓRMULA MANUAL]","",IFERROR(SUMPRODUCT((nNIA=M602)*(nCUENTA=1)*(COUNTIF(CONFIG_ASIGNATURAS!$B$7:$B$27,nASIG)&gt;0)*(nNOTA))/SUMPRODUCT((nNIA=M602)*(nCUENTA=1)*(COUNTIF(CONFIG_ASIGNATURAS!$B$7:$B$27,nASIG)&gt;0)*1),"")))</f>
        <v/>
      </c>
      <c r="T602" t="str">
        <f>IF(S602="","",IF(S602="[FÓRMULA MANUAL]","",IFERROR(AVERAGEIFS(nNOTA,nNIA,S602,nCUENTA,1,nASIG,"Armonía"),"")))</f>
        <v/>
      </c>
      <c r="U602" t="str">
        <f>IF(S602="","",IF(S602="[FÓRMULA MANUAL]","",IFERROR(AVERAGEIFS(nNOTA,nNIA,S602,nCUENTA,1,nASIG,"Orquesta/Banda/Conjunto"),"")))</f>
        <v/>
      </c>
      <c r="V602" t="str">
        <f>IF(S602="","",IF(S602="[FÓRMULA MANUAL]","",IFERROR(AVERAGEIFS(nNOTA,nNIA,S602,nCUENTA,1,nASIG,"Música de Cámara"),"")))</f>
        <v/>
      </c>
      <c r="W602" t="str">
        <f>IF(S602="","",IF(S602="[FÓRMULA MANUAL]","",IFERROR(SUMPRODUCT((nNIA=S602)*(nCUENTA=1)*(COUNTIF(CONFIG_ASIGNATURAS!$B$7:$B$27,nASIG)&gt;0)*(nNOTA))/SUMPRODUCT((nNIA=S602)*(nCUENTA=1)*(COUNTIF(CONFIG_ASIGNATURAS!$B$7:$B$27,nASIG)&gt;0)*1),"")))</f>
        <v/>
      </c>
      <c r="Z602" t="str">
        <f>IF(Y602="","",IF(Y602="[FÓRMULA MANUAL]","",IFERROR(AVERAGEIFS(nNOTA,nNIA,Y602,nCUENTA,1,nASIG,"Análisis"),"")))</f>
        <v/>
      </c>
      <c r="AA602" t="str">
        <f>IF(Y602="","",IF(Y602="[FÓRMULA MANUAL]","",IFERROR(AVERAGEIFS(nNOTA,nNIA,Y602,nCUENTA,1,nASIG,"Orquesta/Banda/Conjunto"),"")))</f>
        <v/>
      </c>
      <c r="AB602" t="str">
        <f>IF(Y602="","",IF(Y602="[FÓRMULA MANUAL]","",IFERROR(AVERAGEIFS(nNOTA,nNIA,Y602,nCUENTA,1,nASIG,"Música de Cámara"),"")))</f>
        <v/>
      </c>
      <c r="AC602" t="str">
        <f>IF(Y602="","",IF(Y602="[FÓRMULA MANUAL]","",IFERROR(SUMPRODUCT((nNIA=Y602)*(nCUENTA=1)*(COUNTIF(CONFIG_ASIGNATURAS!$B$7:$B$27,nASIG)&gt;0)*(nNOTA))/SUMPRODUCT((nNIA=Y602)*(nCUENTA=1)*(COUNTIF(CONFIG_ASIGNATURAS!$B$7:$B$27,nASIG)&gt;0)*1),"")))</f>
        <v/>
      </c>
      <c r="AF602" t="str">
        <f>IF(AE602="","",IF(AE602="[FÓRMULA MANUAL]","",IFERROR(AVERAGEIFS(nNOTA,nNIA,AE602,nCUENTA,1,nASIG,"Análisis"),"")))</f>
        <v/>
      </c>
      <c r="AG602" t="str">
        <f>IF(AE602="","",IF(AE602="[FÓRMULA MANUAL]","",IFERROR(AVERAGEIFS(nNOTA,nNIA,AE602,nCUENTA,1,nASIG,"Orquesta/Banda/Conjunto"),"")))</f>
        <v/>
      </c>
      <c r="AH602" t="str">
        <f>IF(AE602="","",IF(AE602="[FÓRMULA MANUAL]","",IFERROR(AVERAGEIFS(nNOTA,nNIA,AE602,nCUENTA,1,nASIG,"Música de Cámara"),"")))</f>
        <v/>
      </c>
      <c r="AI602" t="str">
        <f>IF(AE602="","",IF(AE602="[FÓRMULA MANUAL]","",IFERROR(SUMPRODUCT((nNIA=AE602)*(nCUENTA=1)*(COUNTIF(CONFIG_ASIGNATURAS!$B$7:$B$27,nASIG)&gt;0)*(nNOTA))/SUMPRODUCT((nNIA=AE602)*(nCUENTA=1)*(COUNTIF(CONFIG_ASIGNATURAS!$B$7:$B$27,nASIG)&gt;0)*1),"")))</f>
        <v/>
      </c>
    </row>
    <row r="603" spans="2:35" x14ac:dyDescent="0.2">
      <c r="B603" t="str">
        <f>IF(A603="","",IF(A603="[FÓRMULA MANUAL]","",IFERROR(AVERAGEIFS(nNOTA,nNIA,A603,nCUENTA,1,nASIG,"Lenguaje Musical"),"")))</f>
        <v/>
      </c>
      <c r="C603" t="str">
        <f>IF(A603="","",IF(A603="[FÓRMULA MANUAL]","",IFERROR(AVERAGEIFS(nNOTA,nNIA,A603,nCUENTA,1,nASIG,"Orquesta/Banda/Conjunto"),"")))</f>
        <v/>
      </c>
      <c r="D603" t="str">
        <f>IF(A603="","",IF(A603="[FÓRMULA MANUAL]","",IFERROR(AVERAGEIFS(nNOTA,nNIA,A603,nCUENTA,1,nASIG,"Conjunto"),"")))</f>
        <v/>
      </c>
      <c r="E603" t="str">
        <f>IF(A603="","",IF(A603="[FÓRMULA MANUAL]","",IFERROR(SUMPRODUCT((nNIA=A603)*(nCUENTA=1)*(COUNTIF(CONFIG_ASIGNATURAS!$B$7:$B$27,nASIG)&gt;0)*(nNOTA))/SUMPRODUCT((nNIA=A603)*(nCUENTA=1)*(COUNTIF(CONFIG_ASIGNATURAS!$B$7:$B$27,nASIG)&gt;0)*1),"")))</f>
        <v/>
      </c>
      <c r="H603" t="str">
        <f>IF(G603="","",IF(G603="[FÓRMULA MANUAL]","",IFERROR(AVERAGEIFS(nNOTA,nNIA,G603,nCUENTA,1,nASIG,"Lenguaje Musical"),"")))</f>
        <v/>
      </c>
      <c r="I603" t="str">
        <f>IF(G603="","",IF(G603="[FÓRMULA MANUAL]","",IFERROR(AVERAGEIFS(nNOTA,nNIA,G603,nCUENTA,1,nASIG,"Orquesta/Banda/Conjunto"),"")))</f>
        <v/>
      </c>
      <c r="J603" t="str">
        <f>IF(G603="","",IF(G603="[FÓRMULA MANUAL]","",IFERROR(AVERAGEIFS(nNOTA,nNIA,G603,nCUENTA,1,nASIG,"Conjunto"),"")))</f>
        <v/>
      </c>
      <c r="K603" t="str">
        <f>IF(G603="","",IF(G603="[FÓRMULA MANUAL]","",IFERROR(SUMPRODUCT((nNIA=G603)*(nCUENTA=1)*(COUNTIF(CONFIG_ASIGNATURAS!$B$7:$B$27,nASIG)&gt;0)*(nNOTA))/SUMPRODUCT((nNIA=G603)*(nCUENTA=1)*(COUNTIF(CONFIG_ASIGNATURAS!$B$7:$B$27,nASIG)&gt;0)*1),"")))</f>
        <v/>
      </c>
      <c r="N603" t="str">
        <f>IF(M603="","",IF(M603="[FÓRMULA MANUAL]","",IFERROR(AVERAGEIFS(nNOTA,nNIA,M603,nCUENTA,1,nASIG,"Armonía"),"")))</f>
        <v/>
      </c>
      <c r="O603" t="str">
        <f>IF(M603="","",IF(M603="[FÓRMULA MANUAL]","",IFERROR(AVERAGEIFS(nNOTA,nNIA,M603,nCUENTA,1,nASIG,"Orquesta/Banda/Conjunto"),"")))</f>
        <v/>
      </c>
      <c r="P603" t="str">
        <f>IF(M603="","",IF(M603="[FÓRMULA MANUAL]","",IFERROR(AVERAGEIFS(nNOTA,nNIA,M603,nCUENTA,1,nASIG,"Música de Cámara"),"")))</f>
        <v/>
      </c>
      <c r="Q603" t="str">
        <f>IF(M603="","",IF(M603="[FÓRMULA MANUAL]","",IFERROR(SUMPRODUCT((nNIA=M603)*(nCUENTA=1)*(COUNTIF(CONFIG_ASIGNATURAS!$B$7:$B$27,nASIG)&gt;0)*(nNOTA))/SUMPRODUCT((nNIA=M603)*(nCUENTA=1)*(COUNTIF(CONFIG_ASIGNATURAS!$B$7:$B$27,nASIG)&gt;0)*1),"")))</f>
        <v/>
      </c>
      <c r="T603" t="str">
        <f>IF(S603="","",IF(S603="[FÓRMULA MANUAL]","",IFERROR(AVERAGEIFS(nNOTA,nNIA,S603,nCUENTA,1,nASIG,"Armonía"),"")))</f>
        <v/>
      </c>
      <c r="U603" t="str">
        <f>IF(S603="","",IF(S603="[FÓRMULA MANUAL]","",IFERROR(AVERAGEIFS(nNOTA,nNIA,S603,nCUENTA,1,nASIG,"Orquesta/Banda/Conjunto"),"")))</f>
        <v/>
      </c>
      <c r="V603" t="str">
        <f>IF(S603="","",IF(S603="[FÓRMULA MANUAL]","",IFERROR(AVERAGEIFS(nNOTA,nNIA,S603,nCUENTA,1,nASIG,"Música de Cámara"),"")))</f>
        <v/>
      </c>
      <c r="W603" t="str">
        <f>IF(S603="","",IF(S603="[FÓRMULA MANUAL]","",IFERROR(SUMPRODUCT((nNIA=S603)*(nCUENTA=1)*(COUNTIF(CONFIG_ASIGNATURAS!$B$7:$B$27,nASIG)&gt;0)*(nNOTA))/SUMPRODUCT((nNIA=S603)*(nCUENTA=1)*(COUNTIF(CONFIG_ASIGNATURAS!$B$7:$B$27,nASIG)&gt;0)*1),"")))</f>
        <v/>
      </c>
      <c r="Z603" t="str">
        <f>IF(Y603="","",IF(Y603="[FÓRMULA MANUAL]","",IFERROR(AVERAGEIFS(nNOTA,nNIA,Y603,nCUENTA,1,nASIG,"Análisis"),"")))</f>
        <v/>
      </c>
      <c r="AA603" t="str">
        <f>IF(Y603="","",IF(Y603="[FÓRMULA MANUAL]","",IFERROR(AVERAGEIFS(nNOTA,nNIA,Y603,nCUENTA,1,nASIG,"Orquesta/Banda/Conjunto"),"")))</f>
        <v/>
      </c>
      <c r="AB603" t="str">
        <f>IF(Y603="","",IF(Y603="[FÓRMULA MANUAL]","",IFERROR(AVERAGEIFS(nNOTA,nNIA,Y603,nCUENTA,1,nASIG,"Música de Cámara"),"")))</f>
        <v/>
      </c>
      <c r="AC603" t="str">
        <f>IF(Y603="","",IF(Y603="[FÓRMULA MANUAL]","",IFERROR(SUMPRODUCT((nNIA=Y603)*(nCUENTA=1)*(COUNTIF(CONFIG_ASIGNATURAS!$B$7:$B$27,nASIG)&gt;0)*(nNOTA))/SUMPRODUCT((nNIA=Y603)*(nCUENTA=1)*(COUNTIF(CONFIG_ASIGNATURAS!$B$7:$B$27,nASIG)&gt;0)*1),"")))</f>
        <v/>
      </c>
      <c r="AF603" t="str">
        <f>IF(AE603="","",IF(AE603="[FÓRMULA MANUAL]","",IFERROR(AVERAGEIFS(nNOTA,nNIA,AE603,nCUENTA,1,nASIG,"Análisis"),"")))</f>
        <v/>
      </c>
      <c r="AG603" t="str">
        <f>IF(AE603="","",IF(AE603="[FÓRMULA MANUAL]","",IFERROR(AVERAGEIFS(nNOTA,nNIA,AE603,nCUENTA,1,nASIG,"Orquesta/Banda/Conjunto"),"")))</f>
        <v/>
      </c>
      <c r="AH603" t="str">
        <f>IF(AE603="","",IF(AE603="[FÓRMULA MANUAL]","",IFERROR(AVERAGEIFS(nNOTA,nNIA,AE603,nCUENTA,1,nASIG,"Música de Cámara"),"")))</f>
        <v/>
      </c>
      <c r="AI603" t="str">
        <f>IF(AE603="","",IF(AE603="[FÓRMULA MANUAL]","",IFERROR(SUMPRODUCT((nNIA=AE603)*(nCUENTA=1)*(COUNTIF(CONFIG_ASIGNATURAS!$B$7:$B$27,nASIG)&gt;0)*(nNOTA))/SUMPRODUCT((nNIA=AE603)*(nCUENTA=1)*(COUNTIF(CONFIG_ASIGNATURAS!$B$7:$B$27,nASIG)&gt;0)*1),"")))</f>
        <v/>
      </c>
    </row>
    <row r="604" spans="2:35" x14ac:dyDescent="0.2">
      <c r="B604" t="str">
        <f>IF(A604="","",IF(A604="[FÓRMULA MANUAL]","",IFERROR(AVERAGEIFS(nNOTA,nNIA,A604,nCUENTA,1,nASIG,"Lenguaje Musical"),"")))</f>
        <v/>
      </c>
      <c r="C604" t="str">
        <f>IF(A604="","",IF(A604="[FÓRMULA MANUAL]","",IFERROR(AVERAGEIFS(nNOTA,nNIA,A604,nCUENTA,1,nASIG,"Orquesta/Banda/Conjunto"),"")))</f>
        <v/>
      </c>
      <c r="D604" t="str">
        <f>IF(A604="","",IF(A604="[FÓRMULA MANUAL]","",IFERROR(AVERAGEIFS(nNOTA,nNIA,A604,nCUENTA,1,nASIG,"Conjunto"),"")))</f>
        <v/>
      </c>
      <c r="E604" t="str">
        <f>IF(A604="","",IF(A604="[FÓRMULA MANUAL]","",IFERROR(SUMPRODUCT((nNIA=A604)*(nCUENTA=1)*(COUNTIF(CONFIG_ASIGNATURAS!$B$7:$B$27,nASIG)&gt;0)*(nNOTA))/SUMPRODUCT((nNIA=A604)*(nCUENTA=1)*(COUNTIF(CONFIG_ASIGNATURAS!$B$7:$B$27,nASIG)&gt;0)*1),"")))</f>
        <v/>
      </c>
      <c r="H604" t="str">
        <f>IF(G604="","",IF(G604="[FÓRMULA MANUAL]","",IFERROR(AVERAGEIFS(nNOTA,nNIA,G604,nCUENTA,1,nASIG,"Lenguaje Musical"),"")))</f>
        <v/>
      </c>
      <c r="I604" t="str">
        <f>IF(G604="","",IF(G604="[FÓRMULA MANUAL]","",IFERROR(AVERAGEIFS(nNOTA,nNIA,G604,nCUENTA,1,nASIG,"Orquesta/Banda/Conjunto"),"")))</f>
        <v/>
      </c>
      <c r="J604" t="str">
        <f>IF(G604="","",IF(G604="[FÓRMULA MANUAL]","",IFERROR(AVERAGEIFS(nNOTA,nNIA,G604,nCUENTA,1,nASIG,"Conjunto"),"")))</f>
        <v/>
      </c>
      <c r="K604" t="str">
        <f>IF(G604="","",IF(G604="[FÓRMULA MANUAL]","",IFERROR(SUMPRODUCT((nNIA=G604)*(nCUENTA=1)*(COUNTIF(CONFIG_ASIGNATURAS!$B$7:$B$27,nASIG)&gt;0)*(nNOTA))/SUMPRODUCT((nNIA=G604)*(nCUENTA=1)*(COUNTIF(CONFIG_ASIGNATURAS!$B$7:$B$27,nASIG)&gt;0)*1),"")))</f>
        <v/>
      </c>
      <c r="N604" t="str">
        <f>IF(M604="","",IF(M604="[FÓRMULA MANUAL]","",IFERROR(AVERAGEIFS(nNOTA,nNIA,M604,nCUENTA,1,nASIG,"Armonía"),"")))</f>
        <v/>
      </c>
      <c r="O604" t="str">
        <f>IF(M604="","",IF(M604="[FÓRMULA MANUAL]","",IFERROR(AVERAGEIFS(nNOTA,nNIA,M604,nCUENTA,1,nASIG,"Orquesta/Banda/Conjunto"),"")))</f>
        <v/>
      </c>
      <c r="P604" t="str">
        <f>IF(M604="","",IF(M604="[FÓRMULA MANUAL]","",IFERROR(AVERAGEIFS(nNOTA,nNIA,M604,nCUENTA,1,nASIG,"Música de Cámara"),"")))</f>
        <v/>
      </c>
      <c r="Q604" t="str">
        <f>IF(M604="","",IF(M604="[FÓRMULA MANUAL]","",IFERROR(SUMPRODUCT((nNIA=M604)*(nCUENTA=1)*(COUNTIF(CONFIG_ASIGNATURAS!$B$7:$B$27,nASIG)&gt;0)*(nNOTA))/SUMPRODUCT((nNIA=M604)*(nCUENTA=1)*(COUNTIF(CONFIG_ASIGNATURAS!$B$7:$B$27,nASIG)&gt;0)*1),"")))</f>
        <v/>
      </c>
      <c r="T604" t="str">
        <f>IF(S604="","",IF(S604="[FÓRMULA MANUAL]","",IFERROR(AVERAGEIFS(nNOTA,nNIA,S604,nCUENTA,1,nASIG,"Armonía"),"")))</f>
        <v/>
      </c>
      <c r="U604" t="str">
        <f>IF(S604="","",IF(S604="[FÓRMULA MANUAL]","",IFERROR(AVERAGEIFS(nNOTA,nNIA,S604,nCUENTA,1,nASIG,"Orquesta/Banda/Conjunto"),"")))</f>
        <v/>
      </c>
      <c r="V604" t="str">
        <f>IF(S604="","",IF(S604="[FÓRMULA MANUAL]","",IFERROR(AVERAGEIFS(nNOTA,nNIA,S604,nCUENTA,1,nASIG,"Música de Cámara"),"")))</f>
        <v/>
      </c>
      <c r="W604" t="str">
        <f>IF(S604="","",IF(S604="[FÓRMULA MANUAL]","",IFERROR(SUMPRODUCT((nNIA=S604)*(nCUENTA=1)*(COUNTIF(CONFIG_ASIGNATURAS!$B$7:$B$27,nASIG)&gt;0)*(nNOTA))/SUMPRODUCT((nNIA=S604)*(nCUENTA=1)*(COUNTIF(CONFIG_ASIGNATURAS!$B$7:$B$27,nASIG)&gt;0)*1),"")))</f>
        <v/>
      </c>
      <c r="Z604" t="str">
        <f>IF(Y604="","",IF(Y604="[FÓRMULA MANUAL]","",IFERROR(AVERAGEIFS(nNOTA,nNIA,Y604,nCUENTA,1,nASIG,"Análisis"),"")))</f>
        <v/>
      </c>
      <c r="AA604" t="str">
        <f>IF(Y604="","",IF(Y604="[FÓRMULA MANUAL]","",IFERROR(AVERAGEIFS(nNOTA,nNIA,Y604,nCUENTA,1,nASIG,"Orquesta/Banda/Conjunto"),"")))</f>
        <v/>
      </c>
      <c r="AB604" t="str">
        <f>IF(Y604="","",IF(Y604="[FÓRMULA MANUAL]","",IFERROR(AVERAGEIFS(nNOTA,nNIA,Y604,nCUENTA,1,nASIG,"Música de Cámara"),"")))</f>
        <v/>
      </c>
      <c r="AC604" t="str">
        <f>IF(Y604="","",IF(Y604="[FÓRMULA MANUAL]","",IFERROR(SUMPRODUCT((nNIA=Y604)*(nCUENTA=1)*(COUNTIF(CONFIG_ASIGNATURAS!$B$7:$B$27,nASIG)&gt;0)*(nNOTA))/SUMPRODUCT((nNIA=Y604)*(nCUENTA=1)*(COUNTIF(CONFIG_ASIGNATURAS!$B$7:$B$27,nASIG)&gt;0)*1),"")))</f>
        <v/>
      </c>
      <c r="AF604" t="str">
        <f>IF(AE604="","",IF(AE604="[FÓRMULA MANUAL]","",IFERROR(AVERAGEIFS(nNOTA,nNIA,AE604,nCUENTA,1,nASIG,"Análisis"),"")))</f>
        <v/>
      </c>
      <c r="AG604" t="str">
        <f>IF(AE604="","",IF(AE604="[FÓRMULA MANUAL]","",IFERROR(AVERAGEIFS(nNOTA,nNIA,AE604,nCUENTA,1,nASIG,"Orquesta/Banda/Conjunto"),"")))</f>
        <v/>
      </c>
      <c r="AH604" t="str">
        <f>IF(AE604="","",IF(AE604="[FÓRMULA MANUAL]","",IFERROR(AVERAGEIFS(nNOTA,nNIA,AE604,nCUENTA,1,nASIG,"Música de Cámara"),"")))</f>
        <v/>
      </c>
      <c r="AI604" t="str">
        <f>IF(AE604="","",IF(AE604="[FÓRMULA MANUAL]","",IFERROR(SUMPRODUCT((nNIA=AE604)*(nCUENTA=1)*(COUNTIF(CONFIG_ASIGNATURAS!$B$7:$B$27,nASIG)&gt;0)*(nNOTA))/SUMPRODUCT((nNIA=AE604)*(nCUENTA=1)*(COUNTIF(CONFIG_ASIGNATURAS!$B$7:$B$27,nASIG)&gt;0)*1),"")))</f>
        <v/>
      </c>
    </row>
    <row r="605" spans="2:35" x14ac:dyDescent="0.2">
      <c r="B605" t="str">
        <f>IF(A605="","",IF(A605="[FÓRMULA MANUAL]","",IFERROR(AVERAGEIFS(nNOTA,nNIA,A605,nCUENTA,1,nASIG,"Lenguaje Musical"),"")))</f>
        <v/>
      </c>
      <c r="C605" t="str">
        <f>IF(A605="","",IF(A605="[FÓRMULA MANUAL]","",IFERROR(AVERAGEIFS(nNOTA,nNIA,A605,nCUENTA,1,nASIG,"Orquesta/Banda/Conjunto"),"")))</f>
        <v/>
      </c>
      <c r="D605" t="str">
        <f>IF(A605="","",IF(A605="[FÓRMULA MANUAL]","",IFERROR(AVERAGEIFS(nNOTA,nNIA,A605,nCUENTA,1,nASIG,"Conjunto"),"")))</f>
        <v/>
      </c>
      <c r="E605" t="str">
        <f>IF(A605="","",IF(A605="[FÓRMULA MANUAL]","",IFERROR(SUMPRODUCT((nNIA=A605)*(nCUENTA=1)*(COUNTIF(CONFIG_ASIGNATURAS!$B$7:$B$27,nASIG)&gt;0)*(nNOTA))/SUMPRODUCT((nNIA=A605)*(nCUENTA=1)*(COUNTIF(CONFIG_ASIGNATURAS!$B$7:$B$27,nASIG)&gt;0)*1),"")))</f>
        <v/>
      </c>
      <c r="H605" t="str">
        <f>IF(G605="","",IF(G605="[FÓRMULA MANUAL]","",IFERROR(AVERAGEIFS(nNOTA,nNIA,G605,nCUENTA,1,nASIG,"Lenguaje Musical"),"")))</f>
        <v/>
      </c>
      <c r="I605" t="str">
        <f>IF(G605="","",IF(G605="[FÓRMULA MANUAL]","",IFERROR(AVERAGEIFS(nNOTA,nNIA,G605,nCUENTA,1,nASIG,"Orquesta/Banda/Conjunto"),"")))</f>
        <v/>
      </c>
      <c r="J605" t="str">
        <f>IF(G605="","",IF(G605="[FÓRMULA MANUAL]","",IFERROR(AVERAGEIFS(nNOTA,nNIA,G605,nCUENTA,1,nASIG,"Conjunto"),"")))</f>
        <v/>
      </c>
      <c r="K605" t="str">
        <f>IF(G605="","",IF(G605="[FÓRMULA MANUAL]","",IFERROR(SUMPRODUCT((nNIA=G605)*(nCUENTA=1)*(COUNTIF(CONFIG_ASIGNATURAS!$B$7:$B$27,nASIG)&gt;0)*(nNOTA))/SUMPRODUCT((nNIA=G605)*(nCUENTA=1)*(COUNTIF(CONFIG_ASIGNATURAS!$B$7:$B$27,nASIG)&gt;0)*1),"")))</f>
        <v/>
      </c>
      <c r="N605" t="str">
        <f>IF(M605="","",IF(M605="[FÓRMULA MANUAL]","",IFERROR(AVERAGEIFS(nNOTA,nNIA,M605,nCUENTA,1,nASIG,"Armonía"),"")))</f>
        <v/>
      </c>
      <c r="O605" t="str">
        <f>IF(M605="","",IF(M605="[FÓRMULA MANUAL]","",IFERROR(AVERAGEIFS(nNOTA,nNIA,M605,nCUENTA,1,nASIG,"Orquesta/Banda/Conjunto"),"")))</f>
        <v/>
      </c>
      <c r="P605" t="str">
        <f>IF(M605="","",IF(M605="[FÓRMULA MANUAL]","",IFERROR(AVERAGEIFS(nNOTA,nNIA,M605,nCUENTA,1,nASIG,"Música de Cámara"),"")))</f>
        <v/>
      </c>
      <c r="Q605" t="str">
        <f>IF(M605="","",IF(M605="[FÓRMULA MANUAL]","",IFERROR(SUMPRODUCT((nNIA=M605)*(nCUENTA=1)*(COUNTIF(CONFIG_ASIGNATURAS!$B$7:$B$27,nASIG)&gt;0)*(nNOTA))/SUMPRODUCT((nNIA=M605)*(nCUENTA=1)*(COUNTIF(CONFIG_ASIGNATURAS!$B$7:$B$27,nASIG)&gt;0)*1),"")))</f>
        <v/>
      </c>
      <c r="T605" t="str">
        <f>IF(S605="","",IF(S605="[FÓRMULA MANUAL]","",IFERROR(AVERAGEIFS(nNOTA,nNIA,S605,nCUENTA,1,nASIG,"Armonía"),"")))</f>
        <v/>
      </c>
      <c r="U605" t="str">
        <f>IF(S605="","",IF(S605="[FÓRMULA MANUAL]","",IFERROR(AVERAGEIFS(nNOTA,nNIA,S605,nCUENTA,1,nASIG,"Orquesta/Banda/Conjunto"),"")))</f>
        <v/>
      </c>
      <c r="V605" t="str">
        <f>IF(S605="","",IF(S605="[FÓRMULA MANUAL]","",IFERROR(AVERAGEIFS(nNOTA,nNIA,S605,nCUENTA,1,nASIG,"Música de Cámara"),"")))</f>
        <v/>
      </c>
      <c r="W605" t="str">
        <f>IF(S605="","",IF(S605="[FÓRMULA MANUAL]","",IFERROR(SUMPRODUCT((nNIA=S605)*(nCUENTA=1)*(COUNTIF(CONFIG_ASIGNATURAS!$B$7:$B$27,nASIG)&gt;0)*(nNOTA))/SUMPRODUCT((nNIA=S605)*(nCUENTA=1)*(COUNTIF(CONFIG_ASIGNATURAS!$B$7:$B$27,nASIG)&gt;0)*1),"")))</f>
        <v/>
      </c>
      <c r="Z605" t="str">
        <f>IF(Y605="","",IF(Y605="[FÓRMULA MANUAL]","",IFERROR(AVERAGEIFS(nNOTA,nNIA,Y605,nCUENTA,1,nASIG,"Análisis"),"")))</f>
        <v/>
      </c>
      <c r="AA605" t="str">
        <f>IF(Y605="","",IF(Y605="[FÓRMULA MANUAL]","",IFERROR(AVERAGEIFS(nNOTA,nNIA,Y605,nCUENTA,1,nASIG,"Orquesta/Banda/Conjunto"),"")))</f>
        <v/>
      </c>
      <c r="AB605" t="str">
        <f>IF(Y605="","",IF(Y605="[FÓRMULA MANUAL]","",IFERROR(AVERAGEIFS(nNOTA,nNIA,Y605,nCUENTA,1,nASIG,"Música de Cámara"),"")))</f>
        <v/>
      </c>
      <c r="AC605" t="str">
        <f>IF(Y605="","",IF(Y605="[FÓRMULA MANUAL]","",IFERROR(SUMPRODUCT((nNIA=Y605)*(nCUENTA=1)*(COUNTIF(CONFIG_ASIGNATURAS!$B$7:$B$27,nASIG)&gt;0)*(nNOTA))/SUMPRODUCT((nNIA=Y605)*(nCUENTA=1)*(COUNTIF(CONFIG_ASIGNATURAS!$B$7:$B$27,nASIG)&gt;0)*1),"")))</f>
        <v/>
      </c>
      <c r="AF605" t="str">
        <f>IF(AE605="","",IF(AE605="[FÓRMULA MANUAL]","",IFERROR(AVERAGEIFS(nNOTA,nNIA,AE605,nCUENTA,1,nASIG,"Análisis"),"")))</f>
        <v/>
      </c>
      <c r="AG605" t="str">
        <f>IF(AE605="","",IF(AE605="[FÓRMULA MANUAL]","",IFERROR(AVERAGEIFS(nNOTA,nNIA,AE605,nCUENTA,1,nASIG,"Orquesta/Banda/Conjunto"),"")))</f>
        <v/>
      </c>
      <c r="AH605" t="str">
        <f>IF(AE605="","",IF(AE605="[FÓRMULA MANUAL]","",IFERROR(AVERAGEIFS(nNOTA,nNIA,AE605,nCUENTA,1,nASIG,"Música de Cámara"),"")))</f>
        <v/>
      </c>
      <c r="AI605" t="str">
        <f>IF(AE605="","",IF(AE605="[FÓRMULA MANUAL]","",IFERROR(SUMPRODUCT((nNIA=AE605)*(nCUENTA=1)*(COUNTIF(CONFIG_ASIGNATURAS!$B$7:$B$27,nASIG)&gt;0)*(nNOTA))/SUMPRODUCT((nNIA=AE605)*(nCUENTA=1)*(COUNTIF(CONFIG_ASIGNATURAS!$B$7:$B$27,nASIG)&gt;0)*1),"")))</f>
        <v/>
      </c>
    </row>
    <row r="606" spans="2:35" x14ac:dyDescent="0.2">
      <c r="B606" t="str">
        <f>IF(A606="","",IF(A606="[FÓRMULA MANUAL]","",IFERROR(AVERAGEIFS(nNOTA,nNIA,A606,nCUENTA,1,nASIG,"Lenguaje Musical"),"")))</f>
        <v/>
      </c>
      <c r="C606" t="str">
        <f>IF(A606="","",IF(A606="[FÓRMULA MANUAL]","",IFERROR(AVERAGEIFS(nNOTA,nNIA,A606,nCUENTA,1,nASIG,"Orquesta/Banda/Conjunto"),"")))</f>
        <v/>
      </c>
      <c r="D606" t="str">
        <f>IF(A606="","",IF(A606="[FÓRMULA MANUAL]","",IFERROR(AVERAGEIFS(nNOTA,nNIA,A606,nCUENTA,1,nASIG,"Conjunto"),"")))</f>
        <v/>
      </c>
      <c r="E606" t="str">
        <f>IF(A606="","",IF(A606="[FÓRMULA MANUAL]","",IFERROR(SUMPRODUCT((nNIA=A606)*(nCUENTA=1)*(COUNTIF(CONFIG_ASIGNATURAS!$B$7:$B$27,nASIG)&gt;0)*(nNOTA))/SUMPRODUCT((nNIA=A606)*(nCUENTA=1)*(COUNTIF(CONFIG_ASIGNATURAS!$B$7:$B$27,nASIG)&gt;0)*1),"")))</f>
        <v/>
      </c>
      <c r="H606" t="str">
        <f>IF(G606="","",IF(G606="[FÓRMULA MANUAL]","",IFERROR(AVERAGEIFS(nNOTA,nNIA,G606,nCUENTA,1,nASIG,"Lenguaje Musical"),"")))</f>
        <v/>
      </c>
      <c r="I606" t="str">
        <f>IF(G606="","",IF(G606="[FÓRMULA MANUAL]","",IFERROR(AVERAGEIFS(nNOTA,nNIA,G606,nCUENTA,1,nASIG,"Orquesta/Banda/Conjunto"),"")))</f>
        <v/>
      </c>
      <c r="J606" t="str">
        <f>IF(G606="","",IF(G606="[FÓRMULA MANUAL]","",IFERROR(AVERAGEIFS(nNOTA,nNIA,G606,nCUENTA,1,nASIG,"Conjunto"),"")))</f>
        <v/>
      </c>
      <c r="K606" t="str">
        <f>IF(G606="","",IF(G606="[FÓRMULA MANUAL]","",IFERROR(SUMPRODUCT((nNIA=G606)*(nCUENTA=1)*(COUNTIF(CONFIG_ASIGNATURAS!$B$7:$B$27,nASIG)&gt;0)*(nNOTA))/SUMPRODUCT((nNIA=G606)*(nCUENTA=1)*(COUNTIF(CONFIG_ASIGNATURAS!$B$7:$B$27,nASIG)&gt;0)*1),"")))</f>
        <v/>
      </c>
      <c r="N606" t="str">
        <f>IF(M606="","",IF(M606="[FÓRMULA MANUAL]","",IFERROR(AVERAGEIFS(nNOTA,nNIA,M606,nCUENTA,1,nASIG,"Armonía"),"")))</f>
        <v/>
      </c>
      <c r="O606" t="str">
        <f>IF(M606="","",IF(M606="[FÓRMULA MANUAL]","",IFERROR(AVERAGEIFS(nNOTA,nNIA,M606,nCUENTA,1,nASIG,"Orquesta/Banda/Conjunto"),"")))</f>
        <v/>
      </c>
      <c r="P606" t="str">
        <f>IF(M606="","",IF(M606="[FÓRMULA MANUAL]","",IFERROR(AVERAGEIFS(nNOTA,nNIA,M606,nCUENTA,1,nASIG,"Música de Cámara"),"")))</f>
        <v/>
      </c>
      <c r="Q606" t="str">
        <f>IF(M606="","",IF(M606="[FÓRMULA MANUAL]","",IFERROR(SUMPRODUCT((nNIA=M606)*(nCUENTA=1)*(COUNTIF(CONFIG_ASIGNATURAS!$B$7:$B$27,nASIG)&gt;0)*(nNOTA))/SUMPRODUCT((nNIA=M606)*(nCUENTA=1)*(COUNTIF(CONFIG_ASIGNATURAS!$B$7:$B$27,nASIG)&gt;0)*1),"")))</f>
        <v/>
      </c>
      <c r="T606" t="str">
        <f>IF(S606="","",IF(S606="[FÓRMULA MANUAL]","",IFERROR(AVERAGEIFS(nNOTA,nNIA,S606,nCUENTA,1,nASIG,"Armonía"),"")))</f>
        <v/>
      </c>
      <c r="U606" t="str">
        <f>IF(S606="","",IF(S606="[FÓRMULA MANUAL]","",IFERROR(AVERAGEIFS(nNOTA,nNIA,S606,nCUENTA,1,nASIG,"Orquesta/Banda/Conjunto"),"")))</f>
        <v/>
      </c>
      <c r="V606" t="str">
        <f>IF(S606="","",IF(S606="[FÓRMULA MANUAL]","",IFERROR(AVERAGEIFS(nNOTA,nNIA,S606,nCUENTA,1,nASIG,"Música de Cámara"),"")))</f>
        <v/>
      </c>
      <c r="W606" t="str">
        <f>IF(S606="","",IF(S606="[FÓRMULA MANUAL]","",IFERROR(SUMPRODUCT((nNIA=S606)*(nCUENTA=1)*(COUNTIF(CONFIG_ASIGNATURAS!$B$7:$B$27,nASIG)&gt;0)*(nNOTA))/SUMPRODUCT((nNIA=S606)*(nCUENTA=1)*(COUNTIF(CONFIG_ASIGNATURAS!$B$7:$B$27,nASIG)&gt;0)*1),"")))</f>
        <v/>
      </c>
      <c r="Z606" t="str">
        <f>IF(Y606="","",IF(Y606="[FÓRMULA MANUAL]","",IFERROR(AVERAGEIFS(nNOTA,nNIA,Y606,nCUENTA,1,nASIG,"Análisis"),"")))</f>
        <v/>
      </c>
      <c r="AA606" t="str">
        <f>IF(Y606="","",IF(Y606="[FÓRMULA MANUAL]","",IFERROR(AVERAGEIFS(nNOTA,nNIA,Y606,nCUENTA,1,nASIG,"Orquesta/Banda/Conjunto"),"")))</f>
        <v/>
      </c>
      <c r="AB606" t="str">
        <f>IF(Y606="","",IF(Y606="[FÓRMULA MANUAL]","",IFERROR(AVERAGEIFS(nNOTA,nNIA,Y606,nCUENTA,1,nASIG,"Música de Cámara"),"")))</f>
        <v/>
      </c>
      <c r="AC606" t="str">
        <f>IF(Y606="","",IF(Y606="[FÓRMULA MANUAL]","",IFERROR(SUMPRODUCT((nNIA=Y606)*(nCUENTA=1)*(COUNTIF(CONFIG_ASIGNATURAS!$B$7:$B$27,nASIG)&gt;0)*(nNOTA))/SUMPRODUCT((nNIA=Y606)*(nCUENTA=1)*(COUNTIF(CONFIG_ASIGNATURAS!$B$7:$B$27,nASIG)&gt;0)*1),"")))</f>
        <v/>
      </c>
      <c r="AF606" t="str">
        <f>IF(AE606="","",IF(AE606="[FÓRMULA MANUAL]","",IFERROR(AVERAGEIFS(nNOTA,nNIA,AE606,nCUENTA,1,nASIG,"Análisis"),"")))</f>
        <v/>
      </c>
      <c r="AG606" t="str">
        <f>IF(AE606="","",IF(AE606="[FÓRMULA MANUAL]","",IFERROR(AVERAGEIFS(nNOTA,nNIA,AE606,nCUENTA,1,nASIG,"Orquesta/Banda/Conjunto"),"")))</f>
        <v/>
      </c>
      <c r="AH606" t="str">
        <f>IF(AE606="","",IF(AE606="[FÓRMULA MANUAL]","",IFERROR(AVERAGEIFS(nNOTA,nNIA,AE606,nCUENTA,1,nASIG,"Música de Cámara"),"")))</f>
        <v/>
      </c>
      <c r="AI606" t="str">
        <f>IF(AE606="","",IF(AE606="[FÓRMULA MANUAL]","",IFERROR(SUMPRODUCT((nNIA=AE606)*(nCUENTA=1)*(COUNTIF(CONFIG_ASIGNATURAS!$B$7:$B$27,nASIG)&gt;0)*(nNOTA))/SUMPRODUCT((nNIA=AE606)*(nCUENTA=1)*(COUNTIF(CONFIG_ASIGNATURAS!$B$7:$B$27,nASIG)&gt;0)*1),"")))</f>
        <v/>
      </c>
    </row>
    <row r="607" spans="2:35" x14ac:dyDescent="0.2">
      <c r="B607" t="str">
        <f>IF(A607="","",IF(A607="[FÓRMULA MANUAL]","",IFERROR(AVERAGEIFS(nNOTA,nNIA,A607,nCUENTA,1,nASIG,"Lenguaje Musical"),"")))</f>
        <v/>
      </c>
      <c r="C607" t="str">
        <f>IF(A607="","",IF(A607="[FÓRMULA MANUAL]","",IFERROR(AVERAGEIFS(nNOTA,nNIA,A607,nCUENTA,1,nASIG,"Orquesta/Banda/Conjunto"),"")))</f>
        <v/>
      </c>
      <c r="D607" t="str">
        <f>IF(A607="","",IF(A607="[FÓRMULA MANUAL]","",IFERROR(AVERAGEIFS(nNOTA,nNIA,A607,nCUENTA,1,nASIG,"Conjunto"),"")))</f>
        <v/>
      </c>
      <c r="E607" t="str">
        <f>IF(A607="","",IF(A607="[FÓRMULA MANUAL]","",IFERROR(SUMPRODUCT((nNIA=A607)*(nCUENTA=1)*(COUNTIF(CONFIG_ASIGNATURAS!$B$7:$B$27,nASIG)&gt;0)*(nNOTA))/SUMPRODUCT((nNIA=A607)*(nCUENTA=1)*(COUNTIF(CONFIG_ASIGNATURAS!$B$7:$B$27,nASIG)&gt;0)*1),"")))</f>
        <v/>
      </c>
      <c r="H607" t="str">
        <f>IF(G607="","",IF(G607="[FÓRMULA MANUAL]","",IFERROR(AVERAGEIFS(nNOTA,nNIA,G607,nCUENTA,1,nASIG,"Lenguaje Musical"),"")))</f>
        <v/>
      </c>
      <c r="I607" t="str">
        <f>IF(G607="","",IF(G607="[FÓRMULA MANUAL]","",IFERROR(AVERAGEIFS(nNOTA,nNIA,G607,nCUENTA,1,nASIG,"Orquesta/Banda/Conjunto"),"")))</f>
        <v/>
      </c>
      <c r="J607" t="str">
        <f>IF(G607="","",IF(G607="[FÓRMULA MANUAL]","",IFERROR(AVERAGEIFS(nNOTA,nNIA,G607,nCUENTA,1,nASIG,"Conjunto"),"")))</f>
        <v/>
      </c>
      <c r="K607" t="str">
        <f>IF(G607="","",IF(G607="[FÓRMULA MANUAL]","",IFERROR(SUMPRODUCT((nNIA=G607)*(nCUENTA=1)*(COUNTIF(CONFIG_ASIGNATURAS!$B$7:$B$27,nASIG)&gt;0)*(nNOTA))/SUMPRODUCT((nNIA=G607)*(nCUENTA=1)*(COUNTIF(CONFIG_ASIGNATURAS!$B$7:$B$27,nASIG)&gt;0)*1),"")))</f>
        <v/>
      </c>
      <c r="N607" t="str">
        <f>IF(M607="","",IF(M607="[FÓRMULA MANUAL]","",IFERROR(AVERAGEIFS(nNOTA,nNIA,M607,nCUENTA,1,nASIG,"Armonía"),"")))</f>
        <v/>
      </c>
      <c r="O607" t="str">
        <f>IF(M607="","",IF(M607="[FÓRMULA MANUAL]","",IFERROR(AVERAGEIFS(nNOTA,nNIA,M607,nCUENTA,1,nASIG,"Orquesta/Banda/Conjunto"),"")))</f>
        <v/>
      </c>
      <c r="P607" t="str">
        <f>IF(M607="","",IF(M607="[FÓRMULA MANUAL]","",IFERROR(AVERAGEIFS(nNOTA,nNIA,M607,nCUENTA,1,nASIG,"Música de Cámara"),"")))</f>
        <v/>
      </c>
      <c r="Q607" t="str">
        <f>IF(M607="","",IF(M607="[FÓRMULA MANUAL]","",IFERROR(SUMPRODUCT((nNIA=M607)*(nCUENTA=1)*(COUNTIF(CONFIG_ASIGNATURAS!$B$7:$B$27,nASIG)&gt;0)*(nNOTA))/SUMPRODUCT((nNIA=M607)*(nCUENTA=1)*(COUNTIF(CONFIG_ASIGNATURAS!$B$7:$B$27,nASIG)&gt;0)*1),"")))</f>
        <v/>
      </c>
      <c r="T607" t="str">
        <f>IF(S607="","",IF(S607="[FÓRMULA MANUAL]","",IFERROR(AVERAGEIFS(nNOTA,nNIA,S607,nCUENTA,1,nASIG,"Armonía"),"")))</f>
        <v/>
      </c>
      <c r="U607" t="str">
        <f>IF(S607="","",IF(S607="[FÓRMULA MANUAL]","",IFERROR(AVERAGEIFS(nNOTA,nNIA,S607,nCUENTA,1,nASIG,"Orquesta/Banda/Conjunto"),"")))</f>
        <v/>
      </c>
      <c r="V607" t="str">
        <f>IF(S607="","",IF(S607="[FÓRMULA MANUAL]","",IFERROR(AVERAGEIFS(nNOTA,nNIA,S607,nCUENTA,1,nASIG,"Música de Cámara"),"")))</f>
        <v/>
      </c>
      <c r="W607" t="str">
        <f>IF(S607="","",IF(S607="[FÓRMULA MANUAL]","",IFERROR(SUMPRODUCT((nNIA=S607)*(nCUENTA=1)*(COUNTIF(CONFIG_ASIGNATURAS!$B$7:$B$27,nASIG)&gt;0)*(nNOTA))/SUMPRODUCT((nNIA=S607)*(nCUENTA=1)*(COUNTIF(CONFIG_ASIGNATURAS!$B$7:$B$27,nASIG)&gt;0)*1),"")))</f>
        <v/>
      </c>
      <c r="Z607" t="str">
        <f>IF(Y607="","",IF(Y607="[FÓRMULA MANUAL]","",IFERROR(AVERAGEIFS(nNOTA,nNIA,Y607,nCUENTA,1,nASIG,"Análisis"),"")))</f>
        <v/>
      </c>
      <c r="AA607" t="str">
        <f>IF(Y607="","",IF(Y607="[FÓRMULA MANUAL]","",IFERROR(AVERAGEIFS(nNOTA,nNIA,Y607,nCUENTA,1,nASIG,"Orquesta/Banda/Conjunto"),"")))</f>
        <v/>
      </c>
      <c r="AB607" t="str">
        <f>IF(Y607="","",IF(Y607="[FÓRMULA MANUAL]","",IFERROR(AVERAGEIFS(nNOTA,nNIA,Y607,nCUENTA,1,nASIG,"Música de Cámara"),"")))</f>
        <v/>
      </c>
      <c r="AC607" t="str">
        <f>IF(Y607="","",IF(Y607="[FÓRMULA MANUAL]","",IFERROR(SUMPRODUCT((nNIA=Y607)*(nCUENTA=1)*(COUNTIF(CONFIG_ASIGNATURAS!$B$7:$B$27,nASIG)&gt;0)*(nNOTA))/SUMPRODUCT((nNIA=Y607)*(nCUENTA=1)*(COUNTIF(CONFIG_ASIGNATURAS!$B$7:$B$27,nASIG)&gt;0)*1),"")))</f>
        <v/>
      </c>
      <c r="AF607" t="str">
        <f>IF(AE607="","",IF(AE607="[FÓRMULA MANUAL]","",IFERROR(AVERAGEIFS(nNOTA,nNIA,AE607,nCUENTA,1,nASIG,"Análisis"),"")))</f>
        <v/>
      </c>
      <c r="AG607" t="str">
        <f>IF(AE607="","",IF(AE607="[FÓRMULA MANUAL]","",IFERROR(AVERAGEIFS(nNOTA,nNIA,AE607,nCUENTA,1,nASIG,"Orquesta/Banda/Conjunto"),"")))</f>
        <v/>
      </c>
      <c r="AH607" t="str">
        <f>IF(AE607="","",IF(AE607="[FÓRMULA MANUAL]","",IFERROR(AVERAGEIFS(nNOTA,nNIA,AE607,nCUENTA,1,nASIG,"Música de Cámara"),"")))</f>
        <v/>
      </c>
      <c r="AI607" t="str">
        <f>IF(AE607="","",IF(AE607="[FÓRMULA MANUAL]","",IFERROR(SUMPRODUCT((nNIA=AE607)*(nCUENTA=1)*(COUNTIF(CONFIG_ASIGNATURAS!$B$7:$B$27,nASIG)&gt;0)*(nNOTA))/SUMPRODUCT((nNIA=AE607)*(nCUENTA=1)*(COUNTIF(CONFIG_ASIGNATURAS!$B$7:$B$27,nASIG)&gt;0)*1),"")))</f>
        <v/>
      </c>
    </row>
    <row r="608" spans="2:35" x14ac:dyDescent="0.2">
      <c r="B608" t="str">
        <f>IF(A608="","",IF(A608="[FÓRMULA MANUAL]","",IFERROR(AVERAGEIFS(nNOTA,nNIA,A608,nCUENTA,1,nASIG,"Lenguaje Musical"),"")))</f>
        <v/>
      </c>
      <c r="C608" t="str">
        <f>IF(A608="","",IF(A608="[FÓRMULA MANUAL]","",IFERROR(AVERAGEIFS(nNOTA,nNIA,A608,nCUENTA,1,nASIG,"Orquesta/Banda/Conjunto"),"")))</f>
        <v/>
      </c>
      <c r="D608" t="str">
        <f>IF(A608="","",IF(A608="[FÓRMULA MANUAL]","",IFERROR(AVERAGEIFS(nNOTA,nNIA,A608,nCUENTA,1,nASIG,"Conjunto"),"")))</f>
        <v/>
      </c>
      <c r="E608" t="str">
        <f>IF(A608="","",IF(A608="[FÓRMULA MANUAL]","",IFERROR(SUMPRODUCT((nNIA=A608)*(nCUENTA=1)*(COUNTIF(CONFIG_ASIGNATURAS!$B$7:$B$27,nASIG)&gt;0)*(nNOTA))/SUMPRODUCT((nNIA=A608)*(nCUENTA=1)*(COUNTIF(CONFIG_ASIGNATURAS!$B$7:$B$27,nASIG)&gt;0)*1),"")))</f>
        <v/>
      </c>
      <c r="H608" t="str">
        <f>IF(G608="","",IF(G608="[FÓRMULA MANUAL]","",IFERROR(AVERAGEIFS(nNOTA,nNIA,G608,nCUENTA,1,nASIG,"Lenguaje Musical"),"")))</f>
        <v/>
      </c>
      <c r="I608" t="str">
        <f>IF(G608="","",IF(G608="[FÓRMULA MANUAL]","",IFERROR(AVERAGEIFS(nNOTA,nNIA,G608,nCUENTA,1,nASIG,"Orquesta/Banda/Conjunto"),"")))</f>
        <v/>
      </c>
      <c r="J608" t="str">
        <f>IF(G608="","",IF(G608="[FÓRMULA MANUAL]","",IFERROR(AVERAGEIFS(nNOTA,nNIA,G608,nCUENTA,1,nASIG,"Conjunto"),"")))</f>
        <v/>
      </c>
      <c r="K608" t="str">
        <f>IF(G608="","",IF(G608="[FÓRMULA MANUAL]","",IFERROR(SUMPRODUCT((nNIA=G608)*(nCUENTA=1)*(COUNTIF(CONFIG_ASIGNATURAS!$B$7:$B$27,nASIG)&gt;0)*(nNOTA))/SUMPRODUCT((nNIA=G608)*(nCUENTA=1)*(COUNTIF(CONFIG_ASIGNATURAS!$B$7:$B$27,nASIG)&gt;0)*1),"")))</f>
        <v/>
      </c>
      <c r="N608" t="str">
        <f>IF(M608="","",IF(M608="[FÓRMULA MANUAL]","",IFERROR(AVERAGEIFS(nNOTA,nNIA,M608,nCUENTA,1,nASIG,"Armonía"),"")))</f>
        <v/>
      </c>
      <c r="O608" t="str">
        <f>IF(M608="","",IF(M608="[FÓRMULA MANUAL]","",IFERROR(AVERAGEIFS(nNOTA,nNIA,M608,nCUENTA,1,nASIG,"Orquesta/Banda/Conjunto"),"")))</f>
        <v/>
      </c>
      <c r="P608" t="str">
        <f>IF(M608="","",IF(M608="[FÓRMULA MANUAL]","",IFERROR(AVERAGEIFS(nNOTA,nNIA,M608,nCUENTA,1,nASIG,"Música de Cámara"),"")))</f>
        <v/>
      </c>
      <c r="Q608" t="str">
        <f>IF(M608="","",IF(M608="[FÓRMULA MANUAL]","",IFERROR(SUMPRODUCT((nNIA=M608)*(nCUENTA=1)*(COUNTIF(CONFIG_ASIGNATURAS!$B$7:$B$27,nASIG)&gt;0)*(nNOTA))/SUMPRODUCT((nNIA=M608)*(nCUENTA=1)*(COUNTIF(CONFIG_ASIGNATURAS!$B$7:$B$27,nASIG)&gt;0)*1),"")))</f>
        <v/>
      </c>
      <c r="T608" t="str">
        <f>IF(S608="","",IF(S608="[FÓRMULA MANUAL]","",IFERROR(AVERAGEIFS(nNOTA,nNIA,S608,nCUENTA,1,nASIG,"Armonía"),"")))</f>
        <v/>
      </c>
      <c r="U608" t="str">
        <f>IF(S608="","",IF(S608="[FÓRMULA MANUAL]","",IFERROR(AVERAGEIFS(nNOTA,nNIA,S608,nCUENTA,1,nASIG,"Orquesta/Banda/Conjunto"),"")))</f>
        <v/>
      </c>
      <c r="V608" t="str">
        <f>IF(S608="","",IF(S608="[FÓRMULA MANUAL]","",IFERROR(AVERAGEIFS(nNOTA,nNIA,S608,nCUENTA,1,nASIG,"Música de Cámara"),"")))</f>
        <v/>
      </c>
      <c r="W608" t="str">
        <f>IF(S608="","",IF(S608="[FÓRMULA MANUAL]","",IFERROR(SUMPRODUCT((nNIA=S608)*(nCUENTA=1)*(COUNTIF(CONFIG_ASIGNATURAS!$B$7:$B$27,nASIG)&gt;0)*(nNOTA))/SUMPRODUCT((nNIA=S608)*(nCUENTA=1)*(COUNTIF(CONFIG_ASIGNATURAS!$B$7:$B$27,nASIG)&gt;0)*1),"")))</f>
        <v/>
      </c>
      <c r="Z608" t="str">
        <f>IF(Y608="","",IF(Y608="[FÓRMULA MANUAL]","",IFERROR(AVERAGEIFS(nNOTA,nNIA,Y608,nCUENTA,1,nASIG,"Análisis"),"")))</f>
        <v/>
      </c>
      <c r="AA608" t="str">
        <f>IF(Y608="","",IF(Y608="[FÓRMULA MANUAL]","",IFERROR(AVERAGEIFS(nNOTA,nNIA,Y608,nCUENTA,1,nASIG,"Orquesta/Banda/Conjunto"),"")))</f>
        <v/>
      </c>
      <c r="AB608" t="str">
        <f>IF(Y608="","",IF(Y608="[FÓRMULA MANUAL]","",IFERROR(AVERAGEIFS(nNOTA,nNIA,Y608,nCUENTA,1,nASIG,"Música de Cámara"),"")))</f>
        <v/>
      </c>
      <c r="AC608" t="str">
        <f>IF(Y608="","",IF(Y608="[FÓRMULA MANUAL]","",IFERROR(SUMPRODUCT((nNIA=Y608)*(nCUENTA=1)*(COUNTIF(CONFIG_ASIGNATURAS!$B$7:$B$27,nASIG)&gt;0)*(nNOTA))/SUMPRODUCT((nNIA=Y608)*(nCUENTA=1)*(COUNTIF(CONFIG_ASIGNATURAS!$B$7:$B$27,nASIG)&gt;0)*1),"")))</f>
        <v/>
      </c>
      <c r="AF608" t="str">
        <f>IF(AE608="","",IF(AE608="[FÓRMULA MANUAL]","",IFERROR(AVERAGEIFS(nNOTA,nNIA,AE608,nCUENTA,1,nASIG,"Análisis"),"")))</f>
        <v/>
      </c>
      <c r="AG608" t="str">
        <f>IF(AE608="","",IF(AE608="[FÓRMULA MANUAL]","",IFERROR(AVERAGEIFS(nNOTA,nNIA,AE608,nCUENTA,1,nASIG,"Orquesta/Banda/Conjunto"),"")))</f>
        <v/>
      </c>
      <c r="AH608" t="str">
        <f>IF(AE608="","",IF(AE608="[FÓRMULA MANUAL]","",IFERROR(AVERAGEIFS(nNOTA,nNIA,AE608,nCUENTA,1,nASIG,"Música de Cámara"),"")))</f>
        <v/>
      </c>
      <c r="AI608" t="str">
        <f>IF(AE608="","",IF(AE608="[FÓRMULA MANUAL]","",IFERROR(SUMPRODUCT((nNIA=AE608)*(nCUENTA=1)*(COUNTIF(CONFIG_ASIGNATURAS!$B$7:$B$27,nASIG)&gt;0)*(nNOTA))/SUMPRODUCT((nNIA=AE608)*(nCUENTA=1)*(COUNTIF(CONFIG_ASIGNATURAS!$B$7:$B$27,nASIG)&gt;0)*1),"")))</f>
        <v/>
      </c>
    </row>
    <row r="609" spans="2:35" x14ac:dyDescent="0.2">
      <c r="B609" t="str">
        <f>IF(A609="","",IF(A609="[FÓRMULA MANUAL]","",IFERROR(AVERAGEIFS(nNOTA,nNIA,A609,nCUENTA,1,nASIG,"Lenguaje Musical"),"")))</f>
        <v/>
      </c>
      <c r="C609" t="str">
        <f>IF(A609="","",IF(A609="[FÓRMULA MANUAL]","",IFERROR(AVERAGEIFS(nNOTA,nNIA,A609,nCUENTA,1,nASIG,"Orquesta/Banda/Conjunto"),"")))</f>
        <v/>
      </c>
      <c r="D609" t="str">
        <f>IF(A609="","",IF(A609="[FÓRMULA MANUAL]","",IFERROR(AVERAGEIFS(nNOTA,nNIA,A609,nCUENTA,1,nASIG,"Conjunto"),"")))</f>
        <v/>
      </c>
      <c r="E609" t="str">
        <f>IF(A609="","",IF(A609="[FÓRMULA MANUAL]","",IFERROR(SUMPRODUCT((nNIA=A609)*(nCUENTA=1)*(COUNTIF(CONFIG_ASIGNATURAS!$B$7:$B$27,nASIG)&gt;0)*(nNOTA))/SUMPRODUCT((nNIA=A609)*(nCUENTA=1)*(COUNTIF(CONFIG_ASIGNATURAS!$B$7:$B$27,nASIG)&gt;0)*1),"")))</f>
        <v/>
      </c>
      <c r="H609" t="str">
        <f>IF(G609="","",IF(G609="[FÓRMULA MANUAL]","",IFERROR(AVERAGEIFS(nNOTA,nNIA,G609,nCUENTA,1,nASIG,"Lenguaje Musical"),"")))</f>
        <v/>
      </c>
      <c r="I609" t="str">
        <f>IF(G609="","",IF(G609="[FÓRMULA MANUAL]","",IFERROR(AVERAGEIFS(nNOTA,nNIA,G609,nCUENTA,1,nASIG,"Orquesta/Banda/Conjunto"),"")))</f>
        <v/>
      </c>
      <c r="J609" t="str">
        <f>IF(G609="","",IF(G609="[FÓRMULA MANUAL]","",IFERROR(AVERAGEIFS(nNOTA,nNIA,G609,nCUENTA,1,nASIG,"Conjunto"),"")))</f>
        <v/>
      </c>
      <c r="K609" t="str">
        <f>IF(G609="","",IF(G609="[FÓRMULA MANUAL]","",IFERROR(SUMPRODUCT((nNIA=G609)*(nCUENTA=1)*(COUNTIF(CONFIG_ASIGNATURAS!$B$7:$B$27,nASIG)&gt;0)*(nNOTA))/SUMPRODUCT((nNIA=G609)*(nCUENTA=1)*(COUNTIF(CONFIG_ASIGNATURAS!$B$7:$B$27,nASIG)&gt;0)*1),"")))</f>
        <v/>
      </c>
      <c r="N609" t="str">
        <f>IF(M609="","",IF(M609="[FÓRMULA MANUAL]","",IFERROR(AVERAGEIFS(nNOTA,nNIA,M609,nCUENTA,1,nASIG,"Armonía"),"")))</f>
        <v/>
      </c>
      <c r="O609" t="str">
        <f>IF(M609="","",IF(M609="[FÓRMULA MANUAL]","",IFERROR(AVERAGEIFS(nNOTA,nNIA,M609,nCUENTA,1,nASIG,"Orquesta/Banda/Conjunto"),"")))</f>
        <v/>
      </c>
      <c r="P609" t="str">
        <f>IF(M609="","",IF(M609="[FÓRMULA MANUAL]","",IFERROR(AVERAGEIFS(nNOTA,nNIA,M609,nCUENTA,1,nASIG,"Música de Cámara"),"")))</f>
        <v/>
      </c>
      <c r="Q609" t="str">
        <f>IF(M609="","",IF(M609="[FÓRMULA MANUAL]","",IFERROR(SUMPRODUCT((nNIA=M609)*(nCUENTA=1)*(COUNTIF(CONFIG_ASIGNATURAS!$B$7:$B$27,nASIG)&gt;0)*(nNOTA))/SUMPRODUCT((nNIA=M609)*(nCUENTA=1)*(COUNTIF(CONFIG_ASIGNATURAS!$B$7:$B$27,nASIG)&gt;0)*1),"")))</f>
        <v/>
      </c>
      <c r="T609" t="str">
        <f>IF(S609="","",IF(S609="[FÓRMULA MANUAL]","",IFERROR(AVERAGEIFS(nNOTA,nNIA,S609,nCUENTA,1,nASIG,"Armonía"),"")))</f>
        <v/>
      </c>
      <c r="U609" t="str">
        <f>IF(S609="","",IF(S609="[FÓRMULA MANUAL]","",IFERROR(AVERAGEIFS(nNOTA,nNIA,S609,nCUENTA,1,nASIG,"Orquesta/Banda/Conjunto"),"")))</f>
        <v/>
      </c>
      <c r="V609" t="str">
        <f>IF(S609="","",IF(S609="[FÓRMULA MANUAL]","",IFERROR(AVERAGEIFS(nNOTA,nNIA,S609,nCUENTA,1,nASIG,"Música de Cámara"),"")))</f>
        <v/>
      </c>
      <c r="W609" t="str">
        <f>IF(S609="","",IF(S609="[FÓRMULA MANUAL]","",IFERROR(SUMPRODUCT((nNIA=S609)*(nCUENTA=1)*(COUNTIF(CONFIG_ASIGNATURAS!$B$7:$B$27,nASIG)&gt;0)*(nNOTA))/SUMPRODUCT((nNIA=S609)*(nCUENTA=1)*(COUNTIF(CONFIG_ASIGNATURAS!$B$7:$B$27,nASIG)&gt;0)*1),"")))</f>
        <v/>
      </c>
      <c r="Z609" t="str">
        <f>IF(Y609="","",IF(Y609="[FÓRMULA MANUAL]","",IFERROR(AVERAGEIFS(nNOTA,nNIA,Y609,nCUENTA,1,nASIG,"Análisis"),"")))</f>
        <v/>
      </c>
      <c r="AA609" t="str">
        <f>IF(Y609="","",IF(Y609="[FÓRMULA MANUAL]","",IFERROR(AVERAGEIFS(nNOTA,nNIA,Y609,nCUENTA,1,nASIG,"Orquesta/Banda/Conjunto"),"")))</f>
        <v/>
      </c>
      <c r="AB609" t="str">
        <f>IF(Y609="","",IF(Y609="[FÓRMULA MANUAL]","",IFERROR(AVERAGEIFS(nNOTA,nNIA,Y609,nCUENTA,1,nASIG,"Música de Cámara"),"")))</f>
        <v/>
      </c>
      <c r="AC609" t="str">
        <f>IF(Y609="","",IF(Y609="[FÓRMULA MANUAL]","",IFERROR(SUMPRODUCT((nNIA=Y609)*(nCUENTA=1)*(COUNTIF(CONFIG_ASIGNATURAS!$B$7:$B$27,nASIG)&gt;0)*(nNOTA))/SUMPRODUCT((nNIA=Y609)*(nCUENTA=1)*(COUNTIF(CONFIG_ASIGNATURAS!$B$7:$B$27,nASIG)&gt;0)*1),"")))</f>
        <v/>
      </c>
      <c r="AF609" t="str">
        <f>IF(AE609="","",IF(AE609="[FÓRMULA MANUAL]","",IFERROR(AVERAGEIFS(nNOTA,nNIA,AE609,nCUENTA,1,nASIG,"Análisis"),"")))</f>
        <v/>
      </c>
      <c r="AG609" t="str">
        <f>IF(AE609="","",IF(AE609="[FÓRMULA MANUAL]","",IFERROR(AVERAGEIFS(nNOTA,nNIA,AE609,nCUENTA,1,nASIG,"Orquesta/Banda/Conjunto"),"")))</f>
        <v/>
      </c>
      <c r="AH609" t="str">
        <f>IF(AE609="","",IF(AE609="[FÓRMULA MANUAL]","",IFERROR(AVERAGEIFS(nNOTA,nNIA,AE609,nCUENTA,1,nASIG,"Música de Cámara"),"")))</f>
        <v/>
      </c>
      <c r="AI609" t="str">
        <f>IF(AE609="","",IF(AE609="[FÓRMULA MANUAL]","",IFERROR(SUMPRODUCT((nNIA=AE609)*(nCUENTA=1)*(COUNTIF(CONFIG_ASIGNATURAS!$B$7:$B$27,nASIG)&gt;0)*(nNOTA))/SUMPRODUCT((nNIA=AE609)*(nCUENTA=1)*(COUNTIF(CONFIG_ASIGNATURAS!$B$7:$B$27,nASIG)&gt;0)*1),"")))</f>
        <v/>
      </c>
    </row>
    <row r="610" spans="2:35" x14ac:dyDescent="0.2">
      <c r="B610" t="str">
        <f>IF(A610="","",IF(A610="[FÓRMULA MANUAL]","",IFERROR(AVERAGEIFS(nNOTA,nNIA,A610,nCUENTA,1,nASIG,"Lenguaje Musical"),"")))</f>
        <v/>
      </c>
      <c r="C610" t="str">
        <f>IF(A610="","",IF(A610="[FÓRMULA MANUAL]","",IFERROR(AVERAGEIFS(nNOTA,nNIA,A610,nCUENTA,1,nASIG,"Orquesta/Banda/Conjunto"),"")))</f>
        <v/>
      </c>
      <c r="D610" t="str">
        <f>IF(A610="","",IF(A610="[FÓRMULA MANUAL]","",IFERROR(AVERAGEIFS(nNOTA,nNIA,A610,nCUENTA,1,nASIG,"Conjunto"),"")))</f>
        <v/>
      </c>
      <c r="E610" t="str">
        <f>IF(A610="","",IF(A610="[FÓRMULA MANUAL]","",IFERROR(SUMPRODUCT((nNIA=A610)*(nCUENTA=1)*(COUNTIF(CONFIG_ASIGNATURAS!$B$7:$B$27,nASIG)&gt;0)*(nNOTA))/SUMPRODUCT((nNIA=A610)*(nCUENTA=1)*(COUNTIF(CONFIG_ASIGNATURAS!$B$7:$B$27,nASIG)&gt;0)*1),"")))</f>
        <v/>
      </c>
      <c r="H610" t="str">
        <f>IF(G610="","",IF(G610="[FÓRMULA MANUAL]","",IFERROR(AVERAGEIFS(nNOTA,nNIA,G610,nCUENTA,1,nASIG,"Lenguaje Musical"),"")))</f>
        <v/>
      </c>
      <c r="I610" t="str">
        <f>IF(G610="","",IF(G610="[FÓRMULA MANUAL]","",IFERROR(AVERAGEIFS(nNOTA,nNIA,G610,nCUENTA,1,nASIG,"Orquesta/Banda/Conjunto"),"")))</f>
        <v/>
      </c>
      <c r="J610" t="str">
        <f>IF(G610="","",IF(G610="[FÓRMULA MANUAL]","",IFERROR(AVERAGEIFS(nNOTA,nNIA,G610,nCUENTA,1,nASIG,"Conjunto"),"")))</f>
        <v/>
      </c>
      <c r="K610" t="str">
        <f>IF(G610="","",IF(G610="[FÓRMULA MANUAL]","",IFERROR(SUMPRODUCT((nNIA=G610)*(nCUENTA=1)*(COUNTIF(CONFIG_ASIGNATURAS!$B$7:$B$27,nASIG)&gt;0)*(nNOTA))/SUMPRODUCT((nNIA=G610)*(nCUENTA=1)*(COUNTIF(CONFIG_ASIGNATURAS!$B$7:$B$27,nASIG)&gt;0)*1),"")))</f>
        <v/>
      </c>
      <c r="N610" t="str">
        <f>IF(M610="","",IF(M610="[FÓRMULA MANUAL]","",IFERROR(AVERAGEIFS(nNOTA,nNIA,M610,nCUENTA,1,nASIG,"Armonía"),"")))</f>
        <v/>
      </c>
      <c r="O610" t="str">
        <f>IF(M610="","",IF(M610="[FÓRMULA MANUAL]","",IFERROR(AVERAGEIFS(nNOTA,nNIA,M610,nCUENTA,1,nASIG,"Orquesta/Banda/Conjunto"),"")))</f>
        <v/>
      </c>
      <c r="P610" t="str">
        <f>IF(M610="","",IF(M610="[FÓRMULA MANUAL]","",IFERROR(AVERAGEIFS(nNOTA,nNIA,M610,nCUENTA,1,nASIG,"Música de Cámara"),"")))</f>
        <v/>
      </c>
      <c r="Q610" t="str">
        <f>IF(M610="","",IF(M610="[FÓRMULA MANUAL]","",IFERROR(SUMPRODUCT((nNIA=M610)*(nCUENTA=1)*(COUNTIF(CONFIG_ASIGNATURAS!$B$7:$B$27,nASIG)&gt;0)*(nNOTA))/SUMPRODUCT((nNIA=M610)*(nCUENTA=1)*(COUNTIF(CONFIG_ASIGNATURAS!$B$7:$B$27,nASIG)&gt;0)*1),"")))</f>
        <v/>
      </c>
      <c r="T610" t="str">
        <f>IF(S610="","",IF(S610="[FÓRMULA MANUAL]","",IFERROR(AVERAGEIFS(nNOTA,nNIA,S610,nCUENTA,1,nASIG,"Armonía"),"")))</f>
        <v/>
      </c>
      <c r="U610" t="str">
        <f>IF(S610="","",IF(S610="[FÓRMULA MANUAL]","",IFERROR(AVERAGEIFS(nNOTA,nNIA,S610,nCUENTA,1,nASIG,"Orquesta/Banda/Conjunto"),"")))</f>
        <v/>
      </c>
      <c r="V610" t="str">
        <f>IF(S610="","",IF(S610="[FÓRMULA MANUAL]","",IFERROR(AVERAGEIFS(nNOTA,nNIA,S610,nCUENTA,1,nASIG,"Música de Cámara"),"")))</f>
        <v/>
      </c>
      <c r="W610" t="str">
        <f>IF(S610="","",IF(S610="[FÓRMULA MANUAL]","",IFERROR(SUMPRODUCT((nNIA=S610)*(nCUENTA=1)*(COUNTIF(CONFIG_ASIGNATURAS!$B$7:$B$27,nASIG)&gt;0)*(nNOTA))/SUMPRODUCT((nNIA=S610)*(nCUENTA=1)*(COUNTIF(CONFIG_ASIGNATURAS!$B$7:$B$27,nASIG)&gt;0)*1),"")))</f>
        <v/>
      </c>
      <c r="Z610" t="str">
        <f>IF(Y610="","",IF(Y610="[FÓRMULA MANUAL]","",IFERROR(AVERAGEIFS(nNOTA,nNIA,Y610,nCUENTA,1,nASIG,"Análisis"),"")))</f>
        <v/>
      </c>
      <c r="AA610" t="str">
        <f>IF(Y610="","",IF(Y610="[FÓRMULA MANUAL]","",IFERROR(AVERAGEIFS(nNOTA,nNIA,Y610,nCUENTA,1,nASIG,"Orquesta/Banda/Conjunto"),"")))</f>
        <v/>
      </c>
      <c r="AB610" t="str">
        <f>IF(Y610="","",IF(Y610="[FÓRMULA MANUAL]","",IFERROR(AVERAGEIFS(nNOTA,nNIA,Y610,nCUENTA,1,nASIG,"Música de Cámara"),"")))</f>
        <v/>
      </c>
      <c r="AC610" t="str">
        <f>IF(Y610="","",IF(Y610="[FÓRMULA MANUAL]","",IFERROR(SUMPRODUCT((nNIA=Y610)*(nCUENTA=1)*(COUNTIF(CONFIG_ASIGNATURAS!$B$7:$B$27,nASIG)&gt;0)*(nNOTA))/SUMPRODUCT((nNIA=Y610)*(nCUENTA=1)*(COUNTIF(CONFIG_ASIGNATURAS!$B$7:$B$27,nASIG)&gt;0)*1),"")))</f>
        <v/>
      </c>
      <c r="AF610" t="str">
        <f>IF(AE610="","",IF(AE610="[FÓRMULA MANUAL]","",IFERROR(AVERAGEIFS(nNOTA,nNIA,AE610,nCUENTA,1,nASIG,"Análisis"),"")))</f>
        <v/>
      </c>
      <c r="AG610" t="str">
        <f>IF(AE610="","",IF(AE610="[FÓRMULA MANUAL]","",IFERROR(AVERAGEIFS(nNOTA,nNIA,AE610,nCUENTA,1,nASIG,"Orquesta/Banda/Conjunto"),"")))</f>
        <v/>
      </c>
      <c r="AH610" t="str">
        <f>IF(AE610="","",IF(AE610="[FÓRMULA MANUAL]","",IFERROR(AVERAGEIFS(nNOTA,nNIA,AE610,nCUENTA,1,nASIG,"Música de Cámara"),"")))</f>
        <v/>
      </c>
      <c r="AI610" t="str">
        <f>IF(AE610="","",IF(AE610="[FÓRMULA MANUAL]","",IFERROR(SUMPRODUCT((nNIA=AE610)*(nCUENTA=1)*(COUNTIF(CONFIG_ASIGNATURAS!$B$7:$B$27,nASIG)&gt;0)*(nNOTA))/SUMPRODUCT((nNIA=AE610)*(nCUENTA=1)*(COUNTIF(CONFIG_ASIGNATURAS!$B$7:$B$27,nASIG)&gt;0)*1),"")))</f>
        <v/>
      </c>
    </row>
    <row r="611" spans="2:35" x14ac:dyDescent="0.2">
      <c r="B611" t="str">
        <f>IF(A611="","",IF(A611="[FÓRMULA MANUAL]","",IFERROR(AVERAGEIFS(nNOTA,nNIA,A611,nCUENTA,1,nASIG,"Lenguaje Musical"),"")))</f>
        <v/>
      </c>
      <c r="C611" t="str">
        <f>IF(A611="","",IF(A611="[FÓRMULA MANUAL]","",IFERROR(AVERAGEIFS(nNOTA,nNIA,A611,nCUENTA,1,nASIG,"Orquesta/Banda/Conjunto"),"")))</f>
        <v/>
      </c>
      <c r="D611" t="str">
        <f>IF(A611="","",IF(A611="[FÓRMULA MANUAL]","",IFERROR(AVERAGEIFS(nNOTA,nNIA,A611,nCUENTA,1,nASIG,"Conjunto"),"")))</f>
        <v/>
      </c>
      <c r="E611" t="str">
        <f>IF(A611="","",IF(A611="[FÓRMULA MANUAL]","",IFERROR(SUMPRODUCT((nNIA=A611)*(nCUENTA=1)*(COUNTIF(CONFIG_ASIGNATURAS!$B$7:$B$27,nASIG)&gt;0)*(nNOTA))/SUMPRODUCT((nNIA=A611)*(nCUENTA=1)*(COUNTIF(CONFIG_ASIGNATURAS!$B$7:$B$27,nASIG)&gt;0)*1),"")))</f>
        <v/>
      </c>
      <c r="H611" t="str">
        <f>IF(G611="","",IF(G611="[FÓRMULA MANUAL]","",IFERROR(AVERAGEIFS(nNOTA,nNIA,G611,nCUENTA,1,nASIG,"Lenguaje Musical"),"")))</f>
        <v/>
      </c>
      <c r="I611" t="str">
        <f>IF(G611="","",IF(G611="[FÓRMULA MANUAL]","",IFERROR(AVERAGEIFS(nNOTA,nNIA,G611,nCUENTA,1,nASIG,"Orquesta/Banda/Conjunto"),"")))</f>
        <v/>
      </c>
      <c r="J611" t="str">
        <f>IF(G611="","",IF(G611="[FÓRMULA MANUAL]","",IFERROR(AVERAGEIFS(nNOTA,nNIA,G611,nCUENTA,1,nASIG,"Conjunto"),"")))</f>
        <v/>
      </c>
      <c r="K611" t="str">
        <f>IF(G611="","",IF(G611="[FÓRMULA MANUAL]","",IFERROR(SUMPRODUCT((nNIA=G611)*(nCUENTA=1)*(COUNTIF(CONFIG_ASIGNATURAS!$B$7:$B$27,nASIG)&gt;0)*(nNOTA))/SUMPRODUCT((nNIA=G611)*(nCUENTA=1)*(COUNTIF(CONFIG_ASIGNATURAS!$B$7:$B$27,nASIG)&gt;0)*1),"")))</f>
        <v/>
      </c>
      <c r="N611" t="str">
        <f>IF(M611="","",IF(M611="[FÓRMULA MANUAL]","",IFERROR(AVERAGEIFS(nNOTA,nNIA,M611,nCUENTA,1,nASIG,"Armonía"),"")))</f>
        <v/>
      </c>
      <c r="O611" t="str">
        <f>IF(M611="","",IF(M611="[FÓRMULA MANUAL]","",IFERROR(AVERAGEIFS(nNOTA,nNIA,M611,nCUENTA,1,nASIG,"Orquesta/Banda/Conjunto"),"")))</f>
        <v/>
      </c>
      <c r="P611" t="str">
        <f>IF(M611="","",IF(M611="[FÓRMULA MANUAL]","",IFERROR(AVERAGEIFS(nNOTA,nNIA,M611,nCUENTA,1,nASIG,"Música de Cámara"),"")))</f>
        <v/>
      </c>
      <c r="Q611" t="str">
        <f>IF(M611="","",IF(M611="[FÓRMULA MANUAL]","",IFERROR(SUMPRODUCT((nNIA=M611)*(nCUENTA=1)*(COUNTIF(CONFIG_ASIGNATURAS!$B$7:$B$27,nASIG)&gt;0)*(nNOTA))/SUMPRODUCT((nNIA=M611)*(nCUENTA=1)*(COUNTIF(CONFIG_ASIGNATURAS!$B$7:$B$27,nASIG)&gt;0)*1),"")))</f>
        <v/>
      </c>
      <c r="T611" t="str">
        <f>IF(S611="","",IF(S611="[FÓRMULA MANUAL]","",IFERROR(AVERAGEIFS(nNOTA,nNIA,S611,nCUENTA,1,nASIG,"Armonía"),"")))</f>
        <v/>
      </c>
      <c r="U611" t="str">
        <f>IF(S611="","",IF(S611="[FÓRMULA MANUAL]","",IFERROR(AVERAGEIFS(nNOTA,nNIA,S611,nCUENTA,1,nASIG,"Orquesta/Banda/Conjunto"),"")))</f>
        <v/>
      </c>
      <c r="V611" t="str">
        <f>IF(S611="","",IF(S611="[FÓRMULA MANUAL]","",IFERROR(AVERAGEIFS(nNOTA,nNIA,S611,nCUENTA,1,nASIG,"Música de Cámara"),"")))</f>
        <v/>
      </c>
      <c r="W611" t="str">
        <f>IF(S611="","",IF(S611="[FÓRMULA MANUAL]","",IFERROR(SUMPRODUCT((nNIA=S611)*(nCUENTA=1)*(COUNTIF(CONFIG_ASIGNATURAS!$B$7:$B$27,nASIG)&gt;0)*(nNOTA))/SUMPRODUCT((nNIA=S611)*(nCUENTA=1)*(COUNTIF(CONFIG_ASIGNATURAS!$B$7:$B$27,nASIG)&gt;0)*1),"")))</f>
        <v/>
      </c>
      <c r="Z611" t="str">
        <f>IF(Y611="","",IF(Y611="[FÓRMULA MANUAL]","",IFERROR(AVERAGEIFS(nNOTA,nNIA,Y611,nCUENTA,1,nASIG,"Análisis"),"")))</f>
        <v/>
      </c>
      <c r="AA611" t="str">
        <f>IF(Y611="","",IF(Y611="[FÓRMULA MANUAL]","",IFERROR(AVERAGEIFS(nNOTA,nNIA,Y611,nCUENTA,1,nASIG,"Orquesta/Banda/Conjunto"),"")))</f>
        <v/>
      </c>
      <c r="AB611" t="str">
        <f>IF(Y611="","",IF(Y611="[FÓRMULA MANUAL]","",IFERROR(AVERAGEIFS(nNOTA,nNIA,Y611,nCUENTA,1,nASIG,"Música de Cámara"),"")))</f>
        <v/>
      </c>
      <c r="AC611" t="str">
        <f>IF(Y611="","",IF(Y611="[FÓRMULA MANUAL]","",IFERROR(SUMPRODUCT((nNIA=Y611)*(nCUENTA=1)*(COUNTIF(CONFIG_ASIGNATURAS!$B$7:$B$27,nASIG)&gt;0)*(nNOTA))/SUMPRODUCT((nNIA=Y611)*(nCUENTA=1)*(COUNTIF(CONFIG_ASIGNATURAS!$B$7:$B$27,nASIG)&gt;0)*1),"")))</f>
        <v/>
      </c>
      <c r="AF611" t="str">
        <f>IF(AE611="","",IF(AE611="[FÓRMULA MANUAL]","",IFERROR(AVERAGEIFS(nNOTA,nNIA,AE611,nCUENTA,1,nASIG,"Análisis"),"")))</f>
        <v/>
      </c>
      <c r="AG611" t="str">
        <f>IF(AE611="","",IF(AE611="[FÓRMULA MANUAL]","",IFERROR(AVERAGEIFS(nNOTA,nNIA,AE611,nCUENTA,1,nASIG,"Orquesta/Banda/Conjunto"),"")))</f>
        <v/>
      </c>
      <c r="AH611" t="str">
        <f>IF(AE611="","",IF(AE611="[FÓRMULA MANUAL]","",IFERROR(AVERAGEIFS(nNOTA,nNIA,AE611,nCUENTA,1,nASIG,"Música de Cámara"),"")))</f>
        <v/>
      </c>
      <c r="AI611" t="str">
        <f>IF(AE611="","",IF(AE611="[FÓRMULA MANUAL]","",IFERROR(SUMPRODUCT((nNIA=AE611)*(nCUENTA=1)*(COUNTIF(CONFIG_ASIGNATURAS!$B$7:$B$27,nASIG)&gt;0)*(nNOTA))/SUMPRODUCT((nNIA=AE611)*(nCUENTA=1)*(COUNTIF(CONFIG_ASIGNATURAS!$B$7:$B$27,nASIG)&gt;0)*1),"")))</f>
        <v/>
      </c>
    </row>
    <row r="612" spans="2:35" x14ac:dyDescent="0.2">
      <c r="B612" t="str">
        <f>IF(A612="","",IF(A612="[FÓRMULA MANUAL]","",IFERROR(AVERAGEIFS(nNOTA,nNIA,A612,nCUENTA,1,nASIG,"Lenguaje Musical"),"")))</f>
        <v/>
      </c>
      <c r="C612" t="str">
        <f>IF(A612="","",IF(A612="[FÓRMULA MANUAL]","",IFERROR(AVERAGEIFS(nNOTA,nNIA,A612,nCUENTA,1,nASIG,"Orquesta/Banda/Conjunto"),"")))</f>
        <v/>
      </c>
      <c r="D612" t="str">
        <f>IF(A612="","",IF(A612="[FÓRMULA MANUAL]","",IFERROR(AVERAGEIFS(nNOTA,nNIA,A612,nCUENTA,1,nASIG,"Conjunto"),"")))</f>
        <v/>
      </c>
      <c r="E612" t="str">
        <f>IF(A612="","",IF(A612="[FÓRMULA MANUAL]","",IFERROR(SUMPRODUCT((nNIA=A612)*(nCUENTA=1)*(COUNTIF(CONFIG_ASIGNATURAS!$B$7:$B$27,nASIG)&gt;0)*(nNOTA))/SUMPRODUCT((nNIA=A612)*(nCUENTA=1)*(COUNTIF(CONFIG_ASIGNATURAS!$B$7:$B$27,nASIG)&gt;0)*1),"")))</f>
        <v/>
      </c>
      <c r="H612" t="str">
        <f>IF(G612="","",IF(G612="[FÓRMULA MANUAL]","",IFERROR(AVERAGEIFS(nNOTA,nNIA,G612,nCUENTA,1,nASIG,"Lenguaje Musical"),"")))</f>
        <v/>
      </c>
      <c r="I612" t="str">
        <f>IF(G612="","",IF(G612="[FÓRMULA MANUAL]","",IFERROR(AVERAGEIFS(nNOTA,nNIA,G612,nCUENTA,1,nASIG,"Orquesta/Banda/Conjunto"),"")))</f>
        <v/>
      </c>
      <c r="J612" t="str">
        <f>IF(G612="","",IF(G612="[FÓRMULA MANUAL]","",IFERROR(AVERAGEIFS(nNOTA,nNIA,G612,nCUENTA,1,nASIG,"Conjunto"),"")))</f>
        <v/>
      </c>
      <c r="K612" t="str">
        <f>IF(G612="","",IF(G612="[FÓRMULA MANUAL]","",IFERROR(SUMPRODUCT((nNIA=G612)*(nCUENTA=1)*(COUNTIF(CONFIG_ASIGNATURAS!$B$7:$B$27,nASIG)&gt;0)*(nNOTA))/SUMPRODUCT((nNIA=G612)*(nCUENTA=1)*(COUNTIF(CONFIG_ASIGNATURAS!$B$7:$B$27,nASIG)&gt;0)*1),"")))</f>
        <v/>
      </c>
      <c r="N612" t="str">
        <f>IF(M612="","",IF(M612="[FÓRMULA MANUAL]","",IFERROR(AVERAGEIFS(nNOTA,nNIA,M612,nCUENTA,1,nASIG,"Armonía"),"")))</f>
        <v/>
      </c>
      <c r="O612" t="str">
        <f>IF(M612="","",IF(M612="[FÓRMULA MANUAL]","",IFERROR(AVERAGEIFS(nNOTA,nNIA,M612,nCUENTA,1,nASIG,"Orquesta/Banda/Conjunto"),"")))</f>
        <v/>
      </c>
      <c r="P612" t="str">
        <f>IF(M612="","",IF(M612="[FÓRMULA MANUAL]","",IFERROR(AVERAGEIFS(nNOTA,nNIA,M612,nCUENTA,1,nASIG,"Música de Cámara"),"")))</f>
        <v/>
      </c>
      <c r="Q612" t="str">
        <f>IF(M612="","",IF(M612="[FÓRMULA MANUAL]","",IFERROR(SUMPRODUCT((nNIA=M612)*(nCUENTA=1)*(COUNTIF(CONFIG_ASIGNATURAS!$B$7:$B$27,nASIG)&gt;0)*(nNOTA))/SUMPRODUCT((nNIA=M612)*(nCUENTA=1)*(COUNTIF(CONFIG_ASIGNATURAS!$B$7:$B$27,nASIG)&gt;0)*1),"")))</f>
        <v/>
      </c>
      <c r="T612" t="str">
        <f>IF(S612="","",IF(S612="[FÓRMULA MANUAL]","",IFERROR(AVERAGEIFS(nNOTA,nNIA,S612,nCUENTA,1,nASIG,"Armonía"),"")))</f>
        <v/>
      </c>
      <c r="U612" t="str">
        <f>IF(S612="","",IF(S612="[FÓRMULA MANUAL]","",IFERROR(AVERAGEIFS(nNOTA,nNIA,S612,nCUENTA,1,nASIG,"Orquesta/Banda/Conjunto"),"")))</f>
        <v/>
      </c>
      <c r="V612" t="str">
        <f>IF(S612="","",IF(S612="[FÓRMULA MANUAL]","",IFERROR(AVERAGEIFS(nNOTA,nNIA,S612,nCUENTA,1,nASIG,"Música de Cámara"),"")))</f>
        <v/>
      </c>
      <c r="W612" t="str">
        <f>IF(S612="","",IF(S612="[FÓRMULA MANUAL]","",IFERROR(SUMPRODUCT((nNIA=S612)*(nCUENTA=1)*(COUNTIF(CONFIG_ASIGNATURAS!$B$7:$B$27,nASIG)&gt;0)*(nNOTA))/SUMPRODUCT((nNIA=S612)*(nCUENTA=1)*(COUNTIF(CONFIG_ASIGNATURAS!$B$7:$B$27,nASIG)&gt;0)*1),"")))</f>
        <v/>
      </c>
      <c r="Z612" t="str">
        <f>IF(Y612="","",IF(Y612="[FÓRMULA MANUAL]","",IFERROR(AVERAGEIFS(nNOTA,nNIA,Y612,nCUENTA,1,nASIG,"Análisis"),"")))</f>
        <v/>
      </c>
      <c r="AA612" t="str">
        <f>IF(Y612="","",IF(Y612="[FÓRMULA MANUAL]","",IFERROR(AVERAGEIFS(nNOTA,nNIA,Y612,nCUENTA,1,nASIG,"Orquesta/Banda/Conjunto"),"")))</f>
        <v/>
      </c>
      <c r="AB612" t="str">
        <f>IF(Y612="","",IF(Y612="[FÓRMULA MANUAL]","",IFERROR(AVERAGEIFS(nNOTA,nNIA,Y612,nCUENTA,1,nASIG,"Música de Cámara"),"")))</f>
        <v/>
      </c>
      <c r="AC612" t="str">
        <f>IF(Y612="","",IF(Y612="[FÓRMULA MANUAL]","",IFERROR(SUMPRODUCT((nNIA=Y612)*(nCUENTA=1)*(COUNTIF(CONFIG_ASIGNATURAS!$B$7:$B$27,nASIG)&gt;0)*(nNOTA))/SUMPRODUCT((nNIA=Y612)*(nCUENTA=1)*(COUNTIF(CONFIG_ASIGNATURAS!$B$7:$B$27,nASIG)&gt;0)*1),"")))</f>
        <v/>
      </c>
      <c r="AF612" t="str">
        <f>IF(AE612="","",IF(AE612="[FÓRMULA MANUAL]","",IFERROR(AVERAGEIFS(nNOTA,nNIA,AE612,nCUENTA,1,nASIG,"Análisis"),"")))</f>
        <v/>
      </c>
      <c r="AG612" t="str">
        <f>IF(AE612="","",IF(AE612="[FÓRMULA MANUAL]","",IFERROR(AVERAGEIFS(nNOTA,nNIA,AE612,nCUENTA,1,nASIG,"Orquesta/Banda/Conjunto"),"")))</f>
        <v/>
      </c>
      <c r="AH612" t="str">
        <f>IF(AE612="","",IF(AE612="[FÓRMULA MANUAL]","",IFERROR(AVERAGEIFS(nNOTA,nNIA,AE612,nCUENTA,1,nASIG,"Música de Cámara"),"")))</f>
        <v/>
      </c>
      <c r="AI612" t="str">
        <f>IF(AE612="","",IF(AE612="[FÓRMULA MANUAL]","",IFERROR(SUMPRODUCT((nNIA=AE612)*(nCUENTA=1)*(COUNTIF(CONFIG_ASIGNATURAS!$B$7:$B$27,nASIG)&gt;0)*(nNOTA))/SUMPRODUCT((nNIA=AE612)*(nCUENTA=1)*(COUNTIF(CONFIG_ASIGNATURAS!$B$7:$B$27,nASIG)&gt;0)*1),"")))</f>
        <v/>
      </c>
    </row>
    <row r="613" spans="2:35" x14ac:dyDescent="0.2">
      <c r="B613" t="str">
        <f>IF(A613="","",IF(A613="[FÓRMULA MANUAL]","",IFERROR(AVERAGEIFS(nNOTA,nNIA,A613,nCUENTA,1,nASIG,"Lenguaje Musical"),"")))</f>
        <v/>
      </c>
      <c r="C613" t="str">
        <f>IF(A613="","",IF(A613="[FÓRMULA MANUAL]","",IFERROR(AVERAGEIFS(nNOTA,nNIA,A613,nCUENTA,1,nASIG,"Orquesta/Banda/Conjunto"),"")))</f>
        <v/>
      </c>
      <c r="D613" t="str">
        <f>IF(A613="","",IF(A613="[FÓRMULA MANUAL]","",IFERROR(AVERAGEIFS(nNOTA,nNIA,A613,nCUENTA,1,nASIG,"Conjunto"),"")))</f>
        <v/>
      </c>
      <c r="E613" t="str">
        <f>IF(A613="","",IF(A613="[FÓRMULA MANUAL]","",IFERROR(SUMPRODUCT((nNIA=A613)*(nCUENTA=1)*(COUNTIF(CONFIG_ASIGNATURAS!$B$7:$B$27,nASIG)&gt;0)*(nNOTA))/SUMPRODUCT((nNIA=A613)*(nCUENTA=1)*(COUNTIF(CONFIG_ASIGNATURAS!$B$7:$B$27,nASIG)&gt;0)*1),"")))</f>
        <v/>
      </c>
      <c r="H613" t="str">
        <f>IF(G613="","",IF(G613="[FÓRMULA MANUAL]","",IFERROR(AVERAGEIFS(nNOTA,nNIA,G613,nCUENTA,1,nASIG,"Lenguaje Musical"),"")))</f>
        <v/>
      </c>
      <c r="I613" t="str">
        <f>IF(G613="","",IF(G613="[FÓRMULA MANUAL]","",IFERROR(AVERAGEIFS(nNOTA,nNIA,G613,nCUENTA,1,nASIG,"Orquesta/Banda/Conjunto"),"")))</f>
        <v/>
      </c>
      <c r="J613" t="str">
        <f>IF(G613="","",IF(G613="[FÓRMULA MANUAL]","",IFERROR(AVERAGEIFS(nNOTA,nNIA,G613,nCUENTA,1,nASIG,"Conjunto"),"")))</f>
        <v/>
      </c>
      <c r="K613" t="str">
        <f>IF(G613="","",IF(G613="[FÓRMULA MANUAL]","",IFERROR(SUMPRODUCT((nNIA=G613)*(nCUENTA=1)*(COUNTIF(CONFIG_ASIGNATURAS!$B$7:$B$27,nASIG)&gt;0)*(nNOTA))/SUMPRODUCT((nNIA=G613)*(nCUENTA=1)*(COUNTIF(CONFIG_ASIGNATURAS!$B$7:$B$27,nASIG)&gt;0)*1),"")))</f>
        <v/>
      </c>
      <c r="N613" t="str">
        <f>IF(M613="","",IF(M613="[FÓRMULA MANUAL]","",IFERROR(AVERAGEIFS(nNOTA,nNIA,M613,nCUENTA,1,nASIG,"Armonía"),"")))</f>
        <v/>
      </c>
      <c r="O613" t="str">
        <f>IF(M613="","",IF(M613="[FÓRMULA MANUAL]","",IFERROR(AVERAGEIFS(nNOTA,nNIA,M613,nCUENTA,1,nASIG,"Orquesta/Banda/Conjunto"),"")))</f>
        <v/>
      </c>
      <c r="P613" t="str">
        <f>IF(M613="","",IF(M613="[FÓRMULA MANUAL]","",IFERROR(AVERAGEIFS(nNOTA,nNIA,M613,nCUENTA,1,nASIG,"Música de Cámara"),"")))</f>
        <v/>
      </c>
      <c r="Q613" t="str">
        <f>IF(M613="","",IF(M613="[FÓRMULA MANUAL]","",IFERROR(SUMPRODUCT((nNIA=M613)*(nCUENTA=1)*(COUNTIF(CONFIG_ASIGNATURAS!$B$7:$B$27,nASIG)&gt;0)*(nNOTA))/SUMPRODUCT((nNIA=M613)*(nCUENTA=1)*(COUNTIF(CONFIG_ASIGNATURAS!$B$7:$B$27,nASIG)&gt;0)*1),"")))</f>
        <v/>
      </c>
      <c r="T613" t="str">
        <f>IF(S613="","",IF(S613="[FÓRMULA MANUAL]","",IFERROR(AVERAGEIFS(nNOTA,nNIA,S613,nCUENTA,1,nASIG,"Armonía"),"")))</f>
        <v/>
      </c>
      <c r="U613" t="str">
        <f>IF(S613="","",IF(S613="[FÓRMULA MANUAL]","",IFERROR(AVERAGEIFS(nNOTA,nNIA,S613,nCUENTA,1,nASIG,"Orquesta/Banda/Conjunto"),"")))</f>
        <v/>
      </c>
      <c r="V613" t="str">
        <f>IF(S613="","",IF(S613="[FÓRMULA MANUAL]","",IFERROR(AVERAGEIFS(nNOTA,nNIA,S613,nCUENTA,1,nASIG,"Música de Cámara"),"")))</f>
        <v/>
      </c>
      <c r="W613" t="str">
        <f>IF(S613="","",IF(S613="[FÓRMULA MANUAL]","",IFERROR(SUMPRODUCT((nNIA=S613)*(nCUENTA=1)*(COUNTIF(CONFIG_ASIGNATURAS!$B$7:$B$27,nASIG)&gt;0)*(nNOTA))/SUMPRODUCT((nNIA=S613)*(nCUENTA=1)*(COUNTIF(CONFIG_ASIGNATURAS!$B$7:$B$27,nASIG)&gt;0)*1),"")))</f>
        <v/>
      </c>
      <c r="Z613" t="str">
        <f>IF(Y613="","",IF(Y613="[FÓRMULA MANUAL]","",IFERROR(AVERAGEIFS(nNOTA,nNIA,Y613,nCUENTA,1,nASIG,"Análisis"),"")))</f>
        <v/>
      </c>
      <c r="AA613" t="str">
        <f>IF(Y613="","",IF(Y613="[FÓRMULA MANUAL]","",IFERROR(AVERAGEIFS(nNOTA,nNIA,Y613,nCUENTA,1,nASIG,"Orquesta/Banda/Conjunto"),"")))</f>
        <v/>
      </c>
      <c r="AB613" t="str">
        <f>IF(Y613="","",IF(Y613="[FÓRMULA MANUAL]","",IFERROR(AVERAGEIFS(nNOTA,nNIA,Y613,nCUENTA,1,nASIG,"Música de Cámara"),"")))</f>
        <v/>
      </c>
      <c r="AC613" t="str">
        <f>IF(Y613="","",IF(Y613="[FÓRMULA MANUAL]","",IFERROR(SUMPRODUCT((nNIA=Y613)*(nCUENTA=1)*(COUNTIF(CONFIG_ASIGNATURAS!$B$7:$B$27,nASIG)&gt;0)*(nNOTA))/SUMPRODUCT((nNIA=Y613)*(nCUENTA=1)*(COUNTIF(CONFIG_ASIGNATURAS!$B$7:$B$27,nASIG)&gt;0)*1),"")))</f>
        <v/>
      </c>
      <c r="AF613" t="str">
        <f>IF(AE613="","",IF(AE613="[FÓRMULA MANUAL]","",IFERROR(AVERAGEIFS(nNOTA,nNIA,AE613,nCUENTA,1,nASIG,"Análisis"),"")))</f>
        <v/>
      </c>
      <c r="AG613" t="str">
        <f>IF(AE613="","",IF(AE613="[FÓRMULA MANUAL]","",IFERROR(AVERAGEIFS(nNOTA,nNIA,AE613,nCUENTA,1,nASIG,"Orquesta/Banda/Conjunto"),"")))</f>
        <v/>
      </c>
      <c r="AH613" t="str">
        <f>IF(AE613="","",IF(AE613="[FÓRMULA MANUAL]","",IFERROR(AVERAGEIFS(nNOTA,nNIA,AE613,nCUENTA,1,nASIG,"Música de Cámara"),"")))</f>
        <v/>
      </c>
      <c r="AI613" t="str">
        <f>IF(AE613="","",IF(AE613="[FÓRMULA MANUAL]","",IFERROR(SUMPRODUCT((nNIA=AE613)*(nCUENTA=1)*(COUNTIF(CONFIG_ASIGNATURAS!$B$7:$B$27,nASIG)&gt;0)*(nNOTA))/SUMPRODUCT((nNIA=AE613)*(nCUENTA=1)*(COUNTIF(CONFIG_ASIGNATURAS!$B$7:$B$27,nASIG)&gt;0)*1),"")))</f>
        <v/>
      </c>
    </row>
    <row r="614" spans="2:35" x14ac:dyDescent="0.2">
      <c r="B614" t="str">
        <f>IF(A614="","",IF(A614="[FÓRMULA MANUAL]","",IFERROR(AVERAGEIFS(nNOTA,nNIA,A614,nCUENTA,1,nASIG,"Lenguaje Musical"),"")))</f>
        <v/>
      </c>
      <c r="C614" t="str">
        <f>IF(A614="","",IF(A614="[FÓRMULA MANUAL]","",IFERROR(AVERAGEIFS(nNOTA,nNIA,A614,nCUENTA,1,nASIG,"Orquesta/Banda/Conjunto"),"")))</f>
        <v/>
      </c>
      <c r="D614" t="str">
        <f>IF(A614="","",IF(A614="[FÓRMULA MANUAL]","",IFERROR(AVERAGEIFS(nNOTA,nNIA,A614,nCUENTA,1,nASIG,"Conjunto"),"")))</f>
        <v/>
      </c>
      <c r="E614" t="str">
        <f>IF(A614="","",IF(A614="[FÓRMULA MANUAL]","",IFERROR(SUMPRODUCT((nNIA=A614)*(nCUENTA=1)*(COUNTIF(CONFIG_ASIGNATURAS!$B$7:$B$27,nASIG)&gt;0)*(nNOTA))/SUMPRODUCT((nNIA=A614)*(nCUENTA=1)*(COUNTIF(CONFIG_ASIGNATURAS!$B$7:$B$27,nASIG)&gt;0)*1),"")))</f>
        <v/>
      </c>
      <c r="H614" t="str">
        <f>IF(G614="","",IF(G614="[FÓRMULA MANUAL]","",IFERROR(AVERAGEIFS(nNOTA,nNIA,G614,nCUENTA,1,nASIG,"Lenguaje Musical"),"")))</f>
        <v/>
      </c>
      <c r="I614" t="str">
        <f>IF(G614="","",IF(G614="[FÓRMULA MANUAL]","",IFERROR(AVERAGEIFS(nNOTA,nNIA,G614,nCUENTA,1,nASIG,"Orquesta/Banda/Conjunto"),"")))</f>
        <v/>
      </c>
      <c r="J614" t="str">
        <f>IF(G614="","",IF(G614="[FÓRMULA MANUAL]","",IFERROR(AVERAGEIFS(nNOTA,nNIA,G614,nCUENTA,1,nASIG,"Conjunto"),"")))</f>
        <v/>
      </c>
      <c r="K614" t="str">
        <f>IF(G614="","",IF(G614="[FÓRMULA MANUAL]","",IFERROR(SUMPRODUCT((nNIA=G614)*(nCUENTA=1)*(COUNTIF(CONFIG_ASIGNATURAS!$B$7:$B$27,nASIG)&gt;0)*(nNOTA))/SUMPRODUCT((nNIA=G614)*(nCUENTA=1)*(COUNTIF(CONFIG_ASIGNATURAS!$B$7:$B$27,nASIG)&gt;0)*1),"")))</f>
        <v/>
      </c>
      <c r="N614" t="str">
        <f>IF(M614="","",IF(M614="[FÓRMULA MANUAL]","",IFERROR(AVERAGEIFS(nNOTA,nNIA,M614,nCUENTA,1,nASIG,"Armonía"),"")))</f>
        <v/>
      </c>
      <c r="O614" t="str">
        <f>IF(M614="","",IF(M614="[FÓRMULA MANUAL]","",IFERROR(AVERAGEIFS(nNOTA,nNIA,M614,nCUENTA,1,nASIG,"Orquesta/Banda/Conjunto"),"")))</f>
        <v/>
      </c>
      <c r="P614" t="str">
        <f>IF(M614="","",IF(M614="[FÓRMULA MANUAL]","",IFERROR(AVERAGEIFS(nNOTA,nNIA,M614,nCUENTA,1,nASIG,"Música de Cámara"),"")))</f>
        <v/>
      </c>
      <c r="Q614" t="str">
        <f>IF(M614="","",IF(M614="[FÓRMULA MANUAL]","",IFERROR(SUMPRODUCT((nNIA=M614)*(nCUENTA=1)*(COUNTIF(CONFIG_ASIGNATURAS!$B$7:$B$27,nASIG)&gt;0)*(nNOTA))/SUMPRODUCT((nNIA=M614)*(nCUENTA=1)*(COUNTIF(CONFIG_ASIGNATURAS!$B$7:$B$27,nASIG)&gt;0)*1),"")))</f>
        <v/>
      </c>
      <c r="T614" t="str">
        <f>IF(S614="","",IF(S614="[FÓRMULA MANUAL]","",IFERROR(AVERAGEIFS(nNOTA,nNIA,S614,nCUENTA,1,nASIG,"Armonía"),"")))</f>
        <v/>
      </c>
      <c r="U614" t="str">
        <f>IF(S614="","",IF(S614="[FÓRMULA MANUAL]","",IFERROR(AVERAGEIFS(nNOTA,nNIA,S614,nCUENTA,1,nASIG,"Orquesta/Banda/Conjunto"),"")))</f>
        <v/>
      </c>
      <c r="V614" t="str">
        <f>IF(S614="","",IF(S614="[FÓRMULA MANUAL]","",IFERROR(AVERAGEIFS(nNOTA,nNIA,S614,nCUENTA,1,nASIG,"Música de Cámara"),"")))</f>
        <v/>
      </c>
      <c r="W614" t="str">
        <f>IF(S614="","",IF(S614="[FÓRMULA MANUAL]","",IFERROR(SUMPRODUCT((nNIA=S614)*(nCUENTA=1)*(COUNTIF(CONFIG_ASIGNATURAS!$B$7:$B$27,nASIG)&gt;0)*(nNOTA))/SUMPRODUCT((nNIA=S614)*(nCUENTA=1)*(COUNTIF(CONFIG_ASIGNATURAS!$B$7:$B$27,nASIG)&gt;0)*1),"")))</f>
        <v/>
      </c>
      <c r="Z614" t="str">
        <f>IF(Y614="","",IF(Y614="[FÓRMULA MANUAL]","",IFERROR(AVERAGEIFS(nNOTA,nNIA,Y614,nCUENTA,1,nASIG,"Análisis"),"")))</f>
        <v/>
      </c>
      <c r="AA614" t="str">
        <f>IF(Y614="","",IF(Y614="[FÓRMULA MANUAL]","",IFERROR(AVERAGEIFS(nNOTA,nNIA,Y614,nCUENTA,1,nASIG,"Orquesta/Banda/Conjunto"),"")))</f>
        <v/>
      </c>
      <c r="AB614" t="str">
        <f>IF(Y614="","",IF(Y614="[FÓRMULA MANUAL]","",IFERROR(AVERAGEIFS(nNOTA,nNIA,Y614,nCUENTA,1,nASIG,"Música de Cámara"),"")))</f>
        <v/>
      </c>
      <c r="AC614" t="str">
        <f>IF(Y614="","",IF(Y614="[FÓRMULA MANUAL]","",IFERROR(SUMPRODUCT((nNIA=Y614)*(nCUENTA=1)*(COUNTIF(CONFIG_ASIGNATURAS!$B$7:$B$27,nASIG)&gt;0)*(nNOTA))/SUMPRODUCT((nNIA=Y614)*(nCUENTA=1)*(COUNTIF(CONFIG_ASIGNATURAS!$B$7:$B$27,nASIG)&gt;0)*1),"")))</f>
        <v/>
      </c>
      <c r="AF614" t="str">
        <f>IF(AE614="","",IF(AE614="[FÓRMULA MANUAL]","",IFERROR(AVERAGEIFS(nNOTA,nNIA,AE614,nCUENTA,1,nASIG,"Análisis"),"")))</f>
        <v/>
      </c>
      <c r="AG614" t="str">
        <f>IF(AE614="","",IF(AE614="[FÓRMULA MANUAL]","",IFERROR(AVERAGEIFS(nNOTA,nNIA,AE614,nCUENTA,1,nASIG,"Orquesta/Banda/Conjunto"),"")))</f>
        <v/>
      </c>
      <c r="AH614" t="str">
        <f>IF(AE614="","",IF(AE614="[FÓRMULA MANUAL]","",IFERROR(AVERAGEIFS(nNOTA,nNIA,AE614,nCUENTA,1,nASIG,"Música de Cámara"),"")))</f>
        <v/>
      </c>
      <c r="AI614" t="str">
        <f>IF(AE614="","",IF(AE614="[FÓRMULA MANUAL]","",IFERROR(SUMPRODUCT((nNIA=AE614)*(nCUENTA=1)*(COUNTIF(CONFIG_ASIGNATURAS!$B$7:$B$27,nASIG)&gt;0)*(nNOTA))/SUMPRODUCT((nNIA=AE614)*(nCUENTA=1)*(COUNTIF(CONFIG_ASIGNATURAS!$B$7:$B$27,nASIG)&gt;0)*1),"")))</f>
        <v/>
      </c>
    </row>
    <row r="615" spans="2:35" x14ac:dyDescent="0.2">
      <c r="B615" t="str">
        <f>IF(A615="","",IF(A615="[FÓRMULA MANUAL]","",IFERROR(AVERAGEIFS(nNOTA,nNIA,A615,nCUENTA,1,nASIG,"Lenguaje Musical"),"")))</f>
        <v/>
      </c>
      <c r="C615" t="str">
        <f>IF(A615="","",IF(A615="[FÓRMULA MANUAL]","",IFERROR(AVERAGEIFS(nNOTA,nNIA,A615,nCUENTA,1,nASIG,"Orquesta/Banda/Conjunto"),"")))</f>
        <v/>
      </c>
      <c r="D615" t="str">
        <f>IF(A615="","",IF(A615="[FÓRMULA MANUAL]","",IFERROR(AVERAGEIFS(nNOTA,nNIA,A615,nCUENTA,1,nASIG,"Conjunto"),"")))</f>
        <v/>
      </c>
      <c r="E615" t="str">
        <f>IF(A615="","",IF(A615="[FÓRMULA MANUAL]","",IFERROR(SUMPRODUCT((nNIA=A615)*(nCUENTA=1)*(COUNTIF(CONFIG_ASIGNATURAS!$B$7:$B$27,nASIG)&gt;0)*(nNOTA))/SUMPRODUCT((nNIA=A615)*(nCUENTA=1)*(COUNTIF(CONFIG_ASIGNATURAS!$B$7:$B$27,nASIG)&gt;0)*1),"")))</f>
        <v/>
      </c>
      <c r="H615" t="str">
        <f>IF(G615="","",IF(G615="[FÓRMULA MANUAL]","",IFERROR(AVERAGEIFS(nNOTA,nNIA,G615,nCUENTA,1,nASIG,"Lenguaje Musical"),"")))</f>
        <v/>
      </c>
      <c r="I615" t="str">
        <f>IF(G615="","",IF(G615="[FÓRMULA MANUAL]","",IFERROR(AVERAGEIFS(nNOTA,nNIA,G615,nCUENTA,1,nASIG,"Orquesta/Banda/Conjunto"),"")))</f>
        <v/>
      </c>
      <c r="J615" t="str">
        <f>IF(G615="","",IF(G615="[FÓRMULA MANUAL]","",IFERROR(AVERAGEIFS(nNOTA,nNIA,G615,nCUENTA,1,nASIG,"Conjunto"),"")))</f>
        <v/>
      </c>
      <c r="K615" t="str">
        <f>IF(G615="","",IF(G615="[FÓRMULA MANUAL]","",IFERROR(SUMPRODUCT((nNIA=G615)*(nCUENTA=1)*(COUNTIF(CONFIG_ASIGNATURAS!$B$7:$B$27,nASIG)&gt;0)*(nNOTA))/SUMPRODUCT((nNIA=G615)*(nCUENTA=1)*(COUNTIF(CONFIG_ASIGNATURAS!$B$7:$B$27,nASIG)&gt;0)*1),"")))</f>
        <v/>
      </c>
      <c r="N615" t="str">
        <f>IF(M615="","",IF(M615="[FÓRMULA MANUAL]","",IFERROR(AVERAGEIFS(nNOTA,nNIA,M615,nCUENTA,1,nASIG,"Armonía"),"")))</f>
        <v/>
      </c>
      <c r="O615" t="str">
        <f>IF(M615="","",IF(M615="[FÓRMULA MANUAL]","",IFERROR(AVERAGEIFS(nNOTA,nNIA,M615,nCUENTA,1,nASIG,"Orquesta/Banda/Conjunto"),"")))</f>
        <v/>
      </c>
      <c r="P615" t="str">
        <f>IF(M615="","",IF(M615="[FÓRMULA MANUAL]","",IFERROR(AVERAGEIFS(nNOTA,nNIA,M615,nCUENTA,1,nASIG,"Música de Cámara"),"")))</f>
        <v/>
      </c>
      <c r="Q615" t="str">
        <f>IF(M615="","",IF(M615="[FÓRMULA MANUAL]","",IFERROR(SUMPRODUCT((nNIA=M615)*(nCUENTA=1)*(COUNTIF(CONFIG_ASIGNATURAS!$B$7:$B$27,nASIG)&gt;0)*(nNOTA))/SUMPRODUCT((nNIA=M615)*(nCUENTA=1)*(COUNTIF(CONFIG_ASIGNATURAS!$B$7:$B$27,nASIG)&gt;0)*1),"")))</f>
        <v/>
      </c>
      <c r="T615" t="str">
        <f>IF(S615="","",IF(S615="[FÓRMULA MANUAL]","",IFERROR(AVERAGEIFS(nNOTA,nNIA,S615,nCUENTA,1,nASIG,"Armonía"),"")))</f>
        <v/>
      </c>
      <c r="U615" t="str">
        <f>IF(S615="","",IF(S615="[FÓRMULA MANUAL]","",IFERROR(AVERAGEIFS(nNOTA,nNIA,S615,nCUENTA,1,nASIG,"Orquesta/Banda/Conjunto"),"")))</f>
        <v/>
      </c>
      <c r="V615" t="str">
        <f>IF(S615="","",IF(S615="[FÓRMULA MANUAL]","",IFERROR(AVERAGEIFS(nNOTA,nNIA,S615,nCUENTA,1,nASIG,"Música de Cámara"),"")))</f>
        <v/>
      </c>
      <c r="W615" t="str">
        <f>IF(S615="","",IF(S615="[FÓRMULA MANUAL]","",IFERROR(SUMPRODUCT((nNIA=S615)*(nCUENTA=1)*(COUNTIF(CONFIG_ASIGNATURAS!$B$7:$B$27,nASIG)&gt;0)*(nNOTA))/SUMPRODUCT((nNIA=S615)*(nCUENTA=1)*(COUNTIF(CONFIG_ASIGNATURAS!$B$7:$B$27,nASIG)&gt;0)*1),"")))</f>
        <v/>
      </c>
      <c r="Z615" t="str">
        <f>IF(Y615="","",IF(Y615="[FÓRMULA MANUAL]","",IFERROR(AVERAGEIFS(nNOTA,nNIA,Y615,nCUENTA,1,nASIG,"Análisis"),"")))</f>
        <v/>
      </c>
      <c r="AA615" t="str">
        <f>IF(Y615="","",IF(Y615="[FÓRMULA MANUAL]","",IFERROR(AVERAGEIFS(nNOTA,nNIA,Y615,nCUENTA,1,nASIG,"Orquesta/Banda/Conjunto"),"")))</f>
        <v/>
      </c>
      <c r="AB615" t="str">
        <f>IF(Y615="","",IF(Y615="[FÓRMULA MANUAL]","",IFERROR(AVERAGEIFS(nNOTA,nNIA,Y615,nCUENTA,1,nASIG,"Música de Cámara"),"")))</f>
        <v/>
      </c>
      <c r="AC615" t="str">
        <f>IF(Y615="","",IF(Y615="[FÓRMULA MANUAL]","",IFERROR(SUMPRODUCT((nNIA=Y615)*(nCUENTA=1)*(COUNTIF(CONFIG_ASIGNATURAS!$B$7:$B$27,nASIG)&gt;0)*(nNOTA))/SUMPRODUCT((nNIA=Y615)*(nCUENTA=1)*(COUNTIF(CONFIG_ASIGNATURAS!$B$7:$B$27,nASIG)&gt;0)*1),"")))</f>
        <v/>
      </c>
      <c r="AF615" t="str">
        <f>IF(AE615="","",IF(AE615="[FÓRMULA MANUAL]","",IFERROR(AVERAGEIFS(nNOTA,nNIA,AE615,nCUENTA,1,nASIG,"Análisis"),"")))</f>
        <v/>
      </c>
      <c r="AG615" t="str">
        <f>IF(AE615="","",IF(AE615="[FÓRMULA MANUAL]","",IFERROR(AVERAGEIFS(nNOTA,nNIA,AE615,nCUENTA,1,nASIG,"Orquesta/Banda/Conjunto"),"")))</f>
        <v/>
      </c>
      <c r="AH615" t="str">
        <f>IF(AE615="","",IF(AE615="[FÓRMULA MANUAL]","",IFERROR(AVERAGEIFS(nNOTA,nNIA,AE615,nCUENTA,1,nASIG,"Música de Cámara"),"")))</f>
        <v/>
      </c>
      <c r="AI615" t="str">
        <f>IF(AE615="","",IF(AE615="[FÓRMULA MANUAL]","",IFERROR(SUMPRODUCT((nNIA=AE615)*(nCUENTA=1)*(COUNTIF(CONFIG_ASIGNATURAS!$B$7:$B$27,nASIG)&gt;0)*(nNOTA))/SUMPRODUCT((nNIA=AE615)*(nCUENTA=1)*(COUNTIF(CONFIG_ASIGNATURAS!$B$7:$B$27,nASIG)&gt;0)*1),"")))</f>
        <v/>
      </c>
    </row>
    <row r="616" spans="2:35" x14ac:dyDescent="0.2">
      <c r="B616" t="str">
        <f>IF(A616="","",IF(A616="[FÓRMULA MANUAL]","",IFERROR(AVERAGEIFS(nNOTA,nNIA,A616,nCUENTA,1,nASIG,"Lenguaje Musical"),"")))</f>
        <v/>
      </c>
      <c r="C616" t="str">
        <f>IF(A616="","",IF(A616="[FÓRMULA MANUAL]","",IFERROR(AVERAGEIFS(nNOTA,nNIA,A616,nCUENTA,1,nASIG,"Orquesta/Banda/Conjunto"),"")))</f>
        <v/>
      </c>
      <c r="D616" t="str">
        <f>IF(A616="","",IF(A616="[FÓRMULA MANUAL]","",IFERROR(AVERAGEIFS(nNOTA,nNIA,A616,nCUENTA,1,nASIG,"Conjunto"),"")))</f>
        <v/>
      </c>
      <c r="E616" t="str">
        <f>IF(A616="","",IF(A616="[FÓRMULA MANUAL]","",IFERROR(SUMPRODUCT((nNIA=A616)*(nCUENTA=1)*(COUNTIF(CONFIG_ASIGNATURAS!$B$7:$B$27,nASIG)&gt;0)*(nNOTA))/SUMPRODUCT((nNIA=A616)*(nCUENTA=1)*(COUNTIF(CONFIG_ASIGNATURAS!$B$7:$B$27,nASIG)&gt;0)*1),"")))</f>
        <v/>
      </c>
      <c r="H616" t="str">
        <f>IF(G616="","",IF(G616="[FÓRMULA MANUAL]","",IFERROR(AVERAGEIFS(nNOTA,nNIA,G616,nCUENTA,1,nASIG,"Lenguaje Musical"),"")))</f>
        <v/>
      </c>
      <c r="I616" t="str">
        <f>IF(G616="","",IF(G616="[FÓRMULA MANUAL]","",IFERROR(AVERAGEIFS(nNOTA,nNIA,G616,nCUENTA,1,nASIG,"Orquesta/Banda/Conjunto"),"")))</f>
        <v/>
      </c>
      <c r="J616" t="str">
        <f>IF(G616="","",IF(G616="[FÓRMULA MANUAL]","",IFERROR(AVERAGEIFS(nNOTA,nNIA,G616,nCUENTA,1,nASIG,"Conjunto"),"")))</f>
        <v/>
      </c>
      <c r="K616" t="str">
        <f>IF(G616="","",IF(G616="[FÓRMULA MANUAL]","",IFERROR(SUMPRODUCT((nNIA=G616)*(nCUENTA=1)*(COUNTIF(CONFIG_ASIGNATURAS!$B$7:$B$27,nASIG)&gt;0)*(nNOTA))/SUMPRODUCT((nNIA=G616)*(nCUENTA=1)*(COUNTIF(CONFIG_ASIGNATURAS!$B$7:$B$27,nASIG)&gt;0)*1),"")))</f>
        <v/>
      </c>
      <c r="N616" t="str">
        <f>IF(M616="","",IF(M616="[FÓRMULA MANUAL]","",IFERROR(AVERAGEIFS(nNOTA,nNIA,M616,nCUENTA,1,nASIG,"Armonía"),"")))</f>
        <v/>
      </c>
      <c r="O616" t="str">
        <f>IF(M616="","",IF(M616="[FÓRMULA MANUAL]","",IFERROR(AVERAGEIFS(nNOTA,nNIA,M616,nCUENTA,1,nASIG,"Orquesta/Banda/Conjunto"),"")))</f>
        <v/>
      </c>
      <c r="P616" t="str">
        <f>IF(M616="","",IF(M616="[FÓRMULA MANUAL]","",IFERROR(AVERAGEIFS(nNOTA,nNIA,M616,nCUENTA,1,nASIG,"Música de Cámara"),"")))</f>
        <v/>
      </c>
      <c r="Q616" t="str">
        <f>IF(M616="","",IF(M616="[FÓRMULA MANUAL]","",IFERROR(SUMPRODUCT((nNIA=M616)*(nCUENTA=1)*(COUNTIF(CONFIG_ASIGNATURAS!$B$7:$B$27,nASIG)&gt;0)*(nNOTA))/SUMPRODUCT((nNIA=M616)*(nCUENTA=1)*(COUNTIF(CONFIG_ASIGNATURAS!$B$7:$B$27,nASIG)&gt;0)*1),"")))</f>
        <v/>
      </c>
      <c r="T616" t="str">
        <f>IF(S616="","",IF(S616="[FÓRMULA MANUAL]","",IFERROR(AVERAGEIFS(nNOTA,nNIA,S616,nCUENTA,1,nASIG,"Armonía"),"")))</f>
        <v/>
      </c>
      <c r="U616" t="str">
        <f>IF(S616="","",IF(S616="[FÓRMULA MANUAL]","",IFERROR(AVERAGEIFS(nNOTA,nNIA,S616,nCUENTA,1,nASIG,"Orquesta/Banda/Conjunto"),"")))</f>
        <v/>
      </c>
      <c r="V616" t="str">
        <f>IF(S616="","",IF(S616="[FÓRMULA MANUAL]","",IFERROR(AVERAGEIFS(nNOTA,nNIA,S616,nCUENTA,1,nASIG,"Música de Cámara"),"")))</f>
        <v/>
      </c>
      <c r="W616" t="str">
        <f>IF(S616="","",IF(S616="[FÓRMULA MANUAL]","",IFERROR(SUMPRODUCT((nNIA=S616)*(nCUENTA=1)*(COUNTIF(CONFIG_ASIGNATURAS!$B$7:$B$27,nASIG)&gt;0)*(nNOTA))/SUMPRODUCT((nNIA=S616)*(nCUENTA=1)*(COUNTIF(CONFIG_ASIGNATURAS!$B$7:$B$27,nASIG)&gt;0)*1),"")))</f>
        <v/>
      </c>
      <c r="Z616" t="str">
        <f>IF(Y616="","",IF(Y616="[FÓRMULA MANUAL]","",IFERROR(AVERAGEIFS(nNOTA,nNIA,Y616,nCUENTA,1,nASIG,"Análisis"),"")))</f>
        <v/>
      </c>
      <c r="AA616" t="str">
        <f>IF(Y616="","",IF(Y616="[FÓRMULA MANUAL]","",IFERROR(AVERAGEIFS(nNOTA,nNIA,Y616,nCUENTA,1,nASIG,"Orquesta/Banda/Conjunto"),"")))</f>
        <v/>
      </c>
      <c r="AB616" t="str">
        <f>IF(Y616="","",IF(Y616="[FÓRMULA MANUAL]","",IFERROR(AVERAGEIFS(nNOTA,nNIA,Y616,nCUENTA,1,nASIG,"Música de Cámara"),"")))</f>
        <v/>
      </c>
      <c r="AC616" t="str">
        <f>IF(Y616="","",IF(Y616="[FÓRMULA MANUAL]","",IFERROR(SUMPRODUCT((nNIA=Y616)*(nCUENTA=1)*(COUNTIF(CONFIG_ASIGNATURAS!$B$7:$B$27,nASIG)&gt;0)*(nNOTA))/SUMPRODUCT((nNIA=Y616)*(nCUENTA=1)*(COUNTIF(CONFIG_ASIGNATURAS!$B$7:$B$27,nASIG)&gt;0)*1),"")))</f>
        <v/>
      </c>
      <c r="AF616" t="str">
        <f>IF(AE616="","",IF(AE616="[FÓRMULA MANUAL]","",IFERROR(AVERAGEIFS(nNOTA,nNIA,AE616,nCUENTA,1,nASIG,"Análisis"),"")))</f>
        <v/>
      </c>
      <c r="AG616" t="str">
        <f>IF(AE616="","",IF(AE616="[FÓRMULA MANUAL]","",IFERROR(AVERAGEIFS(nNOTA,nNIA,AE616,nCUENTA,1,nASIG,"Orquesta/Banda/Conjunto"),"")))</f>
        <v/>
      </c>
      <c r="AH616" t="str">
        <f>IF(AE616="","",IF(AE616="[FÓRMULA MANUAL]","",IFERROR(AVERAGEIFS(nNOTA,nNIA,AE616,nCUENTA,1,nASIG,"Música de Cámara"),"")))</f>
        <v/>
      </c>
      <c r="AI616" t="str">
        <f>IF(AE616="","",IF(AE616="[FÓRMULA MANUAL]","",IFERROR(SUMPRODUCT((nNIA=AE616)*(nCUENTA=1)*(COUNTIF(CONFIG_ASIGNATURAS!$B$7:$B$27,nASIG)&gt;0)*(nNOTA))/SUMPRODUCT((nNIA=AE616)*(nCUENTA=1)*(COUNTIF(CONFIG_ASIGNATURAS!$B$7:$B$27,nASIG)&gt;0)*1),"")))</f>
        <v/>
      </c>
    </row>
    <row r="617" spans="2:35" x14ac:dyDescent="0.2">
      <c r="B617" t="str">
        <f>IF(A617="","",IF(A617="[FÓRMULA MANUAL]","",IFERROR(AVERAGEIFS(nNOTA,nNIA,A617,nCUENTA,1,nASIG,"Lenguaje Musical"),"")))</f>
        <v/>
      </c>
      <c r="C617" t="str">
        <f>IF(A617="","",IF(A617="[FÓRMULA MANUAL]","",IFERROR(AVERAGEIFS(nNOTA,nNIA,A617,nCUENTA,1,nASIG,"Orquesta/Banda/Conjunto"),"")))</f>
        <v/>
      </c>
      <c r="D617" t="str">
        <f>IF(A617="","",IF(A617="[FÓRMULA MANUAL]","",IFERROR(AVERAGEIFS(nNOTA,nNIA,A617,nCUENTA,1,nASIG,"Conjunto"),"")))</f>
        <v/>
      </c>
      <c r="E617" t="str">
        <f>IF(A617="","",IF(A617="[FÓRMULA MANUAL]","",IFERROR(SUMPRODUCT((nNIA=A617)*(nCUENTA=1)*(COUNTIF(CONFIG_ASIGNATURAS!$B$7:$B$27,nASIG)&gt;0)*(nNOTA))/SUMPRODUCT((nNIA=A617)*(nCUENTA=1)*(COUNTIF(CONFIG_ASIGNATURAS!$B$7:$B$27,nASIG)&gt;0)*1),"")))</f>
        <v/>
      </c>
      <c r="H617" t="str">
        <f>IF(G617="","",IF(G617="[FÓRMULA MANUAL]","",IFERROR(AVERAGEIFS(nNOTA,nNIA,G617,nCUENTA,1,nASIG,"Lenguaje Musical"),"")))</f>
        <v/>
      </c>
      <c r="I617" t="str">
        <f>IF(G617="","",IF(G617="[FÓRMULA MANUAL]","",IFERROR(AVERAGEIFS(nNOTA,nNIA,G617,nCUENTA,1,nASIG,"Orquesta/Banda/Conjunto"),"")))</f>
        <v/>
      </c>
      <c r="J617" t="str">
        <f>IF(G617="","",IF(G617="[FÓRMULA MANUAL]","",IFERROR(AVERAGEIFS(nNOTA,nNIA,G617,nCUENTA,1,nASIG,"Conjunto"),"")))</f>
        <v/>
      </c>
      <c r="K617" t="str">
        <f>IF(G617="","",IF(G617="[FÓRMULA MANUAL]","",IFERROR(SUMPRODUCT((nNIA=G617)*(nCUENTA=1)*(COUNTIF(CONFIG_ASIGNATURAS!$B$7:$B$27,nASIG)&gt;0)*(nNOTA))/SUMPRODUCT((nNIA=G617)*(nCUENTA=1)*(COUNTIF(CONFIG_ASIGNATURAS!$B$7:$B$27,nASIG)&gt;0)*1),"")))</f>
        <v/>
      </c>
      <c r="N617" t="str">
        <f>IF(M617="","",IF(M617="[FÓRMULA MANUAL]","",IFERROR(AVERAGEIFS(nNOTA,nNIA,M617,nCUENTA,1,nASIG,"Armonía"),"")))</f>
        <v/>
      </c>
      <c r="O617" t="str">
        <f>IF(M617="","",IF(M617="[FÓRMULA MANUAL]","",IFERROR(AVERAGEIFS(nNOTA,nNIA,M617,nCUENTA,1,nASIG,"Orquesta/Banda/Conjunto"),"")))</f>
        <v/>
      </c>
      <c r="P617" t="str">
        <f>IF(M617="","",IF(M617="[FÓRMULA MANUAL]","",IFERROR(AVERAGEIFS(nNOTA,nNIA,M617,nCUENTA,1,nASIG,"Música de Cámara"),"")))</f>
        <v/>
      </c>
      <c r="Q617" t="str">
        <f>IF(M617="","",IF(M617="[FÓRMULA MANUAL]","",IFERROR(SUMPRODUCT((nNIA=M617)*(nCUENTA=1)*(COUNTIF(CONFIG_ASIGNATURAS!$B$7:$B$27,nASIG)&gt;0)*(nNOTA))/SUMPRODUCT((nNIA=M617)*(nCUENTA=1)*(COUNTIF(CONFIG_ASIGNATURAS!$B$7:$B$27,nASIG)&gt;0)*1),"")))</f>
        <v/>
      </c>
      <c r="T617" t="str">
        <f>IF(S617="","",IF(S617="[FÓRMULA MANUAL]","",IFERROR(AVERAGEIFS(nNOTA,nNIA,S617,nCUENTA,1,nASIG,"Armonía"),"")))</f>
        <v/>
      </c>
      <c r="U617" t="str">
        <f>IF(S617="","",IF(S617="[FÓRMULA MANUAL]","",IFERROR(AVERAGEIFS(nNOTA,nNIA,S617,nCUENTA,1,nASIG,"Orquesta/Banda/Conjunto"),"")))</f>
        <v/>
      </c>
      <c r="V617" t="str">
        <f>IF(S617="","",IF(S617="[FÓRMULA MANUAL]","",IFERROR(AVERAGEIFS(nNOTA,nNIA,S617,nCUENTA,1,nASIG,"Música de Cámara"),"")))</f>
        <v/>
      </c>
      <c r="W617" t="str">
        <f>IF(S617="","",IF(S617="[FÓRMULA MANUAL]","",IFERROR(SUMPRODUCT((nNIA=S617)*(nCUENTA=1)*(COUNTIF(CONFIG_ASIGNATURAS!$B$7:$B$27,nASIG)&gt;0)*(nNOTA))/SUMPRODUCT((nNIA=S617)*(nCUENTA=1)*(COUNTIF(CONFIG_ASIGNATURAS!$B$7:$B$27,nASIG)&gt;0)*1),"")))</f>
        <v/>
      </c>
      <c r="Z617" t="str">
        <f>IF(Y617="","",IF(Y617="[FÓRMULA MANUAL]","",IFERROR(AVERAGEIFS(nNOTA,nNIA,Y617,nCUENTA,1,nASIG,"Análisis"),"")))</f>
        <v/>
      </c>
      <c r="AA617" t="str">
        <f>IF(Y617="","",IF(Y617="[FÓRMULA MANUAL]","",IFERROR(AVERAGEIFS(nNOTA,nNIA,Y617,nCUENTA,1,nASIG,"Orquesta/Banda/Conjunto"),"")))</f>
        <v/>
      </c>
      <c r="AB617" t="str">
        <f>IF(Y617="","",IF(Y617="[FÓRMULA MANUAL]","",IFERROR(AVERAGEIFS(nNOTA,nNIA,Y617,nCUENTA,1,nASIG,"Música de Cámara"),"")))</f>
        <v/>
      </c>
      <c r="AC617" t="str">
        <f>IF(Y617="","",IF(Y617="[FÓRMULA MANUAL]","",IFERROR(SUMPRODUCT((nNIA=Y617)*(nCUENTA=1)*(COUNTIF(CONFIG_ASIGNATURAS!$B$7:$B$27,nASIG)&gt;0)*(nNOTA))/SUMPRODUCT((nNIA=Y617)*(nCUENTA=1)*(COUNTIF(CONFIG_ASIGNATURAS!$B$7:$B$27,nASIG)&gt;0)*1),"")))</f>
        <v/>
      </c>
      <c r="AF617" t="str">
        <f>IF(AE617="","",IF(AE617="[FÓRMULA MANUAL]","",IFERROR(AVERAGEIFS(nNOTA,nNIA,AE617,nCUENTA,1,nASIG,"Análisis"),"")))</f>
        <v/>
      </c>
      <c r="AG617" t="str">
        <f>IF(AE617="","",IF(AE617="[FÓRMULA MANUAL]","",IFERROR(AVERAGEIFS(nNOTA,nNIA,AE617,nCUENTA,1,nASIG,"Orquesta/Banda/Conjunto"),"")))</f>
        <v/>
      </c>
      <c r="AH617" t="str">
        <f>IF(AE617="","",IF(AE617="[FÓRMULA MANUAL]","",IFERROR(AVERAGEIFS(nNOTA,nNIA,AE617,nCUENTA,1,nASIG,"Música de Cámara"),"")))</f>
        <v/>
      </c>
      <c r="AI617" t="str">
        <f>IF(AE617="","",IF(AE617="[FÓRMULA MANUAL]","",IFERROR(SUMPRODUCT((nNIA=AE617)*(nCUENTA=1)*(COUNTIF(CONFIG_ASIGNATURAS!$B$7:$B$27,nASIG)&gt;0)*(nNOTA))/SUMPRODUCT((nNIA=AE617)*(nCUENTA=1)*(COUNTIF(CONFIG_ASIGNATURAS!$B$7:$B$27,nASIG)&gt;0)*1),"")))</f>
        <v/>
      </c>
    </row>
    <row r="618" spans="2:35" x14ac:dyDescent="0.2">
      <c r="B618" t="str">
        <f>IF(A618="","",IF(A618="[FÓRMULA MANUAL]","",IFERROR(AVERAGEIFS(nNOTA,nNIA,A618,nCUENTA,1,nASIG,"Lenguaje Musical"),"")))</f>
        <v/>
      </c>
      <c r="C618" t="str">
        <f>IF(A618="","",IF(A618="[FÓRMULA MANUAL]","",IFERROR(AVERAGEIFS(nNOTA,nNIA,A618,nCUENTA,1,nASIG,"Orquesta/Banda/Conjunto"),"")))</f>
        <v/>
      </c>
      <c r="D618" t="str">
        <f>IF(A618="","",IF(A618="[FÓRMULA MANUAL]","",IFERROR(AVERAGEIFS(nNOTA,nNIA,A618,nCUENTA,1,nASIG,"Conjunto"),"")))</f>
        <v/>
      </c>
      <c r="E618" t="str">
        <f>IF(A618="","",IF(A618="[FÓRMULA MANUAL]","",IFERROR(SUMPRODUCT((nNIA=A618)*(nCUENTA=1)*(COUNTIF(CONFIG_ASIGNATURAS!$B$7:$B$27,nASIG)&gt;0)*(nNOTA))/SUMPRODUCT((nNIA=A618)*(nCUENTA=1)*(COUNTIF(CONFIG_ASIGNATURAS!$B$7:$B$27,nASIG)&gt;0)*1),"")))</f>
        <v/>
      </c>
      <c r="H618" t="str">
        <f>IF(G618="","",IF(G618="[FÓRMULA MANUAL]","",IFERROR(AVERAGEIFS(nNOTA,nNIA,G618,nCUENTA,1,nASIG,"Lenguaje Musical"),"")))</f>
        <v/>
      </c>
      <c r="I618" t="str">
        <f>IF(G618="","",IF(G618="[FÓRMULA MANUAL]","",IFERROR(AVERAGEIFS(nNOTA,nNIA,G618,nCUENTA,1,nASIG,"Orquesta/Banda/Conjunto"),"")))</f>
        <v/>
      </c>
      <c r="J618" t="str">
        <f>IF(G618="","",IF(G618="[FÓRMULA MANUAL]","",IFERROR(AVERAGEIFS(nNOTA,nNIA,G618,nCUENTA,1,nASIG,"Conjunto"),"")))</f>
        <v/>
      </c>
      <c r="K618" t="str">
        <f>IF(G618="","",IF(G618="[FÓRMULA MANUAL]","",IFERROR(SUMPRODUCT((nNIA=G618)*(nCUENTA=1)*(COUNTIF(CONFIG_ASIGNATURAS!$B$7:$B$27,nASIG)&gt;0)*(nNOTA))/SUMPRODUCT((nNIA=G618)*(nCUENTA=1)*(COUNTIF(CONFIG_ASIGNATURAS!$B$7:$B$27,nASIG)&gt;0)*1),"")))</f>
        <v/>
      </c>
      <c r="N618" t="str">
        <f>IF(M618="","",IF(M618="[FÓRMULA MANUAL]","",IFERROR(AVERAGEIFS(nNOTA,nNIA,M618,nCUENTA,1,nASIG,"Armonía"),"")))</f>
        <v/>
      </c>
      <c r="O618" t="str">
        <f>IF(M618="","",IF(M618="[FÓRMULA MANUAL]","",IFERROR(AVERAGEIFS(nNOTA,nNIA,M618,nCUENTA,1,nASIG,"Orquesta/Banda/Conjunto"),"")))</f>
        <v/>
      </c>
      <c r="P618" t="str">
        <f>IF(M618="","",IF(M618="[FÓRMULA MANUAL]","",IFERROR(AVERAGEIFS(nNOTA,nNIA,M618,nCUENTA,1,nASIG,"Música de Cámara"),"")))</f>
        <v/>
      </c>
      <c r="Q618" t="str">
        <f>IF(M618="","",IF(M618="[FÓRMULA MANUAL]","",IFERROR(SUMPRODUCT((nNIA=M618)*(nCUENTA=1)*(COUNTIF(CONFIG_ASIGNATURAS!$B$7:$B$27,nASIG)&gt;0)*(nNOTA))/SUMPRODUCT((nNIA=M618)*(nCUENTA=1)*(COUNTIF(CONFIG_ASIGNATURAS!$B$7:$B$27,nASIG)&gt;0)*1),"")))</f>
        <v/>
      </c>
      <c r="T618" t="str">
        <f>IF(S618="","",IF(S618="[FÓRMULA MANUAL]","",IFERROR(AVERAGEIFS(nNOTA,nNIA,S618,nCUENTA,1,nASIG,"Armonía"),"")))</f>
        <v/>
      </c>
      <c r="U618" t="str">
        <f>IF(S618="","",IF(S618="[FÓRMULA MANUAL]","",IFERROR(AVERAGEIFS(nNOTA,nNIA,S618,nCUENTA,1,nASIG,"Orquesta/Banda/Conjunto"),"")))</f>
        <v/>
      </c>
      <c r="V618" t="str">
        <f>IF(S618="","",IF(S618="[FÓRMULA MANUAL]","",IFERROR(AVERAGEIFS(nNOTA,nNIA,S618,nCUENTA,1,nASIG,"Música de Cámara"),"")))</f>
        <v/>
      </c>
      <c r="W618" t="str">
        <f>IF(S618="","",IF(S618="[FÓRMULA MANUAL]","",IFERROR(SUMPRODUCT((nNIA=S618)*(nCUENTA=1)*(COUNTIF(CONFIG_ASIGNATURAS!$B$7:$B$27,nASIG)&gt;0)*(nNOTA))/SUMPRODUCT((nNIA=S618)*(nCUENTA=1)*(COUNTIF(CONFIG_ASIGNATURAS!$B$7:$B$27,nASIG)&gt;0)*1),"")))</f>
        <v/>
      </c>
      <c r="Z618" t="str">
        <f>IF(Y618="","",IF(Y618="[FÓRMULA MANUAL]","",IFERROR(AVERAGEIFS(nNOTA,nNIA,Y618,nCUENTA,1,nASIG,"Análisis"),"")))</f>
        <v/>
      </c>
      <c r="AA618" t="str">
        <f>IF(Y618="","",IF(Y618="[FÓRMULA MANUAL]","",IFERROR(AVERAGEIFS(nNOTA,nNIA,Y618,nCUENTA,1,nASIG,"Orquesta/Banda/Conjunto"),"")))</f>
        <v/>
      </c>
      <c r="AB618" t="str">
        <f>IF(Y618="","",IF(Y618="[FÓRMULA MANUAL]","",IFERROR(AVERAGEIFS(nNOTA,nNIA,Y618,nCUENTA,1,nASIG,"Música de Cámara"),"")))</f>
        <v/>
      </c>
      <c r="AC618" t="str">
        <f>IF(Y618="","",IF(Y618="[FÓRMULA MANUAL]","",IFERROR(SUMPRODUCT((nNIA=Y618)*(nCUENTA=1)*(COUNTIF(CONFIG_ASIGNATURAS!$B$7:$B$27,nASIG)&gt;0)*(nNOTA))/SUMPRODUCT((nNIA=Y618)*(nCUENTA=1)*(COUNTIF(CONFIG_ASIGNATURAS!$B$7:$B$27,nASIG)&gt;0)*1),"")))</f>
        <v/>
      </c>
      <c r="AF618" t="str">
        <f>IF(AE618="","",IF(AE618="[FÓRMULA MANUAL]","",IFERROR(AVERAGEIFS(nNOTA,nNIA,AE618,nCUENTA,1,nASIG,"Análisis"),"")))</f>
        <v/>
      </c>
      <c r="AG618" t="str">
        <f>IF(AE618="","",IF(AE618="[FÓRMULA MANUAL]","",IFERROR(AVERAGEIFS(nNOTA,nNIA,AE618,nCUENTA,1,nASIG,"Orquesta/Banda/Conjunto"),"")))</f>
        <v/>
      </c>
      <c r="AH618" t="str">
        <f>IF(AE618="","",IF(AE618="[FÓRMULA MANUAL]","",IFERROR(AVERAGEIFS(nNOTA,nNIA,AE618,nCUENTA,1,nASIG,"Música de Cámara"),"")))</f>
        <v/>
      </c>
      <c r="AI618" t="str">
        <f>IF(AE618="","",IF(AE618="[FÓRMULA MANUAL]","",IFERROR(SUMPRODUCT((nNIA=AE618)*(nCUENTA=1)*(COUNTIF(CONFIG_ASIGNATURAS!$B$7:$B$27,nASIG)&gt;0)*(nNOTA))/SUMPRODUCT((nNIA=AE618)*(nCUENTA=1)*(COUNTIF(CONFIG_ASIGNATURAS!$B$7:$B$27,nASIG)&gt;0)*1),"")))</f>
        <v/>
      </c>
    </row>
    <row r="619" spans="2:35" x14ac:dyDescent="0.2">
      <c r="B619" t="str">
        <f>IF(A619="","",IF(A619="[FÓRMULA MANUAL]","",IFERROR(AVERAGEIFS(nNOTA,nNIA,A619,nCUENTA,1,nASIG,"Lenguaje Musical"),"")))</f>
        <v/>
      </c>
      <c r="C619" t="str">
        <f>IF(A619="","",IF(A619="[FÓRMULA MANUAL]","",IFERROR(AVERAGEIFS(nNOTA,nNIA,A619,nCUENTA,1,nASIG,"Orquesta/Banda/Conjunto"),"")))</f>
        <v/>
      </c>
      <c r="D619" t="str">
        <f>IF(A619="","",IF(A619="[FÓRMULA MANUAL]","",IFERROR(AVERAGEIFS(nNOTA,nNIA,A619,nCUENTA,1,nASIG,"Conjunto"),"")))</f>
        <v/>
      </c>
      <c r="E619" t="str">
        <f>IF(A619="","",IF(A619="[FÓRMULA MANUAL]","",IFERROR(SUMPRODUCT((nNIA=A619)*(nCUENTA=1)*(COUNTIF(CONFIG_ASIGNATURAS!$B$7:$B$27,nASIG)&gt;0)*(nNOTA))/SUMPRODUCT((nNIA=A619)*(nCUENTA=1)*(COUNTIF(CONFIG_ASIGNATURAS!$B$7:$B$27,nASIG)&gt;0)*1),"")))</f>
        <v/>
      </c>
      <c r="H619" t="str">
        <f>IF(G619="","",IF(G619="[FÓRMULA MANUAL]","",IFERROR(AVERAGEIFS(nNOTA,nNIA,G619,nCUENTA,1,nASIG,"Lenguaje Musical"),"")))</f>
        <v/>
      </c>
      <c r="I619" t="str">
        <f>IF(G619="","",IF(G619="[FÓRMULA MANUAL]","",IFERROR(AVERAGEIFS(nNOTA,nNIA,G619,nCUENTA,1,nASIG,"Orquesta/Banda/Conjunto"),"")))</f>
        <v/>
      </c>
      <c r="J619" t="str">
        <f>IF(G619="","",IF(G619="[FÓRMULA MANUAL]","",IFERROR(AVERAGEIFS(nNOTA,nNIA,G619,nCUENTA,1,nASIG,"Conjunto"),"")))</f>
        <v/>
      </c>
      <c r="K619" t="str">
        <f>IF(G619="","",IF(G619="[FÓRMULA MANUAL]","",IFERROR(SUMPRODUCT((nNIA=G619)*(nCUENTA=1)*(COUNTIF(CONFIG_ASIGNATURAS!$B$7:$B$27,nASIG)&gt;0)*(nNOTA))/SUMPRODUCT((nNIA=G619)*(nCUENTA=1)*(COUNTIF(CONFIG_ASIGNATURAS!$B$7:$B$27,nASIG)&gt;0)*1),"")))</f>
        <v/>
      </c>
      <c r="N619" t="str">
        <f>IF(M619="","",IF(M619="[FÓRMULA MANUAL]","",IFERROR(AVERAGEIFS(nNOTA,nNIA,M619,nCUENTA,1,nASIG,"Armonía"),"")))</f>
        <v/>
      </c>
      <c r="O619" t="str">
        <f>IF(M619="","",IF(M619="[FÓRMULA MANUAL]","",IFERROR(AVERAGEIFS(nNOTA,nNIA,M619,nCUENTA,1,nASIG,"Orquesta/Banda/Conjunto"),"")))</f>
        <v/>
      </c>
      <c r="P619" t="str">
        <f>IF(M619="","",IF(M619="[FÓRMULA MANUAL]","",IFERROR(AVERAGEIFS(nNOTA,nNIA,M619,nCUENTA,1,nASIG,"Música de Cámara"),"")))</f>
        <v/>
      </c>
      <c r="Q619" t="str">
        <f>IF(M619="","",IF(M619="[FÓRMULA MANUAL]","",IFERROR(SUMPRODUCT((nNIA=M619)*(nCUENTA=1)*(COUNTIF(CONFIG_ASIGNATURAS!$B$7:$B$27,nASIG)&gt;0)*(nNOTA))/SUMPRODUCT((nNIA=M619)*(nCUENTA=1)*(COUNTIF(CONFIG_ASIGNATURAS!$B$7:$B$27,nASIG)&gt;0)*1),"")))</f>
        <v/>
      </c>
      <c r="T619" t="str">
        <f>IF(S619="","",IF(S619="[FÓRMULA MANUAL]","",IFERROR(AVERAGEIFS(nNOTA,nNIA,S619,nCUENTA,1,nASIG,"Armonía"),"")))</f>
        <v/>
      </c>
      <c r="U619" t="str">
        <f>IF(S619="","",IF(S619="[FÓRMULA MANUAL]","",IFERROR(AVERAGEIFS(nNOTA,nNIA,S619,nCUENTA,1,nASIG,"Orquesta/Banda/Conjunto"),"")))</f>
        <v/>
      </c>
      <c r="V619" t="str">
        <f>IF(S619="","",IF(S619="[FÓRMULA MANUAL]","",IFERROR(AVERAGEIFS(nNOTA,nNIA,S619,nCUENTA,1,nASIG,"Música de Cámara"),"")))</f>
        <v/>
      </c>
      <c r="W619" t="str">
        <f>IF(S619="","",IF(S619="[FÓRMULA MANUAL]","",IFERROR(SUMPRODUCT((nNIA=S619)*(nCUENTA=1)*(COUNTIF(CONFIG_ASIGNATURAS!$B$7:$B$27,nASIG)&gt;0)*(nNOTA))/SUMPRODUCT((nNIA=S619)*(nCUENTA=1)*(COUNTIF(CONFIG_ASIGNATURAS!$B$7:$B$27,nASIG)&gt;0)*1),"")))</f>
        <v/>
      </c>
      <c r="Z619" t="str">
        <f>IF(Y619="","",IF(Y619="[FÓRMULA MANUAL]","",IFERROR(AVERAGEIFS(nNOTA,nNIA,Y619,nCUENTA,1,nASIG,"Análisis"),"")))</f>
        <v/>
      </c>
      <c r="AA619" t="str">
        <f>IF(Y619="","",IF(Y619="[FÓRMULA MANUAL]","",IFERROR(AVERAGEIFS(nNOTA,nNIA,Y619,nCUENTA,1,nASIG,"Orquesta/Banda/Conjunto"),"")))</f>
        <v/>
      </c>
      <c r="AB619" t="str">
        <f>IF(Y619="","",IF(Y619="[FÓRMULA MANUAL]","",IFERROR(AVERAGEIFS(nNOTA,nNIA,Y619,nCUENTA,1,nASIG,"Música de Cámara"),"")))</f>
        <v/>
      </c>
      <c r="AC619" t="str">
        <f>IF(Y619="","",IF(Y619="[FÓRMULA MANUAL]","",IFERROR(SUMPRODUCT((nNIA=Y619)*(nCUENTA=1)*(COUNTIF(CONFIG_ASIGNATURAS!$B$7:$B$27,nASIG)&gt;0)*(nNOTA))/SUMPRODUCT((nNIA=Y619)*(nCUENTA=1)*(COUNTIF(CONFIG_ASIGNATURAS!$B$7:$B$27,nASIG)&gt;0)*1),"")))</f>
        <v/>
      </c>
      <c r="AF619" t="str">
        <f>IF(AE619="","",IF(AE619="[FÓRMULA MANUAL]","",IFERROR(AVERAGEIFS(nNOTA,nNIA,AE619,nCUENTA,1,nASIG,"Análisis"),"")))</f>
        <v/>
      </c>
      <c r="AG619" t="str">
        <f>IF(AE619="","",IF(AE619="[FÓRMULA MANUAL]","",IFERROR(AVERAGEIFS(nNOTA,nNIA,AE619,nCUENTA,1,nASIG,"Orquesta/Banda/Conjunto"),"")))</f>
        <v/>
      </c>
      <c r="AH619" t="str">
        <f>IF(AE619="","",IF(AE619="[FÓRMULA MANUAL]","",IFERROR(AVERAGEIFS(nNOTA,nNIA,AE619,nCUENTA,1,nASIG,"Música de Cámara"),"")))</f>
        <v/>
      </c>
      <c r="AI619" t="str">
        <f>IF(AE619="","",IF(AE619="[FÓRMULA MANUAL]","",IFERROR(SUMPRODUCT((nNIA=AE619)*(nCUENTA=1)*(COUNTIF(CONFIG_ASIGNATURAS!$B$7:$B$27,nASIG)&gt;0)*(nNOTA))/SUMPRODUCT((nNIA=AE619)*(nCUENTA=1)*(COUNTIF(CONFIG_ASIGNATURAS!$B$7:$B$27,nASIG)&gt;0)*1),"")))</f>
        <v/>
      </c>
    </row>
    <row r="620" spans="2:35" x14ac:dyDescent="0.2">
      <c r="B620" t="str">
        <f>IF(A620="","",IF(A620="[FÓRMULA MANUAL]","",IFERROR(AVERAGEIFS(nNOTA,nNIA,A620,nCUENTA,1,nASIG,"Lenguaje Musical"),"")))</f>
        <v/>
      </c>
      <c r="C620" t="str">
        <f>IF(A620="","",IF(A620="[FÓRMULA MANUAL]","",IFERROR(AVERAGEIFS(nNOTA,nNIA,A620,nCUENTA,1,nASIG,"Orquesta/Banda/Conjunto"),"")))</f>
        <v/>
      </c>
      <c r="D620" t="str">
        <f>IF(A620="","",IF(A620="[FÓRMULA MANUAL]","",IFERROR(AVERAGEIFS(nNOTA,nNIA,A620,nCUENTA,1,nASIG,"Conjunto"),"")))</f>
        <v/>
      </c>
      <c r="E620" t="str">
        <f>IF(A620="","",IF(A620="[FÓRMULA MANUAL]","",IFERROR(SUMPRODUCT((nNIA=A620)*(nCUENTA=1)*(COUNTIF(CONFIG_ASIGNATURAS!$B$7:$B$27,nASIG)&gt;0)*(nNOTA))/SUMPRODUCT((nNIA=A620)*(nCUENTA=1)*(COUNTIF(CONFIG_ASIGNATURAS!$B$7:$B$27,nASIG)&gt;0)*1),"")))</f>
        <v/>
      </c>
      <c r="H620" t="str">
        <f>IF(G620="","",IF(G620="[FÓRMULA MANUAL]","",IFERROR(AVERAGEIFS(nNOTA,nNIA,G620,nCUENTA,1,nASIG,"Lenguaje Musical"),"")))</f>
        <v/>
      </c>
      <c r="I620" t="str">
        <f>IF(G620="","",IF(G620="[FÓRMULA MANUAL]","",IFERROR(AVERAGEIFS(nNOTA,nNIA,G620,nCUENTA,1,nASIG,"Orquesta/Banda/Conjunto"),"")))</f>
        <v/>
      </c>
      <c r="J620" t="str">
        <f>IF(G620="","",IF(G620="[FÓRMULA MANUAL]","",IFERROR(AVERAGEIFS(nNOTA,nNIA,G620,nCUENTA,1,nASIG,"Conjunto"),"")))</f>
        <v/>
      </c>
      <c r="K620" t="str">
        <f>IF(G620="","",IF(G620="[FÓRMULA MANUAL]","",IFERROR(SUMPRODUCT((nNIA=G620)*(nCUENTA=1)*(COUNTIF(CONFIG_ASIGNATURAS!$B$7:$B$27,nASIG)&gt;0)*(nNOTA))/SUMPRODUCT((nNIA=G620)*(nCUENTA=1)*(COUNTIF(CONFIG_ASIGNATURAS!$B$7:$B$27,nASIG)&gt;0)*1),"")))</f>
        <v/>
      </c>
      <c r="N620" t="str">
        <f>IF(M620="","",IF(M620="[FÓRMULA MANUAL]","",IFERROR(AVERAGEIFS(nNOTA,nNIA,M620,nCUENTA,1,nASIG,"Armonía"),"")))</f>
        <v/>
      </c>
      <c r="O620" t="str">
        <f>IF(M620="","",IF(M620="[FÓRMULA MANUAL]","",IFERROR(AVERAGEIFS(nNOTA,nNIA,M620,nCUENTA,1,nASIG,"Orquesta/Banda/Conjunto"),"")))</f>
        <v/>
      </c>
      <c r="P620" t="str">
        <f>IF(M620="","",IF(M620="[FÓRMULA MANUAL]","",IFERROR(AVERAGEIFS(nNOTA,nNIA,M620,nCUENTA,1,nASIG,"Música de Cámara"),"")))</f>
        <v/>
      </c>
      <c r="Q620" t="str">
        <f>IF(M620="","",IF(M620="[FÓRMULA MANUAL]","",IFERROR(SUMPRODUCT((nNIA=M620)*(nCUENTA=1)*(COUNTIF(CONFIG_ASIGNATURAS!$B$7:$B$27,nASIG)&gt;0)*(nNOTA))/SUMPRODUCT((nNIA=M620)*(nCUENTA=1)*(COUNTIF(CONFIG_ASIGNATURAS!$B$7:$B$27,nASIG)&gt;0)*1),"")))</f>
        <v/>
      </c>
      <c r="T620" t="str">
        <f>IF(S620="","",IF(S620="[FÓRMULA MANUAL]","",IFERROR(AVERAGEIFS(nNOTA,nNIA,S620,nCUENTA,1,nASIG,"Armonía"),"")))</f>
        <v/>
      </c>
      <c r="U620" t="str">
        <f>IF(S620="","",IF(S620="[FÓRMULA MANUAL]","",IFERROR(AVERAGEIFS(nNOTA,nNIA,S620,nCUENTA,1,nASIG,"Orquesta/Banda/Conjunto"),"")))</f>
        <v/>
      </c>
      <c r="V620" t="str">
        <f>IF(S620="","",IF(S620="[FÓRMULA MANUAL]","",IFERROR(AVERAGEIFS(nNOTA,nNIA,S620,nCUENTA,1,nASIG,"Música de Cámara"),"")))</f>
        <v/>
      </c>
      <c r="W620" t="str">
        <f>IF(S620="","",IF(S620="[FÓRMULA MANUAL]","",IFERROR(SUMPRODUCT((nNIA=S620)*(nCUENTA=1)*(COUNTIF(CONFIG_ASIGNATURAS!$B$7:$B$27,nASIG)&gt;0)*(nNOTA))/SUMPRODUCT((nNIA=S620)*(nCUENTA=1)*(COUNTIF(CONFIG_ASIGNATURAS!$B$7:$B$27,nASIG)&gt;0)*1),"")))</f>
        <v/>
      </c>
      <c r="Z620" t="str">
        <f>IF(Y620="","",IF(Y620="[FÓRMULA MANUAL]","",IFERROR(AVERAGEIFS(nNOTA,nNIA,Y620,nCUENTA,1,nASIG,"Análisis"),"")))</f>
        <v/>
      </c>
      <c r="AA620" t="str">
        <f>IF(Y620="","",IF(Y620="[FÓRMULA MANUAL]","",IFERROR(AVERAGEIFS(nNOTA,nNIA,Y620,nCUENTA,1,nASIG,"Orquesta/Banda/Conjunto"),"")))</f>
        <v/>
      </c>
      <c r="AB620" t="str">
        <f>IF(Y620="","",IF(Y620="[FÓRMULA MANUAL]","",IFERROR(AVERAGEIFS(nNOTA,nNIA,Y620,nCUENTA,1,nASIG,"Música de Cámara"),"")))</f>
        <v/>
      </c>
      <c r="AC620" t="str">
        <f>IF(Y620="","",IF(Y620="[FÓRMULA MANUAL]","",IFERROR(SUMPRODUCT((nNIA=Y620)*(nCUENTA=1)*(COUNTIF(CONFIG_ASIGNATURAS!$B$7:$B$27,nASIG)&gt;0)*(nNOTA))/SUMPRODUCT((nNIA=Y620)*(nCUENTA=1)*(COUNTIF(CONFIG_ASIGNATURAS!$B$7:$B$27,nASIG)&gt;0)*1),"")))</f>
        <v/>
      </c>
      <c r="AF620" t="str">
        <f>IF(AE620="","",IF(AE620="[FÓRMULA MANUAL]","",IFERROR(AVERAGEIFS(nNOTA,nNIA,AE620,nCUENTA,1,nASIG,"Análisis"),"")))</f>
        <v/>
      </c>
      <c r="AG620" t="str">
        <f>IF(AE620="","",IF(AE620="[FÓRMULA MANUAL]","",IFERROR(AVERAGEIFS(nNOTA,nNIA,AE620,nCUENTA,1,nASIG,"Orquesta/Banda/Conjunto"),"")))</f>
        <v/>
      </c>
      <c r="AH620" t="str">
        <f>IF(AE620="","",IF(AE620="[FÓRMULA MANUAL]","",IFERROR(AVERAGEIFS(nNOTA,nNIA,AE620,nCUENTA,1,nASIG,"Música de Cámara"),"")))</f>
        <v/>
      </c>
      <c r="AI620" t="str">
        <f>IF(AE620="","",IF(AE620="[FÓRMULA MANUAL]","",IFERROR(SUMPRODUCT((nNIA=AE620)*(nCUENTA=1)*(COUNTIF(CONFIG_ASIGNATURAS!$B$7:$B$27,nASIG)&gt;0)*(nNOTA))/SUMPRODUCT((nNIA=AE620)*(nCUENTA=1)*(COUNTIF(CONFIG_ASIGNATURAS!$B$7:$B$27,nASIG)&gt;0)*1),"")))</f>
        <v/>
      </c>
    </row>
    <row r="621" spans="2:35" x14ac:dyDescent="0.2">
      <c r="B621" t="str">
        <f>IF(A621="","",IF(A621="[FÓRMULA MANUAL]","",IFERROR(AVERAGEIFS(nNOTA,nNIA,A621,nCUENTA,1,nASIG,"Lenguaje Musical"),"")))</f>
        <v/>
      </c>
      <c r="C621" t="str">
        <f>IF(A621="","",IF(A621="[FÓRMULA MANUAL]","",IFERROR(AVERAGEIFS(nNOTA,nNIA,A621,nCUENTA,1,nASIG,"Orquesta/Banda/Conjunto"),"")))</f>
        <v/>
      </c>
      <c r="D621" t="str">
        <f>IF(A621="","",IF(A621="[FÓRMULA MANUAL]","",IFERROR(AVERAGEIFS(nNOTA,nNIA,A621,nCUENTA,1,nASIG,"Conjunto"),"")))</f>
        <v/>
      </c>
      <c r="E621" t="str">
        <f>IF(A621="","",IF(A621="[FÓRMULA MANUAL]","",IFERROR(SUMPRODUCT((nNIA=A621)*(nCUENTA=1)*(COUNTIF(CONFIG_ASIGNATURAS!$B$7:$B$27,nASIG)&gt;0)*(nNOTA))/SUMPRODUCT((nNIA=A621)*(nCUENTA=1)*(COUNTIF(CONFIG_ASIGNATURAS!$B$7:$B$27,nASIG)&gt;0)*1),"")))</f>
        <v/>
      </c>
      <c r="H621" t="str">
        <f>IF(G621="","",IF(G621="[FÓRMULA MANUAL]","",IFERROR(AVERAGEIFS(nNOTA,nNIA,G621,nCUENTA,1,nASIG,"Lenguaje Musical"),"")))</f>
        <v/>
      </c>
      <c r="I621" t="str">
        <f>IF(G621="","",IF(G621="[FÓRMULA MANUAL]","",IFERROR(AVERAGEIFS(nNOTA,nNIA,G621,nCUENTA,1,nASIG,"Orquesta/Banda/Conjunto"),"")))</f>
        <v/>
      </c>
      <c r="J621" t="str">
        <f>IF(G621="","",IF(G621="[FÓRMULA MANUAL]","",IFERROR(AVERAGEIFS(nNOTA,nNIA,G621,nCUENTA,1,nASIG,"Conjunto"),"")))</f>
        <v/>
      </c>
      <c r="K621" t="str">
        <f>IF(G621="","",IF(G621="[FÓRMULA MANUAL]","",IFERROR(SUMPRODUCT((nNIA=G621)*(nCUENTA=1)*(COUNTIF(CONFIG_ASIGNATURAS!$B$7:$B$27,nASIG)&gt;0)*(nNOTA))/SUMPRODUCT((nNIA=G621)*(nCUENTA=1)*(COUNTIF(CONFIG_ASIGNATURAS!$B$7:$B$27,nASIG)&gt;0)*1),"")))</f>
        <v/>
      </c>
      <c r="N621" t="str">
        <f>IF(M621="","",IF(M621="[FÓRMULA MANUAL]","",IFERROR(AVERAGEIFS(nNOTA,nNIA,M621,nCUENTA,1,nASIG,"Armonía"),"")))</f>
        <v/>
      </c>
      <c r="O621" t="str">
        <f>IF(M621="","",IF(M621="[FÓRMULA MANUAL]","",IFERROR(AVERAGEIFS(nNOTA,nNIA,M621,nCUENTA,1,nASIG,"Orquesta/Banda/Conjunto"),"")))</f>
        <v/>
      </c>
      <c r="P621" t="str">
        <f>IF(M621="","",IF(M621="[FÓRMULA MANUAL]","",IFERROR(AVERAGEIFS(nNOTA,nNIA,M621,nCUENTA,1,nASIG,"Música de Cámara"),"")))</f>
        <v/>
      </c>
      <c r="Q621" t="str">
        <f>IF(M621="","",IF(M621="[FÓRMULA MANUAL]","",IFERROR(SUMPRODUCT((nNIA=M621)*(nCUENTA=1)*(COUNTIF(CONFIG_ASIGNATURAS!$B$7:$B$27,nASIG)&gt;0)*(nNOTA))/SUMPRODUCT((nNIA=M621)*(nCUENTA=1)*(COUNTIF(CONFIG_ASIGNATURAS!$B$7:$B$27,nASIG)&gt;0)*1),"")))</f>
        <v/>
      </c>
      <c r="T621" t="str">
        <f>IF(S621="","",IF(S621="[FÓRMULA MANUAL]","",IFERROR(AVERAGEIFS(nNOTA,nNIA,S621,nCUENTA,1,nASIG,"Armonía"),"")))</f>
        <v/>
      </c>
      <c r="U621" t="str">
        <f>IF(S621="","",IF(S621="[FÓRMULA MANUAL]","",IFERROR(AVERAGEIFS(nNOTA,nNIA,S621,nCUENTA,1,nASIG,"Orquesta/Banda/Conjunto"),"")))</f>
        <v/>
      </c>
      <c r="V621" t="str">
        <f>IF(S621="","",IF(S621="[FÓRMULA MANUAL]","",IFERROR(AVERAGEIFS(nNOTA,nNIA,S621,nCUENTA,1,nASIG,"Música de Cámara"),"")))</f>
        <v/>
      </c>
      <c r="W621" t="str">
        <f>IF(S621="","",IF(S621="[FÓRMULA MANUAL]","",IFERROR(SUMPRODUCT((nNIA=S621)*(nCUENTA=1)*(COUNTIF(CONFIG_ASIGNATURAS!$B$7:$B$27,nASIG)&gt;0)*(nNOTA))/SUMPRODUCT((nNIA=S621)*(nCUENTA=1)*(COUNTIF(CONFIG_ASIGNATURAS!$B$7:$B$27,nASIG)&gt;0)*1),"")))</f>
        <v/>
      </c>
      <c r="Z621" t="str">
        <f>IF(Y621="","",IF(Y621="[FÓRMULA MANUAL]","",IFERROR(AVERAGEIFS(nNOTA,nNIA,Y621,nCUENTA,1,nASIG,"Análisis"),"")))</f>
        <v/>
      </c>
      <c r="AA621" t="str">
        <f>IF(Y621="","",IF(Y621="[FÓRMULA MANUAL]","",IFERROR(AVERAGEIFS(nNOTA,nNIA,Y621,nCUENTA,1,nASIG,"Orquesta/Banda/Conjunto"),"")))</f>
        <v/>
      </c>
      <c r="AB621" t="str">
        <f>IF(Y621="","",IF(Y621="[FÓRMULA MANUAL]","",IFERROR(AVERAGEIFS(nNOTA,nNIA,Y621,nCUENTA,1,nASIG,"Música de Cámara"),"")))</f>
        <v/>
      </c>
      <c r="AC621" t="str">
        <f>IF(Y621="","",IF(Y621="[FÓRMULA MANUAL]","",IFERROR(SUMPRODUCT((nNIA=Y621)*(nCUENTA=1)*(COUNTIF(CONFIG_ASIGNATURAS!$B$7:$B$27,nASIG)&gt;0)*(nNOTA))/SUMPRODUCT((nNIA=Y621)*(nCUENTA=1)*(COUNTIF(CONFIG_ASIGNATURAS!$B$7:$B$27,nASIG)&gt;0)*1),"")))</f>
        <v/>
      </c>
      <c r="AF621" t="str">
        <f>IF(AE621="","",IF(AE621="[FÓRMULA MANUAL]","",IFERROR(AVERAGEIFS(nNOTA,nNIA,AE621,nCUENTA,1,nASIG,"Análisis"),"")))</f>
        <v/>
      </c>
      <c r="AG621" t="str">
        <f>IF(AE621="","",IF(AE621="[FÓRMULA MANUAL]","",IFERROR(AVERAGEIFS(nNOTA,nNIA,AE621,nCUENTA,1,nASIG,"Orquesta/Banda/Conjunto"),"")))</f>
        <v/>
      </c>
      <c r="AH621" t="str">
        <f>IF(AE621="","",IF(AE621="[FÓRMULA MANUAL]","",IFERROR(AVERAGEIFS(nNOTA,nNIA,AE621,nCUENTA,1,nASIG,"Música de Cámara"),"")))</f>
        <v/>
      </c>
      <c r="AI621" t="str">
        <f>IF(AE621="","",IF(AE621="[FÓRMULA MANUAL]","",IFERROR(SUMPRODUCT((nNIA=AE621)*(nCUENTA=1)*(COUNTIF(CONFIG_ASIGNATURAS!$B$7:$B$27,nASIG)&gt;0)*(nNOTA))/SUMPRODUCT((nNIA=AE621)*(nCUENTA=1)*(COUNTIF(CONFIG_ASIGNATURAS!$B$7:$B$27,nASIG)&gt;0)*1),"")))</f>
        <v/>
      </c>
    </row>
    <row r="622" spans="2:35" x14ac:dyDescent="0.2">
      <c r="B622" t="str">
        <f>IF(A622="","",IF(A622="[FÓRMULA MANUAL]","",IFERROR(AVERAGEIFS(nNOTA,nNIA,A622,nCUENTA,1,nASIG,"Lenguaje Musical"),"")))</f>
        <v/>
      </c>
      <c r="C622" t="str">
        <f>IF(A622="","",IF(A622="[FÓRMULA MANUAL]","",IFERROR(AVERAGEIFS(nNOTA,nNIA,A622,nCUENTA,1,nASIG,"Orquesta/Banda/Conjunto"),"")))</f>
        <v/>
      </c>
      <c r="D622" t="str">
        <f>IF(A622="","",IF(A622="[FÓRMULA MANUAL]","",IFERROR(AVERAGEIFS(nNOTA,nNIA,A622,nCUENTA,1,nASIG,"Conjunto"),"")))</f>
        <v/>
      </c>
      <c r="E622" t="str">
        <f>IF(A622="","",IF(A622="[FÓRMULA MANUAL]","",IFERROR(SUMPRODUCT((nNIA=A622)*(nCUENTA=1)*(COUNTIF(CONFIG_ASIGNATURAS!$B$7:$B$27,nASIG)&gt;0)*(nNOTA))/SUMPRODUCT((nNIA=A622)*(nCUENTA=1)*(COUNTIF(CONFIG_ASIGNATURAS!$B$7:$B$27,nASIG)&gt;0)*1),"")))</f>
        <v/>
      </c>
      <c r="H622" t="str">
        <f>IF(G622="","",IF(G622="[FÓRMULA MANUAL]","",IFERROR(AVERAGEIFS(nNOTA,nNIA,G622,nCUENTA,1,nASIG,"Lenguaje Musical"),"")))</f>
        <v/>
      </c>
      <c r="I622" t="str">
        <f>IF(G622="","",IF(G622="[FÓRMULA MANUAL]","",IFERROR(AVERAGEIFS(nNOTA,nNIA,G622,nCUENTA,1,nASIG,"Orquesta/Banda/Conjunto"),"")))</f>
        <v/>
      </c>
      <c r="J622" t="str">
        <f>IF(G622="","",IF(G622="[FÓRMULA MANUAL]","",IFERROR(AVERAGEIFS(nNOTA,nNIA,G622,nCUENTA,1,nASIG,"Conjunto"),"")))</f>
        <v/>
      </c>
      <c r="K622" t="str">
        <f>IF(G622="","",IF(G622="[FÓRMULA MANUAL]","",IFERROR(SUMPRODUCT((nNIA=G622)*(nCUENTA=1)*(COUNTIF(CONFIG_ASIGNATURAS!$B$7:$B$27,nASIG)&gt;0)*(nNOTA))/SUMPRODUCT((nNIA=G622)*(nCUENTA=1)*(COUNTIF(CONFIG_ASIGNATURAS!$B$7:$B$27,nASIG)&gt;0)*1),"")))</f>
        <v/>
      </c>
      <c r="N622" t="str">
        <f>IF(M622="","",IF(M622="[FÓRMULA MANUAL]","",IFERROR(AVERAGEIFS(nNOTA,nNIA,M622,nCUENTA,1,nASIG,"Armonía"),"")))</f>
        <v/>
      </c>
      <c r="O622" t="str">
        <f>IF(M622="","",IF(M622="[FÓRMULA MANUAL]","",IFERROR(AVERAGEIFS(nNOTA,nNIA,M622,nCUENTA,1,nASIG,"Orquesta/Banda/Conjunto"),"")))</f>
        <v/>
      </c>
      <c r="P622" t="str">
        <f>IF(M622="","",IF(M622="[FÓRMULA MANUAL]","",IFERROR(AVERAGEIFS(nNOTA,nNIA,M622,nCUENTA,1,nASIG,"Música de Cámara"),"")))</f>
        <v/>
      </c>
      <c r="Q622" t="str">
        <f>IF(M622="","",IF(M622="[FÓRMULA MANUAL]","",IFERROR(SUMPRODUCT((nNIA=M622)*(nCUENTA=1)*(COUNTIF(CONFIG_ASIGNATURAS!$B$7:$B$27,nASIG)&gt;0)*(nNOTA))/SUMPRODUCT((nNIA=M622)*(nCUENTA=1)*(COUNTIF(CONFIG_ASIGNATURAS!$B$7:$B$27,nASIG)&gt;0)*1),"")))</f>
        <v/>
      </c>
      <c r="T622" t="str">
        <f>IF(S622="","",IF(S622="[FÓRMULA MANUAL]","",IFERROR(AVERAGEIFS(nNOTA,nNIA,S622,nCUENTA,1,nASIG,"Armonía"),"")))</f>
        <v/>
      </c>
      <c r="U622" t="str">
        <f>IF(S622="","",IF(S622="[FÓRMULA MANUAL]","",IFERROR(AVERAGEIFS(nNOTA,nNIA,S622,nCUENTA,1,nASIG,"Orquesta/Banda/Conjunto"),"")))</f>
        <v/>
      </c>
      <c r="V622" t="str">
        <f>IF(S622="","",IF(S622="[FÓRMULA MANUAL]","",IFERROR(AVERAGEIFS(nNOTA,nNIA,S622,nCUENTA,1,nASIG,"Música de Cámara"),"")))</f>
        <v/>
      </c>
      <c r="W622" t="str">
        <f>IF(S622="","",IF(S622="[FÓRMULA MANUAL]","",IFERROR(SUMPRODUCT((nNIA=S622)*(nCUENTA=1)*(COUNTIF(CONFIG_ASIGNATURAS!$B$7:$B$27,nASIG)&gt;0)*(nNOTA))/SUMPRODUCT((nNIA=S622)*(nCUENTA=1)*(COUNTIF(CONFIG_ASIGNATURAS!$B$7:$B$27,nASIG)&gt;0)*1),"")))</f>
        <v/>
      </c>
      <c r="Z622" t="str">
        <f>IF(Y622="","",IF(Y622="[FÓRMULA MANUAL]","",IFERROR(AVERAGEIFS(nNOTA,nNIA,Y622,nCUENTA,1,nASIG,"Análisis"),"")))</f>
        <v/>
      </c>
      <c r="AA622" t="str">
        <f>IF(Y622="","",IF(Y622="[FÓRMULA MANUAL]","",IFERROR(AVERAGEIFS(nNOTA,nNIA,Y622,nCUENTA,1,nASIG,"Orquesta/Banda/Conjunto"),"")))</f>
        <v/>
      </c>
      <c r="AB622" t="str">
        <f>IF(Y622="","",IF(Y622="[FÓRMULA MANUAL]","",IFERROR(AVERAGEIFS(nNOTA,nNIA,Y622,nCUENTA,1,nASIG,"Música de Cámara"),"")))</f>
        <v/>
      </c>
      <c r="AC622" t="str">
        <f>IF(Y622="","",IF(Y622="[FÓRMULA MANUAL]","",IFERROR(SUMPRODUCT((nNIA=Y622)*(nCUENTA=1)*(COUNTIF(CONFIG_ASIGNATURAS!$B$7:$B$27,nASIG)&gt;0)*(nNOTA))/SUMPRODUCT((nNIA=Y622)*(nCUENTA=1)*(COUNTIF(CONFIG_ASIGNATURAS!$B$7:$B$27,nASIG)&gt;0)*1),"")))</f>
        <v/>
      </c>
      <c r="AF622" t="str">
        <f>IF(AE622="","",IF(AE622="[FÓRMULA MANUAL]","",IFERROR(AVERAGEIFS(nNOTA,nNIA,AE622,nCUENTA,1,nASIG,"Análisis"),"")))</f>
        <v/>
      </c>
      <c r="AG622" t="str">
        <f>IF(AE622="","",IF(AE622="[FÓRMULA MANUAL]","",IFERROR(AVERAGEIFS(nNOTA,nNIA,AE622,nCUENTA,1,nASIG,"Orquesta/Banda/Conjunto"),"")))</f>
        <v/>
      </c>
      <c r="AH622" t="str">
        <f>IF(AE622="","",IF(AE622="[FÓRMULA MANUAL]","",IFERROR(AVERAGEIFS(nNOTA,nNIA,AE622,nCUENTA,1,nASIG,"Música de Cámara"),"")))</f>
        <v/>
      </c>
      <c r="AI622" t="str">
        <f>IF(AE622="","",IF(AE622="[FÓRMULA MANUAL]","",IFERROR(SUMPRODUCT((nNIA=AE622)*(nCUENTA=1)*(COUNTIF(CONFIG_ASIGNATURAS!$B$7:$B$27,nASIG)&gt;0)*(nNOTA))/SUMPRODUCT((nNIA=AE622)*(nCUENTA=1)*(COUNTIF(CONFIG_ASIGNATURAS!$B$7:$B$27,nASIG)&gt;0)*1),"")))</f>
        <v/>
      </c>
    </row>
    <row r="623" spans="2:35" x14ac:dyDescent="0.2">
      <c r="B623" t="str">
        <f>IF(A623="","",IF(A623="[FÓRMULA MANUAL]","",IFERROR(AVERAGEIFS(nNOTA,nNIA,A623,nCUENTA,1,nASIG,"Lenguaje Musical"),"")))</f>
        <v/>
      </c>
      <c r="C623" t="str">
        <f>IF(A623="","",IF(A623="[FÓRMULA MANUAL]","",IFERROR(AVERAGEIFS(nNOTA,nNIA,A623,nCUENTA,1,nASIG,"Orquesta/Banda/Conjunto"),"")))</f>
        <v/>
      </c>
      <c r="D623" t="str">
        <f>IF(A623="","",IF(A623="[FÓRMULA MANUAL]","",IFERROR(AVERAGEIFS(nNOTA,nNIA,A623,nCUENTA,1,nASIG,"Conjunto"),"")))</f>
        <v/>
      </c>
      <c r="E623" t="str">
        <f>IF(A623="","",IF(A623="[FÓRMULA MANUAL]","",IFERROR(SUMPRODUCT((nNIA=A623)*(nCUENTA=1)*(COUNTIF(CONFIG_ASIGNATURAS!$B$7:$B$27,nASIG)&gt;0)*(nNOTA))/SUMPRODUCT((nNIA=A623)*(nCUENTA=1)*(COUNTIF(CONFIG_ASIGNATURAS!$B$7:$B$27,nASIG)&gt;0)*1),"")))</f>
        <v/>
      </c>
      <c r="H623" t="str">
        <f>IF(G623="","",IF(G623="[FÓRMULA MANUAL]","",IFERROR(AVERAGEIFS(nNOTA,nNIA,G623,nCUENTA,1,nASIG,"Lenguaje Musical"),"")))</f>
        <v/>
      </c>
      <c r="I623" t="str">
        <f>IF(G623="","",IF(G623="[FÓRMULA MANUAL]","",IFERROR(AVERAGEIFS(nNOTA,nNIA,G623,nCUENTA,1,nASIG,"Orquesta/Banda/Conjunto"),"")))</f>
        <v/>
      </c>
      <c r="J623" t="str">
        <f>IF(G623="","",IF(G623="[FÓRMULA MANUAL]","",IFERROR(AVERAGEIFS(nNOTA,nNIA,G623,nCUENTA,1,nASIG,"Conjunto"),"")))</f>
        <v/>
      </c>
      <c r="K623" t="str">
        <f>IF(G623="","",IF(G623="[FÓRMULA MANUAL]","",IFERROR(SUMPRODUCT((nNIA=G623)*(nCUENTA=1)*(COUNTIF(CONFIG_ASIGNATURAS!$B$7:$B$27,nASIG)&gt;0)*(nNOTA))/SUMPRODUCT((nNIA=G623)*(nCUENTA=1)*(COUNTIF(CONFIG_ASIGNATURAS!$B$7:$B$27,nASIG)&gt;0)*1),"")))</f>
        <v/>
      </c>
      <c r="N623" t="str">
        <f>IF(M623="","",IF(M623="[FÓRMULA MANUAL]","",IFERROR(AVERAGEIFS(nNOTA,nNIA,M623,nCUENTA,1,nASIG,"Armonía"),"")))</f>
        <v/>
      </c>
      <c r="O623" t="str">
        <f>IF(M623="","",IF(M623="[FÓRMULA MANUAL]","",IFERROR(AVERAGEIFS(nNOTA,nNIA,M623,nCUENTA,1,nASIG,"Orquesta/Banda/Conjunto"),"")))</f>
        <v/>
      </c>
      <c r="P623" t="str">
        <f>IF(M623="","",IF(M623="[FÓRMULA MANUAL]","",IFERROR(AVERAGEIFS(nNOTA,nNIA,M623,nCUENTA,1,nASIG,"Música de Cámara"),"")))</f>
        <v/>
      </c>
      <c r="Q623" t="str">
        <f>IF(M623="","",IF(M623="[FÓRMULA MANUAL]","",IFERROR(SUMPRODUCT((nNIA=M623)*(nCUENTA=1)*(COUNTIF(CONFIG_ASIGNATURAS!$B$7:$B$27,nASIG)&gt;0)*(nNOTA))/SUMPRODUCT((nNIA=M623)*(nCUENTA=1)*(COUNTIF(CONFIG_ASIGNATURAS!$B$7:$B$27,nASIG)&gt;0)*1),"")))</f>
        <v/>
      </c>
      <c r="T623" t="str">
        <f>IF(S623="","",IF(S623="[FÓRMULA MANUAL]","",IFERROR(AVERAGEIFS(nNOTA,nNIA,S623,nCUENTA,1,nASIG,"Armonía"),"")))</f>
        <v/>
      </c>
      <c r="U623" t="str">
        <f>IF(S623="","",IF(S623="[FÓRMULA MANUAL]","",IFERROR(AVERAGEIFS(nNOTA,nNIA,S623,nCUENTA,1,nASIG,"Orquesta/Banda/Conjunto"),"")))</f>
        <v/>
      </c>
      <c r="V623" t="str">
        <f>IF(S623="","",IF(S623="[FÓRMULA MANUAL]","",IFERROR(AVERAGEIFS(nNOTA,nNIA,S623,nCUENTA,1,nASIG,"Música de Cámara"),"")))</f>
        <v/>
      </c>
      <c r="W623" t="str">
        <f>IF(S623="","",IF(S623="[FÓRMULA MANUAL]","",IFERROR(SUMPRODUCT((nNIA=S623)*(nCUENTA=1)*(COUNTIF(CONFIG_ASIGNATURAS!$B$7:$B$27,nASIG)&gt;0)*(nNOTA))/SUMPRODUCT((nNIA=S623)*(nCUENTA=1)*(COUNTIF(CONFIG_ASIGNATURAS!$B$7:$B$27,nASIG)&gt;0)*1),"")))</f>
        <v/>
      </c>
      <c r="Z623" t="str">
        <f>IF(Y623="","",IF(Y623="[FÓRMULA MANUAL]","",IFERROR(AVERAGEIFS(nNOTA,nNIA,Y623,nCUENTA,1,nASIG,"Análisis"),"")))</f>
        <v/>
      </c>
      <c r="AA623" t="str">
        <f>IF(Y623="","",IF(Y623="[FÓRMULA MANUAL]","",IFERROR(AVERAGEIFS(nNOTA,nNIA,Y623,nCUENTA,1,nASIG,"Orquesta/Banda/Conjunto"),"")))</f>
        <v/>
      </c>
      <c r="AB623" t="str">
        <f>IF(Y623="","",IF(Y623="[FÓRMULA MANUAL]","",IFERROR(AVERAGEIFS(nNOTA,nNIA,Y623,nCUENTA,1,nASIG,"Música de Cámara"),"")))</f>
        <v/>
      </c>
      <c r="AC623" t="str">
        <f>IF(Y623="","",IF(Y623="[FÓRMULA MANUAL]","",IFERROR(SUMPRODUCT((nNIA=Y623)*(nCUENTA=1)*(COUNTIF(CONFIG_ASIGNATURAS!$B$7:$B$27,nASIG)&gt;0)*(nNOTA))/SUMPRODUCT((nNIA=Y623)*(nCUENTA=1)*(COUNTIF(CONFIG_ASIGNATURAS!$B$7:$B$27,nASIG)&gt;0)*1),"")))</f>
        <v/>
      </c>
      <c r="AF623" t="str">
        <f>IF(AE623="","",IF(AE623="[FÓRMULA MANUAL]","",IFERROR(AVERAGEIFS(nNOTA,nNIA,AE623,nCUENTA,1,nASIG,"Análisis"),"")))</f>
        <v/>
      </c>
      <c r="AG623" t="str">
        <f>IF(AE623="","",IF(AE623="[FÓRMULA MANUAL]","",IFERROR(AVERAGEIFS(nNOTA,nNIA,AE623,nCUENTA,1,nASIG,"Orquesta/Banda/Conjunto"),"")))</f>
        <v/>
      </c>
      <c r="AH623" t="str">
        <f>IF(AE623="","",IF(AE623="[FÓRMULA MANUAL]","",IFERROR(AVERAGEIFS(nNOTA,nNIA,AE623,nCUENTA,1,nASIG,"Música de Cámara"),"")))</f>
        <v/>
      </c>
      <c r="AI623" t="str">
        <f>IF(AE623="","",IF(AE623="[FÓRMULA MANUAL]","",IFERROR(SUMPRODUCT((nNIA=AE623)*(nCUENTA=1)*(COUNTIF(CONFIG_ASIGNATURAS!$B$7:$B$27,nASIG)&gt;0)*(nNOTA))/SUMPRODUCT((nNIA=AE623)*(nCUENTA=1)*(COUNTIF(CONFIG_ASIGNATURAS!$B$7:$B$27,nASIG)&gt;0)*1),"")))</f>
        <v/>
      </c>
    </row>
    <row r="624" spans="2:35" x14ac:dyDescent="0.2">
      <c r="B624" t="str">
        <f>IF(A624="","",IF(A624="[FÓRMULA MANUAL]","",IFERROR(AVERAGEIFS(nNOTA,nNIA,A624,nCUENTA,1,nASIG,"Lenguaje Musical"),"")))</f>
        <v/>
      </c>
      <c r="C624" t="str">
        <f>IF(A624="","",IF(A624="[FÓRMULA MANUAL]","",IFERROR(AVERAGEIFS(nNOTA,nNIA,A624,nCUENTA,1,nASIG,"Orquesta/Banda/Conjunto"),"")))</f>
        <v/>
      </c>
      <c r="D624" t="str">
        <f>IF(A624="","",IF(A624="[FÓRMULA MANUAL]","",IFERROR(AVERAGEIFS(nNOTA,nNIA,A624,nCUENTA,1,nASIG,"Conjunto"),"")))</f>
        <v/>
      </c>
      <c r="E624" t="str">
        <f>IF(A624="","",IF(A624="[FÓRMULA MANUAL]","",IFERROR(SUMPRODUCT((nNIA=A624)*(nCUENTA=1)*(COUNTIF(CONFIG_ASIGNATURAS!$B$7:$B$27,nASIG)&gt;0)*(nNOTA))/SUMPRODUCT((nNIA=A624)*(nCUENTA=1)*(COUNTIF(CONFIG_ASIGNATURAS!$B$7:$B$27,nASIG)&gt;0)*1),"")))</f>
        <v/>
      </c>
      <c r="H624" t="str">
        <f>IF(G624="","",IF(G624="[FÓRMULA MANUAL]","",IFERROR(AVERAGEIFS(nNOTA,nNIA,G624,nCUENTA,1,nASIG,"Lenguaje Musical"),"")))</f>
        <v/>
      </c>
      <c r="I624" t="str">
        <f>IF(G624="","",IF(G624="[FÓRMULA MANUAL]","",IFERROR(AVERAGEIFS(nNOTA,nNIA,G624,nCUENTA,1,nASIG,"Orquesta/Banda/Conjunto"),"")))</f>
        <v/>
      </c>
      <c r="J624" t="str">
        <f>IF(G624="","",IF(G624="[FÓRMULA MANUAL]","",IFERROR(AVERAGEIFS(nNOTA,nNIA,G624,nCUENTA,1,nASIG,"Conjunto"),"")))</f>
        <v/>
      </c>
      <c r="K624" t="str">
        <f>IF(G624="","",IF(G624="[FÓRMULA MANUAL]","",IFERROR(SUMPRODUCT((nNIA=G624)*(nCUENTA=1)*(COUNTIF(CONFIG_ASIGNATURAS!$B$7:$B$27,nASIG)&gt;0)*(nNOTA))/SUMPRODUCT((nNIA=G624)*(nCUENTA=1)*(COUNTIF(CONFIG_ASIGNATURAS!$B$7:$B$27,nASIG)&gt;0)*1),"")))</f>
        <v/>
      </c>
      <c r="N624" t="str">
        <f>IF(M624="","",IF(M624="[FÓRMULA MANUAL]","",IFERROR(AVERAGEIFS(nNOTA,nNIA,M624,nCUENTA,1,nASIG,"Armonía"),"")))</f>
        <v/>
      </c>
      <c r="O624" t="str">
        <f>IF(M624="","",IF(M624="[FÓRMULA MANUAL]","",IFERROR(AVERAGEIFS(nNOTA,nNIA,M624,nCUENTA,1,nASIG,"Orquesta/Banda/Conjunto"),"")))</f>
        <v/>
      </c>
      <c r="P624" t="str">
        <f>IF(M624="","",IF(M624="[FÓRMULA MANUAL]","",IFERROR(AVERAGEIFS(nNOTA,nNIA,M624,nCUENTA,1,nASIG,"Música de Cámara"),"")))</f>
        <v/>
      </c>
      <c r="Q624" t="str">
        <f>IF(M624="","",IF(M624="[FÓRMULA MANUAL]","",IFERROR(SUMPRODUCT((nNIA=M624)*(nCUENTA=1)*(COUNTIF(CONFIG_ASIGNATURAS!$B$7:$B$27,nASIG)&gt;0)*(nNOTA))/SUMPRODUCT((nNIA=M624)*(nCUENTA=1)*(COUNTIF(CONFIG_ASIGNATURAS!$B$7:$B$27,nASIG)&gt;0)*1),"")))</f>
        <v/>
      </c>
      <c r="T624" t="str">
        <f>IF(S624="","",IF(S624="[FÓRMULA MANUAL]","",IFERROR(AVERAGEIFS(nNOTA,nNIA,S624,nCUENTA,1,nASIG,"Armonía"),"")))</f>
        <v/>
      </c>
      <c r="U624" t="str">
        <f>IF(S624="","",IF(S624="[FÓRMULA MANUAL]","",IFERROR(AVERAGEIFS(nNOTA,nNIA,S624,nCUENTA,1,nASIG,"Orquesta/Banda/Conjunto"),"")))</f>
        <v/>
      </c>
      <c r="V624" t="str">
        <f>IF(S624="","",IF(S624="[FÓRMULA MANUAL]","",IFERROR(AVERAGEIFS(nNOTA,nNIA,S624,nCUENTA,1,nASIG,"Música de Cámara"),"")))</f>
        <v/>
      </c>
      <c r="W624" t="str">
        <f>IF(S624="","",IF(S624="[FÓRMULA MANUAL]","",IFERROR(SUMPRODUCT((nNIA=S624)*(nCUENTA=1)*(COUNTIF(CONFIG_ASIGNATURAS!$B$7:$B$27,nASIG)&gt;0)*(nNOTA))/SUMPRODUCT((nNIA=S624)*(nCUENTA=1)*(COUNTIF(CONFIG_ASIGNATURAS!$B$7:$B$27,nASIG)&gt;0)*1),"")))</f>
        <v/>
      </c>
      <c r="Z624" t="str">
        <f>IF(Y624="","",IF(Y624="[FÓRMULA MANUAL]","",IFERROR(AVERAGEIFS(nNOTA,nNIA,Y624,nCUENTA,1,nASIG,"Análisis"),"")))</f>
        <v/>
      </c>
      <c r="AA624" t="str">
        <f>IF(Y624="","",IF(Y624="[FÓRMULA MANUAL]","",IFERROR(AVERAGEIFS(nNOTA,nNIA,Y624,nCUENTA,1,nASIG,"Orquesta/Banda/Conjunto"),"")))</f>
        <v/>
      </c>
      <c r="AB624" t="str">
        <f>IF(Y624="","",IF(Y624="[FÓRMULA MANUAL]","",IFERROR(AVERAGEIFS(nNOTA,nNIA,Y624,nCUENTA,1,nASIG,"Música de Cámara"),"")))</f>
        <v/>
      </c>
      <c r="AC624" t="str">
        <f>IF(Y624="","",IF(Y624="[FÓRMULA MANUAL]","",IFERROR(SUMPRODUCT((nNIA=Y624)*(nCUENTA=1)*(COUNTIF(CONFIG_ASIGNATURAS!$B$7:$B$27,nASIG)&gt;0)*(nNOTA))/SUMPRODUCT((nNIA=Y624)*(nCUENTA=1)*(COUNTIF(CONFIG_ASIGNATURAS!$B$7:$B$27,nASIG)&gt;0)*1),"")))</f>
        <v/>
      </c>
      <c r="AF624" t="str">
        <f>IF(AE624="","",IF(AE624="[FÓRMULA MANUAL]","",IFERROR(AVERAGEIFS(nNOTA,nNIA,AE624,nCUENTA,1,nASIG,"Análisis"),"")))</f>
        <v/>
      </c>
      <c r="AG624" t="str">
        <f>IF(AE624="","",IF(AE624="[FÓRMULA MANUAL]","",IFERROR(AVERAGEIFS(nNOTA,nNIA,AE624,nCUENTA,1,nASIG,"Orquesta/Banda/Conjunto"),"")))</f>
        <v/>
      </c>
      <c r="AH624" t="str">
        <f>IF(AE624="","",IF(AE624="[FÓRMULA MANUAL]","",IFERROR(AVERAGEIFS(nNOTA,nNIA,AE624,nCUENTA,1,nASIG,"Música de Cámara"),"")))</f>
        <v/>
      </c>
      <c r="AI624" t="str">
        <f>IF(AE624="","",IF(AE624="[FÓRMULA MANUAL]","",IFERROR(SUMPRODUCT((nNIA=AE624)*(nCUENTA=1)*(COUNTIF(CONFIG_ASIGNATURAS!$B$7:$B$27,nASIG)&gt;0)*(nNOTA))/SUMPRODUCT((nNIA=AE624)*(nCUENTA=1)*(COUNTIF(CONFIG_ASIGNATURAS!$B$7:$B$27,nASIG)&gt;0)*1),"")))</f>
        <v/>
      </c>
    </row>
    <row r="625" spans="2:35" x14ac:dyDescent="0.2">
      <c r="B625" t="str">
        <f>IF(A625="","",IF(A625="[FÓRMULA MANUAL]","",IFERROR(AVERAGEIFS(nNOTA,nNIA,A625,nCUENTA,1,nASIG,"Lenguaje Musical"),"")))</f>
        <v/>
      </c>
      <c r="C625" t="str">
        <f>IF(A625="","",IF(A625="[FÓRMULA MANUAL]","",IFERROR(AVERAGEIFS(nNOTA,nNIA,A625,nCUENTA,1,nASIG,"Orquesta/Banda/Conjunto"),"")))</f>
        <v/>
      </c>
      <c r="D625" t="str">
        <f>IF(A625="","",IF(A625="[FÓRMULA MANUAL]","",IFERROR(AVERAGEIFS(nNOTA,nNIA,A625,nCUENTA,1,nASIG,"Conjunto"),"")))</f>
        <v/>
      </c>
      <c r="E625" t="str">
        <f>IF(A625="","",IF(A625="[FÓRMULA MANUAL]","",IFERROR(SUMPRODUCT((nNIA=A625)*(nCUENTA=1)*(COUNTIF(CONFIG_ASIGNATURAS!$B$7:$B$27,nASIG)&gt;0)*(nNOTA))/SUMPRODUCT((nNIA=A625)*(nCUENTA=1)*(COUNTIF(CONFIG_ASIGNATURAS!$B$7:$B$27,nASIG)&gt;0)*1),"")))</f>
        <v/>
      </c>
      <c r="H625" t="str">
        <f>IF(G625="","",IF(G625="[FÓRMULA MANUAL]","",IFERROR(AVERAGEIFS(nNOTA,nNIA,G625,nCUENTA,1,nASIG,"Lenguaje Musical"),"")))</f>
        <v/>
      </c>
      <c r="I625" t="str">
        <f>IF(G625="","",IF(G625="[FÓRMULA MANUAL]","",IFERROR(AVERAGEIFS(nNOTA,nNIA,G625,nCUENTA,1,nASIG,"Orquesta/Banda/Conjunto"),"")))</f>
        <v/>
      </c>
      <c r="J625" t="str">
        <f>IF(G625="","",IF(G625="[FÓRMULA MANUAL]","",IFERROR(AVERAGEIFS(nNOTA,nNIA,G625,nCUENTA,1,nASIG,"Conjunto"),"")))</f>
        <v/>
      </c>
      <c r="K625" t="str">
        <f>IF(G625="","",IF(G625="[FÓRMULA MANUAL]","",IFERROR(SUMPRODUCT((nNIA=G625)*(nCUENTA=1)*(COUNTIF(CONFIG_ASIGNATURAS!$B$7:$B$27,nASIG)&gt;0)*(nNOTA))/SUMPRODUCT((nNIA=G625)*(nCUENTA=1)*(COUNTIF(CONFIG_ASIGNATURAS!$B$7:$B$27,nASIG)&gt;0)*1),"")))</f>
        <v/>
      </c>
      <c r="N625" t="str">
        <f>IF(M625="","",IF(M625="[FÓRMULA MANUAL]","",IFERROR(AVERAGEIFS(nNOTA,nNIA,M625,nCUENTA,1,nASIG,"Armonía"),"")))</f>
        <v/>
      </c>
      <c r="O625" t="str">
        <f>IF(M625="","",IF(M625="[FÓRMULA MANUAL]","",IFERROR(AVERAGEIFS(nNOTA,nNIA,M625,nCUENTA,1,nASIG,"Orquesta/Banda/Conjunto"),"")))</f>
        <v/>
      </c>
      <c r="P625" t="str">
        <f>IF(M625="","",IF(M625="[FÓRMULA MANUAL]","",IFERROR(AVERAGEIFS(nNOTA,nNIA,M625,nCUENTA,1,nASIG,"Música de Cámara"),"")))</f>
        <v/>
      </c>
      <c r="Q625" t="str">
        <f>IF(M625="","",IF(M625="[FÓRMULA MANUAL]","",IFERROR(SUMPRODUCT((nNIA=M625)*(nCUENTA=1)*(COUNTIF(CONFIG_ASIGNATURAS!$B$7:$B$27,nASIG)&gt;0)*(nNOTA))/SUMPRODUCT((nNIA=M625)*(nCUENTA=1)*(COUNTIF(CONFIG_ASIGNATURAS!$B$7:$B$27,nASIG)&gt;0)*1),"")))</f>
        <v/>
      </c>
      <c r="T625" t="str">
        <f>IF(S625="","",IF(S625="[FÓRMULA MANUAL]","",IFERROR(AVERAGEIFS(nNOTA,nNIA,S625,nCUENTA,1,nASIG,"Armonía"),"")))</f>
        <v/>
      </c>
      <c r="U625" t="str">
        <f>IF(S625="","",IF(S625="[FÓRMULA MANUAL]","",IFERROR(AVERAGEIFS(nNOTA,nNIA,S625,nCUENTA,1,nASIG,"Orquesta/Banda/Conjunto"),"")))</f>
        <v/>
      </c>
      <c r="V625" t="str">
        <f>IF(S625="","",IF(S625="[FÓRMULA MANUAL]","",IFERROR(AVERAGEIFS(nNOTA,nNIA,S625,nCUENTA,1,nASIG,"Música de Cámara"),"")))</f>
        <v/>
      </c>
      <c r="W625" t="str">
        <f>IF(S625="","",IF(S625="[FÓRMULA MANUAL]","",IFERROR(SUMPRODUCT((nNIA=S625)*(nCUENTA=1)*(COUNTIF(CONFIG_ASIGNATURAS!$B$7:$B$27,nASIG)&gt;0)*(nNOTA))/SUMPRODUCT((nNIA=S625)*(nCUENTA=1)*(COUNTIF(CONFIG_ASIGNATURAS!$B$7:$B$27,nASIG)&gt;0)*1),"")))</f>
        <v/>
      </c>
      <c r="Z625" t="str">
        <f>IF(Y625="","",IF(Y625="[FÓRMULA MANUAL]","",IFERROR(AVERAGEIFS(nNOTA,nNIA,Y625,nCUENTA,1,nASIG,"Análisis"),"")))</f>
        <v/>
      </c>
      <c r="AA625" t="str">
        <f>IF(Y625="","",IF(Y625="[FÓRMULA MANUAL]","",IFERROR(AVERAGEIFS(nNOTA,nNIA,Y625,nCUENTA,1,nASIG,"Orquesta/Banda/Conjunto"),"")))</f>
        <v/>
      </c>
      <c r="AB625" t="str">
        <f>IF(Y625="","",IF(Y625="[FÓRMULA MANUAL]","",IFERROR(AVERAGEIFS(nNOTA,nNIA,Y625,nCUENTA,1,nASIG,"Música de Cámara"),"")))</f>
        <v/>
      </c>
      <c r="AC625" t="str">
        <f>IF(Y625="","",IF(Y625="[FÓRMULA MANUAL]","",IFERROR(SUMPRODUCT((nNIA=Y625)*(nCUENTA=1)*(COUNTIF(CONFIG_ASIGNATURAS!$B$7:$B$27,nASIG)&gt;0)*(nNOTA))/SUMPRODUCT((nNIA=Y625)*(nCUENTA=1)*(COUNTIF(CONFIG_ASIGNATURAS!$B$7:$B$27,nASIG)&gt;0)*1),"")))</f>
        <v/>
      </c>
      <c r="AF625" t="str">
        <f>IF(AE625="","",IF(AE625="[FÓRMULA MANUAL]","",IFERROR(AVERAGEIFS(nNOTA,nNIA,AE625,nCUENTA,1,nASIG,"Análisis"),"")))</f>
        <v/>
      </c>
      <c r="AG625" t="str">
        <f>IF(AE625="","",IF(AE625="[FÓRMULA MANUAL]","",IFERROR(AVERAGEIFS(nNOTA,nNIA,AE625,nCUENTA,1,nASIG,"Orquesta/Banda/Conjunto"),"")))</f>
        <v/>
      </c>
      <c r="AH625" t="str">
        <f>IF(AE625="","",IF(AE625="[FÓRMULA MANUAL]","",IFERROR(AVERAGEIFS(nNOTA,nNIA,AE625,nCUENTA,1,nASIG,"Música de Cámara"),"")))</f>
        <v/>
      </c>
      <c r="AI625" t="str">
        <f>IF(AE625="","",IF(AE625="[FÓRMULA MANUAL]","",IFERROR(SUMPRODUCT((nNIA=AE625)*(nCUENTA=1)*(COUNTIF(CONFIG_ASIGNATURAS!$B$7:$B$27,nASIG)&gt;0)*(nNOTA))/SUMPRODUCT((nNIA=AE625)*(nCUENTA=1)*(COUNTIF(CONFIG_ASIGNATURAS!$B$7:$B$27,nASIG)&gt;0)*1),"")))</f>
        <v/>
      </c>
    </row>
    <row r="626" spans="2:35" x14ac:dyDescent="0.2">
      <c r="B626" t="str">
        <f>IF(A626="","",IF(A626="[FÓRMULA MANUAL]","",IFERROR(AVERAGEIFS(nNOTA,nNIA,A626,nCUENTA,1,nASIG,"Lenguaje Musical"),"")))</f>
        <v/>
      </c>
      <c r="C626" t="str">
        <f>IF(A626="","",IF(A626="[FÓRMULA MANUAL]","",IFERROR(AVERAGEIFS(nNOTA,nNIA,A626,nCUENTA,1,nASIG,"Orquesta/Banda/Conjunto"),"")))</f>
        <v/>
      </c>
      <c r="D626" t="str">
        <f>IF(A626="","",IF(A626="[FÓRMULA MANUAL]","",IFERROR(AVERAGEIFS(nNOTA,nNIA,A626,nCUENTA,1,nASIG,"Conjunto"),"")))</f>
        <v/>
      </c>
      <c r="E626" t="str">
        <f>IF(A626="","",IF(A626="[FÓRMULA MANUAL]","",IFERROR(SUMPRODUCT((nNIA=A626)*(nCUENTA=1)*(COUNTIF(CONFIG_ASIGNATURAS!$B$7:$B$27,nASIG)&gt;0)*(nNOTA))/SUMPRODUCT((nNIA=A626)*(nCUENTA=1)*(COUNTIF(CONFIG_ASIGNATURAS!$B$7:$B$27,nASIG)&gt;0)*1),"")))</f>
        <v/>
      </c>
      <c r="H626" t="str">
        <f>IF(G626="","",IF(G626="[FÓRMULA MANUAL]","",IFERROR(AVERAGEIFS(nNOTA,nNIA,G626,nCUENTA,1,nASIG,"Lenguaje Musical"),"")))</f>
        <v/>
      </c>
      <c r="I626" t="str">
        <f>IF(G626="","",IF(G626="[FÓRMULA MANUAL]","",IFERROR(AVERAGEIFS(nNOTA,nNIA,G626,nCUENTA,1,nASIG,"Orquesta/Banda/Conjunto"),"")))</f>
        <v/>
      </c>
      <c r="J626" t="str">
        <f>IF(G626="","",IF(G626="[FÓRMULA MANUAL]","",IFERROR(AVERAGEIFS(nNOTA,nNIA,G626,nCUENTA,1,nASIG,"Conjunto"),"")))</f>
        <v/>
      </c>
      <c r="K626" t="str">
        <f>IF(G626="","",IF(G626="[FÓRMULA MANUAL]","",IFERROR(SUMPRODUCT((nNIA=G626)*(nCUENTA=1)*(COUNTIF(CONFIG_ASIGNATURAS!$B$7:$B$27,nASIG)&gt;0)*(nNOTA))/SUMPRODUCT((nNIA=G626)*(nCUENTA=1)*(COUNTIF(CONFIG_ASIGNATURAS!$B$7:$B$27,nASIG)&gt;0)*1),"")))</f>
        <v/>
      </c>
      <c r="N626" t="str">
        <f>IF(M626="","",IF(M626="[FÓRMULA MANUAL]","",IFERROR(AVERAGEIFS(nNOTA,nNIA,M626,nCUENTA,1,nASIG,"Armonía"),"")))</f>
        <v/>
      </c>
      <c r="O626" t="str">
        <f>IF(M626="","",IF(M626="[FÓRMULA MANUAL]","",IFERROR(AVERAGEIFS(nNOTA,nNIA,M626,nCUENTA,1,nASIG,"Orquesta/Banda/Conjunto"),"")))</f>
        <v/>
      </c>
      <c r="P626" t="str">
        <f>IF(M626="","",IF(M626="[FÓRMULA MANUAL]","",IFERROR(AVERAGEIFS(nNOTA,nNIA,M626,nCUENTA,1,nASIG,"Música de Cámara"),"")))</f>
        <v/>
      </c>
      <c r="Q626" t="str">
        <f>IF(M626="","",IF(M626="[FÓRMULA MANUAL]","",IFERROR(SUMPRODUCT((nNIA=M626)*(nCUENTA=1)*(COUNTIF(CONFIG_ASIGNATURAS!$B$7:$B$27,nASIG)&gt;0)*(nNOTA))/SUMPRODUCT((nNIA=M626)*(nCUENTA=1)*(COUNTIF(CONFIG_ASIGNATURAS!$B$7:$B$27,nASIG)&gt;0)*1),"")))</f>
        <v/>
      </c>
      <c r="T626" t="str">
        <f>IF(S626="","",IF(S626="[FÓRMULA MANUAL]","",IFERROR(AVERAGEIFS(nNOTA,nNIA,S626,nCUENTA,1,nASIG,"Armonía"),"")))</f>
        <v/>
      </c>
      <c r="U626" t="str">
        <f>IF(S626="","",IF(S626="[FÓRMULA MANUAL]","",IFERROR(AVERAGEIFS(nNOTA,nNIA,S626,nCUENTA,1,nASIG,"Orquesta/Banda/Conjunto"),"")))</f>
        <v/>
      </c>
      <c r="V626" t="str">
        <f>IF(S626="","",IF(S626="[FÓRMULA MANUAL]","",IFERROR(AVERAGEIFS(nNOTA,nNIA,S626,nCUENTA,1,nASIG,"Música de Cámara"),"")))</f>
        <v/>
      </c>
      <c r="W626" t="str">
        <f>IF(S626="","",IF(S626="[FÓRMULA MANUAL]","",IFERROR(SUMPRODUCT((nNIA=S626)*(nCUENTA=1)*(COUNTIF(CONFIG_ASIGNATURAS!$B$7:$B$27,nASIG)&gt;0)*(nNOTA))/SUMPRODUCT((nNIA=S626)*(nCUENTA=1)*(COUNTIF(CONFIG_ASIGNATURAS!$B$7:$B$27,nASIG)&gt;0)*1),"")))</f>
        <v/>
      </c>
      <c r="Z626" t="str">
        <f>IF(Y626="","",IF(Y626="[FÓRMULA MANUAL]","",IFERROR(AVERAGEIFS(nNOTA,nNIA,Y626,nCUENTA,1,nASIG,"Análisis"),"")))</f>
        <v/>
      </c>
      <c r="AA626" t="str">
        <f>IF(Y626="","",IF(Y626="[FÓRMULA MANUAL]","",IFERROR(AVERAGEIFS(nNOTA,nNIA,Y626,nCUENTA,1,nASIG,"Orquesta/Banda/Conjunto"),"")))</f>
        <v/>
      </c>
      <c r="AB626" t="str">
        <f>IF(Y626="","",IF(Y626="[FÓRMULA MANUAL]","",IFERROR(AVERAGEIFS(nNOTA,nNIA,Y626,nCUENTA,1,nASIG,"Música de Cámara"),"")))</f>
        <v/>
      </c>
      <c r="AC626" t="str">
        <f>IF(Y626="","",IF(Y626="[FÓRMULA MANUAL]","",IFERROR(SUMPRODUCT((nNIA=Y626)*(nCUENTA=1)*(COUNTIF(CONFIG_ASIGNATURAS!$B$7:$B$27,nASIG)&gt;0)*(nNOTA))/SUMPRODUCT((nNIA=Y626)*(nCUENTA=1)*(COUNTIF(CONFIG_ASIGNATURAS!$B$7:$B$27,nASIG)&gt;0)*1),"")))</f>
        <v/>
      </c>
      <c r="AF626" t="str">
        <f>IF(AE626="","",IF(AE626="[FÓRMULA MANUAL]","",IFERROR(AVERAGEIFS(nNOTA,nNIA,AE626,nCUENTA,1,nASIG,"Análisis"),"")))</f>
        <v/>
      </c>
      <c r="AG626" t="str">
        <f>IF(AE626="","",IF(AE626="[FÓRMULA MANUAL]","",IFERROR(AVERAGEIFS(nNOTA,nNIA,AE626,nCUENTA,1,nASIG,"Orquesta/Banda/Conjunto"),"")))</f>
        <v/>
      </c>
      <c r="AH626" t="str">
        <f>IF(AE626="","",IF(AE626="[FÓRMULA MANUAL]","",IFERROR(AVERAGEIFS(nNOTA,nNIA,AE626,nCUENTA,1,nASIG,"Música de Cámara"),"")))</f>
        <v/>
      </c>
      <c r="AI626" t="str">
        <f>IF(AE626="","",IF(AE626="[FÓRMULA MANUAL]","",IFERROR(SUMPRODUCT((nNIA=AE626)*(nCUENTA=1)*(COUNTIF(CONFIG_ASIGNATURAS!$B$7:$B$27,nASIG)&gt;0)*(nNOTA))/SUMPRODUCT((nNIA=AE626)*(nCUENTA=1)*(COUNTIF(CONFIG_ASIGNATURAS!$B$7:$B$27,nASIG)&gt;0)*1),"")))</f>
        <v/>
      </c>
    </row>
    <row r="627" spans="2:35" x14ac:dyDescent="0.2">
      <c r="B627" t="str">
        <f>IF(A627="","",IF(A627="[FÓRMULA MANUAL]","",IFERROR(AVERAGEIFS(nNOTA,nNIA,A627,nCUENTA,1,nASIG,"Lenguaje Musical"),"")))</f>
        <v/>
      </c>
      <c r="C627" t="str">
        <f>IF(A627="","",IF(A627="[FÓRMULA MANUAL]","",IFERROR(AVERAGEIFS(nNOTA,nNIA,A627,nCUENTA,1,nASIG,"Orquesta/Banda/Conjunto"),"")))</f>
        <v/>
      </c>
      <c r="D627" t="str">
        <f>IF(A627="","",IF(A627="[FÓRMULA MANUAL]","",IFERROR(AVERAGEIFS(nNOTA,nNIA,A627,nCUENTA,1,nASIG,"Conjunto"),"")))</f>
        <v/>
      </c>
      <c r="E627" t="str">
        <f>IF(A627="","",IF(A627="[FÓRMULA MANUAL]","",IFERROR(SUMPRODUCT((nNIA=A627)*(nCUENTA=1)*(COUNTIF(CONFIG_ASIGNATURAS!$B$7:$B$27,nASIG)&gt;0)*(nNOTA))/SUMPRODUCT((nNIA=A627)*(nCUENTA=1)*(COUNTIF(CONFIG_ASIGNATURAS!$B$7:$B$27,nASIG)&gt;0)*1),"")))</f>
        <v/>
      </c>
      <c r="H627" t="str">
        <f>IF(G627="","",IF(G627="[FÓRMULA MANUAL]","",IFERROR(AVERAGEIFS(nNOTA,nNIA,G627,nCUENTA,1,nASIG,"Lenguaje Musical"),"")))</f>
        <v/>
      </c>
      <c r="I627" t="str">
        <f>IF(G627="","",IF(G627="[FÓRMULA MANUAL]","",IFERROR(AVERAGEIFS(nNOTA,nNIA,G627,nCUENTA,1,nASIG,"Orquesta/Banda/Conjunto"),"")))</f>
        <v/>
      </c>
      <c r="J627" t="str">
        <f>IF(G627="","",IF(G627="[FÓRMULA MANUAL]","",IFERROR(AVERAGEIFS(nNOTA,nNIA,G627,nCUENTA,1,nASIG,"Conjunto"),"")))</f>
        <v/>
      </c>
      <c r="K627" t="str">
        <f>IF(G627="","",IF(G627="[FÓRMULA MANUAL]","",IFERROR(SUMPRODUCT((nNIA=G627)*(nCUENTA=1)*(COUNTIF(CONFIG_ASIGNATURAS!$B$7:$B$27,nASIG)&gt;0)*(nNOTA))/SUMPRODUCT((nNIA=G627)*(nCUENTA=1)*(COUNTIF(CONFIG_ASIGNATURAS!$B$7:$B$27,nASIG)&gt;0)*1),"")))</f>
        <v/>
      </c>
      <c r="N627" t="str">
        <f>IF(M627="","",IF(M627="[FÓRMULA MANUAL]","",IFERROR(AVERAGEIFS(nNOTA,nNIA,M627,nCUENTA,1,nASIG,"Armonía"),"")))</f>
        <v/>
      </c>
      <c r="O627" t="str">
        <f>IF(M627="","",IF(M627="[FÓRMULA MANUAL]","",IFERROR(AVERAGEIFS(nNOTA,nNIA,M627,nCUENTA,1,nASIG,"Orquesta/Banda/Conjunto"),"")))</f>
        <v/>
      </c>
      <c r="P627" t="str">
        <f>IF(M627="","",IF(M627="[FÓRMULA MANUAL]","",IFERROR(AVERAGEIFS(nNOTA,nNIA,M627,nCUENTA,1,nASIG,"Música de Cámara"),"")))</f>
        <v/>
      </c>
      <c r="Q627" t="str">
        <f>IF(M627="","",IF(M627="[FÓRMULA MANUAL]","",IFERROR(SUMPRODUCT((nNIA=M627)*(nCUENTA=1)*(COUNTIF(CONFIG_ASIGNATURAS!$B$7:$B$27,nASIG)&gt;0)*(nNOTA))/SUMPRODUCT((nNIA=M627)*(nCUENTA=1)*(COUNTIF(CONFIG_ASIGNATURAS!$B$7:$B$27,nASIG)&gt;0)*1),"")))</f>
        <v/>
      </c>
      <c r="T627" t="str">
        <f>IF(S627="","",IF(S627="[FÓRMULA MANUAL]","",IFERROR(AVERAGEIFS(nNOTA,nNIA,S627,nCUENTA,1,nASIG,"Armonía"),"")))</f>
        <v/>
      </c>
      <c r="U627" t="str">
        <f>IF(S627="","",IF(S627="[FÓRMULA MANUAL]","",IFERROR(AVERAGEIFS(nNOTA,nNIA,S627,nCUENTA,1,nASIG,"Orquesta/Banda/Conjunto"),"")))</f>
        <v/>
      </c>
      <c r="V627" t="str">
        <f>IF(S627="","",IF(S627="[FÓRMULA MANUAL]","",IFERROR(AVERAGEIFS(nNOTA,nNIA,S627,nCUENTA,1,nASIG,"Música de Cámara"),"")))</f>
        <v/>
      </c>
      <c r="W627" t="str">
        <f>IF(S627="","",IF(S627="[FÓRMULA MANUAL]","",IFERROR(SUMPRODUCT((nNIA=S627)*(nCUENTA=1)*(COUNTIF(CONFIG_ASIGNATURAS!$B$7:$B$27,nASIG)&gt;0)*(nNOTA))/SUMPRODUCT((nNIA=S627)*(nCUENTA=1)*(COUNTIF(CONFIG_ASIGNATURAS!$B$7:$B$27,nASIG)&gt;0)*1),"")))</f>
        <v/>
      </c>
      <c r="Z627" t="str">
        <f>IF(Y627="","",IF(Y627="[FÓRMULA MANUAL]","",IFERROR(AVERAGEIFS(nNOTA,nNIA,Y627,nCUENTA,1,nASIG,"Análisis"),"")))</f>
        <v/>
      </c>
      <c r="AA627" t="str">
        <f>IF(Y627="","",IF(Y627="[FÓRMULA MANUAL]","",IFERROR(AVERAGEIFS(nNOTA,nNIA,Y627,nCUENTA,1,nASIG,"Orquesta/Banda/Conjunto"),"")))</f>
        <v/>
      </c>
      <c r="AB627" t="str">
        <f>IF(Y627="","",IF(Y627="[FÓRMULA MANUAL]","",IFERROR(AVERAGEIFS(nNOTA,nNIA,Y627,nCUENTA,1,nASIG,"Música de Cámara"),"")))</f>
        <v/>
      </c>
      <c r="AC627" t="str">
        <f>IF(Y627="","",IF(Y627="[FÓRMULA MANUAL]","",IFERROR(SUMPRODUCT((nNIA=Y627)*(nCUENTA=1)*(COUNTIF(CONFIG_ASIGNATURAS!$B$7:$B$27,nASIG)&gt;0)*(nNOTA))/SUMPRODUCT((nNIA=Y627)*(nCUENTA=1)*(COUNTIF(CONFIG_ASIGNATURAS!$B$7:$B$27,nASIG)&gt;0)*1),"")))</f>
        <v/>
      </c>
      <c r="AF627" t="str">
        <f>IF(AE627="","",IF(AE627="[FÓRMULA MANUAL]","",IFERROR(AVERAGEIFS(nNOTA,nNIA,AE627,nCUENTA,1,nASIG,"Análisis"),"")))</f>
        <v/>
      </c>
      <c r="AG627" t="str">
        <f>IF(AE627="","",IF(AE627="[FÓRMULA MANUAL]","",IFERROR(AVERAGEIFS(nNOTA,nNIA,AE627,nCUENTA,1,nASIG,"Orquesta/Banda/Conjunto"),"")))</f>
        <v/>
      </c>
      <c r="AH627" t="str">
        <f>IF(AE627="","",IF(AE627="[FÓRMULA MANUAL]","",IFERROR(AVERAGEIFS(nNOTA,nNIA,AE627,nCUENTA,1,nASIG,"Música de Cámara"),"")))</f>
        <v/>
      </c>
      <c r="AI627" t="str">
        <f>IF(AE627="","",IF(AE627="[FÓRMULA MANUAL]","",IFERROR(SUMPRODUCT((nNIA=AE627)*(nCUENTA=1)*(COUNTIF(CONFIG_ASIGNATURAS!$B$7:$B$27,nASIG)&gt;0)*(nNOTA))/SUMPRODUCT((nNIA=AE627)*(nCUENTA=1)*(COUNTIF(CONFIG_ASIGNATURAS!$B$7:$B$27,nASIG)&gt;0)*1),"")))</f>
        <v/>
      </c>
    </row>
    <row r="628" spans="2:35" x14ac:dyDescent="0.2">
      <c r="B628" t="str">
        <f>IF(A628="","",IF(A628="[FÓRMULA MANUAL]","",IFERROR(AVERAGEIFS(nNOTA,nNIA,A628,nCUENTA,1,nASIG,"Lenguaje Musical"),"")))</f>
        <v/>
      </c>
      <c r="C628" t="str">
        <f>IF(A628="","",IF(A628="[FÓRMULA MANUAL]","",IFERROR(AVERAGEIFS(nNOTA,nNIA,A628,nCUENTA,1,nASIG,"Orquesta/Banda/Conjunto"),"")))</f>
        <v/>
      </c>
      <c r="D628" t="str">
        <f>IF(A628="","",IF(A628="[FÓRMULA MANUAL]","",IFERROR(AVERAGEIFS(nNOTA,nNIA,A628,nCUENTA,1,nASIG,"Conjunto"),"")))</f>
        <v/>
      </c>
      <c r="E628" t="str">
        <f>IF(A628="","",IF(A628="[FÓRMULA MANUAL]","",IFERROR(SUMPRODUCT((nNIA=A628)*(nCUENTA=1)*(COUNTIF(CONFIG_ASIGNATURAS!$B$7:$B$27,nASIG)&gt;0)*(nNOTA))/SUMPRODUCT((nNIA=A628)*(nCUENTA=1)*(COUNTIF(CONFIG_ASIGNATURAS!$B$7:$B$27,nASIG)&gt;0)*1),"")))</f>
        <v/>
      </c>
      <c r="H628" t="str">
        <f>IF(G628="","",IF(G628="[FÓRMULA MANUAL]","",IFERROR(AVERAGEIFS(nNOTA,nNIA,G628,nCUENTA,1,nASIG,"Lenguaje Musical"),"")))</f>
        <v/>
      </c>
      <c r="I628" t="str">
        <f>IF(G628="","",IF(G628="[FÓRMULA MANUAL]","",IFERROR(AVERAGEIFS(nNOTA,nNIA,G628,nCUENTA,1,nASIG,"Orquesta/Banda/Conjunto"),"")))</f>
        <v/>
      </c>
      <c r="J628" t="str">
        <f>IF(G628="","",IF(G628="[FÓRMULA MANUAL]","",IFERROR(AVERAGEIFS(nNOTA,nNIA,G628,nCUENTA,1,nASIG,"Conjunto"),"")))</f>
        <v/>
      </c>
      <c r="K628" t="str">
        <f>IF(G628="","",IF(G628="[FÓRMULA MANUAL]","",IFERROR(SUMPRODUCT((nNIA=G628)*(nCUENTA=1)*(COUNTIF(CONFIG_ASIGNATURAS!$B$7:$B$27,nASIG)&gt;0)*(nNOTA))/SUMPRODUCT((nNIA=G628)*(nCUENTA=1)*(COUNTIF(CONFIG_ASIGNATURAS!$B$7:$B$27,nASIG)&gt;0)*1),"")))</f>
        <v/>
      </c>
      <c r="N628" t="str">
        <f>IF(M628="","",IF(M628="[FÓRMULA MANUAL]","",IFERROR(AVERAGEIFS(nNOTA,nNIA,M628,nCUENTA,1,nASIG,"Armonía"),"")))</f>
        <v/>
      </c>
      <c r="O628" t="str">
        <f>IF(M628="","",IF(M628="[FÓRMULA MANUAL]","",IFERROR(AVERAGEIFS(nNOTA,nNIA,M628,nCUENTA,1,nASIG,"Orquesta/Banda/Conjunto"),"")))</f>
        <v/>
      </c>
      <c r="P628" t="str">
        <f>IF(M628="","",IF(M628="[FÓRMULA MANUAL]","",IFERROR(AVERAGEIFS(nNOTA,nNIA,M628,nCUENTA,1,nASIG,"Música de Cámara"),"")))</f>
        <v/>
      </c>
      <c r="Q628" t="str">
        <f>IF(M628="","",IF(M628="[FÓRMULA MANUAL]","",IFERROR(SUMPRODUCT((nNIA=M628)*(nCUENTA=1)*(COUNTIF(CONFIG_ASIGNATURAS!$B$7:$B$27,nASIG)&gt;0)*(nNOTA))/SUMPRODUCT((nNIA=M628)*(nCUENTA=1)*(COUNTIF(CONFIG_ASIGNATURAS!$B$7:$B$27,nASIG)&gt;0)*1),"")))</f>
        <v/>
      </c>
      <c r="T628" t="str">
        <f>IF(S628="","",IF(S628="[FÓRMULA MANUAL]","",IFERROR(AVERAGEIFS(nNOTA,nNIA,S628,nCUENTA,1,nASIG,"Armonía"),"")))</f>
        <v/>
      </c>
      <c r="U628" t="str">
        <f>IF(S628="","",IF(S628="[FÓRMULA MANUAL]","",IFERROR(AVERAGEIFS(nNOTA,nNIA,S628,nCUENTA,1,nASIG,"Orquesta/Banda/Conjunto"),"")))</f>
        <v/>
      </c>
      <c r="V628" t="str">
        <f>IF(S628="","",IF(S628="[FÓRMULA MANUAL]","",IFERROR(AVERAGEIFS(nNOTA,nNIA,S628,nCUENTA,1,nASIG,"Música de Cámara"),"")))</f>
        <v/>
      </c>
      <c r="W628" t="str">
        <f>IF(S628="","",IF(S628="[FÓRMULA MANUAL]","",IFERROR(SUMPRODUCT((nNIA=S628)*(nCUENTA=1)*(COUNTIF(CONFIG_ASIGNATURAS!$B$7:$B$27,nASIG)&gt;0)*(nNOTA))/SUMPRODUCT((nNIA=S628)*(nCUENTA=1)*(COUNTIF(CONFIG_ASIGNATURAS!$B$7:$B$27,nASIG)&gt;0)*1),"")))</f>
        <v/>
      </c>
      <c r="Z628" t="str">
        <f>IF(Y628="","",IF(Y628="[FÓRMULA MANUAL]","",IFERROR(AVERAGEIFS(nNOTA,nNIA,Y628,nCUENTA,1,nASIG,"Análisis"),"")))</f>
        <v/>
      </c>
      <c r="AA628" t="str">
        <f>IF(Y628="","",IF(Y628="[FÓRMULA MANUAL]","",IFERROR(AVERAGEIFS(nNOTA,nNIA,Y628,nCUENTA,1,nASIG,"Orquesta/Banda/Conjunto"),"")))</f>
        <v/>
      </c>
      <c r="AB628" t="str">
        <f>IF(Y628="","",IF(Y628="[FÓRMULA MANUAL]","",IFERROR(AVERAGEIFS(nNOTA,nNIA,Y628,nCUENTA,1,nASIG,"Música de Cámara"),"")))</f>
        <v/>
      </c>
      <c r="AC628" t="str">
        <f>IF(Y628="","",IF(Y628="[FÓRMULA MANUAL]","",IFERROR(SUMPRODUCT((nNIA=Y628)*(nCUENTA=1)*(COUNTIF(CONFIG_ASIGNATURAS!$B$7:$B$27,nASIG)&gt;0)*(nNOTA))/SUMPRODUCT((nNIA=Y628)*(nCUENTA=1)*(COUNTIF(CONFIG_ASIGNATURAS!$B$7:$B$27,nASIG)&gt;0)*1),"")))</f>
        <v/>
      </c>
      <c r="AF628" t="str">
        <f>IF(AE628="","",IF(AE628="[FÓRMULA MANUAL]","",IFERROR(AVERAGEIFS(nNOTA,nNIA,AE628,nCUENTA,1,nASIG,"Análisis"),"")))</f>
        <v/>
      </c>
      <c r="AG628" t="str">
        <f>IF(AE628="","",IF(AE628="[FÓRMULA MANUAL]","",IFERROR(AVERAGEIFS(nNOTA,nNIA,AE628,nCUENTA,1,nASIG,"Orquesta/Banda/Conjunto"),"")))</f>
        <v/>
      </c>
      <c r="AH628" t="str">
        <f>IF(AE628="","",IF(AE628="[FÓRMULA MANUAL]","",IFERROR(AVERAGEIFS(nNOTA,nNIA,AE628,nCUENTA,1,nASIG,"Música de Cámara"),"")))</f>
        <v/>
      </c>
      <c r="AI628" t="str">
        <f>IF(AE628="","",IF(AE628="[FÓRMULA MANUAL]","",IFERROR(SUMPRODUCT((nNIA=AE628)*(nCUENTA=1)*(COUNTIF(CONFIG_ASIGNATURAS!$B$7:$B$27,nASIG)&gt;0)*(nNOTA))/SUMPRODUCT((nNIA=AE628)*(nCUENTA=1)*(COUNTIF(CONFIG_ASIGNATURAS!$B$7:$B$27,nASIG)&gt;0)*1),"")))</f>
        <v/>
      </c>
    </row>
    <row r="629" spans="2:35" x14ac:dyDescent="0.2">
      <c r="B629" t="str">
        <f>IF(A629="","",IF(A629="[FÓRMULA MANUAL]","",IFERROR(AVERAGEIFS(nNOTA,nNIA,A629,nCUENTA,1,nASIG,"Lenguaje Musical"),"")))</f>
        <v/>
      </c>
      <c r="C629" t="str">
        <f>IF(A629="","",IF(A629="[FÓRMULA MANUAL]","",IFERROR(AVERAGEIFS(nNOTA,nNIA,A629,nCUENTA,1,nASIG,"Orquesta/Banda/Conjunto"),"")))</f>
        <v/>
      </c>
      <c r="D629" t="str">
        <f>IF(A629="","",IF(A629="[FÓRMULA MANUAL]","",IFERROR(AVERAGEIFS(nNOTA,nNIA,A629,nCUENTA,1,nASIG,"Conjunto"),"")))</f>
        <v/>
      </c>
      <c r="E629" t="str">
        <f>IF(A629="","",IF(A629="[FÓRMULA MANUAL]","",IFERROR(SUMPRODUCT((nNIA=A629)*(nCUENTA=1)*(COUNTIF(CONFIG_ASIGNATURAS!$B$7:$B$27,nASIG)&gt;0)*(nNOTA))/SUMPRODUCT((nNIA=A629)*(nCUENTA=1)*(COUNTIF(CONFIG_ASIGNATURAS!$B$7:$B$27,nASIG)&gt;0)*1),"")))</f>
        <v/>
      </c>
      <c r="H629" t="str">
        <f>IF(G629="","",IF(G629="[FÓRMULA MANUAL]","",IFERROR(AVERAGEIFS(nNOTA,nNIA,G629,nCUENTA,1,nASIG,"Lenguaje Musical"),"")))</f>
        <v/>
      </c>
      <c r="I629" t="str">
        <f>IF(G629="","",IF(G629="[FÓRMULA MANUAL]","",IFERROR(AVERAGEIFS(nNOTA,nNIA,G629,nCUENTA,1,nASIG,"Orquesta/Banda/Conjunto"),"")))</f>
        <v/>
      </c>
      <c r="J629" t="str">
        <f>IF(G629="","",IF(G629="[FÓRMULA MANUAL]","",IFERROR(AVERAGEIFS(nNOTA,nNIA,G629,nCUENTA,1,nASIG,"Conjunto"),"")))</f>
        <v/>
      </c>
      <c r="K629" t="str">
        <f>IF(G629="","",IF(G629="[FÓRMULA MANUAL]","",IFERROR(SUMPRODUCT((nNIA=G629)*(nCUENTA=1)*(COUNTIF(CONFIG_ASIGNATURAS!$B$7:$B$27,nASIG)&gt;0)*(nNOTA))/SUMPRODUCT((nNIA=G629)*(nCUENTA=1)*(COUNTIF(CONFIG_ASIGNATURAS!$B$7:$B$27,nASIG)&gt;0)*1),"")))</f>
        <v/>
      </c>
      <c r="N629" t="str">
        <f>IF(M629="","",IF(M629="[FÓRMULA MANUAL]","",IFERROR(AVERAGEIFS(nNOTA,nNIA,M629,nCUENTA,1,nASIG,"Armonía"),"")))</f>
        <v/>
      </c>
      <c r="O629" t="str">
        <f>IF(M629="","",IF(M629="[FÓRMULA MANUAL]","",IFERROR(AVERAGEIFS(nNOTA,nNIA,M629,nCUENTA,1,nASIG,"Orquesta/Banda/Conjunto"),"")))</f>
        <v/>
      </c>
      <c r="P629" t="str">
        <f>IF(M629="","",IF(M629="[FÓRMULA MANUAL]","",IFERROR(AVERAGEIFS(nNOTA,nNIA,M629,nCUENTA,1,nASIG,"Música de Cámara"),"")))</f>
        <v/>
      </c>
      <c r="Q629" t="str">
        <f>IF(M629="","",IF(M629="[FÓRMULA MANUAL]","",IFERROR(SUMPRODUCT((nNIA=M629)*(nCUENTA=1)*(COUNTIF(CONFIG_ASIGNATURAS!$B$7:$B$27,nASIG)&gt;0)*(nNOTA))/SUMPRODUCT((nNIA=M629)*(nCUENTA=1)*(COUNTIF(CONFIG_ASIGNATURAS!$B$7:$B$27,nASIG)&gt;0)*1),"")))</f>
        <v/>
      </c>
      <c r="T629" t="str">
        <f>IF(S629="","",IF(S629="[FÓRMULA MANUAL]","",IFERROR(AVERAGEIFS(nNOTA,nNIA,S629,nCUENTA,1,nASIG,"Armonía"),"")))</f>
        <v/>
      </c>
      <c r="U629" t="str">
        <f>IF(S629="","",IF(S629="[FÓRMULA MANUAL]","",IFERROR(AVERAGEIFS(nNOTA,nNIA,S629,nCUENTA,1,nASIG,"Orquesta/Banda/Conjunto"),"")))</f>
        <v/>
      </c>
      <c r="V629" t="str">
        <f>IF(S629="","",IF(S629="[FÓRMULA MANUAL]","",IFERROR(AVERAGEIFS(nNOTA,nNIA,S629,nCUENTA,1,nASIG,"Música de Cámara"),"")))</f>
        <v/>
      </c>
      <c r="W629" t="str">
        <f>IF(S629="","",IF(S629="[FÓRMULA MANUAL]","",IFERROR(SUMPRODUCT((nNIA=S629)*(nCUENTA=1)*(COUNTIF(CONFIG_ASIGNATURAS!$B$7:$B$27,nASIG)&gt;0)*(nNOTA))/SUMPRODUCT((nNIA=S629)*(nCUENTA=1)*(COUNTIF(CONFIG_ASIGNATURAS!$B$7:$B$27,nASIG)&gt;0)*1),"")))</f>
        <v/>
      </c>
      <c r="Z629" t="str">
        <f>IF(Y629="","",IF(Y629="[FÓRMULA MANUAL]","",IFERROR(AVERAGEIFS(nNOTA,nNIA,Y629,nCUENTA,1,nASIG,"Análisis"),"")))</f>
        <v/>
      </c>
      <c r="AA629" t="str">
        <f>IF(Y629="","",IF(Y629="[FÓRMULA MANUAL]","",IFERROR(AVERAGEIFS(nNOTA,nNIA,Y629,nCUENTA,1,nASIG,"Orquesta/Banda/Conjunto"),"")))</f>
        <v/>
      </c>
      <c r="AB629" t="str">
        <f>IF(Y629="","",IF(Y629="[FÓRMULA MANUAL]","",IFERROR(AVERAGEIFS(nNOTA,nNIA,Y629,nCUENTA,1,nASIG,"Música de Cámara"),"")))</f>
        <v/>
      </c>
      <c r="AC629" t="str">
        <f>IF(Y629="","",IF(Y629="[FÓRMULA MANUAL]","",IFERROR(SUMPRODUCT((nNIA=Y629)*(nCUENTA=1)*(COUNTIF(CONFIG_ASIGNATURAS!$B$7:$B$27,nASIG)&gt;0)*(nNOTA))/SUMPRODUCT((nNIA=Y629)*(nCUENTA=1)*(COUNTIF(CONFIG_ASIGNATURAS!$B$7:$B$27,nASIG)&gt;0)*1),"")))</f>
        <v/>
      </c>
      <c r="AF629" t="str">
        <f>IF(AE629="","",IF(AE629="[FÓRMULA MANUAL]","",IFERROR(AVERAGEIFS(nNOTA,nNIA,AE629,nCUENTA,1,nASIG,"Análisis"),"")))</f>
        <v/>
      </c>
      <c r="AG629" t="str">
        <f>IF(AE629="","",IF(AE629="[FÓRMULA MANUAL]","",IFERROR(AVERAGEIFS(nNOTA,nNIA,AE629,nCUENTA,1,nASIG,"Orquesta/Banda/Conjunto"),"")))</f>
        <v/>
      </c>
      <c r="AH629" t="str">
        <f>IF(AE629="","",IF(AE629="[FÓRMULA MANUAL]","",IFERROR(AVERAGEIFS(nNOTA,nNIA,AE629,nCUENTA,1,nASIG,"Música de Cámara"),"")))</f>
        <v/>
      </c>
      <c r="AI629" t="str">
        <f>IF(AE629="","",IF(AE629="[FÓRMULA MANUAL]","",IFERROR(SUMPRODUCT((nNIA=AE629)*(nCUENTA=1)*(COUNTIF(CONFIG_ASIGNATURAS!$B$7:$B$27,nASIG)&gt;0)*(nNOTA))/SUMPRODUCT((nNIA=AE629)*(nCUENTA=1)*(COUNTIF(CONFIG_ASIGNATURAS!$B$7:$B$27,nASIG)&gt;0)*1),"")))</f>
        <v/>
      </c>
    </row>
    <row r="630" spans="2:35" x14ac:dyDescent="0.2">
      <c r="B630" t="str">
        <f>IF(A630="","",IF(A630="[FÓRMULA MANUAL]","",IFERROR(AVERAGEIFS(nNOTA,nNIA,A630,nCUENTA,1,nASIG,"Lenguaje Musical"),"")))</f>
        <v/>
      </c>
      <c r="C630" t="str">
        <f>IF(A630="","",IF(A630="[FÓRMULA MANUAL]","",IFERROR(AVERAGEIFS(nNOTA,nNIA,A630,nCUENTA,1,nASIG,"Orquesta/Banda/Conjunto"),"")))</f>
        <v/>
      </c>
      <c r="D630" t="str">
        <f>IF(A630="","",IF(A630="[FÓRMULA MANUAL]","",IFERROR(AVERAGEIFS(nNOTA,nNIA,A630,nCUENTA,1,nASIG,"Conjunto"),"")))</f>
        <v/>
      </c>
      <c r="E630" t="str">
        <f>IF(A630="","",IF(A630="[FÓRMULA MANUAL]","",IFERROR(SUMPRODUCT((nNIA=A630)*(nCUENTA=1)*(COUNTIF(CONFIG_ASIGNATURAS!$B$7:$B$27,nASIG)&gt;0)*(nNOTA))/SUMPRODUCT((nNIA=A630)*(nCUENTA=1)*(COUNTIF(CONFIG_ASIGNATURAS!$B$7:$B$27,nASIG)&gt;0)*1),"")))</f>
        <v/>
      </c>
      <c r="H630" t="str">
        <f>IF(G630="","",IF(G630="[FÓRMULA MANUAL]","",IFERROR(AVERAGEIFS(nNOTA,nNIA,G630,nCUENTA,1,nASIG,"Lenguaje Musical"),"")))</f>
        <v/>
      </c>
      <c r="I630" t="str">
        <f>IF(G630="","",IF(G630="[FÓRMULA MANUAL]","",IFERROR(AVERAGEIFS(nNOTA,nNIA,G630,nCUENTA,1,nASIG,"Orquesta/Banda/Conjunto"),"")))</f>
        <v/>
      </c>
      <c r="J630" t="str">
        <f>IF(G630="","",IF(G630="[FÓRMULA MANUAL]","",IFERROR(AVERAGEIFS(nNOTA,nNIA,G630,nCUENTA,1,nASIG,"Conjunto"),"")))</f>
        <v/>
      </c>
      <c r="K630" t="str">
        <f>IF(G630="","",IF(G630="[FÓRMULA MANUAL]","",IFERROR(SUMPRODUCT((nNIA=G630)*(nCUENTA=1)*(COUNTIF(CONFIG_ASIGNATURAS!$B$7:$B$27,nASIG)&gt;0)*(nNOTA))/SUMPRODUCT((nNIA=G630)*(nCUENTA=1)*(COUNTIF(CONFIG_ASIGNATURAS!$B$7:$B$27,nASIG)&gt;0)*1),"")))</f>
        <v/>
      </c>
      <c r="N630" t="str">
        <f>IF(M630="","",IF(M630="[FÓRMULA MANUAL]","",IFERROR(AVERAGEIFS(nNOTA,nNIA,M630,nCUENTA,1,nASIG,"Armonía"),"")))</f>
        <v/>
      </c>
      <c r="O630" t="str">
        <f>IF(M630="","",IF(M630="[FÓRMULA MANUAL]","",IFERROR(AVERAGEIFS(nNOTA,nNIA,M630,nCUENTA,1,nASIG,"Orquesta/Banda/Conjunto"),"")))</f>
        <v/>
      </c>
      <c r="P630" t="str">
        <f>IF(M630="","",IF(M630="[FÓRMULA MANUAL]","",IFERROR(AVERAGEIFS(nNOTA,nNIA,M630,nCUENTA,1,nASIG,"Música de Cámara"),"")))</f>
        <v/>
      </c>
      <c r="Q630" t="str">
        <f>IF(M630="","",IF(M630="[FÓRMULA MANUAL]","",IFERROR(SUMPRODUCT((nNIA=M630)*(nCUENTA=1)*(COUNTIF(CONFIG_ASIGNATURAS!$B$7:$B$27,nASIG)&gt;0)*(nNOTA))/SUMPRODUCT((nNIA=M630)*(nCUENTA=1)*(COUNTIF(CONFIG_ASIGNATURAS!$B$7:$B$27,nASIG)&gt;0)*1),"")))</f>
        <v/>
      </c>
      <c r="T630" t="str">
        <f>IF(S630="","",IF(S630="[FÓRMULA MANUAL]","",IFERROR(AVERAGEIFS(nNOTA,nNIA,S630,nCUENTA,1,nASIG,"Armonía"),"")))</f>
        <v/>
      </c>
      <c r="U630" t="str">
        <f>IF(S630="","",IF(S630="[FÓRMULA MANUAL]","",IFERROR(AVERAGEIFS(nNOTA,nNIA,S630,nCUENTA,1,nASIG,"Orquesta/Banda/Conjunto"),"")))</f>
        <v/>
      </c>
      <c r="V630" t="str">
        <f>IF(S630="","",IF(S630="[FÓRMULA MANUAL]","",IFERROR(AVERAGEIFS(nNOTA,nNIA,S630,nCUENTA,1,nASIG,"Música de Cámara"),"")))</f>
        <v/>
      </c>
      <c r="W630" t="str">
        <f>IF(S630="","",IF(S630="[FÓRMULA MANUAL]","",IFERROR(SUMPRODUCT((nNIA=S630)*(nCUENTA=1)*(COUNTIF(CONFIG_ASIGNATURAS!$B$7:$B$27,nASIG)&gt;0)*(nNOTA))/SUMPRODUCT((nNIA=S630)*(nCUENTA=1)*(COUNTIF(CONFIG_ASIGNATURAS!$B$7:$B$27,nASIG)&gt;0)*1),"")))</f>
        <v/>
      </c>
      <c r="Z630" t="str">
        <f>IF(Y630="","",IF(Y630="[FÓRMULA MANUAL]","",IFERROR(AVERAGEIFS(nNOTA,nNIA,Y630,nCUENTA,1,nASIG,"Análisis"),"")))</f>
        <v/>
      </c>
      <c r="AA630" t="str">
        <f>IF(Y630="","",IF(Y630="[FÓRMULA MANUAL]","",IFERROR(AVERAGEIFS(nNOTA,nNIA,Y630,nCUENTA,1,nASIG,"Orquesta/Banda/Conjunto"),"")))</f>
        <v/>
      </c>
      <c r="AB630" t="str">
        <f>IF(Y630="","",IF(Y630="[FÓRMULA MANUAL]","",IFERROR(AVERAGEIFS(nNOTA,nNIA,Y630,nCUENTA,1,nASIG,"Música de Cámara"),"")))</f>
        <v/>
      </c>
      <c r="AC630" t="str">
        <f>IF(Y630="","",IF(Y630="[FÓRMULA MANUAL]","",IFERROR(SUMPRODUCT((nNIA=Y630)*(nCUENTA=1)*(COUNTIF(CONFIG_ASIGNATURAS!$B$7:$B$27,nASIG)&gt;0)*(nNOTA))/SUMPRODUCT((nNIA=Y630)*(nCUENTA=1)*(COUNTIF(CONFIG_ASIGNATURAS!$B$7:$B$27,nASIG)&gt;0)*1),"")))</f>
        <v/>
      </c>
      <c r="AF630" t="str">
        <f>IF(AE630="","",IF(AE630="[FÓRMULA MANUAL]","",IFERROR(AVERAGEIFS(nNOTA,nNIA,AE630,nCUENTA,1,nASIG,"Análisis"),"")))</f>
        <v/>
      </c>
      <c r="AG630" t="str">
        <f>IF(AE630="","",IF(AE630="[FÓRMULA MANUAL]","",IFERROR(AVERAGEIFS(nNOTA,nNIA,AE630,nCUENTA,1,nASIG,"Orquesta/Banda/Conjunto"),"")))</f>
        <v/>
      </c>
      <c r="AH630" t="str">
        <f>IF(AE630="","",IF(AE630="[FÓRMULA MANUAL]","",IFERROR(AVERAGEIFS(nNOTA,nNIA,AE630,nCUENTA,1,nASIG,"Música de Cámara"),"")))</f>
        <v/>
      </c>
      <c r="AI630" t="str">
        <f>IF(AE630="","",IF(AE630="[FÓRMULA MANUAL]","",IFERROR(SUMPRODUCT((nNIA=AE630)*(nCUENTA=1)*(COUNTIF(CONFIG_ASIGNATURAS!$B$7:$B$27,nASIG)&gt;0)*(nNOTA))/SUMPRODUCT((nNIA=AE630)*(nCUENTA=1)*(COUNTIF(CONFIG_ASIGNATURAS!$B$7:$B$27,nASIG)&gt;0)*1),"")))</f>
        <v/>
      </c>
    </row>
    <row r="631" spans="2:35" x14ac:dyDescent="0.2">
      <c r="B631" t="str">
        <f>IF(A631="","",IF(A631="[FÓRMULA MANUAL]","",IFERROR(AVERAGEIFS(nNOTA,nNIA,A631,nCUENTA,1,nASIG,"Lenguaje Musical"),"")))</f>
        <v/>
      </c>
      <c r="C631" t="str">
        <f>IF(A631="","",IF(A631="[FÓRMULA MANUAL]","",IFERROR(AVERAGEIFS(nNOTA,nNIA,A631,nCUENTA,1,nASIG,"Orquesta/Banda/Conjunto"),"")))</f>
        <v/>
      </c>
      <c r="D631" t="str">
        <f>IF(A631="","",IF(A631="[FÓRMULA MANUAL]","",IFERROR(AVERAGEIFS(nNOTA,nNIA,A631,nCUENTA,1,nASIG,"Conjunto"),"")))</f>
        <v/>
      </c>
      <c r="E631" t="str">
        <f>IF(A631="","",IF(A631="[FÓRMULA MANUAL]","",IFERROR(SUMPRODUCT((nNIA=A631)*(nCUENTA=1)*(COUNTIF(CONFIG_ASIGNATURAS!$B$7:$B$27,nASIG)&gt;0)*(nNOTA))/SUMPRODUCT((nNIA=A631)*(nCUENTA=1)*(COUNTIF(CONFIG_ASIGNATURAS!$B$7:$B$27,nASIG)&gt;0)*1),"")))</f>
        <v/>
      </c>
      <c r="H631" t="str">
        <f>IF(G631="","",IF(G631="[FÓRMULA MANUAL]","",IFERROR(AVERAGEIFS(nNOTA,nNIA,G631,nCUENTA,1,nASIG,"Lenguaje Musical"),"")))</f>
        <v/>
      </c>
      <c r="I631" t="str">
        <f>IF(G631="","",IF(G631="[FÓRMULA MANUAL]","",IFERROR(AVERAGEIFS(nNOTA,nNIA,G631,nCUENTA,1,nASIG,"Orquesta/Banda/Conjunto"),"")))</f>
        <v/>
      </c>
      <c r="J631" t="str">
        <f>IF(G631="","",IF(G631="[FÓRMULA MANUAL]","",IFERROR(AVERAGEIFS(nNOTA,nNIA,G631,nCUENTA,1,nASIG,"Conjunto"),"")))</f>
        <v/>
      </c>
      <c r="K631" t="str">
        <f>IF(G631="","",IF(G631="[FÓRMULA MANUAL]","",IFERROR(SUMPRODUCT((nNIA=G631)*(nCUENTA=1)*(COUNTIF(CONFIG_ASIGNATURAS!$B$7:$B$27,nASIG)&gt;0)*(nNOTA))/SUMPRODUCT((nNIA=G631)*(nCUENTA=1)*(COUNTIF(CONFIG_ASIGNATURAS!$B$7:$B$27,nASIG)&gt;0)*1),"")))</f>
        <v/>
      </c>
      <c r="N631" t="str">
        <f>IF(M631="","",IF(M631="[FÓRMULA MANUAL]","",IFERROR(AVERAGEIFS(nNOTA,nNIA,M631,nCUENTA,1,nASIG,"Armonía"),"")))</f>
        <v/>
      </c>
      <c r="O631" t="str">
        <f>IF(M631="","",IF(M631="[FÓRMULA MANUAL]","",IFERROR(AVERAGEIFS(nNOTA,nNIA,M631,nCUENTA,1,nASIG,"Orquesta/Banda/Conjunto"),"")))</f>
        <v/>
      </c>
      <c r="P631" t="str">
        <f>IF(M631="","",IF(M631="[FÓRMULA MANUAL]","",IFERROR(AVERAGEIFS(nNOTA,nNIA,M631,nCUENTA,1,nASIG,"Música de Cámara"),"")))</f>
        <v/>
      </c>
      <c r="Q631" t="str">
        <f>IF(M631="","",IF(M631="[FÓRMULA MANUAL]","",IFERROR(SUMPRODUCT((nNIA=M631)*(nCUENTA=1)*(COUNTIF(CONFIG_ASIGNATURAS!$B$7:$B$27,nASIG)&gt;0)*(nNOTA))/SUMPRODUCT((nNIA=M631)*(nCUENTA=1)*(COUNTIF(CONFIG_ASIGNATURAS!$B$7:$B$27,nASIG)&gt;0)*1),"")))</f>
        <v/>
      </c>
      <c r="T631" t="str">
        <f>IF(S631="","",IF(S631="[FÓRMULA MANUAL]","",IFERROR(AVERAGEIFS(nNOTA,nNIA,S631,nCUENTA,1,nASIG,"Armonía"),"")))</f>
        <v/>
      </c>
      <c r="U631" t="str">
        <f>IF(S631="","",IF(S631="[FÓRMULA MANUAL]","",IFERROR(AVERAGEIFS(nNOTA,nNIA,S631,nCUENTA,1,nASIG,"Orquesta/Banda/Conjunto"),"")))</f>
        <v/>
      </c>
      <c r="V631" t="str">
        <f>IF(S631="","",IF(S631="[FÓRMULA MANUAL]","",IFERROR(AVERAGEIFS(nNOTA,nNIA,S631,nCUENTA,1,nASIG,"Música de Cámara"),"")))</f>
        <v/>
      </c>
      <c r="W631" t="str">
        <f>IF(S631="","",IF(S631="[FÓRMULA MANUAL]","",IFERROR(SUMPRODUCT((nNIA=S631)*(nCUENTA=1)*(COUNTIF(CONFIG_ASIGNATURAS!$B$7:$B$27,nASIG)&gt;0)*(nNOTA))/SUMPRODUCT((nNIA=S631)*(nCUENTA=1)*(COUNTIF(CONFIG_ASIGNATURAS!$B$7:$B$27,nASIG)&gt;0)*1),"")))</f>
        <v/>
      </c>
      <c r="Z631" t="str">
        <f>IF(Y631="","",IF(Y631="[FÓRMULA MANUAL]","",IFERROR(AVERAGEIFS(nNOTA,nNIA,Y631,nCUENTA,1,nASIG,"Análisis"),"")))</f>
        <v/>
      </c>
      <c r="AA631" t="str">
        <f>IF(Y631="","",IF(Y631="[FÓRMULA MANUAL]","",IFERROR(AVERAGEIFS(nNOTA,nNIA,Y631,nCUENTA,1,nASIG,"Orquesta/Banda/Conjunto"),"")))</f>
        <v/>
      </c>
      <c r="AB631" t="str">
        <f>IF(Y631="","",IF(Y631="[FÓRMULA MANUAL]","",IFERROR(AVERAGEIFS(nNOTA,nNIA,Y631,nCUENTA,1,nASIG,"Música de Cámara"),"")))</f>
        <v/>
      </c>
      <c r="AC631" t="str">
        <f>IF(Y631="","",IF(Y631="[FÓRMULA MANUAL]","",IFERROR(SUMPRODUCT((nNIA=Y631)*(nCUENTA=1)*(COUNTIF(CONFIG_ASIGNATURAS!$B$7:$B$27,nASIG)&gt;0)*(nNOTA))/SUMPRODUCT((nNIA=Y631)*(nCUENTA=1)*(COUNTIF(CONFIG_ASIGNATURAS!$B$7:$B$27,nASIG)&gt;0)*1),"")))</f>
        <v/>
      </c>
      <c r="AF631" t="str">
        <f>IF(AE631="","",IF(AE631="[FÓRMULA MANUAL]","",IFERROR(AVERAGEIFS(nNOTA,nNIA,AE631,nCUENTA,1,nASIG,"Análisis"),"")))</f>
        <v/>
      </c>
      <c r="AG631" t="str">
        <f>IF(AE631="","",IF(AE631="[FÓRMULA MANUAL]","",IFERROR(AVERAGEIFS(nNOTA,nNIA,AE631,nCUENTA,1,nASIG,"Orquesta/Banda/Conjunto"),"")))</f>
        <v/>
      </c>
      <c r="AH631" t="str">
        <f>IF(AE631="","",IF(AE631="[FÓRMULA MANUAL]","",IFERROR(AVERAGEIFS(nNOTA,nNIA,AE631,nCUENTA,1,nASIG,"Música de Cámara"),"")))</f>
        <v/>
      </c>
      <c r="AI631" t="str">
        <f>IF(AE631="","",IF(AE631="[FÓRMULA MANUAL]","",IFERROR(SUMPRODUCT((nNIA=AE631)*(nCUENTA=1)*(COUNTIF(CONFIG_ASIGNATURAS!$B$7:$B$27,nASIG)&gt;0)*(nNOTA))/SUMPRODUCT((nNIA=AE631)*(nCUENTA=1)*(COUNTIF(CONFIG_ASIGNATURAS!$B$7:$B$27,nASIG)&gt;0)*1),"")))</f>
        <v/>
      </c>
    </row>
    <row r="632" spans="2:35" x14ac:dyDescent="0.2">
      <c r="B632" t="str">
        <f>IF(A632="","",IF(A632="[FÓRMULA MANUAL]","",IFERROR(AVERAGEIFS(nNOTA,nNIA,A632,nCUENTA,1,nASIG,"Lenguaje Musical"),"")))</f>
        <v/>
      </c>
      <c r="C632" t="str">
        <f>IF(A632="","",IF(A632="[FÓRMULA MANUAL]","",IFERROR(AVERAGEIFS(nNOTA,nNIA,A632,nCUENTA,1,nASIG,"Orquesta/Banda/Conjunto"),"")))</f>
        <v/>
      </c>
      <c r="D632" t="str">
        <f>IF(A632="","",IF(A632="[FÓRMULA MANUAL]","",IFERROR(AVERAGEIFS(nNOTA,nNIA,A632,nCUENTA,1,nASIG,"Conjunto"),"")))</f>
        <v/>
      </c>
      <c r="E632" t="str">
        <f>IF(A632="","",IF(A632="[FÓRMULA MANUAL]","",IFERROR(SUMPRODUCT((nNIA=A632)*(nCUENTA=1)*(COUNTIF(CONFIG_ASIGNATURAS!$B$7:$B$27,nASIG)&gt;0)*(nNOTA))/SUMPRODUCT((nNIA=A632)*(nCUENTA=1)*(COUNTIF(CONFIG_ASIGNATURAS!$B$7:$B$27,nASIG)&gt;0)*1),"")))</f>
        <v/>
      </c>
      <c r="H632" t="str">
        <f>IF(G632="","",IF(G632="[FÓRMULA MANUAL]","",IFERROR(AVERAGEIFS(nNOTA,nNIA,G632,nCUENTA,1,nASIG,"Lenguaje Musical"),"")))</f>
        <v/>
      </c>
      <c r="I632" t="str">
        <f>IF(G632="","",IF(G632="[FÓRMULA MANUAL]","",IFERROR(AVERAGEIFS(nNOTA,nNIA,G632,nCUENTA,1,nASIG,"Orquesta/Banda/Conjunto"),"")))</f>
        <v/>
      </c>
      <c r="J632" t="str">
        <f>IF(G632="","",IF(G632="[FÓRMULA MANUAL]","",IFERROR(AVERAGEIFS(nNOTA,nNIA,G632,nCUENTA,1,nASIG,"Conjunto"),"")))</f>
        <v/>
      </c>
      <c r="K632" t="str">
        <f>IF(G632="","",IF(G632="[FÓRMULA MANUAL]","",IFERROR(SUMPRODUCT((nNIA=G632)*(nCUENTA=1)*(COUNTIF(CONFIG_ASIGNATURAS!$B$7:$B$27,nASIG)&gt;0)*(nNOTA))/SUMPRODUCT((nNIA=G632)*(nCUENTA=1)*(COUNTIF(CONFIG_ASIGNATURAS!$B$7:$B$27,nASIG)&gt;0)*1),"")))</f>
        <v/>
      </c>
      <c r="N632" t="str">
        <f>IF(M632="","",IF(M632="[FÓRMULA MANUAL]","",IFERROR(AVERAGEIFS(nNOTA,nNIA,M632,nCUENTA,1,nASIG,"Armonía"),"")))</f>
        <v/>
      </c>
      <c r="O632" t="str">
        <f>IF(M632="","",IF(M632="[FÓRMULA MANUAL]","",IFERROR(AVERAGEIFS(nNOTA,nNIA,M632,nCUENTA,1,nASIG,"Orquesta/Banda/Conjunto"),"")))</f>
        <v/>
      </c>
      <c r="P632" t="str">
        <f>IF(M632="","",IF(M632="[FÓRMULA MANUAL]","",IFERROR(AVERAGEIFS(nNOTA,nNIA,M632,nCUENTA,1,nASIG,"Música de Cámara"),"")))</f>
        <v/>
      </c>
      <c r="Q632" t="str">
        <f>IF(M632="","",IF(M632="[FÓRMULA MANUAL]","",IFERROR(SUMPRODUCT((nNIA=M632)*(nCUENTA=1)*(COUNTIF(CONFIG_ASIGNATURAS!$B$7:$B$27,nASIG)&gt;0)*(nNOTA))/SUMPRODUCT((nNIA=M632)*(nCUENTA=1)*(COUNTIF(CONFIG_ASIGNATURAS!$B$7:$B$27,nASIG)&gt;0)*1),"")))</f>
        <v/>
      </c>
      <c r="T632" t="str">
        <f>IF(S632="","",IF(S632="[FÓRMULA MANUAL]","",IFERROR(AVERAGEIFS(nNOTA,nNIA,S632,nCUENTA,1,nASIG,"Armonía"),"")))</f>
        <v/>
      </c>
      <c r="U632" t="str">
        <f>IF(S632="","",IF(S632="[FÓRMULA MANUAL]","",IFERROR(AVERAGEIFS(nNOTA,nNIA,S632,nCUENTA,1,nASIG,"Orquesta/Banda/Conjunto"),"")))</f>
        <v/>
      </c>
      <c r="V632" t="str">
        <f>IF(S632="","",IF(S632="[FÓRMULA MANUAL]","",IFERROR(AVERAGEIFS(nNOTA,nNIA,S632,nCUENTA,1,nASIG,"Música de Cámara"),"")))</f>
        <v/>
      </c>
      <c r="W632" t="str">
        <f>IF(S632="","",IF(S632="[FÓRMULA MANUAL]","",IFERROR(SUMPRODUCT((nNIA=S632)*(nCUENTA=1)*(COUNTIF(CONFIG_ASIGNATURAS!$B$7:$B$27,nASIG)&gt;0)*(nNOTA))/SUMPRODUCT((nNIA=S632)*(nCUENTA=1)*(COUNTIF(CONFIG_ASIGNATURAS!$B$7:$B$27,nASIG)&gt;0)*1),"")))</f>
        <v/>
      </c>
      <c r="Z632" t="str">
        <f>IF(Y632="","",IF(Y632="[FÓRMULA MANUAL]","",IFERROR(AVERAGEIFS(nNOTA,nNIA,Y632,nCUENTA,1,nASIG,"Análisis"),"")))</f>
        <v/>
      </c>
      <c r="AA632" t="str">
        <f>IF(Y632="","",IF(Y632="[FÓRMULA MANUAL]","",IFERROR(AVERAGEIFS(nNOTA,nNIA,Y632,nCUENTA,1,nASIG,"Orquesta/Banda/Conjunto"),"")))</f>
        <v/>
      </c>
      <c r="AB632" t="str">
        <f>IF(Y632="","",IF(Y632="[FÓRMULA MANUAL]","",IFERROR(AVERAGEIFS(nNOTA,nNIA,Y632,nCUENTA,1,nASIG,"Música de Cámara"),"")))</f>
        <v/>
      </c>
      <c r="AC632" t="str">
        <f>IF(Y632="","",IF(Y632="[FÓRMULA MANUAL]","",IFERROR(SUMPRODUCT((nNIA=Y632)*(nCUENTA=1)*(COUNTIF(CONFIG_ASIGNATURAS!$B$7:$B$27,nASIG)&gt;0)*(nNOTA))/SUMPRODUCT((nNIA=Y632)*(nCUENTA=1)*(COUNTIF(CONFIG_ASIGNATURAS!$B$7:$B$27,nASIG)&gt;0)*1),"")))</f>
        <v/>
      </c>
      <c r="AF632" t="str">
        <f>IF(AE632="","",IF(AE632="[FÓRMULA MANUAL]","",IFERROR(AVERAGEIFS(nNOTA,nNIA,AE632,nCUENTA,1,nASIG,"Análisis"),"")))</f>
        <v/>
      </c>
      <c r="AG632" t="str">
        <f>IF(AE632="","",IF(AE632="[FÓRMULA MANUAL]","",IFERROR(AVERAGEIFS(nNOTA,nNIA,AE632,nCUENTA,1,nASIG,"Orquesta/Banda/Conjunto"),"")))</f>
        <v/>
      </c>
      <c r="AH632" t="str">
        <f>IF(AE632="","",IF(AE632="[FÓRMULA MANUAL]","",IFERROR(AVERAGEIFS(nNOTA,nNIA,AE632,nCUENTA,1,nASIG,"Música de Cámara"),"")))</f>
        <v/>
      </c>
      <c r="AI632" t="str">
        <f>IF(AE632="","",IF(AE632="[FÓRMULA MANUAL]","",IFERROR(SUMPRODUCT((nNIA=AE632)*(nCUENTA=1)*(COUNTIF(CONFIG_ASIGNATURAS!$B$7:$B$27,nASIG)&gt;0)*(nNOTA))/SUMPRODUCT((nNIA=AE632)*(nCUENTA=1)*(COUNTIF(CONFIG_ASIGNATURAS!$B$7:$B$27,nASIG)&gt;0)*1),"")))</f>
        <v/>
      </c>
    </row>
    <row r="633" spans="2:35" x14ac:dyDescent="0.2">
      <c r="B633" t="str">
        <f>IF(A633="","",IF(A633="[FÓRMULA MANUAL]","",IFERROR(AVERAGEIFS(nNOTA,nNIA,A633,nCUENTA,1,nASIG,"Lenguaje Musical"),"")))</f>
        <v/>
      </c>
      <c r="C633" t="str">
        <f>IF(A633="","",IF(A633="[FÓRMULA MANUAL]","",IFERROR(AVERAGEIFS(nNOTA,nNIA,A633,nCUENTA,1,nASIG,"Orquesta/Banda/Conjunto"),"")))</f>
        <v/>
      </c>
      <c r="D633" t="str">
        <f>IF(A633="","",IF(A633="[FÓRMULA MANUAL]","",IFERROR(AVERAGEIFS(nNOTA,nNIA,A633,nCUENTA,1,nASIG,"Conjunto"),"")))</f>
        <v/>
      </c>
      <c r="E633" t="str">
        <f>IF(A633="","",IF(A633="[FÓRMULA MANUAL]","",IFERROR(SUMPRODUCT((nNIA=A633)*(nCUENTA=1)*(COUNTIF(CONFIG_ASIGNATURAS!$B$7:$B$27,nASIG)&gt;0)*(nNOTA))/SUMPRODUCT((nNIA=A633)*(nCUENTA=1)*(COUNTIF(CONFIG_ASIGNATURAS!$B$7:$B$27,nASIG)&gt;0)*1),"")))</f>
        <v/>
      </c>
      <c r="H633" t="str">
        <f>IF(G633="","",IF(G633="[FÓRMULA MANUAL]","",IFERROR(AVERAGEIFS(nNOTA,nNIA,G633,nCUENTA,1,nASIG,"Lenguaje Musical"),"")))</f>
        <v/>
      </c>
      <c r="I633" t="str">
        <f>IF(G633="","",IF(G633="[FÓRMULA MANUAL]","",IFERROR(AVERAGEIFS(nNOTA,nNIA,G633,nCUENTA,1,nASIG,"Orquesta/Banda/Conjunto"),"")))</f>
        <v/>
      </c>
      <c r="J633" t="str">
        <f>IF(G633="","",IF(G633="[FÓRMULA MANUAL]","",IFERROR(AVERAGEIFS(nNOTA,nNIA,G633,nCUENTA,1,nASIG,"Conjunto"),"")))</f>
        <v/>
      </c>
      <c r="K633" t="str">
        <f>IF(G633="","",IF(G633="[FÓRMULA MANUAL]","",IFERROR(SUMPRODUCT((nNIA=G633)*(nCUENTA=1)*(COUNTIF(CONFIG_ASIGNATURAS!$B$7:$B$27,nASIG)&gt;0)*(nNOTA))/SUMPRODUCT((nNIA=G633)*(nCUENTA=1)*(COUNTIF(CONFIG_ASIGNATURAS!$B$7:$B$27,nASIG)&gt;0)*1),"")))</f>
        <v/>
      </c>
      <c r="N633" t="str">
        <f>IF(M633="","",IF(M633="[FÓRMULA MANUAL]","",IFERROR(AVERAGEIFS(nNOTA,nNIA,M633,nCUENTA,1,nASIG,"Armonía"),"")))</f>
        <v/>
      </c>
      <c r="O633" t="str">
        <f>IF(M633="","",IF(M633="[FÓRMULA MANUAL]","",IFERROR(AVERAGEIFS(nNOTA,nNIA,M633,nCUENTA,1,nASIG,"Orquesta/Banda/Conjunto"),"")))</f>
        <v/>
      </c>
      <c r="P633" t="str">
        <f>IF(M633="","",IF(M633="[FÓRMULA MANUAL]","",IFERROR(AVERAGEIFS(nNOTA,nNIA,M633,nCUENTA,1,nASIG,"Música de Cámara"),"")))</f>
        <v/>
      </c>
      <c r="Q633" t="str">
        <f>IF(M633="","",IF(M633="[FÓRMULA MANUAL]","",IFERROR(SUMPRODUCT((nNIA=M633)*(nCUENTA=1)*(COUNTIF(CONFIG_ASIGNATURAS!$B$7:$B$27,nASIG)&gt;0)*(nNOTA))/SUMPRODUCT((nNIA=M633)*(nCUENTA=1)*(COUNTIF(CONFIG_ASIGNATURAS!$B$7:$B$27,nASIG)&gt;0)*1),"")))</f>
        <v/>
      </c>
      <c r="T633" t="str">
        <f>IF(S633="","",IF(S633="[FÓRMULA MANUAL]","",IFERROR(AVERAGEIFS(nNOTA,nNIA,S633,nCUENTA,1,nASIG,"Armonía"),"")))</f>
        <v/>
      </c>
      <c r="U633" t="str">
        <f>IF(S633="","",IF(S633="[FÓRMULA MANUAL]","",IFERROR(AVERAGEIFS(nNOTA,nNIA,S633,nCUENTA,1,nASIG,"Orquesta/Banda/Conjunto"),"")))</f>
        <v/>
      </c>
      <c r="V633" t="str">
        <f>IF(S633="","",IF(S633="[FÓRMULA MANUAL]","",IFERROR(AVERAGEIFS(nNOTA,nNIA,S633,nCUENTA,1,nASIG,"Música de Cámara"),"")))</f>
        <v/>
      </c>
      <c r="W633" t="str">
        <f>IF(S633="","",IF(S633="[FÓRMULA MANUAL]","",IFERROR(SUMPRODUCT((nNIA=S633)*(nCUENTA=1)*(COUNTIF(CONFIG_ASIGNATURAS!$B$7:$B$27,nASIG)&gt;0)*(nNOTA))/SUMPRODUCT((nNIA=S633)*(nCUENTA=1)*(COUNTIF(CONFIG_ASIGNATURAS!$B$7:$B$27,nASIG)&gt;0)*1),"")))</f>
        <v/>
      </c>
      <c r="Z633" t="str">
        <f>IF(Y633="","",IF(Y633="[FÓRMULA MANUAL]","",IFERROR(AVERAGEIFS(nNOTA,nNIA,Y633,nCUENTA,1,nASIG,"Análisis"),"")))</f>
        <v/>
      </c>
      <c r="AA633" t="str">
        <f>IF(Y633="","",IF(Y633="[FÓRMULA MANUAL]","",IFERROR(AVERAGEIFS(nNOTA,nNIA,Y633,nCUENTA,1,nASIG,"Orquesta/Banda/Conjunto"),"")))</f>
        <v/>
      </c>
      <c r="AB633" t="str">
        <f>IF(Y633="","",IF(Y633="[FÓRMULA MANUAL]","",IFERROR(AVERAGEIFS(nNOTA,nNIA,Y633,nCUENTA,1,nASIG,"Música de Cámara"),"")))</f>
        <v/>
      </c>
      <c r="AC633" t="str">
        <f>IF(Y633="","",IF(Y633="[FÓRMULA MANUAL]","",IFERROR(SUMPRODUCT((nNIA=Y633)*(nCUENTA=1)*(COUNTIF(CONFIG_ASIGNATURAS!$B$7:$B$27,nASIG)&gt;0)*(nNOTA))/SUMPRODUCT((nNIA=Y633)*(nCUENTA=1)*(COUNTIF(CONFIG_ASIGNATURAS!$B$7:$B$27,nASIG)&gt;0)*1),"")))</f>
        <v/>
      </c>
      <c r="AF633" t="str">
        <f>IF(AE633="","",IF(AE633="[FÓRMULA MANUAL]","",IFERROR(AVERAGEIFS(nNOTA,nNIA,AE633,nCUENTA,1,nASIG,"Análisis"),"")))</f>
        <v/>
      </c>
      <c r="AG633" t="str">
        <f>IF(AE633="","",IF(AE633="[FÓRMULA MANUAL]","",IFERROR(AVERAGEIFS(nNOTA,nNIA,AE633,nCUENTA,1,nASIG,"Orquesta/Banda/Conjunto"),"")))</f>
        <v/>
      </c>
      <c r="AH633" t="str">
        <f>IF(AE633="","",IF(AE633="[FÓRMULA MANUAL]","",IFERROR(AVERAGEIFS(nNOTA,nNIA,AE633,nCUENTA,1,nASIG,"Música de Cámara"),"")))</f>
        <v/>
      </c>
      <c r="AI633" t="str">
        <f>IF(AE633="","",IF(AE633="[FÓRMULA MANUAL]","",IFERROR(SUMPRODUCT((nNIA=AE633)*(nCUENTA=1)*(COUNTIF(CONFIG_ASIGNATURAS!$B$7:$B$27,nASIG)&gt;0)*(nNOTA))/SUMPRODUCT((nNIA=AE633)*(nCUENTA=1)*(COUNTIF(CONFIG_ASIGNATURAS!$B$7:$B$27,nASIG)&gt;0)*1),"")))</f>
        <v/>
      </c>
    </row>
    <row r="634" spans="2:35" x14ac:dyDescent="0.2">
      <c r="B634" t="str">
        <f>IF(A634="","",IF(A634="[FÓRMULA MANUAL]","",IFERROR(AVERAGEIFS(nNOTA,nNIA,A634,nCUENTA,1,nASIG,"Lenguaje Musical"),"")))</f>
        <v/>
      </c>
      <c r="C634" t="str">
        <f>IF(A634="","",IF(A634="[FÓRMULA MANUAL]","",IFERROR(AVERAGEIFS(nNOTA,nNIA,A634,nCUENTA,1,nASIG,"Orquesta/Banda/Conjunto"),"")))</f>
        <v/>
      </c>
      <c r="D634" t="str">
        <f>IF(A634="","",IF(A634="[FÓRMULA MANUAL]","",IFERROR(AVERAGEIFS(nNOTA,nNIA,A634,nCUENTA,1,nASIG,"Conjunto"),"")))</f>
        <v/>
      </c>
      <c r="E634" t="str">
        <f>IF(A634="","",IF(A634="[FÓRMULA MANUAL]","",IFERROR(SUMPRODUCT((nNIA=A634)*(nCUENTA=1)*(COUNTIF(CONFIG_ASIGNATURAS!$B$7:$B$27,nASIG)&gt;0)*(nNOTA))/SUMPRODUCT((nNIA=A634)*(nCUENTA=1)*(COUNTIF(CONFIG_ASIGNATURAS!$B$7:$B$27,nASIG)&gt;0)*1),"")))</f>
        <v/>
      </c>
      <c r="H634" t="str">
        <f>IF(G634="","",IF(G634="[FÓRMULA MANUAL]","",IFERROR(AVERAGEIFS(nNOTA,nNIA,G634,nCUENTA,1,nASIG,"Lenguaje Musical"),"")))</f>
        <v/>
      </c>
      <c r="I634" t="str">
        <f>IF(G634="","",IF(G634="[FÓRMULA MANUAL]","",IFERROR(AVERAGEIFS(nNOTA,nNIA,G634,nCUENTA,1,nASIG,"Orquesta/Banda/Conjunto"),"")))</f>
        <v/>
      </c>
      <c r="J634" t="str">
        <f>IF(G634="","",IF(G634="[FÓRMULA MANUAL]","",IFERROR(AVERAGEIFS(nNOTA,nNIA,G634,nCUENTA,1,nASIG,"Conjunto"),"")))</f>
        <v/>
      </c>
      <c r="K634" t="str">
        <f>IF(G634="","",IF(G634="[FÓRMULA MANUAL]","",IFERROR(SUMPRODUCT((nNIA=G634)*(nCUENTA=1)*(COUNTIF(CONFIG_ASIGNATURAS!$B$7:$B$27,nASIG)&gt;0)*(nNOTA))/SUMPRODUCT((nNIA=G634)*(nCUENTA=1)*(COUNTIF(CONFIG_ASIGNATURAS!$B$7:$B$27,nASIG)&gt;0)*1),"")))</f>
        <v/>
      </c>
      <c r="N634" t="str">
        <f>IF(M634="","",IF(M634="[FÓRMULA MANUAL]","",IFERROR(AVERAGEIFS(nNOTA,nNIA,M634,nCUENTA,1,nASIG,"Armonía"),"")))</f>
        <v/>
      </c>
      <c r="O634" t="str">
        <f>IF(M634="","",IF(M634="[FÓRMULA MANUAL]","",IFERROR(AVERAGEIFS(nNOTA,nNIA,M634,nCUENTA,1,nASIG,"Orquesta/Banda/Conjunto"),"")))</f>
        <v/>
      </c>
      <c r="P634" t="str">
        <f>IF(M634="","",IF(M634="[FÓRMULA MANUAL]","",IFERROR(AVERAGEIFS(nNOTA,nNIA,M634,nCUENTA,1,nASIG,"Música de Cámara"),"")))</f>
        <v/>
      </c>
      <c r="Q634" t="str">
        <f>IF(M634="","",IF(M634="[FÓRMULA MANUAL]","",IFERROR(SUMPRODUCT((nNIA=M634)*(nCUENTA=1)*(COUNTIF(CONFIG_ASIGNATURAS!$B$7:$B$27,nASIG)&gt;0)*(nNOTA))/SUMPRODUCT((nNIA=M634)*(nCUENTA=1)*(COUNTIF(CONFIG_ASIGNATURAS!$B$7:$B$27,nASIG)&gt;0)*1),"")))</f>
        <v/>
      </c>
      <c r="T634" t="str">
        <f>IF(S634="","",IF(S634="[FÓRMULA MANUAL]","",IFERROR(AVERAGEIFS(nNOTA,nNIA,S634,nCUENTA,1,nASIG,"Armonía"),"")))</f>
        <v/>
      </c>
      <c r="U634" t="str">
        <f>IF(S634="","",IF(S634="[FÓRMULA MANUAL]","",IFERROR(AVERAGEIFS(nNOTA,nNIA,S634,nCUENTA,1,nASIG,"Orquesta/Banda/Conjunto"),"")))</f>
        <v/>
      </c>
      <c r="V634" t="str">
        <f>IF(S634="","",IF(S634="[FÓRMULA MANUAL]","",IFERROR(AVERAGEIFS(nNOTA,nNIA,S634,nCUENTA,1,nASIG,"Música de Cámara"),"")))</f>
        <v/>
      </c>
      <c r="W634" t="str">
        <f>IF(S634="","",IF(S634="[FÓRMULA MANUAL]","",IFERROR(SUMPRODUCT((nNIA=S634)*(nCUENTA=1)*(COUNTIF(CONFIG_ASIGNATURAS!$B$7:$B$27,nASIG)&gt;0)*(nNOTA))/SUMPRODUCT((nNIA=S634)*(nCUENTA=1)*(COUNTIF(CONFIG_ASIGNATURAS!$B$7:$B$27,nASIG)&gt;0)*1),"")))</f>
        <v/>
      </c>
      <c r="Z634" t="str">
        <f>IF(Y634="","",IF(Y634="[FÓRMULA MANUAL]","",IFERROR(AVERAGEIFS(nNOTA,nNIA,Y634,nCUENTA,1,nASIG,"Análisis"),"")))</f>
        <v/>
      </c>
      <c r="AA634" t="str">
        <f>IF(Y634="","",IF(Y634="[FÓRMULA MANUAL]","",IFERROR(AVERAGEIFS(nNOTA,nNIA,Y634,nCUENTA,1,nASIG,"Orquesta/Banda/Conjunto"),"")))</f>
        <v/>
      </c>
      <c r="AB634" t="str">
        <f>IF(Y634="","",IF(Y634="[FÓRMULA MANUAL]","",IFERROR(AVERAGEIFS(nNOTA,nNIA,Y634,nCUENTA,1,nASIG,"Música de Cámara"),"")))</f>
        <v/>
      </c>
      <c r="AC634" t="str">
        <f>IF(Y634="","",IF(Y634="[FÓRMULA MANUAL]","",IFERROR(SUMPRODUCT((nNIA=Y634)*(nCUENTA=1)*(COUNTIF(CONFIG_ASIGNATURAS!$B$7:$B$27,nASIG)&gt;0)*(nNOTA))/SUMPRODUCT((nNIA=Y634)*(nCUENTA=1)*(COUNTIF(CONFIG_ASIGNATURAS!$B$7:$B$27,nASIG)&gt;0)*1),"")))</f>
        <v/>
      </c>
      <c r="AF634" t="str">
        <f>IF(AE634="","",IF(AE634="[FÓRMULA MANUAL]","",IFERROR(AVERAGEIFS(nNOTA,nNIA,AE634,nCUENTA,1,nASIG,"Análisis"),"")))</f>
        <v/>
      </c>
      <c r="AG634" t="str">
        <f>IF(AE634="","",IF(AE634="[FÓRMULA MANUAL]","",IFERROR(AVERAGEIFS(nNOTA,nNIA,AE634,nCUENTA,1,nASIG,"Orquesta/Banda/Conjunto"),"")))</f>
        <v/>
      </c>
      <c r="AH634" t="str">
        <f>IF(AE634="","",IF(AE634="[FÓRMULA MANUAL]","",IFERROR(AVERAGEIFS(nNOTA,nNIA,AE634,nCUENTA,1,nASIG,"Música de Cámara"),"")))</f>
        <v/>
      </c>
      <c r="AI634" t="str">
        <f>IF(AE634="","",IF(AE634="[FÓRMULA MANUAL]","",IFERROR(SUMPRODUCT((nNIA=AE634)*(nCUENTA=1)*(COUNTIF(CONFIG_ASIGNATURAS!$B$7:$B$27,nASIG)&gt;0)*(nNOTA))/SUMPRODUCT((nNIA=AE634)*(nCUENTA=1)*(COUNTIF(CONFIG_ASIGNATURAS!$B$7:$B$27,nASIG)&gt;0)*1),"")))</f>
        <v/>
      </c>
    </row>
    <row r="635" spans="2:35" x14ac:dyDescent="0.2">
      <c r="B635" t="str">
        <f>IF(A635="","",IF(A635="[FÓRMULA MANUAL]","",IFERROR(AVERAGEIFS(nNOTA,nNIA,A635,nCUENTA,1,nASIG,"Lenguaje Musical"),"")))</f>
        <v/>
      </c>
      <c r="C635" t="str">
        <f>IF(A635="","",IF(A635="[FÓRMULA MANUAL]","",IFERROR(AVERAGEIFS(nNOTA,nNIA,A635,nCUENTA,1,nASIG,"Orquesta/Banda/Conjunto"),"")))</f>
        <v/>
      </c>
      <c r="D635" t="str">
        <f>IF(A635="","",IF(A635="[FÓRMULA MANUAL]","",IFERROR(AVERAGEIFS(nNOTA,nNIA,A635,nCUENTA,1,nASIG,"Conjunto"),"")))</f>
        <v/>
      </c>
      <c r="E635" t="str">
        <f>IF(A635="","",IF(A635="[FÓRMULA MANUAL]","",IFERROR(SUMPRODUCT((nNIA=A635)*(nCUENTA=1)*(COUNTIF(CONFIG_ASIGNATURAS!$B$7:$B$27,nASIG)&gt;0)*(nNOTA))/SUMPRODUCT((nNIA=A635)*(nCUENTA=1)*(COUNTIF(CONFIG_ASIGNATURAS!$B$7:$B$27,nASIG)&gt;0)*1),"")))</f>
        <v/>
      </c>
      <c r="H635" t="str">
        <f>IF(G635="","",IF(G635="[FÓRMULA MANUAL]","",IFERROR(AVERAGEIFS(nNOTA,nNIA,G635,nCUENTA,1,nASIG,"Lenguaje Musical"),"")))</f>
        <v/>
      </c>
      <c r="I635" t="str">
        <f>IF(G635="","",IF(G635="[FÓRMULA MANUAL]","",IFERROR(AVERAGEIFS(nNOTA,nNIA,G635,nCUENTA,1,nASIG,"Orquesta/Banda/Conjunto"),"")))</f>
        <v/>
      </c>
      <c r="J635" t="str">
        <f>IF(G635="","",IF(G635="[FÓRMULA MANUAL]","",IFERROR(AVERAGEIFS(nNOTA,nNIA,G635,nCUENTA,1,nASIG,"Conjunto"),"")))</f>
        <v/>
      </c>
      <c r="K635" t="str">
        <f>IF(G635="","",IF(G635="[FÓRMULA MANUAL]","",IFERROR(SUMPRODUCT((nNIA=G635)*(nCUENTA=1)*(COUNTIF(CONFIG_ASIGNATURAS!$B$7:$B$27,nASIG)&gt;0)*(nNOTA))/SUMPRODUCT((nNIA=G635)*(nCUENTA=1)*(COUNTIF(CONFIG_ASIGNATURAS!$B$7:$B$27,nASIG)&gt;0)*1),"")))</f>
        <v/>
      </c>
      <c r="N635" t="str">
        <f>IF(M635="","",IF(M635="[FÓRMULA MANUAL]","",IFERROR(AVERAGEIFS(nNOTA,nNIA,M635,nCUENTA,1,nASIG,"Armonía"),"")))</f>
        <v/>
      </c>
      <c r="O635" t="str">
        <f>IF(M635="","",IF(M635="[FÓRMULA MANUAL]","",IFERROR(AVERAGEIFS(nNOTA,nNIA,M635,nCUENTA,1,nASIG,"Orquesta/Banda/Conjunto"),"")))</f>
        <v/>
      </c>
      <c r="P635" t="str">
        <f>IF(M635="","",IF(M635="[FÓRMULA MANUAL]","",IFERROR(AVERAGEIFS(nNOTA,nNIA,M635,nCUENTA,1,nASIG,"Música de Cámara"),"")))</f>
        <v/>
      </c>
      <c r="Q635" t="str">
        <f>IF(M635="","",IF(M635="[FÓRMULA MANUAL]","",IFERROR(SUMPRODUCT((nNIA=M635)*(nCUENTA=1)*(COUNTIF(CONFIG_ASIGNATURAS!$B$7:$B$27,nASIG)&gt;0)*(nNOTA))/SUMPRODUCT((nNIA=M635)*(nCUENTA=1)*(COUNTIF(CONFIG_ASIGNATURAS!$B$7:$B$27,nASIG)&gt;0)*1),"")))</f>
        <v/>
      </c>
      <c r="T635" t="str">
        <f>IF(S635="","",IF(S635="[FÓRMULA MANUAL]","",IFERROR(AVERAGEIFS(nNOTA,nNIA,S635,nCUENTA,1,nASIG,"Armonía"),"")))</f>
        <v/>
      </c>
      <c r="U635" t="str">
        <f>IF(S635="","",IF(S635="[FÓRMULA MANUAL]","",IFERROR(AVERAGEIFS(nNOTA,nNIA,S635,nCUENTA,1,nASIG,"Orquesta/Banda/Conjunto"),"")))</f>
        <v/>
      </c>
      <c r="V635" t="str">
        <f>IF(S635="","",IF(S635="[FÓRMULA MANUAL]","",IFERROR(AVERAGEIFS(nNOTA,nNIA,S635,nCUENTA,1,nASIG,"Música de Cámara"),"")))</f>
        <v/>
      </c>
      <c r="W635" t="str">
        <f>IF(S635="","",IF(S635="[FÓRMULA MANUAL]","",IFERROR(SUMPRODUCT((nNIA=S635)*(nCUENTA=1)*(COUNTIF(CONFIG_ASIGNATURAS!$B$7:$B$27,nASIG)&gt;0)*(nNOTA))/SUMPRODUCT((nNIA=S635)*(nCUENTA=1)*(COUNTIF(CONFIG_ASIGNATURAS!$B$7:$B$27,nASIG)&gt;0)*1),"")))</f>
        <v/>
      </c>
      <c r="Z635" t="str">
        <f>IF(Y635="","",IF(Y635="[FÓRMULA MANUAL]","",IFERROR(AVERAGEIFS(nNOTA,nNIA,Y635,nCUENTA,1,nASIG,"Análisis"),"")))</f>
        <v/>
      </c>
      <c r="AA635" t="str">
        <f>IF(Y635="","",IF(Y635="[FÓRMULA MANUAL]","",IFERROR(AVERAGEIFS(nNOTA,nNIA,Y635,nCUENTA,1,nASIG,"Orquesta/Banda/Conjunto"),"")))</f>
        <v/>
      </c>
      <c r="AB635" t="str">
        <f>IF(Y635="","",IF(Y635="[FÓRMULA MANUAL]","",IFERROR(AVERAGEIFS(nNOTA,nNIA,Y635,nCUENTA,1,nASIG,"Música de Cámara"),"")))</f>
        <v/>
      </c>
      <c r="AC635" t="str">
        <f>IF(Y635="","",IF(Y635="[FÓRMULA MANUAL]","",IFERROR(SUMPRODUCT((nNIA=Y635)*(nCUENTA=1)*(COUNTIF(CONFIG_ASIGNATURAS!$B$7:$B$27,nASIG)&gt;0)*(nNOTA))/SUMPRODUCT((nNIA=Y635)*(nCUENTA=1)*(COUNTIF(CONFIG_ASIGNATURAS!$B$7:$B$27,nASIG)&gt;0)*1),"")))</f>
        <v/>
      </c>
      <c r="AF635" t="str">
        <f>IF(AE635="","",IF(AE635="[FÓRMULA MANUAL]","",IFERROR(AVERAGEIFS(nNOTA,nNIA,AE635,nCUENTA,1,nASIG,"Análisis"),"")))</f>
        <v/>
      </c>
      <c r="AG635" t="str">
        <f>IF(AE635="","",IF(AE635="[FÓRMULA MANUAL]","",IFERROR(AVERAGEIFS(nNOTA,nNIA,AE635,nCUENTA,1,nASIG,"Orquesta/Banda/Conjunto"),"")))</f>
        <v/>
      </c>
      <c r="AH635" t="str">
        <f>IF(AE635="","",IF(AE635="[FÓRMULA MANUAL]","",IFERROR(AVERAGEIFS(nNOTA,nNIA,AE635,nCUENTA,1,nASIG,"Música de Cámara"),"")))</f>
        <v/>
      </c>
      <c r="AI635" t="str">
        <f>IF(AE635="","",IF(AE635="[FÓRMULA MANUAL]","",IFERROR(SUMPRODUCT((nNIA=AE635)*(nCUENTA=1)*(COUNTIF(CONFIG_ASIGNATURAS!$B$7:$B$27,nASIG)&gt;0)*(nNOTA))/SUMPRODUCT((nNIA=AE635)*(nCUENTA=1)*(COUNTIF(CONFIG_ASIGNATURAS!$B$7:$B$27,nASIG)&gt;0)*1),"")))</f>
        <v/>
      </c>
    </row>
    <row r="636" spans="2:35" x14ac:dyDescent="0.2">
      <c r="B636" t="str">
        <f>IF(A636="","",IF(A636="[FÓRMULA MANUAL]","",IFERROR(AVERAGEIFS(nNOTA,nNIA,A636,nCUENTA,1,nASIG,"Lenguaje Musical"),"")))</f>
        <v/>
      </c>
      <c r="C636" t="str">
        <f>IF(A636="","",IF(A636="[FÓRMULA MANUAL]","",IFERROR(AVERAGEIFS(nNOTA,nNIA,A636,nCUENTA,1,nASIG,"Orquesta/Banda/Conjunto"),"")))</f>
        <v/>
      </c>
      <c r="D636" t="str">
        <f>IF(A636="","",IF(A636="[FÓRMULA MANUAL]","",IFERROR(AVERAGEIFS(nNOTA,nNIA,A636,nCUENTA,1,nASIG,"Conjunto"),"")))</f>
        <v/>
      </c>
      <c r="E636" t="str">
        <f>IF(A636="","",IF(A636="[FÓRMULA MANUAL]","",IFERROR(SUMPRODUCT((nNIA=A636)*(nCUENTA=1)*(COUNTIF(CONFIG_ASIGNATURAS!$B$7:$B$27,nASIG)&gt;0)*(nNOTA))/SUMPRODUCT((nNIA=A636)*(nCUENTA=1)*(COUNTIF(CONFIG_ASIGNATURAS!$B$7:$B$27,nASIG)&gt;0)*1),"")))</f>
        <v/>
      </c>
      <c r="H636" t="str">
        <f>IF(G636="","",IF(G636="[FÓRMULA MANUAL]","",IFERROR(AVERAGEIFS(nNOTA,nNIA,G636,nCUENTA,1,nASIG,"Lenguaje Musical"),"")))</f>
        <v/>
      </c>
      <c r="I636" t="str">
        <f>IF(G636="","",IF(G636="[FÓRMULA MANUAL]","",IFERROR(AVERAGEIFS(nNOTA,nNIA,G636,nCUENTA,1,nASIG,"Orquesta/Banda/Conjunto"),"")))</f>
        <v/>
      </c>
      <c r="J636" t="str">
        <f>IF(G636="","",IF(G636="[FÓRMULA MANUAL]","",IFERROR(AVERAGEIFS(nNOTA,nNIA,G636,nCUENTA,1,nASIG,"Conjunto"),"")))</f>
        <v/>
      </c>
      <c r="K636" t="str">
        <f>IF(G636="","",IF(G636="[FÓRMULA MANUAL]","",IFERROR(SUMPRODUCT((nNIA=G636)*(nCUENTA=1)*(COUNTIF(CONFIG_ASIGNATURAS!$B$7:$B$27,nASIG)&gt;0)*(nNOTA))/SUMPRODUCT((nNIA=G636)*(nCUENTA=1)*(COUNTIF(CONFIG_ASIGNATURAS!$B$7:$B$27,nASIG)&gt;0)*1),"")))</f>
        <v/>
      </c>
      <c r="N636" t="str">
        <f>IF(M636="","",IF(M636="[FÓRMULA MANUAL]","",IFERROR(AVERAGEIFS(nNOTA,nNIA,M636,nCUENTA,1,nASIG,"Armonía"),"")))</f>
        <v/>
      </c>
      <c r="O636" t="str">
        <f>IF(M636="","",IF(M636="[FÓRMULA MANUAL]","",IFERROR(AVERAGEIFS(nNOTA,nNIA,M636,nCUENTA,1,nASIG,"Orquesta/Banda/Conjunto"),"")))</f>
        <v/>
      </c>
      <c r="P636" t="str">
        <f>IF(M636="","",IF(M636="[FÓRMULA MANUAL]","",IFERROR(AVERAGEIFS(nNOTA,nNIA,M636,nCUENTA,1,nASIG,"Música de Cámara"),"")))</f>
        <v/>
      </c>
      <c r="Q636" t="str">
        <f>IF(M636="","",IF(M636="[FÓRMULA MANUAL]","",IFERROR(SUMPRODUCT((nNIA=M636)*(nCUENTA=1)*(COUNTIF(CONFIG_ASIGNATURAS!$B$7:$B$27,nASIG)&gt;0)*(nNOTA))/SUMPRODUCT((nNIA=M636)*(nCUENTA=1)*(COUNTIF(CONFIG_ASIGNATURAS!$B$7:$B$27,nASIG)&gt;0)*1),"")))</f>
        <v/>
      </c>
      <c r="T636" t="str">
        <f>IF(S636="","",IF(S636="[FÓRMULA MANUAL]","",IFERROR(AVERAGEIFS(nNOTA,nNIA,S636,nCUENTA,1,nASIG,"Armonía"),"")))</f>
        <v/>
      </c>
      <c r="U636" t="str">
        <f>IF(S636="","",IF(S636="[FÓRMULA MANUAL]","",IFERROR(AVERAGEIFS(nNOTA,nNIA,S636,nCUENTA,1,nASIG,"Orquesta/Banda/Conjunto"),"")))</f>
        <v/>
      </c>
      <c r="V636" t="str">
        <f>IF(S636="","",IF(S636="[FÓRMULA MANUAL]","",IFERROR(AVERAGEIFS(nNOTA,nNIA,S636,nCUENTA,1,nASIG,"Música de Cámara"),"")))</f>
        <v/>
      </c>
      <c r="W636" t="str">
        <f>IF(S636="","",IF(S636="[FÓRMULA MANUAL]","",IFERROR(SUMPRODUCT((nNIA=S636)*(nCUENTA=1)*(COUNTIF(CONFIG_ASIGNATURAS!$B$7:$B$27,nASIG)&gt;0)*(nNOTA))/SUMPRODUCT((nNIA=S636)*(nCUENTA=1)*(COUNTIF(CONFIG_ASIGNATURAS!$B$7:$B$27,nASIG)&gt;0)*1),"")))</f>
        <v/>
      </c>
      <c r="Z636" t="str">
        <f>IF(Y636="","",IF(Y636="[FÓRMULA MANUAL]","",IFERROR(AVERAGEIFS(nNOTA,nNIA,Y636,nCUENTA,1,nASIG,"Análisis"),"")))</f>
        <v/>
      </c>
      <c r="AA636" t="str">
        <f>IF(Y636="","",IF(Y636="[FÓRMULA MANUAL]","",IFERROR(AVERAGEIFS(nNOTA,nNIA,Y636,nCUENTA,1,nASIG,"Orquesta/Banda/Conjunto"),"")))</f>
        <v/>
      </c>
      <c r="AB636" t="str">
        <f>IF(Y636="","",IF(Y636="[FÓRMULA MANUAL]","",IFERROR(AVERAGEIFS(nNOTA,nNIA,Y636,nCUENTA,1,nASIG,"Música de Cámara"),"")))</f>
        <v/>
      </c>
      <c r="AC636" t="str">
        <f>IF(Y636="","",IF(Y636="[FÓRMULA MANUAL]","",IFERROR(SUMPRODUCT((nNIA=Y636)*(nCUENTA=1)*(COUNTIF(CONFIG_ASIGNATURAS!$B$7:$B$27,nASIG)&gt;0)*(nNOTA))/SUMPRODUCT((nNIA=Y636)*(nCUENTA=1)*(COUNTIF(CONFIG_ASIGNATURAS!$B$7:$B$27,nASIG)&gt;0)*1),"")))</f>
        <v/>
      </c>
      <c r="AF636" t="str">
        <f>IF(AE636="","",IF(AE636="[FÓRMULA MANUAL]","",IFERROR(AVERAGEIFS(nNOTA,nNIA,AE636,nCUENTA,1,nASIG,"Análisis"),"")))</f>
        <v/>
      </c>
      <c r="AG636" t="str">
        <f>IF(AE636="","",IF(AE636="[FÓRMULA MANUAL]","",IFERROR(AVERAGEIFS(nNOTA,nNIA,AE636,nCUENTA,1,nASIG,"Orquesta/Banda/Conjunto"),"")))</f>
        <v/>
      </c>
      <c r="AH636" t="str">
        <f>IF(AE636="","",IF(AE636="[FÓRMULA MANUAL]","",IFERROR(AVERAGEIFS(nNOTA,nNIA,AE636,nCUENTA,1,nASIG,"Música de Cámara"),"")))</f>
        <v/>
      </c>
      <c r="AI636" t="str">
        <f>IF(AE636="","",IF(AE636="[FÓRMULA MANUAL]","",IFERROR(SUMPRODUCT((nNIA=AE636)*(nCUENTA=1)*(COUNTIF(CONFIG_ASIGNATURAS!$B$7:$B$27,nASIG)&gt;0)*(nNOTA))/SUMPRODUCT((nNIA=AE636)*(nCUENTA=1)*(COUNTIF(CONFIG_ASIGNATURAS!$B$7:$B$27,nASIG)&gt;0)*1),"")))</f>
        <v/>
      </c>
    </row>
    <row r="637" spans="2:35" x14ac:dyDescent="0.2">
      <c r="B637" t="str">
        <f>IF(A637="","",IF(A637="[FÓRMULA MANUAL]","",IFERROR(AVERAGEIFS(nNOTA,nNIA,A637,nCUENTA,1,nASIG,"Lenguaje Musical"),"")))</f>
        <v/>
      </c>
      <c r="C637" t="str">
        <f>IF(A637="","",IF(A637="[FÓRMULA MANUAL]","",IFERROR(AVERAGEIFS(nNOTA,nNIA,A637,nCUENTA,1,nASIG,"Orquesta/Banda/Conjunto"),"")))</f>
        <v/>
      </c>
      <c r="D637" t="str">
        <f>IF(A637="","",IF(A637="[FÓRMULA MANUAL]","",IFERROR(AVERAGEIFS(nNOTA,nNIA,A637,nCUENTA,1,nASIG,"Conjunto"),"")))</f>
        <v/>
      </c>
      <c r="E637" t="str">
        <f>IF(A637="","",IF(A637="[FÓRMULA MANUAL]","",IFERROR(SUMPRODUCT((nNIA=A637)*(nCUENTA=1)*(COUNTIF(CONFIG_ASIGNATURAS!$B$7:$B$27,nASIG)&gt;0)*(nNOTA))/SUMPRODUCT((nNIA=A637)*(nCUENTA=1)*(COUNTIF(CONFIG_ASIGNATURAS!$B$7:$B$27,nASIG)&gt;0)*1),"")))</f>
        <v/>
      </c>
      <c r="H637" t="str">
        <f>IF(G637="","",IF(G637="[FÓRMULA MANUAL]","",IFERROR(AVERAGEIFS(nNOTA,nNIA,G637,nCUENTA,1,nASIG,"Lenguaje Musical"),"")))</f>
        <v/>
      </c>
      <c r="I637" t="str">
        <f>IF(G637="","",IF(G637="[FÓRMULA MANUAL]","",IFERROR(AVERAGEIFS(nNOTA,nNIA,G637,nCUENTA,1,nASIG,"Orquesta/Banda/Conjunto"),"")))</f>
        <v/>
      </c>
      <c r="J637" t="str">
        <f>IF(G637="","",IF(G637="[FÓRMULA MANUAL]","",IFERROR(AVERAGEIFS(nNOTA,nNIA,G637,nCUENTA,1,nASIG,"Conjunto"),"")))</f>
        <v/>
      </c>
      <c r="K637" t="str">
        <f>IF(G637="","",IF(G637="[FÓRMULA MANUAL]","",IFERROR(SUMPRODUCT((nNIA=G637)*(nCUENTA=1)*(COUNTIF(CONFIG_ASIGNATURAS!$B$7:$B$27,nASIG)&gt;0)*(nNOTA))/SUMPRODUCT((nNIA=G637)*(nCUENTA=1)*(COUNTIF(CONFIG_ASIGNATURAS!$B$7:$B$27,nASIG)&gt;0)*1),"")))</f>
        <v/>
      </c>
      <c r="N637" t="str">
        <f>IF(M637="","",IF(M637="[FÓRMULA MANUAL]","",IFERROR(AVERAGEIFS(nNOTA,nNIA,M637,nCUENTA,1,nASIG,"Armonía"),"")))</f>
        <v/>
      </c>
      <c r="O637" t="str">
        <f>IF(M637="","",IF(M637="[FÓRMULA MANUAL]","",IFERROR(AVERAGEIFS(nNOTA,nNIA,M637,nCUENTA,1,nASIG,"Orquesta/Banda/Conjunto"),"")))</f>
        <v/>
      </c>
      <c r="P637" t="str">
        <f>IF(M637="","",IF(M637="[FÓRMULA MANUAL]","",IFERROR(AVERAGEIFS(nNOTA,nNIA,M637,nCUENTA,1,nASIG,"Música de Cámara"),"")))</f>
        <v/>
      </c>
      <c r="Q637" t="str">
        <f>IF(M637="","",IF(M637="[FÓRMULA MANUAL]","",IFERROR(SUMPRODUCT((nNIA=M637)*(nCUENTA=1)*(COUNTIF(CONFIG_ASIGNATURAS!$B$7:$B$27,nASIG)&gt;0)*(nNOTA))/SUMPRODUCT((nNIA=M637)*(nCUENTA=1)*(COUNTIF(CONFIG_ASIGNATURAS!$B$7:$B$27,nASIG)&gt;0)*1),"")))</f>
        <v/>
      </c>
      <c r="T637" t="str">
        <f>IF(S637="","",IF(S637="[FÓRMULA MANUAL]","",IFERROR(AVERAGEIFS(nNOTA,nNIA,S637,nCUENTA,1,nASIG,"Armonía"),"")))</f>
        <v/>
      </c>
      <c r="U637" t="str">
        <f>IF(S637="","",IF(S637="[FÓRMULA MANUAL]","",IFERROR(AVERAGEIFS(nNOTA,nNIA,S637,nCUENTA,1,nASIG,"Orquesta/Banda/Conjunto"),"")))</f>
        <v/>
      </c>
      <c r="V637" t="str">
        <f>IF(S637="","",IF(S637="[FÓRMULA MANUAL]","",IFERROR(AVERAGEIFS(nNOTA,nNIA,S637,nCUENTA,1,nASIG,"Música de Cámara"),"")))</f>
        <v/>
      </c>
      <c r="W637" t="str">
        <f>IF(S637="","",IF(S637="[FÓRMULA MANUAL]","",IFERROR(SUMPRODUCT((nNIA=S637)*(nCUENTA=1)*(COUNTIF(CONFIG_ASIGNATURAS!$B$7:$B$27,nASIG)&gt;0)*(nNOTA))/SUMPRODUCT((nNIA=S637)*(nCUENTA=1)*(COUNTIF(CONFIG_ASIGNATURAS!$B$7:$B$27,nASIG)&gt;0)*1),"")))</f>
        <v/>
      </c>
      <c r="Z637" t="str">
        <f>IF(Y637="","",IF(Y637="[FÓRMULA MANUAL]","",IFERROR(AVERAGEIFS(nNOTA,nNIA,Y637,nCUENTA,1,nASIG,"Análisis"),"")))</f>
        <v/>
      </c>
      <c r="AA637" t="str">
        <f>IF(Y637="","",IF(Y637="[FÓRMULA MANUAL]","",IFERROR(AVERAGEIFS(nNOTA,nNIA,Y637,nCUENTA,1,nASIG,"Orquesta/Banda/Conjunto"),"")))</f>
        <v/>
      </c>
      <c r="AB637" t="str">
        <f>IF(Y637="","",IF(Y637="[FÓRMULA MANUAL]","",IFERROR(AVERAGEIFS(nNOTA,nNIA,Y637,nCUENTA,1,nASIG,"Música de Cámara"),"")))</f>
        <v/>
      </c>
      <c r="AC637" t="str">
        <f>IF(Y637="","",IF(Y637="[FÓRMULA MANUAL]","",IFERROR(SUMPRODUCT((nNIA=Y637)*(nCUENTA=1)*(COUNTIF(CONFIG_ASIGNATURAS!$B$7:$B$27,nASIG)&gt;0)*(nNOTA))/SUMPRODUCT((nNIA=Y637)*(nCUENTA=1)*(COUNTIF(CONFIG_ASIGNATURAS!$B$7:$B$27,nASIG)&gt;0)*1),"")))</f>
        <v/>
      </c>
      <c r="AF637" t="str">
        <f>IF(AE637="","",IF(AE637="[FÓRMULA MANUAL]","",IFERROR(AVERAGEIFS(nNOTA,nNIA,AE637,nCUENTA,1,nASIG,"Análisis"),"")))</f>
        <v/>
      </c>
      <c r="AG637" t="str">
        <f>IF(AE637="","",IF(AE637="[FÓRMULA MANUAL]","",IFERROR(AVERAGEIFS(nNOTA,nNIA,AE637,nCUENTA,1,nASIG,"Orquesta/Banda/Conjunto"),"")))</f>
        <v/>
      </c>
      <c r="AH637" t="str">
        <f>IF(AE637="","",IF(AE637="[FÓRMULA MANUAL]","",IFERROR(AVERAGEIFS(nNOTA,nNIA,AE637,nCUENTA,1,nASIG,"Música de Cámara"),"")))</f>
        <v/>
      </c>
      <c r="AI637" t="str">
        <f>IF(AE637="","",IF(AE637="[FÓRMULA MANUAL]","",IFERROR(SUMPRODUCT((nNIA=AE637)*(nCUENTA=1)*(COUNTIF(CONFIG_ASIGNATURAS!$B$7:$B$27,nASIG)&gt;0)*(nNOTA))/SUMPRODUCT((nNIA=AE637)*(nCUENTA=1)*(COUNTIF(CONFIG_ASIGNATURAS!$B$7:$B$27,nASIG)&gt;0)*1),"")))</f>
        <v/>
      </c>
    </row>
    <row r="638" spans="2:35" x14ac:dyDescent="0.2">
      <c r="B638" t="str">
        <f>IF(A638="","",IF(A638="[FÓRMULA MANUAL]","",IFERROR(AVERAGEIFS(nNOTA,nNIA,A638,nCUENTA,1,nASIG,"Lenguaje Musical"),"")))</f>
        <v/>
      </c>
      <c r="C638" t="str">
        <f>IF(A638="","",IF(A638="[FÓRMULA MANUAL]","",IFERROR(AVERAGEIFS(nNOTA,nNIA,A638,nCUENTA,1,nASIG,"Orquesta/Banda/Conjunto"),"")))</f>
        <v/>
      </c>
      <c r="D638" t="str">
        <f>IF(A638="","",IF(A638="[FÓRMULA MANUAL]","",IFERROR(AVERAGEIFS(nNOTA,nNIA,A638,nCUENTA,1,nASIG,"Conjunto"),"")))</f>
        <v/>
      </c>
      <c r="E638" t="str">
        <f>IF(A638="","",IF(A638="[FÓRMULA MANUAL]","",IFERROR(SUMPRODUCT((nNIA=A638)*(nCUENTA=1)*(COUNTIF(CONFIG_ASIGNATURAS!$B$7:$B$27,nASIG)&gt;0)*(nNOTA))/SUMPRODUCT((nNIA=A638)*(nCUENTA=1)*(COUNTIF(CONFIG_ASIGNATURAS!$B$7:$B$27,nASIG)&gt;0)*1),"")))</f>
        <v/>
      </c>
      <c r="H638" t="str">
        <f>IF(G638="","",IF(G638="[FÓRMULA MANUAL]","",IFERROR(AVERAGEIFS(nNOTA,nNIA,G638,nCUENTA,1,nASIG,"Lenguaje Musical"),"")))</f>
        <v/>
      </c>
      <c r="I638" t="str">
        <f>IF(G638="","",IF(G638="[FÓRMULA MANUAL]","",IFERROR(AVERAGEIFS(nNOTA,nNIA,G638,nCUENTA,1,nASIG,"Orquesta/Banda/Conjunto"),"")))</f>
        <v/>
      </c>
      <c r="J638" t="str">
        <f>IF(G638="","",IF(G638="[FÓRMULA MANUAL]","",IFERROR(AVERAGEIFS(nNOTA,nNIA,G638,nCUENTA,1,nASIG,"Conjunto"),"")))</f>
        <v/>
      </c>
      <c r="K638" t="str">
        <f>IF(G638="","",IF(G638="[FÓRMULA MANUAL]","",IFERROR(SUMPRODUCT((nNIA=G638)*(nCUENTA=1)*(COUNTIF(CONFIG_ASIGNATURAS!$B$7:$B$27,nASIG)&gt;0)*(nNOTA))/SUMPRODUCT((nNIA=G638)*(nCUENTA=1)*(COUNTIF(CONFIG_ASIGNATURAS!$B$7:$B$27,nASIG)&gt;0)*1),"")))</f>
        <v/>
      </c>
      <c r="N638" t="str">
        <f>IF(M638="","",IF(M638="[FÓRMULA MANUAL]","",IFERROR(AVERAGEIFS(nNOTA,nNIA,M638,nCUENTA,1,nASIG,"Armonía"),"")))</f>
        <v/>
      </c>
      <c r="O638" t="str">
        <f>IF(M638="","",IF(M638="[FÓRMULA MANUAL]","",IFERROR(AVERAGEIFS(nNOTA,nNIA,M638,nCUENTA,1,nASIG,"Orquesta/Banda/Conjunto"),"")))</f>
        <v/>
      </c>
      <c r="P638" t="str">
        <f>IF(M638="","",IF(M638="[FÓRMULA MANUAL]","",IFERROR(AVERAGEIFS(nNOTA,nNIA,M638,nCUENTA,1,nASIG,"Música de Cámara"),"")))</f>
        <v/>
      </c>
      <c r="Q638" t="str">
        <f>IF(M638="","",IF(M638="[FÓRMULA MANUAL]","",IFERROR(SUMPRODUCT((nNIA=M638)*(nCUENTA=1)*(COUNTIF(CONFIG_ASIGNATURAS!$B$7:$B$27,nASIG)&gt;0)*(nNOTA))/SUMPRODUCT((nNIA=M638)*(nCUENTA=1)*(COUNTIF(CONFIG_ASIGNATURAS!$B$7:$B$27,nASIG)&gt;0)*1),"")))</f>
        <v/>
      </c>
      <c r="T638" t="str">
        <f>IF(S638="","",IF(S638="[FÓRMULA MANUAL]","",IFERROR(AVERAGEIFS(nNOTA,nNIA,S638,nCUENTA,1,nASIG,"Armonía"),"")))</f>
        <v/>
      </c>
      <c r="U638" t="str">
        <f>IF(S638="","",IF(S638="[FÓRMULA MANUAL]","",IFERROR(AVERAGEIFS(nNOTA,nNIA,S638,nCUENTA,1,nASIG,"Orquesta/Banda/Conjunto"),"")))</f>
        <v/>
      </c>
      <c r="V638" t="str">
        <f>IF(S638="","",IF(S638="[FÓRMULA MANUAL]","",IFERROR(AVERAGEIFS(nNOTA,nNIA,S638,nCUENTA,1,nASIG,"Música de Cámara"),"")))</f>
        <v/>
      </c>
      <c r="W638" t="str">
        <f>IF(S638="","",IF(S638="[FÓRMULA MANUAL]","",IFERROR(SUMPRODUCT((nNIA=S638)*(nCUENTA=1)*(COUNTIF(CONFIG_ASIGNATURAS!$B$7:$B$27,nASIG)&gt;0)*(nNOTA))/SUMPRODUCT((nNIA=S638)*(nCUENTA=1)*(COUNTIF(CONFIG_ASIGNATURAS!$B$7:$B$27,nASIG)&gt;0)*1),"")))</f>
        <v/>
      </c>
      <c r="Z638" t="str">
        <f>IF(Y638="","",IF(Y638="[FÓRMULA MANUAL]","",IFERROR(AVERAGEIFS(nNOTA,nNIA,Y638,nCUENTA,1,nASIG,"Análisis"),"")))</f>
        <v/>
      </c>
      <c r="AA638" t="str">
        <f>IF(Y638="","",IF(Y638="[FÓRMULA MANUAL]","",IFERROR(AVERAGEIFS(nNOTA,nNIA,Y638,nCUENTA,1,nASIG,"Orquesta/Banda/Conjunto"),"")))</f>
        <v/>
      </c>
      <c r="AB638" t="str">
        <f>IF(Y638="","",IF(Y638="[FÓRMULA MANUAL]","",IFERROR(AVERAGEIFS(nNOTA,nNIA,Y638,nCUENTA,1,nASIG,"Música de Cámara"),"")))</f>
        <v/>
      </c>
      <c r="AC638" t="str">
        <f>IF(Y638="","",IF(Y638="[FÓRMULA MANUAL]","",IFERROR(SUMPRODUCT((nNIA=Y638)*(nCUENTA=1)*(COUNTIF(CONFIG_ASIGNATURAS!$B$7:$B$27,nASIG)&gt;0)*(nNOTA))/SUMPRODUCT((nNIA=Y638)*(nCUENTA=1)*(COUNTIF(CONFIG_ASIGNATURAS!$B$7:$B$27,nASIG)&gt;0)*1),"")))</f>
        <v/>
      </c>
      <c r="AF638" t="str">
        <f>IF(AE638="","",IF(AE638="[FÓRMULA MANUAL]","",IFERROR(AVERAGEIFS(nNOTA,nNIA,AE638,nCUENTA,1,nASIG,"Análisis"),"")))</f>
        <v/>
      </c>
      <c r="AG638" t="str">
        <f>IF(AE638="","",IF(AE638="[FÓRMULA MANUAL]","",IFERROR(AVERAGEIFS(nNOTA,nNIA,AE638,nCUENTA,1,nASIG,"Orquesta/Banda/Conjunto"),"")))</f>
        <v/>
      </c>
      <c r="AH638" t="str">
        <f>IF(AE638="","",IF(AE638="[FÓRMULA MANUAL]","",IFERROR(AVERAGEIFS(nNOTA,nNIA,AE638,nCUENTA,1,nASIG,"Música de Cámara"),"")))</f>
        <v/>
      </c>
      <c r="AI638" t="str">
        <f>IF(AE638="","",IF(AE638="[FÓRMULA MANUAL]","",IFERROR(SUMPRODUCT((nNIA=AE638)*(nCUENTA=1)*(COUNTIF(CONFIG_ASIGNATURAS!$B$7:$B$27,nASIG)&gt;0)*(nNOTA))/SUMPRODUCT((nNIA=AE638)*(nCUENTA=1)*(COUNTIF(CONFIG_ASIGNATURAS!$B$7:$B$27,nASIG)&gt;0)*1),"")))</f>
        <v/>
      </c>
    </row>
    <row r="639" spans="2:35" x14ac:dyDescent="0.2">
      <c r="B639" t="str">
        <f>IF(A639="","",IF(A639="[FÓRMULA MANUAL]","",IFERROR(AVERAGEIFS(nNOTA,nNIA,A639,nCUENTA,1,nASIG,"Lenguaje Musical"),"")))</f>
        <v/>
      </c>
      <c r="C639" t="str">
        <f>IF(A639="","",IF(A639="[FÓRMULA MANUAL]","",IFERROR(AVERAGEIFS(nNOTA,nNIA,A639,nCUENTA,1,nASIG,"Orquesta/Banda/Conjunto"),"")))</f>
        <v/>
      </c>
      <c r="D639" t="str">
        <f>IF(A639="","",IF(A639="[FÓRMULA MANUAL]","",IFERROR(AVERAGEIFS(nNOTA,nNIA,A639,nCUENTA,1,nASIG,"Conjunto"),"")))</f>
        <v/>
      </c>
      <c r="E639" t="str">
        <f>IF(A639="","",IF(A639="[FÓRMULA MANUAL]","",IFERROR(SUMPRODUCT((nNIA=A639)*(nCUENTA=1)*(COUNTIF(CONFIG_ASIGNATURAS!$B$7:$B$27,nASIG)&gt;0)*(nNOTA))/SUMPRODUCT((nNIA=A639)*(nCUENTA=1)*(COUNTIF(CONFIG_ASIGNATURAS!$B$7:$B$27,nASIG)&gt;0)*1),"")))</f>
        <v/>
      </c>
      <c r="H639" t="str">
        <f>IF(G639="","",IF(G639="[FÓRMULA MANUAL]","",IFERROR(AVERAGEIFS(nNOTA,nNIA,G639,nCUENTA,1,nASIG,"Lenguaje Musical"),"")))</f>
        <v/>
      </c>
      <c r="I639" t="str">
        <f>IF(G639="","",IF(G639="[FÓRMULA MANUAL]","",IFERROR(AVERAGEIFS(nNOTA,nNIA,G639,nCUENTA,1,nASIG,"Orquesta/Banda/Conjunto"),"")))</f>
        <v/>
      </c>
      <c r="J639" t="str">
        <f>IF(G639="","",IF(G639="[FÓRMULA MANUAL]","",IFERROR(AVERAGEIFS(nNOTA,nNIA,G639,nCUENTA,1,nASIG,"Conjunto"),"")))</f>
        <v/>
      </c>
      <c r="K639" t="str">
        <f>IF(G639="","",IF(G639="[FÓRMULA MANUAL]","",IFERROR(SUMPRODUCT((nNIA=G639)*(nCUENTA=1)*(COUNTIF(CONFIG_ASIGNATURAS!$B$7:$B$27,nASIG)&gt;0)*(nNOTA))/SUMPRODUCT((nNIA=G639)*(nCUENTA=1)*(COUNTIF(CONFIG_ASIGNATURAS!$B$7:$B$27,nASIG)&gt;0)*1),"")))</f>
        <v/>
      </c>
      <c r="N639" t="str">
        <f>IF(M639="","",IF(M639="[FÓRMULA MANUAL]","",IFERROR(AVERAGEIFS(nNOTA,nNIA,M639,nCUENTA,1,nASIG,"Armonía"),"")))</f>
        <v/>
      </c>
      <c r="O639" t="str">
        <f>IF(M639="","",IF(M639="[FÓRMULA MANUAL]","",IFERROR(AVERAGEIFS(nNOTA,nNIA,M639,nCUENTA,1,nASIG,"Orquesta/Banda/Conjunto"),"")))</f>
        <v/>
      </c>
      <c r="P639" t="str">
        <f>IF(M639="","",IF(M639="[FÓRMULA MANUAL]","",IFERROR(AVERAGEIFS(nNOTA,nNIA,M639,nCUENTA,1,nASIG,"Música de Cámara"),"")))</f>
        <v/>
      </c>
      <c r="Q639" t="str">
        <f>IF(M639="","",IF(M639="[FÓRMULA MANUAL]","",IFERROR(SUMPRODUCT((nNIA=M639)*(nCUENTA=1)*(COUNTIF(CONFIG_ASIGNATURAS!$B$7:$B$27,nASIG)&gt;0)*(nNOTA))/SUMPRODUCT((nNIA=M639)*(nCUENTA=1)*(COUNTIF(CONFIG_ASIGNATURAS!$B$7:$B$27,nASIG)&gt;0)*1),"")))</f>
        <v/>
      </c>
      <c r="T639" t="str">
        <f>IF(S639="","",IF(S639="[FÓRMULA MANUAL]","",IFERROR(AVERAGEIFS(nNOTA,nNIA,S639,nCUENTA,1,nASIG,"Armonía"),"")))</f>
        <v/>
      </c>
      <c r="U639" t="str">
        <f>IF(S639="","",IF(S639="[FÓRMULA MANUAL]","",IFERROR(AVERAGEIFS(nNOTA,nNIA,S639,nCUENTA,1,nASIG,"Orquesta/Banda/Conjunto"),"")))</f>
        <v/>
      </c>
      <c r="V639" t="str">
        <f>IF(S639="","",IF(S639="[FÓRMULA MANUAL]","",IFERROR(AVERAGEIFS(nNOTA,nNIA,S639,nCUENTA,1,nASIG,"Música de Cámara"),"")))</f>
        <v/>
      </c>
      <c r="W639" t="str">
        <f>IF(S639="","",IF(S639="[FÓRMULA MANUAL]","",IFERROR(SUMPRODUCT((nNIA=S639)*(nCUENTA=1)*(COUNTIF(CONFIG_ASIGNATURAS!$B$7:$B$27,nASIG)&gt;0)*(nNOTA))/SUMPRODUCT((nNIA=S639)*(nCUENTA=1)*(COUNTIF(CONFIG_ASIGNATURAS!$B$7:$B$27,nASIG)&gt;0)*1),"")))</f>
        <v/>
      </c>
      <c r="Z639" t="str">
        <f>IF(Y639="","",IF(Y639="[FÓRMULA MANUAL]","",IFERROR(AVERAGEIFS(nNOTA,nNIA,Y639,nCUENTA,1,nASIG,"Análisis"),"")))</f>
        <v/>
      </c>
      <c r="AA639" t="str">
        <f>IF(Y639="","",IF(Y639="[FÓRMULA MANUAL]","",IFERROR(AVERAGEIFS(nNOTA,nNIA,Y639,nCUENTA,1,nASIG,"Orquesta/Banda/Conjunto"),"")))</f>
        <v/>
      </c>
      <c r="AB639" t="str">
        <f>IF(Y639="","",IF(Y639="[FÓRMULA MANUAL]","",IFERROR(AVERAGEIFS(nNOTA,nNIA,Y639,nCUENTA,1,nASIG,"Música de Cámara"),"")))</f>
        <v/>
      </c>
      <c r="AC639" t="str">
        <f>IF(Y639="","",IF(Y639="[FÓRMULA MANUAL]","",IFERROR(SUMPRODUCT((nNIA=Y639)*(nCUENTA=1)*(COUNTIF(CONFIG_ASIGNATURAS!$B$7:$B$27,nASIG)&gt;0)*(nNOTA))/SUMPRODUCT((nNIA=Y639)*(nCUENTA=1)*(COUNTIF(CONFIG_ASIGNATURAS!$B$7:$B$27,nASIG)&gt;0)*1),"")))</f>
        <v/>
      </c>
      <c r="AF639" t="str">
        <f>IF(AE639="","",IF(AE639="[FÓRMULA MANUAL]","",IFERROR(AVERAGEIFS(nNOTA,nNIA,AE639,nCUENTA,1,nASIG,"Análisis"),"")))</f>
        <v/>
      </c>
      <c r="AG639" t="str">
        <f>IF(AE639="","",IF(AE639="[FÓRMULA MANUAL]","",IFERROR(AVERAGEIFS(nNOTA,nNIA,AE639,nCUENTA,1,nASIG,"Orquesta/Banda/Conjunto"),"")))</f>
        <v/>
      </c>
      <c r="AH639" t="str">
        <f>IF(AE639="","",IF(AE639="[FÓRMULA MANUAL]","",IFERROR(AVERAGEIFS(nNOTA,nNIA,AE639,nCUENTA,1,nASIG,"Música de Cámara"),"")))</f>
        <v/>
      </c>
      <c r="AI639" t="str">
        <f>IF(AE639="","",IF(AE639="[FÓRMULA MANUAL]","",IFERROR(SUMPRODUCT((nNIA=AE639)*(nCUENTA=1)*(COUNTIF(CONFIG_ASIGNATURAS!$B$7:$B$27,nASIG)&gt;0)*(nNOTA))/SUMPRODUCT((nNIA=AE639)*(nCUENTA=1)*(COUNTIF(CONFIG_ASIGNATURAS!$B$7:$B$27,nASIG)&gt;0)*1),"")))</f>
        <v/>
      </c>
    </row>
    <row r="640" spans="2:35" x14ac:dyDescent="0.2">
      <c r="B640" t="str">
        <f>IF(A640="","",IF(A640="[FÓRMULA MANUAL]","",IFERROR(AVERAGEIFS(nNOTA,nNIA,A640,nCUENTA,1,nASIG,"Lenguaje Musical"),"")))</f>
        <v/>
      </c>
      <c r="C640" t="str">
        <f>IF(A640="","",IF(A640="[FÓRMULA MANUAL]","",IFERROR(AVERAGEIFS(nNOTA,nNIA,A640,nCUENTA,1,nASIG,"Orquesta/Banda/Conjunto"),"")))</f>
        <v/>
      </c>
      <c r="D640" t="str">
        <f>IF(A640="","",IF(A640="[FÓRMULA MANUAL]","",IFERROR(AVERAGEIFS(nNOTA,nNIA,A640,nCUENTA,1,nASIG,"Conjunto"),"")))</f>
        <v/>
      </c>
      <c r="E640" t="str">
        <f>IF(A640="","",IF(A640="[FÓRMULA MANUAL]","",IFERROR(SUMPRODUCT((nNIA=A640)*(nCUENTA=1)*(COUNTIF(CONFIG_ASIGNATURAS!$B$7:$B$27,nASIG)&gt;0)*(nNOTA))/SUMPRODUCT((nNIA=A640)*(nCUENTA=1)*(COUNTIF(CONFIG_ASIGNATURAS!$B$7:$B$27,nASIG)&gt;0)*1),"")))</f>
        <v/>
      </c>
      <c r="H640" t="str">
        <f>IF(G640="","",IF(G640="[FÓRMULA MANUAL]","",IFERROR(AVERAGEIFS(nNOTA,nNIA,G640,nCUENTA,1,nASIG,"Lenguaje Musical"),"")))</f>
        <v/>
      </c>
      <c r="I640" t="str">
        <f>IF(G640="","",IF(G640="[FÓRMULA MANUAL]","",IFERROR(AVERAGEIFS(nNOTA,nNIA,G640,nCUENTA,1,nASIG,"Orquesta/Banda/Conjunto"),"")))</f>
        <v/>
      </c>
      <c r="J640" t="str">
        <f>IF(G640="","",IF(G640="[FÓRMULA MANUAL]","",IFERROR(AVERAGEIFS(nNOTA,nNIA,G640,nCUENTA,1,nASIG,"Conjunto"),"")))</f>
        <v/>
      </c>
      <c r="K640" t="str">
        <f>IF(G640="","",IF(G640="[FÓRMULA MANUAL]","",IFERROR(SUMPRODUCT((nNIA=G640)*(nCUENTA=1)*(COUNTIF(CONFIG_ASIGNATURAS!$B$7:$B$27,nASIG)&gt;0)*(nNOTA))/SUMPRODUCT((nNIA=G640)*(nCUENTA=1)*(COUNTIF(CONFIG_ASIGNATURAS!$B$7:$B$27,nASIG)&gt;0)*1),"")))</f>
        <v/>
      </c>
      <c r="N640" t="str">
        <f>IF(M640="","",IF(M640="[FÓRMULA MANUAL]","",IFERROR(AVERAGEIFS(nNOTA,nNIA,M640,nCUENTA,1,nASIG,"Armonía"),"")))</f>
        <v/>
      </c>
      <c r="O640" t="str">
        <f>IF(M640="","",IF(M640="[FÓRMULA MANUAL]","",IFERROR(AVERAGEIFS(nNOTA,nNIA,M640,nCUENTA,1,nASIG,"Orquesta/Banda/Conjunto"),"")))</f>
        <v/>
      </c>
      <c r="P640" t="str">
        <f>IF(M640="","",IF(M640="[FÓRMULA MANUAL]","",IFERROR(AVERAGEIFS(nNOTA,nNIA,M640,nCUENTA,1,nASIG,"Música de Cámara"),"")))</f>
        <v/>
      </c>
      <c r="Q640" t="str">
        <f>IF(M640="","",IF(M640="[FÓRMULA MANUAL]","",IFERROR(SUMPRODUCT((nNIA=M640)*(nCUENTA=1)*(COUNTIF(CONFIG_ASIGNATURAS!$B$7:$B$27,nASIG)&gt;0)*(nNOTA))/SUMPRODUCT((nNIA=M640)*(nCUENTA=1)*(COUNTIF(CONFIG_ASIGNATURAS!$B$7:$B$27,nASIG)&gt;0)*1),"")))</f>
        <v/>
      </c>
      <c r="T640" t="str">
        <f>IF(S640="","",IF(S640="[FÓRMULA MANUAL]","",IFERROR(AVERAGEIFS(nNOTA,nNIA,S640,nCUENTA,1,nASIG,"Armonía"),"")))</f>
        <v/>
      </c>
      <c r="U640" t="str">
        <f>IF(S640="","",IF(S640="[FÓRMULA MANUAL]","",IFERROR(AVERAGEIFS(nNOTA,nNIA,S640,nCUENTA,1,nASIG,"Orquesta/Banda/Conjunto"),"")))</f>
        <v/>
      </c>
      <c r="V640" t="str">
        <f>IF(S640="","",IF(S640="[FÓRMULA MANUAL]","",IFERROR(AVERAGEIFS(nNOTA,nNIA,S640,nCUENTA,1,nASIG,"Música de Cámara"),"")))</f>
        <v/>
      </c>
      <c r="W640" t="str">
        <f>IF(S640="","",IF(S640="[FÓRMULA MANUAL]","",IFERROR(SUMPRODUCT((nNIA=S640)*(nCUENTA=1)*(COUNTIF(CONFIG_ASIGNATURAS!$B$7:$B$27,nASIG)&gt;0)*(nNOTA))/SUMPRODUCT((nNIA=S640)*(nCUENTA=1)*(COUNTIF(CONFIG_ASIGNATURAS!$B$7:$B$27,nASIG)&gt;0)*1),"")))</f>
        <v/>
      </c>
      <c r="Z640" t="str">
        <f>IF(Y640="","",IF(Y640="[FÓRMULA MANUAL]","",IFERROR(AVERAGEIFS(nNOTA,nNIA,Y640,nCUENTA,1,nASIG,"Análisis"),"")))</f>
        <v/>
      </c>
      <c r="AA640" t="str">
        <f>IF(Y640="","",IF(Y640="[FÓRMULA MANUAL]","",IFERROR(AVERAGEIFS(nNOTA,nNIA,Y640,nCUENTA,1,nASIG,"Orquesta/Banda/Conjunto"),"")))</f>
        <v/>
      </c>
      <c r="AB640" t="str">
        <f>IF(Y640="","",IF(Y640="[FÓRMULA MANUAL]","",IFERROR(AVERAGEIFS(nNOTA,nNIA,Y640,nCUENTA,1,nASIG,"Música de Cámara"),"")))</f>
        <v/>
      </c>
      <c r="AC640" t="str">
        <f>IF(Y640="","",IF(Y640="[FÓRMULA MANUAL]","",IFERROR(SUMPRODUCT((nNIA=Y640)*(nCUENTA=1)*(COUNTIF(CONFIG_ASIGNATURAS!$B$7:$B$27,nASIG)&gt;0)*(nNOTA))/SUMPRODUCT((nNIA=Y640)*(nCUENTA=1)*(COUNTIF(CONFIG_ASIGNATURAS!$B$7:$B$27,nASIG)&gt;0)*1),"")))</f>
        <v/>
      </c>
      <c r="AF640" t="str">
        <f>IF(AE640="","",IF(AE640="[FÓRMULA MANUAL]","",IFERROR(AVERAGEIFS(nNOTA,nNIA,AE640,nCUENTA,1,nASIG,"Análisis"),"")))</f>
        <v/>
      </c>
      <c r="AG640" t="str">
        <f>IF(AE640="","",IF(AE640="[FÓRMULA MANUAL]","",IFERROR(AVERAGEIFS(nNOTA,nNIA,AE640,nCUENTA,1,nASIG,"Orquesta/Banda/Conjunto"),"")))</f>
        <v/>
      </c>
      <c r="AH640" t="str">
        <f>IF(AE640="","",IF(AE640="[FÓRMULA MANUAL]","",IFERROR(AVERAGEIFS(nNOTA,nNIA,AE640,nCUENTA,1,nASIG,"Música de Cámara"),"")))</f>
        <v/>
      </c>
      <c r="AI640" t="str">
        <f>IF(AE640="","",IF(AE640="[FÓRMULA MANUAL]","",IFERROR(SUMPRODUCT((nNIA=AE640)*(nCUENTA=1)*(COUNTIF(CONFIG_ASIGNATURAS!$B$7:$B$27,nASIG)&gt;0)*(nNOTA))/SUMPRODUCT((nNIA=AE640)*(nCUENTA=1)*(COUNTIF(CONFIG_ASIGNATURAS!$B$7:$B$27,nASIG)&gt;0)*1),"")))</f>
        <v/>
      </c>
    </row>
    <row r="641" spans="2:35" x14ac:dyDescent="0.2">
      <c r="B641" t="str">
        <f>IF(A641="","",IF(A641="[FÓRMULA MANUAL]","",IFERROR(AVERAGEIFS(nNOTA,nNIA,A641,nCUENTA,1,nASIG,"Lenguaje Musical"),"")))</f>
        <v/>
      </c>
      <c r="C641" t="str">
        <f>IF(A641="","",IF(A641="[FÓRMULA MANUAL]","",IFERROR(AVERAGEIFS(nNOTA,nNIA,A641,nCUENTA,1,nASIG,"Orquesta/Banda/Conjunto"),"")))</f>
        <v/>
      </c>
      <c r="D641" t="str">
        <f>IF(A641="","",IF(A641="[FÓRMULA MANUAL]","",IFERROR(AVERAGEIFS(nNOTA,nNIA,A641,nCUENTA,1,nASIG,"Conjunto"),"")))</f>
        <v/>
      </c>
      <c r="E641" t="str">
        <f>IF(A641="","",IF(A641="[FÓRMULA MANUAL]","",IFERROR(SUMPRODUCT((nNIA=A641)*(nCUENTA=1)*(COUNTIF(CONFIG_ASIGNATURAS!$B$7:$B$27,nASIG)&gt;0)*(nNOTA))/SUMPRODUCT((nNIA=A641)*(nCUENTA=1)*(COUNTIF(CONFIG_ASIGNATURAS!$B$7:$B$27,nASIG)&gt;0)*1),"")))</f>
        <v/>
      </c>
      <c r="H641" t="str">
        <f>IF(G641="","",IF(G641="[FÓRMULA MANUAL]","",IFERROR(AVERAGEIFS(nNOTA,nNIA,G641,nCUENTA,1,nASIG,"Lenguaje Musical"),"")))</f>
        <v/>
      </c>
      <c r="I641" t="str">
        <f>IF(G641="","",IF(G641="[FÓRMULA MANUAL]","",IFERROR(AVERAGEIFS(nNOTA,nNIA,G641,nCUENTA,1,nASIG,"Orquesta/Banda/Conjunto"),"")))</f>
        <v/>
      </c>
      <c r="J641" t="str">
        <f>IF(G641="","",IF(G641="[FÓRMULA MANUAL]","",IFERROR(AVERAGEIFS(nNOTA,nNIA,G641,nCUENTA,1,nASIG,"Conjunto"),"")))</f>
        <v/>
      </c>
      <c r="K641" t="str">
        <f>IF(G641="","",IF(G641="[FÓRMULA MANUAL]","",IFERROR(SUMPRODUCT((nNIA=G641)*(nCUENTA=1)*(COUNTIF(CONFIG_ASIGNATURAS!$B$7:$B$27,nASIG)&gt;0)*(nNOTA))/SUMPRODUCT((nNIA=G641)*(nCUENTA=1)*(COUNTIF(CONFIG_ASIGNATURAS!$B$7:$B$27,nASIG)&gt;0)*1),"")))</f>
        <v/>
      </c>
      <c r="N641" t="str">
        <f>IF(M641="","",IF(M641="[FÓRMULA MANUAL]","",IFERROR(AVERAGEIFS(nNOTA,nNIA,M641,nCUENTA,1,nASIG,"Armonía"),"")))</f>
        <v/>
      </c>
      <c r="O641" t="str">
        <f>IF(M641="","",IF(M641="[FÓRMULA MANUAL]","",IFERROR(AVERAGEIFS(nNOTA,nNIA,M641,nCUENTA,1,nASIG,"Orquesta/Banda/Conjunto"),"")))</f>
        <v/>
      </c>
      <c r="P641" t="str">
        <f>IF(M641="","",IF(M641="[FÓRMULA MANUAL]","",IFERROR(AVERAGEIFS(nNOTA,nNIA,M641,nCUENTA,1,nASIG,"Música de Cámara"),"")))</f>
        <v/>
      </c>
      <c r="Q641" t="str">
        <f>IF(M641="","",IF(M641="[FÓRMULA MANUAL]","",IFERROR(SUMPRODUCT((nNIA=M641)*(nCUENTA=1)*(COUNTIF(CONFIG_ASIGNATURAS!$B$7:$B$27,nASIG)&gt;0)*(nNOTA))/SUMPRODUCT((nNIA=M641)*(nCUENTA=1)*(COUNTIF(CONFIG_ASIGNATURAS!$B$7:$B$27,nASIG)&gt;0)*1),"")))</f>
        <v/>
      </c>
      <c r="T641" t="str">
        <f>IF(S641="","",IF(S641="[FÓRMULA MANUAL]","",IFERROR(AVERAGEIFS(nNOTA,nNIA,S641,nCUENTA,1,nASIG,"Armonía"),"")))</f>
        <v/>
      </c>
      <c r="U641" t="str">
        <f>IF(S641="","",IF(S641="[FÓRMULA MANUAL]","",IFERROR(AVERAGEIFS(nNOTA,nNIA,S641,nCUENTA,1,nASIG,"Orquesta/Banda/Conjunto"),"")))</f>
        <v/>
      </c>
      <c r="V641" t="str">
        <f>IF(S641="","",IF(S641="[FÓRMULA MANUAL]","",IFERROR(AVERAGEIFS(nNOTA,nNIA,S641,nCUENTA,1,nASIG,"Música de Cámara"),"")))</f>
        <v/>
      </c>
      <c r="W641" t="str">
        <f>IF(S641="","",IF(S641="[FÓRMULA MANUAL]","",IFERROR(SUMPRODUCT((nNIA=S641)*(nCUENTA=1)*(COUNTIF(CONFIG_ASIGNATURAS!$B$7:$B$27,nASIG)&gt;0)*(nNOTA))/SUMPRODUCT((nNIA=S641)*(nCUENTA=1)*(COUNTIF(CONFIG_ASIGNATURAS!$B$7:$B$27,nASIG)&gt;0)*1),"")))</f>
        <v/>
      </c>
      <c r="Z641" t="str">
        <f>IF(Y641="","",IF(Y641="[FÓRMULA MANUAL]","",IFERROR(AVERAGEIFS(nNOTA,nNIA,Y641,nCUENTA,1,nASIG,"Análisis"),"")))</f>
        <v/>
      </c>
      <c r="AA641" t="str">
        <f>IF(Y641="","",IF(Y641="[FÓRMULA MANUAL]","",IFERROR(AVERAGEIFS(nNOTA,nNIA,Y641,nCUENTA,1,nASIG,"Orquesta/Banda/Conjunto"),"")))</f>
        <v/>
      </c>
      <c r="AB641" t="str">
        <f>IF(Y641="","",IF(Y641="[FÓRMULA MANUAL]","",IFERROR(AVERAGEIFS(nNOTA,nNIA,Y641,nCUENTA,1,nASIG,"Música de Cámara"),"")))</f>
        <v/>
      </c>
      <c r="AC641" t="str">
        <f>IF(Y641="","",IF(Y641="[FÓRMULA MANUAL]","",IFERROR(SUMPRODUCT((nNIA=Y641)*(nCUENTA=1)*(COUNTIF(CONFIG_ASIGNATURAS!$B$7:$B$27,nASIG)&gt;0)*(nNOTA))/SUMPRODUCT((nNIA=Y641)*(nCUENTA=1)*(COUNTIF(CONFIG_ASIGNATURAS!$B$7:$B$27,nASIG)&gt;0)*1),"")))</f>
        <v/>
      </c>
      <c r="AF641" t="str">
        <f>IF(AE641="","",IF(AE641="[FÓRMULA MANUAL]","",IFERROR(AVERAGEIFS(nNOTA,nNIA,AE641,nCUENTA,1,nASIG,"Análisis"),"")))</f>
        <v/>
      </c>
      <c r="AG641" t="str">
        <f>IF(AE641="","",IF(AE641="[FÓRMULA MANUAL]","",IFERROR(AVERAGEIFS(nNOTA,nNIA,AE641,nCUENTA,1,nASIG,"Orquesta/Banda/Conjunto"),"")))</f>
        <v/>
      </c>
      <c r="AH641" t="str">
        <f>IF(AE641="","",IF(AE641="[FÓRMULA MANUAL]","",IFERROR(AVERAGEIFS(nNOTA,nNIA,AE641,nCUENTA,1,nASIG,"Música de Cámara"),"")))</f>
        <v/>
      </c>
      <c r="AI641" t="str">
        <f>IF(AE641="","",IF(AE641="[FÓRMULA MANUAL]","",IFERROR(SUMPRODUCT((nNIA=AE641)*(nCUENTA=1)*(COUNTIF(CONFIG_ASIGNATURAS!$B$7:$B$27,nASIG)&gt;0)*(nNOTA))/SUMPRODUCT((nNIA=AE641)*(nCUENTA=1)*(COUNTIF(CONFIG_ASIGNATURAS!$B$7:$B$27,nASIG)&gt;0)*1),"")))</f>
        <v/>
      </c>
    </row>
    <row r="642" spans="2:35" x14ac:dyDescent="0.2">
      <c r="B642" t="str">
        <f>IF(A642="","",IF(A642="[FÓRMULA MANUAL]","",IFERROR(AVERAGEIFS(nNOTA,nNIA,A642,nCUENTA,1,nASIG,"Lenguaje Musical"),"")))</f>
        <v/>
      </c>
      <c r="C642" t="str">
        <f>IF(A642="","",IF(A642="[FÓRMULA MANUAL]","",IFERROR(AVERAGEIFS(nNOTA,nNIA,A642,nCUENTA,1,nASIG,"Orquesta/Banda/Conjunto"),"")))</f>
        <v/>
      </c>
      <c r="D642" t="str">
        <f>IF(A642="","",IF(A642="[FÓRMULA MANUAL]","",IFERROR(AVERAGEIFS(nNOTA,nNIA,A642,nCUENTA,1,nASIG,"Conjunto"),"")))</f>
        <v/>
      </c>
      <c r="E642" t="str">
        <f>IF(A642="","",IF(A642="[FÓRMULA MANUAL]","",IFERROR(SUMPRODUCT((nNIA=A642)*(nCUENTA=1)*(COUNTIF(CONFIG_ASIGNATURAS!$B$7:$B$27,nASIG)&gt;0)*(nNOTA))/SUMPRODUCT((nNIA=A642)*(nCUENTA=1)*(COUNTIF(CONFIG_ASIGNATURAS!$B$7:$B$27,nASIG)&gt;0)*1),"")))</f>
        <v/>
      </c>
      <c r="H642" t="str">
        <f>IF(G642="","",IF(G642="[FÓRMULA MANUAL]","",IFERROR(AVERAGEIFS(nNOTA,nNIA,G642,nCUENTA,1,nASIG,"Lenguaje Musical"),"")))</f>
        <v/>
      </c>
      <c r="I642" t="str">
        <f>IF(G642="","",IF(G642="[FÓRMULA MANUAL]","",IFERROR(AVERAGEIFS(nNOTA,nNIA,G642,nCUENTA,1,nASIG,"Orquesta/Banda/Conjunto"),"")))</f>
        <v/>
      </c>
      <c r="J642" t="str">
        <f>IF(G642="","",IF(G642="[FÓRMULA MANUAL]","",IFERROR(AVERAGEIFS(nNOTA,nNIA,G642,nCUENTA,1,nASIG,"Conjunto"),"")))</f>
        <v/>
      </c>
      <c r="K642" t="str">
        <f>IF(G642="","",IF(G642="[FÓRMULA MANUAL]","",IFERROR(SUMPRODUCT((nNIA=G642)*(nCUENTA=1)*(COUNTIF(CONFIG_ASIGNATURAS!$B$7:$B$27,nASIG)&gt;0)*(nNOTA))/SUMPRODUCT((nNIA=G642)*(nCUENTA=1)*(COUNTIF(CONFIG_ASIGNATURAS!$B$7:$B$27,nASIG)&gt;0)*1),"")))</f>
        <v/>
      </c>
      <c r="N642" t="str">
        <f>IF(M642="","",IF(M642="[FÓRMULA MANUAL]","",IFERROR(AVERAGEIFS(nNOTA,nNIA,M642,nCUENTA,1,nASIG,"Armonía"),"")))</f>
        <v/>
      </c>
      <c r="O642" t="str">
        <f>IF(M642="","",IF(M642="[FÓRMULA MANUAL]","",IFERROR(AVERAGEIFS(nNOTA,nNIA,M642,nCUENTA,1,nASIG,"Orquesta/Banda/Conjunto"),"")))</f>
        <v/>
      </c>
      <c r="P642" t="str">
        <f>IF(M642="","",IF(M642="[FÓRMULA MANUAL]","",IFERROR(AVERAGEIFS(nNOTA,nNIA,M642,nCUENTA,1,nASIG,"Música de Cámara"),"")))</f>
        <v/>
      </c>
      <c r="Q642" t="str">
        <f>IF(M642="","",IF(M642="[FÓRMULA MANUAL]","",IFERROR(SUMPRODUCT((nNIA=M642)*(nCUENTA=1)*(COUNTIF(CONFIG_ASIGNATURAS!$B$7:$B$27,nASIG)&gt;0)*(nNOTA))/SUMPRODUCT((nNIA=M642)*(nCUENTA=1)*(COUNTIF(CONFIG_ASIGNATURAS!$B$7:$B$27,nASIG)&gt;0)*1),"")))</f>
        <v/>
      </c>
      <c r="T642" t="str">
        <f>IF(S642="","",IF(S642="[FÓRMULA MANUAL]","",IFERROR(AVERAGEIFS(nNOTA,nNIA,S642,nCUENTA,1,nASIG,"Armonía"),"")))</f>
        <v/>
      </c>
      <c r="U642" t="str">
        <f>IF(S642="","",IF(S642="[FÓRMULA MANUAL]","",IFERROR(AVERAGEIFS(nNOTA,nNIA,S642,nCUENTA,1,nASIG,"Orquesta/Banda/Conjunto"),"")))</f>
        <v/>
      </c>
      <c r="V642" t="str">
        <f>IF(S642="","",IF(S642="[FÓRMULA MANUAL]","",IFERROR(AVERAGEIFS(nNOTA,nNIA,S642,nCUENTA,1,nASIG,"Música de Cámara"),"")))</f>
        <v/>
      </c>
      <c r="W642" t="str">
        <f>IF(S642="","",IF(S642="[FÓRMULA MANUAL]","",IFERROR(SUMPRODUCT((nNIA=S642)*(nCUENTA=1)*(COUNTIF(CONFIG_ASIGNATURAS!$B$7:$B$27,nASIG)&gt;0)*(nNOTA))/SUMPRODUCT((nNIA=S642)*(nCUENTA=1)*(COUNTIF(CONFIG_ASIGNATURAS!$B$7:$B$27,nASIG)&gt;0)*1),"")))</f>
        <v/>
      </c>
      <c r="Z642" t="str">
        <f>IF(Y642="","",IF(Y642="[FÓRMULA MANUAL]","",IFERROR(AVERAGEIFS(nNOTA,nNIA,Y642,nCUENTA,1,nASIG,"Análisis"),"")))</f>
        <v/>
      </c>
      <c r="AA642" t="str">
        <f>IF(Y642="","",IF(Y642="[FÓRMULA MANUAL]","",IFERROR(AVERAGEIFS(nNOTA,nNIA,Y642,nCUENTA,1,nASIG,"Orquesta/Banda/Conjunto"),"")))</f>
        <v/>
      </c>
      <c r="AB642" t="str">
        <f>IF(Y642="","",IF(Y642="[FÓRMULA MANUAL]","",IFERROR(AVERAGEIFS(nNOTA,nNIA,Y642,nCUENTA,1,nASIG,"Música de Cámara"),"")))</f>
        <v/>
      </c>
      <c r="AC642" t="str">
        <f>IF(Y642="","",IF(Y642="[FÓRMULA MANUAL]","",IFERROR(SUMPRODUCT((nNIA=Y642)*(nCUENTA=1)*(COUNTIF(CONFIG_ASIGNATURAS!$B$7:$B$27,nASIG)&gt;0)*(nNOTA))/SUMPRODUCT((nNIA=Y642)*(nCUENTA=1)*(COUNTIF(CONFIG_ASIGNATURAS!$B$7:$B$27,nASIG)&gt;0)*1),"")))</f>
        <v/>
      </c>
      <c r="AF642" t="str">
        <f>IF(AE642="","",IF(AE642="[FÓRMULA MANUAL]","",IFERROR(AVERAGEIFS(nNOTA,nNIA,AE642,nCUENTA,1,nASIG,"Análisis"),"")))</f>
        <v/>
      </c>
      <c r="AG642" t="str">
        <f>IF(AE642="","",IF(AE642="[FÓRMULA MANUAL]","",IFERROR(AVERAGEIFS(nNOTA,nNIA,AE642,nCUENTA,1,nASIG,"Orquesta/Banda/Conjunto"),"")))</f>
        <v/>
      </c>
      <c r="AH642" t="str">
        <f>IF(AE642="","",IF(AE642="[FÓRMULA MANUAL]","",IFERROR(AVERAGEIFS(nNOTA,nNIA,AE642,nCUENTA,1,nASIG,"Música de Cámara"),"")))</f>
        <v/>
      </c>
      <c r="AI642" t="str">
        <f>IF(AE642="","",IF(AE642="[FÓRMULA MANUAL]","",IFERROR(SUMPRODUCT((nNIA=AE642)*(nCUENTA=1)*(COUNTIF(CONFIG_ASIGNATURAS!$B$7:$B$27,nASIG)&gt;0)*(nNOTA))/SUMPRODUCT((nNIA=AE642)*(nCUENTA=1)*(COUNTIF(CONFIG_ASIGNATURAS!$B$7:$B$27,nASIG)&gt;0)*1),"")))</f>
        <v/>
      </c>
    </row>
    <row r="643" spans="2:35" x14ac:dyDescent="0.2">
      <c r="B643" t="str">
        <f>IF(A643="","",IF(A643="[FÓRMULA MANUAL]","",IFERROR(AVERAGEIFS(nNOTA,nNIA,A643,nCUENTA,1,nASIG,"Lenguaje Musical"),"")))</f>
        <v/>
      </c>
      <c r="C643" t="str">
        <f>IF(A643="","",IF(A643="[FÓRMULA MANUAL]","",IFERROR(AVERAGEIFS(nNOTA,nNIA,A643,nCUENTA,1,nASIG,"Orquesta/Banda/Conjunto"),"")))</f>
        <v/>
      </c>
      <c r="D643" t="str">
        <f>IF(A643="","",IF(A643="[FÓRMULA MANUAL]","",IFERROR(AVERAGEIFS(nNOTA,nNIA,A643,nCUENTA,1,nASIG,"Conjunto"),"")))</f>
        <v/>
      </c>
      <c r="E643" t="str">
        <f>IF(A643="","",IF(A643="[FÓRMULA MANUAL]","",IFERROR(SUMPRODUCT((nNIA=A643)*(nCUENTA=1)*(COUNTIF(CONFIG_ASIGNATURAS!$B$7:$B$27,nASIG)&gt;0)*(nNOTA))/SUMPRODUCT((nNIA=A643)*(nCUENTA=1)*(COUNTIF(CONFIG_ASIGNATURAS!$B$7:$B$27,nASIG)&gt;0)*1),"")))</f>
        <v/>
      </c>
      <c r="H643" t="str">
        <f>IF(G643="","",IF(G643="[FÓRMULA MANUAL]","",IFERROR(AVERAGEIFS(nNOTA,nNIA,G643,nCUENTA,1,nASIG,"Lenguaje Musical"),"")))</f>
        <v/>
      </c>
      <c r="I643" t="str">
        <f>IF(G643="","",IF(G643="[FÓRMULA MANUAL]","",IFERROR(AVERAGEIFS(nNOTA,nNIA,G643,nCUENTA,1,nASIG,"Orquesta/Banda/Conjunto"),"")))</f>
        <v/>
      </c>
      <c r="J643" t="str">
        <f>IF(G643="","",IF(G643="[FÓRMULA MANUAL]","",IFERROR(AVERAGEIFS(nNOTA,nNIA,G643,nCUENTA,1,nASIG,"Conjunto"),"")))</f>
        <v/>
      </c>
      <c r="K643" t="str">
        <f>IF(G643="","",IF(G643="[FÓRMULA MANUAL]","",IFERROR(SUMPRODUCT((nNIA=G643)*(nCUENTA=1)*(COUNTIF(CONFIG_ASIGNATURAS!$B$7:$B$27,nASIG)&gt;0)*(nNOTA))/SUMPRODUCT((nNIA=G643)*(nCUENTA=1)*(COUNTIF(CONFIG_ASIGNATURAS!$B$7:$B$27,nASIG)&gt;0)*1),"")))</f>
        <v/>
      </c>
      <c r="N643" t="str">
        <f>IF(M643="","",IF(M643="[FÓRMULA MANUAL]","",IFERROR(AVERAGEIFS(nNOTA,nNIA,M643,nCUENTA,1,nASIG,"Armonía"),"")))</f>
        <v/>
      </c>
      <c r="O643" t="str">
        <f>IF(M643="","",IF(M643="[FÓRMULA MANUAL]","",IFERROR(AVERAGEIFS(nNOTA,nNIA,M643,nCUENTA,1,nASIG,"Orquesta/Banda/Conjunto"),"")))</f>
        <v/>
      </c>
      <c r="P643" t="str">
        <f>IF(M643="","",IF(M643="[FÓRMULA MANUAL]","",IFERROR(AVERAGEIFS(nNOTA,nNIA,M643,nCUENTA,1,nASIG,"Música de Cámara"),"")))</f>
        <v/>
      </c>
      <c r="Q643" t="str">
        <f>IF(M643="","",IF(M643="[FÓRMULA MANUAL]","",IFERROR(SUMPRODUCT((nNIA=M643)*(nCUENTA=1)*(COUNTIF(CONFIG_ASIGNATURAS!$B$7:$B$27,nASIG)&gt;0)*(nNOTA))/SUMPRODUCT((nNIA=M643)*(nCUENTA=1)*(COUNTIF(CONFIG_ASIGNATURAS!$B$7:$B$27,nASIG)&gt;0)*1),"")))</f>
        <v/>
      </c>
      <c r="T643" t="str">
        <f>IF(S643="","",IF(S643="[FÓRMULA MANUAL]","",IFERROR(AVERAGEIFS(nNOTA,nNIA,S643,nCUENTA,1,nASIG,"Armonía"),"")))</f>
        <v/>
      </c>
      <c r="U643" t="str">
        <f>IF(S643="","",IF(S643="[FÓRMULA MANUAL]","",IFERROR(AVERAGEIFS(nNOTA,nNIA,S643,nCUENTA,1,nASIG,"Orquesta/Banda/Conjunto"),"")))</f>
        <v/>
      </c>
      <c r="V643" t="str">
        <f>IF(S643="","",IF(S643="[FÓRMULA MANUAL]","",IFERROR(AVERAGEIFS(nNOTA,nNIA,S643,nCUENTA,1,nASIG,"Música de Cámara"),"")))</f>
        <v/>
      </c>
      <c r="W643" t="str">
        <f>IF(S643="","",IF(S643="[FÓRMULA MANUAL]","",IFERROR(SUMPRODUCT((nNIA=S643)*(nCUENTA=1)*(COUNTIF(CONFIG_ASIGNATURAS!$B$7:$B$27,nASIG)&gt;0)*(nNOTA))/SUMPRODUCT((nNIA=S643)*(nCUENTA=1)*(COUNTIF(CONFIG_ASIGNATURAS!$B$7:$B$27,nASIG)&gt;0)*1),"")))</f>
        <v/>
      </c>
      <c r="Z643" t="str">
        <f>IF(Y643="","",IF(Y643="[FÓRMULA MANUAL]","",IFERROR(AVERAGEIFS(nNOTA,nNIA,Y643,nCUENTA,1,nASIG,"Análisis"),"")))</f>
        <v/>
      </c>
      <c r="AA643" t="str">
        <f>IF(Y643="","",IF(Y643="[FÓRMULA MANUAL]","",IFERROR(AVERAGEIFS(nNOTA,nNIA,Y643,nCUENTA,1,nASIG,"Orquesta/Banda/Conjunto"),"")))</f>
        <v/>
      </c>
      <c r="AB643" t="str">
        <f>IF(Y643="","",IF(Y643="[FÓRMULA MANUAL]","",IFERROR(AVERAGEIFS(nNOTA,nNIA,Y643,nCUENTA,1,nASIG,"Música de Cámara"),"")))</f>
        <v/>
      </c>
      <c r="AC643" t="str">
        <f>IF(Y643="","",IF(Y643="[FÓRMULA MANUAL]","",IFERROR(SUMPRODUCT((nNIA=Y643)*(nCUENTA=1)*(COUNTIF(CONFIG_ASIGNATURAS!$B$7:$B$27,nASIG)&gt;0)*(nNOTA))/SUMPRODUCT((nNIA=Y643)*(nCUENTA=1)*(COUNTIF(CONFIG_ASIGNATURAS!$B$7:$B$27,nASIG)&gt;0)*1),"")))</f>
        <v/>
      </c>
      <c r="AF643" t="str">
        <f>IF(AE643="","",IF(AE643="[FÓRMULA MANUAL]","",IFERROR(AVERAGEIFS(nNOTA,nNIA,AE643,nCUENTA,1,nASIG,"Análisis"),"")))</f>
        <v/>
      </c>
      <c r="AG643" t="str">
        <f>IF(AE643="","",IF(AE643="[FÓRMULA MANUAL]","",IFERROR(AVERAGEIFS(nNOTA,nNIA,AE643,nCUENTA,1,nASIG,"Orquesta/Banda/Conjunto"),"")))</f>
        <v/>
      </c>
      <c r="AH643" t="str">
        <f>IF(AE643="","",IF(AE643="[FÓRMULA MANUAL]","",IFERROR(AVERAGEIFS(nNOTA,nNIA,AE643,nCUENTA,1,nASIG,"Música de Cámara"),"")))</f>
        <v/>
      </c>
      <c r="AI643" t="str">
        <f>IF(AE643="","",IF(AE643="[FÓRMULA MANUAL]","",IFERROR(SUMPRODUCT((nNIA=AE643)*(nCUENTA=1)*(COUNTIF(CONFIG_ASIGNATURAS!$B$7:$B$27,nASIG)&gt;0)*(nNOTA))/SUMPRODUCT((nNIA=AE643)*(nCUENTA=1)*(COUNTIF(CONFIG_ASIGNATURAS!$B$7:$B$27,nASIG)&gt;0)*1),"")))</f>
        <v/>
      </c>
    </row>
    <row r="644" spans="2:35" x14ac:dyDescent="0.2">
      <c r="B644" t="str">
        <f>IF(A644="","",IF(A644="[FÓRMULA MANUAL]","",IFERROR(AVERAGEIFS(nNOTA,nNIA,A644,nCUENTA,1,nASIG,"Lenguaje Musical"),"")))</f>
        <v/>
      </c>
      <c r="C644" t="str">
        <f>IF(A644="","",IF(A644="[FÓRMULA MANUAL]","",IFERROR(AVERAGEIFS(nNOTA,nNIA,A644,nCUENTA,1,nASIG,"Orquesta/Banda/Conjunto"),"")))</f>
        <v/>
      </c>
      <c r="D644" t="str">
        <f>IF(A644="","",IF(A644="[FÓRMULA MANUAL]","",IFERROR(AVERAGEIFS(nNOTA,nNIA,A644,nCUENTA,1,nASIG,"Conjunto"),"")))</f>
        <v/>
      </c>
      <c r="E644" t="str">
        <f>IF(A644="","",IF(A644="[FÓRMULA MANUAL]","",IFERROR(SUMPRODUCT((nNIA=A644)*(nCUENTA=1)*(COUNTIF(CONFIG_ASIGNATURAS!$B$7:$B$27,nASIG)&gt;0)*(nNOTA))/SUMPRODUCT((nNIA=A644)*(nCUENTA=1)*(COUNTIF(CONFIG_ASIGNATURAS!$B$7:$B$27,nASIG)&gt;0)*1),"")))</f>
        <v/>
      </c>
      <c r="H644" t="str">
        <f>IF(G644="","",IF(G644="[FÓRMULA MANUAL]","",IFERROR(AVERAGEIFS(nNOTA,nNIA,G644,nCUENTA,1,nASIG,"Lenguaje Musical"),"")))</f>
        <v/>
      </c>
      <c r="I644" t="str">
        <f>IF(G644="","",IF(G644="[FÓRMULA MANUAL]","",IFERROR(AVERAGEIFS(nNOTA,nNIA,G644,nCUENTA,1,nASIG,"Orquesta/Banda/Conjunto"),"")))</f>
        <v/>
      </c>
      <c r="J644" t="str">
        <f>IF(G644="","",IF(G644="[FÓRMULA MANUAL]","",IFERROR(AVERAGEIFS(nNOTA,nNIA,G644,nCUENTA,1,nASIG,"Conjunto"),"")))</f>
        <v/>
      </c>
      <c r="K644" t="str">
        <f>IF(G644="","",IF(G644="[FÓRMULA MANUAL]","",IFERROR(SUMPRODUCT((nNIA=G644)*(nCUENTA=1)*(COUNTIF(CONFIG_ASIGNATURAS!$B$7:$B$27,nASIG)&gt;0)*(nNOTA))/SUMPRODUCT((nNIA=G644)*(nCUENTA=1)*(COUNTIF(CONFIG_ASIGNATURAS!$B$7:$B$27,nASIG)&gt;0)*1),"")))</f>
        <v/>
      </c>
      <c r="N644" t="str">
        <f>IF(M644="","",IF(M644="[FÓRMULA MANUAL]","",IFERROR(AVERAGEIFS(nNOTA,nNIA,M644,nCUENTA,1,nASIG,"Armonía"),"")))</f>
        <v/>
      </c>
      <c r="O644" t="str">
        <f>IF(M644="","",IF(M644="[FÓRMULA MANUAL]","",IFERROR(AVERAGEIFS(nNOTA,nNIA,M644,nCUENTA,1,nASIG,"Orquesta/Banda/Conjunto"),"")))</f>
        <v/>
      </c>
      <c r="P644" t="str">
        <f>IF(M644="","",IF(M644="[FÓRMULA MANUAL]","",IFERROR(AVERAGEIFS(nNOTA,nNIA,M644,nCUENTA,1,nASIG,"Música de Cámara"),"")))</f>
        <v/>
      </c>
      <c r="Q644" t="str">
        <f>IF(M644="","",IF(M644="[FÓRMULA MANUAL]","",IFERROR(SUMPRODUCT((nNIA=M644)*(nCUENTA=1)*(COUNTIF(CONFIG_ASIGNATURAS!$B$7:$B$27,nASIG)&gt;0)*(nNOTA))/SUMPRODUCT((nNIA=M644)*(nCUENTA=1)*(COUNTIF(CONFIG_ASIGNATURAS!$B$7:$B$27,nASIG)&gt;0)*1),"")))</f>
        <v/>
      </c>
      <c r="T644" t="str">
        <f>IF(S644="","",IF(S644="[FÓRMULA MANUAL]","",IFERROR(AVERAGEIFS(nNOTA,nNIA,S644,nCUENTA,1,nASIG,"Armonía"),"")))</f>
        <v/>
      </c>
      <c r="U644" t="str">
        <f>IF(S644="","",IF(S644="[FÓRMULA MANUAL]","",IFERROR(AVERAGEIFS(nNOTA,nNIA,S644,nCUENTA,1,nASIG,"Orquesta/Banda/Conjunto"),"")))</f>
        <v/>
      </c>
      <c r="V644" t="str">
        <f>IF(S644="","",IF(S644="[FÓRMULA MANUAL]","",IFERROR(AVERAGEIFS(nNOTA,nNIA,S644,nCUENTA,1,nASIG,"Música de Cámara"),"")))</f>
        <v/>
      </c>
      <c r="W644" t="str">
        <f>IF(S644="","",IF(S644="[FÓRMULA MANUAL]","",IFERROR(SUMPRODUCT((nNIA=S644)*(nCUENTA=1)*(COUNTIF(CONFIG_ASIGNATURAS!$B$7:$B$27,nASIG)&gt;0)*(nNOTA))/SUMPRODUCT((nNIA=S644)*(nCUENTA=1)*(COUNTIF(CONFIG_ASIGNATURAS!$B$7:$B$27,nASIG)&gt;0)*1),"")))</f>
        <v/>
      </c>
      <c r="Z644" t="str">
        <f>IF(Y644="","",IF(Y644="[FÓRMULA MANUAL]","",IFERROR(AVERAGEIFS(nNOTA,nNIA,Y644,nCUENTA,1,nASIG,"Análisis"),"")))</f>
        <v/>
      </c>
      <c r="AA644" t="str">
        <f>IF(Y644="","",IF(Y644="[FÓRMULA MANUAL]","",IFERROR(AVERAGEIFS(nNOTA,nNIA,Y644,nCUENTA,1,nASIG,"Orquesta/Banda/Conjunto"),"")))</f>
        <v/>
      </c>
      <c r="AB644" t="str">
        <f>IF(Y644="","",IF(Y644="[FÓRMULA MANUAL]","",IFERROR(AVERAGEIFS(nNOTA,nNIA,Y644,nCUENTA,1,nASIG,"Música de Cámara"),"")))</f>
        <v/>
      </c>
      <c r="AC644" t="str">
        <f>IF(Y644="","",IF(Y644="[FÓRMULA MANUAL]","",IFERROR(SUMPRODUCT((nNIA=Y644)*(nCUENTA=1)*(COUNTIF(CONFIG_ASIGNATURAS!$B$7:$B$27,nASIG)&gt;0)*(nNOTA))/SUMPRODUCT((nNIA=Y644)*(nCUENTA=1)*(COUNTIF(CONFIG_ASIGNATURAS!$B$7:$B$27,nASIG)&gt;0)*1),"")))</f>
        <v/>
      </c>
      <c r="AF644" t="str">
        <f>IF(AE644="","",IF(AE644="[FÓRMULA MANUAL]","",IFERROR(AVERAGEIFS(nNOTA,nNIA,AE644,nCUENTA,1,nASIG,"Análisis"),"")))</f>
        <v/>
      </c>
      <c r="AG644" t="str">
        <f>IF(AE644="","",IF(AE644="[FÓRMULA MANUAL]","",IFERROR(AVERAGEIFS(nNOTA,nNIA,AE644,nCUENTA,1,nASIG,"Orquesta/Banda/Conjunto"),"")))</f>
        <v/>
      </c>
      <c r="AH644" t="str">
        <f>IF(AE644="","",IF(AE644="[FÓRMULA MANUAL]","",IFERROR(AVERAGEIFS(nNOTA,nNIA,AE644,nCUENTA,1,nASIG,"Música de Cámara"),"")))</f>
        <v/>
      </c>
      <c r="AI644" t="str">
        <f>IF(AE644="","",IF(AE644="[FÓRMULA MANUAL]","",IFERROR(SUMPRODUCT((nNIA=AE644)*(nCUENTA=1)*(COUNTIF(CONFIG_ASIGNATURAS!$B$7:$B$27,nASIG)&gt;0)*(nNOTA))/SUMPRODUCT((nNIA=AE644)*(nCUENTA=1)*(COUNTIF(CONFIG_ASIGNATURAS!$B$7:$B$27,nASIG)&gt;0)*1),"")))</f>
        <v/>
      </c>
    </row>
    <row r="645" spans="2:35" x14ac:dyDescent="0.2">
      <c r="B645" t="str">
        <f>IF(A645="","",IF(A645="[FÓRMULA MANUAL]","",IFERROR(AVERAGEIFS(nNOTA,nNIA,A645,nCUENTA,1,nASIG,"Lenguaje Musical"),"")))</f>
        <v/>
      </c>
      <c r="C645" t="str">
        <f>IF(A645="","",IF(A645="[FÓRMULA MANUAL]","",IFERROR(AVERAGEIFS(nNOTA,nNIA,A645,nCUENTA,1,nASIG,"Orquesta/Banda/Conjunto"),"")))</f>
        <v/>
      </c>
      <c r="D645" t="str">
        <f>IF(A645="","",IF(A645="[FÓRMULA MANUAL]","",IFERROR(AVERAGEIFS(nNOTA,nNIA,A645,nCUENTA,1,nASIG,"Conjunto"),"")))</f>
        <v/>
      </c>
      <c r="E645" t="str">
        <f>IF(A645="","",IF(A645="[FÓRMULA MANUAL]","",IFERROR(SUMPRODUCT((nNIA=A645)*(nCUENTA=1)*(COUNTIF(CONFIG_ASIGNATURAS!$B$7:$B$27,nASIG)&gt;0)*(nNOTA))/SUMPRODUCT((nNIA=A645)*(nCUENTA=1)*(COUNTIF(CONFIG_ASIGNATURAS!$B$7:$B$27,nASIG)&gt;0)*1),"")))</f>
        <v/>
      </c>
      <c r="H645" t="str">
        <f>IF(G645="","",IF(G645="[FÓRMULA MANUAL]","",IFERROR(AVERAGEIFS(nNOTA,nNIA,G645,nCUENTA,1,nASIG,"Lenguaje Musical"),"")))</f>
        <v/>
      </c>
      <c r="I645" t="str">
        <f>IF(G645="","",IF(G645="[FÓRMULA MANUAL]","",IFERROR(AVERAGEIFS(nNOTA,nNIA,G645,nCUENTA,1,nASIG,"Orquesta/Banda/Conjunto"),"")))</f>
        <v/>
      </c>
      <c r="J645" t="str">
        <f>IF(G645="","",IF(G645="[FÓRMULA MANUAL]","",IFERROR(AVERAGEIFS(nNOTA,nNIA,G645,nCUENTA,1,nASIG,"Conjunto"),"")))</f>
        <v/>
      </c>
      <c r="K645" t="str">
        <f>IF(G645="","",IF(G645="[FÓRMULA MANUAL]","",IFERROR(SUMPRODUCT((nNIA=G645)*(nCUENTA=1)*(COUNTIF(CONFIG_ASIGNATURAS!$B$7:$B$27,nASIG)&gt;0)*(nNOTA))/SUMPRODUCT((nNIA=G645)*(nCUENTA=1)*(COUNTIF(CONFIG_ASIGNATURAS!$B$7:$B$27,nASIG)&gt;0)*1),"")))</f>
        <v/>
      </c>
      <c r="N645" t="str">
        <f>IF(M645="","",IF(M645="[FÓRMULA MANUAL]","",IFERROR(AVERAGEIFS(nNOTA,nNIA,M645,nCUENTA,1,nASIG,"Armonía"),"")))</f>
        <v/>
      </c>
      <c r="O645" t="str">
        <f>IF(M645="","",IF(M645="[FÓRMULA MANUAL]","",IFERROR(AVERAGEIFS(nNOTA,nNIA,M645,nCUENTA,1,nASIG,"Orquesta/Banda/Conjunto"),"")))</f>
        <v/>
      </c>
      <c r="P645" t="str">
        <f>IF(M645="","",IF(M645="[FÓRMULA MANUAL]","",IFERROR(AVERAGEIFS(nNOTA,nNIA,M645,nCUENTA,1,nASIG,"Música de Cámara"),"")))</f>
        <v/>
      </c>
      <c r="Q645" t="str">
        <f>IF(M645="","",IF(M645="[FÓRMULA MANUAL]","",IFERROR(SUMPRODUCT((nNIA=M645)*(nCUENTA=1)*(COUNTIF(CONFIG_ASIGNATURAS!$B$7:$B$27,nASIG)&gt;0)*(nNOTA))/SUMPRODUCT((nNIA=M645)*(nCUENTA=1)*(COUNTIF(CONFIG_ASIGNATURAS!$B$7:$B$27,nASIG)&gt;0)*1),"")))</f>
        <v/>
      </c>
      <c r="T645" t="str">
        <f>IF(S645="","",IF(S645="[FÓRMULA MANUAL]","",IFERROR(AVERAGEIFS(nNOTA,nNIA,S645,nCUENTA,1,nASIG,"Armonía"),"")))</f>
        <v/>
      </c>
      <c r="U645" t="str">
        <f>IF(S645="","",IF(S645="[FÓRMULA MANUAL]","",IFERROR(AVERAGEIFS(nNOTA,nNIA,S645,nCUENTA,1,nASIG,"Orquesta/Banda/Conjunto"),"")))</f>
        <v/>
      </c>
      <c r="V645" t="str">
        <f>IF(S645="","",IF(S645="[FÓRMULA MANUAL]","",IFERROR(AVERAGEIFS(nNOTA,nNIA,S645,nCUENTA,1,nASIG,"Música de Cámara"),"")))</f>
        <v/>
      </c>
      <c r="W645" t="str">
        <f>IF(S645="","",IF(S645="[FÓRMULA MANUAL]","",IFERROR(SUMPRODUCT((nNIA=S645)*(nCUENTA=1)*(COUNTIF(CONFIG_ASIGNATURAS!$B$7:$B$27,nASIG)&gt;0)*(nNOTA))/SUMPRODUCT((nNIA=S645)*(nCUENTA=1)*(COUNTIF(CONFIG_ASIGNATURAS!$B$7:$B$27,nASIG)&gt;0)*1),"")))</f>
        <v/>
      </c>
      <c r="Z645" t="str">
        <f>IF(Y645="","",IF(Y645="[FÓRMULA MANUAL]","",IFERROR(AVERAGEIFS(nNOTA,nNIA,Y645,nCUENTA,1,nASIG,"Análisis"),"")))</f>
        <v/>
      </c>
      <c r="AA645" t="str">
        <f>IF(Y645="","",IF(Y645="[FÓRMULA MANUAL]","",IFERROR(AVERAGEIFS(nNOTA,nNIA,Y645,nCUENTA,1,nASIG,"Orquesta/Banda/Conjunto"),"")))</f>
        <v/>
      </c>
      <c r="AB645" t="str">
        <f>IF(Y645="","",IF(Y645="[FÓRMULA MANUAL]","",IFERROR(AVERAGEIFS(nNOTA,nNIA,Y645,nCUENTA,1,nASIG,"Música de Cámara"),"")))</f>
        <v/>
      </c>
      <c r="AC645" t="str">
        <f>IF(Y645="","",IF(Y645="[FÓRMULA MANUAL]","",IFERROR(SUMPRODUCT((nNIA=Y645)*(nCUENTA=1)*(COUNTIF(CONFIG_ASIGNATURAS!$B$7:$B$27,nASIG)&gt;0)*(nNOTA))/SUMPRODUCT((nNIA=Y645)*(nCUENTA=1)*(COUNTIF(CONFIG_ASIGNATURAS!$B$7:$B$27,nASIG)&gt;0)*1),"")))</f>
        <v/>
      </c>
      <c r="AF645" t="str">
        <f>IF(AE645="","",IF(AE645="[FÓRMULA MANUAL]","",IFERROR(AVERAGEIFS(nNOTA,nNIA,AE645,nCUENTA,1,nASIG,"Análisis"),"")))</f>
        <v/>
      </c>
      <c r="AG645" t="str">
        <f>IF(AE645="","",IF(AE645="[FÓRMULA MANUAL]","",IFERROR(AVERAGEIFS(nNOTA,nNIA,AE645,nCUENTA,1,nASIG,"Orquesta/Banda/Conjunto"),"")))</f>
        <v/>
      </c>
      <c r="AH645" t="str">
        <f>IF(AE645="","",IF(AE645="[FÓRMULA MANUAL]","",IFERROR(AVERAGEIFS(nNOTA,nNIA,AE645,nCUENTA,1,nASIG,"Música de Cámara"),"")))</f>
        <v/>
      </c>
      <c r="AI645" t="str">
        <f>IF(AE645="","",IF(AE645="[FÓRMULA MANUAL]","",IFERROR(SUMPRODUCT((nNIA=AE645)*(nCUENTA=1)*(COUNTIF(CONFIG_ASIGNATURAS!$B$7:$B$27,nASIG)&gt;0)*(nNOTA))/SUMPRODUCT((nNIA=AE645)*(nCUENTA=1)*(COUNTIF(CONFIG_ASIGNATURAS!$B$7:$B$27,nASIG)&gt;0)*1),"")))</f>
        <v/>
      </c>
    </row>
    <row r="646" spans="2:35" x14ac:dyDescent="0.2">
      <c r="B646" t="str">
        <f>IF(A646="","",IF(A646="[FÓRMULA MANUAL]","",IFERROR(AVERAGEIFS(nNOTA,nNIA,A646,nCUENTA,1,nASIG,"Lenguaje Musical"),"")))</f>
        <v/>
      </c>
      <c r="C646" t="str">
        <f>IF(A646="","",IF(A646="[FÓRMULA MANUAL]","",IFERROR(AVERAGEIFS(nNOTA,nNIA,A646,nCUENTA,1,nASIG,"Orquesta/Banda/Conjunto"),"")))</f>
        <v/>
      </c>
      <c r="D646" t="str">
        <f>IF(A646="","",IF(A646="[FÓRMULA MANUAL]","",IFERROR(AVERAGEIFS(nNOTA,nNIA,A646,nCUENTA,1,nASIG,"Conjunto"),"")))</f>
        <v/>
      </c>
      <c r="E646" t="str">
        <f>IF(A646="","",IF(A646="[FÓRMULA MANUAL]","",IFERROR(SUMPRODUCT((nNIA=A646)*(nCUENTA=1)*(COUNTIF(CONFIG_ASIGNATURAS!$B$7:$B$27,nASIG)&gt;0)*(nNOTA))/SUMPRODUCT((nNIA=A646)*(nCUENTA=1)*(COUNTIF(CONFIG_ASIGNATURAS!$B$7:$B$27,nASIG)&gt;0)*1),"")))</f>
        <v/>
      </c>
      <c r="H646" t="str">
        <f>IF(G646="","",IF(G646="[FÓRMULA MANUAL]","",IFERROR(AVERAGEIFS(nNOTA,nNIA,G646,nCUENTA,1,nASIG,"Lenguaje Musical"),"")))</f>
        <v/>
      </c>
      <c r="I646" t="str">
        <f>IF(G646="","",IF(G646="[FÓRMULA MANUAL]","",IFERROR(AVERAGEIFS(nNOTA,nNIA,G646,nCUENTA,1,nASIG,"Orquesta/Banda/Conjunto"),"")))</f>
        <v/>
      </c>
      <c r="J646" t="str">
        <f>IF(G646="","",IF(G646="[FÓRMULA MANUAL]","",IFERROR(AVERAGEIFS(nNOTA,nNIA,G646,nCUENTA,1,nASIG,"Conjunto"),"")))</f>
        <v/>
      </c>
      <c r="K646" t="str">
        <f>IF(G646="","",IF(G646="[FÓRMULA MANUAL]","",IFERROR(SUMPRODUCT((nNIA=G646)*(nCUENTA=1)*(COUNTIF(CONFIG_ASIGNATURAS!$B$7:$B$27,nASIG)&gt;0)*(nNOTA))/SUMPRODUCT((nNIA=G646)*(nCUENTA=1)*(COUNTIF(CONFIG_ASIGNATURAS!$B$7:$B$27,nASIG)&gt;0)*1),"")))</f>
        <v/>
      </c>
      <c r="N646" t="str">
        <f>IF(M646="","",IF(M646="[FÓRMULA MANUAL]","",IFERROR(AVERAGEIFS(nNOTA,nNIA,M646,nCUENTA,1,nASIG,"Armonía"),"")))</f>
        <v/>
      </c>
      <c r="O646" t="str">
        <f>IF(M646="","",IF(M646="[FÓRMULA MANUAL]","",IFERROR(AVERAGEIFS(nNOTA,nNIA,M646,nCUENTA,1,nASIG,"Orquesta/Banda/Conjunto"),"")))</f>
        <v/>
      </c>
      <c r="P646" t="str">
        <f>IF(M646="","",IF(M646="[FÓRMULA MANUAL]","",IFERROR(AVERAGEIFS(nNOTA,nNIA,M646,nCUENTA,1,nASIG,"Música de Cámara"),"")))</f>
        <v/>
      </c>
      <c r="Q646" t="str">
        <f>IF(M646="","",IF(M646="[FÓRMULA MANUAL]","",IFERROR(SUMPRODUCT((nNIA=M646)*(nCUENTA=1)*(COUNTIF(CONFIG_ASIGNATURAS!$B$7:$B$27,nASIG)&gt;0)*(nNOTA))/SUMPRODUCT((nNIA=M646)*(nCUENTA=1)*(COUNTIF(CONFIG_ASIGNATURAS!$B$7:$B$27,nASIG)&gt;0)*1),"")))</f>
        <v/>
      </c>
      <c r="T646" t="str">
        <f>IF(S646="","",IF(S646="[FÓRMULA MANUAL]","",IFERROR(AVERAGEIFS(nNOTA,nNIA,S646,nCUENTA,1,nASIG,"Armonía"),"")))</f>
        <v/>
      </c>
      <c r="U646" t="str">
        <f>IF(S646="","",IF(S646="[FÓRMULA MANUAL]","",IFERROR(AVERAGEIFS(nNOTA,nNIA,S646,nCUENTA,1,nASIG,"Orquesta/Banda/Conjunto"),"")))</f>
        <v/>
      </c>
      <c r="V646" t="str">
        <f>IF(S646="","",IF(S646="[FÓRMULA MANUAL]","",IFERROR(AVERAGEIFS(nNOTA,nNIA,S646,nCUENTA,1,nASIG,"Música de Cámara"),"")))</f>
        <v/>
      </c>
      <c r="W646" t="str">
        <f>IF(S646="","",IF(S646="[FÓRMULA MANUAL]","",IFERROR(SUMPRODUCT((nNIA=S646)*(nCUENTA=1)*(COUNTIF(CONFIG_ASIGNATURAS!$B$7:$B$27,nASIG)&gt;0)*(nNOTA))/SUMPRODUCT((nNIA=S646)*(nCUENTA=1)*(COUNTIF(CONFIG_ASIGNATURAS!$B$7:$B$27,nASIG)&gt;0)*1),"")))</f>
        <v/>
      </c>
      <c r="Z646" t="str">
        <f>IF(Y646="","",IF(Y646="[FÓRMULA MANUAL]","",IFERROR(AVERAGEIFS(nNOTA,nNIA,Y646,nCUENTA,1,nASIG,"Análisis"),"")))</f>
        <v/>
      </c>
      <c r="AA646" t="str">
        <f>IF(Y646="","",IF(Y646="[FÓRMULA MANUAL]","",IFERROR(AVERAGEIFS(nNOTA,nNIA,Y646,nCUENTA,1,nASIG,"Orquesta/Banda/Conjunto"),"")))</f>
        <v/>
      </c>
      <c r="AB646" t="str">
        <f>IF(Y646="","",IF(Y646="[FÓRMULA MANUAL]","",IFERROR(AVERAGEIFS(nNOTA,nNIA,Y646,nCUENTA,1,nASIG,"Música de Cámara"),"")))</f>
        <v/>
      </c>
      <c r="AC646" t="str">
        <f>IF(Y646="","",IF(Y646="[FÓRMULA MANUAL]","",IFERROR(SUMPRODUCT((nNIA=Y646)*(nCUENTA=1)*(COUNTIF(CONFIG_ASIGNATURAS!$B$7:$B$27,nASIG)&gt;0)*(nNOTA))/SUMPRODUCT((nNIA=Y646)*(nCUENTA=1)*(COUNTIF(CONFIG_ASIGNATURAS!$B$7:$B$27,nASIG)&gt;0)*1),"")))</f>
        <v/>
      </c>
      <c r="AF646" t="str">
        <f>IF(AE646="","",IF(AE646="[FÓRMULA MANUAL]","",IFERROR(AVERAGEIFS(nNOTA,nNIA,AE646,nCUENTA,1,nASIG,"Análisis"),"")))</f>
        <v/>
      </c>
      <c r="AG646" t="str">
        <f>IF(AE646="","",IF(AE646="[FÓRMULA MANUAL]","",IFERROR(AVERAGEIFS(nNOTA,nNIA,AE646,nCUENTA,1,nASIG,"Orquesta/Banda/Conjunto"),"")))</f>
        <v/>
      </c>
      <c r="AH646" t="str">
        <f>IF(AE646="","",IF(AE646="[FÓRMULA MANUAL]","",IFERROR(AVERAGEIFS(nNOTA,nNIA,AE646,nCUENTA,1,nASIG,"Música de Cámara"),"")))</f>
        <v/>
      </c>
      <c r="AI646" t="str">
        <f>IF(AE646="","",IF(AE646="[FÓRMULA MANUAL]","",IFERROR(SUMPRODUCT((nNIA=AE646)*(nCUENTA=1)*(COUNTIF(CONFIG_ASIGNATURAS!$B$7:$B$27,nASIG)&gt;0)*(nNOTA))/SUMPRODUCT((nNIA=AE646)*(nCUENTA=1)*(COUNTIF(CONFIG_ASIGNATURAS!$B$7:$B$27,nASIG)&gt;0)*1),"")))</f>
        <v/>
      </c>
    </row>
    <row r="647" spans="2:35" x14ac:dyDescent="0.2">
      <c r="B647" t="str">
        <f>IF(A647="","",IF(A647="[FÓRMULA MANUAL]","",IFERROR(AVERAGEIFS(nNOTA,nNIA,A647,nCUENTA,1,nASIG,"Lenguaje Musical"),"")))</f>
        <v/>
      </c>
      <c r="C647" t="str">
        <f>IF(A647="","",IF(A647="[FÓRMULA MANUAL]","",IFERROR(AVERAGEIFS(nNOTA,nNIA,A647,nCUENTA,1,nASIG,"Orquesta/Banda/Conjunto"),"")))</f>
        <v/>
      </c>
      <c r="D647" t="str">
        <f>IF(A647="","",IF(A647="[FÓRMULA MANUAL]","",IFERROR(AVERAGEIFS(nNOTA,nNIA,A647,nCUENTA,1,nASIG,"Conjunto"),"")))</f>
        <v/>
      </c>
      <c r="E647" t="str">
        <f>IF(A647="","",IF(A647="[FÓRMULA MANUAL]","",IFERROR(SUMPRODUCT((nNIA=A647)*(nCUENTA=1)*(COUNTIF(CONFIG_ASIGNATURAS!$B$7:$B$27,nASIG)&gt;0)*(nNOTA))/SUMPRODUCT((nNIA=A647)*(nCUENTA=1)*(COUNTIF(CONFIG_ASIGNATURAS!$B$7:$B$27,nASIG)&gt;0)*1),"")))</f>
        <v/>
      </c>
      <c r="H647" t="str">
        <f>IF(G647="","",IF(G647="[FÓRMULA MANUAL]","",IFERROR(AVERAGEIFS(nNOTA,nNIA,G647,nCUENTA,1,nASIG,"Lenguaje Musical"),"")))</f>
        <v/>
      </c>
      <c r="I647" t="str">
        <f>IF(G647="","",IF(G647="[FÓRMULA MANUAL]","",IFERROR(AVERAGEIFS(nNOTA,nNIA,G647,nCUENTA,1,nASIG,"Orquesta/Banda/Conjunto"),"")))</f>
        <v/>
      </c>
      <c r="J647" t="str">
        <f>IF(G647="","",IF(G647="[FÓRMULA MANUAL]","",IFERROR(AVERAGEIFS(nNOTA,nNIA,G647,nCUENTA,1,nASIG,"Conjunto"),"")))</f>
        <v/>
      </c>
      <c r="K647" t="str">
        <f>IF(G647="","",IF(G647="[FÓRMULA MANUAL]","",IFERROR(SUMPRODUCT((nNIA=G647)*(nCUENTA=1)*(COUNTIF(CONFIG_ASIGNATURAS!$B$7:$B$27,nASIG)&gt;0)*(nNOTA))/SUMPRODUCT((nNIA=G647)*(nCUENTA=1)*(COUNTIF(CONFIG_ASIGNATURAS!$B$7:$B$27,nASIG)&gt;0)*1),"")))</f>
        <v/>
      </c>
      <c r="N647" t="str">
        <f>IF(M647="","",IF(M647="[FÓRMULA MANUAL]","",IFERROR(AVERAGEIFS(nNOTA,nNIA,M647,nCUENTA,1,nASIG,"Armonía"),"")))</f>
        <v/>
      </c>
      <c r="O647" t="str">
        <f>IF(M647="","",IF(M647="[FÓRMULA MANUAL]","",IFERROR(AVERAGEIFS(nNOTA,nNIA,M647,nCUENTA,1,nASIG,"Orquesta/Banda/Conjunto"),"")))</f>
        <v/>
      </c>
      <c r="P647" t="str">
        <f>IF(M647="","",IF(M647="[FÓRMULA MANUAL]","",IFERROR(AVERAGEIFS(nNOTA,nNIA,M647,nCUENTA,1,nASIG,"Música de Cámara"),"")))</f>
        <v/>
      </c>
      <c r="Q647" t="str">
        <f>IF(M647="","",IF(M647="[FÓRMULA MANUAL]","",IFERROR(SUMPRODUCT((nNIA=M647)*(nCUENTA=1)*(COUNTIF(CONFIG_ASIGNATURAS!$B$7:$B$27,nASIG)&gt;0)*(nNOTA))/SUMPRODUCT((nNIA=M647)*(nCUENTA=1)*(COUNTIF(CONFIG_ASIGNATURAS!$B$7:$B$27,nASIG)&gt;0)*1),"")))</f>
        <v/>
      </c>
      <c r="T647" t="str">
        <f>IF(S647="","",IF(S647="[FÓRMULA MANUAL]","",IFERROR(AVERAGEIFS(nNOTA,nNIA,S647,nCUENTA,1,nASIG,"Armonía"),"")))</f>
        <v/>
      </c>
      <c r="U647" t="str">
        <f>IF(S647="","",IF(S647="[FÓRMULA MANUAL]","",IFERROR(AVERAGEIFS(nNOTA,nNIA,S647,nCUENTA,1,nASIG,"Orquesta/Banda/Conjunto"),"")))</f>
        <v/>
      </c>
      <c r="V647" t="str">
        <f>IF(S647="","",IF(S647="[FÓRMULA MANUAL]","",IFERROR(AVERAGEIFS(nNOTA,nNIA,S647,nCUENTA,1,nASIG,"Música de Cámara"),"")))</f>
        <v/>
      </c>
      <c r="W647" t="str">
        <f>IF(S647="","",IF(S647="[FÓRMULA MANUAL]","",IFERROR(SUMPRODUCT((nNIA=S647)*(nCUENTA=1)*(COUNTIF(CONFIG_ASIGNATURAS!$B$7:$B$27,nASIG)&gt;0)*(nNOTA))/SUMPRODUCT((nNIA=S647)*(nCUENTA=1)*(COUNTIF(CONFIG_ASIGNATURAS!$B$7:$B$27,nASIG)&gt;0)*1),"")))</f>
        <v/>
      </c>
      <c r="Z647" t="str">
        <f>IF(Y647="","",IF(Y647="[FÓRMULA MANUAL]","",IFERROR(AVERAGEIFS(nNOTA,nNIA,Y647,nCUENTA,1,nASIG,"Análisis"),"")))</f>
        <v/>
      </c>
      <c r="AA647" t="str">
        <f>IF(Y647="","",IF(Y647="[FÓRMULA MANUAL]","",IFERROR(AVERAGEIFS(nNOTA,nNIA,Y647,nCUENTA,1,nASIG,"Orquesta/Banda/Conjunto"),"")))</f>
        <v/>
      </c>
      <c r="AB647" t="str">
        <f>IF(Y647="","",IF(Y647="[FÓRMULA MANUAL]","",IFERROR(AVERAGEIFS(nNOTA,nNIA,Y647,nCUENTA,1,nASIG,"Música de Cámara"),"")))</f>
        <v/>
      </c>
      <c r="AC647" t="str">
        <f>IF(Y647="","",IF(Y647="[FÓRMULA MANUAL]","",IFERROR(SUMPRODUCT((nNIA=Y647)*(nCUENTA=1)*(COUNTIF(CONFIG_ASIGNATURAS!$B$7:$B$27,nASIG)&gt;0)*(nNOTA))/SUMPRODUCT((nNIA=Y647)*(nCUENTA=1)*(COUNTIF(CONFIG_ASIGNATURAS!$B$7:$B$27,nASIG)&gt;0)*1),"")))</f>
        <v/>
      </c>
      <c r="AF647" t="str">
        <f>IF(AE647="","",IF(AE647="[FÓRMULA MANUAL]","",IFERROR(AVERAGEIFS(nNOTA,nNIA,AE647,nCUENTA,1,nASIG,"Análisis"),"")))</f>
        <v/>
      </c>
      <c r="AG647" t="str">
        <f>IF(AE647="","",IF(AE647="[FÓRMULA MANUAL]","",IFERROR(AVERAGEIFS(nNOTA,nNIA,AE647,nCUENTA,1,nASIG,"Orquesta/Banda/Conjunto"),"")))</f>
        <v/>
      </c>
      <c r="AH647" t="str">
        <f>IF(AE647="","",IF(AE647="[FÓRMULA MANUAL]","",IFERROR(AVERAGEIFS(nNOTA,nNIA,AE647,nCUENTA,1,nASIG,"Música de Cámara"),"")))</f>
        <v/>
      </c>
      <c r="AI647" t="str">
        <f>IF(AE647="","",IF(AE647="[FÓRMULA MANUAL]","",IFERROR(SUMPRODUCT((nNIA=AE647)*(nCUENTA=1)*(COUNTIF(CONFIG_ASIGNATURAS!$B$7:$B$27,nASIG)&gt;0)*(nNOTA))/SUMPRODUCT((nNIA=AE647)*(nCUENTA=1)*(COUNTIF(CONFIG_ASIGNATURAS!$B$7:$B$27,nASIG)&gt;0)*1),"")))</f>
        <v/>
      </c>
    </row>
    <row r="648" spans="2:35" x14ac:dyDescent="0.2">
      <c r="B648" t="str">
        <f>IF(A648="","",IF(A648="[FÓRMULA MANUAL]","",IFERROR(AVERAGEIFS(nNOTA,nNIA,A648,nCUENTA,1,nASIG,"Lenguaje Musical"),"")))</f>
        <v/>
      </c>
      <c r="C648" t="str">
        <f>IF(A648="","",IF(A648="[FÓRMULA MANUAL]","",IFERROR(AVERAGEIFS(nNOTA,nNIA,A648,nCUENTA,1,nASIG,"Orquesta/Banda/Conjunto"),"")))</f>
        <v/>
      </c>
      <c r="D648" t="str">
        <f>IF(A648="","",IF(A648="[FÓRMULA MANUAL]","",IFERROR(AVERAGEIFS(nNOTA,nNIA,A648,nCUENTA,1,nASIG,"Conjunto"),"")))</f>
        <v/>
      </c>
      <c r="E648" t="str">
        <f>IF(A648="","",IF(A648="[FÓRMULA MANUAL]","",IFERROR(SUMPRODUCT((nNIA=A648)*(nCUENTA=1)*(COUNTIF(CONFIG_ASIGNATURAS!$B$7:$B$27,nASIG)&gt;0)*(nNOTA))/SUMPRODUCT((nNIA=A648)*(nCUENTA=1)*(COUNTIF(CONFIG_ASIGNATURAS!$B$7:$B$27,nASIG)&gt;0)*1),"")))</f>
        <v/>
      </c>
      <c r="H648" t="str">
        <f>IF(G648="","",IF(G648="[FÓRMULA MANUAL]","",IFERROR(AVERAGEIFS(nNOTA,nNIA,G648,nCUENTA,1,nASIG,"Lenguaje Musical"),"")))</f>
        <v/>
      </c>
      <c r="I648" t="str">
        <f>IF(G648="","",IF(G648="[FÓRMULA MANUAL]","",IFERROR(AVERAGEIFS(nNOTA,nNIA,G648,nCUENTA,1,nASIG,"Orquesta/Banda/Conjunto"),"")))</f>
        <v/>
      </c>
      <c r="J648" t="str">
        <f>IF(G648="","",IF(G648="[FÓRMULA MANUAL]","",IFERROR(AVERAGEIFS(nNOTA,nNIA,G648,nCUENTA,1,nASIG,"Conjunto"),"")))</f>
        <v/>
      </c>
      <c r="K648" t="str">
        <f>IF(G648="","",IF(G648="[FÓRMULA MANUAL]","",IFERROR(SUMPRODUCT((nNIA=G648)*(nCUENTA=1)*(COUNTIF(CONFIG_ASIGNATURAS!$B$7:$B$27,nASIG)&gt;0)*(nNOTA))/SUMPRODUCT((nNIA=G648)*(nCUENTA=1)*(COUNTIF(CONFIG_ASIGNATURAS!$B$7:$B$27,nASIG)&gt;0)*1),"")))</f>
        <v/>
      </c>
      <c r="N648" t="str">
        <f>IF(M648="","",IF(M648="[FÓRMULA MANUAL]","",IFERROR(AVERAGEIFS(nNOTA,nNIA,M648,nCUENTA,1,nASIG,"Armonía"),"")))</f>
        <v/>
      </c>
      <c r="O648" t="str">
        <f>IF(M648="","",IF(M648="[FÓRMULA MANUAL]","",IFERROR(AVERAGEIFS(nNOTA,nNIA,M648,nCUENTA,1,nASIG,"Orquesta/Banda/Conjunto"),"")))</f>
        <v/>
      </c>
      <c r="P648" t="str">
        <f>IF(M648="","",IF(M648="[FÓRMULA MANUAL]","",IFERROR(AVERAGEIFS(nNOTA,nNIA,M648,nCUENTA,1,nASIG,"Música de Cámara"),"")))</f>
        <v/>
      </c>
      <c r="Q648" t="str">
        <f>IF(M648="","",IF(M648="[FÓRMULA MANUAL]","",IFERROR(SUMPRODUCT((nNIA=M648)*(nCUENTA=1)*(COUNTIF(CONFIG_ASIGNATURAS!$B$7:$B$27,nASIG)&gt;0)*(nNOTA))/SUMPRODUCT((nNIA=M648)*(nCUENTA=1)*(COUNTIF(CONFIG_ASIGNATURAS!$B$7:$B$27,nASIG)&gt;0)*1),"")))</f>
        <v/>
      </c>
      <c r="T648" t="str">
        <f>IF(S648="","",IF(S648="[FÓRMULA MANUAL]","",IFERROR(AVERAGEIFS(nNOTA,nNIA,S648,nCUENTA,1,nASIG,"Armonía"),"")))</f>
        <v/>
      </c>
      <c r="U648" t="str">
        <f>IF(S648="","",IF(S648="[FÓRMULA MANUAL]","",IFERROR(AVERAGEIFS(nNOTA,nNIA,S648,nCUENTA,1,nASIG,"Orquesta/Banda/Conjunto"),"")))</f>
        <v/>
      </c>
      <c r="V648" t="str">
        <f>IF(S648="","",IF(S648="[FÓRMULA MANUAL]","",IFERROR(AVERAGEIFS(nNOTA,nNIA,S648,nCUENTA,1,nASIG,"Música de Cámara"),"")))</f>
        <v/>
      </c>
      <c r="W648" t="str">
        <f>IF(S648="","",IF(S648="[FÓRMULA MANUAL]","",IFERROR(SUMPRODUCT((nNIA=S648)*(nCUENTA=1)*(COUNTIF(CONFIG_ASIGNATURAS!$B$7:$B$27,nASIG)&gt;0)*(nNOTA))/SUMPRODUCT((nNIA=S648)*(nCUENTA=1)*(COUNTIF(CONFIG_ASIGNATURAS!$B$7:$B$27,nASIG)&gt;0)*1),"")))</f>
        <v/>
      </c>
      <c r="Z648" t="str">
        <f>IF(Y648="","",IF(Y648="[FÓRMULA MANUAL]","",IFERROR(AVERAGEIFS(nNOTA,nNIA,Y648,nCUENTA,1,nASIG,"Análisis"),"")))</f>
        <v/>
      </c>
      <c r="AA648" t="str">
        <f>IF(Y648="","",IF(Y648="[FÓRMULA MANUAL]","",IFERROR(AVERAGEIFS(nNOTA,nNIA,Y648,nCUENTA,1,nASIG,"Orquesta/Banda/Conjunto"),"")))</f>
        <v/>
      </c>
      <c r="AB648" t="str">
        <f>IF(Y648="","",IF(Y648="[FÓRMULA MANUAL]","",IFERROR(AVERAGEIFS(nNOTA,nNIA,Y648,nCUENTA,1,nASIG,"Música de Cámara"),"")))</f>
        <v/>
      </c>
      <c r="AC648" t="str">
        <f>IF(Y648="","",IF(Y648="[FÓRMULA MANUAL]","",IFERROR(SUMPRODUCT((nNIA=Y648)*(nCUENTA=1)*(COUNTIF(CONFIG_ASIGNATURAS!$B$7:$B$27,nASIG)&gt;0)*(nNOTA))/SUMPRODUCT((nNIA=Y648)*(nCUENTA=1)*(COUNTIF(CONFIG_ASIGNATURAS!$B$7:$B$27,nASIG)&gt;0)*1),"")))</f>
        <v/>
      </c>
      <c r="AF648" t="str">
        <f>IF(AE648="","",IF(AE648="[FÓRMULA MANUAL]","",IFERROR(AVERAGEIFS(nNOTA,nNIA,AE648,nCUENTA,1,nASIG,"Análisis"),"")))</f>
        <v/>
      </c>
      <c r="AG648" t="str">
        <f>IF(AE648="","",IF(AE648="[FÓRMULA MANUAL]","",IFERROR(AVERAGEIFS(nNOTA,nNIA,AE648,nCUENTA,1,nASIG,"Orquesta/Banda/Conjunto"),"")))</f>
        <v/>
      </c>
      <c r="AH648" t="str">
        <f>IF(AE648="","",IF(AE648="[FÓRMULA MANUAL]","",IFERROR(AVERAGEIFS(nNOTA,nNIA,AE648,nCUENTA,1,nASIG,"Música de Cámara"),"")))</f>
        <v/>
      </c>
      <c r="AI648" t="str">
        <f>IF(AE648="","",IF(AE648="[FÓRMULA MANUAL]","",IFERROR(SUMPRODUCT((nNIA=AE648)*(nCUENTA=1)*(COUNTIF(CONFIG_ASIGNATURAS!$B$7:$B$27,nASIG)&gt;0)*(nNOTA))/SUMPRODUCT((nNIA=AE648)*(nCUENTA=1)*(COUNTIF(CONFIG_ASIGNATURAS!$B$7:$B$27,nASIG)&gt;0)*1),"")))</f>
        <v/>
      </c>
    </row>
    <row r="649" spans="2:35" x14ac:dyDescent="0.2">
      <c r="B649" t="str">
        <f>IF(A649="","",IF(A649="[FÓRMULA MANUAL]","",IFERROR(AVERAGEIFS(nNOTA,nNIA,A649,nCUENTA,1,nASIG,"Lenguaje Musical"),"")))</f>
        <v/>
      </c>
      <c r="C649" t="str">
        <f>IF(A649="","",IF(A649="[FÓRMULA MANUAL]","",IFERROR(AVERAGEIFS(nNOTA,nNIA,A649,nCUENTA,1,nASIG,"Orquesta/Banda/Conjunto"),"")))</f>
        <v/>
      </c>
      <c r="D649" t="str">
        <f>IF(A649="","",IF(A649="[FÓRMULA MANUAL]","",IFERROR(AVERAGEIFS(nNOTA,nNIA,A649,nCUENTA,1,nASIG,"Conjunto"),"")))</f>
        <v/>
      </c>
      <c r="E649" t="str">
        <f>IF(A649="","",IF(A649="[FÓRMULA MANUAL]","",IFERROR(SUMPRODUCT((nNIA=A649)*(nCUENTA=1)*(COUNTIF(CONFIG_ASIGNATURAS!$B$7:$B$27,nASIG)&gt;0)*(nNOTA))/SUMPRODUCT((nNIA=A649)*(nCUENTA=1)*(COUNTIF(CONFIG_ASIGNATURAS!$B$7:$B$27,nASIG)&gt;0)*1),"")))</f>
        <v/>
      </c>
      <c r="H649" t="str">
        <f>IF(G649="","",IF(G649="[FÓRMULA MANUAL]","",IFERROR(AVERAGEIFS(nNOTA,nNIA,G649,nCUENTA,1,nASIG,"Lenguaje Musical"),"")))</f>
        <v/>
      </c>
      <c r="I649" t="str">
        <f>IF(G649="","",IF(G649="[FÓRMULA MANUAL]","",IFERROR(AVERAGEIFS(nNOTA,nNIA,G649,nCUENTA,1,nASIG,"Orquesta/Banda/Conjunto"),"")))</f>
        <v/>
      </c>
      <c r="J649" t="str">
        <f>IF(G649="","",IF(G649="[FÓRMULA MANUAL]","",IFERROR(AVERAGEIFS(nNOTA,nNIA,G649,nCUENTA,1,nASIG,"Conjunto"),"")))</f>
        <v/>
      </c>
      <c r="K649" t="str">
        <f>IF(G649="","",IF(G649="[FÓRMULA MANUAL]","",IFERROR(SUMPRODUCT((nNIA=G649)*(nCUENTA=1)*(COUNTIF(CONFIG_ASIGNATURAS!$B$7:$B$27,nASIG)&gt;0)*(nNOTA))/SUMPRODUCT((nNIA=G649)*(nCUENTA=1)*(COUNTIF(CONFIG_ASIGNATURAS!$B$7:$B$27,nASIG)&gt;0)*1),"")))</f>
        <v/>
      </c>
      <c r="N649" t="str">
        <f>IF(M649="","",IF(M649="[FÓRMULA MANUAL]","",IFERROR(AVERAGEIFS(nNOTA,nNIA,M649,nCUENTA,1,nASIG,"Armonía"),"")))</f>
        <v/>
      </c>
      <c r="O649" t="str">
        <f>IF(M649="","",IF(M649="[FÓRMULA MANUAL]","",IFERROR(AVERAGEIFS(nNOTA,nNIA,M649,nCUENTA,1,nASIG,"Orquesta/Banda/Conjunto"),"")))</f>
        <v/>
      </c>
      <c r="P649" t="str">
        <f>IF(M649="","",IF(M649="[FÓRMULA MANUAL]","",IFERROR(AVERAGEIFS(nNOTA,nNIA,M649,nCUENTA,1,nASIG,"Música de Cámara"),"")))</f>
        <v/>
      </c>
      <c r="Q649" t="str">
        <f>IF(M649="","",IF(M649="[FÓRMULA MANUAL]","",IFERROR(SUMPRODUCT((nNIA=M649)*(nCUENTA=1)*(COUNTIF(CONFIG_ASIGNATURAS!$B$7:$B$27,nASIG)&gt;0)*(nNOTA))/SUMPRODUCT((nNIA=M649)*(nCUENTA=1)*(COUNTIF(CONFIG_ASIGNATURAS!$B$7:$B$27,nASIG)&gt;0)*1),"")))</f>
        <v/>
      </c>
      <c r="T649" t="str">
        <f>IF(S649="","",IF(S649="[FÓRMULA MANUAL]","",IFERROR(AVERAGEIFS(nNOTA,nNIA,S649,nCUENTA,1,nASIG,"Armonía"),"")))</f>
        <v/>
      </c>
      <c r="U649" t="str">
        <f>IF(S649="","",IF(S649="[FÓRMULA MANUAL]","",IFERROR(AVERAGEIFS(nNOTA,nNIA,S649,nCUENTA,1,nASIG,"Orquesta/Banda/Conjunto"),"")))</f>
        <v/>
      </c>
      <c r="V649" t="str">
        <f>IF(S649="","",IF(S649="[FÓRMULA MANUAL]","",IFERROR(AVERAGEIFS(nNOTA,nNIA,S649,nCUENTA,1,nASIG,"Música de Cámara"),"")))</f>
        <v/>
      </c>
      <c r="W649" t="str">
        <f>IF(S649="","",IF(S649="[FÓRMULA MANUAL]","",IFERROR(SUMPRODUCT((nNIA=S649)*(nCUENTA=1)*(COUNTIF(CONFIG_ASIGNATURAS!$B$7:$B$27,nASIG)&gt;0)*(nNOTA))/SUMPRODUCT((nNIA=S649)*(nCUENTA=1)*(COUNTIF(CONFIG_ASIGNATURAS!$B$7:$B$27,nASIG)&gt;0)*1),"")))</f>
        <v/>
      </c>
      <c r="Z649" t="str">
        <f>IF(Y649="","",IF(Y649="[FÓRMULA MANUAL]","",IFERROR(AVERAGEIFS(nNOTA,nNIA,Y649,nCUENTA,1,nASIG,"Análisis"),"")))</f>
        <v/>
      </c>
      <c r="AA649" t="str">
        <f>IF(Y649="","",IF(Y649="[FÓRMULA MANUAL]","",IFERROR(AVERAGEIFS(nNOTA,nNIA,Y649,nCUENTA,1,nASIG,"Orquesta/Banda/Conjunto"),"")))</f>
        <v/>
      </c>
      <c r="AB649" t="str">
        <f>IF(Y649="","",IF(Y649="[FÓRMULA MANUAL]","",IFERROR(AVERAGEIFS(nNOTA,nNIA,Y649,nCUENTA,1,nASIG,"Música de Cámara"),"")))</f>
        <v/>
      </c>
      <c r="AC649" t="str">
        <f>IF(Y649="","",IF(Y649="[FÓRMULA MANUAL]","",IFERROR(SUMPRODUCT((nNIA=Y649)*(nCUENTA=1)*(COUNTIF(CONFIG_ASIGNATURAS!$B$7:$B$27,nASIG)&gt;0)*(nNOTA))/SUMPRODUCT((nNIA=Y649)*(nCUENTA=1)*(COUNTIF(CONFIG_ASIGNATURAS!$B$7:$B$27,nASIG)&gt;0)*1),"")))</f>
        <v/>
      </c>
      <c r="AF649" t="str">
        <f>IF(AE649="","",IF(AE649="[FÓRMULA MANUAL]","",IFERROR(AVERAGEIFS(nNOTA,nNIA,AE649,nCUENTA,1,nASIG,"Análisis"),"")))</f>
        <v/>
      </c>
      <c r="AG649" t="str">
        <f>IF(AE649="","",IF(AE649="[FÓRMULA MANUAL]","",IFERROR(AVERAGEIFS(nNOTA,nNIA,AE649,nCUENTA,1,nASIG,"Orquesta/Banda/Conjunto"),"")))</f>
        <v/>
      </c>
      <c r="AH649" t="str">
        <f>IF(AE649="","",IF(AE649="[FÓRMULA MANUAL]","",IFERROR(AVERAGEIFS(nNOTA,nNIA,AE649,nCUENTA,1,nASIG,"Música de Cámara"),"")))</f>
        <v/>
      </c>
      <c r="AI649" t="str">
        <f>IF(AE649="","",IF(AE649="[FÓRMULA MANUAL]","",IFERROR(SUMPRODUCT((nNIA=AE649)*(nCUENTA=1)*(COUNTIF(CONFIG_ASIGNATURAS!$B$7:$B$27,nASIG)&gt;0)*(nNOTA))/SUMPRODUCT((nNIA=AE649)*(nCUENTA=1)*(COUNTIF(CONFIG_ASIGNATURAS!$B$7:$B$27,nASIG)&gt;0)*1),"")))</f>
        <v/>
      </c>
    </row>
    <row r="650" spans="2:35" x14ac:dyDescent="0.2">
      <c r="B650" t="str">
        <f>IF(A650="","",IF(A650="[FÓRMULA MANUAL]","",IFERROR(AVERAGEIFS(nNOTA,nNIA,A650,nCUENTA,1,nASIG,"Lenguaje Musical"),"")))</f>
        <v/>
      </c>
      <c r="C650" t="str">
        <f>IF(A650="","",IF(A650="[FÓRMULA MANUAL]","",IFERROR(AVERAGEIFS(nNOTA,nNIA,A650,nCUENTA,1,nASIG,"Orquesta/Banda/Conjunto"),"")))</f>
        <v/>
      </c>
      <c r="D650" t="str">
        <f>IF(A650="","",IF(A650="[FÓRMULA MANUAL]","",IFERROR(AVERAGEIFS(nNOTA,nNIA,A650,nCUENTA,1,nASIG,"Conjunto"),"")))</f>
        <v/>
      </c>
      <c r="E650" t="str">
        <f>IF(A650="","",IF(A650="[FÓRMULA MANUAL]","",IFERROR(SUMPRODUCT((nNIA=A650)*(nCUENTA=1)*(COUNTIF(CONFIG_ASIGNATURAS!$B$7:$B$27,nASIG)&gt;0)*(nNOTA))/SUMPRODUCT((nNIA=A650)*(nCUENTA=1)*(COUNTIF(CONFIG_ASIGNATURAS!$B$7:$B$27,nASIG)&gt;0)*1),"")))</f>
        <v/>
      </c>
      <c r="H650" t="str">
        <f>IF(G650="","",IF(G650="[FÓRMULA MANUAL]","",IFERROR(AVERAGEIFS(nNOTA,nNIA,G650,nCUENTA,1,nASIG,"Lenguaje Musical"),"")))</f>
        <v/>
      </c>
      <c r="I650" t="str">
        <f>IF(G650="","",IF(G650="[FÓRMULA MANUAL]","",IFERROR(AVERAGEIFS(nNOTA,nNIA,G650,nCUENTA,1,nASIG,"Orquesta/Banda/Conjunto"),"")))</f>
        <v/>
      </c>
      <c r="J650" t="str">
        <f>IF(G650="","",IF(G650="[FÓRMULA MANUAL]","",IFERROR(AVERAGEIFS(nNOTA,nNIA,G650,nCUENTA,1,nASIG,"Conjunto"),"")))</f>
        <v/>
      </c>
      <c r="K650" t="str">
        <f>IF(G650="","",IF(G650="[FÓRMULA MANUAL]","",IFERROR(SUMPRODUCT((nNIA=G650)*(nCUENTA=1)*(COUNTIF(CONFIG_ASIGNATURAS!$B$7:$B$27,nASIG)&gt;0)*(nNOTA))/SUMPRODUCT((nNIA=G650)*(nCUENTA=1)*(COUNTIF(CONFIG_ASIGNATURAS!$B$7:$B$27,nASIG)&gt;0)*1),"")))</f>
        <v/>
      </c>
      <c r="N650" t="str">
        <f>IF(M650="","",IF(M650="[FÓRMULA MANUAL]","",IFERROR(AVERAGEIFS(nNOTA,nNIA,M650,nCUENTA,1,nASIG,"Armonía"),"")))</f>
        <v/>
      </c>
      <c r="O650" t="str">
        <f>IF(M650="","",IF(M650="[FÓRMULA MANUAL]","",IFERROR(AVERAGEIFS(nNOTA,nNIA,M650,nCUENTA,1,nASIG,"Orquesta/Banda/Conjunto"),"")))</f>
        <v/>
      </c>
      <c r="P650" t="str">
        <f>IF(M650="","",IF(M650="[FÓRMULA MANUAL]","",IFERROR(AVERAGEIFS(nNOTA,nNIA,M650,nCUENTA,1,nASIG,"Música de Cámara"),"")))</f>
        <v/>
      </c>
      <c r="Q650" t="str">
        <f>IF(M650="","",IF(M650="[FÓRMULA MANUAL]","",IFERROR(SUMPRODUCT((nNIA=M650)*(nCUENTA=1)*(COUNTIF(CONFIG_ASIGNATURAS!$B$7:$B$27,nASIG)&gt;0)*(nNOTA))/SUMPRODUCT((nNIA=M650)*(nCUENTA=1)*(COUNTIF(CONFIG_ASIGNATURAS!$B$7:$B$27,nASIG)&gt;0)*1),"")))</f>
        <v/>
      </c>
      <c r="T650" t="str">
        <f>IF(S650="","",IF(S650="[FÓRMULA MANUAL]","",IFERROR(AVERAGEIFS(nNOTA,nNIA,S650,nCUENTA,1,nASIG,"Armonía"),"")))</f>
        <v/>
      </c>
      <c r="U650" t="str">
        <f>IF(S650="","",IF(S650="[FÓRMULA MANUAL]","",IFERROR(AVERAGEIFS(nNOTA,nNIA,S650,nCUENTA,1,nASIG,"Orquesta/Banda/Conjunto"),"")))</f>
        <v/>
      </c>
      <c r="V650" t="str">
        <f>IF(S650="","",IF(S650="[FÓRMULA MANUAL]","",IFERROR(AVERAGEIFS(nNOTA,nNIA,S650,nCUENTA,1,nASIG,"Música de Cámara"),"")))</f>
        <v/>
      </c>
      <c r="W650" t="str">
        <f>IF(S650="","",IF(S650="[FÓRMULA MANUAL]","",IFERROR(SUMPRODUCT((nNIA=S650)*(nCUENTA=1)*(COUNTIF(CONFIG_ASIGNATURAS!$B$7:$B$27,nASIG)&gt;0)*(nNOTA))/SUMPRODUCT((nNIA=S650)*(nCUENTA=1)*(COUNTIF(CONFIG_ASIGNATURAS!$B$7:$B$27,nASIG)&gt;0)*1),"")))</f>
        <v/>
      </c>
      <c r="Z650" t="str">
        <f>IF(Y650="","",IF(Y650="[FÓRMULA MANUAL]","",IFERROR(AVERAGEIFS(nNOTA,nNIA,Y650,nCUENTA,1,nASIG,"Análisis"),"")))</f>
        <v/>
      </c>
      <c r="AA650" t="str">
        <f>IF(Y650="","",IF(Y650="[FÓRMULA MANUAL]","",IFERROR(AVERAGEIFS(nNOTA,nNIA,Y650,nCUENTA,1,nASIG,"Orquesta/Banda/Conjunto"),"")))</f>
        <v/>
      </c>
      <c r="AB650" t="str">
        <f>IF(Y650="","",IF(Y650="[FÓRMULA MANUAL]","",IFERROR(AVERAGEIFS(nNOTA,nNIA,Y650,nCUENTA,1,nASIG,"Música de Cámara"),"")))</f>
        <v/>
      </c>
      <c r="AC650" t="str">
        <f>IF(Y650="","",IF(Y650="[FÓRMULA MANUAL]","",IFERROR(SUMPRODUCT((nNIA=Y650)*(nCUENTA=1)*(COUNTIF(CONFIG_ASIGNATURAS!$B$7:$B$27,nASIG)&gt;0)*(nNOTA))/SUMPRODUCT((nNIA=Y650)*(nCUENTA=1)*(COUNTIF(CONFIG_ASIGNATURAS!$B$7:$B$27,nASIG)&gt;0)*1),"")))</f>
        <v/>
      </c>
      <c r="AF650" t="str">
        <f>IF(AE650="","",IF(AE650="[FÓRMULA MANUAL]","",IFERROR(AVERAGEIFS(nNOTA,nNIA,AE650,nCUENTA,1,nASIG,"Análisis"),"")))</f>
        <v/>
      </c>
      <c r="AG650" t="str">
        <f>IF(AE650="","",IF(AE650="[FÓRMULA MANUAL]","",IFERROR(AVERAGEIFS(nNOTA,nNIA,AE650,nCUENTA,1,nASIG,"Orquesta/Banda/Conjunto"),"")))</f>
        <v/>
      </c>
      <c r="AH650" t="str">
        <f>IF(AE650="","",IF(AE650="[FÓRMULA MANUAL]","",IFERROR(AVERAGEIFS(nNOTA,nNIA,AE650,nCUENTA,1,nASIG,"Música de Cámara"),"")))</f>
        <v/>
      </c>
      <c r="AI650" t="str">
        <f>IF(AE650="","",IF(AE650="[FÓRMULA MANUAL]","",IFERROR(SUMPRODUCT((nNIA=AE650)*(nCUENTA=1)*(COUNTIF(CONFIG_ASIGNATURAS!$B$7:$B$27,nASIG)&gt;0)*(nNOTA))/SUMPRODUCT((nNIA=AE650)*(nCUENTA=1)*(COUNTIF(CONFIG_ASIGNATURAS!$B$7:$B$27,nASIG)&gt;0)*1),"")))</f>
        <v/>
      </c>
    </row>
    <row r="651" spans="2:35" x14ac:dyDescent="0.2">
      <c r="B651" t="str">
        <f>IF(A651="","",IF(A651="[FÓRMULA MANUAL]","",IFERROR(AVERAGEIFS(nNOTA,nNIA,A651,nCUENTA,1,nASIG,"Lenguaje Musical"),"")))</f>
        <v/>
      </c>
      <c r="C651" t="str">
        <f>IF(A651="","",IF(A651="[FÓRMULA MANUAL]","",IFERROR(AVERAGEIFS(nNOTA,nNIA,A651,nCUENTA,1,nASIG,"Orquesta/Banda/Conjunto"),"")))</f>
        <v/>
      </c>
      <c r="D651" t="str">
        <f>IF(A651="","",IF(A651="[FÓRMULA MANUAL]","",IFERROR(AVERAGEIFS(nNOTA,nNIA,A651,nCUENTA,1,nASIG,"Conjunto"),"")))</f>
        <v/>
      </c>
      <c r="E651" t="str">
        <f>IF(A651="","",IF(A651="[FÓRMULA MANUAL]","",IFERROR(SUMPRODUCT((nNIA=A651)*(nCUENTA=1)*(COUNTIF(CONFIG_ASIGNATURAS!$B$7:$B$27,nASIG)&gt;0)*(nNOTA))/SUMPRODUCT((nNIA=A651)*(nCUENTA=1)*(COUNTIF(CONFIG_ASIGNATURAS!$B$7:$B$27,nASIG)&gt;0)*1),"")))</f>
        <v/>
      </c>
      <c r="H651" t="str">
        <f>IF(G651="","",IF(G651="[FÓRMULA MANUAL]","",IFERROR(AVERAGEIFS(nNOTA,nNIA,G651,nCUENTA,1,nASIG,"Lenguaje Musical"),"")))</f>
        <v/>
      </c>
      <c r="I651" t="str">
        <f>IF(G651="","",IF(G651="[FÓRMULA MANUAL]","",IFERROR(AVERAGEIFS(nNOTA,nNIA,G651,nCUENTA,1,nASIG,"Orquesta/Banda/Conjunto"),"")))</f>
        <v/>
      </c>
      <c r="J651" t="str">
        <f>IF(G651="","",IF(G651="[FÓRMULA MANUAL]","",IFERROR(AVERAGEIFS(nNOTA,nNIA,G651,nCUENTA,1,nASIG,"Conjunto"),"")))</f>
        <v/>
      </c>
      <c r="K651" t="str">
        <f>IF(G651="","",IF(G651="[FÓRMULA MANUAL]","",IFERROR(SUMPRODUCT((nNIA=G651)*(nCUENTA=1)*(COUNTIF(CONFIG_ASIGNATURAS!$B$7:$B$27,nASIG)&gt;0)*(nNOTA))/SUMPRODUCT((nNIA=G651)*(nCUENTA=1)*(COUNTIF(CONFIG_ASIGNATURAS!$B$7:$B$27,nASIG)&gt;0)*1),"")))</f>
        <v/>
      </c>
      <c r="N651" t="str">
        <f>IF(M651="","",IF(M651="[FÓRMULA MANUAL]","",IFERROR(AVERAGEIFS(nNOTA,nNIA,M651,nCUENTA,1,nASIG,"Armonía"),"")))</f>
        <v/>
      </c>
      <c r="O651" t="str">
        <f>IF(M651="","",IF(M651="[FÓRMULA MANUAL]","",IFERROR(AVERAGEIFS(nNOTA,nNIA,M651,nCUENTA,1,nASIG,"Orquesta/Banda/Conjunto"),"")))</f>
        <v/>
      </c>
      <c r="P651" t="str">
        <f>IF(M651="","",IF(M651="[FÓRMULA MANUAL]","",IFERROR(AVERAGEIFS(nNOTA,nNIA,M651,nCUENTA,1,nASIG,"Música de Cámara"),"")))</f>
        <v/>
      </c>
      <c r="Q651" t="str">
        <f>IF(M651="","",IF(M651="[FÓRMULA MANUAL]","",IFERROR(SUMPRODUCT((nNIA=M651)*(nCUENTA=1)*(COUNTIF(CONFIG_ASIGNATURAS!$B$7:$B$27,nASIG)&gt;0)*(nNOTA))/SUMPRODUCT((nNIA=M651)*(nCUENTA=1)*(COUNTIF(CONFIG_ASIGNATURAS!$B$7:$B$27,nASIG)&gt;0)*1),"")))</f>
        <v/>
      </c>
      <c r="T651" t="str">
        <f>IF(S651="","",IF(S651="[FÓRMULA MANUAL]","",IFERROR(AVERAGEIFS(nNOTA,nNIA,S651,nCUENTA,1,nASIG,"Armonía"),"")))</f>
        <v/>
      </c>
      <c r="U651" t="str">
        <f>IF(S651="","",IF(S651="[FÓRMULA MANUAL]","",IFERROR(AVERAGEIFS(nNOTA,nNIA,S651,nCUENTA,1,nASIG,"Orquesta/Banda/Conjunto"),"")))</f>
        <v/>
      </c>
      <c r="V651" t="str">
        <f>IF(S651="","",IF(S651="[FÓRMULA MANUAL]","",IFERROR(AVERAGEIFS(nNOTA,nNIA,S651,nCUENTA,1,nASIG,"Música de Cámara"),"")))</f>
        <v/>
      </c>
      <c r="W651" t="str">
        <f>IF(S651="","",IF(S651="[FÓRMULA MANUAL]","",IFERROR(SUMPRODUCT((nNIA=S651)*(nCUENTA=1)*(COUNTIF(CONFIG_ASIGNATURAS!$B$7:$B$27,nASIG)&gt;0)*(nNOTA))/SUMPRODUCT((nNIA=S651)*(nCUENTA=1)*(COUNTIF(CONFIG_ASIGNATURAS!$B$7:$B$27,nASIG)&gt;0)*1),"")))</f>
        <v/>
      </c>
      <c r="Z651" t="str">
        <f>IF(Y651="","",IF(Y651="[FÓRMULA MANUAL]","",IFERROR(AVERAGEIFS(nNOTA,nNIA,Y651,nCUENTA,1,nASIG,"Análisis"),"")))</f>
        <v/>
      </c>
      <c r="AA651" t="str">
        <f>IF(Y651="","",IF(Y651="[FÓRMULA MANUAL]","",IFERROR(AVERAGEIFS(nNOTA,nNIA,Y651,nCUENTA,1,nASIG,"Orquesta/Banda/Conjunto"),"")))</f>
        <v/>
      </c>
      <c r="AB651" t="str">
        <f>IF(Y651="","",IF(Y651="[FÓRMULA MANUAL]","",IFERROR(AVERAGEIFS(nNOTA,nNIA,Y651,nCUENTA,1,nASIG,"Música de Cámara"),"")))</f>
        <v/>
      </c>
      <c r="AC651" t="str">
        <f>IF(Y651="","",IF(Y651="[FÓRMULA MANUAL]","",IFERROR(SUMPRODUCT((nNIA=Y651)*(nCUENTA=1)*(COUNTIF(CONFIG_ASIGNATURAS!$B$7:$B$27,nASIG)&gt;0)*(nNOTA))/SUMPRODUCT((nNIA=Y651)*(nCUENTA=1)*(COUNTIF(CONFIG_ASIGNATURAS!$B$7:$B$27,nASIG)&gt;0)*1),"")))</f>
        <v/>
      </c>
      <c r="AF651" t="str">
        <f>IF(AE651="","",IF(AE651="[FÓRMULA MANUAL]","",IFERROR(AVERAGEIFS(nNOTA,nNIA,AE651,nCUENTA,1,nASIG,"Análisis"),"")))</f>
        <v/>
      </c>
      <c r="AG651" t="str">
        <f>IF(AE651="","",IF(AE651="[FÓRMULA MANUAL]","",IFERROR(AVERAGEIFS(nNOTA,nNIA,AE651,nCUENTA,1,nASIG,"Orquesta/Banda/Conjunto"),"")))</f>
        <v/>
      </c>
      <c r="AH651" t="str">
        <f>IF(AE651="","",IF(AE651="[FÓRMULA MANUAL]","",IFERROR(AVERAGEIFS(nNOTA,nNIA,AE651,nCUENTA,1,nASIG,"Música de Cámara"),"")))</f>
        <v/>
      </c>
      <c r="AI651" t="str">
        <f>IF(AE651="","",IF(AE651="[FÓRMULA MANUAL]","",IFERROR(SUMPRODUCT((nNIA=AE651)*(nCUENTA=1)*(COUNTIF(CONFIG_ASIGNATURAS!$B$7:$B$27,nASIG)&gt;0)*(nNOTA))/SUMPRODUCT((nNIA=AE651)*(nCUENTA=1)*(COUNTIF(CONFIG_ASIGNATURAS!$B$7:$B$27,nASIG)&gt;0)*1),"")))</f>
        <v/>
      </c>
    </row>
    <row r="652" spans="2:35" x14ac:dyDescent="0.2">
      <c r="B652" t="str">
        <f>IF(A652="","",IF(A652="[FÓRMULA MANUAL]","",IFERROR(AVERAGEIFS(nNOTA,nNIA,A652,nCUENTA,1,nASIG,"Lenguaje Musical"),"")))</f>
        <v/>
      </c>
      <c r="C652" t="str">
        <f>IF(A652="","",IF(A652="[FÓRMULA MANUAL]","",IFERROR(AVERAGEIFS(nNOTA,nNIA,A652,nCUENTA,1,nASIG,"Orquesta/Banda/Conjunto"),"")))</f>
        <v/>
      </c>
      <c r="D652" t="str">
        <f>IF(A652="","",IF(A652="[FÓRMULA MANUAL]","",IFERROR(AVERAGEIFS(nNOTA,nNIA,A652,nCUENTA,1,nASIG,"Conjunto"),"")))</f>
        <v/>
      </c>
      <c r="E652" t="str">
        <f>IF(A652="","",IF(A652="[FÓRMULA MANUAL]","",IFERROR(SUMPRODUCT((nNIA=A652)*(nCUENTA=1)*(COUNTIF(CONFIG_ASIGNATURAS!$B$7:$B$27,nASIG)&gt;0)*(nNOTA))/SUMPRODUCT((nNIA=A652)*(nCUENTA=1)*(COUNTIF(CONFIG_ASIGNATURAS!$B$7:$B$27,nASIG)&gt;0)*1),"")))</f>
        <v/>
      </c>
      <c r="H652" t="str">
        <f>IF(G652="","",IF(G652="[FÓRMULA MANUAL]","",IFERROR(AVERAGEIFS(nNOTA,nNIA,G652,nCUENTA,1,nASIG,"Lenguaje Musical"),"")))</f>
        <v/>
      </c>
      <c r="I652" t="str">
        <f>IF(G652="","",IF(G652="[FÓRMULA MANUAL]","",IFERROR(AVERAGEIFS(nNOTA,nNIA,G652,nCUENTA,1,nASIG,"Orquesta/Banda/Conjunto"),"")))</f>
        <v/>
      </c>
      <c r="J652" t="str">
        <f>IF(G652="","",IF(G652="[FÓRMULA MANUAL]","",IFERROR(AVERAGEIFS(nNOTA,nNIA,G652,nCUENTA,1,nASIG,"Conjunto"),"")))</f>
        <v/>
      </c>
      <c r="K652" t="str">
        <f>IF(G652="","",IF(G652="[FÓRMULA MANUAL]","",IFERROR(SUMPRODUCT((nNIA=G652)*(nCUENTA=1)*(COUNTIF(CONFIG_ASIGNATURAS!$B$7:$B$27,nASIG)&gt;0)*(nNOTA))/SUMPRODUCT((nNIA=G652)*(nCUENTA=1)*(COUNTIF(CONFIG_ASIGNATURAS!$B$7:$B$27,nASIG)&gt;0)*1),"")))</f>
        <v/>
      </c>
      <c r="N652" t="str">
        <f>IF(M652="","",IF(M652="[FÓRMULA MANUAL]","",IFERROR(AVERAGEIFS(nNOTA,nNIA,M652,nCUENTA,1,nASIG,"Armonía"),"")))</f>
        <v/>
      </c>
      <c r="O652" t="str">
        <f>IF(M652="","",IF(M652="[FÓRMULA MANUAL]","",IFERROR(AVERAGEIFS(nNOTA,nNIA,M652,nCUENTA,1,nASIG,"Orquesta/Banda/Conjunto"),"")))</f>
        <v/>
      </c>
      <c r="P652" t="str">
        <f>IF(M652="","",IF(M652="[FÓRMULA MANUAL]","",IFERROR(AVERAGEIFS(nNOTA,nNIA,M652,nCUENTA,1,nASIG,"Música de Cámara"),"")))</f>
        <v/>
      </c>
      <c r="Q652" t="str">
        <f>IF(M652="","",IF(M652="[FÓRMULA MANUAL]","",IFERROR(SUMPRODUCT((nNIA=M652)*(nCUENTA=1)*(COUNTIF(CONFIG_ASIGNATURAS!$B$7:$B$27,nASIG)&gt;0)*(nNOTA))/SUMPRODUCT((nNIA=M652)*(nCUENTA=1)*(COUNTIF(CONFIG_ASIGNATURAS!$B$7:$B$27,nASIG)&gt;0)*1),"")))</f>
        <v/>
      </c>
      <c r="T652" t="str">
        <f>IF(S652="","",IF(S652="[FÓRMULA MANUAL]","",IFERROR(AVERAGEIFS(nNOTA,nNIA,S652,nCUENTA,1,nASIG,"Armonía"),"")))</f>
        <v/>
      </c>
      <c r="U652" t="str">
        <f>IF(S652="","",IF(S652="[FÓRMULA MANUAL]","",IFERROR(AVERAGEIFS(nNOTA,nNIA,S652,nCUENTA,1,nASIG,"Orquesta/Banda/Conjunto"),"")))</f>
        <v/>
      </c>
      <c r="V652" t="str">
        <f>IF(S652="","",IF(S652="[FÓRMULA MANUAL]","",IFERROR(AVERAGEIFS(nNOTA,nNIA,S652,nCUENTA,1,nASIG,"Música de Cámara"),"")))</f>
        <v/>
      </c>
      <c r="W652" t="str">
        <f>IF(S652="","",IF(S652="[FÓRMULA MANUAL]","",IFERROR(SUMPRODUCT((nNIA=S652)*(nCUENTA=1)*(COUNTIF(CONFIG_ASIGNATURAS!$B$7:$B$27,nASIG)&gt;0)*(nNOTA))/SUMPRODUCT((nNIA=S652)*(nCUENTA=1)*(COUNTIF(CONFIG_ASIGNATURAS!$B$7:$B$27,nASIG)&gt;0)*1),"")))</f>
        <v/>
      </c>
      <c r="Z652" t="str">
        <f>IF(Y652="","",IF(Y652="[FÓRMULA MANUAL]","",IFERROR(AVERAGEIFS(nNOTA,nNIA,Y652,nCUENTA,1,nASIG,"Análisis"),"")))</f>
        <v/>
      </c>
      <c r="AA652" t="str">
        <f>IF(Y652="","",IF(Y652="[FÓRMULA MANUAL]","",IFERROR(AVERAGEIFS(nNOTA,nNIA,Y652,nCUENTA,1,nASIG,"Orquesta/Banda/Conjunto"),"")))</f>
        <v/>
      </c>
      <c r="AB652" t="str">
        <f>IF(Y652="","",IF(Y652="[FÓRMULA MANUAL]","",IFERROR(AVERAGEIFS(nNOTA,nNIA,Y652,nCUENTA,1,nASIG,"Música de Cámara"),"")))</f>
        <v/>
      </c>
      <c r="AC652" t="str">
        <f>IF(Y652="","",IF(Y652="[FÓRMULA MANUAL]","",IFERROR(SUMPRODUCT((nNIA=Y652)*(nCUENTA=1)*(COUNTIF(CONFIG_ASIGNATURAS!$B$7:$B$27,nASIG)&gt;0)*(nNOTA))/SUMPRODUCT((nNIA=Y652)*(nCUENTA=1)*(COUNTIF(CONFIG_ASIGNATURAS!$B$7:$B$27,nASIG)&gt;0)*1),"")))</f>
        <v/>
      </c>
      <c r="AF652" t="str">
        <f>IF(AE652="","",IF(AE652="[FÓRMULA MANUAL]","",IFERROR(AVERAGEIFS(nNOTA,nNIA,AE652,nCUENTA,1,nASIG,"Análisis"),"")))</f>
        <v/>
      </c>
      <c r="AG652" t="str">
        <f>IF(AE652="","",IF(AE652="[FÓRMULA MANUAL]","",IFERROR(AVERAGEIFS(nNOTA,nNIA,AE652,nCUENTA,1,nASIG,"Orquesta/Banda/Conjunto"),"")))</f>
        <v/>
      </c>
      <c r="AH652" t="str">
        <f>IF(AE652="","",IF(AE652="[FÓRMULA MANUAL]","",IFERROR(AVERAGEIFS(nNOTA,nNIA,AE652,nCUENTA,1,nASIG,"Música de Cámara"),"")))</f>
        <v/>
      </c>
      <c r="AI652" t="str">
        <f>IF(AE652="","",IF(AE652="[FÓRMULA MANUAL]","",IFERROR(SUMPRODUCT((nNIA=AE652)*(nCUENTA=1)*(COUNTIF(CONFIG_ASIGNATURAS!$B$7:$B$27,nASIG)&gt;0)*(nNOTA))/SUMPRODUCT((nNIA=AE652)*(nCUENTA=1)*(COUNTIF(CONFIG_ASIGNATURAS!$B$7:$B$27,nASIG)&gt;0)*1),"")))</f>
        <v/>
      </c>
    </row>
    <row r="653" spans="2:35" x14ac:dyDescent="0.2">
      <c r="B653" t="str">
        <f>IF(A653="","",IF(A653="[FÓRMULA MANUAL]","",IFERROR(AVERAGEIFS(nNOTA,nNIA,A653,nCUENTA,1,nASIG,"Lenguaje Musical"),"")))</f>
        <v/>
      </c>
      <c r="C653" t="str">
        <f>IF(A653="","",IF(A653="[FÓRMULA MANUAL]","",IFERROR(AVERAGEIFS(nNOTA,nNIA,A653,nCUENTA,1,nASIG,"Orquesta/Banda/Conjunto"),"")))</f>
        <v/>
      </c>
      <c r="D653" t="str">
        <f>IF(A653="","",IF(A653="[FÓRMULA MANUAL]","",IFERROR(AVERAGEIFS(nNOTA,nNIA,A653,nCUENTA,1,nASIG,"Conjunto"),"")))</f>
        <v/>
      </c>
      <c r="E653" t="str">
        <f>IF(A653="","",IF(A653="[FÓRMULA MANUAL]","",IFERROR(SUMPRODUCT((nNIA=A653)*(nCUENTA=1)*(COUNTIF(CONFIG_ASIGNATURAS!$B$7:$B$27,nASIG)&gt;0)*(nNOTA))/SUMPRODUCT((nNIA=A653)*(nCUENTA=1)*(COUNTIF(CONFIG_ASIGNATURAS!$B$7:$B$27,nASIG)&gt;0)*1),"")))</f>
        <v/>
      </c>
      <c r="H653" t="str">
        <f>IF(G653="","",IF(G653="[FÓRMULA MANUAL]","",IFERROR(AVERAGEIFS(nNOTA,nNIA,G653,nCUENTA,1,nASIG,"Lenguaje Musical"),"")))</f>
        <v/>
      </c>
      <c r="I653" t="str">
        <f>IF(G653="","",IF(G653="[FÓRMULA MANUAL]","",IFERROR(AVERAGEIFS(nNOTA,nNIA,G653,nCUENTA,1,nASIG,"Orquesta/Banda/Conjunto"),"")))</f>
        <v/>
      </c>
      <c r="J653" t="str">
        <f>IF(G653="","",IF(G653="[FÓRMULA MANUAL]","",IFERROR(AVERAGEIFS(nNOTA,nNIA,G653,nCUENTA,1,nASIG,"Conjunto"),"")))</f>
        <v/>
      </c>
      <c r="K653" t="str">
        <f>IF(G653="","",IF(G653="[FÓRMULA MANUAL]","",IFERROR(SUMPRODUCT((nNIA=G653)*(nCUENTA=1)*(COUNTIF(CONFIG_ASIGNATURAS!$B$7:$B$27,nASIG)&gt;0)*(nNOTA))/SUMPRODUCT((nNIA=G653)*(nCUENTA=1)*(COUNTIF(CONFIG_ASIGNATURAS!$B$7:$B$27,nASIG)&gt;0)*1),"")))</f>
        <v/>
      </c>
      <c r="N653" t="str">
        <f>IF(M653="","",IF(M653="[FÓRMULA MANUAL]","",IFERROR(AVERAGEIFS(nNOTA,nNIA,M653,nCUENTA,1,nASIG,"Armonía"),"")))</f>
        <v/>
      </c>
      <c r="O653" t="str">
        <f>IF(M653="","",IF(M653="[FÓRMULA MANUAL]","",IFERROR(AVERAGEIFS(nNOTA,nNIA,M653,nCUENTA,1,nASIG,"Orquesta/Banda/Conjunto"),"")))</f>
        <v/>
      </c>
      <c r="P653" t="str">
        <f>IF(M653="","",IF(M653="[FÓRMULA MANUAL]","",IFERROR(AVERAGEIFS(nNOTA,nNIA,M653,nCUENTA,1,nASIG,"Música de Cámara"),"")))</f>
        <v/>
      </c>
      <c r="Q653" t="str">
        <f>IF(M653="","",IF(M653="[FÓRMULA MANUAL]","",IFERROR(SUMPRODUCT((nNIA=M653)*(nCUENTA=1)*(COUNTIF(CONFIG_ASIGNATURAS!$B$7:$B$27,nASIG)&gt;0)*(nNOTA))/SUMPRODUCT((nNIA=M653)*(nCUENTA=1)*(COUNTIF(CONFIG_ASIGNATURAS!$B$7:$B$27,nASIG)&gt;0)*1),"")))</f>
        <v/>
      </c>
      <c r="T653" t="str">
        <f>IF(S653="","",IF(S653="[FÓRMULA MANUAL]","",IFERROR(AVERAGEIFS(nNOTA,nNIA,S653,nCUENTA,1,nASIG,"Armonía"),"")))</f>
        <v/>
      </c>
      <c r="U653" t="str">
        <f>IF(S653="","",IF(S653="[FÓRMULA MANUAL]","",IFERROR(AVERAGEIFS(nNOTA,nNIA,S653,nCUENTA,1,nASIG,"Orquesta/Banda/Conjunto"),"")))</f>
        <v/>
      </c>
      <c r="V653" t="str">
        <f>IF(S653="","",IF(S653="[FÓRMULA MANUAL]","",IFERROR(AVERAGEIFS(nNOTA,nNIA,S653,nCUENTA,1,nASIG,"Música de Cámara"),"")))</f>
        <v/>
      </c>
      <c r="W653" t="str">
        <f>IF(S653="","",IF(S653="[FÓRMULA MANUAL]","",IFERROR(SUMPRODUCT((nNIA=S653)*(nCUENTA=1)*(COUNTIF(CONFIG_ASIGNATURAS!$B$7:$B$27,nASIG)&gt;0)*(nNOTA))/SUMPRODUCT((nNIA=S653)*(nCUENTA=1)*(COUNTIF(CONFIG_ASIGNATURAS!$B$7:$B$27,nASIG)&gt;0)*1),"")))</f>
        <v/>
      </c>
      <c r="Z653" t="str">
        <f>IF(Y653="","",IF(Y653="[FÓRMULA MANUAL]","",IFERROR(AVERAGEIFS(nNOTA,nNIA,Y653,nCUENTA,1,nASIG,"Análisis"),"")))</f>
        <v/>
      </c>
      <c r="AA653" t="str">
        <f>IF(Y653="","",IF(Y653="[FÓRMULA MANUAL]","",IFERROR(AVERAGEIFS(nNOTA,nNIA,Y653,nCUENTA,1,nASIG,"Orquesta/Banda/Conjunto"),"")))</f>
        <v/>
      </c>
      <c r="AB653" t="str">
        <f>IF(Y653="","",IF(Y653="[FÓRMULA MANUAL]","",IFERROR(AVERAGEIFS(nNOTA,nNIA,Y653,nCUENTA,1,nASIG,"Música de Cámara"),"")))</f>
        <v/>
      </c>
      <c r="AC653" t="str">
        <f>IF(Y653="","",IF(Y653="[FÓRMULA MANUAL]","",IFERROR(SUMPRODUCT((nNIA=Y653)*(nCUENTA=1)*(COUNTIF(CONFIG_ASIGNATURAS!$B$7:$B$27,nASIG)&gt;0)*(nNOTA))/SUMPRODUCT((nNIA=Y653)*(nCUENTA=1)*(COUNTIF(CONFIG_ASIGNATURAS!$B$7:$B$27,nASIG)&gt;0)*1),"")))</f>
        <v/>
      </c>
      <c r="AF653" t="str">
        <f>IF(AE653="","",IF(AE653="[FÓRMULA MANUAL]","",IFERROR(AVERAGEIFS(nNOTA,nNIA,AE653,nCUENTA,1,nASIG,"Análisis"),"")))</f>
        <v/>
      </c>
      <c r="AG653" t="str">
        <f>IF(AE653="","",IF(AE653="[FÓRMULA MANUAL]","",IFERROR(AVERAGEIFS(nNOTA,nNIA,AE653,nCUENTA,1,nASIG,"Orquesta/Banda/Conjunto"),"")))</f>
        <v/>
      </c>
      <c r="AH653" t="str">
        <f>IF(AE653="","",IF(AE653="[FÓRMULA MANUAL]","",IFERROR(AVERAGEIFS(nNOTA,nNIA,AE653,nCUENTA,1,nASIG,"Música de Cámara"),"")))</f>
        <v/>
      </c>
      <c r="AI653" t="str">
        <f>IF(AE653="","",IF(AE653="[FÓRMULA MANUAL]","",IFERROR(SUMPRODUCT((nNIA=AE653)*(nCUENTA=1)*(COUNTIF(CONFIG_ASIGNATURAS!$B$7:$B$27,nASIG)&gt;0)*(nNOTA))/SUMPRODUCT((nNIA=AE653)*(nCUENTA=1)*(COUNTIF(CONFIG_ASIGNATURAS!$B$7:$B$27,nASIG)&gt;0)*1),"")))</f>
        <v/>
      </c>
    </row>
    <row r="654" spans="2:35" x14ac:dyDescent="0.2">
      <c r="B654" t="str">
        <f>IF(A654="","",IF(A654="[FÓRMULA MANUAL]","",IFERROR(AVERAGEIFS(nNOTA,nNIA,A654,nCUENTA,1,nASIG,"Lenguaje Musical"),"")))</f>
        <v/>
      </c>
      <c r="C654" t="str">
        <f>IF(A654="","",IF(A654="[FÓRMULA MANUAL]","",IFERROR(AVERAGEIFS(nNOTA,nNIA,A654,nCUENTA,1,nASIG,"Orquesta/Banda/Conjunto"),"")))</f>
        <v/>
      </c>
      <c r="D654" t="str">
        <f>IF(A654="","",IF(A654="[FÓRMULA MANUAL]","",IFERROR(AVERAGEIFS(nNOTA,nNIA,A654,nCUENTA,1,nASIG,"Conjunto"),"")))</f>
        <v/>
      </c>
      <c r="E654" t="str">
        <f>IF(A654="","",IF(A654="[FÓRMULA MANUAL]","",IFERROR(SUMPRODUCT((nNIA=A654)*(nCUENTA=1)*(COUNTIF(CONFIG_ASIGNATURAS!$B$7:$B$27,nASIG)&gt;0)*(nNOTA))/SUMPRODUCT((nNIA=A654)*(nCUENTA=1)*(COUNTIF(CONFIG_ASIGNATURAS!$B$7:$B$27,nASIG)&gt;0)*1),"")))</f>
        <v/>
      </c>
      <c r="H654" t="str">
        <f>IF(G654="","",IF(G654="[FÓRMULA MANUAL]","",IFERROR(AVERAGEIFS(nNOTA,nNIA,G654,nCUENTA,1,nASIG,"Lenguaje Musical"),"")))</f>
        <v/>
      </c>
      <c r="I654" t="str">
        <f>IF(G654="","",IF(G654="[FÓRMULA MANUAL]","",IFERROR(AVERAGEIFS(nNOTA,nNIA,G654,nCUENTA,1,nASIG,"Orquesta/Banda/Conjunto"),"")))</f>
        <v/>
      </c>
      <c r="J654" t="str">
        <f>IF(G654="","",IF(G654="[FÓRMULA MANUAL]","",IFERROR(AVERAGEIFS(nNOTA,nNIA,G654,nCUENTA,1,nASIG,"Conjunto"),"")))</f>
        <v/>
      </c>
      <c r="K654" t="str">
        <f>IF(G654="","",IF(G654="[FÓRMULA MANUAL]","",IFERROR(SUMPRODUCT((nNIA=G654)*(nCUENTA=1)*(COUNTIF(CONFIG_ASIGNATURAS!$B$7:$B$27,nASIG)&gt;0)*(nNOTA))/SUMPRODUCT((nNIA=G654)*(nCUENTA=1)*(COUNTIF(CONFIG_ASIGNATURAS!$B$7:$B$27,nASIG)&gt;0)*1),"")))</f>
        <v/>
      </c>
      <c r="N654" t="str">
        <f>IF(M654="","",IF(M654="[FÓRMULA MANUAL]","",IFERROR(AVERAGEIFS(nNOTA,nNIA,M654,nCUENTA,1,nASIG,"Armonía"),"")))</f>
        <v/>
      </c>
      <c r="O654" t="str">
        <f>IF(M654="","",IF(M654="[FÓRMULA MANUAL]","",IFERROR(AVERAGEIFS(nNOTA,nNIA,M654,nCUENTA,1,nASIG,"Orquesta/Banda/Conjunto"),"")))</f>
        <v/>
      </c>
      <c r="P654" t="str">
        <f>IF(M654="","",IF(M654="[FÓRMULA MANUAL]","",IFERROR(AVERAGEIFS(nNOTA,nNIA,M654,nCUENTA,1,nASIG,"Música de Cámara"),"")))</f>
        <v/>
      </c>
      <c r="Q654" t="str">
        <f>IF(M654="","",IF(M654="[FÓRMULA MANUAL]","",IFERROR(SUMPRODUCT((nNIA=M654)*(nCUENTA=1)*(COUNTIF(CONFIG_ASIGNATURAS!$B$7:$B$27,nASIG)&gt;0)*(nNOTA))/SUMPRODUCT((nNIA=M654)*(nCUENTA=1)*(COUNTIF(CONFIG_ASIGNATURAS!$B$7:$B$27,nASIG)&gt;0)*1),"")))</f>
        <v/>
      </c>
      <c r="T654" t="str">
        <f>IF(S654="","",IF(S654="[FÓRMULA MANUAL]","",IFERROR(AVERAGEIFS(nNOTA,nNIA,S654,nCUENTA,1,nASIG,"Armonía"),"")))</f>
        <v/>
      </c>
      <c r="U654" t="str">
        <f>IF(S654="","",IF(S654="[FÓRMULA MANUAL]","",IFERROR(AVERAGEIFS(nNOTA,nNIA,S654,nCUENTA,1,nASIG,"Orquesta/Banda/Conjunto"),"")))</f>
        <v/>
      </c>
      <c r="V654" t="str">
        <f>IF(S654="","",IF(S654="[FÓRMULA MANUAL]","",IFERROR(AVERAGEIFS(nNOTA,nNIA,S654,nCUENTA,1,nASIG,"Música de Cámara"),"")))</f>
        <v/>
      </c>
      <c r="W654" t="str">
        <f>IF(S654="","",IF(S654="[FÓRMULA MANUAL]","",IFERROR(SUMPRODUCT((nNIA=S654)*(nCUENTA=1)*(COUNTIF(CONFIG_ASIGNATURAS!$B$7:$B$27,nASIG)&gt;0)*(nNOTA))/SUMPRODUCT((nNIA=S654)*(nCUENTA=1)*(COUNTIF(CONFIG_ASIGNATURAS!$B$7:$B$27,nASIG)&gt;0)*1),"")))</f>
        <v/>
      </c>
      <c r="Z654" t="str">
        <f>IF(Y654="","",IF(Y654="[FÓRMULA MANUAL]","",IFERROR(AVERAGEIFS(nNOTA,nNIA,Y654,nCUENTA,1,nASIG,"Análisis"),"")))</f>
        <v/>
      </c>
      <c r="AA654" t="str">
        <f>IF(Y654="","",IF(Y654="[FÓRMULA MANUAL]","",IFERROR(AVERAGEIFS(nNOTA,nNIA,Y654,nCUENTA,1,nASIG,"Orquesta/Banda/Conjunto"),"")))</f>
        <v/>
      </c>
      <c r="AB654" t="str">
        <f>IF(Y654="","",IF(Y654="[FÓRMULA MANUAL]","",IFERROR(AVERAGEIFS(nNOTA,nNIA,Y654,nCUENTA,1,nASIG,"Música de Cámara"),"")))</f>
        <v/>
      </c>
      <c r="AC654" t="str">
        <f>IF(Y654="","",IF(Y654="[FÓRMULA MANUAL]","",IFERROR(SUMPRODUCT((nNIA=Y654)*(nCUENTA=1)*(COUNTIF(CONFIG_ASIGNATURAS!$B$7:$B$27,nASIG)&gt;0)*(nNOTA))/SUMPRODUCT((nNIA=Y654)*(nCUENTA=1)*(COUNTIF(CONFIG_ASIGNATURAS!$B$7:$B$27,nASIG)&gt;0)*1),"")))</f>
        <v/>
      </c>
      <c r="AF654" t="str">
        <f>IF(AE654="","",IF(AE654="[FÓRMULA MANUAL]","",IFERROR(AVERAGEIFS(nNOTA,nNIA,AE654,nCUENTA,1,nASIG,"Análisis"),"")))</f>
        <v/>
      </c>
      <c r="AG654" t="str">
        <f>IF(AE654="","",IF(AE654="[FÓRMULA MANUAL]","",IFERROR(AVERAGEIFS(nNOTA,nNIA,AE654,nCUENTA,1,nASIG,"Orquesta/Banda/Conjunto"),"")))</f>
        <v/>
      </c>
      <c r="AH654" t="str">
        <f>IF(AE654="","",IF(AE654="[FÓRMULA MANUAL]","",IFERROR(AVERAGEIFS(nNOTA,nNIA,AE654,nCUENTA,1,nASIG,"Música de Cámara"),"")))</f>
        <v/>
      </c>
      <c r="AI654" t="str">
        <f>IF(AE654="","",IF(AE654="[FÓRMULA MANUAL]","",IFERROR(SUMPRODUCT((nNIA=AE654)*(nCUENTA=1)*(COUNTIF(CONFIG_ASIGNATURAS!$B$7:$B$27,nASIG)&gt;0)*(nNOTA))/SUMPRODUCT((nNIA=AE654)*(nCUENTA=1)*(COUNTIF(CONFIG_ASIGNATURAS!$B$7:$B$27,nASIG)&gt;0)*1),"")))</f>
        <v/>
      </c>
    </row>
    <row r="655" spans="2:35" x14ac:dyDescent="0.2">
      <c r="B655" t="str">
        <f>IF(A655="","",IF(A655="[FÓRMULA MANUAL]","",IFERROR(AVERAGEIFS(nNOTA,nNIA,A655,nCUENTA,1,nASIG,"Lenguaje Musical"),"")))</f>
        <v/>
      </c>
      <c r="C655" t="str">
        <f>IF(A655="","",IF(A655="[FÓRMULA MANUAL]","",IFERROR(AVERAGEIFS(nNOTA,nNIA,A655,nCUENTA,1,nASIG,"Orquesta/Banda/Conjunto"),"")))</f>
        <v/>
      </c>
      <c r="D655" t="str">
        <f>IF(A655="","",IF(A655="[FÓRMULA MANUAL]","",IFERROR(AVERAGEIFS(nNOTA,nNIA,A655,nCUENTA,1,nASIG,"Conjunto"),"")))</f>
        <v/>
      </c>
      <c r="E655" t="str">
        <f>IF(A655="","",IF(A655="[FÓRMULA MANUAL]","",IFERROR(SUMPRODUCT((nNIA=A655)*(nCUENTA=1)*(COUNTIF(CONFIG_ASIGNATURAS!$B$7:$B$27,nASIG)&gt;0)*(nNOTA))/SUMPRODUCT((nNIA=A655)*(nCUENTA=1)*(COUNTIF(CONFIG_ASIGNATURAS!$B$7:$B$27,nASIG)&gt;0)*1),"")))</f>
        <v/>
      </c>
      <c r="H655" t="str">
        <f>IF(G655="","",IF(G655="[FÓRMULA MANUAL]","",IFERROR(AVERAGEIFS(nNOTA,nNIA,G655,nCUENTA,1,nASIG,"Lenguaje Musical"),"")))</f>
        <v/>
      </c>
      <c r="I655" t="str">
        <f>IF(G655="","",IF(G655="[FÓRMULA MANUAL]","",IFERROR(AVERAGEIFS(nNOTA,nNIA,G655,nCUENTA,1,nASIG,"Orquesta/Banda/Conjunto"),"")))</f>
        <v/>
      </c>
      <c r="J655" t="str">
        <f>IF(G655="","",IF(G655="[FÓRMULA MANUAL]","",IFERROR(AVERAGEIFS(nNOTA,nNIA,G655,nCUENTA,1,nASIG,"Conjunto"),"")))</f>
        <v/>
      </c>
      <c r="K655" t="str">
        <f>IF(G655="","",IF(G655="[FÓRMULA MANUAL]","",IFERROR(SUMPRODUCT((nNIA=G655)*(nCUENTA=1)*(COUNTIF(CONFIG_ASIGNATURAS!$B$7:$B$27,nASIG)&gt;0)*(nNOTA))/SUMPRODUCT((nNIA=G655)*(nCUENTA=1)*(COUNTIF(CONFIG_ASIGNATURAS!$B$7:$B$27,nASIG)&gt;0)*1),"")))</f>
        <v/>
      </c>
      <c r="N655" t="str">
        <f>IF(M655="","",IF(M655="[FÓRMULA MANUAL]","",IFERROR(AVERAGEIFS(nNOTA,nNIA,M655,nCUENTA,1,nASIG,"Armonía"),"")))</f>
        <v/>
      </c>
      <c r="O655" t="str">
        <f>IF(M655="","",IF(M655="[FÓRMULA MANUAL]","",IFERROR(AVERAGEIFS(nNOTA,nNIA,M655,nCUENTA,1,nASIG,"Orquesta/Banda/Conjunto"),"")))</f>
        <v/>
      </c>
      <c r="P655" t="str">
        <f>IF(M655="","",IF(M655="[FÓRMULA MANUAL]","",IFERROR(AVERAGEIFS(nNOTA,nNIA,M655,nCUENTA,1,nASIG,"Música de Cámara"),"")))</f>
        <v/>
      </c>
      <c r="Q655" t="str">
        <f>IF(M655="","",IF(M655="[FÓRMULA MANUAL]","",IFERROR(SUMPRODUCT((nNIA=M655)*(nCUENTA=1)*(COUNTIF(CONFIG_ASIGNATURAS!$B$7:$B$27,nASIG)&gt;0)*(nNOTA))/SUMPRODUCT((nNIA=M655)*(nCUENTA=1)*(COUNTIF(CONFIG_ASIGNATURAS!$B$7:$B$27,nASIG)&gt;0)*1),"")))</f>
        <v/>
      </c>
      <c r="T655" t="str">
        <f>IF(S655="","",IF(S655="[FÓRMULA MANUAL]","",IFERROR(AVERAGEIFS(nNOTA,nNIA,S655,nCUENTA,1,nASIG,"Armonía"),"")))</f>
        <v/>
      </c>
      <c r="U655" t="str">
        <f>IF(S655="","",IF(S655="[FÓRMULA MANUAL]","",IFERROR(AVERAGEIFS(nNOTA,nNIA,S655,nCUENTA,1,nASIG,"Orquesta/Banda/Conjunto"),"")))</f>
        <v/>
      </c>
      <c r="V655" t="str">
        <f>IF(S655="","",IF(S655="[FÓRMULA MANUAL]","",IFERROR(AVERAGEIFS(nNOTA,nNIA,S655,nCUENTA,1,nASIG,"Música de Cámara"),"")))</f>
        <v/>
      </c>
      <c r="W655" t="str">
        <f>IF(S655="","",IF(S655="[FÓRMULA MANUAL]","",IFERROR(SUMPRODUCT((nNIA=S655)*(nCUENTA=1)*(COUNTIF(CONFIG_ASIGNATURAS!$B$7:$B$27,nASIG)&gt;0)*(nNOTA))/SUMPRODUCT((nNIA=S655)*(nCUENTA=1)*(COUNTIF(CONFIG_ASIGNATURAS!$B$7:$B$27,nASIG)&gt;0)*1),"")))</f>
        <v/>
      </c>
      <c r="Z655" t="str">
        <f>IF(Y655="","",IF(Y655="[FÓRMULA MANUAL]","",IFERROR(AVERAGEIFS(nNOTA,nNIA,Y655,nCUENTA,1,nASIG,"Análisis"),"")))</f>
        <v/>
      </c>
      <c r="AA655" t="str">
        <f>IF(Y655="","",IF(Y655="[FÓRMULA MANUAL]","",IFERROR(AVERAGEIFS(nNOTA,nNIA,Y655,nCUENTA,1,nASIG,"Orquesta/Banda/Conjunto"),"")))</f>
        <v/>
      </c>
      <c r="AB655" t="str">
        <f>IF(Y655="","",IF(Y655="[FÓRMULA MANUAL]","",IFERROR(AVERAGEIFS(nNOTA,nNIA,Y655,nCUENTA,1,nASIG,"Música de Cámara"),"")))</f>
        <v/>
      </c>
      <c r="AC655" t="str">
        <f>IF(Y655="","",IF(Y655="[FÓRMULA MANUAL]","",IFERROR(SUMPRODUCT((nNIA=Y655)*(nCUENTA=1)*(COUNTIF(CONFIG_ASIGNATURAS!$B$7:$B$27,nASIG)&gt;0)*(nNOTA))/SUMPRODUCT((nNIA=Y655)*(nCUENTA=1)*(COUNTIF(CONFIG_ASIGNATURAS!$B$7:$B$27,nASIG)&gt;0)*1),"")))</f>
        <v/>
      </c>
      <c r="AF655" t="str">
        <f>IF(AE655="","",IF(AE655="[FÓRMULA MANUAL]","",IFERROR(AVERAGEIFS(nNOTA,nNIA,AE655,nCUENTA,1,nASIG,"Análisis"),"")))</f>
        <v/>
      </c>
      <c r="AG655" t="str">
        <f>IF(AE655="","",IF(AE655="[FÓRMULA MANUAL]","",IFERROR(AVERAGEIFS(nNOTA,nNIA,AE655,nCUENTA,1,nASIG,"Orquesta/Banda/Conjunto"),"")))</f>
        <v/>
      </c>
      <c r="AH655" t="str">
        <f>IF(AE655="","",IF(AE655="[FÓRMULA MANUAL]","",IFERROR(AVERAGEIFS(nNOTA,nNIA,AE655,nCUENTA,1,nASIG,"Música de Cámara"),"")))</f>
        <v/>
      </c>
      <c r="AI655" t="str">
        <f>IF(AE655="","",IF(AE655="[FÓRMULA MANUAL]","",IFERROR(SUMPRODUCT((nNIA=AE655)*(nCUENTA=1)*(COUNTIF(CONFIG_ASIGNATURAS!$B$7:$B$27,nASIG)&gt;0)*(nNOTA))/SUMPRODUCT((nNIA=AE655)*(nCUENTA=1)*(COUNTIF(CONFIG_ASIGNATURAS!$B$7:$B$27,nASIG)&gt;0)*1),"")))</f>
        <v/>
      </c>
    </row>
    <row r="656" spans="2:35" x14ac:dyDescent="0.2">
      <c r="B656" t="str">
        <f>IF(A656="","",IF(A656="[FÓRMULA MANUAL]","",IFERROR(AVERAGEIFS(nNOTA,nNIA,A656,nCUENTA,1,nASIG,"Lenguaje Musical"),"")))</f>
        <v/>
      </c>
      <c r="C656" t="str">
        <f>IF(A656="","",IF(A656="[FÓRMULA MANUAL]","",IFERROR(AVERAGEIFS(nNOTA,nNIA,A656,nCUENTA,1,nASIG,"Orquesta/Banda/Conjunto"),"")))</f>
        <v/>
      </c>
      <c r="D656" t="str">
        <f>IF(A656="","",IF(A656="[FÓRMULA MANUAL]","",IFERROR(AVERAGEIFS(nNOTA,nNIA,A656,nCUENTA,1,nASIG,"Conjunto"),"")))</f>
        <v/>
      </c>
      <c r="E656" t="str">
        <f>IF(A656="","",IF(A656="[FÓRMULA MANUAL]","",IFERROR(SUMPRODUCT((nNIA=A656)*(nCUENTA=1)*(COUNTIF(CONFIG_ASIGNATURAS!$B$7:$B$27,nASIG)&gt;0)*(nNOTA))/SUMPRODUCT((nNIA=A656)*(nCUENTA=1)*(COUNTIF(CONFIG_ASIGNATURAS!$B$7:$B$27,nASIG)&gt;0)*1),"")))</f>
        <v/>
      </c>
      <c r="H656" t="str">
        <f>IF(G656="","",IF(G656="[FÓRMULA MANUAL]","",IFERROR(AVERAGEIFS(nNOTA,nNIA,G656,nCUENTA,1,nASIG,"Lenguaje Musical"),"")))</f>
        <v/>
      </c>
      <c r="I656" t="str">
        <f>IF(G656="","",IF(G656="[FÓRMULA MANUAL]","",IFERROR(AVERAGEIFS(nNOTA,nNIA,G656,nCUENTA,1,nASIG,"Orquesta/Banda/Conjunto"),"")))</f>
        <v/>
      </c>
      <c r="J656" t="str">
        <f>IF(G656="","",IF(G656="[FÓRMULA MANUAL]","",IFERROR(AVERAGEIFS(nNOTA,nNIA,G656,nCUENTA,1,nASIG,"Conjunto"),"")))</f>
        <v/>
      </c>
      <c r="K656" t="str">
        <f>IF(G656="","",IF(G656="[FÓRMULA MANUAL]","",IFERROR(SUMPRODUCT((nNIA=G656)*(nCUENTA=1)*(COUNTIF(CONFIG_ASIGNATURAS!$B$7:$B$27,nASIG)&gt;0)*(nNOTA))/SUMPRODUCT((nNIA=G656)*(nCUENTA=1)*(COUNTIF(CONFIG_ASIGNATURAS!$B$7:$B$27,nASIG)&gt;0)*1),"")))</f>
        <v/>
      </c>
      <c r="N656" t="str">
        <f>IF(M656="","",IF(M656="[FÓRMULA MANUAL]","",IFERROR(AVERAGEIFS(nNOTA,nNIA,M656,nCUENTA,1,nASIG,"Armonía"),"")))</f>
        <v/>
      </c>
      <c r="O656" t="str">
        <f>IF(M656="","",IF(M656="[FÓRMULA MANUAL]","",IFERROR(AVERAGEIFS(nNOTA,nNIA,M656,nCUENTA,1,nASIG,"Orquesta/Banda/Conjunto"),"")))</f>
        <v/>
      </c>
      <c r="P656" t="str">
        <f>IF(M656="","",IF(M656="[FÓRMULA MANUAL]","",IFERROR(AVERAGEIFS(nNOTA,nNIA,M656,nCUENTA,1,nASIG,"Música de Cámara"),"")))</f>
        <v/>
      </c>
      <c r="Q656" t="str">
        <f>IF(M656="","",IF(M656="[FÓRMULA MANUAL]","",IFERROR(SUMPRODUCT((nNIA=M656)*(nCUENTA=1)*(COUNTIF(CONFIG_ASIGNATURAS!$B$7:$B$27,nASIG)&gt;0)*(nNOTA))/SUMPRODUCT((nNIA=M656)*(nCUENTA=1)*(COUNTIF(CONFIG_ASIGNATURAS!$B$7:$B$27,nASIG)&gt;0)*1),"")))</f>
        <v/>
      </c>
      <c r="T656" t="str">
        <f>IF(S656="","",IF(S656="[FÓRMULA MANUAL]","",IFERROR(AVERAGEIFS(nNOTA,nNIA,S656,nCUENTA,1,nASIG,"Armonía"),"")))</f>
        <v/>
      </c>
      <c r="U656" t="str">
        <f>IF(S656="","",IF(S656="[FÓRMULA MANUAL]","",IFERROR(AVERAGEIFS(nNOTA,nNIA,S656,nCUENTA,1,nASIG,"Orquesta/Banda/Conjunto"),"")))</f>
        <v/>
      </c>
      <c r="V656" t="str">
        <f>IF(S656="","",IF(S656="[FÓRMULA MANUAL]","",IFERROR(AVERAGEIFS(nNOTA,nNIA,S656,nCUENTA,1,nASIG,"Música de Cámara"),"")))</f>
        <v/>
      </c>
      <c r="W656" t="str">
        <f>IF(S656="","",IF(S656="[FÓRMULA MANUAL]","",IFERROR(SUMPRODUCT((nNIA=S656)*(nCUENTA=1)*(COUNTIF(CONFIG_ASIGNATURAS!$B$7:$B$27,nASIG)&gt;0)*(nNOTA))/SUMPRODUCT((nNIA=S656)*(nCUENTA=1)*(COUNTIF(CONFIG_ASIGNATURAS!$B$7:$B$27,nASIG)&gt;0)*1),"")))</f>
        <v/>
      </c>
      <c r="Z656" t="str">
        <f>IF(Y656="","",IF(Y656="[FÓRMULA MANUAL]","",IFERROR(AVERAGEIFS(nNOTA,nNIA,Y656,nCUENTA,1,nASIG,"Análisis"),"")))</f>
        <v/>
      </c>
      <c r="AA656" t="str">
        <f>IF(Y656="","",IF(Y656="[FÓRMULA MANUAL]","",IFERROR(AVERAGEIFS(nNOTA,nNIA,Y656,nCUENTA,1,nASIG,"Orquesta/Banda/Conjunto"),"")))</f>
        <v/>
      </c>
      <c r="AB656" t="str">
        <f>IF(Y656="","",IF(Y656="[FÓRMULA MANUAL]","",IFERROR(AVERAGEIFS(nNOTA,nNIA,Y656,nCUENTA,1,nASIG,"Música de Cámara"),"")))</f>
        <v/>
      </c>
      <c r="AC656" t="str">
        <f>IF(Y656="","",IF(Y656="[FÓRMULA MANUAL]","",IFERROR(SUMPRODUCT((nNIA=Y656)*(nCUENTA=1)*(COUNTIF(CONFIG_ASIGNATURAS!$B$7:$B$27,nASIG)&gt;0)*(nNOTA))/SUMPRODUCT((nNIA=Y656)*(nCUENTA=1)*(COUNTIF(CONFIG_ASIGNATURAS!$B$7:$B$27,nASIG)&gt;0)*1),"")))</f>
        <v/>
      </c>
      <c r="AF656" t="str">
        <f>IF(AE656="","",IF(AE656="[FÓRMULA MANUAL]","",IFERROR(AVERAGEIFS(nNOTA,nNIA,AE656,nCUENTA,1,nASIG,"Análisis"),"")))</f>
        <v/>
      </c>
      <c r="AG656" t="str">
        <f>IF(AE656="","",IF(AE656="[FÓRMULA MANUAL]","",IFERROR(AVERAGEIFS(nNOTA,nNIA,AE656,nCUENTA,1,nASIG,"Orquesta/Banda/Conjunto"),"")))</f>
        <v/>
      </c>
      <c r="AH656" t="str">
        <f>IF(AE656="","",IF(AE656="[FÓRMULA MANUAL]","",IFERROR(AVERAGEIFS(nNOTA,nNIA,AE656,nCUENTA,1,nASIG,"Música de Cámara"),"")))</f>
        <v/>
      </c>
      <c r="AI656" t="str">
        <f>IF(AE656="","",IF(AE656="[FÓRMULA MANUAL]","",IFERROR(SUMPRODUCT((nNIA=AE656)*(nCUENTA=1)*(COUNTIF(CONFIG_ASIGNATURAS!$B$7:$B$27,nASIG)&gt;0)*(nNOTA))/SUMPRODUCT((nNIA=AE656)*(nCUENTA=1)*(COUNTIF(CONFIG_ASIGNATURAS!$B$7:$B$27,nASIG)&gt;0)*1),"")))</f>
        <v/>
      </c>
    </row>
    <row r="657" spans="2:35" x14ac:dyDescent="0.2">
      <c r="B657" t="str">
        <f>IF(A657="","",IF(A657="[FÓRMULA MANUAL]","",IFERROR(AVERAGEIFS(nNOTA,nNIA,A657,nCUENTA,1,nASIG,"Lenguaje Musical"),"")))</f>
        <v/>
      </c>
      <c r="C657" t="str">
        <f>IF(A657="","",IF(A657="[FÓRMULA MANUAL]","",IFERROR(AVERAGEIFS(nNOTA,nNIA,A657,nCUENTA,1,nASIG,"Orquesta/Banda/Conjunto"),"")))</f>
        <v/>
      </c>
      <c r="D657" t="str">
        <f>IF(A657="","",IF(A657="[FÓRMULA MANUAL]","",IFERROR(AVERAGEIFS(nNOTA,nNIA,A657,nCUENTA,1,nASIG,"Conjunto"),"")))</f>
        <v/>
      </c>
      <c r="E657" t="str">
        <f>IF(A657="","",IF(A657="[FÓRMULA MANUAL]","",IFERROR(SUMPRODUCT((nNIA=A657)*(nCUENTA=1)*(COUNTIF(CONFIG_ASIGNATURAS!$B$7:$B$27,nASIG)&gt;0)*(nNOTA))/SUMPRODUCT((nNIA=A657)*(nCUENTA=1)*(COUNTIF(CONFIG_ASIGNATURAS!$B$7:$B$27,nASIG)&gt;0)*1),"")))</f>
        <v/>
      </c>
      <c r="H657" t="str">
        <f>IF(G657="","",IF(G657="[FÓRMULA MANUAL]","",IFERROR(AVERAGEIFS(nNOTA,nNIA,G657,nCUENTA,1,nASIG,"Lenguaje Musical"),"")))</f>
        <v/>
      </c>
      <c r="I657" t="str">
        <f>IF(G657="","",IF(G657="[FÓRMULA MANUAL]","",IFERROR(AVERAGEIFS(nNOTA,nNIA,G657,nCUENTA,1,nASIG,"Orquesta/Banda/Conjunto"),"")))</f>
        <v/>
      </c>
      <c r="J657" t="str">
        <f>IF(G657="","",IF(G657="[FÓRMULA MANUAL]","",IFERROR(AVERAGEIFS(nNOTA,nNIA,G657,nCUENTA,1,nASIG,"Conjunto"),"")))</f>
        <v/>
      </c>
      <c r="K657" t="str">
        <f>IF(G657="","",IF(G657="[FÓRMULA MANUAL]","",IFERROR(SUMPRODUCT((nNIA=G657)*(nCUENTA=1)*(COUNTIF(CONFIG_ASIGNATURAS!$B$7:$B$27,nASIG)&gt;0)*(nNOTA))/SUMPRODUCT((nNIA=G657)*(nCUENTA=1)*(COUNTIF(CONFIG_ASIGNATURAS!$B$7:$B$27,nASIG)&gt;0)*1),"")))</f>
        <v/>
      </c>
      <c r="N657" t="str">
        <f>IF(M657="","",IF(M657="[FÓRMULA MANUAL]","",IFERROR(AVERAGEIFS(nNOTA,nNIA,M657,nCUENTA,1,nASIG,"Armonía"),"")))</f>
        <v/>
      </c>
      <c r="O657" t="str">
        <f>IF(M657="","",IF(M657="[FÓRMULA MANUAL]","",IFERROR(AVERAGEIFS(nNOTA,nNIA,M657,nCUENTA,1,nASIG,"Orquesta/Banda/Conjunto"),"")))</f>
        <v/>
      </c>
      <c r="P657" t="str">
        <f>IF(M657="","",IF(M657="[FÓRMULA MANUAL]","",IFERROR(AVERAGEIFS(nNOTA,nNIA,M657,nCUENTA,1,nASIG,"Música de Cámara"),"")))</f>
        <v/>
      </c>
      <c r="Q657" t="str">
        <f>IF(M657="","",IF(M657="[FÓRMULA MANUAL]","",IFERROR(SUMPRODUCT((nNIA=M657)*(nCUENTA=1)*(COUNTIF(CONFIG_ASIGNATURAS!$B$7:$B$27,nASIG)&gt;0)*(nNOTA))/SUMPRODUCT((nNIA=M657)*(nCUENTA=1)*(COUNTIF(CONFIG_ASIGNATURAS!$B$7:$B$27,nASIG)&gt;0)*1),"")))</f>
        <v/>
      </c>
      <c r="T657" t="str">
        <f>IF(S657="","",IF(S657="[FÓRMULA MANUAL]","",IFERROR(AVERAGEIFS(nNOTA,nNIA,S657,nCUENTA,1,nASIG,"Armonía"),"")))</f>
        <v/>
      </c>
      <c r="U657" t="str">
        <f>IF(S657="","",IF(S657="[FÓRMULA MANUAL]","",IFERROR(AVERAGEIFS(nNOTA,nNIA,S657,nCUENTA,1,nASIG,"Orquesta/Banda/Conjunto"),"")))</f>
        <v/>
      </c>
      <c r="V657" t="str">
        <f>IF(S657="","",IF(S657="[FÓRMULA MANUAL]","",IFERROR(AVERAGEIFS(nNOTA,nNIA,S657,nCUENTA,1,nASIG,"Música de Cámara"),"")))</f>
        <v/>
      </c>
      <c r="W657" t="str">
        <f>IF(S657="","",IF(S657="[FÓRMULA MANUAL]","",IFERROR(SUMPRODUCT((nNIA=S657)*(nCUENTA=1)*(COUNTIF(CONFIG_ASIGNATURAS!$B$7:$B$27,nASIG)&gt;0)*(nNOTA))/SUMPRODUCT((nNIA=S657)*(nCUENTA=1)*(COUNTIF(CONFIG_ASIGNATURAS!$B$7:$B$27,nASIG)&gt;0)*1),"")))</f>
        <v/>
      </c>
      <c r="Z657" t="str">
        <f>IF(Y657="","",IF(Y657="[FÓRMULA MANUAL]","",IFERROR(AVERAGEIFS(nNOTA,nNIA,Y657,nCUENTA,1,nASIG,"Análisis"),"")))</f>
        <v/>
      </c>
      <c r="AA657" t="str">
        <f>IF(Y657="","",IF(Y657="[FÓRMULA MANUAL]","",IFERROR(AVERAGEIFS(nNOTA,nNIA,Y657,nCUENTA,1,nASIG,"Orquesta/Banda/Conjunto"),"")))</f>
        <v/>
      </c>
      <c r="AB657" t="str">
        <f>IF(Y657="","",IF(Y657="[FÓRMULA MANUAL]","",IFERROR(AVERAGEIFS(nNOTA,nNIA,Y657,nCUENTA,1,nASIG,"Música de Cámara"),"")))</f>
        <v/>
      </c>
      <c r="AC657" t="str">
        <f>IF(Y657="","",IF(Y657="[FÓRMULA MANUAL]","",IFERROR(SUMPRODUCT((nNIA=Y657)*(nCUENTA=1)*(COUNTIF(CONFIG_ASIGNATURAS!$B$7:$B$27,nASIG)&gt;0)*(nNOTA))/SUMPRODUCT((nNIA=Y657)*(nCUENTA=1)*(COUNTIF(CONFIG_ASIGNATURAS!$B$7:$B$27,nASIG)&gt;0)*1),"")))</f>
        <v/>
      </c>
      <c r="AF657" t="str">
        <f>IF(AE657="","",IF(AE657="[FÓRMULA MANUAL]","",IFERROR(AVERAGEIFS(nNOTA,nNIA,AE657,nCUENTA,1,nASIG,"Análisis"),"")))</f>
        <v/>
      </c>
      <c r="AG657" t="str">
        <f>IF(AE657="","",IF(AE657="[FÓRMULA MANUAL]","",IFERROR(AVERAGEIFS(nNOTA,nNIA,AE657,nCUENTA,1,nASIG,"Orquesta/Banda/Conjunto"),"")))</f>
        <v/>
      </c>
      <c r="AH657" t="str">
        <f>IF(AE657="","",IF(AE657="[FÓRMULA MANUAL]","",IFERROR(AVERAGEIFS(nNOTA,nNIA,AE657,nCUENTA,1,nASIG,"Música de Cámara"),"")))</f>
        <v/>
      </c>
      <c r="AI657" t="str">
        <f>IF(AE657="","",IF(AE657="[FÓRMULA MANUAL]","",IFERROR(SUMPRODUCT((nNIA=AE657)*(nCUENTA=1)*(COUNTIF(CONFIG_ASIGNATURAS!$B$7:$B$27,nASIG)&gt;0)*(nNOTA))/SUMPRODUCT((nNIA=AE657)*(nCUENTA=1)*(COUNTIF(CONFIG_ASIGNATURAS!$B$7:$B$27,nASIG)&gt;0)*1),"")))</f>
        <v/>
      </c>
    </row>
    <row r="658" spans="2:35" x14ac:dyDescent="0.2">
      <c r="B658" t="str">
        <f>IF(A658="","",IF(A658="[FÓRMULA MANUAL]","",IFERROR(AVERAGEIFS(nNOTA,nNIA,A658,nCUENTA,1,nASIG,"Lenguaje Musical"),"")))</f>
        <v/>
      </c>
      <c r="C658" t="str">
        <f>IF(A658="","",IF(A658="[FÓRMULA MANUAL]","",IFERROR(AVERAGEIFS(nNOTA,nNIA,A658,nCUENTA,1,nASIG,"Orquesta/Banda/Conjunto"),"")))</f>
        <v/>
      </c>
      <c r="D658" t="str">
        <f>IF(A658="","",IF(A658="[FÓRMULA MANUAL]","",IFERROR(AVERAGEIFS(nNOTA,nNIA,A658,nCUENTA,1,nASIG,"Conjunto"),"")))</f>
        <v/>
      </c>
      <c r="E658" t="str">
        <f>IF(A658="","",IF(A658="[FÓRMULA MANUAL]","",IFERROR(SUMPRODUCT((nNIA=A658)*(nCUENTA=1)*(COUNTIF(CONFIG_ASIGNATURAS!$B$7:$B$27,nASIG)&gt;0)*(nNOTA))/SUMPRODUCT((nNIA=A658)*(nCUENTA=1)*(COUNTIF(CONFIG_ASIGNATURAS!$B$7:$B$27,nASIG)&gt;0)*1),"")))</f>
        <v/>
      </c>
      <c r="H658" t="str">
        <f>IF(G658="","",IF(G658="[FÓRMULA MANUAL]","",IFERROR(AVERAGEIFS(nNOTA,nNIA,G658,nCUENTA,1,nASIG,"Lenguaje Musical"),"")))</f>
        <v/>
      </c>
      <c r="I658" t="str">
        <f>IF(G658="","",IF(G658="[FÓRMULA MANUAL]","",IFERROR(AVERAGEIFS(nNOTA,nNIA,G658,nCUENTA,1,nASIG,"Orquesta/Banda/Conjunto"),"")))</f>
        <v/>
      </c>
      <c r="J658" t="str">
        <f>IF(G658="","",IF(G658="[FÓRMULA MANUAL]","",IFERROR(AVERAGEIFS(nNOTA,nNIA,G658,nCUENTA,1,nASIG,"Conjunto"),"")))</f>
        <v/>
      </c>
      <c r="K658" t="str">
        <f>IF(G658="","",IF(G658="[FÓRMULA MANUAL]","",IFERROR(SUMPRODUCT((nNIA=G658)*(nCUENTA=1)*(COUNTIF(CONFIG_ASIGNATURAS!$B$7:$B$27,nASIG)&gt;0)*(nNOTA))/SUMPRODUCT((nNIA=G658)*(nCUENTA=1)*(COUNTIF(CONFIG_ASIGNATURAS!$B$7:$B$27,nASIG)&gt;0)*1),"")))</f>
        <v/>
      </c>
      <c r="N658" t="str">
        <f>IF(M658="","",IF(M658="[FÓRMULA MANUAL]","",IFERROR(AVERAGEIFS(nNOTA,nNIA,M658,nCUENTA,1,nASIG,"Armonía"),"")))</f>
        <v/>
      </c>
      <c r="O658" t="str">
        <f>IF(M658="","",IF(M658="[FÓRMULA MANUAL]","",IFERROR(AVERAGEIFS(nNOTA,nNIA,M658,nCUENTA,1,nASIG,"Orquesta/Banda/Conjunto"),"")))</f>
        <v/>
      </c>
      <c r="P658" t="str">
        <f>IF(M658="","",IF(M658="[FÓRMULA MANUAL]","",IFERROR(AVERAGEIFS(nNOTA,nNIA,M658,nCUENTA,1,nASIG,"Música de Cámara"),"")))</f>
        <v/>
      </c>
      <c r="Q658" t="str">
        <f>IF(M658="","",IF(M658="[FÓRMULA MANUAL]","",IFERROR(SUMPRODUCT((nNIA=M658)*(nCUENTA=1)*(COUNTIF(CONFIG_ASIGNATURAS!$B$7:$B$27,nASIG)&gt;0)*(nNOTA))/SUMPRODUCT((nNIA=M658)*(nCUENTA=1)*(COUNTIF(CONFIG_ASIGNATURAS!$B$7:$B$27,nASIG)&gt;0)*1),"")))</f>
        <v/>
      </c>
      <c r="T658" t="str">
        <f>IF(S658="","",IF(S658="[FÓRMULA MANUAL]","",IFERROR(AVERAGEIFS(nNOTA,nNIA,S658,nCUENTA,1,nASIG,"Armonía"),"")))</f>
        <v/>
      </c>
      <c r="U658" t="str">
        <f>IF(S658="","",IF(S658="[FÓRMULA MANUAL]","",IFERROR(AVERAGEIFS(nNOTA,nNIA,S658,nCUENTA,1,nASIG,"Orquesta/Banda/Conjunto"),"")))</f>
        <v/>
      </c>
      <c r="V658" t="str">
        <f>IF(S658="","",IF(S658="[FÓRMULA MANUAL]","",IFERROR(AVERAGEIFS(nNOTA,nNIA,S658,nCUENTA,1,nASIG,"Música de Cámara"),"")))</f>
        <v/>
      </c>
      <c r="W658" t="str">
        <f>IF(S658="","",IF(S658="[FÓRMULA MANUAL]","",IFERROR(SUMPRODUCT((nNIA=S658)*(nCUENTA=1)*(COUNTIF(CONFIG_ASIGNATURAS!$B$7:$B$27,nASIG)&gt;0)*(nNOTA))/SUMPRODUCT((nNIA=S658)*(nCUENTA=1)*(COUNTIF(CONFIG_ASIGNATURAS!$B$7:$B$27,nASIG)&gt;0)*1),"")))</f>
        <v/>
      </c>
      <c r="Z658" t="str">
        <f>IF(Y658="","",IF(Y658="[FÓRMULA MANUAL]","",IFERROR(AVERAGEIFS(nNOTA,nNIA,Y658,nCUENTA,1,nASIG,"Análisis"),"")))</f>
        <v/>
      </c>
      <c r="AA658" t="str">
        <f>IF(Y658="","",IF(Y658="[FÓRMULA MANUAL]","",IFERROR(AVERAGEIFS(nNOTA,nNIA,Y658,nCUENTA,1,nASIG,"Orquesta/Banda/Conjunto"),"")))</f>
        <v/>
      </c>
      <c r="AB658" t="str">
        <f>IF(Y658="","",IF(Y658="[FÓRMULA MANUAL]","",IFERROR(AVERAGEIFS(nNOTA,nNIA,Y658,nCUENTA,1,nASIG,"Música de Cámara"),"")))</f>
        <v/>
      </c>
      <c r="AC658" t="str">
        <f>IF(Y658="","",IF(Y658="[FÓRMULA MANUAL]","",IFERROR(SUMPRODUCT((nNIA=Y658)*(nCUENTA=1)*(COUNTIF(CONFIG_ASIGNATURAS!$B$7:$B$27,nASIG)&gt;0)*(nNOTA))/SUMPRODUCT((nNIA=Y658)*(nCUENTA=1)*(COUNTIF(CONFIG_ASIGNATURAS!$B$7:$B$27,nASIG)&gt;0)*1),"")))</f>
        <v/>
      </c>
      <c r="AF658" t="str">
        <f>IF(AE658="","",IF(AE658="[FÓRMULA MANUAL]","",IFERROR(AVERAGEIFS(nNOTA,nNIA,AE658,nCUENTA,1,nASIG,"Análisis"),"")))</f>
        <v/>
      </c>
      <c r="AG658" t="str">
        <f>IF(AE658="","",IF(AE658="[FÓRMULA MANUAL]","",IFERROR(AVERAGEIFS(nNOTA,nNIA,AE658,nCUENTA,1,nASIG,"Orquesta/Banda/Conjunto"),"")))</f>
        <v/>
      </c>
      <c r="AH658" t="str">
        <f>IF(AE658="","",IF(AE658="[FÓRMULA MANUAL]","",IFERROR(AVERAGEIFS(nNOTA,nNIA,AE658,nCUENTA,1,nASIG,"Música de Cámara"),"")))</f>
        <v/>
      </c>
      <c r="AI658" t="str">
        <f>IF(AE658="","",IF(AE658="[FÓRMULA MANUAL]","",IFERROR(SUMPRODUCT((nNIA=AE658)*(nCUENTA=1)*(COUNTIF(CONFIG_ASIGNATURAS!$B$7:$B$27,nASIG)&gt;0)*(nNOTA))/SUMPRODUCT((nNIA=AE658)*(nCUENTA=1)*(COUNTIF(CONFIG_ASIGNATURAS!$B$7:$B$27,nASIG)&gt;0)*1),"")))</f>
        <v/>
      </c>
    </row>
    <row r="659" spans="2:35" x14ac:dyDescent="0.2">
      <c r="B659" t="str">
        <f>IF(A659="","",IF(A659="[FÓRMULA MANUAL]","",IFERROR(AVERAGEIFS(nNOTA,nNIA,A659,nCUENTA,1,nASIG,"Lenguaje Musical"),"")))</f>
        <v/>
      </c>
      <c r="C659" t="str">
        <f>IF(A659="","",IF(A659="[FÓRMULA MANUAL]","",IFERROR(AVERAGEIFS(nNOTA,nNIA,A659,nCUENTA,1,nASIG,"Orquesta/Banda/Conjunto"),"")))</f>
        <v/>
      </c>
      <c r="D659" t="str">
        <f>IF(A659="","",IF(A659="[FÓRMULA MANUAL]","",IFERROR(AVERAGEIFS(nNOTA,nNIA,A659,nCUENTA,1,nASIG,"Conjunto"),"")))</f>
        <v/>
      </c>
      <c r="E659" t="str">
        <f>IF(A659="","",IF(A659="[FÓRMULA MANUAL]","",IFERROR(SUMPRODUCT((nNIA=A659)*(nCUENTA=1)*(COUNTIF(CONFIG_ASIGNATURAS!$B$7:$B$27,nASIG)&gt;0)*(nNOTA))/SUMPRODUCT((nNIA=A659)*(nCUENTA=1)*(COUNTIF(CONFIG_ASIGNATURAS!$B$7:$B$27,nASIG)&gt;0)*1),"")))</f>
        <v/>
      </c>
      <c r="H659" t="str">
        <f>IF(G659="","",IF(G659="[FÓRMULA MANUAL]","",IFERROR(AVERAGEIFS(nNOTA,nNIA,G659,nCUENTA,1,nASIG,"Lenguaje Musical"),"")))</f>
        <v/>
      </c>
      <c r="I659" t="str">
        <f>IF(G659="","",IF(G659="[FÓRMULA MANUAL]","",IFERROR(AVERAGEIFS(nNOTA,nNIA,G659,nCUENTA,1,nASIG,"Orquesta/Banda/Conjunto"),"")))</f>
        <v/>
      </c>
      <c r="J659" t="str">
        <f>IF(G659="","",IF(G659="[FÓRMULA MANUAL]","",IFERROR(AVERAGEIFS(nNOTA,nNIA,G659,nCUENTA,1,nASIG,"Conjunto"),"")))</f>
        <v/>
      </c>
      <c r="K659" t="str">
        <f>IF(G659="","",IF(G659="[FÓRMULA MANUAL]","",IFERROR(SUMPRODUCT((nNIA=G659)*(nCUENTA=1)*(COUNTIF(CONFIG_ASIGNATURAS!$B$7:$B$27,nASIG)&gt;0)*(nNOTA))/SUMPRODUCT((nNIA=G659)*(nCUENTA=1)*(COUNTIF(CONFIG_ASIGNATURAS!$B$7:$B$27,nASIG)&gt;0)*1),"")))</f>
        <v/>
      </c>
      <c r="N659" t="str">
        <f>IF(M659="","",IF(M659="[FÓRMULA MANUAL]","",IFERROR(AVERAGEIFS(nNOTA,nNIA,M659,nCUENTA,1,nASIG,"Armonía"),"")))</f>
        <v/>
      </c>
      <c r="O659" t="str">
        <f>IF(M659="","",IF(M659="[FÓRMULA MANUAL]","",IFERROR(AVERAGEIFS(nNOTA,nNIA,M659,nCUENTA,1,nASIG,"Orquesta/Banda/Conjunto"),"")))</f>
        <v/>
      </c>
      <c r="P659" t="str">
        <f>IF(M659="","",IF(M659="[FÓRMULA MANUAL]","",IFERROR(AVERAGEIFS(nNOTA,nNIA,M659,nCUENTA,1,nASIG,"Música de Cámara"),"")))</f>
        <v/>
      </c>
      <c r="Q659" t="str">
        <f>IF(M659="","",IF(M659="[FÓRMULA MANUAL]","",IFERROR(SUMPRODUCT((nNIA=M659)*(nCUENTA=1)*(COUNTIF(CONFIG_ASIGNATURAS!$B$7:$B$27,nASIG)&gt;0)*(nNOTA))/SUMPRODUCT((nNIA=M659)*(nCUENTA=1)*(COUNTIF(CONFIG_ASIGNATURAS!$B$7:$B$27,nASIG)&gt;0)*1),"")))</f>
        <v/>
      </c>
      <c r="T659" t="str">
        <f>IF(S659="","",IF(S659="[FÓRMULA MANUAL]","",IFERROR(AVERAGEIFS(nNOTA,nNIA,S659,nCUENTA,1,nASIG,"Armonía"),"")))</f>
        <v/>
      </c>
      <c r="U659" t="str">
        <f>IF(S659="","",IF(S659="[FÓRMULA MANUAL]","",IFERROR(AVERAGEIFS(nNOTA,nNIA,S659,nCUENTA,1,nASIG,"Orquesta/Banda/Conjunto"),"")))</f>
        <v/>
      </c>
      <c r="V659" t="str">
        <f>IF(S659="","",IF(S659="[FÓRMULA MANUAL]","",IFERROR(AVERAGEIFS(nNOTA,nNIA,S659,nCUENTA,1,nASIG,"Música de Cámara"),"")))</f>
        <v/>
      </c>
      <c r="W659" t="str">
        <f>IF(S659="","",IF(S659="[FÓRMULA MANUAL]","",IFERROR(SUMPRODUCT((nNIA=S659)*(nCUENTA=1)*(COUNTIF(CONFIG_ASIGNATURAS!$B$7:$B$27,nASIG)&gt;0)*(nNOTA))/SUMPRODUCT((nNIA=S659)*(nCUENTA=1)*(COUNTIF(CONFIG_ASIGNATURAS!$B$7:$B$27,nASIG)&gt;0)*1),"")))</f>
        <v/>
      </c>
      <c r="Z659" t="str">
        <f>IF(Y659="","",IF(Y659="[FÓRMULA MANUAL]","",IFERROR(AVERAGEIFS(nNOTA,nNIA,Y659,nCUENTA,1,nASIG,"Análisis"),"")))</f>
        <v/>
      </c>
      <c r="AA659" t="str">
        <f>IF(Y659="","",IF(Y659="[FÓRMULA MANUAL]","",IFERROR(AVERAGEIFS(nNOTA,nNIA,Y659,nCUENTA,1,nASIG,"Orquesta/Banda/Conjunto"),"")))</f>
        <v/>
      </c>
      <c r="AB659" t="str">
        <f>IF(Y659="","",IF(Y659="[FÓRMULA MANUAL]","",IFERROR(AVERAGEIFS(nNOTA,nNIA,Y659,nCUENTA,1,nASIG,"Música de Cámara"),"")))</f>
        <v/>
      </c>
      <c r="AC659" t="str">
        <f>IF(Y659="","",IF(Y659="[FÓRMULA MANUAL]","",IFERROR(SUMPRODUCT((nNIA=Y659)*(nCUENTA=1)*(COUNTIF(CONFIG_ASIGNATURAS!$B$7:$B$27,nASIG)&gt;0)*(nNOTA))/SUMPRODUCT((nNIA=Y659)*(nCUENTA=1)*(COUNTIF(CONFIG_ASIGNATURAS!$B$7:$B$27,nASIG)&gt;0)*1),"")))</f>
        <v/>
      </c>
      <c r="AF659" t="str">
        <f>IF(AE659="","",IF(AE659="[FÓRMULA MANUAL]","",IFERROR(AVERAGEIFS(nNOTA,nNIA,AE659,nCUENTA,1,nASIG,"Análisis"),"")))</f>
        <v/>
      </c>
      <c r="AG659" t="str">
        <f>IF(AE659="","",IF(AE659="[FÓRMULA MANUAL]","",IFERROR(AVERAGEIFS(nNOTA,nNIA,AE659,nCUENTA,1,nASIG,"Orquesta/Banda/Conjunto"),"")))</f>
        <v/>
      </c>
      <c r="AH659" t="str">
        <f>IF(AE659="","",IF(AE659="[FÓRMULA MANUAL]","",IFERROR(AVERAGEIFS(nNOTA,nNIA,AE659,nCUENTA,1,nASIG,"Música de Cámara"),"")))</f>
        <v/>
      </c>
      <c r="AI659" t="str">
        <f>IF(AE659="","",IF(AE659="[FÓRMULA MANUAL]","",IFERROR(SUMPRODUCT((nNIA=AE659)*(nCUENTA=1)*(COUNTIF(CONFIG_ASIGNATURAS!$B$7:$B$27,nASIG)&gt;0)*(nNOTA))/SUMPRODUCT((nNIA=AE659)*(nCUENTA=1)*(COUNTIF(CONFIG_ASIGNATURAS!$B$7:$B$27,nASIG)&gt;0)*1),"")))</f>
        <v/>
      </c>
    </row>
    <row r="660" spans="2:35" x14ac:dyDescent="0.2">
      <c r="B660" t="str">
        <f>IF(A660="","",IF(A660="[FÓRMULA MANUAL]","",IFERROR(AVERAGEIFS(nNOTA,nNIA,A660,nCUENTA,1,nASIG,"Lenguaje Musical"),"")))</f>
        <v/>
      </c>
      <c r="C660" t="str">
        <f>IF(A660="","",IF(A660="[FÓRMULA MANUAL]","",IFERROR(AVERAGEIFS(nNOTA,nNIA,A660,nCUENTA,1,nASIG,"Orquesta/Banda/Conjunto"),"")))</f>
        <v/>
      </c>
      <c r="D660" t="str">
        <f>IF(A660="","",IF(A660="[FÓRMULA MANUAL]","",IFERROR(AVERAGEIFS(nNOTA,nNIA,A660,nCUENTA,1,nASIG,"Conjunto"),"")))</f>
        <v/>
      </c>
      <c r="E660" t="str">
        <f>IF(A660="","",IF(A660="[FÓRMULA MANUAL]","",IFERROR(SUMPRODUCT((nNIA=A660)*(nCUENTA=1)*(COUNTIF(CONFIG_ASIGNATURAS!$B$7:$B$27,nASIG)&gt;0)*(nNOTA))/SUMPRODUCT((nNIA=A660)*(nCUENTA=1)*(COUNTIF(CONFIG_ASIGNATURAS!$B$7:$B$27,nASIG)&gt;0)*1),"")))</f>
        <v/>
      </c>
      <c r="H660" t="str">
        <f>IF(G660="","",IF(G660="[FÓRMULA MANUAL]","",IFERROR(AVERAGEIFS(nNOTA,nNIA,G660,nCUENTA,1,nASIG,"Lenguaje Musical"),"")))</f>
        <v/>
      </c>
      <c r="I660" t="str">
        <f>IF(G660="","",IF(G660="[FÓRMULA MANUAL]","",IFERROR(AVERAGEIFS(nNOTA,nNIA,G660,nCUENTA,1,nASIG,"Orquesta/Banda/Conjunto"),"")))</f>
        <v/>
      </c>
      <c r="J660" t="str">
        <f>IF(G660="","",IF(G660="[FÓRMULA MANUAL]","",IFERROR(AVERAGEIFS(nNOTA,nNIA,G660,nCUENTA,1,nASIG,"Conjunto"),"")))</f>
        <v/>
      </c>
      <c r="K660" t="str">
        <f>IF(G660="","",IF(G660="[FÓRMULA MANUAL]","",IFERROR(SUMPRODUCT((nNIA=G660)*(nCUENTA=1)*(COUNTIF(CONFIG_ASIGNATURAS!$B$7:$B$27,nASIG)&gt;0)*(nNOTA))/SUMPRODUCT((nNIA=G660)*(nCUENTA=1)*(COUNTIF(CONFIG_ASIGNATURAS!$B$7:$B$27,nASIG)&gt;0)*1),"")))</f>
        <v/>
      </c>
      <c r="N660" t="str">
        <f>IF(M660="","",IF(M660="[FÓRMULA MANUAL]","",IFERROR(AVERAGEIFS(nNOTA,nNIA,M660,nCUENTA,1,nASIG,"Armonía"),"")))</f>
        <v/>
      </c>
      <c r="O660" t="str">
        <f>IF(M660="","",IF(M660="[FÓRMULA MANUAL]","",IFERROR(AVERAGEIFS(nNOTA,nNIA,M660,nCUENTA,1,nASIG,"Orquesta/Banda/Conjunto"),"")))</f>
        <v/>
      </c>
      <c r="P660" t="str">
        <f>IF(M660="","",IF(M660="[FÓRMULA MANUAL]","",IFERROR(AVERAGEIFS(nNOTA,nNIA,M660,nCUENTA,1,nASIG,"Música de Cámara"),"")))</f>
        <v/>
      </c>
      <c r="Q660" t="str">
        <f>IF(M660="","",IF(M660="[FÓRMULA MANUAL]","",IFERROR(SUMPRODUCT((nNIA=M660)*(nCUENTA=1)*(COUNTIF(CONFIG_ASIGNATURAS!$B$7:$B$27,nASIG)&gt;0)*(nNOTA))/SUMPRODUCT((nNIA=M660)*(nCUENTA=1)*(COUNTIF(CONFIG_ASIGNATURAS!$B$7:$B$27,nASIG)&gt;0)*1),"")))</f>
        <v/>
      </c>
      <c r="T660" t="str">
        <f>IF(S660="","",IF(S660="[FÓRMULA MANUAL]","",IFERROR(AVERAGEIFS(nNOTA,nNIA,S660,nCUENTA,1,nASIG,"Armonía"),"")))</f>
        <v/>
      </c>
      <c r="U660" t="str">
        <f>IF(S660="","",IF(S660="[FÓRMULA MANUAL]","",IFERROR(AVERAGEIFS(nNOTA,nNIA,S660,nCUENTA,1,nASIG,"Orquesta/Banda/Conjunto"),"")))</f>
        <v/>
      </c>
      <c r="V660" t="str">
        <f>IF(S660="","",IF(S660="[FÓRMULA MANUAL]","",IFERROR(AVERAGEIFS(nNOTA,nNIA,S660,nCUENTA,1,nASIG,"Música de Cámara"),"")))</f>
        <v/>
      </c>
      <c r="W660" t="str">
        <f>IF(S660="","",IF(S660="[FÓRMULA MANUAL]","",IFERROR(SUMPRODUCT((nNIA=S660)*(nCUENTA=1)*(COUNTIF(CONFIG_ASIGNATURAS!$B$7:$B$27,nASIG)&gt;0)*(nNOTA))/SUMPRODUCT((nNIA=S660)*(nCUENTA=1)*(COUNTIF(CONFIG_ASIGNATURAS!$B$7:$B$27,nASIG)&gt;0)*1),"")))</f>
        <v/>
      </c>
      <c r="Z660" t="str">
        <f>IF(Y660="","",IF(Y660="[FÓRMULA MANUAL]","",IFERROR(AVERAGEIFS(nNOTA,nNIA,Y660,nCUENTA,1,nASIG,"Análisis"),"")))</f>
        <v/>
      </c>
      <c r="AA660" t="str">
        <f>IF(Y660="","",IF(Y660="[FÓRMULA MANUAL]","",IFERROR(AVERAGEIFS(nNOTA,nNIA,Y660,nCUENTA,1,nASIG,"Orquesta/Banda/Conjunto"),"")))</f>
        <v/>
      </c>
      <c r="AB660" t="str">
        <f>IF(Y660="","",IF(Y660="[FÓRMULA MANUAL]","",IFERROR(AVERAGEIFS(nNOTA,nNIA,Y660,nCUENTA,1,nASIG,"Música de Cámara"),"")))</f>
        <v/>
      </c>
      <c r="AC660" t="str">
        <f>IF(Y660="","",IF(Y660="[FÓRMULA MANUAL]","",IFERROR(SUMPRODUCT((nNIA=Y660)*(nCUENTA=1)*(COUNTIF(CONFIG_ASIGNATURAS!$B$7:$B$27,nASIG)&gt;0)*(nNOTA))/SUMPRODUCT((nNIA=Y660)*(nCUENTA=1)*(COUNTIF(CONFIG_ASIGNATURAS!$B$7:$B$27,nASIG)&gt;0)*1),"")))</f>
        <v/>
      </c>
      <c r="AF660" t="str">
        <f>IF(AE660="","",IF(AE660="[FÓRMULA MANUAL]","",IFERROR(AVERAGEIFS(nNOTA,nNIA,AE660,nCUENTA,1,nASIG,"Análisis"),"")))</f>
        <v/>
      </c>
      <c r="AG660" t="str">
        <f>IF(AE660="","",IF(AE660="[FÓRMULA MANUAL]","",IFERROR(AVERAGEIFS(nNOTA,nNIA,AE660,nCUENTA,1,nASIG,"Orquesta/Banda/Conjunto"),"")))</f>
        <v/>
      </c>
      <c r="AH660" t="str">
        <f>IF(AE660="","",IF(AE660="[FÓRMULA MANUAL]","",IFERROR(AVERAGEIFS(nNOTA,nNIA,AE660,nCUENTA,1,nASIG,"Música de Cámara"),"")))</f>
        <v/>
      </c>
      <c r="AI660" t="str">
        <f>IF(AE660="","",IF(AE660="[FÓRMULA MANUAL]","",IFERROR(SUMPRODUCT((nNIA=AE660)*(nCUENTA=1)*(COUNTIF(CONFIG_ASIGNATURAS!$B$7:$B$27,nASIG)&gt;0)*(nNOTA))/SUMPRODUCT((nNIA=AE660)*(nCUENTA=1)*(COUNTIF(CONFIG_ASIGNATURAS!$B$7:$B$27,nASIG)&gt;0)*1),"")))</f>
        <v/>
      </c>
    </row>
    <row r="661" spans="2:35" x14ac:dyDescent="0.2">
      <c r="B661" t="str">
        <f>IF(A661="","",IF(A661="[FÓRMULA MANUAL]","",IFERROR(AVERAGEIFS(nNOTA,nNIA,A661,nCUENTA,1,nASIG,"Lenguaje Musical"),"")))</f>
        <v/>
      </c>
      <c r="C661" t="str">
        <f>IF(A661="","",IF(A661="[FÓRMULA MANUAL]","",IFERROR(AVERAGEIFS(nNOTA,nNIA,A661,nCUENTA,1,nASIG,"Orquesta/Banda/Conjunto"),"")))</f>
        <v/>
      </c>
      <c r="D661" t="str">
        <f>IF(A661="","",IF(A661="[FÓRMULA MANUAL]","",IFERROR(AVERAGEIFS(nNOTA,nNIA,A661,nCUENTA,1,nASIG,"Conjunto"),"")))</f>
        <v/>
      </c>
      <c r="E661" t="str">
        <f>IF(A661="","",IF(A661="[FÓRMULA MANUAL]","",IFERROR(SUMPRODUCT((nNIA=A661)*(nCUENTA=1)*(COUNTIF(CONFIG_ASIGNATURAS!$B$7:$B$27,nASIG)&gt;0)*(nNOTA))/SUMPRODUCT((nNIA=A661)*(nCUENTA=1)*(COUNTIF(CONFIG_ASIGNATURAS!$B$7:$B$27,nASIG)&gt;0)*1),"")))</f>
        <v/>
      </c>
      <c r="H661" t="str">
        <f>IF(G661="","",IF(G661="[FÓRMULA MANUAL]","",IFERROR(AVERAGEIFS(nNOTA,nNIA,G661,nCUENTA,1,nASIG,"Lenguaje Musical"),"")))</f>
        <v/>
      </c>
      <c r="I661" t="str">
        <f>IF(G661="","",IF(G661="[FÓRMULA MANUAL]","",IFERROR(AVERAGEIFS(nNOTA,nNIA,G661,nCUENTA,1,nASIG,"Orquesta/Banda/Conjunto"),"")))</f>
        <v/>
      </c>
      <c r="J661" t="str">
        <f>IF(G661="","",IF(G661="[FÓRMULA MANUAL]","",IFERROR(AVERAGEIFS(nNOTA,nNIA,G661,nCUENTA,1,nASIG,"Conjunto"),"")))</f>
        <v/>
      </c>
      <c r="K661" t="str">
        <f>IF(G661="","",IF(G661="[FÓRMULA MANUAL]","",IFERROR(SUMPRODUCT((nNIA=G661)*(nCUENTA=1)*(COUNTIF(CONFIG_ASIGNATURAS!$B$7:$B$27,nASIG)&gt;0)*(nNOTA))/SUMPRODUCT((nNIA=G661)*(nCUENTA=1)*(COUNTIF(CONFIG_ASIGNATURAS!$B$7:$B$27,nASIG)&gt;0)*1),"")))</f>
        <v/>
      </c>
      <c r="N661" t="str">
        <f>IF(M661="","",IF(M661="[FÓRMULA MANUAL]","",IFERROR(AVERAGEIFS(nNOTA,nNIA,M661,nCUENTA,1,nASIG,"Armonía"),"")))</f>
        <v/>
      </c>
      <c r="O661" t="str">
        <f>IF(M661="","",IF(M661="[FÓRMULA MANUAL]","",IFERROR(AVERAGEIFS(nNOTA,nNIA,M661,nCUENTA,1,nASIG,"Orquesta/Banda/Conjunto"),"")))</f>
        <v/>
      </c>
      <c r="P661" t="str">
        <f>IF(M661="","",IF(M661="[FÓRMULA MANUAL]","",IFERROR(AVERAGEIFS(nNOTA,nNIA,M661,nCUENTA,1,nASIG,"Música de Cámara"),"")))</f>
        <v/>
      </c>
      <c r="Q661" t="str">
        <f>IF(M661="","",IF(M661="[FÓRMULA MANUAL]","",IFERROR(SUMPRODUCT((nNIA=M661)*(nCUENTA=1)*(COUNTIF(CONFIG_ASIGNATURAS!$B$7:$B$27,nASIG)&gt;0)*(nNOTA))/SUMPRODUCT((nNIA=M661)*(nCUENTA=1)*(COUNTIF(CONFIG_ASIGNATURAS!$B$7:$B$27,nASIG)&gt;0)*1),"")))</f>
        <v/>
      </c>
      <c r="T661" t="str">
        <f>IF(S661="","",IF(S661="[FÓRMULA MANUAL]","",IFERROR(AVERAGEIFS(nNOTA,nNIA,S661,nCUENTA,1,nASIG,"Armonía"),"")))</f>
        <v/>
      </c>
      <c r="U661" t="str">
        <f>IF(S661="","",IF(S661="[FÓRMULA MANUAL]","",IFERROR(AVERAGEIFS(nNOTA,nNIA,S661,nCUENTA,1,nASIG,"Orquesta/Banda/Conjunto"),"")))</f>
        <v/>
      </c>
      <c r="V661" t="str">
        <f>IF(S661="","",IF(S661="[FÓRMULA MANUAL]","",IFERROR(AVERAGEIFS(nNOTA,nNIA,S661,nCUENTA,1,nASIG,"Música de Cámara"),"")))</f>
        <v/>
      </c>
      <c r="W661" t="str">
        <f>IF(S661="","",IF(S661="[FÓRMULA MANUAL]","",IFERROR(SUMPRODUCT((nNIA=S661)*(nCUENTA=1)*(COUNTIF(CONFIG_ASIGNATURAS!$B$7:$B$27,nASIG)&gt;0)*(nNOTA))/SUMPRODUCT((nNIA=S661)*(nCUENTA=1)*(COUNTIF(CONFIG_ASIGNATURAS!$B$7:$B$27,nASIG)&gt;0)*1),"")))</f>
        <v/>
      </c>
      <c r="Z661" t="str">
        <f>IF(Y661="","",IF(Y661="[FÓRMULA MANUAL]","",IFERROR(AVERAGEIFS(nNOTA,nNIA,Y661,nCUENTA,1,nASIG,"Análisis"),"")))</f>
        <v/>
      </c>
      <c r="AA661" t="str">
        <f>IF(Y661="","",IF(Y661="[FÓRMULA MANUAL]","",IFERROR(AVERAGEIFS(nNOTA,nNIA,Y661,nCUENTA,1,nASIG,"Orquesta/Banda/Conjunto"),"")))</f>
        <v/>
      </c>
      <c r="AB661" t="str">
        <f>IF(Y661="","",IF(Y661="[FÓRMULA MANUAL]","",IFERROR(AVERAGEIFS(nNOTA,nNIA,Y661,nCUENTA,1,nASIG,"Música de Cámara"),"")))</f>
        <v/>
      </c>
      <c r="AC661" t="str">
        <f>IF(Y661="","",IF(Y661="[FÓRMULA MANUAL]","",IFERROR(SUMPRODUCT((nNIA=Y661)*(nCUENTA=1)*(COUNTIF(CONFIG_ASIGNATURAS!$B$7:$B$27,nASIG)&gt;0)*(nNOTA))/SUMPRODUCT((nNIA=Y661)*(nCUENTA=1)*(COUNTIF(CONFIG_ASIGNATURAS!$B$7:$B$27,nASIG)&gt;0)*1),"")))</f>
        <v/>
      </c>
      <c r="AF661" t="str">
        <f>IF(AE661="","",IF(AE661="[FÓRMULA MANUAL]","",IFERROR(AVERAGEIFS(nNOTA,nNIA,AE661,nCUENTA,1,nASIG,"Análisis"),"")))</f>
        <v/>
      </c>
      <c r="AG661" t="str">
        <f>IF(AE661="","",IF(AE661="[FÓRMULA MANUAL]","",IFERROR(AVERAGEIFS(nNOTA,nNIA,AE661,nCUENTA,1,nASIG,"Orquesta/Banda/Conjunto"),"")))</f>
        <v/>
      </c>
      <c r="AH661" t="str">
        <f>IF(AE661="","",IF(AE661="[FÓRMULA MANUAL]","",IFERROR(AVERAGEIFS(nNOTA,nNIA,AE661,nCUENTA,1,nASIG,"Música de Cámara"),"")))</f>
        <v/>
      </c>
      <c r="AI661" t="str">
        <f>IF(AE661="","",IF(AE661="[FÓRMULA MANUAL]","",IFERROR(SUMPRODUCT((nNIA=AE661)*(nCUENTA=1)*(COUNTIF(CONFIG_ASIGNATURAS!$B$7:$B$27,nASIG)&gt;0)*(nNOTA))/SUMPRODUCT((nNIA=AE661)*(nCUENTA=1)*(COUNTIF(CONFIG_ASIGNATURAS!$B$7:$B$27,nASIG)&gt;0)*1),"")))</f>
        <v/>
      </c>
    </row>
    <row r="662" spans="2:35" x14ac:dyDescent="0.2">
      <c r="B662" t="str">
        <f>IF(A662="","",IF(A662="[FÓRMULA MANUAL]","",IFERROR(AVERAGEIFS(nNOTA,nNIA,A662,nCUENTA,1,nASIG,"Lenguaje Musical"),"")))</f>
        <v/>
      </c>
      <c r="C662" t="str">
        <f>IF(A662="","",IF(A662="[FÓRMULA MANUAL]","",IFERROR(AVERAGEIFS(nNOTA,nNIA,A662,nCUENTA,1,nASIG,"Orquesta/Banda/Conjunto"),"")))</f>
        <v/>
      </c>
      <c r="D662" t="str">
        <f>IF(A662="","",IF(A662="[FÓRMULA MANUAL]","",IFERROR(AVERAGEIFS(nNOTA,nNIA,A662,nCUENTA,1,nASIG,"Conjunto"),"")))</f>
        <v/>
      </c>
      <c r="E662" t="str">
        <f>IF(A662="","",IF(A662="[FÓRMULA MANUAL]","",IFERROR(SUMPRODUCT((nNIA=A662)*(nCUENTA=1)*(COUNTIF(CONFIG_ASIGNATURAS!$B$7:$B$27,nASIG)&gt;0)*(nNOTA))/SUMPRODUCT((nNIA=A662)*(nCUENTA=1)*(COUNTIF(CONFIG_ASIGNATURAS!$B$7:$B$27,nASIG)&gt;0)*1),"")))</f>
        <v/>
      </c>
      <c r="H662" t="str">
        <f>IF(G662="","",IF(G662="[FÓRMULA MANUAL]","",IFERROR(AVERAGEIFS(nNOTA,nNIA,G662,nCUENTA,1,nASIG,"Lenguaje Musical"),"")))</f>
        <v/>
      </c>
      <c r="I662" t="str">
        <f>IF(G662="","",IF(G662="[FÓRMULA MANUAL]","",IFERROR(AVERAGEIFS(nNOTA,nNIA,G662,nCUENTA,1,nASIG,"Orquesta/Banda/Conjunto"),"")))</f>
        <v/>
      </c>
      <c r="J662" t="str">
        <f>IF(G662="","",IF(G662="[FÓRMULA MANUAL]","",IFERROR(AVERAGEIFS(nNOTA,nNIA,G662,nCUENTA,1,nASIG,"Conjunto"),"")))</f>
        <v/>
      </c>
      <c r="K662" t="str">
        <f>IF(G662="","",IF(G662="[FÓRMULA MANUAL]","",IFERROR(SUMPRODUCT((nNIA=G662)*(nCUENTA=1)*(COUNTIF(CONFIG_ASIGNATURAS!$B$7:$B$27,nASIG)&gt;0)*(nNOTA))/SUMPRODUCT((nNIA=G662)*(nCUENTA=1)*(COUNTIF(CONFIG_ASIGNATURAS!$B$7:$B$27,nASIG)&gt;0)*1),"")))</f>
        <v/>
      </c>
      <c r="N662" t="str">
        <f>IF(M662="","",IF(M662="[FÓRMULA MANUAL]","",IFERROR(AVERAGEIFS(nNOTA,nNIA,M662,nCUENTA,1,nASIG,"Armonía"),"")))</f>
        <v/>
      </c>
      <c r="O662" t="str">
        <f>IF(M662="","",IF(M662="[FÓRMULA MANUAL]","",IFERROR(AVERAGEIFS(nNOTA,nNIA,M662,nCUENTA,1,nASIG,"Orquesta/Banda/Conjunto"),"")))</f>
        <v/>
      </c>
      <c r="P662" t="str">
        <f>IF(M662="","",IF(M662="[FÓRMULA MANUAL]","",IFERROR(AVERAGEIFS(nNOTA,nNIA,M662,nCUENTA,1,nASIG,"Música de Cámara"),"")))</f>
        <v/>
      </c>
      <c r="Q662" t="str">
        <f>IF(M662="","",IF(M662="[FÓRMULA MANUAL]","",IFERROR(SUMPRODUCT((nNIA=M662)*(nCUENTA=1)*(COUNTIF(CONFIG_ASIGNATURAS!$B$7:$B$27,nASIG)&gt;0)*(nNOTA))/SUMPRODUCT((nNIA=M662)*(nCUENTA=1)*(COUNTIF(CONFIG_ASIGNATURAS!$B$7:$B$27,nASIG)&gt;0)*1),"")))</f>
        <v/>
      </c>
      <c r="T662" t="str">
        <f>IF(S662="","",IF(S662="[FÓRMULA MANUAL]","",IFERROR(AVERAGEIFS(nNOTA,nNIA,S662,nCUENTA,1,nASIG,"Armonía"),"")))</f>
        <v/>
      </c>
      <c r="U662" t="str">
        <f>IF(S662="","",IF(S662="[FÓRMULA MANUAL]","",IFERROR(AVERAGEIFS(nNOTA,nNIA,S662,nCUENTA,1,nASIG,"Orquesta/Banda/Conjunto"),"")))</f>
        <v/>
      </c>
      <c r="V662" t="str">
        <f>IF(S662="","",IF(S662="[FÓRMULA MANUAL]","",IFERROR(AVERAGEIFS(nNOTA,nNIA,S662,nCUENTA,1,nASIG,"Música de Cámara"),"")))</f>
        <v/>
      </c>
      <c r="W662" t="str">
        <f>IF(S662="","",IF(S662="[FÓRMULA MANUAL]","",IFERROR(SUMPRODUCT((nNIA=S662)*(nCUENTA=1)*(COUNTIF(CONFIG_ASIGNATURAS!$B$7:$B$27,nASIG)&gt;0)*(nNOTA))/SUMPRODUCT((nNIA=S662)*(nCUENTA=1)*(COUNTIF(CONFIG_ASIGNATURAS!$B$7:$B$27,nASIG)&gt;0)*1),"")))</f>
        <v/>
      </c>
      <c r="Z662" t="str">
        <f>IF(Y662="","",IF(Y662="[FÓRMULA MANUAL]","",IFERROR(AVERAGEIFS(nNOTA,nNIA,Y662,nCUENTA,1,nASIG,"Análisis"),"")))</f>
        <v/>
      </c>
      <c r="AA662" t="str">
        <f>IF(Y662="","",IF(Y662="[FÓRMULA MANUAL]","",IFERROR(AVERAGEIFS(nNOTA,nNIA,Y662,nCUENTA,1,nASIG,"Orquesta/Banda/Conjunto"),"")))</f>
        <v/>
      </c>
      <c r="AB662" t="str">
        <f>IF(Y662="","",IF(Y662="[FÓRMULA MANUAL]","",IFERROR(AVERAGEIFS(nNOTA,nNIA,Y662,nCUENTA,1,nASIG,"Música de Cámara"),"")))</f>
        <v/>
      </c>
      <c r="AC662" t="str">
        <f>IF(Y662="","",IF(Y662="[FÓRMULA MANUAL]","",IFERROR(SUMPRODUCT((nNIA=Y662)*(nCUENTA=1)*(COUNTIF(CONFIG_ASIGNATURAS!$B$7:$B$27,nASIG)&gt;0)*(nNOTA))/SUMPRODUCT((nNIA=Y662)*(nCUENTA=1)*(COUNTIF(CONFIG_ASIGNATURAS!$B$7:$B$27,nASIG)&gt;0)*1),"")))</f>
        <v/>
      </c>
      <c r="AF662" t="str">
        <f>IF(AE662="","",IF(AE662="[FÓRMULA MANUAL]","",IFERROR(AVERAGEIFS(nNOTA,nNIA,AE662,nCUENTA,1,nASIG,"Análisis"),"")))</f>
        <v/>
      </c>
      <c r="AG662" t="str">
        <f>IF(AE662="","",IF(AE662="[FÓRMULA MANUAL]","",IFERROR(AVERAGEIFS(nNOTA,nNIA,AE662,nCUENTA,1,nASIG,"Orquesta/Banda/Conjunto"),"")))</f>
        <v/>
      </c>
      <c r="AH662" t="str">
        <f>IF(AE662="","",IF(AE662="[FÓRMULA MANUAL]","",IFERROR(AVERAGEIFS(nNOTA,nNIA,AE662,nCUENTA,1,nASIG,"Música de Cámara"),"")))</f>
        <v/>
      </c>
      <c r="AI662" t="str">
        <f>IF(AE662="","",IF(AE662="[FÓRMULA MANUAL]","",IFERROR(SUMPRODUCT((nNIA=AE662)*(nCUENTA=1)*(COUNTIF(CONFIG_ASIGNATURAS!$B$7:$B$27,nASIG)&gt;0)*(nNOTA))/SUMPRODUCT((nNIA=AE662)*(nCUENTA=1)*(COUNTIF(CONFIG_ASIGNATURAS!$B$7:$B$27,nASIG)&gt;0)*1),"")))</f>
        <v/>
      </c>
    </row>
    <row r="663" spans="2:35" x14ac:dyDescent="0.2">
      <c r="B663" t="str">
        <f>IF(A663="","",IF(A663="[FÓRMULA MANUAL]","",IFERROR(AVERAGEIFS(nNOTA,nNIA,A663,nCUENTA,1,nASIG,"Lenguaje Musical"),"")))</f>
        <v/>
      </c>
      <c r="C663" t="str">
        <f>IF(A663="","",IF(A663="[FÓRMULA MANUAL]","",IFERROR(AVERAGEIFS(nNOTA,nNIA,A663,nCUENTA,1,nASIG,"Orquesta/Banda/Conjunto"),"")))</f>
        <v/>
      </c>
      <c r="D663" t="str">
        <f>IF(A663="","",IF(A663="[FÓRMULA MANUAL]","",IFERROR(AVERAGEIFS(nNOTA,nNIA,A663,nCUENTA,1,nASIG,"Conjunto"),"")))</f>
        <v/>
      </c>
      <c r="E663" t="str">
        <f>IF(A663="","",IF(A663="[FÓRMULA MANUAL]","",IFERROR(SUMPRODUCT((nNIA=A663)*(nCUENTA=1)*(COUNTIF(CONFIG_ASIGNATURAS!$B$7:$B$27,nASIG)&gt;0)*(nNOTA))/SUMPRODUCT((nNIA=A663)*(nCUENTA=1)*(COUNTIF(CONFIG_ASIGNATURAS!$B$7:$B$27,nASIG)&gt;0)*1),"")))</f>
        <v/>
      </c>
      <c r="H663" t="str">
        <f>IF(G663="","",IF(G663="[FÓRMULA MANUAL]","",IFERROR(AVERAGEIFS(nNOTA,nNIA,G663,nCUENTA,1,nASIG,"Lenguaje Musical"),"")))</f>
        <v/>
      </c>
      <c r="I663" t="str">
        <f>IF(G663="","",IF(G663="[FÓRMULA MANUAL]","",IFERROR(AVERAGEIFS(nNOTA,nNIA,G663,nCUENTA,1,nASIG,"Orquesta/Banda/Conjunto"),"")))</f>
        <v/>
      </c>
      <c r="J663" t="str">
        <f>IF(G663="","",IF(G663="[FÓRMULA MANUAL]","",IFERROR(AVERAGEIFS(nNOTA,nNIA,G663,nCUENTA,1,nASIG,"Conjunto"),"")))</f>
        <v/>
      </c>
      <c r="K663" t="str">
        <f>IF(G663="","",IF(G663="[FÓRMULA MANUAL]","",IFERROR(SUMPRODUCT((nNIA=G663)*(nCUENTA=1)*(COUNTIF(CONFIG_ASIGNATURAS!$B$7:$B$27,nASIG)&gt;0)*(nNOTA))/SUMPRODUCT((nNIA=G663)*(nCUENTA=1)*(COUNTIF(CONFIG_ASIGNATURAS!$B$7:$B$27,nASIG)&gt;0)*1),"")))</f>
        <v/>
      </c>
      <c r="N663" t="str">
        <f>IF(M663="","",IF(M663="[FÓRMULA MANUAL]","",IFERROR(AVERAGEIFS(nNOTA,nNIA,M663,nCUENTA,1,nASIG,"Armonía"),"")))</f>
        <v/>
      </c>
      <c r="O663" t="str">
        <f>IF(M663="","",IF(M663="[FÓRMULA MANUAL]","",IFERROR(AVERAGEIFS(nNOTA,nNIA,M663,nCUENTA,1,nASIG,"Orquesta/Banda/Conjunto"),"")))</f>
        <v/>
      </c>
      <c r="P663" t="str">
        <f>IF(M663="","",IF(M663="[FÓRMULA MANUAL]","",IFERROR(AVERAGEIFS(nNOTA,nNIA,M663,nCUENTA,1,nASIG,"Música de Cámara"),"")))</f>
        <v/>
      </c>
      <c r="Q663" t="str">
        <f>IF(M663="","",IF(M663="[FÓRMULA MANUAL]","",IFERROR(SUMPRODUCT((nNIA=M663)*(nCUENTA=1)*(COUNTIF(CONFIG_ASIGNATURAS!$B$7:$B$27,nASIG)&gt;0)*(nNOTA))/SUMPRODUCT((nNIA=M663)*(nCUENTA=1)*(COUNTIF(CONFIG_ASIGNATURAS!$B$7:$B$27,nASIG)&gt;0)*1),"")))</f>
        <v/>
      </c>
      <c r="T663" t="str">
        <f>IF(S663="","",IF(S663="[FÓRMULA MANUAL]","",IFERROR(AVERAGEIFS(nNOTA,nNIA,S663,nCUENTA,1,nASIG,"Armonía"),"")))</f>
        <v/>
      </c>
      <c r="U663" t="str">
        <f>IF(S663="","",IF(S663="[FÓRMULA MANUAL]","",IFERROR(AVERAGEIFS(nNOTA,nNIA,S663,nCUENTA,1,nASIG,"Orquesta/Banda/Conjunto"),"")))</f>
        <v/>
      </c>
      <c r="V663" t="str">
        <f>IF(S663="","",IF(S663="[FÓRMULA MANUAL]","",IFERROR(AVERAGEIFS(nNOTA,nNIA,S663,nCUENTA,1,nASIG,"Música de Cámara"),"")))</f>
        <v/>
      </c>
      <c r="W663" t="str">
        <f>IF(S663="","",IF(S663="[FÓRMULA MANUAL]","",IFERROR(SUMPRODUCT((nNIA=S663)*(nCUENTA=1)*(COUNTIF(CONFIG_ASIGNATURAS!$B$7:$B$27,nASIG)&gt;0)*(nNOTA))/SUMPRODUCT((nNIA=S663)*(nCUENTA=1)*(COUNTIF(CONFIG_ASIGNATURAS!$B$7:$B$27,nASIG)&gt;0)*1),"")))</f>
        <v/>
      </c>
      <c r="Z663" t="str">
        <f>IF(Y663="","",IF(Y663="[FÓRMULA MANUAL]","",IFERROR(AVERAGEIFS(nNOTA,nNIA,Y663,nCUENTA,1,nASIG,"Análisis"),"")))</f>
        <v/>
      </c>
      <c r="AA663" t="str">
        <f>IF(Y663="","",IF(Y663="[FÓRMULA MANUAL]","",IFERROR(AVERAGEIFS(nNOTA,nNIA,Y663,nCUENTA,1,nASIG,"Orquesta/Banda/Conjunto"),"")))</f>
        <v/>
      </c>
      <c r="AB663" t="str">
        <f>IF(Y663="","",IF(Y663="[FÓRMULA MANUAL]","",IFERROR(AVERAGEIFS(nNOTA,nNIA,Y663,nCUENTA,1,nASIG,"Música de Cámara"),"")))</f>
        <v/>
      </c>
      <c r="AC663" t="str">
        <f>IF(Y663="","",IF(Y663="[FÓRMULA MANUAL]","",IFERROR(SUMPRODUCT((nNIA=Y663)*(nCUENTA=1)*(COUNTIF(CONFIG_ASIGNATURAS!$B$7:$B$27,nASIG)&gt;0)*(nNOTA))/SUMPRODUCT((nNIA=Y663)*(nCUENTA=1)*(COUNTIF(CONFIG_ASIGNATURAS!$B$7:$B$27,nASIG)&gt;0)*1),"")))</f>
        <v/>
      </c>
      <c r="AF663" t="str">
        <f>IF(AE663="","",IF(AE663="[FÓRMULA MANUAL]","",IFERROR(AVERAGEIFS(nNOTA,nNIA,AE663,nCUENTA,1,nASIG,"Análisis"),"")))</f>
        <v/>
      </c>
      <c r="AG663" t="str">
        <f>IF(AE663="","",IF(AE663="[FÓRMULA MANUAL]","",IFERROR(AVERAGEIFS(nNOTA,nNIA,AE663,nCUENTA,1,nASIG,"Orquesta/Banda/Conjunto"),"")))</f>
        <v/>
      </c>
      <c r="AH663" t="str">
        <f>IF(AE663="","",IF(AE663="[FÓRMULA MANUAL]","",IFERROR(AVERAGEIFS(nNOTA,nNIA,AE663,nCUENTA,1,nASIG,"Música de Cámara"),"")))</f>
        <v/>
      </c>
      <c r="AI663" t="str">
        <f>IF(AE663="","",IF(AE663="[FÓRMULA MANUAL]","",IFERROR(SUMPRODUCT((nNIA=AE663)*(nCUENTA=1)*(COUNTIF(CONFIG_ASIGNATURAS!$B$7:$B$27,nASIG)&gt;0)*(nNOTA))/SUMPRODUCT((nNIA=AE663)*(nCUENTA=1)*(COUNTIF(CONFIG_ASIGNATURAS!$B$7:$B$27,nASIG)&gt;0)*1),"")))</f>
        <v/>
      </c>
    </row>
    <row r="664" spans="2:35" x14ac:dyDescent="0.2">
      <c r="B664" t="str">
        <f>IF(A664="","",IF(A664="[FÓRMULA MANUAL]","",IFERROR(AVERAGEIFS(nNOTA,nNIA,A664,nCUENTA,1,nASIG,"Lenguaje Musical"),"")))</f>
        <v/>
      </c>
      <c r="C664" t="str">
        <f>IF(A664="","",IF(A664="[FÓRMULA MANUAL]","",IFERROR(AVERAGEIFS(nNOTA,nNIA,A664,nCUENTA,1,nASIG,"Orquesta/Banda/Conjunto"),"")))</f>
        <v/>
      </c>
      <c r="D664" t="str">
        <f>IF(A664="","",IF(A664="[FÓRMULA MANUAL]","",IFERROR(AVERAGEIFS(nNOTA,nNIA,A664,nCUENTA,1,nASIG,"Conjunto"),"")))</f>
        <v/>
      </c>
      <c r="E664" t="str">
        <f>IF(A664="","",IF(A664="[FÓRMULA MANUAL]","",IFERROR(SUMPRODUCT((nNIA=A664)*(nCUENTA=1)*(COUNTIF(CONFIG_ASIGNATURAS!$B$7:$B$27,nASIG)&gt;0)*(nNOTA))/SUMPRODUCT((nNIA=A664)*(nCUENTA=1)*(COUNTIF(CONFIG_ASIGNATURAS!$B$7:$B$27,nASIG)&gt;0)*1),"")))</f>
        <v/>
      </c>
      <c r="H664" t="str">
        <f>IF(G664="","",IF(G664="[FÓRMULA MANUAL]","",IFERROR(AVERAGEIFS(nNOTA,nNIA,G664,nCUENTA,1,nASIG,"Lenguaje Musical"),"")))</f>
        <v/>
      </c>
      <c r="I664" t="str">
        <f>IF(G664="","",IF(G664="[FÓRMULA MANUAL]","",IFERROR(AVERAGEIFS(nNOTA,nNIA,G664,nCUENTA,1,nASIG,"Orquesta/Banda/Conjunto"),"")))</f>
        <v/>
      </c>
      <c r="J664" t="str">
        <f>IF(G664="","",IF(G664="[FÓRMULA MANUAL]","",IFERROR(AVERAGEIFS(nNOTA,nNIA,G664,nCUENTA,1,nASIG,"Conjunto"),"")))</f>
        <v/>
      </c>
      <c r="K664" t="str">
        <f>IF(G664="","",IF(G664="[FÓRMULA MANUAL]","",IFERROR(SUMPRODUCT((nNIA=G664)*(nCUENTA=1)*(COUNTIF(CONFIG_ASIGNATURAS!$B$7:$B$27,nASIG)&gt;0)*(nNOTA))/SUMPRODUCT((nNIA=G664)*(nCUENTA=1)*(COUNTIF(CONFIG_ASIGNATURAS!$B$7:$B$27,nASIG)&gt;0)*1),"")))</f>
        <v/>
      </c>
      <c r="N664" t="str">
        <f>IF(M664="","",IF(M664="[FÓRMULA MANUAL]","",IFERROR(AVERAGEIFS(nNOTA,nNIA,M664,nCUENTA,1,nASIG,"Armonía"),"")))</f>
        <v/>
      </c>
      <c r="O664" t="str">
        <f>IF(M664="","",IF(M664="[FÓRMULA MANUAL]","",IFERROR(AVERAGEIFS(nNOTA,nNIA,M664,nCUENTA,1,nASIG,"Orquesta/Banda/Conjunto"),"")))</f>
        <v/>
      </c>
      <c r="P664" t="str">
        <f>IF(M664="","",IF(M664="[FÓRMULA MANUAL]","",IFERROR(AVERAGEIFS(nNOTA,nNIA,M664,nCUENTA,1,nASIG,"Música de Cámara"),"")))</f>
        <v/>
      </c>
      <c r="Q664" t="str">
        <f>IF(M664="","",IF(M664="[FÓRMULA MANUAL]","",IFERROR(SUMPRODUCT((nNIA=M664)*(nCUENTA=1)*(COUNTIF(CONFIG_ASIGNATURAS!$B$7:$B$27,nASIG)&gt;0)*(nNOTA))/SUMPRODUCT((nNIA=M664)*(nCUENTA=1)*(COUNTIF(CONFIG_ASIGNATURAS!$B$7:$B$27,nASIG)&gt;0)*1),"")))</f>
        <v/>
      </c>
      <c r="T664" t="str">
        <f>IF(S664="","",IF(S664="[FÓRMULA MANUAL]","",IFERROR(AVERAGEIFS(nNOTA,nNIA,S664,nCUENTA,1,nASIG,"Armonía"),"")))</f>
        <v/>
      </c>
      <c r="U664" t="str">
        <f>IF(S664="","",IF(S664="[FÓRMULA MANUAL]","",IFERROR(AVERAGEIFS(nNOTA,nNIA,S664,nCUENTA,1,nASIG,"Orquesta/Banda/Conjunto"),"")))</f>
        <v/>
      </c>
      <c r="V664" t="str">
        <f>IF(S664="","",IF(S664="[FÓRMULA MANUAL]","",IFERROR(AVERAGEIFS(nNOTA,nNIA,S664,nCUENTA,1,nASIG,"Música de Cámara"),"")))</f>
        <v/>
      </c>
      <c r="W664" t="str">
        <f>IF(S664="","",IF(S664="[FÓRMULA MANUAL]","",IFERROR(SUMPRODUCT((nNIA=S664)*(nCUENTA=1)*(COUNTIF(CONFIG_ASIGNATURAS!$B$7:$B$27,nASIG)&gt;0)*(nNOTA))/SUMPRODUCT((nNIA=S664)*(nCUENTA=1)*(COUNTIF(CONFIG_ASIGNATURAS!$B$7:$B$27,nASIG)&gt;0)*1),"")))</f>
        <v/>
      </c>
      <c r="Z664" t="str">
        <f>IF(Y664="","",IF(Y664="[FÓRMULA MANUAL]","",IFERROR(AVERAGEIFS(nNOTA,nNIA,Y664,nCUENTA,1,nASIG,"Análisis"),"")))</f>
        <v/>
      </c>
      <c r="AA664" t="str">
        <f>IF(Y664="","",IF(Y664="[FÓRMULA MANUAL]","",IFERROR(AVERAGEIFS(nNOTA,nNIA,Y664,nCUENTA,1,nASIG,"Orquesta/Banda/Conjunto"),"")))</f>
        <v/>
      </c>
      <c r="AB664" t="str">
        <f>IF(Y664="","",IF(Y664="[FÓRMULA MANUAL]","",IFERROR(AVERAGEIFS(nNOTA,nNIA,Y664,nCUENTA,1,nASIG,"Música de Cámara"),"")))</f>
        <v/>
      </c>
      <c r="AC664" t="str">
        <f>IF(Y664="","",IF(Y664="[FÓRMULA MANUAL]","",IFERROR(SUMPRODUCT((nNIA=Y664)*(nCUENTA=1)*(COUNTIF(CONFIG_ASIGNATURAS!$B$7:$B$27,nASIG)&gt;0)*(nNOTA))/SUMPRODUCT((nNIA=Y664)*(nCUENTA=1)*(COUNTIF(CONFIG_ASIGNATURAS!$B$7:$B$27,nASIG)&gt;0)*1),"")))</f>
        <v/>
      </c>
      <c r="AF664" t="str">
        <f>IF(AE664="","",IF(AE664="[FÓRMULA MANUAL]","",IFERROR(AVERAGEIFS(nNOTA,nNIA,AE664,nCUENTA,1,nASIG,"Análisis"),"")))</f>
        <v/>
      </c>
      <c r="AG664" t="str">
        <f>IF(AE664="","",IF(AE664="[FÓRMULA MANUAL]","",IFERROR(AVERAGEIFS(nNOTA,nNIA,AE664,nCUENTA,1,nASIG,"Orquesta/Banda/Conjunto"),"")))</f>
        <v/>
      </c>
      <c r="AH664" t="str">
        <f>IF(AE664="","",IF(AE664="[FÓRMULA MANUAL]","",IFERROR(AVERAGEIFS(nNOTA,nNIA,AE664,nCUENTA,1,nASIG,"Música de Cámara"),"")))</f>
        <v/>
      </c>
      <c r="AI664" t="str">
        <f>IF(AE664="","",IF(AE664="[FÓRMULA MANUAL]","",IFERROR(SUMPRODUCT((nNIA=AE664)*(nCUENTA=1)*(COUNTIF(CONFIG_ASIGNATURAS!$B$7:$B$27,nASIG)&gt;0)*(nNOTA))/SUMPRODUCT((nNIA=AE664)*(nCUENTA=1)*(COUNTIF(CONFIG_ASIGNATURAS!$B$7:$B$27,nASIG)&gt;0)*1),"")))</f>
        <v/>
      </c>
    </row>
    <row r="665" spans="2:35" x14ac:dyDescent="0.2">
      <c r="B665" t="str">
        <f>IF(A665="","",IF(A665="[FÓRMULA MANUAL]","",IFERROR(AVERAGEIFS(nNOTA,nNIA,A665,nCUENTA,1,nASIG,"Lenguaje Musical"),"")))</f>
        <v/>
      </c>
      <c r="C665" t="str">
        <f>IF(A665="","",IF(A665="[FÓRMULA MANUAL]","",IFERROR(AVERAGEIFS(nNOTA,nNIA,A665,nCUENTA,1,nASIG,"Orquesta/Banda/Conjunto"),"")))</f>
        <v/>
      </c>
      <c r="D665" t="str">
        <f>IF(A665="","",IF(A665="[FÓRMULA MANUAL]","",IFERROR(AVERAGEIFS(nNOTA,nNIA,A665,nCUENTA,1,nASIG,"Conjunto"),"")))</f>
        <v/>
      </c>
      <c r="E665" t="str">
        <f>IF(A665="","",IF(A665="[FÓRMULA MANUAL]","",IFERROR(SUMPRODUCT((nNIA=A665)*(nCUENTA=1)*(COUNTIF(CONFIG_ASIGNATURAS!$B$7:$B$27,nASIG)&gt;0)*(nNOTA))/SUMPRODUCT((nNIA=A665)*(nCUENTA=1)*(COUNTIF(CONFIG_ASIGNATURAS!$B$7:$B$27,nASIG)&gt;0)*1),"")))</f>
        <v/>
      </c>
      <c r="H665" t="str">
        <f>IF(G665="","",IF(G665="[FÓRMULA MANUAL]","",IFERROR(AVERAGEIFS(nNOTA,nNIA,G665,nCUENTA,1,nASIG,"Lenguaje Musical"),"")))</f>
        <v/>
      </c>
      <c r="I665" t="str">
        <f>IF(G665="","",IF(G665="[FÓRMULA MANUAL]","",IFERROR(AVERAGEIFS(nNOTA,nNIA,G665,nCUENTA,1,nASIG,"Orquesta/Banda/Conjunto"),"")))</f>
        <v/>
      </c>
      <c r="J665" t="str">
        <f>IF(G665="","",IF(G665="[FÓRMULA MANUAL]","",IFERROR(AVERAGEIFS(nNOTA,nNIA,G665,nCUENTA,1,nASIG,"Conjunto"),"")))</f>
        <v/>
      </c>
      <c r="K665" t="str">
        <f>IF(G665="","",IF(G665="[FÓRMULA MANUAL]","",IFERROR(SUMPRODUCT((nNIA=G665)*(nCUENTA=1)*(COUNTIF(CONFIG_ASIGNATURAS!$B$7:$B$27,nASIG)&gt;0)*(nNOTA))/SUMPRODUCT((nNIA=G665)*(nCUENTA=1)*(COUNTIF(CONFIG_ASIGNATURAS!$B$7:$B$27,nASIG)&gt;0)*1),"")))</f>
        <v/>
      </c>
      <c r="N665" t="str">
        <f>IF(M665="","",IF(M665="[FÓRMULA MANUAL]","",IFERROR(AVERAGEIFS(nNOTA,nNIA,M665,nCUENTA,1,nASIG,"Armonía"),"")))</f>
        <v/>
      </c>
      <c r="O665" t="str">
        <f>IF(M665="","",IF(M665="[FÓRMULA MANUAL]","",IFERROR(AVERAGEIFS(nNOTA,nNIA,M665,nCUENTA,1,nASIG,"Orquesta/Banda/Conjunto"),"")))</f>
        <v/>
      </c>
      <c r="P665" t="str">
        <f>IF(M665="","",IF(M665="[FÓRMULA MANUAL]","",IFERROR(AVERAGEIFS(nNOTA,nNIA,M665,nCUENTA,1,nASIG,"Música de Cámara"),"")))</f>
        <v/>
      </c>
      <c r="Q665" t="str">
        <f>IF(M665="","",IF(M665="[FÓRMULA MANUAL]","",IFERROR(SUMPRODUCT((nNIA=M665)*(nCUENTA=1)*(COUNTIF(CONFIG_ASIGNATURAS!$B$7:$B$27,nASIG)&gt;0)*(nNOTA))/SUMPRODUCT((nNIA=M665)*(nCUENTA=1)*(COUNTIF(CONFIG_ASIGNATURAS!$B$7:$B$27,nASIG)&gt;0)*1),"")))</f>
        <v/>
      </c>
      <c r="T665" t="str">
        <f>IF(S665="","",IF(S665="[FÓRMULA MANUAL]","",IFERROR(AVERAGEIFS(nNOTA,nNIA,S665,nCUENTA,1,nASIG,"Armonía"),"")))</f>
        <v/>
      </c>
      <c r="U665" t="str">
        <f>IF(S665="","",IF(S665="[FÓRMULA MANUAL]","",IFERROR(AVERAGEIFS(nNOTA,nNIA,S665,nCUENTA,1,nASIG,"Orquesta/Banda/Conjunto"),"")))</f>
        <v/>
      </c>
      <c r="V665" t="str">
        <f>IF(S665="","",IF(S665="[FÓRMULA MANUAL]","",IFERROR(AVERAGEIFS(nNOTA,nNIA,S665,nCUENTA,1,nASIG,"Música de Cámara"),"")))</f>
        <v/>
      </c>
      <c r="W665" t="str">
        <f>IF(S665="","",IF(S665="[FÓRMULA MANUAL]","",IFERROR(SUMPRODUCT((nNIA=S665)*(nCUENTA=1)*(COUNTIF(CONFIG_ASIGNATURAS!$B$7:$B$27,nASIG)&gt;0)*(nNOTA))/SUMPRODUCT((nNIA=S665)*(nCUENTA=1)*(COUNTIF(CONFIG_ASIGNATURAS!$B$7:$B$27,nASIG)&gt;0)*1),"")))</f>
        <v/>
      </c>
      <c r="Z665" t="str">
        <f>IF(Y665="","",IF(Y665="[FÓRMULA MANUAL]","",IFERROR(AVERAGEIFS(nNOTA,nNIA,Y665,nCUENTA,1,nASIG,"Análisis"),"")))</f>
        <v/>
      </c>
      <c r="AA665" t="str">
        <f>IF(Y665="","",IF(Y665="[FÓRMULA MANUAL]","",IFERROR(AVERAGEIFS(nNOTA,nNIA,Y665,nCUENTA,1,nASIG,"Orquesta/Banda/Conjunto"),"")))</f>
        <v/>
      </c>
      <c r="AB665" t="str">
        <f>IF(Y665="","",IF(Y665="[FÓRMULA MANUAL]","",IFERROR(AVERAGEIFS(nNOTA,nNIA,Y665,nCUENTA,1,nASIG,"Música de Cámara"),"")))</f>
        <v/>
      </c>
      <c r="AC665" t="str">
        <f>IF(Y665="","",IF(Y665="[FÓRMULA MANUAL]","",IFERROR(SUMPRODUCT((nNIA=Y665)*(nCUENTA=1)*(COUNTIF(CONFIG_ASIGNATURAS!$B$7:$B$27,nASIG)&gt;0)*(nNOTA))/SUMPRODUCT((nNIA=Y665)*(nCUENTA=1)*(COUNTIF(CONFIG_ASIGNATURAS!$B$7:$B$27,nASIG)&gt;0)*1),"")))</f>
        <v/>
      </c>
      <c r="AF665" t="str">
        <f>IF(AE665="","",IF(AE665="[FÓRMULA MANUAL]","",IFERROR(AVERAGEIFS(nNOTA,nNIA,AE665,nCUENTA,1,nASIG,"Análisis"),"")))</f>
        <v/>
      </c>
      <c r="AG665" t="str">
        <f>IF(AE665="","",IF(AE665="[FÓRMULA MANUAL]","",IFERROR(AVERAGEIFS(nNOTA,nNIA,AE665,nCUENTA,1,nASIG,"Orquesta/Banda/Conjunto"),"")))</f>
        <v/>
      </c>
      <c r="AH665" t="str">
        <f>IF(AE665="","",IF(AE665="[FÓRMULA MANUAL]","",IFERROR(AVERAGEIFS(nNOTA,nNIA,AE665,nCUENTA,1,nASIG,"Música de Cámara"),"")))</f>
        <v/>
      </c>
      <c r="AI665" t="str">
        <f>IF(AE665="","",IF(AE665="[FÓRMULA MANUAL]","",IFERROR(SUMPRODUCT((nNIA=AE665)*(nCUENTA=1)*(COUNTIF(CONFIG_ASIGNATURAS!$B$7:$B$27,nASIG)&gt;0)*(nNOTA))/SUMPRODUCT((nNIA=AE665)*(nCUENTA=1)*(COUNTIF(CONFIG_ASIGNATURAS!$B$7:$B$27,nASIG)&gt;0)*1),"")))</f>
        <v/>
      </c>
    </row>
    <row r="666" spans="2:35" x14ac:dyDescent="0.2">
      <c r="B666" t="str">
        <f>IF(A666="","",IF(A666="[FÓRMULA MANUAL]","",IFERROR(AVERAGEIFS(nNOTA,nNIA,A666,nCUENTA,1,nASIG,"Lenguaje Musical"),"")))</f>
        <v/>
      </c>
      <c r="C666" t="str">
        <f>IF(A666="","",IF(A666="[FÓRMULA MANUAL]","",IFERROR(AVERAGEIFS(nNOTA,nNIA,A666,nCUENTA,1,nASIG,"Orquesta/Banda/Conjunto"),"")))</f>
        <v/>
      </c>
      <c r="D666" t="str">
        <f>IF(A666="","",IF(A666="[FÓRMULA MANUAL]","",IFERROR(AVERAGEIFS(nNOTA,nNIA,A666,nCUENTA,1,nASIG,"Conjunto"),"")))</f>
        <v/>
      </c>
      <c r="E666" t="str">
        <f>IF(A666="","",IF(A666="[FÓRMULA MANUAL]","",IFERROR(SUMPRODUCT((nNIA=A666)*(nCUENTA=1)*(COUNTIF(CONFIG_ASIGNATURAS!$B$7:$B$27,nASIG)&gt;0)*(nNOTA))/SUMPRODUCT((nNIA=A666)*(nCUENTA=1)*(COUNTIF(CONFIG_ASIGNATURAS!$B$7:$B$27,nASIG)&gt;0)*1),"")))</f>
        <v/>
      </c>
      <c r="H666" t="str">
        <f>IF(G666="","",IF(G666="[FÓRMULA MANUAL]","",IFERROR(AVERAGEIFS(nNOTA,nNIA,G666,nCUENTA,1,nASIG,"Lenguaje Musical"),"")))</f>
        <v/>
      </c>
      <c r="I666" t="str">
        <f>IF(G666="","",IF(G666="[FÓRMULA MANUAL]","",IFERROR(AVERAGEIFS(nNOTA,nNIA,G666,nCUENTA,1,nASIG,"Orquesta/Banda/Conjunto"),"")))</f>
        <v/>
      </c>
      <c r="J666" t="str">
        <f>IF(G666="","",IF(G666="[FÓRMULA MANUAL]","",IFERROR(AVERAGEIFS(nNOTA,nNIA,G666,nCUENTA,1,nASIG,"Conjunto"),"")))</f>
        <v/>
      </c>
      <c r="K666" t="str">
        <f>IF(G666="","",IF(G666="[FÓRMULA MANUAL]","",IFERROR(SUMPRODUCT((nNIA=G666)*(nCUENTA=1)*(COUNTIF(CONFIG_ASIGNATURAS!$B$7:$B$27,nASIG)&gt;0)*(nNOTA))/SUMPRODUCT((nNIA=G666)*(nCUENTA=1)*(COUNTIF(CONFIG_ASIGNATURAS!$B$7:$B$27,nASIG)&gt;0)*1),"")))</f>
        <v/>
      </c>
      <c r="N666" t="str">
        <f>IF(M666="","",IF(M666="[FÓRMULA MANUAL]","",IFERROR(AVERAGEIFS(nNOTA,nNIA,M666,nCUENTA,1,nASIG,"Armonía"),"")))</f>
        <v/>
      </c>
      <c r="O666" t="str">
        <f>IF(M666="","",IF(M666="[FÓRMULA MANUAL]","",IFERROR(AVERAGEIFS(nNOTA,nNIA,M666,nCUENTA,1,nASIG,"Orquesta/Banda/Conjunto"),"")))</f>
        <v/>
      </c>
      <c r="P666" t="str">
        <f>IF(M666="","",IF(M666="[FÓRMULA MANUAL]","",IFERROR(AVERAGEIFS(nNOTA,nNIA,M666,nCUENTA,1,nASIG,"Música de Cámara"),"")))</f>
        <v/>
      </c>
      <c r="Q666" t="str">
        <f>IF(M666="","",IF(M666="[FÓRMULA MANUAL]","",IFERROR(SUMPRODUCT((nNIA=M666)*(nCUENTA=1)*(COUNTIF(CONFIG_ASIGNATURAS!$B$7:$B$27,nASIG)&gt;0)*(nNOTA))/SUMPRODUCT((nNIA=M666)*(nCUENTA=1)*(COUNTIF(CONFIG_ASIGNATURAS!$B$7:$B$27,nASIG)&gt;0)*1),"")))</f>
        <v/>
      </c>
      <c r="T666" t="str">
        <f>IF(S666="","",IF(S666="[FÓRMULA MANUAL]","",IFERROR(AVERAGEIFS(nNOTA,nNIA,S666,nCUENTA,1,nASIG,"Armonía"),"")))</f>
        <v/>
      </c>
      <c r="U666" t="str">
        <f>IF(S666="","",IF(S666="[FÓRMULA MANUAL]","",IFERROR(AVERAGEIFS(nNOTA,nNIA,S666,nCUENTA,1,nASIG,"Orquesta/Banda/Conjunto"),"")))</f>
        <v/>
      </c>
      <c r="V666" t="str">
        <f>IF(S666="","",IF(S666="[FÓRMULA MANUAL]","",IFERROR(AVERAGEIFS(nNOTA,nNIA,S666,nCUENTA,1,nASIG,"Música de Cámara"),"")))</f>
        <v/>
      </c>
      <c r="W666" t="str">
        <f>IF(S666="","",IF(S666="[FÓRMULA MANUAL]","",IFERROR(SUMPRODUCT((nNIA=S666)*(nCUENTA=1)*(COUNTIF(CONFIG_ASIGNATURAS!$B$7:$B$27,nASIG)&gt;0)*(nNOTA))/SUMPRODUCT((nNIA=S666)*(nCUENTA=1)*(COUNTIF(CONFIG_ASIGNATURAS!$B$7:$B$27,nASIG)&gt;0)*1),"")))</f>
        <v/>
      </c>
      <c r="Z666" t="str">
        <f>IF(Y666="","",IF(Y666="[FÓRMULA MANUAL]","",IFERROR(AVERAGEIFS(nNOTA,nNIA,Y666,nCUENTA,1,nASIG,"Análisis"),"")))</f>
        <v/>
      </c>
      <c r="AA666" t="str">
        <f>IF(Y666="","",IF(Y666="[FÓRMULA MANUAL]","",IFERROR(AVERAGEIFS(nNOTA,nNIA,Y666,nCUENTA,1,nASIG,"Orquesta/Banda/Conjunto"),"")))</f>
        <v/>
      </c>
      <c r="AB666" t="str">
        <f>IF(Y666="","",IF(Y666="[FÓRMULA MANUAL]","",IFERROR(AVERAGEIFS(nNOTA,nNIA,Y666,nCUENTA,1,nASIG,"Música de Cámara"),"")))</f>
        <v/>
      </c>
      <c r="AC666" t="str">
        <f>IF(Y666="","",IF(Y666="[FÓRMULA MANUAL]","",IFERROR(SUMPRODUCT((nNIA=Y666)*(nCUENTA=1)*(COUNTIF(CONFIG_ASIGNATURAS!$B$7:$B$27,nASIG)&gt;0)*(nNOTA))/SUMPRODUCT((nNIA=Y666)*(nCUENTA=1)*(COUNTIF(CONFIG_ASIGNATURAS!$B$7:$B$27,nASIG)&gt;0)*1),"")))</f>
        <v/>
      </c>
      <c r="AF666" t="str">
        <f>IF(AE666="","",IF(AE666="[FÓRMULA MANUAL]","",IFERROR(AVERAGEIFS(nNOTA,nNIA,AE666,nCUENTA,1,nASIG,"Análisis"),"")))</f>
        <v/>
      </c>
      <c r="AG666" t="str">
        <f>IF(AE666="","",IF(AE666="[FÓRMULA MANUAL]","",IFERROR(AVERAGEIFS(nNOTA,nNIA,AE666,nCUENTA,1,nASIG,"Orquesta/Banda/Conjunto"),"")))</f>
        <v/>
      </c>
      <c r="AH666" t="str">
        <f>IF(AE666="","",IF(AE666="[FÓRMULA MANUAL]","",IFERROR(AVERAGEIFS(nNOTA,nNIA,AE666,nCUENTA,1,nASIG,"Música de Cámara"),"")))</f>
        <v/>
      </c>
      <c r="AI666" t="str">
        <f>IF(AE666="","",IF(AE666="[FÓRMULA MANUAL]","",IFERROR(SUMPRODUCT((nNIA=AE666)*(nCUENTA=1)*(COUNTIF(CONFIG_ASIGNATURAS!$B$7:$B$27,nASIG)&gt;0)*(nNOTA))/SUMPRODUCT((nNIA=AE666)*(nCUENTA=1)*(COUNTIF(CONFIG_ASIGNATURAS!$B$7:$B$27,nASIG)&gt;0)*1),"")))</f>
        <v/>
      </c>
    </row>
    <row r="667" spans="2:35" x14ac:dyDescent="0.2">
      <c r="B667" t="str">
        <f>IF(A667="","",IF(A667="[FÓRMULA MANUAL]","",IFERROR(AVERAGEIFS(nNOTA,nNIA,A667,nCUENTA,1,nASIG,"Lenguaje Musical"),"")))</f>
        <v/>
      </c>
      <c r="C667" t="str">
        <f>IF(A667="","",IF(A667="[FÓRMULA MANUAL]","",IFERROR(AVERAGEIFS(nNOTA,nNIA,A667,nCUENTA,1,nASIG,"Orquesta/Banda/Conjunto"),"")))</f>
        <v/>
      </c>
      <c r="D667" t="str">
        <f>IF(A667="","",IF(A667="[FÓRMULA MANUAL]","",IFERROR(AVERAGEIFS(nNOTA,nNIA,A667,nCUENTA,1,nASIG,"Conjunto"),"")))</f>
        <v/>
      </c>
      <c r="E667" t="str">
        <f>IF(A667="","",IF(A667="[FÓRMULA MANUAL]","",IFERROR(SUMPRODUCT((nNIA=A667)*(nCUENTA=1)*(COUNTIF(CONFIG_ASIGNATURAS!$B$7:$B$27,nASIG)&gt;0)*(nNOTA))/SUMPRODUCT((nNIA=A667)*(nCUENTA=1)*(COUNTIF(CONFIG_ASIGNATURAS!$B$7:$B$27,nASIG)&gt;0)*1),"")))</f>
        <v/>
      </c>
      <c r="H667" t="str">
        <f>IF(G667="","",IF(G667="[FÓRMULA MANUAL]","",IFERROR(AVERAGEIFS(nNOTA,nNIA,G667,nCUENTA,1,nASIG,"Lenguaje Musical"),"")))</f>
        <v/>
      </c>
      <c r="I667" t="str">
        <f>IF(G667="","",IF(G667="[FÓRMULA MANUAL]","",IFERROR(AVERAGEIFS(nNOTA,nNIA,G667,nCUENTA,1,nASIG,"Orquesta/Banda/Conjunto"),"")))</f>
        <v/>
      </c>
      <c r="J667" t="str">
        <f>IF(G667="","",IF(G667="[FÓRMULA MANUAL]","",IFERROR(AVERAGEIFS(nNOTA,nNIA,G667,nCUENTA,1,nASIG,"Conjunto"),"")))</f>
        <v/>
      </c>
      <c r="K667" t="str">
        <f>IF(G667="","",IF(G667="[FÓRMULA MANUAL]","",IFERROR(SUMPRODUCT((nNIA=G667)*(nCUENTA=1)*(COUNTIF(CONFIG_ASIGNATURAS!$B$7:$B$27,nASIG)&gt;0)*(nNOTA))/SUMPRODUCT((nNIA=G667)*(nCUENTA=1)*(COUNTIF(CONFIG_ASIGNATURAS!$B$7:$B$27,nASIG)&gt;0)*1),"")))</f>
        <v/>
      </c>
      <c r="N667" t="str">
        <f>IF(M667="","",IF(M667="[FÓRMULA MANUAL]","",IFERROR(AVERAGEIFS(nNOTA,nNIA,M667,nCUENTA,1,nASIG,"Armonía"),"")))</f>
        <v/>
      </c>
      <c r="O667" t="str">
        <f>IF(M667="","",IF(M667="[FÓRMULA MANUAL]","",IFERROR(AVERAGEIFS(nNOTA,nNIA,M667,nCUENTA,1,nASIG,"Orquesta/Banda/Conjunto"),"")))</f>
        <v/>
      </c>
      <c r="P667" t="str">
        <f>IF(M667="","",IF(M667="[FÓRMULA MANUAL]","",IFERROR(AVERAGEIFS(nNOTA,nNIA,M667,nCUENTA,1,nASIG,"Música de Cámara"),"")))</f>
        <v/>
      </c>
      <c r="Q667" t="str">
        <f>IF(M667="","",IF(M667="[FÓRMULA MANUAL]","",IFERROR(SUMPRODUCT((nNIA=M667)*(nCUENTA=1)*(COUNTIF(CONFIG_ASIGNATURAS!$B$7:$B$27,nASIG)&gt;0)*(nNOTA))/SUMPRODUCT((nNIA=M667)*(nCUENTA=1)*(COUNTIF(CONFIG_ASIGNATURAS!$B$7:$B$27,nASIG)&gt;0)*1),"")))</f>
        <v/>
      </c>
      <c r="T667" t="str">
        <f>IF(S667="","",IF(S667="[FÓRMULA MANUAL]","",IFERROR(AVERAGEIFS(nNOTA,nNIA,S667,nCUENTA,1,nASIG,"Armonía"),"")))</f>
        <v/>
      </c>
      <c r="U667" t="str">
        <f>IF(S667="","",IF(S667="[FÓRMULA MANUAL]","",IFERROR(AVERAGEIFS(nNOTA,nNIA,S667,nCUENTA,1,nASIG,"Orquesta/Banda/Conjunto"),"")))</f>
        <v/>
      </c>
      <c r="V667" t="str">
        <f>IF(S667="","",IF(S667="[FÓRMULA MANUAL]","",IFERROR(AVERAGEIFS(nNOTA,nNIA,S667,nCUENTA,1,nASIG,"Música de Cámara"),"")))</f>
        <v/>
      </c>
      <c r="W667" t="str">
        <f>IF(S667="","",IF(S667="[FÓRMULA MANUAL]","",IFERROR(SUMPRODUCT((nNIA=S667)*(nCUENTA=1)*(COUNTIF(CONFIG_ASIGNATURAS!$B$7:$B$27,nASIG)&gt;0)*(nNOTA))/SUMPRODUCT((nNIA=S667)*(nCUENTA=1)*(COUNTIF(CONFIG_ASIGNATURAS!$B$7:$B$27,nASIG)&gt;0)*1),"")))</f>
        <v/>
      </c>
      <c r="Z667" t="str">
        <f>IF(Y667="","",IF(Y667="[FÓRMULA MANUAL]","",IFERROR(AVERAGEIFS(nNOTA,nNIA,Y667,nCUENTA,1,nASIG,"Análisis"),"")))</f>
        <v/>
      </c>
      <c r="AA667" t="str">
        <f>IF(Y667="","",IF(Y667="[FÓRMULA MANUAL]","",IFERROR(AVERAGEIFS(nNOTA,nNIA,Y667,nCUENTA,1,nASIG,"Orquesta/Banda/Conjunto"),"")))</f>
        <v/>
      </c>
      <c r="AB667" t="str">
        <f>IF(Y667="","",IF(Y667="[FÓRMULA MANUAL]","",IFERROR(AVERAGEIFS(nNOTA,nNIA,Y667,nCUENTA,1,nASIG,"Música de Cámara"),"")))</f>
        <v/>
      </c>
      <c r="AC667" t="str">
        <f>IF(Y667="","",IF(Y667="[FÓRMULA MANUAL]","",IFERROR(SUMPRODUCT((nNIA=Y667)*(nCUENTA=1)*(COUNTIF(CONFIG_ASIGNATURAS!$B$7:$B$27,nASIG)&gt;0)*(nNOTA))/SUMPRODUCT((nNIA=Y667)*(nCUENTA=1)*(COUNTIF(CONFIG_ASIGNATURAS!$B$7:$B$27,nASIG)&gt;0)*1),"")))</f>
        <v/>
      </c>
      <c r="AF667" t="str">
        <f>IF(AE667="","",IF(AE667="[FÓRMULA MANUAL]","",IFERROR(AVERAGEIFS(nNOTA,nNIA,AE667,nCUENTA,1,nASIG,"Análisis"),"")))</f>
        <v/>
      </c>
      <c r="AG667" t="str">
        <f>IF(AE667="","",IF(AE667="[FÓRMULA MANUAL]","",IFERROR(AVERAGEIFS(nNOTA,nNIA,AE667,nCUENTA,1,nASIG,"Orquesta/Banda/Conjunto"),"")))</f>
        <v/>
      </c>
      <c r="AH667" t="str">
        <f>IF(AE667="","",IF(AE667="[FÓRMULA MANUAL]","",IFERROR(AVERAGEIFS(nNOTA,nNIA,AE667,nCUENTA,1,nASIG,"Música de Cámara"),"")))</f>
        <v/>
      </c>
      <c r="AI667" t="str">
        <f>IF(AE667="","",IF(AE667="[FÓRMULA MANUAL]","",IFERROR(SUMPRODUCT((nNIA=AE667)*(nCUENTA=1)*(COUNTIF(CONFIG_ASIGNATURAS!$B$7:$B$27,nASIG)&gt;0)*(nNOTA))/SUMPRODUCT((nNIA=AE667)*(nCUENTA=1)*(COUNTIF(CONFIG_ASIGNATURAS!$B$7:$B$27,nASIG)&gt;0)*1),"")))</f>
        <v/>
      </c>
    </row>
    <row r="668" spans="2:35" x14ac:dyDescent="0.2">
      <c r="B668" t="str">
        <f>IF(A668="","",IF(A668="[FÓRMULA MANUAL]","",IFERROR(AVERAGEIFS(nNOTA,nNIA,A668,nCUENTA,1,nASIG,"Lenguaje Musical"),"")))</f>
        <v/>
      </c>
      <c r="C668" t="str">
        <f>IF(A668="","",IF(A668="[FÓRMULA MANUAL]","",IFERROR(AVERAGEIFS(nNOTA,nNIA,A668,nCUENTA,1,nASIG,"Orquesta/Banda/Conjunto"),"")))</f>
        <v/>
      </c>
      <c r="D668" t="str">
        <f>IF(A668="","",IF(A668="[FÓRMULA MANUAL]","",IFERROR(AVERAGEIFS(nNOTA,nNIA,A668,nCUENTA,1,nASIG,"Conjunto"),"")))</f>
        <v/>
      </c>
      <c r="E668" t="str">
        <f>IF(A668="","",IF(A668="[FÓRMULA MANUAL]","",IFERROR(SUMPRODUCT((nNIA=A668)*(nCUENTA=1)*(COUNTIF(CONFIG_ASIGNATURAS!$B$7:$B$27,nASIG)&gt;0)*(nNOTA))/SUMPRODUCT((nNIA=A668)*(nCUENTA=1)*(COUNTIF(CONFIG_ASIGNATURAS!$B$7:$B$27,nASIG)&gt;0)*1),"")))</f>
        <v/>
      </c>
      <c r="H668" t="str">
        <f>IF(G668="","",IF(G668="[FÓRMULA MANUAL]","",IFERROR(AVERAGEIFS(nNOTA,nNIA,G668,nCUENTA,1,nASIG,"Lenguaje Musical"),"")))</f>
        <v/>
      </c>
      <c r="I668" t="str">
        <f>IF(G668="","",IF(G668="[FÓRMULA MANUAL]","",IFERROR(AVERAGEIFS(nNOTA,nNIA,G668,nCUENTA,1,nASIG,"Orquesta/Banda/Conjunto"),"")))</f>
        <v/>
      </c>
      <c r="J668" t="str">
        <f>IF(G668="","",IF(G668="[FÓRMULA MANUAL]","",IFERROR(AVERAGEIFS(nNOTA,nNIA,G668,nCUENTA,1,nASIG,"Conjunto"),"")))</f>
        <v/>
      </c>
      <c r="K668" t="str">
        <f>IF(G668="","",IF(G668="[FÓRMULA MANUAL]","",IFERROR(SUMPRODUCT((nNIA=G668)*(nCUENTA=1)*(COUNTIF(CONFIG_ASIGNATURAS!$B$7:$B$27,nASIG)&gt;0)*(nNOTA))/SUMPRODUCT((nNIA=G668)*(nCUENTA=1)*(COUNTIF(CONFIG_ASIGNATURAS!$B$7:$B$27,nASIG)&gt;0)*1),"")))</f>
        <v/>
      </c>
      <c r="N668" t="str">
        <f>IF(M668="","",IF(M668="[FÓRMULA MANUAL]","",IFERROR(AVERAGEIFS(nNOTA,nNIA,M668,nCUENTA,1,nASIG,"Armonía"),"")))</f>
        <v/>
      </c>
      <c r="O668" t="str">
        <f>IF(M668="","",IF(M668="[FÓRMULA MANUAL]","",IFERROR(AVERAGEIFS(nNOTA,nNIA,M668,nCUENTA,1,nASIG,"Orquesta/Banda/Conjunto"),"")))</f>
        <v/>
      </c>
      <c r="P668" t="str">
        <f>IF(M668="","",IF(M668="[FÓRMULA MANUAL]","",IFERROR(AVERAGEIFS(nNOTA,nNIA,M668,nCUENTA,1,nASIG,"Música de Cámara"),"")))</f>
        <v/>
      </c>
      <c r="Q668" t="str">
        <f>IF(M668="","",IF(M668="[FÓRMULA MANUAL]","",IFERROR(SUMPRODUCT((nNIA=M668)*(nCUENTA=1)*(COUNTIF(CONFIG_ASIGNATURAS!$B$7:$B$27,nASIG)&gt;0)*(nNOTA))/SUMPRODUCT((nNIA=M668)*(nCUENTA=1)*(COUNTIF(CONFIG_ASIGNATURAS!$B$7:$B$27,nASIG)&gt;0)*1),"")))</f>
        <v/>
      </c>
      <c r="T668" t="str">
        <f>IF(S668="","",IF(S668="[FÓRMULA MANUAL]","",IFERROR(AVERAGEIFS(nNOTA,nNIA,S668,nCUENTA,1,nASIG,"Armonía"),"")))</f>
        <v/>
      </c>
      <c r="U668" t="str">
        <f>IF(S668="","",IF(S668="[FÓRMULA MANUAL]","",IFERROR(AVERAGEIFS(nNOTA,nNIA,S668,nCUENTA,1,nASIG,"Orquesta/Banda/Conjunto"),"")))</f>
        <v/>
      </c>
      <c r="V668" t="str">
        <f>IF(S668="","",IF(S668="[FÓRMULA MANUAL]","",IFERROR(AVERAGEIFS(nNOTA,nNIA,S668,nCUENTA,1,nASIG,"Música de Cámara"),"")))</f>
        <v/>
      </c>
      <c r="W668" t="str">
        <f>IF(S668="","",IF(S668="[FÓRMULA MANUAL]","",IFERROR(SUMPRODUCT((nNIA=S668)*(nCUENTA=1)*(COUNTIF(CONFIG_ASIGNATURAS!$B$7:$B$27,nASIG)&gt;0)*(nNOTA))/SUMPRODUCT((nNIA=S668)*(nCUENTA=1)*(COUNTIF(CONFIG_ASIGNATURAS!$B$7:$B$27,nASIG)&gt;0)*1),"")))</f>
        <v/>
      </c>
      <c r="Z668" t="str">
        <f>IF(Y668="","",IF(Y668="[FÓRMULA MANUAL]","",IFERROR(AVERAGEIFS(nNOTA,nNIA,Y668,nCUENTA,1,nASIG,"Análisis"),"")))</f>
        <v/>
      </c>
      <c r="AA668" t="str">
        <f>IF(Y668="","",IF(Y668="[FÓRMULA MANUAL]","",IFERROR(AVERAGEIFS(nNOTA,nNIA,Y668,nCUENTA,1,nASIG,"Orquesta/Banda/Conjunto"),"")))</f>
        <v/>
      </c>
      <c r="AB668" t="str">
        <f>IF(Y668="","",IF(Y668="[FÓRMULA MANUAL]","",IFERROR(AVERAGEIFS(nNOTA,nNIA,Y668,nCUENTA,1,nASIG,"Música de Cámara"),"")))</f>
        <v/>
      </c>
      <c r="AC668" t="str">
        <f>IF(Y668="","",IF(Y668="[FÓRMULA MANUAL]","",IFERROR(SUMPRODUCT((nNIA=Y668)*(nCUENTA=1)*(COUNTIF(CONFIG_ASIGNATURAS!$B$7:$B$27,nASIG)&gt;0)*(nNOTA))/SUMPRODUCT((nNIA=Y668)*(nCUENTA=1)*(COUNTIF(CONFIG_ASIGNATURAS!$B$7:$B$27,nASIG)&gt;0)*1),"")))</f>
        <v/>
      </c>
      <c r="AF668" t="str">
        <f>IF(AE668="","",IF(AE668="[FÓRMULA MANUAL]","",IFERROR(AVERAGEIFS(nNOTA,nNIA,AE668,nCUENTA,1,nASIG,"Análisis"),"")))</f>
        <v/>
      </c>
      <c r="AG668" t="str">
        <f>IF(AE668="","",IF(AE668="[FÓRMULA MANUAL]","",IFERROR(AVERAGEIFS(nNOTA,nNIA,AE668,nCUENTA,1,nASIG,"Orquesta/Banda/Conjunto"),"")))</f>
        <v/>
      </c>
      <c r="AH668" t="str">
        <f>IF(AE668="","",IF(AE668="[FÓRMULA MANUAL]","",IFERROR(AVERAGEIFS(nNOTA,nNIA,AE668,nCUENTA,1,nASIG,"Música de Cámara"),"")))</f>
        <v/>
      </c>
      <c r="AI668" t="str">
        <f>IF(AE668="","",IF(AE668="[FÓRMULA MANUAL]","",IFERROR(SUMPRODUCT((nNIA=AE668)*(nCUENTA=1)*(COUNTIF(CONFIG_ASIGNATURAS!$B$7:$B$27,nASIG)&gt;0)*(nNOTA))/SUMPRODUCT((nNIA=AE668)*(nCUENTA=1)*(COUNTIF(CONFIG_ASIGNATURAS!$B$7:$B$27,nASIG)&gt;0)*1),"")))</f>
        <v/>
      </c>
    </row>
    <row r="669" spans="2:35" x14ac:dyDescent="0.2">
      <c r="B669" t="str">
        <f>IF(A669="","",IF(A669="[FÓRMULA MANUAL]","",IFERROR(AVERAGEIFS(nNOTA,nNIA,A669,nCUENTA,1,nASIG,"Lenguaje Musical"),"")))</f>
        <v/>
      </c>
      <c r="C669" t="str">
        <f>IF(A669="","",IF(A669="[FÓRMULA MANUAL]","",IFERROR(AVERAGEIFS(nNOTA,nNIA,A669,nCUENTA,1,nASIG,"Orquesta/Banda/Conjunto"),"")))</f>
        <v/>
      </c>
      <c r="D669" t="str">
        <f>IF(A669="","",IF(A669="[FÓRMULA MANUAL]","",IFERROR(AVERAGEIFS(nNOTA,nNIA,A669,nCUENTA,1,nASIG,"Conjunto"),"")))</f>
        <v/>
      </c>
      <c r="E669" t="str">
        <f>IF(A669="","",IF(A669="[FÓRMULA MANUAL]","",IFERROR(SUMPRODUCT((nNIA=A669)*(nCUENTA=1)*(COUNTIF(CONFIG_ASIGNATURAS!$B$7:$B$27,nASIG)&gt;0)*(nNOTA))/SUMPRODUCT((nNIA=A669)*(nCUENTA=1)*(COUNTIF(CONFIG_ASIGNATURAS!$B$7:$B$27,nASIG)&gt;0)*1),"")))</f>
        <v/>
      </c>
      <c r="H669" t="str">
        <f>IF(G669="","",IF(G669="[FÓRMULA MANUAL]","",IFERROR(AVERAGEIFS(nNOTA,nNIA,G669,nCUENTA,1,nASIG,"Lenguaje Musical"),"")))</f>
        <v/>
      </c>
      <c r="I669" t="str">
        <f>IF(G669="","",IF(G669="[FÓRMULA MANUAL]","",IFERROR(AVERAGEIFS(nNOTA,nNIA,G669,nCUENTA,1,nASIG,"Orquesta/Banda/Conjunto"),"")))</f>
        <v/>
      </c>
      <c r="J669" t="str">
        <f>IF(G669="","",IF(G669="[FÓRMULA MANUAL]","",IFERROR(AVERAGEIFS(nNOTA,nNIA,G669,nCUENTA,1,nASIG,"Conjunto"),"")))</f>
        <v/>
      </c>
      <c r="K669" t="str">
        <f>IF(G669="","",IF(G669="[FÓRMULA MANUAL]","",IFERROR(SUMPRODUCT((nNIA=G669)*(nCUENTA=1)*(COUNTIF(CONFIG_ASIGNATURAS!$B$7:$B$27,nASIG)&gt;0)*(nNOTA))/SUMPRODUCT((nNIA=G669)*(nCUENTA=1)*(COUNTIF(CONFIG_ASIGNATURAS!$B$7:$B$27,nASIG)&gt;0)*1),"")))</f>
        <v/>
      </c>
      <c r="N669" t="str">
        <f>IF(M669="","",IF(M669="[FÓRMULA MANUAL]","",IFERROR(AVERAGEIFS(nNOTA,nNIA,M669,nCUENTA,1,nASIG,"Armonía"),"")))</f>
        <v/>
      </c>
      <c r="O669" t="str">
        <f>IF(M669="","",IF(M669="[FÓRMULA MANUAL]","",IFERROR(AVERAGEIFS(nNOTA,nNIA,M669,nCUENTA,1,nASIG,"Orquesta/Banda/Conjunto"),"")))</f>
        <v/>
      </c>
      <c r="P669" t="str">
        <f>IF(M669="","",IF(M669="[FÓRMULA MANUAL]","",IFERROR(AVERAGEIFS(nNOTA,nNIA,M669,nCUENTA,1,nASIG,"Música de Cámara"),"")))</f>
        <v/>
      </c>
      <c r="Q669" t="str">
        <f>IF(M669="","",IF(M669="[FÓRMULA MANUAL]","",IFERROR(SUMPRODUCT((nNIA=M669)*(nCUENTA=1)*(COUNTIF(CONFIG_ASIGNATURAS!$B$7:$B$27,nASIG)&gt;0)*(nNOTA))/SUMPRODUCT((nNIA=M669)*(nCUENTA=1)*(COUNTIF(CONFIG_ASIGNATURAS!$B$7:$B$27,nASIG)&gt;0)*1),"")))</f>
        <v/>
      </c>
      <c r="T669" t="str">
        <f>IF(S669="","",IF(S669="[FÓRMULA MANUAL]","",IFERROR(AVERAGEIFS(nNOTA,nNIA,S669,nCUENTA,1,nASIG,"Armonía"),"")))</f>
        <v/>
      </c>
      <c r="U669" t="str">
        <f>IF(S669="","",IF(S669="[FÓRMULA MANUAL]","",IFERROR(AVERAGEIFS(nNOTA,nNIA,S669,nCUENTA,1,nASIG,"Orquesta/Banda/Conjunto"),"")))</f>
        <v/>
      </c>
      <c r="V669" t="str">
        <f>IF(S669="","",IF(S669="[FÓRMULA MANUAL]","",IFERROR(AVERAGEIFS(nNOTA,nNIA,S669,nCUENTA,1,nASIG,"Música de Cámara"),"")))</f>
        <v/>
      </c>
      <c r="W669" t="str">
        <f>IF(S669="","",IF(S669="[FÓRMULA MANUAL]","",IFERROR(SUMPRODUCT((nNIA=S669)*(nCUENTA=1)*(COUNTIF(CONFIG_ASIGNATURAS!$B$7:$B$27,nASIG)&gt;0)*(nNOTA))/SUMPRODUCT((nNIA=S669)*(nCUENTA=1)*(COUNTIF(CONFIG_ASIGNATURAS!$B$7:$B$27,nASIG)&gt;0)*1),"")))</f>
        <v/>
      </c>
      <c r="Z669" t="str">
        <f>IF(Y669="","",IF(Y669="[FÓRMULA MANUAL]","",IFERROR(AVERAGEIFS(nNOTA,nNIA,Y669,nCUENTA,1,nASIG,"Análisis"),"")))</f>
        <v/>
      </c>
      <c r="AA669" t="str">
        <f>IF(Y669="","",IF(Y669="[FÓRMULA MANUAL]","",IFERROR(AVERAGEIFS(nNOTA,nNIA,Y669,nCUENTA,1,nASIG,"Orquesta/Banda/Conjunto"),"")))</f>
        <v/>
      </c>
      <c r="AB669" t="str">
        <f>IF(Y669="","",IF(Y669="[FÓRMULA MANUAL]","",IFERROR(AVERAGEIFS(nNOTA,nNIA,Y669,nCUENTA,1,nASIG,"Música de Cámara"),"")))</f>
        <v/>
      </c>
      <c r="AC669" t="str">
        <f>IF(Y669="","",IF(Y669="[FÓRMULA MANUAL]","",IFERROR(SUMPRODUCT((nNIA=Y669)*(nCUENTA=1)*(COUNTIF(CONFIG_ASIGNATURAS!$B$7:$B$27,nASIG)&gt;0)*(nNOTA))/SUMPRODUCT((nNIA=Y669)*(nCUENTA=1)*(COUNTIF(CONFIG_ASIGNATURAS!$B$7:$B$27,nASIG)&gt;0)*1),"")))</f>
        <v/>
      </c>
      <c r="AF669" t="str">
        <f>IF(AE669="","",IF(AE669="[FÓRMULA MANUAL]","",IFERROR(AVERAGEIFS(nNOTA,nNIA,AE669,nCUENTA,1,nASIG,"Análisis"),"")))</f>
        <v/>
      </c>
      <c r="AG669" t="str">
        <f>IF(AE669="","",IF(AE669="[FÓRMULA MANUAL]","",IFERROR(AVERAGEIFS(nNOTA,nNIA,AE669,nCUENTA,1,nASIG,"Orquesta/Banda/Conjunto"),"")))</f>
        <v/>
      </c>
      <c r="AH669" t="str">
        <f>IF(AE669="","",IF(AE669="[FÓRMULA MANUAL]","",IFERROR(AVERAGEIFS(nNOTA,nNIA,AE669,nCUENTA,1,nASIG,"Música de Cámara"),"")))</f>
        <v/>
      </c>
      <c r="AI669" t="str">
        <f>IF(AE669="","",IF(AE669="[FÓRMULA MANUAL]","",IFERROR(SUMPRODUCT((nNIA=AE669)*(nCUENTA=1)*(COUNTIF(CONFIG_ASIGNATURAS!$B$7:$B$27,nASIG)&gt;0)*(nNOTA))/SUMPRODUCT((nNIA=AE669)*(nCUENTA=1)*(COUNTIF(CONFIG_ASIGNATURAS!$B$7:$B$27,nASIG)&gt;0)*1),"")))</f>
        <v/>
      </c>
    </row>
    <row r="670" spans="2:35" x14ac:dyDescent="0.2">
      <c r="B670" t="str">
        <f>IF(A670="","",IF(A670="[FÓRMULA MANUAL]","",IFERROR(AVERAGEIFS(nNOTA,nNIA,A670,nCUENTA,1,nASIG,"Lenguaje Musical"),"")))</f>
        <v/>
      </c>
      <c r="C670" t="str">
        <f>IF(A670="","",IF(A670="[FÓRMULA MANUAL]","",IFERROR(AVERAGEIFS(nNOTA,nNIA,A670,nCUENTA,1,nASIG,"Orquesta/Banda/Conjunto"),"")))</f>
        <v/>
      </c>
      <c r="D670" t="str">
        <f>IF(A670="","",IF(A670="[FÓRMULA MANUAL]","",IFERROR(AVERAGEIFS(nNOTA,nNIA,A670,nCUENTA,1,nASIG,"Conjunto"),"")))</f>
        <v/>
      </c>
      <c r="E670" t="str">
        <f>IF(A670="","",IF(A670="[FÓRMULA MANUAL]","",IFERROR(SUMPRODUCT((nNIA=A670)*(nCUENTA=1)*(COUNTIF(CONFIG_ASIGNATURAS!$B$7:$B$27,nASIG)&gt;0)*(nNOTA))/SUMPRODUCT((nNIA=A670)*(nCUENTA=1)*(COUNTIF(CONFIG_ASIGNATURAS!$B$7:$B$27,nASIG)&gt;0)*1),"")))</f>
        <v/>
      </c>
      <c r="H670" t="str">
        <f>IF(G670="","",IF(G670="[FÓRMULA MANUAL]","",IFERROR(AVERAGEIFS(nNOTA,nNIA,G670,nCUENTA,1,nASIG,"Lenguaje Musical"),"")))</f>
        <v/>
      </c>
      <c r="I670" t="str">
        <f>IF(G670="","",IF(G670="[FÓRMULA MANUAL]","",IFERROR(AVERAGEIFS(nNOTA,nNIA,G670,nCUENTA,1,nASIG,"Orquesta/Banda/Conjunto"),"")))</f>
        <v/>
      </c>
      <c r="J670" t="str">
        <f>IF(G670="","",IF(G670="[FÓRMULA MANUAL]","",IFERROR(AVERAGEIFS(nNOTA,nNIA,G670,nCUENTA,1,nASIG,"Conjunto"),"")))</f>
        <v/>
      </c>
      <c r="K670" t="str">
        <f>IF(G670="","",IF(G670="[FÓRMULA MANUAL]","",IFERROR(SUMPRODUCT((nNIA=G670)*(nCUENTA=1)*(COUNTIF(CONFIG_ASIGNATURAS!$B$7:$B$27,nASIG)&gt;0)*(nNOTA))/SUMPRODUCT((nNIA=G670)*(nCUENTA=1)*(COUNTIF(CONFIG_ASIGNATURAS!$B$7:$B$27,nASIG)&gt;0)*1),"")))</f>
        <v/>
      </c>
      <c r="N670" t="str">
        <f>IF(M670="","",IF(M670="[FÓRMULA MANUAL]","",IFERROR(AVERAGEIFS(nNOTA,nNIA,M670,nCUENTA,1,nASIG,"Armonía"),"")))</f>
        <v/>
      </c>
      <c r="O670" t="str">
        <f>IF(M670="","",IF(M670="[FÓRMULA MANUAL]","",IFERROR(AVERAGEIFS(nNOTA,nNIA,M670,nCUENTA,1,nASIG,"Orquesta/Banda/Conjunto"),"")))</f>
        <v/>
      </c>
      <c r="P670" t="str">
        <f>IF(M670="","",IF(M670="[FÓRMULA MANUAL]","",IFERROR(AVERAGEIFS(nNOTA,nNIA,M670,nCUENTA,1,nASIG,"Música de Cámara"),"")))</f>
        <v/>
      </c>
      <c r="Q670" t="str">
        <f>IF(M670="","",IF(M670="[FÓRMULA MANUAL]","",IFERROR(SUMPRODUCT((nNIA=M670)*(nCUENTA=1)*(COUNTIF(CONFIG_ASIGNATURAS!$B$7:$B$27,nASIG)&gt;0)*(nNOTA))/SUMPRODUCT((nNIA=M670)*(nCUENTA=1)*(COUNTIF(CONFIG_ASIGNATURAS!$B$7:$B$27,nASIG)&gt;0)*1),"")))</f>
        <v/>
      </c>
      <c r="T670" t="str">
        <f>IF(S670="","",IF(S670="[FÓRMULA MANUAL]","",IFERROR(AVERAGEIFS(nNOTA,nNIA,S670,nCUENTA,1,nASIG,"Armonía"),"")))</f>
        <v/>
      </c>
      <c r="U670" t="str">
        <f>IF(S670="","",IF(S670="[FÓRMULA MANUAL]","",IFERROR(AVERAGEIFS(nNOTA,nNIA,S670,nCUENTA,1,nASIG,"Orquesta/Banda/Conjunto"),"")))</f>
        <v/>
      </c>
      <c r="V670" t="str">
        <f>IF(S670="","",IF(S670="[FÓRMULA MANUAL]","",IFERROR(AVERAGEIFS(nNOTA,nNIA,S670,nCUENTA,1,nASIG,"Música de Cámara"),"")))</f>
        <v/>
      </c>
      <c r="W670" t="str">
        <f>IF(S670="","",IF(S670="[FÓRMULA MANUAL]","",IFERROR(SUMPRODUCT((nNIA=S670)*(nCUENTA=1)*(COUNTIF(CONFIG_ASIGNATURAS!$B$7:$B$27,nASIG)&gt;0)*(nNOTA))/SUMPRODUCT((nNIA=S670)*(nCUENTA=1)*(COUNTIF(CONFIG_ASIGNATURAS!$B$7:$B$27,nASIG)&gt;0)*1),"")))</f>
        <v/>
      </c>
      <c r="Z670" t="str">
        <f>IF(Y670="","",IF(Y670="[FÓRMULA MANUAL]","",IFERROR(AVERAGEIFS(nNOTA,nNIA,Y670,nCUENTA,1,nASIG,"Análisis"),"")))</f>
        <v/>
      </c>
      <c r="AA670" t="str">
        <f>IF(Y670="","",IF(Y670="[FÓRMULA MANUAL]","",IFERROR(AVERAGEIFS(nNOTA,nNIA,Y670,nCUENTA,1,nASIG,"Orquesta/Banda/Conjunto"),"")))</f>
        <v/>
      </c>
      <c r="AB670" t="str">
        <f>IF(Y670="","",IF(Y670="[FÓRMULA MANUAL]","",IFERROR(AVERAGEIFS(nNOTA,nNIA,Y670,nCUENTA,1,nASIG,"Música de Cámara"),"")))</f>
        <v/>
      </c>
      <c r="AC670" t="str">
        <f>IF(Y670="","",IF(Y670="[FÓRMULA MANUAL]","",IFERROR(SUMPRODUCT((nNIA=Y670)*(nCUENTA=1)*(COUNTIF(CONFIG_ASIGNATURAS!$B$7:$B$27,nASIG)&gt;0)*(nNOTA))/SUMPRODUCT((nNIA=Y670)*(nCUENTA=1)*(COUNTIF(CONFIG_ASIGNATURAS!$B$7:$B$27,nASIG)&gt;0)*1),"")))</f>
        <v/>
      </c>
      <c r="AF670" t="str">
        <f>IF(AE670="","",IF(AE670="[FÓRMULA MANUAL]","",IFERROR(AVERAGEIFS(nNOTA,nNIA,AE670,nCUENTA,1,nASIG,"Análisis"),"")))</f>
        <v/>
      </c>
      <c r="AG670" t="str">
        <f>IF(AE670="","",IF(AE670="[FÓRMULA MANUAL]","",IFERROR(AVERAGEIFS(nNOTA,nNIA,AE670,nCUENTA,1,nASIG,"Orquesta/Banda/Conjunto"),"")))</f>
        <v/>
      </c>
      <c r="AH670" t="str">
        <f>IF(AE670="","",IF(AE670="[FÓRMULA MANUAL]","",IFERROR(AVERAGEIFS(nNOTA,nNIA,AE670,nCUENTA,1,nASIG,"Música de Cámara"),"")))</f>
        <v/>
      </c>
      <c r="AI670" t="str">
        <f>IF(AE670="","",IF(AE670="[FÓRMULA MANUAL]","",IFERROR(SUMPRODUCT((nNIA=AE670)*(nCUENTA=1)*(COUNTIF(CONFIG_ASIGNATURAS!$B$7:$B$27,nASIG)&gt;0)*(nNOTA))/SUMPRODUCT((nNIA=AE670)*(nCUENTA=1)*(COUNTIF(CONFIG_ASIGNATURAS!$B$7:$B$27,nASIG)&gt;0)*1),"")))</f>
        <v/>
      </c>
    </row>
    <row r="671" spans="2:35" x14ac:dyDescent="0.2">
      <c r="B671" t="str">
        <f>IF(A671="","",IF(A671="[FÓRMULA MANUAL]","",IFERROR(AVERAGEIFS(nNOTA,nNIA,A671,nCUENTA,1,nASIG,"Lenguaje Musical"),"")))</f>
        <v/>
      </c>
      <c r="C671" t="str">
        <f>IF(A671="","",IF(A671="[FÓRMULA MANUAL]","",IFERROR(AVERAGEIFS(nNOTA,nNIA,A671,nCUENTA,1,nASIG,"Orquesta/Banda/Conjunto"),"")))</f>
        <v/>
      </c>
      <c r="D671" t="str">
        <f>IF(A671="","",IF(A671="[FÓRMULA MANUAL]","",IFERROR(AVERAGEIFS(nNOTA,nNIA,A671,nCUENTA,1,nASIG,"Conjunto"),"")))</f>
        <v/>
      </c>
      <c r="E671" t="str">
        <f>IF(A671="","",IF(A671="[FÓRMULA MANUAL]","",IFERROR(SUMPRODUCT((nNIA=A671)*(nCUENTA=1)*(COUNTIF(CONFIG_ASIGNATURAS!$B$7:$B$27,nASIG)&gt;0)*(nNOTA))/SUMPRODUCT((nNIA=A671)*(nCUENTA=1)*(COUNTIF(CONFIG_ASIGNATURAS!$B$7:$B$27,nASIG)&gt;0)*1),"")))</f>
        <v/>
      </c>
      <c r="H671" t="str">
        <f>IF(G671="","",IF(G671="[FÓRMULA MANUAL]","",IFERROR(AVERAGEIFS(nNOTA,nNIA,G671,nCUENTA,1,nASIG,"Lenguaje Musical"),"")))</f>
        <v/>
      </c>
      <c r="I671" t="str">
        <f>IF(G671="","",IF(G671="[FÓRMULA MANUAL]","",IFERROR(AVERAGEIFS(nNOTA,nNIA,G671,nCUENTA,1,nASIG,"Orquesta/Banda/Conjunto"),"")))</f>
        <v/>
      </c>
      <c r="J671" t="str">
        <f>IF(G671="","",IF(G671="[FÓRMULA MANUAL]","",IFERROR(AVERAGEIFS(nNOTA,nNIA,G671,nCUENTA,1,nASIG,"Conjunto"),"")))</f>
        <v/>
      </c>
      <c r="K671" t="str">
        <f>IF(G671="","",IF(G671="[FÓRMULA MANUAL]","",IFERROR(SUMPRODUCT((nNIA=G671)*(nCUENTA=1)*(COUNTIF(CONFIG_ASIGNATURAS!$B$7:$B$27,nASIG)&gt;0)*(nNOTA))/SUMPRODUCT((nNIA=G671)*(nCUENTA=1)*(COUNTIF(CONFIG_ASIGNATURAS!$B$7:$B$27,nASIG)&gt;0)*1),"")))</f>
        <v/>
      </c>
      <c r="N671" t="str">
        <f>IF(M671="","",IF(M671="[FÓRMULA MANUAL]","",IFERROR(AVERAGEIFS(nNOTA,nNIA,M671,nCUENTA,1,nASIG,"Armonía"),"")))</f>
        <v/>
      </c>
      <c r="O671" t="str">
        <f>IF(M671="","",IF(M671="[FÓRMULA MANUAL]","",IFERROR(AVERAGEIFS(nNOTA,nNIA,M671,nCUENTA,1,nASIG,"Orquesta/Banda/Conjunto"),"")))</f>
        <v/>
      </c>
      <c r="P671" t="str">
        <f>IF(M671="","",IF(M671="[FÓRMULA MANUAL]","",IFERROR(AVERAGEIFS(nNOTA,nNIA,M671,nCUENTA,1,nASIG,"Música de Cámara"),"")))</f>
        <v/>
      </c>
      <c r="Q671" t="str">
        <f>IF(M671="","",IF(M671="[FÓRMULA MANUAL]","",IFERROR(SUMPRODUCT((nNIA=M671)*(nCUENTA=1)*(COUNTIF(CONFIG_ASIGNATURAS!$B$7:$B$27,nASIG)&gt;0)*(nNOTA))/SUMPRODUCT((nNIA=M671)*(nCUENTA=1)*(COUNTIF(CONFIG_ASIGNATURAS!$B$7:$B$27,nASIG)&gt;0)*1),"")))</f>
        <v/>
      </c>
      <c r="T671" t="str">
        <f>IF(S671="","",IF(S671="[FÓRMULA MANUAL]","",IFERROR(AVERAGEIFS(nNOTA,nNIA,S671,nCUENTA,1,nASIG,"Armonía"),"")))</f>
        <v/>
      </c>
      <c r="U671" t="str">
        <f>IF(S671="","",IF(S671="[FÓRMULA MANUAL]","",IFERROR(AVERAGEIFS(nNOTA,nNIA,S671,nCUENTA,1,nASIG,"Orquesta/Banda/Conjunto"),"")))</f>
        <v/>
      </c>
      <c r="V671" t="str">
        <f>IF(S671="","",IF(S671="[FÓRMULA MANUAL]","",IFERROR(AVERAGEIFS(nNOTA,nNIA,S671,nCUENTA,1,nASIG,"Música de Cámara"),"")))</f>
        <v/>
      </c>
      <c r="W671" t="str">
        <f>IF(S671="","",IF(S671="[FÓRMULA MANUAL]","",IFERROR(SUMPRODUCT((nNIA=S671)*(nCUENTA=1)*(COUNTIF(CONFIG_ASIGNATURAS!$B$7:$B$27,nASIG)&gt;0)*(nNOTA))/SUMPRODUCT((nNIA=S671)*(nCUENTA=1)*(COUNTIF(CONFIG_ASIGNATURAS!$B$7:$B$27,nASIG)&gt;0)*1),"")))</f>
        <v/>
      </c>
      <c r="Z671" t="str">
        <f>IF(Y671="","",IF(Y671="[FÓRMULA MANUAL]","",IFERROR(AVERAGEIFS(nNOTA,nNIA,Y671,nCUENTA,1,nASIG,"Análisis"),"")))</f>
        <v/>
      </c>
      <c r="AA671" t="str">
        <f>IF(Y671="","",IF(Y671="[FÓRMULA MANUAL]","",IFERROR(AVERAGEIFS(nNOTA,nNIA,Y671,nCUENTA,1,nASIG,"Orquesta/Banda/Conjunto"),"")))</f>
        <v/>
      </c>
      <c r="AB671" t="str">
        <f>IF(Y671="","",IF(Y671="[FÓRMULA MANUAL]","",IFERROR(AVERAGEIFS(nNOTA,nNIA,Y671,nCUENTA,1,nASIG,"Música de Cámara"),"")))</f>
        <v/>
      </c>
      <c r="AC671" t="str">
        <f>IF(Y671="","",IF(Y671="[FÓRMULA MANUAL]","",IFERROR(SUMPRODUCT((nNIA=Y671)*(nCUENTA=1)*(COUNTIF(CONFIG_ASIGNATURAS!$B$7:$B$27,nASIG)&gt;0)*(nNOTA))/SUMPRODUCT((nNIA=Y671)*(nCUENTA=1)*(COUNTIF(CONFIG_ASIGNATURAS!$B$7:$B$27,nASIG)&gt;0)*1),"")))</f>
        <v/>
      </c>
      <c r="AF671" t="str">
        <f>IF(AE671="","",IF(AE671="[FÓRMULA MANUAL]","",IFERROR(AVERAGEIFS(nNOTA,nNIA,AE671,nCUENTA,1,nASIG,"Análisis"),"")))</f>
        <v/>
      </c>
      <c r="AG671" t="str">
        <f>IF(AE671="","",IF(AE671="[FÓRMULA MANUAL]","",IFERROR(AVERAGEIFS(nNOTA,nNIA,AE671,nCUENTA,1,nASIG,"Orquesta/Banda/Conjunto"),"")))</f>
        <v/>
      </c>
      <c r="AH671" t="str">
        <f>IF(AE671="","",IF(AE671="[FÓRMULA MANUAL]","",IFERROR(AVERAGEIFS(nNOTA,nNIA,AE671,nCUENTA,1,nASIG,"Música de Cámara"),"")))</f>
        <v/>
      </c>
      <c r="AI671" t="str">
        <f>IF(AE671="","",IF(AE671="[FÓRMULA MANUAL]","",IFERROR(SUMPRODUCT((nNIA=AE671)*(nCUENTA=1)*(COUNTIF(CONFIG_ASIGNATURAS!$B$7:$B$27,nASIG)&gt;0)*(nNOTA))/SUMPRODUCT((nNIA=AE671)*(nCUENTA=1)*(COUNTIF(CONFIG_ASIGNATURAS!$B$7:$B$27,nASIG)&gt;0)*1),"")))</f>
        <v/>
      </c>
    </row>
    <row r="672" spans="2:35" x14ac:dyDescent="0.2">
      <c r="B672" t="str">
        <f>IF(A672="","",IF(A672="[FÓRMULA MANUAL]","",IFERROR(AVERAGEIFS(nNOTA,nNIA,A672,nCUENTA,1,nASIG,"Lenguaje Musical"),"")))</f>
        <v/>
      </c>
      <c r="C672" t="str">
        <f>IF(A672="","",IF(A672="[FÓRMULA MANUAL]","",IFERROR(AVERAGEIFS(nNOTA,nNIA,A672,nCUENTA,1,nASIG,"Orquesta/Banda/Conjunto"),"")))</f>
        <v/>
      </c>
      <c r="D672" t="str">
        <f>IF(A672="","",IF(A672="[FÓRMULA MANUAL]","",IFERROR(AVERAGEIFS(nNOTA,nNIA,A672,nCUENTA,1,nASIG,"Conjunto"),"")))</f>
        <v/>
      </c>
      <c r="E672" t="str">
        <f>IF(A672="","",IF(A672="[FÓRMULA MANUAL]","",IFERROR(SUMPRODUCT((nNIA=A672)*(nCUENTA=1)*(COUNTIF(CONFIG_ASIGNATURAS!$B$7:$B$27,nASIG)&gt;0)*(nNOTA))/SUMPRODUCT((nNIA=A672)*(nCUENTA=1)*(COUNTIF(CONFIG_ASIGNATURAS!$B$7:$B$27,nASIG)&gt;0)*1),"")))</f>
        <v/>
      </c>
      <c r="H672" t="str">
        <f>IF(G672="","",IF(G672="[FÓRMULA MANUAL]","",IFERROR(AVERAGEIFS(nNOTA,nNIA,G672,nCUENTA,1,nASIG,"Lenguaje Musical"),"")))</f>
        <v/>
      </c>
      <c r="I672" t="str">
        <f>IF(G672="","",IF(G672="[FÓRMULA MANUAL]","",IFERROR(AVERAGEIFS(nNOTA,nNIA,G672,nCUENTA,1,nASIG,"Orquesta/Banda/Conjunto"),"")))</f>
        <v/>
      </c>
      <c r="J672" t="str">
        <f>IF(G672="","",IF(G672="[FÓRMULA MANUAL]","",IFERROR(AVERAGEIFS(nNOTA,nNIA,G672,nCUENTA,1,nASIG,"Conjunto"),"")))</f>
        <v/>
      </c>
      <c r="K672" t="str">
        <f>IF(G672="","",IF(G672="[FÓRMULA MANUAL]","",IFERROR(SUMPRODUCT((nNIA=G672)*(nCUENTA=1)*(COUNTIF(CONFIG_ASIGNATURAS!$B$7:$B$27,nASIG)&gt;0)*(nNOTA))/SUMPRODUCT((nNIA=G672)*(nCUENTA=1)*(COUNTIF(CONFIG_ASIGNATURAS!$B$7:$B$27,nASIG)&gt;0)*1),"")))</f>
        <v/>
      </c>
      <c r="N672" t="str">
        <f>IF(M672="","",IF(M672="[FÓRMULA MANUAL]","",IFERROR(AVERAGEIFS(nNOTA,nNIA,M672,nCUENTA,1,nASIG,"Armonía"),"")))</f>
        <v/>
      </c>
      <c r="O672" t="str">
        <f>IF(M672="","",IF(M672="[FÓRMULA MANUAL]","",IFERROR(AVERAGEIFS(nNOTA,nNIA,M672,nCUENTA,1,nASIG,"Orquesta/Banda/Conjunto"),"")))</f>
        <v/>
      </c>
      <c r="P672" t="str">
        <f>IF(M672="","",IF(M672="[FÓRMULA MANUAL]","",IFERROR(AVERAGEIFS(nNOTA,nNIA,M672,nCUENTA,1,nASIG,"Música de Cámara"),"")))</f>
        <v/>
      </c>
      <c r="Q672" t="str">
        <f>IF(M672="","",IF(M672="[FÓRMULA MANUAL]","",IFERROR(SUMPRODUCT((nNIA=M672)*(nCUENTA=1)*(COUNTIF(CONFIG_ASIGNATURAS!$B$7:$B$27,nASIG)&gt;0)*(nNOTA))/SUMPRODUCT((nNIA=M672)*(nCUENTA=1)*(COUNTIF(CONFIG_ASIGNATURAS!$B$7:$B$27,nASIG)&gt;0)*1),"")))</f>
        <v/>
      </c>
      <c r="T672" t="str">
        <f>IF(S672="","",IF(S672="[FÓRMULA MANUAL]","",IFERROR(AVERAGEIFS(nNOTA,nNIA,S672,nCUENTA,1,nASIG,"Armonía"),"")))</f>
        <v/>
      </c>
      <c r="U672" t="str">
        <f>IF(S672="","",IF(S672="[FÓRMULA MANUAL]","",IFERROR(AVERAGEIFS(nNOTA,nNIA,S672,nCUENTA,1,nASIG,"Orquesta/Banda/Conjunto"),"")))</f>
        <v/>
      </c>
      <c r="V672" t="str">
        <f>IF(S672="","",IF(S672="[FÓRMULA MANUAL]","",IFERROR(AVERAGEIFS(nNOTA,nNIA,S672,nCUENTA,1,nASIG,"Música de Cámara"),"")))</f>
        <v/>
      </c>
      <c r="W672" t="str">
        <f>IF(S672="","",IF(S672="[FÓRMULA MANUAL]","",IFERROR(SUMPRODUCT((nNIA=S672)*(nCUENTA=1)*(COUNTIF(CONFIG_ASIGNATURAS!$B$7:$B$27,nASIG)&gt;0)*(nNOTA))/SUMPRODUCT((nNIA=S672)*(nCUENTA=1)*(COUNTIF(CONFIG_ASIGNATURAS!$B$7:$B$27,nASIG)&gt;0)*1),"")))</f>
        <v/>
      </c>
      <c r="Z672" t="str">
        <f>IF(Y672="","",IF(Y672="[FÓRMULA MANUAL]","",IFERROR(AVERAGEIFS(nNOTA,nNIA,Y672,nCUENTA,1,nASIG,"Análisis"),"")))</f>
        <v/>
      </c>
      <c r="AA672" t="str">
        <f>IF(Y672="","",IF(Y672="[FÓRMULA MANUAL]","",IFERROR(AVERAGEIFS(nNOTA,nNIA,Y672,nCUENTA,1,nASIG,"Orquesta/Banda/Conjunto"),"")))</f>
        <v/>
      </c>
      <c r="AB672" t="str">
        <f>IF(Y672="","",IF(Y672="[FÓRMULA MANUAL]","",IFERROR(AVERAGEIFS(nNOTA,nNIA,Y672,nCUENTA,1,nASIG,"Música de Cámara"),"")))</f>
        <v/>
      </c>
      <c r="AC672" t="str">
        <f>IF(Y672="","",IF(Y672="[FÓRMULA MANUAL]","",IFERROR(SUMPRODUCT((nNIA=Y672)*(nCUENTA=1)*(COUNTIF(CONFIG_ASIGNATURAS!$B$7:$B$27,nASIG)&gt;0)*(nNOTA))/SUMPRODUCT((nNIA=Y672)*(nCUENTA=1)*(COUNTIF(CONFIG_ASIGNATURAS!$B$7:$B$27,nASIG)&gt;0)*1),"")))</f>
        <v/>
      </c>
      <c r="AF672" t="str">
        <f>IF(AE672="","",IF(AE672="[FÓRMULA MANUAL]","",IFERROR(AVERAGEIFS(nNOTA,nNIA,AE672,nCUENTA,1,nASIG,"Análisis"),"")))</f>
        <v/>
      </c>
      <c r="AG672" t="str">
        <f>IF(AE672="","",IF(AE672="[FÓRMULA MANUAL]","",IFERROR(AVERAGEIFS(nNOTA,nNIA,AE672,nCUENTA,1,nASIG,"Orquesta/Banda/Conjunto"),"")))</f>
        <v/>
      </c>
      <c r="AH672" t="str">
        <f>IF(AE672="","",IF(AE672="[FÓRMULA MANUAL]","",IFERROR(AVERAGEIFS(nNOTA,nNIA,AE672,nCUENTA,1,nASIG,"Música de Cámara"),"")))</f>
        <v/>
      </c>
      <c r="AI672" t="str">
        <f>IF(AE672="","",IF(AE672="[FÓRMULA MANUAL]","",IFERROR(SUMPRODUCT((nNIA=AE672)*(nCUENTA=1)*(COUNTIF(CONFIG_ASIGNATURAS!$B$7:$B$27,nASIG)&gt;0)*(nNOTA))/SUMPRODUCT((nNIA=AE672)*(nCUENTA=1)*(COUNTIF(CONFIG_ASIGNATURAS!$B$7:$B$27,nASIG)&gt;0)*1),"")))</f>
        <v/>
      </c>
    </row>
    <row r="673" spans="2:35" x14ac:dyDescent="0.2">
      <c r="B673" t="str">
        <f>IF(A673="","",IF(A673="[FÓRMULA MANUAL]","",IFERROR(AVERAGEIFS(nNOTA,nNIA,A673,nCUENTA,1,nASIG,"Lenguaje Musical"),"")))</f>
        <v/>
      </c>
      <c r="C673" t="str">
        <f>IF(A673="","",IF(A673="[FÓRMULA MANUAL]","",IFERROR(AVERAGEIFS(nNOTA,nNIA,A673,nCUENTA,1,nASIG,"Orquesta/Banda/Conjunto"),"")))</f>
        <v/>
      </c>
      <c r="D673" t="str">
        <f>IF(A673="","",IF(A673="[FÓRMULA MANUAL]","",IFERROR(AVERAGEIFS(nNOTA,nNIA,A673,nCUENTA,1,nASIG,"Conjunto"),"")))</f>
        <v/>
      </c>
      <c r="E673" t="str">
        <f>IF(A673="","",IF(A673="[FÓRMULA MANUAL]","",IFERROR(SUMPRODUCT((nNIA=A673)*(nCUENTA=1)*(COUNTIF(CONFIG_ASIGNATURAS!$B$7:$B$27,nASIG)&gt;0)*(nNOTA))/SUMPRODUCT((nNIA=A673)*(nCUENTA=1)*(COUNTIF(CONFIG_ASIGNATURAS!$B$7:$B$27,nASIG)&gt;0)*1),"")))</f>
        <v/>
      </c>
      <c r="H673" t="str">
        <f>IF(G673="","",IF(G673="[FÓRMULA MANUAL]","",IFERROR(AVERAGEIFS(nNOTA,nNIA,G673,nCUENTA,1,nASIG,"Lenguaje Musical"),"")))</f>
        <v/>
      </c>
      <c r="I673" t="str">
        <f>IF(G673="","",IF(G673="[FÓRMULA MANUAL]","",IFERROR(AVERAGEIFS(nNOTA,nNIA,G673,nCUENTA,1,nASIG,"Orquesta/Banda/Conjunto"),"")))</f>
        <v/>
      </c>
      <c r="J673" t="str">
        <f>IF(G673="","",IF(G673="[FÓRMULA MANUAL]","",IFERROR(AVERAGEIFS(nNOTA,nNIA,G673,nCUENTA,1,nASIG,"Conjunto"),"")))</f>
        <v/>
      </c>
      <c r="K673" t="str">
        <f>IF(G673="","",IF(G673="[FÓRMULA MANUAL]","",IFERROR(SUMPRODUCT((nNIA=G673)*(nCUENTA=1)*(COUNTIF(CONFIG_ASIGNATURAS!$B$7:$B$27,nASIG)&gt;0)*(nNOTA))/SUMPRODUCT((nNIA=G673)*(nCUENTA=1)*(COUNTIF(CONFIG_ASIGNATURAS!$B$7:$B$27,nASIG)&gt;0)*1),"")))</f>
        <v/>
      </c>
      <c r="N673" t="str">
        <f>IF(M673="","",IF(M673="[FÓRMULA MANUAL]","",IFERROR(AVERAGEIFS(nNOTA,nNIA,M673,nCUENTA,1,nASIG,"Armonía"),"")))</f>
        <v/>
      </c>
      <c r="O673" t="str">
        <f>IF(M673="","",IF(M673="[FÓRMULA MANUAL]","",IFERROR(AVERAGEIFS(nNOTA,nNIA,M673,nCUENTA,1,nASIG,"Orquesta/Banda/Conjunto"),"")))</f>
        <v/>
      </c>
      <c r="P673" t="str">
        <f>IF(M673="","",IF(M673="[FÓRMULA MANUAL]","",IFERROR(AVERAGEIFS(nNOTA,nNIA,M673,nCUENTA,1,nASIG,"Música de Cámara"),"")))</f>
        <v/>
      </c>
      <c r="Q673" t="str">
        <f>IF(M673="","",IF(M673="[FÓRMULA MANUAL]","",IFERROR(SUMPRODUCT((nNIA=M673)*(nCUENTA=1)*(COUNTIF(CONFIG_ASIGNATURAS!$B$7:$B$27,nASIG)&gt;0)*(nNOTA))/SUMPRODUCT((nNIA=M673)*(nCUENTA=1)*(COUNTIF(CONFIG_ASIGNATURAS!$B$7:$B$27,nASIG)&gt;0)*1),"")))</f>
        <v/>
      </c>
      <c r="T673" t="str">
        <f>IF(S673="","",IF(S673="[FÓRMULA MANUAL]","",IFERROR(AVERAGEIFS(nNOTA,nNIA,S673,nCUENTA,1,nASIG,"Armonía"),"")))</f>
        <v/>
      </c>
      <c r="U673" t="str">
        <f>IF(S673="","",IF(S673="[FÓRMULA MANUAL]","",IFERROR(AVERAGEIFS(nNOTA,nNIA,S673,nCUENTA,1,nASIG,"Orquesta/Banda/Conjunto"),"")))</f>
        <v/>
      </c>
      <c r="V673" t="str">
        <f>IF(S673="","",IF(S673="[FÓRMULA MANUAL]","",IFERROR(AVERAGEIFS(nNOTA,nNIA,S673,nCUENTA,1,nASIG,"Música de Cámara"),"")))</f>
        <v/>
      </c>
      <c r="W673" t="str">
        <f>IF(S673="","",IF(S673="[FÓRMULA MANUAL]","",IFERROR(SUMPRODUCT((nNIA=S673)*(nCUENTA=1)*(COUNTIF(CONFIG_ASIGNATURAS!$B$7:$B$27,nASIG)&gt;0)*(nNOTA))/SUMPRODUCT((nNIA=S673)*(nCUENTA=1)*(COUNTIF(CONFIG_ASIGNATURAS!$B$7:$B$27,nASIG)&gt;0)*1),"")))</f>
        <v/>
      </c>
      <c r="Z673" t="str">
        <f>IF(Y673="","",IF(Y673="[FÓRMULA MANUAL]","",IFERROR(AVERAGEIFS(nNOTA,nNIA,Y673,nCUENTA,1,nASIG,"Análisis"),"")))</f>
        <v/>
      </c>
      <c r="AA673" t="str">
        <f>IF(Y673="","",IF(Y673="[FÓRMULA MANUAL]","",IFERROR(AVERAGEIFS(nNOTA,nNIA,Y673,nCUENTA,1,nASIG,"Orquesta/Banda/Conjunto"),"")))</f>
        <v/>
      </c>
      <c r="AB673" t="str">
        <f>IF(Y673="","",IF(Y673="[FÓRMULA MANUAL]","",IFERROR(AVERAGEIFS(nNOTA,nNIA,Y673,nCUENTA,1,nASIG,"Música de Cámara"),"")))</f>
        <v/>
      </c>
      <c r="AC673" t="str">
        <f>IF(Y673="","",IF(Y673="[FÓRMULA MANUAL]","",IFERROR(SUMPRODUCT((nNIA=Y673)*(nCUENTA=1)*(COUNTIF(CONFIG_ASIGNATURAS!$B$7:$B$27,nASIG)&gt;0)*(nNOTA))/SUMPRODUCT((nNIA=Y673)*(nCUENTA=1)*(COUNTIF(CONFIG_ASIGNATURAS!$B$7:$B$27,nASIG)&gt;0)*1),"")))</f>
        <v/>
      </c>
      <c r="AF673" t="str">
        <f>IF(AE673="","",IF(AE673="[FÓRMULA MANUAL]","",IFERROR(AVERAGEIFS(nNOTA,nNIA,AE673,nCUENTA,1,nASIG,"Análisis"),"")))</f>
        <v/>
      </c>
      <c r="AG673" t="str">
        <f>IF(AE673="","",IF(AE673="[FÓRMULA MANUAL]","",IFERROR(AVERAGEIFS(nNOTA,nNIA,AE673,nCUENTA,1,nASIG,"Orquesta/Banda/Conjunto"),"")))</f>
        <v/>
      </c>
      <c r="AH673" t="str">
        <f>IF(AE673="","",IF(AE673="[FÓRMULA MANUAL]","",IFERROR(AVERAGEIFS(nNOTA,nNIA,AE673,nCUENTA,1,nASIG,"Música de Cámara"),"")))</f>
        <v/>
      </c>
      <c r="AI673" t="str">
        <f>IF(AE673="","",IF(AE673="[FÓRMULA MANUAL]","",IFERROR(SUMPRODUCT((nNIA=AE673)*(nCUENTA=1)*(COUNTIF(CONFIG_ASIGNATURAS!$B$7:$B$27,nASIG)&gt;0)*(nNOTA))/SUMPRODUCT((nNIA=AE673)*(nCUENTA=1)*(COUNTIF(CONFIG_ASIGNATURAS!$B$7:$B$27,nASIG)&gt;0)*1),"")))</f>
        <v/>
      </c>
    </row>
    <row r="674" spans="2:35" x14ac:dyDescent="0.2">
      <c r="B674" t="str">
        <f>IF(A674="","",IF(A674="[FÓRMULA MANUAL]","",IFERROR(AVERAGEIFS(nNOTA,nNIA,A674,nCUENTA,1,nASIG,"Lenguaje Musical"),"")))</f>
        <v/>
      </c>
      <c r="C674" t="str">
        <f>IF(A674="","",IF(A674="[FÓRMULA MANUAL]","",IFERROR(AVERAGEIFS(nNOTA,nNIA,A674,nCUENTA,1,nASIG,"Orquesta/Banda/Conjunto"),"")))</f>
        <v/>
      </c>
      <c r="D674" t="str">
        <f>IF(A674="","",IF(A674="[FÓRMULA MANUAL]","",IFERROR(AVERAGEIFS(nNOTA,nNIA,A674,nCUENTA,1,nASIG,"Conjunto"),"")))</f>
        <v/>
      </c>
      <c r="E674" t="str">
        <f>IF(A674="","",IF(A674="[FÓRMULA MANUAL]","",IFERROR(SUMPRODUCT((nNIA=A674)*(nCUENTA=1)*(COUNTIF(CONFIG_ASIGNATURAS!$B$7:$B$27,nASIG)&gt;0)*(nNOTA))/SUMPRODUCT((nNIA=A674)*(nCUENTA=1)*(COUNTIF(CONFIG_ASIGNATURAS!$B$7:$B$27,nASIG)&gt;0)*1),"")))</f>
        <v/>
      </c>
      <c r="H674" t="str">
        <f>IF(G674="","",IF(G674="[FÓRMULA MANUAL]","",IFERROR(AVERAGEIFS(nNOTA,nNIA,G674,nCUENTA,1,nASIG,"Lenguaje Musical"),"")))</f>
        <v/>
      </c>
      <c r="I674" t="str">
        <f>IF(G674="","",IF(G674="[FÓRMULA MANUAL]","",IFERROR(AVERAGEIFS(nNOTA,nNIA,G674,nCUENTA,1,nASIG,"Orquesta/Banda/Conjunto"),"")))</f>
        <v/>
      </c>
      <c r="J674" t="str">
        <f>IF(G674="","",IF(G674="[FÓRMULA MANUAL]","",IFERROR(AVERAGEIFS(nNOTA,nNIA,G674,nCUENTA,1,nASIG,"Conjunto"),"")))</f>
        <v/>
      </c>
      <c r="K674" t="str">
        <f>IF(G674="","",IF(G674="[FÓRMULA MANUAL]","",IFERROR(SUMPRODUCT((nNIA=G674)*(nCUENTA=1)*(COUNTIF(CONFIG_ASIGNATURAS!$B$7:$B$27,nASIG)&gt;0)*(nNOTA))/SUMPRODUCT((nNIA=G674)*(nCUENTA=1)*(COUNTIF(CONFIG_ASIGNATURAS!$B$7:$B$27,nASIG)&gt;0)*1),"")))</f>
        <v/>
      </c>
      <c r="N674" t="str">
        <f>IF(M674="","",IF(M674="[FÓRMULA MANUAL]","",IFERROR(AVERAGEIFS(nNOTA,nNIA,M674,nCUENTA,1,nASIG,"Armonía"),"")))</f>
        <v/>
      </c>
      <c r="O674" t="str">
        <f>IF(M674="","",IF(M674="[FÓRMULA MANUAL]","",IFERROR(AVERAGEIFS(nNOTA,nNIA,M674,nCUENTA,1,nASIG,"Orquesta/Banda/Conjunto"),"")))</f>
        <v/>
      </c>
      <c r="P674" t="str">
        <f>IF(M674="","",IF(M674="[FÓRMULA MANUAL]","",IFERROR(AVERAGEIFS(nNOTA,nNIA,M674,nCUENTA,1,nASIG,"Música de Cámara"),"")))</f>
        <v/>
      </c>
      <c r="Q674" t="str">
        <f>IF(M674="","",IF(M674="[FÓRMULA MANUAL]","",IFERROR(SUMPRODUCT((nNIA=M674)*(nCUENTA=1)*(COUNTIF(CONFIG_ASIGNATURAS!$B$7:$B$27,nASIG)&gt;0)*(nNOTA))/SUMPRODUCT((nNIA=M674)*(nCUENTA=1)*(COUNTIF(CONFIG_ASIGNATURAS!$B$7:$B$27,nASIG)&gt;0)*1),"")))</f>
        <v/>
      </c>
      <c r="T674" t="str">
        <f>IF(S674="","",IF(S674="[FÓRMULA MANUAL]","",IFERROR(AVERAGEIFS(nNOTA,nNIA,S674,nCUENTA,1,nASIG,"Armonía"),"")))</f>
        <v/>
      </c>
      <c r="U674" t="str">
        <f>IF(S674="","",IF(S674="[FÓRMULA MANUAL]","",IFERROR(AVERAGEIFS(nNOTA,nNIA,S674,nCUENTA,1,nASIG,"Orquesta/Banda/Conjunto"),"")))</f>
        <v/>
      </c>
      <c r="V674" t="str">
        <f>IF(S674="","",IF(S674="[FÓRMULA MANUAL]","",IFERROR(AVERAGEIFS(nNOTA,nNIA,S674,nCUENTA,1,nASIG,"Música de Cámara"),"")))</f>
        <v/>
      </c>
      <c r="W674" t="str">
        <f>IF(S674="","",IF(S674="[FÓRMULA MANUAL]","",IFERROR(SUMPRODUCT((nNIA=S674)*(nCUENTA=1)*(COUNTIF(CONFIG_ASIGNATURAS!$B$7:$B$27,nASIG)&gt;0)*(nNOTA))/SUMPRODUCT((nNIA=S674)*(nCUENTA=1)*(COUNTIF(CONFIG_ASIGNATURAS!$B$7:$B$27,nASIG)&gt;0)*1),"")))</f>
        <v/>
      </c>
      <c r="Z674" t="str">
        <f>IF(Y674="","",IF(Y674="[FÓRMULA MANUAL]","",IFERROR(AVERAGEIFS(nNOTA,nNIA,Y674,nCUENTA,1,nASIG,"Análisis"),"")))</f>
        <v/>
      </c>
      <c r="AA674" t="str">
        <f>IF(Y674="","",IF(Y674="[FÓRMULA MANUAL]","",IFERROR(AVERAGEIFS(nNOTA,nNIA,Y674,nCUENTA,1,nASIG,"Orquesta/Banda/Conjunto"),"")))</f>
        <v/>
      </c>
      <c r="AB674" t="str">
        <f>IF(Y674="","",IF(Y674="[FÓRMULA MANUAL]","",IFERROR(AVERAGEIFS(nNOTA,nNIA,Y674,nCUENTA,1,nASIG,"Música de Cámara"),"")))</f>
        <v/>
      </c>
      <c r="AC674" t="str">
        <f>IF(Y674="","",IF(Y674="[FÓRMULA MANUAL]","",IFERROR(SUMPRODUCT((nNIA=Y674)*(nCUENTA=1)*(COUNTIF(CONFIG_ASIGNATURAS!$B$7:$B$27,nASIG)&gt;0)*(nNOTA))/SUMPRODUCT((nNIA=Y674)*(nCUENTA=1)*(COUNTIF(CONFIG_ASIGNATURAS!$B$7:$B$27,nASIG)&gt;0)*1),"")))</f>
        <v/>
      </c>
      <c r="AF674" t="str">
        <f>IF(AE674="","",IF(AE674="[FÓRMULA MANUAL]","",IFERROR(AVERAGEIFS(nNOTA,nNIA,AE674,nCUENTA,1,nASIG,"Análisis"),"")))</f>
        <v/>
      </c>
      <c r="AG674" t="str">
        <f>IF(AE674="","",IF(AE674="[FÓRMULA MANUAL]","",IFERROR(AVERAGEIFS(nNOTA,nNIA,AE674,nCUENTA,1,nASIG,"Orquesta/Banda/Conjunto"),"")))</f>
        <v/>
      </c>
      <c r="AH674" t="str">
        <f>IF(AE674="","",IF(AE674="[FÓRMULA MANUAL]","",IFERROR(AVERAGEIFS(nNOTA,nNIA,AE674,nCUENTA,1,nASIG,"Música de Cámara"),"")))</f>
        <v/>
      </c>
      <c r="AI674" t="str">
        <f>IF(AE674="","",IF(AE674="[FÓRMULA MANUAL]","",IFERROR(SUMPRODUCT((nNIA=AE674)*(nCUENTA=1)*(COUNTIF(CONFIG_ASIGNATURAS!$B$7:$B$27,nASIG)&gt;0)*(nNOTA))/SUMPRODUCT((nNIA=AE674)*(nCUENTA=1)*(COUNTIF(CONFIG_ASIGNATURAS!$B$7:$B$27,nASIG)&gt;0)*1),"")))</f>
        <v/>
      </c>
    </row>
    <row r="675" spans="2:35" x14ac:dyDescent="0.2">
      <c r="B675" t="str">
        <f>IF(A675="","",IF(A675="[FÓRMULA MANUAL]","",IFERROR(AVERAGEIFS(nNOTA,nNIA,A675,nCUENTA,1,nASIG,"Lenguaje Musical"),"")))</f>
        <v/>
      </c>
      <c r="C675" t="str">
        <f>IF(A675="","",IF(A675="[FÓRMULA MANUAL]","",IFERROR(AVERAGEIFS(nNOTA,nNIA,A675,nCUENTA,1,nASIG,"Orquesta/Banda/Conjunto"),"")))</f>
        <v/>
      </c>
      <c r="D675" t="str">
        <f>IF(A675="","",IF(A675="[FÓRMULA MANUAL]","",IFERROR(AVERAGEIFS(nNOTA,nNIA,A675,nCUENTA,1,nASIG,"Conjunto"),"")))</f>
        <v/>
      </c>
      <c r="E675" t="str">
        <f>IF(A675="","",IF(A675="[FÓRMULA MANUAL]","",IFERROR(SUMPRODUCT((nNIA=A675)*(nCUENTA=1)*(COUNTIF(CONFIG_ASIGNATURAS!$B$7:$B$27,nASIG)&gt;0)*(nNOTA))/SUMPRODUCT((nNIA=A675)*(nCUENTA=1)*(COUNTIF(CONFIG_ASIGNATURAS!$B$7:$B$27,nASIG)&gt;0)*1),"")))</f>
        <v/>
      </c>
      <c r="H675" t="str">
        <f>IF(G675="","",IF(G675="[FÓRMULA MANUAL]","",IFERROR(AVERAGEIFS(nNOTA,nNIA,G675,nCUENTA,1,nASIG,"Lenguaje Musical"),"")))</f>
        <v/>
      </c>
      <c r="I675" t="str">
        <f>IF(G675="","",IF(G675="[FÓRMULA MANUAL]","",IFERROR(AVERAGEIFS(nNOTA,nNIA,G675,nCUENTA,1,nASIG,"Orquesta/Banda/Conjunto"),"")))</f>
        <v/>
      </c>
      <c r="J675" t="str">
        <f>IF(G675="","",IF(G675="[FÓRMULA MANUAL]","",IFERROR(AVERAGEIFS(nNOTA,nNIA,G675,nCUENTA,1,nASIG,"Conjunto"),"")))</f>
        <v/>
      </c>
      <c r="K675" t="str">
        <f>IF(G675="","",IF(G675="[FÓRMULA MANUAL]","",IFERROR(SUMPRODUCT((nNIA=G675)*(nCUENTA=1)*(COUNTIF(CONFIG_ASIGNATURAS!$B$7:$B$27,nASIG)&gt;0)*(nNOTA))/SUMPRODUCT((nNIA=G675)*(nCUENTA=1)*(COUNTIF(CONFIG_ASIGNATURAS!$B$7:$B$27,nASIG)&gt;0)*1),"")))</f>
        <v/>
      </c>
      <c r="N675" t="str">
        <f>IF(M675="","",IF(M675="[FÓRMULA MANUAL]","",IFERROR(AVERAGEIFS(nNOTA,nNIA,M675,nCUENTA,1,nASIG,"Armonía"),"")))</f>
        <v/>
      </c>
      <c r="O675" t="str">
        <f>IF(M675="","",IF(M675="[FÓRMULA MANUAL]","",IFERROR(AVERAGEIFS(nNOTA,nNIA,M675,nCUENTA,1,nASIG,"Orquesta/Banda/Conjunto"),"")))</f>
        <v/>
      </c>
      <c r="P675" t="str">
        <f>IF(M675="","",IF(M675="[FÓRMULA MANUAL]","",IFERROR(AVERAGEIFS(nNOTA,nNIA,M675,nCUENTA,1,nASIG,"Música de Cámara"),"")))</f>
        <v/>
      </c>
      <c r="Q675" t="str">
        <f>IF(M675="","",IF(M675="[FÓRMULA MANUAL]","",IFERROR(SUMPRODUCT((nNIA=M675)*(nCUENTA=1)*(COUNTIF(CONFIG_ASIGNATURAS!$B$7:$B$27,nASIG)&gt;0)*(nNOTA))/SUMPRODUCT((nNIA=M675)*(nCUENTA=1)*(COUNTIF(CONFIG_ASIGNATURAS!$B$7:$B$27,nASIG)&gt;0)*1),"")))</f>
        <v/>
      </c>
      <c r="T675" t="str">
        <f>IF(S675="","",IF(S675="[FÓRMULA MANUAL]","",IFERROR(AVERAGEIFS(nNOTA,nNIA,S675,nCUENTA,1,nASIG,"Armonía"),"")))</f>
        <v/>
      </c>
      <c r="U675" t="str">
        <f>IF(S675="","",IF(S675="[FÓRMULA MANUAL]","",IFERROR(AVERAGEIFS(nNOTA,nNIA,S675,nCUENTA,1,nASIG,"Orquesta/Banda/Conjunto"),"")))</f>
        <v/>
      </c>
      <c r="V675" t="str">
        <f>IF(S675="","",IF(S675="[FÓRMULA MANUAL]","",IFERROR(AVERAGEIFS(nNOTA,nNIA,S675,nCUENTA,1,nASIG,"Música de Cámara"),"")))</f>
        <v/>
      </c>
      <c r="W675" t="str">
        <f>IF(S675="","",IF(S675="[FÓRMULA MANUAL]","",IFERROR(SUMPRODUCT((nNIA=S675)*(nCUENTA=1)*(COUNTIF(CONFIG_ASIGNATURAS!$B$7:$B$27,nASIG)&gt;0)*(nNOTA))/SUMPRODUCT((nNIA=S675)*(nCUENTA=1)*(COUNTIF(CONFIG_ASIGNATURAS!$B$7:$B$27,nASIG)&gt;0)*1),"")))</f>
        <v/>
      </c>
      <c r="Z675" t="str">
        <f>IF(Y675="","",IF(Y675="[FÓRMULA MANUAL]","",IFERROR(AVERAGEIFS(nNOTA,nNIA,Y675,nCUENTA,1,nASIG,"Análisis"),"")))</f>
        <v/>
      </c>
      <c r="AA675" t="str">
        <f>IF(Y675="","",IF(Y675="[FÓRMULA MANUAL]","",IFERROR(AVERAGEIFS(nNOTA,nNIA,Y675,nCUENTA,1,nASIG,"Orquesta/Banda/Conjunto"),"")))</f>
        <v/>
      </c>
      <c r="AB675" t="str">
        <f>IF(Y675="","",IF(Y675="[FÓRMULA MANUAL]","",IFERROR(AVERAGEIFS(nNOTA,nNIA,Y675,nCUENTA,1,nASIG,"Música de Cámara"),"")))</f>
        <v/>
      </c>
      <c r="AC675" t="str">
        <f>IF(Y675="","",IF(Y675="[FÓRMULA MANUAL]","",IFERROR(SUMPRODUCT((nNIA=Y675)*(nCUENTA=1)*(COUNTIF(CONFIG_ASIGNATURAS!$B$7:$B$27,nASIG)&gt;0)*(nNOTA))/SUMPRODUCT((nNIA=Y675)*(nCUENTA=1)*(COUNTIF(CONFIG_ASIGNATURAS!$B$7:$B$27,nASIG)&gt;0)*1),"")))</f>
        <v/>
      </c>
      <c r="AF675" t="str">
        <f>IF(AE675="","",IF(AE675="[FÓRMULA MANUAL]","",IFERROR(AVERAGEIFS(nNOTA,nNIA,AE675,nCUENTA,1,nASIG,"Análisis"),"")))</f>
        <v/>
      </c>
      <c r="AG675" t="str">
        <f>IF(AE675="","",IF(AE675="[FÓRMULA MANUAL]","",IFERROR(AVERAGEIFS(nNOTA,nNIA,AE675,nCUENTA,1,nASIG,"Orquesta/Banda/Conjunto"),"")))</f>
        <v/>
      </c>
      <c r="AH675" t="str">
        <f>IF(AE675="","",IF(AE675="[FÓRMULA MANUAL]","",IFERROR(AVERAGEIFS(nNOTA,nNIA,AE675,nCUENTA,1,nASIG,"Música de Cámara"),"")))</f>
        <v/>
      </c>
      <c r="AI675" t="str">
        <f>IF(AE675="","",IF(AE675="[FÓRMULA MANUAL]","",IFERROR(SUMPRODUCT((nNIA=AE675)*(nCUENTA=1)*(COUNTIF(CONFIG_ASIGNATURAS!$B$7:$B$27,nASIG)&gt;0)*(nNOTA))/SUMPRODUCT((nNIA=AE675)*(nCUENTA=1)*(COUNTIF(CONFIG_ASIGNATURAS!$B$7:$B$27,nASIG)&gt;0)*1),"")))</f>
        <v/>
      </c>
    </row>
    <row r="676" spans="2:35" x14ac:dyDescent="0.2">
      <c r="B676" t="str">
        <f>IF(A676="","",IF(A676="[FÓRMULA MANUAL]","",IFERROR(AVERAGEIFS(nNOTA,nNIA,A676,nCUENTA,1,nASIG,"Lenguaje Musical"),"")))</f>
        <v/>
      </c>
      <c r="C676" t="str">
        <f>IF(A676="","",IF(A676="[FÓRMULA MANUAL]","",IFERROR(AVERAGEIFS(nNOTA,nNIA,A676,nCUENTA,1,nASIG,"Orquesta/Banda/Conjunto"),"")))</f>
        <v/>
      </c>
      <c r="D676" t="str">
        <f>IF(A676="","",IF(A676="[FÓRMULA MANUAL]","",IFERROR(AVERAGEIFS(nNOTA,nNIA,A676,nCUENTA,1,nASIG,"Conjunto"),"")))</f>
        <v/>
      </c>
      <c r="E676" t="str">
        <f>IF(A676="","",IF(A676="[FÓRMULA MANUAL]","",IFERROR(SUMPRODUCT((nNIA=A676)*(nCUENTA=1)*(COUNTIF(CONFIG_ASIGNATURAS!$B$7:$B$27,nASIG)&gt;0)*(nNOTA))/SUMPRODUCT((nNIA=A676)*(nCUENTA=1)*(COUNTIF(CONFIG_ASIGNATURAS!$B$7:$B$27,nASIG)&gt;0)*1),"")))</f>
        <v/>
      </c>
      <c r="H676" t="str">
        <f>IF(G676="","",IF(G676="[FÓRMULA MANUAL]","",IFERROR(AVERAGEIFS(nNOTA,nNIA,G676,nCUENTA,1,nASIG,"Lenguaje Musical"),"")))</f>
        <v/>
      </c>
      <c r="I676" t="str">
        <f>IF(G676="","",IF(G676="[FÓRMULA MANUAL]","",IFERROR(AVERAGEIFS(nNOTA,nNIA,G676,nCUENTA,1,nASIG,"Orquesta/Banda/Conjunto"),"")))</f>
        <v/>
      </c>
      <c r="J676" t="str">
        <f>IF(G676="","",IF(G676="[FÓRMULA MANUAL]","",IFERROR(AVERAGEIFS(nNOTA,nNIA,G676,nCUENTA,1,nASIG,"Conjunto"),"")))</f>
        <v/>
      </c>
      <c r="K676" t="str">
        <f>IF(G676="","",IF(G676="[FÓRMULA MANUAL]","",IFERROR(SUMPRODUCT((nNIA=G676)*(nCUENTA=1)*(COUNTIF(CONFIG_ASIGNATURAS!$B$7:$B$27,nASIG)&gt;0)*(nNOTA))/SUMPRODUCT((nNIA=G676)*(nCUENTA=1)*(COUNTIF(CONFIG_ASIGNATURAS!$B$7:$B$27,nASIG)&gt;0)*1),"")))</f>
        <v/>
      </c>
      <c r="N676" t="str">
        <f>IF(M676="","",IF(M676="[FÓRMULA MANUAL]","",IFERROR(AVERAGEIFS(nNOTA,nNIA,M676,nCUENTA,1,nASIG,"Armonía"),"")))</f>
        <v/>
      </c>
      <c r="O676" t="str">
        <f>IF(M676="","",IF(M676="[FÓRMULA MANUAL]","",IFERROR(AVERAGEIFS(nNOTA,nNIA,M676,nCUENTA,1,nASIG,"Orquesta/Banda/Conjunto"),"")))</f>
        <v/>
      </c>
      <c r="P676" t="str">
        <f>IF(M676="","",IF(M676="[FÓRMULA MANUAL]","",IFERROR(AVERAGEIFS(nNOTA,nNIA,M676,nCUENTA,1,nASIG,"Música de Cámara"),"")))</f>
        <v/>
      </c>
      <c r="Q676" t="str">
        <f>IF(M676="","",IF(M676="[FÓRMULA MANUAL]","",IFERROR(SUMPRODUCT((nNIA=M676)*(nCUENTA=1)*(COUNTIF(CONFIG_ASIGNATURAS!$B$7:$B$27,nASIG)&gt;0)*(nNOTA))/SUMPRODUCT((nNIA=M676)*(nCUENTA=1)*(COUNTIF(CONFIG_ASIGNATURAS!$B$7:$B$27,nASIG)&gt;0)*1),"")))</f>
        <v/>
      </c>
      <c r="T676" t="str">
        <f>IF(S676="","",IF(S676="[FÓRMULA MANUAL]","",IFERROR(AVERAGEIFS(nNOTA,nNIA,S676,nCUENTA,1,nASIG,"Armonía"),"")))</f>
        <v/>
      </c>
      <c r="U676" t="str">
        <f>IF(S676="","",IF(S676="[FÓRMULA MANUAL]","",IFERROR(AVERAGEIFS(nNOTA,nNIA,S676,nCUENTA,1,nASIG,"Orquesta/Banda/Conjunto"),"")))</f>
        <v/>
      </c>
      <c r="V676" t="str">
        <f>IF(S676="","",IF(S676="[FÓRMULA MANUAL]","",IFERROR(AVERAGEIFS(nNOTA,nNIA,S676,nCUENTA,1,nASIG,"Música de Cámara"),"")))</f>
        <v/>
      </c>
      <c r="W676" t="str">
        <f>IF(S676="","",IF(S676="[FÓRMULA MANUAL]","",IFERROR(SUMPRODUCT((nNIA=S676)*(nCUENTA=1)*(COUNTIF(CONFIG_ASIGNATURAS!$B$7:$B$27,nASIG)&gt;0)*(nNOTA))/SUMPRODUCT((nNIA=S676)*(nCUENTA=1)*(COUNTIF(CONFIG_ASIGNATURAS!$B$7:$B$27,nASIG)&gt;0)*1),"")))</f>
        <v/>
      </c>
      <c r="Z676" t="str">
        <f>IF(Y676="","",IF(Y676="[FÓRMULA MANUAL]","",IFERROR(AVERAGEIFS(nNOTA,nNIA,Y676,nCUENTA,1,nASIG,"Análisis"),"")))</f>
        <v/>
      </c>
      <c r="AA676" t="str">
        <f>IF(Y676="","",IF(Y676="[FÓRMULA MANUAL]","",IFERROR(AVERAGEIFS(nNOTA,nNIA,Y676,nCUENTA,1,nASIG,"Orquesta/Banda/Conjunto"),"")))</f>
        <v/>
      </c>
      <c r="AB676" t="str">
        <f>IF(Y676="","",IF(Y676="[FÓRMULA MANUAL]","",IFERROR(AVERAGEIFS(nNOTA,nNIA,Y676,nCUENTA,1,nASIG,"Música de Cámara"),"")))</f>
        <v/>
      </c>
      <c r="AC676" t="str">
        <f>IF(Y676="","",IF(Y676="[FÓRMULA MANUAL]","",IFERROR(SUMPRODUCT((nNIA=Y676)*(nCUENTA=1)*(COUNTIF(CONFIG_ASIGNATURAS!$B$7:$B$27,nASIG)&gt;0)*(nNOTA))/SUMPRODUCT((nNIA=Y676)*(nCUENTA=1)*(COUNTIF(CONFIG_ASIGNATURAS!$B$7:$B$27,nASIG)&gt;0)*1),"")))</f>
        <v/>
      </c>
      <c r="AF676" t="str">
        <f>IF(AE676="","",IF(AE676="[FÓRMULA MANUAL]","",IFERROR(AVERAGEIFS(nNOTA,nNIA,AE676,nCUENTA,1,nASIG,"Análisis"),"")))</f>
        <v/>
      </c>
      <c r="AG676" t="str">
        <f>IF(AE676="","",IF(AE676="[FÓRMULA MANUAL]","",IFERROR(AVERAGEIFS(nNOTA,nNIA,AE676,nCUENTA,1,nASIG,"Orquesta/Banda/Conjunto"),"")))</f>
        <v/>
      </c>
      <c r="AH676" t="str">
        <f>IF(AE676="","",IF(AE676="[FÓRMULA MANUAL]","",IFERROR(AVERAGEIFS(nNOTA,nNIA,AE676,nCUENTA,1,nASIG,"Música de Cámara"),"")))</f>
        <v/>
      </c>
      <c r="AI676" t="str">
        <f>IF(AE676="","",IF(AE676="[FÓRMULA MANUAL]","",IFERROR(SUMPRODUCT((nNIA=AE676)*(nCUENTA=1)*(COUNTIF(CONFIG_ASIGNATURAS!$B$7:$B$27,nASIG)&gt;0)*(nNOTA))/SUMPRODUCT((nNIA=AE676)*(nCUENTA=1)*(COUNTIF(CONFIG_ASIGNATURAS!$B$7:$B$27,nASIG)&gt;0)*1),"")))</f>
        <v/>
      </c>
    </row>
    <row r="677" spans="2:35" x14ac:dyDescent="0.2">
      <c r="B677" t="str">
        <f>IF(A677="","",IF(A677="[FÓRMULA MANUAL]","",IFERROR(AVERAGEIFS(nNOTA,nNIA,A677,nCUENTA,1,nASIG,"Lenguaje Musical"),"")))</f>
        <v/>
      </c>
      <c r="C677" t="str">
        <f>IF(A677="","",IF(A677="[FÓRMULA MANUAL]","",IFERROR(AVERAGEIFS(nNOTA,nNIA,A677,nCUENTA,1,nASIG,"Orquesta/Banda/Conjunto"),"")))</f>
        <v/>
      </c>
      <c r="D677" t="str">
        <f>IF(A677="","",IF(A677="[FÓRMULA MANUAL]","",IFERROR(AVERAGEIFS(nNOTA,nNIA,A677,nCUENTA,1,nASIG,"Conjunto"),"")))</f>
        <v/>
      </c>
      <c r="E677" t="str">
        <f>IF(A677="","",IF(A677="[FÓRMULA MANUAL]","",IFERROR(SUMPRODUCT((nNIA=A677)*(nCUENTA=1)*(COUNTIF(CONFIG_ASIGNATURAS!$B$7:$B$27,nASIG)&gt;0)*(nNOTA))/SUMPRODUCT((nNIA=A677)*(nCUENTA=1)*(COUNTIF(CONFIG_ASIGNATURAS!$B$7:$B$27,nASIG)&gt;0)*1),"")))</f>
        <v/>
      </c>
      <c r="H677" t="str">
        <f>IF(G677="","",IF(G677="[FÓRMULA MANUAL]","",IFERROR(AVERAGEIFS(nNOTA,nNIA,G677,nCUENTA,1,nASIG,"Lenguaje Musical"),"")))</f>
        <v/>
      </c>
      <c r="I677" t="str">
        <f>IF(G677="","",IF(G677="[FÓRMULA MANUAL]","",IFERROR(AVERAGEIFS(nNOTA,nNIA,G677,nCUENTA,1,nASIG,"Orquesta/Banda/Conjunto"),"")))</f>
        <v/>
      </c>
      <c r="J677" t="str">
        <f>IF(G677="","",IF(G677="[FÓRMULA MANUAL]","",IFERROR(AVERAGEIFS(nNOTA,nNIA,G677,nCUENTA,1,nASIG,"Conjunto"),"")))</f>
        <v/>
      </c>
      <c r="K677" t="str">
        <f>IF(G677="","",IF(G677="[FÓRMULA MANUAL]","",IFERROR(SUMPRODUCT((nNIA=G677)*(nCUENTA=1)*(COUNTIF(CONFIG_ASIGNATURAS!$B$7:$B$27,nASIG)&gt;0)*(nNOTA))/SUMPRODUCT((nNIA=G677)*(nCUENTA=1)*(COUNTIF(CONFIG_ASIGNATURAS!$B$7:$B$27,nASIG)&gt;0)*1),"")))</f>
        <v/>
      </c>
      <c r="N677" t="str">
        <f>IF(M677="","",IF(M677="[FÓRMULA MANUAL]","",IFERROR(AVERAGEIFS(nNOTA,nNIA,M677,nCUENTA,1,nASIG,"Armonía"),"")))</f>
        <v/>
      </c>
      <c r="O677" t="str">
        <f>IF(M677="","",IF(M677="[FÓRMULA MANUAL]","",IFERROR(AVERAGEIFS(nNOTA,nNIA,M677,nCUENTA,1,nASIG,"Orquesta/Banda/Conjunto"),"")))</f>
        <v/>
      </c>
      <c r="P677" t="str">
        <f>IF(M677="","",IF(M677="[FÓRMULA MANUAL]","",IFERROR(AVERAGEIFS(nNOTA,nNIA,M677,nCUENTA,1,nASIG,"Música de Cámara"),"")))</f>
        <v/>
      </c>
      <c r="Q677" t="str">
        <f>IF(M677="","",IF(M677="[FÓRMULA MANUAL]","",IFERROR(SUMPRODUCT((nNIA=M677)*(nCUENTA=1)*(COUNTIF(CONFIG_ASIGNATURAS!$B$7:$B$27,nASIG)&gt;0)*(nNOTA))/SUMPRODUCT((nNIA=M677)*(nCUENTA=1)*(COUNTIF(CONFIG_ASIGNATURAS!$B$7:$B$27,nASIG)&gt;0)*1),"")))</f>
        <v/>
      </c>
      <c r="T677" t="str">
        <f>IF(S677="","",IF(S677="[FÓRMULA MANUAL]","",IFERROR(AVERAGEIFS(nNOTA,nNIA,S677,nCUENTA,1,nASIG,"Armonía"),"")))</f>
        <v/>
      </c>
      <c r="U677" t="str">
        <f>IF(S677="","",IF(S677="[FÓRMULA MANUAL]","",IFERROR(AVERAGEIFS(nNOTA,nNIA,S677,nCUENTA,1,nASIG,"Orquesta/Banda/Conjunto"),"")))</f>
        <v/>
      </c>
      <c r="V677" t="str">
        <f>IF(S677="","",IF(S677="[FÓRMULA MANUAL]","",IFERROR(AVERAGEIFS(nNOTA,nNIA,S677,nCUENTA,1,nASIG,"Música de Cámara"),"")))</f>
        <v/>
      </c>
      <c r="W677" t="str">
        <f>IF(S677="","",IF(S677="[FÓRMULA MANUAL]","",IFERROR(SUMPRODUCT((nNIA=S677)*(nCUENTA=1)*(COUNTIF(CONFIG_ASIGNATURAS!$B$7:$B$27,nASIG)&gt;0)*(nNOTA))/SUMPRODUCT((nNIA=S677)*(nCUENTA=1)*(COUNTIF(CONFIG_ASIGNATURAS!$B$7:$B$27,nASIG)&gt;0)*1),"")))</f>
        <v/>
      </c>
      <c r="Z677" t="str">
        <f>IF(Y677="","",IF(Y677="[FÓRMULA MANUAL]","",IFERROR(AVERAGEIFS(nNOTA,nNIA,Y677,nCUENTA,1,nASIG,"Análisis"),"")))</f>
        <v/>
      </c>
      <c r="AA677" t="str">
        <f>IF(Y677="","",IF(Y677="[FÓRMULA MANUAL]","",IFERROR(AVERAGEIFS(nNOTA,nNIA,Y677,nCUENTA,1,nASIG,"Orquesta/Banda/Conjunto"),"")))</f>
        <v/>
      </c>
      <c r="AB677" t="str">
        <f>IF(Y677="","",IF(Y677="[FÓRMULA MANUAL]","",IFERROR(AVERAGEIFS(nNOTA,nNIA,Y677,nCUENTA,1,nASIG,"Música de Cámara"),"")))</f>
        <v/>
      </c>
      <c r="AC677" t="str">
        <f>IF(Y677="","",IF(Y677="[FÓRMULA MANUAL]","",IFERROR(SUMPRODUCT((nNIA=Y677)*(nCUENTA=1)*(COUNTIF(CONFIG_ASIGNATURAS!$B$7:$B$27,nASIG)&gt;0)*(nNOTA))/SUMPRODUCT((nNIA=Y677)*(nCUENTA=1)*(COUNTIF(CONFIG_ASIGNATURAS!$B$7:$B$27,nASIG)&gt;0)*1),"")))</f>
        <v/>
      </c>
      <c r="AF677" t="str">
        <f>IF(AE677="","",IF(AE677="[FÓRMULA MANUAL]","",IFERROR(AVERAGEIFS(nNOTA,nNIA,AE677,nCUENTA,1,nASIG,"Análisis"),"")))</f>
        <v/>
      </c>
      <c r="AG677" t="str">
        <f>IF(AE677="","",IF(AE677="[FÓRMULA MANUAL]","",IFERROR(AVERAGEIFS(nNOTA,nNIA,AE677,nCUENTA,1,nASIG,"Orquesta/Banda/Conjunto"),"")))</f>
        <v/>
      </c>
      <c r="AH677" t="str">
        <f>IF(AE677="","",IF(AE677="[FÓRMULA MANUAL]","",IFERROR(AVERAGEIFS(nNOTA,nNIA,AE677,nCUENTA,1,nASIG,"Música de Cámara"),"")))</f>
        <v/>
      </c>
      <c r="AI677" t="str">
        <f>IF(AE677="","",IF(AE677="[FÓRMULA MANUAL]","",IFERROR(SUMPRODUCT((nNIA=AE677)*(nCUENTA=1)*(COUNTIF(CONFIG_ASIGNATURAS!$B$7:$B$27,nASIG)&gt;0)*(nNOTA))/SUMPRODUCT((nNIA=AE677)*(nCUENTA=1)*(COUNTIF(CONFIG_ASIGNATURAS!$B$7:$B$27,nASIG)&gt;0)*1),"")))</f>
        <v/>
      </c>
    </row>
    <row r="678" spans="2:35" x14ac:dyDescent="0.2">
      <c r="B678" t="str">
        <f>IF(A678="","",IF(A678="[FÓRMULA MANUAL]","",IFERROR(AVERAGEIFS(nNOTA,nNIA,A678,nCUENTA,1,nASIG,"Lenguaje Musical"),"")))</f>
        <v/>
      </c>
      <c r="C678" t="str">
        <f>IF(A678="","",IF(A678="[FÓRMULA MANUAL]","",IFERROR(AVERAGEIFS(nNOTA,nNIA,A678,nCUENTA,1,nASIG,"Orquesta/Banda/Conjunto"),"")))</f>
        <v/>
      </c>
      <c r="D678" t="str">
        <f>IF(A678="","",IF(A678="[FÓRMULA MANUAL]","",IFERROR(AVERAGEIFS(nNOTA,nNIA,A678,nCUENTA,1,nASIG,"Conjunto"),"")))</f>
        <v/>
      </c>
      <c r="E678" t="str">
        <f>IF(A678="","",IF(A678="[FÓRMULA MANUAL]","",IFERROR(SUMPRODUCT((nNIA=A678)*(nCUENTA=1)*(COUNTIF(CONFIG_ASIGNATURAS!$B$7:$B$27,nASIG)&gt;0)*(nNOTA))/SUMPRODUCT((nNIA=A678)*(nCUENTA=1)*(COUNTIF(CONFIG_ASIGNATURAS!$B$7:$B$27,nASIG)&gt;0)*1),"")))</f>
        <v/>
      </c>
      <c r="H678" t="str">
        <f>IF(G678="","",IF(G678="[FÓRMULA MANUAL]","",IFERROR(AVERAGEIFS(nNOTA,nNIA,G678,nCUENTA,1,nASIG,"Lenguaje Musical"),"")))</f>
        <v/>
      </c>
      <c r="I678" t="str">
        <f>IF(G678="","",IF(G678="[FÓRMULA MANUAL]","",IFERROR(AVERAGEIFS(nNOTA,nNIA,G678,nCUENTA,1,nASIG,"Orquesta/Banda/Conjunto"),"")))</f>
        <v/>
      </c>
      <c r="J678" t="str">
        <f>IF(G678="","",IF(G678="[FÓRMULA MANUAL]","",IFERROR(AVERAGEIFS(nNOTA,nNIA,G678,nCUENTA,1,nASIG,"Conjunto"),"")))</f>
        <v/>
      </c>
      <c r="K678" t="str">
        <f>IF(G678="","",IF(G678="[FÓRMULA MANUAL]","",IFERROR(SUMPRODUCT((nNIA=G678)*(nCUENTA=1)*(COUNTIF(CONFIG_ASIGNATURAS!$B$7:$B$27,nASIG)&gt;0)*(nNOTA))/SUMPRODUCT((nNIA=G678)*(nCUENTA=1)*(COUNTIF(CONFIG_ASIGNATURAS!$B$7:$B$27,nASIG)&gt;0)*1),"")))</f>
        <v/>
      </c>
      <c r="N678" t="str">
        <f>IF(M678="","",IF(M678="[FÓRMULA MANUAL]","",IFERROR(AVERAGEIFS(nNOTA,nNIA,M678,nCUENTA,1,nASIG,"Armonía"),"")))</f>
        <v/>
      </c>
      <c r="O678" t="str">
        <f>IF(M678="","",IF(M678="[FÓRMULA MANUAL]","",IFERROR(AVERAGEIFS(nNOTA,nNIA,M678,nCUENTA,1,nASIG,"Orquesta/Banda/Conjunto"),"")))</f>
        <v/>
      </c>
      <c r="P678" t="str">
        <f>IF(M678="","",IF(M678="[FÓRMULA MANUAL]","",IFERROR(AVERAGEIFS(nNOTA,nNIA,M678,nCUENTA,1,nASIG,"Música de Cámara"),"")))</f>
        <v/>
      </c>
      <c r="Q678" t="str">
        <f>IF(M678="","",IF(M678="[FÓRMULA MANUAL]","",IFERROR(SUMPRODUCT((nNIA=M678)*(nCUENTA=1)*(COUNTIF(CONFIG_ASIGNATURAS!$B$7:$B$27,nASIG)&gt;0)*(nNOTA))/SUMPRODUCT((nNIA=M678)*(nCUENTA=1)*(COUNTIF(CONFIG_ASIGNATURAS!$B$7:$B$27,nASIG)&gt;0)*1),"")))</f>
        <v/>
      </c>
      <c r="T678" t="str">
        <f>IF(S678="","",IF(S678="[FÓRMULA MANUAL]","",IFERROR(AVERAGEIFS(nNOTA,nNIA,S678,nCUENTA,1,nASIG,"Armonía"),"")))</f>
        <v/>
      </c>
      <c r="U678" t="str">
        <f>IF(S678="","",IF(S678="[FÓRMULA MANUAL]","",IFERROR(AVERAGEIFS(nNOTA,nNIA,S678,nCUENTA,1,nASIG,"Orquesta/Banda/Conjunto"),"")))</f>
        <v/>
      </c>
      <c r="V678" t="str">
        <f>IF(S678="","",IF(S678="[FÓRMULA MANUAL]","",IFERROR(AVERAGEIFS(nNOTA,nNIA,S678,nCUENTA,1,nASIG,"Música de Cámara"),"")))</f>
        <v/>
      </c>
      <c r="W678" t="str">
        <f>IF(S678="","",IF(S678="[FÓRMULA MANUAL]","",IFERROR(SUMPRODUCT((nNIA=S678)*(nCUENTA=1)*(COUNTIF(CONFIG_ASIGNATURAS!$B$7:$B$27,nASIG)&gt;0)*(nNOTA))/SUMPRODUCT((nNIA=S678)*(nCUENTA=1)*(COUNTIF(CONFIG_ASIGNATURAS!$B$7:$B$27,nASIG)&gt;0)*1),"")))</f>
        <v/>
      </c>
      <c r="Z678" t="str">
        <f>IF(Y678="","",IF(Y678="[FÓRMULA MANUAL]","",IFERROR(AVERAGEIFS(nNOTA,nNIA,Y678,nCUENTA,1,nASIG,"Análisis"),"")))</f>
        <v/>
      </c>
      <c r="AA678" t="str">
        <f>IF(Y678="","",IF(Y678="[FÓRMULA MANUAL]","",IFERROR(AVERAGEIFS(nNOTA,nNIA,Y678,nCUENTA,1,nASIG,"Orquesta/Banda/Conjunto"),"")))</f>
        <v/>
      </c>
      <c r="AB678" t="str">
        <f>IF(Y678="","",IF(Y678="[FÓRMULA MANUAL]","",IFERROR(AVERAGEIFS(nNOTA,nNIA,Y678,nCUENTA,1,nASIG,"Música de Cámara"),"")))</f>
        <v/>
      </c>
      <c r="AC678" t="str">
        <f>IF(Y678="","",IF(Y678="[FÓRMULA MANUAL]","",IFERROR(SUMPRODUCT((nNIA=Y678)*(nCUENTA=1)*(COUNTIF(CONFIG_ASIGNATURAS!$B$7:$B$27,nASIG)&gt;0)*(nNOTA))/SUMPRODUCT((nNIA=Y678)*(nCUENTA=1)*(COUNTIF(CONFIG_ASIGNATURAS!$B$7:$B$27,nASIG)&gt;0)*1),"")))</f>
        <v/>
      </c>
      <c r="AF678" t="str">
        <f>IF(AE678="","",IF(AE678="[FÓRMULA MANUAL]","",IFERROR(AVERAGEIFS(nNOTA,nNIA,AE678,nCUENTA,1,nASIG,"Análisis"),"")))</f>
        <v/>
      </c>
      <c r="AG678" t="str">
        <f>IF(AE678="","",IF(AE678="[FÓRMULA MANUAL]","",IFERROR(AVERAGEIFS(nNOTA,nNIA,AE678,nCUENTA,1,nASIG,"Orquesta/Banda/Conjunto"),"")))</f>
        <v/>
      </c>
      <c r="AH678" t="str">
        <f>IF(AE678="","",IF(AE678="[FÓRMULA MANUAL]","",IFERROR(AVERAGEIFS(nNOTA,nNIA,AE678,nCUENTA,1,nASIG,"Música de Cámara"),"")))</f>
        <v/>
      </c>
      <c r="AI678" t="str">
        <f>IF(AE678="","",IF(AE678="[FÓRMULA MANUAL]","",IFERROR(SUMPRODUCT((nNIA=AE678)*(nCUENTA=1)*(COUNTIF(CONFIG_ASIGNATURAS!$B$7:$B$27,nASIG)&gt;0)*(nNOTA))/SUMPRODUCT((nNIA=AE678)*(nCUENTA=1)*(COUNTIF(CONFIG_ASIGNATURAS!$B$7:$B$27,nASIG)&gt;0)*1),"")))</f>
        <v/>
      </c>
    </row>
    <row r="679" spans="2:35" x14ac:dyDescent="0.2">
      <c r="B679" t="str">
        <f>IF(A679="","",IF(A679="[FÓRMULA MANUAL]","",IFERROR(AVERAGEIFS(nNOTA,nNIA,A679,nCUENTA,1,nASIG,"Lenguaje Musical"),"")))</f>
        <v/>
      </c>
      <c r="C679" t="str">
        <f>IF(A679="","",IF(A679="[FÓRMULA MANUAL]","",IFERROR(AVERAGEIFS(nNOTA,nNIA,A679,nCUENTA,1,nASIG,"Orquesta/Banda/Conjunto"),"")))</f>
        <v/>
      </c>
      <c r="D679" t="str">
        <f>IF(A679="","",IF(A679="[FÓRMULA MANUAL]","",IFERROR(AVERAGEIFS(nNOTA,nNIA,A679,nCUENTA,1,nASIG,"Conjunto"),"")))</f>
        <v/>
      </c>
      <c r="E679" t="str">
        <f>IF(A679="","",IF(A679="[FÓRMULA MANUAL]","",IFERROR(SUMPRODUCT((nNIA=A679)*(nCUENTA=1)*(COUNTIF(CONFIG_ASIGNATURAS!$B$7:$B$27,nASIG)&gt;0)*(nNOTA))/SUMPRODUCT((nNIA=A679)*(nCUENTA=1)*(COUNTIF(CONFIG_ASIGNATURAS!$B$7:$B$27,nASIG)&gt;0)*1),"")))</f>
        <v/>
      </c>
      <c r="H679" t="str">
        <f>IF(G679="","",IF(G679="[FÓRMULA MANUAL]","",IFERROR(AVERAGEIFS(nNOTA,nNIA,G679,nCUENTA,1,nASIG,"Lenguaje Musical"),"")))</f>
        <v/>
      </c>
      <c r="I679" t="str">
        <f>IF(G679="","",IF(G679="[FÓRMULA MANUAL]","",IFERROR(AVERAGEIFS(nNOTA,nNIA,G679,nCUENTA,1,nASIG,"Orquesta/Banda/Conjunto"),"")))</f>
        <v/>
      </c>
      <c r="J679" t="str">
        <f>IF(G679="","",IF(G679="[FÓRMULA MANUAL]","",IFERROR(AVERAGEIFS(nNOTA,nNIA,G679,nCUENTA,1,nASIG,"Conjunto"),"")))</f>
        <v/>
      </c>
      <c r="K679" t="str">
        <f>IF(G679="","",IF(G679="[FÓRMULA MANUAL]","",IFERROR(SUMPRODUCT((nNIA=G679)*(nCUENTA=1)*(COUNTIF(CONFIG_ASIGNATURAS!$B$7:$B$27,nASIG)&gt;0)*(nNOTA))/SUMPRODUCT((nNIA=G679)*(nCUENTA=1)*(COUNTIF(CONFIG_ASIGNATURAS!$B$7:$B$27,nASIG)&gt;0)*1),"")))</f>
        <v/>
      </c>
      <c r="N679" t="str">
        <f>IF(M679="","",IF(M679="[FÓRMULA MANUAL]","",IFERROR(AVERAGEIFS(nNOTA,nNIA,M679,nCUENTA,1,nASIG,"Armonía"),"")))</f>
        <v/>
      </c>
      <c r="O679" t="str">
        <f>IF(M679="","",IF(M679="[FÓRMULA MANUAL]","",IFERROR(AVERAGEIFS(nNOTA,nNIA,M679,nCUENTA,1,nASIG,"Orquesta/Banda/Conjunto"),"")))</f>
        <v/>
      </c>
      <c r="P679" t="str">
        <f>IF(M679="","",IF(M679="[FÓRMULA MANUAL]","",IFERROR(AVERAGEIFS(nNOTA,nNIA,M679,nCUENTA,1,nASIG,"Música de Cámara"),"")))</f>
        <v/>
      </c>
      <c r="Q679" t="str">
        <f>IF(M679="","",IF(M679="[FÓRMULA MANUAL]","",IFERROR(SUMPRODUCT((nNIA=M679)*(nCUENTA=1)*(COUNTIF(CONFIG_ASIGNATURAS!$B$7:$B$27,nASIG)&gt;0)*(nNOTA))/SUMPRODUCT((nNIA=M679)*(nCUENTA=1)*(COUNTIF(CONFIG_ASIGNATURAS!$B$7:$B$27,nASIG)&gt;0)*1),"")))</f>
        <v/>
      </c>
      <c r="T679" t="str">
        <f>IF(S679="","",IF(S679="[FÓRMULA MANUAL]","",IFERROR(AVERAGEIFS(nNOTA,nNIA,S679,nCUENTA,1,nASIG,"Armonía"),"")))</f>
        <v/>
      </c>
      <c r="U679" t="str">
        <f>IF(S679="","",IF(S679="[FÓRMULA MANUAL]","",IFERROR(AVERAGEIFS(nNOTA,nNIA,S679,nCUENTA,1,nASIG,"Orquesta/Banda/Conjunto"),"")))</f>
        <v/>
      </c>
      <c r="V679" t="str">
        <f>IF(S679="","",IF(S679="[FÓRMULA MANUAL]","",IFERROR(AVERAGEIFS(nNOTA,nNIA,S679,nCUENTA,1,nASIG,"Música de Cámara"),"")))</f>
        <v/>
      </c>
      <c r="W679" t="str">
        <f>IF(S679="","",IF(S679="[FÓRMULA MANUAL]","",IFERROR(SUMPRODUCT((nNIA=S679)*(nCUENTA=1)*(COUNTIF(CONFIG_ASIGNATURAS!$B$7:$B$27,nASIG)&gt;0)*(nNOTA))/SUMPRODUCT((nNIA=S679)*(nCUENTA=1)*(COUNTIF(CONFIG_ASIGNATURAS!$B$7:$B$27,nASIG)&gt;0)*1),"")))</f>
        <v/>
      </c>
      <c r="Z679" t="str">
        <f>IF(Y679="","",IF(Y679="[FÓRMULA MANUAL]","",IFERROR(AVERAGEIFS(nNOTA,nNIA,Y679,nCUENTA,1,nASIG,"Análisis"),"")))</f>
        <v/>
      </c>
      <c r="AA679" t="str">
        <f>IF(Y679="","",IF(Y679="[FÓRMULA MANUAL]","",IFERROR(AVERAGEIFS(nNOTA,nNIA,Y679,nCUENTA,1,nASIG,"Orquesta/Banda/Conjunto"),"")))</f>
        <v/>
      </c>
      <c r="AB679" t="str">
        <f>IF(Y679="","",IF(Y679="[FÓRMULA MANUAL]","",IFERROR(AVERAGEIFS(nNOTA,nNIA,Y679,nCUENTA,1,nASIG,"Música de Cámara"),"")))</f>
        <v/>
      </c>
      <c r="AC679" t="str">
        <f>IF(Y679="","",IF(Y679="[FÓRMULA MANUAL]","",IFERROR(SUMPRODUCT((nNIA=Y679)*(nCUENTA=1)*(COUNTIF(CONFIG_ASIGNATURAS!$B$7:$B$27,nASIG)&gt;0)*(nNOTA))/SUMPRODUCT((nNIA=Y679)*(nCUENTA=1)*(COUNTIF(CONFIG_ASIGNATURAS!$B$7:$B$27,nASIG)&gt;0)*1),"")))</f>
        <v/>
      </c>
      <c r="AF679" t="str">
        <f>IF(AE679="","",IF(AE679="[FÓRMULA MANUAL]","",IFERROR(AVERAGEIFS(nNOTA,nNIA,AE679,nCUENTA,1,nASIG,"Análisis"),"")))</f>
        <v/>
      </c>
      <c r="AG679" t="str">
        <f>IF(AE679="","",IF(AE679="[FÓRMULA MANUAL]","",IFERROR(AVERAGEIFS(nNOTA,nNIA,AE679,nCUENTA,1,nASIG,"Orquesta/Banda/Conjunto"),"")))</f>
        <v/>
      </c>
      <c r="AH679" t="str">
        <f>IF(AE679="","",IF(AE679="[FÓRMULA MANUAL]","",IFERROR(AVERAGEIFS(nNOTA,nNIA,AE679,nCUENTA,1,nASIG,"Música de Cámara"),"")))</f>
        <v/>
      </c>
      <c r="AI679" t="str">
        <f>IF(AE679="","",IF(AE679="[FÓRMULA MANUAL]","",IFERROR(SUMPRODUCT((nNIA=AE679)*(nCUENTA=1)*(COUNTIF(CONFIG_ASIGNATURAS!$B$7:$B$27,nASIG)&gt;0)*(nNOTA))/SUMPRODUCT((nNIA=AE679)*(nCUENTA=1)*(COUNTIF(CONFIG_ASIGNATURAS!$B$7:$B$27,nASIG)&gt;0)*1),"")))</f>
        <v/>
      </c>
    </row>
    <row r="680" spans="2:35" x14ac:dyDescent="0.2">
      <c r="B680" t="str">
        <f>IF(A680="","",IF(A680="[FÓRMULA MANUAL]","",IFERROR(AVERAGEIFS(nNOTA,nNIA,A680,nCUENTA,1,nASIG,"Lenguaje Musical"),"")))</f>
        <v/>
      </c>
      <c r="C680" t="str">
        <f>IF(A680="","",IF(A680="[FÓRMULA MANUAL]","",IFERROR(AVERAGEIFS(nNOTA,nNIA,A680,nCUENTA,1,nASIG,"Orquesta/Banda/Conjunto"),"")))</f>
        <v/>
      </c>
      <c r="D680" t="str">
        <f>IF(A680="","",IF(A680="[FÓRMULA MANUAL]","",IFERROR(AVERAGEIFS(nNOTA,nNIA,A680,nCUENTA,1,nASIG,"Conjunto"),"")))</f>
        <v/>
      </c>
      <c r="E680" t="str">
        <f>IF(A680="","",IF(A680="[FÓRMULA MANUAL]","",IFERROR(SUMPRODUCT((nNIA=A680)*(nCUENTA=1)*(COUNTIF(CONFIG_ASIGNATURAS!$B$7:$B$27,nASIG)&gt;0)*(nNOTA))/SUMPRODUCT((nNIA=A680)*(nCUENTA=1)*(COUNTIF(CONFIG_ASIGNATURAS!$B$7:$B$27,nASIG)&gt;0)*1),"")))</f>
        <v/>
      </c>
      <c r="H680" t="str">
        <f>IF(G680="","",IF(G680="[FÓRMULA MANUAL]","",IFERROR(AVERAGEIFS(nNOTA,nNIA,G680,nCUENTA,1,nASIG,"Lenguaje Musical"),"")))</f>
        <v/>
      </c>
      <c r="I680" t="str">
        <f>IF(G680="","",IF(G680="[FÓRMULA MANUAL]","",IFERROR(AVERAGEIFS(nNOTA,nNIA,G680,nCUENTA,1,nASIG,"Orquesta/Banda/Conjunto"),"")))</f>
        <v/>
      </c>
      <c r="J680" t="str">
        <f>IF(G680="","",IF(G680="[FÓRMULA MANUAL]","",IFERROR(AVERAGEIFS(nNOTA,nNIA,G680,nCUENTA,1,nASIG,"Conjunto"),"")))</f>
        <v/>
      </c>
      <c r="K680" t="str">
        <f>IF(G680="","",IF(G680="[FÓRMULA MANUAL]","",IFERROR(SUMPRODUCT((nNIA=G680)*(nCUENTA=1)*(COUNTIF(CONFIG_ASIGNATURAS!$B$7:$B$27,nASIG)&gt;0)*(nNOTA))/SUMPRODUCT((nNIA=G680)*(nCUENTA=1)*(COUNTIF(CONFIG_ASIGNATURAS!$B$7:$B$27,nASIG)&gt;0)*1),"")))</f>
        <v/>
      </c>
      <c r="N680" t="str">
        <f>IF(M680="","",IF(M680="[FÓRMULA MANUAL]","",IFERROR(AVERAGEIFS(nNOTA,nNIA,M680,nCUENTA,1,nASIG,"Armonía"),"")))</f>
        <v/>
      </c>
      <c r="O680" t="str">
        <f>IF(M680="","",IF(M680="[FÓRMULA MANUAL]","",IFERROR(AVERAGEIFS(nNOTA,nNIA,M680,nCUENTA,1,nASIG,"Orquesta/Banda/Conjunto"),"")))</f>
        <v/>
      </c>
      <c r="P680" t="str">
        <f>IF(M680="","",IF(M680="[FÓRMULA MANUAL]","",IFERROR(AVERAGEIFS(nNOTA,nNIA,M680,nCUENTA,1,nASIG,"Música de Cámara"),"")))</f>
        <v/>
      </c>
      <c r="Q680" t="str">
        <f>IF(M680="","",IF(M680="[FÓRMULA MANUAL]","",IFERROR(SUMPRODUCT((nNIA=M680)*(nCUENTA=1)*(COUNTIF(CONFIG_ASIGNATURAS!$B$7:$B$27,nASIG)&gt;0)*(nNOTA))/SUMPRODUCT((nNIA=M680)*(nCUENTA=1)*(COUNTIF(CONFIG_ASIGNATURAS!$B$7:$B$27,nASIG)&gt;0)*1),"")))</f>
        <v/>
      </c>
      <c r="T680" t="str">
        <f>IF(S680="","",IF(S680="[FÓRMULA MANUAL]","",IFERROR(AVERAGEIFS(nNOTA,nNIA,S680,nCUENTA,1,nASIG,"Armonía"),"")))</f>
        <v/>
      </c>
      <c r="U680" t="str">
        <f>IF(S680="","",IF(S680="[FÓRMULA MANUAL]","",IFERROR(AVERAGEIFS(nNOTA,nNIA,S680,nCUENTA,1,nASIG,"Orquesta/Banda/Conjunto"),"")))</f>
        <v/>
      </c>
      <c r="V680" t="str">
        <f>IF(S680="","",IF(S680="[FÓRMULA MANUAL]","",IFERROR(AVERAGEIFS(nNOTA,nNIA,S680,nCUENTA,1,nASIG,"Música de Cámara"),"")))</f>
        <v/>
      </c>
      <c r="W680" t="str">
        <f>IF(S680="","",IF(S680="[FÓRMULA MANUAL]","",IFERROR(SUMPRODUCT((nNIA=S680)*(nCUENTA=1)*(COUNTIF(CONFIG_ASIGNATURAS!$B$7:$B$27,nASIG)&gt;0)*(nNOTA))/SUMPRODUCT((nNIA=S680)*(nCUENTA=1)*(COUNTIF(CONFIG_ASIGNATURAS!$B$7:$B$27,nASIG)&gt;0)*1),"")))</f>
        <v/>
      </c>
      <c r="Z680" t="str">
        <f>IF(Y680="","",IF(Y680="[FÓRMULA MANUAL]","",IFERROR(AVERAGEIFS(nNOTA,nNIA,Y680,nCUENTA,1,nASIG,"Análisis"),"")))</f>
        <v/>
      </c>
      <c r="AA680" t="str">
        <f>IF(Y680="","",IF(Y680="[FÓRMULA MANUAL]","",IFERROR(AVERAGEIFS(nNOTA,nNIA,Y680,nCUENTA,1,nASIG,"Orquesta/Banda/Conjunto"),"")))</f>
        <v/>
      </c>
      <c r="AB680" t="str">
        <f>IF(Y680="","",IF(Y680="[FÓRMULA MANUAL]","",IFERROR(AVERAGEIFS(nNOTA,nNIA,Y680,nCUENTA,1,nASIG,"Música de Cámara"),"")))</f>
        <v/>
      </c>
      <c r="AC680" t="str">
        <f>IF(Y680="","",IF(Y680="[FÓRMULA MANUAL]","",IFERROR(SUMPRODUCT((nNIA=Y680)*(nCUENTA=1)*(COUNTIF(CONFIG_ASIGNATURAS!$B$7:$B$27,nASIG)&gt;0)*(nNOTA))/SUMPRODUCT((nNIA=Y680)*(nCUENTA=1)*(COUNTIF(CONFIG_ASIGNATURAS!$B$7:$B$27,nASIG)&gt;0)*1),"")))</f>
        <v/>
      </c>
      <c r="AF680" t="str">
        <f>IF(AE680="","",IF(AE680="[FÓRMULA MANUAL]","",IFERROR(AVERAGEIFS(nNOTA,nNIA,AE680,nCUENTA,1,nASIG,"Análisis"),"")))</f>
        <v/>
      </c>
      <c r="AG680" t="str">
        <f>IF(AE680="","",IF(AE680="[FÓRMULA MANUAL]","",IFERROR(AVERAGEIFS(nNOTA,nNIA,AE680,nCUENTA,1,nASIG,"Orquesta/Banda/Conjunto"),"")))</f>
        <v/>
      </c>
      <c r="AH680" t="str">
        <f>IF(AE680="","",IF(AE680="[FÓRMULA MANUAL]","",IFERROR(AVERAGEIFS(nNOTA,nNIA,AE680,nCUENTA,1,nASIG,"Música de Cámara"),"")))</f>
        <v/>
      </c>
      <c r="AI680" t="str">
        <f>IF(AE680="","",IF(AE680="[FÓRMULA MANUAL]","",IFERROR(SUMPRODUCT((nNIA=AE680)*(nCUENTA=1)*(COUNTIF(CONFIG_ASIGNATURAS!$B$7:$B$27,nASIG)&gt;0)*(nNOTA))/SUMPRODUCT((nNIA=AE680)*(nCUENTA=1)*(COUNTIF(CONFIG_ASIGNATURAS!$B$7:$B$27,nASIG)&gt;0)*1),"")))</f>
        <v/>
      </c>
    </row>
    <row r="681" spans="2:35" x14ac:dyDescent="0.2">
      <c r="B681" t="str">
        <f>IF(A681="","",IF(A681="[FÓRMULA MANUAL]","",IFERROR(AVERAGEIFS(nNOTA,nNIA,A681,nCUENTA,1,nASIG,"Lenguaje Musical"),"")))</f>
        <v/>
      </c>
      <c r="C681" t="str">
        <f>IF(A681="","",IF(A681="[FÓRMULA MANUAL]","",IFERROR(AVERAGEIFS(nNOTA,nNIA,A681,nCUENTA,1,nASIG,"Orquesta/Banda/Conjunto"),"")))</f>
        <v/>
      </c>
      <c r="D681" t="str">
        <f>IF(A681="","",IF(A681="[FÓRMULA MANUAL]","",IFERROR(AVERAGEIFS(nNOTA,nNIA,A681,nCUENTA,1,nASIG,"Conjunto"),"")))</f>
        <v/>
      </c>
      <c r="E681" t="str">
        <f>IF(A681="","",IF(A681="[FÓRMULA MANUAL]","",IFERROR(SUMPRODUCT((nNIA=A681)*(nCUENTA=1)*(COUNTIF(CONFIG_ASIGNATURAS!$B$7:$B$27,nASIG)&gt;0)*(nNOTA))/SUMPRODUCT((nNIA=A681)*(nCUENTA=1)*(COUNTIF(CONFIG_ASIGNATURAS!$B$7:$B$27,nASIG)&gt;0)*1),"")))</f>
        <v/>
      </c>
      <c r="H681" t="str">
        <f>IF(G681="","",IF(G681="[FÓRMULA MANUAL]","",IFERROR(AVERAGEIFS(nNOTA,nNIA,G681,nCUENTA,1,nASIG,"Lenguaje Musical"),"")))</f>
        <v/>
      </c>
      <c r="I681" t="str">
        <f>IF(G681="","",IF(G681="[FÓRMULA MANUAL]","",IFERROR(AVERAGEIFS(nNOTA,nNIA,G681,nCUENTA,1,nASIG,"Orquesta/Banda/Conjunto"),"")))</f>
        <v/>
      </c>
      <c r="J681" t="str">
        <f>IF(G681="","",IF(G681="[FÓRMULA MANUAL]","",IFERROR(AVERAGEIFS(nNOTA,nNIA,G681,nCUENTA,1,nASIG,"Conjunto"),"")))</f>
        <v/>
      </c>
      <c r="K681" t="str">
        <f>IF(G681="","",IF(G681="[FÓRMULA MANUAL]","",IFERROR(SUMPRODUCT((nNIA=G681)*(nCUENTA=1)*(COUNTIF(CONFIG_ASIGNATURAS!$B$7:$B$27,nASIG)&gt;0)*(nNOTA))/SUMPRODUCT((nNIA=G681)*(nCUENTA=1)*(COUNTIF(CONFIG_ASIGNATURAS!$B$7:$B$27,nASIG)&gt;0)*1),"")))</f>
        <v/>
      </c>
      <c r="N681" t="str">
        <f>IF(M681="","",IF(M681="[FÓRMULA MANUAL]","",IFERROR(AVERAGEIFS(nNOTA,nNIA,M681,nCUENTA,1,nASIG,"Armonía"),"")))</f>
        <v/>
      </c>
      <c r="O681" t="str">
        <f>IF(M681="","",IF(M681="[FÓRMULA MANUAL]","",IFERROR(AVERAGEIFS(nNOTA,nNIA,M681,nCUENTA,1,nASIG,"Orquesta/Banda/Conjunto"),"")))</f>
        <v/>
      </c>
      <c r="P681" t="str">
        <f>IF(M681="","",IF(M681="[FÓRMULA MANUAL]","",IFERROR(AVERAGEIFS(nNOTA,nNIA,M681,nCUENTA,1,nASIG,"Música de Cámara"),"")))</f>
        <v/>
      </c>
      <c r="Q681" t="str">
        <f>IF(M681="","",IF(M681="[FÓRMULA MANUAL]","",IFERROR(SUMPRODUCT((nNIA=M681)*(nCUENTA=1)*(COUNTIF(CONFIG_ASIGNATURAS!$B$7:$B$27,nASIG)&gt;0)*(nNOTA))/SUMPRODUCT((nNIA=M681)*(nCUENTA=1)*(COUNTIF(CONFIG_ASIGNATURAS!$B$7:$B$27,nASIG)&gt;0)*1),"")))</f>
        <v/>
      </c>
      <c r="T681" t="str">
        <f>IF(S681="","",IF(S681="[FÓRMULA MANUAL]","",IFERROR(AVERAGEIFS(nNOTA,nNIA,S681,nCUENTA,1,nASIG,"Armonía"),"")))</f>
        <v/>
      </c>
      <c r="U681" t="str">
        <f>IF(S681="","",IF(S681="[FÓRMULA MANUAL]","",IFERROR(AVERAGEIFS(nNOTA,nNIA,S681,nCUENTA,1,nASIG,"Orquesta/Banda/Conjunto"),"")))</f>
        <v/>
      </c>
      <c r="V681" t="str">
        <f>IF(S681="","",IF(S681="[FÓRMULA MANUAL]","",IFERROR(AVERAGEIFS(nNOTA,nNIA,S681,nCUENTA,1,nASIG,"Música de Cámara"),"")))</f>
        <v/>
      </c>
      <c r="W681" t="str">
        <f>IF(S681="","",IF(S681="[FÓRMULA MANUAL]","",IFERROR(SUMPRODUCT((nNIA=S681)*(nCUENTA=1)*(COUNTIF(CONFIG_ASIGNATURAS!$B$7:$B$27,nASIG)&gt;0)*(nNOTA))/SUMPRODUCT((nNIA=S681)*(nCUENTA=1)*(COUNTIF(CONFIG_ASIGNATURAS!$B$7:$B$27,nASIG)&gt;0)*1),"")))</f>
        <v/>
      </c>
      <c r="Z681" t="str">
        <f>IF(Y681="","",IF(Y681="[FÓRMULA MANUAL]","",IFERROR(AVERAGEIFS(nNOTA,nNIA,Y681,nCUENTA,1,nASIG,"Análisis"),"")))</f>
        <v/>
      </c>
      <c r="AA681" t="str">
        <f>IF(Y681="","",IF(Y681="[FÓRMULA MANUAL]","",IFERROR(AVERAGEIFS(nNOTA,nNIA,Y681,nCUENTA,1,nASIG,"Orquesta/Banda/Conjunto"),"")))</f>
        <v/>
      </c>
      <c r="AB681" t="str">
        <f>IF(Y681="","",IF(Y681="[FÓRMULA MANUAL]","",IFERROR(AVERAGEIFS(nNOTA,nNIA,Y681,nCUENTA,1,nASIG,"Música de Cámara"),"")))</f>
        <v/>
      </c>
      <c r="AC681" t="str">
        <f>IF(Y681="","",IF(Y681="[FÓRMULA MANUAL]","",IFERROR(SUMPRODUCT((nNIA=Y681)*(nCUENTA=1)*(COUNTIF(CONFIG_ASIGNATURAS!$B$7:$B$27,nASIG)&gt;0)*(nNOTA))/SUMPRODUCT((nNIA=Y681)*(nCUENTA=1)*(COUNTIF(CONFIG_ASIGNATURAS!$B$7:$B$27,nASIG)&gt;0)*1),"")))</f>
        <v/>
      </c>
      <c r="AF681" t="str">
        <f>IF(AE681="","",IF(AE681="[FÓRMULA MANUAL]","",IFERROR(AVERAGEIFS(nNOTA,nNIA,AE681,nCUENTA,1,nASIG,"Análisis"),"")))</f>
        <v/>
      </c>
      <c r="AG681" t="str">
        <f>IF(AE681="","",IF(AE681="[FÓRMULA MANUAL]","",IFERROR(AVERAGEIFS(nNOTA,nNIA,AE681,nCUENTA,1,nASIG,"Orquesta/Banda/Conjunto"),"")))</f>
        <v/>
      </c>
      <c r="AH681" t="str">
        <f>IF(AE681="","",IF(AE681="[FÓRMULA MANUAL]","",IFERROR(AVERAGEIFS(nNOTA,nNIA,AE681,nCUENTA,1,nASIG,"Música de Cámara"),"")))</f>
        <v/>
      </c>
      <c r="AI681" t="str">
        <f>IF(AE681="","",IF(AE681="[FÓRMULA MANUAL]","",IFERROR(SUMPRODUCT((nNIA=AE681)*(nCUENTA=1)*(COUNTIF(CONFIG_ASIGNATURAS!$B$7:$B$27,nASIG)&gt;0)*(nNOTA))/SUMPRODUCT((nNIA=AE681)*(nCUENTA=1)*(COUNTIF(CONFIG_ASIGNATURAS!$B$7:$B$27,nASIG)&gt;0)*1),"")))</f>
        <v/>
      </c>
    </row>
    <row r="682" spans="2:35" x14ac:dyDescent="0.2">
      <c r="B682" t="str">
        <f>IF(A682="","",IF(A682="[FÓRMULA MANUAL]","",IFERROR(AVERAGEIFS(nNOTA,nNIA,A682,nCUENTA,1,nASIG,"Lenguaje Musical"),"")))</f>
        <v/>
      </c>
      <c r="C682" t="str">
        <f>IF(A682="","",IF(A682="[FÓRMULA MANUAL]","",IFERROR(AVERAGEIFS(nNOTA,nNIA,A682,nCUENTA,1,nASIG,"Orquesta/Banda/Conjunto"),"")))</f>
        <v/>
      </c>
      <c r="D682" t="str">
        <f>IF(A682="","",IF(A682="[FÓRMULA MANUAL]","",IFERROR(AVERAGEIFS(nNOTA,nNIA,A682,nCUENTA,1,nASIG,"Conjunto"),"")))</f>
        <v/>
      </c>
      <c r="E682" t="str">
        <f>IF(A682="","",IF(A682="[FÓRMULA MANUAL]","",IFERROR(SUMPRODUCT((nNIA=A682)*(nCUENTA=1)*(COUNTIF(CONFIG_ASIGNATURAS!$B$7:$B$27,nASIG)&gt;0)*(nNOTA))/SUMPRODUCT((nNIA=A682)*(nCUENTA=1)*(COUNTIF(CONFIG_ASIGNATURAS!$B$7:$B$27,nASIG)&gt;0)*1),"")))</f>
        <v/>
      </c>
      <c r="H682" t="str">
        <f>IF(G682="","",IF(G682="[FÓRMULA MANUAL]","",IFERROR(AVERAGEIFS(nNOTA,nNIA,G682,nCUENTA,1,nASIG,"Lenguaje Musical"),"")))</f>
        <v/>
      </c>
      <c r="I682" t="str">
        <f>IF(G682="","",IF(G682="[FÓRMULA MANUAL]","",IFERROR(AVERAGEIFS(nNOTA,nNIA,G682,nCUENTA,1,nASIG,"Orquesta/Banda/Conjunto"),"")))</f>
        <v/>
      </c>
      <c r="J682" t="str">
        <f>IF(G682="","",IF(G682="[FÓRMULA MANUAL]","",IFERROR(AVERAGEIFS(nNOTA,nNIA,G682,nCUENTA,1,nASIG,"Conjunto"),"")))</f>
        <v/>
      </c>
      <c r="K682" t="str">
        <f>IF(G682="","",IF(G682="[FÓRMULA MANUAL]","",IFERROR(SUMPRODUCT((nNIA=G682)*(nCUENTA=1)*(COUNTIF(CONFIG_ASIGNATURAS!$B$7:$B$27,nASIG)&gt;0)*(nNOTA))/SUMPRODUCT((nNIA=G682)*(nCUENTA=1)*(COUNTIF(CONFIG_ASIGNATURAS!$B$7:$B$27,nASIG)&gt;0)*1),"")))</f>
        <v/>
      </c>
      <c r="N682" t="str">
        <f>IF(M682="","",IF(M682="[FÓRMULA MANUAL]","",IFERROR(AVERAGEIFS(nNOTA,nNIA,M682,nCUENTA,1,nASIG,"Armonía"),"")))</f>
        <v/>
      </c>
      <c r="O682" t="str">
        <f>IF(M682="","",IF(M682="[FÓRMULA MANUAL]","",IFERROR(AVERAGEIFS(nNOTA,nNIA,M682,nCUENTA,1,nASIG,"Orquesta/Banda/Conjunto"),"")))</f>
        <v/>
      </c>
      <c r="P682" t="str">
        <f>IF(M682="","",IF(M682="[FÓRMULA MANUAL]","",IFERROR(AVERAGEIFS(nNOTA,nNIA,M682,nCUENTA,1,nASIG,"Música de Cámara"),"")))</f>
        <v/>
      </c>
      <c r="Q682" t="str">
        <f>IF(M682="","",IF(M682="[FÓRMULA MANUAL]","",IFERROR(SUMPRODUCT((nNIA=M682)*(nCUENTA=1)*(COUNTIF(CONFIG_ASIGNATURAS!$B$7:$B$27,nASIG)&gt;0)*(nNOTA))/SUMPRODUCT((nNIA=M682)*(nCUENTA=1)*(COUNTIF(CONFIG_ASIGNATURAS!$B$7:$B$27,nASIG)&gt;0)*1),"")))</f>
        <v/>
      </c>
      <c r="T682" t="str">
        <f>IF(S682="","",IF(S682="[FÓRMULA MANUAL]","",IFERROR(AVERAGEIFS(nNOTA,nNIA,S682,nCUENTA,1,nASIG,"Armonía"),"")))</f>
        <v/>
      </c>
      <c r="U682" t="str">
        <f>IF(S682="","",IF(S682="[FÓRMULA MANUAL]","",IFERROR(AVERAGEIFS(nNOTA,nNIA,S682,nCUENTA,1,nASIG,"Orquesta/Banda/Conjunto"),"")))</f>
        <v/>
      </c>
      <c r="V682" t="str">
        <f>IF(S682="","",IF(S682="[FÓRMULA MANUAL]","",IFERROR(AVERAGEIFS(nNOTA,nNIA,S682,nCUENTA,1,nASIG,"Música de Cámara"),"")))</f>
        <v/>
      </c>
      <c r="W682" t="str">
        <f>IF(S682="","",IF(S682="[FÓRMULA MANUAL]","",IFERROR(SUMPRODUCT((nNIA=S682)*(nCUENTA=1)*(COUNTIF(CONFIG_ASIGNATURAS!$B$7:$B$27,nASIG)&gt;0)*(nNOTA))/SUMPRODUCT((nNIA=S682)*(nCUENTA=1)*(COUNTIF(CONFIG_ASIGNATURAS!$B$7:$B$27,nASIG)&gt;0)*1),"")))</f>
        <v/>
      </c>
      <c r="Z682" t="str">
        <f>IF(Y682="","",IF(Y682="[FÓRMULA MANUAL]","",IFERROR(AVERAGEIFS(nNOTA,nNIA,Y682,nCUENTA,1,nASIG,"Análisis"),"")))</f>
        <v/>
      </c>
      <c r="AA682" t="str">
        <f>IF(Y682="","",IF(Y682="[FÓRMULA MANUAL]","",IFERROR(AVERAGEIFS(nNOTA,nNIA,Y682,nCUENTA,1,nASIG,"Orquesta/Banda/Conjunto"),"")))</f>
        <v/>
      </c>
      <c r="AB682" t="str">
        <f>IF(Y682="","",IF(Y682="[FÓRMULA MANUAL]","",IFERROR(AVERAGEIFS(nNOTA,nNIA,Y682,nCUENTA,1,nASIG,"Música de Cámara"),"")))</f>
        <v/>
      </c>
      <c r="AC682" t="str">
        <f>IF(Y682="","",IF(Y682="[FÓRMULA MANUAL]","",IFERROR(SUMPRODUCT((nNIA=Y682)*(nCUENTA=1)*(COUNTIF(CONFIG_ASIGNATURAS!$B$7:$B$27,nASIG)&gt;0)*(nNOTA))/SUMPRODUCT((nNIA=Y682)*(nCUENTA=1)*(COUNTIF(CONFIG_ASIGNATURAS!$B$7:$B$27,nASIG)&gt;0)*1),"")))</f>
        <v/>
      </c>
      <c r="AF682" t="str">
        <f>IF(AE682="","",IF(AE682="[FÓRMULA MANUAL]","",IFERROR(AVERAGEIFS(nNOTA,nNIA,AE682,nCUENTA,1,nASIG,"Análisis"),"")))</f>
        <v/>
      </c>
      <c r="AG682" t="str">
        <f>IF(AE682="","",IF(AE682="[FÓRMULA MANUAL]","",IFERROR(AVERAGEIFS(nNOTA,nNIA,AE682,nCUENTA,1,nASIG,"Orquesta/Banda/Conjunto"),"")))</f>
        <v/>
      </c>
      <c r="AH682" t="str">
        <f>IF(AE682="","",IF(AE682="[FÓRMULA MANUAL]","",IFERROR(AVERAGEIFS(nNOTA,nNIA,AE682,nCUENTA,1,nASIG,"Música de Cámara"),"")))</f>
        <v/>
      </c>
      <c r="AI682" t="str">
        <f>IF(AE682="","",IF(AE682="[FÓRMULA MANUAL]","",IFERROR(SUMPRODUCT((nNIA=AE682)*(nCUENTA=1)*(COUNTIF(CONFIG_ASIGNATURAS!$B$7:$B$27,nASIG)&gt;0)*(nNOTA))/SUMPRODUCT((nNIA=AE682)*(nCUENTA=1)*(COUNTIF(CONFIG_ASIGNATURAS!$B$7:$B$27,nASIG)&gt;0)*1),"")))</f>
        <v/>
      </c>
    </row>
    <row r="683" spans="2:35" x14ac:dyDescent="0.2">
      <c r="B683" t="str">
        <f>IF(A683="","",IF(A683="[FÓRMULA MANUAL]","",IFERROR(AVERAGEIFS(nNOTA,nNIA,A683,nCUENTA,1,nASIG,"Lenguaje Musical"),"")))</f>
        <v/>
      </c>
      <c r="C683" t="str">
        <f>IF(A683="","",IF(A683="[FÓRMULA MANUAL]","",IFERROR(AVERAGEIFS(nNOTA,nNIA,A683,nCUENTA,1,nASIG,"Orquesta/Banda/Conjunto"),"")))</f>
        <v/>
      </c>
      <c r="D683" t="str">
        <f>IF(A683="","",IF(A683="[FÓRMULA MANUAL]","",IFERROR(AVERAGEIFS(nNOTA,nNIA,A683,nCUENTA,1,nASIG,"Conjunto"),"")))</f>
        <v/>
      </c>
      <c r="E683" t="str">
        <f>IF(A683="","",IF(A683="[FÓRMULA MANUAL]","",IFERROR(SUMPRODUCT((nNIA=A683)*(nCUENTA=1)*(COUNTIF(CONFIG_ASIGNATURAS!$B$7:$B$27,nASIG)&gt;0)*(nNOTA))/SUMPRODUCT((nNIA=A683)*(nCUENTA=1)*(COUNTIF(CONFIG_ASIGNATURAS!$B$7:$B$27,nASIG)&gt;0)*1),"")))</f>
        <v/>
      </c>
      <c r="H683" t="str">
        <f>IF(G683="","",IF(G683="[FÓRMULA MANUAL]","",IFERROR(AVERAGEIFS(nNOTA,nNIA,G683,nCUENTA,1,nASIG,"Lenguaje Musical"),"")))</f>
        <v/>
      </c>
      <c r="I683" t="str">
        <f>IF(G683="","",IF(G683="[FÓRMULA MANUAL]","",IFERROR(AVERAGEIFS(nNOTA,nNIA,G683,nCUENTA,1,nASIG,"Orquesta/Banda/Conjunto"),"")))</f>
        <v/>
      </c>
      <c r="J683" t="str">
        <f>IF(G683="","",IF(G683="[FÓRMULA MANUAL]","",IFERROR(AVERAGEIFS(nNOTA,nNIA,G683,nCUENTA,1,nASIG,"Conjunto"),"")))</f>
        <v/>
      </c>
      <c r="K683" t="str">
        <f>IF(G683="","",IF(G683="[FÓRMULA MANUAL]","",IFERROR(SUMPRODUCT((nNIA=G683)*(nCUENTA=1)*(COUNTIF(CONFIG_ASIGNATURAS!$B$7:$B$27,nASIG)&gt;0)*(nNOTA))/SUMPRODUCT((nNIA=G683)*(nCUENTA=1)*(COUNTIF(CONFIG_ASIGNATURAS!$B$7:$B$27,nASIG)&gt;0)*1),"")))</f>
        <v/>
      </c>
      <c r="N683" t="str">
        <f>IF(M683="","",IF(M683="[FÓRMULA MANUAL]","",IFERROR(AVERAGEIFS(nNOTA,nNIA,M683,nCUENTA,1,nASIG,"Armonía"),"")))</f>
        <v/>
      </c>
      <c r="O683" t="str">
        <f>IF(M683="","",IF(M683="[FÓRMULA MANUAL]","",IFERROR(AVERAGEIFS(nNOTA,nNIA,M683,nCUENTA,1,nASIG,"Orquesta/Banda/Conjunto"),"")))</f>
        <v/>
      </c>
      <c r="P683" t="str">
        <f>IF(M683="","",IF(M683="[FÓRMULA MANUAL]","",IFERROR(AVERAGEIFS(nNOTA,nNIA,M683,nCUENTA,1,nASIG,"Música de Cámara"),"")))</f>
        <v/>
      </c>
      <c r="Q683" t="str">
        <f>IF(M683="","",IF(M683="[FÓRMULA MANUAL]","",IFERROR(SUMPRODUCT((nNIA=M683)*(nCUENTA=1)*(COUNTIF(CONFIG_ASIGNATURAS!$B$7:$B$27,nASIG)&gt;0)*(nNOTA))/SUMPRODUCT((nNIA=M683)*(nCUENTA=1)*(COUNTIF(CONFIG_ASIGNATURAS!$B$7:$B$27,nASIG)&gt;0)*1),"")))</f>
        <v/>
      </c>
      <c r="T683" t="str">
        <f>IF(S683="","",IF(S683="[FÓRMULA MANUAL]","",IFERROR(AVERAGEIFS(nNOTA,nNIA,S683,nCUENTA,1,nASIG,"Armonía"),"")))</f>
        <v/>
      </c>
      <c r="U683" t="str">
        <f>IF(S683="","",IF(S683="[FÓRMULA MANUAL]","",IFERROR(AVERAGEIFS(nNOTA,nNIA,S683,nCUENTA,1,nASIG,"Orquesta/Banda/Conjunto"),"")))</f>
        <v/>
      </c>
      <c r="V683" t="str">
        <f>IF(S683="","",IF(S683="[FÓRMULA MANUAL]","",IFERROR(AVERAGEIFS(nNOTA,nNIA,S683,nCUENTA,1,nASIG,"Música de Cámara"),"")))</f>
        <v/>
      </c>
      <c r="W683" t="str">
        <f>IF(S683="","",IF(S683="[FÓRMULA MANUAL]","",IFERROR(SUMPRODUCT((nNIA=S683)*(nCUENTA=1)*(COUNTIF(CONFIG_ASIGNATURAS!$B$7:$B$27,nASIG)&gt;0)*(nNOTA))/SUMPRODUCT((nNIA=S683)*(nCUENTA=1)*(COUNTIF(CONFIG_ASIGNATURAS!$B$7:$B$27,nASIG)&gt;0)*1),"")))</f>
        <v/>
      </c>
      <c r="Z683" t="str">
        <f>IF(Y683="","",IF(Y683="[FÓRMULA MANUAL]","",IFERROR(AVERAGEIFS(nNOTA,nNIA,Y683,nCUENTA,1,nASIG,"Análisis"),"")))</f>
        <v/>
      </c>
      <c r="AA683" t="str">
        <f>IF(Y683="","",IF(Y683="[FÓRMULA MANUAL]","",IFERROR(AVERAGEIFS(nNOTA,nNIA,Y683,nCUENTA,1,nASIG,"Orquesta/Banda/Conjunto"),"")))</f>
        <v/>
      </c>
      <c r="AB683" t="str">
        <f>IF(Y683="","",IF(Y683="[FÓRMULA MANUAL]","",IFERROR(AVERAGEIFS(nNOTA,nNIA,Y683,nCUENTA,1,nASIG,"Música de Cámara"),"")))</f>
        <v/>
      </c>
      <c r="AC683" t="str">
        <f>IF(Y683="","",IF(Y683="[FÓRMULA MANUAL]","",IFERROR(SUMPRODUCT((nNIA=Y683)*(nCUENTA=1)*(COUNTIF(CONFIG_ASIGNATURAS!$B$7:$B$27,nASIG)&gt;0)*(nNOTA))/SUMPRODUCT((nNIA=Y683)*(nCUENTA=1)*(COUNTIF(CONFIG_ASIGNATURAS!$B$7:$B$27,nASIG)&gt;0)*1),"")))</f>
        <v/>
      </c>
      <c r="AF683" t="str">
        <f>IF(AE683="","",IF(AE683="[FÓRMULA MANUAL]","",IFERROR(AVERAGEIFS(nNOTA,nNIA,AE683,nCUENTA,1,nASIG,"Análisis"),"")))</f>
        <v/>
      </c>
      <c r="AG683" t="str">
        <f>IF(AE683="","",IF(AE683="[FÓRMULA MANUAL]","",IFERROR(AVERAGEIFS(nNOTA,nNIA,AE683,nCUENTA,1,nASIG,"Orquesta/Banda/Conjunto"),"")))</f>
        <v/>
      </c>
      <c r="AH683" t="str">
        <f>IF(AE683="","",IF(AE683="[FÓRMULA MANUAL]","",IFERROR(AVERAGEIFS(nNOTA,nNIA,AE683,nCUENTA,1,nASIG,"Música de Cámara"),"")))</f>
        <v/>
      </c>
      <c r="AI683" t="str">
        <f>IF(AE683="","",IF(AE683="[FÓRMULA MANUAL]","",IFERROR(SUMPRODUCT((nNIA=AE683)*(nCUENTA=1)*(COUNTIF(CONFIG_ASIGNATURAS!$B$7:$B$27,nASIG)&gt;0)*(nNOTA))/SUMPRODUCT((nNIA=AE683)*(nCUENTA=1)*(COUNTIF(CONFIG_ASIGNATURAS!$B$7:$B$27,nASIG)&gt;0)*1),"")))</f>
        <v/>
      </c>
    </row>
    <row r="684" spans="2:35" x14ac:dyDescent="0.2">
      <c r="B684" t="str">
        <f>IF(A684="","",IF(A684="[FÓRMULA MANUAL]","",IFERROR(AVERAGEIFS(nNOTA,nNIA,A684,nCUENTA,1,nASIG,"Lenguaje Musical"),"")))</f>
        <v/>
      </c>
      <c r="C684" t="str">
        <f>IF(A684="","",IF(A684="[FÓRMULA MANUAL]","",IFERROR(AVERAGEIFS(nNOTA,nNIA,A684,nCUENTA,1,nASIG,"Orquesta/Banda/Conjunto"),"")))</f>
        <v/>
      </c>
      <c r="D684" t="str">
        <f>IF(A684="","",IF(A684="[FÓRMULA MANUAL]","",IFERROR(AVERAGEIFS(nNOTA,nNIA,A684,nCUENTA,1,nASIG,"Conjunto"),"")))</f>
        <v/>
      </c>
      <c r="E684" t="str">
        <f>IF(A684="","",IF(A684="[FÓRMULA MANUAL]","",IFERROR(SUMPRODUCT((nNIA=A684)*(nCUENTA=1)*(COUNTIF(CONFIG_ASIGNATURAS!$B$7:$B$27,nASIG)&gt;0)*(nNOTA))/SUMPRODUCT((nNIA=A684)*(nCUENTA=1)*(COUNTIF(CONFIG_ASIGNATURAS!$B$7:$B$27,nASIG)&gt;0)*1),"")))</f>
        <v/>
      </c>
      <c r="H684" t="str">
        <f>IF(G684="","",IF(G684="[FÓRMULA MANUAL]","",IFERROR(AVERAGEIFS(nNOTA,nNIA,G684,nCUENTA,1,nASIG,"Lenguaje Musical"),"")))</f>
        <v/>
      </c>
      <c r="I684" t="str">
        <f>IF(G684="","",IF(G684="[FÓRMULA MANUAL]","",IFERROR(AVERAGEIFS(nNOTA,nNIA,G684,nCUENTA,1,nASIG,"Orquesta/Banda/Conjunto"),"")))</f>
        <v/>
      </c>
      <c r="J684" t="str">
        <f>IF(G684="","",IF(G684="[FÓRMULA MANUAL]","",IFERROR(AVERAGEIFS(nNOTA,nNIA,G684,nCUENTA,1,nASIG,"Conjunto"),"")))</f>
        <v/>
      </c>
      <c r="K684" t="str">
        <f>IF(G684="","",IF(G684="[FÓRMULA MANUAL]","",IFERROR(SUMPRODUCT((nNIA=G684)*(nCUENTA=1)*(COUNTIF(CONFIG_ASIGNATURAS!$B$7:$B$27,nASIG)&gt;0)*(nNOTA))/SUMPRODUCT((nNIA=G684)*(nCUENTA=1)*(COUNTIF(CONFIG_ASIGNATURAS!$B$7:$B$27,nASIG)&gt;0)*1),"")))</f>
        <v/>
      </c>
      <c r="N684" t="str">
        <f>IF(M684="","",IF(M684="[FÓRMULA MANUAL]","",IFERROR(AVERAGEIFS(nNOTA,nNIA,M684,nCUENTA,1,nASIG,"Armonía"),"")))</f>
        <v/>
      </c>
      <c r="O684" t="str">
        <f>IF(M684="","",IF(M684="[FÓRMULA MANUAL]","",IFERROR(AVERAGEIFS(nNOTA,nNIA,M684,nCUENTA,1,nASIG,"Orquesta/Banda/Conjunto"),"")))</f>
        <v/>
      </c>
      <c r="P684" t="str">
        <f>IF(M684="","",IF(M684="[FÓRMULA MANUAL]","",IFERROR(AVERAGEIFS(nNOTA,nNIA,M684,nCUENTA,1,nASIG,"Música de Cámara"),"")))</f>
        <v/>
      </c>
      <c r="Q684" t="str">
        <f>IF(M684="","",IF(M684="[FÓRMULA MANUAL]","",IFERROR(SUMPRODUCT((nNIA=M684)*(nCUENTA=1)*(COUNTIF(CONFIG_ASIGNATURAS!$B$7:$B$27,nASIG)&gt;0)*(nNOTA))/SUMPRODUCT((nNIA=M684)*(nCUENTA=1)*(COUNTIF(CONFIG_ASIGNATURAS!$B$7:$B$27,nASIG)&gt;0)*1),"")))</f>
        <v/>
      </c>
      <c r="T684" t="str">
        <f>IF(S684="","",IF(S684="[FÓRMULA MANUAL]","",IFERROR(AVERAGEIFS(nNOTA,nNIA,S684,nCUENTA,1,nASIG,"Armonía"),"")))</f>
        <v/>
      </c>
      <c r="U684" t="str">
        <f>IF(S684="","",IF(S684="[FÓRMULA MANUAL]","",IFERROR(AVERAGEIFS(nNOTA,nNIA,S684,nCUENTA,1,nASIG,"Orquesta/Banda/Conjunto"),"")))</f>
        <v/>
      </c>
      <c r="V684" t="str">
        <f>IF(S684="","",IF(S684="[FÓRMULA MANUAL]","",IFERROR(AVERAGEIFS(nNOTA,nNIA,S684,nCUENTA,1,nASIG,"Música de Cámara"),"")))</f>
        <v/>
      </c>
      <c r="W684" t="str">
        <f>IF(S684="","",IF(S684="[FÓRMULA MANUAL]","",IFERROR(SUMPRODUCT((nNIA=S684)*(nCUENTA=1)*(COUNTIF(CONFIG_ASIGNATURAS!$B$7:$B$27,nASIG)&gt;0)*(nNOTA))/SUMPRODUCT((nNIA=S684)*(nCUENTA=1)*(COUNTIF(CONFIG_ASIGNATURAS!$B$7:$B$27,nASIG)&gt;0)*1),"")))</f>
        <v/>
      </c>
      <c r="Z684" t="str">
        <f>IF(Y684="","",IF(Y684="[FÓRMULA MANUAL]","",IFERROR(AVERAGEIFS(nNOTA,nNIA,Y684,nCUENTA,1,nASIG,"Análisis"),"")))</f>
        <v/>
      </c>
      <c r="AA684" t="str">
        <f>IF(Y684="","",IF(Y684="[FÓRMULA MANUAL]","",IFERROR(AVERAGEIFS(nNOTA,nNIA,Y684,nCUENTA,1,nASIG,"Orquesta/Banda/Conjunto"),"")))</f>
        <v/>
      </c>
      <c r="AB684" t="str">
        <f>IF(Y684="","",IF(Y684="[FÓRMULA MANUAL]","",IFERROR(AVERAGEIFS(nNOTA,nNIA,Y684,nCUENTA,1,nASIG,"Música de Cámara"),"")))</f>
        <v/>
      </c>
      <c r="AC684" t="str">
        <f>IF(Y684="","",IF(Y684="[FÓRMULA MANUAL]","",IFERROR(SUMPRODUCT((nNIA=Y684)*(nCUENTA=1)*(COUNTIF(CONFIG_ASIGNATURAS!$B$7:$B$27,nASIG)&gt;0)*(nNOTA))/SUMPRODUCT((nNIA=Y684)*(nCUENTA=1)*(COUNTIF(CONFIG_ASIGNATURAS!$B$7:$B$27,nASIG)&gt;0)*1),"")))</f>
        <v/>
      </c>
      <c r="AF684" t="str">
        <f>IF(AE684="","",IF(AE684="[FÓRMULA MANUAL]","",IFERROR(AVERAGEIFS(nNOTA,nNIA,AE684,nCUENTA,1,nASIG,"Análisis"),"")))</f>
        <v/>
      </c>
      <c r="AG684" t="str">
        <f>IF(AE684="","",IF(AE684="[FÓRMULA MANUAL]","",IFERROR(AVERAGEIFS(nNOTA,nNIA,AE684,nCUENTA,1,nASIG,"Orquesta/Banda/Conjunto"),"")))</f>
        <v/>
      </c>
      <c r="AH684" t="str">
        <f>IF(AE684="","",IF(AE684="[FÓRMULA MANUAL]","",IFERROR(AVERAGEIFS(nNOTA,nNIA,AE684,nCUENTA,1,nASIG,"Música de Cámara"),"")))</f>
        <v/>
      </c>
      <c r="AI684" t="str">
        <f>IF(AE684="","",IF(AE684="[FÓRMULA MANUAL]","",IFERROR(SUMPRODUCT((nNIA=AE684)*(nCUENTA=1)*(COUNTIF(CONFIG_ASIGNATURAS!$B$7:$B$27,nASIG)&gt;0)*(nNOTA))/SUMPRODUCT((nNIA=AE684)*(nCUENTA=1)*(COUNTIF(CONFIG_ASIGNATURAS!$B$7:$B$27,nASIG)&gt;0)*1),"")))</f>
        <v/>
      </c>
    </row>
    <row r="685" spans="2:35" x14ac:dyDescent="0.2">
      <c r="B685" t="str">
        <f>IF(A685="","",IF(A685="[FÓRMULA MANUAL]","",IFERROR(AVERAGEIFS(nNOTA,nNIA,A685,nCUENTA,1,nASIG,"Lenguaje Musical"),"")))</f>
        <v/>
      </c>
      <c r="C685" t="str">
        <f>IF(A685="","",IF(A685="[FÓRMULA MANUAL]","",IFERROR(AVERAGEIFS(nNOTA,nNIA,A685,nCUENTA,1,nASIG,"Orquesta/Banda/Conjunto"),"")))</f>
        <v/>
      </c>
      <c r="D685" t="str">
        <f>IF(A685="","",IF(A685="[FÓRMULA MANUAL]","",IFERROR(AVERAGEIFS(nNOTA,nNIA,A685,nCUENTA,1,nASIG,"Conjunto"),"")))</f>
        <v/>
      </c>
      <c r="E685" t="str">
        <f>IF(A685="","",IF(A685="[FÓRMULA MANUAL]","",IFERROR(SUMPRODUCT((nNIA=A685)*(nCUENTA=1)*(COUNTIF(CONFIG_ASIGNATURAS!$B$7:$B$27,nASIG)&gt;0)*(nNOTA))/SUMPRODUCT((nNIA=A685)*(nCUENTA=1)*(COUNTIF(CONFIG_ASIGNATURAS!$B$7:$B$27,nASIG)&gt;0)*1),"")))</f>
        <v/>
      </c>
      <c r="H685" t="str">
        <f>IF(G685="","",IF(G685="[FÓRMULA MANUAL]","",IFERROR(AVERAGEIFS(nNOTA,nNIA,G685,nCUENTA,1,nASIG,"Lenguaje Musical"),"")))</f>
        <v/>
      </c>
      <c r="I685" t="str">
        <f>IF(G685="","",IF(G685="[FÓRMULA MANUAL]","",IFERROR(AVERAGEIFS(nNOTA,nNIA,G685,nCUENTA,1,nASIG,"Orquesta/Banda/Conjunto"),"")))</f>
        <v/>
      </c>
      <c r="J685" t="str">
        <f>IF(G685="","",IF(G685="[FÓRMULA MANUAL]","",IFERROR(AVERAGEIFS(nNOTA,nNIA,G685,nCUENTA,1,nASIG,"Conjunto"),"")))</f>
        <v/>
      </c>
      <c r="K685" t="str">
        <f>IF(G685="","",IF(G685="[FÓRMULA MANUAL]","",IFERROR(SUMPRODUCT((nNIA=G685)*(nCUENTA=1)*(COUNTIF(CONFIG_ASIGNATURAS!$B$7:$B$27,nASIG)&gt;0)*(nNOTA))/SUMPRODUCT((nNIA=G685)*(nCUENTA=1)*(COUNTIF(CONFIG_ASIGNATURAS!$B$7:$B$27,nASIG)&gt;0)*1),"")))</f>
        <v/>
      </c>
      <c r="N685" t="str">
        <f>IF(M685="","",IF(M685="[FÓRMULA MANUAL]","",IFERROR(AVERAGEIFS(nNOTA,nNIA,M685,nCUENTA,1,nASIG,"Armonía"),"")))</f>
        <v/>
      </c>
      <c r="O685" t="str">
        <f>IF(M685="","",IF(M685="[FÓRMULA MANUAL]","",IFERROR(AVERAGEIFS(nNOTA,nNIA,M685,nCUENTA,1,nASIG,"Orquesta/Banda/Conjunto"),"")))</f>
        <v/>
      </c>
      <c r="P685" t="str">
        <f>IF(M685="","",IF(M685="[FÓRMULA MANUAL]","",IFERROR(AVERAGEIFS(nNOTA,nNIA,M685,nCUENTA,1,nASIG,"Música de Cámara"),"")))</f>
        <v/>
      </c>
      <c r="Q685" t="str">
        <f>IF(M685="","",IF(M685="[FÓRMULA MANUAL]","",IFERROR(SUMPRODUCT((nNIA=M685)*(nCUENTA=1)*(COUNTIF(CONFIG_ASIGNATURAS!$B$7:$B$27,nASIG)&gt;0)*(nNOTA))/SUMPRODUCT((nNIA=M685)*(nCUENTA=1)*(COUNTIF(CONFIG_ASIGNATURAS!$B$7:$B$27,nASIG)&gt;0)*1),"")))</f>
        <v/>
      </c>
      <c r="T685" t="str">
        <f>IF(S685="","",IF(S685="[FÓRMULA MANUAL]","",IFERROR(AVERAGEIFS(nNOTA,nNIA,S685,nCUENTA,1,nASIG,"Armonía"),"")))</f>
        <v/>
      </c>
      <c r="U685" t="str">
        <f>IF(S685="","",IF(S685="[FÓRMULA MANUAL]","",IFERROR(AVERAGEIFS(nNOTA,nNIA,S685,nCUENTA,1,nASIG,"Orquesta/Banda/Conjunto"),"")))</f>
        <v/>
      </c>
      <c r="V685" t="str">
        <f>IF(S685="","",IF(S685="[FÓRMULA MANUAL]","",IFERROR(AVERAGEIFS(nNOTA,nNIA,S685,nCUENTA,1,nASIG,"Música de Cámara"),"")))</f>
        <v/>
      </c>
      <c r="W685" t="str">
        <f>IF(S685="","",IF(S685="[FÓRMULA MANUAL]","",IFERROR(SUMPRODUCT((nNIA=S685)*(nCUENTA=1)*(COUNTIF(CONFIG_ASIGNATURAS!$B$7:$B$27,nASIG)&gt;0)*(nNOTA))/SUMPRODUCT((nNIA=S685)*(nCUENTA=1)*(COUNTIF(CONFIG_ASIGNATURAS!$B$7:$B$27,nASIG)&gt;0)*1),"")))</f>
        <v/>
      </c>
      <c r="Z685" t="str">
        <f>IF(Y685="","",IF(Y685="[FÓRMULA MANUAL]","",IFERROR(AVERAGEIFS(nNOTA,nNIA,Y685,nCUENTA,1,nASIG,"Análisis"),"")))</f>
        <v/>
      </c>
      <c r="AA685" t="str">
        <f>IF(Y685="","",IF(Y685="[FÓRMULA MANUAL]","",IFERROR(AVERAGEIFS(nNOTA,nNIA,Y685,nCUENTA,1,nASIG,"Orquesta/Banda/Conjunto"),"")))</f>
        <v/>
      </c>
      <c r="AB685" t="str">
        <f>IF(Y685="","",IF(Y685="[FÓRMULA MANUAL]","",IFERROR(AVERAGEIFS(nNOTA,nNIA,Y685,nCUENTA,1,nASIG,"Música de Cámara"),"")))</f>
        <v/>
      </c>
      <c r="AC685" t="str">
        <f>IF(Y685="","",IF(Y685="[FÓRMULA MANUAL]","",IFERROR(SUMPRODUCT((nNIA=Y685)*(nCUENTA=1)*(COUNTIF(CONFIG_ASIGNATURAS!$B$7:$B$27,nASIG)&gt;0)*(nNOTA))/SUMPRODUCT((nNIA=Y685)*(nCUENTA=1)*(COUNTIF(CONFIG_ASIGNATURAS!$B$7:$B$27,nASIG)&gt;0)*1),"")))</f>
        <v/>
      </c>
      <c r="AF685" t="str">
        <f>IF(AE685="","",IF(AE685="[FÓRMULA MANUAL]","",IFERROR(AVERAGEIFS(nNOTA,nNIA,AE685,nCUENTA,1,nASIG,"Análisis"),"")))</f>
        <v/>
      </c>
      <c r="AG685" t="str">
        <f>IF(AE685="","",IF(AE685="[FÓRMULA MANUAL]","",IFERROR(AVERAGEIFS(nNOTA,nNIA,AE685,nCUENTA,1,nASIG,"Orquesta/Banda/Conjunto"),"")))</f>
        <v/>
      </c>
      <c r="AH685" t="str">
        <f>IF(AE685="","",IF(AE685="[FÓRMULA MANUAL]","",IFERROR(AVERAGEIFS(nNOTA,nNIA,AE685,nCUENTA,1,nASIG,"Música de Cámara"),"")))</f>
        <v/>
      </c>
      <c r="AI685" t="str">
        <f>IF(AE685="","",IF(AE685="[FÓRMULA MANUAL]","",IFERROR(SUMPRODUCT((nNIA=AE685)*(nCUENTA=1)*(COUNTIF(CONFIG_ASIGNATURAS!$B$7:$B$27,nASIG)&gt;0)*(nNOTA))/SUMPRODUCT((nNIA=AE685)*(nCUENTA=1)*(COUNTIF(CONFIG_ASIGNATURAS!$B$7:$B$27,nASIG)&gt;0)*1),"")))</f>
        <v/>
      </c>
    </row>
    <row r="686" spans="2:35" x14ac:dyDescent="0.2">
      <c r="B686" t="str">
        <f>IF(A686="","",IF(A686="[FÓRMULA MANUAL]","",IFERROR(AVERAGEIFS(nNOTA,nNIA,A686,nCUENTA,1,nASIG,"Lenguaje Musical"),"")))</f>
        <v/>
      </c>
      <c r="C686" t="str">
        <f>IF(A686="","",IF(A686="[FÓRMULA MANUAL]","",IFERROR(AVERAGEIFS(nNOTA,nNIA,A686,nCUENTA,1,nASIG,"Orquesta/Banda/Conjunto"),"")))</f>
        <v/>
      </c>
      <c r="D686" t="str">
        <f>IF(A686="","",IF(A686="[FÓRMULA MANUAL]","",IFERROR(AVERAGEIFS(nNOTA,nNIA,A686,nCUENTA,1,nASIG,"Conjunto"),"")))</f>
        <v/>
      </c>
      <c r="E686" t="str">
        <f>IF(A686="","",IF(A686="[FÓRMULA MANUAL]","",IFERROR(SUMPRODUCT((nNIA=A686)*(nCUENTA=1)*(COUNTIF(CONFIG_ASIGNATURAS!$B$7:$B$27,nASIG)&gt;0)*(nNOTA))/SUMPRODUCT((nNIA=A686)*(nCUENTA=1)*(COUNTIF(CONFIG_ASIGNATURAS!$B$7:$B$27,nASIG)&gt;0)*1),"")))</f>
        <v/>
      </c>
      <c r="H686" t="str">
        <f>IF(G686="","",IF(G686="[FÓRMULA MANUAL]","",IFERROR(AVERAGEIFS(nNOTA,nNIA,G686,nCUENTA,1,nASIG,"Lenguaje Musical"),"")))</f>
        <v/>
      </c>
      <c r="I686" t="str">
        <f>IF(G686="","",IF(G686="[FÓRMULA MANUAL]","",IFERROR(AVERAGEIFS(nNOTA,nNIA,G686,nCUENTA,1,nASIG,"Orquesta/Banda/Conjunto"),"")))</f>
        <v/>
      </c>
      <c r="J686" t="str">
        <f>IF(G686="","",IF(G686="[FÓRMULA MANUAL]","",IFERROR(AVERAGEIFS(nNOTA,nNIA,G686,nCUENTA,1,nASIG,"Conjunto"),"")))</f>
        <v/>
      </c>
      <c r="K686" t="str">
        <f>IF(G686="","",IF(G686="[FÓRMULA MANUAL]","",IFERROR(SUMPRODUCT((nNIA=G686)*(nCUENTA=1)*(COUNTIF(CONFIG_ASIGNATURAS!$B$7:$B$27,nASIG)&gt;0)*(nNOTA))/SUMPRODUCT((nNIA=G686)*(nCUENTA=1)*(COUNTIF(CONFIG_ASIGNATURAS!$B$7:$B$27,nASIG)&gt;0)*1),"")))</f>
        <v/>
      </c>
      <c r="N686" t="str">
        <f>IF(M686="","",IF(M686="[FÓRMULA MANUAL]","",IFERROR(AVERAGEIFS(nNOTA,nNIA,M686,nCUENTA,1,nASIG,"Armonía"),"")))</f>
        <v/>
      </c>
      <c r="O686" t="str">
        <f>IF(M686="","",IF(M686="[FÓRMULA MANUAL]","",IFERROR(AVERAGEIFS(nNOTA,nNIA,M686,nCUENTA,1,nASIG,"Orquesta/Banda/Conjunto"),"")))</f>
        <v/>
      </c>
      <c r="P686" t="str">
        <f>IF(M686="","",IF(M686="[FÓRMULA MANUAL]","",IFERROR(AVERAGEIFS(nNOTA,nNIA,M686,nCUENTA,1,nASIG,"Música de Cámara"),"")))</f>
        <v/>
      </c>
      <c r="Q686" t="str">
        <f>IF(M686="","",IF(M686="[FÓRMULA MANUAL]","",IFERROR(SUMPRODUCT((nNIA=M686)*(nCUENTA=1)*(COUNTIF(CONFIG_ASIGNATURAS!$B$7:$B$27,nASIG)&gt;0)*(nNOTA))/SUMPRODUCT((nNIA=M686)*(nCUENTA=1)*(COUNTIF(CONFIG_ASIGNATURAS!$B$7:$B$27,nASIG)&gt;0)*1),"")))</f>
        <v/>
      </c>
      <c r="T686" t="str">
        <f>IF(S686="","",IF(S686="[FÓRMULA MANUAL]","",IFERROR(AVERAGEIFS(nNOTA,nNIA,S686,nCUENTA,1,nASIG,"Armonía"),"")))</f>
        <v/>
      </c>
      <c r="U686" t="str">
        <f>IF(S686="","",IF(S686="[FÓRMULA MANUAL]","",IFERROR(AVERAGEIFS(nNOTA,nNIA,S686,nCUENTA,1,nASIG,"Orquesta/Banda/Conjunto"),"")))</f>
        <v/>
      </c>
      <c r="V686" t="str">
        <f>IF(S686="","",IF(S686="[FÓRMULA MANUAL]","",IFERROR(AVERAGEIFS(nNOTA,nNIA,S686,nCUENTA,1,nASIG,"Música de Cámara"),"")))</f>
        <v/>
      </c>
      <c r="W686" t="str">
        <f>IF(S686="","",IF(S686="[FÓRMULA MANUAL]","",IFERROR(SUMPRODUCT((nNIA=S686)*(nCUENTA=1)*(COUNTIF(CONFIG_ASIGNATURAS!$B$7:$B$27,nASIG)&gt;0)*(nNOTA))/SUMPRODUCT((nNIA=S686)*(nCUENTA=1)*(COUNTIF(CONFIG_ASIGNATURAS!$B$7:$B$27,nASIG)&gt;0)*1),"")))</f>
        <v/>
      </c>
      <c r="Z686" t="str">
        <f>IF(Y686="","",IF(Y686="[FÓRMULA MANUAL]","",IFERROR(AVERAGEIFS(nNOTA,nNIA,Y686,nCUENTA,1,nASIG,"Análisis"),"")))</f>
        <v/>
      </c>
      <c r="AA686" t="str">
        <f>IF(Y686="","",IF(Y686="[FÓRMULA MANUAL]","",IFERROR(AVERAGEIFS(nNOTA,nNIA,Y686,nCUENTA,1,nASIG,"Orquesta/Banda/Conjunto"),"")))</f>
        <v/>
      </c>
      <c r="AB686" t="str">
        <f>IF(Y686="","",IF(Y686="[FÓRMULA MANUAL]","",IFERROR(AVERAGEIFS(nNOTA,nNIA,Y686,nCUENTA,1,nASIG,"Música de Cámara"),"")))</f>
        <v/>
      </c>
      <c r="AC686" t="str">
        <f>IF(Y686="","",IF(Y686="[FÓRMULA MANUAL]","",IFERROR(SUMPRODUCT((nNIA=Y686)*(nCUENTA=1)*(COUNTIF(CONFIG_ASIGNATURAS!$B$7:$B$27,nASIG)&gt;0)*(nNOTA))/SUMPRODUCT((nNIA=Y686)*(nCUENTA=1)*(COUNTIF(CONFIG_ASIGNATURAS!$B$7:$B$27,nASIG)&gt;0)*1),"")))</f>
        <v/>
      </c>
      <c r="AF686" t="str">
        <f>IF(AE686="","",IF(AE686="[FÓRMULA MANUAL]","",IFERROR(AVERAGEIFS(nNOTA,nNIA,AE686,nCUENTA,1,nASIG,"Análisis"),"")))</f>
        <v/>
      </c>
      <c r="AG686" t="str">
        <f>IF(AE686="","",IF(AE686="[FÓRMULA MANUAL]","",IFERROR(AVERAGEIFS(nNOTA,nNIA,AE686,nCUENTA,1,nASIG,"Orquesta/Banda/Conjunto"),"")))</f>
        <v/>
      </c>
      <c r="AH686" t="str">
        <f>IF(AE686="","",IF(AE686="[FÓRMULA MANUAL]","",IFERROR(AVERAGEIFS(nNOTA,nNIA,AE686,nCUENTA,1,nASIG,"Música de Cámara"),"")))</f>
        <v/>
      </c>
      <c r="AI686" t="str">
        <f>IF(AE686="","",IF(AE686="[FÓRMULA MANUAL]","",IFERROR(SUMPRODUCT((nNIA=AE686)*(nCUENTA=1)*(COUNTIF(CONFIG_ASIGNATURAS!$B$7:$B$27,nASIG)&gt;0)*(nNOTA))/SUMPRODUCT((nNIA=AE686)*(nCUENTA=1)*(COUNTIF(CONFIG_ASIGNATURAS!$B$7:$B$27,nASIG)&gt;0)*1),"")))</f>
        <v/>
      </c>
    </row>
    <row r="687" spans="2:35" x14ac:dyDescent="0.2">
      <c r="B687" t="str">
        <f>IF(A687="","",IF(A687="[FÓRMULA MANUAL]","",IFERROR(AVERAGEIFS(nNOTA,nNIA,A687,nCUENTA,1,nASIG,"Lenguaje Musical"),"")))</f>
        <v/>
      </c>
      <c r="C687" t="str">
        <f>IF(A687="","",IF(A687="[FÓRMULA MANUAL]","",IFERROR(AVERAGEIFS(nNOTA,nNIA,A687,nCUENTA,1,nASIG,"Orquesta/Banda/Conjunto"),"")))</f>
        <v/>
      </c>
      <c r="D687" t="str">
        <f>IF(A687="","",IF(A687="[FÓRMULA MANUAL]","",IFERROR(AVERAGEIFS(nNOTA,nNIA,A687,nCUENTA,1,nASIG,"Conjunto"),"")))</f>
        <v/>
      </c>
      <c r="E687" t="str">
        <f>IF(A687="","",IF(A687="[FÓRMULA MANUAL]","",IFERROR(SUMPRODUCT((nNIA=A687)*(nCUENTA=1)*(COUNTIF(CONFIG_ASIGNATURAS!$B$7:$B$27,nASIG)&gt;0)*(nNOTA))/SUMPRODUCT((nNIA=A687)*(nCUENTA=1)*(COUNTIF(CONFIG_ASIGNATURAS!$B$7:$B$27,nASIG)&gt;0)*1),"")))</f>
        <v/>
      </c>
      <c r="H687" t="str">
        <f>IF(G687="","",IF(G687="[FÓRMULA MANUAL]","",IFERROR(AVERAGEIFS(nNOTA,nNIA,G687,nCUENTA,1,nASIG,"Lenguaje Musical"),"")))</f>
        <v/>
      </c>
      <c r="I687" t="str">
        <f>IF(G687="","",IF(G687="[FÓRMULA MANUAL]","",IFERROR(AVERAGEIFS(nNOTA,nNIA,G687,nCUENTA,1,nASIG,"Orquesta/Banda/Conjunto"),"")))</f>
        <v/>
      </c>
      <c r="J687" t="str">
        <f>IF(G687="","",IF(G687="[FÓRMULA MANUAL]","",IFERROR(AVERAGEIFS(nNOTA,nNIA,G687,nCUENTA,1,nASIG,"Conjunto"),"")))</f>
        <v/>
      </c>
      <c r="K687" t="str">
        <f>IF(G687="","",IF(G687="[FÓRMULA MANUAL]","",IFERROR(SUMPRODUCT((nNIA=G687)*(nCUENTA=1)*(COUNTIF(CONFIG_ASIGNATURAS!$B$7:$B$27,nASIG)&gt;0)*(nNOTA))/SUMPRODUCT((nNIA=G687)*(nCUENTA=1)*(COUNTIF(CONFIG_ASIGNATURAS!$B$7:$B$27,nASIG)&gt;0)*1),"")))</f>
        <v/>
      </c>
      <c r="N687" t="str">
        <f>IF(M687="","",IF(M687="[FÓRMULA MANUAL]","",IFERROR(AVERAGEIFS(nNOTA,nNIA,M687,nCUENTA,1,nASIG,"Armonía"),"")))</f>
        <v/>
      </c>
      <c r="O687" t="str">
        <f>IF(M687="","",IF(M687="[FÓRMULA MANUAL]","",IFERROR(AVERAGEIFS(nNOTA,nNIA,M687,nCUENTA,1,nASIG,"Orquesta/Banda/Conjunto"),"")))</f>
        <v/>
      </c>
      <c r="P687" t="str">
        <f>IF(M687="","",IF(M687="[FÓRMULA MANUAL]","",IFERROR(AVERAGEIFS(nNOTA,nNIA,M687,nCUENTA,1,nASIG,"Música de Cámara"),"")))</f>
        <v/>
      </c>
      <c r="Q687" t="str">
        <f>IF(M687="","",IF(M687="[FÓRMULA MANUAL]","",IFERROR(SUMPRODUCT((nNIA=M687)*(nCUENTA=1)*(COUNTIF(CONFIG_ASIGNATURAS!$B$7:$B$27,nASIG)&gt;0)*(nNOTA))/SUMPRODUCT((nNIA=M687)*(nCUENTA=1)*(COUNTIF(CONFIG_ASIGNATURAS!$B$7:$B$27,nASIG)&gt;0)*1),"")))</f>
        <v/>
      </c>
      <c r="T687" t="str">
        <f>IF(S687="","",IF(S687="[FÓRMULA MANUAL]","",IFERROR(AVERAGEIFS(nNOTA,nNIA,S687,nCUENTA,1,nASIG,"Armonía"),"")))</f>
        <v/>
      </c>
      <c r="U687" t="str">
        <f>IF(S687="","",IF(S687="[FÓRMULA MANUAL]","",IFERROR(AVERAGEIFS(nNOTA,nNIA,S687,nCUENTA,1,nASIG,"Orquesta/Banda/Conjunto"),"")))</f>
        <v/>
      </c>
      <c r="V687" t="str">
        <f>IF(S687="","",IF(S687="[FÓRMULA MANUAL]","",IFERROR(AVERAGEIFS(nNOTA,nNIA,S687,nCUENTA,1,nASIG,"Música de Cámara"),"")))</f>
        <v/>
      </c>
      <c r="W687" t="str">
        <f>IF(S687="","",IF(S687="[FÓRMULA MANUAL]","",IFERROR(SUMPRODUCT((nNIA=S687)*(nCUENTA=1)*(COUNTIF(CONFIG_ASIGNATURAS!$B$7:$B$27,nASIG)&gt;0)*(nNOTA))/SUMPRODUCT((nNIA=S687)*(nCUENTA=1)*(COUNTIF(CONFIG_ASIGNATURAS!$B$7:$B$27,nASIG)&gt;0)*1),"")))</f>
        <v/>
      </c>
      <c r="Z687" t="str">
        <f>IF(Y687="","",IF(Y687="[FÓRMULA MANUAL]","",IFERROR(AVERAGEIFS(nNOTA,nNIA,Y687,nCUENTA,1,nASIG,"Análisis"),"")))</f>
        <v/>
      </c>
      <c r="AA687" t="str">
        <f>IF(Y687="","",IF(Y687="[FÓRMULA MANUAL]","",IFERROR(AVERAGEIFS(nNOTA,nNIA,Y687,nCUENTA,1,nASIG,"Orquesta/Banda/Conjunto"),"")))</f>
        <v/>
      </c>
      <c r="AB687" t="str">
        <f>IF(Y687="","",IF(Y687="[FÓRMULA MANUAL]","",IFERROR(AVERAGEIFS(nNOTA,nNIA,Y687,nCUENTA,1,nASIG,"Música de Cámara"),"")))</f>
        <v/>
      </c>
      <c r="AC687" t="str">
        <f>IF(Y687="","",IF(Y687="[FÓRMULA MANUAL]","",IFERROR(SUMPRODUCT((nNIA=Y687)*(nCUENTA=1)*(COUNTIF(CONFIG_ASIGNATURAS!$B$7:$B$27,nASIG)&gt;0)*(nNOTA))/SUMPRODUCT((nNIA=Y687)*(nCUENTA=1)*(COUNTIF(CONFIG_ASIGNATURAS!$B$7:$B$27,nASIG)&gt;0)*1),"")))</f>
        <v/>
      </c>
      <c r="AF687" t="str">
        <f>IF(AE687="","",IF(AE687="[FÓRMULA MANUAL]","",IFERROR(AVERAGEIFS(nNOTA,nNIA,AE687,nCUENTA,1,nASIG,"Análisis"),"")))</f>
        <v/>
      </c>
      <c r="AG687" t="str">
        <f>IF(AE687="","",IF(AE687="[FÓRMULA MANUAL]","",IFERROR(AVERAGEIFS(nNOTA,nNIA,AE687,nCUENTA,1,nASIG,"Orquesta/Banda/Conjunto"),"")))</f>
        <v/>
      </c>
      <c r="AH687" t="str">
        <f>IF(AE687="","",IF(AE687="[FÓRMULA MANUAL]","",IFERROR(AVERAGEIFS(nNOTA,nNIA,AE687,nCUENTA,1,nASIG,"Música de Cámara"),"")))</f>
        <v/>
      </c>
      <c r="AI687" t="str">
        <f>IF(AE687="","",IF(AE687="[FÓRMULA MANUAL]","",IFERROR(SUMPRODUCT((nNIA=AE687)*(nCUENTA=1)*(COUNTIF(CONFIG_ASIGNATURAS!$B$7:$B$27,nASIG)&gt;0)*(nNOTA))/SUMPRODUCT((nNIA=AE687)*(nCUENTA=1)*(COUNTIF(CONFIG_ASIGNATURAS!$B$7:$B$27,nASIG)&gt;0)*1),"")))</f>
        <v/>
      </c>
    </row>
    <row r="688" spans="2:35" x14ac:dyDescent="0.2">
      <c r="B688" t="str">
        <f>IF(A688="","",IF(A688="[FÓRMULA MANUAL]","",IFERROR(AVERAGEIFS(nNOTA,nNIA,A688,nCUENTA,1,nASIG,"Lenguaje Musical"),"")))</f>
        <v/>
      </c>
      <c r="C688" t="str">
        <f>IF(A688="","",IF(A688="[FÓRMULA MANUAL]","",IFERROR(AVERAGEIFS(nNOTA,nNIA,A688,nCUENTA,1,nASIG,"Orquesta/Banda/Conjunto"),"")))</f>
        <v/>
      </c>
      <c r="D688" t="str">
        <f>IF(A688="","",IF(A688="[FÓRMULA MANUAL]","",IFERROR(AVERAGEIFS(nNOTA,nNIA,A688,nCUENTA,1,nASIG,"Conjunto"),"")))</f>
        <v/>
      </c>
      <c r="E688" t="str">
        <f>IF(A688="","",IF(A688="[FÓRMULA MANUAL]","",IFERROR(SUMPRODUCT((nNIA=A688)*(nCUENTA=1)*(COUNTIF(CONFIG_ASIGNATURAS!$B$7:$B$27,nASIG)&gt;0)*(nNOTA))/SUMPRODUCT((nNIA=A688)*(nCUENTA=1)*(COUNTIF(CONFIG_ASIGNATURAS!$B$7:$B$27,nASIG)&gt;0)*1),"")))</f>
        <v/>
      </c>
      <c r="H688" t="str">
        <f>IF(G688="","",IF(G688="[FÓRMULA MANUAL]","",IFERROR(AVERAGEIFS(nNOTA,nNIA,G688,nCUENTA,1,nASIG,"Lenguaje Musical"),"")))</f>
        <v/>
      </c>
      <c r="I688" t="str">
        <f>IF(G688="","",IF(G688="[FÓRMULA MANUAL]","",IFERROR(AVERAGEIFS(nNOTA,nNIA,G688,nCUENTA,1,nASIG,"Orquesta/Banda/Conjunto"),"")))</f>
        <v/>
      </c>
      <c r="J688" t="str">
        <f>IF(G688="","",IF(G688="[FÓRMULA MANUAL]","",IFERROR(AVERAGEIFS(nNOTA,nNIA,G688,nCUENTA,1,nASIG,"Conjunto"),"")))</f>
        <v/>
      </c>
      <c r="K688" t="str">
        <f>IF(G688="","",IF(G688="[FÓRMULA MANUAL]","",IFERROR(SUMPRODUCT((nNIA=G688)*(nCUENTA=1)*(COUNTIF(CONFIG_ASIGNATURAS!$B$7:$B$27,nASIG)&gt;0)*(nNOTA))/SUMPRODUCT((nNIA=G688)*(nCUENTA=1)*(COUNTIF(CONFIG_ASIGNATURAS!$B$7:$B$27,nASIG)&gt;0)*1),"")))</f>
        <v/>
      </c>
      <c r="N688" t="str">
        <f>IF(M688="","",IF(M688="[FÓRMULA MANUAL]","",IFERROR(AVERAGEIFS(nNOTA,nNIA,M688,nCUENTA,1,nASIG,"Armonía"),"")))</f>
        <v/>
      </c>
      <c r="O688" t="str">
        <f>IF(M688="","",IF(M688="[FÓRMULA MANUAL]","",IFERROR(AVERAGEIFS(nNOTA,nNIA,M688,nCUENTA,1,nASIG,"Orquesta/Banda/Conjunto"),"")))</f>
        <v/>
      </c>
      <c r="P688" t="str">
        <f>IF(M688="","",IF(M688="[FÓRMULA MANUAL]","",IFERROR(AVERAGEIFS(nNOTA,nNIA,M688,nCUENTA,1,nASIG,"Música de Cámara"),"")))</f>
        <v/>
      </c>
      <c r="Q688" t="str">
        <f>IF(M688="","",IF(M688="[FÓRMULA MANUAL]","",IFERROR(SUMPRODUCT((nNIA=M688)*(nCUENTA=1)*(COUNTIF(CONFIG_ASIGNATURAS!$B$7:$B$27,nASIG)&gt;0)*(nNOTA))/SUMPRODUCT((nNIA=M688)*(nCUENTA=1)*(COUNTIF(CONFIG_ASIGNATURAS!$B$7:$B$27,nASIG)&gt;0)*1),"")))</f>
        <v/>
      </c>
      <c r="T688" t="str">
        <f>IF(S688="","",IF(S688="[FÓRMULA MANUAL]","",IFERROR(AVERAGEIFS(nNOTA,nNIA,S688,nCUENTA,1,nASIG,"Armonía"),"")))</f>
        <v/>
      </c>
      <c r="U688" t="str">
        <f>IF(S688="","",IF(S688="[FÓRMULA MANUAL]","",IFERROR(AVERAGEIFS(nNOTA,nNIA,S688,nCUENTA,1,nASIG,"Orquesta/Banda/Conjunto"),"")))</f>
        <v/>
      </c>
      <c r="V688" t="str">
        <f>IF(S688="","",IF(S688="[FÓRMULA MANUAL]","",IFERROR(AVERAGEIFS(nNOTA,nNIA,S688,nCUENTA,1,nASIG,"Música de Cámara"),"")))</f>
        <v/>
      </c>
      <c r="W688" t="str">
        <f>IF(S688="","",IF(S688="[FÓRMULA MANUAL]","",IFERROR(SUMPRODUCT((nNIA=S688)*(nCUENTA=1)*(COUNTIF(CONFIG_ASIGNATURAS!$B$7:$B$27,nASIG)&gt;0)*(nNOTA))/SUMPRODUCT((nNIA=S688)*(nCUENTA=1)*(COUNTIF(CONFIG_ASIGNATURAS!$B$7:$B$27,nASIG)&gt;0)*1),"")))</f>
        <v/>
      </c>
      <c r="Z688" t="str">
        <f>IF(Y688="","",IF(Y688="[FÓRMULA MANUAL]","",IFERROR(AVERAGEIFS(nNOTA,nNIA,Y688,nCUENTA,1,nASIG,"Análisis"),"")))</f>
        <v/>
      </c>
      <c r="AA688" t="str">
        <f>IF(Y688="","",IF(Y688="[FÓRMULA MANUAL]","",IFERROR(AVERAGEIFS(nNOTA,nNIA,Y688,nCUENTA,1,nASIG,"Orquesta/Banda/Conjunto"),"")))</f>
        <v/>
      </c>
      <c r="AB688" t="str">
        <f>IF(Y688="","",IF(Y688="[FÓRMULA MANUAL]","",IFERROR(AVERAGEIFS(nNOTA,nNIA,Y688,nCUENTA,1,nASIG,"Música de Cámara"),"")))</f>
        <v/>
      </c>
      <c r="AC688" t="str">
        <f>IF(Y688="","",IF(Y688="[FÓRMULA MANUAL]","",IFERROR(SUMPRODUCT((nNIA=Y688)*(nCUENTA=1)*(COUNTIF(CONFIG_ASIGNATURAS!$B$7:$B$27,nASIG)&gt;0)*(nNOTA))/SUMPRODUCT((nNIA=Y688)*(nCUENTA=1)*(COUNTIF(CONFIG_ASIGNATURAS!$B$7:$B$27,nASIG)&gt;0)*1),"")))</f>
        <v/>
      </c>
      <c r="AF688" t="str">
        <f>IF(AE688="","",IF(AE688="[FÓRMULA MANUAL]","",IFERROR(AVERAGEIFS(nNOTA,nNIA,AE688,nCUENTA,1,nASIG,"Análisis"),"")))</f>
        <v/>
      </c>
      <c r="AG688" t="str">
        <f>IF(AE688="","",IF(AE688="[FÓRMULA MANUAL]","",IFERROR(AVERAGEIFS(nNOTA,nNIA,AE688,nCUENTA,1,nASIG,"Orquesta/Banda/Conjunto"),"")))</f>
        <v/>
      </c>
      <c r="AH688" t="str">
        <f>IF(AE688="","",IF(AE688="[FÓRMULA MANUAL]","",IFERROR(AVERAGEIFS(nNOTA,nNIA,AE688,nCUENTA,1,nASIG,"Música de Cámara"),"")))</f>
        <v/>
      </c>
      <c r="AI688" t="str">
        <f>IF(AE688="","",IF(AE688="[FÓRMULA MANUAL]","",IFERROR(SUMPRODUCT((nNIA=AE688)*(nCUENTA=1)*(COUNTIF(CONFIG_ASIGNATURAS!$B$7:$B$27,nASIG)&gt;0)*(nNOTA))/SUMPRODUCT((nNIA=AE688)*(nCUENTA=1)*(COUNTIF(CONFIG_ASIGNATURAS!$B$7:$B$27,nASIG)&gt;0)*1),"")))</f>
        <v/>
      </c>
    </row>
    <row r="689" spans="2:35" x14ac:dyDescent="0.2">
      <c r="B689" t="str">
        <f>IF(A689="","",IF(A689="[FÓRMULA MANUAL]","",IFERROR(AVERAGEIFS(nNOTA,nNIA,A689,nCUENTA,1,nASIG,"Lenguaje Musical"),"")))</f>
        <v/>
      </c>
      <c r="C689" t="str">
        <f>IF(A689="","",IF(A689="[FÓRMULA MANUAL]","",IFERROR(AVERAGEIFS(nNOTA,nNIA,A689,nCUENTA,1,nASIG,"Orquesta/Banda/Conjunto"),"")))</f>
        <v/>
      </c>
      <c r="D689" t="str">
        <f>IF(A689="","",IF(A689="[FÓRMULA MANUAL]","",IFERROR(AVERAGEIFS(nNOTA,nNIA,A689,nCUENTA,1,nASIG,"Conjunto"),"")))</f>
        <v/>
      </c>
      <c r="E689" t="str">
        <f>IF(A689="","",IF(A689="[FÓRMULA MANUAL]","",IFERROR(SUMPRODUCT((nNIA=A689)*(nCUENTA=1)*(COUNTIF(CONFIG_ASIGNATURAS!$B$7:$B$27,nASIG)&gt;0)*(nNOTA))/SUMPRODUCT((nNIA=A689)*(nCUENTA=1)*(COUNTIF(CONFIG_ASIGNATURAS!$B$7:$B$27,nASIG)&gt;0)*1),"")))</f>
        <v/>
      </c>
      <c r="H689" t="str">
        <f>IF(G689="","",IF(G689="[FÓRMULA MANUAL]","",IFERROR(AVERAGEIFS(nNOTA,nNIA,G689,nCUENTA,1,nASIG,"Lenguaje Musical"),"")))</f>
        <v/>
      </c>
      <c r="I689" t="str">
        <f>IF(G689="","",IF(G689="[FÓRMULA MANUAL]","",IFERROR(AVERAGEIFS(nNOTA,nNIA,G689,nCUENTA,1,nASIG,"Orquesta/Banda/Conjunto"),"")))</f>
        <v/>
      </c>
      <c r="J689" t="str">
        <f>IF(G689="","",IF(G689="[FÓRMULA MANUAL]","",IFERROR(AVERAGEIFS(nNOTA,nNIA,G689,nCUENTA,1,nASIG,"Conjunto"),"")))</f>
        <v/>
      </c>
      <c r="K689" t="str">
        <f>IF(G689="","",IF(G689="[FÓRMULA MANUAL]","",IFERROR(SUMPRODUCT((nNIA=G689)*(nCUENTA=1)*(COUNTIF(CONFIG_ASIGNATURAS!$B$7:$B$27,nASIG)&gt;0)*(nNOTA))/SUMPRODUCT((nNIA=G689)*(nCUENTA=1)*(COUNTIF(CONFIG_ASIGNATURAS!$B$7:$B$27,nASIG)&gt;0)*1),"")))</f>
        <v/>
      </c>
      <c r="N689" t="str">
        <f>IF(M689="","",IF(M689="[FÓRMULA MANUAL]","",IFERROR(AVERAGEIFS(nNOTA,nNIA,M689,nCUENTA,1,nASIG,"Armonía"),"")))</f>
        <v/>
      </c>
      <c r="O689" t="str">
        <f>IF(M689="","",IF(M689="[FÓRMULA MANUAL]","",IFERROR(AVERAGEIFS(nNOTA,nNIA,M689,nCUENTA,1,nASIG,"Orquesta/Banda/Conjunto"),"")))</f>
        <v/>
      </c>
      <c r="P689" t="str">
        <f>IF(M689="","",IF(M689="[FÓRMULA MANUAL]","",IFERROR(AVERAGEIFS(nNOTA,nNIA,M689,nCUENTA,1,nASIG,"Música de Cámara"),"")))</f>
        <v/>
      </c>
      <c r="Q689" t="str">
        <f>IF(M689="","",IF(M689="[FÓRMULA MANUAL]","",IFERROR(SUMPRODUCT((nNIA=M689)*(nCUENTA=1)*(COUNTIF(CONFIG_ASIGNATURAS!$B$7:$B$27,nASIG)&gt;0)*(nNOTA))/SUMPRODUCT((nNIA=M689)*(nCUENTA=1)*(COUNTIF(CONFIG_ASIGNATURAS!$B$7:$B$27,nASIG)&gt;0)*1),"")))</f>
        <v/>
      </c>
      <c r="T689" t="str">
        <f>IF(S689="","",IF(S689="[FÓRMULA MANUAL]","",IFERROR(AVERAGEIFS(nNOTA,nNIA,S689,nCUENTA,1,nASIG,"Armonía"),"")))</f>
        <v/>
      </c>
      <c r="U689" t="str">
        <f>IF(S689="","",IF(S689="[FÓRMULA MANUAL]","",IFERROR(AVERAGEIFS(nNOTA,nNIA,S689,nCUENTA,1,nASIG,"Orquesta/Banda/Conjunto"),"")))</f>
        <v/>
      </c>
      <c r="V689" t="str">
        <f>IF(S689="","",IF(S689="[FÓRMULA MANUAL]","",IFERROR(AVERAGEIFS(nNOTA,nNIA,S689,nCUENTA,1,nASIG,"Música de Cámara"),"")))</f>
        <v/>
      </c>
      <c r="W689" t="str">
        <f>IF(S689="","",IF(S689="[FÓRMULA MANUAL]","",IFERROR(SUMPRODUCT((nNIA=S689)*(nCUENTA=1)*(COUNTIF(CONFIG_ASIGNATURAS!$B$7:$B$27,nASIG)&gt;0)*(nNOTA))/SUMPRODUCT((nNIA=S689)*(nCUENTA=1)*(COUNTIF(CONFIG_ASIGNATURAS!$B$7:$B$27,nASIG)&gt;0)*1),"")))</f>
        <v/>
      </c>
      <c r="Z689" t="str">
        <f>IF(Y689="","",IF(Y689="[FÓRMULA MANUAL]","",IFERROR(AVERAGEIFS(nNOTA,nNIA,Y689,nCUENTA,1,nASIG,"Análisis"),"")))</f>
        <v/>
      </c>
      <c r="AA689" t="str">
        <f>IF(Y689="","",IF(Y689="[FÓRMULA MANUAL]","",IFERROR(AVERAGEIFS(nNOTA,nNIA,Y689,nCUENTA,1,nASIG,"Orquesta/Banda/Conjunto"),"")))</f>
        <v/>
      </c>
      <c r="AB689" t="str">
        <f>IF(Y689="","",IF(Y689="[FÓRMULA MANUAL]","",IFERROR(AVERAGEIFS(nNOTA,nNIA,Y689,nCUENTA,1,nASIG,"Música de Cámara"),"")))</f>
        <v/>
      </c>
      <c r="AC689" t="str">
        <f>IF(Y689="","",IF(Y689="[FÓRMULA MANUAL]","",IFERROR(SUMPRODUCT((nNIA=Y689)*(nCUENTA=1)*(COUNTIF(CONFIG_ASIGNATURAS!$B$7:$B$27,nASIG)&gt;0)*(nNOTA))/SUMPRODUCT((nNIA=Y689)*(nCUENTA=1)*(COUNTIF(CONFIG_ASIGNATURAS!$B$7:$B$27,nASIG)&gt;0)*1),"")))</f>
        <v/>
      </c>
      <c r="AF689" t="str">
        <f>IF(AE689="","",IF(AE689="[FÓRMULA MANUAL]","",IFERROR(AVERAGEIFS(nNOTA,nNIA,AE689,nCUENTA,1,nASIG,"Análisis"),"")))</f>
        <v/>
      </c>
      <c r="AG689" t="str">
        <f>IF(AE689="","",IF(AE689="[FÓRMULA MANUAL]","",IFERROR(AVERAGEIFS(nNOTA,nNIA,AE689,nCUENTA,1,nASIG,"Orquesta/Banda/Conjunto"),"")))</f>
        <v/>
      </c>
      <c r="AH689" t="str">
        <f>IF(AE689="","",IF(AE689="[FÓRMULA MANUAL]","",IFERROR(AVERAGEIFS(nNOTA,nNIA,AE689,nCUENTA,1,nASIG,"Música de Cámara"),"")))</f>
        <v/>
      </c>
      <c r="AI689" t="str">
        <f>IF(AE689="","",IF(AE689="[FÓRMULA MANUAL]","",IFERROR(SUMPRODUCT((nNIA=AE689)*(nCUENTA=1)*(COUNTIF(CONFIG_ASIGNATURAS!$B$7:$B$27,nASIG)&gt;0)*(nNOTA))/SUMPRODUCT((nNIA=AE689)*(nCUENTA=1)*(COUNTIF(CONFIG_ASIGNATURAS!$B$7:$B$27,nASIG)&gt;0)*1),"")))</f>
        <v/>
      </c>
    </row>
    <row r="690" spans="2:35" x14ac:dyDescent="0.2">
      <c r="B690" t="str">
        <f>IF(A690="","",IF(A690="[FÓRMULA MANUAL]","",IFERROR(AVERAGEIFS(nNOTA,nNIA,A690,nCUENTA,1,nASIG,"Lenguaje Musical"),"")))</f>
        <v/>
      </c>
      <c r="C690" t="str">
        <f>IF(A690="","",IF(A690="[FÓRMULA MANUAL]","",IFERROR(AVERAGEIFS(nNOTA,nNIA,A690,nCUENTA,1,nASIG,"Orquesta/Banda/Conjunto"),"")))</f>
        <v/>
      </c>
      <c r="D690" t="str">
        <f>IF(A690="","",IF(A690="[FÓRMULA MANUAL]","",IFERROR(AVERAGEIFS(nNOTA,nNIA,A690,nCUENTA,1,nASIG,"Conjunto"),"")))</f>
        <v/>
      </c>
      <c r="E690" t="str">
        <f>IF(A690="","",IF(A690="[FÓRMULA MANUAL]","",IFERROR(SUMPRODUCT((nNIA=A690)*(nCUENTA=1)*(COUNTIF(CONFIG_ASIGNATURAS!$B$7:$B$27,nASIG)&gt;0)*(nNOTA))/SUMPRODUCT((nNIA=A690)*(nCUENTA=1)*(COUNTIF(CONFIG_ASIGNATURAS!$B$7:$B$27,nASIG)&gt;0)*1),"")))</f>
        <v/>
      </c>
      <c r="H690" t="str">
        <f>IF(G690="","",IF(G690="[FÓRMULA MANUAL]","",IFERROR(AVERAGEIFS(nNOTA,nNIA,G690,nCUENTA,1,nASIG,"Lenguaje Musical"),"")))</f>
        <v/>
      </c>
      <c r="I690" t="str">
        <f>IF(G690="","",IF(G690="[FÓRMULA MANUAL]","",IFERROR(AVERAGEIFS(nNOTA,nNIA,G690,nCUENTA,1,nASIG,"Orquesta/Banda/Conjunto"),"")))</f>
        <v/>
      </c>
      <c r="J690" t="str">
        <f>IF(G690="","",IF(G690="[FÓRMULA MANUAL]","",IFERROR(AVERAGEIFS(nNOTA,nNIA,G690,nCUENTA,1,nASIG,"Conjunto"),"")))</f>
        <v/>
      </c>
      <c r="K690" t="str">
        <f>IF(G690="","",IF(G690="[FÓRMULA MANUAL]","",IFERROR(SUMPRODUCT((nNIA=G690)*(nCUENTA=1)*(COUNTIF(CONFIG_ASIGNATURAS!$B$7:$B$27,nASIG)&gt;0)*(nNOTA))/SUMPRODUCT((nNIA=G690)*(nCUENTA=1)*(COUNTIF(CONFIG_ASIGNATURAS!$B$7:$B$27,nASIG)&gt;0)*1),"")))</f>
        <v/>
      </c>
      <c r="N690" t="str">
        <f>IF(M690="","",IF(M690="[FÓRMULA MANUAL]","",IFERROR(AVERAGEIFS(nNOTA,nNIA,M690,nCUENTA,1,nASIG,"Armonía"),"")))</f>
        <v/>
      </c>
      <c r="O690" t="str">
        <f>IF(M690="","",IF(M690="[FÓRMULA MANUAL]","",IFERROR(AVERAGEIFS(nNOTA,nNIA,M690,nCUENTA,1,nASIG,"Orquesta/Banda/Conjunto"),"")))</f>
        <v/>
      </c>
      <c r="P690" t="str">
        <f>IF(M690="","",IF(M690="[FÓRMULA MANUAL]","",IFERROR(AVERAGEIFS(nNOTA,nNIA,M690,nCUENTA,1,nASIG,"Música de Cámara"),"")))</f>
        <v/>
      </c>
      <c r="Q690" t="str">
        <f>IF(M690="","",IF(M690="[FÓRMULA MANUAL]","",IFERROR(SUMPRODUCT((nNIA=M690)*(nCUENTA=1)*(COUNTIF(CONFIG_ASIGNATURAS!$B$7:$B$27,nASIG)&gt;0)*(nNOTA))/SUMPRODUCT((nNIA=M690)*(nCUENTA=1)*(COUNTIF(CONFIG_ASIGNATURAS!$B$7:$B$27,nASIG)&gt;0)*1),"")))</f>
        <v/>
      </c>
      <c r="T690" t="str">
        <f>IF(S690="","",IF(S690="[FÓRMULA MANUAL]","",IFERROR(AVERAGEIFS(nNOTA,nNIA,S690,nCUENTA,1,nASIG,"Armonía"),"")))</f>
        <v/>
      </c>
      <c r="U690" t="str">
        <f>IF(S690="","",IF(S690="[FÓRMULA MANUAL]","",IFERROR(AVERAGEIFS(nNOTA,nNIA,S690,nCUENTA,1,nASIG,"Orquesta/Banda/Conjunto"),"")))</f>
        <v/>
      </c>
      <c r="V690" t="str">
        <f>IF(S690="","",IF(S690="[FÓRMULA MANUAL]","",IFERROR(AVERAGEIFS(nNOTA,nNIA,S690,nCUENTA,1,nASIG,"Música de Cámara"),"")))</f>
        <v/>
      </c>
      <c r="W690" t="str">
        <f>IF(S690="","",IF(S690="[FÓRMULA MANUAL]","",IFERROR(SUMPRODUCT((nNIA=S690)*(nCUENTA=1)*(COUNTIF(CONFIG_ASIGNATURAS!$B$7:$B$27,nASIG)&gt;0)*(nNOTA))/SUMPRODUCT((nNIA=S690)*(nCUENTA=1)*(COUNTIF(CONFIG_ASIGNATURAS!$B$7:$B$27,nASIG)&gt;0)*1),"")))</f>
        <v/>
      </c>
      <c r="Z690" t="str">
        <f>IF(Y690="","",IF(Y690="[FÓRMULA MANUAL]","",IFERROR(AVERAGEIFS(nNOTA,nNIA,Y690,nCUENTA,1,nASIG,"Análisis"),"")))</f>
        <v/>
      </c>
      <c r="AA690" t="str">
        <f>IF(Y690="","",IF(Y690="[FÓRMULA MANUAL]","",IFERROR(AVERAGEIFS(nNOTA,nNIA,Y690,nCUENTA,1,nASIG,"Orquesta/Banda/Conjunto"),"")))</f>
        <v/>
      </c>
      <c r="AB690" t="str">
        <f>IF(Y690="","",IF(Y690="[FÓRMULA MANUAL]","",IFERROR(AVERAGEIFS(nNOTA,nNIA,Y690,nCUENTA,1,nASIG,"Música de Cámara"),"")))</f>
        <v/>
      </c>
      <c r="AC690" t="str">
        <f>IF(Y690="","",IF(Y690="[FÓRMULA MANUAL]","",IFERROR(SUMPRODUCT((nNIA=Y690)*(nCUENTA=1)*(COUNTIF(CONFIG_ASIGNATURAS!$B$7:$B$27,nASIG)&gt;0)*(nNOTA))/SUMPRODUCT((nNIA=Y690)*(nCUENTA=1)*(COUNTIF(CONFIG_ASIGNATURAS!$B$7:$B$27,nASIG)&gt;0)*1),"")))</f>
        <v/>
      </c>
      <c r="AF690" t="str">
        <f>IF(AE690="","",IF(AE690="[FÓRMULA MANUAL]","",IFERROR(AVERAGEIFS(nNOTA,nNIA,AE690,nCUENTA,1,nASIG,"Análisis"),"")))</f>
        <v/>
      </c>
      <c r="AG690" t="str">
        <f>IF(AE690="","",IF(AE690="[FÓRMULA MANUAL]","",IFERROR(AVERAGEIFS(nNOTA,nNIA,AE690,nCUENTA,1,nASIG,"Orquesta/Banda/Conjunto"),"")))</f>
        <v/>
      </c>
      <c r="AH690" t="str">
        <f>IF(AE690="","",IF(AE690="[FÓRMULA MANUAL]","",IFERROR(AVERAGEIFS(nNOTA,nNIA,AE690,nCUENTA,1,nASIG,"Música de Cámara"),"")))</f>
        <v/>
      </c>
      <c r="AI690" t="str">
        <f>IF(AE690="","",IF(AE690="[FÓRMULA MANUAL]","",IFERROR(SUMPRODUCT((nNIA=AE690)*(nCUENTA=1)*(COUNTIF(CONFIG_ASIGNATURAS!$B$7:$B$27,nASIG)&gt;0)*(nNOTA))/SUMPRODUCT((nNIA=AE690)*(nCUENTA=1)*(COUNTIF(CONFIG_ASIGNATURAS!$B$7:$B$27,nASIG)&gt;0)*1),"")))</f>
        <v/>
      </c>
    </row>
    <row r="691" spans="2:35" x14ac:dyDescent="0.2">
      <c r="B691" t="str">
        <f>IF(A691="","",IF(A691="[FÓRMULA MANUAL]","",IFERROR(AVERAGEIFS(nNOTA,nNIA,A691,nCUENTA,1,nASIG,"Lenguaje Musical"),"")))</f>
        <v/>
      </c>
      <c r="C691" t="str">
        <f>IF(A691="","",IF(A691="[FÓRMULA MANUAL]","",IFERROR(AVERAGEIFS(nNOTA,nNIA,A691,nCUENTA,1,nASIG,"Orquesta/Banda/Conjunto"),"")))</f>
        <v/>
      </c>
      <c r="D691" t="str">
        <f>IF(A691="","",IF(A691="[FÓRMULA MANUAL]","",IFERROR(AVERAGEIFS(nNOTA,nNIA,A691,nCUENTA,1,nASIG,"Conjunto"),"")))</f>
        <v/>
      </c>
      <c r="E691" t="str">
        <f>IF(A691="","",IF(A691="[FÓRMULA MANUAL]","",IFERROR(SUMPRODUCT((nNIA=A691)*(nCUENTA=1)*(COUNTIF(CONFIG_ASIGNATURAS!$B$7:$B$27,nASIG)&gt;0)*(nNOTA))/SUMPRODUCT((nNIA=A691)*(nCUENTA=1)*(COUNTIF(CONFIG_ASIGNATURAS!$B$7:$B$27,nASIG)&gt;0)*1),"")))</f>
        <v/>
      </c>
      <c r="H691" t="str">
        <f>IF(G691="","",IF(G691="[FÓRMULA MANUAL]","",IFERROR(AVERAGEIFS(nNOTA,nNIA,G691,nCUENTA,1,nASIG,"Lenguaje Musical"),"")))</f>
        <v/>
      </c>
      <c r="I691" t="str">
        <f>IF(G691="","",IF(G691="[FÓRMULA MANUAL]","",IFERROR(AVERAGEIFS(nNOTA,nNIA,G691,nCUENTA,1,nASIG,"Orquesta/Banda/Conjunto"),"")))</f>
        <v/>
      </c>
      <c r="J691" t="str">
        <f>IF(G691="","",IF(G691="[FÓRMULA MANUAL]","",IFERROR(AVERAGEIFS(nNOTA,nNIA,G691,nCUENTA,1,nASIG,"Conjunto"),"")))</f>
        <v/>
      </c>
      <c r="K691" t="str">
        <f>IF(G691="","",IF(G691="[FÓRMULA MANUAL]","",IFERROR(SUMPRODUCT((nNIA=G691)*(nCUENTA=1)*(COUNTIF(CONFIG_ASIGNATURAS!$B$7:$B$27,nASIG)&gt;0)*(nNOTA))/SUMPRODUCT((nNIA=G691)*(nCUENTA=1)*(COUNTIF(CONFIG_ASIGNATURAS!$B$7:$B$27,nASIG)&gt;0)*1),"")))</f>
        <v/>
      </c>
      <c r="N691" t="str">
        <f>IF(M691="","",IF(M691="[FÓRMULA MANUAL]","",IFERROR(AVERAGEIFS(nNOTA,nNIA,M691,nCUENTA,1,nASIG,"Armonía"),"")))</f>
        <v/>
      </c>
      <c r="O691" t="str">
        <f>IF(M691="","",IF(M691="[FÓRMULA MANUAL]","",IFERROR(AVERAGEIFS(nNOTA,nNIA,M691,nCUENTA,1,nASIG,"Orquesta/Banda/Conjunto"),"")))</f>
        <v/>
      </c>
      <c r="P691" t="str">
        <f>IF(M691="","",IF(M691="[FÓRMULA MANUAL]","",IFERROR(AVERAGEIFS(nNOTA,nNIA,M691,nCUENTA,1,nASIG,"Música de Cámara"),"")))</f>
        <v/>
      </c>
      <c r="Q691" t="str">
        <f>IF(M691="","",IF(M691="[FÓRMULA MANUAL]","",IFERROR(SUMPRODUCT((nNIA=M691)*(nCUENTA=1)*(COUNTIF(CONFIG_ASIGNATURAS!$B$7:$B$27,nASIG)&gt;0)*(nNOTA))/SUMPRODUCT((nNIA=M691)*(nCUENTA=1)*(COUNTIF(CONFIG_ASIGNATURAS!$B$7:$B$27,nASIG)&gt;0)*1),"")))</f>
        <v/>
      </c>
      <c r="T691" t="str">
        <f>IF(S691="","",IF(S691="[FÓRMULA MANUAL]","",IFERROR(AVERAGEIFS(nNOTA,nNIA,S691,nCUENTA,1,nASIG,"Armonía"),"")))</f>
        <v/>
      </c>
      <c r="U691" t="str">
        <f>IF(S691="","",IF(S691="[FÓRMULA MANUAL]","",IFERROR(AVERAGEIFS(nNOTA,nNIA,S691,nCUENTA,1,nASIG,"Orquesta/Banda/Conjunto"),"")))</f>
        <v/>
      </c>
      <c r="V691" t="str">
        <f>IF(S691="","",IF(S691="[FÓRMULA MANUAL]","",IFERROR(AVERAGEIFS(nNOTA,nNIA,S691,nCUENTA,1,nASIG,"Música de Cámara"),"")))</f>
        <v/>
      </c>
      <c r="W691" t="str">
        <f>IF(S691="","",IF(S691="[FÓRMULA MANUAL]","",IFERROR(SUMPRODUCT((nNIA=S691)*(nCUENTA=1)*(COUNTIF(CONFIG_ASIGNATURAS!$B$7:$B$27,nASIG)&gt;0)*(nNOTA))/SUMPRODUCT((nNIA=S691)*(nCUENTA=1)*(COUNTIF(CONFIG_ASIGNATURAS!$B$7:$B$27,nASIG)&gt;0)*1),"")))</f>
        <v/>
      </c>
      <c r="Z691" t="str">
        <f>IF(Y691="","",IF(Y691="[FÓRMULA MANUAL]","",IFERROR(AVERAGEIFS(nNOTA,nNIA,Y691,nCUENTA,1,nASIG,"Análisis"),"")))</f>
        <v/>
      </c>
      <c r="AA691" t="str">
        <f>IF(Y691="","",IF(Y691="[FÓRMULA MANUAL]","",IFERROR(AVERAGEIFS(nNOTA,nNIA,Y691,nCUENTA,1,nASIG,"Orquesta/Banda/Conjunto"),"")))</f>
        <v/>
      </c>
      <c r="AB691" t="str">
        <f>IF(Y691="","",IF(Y691="[FÓRMULA MANUAL]","",IFERROR(AVERAGEIFS(nNOTA,nNIA,Y691,nCUENTA,1,nASIG,"Música de Cámara"),"")))</f>
        <v/>
      </c>
      <c r="AC691" t="str">
        <f>IF(Y691="","",IF(Y691="[FÓRMULA MANUAL]","",IFERROR(SUMPRODUCT((nNIA=Y691)*(nCUENTA=1)*(COUNTIF(CONFIG_ASIGNATURAS!$B$7:$B$27,nASIG)&gt;0)*(nNOTA))/SUMPRODUCT((nNIA=Y691)*(nCUENTA=1)*(COUNTIF(CONFIG_ASIGNATURAS!$B$7:$B$27,nASIG)&gt;0)*1),"")))</f>
        <v/>
      </c>
      <c r="AF691" t="str">
        <f>IF(AE691="","",IF(AE691="[FÓRMULA MANUAL]","",IFERROR(AVERAGEIFS(nNOTA,nNIA,AE691,nCUENTA,1,nASIG,"Análisis"),"")))</f>
        <v/>
      </c>
      <c r="AG691" t="str">
        <f>IF(AE691="","",IF(AE691="[FÓRMULA MANUAL]","",IFERROR(AVERAGEIFS(nNOTA,nNIA,AE691,nCUENTA,1,nASIG,"Orquesta/Banda/Conjunto"),"")))</f>
        <v/>
      </c>
      <c r="AH691" t="str">
        <f>IF(AE691="","",IF(AE691="[FÓRMULA MANUAL]","",IFERROR(AVERAGEIFS(nNOTA,nNIA,AE691,nCUENTA,1,nASIG,"Música de Cámara"),"")))</f>
        <v/>
      </c>
      <c r="AI691" t="str">
        <f>IF(AE691="","",IF(AE691="[FÓRMULA MANUAL]","",IFERROR(SUMPRODUCT((nNIA=AE691)*(nCUENTA=1)*(COUNTIF(CONFIG_ASIGNATURAS!$B$7:$B$27,nASIG)&gt;0)*(nNOTA))/SUMPRODUCT((nNIA=AE691)*(nCUENTA=1)*(COUNTIF(CONFIG_ASIGNATURAS!$B$7:$B$27,nASIG)&gt;0)*1),"")))</f>
        <v/>
      </c>
    </row>
    <row r="692" spans="2:35" x14ac:dyDescent="0.2">
      <c r="B692" t="str">
        <f>IF(A692="","",IF(A692="[FÓRMULA MANUAL]","",IFERROR(AVERAGEIFS(nNOTA,nNIA,A692,nCUENTA,1,nASIG,"Lenguaje Musical"),"")))</f>
        <v/>
      </c>
      <c r="C692" t="str">
        <f>IF(A692="","",IF(A692="[FÓRMULA MANUAL]","",IFERROR(AVERAGEIFS(nNOTA,nNIA,A692,nCUENTA,1,nASIG,"Orquesta/Banda/Conjunto"),"")))</f>
        <v/>
      </c>
      <c r="D692" t="str">
        <f>IF(A692="","",IF(A692="[FÓRMULA MANUAL]","",IFERROR(AVERAGEIFS(nNOTA,nNIA,A692,nCUENTA,1,nASIG,"Conjunto"),"")))</f>
        <v/>
      </c>
      <c r="E692" t="str">
        <f>IF(A692="","",IF(A692="[FÓRMULA MANUAL]","",IFERROR(SUMPRODUCT((nNIA=A692)*(nCUENTA=1)*(COUNTIF(CONFIG_ASIGNATURAS!$B$7:$B$27,nASIG)&gt;0)*(nNOTA))/SUMPRODUCT((nNIA=A692)*(nCUENTA=1)*(COUNTIF(CONFIG_ASIGNATURAS!$B$7:$B$27,nASIG)&gt;0)*1),"")))</f>
        <v/>
      </c>
      <c r="H692" t="str">
        <f>IF(G692="","",IF(G692="[FÓRMULA MANUAL]","",IFERROR(AVERAGEIFS(nNOTA,nNIA,G692,nCUENTA,1,nASIG,"Lenguaje Musical"),"")))</f>
        <v/>
      </c>
      <c r="I692" t="str">
        <f>IF(G692="","",IF(G692="[FÓRMULA MANUAL]","",IFERROR(AVERAGEIFS(nNOTA,nNIA,G692,nCUENTA,1,nASIG,"Orquesta/Banda/Conjunto"),"")))</f>
        <v/>
      </c>
      <c r="J692" t="str">
        <f>IF(G692="","",IF(G692="[FÓRMULA MANUAL]","",IFERROR(AVERAGEIFS(nNOTA,nNIA,G692,nCUENTA,1,nASIG,"Conjunto"),"")))</f>
        <v/>
      </c>
      <c r="K692" t="str">
        <f>IF(G692="","",IF(G692="[FÓRMULA MANUAL]","",IFERROR(SUMPRODUCT((nNIA=G692)*(nCUENTA=1)*(COUNTIF(CONFIG_ASIGNATURAS!$B$7:$B$27,nASIG)&gt;0)*(nNOTA))/SUMPRODUCT((nNIA=G692)*(nCUENTA=1)*(COUNTIF(CONFIG_ASIGNATURAS!$B$7:$B$27,nASIG)&gt;0)*1),"")))</f>
        <v/>
      </c>
      <c r="N692" t="str">
        <f>IF(M692="","",IF(M692="[FÓRMULA MANUAL]","",IFERROR(AVERAGEIFS(nNOTA,nNIA,M692,nCUENTA,1,nASIG,"Armonía"),"")))</f>
        <v/>
      </c>
      <c r="O692" t="str">
        <f>IF(M692="","",IF(M692="[FÓRMULA MANUAL]","",IFERROR(AVERAGEIFS(nNOTA,nNIA,M692,nCUENTA,1,nASIG,"Orquesta/Banda/Conjunto"),"")))</f>
        <v/>
      </c>
      <c r="P692" t="str">
        <f>IF(M692="","",IF(M692="[FÓRMULA MANUAL]","",IFERROR(AVERAGEIFS(nNOTA,nNIA,M692,nCUENTA,1,nASIG,"Música de Cámara"),"")))</f>
        <v/>
      </c>
      <c r="Q692" t="str">
        <f>IF(M692="","",IF(M692="[FÓRMULA MANUAL]","",IFERROR(SUMPRODUCT((nNIA=M692)*(nCUENTA=1)*(COUNTIF(CONFIG_ASIGNATURAS!$B$7:$B$27,nASIG)&gt;0)*(nNOTA))/SUMPRODUCT((nNIA=M692)*(nCUENTA=1)*(COUNTIF(CONFIG_ASIGNATURAS!$B$7:$B$27,nASIG)&gt;0)*1),"")))</f>
        <v/>
      </c>
      <c r="T692" t="str">
        <f>IF(S692="","",IF(S692="[FÓRMULA MANUAL]","",IFERROR(AVERAGEIFS(nNOTA,nNIA,S692,nCUENTA,1,nASIG,"Armonía"),"")))</f>
        <v/>
      </c>
      <c r="U692" t="str">
        <f>IF(S692="","",IF(S692="[FÓRMULA MANUAL]","",IFERROR(AVERAGEIFS(nNOTA,nNIA,S692,nCUENTA,1,nASIG,"Orquesta/Banda/Conjunto"),"")))</f>
        <v/>
      </c>
      <c r="V692" t="str">
        <f>IF(S692="","",IF(S692="[FÓRMULA MANUAL]","",IFERROR(AVERAGEIFS(nNOTA,nNIA,S692,nCUENTA,1,nASIG,"Música de Cámara"),"")))</f>
        <v/>
      </c>
      <c r="W692" t="str">
        <f>IF(S692="","",IF(S692="[FÓRMULA MANUAL]","",IFERROR(SUMPRODUCT((nNIA=S692)*(nCUENTA=1)*(COUNTIF(CONFIG_ASIGNATURAS!$B$7:$B$27,nASIG)&gt;0)*(nNOTA))/SUMPRODUCT((nNIA=S692)*(nCUENTA=1)*(COUNTIF(CONFIG_ASIGNATURAS!$B$7:$B$27,nASIG)&gt;0)*1),"")))</f>
        <v/>
      </c>
      <c r="Z692" t="str">
        <f>IF(Y692="","",IF(Y692="[FÓRMULA MANUAL]","",IFERROR(AVERAGEIFS(nNOTA,nNIA,Y692,nCUENTA,1,nASIG,"Análisis"),"")))</f>
        <v/>
      </c>
      <c r="AA692" t="str">
        <f>IF(Y692="","",IF(Y692="[FÓRMULA MANUAL]","",IFERROR(AVERAGEIFS(nNOTA,nNIA,Y692,nCUENTA,1,nASIG,"Orquesta/Banda/Conjunto"),"")))</f>
        <v/>
      </c>
      <c r="AB692" t="str">
        <f>IF(Y692="","",IF(Y692="[FÓRMULA MANUAL]","",IFERROR(AVERAGEIFS(nNOTA,nNIA,Y692,nCUENTA,1,nASIG,"Música de Cámara"),"")))</f>
        <v/>
      </c>
      <c r="AC692" t="str">
        <f>IF(Y692="","",IF(Y692="[FÓRMULA MANUAL]","",IFERROR(SUMPRODUCT((nNIA=Y692)*(nCUENTA=1)*(COUNTIF(CONFIG_ASIGNATURAS!$B$7:$B$27,nASIG)&gt;0)*(nNOTA))/SUMPRODUCT((nNIA=Y692)*(nCUENTA=1)*(COUNTIF(CONFIG_ASIGNATURAS!$B$7:$B$27,nASIG)&gt;0)*1),"")))</f>
        <v/>
      </c>
      <c r="AF692" t="str">
        <f>IF(AE692="","",IF(AE692="[FÓRMULA MANUAL]","",IFERROR(AVERAGEIFS(nNOTA,nNIA,AE692,nCUENTA,1,nASIG,"Análisis"),"")))</f>
        <v/>
      </c>
      <c r="AG692" t="str">
        <f>IF(AE692="","",IF(AE692="[FÓRMULA MANUAL]","",IFERROR(AVERAGEIFS(nNOTA,nNIA,AE692,nCUENTA,1,nASIG,"Orquesta/Banda/Conjunto"),"")))</f>
        <v/>
      </c>
      <c r="AH692" t="str">
        <f>IF(AE692="","",IF(AE692="[FÓRMULA MANUAL]","",IFERROR(AVERAGEIFS(nNOTA,nNIA,AE692,nCUENTA,1,nASIG,"Música de Cámara"),"")))</f>
        <v/>
      </c>
      <c r="AI692" t="str">
        <f>IF(AE692="","",IF(AE692="[FÓRMULA MANUAL]","",IFERROR(SUMPRODUCT((nNIA=AE692)*(nCUENTA=1)*(COUNTIF(CONFIG_ASIGNATURAS!$B$7:$B$27,nASIG)&gt;0)*(nNOTA))/SUMPRODUCT((nNIA=AE692)*(nCUENTA=1)*(COUNTIF(CONFIG_ASIGNATURAS!$B$7:$B$27,nASIG)&gt;0)*1),"")))</f>
        <v/>
      </c>
    </row>
    <row r="693" spans="2:35" x14ac:dyDescent="0.2">
      <c r="B693" t="str">
        <f>IF(A693="","",IF(A693="[FÓRMULA MANUAL]","",IFERROR(AVERAGEIFS(nNOTA,nNIA,A693,nCUENTA,1,nASIG,"Lenguaje Musical"),"")))</f>
        <v/>
      </c>
      <c r="C693" t="str">
        <f>IF(A693="","",IF(A693="[FÓRMULA MANUAL]","",IFERROR(AVERAGEIFS(nNOTA,nNIA,A693,nCUENTA,1,nASIG,"Orquesta/Banda/Conjunto"),"")))</f>
        <v/>
      </c>
      <c r="D693" t="str">
        <f>IF(A693="","",IF(A693="[FÓRMULA MANUAL]","",IFERROR(AVERAGEIFS(nNOTA,nNIA,A693,nCUENTA,1,nASIG,"Conjunto"),"")))</f>
        <v/>
      </c>
      <c r="E693" t="str">
        <f>IF(A693="","",IF(A693="[FÓRMULA MANUAL]","",IFERROR(SUMPRODUCT((nNIA=A693)*(nCUENTA=1)*(COUNTIF(CONFIG_ASIGNATURAS!$B$7:$B$27,nASIG)&gt;0)*(nNOTA))/SUMPRODUCT((nNIA=A693)*(nCUENTA=1)*(COUNTIF(CONFIG_ASIGNATURAS!$B$7:$B$27,nASIG)&gt;0)*1),"")))</f>
        <v/>
      </c>
      <c r="H693" t="str">
        <f>IF(G693="","",IF(G693="[FÓRMULA MANUAL]","",IFERROR(AVERAGEIFS(nNOTA,nNIA,G693,nCUENTA,1,nASIG,"Lenguaje Musical"),"")))</f>
        <v/>
      </c>
      <c r="I693" t="str">
        <f>IF(G693="","",IF(G693="[FÓRMULA MANUAL]","",IFERROR(AVERAGEIFS(nNOTA,nNIA,G693,nCUENTA,1,nASIG,"Orquesta/Banda/Conjunto"),"")))</f>
        <v/>
      </c>
      <c r="J693" t="str">
        <f>IF(G693="","",IF(G693="[FÓRMULA MANUAL]","",IFERROR(AVERAGEIFS(nNOTA,nNIA,G693,nCUENTA,1,nASIG,"Conjunto"),"")))</f>
        <v/>
      </c>
      <c r="K693" t="str">
        <f>IF(G693="","",IF(G693="[FÓRMULA MANUAL]","",IFERROR(SUMPRODUCT((nNIA=G693)*(nCUENTA=1)*(COUNTIF(CONFIG_ASIGNATURAS!$B$7:$B$27,nASIG)&gt;0)*(nNOTA))/SUMPRODUCT((nNIA=G693)*(nCUENTA=1)*(COUNTIF(CONFIG_ASIGNATURAS!$B$7:$B$27,nASIG)&gt;0)*1),"")))</f>
        <v/>
      </c>
      <c r="N693" t="str">
        <f>IF(M693="","",IF(M693="[FÓRMULA MANUAL]","",IFERROR(AVERAGEIFS(nNOTA,nNIA,M693,nCUENTA,1,nASIG,"Armonía"),"")))</f>
        <v/>
      </c>
      <c r="O693" t="str">
        <f>IF(M693="","",IF(M693="[FÓRMULA MANUAL]","",IFERROR(AVERAGEIFS(nNOTA,nNIA,M693,nCUENTA,1,nASIG,"Orquesta/Banda/Conjunto"),"")))</f>
        <v/>
      </c>
      <c r="P693" t="str">
        <f>IF(M693="","",IF(M693="[FÓRMULA MANUAL]","",IFERROR(AVERAGEIFS(nNOTA,nNIA,M693,nCUENTA,1,nASIG,"Música de Cámara"),"")))</f>
        <v/>
      </c>
      <c r="Q693" t="str">
        <f>IF(M693="","",IF(M693="[FÓRMULA MANUAL]","",IFERROR(SUMPRODUCT((nNIA=M693)*(nCUENTA=1)*(COUNTIF(CONFIG_ASIGNATURAS!$B$7:$B$27,nASIG)&gt;0)*(nNOTA))/SUMPRODUCT((nNIA=M693)*(nCUENTA=1)*(COUNTIF(CONFIG_ASIGNATURAS!$B$7:$B$27,nASIG)&gt;0)*1),"")))</f>
        <v/>
      </c>
      <c r="T693" t="str">
        <f>IF(S693="","",IF(S693="[FÓRMULA MANUAL]","",IFERROR(AVERAGEIFS(nNOTA,nNIA,S693,nCUENTA,1,nASIG,"Armonía"),"")))</f>
        <v/>
      </c>
      <c r="U693" t="str">
        <f>IF(S693="","",IF(S693="[FÓRMULA MANUAL]","",IFERROR(AVERAGEIFS(nNOTA,nNIA,S693,nCUENTA,1,nASIG,"Orquesta/Banda/Conjunto"),"")))</f>
        <v/>
      </c>
      <c r="V693" t="str">
        <f>IF(S693="","",IF(S693="[FÓRMULA MANUAL]","",IFERROR(AVERAGEIFS(nNOTA,nNIA,S693,nCUENTA,1,nASIG,"Música de Cámara"),"")))</f>
        <v/>
      </c>
      <c r="W693" t="str">
        <f>IF(S693="","",IF(S693="[FÓRMULA MANUAL]","",IFERROR(SUMPRODUCT((nNIA=S693)*(nCUENTA=1)*(COUNTIF(CONFIG_ASIGNATURAS!$B$7:$B$27,nASIG)&gt;0)*(nNOTA))/SUMPRODUCT((nNIA=S693)*(nCUENTA=1)*(COUNTIF(CONFIG_ASIGNATURAS!$B$7:$B$27,nASIG)&gt;0)*1),"")))</f>
        <v/>
      </c>
      <c r="Z693" t="str">
        <f>IF(Y693="","",IF(Y693="[FÓRMULA MANUAL]","",IFERROR(AVERAGEIFS(nNOTA,nNIA,Y693,nCUENTA,1,nASIG,"Análisis"),"")))</f>
        <v/>
      </c>
      <c r="AA693" t="str">
        <f>IF(Y693="","",IF(Y693="[FÓRMULA MANUAL]","",IFERROR(AVERAGEIFS(nNOTA,nNIA,Y693,nCUENTA,1,nASIG,"Orquesta/Banda/Conjunto"),"")))</f>
        <v/>
      </c>
      <c r="AB693" t="str">
        <f>IF(Y693="","",IF(Y693="[FÓRMULA MANUAL]","",IFERROR(AVERAGEIFS(nNOTA,nNIA,Y693,nCUENTA,1,nASIG,"Música de Cámara"),"")))</f>
        <v/>
      </c>
      <c r="AC693" t="str">
        <f>IF(Y693="","",IF(Y693="[FÓRMULA MANUAL]","",IFERROR(SUMPRODUCT((nNIA=Y693)*(nCUENTA=1)*(COUNTIF(CONFIG_ASIGNATURAS!$B$7:$B$27,nASIG)&gt;0)*(nNOTA))/SUMPRODUCT((nNIA=Y693)*(nCUENTA=1)*(COUNTIF(CONFIG_ASIGNATURAS!$B$7:$B$27,nASIG)&gt;0)*1),"")))</f>
        <v/>
      </c>
      <c r="AF693" t="str">
        <f>IF(AE693="","",IF(AE693="[FÓRMULA MANUAL]","",IFERROR(AVERAGEIFS(nNOTA,nNIA,AE693,nCUENTA,1,nASIG,"Análisis"),"")))</f>
        <v/>
      </c>
      <c r="AG693" t="str">
        <f>IF(AE693="","",IF(AE693="[FÓRMULA MANUAL]","",IFERROR(AVERAGEIFS(nNOTA,nNIA,AE693,nCUENTA,1,nASIG,"Orquesta/Banda/Conjunto"),"")))</f>
        <v/>
      </c>
      <c r="AH693" t="str">
        <f>IF(AE693="","",IF(AE693="[FÓRMULA MANUAL]","",IFERROR(AVERAGEIFS(nNOTA,nNIA,AE693,nCUENTA,1,nASIG,"Música de Cámara"),"")))</f>
        <v/>
      </c>
      <c r="AI693" t="str">
        <f>IF(AE693="","",IF(AE693="[FÓRMULA MANUAL]","",IFERROR(SUMPRODUCT((nNIA=AE693)*(nCUENTA=1)*(COUNTIF(CONFIG_ASIGNATURAS!$B$7:$B$27,nASIG)&gt;0)*(nNOTA))/SUMPRODUCT((nNIA=AE693)*(nCUENTA=1)*(COUNTIF(CONFIG_ASIGNATURAS!$B$7:$B$27,nASIG)&gt;0)*1),"")))</f>
        <v/>
      </c>
    </row>
    <row r="694" spans="2:35" x14ac:dyDescent="0.2">
      <c r="B694" t="str">
        <f>IF(A694="","",IF(A694="[FÓRMULA MANUAL]","",IFERROR(AVERAGEIFS(nNOTA,nNIA,A694,nCUENTA,1,nASIG,"Lenguaje Musical"),"")))</f>
        <v/>
      </c>
      <c r="C694" t="str">
        <f>IF(A694="","",IF(A694="[FÓRMULA MANUAL]","",IFERROR(AVERAGEIFS(nNOTA,nNIA,A694,nCUENTA,1,nASIG,"Orquesta/Banda/Conjunto"),"")))</f>
        <v/>
      </c>
      <c r="D694" t="str">
        <f>IF(A694="","",IF(A694="[FÓRMULA MANUAL]","",IFERROR(AVERAGEIFS(nNOTA,nNIA,A694,nCUENTA,1,nASIG,"Conjunto"),"")))</f>
        <v/>
      </c>
      <c r="E694" t="str">
        <f>IF(A694="","",IF(A694="[FÓRMULA MANUAL]","",IFERROR(SUMPRODUCT((nNIA=A694)*(nCUENTA=1)*(COUNTIF(CONFIG_ASIGNATURAS!$B$7:$B$27,nASIG)&gt;0)*(nNOTA))/SUMPRODUCT((nNIA=A694)*(nCUENTA=1)*(COUNTIF(CONFIG_ASIGNATURAS!$B$7:$B$27,nASIG)&gt;0)*1),"")))</f>
        <v/>
      </c>
      <c r="H694" t="str">
        <f>IF(G694="","",IF(G694="[FÓRMULA MANUAL]","",IFERROR(AVERAGEIFS(nNOTA,nNIA,G694,nCUENTA,1,nASIG,"Lenguaje Musical"),"")))</f>
        <v/>
      </c>
      <c r="I694" t="str">
        <f>IF(G694="","",IF(G694="[FÓRMULA MANUAL]","",IFERROR(AVERAGEIFS(nNOTA,nNIA,G694,nCUENTA,1,nASIG,"Orquesta/Banda/Conjunto"),"")))</f>
        <v/>
      </c>
      <c r="J694" t="str">
        <f>IF(G694="","",IF(G694="[FÓRMULA MANUAL]","",IFERROR(AVERAGEIFS(nNOTA,nNIA,G694,nCUENTA,1,nASIG,"Conjunto"),"")))</f>
        <v/>
      </c>
      <c r="K694" t="str">
        <f>IF(G694="","",IF(G694="[FÓRMULA MANUAL]","",IFERROR(SUMPRODUCT((nNIA=G694)*(nCUENTA=1)*(COUNTIF(CONFIG_ASIGNATURAS!$B$7:$B$27,nASIG)&gt;0)*(nNOTA))/SUMPRODUCT((nNIA=G694)*(nCUENTA=1)*(COUNTIF(CONFIG_ASIGNATURAS!$B$7:$B$27,nASIG)&gt;0)*1),"")))</f>
        <v/>
      </c>
      <c r="N694" t="str">
        <f>IF(M694="","",IF(M694="[FÓRMULA MANUAL]","",IFERROR(AVERAGEIFS(nNOTA,nNIA,M694,nCUENTA,1,nASIG,"Armonía"),"")))</f>
        <v/>
      </c>
      <c r="O694" t="str">
        <f>IF(M694="","",IF(M694="[FÓRMULA MANUAL]","",IFERROR(AVERAGEIFS(nNOTA,nNIA,M694,nCUENTA,1,nASIG,"Orquesta/Banda/Conjunto"),"")))</f>
        <v/>
      </c>
      <c r="P694" t="str">
        <f>IF(M694="","",IF(M694="[FÓRMULA MANUAL]","",IFERROR(AVERAGEIFS(nNOTA,nNIA,M694,nCUENTA,1,nASIG,"Música de Cámara"),"")))</f>
        <v/>
      </c>
      <c r="Q694" t="str">
        <f>IF(M694="","",IF(M694="[FÓRMULA MANUAL]","",IFERROR(SUMPRODUCT((nNIA=M694)*(nCUENTA=1)*(COUNTIF(CONFIG_ASIGNATURAS!$B$7:$B$27,nASIG)&gt;0)*(nNOTA))/SUMPRODUCT((nNIA=M694)*(nCUENTA=1)*(COUNTIF(CONFIG_ASIGNATURAS!$B$7:$B$27,nASIG)&gt;0)*1),"")))</f>
        <v/>
      </c>
      <c r="T694" t="str">
        <f>IF(S694="","",IF(S694="[FÓRMULA MANUAL]","",IFERROR(AVERAGEIFS(nNOTA,nNIA,S694,nCUENTA,1,nASIG,"Armonía"),"")))</f>
        <v/>
      </c>
      <c r="U694" t="str">
        <f>IF(S694="","",IF(S694="[FÓRMULA MANUAL]","",IFERROR(AVERAGEIFS(nNOTA,nNIA,S694,nCUENTA,1,nASIG,"Orquesta/Banda/Conjunto"),"")))</f>
        <v/>
      </c>
      <c r="V694" t="str">
        <f>IF(S694="","",IF(S694="[FÓRMULA MANUAL]","",IFERROR(AVERAGEIFS(nNOTA,nNIA,S694,nCUENTA,1,nASIG,"Música de Cámara"),"")))</f>
        <v/>
      </c>
      <c r="W694" t="str">
        <f>IF(S694="","",IF(S694="[FÓRMULA MANUAL]","",IFERROR(SUMPRODUCT((nNIA=S694)*(nCUENTA=1)*(COUNTIF(CONFIG_ASIGNATURAS!$B$7:$B$27,nASIG)&gt;0)*(nNOTA))/SUMPRODUCT((nNIA=S694)*(nCUENTA=1)*(COUNTIF(CONFIG_ASIGNATURAS!$B$7:$B$27,nASIG)&gt;0)*1),"")))</f>
        <v/>
      </c>
      <c r="Z694" t="str">
        <f>IF(Y694="","",IF(Y694="[FÓRMULA MANUAL]","",IFERROR(AVERAGEIFS(nNOTA,nNIA,Y694,nCUENTA,1,nASIG,"Análisis"),"")))</f>
        <v/>
      </c>
      <c r="AA694" t="str">
        <f>IF(Y694="","",IF(Y694="[FÓRMULA MANUAL]","",IFERROR(AVERAGEIFS(nNOTA,nNIA,Y694,nCUENTA,1,nASIG,"Orquesta/Banda/Conjunto"),"")))</f>
        <v/>
      </c>
      <c r="AB694" t="str">
        <f>IF(Y694="","",IF(Y694="[FÓRMULA MANUAL]","",IFERROR(AVERAGEIFS(nNOTA,nNIA,Y694,nCUENTA,1,nASIG,"Música de Cámara"),"")))</f>
        <v/>
      </c>
      <c r="AC694" t="str">
        <f>IF(Y694="","",IF(Y694="[FÓRMULA MANUAL]","",IFERROR(SUMPRODUCT((nNIA=Y694)*(nCUENTA=1)*(COUNTIF(CONFIG_ASIGNATURAS!$B$7:$B$27,nASIG)&gt;0)*(nNOTA))/SUMPRODUCT((nNIA=Y694)*(nCUENTA=1)*(COUNTIF(CONFIG_ASIGNATURAS!$B$7:$B$27,nASIG)&gt;0)*1),"")))</f>
        <v/>
      </c>
      <c r="AF694" t="str">
        <f>IF(AE694="","",IF(AE694="[FÓRMULA MANUAL]","",IFERROR(AVERAGEIFS(nNOTA,nNIA,AE694,nCUENTA,1,nASIG,"Análisis"),"")))</f>
        <v/>
      </c>
      <c r="AG694" t="str">
        <f>IF(AE694="","",IF(AE694="[FÓRMULA MANUAL]","",IFERROR(AVERAGEIFS(nNOTA,nNIA,AE694,nCUENTA,1,nASIG,"Orquesta/Banda/Conjunto"),"")))</f>
        <v/>
      </c>
      <c r="AH694" t="str">
        <f>IF(AE694="","",IF(AE694="[FÓRMULA MANUAL]","",IFERROR(AVERAGEIFS(nNOTA,nNIA,AE694,nCUENTA,1,nASIG,"Música de Cámara"),"")))</f>
        <v/>
      </c>
      <c r="AI694" t="str">
        <f>IF(AE694="","",IF(AE694="[FÓRMULA MANUAL]","",IFERROR(SUMPRODUCT((nNIA=AE694)*(nCUENTA=1)*(COUNTIF(CONFIG_ASIGNATURAS!$B$7:$B$27,nASIG)&gt;0)*(nNOTA))/SUMPRODUCT((nNIA=AE694)*(nCUENTA=1)*(COUNTIF(CONFIG_ASIGNATURAS!$B$7:$B$27,nASIG)&gt;0)*1),"")))</f>
        <v/>
      </c>
    </row>
    <row r="695" spans="2:35" x14ac:dyDescent="0.2">
      <c r="B695" t="str">
        <f>IF(A695="","",IF(A695="[FÓRMULA MANUAL]","",IFERROR(AVERAGEIFS(nNOTA,nNIA,A695,nCUENTA,1,nASIG,"Lenguaje Musical"),"")))</f>
        <v/>
      </c>
      <c r="C695" t="str">
        <f>IF(A695="","",IF(A695="[FÓRMULA MANUAL]","",IFERROR(AVERAGEIFS(nNOTA,nNIA,A695,nCUENTA,1,nASIG,"Orquesta/Banda/Conjunto"),"")))</f>
        <v/>
      </c>
      <c r="D695" t="str">
        <f>IF(A695="","",IF(A695="[FÓRMULA MANUAL]","",IFERROR(AVERAGEIFS(nNOTA,nNIA,A695,nCUENTA,1,nASIG,"Conjunto"),"")))</f>
        <v/>
      </c>
      <c r="E695" t="str">
        <f>IF(A695="","",IF(A695="[FÓRMULA MANUAL]","",IFERROR(SUMPRODUCT((nNIA=A695)*(nCUENTA=1)*(COUNTIF(CONFIG_ASIGNATURAS!$B$7:$B$27,nASIG)&gt;0)*(nNOTA))/SUMPRODUCT((nNIA=A695)*(nCUENTA=1)*(COUNTIF(CONFIG_ASIGNATURAS!$B$7:$B$27,nASIG)&gt;0)*1),"")))</f>
        <v/>
      </c>
      <c r="H695" t="str">
        <f>IF(G695="","",IF(G695="[FÓRMULA MANUAL]","",IFERROR(AVERAGEIFS(nNOTA,nNIA,G695,nCUENTA,1,nASIG,"Lenguaje Musical"),"")))</f>
        <v/>
      </c>
      <c r="I695" t="str">
        <f>IF(G695="","",IF(G695="[FÓRMULA MANUAL]","",IFERROR(AVERAGEIFS(nNOTA,nNIA,G695,nCUENTA,1,nASIG,"Orquesta/Banda/Conjunto"),"")))</f>
        <v/>
      </c>
      <c r="J695" t="str">
        <f>IF(G695="","",IF(G695="[FÓRMULA MANUAL]","",IFERROR(AVERAGEIFS(nNOTA,nNIA,G695,nCUENTA,1,nASIG,"Conjunto"),"")))</f>
        <v/>
      </c>
      <c r="K695" t="str">
        <f>IF(G695="","",IF(G695="[FÓRMULA MANUAL]","",IFERROR(SUMPRODUCT((nNIA=G695)*(nCUENTA=1)*(COUNTIF(CONFIG_ASIGNATURAS!$B$7:$B$27,nASIG)&gt;0)*(nNOTA))/SUMPRODUCT((nNIA=G695)*(nCUENTA=1)*(COUNTIF(CONFIG_ASIGNATURAS!$B$7:$B$27,nASIG)&gt;0)*1),"")))</f>
        <v/>
      </c>
      <c r="N695" t="str">
        <f>IF(M695="","",IF(M695="[FÓRMULA MANUAL]","",IFERROR(AVERAGEIFS(nNOTA,nNIA,M695,nCUENTA,1,nASIG,"Armonía"),"")))</f>
        <v/>
      </c>
      <c r="O695" t="str">
        <f>IF(M695="","",IF(M695="[FÓRMULA MANUAL]","",IFERROR(AVERAGEIFS(nNOTA,nNIA,M695,nCUENTA,1,nASIG,"Orquesta/Banda/Conjunto"),"")))</f>
        <v/>
      </c>
      <c r="P695" t="str">
        <f>IF(M695="","",IF(M695="[FÓRMULA MANUAL]","",IFERROR(AVERAGEIFS(nNOTA,nNIA,M695,nCUENTA,1,nASIG,"Música de Cámara"),"")))</f>
        <v/>
      </c>
      <c r="Q695" t="str">
        <f>IF(M695="","",IF(M695="[FÓRMULA MANUAL]","",IFERROR(SUMPRODUCT((nNIA=M695)*(nCUENTA=1)*(COUNTIF(CONFIG_ASIGNATURAS!$B$7:$B$27,nASIG)&gt;0)*(nNOTA))/SUMPRODUCT((nNIA=M695)*(nCUENTA=1)*(COUNTIF(CONFIG_ASIGNATURAS!$B$7:$B$27,nASIG)&gt;0)*1),"")))</f>
        <v/>
      </c>
      <c r="T695" t="str">
        <f>IF(S695="","",IF(S695="[FÓRMULA MANUAL]","",IFERROR(AVERAGEIFS(nNOTA,nNIA,S695,nCUENTA,1,nASIG,"Armonía"),"")))</f>
        <v/>
      </c>
      <c r="U695" t="str">
        <f>IF(S695="","",IF(S695="[FÓRMULA MANUAL]","",IFERROR(AVERAGEIFS(nNOTA,nNIA,S695,nCUENTA,1,nASIG,"Orquesta/Banda/Conjunto"),"")))</f>
        <v/>
      </c>
      <c r="V695" t="str">
        <f>IF(S695="","",IF(S695="[FÓRMULA MANUAL]","",IFERROR(AVERAGEIFS(nNOTA,nNIA,S695,nCUENTA,1,nASIG,"Música de Cámara"),"")))</f>
        <v/>
      </c>
      <c r="W695" t="str">
        <f>IF(S695="","",IF(S695="[FÓRMULA MANUAL]","",IFERROR(SUMPRODUCT((nNIA=S695)*(nCUENTA=1)*(COUNTIF(CONFIG_ASIGNATURAS!$B$7:$B$27,nASIG)&gt;0)*(nNOTA))/SUMPRODUCT((nNIA=S695)*(nCUENTA=1)*(COUNTIF(CONFIG_ASIGNATURAS!$B$7:$B$27,nASIG)&gt;0)*1),"")))</f>
        <v/>
      </c>
      <c r="Z695" t="str">
        <f>IF(Y695="","",IF(Y695="[FÓRMULA MANUAL]","",IFERROR(AVERAGEIFS(nNOTA,nNIA,Y695,nCUENTA,1,nASIG,"Análisis"),"")))</f>
        <v/>
      </c>
      <c r="AA695" t="str">
        <f>IF(Y695="","",IF(Y695="[FÓRMULA MANUAL]","",IFERROR(AVERAGEIFS(nNOTA,nNIA,Y695,nCUENTA,1,nASIG,"Orquesta/Banda/Conjunto"),"")))</f>
        <v/>
      </c>
      <c r="AB695" t="str">
        <f>IF(Y695="","",IF(Y695="[FÓRMULA MANUAL]","",IFERROR(AVERAGEIFS(nNOTA,nNIA,Y695,nCUENTA,1,nASIG,"Música de Cámara"),"")))</f>
        <v/>
      </c>
      <c r="AC695" t="str">
        <f>IF(Y695="","",IF(Y695="[FÓRMULA MANUAL]","",IFERROR(SUMPRODUCT((nNIA=Y695)*(nCUENTA=1)*(COUNTIF(CONFIG_ASIGNATURAS!$B$7:$B$27,nASIG)&gt;0)*(nNOTA))/SUMPRODUCT((nNIA=Y695)*(nCUENTA=1)*(COUNTIF(CONFIG_ASIGNATURAS!$B$7:$B$27,nASIG)&gt;0)*1),"")))</f>
        <v/>
      </c>
      <c r="AF695" t="str">
        <f>IF(AE695="","",IF(AE695="[FÓRMULA MANUAL]","",IFERROR(AVERAGEIFS(nNOTA,nNIA,AE695,nCUENTA,1,nASIG,"Análisis"),"")))</f>
        <v/>
      </c>
      <c r="AG695" t="str">
        <f>IF(AE695="","",IF(AE695="[FÓRMULA MANUAL]","",IFERROR(AVERAGEIFS(nNOTA,nNIA,AE695,nCUENTA,1,nASIG,"Orquesta/Banda/Conjunto"),"")))</f>
        <v/>
      </c>
      <c r="AH695" t="str">
        <f>IF(AE695="","",IF(AE695="[FÓRMULA MANUAL]","",IFERROR(AVERAGEIFS(nNOTA,nNIA,AE695,nCUENTA,1,nASIG,"Música de Cámara"),"")))</f>
        <v/>
      </c>
      <c r="AI695" t="str">
        <f>IF(AE695="","",IF(AE695="[FÓRMULA MANUAL]","",IFERROR(SUMPRODUCT((nNIA=AE695)*(nCUENTA=1)*(COUNTIF(CONFIG_ASIGNATURAS!$B$7:$B$27,nASIG)&gt;0)*(nNOTA))/SUMPRODUCT((nNIA=AE695)*(nCUENTA=1)*(COUNTIF(CONFIG_ASIGNATURAS!$B$7:$B$27,nASIG)&gt;0)*1),"")))</f>
        <v/>
      </c>
    </row>
    <row r="696" spans="2:35" x14ac:dyDescent="0.2">
      <c r="B696" t="str">
        <f>IF(A696="","",IF(A696="[FÓRMULA MANUAL]","",IFERROR(AVERAGEIFS(nNOTA,nNIA,A696,nCUENTA,1,nASIG,"Lenguaje Musical"),"")))</f>
        <v/>
      </c>
      <c r="C696" t="str">
        <f>IF(A696="","",IF(A696="[FÓRMULA MANUAL]","",IFERROR(AVERAGEIFS(nNOTA,nNIA,A696,nCUENTA,1,nASIG,"Orquesta/Banda/Conjunto"),"")))</f>
        <v/>
      </c>
      <c r="D696" t="str">
        <f>IF(A696="","",IF(A696="[FÓRMULA MANUAL]","",IFERROR(AVERAGEIFS(nNOTA,nNIA,A696,nCUENTA,1,nASIG,"Conjunto"),"")))</f>
        <v/>
      </c>
      <c r="E696" t="str">
        <f>IF(A696="","",IF(A696="[FÓRMULA MANUAL]","",IFERROR(SUMPRODUCT((nNIA=A696)*(nCUENTA=1)*(COUNTIF(CONFIG_ASIGNATURAS!$B$7:$B$27,nASIG)&gt;0)*(nNOTA))/SUMPRODUCT((nNIA=A696)*(nCUENTA=1)*(COUNTIF(CONFIG_ASIGNATURAS!$B$7:$B$27,nASIG)&gt;0)*1),"")))</f>
        <v/>
      </c>
      <c r="H696" t="str">
        <f>IF(G696="","",IF(G696="[FÓRMULA MANUAL]","",IFERROR(AVERAGEIFS(nNOTA,nNIA,G696,nCUENTA,1,nASIG,"Lenguaje Musical"),"")))</f>
        <v/>
      </c>
      <c r="I696" t="str">
        <f>IF(G696="","",IF(G696="[FÓRMULA MANUAL]","",IFERROR(AVERAGEIFS(nNOTA,nNIA,G696,nCUENTA,1,nASIG,"Orquesta/Banda/Conjunto"),"")))</f>
        <v/>
      </c>
      <c r="J696" t="str">
        <f>IF(G696="","",IF(G696="[FÓRMULA MANUAL]","",IFERROR(AVERAGEIFS(nNOTA,nNIA,G696,nCUENTA,1,nASIG,"Conjunto"),"")))</f>
        <v/>
      </c>
      <c r="K696" t="str">
        <f>IF(G696="","",IF(G696="[FÓRMULA MANUAL]","",IFERROR(SUMPRODUCT((nNIA=G696)*(nCUENTA=1)*(COUNTIF(CONFIG_ASIGNATURAS!$B$7:$B$27,nASIG)&gt;0)*(nNOTA))/SUMPRODUCT((nNIA=G696)*(nCUENTA=1)*(COUNTIF(CONFIG_ASIGNATURAS!$B$7:$B$27,nASIG)&gt;0)*1),"")))</f>
        <v/>
      </c>
      <c r="N696" t="str">
        <f>IF(M696="","",IF(M696="[FÓRMULA MANUAL]","",IFERROR(AVERAGEIFS(nNOTA,nNIA,M696,nCUENTA,1,nASIG,"Armonía"),"")))</f>
        <v/>
      </c>
      <c r="O696" t="str">
        <f>IF(M696="","",IF(M696="[FÓRMULA MANUAL]","",IFERROR(AVERAGEIFS(nNOTA,nNIA,M696,nCUENTA,1,nASIG,"Orquesta/Banda/Conjunto"),"")))</f>
        <v/>
      </c>
      <c r="P696" t="str">
        <f>IF(M696="","",IF(M696="[FÓRMULA MANUAL]","",IFERROR(AVERAGEIFS(nNOTA,nNIA,M696,nCUENTA,1,nASIG,"Música de Cámara"),"")))</f>
        <v/>
      </c>
      <c r="Q696" t="str">
        <f>IF(M696="","",IF(M696="[FÓRMULA MANUAL]","",IFERROR(SUMPRODUCT((nNIA=M696)*(nCUENTA=1)*(COUNTIF(CONFIG_ASIGNATURAS!$B$7:$B$27,nASIG)&gt;0)*(nNOTA))/SUMPRODUCT((nNIA=M696)*(nCUENTA=1)*(COUNTIF(CONFIG_ASIGNATURAS!$B$7:$B$27,nASIG)&gt;0)*1),"")))</f>
        <v/>
      </c>
      <c r="T696" t="str">
        <f>IF(S696="","",IF(S696="[FÓRMULA MANUAL]","",IFERROR(AVERAGEIFS(nNOTA,nNIA,S696,nCUENTA,1,nASIG,"Armonía"),"")))</f>
        <v/>
      </c>
      <c r="U696" t="str">
        <f>IF(S696="","",IF(S696="[FÓRMULA MANUAL]","",IFERROR(AVERAGEIFS(nNOTA,nNIA,S696,nCUENTA,1,nASIG,"Orquesta/Banda/Conjunto"),"")))</f>
        <v/>
      </c>
      <c r="V696" t="str">
        <f>IF(S696="","",IF(S696="[FÓRMULA MANUAL]","",IFERROR(AVERAGEIFS(nNOTA,nNIA,S696,nCUENTA,1,nASIG,"Música de Cámara"),"")))</f>
        <v/>
      </c>
      <c r="W696" t="str">
        <f>IF(S696="","",IF(S696="[FÓRMULA MANUAL]","",IFERROR(SUMPRODUCT((nNIA=S696)*(nCUENTA=1)*(COUNTIF(CONFIG_ASIGNATURAS!$B$7:$B$27,nASIG)&gt;0)*(nNOTA))/SUMPRODUCT((nNIA=S696)*(nCUENTA=1)*(COUNTIF(CONFIG_ASIGNATURAS!$B$7:$B$27,nASIG)&gt;0)*1),"")))</f>
        <v/>
      </c>
      <c r="Z696" t="str">
        <f>IF(Y696="","",IF(Y696="[FÓRMULA MANUAL]","",IFERROR(AVERAGEIFS(nNOTA,nNIA,Y696,nCUENTA,1,nASIG,"Análisis"),"")))</f>
        <v/>
      </c>
      <c r="AA696" t="str">
        <f>IF(Y696="","",IF(Y696="[FÓRMULA MANUAL]","",IFERROR(AVERAGEIFS(nNOTA,nNIA,Y696,nCUENTA,1,nASIG,"Orquesta/Banda/Conjunto"),"")))</f>
        <v/>
      </c>
      <c r="AB696" t="str">
        <f>IF(Y696="","",IF(Y696="[FÓRMULA MANUAL]","",IFERROR(AVERAGEIFS(nNOTA,nNIA,Y696,nCUENTA,1,nASIG,"Música de Cámara"),"")))</f>
        <v/>
      </c>
      <c r="AC696" t="str">
        <f>IF(Y696="","",IF(Y696="[FÓRMULA MANUAL]","",IFERROR(SUMPRODUCT((nNIA=Y696)*(nCUENTA=1)*(COUNTIF(CONFIG_ASIGNATURAS!$B$7:$B$27,nASIG)&gt;0)*(nNOTA))/SUMPRODUCT((nNIA=Y696)*(nCUENTA=1)*(COUNTIF(CONFIG_ASIGNATURAS!$B$7:$B$27,nASIG)&gt;0)*1),"")))</f>
        <v/>
      </c>
      <c r="AF696" t="str">
        <f>IF(AE696="","",IF(AE696="[FÓRMULA MANUAL]","",IFERROR(AVERAGEIFS(nNOTA,nNIA,AE696,nCUENTA,1,nASIG,"Análisis"),"")))</f>
        <v/>
      </c>
      <c r="AG696" t="str">
        <f>IF(AE696="","",IF(AE696="[FÓRMULA MANUAL]","",IFERROR(AVERAGEIFS(nNOTA,nNIA,AE696,nCUENTA,1,nASIG,"Orquesta/Banda/Conjunto"),"")))</f>
        <v/>
      </c>
      <c r="AH696" t="str">
        <f>IF(AE696="","",IF(AE696="[FÓRMULA MANUAL]","",IFERROR(AVERAGEIFS(nNOTA,nNIA,AE696,nCUENTA,1,nASIG,"Música de Cámara"),"")))</f>
        <v/>
      </c>
      <c r="AI696" t="str">
        <f>IF(AE696="","",IF(AE696="[FÓRMULA MANUAL]","",IFERROR(SUMPRODUCT((nNIA=AE696)*(nCUENTA=1)*(COUNTIF(CONFIG_ASIGNATURAS!$B$7:$B$27,nASIG)&gt;0)*(nNOTA))/SUMPRODUCT((nNIA=AE696)*(nCUENTA=1)*(COUNTIF(CONFIG_ASIGNATURAS!$B$7:$B$27,nASIG)&gt;0)*1),"")))</f>
        <v/>
      </c>
    </row>
    <row r="697" spans="2:35" x14ac:dyDescent="0.2">
      <c r="B697" t="str">
        <f>IF(A697="","",IF(A697="[FÓRMULA MANUAL]","",IFERROR(AVERAGEIFS(nNOTA,nNIA,A697,nCUENTA,1,nASIG,"Lenguaje Musical"),"")))</f>
        <v/>
      </c>
      <c r="C697" t="str">
        <f>IF(A697="","",IF(A697="[FÓRMULA MANUAL]","",IFERROR(AVERAGEIFS(nNOTA,nNIA,A697,nCUENTA,1,nASIG,"Orquesta/Banda/Conjunto"),"")))</f>
        <v/>
      </c>
      <c r="D697" t="str">
        <f>IF(A697="","",IF(A697="[FÓRMULA MANUAL]","",IFERROR(AVERAGEIFS(nNOTA,nNIA,A697,nCUENTA,1,nASIG,"Conjunto"),"")))</f>
        <v/>
      </c>
      <c r="E697" t="str">
        <f>IF(A697="","",IF(A697="[FÓRMULA MANUAL]","",IFERROR(SUMPRODUCT((nNIA=A697)*(nCUENTA=1)*(COUNTIF(CONFIG_ASIGNATURAS!$B$7:$B$27,nASIG)&gt;0)*(nNOTA))/SUMPRODUCT((nNIA=A697)*(nCUENTA=1)*(COUNTIF(CONFIG_ASIGNATURAS!$B$7:$B$27,nASIG)&gt;0)*1),"")))</f>
        <v/>
      </c>
      <c r="H697" t="str">
        <f>IF(G697="","",IF(G697="[FÓRMULA MANUAL]","",IFERROR(AVERAGEIFS(nNOTA,nNIA,G697,nCUENTA,1,nASIG,"Lenguaje Musical"),"")))</f>
        <v/>
      </c>
      <c r="I697" t="str">
        <f>IF(G697="","",IF(G697="[FÓRMULA MANUAL]","",IFERROR(AVERAGEIFS(nNOTA,nNIA,G697,nCUENTA,1,nASIG,"Orquesta/Banda/Conjunto"),"")))</f>
        <v/>
      </c>
      <c r="J697" t="str">
        <f>IF(G697="","",IF(G697="[FÓRMULA MANUAL]","",IFERROR(AVERAGEIFS(nNOTA,nNIA,G697,nCUENTA,1,nASIG,"Conjunto"),"")))</f>
        <v/>
      </c>
      <c r="K697" t="str">
        <f>IF(G697="","",IF(G697="[FÓRMULA MANUAL]","",IFERROR(SUMPRODUCT((nNIA=G697)*(nCUENTA=1)*(COUNTIF(CONFIG_ASIGNATURAS!$B$7:$B$27,nASIG)&gt;0)*(nNOTA))/SUMPRODUCT((nNIA=G697)*(nCUENTA=1)*(COUNTIF(CONFIG_ASIGNATURAS!$B$7:$B$27,nASIG)&gt;0)*1),"")))</f>
        <v/>
      </c>
      <c r="N697" t="str">
        <f>IF(M697="","",IF(M697="[FÓRMULA MANUAL]","",IFERROR(AVERAGEIFS(nNOTA,nNIA,M697,nCUENTA,1,nASIG,"Armonía"),"")))</f>
        <v/>
      </c>
      <c r="O697" t="str">
        <f>IF(M697="","",IF(M697="[FÓRMULA MANUAL]","",IFERROR(AVERAGEIFS(nNOTA,nNIA,M697,nCUENTA,1,nASIG,"Orquesta/Banda/Conjunto"),"")))</f>
        <v/>
      </c>
      <c r="P697" t="str">
        <f>IF(M697="","",IF(M697="[FÓRMULA MANUAL]","",IFERROR(AVERAGEIFS(nNOTA,nNIA,M697,nCUENTA,1,nASIG,"Música de Cámara"),"")))</f>
        <v/>
      </c>
      <c r="Q697" t="str">
        <f>IF(M697="","",IF(M697="[FÓRMULA MANUAL]","",IFERROR(SUMPRODUCT((nNIA=M697)*(nCUENTA=1)*(COUNTIF(CONFIG_ASIGNATURAS!$B$7:$B$27,nASIG)&gt;0)*(nNOTA))/SUMPRODUCT((nNIA=M697)*(nCUENTA=1)*(COUNTIF(CONFIG_ASIGNATURAS!$B$7:$B$27,nASIG)&gt;0)*1),"")))</f>
        <v/>
      </c>
      <c r="T697" t="str">
        <f>IF(S697="","",IF(S697="[FÓRMULA MANUAL]","",IFERROR(AVERAGEIFS(nNOTA,nNIA,S697,nCUENTA,1,nASIG,"Armonía"),"")))</f>
        <v/>
      </c>
      <c r="U697" t="str">
        <f>IF(S697="","",IF(S697="[FÓRMULA MANUAL]","",IFERROR(AVERAGEIFS(nNOTA,nNIA,S697,nCUENTA,1,nASIG,"Orquesta/Banda/Conjunto"),"")))</f>
        <v/>
      </c>
      <c r="V697" t="str">
        <f>IF(S697="","",IF(S697="[FÓRMULA MANUAL]","",IFERROR(AVERAGEIFS(nNOTA,nNIA,S697,nCUENTA,1,nASIG,"Música de Cámara"),"")))</f>
        <v/>
      </c>
      <c r="W697" t="str">
        <f>IF(S697="","",IF(S697="[FÓRMULA MANUAL]","",IFERROR(SUMPRODUCT((nNIA=S697)*(nCUENTA=1)*(COUNTIF(CONFIG_ASIGNATURAS!$B$7:$B$27,nASIG)&gt;0)*(nNOTA))/SUMPRODUCT((nNIA=S697)*(nCUENTA=1)*(COUNTIF(CONFIG_ASIGNATURAS!$B$7:$B$27,nASIG)&gt;0)*1),"")))</f>
        <v/>
      </c>
      <c r="Z697" t="str">
        <f>IF(Y697="","",IF(Y697="[FÓRMULA MANUAL]","",IFERROR(AVERAGEIFS(nNOTA,nNIA,Y697,nCUENTA,1,nASIG,"Análisis"),"")))</f>
        <v/>
      </c>
      <c r="AA697" t="str">
        <f>IF(Y697="","",IF(Y697="[FÓRMULA MANUAL]","",IFERROR(AVERAGEIFS(nNOTA,nNIA,Y697,nCUENTA,1,nASIG,"Orquesta/Banda/Conjunto"),"")))</f>
        <v/>
      </c>
      <c r="AB697" t="str">
        <f>IF(Y697="","",IF(Y697="[FÓRMULA MANUAL]","",IFERROR(AVERAGEIFS(nNOTA,nNIA,Y697,nCUENTA,1,nASIG,"Música de Cámara"),"")))</f>
        <v/>
      </c>
      <c r="AC697" t="str">
        <f>IF(Y697="","",IF(Y697="[FÓRMULA MANUAL]","",IFERROR(SUMPRODUCT((nNIA=Y697)*(nCUENTA=1)*(COUNTIF(CONFIG_ASIGNATURAS!$B$7:$B$27,nASIG)&gt;0)*(nNOTA))/SUMPRODUCT((nNIA=Y697)*(nCUENTA=1)*(COUNTIF(CONFIG_ASIGNATURAS!$B$7:$B$27,nASIG)&gt;0)*1),"")))</f>
        <v/>
      </c>
      <c r="AF697" t="str">
        <f>IF(AE697="","",IF(AE697="[FÓRMULA MANUAL]","",IFERROR(AVERAGEIFS(nNOTA,nNIA,AE697,nCUENTA,1,nASIG,"Análisis"),"")))</f>
        <v/>
      </c>
      <c r="AG697" t="str">
        <f>IF(AE697="","",IF(AE697="[FÓRMULA MANUAL]","",IFERROR(AVERAGEIFS(nNOTA,nNIA,AE697,nCUENTA,1,nASIG,"Orquesta/Banda/Conjunto"),"")))</f>
        <v/>
      </c>
      <c r="AH697" t="str">
        <f>IF(AE697="","",IF(AE697="[FÓRMULA MANUAL]","",IFERROR(AVERAGEIFS(nNOTA,nNIA,AE697,nCUENTA,1,nASIG,"Música de Cámara"),"")))</f>
        <v/>
      </c>
      <c r="AI697" t="str">
        <f>IF(AE697="","",IF(AE697="[FÓRMULA MANUAL]","",IFERROR(SUMPRODUCT((nNIA=AE697)*(nCUENTA=1)*(COUNTIF(CONFIG_ASIGNATURAS!$B$7:$B$27,nASIG)&gt;0)*(nNOTA))/SUMPRODUCT((nNIA=AE697)*(nCUENTA=1)*(COUNTIF(CONFIG_ASIGNATURAS!$B$7:$B$27,nASIG)&gt;0)*1),"")))</f>
        <v/>
      </c>
    </row>
    <row r="698" spans="2:35" x14ac:dyDescent="0.2">
      <c r="B698" t="str">
        <f>IF(A698="","",IF(A698="[FÓRMULA MANUAL]","",IFERROR(AVERAGEIFS(nNOTA,nNIA,A698,nCUENTA,1,nASIG,"Lenguaje Musical"),"")))</f>
        <v/>
      </c>
      <c r="C698" t="str">
        <f>IF(A698="","",IF(A698="[FÓRMULA MANUAL]","",IFERROR(AVERAGEIFS(nNOTA,nNIA,A698,nCUENTA,1,nASIG,"Orquesta/Banda/Conjunto"),"")))</f>
        <v/>
      </c>
      <c r="D698" t="str">
        <f>IF(A698="","",IF(A698="[FÓRMULA MANUAL]","",IFERROR(AVERAGEIFS(nNOTA,nNIA,A698,nCUENTA,1,nASIG,"Conjunto"),"")))</f>
        <v/>
      </c>
      <c r="E698" t="str">
        <f>IF(A698="","",IF(A698="[FÓRMULA MANUAL]","",IFERROR(SUMPRODUCT((nNIA=A698)*(nCUENTA=1)*(COUNTIF(CONFIG_ASIGNATURAS!$B$7:$B$27,nASIG)&gt;0)*(nNOTA))/SUMPRODUCT((nNIA=A698)*(nCUENTA=1)*(COUNTIF(CONFIG_ASIGNATURAS!$B$7:$B$27,nASIG)&gt;0)*1),"")))</f>
        <v/>
      </c>
      <c r="H698" t="str">
        <f>IF(G698="","",IF(G698="[FÓRMULA MANUAL]","",IFERROR(AVERAGEIFS(nNOTA,nNIA,G698,nCUENTA,1,nASIG,"Lenguaje Musical"),"")))</f>
        <v/>
      </c>
      <c r="I698" t="str">
        <f>IF(G698="","",IF(G698="[FÓRMULA MANUAL]","",IFERROR(AVERAGEIFS(nNOTA,nNIA,G698,nCUENTA,1,nASIG,"Orquesta/Banda/Conjunto"),"")))</f>
        <v/>
      </c>
      <c r="J698" t="str">
        <f>IF(G698="","",IF(G698="[FÓRMULA MANUAL]","",IFERROR(AVERAGEIFS(nNOTA,nNIA,G698,nCUENTA,1,nASIG,"Conjunto"),"")))</f>
        <v/>
      </c>
      <c r="K698" t="str">
        <f>IF(G698="","",IF(G698="[FÓRMULA MANUAL]","",IFERROR(SUMPRODUCT((nNIA=G698)*(nCUENTA=1)*(COUNTIF(CONFIG_ASIGNATURAS!$B$7:$B$27,nASIG)&gt;0)*(nNOTA))/SUMPRODUCT((nNIA=G698)*(nCUENTA=1)*(COUNTIF(CONFIG_ASIGNATURAS!$B$7:$B$27,nASIG)&gt;0)*1),"")))</f>
        <v/>
      </c>
      <c r="N698" t="str">
        <f>IF(M698="","",IF(M698="[FÓRMULA MANUAL]","",IFERROR(AVERAGEIFS(nNOTA,nNIA,M698,nCUENTA,1,nASIG,"Armonía"),"")))</f>
        <v/>
      </c>
      <c r="O698" t="str">
        <f>IF(M698="","",IF(M698="[FÓRMULA MANUAL]","",IFERROR(AVERAGEIFS(nNOTA,nNIA,M698,nCUENTA,1,nASIG,"Orquesta/Banda/Conjunto"),"")))</f>
        <v/>
      </c>
      <c r="P698" t="str">
        <f>IF(M698="","",IF(M698="[FÓRMULA MANUAL]","",IFERROR(AVERAGEIFS(nNOTA,nNIA,M698,nCUENTA,1,nASIG,"Música de Cámara"),"")))</f>
        <v/>
      </c>
      <c r="Q698" t="str">
        <f>IF(M698="","",IF(M698="[FÓRMULA MANUAL]","",IFERROR(SUMPRODUCT((nNIA=M698)*(nCUENTA=1)*(COUNTIF(CONFIG_ASIGNATURAS!$B$7:$B$27,nASIG)&gt;0)*(nNOTA))/SUMPRODUCT((nNIA=M698)*(nCUENTA=1)*(COUNTIF(CONFIG_ASIGNATURAS!$B$7:$B$27,nASIG)&gt;0)*1),"")))</f>
        <v/>
      </c>
      <c r="T698" t="str">
        <f>IF(S698="","",IF(S698="[FÓRMULA MANUAL]","",IFERROR(AVERAGEIFS(nNOTA,nNIA,S698,nCUENTA,1,nASIG,"Armonía"),"")))</f>
        <v/>
      </c>
      <c r="U698" t="str">
        <f>IF(S698="","",IF(S698="[FÓRMULA MANUAL]","",IFERROR(AVERAGEIFS(nNOTA,nNIA,S698,nCUENTA,1,nASIG,"Orquesta/Banda/Conjunto"),"")))</f>
        <v/>
      </c>
      <c r="V698" t="str">
        <f>IF(S698="","",IF(S698="[FÓRMULA MANUAL]","",IFERROR(AVERAGEIFS(nNOTA,nNIA,S698,nCUENTA,1,nASIG,"Música de Cámara"),"")))</f>
        <v/>
      </c>
      <c r="W698" t="str">
        <f>IF(S698="","",IF(S698="[FÓRMULA MANUAL]","",IFERROR(SUMPRODUCT((nNIA=S698)*(nCUENTA=1)*(COUNTIF(CONFIG_ASIGNATURAS!$B$7:$B$27,nASIG)&gt;0)*(nNOTA))/SUMPRODUCT((nNIA=S698)*(nCUENTA=1)*(COUNTIF(CONFIG_ASIGNATURAS!$B$7:$B$27,nASIG)&gt;0)*1),"")))</f>
        <v/>
      </c>
      <c r="Z698" t="str">
        <f>IF(Y698="","",IF(Y698="[FÓRMULA MANUAL]","",IFERROR(AVERAGEIFS(nNOTA,nNIA,Y698,nCUENTA,1,nASIG,"Análisis"),"")))</f>
        <v/>
      </c>
      <c r="AA698" t="str">
        <f>IF(Y698="","",IF(Y698="[FÓRMULA MANUAL]","",IFERROR(AVERAGEIFS(nNOTA,nNIA,Y698,nCUENTA,1,nASIG,"Orquesta/Banda/Conjunto"),"")))</f>
        <v/>
      </c>
      <c r="AB698" t="str">
        <f>IF(Y698="","",IF(Y698="[FÓRMULA MANUAL]","",IFERROR(AVERAGEIFS(nNOTA,nNIA,Y698,nCUENTA,1,nASIG,"Música de Cámara"),"")))</f>
        <v/>
      </c>
      <c r="AC698" t="str">
        <f>IF(Y698="","",IF(Y698="[FÓRMULA MANUAL]","",IFERROR(SUMPRODUCT((nNIA=Y698)*(nCUENTA=1)*(COUNTIF(CONFIG_ASIGNATURAS!$B$7:$B$27,nASIG)&gt;0)*(nNOTA))/SUMPRODUCT((nNIA=Y698)*(nCUENTA=1)*(COUNTIF(CONFIG_ASIGNATURAS!$B$7:$B$27,nASIG)&gt;0)*1),"")))</f>
        <v/>
      </c>
      <c r="AF698" t="str">
        <f>IF(AE698="","",IF(AE698="[FÓRMULA MANUAL]","",IFERROR(AVERAGEIFS(nNOTA,nNIA,AE698,nCUENTA,1,nASIG,"Análisis"),"")))</f>
        <v/>
      </c>
      <c r="AG698" t="str">
        <f>IF(AE698="","",IF(AE698="[FÓRMULA MANUAL]","",IFERROR(AVERAGEIFS(nNOTA,nNIA,AE698,nCUENTA,1,nASIG,"Orquesta/Banda/Conjunto"),"")))</f>
        <v/>
      </c>
      <c r="AH698" t="str">
        <f>IF(AE698="","",IF(AE698="[FÓRMULA MANUAL]","",IFERROR(AVERAGEIFS(nNOTA,nNIA,AE698,nCUENTA,1,nASIG,"Música de Cámara"),"")))</f>
        <v/>
      </c>
      <c r="AI698" t="str">
        <f>IF(AE698="","",IF(AE698="[FÓRMULA MANUAL]","",IFERROR(SUMPRODUCT((nNIA=AE698)*(nCUENTA=1)*(COUNTIF(CONFIG_ASIGNATURAS!$B$7:$B$27,nASIG)&gt;0)*(nNOTA))/SUMPRODUCT((nNIA=AE698)*(nCUENTA=1)*(COUNTIF(CONFIG_ASIGNATURAS!$B$7:$B$27,nASIG)&gt;0)*1),"")))</f>
        <v/>
      </c>
    </row>
    <row r="699" spans="2:35" x14ac:dyDescent="0.2">
      <c r="B699" t="str">
        <f>IF(A699="","",IF(A699="[FÓRMULA MANUAL]","",IFERROR(AVERAGEIFS(nNOTA,nNIA,A699,nCUENTA,1,nASIG,"Lenguaje Musical"),"")))</f>
        <v/>
      </c>
      <c r="C699" t="str">
        <f>IF(A699="","",IF(A699="[FÓRMULA MANUAL]","",IFERROR(AVERAGEIFS(nNOTA,nNIA,A699,nCUENTA,1,nASIG,"Orquesta/Banda/Conjunto"),"")))</f>
        <v/>
      </c>
      <c r="D699" t="str">
        <f>IF(A699="","",IF(A699="[FÓRMULA MANUAL]","",IFERROR(AVERAGEIFS(nNOTA,nNIA,A699,nCUENTA,1,nASIG,"Conjunto"),"")))</f>
        <v/>
      </c>
      <c r="E699" t="str">
        <f>IF(A699="","",IF(A699="[FÓRMULA MANUAL]","",IFERROR(SUMPRODUCT((nNIA=A699)*(nCUENTA=1)*(COUNTIF(CONFIG_ASIGNATURAS!$B$7:$B$27,nASIG)&gt;0)*(nNOTA))/SUMPRODUCT((nNIA=A699)*(nCUENTA=1)*(COUNTIF(CONFIG_ASIGNATURAS!$B$7:$B$27,nASIG)&gt;0)*1),"")))</f>
        <v/>
      </c>
      <c r="H699" t="str">
        <f>IF(G699="","",IF(G699="[FÓRMULA MANUAL]","",IFERROR(AVERAGEIFS(nNOTA,nNIA,G699,nCUENTA,1,nASIG,"Lenguaje Musical"),"")))</f>
        <v/>
      </c>
      <c r="I699" t="str">
        <f>IF(G699="","",IF(G699="[FÓRMULA MANUAL]","",IFERROR(AVERAGEIFS(nNOTA,nNIA,G699,nCUENTA,1,nASIG,"Orquesta/Banda/Conjunto"),"")))</f>
        <v/>
      </c>
      <c r="J699" t="str">
        <f>IF(G699="","",IF(G699="[FÓRMULA MANUAL]","",IFERROR(AVERAGEIFS(nNOTA,nNIA,G699,nCUENTA,1,nASIG,"Conjunto"),"")))</f>
        <v/>
      </c>
      <c r="K699" t="str">
        <f>IF(G699="","",IF(G699="[FÓRMULA MANUAL]","",IFERROR(SUMPRODUCT((nNIA=G699)*(nCUENTA=1)*(COUNTIF(CONFIG_ASIGNATURAS!$B$7:$B$27,nASIG)&gt;0)*(nNOTA))/SUMPRODUCT((nNIA=G699)*(nCUENTA=1)*(COUNTIF(CONFIG_ASIGNATURAS!$B$7:$B$27,nASIG)&gt;0)*1),"")))</f>
        <v/>
      </c>
      <c r="N699" t="str">
        <f>IF(M699="","",IF(M699="[FÓRMULA MANUAL]","",IFERROR(AVERAGEIFS(nNOTA,nNIA,M699,nCUENTA,1,nASIG,"Armonía"),"")))</f>
        <v/>
      </c>
      <c r="O699" t="str">
        <f>IF(M699="","",IF(M699="[FÓRMULA MANUAL]","",IFERROR(AVERAGEIFS(nNOTA,nNIA,M699,nCUENTA,1,nASIG,"Orquesta/Banda/Conjunto"),"")))</f>
        <v/>
      </c>
      <c r="P699" t="str">
        <f>IF(M699="","",IF(M699="[FÓRMULA MANUAL]","",IFERROR(AVERAGEIFS(nNOTA,nNIA,M699,nCUENTA,1,nASIG,"Música de Cámara"),"")))</f>
        <v/>
      </c>
      <c r="Q699" t="str">
        <f>IF(M699="","",IF(M699="[FÓRMULA MANUAL]","",IFERROR(SUMPRODUCT((nNIA=M699)*(nCUENTA=1)*(COUNTIF(CONFIG_ASIGNATURAS!$B$7:$B$27,nASIG)&gt;0)*(nNOTA))/SUMPRODUCT((nNIA=M699)*(nCUENTA=1)*(COUNTIF(CONFIG_ASIGNATURAS!$B$7:$B$27,nASIG)&gt;0)*1),"")))</f>
        <v/>
      </c>
      <c r="T699" t="str">
        <f>IF(S699="","",IF(S699="[FÓRMULA MANUAL]","",IFERROR(AVERAGEIFS(nNOTA,nNIA,S699,nCUENTA,1,nASIG,"Armonía"),"")))</f>
        <v/>
      </c>
      <c r="U699" t="str">
        <f>IF(S699="","",IF(S699="[FÓRMULA MANUAL]","",IFERROR(AVERAGEIFS(nNOTA,nNIA,S699,nCUENTA,1,nASIG,"Orquesta/Banda/Conjunto"),"")))</f>
        <v/>
      </c>
      <c r="V699" t="str">
        <f>IF(S699="","",IF(S699="[FÓRMULA MANUAL]","",IFERROR(AVERAGEIFS(nNOTA,nNIA,S699,nCUENTA,1,nASIG,"Música de Cámara"),"")))</f>
        <v/>
      </c>
      <c r="W699" t="str">
        <f>IF(S699="","",IF(S699="[FÓRMULA MANUAL]","",IFERROR(SUMPRODUCT((nNIA=S699)*(nCUENTA=1)*(COUNTIF(CONFIG_ASIGNATURAS!$B$7:$B$27,nASIG)&gt;0)*(nNOTA))/SUMPRODUCT((nNIA=S699)*(nCUENTA=1)*(COUNTIF(CONFIG_ASIGNATURAS!$B$7:$B$27,nASIG)&gt;0)*1),"")))</f>
        <v/>
      </c>
      <c r="Z699" t="str">
        <f>IF(Y699="","",IF(Y699="[FÓRMULA MANUAL]","",IFERROR(AVERAGEIFS(nNOTA,nNIA,Y699,nCUENTA,1,nASIG,"Análisis"),"")))</f>
        <v/>
      </c>
      <c r="AA699" t="str">
        <f>IF(Y699="","",IF(Y699="[FÓRMULA MANUAL]","",IFERROR(AVERAGEIFS(nNOTA,nNIA,Y699,nCUENTA,1,nASIG,"Orquesta/Banda/Conjunto"),"")))</f>
        <v/>
      </c>
      <c r="AB699" t="str">
        <f>IF(Y699="","",IF(Y699="[FÓRMULA MANUAL]","",IFERROR(AVERAGEIFS(nNOTA,nNIA,Y699,nCUENTA,1,nASIG,"Música de Cámara"),"")))</f>
        <v/>
      </c>
      <c r="AC699" t="str">
        <f>IF(Y699="","",IF(Y699="[FÓRMULA MANUAL]","",IFERROR(SUMPRODUCT((nNIA=Y699)*(nCUENTA=1)*(COUNTIF(CONFIG_ASIGNATURAS!$B$7:$B$27,nASIG)&gt;0)*(nNOTA))/SUMPRODUCT((nNIA=Y699)*(nCUENTA=1)*(COUNTIF(CONFIG_ASIGNATURAS!$B$7:$B$27,nASIG)&gt;0)*1),"")))</f>
        <v/>
      </c>
      <c r="AF699" t="str">
        <f>IF(AE699="","",IF(AE699="[FÓRMULA MANUAL]","",IFERROR(AVERAGEIFS(nNOTA,nNIA,AE699,nCUENTA,1,nASIG,"Análisis"),"")))</f>
        <v/>
      </c>
      <c r="AG699" t="str">
        <f>IF(AE699="","",IF(AE699="[FÓRMULA MANUAL]","",IFERROR(AVERAGEIFS(nNOTA,nNIA,AE699,nCUENTA,1,nASIG,"Orquesta/Banda/Conjunto"),"")))</f>
        <v/>
      </c>
      <c r="AH699" t="str">
        <f>IF(AE699="","",IF(AE699="[FÓRMULA MANUAL]","",IFERROR(AVERAGEIFS(nNOTA,nNIA,AE699,nCUENTA,1,nASIG,"Música de Cámara"),"")))</f>
        <v/>
      </c>
      <c r="AI699" t="str">
        <f>IF(AE699="","",IF(AE699="[FÓRMULA MANUAL]","",IFERROR(SUMPRODUCT((nNIA=AE699)*(nCUENTA=1)*(COUNTIF(CONFIG_ASIGNATURAS!$B$7:$B$27,nASIG)&gt;0)*(nNOTA))/SUMPRODUCT((nNIA=AE699)*(nCUENTA=1)*(COUNTIF(CONFIG_ASIGNATURAS!$B$7:$B$27,nASIG)&gt;0)*1),"")))</f>
        <v/>
      </c>
    </row>
    <row r="700" spans="2:35" x14ac:dyDescent="0.2">
      <c r="B700" t="str">
        <f>IF(A700="","",IF(A700="[FÓRMULA MANUAL]","",IFERROR(AVERAGEIFS(nNOTA,nNIA,A700,nCUENTA,1,nASIG,"Lenguaje Musical"),"")))</f>
        <v/>
      </c>
      <c r="C700" t="str">
        <f>IF(A700="","",IF(A700="[FÓRMULA MANUAL]","",IFERROR(AVERAGEIFS(nNOTA,nNIA,A700,nCUENTA,1,nASIG,"Orquesta/Banda/Conjunto"),"")))</f>
        <v/>
      </c>
      <c r="D700" t="str">
        <f>IF(A700="","",IF(A700="[FÓRMULA MANUAL]","",IFERROR(AVERAGEIFS(nNOTA,nNIA,A700,nCUENTA,1,nASIG,"Conjunto"),"")))</f>
        <v/>
      </c>
      <c r="E700" t="str">
        <f>IF(A700="","",IF(A700="[FÓRMULA MANUAL]","",IFERROR(SUMPRODUCT((nNIA=A700)*(nCUENTA=1)*(COUNTIF(CONFIG_ASIGNATURAS!$B$7:$B$27,nASIG)&gt;0)*(nNOTA))/SUMPRODUCT((nNIA=A700)*(nCUENTA=1)*(COUNTIF(CONFIG_ASIGNATURAS!$B$7:$B$27,nASIG)&gt;0)*1),"")))</f>
        <v/>
      </c>
      <c r="H700" t="str">
        <f>IF(G700="","",IF(G700="[FÓRMULA MANUAL]","",IFERROR(AVERAGEIFS(nNOTA,nNIA,G700,nCUENTA,1,nASIG,"Lenguaje Musical"),"")))</f>
        <v/>
      </c>
      <c r="I700" t="str">
        <f>IF(G700="","",IF(G700="[FÓRMULA MANUAL]","",IFERROR(AVERAGEIFS(nNOTA,nNIA,G700,nCUENTA,1,nASIG,"Orquesta/Banda/Conjunto"),"")))</f>
        <v/>
      </c>
      <c r="J700" t="str">
        <f>IF(G700="","",IF(G700="[FÓRMULA MANUAL]","",IFERROR(AVERAGEIFS(nNOTA,nNIA,G700,nCUENTA,1,nASIG,"Conjunto"),"")))</f>
        <v/>
      </c>
      <c r="K700" t="str">
        <f>IF(G700="","",IF(G700="[FÓRMULA MANUAL]","",IFERROR(SUMPRODUCT((nNIA=G700)*(nCUENTA=1)*(COUNTIF(CONFIG_ASIGNATURAS!$B$7:$B$27,nASIG)&gt;0)*(nNOTA))/SUMPRODUCT((nNIA=G700)*(nCUENTA=1)*(COUNTIF(CONFIG_ASIGNATURAS!$B$7:$B$27,nASIG)&gt;0)*1),"")))</f>
        <v/>
      </c>
      <c r="N700" t="str">
        <f>IF(M700="","",IF(M700="[FÓRMULA MANUAL]","",IFERROR(AVERAGEIFS(nNOTA,nNIA,M700,nCUENTA,1,nASIG,"Armonía"),"")))</f>
        <v/>
      </c>
      <c r="O700" t="str">
        <f>IF(M700="","",IF(M700="[FÓRMULA MANUAL]","",IFERROR(AVERAGEIFS(nNOTA,nNIA,M700,nCUENTA,1,nASIG,"Orquesta/Banda/Conjunto"),"")))</f>
        <v/>
      </c>
      <c r="P700" t="str">
        <f>IF(M700="","",IF(M700="[FÓRMULA MANUAL]","",IFERROR(AVERAGEIFS(nNOTA,nNIA,M700,nCUENTA,1,nASIG,"Música de Cámara"),"")))</f>
        <v/>
      </c>
      <c r="Q700" t="str">
        <f>IF(M700="","",IF(M700="[FÓRMULA MANUAL]","",IFERROR(SUMPRODUCT((nNIA=M700)*(nCUENTA=1)*(COUNTIF(CONFIG_ASIGNATURAS!$B$7:$B$27,nASIG)&gt;0)*(nNOTA))/SUMPRODUCT((nNIA=M700)*(nCUENTA=1)*(COUNTIF(CONFIG_ASIGNATURAS!$B$7:$B$27,nASIG)&gt;0)*1),"")))</f>
        <v/>
      </c>
      <c r="T700" t="str">
        <f>IF(S700="","",IF(S700="[FÓRMULA MANUAL]","",IFERROR(AVERAGEIFS(nNOTA,nNIA,S700,nCUENTA,1,nASIG,"Armonía"),"")))</f>
        <v/>
      </c>
      <c r="U700" t="str">
        <f>IF(S700="","",IF(S700="[FÓRMULA MANUAL]","",IFERROR(AVERAGEIFS(nNOTA,nNIA,S700,nCUENTA,1,nASIG,"Orquesta/Banda/Conjunto"),"")))</f>
        <v/>
      </c>
      <c r="V700" t="str">
        <f>IF(S700="","",IF(S700="[FÓRMULA MANUAL]","",IFERROR(AVERAGEIFS(nNOTA,nNIA,S700,nCUENTA,1,nASIG,"Música de Cámara"),"")))</f>
        <v/>
      </c>
      <c r="W700" t="str">
        <f>IF(S700="","",IF(S700="[FÓRMULA MANUAL]","",IFERROR(SUMPRODUCT((nNIA=S700)*(nCUENTA=1)*(COUNTIF(CONFIG_ASIGNATURAS!$B$7:$B$27,nASIG)&gt;0)*(nNOTA))/SUMPRODUCT((nNIA=S700)*(nCUENTA=1)*(COUNTIF(CONFIG_ASIGNATURAS!$B$7:$B$27,nASIG)&gt;0)*1),"")))</f>
        <v/>
      </c>
      <c r="Z700" t="str">
        <f>IF(Y700="","",IF(Y700="[FÓRMULA MANUAL]","",IFERROR(AVERAGEIFS(nNOTA,nNIA,Y700,nCUENTA,1,nASIG,"Análisis"),"")))</f>
        <v/>
      </c>
      <c r="AA700" t="str">
        <f>IF(Y700="","",IF(Y700="[FÓRMULA MANUAL]","",IFERROR(AVERAGEIFS(nNOTA,nNIA,Y700,nCUENTA,1,nASIG,"Orquesta/Banda/Conjunto"),"")))</f>
        <v/>
      </c>
      <c r="AB700" t="str">
        <f>IF(Y700="","",IF(Y700="[FÓRMULA MANUAL]","",IFERROR(AVERAGEIFS(nNOTA,nNIA,Y700,nCUENTA,1,nASIG,"Música de Cámara"),"")))</f>
        <v/>
      </c>
      <c r="AC700" t="str">
        <f>IF(Y700="","",IF(Y700="[FÓRMULA MANUAL]","",IFERROR(SUMPRODUCT((nNIA=Y700)*(nCUENTA=1)*(COUNTIF(CONFIG_ASIGNATURAS!$B$7:$B$27,nASIG)&gt;0)*(nNOTA))/SUMPRODUCT((nNIA=Y700)*(nCUENTA=1)*(COUNTIF(CONFIG_ASIGNATURAS!$B$7:$B$27,nASIG)&gt;0)*1),"")))</f>
        <v/>
      </c>
      <c r="AF700" t="str">
        <f>IF(AE700="","",IF(AE700="[FÓRMULA MANUAL]","",IFERROR(AVERAGEIFS(nNOTA,nNIA,AE700,nCUENTA,1,nASIG,"Análisis"),"")))</f>
        <v/>
      </c>
      <c r="AG700" t="str">
        <f>IF(AE700="","",IF(AE700="[FÓRMULA MANUAL]","",IFERROR(AVERAGEIFS(nNOTA,nNIA,AE700,nCUENTA,1,nASIG,"Orquesta/Banda/Conjunto"),"")))</f>
        <v/>
      </c>
      <c r="AH700" t="str">
        <f>IF(AE700="","",IF(AE700="[FÓRMULA MANUAL]","",IFERROR(AVERAGEIFS(nNOTA,nNIA,AE700,nCUENTA,1,nASIG,"Música de Cámara"),"")))</f>
        <v/>
      </c>
      <c r="AI700" t="str">
        <f>IF(AE700="","",IF(AE700="[FÓRMULA MANUAL]","",IFERROR(SUMPRODUCT((nNIA=AE700)*(nCUENTA=1)*(COUNTIF(CONFIG_ASIGNATURAS!$B$7:$B$27,nASIG)&gt;0)*(nNOTA))/SUMPRODUCT((nNIA=AE700)*(nCUENTA=1)*(COUNTIF(CONFIG_ASIGNATURAS!$B$7:$B$27,nASIG)&gt;0)*1),"")))</f>
        <v/>
      </c>
    </row>
    <row r="701" spans="2:35" x14ac:dyDescent="0.2">
      <c r="B701" t="str">
        <f>IF(A701="","",IF(A701="[FÓRMULA MANUAL]","",IFERROR(AVERAGEIFS(nNOTA,nNIA,A701,nCUENTA,1,nASIG,"Lenguaje Musical"),"")))</f>
        <v/>
      </c>
      <c r="C701" t="str">
        <f>IF(A701="","",IF(A701="[FÓRMULA MANUAL]","",IFERROR(AVERAGEIFS(nNOTA,nNIA,A701,nCUENTA,1,nASIG,"Orquesta/Banda/Conjunto"),"")))</f>
        <v/>
      </c>
      <c r="D701" t="str">
        <f>IF(A701="","",IF(A701="[FÓRMULA MANUAL]","",IFERROR(AVERAGEIFS(nNOTA,nNIA,A701,nCUENTA,1,nASIG,"Conjunto"),"")))</f>
        <v/>
      </c>
      <c r="E701" t="str">
        <f>IF(A701="","",IF(A701="[FÓRMULA MANUAL]","",IFERROR(SUMPRODUCT((nNIA=A701)*(nCUENTA=1)*(COUNTIF(CONFIG_ASIGNATURAS!$B$7:$B$27,nASIG)&gt;0)*(nNOTA))/SUMPRODUCT((nNIA=A701)*(nCUENTA=1)*(COUNTIF(CONFIG_ASIGNATURAS!$B$7:$B$27,nASIG)&gt;0)*1),"")))</f>
        <v/>
      </c>
      <c r="H701" t="str">
        <f>IF(G701="","",IF(G701="[FÓRMULA MANUAL]","",IFERROR(AVERAGEIFS(nNOTA,nNIA,G701,nCUENTA,1,nASIG,"Lenguaje Musical"),"")))</f>
        <v/>
      </c>
      <c r="I701" t="str">
        <f>IF(G701="","",IF(G701="[FÓRMULA MANUAL]","",IFERROR(AVERAGEIFS(nNOTA,nNIA,G701,nCUENTA,1,nASIG,"Orquesta/Banda/Conjunto"),"")))</f>
        <v/>
      </c>
      <c r="J701" t="str">
        <f>IF(G701="","",IF(G701="[FÓRMULA MANUAL]","",IFERROR(AVERAGEIFS(nNOTA,nNIA,G701,nCUENTA,1,nASIG,"Conjunto"),"")))</f>
        <v/>
      </c>
      <c r="K701" t="str">
        <f>IF(G701="","",IF(G701="[FÓRMULA MANUAL]","",IFERROR(SUMPRODUCT((nNIA=G701)*(nCUENTA=1)*(COUNTIF(CONFIG_ASIGNATURAS!$B$7:$B$27,nASIG)&gt;0)*(nNOTA))/SUMPRODUCT((nNIA=G701)*(nCUENTA=1)*(COUNTIF(CONFIG_ASIGNATURAS!$B$7:$B$27,nASIG)&gt;0)*1),"")))</f>
        <v/>
      </c>
      <c r="N701" t="str">
        <f>IF(M701="","",IF(M701="[FÓRMULA MANUAL]","",IFERROR(AVERAGEIFS(nNOTA,nNIA,M701,nCUENTA,1,nASIG,"Armonía"),"")))</f>
        <v/>
      </c>
      <c r="O701" t="str">
        <f>IF(M701="","",IF(M701="[FÓRMULA MANUAL]","",IFERROR(AVERAGEIFS(nNOTA,nNIA,M701,nCUENTA,1,nASIG,"Orquesta/Banda/Conjunto"),"")))</f>
        <v/>
      </c>
      <c r="P701" t="str">
        <f>IF(M701="","",IF(M701="[FÓRMULA MANUAL]","",IFERROR(AVERAGEIFS(nNOTA,nNIA,M701,nCUENTA,1,nASIG,"Música de Cámara"),"")))</f>
        <v/>
      </c>
      <c r="Q701" t="str">
        <f>IF(M701="","",IF(M701="[FÓRMULA MANUAL]","",IFERROR(SUMPRODUCT((nNIA=M701)*(nCUENTA=1)*(COUNTIF(CONFIG_ASIGNATURAS!$B$7:$B$27,nASIG)&gt;0)*(nNOTA))/SUMPRODUCT((nNIA=M701)*(nCUENTA=1)*(COUNTIF(CONFIG_ASIGNATURAS!$B$7:$B$27,nASIG)&gt;0)*1),"")))</f>
        <v/>
      </c>
      <c r="T701" t="str">
        <f>IF(S701="","",IF(S701="[FÓRMULA MANUAL]","",IFERROR(AVERAGEIFS(nNOTA,nNIA,S701,nCUENTA,1,nASIG,"Armonía"),"")))</f>
        <v/>
      </c>
      <c r="U701" t="str">
        <f>IF(S701="","",IF(S701="[FÓRMULA MANUAL]","",IFERROR(AVERAGEIFS(nNOTA,nNIA,S701,nCUENTA,1,nASIG,"Orquesta/Banda/Conjunto"),"")))</f>
        <v/>
      </c>
      <c r="V701" t="str">
        <f>IF(S701="","",IF(S701="[FÓRMULA MANUAL]","",IFERROR(AVERAGEIFS(nNOTA,nNIA,S701,nCUENTA,1,nASIG,"Música de Cámara"),"")))</f>
        <v/>
      </c>
      <c r="W701" t="str">
        <f>IF(S701="","",IF(S701="[FÓRMULA MANUAL]","",IFERROR(SUMPRODUCT((nNIA=S701)*(nCUENTA=1)*(COUNTIF(CONFIG_ASIGNATURAS!$B$7:$B$27,nASIG)&gt;0)*(nNOTA))/SUMPRODUCT((nNIA=S701)*(nCUENTA=1)*(COUNTIF(CONFIG_ASIGNATURAS!$B$7:$B$27,nASIG)&gt;0)*1),"")))</f>
        <v/>
      </c>
      <c r="Z701" t="str">
        <f>IF(Y701="","",IF(Y701="[FÓRMULA MANUAL]","",IFERROR(AVERAGEIFS(nNOTA,nNIA,Y701,nCUENTA,1,nASIG,"Análisis"),"")))</f>
        <v/>
      </c>
      <c r="AA701" t="str">
        <f>IF(Y701="","",IF(Y701="[FÓRMULA MANUAL]","",IFERROR(AVERAGEIFS(nNOTA,nNIA,Y701,nCUENTA,1,nASIG,"Orquesta/Banda/Conjunto"),"")))</f>
        <v/>
      </c>
      <c r="AB701" t="str">
        <f>IF(Y701="","",IF(Y701="[FÓRMULA MANUAL]","",IFERROR(AVERAGEIFS(nNOTA,nNIA,Y701,nCUENTA,1,nASIG,"Música de Cámara"),"")))</f>
        <v/>
      </c>
      <c r="AC701" t="str">
        <f>IF(Y701="","",IF(Y701="[FÓRMULA MANUAL]","",IFERROR(SUMPRODUCT((nNIA=Y701)*(nCUENTA=1)*(COUNTIF(CONFIG_ASIGNATURAS!$B$7:$B$27,nASIG)&gt;0)*(nNOTA))/SUMPRODUCT((nNIA=Y701)*(nCUENTA=1)*(COUNTIF(CONFIG_ASIGNATURAS!$B$7:$B$27,nASIG)&gt;0)*1),"")))</f>
        <v/>
      </c>
      <c r="AF701" t="str">
        <f>IF(AE701="","",IF(AE701="[FÓRMULA MANUAL]","",IFERROR(AVERAGEIFS(nNOTA,nNIA,AE701,nCUENTA,1,nASIG,"Análisis"),"")))</f>
        <v/>
      </c>
      <c r="AG701" t="str">
        <f>IF(AE701="","",IF(AE701="[FÓRMULA MANUAL]","",IFERROR(AVERAGEIFS(nNOTA,nNIA,AE701,nCUENTA,1,nASIG,"Orquesta/Banda/Conjunto"),"")))</f>
        <v/>
      </c>
      <c r="AH701" t="str">
        <f>IF(AE701="","",IF(AE701="[FÓRMULA MANUAL]","",IFERROR(AVERAGEIFS(nNOTA,nNIA,AE701,nCUENTA,1,nASIG,"Música de Cámara"),"")))</f>
        <v/>
      </c>
      <c r="AI701" t="str">
        <f>IF(AE701="","",IF(AE701="[FÓRMULA MANUAL]","",IFERROR(SUMPRODUCT((nNIA=AE701)*(nCUENTA=1)*(COUNTIF(CONFIG_ASIGNATURAS!$B$7:$B$27,nASIG)&gt;0)*(nNOTA))/SUMPRODUCT((nNIA=AE701)*(nCUENTA=1)*(COUNTIF(CONFIG_ASIGNATURAS!$B$7:$B$27,nASIG)&gt;0)*1),"")))</f>
        <v/>
      </c>
    </row>
    <row r="702" spans="2:35" x14ac:dyDescent="0.2">
      <c r="B702" t="str">
        <f>IF(A702="","",IF(A702="[FÓRMULA MANUAL]","",IFERROR(AVERAGEIFS(nNOTA,nNIA,A702,nCUENTA,1,nASIG,"Lenguaje Musical"),"")))</f>
        <v/>
      </c>
      <c r="C702" t="str">
        <f>IF(A702="","",IF(A702="[FÓRMULA MANUAL]","",IFERROR(AVERAGEIFS(nNOTA,nNIA,A702,nCUENTA,1,nASIG,"Orquesta/Banda/Conjunto"),"")))</f>
        <v/>
      </c>
      <c r="D702" t="str">
        <f>IF(A702="","",IF(A702="[FÓRMULA MANUAL]","",IFERROR(AVERAGEIFS(nNOTA,nNIA,A702,nCUENTA,1,nASIG,"Conjunto"),"")))</f>
        <v/>
      </c>
      <c r="E702" t="str">
        <f>IF(A702="","",IF(A702="[FÓRMULA MANUAL]","",IFERROR(SUMPRODUCT((nNIA=A702)*(nCUENTA=1)*(COUNTIF(CONFIG_ASIGNATURAS!$B$7:$B$27,nASIG)&gt;0)*(nNOTA))/SUMPRODUCT((nNIA=A702)*(nCUENTA=1)*(COUNTIF(CONFIG_ASIGNATURAS!$B$7:$B$27,nASIG)&gt;0)*1),"")))</f>
        <v/>
      </c>
      <c r="H702" t="str">
        <f>IF(G702="","",IF(G702="[FÓRMULA MANUAL]","",IFERROR(AVERAGEIFS(nNOTA,nNIA,G702,nCUENTA,1,nASIG,"Lenguaje Musical"),"")))</f>
        <v/>
      </c>
      <c r="I702" t="str">
        <f>IF(G702="","",IF(G702="[FÓRMULA MANUAL]","",IFERROR(AVERAGEIFS(nNOTA,nNIA,G702,nCUENTA,1,nASIG,"Orquesta/Banda/Conjunto"),"")))</f>
        <v/>
      </c>
      <c r="J702" t="str">
        <f>IF(G702="","",IF(G702="[FÓRMULA MANUAL]","",IFERROR(AVERAGEIFS(nNOTA,nNIA,G702,nCUENTA,1,nASIG,"Conjunto"),"")))</f>
        <v/>
      </c>
      <c r="K702" t="str">
        <f>IF(G702="","",IF(G702="[FÓRMULA MANUAL]","",IFERROR(SUMPRODUCT((nNIA=G702)*(nCUENTA=1)*(COUNTIF(CONFIG_ASIGNATURAS!$B$7:$B$27,nASIG)&gt;0)*(nNOTA))/SUMPRODUCT((nNIA=G702)*(nCUENTA=1)*(COUNTIF(CONFIG_ASIGNATURAS!$B$7:$B$27,nASIG)&gt;0)*1),"")))</f>
        <v/>
      </c>
      <c r="N702" t="str">
        <f>IF(M702="","",IF(M702="[FÓRMULA MANUAL]","",IFERROR(AVERAGEIFS(nNOTA,nNIA,M702,nCUENTA,1,nASIG,"Armonía"),"")))</f>
        <v/>
      </c>
      <c r="O702" t="str">
        <f>IF(M702="","",IF(M702="[FÓRMULA MANUAL]","",IFERROR(AVERAGEIFS(nNOTA,nNIA,M702,nCUENTA,1,nASIG,"Orquesta/Banda/Conjunto"),"")))</f>
        <v/>
      </c>
      <c r="P702" t="str">
        <f>IF(M702="","",IF(M702="[FÓRMULA MANUAL]","",IFERROR(AVERAGEIFS(nNOTA,nNIA,M702,nCUENTA,1,nASIG,"Música de Cámara"),"")))</f>
        <v/>
      </c>
      <c r="Q702" t="str">
        <f>IF(M702="","",IF(M702="[FÓRMULA MANUAL]","",IFERROR(SUMPRODUCT((nNIA=M702)*(nCUENTA=1)*(COUNTIF(CONFIG_ASIGNATURAS!$B$7:$B$27,nASIG)&gt;0)*(nNOTA))/SUMPRODUCT((nNIA=M702)*(nCUENTA=1)*(COUNTIF(CONFIG_ASIGNATURAS!$B$7:$B$27,nASIG)&gt;0)*1),"")))</f>
        <v/>
      </c>
      <c r="T702" t="str">
        <f>IF(S702="","",IF(S702="[FÓRMULA MANUAL]","",IFERROR(AVERAGEIFS(nNOTA,nNIA,S702,nCUENTA,1,nASIG,"Armonía"),"")))</f>
        <v/>
      </c>
      <c r="U702" t="str">
        <f>IF(S702="","",IF(S702="[FÓRMULA MANUAL]","",IFERROR(AVERAGEIFS(nNOTA,nNIA,S702,nCUENTA,1,nASIG,"Orquesta/Banda/Conjunto"),"")))</f>
        <v/>
      </c>
      <c r="V702" t="str">
        <f>IF(S702="","",IF(S702="[FÓRMULA MANUAL]","",IFERROR(AVERAGEIFS(nNOTA,nNIA,S702,nCUENTA,1,nASIG,"Música de Cámara"),"")))</f>
        <v/>
      </c>
      <c r="W702" t="str">
        <f>IF(S702="","",IF(S702="[FÓRMULA MANUAL]","",IFERROR(SUMPRODUCT((nNIA=S702)*(nCUENTA=1)*(COUNTIF(CONFIG_ASIGNATURAS!$B$7:$B$27,nASIG)&gt;0)*(nNOTA))/SUMPRODUCT((nNIA=S702)*(nCUENTA=1)*(COUNTIF(CONFIG_ASIGNATURAS!$B$7:$B$27,nASIG)&gt;0)*1),"")))</f>
        <v/>
      </c>
      <c r="Z702" t="str">
        <f>IF(Y702="","",IF(Y702="[FÓRMULA MANUAL]","",IFERROR(AVERAGEIFS(nNOTA,nNIA,Y702,nCUENTA,1,nASIG,"Análisis"),"")))</f>
        <v/>
      </c>
      <c r="AA702" t="str">
        <f>IF(Y702="","",IF(Y702="[FÓRMULA MANUAL]","",IFERROR(AVERAGEIFS(nNOTA,nNIA,Y702,nCUENTA,1,nASIG,"Orquesta/Banda/Conjunto"),"")))</f>
        <v/>
      </c>
      <c r="AB702" t="str">
        <f>IF(Y702="","",IF(Y702="[FÓRMULA MANUAL]","",IFERROR(AVERAGEIFS(nNOTA,nNIA,Y702,nCUENTA,1,nASIG,"Música de Cámara"),"")))</f>
        <v/>
      </c>
      <c r="AC702" t="str">
        <f>IF(Y702="","",IF(Y702="[FÓRMULA MANUAL]","",IFERROR(SUMPRODUCT((nNIA=Y702)*(nCUENTA=1)*(COUNTIF(CONFIG_ASIGNATURAS!$B$7:$B$27,nASIG)&gt;0)*(nNOTA))/SUMPRODUCT((nNIA=Y702)*(nCUENTA=1)*(COUNTIF(CONFIG_ASIGNATURAS!$B$7:$B$27,nASIG)&gt;0)*1),"")))</f>
        <v/>
      </c>
      <c r="AF702" t="str">
        <f>IF(AE702="","",IF(AE702="[FÓRMULA MANUAL]","",IFERROR(AVERAGEIFS(nNOTA,nNIA,AE702,nCUENTA,1,nASIG,"Análisis"),"")))</f>
        <v/>
      </c>
      <c r="AG702" t="str">
        <f>IF(AE702="","",IF(AE702="[FÓRMULA MANUAL]","",IFERROR(AVERAGEIFS(nNOTA,nNIA,AE702,nCUENTA,1,nASIG,"Orquesta/Banda/Conjunto"),"")))</f>
        <v/>
      </c>
      <c r="AH702" t="str">
        <f>IF(AE702="","",IF(AE702="[FÓRMULA MANUAL]","",IFERROR(AVERAGEIFS(nNOTA,nNIA,AE702,nCUENTA,1,nASIG,"Música de Cámara"),"")))</f>
        <v/>
      </c>
      <c r="AI702" t="str">
        <f>IF(AE702="","",IF(AE702="[FÓRMULA MANUAL]","",IFERROR(SUMPRODUCT((nNIA=AE702)*(nCUENTA=1)*(COUNTIF(CONFIG_ASIGNATURAS!$B$7:$B$27,nASIG)&gt;0)*(nNOTA))/SUMPRODUCT((nNIA=AE702)*(nCUENTA=1)*(COUNTIF(CONFIG_ASIGNATURAS!$B$7:$B$27,nASIG)&gt;0)*1),"")))</f>
        <v/>
      </c>
    </row>
    <row r="703" spans="2:35" x14ac:dyDescent="0.2">
      <c r="B703" t="str">
        <f>IF(A703="","",IF(A703="[FÓRMULA MANUAL]","",IFERROR(AVERAGEIFS(nNOTA,nNIA,A703,nCUENTA,1,nASIG,"Lenguaje Musical"),"")))</f>
        <v/>
      </c>
      <c r="C703" t="str">
        <f>IF(A703="","",IF(A703="[FÓRMULA MANUAL]","",IFERROR(AVERAGEIFS(nNOTA,nNIA,A703,nCUENTA,1,nASIG,"Orquesta/Banda/Conjunto"),"")))</f>
        <v/>
      </c>
      <c r="D703" t="str">
        <f>IF(A703="","",IF(A703="[FÓRMULA MANUAL]","",IFERROR(AVERAGEIFS(nNOTA,nNIA,A703,nCUENTA,1,nASIG,"Conjunto"),"")))</f>
        <v/>
      </c>
      <c r="E703" t="str">
        <f>IF(A703="","",IF(A703="[FÓRMULA MANUAL]","",IFERROR(SUMPRODUCT((nNIA=A703)*(nCUENTA=1)*(COUNTIF(CONFIG_ASIGNATURAS!$B$7:$B$27,nASIG)&gt;0)*(nNOTA))/SUMPRODUCT((nNIA=A703)*(nCUENTA=1)*(COUNTIF(CONFIG_ASIGNATURAS!$B$7:$B$27,nASIG)&gt;0)*1),"")))</f>
        <v/>
      </c>
      <c r="H703" t="str">
        <f>IF(G703="","",IF(G703="[FÓRMULA MANUAL]","",IFERROR(AVERAGEIFS(nNOTA,nNIA,G703,nCUENTA,1,nASIG,"Lenguaje Musical"),"")))</f>
        <v/>
      </c>
      <c r="I703" t="str">
        <f>IF(G703="","",IF(G703="[FÓRMULA MANUAL]","",IFERROR(AVERAGEIFS(nNOTA,nNIA,G703,nCUENTA,1,nASIG,"Orquesta/Banda/Conjunto"),"")))</f>
        <v/>
      </c>
      <c r="J703" t="str">
        <f>IF(G703="","",IF(G703="[FÓRMULA MANUAL]","",IFERROR(AVERAGEIFS(nNOTA,nNIA,G703,nCUENTA,1,nASIG,"Conjunto"),"")))</f>
        <v/>
      </c>
      <c r="K703" t="str">
        <f>IF(G703="","",IF(G703="[FÓRMULA MANUAL]","",IFERROR(SUMPRODUCT((nNIA=G703)*(nCUENTA=1)*(COUNTIF(CONFIG_ASIGNATURAS!$B$7:$B$27,nASIG)&gt;0)*(nNOTA))/SUMPRODUCT((nNIA=G703)*(nCUENTA=1)*(COUNTIF(CONFIG_ASIGNATURAS!$B$7:$B$27,nASIG)&gt;0)*1),"")))</f>
        <v/>
      </c>
      <c r="N703" t="str">
        <f>IF(M703="","",IF(M703="[FÓRMULA MANUAL]","",IFERROR(AVERAGEIFS(nNOTA,nNIA,M703,nCUENTA,1,nASIG,"Armonía"),"")))</f>
        <v/>
      </c>
      <c r="O703" t="str">
        <f>IF(M703="","",IF(M703="[FÓRMULA MANUAL]","",IFERROR(AVERAGEIFS(nNOTA,nNIA,M703,nCUENTA,1,nASIG,"Orquesta/Banda/Conjunto"),"")))</f>
        <v/>
      </c>
      <c r="P703" t="str">
        <f>IF(M703="","",IF(M703="[FÓRMULA MANUAL]","",IFERROR(AVERAGEIFS(nNOTA,nNIA,M703,nCUENTA,1,nASIG,"Música de Cámara"),"")))</f>
        <v/>
      </c>
      <c r="Q703" t="str">
        <f>IF(M703="","",IF(M703="[FÓRMULA MANUAL]","",IFERROR(SUMPRODUCT((nNIA=M703)*(nCUENTA=1)*(COUNTIF(CONFIG_ASIGNATURAS!$B$7:$B$27,nASIG)&gt;0)*(nNOTA))/SUMPRODUCT((nNIA=M703)*(nCUENTA=1)*(COUNTIF(CONFIG_ASIGNATURAS!$B$7:$B$27,nASIG)&gt;0)*1),"")))</f>
        <v/>
      </c>
      <c r="T703" t="str">
        <f>IF(S703="","",IF(S703="[FÓRMULA MANUAL]","",IFERROR(AVERAGEIFS(nNOTA,nNIA,S703,nCUENTA,1,nASIG,"Armonía"),"")))</f>
        <v/>
      </c>
      <c r="U703" t="str">
        <f>IF(S703="","",IF(S703="[FÓRMULA MANUAL]","",IFERROR(AVERAGEIFS(nNOTA,nNIA,S703,nCUENTA,1,nASIG,"Orquesta/Banda/Conjunto"),"")))</f>
        <v/>
      </c>
      <c r="V703" t="str">
        <f>IF(S703="","",IF(S703="[FÓRMULA MANUAL]","",IFERROR(AVERAGEIFS(nNOTA,nNIA,S703,nCUENTA,1,nASIG,"Música de Cámara"),"")))</f>
        <v/>
      </c>
      <c r="W703" t="str">
        <f>IF(S703="","",IF(S703="[FÓRMULA MANUAL]","",IFERROR(SUMPRODUCT((nNIA=S703)*(nCUENTA=1)*(COUNTIF(CONFIG_ASIGNATURAS!$B$7:$B$27,nASIG)&gt;0)*(nNOTA))/SUMPRODUCT((nNIA=S703)*(nCUENTA=1)*(COUNTIF(CONFIG_ASIGNATURAS!$B$7:$B$27,nASIG)&gt;0)*1),"")))</f>
        <v/>
      </c>
      <c r="Z703" t="str">
        <f>IF(Y703="","",IF(Y703="[FÓRMULA MANUAL]","",IFERROR(AVERAGEIFS(nNOTA,nNIA,Y703,nCUENTA,1,nASIG,"Análisis"),"")))</f>
        <v/>
      </c>
      <c r="AA703" t="str">
        <f>IF(Y703="","",IF(Y703="[FÓRMULA MANUAL]","",IFERROR(AVERAGEIFS(nNOTA,nNIA,Y703,nCUENTA,1,nASIG,"Orquesta/Banda/Conjunto"),"")))</f>
        <v/>
      </c>
      <c r="AB703" t="str">
        <f>IF(Y703="","",IF(Y703="[FÓRMULA MANUAL]","",IFERROR(AVERAGEIFS(nNOTA,nNIA,Y703,nCUENTA,1,nASIG,"Música de Cámara"),"")))</f>
        <v/>
      </c>
      <c r="AC703" t="str">
        <f>IF(Y703="","",IF(Y703="[FÓRMULA MANUAL]","",IFERROR(SUMPRODUCT((nNIA=Y703)*(nCUENTA=1)*(COUNTIF(CONFIG_ASIGNATURAS!$B$7:$B$27,nASIG)&gt;0)*(nNOTA))/SUMPRODUCT((nNIA=Y703)*(nCUENTA=1)*(COUNTIF(CONFIG_ASIGNATURAS!$B$7:$B$27,nASIG)&gt;0)*1),"")))</f>
        <v/>
      </c>
      <c r="AF703" t="str">
        <f>IF(AE703="","",IF(AE703="[FÓRMULA MANUAL]","",IFERROR(AVERAGEIFS(nNOTA,nNIA,AE703,nCUENTA,1,nASIG,"Análisis"),"")))</f>
        <v/>
      </c>
      <c r="AG703" t="str">
        <f>IF(AE703="","",IF(AE703="[FÓRMULA MANUAL]","",IFERROR(AVERAGEIFS(nNOTA,nNIA,AE703,nCUENTA,1,nASIG,"Orquesta/Banda/Conjunto"),"")))</f>
        <v/>
      </c>
      <c r="AH703" t="str">
        <f>IF(AE703="","",IF(AE703="[FÓRMULA MANUAL]","",IFERROR(AVERAGEIFS(nNOTA,nNIA,AE703,nCUENTA,1,nASIG,"Música de Cámara"),"")))</f>
        <v/>
      </c>
      <c r="AI703" t="str">
        <f>IF(AE703="","",IF(AE703="[FÓRMULA MANUAL]","",IFERROR(SUMPRODUCT((nNIA=AE703)*(nCUENTA=1)*(COUNTIF(CONFIG_ASIGNATURAS!$B$7:$B$27,nASIG)&gt;0)*(nNOTA))/SUMPRODUCT((nNIA=AE703)*(nCUENTA=1)*(COUNTIF(CONFIG_ASIGNATURAS!$B$7:$B$27,nASIG)&gt;0)*1),"")))</f>
        <v/>
      </c>
    </row>
    <row r="704" spans="2:35" x14ac:dyDescent="0.2">
      <c r="B704" t="str">
        <f>IF(A704="","",IF(A704="[FÓRMULA MANUAL]","",IFERROR(AVERAGEIFS(nNOTA,nNIA,A704,nCUENTA,1,nASIG,"Lenguaje Musical"),"")))</f>
        <v/>
      </c>
      <c r="C704" t="str">
        <f>IF(A704="","",IF(A704="[FÓRMULA MANUAL]","",IFERROR(AVERAGEIFS(nNOTA,nNIA,A704,nCUENTA,1,nASIG,"Orquesta/Banda/Conjunto"),"")))</f>
        <v/>
      </c>
      <c r="D704" t="str">
        <f>IF(A704="","",IF(A704="[FÓRMULA MANUAL]","",IFERROR(AVERAGEIFS(nNOTA,nNIA,A704,nCUENTA,1,nASIG,"Conjunto"),"")))</f>
        <v/>
      </c>
      <c r="E704" t="str">
        <f>IF(A704="","",IF(A704="[FÓRMULA MANUAL]","",IFERROR(SUMPRODUCT((nNIA=A704)*(nCUENTA=1)*(COUNTIF(CONFIG_ASIGNATURAS!$B$7:$B$27,nASIG)&gt;0)*(nNOTA))/SUMPRODUCT((nNIA=A704)*(nCUENTA=1)*(COUNTIF(CONFIG_ASIGNATURAS!$B$7:$B$27,nASIG)&gt;0)*1),"")))</f>
        <v/>
      </c>
      <c r="H704" t="str">
        <f>IF(G704="","",IF(G704="[FÓRMULA MANUAL]","",IFERROR(AVERAGEIFS(nNOTA,nNIA,G704,nCUENTA,1,nASIG,"Lenguaje Musical"),"")))</f>
        <v/>
      </c>
      <c r="I704" t="str">
        <f>IF(G704="","",IF(G704="[FÓRMULA MANUAL]","",IFERROR(AVERAGEIFS(nNOTA,nNIA,G704,nCUENTA,1,nASIG,"Orquesta/Banda/Conjunto"),"")))</f>
        <v/>
      </c>
      <c r="J704" t="str">
        <f>IF(G704="","",IF(G704="[FÓRMULA MANUAL]","",IFERROR(AVERAGEIFS(nNOTA,nNIA,G704,nCUENTA,1,nASIG,"Conjunto"),"")))</f>
        <v/>
      </c>
      <c r="K704" t="str">
        <f>IF(G704="","",IF(G704="[FÓRMULA MANUAL]","",IFERROR(SUMPRODUCT((nNIA=G704)*(nCUENTA=1)*(COUNTIF(CONFIG_ASIGNATURAS!$B$7:$B$27,nASIG)&gt;0)*(nNOTA))/SUMPRODUCT((nNIA=G704)*(nCUENTA=1)*(COUNTIF(CONFIG_ASIGNATURAS!$B$7:$B$27,nASIG)&gt;0)*1),"")))</f>
        <v/>
      </c>
      <c r="N704" t="str">
        <f>IF(M704="","",IF(M704="[FÓRMULA MANUAL]","",IFERROR(AVERAGEIFS(nNOTA,nNIA,M704,nCUENTA,1,nASIG,"Armonía"),"")))</f>
        <v/>
      </c>
      <c r="O704" t="str">
        <f>IF(M704="","",IF(M704="[FÓRMULA MANUAL]","",IFERROR(AVERAGEIFS(nNOTA,nNIA,M704,nCUENTA,1,nASIG,"Orquesta/Banda/Conjunto"),"")))</f>
        <v/>
      </c>
      <c r="P704" t="str">
        <f>IF(M704="","",IF(M704="[FÓRMULA MANUAL]","",IFERROR(AVERAGEIFS(nNOTA,nNIA,M704,nCUENTA,1,nASIG,"Música de Cámara"),"")))</f>
        <v/>
      </c>
      <c r="Q704" t="str">
        <f>IF(M704="","",IF(M704="[FÓRMULA MANUAL]","",IFERROR(SUMPRODUCT((nNIA=M704)*(nCUENTA=1)*(COUNTIF(CONFIG_ASIGNATURAS!$B$7:$B$27,nASIG)&gt;0)*(nNOTA))/SUMPRODUCT((nNIA=M704)*(nCUENTA=1)*(COUNTIF(CONFIG_ASIGNATURAS!$B$7:$B$27,nASIG)&gt;0)*1),"")))</f>
        <v/>
      </c>
      <c r="T704" t="str">
        <f>IF(S704="","",IF(S704="[FÓRMULA MANUAL]","",IFERROR(AVERAGEIFS(nNOTA,nNIA,S704,nCUENTA,1,nASIG,"Armonía"),"")))</f>
        <v/>
      </c>
      <c r="U704" t="str">
        <f>IF(S704="","",IF(S704="[FÓRMULA MANUAL]","",IFERROR(AVERAGEIFS(nNOTA,nNIA,S704,nCUENTA,1,nASIG,"Orquesta/Banda/Conjunto"),"")))</f>
        <v/>
      </c>
      <c r="V704" t="str">
        <f>IF(S704="","",IF(S704="[FÓRMULA MANUAL]","",IFERROR(AVERAGEIFS(nNOTA,nNIA,S704,nCUENTA,1,nASIG,"Música de Cámara"),"")))</f>
        <v/>
      </c>
      <c r="W704" t="str">
        <f>IF(S704="","",IF(S704="[FÓRMULA MANUAL]","",IFERROR(SUMPRODUCT((nNIA=S704)*(nCUENTA=1)*(COUNTIF(CONFIG_ASIGNATURAS!$B$7:$B$27,nASIG)&gt;0)*(nNOTA))/SUMPRODUCT((nNIA=S704)*(nCUENTA=1)*(COUNTIF(CONFIG_ASIGNATURAS!$B$7:$B$27,nASIG)&gt;0)*1),"")))</f>
        <v/>
      </c>
      <c r="Z704" t="str">
        <f>IF(Y704="","",IF(Y704="[FÓRMULA MANUAL]","",IFERROR(AVERAGEIFS(nNOTA,nNIA,Y704,nCUENTA,1,nASIG,"Análisis"),"")))</f>
        <v/>
      </c>
      <c r="AA704" t="str">
        <f>IF(Y704="","",IF(Y704="[FÓRMULA MANUAL]","",IFERROR(AVERAGEIFS(nNOTA,nNIA,Y704,nCUENTA,1,nASIG,"Orquesta/Banda/Conjunto"),"")))</f>
        <v/>
      </c>
      <c r="AB704" t="str">
        <f>IF(Y704="","",IF(Y704="[FÓRMULA MANUAL]","",IFERROR(AVERAGEIFS(nNOTA,nNIA,Y704,nCUENTA,1,nASIG,"Música de Cámara"),"")))</f>
        <v/>
      </c>
      <c r="AC704" t="str">
        <f>IF(Y704="","",IF(Y704="[FÓRMULA MANUAL]","",IFERROR(SUMPRODUCT((nNIA=Y704)*(nCUENTA=1)*(COUNTIF(CONFIG_ASIGNATURAS!$B$7:$B$27,nASIG)&gt;0)*(nNOTA))/SUMPRODUCT((nNIA=Y704)*(nCUENTA=1)*(COUNTIF(CONFIG_ASIGNATURAS!$B$7:$B$27,nASIG)&gt;0)*1),"")))</f>
        <v/>
      </c>
      <c r="AF704" t="str">
        <f>IF(AE704="","",IF(AE704="[FÓRMULA MANUAL]","",IFERROR(AVERAGEIFS(nNOTA,nNIA,AE704,nCUENTA,1,nASIG,"Análisis"),"")))</f>
        <v/>
      </c>
      <c r="AG704" t="str">
        <f>IF(AE704="","",IF(AE704="[FÓRMULA MANUAL]","",IFERROR(AVERAGEIFS(nNOTA,nNIA,AE704,nCUENTA,1,nASIG,"Orquesta/Banda/Conjunto"),"")))</f>
        <v/>
      </c>
      <c r="AH704" t="str">
        <f>IF(AE704="","",IF(AE704="[FÓRMULA MANUAL]","",IFERROR(AVERAGEIFS(nNOTA,nNIA,AE704,nCUENTA,1,nASIG,"Música de Cámara"),"")))</f>
        <v/>
      </c>
      <c r="AI704" t="str">
        <f>IF(AE704="","",IF(AE704="[FÓRMULA MANUAL]","",IFERROR(SUMPRODUCT((nNIA=AE704)*(nCUENTA=1)*(COUNTIF(CONFIG_ASIGNATURAS!$B$7:$B$27,nASIG)&gt;0)*(nNOTA))/SUMPRODUCT((nNIA=AE704)*(nCUENTA=1)*(COUNTIF(CONFIG_ASIGNATURAS!$B$7:$B$27,nASIG)&gt;0)*1),"")))</f>
        <v/>
      </c>
    </row>
    <row r="705" spans="2:35" x14ac:dyDescent="0.2">
      <c r="B705" t="str">
        <f>IF(A705="","",IF(A705="[FÓRMULA MANUAL]","",IFERROR(AVERAGEIFS(nNOTA,nNIA,A705,nCUENTA,1,nASIG,"Lenguaje Musical"),"")))</f>
        <v/>
      </c>
      <c r="C705" t="str">
        <f>IF(A705="","",IF(A705="[FÓRMULA MANUAL]","",IFERROR(AVERAGEIFS(nNOTA,nNIA,A705,nCUENTA,1,nASIG,"Orquesta/Banda/Conjunto"),"")))</f>
        <v/>
      </c>
      <c r="D705" t="str">
        <f>IF(A705="","",IF(A705="[FÓRMULA MANUAL]","",IFERROR(AVERAGEIFS(nNOTA,nNIA,A705,nCUENTA,1,nASIG,"Conjunto"),"")))</f>
        <v/>
      </c>
      <c r="E705" t="str">
        <f>IF(A705="","",IF(A705="[FÓRMULA MANUAL]","",IFERROR(SUMPRODUCT((nNIA=A705)*(nCUENTA=1)*(COUNTIF(CONFIG_ASIGNATURAS!$B$7:$B$27,nASIG)&gt;0)*(nNOTA))/SUMPRODUCT((nNIA=A705)*(nCUENTA=1)*(COUNTIF(CONFIG_ASIGNATURAS!$B$7:$B$27,nASIG)&gt;0)*1),"")))</f>
        <v/>
      </c>
      <c r="H705" t="str">
        <f>IF(G705="","",IF(G705="[FÓRMULA MANUAL]","",IFERROR(AVERAGEIFS(nNOTA,nNIA,G705,nCUENTA,1,nASIG,"Lenguaje Musical"),"")))</f>
        <v/>
      </c>
      <c r="I705" t="str">
        <f>IF(G705="","",IF(G705="[FÓRMULA MANUAL]","",IFERROR(AVERAGEIFS(nNOTA,nNIA,G705,nCUENTA,1,nASIG,"Orquesta/Banda/Conjunto"),"")))</f>
        <v/>
      </c>
      <c r="J705" t="str">
        <f>IF(G705="","",IF(G705="[FÓRMULA MANUAL]","",IFERROR(AVERAGEIFS(nNOTA,nNIA,G705,nCUENTA,1,nASIG,"Conjunto"),"")))</f>
        <v/>
      </c>
      <c r="K705" t="str">
        <f>IF(G705="","",IF(G705="[FÓRMULA MANUAL]","",IFERROR(SUMPRODUCT((nNIA=G705)*(nCUENTA=1)*(COUNTIF(CONFIG_ASIGNATURAS!$B$7:$B$27,nASIG)&gt;0)*(nNOTA))/SUMPRODUCT((nNIA=G705)*(nCUENTA=1)*(COUNTIF(CONFIG_ASIGNATURAS!$B$7:$B$27,nASIG)&gt;0)*1),"")))</f>
        <v/>
      </c>
      <c r="N705" t="str">
        <f>IF(M705="","",IF(M705="[FÓRMULA MANUAL]","",IFERROR(AVERAGEIFS(nNOTA,nNIA,M705,nCUENTA,1,nASIG,"Armonía"),"")))</f>
        <v/>
      </c>
      <c r="O705" t="str">
        <f>IF(M705="","",IF(M705="[FÓRMULA MANUAL]","",IFERROR(AVERAGEIFS(nNOTA,nNIA,M705,nCUENTA,1,nASIG,"Orquesta/Banda/Conjunto"),"")))</f>
        <v/>
      </c>
      <c r="P705" t="str">
        <f>IF(M705="","",IF(M705="[FÓRMULA MANUAL]","",IFERROR(AVERAGEIFS(nNOTA,nNIA,M705,nCUENTA,1,nASIG,"Música de Cámara"),"")))</f>
        <v/>
      </c>
      <c r="Q705" t="str">
        <f>IF(M705="","",IF(M705="[FÓRMULA MANUAL]","",IFERROR(SUMPRODUCT((nNIA=M705)*(nCUENTA=1)*(COUNTIF(CONFIG_ASIGNATURAS!$B$7:$B$27,nASIG)&gt;0)*(nNOTA))/SUMPRODUCT((nNIA=M705)*(nCUENTA=1)*(COUNTIF(CONFIG_ASIGNATURAS!$B$7:$B$27,nASIG)&gt;0)*1),"")))</f>
        <v/>
      </c>
      <c r="T705" t="str">
        <f>IF(S705="","",IF(S705="[FÓRMULA MANUAL]","",IFERROR(AVERAGEIFS(nNOTA,nNIA,S705,nCUENTA,1,nASIG,"Armonía"),"")))</f>
        <v/>
      </c>
      <c r="U705" t="str">
        <f>IF(S705="","",IF(S705="[FÓRMULA MANUAL]","",IFERROR(AVERAGEIFS(nNOTA,nNIA,S705,nCUENTA,1,nASIG,"Orquesta/Banda/Conjunto"),"")))</f>
        <v/>
      </c>
      <c r="V705" t="str">
        <f>IF(S705="","",IF(S705="[FÓRMULA MANUAL]","",IFERROR(AVERAGEIFS(nNOTA,nNIA,S705,nCUENTA,1,nASIG,"Música de Cámara"),"")))</f>
        <v/>
      </c>
      <c r="W705" t="str">
        <f>IF(S705="","",IF(S705="[FÓRMULA MANUAL]","",IFERROR(SUMPRODUCT((nNIA=S705)*(nCUENTA=1)*(COUNTIF(CONFIG_ASIGNATURAS!$B$7:$B$27,nASIG)&gt;0)*(nNOTA))/SUMPRODUCT((nNIA=S705)*(nCUENTA=1)*(COUNTIF(CONFIG_ASIGNATURAS!$B$7:$B$27,nASIG)&gt;0)*1),"")))</f>
        <v/>
      </c>
      <c r="Z705" t="str">
        <f>IF(Y705="","",IF(Y705="[FÓRMULA MANUAL]","",IFERROR(AVERAGEIFS(nNOTA,nNIA,Y705,nCUENTA,1,nASIG,"Análisis"),"")))</f>
        <v/>
      </c>
      <c r="AA705" t="str">
        <f>IF(Y705="","",IF(Y705="[FÓRMULA MANUAL]","",IFERROR(AVERAGEIFS(nNOTA,nNIA,Y705,nCUENTA,1,nASIG,"Orquesta/Banda/Conjunto"),"")))</f>
        <v/>
      </c>
      <c r="AB705" t="str">
        <f>IF(Y705="","",IF(Y705="[FÓRMULA MANUAL]","",IFERROR(AVERAGEIFS(nNOTA,nNIA,Y705,nCUENTA,1,nASIG,"Música de Cámara"),"")))</f>
        <v/>
      </c>
      <c r="AC705" t="str">
        <f>IF(Y705="","",IF(Y705="[FÓRMULA MANUAL]","",IFERROR(SUMPRODUCT((nNIA=Y705)*(nCUENTA=1)*(COUNTIF(CONFIG_ASIGNATURAS!$B$7:$B$27,nASIG)&gt;0)*(nNOTA))/SUMPRODUCT((nNIA=Y705)*(nCUENTA=1)*(COUNTIF(CONFIG_ASIGNATURAS!$B$7:$B$27,nASIG)&gt;0)*1),"")))</f>
        <v/>
      </c>
      <c r="AF705" t="str">
        <f>IF(AE705="","",IF(AE705="[FÓRMULA MANUAL]","",IFERROR(AVERAGEIFS(nNOTA,nNIA,AE705,nCUENTA,1,nASIG,"Análisis"),"")))</f>
        <v/>
      </c>
      <c r="AG705" t="str">
        <f>IF(AE705="","",IF(AE705="[FÓRMULA MANUAL]","",IFERROR(AVERAGEIFS(nNOTA,nNIA,AE705,nCUENTA,1,nASIG,"Orquesta/Banda/Conjunto"),"")))</f>
        <v/>
      </c>
      <c r="AH705" t="str">
        <f>IF(AE705="","",IF(AE705="[FÓRMULA MANUAL]","",IFERROR(AVERAGEIFS(nNOTA,nNIA,AE705,nCUENTA,1,nASIG,"Música de Cámara"),"")))</f>
        <v/>
      </c>
      <c r="AI705" t="str">
        <f>IF(AE705="","",IF(AE705="[FÓRMULA MANUAL]","",IFERROR(SUMPRODUCT((nNIA=AE705)*(nCUENTA=1)*(COUNTIF(CONFIG_ASIGNATURAS!$B$7:$B$27,nASIG)&gt;0)*(nNOTA))/SUMPRODUCT((nNIA=AE705)*(nCUENTA=1)*(COUNTIF(CONFIG_ASIGNATURAS!$B$7:$B$27,nASIG)&gt;0)*1),"")))</f>
        <v/>
      </c>
    </row>
    <row r="706" spans="2:35" x14ac:dyDescent="0.2">
      <c r="B706" t="str">
        <f>IF(A706="","",IF(A706="[FÓRMULA MANUAL]","",IFERROR(AVERAGEIFS(nNOTA,nNIA,A706,nCUENTA,1,nASIG,"Lenguaje Musical"),"")))</f>
        <v/>
      </c>
      <c r="C706" t="str">
        <f>IF(A706="","",IF(A706="[FÓRMULA MANUAL]","",IFERROR(AVERAGEIFS(nNOTA,nNIA,A706,nCUENTA,1,nASIG,"Orquesta/Banda/Conjunto"),"")))</f>
        <v/>
      </c>
      <c r="D706" t="str">
        <f>IF(A706="","",IF(A706="[FÓRMULA MANUAL]","",IFERROR(AVERAGEIFS(nNOTA,nNIA,A706,nCUENTA,1,nASIG,"Conjunto"),"")))</f>
        <v/>
      </c>
      <c r="E706" t="str">
        <f>IF(A706="","",IF(A706="[FÓRMULA MANUAL]","",IFERROR(SUMPRODUCT((nNIA=A706)*(nCUENTA=1)*(COUNTIF(CONFIG_ASIGNATURAS!$B$7:$B$27,nASIG)&gt;0)*(nNOTA))/SUMPRODUCT((nNIA=A706)*(nCUENTA=1)*(COUNTIF(CONFIG_ASIGNATURAS!$B$7:$B$27,nASIG)&gt;0)*1),"")))</f>
        <v/>
      </c>
      <c r="H706" t="str">
        <f>IF(G706="","",IF(G706="[FÓRMULA MANUAL]","",IFERROR(AVERAGEIFS(nNOTA,nNIA,G706,nCUENTA,1,nASIG,"Lenguaje Musical"),"")))</f>
        <v/>
      </c>
      <c r="I706" t="str">
        <f>IF(G706="","",IF(G706="[FÓRMULA MANUAL]","",IFERROR(AVERAGEIFS(nNOTA,nNIA,G706,nCUENTA,1,nASIG,"Orquesta/Banda/Conjunto"),"")))</f>
        <v/>
      </c>
      <c r="J706" t="str">
        <f>IF(G706="","",IF(G706="[FÓRMULA MANUAL]","",IFERROR(AVERAGEIFS(nNOTA,nNIA,G706,nCUENTA,1,nASIG,"Conjunto"),"")))</f>
        <v/>
      </c>
      <c r="K706" t="str">
        <f>IF(G706="","",IF(G706="[FÓRMULA MANUAL]","",IFERROR(SUMPRODUCT((nNIA=G706)*(nCUENTA=1)*(COUNTIF(CONFIG_ASIGNATURAS!$B$7:$B$27,nASIG)&gt;0)*(nNOTA))/SUMPRODUCT((nNIA=G706)*(nCUENTA=1)*(COUNTIF(CONFIG_ASIGNATURAS!$B$7:$B$27,nASIG)&gt;0)*1),"")))</f>
        <v/>
      </c>
      <c r="N706" t="str">
        <f>IF(M706="","",IF(M706="[FÓRMULA MANUAL]","",IFERROR(AVERAGEIFS(nNOTA,nNIA,M706,nCUENTA,1,nASIG,"Armonía"),"")))</f>
        <v/>
      </c>
      <c r="O706" t="str">
        <f>IF(M706="","",IF(M706="[FÓRMULA MANUAL]","",IFERROR(AVERAGEIFS(nNOTA,nNIA,M706,nCUENTA,1,nASIG,"Orquesta/Banda/Conjunto"),"")))</f>
        <v/>
      </c>
      <c r="P706" t="str">
        <f>IF(M706="","",IF(M706="[FÓRMULA MANUAL]","",IFERROR(AVERAGEIFS(nNOTA,nNIA,M706,nCUENTA,1,nASIG,"Música de Cámara"),"")))</f>
        <v/>
      </c>
      <c r="Q706" t="str">
        <f>IF(M706="","",IF(M706="[FÓRMULA MANUAL]","",IFERROR(SUMPRODUCT((nNIA=M706)*(nCUENTA=1)*(COUNTIF(CONFIG_ASIGNATURAS!$B$7:$B$27,nASIG)&gt;0)*(nNOTA))/SUMPRODUCT((nNIA=M706)*(nCUENTA=1)*(COUNTIF(CONFIG_ASIGNATURAS!$B$7:$B$27,nASIG)&gt;0)*1),"")))</f>
        <v/>
      </c>
      <c r="T706" t="str">
        <f>IF(S706="","",IF(S706="[FÓRMULA MANUAL]","",IFERROR(AVERAGEIFS(nNOTA,nNIA,S706,nCUENTA,1,nASIG,"Armonía"),"")))</f>
        <v/>
      </c>
      <c r="U706" t="str">
        <f>IF(S706="","",IF(S706="[FÓRMULA MANUAL]","",IFERROR(AVERAGEIFS(nNOTA,nNIA,S706,nCUENTA,1,nASIG,"Orquesta/Banda/Conjunto"),"")))</f>
        <v/>
      </c>
      <c r="V706" t="str">
        <f>IF(S706="","",IF(S706="[FÓRMULA MANUAL]","",IFERROR(AVERAGEIFS(nNOTA,nNIA,S706,nCUENTA,1,nASIG,"Música de Cámara"),"")))</f>
        <v/>
      </c>
      <c r="W706" t="str">
        <f>IF(S706="","",IF(S706="[FÓRMULA MANUAL]","",IFERROR(SUMPRODUCT((nNIA=S706)*(nCUENTA=1)*(COUNTIF(CONFIG_ASIGNATURAS!$B$7:$B$27,nASIG)&gt;0)*(nNOTA))/SUMPRODUCT((nNIA=S706)*(nCUENTA=1)*(COUNTIF(CONFIG_ASIGNATURAS!$B$7:$B$27,nASIG)&gt;0)*1),"")))</f>
        <v/>
      </c>
      <c r="Z706" t="str">
        <f>IF(Y706="","",IF(Y706="[FÓRMULA MANUAL]","",IFERROR(AVERAGEIFS(nNOTA,nNIA,Y706,nCUENTA,1,nASIG,"Análisis"),"")))</f>
        <v/>
      </c>
      <c r="AA706" t="str">
        <f>IF(Y706="","",IF(Y706="[FÓRMULA MANUAL]","",IFERROR(AVERAGEIFS(nNOTA,nNIA,Y706,nCUENTA,1,nASIG,"Orquesta/Banda/Conjunto"),"")))</f>
        <v/>
      </c>
      <c r="AB706" t="str">
        <f>IF(Y706="","",IF(Y706="[FÓRMULA MANUAL]","",IFERROR(AVERAGEIFS(nNOTA,nNIA,Y706,nCUENTA,1,nASIG,"Música de Cámara"),"")))</f>
        <v/>
      </c>
      <c r="AC706" t="str">
        <f>IF(Y706="","",IF(Y706="[FÓRMULA MANUAL]","",IFERROR(SUMPRODUCT((nNIA=Y706)*(nCUENTA=1)*(COUNTIF(CONFIG_ASIGNATURAS!$B$7:$B$27,nASIG)&gt;0)*(nNOTA))/SUMPRODUCT((nNIA=Y706)*(nCUENTA=1)*(COUNTIF(CONFIG_ASIGNATURAS!$B$7:$B$27,nASIG)&gt;0)*1),"")))</f>
        <v/>
      </c>
      <c r="AF706" t="str">
        <f>IF(AE706="","",IF(AE706="[FÓRMULA MANUAL]","",IFERROR(AVERAGEIFS(nNOTA,nNIA,AE706,nCUENTA,1,nASIG,"Análisis"),"")))</f>
        <v/>
      </c>
      <c r="AG706" t="str">
        <f>IF(AE706="","",IF(AE706="[FÓRMULA MANUAL]","",IFERROR(AVERAGEIFS(nNOTA,nNIA,AE706,nCUENTA,1,nASIG,"Orquesta/Banda/Conjunto"),"")))</f>
        <v/>
      </c>
      <c r="AH706" t="str">
        <f>IF(AE706="","",IF(AE706="[FÓRMULA MANUAL]","",IFERROR(AVERAGEIFS(nNOTA,nNIA,AE706,nCUENTA,1,nASIG,"Música de Cámara"),"")))</f>
        <v/>
      </c>
      <c r="AI706" t="str">
        <f>IF(AE706="","",IF(AE706="[FÓRMULA MANUAL]","",IFERROR(SUMPRODUCT((nNIA=AE706)*(nCUENTA=1)*(COUNTIF(CONFIG_ASIGNATURAS!$B$7:$B$27,nASIG)&gt;0)*(nNOTA))/SUMPRODUCT((nNIA=AE706)*(nCUENTA=1)*(COUNTIF(CONFIG_ASIGNATURAS!$B$7:$B$27,nASIG)&gt;0)*1),"")))</f>
        <v/>
      </c>
    </row>
    <row r="707" spans="2:35" x14ac:dyDescent="0.2">
      <c r="B707" t="str">
        <f>IF(A707="","",IF(A707="[FÓRMULA MANUAL]","",IFERROR(AVERAGEIFS(nNOTA,nNIA,A707,nCUENTA,1,nASIG,"Lenguaje Musical"),"")))</f>
        <v/>
      </c>
      <c r="C707" t="str">
        <f>IF(A707="","",IF(A707="[FÓRMULA MANUAL]","",IFERROR(AVERAGEIFS(nNOTA,nNIA,A707,nCUENTA,1,nASIG,"Orquesta/Banda/Conjunto"),"")))</f>
        <v/>
      </c>
      <c r="D707" t="str">
        <f>IF(A707="","",IF(A707="[FÓRMULA MANUAL]","",IFERROR(AVERAGEIFS(nNOTA,nNIA,A707,nCUENTA,1,nASIG,"Conjunto"),"")))</f>
        <v/>
      </c>
      <c r="E707" t="str">
        <f>IF(A707="","",IF(A707="[FÓRMULA MANUAL]","",IFERROR(SUMPRODUCT((nNIA=A707)*(nCUENTA=1)*(COUNTIF(CONFIG_ASIGNATURAS!$B$7:$B$27,nASIG)&gt;0)*(nNOTA))/SUMPRODUCT((nNIA=A707)*(nCUENTA=1)*(COUNTIF(CONFIG_ASIGNATURAS!$B$7:$B$27,nASIG)&gt;0)*1),"")))</f>
        <v/>
      </c>
      <c r="H707" t="str">
        <f>IF(G707="","",IF(G707="[FÓRMULA MANUAL]","",IFERROR(AVERAGEIFS(nNOTA,nNIA,G707,nCUENTA,1,nASIG,"Lenguaje Musical"),"")))</f>
        <v/>
      </c>
      <c r="I707" t="str">
        <f>IF(G707="","",IF(G707="[FÓRMULA MANUAL]","",IFERROR(AVERAGEIFS(nNOTA,nNIA,G707,nCUENTA,1,nASIG,"Orquesta/Banda/Conjunto"),"")))</f>
        <v/>
      </c>
      <c r="J707" t="str">
        <f>IF(G707="","",IF(G707="[FÓRMULA MANUAL]","",IFERROR(AVERAGEIFS(nNOTA,nNIA,G707,nCUENTA,1,nASIG,"Conjunto"),"")))</f>
        <v/>
      </c>
      <c r="K707" t="str">
        <f>IF(G707="","",IF(G707="[FÓRMULA MANUAL]","",IFERROR(SUMPRODUCT((nNIA=G707)*(nCUENTA=1)*(COUNTIF(CONFIG_ASIGNATURAS!$B$7:$B$27,nASIG)&gt;0)*(nNOTA))/SUMPRODUCT((nNIA=G707)*(nCUENTA=1)*(COUNTIF(CONFIG_ASIGNATURAS!$B$7:$B$27,nASIG)&gt;0)*1),"")))</f>
        <v/>
      </c>
      <c r="N707" t="str">
        <f>IF(M707="","",IF(M707="[FÓRMULA MANUAL]","",IFERROR(AVERAGEIFS(nNOTA,nNIA,M707,nCUENTA,1,nASIG,"Armonía"),"")))</f>
        <v/>
      </c>
      <c r="O707" t="str">
        <f>IF(M707="","",IF(M707="[FÓRMULA MANUAL]","",IFERROR(AVERAGEIFS(nNOTA,nNIA,M707,nCUENTA,1,nASIG,"Orquesta/Banda/Conjunto"),"")))</f>
        <v/>
      </c>
      <c r="P707" t="str">
        <f>IF(M707="","",IF(M707="[FÓRMULA MANUAL]","",IFERROR(AVERAGEIFS(nNOTA,nNIA,M707,nCUENTA,1,nASIG,"Música de Cámara"),"")))</f>
        <v/>
      </c>
      <c r="Q707" t="str">
        <f>IF(M707="","",IF(M707="[FÓRMULA MANUAL]","",IFERROR(SUMPRODUCT((nNIA=M707)*(nCUENTA=1)*(COUNTIF(CONFIG_ASIGNATURAS!$B$7:$B$27,nASIG)&gt;0)*(nNOTA))/SUMPRODUCT((nNIA=M707)*(nCUENTA=1)*(COUNTIF(CONFIG_ASIGNATURAS!$B$7:$B$27,nASIG)&gt;0)*1),"")))</f>
        <v/>
      </c>
      <c r="T707" t="str">
        <f>IF(S707="","",IF(S707="[FÓRMULA MANUAL]","",IFERROR(AVERAGEIFS(nNOTA,nNIA,S707,nCUENTA,1,nASIG,"Armonía"),"")))</f>
        <v/>
      </c>
      <c r="U707" t="str">
        <f>IF(S707="","",IF(S707="[FÓRMULA MANUAL]","",IFERROR(AVERAGEIFS(nNOTA,nNIA,S707,nCUENTA,1,nASIG,"Orquesta/Banda/Conjunto"),"")))</f>
        <v/>
      </c>
      <c r="V707" t="str">
        <f>IF(S707="","",IF(S707="[FÓRMULA MANUAL]","",IFERROR(AVERAGEIFS(nNOTA,nNIA,S707,nCUENTA,1,nASIG,"Música de Cámara"),"")))</f>
        <v/>
      </c>
      <c r="W707" t="str">
        <f>IF(S707="","",IF(S707="[FÓRMULA MANUAL]","",IFERROR(SUMPRODUCT((nNIA=S707)*(nCUENTA=1)*(COUNTIF(CONFIG_ASIGNATURAS!$B$7:$B$27,nASIG)&gt;0)*(nNOTA))/SUMPRODUCT((nNIA=S707)*(nCUENTA=1)*(COUNTIF(CONFIG_ASIGNATURAS!$B$7:$B$27,nASIG)&gt;0)*1),"")))</f>
        <v/>
      </c>
      <c r="Z707" t="str">
        <f>IF(Y707="","",IF(Y707="[FÓRMULA MANUAL]","",IFERROR(AVERAGEIFS(nNOTA,nNIA,Y707,nCUENTA,1,nASIG,"Análisis"),"")))</f>
        <v/>
      </c>
      <c r="AA707" t="str">
        <f>IF(Y707="","",IF(Y707="[FÓRMULA MANUAL]","",IFERROR(AVERAGEIFS(nNOTA,nNIA,Y707,nCUENTA,1,nASIG,"Orquesta/Banda/Conjunto"),"")))</f>
        <v/>
      </c>
      <c r="AB707" t="str">
        <f>IF(Y707="","",IF(Y707="[FÓRMULA MANUAL]","",IFERROR(AVERAGEIFS(nNOTA,nNIA,Y707,nCUENTA,1,nASIG,"Música de Cámara"),"")))</f>
        <v/>
      </c>
      <c r="AC707" t="str">
        <f>IF(Y707="","",IF(Y707="[FÓRMULA MANUAL]","",IFERROR(SUMPRODUCT((nNIA=Y707)*(nCUENTA=1)*(COUNTIF(CONFIG_ASIGNATURAS!$B$7:$B$27,nASIG)&gt;0)*(nNOTA))/SUMPRODUCT((nNIA=Y707)*(nCUENTA=1)*(COUNTIF(CONFIG_ASIGNATURAS!$B$7:$B$27,nASIG)&gt;0)*1),"")))</f>
        <v/>
      </c>
      <c r="AF707" t="str">
        <f>IF(AE707="","",IF(AE707="[FÓRMULA MANUAL]","",IFERROR(AVERAGEIFS(nNOTA,nNIA,AE707,nCUENTA,1,nASIG,"Análisis"),"")))</f>
        <v/>
      </c>
      <c r="AG707" t="str">
        <f>IF(AE707="","",IF(AE707="[FÓRMULA MANUAL]","",IFERROR(AVERAGEIFS(nNOTA,nNIA,AE707,nCUENTA,1,nASIG,"Orquesta/Banda/Conjunto"),"")))</f>
        <v/>
      </c>
      <c r="AH707" t="str">
        <f>IF(AE707="","",IF(AE707="[FÓRMULA MANUAL]","",IFERROR(AVERAGEIFS(nNOTA,nNIA,AE707,nCUENTA,1,nASIG,"Música de Cámara"),"")))</f>
        <v/>
      </c>
      <c r="AI707" t="str">
        <f>IF(AE707="","",IF(AE707="[FÓRMULA MANUAL]","",IFERROR(SUMPRODUCT((nNIA=AE707)*(nCUENTA=1)*(COUNTIF(CONFIG_ASIGNATURAS!$B$7:$B$27,nASIG)&gt;0)*(nNOTA))/SUMPRODUCT((nNIA=AE707)*(nCUENTA=1)*(COUNTIF(CONFIG_ASIGNATURAS!$B$7:$B$27,nASIG)&gt;0)*1),"")))</f>
        <v/>
      </c>
    </row>
    <row r="708" spans="2:35" x14ac:dyDescent="0.2">
      <c r="B708" t="str">
        <f>IF(A708="","",IF(A708="[FÓRMULA MANUAL]","",IFERROR(AVERAGEIFS(nNOTA,nNIA,A708,nCUENTA,1,nASIG,"Lenguaje Musical"),"")))</f>
        <v/>
      </c>
      <c r="C708" t="str">
        <f>IF(A708="","",IF(A708="[FÓRMULA MANUAL]","",IFERROR(AVERAGEIFS(nNOTA,nNIA,A708,nCUENTA,1,nASIG,"Orquesta/Banda/Conjunto"),"")))</f>
        <v/>
      </c>
      <c r="D708" t="str">
        <f>IF(A708="","",IF(A708="[FÓRMULA MANUAL]","",IFERROR(AVERAGEIFS(nNOTA,nNIA,A708,nCUENTA,1,nASIG,"Conjunto"),"")))</f>
        <v/>
      </c>
      <c r="E708" t="str">
        <f>IF(A708="","",IF(A708="[FÓRMULA MANUAL]","",IFERROR(SUMPRODUCT((nNIA=A708)*(nCUENTA=1)*(COUNTIF(CONFIG_ASIGNATURAS!$B$7:$B$27,nASIG)&gt;0)*(nNOTA))/SUMPRODUCT((nNIA=A708)*(nCUENTA=1)*(COUNTIF(CONFIG_ASIGNATURAS!$B$7:$B$27,nASIG)&gt;0)*1),"")))</f>
        <v/>
      </c>
      <c r="H708" t="str">
        <f>IF(G708="","",IF(G708="[FÓRMULA MANUAL]","",IFERROR(AVERAGEIFS(nNOTA,nNIA,G708,nCUENTA,1,nASIG,"Lenguaje Musical"),"")))</f>
        <v/>
      </c>
      <c r="I708" t="str">
        <f>IF(G708="","",IF(G708="[FÓRMULA MANUAL]","",IFERROR(AVERAGEIFS(nNOTA,nNIA,G708,nCUENTA,1,nASIG,"Orquesta/Banda/Conjunto"),"")))</f>
        <v/>
      </c>
      <c r="J708" t="str">
        <f>IF(G708="","",IF(G708="[FÓRMULA MANUAL]","",IFERROR(AVERAGEIFS(nNOTA,nNIA,G708,nCUENTA,1,nASIG,"Conjunto"),"")))</f>
        <v/>
      </c>
      <c r="K708" t="str">
        <f>IF(G708="","",IF(G708="[FÓRMULA MANUAL]","",IFERROR(SUMPRODUCT((nNIA=G708)*(nCUENTA=1)*(COUNTIF(CONFIG_ASIGNATURAS!$B$7:$B$27,nASIG)&gt;0)*(nNOTA))/SUMPRODUCT((nNIA=G708)*(nCUENTA=1)*(COUNTIF(CONFIG_ASIGNATURAS!$B$7:$B$27,nASIG)&gt;0)*1),"")))</f>
        <v/>
      </c>
      <c r="N708" t="str">
        <f>IF(M708="","",IF(M708="[FÓRMULA MANUAL]","",IFERROR(AVERAGEIFS(nNOTA,nNIA,M708,nCUENTA,1,nASIG,"Armonía"),"")))</f>
        <v/>
      </c>
      <c r="O708" t="str">
        <f>IF(M708="","",IF(M708="[FÓRMULA MANUAL]","",IFERROR(AVERAGEIFS(nNOTA,nNIA,M708,nCUENTA,1,nASIG,"Orquesta/Banda/Conjunto"),"")))</f>
        <v/>
      </c>
      <c r="P708" t="str">
        <f>IF(M708="","",IF(M708="[FÓRMULA MANUAL]","",IFERROR(AVERAGEIFS(nNOTA,nNIA,M708,nCUENTA,1,nASIG,"Música de Cámara"),"")))</f>
        <v/>
      </c>
      <c r="Q708" t="str">
        <f>IF(M708="","",IF(M708="[FÓRMULA MANUAL]","",IFERROR(SUMPRODUCT((nNIA=M708)*(nCUENTA=1)*(COUNTIF(CONFIG_ASIGNATURAS!$B$7:$B$27,nASIG)&gt;0)*(nNOTA))/SUMPRODUCT((nNIA=M708)*(nCUENTA=1)*(COUNTIF(CONFIG_ASIGNATURAS!$B$7:$B$27,nASIG)&gt;0)*1),"")))</f>
        <v/>
      </c>
      <c r="T708" t="str">
        <f>IF(S708="","",IF(S708="[FÓRMULA MANUAL]","",IFERROR(AVERAGEIFS(nNOTA,nNIA,S708,nCUENTA,1,nASIG,"Armonía"),"")))</f>
        <v/>
      </c>
      <c r="U708" t="str">
        <f>IF(S708="","",IF(S708="[FÓRMULA MANUAL]","",IFERROR(AVERAGEIFS(nNOTA,nNIA,S708,nCUENTA,1,nASIG,"Orquesta/Banda/Conjunto"),"")))</f>
        <v/>
      </c>
      <c r="V708" t="str">
        <f>IF(S708="","",IF(S708="[FÓRMULA MANUAL]","",IFERROR(AVERAGEIFS(nNOTA,nNIA,S708,nCUENTA,1,nASIG,"Música de Cámara"),"")))</f>
        <v/>
      </c>
      <c r="W708" t="str">
        <f>IF(S708="","",IF(S708="[FÓRMULA MANUAL]","",IFERROR(SUMPRODUCT((nNIA=S708)*(nCUENTA=1)*(COUNTIF(CONFIG_ASIGNATURAS!$B$7:$B$27,nASIG)&gt;0)*(nNOTA))/SUMPRODUCT((nNIA=S708)*(nCUENTA=1)*(COUNTIF(CONFIG_ASIGNATURAS!$B$7:$B$27,nASIG)&gt;0)*1),"")))</f>
        <v/>
      </c>
      <c r="Z708" t="str">
        <f>IF(Y708="","",IF(Y708="[FÓRMULA MANUAL]","",IFERROR(AVERAGEIFS(nNOTA,nNIA,Y708,nCUENTA,1,nASIG,"Análisis"),"")))</f>
        <v/>
      </c>
      <c r="AA708" t="str">
        <f>IF(Y708="","",IF(Y708="[FÓRMULA MANUAL]","",IFERROR(AVERAGEIFS(nNOTA,nNIA,Y708,nCUENTA,1,nASIG,"Orquesta/Banda/Conjunto"),"")))</f>
        <v/>
      </c>
      <c r="AB708" t="str">
        <f>IF(Y708="","",IF(Y708="[FÓRMULA MANUAL]","",IFERROR(AVERAGEIFS(nNOTA,nNIA,Y708,nCUENTA,1,nASIG,"Música de Cámara"),"")))</f>
        <v/>
      </c>
      <c r="AC708" t="str">
        <f>IF(Y708="","",IF(Y708="[FÓRMULA MANUAL]","",IFERROR(SUMPRODUCT((nNIA=Y708)*(nCUENTA=1)*(COUNTIF(CONFIG_ASIGNATURAS!$B$7:$B$27,nASIG)&gt;0)*(nNOTA))/SUMPRODUCT((nNIA=Y708)*(nCUENTA=1)*(COUNTIF(CONFIG_ASIGNATURAS!$B$7:$B$27,nASIG)&gt;0)*1),"")))</f>
        <v/>
      </c>
      <c r="AF708" t="str">
        <f>IF(AE708="","",IF(AE708="[FÓRMULA MANUAL]","",IFERROR(AVERAGEIFS(nNOTA,nNIA,AE708,nCUENTA,1,nASIG,"Análisis"),"")))</f>
        <v/>
      </c>
      <c r="AG708" t="str">
        <f>IF(AE708="","",IF(AE708="[FÓRMULA MANUAL]","",IFERROR(AVERAGEIFS(nNOTA,nNIA,AE708,nCUENTA,1,nASIG,"Orquesta/Banda/Conjunto"),"")))</f>
        <v/>
      </c>
      <c r="AH708" t="str">
        <f>IF(AE708="","",IF(AE708="[FÓRMULA MANUAL]","",IFERROR(AVERAGEIFS(nNOTA,nNIA,AE708,nCUENTA,1,nASIG,"Música de Cámara"),"")))</f>
        <v/>
      </c>
      <c r="AI708" t="str">
        <f>IF(AE708="","",IF(AE708="[FÓRMULA MANUAL]","",IFERROR(SUMPRODUCT((nNIA=AE708)*(nCUENTA=1)*(COUNTIF(CONFIG_ASIGNATURAS!$B$7:$B$27,nASIG)&gt;0)*(nNOTA))/SUMPRODUCT((nNIA=AE708)*(nCUENTA=1)*(COUNTIF(CONFIG_ASIGNATURAS!$B$7:$B$27,nASIG)&gt;0)*1),"")))</f>
        <v/>
      </c>
    </row>
    <row r="709" spans="2:35" x14ac:dyDescent="0.2">
      <c r="B709" t="str">
        <f>IF(A709="","",IF(A709="[FÓRMULA MANUAL]","",IFERROR(AVERAGEIFS(nNOTA,nNIA,A709,nCUENTA,1,nASIG,"Lenguaje Musical"),"")))</f>
        <v/>
      </c>
      <c r="C709" t="str">
        <f>IF(A709="","",IF(A709="[FÓRMULA MANUAL]","",IFERROR(AVERAGEIFS(nNOTA,nNIA,A709,nCUENTA,1,nASIG,"Orquesta/Banda/Conjunto"),"")))</f>
        <v/>
      </c>
      <c r="D709" t="str">
        <f>IF(A709="","",IF(A709="[FÓRMULA MANUAL]","",IFERROR(AVERAGEIFS(nNOTA,nNIA,A709,nCUENTA,1,nASIG,"Conjunto"),"")))</f>
        <v/>
      </c>
      <c r="E709" t="str">
        <f>IF(A709="","",IF(A709="[FÓRMULA MANUAL]","",IFERROR(SUMPRODUCT((nNIA=A709)*(nCUENTA=1)*(COUNTIF(CONFIG_ASIGNATURAS!$B$7:$B$27,nASIG)&gt;0)*(nNOTA))/SUMPRODUCT((nNIA=A709)*(nCUENTA=1)*(COUNTIF(CONFIG_ASIGNATURAS!$B$7:$B$27,nASIG)&gt;0)*1),"")))</f>
        <v/>
      </c>
      <c r="H709" t="str">
        <f>IF(G709="","",IF(G709="[FÓRMULA MANUAL]","",IFERROR(AVERAGEIFS(nNOTA,nNIA,G709,nCUENTA,1,nASIG,"Lenguaje Musical"),"")))</f>
        <v/>
      </c>
      <c r="I709" t="str">
        <f>IF(G709="","",IF(G709="[FÓRMULA MANUAL]","",IFERROR(AVERAGEIFS(nNOTA,nNIA,G709,nCUENTA,1,nASIG,"Orquesta/Banda/Conjunto"),"")))</f>
        <v/>
      </c>
      <c r="J709" t="str">
        <f>IF(G709="","",IF(G709="[FÓRMULA MANUAL]","",IFERROR(AVERAGEIFS(nNOTA,nNIA,G709,nCUENTA,1,nASIG,"Conjunto"),"")))</f>
        <v/>
      </c>
      <c r="K709" t="str">
        <f>IF(G709="","",IF(G709="[FÓRMULA MANUAL]","",IFERROR(SUMPRODUCT((nNIA=G709)*(nCUENTA=1)*(COUNTIF(CONFIG_ASIGNATURAS!$B$7:$B$27,nASIG)&gt;0)*(nNOTA))/SUMPRODUCT((nNIA=G709)*(nCUENTA=1)*(COUNTIF(CONFIG_ASIGNATURAS!$B$7:$B$27,nASIG)&gt;0)*1),"")))</f>
        <v/>
      </c>
      <c r="N709" t="str">
        <f>IF(M709="","",IF(M709="[FÓRMULA MANUAL]","",IFERROR(AVERAGEIFS(nNOTA,nNIA,M709,nCUENTA,1,nASIG,"Armonía"),"")))</f>
        <v/>
      </c>
      <c r="O709" t="str">
        <f>IF(M709="","",IF(M709="[FÓRMULA MANUAL]","",IFERROR(AVERAGEIFS(nNOTA,nNIA,M709,nCUENTA,1,nASIG,"Orquesta/Banda/Conjunto"),"")))</f>
        <v/>
      </c>
      <c r="P709" t="str">
        <f>IF(M709="","",IF(M709="[FÓRMULA MANUAL]","",IFERROR(AVERAGEIFS(nNOTA,nNIA,M709,nCUENTA,1,nASIG,"Música de Cámara"),"")))</f>
        <v/>
      </c>
      <c r="Q709" t="str">
        <f>IF(M709="","",IF(M709="[FÓRMULA MANUAL]","",IFERROR(SUMPRODUCT((nNIA=M709)*(nCUENTA=1)*(COUNTIF(CONFIG_ASIGNATURAS!$B$7:$B$27,nASIG)&gt;0)*(nNOTA))/SUMPRODUCT((nNIA=M709)*(nCUENTA=1)*(COUNTIF(CONFIG_ASIGNATURAS!$B$7:$B$27,nASIG)&gt;0)*1),"")))</f>
        <v/>
      </c>
      <c r="T709" t="str">
        <f>IF(S709="","",IF(S709="[FÓRMULA MANUAL]","",IFERROR(AVERAGEIFS(nNOTA,nNIA,S709,nCUENTA,1,nASIG,"Armonía"),"")))</f>
        <v/>
      </c>
      <c r="U709" t="str">
        <f>IF(S709="","",IF(S709="[FÓRMULA MANUAL]","",IFERROR(AVERAGEIFS(nNOTA,nNIA,S709,nCUENTA,1,nASIG,"Orquesta/Banda/Conjunto"),"")))</f>
        <v/>
      </c>
      <c r="V709" t="str">
        <f>IF(S709="","",IF(S709="[FÓRMULA MANUAL]","",IFERROR(AVERAGEIFS(nNOTA,nNIA,S709,nCUENTA,1,nASIG,"Música de Cámara"),"")))</f>
        <v/>
      </c>
      <c r="W709" t="str">
        <f>IF(S709="","",IF(S709="[FÓRMULA MANUAL]","",IFERROR(SUMPRODUCT((nNIA=S709)*(nCUENTA=1)*(COUNTIF(CONFIG_ASIGNATURAS!$B$7:$B$27,nASIG)&gt;0)*(nNOTA))/SUMPRODUCT((nNIA=S709)*(nCUENTA=1)*(COUNTIF(CONFIG_ASIGNATURAS!$B$7:$B$27,nASIG)&gt;0)*1),"")))</f>
        <v/>
      </c>
      <c r="Z709" t="str">
        <f>IF(Y709="","",IF(Y709="[FÓRMULA MANUAL]","",IFERROR(AVERAGEIFS(nNOTA,nNIA,Y709,nCUENTA,1,nASIG,"Análisis"),"")))</f>
        <v/>
      </c>
      <c r="AA709" t="str">
        <f>IF(Y709="","",IF(Y709="[FÓRMULA MANUAL]","",IFERROR(AVERAGEIFS(nNOTA,nNIA,Y709,nCUENTA,1,nASIG,"Orquesta/Banda/Conjunto"),"")))</f>
        <v/>
      </c>
      <c r="AB709" t="str">
        <f>IF(Y709="","",IF(Y709="[FÓRMULA MANUAL]","",IFERROR(AVERAGEIFS(nNOTA,nNIA,Y709,nCUENTA,1,nASIG,"Música de Cámara"),"")))</f>
        <v/>
      </c>
      <c r="AC709" t="str">
        <f>IF(Y709="","",IF(Y709="[FÓRMULA MANUAL]","",IFERROR(SUMPRODUCT((nNIA=Y709)*(nCUENTA=1)*(COUNTIF(CONFIG_ASIGNATURAS!$B$7:$B$27,nASIG)&gt;0)*(nNOTA))/SUMPRODUCT((nNIA=Y709)*(nCUENTA=1)*(COUNTIF(CONFIG_ASIGNATURAS!$B$7:$B$27,nASIG)&gt;0)*1),"")))</f>
        <v/>
      </c>
      <c r="AF709" t="str">
        <f>IF(AE709="","",IF(AE709="[FÓRMULA MANUAL]","",IFERROR(AVERAGEIFS(nNOTA,nNIA,AE709,nCUENTA,1,nASIG,"Análisis"),"")))</f>
        <v/>
      </c>
      <c r="AG709" t="str">
        <f>IF(AE709="","",IF(AE709="[FÓRMULA MANUAL]","",IFERROR(AVERAGEIFS(nNOTA,nNIA,AE709,nCUENTA,1,nASIG,"Orquesta/Banda/Conjunto"),"")))</f>
        <v/>
      </c>
      <c r="AH709" t="str">
        <f>IF(AE709="","",IF(AE709="[FÓRMULA MANUAL]","",IFERROR(AVERAGEIFS(nNOTA,nNIA,AE709,nCUENTA,1,nASIG,"Música de Cámara"),"")))</f>
        <v/>
      </c>
      <c r="AI709" t="str">
        <f>IF(AE709="","",IF(AE709="[FÓRMULA MANUAL]","",IFERROR(SUMPRODUCT((nNIA=AE709)*(nCUENTA=1)*(COUNTIF(CONFIG_ASIGNATURAS!$B$7:$B$27,nASIG)&gt;0)*(nNOTA))/SUMPRODUCT((nNIA=AE709)*(nCUENTA=1)*(COUNTIF(CONFIG_ASIGNATURAS!$B$7:$B$27,nASIG)&gt;0)*1),"")))</f>
        <v/>
      </c>
    </row>
    <row r="710" spans="2:35" x14ac:dyDescent="0.2">
      <c r="B710" t="str">
        <f>IF(A710="","",IF(A710="[FÓRMULA MANUAL]","",IFERROR(AVERAGEIFS(nNOTA,nNIA,A710,nCUENTA,1,nASIG,"Lenguaje Musical"),"")))</f>
        <v/>
      </c>
      <c r="C710" t="str">
        <f>IF(A710="","",IF(A710="[FÓRMULA MANUAL]","",IFERROR(AVERAGEIFS(nNOTA,nNIA,A710,nCUENTA,1,nASIG,"Orquesta/Banda/Conjunto"),"")))</f>
        <v/>
      </c>
      <c r="D710" t="str">
        <f>IF(A710="","",IF(A710="[FÓRMULA MANUAL]","",IFERROR(AVERAGEIFS(nNOTA,nNIA,A710,nCUENTA,1,nASIG,"Conjunto"),"")))</f>
        <v/>
      </c>
      <c r="E710" t="str">
        <f>IF(A710="","",IF(A710="[FÓRMULA MANUAL]","",IFERROR(SUMPRODUCT((nNIA=A710)*(nCUENTA=1)*(COUNTIF(CONFIG_ASIGNATURAS!$B$7:$B$27,nASIG)&gt;0)*(nNOTA))/SUMPRODUCT((nNIA=A710)*(nCUENTA=1)*(COUNTIF(CONFIG_ASIGNATURAS!$B$7:$B$27,nASIG)&gt;0)*1),"")))</f>
        <v/>
      </c>
      <c r="H710" t="str">
        <f>IF(G710="","",IF(G710="[FÓRMULA MANUAL]","",IFERROR(AVERAGEIFS(nNOTA,nNIA,G710,nCUENTA,1,nASIG,"Lenguaje Musical"),"")))</f>
        <v/>
      </c>
      <c r="I710" t="str">
        <f>IF(G710="","",IF(G710="[FÓRMULA MANUAL]","",IFERROR(AVERAGEIFS(nNOTA,nNIA,G710,nCUENTA,1,nASIG,"Orquesta/Banda/Conjunto"),"")))</f>
        <v/>
      </c>
      <c r="J710" t="str">
        <f>IF(G710="","",IF(G710="[FÓRMULA MANUAL]","",IFERROR(AVERAGEIFS(nNOTA,nNIA,G710,nCUENTA,1,nASIG,"Conjunto"),"")))</f>
        <v/>
      </c>
      <c r="K710" t="str">
        <f>IF(G710="","",IF(G710="[FÓRMULA MANUAL]","",IFERROR(SUMPRODUCT((nNIA=G710)*(nCUENTA=1)*(COUNTIF(CONFIG_ASIGNATURAS!$B$7:$B$27,nASIG)&gt;0)*(nNOTA))/SUMPRODUCT((nNIA=G710)*(nCUENTA=1)*(COUNTIF(CONFIG_ASIGNATURAS!$B$7:$B$27,nASIG)&gt;0)*1),"")))</f>
        <v/>
      </c>
      <c r="N710" t="str">
        <f>IF(M710="","",IF(M710="[FÓRMULA MANUAL]","",IFERROR(AVERAGEIFS(nNOTA,nNIA,M710,nCUENTA,1,nASIG,"Armonía"),"")))</f>
        <v/>
      </c>
      <c r="O710" t="str">
        <f>IF(M710="","",IF(M710="[FÓRMULA MANUAL]","",IFERROR(AVERAGEIFS(nNOTA,nNIA,M710,nCUENTA,1,nASIG,"Orquesta/Banda/Conjunto"),"")))</f>
        <v/>
      </c>
      <c r="P710" t="str">
        <f>IF(M710="","",IF(M710="[FÓRMULA MANUAL]","",IFERROR(AVERAGEIFS(nNOTA,nNIA,M710,nCUENTA,1,nASIG,"Música de Cámara"),"")))</f>
        <v/>
      </c>
      <c r="Q710" t="str">
        <f>IF(M710="","",IF(M710="[FÓRMULA MANUAL]","",IFERROR(SUMPRODUCT((nNIA=M710)*(nCUENTA=1)*(COUNTIF(CONFIG_ASIGNATURAS!$B$7:$B$27,nASIG)&gt;0)*(nNOTA))/SUMPRODUCT((nNIA=M710)*(nCUENTA=1)*(COUNTIF(CONFIG_ASIGNATURAS!$B$7:$B$27,nASIG)&gt;0)*1),"")))</f>
        <v/>
      </c>
      <c r="T710" t="str">
        <f>IF(S710="","",IF(S710="[FÓRMULA MANUAL]","",IFERROR(AVERAGEIFS(nNOTA,nNIA,S710,nCUENTA,1,nASIG,"Armonía"),"")))</f>
        <v/>
      </c>
      <c r="U710" t="str">
        <f>IF(S710="","",IF(S710="[FÓRMULA MANUAL]","",IFERROR(AVERAGEIFS(nNOTA,nNIA,S710,nCUENTA,1,nASIG,"Orquesta/Banda/Conjunto"),"")))</f>
        <v/>
      </c>
      <c r="V710" t="str">
        <f>IF(S710="","",IF(S710="[FÓRMULA MANUAL]","",IFERROR(AVERAGEIFS(nNOTA,nNIA,S710,nCUENTA,1,nASIG,"Música de Cámara"),"")))</f>
        <v/>
      </c>
      <c r="W710" t="str">
        <f>IF(S710="","",IF(S710="[FÓRMULA MANUAL]","",IFERROR(SUMPRODUCT((nNIA=S710)*(nCUENTA=1)*(COUNTIF(CONFIG_ASIGNATURAS!$B$7:$B$27,nASIG)&gt;0)*(nNOTA))/SUMPRODUCT((nNIA=S710)*(nCUENTA=1)*(COUNTIF(CONFIG_ASIGNATURAS!$B$7:$B$27,nASIG)&gt;0)*1),"")))</f>
        <v/>
      </c>
      <c r="Z710" t="str">
        <f>IF(Y710="","",IF(Y710="[FÓRMULA MANUAL]","",IFERROR(AVERAGEIFS(nNOTA,nNIA,Y710,nCUENTA,1,nASIG,"Análisis"),"")))</f>
        <v/>
      </c>
      <c r="AA710" t="str">
        <f>IF(Y710="","",IF(Y710="[FÓRMULA MANUAL]","",IFERROR(AVERAGEIFS(nNOTA,nNIA,Y710,nCUENTA,1,nASIG,"Orquesta/Banda/Conjunto"),"")))</f>
        <v/>
      </c>
      <c r="AB710" t="str">
        <f>IF(Y710="","",IF(Y710="[FÓRMULA MANUAL]","",IFERROR(AVERAGEIFS(nNOTA,nNIA,Y710,nCUENTA,1,nASIG,"Música de Cámara"),"")))</f>
        <v/>
      </c>
      <c r="AC710" t="str">
        <f>IF(Y710="","",IF(Y710="[FÓRMULA MANUAL]","",IFERROR(SUMPRODUCT((nNIA=Y710)*(nCUENTA=1)*(COUNTIF(CONFIG_ASIGNATURAS!$B$7:$B$27,nASIG)&gt;0)*(nNOTA))/SUMPRODUCT((nNIA=Y710)*(nCUENTA=1)*(COUNTIF(CONFIG_ASIGNATURAS!$B$7:$B$27,nASIG)&gt;0)*1),"")))</f>
        <v/>
      </c>
      <c r="AF710" t="str">
        <f>IF(AE710="","",IF(AE710="[FÓRMULA MANUAL]","",IFERROR(AVERAGEIFS(nNOTA,nNIA,AE710,nCUENTA,1,nASIG,"Análisis"),"")))</f>
        <v/>
      </c>
      <c r="AG710" t="str">
        <f>IF(AE710="","",IF(AE710="[FÓRMULA MANUAL]","",IFERROR(AVERAGEIFS(nNOTA,nNIA,AE710,nCUENTA,1,nASIG,"Orquesta/Banda/Conjunto"),"")))</f>
        <v/>
      </c>
      <c r="AH710" t="str">
        <f>IF(AE710="","",IF(AE710="[FÓRMULA MANUAL]","",IFERROR(AVERAGEIFS(nNOTA,nNIA,AE710,nCUENTA,1,nASIG,"Música de Cámara"),"")))</f>
        <v/>
      </c>
      <c r="AI710" t="str">
        <f>IF(AE710="","",IF(AE710="[FÓRMULA MANUAL]","",IFERROR(SUMPRODUCT((nNIA=AE710)*(nCUENTA=1)*(COUNTIF(CONFIG_ASIGNATURAS!$B$7:$B$27,nASIG)&gt;0)*(nNOTA))/SUMPRODUCT((nNIA=AE710)*(nCUENTA=1)*(COUNTIF(CONFIG_ASIGNATURAS!$B$7:$B$27,nASIG)&gt;0)*1),"")))</f>
        <v/>
      </c>
    </row>
    <row r="711" spans="2:35" x14ac:dyDescent="0.2">
      <c r="B711" t="str">
        <f>IF(A711="","",IF(A711="[FÓRMULA MANUAL]","",IFERROR(AVERAGEIFS(nNOTA,nNIA,A711,nCUENTA,1,nASIG,"Lenguaje Musical"),"")))</f>
        <v/>
      </c>
      <c r="C711" t="str">
        <f>IF(A711="","",IF(A711="[FÓRMULA MANUAL]","",IFERROR(AVERAGEIFS(nNOTA,nNIA,A711,nCUENTA,1,nASIG,"Orquesta/Banda/Conjunto"),"")))</f>
        <v/>
      </c>
      <c r="D711" t="str">
        <f>IF(A711="","",IF(A711="[FÓRMULA MANUAL]","",IFERROR(AVERAGEIFS(nNOTA,nNIA,A711,nCUENTA,1,nASIG,"Conjunto"),"")))</f>
        <v/>
      </c>
      <c r="E711" t="str">
        <f>IF(A711="","",IF(A711="[FÓRMULA MANUAL]","",IFERROR(SUMPRODUCT((nNIA=A711)*(nCUENTA=1)*(COUNTIF(CONFIG_ASIGNATURAS!$B$7:$B$27,nASIG)&gt;0)*(nNOTA))/SUMPRODUCT((nNIA=A711)*(nCUENTA=1)*(COUNTIF(CONFIG_ASIGNATURAS!$B$7:$B$27,nASIG)&gt;0)*1),"")))</f>
        <v/>
      </c>
      <c r="H711" t="str">
        <f>IF(G711="","",IF(G711="[FÓRMULA MANUAL]","",IFERROR(AVERAGEIFS(nNOTA,nNIA,G711,nCUENTA,1,nASIG,"Lenguaje Musical"),"")))</f>
        <v/>
      </c>
      <c r="I711" t="str">
        <f>IF(G711="","",IF(G711="[FÓRMULA MANUAL]","",IFERROR(AVERAGEIFS(nNOTA,nNIA,G711,nCUENTA,1,nASIG,"Orquesta/Banda/Conjunto"),"")))</f>
        <v/>
      </c>
      <c r="J711" t="str">
        <f>IF(G711="","",IF(G711="[FÓRMULA MANUAL]","",IFERROR(AVERAGEIFS(nNOTA,nNIA,G711,nCUENTA,1,nASIG,"Conjunto"),"")))</f>
        <v/>
      </c>
      <c r="K711" t="str">
        <f>IF(G711="","",IF(G711="[FÓRMULA MANUAL]","",IFERROR(SUMPRODUCT((nNIA=G711)*(nCUENTA=1)*(COUNTIF(CONFIG_ASIGNATURAS!$B$7:$B$27,nASIG)&gt;0)*(nNOTA))/SUMPRODUCT((nNIA=G711)*(nCUENTA=1)*(COUNTIF(CONFIG_ASIGNATURAS!$B$7:$B$27,nASIG)&gt;0)*1),"")))</f>
        <v/>
      </c>
      <c r="N711" t="str">
        <f>IF(M711="","",IF(M711="[FÓRMULA MANUAL]","",IFERROR(AVERAGEIFS(nNOTA,nNIA,M711,nCUENTA,1,nASIG,"Armonía"),"")))</f>
        <v/>
      </c>
      <c r="O711" t="str">
        <f>IF(M711="","",IF(M711="[FÓRMULA MANUAL]","",IFERROR(AVERAGEIFS(nNOTA,nNIA,M711,nCUENTA,1,nASIG,"Orquesta/Banda/Conjunto"),"")))</f>
        <v/>
      </c>
      <c r="P711" t="str">
        <f>IF(M711="","",IF(M711="[FÓRMULA MANUAL]","",IFERROR(AVERAGEIFS(nNOTA,nNIA,M711,nCUENTA,1,nASIG,"Música de Cámara"),"")))</f>
        <v/>
      </c>
      <c r="Q711" t="str">
        <f>IF(M711="","",IF(M711="[FÓRMULA MANUAL]","",IFERROR(SUMPRODUCT((nNIA=M711)*(nCUENTA=1)*(COUNTIF(CONFIG_ASIGNATURAS!$B$7:$B$27,nASIG)&gt;0)*(nNOTA))/SUMPRODUCT((nNIA=M711)*(nCUENTA=1)*(COUNTIF(CONFIG_ASIGNATURAS!$B$7:$B$27,nASIG)&gt;0)*1),"")))</f>
        <v/>
      </c>
      <c r="T711" t="str">
        <f>IF(S711="","",IF(S711="[FÓRMULA MANUAL]","",IFERROR(AVERAGEIFS(nNOTA,nNIA,S711,nCUENTA,1,nASIG,"Armonía"),"")))</f>
        <v/>
      </c>
      <c r="U711" t="str">
        <f>IF(S711="","",IF(S711="[FÓRMULA MANUAL]","",IFERROR(AVERAGEIFS(nNOTA,nNIA,S711,nCUENTA,1,nASIG,"Orquesta/Banda/Conjunto"),"")))</f>
        <v/>
      </c>
      <c r="V711" t="str">
        <f>IF(S711="","",IF(S711="[FÓRMULA MANUAL]","",IFERROR(AVERAGEIFS(nNOTA,nNIA,S711,nCUENTA,1,nASIG,"Música de Cámara"),"")))</f>
        <v/>
      </c>
      <c r="W711" t="str">
        <f>IF(S711="","",IF(S711="[FÓRMULA MANUAL]","",IFERROR(SUMPRODUCT((nNIA=S711)*(nCUENTA=1)*(COUNTIF(CONFIG_ASIGNATURAS!$B$7:$B$27,nASIG)&gt;0)*(nNOTA))/SUMPRODUCT((nNIA=S711)*(nCUENTA=1)*(COUNTIF(CONFIG_ASIGNATURAS!$B$7:$B$27,nASIG)&gt;0)*1),"")))</f>
        <v/>
      </c>
      <c r="Z711" t="str">
        <f>IF(Y711="","",IF(Y711="[FÓRMULA MANUAL]","",IFERROR(AVERAGEIFS(nNOTA,nNIA,Y711,nCUENTA,1,nASIG,"Análisis"),"")))</f>
        <v/>
      </c>
      <c r="AA711" t="str">
        <f>IF(Y711="","",IF(Y711="[FÓRMULA MANUAL]","",IFERROR(AVERAGEIFS(nNOTA,nNIA,Y711,nCUENTA,1,nASIG,"Orquesta/Banda/Conjunto"),"")))</f>
        <v/>
      </c>
      <c r="AB711" t="str">
        <f>IF(Y711="","",IF(Y711="[FÓRMULA MANUAL]","",IFERROR(AVERAGEIFS(nNOTA,nNIA,Y711,nCUENTA,1,nASIG,"Música de Cámara"),"")))</f>
        <v/>
      </c>
      <c r="AC711" t="str">
        <f>IF(Y711="","",IF(Y711="[FÓRMULA MANUAL]","",IFERROR(SUMPRODUCT((nNIA=Y711)*(nCUENTA=1)*(COUNTIF(CONFIG_ASIGNATURAS!$B$7:$B$27,nASIG)&gt;0)*(nNOTA))/SUMPRODUCT((nNIA=Y711)*(nCUENTA=1)*(COUNTIF(CONFIG_ASIGNATURAS!$B$7:$B$27,nASIG)&gt;0)*1),"")))</f>
        <v/>
      </c>
      <c r="AF711" t="str">
        <f>IF(AE711="","",IF(AE711="[FÓRMULA MANUAL]","",IFERROR(AVERAGEIFS(nNOTA,nNIA,AE711,nCUENTA,1,nASIG,"Análisis"),"")))</f>
        <v/>
      </c>
      <c r="AG711" t="str">
        <f>IF(AE711="","",IF(AE711="[FÓRMULA MANUAL]","",IFERROR(AVERAGEIFS(nNOTA,nNIA,AE711,nCUENTA,1,nASIG,"Orquesta/Banda/Conjunto"),"")))</f>
        <v/>
      </c>
      <c r="AH711" t="str">
        <f>IF(AE711="","",IF(AE711="[FÓRMULA MANUAL]","",IFERROR(AVERAGEIFS(nNOTA,nNIA,AE711,nCUENTA,1,nASIG,"Música de Cámara"),"")))</f>
        <v/>
      </c>
      <c r="AI711" t="str">
        <f>IF(AE711="","",IF(AE711="[FÓRMULA MANUAL]","",IFERROR(SUMPRODUCT((nNIA=AE711)*(nCUENTA=1)*(COUNTIF(CONFIG_ASIGNATURAS!$B$7:$B$27,nASIG)&gt;0)*(nNOTA))/SUMPRODUCT((nNIA=AE711)*(nCUENTA=1)*(COUNTIF(CONFIG_ASIGNATURAS!$B$7:$B$27,nASIG)&gt;0)*1),"")))</f>
        <v/>
      </c>
    </row>
    <row r="712" spans="2:35" x14ac:dyDescent="0.2">
      <c r="B712" t="str">
        <f>IF(A712="","",IF(A712="[FÓRMULA MANUAL]","",IFERROR(AVERAGEIFS(nNOTA,nNIA,A712,nCUENTA,1,nASIG,"Lenguaje Musical"),"")))</f>
        <v/>
      </c>
      <c r="C712" t="str">
        <f>IF(A712="","",IF(A712="[FÓRMULA MANUAL]","",IFERROR(AVERAGEIFS(nNOTA,nNIA,A712,nCUENTA,1,nASIG,"Orquesta/Banda/Conjunto"),"")))</f>
        <v/>
      </c>
      <c r="D712" t="str">
        <f>IF(A712="","",IF(A712="[FÓRMULA MANUAL]","",IFERROR(AVERAGEIFS(nNOTA,nNIA,A712,nCUENTA,1,nASIG,"Conjunto"),"")))</f>
        <v/>
      </c>
      <c r="E712" t="str">
        <f>IF(A712="","",IF(A712="[FÓRMULA MANUAL]","",IFERROR(SUMPRODUCT((nNIA=A712)*(nCUENTA=1)*(COUNTIF(CONFIG_ASIGNATURAS!$B$7:$B$27,nASIG)&gt;0)*(nNOTA))/SUMPRODUCT((nNIA=A712)*(nCUENTA=1)*(COUNTIF(CONFIG_ASIGNATURAS!$B$7:$B$27,nASIG)&gt;0)*1),"")))</f>
        <v/>
      </c>
      <c r="H712" t="str">
        <f>IF(G712="","",IF(G712="[FÓRMULA MANUAL]","",IFERROR(AVERAGEIFS(nNOTA,nNIA,G712,nCUENTA,1,nASIG,"Lenguaje Musical"),"")))</f>
        <v/>
      </c>
      <c r="I712" t="str">
        <f>IF(G712="","",IF(G712="[FÓRMULA MANUAL]","",IFERROR(AVERAGEIFS(nNOTA,nNIA,G712,nCUENTA,1,nASIG,"Orquesta/Banda/Conjunto"),"")))</f>
        <v/>
      </c>
      <c r="J712" t="str">
        <f>IF(G712="","",IF(G712="[FÓRMULA MANUAL]","",IFERROR(AVERAGEIFS(nNOTA,nNIA,G712,nCUENTA,1,nASIG,"Conjunto"),"")))</f>
        <v/>
      </c>
      <c r="K712" t="str">
        <f>IF(G712="","",IF(G712="[FÓRMULA MANUAL]","",IFERROR(SUMPRODUCT((nNIA=G712)*(nCUENTA=1)*(COUNTIF(CONFIG_ASIGNATURAS!$B$7:$B$27,nASIG)&gt;0)*(nNOTA))/SUMPRODUCT((nNIA=G712)*(nCUENTA=1)*(COUNTIF(CONFIG_ASIGNATURAS!$B$7:$B$27,nASIG)&gt;0)*1),"")))</f>
        <v/>
      </c>
      <c r="N712" t="str">
        <f>IF(M712="","",IF(M712="[FÓRMULA MANUAL]","",IFERROR(AVERAGEIFS(nNOTA,nNIA,M712,nCUENTA,1,nASIG,"Armonía"),"")))</f>
        <v/>
      </c>
      <c r="O712" t="str">
        <f>IF(M712="","",IF(M712="[FÓRMULA MANUAL]","",IFERROR(AVERAGEIFS(nNOTA,nNIA,M712,nCUENTA,1,nASIG,"Orquesta/Banda/Conjunto"),"")))</f>
        <v/>
      </c>
      <c r="P712" t="str">
        <f>IF(M712="","",IF(M712="[FÓRMULA MANUAL]","",IFERROR(AVERAGEIFS(nNOTA,nNIA,M712,nCUENTA,1,nASIG,"Música de Cámara"),"")))</f>
        <v/>
      </c>
      <c r="Q712" t="str">
        <f>IF(M712="","",IF(M712="[FÓRMULA MANUAL]","",IFERROR(SUMPRODUCT((nNIA=M712)*(nCUENTA=1)*(COUNTIF(CONFIG_ASIGNATURAS!$B$7:$B$27,nASIG)&gt;0)*(nNOTA))/SUMPRODUCT((nNIA=M712)*(nCUENTA=1)*(COUNTIF(CONFIG_ASIGNATURAS!$B$7:$B$27,nASIG)&gt;0)*1),"")))</f>
        <v/>
      </c>
      <c r="T712" t="str">
        <f>IF(S712="","",IF(S712="[FÓRMULA MANUAL]","",IFERROR(AVERAGEIFS(nNOTA,nNIA,S712,nCUENTA,1,nASIG,"Armonía"),"")))</f>
        <v/>
      </c>
      <c r="U712" t="str">
        <f>IF(S712="","",IF(S712="[FÓRMULA MANUAL]","",IFERROR(AVERAGEIFS(nNOTA,nNIA,S712,nCUENTA,1,nASIG,"Orquesta/Banda/Conjunto"),"")))</f>
        <v/>
      </c>
      <c r="V712" t="str">
        <f>IF(S712="","",IF(S712="[FÓRMULA MANUAL]","",IFERROR(AVERAGEIFS(nNOTA,nNIA,S712,nCUENTA,1,nASIG,"Música de Cámara"),"")))</f>
        <v/>
      </c>
      <c r="W712" t="str">
        <f>IF(S712="","",IF(S712="[FÓRMULA MANUAL]","",IFERROR(SUMPRODUCT((nNIA=S712)*(nCUENTA=1)*(COUNTIF(CONFIG_ASIGNATURAS!$B$7:$B$27,nASIG)&gt;0)*(nNOTA))/SUMPRODUCT((nNIA=S712)*(nCUENTA=1)*(COUNTIF(CONFIG_ASIGNATURAS!$B$7:$B$27,nASIG)&gt;0)*1),"")))</f>
        <v/>
      </c>
      <c r="Z712" t="str">
        <f>IF(Y712="","",IF(Y712="[FÓRMULA MANUAL]","",IFERROR(AVERAGEIFS(nNOTA,nNIA,Y712,nCUENTA,1,nASIG,"Análisis"),"")))</f>
        <v/>
      </c>
      <c r="AA712" t="str">
        <f>IF(Y712="","",IF(Y712="[FÓRMULA MANUAL]","",IFERROR(AVERAGEIFS(nNOTA,nNIA,Y712,nCUENTA,1,nASIG,"Orquesta/Banda/Conjunto"),"")))</f>
        <v/>
      </c>
      <c r="AB712" t="str">
        <f>IF(Y712="","",IF(Y712="[FÓRMULA MANUAL]","",IFERROR(AVERAGEIFS(nNOTA,nNIA,Y712,nCUENTA,1,nASIG,"Música de Cámara"),"")))</f>
        <v/>
      </c>
      <c r="AC712" t="str">
        <f>IF(Y712="","",IF(Y712="[FÓRMULA MANUAL]","",IFERROR(SUMPRODUCT((nNIA=Y712)*(nCUENTA=1)*(COUNTIF(CONFIG_ASIGNATURAS!$B$7:$B$27,nASIG)&gt;0)*(nNOTA))/SUMPRODUCT((nNIA=Y712)*(nCUENTA=1)*(COUNTIF(CONFIG_ASIGNATURAS!$B$7:$B$27,nASIG)&gt;0)*1),"")))</f>
        <v/>
      </c>
      <c r="AF712" t="str">
        <f>IF(AE712="","",IF(AE712="[FÓRMULA MANUAL]","",IFERROR(AVERAGEIFS(nNOTA,nNIA,AE712,nCUENTA,1,nASIG,"Análisis"),"")))</f>
        <v/>
      </c>
      <c r="AG712" t="str">
        <f>IF(AE712="","",IF(AE712="[FÓRMULA MANUAL]","",IFERROR(AVERAGEIFS(nNOTA,nNIA,AE712,nCUENTA,1,nASIG,"Orquesta/Banda/Conjunto"),"")))</f>
        <v/>
      </c>
      <c r="AH712" t="str">
        <f>IF(AE712="","",IF(AE712="[FÓRMULA MANUAL]","",IFERROR(AVERAGEIFS(nNOTA,nNIA,AE712,nCUENTA,1,nASIG,"Música de Cámara"),"")))</f>
        <v/>
      </c>
      <c r="AI712" t="str">
        <f>IF(AE712="","",IF(AE712="[FÓRMULA MANUAL]","",IFERROR(SUMPRODUCT((nNIA=AE712)*(nCUENTA=1)*(COUNTIF(CONFIG_ASIGNATURAS!$B$7:$B$27,nASIG)&gt;0)*(nNOTA))/SUMPRODUCT((nNIA=AE712)*(nCUENTA=1)*(COUNTIF(CONFIG_ASIGNATURAS!$B$7:$B$27,nASIG)&gt;0)*1),"")))</f>
        <v/>
      </c>
    </row>
    <row r="713" spans="2:35" x14ac:dyDescent="0.2">
      <c r="B713" t="str">
        <f>IF(A713="","",IF(A713="[FÓRMULA MANUAL]","",IFERROR(AVERAGEIFS(nNOTA,nNIA,A713,nCUENTA,1,nASIG,"Lenguaje Musical"),"")))</f>
        <v/>
      </c>
      <c r="C713" t="str">
        <f>IF(A713="","",IF(A713="[FÓRMULA MANUAL]","",IFERROR(AVERAGEIFS(nNOTA,nNIA,A713,nCUENTA,1,nASIG,"Orquesta/Banda/Conjunto"),"")))</f>
        <v/>
      </c>
      <c r="D713" t="str">
        <f>IF(A713="","",IF(A713="[FÓRMULA MANUAL]","",IFERROR(AVERAGEIFS(nNOTA,nNIA,A713,nCUENTA,1,nASIG,"Conjunto"),"")))</f>
        <v/>
      </c>
      <c r="E713" t="str">
        <f>IF(A713="","",IF(A713="[FÓRMULA MANUAL]","",IFERROR(SUMPRODUCT((nNIA=A713)*(nCUENTA=1)*(COUNTIF(CONFIG_ASIGNATURAS!$B$7:$B$27,nASIG)&gt;0)*(nNOTA))/SUMPRODUCT((nNIA=A713)*(nCUENTA=1)*(COUNTIF(CONFIG_ASIGNATURAS!$B$7:$B$27,nASIG)&gt;0)*1),"")))</f>
        <v/>
      </c>
      <c r="H713" t="str">
        <f>IF(G713="","",IF(G713="[FÓRMULA MANUAL]","",IFERROR(AVERAGEIFS(nNOTA,nNIA,G713,nCUENTA,1,nASIG,"Lenguaje Musical"),"")))</f>
        <v/>
      </c>
      <c r="I713" t="str">
        <f>IF(G713="","",IF(G713="[FÓRMULA MANUAL]","",IFERROR(AVERAGEIFS(nNOTA,nNIA,G713,nCUENTA,1,nASIG,"Orquesta/Banda/Conjunto"),"")))</f>
        <v/>
      </c>
      <c r="J713" t="str">
        <f>IF(G713="","",IF(G713="[FÓRMULA MANUAL]","",IFERROR(AVERAGEIFS(nNOTA,nNIA,G713,nCUENTA,1,nASIG,"Conjunto"),"")))</f>
        <v/>
      </c>
      <c r="K713" t="str">
        <f>IF(G713="","",IF(G713="[FÓRMULA MANUAL]","",IFERROR(SUMPRODUCT((nNIA=G713)*(nCUENTA=1)*(COUNTIF(CONFIG_ASIGNATURAS!$B$7:$B$27,nASIG)&gt;0)*(nNOTA))/SUMPRODUCT((nNIA=G713)*(nCUENTA=1)*(COUNTIF(CONFIG_ASIGNATURAS!$B$7:$B$27,nASIG)&gt;0)*1),"")))</f>
        <v/>
      </c>
      <c r="N713" t="str">
        <f>IF(M713="","",IF(M713="[FÓRMULA MANUAL]","",IFERROR(AVERAGEIFS(nNOTA,nNIA,M713,nCUENTA,1,nASIG,"Armonía"),"")))</f>
        <v/>
      </c>
      <c r="O713" t="str">
        <f>IF(M713="","",IF(M713="[FÓRMULA MANUAL]","",IFERROR(AVERAGEIFS(nNOTA,nNIA,M713,nCUENTA,1,nASIG,"Orquesta/Banda/Conjunto"),"")))</f>
        <v/>
      </c>
      <c r="P713" t="str">
        <f>IF(M713="","",IF(M713="[FÓRMULA MANUAL]","",IFERROR(AVERAGEIFS(nNOTA,nNIA,M713,nCUENTA,1,nASIG,"Música de Cámara"),"")))</f>
        <v/>
      </c>
      <c r="Q713" t="str">
        <f>IF(M713="","",IF(M713="[FÓRMULA MANUAL]","",IFERROR(SUMPRODUCT((nNIA=M713)*(nCUENTA=1)*(COUNTIF(CONFIG_ASIGNATURAS!$B$7:$B$27,nASIG)&gt;0)*(nNOTA))/SUMPRODUCT((nNIA=M713)*(nCUENTA=1)*(COUNTIF(CONFIG_ASIGNATURAS!$B$7:$B$27,nASIG)&gt;0)*1),"")))</f>
        <v/>
      </c>
      <c r="T713" t="str">
        <f>IF(S713="","",IF(S713="[FÓRMULA MANUAL]","",IFERROR(AVERAGEIFS(nNOTA,nNIA,S713,nCUENTA,1,nASIG,"Armonía"),"")))</f>
        <v/>
      </c>
      <c r="U713" t="str">
        <f>IF(S713="","",IF(S713="[FÓRMULA MANUAL]","",IFERROR(AVERAGEIFS(nNOTA,nNIA,S713,nCUENTA,1,nASIG,"Orquesta/Banda/Conjunto"),"")))</f>
        <v/>
      </c>
      <c r="V713" t="str">
        <f>IF(S713="","",IF(S713="[FÓRMULA MANUAL]","",IFERROR(AVERAGEIFS(nNOTA,nNIA,S713,nCUENTA,1,nASIG,"Música de Cámara"),"")))</f>
        <v/>
      </c>
      <c r="W713" t="str">
        <f>IF(S713="","",IF(S713="[FÓRMULA MANUAL]","",IFERROR(SUMPRODUCT((nNIA=S713)*(nCUENTA=1)*(COUNTIF(CONFIG_ASIGNATURAS!$B$7:$B$27,nASIG)&gt;0)*(nNOTA))/SUMPRODUCT((nNIA=S713)*(nCUENTA=1)*(COUNTIF(CONFIG_ASIGNATURAS!$B$7:$B$27,nASIG)&gt;0)*1),"")))</f>
        <v/>
      </c>
      <c r="Z713" t="str">
        <f>IF(Y713="","",IF(Y713="[FÓRMULA MANUAL]","",IFERROR(AVERAGEIFS(nNOTA,nNIA,Y713,nCUENTA,1,nASIG,"Análisis"),"")))</f>
        <v/>
      </c>
      <c r="AA713" t="str">
        <f>IF(Y713="","",IF(Y713="[FÓRMULA MANUAL]","",IFERROR(AVERAGEIFS(nNOTA,nNIA,Y713,nCUENTA,1,nASIG,"Orquesta/Banda/Conjunto"),"")))</f>
        <v/>
      </c>
      <c r="AB713" t="str">
        <f>IF(Y713="","",IF(Y713="[FÓRMULA MANUAL]","",IFERROR(AVERAGEIFS(nNOTA,nNIA,Y713,nCUENTA,1,nASIG,"Música de Cámara"),"")))</f>
        <v/>
      </c>
      <c r="AC713" t="str">
        <f>IF(Y713="","",IF(Y713="[FÓRMULA MANUAL]","",IFERROR(SUMPRODUCT((nNIA=Y713)*(nCUENTA=1)*(COUNTIF(CONFIG_ASIGNATURAS!$B$7:$B$27,nASIG)&gt;0)*(nNOTA))/SUMPRODUCT((nNIA=Y713)*(nCUENTA=1)*(COUNTIF(CONFIG_ASIGNATURAS!$B$7:$B$27,nASIG)&gt;0)*1),"")))</f>
        <v/>
      </c>
      <c r="AF713" t="str">
        <f>IF(AE713="","",IF(AE713="[FÓRMULA MANUAL]","",IFERROR(AVERAGEIFS(nNOTA,nNIA,AE713,nCUENTA,1,nASIG,"Análisis"),"")))</f>
        <v/>
      </c>
      <c r="AG713" t="str">
        <f>IF(AE713="","",IF(AE713="[FÓRMULA MANUAL]","",IFERROR(AVERAGEIFS(nNOTA,nNIA,AE713,nCUENTA,1,nASIG,"Orquesta/Banda/Conjunto"),"")))</f>
        <v/>
      </c>
      <c r="AH713" t="str">
        <f>IF(AE713="","",IF(AE713="[FÓRMULA MANUAL]","",IFERROR(AVERAGEIFS(nNOTA,nNIA,AE713,nCUENTA,1,nASIG,"Música de Cámara"),"")))</f>
        <v/>
      </c>
      <c r="AI713" t="str">
        <f>IF(AE713="","",IF(AE713="[FÓRMULA MANUAL]","",IFERROR(SUMPRODUCT((nNIA=AE713)*(nCUENTA=1)*(COUNTIF(CONFIG_ASIGNATURAS!$B$7:$B$27,nASIG)&gt;0)*(nNOTA))/SUMPRODUCT((nNIA=AE713)*(nCUENTA=1)*(COUNTIF(CONFIG_ASIGNATURAS!$B$7:$B$27,nASIG)&gt;0)*1),"")))</f>
        <v/>
      </c>
    </row>
    <row r="714" spans="2:35" x14ac:dyDescent="0.2">
      <c r="B714" t="str">
        <f>IF(A714="","",IF(A714="[FÓRMULA MANUAL]","",IFERROR(AVERAGEIFS(nNOTA,nNIA,A714,nCUENTA,1,nASIG,"Lenguaje Musical"),"")))</f>
        <v/>
      </c>
      <c r="C714" t="str">
        <f>IF(A714="","",IF(A714="[FÓRMULA MANUAL]","",IFERROR(AVERAGEIFS(nNOTA,nNIA,A714,nCUENTA,1,nASIG,"Orquesta/Banda/Conjunto"),"")))</f>
        <v/>
      </c>
      <c r="D714" t="str">
        <f>IF(A714="","",IF(A714="[FÓRMULA MANUAL]","",IFERROR(AVERAGEIFS(nNOTA,nNIA,A714,nCUENTA,1,nASIG,"Conjunto"),"")))</f>
        <v/>
      </c>
      <c r="E714" t="str">
        <f>IF(A714="","",IF(A714="[FÓRMULA MANUAL]","",IFERROR(SUMPRODUCT((nNIA=A714)*(nCUENTA=1)*(COUNTIF(CONFIG_ASIGNATURAS!$B$7:$B$27,nASIG)&gt;0)*(nNOTA))/SUMPRODUCT((nNIA=A714)*(nCUENTA=1)*(COUNTIF(CONFIG_ASIGNATURAS!$B$7:$B$27,nASIG)&gt;0)*1),"")))</f>
        <v/>
      </c>
      <c r="H714" t="str">
        <f>IF(G714="","",IF(G714="[FÓRMULA MANUAL]","",IFERROR(AVERAGEIFS(nNOTA,nNIA,G714,nCUENTA,1,nASIG,"Lenguaje Musical"),"")))</f>
        <v/>
      </c>
      <c r="I714" t="str">
        <f>IF(G714="","",IF(G714="[FÓRMULA MANUAL]","",IFERROR(AVERAGEIFS(nNOTA,nNIA,G714,nCUENTA,1,nASIG,"Orquesta/Banda/Conjunto"),"")))</f>
        <v/>
      </c>
      <c r="J714" t="str">
        <f>IF(G714="","",IF(G714="[FÓRMULA MANUAL]","",IFERROR(AVERAGEIFS(nNOTA,nNIA,G714,nCUENTA,1,nASIG,"Conjunto"),"")))</f>
        <v/>
      </c>
      <c r="K714" t="str">
        <f>IF(G714="","",IF(G714="[FÓRMULA MANUAL]","",IFERROR(SUMPRODUCT((nNIA=G714)*(nCUENTA=1)*(COUNTIF(CONFIG_ASIGNATURAS!$B$7:$B$27,nASIG)&gt;0)*(nNOTA))/SUMPRODUCT((nNIA=G714)*(nCUENTA=1)*(COUNTIF(CONFIG_ASIGNATURAS!$B$7:$B$27,nASIG)&gt;0)*1),"")))</f>
        <v/>
      </c>
      <c r="N714" t="str">
        <f>IF(M714="","",IF(M714="[FÓRMULA MANUAL]","",IFERROR(AVERAGEIFS(nNOTA,nNIA,M714,nCUENTA,1,nASIG,"Armonía"),"")))</f>
        <v/>
      </c>
      <c r="O714" t="str">
        <f>IF(M714="","",IF(M714="[FÓRMULA MANUAL]","",IFERROR(AVERAGEIFS(nNOTA,nNIA,M714,nCUENTA,1,nASIG,"Orquesta/Banda/Conjunto"),"")))</f>
        <v/>
      </c>
      <c r="P714" t="str">
        <f>IF(M714="","",IF(M714="[FÓRMULA MANUAL]","",IFERROR(AVERAGEIFS(nNOTA,nNIA,M714,nCUENTA,1,nASIG,"Música de Cámara"),"")))</f>
        <v/>
      </c>
      <c r="Q714" t="str">
        <f>IF(M714="","",IF(M714="[FÓRMULA MANUAL]","",IFERROR(SUMPRODUCT((nNIA=M714)*(nCUENTA=1)*(COUNTIF(CONFIG_ASIGNATURAS!$B$7:$B$27,nASIG)&gt;0)*(nNOTA))/SUMPRODUCT((nNIA=M714)*(nCUENTA=1)*(COUNTIF(CONFIG_ASIGNATURAS!$B$7:$B$27,nASIG)&gt;0)*1),"")))</f>
        <v/>
      </c>
      <c r="T714" t="str">
        <f>IF(S714="","",IF(S714="[FÓRMULA MANUAL]","",IFERROR(AVERAGEIFS(nNOTA,nNIA,S714,nCUENTA,1,nASIG,"Armonía"),"")))</f>
        <v/>
      </c>
      <c r="U714" t="str">
        <f>IF(S714="","",IF(S714="[FÓRMULA MANUAL]","",IFERROR(AVERAGEIFS(nNOTA,nNIA,S714,nCUENTA,1,nASIG,"Orquesta/Banda/Conjunto"),"")))</f>
        <v/>
      </c>
      <c r="V714" t="str">
        <f>IF(S714="","",IF(S714="[FÓRMULA MANUAL]","",IFERROR(AVERAGEIFS(nNOTA,nNIA,S714,nCUENTA,1,nASIG,"Música de Cámara"),"")))</f>
        <v/>
      </c>
      <c r="W714" t="str">
        <f>IF(S714="","",IF(S714="[FÓRMULA MANUAL]","",IFERROR(SUMPRODUCT((nNIA=S714)*(nCUENTA=1)*(COUNTIF(CONFIG_ASIGNATURAS!$B$7:$B$27,nASIG)&gt;0)*(nNOTA))/SUMPRODUCT((nNIA=S714)*(nCUENTA=1)*(COUNTIF(CONFIG_ASIGNATURAS!$B$7:$B$27,nASIG)&gt;0)*1),"")))</f>
        <v/>
      </c>
      <c r="Z714" t="str">
        <f>IF(Y714="","",IF(Y714="[FÓRMULA MANUAL]","",IFERROR(AVERAGEIFS(nNOTA,nNIA,Y714,nCUENTA,1,nASIG,"Análisis"),"")))</f>
        <v/>
      </c>
      <c r="AA714" t="str">
        <f>IF(Y714="","",IF(Y714="[FÓRMULA MANUAL]","",IFERROR(AVERAGEIFS(nNOTA,nNIA,Y714,nCUENTA,1,nASIG,"Orquesta/Banda/Conjunto"),"")))</f>
        <v/>
      </c>
      <c r="AB714" t="str">
        <f>IF(Y714="","",IF(Y714="[FÓRMULA MANUAL]","",IFERROR(AVERAGEIFS(nNOTA,nNIA,Y714,nCUENTA,1,nASIG,"Música de Cámara"),"")))</f>
        <v/>
      </c>
      <c r="AC714" t="str">
        <f>IF(Y714="","",IF(Y714="[FÓRMULA MANUAL]","",IFERROR(SUMPRODUCT((nNIA=Y714)*(nCUENTA=1)*(COUNTIF(CONFIG_ASIGNATURAS!$B$7:$B$27,nASIG)&gt;0)*(nNOTA))/SUMPRODUCT((nNIA=Y714)*(nCUENTA=1)*(COUNTIF(CONFIG_ASIGNATURAS!$B$7:$B$27,nASIG)&gt;0)*1),"")))</f>
        <v/>
      </c>
      <c r="AF714" t="str">
        <f>IF(AE714="","",IF(AE714="[FÓRMULA MANUAL]","",IFERROR(AVERAGEIFS(nNOTA,nNIA,AE714,nCUENTA,1,nASIG,"Análisis"),"")))</f>
        <v/>
      </c>
      <c r="AG714" t="str">
        <f>IF(AE714="","",IF(AE714="[FÓRMULA MANUAL]","",IFERROR(AVERAGEIFS(nNOTA,nNIA,AE714,nCUENTA,1,nASIG,"Orquesta/Banda/Conjunto"),"")))</f>
        <v/>
      </c>
      <c r="AH714" t="str">
        <f>IF(AE714="","",IF(AE714="[FÓRMULA MANUAL]","",IFERROR(AVERAGEIFS(nNOTA,nNIA,AE714,nCUENTA,1,nASIG,"Música de Cámara"),"")))</f>
        <v/>
      </c>
      <c r="AI714" t="str">
        <f>IF(AE714="","",IF(AE714="[FÓRMULA MANUAL]","",IFERROR(SUMPRODUCT((nNIA=AE714)*(nCUENTA=1)*(COUNTIF(CONFIG_ASIGNATURAS!$B$7:$B$27,nASIG)&gt;0)*(nNOTA))/SUMPRODUCT((nNIA=AE714)*(nCUENTA=1)*(COUNTIF(CONFIG_ASIGNATURAS!$B$7:$B$27,nASIG)&gt;0)*1),"")))</f>
        <v/>
      </c>
    </row>
    <row r="715" spans="2:35" x14ac:dyDescent="0.2">
      <c r="B715" t="str">
        <f>IF(A715="","",IF(A715="[FÓRMULA MANUAL]","",IFERROR(AVERAGEIFS(nNOTA,nNIA,A715,nCUENTA,1,nASIG,"Lenguaje Musical"),"")))</f>
        <v/>
      </c>
      <c r="C715" t="str">
        <f>IF(A715="","",IF(A715="[FÓRMULA MANUAL]","",IFERROR(AVERAGEIFS(nNOTA,nNIA,A715,nCUENTA,1,nASIG,"Orquesta/Banda/Conjunto"),"")))</f>
        <v/>
      </c>
      <c r="D715" t="str">
        <f>IF(A715="","",IF(A715="[FÓRMULA MANUAL]","",IFERROR(AVERAGEIFS(nNOTA,nNIA,A715,nCUENTA,1,nASIG,"Conjunto"),"")))</f>
        <v/>
      </c>
      <c r="E715" t="str">
        <f>IF(A715="","",IF(A715="[FÓRMULA MANUAL]","",IFERROR(SUMPRODUCT((nNIA=A715)*(nCUENTA=1)*(COUNTIF(CONFIG_ASIGNATURAS!$B$7:$B$27,nASIG)&gt;0)*(nNOTA))/SUMPRODUCT((nNIA=A715)*(nCUENTA=1)*(COUNTIF(CONFIG_ASIGNATURAS!$B$7:$B$27,nASIG)&gt;0)*1),"")))</f>
        <v/>
      </c>
      <c r="H715" t="str">
        <f>IF(G715="","",IF(G715="[FÓRMULA MANUAL]","",IFERROR(AVERAGEIFS(nNOTA,nNIA,G715,nCUENTA,1,nASIG,"Lenguaje Musical"),"")))</f>
        <v/>
      </c>
      <c r="I715" t="str">
        <f>IF(G715="","",IF(G715="[FÓRMULA MANUAL]","",IFERROR(AVERAGEIFS(nNOTA,nNIA,G715,nCUENTA,1,nASIG,"Orquesta/Banda/Conjunto"),"")))</f>
        <v/>
      </c>
      <c r="J715" t="str">
        <f>IF(G715="","",IF(G715="[FÓRMULA MANUAL]","",IFERROR(AVERAGEIFS(nNOTA,nNIA,G715,nCUENTA,1,nASIG,"Conjunto"),"")))</f>
        <v/>
      </c>
      <c r="K715" t="str">
        <f>IF(G715="","",IF(G715="[FÓRMULA MANUAL]","",IFERROR(SUMPRODUCT((nNIA=G715)*(nCUENTA=1)*(COUNTIF(CONFIG_ASIGNATURAS!$B$7:$B$27,nASIG)&gt;0)*(nNOTA))/SUMPRODUCT((nNIA=G715)*(nCUENTA=1)*(COUNTIF(CONFIG_ASIGNATURAS!$B$7:$B$27,nASIG)&gt;0)*1),"")))</f>
        <v/>
      </c>
      <c r="N715" t="str">
        <f>IF(M715="","",IF(M715="[FÓRMULA MANUAL]","",IFERROR(AVERAGEIFS(nNOTA,nNIA,M715,nCUENTA,1,nASIG,"Armonía"),"")))</f>
        <v/>
      </c>
      <c r="O715" t="str">
        <f>IF(M715="","",IF(M715="[FÓRMULA MANUAL]","",IFERROR(AVERAGEIFS(nNOTA,nNIA,M715,nCUENTA,1,nASIG,"Orquesta/Banda/Conjunto"),"")))</f>
        <v/>
      </c>
      <c r="P715" t="str">
        <f>IF(M715="","",IF(M715="[FÓRMULA MANUAL]","",IFERROR(AVERAGEIFS(nNOTA,nNIA,M715,nCUENTA,1,nASIG,"Música de Cámara"),"")))</f>
        <v/>
      </c>
      <c r="Q715" t="str">
        <f>IF(M715="","",IF(M715="[FÓRMULA MANUAL]","",IFERROR(SUMPRODUCT((nNIA=M715)*(nCUENTA=1)*(COUNTIF(CONFIG_ASIGNATURAS!$B$7:$B$27,nASIG)&gt;0)*(nNOTA))/SUMPRODUCT((nNIA=M715)*(nCUENTA=1)*(COUNTIF(CONFIG_ASIGNATURAS!$B$7:$B$27,nASIG)&gt;0)*1),"")))</f>
        <v/>
      </c>
      <c r="T715" t="str">
        <f>IF(S715="","",IF(S715="[FÓRMULA MANUAL]","",IFERROR(AVERAGEIFS(nNOTA,nNIA,S715,nCUENTA,1,nASIG,"Armonía"),"")))</f>
        <v/>
      </c>
      <c r="U715" t="str">
        <f>IF(S715="","",IF(S715="[FÓRMULA MANUAL]","",IFERROR(AVERAGEIFS(nNOTA,nNIA,S715,nCUENTA,1,nASIG,"Orquesta/Banda/Conjunto"),"")))</f>
        <v/>
      </c>
      <c r="V715" t="str">
        <f>IF(S715="","",IF(S715="[FÓRMULA MANUAL]","",IFERROR(AVERAGEIFS(nNOTA,nNIA,S715,nCUENTA,1,nASIG,"Música de Cámara"),"")))</f>
        <v/>
      </c>
      <c r="W715" t="str">
        <f>IF(S715="","",IF(S715="[FÓRMULA MANUAL]","",IFERROR(SUMPRODUCT((nNIA=S715)*(nCUENTA=1)*(COUNTIF(CONFIG_ASIGNATURAS!$B$7:$B$27,nASIG)&gt;0)*(nNOTA))/SUMPRODUCT((nNIA=S715)*(nCUENTA=1)*(COUNTIF(CONFIG_ASIGNATURAS!$B$7:$B$27,nASIG)&gt;0)*1),"")))</f>
        <v/>
      </c>
      <c r="Z715" t="str">
        <f>IF(Y715="","",IF(Y715="[FÓRMULA MANUAL]","",IFERROR(AVERAGEIFS(nNOTA,nNIA,Y715,nCUENTA,1,nASIG,"Análisis"),"")))</f>
        <v/>
      </c>
      <c r="AA715" t="str">
        <f>IF(Y715="","",IF(Y715="[FÓRMULA MANUAL]","",IFERROR(AVERAGEIFS(nNOTA,nNIA,Y715,nCUENTA,1,nASIG,"Orquesta/Banda/Conjunto"),"")))</f>
        <v/>
      </c>
      <c r="AB715" t="str">
        <f>IF(Y715="","",IF(Y715="[FÓRMULA MANUAL]","",IFERROR(AVERAGEIFS(nNOTA,nNIA,Y715,nCUENTA,1,nASIG,"Música de Cámara"),"")))</f>
        <v/>
      </c>
      <c r="AC715" t="str">
        <f>IF(Y715="","",IF(Y715="[FÓRMULA MANUAL]","",IFERROR(SUMPRODUCT((nNIA=Y715)*(nCUENTA=1)*(COUNTIF(CONFIG_ASIGNATURAS!$B$7:$B$27,nASIG)&gt;0)*(nNOTA))/SUMPRODUCT((nNIA=Y715)*(nCUENTA=1)*(COUNTIF(CONFIG_ASIGNATURAS!$B$7:$B$27,nASIG)&gt;0)*1),"")))</f>
        <v/>
      </c>
      <c r="AF715" t="str">
        <f>IF(AE715="","",IF(AE715="[FÓRMULA MANUAL]","",IFERROR(AVERAGEIFS(nNOTA,nNIA,AE715,nCUENTA,1,nASIG,"Análisis"),"")))</f>
        <v/>
      </c>
      <c r="AG715" t="str">
        <f>IF(AE715="","",IF(AE715="[FÓRMULA MANUAL]","",IFERROR(AVERAGEIFS(nNOTA,nNIA,AE715,nCUENTA,1,nASIG,"Orquesta/Banda/Conjunto"),"")))</f>
        <v/>
      </c>
      <c r="AH715" t="str">
        <f>IF(AE715="","",IF(AE715="[FÓRMULA MANUAL]","",IFERROR(AVERAGEIFS(nNOTA,nNIA,AE715,nCUENTA,1,nASIG,"Música de Cámara"),"")))</f>
        <v/>
      </c>
      <c r="AI715" t="str">
        <f>IF(AE715="","",IF(AE715="[FÓRMULA MANUAL]","",IFERROR(SUMPRODUCT((nNIA=AE715)*(nCUENTA=1)*(COUNTIF(CONFIG_ASIGNATURAS!$B$7:$B$27,nASIG)&gt;0)*(nNOTA))/SUMPRODUCT((nNIA=AE715)*(nCUENTA=1)*(COUNTIF(CONFIG_ASIGNATURAS!$B$7:$B$27,nASIG)&gt;0)*1),"")))</f>
        <v/>
      </c>
    </row>
    <row r="716" spans="2:35" x14ac:dyDescent="0.2">
      <c r="B716" t="str">
        <f>IF(A716="","",IF(A716="[FÓRMULA MANUAL]","",IFERROR(AVERAGEIFS(nNOTA,nNIA,A716,nCUENTA,1,nASIG,"Lenguaje Musical"),"")))</f>
        <v/>
      </c>
      <c r="C716" t="str">
        <f>IF(A716="","",IF(A716="[FÓRMULA MANUAL]","",IFERROR(AVERAGEIFS(nNOTA,nNIA,A716,nCUENTA,1,nASIG,"Orquesta/Banda/Conjunto"),"")))</f>
        <v/>
      </c>
      <c r="D716" t="str">
        <f>IF(A716="","",IF(A716="[FÓRMULA MANUAL]","",IFERROR(AVERAGEIFS(nNOTA,nNIA,A716,nCUENTA,1,nASIG,"Conjunto"),"")))</f>
        <v/>
      </c>
      <c r="E716" t="str">
        <f>IF(A716="","",IF(A716="[FÓRMULA MANUAL]","",IFERROR(SUMPRODUCT((nNIA=A716)*(nCUENTA=1)*(COUNTIF(CONFIG_ASIGNATURAS!$B$7:$B$27,nASIG)&gt;0)*(nNOTA))/SUMPRODUCT((nNIA=A716)*(nCUENTA=1)*(COUNTIF(CONFIG_ASIGNATURAS!$B$7:$B$27,nASIG)&gt;0)*1),"")))</f>
        <v/>
      </c>
      <c r="H716" t="str">
        <f>IF(G716="","",IF(G716="[FÓRMULA MANUAL]","",IFERROR(AVERAGEIFS(nNOTA,nNIA,G716,nCUENTA,1,nASIG,"Lenguaje Musical"),"")))</f>
        <v/>
      </c>
      <c r="I716" t="str">
        <f>IF(G716="","",IF(G716="[FÓRMULA MANUAL]","",IFERROR(AVERAGEIFS(nNOTA,nNIA,G716,nCUENTA,1,nASIG,"Orquesta/Banda/Conjunto"),"")))</f>
        <v/>
      </c>
      <c r="J716" t="str">
        <f>IF(G716="","",IF(G716="[FÓRMULA MANUAL]","",IFERROR(AVERAGEIFS(nNOTA,nNIA,G716,nCUENTA,1,nASIG,"Conjunto"),"")))</f>
        <v/>
      </c>
      <c r="K716" t="str">
        <f>IF(G716="","",IF(G716="[FÓRMULA MANUAL]","",IFERROR(SUMPRODUCT((nNIA=G716)*(nCUENTA=1)*(COUNTIF(CONFIG_ASIGNATURAS!$B$7:$B$27,nASIG)&gt;0)*(nNOTA))/SUMPRODUCT((nNIA=G716)*(nCUENTA=1)*(COUNTIF(CONFIG_ASIGNATURAS!$B$7:$B$27,nASIG)&gt;0)*1),"")))</f>
        <v/>
      </c>
      <c r="N716" t="str">
        <f>IF(M716="","",IF(M716="[FÓRMULA MANUAL]","",IFERROR(AVERAGEIFS(nNOTA,nNIA,M716,nCUENTA,1,nASIG,"Armonía"),"")))</f>
        <v/>
      </c>
      <c r="O716" t="str">
        <f>IF(M716="","",IF(M716="[FÓRMULA MANUAL]","",IFERROR(AVERAGEIFS(nNOTA,nNIA,M716,nCUENTA,1,nASIG,"Orquesta/Banda/Conjunto"),"")))</f>
        <v/>
      </c>
      <c r="P716" t="str">
        <f>IF(M716="","",IF(M716="[FÓRMULA MANUAL]","",IFERROR(AVERAGEIFS(nNOTA,nNIA,M716,nCUENTA,1,nASIG,"Música de Cámara"),"")))</f>
        <v/>
      </c>
      <c r="Q716" t="str">
        <f>IF(M716="","",IF(M716="[FÓRMULA MANUAL]","",IFERROR(SUMPRODUCT((nNIA=M716)*(nCUENTA=1)*(COUNTIF(CONFIG_ASIGNATURAS!$B$7:$B$27,nASIG)&gt;0)*(nNOTA))/SUMPRODUCT((nNIA=M716)*(nCUENTA=1)*(COUNTIF(CONFIG_ASIGNATURAS!$B$7:$B$27,nASIG)&gt;0)*1),"")))</f>
        <v/>
      </c>
      <c r="T716" t="str">
        <f>IF(S716="","",IF(S716="[FÓRMULA MANUAL]","",IFERROR(AVERAGEIFS(nNOTA,nNIA,S716,nCUENTA,1,nASIG,"Armonía"),"")))</f>
        <v/>
      </c>
      <c r="U716" t="str">
        <f>IF(S716="","",IF(S716="[FÓRMULA MANUAL]","",IFERROR(AVERAGEIFS(nNOTA,nNIA,S716,nCUENTA,1,nASIG,"Orquesta/Banda/Conjunto"),"")))</f>
        <v/>
      </c>
      <c r="V716" t="str">
        <f>IF(S716="","",IF(S716="[FÓRMULA MANUAL]","",IFERROR(AVERAGEIFS(nNOTA,nNIA,S716,nCUENTA,1,nASIG,"Música de Cámara"),"")))</f>
        <v/>
      </c>
      <c r="W716" t="str">
        <f>IF(S716="","",IF(S716="[FÓRMULA MANUAL]","",IFERROR(SUMPRODUCT((nNIA=S716)*(nCUENTA=1)*(COUNTIF(CONFIG_ASIGNATURAS!$B$7:$B$27,nASIG)&gt;0)*(nNOTA))/SUMPRODUCT((nNIA=S716)*(nCUENTA=1)*(COUNTIF(CONFIG_ASIGNATURAS!$B$7:$B$27,nASIG)&gt;0)*1),"")))</f>
        <v/>
      </c>
      <c r="Z716" t="str">
        <f>IF(Y716="","",IF(Y716="[FÓRMULA MANUAL]","",IFERROR(AVERAGEIFS(nNOTA,nNIA,Y716,nCUENTA,1,nASIG,"Análisis"),"")))</f>
        <v/>
      </c>
      <c r="AA716" t="str">
        <f>IF(Y716="","",IF(Y716="[FÓRMULA MANUAL]","",IFERROR(AVERAGEIFS(nNOTA,nNIA,Y716,nCUENTA,1,nASIG,"Orquesta/Banda/Conjunto"),"")))</f>
        <v/>
      </c>
      <c r="AB716" t="str">
        <f>IF(Y716="","",IF(Y716="[FÓRMULA MANUAL]","",IFERROR(AVERAGEIFS(nNOTA,nNIA,Y716,nCUENTA,1,nASIG,"Música de Cámara"),"")))</f>
        <v/>
      </c>
      <c r="AC716" t="str">
        <f>IF(Y716="","",IF(Y716="[FÓRMULA MANUAL]","",IFERROR(SUMPRODUCT((nNIA=Y716)*(nCUENTA=1)*(COUNTIF(CONFIG_ASIGNATURAS!$B$7:$B$27,nASIG)&gt;0)*(nNOTA))/SUMPRODUCT((nNIA=Y716)*(nCUENTA=1)*(COUNTIF(CONFIG_ASIGNATURAS!$B$7:$B$27,nASIG)&gt;0)*1),"")))</f>
        <v/>
      </c>
      <c r="AF716" t="str">
        <f>IF(AE716="","",IF(AE716="[FÓRMULA MANUAL]","",IFERROR(AVERAGEIFS(nNOTA,nNIA,AE716,nCUENTA,1,nASIG,"Análisis"),"")))</f>
        <v/>
      </c>
      <c r="AG716" t="str">
        <f>IF(AE716="","",IF(AE716="[FÓRMULA MANUAL]","",IFERROR(AVERAGEIFS(nNOTA,nNIA,AE716,nCUENTA,1,nASIG,"Orquesta/Banda/Conjunto"),"")))</f>
        <v/>
      </c>
      <c r="AH716" t="str">
        <f>IF(AE716="","",IF(AE716="[FÓRMULA MANUAL]","",IFERROR(AVERAGEIFS(nNOTA,nNIA,AE716,nCUENTA,1,nASIG,"Música de Cámara"),"")))</f>
        <v/>
      </c>
      <c r="AI716" t="str">
        <f>IF(AE716="","",IF(AE716="[FÓRMULA MANUAL]","",IFERROR(SUMPRODUCT((nNIA=AE716)*(nCUENTA=1)*(COUNTIF(CONFIG_ASIGNATURAS!$B$7:$B$27,nASIG)&gt;0)*(nNOTA))/SUMPRODUCT((nNIA=AE716)*(nCUENTA=1)*(COUNTIF(CONFIG_ASIGNATURAS!$B$7:$B$27,nASIG)&gt;0)*1),"")))</f>
        <v/>
      </c>
    </row>
    <row r="717" spans="2:35" x14ac:dyDescent="0.2">
      <c r="B717" t="str">
        <f>IF(A717="","",IF(A717="[FÓRMULA MANUAL]","",IFERROR(AVERAGEIFS(nNOTA,nNIA,A717,nCUENTA,1,nASIG,"Lenguaje Musical"),"")))</f>
        <v/>
      </c>
      <c r="C717" t="str">
        <f>IF(A717="","",IF(A717="[FÓRMULA MANUAL]","",IFERROR(AVERAGEIFS(nNOTA,nNIA,A717,nCUENTA,1,nASIG,"Orquesta/Banda/Conjunto"),"")))</f>
        <v/>
      </c>
      <c r="D717" t="str">
        <f>IF(A717="","",IF(A717="[FÓRMULA MANUAL]","",IFERROR(AVERAGEIFS(nNOTA,nNIA,A717,nCUENTA,1,nASIG,"Conjunto"),"")))</f>
        <v/>
      </c>
      <c r="E717" t="str">
        <f>IF(A717="","",IF(A717="[FÓRMULA MANUAL]","",IFERROR(SUMPRODUCT((nNIA=A717)*(nCUENTA=1)*(COUNTIF(CONFIG_ASIGNATURAS!$B$7:$B$27,nASIG)&gt;0)*(nNOTA))/SUMPRODUCT((nNIA=A717)*(nCUENTA=1)*(COUNTIF(CONFIG_ASIGNATURAS!$B$7:$B$27,nASIG)&gt;0)*1),"")))</f>
        <v/>
      </c>
      <c r="H717" t="str">
        <f>IF(G717="","",IF(G717="[FÓRMULA MANUAL]","",IFERROR(AVERAGEIFS(nNOTA,nNIA,G717,nCUENTA,1,nASIG,"Lenguaje Musical"),"")))</f>
        <v/>
      </c>
      <c r="I717" t="str">
        <f>IF(G717="","",IF(G717="[FÓRMULA MANUAL]","",IFERROR(AVERAGEIFS(nNOTA,nNIA,G717,nCUENTA,1,nASIG,"Orquesta/Banda/Conjunto"),"")))</f>
        <v/>
      </c>
      <c r="J717" t="str">
        <f>IF(G717="","",IF(G717="[FÓRMULA MANUAL]","",IFERROR(AVERAGEIFS(nNOTA,nNIA,G717,nCUENTA,1,nASIG,"Conjunto"),"")))</f>
        <v/>
      </c>
      <c r="K717" t="str">
        <f>IF(G717="","",IF(G717="[FÓRMULA MANUAL]","",IFERROR(SUMPRODUCT((nNIA=G717)*(nCUENTA=1)*(COUNTIF(CONFIG_ASIGNATURAS!$B$7:$B$27,nASIG)&gt;0)*(nNOTA))/SUMPRODUCT((nNIA=G717)*(nCUENTA=1)*(COUNTIF(CONFIG_ASIGNATURAS!$B$7:$B$27,nASIG)&gt;0)*1),"")))</f>
        <v/>
      </c>
      <c r="N717" t="str">
        <f>IF(M717="","",IF(M717="[FÓRMULA MANUAL]","",IFERROR(AVERAGEIFS(nNOTA,nNIA,M717,nCUENTA,1,nASIG,"Armonía"),"")))</f>
        <v/>
      </c>
      <c r="O717" t="str">
        <f>IF(M717="","",IF(M717="[FÓRMULA MANUAL]","",IFERROR(AVERAGEIFS(nNOTA,nNIA,M717,nCUENTA,1,nASIG,"Orquesta/Banda/Conjunto"),"")))</f>
        <v/>
      </c>
      <c r="P717" t="str">
        <f>IF(M717="","",IF(M717="[FÓRMULA MANUAL]","",IFERROR(AVERAGEIFS(nNOTA,nNIA,M717,nCUENTA,1,nASIG,"Música de Cámara"),"")))</f>
        <v/>
      </c>
      <c r="Q717" t="str">
        <f>IF(M717="","",IF(M717="[FÓRMULA MANUAL]","",IFERROR(SUMPRODUCT((nNIA=M717)*(nCUENTA=1)*(COUNTIF(CONFIG_ASIGNATURAS!$B$7:$B$27,nASIG)&gt;0)*(nNOTA))/SUMPRODUCT((nNIA=M717)*(nCUENTA=1)*(COUNTIF(CONFIG_ASIGNATURAS!$B$7:$B$27,nASIG)&gt;0)*1),"")))</f>
        <v/>
      </c>
      <c r="T717" t="str">
        <f>IF(S717="","",IF(S717="[FÓRMULA MANUAL]","",IFERROR(AVERAGEIFS(nNOTA,nNIA,S717,nCUENTA,1,nASIG,"Armonía"),"")))</f>
        <v/>
      </c>
      <c r="U717" t="str">
        <f>IF(S717="","",IF(S717="[FÓRMULA MANUAL]","",IFERROR(AVERAGEIFS(nNOTA,nNIA,S717,nCUENTA,1,nASIG,"Orquesta/Banda/Conjunto"),"")))</f>
        <v/>
      </c>
      <c r="V717" t="str">
        <f>IF(S717="","",IF(S717="[FÓRMULA MANUAL]","",IFERROR(AVERAGEIFS(nNOTA,nNIA,S717,nCUENTA,1,nASIG,"Música de Cámara"),"")))</f>
        <v/>
      </c>
      <c r="W717" t="str">
        <f>IF(S717="","",IF(S717="[FÓRMULA MANUAL]","",IFERROR(SUMPRODUCT((nNIA=S717)*(nCUENTA=1)*(COUNTIF(CONFIG_ASIGNATURAS!$B$7:$B$27,nASIG)&gt;0)*(nNOTA))/SUMPRODUCT((nNIA=S717)*(nCUENTA=1)*(COUNTIF(CONFIG_ASIGNATURAS!$B$7:$B$27,nASIG)&gt;0)*1),"")))</f>
        <v/>
      </c>
      <c r="Z717" t="str">
        <f>IF(Y717="","",IF(Y717="[FÓRMULA MANUAL]","",IFERROR(AVERAGEIFS(nNOTA,nNIA,Y717,nCUENTA,1,nASIG,"Análisis"),"")))</f>
        <v/>
      </c>
      <c r="AA717" t="str">
        <f>IF(Y717="","",IF(Y717="[FÓRMULA MANUAL]","",IFERROR(AVERAGEIFS(nNOTA,nNIA,Y717,nCUENTA,1,nASIG,"Orquesta/Banda/Conjunto"),"")))</f>
        <v/>
      </c>
      <c r="AB717" t="str">
        <f>IF(Y717="","",IF(Y717="[FÓRMULA MANUAL]","",IFERROR(AVERAGEIFS(nNOTA,nNIA,Y717,nCUENTA,1,nASIG,"Música de Cámara"),"")))</f>
        <v/>
      </c>
      <c r="AC717" t="str">
        <f>IF(Y717="","",IF(Y717="[FÓRMULA MANUAL]","",IFERROR(SUMPRODUCT((nNIA=Y717)*(nCUENTA=1)*(COUNTIF(CONFIG_ASIGNATURAS!$B$7:$B$27,nASIG)&gt;0)*(nNOTA))/SUMPRODUCT((nNIA=Y717)*(nCUENTA=1)*(COUNTIF(CONFIG_ASIGNATURAS!$B$7:$B$27,nASIG)&gt;0)*1),"")))</f>
        <v/>
      </c>
      <c r="AF717" t="str">
        <f>IF(AE717="","",IF(AE717="[FÓRMULA MANUAL]","",IFERROR(AVERAGEIFS(nNOTA,nNIA,AE717,nCUENTA,1,nASIG,"Análisis"),"")))</f>
        <v/>
      </c>
      <c r="AG717" t="str">
        <f>IF(AE717="","",IF(AE717="[FÓRMULA MANUAL]","",IFERROR(AVERAGEIFS(nNOTA,nNIA,AE717,nCUENTA,1,nASIG,"Orquesta/Banda/Conjunto"),"")))</f>
        <v/>
      </c>
      <c r="AH717" t="str">
        <f>IF(AE717="","",IF(AE717="[FÓRMULA MANUAL]","",IFERROR(AVERAGEIFS(nNOTA,nNIA,AE717,nCUENTA,1,nASIG,"Música de Cámara"),"")))</f>
        <v/>
      </c>
      <c r="AI717" t="str">
        <f>IF(AE717="","",IF(AE717="[FÓRMULA MANUAL]","",IFERROR(SUMPRODUCT((nNIA=AE717)*(nCUENTA=1)*(COUNTIF(CONFIG_ASIGNATURAS!$B$7:$B$27,nASIG)&gt;0)*(nNOTA))/SUMPRODUCT((nNIA=AE717)*(nCUENTA=1)*(COUNTIF(CONFIG_ASIGNATURAS!$B$7:$B$27,nASIG)&gt;0)*1),"")))</f>
        <v/>
      </c>
    </row>
    <row r="718" spans="2:35" x14ac:dyDescent="0.2">
      <c r="B718" t="str">
        <f>IF(A718="","",IF(A718="[FÓRMULA MANUAL]","",IFERROR(AVERAGEIFS(nNOTA,nNIA,A718,nCUENTA,1,nASIG,"Lenguaje Musical"),"")))</f>
        <v/>
      </c>
      <c r="C718" t="str">
        <f>IF(A718="","",IF(A718="[FÓRMULA MANUAL]","",IFERROR(AVERAGEIFS(nNOTA,nNIA,A718,nCUENTA,1,nASIG,"Orquesta/Banda/Conjunto"),"")))</f>
        <v/>
      </c>
      <c r="D718" t="str">
        <f>IF(A718="","",IF(A718="[FÓRMULA MANUAL]","",IFERROR(AVERAGEIFS(nNOTA,nNIA,A718,nCUENTA,1,nASIG,"Conjunto"),"")))</f>
        <v/>
      </c>
      <c r="E718" t="str">
        <f>IF(A718="","",IF(A718="[FÓRMULA MANUAL]","",IFERROR(SUMPRODUCT((nNIA=A718)*(nCUENTA=1)*(COUNTIF(CONFIG_ASIGNATURAS!$B$7:$B$27,nASIG)&gt;0)*(nNOTA))/SUMPRODUCT((nNIA=A718)*(nCUENTA=1)*(COUNTIF(CONFIG_ASIGNATURAS!$B$7:$B$27,nASIG)&gt;0)*1),"")))</f>
        <v/>
      </c>
      <c r="H718" t="str">
        <f>IF(G718="","",IF(G718="[FÓRMULA MANUAL]","",IFERROR(AVERAGEIFS(nNOTA,nNIA,G718,nCUENTA,1,nASIG,"Lenguaje Musical"),"")))</f>
        <v/>
      </c>
      <c r="I718" t="str">
        <f>IF(G718="","",IF(G718="[FÓRMULA MANUAL]","",IFERROR(AVERAGEIFS(nNOTA,nNIA,G718,nCUENTA,1,nASIG,"Orquesta/Banda/Conjunto"),"")))</f>
        <v/>
      </c>
      <c r="J718" t="str">
        <f>IF(G718="","",IF(G718="[FÓRMULA MANUAL]","",IFERROR(AVERAGEIFS(nNOTA,nNIA,G718,nCUENTA,1,nASIG,"Conjunto"),"")))</f>
        <v/>
      </c>
      <c r="K718" t="str">
        <f>IF(G718="","",IF(G718="[FÓRMULA MANUAL]","",IFERROR(SUMPRODUCT((nNIA=G718)*(nCUENTA=1)*(COUNTIF(CONFIG_ASIGNATURAS!$B$7:$B$27,nASIG)&gt;0)*(nNOTA))/SUMPRODUCT((nNIA=G718)*(nCUENTA=1)*(COUNTIF(CONFIG_ASIGNATURAS!$B$7:$B$27,nASIG)&gt;0)*1),"")))</f>
        <v/>
      </c>
      <c r="N718" t="str">
        <f>IF(M718="","",IF(M718="[FÓRMULA MANUAL]","",IFERROR(AVERAGEIFS(nNOTA,nNIA,M718,nCUENTA,1,nASIG,"Armonía"),"")))</f>
        <v/>
      </c>
      <c r="O718" t="str">
        <f>IF(M718="","",IF(M718="[FÓRMULA MANUAL]","",IFERROR(AVERAGEIFS(nNOTA,nNIA,M718,nCUENTA,1,nASIG,"Orquesta/Banda/Conjunto"),"")))</f>
        <v/>
      </c>
      <c r="P718" t="str">
        <f>IF(M718="","",IF(M718="[FÓRMULA MANUAL]","",IFERROR(AVERAGEIFS(nNOTA,nNIA,M718,nCUENTA,1,nASIG,"Música de Cámara"),"")))</f>
        <v/>
      </c>
      <c r="Q718" t="str">
        <f>IF(M718="","",IF(M718="[FÓRMULA MANUAL]","",IFERROR(SUMPRODUCT((nNIA=M718)*(nCUENTA=1)*(COUNTIF(CONFIG_ASIGNATURAS!$B$7:$B$27,nASIG)&gt;0)*(nNOTA))/SUMPRODUCT((nNIA=M718)*(nCUENTA=1)*(COUNTIF(CONFIG_ASIGNATURAS!$B$7:$B$27,nASIG)&gt;0)*1),"")))</f>
        <v/>
      </c>
      <c r="T718" t="str">
        <f>IF(S718="","",IF(S718="[FÓRMULA MANUAL]","",IFERROR(AVERAGEIFS(nNOTA,nNIA,S718,nCUENTA,1,nASIG,"Armonía"),"")))</f>
        <v/>
      </c>
      <c r="U718" t="str">
        <f>IF(S718="","",IF(S718="[FÓRMULA MANUAL]","",IFERROR(AVERAGEIFS(nNOTA,nNIA,S718,nCUENTA,1,nASIG,"Orquesta/Banda/Conjunto"),"")))</f>
        <v/>
      </c>
      <c r="V718" t="str">
        <f>IF(S718="","",IF(S718="[FÓRMULA MANUAL]","",IFERROR(AVERAGEIFS(nNOTA,nNIA,S718,nCUENTA,1,nASIG,"Música de Cámara"),"")))</f>
        <v/>
      </c>
      <c r="W718" t="str">
        <f>IF(S718="","",IF(S718="[FÓRMULA MANUAL]","",IFERROR(SUMPRODUCT((nNIA=S718)*(nCUENTA=1)*(COUNTIF(CONFIG_ASIGNATURAS!$B$7:$B$27,nASIG)&gt;0)*(nNOTA))/SUMPRODUCT((nNIA=S718)*(nCUENTA=1)*(COUNTIF(CONFIG_ASIGNATURAS!$B$7:$B$27,nASIG)&gt;0)*1),"")))</f>
        <v/>
      </c>
      <c r="Z718" t="str">
        <f>IF(Y718="","",IF(Y718="[FÓRMULA MANUAL]","",IFERROR(AVERAGEIFS(nNOTA,nNIA,Y718,nCUENTA,1,nASIG,"Análisis"),"")))</f>
        <v/>
      </c>
      <c r="AA718" t="str">
        <f>IF(Y718="","",IF(Y718="[FÓRMULA MANUAL]","",IFERROR(AVERAGEIFS(nNOTA,nNIA,Y718,nCUENTA,1,nASIG,"Orquesta/Banda/Conjunto"),"")))</f>
        <v/>
      </c>
      <c r="AB718" t="str">
        <f>IF(Y718="","",IF(Y718="[FÓRMULA MANUAL]","",IFERROR(AVERAGEIFS(nNOTA,nNIA,Y718,nCUENTA,1,nASIG,"Música de Cámara"),"")))</f>
        <v/>
      </c>
      <c r="AC718" t="str">
        <f>IF(Y718="","",IF(Y718="[FÓRMULA MANUAL]","",IFERROR(SUMPRODUCT((nNIA=Y718)*(nCUENTA=1)*(COUNTIF(CONFIG_ASIGNATURAS!$B$7:$B$27,nASIG)&gt;0)*(nNOTA))/SUMPRODUCT((nNIA=Y718)*(nCUENTA=1)*(COUNTIF(CONFIG_ASIGNATURAS!$B$7:$B$27,nASIG)&gt;0)*1),"")))</f>
        <v/>
      </c>
      <c r="AF718" t="str">
        <f>IF(AE718="","",IF(AE718="[FÓRMULA MANUAL]","",IFERROR(AVERAGEIFS(nNOTA,nNIA,AE718,nCUENTA,1,nASIG,"Análisis"),"")))</f>
        <v/>
      </c>
      <c r="AG718" t="str">
        <f>IF(AE718="","",IF(AE718="[FÓRMULA MANUAL]","",IFERROR(AVERAGEIFS(nNOTA,nNIA,AE718,nCUENTA,1,nASIG,"Orquesta/Banda/Conjunto"),"")))</f>
        <v/>
      </c>
      <c r="AH718" t="str">
        <f>IF(AE718="","",IF(AE718="[FÓRMULA MANUAL]","",IFERROR(AVERAGEIFS(nNOTA,nNIA,AE718,nCUENTA,1,nASIG,"Música de Cámara"),"")))</f>
        <v/>
      </c>
      <c r="AI718" t="str">
        <f>IF(AE718="","",IF(AE718="[FÓRMULA MANUAL]","",IFERROR(SUMPRODUCT((nNIA=AE718)*(nCUENTA=1)*(COUNTIF(CONFIG_ASIGNATURAS!$B$7:$B$27,nASIG)&gt;0)*(nNOTA))/SUMPRODUCT((nNIA=AE718)*(nCUENTA=1)*(COUNTIF(CONFIG_ASIGNATURAS!$B$7:$B$27,nASIG)&gt;0)*1),"")))</f>
        <v/>
      </c>
    </row>
    <row r="719" spans="2:35" x14ac:dyDescent="0.2">
      <c r="B719" t="str">
        <f>IF(A719="","",IF(A719="[FÓRMULA MANUAL]","",IFERROR(AVERAGEIFS(nNOTA,nNIA,A719,nCUENTA,1,nASIG,"Lenguaje Musical"),"")))</f>
        <v/>
      </c>
      <c r="C719" t="str">
        <f>IF(A719="","",IF(A719="[FÓRMULA MANUAL]","",IFERROR(AVERAGEIFS(nNOTA,nNIA,A719,nCUENTA,1,nASIG,"Orquesta/Banda/Conjunto"),"")))</f>
        <v/>
      </c>
      <c r="D719" t="str">
        <f>IF(A719="","",IF(A719="[FÓRMULA MANUAL]","",IFERROR(AVERAGEIFS(nNOTA,nNIA,A719,nCUENTA,1,nASIG,"Conjunto"),"")))</f>
        <v/>
      </c>
      <c r="E719" t="str">
        <f>IF(A719="","",IF(A719="[FÓRMULA MANUAL]","",IFERROR(SUMPRODUCT((nNIA=A719)*(nCUENTA=1)*(COUNTIF(CONFIG_ASIGNATURAS!$B$7:$B$27,nASIG)&gt;0)*(nNOTA))/SUMPRODUCT((nNIA=A719)*(nCUENTA=1)*(COUNTIF(CONFIG_ASIGNATURAS!$B$7:$B$27,nASIG)&gt;0)*1),"")))</f>
        <v/>
      </c>
      <c r="H719" t="str">
        <f>IF(G719="","",IF(G719="[FÓRMULA MANUAL]","",IFERROR(AVERAGEIFS(nNOTA,nNIA,G719,nCUENTA,1,nASIG,"Lenguaje Musical"),"")))</f>
        <v/>
      </c>
      <c r="I719" t="str">
        <f>IF(G719="","",IF(G719="[FÓRMULA MANUAL]","",IFERROR(AVERAGEIFS(nNOTA,nNIA,G719,nCUENTA,1,nASIG,"Orquesta/Banda/Conjunto"),"")))</f>
        <v/>
      </c>
      <c r="J719" t="str">
        <f>IF(G719="","",IF(G719="[FÓRMULA MANUAL]","",IFERROR(AVERAGEIFS(nNOTA,nNIA,G719,nCUENTA,1,nASIG,"Conjunto"),"")))</f>
        <v/>
      </c>
      <c r="K719" t="str">
        <f>IF(G719="","",IF(G719="[FÓRMULA MANUAL]","",IFERROR(SUMPRODUCT((nNIA=G719)*(nCUENTA=1)*(COUNTIF(CONFIG_ASIGNATURAS!$B$7:$B$27,nASIG)&gt;0)*(nNOTA))/SUMPRODUCT((nNIA=G719)*(nCUENTA=1)*(COUNTIF(CONFIG_ASIGNATURAS!$B$7:$B$27,nASIG)&gt;0)*1),"")))</f>
        <v/>
      </c>
      <c r="N719" t="str">
        <f>IF(M719="","",IF(M719="[FÓRMULA MANUAL]","",IFERROR(AVERAGEIFS(nNOTA,nNIA,M719,nCUENTA,1,nASIG,"Armonía"),"")))</f>
        <v/>
      </c>
      <c r="O719" t="str">
        <f>IF(M719="","",IF(M719="[FÓRMULA MANUAL]","",IFERROR(AVERAGEIFS(nNOTA,nNIA,M719,nCUENTA,1,nASIG,"Orquesta/Banda/Conjunto"),"")))</f>
        <v/>
      </c>
      <c r="P719" t="str">
        <f>IF(M719="","",IF(M719="[FÓRMULA MANUAL]","",IFERROR(AVERAGEIFS(nNOTA,nNIA,M719,nCUENTA,1,nASIG,"Música de Cámara"),"")))</f>
        <v/>
      </c>
      <c r="Q719" t="str">
        <f>IF(M719="","",IF(M719="[FÓRMULA MANUAL]","",IFERROR(SUMPRODUCT((nNIA=M719)*(nCUENTA=1)*(COUNTIF(CONFIG_ASIGNATURAS!$B$7:$B$27,nASIG)&gt;0)*(nNOTA))/SUMPRODUCT((nNIA=M719)*(nCUENTA=1)*(COUNTIF(CONFIG_ASIGNATURAS!$B$7:$B$27,nASIG)&gt;0)*1),"")))</f>
        <v/>
      </c>
      <c r="T719" t="str">
        <f>IF(S719="","",IF(S719="[FÓRMULA MANUAL]","",IFERROR(AVERAGEIFS(nNOTA,nNIA,S719,nCUENTA,1,nASIG,"Armonía"),"")))</f>
        <v/>
      </c>
      <c r="U719" t="str">
        <f>IF(S719="","",IF(S719="[FÓRMULA MANUAL]","",IFERROR(AVERAGEIFS(nNOTA,nNIA,S719,nCUENTA,1,nASIG,"Orquesta/Banda/Conjunto"),"")))</f>
        <v/>
      </c>
      <c r="V719" t="str">
        <f>IF(S719="","",IF(S719="[FÓRMULA MANUAL]","",IFERROR(AVERAGEIFS(nNOTA,nNIA,S719,nCUENTA,1,nASIG,"Música de Cámara"),"")))</f>
        <v/>
      </c>
      <c r="W719" t="str">
        <f>IF(S719="","",IF(S719="[FÓRMULA MANUAL]","",IFERROR(SUMPRODUCT((nNIA=S719)*(nCUENTA=1)*(COUNTIF(CONFIG_ASIGNATURAS!$B$7:$B$27,nASIG)&gt;0)*(nNOTA))/SUMPRODUCT((nNIA=S719)*(nCUENTA=1)*(COUNTIF(CONFIG_ASIGNATURAS!$B$7:$B$27,nASIG)&gt;0)*1),"")))</f>
        <v/>
      </c>
      <c r="Z719" t="str">
        <f>IF(Y719="","",IF(Y719="[FÓRMULA MANUAL]","",IFERROR(AVERAGEIFS(nNOTA,nNIA,Y719,nCUENTA,1,nASIG,"Análisis"),"")))</f>
        <v/>
      </c>
      <c r="AA719" t="str">
        <f>IF(Y719="","",IF(Y719="[FÓRMULA MANUAL]","",IFERROR(AVERAGEIFS(nNOTA,nNIA,Y719,nCUENTA,1,nASIG,"Orquesta/Banda/Conjunto"),"")))</f>
        <v/>
      </c>
      <c r="AB719" t="str">
        <f>IF(Y719="","",IF(Y719="[FÓRMULA MANUAL]","",IFERROR(AVERAGEIFS(nNOTA,nNIA,Y719,nCUENTA,1,nASIG,"Música de Cámara"),"")))</f>
        <v/>
      </c>
      <c r="AC719" t="str">
        <f>IF(Y719="","",IF(Y719="[FÓRMULA MANUAL]","",IFERROR(SUMPRODUCT((nNIA=Y719)*(nCUENTA=1)*(COUNTIF(CONFIG_ASIGNATURAS!$B$7:$B$27,nASIG)&gt;0)*(nNOTA))/SUMPRODUCT((nNIA=Y719)*(nCUENTA=1)*(COUNTIF(CONFIG_ASIGNATURAS!$B$7:$B$27,nASIG)&gt;0)*1),"")))</f>
        <v/>
      </c>
      <c r="AF719" t="str">
        <f>IF(AE719="","",IF(AE719="[FÓRMULA MANUAL]","",IFERROR(AVERAGEIFS(nNOTA,nNIA,AE719,nCUENTA,1,nASIG,"Análisis"),"")))</f>
        <v/>
      </c>
      <c r="AG719" t="str">
        <f>IF(AE719="","",IF(AE719="[FÓRMULA MANUAL]","",IFERROR(AVERAGEIFS(nNOTA,nNIA,AE719,nCUENTA,1,nASIG,"Orquesta/Banda/Conjunto"),"")))</f>
        <v/>
      </c>
      <c r="AH719" t="str">
        <f>IF(AE719="","",IF(AE719="[FÓRMULA MANUAL]","",IFERROR(AVERAGEIFS(nNOTA,nNIA,AE719,nCUENTA,1,nASIG,"Música de Cámara"),"")))</f>
        <v/>
      </c>
      <c r="AI719" t="str">
        <f>IF(AE719="","",IF(AE719="[FÓRMULA MANUAL]","",IFERROR(SUMPRODUCT((nNIA=AE719)*(nCUENTA=1)*(COUNTIF(CONFIG_ASIGNATURAS!$B$7:$B$27,nASIG)&gt;0)*(nNOTA))/SUMPRODUCT((nNIA=AE719)*(nCUENTA=1)*(COUNTIF(CONFIG_ASIGNATURAS!$B$7:$B$27,nASIG)&gt;0)*1),"")))</f>
        <v/>
      </c>
    </row>
    <row r="720" spans="2:35" x14ac:dyDescent="0.2">
      <c r="B720" t="str">
        <f>IF(A720="","",IF(A720="[FÓRMULA MANUAL]","",IFERROR(AVERAGEIFS(nNOTA,nNIA,A720,nCUENTA,1,nASIG,"Lenguaje Musical"),"")))</f>
        <v/>
      </c>
      <c r="C720" t="str">
        <f>IF(A720="","",IF(A720="[FÓRMULA MANUAL]","",IFERROR(AVERAGEIFS(nNOTA,nNIA,A720,nCUENTA,1,nASIG,"Orquesta/Banda/Conjunto"),"")))</f>
        <v/>
      </c>
      <c r="D720" t="str">
        <f>IF(A720="","",IF(A720="[FÓRMULA MANUAL]","",IFERROR(AVERAGEIFS(nNOTA,nNIA,A720,nCUENTA,1,nASIG,"Conjunto"),"")))</f>
        <v/>
      </c>
      <c r="E720" t="str">
        <f>IF(A720="","",IF(A720="[FÓRMULA MANUAL]","",IFERROR(SUMPRODUCT((nNIA=A720)*(nCUENTA=1)*(COUNTIF(CONFIG_ASIGNATURAS!$B$7:$B$27,nASIG)&gt;0)*(nNOTA))/SUMPRODUCT((nNIA=A720)*(nCUENTA=1)*(COUNTIF(CONFIG_ASIGNATURAS!$B$7:$B$27,nASIG)&gt;0)*1),"")))</f>
        <v/>
      </c>
      <c r="H720" t="str">
        <f>IF(G720="","",IF(G720="[FÓRMULA MANUAL]","",IFERROR(AVERAGEIFS(nNOTA,nNIA,G720,nCUENTA,1,nASIG,"Lenguaje Musical"),"")))</f>
        <v/>
      </c>
      <c r="I720" t="str">
        <f>IF(G720="","",IF(G720="[FÓRMULA MANUAL]","",IFERROR(AVERAGEIFS(nNOTA,nNIA,G720,nCUENTA,1,nASIG,"Orquesta/Banda/Conjunto"),"")))</f>
        <v/>
      </c>
      <c r="J720" t="str">
        <f>IF(G720="","",IF(G720="[FÓRMULA MANUAL]","",IFERROR(AVERAGEIFS(nNOTA,nNIA,G720,nCUENTA,1,nASIG,"Conjunto"),"")))</f>
        <v/>
      </c>
      <c r="K720" t="str">
        <f>IF(G720="","",IF(G720="[FÓRMULA MANUAL]","",IFERROR(SUMPRODUCT((nNIA=G720)*(nCUENTA=1)*(COUNTIF(CONFIG_ASIGNATURAS!$B$7:$B$27,nASIG)&gt;0)*(nNOTA))/SUMPRODUCT((nNIA=G720)*(nCUENTA=1)*(COUNTIF(CONFIG_ASIGNATURAS!$B$7:$B$27,nASIG)&gt;0)*1),"")))</f>
        <v/>
      </c>
      <c r="N720" t="str">
        <f>IF(M720="","",IF(M720="[FÓRMULA MANUAL]","",IFERROR(AVERAGEIFS(nNOTA,nNIA,M720,nCUENTA,1,nASIG,"Armonía"),"")))</f>
        <v/>
      </c>
      <c r="O720" t="str">
        <f>IF(M720="","",IF(M720="[FÓRMULA MANUAL]","",IFERROR(AVERAGEIFS(nNOTA,nNIA,M720,nCUENTA,1,nASIG,"Orquesta/Banda/Conjunto"),"")))</f>
        <v/>
      </c>
      <c r="P720" t="str">
        <f>IF(M720="","",IF(M720="[FÓRMULA MANUAL]","",IFERROR(AVERAGEIFS(nNOTA,nNIA,M720,nCUENTA,1,nASIG,"Música de Cámara"),"")))</f>
        <v/>
      </c>
      <c r="Q720" t="str">
        <f>IF(M720="","",IF(M720="[FÓRMULA MANUAL]","",IFERROR(SUMPRODUCT((nNIA=M720)*(nCUENTA=1)*(COUNTIF(CONFIG_ASIGNATURAS!$B$7:$B$27,nASIG)&gt;0)*(nNOTA))/SUMPRODUCT((nNIA=M720)*(nCUENTA=1)*(COUNTIF(CONFIG_ASIGNATURAS!$B$7:$B$27,nASIG)&gt;0)*1),"")))</f>
        <v/>
      </c>
      <c r="T720" t="str">
        <f>IF(S720="","",IF(S720="[FÓRMULA MANUAL]","",IFERROR(AVERAGEIFS(nNOTA,nNIA,S720,nCUENTA,1,nASIG,"Armonía"),"")))</f>
        <v/>
      </c>
      <c r="U720" t="str">
        <f>IF(S720="","",IF(S720="[FÓRMULA MANUAL]","",IFERROR(AVERAGEIFS(nNOTA,nNIA,S720,nCUENTA,1,nASIG,"Orquesta/Banda/Conjunto"),"")))</f>
        <v/>
      </c>
      <c r="V720" t="str">
        <f>IF(S720="","",IF(S720="[FÓRMULA MANUAL]","",IFERROR(AVERAGEIFS(nNOTA,nNIA,S720,nCUENTA,1,nASIG,"Música de Cámara"),"")))</f>
        <v/>
      </c>
      <c r="W720" t="str">
        <f>IF(S720="","",IF(S720="[FÓRMULA MANUAL]","",IFERROR(SUMPRODUCT((nNIA=S720)*(nCUENTA=1)*(COUNTIF(CONFIG_ASIGNATURAS!$B$7:$B$27,nASIG)&gt;0)*(nNOTA))/SUMPRODUCT((nNIA=S720)*(nCUENTA=1)*(COUNTIF(CONFIG_ASIGNATURAS!$B$7:$B$27,nASIG)&gt;0)*1),"")))</f>
        <v/>
      </c>
      <c r="Z720" t="str">
        <f>IF(Y720="","",IF(Y720="[FÓRMULA MANUAL]","",IFERROR(AVERAGEIFS(nNOTA,nNIA,Y720,nCUENTA,1,nASIG,"Análisis"),"")))</f>
        <v/>
      </c>
      <c r="AA720" t="str">
        <f>IF(Y720="","",IF(Y720="[FÓRMULA MANUAL]","",IFERROR(AVERAGEIFS(nNOTA,nNIA,Y720,nCUENTA,1,nASIG,"Orquesta/Banda/Conjunto"),"")))</f>
        <v/>
      </c>
      <c r="AB720" t="str">
        <f>IF(Y720="","",IF(Y720="[FÓRMULA MANUAL]","",IFERROR(AVERAGEIFS(nNOTA,nNIA,Y720,nCUENTA,1,nASIG,"Música de Cámara"),"")))</f>
        <v/>
      </c>
      <c r="AC720" t="str">
        <f>IF(Y720="","",IF(Y720="[FÓRMULA MANUAL]","",IFERROR(SUMPRODUCT((nNIA=Y720)*(nCUENTA=1)*(COUNTIF(CONFIG_ASIGNATURAS!$B$7:$B$27,nASIG)&gt;0)*(nNOTA))/SUMPRODUCT((nNIA=Y720)*(nCUENTA=1)*(COUNTIF(CONFIG_ASIGNATURAS!$B$7:$B$27,nASIG)&gt;0)*1),"")))</f>
        <v/>
      </c>
      <c r="AF720" t="str">
        <f>IF(AE720="","",IF(AE720="[FÓRMULA MANUAL]","",IFERROR(AVERAGEIFS(nNOTA,nNIA,AE720,nCUENTA,1,nASIG,"Análisis"),"")))</f>
        <v/>
      </c>
      <c r="AG720" t="str">
        <f>IF(AE720="","",IF(AE720="[FÓRMULA MANUAL]","",IFERROR(AVERAGEIFS(nNOTA,nNIA,AE720,nCUENTA,1,nASIG,"Orquesta/Banda/Conjunto"),"")))</f>
        <v/>
      </c>
      <c r="AH720" t="str">
        <f>IF(AE720="","",IF(AE720="[FÓRMULA MANUAL]","",IFERROR(AVERAGEIFS(nNOTA,nNIA,AE720,nCUENTA,1,nASIG,"Música de Cámara"),"")))</f>
        <v/>
      </c>
      <c r="AI720" t="str">
        <f>IF(AE720="","",IF(AE720="[FÓRMULA MANUAL]","",IFERROR(SUMPRODUCT((nNIA=AE720)*(nCUENTA=1)*(COUNTIF(CONFIG_ASIGNATURAS!$B$7:$B$27,nASIG)&gt;0)*(nNOTA))/SUMPRODUCT((nNIA=AE720)*(nCUENTA=1)*(COUNTIF(CONFIG_ASIGNATURAS!$B$7:$B$27,nASIG)&gt;0)*1),"")))</f>
        <v/>
      </c>
    </row>
    <row r="721" spans="2:35" x14ac:dyDescent="0.2">
      <c r="B721" t="str">
        <f>IF(A721="","",IF(A721="[FÓRMULA MANUAL]","",IFERROR(AVERAGEIFS(nNOTA,nNIA,A721,nCUENTA,1,nASIG,"Lenguaje Musical"),"")))</f>
        <v/>
      </c>
      <c r="C721" t="str">
        <f>IF(A721="","",IF(A721="[FÓRMULA MANUAL]","",IFERROR(AVERAGEIFS(nNOTA,nNIA,A721,nCUENTA,1,nASIG,"Orquesta/Banda/Conjunto"),"")))</f>
        <v/>
      </c>
      <c r="D721" t="str">
        <f>IF(A721="","",IF(A721="[FÓRMULA MANUAL]","",IFERROR(AVERAGEIFS(nNOTA,nNIA,A721,nCUENTA,1,nASIG,"Conjunto"),"")))</f>
        <v/>
      </c>
      <c r="E721" t="str">
        <f>IF(A721="","",IF(A721="[FÓRMULA MANUAL]","",IFERROR(SUMPRODUCT((nNIA=A721)*(nCUENTA=1)*(COUNTIF(CONFIG_ASIGNATURAS!$B$7:$B$27,nASIG)&gt;0)*(nNOTA))/SUMPRODUCT((nNIA=A721)*(nCUENTA=1)*(COUNTIF(CONFIG_ASIGNATURAS!$B$7:$B$27,nASIG)&gt;0)*1),"")))</f>
        <v/>
      </c>
      <c r="H721" t="str">
        <f>IF(G721="","",IF(G721="[FÓRMULA MANUAL]","",IFERROR(AVERAGEIFS(nNOTA,nNIA,G721,nCUENTA,1,nASIG,"Lenguaje Musical"),"")))</f>
        <v/>
      </c>
      <c r="I721" t="str">
        <f>IF(G721="","",IF(G721="[FÓRMULA MANUAL]","",IFERROR(AVERAGEIFS(nNOTA,nNIA,G721,nCUENTA,1,nASIG,"Orquesta/Banda/Conjunto"),"")))</f>
        <v/>
      </c>
      <c r="J721" t="str">
        <f>IF(G721="","",IF(G721="[FÓRMULA MANUAL]","",IFERROR(AVERAGEIFS(nNOTA,nNIA,G721,nCUENTA,1,nASIG,"Conjunto"),"")))</f>
        <v/>
      </c>
      <c r="K721" t="str">
        <f>IF(G721="","",IF(G721="[FÓRMULA MANUAL]","",IFERROR(SUMPRODUCT((nNIA=G721)*(nCUENTA=1)*(COUNTIF(CONFIG_ASIGNATURAS!$B$7:$B$27,nASIG)&gt;0)*(nNOTA))/SUMPRODUCT((nNIA=G721)*(nCUENTA=1)*(COUNTIF(CONFIG_ASIGNATURAS!$B$7:$B$27,nASIG)&gt;0)*1),"")))</f>
        <v/>
      </c>
      <c r="N721" t="str">
        <f>IF(M721="","",IF(M721="[FÓRMULA MANUAL]","",IFERROR(AVERAGEIFS(nNOTA,nNIA,M721,nCUENTA,1,nASIG,"Armonía"),"")))</f>
        <v/>
      </c>
      <c r="O721" t="str">
        <f>IF(M721="","",IF(M721="[FÓRMULA MANUAL]","",IFERROR(AVERAGEIFS(nNOTA,nNIA,M721,nCUENTA,1,nASIG,"Orquesta/Banda/Conjunto"),"")))</f>
        <v/>
      </c>
      <c r="P721" t="str">
        <f>IF(M721="","",IF(M721="[FÓRMULA MANUAL]","",IFERROR(AVERAGEIFS(nNOTA,nNIA,M721,nCUENTA,1,nASIG,"Música de Cámara"),"")))</f>
        <v/>
      </c>
      <c r="Q721" t="str">
        <f>IF(M721="","",IF(M721="[FÓRMULA MANUAL]","",IFERROR(SUMPRODUCT((nNIA=M721)*(nCUENTA=1)*(COUNTIF(CONFIG_ASIGNATURAS!$B$7:$B$27,nASIG)&gt;0)*(nNOTA))/SUMPRODUCT((nNIA=M721)*(nCUENTA=1)*(COUNTIF(CONFIG_ASIGNATURAS!$B$7:$B$27,nASIG)&gt;0)*1),"")))</f>
        <v/>
      </c>
      <c r="T721" t="str">
        <f>IF(S721="","",IF(S721="[FÓRMULA MANUAL]","",IFERROR(AVERAGEIFS(nNOTA,nNIA,S721,nCUENTA,1,nASIG,"Armonía"),"")))</f>
        <v/>
      </c>
      <c r="U721" t="str">
        <f>IF(S721="","",IF(S721="[FÓRMULA MANUAL]","",IFERROR(AVERAGEIFS(nNOTA,nNIA,S721,nCUENTA,1,nASIG,"Orquesta/Banda/Conjunto"),"")))</f>
        <v/>
      </c>
      <c r="V721" t="str">
        <f>IF(S721="","",IF(S721="[FÓRMULA MANUAL]","",IFERROR(AVERAGEIFS(nNOTA,nNIA,S721,nCUENTA,1,nASIG,"Música de Cámara"),"")))</f>
        <v/>
      </c>
      <c r="W721" t="str">
        <f>IF(S721="","",IF(S721="[FÓRMULA MANUAL]","",IFERROR(SUMPRODUCT((nNIA=S721)*(nCUENTA=1)*(COUNTIF(CONFIG_ASIGNATURAS!$B$7:$B$27,nASIG)&gt;0)*(nNOTA))/SUMPRODUCT((nNIA=S721)*(nCUENTA=1)*(COUNTIF(CONFIG_ASIGNATURAS!$B$7:$B$27,nASIG)&gt;0)*1),"")))</f>
        <v/>
      </c>
      <c r="Z721" t="str">
        <f>IF(Y721="","",IF(Y721="[FÓRMULA MANUAL]","",IFERROR(AVERAGEIFS(nNOTA,nNIA,Y721,nCUENTA,1,nASIG,"Análisis"),"")))</f>
        <v/>
      </c>
      <c r="AA721" t="str">
        <f>IF(Y721="","",IF(Y721="[FÓRMULA MANUAL]","",IFERROR(AVERAGEIFS(nNOTA,nNIA,Y721,nCUENTA,1,nASIG,"Orquesta/Banda/Conjunto"),"")))</f>
        <v/>
      </c>
      <c r="AB721" t="str">
        <f>IF(Y721="","",IF(Y721="[FÓRMULA MANUAL]","",IFERROR(AVERAGEIFS(nNOTA,nNIA,Y721,nCUENTA,1,nASIG,"Música de Cámara"),"")))</f>
        <v/>
      </c>
      <c r="AC721" t="str">
        <f>IF(Y721="","",IF(Y721="[FÓRMULA MANUAL]","",IFERROR(SUMPRODUCT((nNIA=Y721)*(nCUENTA=1)*(COUNTIF(CONFIG_ASIGNATURAS!$B$7:$B$27,nASIG)&gt;0)*(nNOTA))/SUMPRODUCT((nNIA=Y721)*(nCUENTA=1)*(COUNTIF(CONFIG_ASIGNATURAS!$B$7:$B$27,nASIG)&gt;0)*1),"")))</f>
        <v/>
      </c>
      <c r="AF721" t="str">
        <f>IF(AE721="","",IF(AE721="[FÓRMULA MANUAL]","",IFERROR(AVERAGEIFS(nNOTA,nNIA,AE721,nCUENTA,1,nASIG,"Análisis"),"")))</f>
        <v/>
      </c>
      <c r="AG721" t="str">
        <f>IF(AE721="","",IF(AE721="[FÓRMULA MANUAL]","",IFERROR(AVERAGEIFS(nNOTA,nNIA,AE721,nCUENTA,1,nASIG,"Orquesta/Banda/Conjunto"),"")))</f>
        <v/>
      </c>
      <c r="AH721" t="str">
        <f>IF(AE721="","",IF(AE721="[FÓRMULA MANUAL]","",IFERROR(AVERAGEIFS(nNOTA,nNIA,AE721,nCUENTA,1,nASIG,"Música de Cámara"),"")))</f>
        <v/>
      </c>
      <c r="AI721" t="str">
        <f>IF(AE721="","",IF(AE721="[FÓRMULA MANUAL]","",IFERROR(SUMPRODUCT((nNIA=AE721)*(nCUENTA=1)*(COUNTIF(CONFIG_ASIGNATURAS!$B$7:$B$27,nASIG)&gt;0)*(nNOTA))/SUMPRODUCT((nNIA=AE721)*(nCUENTA=1)*(COUNTIF(CONFIG_ASIGNATURAS!$B$7:$B$27,nASIG)&gt;0)*1),"")))</f>
        <v/>
      </c>
    </row>
    <row r="722" spans="2:35" x14ac:dyDescent="0.2">
      <c r="B722" t="str">
        <f>IF(A722="","",IF(A722="[FÓRMULA MANUAL]","",IFERROR(AVERAGEIFS(nNOTA,nNIA,A722,nCUENTA,1,nASIG,"Lenguaje Musical"),"")))</f>
        <v/>
      </c>
      <c r="C722" t="str">
        <f>IF(A722="","",IF(A722="[FÓRMULA MANUAL]","",IFERROR(AVERAGEIFS(nNOTA,nNIA,A722,nCUENTA,1,nASIG,"Orquesta/Banda/Conjunto"),"")))</f>
        <v/>
      </c>
      <c r="D722" t="str">
        <f>IF(A722="","",IF(A722="[FÓRMULA MANUAL]","",IFERROR(AVERAGEIFS(nNOTA,nNIA,A722,nCUENTA,1,nASIG,"Conjunto"),"")))</f>
        <v/>
      </c>
      <c r="E722" t="str">
        <f>IF(A722="","",IF(A722="[FÓRMULA MANUAL]","",IFERROR(SUMPRODUCT((nNIA=A722)*(nCUENTA=1)*(COUNTIF(CONFIG_ASIGNATURAS!$B$7:$B$27,nASIG)&gt;0)*(nNOTA))/SUMPRODUCT((nNIA=A722)*(nCUENTA=1)*(COUNTIF(CONFIG_ASIGNATURAS!$B$7:$B$27,nASIG)&gt;0)*1),"")))</f>
        <v/>
      </c>
      <c r="H722" t="str">
        <f>IF(G722="","",IF(G722="[FÓRMULA MANUAL]","",IFERROR(AVERAGEIFS(nNOTA,nNIA,G722,nCUENTA,1,nASIG,"Lenguaje Musical"),"")))</f>
        <v/>
      </c>
      <c r="I722" t="str">
        <f>IF(G722="","",IF(G722="[FÓRMULA MANUAL]","",IFERROR(AVERAGEIFS(nNOTA,nNIA,G722,nCUENTA,1,nASIG,"Orquesta/Banda/Conjunto"),"")))</f>
        <v/>
      </c>
      <c r="J722" t="str">
        <f>IF(G722="","",IF(G722="[FÓRMULA MANUAL]","",IFERROR(AVERAGEIFS(nNOTA,nNIA,G722,nCUENTA,1,nASIG,"Conjunto"),"")))</f>
        <v/>
      </c>
      <c r="K722" t="str">
        <f>IF(G722="","",IF(G722="[FÓRMULA MANUAL]","",IFERROR(SUMPRODUCT((nNIA=G722)*(nCUENTA=1)*(COUNTIF(CONFIG_ASIGNATURAS!$B$7:$B$27,nASIG)&gt;0)*(nNOTA))/SUMPRODUCT((nNIA=G722)*(nCUENTA=1)*(COUNTIF(CONFIG_ASIGNATURAS!$B$7:$B$27,nASIG)&gt;0)*1),"")))</f>
        <v/>
      </c>
      <c r="N722" t="str">
        <f>IF(M722="","",IF(M722="[FÓRMULA MANUAL]","",IFERROR(AVERAGEIFS(nNOTA,nNIA,M722,nCUENTA,1,nASIG,"Armonía"),"")))</f>
        <v/>
      </c>
      <c r="O722" t="str">
        <f>IF(M722="","",IF(M722="[FÓRMULA MANUAL]","",IFERROR(AVERAGEIFS(nNOTA,nNIA,M722,nCUENTA,1,nASIG,"Orquesta/Banda/Conjunto"),"")))</f>
        <v/>
      </c>
      <c r="P722" t="str">
        <f>IF(M722="","",IF(M722="[FÓRMULA MANUAL]","",IFERROR(AVERAGEIFS(nNOTA,nNIA,M722,nCUENTA,1,nASIG,"Música de Cámara"),"")))</f>
        <v/>
      </c>
      <c r="Q722" t="str">
        <f>IF(M722="","",IF(M722="[FÓRMULA MANUAL]","",IFERROR(SUMPRODUCT((nNIA=M722)*(nCUENTA=1)*(COUNTIF(CONFIG_ASIGNATURAS!$B$7:$B$27,nASIG)&gt;0)*(nNOTA))/SUMPRODUCT((nNIA=M722)*(nCUENTA=1)*(COUNTIF(CONFIG_ASIGNATURAS!$B$7:$B$27,nASIG)&gt;0)*1),"")))</f>
        <v/>
      </c>
      <c r="T722" t="str">
        <f>IF(S722="","",IF(S722="[FÓRMULA MANUAL]","",IFERROR(AVERAGEIFS(nNOTA,nNIA,S722,nCUENTA,1,nASIG,"Armonía"),"")))</f>
        <v/>
      </c>
      <c r="U722" t="str">
        <f>IF(S722="","",IF(S722="[FÓRMULA MANUAL]","",IFERROR(AVERAGEIFS(nNOTA,nNIA,S722,nCUENTA,1,nASIG,"Orquesta/Banda/Conjunto"),"")))</f>
        <v/>
      </c>
      <c r="V722" t="str">
        <f>IF(S722="","",IF(S722="[FÓRMULA MANUAL]","",IFERROR(AVERAGEIFS(nNOTA,nNIA,S722,nCUENTA,1,nASIG,"Música de Cámara"),"")))</f>
        <v/>
      </c>
      <c r="W722" t="str">
        <f>IF(S722="","",IF(S722="[FÓRMULA MANUAL]","",IFERROR(SUMPRODUCT((nNIA=S722)*(nCUENTA=1)*(COUNTIF(CONFIG_ASIGNATURAS!$B$7:$B$27,nASIG)&gt;0)*(nNOTA))/SUMPRODUCT((nNIA=S722)*(nCUENTA=1)*(COUNTIF(CONFIG_ASIGNATURAS!$B$7:$B$27,nASIG)&gt;0)*1),"")))</f>
        <v/>
      </c>
      <c r="Z722" t="str">
        <f>IF(Y722="","",IF(Y722="[FÓRMULA MANUAL]","",IFERROR(AVERAGEIFS(nNOTA,nNIA,Y722,nCUENTA,1,nASIG,"Análisis"),"")))</f>
        <v/>
      </c>
      <c r="AA722" t="str">
        <f>IF(Y722="","",IF(Y722="[FÓRMULA MANUAL]","",IFERROR(AVERAGEIFS(nNOTA,nNIA,Y722,nCUENTA,1,nASIG,"Orquesta/Banda/Conjunto"),"")))</f>
        <v/>
      </c>
      <c r="AB722" t="str">
        <f>IF(Y722="","",IF(Y722="[FÓRMULA MANUAL]","",IFERROR(AVERAGEIFS(nNOTA,nNIA,Y722,nCUENTA,1,nASIG,"Música de Cámara"),"")))</f>
        <v/>
      </c>
      <c r="AC722" t="str">
        <f>IF(Y722="","",IF(Y722="[FÓRMULA MANUAL]","",IFERROR(SUMPRODUCT((nNIA=Y722)*(nCUENTA=1)*(COUNTIF(CONFIG_ASIGNATURAS!$B$7:$B$27,nASIG)&gt;0)*(nNOTA))/SUMPRODUCT((nNIA=Y722)*(nCUENTA=1)*(COUNTIF(CONFIG_ASIGNATURAS!$B$7:$B$27,nASIG)&gt;0)*1),"")))</f>
        <v/>
      </c>
      <c r="AF722" t="str">
        <f>IF(AE722="","",IF(AE722="[FÓRMULA MANUAL]","",IFERROR(AVERAGEIFS(nNOTA,nNIA,AE722,nCUENTA,1,nASIG,"Análisis"),"")))</f>
        <v/>
      </c>
      <c r="AG722" t="str">
        <f>IF(AE722="","",IF(AE722="[FÓRMULA MANUAL]","",IFERROR(AVERAGEIFS(nNOTA,nNIA,AE722,nCUENTA,1,nASIG,"Orquesta/Banda/Conjunto"),"")))</f>
        <v/>
      </c>
      <c r="AH722" t="str">
        <f>IF(AE722="","",IF(AE722="[FÓRMULA MANUAL]","",IFERROR(AVERAGEIFS(nNOTA,nNIA,AE722,nCUENTA,1,nASIG,"Música de Cámara"),"")))</f>
        <v/>
      </c>
      <c r="AI722" t="str">
        <f>IF(AE722="","",IF(AE722="[FÓRMULA MANUAL]","",IFERROR(SUMPRODUCT((nNIA=AE722)*(nCUENTA=1)*(COUNTIF(CONFIG_ASIGNATURAS!$B$7:$B$27,nASIG)&gt;0)*(nNOTA))/SUMPRODUCT((nNIA=AE722)*(nCUENTA=1)*(COUNTIF(CONFIG_ASIGNATURAS!$B$7:$B$27,nASIG)&gt;0)*1),"")))</f>
        <v/>
      </c>
    </row>
    <row r="723" spans="2:35" x14ac:dyDescent="0.2">
      <c r="B723" t="str">
        <f>IF(A723="","",IF(A723="[FÓRMULA MANUAL]","",IFERROR(AVERAGEIFS(nNOTA,nNIA,A723,nCUENTA,1,nASIG,"Lenguaje Musical"),"")))</f>
        <v/>
      </c>
      <c r="C723" t="str">
        <f>IF(A723="","",IF(A723="[FÓRMULA MANUAL]","",IFERROR(AVERAGEIFS(nNOTA,nNIA,A723,nCUENTA,1,nASIG,"Orquesta/Banda/Conjunto"),"")))</f>
        <v/>
      </c>
      <c r="D723" t="str">
        <f>IF(A723="","",IF(A723="[FÓRMULA MANUAL]","",IFERROR(AVERAGEIFS(nNOTA,nNIA,A723,nCUENTA,1,nASIG,"Conjunto"),"")))</f>
        <v/>
      </c>
      <c r="E723" t="str">
        <f>IF(A723="","",IF(A723="[FÓRMULA MANUAL]","",IFERROR(SUMPRODUCT((nNIA=A723)*(nCUENTA=1)*(COUNTIF(CONFIG_ASIGNATURAS!$B$7:$B$27,nASIG)&gt;0)*(nNOTA))/SUMPRODUCT((nNIA=A723)*(nCUENTA=1)*(COUNTIF(CONFIG_ASIGNATURAS!$B$7:$B$27,nASIG)&gt;0)*1),"")))</f>
        <v/>
      </c>
      <c r="H723" t="str">
        <f>IF(G723="","",IF(G723="[FÓRMULA MANUAL]","",IFERROR(AVERAGEIFS(nNOTA,nNIA,G723,nCUENTA,1,nASIG,"Lenguaje Musical"),"")))</f>
        <v/>
      </c>
      <c r="I723" t="str">
        <f>IF(G723="","",IF(G723="[FÓRMULA MANUAL]","",IFERROR(AVERAGEIFS(nNOTA,nNIA,G723,nCUENTA,1,nASIG,"Orquesta/Banda/Conjunto"),"")))</f>
        <v/>
      </c>
      <c r="J723" t="str">
        <f>IF(G723="","",IF(G723="[FÓRMULA MANUAL]","",IFERROR(AVERAGEIFS(nNOTA,nNIA,G723,nCUENTA,1,nASIG,"Conjunto"),"")))</f>
        <v/>
      </c>
      <c r="K723" t="str">
        <f>IF(G723="","",IF(G723="[FÓRMULA MANUAL]","",IFERROR(SUMPRODUCT((nNIA=G723)*(nCUENTA=1)*(COUNTIF(CONFIG_ASIGNATURAS!$B$7:$B$27,nASIG)&gt;0)*(nNOTA))/SUMPRODUCT((nNIA=G723)*(nCUENTA=1)*(COUNTIF(CONFIG_ASIGNATURAS!$B$7:$B$27,nASIG)&gt;0)*1),"")))</f>
        <v/>
      </c>
      <c r="N723" t="str">
        <f>IF(M723="","",IF(M723="[FÓRMULA MANUAL]","",IFERROR(AVERAGEIFS(nNOTA,nNIA,M723,nCUENTA,1,nASIG,"Armonía"),"")))</f>
        <v/>
      </c>
      <c r="O723" t="str">
        <f>IF(M723="","",IF(M723="[FÓRMULA MANUAL]","",IFERROR(AVERAGEIFS(nNOTA,nNIA,M723,nCUENTA,1,nASIG,"Orquesta/Banda/Conjunto"),"")))</f>
        <v/>
      </c>
      <c r="P723" t="str">
        <f>IF(M723="","",IF(M723="[FÓRMULA MANUAL]","",IFERROR(AVERAGEIFS(nNOTA,nNIA,M723,nCUENTA,1,nASIG,"Música de Cámara"),"")))</f>
        <v/>
      </c>
      <c r="Q723" t="str">
        <f>IF(M723="","",IF(M723="[FÓRMULA MANUAL]","",IFERROR(SUMPRODUCT((nNIA=M723)*(nCUENTA=1)*(COUNTIF(CONFIG_ASIGNATURAS!$B$7:$B$27,nASIG)&gt;0)*(nNOTA))/SUMPRODUCT((nNIA=M723)*(nCUENTA=1)*(COUNTIF(CONFIG_ASIGNATURAS!$B$7:$B$27,nASIG)&gt;0)*1),"")))</f>
        <v/>
      </c>
      <c r="T723" t="str">
        <f>IF(S723="","",IF(S723="[FÓRMULA MANUAL]","",IFERROR(AVERAGEIFS(nNOTA,nNIA,S723,nCUENTA,1,nASIG,"Armonía"),"")))</f>
        <v/>
      </c>
      <c r="U723" t="str">
        <f>IF(S723="","",IF(S723="[FÓRMULA MANUAL]","",IFERROR(AVERAGEIFS(nNOTA,nNIA,S723,nCUENTA,1,nASIG,"Orquesta/Banda/Conjunto"),"")))</f>
        <v/>
      </c>
      <c r="V723" t="str">
        <f>IF(S723="","",IF(S723="[FÓRMULA MANUAL]","",IFERROR(AVERAGEIFS(nNOTA,nNIA,S723,nCUENTA,1,nASIG,"Música de Cámara"),"")))</f>
        <v/>
      </c>
      <c r="W723" t="str">
        <f>IF(S723="","",IF(S723="[FÓRMULA MANUAL]","",IFERROR(SUMPRODUCT((nNIA=S723)*(nCUENTA=1)*(COUNTIF(CONFIG_ASIGNATURAS!$B$7:$B$27,nASIG)&gt;0)*(nNOTA))/SUMPRODUCT((nNIA=S723)*(nCUENTA=1)*(COUNTIF(CONFIG_ASIGNATURAS!$B$7:$B$27,nASIG)&gt;0)*1),"")))</f>
        <v/>
      </c>
      <c r="Z723" t="str">
        <f>IF(Y723="","",IF(Y723="[FÓRMULA MANUAL]","",IFERROR(AVERAGEIFS(nNOTA,nNIA,Y723,nCUENTA,1,nASIG,"Análisis"),"")))</f>
        <v/>
      </c>
      <c r="AA723" t="str">
        <f>IF(Y723="","",IF(Y723="[FÓRMULA MANUAL]","",IFERROR(AVERAGEIFS(nNOTA,nNIA,Y723,nCUENTA,1,nASIG,"Orquesta/Banda/Conjunto"),"")))</f>
        <v/>
      </c>
      <c r="AB723" t="str">
        <f>IF(Y723="","",IF(Y723="[FÓRMULA MANUAL]","",IFERROR(AVERAGEIFS(nNOTA,nNIA,Y723,nCUENTA,1,nASIG,"Música de Cámara"),"")))</f>
        <v/>
      </c>
      <c r="AC723" t="str">
        <f>IF(Y723="","",IF(Y723="[FÓRMULA MANUAL]","",IFERROR(SUMPRODUCT((nNIA=Y723)*(nCUENTA=1)*(COUNTIF(CONFIG_ASIGNATURAS!$B$7:$B$27,nASIG)&gt;0)*(nNOTA))/SUMPRODUCT((nNIA=Y723)*(nCUENTA=1)*(COUNTIF(CONFIG_ASIGNATURAS!$B$7:$B$27,nASIG)&gt;0)*1),"")))</f>
        <v/>
      </c>
      <c r="AF723" t="str">
        <f>IF(AE723="","",IF(AE723="[FÓRMULA MANUAL]","",IFERROR(AVERAGEIFS(nNOTA,nNIA,AE723,nCUENTA,1,nASIG,"Análisis"),"")))</f>
        <v/>
      </c>
      <c r="AG723" t="str">
        <f>IF(AE723="","",IF(AE723="[FÓRMULA MANUAL]","",IFERROR(AVERAGEIFS(nNOTA,nNIA,AE723,nCUENTA,1,nASIG,"Orquesta/Banda/Conjunto"),"")))</f>
        <v/>
      </c>
      <c r="AH723" t="str">
        <f>IF(AE723="","",IF(AE723="[FÓRMULA MANUAL]","",IFERROR(AVERAGEIFS(nNOTA,nNIA,AE723,nCUENTA,1,nASIG,"Música de Cámara"),"")))</f>
        <v/>
      </c>
      <c r="AI723" t="str">
        <f>IF(AE723="","",IF(AE723="[FÓRMULA MANUAL]","",IFERROR(SUMPRODUCT((nNIA=AE723)*(nCUENTA=1)*(COUNTIF(CONFIG_ASIGNATURAS!$B$7:$B$27,nASIG)&gt;0)*(nNOTA))/SUMPRODUCT((nNIA=AE723)*(nCUENTA=1)*(COUNTIF(CONFIG_ASIGNATURAS!$B$7:$B$27,nASIG)&gt;0)*1),"")))</f>
        <v/>
      </c>
    </row>
    <row r="724" spans="2:35" x14ac:dyDescent="0.2">
      <c r="B724" t="str">
        <f>IF(A724="","",IF(A724="[FÓRMULA MANUAL]","",IFERROR(AVERAGEIFS(nNOTA,nNIA,A724,nCUENTA,1,nASIG,"Lenguaje Musical"),"")))</f>
        <v/>
      </c>
      <c r="C724" t="str">
        <f>IF(A724="","",IF(A724="[FÓRMULA MANUAL]","",IFERROR(AVERAGEIFS(nNOTA,nNIA,A724,nCUENTA,1,nASIG,"Orquesta/Banda/Conjunto"),"")))</f>
        <v/>
      </c>
      <c r="D724" t="str">
        <f>IF(A724="","",IF(A724="[FÓRMULA MANUAL]","",IFERROR(AVERAGEIFS(nNOTA,nNIA,A724,nCUENTA,1,nASIG,"Conjunto"),"")))</f>
        <v/>
      </c>
      <c r="E724" t="str">
        <f>IF(A724="","",IF(A724="[FÓRMULA MANUAL]","",IFERROR(SUMPRODUCT((nNIA=A724)*(nCUENTA=1)*(COUNTIF(CONFIG_ASIGNATURAS!$B$7:$B$27,nASIG)&gt;0)*(nNOTA))/SUMPRODUCT((nNIA=A724)*(nCUENTA=1)*(COUNTIF(CONFIG_ASIGNATURAS!$B$7:$B$27,nASIG)&gt;0)*1),"")))</f>
        <v/>
      </c>
      <c r="H724" t="str">
        <f>IF(G724="","",IF(G724="[FÓRMULA MANUAL]","",IFERROR(AVERAGEIFS(nNOTA,nNIA,G724,nCUENTA,1,nASIG,"Lenguaje Musical"),"")))</f>
        <v/>
      </c>
      <c r="I724" t="str">
        <f>IF(G724="","",IF(G724="[FÓRMULA MANUAL]","",IFERROR(AVERAGEIFS(nNOTA,nNIA,G724,nCUENTA,1,nASIG,"Orquesta/Banda/Conjunto"),"")))</f>
        <v/>
      </c>
      <c r="J724" t="str">
        <f>IF(G724="","",IF(G724="[FÓRMULA MANUAL]","",IFERROR(AVERAGEIFS(nNOTA,nNIA,G724,nCUENTA,1,nASIG,"Conjunto"),"")))</f>
        <v/>
      </c>
      <c r="K724" t="str">
        <f>IF(G724="","",IF(G724="[FÓRMULA MANUAL]","",IFERROR(SUMPRODUCT((nNIA=G724)*(nCUENTA=1)*(COUNTIF(CONFIG_ASIGNATURAS!$B$7:$B$27,nASIG)&gt;0)*(nNOTA))/SUMPRODUCT((nNIA=G724)*(nCUENTA=1)*(COUNTIF(CONFIG_ASIGNATURAS!$B$7:$B$27,nASIG)&gt;0)*1),"")))</f>
        <v/>
      </c>
      <c r="N724" t="str">
        <f>IF(M724="","",IF(M724="[FÓRMULA MANUAL]","",IFERROR(AVERAGEIFS(nNOTA,nNIA,M724,nCUENTA,1,nASIG,"Armonía"),"")))</f>
        <v/>
      </c>
      <c r="O724" t="str">
        <f>IF(M724="","",IF(M724="[FÓRMULA MANUAL]","",IFERROR(AVERAGEIFS(nNOTA,nNIA,M724,nCUENTA,1,nASIG,"Orquesta/Banda/Conjunto"),"")))</f>
        <v/>
      </c>
      <c r="P724" t="str">
        <f>IF(M724="","",IF(M724="[FÓRMULA MANUAL]","",IFERROR(AVERAGEIFS(nNOTA,nNIA,M724,nCUENTA,1,nASIG,"Música de Cámara"),"")))</f>
        <v/>
      </c>
      <c r="Q724" t="str">
        <f>IF(M724="","",IF(M724="[FÓRMULA MANUAL]","",IFERROR(SUMPRODUCT((nNIA=M724)*(nCUENTA=1)*(COUNTIF(CONFIG_ASIGNATURAS!$B$7:$B$27,nASIG)&gt;0)*(nNOTA))/SUMPRODUCT((nNIA=M724)*(nCUENTA=1)*(COUNTIF(CONFIG_ASIGNATURAS!$B$7:$B$27,nASIG)&gt;0)*1),"")))</f>
        <v/>
      </c>
      <c r="T724" t="str">
        <f>IF(S724="","",IF(S724="[FÓRMULA MANUAL]","",IFERROR(AVERAGEIFS(nNOTA,nNIA,S724,nCUENTA,1,nASIG,"Armonía"),"")))</f>
        <v/>
      </c>
      <c r="U724" t="str">
        <f>IF(S724="","",IF(S724="[FÓRMULA MANUAL]","",IFERROR(AVERAGEIFS(nNOTA,nNIA,S724,nCUENTA,1,nASIG,"Orquesta/Banda/Conjunto"),"")))</f>
        <v/>
      </c>
      <c r="V724" t="str">
        <f>IF(S724="","",IF(S724="[FÓRMULA MANUAL]","",IFERROR(AVERAGEIFS(nNOTA,nNIA,S724,nCUENTA,1,nASIG,"Música de Cámara"),"")))</f>
        <v/>
      </c>
      <c r="W724" t="str">
        <f>IF(S724="","",IF(S724="[FÓRMULA MANUAL]","",IFERROR(SUMPRODUCT((nNIA=S724)*(nCUENTA=1)*(COUNTIF(CONFIG_ASIGNATURAS!$B$7:$B$27,nASIG)&gt;0)*(nNOTA))/SUMPRODUCT((nNIA=S724)*(nCUENTA=1)*(COUNTIF(CONFIG_ASIGNATURAS!$B$7:$B$27,nASIG)&gt;0)*1),"")))</f>
        <v/>
      </c>
      <c r="Z724" t="str">
        <f>IF(Y724="","",IF(Y724="[FÓRMULA MANUAL]","",IFERROR(AVERAGEIFS(nNOTA,nNIA,Y724,nCUENTA,1,nASIG,"Análisis"),"")))</f>
        <v/>
      </c>
      <c r="AA724" t="str">
        <f>IF(Y724="","",IF(Y724="[FÓRMULA MANUAL]","",IFERROR(AVERAGEIFS(nNOTA,nNIA,Y724,nCUENTA,1,nASIG,"Orquesta/Banda/Conjunto"),"")))</f>
        <v/>
      </c>
      <c r="AB724" t="str">
        <f>IF(Y724="","",IF(Y724="[FÓRMULA MANUAL]","",IFERROR(AVERAGEIFS(nNOTA,nNIA,Y724,nCUENTA,1,nASIG,"Música de Cámara"),"")))</f>
        <v/>
      </c>
      <c r="AC724" t="str">
        <f>IF(Y724="","",IF(Y724="[FÓRMULA MANUAL]","",IFERROR(SUMPRODUCT((nNIA=Y724)*(nCUENTA=1)*(COUNTIF(CONFIG_ASIGNATURAS!$B$7:$B$27,nASIG)&gt;0)*(nNOTA))/SUMPRODUCT((nNIA=Y724)*(nCUENTA=1)*(COUNTIF(CONFIG_ASIGNATURAS!$B$7:$B$27,nASIG)&gt;0)*1),"")))</f>
        <v/>
      </c>
      <c r="AF724" t="str">
        <f>IF(AE724="","",IF(AE724="[FÓRMULA MANUAL]","",IFERROR(AVERAGEIFS(nNOTA,nNIA,AE724,nCUENTA,1,nASIG,"Análisis"),"")))</f>
        <v/>
      </c>
      <c r="AG724" t="str">
        <f>IF(AE724="","",IF(AE724="[FÓRMULA MANUAL]","",IFERROR(AVERAGEIFS(nNOTA,nNIA,AE724,nCUENTA,1,nASIG,"Orquesta/Banda/Conjunto"),"")))</f>
        <v/>
      </c>
      <c r="AH724" t="str">
        <f>IF(AE724="","",IF(AE724="[FÓRMULA MANUAL]","",IFERROR(AVERAGEIFS(nNOTA,nNIA,AE724,nCUENTA,1,nASIG,"Música de Cámara"),"")))</f>
        <v/>
      </c>
      <c r="AI724" t="str">
        <f>IF(AE724="","",IF(AE724="[FÓRMULA MANUAL]","",IFERROR(SUMPRODUCT((nNIA=AE724)*(nCUENTA=1)*(COUNTIF(CONFIG_ASIGNATURAS!$B$7:$B$27,nASIG)&gt;0)*(nNOTA))/SUMPRODUCT((nNIA=AE724)*(nCUENTA=1)*(COUNTIF(CONFIG_ASIGNATURAS!$B$7:$B$27,nASIG)&gt;0)*1),"")))</f>
        <v/>
      </c>
    </row>
    <row r="725" spans="2:35" x14ac:dyDescent="0.2">
      <c r="B725" t="str">
        <f>IF(A725="","",IF(A725="[FÓRMULA MANUAL]","",IFERROR(AVERAGEIFS(nNOTA,nNIA,A725,nCUENTA,1,nASIG,"Lenguaje Musical"),"")))</f>
        <v/>
      </c>
      <c r="C725" t="str">
        <f>IF(A725="","",IF(A725="[FÓRMULA MANUAL]","",IFERROR(AVERAGEIFS(nNOTA,nNIA,A725,nCUENTA,1,nASIG,"Orquesta/Banda/Conjunto"),"")))</f>
        <v/>
      </c>
      <c r="D725" t="str">
        <f>IF(A725="","",IF(A725="[FÓRMULA MANUAL]","",IFERROR(AVERAGEIFS(nNOTA,nNIA,A725,nCUENTA,1,nASIG,"Conjunto"),"")))</f>
        <v/>
      </c>
      <c r="E725" t="str">
        <f>IF(A725="","",IF(A725="[FÓRMULA MANUAL]","",IFERROR(SUMPRODUCT((nNIA=A725)*(nCUENTA=1)*(COUNTIF(CONFIG_ASIGNATURAS!$B$7:$B$27,nASIG)&gt;0)*(nNOTA))/SUMPRODUCT((nNIA=A725)*(nCUENTA=1)*(COUNTIF(CONFIG_ASIGNATURAS!$B$7:$B$27,nASIG)&gt;0)*1),"")))</f>
        <v/>
      </c>
      <c r="H725" t="str">
        <f>IF(G725="","",IF(G725="[FÓRMULA MANUAL]","",IFERROR(AVERAGEIFS(nNOTA,nNIA,G725,nCUENTA,1,nASIG,"Lenguaje Musical"),"")))</f>
        <v/>
      </c>
      <c r="I725" t="str">
        <f>IF(G725="","",IF(G725="[FÓRMULA MANUAL]","",IFERROR(AVERAGEIFS(nNOTA,nNIA,G725,nCUENTA,1,nASIG,"Orquesta/Banda/Conjunto"),"")))</f>
        <v/>
      </c>
      <c r="J725" t="str">
        <f>IF(G725="","",IF(G725="[FÓRMULA MANUAL]","",IFERROR(AVERAGEIFS(nNOTA,nNIA,G725,nCUENTA,1,nASIG,"Conjunto"),"")))</f>
        <v/>
      </c>
      <c r="K725" t="str">
        <f>IF(G725="","",IF(G725="[FÓRMULA MANUAL]","",IFERROR(SUMPRODUCT((nNIA=G725)*(nCUENTA=1)*(COUNTIF(CONFIG_ASIGNATURAS!$B$7:$B$27,nASIG)&gt;0)*(nNOTA))/SUMPRODUCT((nNIA=G725)*(nCUENTA=1)*(COUNTIF(CONFIG_ASIGNATURAS!$B$7:$B$27,nASIG)&gt;0)*1),"")))</f>
        <v/>
      </c>
      <c r="N725" t="str">
        <f>IF(M725="","",IF(M725="[FÓRMULA MANUAL]","",IFERROR(AVERAGEIFS(nNOTA,nNIA,M725,nCUENTA,1,nASIG,"Armonía"),"")))</f>
        <v/>
      </c>
      <c r="O725" t="str">
        <f>IF(M725="","",IF(M725="[FÓRMULA MANUAL]","",IFERROR(AVERAGEIFS(nNOTA,nNIA,M725,nCUENTA,1,nASIG,"Orquesta/Banda/Conjunto"),"")))</f>
        <v/>
      </c>
      <c r="P725" t="str">
        <f>IF(M725="","",IF(M725="[FÓRMULA MANUAL]","",IFERROR(AVERAGEIFS(nNOTA,nNIA,M725,nCUENTA,1,nASIG,"Música de Cámara"),"")))</f>
        <v/>
      </c>
      <c r="Q725" t="str">
        <f>IF(M725="","",IF(M725="[FÓRMULA MANUAL]","",IFERROR(SUMPRODUCT((nNIA=M725)*(nCUENTA=1)*(COUNTIF(CONFIG_ASIGNATURAS!$B$7:$B$27,nASIG)&gt;0)*(nNOTA))/SUMPRODUCT((nNIA=M725)*(nCUENTA=1)*(COUNTIF(CONFIG_ASIGNATURAS!$B$7:$B$27,nASIG)&gt;0)*1),"")))</f>
        <v/>
      </c>
      <c r="T725" t="str">
        <f>IF(S725="","",IF(S725="[FÓRMULA MANUAL]","",IFERROR(AVERAGEIFS(nNOTA,nNIA,S725,nCUENTA,1,nASIG,"Armonía"),"")))</f>
        <v/>
      </c>
      <c r="U725" t="str">
        <f>IF(S725="","",IF(S725="[FÓRMULA MANUAL]","",IFERROR(AVERAGEIFS(nNOTA,nNIA,S725,nCUENTA,1,nASIG,"Orquesta/Banda/Conjunto"),"")))</f>
        <v/>
      </c>
      <c r="V725" t="str">
        <f>IF(S725="","",IF(S725="[FÓRMULA MANUAL]","",IFERROR(AVERAGEIFS(nNOTA,nNIA,S725,nCUENTA,1,nASIG,"Música de Cámara"),"")))</f>
        <v/>
      </c>
      <c r="W725" t="str">
        <f>IF(S725="","",IF(S725="[FÓRMULA MANUAL]","",IFERROR(SUMPRODUCT((nNIA=S725)*(nCUENTA=1)*(COUNTIF(CONFIG_ASIGNATURAS!$B$7:$B$27,nASIG)&gt;0)*(nNOTA))/SUMPRODUCT((nNIA=S725)*(nCUENTA=1)*(COUNTIF(CONFIG_ASIGNATURAS!$B$7:$B$27,nASIG)&gt;0)*1),"")))</f>
        <v/>
      </c>
      <c r="Z725" t="str">
        <f>IF(Y725="","",IF(Y725="[FÓRMULA MANUAL]","",IFERROR(AVERAGEIFS(nNOTA,nNIA,Y725,nCUENTA,1,nASIG,"Análisis"),"")))</f>
        <v/>
      </c>
      <c r="AA725" t="str">
        <f>IF(Y725="","",IF(Y725="[FÓRMULA MANUAL]","",IFERROR(AVERAGEIFS(nNOTA,nNIA,Y725,nCUENTA,1,nASIG,"Orquesta/Banda/Conjunto"),"")))</f>
        <v/>
      </c>
      <c r="AB725" t="str">
        <f>IF(Y725="","",IF(Y725="[FÓRMULA MANUAL]","",IFERROR(AVERAGEIFS(nNOTA,nNIA,Y725,nCUENTA,1,nASIG,"Música de Cámara"),"")))</f>
        <v/>
      </c>
      <c r="AC725" t="str">
        <f>IF(Y725="","",IF(Y725="[FÓRMULA MANUAL]","",IFERROR(SUMPRODUCT((nNIA=Y725)*(nCUENTA=1)*(COUNTIF(CONFIG_ASIGNATURAS!$B$7:$B$27,nASIG)&gt;0)*(nNOTA))/SUMPRODUCT((nNIA=Y725)*(nCUENTA=1)*(COUNTIF(CONFIG_ASIGNATURAS!$B$7:$B$27,nASIG)&gt;0)*1),"")))</f>
        <v/>
      </c>
      <c r="AF725" t="str">
        <f>IF(AE725="","",IF(AE725="[FÓRMULA MANUAL]","",IFERROR(AVERAGEIFS(nNOTA,nNIA,AE725,nCUENTA,1,nASIG,"Análisis"),"")))</f>
        <v/>
      </c>
      <c r="AG725" t="str">
        <f>IF(AE725="","",IF(AE725="[FÓRMULA MANUAL]","",IFERROR(AVERAGEIFS(nNOTA,nNIA,AE725,nCUENTA,1,nASIG,"Orquesta/Banda/Conjunto"),"")))</f>
        <v/>
      </c>
      <c r="AH725" t="str">
        <f>IF(AE725="","",IF(AE725="[FÓRMULA MANUAL]","",IFERROR(AVERAGEIFS(nNOTA,nNIA,AE725,nCUENTA,1,nASIG,"Música de Cámara"),"")))</f>
        <v/>
      </c>
      <c r="AI725" t="str">
        <f>IF(AE725="","",IF(AE725="[FÓRMULA MANUAL]","",IFERROR(SUMPRODUCT((nNIA=AE725)*(nCUENTA=1)*(COUNTIF(CONFIG_ASIGNATURAS!$B$7:$B$27,nASIG)&gt;0)*(nNOTA))/SUMPRODUCT((nNIA=AE725)*(nCUENTA=1)*(COUNTIF(CONFIG_ASIGNATURAS!$B$7:$B$27,nASIG)&gt;0)*1),"")))</f>
        <v/>
      </c>
    </row>
    <row r="726" spans="2:35" x14ac:dyDescent="0.2">
      <c r="B726" t="str">
        <f>IF(A726="","",IF(A726="[FÓRMULA MANUAL]","",IFERROR(AVERAGEIFS(nNOTA,nNIA,A726,nCUENTA,1,nASIG,"Lenguaje Musical"),"")))</f>
        <v/>
      </c>
      <c r="C726" t="str">
        <f>IF(A726="","",IF(A726="[FÓRMULA MANUAL]","",IFERROR(AVERAGEIFS(nNOTA,nNIA,A726,nCUENTA,1,nASIG,"Orquesta/Banda/Conjunto"),"")))</f>
        <v/>
      </c>
      <c r="D726" t="str">
        <f>IF(A726="","",IF(A726="[FÓRMULA MANUAL]","",IFERROR(AVERAGEIFS(nNOTA,nNIA,A726,nCUENTA,1,nASIG,"Conjunto"),"")))</f>
        <v/>
      </c>
      <c r="E726" t="str">
        <f>IF(A726="","",IF(A726="[FÓRMULA MANUAL]","",IFERROR(SUMPRODUCT((nNIA=A726)*(nCUENTA=1)*(COUNTIF(CONFIG_ASIGNATURAS!$B$7:$B$27,nASIG)&gt;0)*(nNOTA))/SUMPRODUCT((nNIA=A726)*(nCUENTA=1)*(COUNTIF(CONFIG_ASIGNATURAS!$B$7:$B$27,nASIG)&gt;0)*1),"")))</f>
        <v/>
      </c>
      <c r="H726" t="str">
        <f>IF(G726="","",IF(G726="[FÓRMULA MANUAL]","",IFERROR(AVERAGEIFS(nNOTA,nNIA,G726,nCUENTA,1,nASIG,"Lenguaje Musical"),"")))</f>
        <v/>
      </c>
      <c r="I726" t="str">
        <f>IF(G726="","",IF(G726="[FÓRMULA MANUAL]","",IFERROR(AVERAGEIFS(nNOTA,nNIA,G726,nCUENTA,1,nASIG,"Orquesta/Banda/Conjunto"),"")))</f>
        <v/>
      </c>
      <c r="J726" t="str">
        <f>IF(G726="","",IF(G726="[FÓRMULA MANUAL]","",IFERROR(AVERAGEIFS(nNOTA,nNIA,G726,nCUENTA,1,nASIG,"Conjunto"),"")))</f>
        <v/>
      </c>
      <c r="K726" t="str">
        <f>IF(G726="","",IF(G726="[FÓRMULA MANUAL]","",IFERROR(SUMPRODUCT((nNIA=G726)*(nCUENTA=1)*(COUNTIF(CONFIG_ASIGNATURAS!$B$7:$B$27,nASIG)&gt;0)*(nNOTA))/SUMPRODUCT((nNIA=G726)*(nCUENTA=1)*(COUNTIF(CONFIG_ASIGNATURAS!$B$7:$B$27,nASIG)&gt;0)*1),"")))</f>
        <v/>
      </c>
      <c r="N726" t="str">
        <f>IF(M726="","",IF(M726="[FÓRMULA MANUAL]","",IFERROR(AVERAGEIFS(nNOTA,nNIA,M726,nCUENTA,1,nASIG,"Armonía"),"")))</f>
        <v/>
      </c>
      <c r="O726" t="str">
        <f>IF(M726="","",IF(M726="[FÓRMULA MANUAL]","",IFERROR(AVERAGEIFS(nNOTA,nNIA,M726,nCUENTA,1,nASIG,"Orquesta/Banda/Conjunto"),"")))</f>
        <v/>
      </c>
      <c r="P726" t="str">
        <f>IF(M726="","",IF(M726="[FÓRMULA MANUAL]","",IFERROR(AVERAGEIFS(nNOTA,nNIA,M726,nCUENTA,1,nASIG,"Música de Cámara"),"")))</f>
        <v/>
      </c>
      <c r="Q726" t="str">
        <f>IF(M726="","",IF(M726="[FÓRMULA MANUAL]","",IFERROR(SUMPRODUCT((nNIA=M726)*(nCUENTA=1)*(COUNTIF(CONFIG_ASIGNATURAS!$B$7:$B$27,nASIG)&gt;0)*(nNOTA))/SUMPRODUCT((nNIA=M726)*(nCUENTA=1)*(COUNTIF(CONFIG_ASIGNATURAS!$B$7:$B$27,nASIG)&gt;0)*1),"")))</f>
        <v/>
      </c>
      <c r="T726" t="str">
        <f>IF(S726="","",IF(S726="[FÓRMULA MANUAL]","",IFERROR(AVERAGEIFS(nNOTA,nNIA,S726,nCUENTA,1,nASIG,"Armonía"),"")))</f>
        <v/>
      </c>
      <c r="U726" t="str">
        <f>IF(S726="","",IF(S726="[FÓRMULA MANUAL]","",IFERROR(AVERAGEIFS(nNOTA,nNIA,S726,nCUENTA,1,nASIG,"Orquesta/Banda/Conjunto"),"")))</f>
        <v/>
      </c>
      <c r="V726" t="str">
        <f>IF(S726="","",IF(S726="[FÓRMULA MANUAL]","",IFERROR(AVERAGEIFS(nNOTA,nNIA,S726,nCUENTA,1,nASIG,"Música de Cámara"),"")))</f>
        <v/>
      </c>
      <c r="W726" t="str">
        <f>IF(S726="","",IF(S726="[FÓRMULA MANUAL]","",IFERROR(SUMPRODUCT((nNIA=S726)*(nCUENTA=1)*(COUNTIF(CONFIG_ASIGNATURAS!$B$7:$B$27,nASIG)&gt;0)*(nNOTA))/SUMPRODUCT((nNIA=S726)*(nCUENTA=1)*(COUNTIF(CONFIG_ASIGNATURAS!$B$7:$B$27,nASIG)&gt;0)*1),"")))</f>
        <v/>
      </c>
      <c r="Z726" t="str">
        <f>IF(Y726="","",IF(Y726="[FÓRMULA MANUAL]","",IFERROR(AVERAGEIFS(nNOTA,nNIA,Y726,nCUENTA,1,nASIG,"Análisis"),"")))</f>
        <v/>
      </c>
      <c r="AA726" t="str">
        <f>IF(Y726="","",IF(Y726="[FÓRMULA MANUAL]","",IFERROR(AVERAGEIFS(nNOTA,nNIA,Y726,nCUENTA,1,nASIG,"Orquesta/Banda/Conjunto"),"")))</f>
        <v/>
      </c>
      <c r="AB726" t="str">
        <f>IF(Y726="","",IF(Y726="[FÓRMULA MANUAL]","",IFERROR(AVERAGEIFS(nNOTA,nNIA,Y726,nCUENTA,1,nASIG,"Música de Cámara"),"")))</f>
        <v/>
      </c>
      <c r="AC726" t="str">
        <f>IF(Y726="","",IF(Y726="[FÓRMULA MANUAL]","",IFERROR(SUMPRODUCT((nNIA=Y726)*(nCUENTA=1)*(COUNTIF(CONFIG_ASIGNATURAS!$B$7:$B$27,nASIG)&gt;0)*(nNOTA))/SUMPRODUCT((nNIA=Y726)*(nCUENTA=1)*(COUNTIF(CONFIG_ASIGNATURAS!$B$7:$B$27,nASIG)&gt;0)*1),"")))</f>
        <v/>
      </c>
      <c r="AF726" t="str">
        <f>IF(AE726="","",IF(AE726="[FÓRMULA MANUAL]","",IFERROR(AVERAGEIFS(nNOTA,nNIA,AE726,nCUENTA,1,nASIG,"Análisis"),"")))</f>
        <v/>
      </c>
      <c r="AG726" t="str">
        <f>IF(AE726="","",IF(AE726="[FÓRMULA MANUAL]","",IFERROR(AVERAGEIFS(nNOTA,nNIA,AE726,nCUENTA,1,nASIG,"Orquesta/Banda/Conjunto"),"")))</f>
        <v/>
      </c>
      <c r="AH726" t="str">
        <f>IF(AE726="","",IF(AE726="[FÓRMULA MANUAL]","",IFERROR(AVERAGEIFS(nNOTA,nNIA,AE726,nCUENTA,1,nASIG,"Música de Cámara"),"")))</f>
        <v/>
      </c>
      <c r="AI726" t="str">
        <f>IF(AE726="","",IF(AE726="[FÓRMULA MANUAL]","",IFERROR(SUMPRODUCT((nNIA=AE726)*(nCUENTA=1)*(COUNTIF(CONFIG_ASIGNATURAS!$B$7:$B$27,nASIG)&gt;0)*(nNOTA))/SUMPRODUCT((nNIA=AE726)*(nCUENTA=1)*(COUNTIF(CONFIG_ASIGNATURAS!$B$7:$B$27,nASIG)&gt;0)*1),"")))</f>
        <v/>
      </c>
    </row>
    <row r="727" spans="2:35" x14ac:dyDescent="0.2">
      <c r="B727" t="str">
        <f>IF(A727="","",IF(A727="[FÓRMULA MANUAL]","",IFERROR(AVERAGEIFS(nNOTA,nNIA,A727,nCUENTA,1,nASIG,"Lenguaje Musical"),"")))</f>
        <v/>
      </c>
      <c r="C727" t="str">
        <f>IF(A727="","",IF(A727="[FÓRMULA MANUAL]","",IFERROR(AVERAGEIFS(nNOTA,nNIA,A727,nCUENTA,1,nASIG,"Orquesta/Banda/Conjunto"),"")))</f>
        <v/>
      </c>
      <c r="D727" t="str">
        <f>IF(A727="","",IF(A727="[FÓRMULA MANUAL]","",IFERROR(AVERAGEIFS(nNOTA,nNIA,A727,nCUENTA,1,nASIG,"Conjunto"),"")))</f>
        <v/>
      </c>
      <c r="E727" t="str">
        <f>IF(A727="","",IF(A727="[FÓRMULA MANUAL]","",IFERROR(SUMPRODUCT((nNIA=A727)*(nCUENTA=1)*(COUNTIF(CONFIG_ASIGNATURAS!$B$7:$B$27,nASIG)&gt;0)*(nNOTA))/SUMPRODUCT((nNIA=A727)*(nCUENTA=1)*(COUNTIF(CONFIG_ASIGNATURAS!$B$7:$B$27,nASIG)&gt;0)*1),"")))</f>
        <v/>
      </c>
      <c r="H727" t="str">
        <f>IF(G727="","",IF(G727="[FÓRMULA MANUAL]","",IFERROR(AVERAGEIFS(nNOTA,nNIA,G727,nCUENTA,1,nASIG,"Lenguaje Musical"),"")))</f>
        <v/>
      </c>
      <c r="I727" t="str">
        <f>IF(G727="","",IF(G727="[FÓRMULA MANUAL]","",IFERROR(AVERAGEIFS(nNOTA,nNIA,G727,nCUENTA,1,nASIG,"Orquesta/Banda/Conjunto"),"")))</f>
        <v/>
      </c>
      <c r="J727" t="str">
        <f>IF(G727="","",IF(G727="[FÓRMULA MANUAL]","",IFERROR(AVERAGEIFS(nNOTA,nNIA,G727,nCUENTA,1,nASIG,"Conjunto"),"")))</f>
        <v/>
      </c>
      <c r="K727" t="str">
        <f>IF(G727="","",IF(G727="[FÓRMULA MANUAL]","",IFERROR(SUMPRODUCT((nNIA=G727)*(nCUENTA=1)*(COUNTIF(CONFIG_ASIGNATURAS!$B$7:$B$27,nASIG)&gt;0)*(nNOTA))/SUMPRODUCT((nNIA=G727)*(nCUENTA=1)*(COUNTIF(CONFIG_ASIGNATURAS!$B$7:$B$27,nASIG)&gt;0)*1),"")))</f>
        <v/>
      </c>
      <c r="N727" t="str">
        <f>IF(M727="","",IF(M727="[FÓRMULA MANUAL]","",IFERROR(AVERAGEIFS(nNOTA,nNIA,M727,nCUENTA,1,nASIG,"Armonía"),"")))</f>
        <v/>
      </c>
      <c r="O727" t="str">
        <f>IF(M727="","",IF(M727="[FÓRMULA MANUAL]","",IFERROR(AVERAGEIFS(nNOTA,nNIA,M727,nCUENTA,1,nASIG,"Orquesta/Banda/Conjunto"),"")))</f>
        <v/>
      </c>
      <c r="P727" t="str">
        <f>IF(M727="","",IF(M727="[FÓRMULA MANUAL]","",IFERROR(AVERAGEIFS(nNOTA,nNIA,M727,nCUENTA,1,nASIG,"Música de Cámara"),"")))</f>
        <v/>
      </c>
      <c r="Q727" t="str">
        <f>IF(M727="","",IF(M727="[FÓRMULA MANUAL]","",IFERROR(SUMPRODUCT((nNIA=M727)*(nCUENTA=1)*(COUNTIF(CONFIG_ASIGNATURAS!$B$7:$B$27,nASIG)&gt;0)*(nNOTA))/SUMPRODUCT((nNIA=M727)*(nCUENTA=1)*(COUNTIF(CONFIG_ASIGNATURAS!$B$7:$B$27,nASIG)&gt;0)*1),"")))</f>
        <v/>
      </c>
      <c r="T727" t="str">
        <f>IF(S727="","",IF(S727="[FÓRMULA MANUAL]","",IFERROR(AVERAGEIFS(nNOTA,nNIA,S727,nCUENTA,1,nASIG,"Armonía"),"")))</f>
        <v/>
      </c>
      <c r="U727" t="str">
        <f>IF(S727="","",IF(S727="[FÓRMULA MANUAL]","",IFERROR(AVERAGEIFS(nNOTA,nNIA,S727,nCUENTA,1,nASIG,"Orquesta/Banda/Conjunto"),"")))</f>
        <v/>
      </c>
      <c r="V727" t="str">
        <f>IF(S727="","",IF(S727="[FÓRMULA MANUAL]","",IFERROR(AVERAGEIFS(nNOTA,nNIA,S727,nCUENTA,1,nASIG,"Música de Cámara"),"")))</f>
        <v/>
      </c>
      <c r="W727" t="str">
        <f>IF(S727="","",IF(S727="[FÓRMULA MANUAL]","",IFERROR(SUMPRODUCT((nNIA=S727)*(nCUENTA=1)*(COUNTIF(CONFIG_ASIGNATURAS!$B$7:$B$27,nASIG)&gt;0)*(nNOTA))/SUMPRODUCT((nNIA=S727)*(nCUENTA=1)*(COUNTIF(CONFIG_ASIGNATURAS!$B$7:$B$27,nASIG)&gt;0)*1),"")))</f>
        <v/>
      </c>
      <c r="Z727" t="str">
        <f>IF(Y727="","",IF(Y727="[FÓRMULA MANUAL]","",IFERROR(AVERAGEIFS(nNOTA,nNIA,Y727,nCUENTA,1,nASIG,"Análisis"),"")))</f>
        <v/>
      </c>
      <c r="AA727" t="str">
        <f>IF(Y727="","",IF(Y727="[FÓRMULA MANUAL]","",IFERROR(AVERAGEIFS(nNOTA,nNIA,Y727,nCUENTA,1,nASIG,"Orquesta/Banda/Conjunto"),"")))</f>
        <v/>
      </c>
      <c r="AB727" t="str">
        <f>IF(Y727="","",IF(Y727="[FÓRMULA MANUAL]","",IFERROR(AVERAGEIFS(nNOTA,nNIA,Y727,nCUENTA,1,nASIG,"Música de Cámara"),"")))</f>
        <v/>
      </c>
      <c r="AC727" t="str">
        <f>IF(Y727="","",IF(Y727="[FÓRMULA MANUAL]","",IFERROR(SUMPRODUCT((nNIA=Y727)*(nCUENTA=1)*(COUNTIF(CONFIG_ASIGNATURAS!$B$7:$B$27,nASIG)&gt;0)*(nNOTA))/SUMPRODUCT((nNIA=Y727)*(nCUENTA=1)*(COUNTIF(CONFIG_ASIGNATURAS!$B$7:$B$27,nASIG)&gt;0)*1),"")))</f>
        <v/>
      </c>
      <c r="AF727" t="str">
        <f>IF(AE727="","",IF(AE727="[FÓRMULA MANUAL]","",IFERROR(AVERAGEIFS(nNOTA,nNIA,AE727,nCUENTA,1,nASIG,"Análisis"),"")))</f>
        <v/>
      </c>
      <c r="AG727" t="str">
        <f>IF(AE727="","",IF(AE727="[FÓRMULA MANUAL]","",IFERROR(AVERAGEIFS(nNOTA,nNIA,AE727,nCUENTA,1,nASIG,"Orquesta/Banda/Conjunto"),"")))</f>
        <v/>
      </c>
      <c r="AH727" t="str">
        <f>IF(AE727="","",IF(AE727="[FÓRMULA MANUAL]","",IFERROR(AVERAGEIFS(nNOTA,nNIA,AE727,nCUENTA,1,nASIG,"Música de Cámara"),"")))</f>
        <v/>
      </c>
      <c r="AI727" t="str">
        <f>IF(AE727="","",IF(AE727="[FÓRMULA MANUAL]","",IFERROR(SUMPRODUCT((nNIA=AE727)*(nCUENTA=1)*(COUNTIF(CONFIG_ASIGNATURAS!$B$7:$B$27,nASIG)&gt;0)*(nNOTA))/SUMPRODUCT((nNIA=AE727)*(nCUENTA=1)*(COUNTIF(CONFIG_ASIGNATURAS!$B$7:$B$27,nASIG)&gt;0)*1),"")))</f>
        <v/>
      </c>
    </row>
    <row r="728" spans="2:35" x14ac:dyDescent="0.2">
      <c r="B728" t="str">
        <f>IF(A728="","",IF(A728="[FÓRMULA MANUAL]","",IFERROR(AVERAGEIFS(nNOTA,nNIA,A728,nCUENTA,1,nASIG,"Lenguaje Musical"),"")))</f>
        <v/>
      </c>
      <c r="C728" t="str">
        <f>IF(A728="","",IF(A728="[FÓRMULA MANUAL]","",IFERROR(AVERAGEIFS(nNOTA,nNIA,A728,nCUENTA,1,nASIG,"Orquesta/Banda/Conjunto"),"")))</f>
        <v/>
      </c>
      <c r="D728" t="str">
        <f>IF(A728="","",IF(A728="[FÓRMULA MANUAL]","",IFERROR(AVERAGEIFS(nNOTA,nNIA,A728,nCUENTA,1,nASIG,"Conjunto"),"")))</f>
        <v/>
      </c>
      <c r="E728" t="str">
        <f>IF(A728="","",IF(A728="[FÓRMULA MANUAL]","",IFERROR(SUMPRODUCT((nNIA=A728)*(nCUENTA=1)*(COUNTIF(CONFIG_ASIGNATURAS!$B$7:$B$27,nASIG)&gt;0)*(nNOTA))/SUMPRODUCT((nNIA=A728)*(nCUENTA=1)*(COUNTIF(CONFIG_ASIGNATURAS!$B$7:$B$27,nASIG)&gt;0)*1),"")))</f>
        <v/>
      </c>
      <c r="H728" t="str">
        <f>IF(G728="","",IF(G728="[FÓRMULA MANUAL]","",IFERROR(AVERAGEIFS(nNOTA,nNIA,G728,nCUENTA,1,nASIG,"Lenguaje Musical"),"")))</f>
        <v/>
      </c>
      <c r="I728" t="str">
        <f>IF(G728="","",IF(G728="[FÓRMULA MANUAL]","",IFERROR(AVERAGEIFS(nNOTA,nNIA,G728,nCUENTA,1,nASIG,"Orquesta/Banda/Conjunto"),"")))</f>
        <v/>
      </c>
      <c r="J728" t="str">
        <f>IF(G728="","",IF(G728="[FÓRMULA MANUAL]","",IFERROR(AVERAGEIFS(nNOTA,nNIA,G728,nCUENTA,1,nASIG,"Conjunto"),"")))</f>
        <v/>
      </c>
      <c r="K728" t="str">
        <f>IF(G728="","",IF(G728="[FÓRMULA MANUAL]","",IFERROR(SUMPRODUCT((nNIA=G728)*(nCUENTA=1)*(COUNTIF(CONFIG_ASIGNATURAS!$B$7:$B$27,nASIG)&gt;0)*(nNOTA))/SUMPRODUCT((nNIA=G728)*(nCUENTA=1)*(COUNTIF(CONFIG_ASIGNATURAS!$B$7:$B$27,nASIG)&gt;0)*1),"")))</f>
        <v/>
      </c>
      <c r="N728" t="str">
        <f>IF(M728="","",IF(M728="[FÓRMULA MANUAL]","",IFERROR(AVERAGEIFS(nNOTA,nNIA,M728,nCUENTA,1,nASIG,"Armonía"),"")))</f>
        <v/>
      </c>
      <c r="O728" t="str">
        <f>IF(M728="","",IF(M728="[FÓRMULA MANUAL]","",IFERROR(AVERAGEIFS(nNOTA,nNIA,M728,nCUENTA,1,nASIG,"Orquesta/Banda/Conjunto"),"")))</f>
        <v/>
      </c>
      <c r="P728" t="str">
        <f>IF(M728="","",IF(M728="[FÓRMULA MANUAL]","",IFERROR(AVERAGEIFS(nNOTA,nNIA,M728,nCUENTA,1,nASIG,"Música de Cámara"),"")))</f>
        <v/>
      </c>
      <c r="Q728" t="str">
        <f>IF(M728="","",IF(M728="[FÓRMULA MANUAL]","",IFERROR(SUMPRODUCT((nNIA=M728)*(nCUENTA=1)*(COUNTIF(CONFIG_ASIGNATURAS!$B$7:$B$27,nASIG)&gt;0)*(nNOTA))/SUMPRODUCT((nNIA=M728)*(nCUENTA=1)*(COUNTIF(CONFIG_ASIGNATURAS!$B$7:$B$27,nASIG)&gt;0)*1),"")))</f>
        <v/>
      </c>
      <c r="T728" t="str">
        <f>IF(S728="","",IF(S728="[FÓRMULA MANUAL]","",IFERROR(AVERAGEIFS(nNOTA,nNIA,S728,nCUENTA,1,nASIG,"Armonía"),"")))</f>
        <v/>
      </c>
      <c r="U728" t="str">
        <f>IF(S728="","",IF(S728="[FÓRMULA MANUAL]","",IFERROR(AVERAGEIFS(nNOTA,nNIA,S728,nCUENTA,1,nASIG,"Orquesta/Banda/Conjunto"),"")))</f>
        <v/>
      </c>
      <c r="V728" t="str">
        <f>IF(S728="","",IF(S728="[FÓRMULA MANUAL]","",IFERROR(AVERAGEIFS(nNOTA,nNIA,S728,nCUENTA,1,nASIG,"Música de Cámara"),"")))</f>
        <v/>
      </c>
      <c r="W728" t="str">
        <f>IF(S728="","",IF(S728="[FÓRMULA MANUAL]","",IFERROR(SUMPRODUCT((nNIA=S728)*(nCUENTA=1)*(COUNTIF(CONFIG_ASIGNATURAS!$B$7:$B$27,nASIG)&gt;0)*(nNOTA))/SUMPRODUCT((nNIA=S728)*(nCUENTA=1)*(COUNTIF(CONFIG_ASIGNATURAS!$B$7:$B$27,nASIG)&gt;0)*1),"")))</f>
        <v/>
      </c>
      <c r="Z728" t="str">
        <f>IF(Y728="","",IF(Y728="[FÓRMULA MANUAL]","",IFERROR(AVERAGEIFS(nNOTA,nNIA,Y728,nCUENTA,1,nASIG,"Análisis"),"")))</f>
        <v/>
      </c>
      <c r="AA728" t="str">
        <f>IF(Y728="","",IF(Y728="[FÓRMULA MANUAL]","",IFERROR(AVERAGEIFS(nNOTA,nNIA,Y728,nCUENTA,1,nASIG,"Orquesta/Banda/Conjunto"),"")))</f>
        <v/>
      </c>
      <c r="AB728" t="str">
        <f>IF(Y728="","",IF(Y728="[FÓRMULA MANUAL]","",IFERROR(AVERAGEIFS(nNOTA,nNIA,Y728,nCUENTA,1,nASIG,"Música de Cámara"),"")))</f>
        <v/>
      </c>
      <c r="AC728" t="str">
        <f>IF(Y728="","",IF(Y728="[FÓRMULA MANUAL]","",IFERROR(SUMPRODUCT((nNIA=Y728)*(nCUENTA=1)*(COUNTIF(CONFIG_ASIGNATURAS!$B$7:$B$27,nASIG)&gt;0)*(nNOTA))/SUMPRODUCT((nNIA=Y728)*(nCUENTA=1)*(COUNTIF(CONFIG_ASIGNATURAS!$B$7:$B$27,nASIG)&gt;0)*1),"")))</f>
        <v/>
      </c>
      <c r="AF728" t="str">
        <f>IF(AE728="","",IF(AE728="[FÓRMULA MANUAL]","",IFERROR(AVERAGEIFS(nNOTA,nNIA,AE728,nCUENTA,1,nASIG,"Análisis"),"")))</f>
        <v/>
      </c>
      <c r="AG728" t="str">
        <f>IF(AE728="","",IF(AE728="[FÓRMULA MANUAL]","",IFERROR(AVERAGEIFS(nNOTA,nNIA,AE728,nCUENTA,1,nASIG,"Orquesta/Banda/Conjunto"),"")))</f>
        <v/>
      </c>
      <c r="AH728" t="str">
        <f>IF(AE728="","",IF(AE728="[FÓRMULA MANUAL]","",IFERROR(AVERAGEIFS(nNOTA,nNIA,AE728,nCUENTA,1,nASIG,"Música de Cámara"),"")))</f>
        <v/>
      </c>
      <c r="AI728" t="str">
        <f>IF(AE728="","",IF(AE728="[FÓRMULA MANUAL]","",IFERROR(SUMPRODUCT((nNIA=AE728)*(nCUENTA=1)*(COUNTIF(CONFIG_ASIGNATURAS!$B$7:$B$27,nASIG)&gt;0)*(nNOTA))/SUMPRODUCT((nNIA=AE728)*(nCUENTA=1)*(COUNTIF(CONFIG_ASIGNATURAS!$B$7:$B$27,nASIG)&gt;0)*1),"")))</f>
        <v/>
      </c>
    </row>
    <row r="729" spans="2:35" x14ac:dyDescent="0.2">
      <c r="B729" t="str">
        <f>IF(A729="","",IF(A729="[FÓRMULA MANUAL]","",IFERROR(AVERAGEIFS(nNOTA,nNIA,A729,nCUENTA,1,nASIG,"Lenguaje Musical"),"")))</f>
        <v/>
      </c>
      <c r="C729" t="str">
        <f>IF(A729="","",IF(A729="[FÓRMULA MANUAL]","",IFERROR(AVERAGEIFS(nNOTA,nNIA,A729,nCUENTA,1,nASIG,"Orquesta/Banda/Conjunto"),"")))</f>
        <v/>
      </c>
      <c r="D729" t="str">
        <f>IF(A729="","",IF(A729="[FÓRMULA MANUAL]","",IFERROR(AVERAGEIFS(nNOTA,nNIA,A729,nCUENTA,1,nASIG,"Conjunto"),"")))</f>
        <v/>
      </c>
      <c r="E729" t="str">
        <f>IF(A729="","",IF(A729="[FÓRMULA MANUAL]","",IFERROR(SUMPRODUCT((nNIA=A729)*(nCUENTA=1)*(COUNTIF(CONFIG_ASIGNATURAS!$B$7:$B$27,nASIG)&gt;0)*(nNOTA))/SUMPRODUCT((nNIA=A729)*(nCUENTA=1)*(COUNTIF(CONFIG_ASIGNATURAS!$B$7:$B$27,nASIG)&gt;0)*1),"")))</f>
        <v/>
      </c>
      <c r="H729" t="str">
        <f>IF(G729="","",IF(G729="[FÓRMULA MANUAL]","",IFERROR(AVERAGEIFS(nNOTA,nNIA,G729,nCUENTA,1,nASIG,"Lenguaje Musical"),"")))</f>
        <v/>
      </c>
      <c r="I729" t="str">
        <f>IF(G729="","",IF(G729="[FÓRMULA MANUAL]","",IFERROR(AVERAGEIFS(nNOTA,nNIA,G729,nCUENTA,1,nASIG,"Orquesta/Banda/Conjunto"),"")))</f>
        <v/>
      </c>
      <c r="J729" t="str">
        <f>IF(G729="","",IF(G729="[FÓRMULA MANUAL]","",IFERROR(AVERAGEIFS(nNOTA,nNIA,G729,nCUENTA,1,nASIG,"Conjunto"),"")))</f>
        <v/>
      </c>
      <c r="K729" t="str">
        <f>IF(G729="","",IF(G729="[FÓRMULA MANUAL]","",IFERROR(SUMPRODUCT((nNIA=G729)*(nCUENTA=1)*(COUNTIF(CONFIG_ASIGNATURAS!$B$7:$B$27,nASIG)&gt;0)*(nNOTA))/SUMPRODUCT((nNIA=G729)*(nCUENTA=1)*(COUNTIF(CONFIG_ASIGNATURAS!$B$7:$B$27,nASIG)&gt;0)*1),"")))</f>
        <v/>
      </c>
      <c r="N729" t="str">
        <f>IF(M729="","",IF(M729="[FÓRMULA MANUAL]","",IFERROR(AVERAGEIFS(nNOTA,nNIA,M729,nCUENTA,1,nASIG,"Armonía"),"")))</f>
        <v/>
      </c>
      <c r="O729" t="str">
        <f>IF(M729="","",IF(M729="[FÓRMULA MANUAL]","",IFERROR(AVERAGEIFS(nNOTA,nNIA,M729,nCUENTA,1,nASIG,"Orquesta/Banda/Conjunto"),"")))</f>
        <v/>
      </c>
      <c r="P729" t="str">
        <f>IF(M729="","",IF(M729="[FÓRMULA MANUAL]","",IFERROR(AVERAGEIFS(nNOTA,nNIA,M729,nCUENTA,1,nASIG,"Música de Cámara"),"")))</f>
        <v/>
      </c>
      <c r="Q729" t="str">
        <f>IF(M729="","",IF(M729="[FÓRMULA MANUAL]","",IFERROR(SUMPRODUCT((nNIA=M729)*(nCUENTA=1)*(COUNTIF(CONFIG_ASIGNATURAS!$B$7:$B$27,nASIG)&gt;0)*(nNOTA))/SUMPRODUCT((nNIA=M729)*(nCUENTA=1)*(COUNTIF(CONFIG_ASIGNATURAS!$B$7:$B$27,nASIG)&gt;0)*1),"")))</f>
        <v/>
      </c>
      <c r="T729" t="str">
        <f>IF(S729="","",IF(S729="[FÓRMULA MANUAL]","",IFERROR(AVERAGEIFS(nNOTA,nNIA,S729,nCUENTA,1,nASIG,"Armonía"),"")))</f>
        <v/>
      </c>
      <c r="U729" t="str">
        <f>IF(S729="","",IF(S729="[FÓRMULA MANUAL]","",IFERROR(AVERAGEIFS(nNOTA,nNIA,S729,nCUENTA,1,nASIG,"Orquesta/Banda/Conjunto"),"")))</f>
        <v/>
      </c>
      <c r="V729" t="str">
        <f>IF(S729="","",IF(S729="[FÓRMULA MANUAL]","",IFERROR(AVERAGEIFS(nNOTA,nNIA,S729,nCUENTA,1,nASIG,"Música de Cámara"),"")))</f>
        <v/>
      </c>
      <c r="W729" t="str">
        <f>IF(S729="","",IF(S729="[FÓRMULA MANUAL]","",IFERROR(SUMPRODUCT((nNIA=S729)*(nCUENTA=1)*(COUNTIF(CONFIG_ASIGNATURAS!$B$7:$B$27,nASIG)&gt;0)*(nNOTA))/SUMPRODUCT((nNIA=S729)*(nCUENTA=1)*(COUNTIF(CONFIG_ASIGNATURAS!$B$7:$B$27,nASIG)&gt;0)*1),"")))</f>
        <v/>
      </c>
      <c r="Z729" t="str">
        <f>IF(Y729="","",IF(Y729="[FÓRMULA MANUAL]","",IFERROR(AVERAGEIFS(nNOTA,nNIA,Y729,nCUENTA,1,nASIG,"Análisis"),"")))</f>
        <v/>
      </c>
      <c r="AA729" t="str">
        <f>IF(Y729="","",IF(Y729="[FÓRMULA MANUAL]","",IFERROR(AVERAGEIFS(nNOTA,nNIA,Y729,nCUENTA,1,nASIG,"Orquesta/Banda/Conjunto"),"")))</f>
        <v/>
      </c>
      <c r="AB729" t="str">
        <f>IF(Y729="","",IF(Y729="[FÓRMULA MANUAL]","",IFERROR(AVERAGEIFS(nNOTA,nNIA,Y729,nCUENTA,1,nASIG,"Música de Cámara"),"")))</f>
        <v/>
      </c>
      <c r="AC729" t="str">
        <f>IF(Y729="","",IF(Y729="[FÓRMULA MANUAL]","",IFERROR(SUMPRODUCT((nNIA=Y729)*(nCUENTA=1)*(COUNTIF(CONFIG_ASIGNATURAS!$B$7:$B$27,nASIG)&gt;0)*(nNOTA))/SUMPRODUCT((nNIA=Y729)*(nCUENTA=1)*(COUNTIF(CONFIG_ASIGNATURAS!$B$7:$B$27,nASIG)&gt;0)*1),"")))</f>
        <v/>
      </c>
      <c r="AF729" t="str">
        <f>IF(AE729="","",IF(AE729="[FÓRMULA MANUAL]","",IFERROR(AVERAGEIFS(nNOTA,nNIA,AE729,nCUENTA,1,nASIG,"Análisis"),"")))</f>
        <v/>
      </c>
      <c r="AG729" t="str">
        <f>IF(AE729="","",IF(AE729="[FÓRMULA MANUAL]","",IFERROR(AVERAGEIFS(nNOTA,nNIA,AE729,nCUENTA,1,nASIG,"Orquesta/Banda/Conjunto"),"")))</f>
        <v/>
      </c>
      <c r="AH729" t="str">
        <f>IF(AE729="","",IF(AE729="[FÓRMULA MANUAL]","",IFERROR(AVERAGEIFS(nNOTA,nNIA,AE729,nCUENTA,1,nASIG,"Música de Cámara"),"")))</f>
        <v/>
      </c>
      <c r="AI729" t="str">
        <f>IF(AE729="","",IF(AE729="[FÓRMULA MANUAL]","",IFERROR(SUMPRODUCT((nNIA=AE729)*(nCUENTA=1)*(COUNTIF(CONFIG_ASIGNATURAS!$B$7:$B$27,nASIG)&gt;0)*(nNOTA))/SUMPRODUCT((nNIA=AE729)*(nCUENTA=1)*(COUNTIF(CONFIG_ASIGNATURAS!$B$7:$B$27,nASIG)&gt;0)*1),"")))</f>
        <v/>
      </c>
    </row>
    <row r="730" spans="2:35" x14ac:dyDescent="0.2">
      <c r="B730" t="str">
        <f>IF(A730="","",IF(A730="[FÓRMULA MANUAL]","",IFERROR(AVERAGEIFS(nNOTA,nNIA,A730,nCUENTA,1,nASIG,"Lenguaje Musical"),"")))</f>
        <v/>
      </c>
      <c r="C730" t="str">
        <f>IF(A730="","",IF(A730="[FÓRMULA MANUAL]","",IFERROR(AVERAGEIFS(nNOTA,nNIA,A730,nCUENTA,1,nASIG,"Orquesta/Banda/Conjunto"),"")))</f>
        <v/>
      </c>
      <c r="D730" t="str">
        <f>IF(A730="","",IF(A730="[FÓRMULA MANUAL]","",IFERROR(AVERAGEIFS(nNOTA,nNIA,A730,nCUENTA,1,nASIG,"Conjunto"),"")))</f>
        <v/>
      </c>
      <c r="E730" t="str">
        <f>IF(A730="","",IF(A730="[FÓRMULA MANUAL]","",IFERROR(SUMPRODUCT((nNIA=A730)*(nCUENTA=1)*(COUNTIF(CONFIG_ASIGNATURAS!$B$7:$B$27,nASIG)&gt;0)*(nNOTA))/SUMPRODUCT((nNIA=A730)*(nCUENTA=1)*(COUNTIF(CONFIG_ASIGNATURAS!$B$7:$B$27,nASIG)&gt;0)*1),"")))</f>
        <v/>
      </c>
      <c r="H730" t="str">
        <f>IF(G730="","",IF(G730="[FÓRMULA MANUAL]","",IFERROR(AVERAGEIFS(nNOTA,nNIA,G730,nCUENTA,1,nASIG,"Lenguaje Musical"),"")))</f>
        <v/>
      </c>
      <c r="I730" t="str">
        <f>IF(G730="","",IF(G730="[FÓRMULA MANUAL]","",IFERROR(AVERAGEIFS(nNOTA,nNIA,G730,nCUENTA,1,nASIG,"Orquesta/Banda/Conjunto"),"")))</f>
        <v/>
      </c>
      <c r="J730" t="str">
        <f>IF(G730="","",IF(G730="[FÓRMULA MANUAL]","",IFERROR(AVERAGEIFS(nNOTA,nNIA,G730,nCUENTA,1,nASIG,"Conjunto"),"")))</f>
        <v/>
      </c>
      <c r="K730" t="str">
        <f>IF(G730="","",IF(G730="[FÓRMULA MANUAL]","",IFERROR(SUMPRODUCT((nNIA=G730)*(nCUENTA=1)*(COUNTIF(CONFIG_ASIGNATURAS!$B$7:$B$27,nASIG)&gt;0)*(nNOTA))/SUMPRODUCT((nNIA=G730)*(nCUENTA=1)*(COUNTIF(CONFIG_ASIGNATURAS!$B$7:$B$27,nASIG)&gt;0)*1),"")))</f>
        <v/>
      </c>
      <c r="N730" t="str">
        <f>IF(M730="","",IF(M730="[FÓRMULA MANUAL]","",IFERROR(AVERAGEIFS(nNOTA,nNIA,M730,nCUENTA,1,nASIG,"Armonía"),"")))</f>
        <v/>
      </c>
      <c r="O730" t="str">
        <f>IF(M730="","",IF(M730="[FÓRMULA MANUAL]","",IFERROR(AVERAGEIFS(nNOTA,nNIA,M730,nCUENTA,1,nASIG,"Orquesta/Banda/Conjunto"),"")))</f>
        <v/>
      </c>
      <c r="P730" t="str">
        <f>IF(M730="","",IF(M730="[FÓRMULA MANUAL]","",IFERROR(AVERAGEIFS(nNOTA,nNIA,M730,nCUENTA,1,nASIG,"Música de Cámara"),"")))</f>
        <v/>
      </c>
      <c r="Q730" t="str">
        <f>IF(M730="","",IF(M730="[FÓRMULA MANUAL]","",IFERROR(SUMPRODUCT((nNIA=M730)*(nCUENTA=1)*(COUNTIF(CONFIG_ASIGNATURAS!$B$7:$B$27,nASIG)&gt;0)*(nNOTA))/SUMPRODUCT((nNIA=M730)*(nCUENTA=1)*(COUNTIF(CONFIG_ASIGNATURAS!$B$7:$B$27,nASIG)&gt;0)*1),"")))</f>
        <v/>
      </c>
      <c r="T730" t="str">
        <f>IF(S730="","",IF(S730="[FÓRMULA MANUAL]","",IFERROR(AVERAGEIFS(nNOTA,nNIA,S730,nCUENTA,1,nASIG,"Armonía"),"")))</f>
        <v/>
      </c>
      <c r="U730" t="str">
        <f>IF(S730="","",IF(S730="[FÓRMULA MANUAL]","",IFERROR(AVERAGEIFS(nNOTA,nNIA,S730,nCUENTA,1,nASIG,"Orquesta/Banda/Conjunto"),"")))</f>
        <v/>
      </c>
      <c r="V730" t="str">
        <f>IF(S730="","",IF(S730="[FÓRMULA MANUAL]","",IFERROR(AVERAGEIFS(nNOTA,nNIA,S730,nCUENTA,1,nASIG,"Música de Cámara"),"")))</f>
        <v/>
      </c>
      <c r="W730" t="str">
        <f>IF(S730="","",IF(S730="[FÓRMULA MANUAL]","",IFERROR(SUMPRODUCT((nNIA=S730)*(nCUENTA=1)*(COUNTIF(CONFIG_ASIGNATURAS!$B$7:$B$27,nASIG)&gt;0)*(nNOTA))/SUMPRODUCT((nNIA=S730)*(nCUENTA=1)*(COUNTIF(CONFIG_ASIGNATURAS!$B$7:$B$27,nASIG)&gt;0)*1),"")))</f>
        <v/>
      </c>
      <c r="Z730" t="str">
        <f>IF(Y730="","",IF(Y730="[FÓRMULA MANUAL]","",IFERROR(AVERAGEIFS(nNOTA,nNIA,Y730,nCUENTA,1,nASIG,"Análisis"),"")))</f>
        <v/>
      </c>
      <c r="AA730" t="str">
        <f>IF(Y730="","",IF(Y730="[FÓRMULA MANUAL]","",IFERROR(AVERAGEIFS(nNOTA,nNIA,Y730,nCUENTA,1,nASIG,"Orquesta/Banda/Conjunto"),"")))</f>
        <v/>
      </c>
      <c r="AB730" t="str">
        <f>IF(Y730="","",IF(Y730="[FÓRMULA MANUAL]","",IFERROR(AVERAGEIFS(nNOTA,nNIA,Y730,nCUENTA,1,nASIG,"Música de Cámara"),"")))</f>
        <v/>
      </c>
      <c r="AC730" t="str">
        <f>IF(Y730="","",IF(Y730="[FÓRMULA MANUAL]","",IFERROR(SUMPRODUCT((nNIA=Y730)*(nCUENTA=1)*(COUNTIF(CONFIG_ASIGNATURAS!$B$7:$B$27,nASIG)&gt;0)*(nNOTA))/SUMPRODUCT((nNIA=Y730)*(nCUENTA=1)*(COUNTIF(CONFIG_ASIGNATURAS!$B$7:$B$27,nASIG)&gt;0)*1),"")))</f>
        <v/>
      </c>
      <c r="AF730" t="str">
        <f>IF(AE730="","",IF(AE730="[FÓRMULA MANUAL]","",IFERROR(AVERAGEIFS(nNOTA,nNIA,AE730,nCUENTA,1,nASIG,"Análisis"),"")))</f>
        <v/>
      </c>
      <c r="AG730" t="str">
        <f>IF(AE730="","",IF(AE730="[FÓRMULA MANUAL]","",IFERROR(AVERAGEIFS(nNOTA,nNIA,AE730,nCUENTA,1,nASIG,"Orquesta/Banda/Conjunto"),"")))</f>
        <v/>
      </c>
      <c r="AH730" t="str">
        <f>IF(AE730="","",IF(AE730="[FÓRMULA MANUAL]","",IFERROR(AVERAGEIFS(nNOTA,nNIA,AE730,nCUENTA,1,nASIG,"Música de Cámara"),"")))</f>
        <v/>
      </c>
      <c r="AI730" t="str">
        <f>IF(AE730="","",IF(AE730="[FÓRMULA MANUAL]","",IFERROR(SUMPRODUCT((nNIA=AE730)*(nCUENTA=1)*(COUNTIF(CONFIG_ASIGNATURAS!$B$7:$B$27,nASIG)&gt;0)*(nNOTA))/SUMPRODUCT((nNIA=AE730)*(nCUENTA=1)*(COUNTIF(CONFIG_ASIGNATURAS!$B$7:$B$27,nASIG)&gt;0)*1),"")))</f>
        <v/>
      </c>
    </row>
    <row r="731" spans="2:35" x14ac:dyDescent="0.2">
      <c r="B731" t="str">
        <f>IF(A731="","",IF(A731="[FÓRMULA MANUAL]","",IFERROR(AVERAGEIFS(nNOTA,nNIA,A731,nCUENTA,1,nASIG,"Lenguaje Musical"),"")))</f>
        <v/>
      </c>
      <c r="C731" t="str">
        <f>IF(A731="","",IF(A731="[FÓRMULA MANUAL]","",IFERROR(AVERAGEIFS(nNOTA,nNIA,A731,nCUENTA,1,nASIG,"Orquesta/Banda/Conjunto"),"")))</f>
        <v/>
      </c>
      <c r="D731" t="str">
        <f>IF(A731="","",IF(A731="[FÓRMULA MANUAL]","",IFERROR(AVERAGEIFS(nNOTA,nNIA,A731,nCUENTA,1,nASIG,"Conjunto"),"")))</f>
        <v/>
      </c>
      <c r="E731" t="str">
        <f>IF(A731="","",IF(A731="[FÓRMULA MANUAL]","",IFERROR(SUMPRODUCT((nNIA=A731)*(nCUENTA=1)*(COUNTIF(CONFIG_ASIGNATURAS!$B$7:$B$27,nASIG)&gt;0)*(nNOTA))/SUMPRODUCT((nNIA=A731)*(nCUENTA=1)*(COUNTIF(CONFIG_ASIGNATURAS!$B$7:$B$27,nASIG)&gt;0)*1),"")))</f>
        <v/>
      </c>
      <c r="H731" t="str">
        <f>IF(G731="","",IF(G731="[FÓRMULA MANUAL]","",IFERROR(AVERAGEIFS(nNOTA,nNIA,G731,nCUENTA,1,nASIG,"Lenguaje Musical"),"")))</f>
        <v/>
      </c>
      <c r="I731" t="str">
        <f>IF(G731="","",IF(G731="[FÓRMULA MANUAL]","",IFERROR(AVERAGEIFS(nNOTA,nNIA,G731,nCUENTA,1,nASIG,"Orquesta/Banda/Conjunto"),"")))</f>
        <v/>
      </c>
      <c r="J731" t="str">
        <f>IF(G731="","",IF(G731="[FÓRMULA MANUAL]","",IFERROR(AVERAGEIFS(nNOTA,nNIA,G731,nCUENTA,1,nASIG,"Conjunto"),"")))</f>
        <v/>
      </c>
      <c r="K731" t="str">
        <f>IF(G731="","",IF(G731="[FÓRMULA MANUAL]","",IFERROR(SUMPRODUCT((nNIA=G731)*(nCUENTA=1)*(COUNTIF(CONFIG_ASIGNATURAS!$B$7:$B$27,nASIG)&gt;0)*(nNOTA))/SUMPRODUCT((nNIA=G731)*(nCUENTA=1)*(COUNTIF(CONFIG_ASIGNATURAS!$B$7:$B$27,nASIG)&gt;0)*1),"")))</f>
        <v/>
      </c>
      <c r="N731" t="str">
        <f>IF(M731="","",IF(M731="[FÓRMULA MANUAL]","",IFERROR(AVERAGEIFS(nNOTA,nNIA,M731,nCUENTA,1,nASIG,"Armonía"),"")))</f>
        <v/>
      </c>
      <c r="O731" t="str">
        <f>IF(M731="","",IF(M731="[FÓRMULA MANUAL]","",IFERROR(AVERAGEIFS(nNOTA,nNIA,M731,nCUENTA,1,nASIG,"Orquesta/Banda/Conjunto"),"")))</f>
        <v/>
      </c>
      <c r="P731" t="str">
        <f>IF(M731="","",IF(M731="[FÓRMULA MANUAL]","",IFERROR(AVERAGEIFS(nNOTA,nNIA,M731,nCUENTA,1,nASIG,"Música de Cámara"),"")))</f>
        <v/>
      </c>
      <c r="Q731" t="str">
        <f>IF(M731="","",IF(M731="[FÓRMULA MANUAL]","",IFERROR(SUMPRODUCT((nNIA=M731)*(nCUENTA=1)*(COUNTIF(CONFIG_ASIGNATURAS!$B$7:$B$27,nASIG)&gt;0)*(nNOTA))/SUMPRODUCT((nNIA=M731)*(nCUENTA=1)*(COUNTIF(CONFIG_ASIGNATURAS!$B$7:$B$27,nASIG)&gt;0)*1),"")))</f>
        <v/>
      </c>
      <c r="T731" t="str">
        <f>IF(S731="","",IF(S731="[FÓRMULA MANUAL]","",IFERROR(AVERAGEIFS(nNOTA,nNIA,S731,nCUENTA,1,nASIG,"Armonía"),"")))</f>
        <v/>
      </c>
      <c r="U731" t="str">
        <f>IF(S731="","",IF(S731="[FÓRMULA MANUAL]","",IFERROR(AVERAGEIFS(nNOTA,nNIA,S731,nCUENTA,1,nASIG,"Orquesta/Banda/Conjunto"),"")))</f>
        <v/>
      </c>
      <c r="V731" t="str">
        <f>IF(S731="","",IF(S731="[FÓRMULA MANUAL]","",IFERROR(AVERAGEIFS(nNOTA,nNIA,S731,nCUENTA,1,nASIG,"Música de Cámara"),"")))</f>
        <v/>
      </c>
      <c r="W731" t="str">
        <f>IF(S731="","",IF(S731="[FÓRMULA MANUAL]","",IFERROR(SUMPRODUCT((nNIA=S731)*(nCUENTA=1)*(COUNTIF(CONFIG_ASIGNATURAS!$B$7:$B$27,nASIG)&gt;0)*(nNOTA))/SUMPRODUCT((nNIA=S731)*(nCUENTA=1)*(COUNTIF(CONFIG_ASIGNATURAS!$B$7:$B$27,nASIG)&gt;0)*1),"")))</f>
        <v/>
      </c>
      <c r="Z731" t="str">
        <f>IF(Y731="","",IF(Y731="[FÓRMULA MANUAL]","",IFERROR(AVERAGEIFS(nNOTA,nNIA,Y731,nCUENTA,1,nASIG,"Análisis"),"")))</f>
        <v/>
      </c>
      <c r="AA731" t="str">
        <f>IF(Y731="","",IF(Y731="[FÓRMULA MANUAL]","",IFERROR(AVERAGEIFS(nNOTA,nNIA,Y731,nCUENTA,1,nASIG,"Orquesta/Banda/Conjunto"),"")))</f>
        <v/>
      </c>
      <c r="AB731" t="str">
        <f>IF(Y731="","",IF(Y731="[FÓRMULA MANUAL]","",IFERROR(AVERAGEIFS(nNOTA,nNIA,Y731,nCUENTA,1,nASIG,"Música de Cámara"),"")))</f>
        <v/>
      </c>
      <c r="AC731" t="str">
        <f>IF(Y731="","",IF(Y731="[FÓRMULA MANUAL]","",IFERROR(SUMPRODUCT((nNIA=Y731)*(nCUENTA=1)*(COUNTIF(CONFIG_ASIGNATURAS!$B$7:$B$27,nASIG)&gt;0)*(nNOTA))/SUMPRODUCT((nNIA=Y731)*(nCUENTA=1)*(COUNTIF(CONFIG_ASIGNATURAS!$B$7:$B$27,nASIG)&gt;0)*1),"")))</f>
        <v/>
      </c>
      <c r="AF731" t="str">
        <f>IF(AE731="","",IF(AE731="[FÓRMULA MANUAL]","",IFERROR(AVERAGEIFS(nNOTA,nNIA,AE731,nCUENTA,1,nASIG,"Análisis"),"")))</f>
        <v/>
      </c>
      <c r="AG731" t="str">
        <f>IF(AE731="","",IF(AE731="[FÓRMULA MANUAL]","",IFERROR(AVERAGEIFS(nNOTA,nNIA,AE731,nCUENTA,1,nASIG,"Orquesta/Banda/Conjunto"),"")))</f>
        <v/>
      </c>
      <c r="AH731" t="str">
        <f>IF(AE731="","",IF(AE731="[FÓRMULA MANUAL]","",IFERROR(AVERAGEIFS(nNOTA,nNIA,AE731,nCUENTA,1,nASIG,"Música de Cámara"),"")))</f>
        <v/>
      </c>
      <c r="AI731" t="str">
        <f>IF(AE731="","",IF(AE731="[FÓRMULA MANUAL]","",IFERROR(SUMPRODUCT((nNIA=AE731)*(nCUENTA=1)*(COUNTIF(CONFIG_ASIGNATURAS!$B$7:$B$27,nASIG)&gt;0)*(nNOTA))/SUMPRODUCT((nNIA=AE731)*(nCUENTA=1)*(COUNTIF(CONFIG_ASIGNATURAS!$B$7:$B$27,nASIG)&gt;0)*1),"")))</f>
        <v/>
      </c>
    </row>
    <row r="732" spans="2:35" x14ac:dyDescent="0.2">
      <c r="B732" t="str">
        <f>IF(A732="","",IF(A732="[FÓRMULA MANUAL]","",IFERROR(AVERAGEIFS(nNOTA,nNIA,A732,nCUENTA,1,nASIG,"Lenguaje Musical"),"")))</f>
        <v/>
      </c>
      <c r="C732" t="str">
        <f>IF(A732="","",IF(A732="[FÓRMULA MANUAL]","",IFERROR(AVERAGEIFS(nNOTA,nNIA,A732,nCUENTA,1,nASIG,"Orquesta/Banda/Conjunto"),"")))</f>
        <v/>
      </c>
      <c r="D732" t="str">
        <f>IF(A732="","",IF(A732="[FÓRMULA MANUAL]","",IFERROR(AVERAGEIFS(nNOTA,nNIA,A732,nCUENTA,1,nASIG,"Conjunto"),"")))</f>
        <v/>
      </c>
      <c r="E732" t="str">
        <f>IF(A732="","",IF(A732="[FÓRMULA MANUAL]","",IFERROR(SUMPRODUCT((nNIA=A732)*(nCUENTA=1)*(COUNTIF(CONFIG_ASIGNATURAS!$B$7:$B$27,nASIG)&gt;0)*(nNOTA))/SUMPRODUCT((nNIA=A732)*(nCUENTA=1)*(COUNTIF(CONFIG_ASIGNATURAS!$B$7:$B$27,nASIG)&gt;0)*1),"")))</f>
        <v/>
      </c>
      <c r="H732" t="str">
        <f>IF(G732="","",IF(G732="[FÓRMULA MANUAL]","",IFERROR(AVERAGEIFS(nNOTA,nNIA,G732,nCUENTA,1,nASIG,"Lenguaje Musical"),"")))</f>
        <v/>
      </c>
      <c r="I732" t="str">
        <f>IF(G732="","",IF(G732="[FÓRMULA MANUAL]","",IFERROR(AVERAGEIFS(nNOTA,nNIA,G732,nCUENTA,1,nASIG,"Orquesta/Banda/Conjunto"),"")))</f>
        <v/>
      </c>
      <c r="J732" t="str">
        <f>IF(G732="","",IF(G732="[FÓRMULA MANUAL]","",IFERROR(AVERAGEIFS(nNOTA,nNIA,G732,nCUENTA,1,nASIG,"Conjunto"),"")))</f>
        <v/>
      </c>
      <c r="K732" t="str">
        <f>IF(G732="","",IF(G732="[FÓRMULA MANUAL]","",IFERROR(SUMPRODUCT((nNIA=G732)*(nCUENTA=1)*(COUNTIF(CONFIG_ASIGNATURAS!$B$7:$B$27,nASIG)&gt;0)*(nNOTA))/SUMPRODUCT((nNIA=G732)*(nCUENTA=1)*(COUNTIF(CONFIG_ASIGNATURAS!$B$7:$B$27,nASIG)&gt;0)*1),"")))</f>
        <v/>
      </c>
      <c r="N732" t="str">
        <f>IF(M732="","",IF(M732="[FÓRMULA MANUAL]","",IFERROR(AVERAGEIFS(nNOTA,nNIA,M732,nCUENTA,1,nASIG,"Armonía"),"")))</f>
        <v/>
      </c>
      <c r="O732" t="str">
        <f>IF(M732="","",IF(M732="[FÓRMULA MANUAL]","",IFERROR(AVERAGEIFS(nNOTA,nNIA,M732,nCUENTA,1,nASIG,"Orquesta/Banda/Conjunto"),"")))</f>
        <v/>
      </c>
      <c r="P732" t="str">
        <f>IF(M732="","",IF(M732="[FÓRMULA MANUAL]","",IFERROR(AVERAGEIFS(nNOTA,nNIA,M732,nCUENTA,1,nASIG,"Música de Cámara"),"")))</f>
        <v/>
      </c>
      <c r="Q732" t="str">
        <f>IF(M732="","",IF(M732="[FÓRMULA MANUAL]","",IFERROR(SUMPRODUCT((nNIA=M732)*(nCUENTA=1)*(COUNTIF(CONFIG_ASIGNATURAS!$B$7:$B$27,nASIG)&gt;0)*(nNOTA))/SUMPRODUCT((nNIA=M732)*(nCUENTA=1)*(COUNTIF(CONFIG_ASIGNATURAS!$B$7:$B$27,nASIG)&gt;0)*1),"")))</f>
        <v/>
      </c>
      <c r="T732" t="str">
        <f>IF(S732="","",IF(S732="[FÓRMULA MANUAL]","",IFERROR(AVERAGEIFS(nNOTA,nNIA,S732,nCUENTA,1,nASIG,"Armonía"),"")))</f>
        <v/>
      </c>
      <c r="U732" t="str">
        <f>IF(S732="","",IF(S732="[FÓRMULA MANUAL]","",IFERROR(AVERAGEIFS(nNOTA,nNIA,S732,nCUENTA,1,nASIG,"Orquesta/Banda/Conjunto"),"")))</f>
        <v/>
      </c>
      <c r="V732" t="str">
        <f>IF(S732="","",IF(S732="[FÓRMULA MANUAL]","",IFERROR(AVERAGEIFS(nNOTA,nNIA,S732,nCUENTA,1,nASIG,"Música de Cámara"),"")))</f>
        <v/>
      </c>
      <c r="W732" t="str">
        <f>IF(S732="","",IF(S732="[FÓRMULA MANUAL]","",IFERROR(SUMPRODUCT((nNIA=S732)*(nCUENTA=1)*(COUNTIF(CONFIG_ASIGNATURAS!$B$7:$B$27,nASIG)&gt;0)*(nNOTA))/SUMPRODUCT((nNIA=S732)*(nCUENTA=1)*(COUNTIF(CONFIG_ASIGNATURAS!$B$7:$B$27,nASIG)&gt;0)*1),"")))</f>
        <v/>
      </c>
      <c r="Z732" t="str">
        <f>IF(Y732="","",IF(Y732="[FÓRMULA MANUAL]","",IFERROR(AVERAGEIFS(nNOTA,nNIA,Y732,nCUENTA,1,nASIG,"Análisis"),"")))</f>
        <v/>
      </c>
      <c r="AA732" t="str">
        <f>IF(Y732="","",IF(Y732="[FÓRMULA MANUAL]","",IFERROR(AVERAGEIFS(nNOTA,nNIA,Y732,nCUENTA,1,nASIG,"Orquesta/Banda/Conjunto"),"")))</f>
        <v/>
      </c>
      <c r="AB732" t="str">
        <f>IF(Y732="","",IF(Y732="[FÓRMULA MANUAL]","",IFERROR(AVERAGEIFS(nNOTA,nNIA,Y732,nCUENTA,1,nASIG,"Música de Cámara"),"")))</f>
        <v/>
      </c>
      <c r="AC732" t="str">
        <f>IF(Y732="","",IF(Y732="[FÓRMULA MANUAL]","",IFERROR(SUMPRODUCT((nNIA=Y732)*(nCUENTA=1)*(COUNTIF(CONFIG_ASIGNATURAS!$B$7:$B$27,nASIG)&gt;0)*(nNOTA))/SUMPRODUCT((nNIA=Y732)*(nCUENTA=1)*(COUNTIF(CONFIG_ASIGNATURAS!$B$7:$B$27,nASIG)&gt;0)*1),"")))</f>
        <v/>
      </c>
      <c r="AF732" t="str">
        <f>IF(AE732="","",IF(AE732="[FÓRMULA MANUAL]","",IFERROR(AVERAGEIFS(nNOTA,nNIA,AE732,nCUENTA,1,nASIG,"Análisis"),"")))</f>
        <v/>
      </c>
      <c r="AG732" t="str">
        <f>IF(AE732="","",IF(AE732="[FÓRMULA MANUAL]","",IFERROR(AVERAGEIFS(nNOTA,nNIA,AE732,nCUENTA,1,nASIG,"Orquesta/Banda/Conjunto"),"")))</f>
        <v/>
      </c>
      <c r="AH732" t="str">
        <f>IF(AE732="","",IF(AE732="[FÓRMULA MANUAL]","",IFERROR(AVERAGEIFS(nNOTA,nNIA,AE732,nCUENTA,1,nASIG,"Música de Cámara"),"")))</f>
        <v/>
      </c>
      <c r="AI732" t="str">
        <f>IF(AE732="","",IF(AE732="[FÓRMULA MANUAL]","",IFERROR(SUMPRODUCT((nNIA=AE732)*(nCUENTA=1)*(COUNTIF(CONFIG_ASIGNATURAS!$B$7:$B$27,nASIG)&gt;0)*(nNOTA))/SUMPRODUCT((nNIA=AE732)*(nCUENTA=1)*(COUNTIF(CONFIG_ASIGNATURAS!$B$7:$B$27,nASIG)&gt;0)*1),"")))</f>
        <v/>
      </c>
    </row>
    <row r="733" spans="2:35" x14ac:dyDescent="0.2">
      <c r="B733" t="str">
        <f>IF(A733="","",IF(A733="[FÓRMULA MANUAL]","",IFERROR(AVERAGEIFS(nNOTA,nNIA,A733,nCUENTA,1,nASIG,"Lenguaje Musical"),"")))</f>
        <v/>
      </c>
      <c r="C733" t="str">
        <f>IF(A733="","",IF(A733="[FÓRMULA MANUAL]","",IFERROR(AVERAGEIFS(nNOTA,nNIA,A733,nCUENTA,1,nASIG,"Orquesta/Banda/Conjunto"),"")))</f>
        <v/>
      </c>
      <c r="D733" t="str">
        <f>IF(A733="","",IF(A733="[FÓRMULA MANUAL]","",IFERROR(AVERAGEIFS(nNOTA,nNIA,A733,nCUENTA,1,nASIG,"Conjunto"),"")))</f>
        <v/>
      </c>
      <c r="E733" t="str">
        <f>IF(A733="","",IF(A733="[FÓRMULA MANUAL]","",IFERROR(SUMPRODUCT((nNIA=A733)*(nCUENTA=1)*(COUNTIF(CONFIG_ASIGNATURAS!$B$7:$B$27,nASIG)&gt;0)*(nNOTA))/SUMPRODUCT((nNIA=A733)*(nCUENTA=1)*(COUNTIF(CONFIG_ASIGNATURAS!$B$7:$B$27,nASIG)&gt;0)*1),"")))</f>
        <v/>
      </c>
      <c r="H733" t="str">
        <f>IF(G733="","",IF(G733="[FÓRMULA MANUAL]","",IFERROR(AVERAGEIFS(nNOTA,nNIA,G733,nCUENTA,1,nASIG,"Lenguaje Musical"),"")))</f>
        <v/>
      </c>
      <c r="I733" t="str">
        <f>IF(G733="","",IF(G733="[FÓRMULA MANUAL]","",IFERROR(AVERAGEIFS(nNOTA,nNIA,G733,nCUENTA,1,nASIG,"Orquesta/Banda/Conjunto"),"")))</f>
        <v/>
      </c>
      <c r="J733" t="str">
        <f>IF(G733="","",IF(G733="[FÓRMULA MANUAL]","",IFERROR(AVERAGEIFS(nNOTA,nNIA,G733,nCUENTA,1,nASIG,"Conjunto"),"")))</f>
        <v/>
      </c>
      <c r="K733" t="str">
        <f>IF(G733="","",IF(G733="[FÓRMULA MANUAL]","",IFERROR(SUMPRODUCT((nNIA=G733)*(nCUENTA=1)*(COUNTIF(CONFIG_ASIGNATURAS!$B$7:$B$27,nASIG)&gt;0)*(nNOTA))/SUMPRODUCT((nNIA=G733)*(nCUENTA=1)*(COUNTIF(CONFIG_ASIGNATURAS!$B$7:$B$27,nASIG)&gt;0)*1),"")))</f>
        <v/>
      </c>
      <c r="N733" t="str">
        <f>IF(M733="","",IF(M733="[FÓRMULA MANUAL]","",IFERROR(AVERAGEIFS(nNOTA,nNIA,M733,nCUENTA,1,nASIG,"Armonía"),"")))</f>
        <v/>
      </c>
      <c r="O733" t="str">
        <f>IF(M733="","",IF(M733="[FÓRMULA MANUAL]","",IFERROR(AVERAGEIFS(nNOTA,nNIA,M733,nCUENTA,1,nASIG,"Orquesta/Banda/Conjunto"),"")))</f>
        <v/>
      </c>
      <c r="P733" t="str">
        <f>IF(M733="","",IF(M733="[FÓRMULA MANUAL]","",IFERROR(AVERAGEIFS(nNOTA,nNIA,M733,nCUENTA,1,nASIG,"Música de Cámara"),"")))</f>
        <v/>
      </c>
      <c r="Q733" t="str">
        <f>IF(M733="","",IF(M733="[FÓRMULA MANUAL]","",IFERROR(SUMPRODUCT((nNIA=M733)*(nCUENTA=1)*(COUNTIF(CONFIG_ASIGNATURAS!$B$7:$B$27,nASIG)&gt;0)*(nNOTA))/SUMPRODUCT((nNIA=M733)*(nCUENTA=1)*(COUNTIF(CONFIG_ASIGNATURAS!$B$7:$B$27,nASIG)&gt;0)*1),"")))</f>
        <v/>
      </c>
      <c r="T733" t="str">
        <f>IF(S733="","",IF(S733="[FÓRMULA MANUAL]","",IFERROR(AVERAGEIFS(nNOTA,nNIA,S733,nCUENTA,1,nASIG,"Armonía"),"")))</f>
        <v/>
      </c>
      <c r="U733" t="str">
        <f>IF(S733="","",IF(S733="[FÓRMULA MANUAL]","",IFERROR(AVERAGEIFS(nNOTA,nNIA,S733,nCUENTA,1,nASIG,"Orquesta/Banda/Conjunto"),"")))</f>
        <v/>
      </c>
      <c r="V733" t="str">
        <f>IF(S733="","",IF(S733="[FÓRMULA MANUAL]","",IFERROR(AVERAGEIFS(nNOTA,nNIA,S733,nCUENTA,1,nASIG,"Música de Cámara"),"")))</f>
        <v/>
      </c>
      <c r="W733" t="str">
        <f>IF(S733="","",IF(S733="[FÓRMULA MANUAL]","",IFERROR(SUMPRODUCT((nNIA=S733)*(nCUENTA=1)*(COUNTIF(CONFIG_ASIGNATURAS!$B$7:$B$27,nASIG)&gt;0)*(nNOTA))/SUMPRODUCT((nNIA=S733)*(nCUENTA=1)*(COUNTIF(CONFIG_ASIGNATURAS!$B$7:$B$27,nASIG)&gt;0)*1),"")))</f>
        <v/>
      </c>
      <c r="Z733" t="str">
        <f>IF(Y733="","",IF(Y733="[FÓRMULA MANUAL]","",IFERROR(AVERAGEIFS(nNOTA,nNIA,Y733,nCUENTA,1,nASIG,"Análisis"),"")))</f>
        <v/>
      </c>
      <c r="AA733" t="str">
        <f>IF(Y733="","",IF(Y733="[FÓRMULA MANUAL]","",IFERROR(AVERAGEIFS(nNOTA,nNIA,Y733,nCUENTA,1,nASIG,"Orquesta/Banda/Conjunto"),"")))</f>
        <v/>
      </c>
      <c r="AB733" t="str">
        <f>IF(Y733="","",IF(Y733="[FÓRMULA MANUAL]","",IFERROR(AVERAGEIFS(nNOTA,nNIA,Y733,nCUENTA,1,nASIG,"Música de Cámara"),"")))</f>
        <v/>
      </c>
      <c r="AC733" t="str">
        <f>IF(Y733="","",IF(Y733="[FÓRMULA MANUAL]","",IFERROR(SUMPRODUCT((nNIA=Y733)*(nCUENTA=1)*(COUNTIF(CONFIG_ASIGNATURAS!$B$7:$B$27,nASIG)&gt;0)*(nNOTA))/SUMPRODUCT((nNIA=Y733)*(nCUENTA=1)*(COUNTIF(CONFIG_ASIGNATURAS!$B$7:$B$27,nASIG)&gt;0)*1),"")))</f>
        <v/>
      </c>
      <c r="AF733" t="str">
        <f>IF(AE733="","",IF(AE733="[FÓRMULA MANUAL]","",IFERROR(AVERAGEIFS(nNOTA,nNIA,AE733,nCUENTA,1,nASIG,"Análisis"),"")))</f>
        <v/>
      </c>
      <c r="AG733" t="str">
        <f>IF(AE733="","",IF(AE733="[FÓRMULA MANUAL]","",IFERROR(AVERAGEIFS(nNOTA,nNIA,AE733,nCUENTA,1,nASIG,"Orquesta/Banda/Conjunto"),"")))</f>
        <v/>
      </c>
      <c r="AH733" t="str">
        <f>IF(AE733="","",IF(AE733="[FÓRMULA MANUAL]","",IFERROR(AVERAGEIFS(nNOTA,nNIA,AE733,nCUENTA,1,nASIG,"Música de Cámara"),"")))</f>
        <v/>
      </c>
      <c r="AI733" t="str">
        <f>IF(AE733="","",IF(AE733="[FÓRMULA MANUAL]","",IFERROR(SUMPRODUCT((nNIA=AE733)*(nCUENTA=1)*(COUNTIF(CONFIG_ASIGNATURAS!$B$7:$B$27,nASIG)&gt;0)*(nNOTA))/SUMPRODUCT((nNIA=AE733)*(nCUENTA=1)*(COUNTIF(CONFIG_ASIGNATURAS!$B$7:$B$27,nASIG)&gt;0)*1),"")))</f>
        <v/>
      </c>
    </row>
    <row r="734" spans="2:35" x14ac:dyDescent="0.2">
      <c r="B734" t="str">
        <f>IF(A734="","",IF(A734="[FÓRMULA MANUAL]","",IFERROR(AVERAGEIFS(nNOTA,nNIA,A734,nCUENTA,1,nASIG,"Lenguaje Musical"),"")))</f>
        <v/>
      </c>
      <c r="C734" t="str">
        <f>IF(A734="","",IF(A734="[FÓRMULA MANUAL]","",IFERROR(AVERAGEIFS(nNOTA,nNIA,A734,nCUENTA,1,nASIG,"Orquesta/Banda/Conjunto"),"")))</f>
        <v/>
      </c>
      <c r="D734" t="str">
        <f>IF(A734="","",IF(A734="[FÓRMULA MANUAL]","",IFERROR(AVERAGEIFS(nNOTA,nNIA,A734,nCUENTA,1,nASIG,"Conjunto"),"")))</f>
        <v/>
      </c>
      <c r="E734" t="str">
        <f>IF(A734="","",IF(A734="[FÓRMULA MANUAL]","",IFERROR(SUMPRODUCT((nNIA=A734)*(nCUENTA=1)*(COUNTIF(CONFIG_ASIGNATURAS!$B$7:$B$27,nASIG)&gt;0)*(nNOTA))/SUMPRODUCT((nNIA=A734)*(nCUENTA=1)*(COUNTIF(CONFIG_ASIGNATURAS!$B$7:$B$27,nASIG)&gt;0)*1),"")))</f>
        <v/>
      </c>
      <c r="H734" t="str">
        <f>IF(G734="","",IF(G734="[FÓRMULA MANUAL]","",IFERROR(AVERAGEIFS(nNOTA,nNIA,G734,nCUENTA,1,nASIG,"Lenguaje Musical"),"")))</f>
        <v/>
      </c>
      <c r="I734" t="str">
        <f>IF(G734="","",IF(G734="[FÓRMULA MANUAL]","",IFERROR(AVERAGEIFS(nNOTA,nNIA,G734,nCUENTA,1,nASIG,"Orquesta/Banda/Conjunto"),"")))</f>
        <v/>
      </c>
      <c r="J734" t="str">
        <f>IF(G734="","",IF(G734="[FÓRMULA MANUAL]","",IFERROR(AVERAGEIFS(nNOTA,nNIA,G734,nCUENTA,1,nASIG,"Conjunto"),"")))</f>
        <v/>
      </c>
      <c r="K734" t="str">
        <f>IF(G734="","",IF(G734="[FÓRMULA MANUAL]","",IFERROR(SUMPRODUCT((nNIA=G734)*(nCUENTA=1)*(COUNTIF(CONFIG_ASIGNATURAS!$B$7:$B$27,nASIG)&gt;0)*(nNOTA))/SUMPRODUCT((nNIA=G734)*(nCUENTA=1)*(COUNTIF(CONFIG_ASIGNATURAS!$B$7:$B$27,nASIG)&gt;0)*1),"")))</f>
        <v/>
      </c>
      <c r="N734" t="str">
        <f>IF(M734="","",IF(M734="[FÓRMULA MANUAL]","",IFERROR(AVERAGEIFS(nNOTA,nNIA,M734,nCUENTA,1,nASIG,"Armonía"),"")))</f>
        <v/>
      </c>
      <c r="O734" t="str">
        <f>IF(M734="","",IF(M734="[FÓRMULA MANUAL]","",IFERROR(AVERAGEIFS(nNOTA,nNIA,M734,nCUENTA,1,nASIG,"Orquesta/Banda/Conjunto"),"")))</f>
        <v/>
      </c>
      <c r="P734" t="str">
        <f>IF(M734="","",IF(M734="[FÓRMULA MANUAL]","",IFERROR(AVERAGEIFS(nNOTA,nNIA,M734,nCUENTA,1,nASIG,"Música de Cámara"),"")))</f>
        <v/>
      </c>
      <c r="Q734" t="str">
        <f>IF(M734="","",IF(M734="[FÓRMULA MANUAL]","",IFERROR(SUMPRODUCT((nNIA=M734)*(nCUENTA=1)*(COUNTIF(CONFIG_ASIGNATURAS!$B$7:$B$27,nASIG)&gt;0)*(nNOTA))/SUMPRODUCT((nNIA=M734)*(nCUENTA=1)*(COUNTIF(CONFIG_ASIGNATURAS!$B$7:$B$27,nASIG)&gt;0)*1),"")))</f>
        <v/>
      </c>
      <c r="T734" t="str">
        <f>IF(S734="","",IF(S734="[FÓRMULA MANUAL]","",IFERROR(AVERAGEIFS(nNOTA,nNIA,S734,nCUENTA,1,nASIG,"Armonía"),"")))</f>
        <v/>
      </c>
      <c r="U734" t="str">
        <f>IF(S734="","",IF(S734="[FÓRMULA MANUAL]","",IFERROR(AVERAGEIFS(nNOTA,nNIA,S734,nCUENTA,1,nASIG,"Orquesta/Banda/Conjunto"),"")))</f>
        <v/>
      </c>
      <c r="V734" t="str">
        <f>IF(S734="","",IF(S734="[FÓRMULA MANUAL]","",IFERROR(AVERAGEIFS(nNOTA,nNIA,S734,nCUENTA,1,nASIG,"Música de Cámara"),"")))</f>
        <v/>
      </c>
      <c r="W734" t="str">
        <f>IF(S734="","",IF(S734="[FÓRMULA MANUAL]","",IFERROR(SUMPRODUCT((nNIA=S734)*(nCUENTA=1)*(COUNTIF(CONFIG_ASIGNATURAS!$B$7:$B$27,nASIG)&gt;0)*(nNOTA))/SUMPRODUCT((nNIA=S734)*(nCUENTA=1)*(COUNTIF(CONFIG_ASIGNATURAS!$B$7:$B$27,nASIG)&gt;0)*1),"")))</f>
        <v/>
      </c>
      <c r="Z734" t="str">
        <f>IF(Y734="","",IF(Y734="[FÓRMULA MANUAL]","",IFERROR(AVERAGEIFS(nNOTA,nNIA,Y734,nCUENTA,1,nASIG,"Análisis"),"")))</f>
        <v/>
      </c>
      <c r="AA734" t="str">
        <f>IF(Y734="","",IF(Y734="[FÓRMULA MANUAL]","",IFERROR(AVERAGEIFS(nNOTA,nNIA,Y734,nCUENTA,1,nASIG,"Orquesta/Banda/Conjunto"),"")))</f>
        <v/>
      </c>
      <c r="AB734" t="str">
        <f>IF(Y734="","",IF(Y734="[FÓRMULA MANUAL]","",IFERROR(AVERAGEIFS(nNOTA,nNIA,Y734,nCUENTA,1,nASIG,"Música de Cámara"),"")))</f>
        <v/>
      </c>
      <c r="AC734" t="str">
        <f>IF(Y734="","",IF(Y734="[FÓRMULA MANUAL]","",IFERROR(SUMPRODUCT((nNIA=Y734)*(nCUENTA=1)*(COUNTIF(CONFIG_ASIGNATURAS!$B$7:$B$27,nASIG)&gt;0)*(nNOTA))/SUMPRODUCT((nNIA=Y734)*(nCUENTA=1)*(COUNTIF(CONFIG_ASIGNATURAS!$B$7:$B$27,nASIG)&gt;0)*1),"")))</f>
        <v/>
      </c>
      <c r="AF734" t="str">
        <f>IF(AE734="","",IF(AE734="[FÓRMULA MANUAL]","",IFERROR(AVERAGEIFS(nNOTA,nNIA,AE734,nCUENTA,1,nASIG,"Análisis"),"")))</f>
        <v/>
      </c>
      <c r="AG734" t="str">
        <f>IF(AE734="","",IF(AE734="[FÓRMULA MANUAL]","",IFERROR(AVERAGEIFS(nNOTA,nNIA,AE734,nCUENTA,1,nASIG,"Orquesta/Banda/Conjunto"),"")))</f>
        <v/>
      </c>
      <c r="AH734" t="str">
        <f>IF(AE734="","",IF(AE734="[FÓRMULA MANUAL]","",IFERROR(AVERAGEIFS(nNOTA,nNIA,AE734,nCUENTA,1,nASIG,"Música de Cámara"),"")))</f>
        <v/>
      </c>
      <c r="AI734" t="str">
        <f>IF(AE734="","",IF(AE734="[FÓRMULA MANUAL]","",IFERROR(SUMPRODUCT((nNIA=AE734)*(nCUENTA=1)*(COUNTIF(CONFIG_ASIGNATURAS!$B$7:$B$27,nASIG)&gt;0)*(nNOTA))/SUMPRODUCT((nNIA=AE734)*(nCUENTA=1)*(COUNTIF(CONFIG_ASIGNATURAS!$B$7:$B$27,nASIG)&gt;0)*1),"")))</f>
        <v/>
      </c>
    </row>
    <row r="735" spans="2:35" x14ac:dyDescent="0.2">
      <c r="B735" t="str">
        <f>IF(A735="","",IF(A735="[FÓRMULA MANUAL]","",IFERROR(AVERAGEIFS(nNOTA,nNIA,A735,nCUENTA,1,nASIG,"Lenguaje Musical"),"")))</f>
        <v/>
      </c>
      <c r="C735" t="str">
        <f>IF(A735="","",IF(A735="[FÓRMULA MANUAL]","",IFERROR(AVERAGEIFS(nNOTA,nNIA,A735,nCUENTA,1,nASIG,"Orquesta/Banda/Conjunto"),"")))</f>
        <v/>
      </c>
      <c r="D735" t="str">
        <f>IF(A735="","",IF(A735="[FÓRMULA MANUAL]","",IFERROR(AVERAGEIFS(nNOTA,nNIA,A735,nCUENTA,1,nASIG,"Conjunto"),"")))</f>
        <v/>
      </c>
      <c r="E735" t="str">
        <f>IF(A735="","",IF(A735="[FÓRMULA MANUAL]","",IFERROR(SUMPRODUCT((nNIA=A735)*(nCUENTA=1)*(COUNTIF(CONFIG_ASIGNATURAS!$B$7:$B$27,nASIG)&gt;0)*(nNOTA))/SUMPRODUCT((nNIA=A735)*(nCUENTA=1)*(COUNTIF(CONFIG_ASIGNATURAS!$B$7:$B$27,nASIG)&gt;0)*1),"")))</f>
        <v/>
      </c>
      <c r="H735" t="str">
        <f>IF(G735="","",IF(G735="[FÓRMULA MANUAL]","",IFERROR(AVERAGEIFS(nNOTA,nNIA,G735,nCUENTA,1,nASIG,"Lenguaje Musical"),"")))</f>
        <v/>
      </c>
      <c r="I735" t="str">
        <f>IF(G735="","",IF(G735="[FÓRMULA MANUAL]","",IFERROR(AVERAGEIFS(nNOTA,nNIA,G735,nCUENTA,1,nASIG,"Orquesta/Banda/Conjunto"),"")))</f>
        <v/>
      </c>
      <c r="J735" t="str">
        <f>IF(G735="","",IF(G735="[FÓRMULA MANUAL]","",IFERROR(AVERAGEIFS(nNOTA,nNIA,G735,nCUENTA,1,nASIG,"Conjunto"),"")))</f>
        <v/>
      </c>
      <c r="K735" t="str">
        <f>IF(G735="","",IF(G735="[FÓRMULA MANUAL]","",IFERROR(SUMPRODUCT((nNIA=G735)*(nCUENTA=1)*(COUNTIF(CONFIG_ASIGNATURAS!$B$7:$B$27,nASIG)&gt;0)*(nNOTA))/SUMPRODUCT((nNIA=G735)*(nCUENTA=1)*(COUNTIF(CONFIG_ASIGNATURAS!$B$7:$B$27,nASIG)&gt;0)*1),"")))</f>
        <v/>
      </c>
      <c r="N735" t="str">
        <f>IF(M735="","",IF(M735="[FÓRMULA MANUAL]","",IFERROR(AVERAGEIFS(nNOTA,nNIA,M735,nCUENTA,1,nASIG,"Armonía"),"")))</f>
        <v/>
      </c>
      <c r="O735" t="str">
        <f>IF(M735="","",IF(M735="[FÓRMULA MANUAL]","",IFERROR(AVERAGEIFS(nNOTA,nNIA,M735,nCUENTA,1,nASIG,"Orquesta/Banda/Conjunto"),"")))</f>
        <v/>
      </c>
      <c r="P735" t="str">
        <f>IF(M735="","",IF(M735="[FÓRMULA MANUAL]","",IFERROR(AVERAGEIFS(nNOTA,nNIA,M735,nCUENTA,1,nASIG,"Música de Cámara"),"")))</f>
        <v/>
      </c>
      <c r="Q735" t="str">
        <f>IF(M735="","",IF(M735="[FÓRMULA MANUAL]","",IFERROR(SUMPRODUCT((nNIA=M735)*(nCUENTA=1)*(COUNTIF(CONFIG_ASIGNATURAS!$B$7:$B$27,nASIG)&gt;0)*(nNOTA))/SUMPRODUCT((nNIA=M735)*(nCUENTA=1)*(COUNTIF(CONFIG_ASIGNATURAS!$B$7:$B$27,nASIG)&gt;0)*1),"")))</f>
        <v/>
      </c>
      <c r="T735" t="str">
        <f>IF(S735="","",IF(S735="[FÓRMULA MANUAL]","",IFERROR(AVERAGEIFS(nNOTA,nNIA,S735,nCUENTA,1,nASIG,"Armonía"),"")))</f>
        <v/>
      </c>
      <c r="U735" t="str">
        <f>IF(S735="","",IF(S735="[FÓRMULA MANUAL]","",IFERROR(AVERAGEIFS(nNOTA,nNIA,S735,nCUENTA,1,nASIG,"Orquesta/Banda/Conjunto"),"")))</f>
        <v/>
      </c>
      <c r="V735" t="str">
        <f>IF(S735="","",IF(S735="[FÓRMULA MANUAL]","",IFERROR(AVERAGEIFS(nNOTA,nNIA,S735,nCUENTA,1,nASIG,"Música de Cámara"),"")))</f>
        <v/>
      </c>
      <c r="W735" t="str">
        <f>IF(S735="","",IF(S735="[FÓRMULA MANUAL]","",IFERROR(SUMPRODUCT((nNIA=S735)*(nCUENTA=1)*(COUNTIF(CONFIG_ASIGNATURAS!$B$7:$B$27,nASIG)&gt;0)*(nNOTA))/SUMPRODUCT((nNIA=S735)*(nCUENTA=1)*(COUNTIF(CONFIG_ASIGNATURAS!$B$7:$B$27,nASIG)&gt;0)*1),"")))</f>
        <v/>
      </c>
      <c r="Z735" t="str">
        <f>IF(Y735="","",IF(Y735="[FÓRMULA MANUAL]","",IFERROR(AVERAGEIFS(nNOTA,nNIA,Y735,nCUENTA,1,nASIG,"Análisis"),"")))</f>
        <v/>
      </c>
      <c r="AA735" t="str">
        <f>IF(Y735="","",IF(Y735="[FÓRMULA MANUAL]","",IFERROR(AVERAGEIFS(nNOTA,nNIA,Y735,nCUENTA,1,nASIG,"Orquesta/Banda/Conjunto"),"")))</f>
        <v/>
      </c>
      <c r="AB735" t="str">
        <f>IF(Y735="","",IF(Y735="[FÓRMULA MANUAL]","",IFERROR(AVERAGEIFS(nNOTA,nNIA,Y735,nCUENTA,1,nASIG,"Música de Cámara"),"")))</f>
        <v/>
      </c>
      <c r="AC735" t="str">
        <f>IF(Y735="","",IF(Y735="[FÓRMULA MANUAL]","",IFERROR(SUMPRODUCT((nNIA=Y735)*(nCUENTA=1)*(COUNTIF(CONFIG_ASIGNATURAS!$B$7:$B$27,nASIG)&gt;0)*(nNOTA))/SUMPRODUCT((nNIA=Y735)*(nCUENTA=1)*(COUNTIF(CONFIG_ASIGNATURAS!$B$7:$B$27,nASIG)&gt;0)*1),"")))</f>
        <v/>
      </c>
      <c r="AF735" t="str">
        <f>IF(AE735="","",IF(AE735="[FÓRMULA MANUAL]","",IFERROR(AVERAGEIFS(nNOTA,nNIA,AE735,nCUENTA,1,nASIG,"Análisis"),"")))</f>
        <v/>
      </c>
      <c r="AG735" t="str">
        <f>IF(AE735="","",IF(AE735="[FÓRMULA MANUAL]","",IFERROR(AVERAGEIFS(nNOTA,nNIA,AE735,nCUENTA,1,nASIG,"Orquesta/Banda/Conjunto"),"")))</f>
        <v/>
      </c>
      <c r="AH735" t="str">
        <f>IF(AE735="","",IF(AE735="[FÓRMULA MANUAL]","",IFERROR(AVERAGEIFS(nNOTA,nNIA,AE735,nCUENTA,1,nASIG,"Música de Cámara"),"")))</f>
        <v/>
      </c>
      <c r="AI735" t="str">
        <f>IF(AE735="","",IF(AE735="[FÓRMULA MANUAL]","",IFERROR(SUMPRODUCT((nNIA=AE735)*(nCUENTA=1)*(COUNTIF(CONFIG_ASIGNATURAS!$B$7:$B$27,nASIG)&gt;0)*(nNOTA))/SUMPRODUCT((nNIA=AE735)*(nCUENTA=1)*(COUNTIF(CONFIG_ASIGNATURAS!$B$7:$B$27,nASIG)&gt;0)*1),"")))</f>
        <v/>
      </c>
    </row>
    <row r="736" spans="2:35" x14ac:dyDescent="0.2">
      <c r="B736" t="str">
        <f>IF(A736="","",IF(A736="[FÓRMULA MANUAL]","",IFERROR(AVERAGEIFS(nNOTA,nNIA,A736,nCUENTA,1,nASIG,"Lenguaje Musical"),"")))</f>
        <v/>
      </c>
      <c r="C736" t="str">
        <f>IF(A736="","",IF(A736="[FÓRMULA MANUAL]","",IFERROR(AVERAGEIFS(nNOTA,nNIA,A736,nCUENTA,1,nASIG,"Orquesta/Banda/Conjunto"),"")))</f>
        <v/>
      </c>
      <c r="D736" t="str">
        <f>IF(A736="","",IF(A736="[FÓRMULA MANUAL]","",IFERROR(AVERAGEIFS(nNOTA,nNIA,A736,nCUENTA,1,nASIG,"Conjunto"),"")))</f>
        <v/>
      </c>
      <c r="E736" t="str">
        <f>IF(A736="","",IF(A736="[FÓRMULA MANUAL]","",IFERROR(SUMPRODUCT((nNIA=A736)*(nCUENTA=1)*(COUNTIF(CONFIG_ASIGNATURAS!$B$7:$B$27,nASIG)&gt;0)*(nNOTA))/SUMPRODUCT((nNIA=A736)*(nCUENTA=1)*(COUNTIF(CONFIG_ASIGNATURAS!$B$7:$B$27,nASIG)&gt;0)*1),"")))</f>
        <v/>
      </c>
      <c r="H736" t="str">
        <f>IF(G736="","",IF(G736="[FÓRMULA MANUAL]","",IFERROR(AVERAGEIFS(nNOTA,nNIA,G736,nCUENTA,1,nASIG,"Lenguaje Musical"),"")))</f>
        <v/>
      </c>
      <c r="I736" t="str">
        <f>IF(G736="","",IF(G736="[FÓRMULA MANUAL]","",IFERROR(AVERAGEIFS(nNOTA,nNIA,G736,nCUENTA,1,nASIG,"Orquesta/Banda/Conjunto"),"")))</f>
        <v/>
      </c>
      <c r="J736" t="str">
        <f>IF(G736="","",IF(G736="[FÓRMULA MANUAL]","",IFERROR(AVERAGEIFS(nNOTA,nNIA,G736,nCUENTA,1,nASIG,"Conjunto"),"")))</f>
        <v/>
      </c>
      <c r="K736" t="str">
        <f>IF(G736="","",IF(G736="[FÓRMULA MANUAL]","",IFERROR(SUMPRODUCT((nNIA=G736)*(nCUENTA=1)*(COUNTIF(CONFIG_ASIGNATURAS!$B$7:$B$27,nASIG)&gt;0)*(nNOTA))/SUMPRODUCT((nNIA=G736)*(nCUENTA=1)*(COUNTIF(CONFIG_ASIGNATURAS!$B$7:$B$27,nASIG)&gt;0)*1),"")))</f>
        <v/>
      </c>
      <c r="N736" t="str">
        <f>IF(M736="","",IF(M736="[FÓRMULA MANUAL]","",IFERROR(AVERAGEIFS(nNOTA,nNIA,M736,nCUENTA,1,nASIG,"Armonía"),"")))</f>
        <v/>
      </c>
      <c r="O736" t="str">
        <f>IF(M736="","",IF(M736="[FÓRMULA MANUAL]","",IFERROR(AVERAGEIFS(nNOTA,nNIA,M736,nCUENTA,1,nASIG,"Orquesta/Banda/Conjunto"),"")))</f>
        <v/>
      </c>
      <c r="P736" t="str">
        <f>IF(M736="","",IF(M736="[FÓRMULA MANUAL]","",IFERROR(AVERAGEIFS(nNOTA,nNIA,M736,nCUENTA,1,nASIG,"Música de Cámara"),"")))</f>
        <v/>
      </c>
      <c r="Q736" t="str">
        <f>IF(M736="","",IF(M736="[FÓRMULA MANUAL]","",IFERROR(SUMPRODUCT((nNIA=M736)*(nCUENTA=1)*(COUNTIF(CONFIG_ASIGNATURAS!$B$7:$B$27,nASIG)&gt;0)*(nNOTA))/SUMPRODUCT((nNIA=M736)*(nCUENTA=1)*(COUNTIF(CONFIG_ASIGNATURAS!$B$7:$B$27,nASIG)&gt;0)*1),"")))</f>
        <v/>
      </c>
      <c r="T736" t="str">
        <f>IF(S736="","",IF(S736="[FÓRMULA MANUAL]","",IFERROR(AVERAGEIFS(nNOTA,nNIA,S736,nCUENTA,1,nASIG,"Armonía"),"")))</f>
        <v/>
      </c>
      <c r="U736" t="str">
        <f>IF(S736="","",IF(S736="[FÓRMULA MANUAL]","",IFERROR(AVERAGEIFS(nNOTA,nNIA,S736,nCUENTA,1,nASIG,"Orquesta/Banda/Conjunto"),"")))</f>
        <v/>
      </c>
      <c r="V736" t="str">
        <f>IF(S736="","",IF(S736="[FÓRMULA MANUAL]","",IFERROR(AVERAGEIFS(nNOTA,nNIA,S736,nCUENTA,1,nASIG,"Música de Cámara"),"")))</f>
        <v/>
      </c>
      <c r="W736" t="str">
        <f>IF(S736="","",IF(S736="[FÓRMULA MANUAL]","",IFERROR(SUMPRODUCT((nNIA=S736)*(nCUENTA=1)*(COUNTIF(CONFIG_ASIGNATURAS!$B$7:$B$27,nASIG)&gt;0)*(nNOTA))/SUMPRODUCT((nNIA=S736)*(nCUENTA=1)*(COUNTIF(CONFIG_ASIGNATURAS!$B$7:$B$27,nASIG)&gt;0)*1),"")))</f>
        <v/>
      </c>
      <c r="Z736" t="str">
        <f>IF(Y736="","",IF(Y736="[FÓRMULA MANUAL]","",IFERROR(AVERAGEIFS(nNOTA,nNIA,Y736,nCUENTA,1,nASIG,"Análisis"),"")))</f>
        <v/>
      </c>
      <c r="AA736" t="str">
        <f>IF(Y736="","",IF(Y736="[FÓRMULA MANUAL]","",IFERROR(AVERAGEIFS(nNOTA,nNIA,Y736,nCUENTA,1,nASIG,"Orquesta/Banda/Conjunto"),"")))</f>
        <v/>
      </c>
      <c r="AB736" t="str">
        <f>IF(Y736="","",IF(Y736="[FÓRMULA MANUAL]","",IFERROR(AVERAGEIFS(nNOTA,nNIA,Y736,nCUENTA,1,nASIG,"Música de Cámara"),"")))</f>
        <v/>
      </c>
      <c r="AC736" t="str">
        <f>IF(Y736="","",IF(Y736="[FÓRMULA MANUAL]","",IFERROR(SUMPRODUCT((nNIA=Y736)*(nCUENTA=1)*(COUNTIF(CONFIG_ASIGNATURAS!$B$7:$B$27,nASIG)&gt;0)*(nNOTA))/SUMPRODUCT((nNIA=Y736)*(nCUENTA=1)*(COUNTIF(CONFIG_ASIGNATURAS!$B$7:$B$27,nASIG)&gt;0)*1),"")))</f>
        <v/>
      </c>
      <c r="AF736" t="str">
        <f>IF(AE736="","",IF(AE736="[FÓRMULA MANUAL]","",IFERROR(AVERAGEIFS(nNOTA,nNIA,AE736,nCUENTA,1,nASIG,"Análisis"),"")))</f>
        <v/>
      </c>
      <c r="AG736" t="str">
        <f>IF(AE736="","",IF(AE736="[FÓRMULA MANUAL]","",IFERROR(AVERAGEIFS(nNOTA,nNIA,AE736,nCUENTA,1,nASIG,"Orquesta/Banda/Conjunto"),"")))</f>
        <v/>
      </c>
      <c r="AH736" t="str">
        <f>IF(AE736="","",IF(AE736="[FÓRMULA MANUAL]","",IFERROR(AVERAGEIFS(nNOTA,nNIA,AE736,nCUENTA,1,nASIG,"Música de Cámara"),"")))</f>
        <v/>
      </c>
      <c r="AI736" t="str">
        <f>IF(AE736="","",IF(AE736="[FÓRMULA MANUAL]","",IFERROR(SUMPRODUCT((nNIA=AE736)*(nCUENTA=1)*(COUNTIF(CONFIG_ASIGNATURAS!$B$7:$B$27,nASIG)&gt;0)*(nNOTA))/SUMPRODUCT((nNIA=AE736)*(nCUENTA=1)*(COUNTIF(CONFIG_ASIGNATURAS!$B$7:$B$27,nASIG)&gt;0)*1),"")))</f>
        <v/>
      </c>
    </row>
    <row r="737" spans="2:35" x14ac:dyDescent="0.2">
      <c r="B737" t="str">
        <f>IF(A737="","",IF(A737="[FÓRMULA MANUAL]","",IFERROR(AVERAGEIFS(nNOTA,nNIA,A737,nCUENTA,1,nASIG,"Lenguaje Musical"),"")))</f>
        <v/>
      </c>
      <c r="C737" t="str">
        <f>IF(A737="","",IF(A737="[FÓRMULA MANUAL]","",IFERROR(AVERAGEIFS(nNOTA,nNIA,A737,nCUENTA,1,nASIG,"Orquesta/Banda/Conjunto"),"")))</f>
        <v/>
      </c>
      <c r="D737" t="str">
        <f>IF(A737="","",IF(A737="[FÓRMULA MANUAL]","",IFERROR(AVERAGEIFS(nNOTA,nNIA,A737,nCUENTA,1,nASIG,"Conjunto"),"")))</f>
        <v/>
      </c>
      <c r="E737" t="str">
        <f>IF(A737="","",IF(A737="[FÓRMULA MANUAL]","",IFERROR(SUMPRODUCT((nNIA=A737)*(nCUENTA=1)*(COUNTIF(CONFIG_ASIGNATURAS!$B$7:$B$27,nASIG)&gt;0)*(nNOTA))/SUMPRODUCT((nNIA=A737)*(nCUENTA=1)*(COUNTIF(CONFIG_ASIGNATURAS!$B$7:$B$27,nASIG)&gt;0)*1),"")))</f>
        <v/>
      </c>
      <c r="H737" t="str">
        <f>IF(G737="","",IF(G737="[FÓRMULA MANUAL]","",IFERROR(AVERAGEIFS(nNOTA,nNIA,G737,nCUENTA,1,nASIG,"Lenguaje Musical"),"")))</f>
        <v/>
      </c>
      <c r="I737" t="str">
        <f>IF(G737="","",IF(G737="[FÓRMULA MANUAL]","",IFERROR(AVERAGEIFS(nNOTA,nNIA,G737,nCUENTA,1,nASIG,"Orquesta/Banda/Conjunto"),"")))</f>
        <v/>
      </c>
      <c r="J737" t="str">
        <f>IF(G737="","",IF(G737="[FÓRMULA MANUAL]","",IFERROR(AVERAGEIFS(nNOTA,nNIA,G737,nCUENTA,1,nASIG,"Conjunto"),"")))</f>
        <v/>
      </c>
      <c r="K737" t="str">
        <f>IF(G737="","",IF(G737="[FÓRMULA MANUAL]","",IFERROR(SUMPRODUCT((nNIA=G737)*(nCUENTA=1)*(COUNTIF(CONFIG_ASIGNATURAS!$B$7:$B$27,nASIG)&gt;0)*(nNOTA))/SUMPRODUCT((nNIA=G737)*(nCUENTA=1)*(COUNTIF(CONFIG_ASIGNATURAS!$B$7:$B$27,nASIG)&gt;0)*1),"")))</f>
        <v/>
      </c>
      <c r="N737" t="str">
        <f>IF(M737="","",IF(M737="[FÓRMULA MANUAL]","",IFERROR(AVERAGEIFS(nNOTA,nNIA,M737,nCUENTA,1,nASIG,"Armonía"),"")))</f>
        <v/>
      </c>
      <c r="O737" t="str">
        <f>IF(M737="","",IF(M737="[FÓRMULA MANUAL]","",IFERROR(AVERAGEIFS(nNOTA,nNIA,M737,nCUENTA,1,nASIG,"Orquesta/Banda/Conjunto"),"")))</f>
        <v/>
      </c>
      <c r="P737" t="str">
        <f>IF(M737="","",IF(M737="[FÓRMULA MANUAL]","",IFERROR(AVERAGEIFS(nNOTA,nNIA,M737,nCUENTA,1,nASIG,"Música de Cámara"),"")))</f>
        <v/>
      </c>
      <c r="Q737" t="str">
        <f>IF(M737="","",IF(M737="[FÓRMULA MANUAL]","",IFERROR(SUMPRODUCT((nNIA=M737)*(nCUENTA=1)*(COUNTIF(CONFIG_ASIGNATURAS!$B$7:$B$27,nASIG)&gt;0)*(nNOTA))/SUMPRODUCT((nNIA=M737)*(nCUENTA=1)*(COUNTIF(CONFIG_ASIGNATURAS!$B$7:$B$27,nASIG)&gt;0)*1),"")))</f>
        <v/>
      </c>
      <c r="T737" t="str">
        <f>IF(S737="","",IF(S737="[FÓRMULA MANUAL]","",IFERROR(AVERAGEIFS(nNOTA,nNIA,S737,nCUENTA,1,nASIG,"Armonía"),"")))</f>
        <v/>
      </c>
      <c r="U737" t="str">
        <f>IF(S737="","",IF(S737="[FÓRMULA MANUAL]","",IFERROR(AVERAGEIFS(nNOTA,nNIA,S737,nCUENTA,1,nASIG,"Orquesta/Banda/Conjunto"),"")))</f>
        <v/>
      </c>
      <c r="V737" t="str">
        <f>IF(S737="","",IF(S737="[FÓRMULA MANUAL]","",IFERROR(AVERAGEIFS(nNOTA,nNIA,S737,nCUENTA,1,nASIG,"Música de Cámara"),"")))</f>
        <v/>
      </c>
      <c r="W737" t="str">
        <f>IF(S737="","",IF(S737="[FÓRMULA MANUAL]","",IFERROR(SUMPRODUCT((nNIA=S737)*(nCUENTA=1)*(COUNTIF(CONFIG_ASIGNATURAS!$B$7:$B$27,nASIG)&gt;0)*(nNOTA))/SUMPRODUCT((nNIA=S737)*(nCUENTA=1)*(COUNTIF(CONFIG_ASIGNATURAS!$B$7:$B$27,nASIG)&gt;0)*1),"")))</f>
        <v/>
      </c>
      <c r="Z737" t="str">
        <f>IF(Y737="","",IF(Y737="[FÓRMULA MANUAL]","",IFERROR(AVERAGEIFS(nNOTA,nNIA,Y737,nCUENTA,1,nASIG,"Análisis"),"")))</f>
        <v/>
      </c>
      <c r="AA737" t="str">
        <f>IF(Y737="","",IF(Y737="[FÓRMULA MANUAL]","",IFERROR(AVERAGEIFS(nNOTA,nNIA,Y737,nCUENTA,1,nASIG,"Orquesta/Banda/Conjunto"),"")))</f>
        <v/>
      </c>
      <c r="AB737" t="str">
        <f>IF(Y737="","",IF(Y737="[FÓRMULA MANUAL]","",IFERROR(AVERAGEIFS(nNOTA,nNIA,Y737,nCUENTA,1,nASIG,"Música de Cámara"),"")))</f>
        <v/>
      </c>
      <c r="AC737" t="str">
        <f>IF(Y737="","",IF(Y737="[FÓRMULA MANUAL]","",IFERROR(SUMPRODUCT((nNIA=Y737)*(nCUENTA=1)*(COUNTIF(CONFIG_ASIGNATURAS!$B$7:$B$27,nASIG)&gt;0)*(nNOTA))/SUMPRODUCT((nNIA=Y737)*(nCUENTA=1)*(COUNTIF(CONFIG_ASIGNATURAS!$B$7:$B$27,nASIG)&gt;0)*1),"")))</f>
        <v/>
      </c>
      <c r="AF737" t="str">
        <f>IF(AE737="","",IF(AE737="[FÓRMULA MANUAL]","",IFERROR(AVERAGEIFS(nNOTA,nNIA,AE737,nCUENTA,1,nASIG,"Análisis"),"")))</f>
        <v/>
      </c>
      <c r="AG737" t="str">
        <f>IF(AE737="","",IF(AE737="[FÓRMULA MANUAL]","",IFERROR(AVERAGEIFS(nNOTA,nNIA,AE737,nCUENTA,1,nASIG,"Orquesta/Banda/Conjunto"),"")))</f>
        <v/>
      </c>
      <c r="AH737" t="str">
        <f>IF(AE737="","",IF(AE737="[FÓRMULA MANUAL]","",IFERROR(AVERAGEIFS(nNOTA,nNIA,AE737,nCUENTA,1,nASIG,"Música de Cámara"),"")))</f>
        <v/>
      </c>
      <c r="AI737" t="str">
        <f>IF(AE737="","",IF(AE737="[FÓRMULA MANUAL]","",IFERROR(SUMPRODUCT((nNIA=AE737)*(nCUENTA=1)*(COUNTIF(CONFIG_ASIGNATURAS!$B$7:$B$27,nASIG)&gt;0)*(nNOTA))/SUMPRODUCT((nNIA=AE737)*(nCUENTA=1)*(COUNTIF(CONFIG_ASIGNATURAS!$B$7:$B$27,nASIG)&gt;0)*1),"")))</f>
        <v/>
      </c>
    </row>
    <row r="738" spans="2:35" x14ac:dyDescent="0.2">
      <c r="B738" t="str">
        <f>IF(A738="","",IF(A738="[FÓRMULA MANUAL]","",IFERROR(AVERAGEIFS(nNOTA,nNIA,A738,nCUENTA,1,nASIG,"Lenguaje Musical"),"")))</f>
        <v/>
      </c>
      <c r="C738" t="str">
        <f>IF(A738="","",IF(A738="[FÓRMULA MANUAL]","",IFERROR(AVERAGEIFS(nNOTA,nNIA,A738,nCUENTA,1,nASIG,"Orquesta/Banda/Conjunto"),"")))</f>
        <v/>
      </c>
      <c r="D738" t="str">
        <f>IF(A738="","",IF(A738="[FÓRMULA MANUAL]","",IFERROR(AVERAGEIFS(nNOTA,nNIA,A738,nCUENTA,1,nASIG,"Conjunto"),"")))</f>
        <v/>
      </c>
      <c r="E738" t="str">
        <f>IF(A738="","",IF(A738="[FÓRMULA MANUAL]","",IFERROR(SUMPRODUCT((nNIA=A738)*(nCUENTA=1)*(COUNTIF(CONFIG_ASIGNATURAS!$B$7:$B$27,nASIG)&gt;0)*(nNOTA))/SUMPRODUCT((nNIA=A738)*(nCUENTA=1)*(COUNTIF(CONFIG_ASIGNATURAS!$B$7:$B$27,nASIG)&gt;0)*1),"")))</f>
        <v/>
      </c>
      <c r="H738" t="str">
        <f>IF(G738="","",IF(G738="[FÓRMULA MANUAL]","",IFERROR(AVERAGEIFS(nNOTA,nNIA,G738,nCUENTA,1,nASIG,"Lenguaje Musical"),"")))</f>
        <v/>
      </c>
      <c r="I738" t="str">
        <f>IF(G738="","",IF(G738="[FÓRMULA MANUAL]","",IFERROR(AVERAGEIFS(nNOTA,nNIA,G738,nCUENTA,1,nASIG,"Orquesta/Banda/Conjunto"),"")))</f>
        <v/>
      </c>
      <c r="J738" t="str">
        <f>IF(G738="","",IF(G738="[FÓRMULA MANUAL]","",IFERROR(AVERAGEIFS(nNOTA,nNIA,G738,nCUENTA,1,nASIG,"Conjunto"),"")))</f>
        <v/>
      </c>
      <c r="K738" t="str">
        <f>IF(G738="","",IF(G738="[FÓRMULA MANUAL]","",IFERROR(SUMPRODUCT((nNIA=G738)*(nCUENTA=1)*(COUNTIF(CONFIG_ASIGNATURAS!$B$7:$B$27,nASIG)&gt;0)*(nNOTA))/SUMPRODUCT((nNIA=G738)*(nCUENTA=1)*(COUNTIF(CONFIG_ASIGNATURAS!$B$7:$B$27,nASIG)&gt;0)*1),"")))</f>
        <v/>
      </c>
      <c r="N738" t="str">
        <f>IF(M738="","",IF(M738="[FÓRMULA MANUAL]","",IFERROR(AVERAGEIFS(nNOTA,nNIA,M738,nCUENTA,1,nASIG,"Armonía"),"")))</f>
        <v/>
      </c>
      <c r="O738" t="str">
        <f>IF(M738="","",IF(M738="[FÓRMULA MANUAL]","",IFERROR(AVERAGEIFS(nNOTA,nNIA,M738,nCUENTA,1,nASIG,"Orquesta/Banda/Conjunto"),"")))</f>
        <v/>
      </c>
      <c r="P738" t="str">
        <f>IF(M738="","",IF(M738="[FÓRMULA MANUAL]","",IFERROR(AVERAGEIFS(nNOTA,nNIA,M738,nCUENTA,1,nASIG,"Música de Cámara"),"")))</f>
        <v/>
      </c>
      <c r="Q738" t="str">
        <f>IF(M738="","",IF(M738="[FÓRMULA MANUAL]","",IFERROR(SUMPRODUCT((nNIA=M738)*(nCUENTA=1)*(COUNTIF(CONFIG_ASIGNATURAS!$B$7:$B$27,nASIG)&gt;0)*(nNOTA))/SUMPRODUCT((nNIA=M738)*(nCUENTA=1)*(COUNTIF(CONFIG_ASIGNATURAS!$B$7:$B$27,nASIG)&gt;0)*1),"")))</f>
        <v/>
      </c>
      <c r="T738" t="str">
        <f>IF(S738="","",IF(S738="[FÓRMULA MANUAL]","",IFERROR(AVERAGEIFS(nNOTA,nNIA,S738,nCUENTA,1,nASIG,"Armonía"),"")))</f>
        <v/>
      </c>
      <c r="U738" t="str">
        <f>IF(S738="","",IF(S738="[FÓRMULA MANUAL]","",IFERROR(AVERAGEIFS(nNOTA,nNIA,S738,nCUENTA,1,nASIG,"Orquesta/Banda/Conjunto"),"")))</f>
        <v/>
      </c>
      <c r="V738" t="str">
        <f>IF(S738="","",IF(S738="[FÓRMULA MANUAL]","",IFERROR(AVERAGEIFS(nNOTA,nNIA,S738,nCUENTA,1,nASIG,"Música de Cámara"),"")))</f>
        <v/>
      </c>
      <c r="W738" t="str">
        <f>IF(S738="","",IF(S738="[FÓRMULA MANUAL]","",IFERROR(SUMPRODUCT((nNIA=S738)*(nCUENTA=1)*(COUNTIF(CONFIG_ASIGNATURAS!$B$7:$B$27,nASIG)&gt;0)*(nNOTA))/SUMPRODUCT((nNIA=S738)*(nCUENTA=1)*(COUNTIF(CONFIG_ASIGNATURAS!$B$7:$B$27,nASIG)&gt;0)*1),"")))</f>
        <v/>
      </c>
      <c r="Z738" t="str">
        <f>IF(Y738="","",IF(Y738="[FÓRMULA MANUAL]","",IFERROR(AVERAGEIFS(nNOTA,nNIA,Y738,nCUENTA,1,nASIG,"Análisis"),"")))</f>
        <v/>
      </c>
      <c r="AA738" t="str">
        <f>IF(Y738="","",IF(Y738="[FÓRMULA MANUAL]","",IFERROR(AVERAGEIFS(nNOTA,nNIA,Y738,nCUENTA,1,nASIG,"Orquesta/Banda/Conjunto"),"")))</f>
        <v/>
      </c>
      <c r="AB738" t="str">
        <f>IF(Y738="","",IF(Y738="[FÓRMULA MANUAL]","",IFERROR(AVERAGEIFS(nNOTA,nNIA,Y738,nCUENTA,1,nASIG,"Música de Cámara"),"")))</f>
        <v/>
      </c>
      <c r="AC738" t="str">
        <f>IF(Y738="","",IF(Y738="[FÓRMULA MANUAL]","",IFERROR(SUMPRODUCT((nNIA=Y738)*(nCUENTA=1)*(COUNTIF(CONFIG_ASIGNATURAS!$B$7:$B$27,nASIG)&gt;0)*(nNOTA))/SUMPRODUCT((nNIA=Y738)*(nCUENTA=1)*(COUNTIF(CONFIG_ASIGNATURAS!$B$7:$B$27,nASIG)&gt;0)*1),"")))</f>
        <v/>
      </c>
      <c r="AF738" t="str">
        <f>IF(AE738="","",IF(AE738="[FÓRMULA MANUAL]","",IFERROR(AVERAGEIFS(nNOTA,nNIA,AE738,nCUENTA,1,nASIG,"Análisis"),"")))</f>
        <v/>
      </c>
      <c r="AG738" t="str">
        <f>IF(AE738="","",IF(AE738="[FÓRMULA MANUAL]","",IFERROR(AVERAGEIFS(nNOTA,nNIA,AE738,nCUENTA,1,nASIG,"Orquesta/Banda/Conjunto"),"")))</f>
        <v/>
      </c>
      <c r="AH738" t="str">
        <f>IF(AE738="","",IF(AE738="[FÓRMULA MANUAL]","",IFERROR(AVERAGEIFS(nNOTA,nNIA,AE738,nCUENTA,1,nASIG,"Música de Cámara"),"")))</f>
        <v/>
      </c>
      <c r="AI738" t="str">
        <f>IF(AE738="","",IF(AE738="[FÓRMULA MANUAL]","",IFERROR(SUMPRODUCT((nNIA=AE738)*(nCUENTA=1)*(COUNTIF(CONFIG_ASIGNATURAS!$B$7:$B$27,nASIG)&gt;0)*(nNOTA))/SUMPRODUCT((nNIA=AE738)*(nCUENTA=1)*(COUNTIF(CONFIG_ASIGNATURAS!$B$7:$B$27,nASIG)&gt;0)*1),"")))</f>
        <v/>
      </c>
    </row>
    <row r="739" spans="2:35" x14ac:dyDescent="0.2">
      <c r="B739" t="str">
        <f>IF(A739="","",IF(A739="[FÓRMULA MANUAL]","",IFERROR(AVERAGEIFS(nNOTA,nNIA,A739,nCUENTA,1,nASIG,"Lenguaje Musical"),"")))</f>
        <v/>
      </c>
      <c r="C739" t="str">
        <f>IF(A739="","",IF(A739="[FÓRMULA MANUAL]","",IFERROR(AVERAGEIFS(nNOTA,nNIA,A739,nCUENTA,1,nASIG,"Orquesta/Banda/Conjunto"),"")))</f>
        <v/>
      </c>
      <c r="D739" t="str">
        <f>IF(A739="","",IF(A739="[FÓRMULA MANUAL]","",IFERROR(AVERAGEIFS(nNOTA,nNIA,A739,nCUENTA,1,nASIG,"Conjunto"),"")))</f>
        <v/>
      </c>
      <c r="E739" t="str">
        <f>IF(A739="","",IF(A739="[FÓRMULA MANUAL]","",IFERROR(SUMPRODUCT((nNIA=A739)*(nCUENTA=1)*(COUNTIF(CONFIG_ASIGNATURAS!$B$7:$B$27,nASIG)&gt;0)*(nNOTA))/SUMPRODUCT((nNIA=A739)*(nCUENTA=1)*(COUNTIF(CONFIG_ASIGNATURAS!$B$7:$B$27,nASIG)&gt;0)*1),"")))</f>
        <v/>
      </c>
      <c r="H739" t="str">
        <f>IF(G739="","",IF(G739="[FÓRMULA MANUAL]","",IFERROR(AVERAGEIFS(nNOTA,nNIA,G739,nCUENTA,1,nASIG,"Lenguaje Musical"),"")))</f>
        <v/>
      </c>
      <c r="I739" t="str">
        <f>IF(G739="","",IF(G739="[FÓRMULA MANUAL]","",IFERROR(AVERAGEIFS(nNOTA,nNIA,G739,nCUENTA,1,nASIG,"Orquesta/Banda/Conjunto"),"")))</f>
        <v/>
      </c>
      <c r="J739" t="str">
        <f>IF(G739="","",IF(G739="[FÓRMULA MANUAL]","",IFERROR(AVERAGEIFS(nNOTA,nNIA,G739,nCUENTA,1,nASIG,"Conjunto"),"")))</f>
        <v/>
      </c>
      <c r="K739" t="str">
        <f>IF(G739="","",IF(G739="[FÓRMULA MANUAL]","",IFERROR(SUMPRODUCT((nNIA=G739)*(nCUENTA=1)*(COUNTIF(CONFIG_ASIGNATURAS!$B$7:$B$27,nASIG)&gt;0)*(nNOTA))/SUMPRODUCT((nNIA=G739)*(nCUENTA=1)*(COUNTIF(CONFIG_ASIGNATURAS!$B$7:$B$27,nASIG)&gt;0)*1),"")))</f>
        <v/>
      </c>
      <c r="N739" t="str">
        <f>IF(M739="","",IF(M739="[FÓRMULA MANUAL]","",IFERROR(AVERAGEIFS(nNOTA,nNIA,M739,nCUENTA,1,nASIG,"Armonía"),"")))</f>
        <v/>
      </c>
      <c r="O739" t="str">
        <f>IF(M739="","",IF(M739="[FÓRMULA MANUAL]","",IFERROR(AVERAGEIFS(nNOTA,nNIA,M739,nCUENTA,1,nASIG,"Orquesta/Banda/Conjunto"),"")))</f>
        <v/>
      </c>
      <c r="P739" t="str">
        <f>IF(M739="","",IF(M739="[FÓRMULA MANUAL]","",IFERROR(AVERAGEIFS(nNOTA,nNIA,M739,nCUENTA,1,nASIG,"Música de Cámara"),"")))</f>
        <v/>
      </c>
      <c r="Q739" t="str">
        <f>IF(M739="","",IF(M739="[FÓRMULA MANUAL]","",IFERROR(SUMPRODUCT((nNIA=M739)*(nCUENTA=1)*(COUNTIF(CONFIG_ASIGNATURAS!$B$7:$B$27,nASIG)&gt;0)*(nNOTA))/SUMPRODUCT((nNIA=M739)*(nCUENTA=1)*(COUNTIF(CONFIG_ASIGNATURAS!$B$7:$B$27,nASIG)&gt;0)*1),"")))</f>
        <v/>
      </c>
      <c r="T739" t="str">
        <f>IF(S739="","",IF(S739="[FÓRMULA MANUAL]","",IFERROR(AVERAGEIFS(nNOTA,nNIA,S739,nCUENTA,1,nASIG,"Armonía"),"")))</f>
        <v/>
      </c>
      <c r="U739" t="str">
        <f>IF(S739="","",IF(S739="[FÓRMULA MANUAL]","",IFERROR(AVERAGEIFS(nNOTA,nNIA,S739,nCUENTA,1,nASIG,"Orquesta/Banda/Conjunto"),"")))</f>
        <v/>
      </c>
      <c r="V739" t="str">
        <f>IF(S739="","",IF(S739="[FÓRMULA MANUAL]","",IFERROR(AVERAGEIFS(nNOTA,nNIA,S739,nCUENTA,1,nASIG,"Música de Cámara"),"")))</f>
        <v/>
      </c>
      <c r="W739" t="str">
        <f>IF(S739="","",IF(S739="[FÓRMULA MANUAL]","",IFERROR(SUMPRODUCT((nNIA=S739)*(nCUENTA=1)*(COUNTIF(CONFIG_ASIGNATURAS!$B$7:$B$27,nASIG)&gt;0)*(nNOTA))/SUMPRODUCT((nNIA=S739)*(nCUENTA=1)*(COUNTIF(CONFIG_ASIGNATURAS!$B$7:$B$27,nASIG)&gt;0)*1),"")))</f>
        <v/>
      </c>
      <c r="Z739" t="str">
        <f>IF(Y739="","",IF(Y739="[FÓRMULA MANUAL]","",IFERROR(AVERAGEIFS(nNOTA,nNIA,Y739,nCUENTA,1,nASIG,"Análisis"),"")))</f>
        <v/>
      </c>
      <c r="AA739" t="str">
        <f>IF(Y739="","",IF(Y739="[FÓRMULA MANUAL]","",IFERROR(AVERAGEIFS(nNOTA,nNIA,Y739,nCUENTA,1,nASIG,"Orquesta/Banda/Conjunto"),"")))</f>
        <v/>
      </c>
      <c r="AB739" t="str">
        <f>IF(Y739="","",IF(Y739="[FÓRMULA MANUAL]","",IFERROR(AVERAGEIFS(nNOTA,nNIA,Y739,nCUENTA,1,nASIG,"Música de Cámara"),"")))</f>
        <v/>
      </c>
      <c r="AC739" t="str">
        <f>IF(Y739="","",IF(Y739="[FÓRMULA MANUAL]","",IFERROR(SUMPRODUCT((nNIA=Y739)*(nCUENTA=1)*(COUNTIF(CONFIG_ASIGNATURAS!$B$7:$B$27,nASIG)&gt;0)*(nNOTA))/SUMPRODUCT((nNIA=Y739)*(nCUENTA=1)*(COUNTIF(CONFIG_ASIGNATURAS!$B$7:$B$27,nASIG)&gt;0)*1),"")))</f>
        <v/>
      </c>
      <c r="AF739" t="str">
        <f>IF(AE739="","",IF(AE739="[FÓRMULA MANUAL]","",IFERROR(AVERAGEIFS(nNOTA,nNIA,AE739,nCUENTA,1,nASIG,"Análisis"),"")))</f>
        <v/>
      </c>
      <c r="AG739" t="str">
        <f>IF(AE739="","",IF(AE739="[FÓRMULA MANUAL]","",IFERROR(AVERAGEIFS(nNOTA,nNIA,AE739,nCUENTA,1,nASIG,"Orquesta/Banda/Conjunto"),"")))</f>
        <v/>
      </c>
      <c r="AH739" t="str">
        <f>IF(AE739="","",IF(AE739="[FÓRMULA MANUAL]","",IFERROR(AVERAGEIFS(nNOTA,nNIA,AE739,nCUENTA,1,nASIG,"Música de Cámara"),"")))</f>
        <v/>
      </c>
      <c r="AI739" t="str">
        <f>IF(AE739="","",IF(AE739="[FÓRMULA MANUAL]","",IFERROR(SUMPRODUCT((nNIA=AE739)*(nCUENTA=1)*(COUNTIF(CONFIG_ASIGNATURAS!$B$7:$B$27,nASIG)&gt;0)*(nNOTA))/SUMPRODUCT((nNIA=AE739)*(nCUENTA=1)*(COUNTIF(CONFIG_ASIGNATURAS!$B$7:$B$27,nASIG)&gt;0)*1),"")))</f>
        <v/>
      </c>
    </row>
    <row r="740" spans="2:35" x14ac:dyDescent="0.2">
      <c r="B740" t="str">
        <f>IF(A740="","",IF(A740="[FÓRMULA MANUAL]","",IFERROR(AVERAGEIFS(nNOTA,nNIA,A740,nCUENTA,1,nASIG,"Lenguaje Musical"),"")))</f>
        <v/>
      </c>
      <c r="C740" t="str">
        <f>IF(A740="","",IF(A740="[FÓRMULA MANUAL]","",IFERROR(AVERAGEIFS(nNOTA,nNIA,A740,nCUENTA,1,nASIG,"Orquesta/Banda/Conjunto"),"")))</f>
        <v/>
      </c>
      <c r="D740" t="str">
        <f>IF(A740="","",IF(A740="[FÓRMULA MANUAL]","",IFERROR(AVERAGEIFS(nNOTA,nNIA,A740,nCUENTA,1,nASIG,"Conjunto"),"")))</f>
        <v/>
      </c>
      <c r="E740" t="str">
        <f>IF(A740="","",IF(A740="[FÓRMULA MANUAL]","",IFERROR(SUMPRODUCT((nNIA=A740)*(nCUENTA=1)*(COUNTIF(CONFIG_ASIGNATURAS!$B$7:$B$27,nASIG)&gt;0)*(nNOTA))/SUMPRODUCT((nNIA=A740)*(nCUENTA=1)*(COUNTIF(CONFIG_ASIGNATURAS!$B$7:$B$27,nASIG)&gt;0)*1),"")))</f>
        <v/>
      </c>
      <c r="H740" t="str">
        <f>IF(G740="","",IF(G740="[FÓRMULA MANUAL]","",IFERROR(AVERAGEIFS(nNOTA,nNIA,G740,nCUENTA,1,nASIG,"Lenguaje Musical"),"")))</f>
        <v/>
      </c>
      <c r="I740" t="str">
        <f>IF(G740="","",IF(G740="[FÓRMULA MANUAL]","",IFERROR(AVERAGEIFS(nNOTA,nNIA,G740,nCUENTA,1,nASIG,"Orquesta/Banda/Conjunto"),"")))</f>
        <v/>
      </c>
      <c r="J740" t="str">
        <f>IF(G740="","",IF(G740="[FÓRMULA MANUAL]","",IFERROR(AVERAGEIFS(nNOTA,nNIA,G740,nCUENTA,1,nASIG,"Conjunto"),"")))</f>
        <v/>
      </c>
      <c r="K740" t="str">
        <f>IF(G740="","",IF(G740="[FÓRMULA MANUAL]","",IFERROR(SUMPRODUCT((nNIA=G740)*(nCUENTA=1)*(COUNTIF(CONFIG_ASIGNATURAS!$B$7:$B$27,nASIG)&gt;0)*(nNOTA))/SUMPRODUCT((nNIA=G740)*(nCUENTA=1)*(COUNTIF(CONFIG_ASIGNATURAS!$B$7:$B$27,nASIG)&gt;0)*1),"")))</f>
        <v/>
      </c>
      <c r="N740" t="str">
        <f>IF(M740="","",IF(M740="[FÓRMULA MANUAL]","",IFERROR(AVERAGEIFS(nNOTA,nNIA,M740,nCUENTA,1,nASIG,"Armonía"),"")))</f>
        <v/>
      </c>
      <c r="O740" t="str">
        <f>IF(M740="","",IF(M740="[FÓRMULA MANUAL]","",IFERROR(AVERAGEIFS(nNOTA,nNIA,M740,nCUENTA,1,nASIG,"Orquesta/Banda/Conjunto"),"")))</f>
        <v/>
      </c>
      <c r="P740" t="str">
        <f>IF(M740="","",IF(M740="[FÓRMULA MANUAL]","",IFERROR(AVERAGEIFS(nNOTA,nNIA,M740,nCUENTA,1,nASIG,"Música de Cámara"),"")))</f>
        <v/>
      </c>
      <c r="Q740" t="str">
        <f>IF(M740="","",IF(M740="[FÓRMULA MANUAL]","",IFERROR(SUMPRODUCT((nNIA=M740)*(nCUENTA=1)*(COUNTIF(CONFIG_ASIGNATURAS!$B$7:$B$27,nASIG)&gt;0)*(nNOTA))/SUMPRODUCT((nNIA=M740)*(nCUENTA=1)*(COUNTIF(CONFIG_ASIGNATURAS!$B$7:$B$27,nASIG)&gt;0)*1),"")))</f>
        <v/>
      </c>
      <c r="T740" t="str">
        <f>IF(S740="","",IF(S740="[FÓRMULA MANUAL]","",IFERROR(AVERAGEIFS(nNOTA,nNIA,S740,nCUENTA,1,nASIG,"Armonía"),"")))</f>
        <v/>
      </c>
      <c r="U740" t="str">
        <f>IF(S740="","",IF(S740="[FÓRMULA MANUAL]","",IFERROR(AVERAGEIFS(nNOTA,nNIA,S740,nCUENTA,1,nASIG,"Orquesta/Banda/Conjunto"),"")))</f>
        <v/>
      </c>
      <c r="V740" t="str">
        <f>IF(S740="","",IF(S740="[FÓRMULA MANUAL]","",IFERROR(AVERAGEIFS(nNOTA,nNIA,S740,nCUENTA,1,nASIG,"Música de Cámara"),"")))</f>
        <v/>
      </c>
      <c r="W740" t="str">
        <f>IF(S740="","",IF(S740="[FÓRMULA MANUAL]","",IFERROR(SUMPRODUCT((nNIA=S740)*(nCUENTA=1)*(COUNTIF(CONFIG_ASIGNATURAS!$B$7:$B$27,nASIG)&gt;0)*(nNOTA))/SUMPRODUCT((nNIA=S740)*(nCUENTA=1)*(COUNTIF(CONFIG_ASIGNATURAS!$B$7:$B$27,nASIG)&gt;0)*1),"")))</f>
        <v/>
      </c>
      <c r="Z740" t="str">
        <f>IF(Y740="","",IF(Y740="[FÓRMULA MANUAL]","",IFERROR(AVERAGEIFS(nNOTA,nNIA,Y740,nCUENTA,1,nASIG,"Análisis"),"")))</f>
        <v/>
      </c>
      <c r="AA740" t="str">
        <f>IF(Y740="","",IF(Y740="[FÓRMULA MANUAL]","",IFERROR(AVERAGEIFS(nNOTA,nNIA,Y740,nCUENTA,1,nASIG,"Orquesta/Banda/Conjunto"),"")))</f>
        <v/>
      </c>
      <c r="AB740" t="str">
        <f>IF(Y740="","",IF(Y740="[FÓRMULA MANUAL]","",IFERROR(AVERAGEIFS(nNOTA,nNIA,Y740,nCUENTA,1,nASIG,"Música de Cámara"),"")))</f>
        <v/>
      </c>
      <c r="AC740" t="str">
        <f>IF(Y740="","",IF(Y740="[FÓRMULA MANUAL]","",IFERROR(SUMPRODUCT((nNIA=Y740)*(nCUENTA=1)*(COUNTIF(CONFIG_ASIGNATURAS!$B$7:$B$27,nASIG)&gt;0)*(nNOTA))/SUMPRODUCT((nNIA=Y740)*(nCUENTA=1)*(COUNTIF(CONFIG_ASIGNATURAS!$B$7:$B$27,nASIG)&gt;0)*1),"")))</f>
        <v/>
      </c>
      <c r="AF740" t="str">
        <f>IF(AE740="","",IF(AE740="[FÓRMULA MANUAL]","",IFERROR(AVERAGEIFS(nNOTA,nNIA,AE740,nCUENTA,1,nASIG,"Análisis"),"")))</f>
        <v/>
      </c>
      <c r="AG740" t="str">
        <f>IF(AE740="","",IF(AE740="[FÓRMULA MANUAL]","",IFERROR(AVERAGEIFS(nNOTA,nNIA,AE740,nCUENTA,1,nASIG,"Orquesta/Banda/Conjunto"),"")))</f>
        <v/>
      </c>
      <c r="AH740" t="str">
        <f>IF(AE740="","",IF(AE740="[FÓRMULA MANUAL]","",IFERROR(AVERAGEIFS(nNOTA,nNIA,AE740,nCUENTA,1,nASIG,"Música de Cámara"),"")))</f>
        <v/>
      </c>
      <c r="AI740" t="str">
        <f>IF(AE740="","",IF(AE740="[FÓRMULA MANUAL]","",IFERROR(SUMPRODUCT((nNIA=AE740)*(nCUENTA=1)*(COUNTIF(CONFIG_ASIGNATURAS!$B$7:$B$27,nASIG)&gt;0)*(nNOTA))/SUMPRODUCT((nNIA=AE740)*(nCUENTA=1)*(COUNTIF(CONFIG_ASIGNATURAS!$B$7:$B$27,nASIG)&gt;0)*1),"")))</f>
        <v/>
      </c>
    </row>
    <row r="741" spans="2:35" x14ac:dyDescent="0.2">
      <c r="B741" t="str">
        <f>IF(A741="","",IF(A741="[FÓRMULA MANUAL]","",IFERROR(AVERAGEIFS(nNOTA,nNIA,A741,nCUENTA,1,nASIG,"Lenguaje Musical"),"")))</f>
        <v/>
      </c>
      <c r="C741" t="str">
        <f>IF(A741="","",IF(A741="[FÓRMULA MANUAL]","",IFERROR(AVERAGEIFS(nNOTA,nNIA,A741,nCUENTA,1,nASIG,"Orquesta/Banda/Conjunto"),"")))</f>
        <v/>
      </c>
      <c r="D741" t="str">
        <f>IF(A741="","",IF(A741="[FÓRMULA MANUAL]","",IFERROR(AVERAGEIFS(nNOTA,nNIA,A741,nCUENTA,1,nASIG,"Conjunto"),"")))</f>
        <v/>
      </c>
      <c r="E741" t="str">
        <f>IF(A741="","",IF(A741="[FÓRMULA MANUAL]","",IFERROR(SUMPRODUCT((nNIA=A741)*(nCUENTA=1)*(COUNTIF(CONFIG_ASIGNATURAS!$B$7:$B$27,nASIG)&gt;0)*(nNOTA))/SUMPRODUCT((nNIA=A741)*(nCUENTA=1)*(COUNTIF(CONFIG_ASIGNATURAS!$B$7:$B$27,nASIG)&gt;0)*1),"")))</f>
        <v/>
      </c>
      <c r="H741" t="str">
        <f>IF(G741="","",IF(G741="[FÓRMULA MANUAL]","",IFERROR(AVERAGEIFS(nNOTA,nNIA,G741,nCUENTA,1,nASIG,"Lenguaje Musical"),"")))</f>
        <v/>
      </c>
      <c r="I741" t="str">
        <f>IF(G741="","",IF(G741="[FÓRMULA MANUAL]","",IFERROR(AVERAGEIFS(nNOTA,nNIA,G741,nCUENTA,1,nASIG,"Orquesta/Banda/Conjunto"),"")))</f>
        <v/>
      </c>
      <c r="J741" t="str">
        <f>IF(G741="","",IF(G741="[FÓRMULA MANUAL]","",IFERROR(AVERAGEIFS(nNOTA,nNIA,G741,nCUENTA,1,nASIG,"Conjunto"),"")))</f>
        <v/>
      </c>
      <c r="K741" t="str">
        <f>IF(G741="","",IF(G741="[FÓRMULA MANUAL]","",IFERROR(SUMPRODUCT((nNIA=G741)*(nCUENTA=1)*(COUNTIF(CONFIG_ASIGNATURAS!$B$7:$B$27,nASIG)&gt;0)*(nNOTA))/SUMPRODUCT((nNIA=G741)*(nCUENTA=1)*(COUNTIF(CONFIG_ASIGNATURAS!$B$7:$B$27,nASIG)&gt;0)*1),"")))</f>
        <v/>
      </c>
      <c r="N741" t="str">
        <f>IF(M741="","",IF(M741="[FÓRMULA MANUAL]","",IFERROR(AVERAGEIFS(nNOTA,nNIA,M741,nCUENTA,1,nASIG,"Armonía"),"")))</f>
        <v/>
      </c>
      <c r="O741" t="str">
        <f>IF(M741="","",IF(M741="[FÓRMULA MANUAL]","",IFERROR(AVERAGEIFS(nNOTA,nNIA,M741,nCUENTA,1,nASIG,"Orquesta/Banda/Conjunto"),"")))</f>
        <v/>
      </c>
      <c r="P741" t="str">
        <f>IF(M741="","",IF(M741="[FÓRMULA MANUAL]","",IFERROR(AVERAGEIFS(nNOTA,nNIA,M741,nCUENTA,1,nASIG,"Música de Cámara"),"")))</f>
        <v/>
      </c>
      <c r="Q741" t="str">
        <f>IF(M741="","",IF(M741="[FÓRMULA MANUAL]","",IFERROR(SUMPRODUCT((nNIA=M741)*(nCUENTA=1)*(COUNTIF(CONFIG_ASIGNATURAS!$B$7:$B$27,nASIG)&gt;0)*(nNOTA))/SUMPRODUCT((nNIA=M741)*(nCUENTA=1)*(COUNTIF(CONFIG_ASIGNATURAS!$B$7:$B$27,nASIG)&gt;0)*1),"")))</f>
        <v/>
      </c>
      <c r="T741" t="str">
        <f>IF(S741="","",IF(S741="[FÓRMULA MANUAL]","",IFERROR(AVERAGEIFS(nNOTA,nNIA,S741,nCUENTA,1,nASIG,"Armonía"),"")))</f>
        <v/>
      </c>
      <c r="U741" t="str">
        <f>IF(S741="","",IF(S741="[FÓRMULA MANUAL]","",IFERROR(AVERAGEIFS(nNOTA,nNIA,S741,nCUENTA,1,nASIG,"Orquesta/Banda/Conjunto"),"")))</f>
        <v/>
      </c>
      <c r="V741" t="str">
        <f>IF(S741="","",IF(S741="[FÓRMULA MANUAL]","",IFERROR(AVERAGEIFS(nNOTA,nNIA,S741,nCUENTA,1,nASIG,"Música de Cámara"),"")))</f>
        <v/>
      </c>
      <c r="W741" t="str">
        <f>IF(S741="","",IF(S741="[FÓRMULA MANUAL]","",IFERROR(SUMPRODUCT((nNIA=S741)*(nCUENTA=1)*(COUNTIF(CONFIG_ASIGNATURAS!$B$7:$B$27,nASIG)&gt;0)*(nNOTA))/SUMPRODUCT((nNIA=S741)*(nCUENTA=1)*(COUNTIF(CONFIG_ASIGNATURAS!$B$7:$B$27,nASIG)&gt;0)*1),"")))</f>
        <v/>
      </c>
      <c r="Z741" t="str">
        <f>IF(Y741="","",IF(Y741="[FÓRMULA MANUAL]","",IFERROR(AVERAGEIFS(nNOTA,nNIA,Y741,nCUENTA,1,nASIG,"Análisis"),"")))</f>
        <v/>
      </c>
      <c r="AA741" t="str">
        <f>IF(Y741="","",IF(Y741="[FÓRMULA MANUAL]","",IFERROR(AVERAGEIFS(nNOTA,nNIA,Y741,nCUENTA,1,nASIG,"Orquesta/Banda/Conjunto"),"")))</f>
        <v/>
      </c>
      <c r="AB741" t="str">
        <f>IF(Y741="","",IF(Y741="[FÓRMULA MANUAL]","",IFERROR(AVERAGEIFS(nNOTA,nNIA,Y741,nCUENTA,1,nASIG,"Música de Cámara"),"")))</f>
        <v/>
      </c>
      <c r="AC741" t="str">
        <f>IF(Y741="","",IF(Y741="[FÓRMULA MANUAL]","",IFERROR(SUMPRODUCT((nNIA=Y741)*(nCUENTA=1)*(COUNTIF(CONFIG_ASIGNATURAS!$B$7:$B$27,nASIG)&gt;0)*(nNOTA))/SUMPRODUCT((nNIA=Y741)*(nCUENTA=1)*(COUNTIF(CONFIG_ASIGNATURAS!$B$7:$B$27,nASIG)&gt;0)*1),"")))</f>
        <v/>
      </c>
      <c r="AF741" t="str">
        <f>IF(AE741="","",IF(AE741="[FÓRMULA MANUAL]","",IFERROR(AVERAGEIFS(nNOTA,nNIA,AE741,nCUENTA,1,nASIG,"Análisis"),"")))</f>
        <v/>
      </c>
      <c r="AG741" t="str">
        <f>IF(AE741="","",IF(AE741="[FÓRMULA MANUAL]","",IFERROR(AVERAGEIFS(nNOTA,nNIA,AE741,nCUENTA,1,nASIG,"Orquesta/Banda/Conjunto"),"")))</f>
        <v/>
      </c>
      <c r="AH741" t="str">
        <f>IF(AE741="","",IF(AE741="[FÓRMULA MANUAL]","",IFERROR(AVERAGEIFS(nNOTA,nNIA,AE741,nCUENTA,1,nASIG,"Música de Cámara"),"")))</f>
        <v/>
      </c>
      <c r="AI741" t="str">
        <f>IF(AE741="","",IF(AE741="[FÓRMULA MANUAL]","",IFERROR(SUMPRODUCT((nNIA=AE741)*(nCUENTA=1)*(COUNTIF(CONFIG_ASIGNATURAS!$B$7:$B$27,nASIG)&gt;0)*(nNOTA))/SUMPRODUCT((nNIA=AE741)*(nCUENTA=1)*(COUNTIF(CONFIG_ASIGNATURAS!$B$7:$B$27,nASIG)&gt;0)*1),"")))</f>
        <v/>
      </c>
    </row>
    <row r="742" spans="2:35" x14ac:dyDescent="0.2">
      <c r="B742" t="str">
        <f>IF(A742="","",IF(A742="[FÓRMULA MANUAL]","",IFERROR(AVERAGEIFS(nNOTA,nNIA,A742,nCUENTA,1,nASIG,"Lenguaje Musical"),"")))</f>
        <v/>
      </c>
      <c r="C742" t="str">
        <f>IF(A742="","",IF(A742="[FÓRMULA MANUAL]","",IFERROR(AVERAGEIFS(nNOTA,nNIA,A742,nCUENTA,1,nASIG,"Orquesta/Banda/Conjunto"),"")))</f>
        <v/>
      </c>
      <c r="D742" t="str">
        <f>IF(A742="","",IF(A742="[FÓRMULA MANUAL]","",IFERROR(AVERAGEIFS(nNOTA,nNIA,A742,nCUENTA,1,nASIG,"Conjunto"),"")))</f>
        <v/>
      </c>
      <c r="E742" t="str">
        <f>IF(A742="","",IF(A742="[FÓRMULA MANUAL]","",IFERROR(SUMPRODUCT((nNIA=A742)*(nCUENTA=1)*(COUNTIF(CONFIG_ASIGNATURAS!$B$7:$B$27,nASIG)&gt;0)*(nNOTA))/SUMPRODUCT((nNIA=A742)*(nCUENTA=1)*(COUNTIF(CONFIG_ASIGNATURAS!$B$7:$B$27,nASIG)&gt;0)*1),"")))</f>
        <v/>
      </c>
      <c r="H742" t="str">
        <f>IF(G742="","",IF(G742="[FÓRMULA MANUAL]","",IFERROR(AVERAGEIFS(nNOTA,nNIA,G742,nCUENTA,1,nASIG,"Lenguaje Musical"),"")))</f>
        <v/>
      </c>
      <c r="I742" t="str">
        <f>IF(G742="","",IF(G742="[FÓRMULA MANUAL]","",IFERROR(AVERAGEIFS(nNOTA,nNIA,G742,nCUENTA,1,nASIG,"Orquesta/Banda/Conjunto"),"")))</f>
        <v/>
      </c>
      <c r="J742" t="str">
        <f>IF(G742="","",IF(G742="[FÓRMULA MANUAL]","",IFERROR(AVERAGEIFS(nNOTA,nNIA,G742,nCUENTA,1,nASIG,"Conjunto"),"")))</f>
        <v/>
      </c>
      <c r="K742" t="str">
        <f>IF(G742="","",IF(G742="[FÓRMULA MANUAL]","",IFERROR(SUMPRODUCT((nNIA=G742)*(nCUENTA=1)*(COUNTIF(CONFIG_ASIGNATURAS!$B$7:$B$27,nASIG)&gt;0)*(nNOTA))/SUMPRODUCT((nNIA=G742)*(nCUENTA=1)*(COUNTIF(CONFIG_ASIGNATURAS!$B$7:$B$27,nASIG)&gt;0)*1),"")))</f>
        <v/>
      </c>
      <c r="N742" t="str">
        <f>IF(M742="","",IF(M742="[FÓRMULA MANUAL]","",IFERROR(AVERAGEIFS(nNOTA,nNIA,M742,nCUENTA,1,nASIG,"Armonía"),"")))</f>
        <v/>
      </c>
      <c r="O742" t="str">
        <f>IF(M742="","",IF(M742="[FÓRMULA MANUAL]","",IFERROR(AVERAGEIFS(nNOTA,nNIA,M742,nCUENTA,1,nASIG,"Orquesta/Banda/Conjunto"),"")))</f>
        <v/>
      </c>
      <c r="P742" t="str">
        <f>IF(M742="","",IF(M742="[FÓRMULA MANUAL]","",IFERROR(AVERAGEIFS(nNOTA,nNIA,M742,nCUENTA,1,nASIG,"Música de Cámara"),"")))</f>
        <v/>
      </c>
      <c r="Q742" t="str">
        <f>IF(M742="","",IF(M742="[FÓRMULA MANUAL]","",IFERROR(SUMPRODUCT((nNIA=M742)*(nCUENTA=1)*(COUNTIF(CONFIG_ASIGNATURAS!$B$7:$B$27,nASIG)&gt;0)*(nNOTA))/SUMPRODUCT((nNIA=M742)*(nCUENTA=1)*(COUNTIF(CONFIG_ASIGNATURAS!$B$7:$B$27,nASIG)&gt;0)*1),"")))</f>
        <v/>
      </c>
      <c r="T742" t="str">
        <f>IF(S742="","",IF(S742="[FÓRMULA MANUAL]","",IFERROR(AVERAGEIFS(nNOTA,nNIA,S742,nCUENTA,1,nASIG,"Armonía"),"")))</f>
        <v/>
      </c>
      <c r="U742" t="str">
        <f>IF(S742="","",IF(S742="[FÓRMULA MANUAL]","",IFERROR(AVERAGEIFS(nNOTA,nNIA,S742,nCUENTA,1,nASIG,"Orquesta/Banda/Conjunto"),"")))</f>
        <v/>
      </c>
      <c r="V742" t="str">
        <f>IF(S742="","",IF(S742="[FÓRMULA MANUAL]","",IFERROR(AVERAGEIFS(nNOTA,nNIA,S742,nCUENTA,1,nASIG,"Música de Cámara"),"")))</f>
        <v/>
      </c>
      <c r="W742" t="str">
        <f>IF(S742="","",IF(S742="[FÓRMULA MANUAL]","",IFERROR(SUMPRODUCT((nNIA=S742)*(nCUENTA=1)*(COUNTIF(CONFIG_ASIGNATURAS!$B$7:$B$27,nASIG)&gt;0)*(nNOTA))/SUMPRODUCT((nNIA=S742)*(nCUENTA=1)*(COUNTIF(CONFIG_ASIGNATURAS!$B$7:$B$27,nASIG)&gt;0)*1),"")))</f>
        <v/>
      </c>
      <c r="Z742" t="str">
        <f>IF(Y742="","",IF(Y742="[FÓRMULA MANUAL]","",IFERROR(AVERAGEIFS(nNOTA,nNIA,Y742,nCUENTA,1,nASIG,"Análisis"),"")))</f>
        <v/>
      </c>
      <c r="AA742" t="str">
        <f>IF(Y742="","",IF(Y742="[FÓRMULA MANUAL]","",IFERROR(AVERAGEIFS(nNOTA,nNIA,Y742,nCUENTA,1,nASIG,"Orquesta/Banda/Conjunto"),"")))</f>
        <v/>
      </c>
      <c r="AB742" t="str">
        <f>IF(Y742="","",IF(Y742="[FÓRMULA MANUAL]","",IFERROR(AVERAGEIFS(nNOTA,nNIA,Y742,nCUENTA,1,nASIG,"Música de Cámara"),"")))</f>
        <v/>
      </c>
      <c r="AC742" t="str">
        <f>IF(Y742="","",IF(Y742="[FÓRMULA MANUAL]","",IFERROR(SUMPRODUCT((nNIA=Y742)*(nCUENTA=1)*(COUNTIF(CONFIG_ASIGNATURAS!$B$7:$B$27,nASIG)&gt;0)*(nNOTA))/SUMPRODUCT((nNIA=Y742)*(nCUENTA=1)*(COUNTIF(CONFIG_ASIGNATURAS!$B$7:$B$27,nASIG)&gt;0)*1),"")))</f>
        <v/>
      </c>
      <c r="AF742" t="str">
        <f>IF(AE742="","",IF(AE742="[FÓRMULA MANUAL]","",IFERROR(AVERAGEIFS(nNOTA,nNIA,AE742,nCUENTA,1,nASIG,"Análisis"),"")))</f>
        <v/>
      </c>
      <c r="AG742" t="str">
        <f>IF(AE742="","",IF(AE742="[FÓRMULA MANUAL]","",IFERROR(AVERAGEIFS(nNOTA,nNIA,AE742,nCUENTA,1,nASIG,"Orquesta/Banda/Conjunto"),"")))</f>
        <v/>
      </c>
      <c r="AH742" t="str">
        <f>IF(AE742="","",IF(AE742="[FÓRMULA MANUAL]","",IFERROR(AVERAGEIFS(nNOTA,nNIA,AE742,nCUENTA,1,nASIG,"Música de Cámara"),"")))</f>
        <v/>
      </c>
      <c r="AI742" t="str">
        <f>IF(AE742="","",IF(AE742="[FÓRMULA MANUAL]","",IFERROR(SUMPRODUCT((nNIA=AE742)*(nCUENTA=1)*(COUNTIF(CONFIG_ASIGNATURAS!$B$7:$B$27,nASIG)&gt;0)*(nNOTA))/SUMPRODUCT((nNIA=AE742)*(nCUENTA=1)*(COUNTIF(CONFIG_ASIGNATURAS!$B$7:$B$27,nASIG)&gt;0)*1),"")))</f>
        <v/>
      </c>
    </row>
    <row r="743" spans="2:35" x14ac:dyDescent="0.2">
      <c r="B743" t="str">
        <f>IF(A743="","",IF(A743="[FÓRMULA MANUAL]","",IFERROR(AVERAGEIFS(nNOTA,nNIA,A743,nCUENTA,1,nASIG,"Lenguaje Musical"),"")))</f>
        <v/>
      </c>
      <c r="C743" t="str">
        <f>IF(A743="","",IF(A743="[FÓRMULA MANUAL]","",IFERROR(AVERAGEIFS(nNOTA,nNIA,A743,nCUENTA,1,nASIG,"Orquesta/Banda/Conjunto"),"")))</f>
        <v/>
      </c>
      <c r="D743" t="str">
        <f>IF(A743="","",IF(A743="[FÓRMULA MANUAL]","",IFERROR(AVERAGEIFS(nNOTA,nNIA,A743,nCUENTA,1,nASIG,"Conjunto"),"")))</f>
        <v/>
      </c>
      <c r="E743" t="str">
        <f>IF(A743="","",IF(A743="[FÓRMULA MANUAL]","",IFERROR(SUMPRODUCT((nNIA=A743)*(nCUENTA=1)*(COUNTIF(CONFIG_ASIGNATURAS!$B$7:$B$27,nASIG)&gt;0)*(nNOTA))/SUMPRODUCT((nNIA=A743)*(nCUENTA=1)*(COUNTIF(CONFIG_ASIGNATURAS!$B$7:$B$27,nASIG)&gt;0)*1),"")))</f>
        <v/>
      </c>
      <c r="H743" t="str">
        <f>IF(G743="","",IF(G743="[FÓRMULA MANUAL]","",IFERROR(AVERAGEIFS(nNOTA,nNIA,G743,nCUENTA,1,nASIG,"Lenguaje Musical"),"")))</f>
        <v/>
      </c>
      <c r="I743" t="str">
        <f>IF(G743="","",IF(G743="[FÓRMULA MANUAL]","",IFERROR(AVERAGEIFS(nNOTA,nNIA,G743,nCUENTA,1,nASIG,"Orquesta/Banda/Conjunto"),"")))</f>
        <v/>
      </c>
      <c r="J743" t="str">
        <f>IF(G743="","",IF(G743="[FÓRMULA MANUAL]","",IFERROR(AVERAGEIFS(nNOTA,nNIA,G743,nCUENTA,1,nASIG,"Conjunto"),"")))</f>
        <v/>
      </c>
      <c r="K743" t="str">
        <f>IF(G743="","",IF(G743="[FÓRMULA MANUAL]","",IFERROR(SUMPRODUCT((nNIA=G743)*(nCUENTA=1)*(COUNTIF(CONFIG_ASIGNATURAS!$B$7:$B$27,nASIG)&gt;0)*(nNOTA))/SUMPRODUCT((nNIA=G743)*(nCUENTA=1)*(COUNTIF(CONFIG_ASIGNATURAS!$B$7:$B$27,nASIG)&gt;0)*1),"")))</f>
        <v/>
      </c>
      <c r="N743" t="str">
        <f>IF(M743="","",IF(M743="[FÓRMULA MANUAL]","",IFERROR(AVERAGEIFS(nNOTA,nNIA,M743,nCUENTA,1,nASIG,"Armonía"),"")))</f>
        <v/>
      </c>
      <c r="O743" t="str">
        <f>IF(M743="","",IF(M743="[FÓRMULA MANUAL]","",IFERROR(AVERAGEIFS(nNOTA,nNIA,M743,nCUENTA,1,nASIG,"Orquesta/Banda/Conjunto"),"")))</f>
        <v/>
      </c>
      <c r="P743" t="str">
        <f>IF(M743="","",IF(M743="[FÓRMULA MANUAL]","",IFERROR(AVERAGEIFS(nNOTA,nNIA,M743,nCUENTA,1,nASIG,"Música de Cámara"),"")))</f>
        <v/>
      </c>
      <c r="Q743" t="str">
        <f>IF(M743="","",IF(M743="[FÓRMULA MANUAL]","",IFERROR(SUMPRODUCT((nNIA=M743)*(nCUENTA=1)*(COUNTIF(CONFIG_ASIGNATURAS!$B$7:$B$27,nASIG)&gt;0)*(nNOTA))/SUMPRODUCT((nNIA=M743)*(nCUENTA=1)*(COUNTIF(CONFIG_ASIGNATURAS!$B$7:$B$27,nASIG)&gt;0)*1),"")))</f>
        <v/>
      </c>
      <c r="T743" t="str">
        <f>IF(S743="","",IF(S743="[FÓRMULA MANUAL]","",IFERROR(AVERAGEIFS(nNOTA,nNIA,S743,nCUENTA,1,nASIG,"Armonía"),"")))</f>
        <v/>
      </c>
      <c r="U743" t="str">
        <f>IF(S743="","",IF(S743="[FÓRMULA MANUAL]","",IFERROR(AVERAGEIFS(nNOTA,nNIA,S743,nCUENTA,1,nASIG,"Orquesta/Banda/Conjunto"),"")))</f>
        <v/>
      </c>
      <c r="V743" t="str">
        <f>IF(S743="","",IF(S743="[FÓRMULA MANUAL]","",IFERROR(AVERAGEIFS(nNOTA,nNIA,S743,nCUENTA,1,nASIG,"Música de Cámara"),"")))</f>
        <v/>
      </c>
      <c r="W743" t="str">
        <f>IF(S743="","",IF(S743="[FÓRMULA MANUAL]","",IFERROR(SUMPRODUCT((nNIA=S743)*(nCUENTA=1)*(COUNTIF(CONFIG_ASIGNATURAS!$B$7:$B$27,nASIG)&gt;0)*(nNOTA))/SUMPRODUCT((nNIA=S743)*(nCUENTA=1)*(COUNTIF(CONFIG_ASIGNATURAS!$B$7:$B$27,nASIG)&gt;0)*1),"")))</f>
        <v/>
      </c>
      <c r="Z743" t="str">
        <f>IF(Y743="","",IF(Y743="[FÓRMULA MANUAL]","",IFERROR(AVERAGEIFS(nNOTA,nNIA,Y743,nCUENTA,1,nASIG,"Análisis"),"")))</f>
        <v/>
      </c>
      <c r="AA743" t="str">
        <f>IF(Y743="","",IF(Y743="[FÓRMULA MANUAL]","",IFERROR(AVERAGEIFS(nNOTA,nNIA,Y743,nCUENTA,1,nASIG,"Orquesta/Banda/Conjunto"),"")))</f>
        <v/>
      </c>
      <c r="AB743" t="str">
        <f>IF(Y743="","",IF(Y743="[FÓRMULA MANUAL]","",IFERROR(AVERAGEIFS(nNOTA,nNIA,Y743,nCUENTA,1,nASIG,"Música de Cámara"),"")))</f>
        <v/>
      </c>
      <c r="AC743" t="str">
        <f>IF(Y743="","",IF(Y743="[FÓRMULA MANUAL]","",IFERROR(SUMPRODUCT((nNIA=Y743)*(nCUENTA=1)*(COUNTIF(CONFIG_ASIGNATURAS!$B$7:$B$27,nASIG)&gt;0)*(nNOTA))/SUMPRODUCT((nNIA=Y743)*(nCUENTA=1)*(COUNTIF(CONFIG_ASIGNATURAS!$B$7:$B$27,nASIG)&gt;0)*1),"")))</f>
        <v/>
      </c>
      <c r="AF743" t="str">
        <f>IF(AE743="","",IF(AE743="[FÓRMULA MANUAL]","",IFERROR(AVERAGEIFS(nNOTA,nNIA,AE743,nCUENTA,1,nASIG,"Análisis"),"")))</f>
        <v/>
      </c>
      <c r="AG743" t="str">
        <f>IF(AE743="","",IF(AE743="[FÓRMULA MANUAL]","",IFERROR(AVERAGEIFS(nNOTA,nNIA,AE743,nCUENTA,1,nASIG,"Orquesta/Banda/Conjunto"),"")))</f>
        <v/>
      </c>
      <c r="AH743" t="str">
        <f>IF(AE743="","",IF(AE743="[FÓRMULA MANUAL]","",IFERROR(AVERAGEIFS(nNOTA,nNIA,AE743,nCUENTA,1,nASIG,"Música de Cámara"),"")))</f>
        <v/>
      </c>
      <c r="AI743" t="str">
        <f>IF(AE743="","",IF(AE743="[FÓRMULA MANUAL]","",IFERROR(SUMPRODUCT((nNIA=AE743)*(nCUENTA=1)*(COUNTIF(CONFIG_ASIGNATURAS!$B$7:$B$27,nASIG)&gt;0)*(nNOTA))/SUMPRODUCT((nNIA=AE743)*(nCUENTA=1)*(COUNTIF(CONFIG_ASIGNATURAS!$B$7:$B$27,nASIG)&gt;0)*1),"")))</f>
        <v/>
      </c>
    </row>
    <row r="744" spans="2:35" x14ac:dyDescent="0.2">
      <c r="B744" t="str">
        <f>IF(A744="","",IF(A744="[FÓRMULA MANUAL]","",IFERROR(AVERAGEIFS(nNOTA,nNIA,A744,nCUENTA,1,nASIG,"Lenguaje Musical"),"")))</f>
        <v/>
      </c>
      <c r="C744" t="str">
        <f>IF(A744="","",IF(A744="[FÓRMULA MANUAL]","",IFERROR(AVERAGEIFS(nNOTA,nNIA,A744,nCUENTA,1,nASIG,"Orquesta/Banda/Conjunto"),"")))</f>
        <v/>
      </c>
      <c r="D744" t="str">
        <f>IF(A744="","",IF(A744="[FÓRMULA MANUAL]","",IFERROR(AVERAGEIFS(nNOTA,nNIA,A744,nCUENTA,1,nASIG,"Conjunto"),"")))</f>
        <v/>
      </c>
      <c r="E744" t="str">
        <f>IF(A744="","",IF(A744="[FÓRMULA MANUAL]","",IFERROR(SUMPRODUCT((nNIA=A744)*(nCUENTA=1)*(COUNTIF(CONFIG_ASIGNATURAS!$B$7:$B$27,nASIG)&gt;0)*(nNOTA))/SUMPRODUCT((nNIA=A744)*(nCUENTA=1)*(COUNTIF(CONFIG_ASIGNATURAS!$B$7:$B$27,nASIG)&gt;0)*1),"")))</f>
        <v/>
      </c>
      <c r="H744" t="str">
        <f>IF(G744="","",IF(G744="[FÓRMULA MANUAL]","",IFERROR(AVERAGEIFS(nNOTA,nNIA,G744,nCUENTA,1,nASIG,"Lenguaje Musical"),"")))</f>
        <v/>
      </c>
      <c r="I744" t="str">
        <f>IF(G744="","",IF(G744="[FÓRMULA MANUAL]","",IFERROR(AVERAGEIFS(nNOTA,nNIA,G744,nCUENTA,1,nASIG,"Orquesta/Banda/Conjunto"),"")))</f>
        <v/>
      </c>
      <c r="J744" t="str">
        <f>IF(G744="","",IF(G744="[FÓRMULA MANUAL]","",IFERROR(AVERAGEIFS(nNOTA,nNIA,G744,nCUENTA,1,nASIG,"Conjunto"),"")))</f>
        <v/>
      </c>
      <c r="K744" t="str">
        <f>IF(G744="","",IF(G744="[FÓRMULA MANUAL]","",IFERROR(SUMPRODUCT((nNIA=G744)*(nCUENTA=1)*(COUNTIF(CONFIG_ASIGNATURAS!$B$7:$B$27,nASIG)&gt;0)*(nNOTA))/SUMPRODUCT((nNIA=G744)*(nCUENTA=1)*(COUNTIF(CONFIG_ASIGNATURAS!$B$7:$B$27,nASIG)&gt;0)*1),"")))</f>
        <v/>
      </c>
      <c r="N744" t="str">
        <f>IF(M744="","",IF(M744="[FÓRMULA MANUAL]","",IFERROR(AVERAGEIFS(nNOTA,nNIA,M744,nCUENTA,1,nASIG,"Armonía"),"")))</f>
        <v/>
      </c>
      <c r="O744" t="str">
        <f>IF(M744="","",IF(M744="[FÓRMULA MANUAL]","",IFERROR(AVERAGEIFS(nNOTA,nNIA,M744,nCUENTA,1,nASIG,"Orquesta/Banda/Conjunto"),"")))</f>
        <v/>
      </c>
      <c r="P744" t="str">
        <f>IF(M744="","",IF(M744="[FÓRMULA MANUAL]","",IFERROR(AVERAGEIFS(nNOTA,nNIA,M744,nCUENTA,1,nASIG,"Música de Cámara"),"")))</f>
        <v/>
      </c>
      <c r="Q744" t="str">
        <f>IF(M744="","",IF(M744="[FÓRMULA MANUAL]","",IFERROR(SUMPRODUCT((nNIA=M744)*(nCUENTA=1)*(COUNTIF(CONFIG_ASIGNATURAS!$B$7:$B$27,nASIG)&gt;0)*(nNOTA))/SUMPRODUCT((nNIA=M744)*(nCUENTA=1)*(COUNTIF(CONFIG_ASIGNATURAS!$B$7:$B$27,nASIG)&gt;0)*1),"")))</f>
        <v/>
      </c>
      <c r="T744" t="str">
        <f>IF(S744="","",IF(S744="[FÓRMULA MANUAL]","",IFERROR(AVERAGEIFS(nNOTA,nNIA,S744,nCUENTA,1,nASIG,"Armonía"),"")))</f>
        <v/>
      </c>
      <c r="U744" t="str">
        <f>IF(S744="","",IF(S744="[FÓRMULA MANUAL]","",IFERROR(AVERAGEIFS(nNOTA,nNIA,S744,nCUENTA,1,nASIG,"Orquesta/Banda/Conjunto"),"")))</f>
        <v/>
      </c>
      <c r="V744" t="str">
        <f>IF(S744="","",IF(S744="[FÓRMULA MANUAL]","",IFERROR(AVERAGEIFS(nNOTA,nNIA,S744,nCUENTA,1,nASIG,"Música de Cámara"),"")))</f>
        <v/>
      </c>
      <c r="W744" t="str">
        <f>IF(S744="","",IF(S744="[FÓRMULA MANUAL]","",IFERROR(SUMPRODUCT((nNIA=S744)*(nCUENTA=1)*(COUNTIF(CONFIG_ASIGNATURAS!$B$7:$B$27,nASIG)&gt;0)*(nNOTA))/SUMPRODUCT((nNIA=S744)*(nCUENTA=1)*(COUNTIF(CONFIG_ASIGNATURAS!$B$7:$B$27,nASIG)&gt;0)*1),"")))</f>
        <v/>
      </c>
      <c r="Z744" t="str">
        <f>IF(Y744="","",IF(Y744="[FÓRMULA MANUAL]","",IFERROR(AVERAGEIFS(nNOTA,nNIA,Y744,nCUENTA,1,nASIG,"Análisis"),"")))</f>
        <v/>
      </c>
      <c r="AA744" t="str">
        <f>IF(Y744="","",IF(Y744="[FÓRMULA MANUAL]","",IFERROR(AVERAGEIFS(nNOTA,nNIA,Y744,nCUENTA,1,nASIG,"Orquesta/Banda/Conjunto"),"")))</f>
        <v/>
      </c>
      <c r="AB744" t="str">
        <f>IF(Y744="","",IF(Y744="[FÓRMULA MANUAL]","",IFERROR(AVERAGEIFS(nNOTA,nNIA,Y744,nCUENTA,1,nASIG,"Música de Cámara"),"")))</f>
        <v/>
      </c>
      <c r="AC744" t="str">
        <f>IF(Y744="","",IF(Y744="[FÓRMULA MANUAL]","",IFERROR(SUMPRODUCT((nNIA=Y744)*(nCUENTA=1)*(COUNTIF(CONFIG_ASIGNATURAS!$B$7:$B$27,nASIG)&gt;0)*(nNOTA))/SUMPRODUCT((nNIA=Y744)*(nCUENTA=1)*(COUNTIF(CONFIG_ASIGNATURAS!$B$7:$B$27,nASIG)&gt;0)*1),"")))</f>
        <v/>
      </c>
      <c r="AF744" t="str">
        <f>IF(AE744="","",IF(AE744="[FÓRMULA MANUAL]","",IFERROR(AVERAGEIFS(nNOTA,nNIA,AE744,nCUENTA,1,nASIG,"Análisis"),"")))</f>
        <v/>
      </c>
      <c r="AG744" t="str">
        <f>IF(AE744="","",IF(AE744="[FÓRMULA MANUAL]","",IFERROR(AVERAGEIFS(nNOTA,nNIA,AE744,nCUENTA,1,nASIG,"Orquesta/Banda/Conjunto"),"")))</f>
        <v/>
      </c>
      <c r="AH744" t="str">
        <f>IF(AE744="","",IF(AE744="[FÓRMULA MANUAL]","",IFERROR(AVERAGEIFS(nNOTA,nNIA,AE744,nCUENTA,1,nASIG,"Música de Cámara"),"")))</f>
        <v/>
      </c>
      <c r="AI744" t="str">
        <f>IF(AE744="","",IF(AE744="[FÓRMULA MANUAL]","",IFERROR(SUMPRODUCT((nNIA=AE744)*(nCUENTA=1)*(COUNTIF(CONFIG_ASIGNATURAS!$B$7:$B$27,nASIG)&gt;0)*(nNOTA))/SUMPRODUCT((nNIA=AE744)*(nCUENTA=1)*(COUNTIF(CONFIG_ASIGNATURAS!$B$7:$B$27,nASIG)&gt;0)*1),"")))</f>
        <v/>
      </c>
    </row>
    <row r="745" spans="2:35" x14ac:dyDescent="0.2">
      <c r="B745" t="str">
        <f>IF(A745="","",IF(A745="[FÓRMULA MANUAL]","",IFERROR(AVERAGEIFS(nNOTA,nNIA,A745,nCUENTA,1,nASIG,"Lenguaje Musical"),"")))</f>
        <v/>
      </c>
      <c r="C745" t="str">
        <f>IF(A745="","",IF(A745="[FÓRMULA MANUAL]","",IFERROR(AVERAGEIFS(nNOTA,nNIA,A745,nCUENTA,1,nASIG,"Orquesta/Banda/Conjunto"),"")))</f>
        <v/>
      </c>
      <c r="D745" t="str">
        <f>IF(A745="","",IF(A745="[FÓRMULA MANUAL]","",IFERROR(AVERAGEIFS(nNOTA,nNIA,A745,nCUENTA,1,nASIG,"Conjunto"),"")))</f>
        <v/>
      </c>
      <c r="E745" t="str">
        <f>IF(A745="","",IF(A745="[FÓRMULA MANUAL]","",IFERROR(SUMPRODUCT((nNIA=A745)*(nCUENTA=1)*(COUNTIF(CONFIG_ASIGNATURAS!$B$7:$B$27,nASIG)&gt;0)*(nNOTA))/SUMPRODUCT((nNIA=A745)*(nCUENTA=1)*(COUNTIF(CONFIG_ASIGNATURAS!$B$7:$B$27,nASIG)&gt;0)*1),"")))</f>
        <v/>
      </c>
      <c r="H745" t="str">
        <f>IF(G745="","",IF(G745="[FÓRMULA MANUAL]","",IFERROR(AVERAGEIFS(nNOTA,nNIA,G745,nCUENTA,1,nASIG,"Lenguaje Musical"),"")))</f>
        <v/>
      </c>
      <c r="I745" t="str">
        <f>IF(G745="","",IF(G745="[FÓRMULA MANUAL]","",IFERROR(AVERAGEIFS(nNOTA,nNIA,G745,nCUENTA,1,nASIG,"Orquesta/Banda/Conjunto"),"")))</f>
        <v/>
      </c>
      <c r="J745" t="str">
        <f>IF(G745="","",IF(G745="[FÓRMULA MANUAL]","",IFERROR(AVERAGEIFS(nNOTA,nNIA,G745,nCUENTA,1,nASIG,"Conjunto"),"")))</f>
        <v/>
      </c>
      <c r="K745" t="str">
        <f>IF(G745="","",IF(G745="[FÓRMULA MANUAL]","",IFERROR(SUMPRODUCT((nNIA=G745)*(nCUENTA=1)*(COUNTIF(CONFIG_ASIGNATURAS!$B$7:$B$27,nASIG)&gt;0)*(nNOTA))/SUMPRODUCT((nNIA=G745)*(nCUENTA=1)*(COUNTIF(CONFIG_ASIGNATURAS!$B$7:$B$27,nASIG)&gt;0)*1),"")))</f>
        <v/>
      </c>
      <c r="N745" t="str">
        <f>IF(M745="","",IF(M745="[FÓRMULA MANUAL]","",IFERROR(AVERAGEIFS(nNOTA,nNIA,M745,nCUENTA,1,nASIG,"Armonía"),"")))</f>
        <v/>
      </c>
      <c r="O745" t="str">
        <f>IF(M745="","",IF(M745="[FÓRMULA MANUAL]","",IFERROR(AVERAGEIFS(nNOTA,nNIA,M745,nCUENTA,1,nASIG,"Orquesta/Banda/Conjunto"),"")))</f>
        <v/>
      </c>
      <c r="P745" t="str">
        <f>IF(M745="","",IF(M745="[FÓRMULA MANUAL]","",IFERROR(AVERAGEIFS(nNOTA,nNIA,M745,nCUENTA,1,nASIG,"Música de Cámara"),"")))</f>
        <v/>
      </c>
      <c r="Q745" t="str">
        <f>IF(M745="","",IF(M745="[FÓRMULA MANUAL]","",IFERROR(SUMPRODUCT((nNIA=M745)*(nCUENTA=1)*(COUNTIF(CONFIG_ASIGNATURAS!$B$7:$B$27,nASIG)&gt;0)*(nNOTA))/SUMPRODUCT((nNIA=M745)*(nCUENTA=1)*(COUNTIF(CONFIG_ASIGNATURAS!$B$7:$B$27,nASIG)&gt;0)*1),"")))</f>
        <v/>
      </c>
      <c r="T745" t="str">
        <f>IF(S745="","",IF(S745="[FÓRMULA MANUAL]","",IFERROR(AVERAGEIFS(nNOTA,nNIA,S745,nCUENTA,1,nASIG,"Armonía"),"")))</f>
        <v/>
      </c>
      <c r="U745" t="str">
        <f>IF(S745="","",IF(S745="[FÓRMULA MANUAL]","",IFERROR(AVERAGEIFS(nNOTA,nNIA,S745,nCUENTA,1,nASIG,"Orquesta/Banda/Conjunto"),"")))</f>
        <v/>
      </c>
      <c r="V745" t="str">
        <f>IF(S745="","",IF(S745="[FÓRMULA MANUAL]","",IFERROR(AVERAGEIFS(nNOTA,nNIA,S745,nCUENTA,1,nASIG,"Música de Cámara"),"")))</f>
        <v/>
      </c>
      <c r="W745" t="str">
        <f>IF(S745="","",IF(S745="[FÓRMULA MANUAL]","",IFERROR(SUMPRODUCT((nNIA=S745)*(nCUENTA=1)*(COUNTIF(CONFIG_ASIGNATURAS!$B$7:$B$27,nASIG)&gt;0)*(nNOTA))/SUMPRODUCT((nNIA=S745)*(nCUENTA=1)*(COUNTIF(CONFIG_ASIGNATURAS!$B$7:$B$27,nASIG)&gt;0)*1),"")))</f>
        <v/>
      </c>
      <c r="Z745" t="str">
        <f>IF(Y745="","",IF(Y745="[FÓRMULA MANUAL]","",IFERROR(AVERAGEIFS(nNOTA,nNIA,Y745,nCUENTA,1,nASIG,"Análisis"),"")))</f>
        <v/>
      </c>
      <c r="AA745" t="str">
        <f>IF(Y745="","",IF(Y745="[FÓRMULA MANUAL]","",IFERROR(AVERAGEIFS(nNOTA,nNIA,Y745,nCUENTA,1,nASIG,"Orquesta/Banda/Conjunto"),"")))</f>
        <v/>
      </c>
      <c r="AB745" t="str">
        <f>IF(Y745="","",IF(Y745="[FÓRMULA MANUAL]","",IFERROR(AVERAGEIFS(nNOTA,nNIA,Y745,nCUENTA,1,nASIG,"Música de Cámara"),"")))</f>
        <v/>
      </c>
      <c r="AC745" t="str">
        <f>IF(Y745="","",IF(Y745="[FÓRMULA MANUAL]","",IFERROR(SUMPRODUCT((nNIA=Y745)*(nCUENTA=1)*(COUNTIF(CONFIG_ASIGNATURAS!$B$7:$B$27,nASIG)&gt;0)*(nNOTA))/SUMPRODUCT((nNIA=Y745)*(nCUENTA=1)*(COUNTIF(CONFIG_ASIGNATURAS!$B$7:$B$27,nASIG)&gt;0)*1),"")))</f>
        <v/>
      </c>
      <c r="AF745" t="str">
        <f>IF(AE745="","",IF(AE745="[FÓRMULA MANUAL]","",IFERROR(AVERAGEIFS(nNOTA,nNIA,AE745,nCUENTA,1,nASIG,"Análisis"),"")))</f>
        <v/>
      </c>
      <c r="AG745" t="str">
        <f>IF(AE745="","",IF(AE745="[FÓRMULA MANUAL]","",IFERROR(AVERAGEIFS(nNOTA,nNIA,AE745,nCUENTA,1,nASIG,"Orquesta/Banda/Conjunto"),"")))</f>
        <v/>
      </c>
      <c r="AH745" t="str">
        <f>IF(AE745="","",IF(AE745="[FÓRMULA MANUAL]","",IFERROR(AVERAGEIFS(nNOTA,nNIA,AE745,nCUENTA,1,nASIG,"Música de Cámara"),"")))</f>
        <v/>
      </c>
      <c r="AI745" t="str">
        <f>IF(AE745="","",IF(AE745="[FÓRMULA MANUAL]","",IFERROR(SUMPRODUCT((nNIA=AE745)*(nCUENTA=1)*(COUNTIF(CONFIG_ASIGNATURAS!$B$7:$B$27,nASIG)&gt;0)*(nNOTA))/SUMPRODUCT((nNIA=AE745)*(nCUENTA=1)*(COUNTIF(CONFIG_ASIGNATURAS!$B$7:$B$27,nASIG)&gt;0)*1),"")))</f>
        <v/>
      </c>
    </row>
    <row r="746" spans="2:35" x14ac:dyDescent="0.2">
      <c r="B746" t="str">
        <f>IF(A746="","",IF(A746="[FÓRMULA MANUAL]","",IFERROR(AVERAGEIFS(nNOTA,nNIA,A746,nCUENTA,1,nASIG,"Lenguaje Musical"),"")))</f>
        <v/>
      </c>
      <c r="C746" t="str">
        <f>IF(A746="","",IF(A746="[FÓRMULA MANUAL]","",IFERROR(AVERAGEIFS(nNOTA,nNIA,A746,nCUENTA,1,nASIG,"Orquesta/Banda/Conjunto"),"")))</f>
        <v/>
      </c>
      <c r="D746" t="str">
        <f>IF(A746="","",IF(A746="[FÓRMULA MANUAL]","",IFERROR(AVERAGEIFS(nNOTA,nNIA,A746,nCUENTA,1,nASIG,"Conjunto"),"")))</f>
        <v/>
      </c>
      <c r="E746" t="str">
        <f>IF(A746="","",IF(A746="[FÓRMULA MANUAL]","",IFERROR(SUMPRODUCT((nNIA=A746)*(nCUENTA=1)*(COUNTIF(CONFIG_ASIGNATURAS!$B$7:$B$27,nASIG)&gt;0)*(nNOTA))/SUMPRODUCT((nNIA=A746)*(nCUENTA=1)*(COUNTIF(CONFIG_ASIGNATURAS!$B$7:$B$27,nASIG)&gt;0)*1),"")))</f>
        <v/>
      </c>
      <c r="H746" t="str">
        <f>IF(G746="","",IF(G746="[FÓRMULA MANUAL]","",IFERROR(AVERAGEIFS(nNOTA,nNIA,G746,nCUENTA,1,nASIG,"Lenguaje Musical"),"")))</f>
        <v/>
      </c>
      <c r="I746" t="str">
        <f>IF(G746="","",IF(G746="[FÓRMULA MANUAL]","",IFERROR(AVERAGEIFS(nNOTA,nNIA,G746,nCUENTA,1,nASIG,"Orquesta/Banda/Conjunto"),"")))</f>
        <v/>
      </c>
      <c r="J746" t="str">
        <f>IF(G746="","",IF(G746="[FÓRMULA MANUAL]","",IFERROR(AVERAGEIFS(nNOTA,nNIA,G746,nCUENTA,1,nASIG,"Conjunto"),"")))</f>
        <v/>
      </c>
      <c r="K746" t="str">
        <f>IF(G746="","",IF(G746="[FÓRMULA MANUAL]","",IFERROR(SUMPRODUCT((nNIA=G746)*(nCUENTA=1)*(COUNTIF(CONFIG_ASIGNATURAS!$B$7:$B$27,nASIG)&gt;0)*(nNOTA))/SUMPRODUCT((nNIA=G746)*(nCUENTA=1)*(COUNTIF(CONFIG_ASIGNATURAS!$B$7:$B$27,nASIG)&gt;0)*1),"")))</f>
        <v/>
      </c>
      <c r="N746" t="str">
        <f>IF(M746="","",IF(M746="[FÓRMULA MANUAL]","",IFERROR(AVERAGEIFS(nNOTA,nNIA,M746,nCUENTA,1,nASIG,"Armonía"),"")))</f>
        <v/>
      </c>
      <c r="O746" t="str">
        <f>IF(M746="","",IF(M746="[FÓRMULA MANUAL]","",IFERROR(AVERAGEIFS(nNOTA,nNIA,M746,nCUENTA,1,nASIG,"Orquesta/Banda/Conjunto"),"")))</f>
        <v/>
      </c>
      <c r="P746" t="str">
        <f>IF(M746="","",IF(M746="[FÓRMULA MANUAL]","",IFERROR(AVERAGEIFS(nNOTA,nNIA,M746,nCUENTA,1,nASIG,"Música de Cámara"),"")))</f>
        <v/>
      </c>
      <c r="Q746" t="str">
        <f>IF(M746="","",IF(M746="[FÓRMULA MANUAL]","",IFERROR(SUMPRODUCT((nNIA=M746)*(nCUENTA=1)*(COUNTIF(CONFIG_ASIGNATURAS!$B$7:$B$27,nASIG)&gt;0)*(nNOTA))/SUMPRODUCT((nNIA=M746)*(nCUENTA=1)*(COUNTIF(CONFIG_ASIGNATURAS!$B$7:$B$27,nASIG)&gt;0)*1),"")))</f>
        <v/>
      </c>
      <c r="T746" t="str">
        <f>IF(S746="","",IF(S746="[FÓRMULA MANUAL]","",IFERROR(AVERAGEIFS(nNOTA,nNIA,S746,nCUENTA,1,nASIG,"Armonía"),"")))</f>
        <v/>
      </c>
      <c r="U746" t="str">
        <f>IF(S746="","",IF(S746="[FÓRMULA MANUAL]","",IFERROR(AVERAGEIFS(nNOTA,nNIA,S746,nCUENTA,1,nASIG,"Orquesta/Banda/Conjunto"),"")))</f>
        <v/>
      </c>
      <c r="V746" t="str">
        <f>IF(S746="","",IF(S746="[FÓRMULA MANUAL]","",IFERROR(AVERAGEIFS(nNOTA,nNIA,S746,nCUENTA,1,nASIG,"Música de Cámara"),"")))</f>
        <v/>
      </c>
      <c r="W746" t="str">
        <f>IF(S746="","",IF(S746="[FÓRMULA MANUAL]","",IFERROR(SUMPRODUCT((nNIA=S746)*(nCUENTA=1)*(COUNTIF(CONFIG_ASIGNATURAS!$B$7:$B$27,nASIG)&gt;0)*(nNOTA))/SUMPRODUCT((nNIA=S746)*(nCUENTA=1)*(COUNTIF(CONFIG_ASIGNATURAS!$B$7:$B$27,nASIG)&gt;0)*1),"")))</f>
        <v/>
      </c>
      <c r="Z746" t="str">
        <f>IF(Y746="","",IF(Y746="[FÓRMULA MANUAL]","",IFERROR(AVERAGEIFS(nNOTA,nNIA,Y746,nCUENTA,1,nASIG,"Análisis"),"")))</f>
        <v/>
      </c>
      <c r="AA746" t="str">
        <f>IF(Y746="","",IF(Y746="[FÓRMULA MANUAL]","",IFERROR(AVERAGEIFS(nNOTA,nNIA,Y746,nCUENTA,1,nASIG,"Orquesta/Banda/Conjunto"),"")))</f>
        <v/>
      </c>
      <c r="AB746" t="str">
        <f>IF(Y746="","",IF(Y746="[FÓRMULA MANUAL]","",IFERROR(AVERAGEIFS(nNOTA,nNIA,Y746,nCUENTA,1,nASIG,"Música de Cámara"),"")))</f>
        <v/>
      </c>
      <c r="AC746" t="str">
        <f>IF(Y746="","",IF(Y746="[FÓRMULA MANUAL]","",IFERROR(SUMPRODUCT((nNIA=Y746)*(nCUENTA=1)*(COUNTIF(CONFIG_ASIGNATURAS!$B$7:$B$27,nASIG)&gt;0)*(nNOTA))/SUMPRODUCT((nNIA=Y746)*(nCUENTA=1)*(COUNTIF(CONFIG_ASIGNATURAS!$B$7:$B$27,nASIG)&gt;0)*1),"")))</f>
        <v/>
      </c>
      <c r="AF746" t="str">
        <f>IF(AE746="","",IF(AE746="[FÓRMULA MANUAL]","",IFERROR(AVERAGEIFS(nNOTA,nNIA,AE746,nCUENTA,1,nASIG,"Análisis"),"")))</f>
        <v/>
      </c>
      <c r="AG746" t="str">
        <f>IF(AE746="","",IF(AE746="[FÓRMULA MANUAL]","",IFERROR(AVERAGEIFS(nNOTA,nNIA,AE746,nCUENTA,1,nASIG,"Orquesta/Banda/Conjunto"),"")))</f>
        <v/>
      </c>
      <c r="AH746" t="str">
        <f>IF(AE746="","",IF(AE746="[FÓRMULA MANUAL]","",IFERROR(AVERAGEIFS(nNOTA,nNIA,AE746,nCUENTA,1,nASIG,"Música de Cámara"),"")))</f>
        <v/>
      </c>
      <c r="AI746" t="str">
        <f>IF(AE746="","",IF(AE746="[FÓRMULA MANUAL]","",IFERROR(SUMPRODUCT((nNIA=AE746)*(nCUENTA=1)*(COUNTIF(CONFIG_ASIGNATURAS!$B$7:$B$27,nASIG)&gt;0)*(nNOTA))/SUMPRODUCT((nNIA=AE746)*(nCUENTA=1)*(COUNTIF(CONFIG_ASIGNATURAS!$B$7:$B$27,nASIG)&gt;0)*1),"")))</f>
        <v/>
      </c>
    </row>
    <row r="747" spans="2:35" x14ac:dyDescent="0.2">
      <c r="B747" t="str">
        <f>IF(A747="","",IF(A747="[FÓRMULA MANUAL]","",IFERROR(AVERAGEIFS(nNOTA,nNIA,A747,nCUENTA,1,nASIG,"Lenguaje Musical"),"")))</f>
        <v/>
      </c>
      <c r="C747" t="str">
        <f>IF(A747="","",IF(A747="[FÓRMULA MANUAL]","",IFERROR(AVERAGEIFS(nNOTA,nNIA,A747,nCUENTA,1,nASIG,"Orquesta/Banda/Conjunto"),"")))</f>
        <v/>
      </c>
      <c r="D747" t="str">
        <f>IF(A747="","",IF(A747="[FÓRMULA MANUAL]","",IFERROR(AVERAGEIFS(nNOTA,nNIA,A747,nCUENTA,1,nASIG,"Conjunto"),"")))</f>
        <v/>
      </c>
      <c r="E747" t="str">
        <f>IF(A747="","",IF(A747="[FÓRMULA MANUAL]","",IFERROR(SUMPRODUCT((nNIA=A747)*(nCUENTA=1)*(COUNTIF(CONFIG_ASIGNATURAS!$B$7:$B$27,nASIG)&gt;0)*(nNOTA))/SUMPRODUCT((nNIA=A747)*(nCUENTA=1)*(COUNTIF(CONFIG_ASIGNATURAS!$B$7:$B$27,nASIG)&gt;0)*1),"")))</f>
        <v/>
      </c>
      <c r="H747" t="str">
        <f>IF(G747="","",IF(G747="[FÓRMULA MANUAL]","",IFERROR(AVERAGEIFS(nNOTA,nNIA,G747,nCUENTA,1,nASIG,"Lenguaje Musical"),"")))</f>
        <v/>
      </c>
      <c r="I747" t="str">
        <f>IF(G747="","",IF(G747="[FÓRMULA MANUAL]","",IFERROR(AVERAGEIFS(nNOTA,nNIA,G747,nCUENTA,1,nASIG,"Orquesta/Banda/Conjunto"),"")))</f>
        <v/>
      </c>
      <c r="J747" t="str">
        <f>IF(G747="","",IF(G747="[FÓRMULA MANUAL]","",IFERROR(AVERAGEIFS(nNOTA,nNIA,G747,nCUENTA,1,nASIG,"Conjunto"),"")))</f>
        <v/>
      </c>
      <c r="K747" t="str">
        <f>IF(G747="","",IF(G747="[FÓRMULA MANUAL]","",IFERROR(SUMPRODUCT((nNIA=G747)*(nCUENTA=1)*(COUNTIF(CONFIG_ASIGNATURAS!$B$7:$B$27,nASIG)&gt;0)*(nNOTA))/SUMPRODUCT((nNIA=G747)*(nCUENTA=1)*(COUNTIF(CONFIG_ASIGNATURAS!$B$7:$B$27,nASIG)&gt;0)*1),"")))</f>
        <v/>
      </c>
      <c r="N747" t="str">
        <f>IF(M747="","",IF(M747="[FÓRMULA MANUAL]","",IFERROR(AVERAGEIFS(nNOTA,nNIA,M747,nCUENTA,1,nASIG,"Armonía"),"")))</f>
        <v/>
      </c>
      <c r="O747" t="str">
        <f>IF(M747="","",IF(M747="[FÓRMULA MANUAL]","",IFERROR(AVERAGEIFS(nNOTA,nNIA,M747,nCUENTA,1,nASIG,"Orquesta/Banda/Conjunto"),"")))</f>
        <v/>
      </c>
      <c r="P747" t="str">
        <f>IF(M747="","",IF(M747="[FÓRMULA MANUAL]","",IFERROR(AVERAGEIFS(nNOTA,nNIA,M747,nCUENTA,1,nASIG,"Música de Cámara"),"")))</f>
        <v/>
      </c>
      <c r="Q747" t="str">
        <f>IF(M747="","",IF(M747="[FÓRMULA MANUAL]","",IFERROR(SUMPRODUCT((nNIA=M747)*(nCUENTA=1)*(COUNTIF(CONFIG_ASIGNATURAS!$B$7:$B$27,nASIG)&gt;0)*(nNOTA))/SUMPRODUCT((nNIA=M747)*(nCUENTA=1)*(COUNTIF(CONFIG_ASIGNATURAS!$B$7:$B$27,nASIG)&gt;0)*1),"")))</f>
        <v/>
      </c>
      <c r="T747" t="str">
        <f>IF(S747="","",IF(S747="[FÓRMULA MANUAL]","",IFERROR(AVERAGEIFS(nNOTA,nNIA,S747,nCUENTA,1,nASIG,"Armonía"),"")))</f>
        <v/>
      </c>
      <c r="U747" t="str">
        <f>IF(S747="","",IF(S747="[FÓRMULA MANUAL]","",IFERROR(AVERAGEIFS(nNOTA,nNIA,S747,nCUENTA,1,nASIG,"Orquesta/Banda/Conjunto"),"")))</f>
        <v/>
      </c>
      <c r="V747" t="str">
        <f>IF(S747="","",IF(S747="[FÓRMULA MANUAL]","",IFERROR(AVERAGEIFS(nNOTA,nNIA,S747,nCUENTA,1,nASIG,"Música de Cámara"),"")))</f>
        <v/>
      </c>
      <c r="W747" t="str">
        <f>IF(S747="","",IF(S747="[FÓRMULA MANUAL]","",IFERROR(SUMPRODUCT((nNIA=S747)*(nCUENTA=1)*(COUNTIF(CONFIG_ASIGNATURAS!$B$7:$B$27,nASIG)&gt;0)*(nNOTA))/SUMPRODUCT((nNIA=S747)*(nCUENTA=1)*(COUNTIF(CONFIG_ASIGNATURAS!$B$7:$B$27,nASIG)&gt;0)*1),"")))</f>
        <v/>
      </c>
      <c r="Z747" t="str">
        <f>IF(Y747="","",IF(Y747="[FÓRMULA MANUAL]","",IFERROR(AVERAGEIFS(nNOTA,nNIA,Y747,nCUENTA,1,nASIG,"Análisis"),"")))</f>
        <v/>
      </c>
      <c r="AA747" t="str">
        <f>IF(Y747="","",IF(Y747="[FÓRMULA MANUAL]","",IFERROR(AVERAGEIFS(nNOTA,nNIA,Y747,nCUENTA,1,nASIG,"Orquesta/Banda/Conjunto"),"")))</f>
        <v/>
      </c>
      <c r="AB747" t="str">
        <f>IF(Y747="","",IF(Y747="[FÓRMULA MANUAL]","",IFERROR(AVERAGEIFS(nNOTA,nNIA,Y747,nCUENTA,1,nASIG,"Música de Cámara"),"")))</f>
        <v/>
      </c>
      <c r="AC747" t="str">
        <f>IF(Y747="","",IF(Y747="[FÓRMULA MANUAL]","",IFERROR(SUMPRODUCT((nNIA=Y747)*(nCUENTA=1)*(COUNTIF(CONFIG_ASIGNATURAS!$B$7:$B$27,nASIG)&gt;0)*(nNOTA))/SUMPRODUCT((nNIA=Y747)*(nCUENTA=1)*(COUNTIF(CONFIG_ASIGNATURAS!$B$7:$B$27,nASIG)&gt;0)*1),"")))</f>
        <v/>
      </c>
      <c r="AF747" t="str">
        <f>IF(AE747="","",IF(AE747="[FÓRMULA MANUAL]","",IFERROR(AVERAGEIFS(nNOTA,nNIA,AE747,nCUENTA,1,nASIG,"Análisis"),"")))</f>
        <v/>
      </c>
      <c r="AG747" t="str">
        <f>IF(AE747="","",IF(AE747="[FÓRMULA MANUAL]","",IFERROR(AVERAGEIFS(nNOTA,nNIA,AE747,nCUENTA,1,nASIG,"Orquesta/Banda/Conjunto"),"")))</f>
        <v/>
      </c>
      <c r="AH747" t="str">
        <f>IF(AE747="","",IF(AE747="[FÓRMULA MANUAL]","",IFERROR(AVERAGEIFS(nNOTA,nNIA,AE747,nCUENTA,1,nASIG,"Música de Cámara"),"")))</f>
        <v/>
      </c>
      <c r="AI747" t="str">
        <f>IF(AE747="","",IF(AE747="[FÓRMULA MANUAL]","",IFERROR(SUMPRODUCT((nNIA=AE747)*(nCUENTA=1)*(COUNTIF(CONFIG_ASIGNATURAS!$B$7:$B$27,nASIG)&gt;0)*(nNOTA))/SUMPRODUCT((nNIA=AE747)*(nCUENTA=1)*(COUNTIF(CONFIG_ASIGNATURAS!$B$7:$B$27,nASIG)&gt;0)*1),"")))</f>
        <v/>
      </c>
    </row>
    <row r="748" spans="2:35" x14ac:dyDescent="0.2">
      <c r="B748" t="str">
        <f>IF(A748="","",IF(A748="[FÓRMULA MANUAL]","",IFERROR(AVERAGEIFS(nNOTA,nNIA,A748,nCUENTA,1,nASIG,"Lenguaje Musical"),"")))</f>
        <v/>
      </c>
      <c r="C748" t="str">
        <f>IF(A748="","",IF(A748="[FÓRMULA MANUAL]","",IFERROR(AVERAGEIFS(nNOTA,nNIA,A748,nCUENTA,1,nASIG,"Orquesta/Banda/Conjunto"),"")))</f>
        <v/>
      </c>
      <c r="D748" t="str">
        <f>IF(A748="","",IF(A748="[FÓRMULA MANUAL]","",IFERROR(AVERAGEIFS(nNOTA,nNIA,A748,nCUENTA,1,nASIG,"Conjunto"),"")))</f>
        <v/>
      </c>
      <c r="E748" t="str">
        <f>IF(A748="","",IF(A748="[FÓRMULA MANUAL]","",IFERROR(SUMPRODUCT((nNIA=A748)*(nCUENTA=1)*(COUNTIF(CONFIG_ASIGNATURAS!$B$7:$B$27,nASIG)&gt;0)*(nNOTA))/SUMPRODUCT((nNIA=A748)*(nCUENTA=1)*(COUNTIF(CONFIG_ASIGNATURAS!$B$7:$B$27,nASIG)&gt;0)*1),"")))</f>
        <v/>
      </c>
      <c r="H748" t="str">
        <f>IF(G748="","",IF(G748="[FÓRMULA MANUAL]","",IFERROR(AVERAGEIFS(nNOTA,nNIA,G748,nCUENTA,1,nASIG,"Lenguaje Musical"),"")))</f>
        <v/>
      </c>
      <c r="I748" t="str">
        <f>IF(G748="","",IF(G748="[FÓRMULA MANUAL]","",IFERROR(AVERAGEIFS(nNOTA,nNIA,G748,nCUENTA,1,nASIG,"Orquesta/Banda/Conjunto"),"")))</f>
        <v/>
      </c>
      <c r="J748" t="str">
        <f>IF(G748="","",IF(G748="[FÓRMULA MANUAL]","",IFERROR(AVERAGEIFS(nNOTA,nNIA,G748,nCUENTA,1,nASIG,"Conjunto"),"")))</f>
        <v/>
      </c>
      <c r="K748" t="str">
        <f>IF(G748="","",IF(G748="[FÓRMULA MANUAL]","",IFERROR(SUMPRODUCT((nNIA=G748)*(nCUENTA=1)*(COUNTIF(CONFIG_ASIGNATURAS!$B$7:$B$27,nASIG)&gt;0)*(nNOTA))/SUMPRODUCT((nNIA=G748)*(nCUENTA=1)*(COUNTIF(CONFIG_ASIGNATURAS!$B$7:$B$27,nASIG)&gt;0)*1),"")))</f>
        <v/>
      </c>
      <c r="N748" t="str">
        <f>IF(M748="","",IF(M748="[FÓRMULA MANUAL]","",IFERROR(AVERAGEIFS(nNOTA,nNIA,M748,nCUENTA,1,nASIG,"Armonía"),"")))</f>
        <v/>
      </c>
      <c r="O748" t="str">
        <f>IF(M748="","",IF(M748="[FÓRMULA MANUAL]","",IFERROR(AVERAGEIFS(nNOTA,nNIA,M748,nCUENTA,1,nASIG,"Orquesta/Banda/Conjunto"),"")))</f>
        <v/>
      </c>
      <c r="P748" t="str">
        <f>IF(M748="","",IF(M748="[FÓRMULA MANUAL]","",IFERROR(AVERAGEIFS(nNOTA,nNIA,M748,nCUENTA,1,nASIG,"Música de Cámara"),"")))</f>
        <v/>
      </c>
      <c r="Q748" t="str">
        <f>IF(M748="","",IF(M748="[FÓRMULA MANUAL]","",IFERROR(SUMPRODUCT((nNIA=M748)*(nCUENTA=1)*(COUNTIF(CONFIG_ASIGNATURAS!$B$7:$B$27,nASIG)&gt;0)*(nNOTA))/SUMPRODUCT((nNIA=M748)*(nCUENTA=1)*(COUNTIF(CONFIG_ASIGNATURAS!$B$7:$B$27,nASIG)&gt;0)*1),"")))</f>
        <v/>
      </c>
      <c r="T748" t="str">
        <f>IF(S748="","",IF(S748="[FÓRMULA MANUAL]","",IFERROR(AVERAGEIFS(nNOTA,nNIA,S748,nCUENTA,1,nASIG,"Armonía"),"")))</f>
        <v/>
      </c>
      <c r="U748" t="str">
        <f>IF(S748="","",IF(S748="[FÓRMULA MANUAL]","",IFERROR(AVERAGEIFS(nNOTA,nNIA,S748,nCUENTA,1,nASIG,"Orquesta/Banda/Conjunto"),"")))</f>
        <v/>
      </c>
      <c r="V748" t="str">
        <f>IF(S748="","",IF(S748="[FÓRMULA MANUAL]","",IFERROR(AVERAGEIFS(nNOTA,nNIA,S748,nCUENTA,1,nASIG,"Música de Cámara"),"")))</f>
        <v/>
      </c>
      <c r="W748" t="str">
        <f>IF(S748="","",IF(S748="[FÓRMULA MANUAL]","",IFERROR(SUMPRODUCT((nNIA=S748)*(nCUENTA=1)*(COUNTIF(CONFIG_ASIGNATURAS!$B$7:$B$27,nASIG)&gt;0)*(nNOTA))/SUMPRODUCT((nNIA=S748)*(nCUENTA=1)*(COUNTIF(CONFIG_ASIGNATURAS!$B$7:$B$27,nASIG)&gt;0)*1),"")))</f>
        <v/>
      </c>
      <c r="Z748" t="str">
        <f>IF(Y748="","",IF(Y748="[FÓRMULA MANUAL]","",IFERROR(AVERAGEIFS(nNOTA,nNIA,Y748,nCUENTA,1,nASIG,"Análisis"),"")))</f>
        <v/>
      </c>
      <c r="AA748" t="str">
        <f>IF(Y748="","",IF(Y748="[FÓRMULA MANUAL]","",IFERROR(AVERAGEIFS(nNOTA,nNIA,Y748,nCUENTA,1,nASIG,"Orquesta/Banda/Conjunto"),"")))</f>
        <v/>
      </c>
      <c r="AB748" t="str">
        <f>IF(Y748="","",IF(Y748="[FÓRMULA MANUAL]","",IFERROR(AVERAGEIFS(nNOTA,nNIA,Y748,nCUENTA,1,nASIG,"Música de Cámara"),"")))</f>
        <v/>
      </c>
      <c r="AC748" t="str">
        <f>IF(Y748="","",IF(Y748="[FÓRMULA MANUAL]","",IFERROR(SUMPRODUCT((nNIA=Y748)*(nCUENTA=1)*(COUNTIF(CONFIG_ASIGNATURAS!$B$7:$B$27,nASIG)&gt;0)*(nNOTA))/SUMPRODUCT((nNIA=Y748)*(nCUENTA=1)*(COUNTIF(CONFIG_ASIGNATURAS!$B$7:$B$27,nASIG)&gt;0)*1),"")))</f>
        <v/>
      </c>
      <c r="AF748" t="str">
        <f>IF(AE748="","",IF(AE748="[FÓRMULA MANUAL]","",IFERROR(AVERAGEIFS(nNOTA,nNIA,AE748,nCUENTA,1,nASIG,"Análisis"),"")))</f>
        <v/>
      </c>
      <c r="AG748" t="str">
        <f>IF(AE748="","",IF(AE748="[FÓRMULA MANUAL]","",IFERROR(AVERAGEIFS(nNOTA,nNIA,AE748,nCUENTA,1,nASIG,"Orquesta/Banda/Conjunto"),"")))</f>
        <v/>
      </c>
      <c r="AH748" t="str">
        <f>IF(AE748="","",IF(AE748="[FÓRMULA MANUAL]","",IFERROR(AVERAGEIFS(nNOTA,nNIA,AE748,nCUENTA,1,nASIG,"Música de Cámara"),"")))</f>
        <v/>
      </c>
      <c r="AI748" t="str">
        <f>IF(AE748="","",IF(AE748="[FÓRMULA MANUAL]","",IFERROR(SUMPRODUCT((nNIA=AE748)*(nCUENTA=1)*(COUNTIF(CONFIG_ASIGNATURAS!$B$7:$B$27,nASIG)&gt;0)*(nNOTA))/SUMPRODUCT((nNIA=AE748)*(nCUENTA=1)*(COUNTIF(CONFIG_ASIGNATURAS!$B$7:$B$27,nASIG)&gt;0)*1),"")))</f>
        <v/>
      </c>
    </row>
    <row r="749" spans="2:35" x14ac:dyDescent="0.2">
      <c r="B749" t="str">
        <f>IF(A749="","",IF(A749="[FÓRMULA MANUAL]","",IFERROR(AVERAGEIFS(nNOTA,nNIA,A749,nCUENTA,1,nASIG,"Lenguaje Musical"),"")))</f>
        <v/>
      </c>
      <c r="C749" t="str">
        <f>IF(A749="","",IF(A749="[FÓRMULA MANUAL]","",IFERROR(AVERAGEIFS(nNOTA,nNIA,A749,nCUENTA,1,nASIG,"Orquesta/Banda/Conjunto"),"")))</f>
        <v/>
      </c>
      <c r="D749" t="str">
        <f>IF(A749="","",IF(A749="[FÓRMULA MANUAL]","",IFERROR(AVERAGEIFS(nNOTA,nNIA,A749,nCUENTA,1,nASIG,"Conjunto"),"")))</f>
        <v/>
      </c>
      <c r="E749" t="str">
        <f>IF(A749="","",IF(A749="[FÓRMULA MANUAL]","",IFERROR(SUMPRODUCT((nNIA=A749)*(nCUENTA=1)*(COUNTIF(CONFIG_ASIGNATURAS!$B$7:$B$27,nASIG)&gt;0)*(nNOTA))/SUMPRODUCT((nNIA=A749)*(nCUENTA=1)*(COUNTIF(CONFIG_ASIGNATURAS!$B$7:$B$27,nASIG)&gt;0)*1),"")))</f>
        <v/>
      </c>
      <c r="H749" t="str">
        <f>IF(G749="","",IF(G749="[FÓRMULA MANUAL]","",IFERROR(AVERAGEIFS(nNOTA,nNIA,G749,nCUENTA,1,nASIG,"Lenguaje Musical"),"")))</f>
        <v/>
      </c>
      <c r="I749" t="str">
        <f>IF(G749="","",IF(G749="[FÓRMULA MANUAL]","",IFERROR(AVERAGEIFS(nNOTA,nNIA,G749,nCUENTA,1,nASIG,"Orquesta/Banda/Conjunto"),"")))</f>
        <v/>
      </c>
      <c r="J749" t="str">
        <f>IF(G749="","",IF(G749="[FÓRMULA MANUAL]","",IFERROR(AVERAGEIFS(nNOTA,nNIA,G749,nCUENTA,1,nASIG,"Conjunto"),"")))</f>
        <v/>
      </c>
      <c r="K749" t="str">
        <f>IF(G749="","",IF(G749="[FÓRMULA MANUAL]","",IFERROR(SUMPRODUCT((nNIA=G749)*(nCUENTA=1)*(COUNTIF(CONFIG_ASIGNATURAS!$B$7:$B$27,nASIG)&gt;0)*(nNOTA))/SUMPRODUCT((nNIA=G749)*(nCUENTA=1)*(COUNTIF(CONFIG_ASIGNATURAS!$B$7:$B$27,nASIG)&gt;0)*1),"")))</f>
        <v/>
      </c>
      <c r="N749" t="str">
        <f>IF(M749="","",IF(M749="[FÓRMULA MANUAL]","",IFERROR(AVERAGEIFS(nNOTA,nNIA,M749,nCUENTA,1,nASIG,"Armonía"),"")))</f>
        <v/>
      </c>
      <c r="O749" t="str">
        <f>IF(M749="","",IF(M749="[FÓRMULA MANUAL]","",IFERROR(AVERAGEIFS(nNOTA,nNIA,M749,nCUENTA,1,nASIG,"Orquesta/Banda/Conjunto"),"")))</f>
        <v/>
      </c>
      <c r="P749" t="str">
        <f>IF(M749="","",IF(M749="[FÓRMULA MANUAL]","",IFERROR(AVERAGEIFS(nNOTA,nNIA,M749,nCUENTA,1,nASIG,"Música de Cámara"),"")))</f>
        <v/>
      </c>
      <c r="Q749" t="str">
        <f>IF(M749="","",IF(M749="[FÓRMULA MANUAL]","",IFERROR(SUMPRODUCT((nNIA=M749)*(nCUENTA=1)*(COUNTIF(CONFIG_ASIGNATURAS!$B$7:$B$27,nASIG)&gt;0)*(nNOTA))/SUMPRODUCT((nNIA=M749)*(nCUENTA=1)*(COUNTIF(CONFIG_ASIGNATURAS!$B$7:$B$27,nASIG)&gt;0)*1),"")))</f>
        <v/>
      </c>
      <c r="T749" t="str">
        <f>IF(S749="","",IF(S749="[FÓRMULA MANUAL]","",IFERROR(AVERAGEIFS(nNOTA,nNIA,S749,nCUENTA,1,nASIG,"Armonía"),"")))</f>
        <v/>
      </c>
      <c r="U749" t="str">
        <f>IF(S749="","",IF(S749="[FÓRMULA MANUAL]","",IFERROR(AVERAGEIFS(nNOTA,nNIA,S749,nCUENTA,1,nASIG,"Orquesta/Banda/Conjunto"),"")))</f>
        <v/>
      </c>
      <c r="V749" t="str">
        <f>IF(S749="","",IF(S749="[FÓRMULA MANUAL]","",IFERROR(AVERAGEIFS(nNOTA,nNIA,S749,nCUENTA,1,nASIG,"Música de Cámara"),"")))</f>
        <v/>
      </c>
      <c r="W749" t="str">
        <f>IF(S749="","",IF(S749="[FÓRMULA MANUAL]","",IFERROR(SUMPRODUCT((nNIA=S749)*(nCUENTA=1)*(COUNTIF(CONFIG_ASIGNATURAS!$B$7:$B$27,nASIG)&gt;0)*(nNOTA))/SUMPRODUCT((nNIA=S749)*(nCUENTA=1)*(COUNTIF(CONFIG_ASIGNATURAS!$B$7:$B$27,nASIG)&gt;0)*1),"")))</f>
        <v/>
      </c>
      <c r="Z749" t="str">
        <f>IF(Y749="","",IF(Y749="[FÓRMULA MANUAL]","",IFERROR(AVERAGEIFS(nNOTA,nNIA,Y749,nCUENTA,1,nASIG,"Análisis"),"")))</f>
        <v/>
      </c>
      <c r="AA749" t="str">
        <f>IF(Y749="","",IF(Y749="[FÓRMULA MANUAL]","",IFERROR(AVERAGEIFS(nNOTA,nNIA,Y749,nCUENTA,1,nASIG,"Orquesta/Banda/Conjunto"),"")))</f>
        <v/>
      </c>
      <c r="AB749" t="str">
        <f>IF(Y749="","",IF(Y749="[FÓRMULA MANUAL]","",IFERROR(AVERAGEIFS(nNOTA,nNIA,Y749,nCUENTA,1,nASIG,"Música de Cámara"),"")))</f>
        <v/>
      </c>
      <c r="AC749" t="str">
        <f>IF(Y749="","",IF(Y749="[FÓRMULA MANUAL]","",IFERROR(SUMPRODUCT((nNIA=Y749)*(nCUENTA=1)*(COUNTIF(CONFIG_ASIGNATURAS!$B$7:$B$27,nASIG)&gt;0)*(nNOTA))/SUMPRODUCT((nNIA=Y749)*(nCUENTA=1)*(COUNTIF(CONFIG_ASIGNATURAS!$B$7:$B$27,nASIG)&gt;0)*1),"")))</f>
        <v/>
      </c>
      <c r="AF749" t="str">
        <f>IF(AE749="","",IF(AE749="[FÓRMULA MANUAL]","",IFERROR(AVERAGEIFS(nNOTA,nNIA,AE749,nCUENTA,1,nASIG,"Análisis"),"")))</f>
        <v/>
      </c>
      <c r="AG749" t="str">
        <f>IF(AE749="","",IF(AE749="[FÓRMULA MANUAL]","",IFERROR(AVERAGEIFS(nNOTA,nNIA,AE749,nCUENTA,1,nASIG,"Orquesta/Banda/Conjunto"),"")))</f>
        <v/>
      </c>
      <c r="AH749" t="str">
        <f>IF(AE749="","",IF(AE749="[FÓRMULA MANUAL]","",IFERROR(AVERAGEIFS(nNOTA,nNIA,AE749,nCUENTA,1,nASIG,"Música de Cámara"),"")))</f>
        <v/>
      </c>
      <c r="AI749" t="str">
        <f>IF(AE749="","",IF(AE749="[FÓRMULA MANUAL]","",IFERROR(SUMPRODUCT((nNIA=AE749)*(nCUENTA=1)*(COUNTIF(CONFIG_ASIGNATURAS!$B$7:$B$27,nASIG)&gt;0)*(nNOTA))/SUMPRODUCT((nNIA=AE749)*(nCUENTA=1)*(COUNTIF(CONFIG_ASIGNATURAS!$B$7:$B$27,nASIG)&gt;0)*1),"")))</f>
        <v/>
      </c>
    </row>
    <row r="750" spans="2:35" x14ac:dyDescent="0.2">
      <c r="B750" t="str">
        <f>IF(A750="","",IF(A750="[FÓRMULA MANUAL]","",IFERROR(AVERAGEIFS(nNOTA,nNIA,A750,nCUENTA,1,nASIG,"Lenguaje Musical"),"")))</f>
        <v/>
      </c>
      <c r="C750" t="str">
        <f>IF(A750="","",IF(A750="[FÓRMULA MANUAL]","",IFERROR(AVERAGEIFS(nNOTA,nNIA,A750,nCUENTA,1,nASIG,"Orquesta/Banda/Conjunto"),"")))</f>
        <v/>
      </c>
      <c r="D750" t="str">
        <f>IF(A750="","",IF(A750="[FÓRMULA MANUAL]","",IFERROR(AVERAGEIFS(nNOTA,nNIA,A750,nCUENTA,1,nASIG,"Conjunto"),"")))</f>
        <v/>
      </c>
      <c r="E750" t="str">
        <f>IF(A750="","",IF(A750="[FÓRMULA MANUAL]","",IFERROR(SUMPRODUCT((nNIA=A750)*(nCUENTA=1)*(COUNTIF(CONFIG_ASIGNATURAS!$B$7:$B$27,nASIG)&gt;0)*(nNOTA))/SUMPRODUCT((nNIA=A750)*(nCUENTA=1)*(COUNTIF(CONFIG_ASIGNATURAS!$B$7:$B$27,nASIG)&gt;0)*1),"")))</f>
        <v/>
      </c>
      <c r="H750" t="str">
        <f>IF(G750="","",IF(G750="[FÓRMULA MANUAL]","",IFERROR(AVERAGEIFS(nNOTA,nNIA,G750,nCUENTA,1,nASIG,"Lenguaje Musical"),"")))</f>
        <v/>
      </c>
      <c r="I750" t="str">
        <f>IF(G750="","",IF(G750="[FÓRMULA MANUAL]","",IFERROR(AVERAGEIFS(nNOTA,nNIA,G750,nCUENTA,1,nASIG,"Orquesta/Banda/Conjunto"),"")))</f>
        <v/>
      </c>
      <c r="J750" t="str">
        <f>IF(G750="","",IF(G750="[FÓRMULA MANUAL]","",IFERROR(AVERAGEIFS(nNOTA,nNIA,G750,nCUENTA,1,nASIG,"Conjunto"),"")))</f>
        <v/>
      </c>
      <c r="K750" t="str">
        <f>IF(G750="","",IF(G750="[FÓRMULA MANUAL]","",IFERROR(SUMPRODUCT((nNIA=G750)*(nCUENTA=1)*(COUNTIF(CONFIG_ASIGNATURAS!$B$7:$B$27,nASIG)&gt;0)*(nNOTA))/SUMPRODUCT((nNIA=G750)*(nCUENTA=1)*(COUNTIF(CONFIG_ASIGNATURAS!$B$7:$B$27,nASIG)&gt;0)*1),"")))</f>
        <v/>
      </c>
      <c r="N750" t="str">
        <f>IF(M750="","",IF(M750="[FÓRMULA MANUAL]","",IFERROR(AVERAGEIFS(nNOTA,nNIA,M750,nCUENTA,1,nASIG,"Armonía"),"")))</f>
        <v/>
      </c>
      <c r="O750" t="str">
        <f>IF(M750="","",IF(M750="[FÓRMULA MANUAL]","",IFERROR(AVERAGEIFS(nNOTA,nNIA,M750,nCUENTA,1,nASIG,"Orquesta/Banda/Conjunto"),"")))</f>
        <v/>
      </c>
      <c r="P750" t="str">
        <f>IF(M750="","",IF(M750="[FÓRMULA MANUAL]","",IFERROR(AVERAGEIFS(nNOTA,nNIA,M750,nCUENTA,1,nASIG,"Música de Cámara"),"")))</f>
        <v/>
      </c>
      <c r="Q750" t="str">
        <f>IF(M750="","",IF(M750="[FÓRMULA MANUAL]","",IFERROR(SUMPRODUCT((nNIA=M750)*(nCUENTA=1)*(COUNTIF(CONFIG_ASIGNATURAS!$B$7:$B$27,nASIG)&gt;0)*(nNOTA))/SUMPRODUCT((nNIA=M750)*(nCUENTA=1)*(COUNTIF(CONFIG_ASIGNATURAS!$B$7:$B$27,nASIG)&gt;0)*1),"")))</f>
        <v/>
      </c>
      <c r="T750" t="str">
        <f>IF(S750="","",IF(S750="[FÓRMULA MANUAL]","",IFERROR(AVERAGEIFS(nNOTA,nNIA,S750,nCUENTA,1,nASIG,"Armonía"),"")))</f>
        <v/>
      </c>
      <c r="U750" t="str">
        <f>IF(S750="","",IF(S750="[FÓRMULA MANUAL]","",IFERROR(AVERAGEIFS(nNOTA,nNIA,S750,nCUENTA,1,nASIG,"Orquesta/Banda/Conjunto"),"")))</f>
        <v/>
      </c>
      <c r="V750" t="str">
        <f>IF(S750="","",IF(S750="[FÓRMULA MANUAL]","",IFERROR(AVERAGEIFS(nNOTA,nNIA,S750,nCUENTA,1,nASIG,"Música de Cámara"),"")))</f>
        <v/>
      </c>
      <c r="W750" t="str">
        <f>IF(S750="","",IF(S750="[FÓRMULA MANUAL]","",IFERROR(SUMPRODUCT((nNIA=S750)*(nCUENTA=1)*(COUNTIF(CONFIG_ASIGNATURAS!$B$7:$B$27,nASIG)&gt;0)*(nNOTA))/SUMPRODUCT((nNIA=S750)*(nCUENTA=1)*(COUNTIF(CONFIG_ASIGNATURAS!$B$7:$B$27,nASIG)&gt;0)*1),"")))</f>
        <v/>
      </c>
      <c r="Z750" t="str">
        <f>IF(Y750="","",IF(Y750="[FÓRMULA MANUAL]","",IFERROR(AVERAGEIFS(nNOTA,nNIA,Y750,nCUENTA,1,nASIG,"Análisis"),"")))</f>
        <v/>
      </c>
      <c r="AA750" t="str">
        <f>IF(Y750="","",IF(Y750="[FÓRMULA MANUAL]","",IFERROR(AVERAGEIFS(nNOTA,nNIA,Y750,nCUENTA,1,nASIG,"Orquesta/Banda/Conjunto"),"")))</f>
        <v/>
      </c>
      <c r="AB750" t="str">
        <f>IF(Y750="","",IF(Y750="[FÓRMULA MANUAL]","",IFERROR(AVERAGEIFS(nNOTA,nNIA,Y750,nCUENTA,1,nASIG,"Música de Cámara"),"")))</f>
        <v/>
      </c>
      <c r="AC750" t="str">
        <f>IF(Y750="","",IF(Y750="[FÓRMULA MANUAL]","",IFERROR(SUMPRODUCT((nNIA=Y750)*(nCUENTA=1)*(COUNTIF(CONFIG_ASIGNATURAS!$B$7:$B$27,nASIG)&gt;0)*(nNOTA))/SUMPRODUCT((nNIA=Y750)*(nCUENTA=1)*(COUNTIF(CONFIG_ASIGNATURAS!$B$7:$B$27,nASIG)&gt;0)*1),"")))</f>
        <v/>
      </c>
      <c r="AF750" t="str">
        <f>IF(AE750="","",IF(AE750="[FÓRMULA MANUAL]","",IFERROR(AVERAGEIFS(nNOTA,nNIA,AE750,nCUENTA,1,nASIG,"Análisis"),"")))</f>
        <v/>
      </c>
      <c r="AG750" t="str">
        <f>IF(AE750="","",IF(AE750="[FÓRMULA MANUAL]","",IFERROR(AVERAGEIFS(nNOTA,nNIA,AE750,nCUENTA,1,nASIG,"Orquesta/Banda/Conjunto"),"")))</f>
        <v/>
      </c>
      <c r="AH750" t="str">
        <f>IF(AE750="","",IF(AE750="[FÓRMULA MANUAL]","",IFERROR(AVERAGEIFS(nNOTA,nNIA,AE750,nCUENTA,1,nASIG,"Música de Cámara"),"")))</f>
        <v/>
      </c>
      <c r="AI750" t="str">
        <f>IF(AE750="","",IF(AE750="[FÓRMULA MANUAL]","",IFERROR(SUMPRODUCT((nNIA=AE750)*(nCUENTA=1)*(COUNTIF(CONFIG_ASIGNATURAS!$B$7:$B$27,nASIG)&gt;0)*(nNOTA))/SUMPRODUCT((nNIA=AE750)*(nCUENTA=1)*(COUNTIF(CONFIG_ASIGNATURAS!$B$7:$B$27,nASIG)&gt;0)*1),"")))</f>
        <v/>
      </c>
    </row>
    <row r="751" spans="2:35" x14ac:dyDescent="0.2">
      <c r="B751" t="str">
        <f>IF(A751="","",IF(A751="[FÓRMULA MANUAL]","",IFERROR(AVERAGEIFS(nNOTA,nNIA,A751,nCUENTA,1,nASIG,"Lenguaje Musical"),"")))</f>
        <v/>
      </c>
      <c r="C751" t="str">
        <f>IF(A751="","",IF(A751="[FÓRMULA MANUAL]","",IFERROR(AVERAGEIFS(nNOTA,nNIA,A751,nCUENTA,1,nASIG,"Orquesta/Banda/Conjunto"),"")))</f>
        <v/>
      </c>
      <c r="D751" t="str">
        <f>IF(A751="","",IF(A751="[FÓRMULA MANUAL]","",IFERROR(AVERAGEIFS(nNOTA,nNIA,A751,nCUENTA,1,nASIG,"Conjunto"),"")))</f>
        <v/>
      </c>
      <c r="E751" t="str">
        <f>IF(A751="","",IF(A751="[FÓRMULA MANUAL]","",IFERROR(SUMPRODUCT((nNIA=A751)*(nCUENTA=1)*(COUNTIF(CONFIG_ASIGNATURAS!$B$7:$B$27,nASIG)&gt;0)*(nNOTA))/SUMPRODUCT((nNIA=A751)*(nCUENTA=1)*(COUNTIF(CONFIG_ASIGNATURAS!$B$7:$B$27,nASIG)&gt;0)*1),"")))</f>
        <v/>
      </c>
      <c r="H751" t="str">
        <f>IF(G751="","",IF(G751="[FÓRMULA MANUAL]","",IFERROR(AVERAGEIFS(nNOTA,nNIA,G751,nCUENTA,1,nASIG,"Lenguaje Musical"),"")))</f>
        <v/>
      </c>
      <c r="I751" t="str">
        <f>IF(G751="","",IF(G751="[FÓRMULA MANUAL]","",IFERROR(AVERAGEIFS(nNOTA,nNIA,G751,nCUENTA,1,nASIG,"Orquesta/Banda/Conjunto"),"")))</f>
        <v/>
      </c>
      <c r="J751" t="str">
        <f>IF(G751="","",IF(G751="[FÓRMULA MANUAL]","",IFERROR(AVERAGEIFS(nNOTA,nNIA,G751,nCUENTA,1,nASIG,"Conjunto"),"")))</f>
        <v/>
      </c>
      <c r="K751" t="str">
        <f>IF(G751="","",IF(G751="[FÓRMULA MANUAL]","",IFERROR(SUMPRODUCT((nNIA=G751)*(nCUENTA=1)*(COUNTIF(CONFIG_ASIGNATURAS!$B$7:$B$27,nASIG)&gt;0)*(nNOTA))/SUMPRODUCT((nNIA=G751)*(nCUENTA=1)*(COUNTIF(CONFIG_ASIGNATURAS!$B$7:$B$27,nASIG)&gt;0)*1),"")))</f>
        <v/>
      </c>
      <c r="N751" t="str">
        <f>IF(M751="","",IF(M751="[FÓRMULA MANUAL]","",IFERROR(AVERAGEIFS(nNOTA,nNIA,M751,nCUENTA,1,nASIG,"Armonía"),"")))</f>
        <v/>
      </c>
      <c r="O751" t="str">
        <f>IF(M751="","",IF(M751="[FÓRMULA MANUAL]","",IFERROR(AVERAGEIFS(nNOTA,nNIA,M751,nCUENTA,1,nASIG,"Orquesta/Banda/Conjunto"),"")))</f>
        <v/>
      </c>
      <c r="P751" t="str">
        <f>IF(M751="","",IF(M751="[FÓRMULA MANUAL]","",IFERROR(AVERAGEIFS(nNOTA,nNIA,M751,nCUENTA,1,nASIG,"Música de Cámara"),"")))</f>
        <v/>
      </c>
      <c r="Q751" t="str">
        <f>IF(M751="","",IF(M751="[FÓRMULA MANUAL]","",IFERROR(SUMPRODUCT((nNIA=M751)*(nCUENTA=1)*(COUNTIF(CONFIG_ASIGNATURAS!$B$7:$B$27,nASIG)&gt;0)*(nNOTA))/SUMPRODUCT((nNIA=M751)*(nCUENTA=1)*(COUNTIF(CONFIG_ASIGNATURAS!$B$7:$B$27,nASIG)&gt;0)*1),"")))</f>
        <v/>
      </c>
      <c r="T751" t="str">
        <f>IF(S751="","",IF(S751="[FÓRMULA MANUAL]","",IFERROR(AVERAGEIFS(nNOTA,nNIA,S751,nCUENTA,1,nASIG,"Armonía"),"")))</f>
        <v/>
      </c>
      <c r="U751" t="str">
        <f>IF(S751="","",IF(S751="[FÓRMULA MANUAL]","",IFERROR(AVERAGEIFS(nNOTA,nNIA,S751,nCUENTA,1,nASIG,"Orquesta/Banda/Conjunto"),"")))</f>
        <v/>
      </c>
      <c r="V751" t="str">
        <f>IF(S751="","",IF(S751="[FÓRMULA MANUAL]","",IFERROR(AVERAGEIFS(nNOTA,nNIA,S751,nCUENTA,1,nASIG,"Música de Cámara"),"")))</f>
        <v/>
      </c>
      <c r="W751" t="str">
        <f>IF(S751="","",IF(S751="[FÓRMULA MANUAL]","",IFERROR(SUMPRODUCT((nNIA=S751)*(nCUENTA=1)*(COUNTIF(CONFIG_ASIGNATURAS!$B$7:$B$27,nASIG)&gt;0)*(nNOTA))/SUMPRODUCT((nNIA=S751)*(nCUENTA=1)*(COUNTIF(CONFIG_ASIGNATURAS!$B$7:$B$27,nASIG)&gt;0)*1),"")))</f>
        <v/>
      </c>
      <c r="Z751" t="str">
        <f>IF(Y751="","",IF(Y751="[FÓRMULA MANUAL]","",IFERROR(AVERAGEIFS(nNOTA,nNIA,Y751,nCUENTA,1,nASIG,"Análisis"),"")))</f>
        <v/>
      </c>
      <c r="AA751" t="str">
        <f>IF(Y751="","",IF(Y751="[FÓRMULA MANUAL]","",IFERROR(AVERAGEIFS(nNOTA,nNIA,Y751,nCUENTA,1,nASIG,"Orquesta/Banda/Conjunto"),"")))</f>
        <v/>
      </c>
      <c r="AB751" t="str">
        <f>IF(Y751="","",IF(Y751="[FÓRMULA MANUAL]","",IFERROR(AVERAGEIFS(nNOTA,nNIA,Y751,nCUENTA,1,nASIG,"Música de Cámara"),"")))</f>
        <v/>
      </c>
      <c r="AC751" t="str">
        <f>IF(Y751="","",IF(Y751="[FÓRMULA MANUAL]","",IFERROR(SUMPRODUCT((nNIA=Y751)*(nCUENTA=1)*(COUNTIF(CONFIG_ASIGNATURAS!$B$7:$B$27,nASIG)&gt;0)*(nNOTA))/SUMPRODUCT((nNIA=Y751)*(nCUENTA=1)*(COUNTIF(CONFIG_ASIGNATURAS!$B$7:$B$27,nASIG)&gt;0)*1),"")))</f>
        <v/>
      </c>
      <c r="AF751" t="str">
        <f>IF(AE751="","",IF(AE751="[FÓRMULA MANUAL]","",IFERROR(AVERAGEIFS(nNOTA,nNIA,AE751,nCUENTA,1,nASIG,"Análisis"),"")))</f>
        <v/>
      </c>
      <c r="AG751" t="str">
        <f>IF(AE751="","",IF(AE751="[FÓRMULA MANUAL]","",IFERROR(AVERAGEIFS(nNOTA,nNIA,AE751,nCUENTA,1,nASIG,"Orquesta/Banda/Conjunto"),"")))</f>
        <v/>
      </c>
      <c r="AH751" t="str">
        <f>IF(AE751="","",IF(AE751="[FÓRMULA MANUAL]","",IFERROR(AVERAGEIFS(nNOTA,nNIA,AE751,nCUENTA,1,nASIG,"Música de Cámara"),"")))</f>
        <v/>
      </c>
      <c r="AI751" t="str">
        <f>IF(AE751="","",IF(AE751="[FÓRMULA MANUAL]","",IFERROR(SUMPRODUCT((nNIA=AE751)*(nCUENTA=1)*(COUNTIF(CONFIG_ASIGNATURAS!$B$7:$B$27,nASIG)&gt;0)*(nNOTA))/SUMPRODUCT((nNIA=AE751)*(nCUENTA=1)*(COUNTIF(CONFIG_ASIGNATURAS!$B$7:$B$27,nASIG)&gt;0)*1),"")))</f>
        <v/>
      </c>
    </row>
    <row r="752" spans="2:35" x14ac:dyDescent="0.2">
      <c r="B752" t="str">
        <f>IF(A752="","",IF(A752="[FÓRMULA MANUAL]","",IFERROR(AVERAGEIFS(nNOTA,nNIA,A752,nCUENTA,1,nASIG,"Lenguaje Musical"),"")))</f>
        <v/>
      </c>
      <c r="C752" t="str">
        <f>IF(A752="","",IF(A752="[FÓRMULA MANUAL]","",IFERROR(AVERAGEIFS(nNOTA,nNIA,A752,nCUENTA,1,nASIG,"Orquesta/Banda/Conjunto"),"")))</f>
        <v/>
      </c>
      <c r="D752" t="str">
        <f>IF(A752="","",IF(A752="[FÓRMULA MANUAL]","",IFERROR(AVERAGEIFS(nNOTA,nNIA,A752,nCUENTA,1,nASIG,"Conjunto"),"")))</f>
        <v/>
      </c>
      <c r="E752" t="str">
        <f>IF(A752="","",IF(A752="[FÓRMULA MANUAL]","",IFERROR(SUMPRODUCT((nNIA=A752)*(nCUENTA=1)*(COUNTIF(CONFIG_ASIGNATURAS!$B$7:$B$27,nASIG)&gt;0)*(nNOTA))/SUMPRODUCT((nNIA=A752)*(nCUENTA=1)*(COUNTIF(CONFIG_ASIGNATURAS!$B$7:$B$27,nASIG)&gt;0)*1),"")))</f>
        <v/>
      </c>
      <c r="H752" t="str">
        <f>IF(G752="","",IF(G752="[FÓRMULA MANUAL]","",IFERROR(AVERAGEIFS(nNOTA,nNIA,G752,nCUENTA,1,nASIG,"Lenguaje Musical"),"")))</f>
        <v/>
      </c>
      <c r="I752" t="str">
        <f>IF(G752="","",IF(G752="[FÓRMULA MANUAL]","",IFERROR(AVERAGEIFS(nNOTA,nNIA,G752,nCUENTA,1,nASIG,"Orquesta/Banda/Conjunto"),"")))</f>
        <v/>
      </c>
      <c r="J752" t="str">
        <f>IF(G752="","",IF(G752="[FÓRMULA MANUAL]","",IFERROR(AVERAGEIFS(nNOTA,nNIA,G752,nCUENTA,1,nASIG,"Conjunto"),"")))</f>
        <v/>
      </c>
      <c r="K752" t="str">
        <f>IF(G752="","",IF(G752="[FÓRMULA MANUAL]","",IFERROR(SUMPRODUCT((nNIA=G752)*(nCUENTA=1)*(COUNTIF(CONFIG_ASIGNATURAS!$B$7:$B$27,nASIG)&gt;0)*(nNOTA))/SUMPRODUCT((nNIA=G752)*(nCUENTA=1)*(COUNTIF(CONFIG_ASIGNATURAS!$B$7:$B$27,nASIG)&gt;0)*1),"")))</f>
        <v/>
      </c>
      <c r="N752" t="str">
        <f>IF(M752="","",IF(M752="[FÓRMULA MANUAL]","",IFERROR(AVERAGEIFS(nNOTA,nNIA,M752,nCUENTA,1,nASIG,"Armonía"),"")))</f>
        <v/>
      </c>
      <c r="O752" t="str">
        <f>IF(M752="","",IF(M752="[FÓRMULA MANUAL]","",IFERROR(AVERAGEIFS(nNOTA,nNIA,M752,nCUENTA,1,nASIG,"Orquesta/Banda/Conjunto"),"")))</f>
        <v/>
      </c>
      <c r="P752" t="str">
        <f>IF(M752="","",IF(M752="[FÓRMULA MANUAL]","",IFERROR(AVERAGEIFS(nNOTA,nNIA,M752,nCUENTA,1,nASIG,"Música de Cámara"),"")))</f>
        <v/>
      </c>
      <c r="Q752" t="str">
        <f>IF(M752="","",IF(M752="[FÓRMULA MANUAL]","",IFERROR(SUMPRODUCT((nNIA=M752)*(nCUENTA=1)*(COUNTIF(CONFIG_ASIGNATURAS!$B$7:$B$27,nASIG)&gt;0)*(nNOTA))/SUMPRODUCT((nNIA=M752)*(nCUENTA=1)*(COUNTIF(CONFIG_ASIGNATURAS!$B$7:$B$27,nASIG)&gt;0)*1),"")))</f>
        <v/>
      </c>
      <c r="T752" t="str">
        <f>IF(S752="","",IF(S752="[FÓRMULA MANUAL]","",IFERROR(AVERAGEIFS(nNOTA,nNIA,S752,nCUENTA,1,nASIG,"Armonía"),"")))</f>
        <v/>
      </c>
      <c r="U752" t="str">
        <f>IF(S752="","",IF(S752="[FÓRMULA MANUAL]","",IFERROR(AVERAGEIFS(nNOTA,nNIA,S752,nCUENTA,1,nASIG,"Orquesta/Banda/Conjunto"),"")))</f>
        <v/>
      </c>
      <c r="V752" t="str">
        <f>IF(S752="","",IF(S752="[FÓRMULA MANUAL]","",IFERROR(AVERAGEIFS(nNOTA,nNIA,S752,nCUENTA,1,nASIG,"Música de Cámara"),"")))</f>
        <v/>
      </c>
      <c r="W752" t="str">
        <f>IF(S752="","",IF(S752="[FÓRMULA MANUAL]","",IFERROR(SUMPRODUCT((nNIA=S752)*(nCUENTA=1)*(COUNTIF(CONFIG_ASIGNATURAS!$B$7:$B$27,nASIG)&gt;0)*(nNOTA))/SUMPRODUCT((nNIA=S752)*(nCUENTA=1)*(COUNTIF(CONFIG_ASIGNATURAS!$B$7:$B$27,nASIG)&gt;0)*1),"")))</f>
        <v/>
      </c>
      <c r="Z752" t="str">
        <f>IF(Y752="","",IF(Y752="[FÓRMULA MANUAL]","",IFERROR(AVERAGEIFS(nNOTA,nNIA,Y752,nCUENTA,1,nASIG,"Análisis"),"")))</f>
        <v/>
      </c>
      <c r="AA752" t="str">
        <f>IF(Y752="","",IF(Y752="[FÓRMULA MANUAL]","",IFERROR(AVERAGEIFS(nNOTA,nNIA,Y752,nCUENTA,1,nASIG,"Orquesta/Banda/Conjunto"),"")))</f>
        <v/>
      </c>
      <c r="AB752" t="str">
        <f>IF(Y752="","",IF(Y752="[FÓRMULA MANUAL]","",IFERROR(AVERAGEIFS(nNOTA,nNIA,Y752,nCUENTA,1,nASIG,"Música de Cámara"),"")))</f>
        <v/>
      </c>
      <c r="AC752" t="str">
        <f>IF(Y752="","",IF(Y752="[FÓRMULA MANUAL]","",IFERROR(SUMPRODUCT((nNIA=Y752)*(nCUENTA=1)*(COUNTIF(CONFIG_ASIGNATURAS!$B$7:$B$27,nASIG)&gt;0)*(nNOTA))/SUMPRODUCT((nNIA=Y752)*(nCUENTA=1)*(COUNTIF(CONFIG_ASIGNATURAS!$B$7:$B$27,nASIG)&gt;0)*1),"")))</f>
        <v/>
      </c>
      <c r="AF752" t="str">
        <f>IF(AE752="","",IF(AE752="[FÓRMULA MANUAL]","",IFERROR(AVERAGEIFS(nNOTA,nNIA,AE752,nCUENTA,1,nASIG,"Análisis"),"")))</f>
        <v/>
      </c>
      <c r="AG752" t="str">
        <f>IF(AE752="","",IF(AE752="[FÓRMULA MANUAL]","",IFERROR(AVERAGEIFS(nNOTA,nNIA,AE752,nCUENTA,1,nASIG,"Orquesta/Banda/Conjunto"),"")))</f>
        <v/>
      </c>
      <c r="AH752" t="str">
        <f>IF(AE752="","",IF(AE752="[FÓRMULA MANUAL]","",IFERROR(AVERAGEIFS(nNOTA,nNIA,AE752,nCUENTA,1,nASIG,"Música de Cámara"),"")))</f>
        <v/>
      </c>
      <c r="AI752" t="str">
        <f>IF(AE752="","",IF(AE752="[FÓRMULA MANUAL]","",IFERROR(SUMPRODUCT((nNIA=AE752)*(nCUENTA=1)*(COUNTIF(CONFIG_ASIGNATURAS!$B$7:$B$27,nASIG)&gt;0)*(nNOTA))/SUMPRODUCT((nNIA=AE752)*(nCUENTA=1)*(COUNTIF(CONFIG_ASIGNATURAS!$B$7:$B$27,nASIG)&gt;0)*1),"")))</f>
        <v/>
      </c>
    </row>
    <row r="753" spans="2:35" x14ac:dyDescent="0.2">
      <c r="B753" t="str">
        <f>IF(A753="","",IF(A753="[FÓRMULA MANUAL]","",IFERROR(AVERAGEIFS(nNOTA,nNIA,A753,nCUENTA,1,nASIG,"Lenguaje Musical"),"")))</f>
        <v/>
      </c>
      <c r="C753" t="str">
        <f>IF(A753="","",IF(A753="[FÓRMULA MANUAL]","",IFERROR(AVERAGEIFS(nNOTA,nNIA,A753,nCUENTA,1,nASIG,"Orquesta/Banda/Conjunto"),"")))</f>
        <v/>
      </c>
      <c r="D753" t="str">
        <f>IF(A753="","",IF(A753="[FÓRMULA MANUAL]","",IFERROR(AVERAGEIFS(nNOTA,nNIA,A753,nCUENTA,1,nASIG,"Conjunto"),"")))</f>
        <v/>
      </c>
      <c r="E753" t="str">
        <f>IF(A753="","",IF(A753="[FÓRMULA MANUAL]","",IFERROR(SUMPRODUCT((nNIA=A753)*(nCUENTA=1)*(COUNTIF(CONFIG_ASIGNATURAS!$B$7:$B$27,nASIG)&gt;0)*(nNOTA))/SUMPRODUCT((nNIA=A753)*(nCUENTA=1)*(COUNTIF(CONFIG_ASIGNATURAS!$B$7:$B$27,nASIG)&gt;0)*1),"")))</f>
        <v/>
      </c>
      <c r="H753" t="str">
        <f>IF(G753="","",IF(G753="[FÓRMULA MANUAL]","",IFERROR(AVERAGEIFS(nNOTA,nNIA,G753,nCUENTA,1,nASIG,"Lenguaje Musical"),"")))</f>
        <v/>
      </c>
      <c r="I753" t="str">
        <f>IF(G753="","",IF(G753="[FÓRMULA MANUAL]","",IFERROR(AVERAGEIFS(nNOTA,nNIA,G753,nCUENTA,1,nASIG,"Orquesta/Banda/Conjunto"),"")))</f>
        <v/>
      </c>
      <c r="J753" t="str">
        <f>IF(G753="","",IF(G753="[FÓRMULA MANUAL]","",IFERROR(AVERAGEIFS(nNOTA,nNIA,G753,nCUENTA,1,nASIG,"Conjunto"),"")))</f>
        <v/>
      </c>
      <c r="K753" t="str">
        <f>IF(G753="","",IF(G753="[FÓRMULA MANUAL]","",IFERROR(SUMPRODUCT((nNIA=G753)*(nCUENTA=1)*(COUNTIF(CONFIG_ASIGNATURAS!$B$7:$B$27,nASIG)&gt;0)*(nNOTA))/SUMPRODUCT((nNIA=G753)*(nCUENTA=1)*(COUNTIF(CONFIG_ASIGNATURAS!$B$7:$B$27,nASIG)&gt;0)*1),"")))</f>
        <v/>
      </c>
      <c r="N753" t="str">
        <f>IF(M753="","",IF(M753="[FÓRMULA MANUAL]","",IFERROR(AVERAGEIFS(nNOTA,nNIA,M753,nCUENTA,1,nASIG,"Armonía"),"")))</f>
        <v/>
      </c>
      <c r="O753" t="str">
        <f>IF(M753="","",IF(M753="[FÓRMULA MANUAL]","",IFERROR(AVERAGEIFS(nNOTA,nNIA,M753,nCUENTA,1,nASIG,"Orquesta/Banda/Conjunto"),"")))</f>
        <v/>
      </c>
      <c r="P753" t="str">
        <f>IF(M753="","",IF(M753="[FÓRMULA MANUAL]","",IFERROR(AVERAGEIFS(nNOTA,nNIA,M753,nCUENTA,1,nASIG,"Música de Cámara"),"")))</f>
        <v/>
      </c>
      <c r="Q753" t="str">
        <f>IF(M753="","",IF(M753="[FÓRMULA MANUAL]","",IFERROR(SUMPRODUCT((nNIA=M753)*(nCUENTA=1)*(COUNTIF(CONFIG_ASIGNATURAS!$B$7:$B$27,nASIG)&gt;0)*(nNOTA))/SUMPRODUCT((nNIA=M753)*(nCUENTA=1)*(COUNTIF(CONFIG_ASIGNATURAS!$B$7:$B$27,nASIG)&gt;0)*1),"")))</f>
        <v/>
      </c>
      <c r="T753" t="str">
        <f>IF(S753="","",IF(S753="[FÓRMULA MANUAL]","",IFERROR(AVERAGEIFS(nNOTA,nNIA,S753,nCUENTA,1,nASIG,"Armonía"),"")))</f>
        <v/>
      </c>
      <c r="U753" t="str">
        <f>IF(S753="","",IF(S753="[FÓRMULA MANUAL]","",IFERROR(AVERAGEIFS(nNOTA,nNIA,S753,nCUENTA,1,nASIG,"Orquesta/Banda/Conjunto"),"")))</f>
        <v/>
      </c>
      <c r="V753" t="str">
        <f>IF(S753="","",IF(S753="[FÓRMULA MANUAL]","",IFERROR(AVERAGEIFS(nNOTA,nNIA,S753,nCUENTA,1,nASIG,"Música de Cámara"),"")))</f>
        <v/>
      </c>
      <c r="W753" t="str">
        <f>IF(S753="","",IF(S753="[FÓRMULA MANUAL]","",IFERROR(SUMPRODUCT((nNIA=S753)*(nCUENTA=1)*(COUNTIF(CONFIG_ASIGNATURAS!$B$7:$B$27,nASIG)&gt;0)*(nNOTA))/SUMPRODUCT((nNIA=S753)*(nCUENTA=1)*(COUNTIF(CONFIG_ASIGNATURAS!$B$7:$B$27,nASIG)&gt;0)*1),"")))</f>
        <v/>
      </c>
      <c r="Z753" t="str">
        <f>IF(Y753="","",IF(Y753="[FÓRMULA MANUAL]","",IFERROR(AVERAGEIFS(nNOTA,nNIA,Y753,nCUENTA,1,nASIG,"Análisis"),"")))</f>
        <v/>
      </c>
      <c r="AA753" t="str">
        <f>IF(Y753="","",IF(Y753="[FÓRMULA MANUAL]","",IFERROR(AVERAGEIFS(nNOTA,nNIA,Y753,nCUENTA,1,nASIG,"Orquesta/Banda/Conjunto"),"")))</f>
        <v/>
      </c>
      <c r="AB753" t="str">
        <f>IF(Y753="","",IF(Y753="[FÓRMULA MANUAL]","",IFERROR(AVERAGEIFS(nNOTA,nNIA,Y753,nCUENTA,1,nASIG,"Música de Cámara"),"")))</f>
        <v/>
      </c>
      <c r="AC753" t="str">
        <f>IF(Y753="","",IF(Y753="[FÓRMULA MANUAL]","",IFERROR(SUMPRODUCT((nNIA=Y753)*(nCUENTA=1)*(COUNTIF(CONFIG_ASIGNATURAS!$B$7:$B$27,nASIG)&gt;0)*(nNOTA))/SUMPRODUCT((nNIA=Y753)*(nCUENTA=1)*(COUNTIF(CONFIG_ASIGNATURAS!$B$7:$B$27,nASIG)&gt;0)*1),"")))</f>
        <v/>
      </c>
      <c r="AF753" t="str">
        <f>IF(AE753="","",IF(AE753="[FÓRMULA MANUAL]","",IFERROR(AVERAGEIFS(nNOTA,nNIA,AE753,nCUENTA,1,nASIG,"Análisis"),"")))</f>
        <v/>
      </c>
      <c r="AG753" t="str">
        <f>IF(AE753="","",IF(AE753="[FÓRMULA MANUAL]","",IFERROR(AVERAGEIFS(nNOTA,nNIA,AE753,nCUENTA,1,nASIG,"Orquesta/Banda/Conjunto"),"")))</f>
        <v/>
      </c>
      <c r="AH753" t="str">
        <f>IF(AE753="","",IF(AE753="[FÓRMULA MANUAL]","",IFERROR(AVERAGEIFS(nNOTA,nNIA,AE753,nCUENTA,1,nASIG,"Música de Cámara"),"")))</f>
        <v/>
      </c>
      <c r="AI753" t="str">
        <f>IF(AE753="","",IF(AE753="[FÓRMULA MANUAL]","",IFERROR(SUMPRODUCT((nNIA=AE753)*(nCUENTA=1)*(COUNTIF(CONFIG_ASIGNATURAS!$B$7:$B$27,nASIG)&gt;0)*(nNOTA))/SUMPRODUCT((nNIA=AE753)*(nCUENTA=1)*(COUNTIF(CONFIG_ASIGNATURAS!$B$7:$B$27,nASIG)&gt;0)*1),"")))</f>
        <v/>
      </c>
    </row>
    <row r="754" spans="2:35" x14ac:dyDescent="0.2">
      <c r="B754" t="str">
        <f>IF(A754="","",IF(A754="[FÓRMULA MANUAL]","",IFERROR(AVERAGEIFS(nNOTA,nNIA,A754,nCUENTA,1,nASIG,"Lenguaje Musical"),"")))</f>
        <v/>
      </c>
      <c r="C754" t="str">
        <f>IF(A754="","",IF(A754="[FÓRMULA MANUAL]","",IFERROR(AVERAGEIFS(nNOTA,nNIA,A754,nCUENTA,1,nASIG,"Orquesta/Banda/Conjunto"),"")))</f>
        <v/>
      </c>
      <c r="D754" t="str">
        <f>IF(A754="","",IF(A754="[FÓRMULA MANUAL]","",IFERROR(AVERAGEIFS(nNOTA,nNIA,A754,nCUENTA,1,nASIG,"Conjunto"),"")))</f>
        <v/>
      </c>
      <c r="E754" t="str">
        <f>IF(A754="","",IF(A754="[FÓRMULA MANUAL]","",IFERROR(SUMPRODUCT((nNIA=A754)*(nCUENTA=1)*(COUNTIF(CONFIG_ASIGNATURAS!$B$7:$B$27,nASIG)&gt;0)*(nNOTA))/SUMPRODUCT((nNIA=A754)*(nCUENTA=1)*(COUNTIF(CONFIG_ASIGNATURAS!$B$7:$B$27,nASIG)&gt;0)*1),"")))</f>
        <v/>
      </c>
      <c r="H754" t="str">
        <f>IF(G754="","",IF(G754="[FÓRMULA MANUAL]","",IFERROR(AVERAGEIFS(nNOTA,nNIA,G754,nCUENTA,1,nASIG,"Lenguaje Musical"),"")))</f>
        <v/>
      </c>
      <c r="I754" t="str">
        <f>IF(G754="","",IF(G754="[FÓRMULA MANUAL]","",IFERROR(AVERAGEIFS(nNOTA,nNIA,G754,nCUENTA,1,nASIG,"Orquesta/Banda/Conjunto"),"")))</f>
        <v/>
      </c>
      <c r="J754" t="str">
        <f>IF(G754="","",IF(G754="[FÓRMULA MANUAL]","",IFERROR(AVERAGEIFS(nNOTA,nNIA,G754,nCUENTA,1,nASIG,"Conjunto"),"")))</f>
        <v/>
      </c>
      <c r="K754" t="str">
        <f>IF(G754="","",IF(G754="[FÓRMULA MANUAL]","",IFERROR(SUMPRODUCT((nNIA=G754)*(nCUENTA=1)*(COUNTIF(CONFIG_ASIGNATURAS!$B$7:$B$27,nASIG)&gt;0)*(nNOTA))/SUMPRODUCT((nNIA=G754)*(nCUENTA=1)*(COUNTIF(CONFIG_ASIGNATURAS!$B$7:$B$27,nASIG)&gt;0)*1),"")))</f>
        <v/>
      </c>
      <c r="N754" t="str">
        <f>IF(M754="","",IF(M754="[FÓRMULA MANUAL]","",IFERROR(AVERAGEIFS(nNOTA,nNIA,M754,nCUENTA,1,nASIG,"Armonía"),"")))</f>
        <v/>
      </c>
      <c r="O754" t="str">
        <f>IF(M754="","",IF(M754="[FÓRMULA MANUAL]","",IFERROR(AVERAGEIFS(nNOTA,nNIA,M754,nCUENTA,1,nASIG,"Orquesta/Banda/Conjunto"),"")))</f>
        <v/>
      </c>
      <c r="P754" t="str">
        <f>IF(M754="","",IF(M754="[FÓRMULA MANUAL]","",IFERROR(AVERAGEIFS(nNOTA,nNIA,M754,nCUENTA,1,nASIG,"Música de Cámara"),"")))</f>
        <v/>
      </c>
      <c r="Q754" t="str">
        <f>IF(M754="","",IF(M754="[FÓRMULA MANUAL]","",IFERROR(SUMPRODUCT((nNIA=M754)*(nCUENTA=1)*(COUNTIF(CONFIG_ASIGNATURAS!$B$7:$B$27,nASIG)&gt;0)*(nNOTA))/SUMPRODUCT((nNIA=M754)*(nCUENTA=1)*(COUNTIF(CONFIG_ASIGNATURAS!$B$7:$B$27,nASIG)&gt;0)*1),"")))</f>
        <v/>
      </c>
      <c r="T754" t="str">
        <f>IF(S754="","",IF(S754="[FÓRMULA MANUAL]","",IFERROR(AVERAGEIFS(nNOTA,nNIA,S754,nCUENTA,1,nASIG,"Armonía"),"")))</f>
        <v/>
      </c>
      <c r="U754" t="str">
        <f>IF(S754="","",IF(S754="[FÓRMULA MANUAL]","",IFERROR(AVERAGEIFS(nNOTA,nNIA,S754,nCUENTA,1,nASIG,"Orquesta/Banda/Conjunto"),"")))</f>
        <v/>
      </c>
      <c r="V754" t="str">
        <f>IF(S754="","",IF(S754="[FÓRMULA MANUAL]","",IFERROR(AVERAGEIFS(nNOTA,nNIA,S754,nCUENTA,1,nASIG,"Música de Cámara"),"")))</f>
        <v/>
      </c>
      <c r="W754" t="str">
        <f>IF(S754="","",IF(S754="[FÓRMULA MANUAL]","",IFERROR(SUMPRODUCT((nNIA=S754)*(nCUENTA=1)*(COUNTIF(CONFIG_ASIGNATURAS!$B$7:$B$27,nASIG)&gt;0)*(nNOTA))/SUMPRODUCT((nNIA=S754)*(nCUENTA=1)*(COUNTIF(CONFIG_ASIGNATURAS!$B$7:$B$27,nASIG)&gt;0)*1),"")))</f>
        <v/>
      </c>
      <c r="Z754" t="str">
        <f>IF(Y754="","",IF(Y754="[FÓRMULA MANUAL]","",IFERROR(AVERAGEIFS(nNOTA,nNIA,Y754,nCUENTA,1,nASIG,"Análisis"),"")))</f>
        <v/>
      </c>
      <c r="AA754" t="str">
        <f>IF(Y754="","",IF(Y754="[FÓRMULA MANUAL]","",IFERROR(AVERAGEIFS(nNOTA,nNIA,Y754,nCUENTA,1,nASIG,"Orquesta/Banda/Conjunto"),"")))</f>
        <v/>
      </c>
      <c r="AB754" t="str">
        <f>IF(Y754="","",IF(Y754="[FÓRMULA MANUAL]","",IFERROR(AVERAGEIFS(nNOTA,nNIA,Y754,nCUENTA,1,nASIG,"Música de Cámara"),"")))</f>
        <v/>
      </c>
      <c r="AC754" t="str">
        <f>IF(Y754="","",IF(Y754="[FÓRMULA MANUAL]","",IFERROR(SUMPRODUCT((nNIA=Y754)*(nCUENTA=1)*(COUNTIF(CONFIG_ASIGNATURAS!$B$7:$B$27,nASIG)&gt;0)*(nNOTA))/SUMPRODUCT((nNIA=Y754)*(nCUENTA=1)*(COUNTIF(CONFIG_ASIGNATURAS!$B$7:$B$27,nASIG)&gt;0)*1),"")))</f>
        <v/>
      </c>
      <c r="AF754" t="str">
        <f>IF(AE754="","",IF(AE754="[FÓRMULA MANUAL]","",IFERROR(AVERAGEIFS(nNOTA,nNIA,AE754,nCUENTA,1,nASIG,"Análisis"),"")))</f>
        <v/>
      </c>
      <c r="AG754" t="str">
        <f>IF(AE754="","",IF(AE754="[FÓRMULA MANUAL]","",IFERROR(AVERAGEIFS(nNOTA,nNIA,AE754,nCUENTA,1,nASIG,"Orquesta/Banda/Conjunto"),"")))</f>
        <v/>
      </c>
      <c r="AH754" t="str">
        <f>IF(AE754="","",IF(AE754="[FÓRMULA MANUAL]","",IFERROR(AVERAGEIFS(nNOTA,nNIA,AE754,nCUENTA,1,nASIG,"Música de Cámara"),"")))</f>
        <v/>
      </c>
      <c r="AI754" t="str">
        <f>IF(AE754="","",IF(AE754="[FÓRMULA MANUAL]","",IFERROR(SUMPRODUCT((nNIA=AE754)*(nCUENTA=1)*(COUNTIF(CONFIG_ASIGNATURAS!$B$7:$B$27,nASIG)&gt;0)*(nNOTA))/SUMPRODUCT((nNIA=AE754)*(nCUENTA=1)*(COUNTIF(CONFIG_ASIGNATURAS!$B$7:$B$27,nASIG)&gt;0)*1),"")))</f>
        <v/>
      </c>
    </row>
    <row r="755" spans="2:35" x14ac:dyDescent="0.2">
      <c r="B755" t="str">
        <f>IF(A755="","",IF(A755="[FÓRMULA MANUAL]","",IFERROR(AVERAGEIFS(nNOTA,nNIA,A755,nCUENTA,1,nASIG,"Lenguaje Musical"),"")))</f>
        <v/>
      </c>
      <c r="C755" t="str">
        <f>IF(A755="","",IF(A755="[FÓRMULA MANUAL]","",IFERROR(AVERAGEIFS(nNOTA,nNIA,A755,nCUENTA,1,nASIG,"Orquesta/Banda/Conjunto"),"")))</f>
        <v/>
      </c>
      <c r="D755" t="str">
        <f>IF(A755="","",IF(A755="[FÓRMULA MANUAL]","",IFERROR(AVERAGEIFS(nNOTA,nNIA,A755,nCUENTA,1,nASIG,"Conjunto"),"")))</f>
        <v/>
      </c>
      <c r="E755" t="str">
        <f>IF(A755="","",IF(A755="[FÓRMULA MANUAL]","",IFERROR(SUMPRODUCT((nNIA=A755)*(nCUENTA=1)*(COUNTIF(CONFIG_ASIGNATURAS!$B$7:$B$27,nASIG)&gt;0)*(nNOTA))/SUMPRODUCT((nNIA=A755)*(nCUENTA=1)*(COUNTIF(CONFIG_ASIGNATURAS!$B$7:$B$27,nASIG)&gt;0)*1),"")))</f>
        <v/>
      </c>
      <c r="H755" t="str">
        <f>IF(G755="","",IF(G755="[FÓRMULA MANUAL]","",IFERROR(AVERAGEIFS(nNOTA,nNIA,G755,nCUENTA,1,nASIG,"Lenguaje Musical"),"")))</f>
        <v/>
      </c>
      <c r="I755" t="str">
        <f>IF(G755="","",IF(G755="[FÓRMULA MANUAL]","",IFERROR(AVERAGEIFS(nNOTA,nNIA,G755,nCUENTA,1,nASIG,"Orquesta/Banda/Conjunto"),"")))</f>
        <v/>
      </c>
      <c r="J755" t="str">
        <f>IF(G755="","",IF(G755="[FÓRMULA MANUAL]","",IFERROR(AVERAGEIFS(nNOTA,nNIA,G755,nCUENTA,1,nASIG,"Conjunto"),"")))</f>
        <v/>
      </c>
      <c r="K755" t="str">
        <f>IF(G755="","",IF(G755="[FÓRMULA MANUAL]","",IFERROR(SUMPRODUCT((nNIA=G755)*(nCUENTA=1)*(COUNTIF(CONFIG_ASIGNATURAS!$B$7:$B$27,nASIG)&gt;0)*(nNOTA))/SUMPRODUCT((nNIA=G755)*(nCUENTA=1)*(COUNTIF(CONFIG_ASIGNATURAS!$B$7:$B$27,nASIG)&gt;0)*1),"")))</f>
        <v/>
      </c>
      <c r="N755" t="str">
        <f>IF(M755="","",IF(M755="[FÓRMULA MANUAL]","",IFERROR(AVERAGEIFS(nNOTA,nNIA,M755,nCUENTA,1,nASIG,"Armonía"),"")))</f>
        <v/>
      </c>
      <c r="O755" t="str">
        <f>IF(M755="","",IF(M755="[FÓRMULA MANUAL]","",IFERROR(AVERAGEIFS(nNOTA,nNIA,M755,nCUENTA,1,nASIG,"Orquesta/Banda/Conjunto"),"")))</f>
        <v/>
      </c>
      <c r="P755" t="str">
        <f>IF(M755="","",IF(M755="[FÓRMULA MANUAL]","",IFERROR(AVERAGEIFS(nNOTA,nNIA,M755,nCUENTA,1,nASIG,"Música de Cámara"),"")))</f>
        <v/>
      </c>
      <c r="Q755" t="str">
        <f>IF(M755="","",IF(M755="[FÓRMULA MANUAL]","",IFERROR(SUMPRODUCT((nNIA=M755)*(nCUENTA=1)*(COUNTIF(CONFIG_ASIGNATURAS!$B$7:$B$27,nASIG)&gt;0)*(nNOTA))/SUMPRODUCT((nNIA=M755)*(nCUENTA=1)*(COUNTIF(CONFIG_ASIGNATURAS!$B$7:$B$27,nASIG)&gt;0)*1),"")))</f>
        <v/>
      </c>
      <c r="T755" t="str">
        <f>IF(S755="","",IF(S755="[FÓRMULA MANUAL]","",IFERROR(AVERAGEIFS(nNOTA,nNIA,S755,nCUENTA,1,nASIG,"Armonía"),"")))</f>
        <v/>
      </c>
      <c r="U755" t="str">
        <f>IF(S755="","",IF(S755="[FÓRMULA MANUAL]","",IFERROR(AVERAGEIFS(nNOTA,nNIA,S755,nCUENTA,1,nASIG,"Orquesta/Banda/Conjunto"),"")))</f>
        <v/>
      </c>
      <c r="V755" t="str">
        <f>IF(S755="","",IF(S755="[FÓRMULA MANUAL]","",IFERROR(AVERAGEIFS(nNOTA,nNIA,S755,nCUENTA,1,nASIG,"Música de Cámara"),"")))</f>
        <v/>
      </c>
      <c r="W755" t="str">
        <f>IF(S755="","",IF(S755="[FÓRMULA MANUAL]","",IFERROR(SUMPRODUCT((nNIA=S755)*(nCUENTA=1)*(COUNTIF(CONFIG_ASIGNATURAS!$B$7:$B$27,nASIG)&gt;0)*(nNOTA))/SUMPRODUCT((nNIA=S755)*(nCUENTA=1)*(COUNTIF(CONFIG_ASIGNATURAS!$B$7:$B$27,nASIG)&gt;0)*1),"")))</f>
        <v/>
      </c>
      <c r="Z755" t="str">
        <f>IF(Y755="","",IF(Y755="[FÓRMULA MANUAL]","",IFERROR(AVERAGEIFS(nNOTA,nNIA,Y755,nCUENTA,1,nASIG,"Análisis"),"")))</f>
        <v/>
      </c>
      <c r="AA755" t="str">
        <f>IF(Y755="","",IF(Y755="[FÓRMULA MANUAL]","",IFERROR(AVERAGEIFS(nNOTA,nNIA,Y755,nCUENTA,1,nASIG,"Orquesta/Banda/Conjunto"),"")))</f>
        <v/>
      </c>
      <c r="AB755" t="str">
        <f>IF(Y755="","",IF(Y755="[FÓRMULA MANUAL]","",IFERROR(AVERAGEIFS(nNOTA,nNIA,Y755,nCUENTA,1,nASIG,"Música de Cámara"),"")))</f>
        <v/>
      </c>
      <c r="AC755" t="str">
        <f>IF(Y755="","",IF(Y755="[FÓRMULA MANUAL]","",IFERROR(SUMPRODUCT((nNIA=Y755)*(nCUENTA=1)*(COUNTIF(CONFIG_ASIGNATURAS!$B$7:$B$27,nASIG)&gt;0)*(nNOTA))/SUMPRODUCT((nNIA=Y755)*(nCUENTA=1)*(COUNTIF(CONFIG_ASIGNATURAS!$B$7:$B$27,nASIG)&gt;0)*1),"")))</f>
        <v/>
      </c>
      <c r="AF755" t="str">
        <f>IF(AE755="","",IF(AE755="[FÓRMULA MANUAL]","",IFERROR(AVERAGEIFS(nNOTA,nNIA,AE755,nCUENTA,1,nASIG,"Análisis"),"")))</f>
        <v/>
      </c>
      <c r="AG755" t="str">
        <f>IF(AE755="","",IF(AE755="[FÓRMULA MANUAL]","",IFERROR(AVERAGEIFS(nNOTA,nNIA,AE755,nCUENTA,1,nASIG,"Orquesta/Banda/Conjunto"),"")))</f>
        <v/>
      </c>
      <c r="AH755" t="str">
        <f>IF(AE755="","",IF(AE755="[FÓRMULA MANUAL]","",IFERROR(AVERAGEIFS(nNOTA,nNIA,AE755,nCUENTA,1,nASIG,"Música de Cámara"),"")))</f>
        <v/>
      </c>
      <c r="AI755" t="str">
        <f>IF(AE755="","",IF(AE755="[FÓRMULA MANUAL]","",IFERROR(SUMPRODUCT((nNIA=AE755)*(nCUENTA=1)*(COUNTIF(CONFIG_ASIGNATURAS!$B$7:$B$27,nASIG)&gt;0)*(nNOTA))/SUMPRODUCT((nNIA=AE755)*(nCUENTA=1)*(COUNTIF(CONFIG_ASIGNATURAS!$B$7:$B$27,nASIG)&gt;0)*1),"")))</f>
        <v/>
      </c>
    </row>
    <row r="756" spans="2:35" x14ac:dyDescent="0.2">
      <c r="B756" t="str">
        <f>IF(A756="","",IF(A756="[FÓRMULA MANUAL]","",IFERROR(AVERAGEIFS(nNOTA,nNIA,A756,nCUENTA,1,nASIG,"Lenguaje Musical"),"")))</f>
        <v/>
      </c>
      <c r="C756" t="str">
        <f>IF(A756="","",IF(A756="[FÓRMULA MANUAL]","",IFERROR(AVERAGEIFS(nNOTA,nNIA,A756,nCUENTA,1,nASIG,"Orquesta/Banda/Conjunto"),"")))</f>
        <v/>
      </c>
      <c r="D756" t="str">
        <f>IF(A756="","",IF(A756="[FÓRMULA MANUAL]","",IFERROR(AVERAGEIFS(nNOTA,nNIA,A756,nCUENTA,1,nASIG,"Conjunto"),"")))</f>
        <v/>
      </c>
      <c r="E756" t="str">
        <f>IF(A756="","",IF(A756="[FÓRMULA MANUAL]","",IFERROR(SUMPRODUCT((nNIA=A756)*(nCUENTA=1)*(COUNTIF(CONFIG_ASIGNATURAS!$B$7:$B$27,nASIG)&gt;0)*(nNOTA))/SUMPRODUCT((nNIA=A756)*(nCUENTA=1)*(COUNTIF(CONFIG_ASIGNATURAS!$B$7:$B$27,nASIG)&gt;0)*1),"")))</f>
        <v/>
      </c>
      <c r="H756" t="str">
        <f>IF(G756="","",IF(G756="[FÓRMULA MANUAL]","",IFERROR(AVERAGEIFS(nNOTA,nNIA,G756,nCUENTA,1,nASIG,"Lenguaje Musical"),"")))</f>
        <v/>
      </c>
      <c r="I756" t="str">
        <f>IF(G756="","",IF(G756="[FÓRMULA MANUAL]","",IFERROR(AVERAGEIFS(nNOTA,nNIA,G756,nCUENTA,1,nASIG,"Orquesta/Banda/Conjunto"),"")))</f>
        <v/>
      </c>
      <c r="J756" t="str">
        <f>IF(G756="","",IF(G756="[FÓRMULA MANUAL]","",IFERROR(AVERAGEIFS(nNOTA,nNIA,G756,nCUENTA,1,nASIG,"Conjunto"),"")))</f>
        <v/>
      </c>
      <c r="K756" t="str">
        <f>IF(G756="","",IF(G756="[FÓRMULA MANUAL]","",IFERROR(SUMPRODUCT((nNIA=G756)*(nCUENTA=1)*(COUNTIF(CONFIG_ASIGNATURAS!$B$7:$B$27,nASIG)&gt;0)*(nNOTA))/SUMPRODUCT((nNIA=G756)*(nCUENTA=1)*(COUNTIF(CONFIG_ASIGNATURAS!$B$7:$B$27,nASIG)&gt;0)*1),"")))</f>
        <v/>
      </c>
      <c r="N756" t="str">
        <f>IF(M756="","",IF(M756="[FÓRMULA MANUAL]","",IFERROR(AVERAGEIFS(nNOTA,nNIA,M756,nCUENTA,1,nASIG,"Armonía"),"")))</f>
        <v/>
      </c>
      <c r="O756" t="str">
        <f>IF(M756="","",IF(M756="[FÓRMULA MANUAL]","",IFERROR(AVERAGEIFS(nNOTA,nNIA,M756,nCUENTA,1,nASIG,"Orquesta/Banda/Conjunto"),"")))</f>
        <v/>
      </c>
      <c r="P756" t="str">
        <f>IF(M756="","",IF(M756="[FÓRMULA MANUAL]","",IFERROR(AVERAGEIFS(nNOTA,nNIA,M756,nCUENTA,1,nASIG,"Música de Cámara"),"")))</f>
        <v/>
      </c>
      <c r="Q756" t="str">
        <f>IF(M756="","",IF(M756="[FÓRMULA MANUAL]","",IFERROR(SUMPRODUCT((nNIA=M756)*(nCUENTA=1)*(COUNTIF(CONFIG_ASIGNATURAS!$B$7:$B$27,nASIG)&gt;0)*(nNOTA))/SUMPRODUCT((nNIA=M756)*(nCUENTA=1)*(COUNTIF(CONFIG_ASIGNATURAS!$B$7:$B$27,nASIG)&gt;0)*1),"")))</f>
        <v/>
      </c>
      <c r="T756" t="str">
        <f>IF(S756="","",IF(S756="[FÓRMULA MANUAL]","",IFERROR(AVERAGEIFS(nNOTA,nNIA,S756,nCUENTA,1,nASIG,"Armonía"),"")))</f>
        <v/>
      </c>
      <c r="U756" t="str">
        <f>IF(S756="","",IF(S756="[FÓRMULA MANUAL]","",IFERROR(AVERAGEIFS(nNOTA,nNIA,S756,nCUENTA,1,nASIG,"Orquesta/Banda/Conjunto"),"")))</f>
        <v/>
      </c>
      <c r="V756" t="str">
        <f>IF(S756="","",IF(S756="[FÓRMULA MANUAL]","",IFERROR(AVERAGEIFS(nNOTA,nNIA,S756,nCUENTA,1,nASIG,"Música de Cámara"),"")))</f>
        <v/>
      </c>
      <c r="W756" t="str">
        <f>IF(S756="","",IF(S756="[FÓRMULA MANUAL]","",IFERROR(SUMPRODUCT((nNIA=S756)*(nCUENTA=1)*(COUNTIF(CONFIG_ASIGNATURAS!$B$7:$B$27,nASIG)&gt;0)*(nNOTA))/SUMPRODUCT((nNIA=S756)*(nCUENTA=1)*(COUNTIF(CONFIG_ASIGNATURAS!$B$7:$B$27,nASIG)&gt;0)*1),"")))</f>
        <v/>
      </c>
      <c r="Z756" t="str">
        <f>IF(Y756="","",IF(Y756="[FÓRMULA MANUAL]","",IFERROR(AVERAGEIFS(nNOTA,nNIA,Y756,nCUENTA,1,nASIG,"Análisis"),"")))</f>
        <v/>
      </c>
      <c r="AA756" t="str">
        <f>IF(Y756="","",IF(Y756="[FÓRMULA MANUAL]","",IFERROR(AVERAGEIFS(nNOTA,nNIA,Y756,nCUENTA,1,nASIG,"Orquesta/Banda/Conjunto"),"")))</f>
        <v/>
      </c>
      <c r="AB756" t="str">
        <f>IF(Y756="","",IF(Y756="[FÓRMULA MANUAL]","",IFERROR(AVERAGEIFS(nNOTA,nNIA,Y756,nCUENTA,1,nASIG,"Música de Cámara"),"")))</f>
        <v/>
      </c>
      <c r="AC756" t="str">
        <f>IF(Y756="","",IF(Y756="[FÓRMULA MANUAL]","",IFERROR(SUMPRODUCT((nNIA=Y756)*(nCUENTA=1)*(COUNTIF(CONFIG_ASIGNATURAS!$B$7:$B$27,nASIG)&gt;0)*(nNOTA))/SUMPRODUCT((nNIA=Y756)*(nCUENTA=1)*(COUNTIF(CONFIG_ASIGNATURAS!$B$7:$B$27,nASIG)&gt;0)*1),"")))</f>
        <v/>
      </c>
      <c r="AF756" t="str">
        <f>IF(AE756="","",IF(AE756="[FÓRMULA MANUAL]","",IFERROR(AVERAGEIFS(nNOTA,nNIA,AE756,nCUENTA,1,nASIG,"Análisis"),"")))</f>
        <v/>
      </c>
      <c r="AG756" t="str">
        <f>IF(AE756="","",IF(AE756="[FÓRMULA MANUAL]","",IFERROR(AVERAGEIFS(nNOTA,nNIA,AE756,nCUENTA,1,nASIG,"Orquesta/Banda/Conjunto"),"")))</f>
        <v/>
      </c>
      <c r="AH756" t="str">
        <f>IF(AE756="","",IF(AE756="[FÓRMULA MANUAL]","",IFERROR(AVERAGEIFS(nNOTA,nNIA,AE756,nCUENTA,1,nASIG,"Música de Cámara"),"")))</f>
        <v/>
      </c>
      <c r="AI756" t="str">
        <f>IF(AE756="","",IF(AE756="[FÓRMULA MANUAL]","",IFERROR(SUMPRODUCT((nNIA=AE756)*(nCUENTA=1)*(COUNTIF(CONFIG_ASIGNATURAS!$B$7:$B$27,nASIG)&gt;0)*(nNOTA))/SUMPRODUCT((nNIA=AE756)*(nCUENTA=1)*(COUNTIF(CONFIG_ASIGNATURAS!$B$7:$B$27,nASIG)&gt;0)*1),"")))</f>
        <v/>
      </c>
    </row>
    <row r="757" spans="2:35" x14ac:dyDescent="0.2">
      <c r="B757" t="str">
        <f>IF(A757="","",IF(A757="[FÓRMULA MANUAL]","",IFERROR(AVERAGEIFS(nNOTA,nNIA,A757,nCUENTA,1,nASIG,"Lenguaje Musical"),"")))</f>
        <v/>
      </c>
      <c r="C757" t="str">
        <f>IF(A757="","",IF(A757="[FÓRMULA MANUAL]","",IFERROR(AVERAGEIFS(nNOTA,nNIA,A757,nCUENTA,1,nASIG,"Orquesta/Banda/Conjunto"),"")))</f>
        <v/>
      </c>
      <c r="D757" t="str">
        <f>IF(A757="","",IF(A757="[FÓRMULA MANUAL]","",IFERROR(AVERAGEIFS(nNOTA,nNIA,A757,nCUENTA,1,nASIG,"Conjunto"),"")))</f>
        <v/>
      </c>
      <c r="E757" t="str">
        <f>IF(A757="","",IF(A757="[FÓRMULA MANUAL]","",IFERROR(SUMPRODUCT((nNIA=A757)*(nCUENTA=1)*(COUNTIF(CONFIG_ASIGNATURAS!$B$7:$B$27,nASIG)&gt;0)*(nNOTA))/SUMPRODUCT((nNIA=A757)*(nCUENTA=1)*(COUNTIF(CONFIG_ASIGNATURAS!$B$7:$B$27,nASIG)&gt;0)*1),"")))</f>
        <v/>
      </c>
      <c r="H757" t="str">
        <f>IF(G757="","",IF(G757="[FÓRMULA MANUAL]","",IFERROR(AVERAGEIFS(nNOTA,nNIA,G757,nCUENTA,1,nASIG,"Lenguaje Musical"),"")))</f>
        <v/>
      </c>
      <c r="I757" t="str">
        <f>IF(G757="","",IF(G757="[FÓRMULA MANUAL]","",IFERROR(AVERAGEIFS(nNOTA,nNIA,G757,nCUENTA,1,nASIG,"Orquesta/Banda/Conjunto"),"")))</f>
        <v/>
      </c>
      <c r="J757" t="str">
        <f>IF(G757="","",IF(G757="[FÓRMULA MANUAL]","",IFERROR(AVERAGEIFS(nNOTA,nNIA,G757,nCUENTA,1,nASIG,"Conjunto"),"")))</f>
        <v/>
      </c>
      <c r="K757" t="str">
        <f>IF(G757="","",IF(G757="[FÓRMULA MANUAL]","",IFERROR(SUMPRODUCT((nNIA=G757)*(nCUENTA=1)*(COUNTIF(CONFIG_ASIGNATURAS!$B$7:$B$27,nASIG)&gt;0)*(nNOTA))/SUMPRODUCT((nNIA=G757)*(nCUENTA=1)*(COUNTIF(CONFIG_ASIGNATURAS!$B$7:$B$27,nASIG)&gt;0)*1),"")))</f>
        <v/>
      </c>
      <c r="N757" t="str">
        <f>IF(M757="","",IF(M757="[FÓRMULA MANUAL]","",IFERROR(AVERAGEIFS(nNOTA,nNIA,M757,nCUENTA,1,nASIG,"Armonía"),"")))</f>
        <v/>
      </c>
      <c r="O757" t="str">
        <f>IF(M757="","",IF(M757="[FÓRMULA MANUAL]","",IFERROR(AVERAGEIFS(nNOTA,nNIA,M757,nCUENTA,1,nASIG,"Orquesta/Banda/Conjunto"),"")))</f>
        <v/>
      </c>
      <c r="P757" t="str">
        <f>IF(M757="","",IF(M757="[FÓRMULA MANUAL]","",IFERROR(AVERAGEIFS(nNOTA,nNIA,M757,nCUENTA,1,nASIG,"Música de Cámara"),"")))</f>
        <v/>
      </c>
      <c r="Q757" t="str">
        <f>IF(M757="","",IF(M757="[FÓRMULA MANUAL]","",IFERROR(SUMPRODUCT((nNIA=M757)*(nCUENTA=1)*(COUNTIF(CONFIG_ASIGNATURAS!$B$7:$B$27,nASIG)&gt;0)*(nNOTA))/SUMPRODUCT((nNIA=M757)*(nCUENTA=1)*(COUNTIF(CONFIG_ASIGNATURAS!$B$7:$B$27,nASIG)&gt;0)*1),"")))</f>
        <v/>
      </c>
      <c r="T757" t="str">
        <f>IF(S757="","",IF(S757="[FÓRMULA MANUAL]","",IFERROR(AVERAGEIFS(nNOTA,nNIA,S757,nCUENTA,1,nASIG,"Armonía"),"")))</f>
        <v/>
      </c>
      <c r="U757" t="str">
        <f>IF(S757="","",IF(S757="[FÓRMULA MANUAL]","",IFERROR(AVERAGEIFS(nNOTA,nNIA,S757,nCUENTA,1,nASIG,"Orquesta/Banda/Conjunto"),"")))</f>
        <v/>
      </c>
      <c r="V757" t="str">
        <f>IF(S757="","",IF(S757="[FÓRMULA MANUAL]","",IFERROR(AVERAGEIFS(nNOTA,nNIA,S757,nCUENTA,1,nASIG,"Música de Cámara"),"")))</f>
        <v/>
      </c>
      <c r="W757" t="str">
        <f>IF(S757="","",IF(S757="[FÓRMULA MANUAL]","",IFERROR(SUMPRODUCT((nNIA=S757)*(nCUENTA=1)*(COUNTIF(CONFIG_ASIGNATURAS!$B$7:$B$27,nASIG)&gt;0)*(nNOTA))/SUMPRODUCT((nNIA=S757)*(nCUENTA=1)*(COUNTIF(CONFIG_ASIGNATURAS!$B$7:$B$27,nASIG)&gt;0)*1),"")))</f>
        <v/>
      </c>
      <c r="Z757" t="str">
        <f>IF(Y757="","",IF(Y757="[FÓRMULA MANUAL]","",IFERROR(AVERAGEIFS(nNOTA,nNIA,Y757,nCUENTA,1,nASIG,"Análisis"),"")))</f>
        <v/>
      </c>
      <c r="AA757" t="str">
        <f>IF(Y757="","",IF(Y757="[FÓRMULA MANUAL]","",IFERROR(AVERAGEIFS(nNOTA,nNIA,Y757,nCUENTA,1,nASIG,"Orquesta/Banda/Conjunto"),"")))</f>
        <v/>
      </c>
      <c r="AB757" t="str">
        <f>IF(Y757="","",IF(Y757="[FÓRMULA MANUAL]","",IFERROR(AVERAGEIFS(nNOTA,nNIA,Y757,nCUENTA,1,nASIG,"Música de Cámara"),"")))</f>
        <v/>
      </c>
      <c r="AC757" t="str">
        <f>IF(Y757="","",IF(Y757="[FÓRMULA MANUAL]","",IFERROR(SUMPRODUCT((nNIA=Y757)*(nCUENTA=1)*(COUNTIF(CONFIG_ASIGNATURAS!$B$7:$B$27,nASIG)&gt;0)*(nNOTA))/SUMPRODUCT((nNIA=Y757)*(nCUENTA=1)*(COUNTIF(CONFIG_ASIGNATURAS!$B$7:$B$27,nASIG)&gt;0)*1),"")))</f>
        <v/>
      </c>
      <c r="AF757" t="str">
        <f>IF(AE757="","",IF(AE757="[FÓRMULA MANUAL]","",IFERROR(AVERAGEIFS(nNOTA,nNIA,AE757,nCUENTA,1,nASIG,"Análisis"),"")))</f>
        <v/>
      </c>
      <c r="AG757" t="str">
        <f>IF(AE757="","",IF(AE757="[FÓRMULA MANUAL]","",IFERROR(AVERAGEIFS(nNOTA,nNIA,AE757,nCUENTA,1,nASIG,"Orquesta/Banda/Conjunto"),"")))</f>
        <v/>
      </c>
      <c r="AH757" t="str">
        <f>IF(AE757="","",IF(AE757="[FÓRMULA MANUAL]","",IFERROR(AVERAGEIFS(nNOTA,nNIA,AE757,nCUENTA,1,nASIG,"Música de Cámara"),"")))</f>
        <v/>
      </c>
      <c r="AI757" t="str">
        <f>IF(AE757="","",IF(AE757="[FÓRMULA MANUAL]","",IFERROR(SUMPRODUCT((nNIA=AE757)*(nCUENTA=1)*(COUNTIF(CONFIG_ASIGNATURAS!$B$7:$B$27,nASIG)&gt;0)*(nNOTA))/SUMPRODUCT((nNIA=AE757)*(nCUENTA=1)*(COUNTIF(CONFIG_ASIGNATURAS!$B$7:$B$27,nASIG)&gt;0)*1),"")))</f>
        <v/>
      </c>
    </row>
    <row r="758" spans="2:35" x14ac:dyDescent="0.2">
      <c r="B758" t="str">
        <f>IF(A758="","",IF(A758="[FÓRMULA MANUAL]","",IFERROR(AVERAGEIFS(nNOTA,nNIA,A758,nCUENTA,1,nASIG,"Lenguaje Musical"),"")))</f>
        <v/>
      </c>
      <c r="C758" t="str">
        <f>IF(A758="","",IF(A758="[FÓRMULA MANUAL]","",IFERROR(AVERAGEIFS(nNOTA,nNIA,A758,nCUENTA,1,nASIG,"Orquesta/Banda/Conjunto"),"")))</f>
        <v/>
      </c>
      <c r="D758" t="str">
        <f>IF(A758="","",IF(A758="[FÓRMULA MANUAL]","",IFERROR(AVERAGEIFS(nNOTA,nNIA,A758,nCUENTA,1,nASIG,"Conjunto"),"")))</f>
        <v/>
      </c>
      <c r="E758" t="str">
        <f>IF(A758="","",IF(A758="[FÓRMULA MANUAL]","",IFERROR(SUMPRODUCT((nNIA=A758)*(nCUENTA=1)*(COUNTIF(CONFIG_ASIGNATURAS!$B$7:$B$27,nASIG)&gt;0)*(nNOTA))/SUMPRODUCT((nNIA=A758)*(nCUENTA=1)*(COUNTIF(CONFIG_ASIGNATURAS!$B$7:$B$27,nASIG)&gt;0)*1),"")))</f>
        <v/>
      </c>
      <c r="H758" t="str">
        <f>IF(G758="","",IF(G758="[FÓRMULA MANUAL]","",IFERROR(AVERAGEIFS(nNOTA,nNIA,G758,nCUENTA,1,nASIG,"Lenguaje Musical"),"")))</f>
        <v/>
      </c>
      <c r="I758" t="str">
        <f>IF(G758="","",IF(G758="[FÓRMULA MANUAL]","",IFERROR(AVERAGEIFS(nNOTA,nNIA,G758,nCUENTA,1,nASIG,"Orquesta/Banda/Conjunto"),"")))</f>
        <v/>
      </c>
      <c r="J758" t="str">
        <f>IF(G758="","",IF(G758="[FÓRMULA MANUAL]","",IFERROR(AVERAGEIFS(nNOTA,nNIA,G758,nCUENTA,1,nASIG,"Conjunto"),"")))</f>
        <v/>
      </c>
      <c r="K758" t="str">
        <f>IF(G758="","",IF(G758="[FÓRMULA MANUAL]","",IFERROR(SUMPRODUCT((nNIA=G758)*(nCUENTA=1)*(COUNTIF(CONFIG_ASIGNATURAS!$B$7:$B$27,nASIG)&gt;0)*(nNOTA))/SUMPRODUCT((nNIA=G758)*(nCUENTA=1)*(COUNTIF(CONFIG_ASIGNATURAS!$B$7:$B$27,nASIG)&gt;0)*1),"")))</f>
        <v/>
      </c>
      <c r="N758" t="str">
        <f>IF(M758="","",IF(M758="[FÓRMULA MANUAL]","",IFERROR(AVERAGEIFS(nNOTA,nNIA,M758,nCUENTA,1,nASIG,"Armonía"),"")))</f>
        <v/>
      </c>
      <c r="O758" t="str">
        <f>IF(M758="","",IF(M758="[FÓRMULA MANUAL]","",IFERROR(AVERAGEIFS(nNOTA,nNIA,M758,nCUENTA,1,nASIG,"Orquesta/Banda/Conjunto"),"")))</f>
        <v/>
      </c>
      <c r="P758" t="str">
        <f>IF(M758="","",IF(M758="[FÓRMULA MANUAL]","",IFERROR(AVERAGEIFS(nNOTA,nNIA,M758,nCUENTA,1,nASIG,"Música de Cámara"),"")))</f>
        <v/>
      </c>
      <c r="Q758" t="str">
        <f>IF(M758="","",IF(M758="[FÓRMULA MANUAL]","",IFERROR(SUMPRODUCT((nNIA=M758)*(nCUENTA=1)*(COUNTIF(CONFIG_ASIGNATURAS!$B$7:$B$27,nASIG)&gt;0)*(nNOTA))/SUMPRODUCT((nNIA=M758)*(nCUENTA=1)*(COUNTIF(CONFIG_ASIGNATURAS!$B$7:$B$27,nASIG)&gt;0)*1),"")))</f>
        <v/>
      </c>
      <c r="T758" t="str">
        <f>IF(S758="","",IF(S758="[FÓRMULA MANUAL]","",IFERROR(AVERAGEIFS(nNOTA,nNIA,S758,nCUENTA,1,nASIG,"Armonía"),"")))</f>
        <v/>
      </c>
      <c r="U758" t="str">
        <f>IF(S758="","",IF(S758="[FÓRMULA MANUAL]","",IFERROR(AVERAGEIFS(nNOTA,nNIA,S758,nCUENTA,1,nASIG,"Orquesta/Banda/Conjunto"),"")))</f>
        <v/>
      </c>
      <c r="V758" t="str">
        <f>IF(S758="","",IF(S758="[FÓRMULA MANUAL]","",IFERROR(AVERAGEIFS(nNOTA,nNIA,S758,nCUENTA,1,nASIG,"Música de Cámara"),"")))</f>
        <v/>
      </c>
      <c r="W758" t="str">
        <f>IF(S758="","",IF(S758="[FÓRMULA MANUAL]","",IFERROR(SUMPRODUCT((nNIA=S758)*(nCUENTA=1)*(COUNTIF(CONFIG_ASIGNATURAS!$B$7:$B$27,nASIG)&gt;0)*(nNOTA))/SUMPRODUCT((nNIA=S758)*(nCUENTA=1)*(COUNTIF(CONFIG_ASIGNATURAS!$B$7:$B$27,nASIG)&gt;0)*1),"")))</f>
        <v/>
      </c>
      <c r="Z758" t="str">
        <f>IF(Y758="","",IF(Y758="[FÓRMULA MANUAL]","",IFERROR(AVERAGEIFS(nNOTA,nNIA,Y758,nCUENTA,1,nASIG,"Análisis"),"")))</f>
        <v/>
      </c>
      <c r="AA758" t="str">
        <f>IF(Y758="","",IF(Y758="[FÓRMULA MANUAL]","",IFERROR(AVERAGEIFS(nNOTA,nNIA,Y758,nCUENTA,1,nASIG,"Orquesta/Banda/Conjunto"),"")))</f>
        <v/>
      </c>
      <c r="AB758" t="str">
        <f>IF(Y758="","",IF(Y758="[FÓRMULA MANUAL]","",IFERROR(AVERAGEIFS(nNOTA,nNIA,Y758,nCUENTA,1,nASIG,"Música de Cámara"),"")))</f>
        <v/>
      </c>
      <c r="AC758" t="str">
        <f>IF(Y758="","",IF(Y758="[FÓRMULA MANUAL]","",IFERROR(SUMPRODUCT((nNIA=Y758)*(nCUENTA=1)*(COUNTIF(CONFIG_ASIGNATURAS!$B$7:$B$27,nASIG)&gt;0)*(nNOTA))/SUMPRODUCT((nNIA=Y758)*(nCUENTA=1)*(COUNTIF(CONFIG_ASIGNATURAS!$B$7:$B$27,nASIG)&gt;0)*1),"")))</f>
        <v/>
      </c>
      <c r="AF758" t="str">
        <f>IF(AE758="","",IF(AE758="[FÓRMULA MANUAL]","",IFERROR(AVERAGEIFS(nNOTA,nNIA,AE758,nCUENTA,1,nASIG,"Análisis"),"")))</f>
        <v/>
      </c>
      <c r="AG758" t="str">
        <f>IF(AE758="","",IF(AE758="[FÓRMULA MANUAL]","",IFERROR(AVERAGEIFS(nNOTA,nNIA,AE758,nCUENTA,1,nASIG,"Orquesta/Banda/Conjunto"),"")))</f>
        <v/>
      </c>
      <c r="AH758" t="str">
        <f>IF(AE758="","",IF(AE758="[FÓRMULA MANUAL]","",IFERROR(AVERAGEIFS(nNOTA,nNIA,AE758,nCUENTA,1,nASIG,"Música de Cámara"),"")))</f>
        <v/>
      </c>
      <c r="AI758" t="str">
        <f>IF(AE758="","",IF(AE758="[FÓRMULA MANUAL]","",IFERROR(SUMPRODUCT((nNIA=AE758)*(nCUENTA=1)*(COUNTIF(CONFIG_ASIGNATURAS!$B$7:$B$27,nASIG)&gt;0)*(nNOTA))/SUMPRODUCT((nNIA=AE758)*(nCUENTA=1)*(COUNTIF(CONFIG_ASIGNATURAS!$B$7:$B$27,nASIG)&gt;0)*1),"")))</f>
        <v/>
      </c>
    </row>
    <row r="759" spans="2:35" x14ac:dyDescent="0.2">
      <c r="B759" t="str">
        <f>IF(A759="","",IF(A759="[FÓRMULA MANUAL]","",IFERROR(AVERAGEIFS(nNOTA,nNIA,A759,nCUENTA,1,nASIG,"Lenguaje Musical"),"")))</f>
        <v/>
      </c>
      <c r="C759" t="str">
        <f>IF(A759="","",IF(A759="[FÓRMULA MANUAL]","",IFERROR(AVERAGEIFS(nNOTA,nNIA,A759,nCUENTA,1,nASIG,"Orquesta/Banda/Conjunto"),"")))</f>
        <v/>
      </c>
      <c r="D759" t="str">
        <f>IF(A759="","",IF(A759="[FÓRMULA MANUAL]","",IFERROR(AVERAGEIFS(nNOTA,nNIA,A759,nCUENTA,1,nASIG,"Conjunto"),"")))</f>
        <v/>
      </c>
      <c r="E759" t="str">
        <f>IF(A759="","",IF(A759="[FÓRMULA MANUAL]","",IFERROR(SUMPRODUCT((nNIA=A759)*(nCUENTA=1)*(COUNTIF(CONFIG_ASIGNATURAS!$B$7:$B$27,nASIG)&gt;0)*(nNOTA))/SUMPRODUCT((nNIA=A759)*(nCUENTA=1)*(COUNTIF(CONFIG_ASIGNATURAS!$B$7:$B$27,nASIG)&gt;0)*1),"")))</f>
        <v/>
      </c>
      <c r="H759" t="str">
        <f>IF(G759="","",IF(G759="[FÓRMULA MANUAL]","",IFERROR(AVERAGEIFS(nNOTA,nNIA,G759,nCUENTA,1,nASIG,"Lenguaje Musical"),"")))</f>
        <v/>
      </c>
      <c r="I759" t="str">
        <f>IF(G759="","",IF(G759="[FÓRMULA MANUAL]","",IFERROR(AVERAGEIFS(nNOTA,nNIA,G759,nCUENTA,1,nASIG,"Orquesta/Banda/Conjunto"),"")))</f>
        <v/>
      </c>
      <c r="J759" t="str">
        <f>IF(G759="","",IF(G759="[FÓRMULA MANUAL]","",IFERROR(AVERAGEIFS(nNOTA,nNIA,G759,nCUENTA,1,nASIG,"Conjunto"),"")))</f>
        <v/>
      </c>
      <c r="K759" t="str">
        <f>IF(G759="","",IF(G759="[FÓRMULA MANUAL]","",IFERROR(SUMPRODUCT((nNIA=G759)*(nCUENTA=1)*(COUNTIF(CONFIG_ASIGNATURAS!$B$7:$B$27,nASIG)&gt;0)*(nNOTA))/SUMPRODUCT((nNIA=G759)*(nCUENTA=1)*(COUNTIF(CONFIG_ASIGNATURAS!$B$7:$B$27,nASIG)&gt;0)*1),"")))</f>
        <v/>
      </c>
      <c r="N759" t="str">
        <f>IF(M759="","",IF(M759="[FÓRMULA MANUAL]","",IFERROR(AVERAGEIFS(nNOTA,nNIA,M759,nCUENTA,1,nASIG,"Armonía"),"")))</f>
        <v/>
      </c>
      <c r="O759" t="str">
        <f>IF(M759="","",IF(M759="[FÓRMULA MANUAL]","",IFERROR(AVERAGEIFS(nNOTA,nNIA,M759,nCUENTA,1,nASIG,"Orquesta/Banda/Conjunto"),"")))</f>
        <v/>
      </c>
      <c r="P759" t="str">
        <f>IF(M759="","",IF(M759="[FÓRMULA MANUAL]","",IFERROR(AVERAGEIFS(nNOTA,nNIA,M759,nCUENTA,1,nASIG,"Música de Cámara"),"")))</f>
        <v/>
      </c>
      <c r="Q759" t="str">
        <f>IF(M759="","",IF(M759="[FÓRMULA MANUAL]","",IFERROR(SUMPRODUCT((nNIA=M759)*(nCUENTA=1)*(COUNTIF(CONFIG_ASIGNATURAS!$B$7:$B$27,nASIG)&gt;0)*(nNOTA))/SUMPRODUCT((nNIA=M759)*(nCUENTA=1)*(COUNTIF(CONFIG_ASIGNATURAS!$B$7:$B$27,nASIG)&gt;0)*1),"")))</f>
        <v/>
      </c>
      <c r="T759" t="str">
        <f>IF(S759="","",IF(S759="[FÓRMULA MANUAL]","",IFERROR(AVERAGEIFS(nNOTA,nNIA,S759,nCUENTA,1,nASIG,"Armonía"),"")))</f>
        <v/>
      </c>
      <c r="U759" t="str">
        <f>IF(S759="","",IF(S759="[FÓRMULA MANUAL]","",IFERROR(AVERAGEIFS(nNOTA,nNIA,S759,nCUENTA,1,nASIG,"Orquesta/Banda/Conjunto"),"")))</f>
        <v/>
      </c>
      <c r="V759" t="str">
        <f>IF(S759="","",IF(S759="[FÓRMULA MANUAL]","",IFERROR(AVERAGEIFS(nNOTA,nNIA,S759,nCUENTA,1,nASIG,"Música de Cámara"),"")))</f>
        <v/>
      </c>
      <c r="W759" t="str">
        <f>IF(S759="","",IF(S759="[FÓRMULA MANUAL]","",IFERROR(SUMPRODUCT((nNIA=S759)*(nCUENTA=1)*(COUNTIF(CONFIG_ASIGNATURAS!$B$7:$B$27,nASIG)&gt;0)*(nNOTA))/SUMPRODUCT((nNIA=S759)*(nCUENTA=1)*(COUNTIF(CONFIG_ASIGNATURAS!$B$7:$B$27,nASIG)&gt;0)*1),"")))</f>
        <v/>
      </c>
      <c r="Z759" t="str">
        <f>IF(Y759="","",IF(Y759="[FÓRMULA MANUAL]","",IFERROR(AVERAGEIFS(nNOTA,nNIA,Y759,nCUENTA,1,nASIG,"Análisis"),"")))</f>
        <v/>
      </c>
      <c r="AA759" t="str">
        <f>IF(Y759="","",IF(Y759="[FÓRMULA MANUAL]","",IFERROR(AVERAGEIFS(nNOTA,nNIA,Y759,nCUENTA,1,nASIG,"Orquesta/Banda/Conjunto"),"")))</f>
        <v/>
      </c>
      <c r="AB759" t="str">
        <f>IF(Y759="","",IF(Y759="[FÓRMULA MANUAL]","",IFERROR(AVERAGEIFS(nNOTA,nNIA,Y759,nCUENTA,1,nASIG,"Música de Cámara"),"")))</f>
        <v/>
      </c>
      <c r="AC759" t="str">
        <f>IF(Y759="","",IF(Y759="[FÓRMULA MANUAL]","",IFERROR(SUMPRODUCT((nNIA=Y759)*(nCUENTA=1)*(COUNTIF(CONFIG_ASIGNATURAS!$B$7:$B$27,nASIG)&gt;0)*(nNOTA))/SUMPRODUCT((nNIA=Y759)*(nCUENTA=1)*(COUNTIF(CONFIG_ASIGNATURAS!$B$7:$B$27,nASIG)&gt;0)*1),"")))</f>
        <v/>
      </c>
      <c r="AF759" t="str">
        <f>IF(AE759="","",IF(AE759="[FÓRMULA MANUAL]","",IFERROR(AVERAGEIFS(nNOTA,nNIA,AE759,nCUENTA,1,nASIG,"Análisis"),"")))</f>
        <v/>
      </c>
      <c r="AG759" t="str">
        <f>IF(AE759="","",IF(AE759="[FÓRMULA MANUAL]","",IFERROR(AVERAGEIFS(nNOTA,nNIA,AE759,nCUENTA,1,nASIG,"Orquesta/Banda/Conjunto"),"")))</f>
        <v/>
      </c>
      <c r="AH759" t="str">
        <f>IF(AE759="","",IF(AE759="[FÓRMULA MANUAL]","",IFERROR(AVERAGEIFS(nNOTA,nNIA,AE759,nCUENTA,1,nASIG,"Música de Cámara"),"")))</f>
        <v/>
      </c>
      <c r="AI759" t="str">
        <f>IF(AE759="","",IF(AE759="[FÓRMULA MANUAL]","",IFERROR(SUMPRODUCT((nNIA=AE759)*(nCUENTA=1)*(COUNTIF(CONFIG_ASIGNATURAS!$B$7:$B$27,nASIG)&gt;0)*(nNOTA))/SUMPRODUCT((nNIA=AE759)*(nCUENTA=1)*(COUNTIF(CONFIG_ASIGNATURAS!$B$7:$B$27,nASIG)&gt;0)*1),"")))</f>
        <v/>
      </c>
    </row>
    <row r="760" spans="2:35" x14ac:dyDescent="0.2">
      <c r="B760" t="str">
        <f>IF(A760="","",IF(A760="[FÓRMULA MANUAL]","",IFERROR(AVERAGEIFS(nNOTA,nNIA,A760,nCUENTA,1,nASIG,"Lenguaje Musical"),"")))</f>
        <v/>
      </c>
      <c r="C760" t="str">
        <f>IF(A760="","",IF(A760="[FÓRMULA MANUAL]","",IFERROR(AVERAGEIFS(nNOTA,nNIA,A760,nCUENTA,1,nASIG,"Orquesta/Banda/Conjunto"),"")))</f>
        <v/>
      </c>
      <c r="D760" t="str">
        <f>IF(A760="","",IF(A760="[FÓRMULA MANUAL]","",IFERROR(AVERAGEIFS(nNOTA,nNIA,A760,nCUENTA,1,nASIG,"Conjunto"),"")))</f>
        <v/>
      </c>
      <c r="E760" t="str">
        <f>IF(A760="","",IF(A760="[FÓRMULA MANUAL]","",IFERROR(SUMPRODUCT((nNIA=A760)*(nCUENTA=1)*(COUNTIF(CONFIG_ASIGNATURAS!$B$7:$B$27,nASIG)&gt;0)*(nNOTA))/SUMPRODUCT((nNIA=A760)*(nCUENTA=1)*(COUNTIF(CONFIG_ASIGNATURAS!$B$7:$B$27,nASIG)&gt;0)*1),"")))</f>
        <v/>
      </c>
      <c r="H760" t="str">
        <f>IF(G760="","",IF(G760="[FÓRMULA MANUAL]","",IFERROR(AVERAGEIFS(nNOTA,nNIA,G760,nCUENTA,1,nASIG,"Lenguaje Musical"),"")))</f>
        <v/>
      </c>
      <c r="I760" t="str">
        <f>IF(G760="","",IF(G760="[FÓRMULA MANUAL]","",IFERROR(AVERAGEIFS(nNOTA,nNIA,G760,nCUENTA,1,nASIG,"Orquesta/Banda/Conjunto"),"")))</f>
        <v/>
      </c>
      <c r="J760" t="str">
        <f>IF(G760="","",IF(G760="[FÓRMULA MANUAL]","",IFERROR(AVERAGEIFS(nNOTA,nNIA,G760,nCUENTA,1,nASIG,"Conjunto"),"")))</f>
        <v/>
      </c>
      <c r="K760" t="str">
        <f>IF(G760="","",IF(G760="[FÓRMULA MANUAL]","",IFERROR(SUMPRODUCT((nNIA=G760)*(nCUENTA=1)*(COUNTIF(CONFIG_ASIGNATURAS!$B$7:$B$27,nASIG)&gt;0)*(nNOTA))/SUMPRODUCT((nNIA=G760)*(nCUENTA=1)*(COUNTIF(CONFIG_ASIGNATURAS!$B$7:$B$27,nASIG)&gt;0)*1),"")))</f>
        <v/>
      </c>
      <c r="N760" t="str">
        <f>IF(M760="","",IF(M760="[FÓRMULA MANUAL]","",IFERROR(AVERAGEIFS(nNOTA,nNIA,M760,nCUENTA,1,nASIG,"Armonía"),"")))</f>
        <v/>
      </c>
      <c r="O760" t="str">
        <f>IF(M760="","",IF(M760="[FÓRMULA MANUAL]","",IFERROR(AVERAGEIFS(nNOTA,nNIA,M760,nCUENTA,1,nASIG,"Orquesta/Banda/Conjunto"),"")))</f>
        <v/>
      </c>
      <c r="P760" t="str">
        <f>IF(M760="","",IF(M760="[FÓRMULA MANUAL]","",IFERROR(AVERAGEIFS(nNOTA,nNIA,M760,nCUENTA,1,nASIG,"Música de Cámara"),"")))</f>
        <v/>
      </c>
      <c r="Q760" t="str">
        <f>IF(M760="","",IF(M760="[FÓRMULA MANUAL]","",IFERROR(SUMPRODUCT((nNIA=M760)*(nCUENTA=1)*(COUNTIF(CONFIG_ASIGNATURAS!$B$7:$B$27,nASIG)&gt;0)*(nNOTA))/SUMPRODUCT((nNIA=M760)*(nCUENTA=1)*(COUNTIF(CONFIG_ASIGNATURAS!$B$7:$B$27,nASIG)&gt;0)*1),"")))</f>
        <v/>
      </c>
      <c r="T760" t="str">
        <f>IF(S760="","",IF(S760="[FÓRMULA MANUAL]","",IFERROR(AVERAGEIFS(nNOTA,nNIA,S760,nCUENTA,1,nASIG,"Armonía"),"")))</f>
        <v/>
      </c>
      <c r="U760" t="str">
        <f>IF(S760="","",IF(S760="[FÓRMULA MANUAL]","",IFERROR(AVERAGEIFS(nNOTA,nNIA,S760,nCUENTA,1,nASIG,"Orquesta/Banda/Conjunto"),"")))</f>
        <v/>
      </c>
      <c r="V760" t="str">
        <f>IF(S760="","",IF(S760="[FÓRMULA MANUAL]","",IFERROR(AVERAGEIFS(nNOTA,nNIA,S760,nCUENTA,1,nASIG,"Música de Cámara"),"")))</f>
        <v/>
      </c>
      <c r="W760" t="str">
        <f>IF(S760="","",IF(S760="[FÓRMULA MANUAL]","",IFERROR(SUMPRODUCT((nNIA=S760)*(nCUENTA=1)*(COUNTIF(CONFIG_ASIGNATURAS!$B$7:$B$27,nASIG)&gt;0)*(nNOTA))/SUMPRODUCT((nNIA=S760)*(nCUENTA=1)*(COUNTIF(CONFIG_ASIGNATURAS!$B$7:$B$27,nASIG)&gt;0)*1),"")))</f>
        <v/>
      </c>
      <c r="Z760" t="str">
        <f>IF(Y760="","",IF(Y760="[FÓRMULA MANUAL]","",IFERROR(AVERAGEIFS(nNOTA,nNIA,Y760,nCUENTA,1,nASIG,"Análisis"),"")))</f>
        <v/>
      </c>
      <c r="AA760" t="str">
        <f>IF(Y760="","",IF(Y760="[FÓRMULA MANUAL]","",IFERROR(AVERAGEIFS(nNOTA,nNIA,Y760,nCUENTA,1,nASIG,"Orquesta/Banda/Conjunto"),"")))</f>
        <v/>
      </c>
      <c r="AB760" t="str">
        <f>IF(Y760="","",IF(Y760="[FÓRMULA MANUAL]","",IFERROR(AVERAGEIFS(nNOTA,nNIA,Y760,nCUENTA,1,nASIG,"Música de Cámara"),"")))</f>
        <v/>
      </c>
      <c r="AC760" t="str">
        <f>IF(Y760="","",IF(Y760="[FÓRMULA MANUAL]","",IFERROR(SUMPRODUCT((nNIA=Y760)*(nCUENTA=1)*(COUNTIF(CONFIG_ASIGNATURAS!$B$7:$B$27,nASIG)&gt;0)*(nNOTA))/SUMPRODUCT((nNIA=Y760)*(nCUENTA=1)*(COUNTIF(CONFIG_ASIGNATURAS!$B$7:$B$27,nASIG)&gt;0)*1),"")))</f>
        <v/>
      </c>
      <c r="AF760" t="str">
        <f>IF(AE760="","",IF(AE760="[FÓRMULA MANUAL]","",IFERROR(AVERAGEIFS(nNOTA,nNIA,AE760,nCUENTA,1,nASIG,"Análisis"),"")))</f>
        <v/>
      </c>
      <c r="AG760" t="str">
        <f>IF(AE760="","",IF(AE760="[FÓRMULA MANUAL]","",IFERROR(AVERAGEIFS(nNOTA,nNIA,AE760,nCUENTA,1,nASIG,"Orquesta/Banda/Conjunto"),"")))</f>
        <v/>
      </c>
      <c r="AH760" t="str">
        <f>IF(AE760="","",IF(AE760="[FÓRMULA MANUAL]","",IFERROR(AVERAGEIFS(nNOTA,nNIA,AE760,nCUENTA,1,nASIG,"Música de Cámara"),"")))</f>
        <v/>
      </c>
      <c r="AI760" t="str">
        <f>IF(AE760="","",IF(AE760="[FÓRMULA MANUAL]","",IFERROR(SUMPRODUCT((nNIA=AE760)*(nCUENTA=1)*(COUNTIF(CONFIG_ASIGNATURAS!$B$7:$B$27,nASIG)&gt;0)*(nNOTA))/SUMPRODUCT((nNIA=AE760)*(nCUENTA=1)*(COUNTIF(CONFIG_ASIGNATURAS!$B$7:$B$27,nASIG)&gt;0)*1),"")))</f>
        <v/>
      </c>
    </row>
    <row r="761" spans="2:35" x14ac:dyDescent="0.2">
      <c r="B761" t="str">
        <f>IF(A761="","",IF(A761="[FÓRMULA MANUAL]","",IFERROR(AVERAGEIFS(nNOTA,nNIA,A761,nCUENTA,1,nASIG,"Lenguaje Musical"),"")))</f>
        <v/>
      </c>
      <c r="C761" t="str">
        <f>IF(A761="","",IF(A761="[FÓRMULA MANUAL]","",IFERROR(AVERAGEIFS(nNOTA,nNIA,A761,nCUENTA,1,nASIG,"Orquesta/Banda/Conjunto"),"")))</f>
        <v/>
      </c>
      <c r="D761" t="str">
        <f>IF(A761="","",IF(A761="[FÓRMULA MANUAL]","",IFERROR(AVERAGEIFS(nNOTA,nNIA,A761,nCUENTA,1,nASIG,"Conjunto"),"")))</f>
        <v/>
      </c>
      <c r="E761" t="str">
        <f>IF(A761="","",IF(A761="[FÓRMULA MANUAL]","",IFERROR(SUMPRODUCT((nNIA=A761)*(nCUENTA=1)*(COUNTIF(CONFIG_ASIGNATURAS!$B$7:$B$27,nASIG)&gt;0)*(nNOTA))/SUMPRODUCT((nNIA=A761)*(nCUENTA=1)*(COUNTIF(CONFIG_ASIGNATURAS!$B$7:$B$27,nASIG)&gt;0)*1),"")))</f>
        <v/>
      </c>
      <c r="H761" t="str">
        <f>IF(G761="","",IF(G761="[FÓRMULA MANUAL]","",IFERROR(AVERAGEIFS(nNOTA,nNIA,G761,nCUENTA,1,nASIG,"Lenguaje Musical"),"")))</f>
        <v/>
      </c>
      <c r="I761" t="str">
        <f>IF(G761="","",IF(G761="[FÓRMULA MANUAL]","",IFERROR(AVERAGEIFS(nNOTA,nNIA,G761,nCUENTA,1,nASIG,"Orquesta/Banda/Conjunto"),"")))</f>
        <v/>
      </c>
      <c r="J761" t="str">
        <f>IF(G761="","",IF(G761="[FÓRMULA MANUAL]","",IFERROR(AVERAGEIFS(nNOTA,nNIA,G761,nCUENTA,1,nASIG,"Conjunto"),"")))</f>
        <v/>
      </c>
      <c r="K761" t="str">
        <f>IF(G761="","",IF(G761="[FÓRMULA MANUAL]","",IFERROR(SUMPRODUCT((nNIA=G761)*(nCUENTA=1)*(COUNTIF(CONFIG_ASIGNATURAS!$B$7:$B$27,nASIG)&gt;0)*(nNOTA))/SUMPRODUCT((nNIA=G761)*(nCUENTA=1)*(COUNTIF(CONFIG_ASIGNATURAS!$B$7:$B$27,nASIG)&gt;0)*1),"")))</f>
        <v/>
      </c>
      <c r="N761" t="str">
        <f>IF(M761="","",IF(M761="[FÓRMULA MANUAL]","",IFERROR(AVERAGEIFS(nNOTA,nNIA,M761,nCUENTA,1,nASIG,"Armonía"),"")))</f>
        <v/>
      </c>
      <c r="O761" t="str">
        <f>IF(M761="","",IF(M761="[FÓRMULA MANUAL]","",IFERROR(AVERAGEIFS(nNOTA,nNIA,M761,nCUENTA,1,nASIG,"Orquesta/Banda/Conjunto"),"")))</f>
        <v/>
      </c>
      <c r="P761" t="str">
        <f>IF(M761="","",IF(M761="[FÓRMULA MANUAL]","",IFERROR(AVERAGEIFS(nNOTA,nNIA,M761,nCUENTA,1,nASIG,"Música de Cámara"),"")))</f>
        <v/>
      </c>
      <c r="Q761" t="str">
        <f>IF(M761="","",IF(M761="[FÓRMULA MANUAL]","",IFERROR(SUMPRODUCT((nNIA=M761)*(nCUENTA=1)*(COUNTIF(CONFIG_ASIGNATURAS!$B$7:$B$27,nASIG)&gt;0)*(nNOTA))/SUMPRODUCT((nNIA=M761)*(nCUENTA=1)*(COUNTIF(CONFIG_ASIGNATURAS!$B$7:$B$27,nASIG)&gt;0)*1),"")))</f>
        <v/>
      </c>
      <c r="T761" t="str">
        <f>IF(S761="","",IF(S761="[FÓRMULA MANUAL]","",IFERROR(AVERAGEIFS(nNOTA,nNIA,S761,nCUENTA,1,nASIG,"Armonía"),"")))</f>
        <v/>
      </c>
      <c r="U761" t="str">
        <f>IF(S761="","",IF(S761="[FÓRMULA MANUAL]","",IFERROR(AVERAGEIFS(nNOTA,nNIA,S761,nCUENTA,1,nASIG,"Orquesta/Banda/Conjunto"),"")))</f>
        <v/>
      </c>
      <c r="V761" t="str">
        <f>IF(S761="","",IF(S761="[FÓRMULA MANUAL]","",IFERROR(AVERAGEIFS(nNOTA,nNIA,S761,nCUENTA,1,nASIG,"Música de Cámara"),"")))</f>
        <v/>
      </c>
      <c r="W761" t="str">
        <f>IF(S761="","",IF(S761="[FÓRMULA MANUAL]","",IFERROR(SUMPRODUCT((nNIA=S761)*(nCUENTA=1)*(COUNTIF(CONFIG_ASIGNATURAS!$B$7:$B$27,nASIG)&gt;0)*(nNOTA))/SUMPRODUCT((nNIA=S761)*(nCUENTA=1)*(COUNTIF(CONFIG_ASIGNATURAS!$B$7:$B$27,nASIG)&gt;0)*1),"")))</f>
        <v/>
      </c>
      <c r="Z761" t="str">
        <f>IF(Y761="","",IF(Y761="[FÓRMULA MANUAL]","",IFERROR(AVERAGEIFS(nNOTA,nNIA,Y761,nCUENTA,1,nASIG,"Análisis"),"")))</f>
        <v/>
      </c>
      <c r="AA761" t="str">
        <f>IF(Y761="","",IF(Y761="[FÓRMULA MANUAL]","",IFERROR(AVERAGEIFS(nNOTA,nNIA,Y761,nCUENTA,1,nASIG,"Orquesta/Banda/Conjunto"),"")))</f>
        <v/>
      </c>
      <c r="AB761" t="str">
        <f>IF(Y761="","",IF(Y761="[FÓRMULA MANUAL]","",IFERROR(AVERAGEIFS(nNOTA,nNIA,Y761,nCUENTA,1,nASIG,"Música de Cámara"),"")))</f>
        <v/>
      </c>
      <c r="AC761" t="str">
        <f>IF(Y761="","",IF(Y761="[FÓRMULA MANUAL]","",IFERROR(SUMPRODUCT((nNIA=Y761)*(nCUENTA=1)*(COUNTIF(CONFIG_ASIGNATURAS!$B$7:$B$27,nASIG)&gt;0)*(nNOTA))/SUMPRODUCT((nNIA=Y761)*(nCUENTA=1)*(COUNTIF(CONFIG_ASIGNATURAS!$B$7:$B$27,nASIG)&gt;0)*1),"")))</f>
        <v/>
      </c>
      <c r="AF761" t="str">
        <f>IF(AE761="","",IF(AE761="[FÓRMULA MANUAL]","",IFERROR(AVERAGEIFS(nNOTA,nNIA,AE761,nCUENTA,1,nASIG,"Análisis"),"")))</f>
        <v/>
      </c>
      <c r="AG761" t="str">
        <f>IF(AE761="","",IF(AE761="[FÓRMULA MANUAL]","",IFERROR(AVERAGEIFS(nNOTA,nNIA,AE761,nCUENTA,1,nASIG,"Orquesta/Banda/Conjunto"),"")))</f>
        <v/>
      </c>
      <c r="AH761" t="str">
        <f>IF(AE761="","",IF(AE761="[FÓRMULA MANUAL]","",IFERROR(AVERAGEIFS(nNOTA,nNIA,AE761,nCUENTA,1,nASIG,"Música de Cámara"),"")))</f>
        <v/>
      </c>
      <c r="AI761" t="str">
        <f>IF(AE761="","",IF(AE761="[FÓRMULA MANUAL]","",IFERROR(SUMPRODUCT((nNIA=AE761)*(nCUENTA=1)*(COUNTIF(CONFIG_ASIGNATURAS!$B$7:$B$27,nASIG)&gt;0)*(nNOTA))/SUMPRODUCT((nNIA=AE761)*(nCUENTA=1)*(COUNTIF(CONFIG_ASIGNATURAS!$B$7:$B$27,nASIG)&gt;0)*1),"")))</f>
        <v/>
      </c>
    </row>
    <row r="762" spans="2:35" x14ac:dyDescent="0.2">
      <c r="B762" t="str">
        <f>IF(A762="","",IF(A762="[FÓRMULA MANUAL]","",IFERROR(AVERAGEIFS(nNOTA,nNIA,A762,nCUENTA,1,nASIG,"Lenguaje Musical"),"")))</f>
        <v/>
      </c>
      <c r="C762" t="str">
        <f>IF(A762="","",IF(A762="[FÓRMULA MANUAL]","",IFERROR(AVERAGEIFS(nNOTA,nNIA,A762,nCUENTA,1,nASIG,"Orquesta/Banda/Conjunto"),"")))</f>
        <v/>
      </c>
      <c r="D762" t="str">
        <f>IF(A762="","",IF(A762="[FÓRMULA MANUAL]","",IFERROR(AVERAGEIFS(nNOTA,nNIA,A762,nCUENTA,1,nASIG,"Conjunto"),"")))</f>
        <v/>
      </c>
      <c r="E762" t="str">
        <f>IF(A762="","",IF(A762="[FÓRMULA MANUAL]","",IFERROR(SUMPRODUCT((nNIA=A762)*(nCUENTA=1)*(COUNTIF(CONFIG_ASIGNATURAS!$B$7:$B$27,nASIG)&gt;0)*(nNOTA))/SUMPRODUCT((nNIA=A762)*(nCUENTA=1)*(COUNTIF(CONFIG_ASIGNATURAS!$B$7:$B$27,nASIG)&gt;0)*1),"")))</f>
        <v/>
      </c>
      <c r="H762" t="str">
        <f>IF(G762="","",IF(G762="[FÓRMULA MANUAL]","",IFERROR(AVERAGEIFS(nNOTA,nNIA,G762,nCUENTA,1,nASIG,"Lenguaje Musical"),"")))</f>
        <v/>
      </c>
      <c r="I762" t="str">
        <f>IF(G762="","",IF(G762="[FÓRMULA MANUAL]","",IFERROR(AVERAGEIFS(nNOTA,nNIA,G762,nCUENTA,1,nASIG,"Orquesta/Banda/Conjunto"),"")))</f>
        <v/>
      </c>
      <c r="J762" t="str">
        <f>IF(G762="","",IF(G762="[FÓRMULA MANUAL]","",IFERROR(AVERAGEIFS(nNOTA,nNIA,G762,nCUENTA,1,nASIG,"Conjunto"),"")))</f>
        <v/>
      </c>
      <c r="K762" t="str">
        <f>IF(G762="","",IF(G762="[FÓRMULA MANUAL]","",IFERROR(SUMPRODUCT((nNIA=G762)*(nCUENTA=1)*(COUNTIF(CONFIG_ASIGNATURAS!$B$7:$B$27,nASIG)&gt;0)*(nNOTA))/SUMPRODUCT((nNIA=G762)*(nCUENTA=1)*(COUNTIF(CONFIG_ASIGNATURAS!$B$7:$B$27,nASIG)&gt;0)*1),"")))</f>
        <v/>
      </c>
      <c r="N762" t="str">
        <f>IF(M762="","",IF(M762="[FÓRMULA MANUAL]","",IFERROR(AVERAGEIFS(nNOTA,nNIA,M762,nCUENTA,1,nASIG,"Armonía"),"")))</f>
        <v/>
      </c>
      <c r="O762" t="str">
        <f>IF(M762="","",IF(M762="[FÓRMULA MANUAL]","",IFERROR(AVERAGEIFS(nNOTA,nNIA,M762,nCUENTA,1,nASIG,"Orquesta/Banda/Conjunto"),"")))</f>
        <v/>
      </c>
      <c r="P762" t="str">
        <f>IF(M762="","",IF(M762="[FÓRMULA MANUAL]","",IFERROR(AVERAGEIFS(nNOTA,nNIA,M762,nCUENTA,1,nASIG,"Música de Cámara"),"")))</f>
        <v/>
      </c>
      <c r="Q762" t="str">
        <f>IF(M762="","",IF(M762="[FÓRMULA MANUAL]","",IFERROR(SUMPRODUCT((nNIA=M762)*(nCUENTA=1)*(COUNTIF(CONFIG_ASIGNATURAS!$B$7:$B$27,nASIG)&gt;0)*(nNOTA))/SUMPRODUCT((nNIA=M762)*(nCUENTA=1)*(COUNTIF(CONFIG_ASIGNATURAS!$B$7:$B$27,nASIG)&gt;0)*1),"")))</f>
        <v/>
      </c>
      <c r="T762" t="str">
        <f>IF(S762="","",IF(S762="[FÓRMULA MANUAL]","",IFERROR(AVERAGEIFS(nNOTA,nNIA,S762,nCUENTA,1,nASIG,"Armonía"),"")))</f>
        <v/>
      </c>
      <c r="U762" t="str">
        <f>IF(S762="","",IF(S762="[FÓRMULA MANUAL]","",IFERROR(AVERAGEIFS(nNOTA,nNIA,S762,nCUENTA,1,nASIG,"Orquesta/Banda/Conjunto"),"")))</f>
        <v/>
      </c>
      <c r="V762" t="str">
        <f>IF(S762="","",IF(S762="[FÓRMULA MANUAL]","",IFERROR(AVERAGEIFS(nNOTA,nNIA,S762,nCUENTA,1,nASIG,"Música de Cámara"),"")))</f>
        <v/>
      </c>
      <c r="W762" t="str">
        <f>IF(S762="","",IF(S762="[FÓRMULA MANUAL]","",IFERROR(SUMPRODUCT((nNIA=S762)*(nCUENTA=1)*(COUNTIF(CONFIG_ASIGNATURAS!$B$7:$B$27,nASIG)&gt;0)*(nNOTA))/SUMPRODUCT((nNIA=S762)*(nCUENTA=1)*(COUNTIF(CONFIG_ASIGNATURAS!$B$7:$B$27,nASIG)&gt;0)*1),"")))</f>
        <v/>
      </c>
      <c r="Z762" t="str">
        <f>IF(Y762="","",IF(Y762="[FÓRMULA MANUAL]","",IFERROR(AVERAGEIFS(nNOTA,nNIA,Y762,nCUENTA,1,nASIG,"Análisis"),"")))</f>
        <v/>
      </c>
      <c r="AA762" t="str">
        <f>IF(Y762="","",IF(Y762="[FÓRMULA MANUAL]","",IFERROR(AVERAGEIFS(nNOTA,nNIA,Y762,nCUENTA,1,nASIG,"Orquesta/Banda/Conjunto"),"")))</f>
        <v/>
      </c>
      <c r="AB762" t="str">
        <f>IF(Y762="","",IF(Y762="[FÓRMULA MANUAL]","",IFERROR(AVERAGEIFS(nNOTA,nNIA,Y762,nCUENTA,1,nASIG,"Música de Cámara"),"")))</f>
        <v/>
      </c>
      <c r="AC762" t="str">
        <f>IF(Y762="","",IF(Y762="[FÓRMULA MANUAL]","",IFERROR(SUMPRODUCT((nNIA=Y762)*(nCUENTA=1)*(COUNTIF(CONFIG_ASIGNATURAS!$B$7:$B$27,nASIG)&gt;0)*(nNOTA))/SUMPRODUCT((nNIA=Y762)*(nCUENTA=1)*(COUNTIF(CONFIG_ASIGNATURAS!$B$7:$B$27,nASIG)&gt;0)*1),"")))</f>
        <v/>
      </c>
      <c r="AF762" t="str">
        <f>IF(AE762="","",IF(AE762="[FÓRMULA MANUAL]","",IFERROR(AVERAGEIFS(nNOTA,nNIA,AE762,nCUENTA,1,nASIG,"Análisis"),"")))</f>
        <v/>
      </c>
      <c r="AG762" t="str">
        <f>IF(AE762="","",IF(AE762="[FÓRMULA MANUAL]","",IFERROR(AVERAGEIFS(nNOTA,nNIA,AE762,nCUENTA,1,nASIG,"Orquesta/Banda/Conjunto"),"")))</f>
        <v/>
      </c>
      <c r="AH762" t="str">
        <f>IF(AE762="","",IF(AE762="[FÓRMULA MANUAL]","",IFERROR(AVERAGEIFS(nNOTA,nNIA,AE762,nCUENTA,1,nASIG,"Música de Cámara"),"")))</f>
        <v/>
      </c>
      <c r="AI762" t="str">
        <f>IF(AE762="","",IF(AE762="[FÓRMULA MANUAL]","",IFERROR(SUMPRODUCT((nNIA=AE762)*(nCUENTA=1)*(COUNTIF(CONFIG_ASIGNATURAS!$B$7:$B$27,nASIG)&gt;0)*(nNOTA))/SUMPRODUCT((nNIA=AE762)*(nCUENTA=1)*(COUNTIF(CONFIG_ASIGNATURAS!$B$7:$B$27,nASIG)&gt;0)*1),"")))</f>
        <v/>
      </c>
    </row>
    <row r="763" spans="2:35" x14ac:dyDescent="0.2">
      <c r="B763" t="str">
        <f>IF(A763="","",IF(A763="[FÓRMULA MANUAL]","",IFERROR(AVERAGEIFS(nNOTA,nNIA,A763,nCUENTA,1,nASIG,"Lenguaje Musical"),"")))</f>
        <v/>
      </c>
      <c r="C763" t="str">
        <f>IF(A763="","",IF(A763="[FÓRMULA MANUAL]","",IFERROR(AVERAGEIFS(nNOTA,nNIA,A763,nCUENTA,1,nASIG,"Orquesta/Banda/Conjunto"),"")))</f>
        <v/>
      </c>
      <c r="D763" t="str">
        <f>IF(A763="","",IF(A763="[FÓRMULA MANUAL]","",IFERROR(AVERAGEIFS(nNOTA,nNIA,A763,nCUENTA,1,nASIG,"Conjunto"),"")))</f>
        <v/>
      </c>
      <c r="E763" t="str">
        <f>IF(A763="","",IF(A763="[FÓRMULA MANUAL]","",IFERROR(SUMPRODUCT((nNIA=A763)*(nCUENTA=1)*(COUNTIF(CONFIG_ASIGNATURAS!$B$7:$B$27,nASIG)&gt;0)*(nNOTA))/SUMPRODUCT((nNIA=A763)*(nCUENTA=1)*(COUNTIF(CONFIG_ASIGNATURAS!$B$7:$B$27,nASIG)&gt;0)*1),"")))</f>
        <v/>
      </c>
      <c r="H763" t="str">
        <f>IF(G763="","",IF(G763="[FÓRMULA MANUAL]","",IFERROR(AVERAGEIFS(nNOTA,nNIA,G763,nCUENTA,1,nASIG,"Lenguaje Musical"),"")))</f>
        <v/>
      </c>
      <c r="I763" t="str">
        <f>IF(G763="","",IF(G763="[FÓRMULA MANUAL]","",IFERROR(AVERAGEIFS(nNOTA,nNIA,G763,nCUENTA,1,nASIG,"Orquesta/Banda/Conjunto"),"")))</f>
        <v/>
      </c>
      <c r="J763" t="str">
        <f>IF(G763="","",IF(G763="[FÓRMULA MANUAL]","",IFERROR(AVERAGEIFS(nNOTA,nNIA,G763,nCUENTA,1,nASIG,"Conjunto"),"")))</f>
        <v/>
      </c>
      <c r="K763" t="str">
        <f>IF(G763="","",IF(G763="[FÓRMULA MANUAL]","",IFERROR(SUMPRODUCT((nNIA=G763)*(nCUENTA=1)*(COUNTIF(CONFIG_ASIGNATURAS!$B$7:$B$27,nASIG)&gt;0)*(nNOTA))/SUMPRODUCT((nNIA=G763)*(nCUENTA=1)*(COUNTIF(CONFIG_ASIGNATURAS!$B$7:$B$27,nASIG)&gt;0)*1),"")))</f>
        <v/>
      </c>
      <c r="N763" t="str">
        <f>IF(M763="","",IF(M763="[FÓRMULA MANUAL]","",IFERROR(AVERAGEIFS(nNOTA,nNIA,M763,nCUENTA,1,nASIG,"Armonía"),"")))</f>
        <v/>
      </c>
      <c r="O763" t="str">
        <f>IF(M763="","",IF(M763="[FÓRMULA MANUAL]","",IFERROR(AVERAGEIFS(nNOTA,nNIA,M763,nCUENTA,1,nASIG,"Orquesta/Banda/Conjunto"),"")))</f>
        <v/>
      </c>
      <c r="P763" t="str">
        <f>IF(M763="","",IF(M763="[FÓRMULA MANUAL]","",IFERROR(AVERAGEIFS(nNOTA,nNIA,M763,nCUENTA,1,nASIG,"Música de Cámara"),"")))</f>
        <v/>
      </c>
      <c r="Q763" t="str">
        <f>IF(M763="","",IF(M763="[FÓRMULA MANUAL]","",IFERROR(SUMPRODUCT((nNIA=M763)*(nCUENTA=1)*(COUNTIF(CONFIG_ASIGNATURAS!$B$7:$B$27,nASIG)&gt;0)*(nNOTA))/SUMPRODUCT((nNIA=M763)*(nCUENTA=1)*(COUNTIF(CONFIG_ASIGNATURAS!$B$7:$B$27,nASIG)&gt;0)*1),"")))</f>
        <v/>
      </c>
      <c r="T763" t="str">
        <f>IF(S763="","",IF(S763="[FÓRMULA MANUAL]","",IFERROR(AVERAGEIFS(nNOTA,nNIA,S763,nCUENTA,1,nASIG,"Armonía"),"")))</f>
        <v/>
      </c>
      <c r="U763" t="str">
        <f>IF(S763="","",IF(S763="[FÓRMULA MANUAL]","",IFERROR(AVERAGEIFS(nNOTA,nNIA,S763,nCUENTA,1,nASIG,"Orquesta/Banda/Conjunto"),"")))</f>
        <v/>
      </c>
      <c r="V763" t="str">
        <f>IF(S763="","",IF(S763="[FÓRMULA MANUAL]","",IFERROR(AVERAGEIFS(nNOTA,nNIA,S763,nCUENTA,1,nASIG,"Música de Cámara"),"")))</f>
        <v/>
      </c>
      <c r="W763" t="str">
        <f>IF(S763="","",IF(S763="[FÓRMULA MANUAL]","",IFERROR(SUMPRODUCT((nNIA=S763)*(nCUENTA=1)*(COUNTIF(CONFIG_ASIGNATURAS!$B$7:$B$27,nASIG)&gt;0)*(nNOTA))/SUMPRODUCT((nNIA=S763)*(nCUENTA=1)*(COUNTIF(CONFIG_ASIGNATURAS!$B$7:$B$27,nASIG)&gt;0)*1),"")))</f>
        <v/>
      </c>
      <c r="Z763" t="str">
        <f>IF(Y763="","",IF(Y763="[FÓRMULA MANUAL]","",IFERROR(AVERAGEIFS(nNOTA,nNIA,Y763,nCUENTA,1,nASIG,"Análisis"),"")))</f>
        <v/>
      </c>
      <c r="AA763" t="str">
        <f>IF(Y763="","",IF(Y763="[FÓRMULA MANUAL]","",IFERROR(AVERAGEIFS(nNOTA,nNIA,Y763,nCUENTA,1,nASIG,"Orquesta/Banda/Conjunto"),"")))</f>
        <v/>
      </c>
      <c r="AB763" t="str">
        <f>IF(Y763="","",IF(Y763="[FÓRMULA MANUAL]","",IFERROR(AVERAGEIFS(nNOTA,nNIA,Y763,nCUENTA,1,nASIG,"Música de Cámara"),"")))</f>
        <v/>
      </c>
      <c r="AC763" t="str">
        <f>IF(Y763="","",IF(Y763="[FÓRMULA MANUAL]","",IFERROR(SUMPRODUCT((nNIA=Y763)*(nCUENTA=1)*(COUNTIF(CONFIG_ASIGNATURAS!$B$7:$B$27,nASIG)&gt;0)*(nNOTA))/SUMPRODUCT((nNIA=Y763)*(nCUENTA=1)*(COUNTIF(CONFIG_ASIGNATURAS!$B$7:$B$27,nASIG)&gt;0)*1),"")))</f>
        <v/>
      </c>
      <c r="AF763" t="str">
        <f>IF(AE763="","",IF(AE763="[FÓRMULA MANUAL]","",IFERROR(AVERAGEIFS(nNOTA,nNIA,AE763,nCUENTA,1,nASIG,"Análisis"),"")))</f>
        <v/>
      </c>
      <c r="AG763" t="str">
        <f>IF(AE763="","",IF(AE763="[FÓRMULA MANUAL]","",IFERROR(AVERAGEIFS(nNOTA,nNIA,AE763,nCUENTA,1,nASIG,"Orquesta/Banda/Conjunto"),"")))</f>
        <v/>
      </c>
      <c r="AH763" t="str">
        <f>IF(AE763="","",IF(AE763="[FÓRMULA MANUAL]","",IFERROR(AVERAGEIFS(nNOTA,nNIA,AE763,nCUENTA,1,nASIG,"Música de Cámara"),"")))</f>
        <v/>
      </c>
      <c r="AI763" t="str">
        <f>IF(AE763="","",IF(AE763="[FÓRMULA MANUAL]","",IFERROR(SUMPRODUCT((nNIA=AE763)*(nCUENTA=1)*(COUNTIF(CONFIG_ASIGNATURAS!$B$7:$B$27,nASIG)&gt;0)*(nNOTA))/SUMPRODUCT((nNIA=AE763)*(nCUENTA=1)*(COUNTIF(CONFIG_ASIGNATURAS!$B$7:$B$27,nASIG)&gt;0)*1),"")))</f>
        <v/>
      </c>
    </row>
    <row r="764" spans="2:35" x14ac:dyDescent="0.2">
      <c r="B764" t="str">
        <f>IF(A764="","",IF(A764="[FÓRMULA MANUAL]","",IFERROR(AVERAGEIFS(nNOTA,nNIA,A764,nCUENTA,1,nASIG,"Lenguaje Musical"),"")))</f>
        <v/>
      </c>
      <c r="C764" t="str">
        <f>IF(A764="","",IF(A764="[FÓRMULA MANUAL]","",IFERROR(AVERAGEIFS(nNOTA,nNIA,A764,nCUENTA,1,nASIG,"Orquesta/Banda/Conjunto"),"")))</f>
        <v/>
      </c>
      <c r="D764" t="str">
        <f>IF(A764="","",IF(A764="[FÓRMULA MANUAL]","",IFERROR(AVERAGEIFS(nNOTA,nNIA,A764,nCUENTA,1,nASIG,"Conjunto"),"")))</f>
        <v/>
      </c>
      <c r="E764" t="str">
        <f>IF(A764="","",IF(A764="[FÓRMULA MANUAL]","",IFERROR(SUMPRODUCT((nNIA=A764)*(nCUENTA=1)*(COUNTIF(CONFIG_ASIGNATURAS!$B$7:$B$27,nASIG)&gt;0)*(nNOTA))/SUMPRODUCT((nNIA=A764)*(nCUENTA=1)*(COUNTIF(CONFIG_ASIGNATURAS!$B$7:$B$27,nASIG)&gt;0)*1),"")))</f>
        <v/>
      </c>
      <c r="H764" t="str">
        <f>IF(G764="","",IF(G764="[FÓRMULA MANUAL]","",IFERROR(AVERAGEIFS(nNOTA,nNIA,G764,nCUENTA,1,nASIG,"Lenguaje Musical"),"")))</f>
        <v/>
      </c>
      <c r="I764" t="str">
        <f>IF(G764="","",IF(G764="[FÓRMULA MANUAL]","",IFERROR(AVERAGEIFS(nNOTA,nNIA,G764,nCUENTA,1,nASIG,"Orquesta/Banda/Conjunto"),"")))</f>
        <v/>
      </c>
      <c r="J764" t="str">
        <f>IF(G764="","",IF(G764="[FÓRMULA MANUAL]","",IFERROR(AVERAGEIFS(nNOTA,nNIA,G764,nCUENTA,1,nASIG,"Conjunto"),"")))</f>
        <v/>
      </c>
      <c r="K764" t="str">
        <f>IF(G764="","",IF(G764="[FÓRMULA MANUAL]","",IFERROR(SUMPRODUCT((nNIA=G764)*(nCUENTA=1)*(COUNTIF(CONFIG_ASIGNATURAS!$B$7:$B$27,nASIG)&gt;0)*(nNOTA))/SUMPRODUCT((nNIA=G764)*(nCUENTA=1)*(COUNTIF(CONFIG_ASIGNATURAS!$B$7:$B$27,nASIG)&gt;0)*1),"")))</f>
        <v/>
      </c>
      <c r="N764" t="str">
        <f>IF(M764="","",IF(M764="[FÓRMULA MANUAL]","",IFERROR(AVERAGEIFS(nNOTA,nNIA,M764,nCUENTA,1,nASIG,"Armonía"),"")))</f>
        <v/>
      </c>
      <c r="O764" t="str">
        <f>IF(M764="","",IF(M764="[FÓRMULA MANUAL]","",IFERROR(AVERAGEIFS(nNOTA,nNIA,M764,nCUENTA,1,nASIG,"Orquesta/Banda/Conjunto"),"")))</f>
        <v/>
      </c>
      <c r="P764" t="str">
        <f>IF(M764="","",IF(M764="[FÓRMULA MANUAL]","",IFERROR(AVERAGEIFS(nNOTA,nNIA,M764,nCUENTA,1,nASIG,"Música de Cámara"),"")))</f>
        <v/>
      </c>
      <c r="Q764" t="str">
        <f>IF(M764="","",IF(M764="[FÓRMULA MANUAL]","",IFERROR(SUMPRODUCT((nNIA=M764)*(nCUENTA=1)*(COUNTIF(CONFIG_ASIGNATURAS!$B$7:$B$27,nASIG)&gt;0)*(nNOTA))/SUMPRODUCT((nNIA=M764)*(nCUENTA=1)*(COUNTIF(CONFIG_ASIGNATURAS!$B$7:$B$27,nASIG)&gt;0)*1),"")))</f>
        <v/>
      </c>
      <c r="T764" t="str">
        <f>IF(S764="","",IF(S764="[FÓRMULA MANUAL]","",IFERROR(AVERAGEIFS(nNOTA,nNIA,S764,nCUENTA,1,nASIG,"Armonía"),"")))</f>
        <v/>
      </c>
      <c r="U764" t="str">
        <f>IF(S764="","",IF(S764="[FÓRMULA MANUAL]","",IFERROR(AVERAGEIFS(nNOTA,nNIA,S764,nCUENTA,1,nASIG,"Orquesta/Banda/Conjunto"),"")))</f>
        <v/>
      </c>
      <c r="V764" t="str">
        <f>IF(S764="","",IF(S764="[FÓRMULA MANUAL]","",IFERROR(AVERAGEIFS(nNOTA,nNIA,S764,nCUENTA,1,nASIG,"Música de Cámara"),"")))</f>
        <v/>
      </c>
      <c r="W764" t="str">
        <f>IF(S764="","",IF(S764="[FÓRMULA MANUAL]","",IFERROR(SUMPRODUCT((nNIA=S764)*(nCUENTA=1)*(COUNTIF(CONFIG_ASIGNATURAS!$B$7:$B$27,nASIG)&gt;0)*(nNOTA))/SUMPRODUCT((nNIA=S764)*(nCUENTA=1)*(COUNTIF(CONFIG_ASIGNATURAS!$B$7:$B$27,nASIG)&gt;0)*1),"")))</f>
        <v/>
      </c>
      <c r="Z764" t="str">
        <f>IF(Y764="","",IF(Y764="[FÓRMULA MANUAL]","",IFERROR(AVERAGEIFS(nNOTA,nNIA,Y764,nCUENTA,1,nASIG,"Análisis"),"")))</f>
        <v/>
      </c>
      <c r="AA764" t="str">
        <f>IF(Y764="","",IF(Y764="[FÓRMULA MANUAL]","",IFERROR(AVERAGEIFS(nNOTA,nNIA,Y764,nCUENTA,1,nASIG,"Orquesta/Banda/Conjunto"),"")))</f>
        <v/>
      </c>
      <c r="AB764" t="str">
        <f>IF(Y764="","",IF(Y764="[FÓRMULA MANUAL]","",IFERROR(AVERAGEIFS(nNOTA,nNIA,Y764,nCUENTA,1,nASIG,"Música de Cámara"),"")))</f>
        <v/>
      </c>
      <c r="AC764" t="str">
        <f>IF(Y764="","",IF(Y764="[FÓRMULA MANUAL]","",IFERROR(SUMPRODUCT((nNIA=Y764)*(nCUENTA=1)*(COUNTIF(CONFIG_ASIGNATURAS!$B$7:$B$27,nASIG)&gt;0)*(nNOTA))/SUMPRODUCT((nNIA=Y764)*(nCUENTA=1)*(COUNTIF(CONFIG_ASIGNATURAS!$B$7:$B$27,nASIG)&gt;0)*1),"")))</f>
        <v/>
      </c>
      <c r="AF764" t="str">
        <f>IF(AE764="","",IF(AE764="[FÓRMULA MANUAL]","",IFERROR(AVERAGEIFS(nNOTA,nNIA,AE764,nCUENTA,1,nASIG,"Análisis"),"")))</f>
        <v/>
      </c>
      <c r="AG764" t="str">
        <f>IF(AE764="","",IF(AE764="[FÓRMULA MANUAL]","",IFERROR(AVERAGEIFS(nNOTA,nNIA,AE764,nCUENTA,1,nASIG,"Orquesta/Banda/Conjunto"),"")))</f>
        <v/>
      </c>
      <c r="AH764" t="str">
        <f>IF(AE764="","",IF(AE764="[FÓRMULA MANUAL]","",IFERROR(AVERAGEIFS(nNOTA,nNIA,AE764,nCUENTA,1,nASIG,"Música de Cámara"),"")))</f>
        <v/>
      </c>
      <c r="AI764" t="str">
        <f>IF(AE764="","",IF(AE764="[FÓRMULA MANUAL]","",IFERROR(SUMPRODUCT((nNIA=AE764)*(nCUENTA=1)*(COUNTIF(CONFIG_ASIGNATURAS!$B$7:$B$27,nASIG)&gt;0)*(nNOTA))/SUMPRODUCT((nNIA=AE764)*(nCUENTA=1)*(COUNTIF(CONFIG_ASIGNATURAS!$B$7:$B$27,nASIG)&gt;0)*1),"")))</f>
        <v/>
      </c>
    </row>
    <row r="765" spans="2:35" x14ac:dyDescent="0.2">
      <c r="B765" t="str">
        <f>IF(A765="","",IF(A765="[FÓRMULA MANUAL]","",IFERROR(AVERAGEIFS(nNOTA,nNIA,A765,nCUENTA,1,nASIG,"Lenguaje Musical"),"")))</f>
        <v/>
      </c>
      <c r="C765" t="str">
        <f>IF(A765="","",IF(A765="[FÓRMULA MANUAL]","",IFERROR(AVERAGEIFS(nNOTA,nNIA,A765,nCUENTA,1,nASIG,"Orquesta/Banda/Conjunto"),"")))</f>
        <v/>
      </c>
      <c r="D765" t="str">
        <f>IF(A765="","",IF(A765="[FÓRMULA MANUAL]","",IFERROR(AVERAGEIFS(nNOTA,nNIA,A765,nCUENTA,1,nASIG,"Conjunto"),"")))</f>
        <v/>
      </c>
      <c r="E765" t="str">
        <f>IF(A765="","",IF(A765="[FÓRMULA MANUAL]","",IFERROR(SUMPRODUCT((nNIA=A765)*(nCUENTA=1)*(COUNTIF(CONFIG_ASIGNATURAS!$B$7:$B$27,nASIG)&gt;0)*(nNOTA))/SUMPRODUCT((nNIA=A765)*(nCUENTA=1)*(COUNTIF(CONFIG_ASIGNATURAS!$B$7:$B$27,nASIG)&gt;0)*1),"")))</f>
        <v/>
      </c>
      <c r="H765" t="str">
        <f>IF(G765="","",IF(G765="[FÓRMULA MANUAL]","",IFERROR(AVERAGEIFS(nNOTA,nNIA,G765,nCUENTA,1,nASIG,"Lenguaje Musical"),"")))</f>
        <v/>
      </c>
      <c r="I765" t="str">
        <f>IF(G765="","",IF(G765="[FÓRMULA MANUAL]","",IFERROR(AVERAGEIFS(nNOTA,nNIA,G765,nCUENTA,1,nASIG,"Orquesta/Banda/Conjunto"),"")))</f>
        <v/>
      </c>
      <c r="J765" t="str">
        <f>IF(G765="","",IF(G765="[FÓRMULA MANUAL]","",IFERROR(AVERAGEIFS(nNOTA,nNIA,G765,nCUENTA,1,nASIG,"Conjunto"),"")))</f>
        <v/>
      </c>
      <c r="K765" t="str">
        <f>IF(G765="","",IF(G765="[FÓRMULA MANUAL]","",IFERROR(SUMPRODUCT((nNIA=G765)*(nCUENTA=1)*(COUNTIF(CONFIG_ASIGNATURAS!$B$7:$B$27,nASIG)&gt;0)*(nNOTA))/SUMPRODUCT((nNIA=G765)*(nCUENTA=1)*(COUNTIF(CONFIG_ASIGNATURAS!$B$7:$B$27,nASIG)&gt;0)*1),"")))</f>
        <v/>
      </c>
      <c r="N765" t="str">
        <f>IF(M765="","",IF(M765="[FÓRMULA MANUAL]","",IFERROR(AVERAGEIFS(nNOTA,nNIA,M765,nCUENTA,1,nASIG,"Armonía"),"")))</f>
        <v/>
      </c>
      <c r="O765" t="str">
        <f>IF(M765="","",IF(M765="[FÓRMULA MANUAL]","",IFERROR(AVERAGEIFS(nNOTA,nNIA,M765,nCUENTA,1,nASIG,"Orquesta/Banda/Conjunto"),"")))</f>
        <v/>
      </c>
      <c r="P765" t="str">
        <f>IF(M765="","",IF(M765="[FÓRMULA MANUAL]","",IFERROR(AVERAGEIFS(nNOTA,nNIA,M765,nCUENTA,1,nASIG,"Música de Cámara"),"")))</f>
        <v/>
      </c>
      <c r="Q765" t="str">
        <f>IF(M765="","",IF(M765="[FÓRMULA MANUAL]","",IFERROR(SUMPRODUCT((nNIA=M765)*(nCUENTA=1)*(COUNTIF(CONFIG_ASIGNATURAS!$B$7:$B$27,nASIG)&gt;0)*(nNOTA))/SUMPRODUCT((nNIA=M765)*(nCUENTA=1)*(COUNTIF(CONFIG_ASIGNATURAS!$B$7:$B$27,nASIG)&gt;0)*1),"")))</f>
        <v/>
      </c>
      <c r="T765" t="str">
        <f>IF(S765="","",IF(S765="[FÓRMULA MANUAL]","",IFERROR(AVERAGEIFS(nNOTA,nNIA,S765,nCUENTA,1,nASIG,"Armonía"),"")))</f>
        <v/>
      </c>
      <c r="U765" t="str">
        <f>IF(S765="","",IF(S765="[FÓRMULA MANUAL]","",IFERROR(AVERAGEIFS(nNOTA,nNIA,S765,nCUENTA,1,nASIG,"Orquesta/Banda/Conjunto"),"")))</f>
        <v/>
      </c>
      <c r="V765" t="str">
        <f>IF(S765="","",IF(S765="[FÓRMULA MANUAL]","",IFERROR(AVERAGEIFS(nNOTA,nNIA,S765,nCUENTA,1,nASIG,"Música de Cámara"),"")))</f>
        <v/>
      </c>
      <c r="W765" t="str">
        <f>IF(S765="","",IF(S765="[FÓRMULA MANUAL]","",IFERROR(SUMPRODUCT((nNIA=S765)*(nCUENTA=1)*(COUNTIF(CONFIG_ASIGNATURAS!$B$7:$B$27,nASIG)&gt;0)*(nNOTA))/SUMPRODUCT((nNIA=S765)*(nCUENTA=1)*(COUNTIF(CONFIG_ASIGNATURAS!$B$7:$B$27,nASIG)&gt;0)*1),"")))</f>
        <v/>
      </c>
      <c r="Z765" t="str">
        <f>IF(Y765="","",IF(Y765="[FÓRMULA MANUAL]","",IFERROR(AVERAGEIFS(nNOTA,nNIA,Y765,nCUENTA,1,nASIG,"Análisis"),"")))</f>
        <v/>
      </c>
      <c r="AA765" t="str">
        <f>IF(Y765="","",IF(Y765="[FÓRMULA MANUAL]","",IFERROR(AVERAGEIFS(nNOTA,nNIA,Y765,nCUENTA,1,nASIG,"Orquesta/Banda/Conjunto"),"")))</f>
        <v/>
      </c>
      <c r="AB765" t="str">
        <f>IF(Y765="","",IF(Y765="[FÓRMULA MANUAL]","",IFERROR(AVERAGEIFS(nNOTA,nNIA,Y765,nCUENTA,1,nASIG,"Música de Cámara"),"")))</f>
        <v/>
      </c>
      <c r="AC765" t="str">
        <f>IF(Y765="","",IF(Y765="[FÓRMULA MANUAL]","",IFERROR(SUMPRODUCT((nNIA=Y765)*(nCUENTA=1)*(COUNTIF(CONFIG_ASIGNATURAS!$B$7:$B$27,nASIG)&gt;0)*(nNOTA))/SUMPRODUCT((nNIA=Y765)*(nCUENTA=1)*(COUNTIF(CONFIG_ASIGNATURAS!$B$7:$B$27,nASIG)&gt;0)*1),"")))</f>
        <v/>
      </c>
      <c r="AF765" t="str">
        <f>IF(AE765="","",IF(AE765="[FÓRMULA MANUAL]","",IFERROR(AVERAGEIFS(nNOTA,nNIA,AE765,nCUENTA,1,nASIG,"Análisis"),"")))</f>
        <v/>
      </c>
      <c r="AG765" t="str">
        <f>IF(AE765="","",IF(AE765="[FÓRMULA MANUAL]","",IFERROR(AVERAGEIFS(nNOTA,nNIA,AE765,nCUENTA,1,nASIG,"Orquesta/Banda/Conjunto"),"")))</f>
        <v/>
      </c>
      <c r="AH765" t="str">
        <f>IF(AE765="","",IF(AE765="[FÓRMULA MANUAL]","",IFERROR(AVERAGEIFS(nNOTA,nNIA,AE765,nCUENTA,1,nASIG,"Música de Cámara"),"")))</f>
        <v/>
      </c>
      <c r="AI765" t="str">
        <f>IF(AE765="","",IF(AE765="[FÓRMULA MANUAL]","",IFERROR(SUMPRODUCT((nNIA=AE765)*(nCUENTA=1)*(COUNTIF(CONFIG_ASIGNATURAS!$B$7:$B$27,nASIG)&gt;0)*(nNOTA))/SUMPRODUCT((nNIA=AE765)*(nCUENTA=1)*(COUNTIF(CONFIG_ASIGNATURAS!$B$7:$B$27,nASIG)&gt;0)*1),"")))</f>
        <v/>
      </c>
    </row>
    <row r="766" spans="2:35" x14ac:dyDescent="0.2">
      <c r="B766" t="str">
        <f>IF(A766="","",IF(A766="[FÓRMULA MANUAL]","",IFERROR(AVERAGEIFS(nNOTA,nNIA,A766,nCUENTA,1,nASIG,"Lenguaje Musical"),"")))</f>
        <v/>
      </c>
      <c r="C766" t="str">
        <f>IF(A766="","",IF(A766="[FÓRMULA MANUAL]","",IFERROR(AVERAGEIFS(nNOTA,nNIA,A766,nCUENTA,1,nASIG,"Orquesta/Banda/Conjunto"),"")))</f>
        <v/>
      </c>
      <c r="D766" t="str">
        <f>IF(A766="","",IF(A766="[FÓRMULA MANUAL]","",IFERROR(AVERAGEIFS(nNOTA,nNIA,A766,nCUENTA,1,nASIG,"Conjunto"),"")))</f>
        <v/>
      </c>
      <c r="E766" t="str">
        <f>IF(A766="","",IF(A766="[FÓRMULA MANUAL]","",IFERROR(SUMPRODUCT((nNIA=A766)*(nCUENTA=1)*(COUNTIF(CONFIG_ASIGNATURAS!$B$7:$B$27,nASIG)&gt;0)*(nNOTA))/SUMPRODUCT((nNIA=A766)*(nCUENTA=1)*(COUNTIF(CONFIG_ASIGNATURAS!$B$7:$B$27,nASIG)&gt;0)*1),"")))</f>
        <v/>
      </c>
      <c r="H766" t="str">
        <f>IF(G766="","",IF(G766="[FÓRMULA MANUAL]","",IFERROR(AVERAGEIFS(nNOTA,nNIA,G766,nCUENTA,1,nASIG,"Lenguaje Musical"),"")))</f>
        <v/>
      </c>
      <c r="I766" t="str">
        <f>IF(G766="","",IF(G766="[FÓRMULA MANUAL]","",IFERROR(AVERAGEIFS(nNOTA,nNIA,G766,nCUENTA,1,nASIG,"Orquesta/Banda/Conjunto"),"")))</f>
        <v/>
      </c>
      <c r="J766" t="str">
        <f>IF(G766="","",IF(G766="[FÓRMULA MANUAL]","",IFERROR(AVERAGEIFS(nNOTA,nNIA,G766,nCUENTA,1,nASIG,"Conjunto"),"")))</f>
        <v/>
      </c>
      <c r="K766" t="str">
        <f>IF(G766="","",IF(G766="[FÓRMULA MANUAL]","",IFERROR(SUMPRODUCT((nNIA=G766)*(nCUENTA=1)*(COUNTIF(CONFIG_ASIGNATURAS!$B$7:$B$27,nASIG)&gt;0)*(nNOTA))/SUMPRODUCT((nNIA=G766)*(nCUENTA=1)*(COUNTIF(CONFIG_ASIGNATURAS!$B$7:$B$27,nASIG)&gt;0)*1),"")))</f>
        <v/>
      </c>
      <c r="N766" t="str">
        <f>IF(M766="","",IF(M766="[FÓRMULA MANUAL]","",IFERROR(AVERAGEIFS(nNOTA,nNIA,M766,nCUENTA,1,nASIG,"Armonía"),"")))</f>
        <v/>
      </c>
      <c r="O766" t="str">
        <f>IF(M766="","",IF(M766="[FÓRMULA MANUAL]","",IFERROR(AVERAGEIFS(nNOTA,nNIA,M766,nCUENTA,1,nASIG,"Orquesta/Banda/Conjunto"),"")))</f>
        <v/>
      </c>
      <c r="P766" t="str">
        <f>IF(M766="","",IF(M766="[FÓRMULA MANUAL]","",IFERROR(AVERAGEIFS(nNOTA,nNIA,M766,nCUENTA,1,nASIG,"Música de Cámara"),"")))</f>
        <v/>
      </c>
      <c r="Q766" t="str">
        <f>IF(M766="","",IF(M766="[FÓRMULA MANUAL]","",IFERROR(SUMPRODUCT((nNIA=M766)*(nCUENTA=1)*(COUNTIF(CONFIG_ASIGNATURAS!$B$7:$B$27,nASIG)&gt;0)*(nNOTA))/SUMPRODUCT((nNIA=M766)*(nCUENTA=1)*(COUNTIF(CONFIG_ASIGNATURAS!$B$7:$B$27,nASIG)&gt;0)*1),"")))</f>
        <v/>
      </c>
      <c r="T766" t="str">
        <f>IF(S766="","",IF(S766="[FÓRMULA MANUAL]","",IFERROR(AVERAGEIFS(nNOTA,nNIA,S766,nCUENTA,1,nASIG,"Armonía"),"")))</f>
        <v/>
      </c>
      <c r="U766" t="str">
        <f>IF(S766="","",IF(S766="[FÓRMULA MANUAL]","",IFERROR(AVERAGEIFS(nNOTA,nNIA,S766,nCUENTA,1,nASIG,"Orquesta/Banda/Conjunto"),"")))</f>
        <v/>
      </c>
      <c r="V766" t="str">
        <f>IF(S766="","",IF(S766="[FÓRMULA MANUAL]","",IFERROR(AVERAGEIFS(nNOTA,nNIA,S766,nCUENTA,1,nASIG,"Música de Cámara"),"")))</f>
        <v/>
      </c>
      <c r="W766" t="str">
        <f>IF(S766="","",IF(S766="[FÓRMULA MANUAL]","",IFERROR(SUMPRODUCT((nNIA=S766)*(nCUENTA=1)*(COUNTIF(CONFIG_ASIGNATURAS!$B$7:$B$27,nASIG)&gt;0)*(nNOTA))/SUMPRODUCT((nNIA=S766)*(nCUENTA=1)*(COUNTIF(CONFIG_ASIGNATURAS!$B$7:$B$27,nASIG)&gt;0)*1),"")))</f>
        <v/>
      </c>
      <c r="Z766" t="str">
        <f>IF(Y766="","",IF(Y766="[FÓRMULA MANUAL]","",IFERROR(AVERAGEIFS(nNOTA,nNIA,Y766,nCUENTA,1,nASIG,"Análisis"),"")))</f>
        <v/>
      </c>
      <c r="AA766" t="str">
        <f>IF(Y766="","",IF(Y766="[FÓRMULA MANUAL]","",IFERROR(AVERAGEIFS(nNOTA,nNIA,Y766,nCUENTA,1,nASIG,"Orquesta/Banda/Conjunto"),"")))</f>
        <v/>
      </c>
      <c r="AB766" t="str">
        <f>IF(Y766="","",IF(Y766="[FÓRMULA MANUAL]","",IFERROR(AVERAGEIFS(nNOTA,nNIA,Y766,nCUENTA,1,nASIG,"Música de Cámara"),"")))</f>
        <v/>
      </c>
      <c r="AC766" t="str">
        <f>IF(Y766="","",IF(Y766="[FÓRMULA MANUAL]","",IFERROR(SUMPRODUCT((nNIA=Y766)*(nCUENTA=1)*(COUNTIF(CONFIG_ASIGNATURAS!$B$7:$B$27,nASIG)&gt;0)*(nNOTA))/SUMPRODUCT((nNIA=Y766)*(nCUENTA=1)*(COUNTIF(CONFIG_ASIGNATURAS!$B$7:$B$27,nASIG)&gt;0)*1),"")))</f>
        <v/>
      </c>
      <c r="AF766" t="str">
        <f>IF(AE766="","",IF(AE766="[FÓRMULA MANUAL]","",IFERROR(AVERAGEIFS(nNOTA,nNIA,AE766,nCUENTA,1,nASIG,"Análisis"),"")))</f>
        <v/>
      </c>
      <c r="AG766" t="str">
        <f>IF(AE766="","",IF(AE766="[FÓRMULA MANUAL]","",IFERROR(AVERAGEIFS(nNOTA,nNIA,AE766,nCUENTA,1,nASIG,"Orquesta/Banda/Conjunto"),"")))</f>
        <v/>
      </c>
      <c r="AH766" t="str">
        <f>IF(AE766="","",IF(AE766="[FÓRMULA MANUAL]","",IFERROR(AVERAGEIFS(nNOTA,nNIA,AE766,nCUENTA,1,nASIG,"Música de Cámara"),"")))</f>
        <v/>
      </c>
      <c r="AI766" t="str">
        <f>IF(AE766="","",IF(AE766="[FÓRMULA MANUAL]","",IFERROR(SUMPRODUCT((nNIA=AE766)*(nCUENTA=1)*(COUNTIF(CONFIG_ASIGNATURAS!$B$7:$B$27,nASIG)&gt;0)*(nNOTA))/SUMPRODUCT((nNIA=AE766)*(nCUENTA=1)*(COUNTIF(CONFIG_ASIGNATURAS!$B$7:$B$27,nASIG)&gt;0)*1),"")))</f>
        <v/>
      </c>
    </row>
    <row r="767" spans="2:35" x14ac:dyDescent="0.2">
      <c r="B767" t="str">
        <f>IF(A767="","",IF(A767="[FÓRMULA MANUAL]","",IFERROR(AVERAGEIFS(nNOTA,nNIA,A767,nCUENTA,1,nASIG,"Lenguaje Musical"),"")))</f>
        <v/>
      </c>
      <c r="C767" t="str">
        <f>IF(A767="","",IF(A767="[FÓRMULA MANUAL]","",IFERROR(AVERAGEIFS(nNOTA,nNIA,A767,nCUENTA,1,nASIG,"Orquesta/Banda/Conjunto"),"")))</f>
        <v/>
      </c>
      <c r="D767" t="str">
        <f>IF(A767="","",IF(A767="[FÓRMULA MANUAL]","",IFERROR(AVERAGEIFS(nNOTA,nNIA,A767,nCUENTA,1,nASIG,"Conjunto"),"")))</f>
        <v/>
      </c>
      <c r="E767" t="str">
        <f>IF(A767="","",IF(A767="[FÓRMULA MANUAL]","",IFERROR(SUMPRODUCT((nNIA=A767)*(nCUENTA=1)*(COUNTIF(CONFIG_ASIGNATURAS!$B$7:$B$27,nASIG)&gt;0)*(nNOTA))/SUMPRODUCT((nNIA=A767)*(nCUENTA=1)*(COUNTIF(CONFIG_ASIGNATURAS!$B$7:$B$27,nASIG)&gt;0)*1),"")))</f>
        <v/>
      </c>
      <c r="H767" t="str">
        <f>IF(G767="","",IF(G767="[FÓRMULA MANUAL]","",IFERROR(AVERAGEIFS(nNOTA,nNIA,G767,nCUENTA,1,nASIG,"Lenguaje Musical"),"")))</f>
        <v/>
      </c>
      <c r="I767" t="str">
        <f>IF(G767="","",IF(G767="[FÓRMULA MANUAL]","",IFERROR(AVERAGEIFS(nNOTA,nNIA,G767,nCUENTA,1,nASIG,"Orquesta/Banda/Conjunto"),"")))</f>
        <v/>
      </c>
      <c r="J767" t="str">
        <f>IF(G767="","",IF(G767="[FÓRMULA MANUAL]","",IFERROR(AVERAGEIFS(nNOTA,nNIA,G767,nCUENTA,1,nASIG,"Conjunto"),"")))</f>
        <v/>
      </c>
      <c r="K767" t="str">
        <f>IF(G767="","",IF(G767="[FÓRMULA MANUAL]","",IFERROR(SUMPRODUCT((nNIA=G767)*(nCUENTA=1)*(COUNTIF(CONFIG_ASIGNATURAS!$B$7:$B$27,nASIG)&gt;0)*(nNOTA))/SUMPRODUCT((nNIA=G767)*(nCUENTA=1)*(COUNTIF(CONFIG_ASIGNATURAS!$B$7:$B$27,nASIG)&gt;0)*1),"")))</f>
        <v/>
      </c>
      <c r="N767" t="str">
        <f>IF(M767="","",IF(M767="[FÓRMULA MANUAL]","",IFERROR(AVERAGEIFS(nNOTA,nNIA,M767,nCUENTA,1,nASIG,"Armonía"),"")))</f>
        <v/>
      </c>
      <c r="O767" t="str">
        <f>IF(M767="","",IF(M767="[FÓRMULA MANUAL]","",IFERROR(AVERAGEIFS(nNOTA,nNIA,M767,nCUENTA,1,nASIG,"Orquesta/Banda/Conjunto"),"")))</f>
        <v/>
      </c>
      <c r="P767" t="str">
        <f>IF(M767="","",IF(M767="[FÓRMULA MANUAL]","",IFERROR(AVERAGEIFS(nNOTA,nNIA,M767,nCUENTA,1,nASIG,"Música de Cámara"),"")))</f>
        <v/>
      </c>
      <c r="Q767" t="str">
        <f>IF(M767="","",IF(M767="[FÓRMULA MANUAL]","",IFERROR(SUMPRODUCT((nNIA=M767)*(nCUENTA=1)*(COUNTIF(CONFIG_ASIGNATURAS!$B$7:$B$27,nASIG)&gt;0)*(nNOTA))/SUMPRODUCT((nNIA=M767)*(nCUENTA=1)*(COUNTIF(CONFIG_ASIGNATURAS!$B$7:$B$27,nASIG)&gt;0)*1),"")))</f>
        <v/>
      </c>
      <c r="T767" t="str">
        <f>IF(S767="","",IF(S767="[FÓRMULA MANUAL]","",IFERROR(AVERAGEIFS(nNOTA,nNIA,S767,nCUENTA,1,nASIG,"Armonía"),"")))</f>
        <v/>
      </c>
      <c r="U767" t="str">
        <f>IF(S767="","",IF(S767="[FÓRMULA MANUAL]","",IFERROR(AVERAGEIFS(nNOTA,nNIA,S767,nCUENTA,1,nASIG,"Orquesta/Banda/Conjunto"),"")))</f>
        <v/>
      </c>
      <c r="V767" t="str">
        <f>IF(S767="","",IF(S767="[FÓRMULA MANUAL]","",IFERROR(AVERAGEIFS(nNOTA,nNIA,S767,nCUENTA,1,nASIG,"Música de Cámara"),"")))</f>
        <v/>
      </c>
      <c r="W767" t="str">
        <f>IF(S767="","",IF(S767="[FÓRMULA MANUAL]","",IFERROR(SUMPRODUCT((nNIA=S767)*(nCUENTA=1)*(COUNTIF(CONFIG_ASIGNATURAS!$B$7:$B$27,nASIG)&gt;0)*(nNOTA))/SUMPRODUCT((nNIA=S767)*(nCUENTA=1)*(COUNTIF(CONFIG_ASIGNATURAS!$B$7:$B$27,nASIG)&gt;0)*1),"")))</f>
        <v/>
      </c>
      <c r="Z767" t="str">
        <f>IF(Y767="","",IF(Y767="[FÓRMULA MANUAL]","",IFERROR(AVERAGEIFS(nNOTA,nNIA,Y767,nCUENTA,1,nASIG,"Análisis"),"")))</f>
        <v/>
      </c>
      <c r="AA767" t="str">
        <f>IF(Y767="","",IF(Y767="[FÓRMULA MANUAL]","",IFERROR(AVERAGEIFS(nNOTA,nNIA,Y767,nCUENTA,1,nASIG,"Orquesta/Banda/Conjunto"),"")))</f>
        <v/>
      </c>
      <c r="AB767" t="str">
        <f>IF(Y767="","",IF(Y767="[FÓRMULA MANUAL]","",IFERROR(AVERAGEIFS(nNOTA,nNIA,Y767,nCUENTA,1,nASIG,"Música de Cámara"),"")))</f>
        <v/>
      </c>
      <c r="AC767" t="str">
        <f>IF(Y767="","",IF(Y767="[FÓRMULA MANUAL]","",IFERROR(SUMPRODUCT((nNIA=Y767)*(nCUENTA=1)*(COUNTIF(CONFIG_ASIGNATURAS!$B$7:$B$27,nASIG)&gt;0)*(nNOTA))/SUMPRODUCT((nNIA=Y767)*(nCUENTA=1)*(COUNTIF(CONFIG_ASIGNATURAS!$B$7:$B$27,nASIG)&gt;0)*1),"")))</f>
        <v/>
      </c>
      <c r="AF767" t="str">
        <f>IF(AE767="","",IF(AE767="[FÓRMULA MANUAL]","",IFERROR(AVERAGEIFS(nNOTA,nNIA,AE767,nCUENTA,1,nASIG,"Análisis"),"")))</f>
        <v/>
      </c>
      <c r="AG767" t="str">
        <f>IF(AE767="","",IF(AE767="[FÓRMULA MANUAL]","",IFERROR(AVERAGEIFS(nNOTA,nNIA,AE767,nCUENTA,1,nASIG,"Orquesta/Banda/Conjunto"),"")))</f>
        <v/>
      </c>
      <c r="AH767" t="str">
        <f>IF(AE767="","",IF(AE767="[FÓRMULA MANUAL]","",IFERROR(AVERAGEIFS(nNOTA,nNIA,AE767,nCUENTA,1,nASIG,"Música de Cámara"),"")))</f>
        <v/>
      </c>
      <c r="AI767" t="str">
        <f>IF(AE767="","",IF(AE767="[FÓRMULA MANUAL]","",IFERROR(SUMPRODUCT((nNIA=AE767)*(nCUENTA=1)*(COUNTIF(CONFIG_ASIGNATURAS!$B$7:$B$27,nASIG)&gt;0)*(nNOTA))/SUMPRODUCT((nNIA=AE767)*(nCUENTA=1)*(COUNTIF(CONFIG_ASIGNATURAS!$B$7:$B$27,nASIG)&gt;0)*1),"")))</f>
        <v/>
      </c>
    </row>
    <row r="768" spans="2:35" x14ac:dyDescent="0.2">
      <c r="B768" t="str">
        <f>IF(A768="","",IF(A768="[FÓRMULA MANUAL]","",IFERROR(AVERAGEIFS(nNOTA,nNIA,A768,nCUENTA,1,nASIG,"Lenguaje Musical"),"")))</f>
        <v/>
      </c>
      <c r="C768" t="str">
        <f>IF(A768="","",IF(A768="[FÓRMULA MANUAL]","",IFERROR(AVERAGEIFS(nNOTA,nNIA,A768,nCUENTA,1,nASIG,"Orquesta/Banda/Conjunto"),"")))</f>
        <v/>
      </c>
      <c r="D768" t="str">
        <f>IF(A768="","",IF(A768="[FÓRMULA MANUAL]","",IFERROR(AVERAGEIFS(nNOTA,nNIA,A768,nCUENTA,1,nASIG,"Conjunto"),"")))</f>
        <v/>
      </c>
      <c r="E768" t="str">
        <f>IF(A768="","",IF(A768="[FÓRMULA MANUAL]","",IFERROR(SUMPRODUCT((nNIA=A768)*(nCUENTA=1)*(COUNTIF(CONFIG_ASIGNATURAS!$B$7:$B$27,nASIG)&gt;0)*(nNOTA))/SUMPRODUCT((nNIA=A768)*(nCUENTA=1)*(COUNTIF(CONFIG_ASIGNATURAS!$B$7:$B$27,nASIG)&gt;0)*1),"")))</f>
        <v/>
      </c>
      <c r="H768" t="str">
        <f>IF(G768="","",IF(G768="[FÓRMULA MANUAL]","",IFERROR(AVERAGEIFS(nNOTA,nNIA,G768,nCUENTA,1,nASIG,"Lenguaje Musical"),"")))</f>
        <v/>
      </c>
      <c r="I768" t="str">
        <f>IF(G768="","",IF(G768="[FÓRMULA MANUAL]","",IFERROR(AVERAGEIFS(nNOTA,nNIA,G768,nCUENTA,1,nASIG,"Orquesta/Banda/Conjunto"),"")))</f>
        <v/>
      </c>
      <c r="J768" t="str">
        <f>IF(G768="","",IF(G768="[FÓRMULA MANUAL]","",IFERROR(AVERAGEIFS(nNOTA,nNIA,G768,nCUENTA,1,nASIG,"Conjunto"),"")))</f>
        <v/>
      </c>
      <c r="K768" t="str">
        <f>IF(G768="","",IF(G768="[FÓRMULA MANUAL]","",IFERROR(SUMPRODUCT((nNIA=G768)*(nCUENTA=1)*(COUNTIF(CONFIG_ASIGNATURAS!$B$7:$B$27,nASIG)&gt;0)*(nNOTA))/SUMPRODUCT((nNIA=G768)*(nCUENTA=1)*(COUNTIF(CONFIG_ASIGNATURAS!$B$7:$B$27,nASIG)&gt;0)*1),"")))</f>
        <v/>
      </c>
      <c r="N768" t="str">
        <f>IF(M768="","",IF(M768="[FÓRMULA MANUAL]","",IFERROR(AVERAGEIFS(nNOTA,nNIA,M768,nCUENTA,1,nASIG,"Armonía"),"")))</f>
        <v/>
      </c>
      <c r="O768" t="str">
        <f>IF(M768="","",IF(M768="[FÓRMULA MANUAL]","",IFERROR(AVERAGEIFS(nNOTA,nNIA,M768,nCUENTA,1,nASIG,"Orquesta/Banda/Conjunto"),"")))</f>
        <v/>
      </c>
      <c r="P768" t="str">
        <f>IF(M768="","",IF(M768="[FÓRMULA MANUAL]","",IFERROR(AVERAGEIFS(nNOTA,nNIA,M768,nCUENTA,1,nASIG,"Música de Cámara"),"")))</f>
        <v/>
      </c>
      <c r="Q768" t="str">
        <f>IF(M768="","",IF(M768="[FÓRMULA MANUAL]","",IFERROR(SUMPRODUCT((nNIA=M768)*(nCUENTA=1)*(COUNTIF(CONFIG_ASIGNATURAS!$B$7:$B$27,nASIG)&gt;0)*(nNOTA))/SUMPRODUCT((nNIA=M768)*(nCUENTA=1)*(COUNTIF(CONFIG_ASIGNATURAS!$B$7:$B$27,nASIG)&gt;0)*1),"")))</f>
        <v/>
      </c>
      <c r="T768" t="str">
        <f>IF(S768="","",IF(S768="[FÓRMULA MANUAL]","",IFERROR(AVERAGEIFS(nNOTA,nNIA,S768,nCUENTA,1,nASIG,"Armonía"),"")))</f>
        <v/>
      </c>
      <c r="U768" t="str">
        <f>IF(S768="","",IF(S768="[FÓRMULA MANUAL]","",IFERROR(AVERAGEIFS(nNOTA,nNIA,S768,nCUENTA,1,nASIG,"Orquesta/Banda/Conjunto"),"")))</f>
        <v/>
      </c>
      <c r="V768" t="str">
        <f>IF(S768="","",IF(S768="[FÓRMULA MANUAL]","",IFERROR(AVERAGEIFS(nNOTA,nNIA,S768,nCUENTA,1,nASIG,"Música de Cámara"),"")))</f>
        <v/>
      </c>
      <c r="W768" t="str">
        <f>IF(S768="","",IF(S768="[FÓRMULA MANUAL]","",IFERROR(SUMPRODUCT((nNIA=S768)*(nCUENTA=1)*(COUNTIF(CONFIG_ASIGNATURAS!$B$7:$B$27,nASIG)&gt;0)*(nNOTA))/SUMPRODUCT((nNIA=S768)*(nCUENTA=1)*(COUNTIF(CONFIG_ASIGNATURAS!$B$7:$B$27,nASIG)&gt;0)*1),"")))</f>
        <v/>
      </c>
      <c r="Z768" t="str">
        <f>IF(Y768="","",IF(Y768="[FÓRMULA MANUAL]","",IFERROR(AVERAGEIFS(nNOTA,nNIA,Y768,nCUENTA,1,nASIG,"Análisis"),"")))</f>
        <v/>
      </c>
      <c r="AA768" t="str">
        <f>IF(Y768="","",IF(Y768="[FÓRMULA MANUAL]","",IFERROR(AVERAGEIFS(nNOTA,nNIA,Y768,nCUENTA,1,nASIG,"Orquesta/Banda/Conjunto"),"")))</f>
        <v/>
      </c>
      <c r="AB768" t="str">
        <f>IF(Y768="","",IF(Y768="[FÓRMULA MANUAL]","",IFERROR(AVERAGEIFS(nNOTA,nNIA,Y768,nCUENTA,1,nASIG,"Música de Cámara"),"")))</f>
        <v/>
      </c>
      <c r="AC768" t="str">
        <f>IF(Y768="","",IF(Y768="[FÓRMULA MANUAL]","",IFERROR(SUMPRODUCT((nNIA=Y768)*(nCUENTA=1)*(COUNTIF(CONFIG_ASIGNATURAS!$B$7:$B$27,nASIG)&gt;0)*(nNOTA))/SUMPRODUCT((nNIA=Y768)*(nCUENTA=1)*(COUNTIF(CONFIG_ASIGNATURAS!$B$7:$B$27,nASIG)&gt;0)*1),"")))</f>
        <v/>
      </c>
      <c r="AF768" t="str">
        <f>IF(AE768="","",IF(AE768="[FÓRMULA MANUAL]","",IFERROR(AVERAGEIFS(nNOTA,nNIA,AE768,nCUENTA,1,nASIG,"Análisis"),"")))</f>
        <v/>
      </c>
      <c r="AG768" t="str">
        <f>IF(AE768="","",IF(AE768="[FÓRMULA MANUAL]","",IFERROR(AVERAGEIFS(nNOTA,nNIA,AE768,nCUENTA,1,nASIG,"Orquesta/Banda/Conjunto"),"")))</f>
        <v/>
      </c>
      <c r="AH768" t="str">
        <f>IF(AE768="","",IF(AE768="[FÓRMULA MANUAL]","",IFERROR(AVERAGEIFS(nNOTA,nNIA,AE768,nCUENTA,1,nASIG,"Música de Cámara"),"")))</f>
        <v/>
      </c>
      <c r="AI768" t="str">
        <f>IF(AE768="","",IF(AE768="[FÓRMULA MANUAL]","",IFERROR(SUMPRODUCT((nNIA=AE768)*(nCUENTA=1)*(COUNTIF(CONFIG_ASIGNATURAS!$B$7:$B$27,nASIG)&gt;0)*(nNOTA))/SUMPRODUCT((nNIA=AE768)*(nCUENTA=1)*(COUNTIF(CONFIG_ASIGNATURAS!$B$7:$B$27,nASIG)&gt;0)*1),"")))</f>
        <v/>
      </c>
    </row>
    <row r="769" spans="2:35" x14ac:dyDescent="0.2">
      <c r="B769" t="str">
        <f>IF(A769="","",IF(A769="[FÓRMULA MANUAL]","",IFERROR(AVERAGEIFS(nNOTA,nNIA,A769,nCUENTA,1,nASIG,"Lenguaje Musical"),"")))</f>
        <v/>
      </c>
      <c r="C769" t="str">
        <f>IF(A769="","",IF(A769="[FÓRMULA MANUAL]","",IFERROR(AVERAGEIFS(nNOTA,nNIA,A769,nCUENTA,1,nASIG,"Orquesta/Banda/Conjunto"),"")))</f>
        <v/>
      </c>
      <c r="D769" t="str">
        <f>IF(A769="","",IF(A769="[FÓRMULA MANUAL]","",IFERROR(AVERAGEIFS(nNOTA,nNIA,A769,nCUENTA,1,nASIG,"Conjunto"),"")))</f>
        <v/>
      </c>
      <c r="E769" t="str">
        <f>IF(A769="","",IF(A769="[FÓRMULA MANUAL]","",IFERROR(SUMPRODUCT((nNIA=A769)*(nCUENTA=1)*(COUNTIF(CONFIG_ASIGNATURAS!$B$7:$B$27,nASIG)&gt;0)*(nNOTA))/SUMPRODUCT((nNIA=A769)*(nCUENTA=1)*(COUNTIF(CONFIG_ASIGNATURAS!$B$7:$B$27,nASIG)&gt;0)*1),"")))</f>
        <v/>
      </c>
      <c r="H769" t="str">
        <f>IF(G769="","",IF(G769="[FÓRMULA MANUAL]","",IFERROR(AVERAGEIFS(nNOTA,nNIA,G769,nCUENTA,1,nASIG,"Lenguaje Musical"),"")))</f>
        <v/>
      </c>
      <c r="I769" t="str">
        <f>IF(G769="","",IF(G769="[FÓRMULA MANUAL]","",IFERROR(AVERAGEIFS(nNOTA,nNIA,G769,nCUENTA,1,nASIG,"Orquesta/Banda/Conjunto"),"")))</f>
        <v/>
      </c>
      <c r="J769" t="str">
        <f>IF(G769="","",IF(G769="[FÓRMULA MANUAL]","",IFERROR(AVERAGEIFS(nNOTA,nNIA,G769,nCUENTA,1,nASIG,"Conjunto"),"")))</f>
        <v/>
      </c>
      <c r="K769" t="str">
        <f>IF(G769="","",IF(G769="[FÓRMULA MANUAL]","",IFERROR(SUMPRODUCT((nNIA=G769)*(nCUENTA=1)*(COUNTIF(CONFIG_ASIGNATURAS!$B$7:$B$27,nASIG)&gt;0)*(nNOTA))/SUMPRODUCT((nNIA=G769)*(nCUENTA=1)*(COUNTIF(CONFIG_ASIGNATURAS!$B$7:$B$27,nASIG)&gt;0)*1),"")))</f>
        <v/>
      </c>
      <c r="N769" t="str">
        <f>IF(M769="","",IF(M769="[FÓRMULA MANUAL]","",IFERROR(AVERAGEIFS(nNOTA,nNIA,M769,nCUENTA,1,nASIG,"Armonía"),"")))</f>
        <v/>
      </c>
      <c r="O769" t="str">
        <f>IF(M769="","",IF(M769="[FÓRMULA MANUAL]","",IFERROR(AVERAGEIFS(nNOTA,nNIA,M769,nCUENTA,1,nASIG,"Orquesta/Banda/Conjunto"),"")))</f>
        <v/>
      </c>
      <c r="P769" t="str">
        <f>IF(M769="","",IF(M769="[FÓRMULA MANUAL]","",IFERROR(AVERAGEIFS(nNOTA,nNIA,M769,nCUENTA,1,nASIG,"Música de Cámara"),"")))</f>
        <v/>
      </c>
      <c r="Q769" t="str">
        <f>IF(M769="","",IF(M769="[FÓRMULA MANUAL]","",IFERROR(SUMPRODUCT((nNIA=M769)*(nCUENTA=1)*(COUNTIF(CONFIG_ASIGNATURAS!$B$7:$B$27,nASIG)&gt;0)*(nNOTA))/SUMPRODUCT((nNIA=M769)*(nCUENTA=1)*(COUNTIF(CONFIG_ASIGNATURAS!$B$7:$B$27,nASIG)&gt;0)*1),"")))</f>
        <v/>
      </c>
      <c r="T769" t="str">
        <f>IF(S769="","",IF(S769="[FÓRMULA MANUAL]","",IFERROR(AVERAGEIFS(nNOTA,nNIA,S769,nCUENTA,1,nASIG,"Armonía"),"")))</f>
        <v/>
      </c>
      <c r="U769" t="str">
        <f>IF(S769="","",IF(S769="[FÓRMULA MANUAL]","",IFERROR(AVERAGEIFS(nNOTA,nNIA,S769,nCUENTA,1,nASIG,"Orquesta/Banda/Conjunto"),"")))</f>
        <v/>
      </c>
      <c r="V769" t="str">
        <f>IF(S769="","",IF(S769="[FÓRMULA MANUAL]","",IFERROR(AVERAGEIFS(nNOTA,nNIA,S769,nCUENTA,1,nASIG,"Música de Cámara"),"")))</f>
        <v/>
      </c>
      <c r="W769" t="str">
        <f>IF(S769="","",IF(S769="[FÓRMULA MANUAL]","",IFERROR(SUMPRODUCT((nNIA=S769)*(nCUENTA=1)*(COUNTIF(CONFIG_ASIGNATURAS!$B$7:$B$27,nASIG)&gt;0)*(nNOTA))/SUMPRODUCT((nNIA=S769)*(nCUENTA=1)*(COUNTIF(CONFIG_ASIGNATURAS!$B$7:$B$27,nASIG)&gt;0)*1),"")))</f>
        <v/>
      </c>
      <c r="Z769" t="str">
        <f>IF(Y769="","",IF(Y769="[FÓRMULA MANUAL]","",IFERROR(AVERAGEIFS(nNOTA,nNIA,Y769,nCUENTA,1,nASIG,"Análisis"),"")))</f>
        <v/>
      </c>
      <c r="AA769" t="str">
        <f>IF(Y769="","",IF(Y769="[FÓRMULA MANUAL]","",IFERROR(AVERAGEIFS(nNOTA,nNIA,Y769,nCUENTA,1,nASIG,"Orquesta/Banda/Conjunto"),"")))</f>
        <v/>
      </c>
      <c r="AB769" t="str">
        <f>IF(Y769="","",IF(Y769="[FÓRMULA MANUAL]","",IFERROR(AVERAGEIFS(nNOTA,nNIA,Y769,nCUENTA,1,nASIG,"Música de Cámara"),"")))</f>
        <v/>
      </c>
      <c r="AC769" t="str">
        <f>IF(Y769="","",IF(Y769="[FÓRMULA MANUAL]","",IFERROR(SUMPRODUCT((nNIA=Y769)*(nCUENTA=1)*(COUNTIF(CONFIG_ASIGNATURAS!$B$7:$B$27,nASIG)&gt;0)*(nNOTA))/SUMPRODUCT((nNIA=Y769)*(nCUENTA=1)*(COUNTIF(CONFIG_ASIGNATURAS!$B$7:$B$27,nASIG)&gt;0)*1),"")))</f>
        <v/>
      </c>
      <c r="AF769" t="str">
        <f>IF(AE769="","",IF(AE769="[FÓRMULA MANUAL]","",IFERROR(AVERAGEIFS(nNOTA,nNIA,AE769,nCUENTA,1,nASIG,"Análisis"),"")))</f>
        <v/>
      </c>
      <c r="AG769" t="str">
        <f>IF(AE769="","",IF(AE769="[FÓRMULA MANUAL]","",IFERROR(AVERAGEIFS(nNOTA,nNIA,AE769,nCUENTA,1,nASIG,"Orquesta/Banda/Conjunto"),"")))</f>
        <v/>
      </c>
      <c r="AH769" t="str">
        <f>IF(AE769="","",IF(AE769="[FÓRMULA MANUAL]","",IFERROR(AVERAGEIFS(nNOTA,nNIA,AE769,nCUENTA,1,nASIG,"Música de Cámara"),"")))</f>
        <v/>
      </c>
      <c r="AI769" t="str">
        <f>IF(AE769="","",IF(AE769="[FÓRMULA MANUAL]","",IFERROR(SUMPRODUCT((nNIA=AE769)*(nCUENTA=1)*(COUNTIF(CONFIG_ASIGNATURAS!$B$7:$B$27,nASIG)&gt;0)*(nNOTA))/SUMPRODUCT((nNIA=AE769)*(nCUENTA=1)*(COUNTIF(CONFIG_ASIGNATURAS!$B$7:$B$27,nASIG)&gt;0)*1),"")))</f>
        <v/>
      </c>
    </row>
    <row r="770" spans="2:35" x14ac:dyDescent="0.2">
      <c r="B770" t="str">
        <f>IF(A770="","",IF(A770="[FÓRMULA MANUAL]","",IFERROR(AVERAGEIFS(nNOTA,nNIA,A770,nCUENTA,1,nASIG,"Lenguaje Musical"),"")))</f>
        <v/>
      </c>
      <c r="C770" t="str">
        <f>IF(A770="","",IF(A770="[FÓRMULA MANUAL]","",IFERROR(AVERAGEIFS(nNOTA,nNIA,A770,nCUENTA,1,nASIG,"Orquesta/Banda/Conjunto"),"")))</f>
        <v/>
      </c>
      <c r="D770" t="str">
        <f>IF(A770="","",IF(A770="[FÓRMULA MANUAL]","",IFERROR(AVERAGEIFS(nNOTA,nNIA,A770,nCUENTA,1,nASIG,"Conjunto"),"")))</f>
        <v/>
      </c>
      <c r="E770" t="str">
        <f>IF(A770="","",IF(A770="[FÓRMULA MANUAL]","",IFERROR(SUMPRODUCT((nNIA=A770)*(nCUENTA=1)*(COUNTIF(CONFIG_ASIGNATURAS!$B$7:$B$27,nASIG)&gt;0)*(nNOTA))/SUMPRODUCT((nNIA=A770)*(nCUENTA=1)*(COUNTIF(CONFIG_ASIGNATURAS!$B$7:$B$27,nASIG)&gt;0)*1),"")))</f>
        <v/>
      </c>
      <c r="H770" t="str">
        <f>IF(G770="","",IF(G770="[FÓRMULA MANUAL]","",IFERROR(AVERAGEIFS(nNOTA,nNIA,G770,nCUENTA,1,nASIG,"Lenguaje Musical"),"")))</f>
        <v/>
      </c>
      <c r="I770" t="str">
        <f>IF(G770="","",IF(G770="[FÓRMULA MANUAL]","",IFERROR(AVERAGEIFS(nNOTA,nNIA,G770,nCUENTA,1,nASIG,"Orquesta/Banda/Conjunto"),"")))</f>
        <v/>
      </c>
      <c r="J770" t="str">
        <f>IF(G770="","",IF(G770="[FÓRMULA MANUAL]","",IFERROR(AVERAGEIFS(nNOTA,nNIA,G770,nCUENTA,1,nASIG,"Conjunto"),"")))</f>
        <v/>
      </c>
      <c r="K770" t="str">
        <f>IF(G770="","",IF(G770="[FÓRMULA MANUAL]","",IFERROR(SUMPRODUCT((nNIA=G770)*(nCUENTA=1)*(COUNTIF(CONFIG_ASIGNATURAS!$B$7:$B$27,nASIG)&gt;0)*(nNOTA))/SUMPRODUCT((nNIA=G770)*(nCUENTA=1)*(COUNTIF(CONFIG_ASIGNATURAS!$B$7:$B$27,nASIG)&gt;0)*1),"")))</f>
        <v/>
      </c>
      <c r="N770" t="str">
        <f>IF(M770="","",IF(M770="[FÓRMULA MANUAL]","",IFERROR(AVERAGEIFS(nNOTA,nNIA,M770,nCUENTA,1,nASIG,"Armonía"),"")))</f>
        <v/>
      </c>
      <c r="O770" t="str">
        <f>IF(M770="","",IF(M770="[FÓRMULA MANUAL]","",IFERROR(AVERAGEIFS(nNOTA,nNIA,M770,nCUENTA,1,nASIG,"Orquesta/Banda/Conjunto"),"")))</f>
        <v/>
      </c>
      <c r="P770" t="str">
        <f>IF(M770="","",IF(M770="[FÓRMULA MANUAL]","",IFERROR(AVERAGEIFS(nNOTA,nNIA,M770,nCUENTA,1,nASIG,"Música de Cámara"),"")))</f>
        <v/>
      </c>
      <c r="Q770" t="str">
        <f>IF(M770="","",IF(M770="[FÓRMULA MANUAL]","",IFERROR(SUMPRODUCT((nNIA=M770)*(nCUENTA=1)*(COUNTIF(CONFIG_ASIGNATURAS!$B$7:$B$27,nASIG)&gt;0)*(nNOTA))/SUMPRODUCT((nNIA=M770)*(nCUENTA=1)*(COUNTIF(CONFIG_ASIGNATURAS!$B$7:$B$27,nASIG)&gt;0)*1),"")))</f>
        <v/>
      </c>
      <c r="T770" t="str">
        <f>IF(S770="","",IF(S770="[FÓRMULA MANUAL]","",IFERROR(AVERAGEIFS(nNOTA,nNIA,S770,nCUENTA,1,nASIG,"Armonía"),"")))</f>
        <v/>
      </c>
      <c r="U770" t="str">
        <f>IF(S770="","",IF(S770="[FÓRMULA MANUAL]","",IFERROR(AVERAGEIFS(nNOTA,nNIA,S770,nCUENTA,1,nASIG,"Orquesta/Banda/Conjunto"),"")))</f>
        <v/>
      </c>
      <c r="V770" t="str">
        <f>IF(S770="","",IF(S770="[FÓRMULA MANUAL]","",IFERROR(AVERAGEIFS(nNOTA,nNIA,S770,nCUENTA,1,nASIG,"Música de Cámara"),"")))</f>
        <v/>
      </c>
      <c r="W770" t="str">
        <f>IF(S770="","",IF(S770="[FÓRMULA MANUAL]","",IFERROR(SUMPRODUCT((nNIA=S770)*(nCUENTA=1)*(COUNTIF(CONFIG_ASIGNATURAS!$B$7:$B$27,nASIG)&gt;0)*(nNOTA))/SUMPRODUCT((nNIA=S770)*(nCUENTA=1)*(COUNTIF(CONFIG_ASIGNATURAS!$B$7:$B$27,nASIG)&gt;0)*1),"")))</f>
        <v/>
      </c>
      <c r="Z770" t="str">
        <f>IF(Y770="","",IF(Y770="[FÓRMULA MANUAL]","",IFERROR(AVERAGEIFS(nNOTA,nNIA,Y770,nCUENTA,1,nASIG,"Análisis"),"")))</f>
        <v/>
      </c>
      <c r="AA770" t="str">
        <f>IF(Y770="","",IF(Y770="[FÓRMULA MANUAL]","",IFERROR(AVERAGEIFS(nNOTA,nNIA,Y770,nCUENTA,1,nASIG,"Orquesta/Banda/Conjunto"),"")))</f>
        <v/>
      </c>
      <c r="AB770" t="str">
        <f>IF(Y770="","",IF(Y770="[FÓRMULA MANUAL]","",IFERROR(AVERAGEIFS(nNOTA,nNIA,Y770,nCUENTA,1,nASIG,"Música de Cámara"),"")))</f>
        <v/>
      </c>
      <c r="AC770" t="str">
        <f>IF(Y770="","",IF(Y770="[FÓRMULA MANUAL]","",IFERROR(SUMPRODUCT((nNIA=Y770)*(nCUENTA=1)*(COUNTIF(CONFIG_ASIGNATURAS!$B$7:$B$27,nASIG)&gt;0)*(nNOTA))/SUMPRODUCT((nNIA=Y770)*(nCUENTA=1)*(COUNTIF(CONFIG_ASIGNATURAS!$B$7:$B$27,nASIG)&gt;0)*1),"")))</f>
        <v/>
      </c>
      <c r="AF770" t="str">
        <f>IF(AE770="","",IF(AE770="[FÓRMULA MANUAL]","",IFERROR(AVERAGEIFS(nNOTA,nNIA,AE770,nCUENTA,1,nASIG,"Análisis"),"")))</f>
        <v/>
      </c>
      <c r="AG770" t="str">
        <f>IF(AE770="","",IF(AE770="[FÓRMULA MANUAL]","",IFERROR(AVERAGEIFS(nNOTA,nNIA,AE770,nCUENTA,1,nASIG,"Orquesta/Banda/Conjunto"),"")))</f>
        <v/>
      </c>
      <c r="AH770" t="str">
        <f>IF(AE770="","",IF(AE770="[FÓRMULA MANUAL]","",IFERROR(AVERAGEIFS(nNOTA,nNIA,AE770,nCUENTA,1,nASIG,"Música de Cámara"),"")))</f>
        <v/>
      </c>
      <c r="AI770" t="str">
        <f>IF(AE770="","",IF(AE770="[FÓRMULA MANUAL]","",IFERROR(SUMPRODUCT((nNIA=AE770)*(nCUENTA=1)*(COUNTIF(CONFIG_ASIGNATURAS!$B$7:$B$27,nASIG)&gt;0)*(nNOTA))/SUMPRODUCT((nNIA=AE770)*(nCUENTA=1)*(COUNTIF(CONFIG_ASIGNATURAS!$B$7:$B$27,nASIG)&gt;0)*1),"")))</f>
        <v/>
      </c>
    </row>
    <row r="771" spans="2:35" x14ac:dyDescent="0.2">
      <c r="B771" t="str">
        <f>IF(A771="","",IF(A771="[FÓRMULA MANUAL]","",IFERROR(AVERAGEIFS(nNOTA,nNIA,A771,nCUENTA,1,nASIG,"Lenguaje Musical"),"")))</f>
        <v/>
      </c>
      <c r="C771" t="str">
        <f>IF(A771="","",IF(A771="[FÓRMULA MANUAL]","",IFERROR(AVERAGEIFS(nNOTA,nNIA,A771,nCUENTA,1,nASIG,"Orquesta/Banda/Conjunto"),"")))</f>
        <v/>
      </c>
      <c r="D771" t="str">
        <f>IF(A771="","",IF(A771="[FÓRMULA MANUAL]","",IFERROR(AVERAGEIFS(nNOTA,nNIA,A771,nCUENTA,1,nASIG,"Conjunto"),"")))</f>
        <v/>
      </c>
      <c r="E771" t="str">
        <f>IF(A771="","",IF(A771="[FÓRMULA MANUAL]","",IFERROR(SUMPRODUCT((nNIA=A771)*(nCUENTA=1)*(COUNTIF(CONFIG_ASIGNATURAS!$B$7:$B$27,nASIG)&gt;0)*(nNOTA))/SUMPRODUCT((nNIA=A771)*(nCUENTA=1)*(COUNTIF(CONFIG_ASIGNATURAS!$B$7:$B$27,nASIG)&gt;0)*1),"")))</f>
        <v/>
      </c>
      <c r="H771" t="str">
        <f>IF(G771="","",IF(G771="[FÓRMULA MANUAL]","",IFERROR(AVERAGEIFS(nNOTA,nNIA,G771,nCUENTA,1,nASIG,"Lenguaje Musical"),"")))</f>
        <v/>
      </c>
      <c r="I771" t="str">
        <f>IF(G771="","",IF(G771="[FÓRMULA MANUAL]","",IFERROR(AVERAGEIFS(nNOTA,nNIA,G771,nCUENTA,1,nASIG,"Orquesta/Banda/Conjunto"),"")))</f>
        <v/>
      </c>
      <c r="J771" t="str">
        <f>IF(G771="","",IF(G771="[FÓRMULA MANUAL]","",IFERROR(AVERAGEIFS(nNOTA,nNIA,G771,nCUENTA,1,nASIG,"Conjunto"),"")))</f>
        <v/>
      </c>
      <c r="K771" t="str">
        <f>IF(G771="","",IF(G771="[FÓRMULA MANUAL]","",IFERROR(SUMPRODUCT((nNIA=G771)*(nCUENTA=1)*(COUNTIF(CONFIG_ASIGNATURAS!$B$7:$B$27,nASIG)&gt;0)*(nNOTA))/SUMPRODUCT((nNIA=G771)*(nCUENTA=1)*(COUNTIF(CONFIG_ASIGNATURAS!$B$7:$B$27,nASIG)&gt;0)*1),"")))</f>
        <v/>
      </c>
      <c r="N771" t="str">
        <f>IF(M771="","",IF(M771="[FÓRMULA MANUAL]","",IFERROR(AVERAGEIFS(nNOTA,nNIA,M771,nCUENTA,1,nASIG,"Armonía"),"")))</f>
        <v/>
      </c>
      <c r="O771" t="str">
        <f>IF(M771="","",IF(M771="[FÓRMULA MANUAL]","",IFERROR(AVERAGEIFS(nNOTA,nNIA,M771,nCUENTA,1,nASIG,"Orquesta/Banda/Conjunto"),"")))</f>
        <v/>
      </c>
      <c r="P771" t="str">
        <f>IF(M771="","",IF(M771="[FÓRMULA MANUAL]","",IFERROR(AVERAGEIFS(nNOTA,nNIA,M771,nCUENTA,1,nASIG,"Música de Cámara"),"")))</f>
        <v/>
      </c>
      <c r="Q771" t="str">
        <f>IF(M771="","",IF(M771="[FÓRMULA MANUAL]","",IFERROR(SUMPRODUCT((nNIA=M771)*(nCUENTA=1)*(COUNTIF(CONFIG_ASIGNATURAS!$B$7:$B$27,nASIG)&gt;0)*(nNOTA))/SUMPRODUCT((nNIA=M771)*(nCUENTA=1)*(COUNTIF(CONFIG_ASIGNATURAS!$B$7:$B$27,nASIG)&gt;0)*1),"")))</f>
        <v/>
      </c>
      <c r="T771" t="str">
        <f>IF(S771="","",IF(S771="[FÓRMULA MANUAL]","",IFERROR(AVERAGEIFS(nNOTA,nNIA,S771,nCUENTA,1,nASIG,"Armonía"),"")))</f>
        <v/>
      </c>
      <c r="U771" t="str">
        <f>IF(S771="","",IF(S771="[FÓRMULA MANUAL]","",IFERROR(AVERAGEIFS(nNOTA,nNIA,S771,nCUENTA,1,nASIG,"Orquesta/Banda/Conjunto"),"")))</f>
        <v/>
      </c>
      <c r="V771" t="str">
        <f>IF(S771="","",IF(S771="[FÓRMULA MANUAL]","",IFERROR(AVERAGEIFS(nNOTA,nNIA,S771,nCUENTA,1,nASIG,"Música de Cámara"),"")))</f>
        <v/>
      </c>
      <c r="W771" t="str">
        <f>IF(S771="","",IF(S771="[FÓRMULA MANUAL]","",IFERROR(SUMPRODUCT((nNIA=S771)*(nCUENTA=1)*(COUNTIF(CONFIG_ASIGNATURAS!$B$7:$B$27,nASIG)&gt;0)*(nNOTA))/SUMPRODUCT((nNIA=S771)*(nCUENTA=1)*(COUNTIF(CONFIG_ASIGNATURAS!$B$7:$B$27,nASIG)&gt;0)*1),"")))</f>
        <v/>
      </c>
      <c r="Z771" t="str">
        <f>IF(Y771="","",IF(Y771="[FÓRMULA MANUAL]","",IFERROR(AVERAGEIFS(nNOTA,nNIA,Y771,nCUENTA,1,nASIG,"Análisis"),"")))</f>
        <v/>
      </c>
      <c r="AA771" t="str">
        <f>IF(Y771="","",IF(Y771="[FÓRMULA MANUAL]","",IFERROR(AVERAGEIFS(nNOTA,nNIA,Y771,nCUENTA,1,nASIG,"Orquesta/Banda/Conjunto"),"")))</f>
        <v/>
      </c>
      <c r="AB771" t="str">
        <f>IF(Y771="","",IF(Y771="[FÓRMULA MANUAL]","",IFERROR(AVERAGEIFS(nNOTA,nNIA,Y771,nCUENTA,1,nASIG,"Música de Cámara"),"")))</f>
        <v/>
      </c>
      <c r="AC771" t="str">
        <f>IF(Y771="","",IF(Y771="[FÓRMULA MANUAL]","",IFERROR(SUMPRODUCT((nNIA=Y771)*(nCUENTA=1)*(COUNTIF(CONFIG_ASIGNATURAS!$B$7:$B$27,nASIG)&gt;0)*(nNOTA))/SUMPRODUCT((nNIA=Y771)*(nCUENTA=1)*(COUNTIF(CONFIG_ASIGNATURAS!$B$7:$B$27,nASIG)&gt;0)*1),"")))</f>
        <v/>
      </c>
      <c r="AF771" t="str">
        <f>IF(AE771="","",IF(AE771="[FÓRMULA MANUAL]","",IFERROR(AVERAGEIFS(nNOTA,nNIA,AE771,nCUENTA,1,nASIG,"Análisis"),"")))</f>
        <v/>
      </c>
      <c r="AG771" t="str">
        <f>IF(AE771="","",IF(AE771="[FÓRMULA MANUAL]","",IFERROR(AVERAGEIFS(nNOTA,nNIA,AE771,nCUENTA,1,nASIG,"Orquesta/Banda/Conjunto"),"")))</f>
        <v/>
      </c>
      <c r="AH771" t="str">
        <f>IF(AE771="","",IF(AE771="[FÓRMULA MANUAL]","",IFERROR(AVERAGEIFS(nNOTA,nNIA,AE771,nCUENTA,1,nASIG,"Música de Cámara"),"")))</f>
        <v/>
      </c>
      <c r="AI771" t="str">
        <f>IF(AE771="","",IF(AE771="[FÓRMULA MANUAL]","",IFERROR(SUMPRODUCT((nNIA=AE771)*(nCUENTA=1)*(COUNTIF(CONFIG_ASIGNATURAS!$B$7:$B$27,nASIG)&gt;0)*(nNOTA))/SUMPRODUCT((nNIA=AE771)*(nCUENTA=1)*(COUNTIF(CONFIG_ASIGNATURAS!$B$7:$B$27,nASIG)&gt;0)*1),"")))</f>
        <v/>
      </c>
    </row>
    <row r="772" spans="2:35" x14ac:dyDescent="0.2">
      <c r="B772" t="str">
        <f>IF(A772="","",IF(A772="[FÓRMULA MANUAL]","",IFERROR(AVERAGEIFS(nNOTA,nNIA,A772,nCUENTA,1,nASIG,"Lenguaje Musical"),"")))</f>
        <v/>
      </c>
      <c r="C772" t="str">
        <f>IF(A772="","",IF(A772="[FÓRMULA MANUAL]","",IFERROR(AVERAGEIFS(nNOTA,nNIA,A772,nCUENTA,1,nASIG,"Orquesta/Banda/Conjunto"),"")))</f>
        <v/>
      </c>
      <c r="D772" t="str">
        <f>IF(A772="","",IF(A772="[FÓRMULA MANUAL]","",IFERROR(AVERAGEIFS(nNOTA,nNIA,A772,nCUENTA,1,nASIG,"Conjunto"),"")))</f>
        <v/>
      </c>
      <c r="E772" t="str">
        <f>IF(A772="","",IF(A772="[FÓRMULA MANUAL]","",IFERROR(SUMPRODUCT((nNIA=A772)*(nCUENTA=1)*(COUNTIF(CONFIG_ASIGNATURAS!$B$7:$B$27,nASIG)&gt;0)*(nNOTA))/SUMPRODUCT((nNIA=A772)*(nCUENTA=1)*(COUNTIF(CONFIG_ASIGNATURAS!$B$7:$B$27,nASIG)&gt;0)*1),"")))</f>
        <v/>
      </c>
      <c r="H772" t="str">
        <f>IF(G772="","",IF(G772="[FÓRMULA MANUAL]","",IFERROR(AVERAGEIFS(nNOTA,nNIA,G772,nCUENTA,1,nASIG,"Lenguaje Musical"),"")))</f>
        <v/>
      </c>
      <c r="I772" t="str">
        <f>IF(G772="","",IF(G772="[FÓRMULA MANUAL]","",IFERROR(AVERAGEIFS(nNOTA,nNIA,G772,nCUENTA,1,nASIG,"Orquesta/Banda/Conjunto"),"")))</f>
        <v/>
      </c>
      <c r="J772" t="str">
        <f>IF(G772="","",IF(G772="[FÓRMULA MANUAL]","",IFERROR(AVERAGEIFS(nNOTA,nNIA,G772,nCUENTA,1,nASIG,"Conjunto"),"")))</f>
        <v/>
      </c>
      <c r="K772" t="str">
        <f>IF(G772="","",IF(G772="[FÓRMULA MANUAL]","",IFERROR(SUMPRODUCT((nNIA=G772)*(nCUENTA=1)*(COUNTIF(CONFIG_ASIGNATURAS!$B$7:$B$27,nASIG)&gt;0)*(nNOTA))/SUMPRODUCT((nNIA=G772)*(nCUENTA=1)*(COUNTIF(CONFIG_ASIGNATURAS!$B$7:$B$27,nASIG)&gt;0)*1),"")))</f>
        <v/>
      </c>
      <c r="N772" t="str">
        <f>IF(M772="","",IF(M772="[FÓRMULA MANUAL]","",IFERROR(AVERAGEIFS(nNOTA,nNIA,M772,nCUENTA,1,nASIG,"Armonía"),"")))</f>
        <v/>
      </c>
      <c r="O772" t="str">
        <f>IF(M772="","",IF(M772="[FÓRMULA MANUAL]","",IFERROR(AVERAGEIFS(nNOTA,nNIA,M772,nCUENTA,1,nASIG,"Orquesta/Banda/Conjunto"),"")))</f>
        <v/>
      </c>
      <c r="P772" t="str">
        <f>IF(M772="","",IF(M772="[FÓRMULA MANUAL]","",IFERROR(AVERAGEIFS(nNOTA,nNIA,M772,nCUENTA,1,nASIG,"Música de Cámara"),"")))</f>
        <v/>
      </c>
      <c r="Q772" t="str">
        <f>IF(M772="","",IF(M772="[FÓRMULA MANUAL]","",IFERROR(SUMPRODUCT((nNIA=M772)*(nCUENTA=1)*(COUNTIF(CONFIG_ASIGNATURAS!$B$7:$B$27,nASIG)&gt;0)*(nNOTA))/SUMPRODUCT((nNIA=M772)*(nCUENTA=1)*(COUNTIF(CONFIG_ASIGNATURAS!$B$7:$B$27,nASIG)&gt;0)*1),"")))</f>
        <v/>
      </c>
      <c r="T772" t="str">
        <f>IF(S772="","",IF(S772="[FÓRMULA MANUAL]","",IFERROR(AVERAGEIFS(nNOTA,nNIA,S772,nCUENTA,1,nASIG,"Armonía"),"")))</f>
        <v/>
      </c>
      <c r="U772" t="str">
        <f>IF(S772="","",IF(S772="[FÓRMULA MANUAL]","",IFERROR(AVERAGEIFS(nNOTA,nNIA,S772,nCUENTA,1,nASIG,"Orquesta/Banda/Conjunto"),"")))</f>
        <v/>
      </c>
      <c r="V772" t="str">
        <f>IF(S772="","",IF(S772="[FÓRMULA MANUAL]","",IFERROR(AVERAGEIFS(nNOTA,nNIA,S772,nCUENTA,1,nASIG,"Música de Cámara"),"")))</f>
        <v/>
      </c>
      <c r="W772" t="str">
        <f>IF(S772="","",IF(S772="[FÓRMULA MANUAL]","",IFERROR(SUMPRODUCT((nNIA=S772)*(nCUENTA=1)*(COUNTIF(CONFIG_ASIGNATURAS!$B$7:$B$27,nASIG)&gt;0)*(nNOTA))/SUMPRODUCT((nNIA=S772)*(nCUENTA=1)*(COUNTIF(CONFIG_ASIGNATURAS!$B$7:$B$27,nASIG)&gt;0)*1),"")))</f>
        <v/>
      </c>
      <c r="Z772" t="str">
        <f>IF(Y772="","",IF(Y772="[FÓRMULA MANUAL]","",IFERROR(AVERAGEIFS(nNOTA,nNIA,Y772,nCUENTA,1,nASIG,"Análisis"),"")))</f>
        <v/>
      </c>
      <c r="AA772" t="str">
        <f>IF(Y772="","",IF(Y772="[FÓRMULA MANUAL]","",IFERROR(AVERAGEIFS(nNOTA,nNIA,Y772,nCUENTA,1,nASIG,"Orquesta/Banda/Conjunto"),"")))</f>
        <v/>
      </c>
      <c r="AB772" t="str">
        <f>IF(Y772="","",IF(Y772="[FÓRMULA MANUAL]","",IFERROR(AVERAGEIFS(nNOTA,nNIA,Y772,nCUENTA,1,nASIG,"Música de Cámara"),"")))</f>
        <v/>
      </c>
      <c r="AC772" t="str">
        <f>IF(Y772="","",IF(Y772="[FÓRMULA MANUAL]","",IFERROR(SUMPRODUCT((nNIA=Y772)*(nCUENTA=1)*(COUNTIF(CONFIG_ASIGNATURAS!$B$7:$B$27,nASIG)&gt;0)*(nNOTA))/SUMPRODUCT((nNIA=Y772)*(nCUENTA=1)*(COUNTIF(CONFIG_ASIGNATURAS!$B$7:$B$27,nASIG)&gt;0)*1),"")))</f>
        <v/>
      </c>
      <c r="AF772" t="str">
        <f>IF(AE772="","",IF(AE772="[FÓRMULA MANUAL]","",IFERROR(AVERAGEIFS(nNOTA,nNIA,AE772,nCUENTA,1,nASIG,"Análisis"),"")))</f>
        <v/>
      </c>
      <c r="AG772" t="str">
        <f>IF(AE772="","",IF(AE772="[FÓRMULA MANUAL]","",IFERROR(AVERAGEIFS(nNOTA,nNIA,AE772,nCUENTA,1,nASIG,"Orquesta/Banda/Conjunto"),"")))</f>
        <v/>
      </c>
      <c r="AH772" t="str">
        <f>IF(AE772="","",IF(AE772="[FÓRMULA MANUAL]","",IFERROR(AVERAGEIFS(nNOTA,nNIA,AE772,nCUENTA,1,nASIG,"Música de Cámara"),"")))</f>
        <v/>
      </c>
      <c r="AI772" t="str">
        <f>IF(AE772="","",IF(AE772="[FÓRMULA MANUAL]","",IFERROR(SUMPRODUCT((nNIA=AE772)*(nCUENTA=1)*(COUNTIF(CONFIG_ASIGNATURAS!$B$7:$B$27,nASIG)&gt;0)*(nNOTA))/SUMPRODUCT((nNIA=AE772)*(nCUENTA=1)*(COUNTIF(CONFIG_ASIGNATURAS!$B$7:$B$27,nASIG)&gt;0)*1),"")))</f>
        <v/>
      </c>
    </row>
    <row r="773" spans="2:35" x14ac:dyDescent="0.2">
      <c r="B773" t="str">
        <f>IF(A773="","",IF(A773="[FÓRMULA MANUAL]","",IFERROR(AVERAGEIFS(nNOTA,nNIA,A773,nCUENTA,1,nASIG,"Lenguaje Musical"),"")))</f>
        <v/>
      </c>
      <c r="C773" t="str">
        <f>IF(A773="","",IF(A773="[FÓRMULA MANUAL]","",IFERROR(AVERAGEIFS(nNOTA,nNIA,A773,nCUENTA,1,nASIG,"Orquesta/Banda/Conjunto"),"")))</f>
        <v/>
      </c>
      <c r="D773" t="str">
        <f>IF(A773="","",IF(A773="[FÓRMULA MANUAL]","",IFERROR(AVERAGEIFS(nNOTA,nNIA,A773,nCUENTA,1,nASIG,"Conjunto"),"")))</f>
        <v/>
      </c>
      <c r="E773" t="str">
        <f>IF(A773="","",IF(A773="[FÓRMULA MANUAL]","",IFERROR(SUMPRODUCT((nNIA=A773)*(nCUENTA=1)*(COUNTIF(CONFIG_ASIGNATURAS!$B$7:$B$27,nASIG)&gt;0)*(nNOTA))/SUMPRODUCT((nNIA=A773)*(nCUENTA=1)*(COUNTIF(CONFIG_ASIGNATURAS!$B$7:$B$27,nASIG)&gt;0)*1),"")))</f>
        <v/>
      </c>
      <c r="H773" t="str">
        <f>IF(G773="","",IF(G773="[FÓRMULA MANUAL]","",IFERROR(AVERAGEIFS(nNOTA,nNIA,G773,nCUENTA,1,nASIG,"Lenguaje Musical"),"")))</f>
        <v/>
      </c>
      <c r="I773" t="str">
        <f>IF(G773="","",IF(G773="[FÓRMULA MANUAL]","",IFERROR(AVERAGEIFS(nNOTA,nNIA,G773,nCUENTA,1,nASIG,"Orquesta/Banda/Conjunto"),"")))</f>
        <v/>
      </c>
      <c r="J773" t="str">
        <f>IF(G773="","",IF(G773="[FÓRMULA MANUAL]","",IFERROR(AVERAGEIFS(nNOTA,nNIA,G773,nCUENTA,1,nASIG,"Conjunto"),"")))</f>
        <v/>
      </c>
      <c r="K773" t="str">
        <f>IF(G773="","",IF(G773="[FÓRMULA MANUAL]","",IFERROR(SUMPRODUCT((nNIA=G773)*(nCUENTA=1)*(COUNTIF(CONFIG_ASIGNATURAS!$B$7:$B$27,nASIG)&gt;0)*(nNOTA))/SUMPRODUCT((nNIA=G773)*(nCUENTA=1)*(COUNTIF(CONFIG_ASIGNATURAS!$B$7:$B$27,nASIG)&gt;0)*1),"")))</f>
        <v/>
      </c>
      <c r="N773" t="str">
        <f>IF(M773="","",IF(M773="[FÓRMULA MANUAL]","",IFERROR(AVERAGEIFS(nNOTA,nNIA,M773,nCUENTA,1,nASIG,"Armonía"),"")))</f>
        <v/>
      </c>
      <c r="O773" t="str">
        <f>IF(M773="","",IF(M773="[FÓRMULA MANUAL]","",IFERROR(AVERAGEIFS(nNOTA,nNIA,M773,nCUENTA,1,nASIG,"Orquesta/Banda/Conjunto"),"")))</f>
        <v/>
      </c>
      <c r="P773" t="str">
        <f>IF(M773="","",IF(M773="[FÓRMULA MANUAL]","",IFERROR(AVERAGEIFS(nNOTA,nNIA,M773,nCUENTA,1,nASIG,"Música de Cámara"),"")))</f>
        <v/>
      </c>
      <c r="Q773" t="str">
        <f>IF(M773="","",IF(M773="[FÓRMULA MANUAL]","",IFERROR(SUMPRODUCT((nNIA=M773)*(nCUENTA=1)*(COUNTIF(CONFIG_ASIGNATURAS!$B$7:$B$27,nASIG)&gt;0)*(nNOTA))/SUMPRODUCT((nNIA=M773)*(nCUENTA=1)*(COUNTIF(CONFIG_ASIGNATURAS!$B$7:$B$27,nASIG)&gt;0)*1),"")))</f>
        <v/>
      </c>
      <c r="T773" t="str">
        <f>IF(S773="","",IF(S773="[FÓRMULA MANUAL]","",IFERROR(AVERAGEIFS(nNOTA,nNIA,S773,nCUENTA,1,nASIG,"Armonía"),"")))</f>
        <v/>
      </c>
      <c r="U773" t="str">
        <f>IF(S773="","",IF(S773="[FÓRMULA MANUAL]","",IFERROR(AVERAGEIFS(nNOTA,nNIA,S773,nCUENTA,1,nASIG,"Orquesta/Banda/Conjunto"),"")))</f>
        <v/>
      </c>
      <c r="V773" t="str">
        <f>IF(S773="","",IF(S773="[FÓRMULA MANUAL]","",IFERROR(AVERAGEIFS(nNOTA,nNIA,S773,nCUENTA,1,nASIG,"Música de Cámara"),"")))</f>
        <v/>
      </c>
      <c r="W773" t="str">
        <f>IF(S773="","",IF(S773="[FÓRMULA MANUAL]","",IFERROR(SUMPRODUCT((nNIA=S773)*(nCUENTA=1)*(COUNTIF(CONFIG_ASIGNATURAS!$B$7:$B$27,nASIG)&gt;0)*(nNOTA))/SUMPRODUCT((nNIA=S773)*(nCUENTA=1)*(COUNTIF(CONFIG_ASIGNATURAS!$B$7:$B$27,nASIG)&gt;0)*1),"")))</f>
        <v/>
      </c>
      <c r="Z773" t="str">
        <f>IF(Y773="","",IF(Y773="[FÓRMULA MANUAL]","",IFERROR(AVERAGEIFS(nNOTA,nNIA,Y773,nCUENTA,1,nASIG,"Análisis"),"")))</f>
        <v/>
      </c>
      <c r="AA773" t="str">
        <f>IF(Y773="","",IF(Y773="[FÓRMULA MANUAL]","",IFERROR(AVERAGEIFS(nNOTA,nNIA,Y773,nCUENTA,1,nASIG,"Orquesta/Banda/Conjunto"),"")))</f>
        <v/>
      </c>
      <c r="AB773" t="str">
        <f>IF(Y773="","",IF(Y773="[FÓRMULA MANUAL]","",IFERROR(AVERAGEIFS(nNOTA,nNIA,Y773,nCUENTA,1,nASIG,"Música de Cámara"),"")))</f>
        <v/>
      </c>
      <c r="AC773" t="str">
        <f>IF(Y773="","",IF(Y773="[FÓRMULA MANUAL]","",IFERROR(SUMPRODUCT((nNIA=Y773)*(nCUENTA=1)*(COUNTIF(CONFIG_ASIGNATURAS!$B$7:$B$27,nASIG)&gt;0)*(nNOTA))/SUMPRODUCT((nNIA=Y773)*(nCUENTA=1)*(COUNTIF(CONFIG_ASIGNATURAS!$B$7:$B$27,nASIG)&gt;0)*1),"")))</f>
        <v/>
      </c>
      <c r="AF773" t="str">
        <f>IF(AE773="","",IF(AE773="[FÓRMULA MANUAL]","",IFERROR(AVERAGEIFS(nNOTA,nNIA,AE773,nCUENTA,1,nASIG,"Análisis"),"")))</f>
        <v/>
      </c>
      <c r="AG773" t="str">
        <f>IF(AE773="","",IF(AE773="[FÓRMULA MANUAL]","",IFERROR(AVERAGEIFS(nNOTA,nNIA,AE773,nCUENTA,1,nASIG,"Orquesta/Banda/Conjunto"),"")))</f>
        <v/>
      </c>
      <c r="AH773" t="str">
        <f>IF(AE773="","",IF(AE773="[FÓRMULA MANUAL]","",IFERROR(AVERAGEIFS(nNOTA,nNIA,AE773,nCUENTA,1,nASIG,"Música de Cámara"),"")))</f>
        <v/>
      </c>
      <c r="AI773" t="str">
        <f>IF(AE773="","",IF(AE773="[FÓRMULA MANUAL]","",IFERROR(SUMPRODUCT((nNIA=AE773)*(nCUENTA=1)*(COUNTIF(CONFIG_ASIGNATURAS!$B$7:$B$27,nASIG)&gt;0)*(nNOTA))/SUMPRODUCT((nNIA=AE773)*(nCUENTA=1)*(COUNTIF(CONFIG_ASIGNATURAS!$B$7:$B$27,nASIG)&gt;0)*1),"")))</f>
        <v/>
      </c>
    </row>
    <row r="774" spans="2:35" x14ac:dyDescent="0.2">
      <c r="B774" t="str">
        <f>IF(A774="","",IF(A774="[FÓRMULA MANUAL]","",IFERROR(AVERAGEIFS(nNOTA,nNIA,A774,nCUENTA,1,nASIG,"Lenguaje Musical"),"")))</f>
        <v/>
      </c>
      <c r="C774" t="str">
        <f>IF(A774="","",IF(A774="[FÓRMULA MANUAL]","",IFERROR(AVERAGEIFS(nNOTA,nNIA,A774,nCUENTA,1,nASIG,"Orquesta/Banda/Conjunto"),"")))</f>
        <v/>
      </c>
      <c r="D774" t="str">
        <f>IF(A774="","",IF(A774="[FÓRMULA MANUAL]","",IFERROR(AVERAGEIFS(nNOTA,nNIA,A774,nCUENTA,1,nASIG,"Conjunto"),"")))</f>
        <v/>
      </c>
      <c r="E774" t="str">
        <f>IF(A774="","",IF(A774="[FÓRMULA MANUAL]","",IFERROR(SUMPRODUCT((nNIA=A774)*(nCUENTA=1)*(COUNTIF(CONFIG_ASIGNATURAS!$B$7:$B$27,nASIG)&gt;0)*(nNOTA))/SUMPRODUCT((nNIA=A774)*(nCUENTA=1)*(COUNTIF(CONFIG_ASIGNATURAS!$B$7:$B$27,nASIG)&gt;0)*1),"")))</f>
        <v/>
      </c>
      <c r="H774" t="str">
        <f>IF(G774="","",IF(G774="[FÓRMULA MANUAL]","",IFERROR(AVERAGEIFS(nNOTA,nNIA,G774,nCUENTA,1,nASIG,"Lenguaje Musical"),"")))</f>
        <v/>
      </c>
      <c r="I774" t="str">
        <f>IF(G774="","",IF(G774="[FÓRMULA MANUAL]","",IFERROR(AVERAGEIFS(nNOTA,nNIA,G774,nCUENTA,1,nASIG,"Orquesta/Banda/Conjunto"),"")))</f>
        <v/>
      </c>
      <c r="J774" t="str">
        <f>IF(G774="","",IF(G774="[FÓRMULA MANUAL]","",IFERROR(AVERAGEIFS(nNOTA,nNIA,G774,nCUENTA,1,nASIG,"Conjunto"),"")))</f>
        <v/>
      </c>
      <c r="K774" t="str">
        <f>IF(G774="","",IF(G774="[FÓRMULA MANUAL]","",IFERROR(SUMPRODUCT((nNIA=G774)*(nCUENTA=1)*(COUNTIF(CONFIG_ASIGNATURAS!$B$7:$B$27,nASIG)&gt;0)*(nNOTA))/SUMPRODUCT((nNIA=G774)*(nCUENTA=1)*(COUNTIF(CONFIG_ASIGNATURAS!$B$7:$B$27,nASIG)&gt;0)*1),"")))</f>
        <v/>
      </c>
      <c r="N774" t="str">
        <f>IF(M774="","",IF(M774="[FÓRMULA MANUAL]","",IFERROR(AVERAGEIFS(nNOTA,nNIA,M774,nCUENTA,1,nASIG,"Armonía"),"")))</f>
        <v/>
      </c>
      <c r="O774" t="str">
        <f>IF(M774="","",IF(M774="[FÓRMULA MANUAL]","",IFERROR(AVERAGEIFS(nNOTA,nNIA,M774,nCUENTA,1,nASIG,"Orquesta/Banda/Conjunto"),"")))</f>
        <v/>
      </c>
      <c r="P774" t="str">
        <f>IF(M774="","",IF(M774="[FÓRMULA MANUAL]","",IFERROR(AVERAGEIFS(nNOTA,nNIA,M774,nCUENTA,1,nASIG,"Música de Cámara"),"")))</f>
        <v/>
      </c>
      <c r="Q774" t="str">
        <f>IF(M774="","",IF(M774="[FÓRMULA MANUAL]","",IFERROR(SUMPRODUCT((nNIA=M774)*(nCUENTA=1)*(COUNTIF(CONFIG_ASIGNATURAS!$B$7:$B$27,nASIG)&gt;0)*(nNOTA))/SUMPRODUCT((nNIA=M774)*(nCUENTA=1)*(COUNTIF(CONFIG_ASIGNATURAS!$B$7:$B$27,nASIG)&gt;0)*1),"")))</f>
        <v/>
      </c>
      <c r="T774" t="str">
        <f>IF(S774="","",IF(S774="[FÓRMULA MANUAL]","",IFERROR(AVERAGEIFS(nNOTA,nNIA,S774,nCUENTA,1,nASIG,"Armonía"),"")))</f>
        <v/>
      </c>
      <c r="U774" t="str">
        <f>IF(S774="","",IF(S774="[FÓRMULA MANUAL]","",IFERROR(AVERAGEIFS(nNOTA,nNIA,S774,nCUENTA,1,nASIG,"Orquesta/Banda/Conjunto"),"")))</f>
        <v/>
      </c>
      <c r="V774" t="str">
        <f>IF(S774="","",IF(S774="[FÓRMULA MANUAL]","",IFERROR(AVERAGEIFS(nNOTA,nNIA,S774,nCUENTA,1,nASIG,"Música de Cámara"),"")))</f>
        <v/>
      </c>
      <c r="W774" t="str">
        <f>IF(S774="","",IF(S774="[FÓRMULA MANUAL]","",IFERROR(SUMPRODUCT((nNIA=S774)*(nCUENTA=1)*(COUNTIF(CONFIG_ASIGNATURAS!$B$7:$B$27,nASIG)&gt;0)*(nNOTA))/SUMPRODUCT((nNIA=S774)*(nCUENTA=1)*(COUNTIF(CONFIG_ASIGNATURAS!$B$7:$B$27,nASIG)&gt;0)*1),"")))</f>
        <v/>
      </c>
      <c r="Z774" t="str">
        <f>IF(Y774="","",IF(Y774="[FÓRMULA MANUAL]","",IFERROR(AVERAGEIFS(nNOTA,nNIA,Y774,nCUENTA,1,nASIG,"Análisis"),"")))</f>
        <v/>
      </c>
      <c r="AA774" t="str">
        <f>IF(Y774="","",IF(Y774="[FÓRMULA MANUAL]","",IFERROR(AVERAGEIFS(nNOTA,nNIA,Y774,nCUENTA,1,nASIG,"Orquesta/Banda/Conjunto"),"")))</f>
        <v/>
      </c>
      <c r="AB774" t="str">
        <f>IF(Y774="","",IF(Y774="[FÓRMULA MANUAL]","",IFERROR(AVERAGEIFS(nNOTA,nNIA,Y774,nCUENTA,1,nASIG,"Música de Cámara"),"")))</f>
        <v/>
      </c>
      <c r="AC774" t="str">
        <f>IF(Y774="","",IF(Y774="[FÓRMULA MANUAL]","",IFERROR(SUMPRODUCT((nNIA=Y774)*(nCUENTA=1)*(COUNTIF(CONFIG_ASIGNATURAS!$B$7:$B$27,nASIG)&gt;0)*(nNOTA))/SUMPRODUCT((nNIA=Y774)*(nCUENTA=1)*(COUNTIF(CONFIG_ASIGNATURAS!$B$7:$B$27,nASIG)&gt;0)*1),"")))</f>
        <v/>
      </c>
      <c r="AF774" t="str">
        <f>IF(AE774="","",IF(AE774="[FÓRMULA MANUAL]","",IFERROR(AVERAGEIFS(nNOTA,nNIA,AE774,nCUENTA,1,nASIG,"Análisis"),"")))</f>
        <v/>
      </c>
      <c r="AG774" t="str">
        <f>IF(AE774="","",IF(AE774="[FÓRMULA MANUAL]","",IFERROR(AVERAGEIFS(nNOTA,nNIA,AE774,nCUENTA,1,nASIG,"Orquesta/Banda/Conjunto"),"")))</f>
        <v/>
      </c>
      <c r="AH774" t="str">
        <f>IF(AE774="","",IF(AE774="[FÓRMULA MANUAL]","",IFERROR(AVERAGEIFS(nNOTA,nNIA,AE774,nCUENTA,1,nASIG,"Música de Cámara"),"")))</f>
        <v/>
      </c>
      <c r="AI774" t="str">
        <f>IF(AE774="","",IF(AE774="[FÓRMULA MANUAL]","",IFERROR(SUMPRODUCT((nNIA=AE774)*(nCUENTA=1)*(COUNTIF(CONFIG_ASIGNATURAS!$B$7:$B$27,nASIG)&gt;0)*(nNOTA))/SUMPRODUCT((nNIA=AE774)*(nCUENTA=1)*(COUNTIF(CONFIG_ASIGNATURAS!$B$7:$B$27,nASIG)&gt;0)*1),"")))</f>
        <v/>
      </c>
    </row>
    <row r="775" spans="2:35" x14ac:dyDescent="0.2">
      <c r="B775" t="str">
        <f>IF(A775="","",IF(A775="[FÓRMULA MANUAL]","",IFERROR(AVERAGEIFS(nNOTA,nNIA,A775,nCUENTA,1,nASIG,"Lenguaje Musical"),"")))</f>
        <v/>
      </c>
      <c r="C775" t="str">
        <f>IF(A775="","",IF(A775="[FÓRMULA MANUAL]","",IFERROR(AVERAGEIFS(nNOTA,nNIA,A775,nCUENTA,1,nASIG,"Orquesta/Banda/Conjunto"),"")))</f>
        <v/>
      </c>
      <c r="D775" t="str">
        <f>IF(A775="","",IF(A775="[FÓRMULA MANUAL]","",IFERROR(AVERAGEIFS(nNOTA,nNIA,A775,nCUENTA,1,nASIG,"Conjunto"),"")))</f>
        <v/>
      </c>
      <c r="E775" t="str">
        <f>IF(A775="","",IF(A775="[FÓRMULA MANUAL]","",IFERROR(SUMPRODUCT((nNIA=A775)*(nCUENTA=1)*(COUNTIF(CONFIG_ASIGNATURAS!$B$7:$B$27,nASIG)&gt;0)*(nNOTA))/SUMPRODUCT((nNIA=A775)*(nCUENTA=1)*(COUNTIF(CONFIG_ASIGNATURAS!$B$7:$B$27,nASIG)&gt;0)*1),"")))</f>
        <v/>
      </c>
      <c r="H775" t="str">
        <f>IF(G775="","",IF(G775="[FÓRMULA MANUAL]","",IFERROR(AVERAGEIFS(nNOTA,nNIA,G775,nCUENTA,1,nASIG,"Lenguaje Musical"),"")))</f>
        <v/>
      </c>
      <c r="I775" t="str">
        <f>IF(G775="","",IF(G775="[FÓRMULA MANUAL]","",IFERROR(AVERAGEIFS(nNOTA,nNIA,G775,nCUENTA,1,nASIG,"Orquesta/Banda/Conjunto"),"")))</f>
        <v/>
      </c>
      <c r="J775" t="str">
        <f>IF(G775="","",IF(G775="[FÓRMULA MANUAL]","",IFERROR(AVERAGEIFS(nNOTA,nNIA,G775,nCUENTA,1,nASIG,"Conjunto"),"")))</f>
        <v/>
      </c>
      <c r="K775" t="str">
        <f>IF(G775="","",IF(G775="[FÓRMULA MANUAL]","",IFERROR(SUMPRODUCT((nNIA=G775)*(nCUENTA=1)*(COUNTIF(CONFIG_ASIGNATURAS!$B$7:$B$27,nASIG)&gt;0)*(nNOTA))/SUMPRODUCT((nNIA=G775)*(nCUENTA=1)*(COUNTIF(CONFIG_ASIGNATURAS!$B$7:$B$27,nASIG)&gt;0)*1),"")))</f>
        <v/>
      </c>
      <c r="N775" t="str">
        <f>IF(M775="","",IF(M775="[FÓRMULA MANUAL]","",IFERROR(AVERAGEIFS(nNOTA,nNIA,M775,nCUENTA,1,nASIG,"Armonía"),"")))</f>
        <v/>
      </c>
      <c r="O775" t="str">
        <f>IF(M775="","",IF(M775="[FÓRMULA MANUAL]","",IFERROR(AVERAGEIFS(nNOTA,nNIA,M775,nCUENTA,1,nASIG,"Orquesta/Banda/Conjunto"),"")))</f>
        <v/>
      </c>
      <c r="P775" t="str">
        <f>IF(M775="","",IF(M775="[FÓRMULA MANUAL]","",IFERROR(AVERAGEIFS(nNOTA,nNIA,M775,nCUENTA,1,nASIG,"Música de Cámara"),"")))</f>
        <v/>
      </c>
      <c r="Q775" t="str">
        <f>IF(M775="","",IF(M775="[FÓRMULA MANUAL]","",IFERROR(SUMPRODUCT((nNIA=M775)*(nCUENTA=1)*(COUNTIF(CONFIG_ASIGNATURAS!$B$7:$B$27,nASIG)&gt;0)*(nNOTA))/SUMPRODUCT((nNIA=M775)*(nCUENTA=1)*(COUNTIF(CONFIG_ASIGNATURAS!$B$7:$B$27,nASIG)&gt;0)*1),"")))</f>
        <v/>
      </c>
      <c r="T775" t="str">
        <f>IF(S775="","",IF(S775="[FÓRMULA MANUAL]","",IFERROR(AVERAGEIFS(nNOTA,nNIA,S775,nCUENTA,1,nASIG,"Armonía"),"")))</f>
        <v/>
      </c>
      <c r="U775" t="str">
        <f>IF(S775="","",IF(S775="[FÓRMULA MANUAL]","",IFERROR(AVERAGEIFS(nNOTA,nNIA,S775,nCUENTA,1,nASIG,"Orquesta/Banda/Conjunto"),"")))</f>
        <v/>
      </c>
      <c r="V775" t="str">
        <f>IF(S775="","",IF(S775="[FÓRMULA MANUAL]","",IFERROR(AVERAGEIFS(nNOTA,nNIA,S775,nCUENTA,1,nASIG,"Música de Cámara"),"")))</f>
        <v/>
      </c>
      <c r="W775" t="str">
        <f>IF(S775="","",IF(S775="[FÓRMULA MANUAL]","",IFERROR(SUMPRODUCT((nNIA=S775)*(nCUENTA=1)*(COUNTIF(CONFIG_ASIGNATURAS!$B$7:$B$27,nASIG)&gt;0)*(nNOTA))/SUMPRODUCT((nNIA=S775)*(nCUENTA=1)*(COUNTIF(CONFIG_ASIGNATURAS!$B$7:$B$27,nASIG)&gt;0)*1),"")))</f>
        <v/>
      </c>
      <c r="Z775" t="str">
        <f>IF(Y775="","",IF(Y775="[FÓRMULA MANUAL]","",IFERROR(AVERAGEIFS(nNOTA,nNIA,Y775,nCUENTA,1,nASIG,"Análisis"),"")))</f>
        <v/>
      </c>
      <c r="AA775" t="str">
        <f>IF(Y775="","",IF(Y775="[FÓRMULA MANUAL]","",IFERROR(AVERAGEIFS(nNOTA,nNIA,Y775,nCUENTA,1,nASIG,"Orquesta/Banda/Conjunto"),"")))</f>
        <v/>
      </c>
      <c r="AB775" t="str">
        <f>IF(Y775="","",IF(Y775="[FÓRMULA MANUAL]","",IFERROR(AVERAGEIFS(nNOTA,nNIA,Y775,nCUENTA,1,nASIG,"Música de Cámara"),"")))</f>
        <v/>
      </c>
      <c r="AC775" t="str">
        <f>IF(Y775="","",IF(Y775="[FÓRMULA MANUAL]","",IFERROR(SUMPRODUCT((nNIA=Y775)*(nCUENTA=1)*(COUNTIF(CONFIG_ASIGNATURAS!$B$7:$B$27,nASIG)&gt;0)*(nNOTA))/SUMPRODUCT((nNIA=Y775)*(nCUENTA=1)*(COUNTIF(CONFIG_ASIGNATURAS!$B$7:$B$27,nASIG)&gt;0)*1),"")))</f>
        <v/>
      </c>
      <c r="AF775" t="str">
        <f>IF(AE775="","",IF(AE775="[FÓRMULA MANUAL]","",IFERROR(AVERAGEIFS(nNOTA,nNIA,AE775,nCUENTA,1,nASIG,"Análisis"),"")))</f>
        <v/>
      </c>
      <c r="AG775" t="str">
        <f>IF(AE775="","",IF(AE775="[FÓRMULA MANUAL]","",IFERROR(AVERAGEIFS(nNOTA,nNIA,AE775,nCUENTA,1,nASIG,"Orquesta/Banda/Conjunto"),"")))</f>
        <v/>
      </c>
      <c r="AH775" t="str">
        <f>IF(AE775="","",IF(AE775="[FÓRMULA MANUAL]","",IFERROR(AVERAGEIFS(nNOTA,nNIA,AE775,nCUENTA,1,nASIG,"Música de Cámara"),"")))</f>
        <v/>
      </c>
      <c r="AI775" t="str">
        <f>IF(AE775="","",IF(AE775="[FÓRMULA MANUAL]","",IFERROR(SUMPRODUCT((nNIA=AE775)*(nCUENTA=1)*(COUNTIF(CONFIG_ASIGNATURAS!$B$7:$B$27,nASIG)&gt;0)*(nNOTA))/SUMPRODUCT((nNIA=AE775)*(nCUENTA=1)*(COUNTIF(CONFIG_ASIGNATURAS!$B$7:$B$27,nASIG)&gt;0)*1),"")))</f>
        <v/>
      </c>
    </row>
    <row r="776" spans="2:35" x14ac:dyDescent="0.2">
      <c r="B776" t="str">
        <f>IF(A776="","",IF(A776="[FÓRMULA MANUAL]","",IFERROR(AVERAGEIFS(nNOTA,nNIA,A776,nCUENTA,1,nASIG,"Lenguaje Musical"),"")))</f>
        <v/>
      </c>
      <c r="C776" t="str">
        <f>IF(A776="","",IF(A776="[FÓRMULA MANUAL]","",IFERROR(AVERAGEIFS(nNOTA,nNIA,A776,nCUENTA,1,nASIG,"Orquesta/Banda/Conjunto"),"")))</f>
        <v/>
      </c>
      <c r="D776" t="str">
        <f>IF(A776="","",IF(A776="[FÓRMULA MANUAL]","",IFERROR(AVERAGEIFS(nNOTA,nNIA,A776,nCUENTA,1,nASIG,"Conjunto"),"")))</f>
        <v/>
      </c>
      <c r="E776" t="str">
        <f>IF(A776="","",IF(A776="[FÓRMULA MANUAL]","",IFERROR(SUMPRODUCT((nNIA=A776)*(nCUENTA=1)*(COUNTIF(CONFIG_ASIGNATURAS!$B$7:$B$27,nASIG)&gt;0)*(nNOTA))/SUMPRODUCT((nNIA=A776)*(nCUENTA=1)*(COUNTIF(CONFIG_ASIGNATURAS!$B$7:$B$27,nASIG)&gt;0)*1),"")))</f>
        <v/>
      </c>
      <c r="H776" t="str">
        <f>IF(G776="","",IF(G776="[FÓRMULA MANUAL]","",IFERROR(AVERAGEIFS(nNOTA,nNIA,G776,nCUENTA,1,nASIG,"Lenguaje Musical"),"")))</f>
        <v/>
      </c>
      <c r="I776" t="str">
        <f>IF(G776="","",IF(G776="[FÓRMULA MANUAL]","",IFERROR(AVERAGEIFS(nNOTA,nNIA,G776,nCUENTA,1,nASIG,"Orquesta/Banda/Conjunto"),"")))</f>
        <v/>
      </c>
      <c r="J776" t="str">
        <f>IF(G776="","",IF(G776="[FÓRMULA MANUAL]","",IFERROR(AVERAGEIFS(nNOTA,nNIA,G776,nCUENTA,1,nASIG,"Conjunto"),"")))</f>
        <v/>
      </c>
      <c r="K776" t="str">
        <f>IF(G776="","",IF(G776="[FÓRMULA MANUAL]","",IFERROR(SUMPRODUCT((nNIA=G776)*(nCUENTA=1)*(COUNTIF(CONFIG_ASIGNATURAS!$B$7:$B$27,nASIG)&gt;0)*(nNOTA))/SUMPRODUCT((nNIA=G776)*(nCUENTA=1)*(COUNTIF(CONFIG_ASIGNATURAS!$B$7:$B$27,nASIG)&gt;0)*1),"")))</f>
        <v/>
      </c>
      <c r="N776" t="str">
        <f>IF(M776="","",IF(M776="[FÓRMULA MANUAL]","",IFERROR(AVERAGEIFS(nNOTA,nNIA,M776,nCUENTA,1,nASIG,"Armonía"),"")))</f>
        <v/>
      </c>
      <c r="O776" t="str">
        <f>IF(M776="","",IF(M776="[FÓRMULA MANUAL]","",IFERROR(AVERAGEIFS(nNOTA,nNIA,M776,nCUENTA,1,nASIG,"Orquesta/Banda/Conjunto"),"")))</f>
        <v/>
      </c>
      <c r="P776" t="str">
        <f>IF(M776="","",IF(M776="[FÓRMULA MANUAL]","",IFERROR(AVERAGEIFS(nNOTA,nNIA,M776,nCUENTA,1,nASIG,"Música de Cámara"),"")))</f>
        <v/>
      </c>
      <c r="Q776" t="str">
        <f>IF(M776="","",IF(M776="[FÓRMULA MANUAL]","",IFERROR(SUMPRODUCT((nNIA=M776)*(nCUENTA=1)*(COUNTIF(CONFIG_ASIGNATURAS!$B$7:$B$27,nASIG)&gt;0)*(nNOTA))/SUMPRODUCT((nNIA=M776)*(nCUENTA=1)*(COUNTIF(CONFIG_ASIGNATURAS!$B$7:$B$27,nASIG)&gt;0)*1),"")))</f>
        <v/>
      </c>
      <c r="T776" t="str">
        <f>IF(S776="","",IF(S776="[FÓRMULA MANUAL]","",IFERROR(AVERAGEIFS(nNOTA,nNIA,S776,nCUENTA,1,nASIG,"Armonía"),"")))</f>
        <v/>
      </c>
      <c r="U776" t="str">
        <f>IF(S776="","",IF(S776="[FÓRMULA MANUAL]","",IFERROR(AVERAGEIFS(nNOTA,nNIA,S776,nCUENTA,1,nASIG,"Orquesta/Banda/Conjunto"),"")))</f>
        <v/>
      </c>
      <c r="V776" t="str">
        <f>IF(S776="","",IF(S776="[FÓRMULA MANUAL]","",IFERROR(AVERAGEIFS(nNOTA,nNIA,S776,nCUENTA,1,nASIG,"Música de Cámara"),"")))</f>
        <v/>
      </c>
      <c r="W776" t="str">
        <f>IF(S776="","",IF(S776="[FÓRMULA MANUAL]","",IFERROR(SUMPRODUCT((nNIA=S776)*(nCUENTA=1)*(COUNTIF(CONFIG_ASIGNATURAS!$B$7:$B$27,nASIG)&gt;0)*(nNOTA))/SUMPRODUCT((nNIA=S776)*(nCUENTA=1)*(COUNTIF(CONFIG_ASIGNATURAS!$B$7:$B$27,nASIG)&gt;0)*1),"")))</f>
        <v/>
      </c>
      <c r="Z776" t="str">
        <f>IF(Y776="","",IF(Y776="[FÓRMULA MANUAL]","",IFERROR(AVERAGEIFS(nNOTA,nNIA,Y776,nCUENTA,1,nASIG,"Análisis"),"")))</f>
        <v/>
      </c>
      <c r="AA776" t="str">
        <f>IF(Y776="","",IF(Y776="[FÓRMULA MANUAL]","",IFERROR(AVERAGEIFS(nNOTA,nNIA,Y776,nCUENTA,1,nASIG,"Orquesta/Banda/Conjunto"),"")))</f>
        <v/>
      </c>
      <c r="AB776" t="str">
        <f>IF(Y776="","",IF(Y776="[FÓRMULA MANUAL]","",IFERROR(AVERAGEIFS(nNOTA,nNIA,Y776,nCUENTA,1,nASIG,"Música de Cámara"),"")))</f>
        <v/>
      </c>
      <c r="AC776" t="str">
        <f>IF(Y776="","",IF(Y776="[FÓRMULA MANUAL]","",IFERROR(SUMPRODUCT((nNIA=Y776)*(nCUENTA=1)*(COUNTIF(CONFIG_ASIGNATURAS!$B$7:$B$27,nASIG)&gt;0)*(nNOTA))/SUMPRODUCT((nNIA=Y776)*(nCUENTA=1)*(COUNTIF(CONFIG_ASIGNATURAS!$B$7:$B$27,nASIG)&gt;0)*1),"")))</f>
        <v/>
      </c>
      <c r="AF776" t="str">
        <f>IF(AE776="","",IF(AE776="[FÓRMULA MANUAL]","",IFERROR(AVERAGEIFS(nNOTA,nNIA,AE776,nCUENTA,1,nASIG,"Análisis"),"")))</f>
        <v/>
      </c>
      <c r="AG776" t="str">
        <f>IF(AE776="","",IF(AE776="[FÓRMULA MANUAL]","",IFERROR(AVERAGEIFS(nNOTA,nNIA,AE776,nCUENTA,1,nASIG,"Orquesta/Banda/Conjunto"),"")))</f>
        <v/>
      </c>
      <c r="AH776" t="str">
        <f>IF(AE776="","",IF(AE776="[FÓRMULA MANUAL]","",IFERROR(AVERAGEIFS(nNOTA,nNIA,AE776,nCUENTA,1,nASIG,"Música de Cámara"),"")))</f>
        <v/>
      </c>
      <c r="AI776" t="str">
        <f>IF(AE776="","",IF(AE776="[FÓRMULA MANUAL]","",IFERROR(SUMPRODUCT((nNIA=AE776)*(nCUENTA=1)*(COUNTIF(CONFIG_ASIGNATURAS!$B$7:$B$27,nASIG)&gt;0)*(nNOTA))/SUMPRODUCT((nNIA=AE776)*(nCUENTA=1)*(COUNTIF(CONFIG_ASIGNATURAS!$B$7:$B$27,nASIG)&gt;0)*1),"")))</f>
        <v/>
      </c>
    </row>
    <row r="777" spans="2:35" x14ac:dyDescent="0.2">
      <c r="B777" t="str">
        <f>IF(A777="","",IF(A777="[FÓRMULA MANUAL]","",IFERROR(AVERAGEIFS(nNOTA,nNIA,A777,nCUENTA,1,nASIG,"Lenguaje Musical"),"")))</f>
        <v/>
      </c>
      <c r="C777" t="str">
        <f>IF(A777="","",IF(A777="[FÓRMULA MANUAL]","",IFERROR(AVERAGEIFS(nNOTA,nNIA,A777,nCUENTA,1,nASIG,"Orquesta/Banda/Conjunto"),"")))</f>
        <v/>
      </c>
      <c r="D777" t="str">
        <f>IF(A777="","",IF(A777="[FÓRMULA MANUAL]","",IFERROR(AVERAGEIFS(nNOTA,nNIA,A777,nCUENTA,1,nASIG,"Conjunto"),"")))</f>
        <v/>
      </c>
      <c r="E777" t="str">
        <f>IF(A777="","",IF(A777="[FÓRMULA MANUAL]","",IFERROR(SUMPRODUCT((nNIA=A777)*(nCUENTA=1)*(COUNTIF(CONFIG_ASIGNATURAS!$B$7:$B$27,nASIG)&gt;0)*(nNOTA))/SUMPRODUCT((nNIA=A777)*(nCUENTA=1)*(COUNTIF(CONFIG_ASIGNATURAS!$B$7:$B$27,nASIG)&gt;0)*1),"")))</f>
        <v/>
      </c>
      <c r="H777" t="str">
        <f>IF(G777="","",IF(G777="[FÓRMULA MANUAL]","",IFERROR(AVERAGEIFS(nNOTA,nNIA,G777,nCUENTA,1,nASIG,"Lenguaje Musical"),"")))</f>
        <v/>
      </c>
      <c r="I777" t="str">
        <f>IF(G777="","",IF(G777="[FÓRMULA MANUAL]","",IFERROR(AVERAGEIFS(nNOTA,nNIA,G777,nCUENTA,1,nASIG,"Orquesta/Banda/Conjunto"),"")))</f>
        <v/>
      </c>
      <c r="J777" t="str">
        <f>IF(G777="","",IF(G777="[FÓRMULA MANUAL]","",IFERROR(AVERAGEIFS(nNOTA,nNIA,G777,nCUENTA,1,nASIG,"Conjunto"),"")))</f>
        <v/>
      </c>
      <c r="K777" t="str">
        <f>IF(G777="","",IF(G777="[FÓRMULA MANUAL]","",IFERROR(SUMPRODUCT((nNIA=G777)*(nCUENTA=1)*(COUNTIF(CONFIG_ASIGNATURAS!$B$7:$B$27,nASIG)&gt;0)*(nNOTA))/SUMPRODUCT((nNIA=G777)*(nCUENTA=1)*(COUNTIF(CONFIG_ASIGNATURAS!$B$7:$B$27,nASIG)&gt;0)*1),"")))</f>
        <v/>
      </c>
      <c r="N777" t="str">
        <f>IF(M777="","",IF(M777="[FÓRMULA MANUAL]","",IFERROR(AVERAGEIFS(nNOTA,nNIA,M777,nCUENTA,1,nASIG,"Armonía"),"")))</f>
        <v/>
      </c>
      <c r="O777" t="str">
        <f>IF(M777="","",IF(M777="[FÓRMULA MANUAL]","",IFERROR(AVERAGEIFS(nNOTA,nNIA,M777,nCUENTA,1,nASIG,"Orquesta/Banda/Conjunto"),"")))</f>
        <v/>
      </c>
      <c r="P777" t="str">
        <f>IF(M777="","",IF(M777="[FÓRMULA MANUAL]","",IFERROR(AVERAGEIFS(nNOTA,nNIA,M777,nCUENTA,1,nASIG,"Música de Cámara"),"")))</f>
        <v/>
      </c>
      <c r="Q777" t="str">
        <f>IF(M777="","",IF(M777="[FÓRMULA MANUAL]","",IFERROR(SUMPRODUCT((nNIA=M777)*(nCUENTA=1)*(COUNTIF(CONFIG_ASIGNATURAS!$B$7:$B$27,nASIG)&gt;0)*(nNOTA))/SUMPRODUCT((nNIA=M777)*(nCUENTA=1)*(COUNTIF(CONFIG_ASIGNATURAS!$B$7:$B$27,nASIG)&gt;0)*1),"")))</f>
        <v/>
      </c>
      <c r="T777" t="str">
        <f>IF(S777="","",IF(S777="[FÓRMULA MANUAL]","",IFERROR(AVERAGEIFS(nNOTA,nNIA,S777,nCUENTA,1,nASIG,"Armonía"),"")))</f>
        <v/>
      </c>
      <c r="U777" t="str">
        <f>IF(S777="","",IF(S777="[FÓRMULA MANUAL]","",IFERROR(AVERAGEIFS(nNOTA,nNIA,S777,nCUENTA,1,nASIG,"Orquesta/Banda/Conjunto"),"")))</f>
        <v/>
      </c>
      <c r="V777" t="str">
        <f>IF(S777="","",IF(S777="[FÓRMULA MANUAL]","",IFERROR(AVERAGEIFS(nNOTA,nNIA,S777,nCUENTA,1,nASIG,"Música de Cámara"),"")))</f>
        <v/>
      </c>
      <c r="W777" t="str">
        <f>IF(S777="","",IF(S777="[FÓRMULA MANUAL]","",IFERROR(SUMPRODUCT((nNIA=S777)*(nCUENTA=1)*(COUNTIF(CONFIG_ASIGNATURAS!$B$7:$B$27,nASIG)&gt;0)*(nNOTA))/SUMPRODUCT((nNIA=S777)*(nCUENTA=1)*(COUNTIF(CONFIG_ASIGNATURAS!$B$7:$B$27,nASIG)&gt;0)*1),"")))</f>
        <v/>
      </c>
      <c r="Z777" t="str">
        <f>IF(Y777="","",IF(Y777="[FÓRMULA MANUAL]","",IFERROR(AVERAGEIFS(nNOTA,nNIA,Y777,nCUENTA,1,nASIG,"Análisis"),"")))</f>
        <v/>
      </c>
      <c r="AA777" t="str">
        <f>IF(Y777="","",IF(Y777="[FÓRMULA MANUAL]","",IFERROR(AVERAGEIFS(nNOTA,nNIA,Y777,nCUENTA,1,nASIG,"Orquesta/Banda/Conjunto"),"")))</f>
        <v/>
      </c>
      <c r="AB777" t="str">
        <f>IF(Y777="","",IF(Y777="[FÓRMULA MANUAL]","",IFERROR(AVERAGEIFS(nNOTA,nNIA,Y777,nCUENTA,1,nASIG,"Música de Cámara"),"")))</f>
        <v/>
      </c>
      <c r="AC777" t="str">
        <f>IF(Y777="","",IF(Y777="[FÓRMULA MANUAL]","",IFERROR(SUMPRODUCT((nNIA=Y777)*(nCUENTA=1)*(COUNTIF(CONFIG_ASIGNATURAS!$B$7:$B$27,nASIG)&gt;0)*(nNOTA))/SUMPRODUCT((nNIA=Y777)*(nCUENTA=1)*(COUNTIF(CONFIG_ASIGNATURAS!$B$7:$B$27,nASIG)&gt;0)*1),"")))</f>
        <v/>
      </c>
      <c r="AF777" t="str">
        <f>IF(AE777="","",IF(AE777="[FÓRMULA MANUAL]","",IFERROR(AVERAGEIFS(nNOTA,nNIA,AE777,nCUENTA,1,nASIG,"Análisis"),"")))</f>
        <v/>
      </c>
      <c r="AG777" t="str">
        <f>IF(AE777="","",IF(AE777="[FÓRMULA MANUAL]","",IFERROR(AVERAGEIFS(nNOTA,nNIA,AE777,nCUENTA,1,nASIG,"Orquesta/Banda/Conjunto"),"")))</f>
        <v/>
      </c>
      <c r="AH777" t="str">
        <f>IF(AE777="","",IF(AE777="[FÓRMULA MANUAL]","",IFERROR(AVERAGEIFS(nNOTA,nNIA,AE777,nCUENTA,1,nASIG,"Música de Cámara"),"")))</f>
        <v/>
      </c>
      <c r="AI777" t="str">
        <f>IF(AE777="","",IF(AE777="[FÓRMULA MANUAL]","",IFERROR(SUMPRODUCT((nNIA=AE777)*(nCUENTA=1)*(COUNTIF(CONFIG_ASIGNATURAS!$B$7:$B$27,nASIG)&gt;0)*(nNOTA))/SUMPRODUCT((nNIA=AE777)*(nCUENTA=1)*(COUNTIF(CONFIG_ASIGNATURAS!$B$7:$B$27,nASIG)&gt;0)*1),"")))</f>
        <v/>
      </c>
    </row>
    <row r="778" spans="2:35" x14ac:dyDescent="0.2">
      <c r="B778" t="str">
        <f>IF(A778="","",IF(A778="[FÓRMULA MANUAL]","",IFERROR(AVERAGEIFS(nNOTA,nNIA,A778,nCUENTA,1,nASIG,"Lenguaje Musical"),"")))</f>
        <v/>
      </c>
      <c r="C778" t="str">
        <f>IF(A778="","",IF(A778="[FÓRMULA MANUAL]","",IFERROR(AVERAGEIFS(nNOTA,nNIA,A778,nCUENTA,1,nASIG,"Orquesta/Banda/Conjunto"),"")))</f>
        <v/>
      </c>
      <c r="D778" t="str">
        <f>IF(A778="","",IF(A778="[FÓRMULA MANUAL]","",IFERROR(AVERAGEIFS(nNOTA,nNIA,A778,nCUENTA,1,nASIG,"Conjunto"),"")))</f>
        <v/>
      </c>
      <c r="E778" t="str">
        <f>IF(A778="","",IF(A778="[FÓRMULA MANUAL]","",IFERROR(SUMPRODUCT((nNIA=A778)*(nCUENTA=1)*(COUNTIF(CONFIG_ASIGNATURAS!$B$7:$B$27,nASIG)&gt;0)*(nNOTA))/SUMPRODUCT((nNIA=A778)*(nCUENTA=1)*(COUNTIF(CONFIG_ASIGNATURAS!$B$7:$B$27,nASIG)&gt;0)*1),"")))</f>
        <v/>
      </c>
      <c r="H778" t="str">
        <f>IF(G778="","",IF(G778="[FÓRMULA MANUAL]","",IFERROR(AVERAGEIFS(nNOTA,nNIA,G778,nCUENTA,1,nASIG,"Lenguaje Musical"),"")))</f>
        <v/>
      </c>
      <c r="I778" t="str">
        <f>IF(G778="","",IF(G778="[FÓRMULA MANUAL]","",IFERROR(AVERAGEIFS(nNOTA,nNIA,G778,nCUENTA,1,nASIG,"Orquesta/Banda/Conjunto"),"")))</f>
        <v/>
      </c>
      <c r="J778" t="str">
        <f>IF(G778="","",IF(G778="[FÓRMULA MANUAL]","",IFERROR(AVERAGEIFS(nNOTA,nNIA,G778,nCUENTA,1,nASIG,"Conjunto"),"")))</f>
        <v/>
      </c>
      <c r="K778" t="str">
        <f>IF(G778="","",IF(G778="[FÓRMULA MANUAL]","",IFERROR(SUMPRODUCT((nNIA=G778)*(nCUENTA=1)*(COUNTIF(CONFIG_ASIGNATURAS!$B$7:$B$27,nASIG)&gt;0)*(nNOTA))/SUMPRODUCT((nNIA=G778)*(nCUENTA=1)*(COUNTIF(CONFIG_ASIGNATURAS!$B$7:$B$27,nASIG)&gt;0)*1),"")))</f>
        <v/>
      </c>
      <c r="N778" t="str">
        <f>IF(M778="","",IF(M778="[FÓRMULA MANUAL]","",IFERROR(AVERAGEIFS(nNOTA,nNIA,M778,nCUENTA,1,nASIG,"Armonía"),"")))</f>
        <v/>
      </c>
      <c r="O778" t="str">
        <f>IF(M778="","",IF(M778="[FÓRMULA MANUAL]","",IFERROR(AVERAGEIFS(nNOTA,nNIA,M778,nCUENTA,1,nASIG,"Orquesta/Banda/Conjunto"),"")))</f>
        <v/>
      </c>
      <c r="P778" t="str">
        <f>IF(M778="","",IF(M778="[FÓRMULA MANUAL]","",IFERROR(AVERAGEIFS(nNOTA,nNIA,M778,nCUENTA,1,nASIG,"Música de Cámara"),"")))</f>
        <v/>
      </c>
      <c r="Q778" t="str">
        <f>IF(M778="","",IF(M778="[FÓRMULA MANUAL]","",IFERROR(SUMPRODUCT((nNIA=M778)*(nCUENTA=1)*(COUNTIF(CONFIG_ASIGNATURAS!$B$7:$B$27,nASIG)&gt;0)*(nNOTA))/SUMPRODUCT((nNIA=M778)*(nCUENTA=1)*(COUNTIF(CONFIG_ASIGNATURAS!$B$7:$B$27,nASIG)&gt;0)*1),"")))</f>
        <v/>
      </c>
      <c r="T778" t="str">
        <f>IF(S778="","",IF(S778="[FÓRMULA MANUAL]","",IFERROR(AVERAGEIFS(nNOTA,nNIA,S778,nCUENTA,1,nASIG,"Armonía"),"")))</f>
        <v/>
      </c>
      <c r="U778" t="str">
        <f>IF(S778="","",IF(S778="[FÓRMULA MANUAL]","",IFERROR(AVERAGEIFS(nNOTA,nNIA,S778,nCUENTA,1,nASIG,"Orquesta/Banda/Conjunto"),"")))</f>
        <v/>
      </c>
      <c r="V778" t="str">
        <f>IF(S778="","",IF(S778="[FÓRMULA MANUAL]","",IFERROR(AVERAGEIFS(nNOTA,nNIA,S778,nCUENTA,1,nASIG,"Música de Cámara"),"")))</f>
        <v/>
      </c>
      <c r="W778" t="str">
        <f>IF(S778="","",IF(S778="[FÓRMULA MANUAL]","",IFERROR(SUMPRODUCT((nNIA=S778)*(nCUENTA=1)*(COUNTIF(CONFIG_ASIGNATURAS!$B$7:$B$27,nASIG)&gt;0)*(nNOTA))/SUMPRODUCT((nNIA=S778)*(nCUENTA=1)*(COUNTIF(CONFIG_ASIGNATURAS!$B$7:$B$27,nASIG)&gt;0)*1),"")))</f>
        <v/>
      </c>
      <c r="Z778" t="str">
        <f>IF(Y778="","",IF(Y778="[FÓRMULA MANUAL]","",IFERROR(AVERAGEIFS(nNOTA,nNIA,Y778,nCUENTA,1,nASIG,"Análisis"),"")))</f>
        <v/>
      </c>
      <c r="AA778" t="str">
        <f>IF(Y778="","",IF(Y778="[FÓRMULA MANUAL]","",IFERROR(AVERAGEIFS(nNOTA,nNIA,Y778,nCUENTA,1,nASIG,"Orquesta/Banda/Conjunto"),"")))</f>
        <v/>
      </c>
      <c r="AB778" t="str">
        <f>IF(Y778="","",IF(Y778="[FÓRMULA MANUAL]","",IFERROR(AVERAGEIFS(nNOTA,nNIA,Y778,nCUENTA,1,nASIG,"Música de Cámara"),"")))</f>
        <v/>
      </c>
      <c r="AC778" t="str">
        <f>IF(Y778="","",IF(Y778="[FÓRMULA MANUAL]","",IFERROR(SUMPRODUCT((nNIA=Y778)*(nCUENTA=1)*(COUNTIF(CONFIG_ASIGNATURAS!$B$7:$B$27,nASIG)&gt;0)*(nNOTA))/SUMPRODUCT((nNIA=Y778)*(nCUENTA=1)*(COUNTIF(CONFIG_ASIGNATURAS!$B$7:$B$27,nASIG)&gt;0)*1),"")))</f>
        <v/>
      </c>
      <c r="AF778" t="str">
        <f>IF(AE778="","",IF(AE778="[FÓRMULA MANUAL]","",IFERROR(AVERAGEIFS(nNOTA,nNIA,AE778,nCUENTA,1,nASIG,"Análisis"),"")))</f>
        <v/>
      </c>
      <c r="AG778" t="str">
        <f>IF(AE778="","",IF(AE778="[FÓRMULA MANUAL]","",IFERROR(AVERAGEIFS(nNOTA,nNIA,AE778,nCUENTA,1,nASIG,"Orquesta/Banda/Conjunto"),"")))</f>
        <v/>
      </c>
      <c r="AH778" t="str">
        <f>IF(AE778="","",IF(AE778="[FÓRMULA MANUAL]","",IFERROR(AVERAGEIFS(nNOTA,nNIA,AE778,nCUENTA,1,nASIG,"Música de Cámara"),"")))</f>
        <v/>
      </c>
      <c r="AI778" t="str">
        <f>IF(AE778="","",IF(AE778="[FÓRMULA MANUAL]","",IFERROR(SUMPRODUCT((nNIA=AE778)*(nCUENTA=1)*(COUNTIF(CONFIG_ASIGNATURAS!$B$7:$B$27,nASIG)&gt;0)*(nNOTA))/SUMPRODUCT((nNIA=AE778)*(nCUENTA=1)*(COUNTIF(CONFIG_ASIGNATURAS!$B$7:$B$27,nASIG)&gt;0)*1),"")))</f>
        <v/>
      </c>
    </row>
    <row r="779" spans="2:35" x14ac:dyDescent="0.2">
      <c r="B779" t="str">
        <f>IF(A779="","",IF(A779="[FÓRMULA MANUAL]","",IFERROR(AVERAGEIFS(nNOTA,nNIA,A779,nCUENTA,1,nASIG,"Lenguaje Musical"),"")))</f>
        <v/>
      </c>
      <c r="C779" t="str">
        <f>IF(A779="","",IF(A779="[FÓRMULA MANUAL]","",IFERROR(AVERAGEIFS(nNOTA,nNIA,A779,nCUENTA,1,nASIG,"Orquesta/Banda/Conjunto"),"")))</f>
        <v/>
      </c>
      <c r="D779" t="str">
        <f>IF(A779="","",IF(A779="[FÓRMULA MANUAL]","",IFERROR(AVERAGEIFS(nNOTA,nNIA,A779,nCUENTA,1,nASIG,"Conjunto"),"")))</f>
        <v/>
      </c>
      <c r="E779" t="str">
        <f>IF(A779="","",IF(A779="[FÓRMULA MANUAL]","",IFERROR(SUMPRODUCT((nNIA=A779)*(nCUENTA=1)*(COUNTIF(CONFIG_ASIGNATURAS!$B$7:$B$27,nASIG)&gt;0)*(nNOTA))/SUMPRODUCT((nNIA=A779)*(nCUENTA=1)*(COUNTIF(CONFIG_ASIGNATURAS!$B$7:$B$27,nASIG)&gt;0)*1),"")))</f>
        <v/>
      </c>
      <c r="H779" t="str">
        <f>IF(G779="","",IF(G779="[FÓRMULA MANUAL]","",IFERROR(AVERAGEIFS(nNOTA,nNIA,G779,nCUENTA,1,nASIG,"Lenguaje Musical"),"")))</f>
        <v/>
      </c>
      <c r="I779" t="str">
        <f>IF(G779="","",IF(G779="[FÓRMULA MANUAL]","",IFERROR(AVERAGEIFS(nNOTA,nNIA,G779,nCUENTA,1,nASIG,"Orquesta/Banda/Conjunto"),"")))</f>
        <v/>
      </c>
      <c r="J779" t="str">
        <f>IF(G779="","",IF(G779="[FÓRMULA MANUAL]","",IFERROR(AVERAGEIFS(nNOTA,nNIA,G779,nCUENTA,1,nASIG,"Conjunto"),"")))</f>
        <v/>
      </c>
      <c r="K779" t="str">
        <f>IF(G779="","",IF(G779="[FÓRMULA MANUAL]","",IFERROR(SUMPRODUCT((nNIA=G779)*(nCUENTA=1)*(COUNTIF(CONFIG_ASIGNATURAS!$B$7:$B$27,nASIG)&gt;0)*(nNOTA))/SUMPRODUCT((nNIA=G779)*(nCUENTA=1)*(COUNTIF(CONFIG_ASIGNATURAS!$B$7:$B$27,nASIG)&gt;0)*1),"")))</f>
        <v/>
      </c>
      <c r="N779" t="str">
        <f>IF(M779="","",IF(M779="[FÓRMULA MANUAL]","",IFERROR(AVERAGEIFS(nNOTA,nNIA,M779,nCUENTA,1,nASIG,"Armonía"),"")))</f>
        <v/>
      </c>
      <c r="O779" t="str">
        <f>IF(M779="","",IF(M779="[FÓRMULA MANUAL]","",IFERROR(AVERAGEIFS(nNOTA,nNIA,M779,nCUENTA,1,nASIG,"Orquesta/Banda/Conjunto"),"")))</f>
        <v/>
      </c>
      <c r="P779" t="str">
        <f>IF(M779="","",IF(M779="[FÓRMULA MANUAL]","",IFERROR(AVERAGEIFS(nNOTA,nNIA,M779,nCUENTA,1,nASIG,"Música de Cámara"),"")))</f>
        <v/>
      </c>
      <c r="Q779" t="str">
        <f>IF(M779="","",IF(M779="[FÓRMULA MANUAL]","",IFERROR(SUMPRODUCT((nNIA=M779)*(nCUENTA=1)*(COUNTIF(CONFIG_ASIGNATURAS!$B$7:$B$27,nASIG)&gt;0)*(nNOTA))/SUMPRODUCT((nNIA=M779)*(nCUENTA=1)*(COUNTIF(CONFIG_ASIGNATURAS!$B$7:$B$27,nASIG)&gt;0)*1),"")))</f>
        <v/>
      </c>
      <c r="T779" t="str">
        <f>IF(S779="","",IF(S779="[FÓRMULA MANUAL]","",IFERROR(AVERAGEIFS(nNOTA,nNIA,S779,nCUENTA,1,nASIG,"Armonía"),"")))</f>
        <v/>
      </c>
      <c r="U779" t="str">
        <f>IF(S779="","",IF(S779="[FÓRMULA MANUAL]","",IFERROR(AVERAGEIFS(nNOTA,nNIA,S779,nCUENTA,1,nASIG,"Orquesta/Banda/Conjunto"),"")))</f>
        <v/>
      </c>
      <c r="V779" t="str">
        <f>IF(S779="","",IF(S779="[FÓRMULA MANUAL]","",IFERROR(AVERAGEIFS(nNOTA,nNIA,S779,nCUENTA,1,nASIG,"Música de Cámara"),"")))</f>
        <v/>
      </c>
      <c r="W779" t="str">
        <f>IF(S779="","",IF(S779="[FÓRMULA MANUAL]","",IFERROR(SUMPRODUCT((nNIA=S779)*(nCUENTA=1)*(COUNTIF(CONFIG_ASIGNATURAS!$B$7:$B$27,nASIG)&gt;0)*(nNOTA))/SUMPRODUCT((nNIA=S779)*(nCUENTA=1)*(COUNTIF(CONFIG_ASIGNATURAS!$B$7:$B$27,nASIG)&gt;0)*1),"")))</f>
        <v/>
      </c>
      <c r="Z779" t="str">
        <f>IF(Y779="","",IF(Y779="[FÓRMULA MANUAL]","",IFERROR(AVERAGEIFS(nNOTA,nNIA,Y779,nCUENTA,1,nASIG,"Análisis"),"")))</f>
        <v/>
      </c>
      <c r="AA779" t="str">
        <f>IF(Y779="","",IF(Y779="[FÓRMULA MANUAL]","",IFERROR(AVERAGEIFS(nNOTA,nNIA,Y779,nCUENTA,1,nASIG,"Orquesta/Banda/Conjunto"),"")))</f>
        <v/>
      </c>
      <c r="AB779" t="str">
        <f>IF(Y779="","",IF(Y779="[FÓRMULA MANUAL]","",IFERROR(AVERAGEIFS(nNOTA,nNIA,Y779,nCUENTA,1,nASIG,"Música de Cámara"),"")))</f>
        <v/>
      </c>
      <c r="AC779" t="str">
        <f>IF(Y779="","",IF(Y779="[FÓRMULA MANUAL]","",IFERROR(SUMPRODUCT((nNIA=Y779)*(nCUENTA=1)*(COUNTIF(CONFIG_ASIGNATURAS!$B$7:$B$27,nASIG)&gt;0)*(nNOTA))/SUMPRODUCT((nNIA=Y779)*(nCUENTA=1)*(COUNTIF(CONFIG_ASIGNATURAS!$B$7:$B$27,nASIG)&gt;0)*1),"")))</f>
        <v/>
      </c>
      <c r="AF779" t="str">
        <f>IF(AE779="","",IF(AE779="[FÓRMULA MANUAL]","",IFERROR(AVERAGEIFS(nNOTA,nNIA,AE779,nCUENTA,1,nASIG,"Análisis"),"")))</f>
        <v/>
      </c>
      <c r="AG779" t="str">
        <f>IF(AE779="","",IF(AE779="[FÓRMULA MANUAL]","",IFERROR(AVERAGEIFS(nNOTA,nNIA,AE779,nCUENTA,1,nASIG,"Orquesta/Banda/Conjunto"),"")))</f>
        <v/>
      </c>
      <c r="AH779" t="str">
        <f>IF(AE779="","",IF(AE779="[FÓRMULA MANUAL]","",IFERROR(AVERAGEIFS(nNOTA,nNIA,AE779,nCUENTA,1,nASIG,"Música de Cámara"),"")))</f>
        <v/>
      </c>
      <c r="AI779" t="str">
        <f>IF(AE779="","",IF(AE779="[FÓRMULA MANUAL]","",IFERROR(SUMPRODUCT((nNIA=AE779)*(nCUENTA=1)*(COUNTIF(CONFIG_ASIGNATURAS!$B$7:$B$27,nASIG)&gt;0)*(nNOTA))/SUMPRODUCT((nNIA=AE779)*(nCUENTA=1)*(COUNTIF(CONFIG_ASIGNATURAS!$B$7:$B$27,nASIG)&gt;0)*1),"")))</f>
        <v/>
      </c>
    </row>
    <row r="780" spans="2:35" x14ac:dyDescent="0.2">
      <c r="B780" t="str">
        <f>IF(A780="","",IF(A780="[FÓRMULA MANUAL]","",IFERROR(AVERAGEIFS(nNOTA,nNIA,A780,nCUENTA,1,nASIG,"Lenguaje Musical"),"")))</f>
        <v/>
      </c>
      <c r="C780" t="str">
        <f>IF(A780="","",IF(A780="[FÓRMULA MANUAL]","",IFERROR(AVERAGEIFS(nNOTA,nNIA,A780,nCUENTA,1,nASIG,"Orquesta/Banda/Conjunto"),"")))</f>
        <v/>
      </c>
      <c r="D780" t="str">
        <f>IF(A780="","",IF(A780="[FÓRMULA MANUAL]","",IFERROR(AVERAGEIFS(nNOTA,nNIA,A780,nCUENTA,1,nASIG,"Conjunto"),"")))</f>
        <v/>
      </c>
      <c r="E780" t="str">
        <f>IF(A780="","",IF(A780="[FÓRMULA MANUAL]","",IFERROR(SUMPRODUCT((nNIA=A780)*(nCUENTA=1)*(COUNTIF(CONFIG_ASIGNATURAS!$B$7:$B$27,nASIG)&gt;0)*(nNOTA))/SUMPRODUCT((nNIA=A780)*(nCUENTA=1)*(COUNTIF(CONFIG_ASIGNATURAS!$B$7:$B$27,nASIG)&gt;0)*1),"")))</f>
        <v/>
      </c>
      <c r="H780" t="str">
        <f>IF(G780="","",IF(G780="[FÓRMULA MANUAL]","",IFERROR(AVERAGEIFS(nNOTA,nNIA,G780,nCUENTA,1,nASIG,"Lenguaje Musical"),"")))</f>
        <v/>
      </c>
      <c r="I780" t="str">
        <f>IF(G780="","",IF(G780="[FÓRMULA MANUAL]","",IFERROR(AVERAGEIFS(nNOTA,nNIA,G780,nCUENTA,1,nASIG,"Orquesta/Banda/Conjunto"),"")))</f>
        <v/>
      </c>
      <c r="J780" t="str">
        <f>IF(G780="","",IF(G780="[FÓRMULA MANUAL]","",IFERROR(AVERAGEIFS(nNOTA,nNIA,G780,nCUENTA,1,nASIG,"Conjunto"),"")))</f>
        <v/>
      </c>
      <c r="K780" t="str">
        <f>IF(G780="","",IF(G780="[FÓRMULA MANUAL]","",IFERROR(SUMPRODUCT((nNIA=G780)*(nCUENTA=1)*(COUNTIF(CONFIG_ASIGNATURAS!$B$7:$B$27,nASIG)&gt;0)*(nNOTA))/SUMPRODUCT((nNIA=G780)*(nCUENTA=1)*(COUNTIF(CONFIG_ASIGNATURAS!$B$7:$B$27,nASIG)&gt;0)*1),"")))</f>
        <v/>
      </c>
      <c r="N780" t="str">
        <f>IF(M780="","",IF(M780="[FÓRMULA MANUAL]","",IFERROR(AVERAGEIFS(nNOTA,nNIA,M780,nCUENTA,1,nASIG,"Armonía"),"")))</f>
        <v/>
      </c>
      <c r="O780" t="str">
        <f>IF(M780="","",IF(M780="[FÓRMULA MANUAL]","",IFERROR(AVERAGEIFS(nNOTA,nNIA,M780,nCUENTA,1,nASIG,"Orquesta/Banda/Conjunto"),"")))</f>
        <v/>
      </c>
      <c r="P780" t="str">
        <f>IF(M780="","",IF(M780="[FÓRMULA MANUAL]","",IFERROR(AVERAGEIFS(nNOTA,nNIA,M780,nCUENTA,1,nASIG,"Música de Cámara"),"")))</f>
        <v/>
      </c>
      <c r="Q780" t="str">
        <f>IF(M780="","",IF(M780="[FÓRMULA MANUAL]","",IFERROR(SUMPRODUCT((nNIA=M780)*(nCUENTA=1)*(COUNTIF(CONFIG_ASIGNATURAS!$B$7:$B$27,nASIG)&gt;0)*(nNOTA))/SUMPRODUCT((nNIA=M780)*(nCUENTA=1)*(COUNTIF(CONFIG_ASIGNATURAS!$B$7:$B$27,nASIG)&gt;0)*1),"")))</f>
        <v/>
      </c>
      <c r="T780" t="str">
        <f>IF(S780="","",IF(S780="[FÓRMULA MANUAL]","",IFERROR(AVERAGEIFS(nNOTA,nNIA,S780,nCUENTA,1,nASIG,"Armonía"),"")))</f>
        <v/>
      </c>
      <c r="U780" t="str">
        <f>IF(S780="","",IF(S780="[FÓRMULA MANUAL]","",IFERROR(AVERAGEIFS(nNOTA,nNIA,S780,nCUENTA,1,nASIG,"Orquesta/Banda/Conjunto"),"")))</f>
        <v/>
      </c>
      <c r="V780" t="str">
        <f>IF(S780="","",IF(S780="[FÓRMULA MANUAL]","",IFERROR(AVERAGEIFS(nNOTA,nNIA,S780,nCUENTA,1,nASIG,"Música de Cámara"),"")))</f>
        <v/>
      </c>
      <c r="W780" t="str">
        <f>IF(S780="","",IF(S780="[FÓRMULA MANUAL]","",IFERROR(SUMPRODUCT((nNIA=S780)*(nCUENTA=1)*(COUNTIF(CONFIG_ASIGNATURAS!$B$7:$B$27,nASIG)&gt;0)*(nNOTA))/SUMPRODUCT((nNIA=S780)*(nCUENTA=1)*(COUNTIF(CONFIG_ASIGNATURAS!$B$7:$B$27,nASIG)&gt;0)*1),"")))</f>
        <v/>
      </c>
      <c r="Z780" t="str">
        <f>IF(Y780="","",IF(Y780="[FÓRMULA MANUAL]","",IFERROR(AVERAGEIFS(nNOTA,nNIA,Y780,nCUENTA,1,nASIG,"Análisis"),"")))</f>
        <v/>
      </c>
      <c r="AA780" t="str">
        <f>IF(Y780="","",IF(Y780="[FÓRMULA MANUAL]","",IFERROR(AVERAGEIFS(nNOTA,nNIA,Y780,nCUENTA,1,nASIG,"Orquesta/Banda/Conjunto"),"")))</f>
        <v/>
      </c>
      <c r="AB780" t="str">
        <f>IF(Y780="","",IF(Y780="[FÓRMULA MANUAL]","",IFERROR(AVERAGEIFS(nNOTA,nNIA,Y780,nCUENTA,1,nASIG,"Música de Cámara"),"")))</f>
        <v/>
      </c>
      <c r="AC780" t="str">
        <f>IF(Y780="","",IF(Y780="[FÓRMULA MANUAL]","",IFERROR(SUMPRODUCT((nNIA=Y780)*(nCUENTA=1)*(COUNTIF(CONFIG_ASIGNATURAS!$B$7:$B$27,nASIG)&gt;0)*(nNOTA))/SUMPRODUCT((nNIA=Y780)*(nCUENTA=1)*(COUNTIF(CONFIG_ASIGNATURAS!$B$7:$B$27,nASIG)&gt;0)*1),"")))</f>
        <v/>
      </c>
      <c r="AF780" t="str">
        <f>IF(AE780="","",IF(AE780="[FÓRMULA MANUAL]","",IFERROR(AVERAGEIFS(nNOTA,nNIA,AE780,nCUENTA,1,nASIG,"Análisis"),"")))</f>
        <v/>
      </c>
      <c r="AG780" t="str">
        <f>IF(AE780="","",IF(AE780="[FÓRMULA MANUAL]","",IFERROR(AVERAGEIFS(nNOTA,nNIA,AE780,nCUENTA,1,nASIG,"Orquesta/Banda/Conjunto"),"")))</f>
        <v/>
      </c>
      <c r="AH780" t="str">
        <f>IF(AE780="","",IF(AE780="[FÓRMULA MANUAL]","",IFERROR(AVERAGEIFS(nNOTA,nNIA,AE780,nCUENTA,1,nASIG,"Música de Cámara"),"")))</f>
        <v/>
      </c>
      <c r="AI780" t="str">
        <f>IF(AE780="","",IF(AE780="[FÓRMULA MANUAL]","",IFERROR(SUMPRODUCT((nNIA=AE780)*(nCUENTA=1)*(COUNTIF(CONFIG_ASIGNATURAS!$B$7:$B$27,nASIG)&gt;0)*(nNOTA))/SUMPRODUCT((nNIA=AE780)*(nCUENTA=1)*(COUNTIF(CONFIG_ASIGNATURAS!$B$7:$B$27,nASIG)&gt;0)*1),"")))</f>
        <v/>
      </c>
    </row>
    <row r="781" spans="2:35" x14ac:dyDescent="0.2">
      <c r="B781" t="str">
        <f>IF(A781="","",IF(A781="[FÓRMULA MANUAL]","",IFERROR(AVERAGEIFS(nNOTA,nNIA,A781,nCUENTA,1,nASIG,"Lenguaje Musical"),"")))</f>
        <v/>
      </c>
      <c r="C781" t="str">
        <f>IF(A781="","",IF(A781="[FÓRMULA MANUAL]","",IFERROR(AVERAGEIFS(nNOTA,nNIA,A781,nCUENTA,1,nASIG,"Orquesta/Banda/Conjunto"),"")))</f>
        <v/>
      </c>
      <c r="D781" t="str">
        <f>IF(A781="","",IF(A781="[FÓRMULA MANUAL]","",IFERROR(AVERAGEIFS(nNOTA,nNIA,A781,nCUENTA,1,nASIG,"Conjunto"),"")))</f>
        <v/>
      </c>
      <c r="E781" t="str">
        <f>IF(A781="","",IF(A781="[FÓRMULA MANUAL]","",IFERROR(SUMPRODUCT((nNIA=A781)*(nCUENTA=1)*(COUNTIF(CONFIG_ASIGNATURAS!$B$7:$B$27,nASIG)&gt;0)*(nNOTA))/SUMPRODUCT((nNIA=A781)*(nCUENTA=1)*(COUNTIF(CONFIG_ASIGNATURAS!$B$7:$B$27,nASIG)&gt;0)*1),"")))</f>
        <v/>
      </c>
      <c r="H781" t="str">
        <f>IF(G781="","",IF(G781="[FÓRMULA MANUAL]","",IFERROR(AVERAGEIFS(nNOTA,nNIA,G781,nCUENTA,1,nASIG,"Lenguaje Musical"),"")))</f>
        <v/>
      </c>
      <c r="I781" t="str">
        <f>IF(G781="","",IF(G781="[FÓRMULA MANUAL]","",IFERROR(AVERAGEIFS(nNOTA,nNIA,G781,nCUENTA,1,nASIG,"Orquesta/Banda/Conjunto"),"")))</f>
        <v/>
      </c>
      <c r="J781" t="str">
        <f>IF(G781="","",IF(G781="[FÓRMULA MANUAL]","",IFERROR(AVERAGEIFS(nNOTA,nNIA,G781,nCUENTA,1,nASIG,"Conjunto"),"")))</f>
        <v/>
      </c>
      <c r="K781" t="str">
        <f>IF(G781="","",IF(G781="[FÓRMULA MANUAL]","",IFERROR(SUMPRODUCT((nNIA=G781)*(nCUENTA=1)*(COUNTIF(CONFIG_ASIGNATURAS!$B$7:$B$27,nASIG)&gt;0)*(nNOTA))/SUMPRODUCT((nNIA=G781)*(nCUENTA=1)*(COUNTIF(CONFIG_ASIGNATURAS!$B$7:$B$27,nASIG)&gt;0)*1),"")))</f>
        <v/>
      </c>
      <c r="N781" t="str">
        <f>IF(M781="","",IF(M781="[FÓRMULA MANUAL]","",IFERROR(AVERAGEIFS(nNOTA,nNIA,M781,nCUENTA,1,nASIG,"Armonía"),"")))</f>
        <v/>
      </c>
      <c r="O781" t="str">
        <f>IF(M781="","",IF(M781="[FÓRMULA MANUAL]","",IFERROR(AVERAGEIFS(nNOTA,nNIA,M781,nCUENTA,1,nASIG,"Orquesta/Banda/Conjunto"),"")))</f>
        <v/>
      </c>
      <c r="P781" t="str">
        <f>IF(M781="","",IF(M781="[FÓRMULA MANUAL]","",IFERROR(AVERAGEIFS(nNOTA,nNIA,M781,nCUENTA,1,nASIG,"Música de Cámara"),"")))</f>
        <v/>
      </c>
      <c r="Q781" t="str">
        <f>IF(M781="","",IF(M781="[FÓRMULA MANUAL]","",IFERROR(SUMPRODUCT((nNIA=M781)*(nCUENTA=1)*(COUNTIF(CONFIG_ASIGNATURAS!$B$7:$B$27,nASIG)&gt;0)*(nNOTA))/SUMPRODUCT((nNIA=M781)*(nCUENTA=1)*(COUNTIF(CONFIG_ASIGNATURAS!$B$7:$B$27,nASIG)&gt;0)*1),"")))</f>
        <v/>
      </c>
      <c r="T781" t="str">
        <f>IF(S781="","",IF(S781="[FÓRMULA MANUAL]","",IFERROR(AVERAGEIFS(nNOTA,nNIA,S781,nCUENTA,1,nASIG,"Armonía"),"")))</f>
        <v/>
      </c>
      <c r="U781" t="str">
        <f>IF(S781="","",IF(S781="[FÓRMULA MANUAL]","",IFERROR(AVERAGEIFS(nNOTA,nNIA,S781,nCUENTA,1,nASIG,"Orquesta/Banda/Conjunto"),"")))</f>
        <v/>
      </c>
      <c r="V781" t="str">
        <f>IF(S781="","",IF(S781="[FÓRMULA MANUAL]","",IFERROR(AVERAGEIFS(nNOTA,nNIA,S781,nCUENTA,1,nASIG,"Música de Cámara"),"")))</f>
        <v/>
      </c>
      <c r="W781" t="str">
        <f>IF(S781="","",IF(S781="[FÓRMULA MANUAL]","",IFERROR(SUMPRODUCT((nNIA=S781)*(nCUENTA=1)*(COUNTIF(CONFIG_ASIGNATURAS!$B$7:$B$27,nASIG)&gt;0)*(nNOTA))/SUMPRODUCT((nNIA=S781)*(nCUENTA=1)*(COUNTIF(CONFIG_ASIGNATURAS!$B$7:$B$27,nASIG)&gt;0)*1),"")))</f>
        <v/>
      </c>
      <c r="Z781" t="str">
        <f>IF(Y781="","",IF(Y781="[FÓRMULA MANUAL]","",IFERROR(AVERAGEIFS(nNOTA,nNIA,Y781,nCUENTA,1,nASIG,"Análisis"),"")))</f>
        <v/>
      </c>
      <c r="AA781" t="str">
        <f>IF(Y781="","",IF(Y781="[FÓRMULA MANUAL]","",IFERROR(AVERAGEIFS(nNOTA,nNIA,Y781,nCUENTA,1,nASIG,"Orquesta/Banda/Conjunto"),"")))</f>
        <v/>
      </c>
      <c r="AB781" t="str">
        <f>IF(Y781="","",IF(Y781="[FÓRMULA MANUAL]","",IFERROR(AVERAGEIFS(nNOTA,nNIA,Y781,nCUENTA,1,nASIG,"Música de Cámara"),"")))</f>
        <v/>
      </c>
      <c r="AC781" t="str">
        <f>IF(Y781="","",IF(Y781="[FÓRMULA MANUAL]","",IFERROR(SUMPRODUCT((nNIA=Y781)*(nCUENTA=1)*(COUNTIF(CONFIG_ASIGNATURAS!$B$7:$B$27,nASIG)&gt;0)*(nNOTA))/SUMPRODUCT((nNIA=Y781)*(nCUENTA=1)*(COUNTIF(CONFIG_ASIGNATURAS!$B$7:$B$27,nASIG)&gt;0)*1),"")))</f>
        <v/>
      </c>
      <c r="AF781" t="str">
        <f>IF(AE781="","",IF(AE781="[FÓRMULA MANUAL]","",IFERROR(AVERAGEIFS(nNOTA,nNIA,AE781,nCUENTA,1,nASIG,"Análisis"),"")))</f>
        <v/>
      </c>
      <c r="AG781" t="str">
        <f>IF(AE781="","",IF(AE781="[FÓRMULA MANUAL]","",IFERROR(AVERAGEIFS(nNOTA,nNIA,AE781,nCUENTA,1,nASIG,"Orquesta/Banda/Conjunto"),"")))</f>
        <v/>
      </c>
      <c r="AH781" t="str">
        <f>IF(AE781="","",IF(AE781="[FÓRMULA MANUAL]","",IFERROR(AVERAGEIFS(nNOTA,nNIA,AE781,nCUENTA,1,nASIG,"Música de Cámara"),"")))</f>
        <v/>
      </c>
      <c r="AI781" t="str">
        <f>IF(AE781="","",IF(AE781="[FÓRMULA MANUAL]","",IFERROR(SUMPRODUCT((nNIA=AE781)*(nCUENTA=1)*(COUNTIF(CONFIG_ASIGNATURAS!$B$7:$B$27,nASIG)&gt;0)*(nNOTA))/SUMPRODUCT((nNIA=AE781)*(nCUENTA=1)*(COUNTIF(CONFIG_ASIGNATURAS!$B$7:$B$27,nASIG)&gt;0)*1),"")))</f>
        <v/>
      </c>
    </row>
    <row r="782" spans="2:35" x14ac:dyDescent="0.2">
      <c r="B782" t="str">
        <f>IF(A782="","",IF(A782="[FÓRMULA MANUAL]","",IFERROR(AVERAGEIFS(nNOTA,nNIA,A782,nCUENTA,1,nASIG,"Lenguaje Musical"),"")))</f>
        <v/>
      </c>
      <c r="C782" t="str">
        <f>IF(A782="","",IF(A782="[FÓRMULA MANUAL]","",IFERROR(AVERAGEIFS(nNOTA,nNIA,A782,nCUENTA,1,nASIG,"Orquesta/Banda/Conjunto"),"")))</f>
        <v/>
      </c>
      <c r="D782" t="str">
        <f>IF(A782="","",IF(A782="[FÓRMULA MANUAL]","",IFERROR(AVERAGEIFS(nNOTA,nNIA,A782,nCUENTA,1,nASIG,"Conjunto"),"")))</f>
        <v/>
      </c>
      <c r="E782" t="str">
        <f>IF(A782="","",IF(A782="[FÓRMULA MANUAL]","",IFERROR(SUMPRODUCT((nNIA=A782)*(nCUENTA=1)*(COUNTIF(CONFIG_ASIGNATURAS!$B$7:$B$27,nASIG)&gt;0)*(nNOTA))/SUMPRODUCT((nNIA=A782)*(nCUENTA=1)*(COUNTIF(CONFIG_ASIGNATURAS!$B$7:$B$27,nASIG)&gt;0)*1),"")))</f>
        <v/>
      </c>
      <c r="H782" t="str">
        <f>IF(G782="","",IF(G782="[FÓRMULA MANUAL]","",IFERROR(AVERAGEIFS(nNOTA,nNIA,G782,nCUENTA,1,nASIG,"Lenguaje Musical"),"")))</f>
        <v/>
      </c>
      <c r="I782" t="str">
        <f>IF(G782="","",IF(G782="[FÓRMULA MANUAL]","",IFERROR(AVERAGEIFS(nNOTA,nNIA,G782,nCUENTA,1,nASIG,"Orquesta/Banda/Conjunto"),"")))</f>
        <v/>
      </c>
      <c r="J782" t="str">
        <f>IF(G782="","",IF(G782="[FÓRMULA MANUAL]","",IFERROR(AVERAGEIFS(nNOTA,nNIA,G782,nCUENTA,1,nASIG,"Conjunto"),"")))</f>
        <v/>
      </c>
      <c r="K782" t="str">
        <f>IF(G782="","",IF(G782="[FÓRMULA MANUAL]","",IFERROR(SUMPRODUCT((nNIA=G782)*(nCUENTA=1)*(COUNTIF(CONFIG_ASIGNATURAS!$B$7:$B$27,nASIG)&gt;0)*(nNOTA))/SUMPRODUCT((nNIA=G782)*(nCUENTA=1)*(COUNTIF(CONFIG_ASIGNATURAS!$B$7:$B$27,nASIG)&gt;0)*1),"")))</f>
        <v/>
      </c>
      <c r="N782" t="str">
        <f>IF(M782="","",IF(M782="[FÓRMULA MANUAL]","",IFERROR(AVERAGEIFS(nNOTA,nNIA,M782,nCUENTA,1,nASIG,"Armonía"),"")))</f>
        <v/>
      </c>
      <c r="O782" t="str">
        <f>IF(M782="","",IF(M782="[FÓRMULA MANUAL]","",IFERROR(AVERAGEIFS(nNOTA,nNIA,M782,nCUENTA,1,nASIG,"Orquesta/Banda/Conjunto"),"")))</f>
        <v/>
      </c>
      <c r="P782" t="str">
        <f>IF(M782="","",IF(M782="[FÓRMULA MANUAL]","",IFERROR(AVERAGEIFS(nNOTA,nNIA,M782,nCUENTA,1,nASIG,"Música de Cámara"),"")))</f>
        <v/>
      </c>
      <c r="Q782" t="str">
        <f>IF(M782="","",IF(M782="[FÓRMULA MANUAL]","",IFERROR(SUMPRODUCT((nNIA=M782)*(nCUENTA=1)*(COUNTIF(CONFIG_ASIGNATURAS!$B$7:$B$27,nASIG)&gt;0)*(nNOTA))/SUMPRODUCT((nNIA=M782)*(nCUENTA=1)*(COUNTIF(CONFIG_ASIGNATURAS!$B$7:$B$27,nASIG)&gt;0)*1),"")))</f>
        <v/>
      </c>
      <c r="T782" t="str">
        <f>IF(S782="","",IF(S782="[FÓRMULA MANUAL]","",IFERROR(AVERAGEIFS(nNOTA,nNIA,S782,nCUENTA,1,nASIG,"Armonía"),"")))</f>
        <v/>
      </c>
      <c r="U782" t="str">
        <f>IF(S782="","",IF(S782="[FÓRMULA MANUAL]","",IFERROR(AVERAGEIFS(nNOTA,nNIA,S782,nCUENTA,1,nASIG,"Orquesta/Banda/Conjunto"),"")))</f>
        <v/>
      </c>
      <c r="V782" t="str">
        <f>IF(S782="","",IF(S782="[FÓRMULA MANUAL]","",IFERROR(AVERAGEIFS(nNOTA,nNIA,S782,nCUENTA,1,nASIG,"Música de Cámara"),"")))</f>
        <v/>
      </c>
      <c r="W782" t="str">
        <f>IF(S782="","",IF(S782="[FÓRMULA MANUAL]","",IFERROR(SUMPRODUCT((nNIA=S782)*(nCUENTA=1)*(COUNTIF(CONFIG_ASIGNATURAS!$B$7:$B$27,nASIG)&gt;0)*(nNOTA))/SUMPRODUCT((nNIA=S782)*(nCUENTA=1)*(COUNTIF(CONFIG_ASIGNATURAS!$B$7:$B$27,nASIG)&gt;0)*1),"")))</f>
        <v/>
      </c>
      <c r="Z782" t="str">
        <f>IF(Y782="","",IF(Y782="[FÓRMULA MANUAL]","",IFERROR(AVERAGEIFS(nNOTA,nNIA,Y782,nCUENTA,1,nASIG,"Análisis"),"")))</f>
        <v/>
      </c>
      <c r="AA782" t="str">
        <f>IF(Y782="","",IF(Y782="[FÓRMULA MANUAL]","",IFERROR(AVERAGEIFS(nNOTA,nNIA,Y782,nCUENTA,1,nASIG,"Orquesta/Banda/Conjunto"),"")))</f>
        <v/>
      </c>
      <c r="AB782" t="str">
        <f>IF(Y782="","",IF(Y782="[FÓRMULA MANUAL]","",IFERROR(AVERAGEIFS(nNOTA,nNIA,Y782,nCUENTA,1,nASIG,"Música de Cámara"),"")))</f>
        <v/>
      </c>
      <c r="AC782" t="str">
        <f>IF(Y782="","",IF(Y782="[FÓRMULA MANUAL]","",IFERROR(SUMPRODUCT((nNIA=Y782)*(nCUENTA=1)*(COUNTIF(CONFIG_ASIGNATURAS!$B$7:$B$27,nASIG)&gt;0)*(nNOTA))/SUMPRODUCT((nNIA=Y782)*(nCUENTA=1)*(COUNTIF(CONFIG_ASIGNATURAS!$B$7:$B$27,nASIG)&gt;0)*1),"")))</f>
        <v/>
      </c>
      <c r="AF782" t="str">
        <f>IF(AE782="","",IF(AE782="[FÓRMULA MANUAL]","",IFERROR(AVERAGEIFS(nNOTA,nNIA,AE782,nCUENTA,1,nASIG,"Análisis"),"")))</f>
        <v/>
      </c>
      <c r="AG782" t="str">
        <f>IF(AE782="","",IF(AE782="[FÓRMULA MANUAL]","",IFERROR(AVERAGEIFS(nNOTA,nNIA,AE782,nCUENTA,1,nASIG,"Orquesta/Banda/Conjunto"),"")))</f>
        <v/>
      </c>
      <c r="AH782" t="str">
        <f>IF(AE782="","",IF(AE782="[FÓRMULA MANUAL]","",IFERROR(AVERAGEIFS(nNOTA,nNIA,AE782,nCUENTA,1,nASIG,"Música de Cámara"),"")))</f>
        <v/>
      </c>
      <c r="AI782" t="str">
        <f>IF(AE782="","",IF(AE782="[FÓRMULA MANUAL]","",IFERROR(SUMPRODUCT((nNIA=AE782)*(nCUENTA=1)*(COUNTIF(CONFIG_ASIGNATURAS!$B$7:$B$27,nASIG)&gt;0)*(nNOTA))/SUMPRODUCT((nNIA=AE782)*(nCUENTA=1)*(COUNTIF(CONFIG_ASIGNATURAS!$B$7:$B$27,nASIG)&gt;0)*1),"")))</f>
        <v/>
      </c>
    </row>
    <row r="783" spans="2:35" x14ac:dyDescent="0.2">
      <c r="B783" t="str">
        <f>IF(A783="","",IF(A783="[FÓRMULA MANUAL]","",IFERROR(AVERAGEIFS(nNOTA,nNIA,A783,nCUENTA,1,nASIG,"Lenguaje Musical"),"")))</f>
        <v/>
      </c>
      <c r="C783" t="str">
        <f>IF(A783="","",IF(A783="[FÓRMULA MANUAL]","",IFERROR(AVERAGEIFS(nNOTA,nNIA,A783,nCUENTA,1,nASIG,"Orquesta/Banda/Conjunto"),"")))</f>
        <v/>
      </c>
      <c r="D783" t="str">
        <f>IF(A783="","",IF(A783="[FÓRMULA MANUAL]","",IFERROR(AVERAGEIFS(nNOTA,nNIA,A783,nCUENTA,1,nASIG,"Conjunto"),"")))</f>
        <v/>
      </c>
      <c r="E783" t="str">
        <f>IF(A783="","",IF(A783="[FÓRMULA MANUAL]","",IFERROR(SUMPRODUCT((nNIA=A783)*(nCUENTA=1)*(COUNTIF(CONFIG_ASIGNATURAS!$B$7:$B$27,nASIG)&gt;0)*(nNOTA))/SUMPRODUCT((nNIA=A783)*(nCUENTA=1)*(COUNTIF(CONFIG_ASIGNATURAS!$B$7:$B$27,nASIG)&gt;0)*1),"")))</f>
        <v/>
      </c>
      <c r="H783" t="str">
        <f>IF(G783="","",IF(G783="[FÓRMULA MANUAL]","",IFERROR(AVERAGEIFS(nNOTA,nNIA,G783,nCUENTA,1,nASIG,"Lenguaje Musical"),"")))</f>
        <v/>
      </c>
      <c r="I783" t="str">
        <f>IF(G783="","",IF(G783="[FÓRMULA MANUAL]","",IFERROR(AVERAGEIFS(nNOTA,nNIA,G783,nCUENTA,1,nASIG,"Orquesta/Banda/Conjunto"),"")))</f>
        <v/>
      </c>
      <c r="J783" t="str">
        <f>IF(G783="","",IF(G783="[FÓRMULA MANUAL]","",IFERROR(AVERAGEIFS(nNOTA,nNIA,G783,nCUENTA,1,nASIG,"Conjunto"),"")))</f>
        <v/>
      </c>
      <c r="K783" t="str">
        <f>IF(G783="","",IF(G783="[FÓRMULA MANUAL]","",IFERROR(SUMPRODUCT((nNIA=G783)*(nCUENTA=1)*(COUNTIF(CONFIG_ASIGNATURAS!$B$7:$B$27,nASIG)&gt;0)*(nNOTA))/SUMPRODUCT((nNIA=G783)*(nCUENTA=1)*(COUNTIF(CONFIG_ASIGNATURAS!$B$7:$B$27,nASIG)&gt;0)*1),"")))</f>
        <v/>
      </c>
      <c r="N783" t="str">
        <f>IF(M783="","",IF(M783="[FÓRMULA MANUAL]","",IFERROR(AVERAGEIFS(nNOTA,nNIA,M783,nCUENTA,1,nASIG,"Armonía"),"")))</f>
        <v/>
      </c>
      <c r="O783" t="str">
        <f>IF(M783="","",IF(M783="[FÓRMULA MANUAL]","",IFERROR(AVERAGEIFS(nNOTA,nNIA,M783,nCUENTA,1,nASIG,"Orquesta/Banda/Conjunto"),"")))</f>
        <v/>
      </c>
      <c r="P783" t="str">
        <f>IF(M783="","",IF(M783="[FÓRMULA MANUAL]","",IFERROR(AVERAGEIFS(nNOTA,nNIA,M783,nCUENTA,1,nASIG,"Música de Cámara"),"")))</f>
        <v/>
      </c>
      <c r="Q783" t="str">
        <f>IF(M783="","",IF(M783="[FÓRMULA MANUAL]","",IFERROR(SUMPRODUCT((nNIA=M783)*(nCUENTA=1)*(COUNTIF(CONFIG_ASIGNATURAS!$B$7:$B$27,nASIG)&gt;0)*(nNOTA))/SUMPRODUCT((nNIA=M783)*(nCUENTA=1)*(COUNTIF(CONFIG_ASIGNATURAS!$B$7:$B$27,nASIG)&gt;0)*1),"")))</f>
        <v/>
      </c>
      <c r="T783" t="str">
        <f>IF(S783="","",IF(S783="[FÓRMULA MANUAL]","",IFERROR(AVERAGEIFS(nNOTA,nNIA,S783,nCUENTA,1,nASIG,"Armonía"),"")))</f>
        <v/>
      </c>
      <c r="U783" t="str">
        <f>IF(S783="","",IF(S783="[FÓRMULA MANUAL]","",IFERROR(AVERAGEIFS(nNOTA,nNIA,S783,nCUENTA,1,nASIG,"Orquesta/Banda/Conjunto"),"")))</f>
        <v/>
      </c>
      <c r="V783" t="str">
        <f>IF(S783="","",IF(S783="[FÓRMULA MANUAL]","",IFERROR(AVERAGEIFS(nNOTA,nNIA,S783,nCUENTA,1,nASIG,"Música de Cámara"),"")))</f>
        <v/>
      </c>
      <c r="W783" t="str">
        <f>IF(S783="","",IF(S783="[FÓRMULA MANUAL]","",IFERROR(SUMPRODUCT((nNIA=S783)*(nCUENTA=1)*(COUNTIF(CONFIG_ASIGNATURAS!$B$7:$B$27,nASIG)&gt;0)*(nNOTA))/SUMPRODUCT((nNIA=S783)*(nCUENTA=1)*(COUNTIF(CONFIG_ASIGNATURAS!$B$7:$B$27,nASIG)&gt;0)*1),"")))</f>
        <v/>
      </c>
      <c r="Z783" t="str">
        <f>IF(Y783="","",IF(Y783="[FÓRMULA MANUAL]","",IFERROR(AVERAGEIFS(nNOTA,nNIA,Y783,nCUENTA,1,nASIG,"Análisis"),"")))</f>
        <v/>
      </c>
      <c r="AA783" t="str">
        <f>IF(Y783="","",IF(Y783="[FÓRMULA MANUAL]","",IFERROR(AVERAGEIFS(nNOTA,nNIA,Y783,nCUENTA,1,nASIG,"Orquesta/Banda/Conjunto"),"")))</f>
        <v/>
      </c>
      <c r="AB783" t="str">
        <f>IF(Y783="","",IF(Y783="[FÓRMULA MANUAL]","",IFERROR(AVERAGEIFS(nNOTA,nNIA,Y783,nCUENTA,1,nASIG,"Música de Cámara"),"")))</f>
        <v/>
      </c>
      <c r="AC783" t="str">
        <f>IF(Y783="","",IF(Y783="[FÓRMULA MANUAL]","",IFERROR(SUMPRODUCT((nNIA=Y783)*(nCUENTA=1)*(COUNTIF(CONFIG_ASIGNATURAS!$B$7:$B$27,nASIG)&gt;0)*(nNOTA))/SUMPRODUCT((nNIA=Y783)*(nCUENTA=1)*(COUNTIF(CONFIG_ASIGNATURAS!$B$7:$B$27,nASIG)&gt;0)*1),"")))</f>
        <v/>
      </c>
      <c r="AF783" t="str">
        <f>IF(AE783="","",IF(AE783="[FÓRMULA MANUAL]","",IFERROR(AVERAGEIFS(nNOTA,nNIA,AE783,nCUENTA,1,nASIG,"Análisis"),"")))</f>
        <v/>
      </c>
      <c r="AG783" t="str">
        <f>IF(AE783="","",IF(AE783="[FÓRMULA MANUAL]","",IFERROR(AVERAGEIFS(nNOTA,nNIA,AE783,nCUENTA,1,nASIG,"Orquesta/Banda/Conjunto"),"")))</f>
        <v/>
      </c>
      <c r="AH783" t="str">
        <f>IF(AE783="","",IF(AE783="[FÓRMULA MANUAL]","",IFERROR(AVERAGEIFS(nNOTA,nNIA,AE783,nCUENTA,1,nASIG,"Música de Cámara"),"")))</f>
        <v/>
      </c>
      <c r="AI783" t="str">
        <f>IF(AE783="","",IF(AE783="[FÓRMULA MANUAL]","",IFERROR(SUMPRODUCT((nNIA=AE783)*(nCUENTA=1)*(COUNTIF(CONFIG_ASIGNATURAS!$B$7:$B$27,nASIG)&gt;0)*(nNOTA))/SUMPRODUCT((nNIA=AE783)*(nCUENTA=1)*(COUNTIF(CONFIG_ASIGNATURAS!$B$7:$B$27,nASIG)&gt;0)*1),"")))</f>
        <v/>
      </c>
    </row>
    <row r="784" spans="2:35" x14ac:dyDescent="0.2">
      <c r="B784" t="str">
        <f>IF(A784="","",IF(A784="[FÓRMULA MANUAL]","",IFERROR(AVERAGEIFS(nNOTA,nNIA,A784,nCUENTA,1,nASIG,"Lenguaje Musical"),"")))</f>
        <v/>
      </c>
      <c r="C784" t="str">
        <f>IF(A784="","",IF(A784="[FÓRMULA MANUAL]","",IFERROR(AVERAGEIFS(nNOTA,nNIA,A784,nCUENTA,1,nASIG,"Orquesta/Banda/Conjunto"),"")))</f>
        <v/>
      </c>
      <c r="D784" t="str">
        <f>IF(A784="","",IF(A784="[FÓRMULA MANUAL]","",IFERROR(AVERAGEIFS(nNOTA,nNIA,A784,nCUENTA,1,nASIG,"Conjunto"),"")))</f>
        <v/>
      </c>
      <c r="E784" t="str">
        <f>IF(A784="","",IF(A784="[FÓRMULA MANUAL]","",IFERROR(SUMPRODUCT((nNIA=A784)*(nCUENTA=1)*(COUNTIF(CONFIG_ASIGNATURAS!$B$7:$B$27,nASIG)&gt;0)*(nNOTA))/SUMPRODUCT((nNIA=A784)*(nCUENTA=1)*(COUNTIF(CONFIG_ASIGNATURAS!$B$7:$B$27,nASIG)&gt;0)*1),"")))</f>
        <v/>
      </c>
      <c r="H784" t="str">
        <f>IF(G784="","",IF(G784="[FÓRMULA MANUAL]","",IFERROR(AVERAGEIFS(nNOTA,nNIA,G784,nCUENTA,1,nASIG,"Lenguaje Musical"),"")))</f>
        <v/>
      </c>
      <c r="I784" t="str">
        <f>IF(G784="","",IF(G784="[FÓRMULA MANUAL]","",IFERROR(AVERAGEIFS(nNOTA,nNIA,G784,nCUENTA,1,nASIG,"Orquesta/Banda/Conjunto"),"")))</f>
        <v/>
      </c>
      <c r="J784" t="str">
        <f>IF(G784="","",IF(G784="[FÓRMULA MANUAL]","",IFERROR(AVERAGEIFS(nNOTA,nNIA,G784,nCUENTA,1,nASIG,"Conjunto"),"")))</f>
        <v/>
      </c>
      <c r="K784" t="str">
        <f>IF(G784="","",IF(G784="[FÓRMULA MANUAL]","",IFERROR(SUMPRODUCT((nNIA=G784)*(nCUENTA=1)*(COUNTIF(CONFIG_ASIGNATURAS!$B$7:$B$27,nASIG)&gt;0)*(nNOTA))/SUMPRODUCT((nNIA=G784)*(nCUENTA=1)*(COUNTIF(CONFIG_ASIGNATURAS!$B$7:$B$27,nASIG)&gt;0)*1),"")))</f>
        <v/>
      </c>
      <c r="N784" t="str">
        <f>IF(M784="","",IF(M784="[FÓRMULA MANUAL]","",IFERROR(AVERAGEIFS(nNOTA,nNIA,M784,nCUENTA,1,nASIG,"Armonía"),"")))</f>
        <v/>
      </c>
      <c r="O784" t="str">
        <f>IF(M784="","",IF(M784="[FÓRMULA MANUAL]","",IFERROR(AVERAGEIFS(nNOTA,nNIA,M784,nCUENTA,1,nASIG,"Orquesta/Banda/Conjunto"),"")))</f>
        <v/>
      </c>
      <c r="P784" t="str">
        <f>IF(M784="","",IF(M784="[FÓRMULA MANUAL]","",IFERROR(AVERAGEIFS(nNOTA,nNIA,M784,nCUENTA,1,nASIG,"Música de Cámara"),"")))</f>
        <v/>
      </c>
      <c r="Q784" t="str">
        <f>IF(M784="","",IF(M784="[FÓRMULA MANUAL]","",IFERROR(SUMPRODUCT((nNIA=M784)*(nCUENTA=1)*(COUNTIF(CONFIG_ASIGNATURAS!$B$7:$B$27,nASIG)&gt;0)*(nNOTA))/SUMPRODUCT((nNIA=M784)*(nCUENTA=1)*(COUNTIF(CONFIG_ASIGNATURAS!$B$7:$B$27,nASIG)&gt;0)*1),"")))</f>
        <v/>
      </c>
      <c r="T784" t="str">
        <f>IF(S784="","",IF(S784="[FÓRMULA MANUAL]","",IFERROR(AVERAGEIFS(nNOTA,nNIA,S784,nCUENTA,1,nASIG,"Armonía"),"")))</f>
        <v/>
      </c>
      <c r="U784" t="str">
        <f>IF(S784="","",IF(S784="[FÓRMULA MANUAL]","",IFERROR(AVERAGEIFS(nNOTA,nNIA,S784,nCUENTA,1,nASIG,"Orquesta/Banda/Conjunto"),"")))</f>
        <v/>
      </c>
      <c r="V784" t="str">
        <f>IF(S784="","",IF(S784="[FÓRMULA MANUAL]","",IFERROR(AVERAGEIFS(nNOTA,nNIA,S784,nCUENTA,1,nASIG,"Música de Cámara"),"")))</f>
        <v/>
      </c>
      <c r="W784" t="str">
        <f>IF(S784="","",IF(S784="[FÓRMULA MANUAL]","",IFERROR(SUMPRODUCT((nNIA=S784)*(nCUENTA=1)*(COUNTIF(CONFIG_ASIGNATURAS!$B$7:$B$27,nASIG)&gt;0)*(nNOTA))/SUMPRODUCT((nNIA=S784)*(nCUENTA=1)*(COUNTIF(CONFIG_ASIGNATURAS!$B$7:$B$27,nASIG)&gt;0)*1),"")))</f>
        <v/>
      </c>
      <c r="Z784" t="str">
        <f>IF(Y784="","",IF(Y784="[FÓRMULA MANUAL]","",IFERROR(AVERAGEIFS(nNOTA,nNIA,Y784,nCUENTA,1,nASIG,"Análisis"),"")))</f>
        <v/>
      </c>
      <c r="AA784" t="str">
        <f>IF(Y784="","",IF(Y784="[FÓRMULA MANUAL]","",IFERROR(AVERAGEIFS(nNOTA,nNIA,Y784,nCUENTA,1,nASIG,"Orquesta/Banda/Conjunto"),"")))</f>
        <v/>
      </c>
      <c r="AB784" t="str">
        <f>IF(Y784="","",IF(Y784="[FÓRMULA MANUAL]","",IFERROR(AVERAGEIFS(nNOTA,nNIA,Y784,nCUENTA,1,nASIG,"Música de Cámara"),"")))</f>
        <v/>
      </c>
      <c r="AC784" t="str">
        <f>IF(Y784="","",IF(Y784="[FÓRMULA MANUAL]","",IFERROR(SUMPRODUCT((nNIA=Y784)*(nCUENTA=1)*(COUNTIF(CONFIG_ASIGNATURAS!$B$7:$B$27,nASIG)&gt;0)*(nNOTA))/SUMPRODUCT((nNIA=Y784)*(nCUENTA=1)*(COUNTIF(CONFIG_ASIGNATURAS!$B$7:$B$27,nASIG)&gt;0)*1),"")))</f>
        <v/>
      </c>
      <c r="AF784" t="str">
        <f>IF(AE784="","",IF(AE784="[FÓRMULA MANUAL]","",IFERROR(AVERAGEIFS(nNOTA,nNIA,AE784,nCUENTA,1,nASIG,"Análisis"),"")))</f>
        <v/>
      </c>
      <c r="AG784" t="str">
        <f>IF(AE784="","",IF(AE784="[FÓRMULA MANUAL]","",IFERROR(AVERAGEIFS(nNOTA,nNIA,AE784,nCUENTA,1,nASIG,"Orquesta/Banda/Conjunto"),"")))</f>
        <v/>
      </c>
      <c r="AH784" t="str">
        <f>IF(AE784="","",IF(AE784="[FÓRMULA MANUAL]","",IFERROR(AVERAGEIFS(nNOTA,nNIA,AE784,nCUENTA,1,nASIG,"Música de Cámara"),"")))</f>
        <v/>
      </c>
      <c r="AI784" t="str">
        <f>IF(AE784="","",IF(AE784="[FÓRMULA MANUAL]","",IFERROR(SUMPRODUCT((nNIA=AE784)*(nCUENTA=1)*(COUNTIF(CONFIG_ASIGNATURAS!$B$7:$B$27,nASIG)&gt;0)*(nNOTA))/SUMPRODUCT((nNIA=AE784)*(nCUENTA=1)*(COUNTIF(CONFIG_ASIGNATURAS!$B$7:$B$27,nASIG)&gt;0)*1),"")))</f>
        <v/>
      </c>
    </row>
    <row r="785" spans="2:35" x14ac:dyDescent="0.2">
      <c r="B785" t="str">
        <f>IF(A785="","",IF(A785="[FÓRMULA MANUAL]","",IFERROR(AVERAGEIFS(nNOTA,nNIA,A785,nCUENTA,1,nASIG,"Lenguaje Musical"),"")))</f>
        <v/>
      </c>
      <c r="C785" t="str">
        <f>IF(A785="","",IF(A785="[FÓRMULA MANUAL]","",IFERROR(AVERAGEIFS(nNOTA,nNIA,A785,nCUENTA,1,nASIG,"Orquesta/Banda/Conjunto"),"")))</f>
        <v/>
      </c>
      <c r="D785" t="str">
        <f>IF(A785="","",IF(A785="[FÓRMULA MANUAL]","",IFERROR(AVERAGEIFS(nNOTA,nNIA,A785,nCUENTA,1,nASIG,"Conjunto"),"")))</f>
        <v/>
      </c>
      <c r="E785" t="str">
        <f>IF(A785="","",IF(A785="[FÓRMULA MANUAL]","",IFERROR(SUMPRODUCT((nNIA=A785)*(nCUENTA=1)*(COUNTIF(CONFIG_ASIGNATURAS!$B$7:$B$27,nASIG)&gt;0)*(nNOTA))/SUMPRODUCT((nNIA=A785)*(nCUENTA=1)*(COUNTIF(CONFIG_ASIGNATURAS!$B$7:$B$27,nASIG)&gt;0)*1),"")))</f>
        <v/>
      </c>
      <c r="H785" t="str">
        <f>IF(G785="","",IF(G785="[FÓRMULA MANUAL]","",IFERROR(AVERAGEIFS(nNOTA,nNIA,G785,nCUENTA,1,nASIG,"Lenguaje Musical"),"")))</f>
        <v/>
      </c>
      <c r="I785" t="str">
        <f>IF(G785="","",IF(G785="[FÓRMULA MANUAL]","",IFERROR(AVERAGEIFS(nNOTA,nNIA,G785,nCUENTA,1,nASIG,"Orquesta/Banda/Conjunto"),"")))</f>
        <v/>
      </c>
      <c r="J785" t="str">
        <f>IF(G785="","",IF(G785="[FÓRMULA MANUAL]","",IFERROR(AVERAGEIFS(nNOTA,nNIA,G785,nCUENTA,1,nASIG,"Conjunto"),"")))</f>
        <v/>
      </c>
      <c r="K785" t="str">
        <f>IF(G785="","",IF(G785="[FÓRMULA MANUAL]","",IFERROR(SUMPRODUCT((nNIA=G785)*(nCUENTA=1)*(COUNTIF(CONFIG_ASIGNATURAS!$B$7:$B$27,nASIG)&gt;0)*(nNOTA))/SUMPRODUCT((nNIA=G785)*(nCUENTA=1)*(COUNTIF(CONFIG_ASIGNATURAS!$B$7:$B$27,nASIG)&gt;0)*1),"")))</f>
        <v/>
      </c>
      <c r="N785" t="str">
        <f>IF(M785="","",IF(M785="[FÓRMULA MANUAL]","",IFERROR(AVERAGEIFS(nNOTA,nNIA,M785,nCUENTA,1,nASIG,"Armonía"),"")))</f>
        <v/>
      </c>
      <c r="O785" t="str">
        <f>IF(M785="","",IF(M785="[FÓRMULA MANUAL]","",IFERROR(AVERAGEIFS(nNOTA,nNIA,M785,nCUENTA,1,nASIG,"Orquesta/Banda/Conjunto"),"")))</f>
        <v/>
      </c>
      <c r="P785" t="str">
        <f>IF(M785="","",IF(M785="[FÓRMULA MANUAL]","",IFERROR(AVERAGEIFS(nNOTA,nNIA,M785,nCUENTA,1,nASIG,"Música de Cámara"),"")))</f>
        <v/>
      </c>
      <c r="Q785" t="str">
        <f>IF(M785="","",IF(M785="[FÓRMULA MANUAL]","",IFERROR(SUMPRODUCT((nNIA=M785)*(nCUENTA=1)*(COUNTIF(CONFIG_ASIGNATURAS!$B$7:$B$27,nASIG)&gt;0)*(nNOTA))/SUMPRODUCT((nNIA=M785)*(nCUENTA=1)*(COUNTIF(CONFIG_ASIGNATURAS!$B$7:$B$27,nASIG)&gt;0)*1),"")))</f>
        <v/>
      </c>
      <c r="T785" t="str">
        <f>IF(S785="","",IF(S785="[FÓRMULA MANUAL]","",IFERROR(AVERAGEIFS(nNOTA,nNIA,S785,nCUENTA,1,nASIG,"Armonía"),"")))</f>
        <v/>
      </c>
      <c r="U785" t="str">
        <f>IF(S785="","",IF(S785="[FÓRMULA MANUAL]","",IFERROR(AVERAGEIFS(nNOTA,nNIA,S785,nCUENTA,1,nASIG,"Orquesta/Banda/Conjunto"),"")))</f>
        <v/>
      </c>
      <c r="V785" t="str">
        <f>IF(S785="","",IF(S785="[FÓRMULA MANUAL]","",IFERROR(AVERAGEIFS(nNOTA,nNIA,S785,nCUENTA,1,nASIG,"Música de Cámara"),"")))</f>
        <v/>
      </c>
      <c r="W785" t="str">
        <f>IF(S785="","",IF(S785="[FÓRMULA MANUAL]","",IFERROR(SUMPRODUCT((nNIA=S785)*(nCUENTA=1)*(COUNTIF(CONFIG_ASIGNATURAS!$B$7:$B$27,nASIG)&gt;0)*(nNOTA))/SUMPRODUCT((nNIA=S785)*(nCUENTA=1)*(COUNTIF(CONFIG_ASIGNATURAS!$B$7:$B$27,nASIG)&gt;0)*1),"")))</f>
        <v/>
      </c>
      <c r="Z785" t="str">
        <f>IF(Y785="","",IF(Y785="[FÓRMULA MANUAL]","",IFERROR(AVERAGEIFS(nNOTA,nNIA,Y785,nCUENTA,1,nASIG,"Análisis"),"")))</f>
        <v/>
      </c>
      <c r="AA785" t="str">
        <f>IF(Y785="","",IF(Y785="[FÓRMULA MANUAL]","",IFERROR(AVERAGEIFS(nNOTA,nNIA,Y785,nCUENTA,1,nASIG,"Orquesta/Banda/Conjunto"),"")))</f>
        <v/>
      </c>
      <c r="AB785" t="str">
        <f>IF(Y785="","",IF(Y785="[FÓRMULA MANUAL]","",IFERROR(AVERAGEIFS(nNOTA,nNIA,Y785,nCUENTA,1,nASIG,"Música de Cámara"),"")))</f>
        <v/>
      </c>
      <c r="AC785" t="str">
        <f>IF(Y785="","",IF(Y785="[FÓRMULA MANUAL]","",IFERROR(SUMPRODUCT((nNIA=Y785)*(nCUENTA=1)*(COUNTIF(CONFIG_ASIGNATURAS!$B$7:$B$27,nASIG)&gt;0)*(nNOTA))/SUMPRODUCT((nNIA=Y785)*(nCUENTA=1)*(COUNTIF(CONFIG_ASIGNATURAS!$B$7:$B$27,nASIG)&gt;0)*1),"")))</f>
        <v/>
      </c>
      <c r="AF785" t="str">
        <f>IF(AE785="","",IF(AE785="[FÓRMULA MANUAL]","",IFERROR(AVERAGEIFS(nNOTA,nNIA,AE785,nCUENTA,1,nASIG,"Análisis"),"")))</f>
        <v/>
      </c>
      <c r="AG785" t="str">
        <f>IF(AE785="","",IF(AE785="[FÓRMULA MANUAL]","",IFERROR(AVERAGEIFS(nNOTA,nNIA,AE785,nCUENTA,1,nASIG,"Orquesta/Banda/Conjunto"),"")))</f>
        <v/>
      </c>
      <c r="AH785" t="str">
        <f>IF(AE785="","",IF(AE785="[FÓRMULA MANUAL]","",IFERROR(AVERAGEIFS(nNOTA,nNIA,AE785,nCUENTA,1,nASIG,"Música de Cámara"),"")))</f>
        <v/>
      </c>
      <c r="AI785" t="str">
        <f>IF(AE785="","",IF(AE785="[FÓRMULA MANUAL]","",IFERROR(SUMPRODUCT((nNIA=AE785)*(nCUENTA=1)*(COUNTIF(CONFIG_ASIGNATURAS!$B$7:$B$27,nASIG)&gt;0)*(nNOTA))/SUMPRODUCT((nNIA=AE785)*(nCUENTA=1)*(COUNTIF(CONFIG_ASIGNATURAS!$B$7:$B$27,nASIG)&gt;0)*1),"")))</f>
        <v/>
      </c>
    </row>
    <row r="786" spans="2:35" x14ac:dyDescent="0.2">
      <c r="B786" t="str">
        <f>IF(A786="","",IF(A786="[FÓRMULA MANUAL]","",IFERROR(AVERAGEIFS(nNOTA,nNIA,A786,nCUENTA,1,nASIG,"Lenguaje Musical"),"")))</f>
        <v/>
      </c>
      <c r="C786" t="str">
        <f>IF(A786="","",IF(A786="[FÓRMULA MANUAL]","",IFERROR(AVERAGEIFS(nNOTA,nNIA,A786,nCUENTA,1,nASIG,"Orquesta/Banda/Conjunto"),"")))</f>
        <v/>
      </c>
      <c r="D786" t="str">
        <f>IF(A786="","",IF(A786="[FÓRMULA MANUAL]","",IFERROR(AVERAGEIFS(nNOTA,nNIA,A786,nCUENTA,1,nASIG,"Conjunto"),"")))</f>
        <v/>
      </c>
      <c r="E786" t="str">
        <f>IF(A786="","",IF(A786="[FÓRMULA MANUAL]","",IFERROR(SUMPRODUCT((nNIA=A786)*(nCUENTA=1)*(COUNTIF(CONFIG_ASIGNATURAS!$B$7:$B$27,nASIG)&gt;0)*(nNOTA))/SUMPRODUCT((nNIA=A786)*(nCUENTA=1)*(COUNTIF(CONFIG_ASIGNATURAS!$B$7:$B$27,nASIG)&gt;0)*1),"")))</f>
        <v/>
      </c>
      <c r="H786" t="str">
        <f>IF(G786="","",IF(G786="[FÓRMULA MANUAL]","",IFERROR(AVERAGEIFS(nNOTA,nNIA,G786,nCUENTA,1,nASIG,"Lenguaje Musical"),"")))</f>
        <v/>
      </c>
      <c r="I786" t="str">
        <f>IF(G786="","",IF(G786="[FÓRMULA MANUAL]","",IFERROR(AVERAGEIFS(nNOTA,nNIA,G786,nCUENTA,1,nASIG,"Orquesta/Banda/Conjunto"),"")))</f>
        <v/>
      </c>
      <c r="J786" t="str">
        <f>IF(G786="","",IF(G786="[FÓRMULA MANUAL]","",IFERROR(AVERAGEIFS(nNOTA,nNIA,G786,nCUENTA,1,nASIG,"Conjunto"),"")))</f>
        <v/>
      </c>
      <c r="K786" t="str">
        <f>IF(G786="","",IF(G786="[FÓRMULA MANUAL]","",IFERROR(SUMPRODUCT((nNIA=G786)*(nCUENTA=1)*(COUNTIF(CONFIG_ASIGNATURAS!$B$7:$B$27,nASIG)&gt;0)*(nNOTA))/SUMPRODUCT((nNIA=G786)*(nCUENTA=1)*(COUNTIF(CONFIG_ASIGNATURAS!$B$7:$B$27,nASIG)&gt;0)*1),"")))</f>
        <v/>
      </c>
      <c r="N786" t="str">
        <f>IF(M786="","",IF(M786="[FÓRMULA MANUAL]","",IFERROR(AVERAGEIFS(nNOTA,nNIA,M786,nCUENTA,1,nASIG,"Armonía"),"")))</f>
        <v/>
      </c>
      <c r="O786" t="str">
        <f>IF(M786="","",IF(M786="[FÓRMULA MANUAL]","",IFERROR(AVERAGEIFS(nNOTA,nNIA,M786,nCUENTA,1,nASIG,"Orquesta/Banda/Conjunto"),"")))</f>
        <v/>
      </c>
      <c r="P786" t="str">
        <f>IF(M786="","",IF(M786="[FÓRMULA MANUAL]","",IFERROR(AVERAGEIFS(nNOTA,nNIA,M786,nCUENTA,1,nASIG,"Música de Cámara"),"")))</f>
        <v/>
      </c>
      <c r="Q786" t="str">
        <f>IF(M786="","",IF(M786="[FÓRMULA MANUAL]","",IFERROR(SUMPRODUCT((nNIA=M786)*(nCUENTA=1)*(COUNTIF(CONFIG_ASIGNATURAS!$B$7:$B$27,nASIG)&gt;0)*(nNOTA))/SUMPRODUCT((nNIA=M786)*(nCUENTA=1)*(COUNTIF(CONFIG_ASIGNATURAS!$B$7:$B$27,nASIG)&gt;0)*1),"")))</f>
        <v/>
      </c>
      <c r="T786" t="str">
        <f>IF(S786="","",IF(S786="[FÓRMULA MANUAL]","",IFERROR(AVERAGEIFS(nNOTA,nNIA,S786,nCUENTA,1,nASIG,"Armonía"),"")))</f>
        <v/>
      </c>
      <c r="U786" t="str">
        <f>IF(S786="","",IF(S786="[FÓRMULA MANUAL]","",IFERROR(AVERAGEIFS(nNOTA,nNIA,S786,nCUENTA,1,nASIG,"Orquesta/Banda/Conjunto"),"")))</f>
        <v/>
      </c>
      <c r="V786" t="str">
        <f>IF(S786="","",IF(S786="[FÓRMULA MANUAL]","",IFERROR(AVERAGEIFS(nNOTA,nNIA,S786,nCUENTA,1,nASIG,"Música de Cámara"),"")))</f>
        <v/>
      </c>
      <c r="W786" t="str">
        <f>IF(S786="","",IF(S786="[FÓRMULA MANUAL]","",IFERROR(SUMPRODUCT((nNIA=S786)*(nCUENTA=1)*(COUNTIF(CONFIG_ASIGNATURAS!$B$7:$B$27,nASIG)&gt;0)*(nNOTA))/SUMPRODUCT((nNIA=S786)*(nCUENTA=1)*(COUNTIF(CONFIG_ASIGNATURAS!$B$7:$B$27,nASIG)&gt;0)*1),"")))</f>
        <v/>
      </c>
      <c r="Z786" t="str">
        <f>IF(Y786="","",IF(Y786="[FÓRMULA MANUAL]","",IFERROR(AVERAGEIFS(nNOTA,nNIA,Y786,nCUENTA,1,nASIG,"Análisis"),"")))</f>
        <v/>
      </c>
      <c r="AA786" t="str">
        <f>IF(Y786="","",IF(Y786="[FÓRMULA MANUAL]","",IFERROR(AVERAGEIFS(nNOTA,nNIA,Y786,nCUENTA,1,nASIG,"Orquesta/Banda/Conjunto"),"")))</f>
        <v/>
      </c>
      <c r="AB786" t="str">
        <f>IF(Y786="","",IF(Y786="[FÓRMULA MANUAL]","",IFERROR(AVERAGEIFS(nNOTA,nNIA,Y786,nCUENTA,1,nASIG,"Música de Cámara"),"")))</f>
        <v/>
      </c>
      <c r="AC786" t="str">
        <f>IF(Y786="","",IF(Y786="[FÓRMULA MANUAL]","",IFERROR(SUMPRODUCT((nNIA=Y786)*(nCUENTA=1)*(COUNTIF(CONFIG_ASIGNATURAS!$B$7:$B$27,nASIG)&gt;0)*(nNOTA))/SUMPRODUCT((nNIA=Y786)*(nCUENTA=1)*(COUNTIF(CONFIG_ASIGNATURAS!$B$7:$B$27,nASIG)&gt;0)*1),"")))</f>
        <v/>
      </c>
      <c r="AF786" t="str">
        <f>IF(AE786="","",IF(AE786="[FÓRMULA MANUAL]","",IFERROR(AVERAGEIFS(nNOTA,nNIA,AE786,nCUENTA,1,nASIG,"Análisis"),"")))</f>
        <v/>
      </c>
      <c r="AG786" t="str">
        <f>IF(AE786="","",IF(AE786="[FÓRMULA MANUAL]","",IFERROR(AVERAGEIFS(nNOTA,nNIA,AE786,nCUENTA,1,nASIG,"Orquesta/Banda/Conjunto"),"")))</f>
        <v/>
      </c>
      <c r="AH786" t="str">
        <f>IF(AE786="","",IF(AE786="[FÓRMULA MANUAL]","",IFERROR(AVERAGEIFS(nNOTA,nNIA,AE786,nCUENTA,1,nASIG,"Música de Cámara"),"")))</f>
        <v/>
      </c>
      <c r="AI786" t="str">
        <f>IF(AE786="","",IF(AE786="[FÓRMULA MANUAL]","",IFERROR(SUMPRODUCT((nNIA=AE786)*(nCUENTA=1)*(COUNTIF(CONFIG_ASIGNATURAS!$B$7:$B$27,nASIG)&gt;0)*(nNOTA))/SUMPRODUCT((nNIA=AE786)*(nCUENTA=1)*(COUNTIF(CONFIG_ASIGNATURAS!$B$7:$B$27,nASIG)&gt;0)*1),"")))</f>
        <v/>
      </c>
    </row>
    <row r="787" spans="2:35" x14ac:dyDescent="0.2">
      <c r="B787" t="str">
        <f>IF(A787="","",IF(A787="[FÓRMULA MANUAL]","",IFERROR(AVERAGEIFS(nNOTA,nNIA,A787,nCUENTA,1,nASIG,"Lenguaje Musical"),"")))</f>
        <v/>
      </c>
      <c r="C787" t="str">
        <f>IF(A787="","",IF(A787="[FÓRMULA MANUAL]","",IFERROR(AVERAGEIFS(nNOTA,nNIA,A787,nCUENTA,1,nASIG,"Orquesta/Banda/Conjunto"),"")))</f>
        <v/>
      </c>
      <c r="D787" t="str">
        <f>IF(A787="","",IF(A787="[FÓRMULA MANUAL]","",IFERROR(AVERAGEIFS(nNOTA,nNIA,A787,nCUENTA,1,nASIG,"Conjunto"),"")))</f>
        <v/>
      </c>
      <c r="E787" t="str">
        <f>IF(A787="","",IF(A787="[FÓRMULA MANUAL]","",IFERROR(SUMPRODUCT((nNIA=A787)*(nCUENTA=1)*(COUNTIF(CONFIG_ASIGNATURAS!$B$7:$B$27,nASIG)&gt;0)*(nNOTA))/SUMPRODUCT((nNIA=A787)*(nCUENTA=1)*(COUNTIF(CONFIG_ASIGNATURAS!$B$7:$B$27,nASIG)&gt;0)*1),"")))</f>
        <v/>
      </c>
      <c r="H787" t="str">
        <f>IF(G787="","",IF(G787="[FÓRMULA MANUAL]","",IFERROR(AVERAGEIFS(nNOTA,nNIA,G787,nCUENTA,1,nASIG,"Lenguaje Musical"),"")))</f>
        <v/>
      </c>
      <c r="I787" t="str">
        <f>IF(G787="","",IF(G787="[FÓRMULA MANUAL]","",IFERROR(AVERAGEIFS(nNOTA,nNIA,G787,nCUENTA,1,nASIG,"Orquesta/Banda/Conjunto"),"")))</f>
        <v/>
      </c>
      <c r="J787" t="str">
        <f>IF(G787="","",IF(G787="[FÓRMULA MANUAL]","",IFERROR(AVERAGEIFS(nNOTA,nNIA,G787,nCUENTA,1,nASIG,"Conjunto"),"")))</f>
        <v/>
      </c>
      <c r="K787" t="str">
        <f>IF(G787="","",IF(G787="[FÓRMULA MANUAL]","",IFERROR(SUMPRODUCT((nNIA=G787)*(nCUENTA=1)*(COUNTIF(CONFIG_ASIGNATURAS!$B$7:$B$27,nASIG)&gt;0)*(nNOTA))/SUMPRODUCT((nNIA=G787)*(nCUENTA=1)*(COUNTIF(CONFIG_ASIGNATURAS!$B$7:$B$27,nASIG)&gt;0)*1),"")))</f>
        <v/>
      </c>
      <c r="N787" t="str">
        <f>IF(M787="","",IF(M787="[FÓRMULA MANUAL]","",IFERROR(AVERAGEIFS(nNOTA,nNIA,M787,nCUENTA,1,nASIG,"Armonía"),"")))</f>
        <v/>
      </c>
      <c r="O787" t="str">
        <f>IF(M787="","",IF(M787="[FÓRMULA MANUAL]","",IFERROR(AVERAGEIFS(nNOTA,nNIA,M787,nCUENTA,1,nASIG,"Orquesta/Banda/Conjunto"),"")))</f>
        <v/>
      </c>
      <c r="P787" t="str">
        <f>IF(M787="","",IF(M787="[FÓRMULA MANUAL]","",IFERROR(AVERAGEIFS(nNOTA,nNIA,M787,nCUENTA,1,nASIG,"Música de Cámara"),"")))</f>
        <v/>
      </c>
      <c r="Q787" t="str">
        <f>IF(M787="","",IF(M787="[FÓRMULA MANUAL]","",IFERROR(SUMPRODUCT((nNIA=M787)*(nCUENTA=1)*(COUNTIF(CONFIG_ASIGNATURAS!$B$7:$B$27,nASIG)&gt;0)*(nNOTA))/SUMPRODUCT((nNIA=M787)*(nCUENTA=1)*(COUNTIF(CONFIG_ASIGNATURAS!$B$7:$B$27,nASIG)&gt;0)*1),"")))</f>
        <v/>
      </c>
      <c r="T787" t="str">
        <f>IF(S787="","",IF(S787="[FÓRMULA MANUAL]","",IFERROR(AVERAGEIFS(nNOTA,nNIA,S787,nCUENTA,1,nASIG,"Armonía"),"")))</f>
        <v/>
      </c>
      <c r="U787" t="str">
        <f>IF(S787="","",IF(S787="[FÓRMULA MANUAL]","",IFERROR(AVERAGEIFS(nNOTA,nNIA,S787,nCUENTA,1,nASIG,"Orquesta/Banda/Conjunto"),"")))</f>
        <v/>
      </c>
      <c r="V787" t="str">
        <f>IF(S787="","",IF(S787="[FÓRMULA MANUAL]","",IFERROR(AVERAGEIFS(nNOTA,nNIA,S787,nCUENTA,1,nASIG,"Música de Cámara"),"")))</f>
        <v/>
      </c>
      <c r="W787" t="str">
        <f>IF(S787="","",IF(S787="[FÓRMULA MANUAL]","",IFERROR(SUMPRODUCT((nNIA=S787)*(nCUENTA=1)*(COUNTIF(CONFIG_ASIGNATURAS!$B$7:$B$27,nASIG)&gt;0)*(nNOTA))/SUMPRODUCT((nNIA=S787)*(nCUENTA=1)*(COUNTIF(CONFIG_ASIGNATURAS!$B$7:$B$27,nASIG)&gt;0)*1),"")))</f>
        <v/>
      </c>
      <c r="Z787" t="str">
        <f>IF(Y787="","",IF(Y787="[FÓRMULA MANUAL]","",IFERROR(AVERAGEIFS(nNOTA,nNIA,Y787,nCUENTA,1,nASIG,"Análisis"),"")))</f>
        <v/>
      </c>
      <c r="AA787" t="str">
        <f>IF(Y787="","",IF(Y787="[FÓRMULA MANUAL]","",IFERROR(AVERAGEIFS(nNOTA,nNIA,Y787,nCUENTA,1,nASIG,"Orquesta/Banda/Conjunto"),"")))</f>
        <v/>
      </c>
      <c r="AB787" t="str">
        <f>IF(Y787="","",IF(Y787="[FÓRMULA MANUAL]","",IFERROR(AVERAGEIFS(nNOTA,nNIA,Y787,nCUENTA,1,nASIG,"Música de Cámara"),"")))</f>
        <v/>
      </c>
      <c r="AC787" t="str">
        <f>IF(Y787="","",IF(Y787="[FÓRMULA MANUAL]","",IFERROR(SUMPRODUCT((nNIA=Y787)*(nCUENTA=1)*(COUNTIF(CONFIG_ASIGNATURAS!$B$7:$B$27,nASIG)&gt;0)*(nNOTA))/SUMPRODUCT((nNIA=Y787)*(nCUENTA=1)*(COUNTIF(CONFIG_ASIGNATURAS!$B$7:$B$27,nASIG)&gt;0)*1),"")))</f>
        <v/>
      </c>
      <c r="AF787" t="str">
        <f>IF(AE787="","",IF(AE787="[FÓRMULA MANUAL]","",IFERROR(AVERAGEIFS(nNOTA,nNIA,AE787,nCUENTA,1,nASIG,"Análisis"),"")))</f>
        <v/>
      </c>
      <c r="AG787" t="str">
        <f>IF(AE787="","",IF(AE787="[FÓRMULA MANUAL]","",IFERROR(AVERAGEIFS(nNOTA,nNIA,AE787,nCUENTA,1,nASIG,"Orquesta/Banda/Conjunto"),"")))</f>
        <v/>
      </c>
      <c r="AH787" t="str">
        <f>IF(AE787="","",IF(AE787="[FÓRMULA MANUAL]","",IFERROR(AVERAGEIFS(nNOTA,nNIA,AE787,nCUENTA,1,nASIG,"Música de Cámara"),"")))</f>
        <v/>
      </c>
      <c r="AI787" t="str">
        <f>IF(AE787="","",IF(AE787="[FÓRMULA MANUAL]","",IFERROR(SUMPRODUCT((nNIA=AE787)*(nCUENTA=1)*(COUNTIF(CONFIG_ASIGNATURAS!$B$7:$B$27,nASIG)&gt;0)*(nNOTA))/SUMPRODUCT((nNIA=AE787)*(nCUENTA=1)*(COUNTIF(CONFIG_ASIGNATURAS!$B$7:$B$27,nASIG)&gt;0)*1),"")))</f>
        <v/>
      </c>
    </row>
    <row r="788" spans="2:35" x14ac:dyDescent="0.2">
      <c r="B788" t="str">
        <f>IF(A788="","",IF(A788="[FÓRMULA MANUAL]","",IFERROR(AVERAGEIFS(nNOTA,nNIA,A788,nCUENTA,1,nASIG,"Lenguaje Musical"),"")))</f>
        <v/>
      </c>
      <c r="C788" t="str">
        <f>IF(A788="","",IF(A788="[FÓRMULA MANUAL]","",IFERROR(AVERAGEIFS(nNOTA,nNIA,A788,nCUENTA,1,nASIG,"Orquesta/Banda/Conjunto"),"")))</f>
        <v/>
      </c>
      <c r="D788" t="str">
        <f>IF(A788="","",IF(A788="[FÓRMULA MANUAL]","",IFERROR(AVERAGEIFS(nNOTA,nNIA,A788,nCUENTA,1,nASIG,"Conjunto"),"")))</f>
        <v/>
      </c>
      <c r="E788" t="str">
        <f>IF(A788="","",IF(A788="[FÓRMULA MANUAL]","",IFERROR(SUMPRODUCT((nNIA=A788)*(nCUENTA=1)*(COUNTIF(CONFIG_ASIGNATURAS!$B$7:$B$27,nASIG)&gt;0)*(nNOTA))/SUMPRODUCT((nNIA=A788)*(nCUENTA=1)*(COUNTIF(CONFIG_ASIGNATURAS!$B$7:$B$27,nASIG)&gt;0)*1),"")))</f>
        <v/>
      </c>
      <c r="H788" t="str">
        <f>IF(G788="","",IF(G788="[FÓRMULA MANUAL]","",IFERROR(AVERAGEIFS(nNOTA,nNIA,G788,nCUENTA,1,nASIG,"Lenguaje Musical"),"")))</f>
        <v/>
      </c>
      <c r="I788" t="str">
        <f>IF(G788="","",IF(G788="[FÓRMULA MANUAL]","",IFERROR(AVERAGEIFS(nNOTA,nNIA,G788,nCUENTA,1,nASIG,"Orquesta/Banda/Conjunto"),"")))</f>
        <v/>
      </c>
      <c r="J788" t="str">
        <f>IF(G788="","",IF(G788="[FÓRMULA MANUAL]","",IFERROR(AVERAGEIFS(nNOTA,nNIA,G788,nCUENTA,1,nASIG,"Conjunto"),"")))</f>
        <v/>
      </c>
      <c r="K788" t="str">
        <f>IF(G788="","",IF(G788="[FÓRMULA MANUAL]","",IFERROR(SUMPRODUCT((nNIA=G788)*(nCUENTA=1)*(COUNTIF(CONFIG_ASIGNATURAS!$B$7:$B$27,nASIG)&gt;0)*(nNOTA))/SUMPRODUCT((nNIA=G788)*(nCUENTA=1)*(COUNTIF(CONFIG_ASIGNATURAS!$B$7:$B$27,nASIG)&gt;0)*1),"")))</f>
        <v/>
      </c>
      <c r="N788" t="str">
        <f>IF(M788="","",IF(M788="[FÓRMULA MANUAL]","",IFERROR(AVERAGEIFS(nNOTA,nNIA,M788,nCUENTA,1,nASIG,"Armonía"),"")))</f>
        <v/>
      </c>
      <c r="O788" t="str">
        <f>IF(M788="","",IF(M788="[FÓRMULA MANUAL]","",IFERROR(AVERAGEIFS(nNOTA,nNIA,M788,nCUENTA,1,nASIG,"Orquesta/Banda/Conjunto"),"")))</f>
        <v/>
      </c>
      <c r="P788" t="str">
        <f>IF(M788="","",IF(M788="[FÓRMULA MANUAL]","",IFERROR(AVERAGEIFS(nNOTA,nNIA,M788,nCUENTA,1,nASIG,"Música de Cámara"),"")))</f>
        <v/>
      </c>
      <c r="Q788" t="str">
        <f>IF(M788="","",IF(M788="[FÓRMULA MANUAL]","",IFERROR(SUMPRODUCT((nNIA=M788)*(nCUENTA=1)*(COUNTIF(CONFIG_ASIGNATURAS!$B$7:$B$27,nASIG)&gt;0)*(nNOTA))/SUMPRODUCT((nNIA=M788)*(nCUENTA=1)*(COUNTIF(CONFIG_ASIGNATURAS!$B$7:$B$27,nASIG)&gt;0)*1),"")))</f>
        <v/>
      </c>
      <c r="T788" t="str">
        <f>IF(S788="","",IF(S788="[FÓRMULA MANUAL]","",IFERROR(AVERAGEIFS(nNOTA,nNIA,S788,nCUENTA,1,nASIG,"Armonía"),"")))</f>
        <v/>
      </c>
      <c r="U788" t="str">
        <f>IF(S788="","",IF(S788="[FÓRMULA MANUAL]","",IFERROR(AVERAGEIFS(nNOTA,nNIA,S788,nCUENTA,1,nASIG,"Orquesta/Banda/Conjunto"),"")))</f>
        <v/>
      </c>
      <c r="V788" t="str">
        <f>IF(S788="","",IF(S788="[FÓRMULA MANUAL]","",IFERROR(AVERAGEIFS(nNOTA,nNIA,S788,nCUENTA,1,nASIG,"Música de Cámara"),"")))</f>
        <v/>
      </c>
      <c r="W788" t="str">
        <f>IF(S788="","",IF(S788="[FÓRMULA MANUAL]","",IFERROR(SUMPRODUCT((nNIA=S788)*(nCUENTA=1)*(COUNTIF(CONFIG_ASIGNATURAS!$B$7:$B$27,nASIG)&gt;0)*(nNOTA))/SUMPRODUCT((nNIA=S788)*(nCUENTA=1)*(COUNTIF(CONFIG_ASIGNATURAS!$B$7:$B$27,nASIG)&gt;0)*1),"")))</f>
        <v/>
      </c>
      <c r="Z788" t="str">
        <f>IF(Y788="","",IF(Y788="[FÓRMULA MANUAL]","",IFERROR(AVERAGEIFS(nNOTA,nNIA,Y788,nCUENTA,1,nASIG,"Análisis"),"")))</f>
        <v/>
      </c>
      <c r="AA788" t="str">
        <f>IF(Y788="","",IF(Y788="[FÓRMULA MANUAL]","",IFERROR(AVERAGEIFS(nNOTA,nNIA,Y788,nCUENTA,1,nASIG,"Orquesta/Banda/Conjunto"),"")))</f>
        <v/>
      </c>
      <c r="AB788" t="str">
        <f>IF(Y788="","",IF(Y788="[FÓRMULA MANUAL]","",IFERROR(AVERAGEIFS(nNOTA,nNIA,Y788,nCUENTA,1,nASIG,"Música de Cámara"),"")))</f>
        <v/>
      </c>
      <c r="AC788" t="str">
        <f>IF(Y788="","",IF(Y788="[FÓRMULA MANUAL]","",IFERROR(SUMPRODUCT((nNIA=Y788)*(nCUENTA=1)*(COUNTIF(CONFIG_ASIGNATURAS!$B$7:$B$27,nASIG)&gt;0)*(nNOTA))/SUMPRODUCT((nNIA=Y788)*(nCUENTA=1)*(COUNTIF(CONFIG_ASIGNATURAS!$B$7:$B$27,nASIG)&gt;0)*1),"")))</f>
        <v/>
      </c>
      <c r="AF788" t="str">
        <f>IF(AE788="","",IF(AE788="[FÓRMULA MANUAL]","",IFERROR(AVERAGEIFS(nNOTA,nNIA,AE788,nCUENTA,1,nASIG,"Análisis"),"")))</f>
        <v/>
      </c>
      <c r="AG788" t="str">
        <f>IF(AE788="","",IF(AE788="[FÓRMULA MANUAL]","",IFERROR(AVERAGEIFS(nNOTA,nNIA,AE788,nCUENTA,1,nASIG,"Orquesta/Banda/Conjunto"),"")))</f>
        <v/>
      </c>
      <c r="AH788" t="str">
        <f>IF(AE788="","",IF(AE788="[FÓRMULA MANUAL]","",IFERROR(AVERAGEIFS(nNOTA,nNIA,AE788,nCUENTA,1,nASIG,"Música de Cámara"),"")))</f>
        <v/>
      </c>
      <c r="AI788" t="str">
        <f>IF(AE788="","",IF(AE788="[FÓRMULA MANUAL]","",IFERROR(SUMPRODUCT((nNIA=AE788)*(nCUENTA=1)*(COUNTIF(CONFIG_ASIGNATURAS!$B$7:$B$27,nASIG)&gt;0)*(nNOTA))/SUMPRODUCT((nNIA=AE788)*(nCUENTA=1)*(COUNTIF(CONFIG_ASIGNATURAS!$B$7:$B$27,nASIG)&gt;0)*1),"")))</f>
        <v/>
      </c>
    </row>
    <row r="789" spans="2:35" x14ac:dyDescent="0.2">
      <c r="B789" t="str">
        <f>IF(A789="","",IF(A789="[FÓRMULA MANUAL]","",IFERROR(AVERAGEIFS(nNOTA,nNIA,A789,nCUENTA,1,nASIG,"Lenguaje Musical"),"")))</f>
        <v/>
      </c>
      <c r="C789" t="str">
        <f>IF(A789="","",IF(A789="[FÓRMULA MANUAL]","",IFERROR(AVERAGEIFS(nNOTA,nNIA,A789,nCUENTA,1,nASIG,"Orquesta/Banda/Conjunto"),"")))</f>
        <v/>
      </c>
      <c r="D789" t="str">
        <f>IF(A789="","",IF(A789="[FÓRMULA MANUAL]","",IFERROR(AVERAGEIFS(nNOTA,nNIA,A789,nCUENTA,1,nASIG,"Conjunto"),"")))</f>
        <v/>
      </c>
      <c r="E789" t="str">
        <f>IF(A789="","",IF(A789="[FÓRMULA MANUAL]","",IFERROR(SUMPRODUCT((nNIA=A789)*(nCUENTA=1)*(COUNTIF(CONFIG_ASIGNATURAS!$B$7:$B$27,nASIG)&gt;0)*(nNOTA))/SUMPRODUCT((nNIA=A789)*(nCUENTA=1)*(COUNTIF(CONFIG_ASIGNATURAS!$B$7:$B$27,nASIG)&gt;0)*1),"")))</f>
        <v/>
      </c>
      <c r="H789" t="str">
        <f>IF(G789="","",IF(G789="[FÓRMULA MANUAL]","",IFERROR(AVERAGEIFS(nNOTA,nNIA,G789,nCUENTA,1,nASIG,"Lenguaje Musical"),"")))</f>
        <v/>
      </c>
      <c r="I789" t="str">
        <f>IF(G789="","",IF(G789="[FÓRMULA MANUAL]","",IFERROR(AVERAGEIFS(nNOTA,nNIA,G789,nCUENTA,1,nASIG,"Orquesta/Banda/Conjunto"),"")))</f>
        <v/>
      </c>
      <c r="J789" t="str">
        <f>IF(G789="","",IF(G789="[FÓRMULA MANUAL]","",IFERROR(AVERAGEIFS(nNOTA,nNIA,G789,nCUENTA,1,nASIG,"Conjunto"),"")))</f>
        <v/>
      </c>
      <c r="K789" t="str">
        <f>IF(G789="","",IF(G789="[FÓRMULA MANUAL]","",IFERROR(SUMPRODUCT((nNIA=G789)*(nCUENTA=1)*(COUNTIF(CONFIG_ASIGNATURAS!$B$7:$B$27,nASIG)&gt;0)*(nNOTA))/SUMPRODUCT((nNIA=G789)*(nCUENTA=1)*(COUNTIF(CONFIG_ASIGNATURAS!$B$7:$B$27,nASIG)&gt;0)*1),"")))</f>
        <v/>
      </c>
      <c r="N789" t="str">
        <f>IF(M789="","",IF(M789="[FÓRMULA MANUAL]","",IFERROR(AVERAGEIFS(nNOTA,nNIA,M789,nCUENTA,1,nASIG,"Armonía"),"")))</f>
        <v/>
      </c>
      <c r="O789" t="str">
        <f>IF(M789="","",IF(M789="[FÓRMULA MANUAL]","",IFERROR(AVERAGEIFS(nNOTA,nNIA,M789,nCUENTA,1,nASIG,"Orquesta/Banda/Conjunto"),"")))</f>
        <v/>
      </c>
      <c r="P789" t="str">
        <f>IF(M789="","",IF(M789="[FÓRMULA MANUAL]","",IFERROR(AVERAGEIFS(nNOTA,nNIA,M789,nCUENTA,1,nASIG,"Música de Cámara"),"")))</f>
        <v/>
      </c>
      <c r="Q789" t="str">
        <f>IF(M789="","",IF(M789="[FÓRMULA MANUAL]","",IFERROR(SUMPRODUCT((nNIA=M789)*(nCUENTA=1)*(COUNTIF(CONFIG_ASIGNATURAS!$B$7:$B$27,nASIG)&gt;0)*(nNOTA))/SUMPRODUCT((nNIA=M789)*(nCUENTA=1)*(COUNTIF(CONFIG_ASIGNATURAS!$B$7:$B$27,nASIG)&gt;0)*1),"")))</f>
        <v/>
      </c>
      <c r="T789" t="str">
        <f>IF(S789="","",IF(S789="[FÓRMULA MANUAL]","",IFERROR(AVERAGEIFS(nNOTA,nNIA,S789,nCUENTA,1,nASIG,"Armonía"),"")))</f>
        <v/>
      </c>
      <c r="U789" t="str">
        <f>IF(S789="","",IF(S789="[FÓRMULA MANUAL]","",IFERROR(AVERAGEIFS(nNOTA,nNIA,S789,nCUENTA,1,nASIG,"Orquesta/Banda/Conjunto"),"")))</f>
        <v/>
      </c>
      <c r="V789" t="str">
        <f>IF(S789="","",IF(S789="[FÓRMULA MANUAL]","",IFERROR(AVERAGEIFS(nNOTA,nNIA,S789,nCUENTA,1,nASIG,"Música de Cámara"),"")))</f>
        <v/>
      </c>
      <c r="W789" t="str">
        <f>IF(S789="","",IF(S789="[FÓRMULA MANUAL]","",IFERROR(SUMPRODUCT((nNIA=S789)*(nCUENTA=1)*(COUNTIF(CONFIG_ASIGNATURAS!$B$7:$B$27,nASIG)&gt;0)*(nNOTA))/SUMPRODUCT((nNIA=S789)*(nCUENTA=1)*(COUNTIF(CONFIG_ASIGNATURAS!$B$7:$B$27,nASIG)&gt;0)*1),"")))</f>
        <v/>
      </c>
      <c r="Z789" t="str">
        <f>IF(Y789="","",IF(Y789="[FÓRMULA MANUAL]","",IFERROR(AVERAGEIFS(nNOTA,nNIA,Y789,nCUENTA,1,nASIG,"Análisis"),"")))</f>
        <v/>
      </c>
      <c r="AA789" t="str">
        <f>IF(Y789="","",IF(Y789="[FÓRMULA MANUAL]","",IFERROR(AVERAGEIFS(nNOTA,nNIA,Y789,nCUENTA,1,nASIG,"Orquesta/Banda/Conjunto"),"")))</f>
        <v/>
      </c>
      <c r="AB789" t="str">
        <f>IF(Y789="","",IF(Y789="[FÓRMULA MANUAL]","",IFERROR(AVERAGEIFS(nNOTA,nNIA,Y789,nCUENTA,1,nASIG,"Música de Cámara"),"")))</f>
        <v/>
      </c>
      <c r="AC789" t="str">
        <f>IF(Y789="","",IF(Y789="[FÓRMULA MANUAL]","",IFERROR(SUMPRODUCT((nNIA=Y789)*(nCUENTA=1)*(COUNTIF(CONFIG_ASIGNATURAS!$B$7:$B$27,nASIG)&gt;0)*(nNOTA))/SUMPRODUCT((nNIA=Y789)*(nCUENTA=1)*(COUNTIF(CONFIG_ASIGNATURAS!$B$7:$B$27,nASIG)&gt;0)*1),"")))</f>
        <v/>
      </c>
      <c r="AF789" t="str">
        <f>IF(AE789="","",IF(AE789="[FÓRMULA MANUAL]","",IFERROR(AVERAGEIFS(nNOTA,nNIA,AE789,nCUENTA,1,nASIG,"Análisis"),"")))</f>
        <v/>
      </c>
      <c r="AG789" t="str">
        <f>IF(AE789="","",IF(AE789="[FÓRMULA MANUAL]","",IFERROR(AVERAGEIFS(nNOTA,nNIA,AE789,nCUENTA,1,nASIG,"Orquesta/Banda/Conjunto"),"")))</f>
        <v/>
      </c>
      <c r="AH789" t="str">
        <f>IF(AE789="","",IF(AE789="[FÓRMULA MANUAL]","",IFERROR(AVERAGEIFS(nNOTA,nNIA,AE789,nCUENTA,1,nASIG,"Música de Cámara"),"")))</f>
        <v/>
      </c>
      <c r="AI789" t="str">
        <f>IF(AE789="","",IF(AE789="[FÓRMULA MANUAL]","",IFERROR(SUMPRODUCT((nNIA=AE789)*(nCUENTA=1)*(COUNTIF(CONFIG_ASIGNATURAS!$B$7:$B$27,nASIG)&gt;0)*(nNOTA))/SUMPRODUCT((nNIA=AE789)*(nCUENTA=1)*(COUNTIF(CONFIG_ASIGNATURAS!$B$7:$B$27,nASIG)&gt;0)*1),"")))</f>
        <v/>
      </c>
    </row>
    <row r="790" spans="2:35" x14ac:dyDescent="0.2">
      <c r="B790" t="str">
        <f>IF(A790="","",IF(A790="[FÓRMULA MANUAL]","",IFERROR(AVERAGEIFS(nNOTA,nNIA,A790,nCUENTA,1,nASIG,"Lenguaje Musical"),"")))</f>
        <v/>
      </c>
      <c r="C790" t="str">
        <f>IF(A790="","",IF(A790="[FÓRMULA MANUAL]","",IFERROR(AVERAGEIFS(nNOTA,nNIA,A790,nCUENTA,1,nASIG,"Orquesta/Banda/Conjunto"),"")))</f>
        <v/>
      </c>
      <c r="D790" t="str">
        <f>IF(A790="","",IF(A790="[FÓRMULA MANUAL]","",IFERROR(AVERAGEIFS(nNOTA,nNIA,A790,nCUENTA,1,nASIG,"Conjunto"),"")))</f>
        <v/>
      </c>
      <c r="E790" t="str">
        <f>IF(A790="","",IF(A790="[FÓRMULA MANUAL]","",IFERROR(SUMPRODUCT((nNIA=A790)*(nCUENTA=1)*(COUNTIF(CONFIG_ASIGNATURAS!$B$7:$B$27,nASIG)&gt;0)*(nNOTA))/SUMPRODUCT((nNIA=A790)*(nCUENTA=1)*(COUNTIF(CONFIG_ASIGNATURAS!$B$7:$B$27,nASIG)&gt;0)*1),"")))</f>
        <v/>
      </c>
      <c r="H790" t="str">
        <f>IF(G790="","",IF(G790="[FÓRMULA MANUAL]","",IFERROR(AVERAGEIFS(nNOTA,nNIA,G790,nCUENTA,1,nASIG,"Lenguaje Musical"),"")))</f>
        <v/>
      </c>
      <c r="I790" t="str">
        <f>IF(G790="","",IF(G790="[FÓRMULA MANUAL]","",IFERROR(AVERAGEIFS(nNOTA,nNIA,G790,nCUENTA,1,nASIG,"Orquesta/Banda/Conjunto"),"")))</f>
        <v/>
      </c>
      <c r="J790" t="str">
        <f>IF(G790="","",IF(G790="[FÓRMULA MANUAL]","",IFERROR(AVERAGEIFS(nNOTA,nNIA,G790,nCUENTA,1,nASIG,"Conjunto"),"")))</f>
        <v/>
      </c>
      <c r="K790" t="str">
        <f>IF(G790="","",IF(G790="[FÓRMULA MANUAL]","",IFERROR(SUMPRODUCT((nNIA=G790)*(nCUENTA=1)*(COUNTIF(CONFIG_ASIGNATURAS!$B$7:$B$27,nASIG)&gt;0)*(nNOTA))/SUMPRODUCT((nNIA=G790)*(nCUENTA=1)*(COUNTIF(CONFIG_ASIGNATURAS!$B$7:$B$27,nASIG)&gt;0)*1),"")))</f>
        <v/>
      </c>
      <c r="N790" t="str">
        <f>IF(M790="","",IF(M790="[FÓRMULA MANUAL]","",IFERROR(AVERAGEIFS(nNOTA,nNIA,M790,nCUENTA,1,nASIG,"Armonía"),"")))</f>
        <v/>
      </c>
      <c r="O790" t="str">
        <f>IF(M790="","",IF(M790="[FÓRMULA MANUAL]","",IFERROR(AVERAGEIFS(nNOTA,nNIA,M790,nCUENTA,1,nASIG,"Orquesta/Banda/Conjunto"),"")))</f>
        <v/>
      </c>
      <c r="P790" t="str">
        <f>IF(M790="","",IF(M790="[FÓRMULA MANUAL]","",IFERROR(AVERAGEIFS(nNOTA,nNIA,M790,nCUENTA,1,nASIG,"Música de Cámara"),"")))</f>
        <v/>
      </c>
      <c r="Q790" t="str">
        <f>IF(M790="","",IF(M790="[FÓRMULA MANUAL]","",IFERROR(SUMPRODUCT((nNIA=M790)*(nCUENTA=1)*(COUNTIF(CONFIG_ASIGNATURAS!$B$7:$B$27,nASIG)&gt;0)*(nNOTA))/SUMPRODUCT((nNIA=M790)*(nCUENTA=1)*(COUNTIF(CONFIG_ASIGNATURAS!$B$7:$B$27,nASIG)&gt;0)*1),"")))</f>
        <v/>
      </c>
      <c r="T790" t="str">
        <f>IF(S790="","",IF(S790="[FÓRMULA MANUAL]","",IFERROR(AVERAGEIFS(nNOTA,nNIA,S790,nCUENTA,1,nASIG,"Armonía"),"")))</f>
        <v/>
      </c>
      <c r="U790" t="str">
        <f>IF(S790="","",IF(S790="[FÓRMULA MANUAL]","",IFERROR(AVERAGEIFS(nNOTA,nNIA,S790,nCUENTA,1,nASIG,"Orquesta/Banda/Conjunto"),"")))</f>
        <v/>
      </c>
      <c r="V790" t="str">
        <f>IF(S790="","",IF(S790="[FÓRMULA MANUAL]","",IFERROR(AVERAGEIFS(nNOTA,nNIA,S790,nCUENTA,1,nASIG,"Música de Cámara"),"")))</f>
        <v/>
      </c>
      <c r="W790" t="str">
        <f>IF(S790="","",IF(S790="[FÓRMULA MANUAL]","",IFERROR(SUMPRODUCT((nNIA=S790)*(nCUENTA=1)*(COUNTIF(CONFIG_ASIGNATURAS!$B$7:$B$27,nASIG)&gt;0)*(nNOTA))/SUMPRODUCT((nNIA=S790)*(nCUENTA=1)*(COUNTIF(CONFIG_ASIGNATURAS!$B$7:$B$27,nASIG)&gt;0)*1),"")))</f>
        <v/>
      </c>
      <c r="Z790" t="str">
        <f>IF(Y790="","",IF(Y790="[FÓRMULA MANUAL]","",IFERROR(AVERAGEIFS(nNOTA,nNIA,Y790,nCUENTA,1,nASIG,"Análisis"),"")))</f>
        <v/>
      </c>
      <c r="AA790" t="str">
        <f>IF(Y790="","",IF(Y790="[FÓRMULA MANUAL]","",IFERROR(AVERAGEIFS(nNOTA,nNIA,Y790,nCUENTA,1,nASIG,"Orquesta/Banda/Conjunto"),"")))</f>
        <v/>
      </c>
      <c r="AB790" t="str">
        <f>IF(Y790="","",IF(Y790="[FÓRMULA MANUAL]","",IFERROR(AVERAGEIFS(nNOTA,nNIA,Y790,nCUENTA,1,nASIG,"Música de Cámara"),"")))</f>
        <v/>
      </c>
      <c r="AC790" t="str">
        <f>IF(Y790="","",IF(Y790="[FÓRMULA MANUAL]","",IFERROR(SUMPRODUCT((nNIA=Y790)*(nCUENTA=1)*(COUNTIF(CONFIG_ASIGNATURAS!$B$7:$B$27,nASIG)&gt;0)*(nNOTA))/SUMPRODUCT((nNIA=Y790)*(nCUENTA=1)*(COUNTIF(CONFIG_ASIGNATURAS!$B$7:$B$27,nASIG)&gt;0)*1),"")))</f>
        <v/>
      </c>
      <c r="AF790" t="str">
        <f>IF(AE790="","",IF(AE790="[FÓRMULA MANUAL]","",IFERROR(AVERAGEIFS(nNOTA,nNIA,AE790,nCUENTA,1,nASIG,"Análisis"),"")))</f>
        <v/>
      </c>
      <c r="AG790" t="str">
        <f>IF(AE790="","",IF(AE790="[FÓRMULA MANUAL]","",IFERROR(AVERAGEIFS(nNOTA,nNIA,AE790,nCUENTA,1,nASIG,"Orquesta/Banda/Conjunto"),"")))</f>
        <v/>
      </c>
      <c r="AH790" t="str">
        <f>IF(AE790="","",IF(AE790="[FÓRMULA MANUAL]","",IFERROR(AVERAGEIFS(nNOTA,nNIA,AE790,nCUENTA,1,nASIG,"Música de Cámara"),"")))</f>
        <v/>
      </c>
      <c r="AI790" t="str">
        <f>IF(AE790="","",IF(AE790="[FÓRMULA MANUAL]","",IFERROR(SUMPRODUCT((nNIA=AE790)*(nCUENTA=1)*(COUNTIF(CONFIG_ASIGNATURAS!$B$7:$B$27,nASIG)&gt;0)*(nNOTA))/SUMPRODUCT((nNIA=AE790)*(nCUENTA=1)*(COUNTIF(CONFIG_ASIGNATURAS!$B$7:$B$27,nASIG)&gt;0)*1),"")))</f>
        <v/>
      </c>
    </row>
    <row r="791" spans="2:35" x14ac:dyDescent="0.2">
      <c r="B791" t="str">
        <f>IF(A791="","",IF(A791="[FÓRMULA MANUAL]","",IFERROR(AVERAGEIFS(nNOTA,nNIA,A791,nCUENTA,1,nASIG,"Lenguaje Musical"),"")))</f>
        <v/>
      </c>
      <c r="C791" t="str">
        <f>IF(A791="","",IF(A791="[FÓRMULA MANUAL]","",IFERROR(AVERAGEIFS(nNOTA,nNIA,A791,nCUENTA,1,nASIG,"Orquesta/Banda/Conjunto"),"")))</f>
        <v/>
      </c>
      <c r="D791" t="str">
        <f>IF(A791="","",IF(A791="[FÓRMULA MANUAL]","",IFERROR(AVERAGEIFS(nNOTA,nNIA,A791,nCUENTA,1,nASIG,"Conjunto"),"")))</f>
        <v/>
      </c>
      <c r="E791" t="str">
        <f>IF(A791="","",IF(A791="[FÓRMULA MANUAL]","",IFERROR(SUMPRODUCT((nNIA=A791)*(nCUENTA=1)*(COUNTIF(CONFIG_ASIGNATURAS!$B$7:$B$27,nASIG)&gt;0)*(nNOTA))/SUMPRODUCT((nNIA=A791)*(nCUENTA=1)*(COUNTIF(CONFIG_ASIGNATURAS!$B$7:$B$27,nASIG)&gt;0)*1),"")))</f>
        <v/>
      </c>
      <c r="H791" t="str">
        <f>IF(G791="","",IF(G791="[FÓRMULA MANUAL]","",IFERROR(AVERAGEIFS(nNOTA,nNIA,G791,nCUENTA,1,nASIG,"Lenguaje Musical"),"")))</f>
        <v/>
      </c>
      <c r="I791" t="str">
        <f>IF(G791="","",IF(G791="[FÓRMULA MANUAL]","",IFERROR(AVERAGEIFS(nNOTA,nNIA,G791,nCUENTA,1,nASIG,"Orquesta/Banda/Conjunto"),"")))</f>
        <v/>
      </c>
      <c r="J791" t="str">
        <f>IF(G791="","",IF(G791="[FÓRMULA MANUAL]","",IFERROR(AVERAGEIFS(nNOTA,nNIA,G791,nCUENTA,1,nASIG,"Conjunto"),"")))</f>
        <v/>
      </c>
      <c r="K791" t="str">
        <f>IF(G791="","",IF(G791="[FÓRMULA MANUAL]","",IFERROR(SUMPRODUCT((nNIA=G791)*(nCUENTA=1)*(COUNTIF(CONFIG_ASIGNATURAS!$B$7:$B$27,nASIG)&gt;0)*(nNOTA))/SUMPRODUCT((nNIA=G791)*(nCUENTA=1)*(COUNTIF(CONFIG_ASIGNATURAS!$B$7:$B$27,nASIG)&gt;0)*1),"")))</f>
        <v/>
      </c>
      <c r="N791" t="str">
        <f>IF(M791="","",IF(M791="[FÓRMULA MANUAL]","",IFERROR(AVERAGEIFS(nNOTA,nNIA,M791,nCUENTA,1,nASIG,"Armonía"),"")))</f>
        <v/>
      </c>
      <c r="O791" t="str">
        <f>IF(M791="","",IF(M791="[FÓRMULA MANUAL]","",IFERROR(AVERAGEIFS(nNOTA,nNIA,M791,nCUENTA,1,nASIG,"Orquesta/Banda/Conjunto"),"")))</f>
        <v/>
      </c>
      <c r="P791" t="str">
        <f>IF(M791="","",IF(M791="[FÓRMULA MANUAL]","",IFERROR(AVERAGEIFS(nNOTA,nNIA,M791,nCUENTA,1,nASIG,"Música de Cámara"),"")))</f>
        <v/>
      </c>
      <c r="Q791" t="str">
        <f>IF(M791="","",IF(M791="[FÓRMULA MANUAL]","",IFERROR(SUMPRODUCT((nNIA=M791)*(nCUENTA=1)*(COUNTIF(CONFIG_ASIGNATURAS!$B$7:$B$27,nASIG)&gt;0)*(nNOTA))/SUMPRODUCT((nNIA=M791)*(nCUENTA=1)*(COUNTIF(CONFIG_ASIGNATURAS!$B$7:$B$27,nASIG)&gt;0)*1),"")))</f>
        <v/>
      </c>
      <c r="T791" t="str">
        <f>IF(S791="","",IF(S791="[FÓRMULA MANUAL]","",IFERROR(AVERAGEIFS(nNOTA,nNIA,S791,nCUENTA,1,nASIG,"Armonía"),"")))</f>
        <v/>
      </c>
      <c r="U791" t="str">
        <f>IF(S791="","",IF(S791="[FÓRMULA MANUAL]","",IFERROR(AVERAGEIFS(nNOTA,nNIA,S791,nCUENTA,1,nASIG,"Orquesta/Banda/Conjunto"),"")))</f>
        <v/>
      </c>
      <c r="V791" t="str">
        <f>IF(S791="","",IF(S791="[FÓRMULA MANUAL]","",IFERROR(AVERAGEIFS(nNOTA,nNIA,S791,nCUENTA,1,nASIG,"Música de Cámara"),"")))</f>
        <v/>
      </c>
      <c r="W791" t="str">
        <f>IF(S791="","",IF(S791="[FÓRMULA MANUAL]","",IFERROR(SUMPRODUCT((nNIA=S791)*(nCUENTA=1)*(COUNTIF(CONFIG_ASIGNATURAS!$B$7:$B$27,nASIG)&gt;0)*(nNOTA))/SUMPRODUCT((nNIA=S791)*(nCUENTA=1)*(COUNTIF(CONFIG_ASIGNATURAS!$B$7:$B$27,nASIG)&gt;0)*1),"")))</f>
        <v/>
      </c>
      <c r="Z791" t="str">
        <f>IF(Y791="","",IF(Y791="[FÓRMULA MANUAL]","",IFERROR(AVERAGEIFS(nNOTA,nNIA,Y791,nCUENTA,1,nASIG,"Análisis"),"")))</f>
        <v/>
      </c>
      <c r="AA791" t="str">
        <f>IF(Y791="","",IF(Y791="[FÓRMULA MANUAL]","",IFERROR(AVERAGEIFS(nNOTA,nNIA,Y791,nCUENTA,1,nASIG,"Orquesta/Banda/Conjunto"),"")))</f>
        <v/>
      </c>
      <c r="AB791" t="str">
        <f>IF(Y791="","",IF(Y791="[FÓRMULA MANUAL]","",IFERROR(AVERAGEIFS(nNOTA,nNIA,Y791,nCUENTA,1,nASIG,"Música de Cámara"),"")))</f>
        <v/>
      </c>
      <c r="AC791" t="str">
        <f>IF(Y791="","",IF(Y791="[FÓRMULA MANUAL]","",IFERROR(SUMPRODUCT((nNIA=Y791)*(nCUENTA=1)*(COUNTIF(CONFIG_ASIGNATURAS!$B$7:$B$27,nASIG)&gt;0)*(nNOTA))/SUMPRODUCT((nNIA=Y791)*(nCUENTA=1)*(COUNTIF(CONFIG_ASIGNATURAS!$B$7:$B$27,nASIG)&gt;0)*1),"")))</f>
        <v/>
      </c>
      <c r="AF791" t="str">
        <f>IF(AE791="","",IF(AE791="[FÓRMULA MANUAL]","",IFERROR(AVERAGEIFS(nNOTA,nNIA,AE791,nCUENTA,1,nASIG,"Análisis"),"")))</f>
        <v/>
      </c>
      <c r="AG791" t="str">
        <f>IF(AE791="","",IF(AE791="[FÓRMULA MANUAL]","",IFERROR(AVERAGEIFS(nNOTA,nNIA,AE791,nCUENTA,1,nASIG,"Orquesta/Banda/Conjunto"),"")))</f>
        <v/>
      </c>
      <c r="AH791" t="str">
        <f>IF(AE791="","",IF(AE791="[FÓRMULA MANUAL]","",IFERROR(AVERAGEIFS(nNOTA,nNIA,AE791,nCUENTA,1,nASIG,"Música de Cámara"),"")))</f>
        <v/>
      </c>
      <c r="AI791" t="str">
        <f>IF(AE791="","",IF(AE791="[FÓRMULA MANUAL]","",IFERROR(SUMPRODUCT((nNIA=AE791)*(nCUENTA=1)*(COUNTIF(CONFIG_ASIGNATURAS!$B$7:$B$27,nASIG)&gt;0)*(nNOTA))/SUMPRODUCT((nNIA=AE791)*(nCUENTA=1)*(COUNTIF(CONFIG_ASIGNATURAS!$B$7:$B$27,nASIG)&gt;0)*1),"")))</f>
        <v/>
      </c>
    </row>
    <row r="792" spans="2:35" x14ac:dyDescent="0.2">
      <c r="B792" t="str">
        <f>IF(A792="","",IF(A792="[FÓRMULA MANUAL]","",IFERROR(AVERAGEIFS(nNOTA,nNIA,A792,nCUENTA,1,nASIG,"Lenguaje Musical"),"")))</f>
        <v/>
      </c>
      <c r="C792" t="str">
        <f>IF(A792="","",IF(A792="[FÓRMULA MANUAL]","",IFERROR(AVERAGEIFS(nNOTA,nNIA,A792,nCUENTA,1,nASIG,"Orquesta/Banda/Conjunto"),"")))</f>
        <v/>
      </c>
      <c r="D792" t="str">
        <f>IF(A792="","",IF(A792="[FÓRMULA MANUAL]","",IFERROR(AVERAGEIFS(nNOTA,nNIA,A792,nCUENTA,1,nASIG,"Conjunto"),"")))</f>
        <v/>
      </c>
      <c r="E792" t="str">
        <f>IF(A792="","",IF(A792="[FÓRMULA MANUAL]","",IFERROR(SUMPRODUCT((nNIA=A792)*(nCUENTA=1)*(COUNTIF(CONFIG_ASIGNATURAS!$B$7:$B$27,nASIG)&gt;0)*(nNOTA))/SUMPRODUCT((nNIA=A792)*(nCUENTA=1)*(COUNTIF(CONFIG_ASIGNATURAS!$B$7:$B$27,nASIG)&gt;0)*1),"")))</f>
        <v/>
      </c>
      <c r="H792" t="str">
        <f>IF(G792="","",IF(G792="[FÓRMULA MANUAL]","",IFERROR(AVERAGEIFS(nNOTA,nNIA,G792,nCUENTA,1,nASIG,"Lenguaje Musical"),"")))</f>
        <v/>
      </c>
      <c r="I792" t="str">
        <f>IF(G792="","",IF(G792="[FÓRMULA MANUAL]","",IFERROR(AVERAGEIFS(nNOTA,nNIA,G792,nCUENTA,1,nASIG,"Orquesta/Banda/Conjunto"),"")))</f>
        <v/>
      </c>
      <c r="J792" t="str">
        <f>IF(G792="","",IF(G792="[FÓRMULA MANUAL]","",IFERROR(AVERAGEIFS(nNOTA,nNIA,G792,nCUENTA,1,nASIG,"Conjunto"),"")))</f>
        <v/>
      </c>
      <c r="K792" t="str">
        <f>IF(G792="","",IF(G792="[FÓRMULA MANUAL]","",IFERROR(SUMPRODUCT((nNIA=G792)*(nCUENTA=1)*(COUNTIF(CONFIG_ASIGNATURAS!$B$7:$B$27,nASIG)&gt;0)*(nNOTA))/SUMPRODUCT((nNIA=G792)*(nCUENTA=1)*(COUNTIF(CONFIG_ASIGNATURAS!$B$7:$B$27,nASIG)&gt;0)*1),"")))</f>
        <v/>
      </c>
      <c r="N792" t="str">
        <f>IF(M792="","",IF(M792="[FÓRMULA MANUAL]","",IFERROR(AVERAGEIFS(nNOTA,nNIA,M792,nCUENTA,1,nASIG,"Armonía"),"")))</f>
        <v/>
      </c>
      <c r="O792" t="str">
        <f>IF(M792="","",IF(M792="[FÓRMULA MANUAL]","",IFERROR(AVERAGEIFS(nNOTA,nNIA,M792,nCUENTA,1,nASIG,"Orquesta/Banda/Conjunto"),"")))</f>
        <v/>
      </c>
      <c r="P792" t="str">
        <f>IF(M792="","",IF(M792="[FÓRMULA MANUAL]","",IFERROR(AVERAGEIFS(nNOTA,nNIA,M792,nCUENTA,1,nASIG,"Música de Cámara"),"")))</f>
        <v/>
      </c>
      <c r="Q792" t="str">
        <f>IF(M792="","",IF(M792="[FÓRMULA MANUAL]","",IFERROR(SUMPRODUCT((nNIA=M792)*(nCUENTA=1)*(COUNTIF(CONFIG_ASIGNATURAS!$B$7:$B$27,nASIG)&gt;0)*(nNOTA))/SUMPRODUCT((nNIA=M792)*(nCUENTA=1)*(COUNTIF(CONFIG_ASIGNATURAS!$B$7:$B$27,nASIG)&gt;0)*1),"")))</f>
        <v/>
      </c>
      <c r="T792" t="str">
        <f>IF(S792="","",IF(S792="[FÓRMULA MANUAL]","",IFERROR(AVERAGEIFS(nNOTA,nNIA,S792,nCUENTA,1,nASIG,"Armonía"),"")))</f>
        <v/>
      </c>
      <c r="U792" t="str">
        <f>IF(S792="","",IF(S792="[FÓRMULA MANUAL]","",IFERROR(AVERAGEIFS(nNOTA,nNIA,S792,nCUENTA,1,nASIG,"Orquesta/Banda/Conjunto"),"")))</f>
        <v/>
      </c>
      <c r="V792" t="str">
        <f>IF(S792="","",IF(S792="[FÓRMULA MANUAL]","",IFERROR(AVERAGEIFS(nNOTA,nNIA,S792,nCUENTA,1,nASIG,"Música de Cámara"),"")))</f>
        <v/>
      </c>
      <c r="W792" t="str">
        <f>IF(S792="","",IF(S792="[FÓRMULA MANUAL]","",IFERROR(SUMPRODUCT((nNIA=S792)*(nCUENTA=1)*(COUNTIF(CONFIG_ASIGNATURAS!$B$7:$B$27,nASIG)&gt;0)*(nNOTA))/SUMPRODUCT((nNIA=S792)*(nCUENTA=1)*(COUNTIF(CONFIG_ASIGNATURAS!$B$7:$B$27,nASIG)&gt;0)*1),"")))</f>
        <v/>
      </c>
      <c r="Z792" t="str">
        <f>IF(Y792="","",IF(Y792="[FÓRMULA MANUAL]","",IFERROR(AVERAGEIFS(nNOTA,nNIA,Y792,nCUENTA,1,nASIG,"Análisis"),"")))</f>
        <v/>
      </c>
      <c r="AA792" t="str">
        <f>IF(Y792="","",IF(Y792="[FÓRMULA MANUAL]","",IFERROR(AVERAGEIFS(nNOTA,nNIA,Y792,nCUENTA,1,nASIG,"Orquesta/Banda/Conjunto"),"")))</f>
        <v/>
      </c>
      <c r="AB792" t="str">
        <f>IF(Y792="","",IF(Y792="[FÓRMULA MANUAL]","",IFERROR(AVERAGEIFS(nNOTA,nNIA,Y792,nCUENTA,1,nASIG,"Música de Cámara"),"")))</f>
        <v/>
      </c>
      <c r="AC792" t="str">
        <f>IF(Y792="","",IF(Y792="[FÓRMULA MANUAL]","",IFERROR(SUMPRODUCT((nNIA=Y792)*(nCUENTA=1)*(COUNTIF(CONFIG_ASIGNATURAS!$B$7:$B$27,nASIG)&gt;0)*(nNOTA))/SUMPRODUCT((nNIA=Y792)*(nCUENTA=1)*(COUNTIF(CONFIG_ASIGNATURAS!$B$7:$B$27,nASIG)&gt;0)*1),"")))</f>
        <v/>
      </c>
      <c r="AF792" t="str">
        <f>IF(AE792="","",IF(AE792="[FÓRMULA MANUAL]","",IFERROR(AVERAGEIFS(nNOTA,nNIA,AE792,nCUENTA,1,nASIG,"Análisis"),"")))</f>
        <v/>
      </c>
      <c r="AG792" t="str">
        <f>IF(AE792="","",IF(AE792="[FÓRMULA MANUAL]","",IFERROR(AVERAGEIFS(nNOTA,nNIA,AE792,nCUENTA,1,nASIG,"Orquesta/Banda/Conjunto"),"")))</f>
        <v/>
      </c>
      <c r="AH792" t="str">
        <f>IF(AE792="","",IF(AE792="[FÓRMULA MANUAL]","",IFERROR(AVERAGEIFS(nNOTA,nNIA,AE792,nCUENTA,1,nASIG,"Música de Cámara"),"")))</f>
        <v/>
      </c>
      <c r="AI792" t="str">
        <f>IF(AE792="","",IF(AE792="[FÓRMULA MANUAL]","",IFERROR(SUMPRODUCT((nNIA=AE792)*(nCUENTA=1)*(COUNTIF(CONFIG_ASIGNATURAS!$B$7:$B$27,nASIG)&gt;0)*(nNOTA))/SUMPRODUCT((nNIA=AE792)*(nCUENTA=1)*(COUNTIF(CONFIG_ASIGNATURAS!$B$7:$B$27,nASIG)&gt;0)*1),"")))</f>
        <v/>
      </c>
    </row>
    <row r="793" spans="2:35" x14ac:dyDescent="0.2">
      <c r="B793" t="str">
        <f>IF(A793="","",IF(A793="[FÓRMULA MANUAL]","",IFERROR(AVERAGEIFS(nNOTA,nNIA,A793,nCUENTA,1,nASIG,"Lenguaje Musical"),"")))</f>
        <v/>
      </c>
      <c r="C793" t="str">
        <f>IF(A793="","",IF(A793="[FÓRMULA MANUAL]","",IFERROR(AVERAGEIFS(nNOTA,nNIA,A793,nCUENTA,1,nASIG,"Orquesta/Banda/Conjunto"),"")))</f>
        <v/>
      </c>
      <c r="D793" t="str">
        <f>IF(A793="","",IF(A793="[FÓRMULA MANUAL]","",IFERROR(AVERAGEIFS(nNOTA,nNIA,A793,nCUENTA,1,nASIG,"Conjunto"),"")))</f>
        <v/>
      </c>
      <c r="E793" t="str">
        <f>IF(A793="","",IF(A793="[FÓRMULA MANUAL]","",IFERROR(SUMPRODUCT((nNIA=A793)*(nCUENTA=1)*(COUNTIF(CONFIG_ASIGNATURAS!$B$7:$B$27,nASIG)&gt;0)*(nNOTA))/SUMPRODUCT((nNIA=A793)*(nCUENTA=1)*(COUNTIF(CONFIG_ASIGNATURAS!$B$7:$B$27,nASIG)&gt;0)*1),"")))</f>
        <v/>
      </c>
      <c r="H793" t="str">
        <f>IF(G793="","",IF(G793="[FÓRMULA MANUAL]","",IFERROR(AVERAGEIFS(nNOTA,nNIA,G793,nCUENTA,1,nASIG,"Lenguaje Musical"),"")))</f>
        <v/>
      </c>
      <c r="I793" t="str">
        <f>IF(G793="","",IF(G793="[FÓRMULA MANUAL]","",IFERROR(AVERAGEIFS(nNOTA,nNIA,G793,nCUENTA,1,nASIG,"Orquesta/Banda/Conjunto"),"")))</f>
        <v/>
      </c>
      <c r="J793" t="str">
        <f>IF(G793="","",IF(G793="[FÓRMULA MANUAL]","",IFERROR(AVERAGEIFS(nNOTA,nNIA,G793,nCUENTA,1,nASIG,"Conjunto"),"")))</f>
        <v/>
      </c>
      <c r="K793" t="str">
        <f>IF(G793="","",IF(G793="[FÓRMULA MANUAL]","",IFERROR(SUMPRODUCT((nNIA=G793)*(nCUENTA=1)*(COUNTIF(CONFIG_ASIGNATURAS!$B$7:$B$27,nASIG)&gt;0)*(nNOTA))/SUMPRODUCT((nNIA=G793)*(nCUENTA=1)*(COUNTIF(CONFIG_ASIGNATURAS!$B$7:$B$27,nASIG)&gt;0)*1),"")))</f>
        <v/>
      </c>
      <c r="N793" t="str">
        <f>IF(M793="","",IF(M793="[FÓRMULA MANUAL]","",IFERROR(AVERAGEIFS(nNOTA,nNIA,M793,nCUENTA,1,nASIG,"Armonía"),"")))</f>
        <v/>
      </c>
      <c r="O793" t="str">
        <f>IF(M793="","",IF(M793="[FÓRMULA MANUAL]","",IFERROR(AVERAGEIFS(nNOTA,nNIA,M793,nCUENTA,1,nASIG,"Orquesta/Banda/Conjunto"),"")))</f>
        <v/>
      </c>
      <c r="P793" t="str">
        <f>IF(M793="","",IF(M793="[FÓRMULA MANUAL]","",IFERROR(AVERAGEIFS(nNOTA,nNIA,M793,nCUENTA,1,nASIG,"Música de Cámara"),"")))</f>
        <v/>
      </c>
      <c r="Q793" t="str">
        <f>IF(M793="","",IF(M793="[FÓRMULA MANUAL]","",IFERROR(SUMPRODUCT((nNIA=M793)*(nCUENTA=1)*(COUNTIF(CONFIG_ASIGNATURAS!$B$7:$B$27,nASIG)&gt;0)*(nNOTA))/SUMPRODUCT((nNIA=M793)*(nCUENTA=1)*(COUNTIF(CONFIG_ASIGNATURAS!$B$7:$B$27,nASIG)&gt;0)*1),"")))</f>
        <v/>
      </c>
      <c r="T793" t="str">
        <f>IF(S793="","",IF(S793="[FÓRMULA MANUAL]","",IFERROR(AVERAGEIFS(nNOTA,nNIA,S793,nCUENTA,1,nASIG,"Armonía"),"")))</f>
        <v/>
      </c>
      <c r="U793" t="str">
        <f>IF(S793="","",IF(S793="[FÓRMULA MANUAL]","",IFERROR(AVERAGEIFS(nNOTA,nNIA,S793,nCUENTA,1,nASIG,"Orquesta/Banda/Conjunto"),"")))</f>
        <v/>
      </c>
      <c r="V793" t="str">
        <f>IF(S793="","",IF(S793="[FÓRMULA MANUAL]","",IFERROR(AVERAGEIFS(nNOTA,nNIA,S793,nCUENTA,1,nASIG,"Música de Cámara"),"")))</f>
        <v/>
      </c>
      <c r="W793" t="str">
        <f>IF(S793="","",IF(S793="[FÓRMULA MANUAL]","",IFERROR(SUMPRODUCT((nNIA=S793)*(nCUENTA=1)*(COUNTIF(CONFIG_ASIGNATURAS!$B$7:$B$27,nASIG)&gt;0)*(nNOTA))/SUMPRODUCT((nNIA=S793)*(nCUENTA=1)*(COUNTIF(CONFIG_ASIGNATURAS!$B$7:$B$27,nASIG)&gt;0)*1),"")))</f>
        <v/>
      </c>
      <c r="Z793" t="str">
        <f>IF(Y793="","",IF(Y793="[FÓRMULA MANUAL]","",IFERROR(AVERAGEIFS(nNOTA,nNIA,Y793,nCUENTA,1,nASIG,"Análisis"),"")))</f>
        <v/>
      </c>
      <c r="AA793" t="str">
        <f>IF(Y793="","",IF(Y793="[FÓRMULA MANUAL]","",IFERROR(AVERAGEIFS(nNOTA,nNIA,Y793,nCUENTA,1,nASIG,"Orquesta/Banda/Conjunto"),"")))</f>
        <v/>
      </c>
      <c r="AB793" t="str">
        <f>IF(Y793="","",IF(Y793="[FÓRMULA MANUAL]","",IFERROR(AVERAGEIFS(nNOTA,nNIA,Y793,nCUENTA,1,nASIG,"Música de Cámara"),"")))</f>
        <v/>
      </c>
      <c r="AC793" t="str">
        <f>IF(Y793="","",IF(Y793="[FÓRMULA MANUAL]","",IFERROR(SUMPRODUCT((nNIA=Y793)*(nCUENTA=1)*(COUNTIF(CONFIG_ASIGNATURAS!$B$7:$B$27,nASIG)&gt;0)*(nNOTA))/SUMPRODUCT((nNIA=Y793)*(nCUENTA=1)*(COUNTIF(CONFIG_ASIGNATURAS!$B$7:$B$27,nASIG)&gt;0)*1),"")))</f>
        <v/>
      </c>
      <c r="AF793" t="str">
        <f>IF(AE793="","",IF(AE793="[FÓRMULA MANUAL]","",IFERROR(AVERAGEIFS(nNOTA,nNIA,AE793,nCUENTA,1,nASIG,"Análisis"),"")))</f>
        <v/>
      </c>
      <c r="AG793" t="str">
        <f>IF(AE793="","",IF(AE793="[FÓRMULA MANUAL]","",IFERROR(AVERAGEIFS(nNOTA,nNIA,AE793,nCUENTA,1,nASIG,"Orquesta/Banda/Conjunto"),"")))</f>
        <v/>
      </c>
      <c r="AH793" t="str">
        <f>IF(AE793="","",IF(AE793="[FÓRMULA MANUAL]","",IFERROR(AVERAGEIFS(nNOTA,nNIA,AE793,nCUENTA,1,nASIG,"Música de Cámara"),"")))</f>
        <v/>
      </c>
      <c r="AI793" t="str">
        <f>IF(AE793="","",IF(AE793="[FÓRMULA MANUAL]","",IFERROR(SUMPRODUCT((nNIA=AE793)*(nCUENTA=1)*(COUNTIF(CONFIG_ASIGNATURAS!$B$7:$B$27,nASIG)&gt;0)*(nNOTA))/SUMPRODUCT((nNIA=AE793)*(nCUENTA=1)*(COUNTIF(CONFIG_ASIGNATURAS!$B$7:$B$27,nASIG)&gt;0)*1),"")))</f>
        <v/>
      </c>
    </row>
    <row r="794" spans="2:35" x14ac:dyDescent="0.2">
      <c r="B794" t="str">
        <f>IF(A794="","",IF(A794="[FÓRMULA MANUAL]","",IFERROR(AVERAGEIFS(nNOTA,nNIA,A794,nCUENTA,1,nASIG,"Lenguaje Musical"),"")))</f>
        <v/>
      </c>
      <c r="C794" t="str">
        <f>IF(A794="","",IF(A794="[FÓRMULA MANUAL]","",IFERROR(AVERAGEIFS(nNOTA,nNIA,A794,nCUENTA,1,nASIG,"Orquesta/Banda/Conjunto"),"")))</f>
        <v/>
      </c>
      <c r="D794" t="str">
        <f>IF(A794="","",IF(A794="[FÓRMULA MANUAL]","",IFERROR(AVERAGEIFS(nNOTA,nNIA,A794,nCUENTA,1,nASIG,"Conjunto"),"")))</f>
        <v/>
      </c>
      <c r="E794" t="str">
        <f>IF(A794="","",IF(A794="[FÓRMULA MANUAL]","",IFERROR(SUMPRODUCT((nNIA=A794)*(nCUENTA=1)*(COUNTIF(CONFIG_ASIGNATURAS!$B$7:$B$27,nASIG)&gt;0)*(nNOTA))/SUMPRODUCT((nNIA=A794)*(nCUENTA=1)*(COUNTIF(CONFIG_ASIGNATURAS!$B$7:$B$27,nASIG)&gt;0)*1),"")))</f>
        <v/>
      </c>
      <c r="H794" t="str">
        <f>IF(G794="","",IF(G794="[FÓRMULA MANUAL]","",IFERROR(AVERAGEIFS(nNOTA,nNIA,G794,nCUENTA,1,nASIG,"Lenguaje Musical"),"")))</f>
        <v/>
      </c>
      <c r="I794" t="str">
        <f>IF(G794="","",IF(G794="[FÓRMULA MANUAL]","",IFERROR(AVERAGEIFS(nNOTA,nNIA,G794,nCUENTA,1,nASIG,"Orquesta/Banda/Conjunto"),"")))</f>
        <v/>
      </c>
      <c r="J794" t="str">
        <f>IF(G794="","",IF(G794="[FÓRMULA MANUAL]","",IFERROR(AVERAGEIFS(nNOTA,nNIA,G794,nCUENTA,1,nASIG,"Conjunto"),"")))</f>
        <v/>
      </c>
      <c r="K794" t="str">
        <f>IF(G794="","",IF(G794="[FÓRMULA MANUAL]","",IFERROR(SUMPRODUCT((nNIA=G794)*(nCUENTA=1)*(COUNTIF(CONFIG_ASIGNATURAS!$B$7:$B$27,nASIG)&gt;0)*(nNOTA))/SUMPRODUCT((nNIA=G794)*(nCUENTA=1)*(COUNTIF(CONFIG_ASIGNATURAS!$B$7:$B$27,nASIG)&gt;0)*1),"")))</f>
        <v/>
      </c>
      <c r="N794" t="str">
        <f>IF(M794="","",IF(M794="[FÓRMULA MANUAL]","",IFERROR(AVERAGEIFS(nNOTA,nNIA,M794,nCUENTA,1,nASIG,"Armonía"),"")))</f>
        <v/>
      </c>
      <c r="O794" t="str">
        <f>IF(M794="","",IF(M794="[FÓRMULA MANUAL]","",IFERROR(AVERAGEIFS(nNOTA,nNIA,M794,nCUENTA,1,nASIG,"Orquesta/Banda/Conjunto"),"")))</f>
        <v/>
      </c>
      <c r="P794" t="str">
        <f>IF(M794="","",IF(M794="[FÓRMULA MANUAL]","",IFERROR(AVERAGEIFS(nNOTA,nNIA,M794,nCUENTA,1,nASIG,"Música de Cámara"),"")))</f>
        <v/>
      </c>
      <c r="Q794" t="str">
        <f>IF(M794="","",IF(M794="[FÓRMULA MANUAL]","",IFERROR(SUMPRODUCT((nNIA=M794)*(nCUENTA=1)*(COUNTIF(CONFIG_ASIGNATURAS!$B$7:$B$27,nASIG)&gt;0)*(nNOTA))/SUMPRODUCT((nNIA=M794)*(nCUENTA=1)*(COUNTIF(CONFIG_ASIGNATURAS!$B$7:$B$27,nASIG)&gt;0)*1),"")))</f>
        <v/>
      </c>
      <c r="T794" t="str">
        <f>IF(S794="","",IF(S794="[FÓRMULA MANUAL]","",IFERROR(AVERAGEIFS(nNOTA,nNIA,S794,nCUENTA,1,nASIG,"Armonía"),"")))</f>
        <v/>
      </c>
      <c r="U794" t="str">
        <f>IF(S794="","",IF(S794="[FÓRMULA MANUAL]","",IFERROR(AVERAGEIFS(nNOTA,nNIA,S794,nCUENTA,1,nASIG,"Orquesta/Banda/Conjunto"),"")))</f>
        <v/>
      </c>
      <c r="V794" t="str">
        <f>IF(S794="","",IF(S794="[FÓRMULA MANUAL]","",IFERROR(AVERAGEIFS(nNOTA,nNIA,S794,nCUENTA,1,nASIG,"Música de Cámara"),"")))</f>
        <v/>
      </c>
      <c r="W794" t="str">
        <f>IF(S794="","",IF(S794="[FÓRMULA MANUAL]","",IFERROR(SUMPRODUCT((nNIA=S794)*(nCUENTA=1)*(COUNTIF(CONFIG_ASIGNATURAS!$B$7:$B$27,nASIG)&gt;0)*(nNOTA))/SUMPRODUCT((nNIA=S794)*(nCUENTA=1)*(COUNTIF(CONFIG_ASIGNATURAS!$B$7:$B$27,nASIG)&gt;0)*1),"")))</f>
        <v/>
      </c>
      <c r="Z794" t="str">
        <f>IF(Y794="","",IF(Y794="[FÓRMULA MANUAL]","",IFERROR(AVERAGEIFS(nNOTA,nNIA,Y794,nCUENTA,1,nASIG,"Análisis"),"")))</f>
        <v/>
      </c>
      <c r="AA794" t="str">
        <f>IF(Y794="","",IF(Y794="[FÓRMULA MANUAL]","",IFERROR(AVERAGEIFS(nNOTA,nNIA,Y794,nCUENTA,1,nASIG,"Orquesta/Banda/Conjunto"),"")))</f>
        <v/>
      </c>
      <c r="AB794" t="str">
        <f>IF(Y794="","",IF(Y794="[FÓRMULA MANUAL]","",IFERROR(AVERAGEIFS(nNOTA,nNIA,Y794,nCUENTA,1,nASIG,"Música de Cámara"),"")))</f>
        <v/>
      </c>
      <c r="AC794" t="str">
        <f>IF(Y794="","",IF(Y794="[FÓRMULA MANUAL]","",IFERROR(SUMPRODUCT((nNIA=Y794)*(nCUENTA=1)*(COUNTIF(CONFIG_ASIGNATURAS!$B$7:$B$27,nASIG)&gt;0)*(nNOTA))/SUMPRODUCT((nNIA=Y794)*(nCUENTA=1)*(COUNTIF(CONFIG_ASIGNATURAS!$B$7:$B$27,nASIG)&gt;0)*1),"")))</f>
        <v/>
      </c>
      <c r="AF794" t="str">
        <f>IF(AE794="","",IF(AE794="[FÓRMULA MANUAL]","",IFERROR(AVERAGEIFS(nNOTA,nNIA,AE794,nCUENTA,1,nASIG,"Análisis"),"")))</f>
        <v/>
      </c>
      <c r="AG794" t="str">
        <f>IF(AE794="","",IF(AE794="[FÓRMULA MANUAL]","",IFERROR(AVERAGEIFS(nNOTA,nNIA,AE794,nCUENTA,1,nASIG,"Orquesta/Banda/Conjunto"),"")))</f>
        <v/>
      </c>
      <c r="AH794" t="str">
        <f>IF(AE794="","",IF(AE794="[FÓRMULA MANUAL]","",IFERROR(AVERAGEIFS(nNOTA,nNIA,AE794,nCUENTA,1,nASIG,"Música de Cámara"),"")))</f>
        <v/>
      </c>
      <c r="AI794" t="str">
        <f>IF(AE794="","",IF(AE794="[FÓRMULA MANUAL]","",IFERROR(SUMPRODUCT((nNIA=AE794)*(nCUENTA=1)*(COUNTIF(CONFIG_ASIGNATURAS!$B$7:$B$27,nASIG)&gt;0)*(nNOTA))/SUMPRODUCT((nNIA=AE794)*(nCUENTA=1)*(COUNTIF(CONFIG_ASIGNATURAS!$B$7:$B$27,nASIG)&gt;0)*1),"")))</f>
        <v/>
      </c>
    </row>
    <row r="795" spans="2:35" x14ac:dyDescent="0.2">
      <c r="B795" t="str">
        <f>IF(A795="","",IF(A795="[FÓRMULA MANUAL]","",IFERROR(AVERAGEIFS(nNOTA,nNIA,A795,nCUENTA,1,nASIG,"Lenguaje Musical"),"")))</f>
        <v/>
      </c>
      <c r="C795" t="str">
        <f>IF(A795="","",IF(A795="[FÓRMULA MANUAL]","",IFERROR(AVERAGEIFS(nNOTA,nNIA,A795,nCUENTA,1,nASIG,"Orquesta/Banda/Conjunto"),"")))</f>
        <v/>
      </c>
      <c r="D795" t="str">
        <f>IF(A795="","",IF(A795="[FÓRMULA MANUAL]","",IFERROR(AVERAGEIFS(nNOTA,nNIA,A795,nCUENTA,1,nASIG,"Conjunto"),"")))</f>
        <v/>
      </c>
      <c r="E795" t="str">
        <f>IF(A795="","",IF(A795="[FÓRMULA MANUAL]","",IFERROR(SUMPRODUCT((nNIA=A795)*(nCUENTA=1)*(COUNTIF(CONFIG_ASIGNATURAS!$B$7:$B$27,nASIG)&gt;0)*(nNOTA))/SUMPRODUCT((nNIA=A795)*(nCUENTA=1)*(COUNTIF(CONFIG_ASIGNATURAS!$B$7:$B$27,nASIG)&gt;0)*1),"")))</f>
        <v/>
      </c>
      <c r="H795" t="str">
        <f>IF(G795="","",IF(G795="[FÓRMULA MANUAL]","",IFERROR(AVERAGEIFS(nNOTA,nNIA,G795,nCUENTA,1,nASIG,"Lenguaje Musical"),"")))</f>
        <v/>
      </c>
      <c r="I795" t="str">
        <f>IF(G795="","",IF(G795="[FÓRMULA MANUAL]","",IFERROR(AVERAGEIFS(nNOTA,nNIA,G795,nCUENTA,1,nASIG,"Orquesta/Banda/Conjunto"),"")))</f>
        <v/>
      </c>
      <c r="J795" t="str">
        <f>IF(G795="","",IF(G795="[FÓRMULA MANUAL]","",IFERROR(AVERAGEIFS(nNOTA,nNIA,G795,nCUENTA,1,nASIG,"Conjunto"),"")))</f>
        <v/>
      </c>
      <c r="K795" t="str">
        <f>IF(G795="","",IF(G795="[FÓRMULA MANUAL]","",IFERROR(SUMPRODUCT((nNIA=G795)*(nCUENTA=1)*(COUNTIF(CONFIG_ASIGNATURAS!$B$7:$B$27,nASIG)&gt;0)*(nNOTA))/SUMPRODUCT((nNIA=G795)*(nCUENTA=1)*(COUNTIF(CONFIG_ASIGNATURAS!$B$7:$B$27,nASIG)&gt;0)*1),"")))</f>
        <v/>
      </c>
      <c r="N795" t="str">
        <f>IF(M795="","",IF(M795="[FÓRMULA MANUAL]","",IFERROR(AVERAGEIFS(nNOTA,nNIA,M795,nCUENTA,1,nASIG,"Armonía"),"")))</f>
        <v/>
      </c>
      <c r="O795" t="str">
        <f>IF(M795="","",IF(M795="[FÓRMULA MANUAL]","",IFERROR(AVERAGEIFS(nNOTA,nNIA,M795,nCUENTA,1,nASIG,"Orquesta/Banda/Conjunto"),"")))</f>
        <v/>
      </c>
      <c r="P795" t="str">
        <f>IF(M795="","",IF(M795="[FÓRMULA MANUAL]","",IFERROR(AVERAGEIFS(nNOTA,nNIA,M795,nCUENTA,1,nASIG,"Música de Cámara"),"")))</f>
        <v/>
      </c>
      <c r="Q795" t="str">
        <f>IF(M795="","",IF(M795="[FÓRMULA MANUAL]","",IFERROR(SUMPRODUCT((nNIA=M795)*(nCUENTA=1)*(COUNTIF(CONFIG_ASIGNATURAS!$B$7:$B$27,nASIG)&gt;0)*(nNOTA))/SUMPRODUCT((nNIA=M795)*(nCUENTA=1)*(COUNTIF(CONFIG_ASIGNATURAS!$B$7:$B$27,nASIG)&gt;0)*1),"")))</f>
        <v/>
      </c>
      <c r="T795" t="str">
        <f>IF(S795="","",IF(S795="[FÓRMULA MANUAL]","",IFERROR(AVERAGEIFS(nNOTA,nNIA,S795,nCUENTA,1,nASIG,"Armonía"),"")))</f>
        <v/>
      </c>
      <c r="U795" t="str">
        <f>IF(S795="","",IF(S795="[FÓRMULA MANUAL]","",IFERROR(AVERAGEIFS(nNOTA,nNIA,S795,nCUENTA,1,nASIG,"Orquesta/Banda/Conjunto"),"")))</f>
        <v/>
      </c>
      <c r="V795" t="str">
        <f>IF(S795="","",IF(S795="[FÓRMULA MANUAL]","",IFERROR(AVERAGEIFS(nNOTA,nNIA,S795,nCUENTA,1,nASIG,"Música de Cámara"),"")))</f>
        <v/>
      </c>
      <c r="W795" t="str">
        <f>IF(S795="","",IF(S795="[FÓRMULA MANUAL]","",IFERROR(SUMPRODUCT((nNIA=S795)*(nCUENTA=1)*(COUNTIF(CONFIG_ASIGNATURAS!$B$7:$B$27,nASIG)&gt;0)*(nNOTA))/SUMPRODUCT((nNIA=S795)*(nCUENTA=1)*(COUNTIF(CONFIG_ASIGNATURAS!$B$7:$B$27,nASIG)&gt;0)*1),"")))</f>
        <v/>
      </c>
      <c r="Z795" t="str">
        <f>IF(Y795="","",IF(Y795="[FÓRMULA MANUAL]","",IFERROR(AVERAGEIFS(nNOTA,nNIA,Y795,nCUENTA,1,nASIG,"Análisis"),"")))</f>
        <v/>
      </c>
      <c r="AA795" t="str">
        <f>IF(Y795="","",IF(Y795="[FÓRMULA MANUAL]","",IFERROR(AVERAGEIFS(nNOTA,nNIA,Y795,nCUENTA,1,nASIG,"Orquesta/Banda/Conjunto"),"")))</f>
        <v/>
      </c>
      <c r="AB795" t="str">
        <f>IF(Y795="","",IF(Y795="[FÓRMULA MANUAL]","",IFERROR(AVERAGEIFS(nNOTA,nNIA,Y795,nCUENTA,1,nASIG,"Música de Cámara"),"")))</f>
        <v/>
      </c>
      <c r="AC795" t="str">
        <f>IF(Y795="","",IF(Y795="[FÓRMULA MANUAL]","",IFERROR(SUMPRODUCT((nNIA=Y795)*(nCUENTA=1)*(COUNTIF(CONFIG_ASIGNATURAS!$B$7:$B$27,nASIG)&gt;0)*(nNOTA))/SUMPRODUCT((nNIA=Y795)*(nCUENTA=1)*(COUNTIF(CONFIG_ASIGNATURAS!$B$7:$B$27,nASIG)&gt;0)*1),"")))</f>
        <v/>
      </c>
      <c r="AF795" t="str">
        <f>IF(AE795="","",IF(AE795="[FÓRMULA MANUAL]","",IFERROR(AVERAGEIFS(nNOTA,nNIA,AE795,nCUENTA,1,nASIG,"Análisis"),"")))</f>
        <v/>
      </c>
      <c r="AG795" t="str">
        <f>IF(AE795="","",IF(AE795="[FÓRMULA MANUAL]","",IFERROR(AVERAGEIFS(nNOTA,nNIA,AE795,nCUENTA,1,nASIG,"Orquesta/Banda/Conjunto"),"")))</f>
        <v/>
      </c>
      <c r="AH795" t="str">
        <f>IF(AE795="","",IF(AE795="[FÓRMULA MANUAL]","",IFERROR(AVERAGEIFS(nNOTA,nNIA,AE795,nCUENTA,1,nASIG,"Música de Cámara"),"")))</f>
        <v/>
      </c>
      <c r="AI795" t="str">
        <f>IF(AE795="","",IF(AE795="[FÓRMULA MANUAL]","",IFERROR(SUMPRODUCT((nNIA=AE795)*(nCUENTA=1)*(COUNTIF(CONFIG_ASIGNATURAS!$B$7:$B$27,nASIG)&gt;0)*(nNOTA))/SUMPRODUCT((nNIA=AE795)*(nCUENTA=1)*(COUNTIF(CONFIG_ASIGNATURAS!$B$7:$B$27,nASIG)&gt;0)*1),"")))</f>
        <v/>
      </c>
    </row>
    <row r="796" spans="2:35" x14ac:dyDescent="0.2">
      <c r="B796" t="str">
        <f>IF(A796="","",IF(A796="[FÓRMULA MANUAL]","",IFERROR(AVERAGEIFS(nNOTA,nNIA,A796,nCUENTA,1,nASIG,"Lenguaje Musical"),"")))</f>
        <v/>
      </c>
      <c r="C796" t="str">
        <f>IF(A796="","",IF(A796="[FÓRMULA MANUAL]","",IFERROR(AVERAGEIFS(nNOTA,nNIA,A796,nCUENTA,1,nASIG,"Orquesta/Banda/Conjunto"),"")))</f>
        <v/>
      </c>
      <c r="D796" t="str">
        <f>IF(A796="","",IF(A796="[FÓRMULA MANUAL]","",IFERROR(AVERAGEIFS(nNOTA,nNIA,A796,nCUENTA,1,nASIG,"Conjunto"),"")))</f>
        <v/>
      </c>
      <c r="E796" t="str">
        <f>IF(A796="","",IF(A796="[FÓRMULA MANUAL]","",IFERROR(SUMPRODUCT((nNIA=A796)*(nCUENTA=1)*(COUNTIF(CONFIG_ASIGNATURAS!$B$7:$B$27,nASIG)&gt;0)*(nNOTA))/SUMPRODUCT((nNIA=A796)*(nCUENTA=1)*(COUNTIF(CONFIG_ASIGNATURAS!$B$7:$B$27,nASIG)&gt;0)*1),"")))</f>
        <v/>
      </c>
      <c r="H796" t="str">
        <f>IF(G796="","",IF(G796="[FÓRMULA MANUAL]","",IFERROR(AVERAGEIFS(nNOTA,nNIA,G796,nCUENTA,1,nASIG,"Lenguaje Musical"),"")))</f>
        <v/>
      </c>
      <c r="I796" t="str">
        <f>IF(G796="","",IF(G796="[FÓRMULA MANUAL]","",IFERROR(AVERAGEIFS(nNOTA,nNIA,G796,nCUENTA,1,nASIG,"Orquesta/Banda/Conjunto"),"")))</f>
        <v/>
      </c>
      <c r="J796" t="str">
        <f>IF(G796="","",IF(G796="[FÓRMULA MANUAL]","",IFERROR(AVERAGEIFS(nNOTA,nNIA,G796,nCUENTA,1,nASIG,"Conjunto"),"")))</f>
        <v/>
      </c>
      <c r="K796" t="str">
        <f>IF(G796="","",IF(G796="[FÓRMULA MANUAL]","",IFERROR(SUMPRODUCT((nNIA=G796)*(nCUENTA=1)*(COUNTIF(CONFIG_ASIGNATURAS!$B$7:$B$27,nASIG)&gt;0)*(nNOTA))/SUMPRODUCT((nNIA=G796)*(nCUENTA=1)*(COUNTIF(CONFIG_ASIGNATURAS!$B$7:$B$27,nASIG)&gt;0)*1),"")))</f>
        <v/>
      </c>
      <c r="N796" t="str">
        <f>IF(M796="","",IF(M796="[FÓRMULA MANUAL]","",IFERROR(AVERAGEIFS(nNOTA,nNIA,M796,nCUENTA,1,nASIG,"Armonía"),"")))</f>
        <v/>
      </c>
      <c r="O796" t="str">
        <f>IF(M796="","",IF(M796="[FÓRMULA MANUAL]","",IFERROR(AVERAGEIFS(nNOTA,nNIA,M796,nCUENTA,1,nASIG,"Orquesta/Banda/Conjunto"),"")))</f>
        <v/>
      </c>
      <c r="P796" t="str">
        <f>IF(M796="","",IF(M796="[FÓRMULA MANUAL]","",IFERROR(AVERAGEIFS(nNOTA,nNIA,M796,nCUENTA,1,nASIG,"Música de Cámara"),"")))</f>
        <v/>
      </c>
      <c r="Q796" t="str">
        <f>IF(M796="","",IF(M796="[FÓRMULA MANUAL]","",IFERROR(SUMPRODUCT((nNIA=M796)*(nCUENTA=1)*(COUNTIF(CONFIG_ASIGNATURAS!$B$7:$B$27,nASIG)&gt;0)*(nNOTA))/SUMPRODUCT((nNIA=M796)*(nCUENTA=1)*(COUNTIF(CONFIG_ASIGNATURAS!$B$7:$B$27,nASIG)&gt;0)*1),"")))</f>
        <v/>
      </c>
      <c r="T796" t="str">
        <f>IF(S796="","",IF(S796="[FÓRMULA MANUAL]","",IFERROR(AVERAGEIFS(nNOTA,nNIA,S796,nCUENTA,1,nASIG,"Armonía"),"")))</f>
        <v/>
      </c>
      <c r="U796" t="str">
        <f>IF(S796="","",IF(S796="[FÓRMULA MANUAL]","",IFERROR(AVERAGEIFS(nNOTA,nNIA,S796,nCUENTA,1,nASIG,"Orquesta/Banda/Conjunto"),"")))</f>
        <v/>
      </c>
      <c r="V796" t="str">
        <f>IF(S796="","",IF(S796="[FÓRMULA MANUAL]","",IFERROR(AVERAGEIFS(nNOTA,nNIA,S796,nCUENTA,1,nASIG,"Música de Cámara"),"")))</f>
        <v/>
      </c>
      <c r="W796" t="str">
        <f>IF(S796="","",IF(S796="[FÓRMULA MANUAL]","",IFERROR(SUMPRODUCT((nNIA=S796)*(nCUENTA=1)*(COUNTIF(CONFIG_ASIGNATURAS!$B$7:$B$27,nASIG)&gt;0)*(nNOTA))/SUMPRODUCT((nNIA=S796)*(nCUENTA=1)*(COUNTIF(CONFIG_ASIGNATURAS!$B$7:$B$27,nASIG)&gt;0)*1),"")))</f>
        <v/>
      </c>
      <c r="Z796" t="str">
        <f>IF(Y796="","",IF(Y796="[FÓRMULA MANUAL]","",IFERROR(AVERAGEIFS(nNOTA,nNIA,Y796,nCUENTA,1,nASIG,"Análisis"),"")))</f>
        <v/>
      </c>
      <c r="AA796" t="str">
        <f>IF(Y796="","",IF(Y796="[FÓRMULA MANUAL]","",IFERROR(AVERAGEIFS(nNOTA,nNIA,Y796,nCUENTA,1,nASIG,"Orquesta/Banda/Conjunto"),"")))</f>
        <v/>
      </c>
      <c r="AB796" t="str">
        <f>IF(Y796="","",IF(Y796="[FÓRMULA MANUAL]","",IFERROR(AVERAGEIFS(nNOTA,nNIA,Y796,nCUENTA,1,nASIG,"Música de Cámara"),"")))</f>
        <v/>
      </c>
      <c r="AC796" t="str">
        <f>IF(Y796="","",IF(Y796="[FÓRMULA MANUAL]","",IFERROR(SUMPRODUCT((nNIA=Y796)*(nCUENTA=1)*(COUNTIF(CONFIG_ASIGNATURAS!$B$7:$B$27,nASIG)&gt;0)*(nNOTA))/SUMPRODUCT((nNIA=Y796)*(nCUENTA=1)*(COUNTIF(CONFIG_ASIGNATURAS!$B$7:$B$27,nASIG)&gt;0)*1),"")))</f>
        <v/>
      </c>
      <c r="AF796" t="str">
        <f>IF(AE796="","",IF(AE796="[FÓRMULA MANUAL]","",IFERROR(AVERAGEIFS(nNOTA,nNIA,AE796,nCUENTA,1,nASIG,"Análisis"),"")))</f>
        <v/>
      </c>
      <c r="AG796" t="str">
        <f>IF(AE796="","",IF(AE796="[FÓRMULA MANUAL]","",IFERROR(AVERAGEIFS(nNOTA,nNIA,AE796,nCUENTA,1,nASIG,"Orquesta/Banda/Conjunto"),"")))</f>
        <v/>
      </c>
      <c r="AH796" t="str">
        <f>IF(AE796="","",IF(AE796="[FÓRMULA MANUAL]","",IFERROR(AVERAGEIFS(nNOTA,nNIA,AE796,nCUENTA,1,nASIG,"Música de Cámara"),"")))</f>
        <v/>
      </c>
      <c r="AI796" t="str">
        <f>IF(AE796="","",IF(AE796="[FÓRMULA MANUAL]","",IFERROR(SUMPRODUCT((nNIA=AE796)*(nCUENTA=1)*(COUNTIF(CONFIG_ASIGNATURAS!$B$7:$B$27,nASIG)&gt;0)*(nNOTA))/SUMPRODUCT((nNIA=AE796)*(nCUENTA=1)*(COUNTIF(CONFIG_ASIGNATURAS!$B$7:$B$27,nASIG)&gt;0)*1),"")))</f>
        <v/>
      </c>
    </row>
    <row r="797" spans="2:35" x14ac:dyDescent="0.2">
      <c r="B797" t="str">
        <f>IF(A797="","",IF(A797="[FÓRMULA MANUAL]","",IFERROR(AVERAGEIFS(nNOTA,nNIA,A797,nCUENTA,1,nASIG,"Lenguaje Musical"),"")))</f>
        <v/>
      </c>
      <c r="C797" t="str">
        <f>IF(A797="","",IF(A797="[FÓRMULA MANUAL]","",IFERROR(AVERAGEIFS(nNOTA,nNIA,A797,nCUENTA,1,nASIG,"Orquesta/Banda/Conjunto"),"")))</f>
        <v/>
      </c>
      <c r="D797" t="str">
        <f>IF(A797="","",IF(A797="[FÓRMULA MANUAL]","",IFERROR(AVERAGEIFS(nNOTA,nNIA,A797,nCUENTA,1,nASIG,"Conjunto"),"")))</f>
        <v/>
      </c>
      <c r="E797" t="str">
        <f>IF(A797="","",IF(A797="[FÓRMULA MANUAL]","",IFERROR(SUMPRODUCT((nNIA=A797)*(nCUENTA=1)*(COUNTIF(CONFIG_ASIGNATURAS!$B$7:$B$27,nASIG)&gt;0)*(nNOTA))/SUMPRODUCT((nNIA=A797)*(nCUENTA=1)*(COUNTIF(CONFIG_ASIGNATURAS!$B$7:$B$27,nASIG)&gt;0)*1),"")))</f>
        <v/>
      </c>
      <c r="H797" t="str">
        <f>IF(G797="","",IF(G797="[FÓRMULA MANUAL]","",IFERROR(AVERAGEIFS(nNOTA,nNIA,G797,nCUENTA,1,nASIG,"Lenguaje Musical"),"")))</f>
        <v/>
      </c>
      <c r="I797" t="str">
        <f>IF(G797="","",IF(G797="[FÓRMULA MANUAL]","",IFERROR(AVERAGEIFS(nNOTA,nNIA,G797,nCUENTA,1,nASIG,"Orquesta/Banda/Conjunto"),"")))</f>
        <v/>
      </c>
      <c r="J797" t="str">
        <f>IF(G797="","",IF(G797="[FÓRMULA MANUAL]","",IFERROR(AVERAGEIFS(nNOTA,nNIA,G797,nCUENTA,1,nASIG,"Conjunto"),"")))</f>
        <v/>
      </c>
      <c r="K797" t="str">
        <f>IF(G797="","",IF(G797="[FÓRMULA MANUAL]","",IFERROR(SUMPRODUCT((nNIA=G797)*(nCUENTA=1)*(COUNTIF(CONFIG_ASIGNATURAS!$B$7:$B$27,nASIG)&gt;0)*(nNOTA))/SUMPRODUCT((nNIA=G797)*(nCUENTA=1)*(COUNTIF(CONFIG_ASIGNATURAS!$B$7:$B$27,nASIG)&gt;0)*1),"")))</f>
        <v/>
      </c>
      <c r="N797" t="str">
        <f>IF(M797="","",IF(M797="[FÓRMULA MANUAL]","",IFERROR(AVERAGEIFS(nNOTA,nNIA,M797,nCUENTA,1,nASIG,"Armonía"),"")))</f>
        <v/>
      </c>
      <c r="O797" t="str">
        <f>IF(M797="","",IF(M797="[FÓRMULA MANUAL]","",IFERROR(AVERAGEIFS(nNOTA,nNIA,M797,nCUENTA,1,nASIG,"Orquesta/Banda/Conjunto"),"")))</f>
        <v/>
      </c>
      <c r="P797" t="str">
        <f>IF(M797="","",IF(M797="[FÓRMULA MANUAL]","",IFERROR(AVERAGEIFS(nNOTA,nNIA,M797,nCUENTA,1,nASIG,"Música de Cámara"),"")))</f>
        <v/>
      </c>
      <c r="Q797" t="str">
        <f>IF(M797="","",IF(M797="[FÓRMULA MANUAL]","",IFERROR(SUMPRODUCT((nNIA=M797)*(nCUENTA=1)*(COUNTIF(CONFIG_ASIGNATURAS!$B$7:$B$27,nASIG)&gt;0)*(nNOTA))/SUMPRODUCT((nNIA=M797)*(nCUENTA=1)*(COUNTIF(CONFIG_ASIGNATURAS!$B$7:$B$27,nASIG)&gt;0)*1),"")))</f>
        <v/>
      </c>
      <c r="T797" t="str">
        <f>IF(S797="","",IF(S797="[FÓRMULA MANUAL]","",IFERROR(AVERAGEIFS(nNOTA,nNIA,S797,nCUENTA,1,nASIG,"Armonía"),"")))</f>
        <v/>
      </c>
      <c r="U797" t="str">
        <f>IF(S797="","",IF(S797="[FÓRMULA MANUAL]","",IFERROR(AVERAGEIFS(nNOTA,nNIA,S797,nCUENTA,1,nASIG,"Orquesta/Banda/Conjunto"),"")))</f>
        <v/>
      </c>
      <c r="V797" t="str">
        <f>IF(S797="","",IF(S797="[FÓRMULA MANUAL]","",IFERROR(AVERAGEIFS(nNOTA,nNIA,S797,nCUENTA,1,nASIG,"Música de Cámara"),"")))</f>
        <v/>
      </c>
      <c r="W797" t="str">
        <f>IF(S797="","",IF(S797="[FÓRMULA MANUAL]","",IFERROR(SUMPRODUCT((nNIA=S797)*(nCUENTA=1)*(COUNTIF(CONFIG_ASIGNATURAS!$B$7:$B$27,nASIG)&gt;0)*(nNOTA))/SUMPRODUCT((nNIA=S797)*(nCUENTA=1)*(COUNTIF(CONFIG_ASIGNATURAS!$B$7:$B$27,nASIG)&gt;0)*1),"")))</f>
        <v/>
      </c>
      <c r="Z797" t="str">
        <f>IF(Y797="","",IF(Y797="[FÓRMULA MANUAL]","",IFERROR(AVERAGEIFS(nNOTA,nNIA,Y797,nCUENTA,1,nASIG,"Análisis"),"")))</f>
        <v/>
      </c>
      <c r="AA797" t="str">
        <f>IF(Y797="","",IF(Y797="[FÓRMULA MANUAL]","",IFERROR(AVERAGEIFS(nNOTA,nNIA,Y797,nCUENTA,1,nASIG,"Orquesta/Banda/Conjunto"),"")))</f>
        <v/>
      </c>
      <c r="AB797" t="str">
        <f>IF(Y797="","",IF(Y797="[FÓRMULA MANUAL]","",IFERROR(AVERAGEIFS(nNOTA,nNIA,Y797,nCUENTA,1,nASIG,"Música de Cámara"),"")))</f>
        <v/>
      </c>
      <c r="AC797" t="str">
        <f>IF(Y797="","",IF(Y797="[FÓRMULA MANUAL]","",IFERROR(SUMPRODUCT((nNIA=Y797)*(nCUENTA=1)*(COUNTIF(CONFIG_ASIGNATURAS!$B$7:$B$27,nASIG)&gt;0)*(nNOTA))/SUMPRODUCT((nNIA=Y797)*(nCUENTA=1)*(COUNTIF(CONFIG_ASIGNATURAS!$B$7:$B$27,nASIG)&gt;0)*1),"")))</f>
        <v/>
      </c>
      <c r="AF797" t="str">
        <f>IF(AE797="","",IF(AE797="[FÓRMULA MANUAL]","",IFERROR(AVERAGEIFS(nNOTA,nNIA,AE797,nCUENTA,1,nASIG,"Análisis"),"")))</f>
        <v/>
      </c>
      <c r="AG797" t="str">
        <f>IF(AE797="","",IF(AE797="[FÓRMULA MANUAL]","",IFERROR(AVERAGEIFS(nNOTA,nNIA,AE797,nCUENTA,1,nASIG,"Orquesta/Banda/Conjunto"),"")))</f>
        <v/>
      </c>
      <c r="AH797" t="str">
        <f>IF(AE797="","",IF(AE797="[FÓRMULA MANUAL]","",IFERROR(AVERAGEIFS(nNOTA,nNIA,AE797,nCUENTA,1,nASIG,"Música de Cámara"),"")))</f>
        <v/>
      </c>
      <c r="AI797" t="str">
        <f>IF(AE797="","",IF(AE797="[FÓRMULA MANUAL]","",IFERROR(SUMPRODUCT((nNIA=AE797)*(nCUENTA=1)*(COUNTIF(CONFIG_ASIGNATURAS!$B$7:$B$27,nASIG)&gt;0)*(nNOTA))/SUMPRODUCT((nNIA=AE797)*(nCUENTA=1)*(COUNTIF(CONFIG_ASIGNATURAS!$B$7:$B$27,nASIG)&gt;0)*1),"")))</f>
        <v/>
      </c>
    </row>
    <row r="798" spans="2:35" x14ac:dyDescent="0.2">
      <c r="B798" t="str">
        <f>IF(A798="","",IF(A798="[FÓRMULA MANUAL]","",IFERROR(AVERAGEIFS(nNOTA,nNIA,A798,nCUENTA,1,nASIG,"Lenguaje Musical"),"")))</f>
        <v/>
      </c>
      <c r="C798" t="str">
        <f>IF(A798="","",IF(A798="[FÓRMULA MANUAL]","",IFERROR(AVERAGEIFS(nNOTA,nNIA,A798,nCUENTA,1,nASIG,"Orquesta/Banda/Conjunto"),"")))</f>
        <v/>
      </c>
      <c r="D798" t="str">
        <f>IF(A798="","",IF(A798="[FÓRMULA MANUAL]","",IFERROR(AVERAGEIFS(nNOTA,nNIA,A798,nCUENTA,1,nASIG,"Conjunto"),"")))</f>
        <v/>
      </c>
      <c r="E798" t="str">
        <f>IF(A798="","",IF(A798="[FÓRMULA MANUAL]","",IFERROR(SUMPRODUCT((nNIA=A798)*(nCUENTA=1)*(COUNTIF(CONFIG_ASIGNATURAS!$B$7:$B$27,nASIG)&gt;0)*(nNOTA))/SUMPRODUCT((nNIA=A798)*(nCUENTA=1)*(COUNTIF(CONFIG_ASIGNATURAS!$B$7:$B$27,nASIG)&gt;0)*1),"")))</f>
        <v/>
      </c>
      <c r="H798" t="str">
        <f>IF(G798="","",IF(G798="[FÓRMULA MANUAL]","",IFERROR(AVERAGEIFS(nNOTA,nNIA,G798,nCUENTA,1,nASIG,"Lenguaje Musical"),"")))</f>
        <v/>
      </c>
      <c r="I798" t="str">
        <f>IF(G798="","",IF(G798="[FÓRMULA MANUAL]","",IFERROR(AVERAGEIFS(nNOTA,nNIA,G798,nCUENTA,1,nASIG,"Orquesta/Banda/Conjunto"),"")))</f>
        <v/>
      </c>
      <c r="J798" t="str">
        <f>IF(G798="","",IF(G798="[FÓRMULA MANUAL]","",IFERROR(AVERAGEIFS(nNOTA,nNIA,G798,nCUENTA,1,nASIG,"Conjunto"),"")))</f>
        <v/>
      </c>
      <c r="K798" t="str">
        <f>IF(G798="","",IF(G798="[FÓRMULA MANUAL]","",IFERROR(SUMPRODUCT((nNIA=G798)*(nCUENTA=1)*(COUNTIF(CONFIG_ASIGNATURAS!$B$7:$B$27,nASIG)&gt;0)*(nNOTA))/SUMPRODUCT((nNIA=G798)*(nCUENTA=1)*(COUNTIF(CONFIG_ASIGNATURAS!$B$7:$B$27,nASIG)&gt;0)*1),"")))</f>
        <v/>
      </c>
      <c r="N798" t="str">
        <f>IF(M798="","",IF(M798="[FÓRMULA MANUAL]","",IFERROR(AVERAGEIFS(nNOTA,nNIA,M798,nCUENTA,1,nASIG,"Armonía"),"")))</f>
        <v/>
      </c>
      <c r="O798" t="str">
        <f>IF(M798="","",IF(M798="[FÓRMULA MANUAL]","",IFERROR(AVERAGEIFS(nNOTA,nNIA,M798,nCUENTA,1,nASIG,"Orquesta/Banda/Conjunto"),"")))</f>
        <v/>
      </c>
      <c r="P798" t="str">
        <f>IF(M798="","",IF(M798="[FÓRMULA MANUAL]","",IFERROR(AVERAGEIFS(nNOTA,nNIA,M798,nCUENTA,1,nASIG,"Música de Cámara"),"")))</f>
        <v/>
      </c>
      <c r="Q798" t="str">
        <f>IF(M798="","",IF(M798="[FÓRMULA MANUAL]","",IFERROR(SUMPRODUCT((nNIA=M798)*(nCUENTA=1)*(COUNTIF(CONFIG_ASIGNATURAS!$B$7:$B$27,nASIG)&gt;0)*(nNOTA))/SUMPRODUCT((nNIA=M798)*(nCUENTA=1)*(COUNTIF(CONFIG_ASIGNATURAS!$B$7:$B$27,nASIG)&gt;0)*1),"")))</f>
        <v/>
      </c>
      <c r="T798" t="str">
        <f>IF(S798="","",IF(S798="[FÓRMULA MANUAL]","",IFERROR(AVERAGEIFS(nNOTA,nNIA,S798,nCUENTA,1,nASIG,"Armonía"),"")))</f>
        <v/>
      </c>
      <c r="U798" t="str">
        <f>IF(S798="","",IF(S798="[FÓRMULA MANUAL]","",IFERROR(AVERAGEIFS(nNOTA,nNIA,S798,nCUENTA,1,nASIG,"Orquesta/Banda/Conjunto"),"")))</f>
        <v/>
      </c>
      <c r="V798" t="str">
        <f>IF(S798="","",IF(S798="[FÓRMULA MANUAL]","",IFERROR(AVERAGEIFS(nNOTA,nNIA,S798,nCUENTA,1,nASIG,"Música de Cámara"),"")))</f>
        <v/>
      </c>
      <c r="W798" t="str">
        <f>IF(S798="","",IF(S798="[FÓRMULA MANUAL]","",IFERROR(SUMPRODUCT((nNIA=S798)*(nCUENTA=1)*(COUNTIF(CONFIG_ASIGNATURAS!$B$7:$B$27,nASIG)&gt;0)*(nNOTA))/SUMPRODUCT((nNIA=S798)*(nCUENTA=1)*(COUNTIF(CONFIG_ASIGNATURAS!$B$7:$B$27,nASIG)&gt;0)*1),"")))</f>
        <v/>
      </c>
      <c r="Z798" t="str">
        <f>IF(Y798="","",IF(Y798="[FÓRMULA MANUAL]","",IFERROR(AVERAGEIFS(nNOTA,nNIA,Y798,nCUENTA,1,nASIG,"Análisis"),"")))</f>
        <v/>
      </c>
      <c r="AA798" t="str">
        <f>IF(Y798="","",IF(Y798="[FÓRMULA MANUAL]","",IFERROR(AVERAGEIFS(nNOTA,nNIA,Y798,nCUENTA,1,nASIG,"Orquesta/Banda/Conjunto"),"")))</f>
        <v/>
      </c>
      <c r="AB798" t="str">
        <f>IF(Y798="","",IF(Y798="[FÓRMULA MANUAL]","",IFERROR(AVERAGEIFS(nNOTA,nNIA,Y798,nCUENTA,1,nASIG,"Música de Cámara"),"")))</f>
        <v/>
      </c>
      <c r="AC798" t="str">
        <f>IF(Y798="","",IF(Y798="[FÓRMULA MANUAL]","",IFERROR(SUMPRODUCT((nNIA=Y798)*(nCUENTA=1)*(COUNTIF(CONFIG_ASIGNATURAS!$B$7:$B$27,nASIG)&gt;0)*(nNOTA))/SUMPRODUCT((nNIA=Y798)*(nCUENTA=1)*(COUNTIF(CONFIG_ASIGNATURAS!$B$7:$B$27,nASIG)&gt;0)*1),"")))</f>
        <v/>
      </c>
      <c r="AF798" t="str">
        <f>IF(AE798="","",IF(AE798="[FÓRMULA MANUAL]","",IFERROR(AVERAGEIFS(nNOTA,nNIA,AE798,nCUENTA,1,nASIG,"Análisis"),"")))</f>
        <v/>
      </c>
      <c r="AG798" t="str">
        <f>IF(AE798="","",IF(AE798="[FÓRMULA MANUAL]","",IFERROR(AVERAGEIFS(nNOTA,nNIA,AE798,nCUENTA,1,nASIG,"Orquesta/Banda/Conjunto"),"")))</f>
        <v/>
      </c>
      <c r="AH798" t="str">
        <f>IF(AE798="","",IF(AE798="[FÓRMULA MANUAL]","",IFERROR(AVERAGEIFS(nNOTA,nNIA,AE798,nCUENTA,1,nASIG,"Música de Cámara"),"")))</f>
        <v/>
      </c>
      <c r="AI798" t="str">
        <f>IF(AE798="","",IF(AE798="[FÓRMULA MANUAL]","",IFERROR(SUMPRODUCT((nNIA=AE798)*(nCUENTA=1)*(COUNTIF(CONFIG_ASIGNATURAS!$B$7:$B$27,nASIG)&gt;0)*(nNOTA))/SUMPRODUCT((nNIA=AE798)*(nCUENTA=1)*(COUNTIF(CONFIG_ASIGNATURAS!$B$7:$B$27,nASIG)&gt;0)*1),"")))</f>
        <v/>
      </c>
    </row>
    <row r="799" spans="2:35" x14ac:dyDescent="0.2">
      <c r="B799" t="str">
        <f>IF(A799="","",IF(A799="[FÓRMULA MANUAL]","",IFERROR(AVERAGEIFS(nNOTA,nNIA,A799,nCUENTA,1,nASIG,"Lenguaje Musical"),"")))</f>
        <v/>
      </c>
      <c r="C799" t="str">
        <f>IF(A799="","",IF(A799="[FÓRMULA MANUAL]","",IFERROR(AVERAGEIFS(nNOTA,nNIA,A799,nCUENTA,1,nASIG,"Orquesta/Banda/Conjunto"),"")))</f>
        <v/>
      </c>
      <c r="D799" t="str">
        <f>IF(A799="","",IF(A799="[FÓRMULA MANUAL]","",IFERROR(AVERAGEIFS(nNOTA,nNIA,A799,nCUENTA,1,nASIG,"Conjunto"),"")))</f>
        <v/>
      </c>
      <c r="E799" t="str">
        <f>IF(A799="","",IF(A799="[FÓRMULA MANUAL]","",IFERROR(SUMPRODUCT((nNIA=A799)*(nCUENTA=1)*(COUNTIF(CONFIG_ASIGNATURAS!$B$7:$B$27,nASIG)&gt;0)*(nNOTA))/SUMPRODUCT((nNIA=A799)*(nCUENTA=1)*(COUNTIF(CONFIG_ASIGNATURAS!$B$7:$B$27,nASIG)&gt;0)*1),"")))</f>
        <v/>
      </c>
      <c r="H799" t="str">
        <f>IF(G799="","",IF(G799="[FÓRMULA MANUAL]","",IFERROR(AVERAGEIFS(nNOTA,nNIA,G799,nCUENTA,1,nASIG,"Lenguaje Musical"),"")))</f>
        <v/>
      </c>
      <c r="I799" t="str">
        <f>IF(G799="","",IF(G799="[FÓRMULA MANUAL]","",IFERROR(AVERAGEIFS(nNOTA,nNIA,G799,nCUENTA,1,nASIG,"Orquesta/Banda/Conjunto"),"")))</f>
        <v/>
      </c>
      <c r="J799" t="str">
        <f>IF(G799="","",IF(G799="[FÓRMULA MANUAL]","",IFERROR(AVERAGEIFS(nNOTA,nNIA,G799,nCUENTA,1,nASIG,"Conjunto"),"")))</f>
        <v/>
      </c>
      <c r="K799" t="str">
        <f>IF(G799="","",IF(G799="[FÓRMULA MANUAL]","",IFERROR(SUMPRODUCT((nNIA=G799)*(nCUENTA=1)*(COUNTIF(CONFIG_ASIGNATURAS!$B$7:$B$27,nASIG)&gt;0)*(nNOTA))/SUMPRODUCT((nNIA=G799)*(nCUENTA=1)*(COUNTIF(CONFIG_ASIGNATURAS!$B$7:$B$27,nASIG)&gt;0)*1),"")))</f>
        <v/>
      </c>
      <c r="N799" t="str">
        <f>IF(M799="","",IF(M799="[FÓRMULA MANUAL]","",IFERROR(AVERAGEIFS(nNOTA,nNIA,M799,nCUENTA,1,nASIG,"Armonía"),"")))</f>
        <v/>
      </c>
      <c r="O799" t="str">
        <f>IF(M799="","",IF(M799="[FÓRMULA MANUAL]","",IFERROR(AVERAGEIFS(nNOTA,nNIA,M799,nCUENTA,1,nASIG,"Orquesta/Banda/Conjunto"),"")))</f>
        <v/>
      </c>
      <c r="P799" t="str">
        <f>IF(M799="","",IF(M799="[FÓRMULA MANUAL]","",IFERROR(AVERAGEIFS(nNOTA,nNIA,M799,nCUENTA,1,nASIG,"Música de Cámara"),"")))</f>
        <v/>
      </c>
      <c r="Q799" t="str">
        <f>IF(M799="","",IF(M799="[FÓRMULA MANUAL]","",IFERROR(SUMPRODUCT((nNIA=M799)*(nCUENTA=1)*(COUNTIF(CONFIG_ASIGNATURAS!$B$7:$B$27,nASIG)&gt;0)*(nNOTA))/SUMPRODUCT((nNIA=M799)*(nCUENTA=1)*(COUNTIF(CONFIG_ASIGNATURAS!$B$7:$B$27,nASIG)&gt;0)*1),"")))</f>
        <v/>
      </c>
      <c r="T799" t="str">
        <f>IF(S799="","",IF(S799="[FÓRMULA MANUAL]","",IFERROR(AVERAGEIFS(nNOTA,nNIA,S799,nCUENTA,1,nASIG,"Armonía"),"")))</f>
        <v/>
      </c>
      <c r="U799" t="str">
        <f>IF(S799="","",IF(S799="[FÓRMULA MANUAL]","",IFERROR(AVERAGEIFS(nNOTA,nNIA,S799,nCUENTA,1,nASIG,"Orquesta/Banda/Conjunto"),"")))</f>
        <v/>
      </c>
      <c r="V799" t="str">
        <f>IF(S799="","",IF(S799="[FÓRMULA MANUAL]","",IFERROR(AVERAGEIFS(nNOTA,nNIA,S799,nCUENTA,1,nASIG,"Música de Cámara"),"")))</f>
        <v/>
      </c>
      <c r="W799" t="str">
        <f>IF(S799="","",IF(S799="[FÓRMULA MANUAL]","",IFERROR(SUMPRODUCT((nNIA=S799)*(nCUENTA=1)*(COUNTIF(CONFIG_ASIGNATURAS!$B$7:$B$27,nASIG)&gt;0)*(nNOTA))/SUMPRODUCT((nNIA=S799)*(nCUENTA=1)*(COUNTIF(CONFIG_ASIGNATURAS!$B$7:$B$27,nASIG)&gt;0)*1),"")))</f>
        <v/>
      </c>
      <c r="Z799" t="str">
        <f>IF(Y799="","",IF(Y799="[FÓRMULA MANUAL]","",IFERROR(AVERAGEIFS(nNOTA,nNIA,Y799,nCUENTA,1,nASIG,"Análisis"),"")))</f>
        <v/>
      </c>
      <c r="AA799" t="str">
        <f>IF(Y799="","",IF(Y799="[FÓRMULA MANUAL]","",IFERROR(AVERAGEIFS(nNOTA,nNIA,Y799,nCUENTA,1,nASIG,"Orquesta/Banda/Conjunto"),"")))</f>
        <v/>
      </c>
      <c r="AB799" t="str">
        <f>IF(Y799="","",IF(Y799="[FÓRMULA MANUAL]","",IFERROR(AVERAGEIFS(nNOTA,nNIA,Y799,nCUENTA,1,nASIG,"Música de Cámara"),"")))</f>
        <v/>
      </c>
      <c r="AC799" t="str">
        <f>IF(Y799="","",IF(Y799="[FÓRMULA MANUAL]","",IFERROR(SUMPRODUCT((nNIA=Y799)*(nCUENTA=1)*(COUNTIF(CONFIG_ASIGNATURAS!$B$7:$B$27,nASIG)&gt;0)*(nNOTA))/SUMPRODUCT((nNIA=Y799)*(nCUENTA=1)*(COUNTIF(CONFIG_ASIGNATURAS!$B$7:$B$27,nASIG)&gt;0)*1),"")))</f>
        <v/>
      </c>
      <c r="AF799" t="str">
        <f>IF(AE799="","",IF(AE799="[FÓRMULA MANUAL]","",IFERROR(AVERAGEIFS(nNOTA,nNIA,AE799,nCUENTA,1,nASIG,"Análisis"),"")))</f>
        <v/>
      </c>
      <c r="AG799" t="str">
        <f>IF(AE799="","",IF(AE799="[FÓRMULA MANUAL]","",IFERROR(AVERAGEIFS(nNOTA,nNIA,AE799,nCUENTA,1,nASIG,"Orquesta/Banda/Conjunto"),"")))</f>
        <v/>
      </c>
      <c r="AH799" t="str">
        <f>IF(AE799="","",IF(AE799="[FÓRMULA MANUAL]","",IFERROR(AVERAGEIFS(nNOTA,nNIA,AE799,nCUENTA,1,nASIG,"Música de Cámara"),"")))</f>
        <v/>
      </c>
      <c r="AI799" t="str">
        <f>IF(AE799="","",IF(AE799="[FÓRMULA MANUAL]","",IFERROR(SUMPRODUCT((nNIA=AE799)*(nCUENTA=1)*(COUNTIF(CONFIG_ASIGNATURAS!$B$7:$B$27,nASIG)&gt;0)*(nNOTA))/SUMPRODUCT((nNIA=AE799)*(nCUENTA=1)*(COUNTIF(CONFIG_ASIGNATURAS!$B$7:$B$27,nASIG)&gt;0)*1),"")))</f>
        <v/>
      </c>
    </row>
    <row r="800" spans="2:35" x14ac:dyDescent="0.2">
      <c r="B800" t="str">
        <f>IF(A800="","",IF(A800="[FÓRMULA MANUAL]","",IFERROR(AVERAGEIFS(nNOTA,nNIA,A800,nCUENTA,1,nASIG,"Lenguaje Musical"),"")))</f>
        <v/>
      </c>
      <c r="C800" t="str">
        <f>IF(A800="","",IF(A800="[FÓRMULA MANUAL]","",IFERROR(AVERAGEIFS(nNOTA,nNIA,A800,nCUENTA,1,nASIG,"Orquesta/Banda/Conjunto"),"")))</f>
        <v/>
      </c>
      <c r="D800" t="str">
        <f>IF(A800="","",IF(A800="[FÓRMULA MANUAL]","",IFERROR(AVERAGEIFS(nNOTA,nNIA,A800,nCUENTA,1,nASIG,"Conjunto"),"")))</f>
        <v/>
      </c>
      <c r="E800" t="str">
        <f>IF(A800="","",IF(A800="[FÓRMULA MANUAL]","",IFERROR(SUMPRODUCT((nNIA=A800)*(nCUENTA=1)*(COUNTIF(CONFIG_ASIGNATURAS!$B$7:$B$27,nASIG)&gt;0)*(nNOTA))/SUMPRODUCT((nNIA=A800)*(nCUENTA=1)*(COUNTIF(CONFIG_ASIGNATURAS!$B$7:$B$27,nASIG)&gt;0)*1),"")))</f>
        <v/>
      </c>
      <c r="H800" t="str">
        <f>IF(G800="","",IF(G800="[FÓRMULA MANUAL]","",IFERROR(AVERAGEIFS(nNOTA,nNIA,G800,nCUENTA,1,nASIG,"Lenguaje Musical"),"")))</f>
        <v/>
      </c>
      <c r="I800" t="str">
        <f>IF(G800="","",IF(G800="[FÓRMULA MANUAL]","",IFERROR(AVERAGEIFS(nNOTA,nNIA,G800,nCUENTA,1,nASIG,"Orquesta/Banda/Conjunto"),"")))</f>
        <v/>
      </c>
      <c r="J800" t="str">
        <f>IF(G800="","",IF(G800="[FÓRMULA MANUAL]","",IFERROR(AVERAGEIFS(nNOTA,nNIA,G800,nCUENTA,1,nASIG,"Conjunto"),"")))</f>
        <v/>
      </c>
      <c r="K800" t="str">
        <f>IF(G800="","",IF(G800="[FÓRMULA MANUAL]","",IFERROR(SUMPRODUCT((nNIA=G800)*(nCUENTA=1)*(COUNTIF(CONFIG_ASIGNATURAS!$B$7:$B$27,nASIG)&gt;0)*(nNOTA))/SUMPRODUCT((nNIA=G800)*(nCUENTA=1)*(COUNTIF(CONFIG_ASIGNATURAS!$B$7:$B$27,nASIG)&gt;0)*1),"")))</f>
        <v/>
      </c>
      <c r="N800" t="str">
        <f>IF(M800="","",IF(M800="[FÓRMULA MANUAL]","",IFERROR(AVERAGEIFS(nNOTA,nNIA,M800,nCUENTA,1,nASIG,"Armonía"),"")))</f>
        <v/>
      </c>
      <c r="O800" t="str">
        <f>IF(M800="","",IF(M800="[FÓRMULA MANUAL]","",IFERROR(AVERAGEIFS(nNOTA,nNIA,M800,nCUENTA,1,nASIG,"Orquesta/Banda/Conjunto"),"")))</f>
        <v/>
      </c>
      <c r="P800" t="str">
        <f>IF(M800="","",IF(M800="[FÓRMULA MANUAL]","",IFERROR(AVERAGEIFS(nNOTA,nNIA,M800,nCUENTA,1,nASIG,"Música de Cámara"),"")))</f>
        <v/>
      </c>
      <c r="Q800" t="str">
        <f>IF(M800="","",IF(M800="[FÓRMULA MANUAL]","",IFERROR(SUMPRODUCT((nNIA=M800)*(nCUENTA=1)*(COUNTIF(CONFIG_ASIGNATURAS!$B$7:$B$27,nASIG)&gt;0)*(nNOTA))/SUMPRODUCT((nNIA=M800)*(nCUENTA=1)*(COUNTIF(CONFIG_ASIGNATURAS!$B$7:$B$27,nASIG)&gt;0)*1),"")))</f>
        <v/>
      </c>
      <c r="T800" t="str">
        <f>IF(S800="","",IF(S800="[FÓRMULA MANUAL]","",IFERROR(AVERAGEIFS(nNOTA,nNIA,S800,nCUENTA,1,nASIG,"Armonía"),"")))</f>
        <v/>
      </c>
      <c r="U800" t="str">
        <f>IF(S800="","",IF(S800="[FÓRMULA MANUAL]","",IFERROR(AVERAGEIFS(nNOTA,nNIA,S800,nCUENTA,1,nASIG,"Orquesta/Banda/Conjunto"),"")))</f>
        <v/>
      </c>
      <c r="V800" t="str">
        <f>IF(S800="","",IF(S800="[FÓRMULA MANUAL]","",IFERROR(AVERAGEIFS(nNOTA,nNIA,S800,nCUENTA,1,nASIG,"Música de Cámara"),"")))</f>
        <v/>
      </c>
      <c r="W800" t="str">
        <f>IF(S800="","",IF(S800="[FÓRMULA MANUAL]","",IFERROR(SUMPRODUCT((nNIA=S800)*(nCUENTA=1)*(COUNTIF(CONFIG_ASIGNATURAS!$B$7:$B$27,nASIG)&gt;0)*(nNOTA))/SUMPRODUCT((nNIA=S800)*(nCUENTA=1)*(COUNTIF(CONFIG_ASIGNATURAS!$B$7:$B$27,nASIG)&gt;0)*1),"")))</f>
        <v/>
      </c>
      <c r="Z800" t="str">
        <f>IF(Y800="","",IF(Y800="[FÓRMULA MANUAL]","",IFERROR(AVERAGEIFS(nNOTA,nNIA,Y800,nCUENTA,1,nASIG,"Análisis"),"")))</f>
        <v/>
      </c>
      <c r="AA800" t="str">
        <f>IF(Y800="","",IF(Y800="[FÓRMULA MANUAL]","",IFERROR(AVERAGEIFS(nNOTA,nNIA,Y800,nCUENTA,1,nASIG,"Orquesta/Banda/Conjunto"),"")))</f>
        <v/>
      </c>
      <c r="AB800" t="str">
        <f>IF(Y800="","",IF(Y800="[FÓRMULA MANUAL]","",IFERROR(AVERAGEIFS(nNOTA,nNIA,Y800,nCUENTA,1,nASIG,"Música de Cámara"),"")))</f>
        <v/>
      </c>
      <c r="AC800" t="str">
        <f>IF(Y800="","",IF(Y800="[FÓRMULA MANUAL]","",IFERROR(SUMPRODUCT((nNIA=Y800)*(nCUENTA=1)*(COUNTIF(CONFIG_ASIGNATURAS!$B$7:$B$27,nASIG)&gt;0)*(nNOTA))/SUMPRODUCT((nNIA=Y800)*(nCUENTA=1)*(COUNTIF(CONFIG_ASIGNATURAS!$B$7:$B$27,nASIG)&gt;0)*1),"")))</f>
        <v/>
      </c>
      <c r="AF800" t="str">
        <f>IF(AE800="","",IF(AE800="[FÓRMULA MANUAL]","",IFERROR(AVERAGEIFS(nNOTA,nNIA,AE800,nCUENTA,1,nASIG,"Análisis"),"")))</f>
        <v/>
      </c>
      <c r="AG800" t="str">
        <f>IF(AE800="","",IF(AE800="[FÓRMULA MANUAL]","",IFERROR(AVERAGEIFS(nNOTA,nNIA,AE800,nCUENTA,1,nASIG,"Orquesta/Banda/Conjunto"),"")))</f>
        <v/>
      </c>
      <c r="AH800" t="str">
        <f>IF(AE800="","",IF(AE800="[FÓRMULA MANUAL]","",IFERROR(AVERAGEIFS(nNOTA,nNIA,AE800,nCUENTA,1,nASIG,"Música de Cámara"),"")))</f>
        <v/>
      </c>
      <c r="AI800" t="str">
        <f>IF(AE800="","",IF(AE800="[FÓRMULA MANUAL]","",IFERROR(SUMPRODUCT((nNIA=AE800)*(nCUENTA=1)*(COUNTIF(CONFIG_ASIGNATURAS!$B$7:$B$27,nASIG)&gt;0)*(nNOTA))/SUMPRODUCT((nNIA=AE800)*(nCUENTA=1)*(COUNTIF(CONFIG_ASIGNATURAS!$B$7:$B$27,nASIG)&gt;0)*1),"")))</f>
        <v/>
      </c>
    </row>
    <row r="801" spans="2:35" x14ac:dyDescent="0.2">
      <c r="B801" t="str">
        <f>IF(A801="","",IF(A801="[FÓRMULA MANUAL]","",IFERROR(AVERAGEIFS(nNOTA,nNIA,A801,nCUENTA,1,nASIG,"Lenguaje Musical"),"")))</f>
        <v/>
      </c>
      <c r="C801" t="str">
        <f>IF(A801="","",IF(A801="[FÓRMULA MANUAL]","",IFERROR(AVERAGEIFS(nNOTA,nNIA,A801,nCUENTA,1,nASIG,"Orquesta/Banda/Conjunto"),"")))</f>
        <v/>
      </c>
      <c r="D801" t="str">
        <f>IF(A801="","",IF(A801="[FÓRMULA MANUAL]","",IFERROR(AVERAGEIFS(nNOTA,nNIA,A801,nCUENTA,1,nASIG,"Conjunto"),"")))</f>
        <v/>
      </c>
      <c r="E801" t="str">
        <f>IF(A801="","",IF(A801="[FÓRMULA MANUAL]","",IFERROR(SUMPRODUCT((nNIA=A801)*(nCUENTA=1)*(COUNTIF(CONFIG_ASIGNATURAS!$B$7:$B$27,nASIG)&gt;0)*(nNOTA))/SUMPRODUCT((nNIA=A801)*(nCUENTA=1)*(COUNTIF(CONFIG_ASIGNATURAS!$B$7:$B$27,nASIG)&gt;0)*1),"")))</f>
        <v/>
      </c>
      <c r="H801" t="str">
        <f>IF(G801="","",IF(G801="[FÓRMULA MANUAL]","",IFERROR(AVERAGEIFS(nNOTA,nNIA,G801,nCUENTA,1,nASIG,"Lenguaje Musical"),"")))</f>
        <v/>
      </c>
      <c r="I801" t="str">
        <f>IF(G801="","",IF(G801="[FÓRMULA MANUAL]","",IFERROR(AVERAGEIFS(nNOTA,nNIA,G801,nCUENTA,1,nASIG,"Orquesta/Banda/Conjunto"),"")))</f>
        <v/>
      </c>
      <c r="J801" t="str">
        <f>IF(G801="","",IF(G801="[FÓRMULA MANUAL]","",IFERROR(AVERAGEIFS(nNOTA,nNIA,G801,nCUENTA,1,nASIG,"Conjunto"),"")))</f>
        <v/>
      </c>
      <c r="K801" t="str">
        <f>IF(G801="","",IF(G801="[FÓRMULA MANUAL]","",IFERROR(SUMPRODUCT((nNIA=G801)*(nCUENTA=1)*(COUNTIF(CONFIG_ASIGNATURAS!$B$7:$B$27,nASIG)&gt;0)*(nNOTA))/SUMPRODUCT((nNIA=G801)*(nCUENTA=1)*(COUNTIF(CONFIG_ASIGNATURAS!$B$7:$B$27,nASIG)&gt;0)*1),"")))</f>
        <v/>
      </c>
      <c r="N801" t="str">
        <f>IF(M801="","",IF(M801="[FÓRMULA MANUAL]","",IFERROR(AVERAGEIFS(nNOTA,nNIA,M801,nCUENTA,1,nASIG,"Armonía"),"")))</f>
        <v/>
      </c>
      <c r="O801" t="str">
        <f>IF(M801="","",IF(M801="[FÓRMULA MANUAL]","",IFERROR(AVERAGEIFS(nNOTA,nNIA,M801,nCUENTA,1,nASIG,"Orquesta/Banda/Conjunto"),"")))</f>
        <v/>
      </c>
      <c r="P801" t="str">
        <f>IF(M801="","",IF(M801="[FÓRMULA MANUAL]","",IFERROR(AVERAGEIFS(nNOTA,nNIA,M801,nCUENTA,1,nASIG,"Música de Cámara"),"")))</f>
        <v/>
      </c>
      <c r="Q801" t="str">
        <f>IF(M801="","",IF(M801="[FÓRMULA MANUAL]","",IFERROR(SUMPRODUCT((nNIA=M801)*(nCUENTA=1)*(COUNTIF(CONFIG_ASIGNATURAS!$B$7:$B$27,nASIG)&gt;0)*(nNOTA))/SUMPRODUCT((nNIA=M801)*(nCUENTA=1)*(COUNTIF(CONFIG_ASIGNATURAS!$B$7:$B$27,nASIG)&gt;0)*1),"")))</f>
        <v/>
      </c>
      <c r="T801" t="str">
        <f>IF(S801="","",IF(S801="[FÓRMULA MANUAL]","",IFERROR(AVERAGEIFS(nNOTA,nNIA,S801,nCUENTA,1,nASIG,"Armonía"),"")))</f>
        <v/>
      </c>
      <c r="U801" t="str">
        <f>IF(S801="","",IF(S801="[FÓRMULA MANUAL]","",IFERROR(AVERAGEIFS(nNOTA,nNIA,S801,nCUENTA,1,nASIG,"Orquesta/Banda/Conjunto"),"")))</f>
        <v/>
      </c>
      <c r="V801" t="str">
        <f>IF(S801="","",IF(S801="[FÓRMULA MANUAL]","",IFERROR(AVERAGEIFS(nNOTA,nNIA,S801,nCUENTA,1,nASIG,"Música de Cámara"),"")))</f>
        <v/>
      </c>
      <c r="W801" t="str">
        <f>IF(S801="","",IF(S801="[FÓRMULA MANUAL]","",IFERROR(SUMPRODUCT((nNIA=S801)*(nCUENTA=1)*(COUNTIF(CONFIG_ASIGNATURAS!$B$7:$B$27,nASIG)&gt;0)*(nNOTA))/SUMPRODUCT((nNIA=S801)*(nCUENTA=1)*(COUNTIF(CONFIG_ASIGNATURAS!$B$7:$B$27,nASIG)&gt;0)*1),"")))</f>
        <v/>
      </c>
      <c r="Z801" t="str">
        <f>IF(Y801="","",IF(Y801="[FÓRMULA MANUAL]","",IFERROR(AVERAGEIFS(nNOTA,nNIA,Y801,nCUENTA,1,nASIG,"Análisis"),"")))</f>
        <v/>
      </c>
      <c r="AA801" t="str">
        <f>IF(Y801="","",IF(Y801="[FÓRMULA MANUAL]","",IFERROR(AVERAGEIFS(nNOTA,nNIA,Y801,nCUENTA,1,nASIG,"Orquesta/Banda/Conjunto"),"")))</f>
        <v/>
      </c>
      <c r="AB801" t="str">
        <f>IF(Y801="","",IF(Y801="[FÓRMULA MANUAL]","",IFERROR(AVERAGEIFS(nNOTA,nNIA,Y801,nCUENTA,1,nASIG,"Música de Cámara"),"")))</f>
        <v/>
      </c>
      <c r="AC801" t="str">
        <f>IF(Y801="","",IF(Y801="[FÓRMULA MANUAL]","",IFERROR(SUMPRODUCT((nNIA=Y801)*(nCUENTA=1)*(COUNTIF(CONFIG_ASIGNATURAS!$B$7:$B$27,nASIG)&gt;0)*(nNOTA))/SUMPRODUCT((nNIA=Y801)*(nCUENTA=1)*(COUNTIF(CONFIG_ASIGNATURAS!$B$7:$B$27,nASIG)&gt;0)*1),"")))</f>
        <v/>
      </c>
      <c r="AF801" t="str">
        <f>IF(AE801="","",IF(AE801="[FÓRMULA MANUAL]","",IFERROR(AVERAGEIFS(nNOTA,nNIA,AE801,nCUENTA,1,nASIG,"Análisis"),"")))</f>
        <v/>
      </c>
      <c r="AG801" t="str">
        <f>IF(AE801="","",IF(AE801="[FÓRMULA MANUAL]","",IFERROR(AVERAGEIFS(nNOTA,nNIA,AE801,nCUENTA,1,nASIG,"Orquesta/Banda/Conjunto"),"")))</f>
        <v/>
      </c>
      <c r="AH801" t="str">
        <f>IF(AE801="","",IF(AE801="[FÓRMULA MANUAL]","",IFERROR(AVERAGEIFS(nNOTA,nNIA,AE801,nCUENTA,1,nASIG,"Música de Cámara"),"")))</f>
        <v/>
      </c>
      <c r="AI801" t="str">
        <f>IF(AE801="","",IF(AE801="[FÓRMULA MANUAL]","",IFERROR(SUMPRODUCT((nNIA=AE801)*(nCUENTA=1)*(COUNTIF(CONFIG_ASIGNATURAS!$B$7:$B$27,nASIG)&gt;0)*(nNOTA))/SUMPRODUCT((nNIA=AE801)*(nCUENTA=1)*(COUNTIF(CONFIG_ASIGNATURAS!$B$7:$B$27,nASIG)&gt;0)*1),"")))</f>
        <v/>
      </c>
    </row>
    <row r="802" spans="2:35" x14ac:dyDescent="0.2">
      <c r="B802" t="str">
        <f>IF(A802="","",IF(A802="[FÓRMULA MANUAL]","",IFERROR(AVERAGEIFS(nNOTA,nNIA,A802,nCUENTA,1,nASIG,"Lenguaje Musical"),"")))</f>
        <v/>
      </c>
      <c r="C802" t="str">
        <f>IF(A802="","",IF(A802="[FÓRMULA MANUAL]","",IFERROR(AVERAGEIFS(nNOTA,nNIA,A802,nCUENTA,1,nASIG,"Orquesta/Banda/Conjunto"),"")))</f>
        <v/>
      </c>
      <c r="D802" t="str">
        <f>IF(A802="","",IF(A802="[FÓRMULA MANUAL]","",IFERROR(AVERAGEIFS(nNOTA,nNIA,A802,nCUENTA,1,nASIG,"Conjunto"),"")))</f>
        <v/>
      </c>
      <c r="E802" t="str">
        <f>IF(A802="","",IF(A802="[FÓRMULA MANUAL]","",IFERROR(SUMPRODUCT((nNIA=A802)*(nCUENTA=1)*(COUNTIF(CONFIG_ASIGNATURAS!$B$7:$B$27,nASIG)&gt;0)*(nNOTA))/SUMPRODUCT((nNIA=A802)*(nCUENTA=1)*(COUNTIF(CONFIG_ASIGNATURAS!$B$7:$B$27,nASIG)&gt;0)*1),"")))</f>
        <v/>
      </c>
      <c r="H802" t="str">
        <f>IF(G802="","",IF(G802="[FÓRMULA MANUAL]","",IFERROR(AVERAGEIFS(nNOTA,nNIA,G802,nCUENTA,1,nASIG,"Lenguaje Musical"),"")))</f>
        <v/>
      </c>
      <c r="I802" t="str">
        <f>IF(G802="","",IF(G802="[FÓRMULA MANUAL]","",IFERROR(AVERAGEIFS(nNOTA,nNIA,G802,nCUENTA,1,nASIG,"Orquesta/Banda/Conjunto"),"")))</f>
        <v/>
      </c>
      <c r="J802" t="str">
        <f>IF(G802="","",IF(G802="[FÓRMULA MANUAL]","",IFERROR(AVERAGEIFS(nNOTA,nNIA,G802,nCUENTA,1,nASIG,"Conjunto"),"")))</f>
        <v/>
      </c>
      <c r="K802" t="str">
        <f>IF(G802="","",IF(G802="[FÓRMULA MANUAL]","",IFERROR(SUMPRODUCT((nNIA=G802)*(nCUENTA=1)*(COUNTIF(CONFIG_ASIGNATURAS!$B$7:$B$27,nASIG)&gt;0)*(nNOTA))/SUMPRODUCT((nNIA=G802)*(nCUENTA=1)*(COUNTIF(CONFIG_ASIGNATURAS!$B$7:$B$27,nASIG)&gt;0)*1),"")))</f>
        <v/>
      </c>
      <c r="N802" t="str">
        <f>IF(M802="","",IF(M802="[FÓRMULA MANUAL]","",IFERROR(AVERAGEIFS(nNOTA,nNIA,M802,nCUENTA,1,nASIG,"Armonía"),"")))</f>
        <v/>
      </c>
      <c r="O802" t="str">
        <f>IF(M802="","",IF(M802="[FÓRMULA MANUAL]","",IFERROR(AVERAGEIFS(nNOTA,nNIA,M802,nCUENTA,1,nASIG,"Orquesta/Banda/Conjunto"),"")))</f>
        <v/>
      </c>
      <c r="P802" t="str">
        <f>IF(M802="","",IF(M802="[FÓRMULA MANUAL]","",IFERROR(AVERAGEIFS(nNOTA,nNIA,M802,nCUENTA,1,nASIG,"Música de Cámara"),"")))</f>
        <v/>
      </c>
      <c r="Q802" t="str">
        <f>IF(M802="","",IF(M802="[FÓRMULA MANUAL]","",IFERROR(SUMPRODUCT((nNIA=M802)*(nCUENTA=1)*(COUNTIF(CONFIG_ASIGNATURAS!$B$7:$B$27,nASIG)&gt;0)*(nNOTA))/SUMPRODUCT((nNIA=M802)*(nCUENTA=1)*(COUNTIF(CONFIG_ASIGNATURAS!$B$7:$B$27,nASIG)&gt;0)*1),"")))</f>
        <v/>
      </c>
      <c r="T802" t="str">
        <f>IF(S802="","",IF(S802="[FÓRMULA MANUAL]","",IFERROR(AVERAGEIFS(nNOTA,nNIA,S802,nCUENTA,1,nASIG,"Armonía"),"")))</f>
        <v/>
      </c>
      <c r="U802" t="str">
        <f>IF(S802="","",IF(S802="[FÓRMULA MANUAL]","",IFERROR(AVERAGEIFS(nNOTA,nNIA,S802,nCUENTA,1,nASIG,"Orquesta/Banda/Conjunto"),"")))</f>
        <v/>
      </c>
      <c r="V802" t="str">
        <f>IF(S802="","",IF(S802="[FÓRMULA MANUAL]","",IFERROR(AVERAGEIFS(nNOTA,nNIA,S802,nCUENTA,1,nASIG,"Música de Cámara"),"")))</f>
        <v/>
      </c>
      <c r="W802" t="str">
        <f>IF(S802="","",IF(S802="[FÓRMULA MANUAL]","",IFERROR(SUMPRODUCT((nNIA=S802)*(nCUENTA=1)*(COUNTIF(CONFIG_ASIGNATURAS!$B$7:$B$27,nASIG)&gt;0)*(nNOTA))/SUMPRODUCT((nNIA=S802)*(nCUENTA=1)*(COUNTIF(CONFIG_ASIGNATURAS!$B$7:$B$27,nASIG)&gt;0)*1),"")))</f>
        <v/>
      </c>
      <c r="Z802" t="str">
        <f>IF(Y802="","",IF(Y802="[FÓRMULA MANUAL]","",IFERROR(AVERAGEIFS(nNOTA,nNIA,Y802,nCUENTA,1,nASIG,"Análisis"),"")))</f>
        <v/>
      </c>
      <c r="AA802" t="str">
        <f>IF(Y802="","",IF(Y802="[FÓRMULA MANUAL]","",IFERROR(AVERAGEIFS(nNOTA,nNIA,Y802,nCUENTA,1,nASIG,"Orquesta/Banda/Conjunto"),"")))</f>
        <v/>
      </c>
      <c r="AB802" t="str">
        <f>IF(Y802="","",IF(Y802="[FÓRMULA MANUAL]","",IFERROR(AVERAGEIFS(nNOTA,nNIA,Y802,nCUENTA,1,nASIG,"Música de Cámara"),"")))</f>
        <v/>
      </c>
      <c r="AC802" t="str">
        <f>IF(Y802="","",IF(Y802="[FÓRMULA MANUAL]","",IFERROR(SUMPRODUCT((nNIA=Y802)*(nCUENTA=1)*(COUNTIF(CONFIG_ASIGNATURAS!$B$7:$B$27,nASIG)&gt;0)*(nNOTA))/SUMPRODUCT((nNIA=Y802)*(nCUENTA=1)*(COUNTIF(CONFIG_ASIGNATURAS!$B$7:$B$27,nASIG)&gt;0)*1),"")))</f>
        <v/>
      </c>
      <c r="AF802" t="str">
        <f>IF(AE802="","",IF(AE802="[FÓRMULA MANUAL]","",IFERROR(AVERAGEIFS(nNOTA,nNIA,AE802,nCUENTA,1,nASIG,"Análisis"),"")))</f>
        <v/>
      </c>
      <c r="AG802" t="str">
        <f>IF(AE802="","",IF(AE802="[FÓRMULA MANUAL]","",IFERROR(AVERAGEIFS(nNOTA,nNIA,AE802,nCUENTA,1,nASIG,"Orquesta/Banda/Conjunto"),"")))</f>
        <v/>
      </c>
      <c r="AH802" t="str">
        <f>IF(AE802="","",IF(AE802="[FÓRMULA MANUAL]","",IFERROR(AVERAGEIFS(nNOTA,nNIA,AE802,nCUENTA,1,nASIG,"Música de Cámara"),"")))</f>
        <v/>
      </c>
      <c r="AI802" t="str">
        <f>IF(AE802="","",IF(AE802="[FÓRMULA MANUAL]","",IFERROR(SUMPRODUCT((nNIA=AE802)*(nCUENTA=1)*(COUNTIF(CONFIG_ASIGNATURAS!$B$7:$B$27,nASIG)&gt;0)*(nNOTA))/SUMPRODUCT((nNIA=AE802)*(nCUENTA=1)*(COUNTIF(CONFIG_ASIGNATURAS!$B$7:$B$27,nASIG)&gt;0)*1),"")))</f>
        <v/>
      </c>
    </row>
    <row r="803" spans="2:35" x14ac:dyDescent="0.2">
      <c r="B803" t="str">
        <f>IF(A803="","",IF(A803="[FÓRMULA MANUAL]","",IFERROR(AVERAGEIFS(nNOTA,nNIA,A803,nCUENTA,1,nASIG,"Lenguaje Musical"),"")))</f>
        <v/>
      </c>
      <c r="C803" t="str">
        <f>IF(A803="","",IF(A803="[FÓRMULA MANUAL]","",IFERROR(AVERAGEIFS(nNOTA,nNIA,A803,nCUENTA,1,nASIG,"Orquesta/Banda/Conjunto"),"")))</f>
        <v/>
      </c>
      <c r="D803" t="str">
        <f>IF(A803="","",IF(A803="[FÓRMULA MANUAL]","",IFERROR(AVERAGEIFS(nNOTA,nNIA,A803,nCUENTA,1,nASIG,"Conjunto"),"")))</f>
        <v/>
      </c>
      <c r="E803" t="str">
        <f>IF(A803="","",IF(A803="[FÓRMULA MANUAL]","",IFERROR(SUMPRODUCT((nNIA=A803)*(nCUENTA=1)*(COUNTIF(CONFIG_ASIGNATURAS!$B$7:$B$27,nASIG)&gt;0)*(nNOTA))/SUMPRODUCT((nNIA=A803)*(nCUENTA=1)*(COUNTIF(CONFIG_ASIGNATURAS!$B$7:$B$27,nASIG)&gt;0)*1),"")))</f>
        <v/>
      </c>
      <c r="H803" t="str">
        <f>IF(G803="","",IF(G803="[FÓRMULA MANUAL]","",IFERROR(AVERAGEIFS(nNOTA,nNIA,G803,nCUENTA,1,nASIG,"Lenguaje Musical"),"")))</f>
        <v/>
      </c>
      <c r="I803" t="str">
        <f>IF(G803="","",IF(G803="[FÓRMULA MANUAL]","",IFERROR(AVERAGEIFS(nNOTA,nNIA,G803,nCUENTA,1,nASIG,"Orquesta/Banda/Conjunto"),"")))</f>
        <v/>
      </c>
      <c r="J803" t="str">
        <f>IF(G803="","",IF(G803="[FÓRMULA MANUAL]","",IFERROR(AVERAGEIFS(nNOTA,nNIA,G803,nCUENTA,1,nASIG,"Conjunto"),"")))</f>
        <v/>
      </c>
      <c r="K803" t="str">
        <f>IF(G803="","",IF(G803="[FÓRMULA MANUAL]","",IFERROR(SUMPRODUCT((nNIA=G803)*(nCUENTA=1)*(COUNTIF(CONFIG_ASIGNATURAS!$B$7:$B$27,nASIG)&gt;0)*(nNOTA))/SUMPRODUCT((nNIA=G803)*(nCUENTA=1)*(COUNTIF(CONFIG_ASIGNATURAS!$B$7:$B$27,nASIG)&gt;0)*1),"")))</f>
        <v/>
      </c>
      <c r="N803" t="str">
        <f>IF(M803="","",IF(M803="[FÓRMULA MANUAL]","",IFERROR(AVERAGEIFS(nNOTA,nNIA,M803,nCUENTA,1,nASIG,"Armonía"),"")))</f>
        <v/>
      </c>
      <c r="O803" t="str">
        <f>IF(M803="","",IF(M803="[FÓRMULA MANUAL]","",IFERROR(AVERAGEIFS(nNOTA,nNIA,M803,nCUENTA,1,nASIG,"Orquesta/Banda/Conjunto"),"")))</f>
        <v/>
      </c>
      <c r="P803" t="str">
        <f>IF(M803="","",IF(M803="[FÓRMULA MANUAL]","",IFERROR(AVERAGEIFS(nNOTA,nNIA,M803,nCUENTA,1,nASIG,"Música de Cámara"),"")))</f>
        <v/>
      </c>
      <c r="Q803" t="str">
        <f>IF(M803="","",IF(M803="[FÓRMULA MANUAL]","",IFERROR(SUMPRODUCT((nNIA=M803)*(nCUENTA=1)*(COUNTIF(CONFIG_ASIGNATURAS!$B$7:$B$27,nASIG)&gt;0)*(nNOTA))/SUMPRODUCT((nNIA=M803)*(nCUENTA=1)*(COUNTIF(CONFIG_ASIGNATURAS!$B$7:$B$27,nASIG)&gt;0)*1),"")))</f>
        <v/>
      </c>
      <c r="T803" t="str">
        <f>IF(S803="","",IF(S803="[FÓRMULA MANUAL]","",IFERROR(AVERAGEIFS(nNOTA,nNIA,S803,nCUENTA,1,nASIG,"Armonía"),"")))</f>
        <v/>
      </c>
      <c r="U803" t="str">
        <f>IF(S803="","",IF(S803="[FÓRMULA MANUAL]","",IFERROR(AVERAGEIFS(nNOTA,nNIA,S803,nCUENTA,1,nASIG,"Orquesta/Banda/Conjunto"),"")))</f>
        <v/>
      </c>
      <c r="V803" t="str">
        <f>IF(S803="","",IF(S803="[FÓRMULA MANUAL]","",IFERROR(AVERAGEIFS(nNOTA,nNIA,S803,nCUENTA,1,nASIG,"Música de Cámara"),"")))</f>
        <v/>
      </c>
      <c r="W803" t="str">
        <f>IF(S803="","",IF(S803="[FÓRMULA MANUAL]","",IFERROR(SUMPRODUCT((nNIA=S803)*(nCUENTA=1)*(COUNTIF(CONFIG_ASIGNATURAS!$B$7:$B$27,nASIG)&gt;0)*(nNOTA))/SUMPRODUCT((nNIA=S803)*(nCUENTA=1)*(COUNTIF(CONFIG_ASIGNATURAS!$B$7:$B$27,nASIG)&gt;0)*1),"")))</f>
        <v/>
      </c>
      <c r="Z803" t="str">
        <f>IF(Y803="","",IF(Y803="[FÓRMULA MANUAL]","",IFERROR(AVERAGEIFS(nNOTA,nNIA,Y803,nCUENTA,1,nASIG,"Análisis"),"")))</f>
        <v/>
      </c>
      <c r="AA803" t="str">
        <f>IF(Y803="","",IF(Y803="[FÓRMULA MANUAL]","",IFERROR(AVERAGEIFS(nNOTA,nNIA,Y803,nCUENTA,1,nASIG,"Orquesta/Banda/Conjunto"),"")))</f>
        <v/>
      </c>
      <c r="AB803" t="str">
        <f>IF(Y803="","",IF(Y803="[FÓRMULA MANUAL]","",IFERROR(AVERAGEIFS(nNOTA,nNIA,Y803,nCUENTA,1,nASIG,"Música de Cámara"),"")))</f>
        <v/>
      </c>
      <c r="AC803" t="str">
        <f>IF(Y803="","",IF(Y803="[FÓRMULA MANUAL]","",IFERROR(SUMPRODUCT((nNIA=Y803)*(nCUENTA=1)*(COUNTIF(CONFIG_ASIGNATURAS!$B$7:$B$27,nASIG)&gt;0)*(nNOTA))/SUMPRODUCT((nNIA=Y803)*(nCUENTA=1)*(COUNTIF(CONFIG_ASIGNATURAS!$B$7:$B$27,nASIG)&gt;0)*1),"")))</f>
        <v/>
      </c>
      <c r="AF803" t="str">
        <f>IF(AE803="","",IF(AE803="[FÓRMULA MANUAL]","",IFERROR(AVERAGEIFS(nNOTA,nNIA,AE803,nCUENTA,1,nASIG,"Análisis"),"")))</f>
        <v/>
      </c>
      <c r="AG803" t="str">
        <f>IF(AE803="","",IF(AE803="[FÓRMULA MANUAL]","",IFERROR(AVERAGEIFS(nNOTA,nNIA,AE803,nCUENTA,1,nASIG,"Orquesta/Banda/Conjunto"),"")))</f>
        <v/>
      </c>
      <c r="AH803" t="str">
        <f>IF(AE803="","",IF(AE803="[FÓRMULA MANUAL]","",IFERROR(AVERAGEIFS(nNOTA,nNIA,AE803,nCUENTA,1,nASIG,"Música de Cámara"),"")))</f>
        <v/>
      </c>
      <c r="AI803" t="str">
        <f>IF(AE803="","",IF(AE803="[FÓRMULA MANUAL]","",IFERROR(SUMPRODUCT((nNIA=AE803)*(nCUENTA=1)*(COUNTIF(CONFIG_ASIGNATURAS!$B$7:$B$27,nASIG)&gt;0)*(nNOTA))/SUMPRODUCT((nNIA=AE803)*(nCUENTA=1)*(COUNTIF(CONFIG_ASIGNATURAS!$B$7:$B$27,nASIG)&gt;0)*1),"")))</f>
        <v/>
      </c>
    </row>
    <row r="804" spans="2:35" x14ac:dyDescent="0.2">
      <c r="B804" t="str">
        <f>IF(A804="","",IF(A804="[FÓRMULA MANUAL]","",IFERROR(AVERAGEIFS(nNOTA,nNIA,A804,nCUENTA,1,nASIG,"Lenguaje Musical"),"")))</f>
        <v/>
      </c>
      <c r="C804" t="str">
        <f>IF(A804="","",IF(A804="[FÓRMULA MANUAL]","",IFERROR(AVERAGEIFS(nNOTA,nNIA,A804,nCUENTA,1,nASIG,"Orquesta/Banda/Conjunto"),"")))</f>
        <v/>
      </c>
      <c r="D804" t="str">
        <f>IF(A804="","",IF(A804="[FÓRMULA MANUAL]","",IFERROR(AVERAGEIFS(nNOTA,nNIA,A804,nCUENTA,1,nASIG,"Conjunto"),"")))</f>
        <v/>
      </c>
      <c r="E804" t="str">
        <f>IF(A804="","",IF(A804="[FÓRMULA MANUAL]","",IFERROR(SUMPRODUCT((nNIA=A804)*(nCUENTA=1)*(COUNTIF(CONFIG_ASIGNATURAS!$B$7:$B$27,nASIG)&gt;0)*(nNOTA))/SUMPRODUCT((nNIA=A804)*(nCUENTA=1)*(COUNTIF(CONFIG_ASIGNATURAS!$B$7:$B$27,nASIG)&gt;0)*1),"")))</f>
        <v/>
      </c>
      <c r="H804" t="str">
        <f>IF(G804="","",IF(G804="[FÓRMULA MANUAL]","",IFERROR(AVERAGEIFS(nNOTA,nNIA,G804,nCUENTA,1,nASIG,"Lenguaje Musical"),"")))</f>
        <v/>
      </c>
      <c r="I804" t="str">
        <f>IF(G804="","",IF(G804="[FÓRMULA MANUAL]","",IFERROR(AVERAGEIFS(nNOTA,nNIA,G804,nCUENTA,1,nASIG,"Orquesta/Banda/Conjunto"),"")))</f>
        <v/>
      </c>
      <c r="J804" t="str">
        <f>IF(G804="","",IF(G804="[FÓRMULA MANUAL]","",IFERROR(AVERAGEIFS(nNOTA,nNIA,G804,nCUENTA,1,nASIG,"Conjunto"),"")))</f>
        <v/>
      </c>
      <c r="K804" t="str">
        <f>IF(G804="","",IF(G804="[FÓRMULA MANUAL]","",IFERROR(SUMPRODUCT((nNIA=G804)*(nCUENTA=1)*(COUNTIF(CONFIG_ASIGNATURAS!$B$7:$B$27,nASIG)&gt;0)*(nNOTA))/SUMPRODUCT((nNIA=G804)*(nCUENTA=1)*(COUNTIF(CONFIG_ASIGNATURAS!$B$7:$B$27,nASIG)&gt;0)*1),"")))</f>
        <v/>
      </c>
      <c r="N804" t="str">
        <f>IF(M804="","",IF(M804="[FÓRMULA MANUAL]","",IFERROR(AVERAGEIFS(nNOTA,nNIA,M804,nCUENTA,1,nASIG,"Armonía"),"")))</f>
        <v/>
      </c>
      <c r="O804" t="str">
        <f>IF(M804="","",IF(M804="[FÓRMULA MANUAL]","",IFERROR(AVERAGEIFS(nNOTA,nNIA,M804,nCUENTA,1,nASIG,"Orquesta/Banda/Conjunto"),"")))</f>
        <v/>
      </c>
      <c r="P804" t="str">
        <f>IF(M804="","",IF(M804="[FÓRMULA MANUAL]","",IFERROR(AVERAGEIFS(nNOTA,nNIA,M804,nCUENTA,1,nASIG,"Música de Cámara"),"")))</f>
        <v/>
      </c>
      <c r="Q804" t="str">
        <f>IF(M804="","",IF(M804="[FÓRMULA MANUAL]","",IFERROR(SUMPRODUCT((nNIA=M804)*(nCUENTA=1)*(COUNTIF(CONFIG_ASIGNATURAS!$B$7:$B$27,nASIG)&gt;0)*(nNOTA))/SUMPRODUCT((nNIA=M804)*(nCUENTA=1)*(COUNTIF(CONFIG_ASIGNATURAS!$B$7:$B$27,nASIG)&gt;0)*1),"")))</f>
        <v/>
      </c>
      <c r="T804" t="str">
        <f>IF(S804="","",IF(S804="[FÓRMULA MANUAL]","",IFERROR(AVERAGEIFS(nNOTA,nNIA,S804,nCUENTA,1,nASIG,"Armonía"),"")))</f>
        <v/>
      </c>
      <c r="U804" t="str">
        <f>IF(S804="","",IF(S804="[FÓRMULA MANUAL]","",IFERROR(AVERAGEIFS(nNOTA,nNIA,S804,nCUENTA,1,nASIG,"Orquesta/Banda/Conjunto"),"")))</f>
        <v/>
      </c>
      <c r="V804" t="str">
        <f>IF(S804="","",IF(S804="[FÓRMULA MANUAL]","",IFERROR(AVERAGEIFS(nNOTA,nNIA,S804,nCUENTA,1,nASIG,"Música de Cámara"),"")))</f>
        <v/>
      </c>
      <c r="W804" t="str">
        <f>IF(S804="","",IF(S804="[FÓRMULA MANUAL]","",IFERROR(SUMPRODUCT((nNIA=S804)*(nCUENTA=1)*(COUNTIF(CONFIG_ASIGNATURAS!$B$7:$B$27,nASIG)&gt;0)*(nNOTA))/SUMPRODUCT((nNIA=S804)*(nCUENTA=1)*(COUNTIF(CONFIG_ASIGNATURAS!$B$7:$B$27,nASIG)&gt;0)*1),"")))</f>
        <v/>
      </c>
      <c r="Z804" t="str">
        <f>IF(Y804="","",IF(Y804="[FÓRMULA MANUAL]","",IFERROR(AVERAGEIFS(nNOTA,nNIA,Y804,nCUENTA,1,nASIG,"Análisis"),"")))</f>
        <v/>
      </c>
      <c r="AA804" t="str">
        <f>IF(Y804="","",IF(Y804="[FÓRMULA MANUAL]","",IFERROR(AVERAGEIFS(nNOTA,nNIA,Y804,nCUENTA,1,nASIG,"Orquesta/Banda/Conjunto"),"")))</f>
        <v/>
      </c>
      <c r="AB804" t="str">
        <f>IF(Y804="","",IF(Y804="[FÓRMULA MANUAL]","",IFERROR(AVERAGEIFS(nNOTA,nNIA,Y804,nCUENTA,1,nASIG,"Música de Cámara"),"")))</f>
        <v/>
      </c>
      <c r="AC804" t="str">
        <f>IF(Y804="","",IF(Y804="[FÓRMULA MANUAL]","",IFERROR(SUMPRODUCT((nNIA=Y804)*(nCUENTA=1)*(COUNTIF(CONFIG_ASIGNATURAS!$B$7:$B$27,nASIG)&gt;0)*(nNOTA))/SUMPRODUCT((nNIA=Y804)*(nCUENTA=1)*(COUNTIF(CONFIG_ASIGNATURAS!$B$7:$B$27,nASIG)&gt;0)*1),"")))</f>
        <v/>
      </c>
      <c r="AF804" t="str">
        <f>IF(AE804="","",IF(AE804="[FÓRMULA MANUAL]","",IFERROR(AVERAGEIFS(nNOTA,nNIA,AE804,nCUENTA,1,nASIG,"Análisis"),"")))</f>
        <v/>
      </c>
      <c r="AG804" t="str">
        <f>IF(AE804="","",IF(AE804="[FÓRMULA MANUAL]","",IFERROR(AVERAGEIFS(nNOTA,nNIA,AE804,nCUENTA,1,nASIG,"Orquesta/Banda/Conjunto"),"")))</f>
        <v/>
      </c>
      <c r="AH804" t="str">
        <f>IF(AE804="","",IF(AE804="[FÓRMULA MANUAL]","",IFERROR(AVERAGEIFS(nNOTA,nNIA,AE804,nCUENTA,1,nASIG,"Música de Cámara"),"")))</f>
        <v/>
      </c>
      <c r="AI804" t="str">
        <f>IF(AE804="","",IF(AE804="[FÓRMULA MANUAL]","",IFERROR(SUMPRODUCT((nNIA=AE804)*(nCUENTA=1)*(COUNTIF(CONFIG_ASIGNATURAS!$B$7:$B$27,nASIG)&gt;0)*(nNOTA))/SUMPRODUCT((nNIA=AE804)*(nCUENTA=1)*(COUNTIF(CONFIG_ASIGNATURAS!$B$7:$B$27,nASIG)&gt;0)*1),"")))</f>
        <v/>
      </c>
    </row>
    <row r="805" spans="2:35" x14ac:dyDescent="0.2">
      <c r="B805" t="str">
        <f>IF(A805="","",IF(A805="[FÓRMULA MANUAL]","",IFERROR(AVERAGEIFS(nNOTA,nNIA,A805,nCUENTA,1,nASIG,"Lenguaje Musical"),"")))</f>
        <v/>
      </c>
      <c r="C805" t="str">
        <f>IF(A805="","",IF(A805="[FÓRMULA MANUAL]","",IFERROR(AVERAGEIFS(nNOTA,nNIA,A805,nCUENTA,1,nASIG,"Orquesta/Banda/Conjunto"),"")))</f>
        <v/>
      </c>
      <c r="D805" t="str">
        <f>IF(A805="","",IF(A805="[FÓRMULA MANUAL]","",IFERROR(AVERAGEIFS(nNOTA,nNIA,A805,nCUENTA,1,nASIG,"Conjunto"),"")))</f>
        <v/>
      </c>
      <c r="E805" t="str">
        <f>IF(A805="","",IF(A805="[FÓRMULA MANUAL]","",IFERROR(SUMPRODUCT((nNIA=A805)*(nCUENTA=1)*(COUNTIF(CONFIG_ASIGNATURAS!$B$7:$B$27,nASIG)&gt;0)*(nNOTA))/SUMPRODUCT((nNIA=A805)*(nCUENTA=1)*(COUNTIF(CONFIG_ASIGNATURAS!$B$7:$B$27,nASIG)&gt;0)*1),"")))</f>
        <v/>
      </c>
      <c r="H805" t="str">
        <f>IF(G805="","",IF(G805="[FÓRMULA MANUAL]","",IFERROR(AVERAGEIFS(nNOTA,nNIA,G805,nCUENTA,1,nASIG,"Lenguaje Musical"),"")))</f>
        <v/>
      </c>
      <c r="I805" t="str">
        <f>IF(G805="","",IF(G805="[FÓRMULA MANUAL]","",IFERROR(AVERAGEIFS(nNOTA,nNIA,G805,nCUENTA,1,nASIG,"Orquesta/Banda/Conjunto"),"")))</f>
        <v/>
      </c>
      <c r="J805" t="str">
        <f>IF(G805="","",IF(G805="[FÓRMULA MANUAL]","",IFERROR(AVERAGEIFS(nNOTA,nNIA,G805,nCUENTA,1,nASIG,"Conjunto"),"")))</f>
        <v/>
      </c>
      <c r="K805" t="str">
        <f>IF(G805="","",IF(G805="[FÓRMULA MANUAL]","",IFERROR(SUMPRODUCT((nNIA=G805)*(nCUENTA=1)*(COUNTIF(CONFIG_ASIGNATURAS!$B$7:$B$27,nASIG)&gt;0)*(nNOTA))/SUMPRODUCT((nNIA=G805)*(nCUENTA=1)*(COUNTIF(CONFIG_ASIGNATURAS!$B$7:$B$27,nASIG)&gt;0)*1),"")))</f>
        <v/>
      </c>
      <c r="N805" t="str">
        <f>IF(M805="","",IF(M805="[FÓRMULA MANUAL]","",IFERROR(AVERAGEIFS(nNOTA,nNIA,M805,nCUENTA,1,nASIG,"Armonía"),"")))</f>
        <v/>
      </c>
      <c r="O805" t="str">
        <f>IF(M805="","",IF(M805="[FÓRMULA MANUAL]","",IFERROR(AVERAGEIFS(nNOTA,nNIA,M805,nCUENTA,1,nASIG,"Orquesta/Banda/Conjunto"),"")))</f>
        <v/>
      </c>
      <c r="P805" t="str">
        <f>IF(M805="","",IF(M805="[FÓRMULA MANUAL]","",IFERROR(AVERAGEIFS(nNOTA,nNIA,M805,nCUENTA,1,nASIG,"Música de Cámara"),"")))</f>
        <v/>
      </c>
      <c r="Q805" t="str">
        <f>IF(M805="","",IF(M805="[FÓRMULA MANUAL]","",IFERROR(SUMPRODUCT((nNIA=M805)*(nCUENTA=1)*(COUNTIF(CONFIG_ASIGNATURAS!$B$7:$B$27,nASIG)&gt;0)*(nNOTA))/SUMPRODUCT((nNIA=M805)*(nCUENTA=1)*(COUNTIF(CONFIG_ASIGNATURAS!$B$7:$B$27,nASIG)&gt;0)*1),"")))</f>
        <v/>
      </c>
      <c r="T805" t="str">
        <f>IF(S805="","",IF(S805="[FÓRMULA MANUAL]","",IFERROR(AVERAGEIFS(nNOTA,nNIA,S805,nCUENTA,1,nASIG,"Armonía"),"")))</f>
        <v/>
      </c>
      <c r="U805" t="str">
        <f>IF(S805="","",IF(S805="[FÓRMULA MANUAL]","",IFERROR(AVERAGEIFS(nNOTA,nNIA,S805,nCUENTA,1,nASIG,"Orquesta/Banda/Conjunto"),"")))</f>
        <v/>
      </c>
      <c r="V805" t="str">
        <f>IF(S805="","",IF(S805="[FÓRMULA MANUAL]","",IFERROR(AVERAGEIFS(nNOTA,nNIA,S805,nCUENTA,1,nASIG,"Música de Cámara"),"")))</f>
        <v/>
      </c>
      <c r="W805" t="str">
        <f>IF(S805="","",IF(S805="[FÓRMULA MANUAL]","",IFERROR(SUMPRODUCT((nNIA=S805)*(nCUENTA=1)*(COUNTIF(CONFIG_ASIGNATURAS!$B$7:$B$27,nASIG)&gt;0)*(nNOTA))/SUMPRODUCT((nNIA=S805)*(nCUENTA=1)*(COUNTIF(CONFIG_ASIGNATURAS!$B$7:$B$27,nASIG)&gt;0)*1),"")))</f>
        <v/>
      </c>
      <c r="Z805" t="str">
        <f>IF(Y805="","",IF(Y805="[FÓRMULA MANUAL]","",IFERROR(AVERAGEIFS(nNOTA,nNIA,Y805,nCUENTA,1,nASIG,"Análisis"),"")))</f>
        <v/>
      </c>
      <c r="AA805" t="str">
        <f>IF(Y805="","",IF(Y805="[FÓRMULA MANUAL]","",IFERROR(AVERAGEIFS(nNOTA,nNIA,Y805,nCUENTA,1,nASIG,"Orquesta/Banda/Conjunto"),"")))</f>
        <v/>
      </c>
      <c r="AB805" t="str">
        <f>IF(Y805="","",IF(Y805="[FÓRMULA MANUAL]","",IFERROR(AVERAGEIFS(nNOTA,nNIA,Y805,nCUENTA,1,nASIG,"Música de Cámara"),"")))</f>
        <v/>
      </c>
      <c r="AC805" t="str">
        <f>IF(Y805="","",IF(Y805="[FÓRMULA MANUAL]","",IFERROR(SUMPRODUCT((nNIA=Y805)*(nCUENTA=1)*(COUNTIF(CONFIG_ASIGNATURAS!$B$7:$B$27,nASIG)&gt;0)*(nNOTA))/SUMPRODUCT((nNIA=Y805)*(nCUENTA=1)*(COUNTIF(CONFIG_ASIGNATURAS!$B$7:$B$27,nASIG)&gt;0)*1),"")))</f>
        <v/>
      </c>
      <c r="AF805" t="str">
        <f>IF(AE805="","",IF(AE805="[FÓRMULA MANUAL]","",IFERROR(AVERAGEIFS(nNOTA,nNIA,AE805,nCUENTA,1,nASIG,"Análisis"),"")))</f>
        <v/>
      </c>
      <c r="AG805" t="str">
        <f>IF(AE805="","",IF(AE805="[FÓRMULA MANUAL]","",IFERROR(AVERAGEIFS(nNOTA,nNIA,AE805,nCUENTA,1,nASIG,"Orquesta/Banda/Conjunto"),"")))</f>
        <v/>
      </c>
      <c r="AH805" t="str">
        <f>IF(AE805="","",IF(AE805="[FÓRMULA MANUAL]","",IFERROR(AVERAGEIFS(nNOTA,nNIA,AE805,nCUENTA,1,nASIG,"Música de Cámara"),"")))</f>
        <v/>
      </c>
      <c r="AI805" t="str">
        <f>IF(AE805="","",IF(AE805="[FÓRMULA MANUAL]","",IFERROR(SUMPRODUCT((nNIA=AE805)*(nCUENTA=1)*(COUNTIF(CONFIG_ASIGNATURAS!$B$7:$B$27,nASIG)&gt;0)*(nNOTA))/SUMPRODUCT((nNIA=AE805)*(nCUENTA=1)*(COUNTIF(CONFIG_ASIGNATURAS!$B$7:$B$27,nASIG)&gt;0)*1),"")))</f>
        <v/>
      </c>
    </row>
    <row r="806" spans="2:35" x14ac:dyDescent="0.2">
      <c r="B806" t="str">
        <f>IF(A806="","",IF(A806="[FÓRMULA MANUAL]","",IFERROR(AVERAGEIFS(nNOTA,nNIA,A806,nCUENTA,1,nASIG,"Lenguaje Musical"),"")))</f>
        <v/>
      </c>
      <c r="C806" t="str">
        <f>IF(A806="","",IF(A806="[FÓRMULA MANUAL]","",IFERROR(AVERAGEIFS(nNOTA,nNIA,A806,nCUENTA,1,nASIG,"Orquesta/Banda/Conjunto"),"")))</f>
        <v/>
      </c>
      <c r="D806" t="str">
        <f>IF(A806="","",IF(A806="[FÓRMULA MANUAL]","",IFERROR(AVERAGEIFS(nNOTA,nNIA,A806,nCUENTA,1,nASIG,"Conjunto"),"")))</f>
        <v/>
      </c>
      <c r="E806" t="str">
        <f>IF(A806="","",IF(A806="[FÓRMULA MANUAL]","",IFERROR(SUMPRODUCT((nNIA=A806)*(nCUENTA=1)*(COUNTIF(CONFIG_ASIGNATURAS!$B$7:$B$27,nASIG)&gt;0)*(nNOTA))/SUMPRODUCT((nNIA=A806)*(nCUENTA=1)*(COUNTIF(CONFIG_ASIGNATURAS!$B$7:$B$27,nASIG)&gt;0)*1),"")))</f>
        <v/>
      </c>
      <c r="H806" t="str">
        <f>IF(G806="","",IF(G806="[FÓRMULA MANUAL]","",IFERROR(AVERAGEIFS(nNOTA,nNIA,G806,nCUENTA,1,nASIG,"Lenguaje Musical"),"")))</f>
        <v/>
      </c>
      <c r="I806" t="str">
        <f>IF(G806="","",IF(G806="[FÓRMULA MANUAL]","",IFERROR(AVERAGEIFS(nNOTA,nNIA,G806,nCUENTA,1,nASIG,"Orquesta/Banda/Conjunto"),"")))</f>
        <v/>
      </c>
      <c r="J806" t="str">
        <f>IF(G806="","",IF(G806="[FÓRMULA MANUAL]","",IFERROR(AVERAGEIFS(nNOTA,nNIA,G806,nCUENTA,1,nASIG,"Conjunto"),"")))</f>
        <v/>
      </c>
      <c r="K806" t="str">
        <f>IF(G806="","",IF(G806="[FÓRMULA MANUAL]","",IFERROR(SUMPRODUCT((nNIA=G806)*(nCUENTA=1)*(COUNTIF(CONFIG_ASIGNATURAS!$B$7:$B$27,nASIG)&gt;0)*(nNOTA))/SUMPRODUCT((nNIA=G806)*(nCUENTA=1)*(COUNTIF(CONFIG_ASIGNATURAS!$B$7:$B$27,nASIG)&gt;0)*1),"")))</f>
        <v/>
      </c>
      <c r="N806" t="str">
        <f>IF(M806="","",IF(M806="[FÓRMULA MANUAL]","",IFERROR(AVERAGEIFS(nNOTA,nNIA,M806,nCUENTA,1,nASIG,"Armonía"),"")))</f>
        <v/>
      </c>
      <c r="O806" t="str">
        <f>IF(M806="","",IF(M806="[FÓRMULA MANUAL]","",IFERROR(AVERAGEIFS(nNOTA,nNIA,M806,nCUENTA,1,nASIG,"Orquesta/Banda/Conjunto"),"")))</f>
        <v/>
      </c>
      <c r="P806" t="str">
        <f>IF(M806="","",IF(M806="[FÓRMULA MANUAL]","",IFERROR(AVERAGEIFS(nNOTA,nNIA,M806,nCUENTA,1,nASIG,"Música de Cámara"),"")))</f>
        <v/>
      </c>
      <c r="Q806" t="str">
        <f>IF(M806="","",IF(M806="[FÓRMULA MANUAL]","",IFERROR(SUMPRODUCT((nNIA=M806)*(nCUENTA=1)*(COUNTIF(CONFIG_ASIGNATURAS!$B$7:$B$27,nASIG)&gt;0)*(nNOTA))/SUMPRODUCT((nNIA=M806)*(nCUENTA=1)*(COUNTIF(CONFIG_ASIGNATURAS!$B$7:$B$27,nASIG)&gt;0)*1),"")))</f>
        <v/>
      </c>
      <c r="T806" t="str">
        <f>IF(S806="","",IF(S806="[FÓRMULA MANUAL]","",IFERROR(AVERAGEIFS(nNOTA,nNIA,S806,nCUENTA,1,nASIG,"Armonía"),"")))</f>
        <v/>
      </c>
      <c r="U806" t="str">
        <f>IF(S806="","",IF(S806="[FÓRMULA MANUAL]","",IFERROR(AVERAGEIFS(nNOTA,nNIA,S806,nCUENTA,1,nASIG,"Orquesta/Banda/Conjunto"),"")))</f>
        <v/>
      </c>
      <c r="V806" t="str">
        <f>IF(S806="","",IF(S806="[FÓRMULA MANUAL]","",IFERROR(AVERAGEIFS(nNOTA,nNIA,S806,nCUENTA,1,nASIG,"Música de Cámara"),"")))</f>
        <v/>
      </c>
      <c r="W806" t="str">
        <f>IF(S806="","",IF(S806="[FÓRMULA MANUAL]","",IFERROR(SUMPRODUCT((nNIA=S806)*(nCUENTA=1)*(COUNTIF(CONFIG_ASIGNATURAS!$B$7:$B$27,nASIG)&gt;0)*(nNOTA))/SUMPRODUCT((nNIA=S806)*(nCUENTA=1)*(COUNTIF(CONFIG_ASIGNATURAS!$B$7:$B$27,nASIG)&gt;0)*1),"")))</f>
        <v/>
      </c>
      <c r="Z806" t="str">
        <f>IF(Y806="","",IF(Y806="[FÓRMULA MANUAL]","",IFERROR(AVERAGEIFS(nNOTA,nNIA,Y806,nCUENTA,1,nASIG,"Análisis"),"")))</f>
        <v/>
      </c>
      <c r="AA806" t="str">
        <f>IF(Y806="","",IF(Y806="[FÓRMULA MANUAL]","",IFERROR(AVERAGEIFS(nNOTA,nNIA,Y806,nCUENTA,1,nASIG,"Orquesta/Banda/Conjunto"),"")))</f>
        <v/>
      </c>
      <c r="AB806" t="str">
        <f>IF(Y806="","",IF(Y806="[FÓRMULA MANUAL]","",IFERROR(AVERAGEIFS(nNOTA,nNIA,Y806,nCUENTA,1,nASIG,"Música de Cámara"),"")))</f>
        <v/>
      </c>
      <c r="AC806" t="str">
        <f>IF(Y806="","",IF(Y806="[FÓRMULA MANUAL]","",IFERROR(SUMPRODUCT((nNIA=Y806)*(nCUENTA=1)*(COUNTIF(CONFIG_ASIGNATURAS!$B$7:$B$27,nASIG)&gt;0)*(nNOTA))/SUMPRODUCT((nNIA=Y806)*(nCUENTA=1)*(COUNTIF(CONFIG_ASIGNATURAS!$B$7:$B$27,nASIG)&gt;0)*1),"")))</f>
        <v/>
      </c>
      <c r="AF806" t="str">
        <f>IF(AE806="","",IF(AE806="[FÓRMULA MANUAL]","",IFERROR(AVERAGEIFS(nNOTA,nNIA,AE806,nCUENTA,1,nASIG,"Análisis"),"")))</f>
        <v/>
      </c>
      <c r="AG806" t="str">
        <f>IF(AE806="","",IF(AE806="[FÓRMULA MANUAL]","",IFERROR(AVERAGEIFS(nNOTA,nNIA,AE806,nCUENTA,1,nASIG,"Orquesta/Banda/Conjunto"),"")))</f>
        <v/>
      </c>
      <c r="AH806" t="str">
        <f>IF(AE806="","",IF(AE806="[FÓRMULA MANUAL]","",IFERROR(AVERAGEIFS(nNOTA,nNIA,AE806,nCUENTA,1,nASIG,"Música de Cámara"),"")))</f>
        <v/>
      </c>
      <c r="AI806" t="str">
        <f>IF(AE806="","",IF(AE806="[FÓRMULA MANUAL]","",IFERROR(SUMPRODUCT((nNIA=AE806)*(nCUENTA=1)*(COUNTIF(CONFIG_ASIGNATURAS!$B$7:$B$27,nASIG)&gt;0)*(nNOTA))/SUMPRODUCT((nNIA=AE806)*(nCUENTA=1)*(COUNTIF(CONFIG_ASIGNATURAS!$B$7:$B$27,nASIG)&gt;0)*1),"")))</f>
        <v/>
      </c>
    </row>
    <row r="807" spans="2:35" x14ac:dyDescent="0.2">
      <c r="B807" t="str">
        <f>IF(A807="","",IF(A807="[FÓRMULA MANUAL]","",IFERROR(AVERAGEIFS(nNOTA,nNIA,A807,nCUENTA,1,nASIG,"Lenguaje Musical"),"")))</f>
        <v/>
      </c>
      <c r="C807" t="str">
        <f>IF(A807="","",IF(A807="[FÓRMULA MANUAL]","",IFERROR(AVERAGEIFS(nNOTA,nNIA,A807,nCUENTA,1,nASIG,"Orquesta/Banda/Conjunto"),"")))</f>
        <v/>
      </c>
      <c r="D807" t="str">
        <f>IF(A807="","",IF(A807="[FÓRMULA MANUAL]","",IFERROR(AVERAGEIFS(nNOTA,nNIA,A807,nCUENTA,1,nASIG,"Conjunto"),"")))</f>
        <v/>
      </c>
      <c r="E807" t="str">
        <f>IF(A807="","",IF(A807="[FÓRMULA MANUAL]","",IFERROR(SUMPRODUCT((nNIA=A807)*(nCUENTA=1)*(COUNTIF(CONFIG_ASIGNATURAS!$B$7:$B$27,nASIG)&gt;0)*(nNOTA))/SUMPRODUCT((nNIA=A807)*(nCUENTA=1)*(COUNTIF(CONFIG_ASIGNATURAS!$B$7:$B$27,nASIG)&gt;0)*1),"")))</f>
        <v/>
      </c>
      <c r="H807" t="str">
        <f>IF(G807="","",IF(G807="[FÓRMULA MANUAL]","",IFERROR(AVERAGEIFS(nNOTA,nNIA,G807,nCUENTA,1,nASIG,"Lenguaje Musical"),"")))</f>
        <v/>
      </c>
      <c r="I807" t="str">
        <f>IF(G807="","",IF(G807="[FÓRMULA MANUAL]","",IFERROR(AVERAGEIFS(nNOTA,nNIA,G807,nCUENTA,1,nASIG,"Orquesta/Banda/Conjunto"),"")))</f>
        <v/>
      </c>
      <c r="J807" t="str">
        <f>IF(G807="","",IF(G807="[FÓRMULA MANUAL]","",IFERROR(AVERAGEIFS(nNOTA,nNIA,G807,nCUENTA,1,nASIG,"Conjunto"),"")))</f>
        <v/>
      </c>
      <c r="K807" t="str">
        <f>IF(G807="","",IF(G807="[FÓRMULA MANUAL]","",IFERROR(SUMPRODUCT((nNIA=G807)*(nCUENTA=1)*(COUNTIF(CONFIG_ASIGNATURAS!$B$7:$B$27,nASIG)&gt;0)*(nNOTA))/SUMPRODUCT((nNIA=G807)*(nCUENTA=1)*(COUNTIF(CONFIG_ASIGNATURAS!$B$7:$B$27,nASIG)&gt;0)*1),"")))</f>
        <v/>
      </c>
      <c r="N807" t="str">
        <f>IF(M807="","",IF(M807="[FÓRMULA MANUAL]","",IFERROR(AVERAGEIFS(nNOTA,nNIA,M807,nCUENTA,1,nASIG,"Armonía"),"")))</f>
        <v/>
      </c>
      <c r="O807" t="str">
        <f>IF(M807="","",IF(M807="[FÓRMULA MANUAL]","",IFERROR(AVERAGEIFS(nNOTA,nNIA,M807,nCUENTA,1,nASIG,"Orquesta/Banda/Conjunto"),"")))</f>
        <v/>
      </c>
      <c r="P807" t="str">
        <f>IF(M807="","",IF(M807="[FÓRMULA MANUAL]","",IFERROR(AVERAGEIFS(nNOTA,nNIA,M807,nCUENTA,1,nASIG,"Música de Cámara"),"")))</f>
        <v/>
      </c>
      <c r="Q807" t="str">
        <f>IF(M807="","",IF(M807="[FÓRMULA MANUAL]","",IFERROR(SUMPRODUCT((nNIA=M807)*(nCUENTA=1)*(COUNTIF(CONFIG_ASIGNATURAS!$B$7:$B$27,nASIG)&gt;0)*(nNOTA))/SUMPRODUCT((nNIA=M807)*(nCUENTA=1)*(COUNTIF(CONFIG_ASIGNATURAS!$B$7:$B$27,nASIG)&gt;0)*1),"")))</f>
        <v/>
      </c>
      <c r="T807" t="str">
        <f>IF(S807="","",IF(S807="[FÓRMULA MANUAL]","",IFERROR(AVERAGEIFS(nNOTA,nNIA,S807,nCUENTA,1,nASIG,"Armonía"),"")))</f>
        <v/>
      </c>
      <c r="U807" t="str">
        <f>IF(S807="","",IF(S807="[FÓRMULA MANUAL]","",IFERROR(AVERAGEIFS(nNOTA,nNIA,S807,nCUENTA,1,nASIG,"Orquesta/Banda/Conjunto"),"")))</f>
        <v/>
      </c>
      <c r="V807" t="str">
        <f>IF(S807="","",IF(S807="[FÓRMULA MANUAL]","",IFERROR(AVERAGEIFS(nNOTA,nNIA,S807,nCUENTA,1,nASIG,"Música de Cámara"),"")))</f>
        <v/>
      </c>
      <c r="W807" t="str">
        <f>IF(S807="","",IF(S807="[FÓRMULA MANUAL]","",IFERROR(SUMPRODUCT((nNIA=S807)*(nCUENTA=1)*(COUNTIF(CONFIG_ASIGNATURAS!$B$7:$B$27,nASIG)&gt;0)*(nNOTA))/SUMPRODUCT((nNIA=S807)*(nCUENTA=1)*(COUNTIF(CONFIG_ASIGNATURAS!$B$7:$B$27,nASIG)&gt;0)*1),"")))</f>
        <v/>
      </c>
      <c r="Z807" t="str">
        <f>IF(Y807="","",IF(Y807="[FÓRMULA MANUAL]","",IFERROR(AVERAGEIFS(nNOTA,nNIA,Y807,nCUENTA,1,nASIG,"Análisis"),"")))</f>
        <v/>
      </c>
      <c r="AA807" t="str">
        <f>IF(Y807="","",IF(Y807="[FÓRMULA MANUAL]","",IFERROR(AVERAGEIFS(nNOTA,nNIA,Y807,nCUENTA,1,nASIG,"Orquesta/Banda/Conjunto"),"")))</f>
        <v/>
      </c>
      <c r="AB807" t="str">
        <f>IF(Y807="","",IF(Y807="[FÓRMULA MANUAL]","",IFERROR(AVERAGEIFS(nNOTA,nNIA,Y807,nCUENTA,1,nASIG,"Música de Cámara"),"")))</f>
        <v/>
      </c>
      <c r="AC807" t="str">
        <f>IF(Y807="","",IF(Y807="[FÓRMULA MANUAL]","",IFERROR(SUMPRODUCT((nNIA=Y807)*(nCUENTA=1)*(COUNTIF(CONFIG_ASIGNATURAS!$B$7:$B$27,nASIG)&gt;0)*(nNOTA))/SUMPRODUCT((nNIA=Y807)*(nCUENTA=1)*(COUNTIF(CONFIG_ASIGNATURAS!$B$7:$B$27,nASIG)&gt;0)*1),"")))</f>
        <v/>
      </c>
      <c r="AF807" t="str">
        <f>IF(AE807="","",IF(AE807="[FÓRMULA MANUAL]","",IFERROR(AVERAGEIFS(nNOTA,nNIA,AE807,nCUENTA,1,nASIG,"Análisis"),"")))</f>
        <v/>
      </c>
      <c r="AG807" t="str">
        <f>IF(AE807="","",IF(AE807="[FÓRMULA MANUAL]","",IFERROR(AVERAGEIFS(nNOTA,nNIA,AE807,nCUENTA,1,nASIG,"Orquesta/Banda/Conjunto"),"")))</f>
        <v/>
      </c>
      <c r="AH807" t="str">
        <f>IF(AE807="","",IF(AE807="[FÓRMULA MANUAL]","",IFERROR(AVERAGEIFS(nNOTA,nNIA,AE807,nCUENTA,1,nASIG,"Música de Cámara"),"")))</f>
        <v/>
      </c>
      <c r="AI807" t="str">
        <f>IF(AE807="","",IF(AE807="[FÓRMULA MANUAL]","",IFERROR(SUMPRODUCT((nNIA=AE807)*(nCUENTA=1)*(COUNTIF(CONFIG_ASIGNATURAS!$B$7:$B$27,nASIG)&gt;0)*(nNOTA))/SUMPRODUCT((nNIA=AE807)*(nCUENTA=1)*(COUNTIF(CONFIG_ASIGNATURAS!$B$7:$B$27,nASIG)&gt;0)*1),"")))</f>
        <v/>
      </c>
    </row>
    <row r="808" spans="2:35" x14ac:dyDescent="0.2">
      <c r="B808" t="str">
        <f>IF(A808="","",IF(A808="[FÓRMULA MANUAL]","",IFERROR(AVERAGEIFS(nNOTA,nNIA,A808,nCUENTA,1,nASIG,"Lenguaje Musical"),"")))</f>
        <v/>
      </c>
      <c r="C808" t="str">
        <f>IF(A808="","",IF(A808="[FÓRMULA MANUAL]","",IFERROR(AVERAGEIFS(nNOTA,nNIA,A808,nCUENTA,1,nASIG,"Orquesta/Banda/Conjunto"),"")))</f>
        <v/>
      </c>
      <c r="D808" t="str">
        <f>IF(A808="","",IF(A808="[FÓRMULA MANUAL]","",IFERROR(AVERAGEIFS(nNOTA,nNIA,A808,nCUENTA,1,nASIG,"Conjunto"),"")))</f>
        <v/>
      </c>
      <c r="E808" t="str">
        <f>IF(A808="","",IF(A808="[FÓRMULA MANUAL]","",IFERROR(SUMPRODUCT((nNIA=A808)*(nCUENTA=1)*(COUNTIF(CONFIG_ASIGNATURAS!$B$7:$B$27,nASIG)&gt;0)*(nNOTA))/SUMPRODUCT((nNIA=A808)*(nCUENTA=1)*(COUNTIF(CONFIG_ASIGNATURAS!$B$7:$B$27,nASIG)&gt;0)*1),"")))</f>
        <v/>
      </c>
      <c r="H808" t="str">
        <f>IF(G808="","",IF(G808="[FÓRMULA MANUAL]","",IFERROR(AVERAGEIFS(nNOTA,nNIA,G808,nCUENTA,1,nASIG,"Lenguaje Musical"),"")))</f>
        <v/>
      </c>
      <c r="I808" t="str">
        <f>IF(G808="","",IF(G808="[FÓRMULA MANUAL]","",IFERROR(AVERAGEIFS(nNOTA,nNIA,G808,nCUENTA,1,nASIG,"Orquesta/Banda/Conjunto"),"")))</f>
        <v/>
      </c>
      <c r="J808" t="str">
        <f>IF(G808="","",IF(G808="[FÓRMULA MANUAL]","",IFERROR(AVERAGEIFS(nNOTA,nNIA,G808,nCUENTA,1,nASIG,"Conjunto"),"")))</f>
        <v/>
      </c>
      <c r="K808" t="str">
        <f>IF(G808="","",IF(G808="[FÓRMULA MANUAL]","",IFERROR(SUMPRODUCT((nNIA=G808)*(nCUENTA=1)*(COUNTIF(CONFIG_ASIGNATURAS!$B$7:$B$27,nASIG)&gt;0)*(nNOTA))/SUMPRODUCT((nNIA=G808)*(nCUENTA=1)*(COUNTIF(CONFIG_ASIGNATURAS!$B$7:$B$27,nASIG)&gt;0)*1),"")))</f>
        <v/>
      </c>
      <c r="N808" t="str">
        <f>IF(M808="","",IF(M808="[FÓRMULA MANUAL]","",IFERROR(AVERAGEIFS(nNOTA,nNIA,M808,nCUENTA,1,nASIG,"Armonía"),"")))</f>
        <v/>
      </c>
      <c r="O808" t="str">
        <f>IF(M808="","",IF(M808="[FÓRMULA MANUAL]","",IFERROR(AVERAGEIFS(nNOTA,nNIA,M808,nCUENTA,1,nASIG,"Orquesta/Banda/Conjunto"),"")))</f>
        <v/>
      </c>
      <c r="P808" t="str">
        <f>IF(M808="","",IF(M808="[FÓRMULA MANUAL]","",IFERROR(AVERAGEIFS(nNOTA,nNIA,M808,nCUENTA,1,nASIG,"Música de Cámara"),"")))</f>
        <v/>
      </c>
      <c r="Q808" t="str">
        <f>IF(M808="","",IF(M808="[FÓRMULA MANUAL]","",IFERROR(SUMPRODUCT((nNIA=M808)*(nCUENTA=1)*(COUNTIF(CONFIG_ASIGNATURAS!$B$7:$B$27,nASIG)&gt;0)*(nNOTA))/SUMPRODUCT((nNIA=M808)*(nCUENTA=1)*(COUNTIF(CONFIG_ASIGNATURAS!$B$7:$B$27,nASIG)&gt;0)*1),"")))</f>
        <v/>
      </c>
      <c r="T808" t="str">
        <f>IF(S808="","",IF(S808="[FÓRMULA MANUAL]","",IFERROR(AVERAGEIFS(nNOTA,nNIA,S808,nCUENTA,1,nASIG,"Armonía"),"")))</f>
        <v/>
      </c>
      <c r="U808" t="str">
        <f>IF(S808="","",IF(S808="[FÓRMULA MANUAL]","",IFERROR(AVERAGEIFS(nNOTA,nNIA,S808,nCUENTA,1,nASIG,"Orquesta/Banda/Conjunto"),"")))</f>
        <v/>
      </c>
      <c r="V808" t="str">
        <f>IF(S808="","",IF(S808="[FÓRMULA MANUAL]","",IFERROR(AVERAGEIFS(nNOTA,nNIA,S808,nCUENTA,1,nASIG,"Música de Cámara"),"")))</f>
        <v/>
      </c>
      <c r="W808" t="str">
        <f>IF(S808="","",IF(S808="[FÓRMULA MANUAL]","",IFERROR(SUMPRODUCT((nNIA=S808)*(nCUENTA=1)*(COUNTIF(CONFIG_ASIGNATURAS!$B$7:$B$27,nASIG)&gt;0)*(nNOTA))/SUMPRODUCT((nNIA=S808)*(nCUENTA=1)*(COUNTIF(CONFIG_ASIGNATURAS!$B$7:$B$27,nASIG)&gt;0)*1),"")))</f>
        <v/>
      </c>
      <c r="Z808" t="str">
        <f>IF(Y808="","",IF(Y808="[FÓRMULA MANUAL]","",IFERROR(AVERAGEIFS(nNOTA,nNIA,Y808,nCUENTA,1,nASIG,"Análisis"),"")))</f>
        <v/>
      </c>
      <c r="AA808" t="str">
        <f>IF(Y808="","",IF(Y808="[FÓRMULA MANUAL]","",IFERROR(AVERAGEIFS(nNOTA,nNIA,Y808,nCUENTA,1,nASIG,"Orquesta/Banda/Conjunto"),"")))</f>
        <v/>
      </c>
      <c r="AB808" t="str">
        <f>IF(Y808="","",IF(Y808="[FÓRMULA MANUAL]","",IFERROR(AVERAGEIFS(nNOTA,nNIA,Y808,nCUENTA,1,nASIG,"Música de Cámara"),"")))</f>
        <v/>
      </c>
      <c r="AC808" t="str">
        <f>IF(Y808="","",IF(Y808="[FÓRMULA MANUAL]","",IFERROR(SUMPRODUCT((nNIA=Y808)*(nCUENTA=1)*(COUNTIF(CONFIG_ASIGNATURAS!$B$7:$B$27,nASIG)&gt;0)*(nNOTA))/SUMPRODUCT((nNIA=Y808)*(nCUENTA=1)*(COUNTIF(CONFIG_ASIGNATURAS!$B$7:$B$27,nASIG)&gt;0)*1),"")))</f>
        <v/>
      </c>
      <c r="AF808" t="str">
        <f>IF(AE808="","",IF(AE808="[FÓRMULA MANUAL]","",IFERROR(AVERAGEIFS(nNOTA,nNIA,AE808,nCUENTA,1,nASIG,"Análisis"),"")))</f>
        <v/>
      </c>
      <c r="AG808" t="str">
        <f>IF(AE808="","",IF(AE808="[FÓRMULA MANUAL]","",IFERROR(AVERAGEIFS(nNOTA,nNIA,AE808,nCUENTA,1,nASIG,"Orquesta/Banda/Conjunto"),"")))</f>
        <v/>
      </c>
      <c r="AH808" t="str">
        <f>IF(AE808="","",IF(AE808="[FÓRMULA MANUAL]","",IFERROR(AVERAGEIFS(nNOTA,nNIA,AE808,nCUENTA,1,nASIG,"Música de Cámara"),"")))</f>
        <v/>
      </c>
      <c r="AI808" t="str">
        <f>IF(AE808="","",IF(AE808="[FÓRMULA MANUAL]","",IFERROR(SUMPRODUCT((nNIA=AE808)*(nCUENTA=1)*(COUNTIF(CONFIG_ASIGNATURAS!$B$7:$B$27,nASIG)&gt;0)*(nNOTA))/SUMPRODUCT((nNIA=AE808)*(nCUENTA=1)*(COUNTIF(CONFIG_ASIGNATURAS!$B$7:$B$27,nASIG)&gt;0)*1),"")))</f>
        <v/>
      </c>
    </row>
    <row r="809" spans="2:35" x14ac:dyDescent="0.2">
      <c r="B809" t="str">
        <f>IF(A809="","",IF(A809="[FÓRMULA MANUAL]","",IFERROR(AVERAGEIFS(nNOTA,nNIA,A809,nCUENTA,1,nASIG,"Lenguaje Musical"),"")))</f>
        <v/>
      </c>
      <c r="C809" t="str">
        <f>IF(A809="","",IF(A809="[FÓRMULA MANUAL]","",IFERROR(AVERAGEIFS(nNOTA,nNIA,A809,nCUENTA,1,nASIG,"Orquesta/Banda/Conjunto"),"")))</f>
        <v/>
      </c>
      <c r="D809" t="str">
        <f>IF(A809="","",IF(A809="[FÓRMULA MANUAL]","",IFERROR(AVERAGEIFS(nNOTA,nNIA,A809,nCUENTA,1,nASIG,"Conjunto"),"")))</f>
        <v/>
      </c>
      <c r="E809" t="str">
        <f>IF(A809="","",IF(A809="[FÓRMULA MANUAL]","",IFERROR(SUMPRODUCT((nNIA=A809)*(nCUENTA=1)*(COUNTIF(CONFIG_ASIGNATURAS!$B$7:$B$27,nASIG)&gt;0)*(nNOTA))/SUMPRODUCT((nNIA=A809)*(nCUENTA=1)*(COUNTIF(CONFIG_ASIGNATURAS!$B$7:$B$27,nASIG)&gt;0)*1),"")))</f>
        <v/>
      </c>
      <c r="H809" t="str">
        <f>IF(G809="","",IF(G809="[FÓRMULA MANUAL]","",IFERROR(AVERAGEIFS(nNOTA,nNIA,G809,nCUENTA,1,nASIG,"Lenguaje Musical"),"")))</f>
        <v/>
      </c>
      <c r="I809" t="str">
        <f>IF(G809="","",IF(G809="[FÓRMULA MANUAL]","",IFERROR(AVERAGEIFS(nNOTA,nNIA,G809,nCUENTA,1,nASIG,"Orquesta/Banda/Conjunto"),"")))</f>
        <v/>
      </c>
      <c r="J809" t="str">
        <f>IF(G809="","",IF(G809="[FÓRMULA MANUAL]","",IFERROR(AVERAGEIFS(nNOTA,nNIA,G809,nCUENTA,1,nASIG,"Conjunto"),"")))</f>
        <v/>
      </c>
      <c r="K809" t="str">
        <f>IF(G809="","",IF(G809="[FÓRMULA MANUAL]","",IFERROR(SUMPRODUCT((nNIA=G809)*(nCUENTA=1)*(COUNTIF(CONFIG_ASIGNATURAS!$B$7:$B$27,nASIG)&gt;0)*(nNOTA))/SUMPRODUCT((nNIA=G809)*(nCUENTA=1)*(COUNTIF(CONFIG_ASIGNATURAS!$B$7:$B$27,nASIG)&gt;0)*1),"")))</f>
        <v/>
      </c>
      <c r="N809" t="str">
        <f>IF(M809="","",IF(M809="[FÓRMULA MANUAL]","",IFERROR(AVERAGEIFS(nNOTA,nNIA,M809,nCUENTA,1,nASIG,"Armonía"),"")))</f>
        <v/>
      </c>
      <c r="O809" t="str">
        <f>IF(M809="","",IF(M809="[FÓRMULA MANUAL]","",IFERROR(AVERAGEIFS(nNOTA,nNIA,M809,nCUENTA,1,nASIG,"Orquesta/Banda/Conjunto"),"")))</f>
        <v/>
      </c>
      <c r="P809" t="str">
        <f>IF(M809="","",IF(M809="[FÓRMULA MANUAL]","",IFERROR(AVERAGEIFS(nNOTA,nNIA,M809,nCUENTA,1,nASIG,"Música de Cámara"),"")))</f>
        <v/>
      </c>
      <c r="Q809" t="str">
        <f>IF(M809="","",IF(M809="[FÓRMULA MANUAL]","",IFERROR(SUMPRODUCT((nNIA=M809)*(nCUENTA=1)*(COUNTIF(CONFIG_ASIGNATURAS!$B$7:$B$27,nASIG)&gt;0)*(nNOTA))/SUMPRODUCT((nNIA=M809)*(nCUENTA=1)*(COUNTIF(CONFIG_ASIGNATURAS!$B$7:$B$27,nASIG)&gt;0)*1),"")))</f>
        <v/>
      </c>
      <c r="T809" t="str">
        <f>IF(S809="","",IF(S809="[FÓRMULA MANUAL]","",IFERROR(AVERAGEIFS(nNOTA,nNIA,S809,nCUENTA,1,nASIG,"Armonía"),"")))</f>
        <v/>
      </c>
      <c r="U809" t="str">
        <f>IF(S809="","",IF(S809="[FÓRMULA MANUAL]","",IFERROR(AVERAGEIFS(nNOTA,nNIA,S809,nCUENTA,1,nASIG,"Orquesta/Banda/Conjunto"),"")))</f>
        <v/>
      </c>
      <c r="V809" t="str">
        <f>IF(S809="","",IF(S809="[FÓRMULA MANUAL]","",IFERROR(AVERAGEIFS(nNOTA,nNIA,S809,nCUENTA,1,nASIG,"Música de Cámara"),"")))</f>
        <v/>
      </c>
      <c r="W809" t="str">
        <f>IF(S809="","",IF(S809="[FÓRMULA MANUAL]","",IFERROR(SUMPRODUCT((nNIA=S809)*(nCUENTA=1)*(COUNTIF(CONFIG_ASIGNATURAS!$B$7:$B$27,nASIG)&gt;0)*(nNOTA))/SUMPRODUCT((nNIA=S809)*(nCUENTA=1)*(COUNTIF(CONFIG_ASIGNATURAS!$B$7:$B$27,nASIG)&gt;0)*1),"")))</f>
        <v/>
      </c>
      <c r="Z809" t="str">
        <f>IF(Y809="","",IF(Y809="[FÓRMULA MANUAL]","",IFERROR(AVERAGEIFS(nNOTA,nNIA,Y809,nCUENTA,1,nASIG,"Análisis"),"")))</f>
        <v/>
      </c>
      <c r="AA809" t="str">
        <f>IF(Y809="","",IF(Y809="[FÓRMULA MANUAL]","",IFERROR(AVERAGEIFS(nNOTA,nNIA,Y809,nCUENTA,1,nASIG,"Orquesta/Banda/Conjunto"),"")))</f>
        <v/>
      </c>
      <c r="AB809" t="str">
        <f>IF(Y809="","",IF(Y809="[FÓRMULA MANUAL]","",IFERROR(AVERAGEIFS(nNOTA,nNIA,Y809,nCUENTA,1,nASIG,"Música de Cámara"),"")))</f>
        <v/>
      </c>
      <c r="AC809" t="str">
        <f>IF(Y809="","",IF(Y809="[FÓRMULA MANUAL]","",IFERROR(SUMPRODUCT((nNIA=Y809)*(nCUENTA=1)*(COUNTIF(CONFIG_ASIGNATURAS!$B$7:$B$27,nASIG)&gt;0)*(nNOTA))/SUMPRODUCT((nNIA=Y809)*(nCUENTA=1)*(COUNTIF(CONFIG_ASIGNATURAS!$B$7:$B$27,nASIG)&gt;0)*1),"")))</f>
        <v/>
      </c>
      <c r="AF809" t="str">
        <f>IF(AE809="","",IF(AE809="[FÓRMULA MANUAL]","",IFERROR(AVERAGEIFS(nNOTA,nNIA,AE809,nCUENTA,1,nASIG,"Análisis"),"")))</f>
        <v/>
      </c>
      <c r="AG809" t="str">
        <f>IF(AE809="","",IF(AE809="[FÓRMULA MANUAL]","",IFERROR(AVERAGEIFS(nNOTA,nNIA,AE809,nCUENTA,1,nASIG,"Orquesta/Banda/Conjunto"),"")))</f>
        <v/>
      </c>
      <c r="AH809" t="str">
        <f>IF(AE809="","",IF(AE809="[FÓRMULA MANUAL]","",IFERROR(AVERAGEIFS(nNOTA,nNIA,AE809,nCUENTA,1,nASIG,"Música de Cámara"),"")))</f>
        <v/>
      </c>
      <c r="AI809" t="str">
        <f>IF(AE809="","",IF(AE809="[FÓRMULA MANUAL]","",IFERROR(SUMPRODUCT((nNIA=AE809)*(nCUENTA=1)*(COUNTIF(CONFIG_ASIGNATURAS!$B$7:$B$27,nASIG)&gt;0)*(nNOTA))/SUMPRODUCT((nNIA=AE809)*(nCUENTA=1)*(COUNTIF(CONFIG_ASIGNATURAS!$B$7:$B$27,nASIG)&gt;0)*1),"")))</f>
        <v/>
      </c>
    </row>
    <row r="810" spans="2:35" x14ac:dyDescent="0.2">
      <c r="B810" t="str">
        <f>IF(A810="","",IF(A810="[FÓRMULA MANUAL]","",IFERROR(AVERAGEIFS(nNOTA,nNIA,A810,nCUENTA,1,nASIG,"Lenguaje Musical"),"")))</f>
        <v/>
      </c>
      <c r="C810" t="str">
        <f>IF(A810="","",IF(A810="[FÓRMULA MANUAL]","",IFERROR(AVERAGEIFS(nNOTA,nNIA,A810,nCUENTA,1,nASIG,"Orquesta/Banda/Conjunto"),"")))</f>
        <v/>
      </c>
      <c r="D810" t="str">
        <f>IF(A810="","",IF(A810="[FÓRMULA MANUAL]","",IFERROR(AVERAGEIFS(nNOTA,nNIA,A810,nCUENTA,1,nASIG,"Conjunto"),"")))</f>
        <v/>
      </c>
      <c r="E810" t="str">
        <f>IF(A810="","",IF(A810="[FÓRMULA MANUAL]","",IFERROR(SUMPRODUCT((nNIA=A810)*(nCUENTA=1)*(COUNTIF(CONFIG_ASIGNATURAS!$B$7:$B$27,nASIG)&gt;0)*(nNOTA))/SUMPRODUCT((nNIA=A810)*(nCUENTA=1)*(COUNTIF(CONFIG_ASIGNATURAS!$B$7:$B$27,nASIG)&gt;0)*1),"")))</f>
        <v/>
      </c>
      <c r="H810" t="str">
        <f>IF(G810="","",IF(G810="[FÓRMULA MANUAL]","",IFERROR(AVERAGEIFS(nNOTA,nNIA,G810,nCUENTA,1,nASIG,"Lenguaje Musical"),"")))</f>
        <v/>
      </c>
      <c r="I810" t="str">
        <f>IF(G810="","",IF(G810="[FÓRMULA MANUAL]","",IFERROR(AVERAGEIFS(nNOTA,nNIA,G810,nCUENTA,1,nASIG,"Orquesta/Banda/Conjunto"),"")))</f>
        <v/>
      </c>
      <c r="J810" t="str">
        <f>IF(G810="","",IF(G810="[FÓRMULA MANUAL]","",IFERROR(AVERAGEIFS(nNOTA,nNIA,G810,nCUENTA,1,nASIG,"Conjunto"),"")))</f>
        <v/>
      </c>
      <c r="K810" t="str">
        <f>IF(G810="","",IF(G810="[FÓRMULA MANUAL]","",IFERROR(SUMPRODUCT((nNIA=G810)*(nCUENTA=1)*(COUNTIF(CONFIG_ASIGNATURAS!$B$7:$B$27,nASIG)&gt;0)*(nNOTA))/SUMPRODUCT((nNIA=G810)*(nCUENTA=1)*(COUNTIF(CONFIG_ASIGNATURAS!$B$7:$B$27,nASIG)&gt;0)*1),"")))</f>
        <v/>
      </c>
      <c r="N810" t="str">
        <f>IF(M810="","",IF(M810="[FÓRMULA MANUAL]","",IFERROR(AVERAGEIFS(nNOTA,nNIA,M810,nCUENTA,1,nASIG,"Armonía"),"")))</f>
        <v/>
      </c>
      <c r="O810" t="str">
        <f>IF(M810="","",IF(M810="[FÓRMULA MANUAL]","",IFERROR(AVERAGEIFS(nNOTA,nNIA,M810,nCUENTA,1,nASIG,"Orquesta/Banda/Conjunto"),"")))</f>
        <v/>
      </c>
      <c r="P810" t="str">
        <f>IF(M810="","",IF(M810="[FÓRMULA MANUAL]","",IFERROR(AVERAGEIFS(nNOTA,nNIA,M810,nCUENTA,1,nASIG,"Música de Cámara"),"")))</f>
        <v/>
      </c>
      <c r="Q810" t="str">
        <f>IF(M810="","",IF(M810="[FÓRMULA MANUAL]","",IFERROR(SUMPRODUCT((nNIA=M810)*(nCUENTA=1)*(COUNTIF(CONFIG_ASIGNATURAS!$B$7:$B$27,nASIG)&gt;0)*(nNOTA))/SUMPRODUCT((nNIA=M810)*(nCUENTA=1)*(COUNTIF(CONFIG_ASIGNATURAS!$B$7:$B$27,nASIG)&gt;0)*1),"")))</f>
        <v/>
      </c>
      <c r="T810" t="str">
        <f>IF(S810="","",IF(S810="[FÓRMULA MANUAL]","",IFERROR(AVERAGEIFS(nNOTA,nNIA,S810,nCUENTA,1,nASIG,"Armonía"),"")))</f>
        <v/>
      </c>
      <c r="U810" t="str">
        <f>IF(S810="","",IF(S810="[FÓRMULA MANUAL]","",IFERROR(AVERAGEIFS(nNOTA,nNIA,S810,nCUENTA,1,nASIG,"Orquesta/Banda/Conjunto"),"")))</f>
        <v/>
      </c>
      <c r="V810" t="str">
        <f>IF(S810="","",IF(S810="[FÓRMULA MANUAL]","",IFERROR(AVERAGEIFS(nNOTA,nNIA,S810,nCUENTA,1,nASIG,"Música de Cámara"),"")))</f>
        <v/>
      </c>
      <c r="W810" t="str">
        <f>IF(S810="","",IF(S810="[FÓRMULA MANUAL]","",IFERROR(SUMPRODUCT((nNIA=S810)*(nCUENTA=1)*(COUNTIF(CONFIG_ASIGNATURAS!$B$7:$B$27,nASIG)&gt;0)*(nNOTA))/SUMPRODUCT((nNIA=S810)*(nCUENTA=1)*(COUNTIF(CONFIG_ASIGNATURAS!$B$7:$B$27,nASIG)&gt;0)*1),"")))</f>
        <v/>
      </c>
      <c r="Z810" t="str">
        <f>IF(Y810="","",IF(Y810="[FÓRMULA MANUAL]","",IFERROR(AVERAGEIFS(nNOTA,nNIA,Y810,nCUENTA,1,nASIG,"Análisis"),"")))</f>
        <v/>
      </c>
      <c r="AA810" t="str">
        <f>IF(Y810="","",IF(Y810="[FÓRMULA MANUAL]","",IFERROR(AVERAGEIFS(nNOTA,nNIA,Y810,nCUENTA,1,nASIG,"Orquesta/Banda/Conjunto"),"")))</f>
        <v/>
      </c>
      <c r="AB810" t="str">
        <f>IF(Y810="","",IF(Y810="[FÓRMULA MANUAL]","",IFERROR(AVERAGEIFS(nNOTA,nNIA,Y810,nCUENTA,1,nASIG,"Música de Cámara"),"")))</f>
        <v/>
      </c>
      <c r="AC810" t="str">
        <f>IF(Y810="","",IF(Y810="[FÓRMULA MANUAL]","",IFERROR(SUMPRODUCT((nNIA=Y810)*(nCUENTA=1)*(COUNTIF(CONFIG_ASIGNATURAS!$B$7:$B$27,nASIG)&gt;0)*(nNOTA))/SUMPRODUCT((nNIA=Y810)*(nCUENTA=1)*(COUNTIF(CONFIG_ASIGNATURAS!$B$7:$B$27,nASIG)&gt;0)*1),"")))</f>
        <v/>
      </c>
      <c r="AF810" t="str">
        <f>IF(AE810="","",IF(AE810="[FÓRMULA MANUAL]","",IFERROR(AVERAGEIFS(nNOTA,nNIA,AE810,nCUENTA,1,nASIG,"Análisis"),"")))</f>
        <v/>
      </c>
      <c r="AG810" t="str">
        <f>IF(AE810="","",IF(AE810="[FÓRMULA MANUAL]","",IFERROR(AVERAGEIFS(nNOTA,nNIA,AE810,nCUENTA,1,nASIG,"Orquesta/Banda/Conjunto"),"")))</f>
        <v/>
      </c>
      <c r="AH810" t="str">
        <f>IF(AE810="","",IF(AE810="[FÓRMULA MANUAL]","",IFERROR(AVERAGEIFS(nNOTA,nNIA,AE810,nCUENTA,1,nASIG,"Música de Cámara"),"")))</f>
        <v/>
      </c>
      <c r="AI810" t="str">
        <f>IF(AE810="","",IF(AE810="[FÓRMULA MANUAL]","",IFERROR(SUMPRODUCT((nNIA=AE810)*(nCUENTA=1)*(COUNTIF(CONFIG_ASIGNATURAS!$B$7:$B$27,nASIG)&gt;0)*(nNOTA))/SUMPRODUCT((nNIA=AE810)*(nCUENTA=1)*(COUNTIF(CONFIG_ASIGNATURAS!$B$7:$B$27,nASIG)&gt;0)*1),"")))</f>
        <v/>
      </c>
    </row>
    <row r="811" spans="2:35" x14ac:dyDescent="0.2">
      <c r="B811" t="str">
        <f>IF(A811="","",IF(A811="[FÓRMULA MANUAL]","",IFERROR(AVERAGEIFS(nNOTA,nNIA,A811,nCUENTA,1,nASIG,"Lenguaje Musical"),"")))</f>
        <v/>
      </c>
      <c r="C811" t="str">
        <f>IF(A811="","",IF(A811="[FÓRMULA MANUAL]","",IFERROR(AVERAGEIFS(nNOTA,nNIA,A811,nCUENTA,1,nASIG,"Orquesta/Banda/Conjunto"),"")))</f>
        <v/>
      </c>
      <c r="D811" t="str">
        <f>IF(A811="","",IF(A811="[FÓRMULA MANUAL]","",IFERROR(AVERAGEIFS(nNOTA,nNIA,A811,nCUENTA,1,nASIG,"Conjunto"),"")))</f>
        <v/>
      </c>
      <c r="E811" t="str">
        <f>IF(A811="","",IF(A811="[FÓRMULA MANUAL]","",IFERROR(SUMPRODUCT((nNIA=A811)*(nCUENTA=1)*(COUNTIF(CONFIG_ASIGNATURAS!$B$7:$B$27,nASIG)&gt;0)*(nNOTA))/SUMPRODUCT((nNIA=A811)*(nCUENTA=1)*(COUNTIF(CONFIG_ASIGNATURAS!$B$7:$B$27,nASIG)&gt;0)*1),"")))</f>
        <v/>
      </c>
      <c r="H811" t="str">
        <f>IF(G811="","",IF(G811="[FÓRMULA MANUAL]","",IFERROR(AVERAGEIFS(nNOTA,nNIA,G811,nCUENTA,1,nASIG,"Lenguaje Musical"),"")))</f>
        <v/>
      </c>
      <c r="I811" t="str">
        <f>IF(G811="","",IF(G811="[FÓRMULA MANUAL]","",IFERROR(AVERAGEIFS(nNOTA,nNIA,G811,nCUENTA,1,nASIG,"Orquesta/Banda/Conjunto"),"")))</f>
        <v/>
      </c>
      <c r="J811" t="str">
        <f>IF(G811="","",IF(G811="[FÓRMULA MANUAL]","",IFERROR(AVERAGEIFS(nNOTA,nNIA,G811,nCUENTA,1,nASIG,"Conjunto"),"")))</f>
        <v/>
      </c>
      <c r="K811" t="str">
        <f>IF(G811="","",IF(G811="[FÓRMULA MANUAL]","",IFERROR(SUMPRODUCT((nNIA=G811)*(nCUENTA=1)*(COUNTIF(CONFIG_ASIGNATURAS!$B$7:$B$27,nASIG)&gt;0)*(nNOTA))/SUMPRODUCT((nNIA=G811)*(nCUENTA=1)*(COUNTIF(CONFIG_ASIGNATURAS!$B$7:$B$27,nASIG)&gt;0)*1),"")))</f>
        <v/>
      </c>
      <c r="N811" t="str">
        <f>IF(M811="","",IF(M811="[FÓRMULA MANUAL]","",IFERROR(AVERAGEIFS(nNOTA,nNIA,M811,nCUENTA,1,nASIG,"Armonía"),"")))</f>
        <v/>
      </c>
      <c r="O811" t="str">
        <f>IF(M811="","",IF(M811="[FÓRMULA MANUAL]","",IFERROR(AVERAGEIFS(nNOTA,nNIA,M811,nCUENTA,1,nASIG,"Orquesta/Banda/Conjunto"),"")))</f>
        <v/>
      </c>
      <c r="P811" t="str">
        <f>IF(M811="","",IF(M811="[FÓRMULA MANUAL]","",IFERROR(AVERAGEIFS(nNOTA,nNIA,M811,nCUENTA,1,nASIG,"Música de Cámara"),"")))</f>
        <v/>
      </c>
      <c r="Q811" t="str">
        <f>IF(M811="","",IF(M811="[FÓRMULA MANUAL]","",IFERROR(SUMPRODUCT((nNIA=M811)*(nCUENTA=1)*(COUNTIF(CONFIG_ASIGNATURAS!$B$7:$B$27,nASIG)&gt;0)*(nNOTA))/SUMPRODUCT((nNIA=M811)*(nCUENTA=1)*(COUNTIF(CONFIG_ASIGNATURAS!$B$7:$B$27,nASIG)&gt;0)*1),"")))</f>
        <v/>
      </c>
      <c r="T811" t="str">
        <f>IF(S811="","",IF(S811="[FÓRMULA MANUAL]","",IFERROR(AVERAGEIFS(nNOTA,nNIA,S811,nCUENTA,1,nASIG,"Armonía"),"")))</f>
        <v/>
      </c>
      <c r="U811" t="str">
        <f>IF(S811="","",IF(S811="[FÓRMULA MANUAL]","",IFERROR(AVERAGEIFS(nNOTA,nNIA,S811,nCUENTA,1,nASIG,"Orquesta/Banda/Conjunto"),"")))</f>
        <v/>
      </c>
      <c r="V811" t="str">
        <f>IF(S811="","",IF(S811="[FÓRMULA MANUAL]","",IFERROR(AVERAGEIFS(nNOTA,nNIA,S811,nCUENTA,1,nASIG,"Música de Cámara"),"")))</f>
        <v/>
      </c>
      <c r="W811" t="str">
        <f>IF(S811="","",IF(S811="[FÓRMULA MANUAL]","",IFERROR(SUMPRODUCT((nNIA=S811)*(nCUENTA=1)*(COUNTIF(CONFIG_ASIGNATURAS!$B$7:$B$27,nASIG)&gt;0)*(nNOTA))/SUMPRODUCT((nNIA=S811)*(nCUENTA=1)*(COUNTIF(CONFIG_ASIGNATURAS!$B$7:$B$27,nASIG)&gt;0)*1),"")))</f>
        <v/>
      </c>
      <c r="Z811" t="str">
        <f>IF(Y811="","",IF(Y811="[FÓRMULA MANUAL]","",IFERROR(AVERAGEIFS(nNOTA,nNIA,Y811,nCUENTA,1,nASIG,"Análisis"),"")))</f>
        <v/>
      </c>
      <c r="AA811" t="str">
        <f>IF(Y811="","",IF(Y811="[FÓRMULA MANUAL]","",IFERROR(AVERAGEIFS(nNOTA,nNIA,Y811,nCUENTA,1,nASIG,"Orquesta/Banda/Conjunto"),"")))</f>
        <v/>
      </c>
      <c r="AB811" t="str">
        <f>IF(Y811="","",IF(Y811="[FÓRMULA MANUAL]","",IFERROR(AVERAGEIFS(nNOTA,nNIA,Y811,nCUENTA,1,nASIG,"Música de Cámara"),"")))</f>
        <v/>
      </c>
      <c r="AC811" t="str">
        <f>IF(Y811="","",IF(Y811="[FÓRMULA MANUAL]","",IFERROR(SUMPRODUCT((nNIA=Y811)*(nCUENTA=1)*(COUNTIF(CONFIG_ASIGNATURAS!$B$7:$B$27,nASIG)&gt;0)*(nNOTA))/SUMPRODUCT((nNIA=Y811)*(nCUENTA=1)*(COUNTIF(CONFIG_ASIGNATURAS!$B$7:$B$27,nASIG)&gt;0)*1),"")))</f>
        <v/>
      </c>
      <c r="AF811" t="str">
        <f>IF(AE811="","",IF(AE811="[FÓRMULA MANUAL]","",IFERROR(AVERAGEIFS(nNOTA,nNIA,AE811,nCUENTA,1,nASIG,"Análisis"),"")))</f>
        <v/>
      </c>
      <c r="AG811" t="str">
        <f>IF(AE811="","",IF(AE811="[FÓRMULA MANUAL]","",IFERROR(AVERAGEIFS(nNOTA,nNIA,AE811,nCUENTA,1,nASIG,"Orquesta/Banda/Conjunto"),"")))</f>
        <v/>
      </c>
      <c r="AH811" t="str">
        <f>IF(AE811="","",IF(AE811="[FÓRMULA MANUAL]","",IFERROR(AVERAGEIFS(nNOTA,nNIA,AE811,nCUENTA,1,nASIG,"Música de Cámara"),"")))</f>
        <v/>
      </c>
      <c r="AI811" t="str">
        <f>IF(AE811="","",IF(AE811="[FÓRMULA MANUAL]","",IFERROR(SUMPRODUCT((nNIA=AE811)*(nCUENTA=1)*(COUNTIF(CONFIG_ASIGNATURAS!$B$7:$B$27,nASIG)&gt;0)*(nNOTA))/SUMPRODUCT((nNIA=AE811)*(nCUENTA=1)*(COUNTIF(CONFIG_ASIGNATURAS!$B$7:$B$27,nASIG)&gt;0)*1),"")))</f>
        <v/>
      </c>
    </row>
    <row r="812" spans="2:35" x14ac:dyDescent="0.2">
      <c r="B812" t="str">
        <f>IF(A812="","",IF(A812="[FÓRMULA MANUAL]","",IFERROR(AVERAGEIFS(nNOTA,nNIA,A812,nCUENTA,1,nASIG,"Lenguaje Musical"),"")))</f>
        <v/>
      </c>
      <c r="C812" t="str">
        <f>IF(A812="","",IF(A812="[FÓRMULA MANUAL]","",IFERROR(AVERAGEIFS(nNOTA,nNIA,A812,nCUENTA,1,nASIG,"Orquesta/Banda/Conjunto"),"")))</f>
        <v/>
      </c>
      <c r="D812" t="str">
        <f>IF(A812="","",IF(A812="[FÓRMULA MANUAL]","",IFERROR(AVERAGEIFS(nNOTA,nNIA,A812,nCUENTA,1,nASIG,"Conjunto"),"")))</f>
        <v/>
      </c>
      <c r="E812" t="str">
        <f>IF(A812="","",IF(A812="[FÓRMULA MANUAL]","",IFERROR(SUMPRODUCT((nNIA=A812)*(nCUENTA=1)*(COUNTIF(CONFIG_ASIGNATURAS!$B$7:$B$27,nASIG)&gt;0)*(nNOTA))/SUMPRODUCT((nNIA=A812)*(nCUENTA=1)*(COUNTIF(CONFIG_ASIGNATURAS!$B$7:$B$27,nASIG)&gt;0)*1),"")))</f>
        <v/>
      </c>
      <c r="H812" t="str">
        <f>IF(G812="","",IF(G812="[FÓRMULA MANUAL]","",IFERROR(AVERAGEIFS(nNOTA,nNIA,G812,nCUENTA,1,nASIG,"Lenguaje Musical"),"")))</f>
        <v/>
      </c>
      <c r="I812" t="str">
        <f>IF(G812="","",IF(G812="[FÓRMULA MANUAL]","",IFERROR(AVERAGEIFS(nNOTA,nNIA,G812,nCUENTA,1,nASIG,"Orquesta/Banda/Conjunto"),"")))</f>
        <v/>
      </c>
      <c r="J812" t="str">
        <f>IF(G812="","",IF(G812="[FÓRMULA MANUAL]","",IFERROR(AVERAGEIFS(nNOTA,nNIA,G812,nCUENTA,1,nASIG,"Conjunto"),"")))</f>
        <v/>
      </c>
      <c r="K812" t="str">
        <f>IF(G812="","",IF(G812="[FÓRMULA MANUAL]","",IFERROR(SUMPRODUCT((nNIA=G812)*(nCUENTA=1)*(COUNTIF(CONFIG_ASIGNATURAS!$B$7:$B$27,nASIG)&gt;0)*(nNOTA))/SUMPRODUCT((nNIA=G812)*(nCUENTA=1)*(COUNTIF(CONFIG_ASIGNATURAS!$B$7:$B$27,nASIG)&gt;0)*1),"")))</f>
        <v/>
      </c>
      <c r="N812" t="str">
        <f>IF(M812="","",IF(M812="[FÓRMULA MANUAL]","",IFERROR(AVERAGEIFS(nNOTA,nNIA,M812,nCUENTA,1,nASIG,"Armonía"),"")))</f>
        <v/>
      </c>
      <c r="O812" t="str">
        <f>IF(M812="","",IF(M812="[FÓRMULA MANUAL]","",IFERROR(AVERAGEIFS(nNOTA,nNIA,M812,nCUENTA,1,nASIG,"Orquesta/Banda/Conjunto"),"")))</f>
        <v/>
      </c>
      <c r="P812" t="str">
        <f>IF(M812="","",IF(M812="[FÓRMULA MANUAL]","",IFERROR(AVERAGEIFS(nNOTA,nNIA,M812,nCUENTA,1,nASIG,"Música de Cámara"),"")))</f>
        <v/>
      </c>
      <c r="Q812" t="str">
        <f>IF(M812="","",IF(M812="[FÓRMULA MANUAL]","",IFERROR(SUMPRODUCT((nNIA=M812)*(nCUENTA=1)*(COUNTIF(CONFIG_ASIGNATURAS!$B$7:$B$27,nASIG)&gt;0)*(nNOTA))/SUMPRODUCT((nNIA=M812)*(nCUENTA=1)*(COUNTIF(CONFIG_ASIGNATURAS!$B$7:$B$27,nASIG)&gt;0)*1),"")))</f>
        <v/>
      </c>
      <c r="T812" t="str">
        <f>IF(S812="","",IF(S812="[FÓRMULA MANUAL]","",IFERROR(AVERAGEIFS(nNOTA,nNIA,S812,nCUENTA,1,nASIG,"Armonía"),"")))</f>
        <v/>
      </c>
      <c r="U812" t="str">
        <f>IF(S812="","",IF(S812="[FÓRMULA MANUAL]","",IFERROR(AVERAGEIFS(nNOTA,nNIA,S812,nCUENTA,1,nASIG,"Orquesta/Banda/Conjunto"),"")))</f>
        <v/>
      </c>
      <c r="V812" t="str">
        <f>IF(S812="","",IF(S812="[FÓRMULA MANUAL]","",IFERROR(AVERAGEIFS(nNOTA,nNIA,S812,nCUENTA,1,nASIG,"Música de Cámara"),"")))</f>
        <v/>
      </c>
      <c r="W812" t="str">
        <f>IF(S812="","",IF(S812="[FÓRMULA MANUAL]","",IFERROR(SUMPRODUCT((nNIA=S812)*(nCUENTA=1)*(COUNTIF(CONFIG_ASIGNATURAS!$B$7:$B$27,nASIG)&gt;0)*(nNOTA))/SUMPRODUCT((nNIA=S812)*(nCUENTA=1)*(COUNTIF(CONFIG_ASIGNATURAS!$B$7:$B$27,nASIG)&gt;0)*1),"")))</f>
        <v/>
      </c>
      <c r="Z812" t="str">
        <f>IF(Y812="","",IF(Y812="[FÓRMULA MANUAL]","",IFERROR(AVERAGEIFS(nNOTA,nNIA,Y812,nCUENTA,1,nASIG,"Análisis"),"")))</f>
        <v/>
      </c>
      <c r="AA812" t="str">
        <f>IF(Y812="","",IF(Y812="[FÓRMULA MANUAL]","",IFERROR(AVERAGEIFS(nNOTA,nNIA,Y812,nCUENTA,1,nASIG,"Orquesta/Banda/Conjunto"),"")))</f>
        <v/>
      </c>
      <c r="AB812" t="str">
        <f>IF(Y812="","",IF(Y812="[FÓRMULA MANUAL]","",IFERROR(AVERAGEIFS(nNOTA,nNIA,Y812,nCUENTA,1,nASIG,"Música de Cámara"),"")))</f>
        <v/>
      </c>
      <c r="AC812" t="str">
        <f>IF(Y812="","",IF(Y812="[FÓRMULA MANUAL]","",IFERROR(SUMPRODUCT((nNIA=Y812)*(nCUENTA=1)*(COUNTIF(CONFIG_ASIGNATURAS!$B$7:$B$27,nASIG)&gt;0)*(nNOTA))/SUMPRODUCT((nNIA=Y812)*(nCUENTA=1)*(COUNTIF(CONFIG_ASIGNATURAS!$B$7:$B$27,nASIG)&gt;0)*1),"")))</f>
        <v/>
      </c>
      <c r="AF812" t="str">
        <f>IF(AE812="","",IF(AE812="[FÓRMULA MANUAL]","",IFERROR(AVERAGEIFS(nNOTA,nNIA,AE812,nCUENTA,1,nASIG,"Análisis"),"")))</f>
        <v/>
      </c>
      <c r="AG812" t="str">
        <f>IF(AE812="","",IF(AE812="[FÓRMULA MANUAL]","",IFERROR(AVERAGEIFS(nNOTA,nNIA,AE812,nCUENTA,1,nASIG,"Orquesta/Banda/Conjunto"),"")))</f>
        <v/>
      </c>
      <c r="AH812" t="str">
        <f>IF(AE812="","",IF(AE812="[FÓRMULA MANUAL]","",IFERROR(AVERAGEIFS(nNOTA,nNIA,AE812,nCUENTA,1,nASIG,"Música de Cámara"),"")))</f>
        <v/>
      </c>
      <c r="AI812" t="str">
        <f>IF(AE812="","",IF(AE812="[FÓRMULA MANUAL]","",IFERROR(SUMPRODUCT((nNIA=AE812)*(nCUENTA=1)*(COUNTIF(CONFIG_ASIGNATURAS!$B$7:$B$27,nASIG)&gt;0)*(nNOTA))/SUMPRODUCT((nNIA=AE812)*(nCUENTA=1)*(COUNTIF(CONFIG_ASIGNATURAS!$B$7:$B$27,nASIG)&gt;0)*1),"")))</f>
        <v/>
      </c>
    </row>
    <row r="813" spans="2:35" x14ac:dyDescent="0.2">
      <c r="B813" t="str">
        <f>IF(A813="","",IF(A813="[FÓRMULA MANUAL]","",IFERROR(AVERAGEIFS(nNOTA,nNIA,A813,nCUENTA,1,nASIG,"Lenguaje Musical"),"")))</f>
        <v/>
      </c>
      <c r="C813" t="str">
        <f>IF(A813="","",IF(A813="[FÓRMULA MANUAL]","",IFERROR(AVERAGEIFS(nNOTA,nNIA,A813,nCUENTA,1,nASIG,"Orquesta/Banda/Conjunto"),"")))</f>
        <v/>
      </c>
      <c r="D813" t="str">
        <f>IF(A813="","",IF(A813="[FÓRMULA MANUAL]","",IFERROR(AVERAGEIFS(nNOTA,nNIA,A813,nCUENTA,1,nASIG,"Conjunto"),"")))</f>
        <v/>
      </c>
      <c r="E813" t="str">
        <f>IF(A813="","",IF(A813="[FÓRMULA MANUAL]","",IFERROR(SUMPRODUCT((nNIA=A813)*(nCUENTA=1)*(COUNTIF(CONFIG_ASIGNATURAS!$B$7:$B$27,nASIG)&gt;0)*(nNOTA))/SUMPRODUCT((nNIA=A813)*(nCUENTA=1)*(COUNTIF(CONFIG_ASIGNATURAS!$B$7:$B$27,nASIG)&gt;0)*1),"")))</f>
        <v/>
      </c>
      <c r="H813" t="str">
        <f>IF(G813="","",IF(G813="[FÓRMULA MANUAL]","",IFERROR(AVERAGEIFS(nNOTA,nNIA,G813,nCUENTA,1,nASIG,"Lenguaje Musical"),"")))</f>
        <v/>
      </c>
      <c r="I813" t="str">
        <f>IF(G813="","",IF(G813="[FÓRMULA MANUAL]","",IFERROR(AVERAGEIFS(nNOTA,nNIA,G813,nCUENTA,1,nASIG,"Orquesta/Banda/Conjunto"),"")))</f>
        <v/>
      </c>
      <c r="J813" t="str">
        <f>IF(G813="","",IF(G813="[FÓRMULA MANUAL]","",IFERROR(AVERAGEIFS(nNOTA,nNIA,G813,nCUENTA,1,nASIG,"Conjunto"),"")))</f>
        <v/>
      </c>
      <c r="K813" t="str">
        <f>IF(G813="","",IF(G813="[FÓRMULA MANUAL]","",IFERROR(SUMPRODUCT((nNIA=G813)*(nCUENTA=1)*(COUNTIF(CONFIG_ASIGNATURAS!$B$7:$B$27,nASIG)&gt;0)*(nNOTA))/SUMPRODUCT((nNIA=G813)*(nCUENTA=1)*(COUNTIF(CONFIG_ASIGNATURAS!$B$7:$B$27,nASIG)&gt;0)*1),"")))</f>
        <v/>
      </c>
      <c r="N813" t="str">
        <f>IF(M813="","",IF(M813="[FÓRMULA MANUAL]","",IFERROR(AVERAGEIFS(nNOTA,nNIA,M813,nCUENTA,1,nASIG,"Armonía"),"")))</f>
        <v/>
      </c>
      <c r="O813" t="str">
        <f>IF(M813="","",IF(M813="[FÓRMULA MANUAL]","",IFERROR(AVERAGEIFS(nNOTA,nNIA,M813,nCUENTA,1,nASIG,"Orquesta/Banda/Conjunto"),"")))</f>
        <v/>
      </c>
      <c r="P813" t="str">
        <f>IF(M813="","",IF(M813="[FÓRMULA MANUAL]","",IFERROR(AVERAGEIFS(nNOTA,nNIA,M813,nCUENTA,1,nASIG,"Música de Cámara"),"")))</f>
        <v/>
      </c>
      <c r="Q813" t="str">
        <f>IF(M813="","",IF(M813="[FÓRMULA MANUAL]","",IFERROR(SUMPRODUCT((nNIA=M813)*(nCUENTA=1)*(COUNTIF(CONFIG_ASIGNATURAS!$B$7:$B$27,nASIG)&gt;0)*(nNOTA))/SUMPRODUCT((nNIA=M813)*(nCUENTA=1)*(COUNTIF(CONFIG_ASIGNATURAS!$B$7:$B$27,nASIG)&gt;0)*1),"")))</f>
        <v/>
      </c>
      <c r="T813" t="str">
        <f>IF(S813="","",IF(S813="[FÓRMULA MANUAL]","",IFERROR(AVERAGEIFS(nNOTA,nNIA,S813,nCUENTA,1,nASIG,"Armonía"),"")))</f>
        <v/>
      </c>
      <c r="U813" t="str">
        <f>IF(S813="","",IF(S813="[FÓRMULA MANUAL]","",IFERROR(AVERAGEIFS(nNOTA,nNIA,S813,nCUENTA,1,nASIG,"Orquesta/Banda/Conjunto"),"")))</f>
        <v/>
      </c>
      <c r="V813" t="str">
        <f>IF(S813="","",IF(S813="[FÓRMULA MANUAL]","",IFERROR(AVERAGEIFS(nNOTA,nNIA,S813,nCUENTA,1,nASIG,"Música de Cámara"),"")))</f>
        <v/>
      </c>
      <c r="W813" t="str">
        <f>IF(S813="","",IF(S813="[FÓRMULA MANUAL]","",IFERROR(SUMPRODUCT((nNIA=S813)*(nCUENTA=1)*(COUNTIF(CONFIG_ASIGNATURAS!$B$7:$B$27,nASIG)&gt;0)*(nNOTA))/SUMPRODUCT((nNIA=S813)*(nCUENTA=1)*(COUNTIF(CONFIG_ASIGNATURAS!$B$7:$B$27,nASIG)&gt;0)*1),"")))</f>
        <v/>
      </c>
      <c r="Z813" t="str">
        <f>IF(Y813="","",IF(Y813="[FÓRMULA MANUAL]","",IFERROR(AVERAGEIFS(nNOTA,nNIA,Y813,nCUENTA,1,nASIG,"Análisis"),"")))</f>
        <v/>
      </c>
      <c r="AA813" t="str">
        <f>IF(Y813="","",IF(Y813="[FÓRMULA MANUAL]","",IFERROR(AVERAGEIFS(nNOTA,nNIA,Y813,nCUENTA,1,nASIG,"Orquesta/Banda/Conjunto"),"")))</f>
        <v/>
      </c>
      <c r="AB813" t="str">
        <f>IF(Y813="","",IF(Y813="[FÓRMULA MANUAL]","",IFERROR(AVERAGEIFS(nNOTA,nNIA,Y813,nCUENTA,1,nASIG,"Música de Cámara"),"")))</f>
        <v/>
      </c>
      <c r="AC813" t="str">
        <f>IF(Y813="","",IF(Y813="[FÓRMULA MANUAL]","",IFERROR(SUMPRODUCT((nNIA=Y813)*(nCUENTA=1)*(COUNTIF(CONFIG_ASIGNATURAS!$B$7:$B$27,nASIG)&gt;0)*(nNOTA))/SUMPRODUCT((nNIA=Y813)*(nCUENTA=1)*(COUNTIF(CONFIG_ASIGNATURAS!$B$7:$B$27,nASIG)&gt;0)*1),"")))</f>
        <v/>
      </c>
      <c r="AF813" t="str">
        <f>IF(AE813="","",IF(AE813="[FÓRMULA MANUAL]","",IFERROR(AVERAGEIFS(nNOTA,nNIA,AE813,nCUENTA,1,nASIG,"Análisis"),"")))</f>
        <v/>
      </c>
      <c r="AG813" t="str">
        <f>IF(AE813="","",IF(AE813="[FÓRMULA MANUAL]","",IFERROR(AVERAGEIFS(nNOTA,nNIA,AE813,nCUENTA,1,nASIG,"Orquesta/Banda/Conjunto"),"")))</f>
        <v/>
      </c>
      <c r="AH813" t="str">
        <f>IF(AE813="","",IF(AE813="[FÓRMULA MANUAL]","",IFERROR(AVERAGEIFS(nNOTA,nNIA,AE813,nCUENTA,1,nASIG,"Música de Cámara"),"")))</f>
        <v/>
      </c>
      <c r="AI813" t="str">
        <f>IF(AE813="","",IF(AE813="[FÓRMULA MANUAL]","",IFERROR(SUMPRODUCT((nNIA=AE813)*(nCUENTA=1)*(COUNTIF(CONFIG_ASIGNATURAS!$B$7:$B$27,nASIG)&gt;0)*(nNOTA))/SUMPRODUCT((nNIA=AE813)*(nCUENTA=1)*(COUNTIF(CONFIG_ASIGNATURAS!$B$7:$B$27,nASIG)&gt;0)*1),"")))</f>
        <v/>
      </c>
    </row>
    <row r="814" spans="2:35" x14ac:dyDescent="0.2">
      <c r="B814" t="str">
        <f>IF(A814="","",IF(A814="[FÓRMULA MANUAL]","",IFERROR(AVERAGEIFS(nNOTA,nNIA,A814,nCUENTA,1,nASIG,"Lenguaje Musical"),"")))</f>
        <v/>
      </c>
      <c r="C814" t="str">
        <f>IF(A814="","",IF(A814="[FÓRMULA MANUAL]","",IFERROR(AVERAGEIFS(nNOTA,nNIA,A814,nCUENTA,1,nASIG,"Orquesta/Banda/Conjunto"),"")))</f>
        <v/>
      </c>
      <c r="D814" t="str">
        <f>IF(A814="","",IF(A814="[FÓRMULA MANUAL]","",IFERROR(AVERAGEIFS(nNOTA,nNIA,A814,nCUENTA,1,nASIG,"Conjunto"),"")))</f>
        <v/>
      </c>
      <c r="E814" t="str">
        <f>IF(A814="","",IF(A814="[FÓRMULA MANUAL]","",IFERROR(SUMPRODUCT((nNIA=A814)*(nCUENTA=1)*(COUNTIF(CONFIG_ASIGNATURAS!$B$7:$B$27,nASIG)&gt;0)*(nNOTA))/SUMPRODUCT((nNIA=A814)*(nCUENTA=1)*(COUNTIF(CONFIG_ASIGNATURAS!$B$7:$B$27,nASIG)&gt;0)*1),"")))</f>
        <v/>
      </c>
      <c r="H814" t="str">
        <f>IF(G814="","",IF(G814="[FÓRMULA MANUAL]","",IFERROR(AVERAGEIFS(nNOTA,nNIA,G814,nCUENTA,1,nASIG,"Lenguaje Musical"),"")))</f>
        <v/>
      </c>
      <c r="I814" t="str">
        <f>IF(G814="","",IF(G814="[FÓRMULA MANUAL]","",IFERROR(AVERAGEIFS(nNOTA,nNIA,G814,nCUENTA,1,nASIG,"Orquesta/Banda/Conjunto"),"")))</f>
        <v/>
      </c>
      <c r="J814" t="str">
        <f>IF(G814="","",IF(G814="[FÓRMULA MANUAL]","",IFERROR(AVERAGEIFS(nNOTA,nNIA,G814,nCUENTA,1,nASIG,"Conjunto"),"")))</f>
        <v/>
      </c>
      <c r="K814" t="str">
        <f>IF(G814="","",IF(G814="[FÓRMULA MANUAL]","",IFERROR(SUMPRODUCT((nNIA=G814)*(nCUENTA=1)*(COUNTIF(CONFIG_ASIGNATURAS!$B$7:$B$27,nASIG)&gt;0)*(nNOTA))/SUMPRODUCT((nNIA=G814)*(nCUENTA=1)*(COUNTIF(CONFIG_ASIGNATURAS!$B$7:$B$27,nASIG)&gt;0)*1),"")))</f>
        <v/>
      </c>
      <c r="N814" t="str">
        <f>IF(M814="","",IF(M814="[FÓRMULA MANUAL]","",IFERROR(AVERAGEIFS(nNOTA,nNIA,M814,nCUENTA,1,nASIG,"Armonía"),"")))</f>
        <v/>
      </c>
      <c r="O814" t="str">
        <f>IF(M814="","",IF(M814="[FÓRMULA MANUAL]","",IFERROR(AVERAGEIFS(nNOTA,nNIA,M814,nCUENTA,1,nASIG,"Orquesta/Banda/Conjunto"),"")))</f>
        <v/>
      </c>
      <c r="P814" t="str">
        <f>IF(M814="","",IF(M814="[FÓRMULA MANUAL]","",IFERROR(AVERAGEIFS(nNOTA,nNIA,M814,nCUENTA,1,nASIG,"Música de Cámara"),"")))</f>
        <v/>
      </c>
      <c r="Q814" t="str">
        <f>IF(M814="","",IF(M814="[FÓRMULA MANUAL]","",IFERROR(SUMPRODUCT((nNIA=M814)*(nCUENTA=1)*(COUNTIF(CONFIG_ASIGNATURAS!$B$7:$B$27,nASIG)&gt;0)*(nNOTA))/SUMPRODUCT((nNIA=M814)*(nCUENTA=1)*(COUNTIF(CONFIG_ASIGNATURAS!$B$7:$B$27,nASIG)&gt;0)*1),"")))</f>
        <v/>
      </c>
      <c r="T814" t="str">
        <f>IF(S814="","",IF(S814="[FÓRMULA MANUAL]","",IFERROR(AVERAGEIFS(nNOTA,nNIA,S814,nCUENTA,1,nASIG,"Armonía"),"")))</f>
        <v/>
      </c>
      <c r="U814" t="str">
        <f>IF(S814="","",IF(S814="[FÓRMULA MANUAL]","",IFERROR(AVERAGEIFS(nNOTA,nNIA,S814,nCUENTA,1,nASIG,"Orquesta/Banda/Conjunto"),"")))</f>
        <v/>
      </c>
      <c r="V814" t="str">
        <f>IF(S814="","",IF(S814="[FÓRMULA MANUAL]","",IFERROR(AVERAGEIFS(nNOTA,nNIA,S814,nCUENTA,1,nASIG,"Música de Cámara"),"")))</f>
        <v/>
      </c>
      <c r="W814" t="str">
        <f>IF(S814="","",IF(S814="[FÓRMULA MANUAL]","",IFERROR(SUMPRODUCT((nNIA=S814)*(nCUENTA=1)*(COUNTIF(CONFIG_ASIGNATURAS!$B$7:$B$27,nASIG)&gt;0)*(nNOTA))/SUMPRODUCT((nNIA=S814)*(nCUENTA=1)*(COUNTIF(CONFIG_ASIGNATURAS!$B$7:$B$27,nASIG)&gt;0)*1),"")))</f>
        <v/>
      </c>
      <c r="Z814" t="str">
        <f>IF(Y814="","",IF(Y814="[FÓRMULA MANUAL]","",IFERROR(AVERAGEIFS(nNOTA,nNIA,Y814,nCUENTA,1,nASIG,"Análisis"),"")))</f>
        <v/>
      </c>
      <c r="AA814" t="str">
        <f>IF(Y814="","",IF(Y814="[FÓRMULA MANUAL]","",IFERROR(AVERAGEIFS(nNOTA,nNIA,Y814,nCUENTA,1,nASIG,"Orquesta/Banda/Conjunto"),"")))</f>
        <v/>
      </c>
      <c r="AB814" t="str">
        <f>IF(Y814="","",IF(Y814="[FÓRMULA MANUAL]","",IFERROR(AVERAGEIFS(nNOTA,nNIA,Y814,nCUENTA,1,nASIG,"Música de Cámara"),"")))</f>
        <v/>
      </c>
      <c r="AC814" t="str">
        <f>IF(Y814="","",IF(Y814="[FÓRMULA MANUAL]","",IFERROR(SUMPRODUCT((nNIA=Y814)*(nCUENTA=1)*(COUNTIF(CONFIG_ASIGNATURAS!$B$7:$B$27,nASIG)&gt;0)*(nNOTA))/SUMPRODUCT((nNIA=Y814)*(nCUENTA=1)*(COUNTIF(CONFIG_ASIGNATURAS!$B$7:$B$27,nASIG)&gt;0)*1),"")))</f>
        <v/>
      </c>
      <c r="AF814" t="str">
        <f>IF(AE814="","",IF(AE814="[FÓRMULA MANUAL]","",IFERROR(AVERAGEIFS(nNOTA,nNIA,AE814,nCUENTA,1,nASIG,"Análisis"),"")))</f>
        <v/>
      </c>
      <c r="AG814" t="str">
        <f>IF(AE814="","",IF(AE814="[FÓRMULA MANUAL]","",IFERROR(AVERAGEIFS(nNOTA,nNIA,AE814,nCUENTA,1,nASIG,"Orquesta/Banda/Conjunto"),"")))</f>
        <v/>
      </c>
      <c r="AH814" t="str">
        <f>IF(AE814="","",IF(AE814="[FÓRMULA MANUAL]","",IFERROR(AVERAGEIFS(nNOTA,nNIA,AE814,nCUENTA,1,nASIG,"Música de Cámara"),"")))</f>
        <v/>
      </c>
      <c r="AI814" t="str">
        <f>IF(AE814="","",IF(AE814="[FÓRMULA MANUAL]","",IFERROR(SUMPRODUCT((nNIA=AE814)*(nCUENTA=1)*(COUNTIF(CONFIG_ASIGNATURAS!$B$7:$B$27,nASIG)&gt;0)*(nNOTA))/SUMPRODUCT((nNIA=AE814)*(nCUENTA=1)*(COUNTIF(CONFIG_ASIGNATURAS!$B$7:$B$27,nASIG)&gt;0)*1),"")))</f>
        <v/>
      </c>
    </row>
    <row r="815" spans="2:35" x14ac:dyDescent="0.2">
      <c r="B815" t="str">
        <f>IF(A815="","",IF(A815="[FÓRMULA MANUAL]","",IFERROR(AVERAGEIFS(nNOTA,nNIA,A815,nCUENTA,1,nASIG,"Lenguaje Musical"),"")))</f>
        <v/>
      </c>
      <c r="C815" t="str">
        <f>IF(A815="","",IF(A815="[FÓRMULA MANUAL]","",IFERROR(AVERAGEIFS(nNOTA,nNIA,A815,nCUENTA,1,nASIG,"Orquesta/Banda/Conjunto"),"")))</f>
        <v/>
      </c>
      <c r="D815" t="str">
        <f>IF(A815="","",IF(A815="[FÓRMULA MANUAL]","",IFERROR(AVERAGEIFS(nNOTA,nNIA,A815,nCUENTA,1,nASIG,"Conjunto"),"")))</f>
        <v/>
      </c>
      <c r="E815" t="str">
        <f>IF(A815="","",IF(A815="[FÓRMULA MANUAL]","",IFERROR(SUMPRODUCT((nNIA=A815)*(nCUENTA=1)*(COUNTIF(CONFIG_ASIGNATURAS!$B$7:$B$27,nASIG)&gt;0)*(nNOTA))/SUMPRODUCT((nNIA=A815)*(nCUENTA=1)*(COUNTIF(CONFIG_ASIGNATURAS!$B$7:$B$27,nASIG)&gt;0)*1),"")))</f>
        <v/>
      </c>
      <c r="H815" t="str">
        <f>IF(G815="","",IF(G815="[FÓRMULA MANUAL]","",IFERROR(AVERAGEIFS(nNOTA,nNIA,G815,nCUENTA,1,nASIG,"Lenguaje Musical"),"")))</f>
        <v/>
      </c>
      <c r="I815" t="str">
        <f>IF(G815="","",IF(G815="[FÓRMULA MANUAL]","",IFERROR(AVERAGEIFS(nNOTA,nNIA,G815,nCUENTA,1,nASIG,"Orquesta/Banda/Conjunto"),"")))</f>
        <v/>
      </c>
      <c r="J815" t="str">
        <f>IF(G815="","",IF(G815="[FÓRMULA MANUAL]","",IFERROR(AVERAGEIFS(nNOTA,nNIA,G815,nCUENTA,1,nASIG,"Conjunto"),"")))</f>
        <v/>
      </c>
      <c r="K815" t="str">
        <f>IF(G815="","",IF(G815="[FÓRMULA MANUAL]","",IFERROR(SUMPRODUCT((nNIA=G815)*(nCUENTA=1)*(COUNTIF(CONFIG_ASIGNATURAS!$B$7:$B$27,nASIG)&gt;0)*(nNOTA))/SUMPRODUCT((nNIA=G815)*(nCUENTA=1)*(COUNTIF(CONFIG_ASIGNATURAS!$B$7:$B$27,nASIG)&gt;0)*1),"")))</f>
        <v/>
      </c>
      <c r="N815" t="str">
        <f>IF(M815="","",IF(M815="[FÓRMULA MANUAL]","",IFERROR(AVERAGEIFS(nNOTA,nNIA,M815,nCUENTA,1,nASIG,"Armonía"),"")))</f>
        <v/>
      </c>
      <c r="O815" t="str">
        <f>IF(M815="","",IF(M815="[FÓRMULA MANUAL]","",IFERROR(AVERAGEIFS(nNOTA,nNIA,M815,nCUENTA,1,nASIG,"Orquesta/Banda/Conjunto"),"")))</f>
        <v/>
      </c>
      <c r="P815" t="str">
        <f>IF(M815="","",IF(M815="[FÓRMULA MANUAL]","",IFERROR(AVERAGEIFS(nNOTA,nNIA,M815,nCUENTA,1,nASIG,"Música de Cámara"),"")))</f>
        <v/>
      </c>
      <c r="Q815" t="str">
        <f>IF(M815="","",IF(M815="[FÓRMULA MANUAL]","",IFERROR(SUMPRODUCT((nNIA=M815)*(nCUENTA=1)*(COUNTIF(CONFIG_ASIGNATURAS!$B$7:$B$27,nASIG)&gt;0)*(nNOTA))/SUMPRODUCT((nNIA=M815)*(nCUENTA=1)*(COUNTIF(CONFIG_ASIGNATURAS!$B$7:$B$27,nASIG)&gt;0)*1),"")))</f>
        <v/>
      </c>
      <c r="T815" t="str">
        <f>IF(S815="","",IF(S815="[FÓRMULA MANUAL]","",IFERROR(AVERAGEIFS(nNOTA,nNIA,S815,nCUENTA,1,nASIG,"Armonía"),"")))</f>
        <v/>
      </c>
      <c r="U815" t="str">
        <f>IF(S815="","",IF(S815="[FÓRMULA MANUAL]","",IFERROR(AVERAGEIFS(nNOTA,nNIA,S815,nCUENTA,1,nASIG,"Orquesta/Banda/Conjunto"),"")))</f>
        <v/>
      </c>
      <c r="V815" t="str">
        <f>IF(S815="","",IF(S815="[FÓRMULA MANUAL]","",IFERROR(AVERAGEIFS(nNOTA,nNIA,S815,nCUENTA,1,nASIG,"Música de Cámara"),"")))</f>
        <v/>
      </c>
      <c r="W815" t="str">
        <f>IF(S815="","",IF(S815="[FÓRMULA MANUAL]","",IFERROR(SUMPRODUCT((nNIA=S815)*(nCUENTA=1)*(COUNTIF(CONFIG_ASIGNATURAS!$B$7:$B$27,nASIG)&gt;0)*(nNOTA))/SUMPRODUCT((nNIA=S815)*(nCUENTA=1)*(COUNTIF(CONFIG_ASIGNATURAS!$B$7:$B$27,nASIG)&gt;0)*1),"")))</f>
        <v/>
      </c>
      <c r="Z815" t="str">
        <f>IF(Y815="","",IF(Y815="[FÓRMULA MANUAL]","",IFERROR(AVERAGEIFS(nNOTA,nNIA,Y815,nCUENTA,1,nASIG,"Análisis"),"")))</f>
        <v/>
      </c>
      <c r="AA815" t="str">
        <f>IF(Y815="","",IF(Y815="[FÓRMULA MANUAL]","",IFERROR(AVERAGEIFS(nNOTA,nNIA,Y815,nCUENTA,1,nASIG,"Orquesta/Banda/Conjunto"),"")))</f>
        <v/>
      </c>
      <c r="AB815" t="str">
        <f>IF(Y815="","",IF(Y815="[FÓRMULA MANUAL]","",IFERROR(AVERAGEIFS(nNOTA,nNIA,Y815,nCUENTA,1,nASIG,"Música de Cámara"),"")))</f>
        <v/>
      </c>
      <c r="AC815" t="str">
        <f>IF(Y815="","",IF(Y815="[FÓRMULA MANUAL]","",IFERROR(SUMPRODUCT((nNIA=Y815)*(nCUENTA=1)*(COUNTIF(CONFIG_ASIGNATURAS!$B$7:$B$27,nASIG)&gt;0)*(nNOTA))/SUMPRODUCT((nNIA=Y815)*(nCUENTA=1)*(COUNTIF(CONFIG_ASIGNATURAS!$B$7:$B$27,nASIG)&gt;0)*1),"")))</f>
        <v/>
      </c>
      <c r="AF815" t="str">
        <f>IF(AE815="","",IF(AE815="[FÓRMULA MANUAL]","",IFERROR(AVERAGEIFS(nNOTA,nNIA,AE815,nCUENTA,1,nASIG,"Análisis"),"")))</f>
        <v/>
      </c>
      <c r="AG815" t="str">
        <f>IF(AE815="","",IF(AE815="[FÓRMULA MANUAL]","",IFERROR(AVERAGEIFS(nNOTA,nNIA,AE815,nCUENTA,1,nASIG,"Orquesta/Banda/Conjunto"),"")))</f>
        <v/>
      </c>
      <c r="AH815" t="str">
        <f>IF(AE815="","",IF(AE815="[FÓRMULA MANUAL]","",IFERROR(AVERAGEIFS(nNOTA,nNIA,AE815,nCUENTA,1,nASIG,"Música de Cámara"),"")))</f>
        <v/>
      </c>
      <c r="AI815" t="str">
        <f>IF(AE815="","",IF(AE815="[FÓRMULA MANUAL]","",IFERROR(SUMPRODUCT((nNIA=AE815)*(nCUENTA=1)*(COUNTIF(CONFIG_ASIGNATURAS!$B$7:$B$27,nASIG)&gt;0)*(nNOTA))/SUMPRODUCT((nNIA=AE815)*(nCUENTA=1)*(COUNTIF(CONFIG_ASIGNATURAS!$B$7:$B$27,nASIG)&gt;0)*1),"")))</f>
        <v/>
      </c>
    </row>
    <row r="816" spans="2:35" x14ac:dyDescent="0.2">
      <c r="B816" t="str">
        <f>IF(A816="","",IF(A816="[FÓRMULA MANUAL]","",IFERROR(AVERAGEIFS(nNOTA,nNIA,A816,nCUENTA,1,nASIG,"Lenguaje Musical"),"")))</f>
        <v/>
      </c>
      <c r="C816" t="str">
        <f>IF(A816="","",IF(A816="[FÓRMULA MANUAL]","",IFERROR(AVERAGEIFS(nNOTA,nNIA,A816,nCUENTA,1,nASIG,"Orquesta/Banda/Conjunto"),"")))</f>
        <v/>
      </c>
      <c r="D816" t="str">
        <f>IF(A816="","",IF(A816="[FÓRMULA MANUAL]","",IFERROR(AVERAGEIFS(nNOTA,nNIA,A816,nCUENTA,1,nASIG,"Conjunto"),"")))</f>
        <v/>
      </c>
      <c r="E816" t="str">
        <f>IF(A816="","",IF(A816="[FÓRMULA MANUAL]","",IFERROR(SUMPRODUCT((nNIA=A816)*(nCUENTA=1)*(COUNTIF(CONFIG_ASIGNATURAS!$B$7:$B$27,nASIG)&gt;0)*(nNOTA))/SUMPRODUCT((nNIA=A816)*(nCUENTA=1)*(COUNTIF(CONFIG_ASIGNATURAS!$B$7:$B$27,nASIG)&gt;0)*1),"")))</f>
        <v/>
      </c>
      <c r="H816" t="str">
        <f>IF(G816="","",IF(G816="[FÓRMULA MANUAL]","",IFERROR(AVERAGEIFS(nNOTA,nNIA,G816,nCUENTA,1,nASIG,"Lenguaje Musical"),"")))</f>
        <v/>
      </c>
      <c r="I816" t="str">
        <f>IF(G816="","",IF(G816="[FÓRMULA MANUAL]","",IFERROR(AVERAGEIFS(nNOTA,nNIA,G816,nCUENTA,1,nASIG,"Orquesta/Banda/Conjunto"),"")))</f>
        <v/>
      </c>
      <c r="J816" t="str">
        <f>IF(G816="","",IF(G816="[FÓRMULA MANUAL]","",IFERROR(AVERAGEIFS(nNOTA,nNIA,G816,nCUENTA,1,nASIG,"Conjunto"),"")))</f>
        <v/>
      </c>
      <c r="K816" t="str">
        <f>IF(G816="","",IF(G816="[FÓRMULA MANUAL]","",IFERROR(SUMPRODUCT((nNIA=G816)*(nCUENTA=1)*(COUNTIF(CONFIG_ASIGNATURAS!$B$7:$B$27,nASIG)&gt;0)*(nNOTA))/SUMPRODUCT((nNIA=G816)*(nCUENTA=1)*(COUNTIF(CONFIG_ASIGNATURAS!$B$7:$B$27,nASIG)&gt;0)*1),"")))</f>
        <v/>
      </c>
      <c r="N816" t="str">
        <f>IF(M816="","",IF(M816="[FÓRMULA MANUAL]","",IFERROR(AVERAGEIFS(nNOTA,nNIA,M816,nCUENTA,1,nASIG,"Armonía"),"")))</f>
        <v/>
      </c>
      <c r="O816" t="str">
        <f>IF(M816="","",IF(M816="[FÓRMULA MANUAL]","",IFERROR(AVERAGEIFS(nNOTA,nNIA,M816,nCUENTA,1,nASIG,"Orquesta/Banda/Conjunto"),"")))</f>
        <v/>
      </c>
      <c r="P816" t="str">
        <f>IF(M816="","",IF(M816="[FÓRMULA MANUAL]","",IFERROR(AVERAGEIFS(nNOTA,nNIA,M816,nCUENTA,1,nASIG,"Música de Cámara"),"")))</f>
        <v/>
      </c>
      <c r="Q816" t="str">
        <f>IF(M816="","",IF(M816="[FÓRMULA MANUAL]","",IFERROR(SUMPRODUCT((nNIA=M816)*(nCUENTA=1)*(COUNTIF(CONFIG_ASIGNATURAS!$B$7:$B$27,nASIG)&gt;0)*(nNOTA))/SUMPRODUCT((nNIA=M816)*(nCUENTA=1)*(COUNTIF(CONFIG_ASIGNATURAS!$B$7:$B$27,nASIG)&gt;0)*1),"")))</f>
        <v/>
      </c>
      <c r="T816" t="str">
        <f>IF(S816="","",IF(S816="[FÓRMULA MANUAL]","",IFERROR(AVERAGEIFS(nNOTA,nNIA,S816,nCUENTA,1,nASIG,"Armonía"),"")))</f>
        <v/>
      </c>
      <c r="U816" t="str">
        <f>IF(S816="","",IF(S816="[FÓRMULA MANUAL]","",IFERROR(AVERAGEIFS(nNOTA,nNIA,S816,nCUENTA,1,nASIG,"Orquesta/Banda/Conjunto"),"")))</f>
        <v/>
      </c>
      <c r="V816" t="str">
        <f>IF(S816="","",IF(S816="[FÓRMULA MANUAL]","",IFERROR(AVERAGEIFS(nNOTA,nNIA,S816,nCUENTA,1,nASIG,"Música de Cámara"),"")))</f>
        <v/>
      </c>
      <c r="W816" t="str">
        <f>IF(S816="","",IF(S816="[FÓRMULA MANUAL]","",IFERROR(SUMPRODUCT((nNIA=S816)*(nCUENTA=1)*(COUNTIF(CONFIG_ASIGNATURAS!$B$7:$B$27,nASIG)&gt;0)*(nNOTA))/SUMPRODUCT((nNIA=S816)*(nCUENTA=1)*(COUNTIF(CONFIG_ASIGNATURAS!$B$7:$B$27,nASIG)&gt;0)*1),"")))</f>
        <v/>
      </c>
      <c r="Z816" t="str">
        <f>IF(Y816="","",IF(Y816="[FÓRMULA MANUAL]","",IFERROR(AVERAGEIFS(nNOTA,nNIA,Y816,nCUENTA,1,nASIG,"Análisis"),"")))</f>
        <v/>
      </c>
      <c r="AA816" t="str">
        <f>IF(Y816="","",IF(Y816="[FÓRMULA MANUAL]","",IFERROR(AVERAGEIFS(nNOTA,nNIA,Y816,nCUENTA,1,nASIG,"Orquesta/Banda/Conjunto"),"")))</f>
        <v/>
      </c>
      <c r="AB816" t="str">
        <f>IF(Y816="","",IF(Y816="[FÓRMULA MANUAL]","",IFERROR(AVERAGEIFS(nNOTA,nNIA,Y816,nCUENTA,1,nASIG,"Música de Cámara"),"")))</f>
        <v/>
      </c>
      <c r="AC816" t="str">
        <f>IF(Y816="","",IF(Y816="[FÓRMULA MANUAL]","",IFERROR(SUMPRODUCT((nNIA=Y816)*(nCUENTA=1)*(COUNTIF(CONFIG_ASIGNATURAS!$B$7:$B$27,nASIG)&gt;0)*(nNOTA))/SUMPRODUCT((nNIA=Y816)*(nCUENTA=1)*(COUNTIF(CONFIG_ASIGNATURAS!$B$7:$B$27,nASIG)&gt;0)*1),"")))</f>
        <v/>
      </c>
      <c r="AF816" t="str">
        <f>IF(AE816="","",IF(AE816="[FÓRMULA MANUAL]","",IFERROR(AVERAGEIFS(nNOTA,nNIA,AE816,nCUENTA,1,nASIG,"Análisis"),"")))</f>
        <v/>
      </c>
      <c r="AG816" t="str">
        <f>IF(AE816="","",IF(AE816="[FÓRMULA MANUAL]","",IFERROR(AVERAGEIFS(nNOTA,nNIA,AE816,nCUENTA,1,nASIG,"Orquesta/Banda/Conjunto"),"")))</f>
        <v/>
      </c>
      <c r="AH816" t="str">
        <f>IF(AE816="","",IF(AE816="[FÓRMULA MANUAL]","",IFERROR(AVERAGEIFS(nNOTA,nNIA,AE816,nCUENTA,1,nASIG,"Música de Cámara"),"")))</f>
        <v/>
      </c>
      <c r="AI816" t="str">
        <f>IF(AE816="","",IF(AE816="[FÓRMULA MANUAL]","",IFERROR(SUMPRODUCT((nNIA=AE816)*(nCUENTA=1)*(COUNTIF(CONFIG_ASIGNATURAS!$B$7:$B$27,nASIG)&gt;0)*(nNOTA))/SUMPRODUCT((nNIA=AE816)*(nCUENTA=1)*(COUNTIF(CONFIG_ASIGNATURAS!$B$7:$B$27,nASIG)&gt;0)*1),"")))</f>
        <v/>
      </c>
    </row>
    <row r="817" spans="2:35" x14ac:dyDescent="0.2">
      <c r="B817" t="str">
        <f>IF(A817="","",IF(A817="[FÓRMULA MANUAL]","",IFERROR(AVERAGEIFS(nNOTA,nNIA,A817,nCUENTA,1,nASIG,"Lenguaje Musical"),"")))</f>
        <v/>
      </c>
      <c r="C817" t="str">
        <f>IF(A817="","",IF(A817="[FÓRMULA MANUAL]","",IFERROR(AVERAGEIFS(nNOTA,nNIA,A817,nCUENTA,1,nASIG,"Orquesta/Banda/Conjunto"),"")))</f>
        <v/>
      </c>
      <c r="D817" t="str">
        <f>IF(A817="","",IF(A817="[FÓRMULA MANUAL]","",IFERROR(AVERAGEIFS(nNOTA,nNIA,A817,nCUENTA,1,nASIG,"Conjunto"),"")))</f>
        <v/>
      </c>
      <c r="E817" t="str">
        <f>IF(A817="","",IF(A817="[FÓRMULA MANUAL]","",IFERROR(SUMPRODUCT((nNIA=A817)*(nCUENTA=1)*(COUNTIF(CONFIG_ASIGNATURAS!$B$7:$B$27,nASIG)&gt;0)*(nNOTA))/SUMPRODUCT((nNIA=A817)*(nCUENTA=1)*(COUNTIF(CONFIG_ASIGNATURAS!$B$7:$B$27,nASIG)&gt;0)*1),"")))</f>
        <v/>
      </c>
      <c r="H817" t="str">
        <f>IF(G817="","",IF(G817="[FÓRMULA MANUAL]","",IFERROR(AVERAGEIFS(nNOTA,nNIA,G817,nCUENTA,1,nASIG,"Lenguaje Musical"),"")))</f>
        <v/>
      </c>
      <c r="I817" t="str">
        <f>IF(G817="","",IF(G817="[FÓRMULA MANUAL]","",IFERROR(AVERAGEIFS(nNOTA,nNIA,G817,nCUENTA,1,nASIG,"Orquesta/Banda/Conjunto"),"")))</f>
        <v/>
      </c>
      <c r="J817" t="str">
        <f>IF(G817="","",IF(G817="[FÓRMULA MANUAL]","",IFERROR(AVERAGEIFS(nNOTA,nNIA,G817,nCUENTA,1,nASIG,"Conjunto"),"")))</f>
        <v/>
      </c>
      <c r="K817" t="str">
        <f>IF(G817="","",IF(G817="[FÓRMULA MANUAL]","",IFERROR(SUMPRODUCT((nNIA=G817)*(nCUENTA=1)*(COUNTIF(CONFIG_ASIGNATURAS!$B$7:$B$27,nASIG)&gt;0)*(nNOTA))/SUMPRODUCT((nNIA=G817)*(nCUENTA=1)*(COUNTIF(CONFIG_ASIGNATURAS!$B$7:$B$27,nASIG)&gt;0)*1),"")))</f>
        <v/>
      </c>
      <c r="N817" t="str">
        <f>IF(M817="","",IF(M817="[FÓRMULA MANUAL]","",IFERROR(AVERAGEIFS(nNOTA,nNIA,M817,nCUENTA,1,nASIG,"Armonía"),"")))</f>
        <v/>
      </c>
      <c r="O817" t="str">
        <f>IF(M817="","",IF(M817="[FÓRMULA MANUAL]","",IFERROR(AVERAGEIFS(nNOTA,nNIA,M817,nCUENTA,1,nASIG,"Orquesta/Banda/Conjunto"),"")))</f>
        <v/>
      </c>
      <c r="P817" t="str">
        <f>IF(M817="","",IF(M817="[FÓRMULA MANUAL]","",IFERROR(AVERAGEIFS(nNOTA,nNIA,M817,nCUENTA,1,nASIG,"Música de Cámara"),"")))</f>
        <v/>
      </c>
      <c r="Q817" t="str">
        <f>IF(M817="","",IF(M817="[FÓRMULA MANUAL]","",IFERROR(SUMPRODUCT((nNIA=M817)*(nCUENTA=1)*(COUNTIF(CONFIG_ASIGNATURAS!$B$7:$B$27,nASIG)&gt;0)*(nNOTA))/SUMPRODUCT((nNIA=M817)*(nCUENTA=1)*(COUNTIF(CONFIG_ASIGNATURAS!$B$7:$B$27,nASIG)&gt;0)*1),"")))</f>
        <v/>
      </c>
      <c r="T817" t="str">
        <f>IF(S817="","",IF(S817="[FÓRMULA MANUAL]","",IFERROR(AVERAGEIFS(nNOTA,nNIA,S817,nCUENTA,1,nASIG,"Armonía"),"")))</f>
        <v/>
      </c>
      <c r="U817" t="str">
        <f>IF(S817="","",IF(S817="[FÓRMULA MANUAL]","",IFERROR(AVERAGEIFS(nNOTA,nNIA,S817,nCUENTA,1,nASIG,"Orquesta/Banda/Conjunto"),"")))</f>
        <v/>
      </c>
      <c r="V817" t="str">
        <f>IF(S817="","",IF(S817="[FÓRMULA MANUAL]","",IFERROR(AVERAGEIFS(nNOTA,nNIA,S817,nCUENTA,1,nASIG,"Música de Cámara"),"")))</f>
        <v/>
      </c>
      <c r="W817" t="str">
        <f>IF(S817="","",IF(S817="[FÓRMULA MANUAL]","",IFERROR(SUMPRODUCT((nNIA=S817)*(nCUENTA=1)*(COUNTIF(CONFIG_ASIGNATURAS!$B$7:$B$27,nASIG)&gt;0)*(nNOTA))/SUMPRODUCT((nNIA=S817)*(nCUENTA=1)*(COUNTIF(CONFIG_ASIGNATURAS!$B$7:$B$27,nASIG)&gt;0)*1),"")))</f>
        <v/>
      </c>
      <c r="Z817" t="str">
        <f>IF(Y817="","",IF(Y817="[FÓRMULA MANUAL]","",IFERROR(AVERAGEIFS(nNOTA,nNIA,Y817,nCUENTA,1,nASIG,"Análisis"),"")))</f>
        <v/>
      </c>
      <c r="AA817" t="str">
        <f>IF(Y817="","",IF(Y817="[FÓRMULA MANUAL]","",IFERROR(AVERAGEIFS(nNOTA,nNIA,Y817,nCUENTA,1,nASIG,"Orquesta/Banda/Conjunto"),"")))</f>
        <v/>
      </c>
      <c r="AB817" t="str">
        <f>IF(Y817="","",IF(Y817="[FÓRMULA MANUAL]","",IFERROR(AVERAGEIFS(nNOTA,nNIA,Y817,nCUENTA,1,nASIG,"Música de Cámara"),"")))</f>
        <v/>
      </c>
      <c r="AC817" t="str">
        <f>IF(Y817="","",IF(Y817="[FÓRMULA MANUAL]","",IFERROR(SUMPRODUCT((nNIA=Y817)*(nCUENTA=1)*(COUNTIF(CONFIG_ASIGNATURAS!$B$7:$B$27,nASIG)&gt;0)*(nNOTA))/SUMPRODUCT((nNIA=Y817)*(nCUENTA=1)*(COUNTIF(CONFIG_ASIGNATURAS!$B$7:$B$27,nASIG)&gt;0)*1),"")))</f>
        <v/>
      </c>
      <c r="AF817" t="str">
        <f>IF(AE817="","",IF(AE817="[FÓRMULA MANUAL]","",IFERROR(AVERAGEIFS(nNOTA,nNIA,AE817,nCUENTA,1,nASIG,"Análisis"),"")))</f>
        <v/>
      </c>
      <c r="AG817" t="str">
        <f>IF(AE817="","",IF(AE817="[FÓRMULA MANUAL]","",IFERROR(AVERAGEIFS(nNOTA,nNIA,AE817,nCUENTA,1,nASIG,"Orquesta/Banda/Conjunto"),"")))</f>
        <v/>
      </c>
      <c r="AH817" t="str">
        <f>IF(AE817="","",IF(AE817="[FÓRMULA MANUAL]","",IFERROR(AVERAGEIFS(nNOTA,nNIA,AE817,nCUENTA,1,nASIG,"Música de Cámara"),"")))</f>
        <v/>
      </c>
      <c r="AI817" t="str">
        <f>IF(AE817="","",IF(AE817="[FÓRMULA MANUAL]","",IFERROR(SUMPRODUCT((nNIA=AE817)*(nCUENTA=1)*(COUNTIF(CONFIG_ASIGNATURAS!$B$7:$B$27,nASIG)&gt;0)*(nNOTA))/SUMPRODUCT((nNIA=AE817)*(nCUENTA=1)*(COUNTIF(CONFIG_ASIGNATURAS!$B$7:$B$27,nASIG)&gt;0)*1),"")))</f>
        <v/>
      </c>
    </row>
    <row r="818" spans="2:35" x14ac:dyDescent="0.2">
      <c r="B818" t="str">
        <f>IF(A818="","",IF(A818="[FÓRMULA MANUAL]","",IFERROR(AVERAGEIFS(nNOTA,nNIA,A818,nCUENTA,1,nASIG,"Lenguaje Musical"),"")))</f>
        <v/>
      </c>
      <c r="C818" t="str">
        <f>IF(A818="","",IF(A818="[FÓRMULA MANUAL]","",IFERROR(AVERAGEIFS(nNOTA,nNIA,A818,nCUENTA,1,nASIG,"Orquesta/Banda/Conjunto"),"")))</f>
        <v/>
      </c>
      <c r="D818" t="str">
        <f>IF(A818="","",IF(A818="[FÓRMULA MANUAL]","",IFERROR(AVERAGEIFS(nNOTA,nNIA,A818,nCUENTA,1,nASIG,"Conjunto"),"")))</f>
        <v/>
      </c>
      <c r="E818" t="str">
        <f>IF(A818="","",IF(A818="[FÓRMULA MANUAL]","",IFERROR(SUMPRODUCT((nNIA=A818)*(nCUENTA=1)*(COUNTIF(CONFIG_ASIGNATURAS!$B$7:$B$27,nASIG)&gt;0)*(nNOTA))/SUMPRODUCT((nNIA=A818)*(nCUENTA=1)*(COUNTIF(CONFIG_ASIGNATURAS!$B$7:$B$27,nASIG)&gt;0)*1),"")))</f>
        <v/>
      </c>
      <c r="H818" t="str">
        <f>IF(G818="","",IF(G818="[FÓRMULA MANUAL]","",IFERROR(AVERAGEIFS(nNOTA,nNIA,G818,nCUENTA,1,nASIG,"Lenguaje Musical"),"")))</f>
        <v/>
      </c>
      <c r="I818" t="str">
        <f>IF(G818="","",IF(G818="[FÓRMULA MANUAL]","",IFERROR(AVERAGEIFS(nNOTA,nNIA,G818,nCUENTA,1,nASIG,"Orquesta/Banda/Conjunto"),"")))</f>
        <v/>
      </c>
      <c r="J818" t="str">
        <f>IF(G818="","",IF(G818="[FÓRMULA MANUAL]","",IFERROR(AVERAGEIFS(nNOTA,nNIA,G818,nCUENTA,1,nASIG,"Conjunto"),"")))</f>
        <v/>
      </c>
      <c r="K818" t="str">
        <f>IF(G818="","",IF(G818="[FÓRMULA MANUAL]","",IFERROR(SUMPRODUCT((nNIA=G818)*(nCUENTA=1)*(COUNTIF(CONFIG_ASIGNATURAS!$B$7:$B$27,nASIG)&gt;0)*(nNOTA))/SUMPRODUCT((nNIA=G818)*(nCUENTA=1)*(COUNTIF(CONFIG_ASIGNATURAS!$B$7:$B$27,nASIG)&gt;0)*1),"")))</f>
        <v/>
      </c>
      <c r="N818" t="str">
        <f>IF(M818="","",IF(M818="[FÓRMULA MANUAL]","",IFERROR(AVERAGEIFS(nNOTA,nNIA,M818,nCUENTA,1,nASIG,"Armonía"),"")))</f>
        <v/>
      </c>
      <c r="O818" t="str">
        <f>IF(M818="","",IF(M818="[FÓRMULA MANUAL]","",IFERROR(AVERAGEIFS(nNOTA,nNIA,M818,nCUENTA,1,nASIG,"Orquesta/Banda/Conjunto"),"")))</f>
        <v/>
      </c>
      <c r="P818" t="str">
        <f>IF(M818="","",IF(M818="[FÓRMULA MANUAL]","",IFERROR(AVERAGEIFS(nNOTA,nNIA,M818,nCUENTA,1,nASIG,"Música de Cámara"),"")))</f>
        <v/>
      </c>
      <c r="Q818" t="str">
        <f>IF(M818="","",IF(M818="[FÓRMULA MANUAL]","",IFERROR(SUMPRODUCT((nNIA=M818)*(nCUENTA=1)*(COUNTIF(CONFIG_ASIGNATURAS!$B$7:$B$27,nASIG)&gt;0)*(nNOTA))/SUMPRODUCT((nNIA=M818)*(nCUENTA=1)*(COUNTIF(CONFIG_ASIGNATURAS!$B$7:$B$27,nASIG)&gt;0)*1),"")))</f>
        <v/>
      </c>
      <c r="T818" t="str">
        <f>IF(S818="","",IF(S818="[FÓRMULA MANUAL]","",IFERROR(AVERAGEIFS(nNOTA,nNIA,S818,nCUENTA,1,nASIG,"Armonía"),"")))</f>
        <v/>
      </c>
      <c r="U818" t="str">
        <f>IF(S818="","",IF(S818="[FÓRMULA MANUAL]","",IFERROR(AVERAGEIFS(nNOTA,nNIA,S818,nCUENTA,1,nASIG,"Orquesta/Banda/Conjunto"),"")))</f>
        <v/>
      </c>
      <c r="V818" t="str">
        <f>IF(S818="","",IF(S818="[FÓRMULA MANUAL]","",IFERROR(AVERAGEIFS(nNOTA,nNIA,S818,nCUENTA,1,nASIG,"Música de Cámara"),"")))</f>
        <v/>
      </c>
      <c r="W818" t="str">
        <f>IF(S818="","",IF(S818="[FÓRMULA MANUAL]","",IFERROR(SUMPRODUCT((nNIA=S818)*(nCUENTA=1)*(COUNTIF(CONFIG_ASIGNATURAS!$B$7:$B$27,nASIG)&gt;0)*(nNOTA))/SUMPRODUCT((nNIA=S818)*(nCUENTA=1)*(COUNTIF(CONFIG_ASIGNATURAS!$B$7:$B$27,nASIG)&gt;0)*1),"")))</f>
        <v/>
      </c>
      <c r="Z818" t="str">
        <f>IF(Y818="","",IF(Y818="[FÓRMULA MANUAL]","",IFERROR(AVERAGEIFS(nNOTA,nNIA,Y818,nCUENTA,1,nASIG,"Análisis"),"")))</f>
        <v/>
      </c>
      <c r="AA818" t="str">
        <f>IF(Y818="","",IF(Y818="[FÓRMULA MANUAL]","",IFERROR(AVERAGEIFS(nNOTA,nNIA,Y818,nCUENTA,1,nASIG,"Orquesta/Banda/Conjunto"),"")))</f>
        <v/>
      </c>
      <c r="AB818" t="str">
        <f>IF(Y818="","",IF(Y818="[FÓRMULA MANUAL]","",IFERROR(AVERAGEIFS(nNOTA,nNIA,Y818,nCUENTA,1,nASIG,"Música de Cámara"),"")))</f>
        <v/>
      </c>
      <c r="AC818" t="str">
        <f>IF(Y818="","",IF(Y818="[FÓRMULA MANUAL]","",IFERROR(SUMPRODUCT((nNIA=Y818)*(nCUENTA=1)*(COUNTIF(CONFIG_ASIGNATURAS!$B$7:$B$27,nASIG)&gt;0)*(nNOTA))/SUMPRODUCT((nNIA=Y818)*(nCUENTA=1)*(COUNTIF(CONFIG_ASIGNATURAS!$B$7:$B$27,nASIG)&gt;0)*1),"")))</f>
        <v/>
      </c>
      <c r="AF818" t="str">
        <f>IF(AE818="","",IF(AE818="[FÓRMULA MANUAL]","",IFERROR(AVERAGEIFS(nNOTA,nNIA,AE818,nCUENTA,1,nASIG,"Análisis"),"")))</f>
        <v/>
      </c>
      <c r="AG818" t="str">
        <f>IF(AE818="","",IF(AE818="[FÓRMULA MANUAL]","",IFERROR(AVERAGEIFS(nNOTA,nNIA,AE818,nCUENTA,1,nASIG,"Orquesta/Banda/Conjunto"),"")))</f>
        <v/>
      </c>
      <c r="AH818" t="str">
        <f>IF(AE818="","",IF(AE818="[FÓRMULA MANUAL]","",IFERROR(AVERAGEIFS(nNOTA,nNIA,AE818,nCUENTA,1,nASIG,"Música de Cámara"),"")))</f>
        <v/>
      </c>
      <c r="AI818" t="str">
        <f>IF(AE818="","",IF(AE818="[FÓRMULA MANUAL]","",IFERROR(SUMPRODUCT((nNIA=AE818)*(nCUENTA=1)*(COUNTIF(CONFIG_ASIGNATURAS!$B$7:$B$27,nASIG)&gt;0)*(nNOTA))/SUMPRODUCT((nNIA=AE818)*(nCUENTA=1)*(COUNTIF(CONFIG_ASIGNATURAS!$B$7:$B$27,nASIG)&gt;0)*1),"")))</f>
        <v/>
      </c>
    </row>
    <row r="819" spans="2:35" x14ac:dyDescent="0.2">
      <c r="B819" t="str">
        <f>IF(A819="","",IF(A819="[FÓRMULA MANUAL]","",IFERROR(AVERAGEIFS(nNOTA,nNIA,A819,nCUENTA,1,nASIG,"Lenguaje Musical"),"")))</f>
        <v/>
      </c>
      <c r="C819" t="str">
        <f>IF(A819="","",IF(A819="[FÓRMULA MANUAL]","",IFERROR(AVERAGEIFS(nNOTA,nNIA,A819,nCUENTA,1,nASIG,"Orquesta/Banda/Conjunto"),"")))</f>
        <v/>
      </c>
      <c r="D819" t="str">
        <f>IF(A819="","",IF(A819="[FÓRMULA MANUAL]","",IFERROR(AVERAGEIFS(nNOTA,nNIA,A819,nCUENTA,1,nASIG,"Conjunto"),"")))</f>
        <v/>
      </c>
      <c r="E819" t="str">
        <f>IF(A819="","",IF(A819="[FÓRMULA MANUAL]","",IFERROR(SUMPRODUCT((nNIA=A819)*(nCUENTA=1)*(COUNTIF(CONFIG_ASIGNATURAS!$B$7:$B$27,nASIG)&gt;0)*(nNOTA))/SUMPRODUCT((nNIA=A819)*(nCUENTA=1)*(COUNTIF(CONFIG_ASIGNATURAS!$B$7:$B$27,nASIG)&gt;0)*1),"")))</f>
        <v/>
      </c>
      <c r="H819" t="str">
        <f>IF(G819="","",IF(G819="[FÓRMULA MANUAL]","",IFERROR(AVERAGEIFS(nNOTA,nNIA,G819,nCUENTA,1,nASIG,"Lenguaje Musical"),"")))</f>
        <v/>
      </c>
      <c r="I819" t="str">
        <f>IF(G819="","",IF(G819="[FÓRMULA MANUAL]","",IFERROR(AVERAGEIFS(nNOTA,nNIA,G819,nCUENTA,1,nASIG,"Orquesta/Banda/Conjunto"),"")))</f>
        <v/>
      </c>
      <c r="J819" t="str">
        <f>IF(G819="","",IF(G819="[FÓRMULA MANUAL]","",IFERROR(AVERAGEIFS(nNOTA,nNIA,G819,nCUENTA,1,nASIG,"Conjunto"),"")))</f>
        <v/>
      </c>
      <c r="K819" t="str">
        <f>IF(G819="","",IF(G819="[FÓRMULA MANUAL]","",IFERROR(SUMPRODUCT((nNIA=G819)*(nCUENTA=1)*(COUNTIF(CONFIG_ASIGNATURAS!$B$7:$B$27,nASIG)&gt;0)*(nNOTA))/SUMPRODUCT((nNIA=G819)*(nCUENTA=1)*(COUNTIF(CONFIG_ASIGNATURAS!$B$7:$B$27,nASIG)&gt;0)*1),"")))</f>
        <v/>
      </c>
      <c r="N819" t="str">
        <f>IF(M819="","",IF(M819="[FÓRMULA MANUAL]","",IFERROR(AVERAGEIFS(nNOTA,nNIA,M819,nCUENTA,1,nASIG,"Armonía"),"")))</f>
        <v/>
      </c>
      <c r="O819" t="str">
        <f>IF(M819="","",IF(M819="[FÓRMULA MANUAL]","",IFERROR(AVERAGEIFS(nNOTA,nNIA,M819,nCUENTA,1,nASIG,"Orquesta/Banda/Conjunto"),"")))</f>
        <v/>
      </c>
      <c r="P819" t="str">
        <f>IF(M819="","",IF(M819="[FÓRMULA MANUAL]","",IFERROR(AVERAGEIFS(nNOTA,nNIA,M819,nCUENTA,1,nASIG,"Música de Cámara"),"")))</f>
        <v/>
      </c>
      <c r="Q819" t="str">
        <f>IF(M819="","",IF(M819="[FÓRMULA MANUAL]","",IFERROR(SUMPRODUCT((nNIA=M819)*(nCUENTA=1)*(COUNTIF(CONFIG_ASIGNATURAS!$B$7:$B$27,nASIG)&gt;0)*(nNOTA))/SUMPRODUCT((nNIA=M819)*(nCUENTA=1)*(COUNTIF(CONFIG_ASIGNATURAS!$B$7:$B$27,nASIG)&gt;0)*1),"")))</f>
        <v/>
      </c>
      <c r="T819" t="str">
        <f>IF(S819="","",IF(S819="[FÓRMULA MANUAL]","",IFERROR(AVERAGEIFS(nNOTA,nNIA,S819,nCUENTA,1,nASIG,"Armonía"),"")))</f>
        <v/>
      </c>
      <c r="U819" t="str">
        <f>IF(S819="","",IF(S819="[FÓRMULA MANUAL]","",IFERROR(AVERAGEIFS(nNOTA,nNIA,S819,nCUENTA,1,nASIG,"Orquesta/Banda/Conjunto"),"")))</f>
        <v/>
      </c>
      <c r="V819" t="str">
        <f>IF(S819="","",IF(S819="[FÓRMULA MANUAL]","",IFERROR(AVERAGEIFS(nNOTA,nNIA,S819,nCUENTA,1,nASIG,"Música de Cámara"),"")))</f>
        <v/>
      </c>
      <c r="W819" t="str">
        <f>IF(S819="","",IF(S819="[FÓRMULA MANUAL]","",IFERROR(SUMPRODUCT((nNIA=S819)*(nCUENTA=1)*(COUNTIF(CONFIG_ASIGNATURAS!$B$7:$B$27,nASIG)&gt;0)*(nNOTA))/SUMPRODUCT((nNIA=S819)*(nCUENTA=1)*(COUNTIF(CONFIG_ASIGNATURAS!$B$7:$B$27,nASIG)&gt;0)*1),"")))</f>
        <v/>
      </c>
      <c r="Z819" t="str">
        <f>IF(Y819="","",IF(Y819="[FÓRMULA MANUAL]","",IFERROR(AVERAGEIFS(nNOTA,nNIA,Y819,nCUENTA,1,nASIG,"Análisis"),"")))</f>
        <v/>
      </c>
      <c r="AA819" t="str">
        <f>IF(Y819="","",IF(Y819="[FÓRMULA MANUAL]","",IFERROR(AVERAGEIFS(nNOTA,nNIA,Y819,nCUENTA,1,nASIG,"Orquesta/Banda/Conjunto"),"")))</f>
        <v/>
      </c>
      <c r="AB819" t="str">
        <f>IF(Y819="","",IF(Y819="[FÓRMULA MANUAL]","",IFERROR(AVERAGEIFS(nNOTA,nNIA,Y819,nCUENTA,1,nASIG,"Música de Cámara"),"")))</f>
        <v/>
      </c>
      <c r="AC819" t="str">
        <f>IF(Y819="","",IF(Y819="[FÓRMULA MANUAL]","",IFERROR(SUMPRODUCT((nNIA=Y819)*(nCUENTA=1)*(COUNTIF(CONFIG_ASIGNATURAS!$B$7:$B$27,nASIG)&gt;0)*(nNOTA))/SUMPRODUCT((nNIA=Y819)*(nCUENTA=1)*(COUNTIF(CONFIG_ASIGNATURAS!$B$7:$B$27,nASIG)&gt;0)*1),"")))</f>
        <v/>
      </c>
      <c r="AF819" t="str">
        <f>IF(AE819="","",IF(AE819="[FÓRMULA MANUAL]","",IFERROR(AVERAGEIFS(nNOTA,nNIA,AE819,nCUENTA,1,nASIG,"Análisis"),"")))</f>
        <v/>
      </c>
      <c r="AG819" t="str">
        <f>IF(AE819="","",IF(AE819="[FÓRMULA MANUAL]","",IFERROR(AVERAGEIFS(nNOTA,nNIA,AE819,nCUENTA,1,nASIG,"Orquesta/Banda/Conjunto"),"")))</f>
        <v/>
      </c>
      <c r="AH819" t="str">
        <f>IF(AE819="","",IF(AE819="[FÓRMULA MANUAL]","",IFERROR(AVERAGEIFS(nNOTA,nNIA,AE819,nCUENTA,1,nASIG,"Música de Cámara"),"")))</f>
        <v/>
      </c>
      <c r="AI819" t="str">
        <f>IF(AE819="","",IF(AE819="[FÓRMULA MANUAL]","",IFERROR(SUMPRODUCT((nNIA=AE819)*(nCUENTA=1)*(COUNTIF(CONFIG_ASIGNATURAS!$B$7:$B$27,nASIG)&gt;0)*(nNOTA))/SUMPRODUCT((nNIA=AE819)*(nCUENTA=1)*(COUNTIF(CONFIG_ASIGNATURAS!$B$7:$B$27,nASIG)&gt;0)*1),"")))</f>
        <v/>
      </c>
    </row>
    <row r="820" spans="2:35" x14ac:dyDescent="0.2">
      <c r="B820" t="str">
        <f>IF(A820="","",IF(A820="[FÓRMULA MANUAL]","",IFERROR(AVERAGEIFS(nNOTA,nNIA,A820,nCUENTA,1,nASIG,"Lenguaje Musical"),"")))</f>
        <v/>
      </c>
      <c r="C820" t="str">
        <f>IF(A820="","",IF(A820="[FÓRMULA MANUAL]","",IFERROR(AVERAGEIFS(nNOTA,nNIA,A820,nCUENTA,1,nASIG,"Orquesta/Banda/Conjunto"),"")))</f>
        <v/>
      </c>
      <c r="D820" t="str">
        <f>IF(A820="","",IF(A820="[FÓRMULA MANUAL]","",IFERROR(AVERAGEIFS(nNOTA,nNIA,A820,nCUENTA,1,nASIG,"Conjunto"),"")))</f>
        <v/>
      </c>
      <c r="E820" t="str">
        <f>IF(A820="","",IF(A820="[FÓRMULA MANUAL]","",IFERROR(SUMPRODUCT((nNIA=A820)*(nCUENTA=1)*(COUNTIF(CONFIG_ASIGNATURAS!$B$7:$B$27,nASIG)&gt;0)*(nNOTA))/SUMPRODUCT((nNIA=A820)*(nCUENTA=1)*(COUNTIF(CONFIG_ASIGNATURAS!$B$7:$B$27,nASIG)&gt;0)*1),"")))</f>
        <v/>
      </c>
      <c r="H820" t="str">
        <f>IF(G820="","",IF(G820="[FÓRMULA MANUAL]","",IFERROR(AVERAGEIFS(nNOTA,nNIA,G820,nCUENTA,1,nASIG,"Lenguaje Musical"),"")))</f>
        <v/>
      </c>
      <c r="I820" t="str">
        <f>IF(G820="","",IF(G820="[FÓRMULA MANUAL]","",IFERROR(AVERAGEIFS(nNOTA,nNIA,G820,nCUENTA,1,nASIG,"Orquesta/Banda/Conjunto"),"")))</f>
        <v/>
      </c>
      <c r="J820" t="str">
        <f>IF(G820="","",IF(G820="[FÓRMULA MANUAL]","",IFERROR(AVERAGEIFS(nNOTA,nNIA,G820,nCUENTA,1,nASIG,"Conjunto"),"")))</f>
        <v/>
      </c>
      <c r="K820" t="str">
        <f>IF(G820="","",IF(G820="[FÓRMULA MANUAL]","",IFERROR(SUMPRODUCT((nNIA=G820)*(nCUENTA=1)*(COUNTIF(CONFIG_ASIGNATURAS!$B$7:$B$27,nASIG)&gt;0)*(nNOTA))/SUMPRODUCT((nNIA=G820)*(nCUENTA=1)*(COUNTIF(CONFIG_ASIGNATURAS!$B$7:$B$27,nASIG)&gt;0)*1),"")))</f>
        <v/>
      </c>
      <c r="N820" t="str">
        <f>IF(M820="","",IF(M820="[FÓRMULA MANUAL]","",IFERROR(AVERAGEIFS(nNOTA,nNIA,M820,nCUENTA,1,nASIG,"Armonía"),"")))</f>
        <v/>
      </c>
      <c r="O820" t="str">
        <f>IF(M820="","",IF(M820="[FÓRMULA MANUAL]","",IFERROR(AVERAGEIFS(nNOTA,nNIA,M820,nCUENTA,1,nASIG,"Orquesta/Banda/Conjunto"),"")))</f>
        <v/>
      </c>
      <c r="P820" t="str">
        <f>IF(M820="","",IF(M820="[FÓRMULA MANUAL]","",IFERROR(AVERAGEIFS(nNOTA,nNIA,M820,nCUENTA,1,nASIG,"Música de Cámara"),"")))</f>
        <v/>
      </c>
      <c r="Q820" t="str">
        <f>IF(M820="","",IF(M820="[FÓRMULA MANUAL]","",IFERROR(SUMPRODUCT((nNIA=M820)*(nCUENTA=1)*(COUNTIF(CONFIG_ASIGNATURAS!$B$7:$B$27,nASIG)&gt;0)*(nNOTA))/SUMPRODUCT((nNIA=M820)*(nCUENTA=1)*(COUNTIF(CONFIG_ASIGNATURAS!$B$7:$B$27,nASIG)&gt;0)*1),"")))</f>
        <v/>
      </c>
      <c r="T820" t="str">
        <f>IF(S820="","",IF(S820="[FÓRMULA MANUAL]","",IFERROR(AVERAGEIFS(nNOTA,nNIA,S820,nCUENTA,1,nASIG,"Armonía"),"")))</f>
        <v/>
      </c>
      <c r="U820" t="str">
        <f>IF(S820="","",IF(S820="[FÓRMULA MANUAL]","",IFERROR(AVERAGEIFS(nNOTA,nNIA,S820,nCUENTA,1,nASIG,"Orquesta/Banda/Conjunto"),"")))</f>
        <v/>
      </c>
      <c r="V820" t="str">
        <f>IF(S820="","",IF(S820="[FÓRMULA MANUAL]","",IFERROR(AVERAGEIFS(nNOTA,nNIA,S820,nCUENTA,1,nASIG,"Música de Cámara"),"")))</f>
        <v/>
      </c>
      <c r="W820" t="str">
        <f>IF(S820="","",IF(S820="[FÓRMULA MANUAL]","",IFERROR(SUMPRODUCT((nNIA=S820)*(nCUENTA=1)*(COUNTIF(CONFIG_ASIGNATURAS!$B$7:$B$27,nASIG)&gt;0)*(nNOTA))/SUMPRODUCT((nNIA=S820)*(nCUENTA=1)*(COUNTIF(CONFIG_ASIGNATURAS!$B$7:$B$27,nASIG)&gt;0)*1),"")))</f>
        <v/>
      </c>
      <c r="Z820" t="str">
        <f>IF(Y820="","",IF(Y820="[FÓRMULA MANUAL]","",IFERROR(AVERAGEIFS(nNOTA,nNIA,Y820,nCUENTA,1,nASIG,"Análisis"),"")))</f>
        <v/>
      </c>
      <c r="AA820" t="str">
        <f>IF(Y820="","",IF(Y820="[FÓRMULA MANUAL]","",IFERROR(AVERAGEIFS(nNOTA,nNIA,Y820,nCUENTA,1,nASIG,"Orquesta/Banda/Conjunto"),"")))</f>
        <v/>
      </c>
      <c r="AB820" t="str">
        <f>IF(Y820="","",IF(Y820="[FÓRMULA MANUAL]","",IFERROR(AVERAGEIFS(nNOTA,nNIA,Y820,nCUENTA,1,nASIG,"Música de Cámara"),"")))</f>
        <v/>
      </c>
      <c r="AC820" t="str">
        <f>IF(Y820="","",IF(Y820="[FÓRMULA MANUAL]","",IFERROR(SUMPRODUCT((nNIA=Y820)*(nCUENTA=1)*(COUNTIF(CONFIG_ASIGNATURAS!$B$7:$B$27,nASIG)&gt;0)*(nNOTA))/SUMPRODUCT((nNIA=Y820)*(nCUENTA=1)*(COUNTIF(CONFIG_ASIGNATURAS!$B$7:$B$27,nASIG)&gt;0)*1),"")))</f>
        <v/>
      </c>
      <c r="AF820" t="str">
        <f>IF(AE820="","",IF(AE820="[FÓRMULA MANUAL]","",IFERROR(AVERAGEIFS(nNOTA,nNIA,AE820,nCUENTA,1,nASIG,"Análisis"),"")))</f>
        <v/>
      </c>
      <c r="AG820" t="str">
        <f>IF(AE820="","",IF(AE820="[FÓRMULA MANUAL]","",IFERROR(AVERAGEIFS(nNOTA,nNIA,AE820,nCUENTA,1,nASIG,"Orquesta/Banda/Conjunto"),"")))</f>
        <v/>
      </c>
      <c r="AH820" t="str">
        <f>IF(AE820="","",IF(AE820="[FÓRMULA MANUAL]","",IFERROR(AVERAGEIFS(nNOTA,nNIA,AE820,nCUENTA,1,nASIG,"Música de Cámara"),"")))</f>
        <v/>
      </c>
      <c r="AI820" t="str">
        <f>IF(AE820="","",IF(AE820="[FÓRMULA MANUAL]","",IFERROR(SUMPRODUCT((nNIA=AE820)*(nCUENTA=1)*(COUNTIF(CONFIG_ASIGNATURAS!$B$7:$B$27,nASIG)&gt;0)*(nNOTA))/SUMPRODUCT((nNIA=AE820)*(nCUENTA=1)*(COUNTIF(CONFIG_ASIGNATURAS!$B$7:$B$27,nASIG)&gt;0)*1),"")))</f>
        <v/>
      </c>
    </row>
    <row r="821" spans="2:35" x14ac:dyDescent="0.2">
      <c r="B821" t="str">
        <f>IF(A821="","",IF(A821="[FÓRMULA MANUAL]","",IFERROR(AVERAGEIFS(nNOTA,nNIA,A821,nCUENTA,1,nASIG,"Lenguaje Musical"),"")))</f>
        <v/>
      </c>
      <c r="C821" t="str">
        <f>IF(A821="","",IF(A821="[FÓRMULA MANUAL]","",IFERROR(AVERAGEIFS(nNOTA,nNIA,A821,nCUENTA,1,nASIG,"Orquesta/Banda/Conjunto"),"")))</f>
        <v/>
      </c>
      <c r="D821" t="str">
        <f>IF(A821="","",IF(A821="[FÓRMULA MANUAL]","",IFERROR(AVERAGEIFS(nNOTA,nNIA,A821,nCUENTA,1,nASIG,"Conjunto"),"")))</f>
        <v/>
      </c>
      <c r="E821" t="str">
        <f>IF(A821="","",IF(A821="[FÓRMULA MANUAL]","",IFERROR(SUMPRODUCT((nNIA=A821)*(nCUENTA=1)*(COUNTIF(CONFIG_ASIGNATURAS!$B$7:$B$27,nASIG)&gt;0)*(nNOTA))/SUMPRODUCT((nNIA=A821)*(nCUENTA=1)*(COUNTIF(CONFIG_ASIGNATURAS!$B$7:$B$27,nASIG)&gt;0)*1),"")))</f>
        <v/>
      </c>
      <c r="H821" t="str">
        <f>IF(G821="","",IF(G821="[FÓRMULA MANUAL]","",IFERROR(AVERAGEIFS(nNOTA,nNIA,G821,nCUENTA,1,nASIG,"Lenguaje Musical"),"")))</f>
        <v/>
      </c>
      <c r="I821" t="str">
        <f>IF(G821="","",IF(G821="[FÓRMULA MANUAL]","",IFERROR(AVERAGEIFS(nNOTA,nNIA,G821,nCUENTA,1,nASIG,"Orquesta/Banda/Conjunto"),"")))</f>
        <v/>
      </c>
      <c r="J821" t="str">
        <f>IF(G821="","",IF(G821="[FÓRMULA MANUAL]","",IFERROR(AVERAGEIFS(nNOTA,nNIA,G821,nCUENTA,1,nASIG,"Conjunto"),"")))</f>
        <v/>
      </c>
      <c r="K821" t="str">
        <f>IF(G821="","",IF(G821="[FÓRMULA MANUAL]","",IFERROR(SUMPRODUCT((nNIA=G821)*(nCUENTA=1)*(COUNTIF(CONFIG_ASIGNATURAS!$B$7:$B$27,nASIG)&gt;0)*(nNOTA))/SUMPRODUCT((nNIA=G821)*(nCUENTA=1)*(COUNTIF(CONFIG_ASIGNATURAS!$B$7:$B$27,nASIG)&gt;0)*1),"")))</f>
        <v/>
      </c>
      <c r="N821" t="str">
        <f>IF(M821="","",IF(M821="[FÓRMULA MANUAL]","",IFERROR(AVERAGEIFS(nNOTA,nNIA,M821,nCUENTA,1,nASIG,"Armonía"),"")))</f>
        <v/>
      </c>
      <c r="O821" t="str">
        <f>IF(M821="","",IF(M821="[FÓRMULA MANUAL]","",IFERROR(AVERAGEIFS(nNOTA,nNIA,M821,nCUENTA,1,nASIG,"Orquesta/Banda/Conjunto"),"")))</f>
        <v/>
      </c>
      <c r="P821" t="str">
        <f>IF(M821="","",IF(M821="[FÓRMULA MANUAL]","",IFERROR(AVERAGEIFS(nNOTA,nNIA,M821,nCUENTA,1,nASIG,"Música de Cámara"),"")))</f>
        <v/>
      </c>
      <c r="Q821" t="str">
        <f>IF(M821="","",IF(M821="[FÓRMULA MANUAL]","",IFERROR(SUMPRODUCT((nNIA=M821)*(nCUENTA=1)*(COUNTIF(CONFIG_ASIGNATURAS!$B$7:$B$27,nASIG)&gt;0)*(nNOTA))/SUMPRODUCT((nNIA=M821)*(nCUENTA=1)*(COUNTIF(CONFIG_ASIGNATURAS!$B$7:$B$27,nASIG)&gt;0)*1),"")))</f>
        <v/>
      </c>
      <c r="T821" t="str">
        <f>IF(S821="","",IF(S821="[FÓRMULA MANUAL]","",IFERROR(AVERAGEIFS(nNOTA,nNIA,S821,nCUENTA,1,nASIG,"Armonía"),"")))</f>
        <v/>
      </c>
      <c r="U821" t="str">
        <f>IF(S821="","",IF(S821="[FÓRMULA MANUAL]","",IFERROR(AVERAGEIFS(nNOTA,nNIA,S821,nCUENTA,1,nASIG,"Orquesta/Banda/Conjunto"),"")))</f>
        <v/>
      </c>
      <c r="V821" t="str">
        <f>IF(S821="","",IF(S821="[FÓRMULA MANUAL]","",IFERROR(AVERAGEIFS(nNOTA,nNIA,S821,nCUENTA,1,nASIG,"Música de Cámara"),"")))</f>
        <v/>
      </c>
      <c r="W821" t="str">
        <f>IF(S821="","",IF(S821="[FÓRMULA MANUAL]","",IFERROR(SUMPRODUCT((nNIA=S821)*(nCUENTA=1)*(COUNTIF(CONFIG_ASIGNATURAS!$B$7:$B$27,nASIG)&gt;0)*(nNOTA))/SUMPRODUCT((nNIA=S821)*(nCUENTA=1)*(COUNTIF(CONFIG_ASIGNATURAS!$B$7:$B$27,nASIG)&gt;0)*1),"")))</f>
        <v/>
      </c>
      <c r="Z821" t="str">
        <f>IF(Y821="","",IF(Y821="[FÓRMULA MANUAL]","",IFERROR(AVERAGEIFS(nNOTA,nNIA,Y821,nCUENTA,1,nASIG,"Análisis"),"")))</f>
        <v/>
      </c>
      <c r="AA821" t="str">
        <f>IF(Y821="","",IF(Y821="[FÓRMULA MANUAL]","",IFERROR(AVERAGEIFS(nNOTA,nNIA,Y821,nCUENTA,1,nASIG,"Orquesta/Banda/Conjunto"),"")))</f>
        <v/>
      </c>
      <c r="AB821" t="str">
        <f>IF(Y821="","",IF(Y821="[FÓRMULA MANUAL]","",IFERROR(AVERAGEIFS(nNOTA,nNIA,Y821,nCUENTA,1,nASIG,"Música de Cámara"),"")))</f>
        <v/>
      </c>
      <c r="AC821" t="str">
        <f>IF(Y821="","",IF(Y821="[FÓRMULA MANUAL]","",IFERROR(SUMPRODUCT((nNIA=Y821)*(nCUENTA=1)*(COUNTIF(CONFIG_ASIGNATURAS!$B$7:$B$27,nASIG)&gt;0)*(nNOTA))/SUMPRODUCT((nNIA=Y821)*(nCUENTA=1)*(COUNTIF(CONFIG_ASIGNATURAS!$B$7:$B$27,nASIG)&gt;0)*1),"")))</f>
        <v/>
      </c>
      <c r="AF821" t="str">
        <f>IF(AE821="","",IF(AE821="[FÓRMULA MANUAL]","",IFERROR(AVERAGEIFS(nNOTA,nNIA,AE821,nCUENTA,1,nASIG,"Análisis"),"")))</f>
        <v/>
      </c>
      <c r="AG821" t="str">
        <f>IF(AE821="","",IF(AE821="[FÓRMULA MANUAL]","",IFERROR(AVERAGEIFS(nNOTA,nNIA,AE821,nCUENTA,1,nASIG,"Orquesta/Banda/Conjunto"),"")))</f>
        <v/>
      </c>
      <c r="AH821" t="str">
        <f>IF(AE821="","",IF(AE821="[FÓRMULA MANUAL]","",IFERROR(AVERAGEIFS(nNOTA,nNIA,AE821,nCUENTA,1,nASIG,"Música de Cámara"),"")))</f>
        <v/>
      </c>
      <c r="AI821" t="str">
        <f>IF(AE821="","",IF(AE821="[FÓRMULA MANUAL]","",IFERROR(SUMPRODUCT((nNIA=AE821)*(nCUENTA=1)*(COUNTIF(CONFIG_ASIGNATURAS!$B$7:$B$27,nASIG)&gt;0)*(nNOTA))/SUMPRODUCT((nNIA=AE821)*(nCUENTA=1)*(COUNTIF(CONFIG_ASIGNATURAS!$B$7:$B$27,nASIG)&gt;0)*1),"")))</f>
        <v/>
      </c>
    </row>
    <row r="822" spans="2:35" x14ac:dyDescent="0.2">
      <c r="B822" t="str">
        <f>IF(A822="","",IF(A822="[FÓRMULA MANUAL]","",IFERROR(AVERAGEIFS(nNOTA,nNIA,A822,nCUENTA,1,nASIG,"Lenguaje Musical"),"")))</f>
        <v/>
      </c>
      <c r="C822" t="str">
        <f>IF(A822="","",IF(A822="[FÓRMULA MANUAL]","",IFERROR(AVERAGEIFS(nNOTA,nNIA,A822,nCUENTA,1,nASIG,"Orquesta/Banda/Conjunto"),"")))</f>
        <v/>
      </c>
      <c r="D822" t="str">
        <f>IF(A822="","",IF(A822="[FÓRMULA MANUAL]","",IFERROR(AVERAGEIFS(nNOTA,nNIA,A822,nCUENTA,1,nASIG,"Conjunto"),"")))</f>
        <v/>
      </c>
      <c r="E822" t="str">
        <f>IF(A822="","",IF(A822="[FÓRMULA MANUAL]","",IFERROR(SUMPRODUCT((nNIA=A822)*(nCUENTA=1)*(COUNTIF(CONFIG_ASIGNATURAS!$B$7:$B$27,nASIG)&gt;0)*(nNOTA))/SUMPRODUCT((nNIA=A822)*(nCUENTA=1)*(COUNTIF(CONFIG_ASIGNATURAS!$B$7:$B$27,nASIG)&gt;0)*1),"")))</f>
        <v/>
      </c>
      <c r="H822" t="str">
        <f>IF(G822="","",IF(G822="[FÓRMULA MANUAL]","",IFERROR(AVERAGEIFS(nNOTA,nNIA,G822,nCUENTA,1,nASIG,"Lenguaje Musical"),"")))</f>
        <v/>
      </c>
      <c r="I822" t="str">
        <f>IF(G822="","",IF(G822="[FÓRMULA MANUAL]","",IFERROR(AVERAGEIFS(nNOTA,nNIA,G822,nCUENTA,1,nASIG,"Orquesta/Banda/Conjunto"),"")))</f>
        <v/>
      </c>
      <c r="J822" t="str">
        <f>IF(G822="","",IF(G822="[FÓRMULA MANUAL]","",IFERROR(AVERAGEIFS(nNOTA,nNIA,G822,nCUENTA,1,nASIG,"Conjunto"),"")))</f>
        <v/>
      </c>
      <c r="K822" t="str">
        <f>IF(G822="","",IF(G822="[FÓRMULA MANUAL]","",IFERROR(SUMPRODUCT((nNIA=G822)*(nCUENTA=1)*(COUNTIF(CONFIG_ASIGNATURAS!$B$7:$B$27,nASIG)&gt;0)*(nNOTA))/SUMPRODUCT((nNIA=G822)*(nCUENTA=1)*(COUNTIF(CONFIG_ASIGNATURAS!$B$7:$B$27,nASIG)&gt;0)*1),"")))</f>
        <v/>
      </c>
      <c r="N822" t="str">
        <f>IF(M822="","",IF(M822="[FÓRMULA MANUAL]","",IFERROR(AVERAGEIFS(nNOTA,nNIA,M822,nCUENTA,1,nASIG,"Armonía"),"")))</f>
        <v/>
      </c>
      <c r="O822" t="str">
        <f>IF(M822="","",IF(M822="[FÓRMULA MANUAL]","",IFERROR(AVERAGEIFS(nNOTA,nNIA,M822,nCUENTA,1,nASIG,"Orquesta/Banda/Conjunto"),"")))</f>
        <v/>
      </c>
      <c r="P822" t="str">
        <f>IF(M822="","",IF(M822="[FÓRMULA MANUAL]","",IFERROR(AVERAGEIFS(nNOTA,nNIA,M822,nCUENTA,1,nASIG,"Música de Cámara"),"")))</f>
        <v/>
      </c>
      <c r="Q822" t="str">
        <f>IF(M822="","",IF(M822="[FÓRMULA MANUAL]","",IFERROR(SUMPRODUCT((nNIA=M822)*(nCUENTA=1)*(COUNTIF(CONFIG_ASIGNATURAS!$B$7:$B$27,nASIG)&gt;0)*(nNOTA))/SUMPRODUCT((nNIA=M822)*(nCUENTA=1)*(COUNTIF(CONFIG_ASIGNATURAS!$B$7:$B$27,nASIG)&gt;0)*1),"")))</f>
        <v/>
      </c>
      <c r="T822" t="str">
        <f>IF(S822="","",IF(S822="[FÓRMULA MANUAL]","",IFERROR(AVERAGEIFS(nNOTA,nNIA,S822,nCUENTA,1,nASIG,"Armonía"),"")))</f>
        <v/>
      </c>
      <c r="U822" t="str">
        <f>IF(S822="","",IF(S822="[FÓRMULA MANUAL]","",IFERROR(AVERAGEIFS(nNOTA,nNIA,S822,nCUENTA,1,nASIG,"Orquesta/Banda/Conjunto"),"")))</f>
        <v/>
      </c>
      <c r="V822" t="str">
        <f>IF(S822="","",IF(S822="[FÓRMULA MANUAL]","",IFERROR(AVERAGEIFS(nNOTA,nNIA,S822,nCUENTA,1,nASIG,"Música de Cámara"),"")))</f>
        <v/>
      </c>
      <c r="W822" t="str">
        <f>IF(S822="","",IF(S822="[FÓRMULA MANUAL]","",IFERROR(SUMPRODUCT((nNIA=S822)*(nCUENTA=1)*(COUNTIF(CONFIG_ASIGNATURAS!$B$7:$B$27,nASIG)&gt;0)*(nNOTA))/SUMPRODUCT((nNIA=S822)*(nCUENTA=1)*(COUNTIF(CONFIG_ASIGNATURAS!$B$7:$B$27,nASIG)&gt;0)*1),"")))</f>
        <v/>
      </c>
      <c r="Z822" t="str">
        <f>IF(Y822="","",IF(Y822="[FÓRMULA MANUAL]","",IFERROR(AVERAGEIFS(nNOTA,nNIA,Y822,nCUENTA,1,nASIG,"Análisis"),"")))</f>
        <v/>
      </c>
      <c r="AA822" t="str">
        <f>IF(Y822="","",IF(Y822="[FÓRMULA MANUAL]","",IFERROR(AVERAGEIFS(nNOTA,nNIA,Y822,nCUENTA,1,nASIG,"Orquesta/Banda/Conjunto"),"")))</f>
        <v/>
      </c>
      <c r="AB822" t="str">
        <f>IF(Y822="","",IF(Y822="[FÓRMULA MANUAL]","",IFERROR(AVERAGEIFS(nNOTA,nNIA,Y822,nCUENTA,1,nASIG,"Música de Cámara"),"")))</f>
        <v/>
      </c>
      <c r="AC822" t="str">
        <f>IF(Y822="","",IF(Y822="[FÓRMULA MANUAL]","",IFERROR(SUMPRODUCT((nNIA=Y822)*(nCUENTA=1)*(COUNTIF(CONFIG_ASIGNATURAS!$B$7:$B$27,nASIG)&gt;0)*(nNOTA))/SUMPRODUCT((nNIA=Y822)*(nCUENTA=1)*(COUNTIF(CONFIG_ASIGNATURAS!$B$7:$B$27,nASIG)&gt;0)*1),"")))</f>
        <v/>
      </c>
      <c r="AF822" t="str">
        <f>IF(AE822="","",IF(AE822="[FÓRMULA MANUAL]","",IFERROR(AVERAGEIFS(nNOTA,nNIA,AE822,nCUENTA,1,nASIG,"Análisis"),"")))</f>
        <v/>
      </c>
      <c r="AG822" t="str">
        <f>IF(AE822="","",IF(AE822="[FÓRMULA MANUAL]","",IFERROR(AVERAGEIFS(nNOTA,nNIA,AE822,nCUENTA,1,nASIG,"Orquesta/Banda/Conjunto"),"")))</f>
        <v/>
      </c>
      <c r="AH822" t="str">
        <f>IF(AE822="","",IF(AE822="[FÓRMULA MANUAL]","",IFERROR(AVERAGEIFS(nNOTA,nNIA,AE822,nCUENTA,1,nASIG,"Música de Cámara"),"")))</f>
        <v/>
      </c>
      <c r="AI822" t="str">
        <f>IF(AE822="","",IF(AE822="[FÓRMULA MANUAL]","",IFERROR(SUMPRODUCT((nNIA=AE822)*(nCUENTA=1)*(COUNTIF(CONFIG_ASIGNATURAS!$B$7:$B$27,nASIG)&gt;0)*(nNOTA))/SUMPRODUCT((nNIA=AE822)*(nCUENTA=1)*(COUNTIF(CONFIG_ASIGNATURAS!$B$7:$B$27,nASIG)&gt;0)*1),"")))</f>
        <v/>
      </c>
    </row>
    <row r="823" spans="2:35" x14ac:dyDescent="0.2">
      <c r="B823" t="str">
        <f>IF(A823="","",IF(A823="[FÓRMULA MANUAL]","",IFERROR(AVERAGEIFS(nNOTA,nNIA,A823,nCUENTA,1,nASIG,"Lenguaje Musical"),"")))</f>
        <v/>
      </c>
      <c r="C823" t="str">
        <f>IF(A823="","",IF(A823="[FÓRMULA MANUAL]","",IFERROR(AVERAGEIFS(nNOTA,nNIA,A823,nCUENTA,1,nASIG,"Orquesta/Banda/Conjunto"),"")))</f>
        <v/>
      </c>
      <c r="D823" t="str">
        <f>IF(A823="","",IF(A823="[FÓRMULA MANUAL]","",IFERROR(AVERAGEIFS(nNOTA,nNIA,A823,nCUENTA,1,nASIG,"Conjunto"),"")))</f>
        <v/>
      </c>
      <c r="E823" t="str">
        <f>IF(A823="","",IF(A823="[FÓRMULA MANUAL]","",IFERROR(SUMPRODUCT((nNIA=A823)*(nCUENTA=1)*(COUNTIF(CONFIG_ASIGNATURAS!$B$7:$B$27,nASIG)&gt;0)*(nNOTA))/SUMPRODUCT((nNIA=A823)*(nCUENTA=1)*(COUNTIF(CONFIG_ASIGNATURAS!$B$7:$B$27,nASIG)&gt;0)*1),"")))</f>
        <v/>
      </c>
      <c r="H823" t="str">
        <f>IF(G823="","",IF(G823="[FÓRMULA MANUAL]","",IFERROR(AVERAGEIFS(nNOTA,nNIA,G823,nCUENTA,1,nASIG,"Lenguaje Musical"),"")))</f>
        <v/>
      </c>
      <c r="I823" t="str">
        <f>IF(G823="","",IF(G823="[FÓRMULA MANUAL]","",IFERROR(AVERAGEIFS(nNOTA,nNIA,G823,nCUENTA,1,nASIG,"Orquesta/Banda/Conjunto"),"")))</f>
        <v/>
      </c>
      <c r="J823" t="str">
        <f>IF(G823="","",IF(G823="[FÓRMULA MANUAL]","",IFERROR(AVERAGEIFS(nNOTA,nNIA,G823,nCUENTA,1,nASIG,"Conjunto"),"")))</f>
        <v/>
      </c>
      <c r="K823" t="str">
        <f>IF(G823="","",IF(G823="[FÓRMULA MANUAL]","",IFERROR(SUMPRODUCT((nNIA=G823)*(nCUENTA=1)*(COUNTIF(CONFIG_ASIGNATURAS!$B$7:$B$27,nASIG)&gt;0)*(nNOTA))/SUMPRODUCT((nNIA=G823)*(nCUENTA=1)*(COUNTIF(CONFIG_ASIGNATURAS!$B$7:$B$27,nASIG)&gt;0)*1),"")))</f>
        <v/>
      </c>
      <c r="N823" t="str">
        <f>IF(M823="","",IF(M823="[FÓRMULA MANUAL]","",IFERROR(AVERAGEIFS(nNOTA,nNIA,M823,nCUENTA,1,nASIG,"Armonía"),"")))</f>
        <v/>
      </c>
      <c r="O823" t="str">
        <f>IF(M823="","",IF(M823="[FÓRMULA MANUAL]","",IFERROR(AVERAGEIFS(nNOTA,nNIA,M823,nCUENTA,1,nASIG,"Orquesta/Banda/Conjunto"),"")))</f>
        <v/>
      </c>
      <c r="P823" t="str">
        <f>IF(M823="","",IF(M823="[FÓRMULA MANUAL]","",IFERROR(AVERAGEIFS(nNOTA,nNIA,M823,nCUENTA,1,nASIG,"Música de Cámara"),"")))</f>
        <v/>
      </c>
      <c r="Q823" t="str">
        <f>IF(M823="","",IF(M823="[FÓRMULA MANUAL]","",IFERROR(SUMPRODUCT((nNIA=M823)*(nCUENTA=1)*(COUNTIF(CONFIG_ASIGNATURAS!$B$7:$B$27,nASIG)&gt;0)*(nNOTA))/SUMPRODUCT((nNIA=M823)*(nCUENTA=1)*(COUNTIF(CONFIG_ASIGNATURAS!$B$7:$B$27,nASIG)&gt;0)*1),"")))</f>
        <v/>
      </c>
      <c r="T823" t="str">
        <f>IF(S823="","",IF(S823="[FÓRMULA MANUAL]","",IFERROR(AVERAGEIFS(nNOTA,nNIA,S823,nCUENTA,1,nASIG,"Armonía"),"")))</f>
        <v/>
      </c>
      <c r="U823" t="str">
        <f>IF(S823="","",IF(S823="[FÓRMULA MANUAL]","",IFERROR(AVERAGEIFS(nNOTA,nNIA,S823,nCUENTA,1,nASIG,"Orquesta/Banda/Conjunto"),"")))</f>
        <v/>
      </c>
      <c r="V823" t="str">
        <f>IF(S823="","",IF(S823="[FÓRMULA MANUAL]","",IFERROR(AVERAGEIFS(nNOTA,nNIA,S823,nCUENTA,1,nASIG,"Música de Cámara"),"")))</f>
        <v/>
      </c>
      <c r="W823" t="str">
        <f>IF(S823="","",IF(S823="[FÓRMULA MANUAL]","",IFERROR(SUMPRODUCT((nNIA=S823)*(nCUENTA=1)*(COUNTIF(CONFIG_ASIGNATURAS!$B$7:$B$27,nASIG)&gt;0)*(nNOTA))/SUMPRODUCT((nNIA=S823)*(nCUENTA=1)*(COUNTIF(CONFIG_ASIGNATURAS!$B$7:$B$27,nASIG)&gt;0)*1),"")))</f>
        <v/>
      </c>
      <c r="Z823" t="str">
        <f>IF(Y823="","",IF(Y823="[FÓRMULA MANUAL]","",IFERROR(AVERAGEIFS(nNOTA,nNIA,Y823,nCUENTA,1,nASIG,"Análisis"),"")))</f>
        <v/>
      </c>
      <c r="AA823" t="str">
        <f>IF(Y823="","",IF(Y823="[FÓRMULA MANUAL]","",IFERROR(AVERAGEIFS(nNOTA,nNIA,Y823,nCUENTA,1,nASIG,"Orquesta/Banda/Conjunto"),"")))</f>
        <v/>
      </c>
      <c r="AB823" t="str">
        <f>IF(Y823="","",IF(Y823="[FÓRMULA MANUAL]","",IFERROR(AVERAGEIFS(nNOTA,nNIA,Y823,nCUENTA,1,nASIG,"Música de Cámara"),"")))</f>
        <v/>
      </c>
      <c r="AC823" t="str">
        <f>IF(Y823="","",IF(Y823="[FÓRMULA MANUAL]","",IFERROR(SUMPRODUCT((nNIA=Y823)*(nCUENTA=1)*(COUNTIF(CONFIG_ASIGNATURAS!$B$7:$B$27,nASIG)&gt;0)*(nNOTA))/SUMPRODUCT((nNIA=Y823)*(nCUENTA=1)*(COUNTIF(CONFIG_ASIGNATURAS!$B$7:$B$27,nASIG)&gt;0)*1),"")))</f>
        <v/>
      </c>
      <c r="AF823" t="str">
        <f>IF(AE823="","",IF(AE823="[FÓRMULA MANUAL]","",IFERROR(AVERAGEIFS(nNOTA,nNIA,AE823,nCUENTA,1,nASIG,"Análisis"),"")))</f>
        <v/>
      </c>
      <c r="AG823" t="str">
        <f>IF(AE823="","",IF(AE823="[FÓRMULA MANUAL]","",IFERROR(AVERAGEIFS(nNOTA,nNIA,AE823,nCUENTA,1,nASIG,"Orquesta/Banda/Conjunto"),"")))</f>
        <v/>
      </c>
      <c r="AH823" t="str">
        <f>IF(AE823="","",IF(AE823="[FÓRMULA MANUAL]","",IFERROR(AVERAGEIFS(nNOTA,nNIA,AE823,nCUENTA,1,nASIG,"Música de Cámara"),"")))</f>
        <v/>
      </c>
      <c r="AI823" t="str">
        <f>IF(AE823="","",IF(AE823="[FÓRMULA MANUAL]","",IFERROR(SUMPRODUCT((nNIA=AE823)*(nCUENTA=1)*(COUNTIF(CONFIG_ASIGNATURAS!$B$7:$B$27,nASIG)&gt;0)*(nNOTA))/SUMPRODUCT((nNIA=AE823)*(nCUENTA=1)*(COUNTIF(CONFIG_ASIGNATURAS!$B$7:$B$27,nASIG)&gt;0)*1),"")))</f>
        <v/>
      </c>
    </row>
    <row r="824" spans="2:35" x14ac:dyDescent="0.2">
      <c r="B824" t="str">
        <f>IF(A824="","",IF(A824="[FÓRMULA MANUAL]","",IFERROR(AVERAGEIFS(nNOTA,nNIA,A824,nCUENTA,1,nASIG,"Lenguaje Musical"),"")))</f>
        <v/>
      </c>
      <c r="C824" t="str">
        <f>IF(A824="","",IF(A824="[FÓRMULA MANUAL]","",IFERROR(AVERAGEIFS(nNOTA,nNIA,A824,nCUENTA,1,nASIG,"Orquesta/Banda/Conjunto"),"")))</f>
        <v/>
      </c>
      <c r="D824" t="str">
        <f>IF(A824="","",IF(A824="[FÓRMULA MANUAL]","",IFERROR(AVERAGEIFS(nNOTA,nNIA,A824,nCUENTA,1,nASIG,"Conjunto"),"")))</f>
        <v/>
      </c>
      <c r="E824" t="str">
        <f>IF(A824="","",IF(A824="[FÓRMULA MANUAL]","",IFERROR(SUMPRODUCT((nNIA=A824)*(nCUENTA=1)*(COUNTIF(CONFIG_ASIGNATURAS!$B$7:$B$27,nASIG)&gt;0)*(nNOTA))/SUMPRODUCT((nNIA=A824)*(nCUENTA=1)*(COUNTIF(CONFIG_ASIGNATURAS!$B$7:$B$27,nASIG)&gt;0)*1),"")))</f>
        <v/>
      </c>
      <c r="H824" t="str">
        <f>IF(G824="","",IF(G824="[FÓRMULA MANUAL]","",IFERROR(AVERAGEIFS(nNOTA,nNIA,G824,nCUENTA,1,nASIG,"Lenguaje Musical"),"")))</f>
        <v/>
      </c>
      <c r="I824" t="str">
        <f>IF(G824="","",IF(G824="[FÓRMULA MANUAL]","",IFERROR(AVERAGEIFS(nNOTA,nNIA,G824,nCUENTA,1,nASIG,"Orquesta/Banda/Conjunto"),"")))</f>
        <v/>
      </c>
      <c r="J824" t="str">
        <f>IF(G824="","",IF(G824="[FÓRMULA MANUAL]","",IFERROR(AVERAGEIFS(nNOTA,nNIA,G824,nCUENTA,1,nASIG,"Conjunto"),"")))</f>
        <v/>
      </c>
      <c r="K824" t="str">
        <f>IF(G824="","",IF(G824="[FÓRMULA MANUAL]","",IFERROR(SUMPRODUCT((nNIA=G824)*(nCUENTA=1)*(COUNTIF(CONFIG_ASIGNATURAS!$B$7:$B$27,nASIG)&gt;0)*(nNOTA))/SUMPRODUCT((nNIA=G824)*(nCUENTA=1)*(COUNTIF(CONFIG_ASIGNATURAS!$B$7:$B$27,nASIG)&gt;0)*1),"")))</f>
        <v/>
      </c>
      <c r="N824" t="str">
        <f>IF(M824="","",IF(M824="[FÓRMULA MANUAL]","",IFERROR(AVERAGEIFS(nNOTA,nNIA,M824,nCUENTA,1,nASIG,"Armonía"),"")))</f>
        <v/>
      </c>
      <c r="O824" t="str">
        <f>IF(M824="","",IF(M824="[FÓRMULA MANUAL]","",IFERROR(AVERAGEIFS(nNOTA,nNIA,M824,nCUENTA,1,nASIG,"Orquesta/Banda/Conjunto"),"")))</f>
        <v/>
      </c>
      <c r="P824" t="str">
        <f>IF(M824="","",IF(M824="[FÓRMULA MANUAL]","",IFERROR(AVERAGEIFS(nNOTA,nNIA,M824,nCUENTA,1,nASIG,"Música de Cámara"),"")))</f>
        <v/>
      </c>
      <c r="Q824" t="str">
        <f>IF(M824="","",IF(M824="[FÓRMULA MANUAL]","",IFERROR(SUMPRODUCT((nNIA=M824)*(nCUENTA=1)*(COUNTIF(CONFIG_ASIGNATURAS!$B$7:$B$27,nASIG)&gt;0)*(nNOTA))/SUMPRODUCT((nNIA=M824)*(nCUENTA=1)*(COUNTIF(CONFIG_ASIGNATURAS!$B$7:$B$27,nASIG)&gt;0)*1),"")))</f>
        <v/>
      </c>
      <c r="T824" t="str">
        <f>IF(S824="","",IF(S824="[FÓRMULA MANUAL]","",IFERROR(AVERAGEIFS(nNOTA,nNIA,S824,nCUENTA,1,nASIG,"Armonía"),"")))</f>
        <v/>
      </c>
      <c r="U824" t="str">
        <f>IF(S824="","",IF(S824="[FÓRMULA MANUAL]","",IFERROR(AVERAGEIFS(nNOTA,nNIA,S824,nCUENTA,1,nASIG,"Orquesta/Banda/Conjunto"),"")))</f>
        <v/>
      </c>
      <c r="V824" t="str">
        <f>IF(S824="","",IF(S824="[FÓRMULA MANUAL]","",IFERROR(AVERAGEIFS(nNOTA,nNIA,S824,nCUENTA,1,nASIG,"Música de Cámara"),"")))</f>
        <v/>
      </c>
      <c r="W824" t="str">
        <f>IF(S824="","",IF(S824="[FÓRMULA MANUAL]","",IFERROR(SUMPRODUCT((nNIA=S824)*(nCUENTA=1)*(COUNTIF(CONFIG_ASIGNATURAS!$B$7:$B$27,nASIG)&gt;0)*(nNOTA))/SUMPRODUCT((nNIA=S824)*(nCUENTA=1)*(COUNTIF(CONFIG_ASIGNATURAS!$B$7:$B$27,nASIG)&gt;0)*1),"")))</f>
        <v/>
      </c>
      <c r="Z824" t="str">
        <f>IF(Y824="","",IF(Y824="[FÓRMULA MANUAL]","",IFERROR(AVERAGEIFS(nNOTA,nNIA,Y824,nCUENTA,1,nASIG,"Análisis"),"")))</f>
        <v/>
      </c>
      <c r="AA824" t="str">
        <f>IF(Y824="","",IF(Y824="[FÓRMULA MANUAL]","",IFERROR(AVERAGEIFS(nNOTA,nNIA,Y824,nCUENTA,1,nASIG,"Orquesta/Banda/Conjunto"),"")))</f>
        <v/>
      </c>
      <c r="AB824" t="str">
        <f>IF(Y824="","",IF(Y824="[FÓRMULA MANUAL]","",IFERROR(AVERAGEIFS(nNOTA,nNIA,Y824,nCUENTA,1,nASIG,"Música de Cámara"),"")))</f>
        <v/>
      </c>
      <c r="AC824" t="str">
        <f>IF(Y824="","",IF(Y824="[FÓRMULA MANUAL]","",IFERROR(SUMPRODUCT((nNIA=Y824)*(nCUENTA=1)*(COUNTIF(CONFIG_ASIGNATURAS!$B$7:$B$27,nASIG)&gt;0)*(nNOTA))/SUMPRODUCT((nNIA=Y824)*(nCUENTA=1)*(COUNTIF(CONFIG_ASIGNATURAS!$B$7:$B$27,nASIG)&gt;0)*1),"")))</f>
        <v/>
      </c>
      <c r="AF824" t="str">
        <f>IF(AE824="","",IF(AE824="[FÓRMULA MANUAL]","",IFERROR(AVERAGEIFS(nNOTA,nNIA,AE824,nCUENTA,1,nASIG,"Análisis"),"")))</f>
        <v/>
      </c>
      <c r="AG824" t="str">
        <f>IF(AE824="","",IF(AE824="[FÓRMULA MANUAL]","",IFERROR(AVERAGEIFS(nNOTA,nNIA,AE824,nCUENTA,1,nASIG,"Orquesta/Banda/Conjunto"),"")))</f>
        <v/>
      </c>
      <c r="AH824" t="str">
        <f>IF(AE824="","",IF(AE824="[FÓRMULA MANUAL]","",IFERROR(AVERAGEIFS(nNOTA,nNIA,AE824,nCUENTA,1,nASIG,"Música de Cámara"),"")))</f>
        <v/>
      </c>
      <c r="AI824" t="str">
        <f>IF(AE824="","",IF(AE824="[FÓRMULA MANUAL]","",IFERROR(SUMPRODUCT((nNIA=AE824)*(nCUENTA=1)*(COUNTIF(CONFIG_ASIGNATURAS!$B$7:$B$27,nASIG)&gt;0)*(nNOTA))/SUMPRODUCT((nNIA=AE824)*(nCUENTA=1)*(COUNTIF(CONFIG_ASIGNATURAS!$B$7:$B$27,nASIG)&gt;0)*1),"")))</f>
        <v/>
      </c>
    </row>
    <row r="825" spans="2:35" x14ac:dyDescent="0.2">
      <c r="B825" t="str">
        <f>IF(A825="","",IF(A825="[FÓRMULA MANUAL]","",IFERROR(AVERAGEIFS(nNOTA,nNIA,A825,nCUENTA,1,nASIG,"Lenguaje Musical"),"")))</f>
        <v/>
      </c>
      <c r="C825" t="str">
        <f>IF(A825="","",IF(A825="[FÓRMULA MANUAL]","",IFERROR(AVERAGEIFS(nNOTA,nNIA,A825,nCUENTA,1,nASIG,"Orquesta/Banda/Conjunto"),"")))</f>
        <v/>
      </c>
      <c r="D825" t="str">
        <f>IF(A825="","",IF(A825="[FÓRMULA MANUAL]","",IFERROR(AVERAGEIFS(nNOTA,nNIA,A825,nCUENTA,1,nASIG,"Conjunto"),"")))</f>
        <v/>
      </c>
      <c r="E825" t="str">
        <f>IF(A825="","",IF(A825="[FÓRMULA MANUAL]","",IFERROR(SUMPRODUCT((nNIA=A825)*(nCUENTA=1)*(COUNTIF(CONFIG_ASIGNATURAS!$B$7:$B$27,nASIG)&gt;0)*(nNOTA))/SUMPRODUCT((nNIA=A825)*(nCUENTA=1)*(COUNTIF(CONFIG_ASIGNATURAS!$B$7:$B$27,nASIG)&gt;0)*1),"")))</f>
        <v/>
      </c>
      <c r="H825" t="str">
        <f>IF(G825="","",IF(G825="[FÓRMULA MANUAL]","",IFERROR(AVERAGEIFS(nNOTA,nNIA,G825,nCUENTA,1,nASIG,"Lenguaje Musical"),"")))</f>
        <v/>
      </c>
      <c r="I825" t="str">
        <f>IF(G825="","",IF(G825="[FÓRMULA MANUAL]","",IFERROR(AVERAGEIFS(nNOTA,nNIA,G825,nCUENTA,1,nASIG,"Orquesta/Banda/Conjunto"),"")))</f>
        <v/>
      </c>
      <c r="J825" t="str">
        <f>IF(G825="","",IF(G825="[FÓRMULA MANUAL]","",IFERROR(AVERAGEIFS(nNOTA,nNIA,G825,nCUENTA,1,nASIG,"Conjunto"),"")))</f>
        <v/>
      </c>
      <c r="K825" t="str">
        <f>IF(G825="","",IF(G825="[FÓRMULA MANUAL]","",IFERROR(SUMPRODUCT((nNIA=G825)*(nCUENTA=1)*(COUNTIF(CONFIG_ASIGNATURAS!$B$7:$B$27,nASIG)&gt;0)*(nNOTA))/SUMPRODUCT((nNIA=G825)*(nCUENTA=1)*(COUNTIF(CONFIG_ASIGNATURAS!$B$7:$B$27,nASIG)&gt;0)*1),"")))</f>
        <v/>
      </c>
      <c r="N825" t="str">
        <f>IF(M825="","",IF(M825="[FÓRMULA MANUAL]","",IFERROR(AVERAGEIFS(nNOTA,nNIA,M825,nCUENTA,1,nASIG,"Armonía"),"")))</f>
        <v/>
      </c>
      <c r="O825" t="str">
        <f>IF(M825="","",IF(M825="[FÓRMULA MANUAL]","",IFERROR(AVERAGEIFS(nNOTA,nNIA,M825,nCUENTA,1,nASIG,"Orquesta/Banda/Conjunto"),"")))</f>
        <v/>
      </c>
      <c r="P825" t="str">
        <f>IF(M825="","",IF(M825="[FÓRMULA MANUAL]","",IFERROR(AVERAGEIFS(nNOTA,nNIA,M825,nCUENTA,1,nASIG,"Música de Cámara"),"")))</f>
        <v/>
      </c>
      <c r="Q825" t="str">
        <f>IF(M825="","",IF(M825="[FÓRMULA MANUAL]","",IFERROR(SUMPRODUCT((nNIA=M825)*(nCUENTA=1)*(COUNTIF(CONFIG_ASIGNATURAS!$B$7:$B$27,nASIG)&gt;0)*(nNOTA))/SUMPRODUCT((nNIA=M825)*(nCUENTA=1)*(COUNTIF(CONFIG_ASIGNATURAS!$B$7:$B$27,nASIG)&gt;0)*1),"")))</f>
        <v/>
      </c>
      <c r="T825" t="str">
        <f>IF(S825="","",IF(S825="[FÓRMULA MANUAL]","",IFERROR(AVERAGEIFS(nNOTA,nNIA,S825,nCUENTA,1,nASIG,"Armonía"),"")))</f>
        <v/>
      </c>
      <c r="U825" t="str">
        <f>IF(S825="","",IF(S825="[FÓRMULA MANUAL]","",IFERROR(AVERAGEIFS(nNOTA,nNIA,S825,nCUENTA,1,nASIG,"Orquesta/Banda/Conjunto"),"")))</f>
        <v/>
      </c>
      <c r="V825" t="str">
        <f>IF(S825="","",IF(S825="[FÓRMULA MANUAL]","",IFERROR(AVERAGEIFS(nNOTA,nNIA,S825,nCUENTA,1,nASIG,"Música de Cámara"),"")))</f>
        <v/>
      </c>
      <c r="W825" t="str">
        <f>IF(S825="","",IF(S825="[FÓRMULA MANUAL]","",IFERROR(SUMPRODUCT((nNIA=S825)*(nCUENTA=1)*(COUNTIF(CONFIG_ASIGNATURAS!$B$7:$B$27,nASIG)&gt;0)*(nNOTA))/SUMPRODUCT((nNIA=S825)*(nCUENTA=1)*(COUNTIF(CONFIG_ASIGNATURAS!$B$7:$B$27,nASIG)&gt;0)*1),"")))</f>
        <v/>
      </c>
      <c r="Z825" t="str">
        <f>IF(Y825="","",IF(Y825="[FÓRMULA MANUAL]","",IFERROR(AVERAGEIFS(nNOTA,nNIA,Y825,nCUENTA,1,nASIG,"Análisis"),"")))</f>
        <v/>
      </c>
      <c r="AA825" t="str">
        <f>IF(Y825="","",IF(Y825="[FÓRMULA MANUAL]","",IFERROR(AVERAGEIFS(nNOTA,nNIA,Y825,nCUENTA,1,nASIG,"Orquesta/Banda/Conjunto"),"")))</f>
        <v/>
      </c>
      <c r="AB825" t="str">
        <f>IF(Y825="","",IF(Y825="[FÓRMULA MANUAL]","",IFERROR(AVERAGEIFS(nNOTA,nNIA,Y825,nCUENTA,1,nASIG,"Música de Cámara"),"")))</f>
        <v/>
      </c>
      <c r="AC825" t="str">
        <f>IF(Y825="","",IF(Y825="[FÓRMULA MANUAL]","",IFERROR(SUMPRODUCT((nNIA=Y825)*(nCUENTA=1)*(COUNTIF(CONFIG_ASIGNATURAS!$B$7:$B$27,nASIG)&gt;0)*(nNOTA))/SUMPRODUCT((nNIA=Y825)*(nCUENTA=1)*(COUNTIF(CONFIG_ASIGNATURAS!$B$7:$B$27,nASIG)&gt;0)*1),"")))</f>
        <v/>
      </c>
      <c r="AF825" t="str">
        <f>IF(AE825="","",IF(AE825="[FÓRMULA MANUAL]","",IFERROR(AVERAGEIFS(nNOTA,nNIA,AE825,nCUENTA,1,nASIG,"Análisis"),"")))</f>
        <v/>
      </c>
      <c r="AG825" t="str">
        <f>IF(AE825="","",IF(AE825="[FÓRMULA MANUAL]","",IFERROR(AVERAGEIFS(nNOTA,nNIA,AE825,nCUENTA,1,nASIG,"Orquesta/Banda/Conjunto"),"")))</f>
        <v/>
      </c>
      <c r="AH825" t="str">
        <f>IF(AE825="","",IF(AE825="[FÓRMULA MANUAL]","",IFERROR(AVERAGEIFS(nNOTA,nNIA,AE825,nCUENTA,1,nASIG,"Música de Cámara"),"")))</f>
        <v/>
      </c>
      <c r="AI825" t="str">
        <f>IF(AE825="","",IF(AE825="[FÓRMULA MANUAL]","",IFERROR(SUMPRODUCT((nNIA=AE825)*(nCUENTA=1)*(COUNTIF(CONFIG_ASIGNATURAS!$B$7:$B$27,nASIG)&gt;0)*(nNOTA))/SUMPRODUCT((nNIA=AE825)*(nCUENTA=1)*(COUNTIF(CONFIG_ASIGNATURAS!$B$7:$B$27,nASIG)&gt;0)*1),"")))</f>
        <v/>
      </c>
    </row>
    <row r="826" spans="2:35" x14ac:dyDescent="0.2">
      <c r="B826" t="str">
        <f>IF(A826="","",IF(A826="[FÓRMULA MANUAL]","",IFERROR(AVERAGEIFS(nNOTA,nNIA,A826,nCUENTA,1,nASIG,"Lenguaje Musical"),"")))</f>
        <v/>
      </c>
      <c r="C826" t="str">
        <f>IF(A826="","",IF(A826="[FÓRMULA MANUAL]","",IFERROR(AVERAGEIFS(nNOTA,nNIA,A826,nCUENTA,1,nASIG,"Orquesta/Banda/Conjunto"),"")))</f>
        <v/>
      </c>
      <c r="D826" t="str">
        <f>IF(A826="","",IF(A826="[FÓRMULA MANUAL]","",IFERROR(AVERAGEIFS(nNOTA,nNIA,A826,nCUENTA,1,nASIG,"Conjunto"),"")))</f>
        <v/>
      </c>
      <c r="E826" t="str">
        <f>IF(A826="","",IF(A826="[FÓRMULA MANUAL]","",IFERROR(SUMPRODUCT((nNIA=A826)*(nCUENTA=1)*(COUNTIF(CONFIG_ASIGNATURAS!$B$7:$B$27,nASIG)&gt;0)*(nNOTA))/SUMPRODUCT((nNIA=A826)*(nCUENTA=1)*(COUNTIF(CONFIG_ASIGNATURAS!$B$7:$B$27,nASIG)&gt;0)*1),"")))</f>
        <v/>
      </c>
      <c r="H826" t="str">
        <f>IF(G826="","",IF(G826="[FÓRMULA MANUAL]","",IFERROR(AVERAGEIFS(nNOTA,nNIA,G826,nCUENTA,1,nASIG,"Lenguaje Musical"),"")))</f>
        <v/>
      </c>
      <c r="I826" t="str">
        <f>IF(G826="","",IF(G826="[FÓRMULA MANUAL]","",IFERROR(AVERAGEIFS(nNOTA,nNIA,G826,nCUENTA,1,nASIG,"Orquesta/Banda/Conjunto"),"")))</f>
        <v/>
      </c>
      <c r="J826" t="str">
        <f>IF(G826="","",IF(G826="[FÓRMULA MANUAL]","",IFERROR(AVERAGEIFS(nNOTA,nNIA,G826,nCUENTA,1,nASIG,"Conjunto"),"")))</f>
        <v/>
      </c>
      <c r="K826" t="str">
        <f>IF(G826="","",IF(G826="[FÓRMULA MANUAL]","",IFERROR(SUMPRODUCT((nNIA=G826)*(nCUENTA=1)*(COUNTIF(CONFIG_ASIGNATURAS!$B$7:$B$27,nASIG)&gt;0)*(nNOTA))/SUMPRODUCT((nNIA=G826)*(nCUENTA=1)*(COUNTIF(CONFIG_ASIGNATURAS!$B$7:$B$27,nASIG)&gt;0)*1),"")))</f>
        <v/>
      </c>
      <c r="N826" t="str">
        <f>IF(M826="","",IF(M826="[FÓRMULA MANUAL]","",IFERROR(AVERAGEIFS(nNOTA,nNIA,M826,nCUENTA,1,nASIG,"Armonía"),"")))</f>
        <v/>
      </c>
      <c r="O826" t="str">
        <f>IF(M826="","",IF(M826="[FÓRMULA MANUAL]","",IFERROR(AVERAGEIFS(nNOTA,nNIA,M826,nCUENTA,1,nASIG,"Orquesta/Banda/Conjunto"),"")))</f>
        <v/>
      </c>
      <c r="P826" t="str">
        <f>IF(M826="","",IF(M826="[FÓRMULA MANUAL]","",IFERROR(AVERAGEIFS(nNOTA,nNIA,M826,nCUENTA,1,nASIG,"Música de Cámara"),"")))</f>
        <v/>
      </c>
      <c r="Q826" t="str">
        <f>IF(M826="","",IF(M826="[FÓRMULA MANUAL]","",IFERROR(SUMPRODUCT((nNIA=M826)*(nCUENTA=1)*(COUNTIF(CONFIG_ASIGNATURAS!$B$7:$B$27,nASIG)&gt;0)*(nNOTA))/SUMPRODUCT((nNIA=M826)*(nCUENTA=1)*(COUNTIF(CONFIG_ASIGNATURAS!$B$7:$B$27,nASIG)&gt;0)*1),"")))</f>
        <v/>
      </c>
      <c r="T826" t="str">
        <f>IF(S826="","",IF(S826="[FÓRMULA MANUAL]","",IFERROR(AVERAGEIFS(nNOTA,nNIA,S826,nCUENTA,1,nASIG,"Armonía"),"")))</f>
        <v/>
      </c>
      <c r="U826" t="str">
        <f>IF(S826="","",IF(S826="[FÓRMULA MANUAL]","",IFERROR(AVERAGEIFS(nNOTA,nNIA,S826,nCUENTA,1,nASIG,"Orquesta/Banda/Conjunto"),"")))</f>
        <v/>
      </c>
      <c r="V826" t="str">
        <f>IF(S826="","",IF(S826="[FÓRMULA MANUAL]","",IFERROR(AVERAGEIFS(nNOTA,nNIA,S826,nCUENTA,1,nASIG,"Música de Cámara"),"")))</f>
        <v/>
      </c>
      <c r="W826" t="str">
        <f>IF(S826="","",IF(S826="[FÓRMULA MANUAL]","",IFERROR(SUMPRODUCT((nNIA=S826)*(nCUENTA=1)*(COUNTIF(CONFIG_ASIGNATURAS!$B$7:$B$27,nASIG)&gt;0)*(nNOTA))/SUMPRODUCT((nNIA=S826)*(nCUENTA=1)*(COUNTIF(CONFIG_ASIGNATURAS!$B$7:$B$27,nASIG)&gt;0)*1),"")))</f>
        <v/>
      </c>
      <c r="Z826" t="str">
        <f>IF(Y826="","",IF(Y826="[FÓRMULA MANUAL]","",IFERROR(AVERAGEIFS(nNOTA,nNIA,Y826,nCUENTA,1,nASIG,"Análisis"),"")))</f>
        <v/>
      </c>
      <c r="AA826" t="str">
        <f>IF(Y826="","",IF(Y826="[FÓRMULA MANUAL]","",IFERROR(AVERAGEIFS(nNOTA,nNIA,Y826,nCUENTA,1,nASIG,"Orquesta/Banda/Conjunto"),"")))</f>
        <v/>
      </c>
      <c r="AB826" t="str">
        <f>IF(Y826="","",IF(Y826="[FÓRMULA MANUAL]","",IFERROR(AVERAGEIFS(nNOTA,nNIA,Y826,nCUENTA,1,nASIG,"Música de Cámara"),"")))</f>
        <v/>
      </c>
      <c r="AC826" t="str">
        <f>IF(Y826="","",IF(Y826="[FÓRMULA MANUAL]","",IFERROR(SUMPRODUCT((nNIA=Y826)*(nCUENTA=1)*(COUNTIF(CONFIG_ASIGNATURAS!$B$7:$B$27,nASIG)&gt;0)*(nNOTA))/SUMPRODUCT((nNIA=Y826)*(nCUENTA=1)*(COUNTIF(CONFIG_ASIGNATURAS!$B$7:$B$27,nASIG)&gt;0)*1),"")))</f>
        <v/>
      </c>
      <c r="AF826" t="str">
        <f>IF(AE826="","",IF(AE826="[FÓRMULA MANUAL]","",IFERROR(AVERAGEIFS(nNOTA,nNIA,AE826,nCUENTA,1,nASIG,"Análisis"),"")))</f>
        <v/>
      </c>
      <c r="AG826" t="str">
        <f>IF(AE826="","",IF(AE826="[FÓRMULA MANUAL]","",IFERROR(AVERAGEIFS(nNOTA,nNIA,AE826,nCUENTA,1,nASIG,"Orquesta/Banda/Conjunto"),"")))</f>
        <v/>
      </c>
      <c r="AH826" t="str">
        <f>IF(AE826="","",IF(AE826="[FÓRMULA MANUAL]","",IFERROR(AVERAGEIFS(nNOTA,nNIA,AE826,nCUENTA,1,nASIG,"Música de Cámara"),"")))</f>
        <v/>
      </c>
      <c r="AI826" t="str">
        <f>IF(AE826="","",IF(AE826="[FÓRMULA MANUAL]","",IFERROR(SUMPRODUCT((nNIA=AE826)*(nCUENTA=1)*(COUNTIF(CONFIG_ASIGNATURAS!$B$7:$B$27,nASIG)&gt;0)*(nNOTA))/SUMPRODUCT((nNIA=AE826)*(nCUENTA=1)*(COUNTIF(CONFIG_ASIGNATURAS!$B$7:$B$27,nASIG)&gt;0)*1),"")))</f>
        <v/>
      </c>
    </row>
    <row r="827" spans="2:35" x14ac:dyDescent="0.2">
      <c r="B827" t="str">
        <f>IF(A827="","",IF(A827="[FÓRMULA MANUAL]","",IFERROR(AVERAGEIFS(nNOTA,nNIA,A827,nCUENTA,1,nASIG,"Lenguaje Musical"),"")))</f>
        <v/>
      </c>
      <c r="C827" t="str">
        <f>IF(A827="","",IF(A827="[FÓRMULA MANUAL]","",IFERROR(AVERAGEIFS(nNOTA,nNIA,A827,nCUENTA,1,nASIG,"Orquesta/Banda/Conjunto"),"")))</f>
        <v/>
      </c>
      <c r="D827" t="str">
        <f>IF(A827="","",IF(A827="[FÓRMULA MANUAL]","",IFERROR(AVERAGEIFS(nNOTA,nNIA,A827,nCUENTA,1,nASIG,"Conjunto"),"")))</f>
        <v/>
      </c>
      <c r="E827" t="str">
        <f>IF(A827="","",IF(A827="[FÓRMULA MANUAL]","",IFERROR(SUMPRODUCT((nNIA=A827)*(nCUENTA=1)*(COUNTIF(CONFIG_ASIGNATURAS!$B$7:$B$27,nASIG)&gt;0)*(nNOTA))/SUMPRODUCT((nNIA=A827)*(nCUENTA=1)*(COUNTIF(CONFIG_ASIGNATURAS!$B$7:$B$27,nASIG)&gt;0)*1),"")))</f>
        <v/>
      </c>
      <c r="H827" t="str">
        <f>IF(G827="","",IF(G827="[FÓRMULA MANUAL]","",IFERROR(AVERAGEIFS(nNOTA,nNIA,G827,nCUENTA,1,nASIG,"Lenguaje Musical"),"")))</f>
        <v/>
      </c>
      <c r="I827" t="str">
        <f>IF(G827="","",IF(G827="[FÓRMULA MANUAL]","",IFERROR(AVERAGEIFS(nNOTA,nNIA,G827,nCUENTA,1,nASIG,"Orquesta/Banda/Conjunto"),"")))</f>
        <v/>
      </c>
      <c r="J827" t="str">
        <f>IF(G827="","",IF(G827="[FÓRMULA MANUAL]","",IFERROR(AVERAGEIFS(nNOTA,nNIA,G827,nCUENTA,1,nASIG,"Conjunto"),"")))</f>
        <v/>
      </c>
      <c r="K827" t="str">
        <f>IF(G827="","",IF(G827="[FÓRMULA MANUAL]","",IFERROR(SUMPRODUCT((nNIA=G827)*(nCUENTA=1)*(COUNTIF(CONFIG_ASIGNATURAS!$B$7:$B$27,nASIG)&gt;0)*(nNOTA))/SUMPRODUCT((nNIA=G827)*(nCUENTA=1)*(COUNTIF(CONFIG_ASIGNATURAS!$B$7:$B$27,nASIG)&gt;0)*1),"")))</f>
        <v/>
      </c>
      <c r="N827" t="str">
        <f>IF(M827="","",IF(M827="[FÓRMULA MANUAL]","",IFERROR(AVERAGEIFS(nNOTA,nNIA,M827,nCUENTA,1,nASIG,"Armonía"),"")))</f>
        <v/>
      </c>
      <c r="O827" t="str">
        <f>IF(M827="","",IF(M827="[FÓRMULA MANUAL]","",IFERROR(AVERAGEIFS(nNOTA,nNIA,M827,nCUENTA,1,nASIG,"Orquesta/Banda/Conjunto"),"")))</f>
        <v/>
      </c>
      <c r="P827" t="str">
        <f>IF(M827="","",IF(M827="[FÓRMULA MANUAL]","",IFERROR(AVERAGEIFS(nNOTA,nNIA,M827,nCUENTA,1,nASIG,"Música de Cámara"),"")))</f>
        <v/>
      </c>
      <c r="Q827" t="str">
        <f>IF(M827="","",IF(M827="[FÓRMULA MANUAL]","",IFERROR(SUMPRODUCT((nNIA=M827)*(nCUENTA=1)*(COUNTIF(CONFIG_ASIGNATURAS!$B$7:$B$27,nASIG)&gt;0)*(nNOTA))/SUMPRODUCT((nNIA=M827)*(nCUENTA=1)*(COUNTIF(CONFIG_ASIGNATURAS!$B$7:$B$27,nASIG)&gt;0)*1),"")))</f>
        <v/>
      </c>
      <c r="T827" t="str">
        <f>IF(S827="","",IF(S827="[FÓRMULA MANUAL]","",IFERROR(AVERAGEIFS(nNOTA,nNIA,S827,nCUENTA,1,nASIG,"Armonía"),"")))</f>
        <v/>
      </c>
      <c r="U827" t="str">
        <f>IF(S827="","",IF(S827="[FÓRMULA MANUAL]","",IFERROR(AVERAGEIFS(nNOTA,nNIA,S827,nCUENTA,1,nASIG,"Orquesta/Banda/Conjunto"),"")))</f>
        <v/>
      </c>
      <c r="V827" t="str">
        <f>IF(S827="","",IF(S827="[FÓRMULA MANUAL]","",IFERROR(AVERAGEIFS(nNOTA,nNIA,S827,nCUENTA,1,nASIG,"Música de Cámara"),"")))</f>
        <v/>
      </c>
      <c r="W827" t="str">
        <f>IF(S827="","",IF(S827="[FÓRMULA MANUAL]","",IFERROR(SUMPRODUCT((nNIA=S827)*(nCUENTA=1)*(COUNTIF(CONFIG_ASIGNATURAS!$B$7:$B$27,nASIG)&gt;0)*(nNOTA))/SUMPRODUCT((nNIA=S827)*(nCUENTA=1)*(COUNTIF(CONFIG_ASIGNATURAS!$B$7:$B$27,nASIG)&gt;0)*1),"")))</f>
        <v/>
      </c>
      <c r="Z827" t="str">
        <f>IF(Y827="","",IF(Y827="[FÓRMULA MANUAL]","",IFERROR(AVERAGEIFS(nNOTA,nNIA,Y827,nCUENTA,1,nASIG,"Análisis"),"")))</f>
        <v/>
      </c>
      <c r="AA827" t="str">
        <f>IF(Y827="","",IF(Y827="[FÓRMULA MANUAL]","",IFERROR(AVERAGEIFS(nNOTA,nNIA,Y827,nCUENTA,1,nASIG,"Orquesta/Banda/Conjunto"),"")))</f>
        <v/>
      </c>
      <c r="AB827" t="str">
        <f>IF(Y827="","",IF(Y827="[FÓRMULA MANUAL]","",IFERROR(AVERAGEIFS(nNOTA,nNIA,Y827,nCUENTA,1,nASIG,"Música de Cámara"),"")))</f>
        <v/>
      </c>
      <c r="AC827" t="str">
        <f>IF(Y827="","",IF(Y827="[FÓRMULA MANUAL]","",IFERROR(SUMPRODUCT((nNIA=Y827)*(nCUENTA=1)*(COUNTIF(CONFIG_ASIGNATURAS!$B$7:$B$27,nASIG)&gt;0)*(nNOTA))/SUMPRODUCT((nNIA=Y827)*(nCUENTA=1)*(COUNTIF(CONFIG_ASIGNATURAS!$B$7:$B$27,nASIG)&gt;0)*1),"")))</f>
        <v/>
      </c>
      <c r="AF827" t="str">
        <f>IF(AE827="","",IF(AE827="[FÓRMULA MANUAL]","",IFERROR(AVERAGEIFS(nNOTA,nNIA,AE827,nCUENTA,1,nASIG,"Análisis"),"")))</f>
        <v/>
      </c>
      <c r="AG827" t="str">
        <f>IF(AE827="","",IF(AE827="[FÓRMULA MANUAL]","",IFERROR(AVERAGEIFS(nNOTA,nNIA,AE827,nCUENTA,1,nASIG,"Orquesta/Banda/Conjunto"),"")))</f>
        <v/>
      </c>
      <c r="AH827" t="str">
        <f>IF(AE827="","",IF(AE827="[FÓRMULA MANUAL]","",IFERROR(AVERAGEIFS(nNOTA,nNIA,AE827,nCUENTA,1,nASIG,"Música de Cámara"),"")))</f>
        <v/>
      </c>
      <c r="AI827" t="str">
        <f>IF(AE827="","",IF(AE827="[FÓRMULA MANUAL]","",IFERROR(SUMPRODUCT((nNIA=AE827)*(nCUENTA=1)*(COUNTIF(CONFIG_ASIGNATURAS!$B$7:$B$27,nASIG)&gt;0)*(nNOTA))/SUMPRODUCT((nNIA=AE827)*(nCUENTA=1)*(COUNTIF(CONFIG_ASIGNATURAS!$B$7:$B$27,nASIG)&gt;0)*1),"")))</f>
        <v/>
      </c>
    </row>
    <row r="828" spans="2:35" x14ac:dyDescent="0.2">
      <c r="B828" t="str">
        <f>IF(A828="","",IF(A828="[FÓRMULA MANUAL]","",IFERROR(AVERAGEIFS(nNOTA,nNIA,A828,nCUENTA,1,nASIG,"Lenguaje Musical"),"")))</f>
        <v/>
      </c>
      <c r="C828" t="str">
        <f>IF(A828="","",IF(A828="[FÓRMULA MANUAL]","",IFERROR(AVERAGEIFS(nNOTA,nNIA,A828,nCUENTA,1,nASIG,"Orquesta/Banda/Conjunto"),"")))</f>
        <v/>
      </c>
      <c r="D828" t="str">
        <f>IF(A828="","",IF(A828="[FÓRMULA MANUAL]","",IFERROR(AVERAGEIFS(nNOTA,nNIA,A828,nCUENTA,1,nASIG,"Conjunto"),"")))</f>
        <v/>
      </c>
      <c r="E828" t="str">
        <f>IF(A828="","",IF(A828="[FÓRMULA MANUAL]","",IFERROR(SUMPRODUCT((nNIA=A828)*(nCUENTA=1)*(COUNTIF(CONFIG_ASIGNATURAS!$B$7:$B$27,nASIG)&gt;0)*(nNOTA))/SUMPRODUCT((nNIA=A828)*(nCUENTA=1)*(COUNTIF(CONFIG_ASIGNATURAS!$B$7:$B$27,nASIG)&gt;0)*1),"")))</f>
        <v/>
      </c>
      <c r="H828" t="str">
        <f>IF(G828="","",IF(G828="[FÓRMULA MANUAL]","",IFERROR(AVERAGEIFS(nNOTA,nNIA,G828,nCUENTA,1,nASIG,"Lenguaje Musical"),"")))</f>
        <v/>
      </c>
      <c r="I828" t="str">
        <f>IF(G828="","",IF(G828="[FÓRMULA MANUAL]","",IFERROR(AVERAGEIFS(nNOTA,nNIA,G828,nCUENTA,1,nASIG,"Orquesta/Banda/Conjunto"),"")))</f>
        <v/>
      </c>
      <c r="J828" t="str">
        <f>IF(G828="","",IF(G828="[FÓRMULA MANUAL]","",IFERROR(AVERAGEIFS(nNOTA,nNIA,G828,nCUENTA,1,nASIG,"Conjunto"),"")))</f>
        <v/>
      </c>
      <c r="K828" t="str">
        <f>IF(G828="","",IF(G828="[FÓRMULA MANUAL]","",IFERROR(SUMPRODUCT((nNIA=G828)*(nCUENTA=1)*(COUNTIF(CONFIG_ASIGNATURAS!$B$7:$B$27,nASIG)&gt;0)*(nNOTA))/SUMPRODUCT((nNIA=G828)*(nCUENTA=1)*(COUNTIF(CONFIG_ASIGNATURAS!$B$7:$B$27,nASIG)&gt;0)*1),"")))</f>
        <v/>
      </c>
      <c r="N828" t="str">
        <f>IF(M828="","",IF(M828="[FÓRMULA MANUAL]","",IFERROR(AVERAGEIFS(nNOTA,nNIA,M828,nCUENTA,1,nASIG,"Armonía"),"")))</f>
        <v/>
      </c>
      <c r="O828" t="str">
        <f>IF(M828="","",IF(M828="[FÓRMULA MANUAL]","",IFERROR(AVERAGEIFS(nNOTA,nNIA,M828,nCUENTA,1,nASIG,"Orquesta/Banda/Conjunto"),"")))</f>
        <v/>
      </c>
      <c r="P828" t="str">
        <f>IF(M828="","",IF(M828="[FÓRMULA MANUAL]","",IFERROR(AVERAGEIFS(nNOTA,nNIA,M828,nCUENTA,1,nASIG,"Música de Cámara"),"")))</f>
        <v/>
      </c>
      <c r="Q828" t="str">
        <f>IF(M828="","",IF(M828="[FÓRMULA MANUAL]","",IFERROR(SUMPRODUCT((nNIA=M828)*(nCUENTA=1)*(COUNTIF(CONFIG_ASIGNATURAS!$B$7:$B$27,nASIG)&gt;0)*(nNOTA))/SUMPRODUCT((nNIA=M828)*(nCUENTA=1)*(COUNTIF(CONFIG_ASIGNATURAS!$B$7:$B$27,nASIG)&gt;0)*1),"")))</f>
        <v/>
      </c>
      <c r="T828" t="str">
        <f>IF(S828="","",IF(S828="[FÓRMULA MANUAL]","",IFERROR(AVERAGEIFS(nNOTA,nNIA,S828,nCUENTA,1,nASIG,"Armonía"),"")))</f>
        <v/>
      </c>
      <c r="U828" t="str">
        <f>IF(S828="","",IF(S828="[FÓRMULA MANUAL]","",IFERROR(AVERAGEIFS(nNOTA,nNIA,S828,nCUENTA,1,nASIG,"Orquesta/Banda/Conjunto"),"")))</f>
        <v/>
      </c>
      <c r="V828" t="str">
        <f>IF(S828="","",IF(S828="[FÓRMULA MANUAL]","",IFERROR(AVERAGEIFS(nNOTA,nNIA,S828,nCUENTA,1,nASIG,"Música de Cámara"),"")))</f>
        <v/>
      </c>
      <c r="W828" t="str">
        <f>IF(S828="","",IF(S828="[FÓRMULA MANUAL]","",IFERROR(SUMPRODUCT((nNIA=S828)*(nCUENTA=1)*(COUNTIF(CONFIG_ASIGNATURAS!$B$7:$B$27,nASIG)&gt;0)*(nNOTA))/SUMPRODUCT((nNIA=S828)*(nCUENTA=1)*(COUNTIF(CONFIG_ASIGNATURAS!$B$7:$B$27,nASIG)&gt;0)*1),"")))</f>
        <v/>
      </c>
      <c r="Z828" t="str">
        <f>IF(Y828="","",IF(Y828="[FÓRMULA MANUAL]","",IFERROR(AVERAGEIFS(nNOTA,nNIA,Y828,nCUENTA,1,nASIG,"Análisis"),"")))</f>
        <v/>
      </c>
      <c r="AA828" t="str">
        <f>IF(Y828="","",IF(Y828="[FÓRMULA MANUAL]","",IFERROR(AVERAGEIFS(nNOTA,nNIA,Y828,nCUENTA,1,nASIG,"Orquesta/Banda/Conjunto"),"")))</f>
        <v/>
      </c>
      <c r="AB828" t="str">
        <f>IF(Y828="","",IF(Y828="[FÓRMULA MANUAL]","",IFERROR(AVERAGEIFS(nNOTA,nNIA,Y828,nCUENTA,1,nASIG,"Música de Cámara"),"")))</f>
        <v/>
      </c>
      <c r="AC828" t="str">
        <f>IF(Y828="","",IF(Y828="[FÓRMULA MANUAL]","",IFERROR(SUMPRODUCT((nNIA=Y828)*(nCUENTA=1)*(COUNTIF(CONFIG_ASIGNATURAS!$B$7:$B$27,nASIG)&gt;0)*(nNOTA))/SUMPRODUCT((nNIA=Y828)*(nCUENTA=1)*(COUNTIF(CONFIG_ASIGNATURAS!$B$7:$B$27,nASIG)&gt;0)*1),"")))</f>
        <v/>
      </c>
      <c r="AF828" t="str">
        <f>IF(AE828="","",IF(AE828="[FÓRMULA MANUAL]","",IFERROR(AVERAGEIFS(nNOTA,nNIA,AE828,nCUENTA,1,nASIG,"Análisis"),"")))</f>
        <v/>
      </c>
      <c r="AG828" t="str">
        <f>IF(AE828="","",IF(AE828="[FÓRMULA MANUAL]","",IFERROR(AVERAGEIFS(nNOTA,nNIA,AE828,nCUENTA,1,nASIG,"Orquesta/Banda/Conjunto"),"")))</f>
        <v/>
      </c>
      <c r="AH828" t="str">
        <f>IF(AE828="","",IF(AE828="[FÓRMULA MANUAL]","",IFERROR(AVERAGEIFS(nNOTA,nNIA,AE828,nCUENTA,1,nASIG,"Música de Cámara"),"")))</f>
        <v/>
      </c>
      <c r="AI828" t="str">
        <f>IF(AE828="","",IF(AE828="[FÓRMULA MANUAL]","",IFERROR(SUMPRODUCT((nNIA=AE828)*(nCUENTA=1)*(COUNTIF(CONFIG_ASIGNATURAS!$B$7:$B$27,nASIG)&gt;0)*(nNOTA))/SUMPRODUCT((nNIA=AE828)*(nCUENTA=1)*(COUNTIF(CONFIG_ASIGNATURAS!$B$7:$B$27,nASIG)&gt;0)*1),"")))</f>
        <v/>
      </c>
    </row>
    <row r="829" spans="2:35" x14ac:dyDescent="0.2">
      <c r="B829" t="str">
        <f>IF(A829="","",IF(A829="[FÓRMULA MANUAL]","",IFERROR(AVERAGEIFS(nNOTA,nNIA,A829,nCUENTA,1,nASIG,"Lenguaje Musical"),"")))</f>
        <v/>
      </c>
      <c r="C829" t="str">
        <f>IF(A829="","",IF(A829="[FÓRMULA MANUAL]","",IFERROR(AVERAGEIFS(nNOTA,nNIA,A829,nCUENTA,1,nASIG,"Orquesta/Banda/Conjunto"),"")))</f>
        <v/>
      </c>
      <c r="D829" t="str">
        <f>IF(A829="","",IF(A829="[FÓRMULA MANUAL]","",IFERROR(AVERAGEIFS(nNOTA,nNIA,A829,nCUENTA,1,nASIG,"Conjunto"),"")))</f>
        <v/>
      </c>
      <c r="E829" t="str">
        <f>IF(A829="","",IF(A829="[FÓRMULA MANUAL]","",IFERROR(SUMPRODUCT((nNIA=A829)*(nCUENTA=1)*(COUNTIF(CONFIG_ASIGNATURAS!$B$7:$B$27,nASIG)&gt;0)*(nNOTA))/SUMPRODUCT((nNIA=A829)*(nCUENTA=1)*(COUNTIF(CONFIG_ASIGNATURAS!$B$7:$B$27,nASIG)&gt;0)*1),"")))</f>
        <v/>
      </c>
      <c r="H829" t="str">
        <f>IF(G829="","",IF(G829="[FÓRMULA MANUAL]","",IFERROR(AVERAGEIFS(nNOTA,nNIA,G829,nCUENTA,1,nASIG,"Lenguaje Musical"),"")))</f>
        <v/>
      </c>
      <c r="I829" t="str">
        <f>IF(G829="","",IF(G829="[FÓRMULA MANUAL]","",IFERROR(AVERAGEIFS(nNOTA,nNIA,G829,nCUENTA,1,nASIG,"Orquesta/Banda/Conjunto"),"")))</f>
        <v/>
      </c>
      <c r="J829" t="str">
        <f>IF(G829="","",IF(G829="[FÓRMULA MANUAL]","",IFERROR(AVERAGEIFS(nNOTA,nNIA,G829,nCUENTA,1,nASIG,"Conjunto"),"")))</f>
        <v/>
      </c>
      <c r="K829" t="str">
        <f>IF(G829="","",IF(G829="[FÓRMULA MANUAL]","",IFERROR(SUMPRODUCT((nNIA=G829)*(nCUENTA=1)*(COUNTIF(CONFIG_ASIGNATURAS!$B$7:$B$27,nASIG)&gt;0)*(nNOTA))/SUMPRODUCT((nNIA=G829)*(nCUENTA=1)*(COUNTIF(CONFIG_ASIGNATURAS!$B$7:$B$27,nASIG)&gt;0)*1),"")))</f>
        <v/>
      </c>
      <c r="N829" t="str">
        <f>IF(M829="","",IF(M829="[FÓRMULA MANUAL]","",IFERROR(AVERAGEIFS(nNOTA,nNIA,M829,nCUENTA,1,nASIG,"Armonía"),"")))</f>
        <v/>
      </c>
      <c r="O829" t="str">
        <f>IF(M829="","",IF(M829="[FÓRMULA MANUAL]","",IFERROR(AVERAGEIFS(nNOTA,nNIA,M829,nCUENTA,1,nASIG,"Orquesta/Banda/Conjunto"),"")))</f>
        <v/>
      </c>
      <c r="P829" t="str">
        <f>IF(M829="","",IF(M829="[FÓRMULA MANUAL]","",IFERROR(AVERAGEIFS(nNOTA,nNIA,M829,nCUENTA,1,nASIG,"Música de Cámara"),"")))</f>
        <v/>
      </c>
      <c r="Q829" t="str">
        <f>IF(M829="","",IF(M829="[FÓRMULA MANUAL]","",IFERROR(SUMPRODUCT((nNIA=M829)*(nCUENTA=1)*(COUNTIF(CONFIG_ASIGNATURAS!$B$7:$B$27,nASIG)&gt;0)*(nNOTA))/SUMPRODUCT((nNIA=M829)*(nCUENTA=1)*(COUNTIF(CONFIG_ASIGNATURAS!$B$7:$B$27,nASIG)&gt;0)*1),"")))</f>
        <v/>
      </c>
      <c r="T829" t="str">
        <f>IF(S829="","",IF(S829="[FÓRMULA MANUAL]","",IFERROR(AVERAGEIFS(nNOTA,nNIA,S829,nCUENTA,1,nASIG,"Armonía"),"")))</f>
        <v/>
      </c>
      <c r="U829" t="str">
        <f>IF(S829="","",IF(S829="[FÓRMULA MANUAL]","",IFERROR(AVERAGEIFS(nNOTA,nNIA,S829,nCUENTA,1,nASIG,"Orquesta/Banda/Conjunto"),"")))</f>
        <v/>
      </c>
      <c r="V829" t="str">
        <f>IF(S829="","",IF(S829="[FÓRMULA MANUAL]","",IFERROR(AVERAGEIFS(nNOTA,nNIA,S829,nCUENTA,1,nASIG,"Música de Cámara"),"")))</f>
        <v/>
      </c>
      <c r="W829" t="str">
        <f>IF(S829="","",IF(S829="[FÓRMULA MANUAL]","",IFERROR(SUMPRODUCT((nNIA=S829)*(nCUENTA=1)*(COUNTIF(CONFIG_ASIGNATURAS!$B$7:$B$27,nASIG)&gt;0)*(nNOTA))/SUMPRODUCT((nNIA=S829)*(nCUENTA=1)*(COUNTIF(CONFIG_ASIGNATURAS!$B$7:$B$27,nASIG)&gt;0)*1),"")))</f>
        <v/>
      </c>
      <c r="Z829" t="str">
        <f>IF(Y829="","",IF(Y829="[FÓRMULA MANUAL]","",IFERROR(AVERAGEIFS(nNOTA,nNIA,Y829,nCUENTA,1,nASIG,"Análisis"),"")))</f>
        <v/>
      </c>
      <c r="AA829" t="str">
        <f>IF(Y829="","",IF(Y829="[FÓRMULA MANUAL]","",IFERROR(AVERAGEIFS(nNOTA,nNIA,Y829,nCUENTA,1,nASIG,"Orquesta/Banda/Conjunto"),"")))</f>
        <v/>
      </c>
      <c r="AB829" t="str">
        <f>IF(Y829="","",IF(Y829="[FÓRMULA MANUAL]","",IFERROR(AVERAGEIFS(nNOTA,nNIA,Y829,nCUENTA,1,nASIG,"Música de Cámara"),"")))</f>
        <v/>
      </c>
      <c r="AC829" t="str">
        <f>IF(Y829="","",IF(Y829="[FÓRMULA MANUAL]","",IFERROR(SUMPRODUCT((nNIA=Y829)*(nCUENTA=1)*(COUNTIF(CONFIG_ASIGNATURAS!$B$7:$B$27,nASIG)&gt;0)*(nNOTA))/SUMPRODUCT((nNIA=Y829)*(nCUENTA=1)*(COUNTIF(CONFIG_ASIGNATURAS!$B$7:$B$27,nASIG)&gt;0)*1),"")))</f>
        <v/>
      </c>
      <c r="AF829" t="str">
        <f>IF(AE829="","",IF(AE829="[FÓRMULA MANUAL]","",IFERROR(AVERAGEIFS(nNOTA,nNIA,AE829,nCUENTA,1,nASIG,"Análisis"),"")))</f>
        <v/>
      </c>
      <c r="AG829" t="str">
        <f>IF(AE829="","",IF(AE829="[FÓRMULA MANUAL]","",IFERROR(AVERAGEIFS(nNOTA,nNIA,AE829,nCUENTA,1,nASIG,"Orquesta/Banda/Conjunto"),"")))</f>
        <v/>
      </c>
      <c r="AH829" t="str">
        <f>IF(AE829="","",IF(AE829="[FÓRMULA MANUAL]","",IFERROR(AVERAGEIFS(nNOTA,nNIA,AE829,nCUENTA,1,nASIG,"Música de Cámara"),"")))</f>
        <v/>
      </c>
      <c r="AI829" t="str">
        <f>IF(AE829="","",IF(AE829="[FÓRMULA MANUAL]","",IFERROR(SUMPRODUCT((nNIA=AE829)*(nCUENTA=1)*(COUNTIF(CONFIG_ASIGNATURAS!$B$7:$B$27,nASIG)&gt;0)*(nNOTA))/SUMPRODUCT((nNIA=AE829)*(nCUENTA=1)*(COUNTIF(CONFIG_ASIGNATURAS!$B$7:$B$27,nASIG)&gt;0)*1),"")))</f>
        <v/>
      </c>
    </row>
    <row r="830" spans="2:35" x14ac:dyDescent="0.2">
      <c r="B830" t="str">
        <f>IF(A830="","",IF(A830="[FÓRMULA MANUAL]","",IFERROR(AVERAGEIFS(nNOTA,nNIA,A830,nCUENTA,1,nASIG,"Lenguaje Musical"),"")))</f>
        <v/>
      </c>
      <c r="C830" t="str">
        <f>IF(A830="","",IF(A830="[FÓRMULA MANUAL]","",IFERROR(AVERAGEIFS(nNOTA,nNIA,A830,nCUENTA,1,nASIG,"Orquesta/Banda/Conjunto"),"")))</f>
        <v/>
      </c>
      <c r="D830" t="str">
        <f>IF(A830="","",IF(A830="[FÓRMULA MANUAL]","",IFERROR(AVERAGEIFS(nNOTA,nNIA,A830,nCUENTA,1,nASIG,"Conjunto"),"")))</f>
        <v/>
      </c>
      <c r="E830" t="str">
        <f>IF(A830="","",IF(A830="[FÓRMULA MANUAL]","",IFERROR(SUMPRODUCT((nNIA=A830)*(nCUENTA=1)*(COUNTIF(CONFIG_ASIGNATURAS!$B$7:$B$27,nASIG)&gt;0)*(nNOTA))/SUMPRODUCT((nNIA=A830)*(nCUENTA=1)*(COUNTIF(CONFIG_ASIGNATURAS!$B$7:$B$27,nASIG)&gt;0)*1),"")))</f>
        <v/>
      </c>
      <c r="H830" t="str">
        <f>IF(G830="","",IF(G830="[FÓRMULA MANUAL]","",IFERROR(AVERAGEIFS(nNOTA,nNIA,G830,nCUENTA,1,nASIG,"Lenguaje Musical"),"")))</f>
        <v/>
      </c>
      <c r="I830" t="str">
        <f>IF(G830="","",IF(G830="[FÓRMULA MANUAL]","",IFERROR(AVERAGEIFS(nNOTA,nNIA,G830,nCUENTA,1,nASIG,"Orquesta/Banda/Conjunto"),"")))</f>
        <v/>
      </c>
      <c r="J830" t="str">
        <f>IF(G830="","",IF(G830="[FÓRMULA MANUAL]","",IFERROR(AVERAGEIFS(nNOTA,nNIA,G830,nCUENTA,1,nASIG,"Conjunto"),"")))</f>
        <v/>
      </c>
      <c r="K830" t="str">
        <f>IF(G830="","",IF(G830="[FÓRMULA MANUAL]","",IFERROR(SUMPRODUCT((nNIA=G830)*(nCUENTA=1)*(COUNTIF(CONFIG_ASIGNATURAS!$B$7:$B$27,nASIG)&gt;0)*(nNOTA))/SUMPRODUCT((nNIA=G830)*(nCUENTA=1)*(COUNTIF(CONFIG_ASIGNATURAS!$B$7:$B$27,nASIG)&gt;0)*1),"")))</f>
        <v/>
      </c>
      <c r="N830" t="str">
        <f>IF(M830="","",IF(M830="[FÓRMULA MANUAL]","",IFERROR(AVERAGEIFS(nNOTA,nNIA,M830,nCUENTA,1,nASIG,"Armonía"),"")))</f>
        <v/>
      </c>
      <c r="O830" t="str">
        <f>IF(M830="","",IF(M830="[FÓRMULA MANUAL]","",IFERROR(AVERAGEIFS(nNOTA,nNIA,M830,nCUENTA,1,nASIG,"Orquesta/Banda/Conjunto"),"")))</f>
        <v/>
      </c>
      <c r="P830" t="str">
        <f>IF(M830="","",IF(M830="[FÓRMULA MANUAL]","",IFERROR(AVERAGEIFS(nNOTA,nNIA,M830,nCUENTA,1,nASIG,"Música de Cámara"),"")))</f>
        <v/>
      </c>
      <c r="Q830" t="str">
        <f>IF(M830="","",IF(M830="[FÓRMULA MANUAL]","",IFERROR(SUMPRODUCT((nNIA=M830)*(nCUENTA=1)*(COUNTIF(CONFIG_ASIGNATURAS!$B$7:$B$27,nASIG)&gt;0)*(nNOTA))/SUMPRODUCT((nNIA=M830)*(nCUENTA=1)*(COUNTIF(CONFIG_ASIGNATURAS!$B$7:$B$27,nASIG)&gt;0)*1),"")))</f>
        <v/>
      </c>
      <c r="T830" t="str">
        <f>IF(S830="","",IF(S830="[FÓRMULA MANUAL]","",IFERROR(AVERAGEIFS(nNOTA,nNIA,S830,nCUENTA,1,nASIG,"Armonía"),"")))</f>
        <v/>
      </c>
      <c r="U830" t="str">
        <f>IF(S830="","",IF(S830="[FÓRMULA MANUAL]","",IFERROR(AVERAGEIFS(nNOTA,nNIA,S830,nCUENTA,1,nASIG,"Orquesta/Banda/Conjunto"),"")))</f>
        <v/>
      </c>
      <c r="V830" t="str">
        <f>IF(S830="","",IF(S830="[FÓRMULA MANUAL]","",IFERROR(AVERAGEIFS(nNOTA,nNIA,S830,nCUENTA,1,nASIG,"Música de Cámara"),"")))</f>
        <v/>
      </c>
      <c r="W830" t="str">
        <f>IF(S830="","",IF(S830="[FÓRMULA MANUAL]","",IFERROR(SUMPRODUCT((nNIA=S830)*(nCUENTA=1)*(COUNTIF(CONFIG_ASIGNATURAS!$B$7:$B$27,nASIG)&gt;0)*(nNOTA))/SUMPRODUCT((nNIA=S830)*(nCUENTA=1)*(COUNTIF(CONFIG_ASIGNATURAS!$B$7:$B$27,nASIG)&gt;0)*1),"")))</f>
        <v/>
      </c>
      <c r="Z830" t="str">
        <f>IF(Y830="","",IF(Y830="[FÓRMULA MANUAL]","",IFERROR(AVERAGEIFS(nNOTA,nNIA,Y830,nCUENTA,1,nASIG,"Análisis"),"")))</f>
        <v/>
      </c>
      <c r="AA830" t="str">
        <f>IF(Y830="","",IF(Y830="[FÓRMULA MANUAL]","",IFERROR(AVERAGEIFS(nNOTA,nNIA,Y830,nCUENTA,1,nASIG,"Orquesta/Banda/Conjunto"),"")))</f>
        <v/>
      </c>
      <c r="AB830" t="str">
        <f>IF(Y830="","",IF(Y830="[FÓRMULA MANUAL]","",IFERROR(AVERAGEIFS(nNOTA,nNIA,Y830,nCUENTA,1,nASIG,"Música de Cámara"),"")))</f>
        <v/>
      </c>
      <c r="AC830" t="str">
        <f>IF(Y830="","",IF(Y830="[FÓRMULA MANUAL]","",IFERROR(SUMPRODUCT((nNIA=Y830)*(nCUENTA=1)*(COUNTIF(CONFIG_ASIGNATURAS!$B$7:$B$27,nASIG)&gt;0)*(nNOTA))/SUMPRODUCT((nNIA=Y830)*(nCUENTA=1)*(COUNTIF(CONFIG_ASIGNATURAS!$B$7:$B$27,nASIG)&gt;0)*1),"")))</f>
        <v/>
      </c>
      <c r="AF830" t="str">
        <f>IF(AE830="","",IF(AE830="[FÓRMULA MANUAL]","",IFERROR(AVERAGEIFS(nNOTA,nNIA,AE830,nCUENTA,1,nASIG,"Análisis"),"")))</f>
        <v/>
      </c>
      <c r="AG830" t="str">
        <f>IF(AE830="","",IF(AE830="[FÓRMULA MANUAL]","",IFERROR(AVERAGEIFS(nNOTA,nNIA,AE830,nCUENTA,1,nASIG,"Orquesta/Banda/Conjunto"),"")))</f>
        <v/>
      </c>
      <c r="AH830" t="str">
        <f>IF(AE830="","",IF(AE830="[FÓRMULA MANUAL]","",IFERROR(AVERAGEIFS(nNOTA,nNIA,AE830,nCUENTA,1,nASIG,"Música de Cámara"),"")))</f>
        <v/>
      </c>
      <c r="AI830" t="str">
        <f>IF(AE830="","",IF(AE830="[FÓRMULA MANUAL]","",IFERROR(SUMPRODUCT((nNIA=AE830)*(nCUENTA=1)*(COUNTIF(CONFIG_ASIGNATURAS!$B$7:$B$27,nASIG)&gt;0)*(nNOTA))/SUMPRODUCT((nNIA=AE830)*(nCUENTA=1)*(COUNTIF(CONFIG_ASIGNATURAS!$B$7:$B$27,nASIG)&gt;0)*1),"")))</f>
        <v/>
      </c>
    </row>
    <row r="831" spans="2:35" x14ac:dyDescent="0.2">
      <c r="B831" t="str">
        <f>IF(A831="","",IF(A831="[FÓRMULA MANUAL]","",IFERROR(AVERAGEIFS(nNOTA,nNIA,A831,nCUENTA,1,nASIG,"Lenguaje Musical"),"")))</f>
        <v/>
      </c>
      <c r="C831" t="str">
        <f>IF(A831="","",IF(A831="[FÓRMULA MANUAL]","",IFERROR(AVERAGEIFS(nNOTA,nNIA,A831,nCUENTA,1,nASIG,"Orquesta/Banda/Conjunto"),"")))</f>
        <v/>
      </c>
      <c r="D831" t="str">
        <f>IF(A831="","",IF(A831="[FÓRMULA MANUAL]","",IFERROR(AVERAGEIFS(nNOTA,nNIA,A831,nCUENTA,1,nASIG,"Conjunto"),"")))</f>
        <v/>
      </c>
      <c r="E831" t="str">
        <f>IF(A831="","",IF(A831="[FÓRMULA MANUAL]","",IFERROR(SUMPRODUCT((nNIA=A831)*(nCUENTA=1)*(COUNTIF(CONFIG_ASIGNATURAS!$B$7:$B$27,nASIG)&gt;0)*(nNOTA))/SUMPRODUCT((nNIA=A831)*(nCUENTA=1)*(COUNTIF(CONFIG_ASIGNATURAS!$B$7:$B$27,nASIG)&gt;0)*1),"")))</f>
        <v/>
      </c>
      <c r="H831" t="str">
        <f>IF(G831="","",IF(G831="[FÓRMULA MANUAL]","",IFERROR(AVERAGEIFS(nNOTA,nNIA,G831,nCUENTA,1,nASIG,"Lenguaje Musical"),"")))</f>
        <v/>
      </c>
      <c r="I831" t="str">
        <f>IF(G831="","",IF(G831="[FÓRMULA MANUAL]","",IFERROR(AVERAGEIFS(nNOTA,nNIA,G831,nCUENTA,1,nASIG,"Orquesta/Banda/Conjunto"),"")))</f>
        <v/>
      </c>
      <c r="J831" t="str">
        <f>IF(G831="","",IF(G831="[FÓRMULA MANUAL]","",IFERROR(AVERAGEIFS(nNOTA,nNIA,G831,nCUENTA,1,nASIG,"Conjunto"),"")))</f>
        <v/>
      </c>
      <c r="K831" t="str">
        <f>IF(G831="","",IF(G831="[FÓRMULA MANUAL]","",IFERROR(SUMPRODUCT((nNIA=G831)*(nCUENTA=1)*(COUNTIF(CONFIG_ASIGNATURAS!$B$7:$B$27,nASIG)&gt;0)*(nNOTA))/SUMPRODUCT((nNIA=G831)*(nCUENTA=1)*(COUNTIF(CONFIG_ASIGNATURAS!$B$7:$B$27,nASIG)&gt;0)*1),"")))</f>
        <v/>
      </c>
      <c r="N831" t="str">
        <f>IF(M831="","",IF(M831="[FÓRMULA MANUAL]","",IFERROR(AVERAGEIFS(nNOTA,nNIA,M831,nCUENTA,1,nASIG,"Armonía"),"")))</f>
        <v/>
      </c>
      <c r="O831" t="str">
        <f>IF(M831="","",IF(M831="[FÓRMULA MANUAL]","",IFERROR(AVERAGEIFS(nNOTA,nNIA,M831,nCUENTA,1,nASIG,"Orquesta/Banda/Conjunto"),"")))</f>
        <v/>
      </c>
      <c r="P831" t="str">
        <f>IF(M831="","",IF(M831="[FÓRMULA MANUAL]","",IFERROR(AVERAGEIFS(nNOTA,nNIA,M831,nCUENTA,1,nASIG,"Música de Cámara"),"")))</f>
        <v/>
      </c>
      <c r="Q831" t="str">
        <f>IF(M831="","",IF(M831="[FÓRMULA MANUAL]","",IFERROR(SUMPRODUCT((nNIA=M831)*(nCUENTA=1)*(COUNTIF(CONFIG_ASIGNATURAS!$B$7:$B$27,nASIG)&gt;0)*(nNOTA))/SUMPRODUCT((nNIA=M831)*(nCUENTA=1)*(COUNTIF(CONFIG_ASIGNATURAS!$B$7:$B$27,nASIG)&gt;0)*1),"")))</f>
        <v/>
      </c>
      <c r="T831" t="str">
        <f>IF(S831="","",IF(S831="[FÓRMULA MANUAL]","",IFERROR(AVERAGEIFS(nNOTA,nNIA,S831,nCUENTA,1,nASIG,"Armonía"),"")))</f>
        <v/>
      </c>
      <c r="U831" t="str">
        <f>IF(S831="","",IF(S831="[FÓRMULA MANUAL]","",IFERROR(AVERAGEIFS(nNOTA,nNIA,S831,nCUENTA,1,nASIG,"Orquesta/Banda/Conjunto"),"")))</f>
        <v/>
      </c>
      <c r="V831" t="str">
        <f>IF(S831="","",IF(S831="[FÓRMULA MANUAL]","",IFERROR(AVERAGEIFS(nNOTA,nNIA,S831,nCUENTA,1,nASIG,"Música de Cámara"),"")))</f>
        <v/>
      </c>
      <c r="W831" t="str">
        <f>IF(S831="","",IF(S831="[FÓRMULA MANUAL]","",IFERROR(SUMPRODUCT((nNIA=S831)*(nCUENTA=1)*(COUNTIF(CONFIG_ASIGNATURAS!$B$7:$B$27,nASIG)&gt;0)*(nNOTA))/SUMPRODUCT((nNIA=S831)*(nCUENTA=1)*(COUNTIF(CONFIG_ASIGNATURAS!$B$7:$B$27,nASIG)&gt;0)*1),"")))</f>
        <v/>
      </c>
      <c r="Z831" t="str">
        <f>IF(Y831="","",IF(Y831="[FÓRMULA MANUAL]","",IFERROR(AVERAGEIFS(nNOTA,nNIA,Y831,nCUENTA,1,nASIG,"Análisis"),"")))</f>
        <v/>
      </c>
      <c r="AA831" t="str">
        <f>IF(Y831="","",IF(Y831="[FÓRMULA MANUAL]","",IFERROR(AVERAGEIFS(nNOTA,nNIA,Y831,nCUENTA,1,nASIG,"Orquesta/Banda/Conjunto"),"")))</f>
        <v/>
      </c>
      <c r="AB831" t="str">
        <f>IF(Y831="","",IF(Y831="[FÓRMULA MANUAL]","",IFERROR(AVERAGEIFS(nNOTA,nNIA,Y831,nCUENTA,1,nASIG,"Música de Cámara"),"")))</f>
        <v/>
      </c>
      <c r="AC831" t="str">
        <f>IF(Y831="","",IF(Y831="[FÓRMULA MANUAL]","",IFERROR(SUMPRODUCT((nNIA=Y831)*(nCUENTA=1)*(COUNTIF(CONFIG_ASIGNATURAS!$B$7:$B$27,nASIG)&gt;0)*(nNOTA))/SUMPRODUCT((nNIA=Y831)*(nCUENTA=1)*(COUNTIF(CONFIG_ASIGNATURAS!$B$7:$B$27,nASIG)&gt;0)*1),"")))</f>
        <v/>
      </c>
      <c r="AF831" t="str">
        <f>IF(AE831="","",IF(AE831="[FÓRMULA MANUAL]","",IFERROR(AVERAGEIFS(nNOTA,nNIA,AE831,nCUENTA,1,nASIG,"Análisis"),"")))</f>
        <v/>
      </c>
      <c r="AG831" t="str">
        <f>IF(AE831="","",IF(AE831="[FÓRMULA MANUAL]","",IFERROR(AVERAGEIFS(nNOTA,nNIA,AE831,nCUENTA,1,nASIG,"Orquesta/Banda/Conjunto"),"")))</f>
        <v/>
      </c>
      <c r="AH831" t="str">
        <f>IF(AE831="","",IF(AE831="[FÓRMULA MANUAL]","",IFERROR(AVERAGEIFS(nNOTA,nNIA,AE831,nCUENTA,1,nASIG,"Música de Cámara"),"")))</f>
        <v/>
      </c>
      <c r="AI831" t="str">
        <f>IF(AE831="","",IF(AE831="[FÓRMULA MANUAL]","",IFERROR(SUMPRODUCT((nNIA=AE831)*(nCUENTA=1)*(COUNTIF(CONFIG_ASIGNATURAS!$B$7:$B$27,nASIG)&gt;0)*(nNOTA))/SUMPRODUCT((nNIA=AE831)*(nCUENTA=1)*(COUNTIF(CONFIG_ASIGNATURAS!$B$7:$B$27,nASIG)&gt;0)*1),"")))</f>
        <v/>
      </c>
    </row>
    <row r="832" spans="2:35" x14ac:dyDescent="0.2">
      <c r="B832" t="str">
        <f>IF(A832="","",IF(A832="[FÓRMULA MANUAL]","",IFERROR(AVERAGEIFS(nNOTA,nNIA,A832,nCUENTA,1,nASIG,"Lenguaje Musical"),"")))</f>
        <v/>
      </c>
      <c r="C832" t="str">
        <f>IF(A832="","",IF(A832="[FÓRMULA MANUAL]","",IFERROR(AVERAGEIFS(nNOTA,nNIA,A832,nCUENTA,1,nASIG,"Orquesta/Banda/Conjunto"),"")))</f>
        <v/>
      </c>
      <c r="D832" t="str">
        <f>IF(A832="","",IF(A832="[FÓRMULA MANUAL]","",IFERROR(AVERAGEIFS(nNOTA,nNIA,A832,nCUENTA,1,nASIG,"Conjunto"),"")))</f>
        <v/>
      </c>
      <c r="E832" t="str">
        <f>IF(A832="","",IF(A832="[FÓRMULA MANUAL]","",IFERROR(SUMPRODUCT((nNIA=A832)*(nCUENTA=1)*(COUNTIF(CONFIG_ASIGNATURAS!$B$7:$B$27,nASIG)&gt;0)*(nNOTA))/SUMPRODUCT((nNIA=A832)*(nCUENTA=1)*(COUNTIF(CONFIG_ASIGNATURAS!$B$7:$B$27,nASIG)&gt;0)*1),"")))</f>
        <v/>
      </c>
      <c r="H832" t="str">
        <f>IF(G832="","",IF(G832="[FÓRMULA MANUAL]","",IFERROR(AVERAGEIFS(nNOTA,nNIA,G832,nCUENTA,1,nASIG,"Lenguaje Musical"),"")))</f>
        <v/>
      </c>
      <c r="I832" t="str">
        <f>IF(G832="","",IF(G832="[FÓRMULA MANUAL]","",IFERROR(AVERAGEIFS(nNOTA,nNIA,G832,nCUENTA,1,nASIG,"Orquesta/Banda/Conjunto"),"")))</f>
        <v/>
      </c>
      <c r="J832" t="str">
        <f>IF(G832="","",IF(G832="[FÓRMULA MANUAL]","",IFERROR(AVERAGEIFS(nNOTA,nNIA,G832,nCUENTA,1,nASIG,"Conjunto"),"")))</f>
        <v/>
      </c>
      <c r="K832" t="str">
        <f>IF(G832="","",IF(G832="[FÓRMULA MANUAL]","",IFERROR(SUMPRODUCT((nNIA=G832)*(nCUENTA=1)*(COUNTIF(CONFIG_ASIGNATURAS!$B$7:$B$27,nASIG)&gt;0)*(nNOTA))/SUMPRODUCT((nNIA=G832)*(nCUENTA=1)*(COUNTIF(CONFIG_ASIGNATURAS!$B$7:$B$27,nASIG)&gt;0)*1),"")))</f>
        <v/>
      </c>
      <c r="N832" t="str">
        <f>IF(M832="","",IF(M832="[FÓRMULA MANUAL]","",IFERROR(AVERAGEIFS(nNOTA,nNIA,M832,nCUENTA,1,nASIG,"Armonía"),"")))</f>
        <v/>
      </c>
      <c r="O832" t="str">
        <f>IF(M832="","",IF(M832="[FÓRMULA MANUAL]","",IFERROR(AVERAGEIFS(nNOTA,nNIA,M832,nCUENTA,1,nASIG,"Orquesta/Banda/Conjunto"),"")))</f>
        <v/>
      </c>
      <c r="P832" t="str">
        <f>IF(M832="","",IF(M832="[FÓRMULA MANUAL]","",IFERROR(AVERAGEIFS(nNOTA,nNIA,M832,nCUENTA,1,nASIG,"Música de Cámara"),"")))</f>
        <v/>
      </c>
      <c r="Q832" t="str">
        <f>IF(M832="","",IF(M832="[FÓRMULA MANUAL]","",IFERROR(SUMPRODUCT((nNIA=M832)*(nCUENTA=1)*(COUNTIF(CONFIG_ASIGNATURAS!$B$7:$B$27,nASIG)&gt;0)*(nNOTA))/SUMPRODUCT((nNIA=M832)*(nCUENTA=1)*(COUNTIF(CONFIG_ASIGNATURAS!$B$7:$B$27,nASIG)&gt;0)*1),"")))</f>
        <v/>
      </c>
      <c r="T832" t="str">
        <f>IF(S832="","",IF(S832="[FÓRMULA MANUAL]","",IFERROR(AVERAGEIFS(nNOTA,nNIA,S832,nCUENTA,1,nASIG,"Armonía"),"")))</f>
        <v/>
      </c>
      <c r="U832" t="str">
        <f>IF(S832="","",IF(S832="[FÓRMULA MANUAL]","",IFERROR(AVERAGEIFS(nNOTA,nNIA,S832,nCUENTA,1,nASIG,"Orquesta/Banda/Conjunto"),"")))</f>
        <v/>
      </c>
      <c r="V832" t="str">
        <f>IF(S832="","",IF(S832="[FÓRMULA MANUAL]","",IFERROR(AVERAGEIFS(nNOTA,nNIA,S832,nCUENTA,1,nASIG,"Música de Cámara"),"")))</f>
        <v/>
      </c>
      <c r="W832" t="str">
        <f>IF(S832="","",IF(S832="[FÓRMULA MANUAL]","",IFERROR(SUMPRODUCT((nNIA=S832)*(nCUENTA=1)*(COUNTIF(CONFIG_ASIGNATURAS!$B$7:$B$27,nASIG)&gt;0)*(nNOTA))/SUMPRODUCT((nNIA=S832)*(nCUENTA=1)*(COUNTIF(CONFIG_ASIGNATURAS!$B$7:$B$27,nASIG)&gt;0)*1),"")))</f>
        <v/>
      </c>
      <c r="Z832" t="str">
        <f>IF(Y832="","",IF(Y832="[FÓRMULA MANUAL]","",IFERROR(AVERAGEIFS(nNOTA,nNIA,Y832,nCUENTA,1,nASIG,"Análisis"),"")))</f>
        <v/>
      </c>
      <c r="AA832" t="str">
        <f>IF(Y832="","",IF(Y832="[FÓRMULA MANUAL]","",IFERROR(AVERAGEIFS(nNOTA,nNIA,Y832,nCUENTA,1,nASIG,"Orquesta/Banda/Conjunto"),"")))</f>
        <v/>
      </c>
      <c r="AB832" t="str">
        <f>IF(Y832="","",IF(Y832="[FÓRMULA MANUAL]","",IFERROR(AVERAGEIFS(nNOTA,nNIA,Y832,nCUENTA,1,nASIG,"Música de Cámara"),"")))</f>
        <v/>
      </c>
      <c r="AC832" t="str">
        <f>IF(Y832="","",IF(Y832="[FÓRMULA MANUAL]","",IFERROR(SUMPRODUCT((nNIA=Y832)*(nCUENTA=1)*(COUNTIF(CONFIG_ASIGNATURAS!$B$7:$B$27,nASIG)&gt;0)*(nNOTA))/SUMPRODUCT((nNIA=Y832)*(nCUENTA=1)*(COUNTIF(CONFIG_ASIGNATURAS!$B$7:$B$27,nASIG)&gt;0)*1),"")))</f>
        <v/>
      </c>
      <c r="AF832" t="str">
        <f>IF(AE832="","",IF(AE832="[FÓRMULA MANUAL]","",IFERROR(AVERAGEIFS(nNOTA,nNIA,AE832,nCUENTA,1,nASIG,"Análisis"),"")))</f>
        <v/>
      </c>
      <c r="AG832" t="str">
        <f>IF(AE832="","",IF(AE832="[FÓRMULA MANUAL]","",IFERROR(AVERAGEIFS(nNOTA,nNIA,AE832,nCUENTA,1,nASIG,"Orquesta/Banda/Conjunto"),"")))</f>
        <v/>
      </c>
      <c r="AH832" t="str">
        <f>IF(AE832="","",IF(AE832="[FÓRMULA MANUAL]","",IFERROR(AVERAGEIFS(nNOTA,nNIA,AE832,nCUENTA,1,nASIG,"Música de Cámara"),"")))</f>
        <v/>
      </c>
      <c r="AI832" t="str">
        <f>IF(AE832="","",IF(AE832="[FÓRMULA MANUAL]","",IFERROR(SUMPRODUCT((nNIA=AE832)*(nCUENTA=1)*(COUNTIF(CONFIG_ASIGNATURAS!$B$7:$B$27,nASIG)&gt;0)*(nNOTA))/SUMPRODUCT((nNIA=AE832)*(nCUENTA=1)*(COUNTIF(CONFIG_ASIGNATURAS!$B$7:$B$27,nASIG)&gt;0)*1),"")))</f>
        <v/>
      </c>
    </row>
    <row r="833" spans="2:35" x14ac:dyDescent="0.2">
      <c r="B833" t="str">
        <f>IF(A833="","",IF(A833="[FÓRMULA MANUAL]","",IFERROR(AVERAGEIFS(nNOTA,nNIA,A833,nCUENTA,1,nASIG,"Lenguaje Musical"),"")))</f>
        <v/>
      </c>
      <c r="C833" t="str">
        <f>IF(A833="","",IF(A833="[FÓRMULA MANUAL]","",IFERROR(AVERAGEIFS(nNOTA,nNIA,A833,nCUENTA,1,nASIG,"Orquesta/Banda/Conjunto"),"")))</f>
        <v/>
      </c>
      <c r="D833" t="str">
        <f>IF(A833="","",IF(A833="[FÓRMULA MANUAL]","",IFERROR(AVERAGEIFS(nNOTA,nNIA,A833,nCUENTA,1,nASIG,"Conjunto"),"")))</f>
        <v/>
      </c>
      <c r="E833" t="str">
        <f>IF(A833="","",IF(A833="[FÓRMULA MANUAL]","",IFERROR(SUMPRODUCT((nNIA=A833)*(nCUENTA=1)*(COUNTIF(CONFIG_ASIGNATURAS!$B$7:$B$27,nASIG)&gt;0)*(nNOTA))/SUMPRODUCT((nNIA=A833)*(nCUENTA=1)*(COUNTIF(CONFIG_ASIGNATURAS!$B$7:$B$27,nASIG)&gt;0)*1),"")))</f>
        <v/>
      </c>
      <c r="H833" t="str">
        <f>IF(G833="","",IF(G833="[FÓRMULA MANUAL]","",IFERROR(AVERAGEIFS(nNOTA,nNIA,G833,nCUENTA,1,nASIG,"Lenguaje Musical"),"")))</f>
        <v/>
      </c>
      <c r="I833" t="str">
        <f>IF(G833="","",IF(G833="[FÓRMULA MANUAL]","",IFERROR(AVERAGEIFS(nNOTA,nNIA,G833,nCUENTA,1,nASIG,"Orquesta/Banda/Conjunto"),"")))</f>
        <v/>
      </c>
      <c r="J833" t="str">
        <f>IF(G833="","",IF(G833="[FÓRMULA MANUAL]","",IFERROR(AVERAGEIFS(nNOTA,nNIA,G833,nCUENTA,1,nASIG,"Conjunto"),"")))</f>
        <v/>
      </c>
      <c r="K833" t="str">
        <f>IF(G833="","",IF(G833="[FÓRMULA MANUAL]","",IFERROR(SUMPRODUCT((nNIA=G833)*(nCUENTA=1)*(COUNTIF(CONFIG_ASIGNATURAS!$B$7:$B$27,nASIG)&gt;0)*(nNOTA))/SUMPRODUCT((nNIA=G833)*(nCUENTA=1)*(COUNTIF(CONFIG_ASIGNATURAS!$B$7:$B$27,nASIG)&gt;0)*1),"")))</f>
        <v/>
      </c>
      <c r="N833" t="str">
        <f>IF(M833="","",IF(M833="[FÓRMULA MANUAL]","",IFERROR(AVERAGEIFS(nNOTA,nNIA,M833,nCUENTA,1,nASIG,"Armonía"),"")))</f>
        <v/>
      </c>
      <c r="O833" t="str">
        <f>IF(M833="","",IF(M833="[FÓRMULA MANUAL]","",IFERROR(AVERAGEIFS(nNOTA,nNIA,M833,nCUENTA,1,nASIG,"Orquesta/Banda/Conjunto"),"")))</f>
        <v/>
      </c>
      <c r="P833" t="str">
        <f>IF(M833="","",IF(M833="[FÓRMULA MANUAL]","",IFERROR(AVERAGEIFS(nNOTA,nNIA,M833,nCUENTA,1,nASIG,"Música de Cámara"),"")))</f>
        <v/>
      </c>
      <c r="Q833" t="str">
        <f>IF(M833="","",IF(M833="[FÓRMULA MANUAL]","",IFERROR(SUMPRODUCT((nNIA=M833)*(nCUENTA=1)*(COUNTIF(CONFIG_ASIGNATURAS!$B$7:$B$27,nASIG)&gt;0)*(nNOTA))/SUMPRODUCT((nNIA=M833)*(nCUENTA=1)*(COUNTIF(CONFIG_ASIGNATURAS!$B$7:$B$27,nASIG)&gt;0)*1),"")))</f>
        <v/>
      </c>
      <c r="T833" t="str">
        <f>IF(S833="","",IF(S833="[FÓRMULA MANUAL]","",IFERROR(AVERAGEIFS(nNOTA,nNIA,S833,nCUENTA,1,nASIG,"Armonía"),"")))</f>
        <v/>
      </c>
      <c r="U833" t="str">
        <f>IF(S833="","",IF(S833="[FÓRMULA MANUAL]","",IFERROR(AVERAGEIFS(nNOTA,nNIA,S833,nCUENTA,1,nASIG,"Orquesta/Banda/Conjunto"),"")))</f>
        <v/>
      </c>
      <c r="V833" t="str">
        <f>IF(S833="","",IF(S833="[FÓRMULA MANUAL]","",IFERROR(AVERAGEIFS(nNOTA,nNIA,S833,nCUENTA,1,nASIG,"Música de Cámara"),"")))</f>
        <v/>
      </c>
      <c r="W833" t="str">
        <f>IF(S833="","",IF(S833="[FÓRMULA MANUAL]","",IFERROR(SUMPRODUCT((nNIA=S833)*(nCUENTA=1)*(COUNTIF(CONFIG_ASIGNATURAS!$B$7:$B$27,nASIG)&gt;0)*(nNOTA))/SUMPRODUCT((nNIA=S833)*(nCUENTA=1)*(COUNTIF(CONFIG_ASIGNATURAS!$B$7:$B$27,nASIG)&gt;0)*1),"")))</f>
        <v/>
      </c>
      <c r="Z833" t="str">
        <f>IF(Y833="","",IF(Y833="[FÓRMULA MANUAL]","",IFERROR(AVERAGEIFS(nNOTA,nNIA,Y833,nCUENTA,1,nASIG,"Análisis"),"")))</f>
        <v/>
      </c>
      <c r="AA833" t="str">
        <f>IF(Y833="","",IF(Y833="[FÓRMULA MANUAL]","",IFERROR(AVERAGEIFS(nNOTA,nNIA,Y833,nCUENTA,1,nASIG,"Orquesta/Banda/Conjunto"),"")))</f>
        <v/>
      </c>
      <c r="AB833" t="str">
        <f>IF(Y833="","",IF(Y833="[FÓRMULA MANUAL]","",IFERROR(AVERAGEIFS(nNOTA,nNIA,Y833,nCUENTA,1,nASIG,"Música de Cámara"),"")))</f>
        <v/>
      </c>
      <c r="AC833" t="str">
        <f>IF(Y833="","",IF(Y833="[FÓRMULA MANUAL]","",IFERROR(SUMPRODUCT((nNIA=Y833)*(nCUENTA=1)*(COUNTIF(CONFIG_ASIGNATURAS!$B$7:$B$27,nASIG)&gt;0)*(nNOTA))/SUMPRODUCT((nNIA=Y833)*(nCUENTA=1)*(COUNTIF(CONFIG_ASIGNATURAS!$B$7:$B$27,nASIG)&gt;0)*1),"")))</f>
        <v/>
      </c>
      <c r="AF833" t="str">
        <f>IF(AE833="","",IF(AE833="[FÓRMULA MANUAL]","",IFERROR(AVERAGEIFS(nNOTA,nNIA,AE833,nCUENTA,1,nASIG,"Análisis"),"")))</f>
        <v/>
      </c>
      <c r="AG833" t="str">
        <f>IF(AE833="","",IF(AE833="[FÓRMULA MANUAL]","",IFERROR(AVERAGEIFS(nNOTA,nNIA,AE833,nCUENTA,1,nASIG,"Orquesta/Banda/Conjunto"),"")))</f>
        <v/>
      </c>
      <c r="AH833" t="str">
        <f>IF(AE833="","",IF(AE833="[FÓRMULA MANUAL]","",IFERROR(AVERAGEIFS(nNOTA,nNIA,AE833,nCUENTA,1,nASIG,"Música de Cámara"),"")))</f>
        <v/>
      </c>
      <c r="AI833" t="str">
        <f>IF(AE833="","",IF(AE833="[FÓRMULA MANUAL]","",IFERROR(SUMPRODUCT((nNIA=AE833)*(nCUENTA=1)*(COUNTIF(CONFIG_ASIGNATURAS!$B$7:$B$27,nASIG)&gt;0)*(nNOTA))/SUMPRODUCT((nNIA=AE833)*(nCUENTA=1)*(COUNTIF(CONFIG_ASIGNATURAS!$B$7:$B$27,nASIG)&gt;0)*1),"")))</f>
        <v/>
      </c>
    </row>
    <row r="834" spans="2:35" x14ac:dyDescent="0.2">
      <c r="B834" t="str">
        <f>IF(A834="","",IF(A834="[FÓRMULA MANUAL]","",IFERROR(AVERAGEIFS(nNOTA,nNIA,A834,nCUENTA,1,nASIG,"Lenguaje Musical"),"")))</f>
        <v/>
      </c>
      <c r="C834" t="str">
        <f>IF(A834="","",IF(A834="[FÓRMULA MANUAL]","",IFERROR(AVERAGEIFS(nNOTA,nNIA,A834,nCUENTA,1,nASIG,"Orquesta/Banda/Conjunto"),"")))</f>
        <v/>
      </c>
      <c r="D834" t="str">
        <f>IF(A834="","",IF(A834="[FÓRMULA MANUAL]","",IFERROR(AVERAGEIFS(nNOTA,nNIA,A834,nCUENTA,1,nASIG,"Conjunto"),"")))</f>
        <v/>
      </c>
      <c r="E834" t="str">
        <f>IF(A834="","",IF(A834="[FÓRMULA MANUAL]","",IFERROR(SUMPRODUCT((nNIA=A834)*(nCUENTA=1)*(COUNTIF(CONFIG_ASIGNATURAS!$B$7:$B$27,nASIG)&gt;0)*(nNOTA))/SUMPRODUCT((nNIA=A834)*(nCUENTA=1)*(COUNTIF(CONFIG_ASIGNATURAS!$B$7:$B$27,nASIG)&gt;0)*1),"")))</f>
        <v/>
      </c>
      <c r="H834" t="str">
        <f>IF(G834="","",IF(G834="[FÓRMULA MANUAL]","",IFERROR(AVERAGEIFS(nNOTA,nNIA,G834,nCUENTA,1,nASIG,"Lenguaje Musical"),"")))</f>
        <v/>
      </c>
      <c r="I834" t="str">
        <f>IF(G834="","",IF(G834="[FÓRMULA MANUAL]","",IFERROR(AVERAGEIFS(nNOTA,nNIA,G834,nCUENTA,1,nASIG,"Orquesta/Banda/Conjunto"),"")))</f>
        <v/>
      </c>
      <c r="J834" t="str">
        <f>IF(G834="","",IF(G834="[FÓRMULA MANUAL]","",IFERROR(AVERAGEIFS(nNOTA,nNIA,G834,nCUENTA,1,nASIG,"Conjunto"),"")))</f>
        <v/>
      </c>
      <c r="K834" t="str">
        <f>IF(G834="","",IF(G834="[FÓRMULA MANUAL]","",IFERROR(SUMPRODUCT((nNIA=G834)*(nCUENTA=1)*(COUNTIF(CONFIG_ASIGNATURAS!$B$7:$B$27,nASIG)&gt;0)*(nNOTA))/SUMPRODUCT((nNIA=G834)*(nCUENTA=1)*(COUNTIF(CONFIG_ASIGNATURAS!$B$7:$B$27,nASIG)&gt;0)*1),"")))</f>
        <v/>
      </c>
      <c r="N834" t="str">
        <f>IF(M834="","",IF(M834="[FÓRMULA MANUAL]","",IFERROR(AVERAGEIFS(nNOTA,nNIA,M834,nCUENTA,1,nASIG,"Armonía"),"")))</f>
        <v/>
      </c>
      <c r="O834" t="str">
        <f>IF(M834="","",IF(M834="[FÓRMULA MANUAL]","",IFERROR(AVERAGEIFS(nNOTA,nNIA,M834,nCUENTA,1,nASIG,"Orquesta/Banda/Conjunto"),"")))</f>
        <v/>
      </c>
      <c r="P834" t="str">
        <f>IF(M834="","",IF(M834="[FÓRMULA MANUAL]","",IFERROR(AVERAGEIFS(nNOTA,nNIA,M834,nCUENTA,1,nASIG,"Música de Cámara"),"")))</f>
        <v/>
      </c>
      <c r="Q834" t="str">
        <f>IF(M834="","",IF(M834="[FÓRMULA MANUAL]","",IFERROR(SUMPRODUCT((nNIA=M834)*(nCUENTA=1)*(COUNTIF(CONFIG_ASIGNATURAS!$B$7:$B$27,nASIG)&gt;0)*(nNOTA))/SUMPRODUCT((nNIA=M834)*(nCUENTA=1)*(COUNTIF(CONFIG_ASIGNATURAS!$B$7:$B$27,nASIG)&gt;0)*1),"")))</f>
        <v/>
      </c>
      <c r="T834" t="str">
        <f>IF(S834="","",IF(S834="[FÓRMULA MANUAL]","",IFERROR(AVERAGEIFS(nNOTA,nNIA,S834,nCUENTA,1,nASIG,"Armonía"),"")))</f>
        <v/>
      </c>
      <c r="U834" t="str">
        <f>IF(S834="","",IF(S834="[FÓRMULA MANUAL]","",IFERROR(AVERAGEIFS(nNOTA,nNIA,S834,nCUENTA,1,nASIG,"Orquesta/Banda/Conjunto"),"")))</f>
        <v/>
      </c>
      <c r="V834" t="str">
        <f>IF(S834="","",IF(S834="[FÓRMULA MANUAL]","",IFERROR(AVERAGEIFS(nNOTA,nNIA,S834,nCUENTA,1,nASIG,"Música de Cámara"),"")))</f>
        <v/>
      </c>
      <c r="W834" t="str">
        <f>IF(S834="","",IF(S834="[FÓRMULA MANUAL]","",IFERROR(SUMPRODUCT((nNIA=S834)*(nCUENTA=1)*(COUNTIF(CONFIG_ASIGNATURAS!$B$7:$B$27,nASIG)&gt;0)*(nNOTA))/SUMPRODUCT((nNIA=S834)*(nCUENTA=1)*(COUNTIF(CONFIG_ASIGNATURAS!$B$7:$B$27,nASIG)&gt;0)*1),"")))</f>
        <v/>
      </c>
      <c r="Z834" t="str">
        <f>IF(Y834="","",IF(Y834="[FÓRMULA MANUAL]","",IFERROR(AVERAGEIFS(nNOTA,nNIA,Y834,nCUENTA,1,nASIG,"Análisis"),"")))</f>
        <v/>
      </c>
      <c r="AA834" t="str">
        <f>IF(Y834="","",IF(Y834="[FÓRMULA MANUAL]","",IFERROR(AVERAGEIFS(nNOTA,nNIA,Y834,nCUENTA,1,nASIG,"Orquesta/Banda/Conjunto"),"")))</f>
        <v/>
      </c>
      <c r="AB834" t="str">
        <f>IF(Y834="","",IF(Y834="[FÓRMULA MANUAL]","",IFERROR(AVERAGEIFS(nNOTA,nNIA,Y834,nCUENTA,1,nASIG,"Música de Cámara"),"")))</f>
        <v/>
      </c>
      <c r="AC834" t="str">
        <f>IF(Y834="","",IF(Y834="[FÓRMULA MANUAL]","",IFERROR(SUMPRODUCT((nNIA=Y834)*(nCUENTA=1)*(COUNTIF(CONFIG_ASIGNATURAS!$B$7:$B$27,nASIG)&gt;0)*(nNOTA))/SUMPRODUCT((nNIA=Y834)*(nCUENTA=1)*(COUNTIF(CONFIG_ASIGNATURAS!$B$7:$B$27,nASIG)&gt;0)*1),"")))</f>
        <v/>
      </c>
      <c r="AF834" t="str">
        <f>IF(AE834="","",IF(AE834="[FÓRMULA MANUAL]","",IFERROR(AVERAGEIFS(nNOTA,nNIA,AE834,nCUENTA,1,nASIG,"Análisis"),"")))</f>
        <v/>
      </c>
      <c r="AG834" t="str">
        <f>IF(AE834="","",IF(AE834="[FÓRMULA MANUAL]","",IFERROR(AVERAGEIFS(nNOTA,nNIA,AE834,nCUENTA,1,nASIG,"Orquesta/Banda/Conjunto"),"")))</f>
        <v/>
      </c>
      <c r="AH834" t="str">
        <f>IF(AE834="","",IF(AE834="[FÓRMULA MANUAL]","",IFERROR(AVERAGEIFS(nNOTA,nNIA,AE834,nCUENTA,1,nASIG,"Música de Cámara"),"")))</f>
        <v/>
      </c>
      <c r="AI834" t="str">
        <f>IF(AE834="","",IF(AE834="[FÓRMULA MANUAL]","",IFERROR(SUMPRODUCT((nNIA=AE834)*(nCUENTA=1)*(COUNTIF(CONFIG_ASIGNATURAS!$B$7:$B$27,nASIG)&gt;0)*(nNOTA))/SUMPRODUCT((nNIA=AE834)*(nCUENTA=1)*(COUNTIF(CONFIG_ASIGNATURAS!$B$7:$B$27,nASIG)&gt;0)*1),"")))</f>
        <v/>
      </c>
    </row>
    <row r="835" spans="2:35" x14ac:dyDescent="0.2">
      <c r="B835" t="str">
        <f>IF(A835="","",IF(A835="[FÓRMULA MANUAL]","",IFERROR(AVERAGEIFS(nNOTA,nNIA,A835,nCUENTA,1,nASIG,"Lenguaje Musical"),"")))</f>
        <v/>
      </c>
      <c r="C835" t="str">
        <f>IF(A835="","",IF(A835="[FÓRMULA MANUAL]","",IFERROR(AVERAGEIFS(nNOTA,nNIA,A835,nCUENTA,1,nASIG,"Orquesta/Banda/Conjunto"),"")))</f>
        <v/>
      </c>
      <c r="D835" t="str">
        <f>IF(A835="","",IF(A835="[FÓRMULA MANUAL]","",IFERROR(AVERAGEIFS(nNOTA,nNIA,A835,nCUENTA,1,nASIG,"Conjunto"),"")))</f>
        <v/>
      </c>
      <c r="E835" t="str">
        <f>IF(A835="","",IF(A835="[FÓRMULA MANUAL]","",IFERROR(SUMPRODUCT((nNIA=A835)*(nCUENTA=1)*(COUNTIF(CONFIG_ASIGNATURAS!$B$7:$B$27,nASIG)&gt;0)*(nNOTA))/SUMPRODUCT((nNIA=A835)*(nCUENTA=1)*(COUNTIF(CONFIG_ASIGNATURAS!$B$7:$B$27,nASIG)&gt;0)*1),"")))</f>
        <v/>
      </c>
      <c r="H835" t="str">
        <f>IF(G835="","",IF(G835="[FÓRMULA MANUAL]","",IFERROR(AVERAGEIFS(nNOTA,nNIA,G835,nCUENTA,1,nASIG,"Lenguaje Musical"),"")))</f>
        <v/>
      </c>
      <c r="I835" t="str">
        <f>IF(G835="","",IF(G835="[FÓRMULA MANUAL]","",IFERROR(AVERAGEIFS(nNOTA,nNIA,G835,nCUENTA,1,nASIG,"Orquesta/Banda/Conjunto"),"")))</f>
        <v/>
      </c>
      <c r="J835" t="str">
        <f>IF(G835="","",IF(G835="[FÓRMULA MANUAL]","",IFERROR(AVERAGEIFS(nNOTA,nNIA,G835,nCUENTA,1,nASIG,"Conjunto"),"")))</f>
        <v/>
      </c>
      <c r="K835" t="str">
        <f>IF(G835="","",IF(G835="[FÓRMULA MANUAL]","",IFERROR(SUMPRODUCT((nNIA=G835)*(nCUENTA=1)*(COUNTIF(CONFIG_ASIGNATURAS!$B$7:$B$27,nASIG)&gt;0)*(nNOTA))/SUMPRODUCT((nNIA=G835)*(nCUENTA=1)*(COUNTIF(CONFIG_ASIGNATURAS!$B$7:$B$27,nASIG)&gt;0)*1),"")))</f>
        <v/>
      </c>
      <c r="N835" t="str">
        <f>IF(M835="","",IF(M835="[FÓRMULA MANUAL]","",IFERROR(AVERAGEIFS(nNOTA,nNIA,M835,nCUENTA,1,nASIG,"Armonía"),"")))</f>
        <v/>
      </c>
      <c r="O835" t="str">
        <f>IF(M835="","",IF(M835="[FÓRMULA MANUAL]","",IFERROR(AVERAGEIFS(nNOTA,nNIA,M835,nCUENTA,1,nASIG,"Orquesta/Banda/Conjunto"),"")))</f>
        <v/>
      </c>
      <c r="P835" t="str">
        <f>IF(M835="","",IF(M835="[FÓRMULA MANUAL]","",IFERROR(AVERAGEIFS(nNOTA,nNIA,M835,nCUENTA,1,nASIG,"Música de Cámara"),"")))</f>
        <v/>
      </c>
      <c r="Q835" t="str">
        <f>IF(M835="","",IF(M835="[FÓRMULA MANUAL]","",IFERROR(SUMPRODUCT((nNIA=M835)*(nCUENTA=1)*(COUNTIF(CONFIG_ASIGNATURAS!$B$7:$B$27,nASIG)&gt;0)*(nNOTA))/SUMPRODUCT((nNIA=M835)*(nCUENTA=1)*(COUNTIF(CONFIG_ASIGNATURAS!$B$7:$B$27,nASIG)&gt;0)*1),"")))</f>
        <v/>
      </c>
      <c r="T835" t="str">
        <f>IF(S835="","",IF(S835="[FÓRMULA MANUAL]","",IFERROR(AVERAGEIFS(nNOTA,nNIA,S835,nCUENTA,1,nASIG,"Armonía"),"")))</f>
        <v/>
      </c>
      <c r="U835" t="str">
        <f>IF(S835="","",IF(S835="[FÓRMULA MANUAL]","",IFERROR(AVERAGEIFS(nNOTA,nNIA,S835,nCUENTA,1,nASIG,"Orquesta/Banda/Conjunto"),"")))</f>
        <v/>
      </c>
      <c r="V835" t="str">
        <f>IF(S835="","",IF(S835="[FÓRMULA MANUAL]","",IFERROR(AVERAGEIFS(nNOTA,nNIA,S835,nCUENTA,1,nASIG,"Música de Cámara"),"")))</f>
        <v/>
      </c>
      <c r="W835" t="str">
        <f>IF(S835="","",IF(S835="[FÓRMULA MANUAL]","",IFERROR(SUMPRODUCT((nNIA=S835)*(nCUENTA=1)*(COUNTIF(CONFIG_ASIGNATURAS!$B$7:$B$27,nASIG)&gt;0)*(nNOTA))/SUMPRODUCT((nNIA=S835)*(nCUENTA=1)*(COUNTIF(CONFIG_ASIGNATURAS!$B$7:$B$27,nASIG)&gt;0)*1),"")))</f>
        <v/>
      </c>
      <c r="Z835" t="str">
        <f>IF(Y835="","",IF(Y835="[FÓRMULA MANUAL]","",IFERROR(AVERAGEIFS(nNOTA,nNIA,Y835,nCUENTA,1,nASIG,"Análisis"),"")))</f>
        <v/>
      </c>
      <c r="AA835" t="str">
        <f>IF(Y835="","",IF(Y835="[FÓRMULA MANUAL]","",IFERROR(AVERAGEIFS(nNOTA,nNIA,Y835,nCUENTA,1,nASIG,"Orquesta/Banda/Conjunto"),"")))</f>
        <v/>
      </c>
      <c r="AB835" t="str">
        <f>IF(Y835="","",IF(Y835="[FÓRMULA MANUAL]","",IFERROR(AVERAGEIFS(nNOTA,nNIA,Y835,nCUENTA,1,nASIG,"Música de Cámara"),"")))</f>
        <v/>
      </c>
      <c r="AC835" t="str">
        <f>IF(Y835="","",IF(Y835="[FÓRMULA MANUAL]","",IFERROR(SUMPRODUCT((nNIA=Y835)*(nCUENTA=1)*(COUNTIF(CONFIG_ASIGNATURAS!$B$7:$B$27,nASIG)&gt;0)*(nNOTA))/SUMPRODUCT((nNIA=Y835)*(nCUENTA=1)*(COUNTIF(CONFIG_ASIGNATURAS!$B$7:$B$27,nASIG)&gt;0)*1),"")))</f>
        <v/>
      </c>
      <c r="AF835" t="str">
        <f>IF(AE835="","",IF(AE835="[FÓRMULA MANUAL]","",IFERROR(AVERAGEIFS(nNOTA,nNIA,AE835,nCUENTA,1,nASIG,"Análisis"),"")))</f>
        <v/>
      </c>
      <c r="AG835" t="str">
        <f>IF(AE835="","",IF(AE835="[FÓRMULA MANUAL]","",IFERROR(AVERAGEIFS(nNOTA,nNIA,AE835,nCUENTA,1,nASIG,"Orquesta/Banda/Conjunto"),"")))</f>
        <v/>
      </c>
      <c r="AH835" t="str">
        <f>IF(AE835="","",IF(AE835="[FÓRMULA MANUAL]","",IFERROR(AVERAGEIFS(nNOTA,nNIA,AE835,nCUENTA,1,nASIG,"Música de Cámara"),"")))</f>
        <v/>
      </c>
      <c r="AI835" t="str">
        <f>IF(AE835="","",IF(AE835="[FÓRMULA MANUAL]","",IFERROR(SUMPRODUCT((nNIA=AE835)*(nCUENTA=1)*(COUNTIF(CONFIG_ASIGNATURAS!$B$7:$B$27,nASIG)&gt;0)*(nNOTA))/SUMPRODUCT((nNIA=AE835)*(nCUENTA=1)*(COUNTIF(CONFIG_ASIGNATURAS!$B$7:$B$27,nASIG)&gt;0)*1),"")))</f>
        <v/>
      </c>
    </row>
    <row r="836" spans="2:35" x14ac:dyDescent="0.2">
      <c r="B836" t="str">
        <f>IF(A836="","",IF(A836="[FÓRMULA MANUAL]","",IFERROR(AVERAGEIFS(nNOTA,nNIA,A836,nCUENTA,1,nASIG,"Lenguaje Musical"),"")))</f>
        <v/>
      </c>
      <c r="C836" t="str">
        <f>IF(A836="","",IF(A836="[FÓRMULA MANUAL]","",IFERROR(AVERAGEIFS(nNOTA,nNIA,A836,nCUENTA,1,nASIG,"Orquesta/Banda/Conjunto"),"")))</f>
        <v/>
      </c>
      <c r="D836" t="str">
        <f>IF(A836="","",IF(A836="[FÓRMULA MANUAL]","",IFERROR(AVERAGEIFS(nNOTA,nNIA,A836,nCUENTA,1,nASIG,"Conjunto"),"")))</f>
        <v/>
      </c>
      <c r="E836" t="str">
        <f>IF(A836="","",IF(A836="[FÓRMULA MANUAL]","",IFERROR(SUMPRODUCT((nNIA=A836)*(nCUENTA=1)*(COUNTIF(CONFIG_ASIGNATURAS!$B$7:$B$27,nASIG)&gt;0)*(nNOTA))/SUMPRODUCT((nNIA=A836)*(nCUENTA=1)*(COUNTIF(CONFIG_ASIGNATURAS!$B$7:$B$27,nASIG)&gt;0)*1),"")))</f>
        <v/>
      </c>
      <c r="H836" t="str">
        <f>IF(G836="","",IF(G836="[FÓRMULA MANUAL]","",IFERROR(AVERAGEIFS(nNOTA,nNIA,G836,nCUENTA,1,nASIG,"Lenguaje Musical"),"")))</f>
        <v/>
      </c>
      <c r="I836" t="str">
        <f>IF(G836="","",IF(G836="[FÓRMULA MANUAL]","",IFERROR(AVERAGEIFS(nNOTA,nNIA,G836,nCUENTA,1,nASIG,"Orquesta/Banda/Conjunto"),"")))</f>
        <v/>
      </c>
      <c r="J836" t="str">
        <f>IF(G836="","",IF(G836="[FÓRMULA MANUAL]","",IFERROR(AVERAGEIFS(nNOTA,nNIA,G836,nCUENTA,1,nASIG,"Conjunto"),"")))</f>
        <v/>
      </c>
      <c r="K836" t="str">
        <f>IF(G836="","",IF(G836="[FÓRMULA MANUAL]","",IFERROR(SUMPRODUCT((nNIA=G836)*(nCUENTA=1)*(COUNTIF(CONFIG_ASIGNATURAS!$B$7:$B$27,nASIG)&gt;0)*(nNOTA))/SUMPRODUCT((nNIA=G836)*(nCUENTA=1)*(COUNTIF(CONFIG_ASIGNATURAS!$B$7:$B$27,nASIG)&gt;0)*1),"")))</f>
        <v/>
      </c>
      <c r="N836" t="str">
        <f>IF(M836="","",IF(M836="[FÓRMULA MANUAL]","",IFERROR(AVERAGEIFS(nNOTA,nNIA,M836,nCUENTA,1,nASIG,"Armonía"),"")))</f>
        <v/>
      </c>
      <c r="O836" t="str">
        <f>IF(M836="","",IF(M836="[FÓRMULA MANUAL]","",IFERROR(AVERAGEIFS(nNOTA,nNIA,M836,nCUENTA,1,nASIG,"Orquesta/Banda/Conjunto"),"")))</f>
        <v/>
      </c>
      <c r="P836" t="str">
        <f>IF(M836="","",IF(M836="[FÓRMULA MANUAL]","",IFERROR(AVERAGEIFS(nNOTA,nNIA,M836,nCUENTA,1,nASIG,"Música de Cámara"),"")))</f>
        <v/>
      </c>
      <c r="Q836" t="str">
        <f>IF(M836="","",IF(M836="[FÓRMULA MANUAL]","",IFERROR(SUMPRODUCT((nNIA=M836)*(nCUENTA=1)*(COUNTIF(CONFIG_ASIGNATURAS!$B$7:$B$27,nASIG)&gt;0)*(nNOTA))/SUMPRODUCT((nNIA=M836)*(nCUENTA=1)*(COUNTIF(CONFIG_ASIGNATURAS!$B$7:$B$27,nASIG)&gt;0)*1),"")))</f>
        <v/>
      </c>
      <c r="T836" t="str">
        <f>IF(S836="","",IF(S836="[FÓRMULA MANUAL]","",IFERROR(AVERAGEIFS(nNOTA,nNIA,S836,nCUENTA,1,nASIG,"Armonía"),"")))</f>
        <v/>
      </c>
      <c r="U836" t="str">
        <f>IF(S836="","",IF(S836="[FÓRMULA MANUAL]","",IFERROR(AVERAGEIFS(nNOTA,nNIA,S836,nCUENTA,1,nASIG,"Orquesta/Banda/Conjunto"),"")))</f>
        <v/>
      </c>
      <c r="V836" t="str">
        <f>IF(S836="","",IF(S836="[FÓRMULA MANUAL]","",IFERROR(AVERAGEIFS(nNOTA,nNIA,S836,nCUENTA,1,nASIG,"Música de Cámara"),"")))</f>
        <v/>
      </c>
      <c r="W836" t="str">
        <f>IF(S836="","",IF(S836="[FÓRMULA MANUAL]","",IFERROR(SUMPRODUCT((nNIA=S836)*(nCUENTA=1)*(COUNTIF(CONFIG_ASIGNATURAS!$B$7:$B$27,nASIG)&gt;0)*(nNOTA))/SUMPRODUCT((nNIA=S836)*(nCUENTA=1)*(COUNTIF(CONFIG_ASIGNATURAS!$B$7:$B$27,nASIG)&gt;0)*1),"")))</f>
        <v/>
      </c>
      <c r="Z836" t="str">
        <f>IF(Y836="","",IF(Y836="[FÓRMULA MANUAL]","",IFERROR(AVERAGEIFS(nNOTA,nNIA,Y836,nCUENTA,1,nASIG,"Análisis"),"")))</f>
        <v/>
      </c>
      <c r="AA836" t="str">
        <f>IF(Y836="","",IF(Y836="[FÓRMULA MANUAL]","",IFERROR(AVERAGEIFS(nNOTA,nNIA,Y836,nCUENTA,1,nASIG,"Orquesta/Banda/Conjunto"),"")))</f>
        <v/>
      </c>
      <c r="AB836" t="str">
        <f>IF(Y836="","",IF(Y836="[FÓRMULA MANUAL]","",IFERROR(AVERAGEIFS(nNOTA,nNIA,Y836,nCUENTA,1,nASIG,"Música de Cámara"),"")))</f>
        <v/>
      </c>
      <c r="AC836" t="str">
        <f>IF(Y836="","",IF(Y836="[FÓRMULA MANUAL]","",IFERROR(SUMPRODUCT((nNIA=Y836)*(nCUENTA=1)*(COUNTIF(CONFIG_ASIGNATURAS!$B$7:$B$27,nASIG)&gt;0)*(nNOTA))/SUMPRODUCT((nNIA=Y836)*(nCUENTA=1)*(COUNTIF(CONFIG_ASIGNATURAS!$B$7:$B$27,nASIG)&gt;0)*1),"")))</f>
        <v/>
      </c>
      <c r="AF836" t="str">
        <f>IF(AE836="","",IF(AE836="[FÓRMULA MANUAL]","",IFERROR(AVERAGEIFS(nNOTA,nNIA,AE836,nCUENTA,1,nASIG,"Análisis"),"")))</f>
        <v/>
      </c>
      <c r="AG836" t="str">
        <f>IF(AE836="","",IF(AE836="[FÓRMULA MANUAL]","",IFERROR(AVERAGEIFS(nNOTA,nNIA,AE836,nCUENTA,1,nASIG,"Orquesta/Banda/Conjunto"),"")))</f>
        <v/>
      </c>
      <c r="AH836" t="str">
        <f>IF(AE836="","",IF(AE836="[FÓRMULA MANUAL]","",IFERROR(AVERAGEIFS(nNOTA,nNIA,AE836,nCUENTA,1,nASIG,"Música de Cámara"),"")))</f>
        <v/>
      </c>
      <c r="AI836" t="str">
        <f>IF(AE836="","",IF(AE836="[FÓRMULA MANUAL]","",IFERROR(SUMPRODUCT((nNIA=AE836)*(nCUENTA=1)*(COUNTIF(CONFIG_ASIGNATURAS!$B$7:$B$27,nASIG)&gt;0)*(nNOTA))/SUMPRODUCT((nNIA=AE836)*(nCUENTA=1)*(COUNTIF(CONFIG_ASIGNATURAS!$B$7:$B$27,nASIG)&gt;0)*1),"")))</f>
        <v/>
      </c>
    </row>
    <row r="837" spans="2:35" x14ac:dyDescent="0.2">
      <c r="B837" t="str">
        <f>IF(A837="","",IF(A837="[FÓRMULA MANUAL]","",IFERROR(AVERAGEIFS(nNOTA,nNIA,A837,nCUENTA,1,nASIG,"Lenguaje Musical"),"")))</f>
        <v/>
      </c>
      <c r="C837" t="str">
        <f>IF(A837="","",IF(A837="[FÓRMULA MANUAL]","",IFERROR(AVERAGEIFS(nNOTA,nNIA,A837,nCUENTA,1,nASIG,"Orquesta/Banda/Conjunto"),"")))</f>
        <v/>
      </c>
      <c r="D837" t="str">
        <f>IF(A837="","",IF(A837="[FÓRMULA MANUAL]","",IFERROR(AVERAGEIFS(nNOTA,nNIA,A837,nCUENTA,1,nASIG,"Conjunto"),"")))</f>
        <v/>
      </c>
      <c r="E837" t="str">
        <f>IF(A837="","",IF(A837="[FÓRMULA MANUAL]","",IFERROR(SUMPRODUCT((nNIA=A837)*(nCUENTA=1)*(COUNTIF(CONFIG_ASIGNATURAS!$B$7:$B$27,nASIG)&gt;0)*(nNOTA))/SUMPRODUCT((nNIA=A837)*(nCUENTA=1)*(COUNTIF(CONFIG_ASIGNATURAS!$B$7:$B$27,nASIG)&gt;0)*1),"")))</f>
        <v/>
      </c>
      <c r="H837" t="str">
        <f>IF(G837="","",IF(G837="[FÓRMULA MANUAL]","",IFERROR(AVERAGEIFS(nNOTA,nNIA,G837,nCUENTA,1,nASIG,"Lenguaje Musical"),"")))</f>
        <v/>
      </c>
      <c r="I837" t="str">
        <f>IF(G837="","",IF(G837="[FÓRMULA MANUAL]","",IFERROR(AVERAGEIFS(nNOTA,nNIA,G837,nCUENTA,1,nASIG,"Orquesta/Banda/Conjunto"),"")))</f>
        <v/>
      </c>
      <c r="J837" t="str">
        <f>IF(G837="","",IF(G837="[FÓRMULA MANUAL]","",IFERROR(AVERAGEIFS(nNOTA,nNIA,G837,nCUENTA,1,nASIG,"Conjunto"),"")))</f>
        <v/>
      </c>
      <c r="K837" t="str">
        <f>IF(G837="","",IF(G837="[FÓRMULA MANUAL]","",IFERROR(SUMPRODUCT((nNIA=G837)*(nCUENTA=1)*(COUNTIF(CONFIG_ASIGNATURAS!$B$7:$B$27,nASIG)&gt;0)*(nNOTA))/SUMPRODUCT((nNIA=G837)*(nCUENTA=1)*(COUNTIF(CONFIG_ASIGNATURAS!$B$7:$B$27,nASIG)&gt;0)*1),"")))</f>
        <v/>
      </c>
      <c r="N837" t="str">
        <f>IF(M837="","",IF(M837="[FÓRMULA MANUAL]","",IFERROR(AVERAGEIFS(nNOTA,nNIA,M837,nCUENTA,1,nASIG,"Armonía"),"")))</f>
        <v/>
      </c>
      <c r="O837" t="str">
        <f>IF(M837="","",IF(M837="[FÓRMULA MANUAL]","",IFERROR(AVERAGEIFS(nNOTA,nNIA,M837,nCUENTA,1,nASIG,"Orquesta/Banda/Conjunto"),"")))</f>
        <v/>
      </c>
      <c r="P837" t="str">
        <f>IF(M837="","",IF(M837="[FÓRMULA MANUAL]","",IFERROR(AVERAGEIFS(nNOTA,nNIA,M837,nCUENTA,1,nASIG,"Música de Cámara"),"")))</f>
        <v/>
      </c>
      <c r="Q837" t="str">
        <f>IF(M837="","",IF(M837="[FÓRMULA MANUAL]","",IFERROR(SUMPRODUCT((nNIA=M837)*(nCUENTA=1)*(COUNTIF(CONFIG_ASIGNATURAS!$B$7:$B$27,nASIG)&gt;0)*(nNOTA))/SUMPRODUCT((nNIA=M837)*(nCUENTA=1)*(COUNTIF(CONFIG_ASIGNATURAS!$B$7:$B$27,nASIG)&gt;0)*1),"")))</f>
        <v/>
      </c>
      <c r="T837" t="str">
        <f>IF(S837="","",IF(S837="[FÓRMULA MANUAL]","",IFERROR(AVERAGEIFS(nNOTA,nNIA,S837,nCUENTA,1,nASIG,"Armonía"),"")))</f>
        <v/>
      </c>
      <c r="U837" t="str">
        <f>IF(S837="","",IF(S837="[FÓRMULA MANUAL]","",IFERROR(AVERAGEIFS(nNOTA,nNIA,S837,nCUENTA,1,nASIG,"Orquesta/Banda/Conjunto"),"")))</f>
        <v/>
      </c>
      <c r="V837" t="str">
        <f>IF(S837="","",IF(S837="[FÓRMULA MANUAL]","",IFERROR(AVERAGEIFS(nNOTA,nNIA,S837,nCUENTA,1,nASIG,"Música de Cámara"),"")))</f>
        <v/>
      </c>
      <c r="W837" t="str">
        <f>IF(S837="","",IF(S837="[FÓRMULA MANUAL]","",IFERROR(SUMPRODUCT((nNIA=S837)*(nCUENTA=1)*(COUNTIF(CONFIG_ASIGNATURAS!$B$7:$B$27,nASIG)&gt;0)*(nNOTA))/SUMPRODUCT((nNIA=S837)*(nCUENTA=1)*(COUNTIF(CONFIG_ASIGNATURAS!$B$7:$B$27,nASIG)&gt;0)*1),"")))</f>
        <v/>
      </c>
      <c r="Z837" t="str">
        <f>IF(Y837="","",IF(Y837="[FÓRMULA MANUAL]","",IFERROR(AVERAGEIFS(nNOTA,nNIA,Y837,nCUENTA,1,nASIG,"Análisis"),"")))</f>
        <v/>
      </c>
      <c r="AA837" t="str">
        <f>IF(Y837="","",IF(Y837="[FÓRMULA MANUAL]","",IFERROR(AVERAGEIFS(nNOTA,nNIA,Y837,nCUENTA,1,nASIG,"Orquesta/Banda/Conjunto"),"")))</f>
        <v/>
      </c>
      <c r="AB837" t="str">
        <f>IF(Y837="","",IF(Y837="[FÓRMULA MANUAL]","",IFERROR(AVERAGEIFS(nNOTA,nNIA,Y837,nCUENTA,1,nASIG,"Música de Cámara"),"")))</f>
        <v/>
      </c>
      <c r="AC837" t="str">
        <f>IF(Y837="","",IF(Y837="[FÓRMULA MANUAL]","",IFERROR(SUMPRODUCT((nNIA=Y837)*(nCUENTA=1)*(COUNTIF(CONFIG_ASIGNATURAS!$B$7:$B$27,nASIG)&gt;0)*(nNOTA))/SUMPRODUCT((nNIA=Y837)*(nCUENTA=1)*(COUNTIF(CONFIG_ASIGNATURAS!$B$7:$B$27,nASIG)&gt;0)*1),"")))</f>
        <v/>
      </c>
      <c r="AF837" t="str">
        <f>IF(AE837="","",IF(AE837="[FÓRMULA MANUAL]","",IFERROR(AVERAGEIFS(nNOTA,nNIA,AE837,nCUENTA,1,nASIG,"Análisis"),"")))</f>
        <v/>
      </c>
      <c r="AG837" t="str">
        <f>IF(AE837="","",IF(AE837="[FÓRMULA MANUAL]","",IFERROR(AVERAGEIFS(nNOTA,nNIA,AE837,nCUENTA,1,nASIG,"Orquesta/Banda/Conjunto"),"")))</f>
        <v/>
      </c>
      <c r="AH837" t="str">
        <f>IF(AE837="","",IF(AE837="[FÓRMULA MANUAL]","",IFERROR(AVERAGEIFS(nNOTA,nNIA,AE837,nCUENTA,1,nASIG,"Música de Cámara"),"")))</f>
        <v/>
      </c>
      <c r="AI837" t="str">
        <f>IF(AE837="","",IF(AE837="[FÓRMULA MANUAL]","",IFERROR(SUMPRODUCT((nNIA=AE837)*(nCUENTA=1)*(COUNTIF(CONFIG_ASIGNATURAS!$B$7:$B$27,nASIG)&gt;0)*(nNOTA))/SUMPRODUCT((nNIA=AE837)*(nCUENTA=1)*(COUNTIF(CONFIG_ASIGNATURAS!$B$7:$B$27,nASIG)&gt;0)*1),"")))</f>
        <v/>
      </c>
    </row>
    <row r="838" spans="2:35" x14ac:dyDescent="0.2">
      <c r="B838" t="str">
        <f>IF(A838="","",IF(A838="[FÓRMULA MANUAL]","",IFERROR(AVERAGEIFS(nNOTA,nNIA,A838,nCUENTA,1,nASIG,"Lenguaje Musical"),"")))</f>
        <v/>
      </c>
      <c r="C838" t="str">
        <f>IF(A838="","",IF(A838="[FÓRMULA MANUAL]","",IFERROR(AVERAGEIFS(nNOTA,nNIA,A838,nCUENTA,1,nASIG,"Orquesta/Banda/Conjunto"),"")))</f>
        <v/>
      </c>
      <c r="D838" t="str">
        <f>IF(A838="","",IF(A838="[FÓRMULA MANUAL]","",IFERROR(AVERAGEIFS(nNOTA,nNIA,A838,nCUENTA,1,nASIG,"Conjunto"),"")))</f>
        <v/>
      </c>
      <c r="E838" t="str">
        <f>IF(A838="","",IF(A838="[FÓRMULA MANUAL]","",IFERROR(SUMPRODUCT((nNIA=A838)*(nCUENTA=1)*(COUNTIF(CONFIG_ASIGNATURAS!$B$7:$B$27,nASIG)&gt;0)*(nNOTA))/SUMPRODUCT((nNIA=A838)*(nCUENTA=1)*(COUNTIF(CONFIG_ASIGNATURAS!$B$7:$B$27,nASIG)&gt;0)*1),"")))</f>
        <v/>
      </c>
      <c r="H838" t="str">
        <f>IF(G838="","",IF(G838="[FÓRMULA MANUAL]","",IFERROR(AVERAGEIFS(nNOTA,nNIA,G838,nCUENTA,1,nASIG,"Lenguaje Musical"),"")))</f>
        <v/>
      </c>
      <c r="I838" t="str">
        <f>IF(G838="","",IF(G838="[FÓRMULA MANUAL]","",IFERROR(AVERAGEIFS(nNOTA,nNIA,G838,nCUENTA,1,nASIG,"Orquesta/Banda/Conjunto"),"")))</f>
        <v/>
      </c>
      <c r="J838" t="str">
        <f>IF(G838="","",IF(G838="[FÓRMULA MANUAL]","",IFERROR(AVERAGEIFS(nNOTA,nNIA,G838,nCUENTA,1,nASIG,"Conjunto"),"")))</f>
        <v/>
      </c>
      <c r="K838" t="str">
        <f>IF(G838="","",IF(G838="[FÓRMULA MANUAL]","",IFERROR(SUMPRODUCT((nNIA=G838)*(nCUENTA=1)*(COUNTIF(CONFIG_ASIGNATURAS!$B$7:$B$27,nASIG)&gt;0)*(nNOTA))/SUMPRODUCT((nNIA=G838)*(nCUENTA=1)*(COUNTIF(CONFIG_ASIGNATURAS!$B$7:$B$27,nASIG)&gt;0)*1),"")))</f>
        <v/>
      </c>
      <c r="N838" t="str">
        <f>IF(M838="","",IF(M838="[FÓRMULA MANUAL]","",IFERROR(AVERAGEIFS(nNOTA,nNIA,M838,nCUENTA,1,nASIG,"Armonía"),"")))</f>
        <v/>
      </c>
      <c r="O838" t="str">
        <f>IF(M838="","",IF(M838="[FÓRMULA MANUAL]","",IFERROR(AVERAGEIFS(nNOTA,nNIA,M838,nCUENTA,1,nASIG,"Orquesta/Banda/Conjunto"),"")))</f>
        <v/>
      </c>
      <c r="P838" t="str">
        <f>IF(M838="","",IF(M838="[FÓRMULA MANUAL]","",IFERROR(AVERAGEIFS(nNOTA,nNIA,M838,nCUENTA,1,nASIG,"Música de Cámara"),"")))</f>
        <v/>
      </c>
      <c r="Q838" t="str">
        <f>IF(M838="","",IF(M838="[FÓRMULA MANUAL]","",IFERROR(SUMPRODUCT((nNIA=M838)*(nCUENTA=1)*(COUNTIF(CONFIG_ASIGNATURAS!$B$7:$B$27,nASIG)&gt;0)*(nNOTA))/SUMPRODUCT((nNIA=M838)*(nCUENTA=1)*(COUNTIF(CONFIG_ASIGNATURAS!$B$7:$B$27,nASIG)&gt;0)*1),"")))</f>
        <v/>
      </c>
      <c r="T838" t="str">
        <f>IF(S838="","",IF(S838="[FÓRMULA MANUAL]","",IFERROR(AVERAGEIFS(nNOTA,nNIA,S838,nCUENTA,1,nASIG,"Armonía"),"")))</f>
        <v/>
      </c>
      <c r="U838" t="str">
        <f>IF(S838="","",IF(S838="[FÓRMULA MANUAL]","",IFERROR(AVERAGEIFS(nNOTA,nNIA,S838,nCUENTA,1,nASIG,"Orquesta/Banda/Conjunto"),"")))</f>
        <v/>
      </c>
      <c r="V838" t="str">
        <f>IF(S838="","",IF(S838="[FÓRMULA MANUAL]","",IFERROR(AVERAGEIFS(nNOTA,nNIA,S838,nCUENTA,1,nASIG,"Música de Cámara"),"")))</f>
        <v/>
      </c>
      <c r="W838" t="str">
        <f>IF(S838="","",IF(S838="[FÓRMULA MANUAL]","",IFERROR(SUMPRODUCT((nNIA=S838)*(nCUENTA=1)*(COUNTIF(CONFIG_ASIGNATURAS!$B$7:$B$27,nASIG)&gt;0)*(nNOTA))/SUMPRODUCT((nNIA=S838)*(nCUENTA=1)*(COUNTIF(CONFIG_ASIGNATURAS!$B$7:$B$27,nASIG)&gt;0)*1),"")))</f>
        <v/>
      </c>
      <c r="Z838" t="str">
        <f>IF(Y838="","",IF(Y838="[FÓRMULA MANUAL]","",IFERROR(AVERAGEIFS(nNOTA,nNIA,Y838,nCUENTA,1,nASIG,"Análisis"),"")))</f>
        <v/>
      </c>
      <c r="AA838" t="str">
        <f>IF(Y838="","",IF(Y838="[FÓRMULA MANUAL]","",IFERROR(AVERAGEIFS(nNOTA,nNIA,Y838,nCUENTA,1,nASIG,"Orquesta/Banda/Conjunto"),"")))</f>
        <v/>
      </c>
      <c r="AB838" t="str">
        <f>IF(Y838="","",IF(Y838="[FÓRMULA MANUAL]","",IFERROR(AVERAGEIFS(nNOTA,nNIA,Y838,nCUENTA,1,nASIG,"Música de Cámara"),"")))</f>
        <v/>
      </c>
      <c r="AC838" t="str">
        <f>IF(Y838="","",IF(Y838="[FÓRMULA MANUAL]","",IFERROR(SUMPRODUCT((nNIA=Y838)*(nCUENTA=1)*(COUNTIF(CONFIG_ASIGNATURAS!$B$7:$B$27,nASIG)&gt;0)*(nNOTA))/SUMPRODUCT((nNIA=Y838)*(nCUENTA=1)*(COUNTIF(CONFIG_ASIGNATURAS!$B$7:$B$27,nASIG)&gt;0)*1),"")))</f>
        <v/>
      </c>
      <c r="AF838" t="str">
        <f>IF(AE838="","",IF(AE838="[FÓRMULA MANUAL]","",IFERROR(AVERAGEIFS(nNOTA,nNIA,AE838,nCUENTA,1,nASIG,"Análisis"),"")))</f>
        <v/>
      </c>
      <c r="AG838" t="str">
        <f>IF(AE838="","",IF(AE838="[FÓRMULA MANUAL]","",IFERROR(AVERAGEIFS(nNOTA,nNIA,AE838,nCUENTA,1,nASIG,"Orquesta/Banda/Conjunto"),"")))</f>
        <v/>
      </c>
      <c r="AH838" t="str">
        <f>IF(AE838="","",IF(AE838="[FÓRMULA MANUAL]","",IFERROR(AVERAGEIFS(nNOTA,nNIA,AE838,nCUENTA,1,nASIG,"Música de Cámara"),"")))</f>
        <v/>
      </c>
      <c r="AI838" t="str">
        <f>IF(AE838="","",IF(AE838="[FÓRMULA MANUAL]","",IFERROR(SUMPRODUCT((nNIA=AE838)*(nCUENTA=1)*(COUNTIF(CONFIG_ASIGNATURAS!$B$7:$B$27,nASIG)&gt;0)*(nNOTA))/SUMPRODUCT((nNIA=AE838)*(nCUENTA=1)*(COUNTIF(CONFIG_ASIGNATURAS!$B$7:$B$27,nASIG)&gt;0)*1),"")))</f>
        <v/>
      </c>
    </row>
    <row r="839" spans="2:35" x14ac:dyDescent="0.2">
      <c r="B839" t="str">
        <f>IF(A839="","",IF(A839="[FÓRMULA MANUAL]","",IFERROR(AVERAGEIFS(nNOTA,nNIA,A839,nCUENTA,1,nASIG,"Lenguaje Musical"),"")))</f>
        <v/>
      </c>
      <c r="C839" t="str">
        <f>IF(A839="","",IF(A839="[FÓRMULA MANUAL]","",IFERROR(AVERAGEIFS(nNOTA,nNIA,A839,nCUENTA,1,nASIG,"Orquesta/Banda/Conjunto"),"")))</f>
        <v/>
      </c>
      <c r="D839" t="str">
        <f>IF(A839="","",IF(A839="[FÓRMULA MANUAL]","",IFERROR(AVERAGEIFS(nNOTA,nNIA,A839,nCUENTA,1,nASIG,"Conjunto"),"")))</f>
        <v/>
      </c>
      <c r="E839" t="str">
        <f>IF(A839="","",IF(A839="[FÓRMULA MANUAL]","",IFERROR(SUMPRODUCT((nNIA=A839)*(nCUENTA=1)*(COUNTIF(CONFIG_ASIGNATURAS!$B$7:$B$27,nASIG)&gt;0)*(nNOTA))/SUMPRODUCT((nNIA=A839)*(nCUENTA=1)*(COUNTIF(CONFIG_ASIGNATURAS!$B$7:$B$27,nASIG)&gt;0)*1),"")))</f>
        <v/>
      </c>
      <c r="H839" t="str">
        <f>IF(G839="","",IF(G839="[FÓRMULA MANUAL]","",IFERROR(AVERAGEIFS(nNOTA,nNIA,G839,nCUENTA,1,nASIG,"Lenguaje Musical"),"")))</f>
        <v/>
      </c>
      <c r="I839" t="str">
        <f>IF(G839="","",IF(G839="[FÓRMULA MANUAL]","",IFERROR(AVERAGEIFS(nNOTA,nNIA,G839,nCUENTA,1,nASIG,"Orquesta/Banda/Conjunto"),"")))</f>
        <v/>
      </c>
      <c r="J839" t="str">
        <f>IF(G839="","",IF(G839="[FÓRMULA MANUAL]","",IFERROR(AVERAGEIFS(nNOTA,nNIA,G839,nCUENTA,1,nASIG,"Conjunto"),"")))</f>
        <v/>
      </c>
      <c r="K839" t="str">
        <f>IF(G839="","",IF(G839="[FÓRMULA MANUAL]","",IFERROR(SUMPRODUCT((nNIA=G839)*(nCUENTA=1)*(COUNTIF(CONFIG_ASIGNATURAS!$B$7:$B$27,nASIG)&gt;0)*(nNOTA))/SUMPRODUCT((nNIA=G839)*(nCUENTA=1)*(COUNTIF(CONFIG_ASIGNATURAS!$B$7:$B$27,nASIG)&gt;0)*1),"")))</f>
        <v/>
      </c>
      <c r="N839" t="str">
        <f>IF(M839="","",IF(M839="[FÓRMULA MANUAL]","",IFERROR(AVERAGEIFS(nNOTA,nNIA,M839,nCUENTA,1,nASIG,"Armonía"),"")))</f>
        <v/>
      </c>
      <c r="O839" t="str">
        <f>IF(M839="","",IF(M839="[FÓRMULA MANUAL]","",IFERROR(AVERAGEIFS(nNOTA,nNIA,M839,nCUENTA,1,nASIG,"Orquesta/Banda/Conjunto"),"")))</f>
        <v/>
      </c>
      <c r="P839" t="str">
        <f>IF(M839="","",IF(M839="[FÓRMULA MANUAL]","",IFERROR(AVERAGEIFS(nNOTA,nNIA,M839,nCUENTA,1,nASIG,"Música de Cámara"),"")))</f>
        <v/>
      </c>
      <c r="Q839" t="str">
        <f>IF(M839="","",IF(M839="[FÓRMULA MANUAL]","",IFERROR(SUMPRODUCT((nNIA=M839)*(nCUENTA=1)*(COUNTIF(CONFIG_ASIGNATURAS!$B$7:$B$27,nASIG)&gt;0)*(nNOTA))/SUMPRODUCT((nNIA=M839)*(nCUENTA=1)*(COUNTIF(CONFIG_ASIGNATURAS!$B$7:$B$27,nASIG)&gt;0)*1),"")))</f>
        <v/>
      </c>
      <c r="T839" t="str">
        <f>IF(S839="","",IF(S839="[FÓRMULA MANUAL]","",IFERROR(AVERAGEIFS(nNOTA,nNIA,S839,nCUENTA,1,nASIG,"Armonía"),"")))</f>
        <v/>
      </c>
      <c r="U839" t="str">
        <f>IF(S839="","",IF(S839="[FÓRMULA MANUAL]","",IFERROR(AVERAGEIFS(nNOTA,nNIA,S839,nCUENTA,1,nASIG,"Orquesta/Banda/Conjunto"),"")))</f>
        <v/>
      </c>
      <c r="V839" t="str">
        <f>IF(S839="","",IF(S839="[FÓRMULA MANUAL]","",IFERROR(AVERAGEIFS(nNOTA,nNIA,S839,nCUENTA,1,nASIG,"Música de Cámara"),"")))</f>
        <v/>
      </c>
      <c r="W839" t="str">
        <f>IF(S839="","",IF(S839="[FÓRMULA MANUAL]","",IFERROR(SUMPRODUCT((nNIA=S839)*(nCUENTA=1)*(COUNTIF(CONFIG_ASIGNATURAS!$B$7:$B$27,nASIG)&gt;0)*(nNOTA))/SUMPRODUCT((nNIA=S839)*(nCUENTA=1)*(COUNTIF(CONFIG_ASIGNATURAS!$B$7:$B$27,nASIG)&gt;0)*1),"")))</f>
        <v/>
      </c>
      <c r="Z839" t="str">
        <f>IF(Y839="","",IF(Y839="[FÓRMULA MANUAL]","",IFERROR(AVERAGEIFS(nNOTA,nNIA,Y839,nCUENTA,1,nASIG,"Análisis"),"")))</f>
        <v/>
      </c>
      <c r="AA839" t="str">
        <f>IF(Y839="","",IF(Y839="[FÓRMULA MANUAL]","",IFERROR(AVERAGEIFS(nNOTA,nNIA,Y839,nCUENTA,1,nASIG,"Orquesta/Banda/Conjunto"),"")))</f>
        <v/>
      </c>
      <c r="AB839" t="str">
        <f>IF(Y839="","",IF(Y839="[FÓRMULA MANUAL]","",IFERROR(AVERAGEIFS(nNOTA,nNIA,Y839,nCUENTA,1,nASIG,"Música de Cámara"),"")))</f>
        <v/>
      </c>
      <c r="AC839" t="str">
        <f>IF(Y839="","",IF(Y839="[FÓRMULA MANUAL]","",IFERROR(SUMPRODUCT((nNIA=Y839)*(nCUENTA=1)*(COUNTIF(CONFIG_ASIGNATURAS!$B$7:$B$27,nASIG)&gt;0)*(nNOTA))/SUMPRODUCT((nNIA=Y839)*(nCUENTA=1)*(COUNTIF(CONFIG_ASIGNATURAS!$B$7:$B$27,nASIG)&gt;0)*1),"")))</f>
        <v/>
      </c>
      <c r="AF839" t="str">
        <f>IF(AE839="","",IF(AE839="[FÓRMULA MANUAL]","",IFERROR(AVERAGEIFS(nNOTA,nNIA,AE839,nCUENTA,1,nASIG,"Análisis"),"")))</f>
        <v/>
      </c>
      <c r="AG839" t="str">
        <f>IF(AE839="","",IF(AE839="[FÓRMULA MANUAL]","",IFERROR(AVERAGEIFS(nNOTA,nNIA,AE839,nCUENTA,1,nASIG,"Orquesta/Banda/Conjunto"),"")))</f>
        <v/>
      </c>
      <c r="AH839" t="str">
        <f>IF(AE839="","",IF(AE839="[FÓRMULA MANUAL]","",IFERROR(AVERAGEIFS(nNOTA,nNIA,AE839,nCUENTA,1,nASIG,"Música de Cámara"),"")))</f>
        <v/>
      </c>
      <c r="AI839" t="str">
        <f>IF(AE839="","",IF(AE839="[FÓRMULA MANUAL]","",IFERROR(SUMPRODUCT((nNIA=AE839)*(nCUENTA=1)*(COUNTIF(CONFIG_ASIGNATURAS!$B$7:$B$27,nASIG)&gt;0)*(nNOTA))/SUMPRODUCT((nNIA=AE839)*(nCUENTA=1)*(COUNTIF(CONFIG_ASIGNATURAS!$B$7:$B$27,nASIG)&gt;0)*1),"")))</f>
        <v/>
      </c>
    </row>
    <row r="840" spans="2:35" x14ac:dyDescent="0.2">
      <c r="B840" t="str">
        <f>IF(A840="","",IF(A840="[FÓRMULA MANUAL]","",IFERROR(AVERAGEIFS(nNOTA,nNIA,A840,nCUENTA,1,nASIG,"Lenguaje Musical"),"")))</f>
        <v/>
      </c>
      <c r="C840" t="str">
        <f>IF(A840="","",IF(A840="[FÓRMULA MANUAL]","",IFERROR(AVERAGEIFS(nNOTA,nNIA,A840,nCUENTA,1,nASIG,"Orquesta/Banda/Conjunto"),"")))</f>
        <v/>
      </c>
      <c r="D840" t="str">
        <f>IF(A840="","",IF(A840="[FÓRMULA MANUAL]","",IFERROR(AVERAGEIFS(nNOTA,nNIA,A840,nCUENTA,1,nASIG,"Conjunto"),"")))</f>
        <v/>
      </c>
      <c r="E840" t="str">
        <f>IF(A840="","",IF(A840="[FÓRMULA MANUAL]","",IFERROR(SUMPRODUCT((nNIA=A840)*(nCUENTA=1)*(COUNTIF(CONFIG_ASIGNATURAS!$B$7:$B$27,nASIG)&gt;0)*(nNOTA))/SUMPRODUCT((nNIA=A840)*(nCUENTA=1)*(COUNTIF(CONFIG_ASIGNATURAS!$B$7:$B$27,nASIG)&gt;0)*1),"")))</f>
        <v/>
      </c>
      <c r="H840" t="str">
        <f>IF(G840="","",IF(G840="[FÓRMULA MANUAL]","",IFERROR(AVERAGEIFS(nNOTA,nNIA,G840,nCUENTA,1,nASIG,"Lenguaje Musical"),"")))</f>
        <v/>
      </c>
      <c r="I840" t="str">
        <f>IF(G840="","",IF(G840="[FÓRMULA MANUAL]","",IFERROR(AVERAGEIFS(nNOTA,nNIA,G840,nCUENTA,1,nASIG,"Orquesta/Banda/Conjunto"),"")))</f>
        <v/>
      </c>
      <c r="J840" t="str">
        <f>IF(G840="","",IF(G840="[FÓRMULA MANUAL]","",IFERROR(AVERAGEIFS(nNOTA,nNIA,G840,nCUENTA,1,nASIG,"Conjunto"),"")))</f>
        <v/>
      </c>
      <c r="K840" t="str">
        <f>IF(G840="","",IF(G840="[FÓRMULA MANUAL]","",IFERROR(SUMPRODUCT((nNIA=G840)*(nCUENTA=1)*(COUNTIF(CONFIG_ASIGNATURAS!$B$7:$B$27,nASIG)&gt;0)*(nNOTA))/SUMPRODUCT((nNIA=G840)*(nCUENTA=1)*(COUNTIF(CONFIG_ASIGNATURAS!$B$7:$B$27,nASIG)&gt;0)*1),"")))</f>
        <v/>
      </c>
      <c r="N840" t="str">
        <f>IF(M840="","",IF(M840="[FÓRMULA MANUAL]","",IFERROR(AVERAGEIFS(nNOTA,nNIA,M840,nCUENTA,1,nASIG,"Armonía"),"")))</f>
        <v/>
      </c>
      <c r="O840" t="str">
        <f>IF(M840="","",IF(M840="[FÓRMULA MANUAL]","",IFERROR(AVERAGEIFS(nNOTA,nNIA,M840,nCUENTA,1,nASIG,"Orquesta/Banda/Conjunto"),"")))</f>
        <v/>
      </c>
      <c r="P840" t="str">
        <f>IF(M840="","",IF(M840="[FÓRMULA MANUAL]","",IFERROR(AVERAGEIFS(nNOTA,nNIA,M840,nCUENTA,1,nASIG,"Música de Cámara"),"")))</f>
        <v/>
      </c>
      <c r="Q840" t="str">
        <f>IF(M840="","",IF(M840="[FÓRMULA MANUAL]","",IFERROR(SUMPRODUCT((nNIA=M840)*(nCUENTA=1)*(COUNTIF(CONFIG_ASIGNATURAS!$B$7:$B$27,nASIG)&gt;0)*(nNOTA))/SUMPRODUCT((nNIA=M840)*(nCUENTA=1)*(COUNTIF(CONFIG_ASIGNATURAS!$B$7:$B$27,nASIG)&gt;0)*1),"")))</f>
        <v/>
      </c>
      <c r="T840" t="str">
        <f>IF(S840="","",IF(S840="[FÓRMULA MANUAL]","",IFERROR(AVERAGEIFS(nNOTA,nNIA,S840,nCUENTA,1,nASIG,"Armonía"),"")))</f>
        <v/>
      </c>
      <c r="U840" t="str">
        <f>IF(S840="","",IF(S840="[FÓRMULA MANUAL]","",IFERROR(AVERAGEIFS(nNOTA,nNIA,S840,nCUENTA,1,nASIG,"Orquesta/Banda/Conjunto"),"")))</f>
        <v/>
      </c>
      <c r="V840" t="str">
        <f>IF(S840="","",IF(S840="[FÓRMULA MANUAL]","",IFERROR(AVERAGEIFS(nNOTA,nNIA,S840,nCUENTA,1,nASIG,"Música de Cámara"),"")))</f>
        <v/>
      </c>
      <c r="W840" t="str">
        <f>IF(S840="","",IF(S840="[FÓRMULA MANUAL]","",IFERROR(SUMPRODUCT((nNIA=S840)*(nCUENTA=1)*(COUNTIF(CONFIG_ASIGNATURAS!$B$7:$B$27,nASIG)&gt;0)*(nNOTA))/SUMPRODUCT((nNIA=S840)*(nCUENTA=1)*(COUNTIF(CONFIG_ASIGNATURAS!$B$7:$B$27,nASIG)&gt;0)*1),"")))</f>
        <v/>
      </c>
      <c r="Z840" t="str">
        <f>IF(Y840="","",IF(Y840="[FÓRMULA MANUAL]","",IFERROR(AVERAGEIFS(nNOTA,nNIA,Y840,nCUENTA,1,nASIG,"Análisis"),"")))</f>
        <v/>
      </c>
      <c r="AA840" t="str">
        <f>IF(Y840="","",IF(Y840="[FÓRMULA MANUAL]","",IFERROR(AVERAGEIFS(nNOTA,nNIA,Y840,nCUENTA,1,nASIG,"Orquesta/Banda/Conjunto"),"")))</f>
        <v/>
      </c>
      <c r="AB840" t="str">
        <f>IF(Y840="","",IF(Y840="[FÓRMULA MANUAL]","",IFERROR(AVERAGEIFS(nNOTA,nNIA,Y840,nCUENTA,1,nASIG,"Música de Cámara"),"")))</f>
        <v/>
      </c>
      <c r="AC840" t="str">
        <f>IF(Y840="","",IF(Y840="[FÓRMULA MANUAL]","",IFERROR(SUMPRODUCT((nNIA=Y840)*(nCUENTA=1)*(COUNTIF(CONFIG_ASIGNATURAS!$B$7:$B$27,nASIG)&gt;0)*(nNOTA))/SUMPRODUCT((nNIA=Y840)*(nCUENTA=1)*(COUNTIF(CONFIG_ASIGNATURAS!$B$7:$B$27,nASIG)&gt;0)*1),"")))</f>
        <v/>
      </c>
      <c r="AF840" t="str">
        <f>IF(AE840="","",IF(AE840="[FÓRMULA MANUAL]","",IFERROR(AVERAGEIFS(nNOTA,nNIA,AE840,nCUENTA,1,nASIG,"Análisis"),"")))</f>
        <v/>
      </c>
      <c r="AG840" t="str">
        <f>IF(AE840="","",IF(AE840="[FÓRMULA MANUAL]","",IFERROR(AVERAGEIFS(nNOTA,nNIA,AE840,nCUENTA,1,nASIG,"Orquesta/Banda/Conjunto"),"")))</f>
        <v/>
      </c>
      <c r="AH840" t="str">
        <f>IF(AE840="","",IF(AE840="[FÓRMULA MANUAL]","",IFERROR(AVERAGEIFS(nNOTA,nNIA,AE840,nCUENTA,1,nASIG,"Música de Cámara"),"")))</f>
        <v/>
      </c>
      <c r="AI840" t="str">
        <f>IF(AE840="","",IF(AE840="[FÓRMULA MANUAL]","",IFERROR(SUMPRODUCT((nNIA=AE840)*(nCUENTA=1)*(COUNTIF(CONFIG_ASIGNATURAS!$B$7:$B$27,nASIG)&gt;0)*(nNOTA))/SUMPRODUCT((nNIA=AE840)*(nCUENTA=1)*(COUNTIF(CONFIG_ASIGNATURAS!$B$7:$B$27,nASIG)&gt;0)*1),"")))</f>
        <v/>
      </c>
    </row>
    <row r="841" spans="2:35" x14ac:dyDescent="0.2">
      <c r="B841" t="str">
        <f>IF(A841="","",IF(A841="[FÓRMULA MANUAL]","",IFERROR(AVERAGEIFS(nNOTA,nNIA,A841,nCUENTA,1,nASIG,"Lenguaje Musical"),"")))</f>
        <v/>
      </c>
      <c r="C841" t="str">
        <f>IF(A841="","",IF(A841="[FÓRMULA MANUAL]","",IFERROR(AVERAGEIFS(nNOTA,nNIA,A841,nCUENTA,1,nASIG,"Orquesta/Banda/Conjunto"),"")))</f>
        <v/>
      </c>
      <c r="D841" t="str">
        <f>IF(A841="","",IF(A841="[FÓRMULA MANUAL]","",IFERROR(AVERAGEIFS(nNOTA,nNIA,A841,nCUENTA,1,nASIG,"Conjunto"),"")))</f>
        <v/>
      </c>
      <c r="E841" t="str">
        <f>IF(A841="","",IF(A841="[FÓRMULA MANUAL]","",IFERROR(SUMPRODUCT((nNIA=A841)*(nCUENTA=1)*(COUNTIF(CONFIG_ASIGNATURAS!$B$7:$B$27,nASIG)&gt;0)*(nNOTA))/SUMPRODUCT((nNIA=A841)*(nCUENTA=1)*(COUNTIF(CONFIG_ASIGNATURAS!$B$7:$B$27,nASIG)&gt;0)*1),"")))</f>
        <v/>
      </c>
      <c r="H841" t="str">
        <f>IF(G841="","",IF(G841="[FÓRMULA MANUAL]","",IFERROR(AVERAGEIFS(nNOTA,nNIA,G841,nCUENTA,1,nASIG,"Lenguaje Musical"),"")))</f>
        <v/>
      </c>
      <c r="I841" t="str">
        <f>IF(G841="","",IF(G841="[FÓRMULA MANUAL]","",IFERROR(AVERAGEIFS(nNOTA,nNIA,G841,nCUENTA,1,nASIG,"Orquesta/Banda/Conjunto"),"")))</f>
        <v/>
      </c>
      <c r="J841" t="str">
        <f>IF(G841="","",IF(G841="[FÓRMULA MANUAL]","",IFERROR(AVERAGEIFS(nNOTA,nNIA,G841,nCUENTA,1,nASIG,"Conjunto"),"")))</f>
        <v/>
      </c>
      <c r="K841" t="str">
        <f>IF(G841="","",IF(G841="[FÓRMULA MANUAL]","",IFERROR(SUMPRODUCT((nNIA=G841)*(nCUENTA=1)*(COUNTIF(CONFIG_ASIGNATURAS!$B$7:$B$27,nASIG)&gt;0)*(nNOTA))/SUMPRODUCT((nNIA=G841)*(nCUENTA=1)*(COUNTIF(CONFIG_ASIGNATURAS!$B$7:$B$27,nASIG)&gt;0)*1),"")))</f>
        <v/>
      </c>
      <c r="N841" t="str">
        <f>IF(M841="","",IF(M841="[FÓRMULA MANUAL]","",IFERROR(AVERAGEIFS(nNOTA,nNIA,M841,nCUENTA,1,nASIG,"Armonía"),"")))</f>
        <v/>
      </c>
      <c r="O841" t="str">
        <f>IF(M841="","",IF(M841="[FÓRMULA MANUAL]","",IFERROR(AVERAGEIFS(nNOTA,nNIA,M841,nCUENTA,1,nASIG,"Orquesta/Banda/Conjunto"),"")))</f>
        <v/>
      </c>
      <c r="P841" t="str">
        <f>IF(M841="","",IF(M841="[FÓRMULA MANUAL]","",IFERROR(AVERAGEIFS(nNOTA,nNIA,M841,nCUENTA,1,nASIG,"Música de Cámara"),"")))</f>
        <v/>
      </c>
      <c r="Q841" t="str">
        <f>IF(M841="","",IF(M841="[FÓRMULA MANUAL]","",IFERROR(SUMPRODUCT((nNIA=M841)*(nCUENTA=1)*(COUNTIF(CONFIG_ASIGNATURAS!$B$7:$B$27,nASIG)&gt;0)*(nNOTA))/SUMPRODUCT((nNIA=M841)*(nCUENTA=1)*(COUNTIF(CONFIG_ASIGNATURAS!$B$7:$B$27,nASIG)&gt;0)*1),"")))</f>
        <v/>
      </c>
      <c r="T841" t="str">
        <f>IF(S841="","",IF(S841="[FÓRMULA MANUAL]","",IFERROR(AVERAGEIFS(nNOTA,nNIA,S841,nCUENTA,1,nASIG,"Armonía"),"")))</f>
        <v/>
      </c>
      <c r="U841" t="str">
        <f>IF(S841="","",IF(S841="[FÓRMULA MANUAL]","",IFERROR(AVERAGEIFS(nNOTA,nNIA,S841,nCUENTA,1,nASIG,"Orquesta/Banda/Conjunto"),"")))</f>
        <v/>
      </c>
      <c r="V841" t="str">
        <f>IF(S841="","",IF(S841="[FÓRMULA MANUAL]","",IFERROR(AVERAGEIFS(nNOTA,nNIA,S841,nCUENTA,1,nASIG,"Música de Cámara"),"")))</f>
        <v/>
      </c>
      <c r="W841" t="str">
        <f>IF(S841="","",IF(S841="[FÓRMULA MANUAL]","",IFERROR(SUMPRODUCT((nNIA=S841)*(nCUENTA=1)*(COUNTIF(CONFIG_ASIGNATURAS!$B$7:$B$27,nASIG)&gt;0)*(nNOTA))/SUMPRODUCT((nNIA=S841)*(nCUENTA=1)*(COUNTIF(CONFIG_ASIGNATURAS!$B$7:$B$27,nASIG)&gt;0)*1),"")))</f>
        <v/>
      </c>
      <c r="Z841" t="str">
        <f>IF(Y841="","",IF(Y841="[FÓRMULA MANUAL]","",IFERROR(AVERAGEIFS(nNOTA,nNIA,Y841,nCUENTA,1,nASIG,"Análisis"),"")))</f>
        <v/>
      </c>
      <c r="AA841" t="str">
        <f>IF(Y841="","",IF(Y841="[FÓRMULA MANUAL]","",IFERROR(AVERAGEIFS(nNOTA,nNIA,Y841,nCUENTA,1,nASIG,"Orquesta/Banda/Conjunto"),"")))</f>
        <v/>
      </c>
      <c r="AB841" t="str">
        <f>IF(Y841="","",IF(Y841="[FÓRMULA MANUAL]","",IFERROR(AVERAGEIFS(nNOTA,nNIA,Y841,nCUENTA,1,nASIG,"Música de Cámara"),"")))</f>
        <v/>
      </c>
      <c r="AC841" t="str">
        <f>IF(Y841="","",IF(Y841="[FÓRMULA MANUAL]","",IFERROR(SUMPRODUCT((nNIA=Y841)*(nCUENTA=1)*(COUNTIF(CONFIG_ASIGNATURAS!$B$7:$B$27,nASIG)&gt;0)*(nNOTA))/SUMPRODUCT((nNIA=Y841)*(nCUENTA=1)*(COUNTIF(CONFIG_ASIGNATURAS!$B$7:$B$27,nASIG)&gt;0)*1),"")))</f>
        <v/>
      </c>
      <c r="AF841" t="str">
        <f>IF(AE841="","",IF(AE841="[FÓRMULA MANUAL]","",IFERROR(AVERAGEIFS(nNOTA,nNIA,AE841,nCUENTA,1,nASIG,"Análisis"),"")))</f>
        <v/>
      </c>
      <c r="AG841" t="str">
        <f>IF(AE841="","",IF(AE841="[FÓRMULA MANUAL]","",IFERROR(AVERAGEIFS(nNOTA,nNIA,AE841,nCUENTA,1,nASIG,"Orquesta/Banda/Conjunto"),"")))</f>
        <v/>
      </c>
      <c r="AH841" t="str">
        <f>IF(AE841="","",IF(AE841="[FÓRMULA MANUAL]","",IFERROR(AVERAGEIFS(nNOTA,nNIA,AE841,nCUENTA,1,nASIG,"Música de Cámara"),"")))</f>
        <v/>
      </c>
      <c r="AI841" t="str">
        <f>IF(AE841="","",IF(AE841="[FÓRMULA MANUAL]","",IFERROR(SUMPRODUCT((nNIA=AE841)*(nCUENTA=1)*(COUNTIF(CONFIG_ASIGNATURAS!$B$7:$B$27,nASIG)&gt;0)*(nNOTA))/SUMPRODUCT((nNIA=AE841)*(nCUENTA=1)*(COUNTIF(CONFIG_ASIGNATURAS!$B$7:$B$27,nASIG)&gt;0)*1),"")))</f>
        <v/>
      </c>
    </row>
    <row r="842" spans="2:35" x14ac:dyDescent="0.2">
      <c r="B842" t="str">
        <f>IF(A842="","",IF(A842="[FÓRMULA MANUAL]","",IFERROR(AVERAGEIFS(nNOTA,nNIA,A842,nCUENTA,1,nASIG,"Lenguaje Musical"),"")))</f>
        <v/>
      </c>
      <c r="C842" t="str">
        <f>IF(A842="","",IF(A842="[FÓRMULA MANUAL]","",IFERROR(AVERAGEIFS(nNOTA,nNIA,A842,nCUENTA,1,nASIG,"Orquesta/Banda/Conjunto"),"")))</f>
        <v/>
      </c>
      <c r="D842" t="str">
        <f>IF(A842="","",IF(A842="[FÓRMULA MANUAL]","",IFERROR(AVERAGEIFS(nNOTA,nNIA,A842,nCUENTA,1,nASIG,"Conjunto"),"")))</f>
        <v/>
      </c>
      <c r="E842" t="str">
        <f>IF(A842="","",IF(A842="[FÓRMULA MANUAL]","",IFERROR(SUMPRODUCT((nNIA=A842)*(nCUENTA=1)*(COUNTIF(CONFIG_ASIGNATURAS!$B$7:$B$27,nASIG)&gt;0)*(nNOTA))/SUMPRODUCT((nNIA=A842)*(nCUENTA=1)*(COUNTIF(CONFIG_ASIGNATURAS!$B$7:$B$27,nASIG)&gt;0)*1),"")))</f>
        <v/>
      </c>
      <c r="H842" t="str">
        <f>IF(G842="","",IF(G842="[FÓRMULA MANUAL]","",IFERROR(AVERAGEIFS(nNOTA,nNIA,G842,nCUENTA,1,nASIG,"Lenguaje Musical"),"")))</f>
        <v/>
      </c>
      <c r="I842" t="str">
        <f>IF(G842="","",IF(G842="[FÓRMULA MANUAL]","",IFERROR(AVERAGEIFS(nNOTA,nNIA,G842,nCUENTA,1,nASIG,"Orquesta/Banda/Conjunto"),"")))</f>
        <v/>
      </c>
      <c r="J842" t="str">
        <f>IF(G842="","",IF(G842="[FÓRMULA MANUAL]","",IFERROR(AVERAGEIFS(nNOTA,nNIA,G842,nCUENTA,1,nASIG,"Conjunto"),"")))</f>
        <v/>
      </c>
      <c r="K842" t="str">
        <f>IF(G842="","",IF(G842="[FÓRMULA MANUAL]","",IFERROR(SUMPRODUCT((nNIA=G842)*(nCUENTA=1)*(COUNTIF(CONFIG_ASIGNATURAS!$B$7:$B$27,nASIG)&gt;0)*(nNOTA))/SUMPRODUCT((nNIA=G842)*(nCUENTA=1)*(COUNTIF(CONFIG_ASIGNATURAS!$B$7:$B$27,nASIG)&gt;0)*1),"")))</f>
        <v/>
      </c>
      <c r="N842" t="str">
        <f>IF(M842="","",IF(M842="[FÓRMULA MANUAL]","",IFERROR(AVERAGEIFS(nNOTA,nNIA,M842,nCUENTA,1,nASIG,"Armonía"),"")))</f>
        <v/>
      </c>
      <c r="O842" t="str">
        <f>IF(M842="","",IF(M842="[FÓRMULA MANUAL]","",IFERROR(AVERAGEIFS(nNOTA,nNIA,M842,nCUENTA,1,nASIG,"Orquesta/Banda/Conjunto"),"")))</f>
        <v/>
      </c>
      <c r="P842" t="str">
        <f>IF(M842="","",IF(M842="[FÓRMULA MANUAL]","",IFERROR(AVERAGEIFS(nNOTA,nNIA,M842,nCUENTA,1,nASIG,"Música de Cámara"),"")))</f>
        <v/>
      </c>
      <c r="Q842" t="str">
        <f>IF(M842="","",IF(M842="[FÓRMULA MANUAL]","",IFERROR(SUMPRODUCT((nNIA=M842)*(nCUENTA=1)*(COUNTIF(CONFIG_ASIGNATURAS!$B$7:$B$27,nASIG)&gt;0)*(nNOTA))/SUMPRODUCT((nNIA=M842)*(nCUENTA=1)*(COUNTIF(CONFIG_ASIGNATURAS!$B$7:$B$27,nASIG)&gt;0)*1),"")))</f>
        <v/>
      </c>
      <c r="T842" t="str">
        <f>IF(S842="","",IF(S842="[FÓRMULA MANUAL]","",IFERROR(AVERAGEIFS(nNOTA,nNIA,S842,nCUENTA,1,nASIG,"Armonía"),"")))</f>
        <v/>
      </c>
      <c r="U842" t="str">
        <f>IF(S842="","",IF(S842="[FÓRMULA MANUAL]","",IFERROR(AVERAGEIFS(nNOTA,nNIA,S842,nCUENTA,1,nASIG,"Orquesta/Banda/Conjunto"),"")))</f>
        <v/>
      </c>
      <c r="V842" t="str">
        <f>IF(S842="","",IF(S842="[FÓRMULA MANUAL]","",IFERROR(AVERAGEIFS(nNOTA,nNIA,S842,nCUENTA,1,nASIG,"Música de Cámara"),"")))</f>
        <v/>
      </c>
      <c r="W842" t="str">
        <f>IF(S842="","",IF(S842="[FÓRMULA MANUAL]","",IFERROR(SUMPRODUCT((nNIA=S842)*(nCUENTA=1)*(COUNTIF(CONFIG_ASIGNATURAS!$B$7:$B$27,nASIG)&gt;0)*(nNOTA))/SUMPRODUCT((nNIA=S842)*(nCUENTA=1)*(COUNTIF(CONFIG_ASIGNATURAS!$B$7:$B$27,nASIG)&gt;0)*1),"")))</f>
        <v/>
      </c>
      <c r="Z842" t="str">
        <f>IF(Y842="","",IF(Y842="[FÓRMULA MANUAL]","",IFERROR(AVERAGEIFS(nNOTA,nNIA,Y842,nCUENTA,1,nASIG,"Análisis"),"")))</f>
        <v/>
      </c>
      <c r="AA842" t="str">
        <f>IF(Y842="","",IF(Y842="[FÓRMULA MANUAL]","",IFERROR(AVERAGEIFS(nNOTA,nNIA,Y842,nCUENTA,1,nASIG,"Orquesta/Banda/Conjunto"),"")))</f>
        <v/>
      </c>
      <c r="AB842" t="str">
        <f>IF(Y842="","",IF(Y842="[FÓRMULA MANUAL]","",IFERROR(AVERAGEIFS(nNOTA,nNIA,Y842,nCUENTA,1,nASIG,"Música de Cámara"),"")))</f>
        <v/>
      </c>
      <c r="AC842" t="str">
        <f>IF(Y842="","",IF(Y842="[FÓRMULA MANUAL]","",IFERROR(SUMPRODUCT((nNIA=Y842)*(nCUENTA=1)*(COUNTIF(CONFIG_ASIGNATURAS!$B$7:$B$27,nASIG)&gt;0)*(nNOTA))/SUMPRODUCT((nNIA=Y842)*(nCUENTA=1)*(COUNTIF(CONFIG_ASIGNATURAS!$B$7:$B$27,nASIG)&gt;0)*1),"")))</f>
        <v/>
      </c>
      <c r="AF842" t="str">
        <f>IF(AE842="","",IF(AE842="[FÓRMULA MANUAL]","",IFERROR(AVERAGEIFS(nNOTA,nNIA,AE842,nCUENTA,1,nASIG,"Análisis"),"")))</f>
        <v/>
      </c>
      <c r="AG842" t="str">
        <f>IF(AE842="","",IF(AE842="[FÓRMULA MANUAL]","",IFERROR(AVERAGEIFS(nNOTA,nNIA,AE842,nCUENTA,1,nASIG,"Orquesta/Banda/Conjunto"),"")))</f>
        <v/>
      </c>
      <c r="AH842" t="str">
        <f>IF(AE842="","",IF(AE842="[FÓRMULA MANUAL]","",IFERROR(AVERAGEIFS(nNOTA,nNIA,AE842,nCUENTA,1,nASIG,"Música de Cámara"),"")))</f>
        <v/>
      </c>
      <c r="AI842" t="str">
        <f>IF(AE842="","",IF(AE842="[FÓRMULA MANUAL]","",IFERROR(SUMPRODUCT((nNIA=AE842)*(nCUENTA=1)*(COUNTIF(CONFIG_ASIGNATURAS!$B$7:$B$27,nASIG)&gt;0)*(nNOTA))/SUMPRODUCT((nNIA=AE842)*(nCUENTA=1)*(COUNTIF(CONFIG_ASIGNATURAS!$B$7:$B$27,nASIG)&gt;0)*1),"")))</f>
        <v/>
      </c>
    </row>
    <row r="843" spans="2:35" x14ac:dyDescent="0.2">
      <c r="B843" t="str">
        <f>IF(A843="","",IF(A843="[FÓRMULA MANUAL]","",IFERROR(AVERAGEIFS(nNOTA,nNIA,A843,nCUENTA,1,nASIG,"Lenguaje Musical"),"")))</f>
        <v/>
      </c>
      <c r="C843" t="str">
        <f>IF(A843="","",IF(A843="[FÓRMULA MANUAL]","",IFERROR(AVERAGEIFS(nNOTA,nNIA,A843,nCUENTA,1,nASIG,"Orquesta/Banda/Conjunto"),"")))</f>
        <v/>
      </c>
      <c r="D843" t="str">
        <f>IF(A843="","",IF(A843="[FÓRMULA MANUAL]","",IFERROR(AVERAGEIFS(nNOTA,nNIA,A843,nCUENTA,1,nASIG,"Conjunto"),"")))</f>
        <v/>
      </c>
      <c r="E843" t="str">
        <f>IF(A843="","",IF(A843="[FÓRMULA MANUAL]","",IFERROR(SUMPRODUCT((nNIA=A843)*(nCUENTA=1)*(COUNTIF(CONFIG_ASIGNATURAS!$B$7:$B$27,nASIG)&gt;0)*(nNOTA))/SUMPRODUCT((nNIA=A843)*(nCUENTA=1)*(COUNTIF(CONFIG_ASIGNATURAS!$B$7:$B$27,nASIG)&gt;0)*1),"")))</f>
        <v/>
      </c>
      <c r="H843" t="str">
        <f>IF(G843="","",IF(G843="[FÓRMULA MANUAL]","",IFERROR(AVERAGEIFS(nNOTA,nNIA,G843,nCUENTA,1,nASIG,"Lenguaje Musical"),"")))</f>
        <v/>
      </c>
      <c r="I843" t="str">
        <f>IF(G843="","",IF(G843="[FÓRMULA MANUAL]","",IFERROR(AVERAGEIFS(nNOTA,nNIA,G843,nCUENTA,1,nASIG,"Orquesta/Banda/Conjunto"),"")))</f>
        <v/>
      </c>
      <c r="J843" t="str">
        <f>IF(G843="","",IF(G843="[FÓRMULA MANUAL]","",IFERROR(AVERAGEIFS(nNOTA,nNIA,G843,nCUENTA,1,nASIG,"Conjunto"),"")))</f>
        <v/>
      </c>
      <c r="K843" t="str">
        <f>IF(G843="","",IF(G843="[FÓRMULA MANUAL]","",IFERROR(SUMPRODUCT((nNIA=G843)*(nCUENTA=1)*(COUNTIF(CONFIG_ASIGNATURAS!$B$7:$B$27,nASIG)&gt;0)*(nNOTA))/SUMPRODUCT((nNIA=G843)*(nCUENTA=1)*(COUNTIF(CONFIG_ASIGNATURAS!$B$7:$B$27,nASIG)&gt;0)*1),"")))</f>
        <v/>
      </c>
      <c r="N843" t="str">
        <f>IF(M843="","",IF(M843="[FÓRMULA MANUAL]","",IFERROR(AVERAGEIFS(nNOTA,nNIA,M843,nCUENTA,1,nASIG,"Armonía"),"")))</f>
        <v/>
      </c>
      <c r="O843" t="str">
        <f>IF(M843="","",IF(M843="[FÓRMULA MANUAL]","",IFERROR(AVERAGEIFS(nNOTA,nNIA,M843,nCUENTA,1,nASIG,"Orquesta/Banda/Conjunto"),"")))</f>
        <v/>
      </c>
      <c r="P843" t="str">
        <f>IF(M843="","",IF(M843="[FÓRMULA MANUAL]","",IFERROR(AVERAGEIFS(nNOTA,nNIA,M843,nCUENTA,1,nASIG,"Música de Cámara"),"")))</f>
        <v/>
      </c>
      <c r="Q843" t="str">
        <f>IF(M843="","",IF(M843="[FÓRMULA MANUAL]","",IFERROR(SUMPRODUCT((nNIA=M843)*(nCUENTA=1)*(COUNTIF(CONFIG_ASIGNATURAS!$B$7:$B$27,nASIG)&gt;0)*(nNOTA))/SUMPRODUCT((nNIA=M843)*(nCUENTA=1)*(COUNTIF(CONFIG_ASIGNATURAS!$B$7:$B$27,nASIG)&gt;0)*1),"")))</f>
        <v/>
      </c>
      <c r="T843" t="str">
        <f>IF(S843="","",IF(S843="[FÓRMULA MANUAL]","",IFERROR(AVERAGEIFS(nNOTA,nNIA,S843,nCUENTA,1,nASIG,"Armonía"),"")))</f>
        <v/>
      </c>
      <c r="U843" t="str">
        <f>IF(S843="","",IF(S843="[FÓRMULA MANUAL]","",IFERROR(AVERAGEIFS(nNOTA,nNIA,S843,nCUENTA,1,nASIG,"Orquesta/Banda/Conjunto"),"")))</f>
        <v/>
      </c>
      <c r="V843" t="str">
        <f>IF(S843="","",IF(S843="[FÓRMULA MANUAL]","",IFERROR(AVERAGEIFS(nNOTA,nNIA,S843,nCUENTA,1,nASIG,"Música de Cámara"),"")))</f>
        <v/>
      </c>
      <c r="W843" t="str">
        <f>IF(S843="","",IF(S843="[FÓRMULA MANUAL]","",IFERROR(SUMPRODUCT((nNIA=S843)*(nCUENTA=1)*(COUNTIF(CONFIG_ASIGNATURAS!$B$7:$B$27,nASIG)&gt;0)*(nNOTA))/SUMPRODUCT((nNIA=S843)*(nCUENTA=1)*(COUNTIF(CONFIG_ASIGNATURAS!$B$7:$B$27,nASIG)&gt;0)*1),"")))</f>
        <v/>
      </c>
      <c r="Z843" t="str">
        <f>IF(Y843="","",IF(Y843="[FÓRMULA MANUAL]","",IFERROR(AVERAGEIFS(nNOTA,nNIA,Y843,nCUENTA,1,nASIG,"Análisis"),"")))</f>
        <v/>
      </c>
      <c r="AA843" t="str">
        <f>IF(Y843="","",IF(Y843="[FÓRMULA MANUAL]","",IFERROR(AVERAGEIFS(nNOTA,nNIA,Y843,nCUENTA,1,nASIG,"Orquesta/Banda/Conjunto"),"")))</f>
        <v/>
      </c>
      <c r="AB843" t="str">
        <f>IF(Y843="","",IF(Y843="[FÓRMULA MANUAL]","",IFERROR(AVERAGEIFS(nNOTA,nNIA,Y843,nCUENTA,1,nASIG,"Música de Cámara"),"")))</f>
        <v/>
      </c>
      <c r="AC843" t="str">
        <f>IF(Y843="","",IF(Y843="[FÓRMULA MANUAL]","",IFERROR(SUMPRODUCT((nNIA=Y843)*(nCUENTA=1)*(COUNTIF(CONFIG_ASIGNATURAS!$B$7:$B$27,nASIG)&gt;0)*(nNOTA))/SUMPRODUCT((nNIA=Y843)*(nCUENTA=1)*(COUNTIF(CONFIG_ASIGNATURAS!$B$7:$B$27,nASIG)&gt;0)*1),"")))</f>
        <v/>
      </c>
      <c r="AF843" t="str">
        <f>IF(AE843="","",IF(AE843="[FÓRMULA MANUAL]","",IFERROR(AVERAGEIFS(nNOTA,nNIA,AE843,nCUENTA,1,nASIG,"Análisis"),"")))</f>
        <v/>
      </c>
      <c r="AG843" t="str">
        <f>IF(AE843="","",IF(AE843="[FÓRMULA MANUAL]","",IFERROR(AVERAGEIFS(nNOTA,nNIA,AE843,nCUENTA,1,nASIG,"Orquesta/Banda/Conjunto"),"")))</f>
        <v/>
      </c>
      <c r="AH843" t="str">
        <f>IF(AE843="","",IF(AE843="[FÓRMULA MANUAL]","",IFERROR(AVERAGEIFS(nNOTA,nNIA,AE843,nCUENTA,1,nASIG,"Música de Cámara"),"")))</f>
        <v/>
      </c>
      <c r="AI843" t="str">
        <f>IF(AE843="","",IF(AE843="[FÓRMULA MANUAL]","",IFERROR(SUMPRODUCT((nNIA=AE843)*(nCUENTA=1)*(COUNTIF(CONFIG_ASIGNATURAS!$B$7:$B$27,nASIG)&gt;0)*(nNOTA))/SUMPRODUCT((nNIA=AE843)*(nCUENTA=1)*(COUNTIF(CONFIG_ASIGNATURAS!$B$7:$B$27,nASIG)&gt;0)*1),"")))</f>
        <v/>
      </c>
    </row>
    <row r="844" spans="2:35" x14ac:dyDescent="0.2">
      <c r="B844" t="str">
        <f>IF(A844="","",IF(A844="[FÓRMULA MANUAL]","",IFERROR(AVERAGEIFS(nNOTA,nNIA,A844,nCUENTA,1,nASIG,"Lenguaje Musical"),"")))</f>
        <v/>
      </c>
      <c r="C844" t="str">
        <f>IF(A844="","",IF(A844="[FÓRMULA MANUAL]","",IFERROR(AVERAGEIFS(nNOTA,nNIA,A844,nCUENTA,1,nASIG,"Orquesta/Banda/Conjunto"),"")))</f>
        <v/>
      </c>
      <c r="D844" t="str">
        <f>IF(A844="","",IF(A844="[FÓRMULA MANUAL]","",IFERROR(AVERAGEIFS(nNOTA,nNIA,A844,nCUENTA,1,nASIG,"Conjunto"),"")))</f>
        <v/>
      </c>
      <c r="E844" t="str">
        <f>IF(A844="","",IF(A844="[FÓRMULA MANUAL]","",IFERROR(SUMPRODUCT((nNIA=A844)*(nCUENTA=1)*(COUNTIF(CONFIG_ASIGNATURAS!$B$7:$B$27,nASIG)&gt;0)*(nNOTA))/SUMPRODUCT((nNIA=A844)*(nCUENTA=1)*(COUNTIF(CONFIG_ASIGNATURAS!$B$7:$B$27,nASIG)&gt;0)*1),"")))</f>
        <v/>
      </c>
      <c r="H844" t="str">
        <f>IF(G844="","",IF(G844="[FÓRMULA MANUAL]","",IFERROR(AVERAGEIFS(nNOTA,nNIA,G844,nCUENTA,1,nASIG,"Lenguaje Musical"),"")))</f>
        <v/>
      </c>
      <c r="I844" t="str">
        <f>IF(G844="","",IF(G844="[FÓRMULA MANUAL]","",IFERROR(AVERAGEIFS(nNOTA,nNIA,G844,nCUENTA,1,nASIG,"Orquesta/Banda/Conjunto"),"")))</f>
        <v/>
      </c>
      <c r="J844" t="str">
        <f>IF(G844="","",IF(G844="[FÓRMULA MANUAL]","",IFERROR(AVERAGEIFS(nNOTA,nNIA,G844,nCUENTA,1,nASIG,"Conjunto"),"")))</f>
        <v/>
      </c>
      <c r="K844" t="str">
        <f>IF(G844="","",IF(G844="[FÓRMULA MANUAL]","",IFERROR(SUMPRODUCT((nNIA=G844)*(nCUENTA=1)*(COUNTIF(CONFIG_ASIGNATURAS!$B$7:$B$27,nASIG)&gt;0)*(nNOTA))/SUMPRODUCT((nNIA=G844)*(nCUENTA=1)*(COUNTIF(CONFIG_ASIGNATURAS!$B$7:$B$27,nASIG)&gt;0)*1),"")))</f>
        <v/>
      </c>
      <c r="N844" t="str">
        <f>IF(M844="","",IF(M844="[FÓRMULA MANUAL]","",IFERROR(AVERAGEIFS(nNOTA,nNIA,M844,nCUENTA,1,nASIG,"Armonía"),"")))</f>
        <v/>
      </c>
      <c r="O844" t="str">
        <f>IF(M844="","",IF(M844="[FÓRMULA MANUAL]","",IFERROR(AVERAGEIFS(nNOTA,nNIA,M844,nCUENTA,1,nASIG,"Orquesta/Banda/Conjunto"),"")))</f>
        <v/>
      </c>
      <c r="P844" t="str">
        <f>IF(M844="","",IF(M844="[FÓRMULA MANUAL]","",IFERROR(AVERAGEIFS(nNOTA,nNIA,M844,nCUENTA,1,nASIG,"Música de Cámara"),"")))</f>
        <v/>
      </c>
      <c r="Q844" t="str">
        <f>IF(M844="","",IF(M844="[FÓRMULA MANUAL]","",IFERROR(SUMPRODUCT((nNIA=M844)*(nCUENTA=1)*(COUNTIF(CONFIG_ASIGNATURAS!$B$7:$B$27,nASIG)&gt;0)*(nNOTA))/SUMPRODUCT((nNIA=M844)*(nCUENTA=1)*(COUNTIF(CONFIG_ASIGNATURAS!$B$7:$B$27,nASIG)&gt;0)*1),"")))</f>
        <v/>
      </c>
      <c r="T844" t="str">
        <f>IF(S844="","",IF(S844="[FÓRMULA MANUAL]","",IFERROR(AVERAGEIFS(nNOTA,nNIA,S844,nCUENTA,1,nASIG,"Armonía"),"")))</f>
        <v/>
      </c>
      <c r="U844" t="str">
        <f>IF(S844="","",IF(S844="[FÓRMULA MANUAL]","",IFERROR(AVERAGEIFS(nNOTA,nNIA,S844,nCUENTA,1,nASIG,"Orquesta/Banda/Conjunto"),"")))</f>
        <v/>
      </c>
      <c r="V844" t="str">
        <f>IF(S844="","",IF(S844="[FÓRMULA MANUAL]","",IFERROR(AVERAGEIFS(nNOTA,nNIA,S844,nCUENTA,1,nASIG,"Música de Cámara"),"")))</f>
        <v/>
      </c>
      <c r="W844" t="str">
        <f>IF(S844="","",IF(S844="[FÓRMULA MANUAL]","",IFERROR(SUMPRODUCT((nNIA=S844)*(nCUENTA=1)*(COUNTIF(CONFIG_ASIGNATURAS!$B$7:$B$27,nASIG)&gt;0)*(nNOTA))/SUMPRODUCT((nNIA=S844)*(nCUENTA=1)*(COUNTIF(CONFIG_ASIGNATURAS!$B$7:$B$27,nASIG)&gt;0)*1),"")))</f>
        <v/>
      </c>
      <c r="Z844" t="str">
        <f>IF(Y844="","",IF(Y844="[FÓRMULA MANUAL]","",IFERROR(AVERAGEIFS(nNOTA,nNIA,Y844,nCUENTA,1,nASIG,"Análisis"),"")))</f>
        <v/>
      </c>
      <c r="AA844" t="str">
        <f>IF(Y844="","",IF(Y844="[FÓRMULA MANUAL]","",IFERROR(AVERAGEIFS(nNOTA,nNIA,Y844,nCUENTA,1,nASIG,"Orquesta/Banda/Conjunto"),"")))</f>
        <v/>
      </c>
      <c r="AB844" t="str">
        <f>IF(Y844="","",IF(Y844="[FÓRMULA MANUAL]","",IFERROR(AVERAGEIFS(nNOTA,nNIA,Y844,nCUENTA,1,nASIG,"Música de Cámara"),"")))</f>
        <v/>
      </c>
      <c r="AC844" t="str">
        <f>IF(Y844="","",IF(Y844="[FÓRMULA MANUAL]","",IFERROR(SUMPRODUCT((nNIA=Y844)*(nCUENTA=1)*(COUNTIF(CONFIG_ASIGNATURAS!$B$7:$B$27,nASIG)&gt;0)*(nNOTA))/SUMPRODUCT((nNIA=Y844)*(nCUENTA=1)*(COUNTIF(CONFIG_ASIGNATURAS!$B$7:$B$27,nASIG)&gt;0)*1),"")))</f>
        <v/>
      </c>
      <c r="AF844" t="str">
        <f>IF(AE844="","",IF(AE844="[FÓRMULA MANUAL]","",IFERROR(AVERAGEIFS(nNOTA,nNIA,AE844,nCUENTA,1,nASIG,"Análisis"),"")))</f>
        <v/>
      </c>
      <c r="AG844" t="str">
        <f>IF(AE844="","",IF(AE844="[FÓRMULA MANUAL]","",IFERROR(AVERAGEIFS(nNOTA,nNIA,AE844,nCUENTA,1,nASIG,"Orquesta/Banda/Conjunto"),"")))</f>
        <v/>
      </c>
      <c r="AH844" t="str">
        <f>IF(AE844="","",IF(AE844="[FÓRMULA MANUAL]","",IFERROR(AVERAGEIFS(nNOTA,nNIA,AE844,nCUENTA,1,nASIG,"Música de Cámara"),"")))</f>
        <v/>
      </c>
      <c r="AI844" t="str">
        <f>IF(AE844="","",IF(AE844="[FÓRMULA MANUAL]","",IFERROR(SUMPRODUCT((nNIA=AE844)*(nCUENTA=1)*(COUNTIF(CONFIG_ASIGNATURAS!$B$7:$B$27,nASIG)&gt;0)*(nNOTA))/SUMPRODUCT((nNIA=AE844)*(nCUENTA=1)*(COUNTIF(CONFIG_ASIGNATURAS!$B$7:$B$27,nASIG)&gt;0)*1),"")))</f>
        <v/>
      </c>
    </row>
    <row r="845" spans="2:35" x14ac:dyDescent="0.2">
      <c r="B845" t="str">
        <f>IF(A845="","",IF(A845="[FÓRMULA MANUAL]","",IFERROR(AVERAGEIFS(nNOTA,nNIA,A845,nCUENTA,1,nASIG,"Lenguaje Musical"),"")))</f>
        <v/>
      </c>
      <c r="C845" t="str">
        <f>IF(A845="","",IF(A845="[FÓRMULA MANUAL]","",IFERROR(AVERAGEIFS(nNOTA,nNIA,A845,nCUENTA,1,nASIG,"Orquesta/Banda/Conjunto"),"")))</f>
        <v/>
      </c>
      <c r="D845" t="str">
        <f>IF(A845="","",IF(A845="[FÓRMULA MANUAL]","",IFERROR(AVERAGEIFS(nNOTA,nNIA,A845,nCUENTA,1,nASIG,"Conjunto"),"")))</f>
        <v/>
      </c>
      <c r="E845" t="str">
        <f>IF(A845="","",IF(A845="[FÓRMULA MANUAL]","",IFERROR(SUMPRODUCT((nNIA=A845)*(nCUENTA=1)*(COUNTIF(CONFIG_ASIGNATURAS!$B$7:$B$27,nASIG)&gt;0)*(nNOTA))/SUMPRODUCT((nNIA=A845)*(nCUENTA=1)*(COUNTIF(CONFIG_ASIGNATURAS!$B$7:$B$27,nASIG)&gt;0)*1),"")))</f>
        <v/>
      </c>
      <c r="H845" t="str">
        <f>IF(G845="","",IF(G845="[FÓRMULA MANUAL]","",IFERROR(AVERAGEIFS(nNOTA,nNIA,G845,nCUENTA,1,nASIG,"Lenguaje Musical"),"")))</f>
        <v/>
      </c>
      <c r="I845" t="str">
        <f>IF(G845="","",IF(G845="[FÓRMULA MANUAL]","",IFERROR(AVERAGEIFS(nNOTA,nNIA,G845,nCUENTA,1,nASIG,"Orquesta/Banda/Conjunto"),"")))</f>
        <v/>
      </c>
      <c r="J845" t="str">
        <f>IF(G845="","",IF(G845="[FÓRMULA MANUAL]","",IFERROR(AVERAGEIFS(nNOTA,nNIA,G845,nCUENTA,1,nASIG,"Conjunto"),"")))</f>
        <v/>
      </c>
      <c r="K845" t="str">
        <f>IF(G845="","",IF(G845="[FÓRMULA MANUAL]","",IFERROR(SUMPRODUCT((nNIA=G845)*(nCUENTA=1)*(COUNTIF(CONFIG_ASIGNATURAS!$B$7:$B$27,nASIG)&gt;0)*(nNOTA))/SUMPRODUCT((nNIA=G845)*(nCUENTA=1)*(COUNTIF(CONFIG_ASIGNATURAS!$B$7:$B$27,nASIG)&gt;0)*1),"")))</f>
        <v/>
      </c>
      <c r="N845" t="str">
        <f>IF(M845="","",IF(M845="[FÓRMULA MANUAL]","",IFERROR(AVERAGEIFS(nNOTA,nNIA,M845,nCUENTA,1,nASIG,"Armonía"),"")))</f>
        <v/>
      </c>
      <c r="O845" t="str">
        <f>IF(M845="","",IF(M845="[FÓRMULA MANUAL]","",IFERROR(AVERAGEIFS(nNOTA,nNIA,M845,nCUENTA,1,nASIG,"Orquesta/Banda/Conjunto"),"")))</f>
        <v/>
      </c>
      <c r="P845" t="str">
        <f>IF(M845="","",IF(M845="[FÓRMULA MANUAL]","",IFERROR(AVERAGEIFS(nNOTA,nNIA,M845,nCUENTA,1,nASIG,"Música de Cámara"),"")))</f>
        <v/>
      </c>
      <c r="Q845" t="str">
        <f>IF(M845="","",IF(M845="[FÓRMULA MANUAL]","",IFERROR(SUMPRODUCT((nNIA=M845)*(nCUENTA=1)*(COUNTIF(CONFIG_ASIGNATURAS!$B$7:$B$27,nASIG)&gt;0)*(nNOTA))/SUMPRODUCT((nNIA=M845)*(nCUENTA=1)*(COUNTIF(CONFIG_ASIGNATURAS!$B$7:$B$27,nASIG)&gt;0)*1),"")))</f>
        <v/>
      </c>
      <c r="T845" t="str">
        <f>IF(S845="","",IF(S845="[FÓRMULA MANUAL]","",IFERROR(AVERAGEIFS(nNOTA,nNIA,S845,nCUENTA,1,nASIG,"Armonía"),"")))</f>
        <v/>
      </c>
      <c r="U845" t="str">
        <f>IF(S845="","",IF(S845="[FÓRMULA MANUAL]","",IFERROR(AVERAGEIFS(nNOTA,nNIA,S845,nCUENTA,1,nASIG,"Orquesta/Banda/Conjunto"),"")))</f>
        <v/>
      </c>
      <c r="V845" t="str">
        <f>IF(S845="","",IF(S845="[FÓRMULA MANUAL]","",IFERROR(AVERAGEIFS(nNOTA,nNIA,S845,nCUENTA,1,nASIG,"Música de Cámara"),"")))</f>
        <v/>
      </c>
      <c r="W845" t="str">
        <f>IF(S845="","",IF(S845="[FÓRMULA MANUAL]","",IFERROR(SUMPRODUCT((nNIA=S845)*(nCUENTA=1)*(COUNTIF(CONFIG_ASIGNATURAS!$B$7:$B$27,nASIG)&gt;0)*(nNOTA))/SUMPRODUCT((nNIA=S845)*(nCUENTA=1)*(COUNTIF(CONFIG_ASIGNATURAS!$B$7:$B$27,nASIG)&gt;0)*1),"")))</f>
        <v/>
      </c>
      <c r="Z845" t="str">
        <f>IF(Y845="","",IF(Y845="[FÓRMULA MANUAL]","",IFERROR(AVERAGEIFS(nNOTA,nNIA,Y845,nCUENTA,1,nASIG,"Análisis"),"")))</f>
        <v/>
      </c>
      <c r="AA845" t="str">
        <f>IF(Y845="","",IF(Y845="[FÓRMULA MANUAL]","",IFERROR(AVERAGEIFS(nNOTA,nNIA,Y845,nCUENTA,1,nASIG,"Orquesta/Banda/Conjunto"),"")))</f>
        <v/>
      </c>
      <c r="AB845" t="str">
        <f>IF(Y845="","",IF(Y845="[FÓRMULA MANUAL]","",IFERROR(AVERAGEIFS(nNOTA,nNIA,Y845,nCUENTA,1,nASIG,"Música de Cámara"),"")))</f>
        <v/>
      </c>
      <c r="AC845" t="str">
        <f>IF(Y845="","",IF(Y845="[FÓRMULA MANUAL]","",IFERROR(SUMPRODUCT((nNIA=Y845)*(nCUENTA=1)*(COUNTIF(CONFIG_ASIGNATURAS!$B$7:$B$27,nASIG)&gt;0)*(nNOTA))/SUMPRODUCT((nNIA=Y845)*(nCUENTA=1)*(COUNTIF(CONFIG_ASIGNATURAS!$B$7:$B$27,nASIG)&gt;0)*1),"")))</f>
        <v/>
      </c>
      <c r="AF845" t="str">
        <f>IF(AE845="","",IF(AE845="[FÓRMULA MANUAL]","",IFERROR(AVERAGEIFS(nNOTA,nNIA,AE845,nCUENTA,1,nASIG,"Análisis"),"")))</f>
        <v/>
      </c>
      <c r="AG845" t="str">
        <f>IF(AE845="","",IF(AE845="[FÓRMULA MANUAL]","",IFERROR(AVERAGEIFS(nNOTA,nNIA,AE845,nCUENTA,1,nASIG,"Orquesta/Banda/Conjunto"),"")))</f>
        <v/>
      </c>
      <c r="AH845" t="str">
        <f>IF(AE845="","",IF(AE845="[FÓRMULA MANUAL]","",IFERROR(AVERAGEIFS(nNOTA,nNIA,AE845,nCUENTA,1,nASIG,"Música de Cámara"),"")))</f>
        <v/>
      </c>
      <c r="AI845" t="str">
        <f>IF(AE845="","",IF(AE845="[FÓRMULA MANUAL]","",IFERROR(SUMPRODUCT((nNIA=AE845)*(nCUENTA=1)*(COUNTIF(CONFIG_ASIGNATURAS!$B$7:$B$27,nASIG)&gt;0)*(nNOTA))/SUMPRODUCT((nNIA=AE845)*(nCUENTA=1)*(COUNTIF(CONFIG_ASIGNATURAS!$B$7:$B$27,nASIG)&gt;0)*1),"")))</f>
        <v/>
      </c>
    </row>
    <row r="846" spans="2:35" x14ac:dyDescent="0.2">
      <c r="B846" t="str">
        <f>IF(A846="","",IF(A846="[FÓRMULA MANUAL]","",IFERROR(AVERAGEIFS(nNOTA,nNIA,A846,nCUENTA,1,nASIG,"Lenguaje Musical"),"")))</f>
        <v/>
      </c>
      <c r="C846" t="str">
        <f>IF(A846="","",IF(A846="[FÓRMULA MANUAL]","",IFERROR(AVERAGEIFS(nNOTA,nNIA,A846,nCUENTA,1,nASIG,"Orquesta/Banda/Conjunto"),"")))</f>
        <v/>
      </c>
      <c r="D846" t="str">
        <f>IF(A846="","",IF(A846="[FÓRMULA MANUAL]","",IFERROR(AVERAGEIFS(nNOTA,nNIA,A846,nCUENTA,1,nASIG,"Conjunto"),"")))</f>
        <v/>
      </c>
      <c r="E846" t="str">
        <f>IF(A846="","",IF(A846="[FÓRMULA MANUAL]","",IFERROR(SUMPRODUCT((nNIA=A846)*(nCUENTA=1)*(COUNTIF(CONFIG_ASIGNATURAS!$B$7:$B$27,nASIG)&gt;0)*(nNOTA))/SUMPRODUCT((nNIA=A846)*(nCUENTA=1)*(COUNTIF(CONFIG_ASIGNATURAS!$B$7:$B$27,nASIG)&gt;0)*1),"")))</f>
        <v/>
      </c>
      <c r="H846" t="str">
        <f>IF(G846="","",IF(G846="[FÓRMULA MANUAL]","",IFERROR(AVERAGEIFS(nNOTA,nNIA,G846,nCUENTA,1,nASIG,"Lenguaje Musical"),"")))</f>
        <v/>
      </c>
      <c r="I846" t="str">
        <f>IF(G846="","",IF(G846="[FÓRMULA MANUAL]","",IFERROR(AVERAGEIFS(nNOTA,nNIA,G846,nCUENTA,1,nASIG,"Orquesta/Banda/Conjunto"),"")))</f>
        <v/>
      </c>
      <c r="J846" t="str">
        <f>IF(G846="","",IF(G846="[FÓRMULA MANUAL]","",IFERROR(AVERAGEIFS(nNOTA,nNIA,G846,nCUENTA,1,nASIG,"Conjunto"),"")))</f>
        <v/>
      </c>
      <c r="K846" t="str">
        <f>IF(G846="","",IF(G846="[FÓRMULA MANUAL]","",IFERROR(SUMPRODUCT((nNIA=G846)*(nCUENTA=1)*(COUNTIF(CONFIG_ASIGNATURAS!$B$7:$B$27,nASIG)&gt;0)*(nNOTA))/SUMPRODUCT((nNIA=G846)*(nCUENTA=1)*(COUNTIF(CONFIG_ASIGNATURAS!$B$7:$B$27,nASIG)&gt;0)*1),"")))</f>
        <v/>
      </c>
      <c r="N846" t="str">
        <f>IF(M846="","",IF(M846="[FÓRMULA MANUAL]","",IFERROR(AVERAGEIFS(nNOTA,nNIA,M846,nCUENTA,1,nASIG,"Armonía"),"")))</f>
        <v/>
      </c>
      <c r="O846" t="str">
        <f>IF(M846="","",IF(M846="[FÓRMULA MANUAL]","",IFERROR(AVERAGEIFS(nNOTA,nNIA,M846,nCUENTA,1,nASIG,"Orquesta/Banda/Conjunto"),"")))</f>
        <v/>
      </c>
      <c r="P846" t="str">
        <f>IF(M846="","",IF(M846="[FÓRMULA MANUAL]","",IFERROR(AVERAGEIFS(nNOTA,nNIA,M846,nCUENTA,1,nASIG,"Música de Cámara"),"")))</f>
        <v/>
      </c>
      <c r="Q846" t="str">
        <f>IF(M846="","",IF(M846="[FÓRMULA MANUAL]","",IFERROR(SUMPRODUCT((nNIA=M846)*(nCUENTA=1)*(COUNTIF(CONFIG_ASIGNATURAS!$B$7:$B$27,nASIG)&gt;0)*(nNOTA))/SUMPRODUCT((nNIA=M846)*(nCUENTA=1)*(COUNTIF(CONFIG_ASIGNATURAS!$B$7:$B$27,nASIG)&gt;0)*1),"")))</f>
        <v/>
      </c>
      <c r="T846" t="str">
        <f>IF(S846="","",IF(S846="[FÓRMULA MANUAL]","",IFERROR(AVERAGEIFS(nNOTA,nNIA,S846,nCUENTA,1,nASIG,"Armonía"),"")))</f>
        <v/>
      </c>
      <c r="U846" t="str">
        <f>IF(S846="","",IF(S846="[FÓRMULA MANUAL]","",IFERROR(AVERAGEIFS(nNOTA,nNIA,S846,nCUENTA,1,nASIG,"Orquesta/Banda/Conjunto"),"")))</f>
        <v/>
      </c>
      <c r="V846" t="str">
        <f>IF(S846="","",IF(S846="[FÓRMULA MANUAL]","",IFERROR(AVERAGEIFS(nNOTA,nNIA,S846,nCUENTA,1,nASIG,"Música de Cámara"),"")))</f>
        <v/>
      </c>
      <c r="W846" t="str">
        <f>IF(S846="","",IF(S846="[FÓRMULA MANUAL]","",IFERROR(SUMPRODUCT((nNIA=S846)*(nCUENTA=1)*(COUNTIF(CONFIG_ASIGNATURAS!$B$7:$B$27,nASIG)&gt;0)*(nNOTA))/SUMPRODUCT((nNIA=S846)*(nCUENTA=1)*(COUNTIF(CONFIG_ASIGNATURAS!$B$7:$B$27,nASIG)&gt;0)*1),"")))</f>
        <v/>
      </c>
      <c r="Z846" t="str">
        <f>IF(Y846="","",IF(Y846="[FÓRMULA MANUAL]","",IFERROR(AVERAGEIFS(nNOTA,nNIA,Y846,nCUENTA,1,nASIG,"Análisis"),"")))</f>
        <v/>
      </c>
      <c r="AA846" t="str">
        <f>IF(Y846="","",IF(Y846="[FÓRMULA MANUAL]","",IFERROR(AVERAGEIFS(nNOTA,nNIA,Y846,nCUENTA,1,nASIG,"Orquesta/Banda/Conjunto"),"")))</f>
        <v/>
      </c>
      <c r="AB846" t="str">
        <f>IF(Y846="","",IF(Y846="[FÓRMULA MANUAL]","",IFERROR(AVERAGEIFS(nNOTA,nNIA,Y846,nCUENTA,1,nASIG,"Música de Cámara"),"")))</f>
        <v/>
      </c>
      <c r="AC846" t="str">
        <f>IF(Y846="","",IF(Y846="[FÓRMULA MANUAL]","",IFERROR(SUMPRODUCT((nNIA=Y846)*(nCUENTA=1)*(COUNTIF(CONFIG_ASIGNATURAS!$B$7:$B$27,nASIG)&gt;0)*(nNOTA))/SUMPRODUCT((nNIA=Y846)*(nCUENTA=1)*(COUNTIF(CONFIG_ASIGNATURAS!$B$7:$B$27,nASIG)&gt;0)*1),"")))</f>
        <v/>
      </c>
      <c r="AF846" t="str">
        <f>IF(AE846="","",IF(AE846="[FÓRMULA MANUAL]","",IFERROR(AVERAGEIFS(nNOTA,nNIA,AE846,nCUENTA,1,nASIG,"Análisis"),"")))</f>
        <v/>
      </c>
      <c r="AG846" t="str">
        <f>IF(AE846="","",IF(AE846="[FÓRMULA MANUAL]","",IFERROR(AVERAGEIFS(nNOTA,nNIA,AE846,nCUENTA,1,nASIG,"Orquesta/Banda/Conjunto"),"")))</f>
        <v/>
      </c>
      <c r="AH846" t="str">
        <f>IF(AE846="","",IF(AE846="[FÓRMULA MANUAL]","",IFERROR(AVERAGEIFS(nNOTA,nNIA,AE846,nCUENTA,1,nASIG,"Música de Cámara"),"")))</f>
        <v/>
      </c>
      <c r="AI846" t="str">
        <f>IF(AE846="","",IF(AE846="[FÓRMULA MANUAL]","",IFERROR(SUMPRODUCT((nNIA=AE846)*(nCUENTA=1)*(COUNTIF(CONFIG_ASIGNATURAS!$B$7:$B$27,nASIG)&gt;0)*(nNOTA))/SUMPRODUCT((nNIA=AE846)*(nCUENTA=1)*(COUNTIF(CONFIG_ASIGNATURAS!$B$7:$B$27,nASIG)&gt;0)*1),"")))</f>
        <v/>
      </c>
    </row>
    <row r="847" spans="2:35" x14ac:dyDescent="0.2">
      <c r="B847" t="str">
        <f>IF(A847="","",IF(A847="[FÓRMULA MANUAL]","",IFERROR(AVERAGEIFS(nNOTA,nNIA,A847,nCUENTA,1,nASIG,"Lenguaje Musical"),"")))</f>
        <v/>
      </c>
      <c r="C847" t="str">
        <f>IF(A847="","",IF(A847="[FÓRMULA MANUAL]","",IFERROR(AVERAGEIFS(nNOTA,nNIA,A847,nCUENTA,1,nASIG,"Orquesta/Banda/Conjunto"),"")))</f>
        <v/>
      </c>
      <c r="D847" t="str">
        <f>IF(A847="","",IF(A847="[FÓRMULA MANUAL]","",IFERROR(AVERAGEIFS(nNOTA,nNIA,A847,nCUENTA,1,nASIG,"Conjunto"),"")))</f>
        <v/>
      </c>
      <c r="E847" t="str">
        <f>IF(A847="","",IF(A847="[FÓRMULA MANUAL]","",IFERROR(SUMPRODUCT((nNIA=A847)*(nCUENTA=1)*(COUNTIF(CONFIG_ASIGNATURAS!$B$7:$B$27,nASIG)&gt;0)*(nNOTA))/SUMPRODUCT((nNIA=A847)*(nCUENTA=1)*(COUNTIF(CONFIG_ASIGNATURAS!$B$7:$B$27,nASIG)&gt;0)*1),"")))</f>
        <v/>
      </c>
      <c r="H847" t="str">
        <f>IF(G847="","",IF(G847="[FÓRMULA MANUAL]","",IFERROR(AVERAGEIFS(nNOTA,nNIA,G847,nCUENTA,1,nASIG,"Lenguaje Musical"),"")))</f>
        <v/>
      </c>
      <c r="I847" t="str">
        <f>IF(G847="","",IF(G847="[FÓRMULA MANUAL]","",IFERROR(AVERAGEIFS(nNOTA,nNIA,G847,nCUENTA,1,nASIG,"Orquesta/Banda/Conjunto"),"")))</f>
        <v/>
      </c>
      <c r="J847" t="str">
        <f>IF(G847="","",IF(G847="[FÓRMULA MANUAL]","",IFERROR(AVERAGEIFS(nNOTA,nNIA,G847,nCUENTA,1,nASIG,"Conjunto"),"")))</f>
        <v/>
      </c>
      <c r="K847" t="str">
        <f>IF(G847="","",IF(G847="[FÓRMULA MANUAL]","",IFERROR(SUMPRODUCT((nNIA=G847)*(nCUENTA=1)*(COUNTIF(CONFIG_ASIGNATURAS!$B$7:$B$27,nASIG)&gt;0)*(nNOTA))/SUMPRODUCT((nNIA=G847)*(nCUENTA=1)*(COUNTIF(CONFIG_ASIGNATURAS!$B$7:$B$27,nASIG)&gt;0)*1),"")))</f>
        <v/>
      </c>
      <c r="N847" t="str">
        <f>IF(M847="","",IF(M847="[FÓRMULA MANUAL]","",IFERROR(AVERAGEIFS(nNOTA,nNIA,M847,nCUENTA,1,nASIG,"Armonía"),"")))</f>
        <v/>
      </c>
      <c r="O847" t="str">
        <f>IF(M847="","",IF(M847="[FÓRMULA MANUAL]","",IFERROR(AVERAGEIFS(nNOTA,nNIA,M847,nCUENTA,1,nASIG,"Orquesta/Banda/Conjunto"),"")))</f>
        <v/>
      </c>
      <c r="P847" t="str">
        <f>IF(M847="","",IF(M847="[FÓRMULA MANUAL]","",IFERROR(AVERAGEIFS(nNOTA,nNIA,M847,nCUENTA,1,nASIG,"Música de Cámara"),"")))</f>
        <v/>
      </c>
      <c r="Q847" t="str">
        <f>IF(M847="","",IF(M847="[FÓRMULA MANUAL]","",IFERROR(SUMPRODUCT((nNIA=M847)*(nCUENTA=1)*(COUNTIF(CONFIG_ASIGNATURAS!$B$7:$B$27,nASIG)&gt;0)*(nNOTA))/SUMPRODUCT((nNIA=M847)*(nCUENTA=1)*(COUNTIF(CONFIG_ASIGNATURAS!$B$7:$B$27,nASIG)&gt;0)*1),"")))</f>
        <v/>
      </c>
      <c r="T847" t="str">
        <f>IF(S847="","",IF(S847="[FÓRMULA MANUAL]","",IFERROR(AVERAGEIFS(nNOTA,nNIA,S847,nCUENTA,1,nASIG,"Armonía"),"")))</f>
        <v/>
      </c>
      <c r="U847" t="str">
        <f>IF(S847="","",IF(S847="[FÓRMULA MANUAL]","",IFERROR(AVERAGEIFS(nNOTA,nNIA,S847,nCUENTA,1,nASIG,"Orquesta/Banda/Conjunto"),"")))</f>
        <v/>
      </c>
      <c r="V847" t="str">
        <f>IF(S847="","",IF(S847="[FÓRMULA MANUAL]","",IFERROR(AVERAGEIFS(nNOTA,nNIA,S847,nCUENTA,1,nASIG,"Música de Cámara"),"")))</f>
        <v/>
      </c>
      <c r="W847" t="str">
        <f>IF(S847="","",IF(S847="[FÓRMULA MANUAL]","",IFERROR(SUMPRODUCT((nNIA=S847)*(nCUENTA=1)*(COUNTIF(CONFIG_ASIGNATURAS!$B$7:$B$27,nASIG)&gt;0)*(nNOTA))/SUMPRODUCT((nNIA=S847)*(nCUENTA=1)*(COUNTIF(CONFIG_ASIGNATURAS!$B$7:$B$27,nASIG)&gt;0)*1),"")))</f>
        <v/>
      </c>
      <c r="Z847" t="str">
        <f>IF(Y847="","",IF(Y847="[FÓRMULA MANUAL]","",IFERROR(AVERAGEIFS(nNOTA,nNIA,Y847,nCUENTA,1,nASIG,"Análisis"),"")))</f>
        <v/>
      </c>
      <c r="AA847" t="str">
        <f>IF(Y847="","",IF(Y847="[FÓRMULA MANUAL]","",IFERROR(AVERAGEIFS(nNOTA,nNIA,Y847,nCUENTA,1,nASIG,"Orquesta/Banda/Conjunto"),"")))</f>
        <v/>
      </c>
      <c r="AB847" t="str">
        <f>IF(Y847="","",IF(Y847="[FÓRMULA MANUAL]","",IFERROR(AVERAGEIFS(nNOTA,nNIA,Y847,nCUENTA,1,nASIG,"Música de Cámara"),"")))</f>
        <v/>
      </c>
      <c r="AC847" t="str">
        <f>IF(Y847="","",IF(Y847="[FÓRMULA MANUAL]","",IFERROR(SUMPRODUCT((nNIA=Y847)*(nCUENTA=1)*(COUNTIF(CONFIG_ASIGNATURAS!$B$7:$B$27,nASIG)&gt;0)*(nNOTA))/SUMPRODUCT((nNIA=Y847)*(nCUENTA=1)*(COUNTIF(CONFIG_ASIGNATURAS!$B$7:$B$27,nASIG)&gt;0)*1),"")))</f>
        <v/>
      </c>
      <c r="AF847" t="str">
        <f>IF(AE847="","",IF(AE847="[FÓRMULA MANUAL]","",IFERROR(AVERAGEIFS(nNOTA,nNIA,AE847,nCUENTA,1,nASIG,"Análisis"),"")))</f>
        <v/>
      </c>
      <c r="AG847" t="str">
        <f>IF(AE847="","",IF(AE847="[FÓRMULA MANUAL]","",IFERROR(AVERAGEIFS(nNOTA,nNIA,AE847,nCUENTA,1,nASIG,"Orquesta/Banda/Conjunto"),"")))</f>
        <v/>
      </c>
      <c r="AH847" t="str">
        <f>IF(AE847="","",IF(AE847="[FÓRMULA MANUAL]","",IFERROR(AVERAGEIFS(nNOTA,nNIA,AE847,nCUENTA,1,nASIG,"Música de Cámara"),"")))</f>
        <v/>
      </c>
      <c r="AI847" t="str">
        <f>IF(AE847="","",IF(AE847="[FÓRMULA MANUAL]","",IFERROR(SUMPRODUCT((nNIA=AE847)*(nCUENTA=1)*(COUNTIF(CONFIG_ASIGNATURAS!$B$7:$B$27,nASIG)&gt;0)*(nNOTA))/SUMPRODUCT((nNIA=AE847)*(nCUENTA=1)*(COUNTIF(CONFIG_ASIGNATURAS!$B$7:$B$27,nASIG)&gt;0)*1),"")))</f>
        <v/>
      </c>
    </row>
    <row r="848" spans="2:35" x14ac:dyDescent="0.2">
      <c r="B848" t="str">
        <f>IF(A848="","",IF(A848="[FÓRMULA MANUAL]","",IFERROR(AVERAGEIFS(nNOTA,nNIA,A848,nCUENTA,1,nASIG,"Lenguaje Musical"),"")))</f>
        <v/>
      </c>
      <c r="C848" t="str">
        <f>IF(A848="","",IF(A848="[FÓRMULA MANUAL]","",IFERROR(AVERAGEIFS(nNOTA,nNIA,A848,nCUENTA,1,nASIG,"Orquesta/Banda/Conjunto"),"")))</f>
        <v/>
      </c>
      <c r="D848" t="str">
        <f>IF(A848="","",IF(A848="[FÓRMULA MANUAL]","",IFERROR(AVERAGEIFS(nNOTA,nNIA,A848,nCUENTA,1,nASIG,"Conjunto"),"")))</f>
        <v/>
      </c>
      <c r="E848" t="str">
        <f>IF(A848="","",IF(A848="[FÓRMULA MANUAL]","",IFERROR(SUMPRODUCT((nNIA=A848)*(nCUENTA=1)*(COUNTIF(CONFIG_ASIGNATURAS!$B$7:$B$27,nASIG)&gt;0)*(nNOTA))/SUMPRODUCT((nNIA=A848)*(nCUENTA=1)*(COUNTIF(CONFIG_ASIGNATURAS!$B$7:$B$27,nASIG)&gt;0)*1),"")))</f>
        <v/>
      </c>
      <c r="H848" t="str">
        <f>IF(G848="","",IF(G848="[FÓRMULA MANUAL]","",IFERROR(AVERAGEIFS(nNOTA,nNIA,G848,nCUENTA,1,nASIG,"Lenguaje Musical"),"")))</f>
        <v/>
      </c>
      <c r="I848" t="str">
        <f>IF(G848="","",IF(G848="[FÓRMULA MANUAL]","",IFERROR(AVERAGEIFS(nNOTA,nNIA,G848,nCUENTA,1,nASIG,"Orquesta/Banda/Conjunto"),"")))</f>
        <v/>
      </c>
      <c r="J848" t="str">
        <f>IF(G848="","",IF(G848="[FÓRMULA MANUAL]","",IFERROR(AVERAGEIFS(nNOTA,nNIA,G848,nCUENTA,1,nASIG,"Conjunto"),"")))</f>
        <v/>
      </c>
      <c r="K848" t="str">
        <f>IF(G848="","",IF(G848="[FÓRMULA MANUAL]","",IFERROR(SUMPRODUCT((nNIA=G848)*(nCUENTA=1)*(COUNTIF(CONFIG_ASIGNATURAS!$B$7:$B$27,nASIG)&gt;0)*(nNOTA))/SUMPRODUCT((nNIA=G848)*(nCUENTA=1)*(COUNTIF(CONFIG_ASIGNATURAS!$B$7:$B$27,nASIG)&gt;0)*1),"")))</f>
        <v/>
      </c>
      <c r="N848" t="str">
        <f>IF(M848="","",IF(M848="[FÓRMULA MANUAL]","",IFERROR(AVERAGEIFS(nNOTA,nNIA,M848,nCUENTA,1,nASIG,"Armonía"),"")))</f>
        <v/>
      </c>
      <c r="O848" t="str">
        <f>IF(M848="","",IF(M848="[FÓRMULA MANUAL]","",IFERROR(AVERAGEIFS(nNOTA,nNIA,M848,nCUENTA,1,nASIG,"Orquesta/Banda/Conjunto"),"")))</f>
        <v/>
      </c>
      <c r="P848" t="str">
        <f>IF(M848="","",IF(M848="[FÓRMULA MANUAL]","",IFERROR(AVERAGEIFS(nNOTA,nNIA,M848,nCUENTA,1,nASIG,"Música de Cámara"),"")))</f>
        <v/>
      </c>
      <c r="Q848" t="str">
        <f>IF(M848="","",IF(M848="[FÓRMULA MANUAL]","",IFERROR(SUMPRODUCT((nNIA=M848)*(nCUENTA=1)*(COUNTIF(CONFIG_ASIGNATURAS!$B$7:$B$27,nASIG)&gt;0)*(nNOTA))/SUMPRODUCT((nNIA=M848)*(nCUENTA=1)*(COUNTIF(CONFIG_ASIGNATURAS!$B$7:$B$27,nASIG)&gt;0)*1),"")))</f>
        <v/>
      </c>
      <c r="T848" t="str">
        <f>IF(S848="","",IF(S848="[FÓRMULA MANUAL]","",IFERROR(AVERAGEIFS(nNOTA,nNIA,S848,nCUENTA,1,nASIG,"Armonía"),"")))</f>
        <v/>
      </c>
      <c r="U848" t="str">
        <f>IF(S848="","",IF(S848="[FÓRMULA MANUAL]","",IFERROR(AVERAGEIFS(nNOTA,nNIA,S848,nCUENTA,1,nASIG,"Orquesta/Banda/Conjunto"),"")))</f>
        <v/>
      </c>
      <c r="V848" t="str">
        <f>IF(S848="","",IF(S848="[FÓRMULA MANUAL]","",IFERROR(AVERAGEIFS(nNOTA,nNIA,S848,nCUENTA,1,nASIG,"Música de Cámara"),"")))</f>
        <v/>
      </c>
      <c r="W848" t="str">
        <f>IF(S848="","",IF(S848="[FÓRMULA MANUAL]","",IFERROR(SUMPRODUCT((nNIA=S848)*(nCUENTA=1)*(COUNTIF(CONFIG_ASIGNATURAS!$B$7:$B$27,nASIG)&gt;0)*(nNOTA))/SUMPRODUCT((nNIA=S848)*(nCUENTA=1)*(COUNTIF(CONFIG_ASIGNATURAS!$B$7:$B$27,nASIG)&gt;0)*1),"")))</f>
        <v/>
      </c>
      <c r="Z848" t="str">
        <f>IF(Y848="","",IF(Y848="[FÓRMULA MANUAL]","",IFERROR(AVERAGEIFS(nNOTA,nNIA,Y848,nCUENTA,1,nASIG,"Análisis"),"")))</f>
        <v/>
      </c>
      <c r="AA848" t="str">
        <f>IF(Y848="","",IF(Y848="[FÓRMULA MANUAL]","",IFERROR(AVERAGEIFS(nNOTA,nNIA,Y848,nCUENTA,1,nASIG,"Orquesta/Banda/Conjunto"),"")))</f>
        <v/>
      </c>
      <c r="AB848" t="str">
        <f>IF(Y848="","",IF(Y848="[FÓRMULA MANUAL]","",IFERROR(AVERAGEIFS(nNOTA,nNIA,Y848,nCUENTA,1,nASIG,"Música de Cámara"),"")))</f>
        <v/>
      </c>
      <c r="AC848" t="str">
        <f>IF(Y848="","",IF(Y848="[FÓRMULA MANUAL]","",IFERROR(SUMPRODUCT((nNIA=Y848)*(nCUENTA=1)*(COUNTIF(CONFIG_ASIGNATURAS!$B$7:$B$27,nASIG)&gt;0)*(nNOTA))/SUMPRODUCT((nNIA=Y848)*(nCUENTA=1)*(COUNTIF(CONFIG_ASIGNATURAS!$B$7:$B$27,nASIG)&gt;0)*1),"")))</f>
        <v/>
      </c>
      <c r="AF848" t="str">
        <f>IF(AE848="","",IF(AE848="[FÓRMULA MANUAL]","",IFERROR(AVERAGEIFS(nNOTA,nNIA,AE848,nCUENTA,1,nASIG,"Análisis"),"")))</f>
        <v/>
      </c>
      <c r="AG848" t="str">
        <f>IF(AE848="","",IF(AE848="[FÓRMULA MANUAL]","",IFERROR(AVERAGEIFS(nNOTA,nNIA,AE848,nCUENTA,1,nASIG,"Orquesta/Banda/Conjunto"),"")))</f>
        <v/>
      </c>
      <c r="AH848" t="str">
        <f>IF(AE848="","",IF(AE848="[FÓRMULA MANUAL]","",IFERROR(AVERAGEIFS(nNOTA,nNIA,AE848,nCUENTA,1,nASIG,"Música de Cámara"),"")))</f>
        <v/>
      </c>
      <c r="AI848" t="str">
        <f>IF(AE848="","",IF(AE848="[FÓRMULA MANUAL]","",IFERROR(SUMPRODUCT((nNIA=AE848)*(nCUENTA=1)*(COUNTIF(CONFIG_ASIGNATURAS!$B$7:$B$27,nASIG)&gt;0)*(nNOTA))/SUMPRODUCT((nNIA=AE848)*(nCUENTA=1)*(COUNTIF(CONFIG_ASIGNATURAS!$B$7:$B$27,nASIG)&gt;0)*1),"")))</f>
        <v/>
      </c>
    </row>
    <row r="849" spans="2:35" x14ac:dyDescent="0.2">
      <c r="B849" t="str">
        <f>IF(A849="","",IF(A849="[FÓRMULA MANUAL]","",IFERROR(AVERAGEIFS(nNOTA,nNIA,A849,nCUENTA,1,nASIG,"Lenguaje Musical"),"")))</f>
        <v/>
      </c>
      <c r="C849" t="str">
        <f>IF(A849="","",IF(A849="[FÓRMULA MANUAL]","",IFERROR(AVERAGEIFS(nNOTA,nNIA,A849,nCUENTA,1,nASIG,"Orquesta/Banda/Conjunto"),"")))</f>
        <v/>
      </c>
      <c r="D849" t="str">
        <f>IF(A849="","",IF(A849="[FÓRMULA MANUAL]","",IFERROR(AVERAGEIFS(nNOTA,nNIA,A849,nCUENTA,1,nASIG,"Conjunto"),"")))</f>
        <v/>
      </c>
      <c r="E849" t="str">
        <f>IF(A849="","",IF(A849="[FÓRMULA MANUAL]","",IFERROR(SUMPRODUCT((nNIA=A849)*(nCUENTA=1)*(COUNTIF(CONFIG_ASIGNATURAS!$B$7:$B$27,nASIG)&gt;0)*(nNOTA))/SUMPRODUCT((nNIA=A849)*(nCUENTA=1)*(COUNTIF(CONFIG_ASIGNATURAS!$B$7:$B$27,nASIG)&gt;0)*1),"")))</f>
        <v/>
      </c>
      <c r="H849" t="str">
        <f>IF(G849="","",IF(G849="[FÓRMULA MANUAL]","",IFERROR(AVERAGEIFS(nNOTA,nNIA,G849,nCUENTA,1,nASIG,"Lenguaje Musical"),"")))</f>
        <v/>
      </c>
      <c r="I849" t="str">
        <f>IF(G849="","",IF(G849="[FÓRMULA MANUAL]","",IFERROR(AVERAGEIFS(nNOTA,nNIA,G849,nCUENTA,1,nASIG,"Orquesta/Banda/Conjunto"),"")))</f>
        <v/>
      </c>
      <c r="J849" t="str">
        <f>IF(G849="","",IF(G849="[FÓRMULA MANUAL]","",IFERROR(AVERAGEIFS(nNOTA,nNIA,G849,nCUENTA,1,nASIG,"Conjunto"),"")))</f>
        <v/>
      </c>
      <c r="K849" t="str">
        <f>IF(G849="","",IF(G849="[FÓRMULA MANUAL]","",IFERROR(SUMPRODUCT((nNIA=G849)*(nCUENTA=1)*(COUNTIF(CONFIG_ASIGNATURAS!$B$7:$B$27,nASIG)&gt;0)*(nNOTA))/SUMPRODUCT((nNIA=G849)*(nCUENTA=1)*(COUNTIF(CONFIG_ASIGNATURAS!$B$7:$B$27,nASIG)&gt;0)*1),"")))</f>
        <v/>
      </c>
      <c r="N849" t="str">
        <f>IF(M849="","",IF(M849="[FÓRMULA MANUAL]","",IFERROR(AVERAGEIFS(nNOTA,nNIA,M849,nCUENTA,1,nASIG,"Armonía"),"")))</f>
        <v/>
      </c>
      <c r="O849" t="str">
        <f>IF(M849="","",IF(M849="[FÓRMULA MANUAL]","",IFERROR(AVERAGEIFS(nNOTA,nNIA,M849,nCUENTA,1,nASIG,"Orquesta/Banda/Conjunto"),"")))</f>
        <v/>
      </c>
      <c r="P849" t="str">
        <f>IF(M849="","",IF(M849="[FÓRMULA MANUAL]","",IFERROR(AVERAGEIFS(nNOTA,nNIA,M849,nCUENTA,1,nASIG,"Música de Cámara"),"")))</f>
        <v/>
      </c>
      <c r="Q849" t="str">
        <f>IF(M849="","",IF(M849="[FÓRMULA MANUAL]","",IFERROR(SUMPRODUCT((nNIA=M849)*(nCUENTA=1)*(COUNTIF(CONFIG_ASIGNATURAS!$B$7:$B$27,nASIG)&gt;0)*(nNOTA))/SUMPRODUCT((nNIA=M849)*(nCUENTA=1)*(COUNTIF(CONFIG_ASIGNATURAS!$B$7:$B$27,nASIG)&gt;0)*1),"")))</f>
        <v/>
      </c>
      <c r="T849" t="str">
        <f>IF(S849="","",IF(S849="[FÓRMULA MANUAL]","",IFERROR(AVERAGEIFS(nNOTA,nNIA,S849,nCUENTA,1,nASIG,"Armonía"),"")))</f>
        <v/>
      </c>
      <c r="U849" t="str">
        <f>IF(S849="","",IF(S849="[FÓRMULA MANUAL]","",IFERROR(AVERAGEIFS(nNOTA,nNIA,S849,nCUENTA,1,nASIG,"Orquesta/Banda/Conjunto"),"")))</f>
        <v/>
      </c>
      <c r="V849" t="str">
        <f>IF(S849="","",IF(S849="[FÓRMULA MANUAL]","",IFERROR(AVERAGEIFS(nNOTA,nNIA,S849,nCUENTA,1,nASIG,"Música de Cámara"),"")))</f>
        <v/>
      </c>
      <c r="W849" t="str">
        <f>IF(S849="","",IF(S849="[FÓRMULA MANUAL]","",IFERROR(SUMPRODUCT((nNIA=S849)*(nCUENTA=1)*(COUNTIF(CONFIG_ASIGNATURAS!$B$7:$B$27,nASIG)&gt;0)*(nNOTA))/SUMPRODUCT((nNIA=S849)*(nCUENTA=1)*(COUNTIF(CONFIG_ASIGNATURAS!$B$7:$B$27,nASIG)&gt;0)*1),"")))</f>
        <v/>
      </c>
      <c r="Z849" t="str">
        <f>IF(Y849="","",IF(Y849="[FÓRMULA MANUAL]","",IFERROR(AVERAGEIFS(nNOTA,nNIA,Y849,nCUENTA,1,nASIG,"Análisis"),"")))</f>
        <v/>
      </c>
      <c r="AA849" t="str">
        <f>IF(Y849="","",IF(Y849="[FÓRMULA MANUAL]","",IFERROR(AVERAGEIFS(nNOTA,nNIA,Y849,nCUENTA,1,nASIG,"Orquesta/Banda/Conjunto"),"")))</f>
        <v/>
      </c>
      <c r="AB849" t="str">
        <f>IF(Y849="","",IF(Y849="[FÓRMULA MANUAL]","",IFERROR(AVERAGEIFS(nNOTA,nNIA,Y849,nCUENTA,1,nASIG,"Música de Cámara"),"")))</f>
        <v/>
      </c>
      <c r="AC849" t="str">
        <f>IF(Y849="","",IF(Y849="[FÓRMULA MANUAL]","",IFERROR(SUMPRODUCT((nNIA=Y849)*(nCUENTA=1)*(COUNTIF(CONFIG_ASIGNATURAS!$B$7:$B$27,nASIG)&gt;0)*(nNOTA))/SUMPRODUCT((nNIA=Y849)*(nCUENTA=1)*(COUNTIF(CONFIG_ASIGNATURAS!$B$7:$B$27,nASIG)&gt;0)*1),"")))</f>
        <v/>
      </c>
      <c r="AF849" t="str">
        <f>IF(AE849="","",IF(AE849="[FÓRMULA MANUAL]","",IFERROR(AVERAGEIFS(nNOTA,nNIA,AE849,nCUENTA,1,nASIG,"Análisis"),"")))</f>
        <v/>
      </c>
      <c r="AG849" t="str">
        <f>IF(AE849="","",IF(AE849="[FÓRMULA MANUAL]","",IFERROR(AVERAGEIFS(nNOTA,nNIA,AE849,nCUENTA,1,nASIG,"Orquesta/Banda/Conjunto"),"")))</f>
        <v/>
      </c>
      <c r="AH849" t="str">
        <f>IF(AE849="","",IF(AE849="[FÓRMULA MANUAL]","",IFERROR(AVERAGEIFS(nNOTA,nNIA,AE849,nCUENTA,1,nASIG,"Música de Cámara"),"")))</f>
        <v/>
      </c>
      <c r="AI849" t="str">
        <f>IF(AE849="","",IF(AE849="[FÓRMULA MANUAL]","",IFERROR(SUMPRODUCT((nNIA=AE849)*(nCUENTA=1)*(COUNTIF(CONFIG_ASIGNATURAS!$B$7:$B$27,nASIG)&gt;0)*(nNOTA))/SUMPRODUCT((nNIA=AE849)*(nCUENTA=1)*(COUNTIF(CONFIG_ASIGNATURAS!$B$7:$B$27,nASIG)&gt;0)*1),"")))</f>
        <v/>
      </c>
    </row>
    <row r="850" spans="2:35" x14ac:dyDescent="0.2">
      <c r="B850" t="str">
        <f>IF(A850="","",IF(A850="[FÓRMULA MANUAL]","",IFERROR(AVERAGEIFS(nNOTA,nNIA,A850,nCUENTA,1,nASIG,"Lenguaje Musical"),"")))</f>
        <v/>
      </c>
      <c r="C850" t="str">
        <f>IF(A850="","",IF(A850="[FÓRMULA MANUAL]","",IFERROR(AVERAGEIFS(nNOTA,nNIA,A850,nCUENTA,1,nASIG,"Orquesta/Banda/Conjunto"),"")))</f>
        <v/>
      </c>
      <c r="D850" t="str">
        <f>IF(A850="","",IF(A850="[FÓRMULA MANUAL]","",IFERROR(AVERAGEIFS(nNOTA,nNIA,A850,nCUENTA,1,nASIG,"Conjunto"),"")))</f>
        <v/>
      </c>
      <c r="E850" t="str">
        <f>IF(A850="","",IF(A850="[FÓRMULA MANUAL]","",IFERROR(SUMPRODUCT((nNIA=A850)*(nCUENTA=1)*(COUNTIF(CONFIG_ASIGNATURAS!$B$7:$B$27,nASIG)&gt;0)*(nNOTA))/SUMPRODUCT((nNIA=A850)*(nCUENTA=1)*(COUNTIF(CONFIG_ASIGNATURAS!$B$7:$B$27,nASIG)&gt;0)*1),"")))</f>
        <v/>
      </c>
      <c r="H850" t="str">
        <f>IF(G850="","",IF(G850="[FÓRMULA MANUAL]","",IFERROR(AVERAGEIFS(nNOTA,nNIA,G850,nCUENTA,1,nASIG,"Lenguaje Musical"),"")))</f>
        <v/>
      </c>
      <c r="I850" t="str">
        <f>IF(G850="","",IF(G850="[FÓRMULA MANUAL]","",IFERROR(AVERAGEIFS(nNOTA,nNIA,G850,nCUENTA,1,nASIG,"Orquesta/Banda/Conjunto"),"")))</f>
        <v/>
      </c>
      <c r="J850" t="str">
        <f>IF(G850="","",IF(G850="[FÓRMULA MANUAL]","",IFERROR(AVERAGEIFS(nNOTA,nNIA,G850,nCUENTA,1,nASIG,"Conjunto"),"")))</f>
        <v/>
      </c>
      <c r="K850" t="str">
        <f>IF(G850="","",IF(G850="[FÓRMULA MANUAL]","",IFERROR(SUMPRODUCT((nNIA=G850)*(nCUENTA=1)*(COUNTIF(CONFIG_ASIGNATURAS!$B$7:$B$27,nASIG)&gt;0)*(nNOTA))/SUMPRODUCT((nNIA=G850)*(nCUENTA=1)*(COUNTIF(CONFIG_ASIGNATURAS!$B$7:$B$27,nASIG)&gt;0)*1),"")))</f>
        <v/>
      </c>
      <c r="N850" t="str">
        <f>IF(M850="","",IF(M850="[FÓRMULA MANUAL]","",IFERROR(AVERAGEIFS(nNOTA,nNIA,M850,nCUENTA,1,nASIG,"Armonía"),"")))</f>
        <v/>
      </c>
      <c r="O850" t="str">
        <f>IF(M850="","",IF(M850="[FÓRMULA MANUAL]","",IFERROR(AVERAGEIFS(nNOTA,nNIA,M850,nCUENTA,1,nASIG,"Orquesta/Banda/Conjunto"),"")))</f>
        <v/>
      </c>
      <c r="P850" t="str">
        <f>IF(M850="","",IF(M850="[FÓRMULA MANUAL]","",IFERROR(AVERAGEIFS(nNOTA,nNIA,M850,nCUENTA,1,nASIG,"Música de Cámara"),"")))</f>
        <v/>
      </c>
      <c r="Q850" t="str">
        <f>IF(M850="","",IF(M850="[FÓRMULA MANUAL]","",IFERROR(SUMPRODUCT((nNIA=M850)*(nCUENTA=1)*(COUNTIF(CONFIG_ASIGNATURAS!$B$7:$B$27,nASIG)&gt;0)*(nNOTA))/SUMPRODUCT((nNIA=M850)*(nCUENTA=1)*(COUNTIF(CONFIG_ASIGNATURAS!$B$7:$B$27,nASIG)&gt;0)*1),"")))</f>
        <v/>
      </c>
      <c r="T850" t="str">
        <f>IF(S850="","",IF(S850="[FÓRMULA MANUAL]","",IFERROR(AVERAGEIFS(nNOTA,nNIA,S850,nCUENTA,1,nASIG,"Armonía"),"")))</f>
        <v/>
      </c>
      <c r="U850" t="str">
        <f>IF(S850="","",IF(S850="[FÓRMULA MANUAL]","",IFERROR(AVERAGEIFS(nNOTA,nNIA,S850,nCUENTA,1,nASIG,"Orquesta/Banda/Conjunto"),"")))</f>
        <v/>
      </c>
      <c r="V850" t="str">
        <f>IF(S850="","",IF(S850="[FÓRMULA MANUAL]","",IFERROR(AVERAGEIFS(nNOTA,nNIA,S850,nCUENTA,1,nASIG,"Música de Cámara"),"")))</f>
        <v/>
      </c>
      <c r="W850" t="str">
        <f>IF(S850="","",IF(S850="[FÓRMULA MANUAL]","",IFERROR(SUMPRODUCT((nNIA=S850)*(nCUENTA=1)*(COUNTIF(CONFIG_ASIGNATURAS!$B$7:$B$27,nASIG)&gt;0)*(nNOTA))/SUMPRODUCT((nNIA=S850)*(nCUENTA=1)*(COUNTIF(CONFIG_ASIGNATURAS!$B$7:$B$27,nASIG)&gt;0)*1),"")))</f>
        <v/>
      </c>
      <c r="Z850" t="str">
        <f>IF(Y850="","",IF(Y850="[FÓRMULA MANUAL]","",IFERROR(AVERAGEIFS(nNOTA,nNIA,Y850,nCUENTA,1,nASIG,"Análisis"),"")))</f>
        <v/>
      </c>
      <c r="AA850" t="str">
        <f>IF(Y850="","",IF(Y850="[FÓRMULA MANUAL]","",IFERROR(AVERAGEIFS(nNOTA,nNIA,Y850,nCUENTA,1,nASIG,"Orquesta/Banda/Conjunto"),"")))</f>
        <v/>
      </c>
      <c r="AB850" t="str">
        <f>IF(Y850="","",IF(Y850="[FÓRMULA MANUAL]","",IFERROR(AVERAGEIFS(nNOTA,nNIA,Y850,nCUENTA,1,nASIG,"Música de Cámara"),"")))</f>
        <v/>
      </c>
      <c r="AC850" t="str">
        <f>IF(Y850="","",IF(Y850="[FÓRMULA MANUAL]","",IFERROR(SUMPRODUCT((nNIA=Y850)*(nCUENTA=1)*(COUNTIF(CONFIG_ASIGNATURAS!$B$7:$B$27,nASIG)&gt;0)*(nNOTA))/SUMPRODUCT((nNIA=Y850)*(nCUENTA=1)*(COUNTIF(CONFIG_ASIGNATURAS!$B$7:$B$27,nASIG)&gt;0)*1),"")))</f>
        <v/>
      </c>
      <c r="AF850" t="str">
        <f>IF(AE850="","",IF(AE850="[FÓRMULA MANUAL]","",IFERROR(AVERAGEIFS(nNOTA,nNIA,AE850,nCUENTA,1,nASIG,"Análisis"),"")))</f>
        <v/>
      </c>
      <c r="AG850" t="str">
        <f>IF(AE850="","",IF(AE850="[FÓRMULA MANUAL]","",IFERROR(AVERAGEIFS(nNOTA,nNIA,AE850,nCUENTA,1,nASIG,"Orquesta/Banda/Conjunto"),"")))</f>
        <v/>
      </c>
      <c r="AH850" t="str">
        <f>IF(AE850="","",IF(AE850="[FÓRMULA MANUAL]","",IFERROR(AVERAGEIFS(nNOTA,nNIA,AE850,nCUENTA,1,nASIG,"Música de Cámara"),"")))</f>
        <v/>
      </c>
      <c r="AI850" t="str">
        <f>IF(AE850="","",IF(AE850="[FÓRMULA MANUAL]","",IFERROR(SUMPRODUCT((nNIA=AE850)*(nCUENTA=1)*(COUNTIF(CONFIG_ASIGNATURAS!$B$7:$B$27,nASIG)&gt;0)*(nNOTA))/SUMPRODUCT((nNIA=AE850)*(nCUENTA=1)*(COUNTIF(CONFIG_ASIGNATURAS!$B$7:$B$27,nASIG)&gt;0)*1),"")))</f>
        <v/>
      </c>
    </row>
    <row r="851" spans="2:35" x14ac:dyDescent="0.2">
      <c r="B851" t="str">
        <f>IF(A851="","",IF(A851="[FÓRMULA MANUAL]","",IFERROR(AVERAGEIFS(nNOTA,nNIA,A851,nCUENTA,1,nASIG,"Lenguaje Musical"),"")))</f>
        <v/>
      </c>
      <c r="C851" t="str">
        <f>IF(A851="","",IF(A851="[FÓRMULA MANUAL]","",IFERROR(AVERAGEIFS(nNOTA,nNIA,A851,nCUENTA,1,nASIG,"Orquesta/Banda/Conjunto"),"")))</f>
        <v/>
      </c>
      <c r="D851" t="str">
        <f>IF(A851="","",IF(A851="[FÓRMULA MANUAL]","",IFERROR(AVERAGEIFS(nNOTA,nNIA,A851,nCUENTA,1,nASIG,"Conjunto"),"")))</f>
        <v/>
      </c>
      <c r="E851" t="str">
        <f>IF(A851="","",IF(A851="[FÓRMULA MANUAL]","",IFERROR(SUMPRODUCT((nNIA=A851)*(nCUENTA=1)*(COUNTIF(CONFIG_ASIGNATURAS!$B$7:$B$27,nASIG)&gt;0)*(nNOTA))/SUMPRODUCT((nNIA=A851)*(nCUENTA=1)*(COUNTIF(CONFIG_ASIGNATURAS!$B$7:$B$27,nASIG)&gt;0)*1),"")))</f>
        <v/>
      </c>
      <c r="H851" t="str">
        <f>IF(G851="","",IF(G851="[FÓRMULA MANUAL]","",IFERROR(AVERAGEIFS(nNOTA,nNIA,G851,nCUENTA,1,nASIG,"Lenguaje Musical"),"")))</f>
        <v/>
      </c>
      <c r="I851" t="str">
        <f>IF(G851="","",IF(G851="[FÓRMULA MANUAL]","",IFERROR(AVERAGEIFS(nNOTA,nNIA,G851,nCUENTA,1,nASIG,"Orquesta/Banda/Conjunto"),"")))</f>
        <v/>
      </c>
      <c r="J851" t="str">
        <f>IF(G851="","",IF(G851="[FÓRMULA MANUAL]","",IFERROR(AVERAGEIFS(nNOTA,nNIA,G851,nCUENTA,1,nASIG,"Conjunto"),"")))</f>
        <v/>
      </c>
      <c r="K851" t="str">
        <f>IF(G851="","",IF(G851="[FÓRMULA MANUAL]","",IFERROR(SUMPRODUCT((nNIA=G851)*(nCUENTA=1)*(COUNTIF(CONFIG_ASIGNATURAS!$B$7:$B$27,nASIG)&gt;0)*(nNOTA))/SUMPRODUCT((nNIA=G851)*(nCUENTA=1)*(COUNTIF(CONFIG_ASIGNATURAS!$B$7:$B$27,nASIG)&gt;0)*1),"")))</f>
        <v/>
      </c>
      <c r="N851" t="str">
        <f>IF(M851="","",IF(M851="[FÓRMULA MANUAL]","",IFERROR(AVERAGEIFS(nNOTA,nNIA,M851,nCUENTA,1,nASIG,"Armonía"),"")))</f>
        <v/>
      </c>
      <c r="O851" t="str">
        <f>IF(M851="","",IF(M851="[FÓRMULA MANUAL]","",IFERROR(AVERAGEIFS(nNOTA,nNIA,M851,nCUENTA,1,nASIG,"Orquesta/Banda/Conjunto"),"")))</f>
        <v/>
      </c>
      <c r="P851" t="str">
        <f>IF(M851="","",IF(M851="[FÓRMULA MANUAL]","",IFERROR(AVERAGEIFS(nNOTA,nNIA,M851,nCUENTA,1,nASIG,"Música de Cámara"),"")))</f>
        <v/>
      </c>
      <c r="Q851" t="str">
        <f>IF(M851="","",IF(M851="[FÓRMULA MANUAL]","",IFERROR(SUMPRODUCT((nNIA=M851)*(nCUENTA=1)*(COUNTIF(CONFIG_ASIGNATURAS!$B$7:$B$27,nASIG)&gt;0)*(nNOTA))/SUMPRODUCT((nNIA=M851)*(nCUENTA=1)*(COUNTIF(CONFIG_ASIGNATURAS!$B$7:$B$27,nASIG)&gt;0)*1),"")))</f>
        <v/>
      </c>
      <c r="T851" t="str">
        <f>IF(S851="","",IF(S851="[FÓRMULA MANUAL]","",IFERROR(AVERAGEIFS(nNOTA,nNIA,S851,nCUENTA,1,nASIG,"Armonía"),"")))</f>
        <v/>
      </c>
      <c r="U851" t="str">
        <f>IF(S851="","",IF(S851="[FÓRMULA MANUAL]","",IFERROR(AVERAGEIFS(nNOTA,nNIA,S851,nCUENTA,1,nASIG,"Orquesta/Banda/Conjunto"),"")))</f>
        <v/>
      </c>
      <c r="V851" t="str">
        <f>IF(S851="","",IF(S851="[FÓRMULA MANUAL]","",IFERROR(AVERAGEIFS(nNOTA,nNIA,S851,nCUENTA,1,nASIG,"Música de Cámara"),"")))</f>
        <v/>
      </c>
      <c r="W851" t="str">
        <f>IF(S851="","",IF(S851="[FÓRMULA MANUAL]","",IFERROR(SUMPRODUCT((nNIA=S851)*(nCUENTA=1)*(COUNTIF(CONFIG_ASIGNATURAS!$B$7:$B$27,nASIG)&gt;0)*(nNOTA))/SUMPRODUCT((nNIA=S851)*(nCUENTA=1)*(COUNTIF(CONFIG_ASIGNATURAS!$B$7:$B$27,nASIG)&gt;0)*1),"")))</f>
        <v/>
      </c>
      <c r="Z851" t="str">
        <f>IF(Y851="","",IF(Y851="[FÓRMULA MANUAL]","",IFERROR(AVERAGEIFS(nNOTA,nNIA,Y851,nCUENTA,1,nASIG,"Análisis"),"")))</f>
        <v/>
      </c>
      <c r="AA851" t="str">
        <f>IF(Y851="","",IF(Y851="[FÓRMULA MANUAL]","",IFERROR(AVERAGEIFS(nNOTA,nNIA,Y851,nCUENTA,1,nASIG,"Orquesta/Banda/Conjunto"),"")))</f>
        <v/>
      </c>
      <c r="AB851" t="str">
        <f>IF(Y851="","",IF(Y851="[FÓRMULA MANUAL]","",IFERROR(AVERAGEIFS(nNOTA,nNIA,Y851,nCUENTA,1,nASIG,"Música de Cámara"),"")))</f>
        <v/>
      </c>
      <c r="AC851" t="str">
        <f>IF(Y851="","",IF(Y851="[FÓRMULA MANUAL]","",IFERROR(SUMPRODUCT((nNIA=Y851)*(nCUENTA=1)*(COUNTIF(CONFIG_ASIGNATURAS!$B$7:$B$27,nASIG)&gt;0)*(nNOTA))/SUMPRODUCT((nNIA=Y851)*(nCUENTA=1)*(COUNTIF(CONFIG_ASIGNATURAS!$B$7:$B$27,nASIG)&gt;0)*1),"")))</f>
        <v/>
      </c>
      <c r="AF851" t="str">
        <f>IF(AE851="","",IF(AE851="[FÓRMULA MANUAL]","",IFERROR(AVERAGEIFS(nNOTA,nNIA,AE851,nCUENTA,1,nASIG,"Análisis"),"")))</f>
        <v/>
      </c>
      <c r="AG851" t="str">
        <f>IF(AE851="","",IF(AE851="[FÓRMULA MANUAL]","",IFERROR(AVERAGEIFS(nNOTA,nNIA,AE851,nCUENTA,1,nASIG,"Orquesta/Banda/Conjunto"),"")))</f>
        <v/>
      </c>
      <c r="AH851" t="str">
        <f>IF(AE851="","",IF(AE851="[FÓRMULA MANUAL]","",IFERROR(AVERAGEIFS(nNOTA,nNIA,AE851,nCUENTA,1,nASIG,"Música de Cámara"),"")))</f>
        <v/>
      </c>
      <c r="AI851" t="str">
        <f>IF(AE851="","",IF(AE851="[FÓRMULA MANUAL]","",IFERROR(SUMPRODUCT((nNIA=AE851)*(nCUENTA=1)*(COUNTIF(CONFIG_ASIGNATURAS!$B$7:$B$27,nASIG)&gt;0)*(nNOTA))/SUMPRODUCT((nNIA=AE851)*(nCUENTA=1)*(COUNTIF(CONFIG_ASIGNATURAS!$B$7:$B$27,nASIG)&gt;0)*1),"")))</f>
        <v/>
      </c>
    </row>
    <row r="852" spans="2:35" x14ac:dyDescent="0.2">
      <c r="B852" t="str">
        <f>IF(A852="","",IF(A852="[FÓRMULA MANUAL]","",IFERROR(AVERAGEIFS(nNOTA,nNIA,A852,nCUENTA,1,nASIG,"Lenguaje Musical"),"")))</f>
        <v/>
      </c>
      <c r="C852" t="str">
        <f>IF(A852="","",IF(A852="[FÓRMULA MANUAL]","",IFERROR(AVERAGEIFS(nNOTA,nNIA,A852,nCUENTA,1,nASIG,"Orquesta/Banda/Conjunto"),"")))</f>
        <v/>
      </c>
      <c r="D852" t="str">
        <f>IF(A852="","",IF(A852="[FÓRMULA MANUAL]","",IFERROR(AVERAGEIFS(nNOTA,nNIA,A852,nCUENTA,1,nASIG,"Conjunto"),"")))</f>
        <v/>
      </c>
      <c r="E852" t="str">
        <f>IF(A852="","",IF(A852="[FÓRMULA MANUAL]","",IFERROR(SUMPRODUCT((nNIA=A852)*(nCUENTA=1)*(COUNTIF(CONFIG_ASIGNATURAS!$B$7:$B$27,nASIG)&gt;0)*(nNOTA))/SUMPRODUCT((nNIA=A852)*(nCUENTA=1)*(COUNTIF(CONFIG_ASIGNATURAS!$B$7:$B$27,nASIG)&gt;0)*1),"")))</f>
        <v/>
      </c>
      <c r="H852" t="str">
        <f>IF(G852="","",IF(G852="[FÓRMULA MANUAL]","",IFERROR(AVERAGEIFS(nNOTA,nNIA,G852,nCUENTA,1,nASIG,"Lenguaje Musical"),"")))</f>
        <v/>
      </c>
      <c r="I852" t="str">
        <f>IF(G852="","",IF(G852="[FÓRMULA MANUAL]","",IFERROR(AVERAGEIFS(nNOTA,nNIA,G852,nCUENTA,1,nASIG,"Orquesta/Banda/Conjunto"),"")))</f>
        <v/>
      </c>
      <c r="J852" t="str">
        <f>IF(G852="","",IF(G852="[FÓRMULA MANUAL]","",IFERROR(AVERAGEIFS(nNOTA,nNIA,G852,nCUENTA,1,nASIG,"Conjunto"),"")))</f>
        <v/>
      </c>
      <c r="K852" t="str">
        <f>IF(G852="","",IF(G852="[FÓRMULA MANUAL]","",IFERROR(SUMPRODUCT((nNIA=G852)*(nCUENTA=1)*(COUNTIF(CONFIG_ASIGNATURAS!$B$7:$B$27,nASIG)&gt;0)*(nNOTA))/SUMPRODUCT((nNIA=G852)*(nCUENTA=1)*(COUNTIF(CONFIG_ASIGNATURAS!$B$7:$B$27,nASIG)&gt;0)*1),"")))</f>
        <v/>
      </c>
      <c r="N852" t="str">
        <f>IF(M852="","",IF(M852="[FÓRMULA MANUAL]","",IFERROR(AVERAGEIFS(nNOTA,nNIA,M852,nCUENTA,1,nASIG,"Armonía"),"")))</f>
        <v/>
      </c>
      <c r="O852" t="str">
        <f>IF(M852="","",IF(M852="[FÓRMULA MANUAL]","",IFERROR(AVERAGEIFS(nNOTA,nNIA,M852,nCUENTA,1,nASIG,"Orquesta/Banda/Conjunto"),"")))</f>
        <v/>
      </c>
      <c r="P852" t="str">
        <f>IF(M852="","",IF(M852="[FÓRMULA MANUAL]","",IFERROR(AVERAGEIFS(nNOTA,nNIA,M852,nCUENTA,1,nASIG,"Música de Cámara"),"")))</f>
        <v/>
      </c>
      <c r="Q852" t="str">
        <f>IF(M852="","",IF(M852="[FÓRMULA MANUAL]","",IFERROR(SUMPRODUCT((nNIA=M852)*(nCUENTA=1)*(COUNTIF(CONFIG_ASIGNATURAS!$B$7:$B$27,nASIG)&gt;0)*(nNOTA))/SUMPRODUCT((nNIA=M852)*(nCUENTA=1)*(COUNTIF(CONFIG_ASIGNATURAS!$B$7:$B$27,nASIG)&gt;0)*1),"")))</f>
        <v/>
      </c>
      <c r="T852" t="str">
        <f>IF(S852="","",IF(S852="[FÓRMULA MANUAL]","",IFERROR(AVERAGEIFS(nNOTA,nNIA,S852,nCUENTA,1,nASIG,"Armonía"),"")))</f>
        <v/>
      </c>
      <c r="U852" t="str">
        <f>IF(S852="","",IF(S852="[FÓRMULA MANUAL]","",IFERROR(AVERAGEIFS(nNOTA,nNIA,S852,nCUENTA,1,nASIG,"Orquesta/Banda/Conjunto"),"")))</f>
        <v/>
      </c>
      <c r="V852" t="str">
        <f>IF(S852="","",IF(S852="[FÓRMULA MANUAL]","",IFERROR(AVERAGEIFS(nNOTA,nNIA,S852,nCUENTA,1,nASIG,"Música de Cámara"),"")))</f>
        <v/>
      </c>
      <c r="W852" t="str">
        <f>IF(S852="","",IF(S852="[FÓRMULA MANUAL]","",IFERROR(SUMPRODUCT((nNIA=S852)*(nCUENTA=1)*(COUNTIF(CONFIG_ASIGNATURAS!$B$7:$B$27,nASIG)&gt;0)*(nNOTA))/SUMPRODUCT((nNIA=S852)*(nCUENTA=1)*(COUNTIF(CONFIG_ASIGNATURAS!$B$7:$B$27,nASIG)&gt;0)*1),"")))</f>
        <v/>
      </c>
      <c r="Z852" t="str">
        <f>IF(Y852="","",IF(Y852="[FÓRMULA MANUAL]","",IFERROR(AVERAGEIFS(nNOTA,nNIA,Y852,nCUENTA,1,nASIG,"Análisis"),"")))</f>
        <v/>
      </c>
      <c r="AA852" t="str">
        <f>IF(Y852="","",IF(Y852="[FÓRMULA MANUAL]","",IFERROR(AVERAGEIFS(nNOTA,nNIA,Y852,nCUENTA,1,nASIG,"Orquesta/Banda/Conjunto"),"")))</f>
        <v/>
      </c>
      <c r="AB852" t="str">
        <f>IF(Y852="","",IF(Y852="[FÓRMULA MANUAL]","",IFERROR(AVERAGEIFS(nNOTA,nNIA,Y852,nCUENTA,1,nASIG,"Música de Cámara"),"")))</f>
        <v/>
      </c>
      <c r="AC852" t="str">
        <f>IF(Y852="","",IF(Y852="[FÓRMULA MANUAL]","",IFERROR(SUMPRODUCT((nNIA=Y852)*(nCUENTA=1)*(COUNTIF(CONFIG_ASIGNATURAS!$B$7:$B$27,nASIG)&gt;0)*(nNOTA))/SUMPRODUCT((nNIA=Y852)*(nCUENTA=1)*(COUNTIF(CONFIG_ASIGNATURAS!$B$7:$B$27,nASIG)&gt;0)*1),"")))</f>
        <v/>
      </c>
      <c r="AF852" t="str">
        <f>IF(AE852="","",IF(AE852="[FÓRMULA MANUAL]","",IFERROR(AVERAGEIFS(nNOTA,nNIA,AE852,nCUENTA,1,nASIG,"Análisis"),"")))</f>
        <v/>
      </c>
      <c r="AG852" t="str">
        <f>IF(AE852="","",IF(AE852="[FÓRMULA MANUAL]","",IFERROR(AVERAGEIFS(nNOTA,nNIA,AE852,nCUENTA,1,nASIG,"Orquesta/Banda/Conjunto"),"")))</f>
        <v/>
      </c>
      <c r="AH852" t="str">
        <f>IF(AE852="","",IF(AE852="[FÓRMULA MANUAL]","",IFERROR(AVERAGEIFS(nNOTA,nNIA,AE852,nCUENTA,1,nASIG,"Música de Cámara"),"")))</f>
        <v/>
      </c>
      <c r="AI852" t="str">
        <f>IF(AE852="","",IF(AE852="[FÓRMULA MANUAL]","",IFERROR(SUMPRODUCT((nNIA=AE852)*(nCUENTA=1)*(COUNTIF(CONFIG_ASIGNATURAS!$B$7:$B$27,nASIG)&gt;0)*(nNOTA))/SUMPRODUCT((nNIA=AE852)*(nCUENTA=1)*(COUNTIF(CONFIG_ASIGNATURAS!$B$7:$B$27,nASIG)&gt;0)*1),"")))</f>
        <v/>
      </c>
    </row>
    <row r="853" spans="2:35" x14ac:dyDescent="0.2">
      <c r="B853" t="str">
        <f>IF(A853="","",IF(A853="[FÓRMULA MANUAL]","",IFERROR(AVERAGEIFS(nNOTA,nNIA,A853,nCUENTA,1,nASIG,"Lenguaje Musical"),"")))</f>
        <v/>
      </c>
      <c r="C853" t="str">
        <f>IF(A853="","",IF(A853="[FÓRMULA MANUAL]","",IFERROR(AVERAGEIFS(nNOTA,nNIA,A853,nCUENTA,1,nASIG,"Orquesta/Banda/Conjunto"),"")))</f>
        <v/>
      </c>
      <c r="D853" t="str">
        <f>IF(A853="","",IF(A853="[FÓRMULA MANUAL]","",IFERROR(AVERAGEIFS(nNOTA,nNIA,A853,nCUENTA,1,nASIG,"Conjunto"),"")))</f>
        <v/>
      </c>
      <c r="E853" t="str">
        <f>IF(A853="","",IF(A853="[FÓRMULA MANUAL]","",IFERROR(SUMPRODUCT((nNIA=A853)*(nCUENTA=1)*(COUNTIF(CONFIG_ASIGNATURAS!$B$7:$B$27,nASIG)&gt;0)*(nNOTA))/SUMPRODUCT((nNIA=A853)*(nCUENTA=1)*(COUNTIF(CONFIG_ASIGNATURAS!$B$7:$B$27,nASIG)&gt;0)*1),"")))</f>
        <v/>
      </c>
      <c r="H853" t="str">
        <f>IF(G853="","",IF(G853="[FÓRMULA MANUAL]","",IFERROR(AVERAGEIFS(nNOTA,nNIA,G853,nCUENTA,1,nASIG,"Lenguaje Musical"),"")))</f>
        <v/>
      </c>
      <c r="I853" t="str">
        <f>IF(G853="","",IF(G853="[FÓRMULA MANUAL]","",IFERROR(AVERAGEIFS(nNOTA,nNIA,G853,nCUENTA,1,nASIG,"Orquesta/Banda/Conjunto"),"")))</f>
        <v/>
      </c>
      <c r="J853" t="str">
        <f>IF(G853="","",IF(G853="[FÓRMULA MANUAL]","",IFERROR(AVERAGEIFS(nNOTA,nNIA,G853,nCUENTA,1,nASIG,"Conjunto"),"")))</f>
        <v/>
      </c>
      <c r="K853" t="str">
        <f>IF(G853="","",IF(G853="[FÓRMULA MANUAL]","",IFERROR(SUMPRODUCT((nNIA=G853)*(nCUENTA=1)*(COUNTIF(CONFIG_ASIGNATURAS!$B$7:$B$27,nASIG)&gt;0)*(nNOTA))/SUMPRODUCT((nNIA=G853)*(nCUENTA=1)*(COUNTIF(CONFIG_ASIGNATURAS!$B$7:$B$27,nASIG)&gt;0)*1),"")))</f>
        <v/>
      </c>
      <c r="N853" t="str">
        <f>IF(M853="","",IF(M853="[FÓRMULA MANUAL]","",IFERROR(AVERAGEIFS(nNOTA,nNIA,M853,nCUENTA,1,nASIG,"Armonía"),"")))</f>
        <v/>
      </c>
      <c r="O853" t="str">
        <f>IF(M853="","",IF(M853="[FÓRMULA MANUAL]","",IFERROR(AVERAGEIFS(nNOTA,nNIA,M853,nCUENTA,1,nASIG,"Orquesta/Banda/Conjunto"),"")))</f>
        <v/>
      </c>
      <c r="P853" t="str">
        <f>IF(M853="","",IF(M853="[FÓRMULA MANUAL]","",IFERROR(AVERAGEIFS(nNOTA,nNIA,M853,nCUENTA,1,nASIG,"Música de Cámara"),"")))</f>
        <v/>
      </c>
      <c r="Q853" t="str">
        <f>IF(M853="","",IF(M853="[FÓRMULA MANUAL]","",IFERROR(SUMPRODUCT((nNIA=M853)*(nCUENTA=1)*(COUNTIF(CONFIG_ASIGNATURAS!$B$7:$B$27,nASIG)&gt;0)*(nNOTA))/SUMPRODUCT((nNIA=M853)*(nCUENTA=1)*(COUNTIF(CONFIG_ASIGNATURAS!$B$7:$B$27,nASIG)&gt;0)*1),"")))</f>
        <v/>
      </c>
      <c r="T853" t="str">
        <f>IF(S853="","",IF(S853="[FÓRMULA MANUAL]","",IFERROR(AVERAGEIFS(nNOTA,nNIA,S853,nCUENTA,1,nASIG,"Armonía"),"")))</f>
        <v/>
      </c>
      <c r="U853" t="str">
        <f>IF(S853="","",IF(S853="[FÓRMULA MANUAL]","",IFERROR(AVERAGEIFS(nNOTA,nNIA,S853,nCUENTA,1,nASIG,"Orquesta/Banda/Conjunto"),"")))</f>
        <v/>
      </c>
      <c r="V853" t="str">
        <f>IF(S853="","",IF(S853="[FÓRMULA MANUAL]","",IFERROR(AVERAGEIFS(nNOTA,nNIA,S853,nCUENTA,1,nASIG,"Música de Cámara"),"")))</f>
        <v/>
      </c>
      <c r="W853" t="str">
        <f>IF(S853="","",IF(S853="[FÓRMULA MANUAL]","",IFERROR(SUMPRODUCT((nNIA=S853)*(nCUENTA=1)*(COUNTIF(CONFIG_ASIGNATURAS!$B$7:$B$27,nASIG)&gt;0)*(nNOTA))/SUMPRODUCT((nNIA=S853)*(nCUENTA=1)*(COUNTIF(CONFIG_ASIGNATURAS!$B$7:$B$27,nASIG)&gt;0)*1),"")))</f>
        <v/>
      </c>
      <c r="Z853" t="str">
        <f>IF(Y853="","",IF(Y853="[FÓRMULA MANUAL]","",IFERROR(AVERAGEIFS(nNOTA,nNIA,Y853,nCUENTA,1,nASIG,"Análisis"),"")))</f>
        <v/>
      </c>
      <c r="AA853" t="str">
        <f>IF(Y853="","",IF(Y853="[FÓRMULA MANUAL]","",IFERROR(AVERAGEIFS(nNOTA,nNIA,Y853,nCUENTA,1,nASIG,"Orquesta/Banda/Conjunto"),"")))</f>
        <v/>
      </c>
      <c r="AB853" t="str">
        <f>IF(Y853="","",IF(Y853="[FÓRMULA MANUAL]","",IFERROR(AVERAGEIFS(nNOTA,nNIA,Y853,nCUENTA,1,nASIG,"Música de Cámara"),"")))</f>
        <v/>
      </c>
      <c r="AC853" t="str">
        <f>IF(Y853="","",IF(Y853="[FÓRMULA MANUAL]","",IFERROR(SUMPRODUCT((nNIA=Y853)*(nCUENTA=1)*(COUNTIF(CONFIG_ASIGNATURAS!$B$7:$B$27,nASIG)&gt;0)*(nNOTA))/SUMPRODUCT((nNIA=Y853)*(nCUENTA=1)*(COUNTIF(CONFIG_ASIGNATURAS!$B$7:$B$27,nASIG)&gt;0)*1),"")))</f>
        <v/>
      </c>
      <c r="AF853" t="str">
        <f>IF(AE853="","",IF(AE853="[FÓRMULA MANUAL]","",IFERROR(AVERAGEIFS(nNOTA,nNIA,AE853,nCUENTA,1,nASIG,"Análisis"),"")))</f>
        <v/>
      </c>
      <c r="AG853" t="str">
        <f>IF(AE853="","",IF(AE853="[FÓRMULA MANUAL]","",IFERROR(AVERAGEIFS(nNOTA,nNIA,AE853,nCUENTA,1,nASIG,"Orquesta/Banda/Conjunto"),"")))</f>
        <v/>
      </c>
      <c r="AH853" t="str">
        <f>IF(AE853="","",IF(AE853="[FÓRMULA MANUAL]","",IFERROR(AVERAGEIFS(nNOTA,nNIA,AE853,nCUENTA,1,nASIG,"Música de Cámara"),"")))</f>
        <v/>
      </c>
      <c r="AI853" t="str">
        <f>IF(AE853="","",IF(AE853="[FÓRMULA MANUAL]","",IFERROR(SUMPRODUCT((nNIA=AE853)*(nCUENTA=1)*(COUNTIF(CONFIG_ASIGNATURAS!$B$7:$B$27,nASIG)&gt;0)*(nNOTA))/SUMPRODUCT((nNIA=AE853)*(nCUENTA=1)*(COUNTIF(CONFIG_ASIGNATURAS!$B$7:$B$27,nASIG)&gt;0)*1),"")))</f>
        <v/>
      </c>
    </row>
    <row r="854" spans="2:35" x14ac:dyDescent="0.2">
      <c r="B854" t="str">
        <f>IF(A854="","",IF(A854="[FÓRMULA MANUAL]","",IFERROR(AVERAGEIFS(nNOTA,nNIA,A854,nCUENTA,1,nASIG,"Lenguaje Musical"),"")))</f>
        <v/>
      </c>
      <c r="C854" t="str">
        <f>IF(A854="","",IF(A854="[FÓRMULA MANUAL]","",IFERROR(AVERAGEIFS(nNOTA,nNIA,A854,nCUENTA,1,nASIG,"Orquesta/Banda/Conjunto"),"")))</f>
        <v/>
      </c>
      <c r="D854" t="str">
        <f>IF(A854="","",IF(A854="[FÓRMULA MANUAL]","",IFERROR(AVERAGEIFS(nNOTA,nNIA,A854,nCUENTA,1,nASIG,"Conjunto"),"")))</f>
        <v/>
      </c>
      <c r="E854" t="str">
        <f>IF(A854="","",IF(A854="[FÓRMULA MANUAL]","",IFERROR(SUMPRODUCT((nNIA=A854)*(nCUENTA=1)*(COUNTIF(CONFIG_ASIGNATURAS!$B$7:$B$27,nASIG)&gt;0)*(nNOTA))/SUMPRODUCT((nNIA=A854)*(nCUENTA=1)*(COUNTIF(CONFIG_ASIGNATURAS!$B$7:$B$27,nASIG)&gt;0)*1),"")))</f>
        <v/>
      </c>
      <c r="H854" t="str">
        <f>IF(G854="","",IF(G854="[FÓRMULA MANUAL]","",IFERROR(AVERAGEIFS(nNOTA,nNIA,G854,nCUENTA,1,nASIG,"Lenguaje Musical"),"")))</f>
        <v/>
      </c>
      <c r="I854" t="str">
        <f>IF(G854="","",IF(G854="[FÓRMULA MANUAL]","",IFERROR(AVERAGEIFS(nNOTA,nNIA,G854,nCUENTA,1,nASIG,"Orquesta/Banda/Conjunto"),"")))</f>
        <v/>
      </c>
      <c r="J854" t="str">
        <f>IF(G854="","",IF(G854="[FÓRMULA MANUAL]","",IFERROR(AVERAGEIFS(nNOTA,nNIA,G854,nCUENTA,1,nASIG,"Conjunto"),"")))</f>
        <v/>
      </c>
      <c r="K854" t="str">
        <f>IF(G854="","",IF(G854="[FÓRMULA MANUAL]","",IFERROR(SUMPRODUCT((nNIA=G854)*(nCUENTA=1)*(COUNTIF(CONFIG_ASIGNATURAS!$B$7:$B$27,nASIG)&gt;0)*(nNOTA))/SUMPRODUCT((nNIA=G854)*(nCUENTA=1)*(COUNTIF(CONFIG_ASIGNATURAS!$B$7:$B$27,nASIG)&gt;0)*1),"")))</f>
        <v/>
      </c>
      <c r="N854" t="str">
        <f>IF(M854="","",IF(M854="[FÓRMULA MANUAL]","",IFERROR(AVERAGEIFS(nNOTA,nNIA,M854,nCUENTA,1,nASIG,"Armonía"),"")))</f>
        <v/>
      </c>
      <c r="O854" t="str">
        <f>IF(M854="","",IF(M854="[FÓRMULA MANUAL]","",IFERROR(AVERAGEIFS(nNOTA,nNIA,M854,nCUENTA,1,nASIG,"Orquesta/Banda/Conjunto"),"")))</f>
        <v/>
      </c>
      <c r="P854" t="str">
        <f>IF(M854="","",IF(M854="[FÓRMULA MANUAL]","",IFERROR(AVERAGEIFS(nNOTA,nNIA,M854,nCUENTA,1,nASIG,"Música de Cámara"),"")))</f>
        <v/>
      </c>
      <c r="Q854" t="str">
        <f>IF(M854="","",IF(M854="[FÓRMULA MANUAL]","",IFERROR(SUMPRODUCT((nNIA=M854)*(nCUENTA=1)*(COUNTIF(CONFIG_ASIGNATURAS!$B$7:$B$27,nASIG)&gt;0)*(nNOTA))/SUMPRODUCT((nNIA=M854)*(nCUENTA=1)*(COUNTIF(CONFIG_ASIGNATURAS!$B$7:$B$27,nASIG)&gt;0)*1),"")))</f>
        <v/>
      </c>
      <c r="T854" t="str">
        <f>IF(S854="","",IF(S854="[FÓRMULA MANUAL]","",IFERROR(AVERAGEIFS(nNOTA,nNIA,S854,nCUENTA,1,nASIG,"Armonía"),"")))</f>
        <v/>
      </c>
      <c r="U854" t="str">
        <f>IF(S854="","",IF(S854="[FÓRMULA MANUAL]","",IFERROR(AVERAGEIFS(nNOTA,nNIA,S854,nCUENTA,1,nASIG,"Orquesta/Banda/Conjunto"),"")))</f>
        <v/>
      </c>
      <c r="V854" t="str">
        <f>IF(S854="","",IF(S854="[FÓRMULA MANUAL]","",IFERROR(AVERAGEIFS(nNOTA,nNIA,S854,nCUENTA,1,nASIG,"Música de Cámara"),"")))</f>
        <v/>
      </c>
      <c r="W854" t="str">
        <f>IF(S854="","",IF(S854="[FÓRMULA MANUAL]","",IFERROR(SUMPRODUCT((nNIA=S854)*(nCUENTA=1)*(COUNTIF(CONFIG_ASIGNATURAS!$B$7:$B$27,nASIG)&gt;0)*(nNOTA))/SUMPRODUCT((nNIA=S854)*(nCUENTA=1)*(COUNTIF(CONFIG_ASIGNATURAS!$B$7:$B$27,nASIG)&gt;0)*1),"")))</f>
        <v/>
      </c>
      <c r="Z854" t="str">
        <f>IF(Y854="","",IF(Y854="[FÓRMULA MANUAL]","",IFERROR(AVERAGEIFS(nNOTA,nNIA,Y854,nCUENTA,1,nASIG,"Análisis"),"")))</f>
        <v/>
      </c>
      <c r="AA854" t="str">
        <f>IF(Y854="","",IF(Y854="[FÓRMULA MANUAL]","",IFERROR(AVERAGEIFS(nNOTA,nNIA,Y854,nCUENTA,1,nASIG,"Orquesta/Banda/Conjunto"),"")))</f>
        <v/>
      </c>
      <c r="AB854" t="str">
        <f>IF(Y854="","",IF(Y854="[FÓRMULA MANUAL]","",IFERROR(AVERAGEIFS(nNOTA,nNIA,Y854,nCUENTA,1,nASIG,"Música de Cámara"),"")))</f>
        <v/>
      </c>
      <c r="AC854" t="str">
        <f>IF(Y854="","",IF(Y854="[FÓRMULA MANUAL]","",IFERROR(SUMPRODUCT((nNIA=Y854)*(nCUENTA=1)*(COUNTIF(CONFIG_ASIGNATURAS!$B$7:$B$27,nASIG)&gt;0)*(nNOTA))/SUMPRODUCT((nNIA=Y854)*(nCUENTA=1)*(COUNTIF(CONFIG_ASIGNATURAS!$B$7:$B$27,nASIG)&gt;0)*1),"")))</f>
        <v/>
      </c>
      <c r="AF854" t="str">
        <f>IF(AE854="","",IF(AE854="[FÓRMULA MANUAL]","",IFERROR(AVERAGEIFS(nNOTA,nNIA,AE854,nCUENTA,1,nASIG,"Análisis"),"")))</f>
        <v/>
      </c>
      <c r="AG854" t="str">
        <f>IF(AE854="","",IF(AE854="[FÓRMULA MANUAL]","",IFERROR(AVERAGEIFS(nNOTA,nNIA,AE854,nCUENTA,1,nASIG,"Orquesta/Banda/Conjunto"),"")))</f>
        <v/>
      </c>
      <c r="AH854" t="str">
        <f>IF(AE854="","",IF(AE854="[FÓRMULA MANUAL]","",IFERROR(AVERAGEIFS(nNOTA,nNIA,AE854,nCUENTA,1,nASIG,"Música de Cámara"),"")))</f>
        <v/>
      </c>
      <c r="AI854" t="str">
        <f>IF(AE854="","",IF(AE854="[FÓRMULA MANUAL]","",IFERROR(SUMPRODUCT((nNIA=AE854)*(nCUENTA=1)*(COUNTIF(CONFIG_ASIGNATURAS!$B$7:$B$27,nASIG)&gt;0)*(nNOTA))/SUMPRODUCT((nNIA=AE854)*(nCUENTA=1)*(COUNTIF(CONFIG_ASIGNATURAS!$B$7:$B$27,nASIG)&gt;0)*1),"")))</f>
        <v/>
      </c>
    </row>
    <row r="855" spans="2:35" x14ac:dyDescent="0.2">
      <c r="B855" t="str">
        <f>IF(A855="","",IF(A855="[FÓRMULA MANUAL]","",IFERROR(AVERAGEIFS(nNOTA,nNIA,A855,nCUENTA,1,nASIG,"Lenguaje Musical"),"")))</f>
        <v/>
      </c>
      <c r="C855" t="str">
        <f>IF(A855="","",IF(A855="[FÓRMULA MANUAL]","",IFERROR(AVERAGEIFS(nNOTA,nNIA,A855,nCUENTA,1,nASIG,"Orquesta/Banda/Conjunto"),"")))</f>
        <v/>
      </c>
      <c r="D855" t="str">
        <f>IF(A855="","",IF(A855="[FÓRMULA MANUAL]","",IFERROR(AVERAGEIFS(nNOTA,nNIA,A855,nCUENTA,1,nASIG,"Conjunto"),"")))</f>
        <v/>
      </c>
      <c r="E855" t="str">
        <f>IF(A855="","",IF(A855="[FÓRMULA MANUAL]","",IFERROR(SUMPRODUCT((nNIA=A855)*(nCUENTA=1)*(COUNTIF(CONFIG_ASIGNATURAS!$B$7:$B$27,nASIG)&gt;0)*(nNOTA))/SUMPRODUCT((nNIA=A855)*(nCUENTA=1)*(COUNTIF(CONFIG_ASIGNATURAS!$B$7:$B$27,nASIG)&gt;0)*1),"")))</f>
        <v/>
      </c>
      <c r="H855" t="str">
        <f>IF(G855="","",IF(G855="[FÓRMULA MANUAL]","",IFERROR(AVERAGEIFS(nNOTA,nNIA,G855,nCUENTA,1,nASIG,"Lenguaje Musical"),"")))</f>
        <v/>
      </c>
      <c r="I855" t="str">
        <f>IF(G855="","",IF(G855="[FÓRMULA MANUAL]","",IFERROR(AVERAGEIFS(nNOTA,nNIA,G855,nCUENTA,1,nASIG,"Orquesta/Banda/Conjunto"),"")))</f>
        <v/>
      </c>
      <c r="J855" t="str">
        <f>IF(G855="","",IF(G855="[FÓRMULA MANUAL]","",IFERROR(AVERAGEIFS(nNOTA,nNIA,G855,nCUENTA,1,nASIG,"Conjunto"),"")))</f>
        <v/>
      </c>
      <c r="K855" t="str">
        <f>IF(G855="","",IF(G855="[FÓRMULA MANUAL]","",IFERROR(SUMPRODUCT((nNIA=G855)*(nCUENTA=1)*(COUNTIF(CONFIG_ASIGNATURAS!$B$7:$B$27,nASIG)&gt;0)*(nNOTA))/SUMPRODUCT((nNIA=G855)*(nCUENTA=1)*(COUNTIF(CONFIG_ASIGNATURAS!$B$7:$B$27,nASIG)&gt;0)*1),"")))</f>
        <v/>
      </c>
      <c r="N855" t="str">
        <f>IF(M855="","",IF(M855="[FÓRMULA MANUAL]","",IFERROR(AVERAGEIFS(nNOTA,nNIA,M855,nCUENTA,1,nASIG,"Armonía"),"")))</f>
        <v/>
      </c>
      <c r="O855" t="str">
        <f>IF(M855="","",IF(M855="[FÓRMULA MANUAL]","",IFERROR(AVERAGEIFS(nNOTA,nNIA,M855,nCUENTA,1,nASIG,"Orquesta/Banda/Conjunto"),"")))</f>
        <v/>
      </c>
      <c r="P855" t="str">
        <f>IF(M855="","",IF(M855="[FÓRMULA MANUAL]","",IFERROR(AVERAGEIFS(nNOTA,nNIA,M855,nCUENTA,1,nASIG,"Música de Cámara"),"")))</f>
        <v/>
      </c>
      <c r="Q855" t="str">
        <f>IF(M855="","",IF(M855="[FÓRMULA MANUAL]","",IFERROR(SUMPRODUCT((nNIA=M855)*(nCUENTA=1)*(COUNTIF(CONFIG_ASIGNATURAS!$B$7:$B$27,nASIG)&gt;0)*(nNOTA))/SUMPRODUCT((nNIA=M855)*(nCUENTA=1)*(COUNTIF(CONFIG_ASIGNATURAS!$B$7:$B$27,nASIG)&gt;0)*1),"")))</f>
        <v/>
      </c>
      <c r="T855" t="str">
        <f>IF(S855="","",IF(S855="[FÓRMULA MANUAL]","",IFERROR(AVERAGEIFS(nNOTA,nNIA,S855,nCUENTA,1,nASIG,"Armonía"),"")))</f>
        <v/>
      </c>
      <c r="U855" t="str">
        <f>IF(S855="","",IF(S855="[FÓRMULA MANUAL]","",IFERROR(AVERAGEIFS(nNOTA,nNIA,S855,nCUENTA,1,nASIG,"Orquesta/Banda/Conjunto"),"")))</f>
        <v/>
      </c>
      <c r="V855" t="str">
        <f>IF(S855="","",IF(S855="[FÓRMULA MANUAL]","",IFERROR(AVERAGEIFS(nNOTA,nNIA,S855,nCUENTA,1,nASIG,"Música de Cámara"),"")))</f>
        <v/>
      </c>
      <c r="W855" t="str">
        <f>IF(S855="","",IF(S855="[FÓRMULA MANUAL]","",IFERROR(SUMPRODUCT((nNIA=S855)*(nCUENTA=1)*(COUNTIF(CONFIG_ASIGNATURAS!$B$7:$B$27,nASIG)&gt;0)*(nNOTA))/SUMPRODUCT((nNIA=S855)*(nCUENTA=1)*(COUNTIF(CONFIG_ASIGNATURAS!$B$7:$B$27,nASIG)&gt;0)*1),"")))</f>
        <v/>
      </c>
      <c r="Z855" t="str">
        <f>IF(Y855="","",IF(Y855="[FÓRMULA MANUAL]","",IFERROR(AVERAGEIFS(nNOTA,nNIA,Y855,nCUENTA,1,nASIG,"Análisis"),"")))</f>
        <v/>
      </c>
      <c r="AA855" t="str">
        <f>IF(Y855="","",IF(Y855="[FÓRMULA MANUAL]","",IFERROR(AVERAGEIFS(nNOTA,nNIA,Y855,nCUENTA,1,nASIG,"Orquesta/Banda/Conjunto"),"")))</f>
        <v/>
      </c>
      <c r="AB855" t="str">
        <f>IF(Y855="","",IF(Y855="[FÓRMULA MANUAL]","",IFERROR(AVERAGEIFS(nNOTA,nNIA,Y855,nCUENTA,1,nASIG,"Música de Cámara"),"")))</f>
        <v/>
      </c>
      <c r="AC855" t="str">
        <f>IF(Y855="","",IF(Y855="[FÓRMULA MANUAL]","",IFERROR(SUMPRODUCT((nNIA=Y855)*(nCUENTA=1)*(COUNTIF(CONFIG_ASIGNATURAS!$B$7:$B$27,nASIG)&gt;0)*(nNOTA))/SUMPRODUCT((nNIA=Y855)*(nCUENTA=1)*(COUNTIF(CONFIG_ASIGNATURAS!$B$7:$B$27,nASIG)&gt;0)*1),"")))</f>
        <v/>
      </c>
      <c r="AF855" t="str">
        <f>IF(AE855="","",IF(AE855="[FÓRMULA MANUAL]","",IFERROR(AVERAGEIFS(nNOTA,nNIA,AE855,nCUENTA,1,nASIG,"Análisis"),"")))</f>
        <v/>
      </c>
      <c r="AG855" t="str">
        <f>IF(AE855="","",IF(AE855="[FÓRMULA MANUAL]","",IFERROR(AVERAGEIFS(nNOTA,nNIA,AE855,nCUENTA,1,nASIG,"Orquesta/Banda/Conjunto"),"")))</f>
        <v/>
      </c>
      <c r="AH855" t="str">
        <f>IF(AE855="","",IF(AE855="[FÓRMULA MANUAL]","",IFERROR(AVERAGEIFS(nNOTA,nNIA,AE855,nCUENTA,1,nASIG,"Música de Cámara"),"")))</f>
        <v/>
      </c>
      <c r="AI855" t="str">
        <f>IF(AE855="","",IF(AE855="[FÓRMULA MANUAL]","",IFERROR(SUMPRODUCT((nNIA=AE855)*(nCUENTA=1)*(COUNTIF(CONFIG_ASIGNATURAS!$B$7:$B$27,nASIG)&gt;0)*(nNOTA))/SUMPRODUCT((nNIA=AE855)*(nCUENTA=1)*(COUNTIF(CONFIG_ASIGNATURAS!$B$7:$B$27,nASIG)&gt;0)*1),"")))</f>
        <v/>
      </c>
    </row>
    <row r="856" spans="2:35" x14ac:dyDescent="0.2">
      <c r="B856" t="str">
        <f>IF(A856="","",IF(A856="[FÓRMULA MANUAL]","",IFERROR(AVERAGEIFS(nNOTA,nNIA,A856,nCUENTA,1,nASIG,"Lenguaje Musical"),"")))</f>
        <v/>
      </c>
      <c r="C856" t="str">
        <f>IF(A856="","",IF(A856="[FÓRMULA MANUAL]","",IFERROR(AVERAGEIFS(nNOTA,nNIA,A856,nCUENTA,1,nASIG,"Orquesta/Banda/Conjunto"),"")))</f>
        <v/>
      </c>
      <c r="D856" t="str">
        <f>IF(A856="","",IF(A856="[FÓRMULA MANUAL]","",IFERROR(AVERAGEIFS(nNOTA,nNIA,A856,nCUENTA,1,nASIG,"Conjunto"),"")))</f>
        <v/>
      </c>
      <c r="E856" t="str">
        <f>IF(A856="","",IF(A856="[FÓRMULA MANUAL]","",IFERROR(SUMPRODUCT((nNIA=A856)*(nCUENTA=1)*(COUNTIF(CONFIG_ASIGNATURAS!$B$7:$B$27,nASIG)&gt;0)*(nNOTA))/SUMPRODUCT((nNIA=A856)*(nCUENTA=1)*(COUNTIF(CONFIG_ASIGNATURAS!$B$7:$B$27,nASIG)&gt;0)*1),"")))</f>
        <v/>
      </c>
      <c r="H856" t="str">
        <f>IF(G856="","",IF(G856="[FÓRMULA MANUAL]","",IFERROR(AVERAGEIFS(nNOTA,nNIA,G856,nCUENTA,1,nASIG,"Lenguaje Musical"),"")))</f>
        <v/>
      </c>
      <c r="I856" t="str">
        <f>IF(G856="","",IF(G856="[FÓRMULA MANUAL]","",IFERROR(AVERAGEIFS(nNOTA,nNIA,G856,nCUENTA,1,nASIG,"Orquesta/Banda/Conjunto"),"")))</f>
        <v/>
      </c>
      <c r="J856" t="str">
        <f>IF(G856="","",IF(G856="[FÓRMULA MANUAL]","",IFERROR(AVERAGEIFS(nNOTA,nNIA,G856,nCUENTA,1,nASIG,"Conjunto"),"")))</f>
        <v/>
      </c>
      <c r="K856" t="str">
        <f>IF(G856="","",IF(G856="[FÓRMULA MANUAL]","",IFERROR(SUMPRODUCT((nNIA=G856)*(nCUENTA=1)*(COUNTIF(CONFIG_ASIGNATURAS!$B$7:$B$27,nASIG)&gt;0)*(nNOTA))/SUMPRODUCT((nNIA=G856)*(nCUENTA=1)*(COUNTIF(CONFIG_ASIGNATURAS!$B$7:$B$27,nASIG)&gt;0)*1),"")))</f>
        <v/>
      </c>
      <c r="N856" t="str">
        <f>IF(M856="","",IF(M856="[FÓRMULA MANUAL]","",IFERROR(AVERAGEIFS(nNOTA,nNIA,M856,nCUENTA,1,nASIG,"Armonía"),"")))</f>
        <v/>
      </c>
      <c r="O856" t="str">
        <f>IF(M856="","",IF(M856="[FÓRMULA MANUAL]","",IFERROR(AVERAGEIFS(nNOTA,nNIA,M856,nCUENTA,1,nASIG,"Orquesta/Banda/Conjunto"),"")))</f>
        <v/>
      </c>
      <c r="P856" t="str">
        <f>IF(M856="","",IF(M856="[FÓRMULA MANUAL]","",IFERROR(AVERAGEIFS(nNOTA,nNIA,M856,nCUENTA,1,nASIG,"Música de Cámara"),"")))</f>
        <v/>
      </c>
      <c r="Q856" t="str">
        <f>IF(M856="","",IF(M856="[FÓRMULA MANUAL]","",IFERROR(SUMPRODUCT((nNIA=M856)*(nCUENTA=1)*(COUNTIF(CONFIG_ASIGNATURAS!$B$7:$B$27,nASIG)&gt;0)*(nNOTA))/SUMPRODUCT((nNIA=M856)*(nCUENTA=1)*(COUNTIF(CONFIG_ASIGNATURAS!$B$7:$B$27,nASIG)&gt;0)*1),"")))</f>
        <v/>
      </c>
      <c r="T856" t="str">
        <f>IF(S856="","",IF(S856="[FÓRMULA MANUAL]","",IFERROR(AVERAGEIFS(nNOTA,nNIA,S856,nCUENTA,1,nASIG,"Armonía"),"")))</f>
        <v/>
      </c>
      <c r="U856" t="str">
        <f>IF(S856="","",IF(S856="[FÓRMULA MANUAL]","",IFERROR(AVERAGEIFS(nNOTA,nNIA,S856,nCUENTA,1,nASIG,"Orquesta/Banda/Conjunto"),"")))</f>
        <v/>
      </c>
      <c r="V856" t="str">
        <f>IF(S856="","",IF(S856="[FÓRMULA MANUAL]","",IFERROR(AVERAGEIFS(nNOTA,nNIA,S856,nCUENTA,1,nASIG,"Música de Cámara"),"")))</f>
        <v/>
      </c>
      <c r="W856" t="str">
        <f>IF(S856="","",IF(S856="[FÓRMULA MANUAL]","",IFERROR(SUMPRODUCT((nNIA=S856)*(nCUENTA=1)*(COUNTIF(CONFIG_ASIGNATURAS!$B$7:$B$27,nASIG)&gt;0)*(nNOTA))/SUMPRODUCT((nNIA=S856)*(nCUENTA=1)*(COUNTIF(CONFIG_ASIGNATURAS!$B$7:$B$27,nASIG)&gt;0)*1),"")))</f>
        <v/>
      </c>
      <c r="Z856" t="str">
        <f>IF(Y856="","",IF(Y856="[FÓRMULA MANUAL]","",IFERROR(AVERAGEIFS(nNOTA,nNIA,Y856,nCUENTA,1,nASIG,"Análisis"),"")))</f>
        <v/>
      </c>
      <c r="AA856" t="str">
        <f>IF(Y856="","",IF(Y856="[FÓRMULA MANUAL]","",IFERROR(AVERAGEIFS(nNOTA,nNIA,Y856,nCUENTA,1,nASIG,"Orquesta/Banda/Conjunto"),"")))</f>
        <v/>
      </c>
      <c r="AB856" t="str">
        <f>IF(Y856="","",IF(Y856="[FÓRMULA MANUAL]","",IFERROR(AVERAGEIFS(nNOTA,nNIA,Y856,nCUENTA,1,nASIG,"Música de Cámara"),"")))</f>
        <v/>
      </c>
      <c r="AC856" t="str">
        <f>IF(Y856="","",IF(Y856="[FÓRMULA MANUAL]","",IFERROR(SUMPRODUCT((nNIA=Y856)*(nCUENTA=1)*(COUNTIF(CONFIG_ASIGNATURAS!$B$7:$B$27,nASIG)&gt;0)*(nNOTA))/SUMPRODUCT((nNIA=Y856)*(nCUENTA=1)*(COUNTIF(CONFIG_ASIGNATURAS!$B$7:$B$27,nASIG)&gt;0)*1),"")))</f>
        <v/>
      </c>
      <c r="AF856" t="str">
        <f>IF(AE856="","",IF(AE856="[FÓRMULA MANUAL]","",IFERROR(AVERAGEIFS(nNOTA,nNIA,AE856,nCUENTA,1,nASIG,"Análisis"),"")))</f>
        <v/>
      </c>
      <c r="AG856" t="str">
        <f>IF(AE856="","",IF(AE856="[FÓRMULA MANUAL]","",IFERROR(AVERAGEIFS(nNOTA,nNIA,AE856,nCUENTA,1,nASIG,"Orquesta/Banda/Conjunto"),"")))</f>
        <v/>
      </c>
      <c r="AH856" t="str">
        <f>IF(AE856="","",IF(AE856="[FÓRMULA MANUAL]","",IFERROR(AVERAGEIFS(nNOTA,nNIA,AE856,nCUENTA,1,nASIG,"Música de Cámara"),"")))</f>
        <v/>
      </c>
      <c r="AI856" t="str">
        <f>IF(AE856="","",IF(AE856="[FÓRMULA MANUAL]","",IFERROR(SUMPRODUCT((nNIA=AE856)*(nCUENTA=1)*(COUNTIF(CONFIG_ASIGNATURAS!$B$7:$B$27,nASIG)&gt;0)*(nNOTA))/SUMPRODUCT((nNIA=AE856)*(nCUENTA=1)*(COUNTIF(CONFIG_ASIGNATURAS!$B$7:$B$27,nASIG)&gt;0)*1),"")))</f>
        <v/>
      </c>
    </row>
    <row r="857" spans="2:35" x14ac:dyDescent="0.2">
      <c r="B857" t="str">
        <f>IF(A857="","",IF(A857="[FÓRMULA MANUAL]","",IFERROR(AVERAGEIFS(nNOTA,nNIA,A857,nCUENTA,1,nASIG,"Lenguaje Musical"),"")))</f>
        <v/>
      </c>
      <c r="C857" t="str">
        <f>IF(A857="","",IF(A857="[FÓRMULA MANUAL]","",IFERROR(AVERAGEIFS(nNOTA,nNIA,A857,nCUENTA,1,nASIG,"Orquesta/Banda/Conjunto"),"")))</f>
        <v/>
      </c>
      <c r="D857" t="str">
        <f>IF(A857="","",IF(A857="[FÓRMULA MANUAL]","",IFERROR(AVERAGEIFS(nNOTA,nNIA,A857,nCUENTA,1,nASIG,"Conjunto"),"")))</f>
        <v/>
      </c>
      <c r="E857" t="str">
        <f>IF(A857="","",IF(A857="[FÓRMULA MANUAL]","",IFERROR(SUMPRODUCT((nNIA=A857)*(nCUENTA=1)*(COUNTIF(CONFIG_ASIGNATURAS!$B$7:$B$27,nASIG)&gt;0)*(nNOTA))/SUMPRODUCT((nNIA=A857)*(nCUENTA=1)*(COUNTIF(CONFIG_ASIGNATURAS!$B$7:$B$27,nASIG)&gt;0)*1),"")))</f>
        <v/>
      </c>
      <c r="H857" t="str">
        <f>IF(G857="","",IF(G857="[FÓRMULA MANUAL]","",IFERROR(AVERAGEIFS(nNOTA,nNIA,G857,nCUENTA,1,nASIG,"Lenguaje Musical"),"")))</f>
        <v/>
      </c>
      <c r="I857" t="str">
        <f>IF(G857="","",IF(G857="[FÓRMULA MANUAL]","",IFERROR(AVERAGEIFS(nNOTA,nNIA,G857,nCUENTA,1,nASIG,"Orquesta/Banda/Conjunto"),"")))</f>
        <v/>
      </c>
      <c r="J857" t="str">
        <f>IF(G857="","",IF(G857="[FÓRMULA MANUAL]","",IFERROR(AVERAGEIFS(nNOTA,nNIA,G857,nCUENTA,1,nASIG,"Conjunto"),"")))</f>
        <v/>
      </c>
      <c r="K857" t="str">
        <f>IF(G857="","",IF(G857="[FÓRMULA MANUAL]","",IFERROR(SUMPRODUCT((nNIA=G857)*(nCUENTA=1)*(COUNTIF(CONFIG_ASIGNATURAS!$B$7:$B$27,nASIG)&gt;0)*(nNOTA))/SUMPRODUCT((nNIA=G857)*(nCUENTA=1)*(COUNTIF(CONFIG_ASIGNATURAS!$B$7:$B$27,nASIG)&gt;0)*1),"")))</f>
        <v/>
      </c>
      <c r="N857" t="str">
        <f>IF(M857="","",IF(M857="[FÓRMULA MANUAL]","",IFERROR(AVERAGEIFS(nNOTA,nNIA,M857,nCUENTA,1,nASIG,"Armonía"),"")))</f>
        <v/>
      </c>
      <c r="O857" t="str">
        <f>IF(M857="","",IF(M857="[FÓRMULA MANUAL]","",IFERROR(AVERAGEIFS(nNOTA,nNIA,M857,nCUENTA,1,nASIG,"Orquesta/Banda/Conjunto"),"")))</f>
        <v/>
      </c>
      <c r="P857" t="str">
        <f>IF(M857="","",IF(M857="[FÓRMULA MANUAL]","",IFERROR(AVERAGEIFS(nNOTA,nNIA,M857,nCUENTA,1,nASIG,"Música de Cámara"),"")))</f>
        <v/>
      </c>
      <c r="Q857" t="str">
        <f>IF(M857="","",IF(M857="[FÓRMULA MANUAL]","",IFERROR(SUMPRODUCT((nNIA=M857)*(nCUENTA=1)*(COUNTIF(CONFIG_ASIGNATURAS!$B$7:$B$27,nASIG)&gt;0)*(nNOTA))/SUMPRODUCT((nNIA=M857)*(nCUENTA=1)*(COUNTIF(CONFIG_ASIGNATURAS!$B$7:$B$27,nASIG)&gt;0)*1),"")))</f>
        <v/>
      </c>
      <c r="T857" t="str">
        <f>IF(S857="","",IF(S857="[FÓRMULA MANUAL]","",IFERROR(AVERAGEIFS(nNOTA,nNIA,S857,nCUENTA,1,nASIG,"Armonía"),"")))</f>
        <v/>
      </c>
      <c r="U857" t="str">
        <f>IF(S857="","",IF(S857="[FÓRMULA MANUAL]","",IFERROR(AVERAGEIFS(nNOTA,nNIA,S857,nCUENTA,1,nASIG,"Orquesta/Banda/Conjunto"),"")))</f>
        <v/>
      </c>
      <c r="V857" t="str">
        <f>IF(S857="","",IF(S857="[FÓRMULA MANUAL]","",IFERROR(AVERAGEIFS(nNOTA,nNIA,S857,nCUENTA,1,nASIG,"Música de Cámara"),"")))</f>
        <v/>
      </c>
      <c r="W857" t="str">
        <f>IF(S857="","",IF(S857="[FÓRMULA MANUAL]","",IFERROR(SUMPRODUCT((nNIA=S857)*(nCUENTA=1)*(COUNTIF(CONFIG_ASIGNATURAS!$B$7:$B$27,nASIG)&gt;0)*(nNOTA))/SUMPRODUCT((nNIA=S857)*(nCUENTA=1)*(COUNTIF(CONFIG_ASIGNATURAS!$B$7:$B$27,nASIG)&gt;0)*1),"")))</f>
        <v/>
      </c>
      <c r="Z857" t="str">
        <f>IF(Y857="","",IF(Y857="[FÓRMULA MANUAL]","",IFERROR(AVERAGEIFS(nNOTA,nNIA,Y857,nCUENTA,1,nASIG,"Análisis"),"")))</f>
        <v/>
      </c>
      <c r="AA857" t="str">
        <f>IF(Y857="","",IF(Y857="[FÓRMULA MANUAL]","",IFERROR(AVERAGEIFS(nNOTA,nNIA,Y857,nCUENTA,1,nASIG,"Orquesta/Banda/Conjunto"),"")))</f>
        <v/>
      </c>
      <c r="AB857" t="str">
        <f>IF(Y857="","",IF(Y857="[FÓRMULA MANUAL]","",IFERROR(AVERAGEIFS(nNOTA,nNIA,Y857,nCUENTA,1,nASIG,"Música de Cámara"),"")))</f>
        <v/>
      </c>
      <c r="AC857" t="str">
        <f>IF(Y857="","",IF(Y857="[FÓRMULA MANUAL]","",IFERROR(SUMPRODUCT((nNIA=Y857)*(nCUENTA=1)*(COUNTIF(CONFIG_ASIGNATURAS!$B$7:$B$27,nASIG)&gt;0)*(nNOTA))/SUMPRODUCT((nNIA=Y857)*(nCUENTA=1)*(COUNTIF(CONFIG_ASIGNATURAS!$B$7:$B$27,nASIG)&gt;0)*1),"")))</f>
        <v/>
      </c>
      <c r="AF857" t="str">
        <f>IF(AE857="","",IF(AE857="[FÓRMULA MANUAL]","",IFERROR(AVERAGEIFS(nNOTA,nNIA,AE857,nCUENTA,1,nASIG,"Análisis"),"")))</f>
        <v/>
      </c>
      <c r="AG857" t="str">
        <f>IF(AE857="","",IF(AE857="[FÓRMULA MANUAL]","",IFERROR(AVERAGEIFS(nNOTA,nNIA,AE857,nCUENTA,1,nASIG,"Orquesta/Banda/Conjunto"),"")))</f>
        <v/>
      </c>
      <c r="AH857" t="str">
        <f>IF(AE857="","",IF(AE857="[FÓRMULA MANUAL]","",IFERROR(AVERAGEIFS(nNOTA,nNIA,AE857,nCUENTA,1,nASIG,"Música de Cámara"),"")))</f>
        <v/>
      </c>
      <c r="AI857" t="str">
        <f>IF(AE857="","",IF(AE857="[FÓRMULA MANUAL]","",IFERROR(SUMPRODUCT((nNIA=AE857)*(nCUENTA=1)*(COUNTIF(CONFIG_ASIGNATURAS!$B$7:$B$27,nASIG)&gt;0)*(nNOTA))/SUMPRODUCT((nNIA=AE857)*(nCUENTA=1)*(COUNTIF(CONFIG_ASIGNATURAS!$B$7:$B$27,nASIG)&gt;0)*1),"")))</f>
        <v/>
      </c>
    </row>
    <row r="858" spans="2:35" x14ac:dyDescent="0.2">
      <c r="B858" t="str">
        <f>IF(A858="","",IF(A858="[FÓRMULA MANUAL]","",IFERROR(AVERAGEIFS(nNOTA,nNIA,A858,nCUENTA,1,nASIG,"Lenguaje Musical"),"")))</f>
        <v/>
      </c>
      <c r="C858" t="str">
        <f>IF(A858="","",IF(A858="[FÓRMULA MANUAL]","",IFERROR(AVERAGEIFS(nNOTA,nNIA,A858,nCUENTA,1,nASIG,"Orquesta/Banda/Conjunto"),"")))</f>
        <v/>
      </c>
      <c r="D858" t="str">
        <f>IF(A858="","",IF(A858="[FÓRMULA MANUAL]","",IFERROR(AVERAGEIFS(nNOTA,nNIA,A858,nCUENTA,1,nASIG,"Conjunto"),"")))</f>
        <v/>
      </c>
      <c r="E858" t="str">
        <f>IF(A858="","",IF(A858="[FÓRMULA MANUAL]","",IFERROR(SUMPRODUCT((nNIA=A858)*(nCUENTA=1)*(COUNTIF(CONFIG_ASIGNATURAS!$B$7:$B$27,nASIG)&gt;0)*(nNOTA))/SUMPRODUCT((nNIA=A858)*(nCUENTA=1)*(COUNTIF(CONFIG_ASIGNATURAS!$B$7:$B$27,nASIG)&gt;0)*1),"")))</f>
        <v/>
      </c>
      <c r="H858" t="str">
        <f>IF(G858="","",IF(G858="[FÓRMULA MANUAL]","",IFERROR(AVERAGEIFS(nNOTA,nNIA,G858,nCUENTA,1,nASIG,"Lenguaje Musical"),"")))</f>
        <v/>
      </c>
      <c r="I858" t="str">
        <f>IF(G858="","",IF(G858="[FÓRMULA MANUAL]","",IFERROR(AVERAGEIFS(nNOTA,nNIA,G858,nCUENTA,1,nASIG,"Orquesta/Banda/Conjunto"),"")))</f>
        <v/>
      </c>
      <c r="J858" t="str">
        <f>IF(G858="","",IF(G858="[FÓRMULA MANUAL]","",IFERROR(AVERAGEIFS(nNOTA,nNIA,G858,nCUENTA,1,nASIG,"Conjunto"),"")))</f>
        <v/>
      </c>
      <c r="K858" t="str">
        <f>IF(G858="","",IF(G858="[FÓRMULA MANUAL]","",IFERROR(SUMPRODUCT((nNIA=G858)*(nCUENTA=1)*(COUNTIF(CONFIG_ASIGNATURAS!$B$7:$B$27,nASIG)&gt;0)*(nNOTA))/SUMPRODUCT((nNIA=G858)*(nCUENTA=1)*(COUNTIF(CONFIG_ASIGNATURAS!$B$7:$B$27,nASIG)&gt;0)*1),"")))</f>
        <v/>
      </c>
      <c r="N858" t="str">
        <f>IF(M858="","",IF(M858="[FÓRMULA MANUAL]","",IFERROR(AVERAGEIFS(nNOTA,nNIA,M858,nCUENTA,1,nASIG,"Armonía"),"")))</f>
        <v/>
      </c>
      <c r="O858" t="str">
        <f>IF(M858="","",IF(M858="[FÓRMULA MANUAL]","",IFERROR(AVERAGEIFS(nNOTA,nNIA,M858,nCUENTA,1,nASIG,"Orquesta/Banda/Conjunto"),"")))</f>
        <v/>
      </c>
      <c r="P858" t="str">
        <f>IF(M858="","",IF(M858="[FÓRMULA MANUAL]","",IFERROR(AVERAGEIFS(nNOTA,nNIA,M858,nCUENTA,1,nASIG,"Música de Cámara"),"")))</f>
        <v/>
      </c>
      <c r="Q858" t="str">
        <f>IF(M858="","",IF(M858="[FÓRMULA MANUAL]","",IFERROR(SUMPRODUCT((nNIA=M858)*(nCUENTA=1)*(COUNTIF(CONFIG_ASIGNATURAS!$B$7:$B$27,nASIG)&gt;0)*(nNOTA))/SUMPRODUCT((nNIA=M858)*(nCUENTA=1)*(COUNTIF(CONFIG_ASIGNATURAS!$B$7:$B$27,nASIG)&gt;0)*1),"")))</f>
        <v/>
      </c>
      <c r="T858" t="str">
        <f>IF(S858="","",IF(S858="[FÓRMULA MANUAL]","",IFERROR(AVERAGEIFS(nNOTA,nNIA,S858,nCUENTA,1,nASIG,"Armonía"),"")))</f>
        <v/>
      </c>
      <c r="U858" t="str">
        <f>IF(S858="","",IF(S858="[FÓRMULA MANUAL]","",IFERROR(AVERAGEIFS(nNOTA,nNIA,S858,nCUENTA,1,nASIG,"Orquesta/Banda/Conjunto"),"")))</f>
        <v/>
      </c>
      <c r="V858" t="str">
        <f>IF(S858="","",IF(S858="[FÓRMULA MANUAL]","",IFERROR(AVERAGEIFS(nNOTA,nNIA,S858,nCUENTA,1,nASIG,"Música de Cámara"),"")))</f>
        <v/>
      </c>
      <c r="W858" t="str">
        <f>IF(S858="","",IF(S858="[FÓRMULA MANUAL]","",IFERROR(SUMPRODUCT((nNIA=S858)*(nCUENTA=1)*(COUNTIF(CONFIG_ASIGNATURAS!$B$7:$B$27,nASIG)&gt;0)*(nNOTA))/SUMPRODUCT((nNIA=S858)*(nCUENTA=1)*(COUNTIF(CONFIG_ASIGNATURAS!$B$7:$B$27,nASIG)&gt;0)*1),"")))</f>
        <v/>
      </c>
      <c r="Z858" t="str">
        <f>IF(Y858="","",IF(Y858="[FÓRMULA MANUAL]","",IFERROR(AVERAGEIFS(nNOTA,nNIA,Y858,nCUENTA,1,nASIG,"Análisis"),"")))</f>
        <v/>
      </c>
      <c r="AA858" t="str">
        <f>IF(Y858="","",IF(Y858="[FÓRMULA MANUAL]","",IFERROR(AVERAGEIFS(nNOTA,nNIA,Y858,nCUENTA,1,nASIG,"Orquesta/Banda/Conjunto"),"")))</f>
        <v/>
      </c>
      <c r="AB858" t="str">
        <f>IF(Y858="","",IF(Y858="[FÓRMULA MANUAL]","",IFERROR(AVERAGEIFS(nNOTA,nNIA,Y858,nCUENTA,1,nASIG,"Música de Cámara"),"")))</f>
        <v/>
      </c>
      <c r="AC858" t="str">
        <f>IF(Y858="","",IF(Y858="[FÓRMULA MANUAL]","",IFERROR(SUMPRODUCT((nNIA=Y858)*(nCUENTA=1)*(COUNTIF(CONFIG_ASIGNATURAS!$B$7:$B$27,nASIG)&gt;0)*(nNOTA))/SUMPRODUCT((nNIA=Y858)*(nCUENTA=1)*(COUNTIF(CONFIG_ASIGNATURAS!$B$7:$B$27,nASIG)&gt;0)*1),"")))</f>
        <v/>
      </c>
      <c r="AF858" t="str">
        <f>IF(AE858="","",IF(AE858="[FÓRMULA MANUAL]","",IFERROR(AVERAGEIFS(nNOTA,nNIA,AE858,nCUENTA,1,nASIG,"Análisis"),"")))</f>
        <v/>
      </c>
      <c r="AG858" t="str">
        <f>IF(AE858="","",IF(AE858="[FÓRMULA MANUAL]","",IFERROR(AVERAGEIFS(nNOTA,nNIA,AE858,nCUENTA,1,nASIG,"Orquesta/Banda/Conjunto"),"")))</f>
        <v/>
      </c>
      <c r="AH858" t="str">
        <f>IF(AE858="","",IF(AE858="[FÓRMULA MANUAL]","",IFERROR(AVERAGEIFS(nNOTA,nNIA,AE858,nCUENTA,1,nASIG,"Música de Cámara"),"")))</f>
        <v/>
      </c>
      <c r="AI858" t="str">
        <f>IF(AE858="","",IF(AE858="[FÓRMULA MANUAL]","",IFERROR(SUMPRODUCT((nNIA=AE858)*(nCUENTA=1)*(COUNTIF(CONFIG_ASIGNATURAS!$B$7:$B$27,nASIG)&gt;0)*(nNOTA))/SUMPRODUCT((nNIA=AE858)*(nCUENTA=1)*(COUNTIF(CONFIG_ASIGNATURAS!$B$7:$B$27,nASIG)&gt;0)*1),"")))</f>
        <v/>
      </c>
    </row>
    <row r="859" spans="2:35" x14ac:dyDescent="0.2">
      <c r="B859" t="str">
        <f>IF(A859="","",IF(A859="[FÓRMULA MANUAL]","",IFERROR(AVERAGEIFS(nNOTA,nNIA,A859,nCUENTA,1,nASIG,"Lenguaje Musical"),"")))</f>
        <v/>
      </c>
      <c r="C859" t="str">
        <f>IF(A859="","",IF(A859="[FÓRMULA MANUAL]","",IFERROR(AVERAGEIFS(nNOTA,nNIA,A859,nCUENTA,1,nASIG,"Orquesta/Banda/Conjunto"),"")))</f>
        <v/>
      </c>
      <c r="D859" t="str">
        <f>IF(A859="","",IF(A859="[FÓRMULA MANUAL]","",IFERROR(AVERAGEIFS(nNOTA,nNIA,A859,nCUENTA,1,nASIG,"Conjunto"),"")))</f>
        <v/>
      </c>
      <c r="E859" t="str">
        <f>IF(A859="","",IF(A859="[FÓRMULA MANUAL]","",IFERROR(SUMPRODUCT((nNIA=A859)*(nCUENTA=1)*(COUNTIF(CONFIG_ASIGNATURAS!$B$7:$B$27,nASIG)&gt;0)*(nNOTA))/SUMPRODUCT((nNIA=A859)*(nCUENTA=1)*(COUNTIF(CONFIG_ASIGNATURAS!$B$7:$B$27,nASIG)&gt;0)*1),"")))</f>
        <v/>
      </c>
      <c r="H859" t="str">
        <f>IF(G859="","",IF(G859="[FÓRMULA MANUAL]","",IFERROR(AVERAGEIFS(nNOTA,nNIA,G859,nCUENTA,1,nASIG,"Lenguaje Musical"),"")))</f>
        <v/>
      </c>
      <c r="I859" t="str">
        <f>IF(G859="","",IF(G859="[FÓRMULA MANUAL]","",IFERROR(AVERAGEIFS(nNOTA,nNIA,G859,nCUENTA,1,nASIG,"Orquesta/Banda/Conjunto"),"")))</f>
        <v/>
      </c>
      <c r="J859" t="str">
        <f>IF(G859="","",IF(G859="[FÓRMULA MANUAL]","",IFERROR(AVERAGEIFS(nNOTA,nNIA,G859,nCUENTA,1,nASIG,"Conjunto"),"")))</f>
        <v/>
      </c>
      <c r="K859" t="str">
        <f>IF(G859="","",IF(G859="[FÓRMULA MANUAL]","",IFERROR(SUMPRODUCT((nNIA=G859)*(nCUENTA=1)*(COUNTIF(CONFIG_ASIGNATURAS!$B$7:$B$27,nASIG)&gt;0)*(nNOTA))/SUMPRODUCT((nNIA=G859)*(nCUENTA=1)*(COUNTIF(CONFIG_ASIGNATURAS!$B$7:$B$27,nASIG)&gt;0)*1),"")))</f>
        <v/>
      </c>
      <c r="N859" t="str">
        <f>IF(M859="","",IF(M859="[FÓRMULA MANUAL]","",IFERROR(AVERAGEIFS(nNOTA,nNIA,M859,nCUENTA,1,nASIG,"Armonía"),"")))</f>
        <v/>
      </c>
      <c r="O859" t="str">
        <f>IF(M859="","",IF(M859="[FÓRMULA MANUAL]","",IFERROR(AVERAGEIFS(nNOTA,nNIA,M859,nCUENTA,1,nASIG,"Orquesta/Banda/Conjunto"),"")))</f>
        <v/>
      </c>
      <c r="P859" t="str">
        <f>IF(M859="","",IF(M859="[FÓRMULA MANUAL]","",IFERROR(AVERAGEIFS(nNOTA,nNIA,M859,nCUENTA,1,nASIG,"Música de Cámara"),"")))</f>
        <v/>
      </c>
      <c r="Q859" t="str">
        <f>IF(M859="","",IF(M859="[FÓRMULA MANUAL]","",IFERROR(SUMPRODUCT((nNIA=M859)*(nCUENTA=1)*(COUNTIF(CONFIG_ASIGNATURAS!$B$7:$B$27,nASIG)&gt;0)*(nNOTA))/SUMPRODUCT((nNIA=M859)*(nCUENTA=1)*(COUNTIF(CONFIG_ASIGNATURAS!$B$7:$B$27,nASIG)&gt;0)*1),"")))</f>
        <v/>
      </c>
      <c r="T859" t="str">
        <f>IF(S859="","",IF(S859="[FÓRMULA MANUAL]","",IFERROR(AVERAGEIFS(nNOTA,nNIA,S859,nCUENTA,1,nASIG,"Armonía"),"")))</f>
        <v/>
      </c>
      <c r="U859" t="str">
        <f>IF(S859="","",IF(S859="[FÓRMULA MANUAL]","",IFERROR(AVERAGEIFS(nNOTA,nNIA,S859,nCUENTA,1,nASIG,"Orquesta/Banda/Conjunto"),"")))</f>
        <v/>
      </c>
      <c r="V859" t="str">
        <f>IF(S859="","",IF(S859="[FÓRMULA MANUAL]","",IFERROR(AVERAGEIFS(nNOTA,nNIA,S859,nCUENTA,1,nASIG,"Música de Cámara"),"")))</f>
        <v/>
      </c>
      <c r="W859" t="str">
        <f>IF(S859="","",IF(S859="[FÓRMULA MANUAL]","",IFERROR(SUMPRODUCT((nNIA=S859)*(nCUENTA=1)*(COUNTIF(CONFIG_ASIGNATURAS!$B$7:$B$27,nASIG)&gt;0)*(nNOTA))/SUMPRODUCT((nNIA=S859)*(nCUENTA=1)*(COUNTIF(CONFIG_ASIGNATURAS!$B$7:$B$27,nASIG)&gt;0)*1),"")))</f>
        <v/>
      </c>
      <c r="Z859" t="str">
        <f>IF(Y859="","",IF(Y859="[FÓRMULA MANUAL]","",IFERROR(AVERAGEIFS(nNOTA,nNIA,Y859,nCUENTA,1,nASIG,"Análisis"),"")))</f>
        <v/>
      </c>
      <c r="AA859" t="str">
        <f>IF(Y859="","",IF(Y859="[FÓRMULA MANUAL]","",IFERROR(AVERAGEIFS(nNOTA,nNIA,Y859,nCUENTA,1,nASIG,"Orquesta/Banda/Conjunto"),"")))</f>
        <v/>
      </c>
      <c r="AB859" t="str">
        <f>IF(Y859="","",IF(Y859="[FÓRMULA MANUAL]","",IFERROR(AVERAGEIFS(nNOTA,nNIA,Y859,nCUENTA,1,nASIG,"Música de Cámara"),"")))</f>
        <v/>
      </c>
      <c r="AC859" t="str">
        <f>IF(Y859="","",IF(Y859="[FÓRMULA MANUAL]","",IFERROR(SUMPRODUCT((nNIA=Y859)*(nCUENTA=1)*(COUNTIF(CONFIG_ASIGNATURAS!$B$7:$B$27,nASIG)&gt;0)*(nNOTA))/SUMPRODUCT((nNIA=Y859)*(nCUENTA=1)*(COUNTIF(CONFIG_ASIGNATURAS!$B$7:$B$27,nASIG)&gt;0)*1),"")))</f>
        <v/>
      </c>
      <c r="AF859" t="str">
        <f>IF(AE859="","",IF(AE859="[FÓRMULA MANUAL]","",IFERROR(AVERAGEIFS(nNOTA,nNIA,AE859,nCUENTA,1,nASIG,"Análisis"),"")))</f>
        <v/>
      </c>
      <c r="AG859" t="str">
        <f>IF(AE859="","",IF(AE859="[FÓRMULA MANUAL]","",IFERROR(AVERAGEIFS(nNOTA,nNIA,AE859,nCUENTA,1,nASIG,"Orquesta/Banda/Conjunto"),"")))</f>
        <v/>
      </c>
      <c r="AH859" t="str">
        <f>IF(AE859="","",IF(AE859="[FÓRMULA MANUAL]","",IFERROR(AVERAGEIFS(nNOTA,nNIA,AE859,nCUENTA,1,nASIG,"Música de Cámara"),"")))</f>
        <v/>
      </c>
      <c r="AI859" t="str">
        <f>IF(AE859="","",IF(AE859="[FÓRMULA MANUAL]","",IFERROR(SUMPRODUCT((nNIA=AE859)*(nCUENTA=1)*(COUNTIF(CONFIG_ASIGNATURAS!$B$7:$B$27,nASIG)&gt;0)*(nNOTA))/SUMPRODUCT((nNIA=AE859)*(nCUENTA=1)*(COUNTIF(CONFIG_ASIGNATURAS!$B$7:$B$27,nASIG)&gt;0)*1),"")))</f>
        <v/>
      </c>
    </row>
    <row r="860" spans="2:35" x14ac:dyDescent="0.2">
      <c r="B860" t="str">
        <f>IF(A860="","",IF(A860="[FÓRMULA MANUAL]","",IFERROR(AVERAGEIFS(nNOTA,nNIA,A860,nCUENTA,1,nASIG,"Lenguaje Musical"),"")))</f>
        <v/>
      </c>
      <c r="C860" t="str">
        <f>IF(A860="","",IF(A860="[FÓRMULA MANUAL]","",IFERROR(AVERAGEIFS(nNOTA,nNIA,A860,nCUENTA,1,nASIG,"Orquesta/Banda/Conjunto"),"")))</f>
        <v/>
      </c>
      <c r="D860" t="str">
        <f>IF(A860="","",IF(A860="[FÓRMULA MANUAL]","",IFERROR(AVERAGEIFS(nNOTA,nNIA,A860,nCUENTA,1,nASIG,"Conjunto"),"")))</f>
        <v/>
      </c>
      <c r="E860" t="str">
        <f>IF(A860="","",IF(A860="[FÓRMULA MANUAL]","",IFERROR(SUMPRODUCT((nNIA=A860)*(nCUENTA=1)*(COUNTIF(CONFIG_ASIGNATURAS!$B$7:$B$27,nASIG)&gt;0)*(nNOTA))/SUMPRODUCT((nNIA=A860)*(nCUENTA=1)*(COUNTIF(CONFIG_ASIGNATURAS!$B$7:$B$27,nASIG)&gt;0)*1),"")))</f>
        <v/>
      </c>
      <c r="H860" t="str">
        <f>IF(G860="","",IF(G860="[FÓRMULA MANUAL]","",IFERROR(AVERAGEIFS(nNOTA,nNIA,G860,nCUENTA,1,nASIG,"Lenguaje Musical"),"")))</f>
        <v/>
      </c>
      <c r="I860" t="str">
        <f>IF(G860="","",IF(G860="[FÓRMULA MANUAL]","",IFERROR(AVERAGEIFS(nNOTA,nNIA,G860,nCUENTA,1,nASIG,"Orquesta/Banda/Conjunto"),"")))</f>
        <v/>
      </c>
      <c r="J860" t="str">
        <f>IF(G860="","",IF(G860="[FÓRMULA MANUAL]","",IFERROR(AVERAGEIFS(nNOTA,nNIA,G860,nCUENTA,1,nASIG,"Conjunto"),"")))</f>
        <v/>
      </c>
      <c r="K860" t="str">
        <f>IF(G860="","",IF(G860="[FÓRMULA MANUAL]","",IFERROR(SUMPRODUCT((nNIA=G860)*(nCUENTA=1)*(COUNTIF(CONFIG_ASIGNATURAS!$B$7:$B$27,nASIG)&gt;0)*(nNOTA))/SUMPRODUCT((nNIA=G860)*(nCUENTA=1)*(COUNTIF(CONFIG_ASIGNATURAS!$B$7:$B$27,nASIG)&gt;0)*1),"")))</f>
        <v/>
      </c>
      <c r="N860" t="str">
        <f>IF(M860="","",IF(M860="[FÓRMULA MANUAL]","",IFERROR(AVERAGEIFS(nNOTA,nNIA,M860,nCUENTA,1,nASIG,"Armonía"),"")))</f>
        <v/>
      </c>
      <c r="O860" t="str">
        <f>IF(M860="","",IF(M860="[FÓRMULA MANUAL]","",IFERROR(AVERAGEIFS(nNOTA,nNIA,M860,nCUENTA,1,nASIG,"Orquesta/Banda/Conjunto"),"")))</f>
        <v/>
      </c>
      <c r="P860" t="str">
        <f>IF(M860="","",IF(M860="[FÓRMULA MANUAL]","",IFERROR(AVERAGEIFS(nNOTA,nNIA,M860,nCUENTA,1,nASIG,"Música de Cámara"),"")))</f>
        <v/>
      </c>
      <c r="Q860" t="str">
        <f>IF(M860="","",IF(M860="[FÓRMULA MANUAL]","",IFERROR(SUMPRODUCT((nNIA=M860)*(nCUENTA=1)*(COUNTIF(CONFIG_ASIGNATURAS!$B$7:$B$27,nASIG)&gt;0)*(nNOTA))/SUMPRODUCT((nNIA=M860)*(nCUENTA=1)*(COUNTIF(CONFIG_ASIGNATURAS!$B$7:$B$27,nASIG)&gt;0)*1),"")))</f>
        <v/>
      </c>
      <c r="T860" t="str">
        <f>IF(S860="","",IF(S860="[FÓRMULA MANUAL]","",IFERROR(AVERAGEIFS(nNOTA,nNIA,S860,nCUENTA,1,nASIG,"Armonía"),"")))</f>
        <v/>
      </c>
      <c r="U860" t="str">
        <f>IF(S860="","",IF(S860="[FÓRMULA MANUAL]","",IFERROR(AVERAGEIFS(nNOTA,nNIA,S860,nCUENTA,1,nASIG,"Orquesta/Banda/Conjunto"),"")))</f>
        <v/>
      </c>
      <c r="V860" t="str">
        <f>IF(S860="","",IF(S860="[FÓRMULA MANUAL]","",IFERROR(AVERAGEIFS(nNOTA,nNIA,S860,nCUENTA,1,nASIG,"Música de Cámara"),"")))</f>
        <v/>
      </c>
      <c r="W860" t="str">
        <f>IF(S860="","",IF(S860="[FÓRMULA MANUAL]","",IFERROR(SUMPRODUCT((nNIA=S860)*(nCUENTA=1)*(COUNTIF(CONFIG_ASIGNATURAS!$B$7:$B$27,nASIG)&gt;0)*(nNOTA))/SUMPRODUCT((nNIA=S860)*(nCUENTA=1)*(COUNTIF(CONFIG_ASIGNATURAS!$B$7:$B$27,nASIG)&gt;0)*1),"")))</f>
        <v/>
      </c>
      <c r="Z860" t="str">
        <f>IF(Y860="","",IF(Y860="[FÓRMULA MANUAL]","",IFERROR(AVERAGEIFS(nNOTA,nNIA,Y860,nCUENTA,1,nASIG,"Análisis"),"")))</f>
        <v/>
      </c>
      <c r="AA860" t="str">
        <f>IF(Y860="","",IF(Y860="[FÓRMULA MANUAL]","",IFERROR(AVERAGEIFS(nNOTA,nNIA,Y860,nCUENTA,1,nASIG,"Orquesta/Banda/Conjunto"),"")))</f>
        <v/>
      </c>
      <c r="AB860" t="str">
        <f>IF(Y860="","",IF(Y860="[FÓRMULA MANUAL]","",IFERROR(AVERAGEIFS(nNOTA,nNIA,Y860,nCUENTA,1,nASIG,"Música de Cámara"),"")))</f>
        <v/>
      </c>
      <c r="AC860" t="str">
        <f>IF(Y860="","",IF(Y860="[FÓRMULA MANUAL]","",IFERROR(SUMPRODUCT((nNIA=Y860)*(nCUENTA=1)*(COUNTIF(CONFIG_ASIGNATURAS!$B$7:$B$27,nASIG)&gt;0)*(nNOTA))/SUMPRODUCT((nNIA=Y860)*(nCUENTA=1)*(COUNTIF(CONFIG_ASIGNATURAS!$B$7:$B$27,nASIG)&gt;0)*1),"")))</f>
        <v/>
      </c>
      <c r="AF860" t="str">
        <f>IF(AE860="","",IF(AE860="[FÓRMULA MANUAL]","",IFERROR(AVERAGEIFS(nNOTA,nNIA,AE860,nCUENTA,1,nASIG,"Análisis"),"")))</f>
        <v/>
      </c>
      <c r="AG860" t="str">
        <f>IF(AE860="","",IF(AE860="[FÓRMULA MANUAL]","",IFERROR(AVERAGEIFS(nNOTA,nNIA,AE860,nCUENTA,1,nASIG,"Orquesta/Banda/Conjunto"),"")))</f>
        <v/>
      </c>
      <c r="AH860" t="str">
        <f>IF(AE860="","",IF(AE860="[FÓRMULA MANUAL]","",IFERROR(AVERAGEIFS(nNOTA,nNIA,AE860,nCUENTA,1,nASIG,"Música de Cámara"),"")))</f>
        <v/>
      </c>
      <c r="AI860" t="str">
        <f>IF(AE860="","",IF(AE860="[FÓRMULA MANUAL]","",IFERROR(SUMPRODUCT((nNIA=AE860)*(nCUENTA=1)*(COUNTIF(CONFIG_ASIGNATURAS!$B$7:$B$27,nASIG)&gt;0)*(nNOTA))/SUMPRODUCT((nNIA=AE860)*(nCUENTA=1)*(COUNTIF(CONFIG_ASIGNATURAS!$B$7:$B$27,nASIG)&gt;0)*1),"")))</f>
        <v/>
      </c>
    </row>
    <row r="861" spans="2:35" x14ac:dyDescent="0.2">
      <c r="B861" t="str">
        <f>IF(A861="","",IF(A861="[FÓRMULA MANUAL]","",IFERROR(AVERAGEIFS(nNOTA,nNIA,A861,nCUENTA,1,nASIG,"Lenguaje Musical"),"")))</f>
        <v/>
      </c>
      <c r="C861" t="str">
        <f>IF(A861="","",IF(A861="[FÓRMULA MANUAL]","",IFERROR(AVERAGEIFS(nNOTA,nNIA,A861,nCUENTA,1,nASIG,"Orquesta/Banda/Conjunto"),"")))</f>
        <v/>
      </c>
      <c r="D861" t="str">
        <f>IF(A861="","",IF(A861="[FÓRMULA MANUAL]","",IFERROR(AVERAGEIFS(nNOTA,nNIA,A861,nCUENTA,1,nASIG,"Conjunto"),"")))</f>
        <v/>
      </c>
      <c r="E861" t="str">
        <f>IF(A861="","",IF(A861="[FÓRMULA MANUAL]","",IFERROR(SUMPRODUCT((nNIA=A861)*(nCUENTA=1)*(COUNTIF(CONFIG_ASIGNATURAS!$B$7:$B$27,nASIG)&gt;0)*(nNOTA))/SUMPRODUCT((nNIA=A861)*(nCUENTA=1)*(COUNTIF(CONFIG_ASIGNATURAS!$B$7:$B$27,nASIG)&gt;0)*1),"")))</f>
        <v/>
      </c>
      <c r="H861" t="str">
        <f>IF(G861="","",IF(G861="[FÓRMULA MANUAL]","",IFERROR(AVERAGEIFS(nNOTA,nNIA,G861,nCUENTA,1,nASIG,"Lenguaje Musical"),"")))</f>
        <v/>
      </c>
      <c r="I861" t="str">
        <f>IF(G861="","",IF(G861="[FÓRMULA MANUAL]","",IFERROR(AVERAGEIFS(nNOTA,nNIA,G861,nCUENTA,1,nASIG,"Orquesta/Banda/Conjunto"),"")))</f>
        <v/>
      </c>
      <c r="J861" t="str">
        <f>IF(G861="","",IF(G861="[FÓRMULA MANUAL]","",IFERROR(AVERAGEIFS(nNOTA,nNIA,G861,nCUENTA,1,nASIG,"Conjunto"),"")))</f>
        <v/>
      </c>
      <c r="K861" t="str">
        <f>IF(G861="","",IF(G861="[FÓRMULA MANUAL]","",IFERROR(SUMPRODUCT((nNIA=G861)*(nCUENTA=1)*(COUNTIF(CONFIG_ASIGNATURAS!$B$7:$B$27,nASIG)&gt;0)*(nNOTA))/SUMPRODUCT((nNIA=G861)*(nCUENTA=1)*(COUNTIF(CONFIG_ASIGNATURAS!$B$7:$B$27,nASIG)&gt;0)*1),"")))</f>
        <v/>
      </c>
      <c r="N861" t="str">
        <f>IF(M861="","",IF(M861="[FÓRMULA MANUAL]","",IFERROR(AVERAGEIFS(nNOTA,nNIA,M861,nCUENTA,1,nASIG,"Armonía"),"")))</f>
        <v/>
      </c>
      <c r="O861" t="str">
        <f>IF(M861="","",IF(M861="[FÓRMULA MANUAL]","",IFERROR(AVERAGEIFS(nNOTA,nNIA,M861,nCUENTA,1,nASIG,"Orquesta/Banda/Conjunto"),"")))</f>
        <v/>
      </c>
      <c r="P861" t="str">
        <f>IF(M861="","",IF(M861="[FÓRMULA MANUAL]","",IFERROR(AVERAGEIFS(nNOTA,nNIA,M861,nCUENTA,1,nASIG,"Música de Cámara"),"")))</f>
        <v/>
      </c>
      <c r="Q861" t="str">
        <f>IF(M861="","",IF(M861="[FÓRMULA MANUAL]","",IFERROR(SUMPRODUCT((nNIA=M861)*(nCUENTA=1)*(COUNTIF(CONFIG_ASIGNATURAS!$B$7:$B$27,nASIG)&gt;0)*(nNOTA))/SUMPRODUCT((nNIA=M861)*(nCUENTA=1)*(COUNTIF(CONFIG_ASIGNATURAS!$B$7:$B$27,nASIG)&gt;0)*1),"")))</f>
        <v/>
      </c>
      <c r="T861" t="str">
        <f>IF(S861="","",IF(S861="[FÓRMULA MANUAL]","",IFERROR(AVERAGEIFS(nNOTA,nNIA,S861,nCUENTA,1,nASIG,"Armonía"),"")))</f>
        <v/>
      </c>
      <c r="U861" t="str">
        <f>IF(S861="","",IF(S861="[FÓRMULA MANUAL]","",IFERROR(AVERAGEIFS(nNOTA,nNIA,S861,nCUENTA,1,nASIG,"Orquesta/Banda/Conjunto"),"")))</f>
        <v/>
      </c>
      <c r="V861" t="str">
        <f>IF(S861="","",IF(S861="[FÓRMULA MANUAL]","",IFERROR(AVERAGEIFS(nNOTA,nNIA,S861,nCUENTA,1,nASIG,"Música de Cámara"),"")))</f>
        <v/>
      </c>
      <c r="W861" t="str">
        <f>IF(S861="","",IF(S861="[FÓRMULA MANUAL]","",IFERROR(SUMPRODUCT((nNIA=S861)*(nCUENTA=1)*(COUNTIF(CONFIG_ASIGNATURAS!$B$7:$B$27,nASIG)&gt;0)*(nNOTA))/SUMPRODUCT((nNIA=S861)*(nCUENTA=1)*(COUNTIF(CONFIG_ASIGNATURAS!$B$7:$B$27,nASIG)&gt;0)*1),"")))</f>
        <v/>
      </c>
      <c r="Z861" t="str">
        <f>IF(Y861="","",IF(Y861="[FÓRMULA MANUAL]","",IFERROR(AVERAGEIFS(nNOTA,nNIA,Y861,nCUENTA,1,nASIG,"Análisis"),"")))</f>
        <v/>
      </c>
      <c r="AA861" t="str">
        <f>IF(Y861="","",IF(Y861="[FÓRMULA MANUAL]","",IFERROR(AVERAGEIFS(nNOTA,nNIA,Y861,nCUENTA,1,nASIG,"Orquesta/Banda/Conjunto"),"")))</f>
        <v/>
      </c>
      <c r="AB861" t="str">
        <f>IF(Y861="","",IF(Y861="[FÓRMULA MANUAL]","",IFERROR(AVERAGEIFS(nNOTA,nNIA,Y861,nCUENTA,1,nASIG,"Música de Cámara"),"")))</f>
        <v/>
      </c>
      <c r="AC861" t="str">
        <f>IF(Y861="","",IF(Y861="[FÓRMULA MANUAL]","",IFERROR(SUMPRODUCT((nNIA=Y861)*(nCUENTA=1)*(COUNTIF(CONFIG_ASIGNATURAS!$B$7:$B$27,nASIG)&gt;0)*(nNOTA))/SUMPRODUCT((nNIA=Y861)*(nCUENTA=1)*(COUNTIF(CONFIG_ASIGNATURAS!$B$7:$B$27,nASIG)&gt;0)*1),"")))</f>
        <v/>
      </c>
      <c r="AF861" t="str">
        <f>IF(AE861="","",IF(AE861="[FÓRMULA MANUAL]","",IFERROR(AVERAGEIFS(nNOTA,nNIA,AE861,nCUENTA,1,nASIG,"Análisis"),"")))</f>
        <v/>
      </c>
      <c r="AG861" t="str">
        <f>IF(AE861="","",IF(AE861="[FÓRMULA MANUAL]","",IFERROR(AVERAGEIFS(nNOTA,nNIA,AE861,nCUENTA,1,nASIG,"Orquesta/Banda/Conjunto"),"")))</f>
        <v/>
      </c>
      <c r="AH861" t="str">
        <f>IF(AE861="","",IF(AE861="[FÓRMULA MANUAL]","",IFERROR(AVERAGEIFS(nNOTA,nNIA,AE861,nCUENTA,1,nASIG,"Música de Cámara"),"")))</f>
        <v/>
      </c>
      <c r="AI861" t="str">
        <f>IF(AE861="","",IF(AE861="[FÓRMULA MANUAL]","",IFERROR(SUMPRODUCT((nNIA=AE861)*(nCUENTA=1)*(COUNTIF(CONFIG_ASIGNATURAS!$B$7:$B$27,nASIG)&gt;0)*(nNOTA))/SUMPRODUCT((nNIA=AE861)*(nCUENTA=1)*(COUNTIF(CONFIG_ASIGNATURAS!$B$7:$B$27,nASIG)&gt;0)*1),"")))</f>
        <v/>
      </c>
    </row>
    <row r="862" spans="2:35" x14ac:dyDescent="0.2">
      <c r="B862" t="str">
        <f>IF(A862="","",IF(A862="[FÓRMULA MANUAL]","",IFERROR(AVERAGEIFS(nNOTA,nNIA,A862,nCUENTA,1,nASIG,"Lenguaje Musical"),"")))</f>
        <v/>
      </c>
      <c r="C862" t="str">
        <f>IF(A862="","",IF(A862="[FÓRMULA MANUAL]","",IFERROR(AVERAGEIFS(nNOTA,nNIA,A862,nCUENTA,1,nASIG,"Orquesta/Banda/Conjunto"),"")))</f>
        <v/>
      </c>
      <c r="D862" t="str">
        <f>IF(A862="","",IF(A862="[FÓRMULA MANUAL]","",IFERROR(AVERAGEIFS(nNOTA,nNIA,A862,nCUENTA,1,nASIG,"Conjunto"),"")))</f>
        <v/>
      </c>
      <c r="E862" t="str">
        <f>IF(A862="","",IF(A862="[FÓRMULA MANUAL]","",IFERROR(SUMPRODUCT((nNIA=A862)*(nCUENTA=1)*(COUNTIF(CONFIG_ASIGNATURAS!$B$7:$B$27,nASIG)&gt;0)*(nNOTA))/SUMPRODUCT((nNIA=A862)*(nCUENTA=1)*(COUNTIF(CONFIG_ASIGNATURAS!$B$7:$B$27,nASIG)&gt;0)*1),"")))</f>
        <v/>
      </c>
      <c r="H862" t="str">
        <f>IF(G862="","",IF(G862="[FÓRMULA MANUAL]","",IFERROR(AVERAGEIFS(nNOTA,nNIA,G862,nCUENTA,1,nASIG,"Lenguaje Musical"),"")))</f>
        <v/>
      </c>
      <c r="I862" t="str">
        <f>IF(G862="","",IF(G862="[FÓRMULA MANUAL]","",IFERROR(AVERAGEIFS(nNOTA,nNIA,G862,nCUENTA,1,nASIG,"Orquesta/Banda/Conjunto"),"")))</f>
        <v/>
      </c>
      <c r="J862" t="str">
        <f>IF(G862="","",IF(G862="[FÓRMULA MANUAL]","",IFERROR(AVERAGEIFS(nNOTA,nNIA,G862,nCUENTA,1,nASIG,"Conjunto"),"")))</f>
        <v/>
      </c>
      <c r="K862" t="str">
        <f>IF(G862="","",IF(G862="[FÓRMULA MANUAL]","",IFERROR(SUMPRODUCT((nNIA=G862)*(nCUENTA=1)*(COUNTIF(CONFIG_ASIGNATURAS!$B$7:$B$27,nASIG)&gt;0)*(nNOTA))/SUMPRODUCT((nNIA=G862)*(nCUENTA=1)*(COUNTIF(CONFIG_ASIGNATURAS!$B$7:$B$27,nASIG)&gt;0)*1),"")))</f>
        <v/>
      </c>
      <c r="N862" t="str">
        <f>IF(M862="","",IF(M862="[FÓRMULA MANUAL]","",IFERROR(AVERAGEIFS(nNOTA,nNIA,M862,nCUENTA,1,nASIG,"Armonía"),"")))</f>
        <v/>
      </c>
      <c r="O862" t="str">
        <f>IF(M862="","",IF(M862="[FÓRMULA MANUAL]","",IFERROR(AVERAGEIFS(nNOTA,nNIA,M862,nCUENTA,1,nASIG,"Orquesta/Banda/Conjunto"),"")))</f>
        <v/>
      </c>
      <c r="P862" t="str">
        <f>IF(M862="","",IF(M862="[FÓRMULA MANUAL]","",IFERROR(AVERAGEIFS(nNOTA,nNIA,M862,nCUENTA,1,nASIG,"Música de Cámara"),"")))</f>
        <v/>
      </c>
      <c r="Q862" t="str">
        <f>IF(M862="","",IF(M862="[FÓRMULA MANUAL]","",IFERROR(SUMPRODUCT((nNIA=M862)*(nCUENTA=1)*(COUNTIF(CONFIG_ASIGNATURAS!$B$7:$B$27,nASIG)&gt;0)*(nNOTA))/SUMPRODUCT((nNIA=M862)*(nCUENTA=1)*(COUNTIF(CONFIG_ASIGNATURAS!$B$7:$B$27,nASIG)&gt;0)*1),"")))</f>
        <v/>
      </c>
      <c r="T862" t="str">
        <f>IF(S862="","",IF(S862="[FÓRMULA MANUAL]","",IFERROR(AVERAGEIFS(nNOTA,nNIA,S862,nCUENTA,1,nASIG,"Armonía"),"")))</f>
        <v/>
      </c>
      <c r="U862" t="str">
        <f>IF(S862="","",IF(S862="[FÓRMULA MANUAL]","",IFERROR(AVERAGEIFS(nNOTA,nNIA,S862,nCUENTA,1,nASIG,"Orquesta/Banda/Conjunto"),"")))</f>
        <v/>
      </c>
      <c r="V862" t="str">
        <f>IF(S862="","",IF(S862="[FÓRMULA MANUAL]","",IFERROR(AVERAGEIFS(nNOTA,nNIA,S862,nCUENTA,1,nASIG,"Música de Cámara"),"")))</f>
        <v/>
      </c>
      <c r="W862" t="str">
        <f>IF(S862="","",IF(S862="[FÓRMULA MANUAL]","",IFERROR(SUMPRODUCT((nNIA=S862)*(nCUENTA=1)*(COUNTIF(CONFIG_ASIGNATURAS!$B$7:$B$27,nASIG)&gt;0)*(nNOTA))/SUMPRODUCT((nNIA=S862)*(nCUENTA=1)*(COUNTIF(CONFIG_ASIGNATURAS!$B$7:$B$27,nASIG)&gt;0)*1),"")))</f>
        <v/>
      </c>
      <c r="Z862" t="str">
        <f>IF(Y862="","",IF(Y862="[FÓRMULA MANUAL]","",IFERROR(AVERAGEIFS(nNOTA,nNIA,Y862,nCUENTA,1,nASIG,"Análisis"),"")))</f>
        <v/>
      </c>
      <c r="AA862" t="str">
        <f>IF(Y862="","",IF(Y862="[FÓRMULA MANUAL]","",IFERROR(AVERAGEIFS(nNOTA,nNIA,Y862,nCUENTA,1,nASIG,"Orquesta/Banda/Conjunto"),"")))</f>
        <v/>
      </c>
      <c r="AB862" t="str">
        <f>IF(Y862="","",IF(Y862="[FÓRMULA MANUAL]","",IFERROR(AVERAGEIFS(nNOTA,nNIA,Y862,nCUENTA,1,nASIG,"Música de Cámara"),"")))</f>
        <v/>
      </c>
      <c r="AC862" t="str">
        <f>IF(Y862="","",IF(Y862="[FÓRMULA MANUAL]","",IFERROR(SUMPRODUCT((nNIA=Y862)*(nCUENTA=1)*(COUNTIF(CONFIG_ASIGNATURAS!$B$7:$B$27,nASIG)&gt;0)*(nNOTA))/SUMPRODUCT((nNIA=Y862)*(nCUENTA=1)*(COUNTIF(CONFIG_ASIGNATURAS!$B$7:$B$27,nASIG)&gt;0)*1),"")))</f>
        <v/>
      </c>
      <c r="AF862" t="str">
        <f>IF(AE862="","",IF(AE862="[FÓRMULA MANUAL]","",IFERROR(AVERAGEIFS(nNOTA,nNIA,AE862,nCUENTA,1,nASIG,"Análisis"),"")))</f>
        <v/>
      </c>
      <c r="AG862" t="str">
        <f>IF(AE862="","",IF(AE862="[FÓRMULA MANUAL]","",IFERROR(AVERAGEIFS(nNOTA,nNIA,AE862,nCUENTA,1,nASIG,"Orquesta/Banda/Conjunto"),"")))</f>
        <v/>
      </c>
      <c r="AH862" t="str">
        <f>IF(AE862="","",IF(AE862="[FÓRMULA MANUAL]","",IFERROR(AVERAGEIFS(nNOTA,nNIA,AE862,nCUENTA,1,nASIG,"Música de Cámara"),"")))</f>
        <v/>
      </c>
      <c r="AI862" t="str">
        <f>IF(AE862="","",IF(AE862="[FÓRMULA MANUAL]","",IFERROR(SUMPRODUCT((nNIA=AE862)*(nCUENTA=1)*(COUNTIF(CONFIG_ASIGNATURAS!$B$7:$B$27,nASIG)&gt;0)*(nNOTA))/SUMPRODUCT((nNIA=AE862)*(nCUENTA=1)*(COUNTIF(CONFIG_ASIGNATURAS!$B$7:$B$27,nASIG)&gt;0)*1),"")))</f>
        <v/>
      </c>
    </row>
    <row r="863" spans="2:35" x14ac:dyDescent="0.2">
      <c r="B863" t="str">
        <f>IF(A863="","",IF(A863="[FÓRMULA MANUAL]","",IFERROR(AVERAGEIFS(nNOTA,nNIA,A863,nCUENTA,1,nASIG,"Lenguaje Musical"),"")))</f>
        <v/>
      </c>
      <c r="C863" t="str">
        <f>IF(A863="","",IF(A863="[FÓRMULA MANUAL]","",IFERROR(AVERAGEIFS(nNOTA,nNIA,A863,nCUENTA,1,nASIG,"Orquesta/Banda/Conjunto"),"")))</f>
        <v/>
      </c>
      <c r="D863" t="str">
        <f>IF(A863="","",IF(A863="[FÓRMULA MANUAL]","",IFERROR(AVERAGEIFS(nNOTA,nNIA,A863,nCUENTA,1,nASIG,"Conjunto"),"")))</f>
        <v/>
      </c>
      <c r="E863" t="str">
        <f>IF(A863="","",IF(A863="[FÓRMULA MANUAL]","",IFERROR(SUMPRODUCT((nNIA=A863)*(nCUENTA=1)*(COUNTIF(CONFIG_ASIGNATURAS!$B$7:$B$27,nASIG)&gt;0)*(nNOTA))/SUMPRODUCT((nNIA=A863)*(nCUENTA=1)*(COUNTIF(CONFIG_ASIGNATURAS!$B$7:$B$27,nASIG)&gt;0)*1),"")))</f>
        <v/>
      </c>
      <c r="H863" t="str">
        <f>IF(G863="","",IF(G863="[FÓRMULA MANUAL]","",IFERROR(AVERAGEIFS(nNOTA,nNIA,G863,nCUENTA,1,nASIG,"Lenguaje Musical"),"")))</f>
        <v/>
      </c>
      <c r="I863" t="str">
        <f>IF(G863="","",IF(G863="[FÓRMULA MANUAL]","",IFERROR(AVERAGEIFS(nNOTA,nNIA,G863,nCUENTA,1,nASIG,"Orquesta/Banda/Conjunto"),"")))</f>
        <v/>
      </c>
      <c r="J863" t="str">
        <f>IF(G863="","",IF(G863="[FÓRMULA MANUAL]","",IFERROR(AVERAGEIFS(nNOTA,nNIA,G863,nCUENTA,1,nASIG,"Conjunto"),"")))</f>
        <v/>
      </c>
      <c r="K863" t="str">
        <f>IF(G863="","",IF(G863="[FÓRMULA MANUAL]","",IFERROR(SUMPRODUCT((nNIA=G863)*(nCUENTA=1)*(COUNTIF(CONFIG_ASIGNATURAS!$B$7:$B$27,nASIG)&gt;0)*(nNOTA))/SUMPRODUCT((nNIA=G863)*(nCUENTA=1)*(COUNTIF(CONFIG_ASIGNATURAS!$B$7:$B$27,nASIG)&gt;0)*1),"")))</f>
        <v/>
      </c>
      <c r="N863" t="str">
        <f>IF(M863="","",IF(M863="[FÓRMULA MANUAL]","",IFERROR(AVERAGEIFS(nNOTA,nNIA,M863,nCUENTA,1,nASIG,"Armonía"),"")))</f>
        <v/>
      </c>
      <c r="O863" t="str">
        <f>IF(M863="","",IF(M863="[FÓRMULA MANUAL]","",IFERROR(AVERAGEIFS(nNOTA,nNIA,M863,nCUENTA,1,nASIG,"Orquesta/Banda/Conjunto"),"")))</f>
        <v/>
      </c>
      <c r="P863" t="str">
        <f>IF(M863="","",IF(M863="[FÓRMULA MANUAL]","",IFERROR(AVERAGEIFS(nNOTA,nNIA,M863,nCUENTA,1,nASIG,"Música de Cámara"),"")))</f>
        <v/>
      </c>
      <c r="Q863" t="str">
        <f>IF(M863="","",IF(M863="[FÓRMULA MANUAL]","",IFERROR(SUMPRODUCT((nNIA=M863)*(nCUENTA=1)*(COUNTIF(CONFIG_ASIGNATURAS!$B$7:$B$27,nASIG)&gt;0)*(nNOTA))/SUMPRODUCT((nNIA=M863)*(nCUENTA=1)*(COUNTIF(CONFIG_ASIGNATURAS!$B$7:$B$27,nASIG)&gt;0)*1),"")))</f>
        <v/>
      </c>
      <c r="T863" t="str">
        <f>IF(S863="","",IF(S863="[FÓRMULA MANUAL]","",IFERROR(AVERAGEIFS(nNOTA,nNIA,S863,nCUENTA,1,nASIG,"Armonía"),"")))</f>
        <v/>
      </c>
      <c r="U863" t="str">
        <f>IF(S863="","",IF(S863="[FÓRMULA MANUAL]","",IFERROR(AVERAGEIFS(nNOTA,nNIA,S863,nCUENTA,1,nASIG,"Orquesta/Banda/Conjunto"),"")))</f>
        <v/>
      </c>
      <c r="V863" t="str">
        <f>IF(S863="","",IF(S863="[FÓRMULA MANUAL]","",IFERROR(AVERAGEIFS(nNOTA,nNIA,S863,nCUENTA,1,nASIG,"Música de Cámara"),"")))</f>
        <v/>
      </c>
      <c r="W863" t="str">
        <f>IF(S863="","",IF(S863="[FÓRMULA MANUAL]","",IFERROR(SUMPRODUCT((nNIA=S863)*(nCUENTA=1)*(COUNTIF(CONFIG_ASIGNATURAS!$B$7:$B$27,nASIG)&gt;0)*(nNOTA))/SUMPRODUCT((nNIA=S863)*(nCUENTA=1)*(COUNTIF(CONFIG_ASIGNATURAS!$B$7:$B$27,nASIG)&gt;0)*1),"")))</f>
        <v/>
      </c>
      <c r="Z863" t="str">
        <f>IF(Y863="","",IF(Y863="[FÓRMULA MANUAL]","",IFERROR(AVERAGEIFS(nNOTA,nNIA,Y863,nCUENTA,1,nASIG,"Análisis"),"")))</f>
        <v/>
      </c>
      <c r="AA863" t="str">
        <f>IF(Y863="","",IF(Y863="[FÓRMULA MANUAL]","",IFERROR(AVERAGEIFS(nNOTA,nNIA,Y863,nCUENTA,1,nASIG,"Orquesta/Banda/Conjunto"),"")))</f>
        <v/>
      </c>
      <c r="AB863" t="str">
        <f>IF(Y863="","",IF(Y863="[FÓRMULA MANUAL]","",IFERROR(AVERAGEIFS(nNOTA,nNIA,Y863,nCUENTA,1,nASIG,"Música de Cámara"),"")))</f>
        <v/>
      </c>
      <c r="AC863" t="str">
        <f>IF(Y863="","",IF(Y863="[FÓRMULA MANUAL]","",IFERROR(SUMPRODUCT((nNIA=Y863)*(nCUENTA=1)*(COUNTIF(CONFIG_ASIGNATURAS!$B$7:$B$27,nASIG)&gt;0)*(nNOTA))/SUMPRODUCT((nNIA=Y863)*(nCUENTA=1)*(COUNTIF(CONFIG_ASIGNATURAS!$B$7:$B$27,nASIG)&gt;0)*1),"")))</f>
        <v/>
      </c>
      <c r="AF863" t="str">
        <f>IF(AE863="","",IF(AE863="[FÓRMULA MANUAL]","",IFERROR(AVERAGEIFS(nNOTA,nNIA,AE863,nCUENTA,1,nASIG,"Análisis"),"")))</f>
        <v/>
      </c>
      <c r="AG863" t="str">
        <f>IF(AE863="","",IF(AE863="[FÓRMULA MANUAL]","",IFERROR(AVERAGEIFS(nNOTA,nNIA,AE863,nCUENTA,1,nASIG,"Orquesta/Banda/Conjunto"),"")))</f>
        <v/>
      </c>
      <c r="AH863" t="str">
        <f>IF(AE863="","",IF(AE863="[FÓRMULA MANUAL]","",IFERROR(AVERAGEIFS(nNOTA,nNIA,AE863,nCUENTA,1,nASIG,"Música de Cámara"),"")))</f>
        <v/>
      </c>
      <c r="AI863" t="str">
        <f>IF(AE863="","",IF(AE863="[FÓRMULA MANUAL]","",IFERROR(SUMPRODUCT((nNIA=AE863)*(nCUENTA=1)*(COUNTIF(CONFIG_ASIGNATURAS!$B$7:$B$27,nASIG)&gt;0)*(nNOTA))/SUMPRODUCT((nNIA=AE863)*(nCUENTA=1)*(COUNTIF(CONFIG_ASIGNATURAS!$B$7:$B$27,nASIG)&gt;0)*1),"")))</f>
        <v/>
      </c>
    </row>
    <row r="864" spans="2:35" x14ac:dyDescent="0.2">
      <c r="B864" t="str">
        <f>IF(A864="","",IF(A864="[FÓRMULA MANUAL]","",IFERROR(AVERAGEIFS(nNOTA,nNIA,A864,nCUENTA,1,nASIG,"Lenguaje Musical"),"")))</f>
        <v/>
      </c>
      <c r="C864" t="str">
        <f>IF(A864="","",IF(A864="[FÓRMULA MANUAL]","",IFERROR(AVERAGEIFS(nNOTA,nNIA,A864,nCUENTA,1,nASIG,"Orquesta/Banda/Conjunto"),"")))</f>
        <v/>
      </c>
      <c r="D864" t="str">
        <f>IF(A864="","",IF(A864="[FÓRMULA MANUAL]","",IFERROR(AVERAGEIFS(nNOTA,nNIA,A864,nCUENTA,1,nASIG,"Conjunto"),"")))</f>
        <v/>
      </c>
      <c r="E864" t="str">
        <f>IF(A864="","",IF(A864="[FÓRMULA MANUAL]","",IFERROR(SUMPRODUCT((nNIA=A864)*(nCUENTA=1)*(COUNTIF(CONFIG_ASIGNATURAS!$B$7:$B$27,nASIG)&gt;0)*(nNOTA))/SUMPRODUCT((nNIA=A864)*(nCUENTA=1)*(COUNTIF(CONFIG_ASIGNATURAS!$B$7:$B$27,nASIG)&gt;0)*1),"")))</f>
        <v/>
      </c>
      <c r="H864" t="str">
        <f>IF(G864="","",IF(G864="[FÓRMULA MANUAL]","",IFERROR(AVERAGEIFS(nNOTA,nNIA,G864,nCUENTA,1,nASIG,"Lenguaje Musical"),"")))</f>
        <v/>
      </c>
      <c r="I864" t="str">
        <f>IF(G864="","",IF(G864="[FÓRMULA MANUAL]","",IFERROR(AVERAGEIFS(nNOTA,nNIA,G864,nCUENTA,1,nASIG,"Orquesta/Banda/Conjunto"),"")))</f>
        <v/>
      </c>
      <c r="J864" t="str">
        <f>IF(G864="","",IF(G864="[FÓRMULA MANUAL]","",IFERROR(AVERAGEIFS(nNOTA,nNIA,G864,nCUENTA,1,nASIG,"Conjunto"),"")))</f>
        <v/>
      </c>
      <c r="K864" t="str">
        <f>IF(G864="","",IF(G864="[FÓRMULA MANUAL]","",IFERROR(SUMPRODUCT((nNIA=G864)*(nCUENTA=1)*(COUNTIF(CONFIG_ASIGNATURAS!$B$7:$B$27,nASIG)&gt;0)*(nNOTA))/SUMPRODUCT((nNIA=G864)*(nCUENTA=1)*(COUNTIF(CONFIG_ASIGNATURAS!$B$7:$B$27,nASIG)&gt;0)*1),"")))</f>
        <v/>
      </c>
      <c r="N864" t="str">
        <f>IF(M864="","",IF(M864="[FÓRMULA MANUAL]","",IFERROR(AVERAGEIFS(nNOTA,nNIA,M864,nCUENTA,1,nASIG,"Armonía"),"")))</f>
        <v/>
      </c>
      <c r="O864" t="str">
        <f>IF(M864="","",IF(M864="[FÓRMULA MANUAL]","",IFERROR(AVERAGEIFS(nNOTA,nNIA,M864,nCUENTA,1,nASIG,"Orquesta/Banda/Conjunto"),"")))</f>
        <v/>
      </c>
      <c r="P864" t="str">
        <f>IF(M864="","",IF(M864="[FÓRMULA MANUAL]","",IFERROR(AVERAGEIFS(nNOTA,nNIA,M864,nCUENTA,1,nASIG,"Música de Cámara"),"")))</f>
        <v/>
      </c>
      <c r="Q864" t="str">
        <f>IF(M864="","",IF(M864="[FÓRMULA MANUAL]","",IFERROR(SUMPRODUCT((nNIA=M864)*(nCUENTA=1)*(COUNTIF(CONFIG_ASIGNATURAS!$B$7:$B$27,nASIG)&gt;0)*(nNOTA))/SUMPRODUCT((nNIA=M864)*(nCUENTA=1)*(COUNTIF(CONFIG_ASIGNATURAS!$B$7:$B$27,nASIG)&gt;0)*1),"")))</f>
        <v/>
      </c>
      <c r="T864" t="str">
        <f>IF(S864="","",IF(S864="[FÓRMULA MANUAL]","",IFERROR(AVERAGEIFS(nNOTA,nNIA,S864,nCUENTA,1,nASIG,"Armonía"),"")))</f>
        <v/>
      </c>
      <c r="U864" t="str">
        <f>IF(S864="","",IF(S864="[FÓRMULA MANUAL]","",IFERROR(AVERAGEIFS(nNOTA,nNIA,S864,nCUENTA,1,nASIG,"Orquesta/Banda/Conjunto"),"")))</f>
        <v/>
      </c>
      <c r="V864" t="str">
        <f>IF(S864="","",IF(S864="[FÓRMULA MANUAL]","",IFERROR(AVERAGEIFS(nNOTA,nNIA,S864,nCUENTA,1,nASIG,"Música de Cámara"),"")))</f>
        <v/>
      </c>
      <c r="W864" t="str">
        <f>IF(S864="","",IF(S864="[FÓRMULA MANUAL]","",IFERROR(SUMPRODUCT((nNIA=S864)*(nCUENTA=1)*(COUNTIF(CONFIG_ASIGNATURAS!$B$7:$B$27,nASIG)&gt;0)*(nNOTA))/SUMPRODUCT((nNIA=S864)*(nCUENTA=1)*(COUNTIF(CONFIG_ASIGNATURAS!$B$7:$B$27,nASIG)&gt;0)*1),"")))</f>
        <v/>
      </c>
      <c r="Z864" t="str">
        <f>IF(Y864="","",IF(Y864="[FÓRMULA MANUAL]","",IFERROR(AVERAGEIFS(nNOTA,nNIA,Y864,nCUENTA,1,nASIG,"Análisis"),"")))</f>
        <v/>
      </c>
      <c r="AA864" t="str">
        <f>IF(Y864="","",IF(Y864="[FÓRMULA MANUAL]","",IFERROR(AVERAGEIFS(nNOTA,nNIA,Y864,nCUENTA,1,nASIG,"Orquesta/Banda/Conjunto"),"")))</f>
        <v/>
      </c>
      <c r="AB864" t="str">
        <f>IF(Y864="","",IF(Y864="[FÓRMULA MANUAL]","",IFERROR(AVERAGEIFS(nNOTA,nNIA,Y864,nCUENTA,1,nASIG,"Música de Cámara"),"")))</f>
        <v/>
      </c>
      <c r="AC864" t="str">
        <f>IF(Y864="","",IF(Y864="[FÓRMULA MANUAL]","",IFERROR(SUMPRODUCT((nNIA=Y864)*(nCUENTA=1)*(COUNTIF(CONFIG_ASIGNATURAS!$B$7:$B$27,nASIG)&gt;0)*(nNOTA))/SUMPRODUCT((nNIA=Y864)*(nCUENTA=1)*(COUNTIF(CONFIG_ASIGNATURAS!$B$7:$B$27,nASIG)&gt;0)*1),"")))</f>
        <v/>
      </c>
      <c r="AF864" t="str">
        <f>IF(AE864="","",IF(AE864="[FÓRMULA MANUAL]","",IFERROR(AVERAGEIFS(nNOTA,nNIA,AE864,nCUENTA,1,nASIG,"Análisis"),"")))</f>
        <v/>
      </c>
      <c r="AG864" t="str">
        <f>IF(AE864="","",IF(AE864="[FÓRMULA MANUAL]","",IFERROR(AVERAGEIFS(nNOTA,nNIA,AE864,nCUENTA,1,nASIG,"Orquesta/Banda/Conjunto"),"")))</f>
        <v/>
      </c>
      <c r="AH864" t="str">
        <f>IF(AE864="","",IF(AE864="[FÓRMULA MANUAL]","",IFERROR(AVERAGEIFS(nNOTA,nNIA,AE864,nCUENTA,1,nASIG,"Música de Cámara"),"")))</f>
        <v/>
      </c>
      <c r="AI864" t="str">
        <f>IF(AE864="","",IF(AE864="[FÓRMULA MANUAL]","",IFERROR(SUMPRODUCT((nNIA=AE864)*(nCUENTA=1)*(COUNTIF(CONFIG_ASIGNATURAS!$B$7:$B$27,nASIG)&gt;0)*(nNOTA))/SUMPRODUCT((nNIA=AE864)*(nCUENTA=1)*(COUNTIF(CONFIG_ASIGNATURAS!$B$7:$B$27,nASIG)&gt;0)*1),"")))</f>
        <v/>
      </c>
    </row>
    <row r="865" spans="2:35" x14ac:dyDescent="0.2">
      <c r="B865" t="str">
        <f>IF(A865="","",IF(A865="[FÓRMULA MANUAL]","",IFERROR(AVERAGEIFS(nNOTA,nNIA,A865,nCUENTA,1,nASIG,"Lenguaje Musical"),"")))</f>
        <v/>
      </c>
      <c r="C865" t="str">
        <f>IF(A865="","",IF(A865="[FÓRMULA MANUAL]","",IFERROR(AVERAGEIFS(nNOTA,nNIA,A865,nCUENTA,1,nASIG,"Orquesta/Banda/Conjunto"),"")))</f>
        <v/>
      </c>
      <c r="D865" t="str">
        <f>IF(A865="","",IF(A865="[FÓRMULA MANUAL]","",IFERROR(AVERAGEIFS(nNOTA,nNIA,A865,nCUENTA,1,nASIG,"Conjunto"),"")))</f>
        <v/>
      </c>
      <c r="E865" t="str">
        <f>IF(A865="","",IF(A865="[FÓRMULA MANUAL]","",IFERROR(SUMPRODUCT((nNIA=A865)*(nCUENTA=1)*(COUNTIF(CONFIG_ASIGNATURAS!$B$7:$B$27,nASIG)&gt;0)*(nNOTA))/SUMPRODUCT((nNIA=A865)*(nCUENTA=1)*(COUNTIF(CONFIG_ASIGNATURAS!$B$7:$B$27,nASIG)&gt;0)*1),"")))</f>
        <v/>
      </c>
      <c r="H865" t="str">
        <f>IF(G865="","",IF(G865="[FÓRMULA MANUAL]","",IFERROR(AVERAGEIFS(nNOTA,nNIA,G865,nCUENTA,1,nASIG,"Lenguaje Musical"),"")))</f>
        <v/>
      </c>
      <c r="I865" t="str">
        <f>IF(G865="","",IF(G865="[FÓRMULA MANUAL]","",IFERROR(AVERAGEIFS(nNOTA,nNIA,G865,nCUENTA,1,nASIG,"Orquesta/Banda/Conjunto"),"")))</f>
        <v/>
      </c>
      <c r="J865" t="str">
        <f>IF(G865="","",IF(G865="[FÓRMULA MANUAL]","",IFERROR(AVERAGEIFS(nNOTA,nNIA,G865,nCUENTA,1,nASIG,"Conjunto"),"")))</f>
        <v/>
      </c>
      <c r="K865" t="str">
        <f>IF(G865="","",IF(G865="[FÓRMULA MANUAL]","",IFERROR(SUMPRODUCT((nNIA=G865)*(nCUENTA=1)*(COUNTIF(CONFIG_ASIGNATURAS!$B$7:$B$27,nASIG)&gt;0)*(nNOTA))/SUMPRODUCT((nNIA=G865)*(nCUENTA=1)*(COUNTIF(CONFIG_ASIGNATURAS!$B$7:$B$27,nASIG)&gt;0)*1),"")))</f>
        <v/>
      </c>
      <c r="N865" t="str">
        <f>IF(M865="","",IF(M865="[FÓRMULA MANUAL]","",IFERROR(AVERAGEIFS(nNOTA,nNIA,M865,nCUENTA,1,nASIG,"Armonía"),"")))</f>
        <v/>
      </c>
      <c r="O865" t="str">
        <f>IF(M865="","",IF(M865="[FÓRMULA MANUAL]","",IFERROR(AVERAGEIFS(nNOTA,nNIA,M865,nCUENTA,1,nASIG,"Orquesta/Banda/Conjunto"),"")))</f>
        <v/>
      </c>
      <c r="P865" t="str">
        <f>IF(M865="","",IF(M865="[FÓRMULA MANUAL]","",IFERROR(AVERAGEIFS(nNOTA,nNIA,M865,nCUENTA,1,nASIG,"Música de Cámara"),"")))</f>
        <v/>
      </c>
      <c r="Q865" t="str">
        <f>IF(M865="","",IF(M865="[FÓRMULA MANUAL]","",IFERROR(SUMPRODUCT((nNIA=M865)*(nCUENTA=1)*(COUNTIF(CONFIG_ASIGNATURAS!$B$7:$B$27,nASIG)&gt;0)*(nNOTA))/SUMPRODUCT((nNIA=M865)*(nCUENTA=1)*(COUNTIF(CONFIG_ASIGNATURAS!$B$7:$B$27,nASIG)&gt;0)*1),"")))</f>
        <v/>
      </c>
      <c r="T865" t="str">
        <f>IF(S865="","",IF(S865="[FÓRMULA MANUAL]","",IFERROR(AVERAGEIFS(nNOTA,nNIA,S865,nCUENTA,1,nASIG,"Armonía"),"")))</f>
        <v/>
      </c>
      <c r="U865" t="str">
        <f>IF(S865="","",IF(S865="[FÓRMULA MANUAL]","",IFERROR(AVERAGEIFS(nNOTA,nNIA,S865,nCUENTA,1,nASIG,"Orquesta/Banda/Conjunto"),"")))</f>
        <v/>
      </c>
      <c r="V865" t="str">
        <f>IF(S865="","",IF(S865="[FÓRMULA MANUAL]","",IFERROR(AVERAGEIFS(nNOTA,nNIA,S865,nCUENTA,1,nASIG,"Música de Cámara"),"")))</f>
        <v/>
      </c>
      <c r="W865" t="str">
        <f>IF(S865="","",IF(S865="[FÓRMULA MANUAL]","",IFERROR(SUMPRODUCT((nNIA=S865)*(nCUENTA=1)*(COUNTIF(CONFIG_ASIGNATURAS!$B$7:$B$27,nASIG)&gt;0)*(nNOTA))/SUMPRODUCT((nNIA=S865)*(nCUENTA=1)*(COUNTIF(CONFIG_ASIGNATURAS!$B$7:$B$27,nASIG)&gt;0)*1),"")))</f>
        <v/>
      </c>
      <c r="Z865" t="str">
        <f>IF(Y865="","",IF(Y865="[FÓRMULA MANUAL]","",IFERROR(AVERAGEIFS(nNOTA,nNIA,Y865,nCUENTA,1,nASIG,"Análisis"),"")))</f>
        <v/>
      </c>
      <c r="AA865" t="str">
        <f>IF(Y865="","",IF(Y865="[FÓRMULA MANUAL]","",IFERROR(AVERAGEIFS(nNOTA,nNIA,Y865,nCUENTA,1,nASIG,"Orquesta/Banda/Conjunto"),"")))</f>
        <v/>
      </c>
      <c r="AB865" t="str">
        <f>IF(Y865="","",IF(Y865="[FÓRMULA MANUAL]","",IFERROR(AVERAGEIFS(nNOTA,nNIA,Y865,nCUENTA,1,nASIG,"Música de Cámara"),"")))</f>
        <v/>
      </c>
      <c r="AC865" t="str">
        <f>IF(Y865="","",IF(Y865="[FÓRMULA MANUAL]","",IFERROR(SUMPRODUCT((nNIA=Y865)*(nCUENTA=1)*(COUNTIF(CONFIG_ASIGNATURAS!$B$7:$B$27,nASIG)&gt;0)*(nNOTA))/SUMPRODUCT((nNIA=Y865)*(nCUENTA=1)*(COUNTIF(CONFIG_ASIGNATURAS!$B$7:$B$27,nASIG)&gt;0)*1),"")))</f>
        <v/>
      </c>
      <c r="AF865" t="str">
        <f>IF(AE865="","",IF(AE865="[FÓRMULA MANUAL]","",IFERROR(AVERAGEIFS(nNOTA,nNIA,AE865,nCUENTA,1,nASIG,"Análisis"),"")))</f>
        <v/>
      </c>
      <c r="AG865" t="str">
        <f>IF(AE865="","",IF(AE865="[FÓRMULA MANUAL]","",IFERROR(AVERAGEIFS(nNOTA,nNIA,AE865,nCUENTA,1,nASIG,"Orquesta/Banda/Conjunto"),"")))</f>
        <v/>
      </c>
      <c r="AH865" t="str">
        <f>IF(AE865="","",IF(AE865="[FÓRMULA MANUAL]","",IFERROR(AVERAGEIFS(nNOTA,nNIA,AE865,nCUENTA,1,nASIG,"Música de Cámara"),"")))</f>
        <v/>
      </c>
      <c r="AI865" t="str">
        <f>IF(AE865="","",IF(AE865="[FÓRMULA MANUAL]","",IFERROR(SUMPRODUCT((nNIA=AE865)*(nCUENTA=1)*(COUNTIF(CONFIG_ASIGNATURAS!$B$7:$B$27,nASIG)&gt;0)*(nNOTA))/SUMPRODUCT((nNIA=AE865)*(nCUENTA=1)*(COUNTIF(CONFIG_ASIGNATURAS!$B$7:$B$27,nASIG)&gt;0)*1),"")))</f>
        <v/>
      </c>
    </row>
    <row r="866" spans="2:35" x14ac:dyDescent="0.2">
      <c r="B866" t="str">
        <f>IF(A866="","",IF(A866="[FÓRMULA MANUAL]","",IFERROR(AVERAGEIFS(nNOTA,nNIA,A866,nCUENTA,1,nASIG,"Lenguaje Musical"),"")))</f>
        <v/>
      </c>
      <c r="C866" t="str">
        <f>IF(A866="","",IF(A866="[FÓRMULA MANUAL]","",IFERROR(AVERAGEIFS(nNOTA,nNIA,A866,nCUENTA,1,nASIG,"Orquesta/Banda/Conjunto"),"")))</f>
        <v/>
      </c>
      <c r="D866" t="str">
        <f>IF(A866="","",IF(A866="[FÓRMULA MANUAL]","",IFERROR(AVERAGEIFS(nNOTA,nNIA,A866,nCUENTA,1,nASIG,"Conjunto"),"")))</f>
        <v/>
      </c>
      <c r="E866" t="str">
        <f>IF(A866="","",IF(A866="[FÓRMULA MANUAL]","",IFERROR(SUMPRODUCT((nNIA=A866)*(nCUENTA=1)*(COUNTIF(CONFIG_ASIGNATURAS!$B$7:$B$27,nASIG)&gt;0)*(nNOTA))/SUMPRODUCT((nNIA=A866)*(nCUENTA=1)*(COUNTIF(CONFIG_ASIGNATURAS!$B$7:$B$27,nASIG)&gt;0)*1),"")))</f>
        <v/>
      </c>
      <c r="H866" t="str">
        <f>IF(G866="","",IF(G866="[FÓRMULA MANUAL]","",IFERROR(AVERAGEIFS(nNOTA,nNIA,G866,nCUENTA,1,nASIG,"Lenguaje Musical"),"")))</f>
        <v/>
      </c>
      <c r="I866" t="str">
        <f>IF(G866="","",IF(G866="[FÓRMULA MANUAL]","",IFERROR(AVERAGEIFS(nNOTA,nNIA,G866,nCUENTA,1,nASIG,"Orquesta/Banda/Conjunto"),"")))</f>
        <v/>
      </c>
      <c r="J866" t="str">
        <f>IF(G866="","",IF(G866="[FÓRMULA MANUAL]","",IFERROR(AVERAGEIFS(nNOTA,nNIA,G866,nCUENTA,1,nASIG,"Conjunto"),"")))</f>
        <v/>
      </c>
      <c r="K866" t="str">
        <f>IF(G866="","",IF(G866="[FÓRMULA MANUAL]","",IFERROR(SUMPRODUCT((nNIA=G866)*(nCUENTA=1)*(COUNTIF(CONFIG_ASIGNATURAS!$B$7:$B$27,nASIG)&gt;0)*(nNOTA))/SUMPRODUCT((nNIA=G866)*(nCUENTA=1)*(COUNTIF(CONFIG_ASIGNATURAS!$B$7:$B$27,nASIG)&gt;0)*1),"")))</f>
        <v/>
      </c>
      <c r="N866" t="str">
        <f>IF(M866="","",IF(M866="[FÓRMULA MANUAL]","",IFERROR(AVERAGEIFS(nNOTA,nNIA,M866,nCUENTA,1,nASIG,"Armonía"),"")))</f>
        <v/>
      </c>
      <c r="O866" t="str">
        <f>IF(M866="","",IF(M866="[FÓRMULA MANUAL]","",IFERROR(AVERAGEIFS(nNOTA,nNIA,M866,nCUENTA,1,nASIG,"Orquesta/Banda/Conjunto"),"")))</f>
        <v/>
      </c>
      <c r="P866" t="str">
        <f>IF(M866="","",IF(M866="[FÓRMULA MANUAL]","",IFERROR(AVERAGEIFS(nNOTA,nNIA,M866,nCUENTA,1,nASIG,"Música de Cámara"),"")))</f>
        <v/>
      </c>
      <c r="Q866" t="str">
        <f>IF(M866="","",IF(M866="[FÓRMULA MANUAL]","",IFERROR(SUMPRODUCT((nNIA=M866)*(nCUENTA=1)*(COUNTIF(CONFIG_ASIGNATURAS!$B$7:$B$27,nASIG)&gt;0)*(nNOTA))/SUMPRODUCT((nNIA=M866)*(nCUENTA=1)*(COUNTIF(CONFIG_ASIGNATURAS!$B$7:$B$27,nASIG)&gt;0)*1),"")))</f>
        <v/>
      </c>
      <c r="T866" t="str">
        <f>IF(S866="","",IF(S866="[FÓRMULA MANUAL]","",IFERROR(AVERAGEIFS(nNOTA,nNIA,S866,nCUENTA,1,nASIG,"Armonía"),"")))</f>
        <v/>
      </c>
      <c r="U866" t="str">
        <f>IF(S866="","",IF(S866="[FÓRMULA MANUAL]","",IFERROR(AVERAGEIFS(nNOTA,nNIA,S866,nCUENTA,1,nASIG,"Orquesta/Banda/Conjunto"),"")))</f>
        <v/>
      </c>
      <c r="V866" t="str">
        <f>IF(S866="","",IF(S866="[FÓRMULA MANUAL]","",IFERROR(AVERAGEIFS(nNOTA,nNIA,S866,nCUENTA,1,nASIG,"Música de Cámara"),"")))</f>
        <v/>
      </c>
      <c r="W866" t="str">
        <f>IF(S866="","",IF(S866="[FÓRMULA MANUAL]","",IFERROR(SUMPRODUCT((nNIA=S866)*(nCUENTA=1)*(COUNTIF(CONFIG_ASIGNATURAS!$B$7:$B$27,nASIG)&gt;0)*(nNOTA))/SUMPRODUCT((nNIA=S866)*(nCUENTA=1)*(COUNTIF(CONFIG_ASIGNATURAS!$B$7:$B$27,nASIG)&gt;0)*1),"")))</f>
        <v/>
      </c>
      <c r="Z866" t="str">
        <f>IF(Y866="","",IF(Y866="[FÓRMULA MANUAL]","",IFERROR(AVERAGEIFS(nNOTA,nNIA,Y866,nCUENTA,1,nASIG,"Análisis"),"")))</f>
        <v/>
      </c>
      <c r="AA866" t="str">
        <f>IF(Y866="","",IF(Y866="[FÓRMULA MANUAL]","",IFERROR(AVERAGEIFS(nNOTA,nNIA,Y866,nCUENTA,1,nASIG,"Orquesta/Banda/Conjunto"),"")))</f>
        <v/>
      </c>
      <c r="AB866" t="str">
        <f>IF(Y866="","",IF(Y866="[FÓRMULA MANUAL]","",IFERROR(AVERAGEIFS(nNOTA,nNIA,Y866,nCUENTA,1,nASIG,"Música de Cámara"),"")))</f>
        <v/>
      </c>
      <c r="AC866" t="str">
        <f>IF(Y866="","",IF(Y866="[FÓRMULA MANUAL]","",IFERROR(SUMPRODUCT((nNIA=Y866)*(nCUENTA=1)*(COUNTIF(CONFIG_ASIGNATURAS!$B$7:$B$27,nASIG)&gt;0)*(nNOTA))/SUMPRODUCT((nNIA=Y866)*(nCUENTA=1)*(COUNTIF(CONFIG_ASIGNATURAS!$B$7:$B$27,nASIG)&gt;0)*1),"")))</f>
        <v/>
      </c>
      <c r="AF866" t="str">
        <f>IF(AE866="","",IF(AE866="[FÓRMULA MANUAL]","",IFERROR(AVERAGEIFS(nNOTA,nNIA,AE866,nCUENTA,1,nASIG,"Análisis"),"")))</f>
        <v/>
      </c>
      <c r="AG866" t="str">
        <f>IF(AE866="","",IF(AE866="[FÓRMULA MANUAL]","",IFERROR(AVERAGEIFS(nNOTA,nNIA,AE866,nCUENTA,1,nASIG,"Orquesta/Banda/Conjunto"),"")))</f>
        <v/>
      </c>
      <c r="AH866" t="str">
        <f>IF(AE866="","",IF(AE866="[FÓRMULA MANUAL]","",IFERROR(AVERAGEIFS(nNOTA,nNIA,AE866,nCUENTA,1,nASIG,"Música de Cámara"),"")))</f>
        <v/>
      </c>
      <c r="AI866" t="str">
        <f>IF(AE866="","",IF(AE866="[FÓRMULA MANUAL]","",IFERROR(SUMPRODUCT((nNIA=AE866)*(nCUENTA=1)*(COUNTIF(CONFIG_ASIGNATURAS!$B$7:$B$27,nASIG)&gt;0)*(nNOTA))/SUMPRODUCT((nNIA=AE866)*(nCUENTA=1)*(COUNTIF(CONFIG_ASIGNATURAS!$B$7:$B$27,nASIG)&gt;0)*1),"")))</f>
        <v/>
      </c>
    </row>
    <row r="867" spans="2:35" x14ac:dyDescent="0.2">
      <c r="B867" t="str">
        <f>IF(A867="","",IF(A867="[FÓRMULA MANUAL]","",IFERROR(AVERAGEIFS(nNOTA,nNIA,A867,nCUENTA,1,nASIG,"Lenguaje Musical"),"")))</f>
        <v/>
      </c>
      <c r="C867" t="str">
        <f>IF(A867="","",IF(A867="[FÓRMULA MANUAL]","",IFERROR(AVERAGEIFS(nNOTA,nNIA,A867,nCUENTA,1,nASIG,"Orquesta/Banda/Conjunto"),"")))</f>
        <v/>
      </c>
      <c r="D867" t="str">
        <f>IF(A867="","",IF(A867="[FÓRMULA MANUAL]","",IFERROR(AVERAGEIFS(nNOTA,nNIA,A867,nCUENTA,1,nASIG,"Conjunto"),"")))</f>
        <v/>
      </c>
      <c r="E867" t="str">
        <f>IF(A867="","",IF(A867="[FÓRMULA MANUAL]","",IFERROR(SUMPRODUCT((nNIA=A867)*(nCUENTA=1)*(COUNTIF(CONFIG_ASIGNATURAS!$B$7:$B$27,nASIG)&gt;0)*(nNOTA))/SUMPRODUCT((nNIA=A867)*(nCUENTA=1)*(COUNTIF(CONFIG_ASIGNATURAS!$B$7:$B$27,nASIG)&gt;0)*1),"")))</f>
        <v/>
      </c>
      <c r="H867" t="str">
        <f>IF(G867="","",IF(G867="[FÓRMULA MANUAL]","",IFERROR(AVERAGEIFS(nNOTA,nNIA,G867,nCUENTA,1,nASIG,"Lenguaje Musical"),"")))</f>
        <v/>
      </c>
      <c r="I867" t="str">
        <f>IF(G867="","",IF(G867="[FÓRMULA MANUAL]","",IFERROR(AVERAGEIFS(nNOTA,nNIA,G867,nCUENTA,1,nASIG,"Orquesta/Banda/Conjunto"),"")))</f>
        <v/>
      </c>
      <c r="J867" t="str">
        <f>IF(G867="","",IF(G867="[FÓRMULA MANUAL]","",IFERROR(AVERAGEIFS(nNOTA,nNIA,G867,nCUENTA,1,nASIG,"Conjunto"),"")))</f>
        <v/>
      </c>
      <c r="K867" t="str">
        <f>IF(G867="","",IF(G867="[FÓRMULA MANUAL]","",IFERROR(SUMPRODUCT((nNIA=G867)*(nCUENTA=1)*(COUNTIF(CONFIG_ASIGNATURAS!$B$7:$B$27,nASIG)&gt;0)*(nNOTA))/SUMPRODUCT((nNIA=G867)*(nCUENTA=1)*(COUNTIF(CONFIG_ASIGNATURAS!$B$7:$B$27,nASIG)&gt;0)*1),"")))</f>
        <v/>
      </c>
      <c r="N867" t="str">
        <f>IF(M867="","",IF(M867="[FÓRMULA MANUAL]","",IFERROR(AVERAGEIFS(nNOTA,nNIA,M867,nCUENTA,1,nASIG,"Armonía"),"")))</f>
        <v/>
      </c>
      <c r="O867" t="str">
        <f>IF(M867="","",IF(M867="[FÓRMULA MANUAL]","",IFERROR(AVERAGEIFS(nNOTA,nNIA,M867,nCUENTA,1,nASIG,"Orquesta/Banda/Conjunto"),"")))</f>
        <v/>
      </c>
      <c r="P867" t="str">
        <f>IF(M867="","",IF(M867="[FÓRMULA MANUAL]","",IFERROR(AVERAGEIFS(nNOTA,nNIA,M867,nCUENTA,1,nASIG,"Música de Cámara"),"")))</f>
        <v/>
      </c>
      <c r="Q867" t="str">
        <f>IF(M867="","",IF(M867="[FÓRMULA MANUAL]","",IFERROR(SUMPRODUCT((nNIA=M867)*(nCUENTA=1)*(COUNTIF(CONFIG_ASIGNATURAS!$B$7:$B$27,nASIG)&gt;0)*(nNOTA))/SUMPRODUCT((nNIA=M867)*(nCUENTA=1)*(COUNTIF(CONFIG_ASIGNATURAS!$B$7:$B$27,nASIG)&gt;0)*1),"")))</f>
        <v/>
      </c>
      <c r="T867" t="str">
        <f>IF(S867="","",IF(S867="[FÓRMULA MANUAL]","",IFERROR(AVERAGEIFS(nNOTA,nNIA,S867,nCUENTA,1,nASIG,"Armonía"),"")))</f>
        <v/>
      </c>
      <c r="U867" t="str">
        <f>IF(S867="","",IF(S867="[FÓRMULA MANUAL]","",IFERROR(AVERAGEIFS(nNOTA,nNIA,S867,nCUENTA,1,nASIG,"Orquesta/Banda/Conjunto"),"")))</f>
        <v/>
      </c>
      <c r="V867" t="str">
        <f>IF(S867="","",IF(S867="[FÓRMULA MANUAL]","",IFERROR(AVERAGEIFS(nNOTA,nNIA,S867,nCUENTA,1,nASIG,"Música de Cámara"),"")))</f>
        <v/>
      </c>
      <c r="W867" t="str">
        <f>IF(S867="","",IF(S867="[FÓRMULA MANUAL]","",IFERROR(SUMPRODUCT((nNIA=S867)*(nCUENTA=1)*(COUNTIF(CONFIG_ASIGNATURAS!$B$7:$B$27,nASIG)&gt;0)*(nNOTA))/SUMPRODUCT((nNIA=S867)*(nCUENTA=1)*(COUNTIF(CONFIG_ASIGNATURAS!$B$7:$B$27,nASIG)&gt;0)*1),"")))</f>
        <v/>
      </c>
      <c r="Z867" t="str">
        <f>IF(Y867="","",IF(Y867="[FÓRMULA MANUAL]","",IFERROR(AVERAGEIFS(nNOTA,nNIA,Y867,nCUENTA,1,nASIG,"Análisis"),"")))</f>
        <v/>
      </c>
      <c r="AA867" t="str">
        <f>IF(Y867="","",IF(Y867="[FÓRMULA MANUAL]","",IFERROR(AVERAGEIFS(nNOTA,nNIA,Y867,nCUENTA,1,nASIG,"Orquesta/Banda/Conjunto"),"")))</f>
        <v/>
      </c>
      <c r="AB867" t="str">
        <f>IF(Y867="","",IF(Y867="[FÓRMULA MANUAL]","",IFERROR(AVERAGEIFS(nNOTA,nNIA,Y867,nCUENTA,1,nASIG,"Música de Cámara"),"")))</f>
        <v/>
      </c>
      <c r="AC867" t="str">
        <f>IF(Y867="","",IF(Y867="[FÓRMULA MANUAL]","",IFERROR(SUMPRODUCT((nNIA=Y867)*(nCUENTA=1)*(COUNTIF(CONFIG_ASIGNATURAS!$B$7:$B$27,nASIG)&gt;0)*(nNOTA))/SUMPRODUCT((nNIA=Y867)*(nCUENTA=1)*(COUNTIF(CONFIG_ASIGNATURAS!$B$7:$B$27,nASIG)&gt;0)*1),"")))</f>
        <v/>
      </c>
      <c r="AF867" t="str">
        <f>IF(AE867="","",IF(AE867="[FÓRMULA MANUAL]","",IFERROR(AVERAGEIFS(nNOTA,nNIA,AE867,nCUENTA,1,nASIG,"Análisis"),"")))</f>
        <v/>
      </c>
      <c r="AG867" t="str">
        <f>IF(AE867="","",IF(AE867="[FÓRMULA MANUAL]","",IFERROR(AVERAGEIFS(nNOTA,nNIA,AE867,nCUENTA,1,nASIG,"Orquesta/Banda/Conjunto"),"")))</f>
        <v/>
      </c>
      <c r="AH867" t="str">
        <f>IF(AE867="","",IF(AE867="[FÓRMULA MANUAL]","",IFERROR(AVERAGEIFS(nNOTA,nNIA,AE867,nCUENTA,1,nASIG,"Música de Cámara"),"")))</f>
        <v/>
      </c>
      <c r="AI867" t="str">
        <f>IF(AE867="","",IF(AE867="[FÓRMULA MANUAL]","",IFERROR(SUMPRODUCT((nNIA=AE867)*(nCUENTA=1)*(COUNTIF(CONFIG_ASIGNATURAS!$B$7:$B$27,nASIG)&gt;0)*(nNOTA))/SUMPRODUCT((nNIA=AE867)*(nCUENTA=1)*(COUNTIF(CONFIG_ASIGNATURAS!$B$7:$B$27,nASIG)&gt;0)*1),"")))</f>
        <v/>
      </c>
    </row>
    <row r="868" spans="2:35" x14ac:dyDescent="0.2">
      <c r="B868" t="str">
        <f>IF(A868="","",IF(A868="[FÓRMULA MANUAL]","",IFERROR(AVERAGEIFS(nNOTA,nNIA,A868,nCUENTA,1,nASIG,"Lenguaje Musical"),"")))</f>
        <v/>
      </c>
      <c r="C868" t="str">
        <f>IF(A868="","",IF(A868="[FÓRMULA MANUAL]","",IFERROR(AVERAGEIFS(nNOTA,nNIA,A868,nCUENTA,1,nASIG,"Orquesta/Banda/Conjunto"),"")))</f>
        <v/>
      </c>
      <c r="D868" t="str">
        <f>IF(A868="","",IF(A868="[FÓRMULA MANUAL]","",IFERROR(AVERAGEIFS(nNOTA,nNIA,A868,nCUENTA,1,nASIG,"Conjunto"),"")))</f>
        <v/>
      </c>
      <c r="E868" t="str">
        <f>IF(A868="","",IF(A868="[FÓRMULA MANUAL]","",IFERROR(SUMPRODUCT((nNIA=A868)*(nCUENTA=1)*(COUNTIF(CONFIG_ASIGNATURAS!$B$7:$B$27,nASIG)&gt;0)*(nNOTA))/SUMPRODUCT((nNIA=A868)*(nCUENTA=1)*(COUNTIF(CONFIG_ASIGNATURAS!$B$7:$B$27,nASIG)&gt;0)*1),"")))</f>
        <v/>
      </c>
      <c r="H868" t="str">
        <f>IF(G868="","",IF(G868="[FÓRMULA MANUAL]","",IFERROR(AVERAGEIFS(nNOTA,nNIA,G868,nCUENTA,1,nASIG,"Lenguaje Musical"),"")))</f>
        <v/>
      </c>
      <c r="I868" t="str">
        <f>IF(G868="","",IF(G868="[FÓRMULA MANUAL]","",IFERROR(AVERAGEIFS(nNOTA,nNIA,G868,nCUENTA,1,nASIG,"Orquesta/Banda/Conjunto"),"")))</f>
        <v/>
      </c>
      <c r="J868" t="str">
        <f>IF(G868="","",IF(G868="[FÓRMULA MANUAL]","",IFERROR(AVERAGEIFS(nNOTA,nNIA,G868,nCUENTA,1,nASIG,"Conjunto"),"")))</f>
        <v/>
      </c>
      <c r="K868" t="str">
        <f>IF(G868="","",IF(G868="[FÓRMULA MANUAL]","",IFERROR(SUMPRODUCT((nNIA=G868)*(nCUENTA=1)*(COUNTIF(CONFIG_ASIGNATURAS!$B$7:$B$27,nASIG)&gt;0)*(nNOTA))/SUMPRODUCT((nNIA=G868)*(nCUENTA=1)*(COUNTIF(CONFIG_ASIGNATURAS!$B$7:$B$27,nASIG)&gt;0)*1),"")))</f>
        <v/>
      </c>
      <c r="N868" t="str">
        <f>IF(M868="","",IF(M868="[FÓRMULA MANUAL]","",IFERROR(AVERAGEIFS(nNOTA,nNIA,M868,nCUENTA,1,nASIG,"Armonía"),"")))</f>
        <v/>
      </c>
      <c r="O868" t="str">
        <f>IF(M868="","",IF(M868="[FÓRMULA MANUAL]","",IFERROR(AVERAGEIFS(nNOTA,nNIA,M868,nCUENTA,1,nASIG,"Orquesta/Banda/Conjunto"),"")))</f>
        <v/>
      </c>
      <c r="P868" t="str">
        <f>IF(M868="","",IF(M868="[FÓRMULA MANUAL]","",IFERROR(AVERAGEIFS(nNOTA,nNIA,M868,nCUENTA,1,nASIG,"Música de Cámara"),"")))</f>
        <v/>
      </c>
      <c r="Q868" t="str">
        <f>IF(M868="","",IF(M868="[FÓRMULA MANUAL]","",IFERROR(SUMPRODUCT((nNIA=M868)*(nCUENTA=1)*(COUNTIF(CONFIG_ASIGNATURAS!$B$7:$B$27,nASIG)&gt;0)*(nNOTA))/SUMPRODUCT((nNIA=M868)*(nCUENTA=1)*(COUNTIF(CONFIG_ASIGNATURAS!$B$7:$B$27,nASIG)&gt;0)*1),"")))</f>
        <v/>
      </c>
      <c r="T868" t="str">
        <f>IF(S868="","",IF(S868="[FÓRMULA MANUAL]","",IFERROR(AVERAGEIFS(nNOTA,nNIA,S868,nCUENTA,1,nASIG,"Armonía"),"")))</f>
        <v/>
      </c>
      <c r="U868" t="str">
        <f>IF(S868="","",IF(S868="[FÓRMULA MANUAL]","",IFERROR(AVERAGEIFS(nNOTA,nNIA,S868,nCUENTA,1,nASIG,"Orquesta/Banda/Conjunto"),"")))</f>
        <v/>
      </c>
      <c r="V868" t="str">
        <f>IF(S868="","",IF(S868="[FÓRMULA MANUAL]","",IFERROR(AVERAGEIFS(nNOTA,nNIA,S868,nCUENTA,1,nASIG,"Música de Cámara"),"")))</f>
        <v/>
      </c>
      <c r="W868" t="str">
        <f>IF(S868="","",IF(S868="[FÓRMULA MANUAL]","",IFERROR(SUMPRODUCT((nNIA=S868)*(nCUENTA=1)*(COUNTIF(CONFIG_ASIGNATURAS!$B$7:$B$27,nASIG)&gt;0)*(nNOTA))/SUMPRODUCT((nNIA=S868)*(nCUENTA=1)*(COUNTIF(CONFIG_ASIGNATURAS!$B$7:$B$27,nASIG)&gt;0)*1),"")))</f>
        <v/>
      </c>
      <c r="Z868" t="str">
        <f>IF(Y868="","",IF(Y868="[FÓRMULA MANUAL]","",IFERROR(AVERAGEIFS(nNOTA,nNIA,Y868,nCUENTA,1,nASIG,"Análisis"),"")))</f>
        <v/>
      </c>
      <c r="AA868" t="str">
        <f>IF(Y868="","",IF(Y868="[FÓRMULA MANUAL]","",IFERROR(AVERAGEIFS(nNOTA,nNIA,Y868,nCUENTA,1,nASIG,"Orquesta/Banda/Conjunto"),"")))</f>
        <v/>
      </c>
      <c r="AB868" t="str">
        <f>IF(Y868="","",IF(Y868="[FÓRMULA MANUAL]","",IFERROR(AVERAGEIFS(nNOTA,nNIA,Y868,nCUENTA,1,nASIG,"Música de Cámara"),"")))</f>
        <v/>
      </c>
      <c r="AC868" t="str">
        <f>IF(Y868="","",IF(Y868="[FÓRMULA MANUAL]","",IFERROR(SUMPRODUCT((nNIA=Y868)*(nCUENTA=1)*(COUNTIF(CONFIG_ASIGNATURAS!$B$7:$B$27,nASIG)&gt;0)*(nNOTA))/SUMPRODUCT((nNIA=Y868)*(nCUENTA=1)*(COUNTIF(CONFIG_ASIGNATURAS!$B$7:$B$27,nASIG)&gt;0)*1),"")))</f>
        <v/>
      </c>
      <c r="AF868" t="str">
        <f>IF(AE868="","",IF(AE868="[FÓRMULA MANUAL]","",IFERROR(AVERAGEIFS(nNOTA,nNIA,AE868,nCUENTA,1,nASIG,"Análisis"),"")))</f>
        <v/>
      </c>
      <c r="AG868" t="str">
        <f>IF(AE868="","",IF(AE868="[FÓRMULA MANUAL]","",IFERROR(AVERAGEIFS(nNOTA,nNIA,AE868,nCUENTA,1,nASIG,"Orquesta/Banda/Conjunto"),"")))</f>
        <v/>
      </c>
      <c r="AH868" t="str">
        <f>IF(AE868="","",IF(AE868="[FÓRMULA MANUAL]","",IFERROR(AVERAGEIFS(nNOTA,nNIA,AE868,nCUENTA,1,nASIG,"Música de Cámara"),"")))</f>
        <v/>
      </c>
      <c r="AI868" t="str">
        <f>IF(AE868="","",IF(AE868="[FÓRMULA MANUAL]","",IFERROR(SUMPRODUCT((nNIA=AE868)*(nCUENTA=1)*(COUNTIF(CONFIG_ASIGNATURAS!$B$7:$B$27,nASIG)&gt;0)*(nNOTA))/SUMPRODUCT((nNIA=AE868)*(nCUENTA=1)*(COUNTIF(CONFIG_ASIGNATURAS!$B$7:$B$27,nASIG)&gt;0)*1),"")))</f>
        <v/>
      </c>
    </row>
    <row r="869" spans="2:35" x14ac:dyDescent="0.2">
      <c r="B869" t="str">
        <f>IF(A869="","",IF(A869="[FÓRMULA MANUAL]","",IFERROR(AVERAGEIFS(nNOTA,nNIA,A869,nCUENTA,1,nASIG,"Lenguaje Musical"),"")))</f>
        <v/>
      </c>
      <c r="C869" t="str">
        <f>IF(A869="","",IF(A869="[FÓRMULA MANUAL]","",IFERROR(AVERAGEIFS(nNOTA,nNIA,A869,nCUENTA,1,nASIG,"Orquesta/Banda/Conjunto"),"")))</f>
        <v/>
      </c>
      <c r="D869" t="str">
        <f>IF(A869="","",IF(A869="[FÓRMULA MANUAL]","",IFERROR(AVERAGEIFS(nNOTA,nNIA,A869,nCUENTA,1,nASIG,"Conjunto"),"")))</f>
        <v/>
      </c>
      <c r="E869" t="str">
        <f>IF(A869="","",IF(A869="[FÓRMULA MANUAL]","",IFERROR(SUMPRODUCT((nNIA=A869)*(nCUENTA=1)*(COUNTIF(CONFIG_ASIGNATURAS!$B$7:$B$27,nASIG)&gt;0)*(nNOTA))/SUMPRODUCT((nNIA=A869)*(nCUENTA=1)*(COUNTIF(CONFIG_ASIGNATURAS!$B$7:$B$27,nASIG)&gt;0)*1),"")))</f>
        <v/>
      </c>
      <c r="H869" t="str">
        <f>IF(G869="","",IF(G869="[FÓRMULA MANUAL]","",IFERROR(AVERAGEIFS(nNOTA,nNIA,G869,nCUENTA,1,nASIG,"Lenguaje Musical"),"")))</f>
        <v/>
      </c>
      <c r="I869" t="str">
        <f>IF(G869="","",IF(G869="[FÓRMULA MANUAL]","",IFERROR(AVERAGEIFS(nNOTA,nNIA,G869,nCUENTA,1,nASIG,"Orquesta/Banda/Conjunto"),"")))</f>
        <v/>
      </c>
      <c r="J869" t="str">
        <f>IF(G869="","",IF(G869="[FÓRMULA MANUAL]","",IFERROR(AVERAGEIFS(nNOTA,nNIA,G869,nCUENTA,1,nASIG,"Conjunto"),"")))</f>
        <v/>
      </c>
      <c r="K869" t="str">
        <f>IF(G869="","",IF(G869="[FÓRMULA MANUAL]","",IFERROR(SUMPRODUCT((nNIA=G869)*(nCUENTA=1)*(COUNTIF(CONFIG_ASIGNATURAS!$B$7:$B$27,nASIG)&gt;0)*(nNOTA))/SUMPRODUCT((nNIA=G869)*(nCUENTA=1)*(COUNTIF(CONFIG_ASIGNATURAS!$B$7:$B$27,nASIG)&gt;0)*1),"")))</f>
        <v/>
      </c>
      <c r="N869" t="str">
        <f>IF(M869="","",IF(M869="[FÓRMULA MANUAL]","",IFERROR(AVERAGEIFS(nNOTA,nNIA,M869,nCUENTA,1,nASIG,"Armonía"),"")))</f>
        <v/>
      </c>
      <c r="O869" t="str">
        <f>IF(M869="","",IF(M869="[FÓRMULA MANUAL]","",IFERROR(AVERAGEIFS(nNOTA,nNIA,M869,nCUENTA,1,nASIG,"Orquesta/Banda/Conjunto"),"")))</f>
        <v/>
      </c>
      <c r="P869" t="str">
        <f>IF(M869="","",IF(M869="[FÓRMULA MANUAL]","",IFERROR(AVERAGEIFS(nNOTA,nNIA,M869,nCUENTA,1,nASIG,"Música de Cámara"),"")))</f>
        <v/>
      </c>
      <c r="Q869" t="str">
        <f>IF(M869="","",IF(M869="[FÓRMULA MANUAL]","",IFERROR(SUMPRODUCT((nNIA=M869)*(nCUENTA=1)*(COUNTIF(CONFIG_ASIGNATURAS!$B$7:$B$27,nASIG)&gt;0)*(nNOTA))/SUMPRODUCT((nNIA=M869)*(nCUENTA=1)*(COUNTIF(CONFIG_ASIGNATURAS!$B$7:$B$27,nASIG)&gt;0)*1),"")))</f>
        <v/>
      </c>
      <c r="T869" t="str">
        <f>IF(S869="","",IF(S869="[FÓRMULA MANUAL]","",IFERROR(AVERAGEIFS(nNOTA,nNIA,S869,nCUENTA,1,nASIG,"Armonía"),"")))</f>
        <v/>
      </c>
      <c r="U869" t="str">
        <f>IF(S869="","",IF(S869="[FÓRMULA MANUAL]","",IFERROR(AVERAGEIFS(nNOTA,nNIA,S869,nCUENTA,1,nASIG,"Orquesta/Banda/Conjunto"),"")))</f>
        <v/>
      </c>
      <c r="V869" t="str">
        <f>IF(S869="","",IF(S869="[FÓRMULA MANUAL]","",IFERROR(AVERAGEIFS(nNOTA,nNIA,S869,nCUENTA,1,nASIG,"Música de Cámara"),"")))</f>
        <v/>
      </c>
      <c r="W869" t="str">
        <f>IF(S869="","",IF(S869="[FÓRMULA MANUAL]","",IFERROR(SUMPRODUCT((nNIA=S869)*(nCUENTA=1)*(COUNTIF(CONFIG_ASIGNATURAS!$B$7:$B$27,nASIG)&gt;0)*(nNOTA))/SUMPRODUCT((nNIA=S869)*(nCUENTA=1)*(COUNTIF(CONFIG_ASIGNATURAS!$B$7:$B$27,nASIG)&gt;0)*1),"")))</f>
        <v/>
      </c>
      <c r="Z869" t="str">
        <f>IF(Y869="","",IF(Y869="[FÓRMULA MANUAL]","",IFERROR(AVERAGEIFS(nNOTA,nNIA,Y869,nCUENTA,1,nASIG,"Análisis"),"")))</f>
        <v/>
      </c>
      <c r="AA869" t="str">
        <f>IF(Y869="","",IF(Y869="[FÓRMULA MANUAL]","",IFERROR(AVERAGEIFS(nNOTA,nNIA,Y869,nCUENTA,1,nASIG,"Orquesta/Banda/Conjunto"),"")))</f>
        <v/>
      </c>
      <c r="AB869" t="str">
        <f>IF(Y869="","",IF(Y869="[FÓRMULA MANUAL]","",IFERROR(AVERAGEIFS(nNOTA,nNIA,Y869,nCUENTA,1,nASIG,"Música de Cámara"),"")))</f>
        <v/>
      </c>
      <c r="AC869" t="str">
        <f>IF(Y869="","",IF(Y869="[FÓRMULA MANUAL]","",IFERROR(SUMPRODUCT((nNIA=Y869)*(nCUENTA=1)*(COUNTIF(CONFIG_ASIGNATURAS!$B$7:$B$27,nASIG)&gt;0)*(nNOTA))/SUMPRODUCT((nNIA=Y869)*(nCUENTA=1)*(COUNTIF(CONFIG_ASIGNATURAS!$B$7:$B$27,nASIG)&gt;0)*1),"")))</f>
        <v/>
      </c>
      <c r="AF869" t="str">
        <f>IF(AE869="","",IF(AE869="[FÓRMULA MANUAL]","",IFERROR(AVERAGEIFS(nNOTA,nNIA,AE869,nCUENTA,1,nASIG,"Análisis"),"")))</f>
        <v/>
      </c>
      <c r="AG869" t="str">
        <f>IF(AE869="","",IF(AE869="[FÓRMULA MANUAL]","",IFERROR(AVERAGEIFS(nNOTA,nNIA,AE869,nCUENTA,1,nASIG,"Orquesta/Banda/Conjunto"),"")))</f>
        <v/>
      </c>
      <c r="AH869" t="str">
        <f>IF(AE869="","",IF(AE869="[FÓRMULA MANUAL]","",IFERROR(AVERAGEIFS(nNOTA,nNIA,AE869,nCUENTA,1,nASIG,"Música de Cámara"),"")))</f>
        <v/>
      </c>
      <c r="AI869" t="str">
        <f>IF(AE869="","",IF(AE869="[FÓRMULA MANUAL]","",IFERROR(SUMPRODUCT((nNIA=AE869)*(nCUENTA=1)*(COUNTIF(CONFIG_ASIGNATURAS!$B$7:$B$27,nASIG)&gt;0)*(nNOTA))/SUMPRODUCT((nNIA=AE869)*(nCUENTA=1)*(COUNTIF(CONFIG_ASIGNATURAS!$B$7:$B$27,nASIG)&gt;0)*1),"")))</f>
        <v/>
      </c>
    </row>
    <row r="870" spans="2:35" x14ac:dyDescent="0.2">
      <c r="B870" t="str">
        <f>IF(A870="","",IF(A870="[FÓRMULA MANUAL]","",IFERROR(AVERAGEIFS(nNOTA,nNIA,A870,nCUENTA,1,nASIG,"Lenguaje Musical"),"")))</f>
        <v/>
      </c>
      <c r="C870" t="str">
        <f>IF(A870="","",IF(A870="[FÓRMULA MANUAL]","",IFERROR(AVERAGEIFS(nNOTA,nNIA,A870,nCUENTA,1,nASIG,"Orquesta/Banda/Conjunto"),"")))</f>
        <v/>
      </c>
      <c r="D870" t="str">
        <f>IF(A870="","",IF(A870="[FÓRMULA MANUAL]","",IFERROR(AVERAGEIFS(nNOTA,nNIA,A870,nCUENTA,1,nASIG,"Conjunto"),"")))</f>
        <v/>
      </c>
      <c r="E870" t="str">
        <f>IF(A870="","",IF(A870="[FÓRMULA MANUAL]","",IFERROR(SUMPRODUCT((nNIA=A870)*(nCUENTA=1)*(COUNTIF(CONFIG_ASIGNATURAS!$B$7:$B$27,nASIG)&gt;0)*(nNOTA))/SUMPRODUCT((nNIA=A870)*(nCUENTA=1)*(COUNTIF(CONFIG_ASIGNATURAS!$B$7:$B$27,nASIG)&gt;0)*1),"")))</f>
        <v/>
      </c>
      <c r="H870" t="str">
        <f>IF(G870="","",IF(G870="[FÓRMULA MANUAL]","",IFERROR(AVERAGEIFS(nNOTA,nNIA,G870,nCUENTA,1,nASIG,"Lenguaje Musical"),"")))</f>
        <v/>
      </c>
      <c r="I870" t="str">
        <f>IF(G870="","",IF(G870="[FÓRMULA MANUAL]","",IFERROR(AVERAGEIFS(nNOTA,nNIA,G870,nCUENTA,1,nASIG,"Orquesta/Banda/Conjunto"),"")))</f>
        <v/>
      </c>
      <c r="J870" t="str">
        <f>IF(G870="","",IF(G870="[FÓRMULA MANUAL]","",IFERROR(AVERAGEIFS(nNOTA,nNIA,G870,nCUENTA,1,nASIG,"Conjunto"),"")))</f>
        <v/>
      </c>
      <c r="K870" t="str">
        <f>IF(G870="","",IF(G870="[FÓRMULA MANUAL]","",IFERROR(SUMPRODUCT((nNIA=G870)*(nCUENTA=1)*(COUNTIF(CONFIG_ASIGNATURAS!$B$7:$B$27,nASIG)&gt;0)*(nNOTA))/SUMPRODUCT((nNIA=G870)*(nCUENTA=1)*(COUNTIF(CONFIG_ASIGNATURAS!$B$7:$B$27,nASIG)&gt;0)*1),"")))</f>
        <v/>
      </c>
      <c r="N870" t="str">
        <f>IF(M870="","",IF(M870="[FÓRMULA MANUAL]","",IFERROR(AVERAGEIFS(nNOTA,nNIA,M870,nCUENTA,1,nASIG,"Armonía"),"")))</f>
        <v/>
      </c>
      <c r="O870" t="str">
        <f>IF(M870="","",IF(M870="[FÓRMULA MANUAL]","",IFERROR(AVERAGEIFS(nNOTA,nNIA,M870,nCUENTA,1,nASIG,"Orquesta/Banda/Conjunto"),"")))</f>
        <v/>
      </c>
      <c r="P870" t="str">
        <f>IF(M870="","",IF(M870="[FÓRMULA MANUAL]","",IFERROR(AVERAGEIFS(nNOTA,nNIA,M870,nCUENTA,1,nASIG,"Música de Cámara"),"")))</f>
        <v/>
      </c>
      <c r="Q870" t="str">
        <f>IF(M870="","",IF(M870="[FÓRMULA MANUAL]","",IFERROR(SUMPRODUCT((nNIA=M870)*(nCUENTA=1)*(COUNTIF(CONFIG_ASIGNATURAS!$B$7:$B$27,nASIG)&gt;0)*(nNOTA))/SUMPRODUCT((nNIA=M870)*(nCUENTA=1)*(COUNTIF(CONFIG_ASIGNATURAS!$B$7:$B$27,nASIG)&gt;0)*1),"")))</f>
        <v/>
      </c>
      <c r="T870" t="str">
        <f>IF(S870="","",IF(S870="[FÓRMULA MANUAL]","",IFERROR(AVERAGEIFS(nNOTA,nNIA,S870,nCUENTA,1,nASIG,"Armonía"),"")))</f>
        <v/>
      </c>
      <c r="U870" t="str">
        <f>IF(S870="","",IF(S870="[FÓRMULA MANUAL]","",IFERROR(AVERAGEIFS(nNOTA,nNIA,S870,nCUENTA,1,nASIG,"Orquesta/Banda/Conjunto"),"")))</f>
        <v/>
      </c>
      <c r="V870" t="str">
        <f>IF(S870="","",IF(S870="[FÓRMULA MANUAL]","",IFERROR(AVERAGEIFS(nNOTA,nNIA,S870,nCUENTA,1,nASIG,"Música de Cámara"),"")))</f>
        <v/>
      </c>
      <c r="W870" t="str">
        <f>IF(S870="","",IF(S870="[FÓRMULA MANUAL]","",IFERROR(SUMPRODUCT((nNIA=S870)*(nCUENTA=1)*(COUNTIF(CONFIG_ASIGNATURAS!$B$7:$B$27,nASIG)&gt;0)*(nNOTA))/SUMPRODUCT((nNIA=S870)*(nCUENTA=1)*(COUNTIF(CONFIG_ASIGNATURAS!$B$7:$B$27,nASIG)&gt;0)*1),"")))</f>
        <v/>
      </c>
      <c r="Z870" t="str">
        <f>IF(Y870="","",IF(Y870="[FÓRMULA MANUAL]","",IFERROR(AVERAGEIFS(nNOTA,nNIA,Y870,nCUENTA,1,nASIG,"Análisis"),"")))</f>
        <v/>
      </c>
      <c r="AA870" t="str">
        <f>IF(Y870="","",IF(Y870="[FÓRMULA MANUAL]","",IFERROR(AVERAGEIFS(nNOTA,nNIA,Y870,nCUENTA,1,nASIG,"Orquesta/Banda/Conjunto"),"")))</f>
        <v/>
      </c>
      <c r="AB870" t="str">
        <f>IF(Y870="","",IF(Y870="[FÓRMULA MANUAL]","",IFERROR(AVERAGEIFS(nNOTA,nNIA,Y870,nCUENTA,1,nASIG,"Música de Cámara"),"")))</f>
        <v/>
      </c>
      <c r="AC870" t="str">
        <f>IF(Y870="","",IF(Y870="[FÓRMULA MANUAL]","",IFERROR(SUMPRODUCT((nNIA=Y870)*(nCUENTA=1)*(COUNTIF(CONFIG_ASIGNATURAS!$B$7:$B$27,nASIG)&gt;0)*(nNOTA))/SUMPRODUCT((nNIA=Y870)*(nCUENTA=1)*(COUNTIF(CONFIG_ASIGNATURAS!$B$7:$B$27,nASIG)&gt;0)*1),"")))</f>
        <v/>
      </c>
      <c r="AF870" t="str">
        <f>IF(AE870="","",IF(AE870="[FÓRMULA MANUAL]","",IFERROR(AVERAGEIFS(nNOTA,nNIA,AE870,nCUENTA,1,nASIG,"Análisis"),"")))</f>
        <v/>
      </c>
      <c r="AG870" t="str">
        <f>IF(AE870="","",IF(AE870="[FÓRMULA MANUAL]","",IFERROR(AVERAGEIFS(nNOTA,nNIA,AE870,nCUENTA,1,nASIG,"Orquesta/Banda/Conjunto"),"")))</f>
        <v/>
      </c>
      <c r="AH870" t="str">
        <f>IF(AE870="","",IF(AE870="[FÓRMULA MANUAL]","",IFERROR(AVERAGEIFS(nNOTA,nNIA,AE870,nCUENTA,1,nASIG,"Música de Cámara"),"")))</f>
        <v/>
      </c>
      <c r="AI870" t="str">
        <f>IF(AE870="","",IF(AE870="[FÓRMULA MANUAL]","",IFERROR(SUMPRODUCT((nNIA=AE870)*(nCUENTA=1)*(COUNTIF(CONFIG_ASIGNATURAS!$B$7:$B$27,nASIG)&gt;0)*(nNOTA))/SUMPRODUCT((nNIA=AE870)*(nCUENTA=1)*(COUNTIF(CONFIG_ASIGNATURAS!$B$7:$B$27,nASIG)&gt;0)*1),"")))</f>
        <v/>
      </c>
    </row>
    <row r="871" spans="2:35" x14ac:dyDescent="0.2">
      <c r="B871" t="str">
        <f>IF(A871="","",IF(A871="[FÓRMULA MANUAL]","",IFERROR(AVERAGEIFS(nNOTA,nNIA,A871,nCUENTA,1,nASIG,"Lenguaje Musical"),"")))</f>
        <v/>
      </c>
      <c r="C871" t="str">
        <f>IF(A871="","",IF(A871="[FÓRMULA MANUAL]","",IFERROR(AVERAGEIFS(nNOTA,nNIA,A871,nCUENTA,1,nASIG,"Orquesta/Banda/Conjunto"),"")))</f>
        <v/>
      </c>
      <c r="D871" t="str">
        <f>IF(A871="","",IF(A871="[FÓRMULA MANUAL]","",IFERROR(AVERAGEIFS(nNOTA,nNIA,A871,nCUENTA,1,nASIG,"Conjunto"),"")))</f>
        <v/>
      </c>
      <c r="E871" t="str">
        <f>IF(A871="","",IF(A871="[FÓRMULA MANUAL]","",IFERROR(SUMPRODUCT((nNIA=A871)*(nCUENTA=1)*(COUNTIF(CONFIG_ASIGNATURAS!$B$7:$B$27,nASIG)&gt;0)*(nNOTA))/SUMPRODUCT((nNIA=A871)*(nCUENTA=1)*(COUNTIF(CONFIG_ASIGNATURAS!$B$7:$B$27,nASIG)&gt;0)*1),"")))</f>
        <v/>
      </c>
      <c r="H871" t="str">
        <f>IF(G871="","",IF(G871="[FÓRMULA MANUAL]","",IFERROR(AVERAGEIFS(nNOTA,nNIA,G871,nCUENTA,1,nASIG,"Lenguaje Musical"),"")))</f>
        <v/>
      </c>
      <c r="I871" t="str">
        <f>IF(G871="","",IF(G871="[FÓRMULA MANUAL]","",IFERROR(AVERAGEIFS(nNOTA,nNIA,G871,nCUENTA,1,nASIG,"Orquesta/Banda/Conjunto"),"")))</f>
        <v/>
      </c>
      <c r="J871" t="str">
        <f>IF(G871="","",IF(G871="[FÓRMULA MANUAL]","",IFERROR(AVERAGEIFS(nNOTA,nNIA,G871,nCUENTA,1,nASIG,"Conjunto"),"")))</f>
        <v/>
      </c>
      <c r="K871" t="str">
        <f>IF(G871="","",IF(G871="[FÓRMULA MANUAL]","",IFERROR(SUMPRODUCT((nNIA=G871)*(nCUENTA=1)*(COUNTIF(CONFIG_ASIGNATURAS!$B$7:$B$27,nASIG)&gt;0)*(nNOTA))/SUMPRODUCT((nNIA=G871)*(nCUENTA=1)*(COUNTIF(CONFIG_ASIGNATURAS!$B$7:$B$27,nASIG)&gt;0)*1),"")))</f>
        <v/>
      </c>
      <c r="N871" t="str">
        <f>IF(M871="","",IF(M871="[FÓRMULA MANUAL]","",IFERROR(AVERAGEIFS(nNOTA,nNIA,M871,nCUENTA,1,nASIG,"Armonía"),"")))</f>
        <v/>
      </c>
      <c r="O871" t="str">
        <f>IF(M871="","",IF(M871="[FÓRMULA MANUAL]","",IFERROR(AVERAGEIFS(nNOTA,nNIA,M871,nCUENTA,1,nASIG,"Orquesta/Banda/Conjunto"),"")))</f>
        <v/>
      </c>
      <c r="P871" t="str">
        <f>IF(M871="","",IF(M871="[FÓRMULA MANUAL]","",IFERROR(AVERAGEIFS(nNOTA,nNIA,M871,nCUENTA,1,nASIG,"Música de Cámara"),"")))</f>
        <v/>
      </c>
      <c r="Q871" t="str">
        <f>IF(M871="","",IF(M871="[FÓRMULA MANUAL]","",IFERROR(SUMPRODUCT((nNIA=M871)*(nCUENTA=1)*(COUNTIF(CONFIG_ASIGNATURAS!$B$7:$B$27,nASIG)&gt;0)*(nNOTA))/SUMPRODUCT((nNIA=M871)*(nCUENTA=1)*(COUNTIF(CONFIG_ASIGNATURAS!$B$7:$B$27,nASIG)&gt;0)*1),"")))</f>
        <v/>
      </c>
      <c r="T871" t="str">
        <f>IF(S871="","",IF(S871="[FÓRMULA MANUAL]","",IFERROR(AVERAGEIFS(nNOTA,nNIA,S871,nCUENTA,1,nASIG,"Armonía"),"")))</f>
        <v/>
      </c>
      <c r="U871" t="str">
        <f>IF(S871="","",IF(S871="[FÓRMULA MANUAL]","",IFERROR(AVERAGEIFS(nNOTA,nNIA,S871,nCUENTA,1,nASIG,"Orquesta/Banda/Conjunto"),"")))</f>
        <v/>
      </c>
      <c r="V871" t="str">
        <f>IF(S871="","",IF(S871="[FÓRMULA MANUAL]","",IFERROR(AVERAGEIFS(nNOTA,nNIA,S871,nCUENTA,1,nASIG,"Música de Cámara"),"")))</f>
        <v/>
      </c>
      <c r="W871" t="str">
        <f>IF(S871="","",IF(S871="[FÓRMULA MANUAL]","",IFERROR(SUMPRODUCT((nNIA=S871)*(nCUENTA=1)*(COUNTIF(CONFIG_ASIGNATURAS!$B$7:$B$27,nASIG)&gt;0)*(nNOTA))/SUMPRODUCT((nNIA=S871)*(nCUENTA=1)*(COUNTIF(CONFIG_ASIGNATURAS!$B$7:$B$27,nASIG)&gt;0)*1),"")))</f>
        <v/>
      </c>
      <c r="Z871" t="str">
        <f>IF(Y871="","",IF(Y871="[FÓRMULA MANUAL]","",IFERROR(AVERAGEIFS(nNOTA,nNIA,Y871,nCUENTA,1,nASIG,"Análisis"),"")))</f>
        <v/>
      </c>
      <c r="AA871" t="str">
        <f>IF(Y871="","",IF(Y871="[FÓRMULA MANUAL]","",IFERROR(AVERAGEIFS(nNOTA,nNIA,Y871,nCUENTA,1,nASIG,"Orquesta/Banda/Conjunto"),"")))</f>
        <v/>
      </c>
      <c r="AB871" t="str">
        <f>IF(Y871="","",IF(Y871="[FÓRMULA MANUAL]","",IFERROR(AVERAGEIFS(nNOTA,nNIA,Y871,nCUENTA,1,nASIG,"Música de Cámara"),"")))</f>
        <v/>
      </c>
      <c r="AC871" t="str">
        <f>IF(Y871="","",IF(Y871="[FÓRMULA MANUAL]","",IFERROR(SUMPRODUCT((nNIA=Y871)*(nCUENTA=1)*(COUNTIF(CONFIG_ASIGNATURAS!$B$7:$B$27,nASIG)&gt;0)*(nNOTA))/SUMPRODUCT((nNIA=Y871)*(nCUENTA=1)*(COUNTIF(CONFIG_ASIGNATURAS!$B$7:$B$27,nASIG)&gt;0)*1),"")))</f>
        <v/>
      </c>
      <c r="AF871" t="str">
        <f>IF(AE871="","",IF(AE871="[FÓRMULA MANUAL]","",IFERROR(AVERAGEIFS(nNOTA,nNIA,AE871,nCUENTA,1,nASIG,"Análisis"),"")))</f>
        <v/>
      </c>
      <c r="AG871" t="str">
        <f>IF(AE871="","",IF(AE871="[FÓRMULA MANUAL]","",IFERROR(AVERAGEIFS(nNOTA,nNIA,AE871,nCUENTA,1,nASIG,"Orquesta/Banda/Conjunto"),"")))</f>
        <v/>
      </c>
      <c r="AH871" t="str">
        <f>IF(AE871="","",IF(AE871="[FÓRMULA MANUAL]","",IFERROR(AVERAGEIFS(nNOTA,nNIA,AE871,nCUENTA,1,nASIG,"Música de Cámara"),"")))</f>
        <v/>
      </c>
      <c r="AI871" t="str">
        <f>IF(AE871="","",IF(AE871="[FÓRMULA MANUAL]","",IFERROR(SUMPRODUCT((nNIA=AE871)*(nCUENTA=1)*(COUNTIF(CONFIG_ASIGNATURAS!$B$7:$B$27,nASIG)&gt;0)*(nNOTA))/SUMPRODUCT((nNIA=AE871)*(nCUENTA=1)*(COUNTIF(CONFIG_ASIGNATURAS!$B$7:$B$27,nASIG)&gt;0)*1),"")))</f>
        <v/>
      </c>
    </row>
    <row r="872" spans="2:35" x14ac:dyDescent="0.2">
      <c r="B872" t="str">
        <f>IF(A872="","",IF(A872="[FÓRMULA MANUAL]","",IFERROR(AVERAGEIFS(nNOTA,nNIA,A872,nCUENTA,1,nASIG,"Lenguaje Musical"),"")))</f>
        <v/>
      </c>
      <c r="C872" t="str">
        <f>IF(A872="","",IF(A872="[FÓRMULA MANUAL]","",IFERROR(AVERAGEIFS(nNOTA,nNIA,A872,nCUENTA,1,nASIG,"Orquesta/Banda/Conjunto"),"")))</f>
        <v/>
      </c>
      <c r="D872" t="str">
        <f>IF(A872="","",IF(A872="[FÓRMULA MANUAL]","",IFERROR(AVERAGEIFS(nNOTA,nNIA,A872,nCUENTA,1,nASIG,"Conjunto"),"")))</f>
        <v/>
      </c>
      <c r="E872" t="str">
        <f>IF(A872="","",IF(A872="[FÓRMULA MANUAL]","",IFERROR(SUMPRODUCT((nNIA=A872)*(nCUENTA=1)*(COUNTIF(CONFIG_ASIGNATURAS!$B$7:$B$27,nASIG)&gt;0)*(nNOTA))/SUMPRODUCT((nNIA=A872)*(nCUENTA=1)*(COUNTIF(CONFIG_ASIGNATURAS!$B$7:$B$27,nASIG)&gt;0)*1),"")))</f>
        <v/>
      </c>
      <c r="H872" t="str">
        <f>IF(G872="","",IF(G872="[FÓRMULA MANUAL]","",IFERROR(AVERAGEIFS(nNOTA,nNIA,G872,nCUENTA,1,nASIG,"Lenguaje Musical"),"")))</f>
        <v/>
      </c>
      <c r="I872" t="str">
        <f>IF(G872="","",IF(G872="[FÓRMULA MANUAL]","",IFERROR(AVERAGEIFS(nNOTA,nNIA,G872,nCUENTA,1,nASIG,"Orquesta/Banda/Conjunto"),"")))</f>
        <v/>
      </c>
      <c r="J872" t="str">
        <f>IF(G872="","",IF(G872="[FÓRMULA MANUAL]","",IFERROR(AVERAGEIFS(nNOTA,nNIA,G872,nCUENTA,1,nASIG,"Conjunto"),"")))</f>
        <v/>
      </c>
      <c r="K872" t="str">
        <f>IF(G872="","",IF(G872="[FÓRMULA MANUAL]","",IFERROR(SUMPRODUCT((nNIA=G872)*(nCUENTA=1)*(COUNTIF(CONFIG_ASIGNATURAS!$B$7:$B$27,nASIG)&gt;0)*(nNOTA))/SUMPRODUCT((nNIA=G872)*(nCUENTA=1)*(COUNTIF(CONFIG_ASIGNATURAS!$B$7:$B$27,nASIG)&gt;0)*1),"")))</f>
        <v/>
      </c>
      <c r="N872" t="str">
        <f>IF(M872="","",IF(M872="[FÓRMULA MANUAL]","",IFERROR(AVERAGEIFS(nNOTA,nNIA,M872,nCUENTA,1,nASIG,"Armonía"),"")))</f>
        <v/>
      </c>
      <c r="O872" t="str">
        <f>IF(M872="","",IF(M872="[FÓRMULA MANUAL]","",IFERROR(AVERAGEIFS(nNOTA,nNIA,M872,nCUENTA,1,nASIG,"Orquesta/Banda/Conjunto"),"")))</f>
        <v/>
      </c>
      <c r="P872" t="str">
        <f>IF(M872="","",IF(M872="[FÓRMULA MANUAL]","",IFERROR(AVERAGEIFS(nNOTA,nNIA,M872,nCUENTA,1,nASIG,"Música de Cámara"),"")))</f>
        <v/>
      </c>
      <c r="Q872" t="str">
        <f>IF(M872="","",IF(M872="[FÓRMULA MANUAL]","",IFERROR(SUMPRODUCT((nNIA=M872)*(nCUENTA=1)*(COUNTIF(CONFIG_ASIGNATURAS!$B$7:$B$27,nASIG)&gt;0)*(nNOTA))/SUMPRODUCT((nNIA=M872)*(nCUENTA=1)*(COUNTIF(CONFIG_ASIGNATURAS!$B$7:$B$27,nASIG)&gt;0)*1),"")))</f>
        <v/>
      </c>
      <c r="T872" t="str">
        <f>IF(S872="","",IF(S872="[FÓRMULA MANUAL]","",IFERROR(AVERAGEIFS(nNOTA,nNIA,S872,nCUENTA,1,nASIG,"Armonía"),"")))</f>
        <v/>
      </c>
      <c r="U872" t="str">
        <f>IF(S872="","",IF(S872="[FÓRMULA MANUAL]","",IFERROR(AVERAGEIFS(nNOTA,nNIA,S872,nCUENTA,1,nASIG,"Orquesta/Banda/Conjunto"),"")))</f>
        <v/>
      </c>
      <c r="V872" t="str">
        <f>IF(S872="","",IF(S872="[FÓRMULA MANUAL]","",IFERROR(AVERAGEIFS(nNOTA,nNIA,S872,nCUENTA,1,nASIG,"Música de Cámara"),"")))</f>
        <v/>
      </c>
      <c r="W872" t="str">
        <f>IF(S872="","",IF(S872="[FÓRMULA MANUAL]","",IFERROR(SUMPRODUCT((nNIA=S872)*(nCUENTA=1)*(COUNTIF(CONFIG_ASIGNATURAS!$B$7:$B$27,nASIG)&gt;0)*(nNOTA))/SUMPRODUCT((nNIA=S872)*(nCUENTA=1)*(COUNTIF(CONFIG_ASIGNATURAS!$B$7:$B$27,nASIG)&gt;0)*1),"")))</f>
        <v/>
      </c>
      <c r="Z872" t="str">
        <f>IF(Y872="","",IF(Y872="[FÓRMULA MANUAL]","",IFERROR(AVERAGEIFS(nNOTA,nNIA,Y872,nCUENTA,1,nASIG,"Análisis"),"")))</f>
        <v/>
      </c>
      <c r="AA872" t="str">
        <f>IF(Y872="","",IF(Y872="[FÓRMULA MANUAL]","",IFERROR(AVERAGEIFS(nNOTA,nNIA,Y872,nCUENTA,1,nASIG,"Orquesta/Banda/Conjunto"),"")))</f>
        <v/>
      </c>
      <c r="AB872" t="str">
        <f>IF(Y872="","",IF(Y872="[FÓRMULA MANUAL]","",IFERROR(AVERAGEIFS(nNOTA,nNIA,Y872,nCUENTA,1,nASIG,"Música de Cámara"),"")))</f>
        <v/>
      </c>
      <c r="AC872" t="str">
        <f>IF(Y872="","",IF(Y872="[FÓRMULA MANUAL]","",IFERROR(SUMPRODUCT((nNIA=Y872)*(nCUENTA=1)*(COUNTIF(CONFIG_ASIGNATURAS!$B$7:$B$27,nASIG)&gt;0)*(nNOTA))/SUMPRODUCT((nNIA=Y872)*(nCUENTA=1)*(COUNTIF(CONFIG_ASIGNATURAS!$B$7:$B$27,nASIG)&gt;0)*1),"")))</f>
        <v/>
      </c>
      <c r="AF872" t="str">
        <f>IF(AE872="","",IF(AE872="[FÓRMULA MANUAL]","",IFERROR(AVERAGEIFS(nNOTA,nNIA,AE872,nCUENTA,1,nASIG,"Análisis"),"")))</f>
        <v/>
      </c>
      <c r="AG872" t="str">
        <f>IF(AE872="","",IF(AE872="[FÓRMULA MANUAL]","",IFERROR(AVERAGEIFS(nNOTA,nNIA,AE872,nCUENTA,1,nASIG,"Orquesta/Banda/Conjunto"),"")))</f>
        <v/>
      </c>
      <c r="AH872" t="str">
        <f>IF(AE872="","",IF(AE872="[FÓRMULA MANUAL]","",IFERROR(AVERAGEIFS(nNOTA,nNIA,AE872,nCUENTA,1,nASIG,"Música de Cámara"),"")))</f>
        <v/>
      </c>
      <c r="AI872" t="str">
        <f>IF(AE872="","",IF(AE872="[FÓRMULA MANUAL]","",IFERROR(SUMPRODUCT((nNIA=AE872)*(nCUENTA=1)*(COUNTIF(CONFIG_ASIGNATURAS!$B$7:$B$27,nASIG)&gt;0)*(nNOTA))/SUMPRODUCT((nNIA=AE872)*(nCUENTA=1)*(COUNTIF(CONFIG_ASIGNATURAS!$B$7:$B$27,nASIG)&gt;0)*1),"")))</f>
        <v/>
      </c>
    </row>
    <row r="873" spans="2:35" x14ac:dyDescent="0.2">
      <c r="B873" t="str">
        <f>IF(A873="","",IF(A873="[FÓRMULA MANUAL]","",IFERROR(AVERAGEIFS(nNOTA,nNIA,A873,nCUENTA,1,nASIG,"Lenguaje Musical"),"")))</f>
        <v/>
      </c>
      <c r="C873" t="str">
        <f>IF(A873="","",IF(A873="[FÓRMULA MANUAL]","",IFERROR(AVERAGEIFS(nNOTA,nNIA,A873,nCUENTA,1,nASIG,"Orquesta/Banda/Conjunto"),"")))</f>
        <v/>
      </c>
      <c r="D873" t="str">
        <f>IF(A873="","",IF(A873="[FÓRMULA MANUAL]","",IFERROR(AVERAGEIFS(nNOTA,nNIA,A873,nCUENTA,1,nASIG,"Conjunto"),"")))</f>
        <v/>
      </c>
      <c r="E873" t="str">
        <f>IF(A873="","",IF(A873="[FÓRMULA MANUAL]","",IFERROR(SUMPRODUCT((nNIA=A873)*(nCUENTA=1)*(COUNTIF(CONFIG_ASIGNATURAS!$B$7:$B$27,nASIG)&gt;0)*(nNOTA))/SUMPRODUCT((nNIA=A873)*(nCUENTA=1)*(COUNTIF(CONFIG_ASIGNATURAS!$B$7:$B$27,nASIG)&gt;0)*1),"")))</f>
        <v/>
      </c>
      <c r="H873" t="str">
        <f>IF(G873="","",IF(G873="[FÓRMULA MANUAL]","",IFERROR(AVERAGEIFS(nNOTA,nNIA,G873,nCUENTA,1,nASIG,"Lenguaje Musical"),"")))</f>
        <v/>
      </c>
      <c r="I873" t="str">
        <f>IF(G873="","",IF(G873="[FÓRMULA MANUAL]","",IFERROR(AVERAGEIFS(nNOTA,nNIA,G873,nCUENTA,1,nASIG,"Orquesta/Banda/Conjunto"),"")))</f>
        <v/>
      </c>
      <c r="J873" t="str">
        <f>IF(G873="","",IF(G873="[FÓRMULA MANUAL]","",IFERROR(AVERAGEIFS(nNOTA,nNIA,G873,nCUENTA,1,nASIG,"Conjunto"),"")))</f>
        <v/>
      </c>
      <c r="K873" t="str">
        <f>IF(G873="","",IF(G873="[FÓRMULA MANUAL]","",IFERROR(SUMPRODUCT((nNIA=G873)*(nCUENTA=1)*(COUNTIF(CONFIG_ASIGNATURAS!$B$7:$B$27,nASIG)&gt;0)*(nNOTA))/SUMPRODUCT((nNIA=G873)*(nCUENTA=1)*(COUNTIF(CONFIG_ASIGNATURAS!$B$7:$B$27,nASIG)&gt;0)*1),"")))</f>
        <v/>
      </c>
      <c r="N873" t="str">
        <f>IF(M873="","",IF(M873="[FÓRMULA MANUAL]","",IFERROR(AVERAGEIFS(nNOTA,nNIA,M873,nCUENTA,1,nASIG,"Armonía"),"")))</f>
        <v/>
      </c>
      <c r="O873" t="str">
        <f>IF(M873="","",IF(M873="[FÓRMULA MANUAL]","",IFERROR(AVERAGEIFS(nNOTA,nNIA,M873,nCUENTA,1,nASIG,"Orquesta/Banda/Conjunto"),"")))</f>
        <v/>
      </c>
      <c r="P873" t="str">
        <f>IF(M873="","",IF(M873="[FÓRMULA MANUAL]","",IFERROR(AVERAGEIFS(nNOTA,nNIA,M873,nCUENTA,1,nASIG,"Música de Cámara"),"")))</f>
        <v/>
      </c>
      <c r="Q873" t="str">
        <f>IF(M873="","",IF(M873="[FÓRMULA MANUAL]","",IFERROR(SUMPRODUCT((nNIA=M873)*(nCUENTA=1)*(COUNTIF(CONFIG_ASIGNATURAS!$B$7:$B$27,nASIG)&gt;0)*(nNOTA))/SUMPRODUCT((nNIA=M873)*(nCUENTA=1)*(COUNTIF(CONFIG_ASIGNATURAS!$B$7:$B$27,nASIG)&gt;0)*1),"")))</f>
        <v/>
      </c>
      <c r="T873" t="str">
        <f>IF(S873="","",IF(S873="[FÓRMULA MANUAL]","",IFERROR(AVERAGEIFS(nNOTA,nNIA,S873,nCUENTA,1,nASIG,"Armonía"),"")))</f>
        <v/>
      </c>
      <c r="U873" t="str">
        <f>IF(S873="","",IF(S873="[FÓRMULA MANUAL]","",IFERROR(AVERAGEIFS(nNOTA,nNIA,S873,nCUENTA,1,nASIG,"Orquesta/Banda/Conjunto"),"")))</f>
        <v/>
      </c>
      <c r="V873" t="str">
        <f>IF(S873="","",IF(S873="[FÓRMULA MANUAL]","",IFERROR(AVERAGEIFS(nNOTA,nNIA,S873,nCUENTA,1,nASIG,"Música de Cámara"),"")))</f>
        <v/>
      </c>
      <c r="W873" t="str">
        <f>IF(S873="","",IF(S873="[FÓRMULA MANUAL]","",IFERROR(SUMPRODUCT((nNIA=S873)*(nCUENTA=1)*(COUNTIF(CONFIG_ASIGNATURAS!$B$7:$B$27,nASIG)&gt;0)*(nNOTA))/SUMPRODUCT((nNIA=S873)*(nCUENTA=1)*(COUNTIF(CONFIG_ASIGNATURAS!$B$7:$B$27,nASIG)&gt;0)*1),"")))</f>
        <v/>
      </c>
      <c r="Z873" t="str">
        <f>IF(Y873="","",IF(Y873="[FÓRMULA MANUAL]","",IFERROR(AVERAGEIFS(nNOTA,nNIA,Y873,nCUENTA,1,nASIG,"Análisis"),"")))</f>
        <v/>
      </c>
      <c r="AA873" t="str">
        <f>IF(Y873="","",IF(Y873="[FÓRMULA MANUAL]","",IFERROR(AVERAGEIFS(nNOTA,nNIA,Y873,nCUENTA,1,nASIG,"Orquesta/Banda/Conjunto"),"")))</f>
        <v/>
      </c>
      <c r="AB873" t="str">
        <f>IF(Y873="","",IF(Y873="[FÓRMULA MANUAL]","",IFERROR(AVERAGEIFS(nNOTA,nNIA,Y873,nCUENTA,1,nASIG,"Música de Cámara"),"")))</f>
        <v/>
      </c>
      <c r="AC873" t="str">
        <f>IF(Y873="","",IF(Y873="[FÓRMULA MANUAL]","",IFERROR(SUMPRODUCT((nNIA=Y873)*(nCUENTA=1)*(COUNTIF(CONFIG_ASIGNATURAS!$B$7:$B$27,nASIG)&gt;0)*(nNOTA))/SUMPRODUCT((nNIA=Y873)*(nCUENTA=1)*(COUNTIF(CONFIG_ASIGNATURAS!$B$7:$B$27,nASIG)&gt;0)*1),"")))</f>
        <v/>
      </c>
      <c r="AF873" t="str">
        <f>IF(AE873="","",IF(AE873="[FÓRMULA MANUAL]","",IFERROR(AVERAGEIFS(nNOTA,nNIA,AE873,nCUENTA,1,nASIG,"Análisis"),"")))</f>
        <v/>
      </c>
      <c r="AG873" t="str">
        <f>IF(AE873="","",IF(AE873="[FÓRMULA MANUAL]","",IFERROR(AVERAGEIFS(nNOTA,nNIA,AE873,nCUENTA,1,nASIG,"Orquesta/Banda/Conjunto"),"")))</f>
        <v/>
      </c>
      <c r="AH873" t="str">
        <f>IF(AE873="","",IF(AE873="[FÓRMULA MANUAL]","",IFERROR(AVERAGEIFS(nNOTA,nNIA,AE873,nCUENTA,1,nASIG,"Música de Cámara"),"")))</f>
        <v/>
      </c>
      <c r="AI873" t="str">
        <f>IF(AE873="","",IF(AE873="[FÓRMULA MANUAL]","",IFERROR(SUMPRODUCT((nNIA=AE873)*(nCUENTA=1)*(COUNTIF(CONFIG_ASIGNATURAS!$B$7:$B$27,nASIG)&gt;0)*(nNOTA))/SUMPRODUCT((nNIA=AE873)*(nCUENTA=1)*(COUNTIF(CONFIG_ASIGNATURAS!$B$7:$B$27,nASIG)&gt;0)*1),"")))</f>
        <v/>
      </c>
    </row>
    <row r="874" spans="2:35" x14ac:dyDescent="0.2">
      <c r="B874" t="str">
        <f>IF(A874="","",IF(A874="[FÓRMULA MANUAL]","",IFERROR(AVERAGEIFS(nNOTA,nNIA,A874,nCUENTA,1,nASIG,"Lenguaje Musical"),"")))</f>
        <v/>
      </c>
      <c r="C874" t="str">
        <f>IF(A874="","",IF(A874="[FÓRMULA MANUAL]","",IFERROR(AVERAGEIFS(nNOTA,nNIA,A874,nCUENTA,1,nASIG,"Orquesta/Banda/Conjunto"),"")))</f>
        <v/>
      </c>
      <c r="D874" t="str">
        <f>IF(A874="","",IF(A874="[FÓRMULA MANUAL]","",IFERROR(AVERAGEIFS(nNOTA,nNIA,A874,nCUENTA,1,nASIG,"Conjunto"),"")))</f>
        <v/>
      </c>
      <c r="E874" t="str">
        <f>IF(A874="","",IF(A874="[FÓRMULA MANUAL]","",IFERROR(SUMPRODUCT((nNIA=A874)*(nCUENTA=1)*(COUNTIF(CONFIG_ASIGNATURAS!$B$7:$B$27,nASIG)&gt;0)*(nNOTA))/SUMPRODUCT((nNIA=A874)*(nCUENTA=1)*(COUNTIF(CONFIG_ASIGNATURAS!$B$7:$B$27,nASIG)&gt;0)*1),"")))</f>
        <v/>
      </c>
      <c r="H874" t="str">
        <f>IF(G874="","",IF(G874="[FÓRMULA MANUAL]","",IFERROR(AVERAGEIFS(nNOTA,nNIA,G874,nCUENTA,1,nASIG,"Lenguaje Musical"),"")))</f>
        <v/>
      </c>
      <c r="I874" t="str">
        <f>IF(G874="","",IF(G874="[FÓRMULA MANUAL]","",IFERROR(AVERAGEIFS(nNOTA,nNIA,G874,nCUENTA,1,nASIG,"Orquesta/Banda/Conjunto"),"")))</f>
        <v/>
      </c>
      <c r="J874" t="str">
        <f>IF(G874="","",IF(G874="[FÓRMULA MANUAL]","",IFERROR(AVERAGEIFS(nNOTA,nNIA,G874,nCUENTA,1,nASIG,"Conjunto"),"")))</f>
        <v/>
      </c>
      <c r="K874" t="str">
        <f>IF(G874="","",IF(G874="[FÓRMULA MANUAL]","",IFERROR(SUMPRODUCT((nNIA=G874)*(nCUENTA=1)*(COUNTIF(CONFIG_ASIGNATURAS!$B$7:$B$27,nASIG)&gt;0)*(nNOTA))/SUMPRODUCT((nNIA=G874)*(nCUENTA=1)*(COUNTIF(CONFIG_ASIGNATURAS!$B$7:$B$27,nASIG)&gt;0)*1),"")))</f>
        <v/>
      </c>
      <c r="N874" t="str">
        <f>IF(M874="","",IF(M874="[FÓRMULA MANUAL]","",IFERROR(AVERAGEIFS(nNOTA,nNIA,M874,nCUENTA,1,nASIG,"Armonía"),"")))</f>
        <v/>
      </c>
      <c r="O874" t="str">
        <f>IF(M874="","",IF(M874="[FÓRMULA MANUAL]","",IFERROR(AVERAGEIFS(nNOTA,nNIA,M874,nCUENTA,1,nASIG,"Orquesta/Banda/Conjunto"),"")))</f>
        <v/>
      </c>
      <c r="P874" t="str">
        <f>IF(M874="","",IF(M874="[FÓRMULA MANUAL]","",IFERROR(AVERAGEIFS(nNOTA,nNIA,M874,nCUENTA,1,nASIG,"Música de Cámara"),"")))</f>
        <v/>
      </c>
      <c r="Q874" t="str">
        <f>IF(M874="","",IF(M874="[FÓRMULA MANUAL]","",IFERROR(SUMPRODUCT((nNIA=M874)*(nCUENTA=1)*(COUNTIF(CONFIG_ASIGNATURAS!$B$7:$B$27,nASIG)&gt;0)*(nNOTA))/SUMPRODUCT((nNIA=M874)*(nCUENTA=1)*(COUNTIF(CONFIG_ASIGNATURAS!$B$7:$B$27,nASIG)&gt;0)*1),"")))</f>
        <v/>
      </c>
      <c r="T874" t="str">
        <f>IF(S874="","",IF(S874="[FÓRMULA MANUAL]","",IFERROR(AVERAGEIFS(nNOTA,nNIA,S874,nCUENTA,1,nASIG,"Armonía"),"")))</f>
        <v/>
      </c>
      <c r="U874" t="str">
        <f>IF(S874="","",IF(S874="[FÓRMULA MANUAL]","",IFERROR(AVERAGEIFS(nNOTA,nNIA,S874,nCUENTA,1,nASIG,"Orquesta/Banda/Conjunto"),"")))</f>
        <v/>
      </c>
      <c r="V874" t="str">
        <f>IF(S874="","",IF(S874="[FÓRMULA MANUAL]","",IFERROR(AVERAGEIFS(nNOTA,nNIA,S874,nCUENTA,1,nASIG,"Música de Cámara"),"")))</f>
        <v/>
      </c>
      <c r="W874" t="str">
        <f>IF(S874="","",IF(S874="[FÓRMULA MANUAL]","",IFERROR(SUMPRODUCT((nNIA=S874)*(nCUENTA=1)*(COUNTIF(CONFIG_ASIGNATURAS!$B$7:$B$27,nASIG)&gt;0)*(nNOTA))/SUMPRODUCT((nNIA=S874)*(nCUENTA=1)*(COUNTIF(CONFIG_ASIGNATURAS!$B$7:$B$27,nASIG)&gt;0)*1),"")))</f>
        <v/>
      </c>
      <c r="Z874" t="str">
        <f>IF(Y874="","",IF(Y874="[FÓRMULA MANUAL]","",IFERROR(AVERAGEIFS(nNOTA,nNIA,Y874,nCUENTA,1,nASIG,"Análisis"),"")))</f>
        <v/>
      </c>
      <c r="AA874" t="str">
        <f>IF(Y874="","",IF(Y874="[FÓRMULA MANUAL]","",IFERROR(AVERAGEIFS(nNOTA,nNIA,Y874,nCUENTA,1,nASIG,"Orquesta/Banda/Conjunto"),"")))</f>
        <v/>
      </c>
      <c r="AB874" t="str">
        <f>IF(Y874="","",IF(Y874="[FÓRMULA MANUAL]","",IFERROR(AVERAGEIFS(nNOTA,nNIA,Y874,nCUENTA,1,nASIG,"Música de Cámara"),"")))</f>
        <v/>
      </c>
      <c r="AC874" t="str">
        <f>IF(Y874="","",IF(Y874="[FÓRMULA MANUAL]","",IFERROR(SUMPRODUCT((nNIA=Y874)*(nCUENTA=1)*(COUNTIF(CONFIG_ASIGNATURAS!$B$7:$B$27,nASIG)&gt;0)*(nNOTA))/SUMPRODUCT((nNIA=Y874)*(nCUENTA=1)*(COUNTIF(CONFIG_ASIGNATURAS!$B$7:$B$27,nASIG)&gt;0)*1),"")))</f>
        <v/>
      </c>
      <c r="AF874" t="str">
        <f>IF(AE874="","",IF(AE874="[FÓRMULA MANUAL]","",IFERROR(AVERAGEIFS(nNOTA,nNIA,AE874,nCUENTA,1,nASIG,"Análisis"),"")))</f>
        <v/>
      </c>
      <c r="AG874" t="str">
        <f>IF(AE874="","",IF(AE874="[FÓRMULA MANUAL]","",IFERROR(AVERAGEIFS(nNOTA,nNIA,AE874,nCUENTA,1,nASIG,"Orquesta/Banda/Conjunto"),"")))</f>
        <v/>
      </c>
      <c r="AH874" t="str">
        <f>IF(AE874="","",IF(AE874="[FÓRMULA MANUAL]","",IFERROR(AVERAGEIFS(nNOTA,nNIA,AE874,nCUENTA,1,nASIG,"Música de Cámara"),"")))</f>
        <v/>
      </c>
      <c r="AI874" t="str">
        <f>IF(AE874="","",IF(AE874="[FÓRMULA MANUAL]","",IFERROR(SUMPRODUCT((nNIA=AE874)*(nCUENTA=1)*(COUNTIF(CONFIG_ASIGNATURAS!$B$7:$B$27,nASIG)&gt;0)*(nNOTA))/SUMPRODUCT((nNIA=AE874)*(nCUENTA=1)*(COUNTIF(CONFIG_ASIGNATURAS!$B$7:$B$27,nASIG)&gt;0)*1),"")))</f>
        <v/>
      </c>
    </row>
    <row r="875" spans="2:35" x14ac:dyDescent="0.2">
      <c r="B875" t="str">
        <f>IF(A875="","",IF(A875="[FÓRMULA MANUAL]","",IFERROR(AVERAGEIFS(nNOTA,nNIA,A875,nCUENTA,1,nASIG,"Lenguaje Musical"),"")))</f>
        <v/>
      </c>
      <c r="C875" t="str">
        <f>IF(A875="","",IF(A875="[FÓRMULA MANUAL]","",IFERROR(AVERAGEIFS(nNOTA,nNIA,A875,nCUENTA,1,nASIG,"Orquesta/Banda/Conjunto"),"")))</f>
        <v/>
      </c>
      <c r="D875" t="str">
        <f>IF(A875="","",IF(A875="[FÓRMULA MANUAL]","",IFERROR(AVERAGEIFS(nNOTA,nNIA,A875,nCUENTA,1,nASIG,"Conjunto"),"")))</f>
        <v/>
      </c>
      <c r="E875" t="str">
        <f>IF(A875="","",IF(A875="[FÓRMULA MANUAL]","",IFERROR(SUMPRODUCT((nNIA=A875)*(nCUENTA=1)*(COUNTIF(CONFIG_ASIGNATURAS!$B$7:$B$27,nASIG)&gt;0)*(nNOTA))/SUMPRODUCT((nNIA=A875)*(nCUENTA=1)*(COUNTIF(CONFIG_ASIGNATURAS!$B$7:$B$27,nASIG)&gt;0)*1),"")))</f>
        <v/>
      </c>
      <c r="H875" t="str">
        <f>IF(G875="","",IF(G875="[FÓRMULA MANUAL]","",IFERROR(AVERAGEIFS(nNOTA,nNIA,G875,nCUENTA,1,nASIG,"Lenguaje Musical"),"")))</f>
        <v/>
      </c>
      <c r="I875" t="str">
        <f>IF(G875="","",IF(G875="[FÓRMULA MANUAL]","",IFERROR(AVERAGEIFS(nNOTA,nNIA,G875,nCUENTA,1,nASIG,"Orquesta/Banda/Conjunto"),"")))</f>
        <v/>
      </c>
      <c r="J875" t="str">
        <f>IF(G875="","",IF(G875="[FÓRMULA MANUAL]","",IFERROR(AVERAGEIFS(nNOTA,nNIA,G875,nCUENTA,1,nASIG,"Conjunto"),"")))</f>
        <v/>
      </c>
      <c r="K875" t="str">
        <f>IF(G875="","",IF(G875="[FÓRMULA MANUAL]","",IFERROR(SUMPRODUCT((nNIA=G875)*(nCUENTA=1)*(COUNTIF(CONFIG_ASIGNATURAS!$B$7:$B$27,nASIG)&gt;0)*(nNOTA))/SUMPRODUCT((nNIA=G875)*(nCUENTA=1)*(COUNTIF(CONFIG_ASIGNATURAS!$B$7:$B$27,nASIG)&gt;0)*1),"")))</f>
        <v/>
      </c>
      <c r="N875" t="str">
        <f>IF(M875="","",IF(M875="[FÓRMULA MANUAL]","",IFERROR(AVERAGEIFS(nNOTA,nNIA,M875,nCUENTA,1,nASIG,"Armonía"),"")))</f>
        <v/>
      </c>
      <c r="O875" t="str">
        <f>IF(M875="","",IF(M875="[FÓRMULA MANUAL]","",IFERROR(AVERAGEIFS(nNOTA,nNIA,M875,nCUENTA,1,nASIG,"Orquesta/Banda/Conjunto"),"")))</f>
        <v/>
      </c>
      <c r="P875" t="str">
        <f>IF(M875="","",IF(M875="[FÓRMULA MANUAL]","",IFERROR(AVERAGEIFS(nNOTA,nNIA,M875,nCUENTA,1,nASIG,"Música de Cámara"),"")))</f>
        <v/>
      </c>
      <c r="Q875" t="str">
        <f>IF(M875="","",IF(M875="[FÓRMULA MANUAL]","",IFERROR(SUMPRODUCT((nNIA=M875)*(nCUENTA=1)*(COUNTIF(CONFIG_ASIGNATURAS!$B$7:$B$27,nASIG)&gt;0)*(nNOTA))/SUMPRODUCT((nNIA=M875)*(nCUENTA=1)*(COUNTIF(CONFIG_ASIGNATURAS!$B$7:$B$27,nASIG)&gt;0)*1),"")))</f>
        <v/>
      </c>
      <c r="T875" t="str">
        <f>IF(S875="","",IF(S875="[FÓRMULA MANUAL]","",IFERROR(AVERAGEIFS(nNOTA,nNIA,S875,nCUENTA,1,nASIG,"Armonía"),"")))</f>
        <v/>
      </c>
      <c r="U875" t="str">
        <f>IF(S875="","",IF(S875="[FÓRMULA MANUAL]","",IFERROR(AVERAGEIFS(nNOTA,nNIA,S875,nCUENTA,1,nASIG,"Orquesta/Banda/Conjunto"),"")))</f>
        <v/>
      </c>
      <c r="V875" t="str">
        <f>IF(S875="","",IF(S875="[FÓRMULA MANUAL]","",IFERROR(AVERAGEIFS(nNOTA,nNIA,S875,nCUENTA,1,nASIG,"Música de Cámara"),"")))</f>
        <v/>
      </c>
      <c r="W875" t="str">
        <f>IF(S875="","",IF(S875="[FÓRMULA MANUAL]","",IFERROR(SUMPRODUCT((nNIA=S875)*(nCUENTA=1)*(COUNTIF(CONFIG_ASIGNATURAS!$B$7:$B$27,nASIG)&gt;0)*(nNOTA))/SUMPRODUCT((nNIA=S875)*(nCUENTA=1)*(COUNTIF(CONFIG_ASIGNATURAS!$B$7:$B$27,nASIG)&gt;0)*1),"")))</f>
        <v/>
      </c>
      <c r="Z875" t="str">
        <f>IF(Y875="","",IF(Y875="[FÓRMULA MANUAL]","",IFERROR(AVERAGEIFS(nNOTA,nNIA,Y875,nCUENTA,1,nASIG,"Análisis"),"")))</f>
        <v/>
      </c>
      <c r="AA875" t="str">
        <f>IF(Y875="","",IF(Y875="[FÓRMULA MANUAL]","",IFERROR(AVERAGEIFS(nNOTA,nNIA,Y875,nCUENTA,1,nASIG,"Orquesta/Banda/Conjunto"),"")))</f>
        <v/>
      </c>
      <c r="AB875" t="str">
        <f>IF(Y875="","",IF(Y875="[FÓRMULA MANUAL]","",IFERROR(AVERAGEIFS(nNOTA,nNIA,Y875,nCUENTA,1,nASIG,"Música de Cámara"),"")))</f>
        <v/>
      </c>
      <c r="AC875" t="str">
        <f>IF(Y875="","",IF(Y875="[FÓRMULA MANUAL]","",IFERROR(SUMPRODUCT((nNIA=Y875)*(nCUENTA=1)*(COUNTIF(CONFIG_ASIGNATURAS!$B$7:$B$27,nASIG)&gt;0)*(nNOTA))/SUMPRODUCT((nNIA=Y875)*(nCUENTA=1)*(COUNTIF(CONFIG_ASIGNATURAS!$B$7:$B$27,nASIG)&gt;0)*1),"")))</f>
        <v/>
      </c>
      <c r="AF875" t="str">
        <f>IF(AE875="","",IF(AE875="[FÓRMULA MANUAL]","",IFERROR(AVERAGEIFS(nNOTA,nNIA,AE875,nCUENTA,1,nASIG,"Análisis"),"")))</f>
        <v/>
      </c>
      <c r="AG875" t="str">
        <f>IF(AE875="","",IF(AE875="[FÓRMULA MANUAL]","",IFERROR(AVERAGEIFS(nNOTA,nNIA,AE875,nCUENTA,1,nASIG,"Orquesta/Banda/Conjunto"),"")))</f>
        <v/>
      </c>
      <c r="AH875" t="str">
        <f>IF(AE875="","",IF(AE875="[FÓRMULA MANUAL]","",IFERROR(AVERAGEIFS(nNOTA,nNIA,AE875,nCUENTA,1,nASIG,"Música de Cámara"),"")))</f>
        <v/>
      </c>
      <c r="AI875" t="str">
        <f>IF(AE875="","",IF(AE875="[FÓRMULA MANUAL]","",IFERROR(SUMPRODUCT((nNIA=AE875)*(nCUENTA=1)*(COUNTIF(CONFIG_ASIGNATURAS!$B$7:$B$27,nASIG)&gt;0)*(nNOTA))/SUMPRODUCT((nNIA=AE875)*(nCUENTA=1)*(COUNTIF(CONFIG_ASIGNATURAS!$B$7:$B$27,nASIG)&gt;0)*1),"")))</f>
        <v/>
      </c>
    </row>
    <row r="876" spans="2:35" x14ac:dyDescent="0.2">
      <c r="B876" t="str">
        <f>IF(A876="","",IF(A876="[FÓRMULA MANUAL]","",IFERROR(AVERAGEIFS(nNOTA,nNIA,A876,nCUENTA,1,nASIG,"Lenguaje Musical"),"")))</f>
        <v/>
      </c>
      <c r="C876" t="str">
        <f>IF(A876="","",IF(A876="[FÓRMULA MANUAL]","",IFERROR(AVERAGEIFS(nNOTA,nNIA,A876,nCUENTA,1,nASIG,"Orquesta/Banda/Conjunto"),"")))</f>
        <v/>
      </c>
      <c r="D876" t="str">
        <f>IF(A876="","",IF(A876="[FÓRMULA MANUAL]","",IFERROR(AVERAGEIFS(nNOTA,nNIA,A876,nCUENTA,1,nASIG,"Conjunto"),"")))</f>
        <v/>
      </c>
      <c r="E876" t="str">
        <f>IF(A876="","",IF(A876="[FÓRMULA MANUAL]","",IFERROR(SUMPRODUCT((nNIA=A876)*(nCUENTA=1)*(COUNTIF(CONFIG_ASIGNATURAS!$B$7:$B$27,nASIG)&gt;0)*(nNOTA))/SUMPRODUCT((nNIA=A876)*(nCUENTA=1)*(COUNTIF(CONFIG_ASIGNATURAS!$B$7:$B$27,nASIG)&gt;0)*1),"")))</f>
        <v/>
      </c>
      <c r="H876" t="str">
        <f>IF(G876="","",IF(G876="[FÓRMULA MANUAL]","",IFERROR(AVERAGEIFS(nNOTA,nNIA,G876,nCUENTA,1,nASIG,"Lenguaje Musical"),"")))</f>
        <v/>
      </c>
      <c r="I876" t="str">
        <f>IF(G876="","",IF(G876="[FÓRMULA MANUAL]","",IFERROR(AVERAGEIFS(nNOTA,nNIA,G876,nCUENTA,1,nASIG,"Orquesta/Banda/Conjunto"),"")))</f>
        <v/>
      </c>
      <c r="J876" t="str">
        <f>IF(G876="","",IF(G876="[FÓRMULA MANUAL]","",IFERROR(AVERAGEIFS(nNOTA,nNIA,G876,nCUENTA,1,nASIG,"Conjunto"),"")))</f>
        <v/>
      </c>
      <c r="K876" t="str">
        <f>IF(G876="","",IF(G876="[FÓRMULA MANUAL]","",IFERROR(SUMPRODUCT((nNIA=G876)*(nCUENTA=1)*(COUNTIF(CONFIG_ASIGNATURAS!$B$7:$B$27,nASIG)&gt;0)*(nNOTA))/SUMPRODUCT((nNIA=G876)*(nCUENTA=1)*(COUNTIF(CONFIG_ASIGNATURAS!$B$7:$B$27,nASIG)&gt;0)*1),"")))</f>
        <v/>
      </c>
      <c r="N876" t="str">
        <f>IF(M876="","",IF(M876="[FÓRMULA MANUAL]","",IFERROR(AVERAGEIFS(nNOTA,nNIA,M876,nCUENTA,1,nASIG,"Armonía"),"")))</f>
        <v/>
      </c>
      <c r="O876" t="str">
        <f>IF(M876="","",IF(M876="[FÓRMULA MANUAL]","",IFERROR(AVERAGEIFS(nNOTA,nNIA,M876,nCUENTA,1,nASIG,"Orquesta/Banda/Conjunto"),"")))</f>
        <v/>
      </c>
      <c r="P876" t="str">
        <f>IF(M876="","",IF(M876="[FÓRMULA MANUAL]","",IFERROR(AVERAGEIFS(nNOTA,nNIA,M876,nCUENTA,1,nASIG,"Música de Cámara"),"")))</f>
        <v/>
      </c>
      <c r="Q876" t="str">
        <f>IF(M876="","",IF(M876="[FÓRMULA MANUAL]","",IFERROR(SUMPRODUCT((nNIA=M876)*(nCUENTA=1)*(COUNTIF(CONFIG_ASIGNATURAS!$B$7:$B$27,nASIG)&gt;0)*(nNOTA))/SUMPRODUCT((nNIA=M876)*(nCUENTA=1)*(COUNTIF(CONFIG_ASIGNATURAS!$B$7:$B$27,nASIG)&gt;0)*1),"")))</f>
        <v/>
      </c>
      <c r="T876" t="str">
        <f>IF(S876="","",IF(S876="[FÓRMULA MANUAL]","",IFERROR(AVERAGEIFS(nNOTA,nNIA,S876,nCUENTA,1,nASIG,"Armonía"),"")))</f>
        <v/>
      </c>
      <c r="U876" t="str">
        <f>IF(S876="","",IF(S876="[FÓRMULA MANUAL]","",IFERROR(AVERAGEIFS(nNOTA,nNIA,S876,nCUENTA,1,nASIG,"Orquesta/Banda/Conjunto"),"")))</f>
        <v/>
      </c>
      <c r="V876" t="str">
        <f>IF(S876="","",IF(S876="[FÓRMULA MANUAL]","",IFERROR(AVERAGEIFS(nNOTA,nNIA,S876,nCUENTA,1,nASIG,"Música de Cámara"),"")))</f>
        <v/>
      </c>
      <c r="W876" t="str">
        <f>IF(S876="","",IF(S876="[FÓRMULA MANUAL]","",IFERROR(SUMPRODUCT((nNIA=S876)*(nCUENTA=1)*(COUNTIF(CONFIG_ASIGNATURAS!$B$7:$B$27,nASIG)&gt;0)*(nNOTA))/SUMPRODUCT((nNIA=S876)*(nCUENTA=1)*(COUNTIF(CONFIG_ASIGNATURAS!$B$7:$B$27,nASIG)&gt;0)*1),"")))</f>
        <v/>
      </c>
      <c r="Z876" t="str">
        <f>IF(Y876="","",IF(Y876="[FÓRMULA MANUAL]","",IFERROR(AVERAGEIFS(nNOTA,nNIA,Y876,nCUENTA,1,nASIG,"Análisis"),"")))</f>
        <v/>
      </c>
      <c r="AA876" t="str">
        <f>IF(Y876="","",IF(Y876="[FÓRMULA MANUAL]","",IFERROR(AVERAGEIFS(nNOTA,nNIA,Y876,nCUENTA,1,nASIG,"Orquesta/Banda/Conjunto"),"")))</f>
        <v/>
      </c>
      <c r="AB876" t="str">
        <f>IF(Y876="","",IF(Y876="[FÓRMULA MANUAL]","",IFERROR(AVERAGEIFS(nNOTA,nNIA,Y876,nCUENTA,1,nASIG,"Música de Cámara"),"")))</f>
        <v/>
      </c>
      <c r="AC876" t="str">
        <f>IF(Y876="","",IF(Y876="[FÓRMULA MANUAL]","",IFERROR(SUMPRODUCT((nNIA=Y876)*(nCUENTA=1)*(COUNTIF(CONFIG_ASIGNATURAS!$B$7:$B$27,nASIG)&gt;0)*(nNOTA))/SUMPRODUCT((nNIA=Y876)*(nCUENTA=1)*(COUNTIF(CONFIG_ASIGNATURAS!$B$7:$B$27,nASIG)&gt;0)*1),"")))</f>
        <v/>
      </c>
      <c r="AF876" t="str">
        <f>IF(AE876="","",IF(AE876="[FÓRMULA MANUAL]","",IFERROR(AVERAGEIFS(nNOTA,nNIA,AE876,nCUENTA,1,nASIG,"Análisis"),"")))</f>
        <v/>
      </c>
      <c r="AG876" t="str">
        <f>IF(AE876="","",IF(AE876="[FÓRMULA MANUAL]","",IFERROR(AVERAGEIFS(nNOTA,nNIA,AE876,nCUENTA,1,nASIG,"Orquesta/Banda/Conjunto"),"")))</f>
        <v/>
      </c>
      <c r="AH876" t="str">
        <f>IF(AE876="","",IF(AE876="[FÓRMULA MANUAL]","",IFERROR(AVERAGEIFS(nNOTA,nNIA,AE876,nCUENTA,1,nASIG,"Música de Cámara"),"")))</f>
        <v/>
      </c>
      <c r="AI876" t="str">
        <f>IF(AE876="","",IF(AE876="[FÓRMULA MANUAL]","",IFERROR(SUMPRODUCT((nNIA=AE876)*(nCUENTA=1)*(COUNTIF(CONFIG_ASIGNATURAS!$B$7:$B$27,nASIG)&gt;0)*(nNOTA))/SUMPRODUCT((nNIA=AE876)*(nCUENTA=1)*(COUNTIF(CONFIG_ASIGNATURAS!$B$7:$B$27,nASIG)&gt;0)*1),"")))</f>
        <v/>
      </c>
    </row>
    <row r="877" spans="2:35" x14ac:dyDescent="0.2">
      <c r="B877" t="str">
        <f>IF(A877="","",IF(A877="[FÓRMULA MANUAL]","",IFERROR(AVERAGEIFS(nNOTA,nNIA,A877,nCUENTA,1,nASIG,"Lenguaje Musical"),"")))</f>
        <v/>
      </c>
      <c r="C877" t="str">
        <f>IF(A877="","",IF(A877="[FÓRMULA MANUAL]","",IFERROR(AVERAGEIFS(nNOTA,nNIA,A877,nCUENTA,1,nASIG,"Orquesta/Banda/Conjunto"),"")))</f>
        <v/>
      </c>
      <c r="D877" t="str">
        <f>IF(A877="","",IF(A877="[FÓRMULA MANUAL]","",IFERROR(AVERAGEIFS(nNOTA,nNIA,A877,nCUENTA,1,nASIG,"Conjunto"),"")))</f>
        <v/>
      </c>
      <c r="E877" t="str">
        <f>IF(A877="","",IF(A877="[FÓRMULA MANUAL]","",IFERROR(SUMPRODUCT((nNIA=A877)*(nCUENTA=1)*(COUNTIF(CONFIG_ASIGNATURAS!$B$7:$B$27,nASIG)&gt;0)*(nNOTA))/SUMPRODUCT((nNIA=A877)*(nCUENTA=1)*(COUNTIF(CONFIG_ASIGNATURAS!$B$7:$B$27,nASIG)&gt;0)*1),"")))</f>
        <v/>
      </c>
      <c r="H877" t="str">
        <f>IF(G877="","",IF(G877="[FÓRMULA MANUAL]","",IFERROR(AVERAGEIFS(nNOTA,nNIA,G877,nCUENTA,1,nASIG,"Lenguaje Musical"),"")))</f>
        <v/>
      </c>
      <c r="I877" t="str">
        <f>IF(G877="","",IF(G877="[FÓRMULA MANUAL]","",IFERROR(AVERAGEIFS(nNOTA,nNIA,G877,nCUENTA,1,nASIG,"Orquesta/Banda/Conjunto"),"")))</f>
        <v/>
      </c>
      <c r="J877" t="str">
        <f>IF(G877="","",IF(G877="[FÓRMULA MANUAL]","",IFERROR(AVERAGEIFS(nNOTA,nNIA,G877,nCUENTA,1,nASIG,"Conjunto"),"")))</f>
        <v/>
      </c>
      <c r="K877" t="str">
        <f>IF(G877="","",IF(G877="[FÓRMULA MANUAL]","",IFERROR(SUMPRODUCT((nNIA=G877)*(nCUENTA=1)*(COUNTIF(CONFIG_ASIGNATURAS!$B$7:$B$27,nASIG)&gt;0)*(nNOTA))/SUMPRODUCT((nNIA=G877)*(nCUENTA=1)*(COUNTIF(CONFIG_ASIGNATURAS!$B$7:$B$27,nASIG)&gt;0)*1),"")))</f>
        <v/>
      </c>
      <c r="N877" t="str">
        <f>IF(M877="","",IF(M877="[FÓRMULA MANUAL]","",IFERROR(AVERAGEIFS(nNOTA,nNIA,M877,nCUENTA,1,nASIG,"Armonía"),"")))</f>
        <v/>
      </c>
      <c r="O877" t="str">
        <f>IF(M877="","",IF(M877="[FÓRMULA MANUAL]","",IFERROR(AVERAGEIFS(nNOTA,nNIA,M877,nCUENTA,1,nASIG,"Orquesta/Banda/Conjunto"),"")))</f>
        <v/>
      </c>
      <c r="P877" t="str">
        <f>IF(M877="","",IF(M877="[FÓRMULA MANUAL]","",IFERROR(AVERAGEIFS(nNOTA,nNIA,M877,nCUENTA,1,nASIG,"Música de Cámara"),"")))</f>
        <v/>
      </c>
      <c r="Q877" t="str">
        <f>IF(M877="","",IF(M877="[FÓRMULA MANUAL]","",IFERROR(SUMPRODUCT((nNIA=M877)*(nCUENTA=1)*(COUNTIF(CONFIG_ASIGNATURAS!$B$7:$B$27,nASIG)&gt;0)*(nNOTA))/SUMPRODUCT((nNIA=M877)*(nCUENTA=1)*(COUNTIF(CONFIG_ASIGNATURAS!$B$7:$B$27,nASIG)&gt;0)*1),"")))</f>
        <v/>
      </c>
      <c r="T877" t="str">
        <f>IF(S877="","",IF(S877="[FÓRMULA MANUAL]","",IFERROR(AVERAGEIFS(nNOTA,nNIA,S877,nCUENTA,1,nASIG,"Armonía"),"")))</f>
        <v/>
      </c>
      <c r="U877" t="str">
        <f>IF(S877="","",IF(S877="[FÓRMULA MANUAL]","",IFERROR(AVERAGEIFS(nNOTA,nNIA,S877,nCUENTA,1,nASIG,"Orquesta/Banda/Conjunto"),"")))</f>
        <v/>
      </c>
      <c r="V877" t="str">
        <f>IF(S877="","",IF(S877="[FÓRMULA MANUAL]","",IFERROR(AVERAGEIFS(nNOTA,nNIA,S877,nCUENTA,1,nASIG,"Música de Cámara"),"")))</f>
        <v/>
      </c>
      <c r="W877" t="str">
        <f>IF(S877="","",IF(S877="[FÓRMULA MANUAL]","",IFERROR(SUMPRODUCT((nNIA=S877)*(nCUENTA=1)*(COUNTIF(CONFIG_ASIGNATURAS!$B$7:$B$27,nASIG)&gt;0)*(nNOTA))/SUMPRODUCT((nNIA=S877)*(nCUENTA=1)*(COUNTIF(CONFIG_ASIGNATURAS!$B$7:$B$27,nASIG)&gt;0)*1),"")))</f>
        <v/>
      </c>
      <c r="Z877" t="str">
        <f>IF(Y877="","",IF(Y877="[FÓRMULA MANUAL]","",IFERROR(AVERAGEIFS(nNOTA,nNIA,Y877,nCUENTA,1,nASIG,"Análisis"),"")))</f>
        <v/>
      </c>
      <c r="AA877" t="str">
        <f>IF(Y877="","",IF(Y877="[FÓRMULA MANUAL]","",IFERROR(AVERAGEIFS(nNOTA,nNIA,Y877,nCUENTA,1,nASIG,"Orquesta/Banda/Conjunto"),"")))</f>
        <v/>
      </c>
      <c r="AB877" t="str">
        <f>IF(Y877="","",IF(Y877="[FÓRMULA MANUAL]","",IFERROR(AVERAGEIFS(nNOTA,nNIA,Y877,nCUENTA,1,nASIG,"Música de Cámara"),"")))</f>
        <v/>
      </c>
      <c r="AC877" t="str">
        <f>IF(Y877="","",IF(Y877="[FÓRMULA MANUAL]","",IFERROR(SUMPRODUCT((nNIA=Y877)*(nCUENTA=1)*(COUNTIF(CONFIG_ASIGNATURAS!$B$7:$B$27,nASIG)&gt;0)*(nNOTA))/SUMPRODUCT((nNIA=Y877)*(nCUENTA=1)*(COUNTIF(CONFIG_ASIGNATURAS!$B$7:$B$27,nASIG)&gt;0)*1),"")))</f>
        <v/>
      </c>
      <c r="AF877" t="str">
        <f>IF(AE877="","",IF(AE877="[FÓRMULA MANUAL]","",IFERROR(AVERAGEIFS(nNOTA,nNIA,AE877,nCUENTA,1,nASIG,"Análisis"),"")))</f>
        <v/>
      </c>
      <c r="AG877" t="str">
        <f>IF(AE877="","",IF(AE877="[FÓRMULA MANUAL]","",IFERROR(AVERAGEIFS(nNOTA,nNIA,AE877,nCUENTA,1,nASIG,"Orquesta/Banda/Conjunto"),"")))</f>
        <v/>
      </c>
      <c r="AH877" t="str">
        <f>IF(AE877="","",IF(AE877="[FÓRMULA MANUAL]","",IFERROR(AVERAGEIFS(nNOTA,nNIA,AE877,nCUENTA,1,nASIG,"Música de Cámara"),"")))</f>
        <v/>
      </c>
      <c r="AI877" t="str">
        <f>IF(AE877="","",IF(AE877="[FÓRMULA MANUAL]","",IFERROR(SUMPRODUCT((nNIA=AE877)*(nCUENTA=1)*(COUNTIF(CONFIG_ASIGNATURAS!$B$7:$B$27,nASIG)&gt;0)*(nNOTA))/SUMPRODUCT((nNIA=AE877)*(nCUENTA=1)*(COUNTIF(CONFIG_ASIGNATURAS!$B$7:$B$27,nASIG)&gt;0)*1),"")))</f>
        <v/>
      </c>
    </row>
    <row r="878" spans="2:35" x14ac:dyDescent="0.2">
      <c r="B878" t="str">
        <f>IF(A878="","",IF(A878="[FÓRMULA MANUAL]","",IFERROR(AVERAGEIFS(nNOTA,nNIA,A878,nCUENTA,1,nASIG,"Lenguaje Musical"),"")))</f>
        <v/>
      </c>
      <c r="C878" t="str">
        <f>IF(A878="","",IF(A878="[FÓRMULA MANUAL]","",IFERROR(AVERAGEIFS(nNOTA,nNIA,A878,nCUENTA,1,nASIG,"Orquesta/Banda/Conjunto"),"")))</f>
        <v/>
      </c>
      <c r="D878" t="str">
        <f>IF(A878="","",IF(A878="[FÓRMULA MANUAL]","",IFERROR(AVERAGEIFS(nNOTA,nNIA,A878,nCUENTA,1,nASIG,"Conjunto"),"")))</f>
        <v/>
      </c>
      <c r="E878" t="str">
        <f>IF(A878="","",IF(A878="[FÓRMULA MANUAL]","",IFERROR(SUMPRODUCT((nNIA=A878)*(nCUENTA=1)*(COUNTIF(CONFIG_ASIGNATURAS!$B$7:$B$27,nASIG)&gt;0)*(nNOTA))/SUMPRODUCT((nNIA=A878)*(nCUENTA=1)*(COUNTIF(CONFIG_ASIGNATURAS!$B$7:$B$27,nASIG)&gt;0)*1),"")))</f>
        <v/>
      </c>
      <c r="H878" t="str">
        <f>IF(G878="","",IF(G878="[FÓRMULA MANUAL]","",IFERROR(AVERAGEIFS(nNOTA,nNIA,G878,nCUENTA,1,nASIG,"Lenguaje Musical"),"")))</f>
        <v/>
      </c>
      <c r="I878" t="str">
        <f>IF(G878="","",IF(G878="[FÓRMULA MANUAL]","",IFERROR(AVERAGEIFS(nNOTA,nNIA,G878,nCUENTA,1,nASIG,"Orquesta/Banda/Conjunto"),"")))</f>
        <v/>
      </c>
      <c r="J878" t="str">
        <f>IF(G878="","",IF(G878="[FÓRMULA MANUAL]","",IFERROR(AVERAGEIFS(nNOTA,nNIA,G878,nCUENTA,1,nASIG,"Conjunto"),"")))</f>
        <v/>
      </c>
      <c r="K878" t="str">
        <f>IF(G878="","",IF(G878="[FÓRMULA MANUAL]","",IFERROR(SUMPRODUCT((nNIA=G878)*(nCUENTA=1)*(COUNTIF(CONFIG_ASIGNATURAS!$B$7:$B$27,nASIG)&gt;0)*(nNOTA))/SUMPRODUCT((nNIA=G878)*(nCUENTA=1)*(COUNTIF(CONFIG_ASIGNATURAS!$B$7:$B$27,nASIG)&gt;0)*1),"")))</f>
        <v/>
      </c>
      <c r="N878" t="str">
        <f>IF(M878="","",IF(M878="[FÓRMULA MANUAL]","",IFERROR(AVERAGEIFS(nNOTA,nNIA,M878,nCUENTA,1,nASIG,"Armonía"),"")))</f>
        <v/>
      </c>
      <c r="O878" t="str">
        <f>IF(M878="","",IF(M878="[FÓRMULA MANUAL]","",IFERROR(AVERAGEIFS(nNOTA,nNIA,M878,nCUENTA,1,nASIG,"Orquesta/Banda/Conjunto"),"")))</f>
        <v/>
      </c>
      <c r="P878" t="str">
        <f>IF(M878="","",IF(M878="[FÓRMULA MANUAL]","",IFERROR(AVERAGEIFS(nNOTA,nNIA,M878,nCUENTA,1,nASIG,"Música de Cámara"),"")))</f>
        <v/>
      </c>
      <c r="Q878" t="str">
        <f>IF(M878="","",IF(M878="[FÓRMULA MANUAL]","",IFERROR(SUMPRODUCT((nNIA=M878)*(nCUENTA=1)*(COUNTIF(CONFIG_ASIGNATURAS!$B$7:$B$27,nASIG)&gt;0)*(nNOTA))/SUMPRODUCT((nNIA=M878)*(nCUENTA=1)*(COUNTIF(CONFIG_ASIGNATURAS!$B$7:$B$27,nASIG)&gt;0)*1),"")))</f>
        <v/>
      </c>
      <c r="T878" t="str">
        <f>IF(S878="","",IF(S878="[FÓRMULA MANUAL]","",IFERROR(AVERAGEIFS(nNOTA,nNIA,S878,nCUENTA,1,nASIG,"Armonía"),"")))</f>
        <v/>
      </c>
      <c r="U878" t="str">
        <f>IF(S878="","",IF(S878="[FÓRMULA MANUAL]","",IFERROR(AVERAGEIFS(nNOTA,nNIA,S878,nCUENTA,1,nASIG,"Orquesta/Banda/Conjunto"),"")))</f>
        <v/>
      </c>
      <c r="V878" t="str">
        <f>IF(S878="","",IF(S878="[FÓRMULA MANUAL]","",IFERROR(AVERAGEIFS(nNOTA,nNIA,S878,nCUENTA,1,nASIG,"Música de Cámara"),"")))</f>
        <v/>
      </c>
      <c r="W878" t="str">
        <f>IF(S878="","",IF(S878="[FÓRMULA MANUAL]","",IFERROR(SUMPRODUCT((nNIA=S878)*(nCUENTA=1)*(COUNTIF(CONFIG_ASIGNATURAS!$B$7:$B$27,nASIG)&gt;0)*(nNOTA))/SUMPRODUCT((nNIA=S878)*(nCUENTA=1)*(COUNTIF(CONFIG_ASIGNATURAS!$B$7:$B$27,nASIG)&gt;0)*1),"")))</f>
        <v/>
      </c>
      <c r="Z878" t="str">
        <f>IF(Y878="","",IF(Y878="[FÓRMULA MANUAL]","",IFERROR(AVERAGEIFS(nNOTA,nNIA,Y878,nCUENTA,1,nASIG,"Análisis"),"")))</f>
        <v/>
      </c>
      <c r="AA878" t="str">
        <f>IF(Y878="","",IF(Y878="[FÓRMULA MANUAL]","",IFERROR(AVERAGEIFS(nNOTA,nNIA,Y878,nCUENTA,1,nASIG,"Orquesta/Banda/Conjunto"),"")))</f>
        <v/>
      </c>
      <c r="AB878" t="str">
        <f>IF(Y878="","",IF(Y878="[FÓRMULA MANUAL]","",IFERROR(AVERAGEIFS(nNOTA,nNIA,Y878,nCUENTA,1,nASIG,"Música de Cámara"),"")))</f>
        <v/>
      </c>
      <c r="AC878" t="str">
        <f>IF(Y878="","",IF(Y878="[FÓRMULA MANUAL]","",IFERROR(SUMPRODUCT((nNIA=Y878)*(nCUENTA=1)*(COUNTIF(CONFIG_ASIGNATURAS!$B$7:$B$27,nASIG)&gt;0)*(nNOTA))/SUMPRODUCT((nNIA=Y878)*(nCUENTA=1)*(COUNTIF(CONFIG_ASIGNATURAS!$B$7:$B$27,nASIG)&gt;0)*1),"")))</f>
        <v/>
      </c>
      <c r="AF878" t="str">
        <f>IF(AE878="","",IF(AE878="[FÓRMULA MANUAL]","",IFERROR(AVERAGEIFS(nNOTA,nNIA,AE878,nCUENTA,1,nASIG,"Análisis"),"")))</f>
        <v/>
      </c>
      <c r="AG878" t="str">
        <f>IF(AE878="","",IF(AE878="[FÓRMULA MANUAL]","",IFERROR(AVERAGEIFS(nNOTA,nNIA,AE878,nCUENTA,1,nASIG,"Orquesta/Banda/Conjunto"),"")))</f>
        <v/>
      </c>
      <c r="AH878" t="str">
        <f>IF(AE878="","",IF(AE878="[FÓRMULA MANUAL]","",IFERROR(AVERAGEIFS(nNOTA,nNIA,AE878,nCUENTA,1,nASIG,"Música de Cámara"),"")))</f>
        <v/>
      </c>
      <c r="AI878" t="str">
        <f>IF(AE878="","",IF(AE878="[FÓRMULA MANUAL]","",IFERROR(SUMPRODUCT((nNIA=AE878)*(nCUENTA=1)*(COUNTIF(CONFIG_ASIGNATURAS!$B$7:$B$27,nASIG)&gt;0)*(nNOTA))/SUMPRODUCT((nNIA=AE878)*(nCUENTA=1)*(COUNTIF(CONFIG_ASIGNATURAS!$B$7:$B$27,nASIG)&gt;0)*1),"")))</f>
        <v/>
      </c>
    </row>
    <row r="879" spans="2:35" x14ac:dyDescent="0.2">
      <c r="B879" t="str">
        <f>IF(A879="","",IF(A879="[FÓRMULA MANUAL]","",IFERROR(AVERAGEIFS(nNOTA,nNIA,A879,nCUENTA,1,nASIG,"Lenguaje Musical"),"")))</f>
        <v/>
      </c>
      <c r="C879" t="str">
        <f>IF(A879="","",IF(A879="[FÓRMULA MANUAL]","",IFERROR(AVERAGEIFS(nNOTA,nNIA,A879,nCUENTA,1,nASIG,"Orquesta/Banda/Conjunto"),"")))</f>
        <v/>
      </c>
      <c r="D879" t="str">
        <f>IF(A879="","",IF(A879="[FÓRMULA MANUAL]","",IFERROR(AVERAGEIFS(nNOTA,nNIA,A879,nCUENTA,1,nASIG,"Conjunto"),"")))</f>
        <v/>
      </c>
      <c r="E879" t="str">
        <f>IF(A879="","",IF(A879="[FÓRMULA MANUAL]","",IFERROR(SUMPRODUCT((nNIA=A879)*(nCUENTA=1)*(COUNTIF(CONFIG_ASIGNATURAS!$B$7:$B$27,nASIG)&gt;0)*(nNOTA))/SUMPRODUCT((nNIA=A879)*(nCUENTA=1)*(COUNTIF(CONFIG_ASIGNATURAS!$B$7:$B$27,nASIG)&gt;0)*1),"")))</f>
        <v/>
      </c>
      <c r="H879" t="str">
        <f>IF(G879="","",IF(G879="[FÓRMULA MANUAL]","",IFERROR(AVERAGEIFS(nNOTA,nNIA,G879,nCUENTA,1,nASIG,"Lenguaje Musical"),"")))</f>
        <v/>
      </c>
      <c r="I879" t="str">
        <f>IF(G879="","",IF(G879="[FÓRMULA MANUAL]","",IFERROR(AVERAGEIFS(nNOTA,nNIA,G879,nCUENTA,1,nASIG,"Orquesta/Banda/Conjunto"),"")))</f>
        <v/>
      </c>
      <c r="J879" t="str">
        <f>IF(G879="","",IF(G879="[FÓRMULA MANUAL]","",IFERROR(AVERAGEIFS(nNOTA,nNIA,G879,nCUENTA,1,nASIG,"Conjunto"),"")))</f>
        <v/>
      </c>
      <c r="K879" t="str">
        <f>IF(G879="","",IF(G879="[FÓRMULA MANUAL]","",IFERROR(SUMPRODUCT((nNIA=G879)*(nCUENTA=1)*(COUNTIF(CONFIG_ASIGNATURAS!$B$7:$B$27,nASIG)&gt;0)*(nNOTA))/SUMPRODUCT((nNIA=G879)*(nCUENTA=1)*(COUNTIF(CONFIG_ASIGNATURAS!$B$7:$B$27,nASIG)&gt;0)*1),"")))</f>
        <v/>
      </c>
      <c r="N879" t="str">
        <f>IF(M879="","",IF(M879="[FÓRMULA MANUAL]","",IFERROR(AVERAGEIFS(nNOTA,nNIA,M879,nCUENTA,1,nASIG,"Armonía"),"")))</f>
        <v/>
      </c>
      <c r="O879" t="str">
        <f>IF(M879="","",IF(M879="[FÓRMULA MANUAL]","",IFERROR(AVERAGEIFS(nNOTA,nNIA,M879,nCUENTA,1,nASIG,"Orquesta/Banda/Conjunto"),"")))</f>
        <v/>
      </c>
      <c r="P879" t="str">
        <f>IF(M879="","",IF(M879="[FÓRMULA MANUAL]","",IFERROR(AVERAGEIFS(nNOTA,nNIA,M879,nCUENTA,1,nASIG,"Música de Cámara"),"")))</f>
        <v/>
      </c>
      <c r="Q879" t="str">
        <f>IF(M879="","",IF(M879="[FÓRMULA MANUAL]","",IFERROR(SUMPRODUCT((nNIA=M879)*(nCUENTA=1)*(COUNTIF(CONFIG_ASIGNATURAS!$B$7:$B$27,nASIG)&gt;0)*(nNOTA))/SUMPRODUCT((nNIA=M879)*(nCUENTA=1)*(COUNTIF(CONFIG_ASIGNATURAS!$B$7:$B$27,nASIG)&gt;0)*1),"")))</f>
        <v/>
      </c>
      <c r="T879" t="str">
        <f>IF(S879="","",IF(S879="[FÓRMULA MANUAL]","",IFERROR(AVERAGEIFS(nNOTA,nNIA,S879,nCUENTA,1,nASIG,"Armonía"),"")))</f>
        <v/>
      </c>
      <c r="U879" t="str">
        <f>IF(S879="","",IF(S879="[FÓRMULA MANUAL]","",IFERROR(AVERAGEIFS(nNOTA,nNIA,S879,nCUENTA,1,nASIG,"Orquesta/Banda/Conjunto"),"")))</f>
        <v/>
      </c>
      <c r="V879" t="str">
        <f>IF(S879="","",IF(S879="[FÓRMULA MANUAL]","",IFERROR(AVERAGEIFS(nNOTA,nNIA,S879,nCUENTA,1,nASIG,"Música de Cámara"),"")))</f>
        <v/>
      </c>
      <c r="W879" t="str">
        <f>IF(S879="","",IF(S879="[FÓRMULA MANUAL]","",IFERROR(SUMPRODUCT((nNIA=S879)*(nCUENTA=1)*(COUNTIF(CONFIG_ASIGNATURAS!$B$7:$B$27,nASIG)&gt;0)*(nNOTA))/SUMPRODUCT((nNIA=S879)*(nCUENTA=1)*(COUNTIF(CONFIG_ASIGNATURAS!$B$7:$B$27,nASIG)&gt;0)*1),"")))</f>
        <v/>
      </c>
      <c r="Z879" t="str">
        <f>IF(Y879="","",IF(Y879="[FÓRMULA MANUAL]","",IFERROR(AVERAGEIFS(nNOTA,nNIA,Y879,nCUENTA,1,nASIG,"Análisis"),"")))</f>
        <v/>
      </c>
      <c r="AA879" t="str">
        <f>IF(Y879="","",IF(Y879="[FÓRMULA MANUAL]","",IFERROR(AVERAGEIFS(nNOTA,nNIA,Y879,nCUENTA,1,nASIG,"Orquesta/Banda/Conjunto"),"")))</f>
        <v/>
      </c>
      <c r="AB879" t="str">
        <f>IF(Y879="","",IF(Y879="[FÓRMULA MANUAL]","",IFERROR(AVERAGEIFS(nNOTA,nNIA,Y879,nCUENTA,1,nASIG,"Música de Cámara"),"")))</f>
        <v/>
      </c>
      <c r="AC879" t="str">
        <f>IF(Y879="","",IF(Y879="[FÓRMULA MANUAL]","",IFERROR(SUMPRODUCT((nNIA=Y879)*(nCUENTA=1)*(COUNTIF(CONFIG_ASIGNATURAS!$B$7:$B$27,nASIG)&gt;0)*(nNOTA))/SUMPRODUCT((nNIA=Y879)*(nCUENTA=1)*(COUNTIF(CONFIG_ASIGNATURAS!$B$7:$B$27,nASIG)&gt;0)*1),"")))</f>
        <v/>
      </c>
      <c r="AF879" t="str">
        <f>IF(AE879="","",IF(AE879="[FÓRMULA MANUAL]","",IFERROR(AVERAGEIFS(nNOTA,nNIA,AE879,nCUENTA,1,nASIG,"Análisis"),"")))</f>
        <v/>
      </c>
      <c r="AG879" t="str">
        <f>IF(AE879="","",IF(AE879="[FÓRMULA MANUAL]","",IFERROR(AVERAGEIFS(nNOTA,nNIA,AE879,nCUENTA,1,nASIG,"Orquesta/Banda/Conjunto"),"")))</f>
        <v/>
      </c>
      <c r="AH879" t="str">
        <f>IF(AE879="","",IF(AE879="[FÓRMULA MANUAL]","",IFERROR(AVERAGEIFS(nNOTA,nNIA,AE879,nCUENTA,1,nASIG,"Música de Cámara"),"")))</f>
        <v/>
      </c>
      <c r="AI879" t="str">
        <f>IF(AE879="","",IF(AE879="[FÓRMULA MANUAL]","",IFERROR(SUMPRODUCT((nNIA=AE879)*(nCUENTA=1)*(COUNTIF(CONFIG_ASIGNATURAS!$B$7:$B$27,nASIG)&gt;0)*(nNOTA))/SUMPRODUCT((nNIA=AE879)*(nCUENTA=1)*(COUNTIF(CONFIG_ASIGNATURAS!$B$7:$B$27,nASIG)&gt;0)*1),"")))</f>
        <v/>
      </c>
    </row>
    <row r="880" spans="2:35" x14ac:dyDescent="0.2">
      <c r="B880" t="str">
        <f>IF(A880="","",IF(A880="[FÓRMULA MANUAL]","",IFERROR(AVERAGEIFS(nNOTA,nNIA,A880,nCUENTA,1,nASIG,"Lenguaje Musical"),"")))</f>
        <v/>
      </c>
      <c r="C880" t="str">
        <f>IF(A880="","",IF(A880="[FÓRMULA MANUAL]","",IFERROR(AVERAGEIFS(nNOTA,nNIA,A880,nCUENTA,1,nASIG,"Orquesta/Banda/Conjunto"),"")))</f>
        <v/>
      </c>
      <c r="D880" t="str">
        <f>IF(A880="","",IF(A880="[FÓRMULA MANUAL]","",IFERROR(AVERAGEIFS(nNOTA,nNIA,A880,nCUENTA,1,nASIG,"Conjunto"),"")))</f>
        <v/>
      </c>
      <c r="E880" t="str">
        <f>IF(A880="","",IF(A880="[FÓRMULA MANUAL]","",IFERROR(SUMPRODUCT((nNIA=A880)*(nCUENTA=1)*(COUNTIF(CONFIG_ASIGNATURAS!$B$7:$B$27,nASIG)&gt;0)*(nNOTA))/SUMPRODUCT((nNIA=A880)*(nCUENTA=1)*(COUNTIF(CONFIG_ASIGNATURAS!$B$7:$B$27,nASIG)&gt;0)*1),"")))</f>
        <v/>
      </c>
      <c r="H880" t="str">
        <f>IF(G880="","",IF(G880="[FÓRMULA MANUAL]","",IFERROR(AVERAGEIFS(nNOTA,nNIA,G880,nCUENTA,1,nASIG,"Lenguaje Musical"),"")))</f>
        <v/>
      </c>
      <c r="I880" t="str">
        <f>IF(G880="","",IF(G880="[FÓRMULA MANUAL]","",IFERROR(AVERAGEIFS(nNOTA,nNIA,G880,nCUENTA,1,nASIG,"Orquesta/Banda/Conjunto"),"")))</f>
        <v/>
      </c>
      <c r="J880" t="str">
        <f>IF(G880="","",IF(G880="[FÓRMULA MANUAL]","",IFERROR(AVERAGEIFS(nNOTA,nNIA,G880,nCUENTA,1,nASIG,"Conjunto"),"")))</f>
        <v/>
      </c>
      <c r="K880" t="str">
        <f>IF(G880="","",IF(G880="[FÓRMULA MANUAL]","",IFERROR(SUMPRODUCT((nNIA=G880)*(nCUENTA=1)*(COUNTIF(CONFIG_ASIGNATURAS!$B$7:$B$27,nASIG)&gt;0)*(nNOTA))/SUMPRODUCT((nNIA=G880)*(nCUENTA=1)*(COUNTIF(CONFIG_ASIGNATURAS!$B$7:$B$27,nASIG)&gt;0)*1),"")))</f>
        <v/>
      </c>
      <c r="N880" t="str">
        <f>IF(M880="","",IF(M880="[FÓRMULA MANUAL]","",IFERROR(AVERAGEIFS(nNOTA,nNIA,M880,nCUENTA,1,nASIG,"Armonía"),"")))</f>
        <v/>
      </c>
      <c r="O880" t="str">
        <f>IF(M880="","",IF(M880="[FÓRMULA MANUAL]","",IFERROR(AVERAGEIFS(nNOTA,nNIA,M880,nCUENTA,1,nASIG,"Orquesta/Banda/Conjunto"),"")))</f>
        <v/>
      </c>
      <c r="P880" t="str">
        <f>IF(M880="","",IF(M880="[FÓRMULA MANUAL]","",IFERROR(AVERAGEIFS(nNOTA,nNIA,M880,nCUENTA,1,nASIG,"Música de Cámara"),"")))</f>
        <v/>
      </c>
      <c r="Q880" t="str">
        <f>IF(M880="","",IF(M880="[FÓRMULA MANUAL]","",IFERROR(SUMPRODUCT((nNIA=M880)*(nCUENTA=1)*(COUNTIF(CONFIG_ASIGNATURAS!$B$7:$B$27,nASIG)&gt;0)*(nNOTA))/SUMPRODUCT((nNIA=M880)*(nCUENTA=1)*(COUNTIF(CONFIG_ASIGNATURAS!$B$7:$B$27,nASIG)&gt;0)*1),"")))</f>
        <v/>
      </c>
      <c r="T880" t="str">
        <f>IF(S880="","",IF(S880="[FÓRMULA MANUAL]","",IFERROR(AVERAGEIFS(nNOTA,nNIA,S880,nCUENTA,1,nASIG,"Armonía"),"")))</f>
        <v/>
      </c>
      <c r="U880" t="str">
        <f>IF(S880="","",IF(S880="[FÓRMULA MANUAL]","",IFERROR(AVERAGEIFS(nNOTA,nNIA,S880,nCUENTA,1,nASIG,"Orquesta/Banda/Conjunto"),"")))</f>
        <v/>
      </c>
      <c r="V880" t="str">
        <f>IF(S880="","",IF(S880="[FÓRMULA MANUAL]","",IFERROR(AVERAGEIFS(nNOTA,nNIA,S880,nCUENTA,1,nASIG,"Música de Cámara"),"")))</f>
        <v/>
      </c>
      <c r="W880" t="str">
        <f>IF(S880="","",IF(S880="[FÓRMULA MANUAL]","",IFERROR(SUMPRODUCT((nNIA=S880)*(nCUENTA=1)*(COUNTIF(CONFIG_ASIGNATURAS!$B$7:$B$27,nASIG)&gt;0)*(nNOTA))/SUMPRODUCT((nNIA=S880)*(nCUENTA=1)*(COUNTIF(CONFIG_ASIGNATURAS!$B$7:$B$27,nASIG)&gt;0)*1),"")))</f>
        <v/>
      </c>
      <c r="Z880" t="str">
        <f>IF(Y880="","",IF(Y880="[FÓRMULA MANUAL]","",IFERROR(AVERAGEIFS(nNOTA,nNIA,Y880,nCUENTA,1,nASIG,"Análisis"),"")))</f>
        <v/>
      </c>
      <c r="AA880" t="str">
        <f>IF(Y880="","",IF(Y880="[FÓRMULA MANUAL]","",IFERROR(AVERAGEIFS(nNOTA,nNIA,Y880,nCUENTA,1,nASIG,"Orquesta/Banda/Conjunto"),"")))</f>
        <v/>
      </c>
      <c r="AB880" t="str">
        <f>IF(Y880="","",IF(Y880="[FÓRMULA MANUAL]","",IFERROR(AVERAGEIFS(nNOTA,nNIA,Y880,nCUENTA,1,nASIG,"Música de Cámara"),"")))</f>
        <v/>
      </c>
      <c r="AC880" t="str">
        <f>IF(Y880="","",IF(Y880="[FÓRMULA MANUAL]","",IFERROR(SUMPRODUCT((nNIA=Y880)*(nCUENTA=1)*(COUNTIF(CONFIG_ASIGNATURAS!$B$7:$B$27,nASIG)&gt;0)*(nNOTA))/SUMPRODUCT((nNIA=Y880)*(nCUENTA=1)*(COUNTIF(CONFIG_ASIGNATURAS!$B$7:$B$27,nASIG)&gt;0)*1),"")))</f>
        <v/>
      </c>
      <c r="AF880" t="str">
        <f>IF(AE880="","",IF(AE880="[FÓRMULA MANUAL]","",IFERROR(AVERAGEIFS(nNOTA,nNIA,AE880,nCUENTA,1,nASIG,"Análisis"),"")))</f>
        <v/>
      </c>
      <c r="AG880" t="str">
        <f>IF(AE880="","",IF(AE880="[FÓRMULA MANUAL]","",IFERROR(AVERAGEIFS(nNOTA,nNIA,AE880,nCUENTA,1,nASIG,"Orquesta/Banda/Conjunto"),"")))</f>
        <v/>
      </c>
      <c r="AH880" t="str">
        <f>IF(AE880="","",IF(AE880="[FÓRMULA MANUAL]","",IFERROR(AVERAGEIFS(nNOTA,nNIA,AE880,nCUENTA,1,nASIG,"Música de Cámara"),"")))</f>
        <v/>
      </c>
      <c r="AI880" t="str">
        <f>IF(AE880="","",IF(AE880="[FÓRMULA MANUAL]","",IFERROR(SUMPRODUCT((nNIA=AE880)*(nCUENTA=1)*(COUNTIF(CONFIG_ASIGNATURAS!$B$7:$B$27,nASIG)&gt;0)*(nNOTA))/SUMPRODUCT((nNIA=AE880)*(nCUENTA=1)*(COUNTIF(CONFIG_ASIGNATURAS!$B$7:$B$27,nASIG)&gt;0)*1),"")))</f>
        <v/>
      </c>
    </row>
    <row r="881" spans="2:35" x14ac:dyDescent="0.2">
      <c r="B881" t="str">
        <f>IF(A881="","",IF(A881="[FÓRMULA MANUAL]","",IFERROR(AVERAGEIFS(nNOTA,nNIA,A881,nCUENTA,1,nASIG,"Lenguaje Musical"),"")))</f>
        <v/>
      </c>
      <c r="C881" t="str">
        <f>IF(A881="","",IF(A881="[FÓRMULA MANUAL]","",IFERROR(AVERAGEIFS(nNOTA,nNIA,A881,nCUENTA,1,nASIG,"Orquesta/Banda/Conjunto"),"")))</f>
        <v/>
      </c>
      <c r="D881" t="str">
        <f>IF(A881="","",IF(A881="[FÓRMULA MANUAL]","",IFERROR(AVERAGEIFS(nNOTA,nNIA,A881,nCUENTA,1,nASIG,"Conjunto"),"")))</f>
        <v/>
      </c>
      <c r="E881" t="str">
        <f>IF(A881="","",IF(A881="[FÓRMULA MANUAL]","",IFERROR(SUMPRODUCT((nNIA=A881)*(nCUENTA=1)*(COUNTIF(CONFIG_ASIGNATURAS!$B$7:$B$27,nASIG)&gt;0)*(nNOTA))/SUMPRODUCT((nNIA=A881)*(nCUENTA=1)*(COUNTIF(CONFIG_ASIGNATURAS!$B$7:$B$27,nASIG)&gt;0)*1),"")))</f>
        <v/>
      </c>
      <c r="H881" t="str">
        <f>IF(G881="","",IF(G881="[FÓRMULA MANUAL]","",IFERROR(AVERAGEIFS(nNOTA,nNIA,G881,nCUENTA,1,nASIG,"Lenguaje Musical"),"")))</f>
        <v/>
      </c>
      <c r="I881" t="str">
        <f>IF(G881="","",IF(G881="[FÓRMULA MANUAL]","",IFERROR(AVERAGEIFS(nNOTA,nNIA,G881,nCUENTA,1,nASIG,"Orquesta/Banda/Conjunto"),"")))</f>
        <v/>
      </c>
      <c r="J881" t="str">
        <f>IF(G881="","",IF(G881="[FÓRMULA MANUAL]","",IFERROR(AVERAGEIFS(nNOTA,nNIA,G881,nCUENTA,1,nASIG,"Conjunto"),"")))</f>
        <v/>
      </c>
      <c r="K881" t="str">
        <f>IF(G881="","",IF(G881="[FÓRMULA MANUAL]","",IFERROR(SUMPRODUCT((nNIA=G881)*(nCUENTA=1)*(COUNTIF(CONFIG_ASIGNATURAS!$B$7:$B$27,nASIG)&gt;0)*(nNOTA))/SUMPRODUCT((nNIA=G881)*(nCUENTA=1)*(COUNTIF(CONFIG_ASIGNATURAS!$B$7:$B$27,nASIG)&gt;0)*1),"")))</f>
        <v/>
      </c>
      <c r="N881" t="str">
        <f>IF(M881="","",IF(M881="[FÓRMULA MANUAL]","",IFERROR(AVERAGEIFS(nNOTA,nNIA,M881,nCUENTA,1,nASIG,"Armonía"),"")))</f>
        <v/>
      </c>
      <c r="O881" t="str">
        <f>IF(M881="","",IF(M881="[FÓRMULA MANUAL]","",IFERROR(AVERAGEIFS(nNOTA,nNIA,M881,nCUENTA,1,nASIG,"Orquesta/Banda/Conjunto"),"")))</f>
        <v/>
      </c>
      <c r="P881" t="str">
        <f>IF(M881="","",IF(M881="[FÓRMULA MANUAL]","",IFERROR(AVERAGEIFS(nNOTA,nNIA,M881,nCUENTA,1,nASIG,"Música de Cámara"),"")))</f>
        <v/>
      </c>
      <c r="Q881" t="str">
        <f>IF(M881="","",IF(M881="[FÓRMULA MANUAL]","",IFERROR(SUMPRODUCT((nNIA=M881)*(nCUENTA=1)*(COUNTIF(CONFIG_ASIGNATURAS!$B$7:$B$27,nASIG)&gt;0)*(nNOTA))/SUMPRODUCT((nNIA=M881)*(nCUENTA=1)*(COUNTIF(CONFIG_ASIGNATURAS!$B$7:$B$27,nASIG)&gt;0)*1),"")))</f>
        <v/>
      </c>
      <c r="T881" t="str">
        <f>IF(S881="","",IF(S881="[FÓRMULA MANUAL]","",IFERROR(AVERAGEIFS(nNOTA,nNIA,S881,nCUENTA,1,nASIG,"Armonía"),"")))</f>
        <v/>
      </c>
      <c r="U881" t="str">
        <f>IF(S881="","",IF(S881="[FÓRMULA MANUAL]","",IFERROR(AVERAGEIFS(nNOTA,nNIA,S881,nCUENTA,1,nASIG,"Orquesta/Banda/Conjunto"),"")))</f>
        <v/>
      </c>
      <c r="V881" t="str">
        <f>IF(S881="","",IF(S881="[FÓRMULA MANUAL]","",IFERROR(AVERAGEIFS(nNOTA,nNIA,S881,nCUENTA,1,nASIG,"Música de Cámara"),"")))</f>
        <v/>
      </c>
      <c r="W881" t="str">
        <f>IF(S881="","",IF(S881="[FÓRMULA MANUAL]","",IFERROR(SUMPRODUCT((nNIA=S881)*(nCUENTA=1)*(COUNTIF(CONFIG_ASIGNATURAS!$B$7:$B$27,nASIG)&gt;0)*(nNOTA))/SUMPRODUCT((nNIA=S881)*(nCUENTA=1)*(COUNTIF(CONFIG_ASIGNATURAS!$B$7:$B$27,nASIG)&gt;0)*1),"")))</f>
        <v/>
      </c>
      <c r="Z881" t="str">
        <f>IF(Y881="","",IF(Y881="[FÓRMULA MANUAL]","",IFERROR(AVERAGEIFS(nNOTA,nNIA,Y881,nCUENTA,1,nASIG,"Análisis"),"")))</f>
        <v/>
      </c>
      <c r="AA881" t="str">
        <f>IF(Y881="","",IF(Y881="[FÓRMULA MANUAL]","",IFERROR(AVERAGEIFS(nNOTA,nNIA,Y881,nCUENTA,1,nASIG,"Orquesta/Banda/Conjunto"),"")))</f>
        <v/>
      </c>
      <c r="AB881" t="str">
        <f>IF(Y881="","",IF(Y881="[FÓRMULA MANUAL]","",IFERROR(AVERAGEIFS(nNOTA,nNIA,Y881,nCUENTA,1,nASIG,"Música de Cámara"),"")))</f>
        <v/>
      </c>
      <c r="AC881" t="str">
        <f>IF(Y881="","",IF(Y881="[FÓRMULA MANUAL]","",IFERROR(SUMPRODUCT((nNIA=Y881)*(nCUENTA=1)*(COUNTIF(CONFIG_ASIGNATURAS!$B$7:$B$27,nASIG)&gt;0)*(nNOTA))/SUMPRODUCT((nNIA=Y881)*(nCUENTA=1)*(COUNTIF(CONFIG_ASIGNATURAS!$B$7:$B$27,nASIG)&gt;0)*1),"")))</f>
        <v/>
      </c>
      <c r="AF881" t="str">
        <f>IF(AE881="","",IF(AE881="[FÓRMULA MANUAL]","",IFERROR(AVERAGEIFS(nNOTA,nNIA,AE881,nCUENTA,1,nASIG,"Análisis"),"")))</f>
        <v/>
      </c>
      <c r="AG881" t="str">
        <f>IF(AE881="","",IF(AE881="[FÓRMULA MANUAL]","",IFERROR(AVERAGEIFS(nNOTA,nNIA,AE881,nCUENTA,1,nASIG,"Orquesta/Banda/Conjunto"),"")))</f>
        <v/>
      </c>
      <c r="AH881" t="str">
        <f>IF(AE881="","",IF(AE881="[FÓRMULA MANUAL]","",IFERROR(AVERAGEIFS(nNOTA,nNIA,AE881,nCUENTA,1,nASIG,"Música de Cámara"),"")))</f>
        <v/>
      </c>
      <c r="AI881" t="str">
        <f>IF(AE881="","",IF(AE881="[FÓRMULA MANUAL]","",IFERROR(SUMPRODUCT((nNIA=AE881)*(nCUENTA=1)*(COUNTIF(CONFIG_ASIGNATURAS!$B$7:$B$27,nASIG)&gt;0)*(nNOTA))/SUMPRODUCT((nNIA=AE881)*(nCUENTA=1)*(COUNTIF(CONFIG_ASIGNATURAS!$B$7:$B$27,nASIG)&gt;0)*1),"")))</f>
        <v/>
      </c>
    </row>
    <row r="882" spans="2:35" x14ac:dyDescent="0.2">
      <c r="B882" t="str">
        <f>IF(A882="","",IF(A882="[FÓRMULA MANUAL]","",IFERROR(AVERAGEIFS(nNOTA,nNIA,A882,nCUENTA,1,nASIG,"Lenguaje Musical"),"")))</f>
        <v/>
      </c>
      <c r="C882" t="str">
        <f>IF(A882="","",IF(A882="[FÓRMULA MANUAL]","",IFERROR(AVERAGEIFS(nNOTA,nNIA,A882,nCUENTA,1,nASIG,"Orquesta/Banda/Conjunto"),"")))</f>
        <v/>
      </c>
      <c r="D882" t="str">
        <f>IF(A882="","",IF(A882="[FÓRMULA MANUAL]","",IFERROR(AVERAGEIFS(nNOTA,nNIA,A882,nCUENTA,1,nASIG,"Conjunto"),"")))</f>
        <v/>
      </c>
      <c r="E882" t="str">
        <f>IF(A882="","",IF(A882="[FÓRMULA MANUAL]","",IFERROR(SUMPRODUCT((nNIA=A882)*(nCUENTA=1)*(COUNTIF(CONFIG_ASIGNATURAS!$B$7:$B$27,nASIG)&gt;0)*(nNOTA))/SUMPRODUCT((nNIA=A882)*(nCUENTA=1)*(COUNTIF(CONFIG_ASIGNATURAS!$B$7:$B$27,nASIG)&gt;0)*1),"")))</f>
        <v/>
      </c>
      <c r="H882" t="str">
        <f>IF(G882="","",IF(G882="[FÓRMULA MANUAL]","",IFERROR(AVERAGEIFS(nNOTA,nNIA,G882,nCUENTA,1,nASIG,"Lenguaje Musical"),"")))</f>
        <v/>
      </c>
      <c r="I882" t="str">
        <f>IF(G882="","",IF(G882="[FÓRMULA MANUAL]","",IFERROR(AVERAGEIFS(nNOTA,nNIA,G882,nCUENTA,1,nASIG,"Orquesta/Banda/Conjunto"),"")))</f>
        <v/>
      </c>
      <c r="J882" t="str">
        <f>IF(G882="","",IF(G882="[FÓRMULA MANUAL]","",IFERROR(AVERAGEIFS(nNOTA,nNIA,G882,nCUENTA,1,nASIG,"Conjunto"),"")))</f>
        <v/>
      </c>
      <c r="K882" t="str">
        <f>IF(G882="","",IF(G882="[FÓRMULA MANUAL]","",IFERROR(SUMPRODUCT((nNIA=G882)*(nCUENTA=1)*(COUNTIF(CONFIG_ASIGNATURAS!$B$7:$B$27,nASIG)&gt;0)*(nNOTA))/SUMPRODUCT((nNIA=G882)*(nCUENTA=1)*(COUNTIF(CONFIG_ASIGNATURAS!$B$7:$B$27,nASIG)&gt;0)*1),"")))</f>
        <v/>
      </c>
      <c r="N882" t="str">
        <f>IF(M882="","",IF(M882="[FÓRMULA MANUAL]","",IFERROR(AVERAGEIFS(nNOTA,nNIA,M882,nCUENTA,1,nASIG,"Armonía"),"")))</f>
        <v/>
      </c>
      <c r="O882" t="str">
        <f>IF(M882="","",IF(M882="[FÓRMULA MANUAL]","",IFERROR(AVERAGEIFS(nNOTA,nNIA,M882,nCUENTA,1,nASIG,"Orquesta/Banda/Conjunto"),"")))</f>
        <v/>
      </c>
      <c r="P882" t="str">
        <f>IF(M882="","",IF(M882="[FÓRMULA MANUAL]","",IFERROR(AVERAGEIFS(nNOTA,nNIA,M882,nCUENTA,1,nASIG,"Música de Cámara"),"")))</f>
        <v/>
      </c>
      <c r="Q882" t="str">
        <f>IF(M882="","",IF(M882="[FÓRMULA MANUAL]","",IFERROR(SUMPRODUCT((nNIA=M882)*(nCUENTA=1)*(COUNTIF(CONFIG_ASIGNATURAS!$B$7:$B$27,nASIG)&gt;0)*(nNOTA))/SUMPRODUCT((nNIA=M882)*(nCUENTA=1)*(COUNTIF(CONFIG_ASIGNATURAS!$B$7:$B$27,nASIG)&gt;0)*1),"")))</f>
        <v/>
      </c>
      <c r="T882" t="str">
        <f>IF(S882="","",IF(S882="[FÓRMULA MANUAL]","",IFERROR(AVERAGEIFS(nNOTA,nNIA,S882,nCUENTA,1,nASIG,"Armonía"),"")))</f>
        <v/>
      </c>
      <c r="U882" t="str">
        <f>IF(S882="","",IF(S882="[FÓRMULA MANUAL]","",IFERROR(AVERAGEIFS(nNOTA,nNIA,S882,nCUENTA,1,nASIG,"Orquesta/Banda/Conjunto"),"")))</f>
        <v/>
      </c>
      <c r="V882" t="str">
        <f>IF(S882="","",IF(S882="[FÓRMULA MANUAL]","",IFERROR(AVERAGEIFS(nNOTA,nNIA,S882,nCUENTA,1,nASIG,"Música de Cámara"),"")))</f>
        <v/>
      </c>
      <c r="W882" t="str">
        <f>IF(S882="","",IF(S882="[FÓRMULA MANUAL]","",IFERROR(SUMPRODUCT((nNIA=S882)*(nCUENTA=1)*(COUNTIF(CONFIG_ASIGNATURAS!$B$7:$B$27,nASIG)&gt;0)*(nNOTA))/SUMPRODUCT((nNIA=S882)*(nCUENTA=1)*(COUNTIF(CONFIG_ASIGNATURAS!$B$7:$B$27,nASIG)&gt;0)*1),"")))</f>
        <v/>
      </c>
      <c r="Z882" t="str">
        <f>IF(Y882="","",IF(Y882="[FÓRMULA MANUAL]","",IFERROR(AVERAGEIFS(nNOTA,nNIA,Y882,nCUENTA,1,nASIG,"Análisis"),"")))</f>
        <v/>
      </c>
      <c r="AA882" t="str">
        <f>IF(Y882="","",IF(Y882="[FÓRMULA MANUAL]","",IFERROR(AVERAGEIFS(nNOTA,nNIA,Y882,nCUENTA,1,nASIG,"Orquesta/Banda/Conjunto"),"")))</f>
        <v/>
      </c>
      <c r="AB882" t="str">
        <f>IF(Y882="","",IF(Y882="[FÓRMULA MANUAL]","",IFERROR(AVERAGEIFS(nNOTA,nNIA,Y882,nCUENTA,1,nASIG,"Música de Cámara"),"")))</f>
        <v/>
      </c>
      <c r="AC882" t="str">
        <f>IF(Y882="","",IF(Y882="[FÓRMULA MANUAL]","",IFERROR(SUMPRODUCT((nNIA=Y882)*(nCUENTA=1)*(COUNTIF(CONFIG_ASIGNATURAS!$B$7:$B$27,nASIG)&gt;0)*(nNOTA))/SUMPRODUCT((nNIA=Y882)*(nCUENTA=1)*(COUNTIF(CONFIG_ASIGNATURAS!$B$7:$B$27,nASIG)&gt;0)*1),"")))</f>
        <v/>
      </c>
      <c r="AF882" t="str">
        <f>IF(AE882="","",IF(AE882="[FÓRMULA MANUAL]","",IFERROR(AVERAGEIFS(nNOTA,nNIA,AE882,nCUENTA,1,nASIG,"Análisis"),"")))</f>
        <v/>
      </c>
      <c r="AG882" t="str">
        <f>IF(AE882="","",IF(AE882="[FÓRMULA MANUAL]","",IFERROR(AVERAGEIFS(nNOTA,nNIA,AE882,nCUENTA,1,nASIG,"Orquesta/Banda/Conjunto"),"")))</f>
        <v/>
      </c>
      <c r="AH882" t="str">
        <f>IF(AE882="","",IF(AE882="[FÓRMULA MANUAL]","",IFERROR(AVERAGEIFS(nNOTA,nNIA,AE882,nCUENTA,1,nASIG,"Música de Cámara"),"")))</f>
        <v/>
      </c>
      <c r="AI882" t="str">
        <f>IF(AE882="","",IF(AE882="[FÓRMULA MANUAL]","",IFERROR(SUMPRODUCT((nNIA=AE882)*(nCUENTA=1)*(COUNTIF(CONFIG_ASIGNATURAS!$B$7:$B$27,nASIG)&gt;0)*(nNOTA))/SUMPRODUCT((nNIA=AE882)*(nCUENTA=1)*(COUNTIF(CONFIG_ASIGNATURAS!$B$7:$B$27,nASIG)&gt;0)*1),"")))</f>
        <v/>
      </c>
    </row>
    <row r="883" spans="2:35" x14ac:dyDescent="0.2">
      <c r="B883" t="str">
        <f>IF(A883="","",IF(A883="[FÓRMULA MANUAL]","",IFERROR(AVERAGEIFS(nNOTA,nNIA,A883,nCUENTA,1,nASIG,"Lenguaje Musical"),"")))</f>
        <v/>
      </c>
      <c r="C883" t="str">
        <f>IF(A883="","",IF(A883="[FÓRMULA MANUAL]","",IFERROR(AVERAGEIFS(nNOTA,nNIA,A883,nCUENTA,1,nASIG,"Orquesta/Banda/Conjunto"),"")))</f>
        <v/>
      </c>
      <c r="D883" t="str">
        <f>IF(A883="","",IF(A883="[FÓRMULA MANUAL]","",IFERROR(AVERAGEIFS(nNOTA,nNIA,A883,nCUENTA,1,nASIG,"Conjunto"),"")))</f>
        <v/>
      </c>
      <c r="E883" t="str">
        <f>IF(A883="","",IF(A883="[FÓRMULA MANUAL]","",IFERROR(SUMPRODUCT((nNIA=A883)*(nCUENTA=1)*(COUNTIF(CONFIG_ASIGNATURAS!$B$7:$B$27,nASIG)&gt;0)*(nNOTA))/SUMPRODUCT((nNIA=A883)*(nCUENTA=1)*(COUNTIF(CONFIG_ASIGNATURAS!$B$7:$B$27,nASIG)&gt;0)*1),"")))</f>
        <v/>
      </c>
      <c r="H883" t="str">
        <f>IF(G883="","",IF(G883="[FÓRMULA MANUAL]","",IFERROR(AVERAGEIFS(nNOTA,nNIA,G883,nCUENTA,1,nASIG,"Lenguaje Musical"),"")))</f>
        <v/>
      </c>
      <c r="I883" t="str">
        <f>IF(G883="","",IF(G883="[FÓRMULA MANUAL]","",IFERROR(AVERAGEIFS(nNOTA,nNIA,G883,nCUENTA,1,nASIG,"Orquesta/Banda/Conjunto"),"")))</f>
        <v/>
      </c>
      <c r="J883" t="str">
        <f>IF(G883="","",IF(G883="[FÓRMULA MANUAL]","",IFERROR(AVERAGEIFS(nNOTA,nNIA,G883,nCUENTA,1,nASIG,"Conjunto"),"")))</f>
        <v/>
      </c>
      <c r="K883" t="str">
        <f>IF(G883="","",IF(G883="[FÓRMULA MANUAL]","",IFERROR(SUMPRODUCT((nNIA=G883)*(nCUENTA=1)*(COUNTIF(CONFIG_ASIGNATURAS!$B$7:$B$27,nASIG)&gt;0)*(nNOTA))/SUMPRODUCT((nNIA=G883)*(nCUENTA=1)*(COUNTIF(CONFIG_ASIGNATURAS!$B$7:$B$27,nASIG)&gt;0)*1),"")))</f>
        <v/>
      </c>
      <c r="N883" t="str">
        <f>IF(M883="","",IF(M883="[FÓRMULA MANUAL]","",IFERROR(AVERAGEIFS(nNOTA,nNIA,M883,nCUENTA,1,nASIG,"Armonía"),"")))</f>
        <v/>
      </c>
      <c r="O883" t="str">
        <f>IF(M883="","",IF(M883="[FÓRMULA MANUAL]","",IFERROR(AVERAGEIFS(nNOTA,nNIA,M883,nCUENTA,1,nASIG,"Orquesta/Banda/Conjunto"),"")))</f>
        <v/>
      </c>
      <c r="P883" t="str">
        <f>IF(M883="","",IF(M883="[FÓRMULA MANUAL]","",IFERROR(AVERAGEIFS(nNOTA,nNIA,M883,nCUENTA,1,nASIG,"Música de Cámara"),"")))</f>
        <v/>
      </c>
      <c r="Q883" t="str">
        <f>IF(M883="","",IF(M883="[FÓRMULA MANUAL]","",IFERROR(SUMPRODUCT((nNIA=M883)*(nCUENTA=1)*(COUNTIF(CONFIG_ASIGNATURAS!$B$7:$B$27,nASIG)&gt;0)*(nNOTA))/SUMPRODUCT((nNIA=M883)*(nCUENTA=1)*(COUNTIF(CONFIG_ASIGNATURAS!$B$7:$B$27,nASIG)&gt;0)*1),"")))</f>
        <v/>
      </c>
      <c r="T883" t="str">
        <f>IF(S883="","",IF(S883="[FÓRMULA MANUAL]","",IFERROR(AVERAGEIFS(nNOTA,nNIA,S883,nCUENTA,1,nASIG,"Armonía"),"")))</f>
        <v/>
      </c>
      <c r="U883" t="str">
        <f>IF(S883="","",IF(S883="[FÓRMULA MANUAL]","",IFERROR(AVERAGEIFS(nNOTA,nNIA,S883,nCUENTA,1,nASIG,"Orquesta/Banda/Conjunto"),"")))</f>
        <v/>
      </c>
      <c r="V883" t="str">
        <f>IF(S883="","",IF(S883="[FÓRMULA MANUAL]","",IFERROR(AVERAGEIFS(nNOTA,nNIA,S883,nCUENTA,1,nASIG,"Música de Cámara"),"")))</f>
        <v/>
      </c>
      <c r="W883" t="str">
        <f>IF(S883="","",IF(S883="[FÓRMULA MANUAL]","",IFERROR(SUMPRODUCT((nNIA=S883)*(nCUENTA=1)*(COUNTIF(CONFIG_ASIGNATURAS!$B$7:$B$27,nASIG)&gt;0)*(nNOTA))/SUMPRODUCT((nNIA=S883)*(nCUENTA=1)*(COUNTIF(CONFIG_ASIGNATURAS!$B$7:$B$27,nASIG)&gt;0)*1),"")))</f>
        <v/>
      </c>
      <c r="Z883" t="str">
        <f>IF(Y883="","",IF(Y883="[FÓRMULA MANUAL]","",IFERROR(AVERAGEIFS(nNOTA,nNIA,Y883,nCUENTA,1,nASIG,"Análisis"),"")))</f>
        <v/>
      </c>
      <c r="AA883" t="str">
        <f>IF(Y883="","",IF(Y883="[FÓRMULA MANUAL]","",IFERROR(AVERAGEIFS(nNOTA,nNIA,Y883,nCUENTA,1,nASIG,"Orquesta/Banda/Conjunto"),"")))</f>
        <v/>
      </c>
      <c r="AB883" t="str">
        <f>IF(Y883="","",IF(Y883="[FÓRMULA MANUAL]","",IFERROR(AVERAGEIFS(nNOTA,nNIA,Y883,nCUENTA,1,nASIG,"Música de Cámara"),"")))</f>
        <v/>
      </c>
      <c r="AC883" t="str">
        <f>IF(Y883="","",IF(Y883="[FÓRMULA MANUAL]","",IFERROR(SUMPRODUCT((nNIA=Y883)*(nCUENTA=1)*(COUNTIF(CONFIG_ASIGNATURAS!$B$7:$B$27,nASIG)&gt;0)*(nNOTA))/SUMPRODUCT((nNIA=Y883)*(nCUENTA=1)*(COUNTIF(CONFIG_ASIGNATURAS!$B$7:$B$27,nASIG)&gt;0)*1),"")))</f>
        <v/>
      </c>
      <c r="AF883" t="str">
        <f>IF(AE883="","",IF(AE883="[FÓRMULA MANUAL]","",IFERROR(AVERAGEIFS(nNOTA,nNIA,AE883,nCUENTA,1,nASIG,"Análisis"),"")))</f>
        <v/>
      </c>
      <c r="AG883" t="str">
        <f>IF(AE883="","",IF(AE883="[FÓRMULA MANUAL]","",IFERROR(AVERAGEIFS(nNOTA,nNIA,AE883,nCUENTA,1,nASIG,"Orquesta/Banda/Conjunto"),"")))</f>
        <v/>
      </c>
      <c r="AH883" t="str">
        <f>IF(AE883="","",IF(AE883="[FÓRMULA MANUAL]","",IFERROR(AVERAGEIFS(nNOTA,nNIA,AE883,nCUENTA,1,nASIG,"Música de Cámara"),"")))</f>
        <v/>
      </c>
      <c r="AI883" t="str">
        <f>IF(AE883="","",IF(AE883="[FÓRMULA MANUAL]","",IFERROR(SUMPRODUCT((nNIA=AE883)*(nCUENTA=1)*(COUNTIF(CONFIG_ASIGNATURAS!$B$7:$B$27,nASIG)&gt;0)*(nNOTA))/SUMPRODUCT((nNIA=AE883)*(nCUENTA=1)*(COUNTIF(CONFIG_ASIGNATURAS!$B$7:$B$27,nASIG)&gt;0)*1),"")))</f>
        <v/>
      </c>
    </row>
    <row r="884" spans="2:35" x14ac:dyDescent="0.2">
      <c r="B884" t="str">
        <f>IF(A884="","",IF(A884="[FÓRMULA MANUAL]","",IFERROR(AVERAGEIFS(nNOTA,nNIA,A884,nCUENTA,1,nASIG,"Lenguaje Musical"),"")))</f>
        <v/>
      </c>
      <c r="C884" t="str">
        <f>IF(A884="","",IF(A884="[FÓRMULA MANUAL]","",IFERROR(AVERAGEIFS(nNOTA,nNIA,A884,nCUENTA,1,nASIG,"Orquesta/Banda/Conjunto"),"")))</f>
        <v/>
      </c>
      <c r="D884" t="str">
        <f>IF(A884="","",IF(A884="[FÓRMULA MANUAL]","",IFERROR(AVERAGEIFS(nNOTA,nNIA,A884,nCUENTA,1,nASIG,"Conjunto"),"")))</f>
        <v/>
      </c>
      <c r="E884" t="str">
        <f>IF(A884="","",IF(A884="[FÓRMULA MANUAL]","",IFERROR(SUMPRODUCT((nNIA=A884)*(nCUENTA=1)*(COUNTIF(CONFIG_ASIGNATURAS!$B$7:$B$27,nASIG)&gt;0)*(nNOTA))/SUMPRODUCT((nNIA=A884)*(nCUENTA=1)*(COUNTIF(CONFIG_ASIGNATURAS!$B$7:$B$27,nASIG)&gt;0)*1),"")))</f>
        <v/>
      </c>
      <c r="H884" t="str">
        <f>IF(G884="","",IF(G884="[FÓRMULA MANUAL]","",IFERROR(AVERAGEIFS(nNOTA,nNIA,G884,nCUENTA,1,nASIG,"Lenguaje Musical"),"")))</f>
        <v/>
      </c>
      <c r="I884" t="str">
        <f>IF(G884="","",IF(G884="[FÓRMULA MANUAL]","",IFERROR(AVERAGEIFS(nNOTA,nNIA,G884,nCUENTA,1,nASIG,"Orquesta/Banda/Conjunto"),"")))</f>
        <v/>
      </c>
      <c r="J884" t="str">
        <f>IF(G884="","",IF(G884="[FÓRMULA MANUAL]","",IFERROR(AVERAGEIFS(nNOTA,nNIA,G884,nCUENTA,1,nASIG,"Conjunto"),"")))</f>
        <v/>
      </c>
      <c r="K884" t="str">
        <f>IF(G884="","",IF(G884="[FÓRMULA MANUAL]","",IFERROR(SUMPRODUCT((nNIA=G884)*(nCUENTA=1)*(COUNTIF(CONFIG_ASIGNATURAS!$B$7:$B$27,nASIG)&gt;0)*(nNOTA))/SUMPRODUCT((nNIA=G884)*(nCUENTA=1)*(COUNTIF(CONFIG_ASIGNATURAS!$B$7:$B$27,nASIG)&gt;0)*1),"")))</f>
        <v/>
      </c>
      <c r="N884" t="str">
        <f>IF(M884="","",IF(M884="[FÓRMULA MANUAL]","",IFERROR(AVERAGEIFS(nNOTA,nNIA,M884,nCUENTA,1,nASIG,"Armonía"),"")))</f>
        <v/>
      </c>
      <c r="O884" t="str">
        <f>IF(M884="","",IF(M884="[FÓRMULA MANUAL]","",IFERROR(AVERAGEIFS(nNOTA,nNIA,M884,nCUENTA,1,nASIG,"Orquesta/Banda/Conjunto"),"")))</f>
        <v/>
      </c>
      <c r="P884" t="str">
        <f>IF(M884="","",IF(M884="[FÓRMULA MANUAL]","",IFERROR(AVERAGEIFS(nNOTA,nNIA,M884,nCUENTA,1,nASIG,"Música de Cámara"),"")))</f>
        <v/>
      </c>
      <c r="Q884" t="str">
        <f>IF(M884="","",IF(M884="[FÓRMULA MANUAL]","",IFERROR(SUMPRODUCT((nNIA=M884)*(nCUENTA=1)*(COUNTIF(CONFIG_ASIGNATURAS!$B$7:$B$27,nASIG)&gt;0)*(nNOTA))/SUMPRODUCT((nNIA=M884)*(nCUENTA=1)*(COUNTIF(CONFIG_ASIGNATURAS!$B$7:$B$27,nASIG)&gt;0)*1),"")))</f>
        <v/>
      </c>
      <c r="T884" t="str">
        <f>IF(S884="","",IF(S884="[FÓRMULA MANUAL]","",IFERROR(AVERAGEIFS(nNOTA,nNIA,S884,nCUENTA,1,nASIG,"Armonía"),"")))</f>
        <v/>
      </c>
      <c r="U884" t="str">
        <f>IF(S884="","",IF(S884="[FÓRMULA MANUAL]","",IFERROR(AVERAGEIFS(nNOTA,nNIA,S884,nCUENTA,1,nASIG,"Orquesta/Banda/Conjunto"),"")))</f>
        <v/>
      </c>
      <c r="V884" t="str">
        <f>IF(S884="","",IF(S884="[FÓRMULA MANUAL]","",IFERROR(AVERAGEIFS(nNOTA,nNIA,S884,nCUENTA,1,nASIG,"Música de Cámara"),"")))</f>
        <v/>
      </c>
      <c r="W884" t="str">
        <f>IF(S884="","",IF(S884="[FÓRMULA MANUAL]","",IFERROR(SUMPRODUCT((nNIA=S884)*(nCUENTA=1)*(COUNTIF(CONFIG_ASIGNATURAS!$B$7:$B$27,nASIG)&gt;0)*(nNOTA))/SUMPRODUCT((nNIA=S884)*(nCUENTA=1)*(COUNTIF(CONFIG_ASIGNATURAS!$B$7:$B$27,nASIG)&gt;0)*1),"")))</f>
        <v/>
      </c>
      <c r="Z884" t="str">
        <f>IF(Y884="","",IF(Y884="[FÓRMULA MANUAL]","",IFERROR(AVERAGEIFS(nNOTA,nNIA,Y884,nCUENTA,1,nASIG,"Análisis"),"")))</f>
        <v/>
      </c>
      <c r="AA884" t="str">
        <f>IF(Y884="","",IF(Y884="[FÓRMULA MANUAL]","",IFERROR(AVERAGEIFS(nNOTA,nNIA,Y884,nCUENTA,1,nASIG,"Orquesta/Banda/Conjunto"),"")))</f>
        <v/>
      </c>
      <c r="AB884" t="str">
        <f>IF(Y884="","",IF(Y884="[FÓRMULA MANUAL]","",IFERROR(AVERAGEIFS(nNOTA,nNIA,Y884,nCUENTA,1,nASIG,"Música de Cámara"),"")))</f>
        <v/>
      </c>
      <c r="AC884" t="str">
        <f>IF(Y884="","",IF(Y884="[FÓRMULA MANUAL]","",IFERROR(SUMPRODUCT((nNIA=Y884)*(nCUENTA=1)*(COUNTIF(CONFIG_ASIGNATURAS!$B$7:$B$27,nASIG)&gt;0)*(nNOTA))/SUMPRODUCT((nNIA=Y884)*(nCUENTA=1)*(COUNTIF(CONFIG_ASIGNATURAS!$B$7:$B$27,nASIG)&gt;0)*1),"")))</f>
        <v/>
      </c>
      <c r="AF884" t="str">
        <f>IF(AE884="","",IF(AE884="[FÓRMULA MANUAL]","",IFERROR(AVERAGEIFS(nNOTA,nNIA,AE884,nCUENTA,1,nASIG,"Análisis"),"")))</f>
        <v/>
      </c>
      <c r="AG884" t="str">
        <f>IF(AE884="","",IF(AE884="[FÓRMULA MANUAL]","",IFERROR(AVERAGEIFS(nNOTA,nNIA,AE884,nCUENTA,1,nASIG,"Orquesta/Banda/Conjunto"),"")))</f>
        <v/>
      </c>
      <c r="AH884" t="str">
        <f>IF(AE884="","",IF(AE884="[FÓRMULA MANUAL]","",IFERROR(AVERAGEIFS(nNOTA,nNIA,AE884,nCUENTA,1,nASIG,"Música de Cámara"),"")))</f>
        <v/>
      </c>
      <c r="AI884" t="str">
        <f>IF(AE884="","",IF(AE884="[FÓRMULA MANUAL]","",IFERROR(SUMPRODUCT((nNIA=AE884)*(nCUENTA=1)*(COUNTIF(CONFIG_ASIGNATURAS!$B$7:$B$27,nASIG)&gt;0)*(nNOTA))/SUMPRODUCT((nNIA=AE884)*(nCUENTA=1)*(COUNTIF(CONFIG_ASIGNATURAS!$B$7:$B$27,nASIG)&gt;0)*1),"")))</f>
        <v/>
      </c>
    </row>
    <row r="885" spans="2:35" x14ac:dyDescent="0.2">
      <c r="B885" t="str">
        <f>IF(A885="","",IF(A885="[FÓRMULA MANUAL]","",IFERROR(AVERAGEIFS(nNOTA,nNIA,A885,nCUENTA,1,nASIG,"Lenguaje Musical"),"")))</f>
        <v/>
      </c>
      <c r="C885" t="str">
        <f>IF(A885="","",IF(A885="[FÓRMULA MANUAL]","",IFERROR(AVERAGEIFS(nNOTA,nNIA,A885,nCUENTA,1,nASIG,"Orquesta/Banda/Conjunto"),"")))</f>
        <v/>
      </c>
      <c r="D885" t="str">
        <f>IF(A885="","",IF(A885="[FÓRMULA MANUAL]","",IFERROR(AVERAGEIFS(nNOTA,nNIA,A885,nCUENTA,1,nASIG,"Conjunto"),"")))</f>
        <v/>
      </c>
      <c r="E885" t="str">
        <f>IF(A885="","",IF(A885="[FÓRMULA MANUAL]","",IFERROR(SUMPRODUCT((nNIA=A885)*(nCUENTA=1)*(COUNTIF(CONFIG_ASIGNATURAS!$B$7:$B$27,nASIG)&gt;0)*(nNOTA))/SUMPRODUCT((nNIA=A885)*(nCUENTA=1)*(COUNTIF(CONFIG_ASIGNATURAS!$B$7:$B$27,nASIG)&gt;0)*1),"")))</f>
        <v/>
      </c>
      <c r="H885" t="str">
        <f>IF(G885="","",IF(G885="[FÓRMULA MANUAL]","",IFERROR(AVERAGEIFS(nNOTA,nNIA,G885,nCUENTA,1,nASIG,"Lenguaje Musical"),"")))</f>
        <v/>
      </c>
      <c r="I885" t="str">
        <f>IF(G885="","",IF(G885="[FÓRMULA MANUAL]","",IFERROR(AVERAGEIFS(nNOTA,nNIA,G885,nCUENTA,1,nASIG,"Orquesta/Banda/Conjunto"),"")))</f>
        <v/>
      </c>
      <c r="J885" t="str">
        <f>IF(G885="","",IF(G885="[FÓRMULA MANUAL]","",IFERROR(AVERAGEIFS(nNOTA,nNIA,G885,nCUENTA,1,nASIG,"Conjunto"),"")))</f>
        <v/>
      </c>
      <c r="K885" t="str">
        <f>IF(G885="","",IF(G885="[FÓRMULA MANUAL]","",IFERROR(SUMPRODUCT((nNIA=G885)*(nCUENTA=1)*(COUNTIF(CONFIG_ASIGNATURAS!$B$7:$B$27,nASIG)&gt;0)*(nNOTA))/SUMPRODUCT((nNIA=G885)*(nCUENTA=1)*(COUNTIF(CONFIG_ASIGNATURAS!$B$7:$B$27,nASIG)&gt;0)*1),"")))</f>
        <v/>
      </c>
      <c r="N885" t="str">
        <f>IF(M885="","",IF(M885="[FÓRMULA MANUAL]","",IFERROR(AVERAGEIFS(nNOTA,nNIA,M885,nCUENTA,1,nASIG,"Armonía"),"")))</f>
        <v/>
      </c>
      <c r="O885" t="str">
        <f>IF(M885="","",IF(M885="[FÓRMULA MANUAL]","",IFERROR(AVERAGEIFS(nNOTA,nNIA,M885,nCUENTA,1,nASIG,"Orquesta/Banda/Conjunto"),"")))</f>
        <v/>
      </c>
      <c r="P885" t="str">
        <f>IF(M885="","",IF(M885="[FÓRMULA MANUAL]","",IFERROR(AVERAGEIFS(nNOTA,nNIA,M885,nCUENTA,1,nASIG,"Música de Cámara"),"")))</f>
        <v/>
      </c>
      <c r="Q885" t="str">
        <f>IF(M885="","",IF(M885="[FÓRMULA MANUAL]","",IFERROR(SUMPRODUCT((nNIA=M885)*(nCUENTA=1)*(COUNTIF(CONFIG_ASIGNATURAS!$B$7:$B$27,nASIG)&gt;0)*(nNOTA))/SUMPRODUCT((nNIA=M885)*(nCUENTA=1)*(COUNTIF(CONFIG_ASIGNATURAS!$B$7:$B$27,nASIG)&gt;0)*1),"")))</f>
        <v/>
      </c>
      <c r="T885" t="str">
        <f>IF(S885="","",IF(S885="[FÓRMULA MANUAL]","",IFERROR(AVERAGEIFS(nNOTA,nNIA,S885,nCUENTA,1,nASIG,"Armonía"),"")))</f>
        <v/>
      </c>
      <c r="U885" t="str">
        <f>IF(S885="","",IF(S885="[FÓRMULA MANUAL]","",IFERROR(AVERAGEIFS(nNOTA,nNIA,S885,nCUENTA,1,nASIG,"Orquesta/Banda/Conjunto"),"")))</f>
        <v/>
      </c>
      <c r="V885" t="str">
        <f>IF(S885="","",IF(S885="[FÓRMULA MANUAL]","",IFERROR(AVERAGEIFS(nNOTA,nNIA,S885,nCUENTA,1,nASIG,"Música de Cámara"),"")))</f>
        <v/>
      </c>
      <c r="W885" t="str">
        <f>IF(S885="","",IF(S885="[FÓRMULA MANUAL]","",IFERROR(SUMPRODUCT((nNIA=S885)*(nCUENTA=1)*(COUNTIF(CONFIG_ASIGNATURAS!$B$7:$B$27,nASIG)&gt;0)*(nNOTA))/SUMPRODUCT((nNIA=S885)*(nCUENTA=1)*(COUNTIF(CONFIG_ASIGNATURAS!$B$7:$B$27,nASIG)&gt;0)*1),"")))</f>
        <v/>
      </c>
      <c r="Z885" t="str">
        <f>IF(Y885="","",IF(Y885="[FÓRMULA MANUAL]","",IFERROR(AVERAGEIFS(nNOTA,nNIA,Y885,nCUENTA,1,nASIG,"Análisis"),"")))</f>
        <v/>
      </c>
      <c r="AA885" t="str">
        <f>IF(Y885="","",IF(Y885="[FÓRMULA MANUAL]","",IFERROR(AVERAGEIFS(nNOTA,nNIA,Y885,nCUENTA,1,nASIG,"Orquesta/Banda/Conjunto"),"")))</f>
        <v/>
      </c>
      <c r="AB885" t="str">
        <f>IF(Y885="","",IF(Y885="[FÓRMULA MANUAL]","",IFERROR(AVERAGEIFS(nNOTA,nNIA,Y885,nCUENTA,1,nASIG,"Música de Cámara"),"")))</f>
        <v/>
      </c>
      <c r="AC885" t="str">
        <f>IF(Y885="","",IF(Y885="[FÓRMULA MANUAL]","",IFERROR(SUMPRODUCT((nNIA=Y885)*(nCUENTA=1)*(COUNTIF(CONFIG_ASIGNATURAS!$B$7:$B$27,nASIG)&gt;0)*(nNOTA))/SUMPRODUCT((nNIA=Y885)*(nCUENTA=1)*(COUNTIF(CONFIG_ASIGNATURAS!$B$7:$B$27,nASIG)&gt;0)*1),"")))</f>
        <v/>
      </c>
      <c r="AF885" t="str">
        <f>IF(AE885="","",IF(AE885="[FÓRMULA MANUAL]","",IFERROR(AVERAGEIFS(nNOTA,nNIA,AE885,nCUENTA,1,nASIG,"Análisis"),"")))</f>
        <v/>
      </c>
      <c r="AG885" t="str">
        <f>IF(AE885="","",IF(AE885="[FÓRMULA MANUAL]","",IFERROR(AVERAGEIFS(nNOTA,nNIA,AE885,nCUENTA,1,nASIG,"Orquesta/Banda/Conjunto"),"")))</f>
        <v/>
      </c>
      <c r="AH885" t="str">
        <f>IF(AE885="","",IF(AE885="[FÓRMULA MANUAL]","",IFERROR(AVERAGEIFS(nNOTA,nNIA,AE885,nCUENTA,1,nASIG,"Música de Cámara"),"")))</f>
        <v/>
      </c>
      <c r="AI885" t="str">
        <f>IF(AE885="","",IF(AE885="[FÓRMULA MANUAL]","",IFERROR(SUMPRODUCT((nNIA=AE885)*(nCUENTA=1)*(COUNTIF(CONFIG_ASIGNATURAS!$B$7:$B$27,nASIG)&gt;0)*(nNOTA))/SUMPRODUCT((nNIA=AE885)*(nCUENTA=1)*(COUNTIF(CONFIG_ASIGNATURAS!$B$7:$B$27,nASIG)&gt;0)*1),"")))</f>
        <v/>
      </c>
    </row>
    <row r="886" spans="2:35" x14ac:dyDescent="0.2">
      <c r="B886" t="str">
        <f>IF(A886="","",IF(A886="[FÓRMULA MANUAL]","",IFERROR(AVERAGEIFS(nNOTA,nNIA,A886,nCUENTA,1,nASIG,"Lenguaje Musical"),"")))</f>
        <v/>
      </c>
      <c r="C886" t="str">
        <f>IF(A886="","",IF(A886="[FÓRMULA MANUAL]","",IFERROR(AVERAGEIFS(nNOTA,nNIA,A886,nCUENTA,1,nASIG,"Orquesta/Banda/Conjunto"),"")))</f>
        <v/>
      </c>
      <c r="D886" t="str">
        <f>IF(A886="","",IF(A886="[FÓRMULA MANUAL]","",IFERROR(AVERAGEIFS(nNOTA,nNIA,A886,nCUENTA,1,nASIG,"Conjunto"),"")))</f>
        <v/>
      </c>
      <c r="E886" t="str">
        <f>IF(A886="","",IF(A886="[FÓRMULA MANUAL]","",IFERROR(SUMPRODUCT((nNIA=A886)*(nCUENTA=1)*(COUNTIF(CONFIG_ASIGNATURAS!$B$7:$B$27,nASIG)&gt;0)*(nNOTA))/SUMPRODUCT((nNIA=A886)*(nCUENTA=1)*(COUNTIF(CONFIG_ASIGNATURAS!$B$7:$B$27,nASIG)&gt;0)*1),"")))</f>
        <v/>
      </c>
      <c r="H886" t="str">
        <f>IF(G886="","",IF(G886="[FÓRMULA MANUAL]","",IFERROR(AVERAGEIFS(nNOTA,nNIA,G886,nCUENTA,1,nASIG,"Lenguaje Musical"),"")))</f>
        <v/>
      </c>
      <c r="I886" t="str">
        <f>IF(G886="","",IF(G886="[FÓRMULA MANUAL]","",IFERROR(AVERAGEIFS(nNOTA,nNIA,G886,nCUENTA,1,nASIG,"Orquesta/Banda/Conjunto"),"")))</f>
        <v/>
      </c>
      <c r="J886" t="str">
        <f>IF(G886="","",IF(G886="[FÓRMULA MANUAL]","",IFERROR(AVERAGEIFS(nNOTA,nNIA,G886,nCUENTA,1,nASIG,"Conjunto"),"")))</f>
        <v/>
      </c>
      <c r="K886" t="str">
        <f>IF(G886="","",IF(G886="[FÓRMULA MANUAL]","",IFERROR(SUMPRODUCT((nNIA=G886)*(nCUENTA=1)*(COUNTIF(CONFIG_ASIGNATURAS!$B$7:$B$27,nASIG)&gt;0)*(nNOTA))/SUMPRODUCT((nNIA=G886)*(nCUENTA=1)*(COUNTIF(CONFIG_ASIGNATURAS!$B$7:$B$27,nASIG)&gt;0)*1),"")))</f>
        <v/>
      </c>
      <c r="N886" t="str">
        <f>IF(M886="","",IF(M886="[FÓRMULA MANUAL]","",IFERROR(AVERAGEIFS(nNOTA,nNIA,M886,nCUENTA,1,nASIG,"Armonía"),"")))</f>
        <v/>
      </c>
      <c r="O886" t="str">
        <f>IF(M886="","",IF(M886="[FÓRMULA MANUAL]","",IFERROR(AVERAGEIFS(nNOTA,nNIA,M886,nCUENTA,1,nASIG,"Orquesta/Banda/Conjunto"),"")))</f>
        <v/>
      </c>
      <c r="P886" t="str">
        <f>IF(M886="","",IF(M886="[FÓRMULA MANUAL]","",IFERROR(AVERAGEIFS(nNOTA,nNIA,M886,nCUENTA,1,nASIG,"Música de Cámara"),"")))</f>
        <v/>
      </c>
      <c r="Q886" t="str">
        <f>IF(M886="","",IF(M886="[FÓRMULA MANUAL]","",IFERROR(SUMPRODUCT((nNIA=M886)*(nCUENTA=1)*(COUNTIF(CONFIG_ASIGNATURAS!$B$7:$B$27,nASIG)&gt;0)*(nNOTA))/SUMPRODUCT((nNIA=M886)*(nCUENTA=1)*(COUNTIF(CONFIG_ASIGNATURAS!$B$7:$B$27,nASIG)&gt;0)*1),"")))</f>
        <v/>
      </c>
      <c r="T886" t="str">
        <f>IF(S886="","",IF(S886="[FÓRMULA MANUAL]","",IFERROR(AVERAGEIFS(nNOTA,nNIA,S886,nCUENTA,1,nASIG,"Armonía"),"")))</f>
        <v/>
      </c>
      <c r="U886" t="str">
        <f>IF(S886="","",IF(S886="[FÓRMULA MANUAL]","",IFERROR(AVERAGEIFS(nNOTA,nNIA,S886,nCUENTA,1,nASIG,"Orquesta/Banda/Conjunto"),"")))</f>
        <v/>
      </c>
      <c r="V886" t="str">
        <f>IF(S886="","",IF(S886="[FÓRMULA MANUAL]","",IFERROR(AVERAGEIFS(nNOTA,nNIA,S886,nCUENTA,1,nASIG,"Música de Cámara"),"")))</f>
        <v/>
      </c>
      <c r="W886" t="str">
        <f>IF(S886="","",IF(S886="[FÓRMULA MANUAL]","",IFERROR(SUMPRODUCT((nNIA=S886)*(nCUENTA=1)*(COUNTIF(CONFIG_ASIGNATURAS!$B$7:$B$27,nASIG)&gt;0)*(nNOTA))/SUMPRODUCT((nNIA=S886)*(nCUENTA=1)*(COUNTIF(CONFIG_ASIGNATURAS!$B$7:$B$27,nASIG)&gt;0)*1),"")))</f>
        <v/>
      </c>
      <c r="Z886" t="str">
        <f>IF(Y886="","",IF(Y886="[FÓRMULA MANUAL]","",IFERROR(AVERAGEIFS(nNOTA,nNIA,Y886,nCUENTA,1,nASIG,"Análisis"),"")))</f>
        <v/>
      </c>
      <c r="AA886" t="str">
        <f>IF(Y886="","",IF(Y886="[FÓRMULA MANUAL]","",IFERROR(AVERAGEIFS(nNOTA,nNIA,Y886,nCUENTA,1,nASIG,"Orquesta/Banda/Conjunto"),"")))</f>
        <v/>
      </c>
      <c r="AB886" t="str">
        <f>IF(Y886="","",IF(Y886="[FÓRMULA MANUAL]","",IFERROR(AVERAGEIFS(nNOTA,nNIA,Y886,nCUENTA,1,nASIG,"Música de Cámara"),"")))</f>
        <v/>
      </c>
      <c r="AC886" t="str">
        <f>IF(Y886="","",IF(Y886="[FÓRMULA MANUAL]","",IFERROR(SUMPRODUCT((nNIA=Y886)*(nCUENTA=1)*(COUNTIF(CONFIG_ASIGNATURAS!$B$7:$B$27,nASIG)&gt;0)*(nNOTA))/SUMPRODUCT((nNIA=Y886)*(nCUENTA=1)*(COUNTIF(CONFIG_ASIGNATURAS!$B$7:$B$27,nASIG)&gt;0)*1),"")))</f>
        <v/>
      </c>
      <c r="AF886" t="str">
        <f>IF(AE886="","",IF(AE886="[FÓRMULA MANUAL]","",IFERROR(AVERAGEIFS(nNOTA,nNIA,AE886,nCUENTA,1,nASIG,"Análisis"),"")))</f>
        <v/>
      </c>
      <c r="AG886" t="str">
        <f>IF(AE886="","",IF(AE886="[FÓRMULA MANUAL]","",IFERROR(AVERAGEIFS(nNOTA,nNIA,AE886,nCUENTA,1,nASIG,"Orquesta/Banda/Conjunto"),"")))</f>
        <v/>
      </c>
      <c r="AH886" t="str">
        <f>IF(AE886="","",IF(AE886="[FÓRMULA MANUAL]","",IFERROR(AVERAGEIFS(nNOTA,nNIA,AE886,nCUENTA,1,nASIG,"Música de Cámara"),"")))</f>
        <v/>
      </c>
      <c r="AI886" t="str">
        <f>IF(AE886="","",IF(AE886="[FÓRMULA MANUAL]","",IFERROR(SUMPRODUCT((nNIA=AE886)*(nCUENTA=1)*(COUNTIF(CONFIG_ASIGNATURAS!$B$7:$B$27,nASIG)&gt;0)*(nNOTA))/SUMPRODUCT((nNIA=AE886)*(nCUENTA=1)*(COUNTIF(CONFIG_ASIGNATURAS!$B$7:$B$27,nASIG)&gt;0)*1),"")))</f>
        <v/>
      </c>
    </row>
    <row r="887" spans="2:35" x14ac:dyDescent="0.2">
      <c r="B887" t="str">
        <f>IF(A887="","",IF(A887="[FÓRMULA MANUAL]","",IFERROR(AVERAGEIFS(nNOTA,nNIA,A887,nCUENTA,1,nASIG,"Lenguaje Musical"),"")))</f>
        <v/>
      </c>
      <c r="C887" t="str">
        <f>IF(A887="","",IF(A887="[FÓRMULA MANUAL]","",IFERROR(AVERAGEIFS(nNOTA,nNIA,A887,nCUENTA,1,nASIG,"Orquesta/Banda/Conjunto"),"")))</f>
        <v/>
      </c>
      <c r="D887" t="str">
        <f>IF(A887="","",IF(A887="[FÓRMULA MANUAL]","",IFERROR(AVERAGEIFS(nNOTA,nNIA,A887,nCUENTA,1,nASIG,"Conjunto"),"")))</f>
        <v/>
      </c>
      <c r="E887" t="str">
        <f>IF(A887="","",IF(A887="[FÓRMULA MANUAL]","",IFERROR(SUMPRODUCT((nNIA=A887)*(nCUENTA=1)*(COUNTIF(CONFIG_ASIGNATURAS!$B$7:$B$27,nASIG)&gt;0)*(nNOTA))/SUMPRODUCT((nNIA=A887)*(nCUENTA=1)*(COUNTIF(CONFIG_ASIGNATURAS!$B$7:$B$27,nASIG)&gt;0)*1),"")))</f>
        <v/>
      </c>
      <c r="H887" t="str">
        <f>IF(G887="","",IF(G887="[FÓRMULA MANUAL]","",IFERROR(AVERAGEIFS(nNOTA,nNIA,G887,nCUENTA,1,nASIG,"Lenguaje Musical"),"")))</f>
        <v/>
      </c>
      <c r="I887" t="str">
        <f>IF(G887="","",IF(G887="[FÓRMULA MANUAL]","",IFERROR(AVERAGEIFS(nNOTA,nNIA,G887,nCUENTA,1,nASIG,"Orquesta/Banda/Conjunto"),"")))</f>
        <v/>
      </c>
      <c r="J887" t="str">
        <f>IF(G887="","",IF(G887="[FÓRMULA MANUAL]","",IFERROR(AVERAGEIFS(nNOTA,nNIA,G887,nCUENTA,1,nASIG,"Conjunto"),"")))</f>
        <v/>
      </c>
      <c r="K887" t="str">
        <f>IF(G887="","",IF(G887="[FÓRMULA MANUAL]","",IFERROR(SUMPRODUCT((nNIA=G887)*(nCUENTA=1)*(COUNTIF(CONFIG_ASIGNATURAS!$B$7:$B$27,nASIG)&gt;0)*(nNOTA))/SUMPRODUCT((nNIA=G887)*(nCUENTA=1)*(COUNTIF(CONFIG_ASIGNATURAS!$B$7:$B$27,nASIG)&gt;0)*1),"")))</f>
        <v/>
      </c>
      <c r="N887" t="str">
        <f>IF(M887="","",IF(M887="[FÓRMULA MANUAL]","",IFERROR(AVERAGEIFS(nNOTA,nNIA,M887,nCUENTA,1,nASIG,"Armonía"),"")))</f>
        <v/>
      </c>
      <c r="O887" t="str">
        <f>IF(M887="","",IF(M887="[FÓRMULA MANUAL]","",IFERROR(AVERAGEIFS(nNOTA,nNIA,M887,nCUENTA,1,nASIG,"Orquesta/Banda/Conjunto"),"")))</f>
        <v/>
      </c>
      <c r="P887" t="str">
        <f>IF(M887="","",IF(M887="[FÓRMULA MANUAL]","",IFERROR(AVERAGEIFS(nNOTA,nNIA,M887,nCUENTA,1,nASIG,"Música de Cámara"),"")))</f>
        <v/>
      </c>
      <c r="Q887" t="str">
        <f>IF(M887="","",IF(M887="[FÓRMULA MANUAL]","",IFERROR(SUMPRODUCT((nNIA=M887)*(nCUENTA=1)*(COUNTIF(CONFIG_ASIGNATURAS!$B$7:$B$27,nASIG)&gt;0)*(nNOTA))/SUMPRODUCT((nNIA=M887)*(nCUENTA=1)*(COUNTIF(CONFIG_ASIGNATURAS!$B$7:$B$27,nASIG)&gt;0)*1),"")))</f>
        <v/>
      </c>
      <c r="T887" t="str">
        <f>IF(S887="","",IF(S887="[FÓRMULA MANUAL]","",IFERROR(AVERAGEIFS(nNOTA,nNIA,S887,nCUENTA,1,nASIG,"Armonía"),"")))</f>
        <v/>
      </c>
      <c r="U887" t="str">
        <f>IF(S887="","",IF(S887="[FÓRMULA MANUAL]","",IFERROR(AVERAGEIFS(nNOTA,nNIA,S887,nCUENTA,1,nASIG,"Orquesta/Banda/Conjunto"),"")))</f>
        <v/>
      </c>
      <c r="V887" t="str">
        <f>IF(S887="","",IF(S887="[FÓRMULA MANUAL]","",IFERROR(AVERAGEIFS(nNOTA,nNIA,S887,nCUENTA,1,nASIG,"Música de Cámara"),"")))</f>
        <v/>
      </c>
      <c r="W887" t="str">
        <f>IF(S887="","",IF(S887="[FÓRMULA MANUAL]","",IFERROR(SUMPRODUCT((nNIA=S887)*(nCUENTA=1)*(COUNTIF(CONFIG_ASIGNATURAS!$B$7:$B$27,nASIG)&gt;0)*(nNOTA))/SUMPRODUCT((nNIA=S887)*(nCUENTA=1)*(COUNTIF(CONFIG_ASIGNATURAS!$B$7:$B$27,nASIG)&gt;0)*1),"")))</f>
        <v/>
      </c>
      <c r="Z887" t="str">
        <f>IF(Y887="","",IF(Y887="[FÓRMULA MANUAL]","",IFERROR(AVERAGEIFS(nNOTA,nNIA,Y887,nCUENTA,1,nASIG,"Análisis"),"")))</f>
        <v/>
      </c>
      <c r="AA887" t="str">
        <f>IF(Y887="","",IF(Y887="[FÓRMULA MANUAL]","",IFERROR(AVERAGEIFS(nNOTA,nNIA,Y887,nCUENTA,1,nASIG,"Orquesta/Banda/Conjunto"),"")))</f>
        <v/>
      </c>
      <c r="AB887" t="str">
        <f>IF(Y887="","",IF(Y887="[FÓRMULA MANUAL]","",IFERROR(AVERAGEIFS(nNOTA,nNIA,Y887,nCUENTA,1,nASIG,"Música de Cámara"),"")))</f>
        <v/>
      </c>
      <c r="AC887" t="str">
        <f>IF(Y887="","",IF(Y887="[FÓRMULA MANUAL]","",IFERROR(SUMPRODUCT((nNIA=Y887)*(nCUENTA=1)*(COUNTIF(CONFIG_ASIGNATURAS!$B$7:$B$27,nASIG)&gt;0)*(nNOTA))/SUMPRODUCT((nNIA=Y887)*(nCUENTA=1)*(COUNTIF(CONFIG_ASIGNATURAS!$B$7:$B$27,nASIG)&gt;0)*1),"")))</f>
        <v/>
      </c>
      <c r="AF887" t="str">
        <f>IF(AE887="","",IF(AE887="[FÓRMULA MANUAL]","",IFERROR(AVERAGEIFS(nNOTA,nNIA,AE887,nCUENTA,1,nASIG,"Análisis"),"")))</f>
        <v/>
      </c>
      <c r="AG887" t="str">
        <f>IF(AE887="","",IF(AE887="[FÓRMULA MANUAL]","",IFERROR(AVERAGEIFS(nNOTA,nNIA,AE887,nCUENTA,1,nASIG,"Orquesta/Banda/Conjunto"),"")))</f>
        <v/>
      </c>
      <c r="AH887" t="str">
        <f>IF(AE887="","",IF(AE887="[FÓRMULA MANUAL]","",IFERROR(AVERAGEIFS(nNOTA,nNIA,AE887,nCUENTA,1,nASIG,"Música de Cámara"),"")))</f>
        <v/>
      </c>
      <c r="AI887" t="str">
        <f>IF(AE887="","",IF(AE887="[FÓRMULA MANUAL]","",IFERROR(SUMPRODUCT((nNIA=AE887)*(nCUENTA=1)*(COUNTIF(CONFIG_ASIGNATURAS!$B$7:$B$27,nASIG)&gt;0)*(nNOTA))/SUMPRODUCT((nNIA=AE887)*(nCUENTA=1)*(COUNTIF(CONFIG_ASIGNATURAS!$B$7:$B$27,nASIG)&gt;0)*1),"")))</f>
        <v/>
      </c>
    </row>
    <row r="888" spans="2:35" x14ac:dyDescent="0.2">
      <c r="B888" t="str">
        <f>IF(A888="","",IF(A888="[FÓRMULA MANUAL]","",IFERROR(AVERAGEIFS(nNOTA,nNIA,A888,nCUENTA,1,nASIG,"Lenguaje Musical"),"")))</f>
        <v/>
      </c>
      <c r="C888" t="str">
        <f>IF(A888="","",IF(A888="[FÓRMULA MANUAL]","",IFERROR(AVERAGEIFS(nNOTA,nNIA,A888,nCUENTA,1,nASIG,"Orquesta/Banda/Conjunto"),"")))</f>
        <v/>
      </c>
      <c r="D888" t="str">
        <f>IF(A888="","",IF(A888="[FÓRMULA MANUAL]","",IFERROR(AVERAGEIFS(nNOTA,nNIA,A888,nCUENTA,1,nASIG,"Conjunto"),"")))</f>
        <v/>
      </c>
      <c r="E888" t="str">
        <f>IF(A888="","",IF(A888="[FÓRMULA MANUAL]","",IFERROR(SUMPRODUCT((nNIA=A888)*(nCUENTA=1)*(COUNTIF(CONFIG_ASIGNATURAS!$B$7:$B$27,nASIG)&gt;0)*(nNOTA))/SUMPRODUCT((nNIA=A888)*(nCUENTA=1)*(COUNTIF(CONFIG_ASIGNATURAS!$B$7:$B$27,nASIG)&gt;0)*1),"")))</f>
        <v/>
      </c>
      <c r="H888" t="str">
        <f>IF(G888="","",IF(G888="[FÓRMULA MANUAL]","",IFERROR(AVERAGEIFS(nNOTA,nNIA,G888,nCUENTA,1,nASIG,"Lenguaje Musical"),"")))</f>
        <v/>
      </c>
      <c r="I888" t="str">
        <f>IF(G888="","",IF(G888="[FÓRMULA MANUAL]","",IFERROR(AVERAGEIFS(nNOTA,nNIA,G888,nCUENTA,1,nASIG,"Orquesta/Banda/Conjunto"),"")))</f>
        <v/>
      </c>
      <c r="J888" t="str">
        <f>IF(G888="","",IF(G888="[FÓRMULA MANUAL]","",IFERROR(AVERAGEIFS(nNOTA,nNIA,G888,nCUENTA,1,nASIG,"Conjunto"),"")))</f>
        <v/>
      </c>
      <c r="K888" t="str">
        <f>IF(G888="","",IF(G888="[FÓRMULA MANUAL]","",IFERROR(SUMPRODUCT((nNIA=G888)*(nCUENTA=1)*(COUNTIF(CONFIG_ASIGNATURAS!$B$7:$B$27,nASIG)&gt;0)*(nNOTA))/SUMPRODUCT((nNIA=G888)*(nCUENTA=1)*(COUNTIF(CONFIG_ASIGNATURAS!$B$7:$B$27,nASIG)&gt;0)*1),"")))</f>
        <v/>
      </c>
      <c r="N888" t="str">
        <f>IF(M888="","",IF(M888="[FÓRMULA MANUAL]","",IFERROR(AVERAGEIFS(nNOTA,nNIA,M888,nCUENTA,1,nASIG,"Armonía"),"")))</f>
        <v/>
      </c>
      <c r="O888" t="str">
        <f>IF(M888="","",IF(M888="[FÓRMULA MANUAL]","",IFERROR(AVERAGEIFS(nNOTA,nNIA,M888,nCUENTA,1,nASIG,"Orquesta/Banda/Conjunto"),"")))</f>
        <v/>
      </c>
      <c r="P888" t="str">
        <f>IF(M888="","",IF(M888="[FÓRMULA MANUAL]","",IFERROR(AVERAGEIFS(nNOTA,nNIA,M888,nCUENTA,1,nASIG,"Música de Cámara"),"")))</f>
        <v/>
      </c>
      <c r="Q888" t="str">
        <f>IF(M888="","",IF(M888="[FÓRMULA MANUAL]","",IFERROR(SUMPRODUCT((nNIA=M888)*(nCUENTA=1)*(COUNTIF(CONFIG_ASIGNATURAS!$B$7:$B$27,nASIG)&gt;0)*(nNOTA))/SUMPRODUCT((nNIA=M888)*(nCUENTA=1)*(COUNTIF(CONFIG_ASIGNATURAS!$B$7:$B$27,nASIG)&gt;0)*1),"")))</f>
        <v/>
      </c>
      <c r="T888" t="str">
        <f>IF(S888="","",IF(S888="[FÓRMULA MANUAL]","",IFERROR(AVERAGEIFS(nNOTA,nNIA,S888,nCUENTA,1,nASIG,"Armonía"),"")))</f>
        <v/>
      </c>
      <c r="U888" t="str">
        <f>IF(S888="","",IF(S888="[FÓRMULA MANUAL]","",IFERROR(AVERAGEIFS(nNOTA,nNIA,S888,nCUENTA,1,nASIG,"Orquesta/Banda/Conjunto"),"")))</f>
        <v/>
      </c>
      <c r="V888" t="str">
        <f>IF(S888="","",IF(S888="[FÓRMULA MANUAL]","",IFERROR(AVERAGEIFS(nNOTA,nNIA,S888,nCUENTA,1,nASIG,"Música de Cámara"),"")))</f>
        <v/>
      </c>
      <c r="W888" t="str">
        <f>IF(S888="","",IF(S888="[FÓRMULA MANUAL]","",IFERROR(SUMPRODUCT((nNIA=S888)*(nCUENTA=1)*(COUNTIF(CONFIG_ASIGNATURAS!$B$7:$B$27,nASIG)&gt;0)*(nNOTA))/SUMPRODUCT((nNIA=S888)*(nCUENTA=1)*(COUNTIF(CONFIG_ASIGNATURAS!$B$7:$B$27,nASIG)&gt;0)*1),"")))</f>
        <v/>
      </c>
      <c r="Z888" t="str">
        <f>IF(Y888="","",IF(Y888="[FÓRMULA MANUAL]","",IFERROR(AVERAGEIFS(nNOTA,nNIA,Y888,nCUENTA,1,nASIG,"Análisis"),"")))</f>
        <v/>
      </c>
      <c r="AA888" t="str">
        <f>IF(Y888="","",IF(Y888="[FÓRMULA MANUAL]","",IFERROR(AVERAGEIFS(nNOTA,nNIA,Y888,nCUENTA,1,nASIG,"Orquesta/Banda/Conjunto"),"")))</f>
        <v/>
      </c>
      <c r="AB888" t="str">
        <f>IF(Y888="","",IF(Y888="[FÓRMULA MANUAL]","",IFERROR(AVERAGEIFS(nNOTA,nNIA,Y888,nCUENTA,1,nASIG,"Música de Cámara"),"")))</f>
        <v/>
      </c>
      <c r="AC888" t="str">
        <f>IF(Y888="","",IF(Y888="[FÓRMULA MANUAL]","",IFERROR(SUMPRODUCT((nNIA=Y888)*(nCUENTA=1)*(COUNTIF(CONFIG_ASIGNATURAS!$B$7:$B$27,nASIG)&gt;0)*(nNOTA))/SUMPRODUCT((nNIA=Y888)*(nCUENTA=1)*(COUNTIF(CONFIG_ASIGNATURAS!$B$7:$B$27,nASIG)&gt;0)*1),"")))</f>
        <v/>
      </c>
      <c r="AF888" t="str">
        <f>IF(AE888="","",IF(AE888="[FÓRMULA MANUAL]","",IFERROR(AVERAGEIFS(nNOTA,nNIA,AE888,nCUENTA,1,nASIG,"Análisis"),"")))</f>
        <v/>
      </c>
      <c r="AG888" t="str">
        <f>IF(AE888="","",IF(AE888="[FÓRMULA MANUAL]","",IFERROR(AVERAGEIFS(nNOTA,nNIA,AE888,nCUENTA,1,nASIG,"Orquesta/Banda/Conjunto"),"")))</f>
        <v/>
      </c>
      <c r="AH888" t="str">
        <f>IF(AE888="","",IF(AE888="[FÓRMULA MANUAL]","",IFERROR(AVERAGEIFS(nNOTA,nNIA,AE888,nCUENTA,1,nASIG,"Música de Cámara"),"")))</f>
        <v/>
      </c>
      <c r="AI888" t="str">
        <f>IF(AE888="","",IF(AE888="[FÓRMULA MANUAL]","",IFERROR(SUMPRODUCT((nNIA=AE888)*(nCUENTA=1)*(COUNTIF(CONFIG_ASIGNATURAS!$B$7:$B$27,nASIG)&gt;0)*(nNOTA))/SUMPRODUCT((nNIA=AE888)*(nCUENTA=1)*(COUNTIF(CONFIG_ASIGNATURAS!$B$7:$B$27,nASIG)&gt;0)*1),"")))</f>
        <v/>
      </c>
    </row>
    <row r="889" spans="2:35" x14ac:dyDescent="0.2">
      <c r="B889" t="str">
        <f>IF(A889="","",IF(A889="[FÓRMULA MANUAL]","",IFERROR(AVERAGEIFS(nNOTA,nNIA,A889,nCUENTA,1,nASIG,"Lenguaje Musical"),"")))</f>
        <v/>
      </c>
      <c r="C889" t="str">
        <f>IF(A889="","",IF(A889="[FÓRMULA MANUAL]","",IFERROR(AVERAGEIFS(nNOTA,nNIA,A889,nCUENTA,1,nASIG,"Orquesta/Banda/Conjunto"),"")))</f>
        <v/>
      </c>
      <c r="D889" t="str">
        <f>IF(A889="","",IF(A889="[FÓRMULA MANUAL]","",IFERROR(AVERAGEIFS(nNOTA,nNIA,A889,nCUENTA,1,nASIG,"Conjunto"),"")))</f>
        <v/>
      </c>
      <c r="E889" t="str">
        <f>IF(A889="","",IF(A889="[FÓRMULA MANUAL]","",IFERROR(SUMPRODUCT((nNIA=A889)*(nCUENTA=1)*(COUNTIF(CONFIG_ASIGNATURAS!$B$7:$B$27,nASIG)&gt;0)*(nNOTA))/SUMPRODUCT((nNIA=A889)*(nCUENTA=1)*(COUNTIF(CONFIG_ASIGNATURAS!$B$7:$B$27,nASIG)&gt;0)*1),"")))</f>
        <v/>
      </c>
      <c r="H889" t="str">
        <f>IF(G889="","",IF(G889="[FÓRMULA MANUAL]","",IFERROR(AVERAGEIFS(nNOTA,nNIA,G889,nCUENTA,1,nASIG,"Lenguaje Musical"),"")))</f>
        <v/>
      </c>
      <c r="I889" t="str">
        <f>IF(G889="","",IF(G889="[FÓRMULA MANUAL]","",IFERROR(AVERAGEIFS(nNOTA,nNIA,G889,nCUENTA,1,nASIG,"Orquesta/Banda/Conjunto"),"")))</f>
        <v/>
      </c>
      <c r="J889" t="str">
        <f>IF(G889="","",IF(G889="[FÓRMULA MANUAL]","",IFERROR(AVERAGEIFS(nNOTA,nNIA,G889,nCUENTA,1,nASIG,"Conjunto"),"")))</f>
        <v/>
      </c>
      <c r="K889" t="str">
        <f>IF(G889="","",IF(G889="[FÓRMULA MANUAL]","",IFERROR(SUMPRODUCT((nNIA=G889)*(nCUENTA=1)*(COUNTIF(CONFIG_ASIGNATURAS!$B$7:$B$27,nASIG)&gt;0)*(nNOTA))/SUMPRODUCT((nNIA=G889)*(nCUENTA=1)*(COUNTIF(CONFIG_ASIGNATURAS!$B$7:$B$27,nASIG)&gt;0)*1),"")))</f>
        <v/>
      </c>
      <c r="N889" t="str">
        <f>IF(M889="","",IF(M889="[FÓRMULA MANUAL]","",IFERROR(AVERAGEIFS(nNOTA,nNIA,M889,nCUENTA,1,nASIG,"Armonía"),"")))</f>
        <v/>
      </c>
      <c r="O889" t="str">
        <f>IF(M889="","",IF(M889="[FÓRMULA MANUAL]","",IFERROR(AVERAGEIFS(nNOTA,nNIA,M889,nCUENTA,1,nASIG,"Orquesta/Banda/Conjunto"),"")))</f>
        <v/>
      </c>
      <c r="P889" t="str">
        <f>IF(M889="","",IF(M889="[FÓRMULA MANUAL]","",IFERROR(AVERAGEIFS(nNOTA,nNIA,M889,nCUENTA,1,nASIG,"Música de Cámara"),"")))</f>
        <v/>
      </c>
      <c r="Q889" t="str">
        <f>IF(M889="","",IF(M889="[FÓRMULA MANUAL]","",IFERROR(SUMPRODUCT((nNIA=M889)*(nCUENTA=1)*(COUNTIF(CONFIG_ASIGNATURAS!$B$7:$B$27,nASIG)&gt;0)*(nNOTA))/SUMPRODUCT((nNIA=M889)*(nCUENTA=1)*(COUNTIF(CONFIG_ASIGNATURAS!$B$7:$B$27,nASIG)&gt;0)*1),"")))</f>
        <v/>
      </c>
      <c r="T889" t="str">
        <f>IF(S889="","",IF(S889="[FÓRMULA MANUAL]","",IFERROR(AVERAGEIFS(nNOTA,nNIA,S889,nCUENTA,1,nASIG,"Armonía"),"")))</f>
        <v/>
      </c>
      <c r="U889" t="str">
        <f>IF(S889="","",IF(S889="[FÓRMULA MANUAL]","",IFERROR(AVERAGEIFS(nNOTA,nNIA,S889,nCUENTA,1,nASIG,"Orquesta/Banda/Conjunto"),"")))</f>
        <v/>
      </c>
      <c r="V889" t="str">
        <f>IF(S889="","",IF(S889="[FÓRMULA MANUAL]","",IFERROR(AVERAGEIFS(nNOTA,nNIA,S889,nCUENTA,1,nASIG,"Música de Cámara"),"")))</f>
        <v/>
      </c>
      <c r="W889" t="str">
        <f>IF(S889="","",IF(S889="[FÓRMULA MANUAL]","",IFERROR(SUMPRODUCT((nNIA=S889)*(nCUENTA=1)*(COUNTIF(CONFIG_ASIGNATURAS!$B$7:$B$27,nASIG)&gt;0)*(nNOTA))/SUMPRODUCT((nNIA=S889)*(nCUENTA=1)*(COUNTIF(CONFIG_ASIGNATURAS!$B$7:$B$27,nASIG)&gt;0)*1),"")))</f>
        <v/>
      </c>
      <c r="Z889" t="str">
        <f>IF(Y889="","",IF(Y889="[FÓRMULA MANUAL]","",IFERROR(AVERAGEIFS(nNOTA,nNIA,Y889,nCUENTA,1,nASIG,"Análisis"),"")))</f>
        <v/>
      </c>
      <c r="AA889" t="str">
        <f>IF(Y889="","",IF(Y889="[FÓRMULA MANUAL]","",IFERROR(AVERAGEIFS(nNOTA,nNIA,Y889,nCUENTA,1,nASIG,"Orquesta/Banda/Conjunto"),"")))</f>
        <v/>
      </c>
      <c r="AB889" t="str">
        <f>IF(Y889="","",IF(Y889="[FÓRMULA MANUAL]","",IFERROR(AVERAGEIFS(nNOTA,nNIA,Y889,nCUENTA,1,nASIG,"Música de Cámara"),"")))</f>
        <v/>
      </c>
      <c r="AC889" t="str">
        <f>IF(Y889="","",IF(Y889="[FÓRMULA MANUAL]","",IFERROR(SUMPRODUCT((nNIA=Y889)*(nCUENTA=1)*(COUNTIF(CONFIG_ASIGNATURAS!$B$7:$B$27,nASIG)&gt;0)*(nNOTA))/SUMPRODUCT((nNIA=Y889)*(nCUENTA=1)*(COUNTIF(CONFIG_ASIGNATURAS!$B$7:$B$27,nASIG)&gt;0)*1),"")))</f>
        <v/>
      </c>
      <c r="AF889" t="str">
        <f>IF(AE889="","",IF(AE889="[FÓRMULA MANUAL]","",IFERROR(AVERAGEIFS(nNOTA,nNIA,AE889,nCUENTA,1,nASIG,"Análisis"),"")))</f>
        <v/>
      </c>
      <c r="AG889" t="str">
        <f>IF(AE889="","",IF(AE889="[FÓRMULA MANUAL]","",IFERROR(AVERAGEIFS(nNOTA,nNIA,AE889,nCUENTA,1,nASIG,"Orquesta/Banda/Conjunto"),"")))</f>
        <v/>
      </c>
      <c r="AH889" t="str">
        <f>IF(AE889="","",IF(AE889="[FÓRMULA MANUAL]","",IFERROR(AVERAGEIFS(nNOTA,nNIA,AE889,nCUENTA,1,nASIG,"Música de Cámara"),"")))</f>
        <v/>
      </c>
      <c r="AI889" t="str">
        <f>IF(AE889="","",IF(AE889="[FÓRMULA MANUAL]","",IFERROR(SUMPRODUCT((nNIA=AE889)*(nCUENTA=1)*(COUNTIF(CONFIG_ASIGNATURAS!$B$7:$B$27,nASIG)&gt;0)*(nNOTA))/SUMPRODUCT((nNIA=AE889)*(nCUENTA=1)*(COUNTIF(CONFIG_ASIGNATURAS!$B$7:$B$27,nASIG)&gt;0)*1),"")))</f>
        <v/>
      </c>
    </row>
    <row r="890" spans="2:35" x14ac:dyDescent="0.2">
      <c r="B890" t="str">
        <f>IF(A890="","",IF(A890="[FÓRMULA MANUAL]","",IFERROR(AVERAGEIFS(nNOTA,nNIA,A890,nCUENTA,1,nASIG,"Lenguaje Musical"),"")))</f>
        <v/>
      </c>
      <c r="C890" t="str">
        <f>IF(A890="","",IF(A890="[FÓRMULA MANUAL]","",IFERROR(AVERAGEIFS(nNOTA,nNIA,A890,nCUENTA,1,nASIG,"Orquesta/Banda/Conjunto"),"")))</f>
        <v/>
      </c>
      <c r="D890" t="str">
        <f>IF(A890="","",IF(A890="[FÓRMULA MANUAL]","",IFERROR(AVERAGEIFS(nNOTA,nNIA,A890,nCUENTA,1,nASIG,"Conjunto"),"")))</f>
        <v/>
      </c>
      <c r="E890" t="str">
        <f>IF(A890="","",IF(A890="[FÓRMULA MANUAL]","",IFERROR(SUMPRODUCT((nNIA=A890)*(nCUENTA=1)*(COUNTIF(CONFIG_ASIGNATURAS!$B$7:$B$27,nASIG)&gt;0)*(nNOTA))/SUMPRODUCT((nNIA=A890)*(nCUENTA=1)*(COUNTIF(CONFIG_ASIGNATURAS!$B$7:$B$27,nASIG)&gt;0)*1),"")))</f>
        <v/>
      </c>
      <c r="H890" t="str">
        <f>IF(G890="","",IF(G890="[FÓRMULA MANUAL]","",IFERROR(AVERAGEIFS(nNOTA,nNIA,G890,nCUENTA,1,nASIG,"Lenguaje Musical"),"")))</f>
        <v/>
      </c>
      <c r="I890" t="str">
        <f>IF(G890="","",IF(G890="[FÓRMULA MANUAL]","",IFERROR(AVERAGEIFS(nNOTA,nNIA,G890,nCUENTA,1,nASIG,"Orquesta/Banda/Conjunto"),"")))</f>
        <v/>
      </c>
      <c r="J890" t="str">
        <f>IF(G890="","",IF(G890="[FÓRMULA MANUAL]","",IFERROR(AVERAGEIFS(nNOTA,nNIA,G890,nCUENTA,1,nASIG,"Conjunto"),"")))</f>
        <v/>
      </c>
      <c r="K890" t="str">
        <f>IF(G890="","",IF(G890="[FÓRMULA MANUAL]","",IFERROR(SUMPRODUCT((nNIA=G890)*(nCUENTA=1)*(COUNTIF(CONFIG_ASIGNATURAS!$B$7:$B$27,nASIG)&gt;0)*(nNOTA))/SUMPRODUCT((nNIA=G890)*(nCUENTA=1)*(COUNTIF(CONFIG_ASIGNATURAS!$B$7:$B$27,nASIG)&gt;0)*1),"")))</f>
        <v/>
      </c>
      <c r="N890" t="str">
        <f>IF(M890="","",IF(M890="[FÓRMULA MANUAL]","",IFERROR(AVERAGEIFS(nNOTA,nNIA,M890,nCUENTA,1,nASIG,"Armonía"),"")))</f>
        <v/>
      </c>
      <c r="O890" t="str">
        <f>IF(M890="","",IF(M890="[FÓRMULA MANUAL]","",IFERROR(AVERAGEIFS(nNOTA,nNIA,M890,nCUENTA,1,nASIG,"Orquesta/Banda/Conjunto"),"")))</f>
        <v/>
      </c>
      <c r="P890" t="str">
        <f>IF(M890="","",IF(M890="[FÓRMULA MANUAL]","",IFERROR(AVERAGEIFS(nNOTA,nNIA,M890,nCUENTA,1,nASIG,"Música de Cámara"),"")))</f>
        <v/>
      </c>
      <c r="Q890" t="str">
        <f>IF(M890="","",IF(M890="[FÓRMULA MANUAL]","",IFERROR(SUMPRODUCT((nNIA=M890)*(nCUENTA=1)*(COUNTIF(CONFIG_ASIGNATURAS!$B$7:$B$27,nASIG)&gt;0)*(nNOTA))/SUMPRODUCT((nNIA=M890)*(nCUENTA=1)*(COUNTIF(CONFIG_ASIGNATURAS!$B$7:$B$27,nASIG)&gt;0)*1),"")))</f>
        <v/>
      </c>
      <c r="T890" t="str">
        <f>IF(S890="","",IF(S890="[FÓRMULA MANUAL]","",IFERROR(AVERAGEIFS(nNOTA,nNIA,S890,nCUENTA,1,nASIG,"Armonía"),"")))</f>
        <v/>
      </c>
      <c r="U890" t="str">
        <f>IF(S890="","",IF(S890="[FÓRMULA MANUAL]","",IFERROR(AVERAGEIFS(nNOTA,nNIA,S890,nCUENTA,1,nASIG,"Orquesta/Banda/Conjunto"),"")))</f>
        <v/>
      </c>
      <c r="V890" t="str">
        <f>IF(S890="","",IF(S890="[FÓRMULA MANUAL]","",IFERROR(AVERAGEIFS(nNOTA,nNIA,S890,nCUENTA,1,nASIG,"Música de Cámara"),"")))</f>
        <v/>
      </c>
      <c r="W890" t="str">
        <f>IF(S890="","",IF(S890="[FÓRMULA MANUAL]","",IFERROR(SUMPRODUCT((nNIA=S890)*(nCUENTA=1)*(COUNTIF(CONFIG_ASIGNATURAS!$B$7:$B$27,nASIG)&gt;0)*(nNOTA))/SUMPRODUCT((nNIA=S890)*(nCUENTA=1)*(COUNTIF(CONFIG_ASIGNATURAS!$B$7:$B$27,nASIG)&gt;0)*1),"")))</f>
        <v/>
      </c>
      <c r="Z890" t="str">
        <f>IF(Y890="","",IF(Y890="[FÓRMULA MANUAL]","",IFERROR(AVERAGEIFS(nNOTA,nNIA,Y890,nCUENTA,1,nASIG,"Análisis"),"")))</f>
        <v/>
      </c>
      <c r="AA890" t="str">
        <f>IF(Y890="","",IF(Y890="[FÓRMULA MANUAL]","",IFERROR(AVERAGEIFS(nNOTA,nNIA,Y890,nCUENTA,1,nASIG,"Orquesta/Banda/Conjunto"),"")))</f>
        <v/>
      </c>
      <c r="AB890" t="str">
        <f>IF(Y890="","",IF(Y890="[FÓRMULA MANUAL]","",IFERROR(AVERAGEIFS(nNOTA,nNIA,Y890,nCUENTA,1,nASIG,"Música de Cámara"),"")))</f>
        <v/>
      </c>
      <c r="AC890" t="str">
        <f>IF(Y890="","",IF(Y890="[FÓRMULA MANUAL]","",IFERROR(SUMPRODUCT((nNIA=Y890)*(nCUENTA=1)*(COUNTIF(CONFIG_ASIGNATURAS!$B$7:$B$27,nASIG)&gt;0)*(nNOTA))/SUMPRODUCT((nNIA=Y890)*(nCUENTA=1)*(COUNTIF(CONFIG_ASIGNATURAS!$B$7:$B$27,nASIG)&gt;0)*1),"")))</f>
        <v/>
      </c>
      <c r="AF890" t="str">
        <f>IF(AE890="","",IF(AE890="[FÓRMULA MANUAL]","",IFERROR(AVERAGEIFS(nNOTA,nNIA,AE890,nCUENTA,1,nASIG,"Análisis"),"")))</f>
        <v/>
      </c>
      <c r="AG890" t="str">
        <f>IF(AE890="","",IF(AE890="[FÓRMULA MANUAL]","",IFERROR(AVERAGEIFS(nNOTA,nNIA,AE890,nCUENTA,1,nASIG,"Orquesta/Banda/Conjunto"),"")))</f>
        <v/>
      </c>
      <c r="AH890" t="str">
        <f>IF(AE890="","",IF(AE890="[FÓRMULA MANUAL]","",IFERROR(AVERAGEIFS(nNOTA,nNIA,AE890,nCUENTA,1,nASIG,"Música de Cámara"),"")))</f>
        <v/>
      </c>
      <c r="AI890" t="str">
        <f>IF(AE890="","",IF(AE890="[FÓRMULA MANUAL]","",IFERROR(SUMPRODUCT((nNIA=AE890)*(nCUENTA=1)*(COUNTIF(CONFIG_ASIGNATURAS!$B$7:$B$27,nASIG)&gt;0)*(nNOTA))/SUMPRODUCT((nNIA=AE890)*(nCUENTA=1)*(COUNTIF(CONFIG_ASIGNATURAS!$B$7:$B$27,nASIG)&gt;0)*1),"")))</f>
        <v/>
      </c>
    </row>
    <row r="891" spans="2:35" x14ac:dyDescent="0.2">
      <c r="B891" t="str">
        <f>IF(A891="","",IF(A891="[FÓRMULA MANUAL]","",IFERROR(AVERAGEIFS(nNOTA,nNIA,A891,nCUENTA,1,nASIG,"Lenguaje Musical"),"")))</f>
        <v/>
      </c>
      <c r="C891" t="str">
        <f>IF(A891="","",IF(A891="[FÓRMULA MANUAL]","",IFERROR(AVERAGEIFS(nNOTA,nNIA,A891,nCUENTA,1,nASIG,"Orquesta/Banda/Conjunto"),"")))</f>
        <v/>
      </c>
      <c r="D891" t="str">
        <f>IF(A891="","",IF(A891="[FÓRMULA MANUAL]","",IFERROR(AVERAGEIFS(nNOTA,nNIA,A891,nCUENTA,1,nASIG,"Conjunto"),"")))</f>
        <v/>
      </c>
      <c r="E891" t="str">
        <f>IF(A891="","",IF(A891="[FÓRMULA MANUAL]","",IFERROR(SUMPRODUCT((nNIA=A891)*(nCUENTA=1)*(COUNTIF(CONFIG_ASIGNATURAS!$B$7:$B$27,nASIG)&gt;0)*(nNOTA))/SUMPRODUCT((nNIA=A891)*(nCUENTA=1)*(COUNTIF(CONFIG_ASIGNATURAS!$B$7:$B$27,nASIG)&gt;0)*1),"")))</f>
        <v/>
      </c>
      <c r="H891" t="str">
        <f>IF(G891="","",IF(G891="[FÓRMULA MANUAL]","",IFERROR(AVERAGEIFS(nNOTA,nNIA,G891,nCUENTA,1,nASIG,"Lenguaje Musical"),"")))</f>
        <v/>
      </c>
      <c r="I891" t="str">
        <f>IF(G891="","",IF(G891="[FÓRMULA MANUAL]","",IFERROR(AVERAGEIFS(nNOTA,nNIA,G891,nCUENTA,1,nASIG,"Orquesta/Banda/Conjunto"),"")))</f>
        <v/>
      </c>
      <c r="J891" t="str">
        <f>IF(G891="","",IF(G891="[FÓRMULA MANUAL]","",IFERROR(AVERAGEIFS(nNOTA,nNIA,G891,nCUENTA,1,nASIG,"Conjunto"),"")))</f>
        <v/>
      </c>
      <c r="K891" t="str">
        <f>IF(G891="","",IF(G891="[FÓRMULA MANUAL]","",IFERROR(SUMPRODUCT((nNIA=G891)*(nCUENTA=1)*(COUNTIF(CONFIG_ASIGNATURAS!$B$7:$B$27,nASIG)&gt;0)*(nNOTA))/SUMPRODUCT((nNIA=G891)*(nCUENTA=1)*(COUNTIF(CONFIG_ASIGNATURAS!$B$7:$B$27,nASIG)&gt;0)*1),"")))</f>
        <v/>
      </c>
      <c r="N891" t="str">
        <f>IF(M891="","",IF(M891="[FÓRMULA MANUAL]","",IFERROR(AVERAGEIFS(nNOTA,nNIA,M891,nCUENTA,1,nASIG,"Armonía"),"")))</f>
        <v/>
      </c>
      <c r="O891" t="str">
        <f>IF(M891="","",IF(M891="[FÓRMULA MANUAL]","",IFERROR(AVERAGEIFS(nNOTA,nNIA,M891,nCUENTA,1,nASIG,"Orquesta/Banda/Conjunto"),"")))</f>
        <v/>
      </c>
      <c r="P891" t="str">
        <f>IF(M891="","",IF(M891="[FÓRMULA MANUAL]","",IFERROR(AVERAGEIFS(nNOTA,nNIA,M891,nCUENTA,1,nASIG,"Música de Cámara"),"")))</f>
        <v/>
      </c>
      <c r="Q891" t="str">
        <f>IF(M891="","",IF(M891="[FÓRMULA MANUAL]","",IFERROR(SUMPRODUCT((nNIA=M891)*(nCUENTA=1)*(COUNTIF(CONFIG_ASIGNATURAS!$B$7:$B$27,nASIG)&gt;0)*(nNOTA))/SUMPRODUCT((nNIA=M891)*(nCUENTA=1)*(COUNTIF(CONFIG_ASIGNATURAS!$B$7:$B$27,nASIG)&gt;0)*1),"")))</f>
        <v/>
      </c>
      <c r="T891" t="str">
        <f>IF(S891="","",IF(S891="[FÓRMULA MANUAL]","",IFERROR(AVERAGEIFS(nNOTA,nNIA,S891,nCUENTA,1,nASIG,"Armonía"),"")))</f>
        <v/>
      </c>
      <c r="U891" t="str">
        <f>IF(S891="","",IF(S891="[FÓRMULA MANUAL]","",IFERROR(AVERAGEIFS(nNOTA,nNIA,S891,nCUENTA,1,nASIG,"Orquesta/Banda/Conjunto"),"")))</f>
        <v/>
      </c>
      <c r="V891" t="str">
        <f>IF(S891="","",IF(S891="[FÓRMULA MANUAL]","",IFERROR(AVERAGEIFS(nNOTA,nNIA,S891,nCUENTA,1,nASIG,"Música de Cámara"),"")))</f>
        <v/>
      </c>
      <c r="W891" t="str">
        <f>IF(S891="","",IF(S891="[FÓRMULA MANUAL]","",IFERROR(SUMPRODUCT((nNIA=S891)*(nCUENTA=1)*(COUNTIF(CONFIG_ASIGNATURAS!$B$7:$B$27,nASIG)&gt;0)*(nNOTA))/SUMPRODUCT((nNIA=S891)*(nCUENTA=1)*(COUNTIF(CONFIG_ASIGNATURAS!$B$7:$B$27,nASIG)&gt;0)*1),"")))</f>
        <v/>
      </c>
      <c r="Z891" t="str">
        <f>IF(Y891="","",IF(Y891="[FÓRMULA MANUAL]","",IFERROR(AVERAGEIFS(nNOTA,nNIA,Y891,nCUENTA,1,nASIG,"Análisis"),"")))</f>
        <v/>
      </c>
      <c r="AA891" t="str">
        <f>IF(Y891="","",IF(Y891="[FÓRMULA MANUAL]","",IFERROR(AVERAGEIFS(nNOTA,nNIA,Y891,nCUENTA,1,nASIG,"Orquesta/Banda/Conjunto"),"")))</f>
        <v/>
      </c>
      <c r="AB891" t="str">
        <f>IF(Y891="","",IF(Y891="[FÓRMULA MANUAL]","",IFERROR(AVERAGEIFS(nNOTA,nNIA,Y891,nCUENTA,1,nASIG,"Música de Cámara"),"")))</f>
        <v/>
      </c>
      <c r="AC891" t="str">
        <f>IF(Y891="","",IF(Y891="[FÓRMULA MANUAL]","",IFERROR(SUMPRODUCT((nNIA=Y891)*(nCUENTA=1)*(COUNTIF(CONFIG_ASIGNATURAS!$B$7:$B$27,nASIG)&gt;0)*(nNOTA))/SUMPRODUCT((nNIA=Y891)*(nCUENTA=1)*(COUNTIF(CONFIG_ASIGNATURAS!$B$7:$B$27,nASIG)&gt;0)*1),"")))</f>
        <v/>
      </c>
      <c r="AF891" t="str">
        <f>IF(AE891="","",IF(AE891="[FÓRMULA MANUAL]","",IFERROR(AVERAGEIFS(nNOTA,nNIA,AE891,nCUENTA,1,nASIG,"Análisis"),"")))</f>
        <v/>
      </c>
      <c r="AG891" t="str">
        <f>IF(AE891="","",IF(AE891="[FÓRMULA MANUAL]","",IFERROR(AVERAGEIFS(nNOTA,nNIA,AE891,nCUENTA,1,nASIG,"Orquesta/Banda/Conjunto"),"")))</f>
        <v/>
      </c>
      <c r="AH891" t="str">
        <f>IF(AE891="","",IF(AE891="[FÓRMULA MANUAL]","",IFERROR(AVERAGEIFS(nNOTA,nNIA,AE891,nCUENTA,1,nASIG,"Música de Cámara"),"")))</f>
        <v/>
      </c>
      <c r="AI891" t="str">
        <f>IF(AE891="","",IF(AE891="[FÓRMULA MANUAL]","",IFERROR(SUMPRODUCT((nNIA=AE891)*(nCUENTA=1)*(COUNTIF(CONFIG_ASIGNATURAS!$B$7:$B$27,nASIG)&gt;0)*(nNOTA))/SUMPRODUCT((nNIA=AE891)*(nCUENTA=1)*(COUNTIF(CONFIG_ASIGNATURAS!$B$7:$B$27,nASIG)&gt;0)*1),"")))</f>
        <v/>
      </c>
    </row>
    <row r="892" spans="2:35" x14ac:dyDescent="0.2">
      <c r="B892" t="str">
        <f>IF(A892="","",IF(A892="[FÓRMULA MANUAL]","",IFERROR(AVERAGEIFS(nNOTA,nNIA,A892,nCUENTA,1,nASIG,"Lenguaje Musical"),"")))</f>
        <v/>
      </c>
      <c r="C892" t="str">
        <f>IF(A892="","",IF(A892="[FÓRMULA MANUAL]","",IFERROR(AVERAGEIFS(nNOTA,nNIA,A892,nCUENTA,1,nASIG,"Orquesta/Banda/Conjunto"),"")))</f>
        <v/>
      </c>
      <c r="D892" t="str">
        <f>IF(A892="","",IF(A892="[FÓRMULA MANUAL]","",IFERROR(AVERAGEIFS(nNOTA,nNIA,A892,nCUENTA,1,nASIG,"Conjunto"),"")))</f>
        <v/>
      </c>
      <c r="E892" t="str">
        <f>IF(A892="","",IF(A892="[FÓRMULA MANUAL]","",IFERROR(SUMPRODUCT((nNIA=A892)*(nCUENTA=1)*(COUNTIF(CONFIG_ASIGNATURAS!$B$7:$B$27,nASIG)&gt;0)*(nNOTA))/SUMPRODUCT((nNIA=A892)*(nCUENTA=1)*(COUNTIF(CONFIG_ASIGNATURAS!$B$7:$B$27,nASIG)&gt;0)*1),"")))</f>
        <v/>
      </c>
      <c r="H892" t="str">
        <f>IF(G892="","",IF(G892="[FÓRMULA MANUAL]","",IFERROR(AVERAGEIFS(nNOTA,nNIA,G892,nCUENTA,1,nASIG,"Lenguaje Musical"),"")))</f>
        <v/>
      </c>
      <c r="I892" t="str">
        <f>IF(G892="","",IF(G892="[FÓRMULA MANUAL]","",IFERROR(AVERAGEIFS(nNOTA,nNIA,G892,nCUENTA,1,nASIG,"Orquesta/Banda/Conjunto"),"")))</f>
        <v/>
      </c>
      <c r="J892" t="str">
        <f>IF(G892="","",IF(G892="[FÓRMULA MANUAL]","",IFERROR(AVERAGEIFS(nNOTA,nNIA,G892,nCUENTA,1,nASIG,"Conjunto"),"")))</f>
        <v/>
      </c>
      <c r="K892" t="str">
        <f>IF(G892="","",IF(G892="[FÓRMULA MANUAL]","",IFERROR(SUMPRODUCT((nNIA=G892)*(nCUENTA=1)*(COUNTIF(CONFIG_ASIGNATURAS!$B$7:$B$27,nASIG)&gt;0)*(nNOTA))/SUMPRODUCT((nNIA=G892)*(nCUENTA=1)*(COUNTIF(CONFIG_ASIGNATURAS!$B$7:$B$27,nASIG)&gt;0)*1),"")))</f>
        <v/>
      </c>
      <c r="N892" t="str">
        <f>IF(M892="","",IF(M892="[FÓRMULA MANUAL]","",IFERROR(AVERAGEIFS(nNOTA,nNIA,M892,nCUENTA,1,nASIG,"Armonía"),"")))</f>
        <v/>
      </c>
      <c r="O892" t="str">
        <f>IF(M892="","",IF(M892="[FÓRMULA MANUAL]","",IFERROR(AVERAGEIFS(nNOTA,nNIA,M892,nCUENTA,1,nASIG,"Orquesta/Banda/Conjunto"),"")))</f>
        <v/>
      </c>
      <c r="P892" t="str">
        <f>IF(M892="","",IF(M892="[FÓRMULA MANUAL]","",IFERROR(AVERAGEIFS(nNOTA,nNIA,M892,nCUENTA,1,nASIG,"Música de Cámara"),"")))</f>
        <v/>
      </c>
      <c r="Q892" t="str">
        <f>IF(M892="","",IF(M892="[FÓRMULA MANUAL]","",IFERROR(SUMPRODUCT((nNIA=M892)*(nCUENTA=1)*(COUNTIF(CONFIG_ASIGNATURAS!$B$7:$B$27,nASIG)&gt;0)*(nNOTA))/SUMPRODUCT((nNIA=M892)*(nCUENTA=1)*(COUNTIF(CONFIG_ASIGNATURAS!$B$7:$B$27,nASIG)&gt;0)*1),"")))</f>
        <v/>
      </c>
      <c r="T892" t="str">
        <f>IF(S892="","",IF(S892="[FÓRMULA MANUAL]","",IFERROR(AVERAGEIFS(nNOTA,nNIA,S892,nCUENTA,1,nASIG,"Armonía"),"")))</f>
        <v/>
      </c>
      <c r="U892" t="str">
        <f>IF(S892="","",IF(S892="[FÓRMULA MANUAL]","",IFERROR(AVERAGEIFS(nNOTA,nNIA,S892,nCUENTA,1,nASIG,"Orquesta/Banda/Conjunto"),"")))</f>
        <v/>
      </c>
      <c r="V892" t="str">
        <f>IF(S892="","",IF(S892="[FÓRMULA MANUAL]","",IFERROR(AVERAGEIFS(nNOTA,nNIA,S892,nCUENTA,1,nASIG,"Música de Cámara"),"")))</f>
        <v/>
      </c>
      <c r="W892" t="str">
        <f>IF(S892="","",IF(S892="[FÓRMULA MANUAL]","",IFERROR(SUMPRODUCT((nNIA=S892)*(nCUENTA=1)*(COUNTIF(CONFIG_ASIGNATURAS!$B$7:$B$27,nASIG)&gt;0)*(nNOTA))/SUMPRODUCT((nNIA=S892)*(nCUENTA=1)*(COUNTIF(CONFIG_ASIGNATURAS!$B$7:$B$27,nASIG)&gt;0)*1),"")))</f>
        <v/>
      </c>
      <c r="Z892" t="str">
        <f>IF(Y892="","",IF(Y892="[FÓRMULA MANUAL]","",IFERROR(AVERAGEIFS(nNOTA,nNIA,Y892,nCUENTA,1,nASIG,"Análisis"),"")))</f>
        <v/>
      </c>
      <c r="AA892" t="str">
        <f>IF(Y892="","",IF(Y892="[FÓRMULA MANUAL]","",IFERROR(AVERAGEIFS(nNOTA,nNIA,Y892,nCUENTA,1,nASIG,"Orquesta/Banda/Conjunto"),"")))</f>
        <v/>
      </c>
      <c r="AB892" t="str">
        <f>IF(Y892="","",IF(Y892="[FÓRMULA MANUAL]","",IFERROR(AVERAGEIFS(nNOTA,nNIA,Y892,nCUENTA,1,nASIG,"Música de Cámara"),"")))</f>
        <v/>
      </c>
      <c r="AC892" t="str">
        <f>IF(Y892="","",IF(Y892="[FÓRMULA MANUAL]","",IFERROR(SUMPRODUCT((nNIA=Y892)*(nCUENTA=1)*(COUNTIF(CONFIG_ASIGNATURAS!$B$7:$B$27,nASIG)&gt;0)*(nNOTA))/SUMPRODUCT((nNIA=Y892)*(nCUENTA=1)*(COUNTIF(CONFIG_ASIGNATURAS!$B$7:$B$27,nASIG)&gt;0)*1),"")))</f>
        <v/>
      </c>
      <c r="AF892" t="str">
        <f>IF(AE892="","",IF(AE892="[FÓRMULA MANUAL]","",IFERROR(AVERAGEIFS(nNOTA,nNIA,AE892,nCUENTA,1,nASIG,"Análisis"),"")))</f>
        <v/>
      </c>
      <c r="AG892" t="str">
        <f>IF(AE892="","",IF(AE892="[FÓRMULA MANUAL]","",IFERROR(AVERAGEIFS(nNOTA,nNIA,AE892,nCUENTA,1,nASIG,"Orquesta/Banda/Conjunto"),"")))</f>
        <v/>
      </c>
      <c r="AH892" t="str">
        <f>IF(AE892="","",IF(AE892="[FÓRMULA MANUAL]","",IFERROR(AVERAGEIFS(nNOTA,nNIA,AE892,nCUENTA,1,nASIG,"Música de Cámara"),"")))</f>
        <v/>
      </c>
      <c r="AI892" t="str">
        <f>IF(AE892="","",IF(AE892="[FÓRMULA MANUAL]","",IFERROR(SUMPRODUCT((nNIA=AE892)*(nCUENTA=1)*(COUNTIF(CONFIG_ASIGNATURAS!$B$7:$B$27,nASIG)&gt;0)*(nNOTA))/SUMPRODUCT((nNIA=AE892)*(nCUENTA=1)*(COUNTIF(CONFIG_ASIGNATURAS!$B$7:$B$27,nASIG)&gt;0)*1),"")))</f>
        <v/>
      </c>
    </row>
    <row r="893" spans="2:35" x14ac:dyDescent="0.2">
      <c r="B893" t="str">
        <f>IF(A893="","",IF(A893="[FÓRMULA MANUAL]","",IFERROR(AVERAGEIFS(nNOTA,nNIA,A893,nCUENTA,1,nASIG,"Lenguaje Musical"),"")))</f>
        <v/>
      </c>
      <c r="C893" t="str">
        <f>IF(A893="","",IF(A893="[FÓRMULA MANUAL]","",IFERROR(AVERAGEIFS(nNOTA,nNIA,A893,nCUENTA,1,nASIG,"Orquesta/Banda/Conjunto"),"")))</f>
        <v/>
      </c>
      <c r="D893" t="str">
        <f>IF(A893="","",IF(A893="[FÓRMULA MANUAL]","",IFERROR(AVERAGEIFS(nNOTA,nNIA,A893,nCUENTA,1,nASIG,"Conjunto"),"")))</f>
        <v/>
      </c>
      <c r="E893" t="str">
        <f>IF(A893="","",IF(A893="[FÓRMULA MANUAL]","",IFERROR(SUMPRODUCT((nNIA=A893)*(nCUENTA=1)*(COUNTIF(CONFIG_ASIGNATURAS!$B$7:$B$27,nASIG)&gt;0)*(nNOTA))/SUMPRODUCT((nNIA=A893)*(nCUENTA=1)*(COUNTIF(CONFIG_ASIGNATURAS!$B$7:$B$27,nASIG)&gt;0)*1),"")))</f>
        <v/>
      </c>
      <c r="H893" t="str">
        <f>IF(G893="","",IF(G893="[FÓRMULA MANUAL]","",IFERROR(AVERAGEIFS(nNOTA,nNIA,G893,nCUENTA,1,nASIG,"Lenguaje Musical"),"")))</f>
        <v/>
      </c>
      <c r="I893" t="str">
        <f>IF(G893="","",IF(G893="[FÓRMULA MANUAL]","",IFERROR(AVERAGEIFS(nNOTA,nNIA,G893,nCUENTA,1,nASIG,"Orquesta/Banda/Conjunto"),"")))</f>
        <v/>
      </c>
      <c r="J893" t="str">
        <f>IF(G893="","",IF(G893="[FÓRMULA MANUAL]","",IFERROR(AVERAGEIFS(nNOTA,nNIA,G893,nCUENTA,1,nASIG,"Conjunto"),"")))</f>
        <v/>
      </c>
      <c r="K893" t="str">
        <f>IF(G893="","",IF(G893="[FÓRMULA MANUAL]","",IFERROR(SUMPRODUCT((nNIA=G893)*(nCUENTA=1)*(COUNTIF(CONFIG_ASIGNATURAS!$B$7:$B$27,nASIG)&gt;0)*(nNOTA))/SUMPRODUCT((nNIA=G893)*(nCUENTA=1)*(COUNTIF(CONFIG_ASIGNATURAS!$B$7:$B$27,nASIG)&gt;0)*1),"")))</f>
        <v/>
      </c>
      <c r="N893" t="str">
        <f>IF(M893="","",IF(M893="[FÓRMULA MANUAL]","",IFERROR(AVERAGEIFS(nNOTA,nNIA,M893,nCUENTA,1,nASIG,"Armonía"),"")))</f>
        <v/>
      </c>
      <c r="O893" t="str">
        <f>IF(M893="","",IF(M893="[FÓRMULA MANUAL]","",IFERROR(AVERAGEIFS(nNOTA,nNIA,M893,nCUENTA,1,nASIG,"Orquesta/Banda/Conjunto"),"")))</f>
        <v/>
      </c>
      <c r="P893" t="str">
        <f>IF(M893="","",IF(M893="[FÓRMULA MANUAL]","",IFERROR(AVERAGEIFS(nNOTA,nNIA,M893,nCUENTA,1,nASIG,"Música de Cámara"),"")))</f>
        <v/>
      </c>
      <c r="Q893" t="str">
        <f>IF(M893="","",IF(M893="[FÓRMULA MANUAL]","",IFERROR(SUMPRODUCT((nNIA=M893)*(nCUENTA=1)*(COUNTIF(CONFIG_ASIGNATURAS!$B$7:$B$27,nASIG)&gt;0)*(nNOTA))/SUMPRODUCT((nNIA=M893)*(nCUENTA=1)*(COUNTIF(CONFIG_ASIGNATURAS!$B$7:$B$27,nASIG)&gt;0)*1),"")))</f>
        <v/>
      </c>
      <c r="T893" t="str">
        <f>IF(S893="","",IF(S893="[FÓRMULA MANUAL]","",IFERROR(AVERAGEIFS(nNOTA,nNIA,S893,nCUENTA,1,nASIG,"Armonía"),"")))</f>
        <v/>
      </c>
      <c r="U893" t="str">
        <f>IF(S893="","",IF(S893="[FÓRMULA MANUAL]","",IFERROR(AVERAGEIFS(nNOTA,nNIA,S893,nCUENTA,1,nASIG,"Orquesta/Banda/Conjunto"),"")))</f>
        <v/>
      </c>
      <c r="V893" t="str">
        <f>IF(S893="","",IF(S893="[FÓRMULA MANUAL]","",IFERROR(AVERAGEIFS(nNOTA,nNIA,S893,nCUENTA,1,nASIG,"Música de Cámara"),"")))</f>
        <v/>
      </c>
      <c r="W893" t="str">
        <f>IF(S893="","",IF(S893="[FÓRMULA MANUAL]","",IFERROR(SUMPRODUCT((nNIA=S893)*(nCUENTA=1)*(COUNTIF(CONFIG_ASIGNATURAS!$B$7:$B$27,nASIG)&gt;0)*(nNOTA))/SUMPRODUCT((nNIA=S893)*(nCUENTA=1)*(COUNTIF(CONFIG_ASIGNATURAS!$B$7:$B$27,nASIG)&gt;0)*1),"")))</f>
        <v/>
      </c>
      <c r="Z893" t="str">
        <f>IF(Y893="","",IF(Y893="[FÓRMULA MANUAL]","",IFERROR(AVERAGEIFS(nNOTA,nNIA,Y893,nCUENTA,1,nASIG,"Análisis"),"")))</f>
        <v/>
      </c>
      <c r="AA893" t="str">
        <f>IF(Y893="","",IF(Y893="[FÓRMULA MANUAL]","",IFERROR(AVERAGEIFS(nNOTA,nNIA,Y893,nCUENTA,1,nASIG,"Orquesta/Banda/Conjunto"),"")))</f>
        <v/>
      </c>
      <c r="AB893" t="str">
        <f>IF(Y893="","",IF(Y893="[FÓRMULA MANUAL]","",IFERROR(AVERAGEIFS(nNOTA,nNIA,Y893,nCUENTA,1,nASIG,"Música de Cámara"),"")))</f>
        <v/>
      </c>
      <c r="AC893" t="str">
        <f>IF(Y893="","",IF(Y893="[FÓRMULA MANUAL]","",IFERROR(SUMPRODUCT((nNIA=Y893)*(nCUENTA=1)*(COUNTIF(CONFIG_ASIGNATURAS!$B$7:$B$27,nASIG)&gt;0)*(nNOTA))/SUMPRODUCT((nNIA=Y893)*(nCUENTA=1)*(COUNTIF(CONFIG_ASIGNATURAS!$B$7:$B$27,nASIG)&gt;0)*1),"")))</f>
        <v/>
      </c>
      <c r="AF893" t="str">
        <f>IF(AE893="","",IF(AE893="[FÓRMULA MANUAL]","",IFERROR(AVERAGEIFS(nNOTA,nNIA,AE893,nCUENTA,1,nASIG,"Análisis"),"")))</f>
        <v/>
      </c>
      <c r="AG893" t="str">
        <f>IF(AE893="","",IF(AE893="[FÓRMULA MANUAL]","",IFERROR(AVERAGEIFS(nNOTA,nNIA,AE893,nCUENTA,1,nASIG,"Orquesta/Banda/Conjunto"),"")))</f>
        <v/>
      </c>
      <c r="AH893" t="str">
        <f>IF(AE893="","",IF(AE893="[FÓRMULA MANUAL]","",IFERROR(AVERAGEIFS(nNOTA,nNIA,AE893,nCUENTA,1,nASIG,"Música de Cámara"),"")))</f>
        <v/>
      </c>
      <c r="AI893" t="str">
        <f>IF(AE893="","",IF(AE893="[FÓRMULA MANUAL]","",IFERROR(SUMPRODUCT((nNIA=AE893)*(nCUENTA=1)*(COUNTIF(CONFIG_ASIGNATURAS!$B$7:$B$27,nASIG)&gt;0)*(nNOTA))/SUMPRODUCT((nNIA=AE893)*(nCUENTA=1)*(COUNTIF(CONFIG_ASIGNATURAS!$B$7:$B$27,nASIG)&gt;0)*1),"")))</f>
        <v/>
      </c>
    </row>
    <row r="894" spans="2:35" x14ac:dyDescent="0.2">
      <c r="B894" t="str">
        <f>IF(A894="","",IF(A894="[FÓRMULA MANUAL]","",IFERROR(AVERAGEIFS(nNOTA,nNIA,A894,nCUENTA,1,nASIG,"Lenguaje Musical"),"")))</f>
        <v/>
      </c>
      <c r="C894" t="str">
        <f>IF(A894="","",IF(A894="[FÓRMULA MANUAL]","",IFERROR(AVERAGEIFS(nNOTA,nNIA,A894,nCUENTA,1,nASIG,"Orquesta/Banda/Conjunto"),"")))</f>
        <v/>
      </c>
      <c r="D894" t="str">
        <f>IF(A894="","",IF(A894="[FÓRMULA MANUAL]","",IFERROR(AVERAGEIFS(nNOTA,nNIA,A894,nCUENTA,1,nASIG,"Conjunto"),"")))</f>
        <v/>
      </c>
      <c r="E894" t="str">
        <f>IF(A894="","",IF(A894="[FÓRMULA MANUAL]","",IFERROR(SUMPRODUCT((nNIA=A894)*(nCUENTA=1)*(COUNTIF(CONFIG_ASIGNATURAS!$B$7:$B$27,nASIG)&gt;0)*(nNOTA))/SUMPRODUCT((nNIA=A894)*(nCUENTA=1)*(COUNTIF(CONFIG_ASIGNATURAS!$B$7:$B$27,nASIG)&gt;0)*1),"")))</f>
        <v/>
      </c>
      <c r="H894" t="str">
        <f>IF(G894="","",IF(G894="[FÓRMULA MANUAL]","",IFERROR(AVERAGEIFS(nNOTA,nNIA,G894,nCUENTA,1,nASIG,"Lenguaje Musical"),"")))</f>
        <v/>
      </c>
      <c r="I894" t="str">
        <f>IF(G894="","",IF(G894="[FÓRMULA MANUAL]","",IFERROR(AVERAGEIFS(nNOTA,nNIA,G894,nCUENTA,1,nASIG,"Orquesta/Banda/Conjunto"),"")))</f>
        <v/>
      </c>
      <c r="J894" t="str">
        <f>IF(G894="","",IF(G894="[FÓRMULA MANUAL]","",IFERROR(AVERAGEIFS(nNOTA,nNIA,G894,nCUENTA,1,nASIG,"Conjunto"),"")))</f>
        <v/>
      </c>
      <c r="K894" t="str">
        <f>IF(G894="","",IF(G894="[FÓRMULA MANUAL]","",IFERROR(SUMPRODUCT((nNIA=G894)*(nCUENTA=1)*(COUNTIF(CONFIG_ASIGNATURAS!$B$7:$B$27,nASIG)&gt;0)*(nNOTA))/SUMPRODUCT((nNIA=G894)*(nCUENTA=1)*(COUNTIF(CONFIG_ASIGNATURAS!$B$7:$B$27,nASIG)&gt;0)*1),"")))</f>
        <v/>
      </c>
      <c r="N894" t="str">
        <f>IF(M894="","",IF(M894="[FÓRMULA MANUAL]","",IFERROR(AVERAGEIFS(nNOTA,nNIA,M894,nCUENTA,1,nASIG,"Armonía"),"")))</f>
        <v/>
      </c>
      <c r="O894" t="str">
        <f>IF(M894="","",IF(M894="[FÓRMULA MANUAL]","",IFERROR(AVERAGEIFS(nNOTA,nNIA,M894,nCUENTA,1,nASIG,"Orquesta/Banda/Conjunto"),"")))</f>
        <v/>
      </c>
      <c r="P894" t="str">
        <f>IF(M894="","",IF(M894="[FÓRMULA MANUAL]","",IFERROR(AVERAGEIFS(nNOTA,nNIA,M894,nCUENTA,1,nASIG,"Música de Cámara"),"")))</f>
        <v/>
      </c>
      <c r="Q894" t="str">
        <f>IF(M894="","",IF(M894="[FÓRMULA MANUAL]","",IFERROR(SUMPRODUCT((nNIA=M894)*(nCUENTA=1)*(COUNTIF(CONFIG_ASIGNATURAS!$B$7:$B$27,nASIG)&gt;0)*(nNOTA))/SUMPRODUCT((nNIA=M894)*(nCUENTA=1)*(COUNTIF(CONFIG_ASIGNATURAS!$B$7:$B$27,nASIG)&gt;0)*1),"")))</f>
        <v/>
      </c>
      <c r="T894" t="str">
        <f>IF(S894="","",IF(S894="[FÓRMULA MANUAL]","",IFERROR(AVERAGEIFS(nNOTA,nNIA,S894,nCUENTA,1,nASIG,"Armonía"),"")))</f>
        <v/>
      </c>
      <c r="U894" t="str">
        <f>IF(S894="","",IF(S894="[FÓRMULA MANUAL]","",IFERROR(AVERAGEIFS(nNOTA,nNIA,S894,nCUENTA,1,nASIG,"Orquesta/Banda/Conjunto"),"")))</f>
        <v/>
      </c>
      <c r="V894" t="str">
        <f>IF(S894="","",IF(S894="[FÓRMULA MANUAL]","",IFERROR(AVERAGEIFS(nNOTA,nNIA,S894,nCUENTA,1,nASIG,"Música de Cámara"),"")))</f>
        <v/>
      </c>
      <c r="W894" t="str">
        <f>IF(S894="","",IF(S894="[FÓRMULA MANUAL]","",IFERROR(SUMPRODUCT((nNIA=S894)*(nCUENTA=1)*(COUNTIF(CONFIG_ASIGNATURAS!$B$7:$B$27,nASIG)&gt;0)*(nNOTA))/SUMPRODUCT((nNIA=S894)*(nCUENTA=1)*(COUNTIF(CONFIG_ASIGNATURAS!$B$7:$B$27,nASIG)&gt;0)*1),"")))</f>
        <v/>
      </c>
      <c r="Z894" t="str">
        <f>IF(Y894="","",IF(Y894="[FÓRMULA MANUAL]","",IFERROR(AVERAGEIFS(nNOTA,nNIA,Y894,nCUENTA,1,nASIG,"Análisis"),"")))</f>
        <v/>
      </c>
      <c r="AA894" t="str">
        <f>IF(Y894="","",IF(Y894="[FÓRMULA MANUAL]","",IFERROR(AVERAGEIFS(nNOTA,nNIA,Y894,nCUENTA,1,nASIG,"Orquesta/Banda/Conjunto"),"")))</f>
        <v/>
      </c>
      <c r="AB894" t="str">
        <f>IF(Y894="","",IF(Y894="[FÓRMULA MANUAL]","",IFERROR(AVERAGEIFS(nNOTA,nNIA,Y894,nCUENTA,1,nASIG,"Música de Cámara"),"")))</f>
        <v/>
      </c>
      <c r="AC894" t="str">
        <f>IF(Y894="","",IF(Y894="[FÓRMULA MANUAL]","",IFERROR(SUMPRODUCT((nNIA=Y894)*(nCUENTA=1)*(COUNTIF(CONFIG_ASIGNATURAS!$B$7:$B$27,nASIG)&gt;0)*(nNOTA))/SUMPRODUCT((nNIA=Y894)*(nCUENTA=1)*(COUNTIF(CONFIG_ASIGNATURAS!$B$7:$B$27,nASIG)&gt;0)*1),"")))</f>
        <v/>
      </c>
      <c r="AF894" t="str">
        <f>IF(AE894="","",IF(AE894="[FÓRMULA MANUAL]","",IFERROR(AVERAGEIFS(nNOTA,nNIA,AE894,nCUENTA,1,nASIG,"Análisis"),"")))</f>
        <v/>
      </c>
      <c r="AG894" t="str">
        <f>IF(AE894="","",IF(AE894="[FÓRMULA MANUAL]","",IFERROR(AVERAGEIFS(nNOTA,nNIA,AE894,nCUENTA,1,nASIG,"Orquesta/Banda/Conjunto"),"")))</f>
        <v/>
      </c>
      <c r="AH894" t="str">
        <f>IF(AE894="","",IF(AE894="[FÓRMULA MANUAL]","",IFERROR(AVERAGEIFS(nNOTA,nNIA,AE894,nCUENTA,1,nASIG,"Música de Cámara"),"")))</f>
        <v/>
      </c>
      <c r="AI894" t="str">
        <f>IF(AE894="","",IF(AE894="[FÓRMULA MANUAL]","",IFERROR(SUMPRODUCT((nNIA=AE894)*(nCUENTA=1)*(COUNTIF(CONFIG_ASIGNATURAS!$B$7:$B$27,nASIG)&gt;0)*(nNOTA))/SUMPRODUCT((nNIA=AE894)*(nCUENTA=1)*(COUNTIF(CONFIG_ASIGNATURAS!$B$7:$B$27,nASIG)&gt;0)*1),"")))</f>
        <v/>
      </c>
    </row>
    <row r="895" spans="2:35" x14ac:dyDescent="0.2">
      <c r="B895" t="str">
        <f>IF(A895="","",IF(A895="[FÓRMULA MANUAL]","",IFERROR(AVERAGEIFS(nNOTA,nNIA,A895,nCUENTA,1,nASIG,"Lenguaje Musical"),"")))</f>
        <v/>
      </c>
      <c r="C895" t="str">
        <f>IF(A895="","",IF(A895="[FÓRMULA MANUAL]","",IFERROR(AVERAGEIFS(nNOTA,nNIA,A895,nCUENTA,1,nASIG,"Orquesta/Banda/Conjunto"),"")))</f>
        <v/>
      </c>
      <c r="D895" t="str">
        <f>IF(A895="","",IF(A895="[FÓRMULA MANUAL]","",IFERROR(AVERAGEIFS(nNOTA,nNIA,A895,nCUENTA,1,nASIG,"Conjunto"),"")))</f>
        <v/>
      </c>
      <c r="E895" t="str">
        <f>IF(A895="","",IF(A895="[FÓRMULA MANUAL]","",IFERROR(SUMPRODUCT((nNIA=A895)*(nCUENTA=1)*(COUNTIF(CONFIG_ASIGNATURAS!$B$7:$B$27,nASIG)&gt;0)*(nNOTA))/SUMPRODUCT((nNIA=A895)*(nCUENTA=1)*(COUNTIF(CONFIG_ASIGNATURAS!$B$7:$B$27,nASIG)&gt;0)*1),"")))</f>
        <v/>
      </c>
      <c r="H895" t="str">
        <f>IF(G895="","",IF(G895="[FÓRMULA MANUAL]","",IFERROR(AVERAGEIFS(nNOTA,nNIA,G895,nCUENTA,1,nASIG,"Lenguaje Musical"),"")))</f>
        <v/>
      </c>
      <c r="I895" t="str">
        <f>IF(G895="","",IF(G895="[FÓRMULA MANUAL]","",IFERROR(AVERAGEIFS(nNOTA,nNIA,G895,nCUENTA,1,nASIG,"Orquesta/Banda/Conjunto"),"")))</f>
        <v/>
      </c>
      <c r="J895" t="str">
        <f>IF(G895="","",IF(G895="[FÓRMULA MANUAL]","",IFERROR(AVERAGEIFS(nNOTA,nNIA,G895,nCUENTA,1,nASIG,"Conjunto"),"")))</f>
        <v/>
      </c>
      <c r="K895" t="str">
        <f>IF(G895="","",IF(G895="[FÓRMULA MANUAL]","",IFERROR(SUMPRODUCT((nNIA=G895)*(nCUENTA=1)*(COUNTIF(CONFIG_ASIGNATURAS!$B$7:$B$27,nASIG)&gt;0)*(nNOTA))/SUMPRODUCT((nNIA=G895)*(nCUENTA=1)*(COUNTIF(CONFIG_ASIGNATURAS!$B$7:$B$27,nASIG)&gt;0)*1),"")))</f>
        <v/>
      </c>
      <c r="N895" t="str">
        <f>IF(M895="","",IF(M895="[FÓRMULA MANUAL]","",IFERROR(AVERAGEIFS(nNOTA,nNIA,M895,nCUENTA,1,nASIG,"Armonía"),"")))</f>
        <v/>
      </c>
      <c r="O895" t="str">
        <f>IF(M895="","",IF(M895="[FÓRMULA MANUAL]","",IFERROR(AVERAGEIFS(nNOTA,nNIA,M895,nCUENTA,1,nASIG,"Orquesta/Banda/Conjunto"),"")))</f>
        <v/>
      </c>
      <c r="P895" t="str">
        <f>IF(M895="","",IF(M895="[FÓRMULA MANUAL]","",IFERROR(AVERAGEIFS(nNOTA,nNIA,M895,nCUENTA,1,nASIG,"Música de Cámara"),"")))</f>
        <v/>
      </c>
      <c r="Q895" t="str">
        <f>IF(M895="","",IF(M895="[FÓRMULA MANUAL]","",IFERROR(SUMPRODUCT((nNIA=M895)*(nCUENTA=1)*(COUNTIF(CONFIG_ASIGNATURAS!$B$7:$B$27,nASIG)&gt;0)*(nNOTA))/SUMPRODUCT((nNIA=M895)*(nCUENTA=1)*(COUNTIF(CONFIG_ASIGNATURAS!$B$7:$B$27,nASIG)&gt;0)*1),"")))</f>
        <v/>
      </c>
      <c r="T895" t="str">
        <f>IF(S895="","",IF(S895="[FÓRMULA MANUAL]","",IFERROR(AVERAGEIFS(nNOTA,nNIA,S895,nCUENTA,1,nASIG,"Armonía"),"")))</f>
        <v/>
      </c>
      <c r="U895" t="str">
        <f>IF(S895="","",IF(S895="[FÓRMULA MANUAL]","",IFERROR(AVERAGEIFS(nNOTA,nNIA,S895,nCUENTA,1,nASIG,"Orquesta/Banda/Conjunto"),"")))</f>
        <v/>
      </c>
      <c r="V895" t="str">
        <f>IF(S895="","",IF(S895="[FÓRMULA MANUAL]","",IFERROR(AVERAGEIFS(nNOTA,nNIA,S895,nCUENTA,1,nASIG,"Música de Cámara"),"")))</f>
        <v/>
      </c>
      <c r="W895" t="str">
        <f>IF(S895="","",IF(S895="[FÓRMULA MANUAL]","",IFERROR(SUMPRODUCT((nNIA=S895)*(nCUENTA=1)*(COUNTIF(CONFIG_ASIGNATURAS!$B$7:$B$27,nASIG)&gt;0)*(nNOTA))/SUMPRODUCT((nNIA=S895)*(nCUENTA=1)*(COUNTIF(CONFIG_ASIGNATURAS!$B$7:$B$27,nASIG)&gt;0)*1),"")))</f>
        <v/>
      </c>
      <c r="Z895" t="str">
        <f>IF(Y895="","",IF(Y895="[FÓRMULA MANUAL]","",IFERROR(AVERAGEIFS(nNOTA,nNIA,Y895,nCUENTA,1,nASIG,"Análisis"),"")))</f>
        <v/>
      </c>
      <c r="AA895" t="str">
        <f>IF(Y895="","",IF(Y895="[FÓRMULA MANUAL]","",IFERROR(AVERAGEIFS(nNOTA,nNIA,Y895,nCUENTA,1,nASIG,"Orquesta/Banda/Conjunto"),"")))</f>
        <v/>
      </c>
      <c r="AB895" t="str">
        <f>IF(Y895="","",IF(Y895="[FÓRMULA MANUAL]","",IFERROR(AVERAGEIFS(nNOTA,nNIA,Y895,nCUENTA,1,nASIG,"Música de Cámara"),"")))</f>
        <v/>
      </c>
      <c r="AC895" t="str">
        <f>IF(Y895="","",IF(Y895="[FÓRMULA MANUAL]","",IFERROR(SUMPRODUCT((nNIA=Y895)*(nCUENTA=1)*(COUNTIF(CONFIG_ASIGNATURAS!$B$7:$B$27,nASIG)&gt;0)*(nNOTA))/SUMPRODUCT((nNIA=Y895)*(nCUENTA=1)*(COUNTIF(CONFIG_ASIGNATURAS!$B$7:$B$27,nASIG)&gt;0)*1),"")))</f>
        <v/>
      </c>
      <c r="AF895" t="str">
        <f>IF(AE895="","",IF(AE895="[FÓRMULA MANUAL]","",IFERROR(AVERAGEIFS(nNOTA,nNIA,AE895,nCUENTA,1,nASIG,"Análisis"),"")))</f>
        <v/>
      </c>
      <c r="AG895" t="str">
        <f>IF(AE895="","",IF(AE895="[FÓRMULA MANUAL]","",IFERROR(AVERAGEIFS(nNOTA,nNIA,AE895,nCUENTA,1,nASIG,"Orquesta/Banda/Conjunto"),"")))</f>
        <v/>
      </c>
      <c r="AH895" t="str">
        <f>IF(AE895="","",IF(AE895="[FÓRMULA MANUAL]","",IFERROR(AVERAGEIFS(nNOTA,nNIA,AE895,nCUENTA,1,nASIG,"Música de Cámara"),"")))</f>
        <v/>
      </c>
      <c r="AI895" t="str">
        <f>IF(AE895="","",IF(AE895="[FÓRMULA MANUAL]","",IFERROR(SUMPRODUCT((nNIA=AE895)*(nCUENTA=1)*(COUNTIF(CONFIG_ASIGNATURAS!$B$7:$B$27,nASIG)&gt;0)*(nNOTA))/SUMPRODUCT((nNIA=AE895)*(nCUENTA=1)*(COUNTIF(CONFIG_ASIGNATURAS!$B$7:$B$27,nASIG)&gt;0)*1),"")))</f>
        <v/>
      </c>
    </row>
    <row r="896" spans="2:35" x14ac:dyDescent="0.2">
      <c r="B896" t="str">
        <f>IF(A896="","",IF(A896="[FÓRMULA MANUAL]","",IFERROR(AVERAGEIFS(nNOTA,nNIA,A896,nCUENTA,1,nASIG,"Lenguaje Musical"),"")))</f>
        <v/>
      </c>
      <c r="C896" t="str">
        <f>IF(A896="","",IF(A896="[FÓRMULA MANUAL]","",IFERROR(AVERAGEIFS(nNOTA,nNIA,A896,nCUENTA,1,nASIG,"Orquesta/Banda/Conjunto"),"")))</f>
        <v/>
      </c>
      <c r="D896" t="str">
        <f>IF(A896="","",IF(A896="[FÓRMULA MANUAL]","",IFERROR(AVERAGEIFS(nNOTA,nNIA,A896,nCUENTA,1,nASIG,"Conjunto"),"")))</f>
        <v/>
      </c>
      <c r="E896" t="str">
        <f>IF(A896="","",IF(A896="[FÓRMULA MANUAL]","",IFERROR(SUMPRODUCT((nNIA=A896)*(nCUENTA=1)*(COUNTIF(CONFIG_ASIGNATURAS!$B$7:$B$27,nASIG)&gt;0)*(nNOTA))/SUMPRODUCT((nNIA=A896)*(nCUENTA=1)*(COUNTIF(CONFIG_ASIGNATURAS!$B$7:$B$27,nASIG)&gt;0)*1),"")))</f>
        <v/>
      </c>
      <c r="H896" t="str">
        <f>IF(G896="","",IF(G896="[FÓRMULA MANUAL]","",IFERROR(AVERAGEIFS(nNOTA,nNIA,G896,nCUENTA,1,nASIG,"Lenguaje Musical"),"")))</f>
        <v/>
      </c>
      <c r="I896" t="str">
        <f>IF(G896="","",IF(G896="[FÓRMULA MANUAL]","",IFERROR(AVERAGEIFS(nNOTA,nNIA,G896,nCUENTA,1,nASIG,"Orquesta/Banda/Conjunto"),"")))</f>
        <v/>
      </c>
      <c r="J896" t="str">
        <f>IF(G896="","",IF(G896="[FÓRMULA MANUAL]","",IFERROR(AVERAGEIFS(nNOTA,nNIA,G896,nCUENTA,1,nASIG,"Conjunto"),"")))</f>
        <v/>
      </c>
      <c r="K896" t="str">
        <f>IF(G896="","",IF(G896="[FÓRMULA MANUAL]","",IFERROR(SUMPRODUCT((nNIA=G896)*(nCUENTA=1)*(COUNTIF(CONFIG_ASIGNATURAS!$B$7:$B$27,nASIG)&gt;0)*(nNOTA))/SUMPRODUCT((nNIA=G896)*(nCUENTA=1)*(COUNTIF(CONFIG_ASIGNATURAS!$B$7:$B$27,nASIG)&gt;0)*1),"")))</f>
        <v/>
      </c>
      <c r="N896" t="str">
        <f>IF(M896="","",IF(M896="[FÓRMULA MANUAL]","",IFERROR(AVERAGEIFS(nNOTA,nNIA,M896,nCUENTA,1,nASIG,"Armonía"),"")))</f>
        <v/>
      </c>
      <c r="O896" t="str">
        <f>IF(M896="","",IF(M896="[FÓRMULA MANUAL]","",IFERROR(AVERAGEIFS(nNOTA,nNIA,M896,nCUENTA,1,nASIG,"Orquesta/Banda/Conjunto"),"")))</f>
        <v/>
      </c>
      <c r="P896" t="str">
        <f>IF(M896="","",IF(M896="[FÓRMULA MANUAL]","",IFERROR(AVERAGEIFS(nNOTA,nNIA,M896,nCUENTA,1,nASIG,"Música de Cámara"),"")))</f>
        <v/>
      </c>
      <c r="Q896" t="str">
        <f>IF(M896="","",IF(M896="[FÓRMULA MANUAL]","",IFERROR(SUMPRODUCT((nNIA=M896)*(nCUENTA=1)*(COUNTIF(CONFIG_ASIGNATURAS!$B$7:$B$27,nASIG)&gt;0)*(nNOTA))/SUMPRODUCT((nNIA=M896)*(nCUENTA=1)*(COUNTIF(CONFIG_ASIGNATURAS!$B$7:$B$27,nASIG)&gt;0)*1),"")))</f>
        <v/>
      </c>
      <c r="T896" t="str">
        <f>IF(S896="","",IF(S896="[FÓRMULA MANUAL]","",IFERROR(AVERAGEIFS(nNOTA,nNIA,S896,nCUENTA,1,nASIG,"Armonía"),"")))</f>
        <v/>
      </c>
      <c r="U896" t="str">
        <f>IF(S896="","",IF(S896="[FÓRMULA MANUAL]","",IFERROR(AVERAGEIFS(nNOTA,nNIA,S896,nCUENTA,1,nASIG,"Orquesta/Banda/Conjunto"),"")))</f>
        <v/>
      </c>
      <c r="V896" t="str">
        <f>IF(S896="","",IF(S896="[FÓRMULA MANUAL]","",IFERROR(AVERAGEIFS(nNOTA,nNIA,S896,nCUENTA,1,nASIG,"Música de Cámara"),"")))</f>
        <v/>
      </c>
      <c r="W896" t="str">
        <f>IF(S896="","",IF(S896="[FÓRMULA MANUAL]","",IFERROR(SUMPRODUCT((nNIA=S896)*(nCUENTA=1)*(COUNTIF(CONFIG_ASIGNATURAS!$B$7:$B$27,nASIG)&gt;0)*(nNOTA))/SUMPRODUCT((nNIA=S896)*(nCUENTA=1)*(COUNTIF(CONFIG_ASIGNATURAS!$B$7:$B$27,nASIG)&gt;0)*1),"")))</f>
        <v/>
      </c>
      <c r="Z896" t="str">
        <f>IF(Y896="","",IF(Y896="[FÓRMULA MANUAL]","",IFERROR(AVERAGEIFS(nNOTA,nNIA,Y896,nCUENTA,1,nASIG,"Análisis"),"")))</f>
        <v/>
      </c>
      <c r="AA896" t="str">
        <f>IF(Y896="","",IF(Y896="[FÓRMULA MANUAL]","",IFERROR(AVERAGEIFS(nNOTA,nNIA,Y896,nCUENTA,1,nASIG,"Orquesta/Banda/Conjunto"),"")))</f>
        <v/>
      </c>
      <c r="AB896" t="str">
        <f>IF(Y896="","",IF(Y896="[FÓRMULA MANUAL]","",IFERROR(AVERAGEIFS(nNOTA,nNIA,Y896,nCUENTA,1,nASIG,"Música de Cámara"),"")))</f>
        <v/>
      </c>
      <c r="AC896" t="str">
        <f>IF(Y896="","",IF(Y896="[FÓRMULA MANUAL]","",IFERROR(SUMPRODUCT((nNIA=Y896)*(nCUENTA=1)*(COUNTIF(CONFIG_ASIGNATURAS!$B$7:$B$27,nASIG)&gt;0)*(nNOTA))/SUMPRODUCT((nNIA=Y896)*(nCUENTA=1)*(COUNTIF(CONFIG_ASIGNATURAS!$B$7:$B$27,nASIG)&gt;0)*1),"")))</f>
        <v/>
      </c>
      <c r="AF896" t="str">
        <f>IF(AE896="","",IF(AE896="[FÓRMULA MANUAL]","",IFERROR(AVERAGEIFS(nNOTA,nNIA,AE896,nCUENTA,1,nASIG,"Análisis"),"")))</f>
        <v/>
      </c>
      <c r="AG896" t="str">
        <f>IF(AE896="","",IF(AE896="[FÓRMULA MANUAL]","",IFERROR(AVERAGEIFS(nNOTA,nNIA,AE896,nCUENTA,1,nASIG,"Orquesta/Banda/Conjunto"),"")))</f>
        <v/>
      </c>
      <c r="AH896" t="str">
        <f>IF(AE896="","",IF(AE896="[FÓRMULA MANUAL]","",IFERROR(AVERAGEIFS(nNOTA,nNIA,AE896,nCUENTA,1,nASIG,"Música de Cámara"),"")))</f>
        <v/>
      </c>
      <c r="AI896" t="str">
        <f>IF(AE896="","",IF(AE896="[FÓRMULA MANUAL]","",IFERROR(SUMPRODUCT((nNIA=AE896)*(nCUENTA=1)*(COUNTIF(CONFIG_ASIGNATURAS!$B$7:$B$27,nASIG)&gt;0)*(nNOTA))/SUMPRODUCT((nNIA=AE896)*(nCUENTA=1)*(COUNTIF(CONFIG_ASIGNATURAS!$B$7:$B$27,nASIG)&gt;0)*1),"")))</f>
        <v/>
      </c>
    </row>
    <row r="897" spans="2:35" x14ac:dyDescent="0.2">
      <c r="B897" t="str">
        <f>IF(A897="","",IF(A897="[FÓRMULA MANUAL]","",IFERROR(AVERAGEIFS(nNOTA,nNIA,A897,nCUENTA,1,nASIG,"Lenguaje Musical"),"")))</f>
        <v/>
      </c>
      <c r="C897" t="str">
        <f>IF(A897="","",IF(A897="[FÓRMULA MANUAL]","",IFERROR(AVERAGEIFS(nNOTA,nNIA,A897,nCUENTA,1,nASIG,"Orquesta/Banda/Conjunto"),"")))</f>
        <v/>
      </c>
      <c r="D897" t="str">
        <f>IF(A897="","",IF(A897="[FÓRMULA MANUAL]","",IFERROR(AVERAGEIFS(nNOTA,nNIA,A897,nCUENTA,1,nASIG,"Conjunto"),"")))</f>
        <v/>
      </c>
      <c r="E897" t="str">
        <f>IF(A897="","",IF(A897="[FÓRMULA MANUAL]","",IFERROR(SUMPRODUCT((nNIA=A897)*(nCUENTA=1)*(COUNTIF(CONFIG_ASIGNATURAS!$B$7:$B$27,nASIG)&gt;0)*(nNOTA))/SUMPRODUCT((nNIA=A897)*(nCUENTA=1)*(COUNTIF(CONFIG_ASIGNATURAS!$B$7:$B$27,nASIG)&gt;0)*1),"")))</f>
        <v/>
      </c>
      <c r="H897" t="str">
        <f>IF(G897="","",IF(G897="[FÓRMULA MANUAL]","",IFERROR(AVERAGEIFS(nNOTA,nNIA,G897,nCUENTA,1,nASIG,"Lenguaje Musical"),"")))</f>
        <v/>
      </c>
      <c r="I897" t="str">
        <f>IF(G897="","",IF(G897="[FÓRMULA MANUAL]","",IFERROR(AVERAGEIFS(nNOTA,nNIA,G897,nCUENTA,1,nASIG,"Orquesta/Banda/Conjunto"),"")))</f>
        <v/>
      </c>
      <c r="J897" t="str">
        <f>IF(G897="","",IF(G897="[FÓRMULA MANUAL]","",IFERROR(AVERAGEIFS(nNOTA,nNIA,G897,nCUENTA,1,nASIG,"Conjunto"),"")))</f>
        <v/>
      </c>
      <c r="K897" t="str">
        <f>IF(G897="","",IF(G897="[FÓRMULA MANUAL]","",IFERROR(SUMPRODUCT((nNIA=G897)*(nCUENTA=1)*(COUNTIF(CONFIG_ASIGNATURAS!$B$7:$B$27,nASIG)&gt;0)*(nNOTA))/SUMPRODUCT((nNIA=G897)*(nCUENTA=1)*(COUNTIF(CONFIG_ASIGNATURAS!$B$7:$B$27,nASIG)&gt;0)*1),"")))</f>
        <v/>
      </c>
      <c r="N897" t="str">
        <f>IF(M897="","",IF(M897="[FÓRMULA MANUAL]","",IFERROR(AVERAGEIFS(nNOTA,nNIA,M897,nCUENTA,1,nASIG,"Armonía"),"")))</f>
        <v/>
      </c>
      <c r="O897" t="str">
        <f>IF(M897="","",IF(M897="[FÓRMULA MANUAL]","",IFERROR(AVERAGEIFS(nNOTA,nNIA,M897,nCUENTA,1,nASIG,"Orquesta/Banda/Conjunto"),"")))</f>
        <v/>
      </c>
      <c r="P897" t="str">
        <f>IF(M897="","",IF(M897="[FÓRMULA MANUAL]","",IFERROR(AVERAGEIFS(nNOTA,nNIA,M897,nCUENTA,1,nASIG,"Música de Cámara"),"")))</f>
        <v/>
      </c>
      <c r="Q897" t="str">
        <f>IF(M897="","",IF(M897="[FÓRMULA MANUAL]","",IFERROR(SUMPRODUCT((nNIA=M897)*(nCUENTA=1)*(COUNTIF(CONFIG_ASIGNATURAS!$B$7:$B$27,nASIG)&gt;0)*(nNOTA))/SUMPRODUCT((nNIA=M897)*(nCUENTA=1)*(COUNTIF(CONFIG_ASIGNATURAS!$B$7:$B$27,nASIG)&gt;0)*1),"")))</f>
        <v/>
      </c>
      <c r="T897" t="str">
        <f>IF(S897="","",IF(S897="[FÓRMULA MANUAL]","",IFERROR(AVERAGEIFS(nNOTA,nNIA,S897,nCUENTA,1,nASIG,"Armonía"),"")))</f>
        <v/>
      </c>
      <c r="U897" t="str">
        <f>IF(S897="","",IF(S897="[FÓRMULA MANUAL]","",IFERROR(AVERAGEIFS(nNOTA,nNIA,S897,nCUENTA,1,nASIG,"Orquesta/Banda/Conjunto"),"")))</f>
        <v/>
      </c>
      <c r="V897" t="str">
        <f>IF(S897="","",IF(S897="[FÓRMULA MANUAL]","",IFERROR(AVERAGEIFS(nNOTA,nNIA,S897,nCUENTA,1,nASIG,"Música de Cámara"),"")))</f>
        <v/>
      </c>
      <c r="W897" t="str">
        <f>IF(S897="","",IF(S897="[FÓRMULA MANUAL]","",IFERROR(SUMPRODUCT((nNIA=S897)*(nCUENTA=1)*(COUNTIF(CONFIG_ASIGNATURAS!$B$7:$B$27,nASIG)&gt;0)*(nNOTA))/SUMPRODUCT((nNIA=S897)*(nCUENTA=1)*(COUNTIF(CONFIG_ASIGNATURAS!$B$7:$B$27,nASIG)&gt;0)*1),"")))</f>
        <v/>
      </c>
      <c r="Z897" t="str">
        <f>IF(Y897="","",IF(Y897="[FÓRMULA MANUAL]","",IFERROR(AVERAGEIFS(nNOTA,nNIA,Y897,nCUENTA,1,nASIG,"Análisis"),"")))</f>
        <v/>
      </c>
      <c r="AA897" t="str">
        <f>IF(Y897="","",IF(Y897="[FÓRMULA MANUAL]","",IFERROR(AVERAGEIFS(nNOTA,nNIA,Y897,nCUENTA,1,nASIG,"Orquesta/Banda/Conjunto"),"")))</f>
        <v/>
      </c>
      <c r="AB897" t="str">
        <f>IF(Y897="","",IF(Y897="[FÓRMULA MANUAL]","",IFERROR(AVERAGEIFS(nNOTA,nNIA,Y897,nCUENTA,1,nASIG,"Música de Cámara"),"")))</f>
        <v/>
      </c>
      <c r="AC897" t="str">
        <f>IF(Y897="","",IF(Y897="[FÓRMULA MANUAL]","",IFERROR(SUMPRODUCT((nNIA=Y897)*(nCUENTA=1)*(COUNTIF(CONFIG_ASIGNATURAS!$B$7:$B$27,nASIG)&gt;0)*(nNOTA))/SUMPRODUCT((nNIA=Y897)*(nCUENTA=1)*(COUNTIF(CONFIG_ASIGNATURAS!$B$7:$B$27,nASIG)&gt;0)*1),"")))</f>
        <v/>
      </c>
      <c r="AF897" t="str">
        <f>IF(AE897="","",IF(AE897="[FÓRMULA MANUAL]","",IFERROR(AVERAGEIFS(nNOTA,nNIA,AE897,nCUENTA,1,nASIG,"Análisis"),"")))</f>
        <v/>
      </c>
      <c r="AG897" t="str">
        <f>IF(AE897="","",IF(AE897="[FÓRMULA MANUAL]","",IFERROR(AVERAGEIFS(nNOTA,nNIA,AE897,nCUENTA,1,nASIG,"Orquesta/Banda/Conjunto"),"")))</f>
        <v/>
      </c>
      <c r="AH897" t="str">
        <f>IF(AE897="","",IF(AE897="[FÓRMULA MANUAL]","",IFERROR(AVERAGEIFS(nNOTA,nNIA,AE897,nCUENTA,1,nASIG,"Música de Cámara"),"")))</f>
        <v/>
      </c>
      <c r="AI897" t="str">
        <f>IF(AE897="","",IF(AE897="[FÓRMULA MANUAL]","",IFERROR(SUMPRODUCT((nNIA=AE897)*(nCUENTA=1)*(COUNTIF(CONFIG_ASIGNATURAS!$B$7:$B$27,nASIG)&gt;0)*(nNOTA))/SUMPRODUCT((nNIA=AE897)*(nCUENTA=1)*(COUNTIF(CONFIG_ASIGNATURAS!$B$7:$B$27,nASIG)&gt;0)*1),"")))</f>
        <v/>
      </c>
    </row>
    <row r="898" spans="2:35" x14ac:dyDescent="0.2">
      <c r="B898" t="str">
        <f>IF(A898="","",IF(A898="[FÓRMULA MANUAL]","",IFERROR(AVERAGEIFS(nNOTA,nNIA,A898,nCUENTA,1,nASIG,"Lenguaje Musical"),"")))</f>
        <v/>
      </c>
      <c r="C898" t="str">
        <f>IF(A898="","",IF(A898="[FÓRMULA MANUAL]","",IFERROR(AVERAGEIFS(nNOTA,nNIA,A898,nCUENTA,1,nASIG,"Orquesta/Banda/Conjunto"),"")))</f>
        <v/>
      </c>
      <c r="D898" t="str">
        <f>IF(A898="","",IF(A898="[FÓRMULA MANUAL]","",IFERROR(AVERAGEIFS(nNOTA,nNIA,A898,nCUENTA,1,nASIG,"Conjunto"),"")))</f>
        <v/>
      </c>
      <c r="E898" t="str">
        <f>IF(A898="","",IF(A898="[FÓRMULA MANUAL]","",IFERROR(SUMPRODUCT((nNIA=A898)*(nCUENTA=1)*(COUNTIF(CONFIG_ASIGNATURAS!$B$7:$B$27,nASIG)&gt;0)*(nNOTA))/SUMPRODUCT((nNIA=A898)*(nCUENTA=1)*(COUNTIF(CONFIG_ASIGNATURAS!$B$7:$B$27,nASIG)&gt;0)*1),"")))</f>
        <v/>
      </c>
      <c r="H898" t="str">
        <f>IF(G898="","",IF(G898="[FÓRMULA MANUAL]","",IFERROR(AVERAGEIFS(nNOTA,nNIA,G898,nCUENTA,1,nASIG,"Lenguaje Musical"),"")))</f>
        <v/>
      </c>
      <c r="I898" t="str">
        <f>IF(G898="","",IF(G898="[FÓRMULA MANUAL]","",IFERROR(AVERAGEIFS(nNOTA,nNIA,G898,nCUENTA,1,nASIG,"Orquesta/Banda/Conjunto"),"")))</f>
        <v/>
      </c>
      <c r="J898" t="str">
        <f>IF(G898="","",IF(G898="[FÓRMULA MANUAL]","",IFERROR(AVERAGEIFS(nNOTA,nNIA,G898,nCUENTA,1,nASIG,"Conjunto"),"")))</f>
        <v/>
      </c>
      <c r="K898" t="str">
        <f>IF(G898="","",IF(G898="[FÓRMULA MANUAL]","",IFERROR(SUMPRODUCT((nNIA=G898)*(nCUENTA=1)*(COUNTIF(CONFIG_ASIGNATURAS!$B$7:$B$27,nASIG)&gt;0)*(nNOTA))/SUMPRODUCT((nNIA=G898)*(nCUENTA=1)*(COUNTIF(CONFIG_ASIGNATURAS!$B$7:$B$27,nASIG)&gt;0)*1),"")))</f>
        <v/>
      </c>
      <c r="N898" t="str">
        <f>IF(M898="","",IF(M898="[FÓRMULA MANUAL]","",IFERROR(AVERAGEIFS(nNOTA,nNIA,M898,nCUENTA,1,nASIG,"Armonía"),"")))</f>
        <v/>
      </c>
      <c r="O898" t="str">
        <f>IF(M898="","",IF(M898="[FÓRMULA MANUAL]","",IFERROR(AVERAGEIFS(nNOTA,nNIA,M898,nCUENTA,1,nASIG,"Orquesta/Banda/Conjunto"),"")))</f>
        <v/>
      </c>
      <c r="P898" t="str">
        <f>IF(M898="","",IF(M898="[FÓRMULA MANUAL]","",IFERROR(AVERAGEIFS(nNOTA,nNIA,M898,nCUENTA,1,nASIG,"Música de Cámara"),"")))</f>
        <v/>
      </c>
      <c r="Q898" t="str">
        <f>IF(M898="","",IF(M898="[FÓRMULA MANUAL]","",IFERROR(SUMPRODUCT((nNIA=M898)*(nCUENTA=1)*(COUNTIF(CONFIG_ASIGNATURAS!$B$7:$B$27,nASIG)&gt;0)*(nNOTA))/SUMPRODUCT((nNIA=M898)*(nCUENTA=1)*(COUNTIF(CONFIG_ASIGNATURAS!$B$7:$B$27,nASIG)&gt;0)*1),"")))</f>
        <v/>
      </c>
      <c r="T898" t="str">
        <f>IF(S898="","",IF(S898="[FÓRMULA MANUAL]","",IFERROR(AVERAGEIFS(nNOTA,nNIA,S898,nCUENTA,1,nASIG,"Armonía"),"")))</f>
        <v/>
      </c>
      <c r="U898" t="str">
        <f>IF(S898="","",IF(S898="[FÓRMULA MANUAL]","",IFERROR(AVERAGEIFS(nNOTA,nNIA,S898,nCUENTA,1,nASIG,"Orquesta/Banda/Conjunto"),"")))</f>
        <v/>
      </c>
      <c r="V898" t="str">
        <f>IF(S898="","",IF(S898="[FÓRMULA MANUAL]","",IFERROR(AVERAGEIFS(nNOTA,nNIA,S898,nCUENTA,1,nASIG,"Música de Cámara"),"")))</f>
        <v/>
      </c>
      <c r="W898" t="str">
        <f>IF(S898="","",IF(S898="[FÓRMULA MANUAL]","",IFERROR(SUMPRODUCT((nNIA=S898)*(nCUENTA=1)*(COUNTIF(CONFIG_ASIGNATURAS!$B$7:$B$27,nASIG)&gt;0)*(nNOTA))/SUMPRODUCT((nNIA=S898)*(nCUENTA=1)*(COUNTIF(CONFIG_ASIGNATURAS!$B$7:$B$27,nASIG)&gt;0)*1),"")))</f>
        <v/>
      </c>
      <c r="Z898" t="str">
        <f>IF(Y898="","",IF(Y898="[FÓRMULA MANUAL]","",IFERROR(AVERAGEIFS(nNOTA,nNIA,Y898,nCUENTA,1,nASIG,"Análisis"),"")))</f>
        <v/>
      </c>
      <c r="AA898" t="str">
        <f>IF(Y898="","",IF(Y898="[FÓRMULA MANUAL]","",IFERROR(AVERAGEIFS(nNOTA,nNIA,Y898,nCUENTA,1,nASIG,"Orquesta/Banda/Conjunto"),"")))</f>
        <v/>
      </c>
      <c r="AB898" t="str">
        <f>IF(Y898="","",IF(Y898="[FÓRMULA MANUAL]","",IFERROR(AVERAGEIFS(nNOTA,nNIA,Y898,nCUENTA,1,nASIG,"Música de Cámara"),"")))</f>
        <v/>
      </c>
      <c r="AC898" t="str">
        <f>IF(Y898="","",IF(Y898="[FÓRMULA MANUAL]","",IFERROR(SUMPRODUCT((nNIA=Y898)*(nCUENTA=1)*(COUNTIF(CONFIG_ASIGNATURAS!$B$7:$B$27,nASIG)&gt;0)*(nNOTA))/SUMPRODUCT((nNIA=Y898)*(nCUENTA=1)*(COUNTIF(CONFIG_ASIGNATURAS!$B$7:$B$27,nASIG)&gt;0)*1),"")))</f>
        <v/>
      </c>
      <c r="AF898" t="str">
        <f>IF(AE898="","",IF(AE898="[FÓRMULA MANUAL]","",IFERROR(AVERAGEIFS(nNOTA,nNIA,AE898,nCUENTA,1,nASIG,"Análisis"),"")))</f>
        <v/>
      </c>
      <c r="AG898" t="str">
        <f>IF(AE898="","",IF(AE898="[FÓRMULA MANUAL]","",IFERROR(AVERAGEIFS(nNOTA,nNIA,AE898,nCUENTA,1,nASIG,"Orquesta/Banda/Conjunto"),"")))</f>
        <v/>
      </c>
      <c r="AH898" t="str">
        <f>IF(AE898="","",IF(AE898="[FÓRMULA MANUAL]","",IFERROR(AVERAGEIFS(nNOTA,nNIA,AE898,nCUENTA,1,nASIG,"Música de Cámara"),"")))</f>
        <v/>
      </c>
      <c r="AI898" t="str">
        <f>IF(AE898="","",IF(AE898="[FÓRMULA MANUAL]","",IFERROR(SUMPRODUCT((nNIA=AE898)*(nCUENTA=1)*(COUNTIF(CONFIG_ASIGNATURAS!$B$7:$B$27,nASIG)&gt;0)*(nNOTA))/SUMPRODUCT((nNIA=AE898)*(nCUENTA=1)*(COUNTIF(CONFIG_ASIGNATURAS!$B$7:$B$27,nASIG)&gt;0)*1),"")))</f>
        <v/>
      </c>
    </row>
    <row r="899" spans="2:35" x14ac:dyDescent="0.2">
      <c r="B899" t="str">
        <f>IF(A899="","",IF(A899="[FÓRMULA MANUAL]","",IFERROR(AVERAGEIFS(nNOTA,nNIA,A899,nCUENTA,1,nASIG,"Lenguaje Musical"),"")))</f>
        <v/>
      </c>
      <c r="C899" t="str">
        <f>IF(A899="","",IF(A899="[FÓRMULA MANUAL]","",IFERROR(AVERAGEIFS(nNOTA,nNIA,A899,nCUENTA,1,nASIG,"Orquesta/Banda/Conjunto"),"")))</f>
        <v/>
      </c>
      <c r="D899" t="str">
        <f>IF(A899="","",IF(A899="[FÓRMULA MANUAL]","",IFERROR(AVERAGEIFS(nNOTA,nNIA,A899,nCUENTA,1,nASIG,"Conjunto"),"")))</f>
        <v/>
      </c>
      <c r="E899" t="str">
        <f>IF(A899="","",IF(A899="[FÓRMULA MANUAL]","",IFERROR(SUMPRODUCT((nNIA=A899)*(nCUENTA=1)*(COUNTIF(CONFIG_ASIGNATURAS!$B$7:$B$27,nASIG)&gt;0)*(nNOTA))/SUMPRODUCT((nNIA=A899)*(nCUENTA=1)*(COUNTIF(CONFIG_ASIGNATURAS!$B$7:$B$27,nASIG)&gt;0)*1),"")))</f>
        <v/>
      </c>
      <c r="H899" t="str">
        <f>IF(G899="","",IF(G899="[FÓRMULA MANUAL]","",IFERROR(AVERAGEIFS(nNOTA,nNIA,G899,nCUENTA,1,nASIG,"Lenguaje Musical"),"")))</f>
        <v/>
      </c>
      <c r="I899" t="str">
        <f>IF(G899="","",IF(G899="[FÓRMULA MANUAL]","",IFERROR(AVERAGEIFS(nNOTA,nNIA,G899,nCUENTA,1,nASIG,"Orquesta/Banda/Conjunto"),"")))</f>
        <v/>
      </c>
      <c r="J899" t="str">
        <f>IF(G899="","",IF(G899="[FÓRMULA MANUAL]","",IFERROR(AVERAGEIFS(nNOTA,nNIA,G899,nCUENTA,1,nASIG,"Conjunto"),"")))</f>
        <v/>
      </c>
      <c r="K899" t="str">
        <f>IF(G899="","",IF(G899="[FÓRMULA MANUAL]","",IFERROR(SUMPRODUCT((nNIA=G899)*(nCUENTA=1)*(COUNTIF(CONFIG_ASIGNATURAS!$B$7:$B$27,nASIG)&gt;0)*(nNOTA))/SUMPRODUCT((nNIA=G899)*(nCUENTA=1)*(COUNTIF(CONFIG_ASIGNATURAS!$B$7:$B$27,nASIG)&gt;0)*1),"")))</f>
        <v/>
      </c>
      <c r="N899" t="str">
        <f>IF(M899="","",IF(M899="[FÓRMULA MANUAL]","",IFERROR(AVERAGEIFS(nNOTA,nNIA,M899,nCUENTA,1,nASIG,"Armonía"),"")))</f>
        <v/>
      </c>
      <c r="O899" t="str">
        <f>IF(M899="","",IF(M899="[FÓRMULA MANUAL]","",IFERROR(AVERAGEIFS(nNOTA,nNIA,M899,nCUENTA,1,nASIG,"Orquesta/Banda/Conjunto"),"")))</f>
        <v/>
      </c>
      <c r="P899" t="str">
        <f>IF(M899="","",IF(M899="[FÓRMULA MANUAL]","",IFERROR(AVERAGEIFS(nNOTA,nNIA,M899,nCUENTA,1,nASIG,"Música de Cámara"),"")))</f>
        <v/>
      </c>
      <c r="Q899" t="str">
        <f>IF(M899="","",IF(M899="[FÓRMULA MANUAL]","",IFERROR(SUMPRODUCT((nNIA=M899)*(nCUENTA=1)*(COUNTIF(CONFIG_ASIGNATURAS!$B$7:$B$27,nASIG)&gt;0)*(nNOTA))/SUMPRODUCT((nNIA=M899)*(nCUENTA=1)*(COUNTIF(CONFIG_ASIGNATURAS!$B$7:$B$27,nASIG)&gt;0)*1),"")))</f>
        <v/>
      </c>
      <c r="T899" t="str">
        <f>IF(S899="","",IF(S899="[FÓRMULA MANUAL]","",IFERROR(AVERAGEIFS(nNOTA,nNIA,S899,nCUENTA,1,nASIG,"Armonía"),"")))</f>
        <v/>
      </c>
      <c r="U899" t="str">
        <f>IF(S899="","",IF(S899="[FÓRMULA MANUAL]","",IFERROR(AVERAGEIFS(nNOTA,nNIA,S899,nCUENTA,1,nASIG,"Orquesta/Banda/Conjunto"),"")))</f>
        <v/>
      </c>
      <c r="V899" t="str">
        <f>IF(S899="","",IF(S899="[FÓRMULA MANUAL]","",IFERROR(AVERAGEIFS(nNOTA,nNIA,S899,nCUENTA,1,nASIG,"Música de Cámara"),"")))</f>
        <v/>
      </c>
      <c r="W899" t="str">
        <f>IF(S899="","",IF(S899="[FÓRMULA MANUAL]","",IFERROR(SUMPRODUCT((nNIA=S899)*(nCUENTA=1)*(COUNTIF(CONFIG_ASIGNATURAS!$B$7:$B$27,nASIG)&gt;0)*(nNOTA))/SUMPRODUCT((nNIA=S899)*(nCUENTA=1)*(COUNTIF(CONFIG_ASIGNATURAS!$B$7:$B$27,nASIG)&gt;0)*1),"")))</f>
        <v/>
      </c>
      <c r="Z899" t="str">
        <f>IF(Y899="","",IF(Y899="[FÓRMULA MANUAL]","",IFERROR(AVERAGEIFS(nNOTA,nNIA,Y899,nCUENTA,1,nASIG,"Análisis"),"")))</f>
        <v/>
      </c>
      <c r="AA899" t="str">
        <f>IF(Y899="","",IF(Y899="[FÓRMULA MANUAL]","",IFERROR(AVERAGEIFS(nNOTA,nNIA,Y899,nCUENTA,1,nASIG,"Orquesta/Banda/Conjunto"),"")))</f>
        <v/>
      </c>
      <c r="AB899" t="str">
        <f>IF(Y899="","",IF(Y899="[FÓRMULA MANUAL]","",IFERROR(AVERAGEIFS(nNOTA,nNIA,Y899,nCUENTA,1,nASIG,"Música de Cámara"),"")))</f>
        <v/>
      </c>
      <c r="AC899" t="str">
        <f>IF(Y899="","",IF(Y899="[FÓRMULA MANUAL]","",IFERROR(SUMPRODUCT((nNIA=Y899)*(nCUENTA=1)*(COUNTIF(CONFIG_ASIGNATURAS!$B$7:$B$27,nASIG)&gt;0)*(nNOTA))/SUMPRODUCT((nNIA=Y899)*(nCUENTA=1)*(COUNTIF(CONFIG_ASIGNATURAS!$B$7:$B$27,nASIG)&gt;0)*1),"")))</f>
        <v/>
      </c>
      <c r="AF899" t="str">
        <f>IF(AE899="","",IF(AE899="[FÓRMULA MANUAL]","",IFERROR(AVERAGEIFS(nNOTA,nNIA,AE899,nCUENTA,1,nASIG,"Análisis"),"")))</f>
        <v/>
      </c>
      <c r="AG899" t="str">
        <f>IF(AE899="","",IF(AE899="[FÓRMULA MANUAL]","",IFERROR(AVERAGEIFS(nNOTA,nNIA,AE899,nCUENTA,1,nASIG,"Orquesta/Banda/Conjunto"),"")))</f>
        <v/>
      </c>
      <c r="AH899" t="str">
        <f>IF(AE899="","",IF(AE899="[FÓRMULA MANUAL]","",IFERROR(AVERAGEIFS(nNOTA,nNIA,AE899,nCUENTA,1,nASIG,"Música de Cámara"),"")))</f>
        <v/>
      </c>
      <c r="AI899" t="str">
        <f>IF(AE899="","",IF(AE899="[FÓRMULA MANUAL]","",IFERROR(SUMPRODUCT((nNIA=AE899)*(nCUENTA=1)*(COUNTIF(CONFIG_ASIGNATURAS!$B$7:$B$27,nASIG)&gt;0)*(nNOTA))/SUMPRODUCT((nNIA=AE899)*(nCUENTA=1)*(COUNTIF(CONFIG_ASIGNATURAS!$B$7:$B$27,nASIG)&gt;0)*1),"")))</f>
        <v/>
      </c>
    </row>
    <row r="900" spans="2:35" x14ac:dyDescent="0.2">
      <c r="B900" t="str">
        <f>IF(A900="","",IF(A900="[FÓRMULA MANUAL]","",IFERROR(AVERAGEIFS(nNOTA,nNIA,A900,nCUENTA,1,nASIG,"Lenguaje Musical"),"")))</f>
        <v/>
      </c>
      <c r="C900" t="str">
        <f>IF(A900="","",IF(A900="[FÓRMULA MANUAL]","",IFERROR(AVERAGEIFS(nNOTA,nNIA,A900,nCUENTA,1,nASIG,"Orquesta/Banda/Conjunto"),"")))</f>
        <v/>
      </c>
      <c r="D900" t="str">
        <f>IF(A900="","",IF(A900="[FÓRMULA MANUAL]","",IFERROR(AVERAGEIFS(nNOTA,nNIA,A900,nCUENTA,1,nASIG,"Conjunto"),"")))</f>
        <v/>
      </c>
      <c r="E900" t="str">
        <f>IF(A900="","",IF(A900="[FÓRMULA MANUAL]","",IFERROR(SUMPRODUCT((nNIA=A900)*(nCUENTA=1)*(COUNTIF(CONFIG_ASIGNATURAS!$B$7:$B$27,nASIG)&gt;0)*(nNOTA))/SUMPRODUCT((nNIA=A900)*(nCUENTA=1)*(COUNTIF(CONFIG_ASIGNATURAS!$B$7:$B$27,nASIG)&gt;0)*1),"")))</f>
        <v/>
      </c>
      <c r="H900" t="str">
        <f>IF(G900="","",IF(G900="[FÓRMULA MANUAL]","",IFERROR(AVERAGEIFS(nNOTA,nNIA,G900,nCUENTA,1,nASIG,"Lenguaje Musical"),"")))</f>
        <v/>
      </c>
      <c r="I900" t="str">
        <f>IF(G900="","",IF(G900="[FÓRMULA MANUAL]","",IFERROR(AVERAGEIFS(nNOTA,nNIA,G900,nCUENTA,1,nASIG,"Orquesta/Banda/Conjunto"),"")))</f>
        <v/>
      </c>
      <c r="J900" t="str">
        <f>IF(G900="","",IF(G900="[FÓRMULA MANUAL]","",IFERROR(AVERAGEIFS(nNOTA,nNIA,G900,nCUENTA,1,nASIG,"Conjunto"),"")))</f>
        <v/>
      </c>
      <c r="K900" t="str">
        <f>IF(G900="","",IF(G900="[FÓRMULA MANUAL]","",IFERROR(SUMPRODUCT((nNIA=G900)*(nCUENTA=1)*(COUNTIF(CONFIG_ASIGNATURAS!$B$7:$B$27,nASIG)&gt;0)*(nNOTA))/SUMPRODUCT((nNIA=G900)*(nCUENTA=1)*(COUNTIF(CONFIG_ASIGNATURAS!$B$7:$B$27,nASIG)&gt;0)*1),"")))</f>
        <v/>
      </c>
      <c r="N900" t="str">
        <f>IF(M900="","",IF(M900="[FÓRMULA MANUAL]","",IFERROR(AVERAGEIFS(nNOTA,nNIA,M900,nCUENTA,1,nASIG,"Armonía"),"")))</f>
        <v/>
      </c>
      <c r="O900" t="str">
        <f>IF(M900="","",IF(M900="[FÓRMULA MANUAL]","",IFERROR(AVERAGEIFS(nNOTA,nNIA,M900,nCUENTA,1,nASIG,"Orquesta/Banda/Conjunto"),"")))</f>
        <v/>
      </c>
      <c r="P900" t="str">
        <f>IF(M900="","",IF(M900="[FÓRMULA MANUAL]","",IFERROR(AVERAGEIFS(nNOTA,nNIA,M900,nCUENTA,1,nASIG,"Música de Cámara"),"")))</f>
        <v/>
      </c>
      <c r="Q900" t="str">
        <f>IF(M900="","",IF(M900="[FÓRMULA MANUAL]","",IFERROR(SUMPRODUCT((nNIA=M900)*(nCUENTA=1)*(COUNTIF(CONFIG_ASIGNATURAS!$B$7:$B$27,nASIG)&gt;0)*(nNOTA))/SUMPRODUCT((nNIA=M900)*(nCUENTA=1)*(COUNTIF(CONFIG_ASIGNATURAS!$B$7:$B$27,nASIG)&gt;0)*1),"")))</f>
        <v/>
      </c>
      <c r="T900" t="str">
        <f>IF(S900="","",IF(S900="[FÓRMULA MANUAL]","",IFERROR(AVERAGEIFS(nNOTA,nNIA,S900,nCUENTA,1,nASIG,"Armonía"),"")))</f>
        <v/>
      </c>
      <c r="U900" t="str">
        <f>IF(S900="","",IF(S900="[FÓRMULA MANUAL]","",IFERROR(AVERAGEIFS(nNOTA,nNIA,S900,nCUENTA,1,nASIG,"Orquesta/Banda/Conjunto"),"")))</f>
        <v/>
      </c>
      <c r="V900" t="str">
        <f>IF(S900="","",IF(S900="[FÓRMULA MANUAL]","",IFERROR(AVERAGEIFS(nNOTA,nNIA,S900,nCUENTA,1,nASIG,"Música de Cámara"),"")))</f>
        <v/>
      </c>
      <c r="W900" t="str">
        <f>IF(S900="","",IF(S900="[FÓRMULA MANUAL]","",IFERROR(SUMPRODUCT((nNIA=S900)*(nCUENTA=1)*(COUNTIF(CONFIG_ASIGNATURAS!$B$7:$B$27,nASIG)&gt;0)*(nNOTA))/SUMPRODUCT((nNIA=S900)*(nCUENTA=1)*(COUNTIF(CONFIG_ASIGNATURAS!$B$7:$B$27,nASIG)&gt;0)*1),"")))</f>
        <v/>
      </c>
      <c r="Z900" t="str">
        <f>IF(Y900="","",IF(Y900="[FÓRMULA MANUAL]","",IFERROR(AVERAGEIFS(nNOTA,nNIA,Y900,nCUENTA,1,nASIG,"Análisis"),"")))</f>
        <v/>
      </c>
      <c r="AA900" t="str">
        <f>IF(Y900="","",IF(Y900="[FÓRMULA MANUAL]","",IFERROR(AVERAGEIFS(nNOTA,nNIA,Y900,nCUENTA,1,nASIG,"Orquesta/Banda/Conjunto"),"")))</f>
        <v/>
      </c>
      <c r="AB900" t="str">
        <f>IF(Y900="","",IF(Y900="[FÓRMULA MANUAL]","",IFERROR(AVERAGEIFS(nNOTA,nNIA,Y900,nCUENTA,1,nASIG,"Música de Cámara"),"")))</f>
        <v/>
      </c>
      <c r="AC900" t="str">
        <f>IF(Y900="","",IF(Y900="[FÓRMULA MANUAL]","",IFERROR(SUMPRODUCT((nNIA=Y900)*(nCUENTA=1)*(COUNTIF(CONFIG_ASIGNATURAS!$B$7:$B$27,nASIG)&gt;0)*(nNOTA))/SUMPRODUCT((nNIA=Y900)*(nCUENTA=1)*(COUNTIF(CONFIG_ASIGNATURAS!$B$7:$B$27,nASIG)&gt;0)*1),"")))</f>
        <v/>
      </c>
      <c r="AF900" t="str">
        <f>IF(AE900="","",IF(AE900="[FÓRMULA MANUAL]","",IFERROR(AVERAGEIFS(nNOTA,nNIA,AE900,nCUENTA,1,nASIG,"Análisis"),"")))</f>
        <v/>
      </c>
      <c r="AG900" t="str">
        <f>IF(AE900="","",IF(AE900="[FÓRMULA MANUAL]","",IFERROR(AVERAGEIFS(nNOTA,nNIA,AE900,nCUENTA,1,nASIG,"Orquesta/Banda/Conjunto"),"")))</f>
        <v/>
      </c>
      <c r="AH900" t="str">
        <f>IF(AE900="","",IF(AE900="[FÓRMULA MANUAL]","",IFERROR(AVERAGEIFS(nNOTA,nNIA,AE900,nCUENTA,1,nASIG,"Música de Cámara"),"")))</f>
        <v/>
      </c>
      <c r="AI900" t="str">
        <f>IF(AE900="","",IF(AE900="[FÓRMULA MANUAL]","",IFERROR(SUMPRODUCT((nNIA=AE900)*(nCUENTA=1)*(COUNTIF(CONFIG_ASIGNATURAS!$B$7:$B$27,nASIG)&gt;0)*(nNOTA))/SUMPRODUCT((nNIA=AE900)*(nCUENTA=1)*(COUNTIF(CONFIG_ASIGNATURAS!$B$7:$B$27,nASIG)&gt;0)*1),"")))</f>
        <v/>
      </c>
    </row>
    <row r="901" spans="2:35" x14ac:dyDescent="0.2">
      <c r="B901" t="str">
        <f>IF(A901="","",IF(A901="[FÓRMULA MANUAL]","",IFERROR(AVERAGEIFS(nNOTA,nNIA,A901,nCUENTA,1,nASIG,"Lenguaje Musical"),"")))</f>
        <v/>
      </c>
      <c r="C901" t="str">
        <f>IF(A901="","",IF(A901="[FÓRMULA MANUAL]","",IFERROR(AVERAGEIFS(nNOTA,nNIA,A901,nCUENTA,1,nASIG,"Orquesta/Banda/Conjunto"),"")))</f>
        <v/>
      </c>
      <c r="D901" t="str">
        <f>IF(A901="","",IF(A901="[FÓRMULA MANUAL]","",IFERROR(AVERAGEIFS(nNOTA,nNIA,A901,nCUENTA,1,nASIG,"Conjunto"),"")))</f>
        <v/>
      </c>
      <c r="E901" t="str">
        <f>IF(A901="","",IF(A901="[FÓRMULA MANUAL]","",IFERROR(SUMPRODUCT((nNIA=A901)*(nCUENTA=1)*(COUNTIF(CONFIG_ASIGNATURAS!$B$7:$B$27,nASIG)&gt;0)*(nNOTA))/SUMPRODUCT((nNIA=A901)*(nCUENTA=1)*(COUNTIF(CONFIG_ASIGNATURAS!$B$7:$B$27,nASIG)&gt;0)*1),"")))</f>
        <v/>
      </c>
      <c r="H901" t="str">
        <f>IF(G901="","",IF(G901="[FÓRMULA MANUAL]","",IFERROR(AVERAGEIFS(nNOTA,nNIA,G901,nCUENTA,1,nASIG,"Lenguaje Musical"),"")))</f>
        <v/>
      </c>
      <c r="I901" t="str">
        <f>IF(G901="","",IF(G901="[FÓRMULA MANUAL]","",IFERROR(AVERAGEIFS(nNOTA,nNIA,G901,nCUENTA,1,nASIG,"Orquesta/Banda/Conjunto"),"")))</f>
        <v/>
      </c>
      <c r="J901" t="str">
        <f>IF(G901="","",IF(G901="[FÓRMULA MANUAL]","",IFERROR(AVERAGEIFS(nNOTA,nNIA,G901,nCUENTA,1,nASIG,"Conjunto"),"")))</f>
        <v/>
      </c>
      <c r="K901" t="str">
        <f>IF(G901="","",IF(G901="[FÓRMULA MANUAL]","",IFERROR(SUMPRODUCT((nNIA=G901)*(nCUENTA=1)*(COUNTIF(CONFIG_ASIGNATURAS!$B$7:$B$27,nASIG)&gt;0)*(nNOTA))/SUMPRODUCT((nNIA=G901)*(nCUENTA=1)*(COUNTIF(CONFIG_ASIGNATURAS!$B$7:$B$27,nASIG)&gt;0)*1),"")))</f>
        <v/>
      </c>
      <c r="N901" t="str">
        <f>IF(M901="","",IF(M901="[FÓRMULA MANUAL]","",IFERROR(AVERAGEIFS(nNOTA,nNIA,M901,nCUENTA,1,nASIG,"Armonía"),"")))</f>
        <v/>
      </c>
      <c r="O901" t="str">
        <f>IF(M901="","",IF(M901="[FÓRMULA MANUAL]","",IFERROR(AVERAGEIFS(nNOTA,nNIA,M901,nCUENTA,1,nASIG,"Orquesta/Banda/Conjunto"),"")))</f>
        <v/>
      </c>
      <c r="P901" t="str">
        <f>IF(M901="","",IF(M901="[FÓRMULA MANUAL]","",IFERROR(AVERAGEIFS(nNOTA,nNIA,M901,nCUENTA,1,nASIG,"Música de Cámara"),"")))</f>
        <v/>
      </c>
      <c r="Q901" t="str">
        <f>IF(M901="","",IF(M901="[FÓRMULA MANUAL]","",IFERROR(SUMPRODUCT((nNIA=M901)*(nCUENTA=1)*(COUNTIF(CONFIG_ASIGNATURAS!$B$7:$B$27,nASIG)&gt;0)*(nNOTA))/SUMPRODUCT((nNIA=M901)*(nCUENTA=1)*(COUNTIF(CONFIG_ASIGNATURAS!$B$7:$B$27,nASIG)&gt;0)*1),"")))</f>
        <v/>
      </c>
      <c r="T901" t="str">
        <f>IF(S901="","",IF(S901="[FÓRMULA MANUAL]","",IFERROR(AVERAGEIFS(nNOTA,nNIA,S901,nCUENTA,1,nASIG,"Armonía"),"")))</f>
        <v/>
      </c>
      <c r="U901" t="str">
        <f>IF(S901="","",IF(S901="[FÓRMULA MANUAL]","",IFERROR(AVERAGEIFS(nNOTA,nNIA,S901,nCUENTA,1,nASIG,"Orquesta/Banda/Conjunto"),"")))</f>
        <v/>
      </c>
      <c r="V901" t="str">
        <f>IF(S901="","",IF(S901="[FÓRMULA MANUAL]","",IFERROR(AVERAGEIFS(nNOTA,nNIA,S901,nCUENTA,1,nASIG,"Música de Cámara"),"")))</f>
        <v/>
      </c>
      <c r="W901" t="str">
        <f>IF(S901="","",IF(S901="[FÓRMULA MANUAL]","",IFERROR(SUMPRODUCT((nNIA=S901)*(nCUENTA=1)*(COUNTIF(CONFIG_ASIGNATURAS!$B$7:$B$27,nASIG)&gt;0)*(nNOTA))/SUMPRODUCT((nNIA=S901)*(nCUENTA=1)*(COUNTIF(CONFIG_ASIGNATURAS!$B$7:$B$27,nASIG)&gt;0)*1),"")))</f>
        <v/>
      </c>
      <c r="Z901" t="str">
        <f>IF(Y901="","",IF(Y901="[FÓRMULA MANUAL]","",IFERROR(AVERAGEIFS(nNOTA,nNIA,Y901,nCUENTA,1,nASIG,"Análisis"),"")))</f>
        <v/>
      </c>
      <c r="AA901" t="str">
        <f>IF(Y901="","",IF(Y901="[FÓRMULA MANUAL]","",IFERROR(AVERAGEIFS(nNOTA,nNIA,Y901,nCUENTA,1,nASIG,"Orquesta/Banda/Conjunto"),"")))</f>
        <v/>
      </c>
      <c r="AB901" t="str">
        <f>IF(Y901="","",IF(Y901="[FÓRMULA MANUAL]","",IFERROR(AVERAGEIFS(nNOTA,nNIA,Y901,nCUENTA,1,nASIG,"Música de Cámara"),"")))</f>
        <v/>
      </c>
      <c r="AC901" t="str">
        <f>IF(Y901="","",IF(Y901="[FÓRMULA MANUAL]","",IFERROR(SUMPRODUCT((nNIA=Y901)*(nCUENTA=1)*(COUNTIF(CONFIG_ASIGNATURAS!$B$7:$B$27,nASIG)&gt;0)*(nNOTA))/SUMPRODUCT((nNIA=Y901)*(nCUENTA=1)*(COUNTIF(CONFIG_ASIGNATURAS!$B$7:$B$27,nASIG)&gt;0)*1),"")))</f>
        <v/>
      </c>
      <c r="AF901" t="str">
        <f>IF(AE901="","",IF(AE901="[FÓRMULA MANUAL]","",IFERROR(AVERAGEIFS(nNOTA,nNIA,AE901,nCUENTA,1,nASIG,"Análisis"),"")))</f>
        <v/>
      </c>
      <c r="AG901" t="str">
        <f>IF(AE901="","",IF(AE901="[FÓRMULA MANUAL]","",IFERROR(AVERAGEIFS(nNOTA,nNIA,AE901,nCUENTA,1,nASIG,"Orquesta/Banda/Conjunto"),"")))</f>
        <v/>
      </c>
      <c r="AH901" t="str">
        <f>IF(AE901="","",IF(AE901="[FÓRMULA MANUAL]","",IFERROR(AVERAGEIFS(nNOTA,nNIA,AE901,nCUENTA,1,nASIG,"Música de Cámara"),"")))</f>
        <v/>
      </c>
      <c r="AI901" t="str">
        <f>IF(AE901="","",IF(AE901="[FÓRMULA MANUAL]","",IFERROR(SUMPRODUCT((nNIA=AE901)*(nCUENTA=1)*(COUNTIF(CONFIG_ASIGNATURAS!$B$7:$B$27,nASIG)&gt;0)*(nNOTA))/SUMPRODUCT((nNIA=AE901)*(nCUENTA=1)*(COUNTIF(CONFIG_ASIGNATURAS!$B$7:$B$27,nASIG)&gt;0)*1),"")))</f>
        <v/>
      </c>
    </row>
    <row r="902" spans="2:35" x14ac:dyDescent="0.2">
      <c r="B902" t="str">
        <f>IF(A902="","",IF(A902="[FÓRMULA MANUAL]","",IFERROR(AVERAGEIFS(nNOTA,nNIA,A902,nCUENTA,1,nASIG,"Lenguaje Musical"),"")))</f>
        <v/>
      </c>
      <c r="C902" t="str">
        <f>IF(A902="","",IF(A902="[FÓRMULA MANUAL]","",IFERROR(AVERAGEIFS(nNOTA,nNIA,A902,nCUENTA,1,nASIG,"Orquesta/Banda/Conjunto"),"")))</f>
        <v/>
      </c>
      <c r="D902" t="str">
        <f>IF(A902="","",IF(A902="[FÓRMULA MANUAL]","",IFERROR(AVERAGEIFS(nNOTA,nNIA,A902,nCUENTA,1,nASIG,"Conjunto"),"")))</f>
        <v/>
      </c>
      <c r="E902" t="str">
        <f>IF(A902="","",IF(A902="[FÓRMULA MANUAL]","",IFERROR(SUMPRODUCT((nNIA=A902)*(nCUENTA=1)*(COUNTIF(CONFIG_ASIGNATURAS!$B$7:$B$27,nASIG)&gt;0)*(nNOTA))/SUMPRODUCT((nNIA=A902)*(nCUENTA=1)*(COUNTIF(CONFIG_ASIGNATURAS!$B$7:$B$27,nASIG)&gt;0)*1),"")))</f>
        <v/>
      </c>
      <c r="H902" t="str">
        <f>IF(G902="","",IF(G902="[FÓRMULA MANUAL]","",IFERROR(AVERAGEIFS(nNOTA,nNIA,G902,nCUENTA,1,nASIG,"Lenguaje Musical"),"")))</f>
        <v/>
      </c>
      <c r="I902" t="str">
        <f>IF(G902="","",IF(G902="[FÓRMULA MANUAL]","",IFERROR(AVERAGEIFS(nNOTA,nNIA,G902,nCUENTA,1,nASIG,"Orquesta/Banda/Conjunto"),"")))</f>
        <v/>
      </c>
      <c r="J902" t="str">
        <f>IF(G902="","",IF(G902="[FÓRMULA MANUAL]","",IFERROR(AVERAGEIFS(nNOTA,nNIA,G902,nCUENTA,1,nASIG,"Conjunto"),"")))</f>
        <v/>
      </c>
      <c r="K902" t="str">
        <f>IF(G902="","",IF(G902="[FÓRMULA MANUAL]","",IFERROR(SUMPRODUCT((nNIA=G902)*(nCUENTA=1)*(COUNTIF(CONFIG_ASIGNATURAS!$B$7:$B$27,nASIG)&gt;0)*(nNOTA))/SUMPRODUCT((nNIA=G902)*(nCUENTA=1)*(COUNTIF(CONFIG_ASIGNATURAS!$B$7:$B$27,nASIG)&gt;0)*1),"")))</f>
        <v/>
      </c>
      <c r="N902" t="str">
        <f>IF(M902="","",IF(M902="[FÓRMULA MANUAL]","",IFERROR(AVERAGEIFS(nNOTA,nNIA,M902,nCUENTA,1,nASIG,"Armonía"),"")))</f>
        <v/>
      </c>
      <c r="O902" t="str">
        <f>IF(M902="","",IF(M902="[FÓRMULA MANUAL]","",IFERROR(AVERAGEIFS(nNOTA,nNIA,M902,nCUENTA,1,nASIG,"Orquesta/Banda/Conjunto"),"")))</f>
        <v/>
      </c>
      <c r="P902" t="str">
        <f>IF(M902="","",IF(M902="[FÓRMULA MANUAL]","",IFERROR(AVERAGEIFS(nNOTA,nNIA,M902,nCUENTA,1,nASIG,"Música de Cámara"),"")))</f>
        <v/>
      </c>
      <c r="Q902" t="str">
        <f>IF(M902="","",IF(M902="[FÓRMULA MANUAL]","",IFERROR(SUMPRODUCT((nNIA=M902)*(nCUENTA=1)*(COUNTIF(CONFIG_ASIGNATURAS!$B$7:$B$27,nASIG)&gt;0)*(nNOTA))/SUMPRODUCT((nNIA=M902)*(nCUENTA=1)*(COUNTIF(CONFIG_ASIGNATURAS!$B$7:$B$27,nASIG)&gt;0)*1),"")))</f>
        <v/>
      </c>
      <c r="T902" t="str">
        <f>IF(S902="","",IF(S902="[FÓRMULA MANUAL]","",IFERROR(AVERAGEIFS(nNOTA,nNIA,S902,nCUENTA,1,nASIG,"Armonía"),"")))</f>
        <v/>
      </c>
      <c r="U902" t="str">
        <f>IF(S902="","",IF(S902="[FÓRMULA MANUAL]","",IFERROR(AVERAGEIFS(nNOTA,nNIA,S902,nCUENTA,1,nASIG,"Orquesta/Banda/Conjunto"),"")))</f>
        <v/>
      </c>
      <c r="V902" t="str">
        <f>IF(S902="","",IF(S902="[FÓRMULA MANUAL]","",IFERROR(AVERAGEIFS(nNOTA,nNIA,S902,nCUENTA,1,nASIG,"Música de Cámara"),"")))</f>
        <v/>
      </c>
      <c r="W902" t="str">
        <f>IF(S902="","",IF(S902="[FÓRMULA MANUAL]","",IFERROR(SUMPRODUCT((nNIA=S902)*(nCUENTA=1)*(COUNTIF(CONFIG_ASIGNATURAS!$B$7:$B$27,nASIG)&gt;0)*(nNOTA))/SUMPRODUCT((nNIA=S902)*(nCUENTA=1)*(COUNTIF(CONFIG_ASIGNATURAS!$B$7:$B$27,nASIG)&gt;0)*1),"")))</f>
        <v/>
      </c>
      <c r="Z902" t="str">
        <f>IF(Y902="","",IF(Y902="[FÓRMULA MANUAL]","",IFERROR(AVERAGEIFS(nNOTA,nNIA,Y902,nCUENTA,1,nASIG,"Análisis"),"")))</f>
        <v/>
      </c>
      <c r="AA902" t="str">
        <f>IF(Y902="","",IF(Y902="[FÓRMULA MANUAL]","",IFERROR(AVERAGEIFS(nNOTA,nNIA,Y902,nCUENTA,1,nASIG,"Orquesta/Banda/Conjunto"),"")))</f>
        <v/>
      </c>
      <c r="AB902" t="str">
        <f>IF(Y902="","",IF(Y902="[FÓRMULA MANUAL]","",IFERROR(AVERAGEIFS(nNOTA,nNIA,Y902,nCUENTA,1,nASIG,"Música de Cámara"),"")))</f>
        <v/>
      </c>
      <c r="AC902" t="str">
        <f>IF(Y902="","",IF(Y902="[FÓRMULA MANUAL]","",IFERROR(SUMPRODUCT((nNIA=Y902)*(nCUENTA=1)*(COUNTIF(CONFIG_ASIGNATURAS!$B$7:$B$27,nASIG)&gt;0)*(nNOTA))/SUMPRODUCT((nNIA=Y902)*(nCUENTA=1)*(COUNTIF(CONFIG_ASIGNATURAS!$B$7:$B$27,nASIG)&gt;0)*1),"")))</f>
        <v/>
      </c>
      <c r="AF902" t="str">
        <f>IF(AE902="","",IF(AE902="[FÓRMULA MANUAL]","",IFERROR(AVERAGEIFS(nNOTA,nNIA,AE902,nCUENTA,1,nASIG,"Análisis"),"")))</f>
        <v/>
      </c>
      <c r="AG902" t="str">
        <f>IF(AE902="","",IF(AE902="[FÓRMULA MANUAL]","",IFERROR(AVERAGEIFS(nNOTA,nNIA,AE902,nCUENTA,1,nASIG,"Orquesta/Banda/Conjunto"),"")))</f>
        <v/>
      </c>
      <c r="AH902" t="str">
        <f>IF(AE902="","",IF(AE902="[FÓRMULA MANUAL]","",IFERROR(AVERAGEIFS(nNOTA,nNIA,AE902,nCUENTA,1,nASIG,"Música de Cámara"),"")))</f>
        <v/>
      </c>
      <c r="AI902" t="str">
        <f>IF(AE902="","",IF(AE902="[FÓRMULA MANUAL]","",IFERROR(SUMPRODUCT((nNIA=AE902)*(nCUENTA=1)*(COUNTIF(CONFIG_ASIGNATURAS!$B$7:$B$27,nASIG)&gt;0)*(nNOTA))/SUMPRODUCT((nNIA=AE902)*(nCUENTA=1)*(COUNTIF(CONFIG_ASIGNATURAS!$B$7:$B$27,nASIG)&gt;0)*1),"")))</f>
        <v/>
      </c>
    </row>
    <row r="903" spans="2:35" x14ac:dyDescent="0.2">
      <c r="B903" t="str">
        <f>IF(A903="","",IF(A903="[FÓRMULA MANUAL]","",IFERROR(AVERAGEIFS(nNOTA,nNIA,A903,nCUENTA,1,nASIG,"Lenguaje Musical"),"")))</f>
        <v/>
      </c>
      <c r="C903" t="str">
        <f>IF(A903="","",IF(A903="[FÓRMULA MANUAL]","",IFERROR(AVERAGEIFS(nNOTA,nNIA,A903,nCUENTA,1,nASIG,"Orquesta/Banda/Conjunto"),"")))</f>
        <v/>
      </c>
      <c r="D903" t="str">
        <f>IF(A903="","",IF(A903="[FÓRMULA MANUAL]","",IFERROR(AVERAGEIFS(nNOTA,nNIA,A903,nCUENTA,1,nASIG,"Conjunto"),"")))</f>
        <v/>
      </c>
      <c r="E903" t="str">
        <f>IF(A903="","",IF(A903="[FÓRMULA MANUAL]","",IFERROR(SUMPRODUCT((nNIA=A903)*(nCUENTA=1)*(COUNTIF(CONFIG_ASIGNATURAS!$B$7:$B$27,nASIG)&gt;0)*(nNOTA))/SUMPRODUCT((nNIA=A903)*(nCUENTA=1)*(COUNTIF(CONFIG_ASIGNATURAS!$B$7:$B$27,nASIG)&gt;0)*1),"")))</f>
        <v/>
      </c>
      <c r="H903" t="str">
        <f>IF(G903="","",IF(G903="[FÓRMULA MANUAL]","",IFERROR(AVERAGEIFS(nNOTA,nNIA,G903,nCUENTA,1,nASIG,"Lenguaje Musical"),"")))</f>
        <v/>
      </c>
      <c r="I903" t="str">
        <f>IF(G903="","",IF(G903="[FÓRMULA MANUAL]","",IFERROR(AVERAGEIFS(nNOTA,nNIA,G903,nCUENTA,1,nASIG,"Orquesta/Banda/Conjunto"),"")))</f>
        <v/>
      </c>
      <c r="J903" t="str">
        <f>IF(G903="","",IF(G903="[FÓRMULA MANUAL]","",IFERROR(AVERAGEIFS(nNOTA,nNIA,G903,nCUENTA,1,nASIG,"Conjunto"),"")))</f>
        <v/>
      </c>
      <c r="K903" t="str">
        <f>IF(G903="","",IF(G903="[FÓRMULA MANUAL]","",IFERROR(SUMPRODUCT((nNIA=G903)*(nCUENTA=1)*(COUNTIF(CONFIG_ASIGNATURAS!$B$7:$B$27,nASIG)&gt;0)*(nNOTA))/SUMPRODUCT((nNIA=G903)*(nCUENTA=1)*(COUNTIF(CONFIG_ASIGNATURAS!$B$7:$B$27,nASIG)&gt;0)*1),"")))</f>
        <v/>
      </c>
      <c r="N903" t="str">
        <f>IF(M903="","",IF(M903="[FÓRMULA MANUAL]","",IFERROR(AVERAGEIFS(nNOTA,nNIA,M903,nCUENTA,1,nASIG,"Armonía"),"")))</f>
        <v/>
      </c>
      <c r="O903" t="str">
        <f>IF(M903="","",IF(M903="[FÓRMULA MANUAL]","",IFERROR(AVERAGEIFS(nNOTA,nNIA,M903,nCUENTA,1,nASIG,"Orquesta/Banda/Conjunto"),"")))</f>
        <v/>
      </c>
      <c r="P903" t="str">
        <f>IF(M903="","",IF(M903="[FÓRMULA MANUAL]","",IFERROR(AVERAGEIFS(nNOTA,nNIA,M903,nCUENTA,1,nASIG,"Música de Cámara"),"")))</f>
        <v/>
      </c>
      <c r="Q903" t="str">
        <f>IF(M903="","",IF(M903="[FÓRMULA MANUAL]","",IFERROR(SUMPRODUCT((nNIA=M903)*(nCUENTA=1)*(COUNTIF(CONFIG_ASIGNATURAS!$B$7:$B$27,nASIG)&gt;0)*(nNOTA))/SUMPRODUCT((nNIA=M903)*(nCUENTA=1)*(COUNTIF(CONFIG_ASIGNATURAS!$B$7:$B$27,nASIG)&gt;0)*1),"")))</f>
        <v/>
      </c>
      <c r="T903" t="str">
        <f>IF(S903="","",IF(S903="[FÓRMULA MANUAL]","",IFERROR(AVERAGEIFS(nNOTA,nNIA,S903,nCUENTA,1,nASIG,"Armonía"),"")))</f>
        <v/>
      </c>
      <c r="U903" t="str">
        <f>IF(S903="","",IF(S903="[FÓRMULA MANUAL]","",IFERROR(AVERAGEIFS(nNOTA,nNIA,S903,nCUENTA,1,nASIG,"Orquesta/Banda/Conjunto"),"")))</f>
        <v/>
      </c>
      <c r="V903" t="str">
        <f>IF(S903="","",IF(S903="[FÓRMULA MANUAL]","",IFERROR(AVERAGEIFS(nNOTA,nNIA,S903,nCUENTA,1,nASIG,"Música de Cámara"),"")))</f>
        <v/>
      </c>
      <c r="W903" t="str">
        <f>IF(S903="","",IF(S903="[FÓRMULA MANUAL]","",IFERROR(SUMPRODUCT((nNIA=S903)*(nCUENTA=1)*(COUNTIF(CONFIG_ASIGNATURAS!$B$7:$B$27,nASIG)&gt;0)*(nNOTA))/SUMPRODUCT((nNIA=S903)*(nCUENTA=1)*(COUNTIF(CONFIG_ASIGNATURAS!$B$7:$B$27,nASIG)&gt;0)*1),"")))</f>
        <v/>
      </c>
      <c r="Z903" t="str">
        <f>IF(Y903="","",IF(Y903="[FÓRMULA MANUAL]","",IFERROR(AVERAGEIFS(nNOTA,nNIA,Y903,nCUENTA,1,nASIG,"Análisis"),"")))</f>
        <v/>
      </c>
      <c r="AA903" t="str">
        <f>IF(Y903="","",IF(Y903="[FÓRMULA MANUAL]","",IFERROR(AVERAGEIFS(nNOTA,nNIA,Y903,nCUENTA,1,nASIG,"Orquesta/Banda/Conjunto"),"")))</f>
        <v/>
      </c>
      <c r="AB903" t="str">
        <f>IF(Y903="","",IF(Y903="[FÓRMULA MANUAL]","",IFERROR(AVERAGEIFS(nNOTA,nNIA,Y903,nCUENTA,1,nASIG,"Música de Cámara"),"")))</f>
        <v/>
      </c>
      <c r="AC903" t="str">
        <f>IF(Y903="","",IF(Y903="[FÓRMULA MANUAL]","",IFERROR(SUMPRODUCT((nNIA=Y903)*(nCUENTA=1)*(COUNTIF(CONFIG_ASIGNATURAS!$B$7:$B$27,nASIG)&gt;0)*(nNOTA))/SUMPRODUCT((nNIA=Y903)*(nCUENTA=1)*(COUNTIF(CONFIG_ASIGNATURAS!$B$7:$B$27,nASIG)&gt;0)*1),"")))</f>
        <v/>
      </c>
      <c r="AF903" t="str">
        <f>IF(AE903="","",IF(AE903="[FÓRMULA MANUAL]","",IFERROR(AVERAGEIFS(nNOTA,nNIA,AE903,nCUENTA,1,nASIG,"Análisis"),"")))</f>
        <v/>
      </c>
      <c r="AG903" t="str">
        <f>IF(AE903="","",IF(AE903="[FÓRMULA MANUAL]","",IFERROR(AVERAGEIFS(nNOTA,nNIA,AE903,nCUENTA,1,nASIG,"Orquesta/Banda/Conjunto"),"")))</f>
        <v/>
      </c>
      <c r="AH903" t="str">
        <f>IF(AE903="","",IF(AE903="[FÓRMULA MANUAL]","",IFERROR(AVERAGEIFS(nNOTA,nNIA,AE903,nCUENTA,1,nASIG,"Música de Cámara"),"")))</f>
        <v/>
      </c>
      <c r="AI903" t="str">
        <f>IF(AE903="","",IF(AE903="[FÓRMULA MANUAL]","",IFERROR(SUMPRODUCT((nNIA=AE903)*(nCUENTA=1)*(COUNTIF(CONFIG_ASIGNATURAS!$B$7:$B$27,nASIG)&gt;0)*(nNOTA))/SUMPRODUCT((nNIA=AE903)*(nCUENTA=1)*(COUNTIF(CONFIG_ASIGNATURAS!$B$7:$B$27,nASIG)&gt;0)*1),"")))</f>
        <v/>
      </c>
    </row>
    <row r="904" spans="2:35" x14ac:dyDescent="0.2">
      <c r="B904" t="str">
        <f>IF(A904="","",IF(A904="[FÓRMULA MANUAL]","",IFERROR(AVERAGEIFS(nNOTA,nNIA,A904,nCUENTA,1,nASIG,"Lenguaje Musical"),"")))</f>
        <v/>
      </c>
      <c r="C904" t="str">
        <f>IF(A904="","",IF(A904="[FÓRMULA MANUAL]","",IFERROR(AVERAGEIFS(nNOTA,nNIA,A904,nCUENTA,1,nASIG,"Orquesta/Banda/Conjunto"),"")))</f>
        <v/>
      </c>
      <c r="D904" t="str">
        <f>IF(A904="","",IF(A904="[FÓRMULA MANUAL]","",IFERROR(AVERAGEIFS(nNOTA,nNIA,A904,nCUENTA,1,nASIG,"Conjunto"),"")))</f>
        <v/>
      </c>
      <c r="E904" t="str">
        <f>IF(A904="","",IF(A904="[FÓRMULA MANUAL]","",IFERROR(SUMPRODUCT((nNIA=A904)*(nCUENTA=1)*(COUNTIF(CONFIG_ASIGNATURAS!$B$7:$B$27,nASIG)&gt;0)*(nNOTA))/SUMPRODUCT((nNIA=A904)*(nCUENTA=1)*(COUNTIF(CONFIG_ASIGNATURAS!$B$7:$B$27,nASIG)&gt;0)*1),"")))</f>
        <v/>
      </c>
      <c r="H904" t="str">
        <f>IF(G904="","",IF(G904="[FÓRMULA MANUAL]","",IFERROR(AVERAGEIFS(nNOTA,nNIA,G904,nCUENTA,1,nASIG,"Lenguaje Musical"),"")))</f>
        <v/>
      </c>
      <c r="I904" t="str">
        <f>IF(G904="","",IF(G904="[FÓRMULA MANUAL]","",IFERROR(AVERAGEIFS(nNOTA,nNIA,G904,nCUENTA,1,nASIG,"Orquesta/Banda/Conjunto"),"")))</f>
        <v/>
      </c>
      <c r="J904" t="str">
        <f>IF(G904="","",IF(G904="[FÓRMULA MANUAL]","",IFERROR(AVERAGEIFS(nNOTA,nNIA,G904,nCUENTA,1,nASIG,"Conjunto"),"")))</f>
        <v/>
      </c>
      <c r="K904" t="str">
        <f>IF(G904="","",IF(G904="[FÓRMULA MANUAL]","",IFERROR(SUMPRODUCT((nNIA=G904)*(nCUENTA=1)*(COUNTIF(CONFIG_ASIGNATURAS!$B$7:$B$27,nASIG)&gt;0)*(nNOTA))/SUMPRODUCT((nNIA=G904)*(nCUENTA=1)*(COUNTIF(CONFIG_ASIGNATURAS!$B$7:$B$27,nASIG)&gt;0)*1),"")))</f>
        <v/>
      </c>
      <c r="N904" t="str">
        <f>IF(M904="","",IF(M904="[FÓRMULA MANUAL]","",IFERROR(AVERAGEIFS(nNOTA,nNIA,M904,nCUENTA,1,nASIG,"Armonía"),"")))</f>
        <v/>
      </c>
      <c r="O904" t="str">
        <f>IF(M904="","",IF(M904="[FÓRMULA MANUAL]","",IFERROR(AVERAGEIFS(nNOTA,nNIA,M904,nCUENTA,1,nASIG,"Orquesta/Banda/Conjunto"),"")))</f>
        <v/>
      </c>
      <c r="P904" t="str">
        <f>IF(M904="","",IF(M904="[FÓRMULA MANUAL]","",IFERROR(AVERAGEIFS(nNOTA,nNIA,M904,nCUENTA,1,nASIG,"Música de Cámara"),"")))</f>
        <v/>
      </c>
      <c r="Q904" t="str">
        <f>IF(M904="","",IF(M904="[FÓRMULA MANUAL]","",IFERROR(SUMPRODUCT((nNIA=M904)*(nCUENTA=1)*(COUNTIF(CONFIG_ASIGNATURAS!$B$7:$B$27,nASIG)&gt;0)*(nNOTA))/SUMPRODUCT((nNIA=M904)*(nCUENTA=1)*(COUNTIF(CONFIG_ASIGNATURAS!$B$7:$B$27,nASIG)&gt;0)*1),"")))</f>
        <v/>
      </c>
      <c r="T904" t="str">
        <f>IF(S904="","",IF(S904="[FÓRMULA MANUAL]","",IFERROR(AVERAGEIFS(nNOTA,nNIA,S904,nCUENTA,1,nASIG,"Armonía"),"")))</f>
        <v/>
      </c>
      <c r="U904" t="str">
        <f>IF(S904="","",IF(S904="[FÓRMULA MANUAL]","",IFERROR(AVERAGEIFS(nNOTA,nNIA,S904,nCUENTA,1,nASIG,"Orquesta/Banda/Conjunto"),"")))</f>
        <v/>
      </c>
      <c r="V904" t="str">
        <f>IF(S904="","",IF(S904="[FÓRMULA MANUAL]","",IFERROR(AVERAGEIFS(nNOTA,nNIA,S904,nCUENTA,1,nASIG,"Música de Cámara"),"")))</f>
        <v/>
      </c>
      <c r="W904" t="str">
        <f>IF(S904="","",IF(S904="[FÓRMULA MANUAL]","",IFERROR(SUMPRODUCT((nNIA=S904)*(nCUENTA=1)*(COUNTIF(CONFIG_ASIGNATURAS!$B$7:$B$27,nASIG)&gt;0)*(nNOTA))/SUMPRODUCT((nNIA=S904)*(nCUENTA=1)*(COUNTIF(CONFIG_ASIGNATURAS!$B$7:$B$27,nASIG)&gt;0)*1),"")))</f>
        <v/>
      </c>
      <c r="Z904" t="str">
        <f>IF(Y904="","",IF(Y904="[FÓRMULA MANUAL]","",IFERROR(AVERAGEIFS(nNOTA,nNIA,Y904,nCUENTA,1,nASIG,"Análisis"),"")))</f>
        <v/>
      </c>
      <c r="AA904" t="str">
        <f>IF(Y904="","",IF(Y904="[FÓRMULA MANUAL]","",IFERROR(AVERAGEIFS(nNOTA,nNIA,Y904,nCUENTA,1,nASIG,"Orquesta/Banda/Conjunto"),"")))</f>
        <v/>
      </c>
      <c r="AB904" t="str">
        <f>IF(Y904="","",IF(Y904="[FÓRMULA MANUAL]","",IFERROR(AVERAGEIFS(nNOTA,nNIA,Y904,nCUENTA,1,nASIG,"Música de Cámara"),"")))</f>
        <v/>
      </c>
      <c r="AC904" t="str">
        <f>IF(Y904="","",IF(Y904="[FÓRMULA MANUAL]","",IFERROR(SUMPRODUCT((nNIA=Y904)*(nCUENTA=1)*(COUNTIF(CONFIG_ASIGNATURAS!$B$7:$B$27,nASIG)&gt;0)*(nNOTA))/SUMPRODUCT((nNIA=Y904)*(nCUENTA=1)*(COUNTIF(CONFIG_ASIGNATURAS!$B$7:$B$27,nASIG)&gt;0)*1),"")))</f>
        <v/>
      </c>
      <c r="AF904" t="str">
        <f>IF(AE904="","",IF(AE904="[FÓRMULA MANUAL]","",IFERROR(AVERAGEIFS(nNOTA,nNIA,AE904,nCUENTA,1,nASIG,"Análisis"),"")))</f>
        <v/>
      </c>
      <c r="AG904" t="str">
        <f>IF(AE904="","",IF(AE904="[FÓRMULA MANUAL]","",IFERROR(AVERAGEIFS(nNOTA,nNIA,AE904,nCUENTA,1,nASIG,"Orquesta/Banda/Conjunto"),"")))</f>
        <v/>
      </c>
      <c r="AH904" t="str">
        <f>IF(AE904="","",IF(AE904="[FÓRMULA MANUAL]","",IFERROR(AVERAGEIFS(nNOTA,nNIA,AE904,nCUENTA,1,nASIG,"Música de Cámara"),"")))</f>
        <v/>
      </c>
      <c r="AI904" t="str">
        <f>IF(AE904="","",IF(AE904="[FÓRMULA MANUAL]","",IFERROR(SUMPRODUCT((nNIA=AE904)*(nCUENTA=1)*(COUNTIF(CONFIG_ASIGNATURAS!$B$7:$B$27,nASIG)&gt;0)*(nNOTA))/SUMPRODUCT((nNIA=AE904)*(nCUENTA=1)*(COUNTIF(CONFIG_ASIGNATURAS!$B$7:$B$27,nASIG)&gt;0)*1),"")))</f>
        <v/>
      </c>
    </row>
    <row r="905" spans="2:35" x14ac:dyDescent="0.2">
      <c r="B905" t="str">
        <f>IF(A905="","",IF(A905="[FÓRMULA MANUAL]","",IFERROR(AVERAGEIFS(nNOTA,nNIA,A905,nCUENTA,1,nASIG,"Lenguaje Musical"),"")))</f>
        <v/>
      </c>
      <c r="C905" t="str">
        <f>IF(A905="","",IF(A905="[FÓRMULA MANUAL]","",IFERROR(AVERAGEIFS(nNOTA,nNIA,A905,nCUENTA,1,nASIG,"Orquesta/Banda/Conjunto"),"")))</f>
        <v/>
      </c>
      <c r="D905" t="str">
        <f>IF(A905="","",IF(A905="[FÓRMULA MANUAL]","",IFERROR(AVERAGEIFS(nNOTA,nNIA,A905,nCUENTA,1,nASIG,"Conjunto"),"")))</f>
        <v/>
      </c>
      <c r="E905" t="str">
        <f>IF(A905="","",IF(A905="[FÓRMULA MANUAL]","",IFERROR(SUMPRODUCT((nNIA=A905)*(nCUENTA=1)*(COUNTIF(CONFIG_ASIGNATURAS!$B$7:$B$27,nASIG)&gt;0)*(nNOTA))/SUMPRODUCT((nNIA=A905)*(nCUENTA=1)*(COUNTIF(CONFIG_ASIGNATURAS!$B$7:$B$27,nASIG)&gt;0)*1),"")))</f>
        <v/>
      </c>
      <c r="H905" t="str">
        <f>IF(G905="","",IF(G905="[FÓRMULA MANUAL]","",IFERROR(AVERAGEIFS(nNOTA,nNIA,G905,nCUENTA,1,nASIG,"Lenguaje Musical"),"")))</f>
        <v/>
      </c>
      <c r="I905" t="str">
        <f>IF(G905="","",IF(G905="[FÓRMULA MANUAL]","",IFERROR(AVERAGEIFS(nNOTA,nNIA,G905,nCUENTA,1,nASIG,"Orquesta/Banda/Conjunto"),"")))</f>
        <v/>
      </c>
      <c r="J905" t="str">
        <f>IF(G905="","",IF(G905="[FÓRMULA MANUAL]","",IFERROR(AVERAGEIFS(nNOTA,nNIA,G905,nCUENTA,1,nASIG,"Conjunto"),"")))</f>
        <v/>
      </c>
      <c r="K905" t="str">
        <f>IF(G905="","",IF(G905="[FÓRMULA MANUAL]","",IFERROR(SUMPRODUCT((nNIA=G905)*(nCUENTA=1)*(COUNTIF(CONFIG_ASIGNATURAS!$B$7:$B$27,nASIG)&gt;0)*(nNOTA))/SUMPRODUCT((nNIA=G905)*(nCUENTA=1)*(COUNTIF(CONFIG_ASIGNATURAS!$B$7:$B$27,nASIG)&gt;0)*1),"")))</f>
        <v/>
      </c>
      <c r="N905" t="str">
        <f>IF(M905="","",IF(M905="[FÓRMULA MANUAL]","",IFERROR(AVERAGEIFS(nNOTA,nNIA,M905,nCUENTA,1,nASIG,"Armonía"),"")))</f>
        <v/>
      </c>
      <c r="O905" t="str">
        <f>IF(M905="","",IF(M905="[FÓRMULA MANUAL]","",IFERROR(AVERAGEIFS(nNOTA,nNIA,M905,nCUENTA,1,nASIG,"Orquesta/Banda/Conjunto"),"")))</f>
        <v/>
      </c>
      <c r="P905" t="str">
        <f>IF(M905="","",IF(M905="[FÓRMULA MANUAL]","",IFERROR(AVERAGEIFS(nNOTA,nNIA,M905,nCUENTA,1,nASIG,"Música de Cámara"),"")))</f>
        <v/>
      </c>
      <c r="Q905" t="str">
        <f>IF(M905="","",IF(M905="[FÓRMULA MANUAL]","",IFERROR(SUMPRODUCT((nNIA=M905)*(nCUENTA=1)*(COUNTIF(CONFIG_ASIGNATURAS!$B$7:$B$27,nASIG)&gt;0)*(nNOTA))/SUMPRODUCT((nNIA=M905)*(nCUENTA=1)*(COUNTIF(CONFIG_ASIGNATURAS!$B$7:$B$27,nASIG)&gt;0)*1),"")))</f>
        <v/>
      </c>
      <c r="T905" t="str">
        <f>IF(S905="","",IF(S905="[FÓRMULA MANUAL]","",IFERROR(AVERAGEIFS(nNOTA,nNIA,S905,nCUENTA,1,nASIG,"Armonía"),"")))</f>
        <v/>
      </c>
      <c r="U905" t="str">
        <f>IF(S905="","",IF(S905="[FÓRMULA MANUAL]","",IFERROR(AVERAGEIFS(nNOTA,nNIA,S905,nCUENTA,1,nASIG,"Orquesta/Banda/Conjunto"),"")))</f>
        <v/>
      </c>
      <c r="V905" t="str">
        <f>IF(S905="","",IF(S905="[FÓRMULA MANUAL]","",IFERROR(AVERAGEIFS(nNOTA,nNIA,S905,nCUENTA,1,nASIG,"Música de Cámara"),"")))</f>
        <v/>
      </c>
      <c r="W905" t="str">
        <f>IF(S905="","",IF(S905="[FÓRMULA MANUAL]","",IFERROR(SUMPRODUCT((nNIA=S905)*(nCUENTA=1)*(COUNTIF(CONFIG_ASIGNATURAS!$B$7:$B$27,nASIG)&gt;0)*(nNOTA))/SUMPRODUCT((nNIA=S905)*(nCUENTA=1)*(COUNTIF(CONFIG_ASIGNATURAS!$B$7:$B$27,nASIG)&gt;0)*1),"")))</f>
        <v/>
      </c>
      <c r="Z905" t="str">
        <f>IF(Y905="","",IF(Y905="[FÓRMULA MANUAL]","",IFERROR(AVERAGEIFS(nNOTA,nNIA,Y905,nCUENTA,1,nASIG,"Análisis"),"")))</f>
        <v/>
      </c>
      <c r="AA905" t="str">
        <f>IF(Y905="","",IF(Y905="[FÓRMULA MANUAL]","",IFERROR(AVERAGEIFS(nNOTA,nNIA,Y905,nCUENTA,1,nASIG,"Orquesta/Banda/Conjunto"),"")))</f>
        <v/>
      </c>
      <c r="AB905" t="str">
        <f>IF(Y905="","",IF(Y905="[FÓRMULA MANUAL]","",IFERROR(AVERAGEIFS(nNOTA,nNIA,Y905,nCUENTA,1,nASIG,"Música de Cámara"),"")))</f>
        <v/>
      </c>
      <c r="AC905" t="str">
        <f>IF(Y905="","",IF(Y905="[FÓRMULA MANUAL]","",IFERROR(SUMPRODUCT((nNIA=Y905)*(nCUENTA=1)*(COUNTIF(CONFIG_ASIGNATURAS!$B$7:$B$27,nASIG)&gt;0)*(nNOTA))/SUMPRODUCT((nNIA=Y905)*(nCUENTA=1)*(COUNTIF(CONFIG_ASIGNATURAS!$B$7:$B$27,nASIG)&gt;0)*1),"")))</f>
        <v/>
      </c>
      <c r="AF905" t="str">
        <f>IF(AE905="","",IF(AE905="[FÓRMULA MANUAL]","",IFERROR(AVERAGEIFS(nNOTA,nNIA,AE905,nCUENTA,1,nASIG,"Análisis"),"")))</f>
        <v/>
      </c>
      <c r="AG905" t="str">
        <f>IF(AE905="","",IF(AE905="[FÓRMULA MANUAL]","",IFERROR(AVERAGEIFS(nNOTA,nNIA,AE905,nCUENTA,1,nASIG,"Orquesta/Banda/Conjunto"),"")))</f>
        <v/>
      </c>
      <c r="AH905" t="str">
        <f>IF(AE905="","",IF(AE905="[FÓRMULA MANUAL]","",IFERROR(AVERAGEIFS(nNOTA,nNIA,AE905,nCUENTA,1,nASIG,"Música de Cámara"),"")))</f>
        <v/>
      </c>
      <c r="AI905" t="str">
        <f>IF(AE905="","",IF(AE905="[FÓRMULA MANUAL]","",IFERROR(SUMPRODUCT((nNIA=AE905)*(nCUENTA=1)*(COUNTIF(CONFIG_ASIGNATURAS!$B$7:$B$27,nASIG)&gt;0)*(nNOTA))/SUMPRODUCT((nNIA=AE905)*(nCUENTA=1)*(COUNTIF(CONFIG_ASIGNATURAS!$B$7:$B$27,nASIG)&gt;0)*1),"")))</f>
        <v/>
      </c>
    </row>
    <row r="906" spans="2:35" x14ac:dyDescent="0.2">
      <c r="B906" t="str">
        <f>IF(A906="","",IF(A906="[FÓRMULA MANUAL]","",IFERROR(AVERAGEIFS(nNOTA,nNIA,A906,nCUENTA,1,nASIG,"Lenguaje Musical"),"")))</f>
        <v/>
      </c>
      <c r="C906" t="str">
        <f>IF(A906="","",IF(A906="[FÓRMULA MANUAL]","",IFERROR(AVERAGEIFS(nNOTA,nNIA,A906,nCUENTA,1,nASIG,"Orquesta/Banda/Conjunto"),"")))</f>
        <v/>
      </c>
      <c r="D906" t="str">
        <f>IF(A906="","",IF(A906="[FÓRMULA MANUAL]","",IFERROR(AVERAGEIFS(nNOTA,nNIA,A906,nCUENTA,1,nASIG,"Conjunto"),"")))</f>
        <v/>
      </c>
      <c r="E906" t="str">
        <f>IF(A906="","",IF(A906="[FÓRMULA MANUAL]","",IFERROR(SUMPRODUCT((nNIA=A906)*(nCUENTA=1)*(COUNTIF(CONFIG_ASIGNATURAS!$B$7:$B$27,nASIG)&gt;0)*(nNOTA))/SUMPRODUCT((nNIA=A906)*(nCUENTA=1)*(COUNTIF(CONFIG_ASIGNATURAS!$B$7:$B$27,nASIG)&gt;0)*1),"")))</f>
        <v/>
      </c>
      <c r="H906" t="str">
        <f>IF(G906="","",IF(G906="[FÓRMULA MANUAL]","",IFERROR(AVERAGEIFS(nNOTA,nNIA,G906,nCUENTA,1,nASIG,"Lenguaje Musical"),"")))</f>
        <v/>
      </c>
      <c r="I906" t="str">
        <f>IF(G906="","",IF(G906="[FÓRMULA MANUAL]","",IFERROR(AVERAGEIFS(nNOTA,nNIA,G906,nCUENTA,1,nASIG,"Orquesta/Banda/Conjunto"),"")))</f>
        <v/>
      </c>
      <c r="J906" t="str">
        <f>IF(G906="","",IF(G906="[FÓRMULA MANUAL]","",IFERROR(AVERAGEIFS(nNOTA,nNIA,G906,nCUENTA,1,nASIG,"Conjunto"),"")))</f>
        <v/>
      </c>
      <c r="K906" t="str">
        <f>IF(G906="","",IF(G906="[FÓRMULA MANUAL]","",IFERROR(SUMPRODUCT((nNIA=G906)*(nCUENTA=1)*(COUNTIF(CONFIG_ASIGNATURAS!$B$7:$B$27,nASIG)&gt;0)*(nNOTA))/SUMPRODUCT((nNIA=G906)*(nCUENTA=1)*(COUNTIF(CONFIG_ASIGNATURAS!$B$7:$B$27,nASIG)&gt;0)*1),"")))</f>
        <v/>
      </c>
      <c r="N906" t="str">
        <f>IF(M906="","",IF(M906="[FÓRMULA MANUAL]","",IFERROR(AVERAGEIFS(nNOTA,nNIA,M906,nCUENTA,1,nASIG,"Armonía"),"")))</f>
        <v/>
      </c>
      <c r="O906" t="str">
        <f>IF(M906="","",IF(M906="[FÓRMULA MANUAL]","",IFERROR(AVERAGEIFS(nNOTA,nNIA,M906,nCUENTA,1,nASIG,"Orquesta/Banda/Conjunto"),"")))</f>
        <v/>
      </c>
      <c r="P906" t="str">
        <f>IF(M906="","",IF(M906="[FÓRMULA MANUAL]","",IFERROR(AVERAGEIFS(nNOTA,nNIA,M906,nCUENTA,1,nASIG,"Música de Cámara"),"")))</f>
        <v/>
      </c>
      <c r="Q906" t="str">
        <f>IF(M906="","",IF(M906="[FÓRMULA MANUAL]","",IFERROR(SUMPRODUCT((nNIA=M906)*(nCUENTA=1)*(COUNTIF(CONFIG_ASIGNATURAS!$B$7:$B$27,nASIG)&gt;0)*(nNOTA))/SUMPRODUCT((nNIA=M906)*(nCUENTA=1)*(COUNTIF(CONFIG_ASIGNATURAS!$B$7:$B$27,nASIG)&gt;0)*1),"")))</f>
        <v/>
      </c>
      <c r="T906" t="str">
        <f>IF(S906="","",IF(S906="[FÓRMULA MANUAL]","",IFERROR(AVERAGEIFS(nNOTA,nNIA,S906,nCUENTA,1,nASIG,"Armonía"),"")))</f>
        <v/>
      </c>
      <c r="U906" t="str">
        <f>IF(S906="","",IF(S906="[FÓRMULA MANUAL]","",IFERROR(AVERAGEIFS(nNOTA,nNIA,S906,nCUENTA,1,nASIG,"Orquesta/Banda/Conjunto"),"")))</f>
        <v/>
      </c>
      <c r="V906" t="str">
        <f>IF(S906="","",IF(S906="[FÓRMULA MANUAL]","",IFERROR(AVERAGEIFS(nNOTA,nNIA,S906,nCUENTA,1,nASIG,"Música de Cámara"),"")))</f>
        <v/>
      </c>
      <c r="W906" t="str">
        <f>IF(S906="","",IF(S906="[FÓRMULA MANUAL]","",IFERROR(SUMPRODUCT((nNIA=S906)*(nCUENTA=1)*(COUNTIF(CONFIG_ASIGNATURAS!$B$7:$B$27,nASIG)&gt;0)*(nNOTA))/SUMPRODUCT((nNIA=S906)*(nCUENTA=1)*(COUNTIF(CONFIG_ASIGNATURAS!$B$7:$B$27,nASIG)&gt;0)*1),"")))</f>
        <v/>
      </c>
      <c r="Z906" t="str">
        <f>IF(Y906="","",IF(Y906="[FÓRMULA MANUAL]","",IFERROR(AVERAGEIFS(nNOTA,nNIA,Y906,nCUENTA,1,nASIG,"Análisis"),"")))</f>
        <v/>
      </c>
      <c r="AA906" t="str">
        <f>IF(Y906="","",IF(Y906="[FÓRMULA MANUAL]","",IFERROR(AVERAGEIFS(nNOTA,nNIA,Y906,nCUENTA,1,nASIG,"Orquesta/Banda/Conjunto"),"")))</f>
        <v/>
      </c>
      <c r="AB906" t="str">
        <f>IF(Y906="","",IF(Y906="[FÓRMULA MANUAL]","",IFERROR(AVERAGEIFS(nNOTA,nNIA,Y906,nCUENTA,1,nASIG,"Música de Cámara"),"")))</f>
        <v/>
      </c>
      <c r="AC906" t="str">
        <f>IF(Y906="","",IF(Y906="[FÓRMULA MANUAL]","",IFERROR(SUMPRODUCT((nNIA=Y906)*(nCUENTA=1)*(COUNTIF(CONFIG_ASIGNATURAS!$B$7:$B$27,nASIG)&gt;0)*(nNOTA))/SUMPRODUCT((nNIA=Y906)*(nCUENTA=1)*(COUNTIF(CONFIG_ASIGNATURAS!$B$7:$B$27,nASIG)&gt;0)*1),"")))</f>
        <v/>
      </c>
      <c r="AF906" t="str">
        <f>IF(AE906="","",IF(AE906="[FÓRMULA MANUAL]","",IFERROR(AVERAGEIFS(nNOTA,nNIA,AE906,nCUENTA,1,nASIG,"Análisis"),"")))</f>
        <v/>
      </c>
      <c r="AG906" t="str">
        <f>IF(AE906="","",IF(AE906="[FÓRMULA MANUAL]","",IFERROR(AVERAGEIFS(nNOTA,nNIA,AE906,nCUENTA,1,nASIG,"Orquesta/Banda/Conjunto"),"")))</f>
        <v/>
      </c>
      <c r="AH906" t="str">
        <f>IF(AE906="","",IF(AE906="[FÓRMULA MANUAL]","",IFERROR(AVERAGEIFS(nNOTA,nNIA,AE906,nCUENTA,1,nASIG,"Música de Cámara"),"")))</f>
        <v/>
      </c>
      <c r="AI906" t="str">
        <f>IF(AE906="","",IF(AE906="[FÓRMULA MANUAL]","",IFERROR(SUMPRODUCT((nNIA=AE906)*(nCUENTA=1)*(COUNTIF(CONFIG_ASIGNATURAS!$B$7:$B$27,nASIG)&gt;0)*(nNOTA))/SUMPRODUCT((nNIA=AE906)*(nCUENTA=1)*(COUNTIF(CONFIG_ASIGNATURAS!$B$7:$B$27,nASIG)&gt;0)*1),"")))</f>
        <v/>
      </c>
    </row>
    <row r="907" spans="2:35" x14ac:dyDescent="0.2">
      <c r="B907" t="str">
        <f>IF(A907="","",IF(A907="[FÓRMULA MANUAL]","",IFERROR(AVERAGEIFS(nNOTA,nNIA,A907,nCUENTA,1,nASIG,"Lenguaje Musical"),"")))</f>
        <v/>
      </c>
      <c r="C907" t="str">
        <f>IF(A907="","",IF(A907="[FÓRMULA MANUAL]","",IFERROR(AVERAGEIFS(nNOTA,nNIA,A907,nCUENTA,1,nASIG,"Orquesta/Banda/Conjunto"),"")))</f>
        <v/>
      </c>
      <c r="D907" t="str">
        <f>IF(A907="","",IF(A907="[FÓRMULA MANUAL]","",IFERROR(AVERAGEIFS(nNOTA,nNIA,A907,nCUENTA,1,nASIG,"Conjunto"),"")))</f>
        <v/>
      </c>
      <c r="E907" t="str">
        <f>IF(A907="","",IF(A907="[FÓRMULA MANUAL]","",IFERROR(SUMPRODUCT((nNIA=A907)*(nCUENTA=1)*(COUNTIF(CONFIG_ASIGNATURAS!$B$7:$B$27,nASIG)&gt;0)*(nNOTA))/SUMPRODUCT((nNIA=A907)*(nCUENTA=1)*(COUNTIF(CONFIG_ASIGNATURAS!$B$7:$B$27,nASIG)&gt;0)*1),"")))</f>
        <v/>
      </c>
      <c r="H907" t="str">
        <f>IF(G907="","",IF(G907="[FÓRMULA MANUAL]","",IFERROR(AVERAGEIFS(nNOTA,nNIA,G907,nCUENTA,1,nASIG,"Lenguaje Musical"),"")))</f>
        <v/>
      </c>
      <c r="I907" t="str">
        <f>IF(G907="","",IF(G907="[FÓRMULA MANUAL]","",IFERROR(AVERAGEIFS(nNOTA,nNIA,G907,nCUENTA,1,nASIG,"Orquesta/Banda/Conjunto"),"")))</f>
        <v/>
      </c>
      <c r="J907" t="str">
        <f>IF(G907="","",IF(G907="[FÓRMULA MANUAL]","",IFERROR(AVERAGEIFS(nNOTA,nNIA,G907,nCUENTA,1,nASIG,"Conjunto"),"")))</f>
        <v/>
      </c>
      <c r="K907" t="str">
        <f>IF(G907="","",IF(G907="[FÓRMULA MANUAL]","",IFERROR(SUMPRODUCT((nNIA=G907)*(nCUENTA=1)*(COUNTIF(CONFIG_ASIGNATURAS!$B$7:$B$27,nASIG)&gt;0)*(nNOTA))/SUMPRODUCT((nNIA=G907)*(nCUENTA=1)*(COUNTIF(CONFIG_ASIGNATURAS!$B$7:$B$27,nASIG)&gt;0)*1),"")))</f>
        <v/>
      </c>
      <c r="N907" t="str">
        <f>IF(M907="","",IF(M907="[FÓRMULA MANUAL]","",IFERROR(AVERAGEIFS(nNOTA,nNIA,M907,nCUENTA,1,nASIG,"Armonía"),"")))</f>
        <v/>
      </c>
      <c r="O907" t="str">
        <f>IF(M907="","",IF(M907="[FÓRMULA MANUAL]","",IFERROR(AVERAGEIFS(nNOTA,nNIA,M907,nCUENTA,1,nASIG,"Orquesta/Banda/Conjunto"),"")))</f>
        <v/>
      </c>
      <c r="P907" t="str">
        <f>IF(M907="","",IF(M907="[FÓRMULA MANUAL]","",IFERROR(AVERAGEIFS(nNOTA,nNIA,M907,nCUENTA,1,nASIG,"Música de Cámara"),"")))</f>
        <v/>
      </c>
      <c r="Q907" t="str">
        <f>IF(M907="","",IF(M907="[FÓRMULA MANUAL]","",IFERROR(SUMPRODUCT((nNIA=M907)*(nCUENTA=1)*(COUNTIF(CONFIG_ASIGNATURAS!$B$7:$B$27,nASIG)&gt;0)*(nNOTA))/SUMPRODUCT((nNIA=M907)*(nCUENTA=1)*(COUNTIF(CONFIG_ASIGNATURAS!$B$7:$B$27,nASIG)&gt;0)*1),"")))</f>
        <v/>
      </c>
      <c r="T907" t="str">
        <f>IF(S907="","",IF(S907="[FÓRMULA MANUAL]","",IFERROR(AVERAGEIFS(nNOTA,nNIA,S907,nCUENTA,1,nASIG,"Armonía"),"")))</f>
        <v/>
      </c>
      <c r="U907" t="str">
        <f>IF(S907="","",IF(S907="[FÓRMULA MANUAL]","",IFERROR(AVERAGEIFS(nNOTA,nNIA,S907,nCUENTA,1,nASIG,"Orquesta/Banda/Conjunto"),"")))</f>
        <v/>
      </c>
      <c r="V907" t="str">
        <f>IF(S907="","",IF(S907="[FÓRMULA MANUAL]","",IFERROR(AVERAGEIFS(nNOTA,nNIA,S907,nCUENTA,1,nASIG,"Música de Cámara"),"")))</f>
        <v/>
      </c>
      <c r="W907" t="str">
        <f>IF(S907="","",IF(S907="[FÓRMULA MANUAL]","",IFERROR(SUMPRODUCT((nNIA=S907)*(nCUENTA=1)*(COUNTIF(CONFIG_ASIGNATURAS!$B$7:$B$27,nASIG)&gt;0)*(nNOTA))/SUMPRODUCT((nNIA=S907)*(nCUENTA=1)*(COUNTIF(CONFIG_ASIGNATURAS!$B$7:$B$27,nASIG)&gt;0)*1),"")))</f>
        <v/>
      </c>
      <c r="Z907" t="str">
        <f>IF(Y907="","",IF(Y907="[FÓRMULA MANUAL]","",IFERROR(AVERAGEIFS(nNOTA,nNIA,Y907,nCUENTA,1,nASIG,"Análisis"),"")))</f>
        <v/>
      </c>
      <c r="AA907" t="str">
        <f>IF(Y907="","",IF(Y907="[FÓRMULA MANUAL]","",IFERROR(AVERAGEIFS(nNOTA,nNIA,Y907,nCUENTA,1,nASIG,"Orquesta/Banda/Conjunto"),"")))</f>
        <v/>
      </c>
      <c r="AB907" t="str">
        <f>IF(Y907="","",IF(Y907="[FÓRMULA MANUAL]","",IFERROR(AVERAGEIFS(nNOTA,nNIA,Y907,nCUENTA,1,nASIG,"Música de Cámara"),"")))</f>
        <v/>
      </c>
      <c r="AC907" t="str">
        <f>IF(Y907="","",IF(Y907="[FÓRMULA MANUAL]","",IFERROR(SUMPRODUCT((nNIA=Y907)*(nCUENTA=1)*(COUNTIF(CONFIG_ASIGNATURAS!$B$7:$B$27,nASIG)&gt;0)*(nNOTA))/SUMPRODUCT((nNIA=Y907)*(nCUENTA=1)*(COUNTIF(CONFIG_ASIGNATURAS!$B$7:$B$27,nASIG)&gt;0)*1),"")))</f>
        <v/>
      </c>
      <c r="AF907" t="str">
        <f>IF(AE907="","",IF(AE907="[FÓRMULA MANUAL]","",IFERROR(AVERAGEIFS(nNOTA,nNIA,AE907,nCUENTA,1,nASIG,"Análisis"),"")))</f>
        <v/>
      </c>
      <c r="AG907" t="str">
        <f>IF(AE907="","",IF(AE907="[FÓRMULA MANUAL]","",IFERROR(AVERAGEIFS(nNOTA,nNIA,AE907,nCUENTA,1,nASIG,"Orquesta/Banda/Conjunto"),"")))</f>
        <v/>
      </c>
      <c r="AH907" t="str">
        <f>IF(AE907="","",IF(AE907="[FÓRMULA MANUAL]","",IFERROR(AVERAGEIFS(nNOTA,nNIA,AE907,nCUENTA,1,nASIG,"Música de Cámara"),"")))</f>
        <v/>
      </c>
      <c r="AI907" t="str">
        <f>IF(AE907="","",IF(AE907="[FÓRMULA MANUAL]","",IFERROR(SUMPRODUCT((nNIA=AE907)*(nCUENTA=1)*(COUNTIF(CONFIG_ASIGNATURAS!$B$7:$B$27,nASIG)&gt;0)*(nNOTA))/SUMPRODUCT((nNIA=AE907)*(nCUENTA=1)*(COUNTIF(CONFIG_ASIGNATURAS!$B$7:$B$27,nASIG)&gt;0)*1),"")))</f>
        <v/>
      </c>
    </row>
    <row r="908" spans="2:35" x14ac:dyDescent="0.2">
      <c r="B908" t="str">
        <f>IF(A908="","",IF(A908="[FÓRMULA MANUAL]","",IFERROR(AVERAGEIFS(nNOTA,nNIA,A908,nCUENTA,1,nASIG,"Lenguaje Musical"),"")))</f>
        <v/>
      </c>
      <c r="C908" t="str">
        <f>IF(A908="","",IF(A908="[FÓRMULA MANUAL]","",IFERROR(AVERAGEIFS(nNOTA,nNIA,A908,nCUENTA,1,nASIG,"Orquesta/Banda/Conjunto"),"")))</f>
        <v/>
      </c>
      <c r="D908" t="str">
        <f>IF(A908="","",IF(A908="[FÓRMULA MANUAL]","",IFERROR(AVERAGEIFS(nNOTA,nNIA,A908,nCUENTA,1,nASIG,"Conjunto"),"")))</f>
        <v/>
      </c>
      <c r="E908" t="str">
        <f>IF(A908="","",IF(A908="[FÓRMULA MANUAL]","",IFERROR(SUMPRODUCT((nNIA=A908)*(nCUENTA=1)*(COUNTIF(CONFIG_ASIGNATURAS!$B$7:$B$27,nASIG)&gt;0)*(nNOTA))/SUMPRODUCT((nNIA=A908)*(nCUENTA=1)*(COUNTIF(CONFIG_ASIGNATURAS!$B$7:$B$27,nASIG)&gt;0)*1),"")))</f>
        <v/>
      </c>
      <c r="H908" t="str">
        <f>IF(G908="","",IF(G908="[FÓRMULA MANUAL]","",IFERROR(AVERAGEIFS(nNOTA,nNIA,G908,nCUENTA,1,nASIG,"Lenguaje Musical"),"")))</f>
        <v/>
      </c>
      <c r="I908" t="str">
        <f>IF(G908="","",IF(G908="[FÓRMULA MANUAL]","",IFERROR(AVERAGEIFS(nNOTA,nNIA,G908,nCUENTA,1,nASIG,"Orquesta/Banda/Conjunto"),"")))</f>
        <v/>
      </c>
      <c r="J908" t="str">
        <f>IF(G908="","",IF(G908="[FÓRMULA MANUAL]","",IFERROR(AVERAGEIFS(nNOTA,nNIA,G908,nCUENTA,1,nASIG,"Conjunto"),"")))</f>
        <v/>
      </c>
      <c r="K908" t="str">
        <f>IF(G908="","",IF(G908="[FÓRMULA MANUAL]","",IFERROR(SUMPRODUCT((nNIA=G908)*(nCUENTA=1)*(COUNTIF(CONFIG_ASIGNATURAS!$B$7:$B$27,nASIG)&gt;0)*(nNOTA))/SUMPRODUCT((nNIA=G908)*(nCUENTA=1)*(COUNTIF(CONFIG_ASIGNATURAS!$B$7:$B$27,nASIG)&gt;0)*1),"")))</f>
        <v/>
      </c>
      <c r="N908" t="str">
        <f>IF(M908="","",IF(M908="[FÓRMULA MANUAL]","",IFERROR(AVERAGEIFS(nNOTA,nNIA,M908,nCUENTA,1,nASIG,"Armonía"),"")))</f>
        <v/>
      </c>
      <c r="O908" t="str">
        <f>IF(M908="","",IF(M908="[FÓRMULA MANUAL]","",IFERROR(AVERAGEIFS(nNOTA,nNIA,M908,nCUENTA,1,nASIG,"Orquesta/Banda/Conjunto"),"")))</f>
        <v/>
      </c>
      <c r="P908" t="str">
        <f>IF(M908="","",IF(M908="[FÓRMULA MANUAL]","",IFERROR(AVERAGEIFS(nNOTA,nNIA,M908,nCUENTA,1,nASIG,"Música de Cámara"),"")))</f>
        <v/>
      </c>
      <c r="Q908" t="str">
        <f>IF(M908="","",IF(M908="[FÓRMULA MANUAL]","",IFERROR(SUMPRODUCT((nNIA=M908)*(nCUENTA=1)*(COUNTIF(CONFIG_ASIGNATURAS!$B$7:$B$27,nASIG)&gt;0)*(nNOTA))/SUMPRODUCT((nNIA=M908)*(nCUENTA=1)*(COUNTIF(CONFIG_ASIGNATURAS!$B$7:$B$27,nASIG)&gt;0)*1),"")))</f>
        <v/>
      </c>
      <c r="T908" t="str">
        <f>IF(S908="","",IF(S908="[FÓRMULA MANUAL]","",IFERROR(AVERAGEIFS(nNOTA,nNIA,S908,nCUENTA,1,nASIG,"Armonía"),"")))</f>
        <v/>
      </c>
      <c r="U908" t="str">
        <f>IF(S908="","",IF(S908="[FÓRMULA MANUAL]","",IFERROR(AVERAGEIFS(nNOTA,nNIA,S908,nCUENTA,1,nASIG,"Orquesta/Banda/Conjunto"),"")))</f>
        <v/>
      </c>
      <c r="V908" t="str">
        <f>IF(S908="","",IF(S908="[FÓRMULA MANUAL]","",IFERROR(AVERAGEIFS(nNOTA,nNIA,S908,nCUENTA,1,nASIG,"Música de Cámara"),"")))</f>
        <v/>
      </c>
      <c r="W908" t="str">
        <f>IF(S908="","",IF(S908="[FÓRMULA MANUAL]","",IFERROR(SUMPRODUCT((nNIA=S908)*(nCUENTA=1)*(COUNTIF(CONFIG_ASIGNATURAS!$B$7:$B$27,nASIG)&gt;0)*(nNOTA))/SUMPRODUCT((nNIA=S908)*(nCUENTA=1)*(COUNTIF(CONFIG_ASIGNATURAS!$B$7:$B$27,nASIG)&gt;0)*1),"")))</f>
        <v/>
      </c>
      <c r="Z908" t="str">
        <f>IF(Y908="","",IF(Y908="[FÓRMULA MANUAL]","",IFERROR(AVERAGEIFS(nNOTA,nNIA,Y908,nCUENTA,1,nASIG,"Análisis"),"")))</f>
        <v/>
      </c>
      <c r="AA908" t="str">
        <f>IF(Y908="","",IF(Y908="[FÓRMULA MANUAL]","",IFERROR(AVERAGEIFS(nNOTA,nNIA,Y908,nCUENTA,1,nASIG,"Orquesta/Banda/Conjunto"),"")))</f>
        <v/>
      </c>
      <c r="AB908" t="str">
        <f>IF(Y908="","",IF(Y908="[FÓRMULA MANUAL]","",IFERROR(AVERAGEIFS(nNOTA,nNIA,Y908,nCUENTA,1,nASIG,"Música de Cámara"),"")))</f>
        <v/>
      </c>
      <c r="AC908" t="str">
        <f>IF(Y908="","",IF(Y908="[FÓRMULA MANUAL]","",IFERROR(SUMPRODUCT((nNIA=Y908)*(nCUENTA=1)*(COUNTIF(CONFIG_ASIGNATURAS!$B$7:$B$27,nASIG)&gt;0)*(nNOTA))/SUMPRODUCT((nNIA=Y908)*(nCUENTA=1)*(COUNTIF(CONFIG_ASIGNATURAS!$B$7:$B$27,nASIG)&gt;0)*1),"")))</f>
        <v/>
      </c>
      <c r="AF908" t="str">
        <f>IF(AE908="","",IF(AE908="[FÓRMULA MANUAL]","",IFERROR(AVERAGEIFS(nNOTA,nNIA,AE908,nCUENTA,1,nASIG,"Análisis"),"")))</f>
        <v/>
      </c>
      <c r="AG908" t="str">
        <f>IF(AE908="","",IF(AE908="[FÓRMULA MANUAL]","",IFERROR(AVERAGEIFS(nNOTA,nNIA,AE908,nCUENTA,1,nASIG,"Orquesta/Banda/Conjunto"),"")))</f>
        <v/>
      </c>
      <c r="AH908" t="str">
        <f>IF(AE908="","",IF(AE908="[FÓRMULA MANUAL]","",IFERROR(AVERAGEIFS(nNOTA,nNIA,AE908,nCUENTA,1,nASIG,"Música de Cámara"),"")))</f>
        <v/>
      </c>
      <c r="AI908" t="str">
        <f>IF(AE908="","",IF(AE908="[FÓRMULA MANUAL]","",IFERROR(SUMPRODUCT((nNIA=AE908)*(nCUENTA=1)*(COUNTIF(CONFIG_ASIGNATURAS!$B$7:$B$27,nASIG)&gt;0)*(nNOTA))/SUMPRODUCT((nNIA=AE908)*(nCUENTA=1)*(COUNTIF(CONFIG_ASIGNATURAS!$B$7:$B$27,nASIG)&gt;0)*1),"")))</f>
        <v/>
      </c>
    </row>
    <row r="909" spans="2:35" x14ac:dyDescent="0.2">
      <c r="B909" t="str">
        <f>IF(A909="","",IF(A909="[FÓRMULA MANUAL]","",IFERROR(AVERAGEIFS(nNOTA,nNIA,A909,nCUENTA,1,nASIG,"Lenguaje Musical"),"")))</f>
        <v/>
      </c>
      <c r="C909" t="str">
        <f>IF(A909="","",IF(A909="[FÓRMULA MANUAL]","",IFERROR(AVERAGEIFS(nNOTA,nNIA,A909,nCUENTA,1,nASIG,"Orquesta/Banda/Conjunto"),"")))</f>
        <v/>
      </c>
      <c r="D909" t="str">
        <f>IF(A909="","",IF(A909="[FÓRMULA MANUAL]","",IFERROR(AVERAGEIFS(nNOTA,nNIA,A909,nCUENTA,1,nASIG,"Conjunto"),"")))</f>
        <v/>
      </c>
      <c r="E909" t="str">
        <f>IF(A909="","",IF(A909="[FÓRMULA MANUAL]","",IFERROR(SUMPRODUCT((nNIA=A909)*(nCUENTA=1)*(COUNTIF(CONFIG_ASIGNATURAS!$B$7:$B$27,nASIG)&gt;0)*(nNOTA))/SUMPRODUCT((nNIA=A909)*(nCUENTA=1)*(COUNTIF(CONFIG_ASIGNATURAS!$B$7:$B$27,nASIG)&gt;0)*1),"")))</f>
        <v/>
      </c>
      <c r="H909" t="str">
        <f>IF(G909="","",IF(G909="[FÓRMULA MANUAL]","",IFERROR(AVERAGEIFS(nNOTA,nNIA,G909,nCUENTA,1,nASIG,"Lenguaje Musical"),"")))</f>
        <v/>
      </c>
      <c r="I909" t="str">
        <f>IF(G909="","",IF(G909="[FÓRMULA MANUAL]","",IFERROR(AVERAGEIFS(nNOTA,nNIA,G909,nCUENTA,1,nASIG,"Orquesta/Banda/Conjunto"),"")))</f>
        <v/>
      </c>
      <c r="J909" t="str">
        <f>IF(G909="","",IF(G909="[FÓRMULA MANUAL]","",IFERROR(AVERAGEIFS(nNOTA,nNIA,G909,nCUENTA,1,nASIG,"Conjunto"),"")))</f>
        <v/>
      </c>
      <c r="K909" t="str">
        <f>IF(G909="","",IF(G909="[FÓRMULA MANUAL]","",IFERROR(SUMPRODUCT((nNIA=G909)*(nCUENTA=1)*(COUNTIF(CONFIG_ASIGNATURAS!$B$7:$B$27,nASIG)&gt;0)*(nNOTA))/SUMPRODUCT((nNIA=G909)*(nCUENTA=1)*(COUNTIF(CONFIG_ASIGNATURAS!$B$7:$B$27,nASIG)&gt;0)*1),"")))</f>
        <v/>
      </c>
      <c r="N909" t="str">
        <f>IF(M909="","",IF(M909="[FÓRMULA MANUAL]","",IFERROR(AVERAGEIFS(nNOTA,nNIA,M909,nCUENTA,1,nASIG,"Armonía"),"")))</f>
        <v/>
      </c>
      <c r="O909" t="str">
        <f>IF(M909="","",IF(M909="[FÓRMULA MANUAL]","",IFERROR(AVERAGEIFS(nNOTA,nNIA,M909,nCUENTA,1,nASIG,"Orquesta/Banda/Conjunto"),"")))</f>
        <v/>
      </c>
      <c r="P909" t="str">
        <f>IF(M909="","",IF(M909="[FÓRMULA MANUAL]","",IFERROR(AVERAGEIFS(nNOTA,nNIA,M909,nCUENTA,1,nASIG,"Música de Cámara"),"")))</f>
        <v/>
      </c>
      <c r="Q909" t="str">
        <f>IF(M909="","",IF(M909="[FÓRMULA MANUAL]","",IFERROR(SUMPRODUCT((nNIA=M909)*(nCUENTA=1)*(COUNTIF(CONFIG_ASIGNATURAS!$B$7:$B$27,nASIG)&gt;0)*(nNOTA))/SUMPRODUCT((nNIA=M909)*(nCUENTA=1)*(COUNTIF(CONFIG_ASIGNATURAS!$B$7:$B$27,nASIG)&gt;0)*1),"")))</f>
        <v/>
      </c>
      <c r="T909" t="str">
        <f>IF(S909="","",IF(S909="[FÓRMULA MANUAL]","",IFERROR(AVERAGEIFS(nNOTA,nNIA,S909,nCUENTA,1,nASIG,"Armonía"),"")))</f>
        <v/>
      </c>
      <c r="U909" t="str">
        <f>IF(S909="","",IF(S909="[FÓRMULA MANUAL]","",IFERROR(AVERAGEIFS(nNOTA,nNIA,S909,nCUENTA,1,nASIG,"Orquesta/Banda/Conjunto"),"")))</f>
        <v/>
      </c>
      <c r="V909" t="str">
        <f>IF(S909="","",IF(S909="[FÓRMULA MANUAL]","",IFERROR(AVERAGEIFS(nNOTA,nNIA,S909,nCUENTA,1,nASIG,"Música de Cámara"),"")))</f>
        <v/>
      </c>
      <c r="W909" t="str">
        <f>IF(S909="","",IF(S909="[FÓRMULA MANUAL]","",IFERROR(SUMPRODUCT((nNIA=S909)*(nCUENTA=1)*(COUNTIF(CONFIG_ASIGNATURAS!$B$7:$B$27,nASIG)&gt;0)*(nNOTA))/SUMPRODUCT((nNIA=S909)*(nCUENTA=1)*(COUNTIF(CONFIG_ASIGNATURAS!$B$7:$B$27,nASIG)&gt;0)*1),"")))</f>
        <v/>
      </c>
      <c r="Z909" t="str">
        <f>IF(Y909="","",IF(Y909="[FÓRMULA MANUAL]","",IFERROR(AVERAGEIFS(nNOTA,nNIA,Y909,nCUENTA,1,nASIG,"Análisis"),"")))</f>
        <v/>
      </c>
      <c r="AA909" t="str">
        <f>IF(Y909="","",IF(Y909="[FÓRMULA MANUAL]","",IFERROR(AVERAGEIFS(nNOTA,nNIA,Y909,nCUENTA,1,nASIG,"Orquesta/Banda/Conjunto"),"")))</f>
        <v/>
      </c>
      <c r="AB909" t="str">
        <f>IF(Y909="","",IF(Y909="[FÓRMULA MANUAL]","",IFERROR(AVERAGEIFS(nNOTA,nNIA,Y909,nCUENTA,1,nASIG,"Música de Cámara"),"")))</f>
        <v/>
      </c>
      <c r="AC909" t="str">
        <f>IF(Y909="","",IF(Y909="[FÓRMULA MANUAL]","",IFERROR(SUMPRODUCT((nNIA=Y909)*(nCUENTA=1)*(COUNTIF(CONFIG_ASIGNATURAS!$B$7:$B$27,nASIG)&gt;0)*(nNOTA))/SUMPRODUCT((nNIA=Y909)*(nCUENTA=1)*(COUNTIF(CONFIG_ASIGNATURAS!$B$7:$B$27,nASIG)&gt;0)*1),"")))</f>
        <v/>
      </c>
      <c r="AF909" t="str">
        <f>IF(AE909="","",IF(AE909="[FÓRMULA MANUAL]","",IFERROR(AVERAGEIFS(nNOTA,nNIA,AE909,nCUENTA,1,nASIG,"Análisis"),"")))</f>
        <v/>
      </c>
      <c r="AG909" t="str">
        <f>IF(AE909="","",IF(AE909="[FÓRMULA MANUAL]","",IFERROR(AVERAGEIFS(nNOTA,nNIA,AE909,nCUENTA,1,nASIG,"Orquesta/Banda/Conjunto"),"")))</f>
        <v/>
      </c>
      <c r="AH909" t="str">
        <f>IF(AE909="","",IF(AE909="[FÓRMULA MANUAL]","",IFERROR(AVERAGEIFS(nNOTA,nNIA,AE909,nCUENTA,1,nASIG,"Música de Cámara"),"")))</f>
        <v/>
      </c>
      <c r="AI909" t="str">
        <f>IF(AE909="","",IF(AE909="[FÓRMULA MANUAL]","",IFERROR(SUMPRODUCT((nNIA=AE909)*(nCUENTA=1)*(COUNTIF(CONFIG_ASIGNATURAS!$B$7:$B$27,nASIG)&gt;0)*(nNOTA))/SUMPRODUCT((nNIA=AE909)*(nCUENTA=1)*(COUNTIF(CONFIG_ASIGNATURAS!$B$7:$B$27,nASIG)&gt;0)*1),"")))</f>
        <v/>
      </c>
    </row>
    <row r="910" spans="2:35" x14ac:dyDescent="0.2">
      <c r="B910" t="str">
        <f>IF(A910="","",IF(A910="[FÓRMULA MANUAL]","",IFERROR(AVERAGEIFS(nNOTA,nNIA,A910,nCUENTA,1,nASIG,"Lenguaje Musical"),"")))</f>
        <v/>
      </c>
      <c r="C910" t="str">
        <f>IF(A910="","",IF(A910="[FÓRMULA MANUAL]","",IFERROR(AVERAGEIFS(nNOTA,nNIA,A910,nCUENTA,1,nASIG,"Orquesta/Banda/Conjunto"),"")))</f>
        <v/>
      </c>
      <c r="D910" t="str">
        <f>IF(A910="","",IF(A910="[FÓRMULA MANUAL]","",IFERROR(AVERAGEIFS(nNOTA,nNIA,A910,nCUENTA,1,nASIG,"Conjunto"),"")))</f>
        <v/>
      </c>
      <c r="E910" t="str">
        <f>IF(A910="","",IF(A910="[FÓRMULA MANUAL]","",IFERROR(SUMPRODUCT((nNIA=A910)*(nCUENTA=1)*(COUNTIF(CONFIG_ASIGNATURAS!$B$7:$B$27,nASIG)&gt;0)*(nNOTA))/SUMPRODUCT((nNIA=A910)*(nCUENTA=1)*(COUNTIF(CONFIG_ASIGNATURAS!$B$7:$B$27,nASIG)&gt;0)*1),"")))</f>
        <v/>
      </c>
      <c r="H910" t="str">
        <f>IF(G910="","",IF(G910="[FÓRMULA MANUAL]","",IFERROR(AVERAGEIFS(nNOTA,nNIA,G910,nCUENTA,1,nASIG,"Lenguaje Musical"),"")))</f>
        <v/>
      </c>
      <c r="I910" t="str">
        <f>IF(G910="","",IF(G910="[FÓRMULA MANUAL]","",IFERROR(AVERAGEIFS(nNOTA,nNIA,G910,nCUENTA,1,nASIG,"Orquesta/Banda/Conjunto"),"")))</f>
        <v/>
      </c>
      <c r="J910" t="str">
        <f>IF(G910="","",IF(G910="[FÓRMULA MANUAL]","",IFERROR(AVERAGEIFS(nNOTA,nNIA,G910,nCUENTA,1,nASIG,"Conjunto"),"")))</f>
        <v/>
      </c>
      <c r="K910" t="str">
        <f>IF(G910="","",IF(G910="[FÓRMULA MANUAL]","",IFERROR(SUMPRODUCT((nNIA=G910)*(nCUENTA=1)*(COUNTIF(CONFIG_ASIGNATURAS!$B$7:$B$27,nASIG)&gt;0)*(nNOTA))/SUMPRODUCT((nNIA=G910)*(nCUENTA=1)*(COUNTIF(CONFIG_ASIGNATURAS!$B$7:$B$27,nASIG)&gt;0)*1),"")))</f>
        <v/>
      </c>
      <c r="N910" t="str">
        <f>IF(M910="","",IF(M910="[FÓRMULA MANUAL]","",IFERROR(AVERAGEIFS(nNOTA,nNIA,M910,nCUENTA,1,nASIG,"Armonía"),"")))</f>
        <v/>
      </c>
      <c r="O910" t="str">
        <f>IF(M910="","",IF(M910="[FÓRMULA MANUAL]","",IFERROR(AVERAGEIFS(nNOTA,nNIA,M910,nCUENTA,1,nASIG,"Orquesta/Banda/Conjunto"),"")))</f>
        <v/>
      </c>
      <c r="P910" t="str">
        <f>IF(M910="","",IF(M910="[FÓRMULA MANUAL]","",IFERROR(AVERAGEIFS(nNOTA,nNIA,M910,nCUENTA,1,nASIG,"Música de Cámara"),"")))</f>
        <v/>
      </c>
      <c r="Q910" t="str">
        <f>IF(M910="","",IF(M910="[FÓRMULA MANUAL]","",IFERROR(SUMPRODUCT((nNIA=M910)*(nCUENTA=1)*(COUNTIF(CONFIG_ASIGNATURAS!$B$7:$B$27,nASIG)&gt;0)*(nNOTA))/SUMPRODUCT((nNIA=M910)*(nCUENTA=1)*(COUNTIF(CONFIG_ASIGNATURAS!$B$7:$B$27,nASIG)&gt;0)*1),"")))</f>
        <v/>
      </c>
      <c r="T910" t="str">
        <f>IF(S910="","",IF(S910="[FÓRMULA MANUAL]","",IFERROR(AVERAGEIFS(nNOTA,nNIA,S910,nCUENTA,1,nASIG,"Armonía"),"")))</f>
        <v/>
      </c>
      <c r="U910" t="str">
        <f>IF(S910="","",IF(S910="[FÓRMULA MANUAL]","",IFERROR(AVERAGEIFS(nNOTA,nNIA,S910,nCUENTA,1,nASIG,"Orquesta/Banda/Conjunto"),"")))</f>
        <v/>
      </c>
      <c r="V910" t="str">
        <f>IF(S910="","",IF(S910="[FÓRMULA MANUAL]","",IFERROR(AVERAGEIFS(nNOTA,nNIA,S910,nCUENTA,1,nASIG,"Música de Cámara"),"")))</f>
        <v/>
      </c>
      <c r="W910" t="str">
        <f>IF(S910="","",IF(S910="[FÓRMULA MANUAL]","",IFERROR(SUMPRODUCT((nNIA=S910)*(nCUENTA=1)*(COUNTIF(CONFIG_ASIGNATURAS!$B$7:$B$27,nASIG)&gt;0)*(nNOTA))/SUMPRODUCT((nNIA=S910)*(nCUENTA=1)*(COUNTIF(CONFIG_ASIGNATURAS!$B$7:$B$27,nASIG)&gt;0)*1),"")))</f>
        <v/>
      </c>
      <c r="Z910" t="str">
        <f>IF(Y910="","",IF(Y910="[FÓRMULA MANUAL]","",IFERROR(AVERAGEIFS(nNOTA,nNIA,Y910,nCUENTA,1,nASIG,"Análisis"),"")))</f>
        <v/>
      </c>
      <c r="AA910" t="str">
        <f>IF(Y910="","",IF(Y910="[FÓRMULA MANUAL]","",IFERROR(AVERAGEIFS(nNOTA,nNIA,Y910,nCUENTA,1,nASIG,"Orquesta/Banda/Conjunto"),"")))</f>
        <v/>
      </c>
      <c r="AB910" t="str">
        <f>IF(Y910="","",IF(Y910="[FÓRMULA MANUAL]","",IFERROR(AVERAGEIFS(nNOTA,nNIA,Y910,nCUENTA,1,nASIG,"Música de Cámara"),"")))</f>
        <v/>
      </c>
      <c r="AC910" t="str">
        <f>IF(Y910="","",IF(Y910="[FÓRMULA MANUAL]","",IFERROR(SUMPRODUCT((nNIA=Y910)*(nCUENTA=1)*(COUNTIF(CONFIG_ASIGNATURAS!$B$7:$B$27,nASIG)&gt;0)*(nNOTA))/SUMPRODUCT((nNIA=Y910)*(nCUENTA=1)*(COUNTIF(CONFIG_ASIGNATURAS!$B$7:$B$27,nASIG)&gt;0)*1),"")))</f>
        <v/>
      </c>
      <c r="AF910" t="str">
        <f>IF(AE910="","",IF(AE910="[FÓRMULA MANUAL]","",IFERROR(AVERAGEIFS(nNOTA,nNIA,AE910,nCUENTA,1,nASIG,"Análisis"),"")))</f>
        <v/>
      </c>
      <c r="AG910" t="str">
        <f>IF(AE910="","",IF(AE910="[FÓRMULA MANUAL]","",IFERROR(AVERAGEIFS(nNOTA,nNIA,AE910,nCUENTA,1,nASIG,"Orquesta/Banda/Conjunto"),"")))</f>
        <v/>
      </c>
      <c r="AH910" t="str">
        <f>IF(AE910="","",IF(AE910="[FÓRMULA MANUAL]","",IFERROR(AVERAGEIFS(nNOTA,nNIA,AE910,nCUENTA,1,nASIG,"Música de Cámara"),"")))</f>
        <v/>
      </c>
      <c r="AI910" t="str">
        <f>IF(AE910="","",IF(AE910="[FÓRMULA MANUAL]","",IFERROR(SUMPRODUCT((nNIA=AE910)*(nCUENTA=1)*(COUNTIF(CONFIG_ASIGNATURAS!$B$7:$B$27,nASIG)&gt;0)*(nNOTA))/SUMPRODUCT((nNIA=AE910)*(nCUENTA=1)*(COUNTIF(CONFIG_ASIGNATURAS!$B$7:$B$27,nASIG)&gt;0)*1),"")))</f>
        <v/>
      </c>
    </row>
    <row r="911" spans="2:35" x14ac:dyDescent="0.2">
      <c r="B911" t="str">
        <f>IF(A911="","",IF(A911="[FÓRMULA MANUAL]","",IFERROR(AVERAGEIFS(nNOTA,nNIA,A911,nCUENTA,1,nASIG,"Lenguaje Musical"),"")))</f>
        <v/>
      </c>
      <c r="C911" t="str">
        <f>IF(A911="","",IF(A911="[FÓRMULA MANUAL]","",IFERROR(AVERAGEIFS(nNOTA,nNIA,A911,nCUENTA,1,nASIG,"Orquesta/Banda/Conjunto"),"")))</f>
        <v/>
      </c>
      <c r="D911" t="str">
        <f>IF(A911="","",IF(A911="[FÓRMULA MANUAL]","",IFERROR(AVERAGEIFS(nNOTA,nNIA,A911,nCUENTA,1,nASIG,"Conjunto"),"")))</f>
        <v/>
      </c>
      <c r="E911" t="str">
        <f>IF(A911="","",IF(A911="[FÓRMULA MANUAL]","",IFERROR(SUMPRODUCT((nNIA=A911)*(nCUENTA=1)*(COUNTIF(CONFIG_ASIGNATURAS!$B$7:$B$27,nASIG)&gt;0)*(nNOTA))/SUMPRODUCT((nNIA=A911)*(nCUENTA=1)*(COUNTIF(CONFIG_ASIGNATURAS!$B$7:$B$27,nASIG)&gt;0)*1),"")))</f>
        <v/>
      </c>
      <c r="H911" t="str">
        <f>IF(G911="","",IF(G911="[FÓRMULA MANUAL]","",IFERROR(AVERAGEIFS(nNOTA,nNIA,G911,nCUENTA,1,nASIG,"Lenguaje Musical"),"")))</f>
        <v/>
      </c>
      <c r="I911" t="str">
        <f>IF(G911="","",IF(G911="[FÓRMULA MANUAL]","",IFERROR(AVERAGEIFS(nNOTA,nNIA,G911,nCUENTA,1,nASIG,"Orquesta/Banda/Conjunto"),"")))</f>
        <v/>
      </c>
      <c r="J911" t="str">
        <f>IF(G911="","",IF(G911="[FÓRMULA MANUAL]","",IFERROR(AVERAGEIFS(nNOTA,nNIA,G911,nCUENTA,1,nASIG,"Conjunto"),"")))</f>
        <v/>
      </c>
      <c r="K911" t="str">
        <f>IF(G911="","",IF(G911="[FÓRMULA MANUAL]","",IFERROR(SUMPRODUCT((nNIA=G911)*(nCUENTA=1)*(COUNTIF(CONFIG_ASIGNATURAS!$B$7:$B$27,nASIG)&gt;0)*(nNOTA))/SUMPRODUCT((nNIA=G911)*(nCUENTA=1)*(COUNTIF(CONFIG_ASIGNATURAS!$B$7:$B$27,nASIG)&gt;0)*1),"")))</f>
        <v/>
      </c>
      <c r="N911" t="str">
        <f>IF(M911="","",IF(M911="[FÓRMULA MANUAL]","",IFERROR(AVERAGEIFS(nNOTA,nNIA,M911,nCUENTA,1,nASIG,"Armonía"),"")))</f>
        <v/>
      </c>
      <c r="O911" t="str">
        <f>IF(M911="","",IF(M911="[FÓRMULA MANUAL]","",IFERROR(AVERAGEIFS(nNOTA,nNIA,M911,nCUENTA,1,nASIG,"Orquesta/Banda/Conjunto"),"")))</f>
        <v/>
      </c>
      <c r="P911" t="str">
        <f>IF(M911="","",IF(M911="[FÓRMULA MANUAL]","",IFERROR(AVERAGEIFS(nNOTA,nNIA,M911,nCUENTA,1,nASIG,"Música de Cámara"),"")))</f>
        <v/>
      </c>
      <c r="Q911" t="str">
        <f>IF(M911="","",IF(M911="[FÓRMULA MANUAL]","",IFERROR(SUMPRODUCT((nNIA=M911)*(nCUENTA=1)*(COUNTIF(CONFIG_ASIGNATURAS!$B$7:$B$27,nASIG)&gt;0)*(nNOTA))/SUMPRODUCT((nNIA=M911)*(nCUENTA=1)*(COUNTIF(CONFIG_ASIGNATURAS!$B$7:$B$27,nASIG)&gt;0)*1),"")))</f>
        <v/>
      </c>
      <c r="T911" t="str">
        <f>IF(S911="","",IF(S911="[FÓRMULA MANUAL]","",IFERROR(AVERAGEIFS(nNOTA,nNIA,S911,nCUENTA,1,nASIG,"Armonía"),"")))</f>
        <v/>
      </c>
      <c r="U911" t="str">
        <f>IF(S911="","",IF(S911="[FÓRMULA MANUAL]","",IFERROR(AVERAGEIFS(nNOTA,nNIA,S911,nCUENTA,1,nASIG,"Orquesta/Banda/Conjunto"),"")))</f>
        <v/>
      </c>
      <c r="V911" t="str">
        <f>IF(S911="","",IF(S911="[FÓRMULA MANUAL]","",IFERROR(AVERAGEIFS(nNOTA,nNIA,S911,nCUENTA,1,nASIG,"Música de Cámara"),"")))</f>
        <v/>
      </c>
      <c r="W911" t="str">
        <f>IF(S911="","",IF(S911="[FÓRMULA MANUAL]","",IFERROR(SUMPRODUCT((nNIA=S911)*(nCUENTA=1)*(COUNTIF(CONFIG_ASIGNATURAS!$B$7:$B$27,nASIG)&gt;0)*(nNOTA))/SUMPRODUCT((nNIA=S911)*(nCUENTA=1)*(COUNTIF(CONFIG_ASIGNATURAS!$B$7:$B$27,nASIG)&gt;0)*1),"")))</f>
        <v/>
      </c>
      <c r="Z911" t="str">
        <f>IF(Y911="","",IF(Y911="[FÓRMULA MANUAL]","",IFERROR(AVERAGEIFS(nNOTA,nNIA,Y911,nCUENTA,1,nASIG,"Análisis"),"")))</f>
        <v/>
      </c>
      <c r="AA911" t="str">
        <f>IF(Y911="","",IF(Y911="[FÓRMULA MANUAL]","",IFERROR(AVERAGEIFS(nNOTA,nNIA,Y911,nCUENTA,1,nASIG,"Orquesta/Banda/Conjunto"),"")))</f>
        <v/>
      </c>
      <c r="AB911" t="str">
        <f>IF(Y911="","",IF(Y911="[FÓRMULA MANUAL]","",IFERROR(AVERAGEIFS(nNOTA,nNIA,Y911,nCUENTA,1,nASIG,"Música de Cámara"),"")))</f>
        <v/>
      </c>
      <c r="AC911" t="str">
        <f>IF(Y911="","",IF(Y911="[FÓRMULA MANUAL]","",IFERROR(SUMPRODUCT((nNIA=Y911)*(nCUENTA=1)*(COUNTIF(CONFIG_ASIGNATURAS!$B$7:$B$27,nASIG)&gt;0)*(nNOTA))/SUMPRODUCT((nNIA=Y911)*(nCUENTA=1)*(COUNTIF(CONFIG_ASIGNATURAS!$B$7:$B$27,nASIG)&gt;0)*1),"")))</f>
        <v/>
      </c>
      <c r="AF911" t="str">
        <f>IF(AE911="","",IF(AE911="[FÓRMULA MANUAL]","",IFERROR(AVERAGEIFS(nNOTA,nNIA,AE911,nCUENTA,1,nASIG,"Análisis"),"")))</f>
        <v/>
      </c>
      <c r="AG911" t="str">
        <f>IF(AE911="","",IF(AE911="[FÓRMULA MANUAL]","",IFERROR(AVERAGEIFS(nNOTA,nNIA,AE911,nCUENTA,1,nASIG,"Orquesta/Banda/Conjunto"),"")))</f>
        <v/>
      </c>
      <c r="AH911" t="str">
        <f>IF(AE911="","",IF(AE911="[FÓRMULA MANUAL]","",IFERROR(AVERAGEIFS(nNOTA,nNIA,AE911,nCUENTA,1,nASIG,"Música de Cámara"),"")))</f>
        <v/>
      </c>
      <c r="AI911" t="str">
        <f>IF(AE911="","",IF(AE911="[FÓRMULA MANUAL]","",IFERROR(SUMPRODUCT((nNIA=AE911)*(nCUENTA=1)*(COUNTIF(CONFIG_ASIGNATURAS!$B$7:$B$27,nASIG)&gt;0)*(nNOTA))/SUMPRODUCT((nNIA=AE911)*(nCUENTA=1)*(COUNTIF(CONFIG_ASIGNATURAS!$B$7:$B$27,nASIG)&gt;0)*1),"")))</f>
        <v/>
      </c>
    </row>
    <row r="912" spans="2:35" x14ac:dyDescent="0.2">
      <c r="B912" t="str">
        <f>IF(A912="","",IF(A912="[FÓRMULA MANUAL]","",IFERROR(AVERAGEIFS(nNOTA,nNIA,A912,nCUENTA,1,nASIG,"Lenguaje Musical"),"")))</f>
        <v/>
      </c>
      <c r="C912" t="str">
        <f>IF(A912="","",IF(A912="[FÓRMULA MANUAL]","",IFERROR(AVERAGEIFS(nNOTA,nNIA,A912,nCUENTA,1,nASIG,"Orquesta/Banda/Conjunto"),"")))</f>
        <v/>
      </c>
      <c r="D912" t="str">
        <f>IF(A912="","",IF(A912="[FÓRMULA MANUAL]","",IFERROR(AVERAGEIFS(nNOTA,nNIA,A912,nCUENTA,1,nASIG,"Conjunto"),"")))</f>
        <v/>
      </c>
      <c r="E912" t="str">
        <f>IF(A912="","",IF(A912="[FÓRMULA MANUAL]","",IFERROR(SUMPRODUCT((nNIA=A912)*(nCUENTA=1)*(COUNTIF(CONFIG_ASIGNATURAS!$B$7:$B$27,nASIG)&gt;0)*(nNOTA))/SUMPRODUCT((nNIA=A912)*(nCUENTA=1)*(COUNTIF(CONFIG_ASIGNATURAS!$B$7:$B$27,nASIG)&gt;0)*1),"")))</f>
        <v/>
      </c>
      <c r="H912" t="str">
        <f>IF(G912="","",IF(G912="[FÓRMULA MANUAL]","",IFERROR(AVERAGEIFS(nNOTA,nNIA,G912,nCUENTA,1,nASIG,"Lenguaje Musical"),"")))</f>
        <v/>
      </c>
      <c r="I912" t="str">
        <f>IF(G912="","",IF(G912="[FÓRMULA MANUAL]","",IFERROR(AVERAGEIFS(nNOTA,nNIA,G912,nCUENTA,1,nASIG,"Orquesta/Banda/Conjunto"),"")))</f>
        <v/>
      </c>
      <c r="J912" t="str">
        <f>IF(G912="","",IF(G912="[FÓRMULA MANUAL]","",IFERROR(AVERAGEIFS(nNOTA,nNIA,G912,nCUENTA,1,nASIG,"Conjunto"),"")))</f>
        <v/>
      </c>
      <c r="K912" t="str">
        <f>IF(G912="","",IF(G912="[FÓRMULA MANUAL]","",IFERROR(SUMPRODUCT((nNIA=G912)*(nCUENTA=1)*(COUNTIF(CONFIG_ASIGNATURAS!$B$7:$B$27,nASIG)&gt;0)*(nNOTA))/SUMPRODUCT((nNIA=G912)*(nCUENTA=1)*(COUNTIF(CONFIG_ASIGNATURAS!$B$7:$B$27,nASIG)&gt;0)*1),"")))</f>
        <v/>
      </c>
      <c r="N912" t="str">
        <f>IF(M912="","",IF(M912="[FÓRMULA MANUAL]","",IFERROR(AVERAGEIFS(nNOTA,nNIA,M912,nCUENTA,1,nASIG,"Armonía"),"")))</f>
        <v/>
      </c>
      <c r="O912" t="str">
        <f>IF(M912="","",IF(M912="[FÓRMULA MANUAL]","",IFERROR(AVERAGEIFS(nNOTA,nNIA,M912,nCUENTA,1,nASIG,"Orquesta/Banda/Conjunto"),"")))</f>
        <v/>
      </c>
      <c r="P912" t="str">
        <f>IF(M912="","",IF(M912="[FÓRMULA MANUAL]","",IFERROR(AVERAGEIFS(nNOTA,nNIA,M912,nCUENTA,1,nASIG,"Música de Cámara"),"")))</f>
        <v/>
      </c>
      <c r="Q912" t="str">
        <f>IF(M912="","",IF(M912="[FÓRMULA MANUAL]","",IFERROR(SUMPRODUCT((nNIA=M912)*(nCUENTA=1)*(COUNTIF(CONFIG_ASIGNATURAS!$B$7:$B$27,nASIG)&gt;0)*(nNOTA))/SUMPRODUCT((nNIA=M912)*(nCUENTA=1)*(COUNTIF(CONFIG_ASIGNATURAS!$B$7:$B$27,nASIG)&gt;0)*1),"")))</f>
        <v/>
      </c>
      <c r="T912" t="str">
        <f>IF(S912="","",IF(S912="[FÓRMULA MANUAL]","",IFERROR(AVERAGEIFS(nNOTA,nNIA,S912,nCUENTA,1,nASIG,"Armonía"),"")))</f>
        <v/>
      </c>
      <c r="U912" t="str">
        <f>IF(S912="","",IF(S912="[FÓRMULA MANUAL]","",IFERROR(AVERAGEIFS(nNOTA,nNIA,S912,nCUENTA,1,nASIG,"Orquesta/Banda/Conjunto"),"")))</f>
        <v/>
      </c>
      <c r="V912" t="str">
        <f>IF(S912="","",IF(S912="[FÓRMULA MANUAL]","",IFERROR(AVERAGEIFS(nNOTA,nNIA,S912,nCUENTA,1,nASIG,"Música de Cámara"),"")))</f>
        <v/>
      </c>
      <c r="W912" t="str">
        <f>IF(S912="","",IF(S912="[FÓRMULA MANUAL]","",IFERROR(SUMPRODUCT((nNIA=S912)*(nCUENTA=1)*(COUNTIF(CONFIG_ASIGNATURAS!$B$7:$B$27,nASIG)&gt;0)*(nNOTA))/SUMPRODUCT((nNIA=S912)*(nCUENTA=1)*(COUNTIF(CONFIG_ASIGNATURAS!$B$7:$B$27,nASIG)&gt;0)*1),"")))</f>
        <v/>
      </c>
      <c r="Z912" t="str">
        <f>IF(Y912="","",IF(Y912="[FÓRMULA MANUAL]","",IFERROR(AVERAGEIFS(nNOTA,nNIA,Y912,nCUENTA,1,nASIG,"Análisis"),"")))</f>
        <v/>
      </c>
      <c r="AA912" t="str">
        <f>IF(Y912="","",IF(Y912="[FÓRMULA MANUAL]","",IFERROR(AVERAGEIFS(nNOTA,nNIA,Y912,nCUENTA,1,nASIG,"Orquesta/Banda/Conjunto"),"")))</f>
        <v/>
      </c>
      <c r="AB912" t="str">
        <f>IF(Y912="","",IF(Y912="[FÓRMULA MANUAL]","",IFERROR(AVERAGEIFS(nNOTA,nNIA,Y912,nCUENTA,1,nASIG,"Música de Cámara"),"")))</f>
        <v/>
      </c>
      <c r="AC912" t="str">
        <f>IF(Y912="","",IF(Y912="[FÓRMULA MANUAL]","",IFERROR(SUMPRODUCT((nNIA=Y912)*(nCUENTA=1)*(COUNTIF(CONFIG_ASIGNATURAS!$B$7:$B$27,nASIG)&gt;0)*(nNOTA))/SUMPRODUCT((nNIA=Y912)*(nCUENTA=1)*(COUNTIF(CONFIG_ASIGNATURAS!$B$7:$B$27,nASIG)&gt;0)*1),"")))</f>
        <v/>
      </c>
      <c r="AF912" t="str">
        <f>IF(AE912="","",IF(AE912="[FÓRMULA MANUAL]","",IFERROR(AVERAGEIFS(nNOTA,nNIA,AE912,nCUENTA,1,nASIG,"Análisis"),"")))</f>
        <v/>
      </c>
      <c r="AG912" t="str">
        <f>IF(AE912="","",IF(AE912="[FÓRMULA MANUAL]","",IFERROR(AVERAGEIFS(nNOTA,nNIA,AE912,nCUENTA,1,nASIG,"Orquesta/Banda/Conjunto"),"")))</f>
        <v/>
      </c>
      <c r="AH912" t="str">
        <f>IF(AE912="","",IF(AE912="[FÓRMULA MANUAL]","",IFERROR(AVERAGEIFS(nNOTA,nNIA,AE912,nCUENTA,1,nASIG,"Música de Cámara"),"")))</f>
        <v/>
      </c>
      <c r="AI912" t="str">
        <f>IF(AE912="","",IF(AE912="[FÓRMULA MANUAL]","",IFERROR(SUMPRODUCT((nNIA=AE912)*(nCUENTA=1)*(COUNTIF(CONFIG_ASIGNATURAS!$B$7:$B$27,nASIG)&gt;0)*(nNOTA))/SUMPRODUCT((nNIA=AE912)*(nCUENTA=1)*(COUNTIF(CONFIG_ASIGNATURAS!$B$7:$B$27,nASIG)&gt;0)*1),"")))</f>
        <v/>
      </c>
    </row>
    <row r="913" spans="2:35" x14ac:dyDescent="0.2">
      <c r="B913" t="str">
        <f>IF(A913="","",IF(A913="[FÓRMULA MANUAL]","",IFERROR(AVERAGEIFS(nNOTA,nNIA,A913,nCUENTA,1,nASIG,"Lenguaje Musical"),"")))</f>
        <v/>
      </c>
      <c r="C913" t="str">
        <f>IF(A913="","",IF(A913="[FÓRMULA MANUAL]","",IFERROR(AVERAGEIFS(nNOTA,nNIA,A913,nCUENTA,1,nASIG,"Orquesta/Banda/Conjunto"),"")))</f>
        <v/>
      </c>
      <c r="D913" t="str">
        <f>IF(A913="","",IF(A913="[FÓRMULA MANUAL]","",IFERROR(AVERAGEIFS(nNOTA,nNIA,A913,nCUENTA,1,nASIG,"Conjunto"),"")))</f>
        <v/>
      </c>
      <c r="E913" t="str">
        <f>IF(A913="","",IF(A913="[FÓRMULA MANUAL]","",IFERROR(SUMPRODUCT((nNIA=A913)*(nCUENTA=1)*(COUNTIF(CONFIG_ASIGNATURAS!$B$7:$B$27,nASIG)&gt;0)*(nNOTA))/SUMPRODUCT((nNIA=A913)*(nCUENTA=1)*(COUNTIF(CONFIG_ASIGNATURAS!$B$7:$B$27,nASIG)&gt;0)*1),"")))</f>
        <v/>
      </c>
      <c r="H913" t="str">
        <f>IF(G913="","",IF(G913="[FÓRMULA MANUAL]","",IFERROR(AVERAGEIFS(nNOTA,nNIA,G913,nCUENTA,1,nASIG,"Lenguaje Musical"),"")))</f>
        <v/>
      </c>
      <c r="I913" t="str">
        <f>IF(G913="","",IF(G913="[FÓRMULA MANUAL]","",IFERROR(AVERAGEIFS(nNOTA,nNIA,G913,nCUENTA,1,nASIG,"Orquesta/Banda/Conjunto"),"")))</f>
        <v/>
      </c>
      <c r="J913" t="str">
        <f>IF(G913="","",IF(G913="[FÓRMULA MANUAL]","",IFERROR(AVERAGEIFS(nNOTA,nNIA,G913,nCUENTA,1,nASIG,"Conjunto"),"")))</f>
        <v/>
      </c>
      <c r="K913" t="str">
        <f>IF(G913="","",IF(G913="[FÓRMULA MANUAL]","",IFERROR(SUMPRODUCT((nNIA=G913)*(nCUENTA=1)*(COUNTIF(CONFIG_ASIGNATURAS!$B$7:$B$27,nASIG)&gt;0)*(nNOTA))/SUMPRODUCT((nNIA=G913)*(nCUENTA=1)*(COUNTIF(CONFIG_ASIGNATURAS!$B$7:$B$27,nASIG)&gt;0)*1),"")))</f>
        <v/>
      </c>
      <c r="N913" t="str">
        <f>IF(M913="","",IF(M913="[FÓRMULA MANUAL]","",IFERROR(AVERAGEIFS(nNOTA,nNIA,M913,nCUENTA,1,nASIG,"Armonía"),"")))</f>
        <v/>
      </c>
      <c r="O913" t="str">
        <f>IF(M913="","",IF(M913="[FÓRMULA MANUAL]","",IFERROR(AVERAGEIFS(nNOTA,nNIA,M913,nCUENTA,1,nASIG,"Orquesta/Banda/Conjunto"),"")))</f>
        <v/>
      </c>
      <c r="P913" t="str">
        <f>IF(M913="","",IF(M913="[FÓRMULA MANUAL]","",IFERROR(AVERAGEIFS(nNOTA,nNIA,M913,nCUENTA,1,nASIG,"Música de Cámara"),"")))</f>
        <v/>
      </c>
      <c r="Q913" t="str">
        <f>IF(M913="","",IF(M913="[FÓRMULA MANUAL]","",IFERROR(SUMPRODUCT((nNIA=M913)*(nCUENTA=1)*(COUNTIF(CONFIG_ASIGNATURAS!$B$7:$B$27,nASIG)&gt;0)*(nNOTA))/SUMPRODUCT((nNIA=M913)*(nCUENTA=1)*(COUNTIF(CONFIG_ASIGNATURAS!$B$7:$B$27,nASIG)&gt;0)*1),"")))</f>
        <v/>
      </c>
      <c r="T913" t="str">
        <f>IF(S913="","",IF(S913="[FÓRMULA MANUAL]","",IFERROR(AVERAGEIFS(nNOTA,nNIA,S913,nCUENTA,1,nASIG,"Armonía"),"")))</f>
        <v/>
      </c>
      <c r="U913" t="str">
        <f>IF(S913="","",IF(S913="[FÓRMULA MANUAL]","",IFERROR(AVERAGEIFS(nNOTA,nNIA,S913,nCUENTA,1,nASIG,"Orquesta/Banda/Conjunto"),"")))</f>
        <v/>
      </c>
      <c r="V913" t="str">
        <f>IF(S913="","",IF(S913="[FÓRMULA MANUAL]","",IFERROR(AVERAGEIFS(nNOTA,nNIA,S913,nCUENTA,1,nASIG,"Música de Cámara"),"")))</f>
        <v/>
      </c>
      <c r="W913" t="str">
        <f>IF(S913="","",IF(S913="[FÓRMULA MANUAL]","",IFERROR(SUMPRODUCT((nNIA=S913)*(nCUENTA=1)*(COUNTIF(CONFIG_ASIGNATURAS!$B$7:$B$27,nASIG)&gt;0)*(nNOTA))/SUMPRODUCT((nNIA=S913)*(nCUENTA=1)*(COUNTIF(CONFIG_ASIGNATURAS!$B$7:$B$27,nASIG)&gt;0)*1),"")))</f>
        <v/>
      </c>
      <c r="Z913" t="str">
        <f>IF(Y913="","",IF(Y913="[FÓRMULA MANUAL]","",IFERROR(AVERAGEIFS(nNOTA,nNIA,Y913,nCUENTA,1,nASIG,"Análisis"),"")))</f>
        <v/>
      </c>
      <c r="AA913" t="str">
        <f>IF(Y913="","",IF(Y913="[FÓRMULA MANUAL]","",IFERROR(AVERAGEIFS(nNOTA,nNIA,Y913,nCUENTA,1,nASIG,"Orquesta/Banda/Conjunto"),"")))</f>
        <v/>
      </c>
      <c r="AB913" t="str">
        <f>IF(Y913="","",IF(Y913="[FÓRMULA MANUAL]","",IFERROR(AVERAGEIFS(nNOTA,nNIA,Y913,nCUENTA,1,nASIG,"Música de Cámara"),"")))</f>
        <v/>
      </c>
      <c r="AC913" t="str">
        <f>IF(Y913="","",IF(Y913="[FÓRMULA MANUAL]","",IFERROR(SUMPRODUCT((nNIA=Y913)*(nCUENTA=1)*(COUNTIF(CONFIG_ASIGNATURAS!$B$7:$B$27,nASIG)&gt;0)*(nNOTA))/SUMPRODUCT((nNIA=Y913)*(nCUENTA=1)*(COUNTIF(CONFIG_ASIGNATURAS!$B$7:$B$27,nASIG)&gt;0)*1),"")))</f>
        <v/>
      </c>
      <c r="AF913" t="str">
        <f>IF(AE913="","",IF(AE913="[FÓRMULA MANUAL]","",IFERROR(AVERAGEIFS(nNOTA,nNIA,AE913,nCUENTA,1,nASIG,"Análisis"),"")))</f>
        <v/>
      </c>
      <c r="AG913" t="str">
        <f>IF(AE913="","",IF(AE913="[FÓRMULA MANUAL]","",IFERROR(AVERAGEIFS(nNOTA,nNIA,AE913,nCUENTA,1,nASIG,"Orquesta/Banda/Conjunto"),"")))</f>
        <v/>
      </c>
      <c r="AH913" t="str">
        <f>IF(AE913="","",IF(AE913="[FÓRMULA MANUAL]","",IFERROR(AVERAGEIFS(nNOTA,nNIA,AE913,nCUENTA,1,nASIG,"Música de Cámara"),"")))</f>
        <v/>
      </c>
      <c r="AI913" t="str">
        <f>IF(AE913="","",IF(AE913="[FÓRMULA MANUAL]","",IFERROR(SUMPRODUCT((nNIA=AE913)*(nCUENTA=1)*(COUNTIF(CONFIG_ASIGNATURAS!$B$7:$B$27,nASIG)&gt;0)*(nNOTA))/SUMPRODUCT((nNIA=AE913)*(nCUENTA=1)*(COUNTIF(CONFIG_ASIGNATURAS!$B$7:$B$27,nASIG)&gt;0)*1),"")))</f>
        <v/>
      </c>
    </row>
    <row r="914" spans="2:35" x14ac:dyDescent="0.2">
      <c r="B914" t="str">
        <f>IF(A914="","",IF(A914="[FÓRMULA MANUAL]","",IFERROR(AVERAGEIFS(nNOTA,nNIA,A914,nCUENTA,1,nASIG,"Lenguaje Musical"),"")))</f>
        <v/>
      </c>
      <c r="C914" t="str">
        <f>IF(A914="","",IF(A914="[FÓRMULA MANUAL]","",IFERROR(AVERAGEIFS(nNOTA,nNIA,A914,nCUENTA,1,nASIG,"Orquesta/Banda/Conjunto"),"")))</f>
        <v/>
      </c>
      <c r="D914" t="str">
        <f>IF(A914="","",IF(A914="[FÓRMULA MANUAL]","",IFERROR(AVERAGEIFS(nNOTA,nNIA,A914,nCUENTA,1,nASIG,"Conjunto"),"")))</f>
        <v/>
      </c>
      <c r="E914" t="str">
        <f>IF(A914="","",IF(A914="[FÓRMULA MANUAL]","",IFERROR(SUMPRODUCT((nNIA=A914)*(nCUENTA=1)*(COUNTIF(CONFIG_ASIGNATURAS!$B$7:$B$27,nASIG)&gt;0)*(nNOTA))/SUMPRODUCT((nNIA=A914)*(nCUENTA=1)*(COUNTIF(CONFIG_ASIGNATURAS!$B$7:$B$27,nASIG)&gt;0)*1),"")))</f>
        <v/>
      </c>
      <c r="H914" t="str">
        <f>IF(G914="","",IF(G914="[FÓRMULA MANUAL]","",IFERROR(AVERAGEIFS(nNOTA,nNIA,G914,nCUENTA,1,nASIG,"Lenguaje Musical"),"")))</f>
        <v/>
      </c>
      <c r="I914" t="str">
        <f>IF(G914="","",IF(G914="[FÓRMULA MANUAL]","",IFERROR(AVERAGEIFS(nNOTA,nNIA,G914,nCUENTA,1,nASIG,"Orquesta/Banda/Conjunto"),"")))</f>
        <v/>
      </c>
      <c r="J914" t="str">
        <f>IF(G914="","",IF(G914="[FÓRMULA MANUAL]","",IFERROR(AVERAGEIFS(nNOTA,nNIA,G914,nCUENTA,1,nASIG,"Conjunto"),"")))</f>
        <v/>
      </c>
      <c r="K914" t="str">
        <f>IF(G914="","",IF(G914="[FÓRMULA MANUAL]","",IFERROR(SUMPRODUCT((nNIA=G914)*(nCUENTA=1)*(COUNTIF(CONFIG_ASIGNATURAS!$B$7:$B$27,nASIG)&gt;0)*(nNOTA))/SUMPRODUCT((nNIA=G914)*(nCUENTA=1)*(COUNTIF(CONFIG_ASIGNATURAS!$B$7:$B$27,nASIG)&gt;0)*1),"")))</f>
        <v/>
      </c>
      <c r="N914" t="str">
        <f>IF(M914="","",IF(M914="[FÓRMULA MANUAL]","",IFERROR(AVERAGEIFS(nNOTA,nNIA,M914,nCUENTA,1,nASIG,"Armonía"),"")))</f>
        <v/>
      </c>
      <c r="O914" t="str">
        <f>IF(M914="","",IF(M914="[FÓRMULA MANUAL]","",IFERROR(AVERAGEIFS(nNOTA,nNIA,M914,nCUENTA,1,nASIG,"Orquesta/Banda/Conjunto"),"")))</f>
        <v/>
      </c>
      <c r="P914" t="str">
        <f>IF(M914="","",IF(M914="[FÓRMULA MANUAL]","",IFERROR(AVERAGEIFS(nNOTA,nNIA,M914,nCUENTA,1,nASIG,"Música de Cámara"),"")))</f>
        <v/>
      </c>
      <c r="Q914" t="str">
        <f>IF(M914="","",IF(M914="[FÓRMULA MANUAL]","",IFERROR(SUMPRODUCT((nNIA=M914)*(nCUENTA=1)*(COUNTIF(CONFIG_ASIGNATURAS!$B$7:$B$27,nASIG)&gt;0)*(nNOTA))/SUMPRODUCT((nNIA=M914)*(nCUENTA=1)*(COUNTIF(CONFIG_ASIGNATURAS!$B$7:$B$27,nASIG)&gt;0)*1),"")))</f>
        <v/>
      </c>
      <c r="T914" t="str">
        <f>IF(S914="","",IF(S914="[FÓRMULA MANUAL]","",IFERROR(AVERAGEIFS(nNOTA,nNIA,S914,nCUENTA,1,nASIG,"Armonía"),"")))</f>
        <v/>
      </c>
      <c r="U914" t="str">
        <f>IF(S914="","",IF(S914="[FÓRMULA MANUAL]","",IFERROR(AVERAGEIFS(nNOTA,nNIA,S914,nCUENTA,1,nASIG,"Orquesta/Banda/Conjunto"),"")))</f>
        <v/>
      </c>
      <c r="V914" t="str">
        <f>IF(S914="","",IF(S914="[FÓRMULA MANUAL]","",IFERROR(AVERAGEIFS(nNOTA,nNIA,S914,nCUENTA,1,nASIG,"Música de Cámara"),"")))</f>
        <v/>
      </c>
      <c r="W914" t="str">
        <f>IF(S914="","",IF(S914="[FÓRMULA MANUAL]","",IFERROR(SUMPRODUCT((nNIA=S914)*(nCUENTA=1)*(COUNTIF(CONFIG_ASIGNATURAS!$B$7:$B$27,nASIG)&gt;0)*(nNOTA))/SUMPRODUCT((nNIA=S914)*(nCUENTA=1)*(COUNTIF(CONFIG_ASIGNATURAS!$B$7:$B$27,nASIG)&gt;0)*1),"")))</f>
        <v/>
      </c>
      <c r="Z914" t="str">
        <f>IF(Y914="","",IF(Y914="[FÓRMULA MANUAL]","",IFERROR(AVERAGEIFS(nNOTA,nNIA,Y914,nCUENTA,1,nASIG,"Análisis"),"")))</f>
        <v/>
      </c>
      <c r="AA914" t="str">
        <f>IF(Y914="","",IF(Y914="[FÓRMULA MANUAL]","",IFERROR(AVERAGEIFS(nNOTA,nNIA,Y914,nCUENTA,1,nASIG,"Orquesta/Banda/Conjunto"),"")))</f>
        <v/>
      </c>
      <c r="AB914" t="str">
        <f>IF(Y914="","",IF(Y914="[FÓRMULA MANUAL]","",IFERROR(AVERAGEIFS(nNOTA,nNIA,Y914,nCUENTA,1,nASIG,"Música de Cámara"),"")))</f>
        <v/>
      </c>
      <c r="AC914" t="str">
        <f>IF(Y914="","",IF(Y914="[FÓRMULA MANUAL]","",IFERROR(SUMPRODUCT((nNIA=Y914)*(nCUENTA=1)*(COUNTIF(CONFIG_ASIGNATURAS!$B$7:$B$27,nASIG)&gt;0)*(nNOTA))/SUMPRODUCT((nNIA=Y914)*(nCUENTA=1)*(COUNTIF(CONFIG_ASIGNATURAS!$B$7:$B$27,nASIG)&gt;0)*1),"")))</f>
        <v/>
      </c>
      <c r="AF914" t="str">
        <f>IF(AE914="","",IF(AE914="[FÓRMULA MANUAL]","",IFERROR(AVERAGEIFS(nNOTA,nNIA,AE914,nCUENTA,1,nASIG,"Análisis"),"")))</f>
        <v/>
      </c>
      <c r="AG914" t="str">
        <f>IF(AE914="","",IF(AE914="[FÓRMULA MANUAL]","",IFERROR(AVERAGEIFS(nNOTA,nNIA,AE914,nCUENTA,1,nASIG,"Orquesta/Banda/Conjunto"),"")))</f>
        <v/>
      </c>
      <c r="AH914" t="str">
        <f>IF(AE914="","",IF(AE914="[FÓRMULA MANUAL]","",IFERROR(AVERAGEIFS(nNOTA,nNIA,AE914,nCUENTA,1,nASIG,"Música de Cámara"),"")))</f>
        <v/>
      </c>
      <c r="AI914" t="str">
        <f>IF(AE914="","",IF(AE914="[FÓRMULA MANUAL]","",IFERROR(SUMPRODUCT((nNIA=AE914)*(nCUENTA=1)*(COUNTIF(CONFIG_ASIGNATURAS!$B$7:$B$27,nASIG)&gt;0)*(nNOTA))/SUMPRODUCT((nNIA=AE914)*(nCUENTA=1)*(COUNTIF(CONFIG_ASIGNATURAS!$B$7:$B$27,nASIG)&gt;0)*1),"")))</f>
        <v/>
      </c>
    </row>
    <row r="915" spans="2:35" x14ac:dyDescent="0.2">
      <c r="B915" t="str">
        <f>IF(A915="","",IF(A915="[FÓRMULA MANUAL]","",IFERROR(AVERAGEIFS(nNOTA,nNIA,A915,nCUENTA,1,nASIG,"Lenguaje Musical"),"")))</f>
        <v/>
      </c>
      <c r="C915" t="str">
        <f>IF(A915="","",IF(A915="[FÓRMULA MANUAL]","",IFERROR(AVERAGEIFS(nNOTA,nNIA,A915,nCUENTA,1,nASIG,"Orquesta/Banda/Conjunto"),"")))</f>
        <v/>
      </c>
      <c r="D915" t="str">
        <f>IF(A915="","",IF(A915="[FÓRMULA MANUAL]","",IFERROR(AVERAGEIFS(nNOTA,nNIA,A915,nCUENTA,1,nASIG,"Conjunto"),"")))</f>
        <v/>
      </c>
      <c r="E915" t="str">
        <f>IF(A915="","",IF(A915="[FÓRMULA MANUAL]","",IFERROR(SUMPRODUCT((nNIA=A915)*(nCUENTA=1)*(COUNTIF(CONFIG_ASIGNATURAS!$B$7:$B$27,nASIG)&gt;0)*(nNOTA))/SUMPRODUCT((nNIA=A915)*(nCUENTA=1)*(COUNTIF(CONFIG_ASIGNATURAS!$B$7:$B$27,nASIG)&gt;0)*1),"")))</f>
        <v/>
      </c>
      <c r="H915" t="str">
        <f>IF(G915="","",IF(G915="[FÓRMULA MANUAL]","",IFERROR(AVERAGEIFS(nNOTA,nNIA,G915,nCUENTA,1,nASIG,"Lenguaje Musical"),"")))</f>
        <v/>
      </c>
      <c r="I915" t="str">
        <f>IF(G915="","",IF(G915="[FÓRMULA MANUAL]","",IFERROR(AVERAGEIFS(nNOTA,nNIA,G915,nCUENTA,1,nASIG,"Orquesta/Banda/Conjunto"),"")))</f>
        <v/>
      </c>
      <c r="J915" t="str">
        <f>IF(G915="","",IF(G915="[FÓRMULA MANUAL]","",IFERROR(AVERAGEIFS(nNOTA,nNIA,G915,nCUENTA,1,nASIG,"Conjunto"),"")))</f>
        <v/>
      </c>
      <c r="K915" t="str">
        <f>IF(G915="","",IF(G915="[FÓRMULA MANUAL]","",IFERROR(SUMPRODUCT((nNIA=G915)*(nCUENTA=1)*(COUNTIF(CONFIG_ASIGNATURAS!$B$7:$B$27,nASIG)&gt;0)*(nNOTA))/SUMPRODUCT((nNIA=G915)*(nCUENTA=1)*(COUNTIF(CONFIG_ASIGNATURAS!$B$7:$B$27,nASIG)&gt;0)*1),"")))</f>
        <v/>
      </c>
      <c r="N915" t="str">
        <f>IF(M915="","",IF(M915="[FÓRMULA MANUAL]","",IFERROR(AVERAGEIFS(nNOTA,nNIA,M915,nCUENTA,1,nASIG,"Armonía"),"")))</f>
        <v/>
      </c>
      <c r="O915" t="str">
        <f>IF(M915="","",IF(M915="[FÓRMULA MANUAL]","",IFERROR(AVERAGEIFS(nNOTA,nNIA,M915,nCUENTA,1,nASIG,"Orquesta/Banda/Conjunto"),"")))</f>
        <v/>
      </c>
      <c r="P915" t="str">
        <f>IF(M915="","",IF(M915="[FÓRMULA MANUAL]","",IFERROR(AVERAGEIFS(nNOTA,nNIA,M915,nCUENTA,1,nASIG,"Música de Cámara"),"")))</f>
        <v/>
      </c>
      <c r="Q915" t="str">
        <f>IF(M915="","",IF(M915="[FÓRMULA MANUAL]","",IFERROR(SUMPRODUCT((nNIA=M915)*(nCUENTA=1)*(COUNTIF(CONFIG_ASIGNATURAS!$B$7:$B$27,nASIG)&gt;0)*(nNOTA))/SUMPRODUCT((nNIA=M915)*(nCUENTA=1)*(COUNTIF(CONFIG_ASIGNATURAS!$B$7:$B$27,nASIG)&gt;0)*1),"")))</f>
        <v/>
      </c>
      <c r="T915" t="str">
        <f>IF(S915="","",IF(S915="[FÓRMULA MANUAL]","",IFERROR(AVERAGEIFS(nNOTA,nNIA,S915,nCUENTA,1,nASIG,"Armonía"),"")))</f>
        <v/>
      </c>
      <c r="U915" t="str">
        <f>IF(S915="","",IF(S915="[FÓRMULA MANUAL]","",IFERROR(AVERAGEIFS(nNOTA,nNIA,S915,nCUENTA,1,nASIG,"Orquesta/Banda/Conjunto"),"")))</f>
        <v/>
      </c>
      <c r="V915" t="str">
        <f>IF(S915="","",IF(S915="[FÓRMULA MANUAL]","",IFERROR(AVERAGEIFS(nNOTA,nNIA,S915,nCUENTA,1,nASIG,"Música de Cámara"),"")))</f>
        <v/>
      </c>
      <c r="W915" t="str">
        <f>IF(S915="","",IF(S915="[FÓRMULA MANUAL]","",IFERROR(SUMPRODUCT((nNIA=S915)*(nCUENTA=1)*(COUNTIF(CONFIG_ASIGNATURAS!$B$7:$B$27,nASIG)&gt;0)*(nNOTA))/SUMPRODUCT((nNIA=S915)*(nCUENTA=1)*(COUNTIF(CONFIG_ASIGNATURAS!$B$7:$B$27,nASIG)&gt;0)*1),"")))</f>
        <v/>
      </c>
      <c r="Z915" t="str">
        <f>IF(Y915="","",IF(Y915="[FÓRMULA MANUAL]","",IFERROR(AVERAGEIFS(nNOTA,nNIA,Y915,nCUENTA,1,nASIG,"Análisis"),"")))</f>
        <v/>
      </c>
      <c r="AA915" t="str">
        <f>IF(Y915="","",IF(Y915="[FÓRMULA MANUAL]","",IFERROR(AVERAGEIFS(nNOTA,nNIA,Y915,nCUENTA,1,nASIG,"Orquesta/Banda/Conjunto"),"")))</f>
        <v/>
      </c>
      <c r="AB915" t="str">
        <f>IF(Y915="","",IF(Y915="[FÓRMULA MANUAL]","",IFERROR(AVERAGEIFS(nNOTA,nNIA,Y915,nCUENTA,1,nASIG,"Música de Cámara"),"")))</f>
        <v/>
      </c>
      <c r="AC915" t="str">
        <f>IF(Y915="","",IF(Y915="[FÓRMULA MANUAL]","",IFERROR(SUMPRODUCT((nNIA=Y915)*(nCUENTA=1)*(COUNTIF(CONFIG_ASIGNATURAS!$B$7:$B$27,nASIG)&gt;0)*(nNOTA))/SUMPRODUCT((nNIA=Y915)*(nCUENTA=1)*(COUNTIF(CONFIG_ASIGNATURAS!$B$7:$B$27,nASIG)&gt;0)*1),"")))</f>
        <v/>
      </c>
      <c r="AF915" t="str">
        <f>IF(AE915="","",IF(AE915="[FÓRMULA MANUAL]","",IFERROR(AVERAGEIFS(nNOTA,nNIA,AE915,nCUENTA,1,nASIG,"Análisis"),"")))</f>
        <v/>
      </c>
      <c r="AG915" t="str">
        <f>IF(AE915="","",IF(AE915="[FÓRMULA MANUAL]","",IFERROR(AVERAGEIFS(nNOTA,nNIA,AE915,nCUENTA,1,nASIG,"Orquesta/Banda/Conjunto"),"")))</f>
        <v/>
      </c>
      <c r="AH915" t="str">
        <f>IF(AE915="","",IF(AE915="[FÓRMULA MANUAL]","",IFERROR(AVERAGEIFS(nNOTA,nNIA,AE915,nCUENTA,1,nASIG,"Música de Cámara"),"")))</f>
        <v/>
      </c>
      <c r="AI915" t="str">
        <f>IF(AE915="","",IF(AE915="[FÓRMULA MANUAL]","",IFERROR(SUMPRODUCT((nNIA=AE915)*(nCUENTA=1)*(COUNTIF(CONFIG_ASIGNATURAS!$B$7:$B$27,nASIG)&gt;0)*(nNOTA))/SUMPRODUCT((nNIA=AE915)*(nCUENTA=1)*(COUNTIF(CONFIG_ASIGNATURAS!$B$7:$B$27,nASIG)&gt;0)*1),"")))</f>
        <v/>
      </c>
    </row>
    <row r="916" spans="2:35" x14ac:dyDescent="0.2">
      <c r="B916" t="str">
        <f>IF(A916="","",IF(A916="[FÓRMULA MANUAL]","",IFERROR(AVERAGEIFS(nNOTA,nNIA,A916,nCUENTA,1,nASIG,"Lenguaje Musical"),"")))</f>
        <v/>
      </c>
      <c r="C916" t="str">
        <f>IF(A916="","",IF(A916="[FÓRMULA MANUAL]","",IFERROR(AVERAGEIFS(nNOTA,nNIA,A916,nCUENTA,1,nASIG,"Orquesta/Banda/Conjunto"),"")))</f>
        <v/>
      </c>
      <c r="D916" t="str">
        <f>IF(A916="","",IF(A916="[FÓRMULA MANUAL]","",IFERROR(AVERAGEIFS(nNOTA,nNIA,A916,nCUENTA,1,nASIG,"Conjunto"),"")))</f>
        <v/>
      </c>
      <c r="E916" t="str">
        <f>IF(A916="","",IF(A916="[FÓRMULA MANUAL]","",IFERROR(SUMPRODUCT((nNIA=A916)*(nCUENTA=1)*(COUNTIF(CONFIG_ASIGNATURAS!$B$7:$B$27,nASIG)&gt;0)*(nNOTA))/SUMPRODUCT((nNIA=A916)*(nCUENTA=1)*(COUNTIF(CONFIG_ASIGNATURAS!$B$7:$B$27,nASIG)&gt;0)*1),"")))</f>
        <v/>
      </c>
      <c r="H916" t="str">
        <f>IF(G916="","",IF(G916="[FÓRMULA MANUAL]","",IFERROR(AVERAGEIFS(nNOTA,nNIA,G916,nCUENTA,1,nASIG,"Lenguaje Musical"),"")))</f>
        <v/>
      </c>
      <c r="I916" t="str">
        <f>IF(G916="","",IF(G916="[FÓRMULA MANUAL]","",IFERROR(AVERAGEIFS(nNOTA,nNIA,G916,nCUENTA,1,nASIG,"Orquesta/Banda/Conjunto"),"")))</f>
        <v/>
      </c>
      <c r="J916" t="str">
        <f>IF(G916="","",IF(G916="[FÓRMULA MANUAL]","",IFERROR(AVERAGEIFS(nNOTA,nNIA,G916,nCUENTA,1,nASIG,"Conjunto"),"")))</f>
        <v/>
      </c>
      <c r="K916" t="str">
        <f>IF(G916="","",IF(G916="[FÓRMULA MANUAL]","",IFERROR(SUMPRODUCT((nNIA=G916)*(nCUENTA=1)*(COUNTIF(CONFIG_ASIGNATURAS!$B$7:$B$27,nASIG)&gt;0)*(nNOTA))/SUMPRODUCT((nNIA=G916)*(nCUENTA=1)*(COUNTIF(CONFIG_ASIGNATURAS!$B$7:$B$27,nASIG)&gt;0)*1),"")))</f>
        <v/>
      </c>
      <c r="N916" t="str">
        <f>IF(M916="","",IF(M916="[FÓRMULA MANUAL]","",IFERROR(AVERAGEIFS(nNOTA,nNIA,M916,nCUENTA,1,nASIG,"Armonía"),"")))</f>
        <v/>
      </c>
      <c r="O916" t="str">
        <f>IF(M916="","",IF(M916="[FÓRMULA MANUAL]","",IFERROR(AVERAGEIFS(nNOTA,nNIA,M916,nCUENTA,1,nASIG,"Orquesta/Banda/Conjunto"),"")))</f>
        <v/>
      </c>
      <c r="P916" t="str">
        <f>IF(M916="","",IF(M916="[FÓRMULA MANUAL]","",IFERROR(AVERAGEIFS(nNOTA,nNIA,M916,nCUENTA,1,nASIG,"Música de Cámara"),"")))</f>
        <v/>
      </c>
      <c r="Q916" t="str">
        <f>IF(M916="","",IF(M916="[FÓRMULA MANUAL]","",IFERROR(SUMPRODUCT((nNIA=M916)*(nCUENTA=1)*(COUNTIF(CONFIG_ASIGNATURAS!$B$7:$B$27,nASIG)&gt;0)*(nNOTA))/SUMPRODUCT((nNIA=M916)*(nCUENTA=1)*(COUNTIF(CONFIG_ASIGNATURAS!$B$7:$B$27,nASIG)&gt;0)*1),"")))</f>
        <v/>
      </c>
      <c r="T916" t="str">
        <f>IF(S916="","",IF(S916="[FÓRMULA MANUAL]","",IFERROR(AVERAGEIFS(nNOTA,nNIA,S916,nCUENTA,1,nASIG,"Armonía"),"")))</f>
        <v/>
      </c>
      <c r="U916" t="str">
        <f>IF(S916="","",IF(S916="[FÓRMULA MANUAL]","",IFERROR(AVERAGEIFS(nNOTA,nNIA,S916,nCUENTA,1,nASIG,"Orquesta/Banda/Conjunto"),"")))</f>
        <v/>
      </c>
      <c r="V916" t="str">
        <f>IF(S916="","",IF(S916="[FÓRMULA MANUAL]","",IFERROR(AVERAGEIFS(nNOTA,nNIA,S916,nCUENTA,1,nASIG,"Música de Cámara"),"")))</f>
        <v/>
      </c>
      <c r="W916" t="str">
        <f>IF(S916="","",IF(S916="[FÓRMULA MANUAL]","",IFERROR(SUMPRODUCT((nNIA=S916)*(nCUENTA=1)*(COUNTIF(CONFIG_ASIGNATURAS!$B$7:$B$27,nASIG)&gt;0)*(nNOTA))/SUMPRODUCT((nNIA=S916)*(nCUENTA=1)*(COUNTIF(CONFIG_ASIGNATURAS!$B$7:$B$27,nASIG)&gt;0)*1),"")))</f>
        <v/>
      </c>
      <c r="Z916" t="str">
        <f>IF(Y916="","",IF(Y916="[FÓRMULA MANUAL]","",IFERROR(AVERAGEIFS(nNOTA,nNIA,Y916,nCUENTA,1,nASIG,"Análisis"),"")))</f>
        <v/>
      </c>
      <c r="AA916" t="str">
        <f>IF(Y916="","",IF(Y916="[FÓRMULA MANUAL]","",IFERROR(AVERAGEIFS(nNOTA,nNIA,Y916,nCUENTA,1,nASIG,"Orquesta/Banda/Conjunto"),"")))</f>
        <v/>
      </c>
      <c r="AB916" t="str">
        <f>IF(Y916="","",IF(Y916="[FÓRMULA MANUAL]","",IFERROR(AVERAGEIFS(nNOTA,nNIA,Y916,nCUENTA,1,nASIG,"Música de Cámara"),"")))</f>
        <v/>
      </c>
      <c r="AC916" t="str">
        <f>IF(Y916="","",IF(Y916="[FÓRMULA MANUAL]","",IFERROR(SUMPRODUCT((nNIA=Y916)*(nCUENTA=1)*(COUNTIF(CONFIG_ASIGNATURAS!$B$7:$B$27,nASIG)&gt;0)*(nNOTA))/SUMPRODUCT((nNIA=Y916)*(nCUENTA=1)*(COUNTIF(CONFIG_ASIGNATURAS!$B$7:$B$27,nASIG)&gt;0)*1),"")))</f>
        <v/>
      </c>
      <c r="AF916" t="str">
        <f>IF(AE916="","",IF(AE916="[FÓRMULA MANUAL]","",IFERROR(AVERAGEIFS(nNOTA,nNIA,AE916,nCUENTA,1,nASIG,"Análisis"),"")))</f>
        <v/>
      </c>
      <c r="AG916" t="str">
        <f>IF(AE916="","",IF(AE916="[FÓRMULA MANUAL]","",IFERROR(AVERAGEIFS(nNOTA,nNIA,AE916,nCUENTA,1,nASIG,"Orquesta/Banda/Conjunto"),"")))</f>
        <v/>
      </c>
      <c r="AH916" t="str">
        <f>IF(AE916="","",IF(AE916="[FÓRMULA MANUAL]","",IFERROR(AVERAGEIFS(nNOTA,nNIA,AE916,nCUENTA,1,nASIG,"Música de Cámara"),"")))</f>
        <v/>
      </c>
      <c r="AI916" t="str">
        <f>IF(AE916="","",IF(AE916="[FÓRMULA MANUAL]","",IFERROR(SUMPRODUCT((nNIA=AE916)*(nCUENTA=1)*(COUNTIF(CONFIG_ASIGNATURAS!$B$7:$B$27,nASIG)&gt;0)*(nNOTA))/SUMPRODUCT((nNIA=AE916)*(nCUENTA=1)*(COUNTIF(CONFIG_ASIGNATURAS!$B$7:$B$27,nASIG)&gt;0)*1),"")))</f>
        <v/>
      </c>
    </row>
    <row r="917" spans="2:35" x14ac:dyDescent="0.2">
      <c r="B917" t="str">
        <f>IF(A917="","",IF(A917="[FÓRMULA MANUAL]","",IFERROR(AVERAGEIFS(nNOTA,nNIA,A917,nCUENTA,1,nASIG,"Lenguaje Musical"),"")))</f>
        <v/>
      </c>
      <c r="C917" t="str">
        <f>IF(A917="","",IF(A917="[FÓRMULA MANUAL]","",IFERROR(AVERAGEIFS(nNOTA,nNIA,A917,nCUENTA,1,nASIG,"Orquesta/Banda/Conjunto"),"")))</f>
        <v/>
      </c>
      <c r="D917" t="str">
        <f>IF(A917="","",IF(A917="[FÓRMULA MANUAL]","",IFERROR(AVERAGEIFS(nNOTA,nNIA,A917,nCUENTA,1,nASIG,"Conjunto"),"")))</f>
        <v/>
      </c>
      <c r="E917" t="str">
        <f>IF(A917="","",IF(A917="[FÓRMULA MANUAL]","",IFERROR(SUMPRODUCT((nNIA=A917)*(nCUENTA=1)*(COUNTIF(CONFIG_ASIGNATURAS!$B$7:$B$27,nASIG)&gt;0)*(nNOTA))/SUMPRODUCT((nNIA=A917)*(nCUENTA=1)*(COUNTIF(CONFIG_ASIGNATURAS!$B$7:$B$27,nASIG)&gt;0)*1),"")))</f>
        <v/>
      </c>
      <c r="H917" t="str">
        <f>IF(G917="","",IF(G917="[FÓRMULA MANUAL]","",IFERROR(AVERAGEIFS(nNOTA,nNIA,G917,nCUENTA,1,nASIG,"Lenguaje Musical"),"")))</f>
        <v/>
      </c>
      <c r="I917" t="str">
        <f>IF(G917="","",IF(G917="[FÓRMULA MANUAL]","",IFERROR(AVERAGEIFS(nNOTA,nNIA,G917,nCUENTA,1,nASIG,"Orquesta/Banda/Conjunto"),"")))</f>
        <v/>
      </c>
      <c r="J917" t="str">
        <f>IF(G917="","",IF(G917="[FÓRMULA MANUAL]","",IFERROR(AVERAGEIFS(nNOTA,nNIA,G917,nCUENTA,1,nASIG,"Conjunto"),"")))</f>
        <v/>
      </c>
      <c r="K917" t="str">
        <f>IF(G917="","",IF(G917="[FÓRMULA MANUAL]","",IFERROR(SUMPRODUCT((nNIA=G917)*(nCUENTA=1)*(COUNTIF(CONFIG_ASIGNATURAS!$B$7:$B$27,nASIG)&gt;0)*(nNOTA))/SUMPRODUCT((nNIA=G917)*(nCUENTA=1)*(COUNTIF(CONFIG_ASIGNATURAS!$B$7:$B$27,nASIG)&gt;0)*1),"")))</f>
        <v/>
      </c>
      <c r="N917" t="str">
        <f>IF(M917="","",IF(M917="[FÓRMULA MANUAL]","",IFERROR(AVERAGEIFS(nNOTA,nNIA,M917,nCUENTA,1,nASIG,"Armonía"),"")))</f>
        <v/>
      </c>
      <c r="O917" t="str">
        <f>IF(M917="","",IF(M917="[FÓRMULA MANUAL]","",IFERROR(AVERAGEIFS(nNOTA,nNIA,M917,nCUENTA,1,nASIG,"Orquesta/Banda/Conjunto"),"")))</f>
        <v/>
      </c>
      <c r="P917" t="str">
        <f>IF(M917="","",IF(M917="[FÓRMULA MANUAL]","",IFERROR(AVERAGEIFS(nNOTA,nNIA,M917,nCUENTA,1,nASIG,"Música de Cámara"),"")))</f>
        <v/>
      </c>
      <c r="Q917" t="str">
        <f>IF(M917="","",IF(M917="[FÓRMULA MANUAL]","",IFERROR(SUMPRODUCT((nNIA=M917)*(nCUENTA=1)*(COUNTIF(CONFIG_ASIGNATURAS!$B$7:$B$27,nASIG)&gt;0)*(nNOTA))/SUMPRODUCT((nNIA=M917)*(nCUENTA=1)*(COUNTIF(CONFIG_ASIGNATURAS!$B$7:$B$27,nASIG)&gt;0)*1),"")))</f>
        <v/>
      </c>
      <c r="T917" t="str">
        <f>IF(S917="","",IF(S917="[FÓRMULA MANUAL]","",IFERROR(AVERAGEIFS(nNOTA,nNIA,S917,nCUENTA,1,nASIG,"Armonía"),"")))</f>
        <v/>
      </c>
      <c r="U917" t="str">
        <f>IF(S917="","",IF(S917="[FÓRMULA MANUAL]","",IFERROR(AVERAGEIFS(nNOTA,nNIA,S917,nCUENTA,1,nASIG,"Orquesta/Banda/Conjunto"),"")))</f>
        <v/>
      </c>
      <c r="V917" t="str">
        <f>IF(S917="","",IF(S917="[FÓRMULA MANUAL]","",IFERROR(AVERAGEIFS(nNOTA,nNIA,S917,nCUENTA,1,nASIG,"Música de Cámara"),"")))</f>
        <v/>
      </c>
      <c r="W917" t="str">
        <f>IF(S917="","",IF(S917="[FÓRMULA MANUAL]","",IFERROR(SUMPRODUCT((nNIA=S917)*(nCUENTA=1)*(COUNTIF(CONFIG_ASIGNATURAS!$B$7:$B$27,nASIG)&gt;0)*(nNOTA))/SUMPRODUCT((nNIA=S917)*(nCUENTA=1)*(COUNTIF(CONFIG_ASIGNATURAS!$B$7:$B$27,nASIG)&gt;0)*1),"")))</f>
        <v/>
      </c>
      <c r="Z917" t="str">
        <f>IF(Y917="","",IF(Y917="[FÓRMULA MANUAL]","",IFERROR(AVERAGEIFS(nNOTA,nNIA,Y917,nCUENTA,1,nASIG,"Análisis"),"")))</f>
        <v/>
      </c>
      <c r="AA917" t="str">
        <f>IF(Y917="","",IF(Y917="[FÓRMULA MANUAL]","",IFERROR(AVERAGEIFS(nNOTA,nNIA,Y917,nCUENTA,1,nASIG,"Orquesta/Banda/Conjunto"),"")))</f>
        <v/>
      </c>
      <c r="AB917" t="str">
        <f>IF(Y917="","",IF(Y917="[FÓRMULA MANUAL]","",IFERROR(AVERAGEIFS(nNOTA,nNIA,Y917,nCUENTA,1,nASIG,"Música de Cámara"),"")))</f>
        <v/>
      </c>
      <c r="AC917" t="str">
        <f>IF(Y917="","",IF(Y917="[FÓRMULA MANUAL]","",IFERROR(SUMPRODUCT((nNIA=Y917)*(nCUENTA=1)*(COUNTIF(CONFIG_ASIGNATURAS!$B$7:$B$27,nASIG)&gt;0)*(nNOTA))/SUMPRODUCT((nNIA=Y917)*(nCUENTA=1)*(COUNTIF(CONFIG_ASIGNATURAS!$B$7:$B$27,nASIG)&gt;0)*1),"")))</f>
        <v/>
      </c>
      <c r="AF917" t="str">
        <f>IF(AE917="","",IF(AE917="[FÓRMULA MANUAL]","",IFERROR(AVERAGEIFS(nNOTA,nNIA,AE917,nCUENTA,1,nASIG,"Análisis"),"")))</f>
        <v/>
      </c>
      <c r="AG917" t="str">
        <f>IF(AE917="","",IF(AE917="[FÓRMULA MANUAL]","",IFERROR(AVERAGEIFS(nNOTA,nNIA,AE917,nCUENTA,1,nASIG,"Orquesta/Banda/Conjunto"),"")))</f>
        <v/>
      </c>
      <c r="AH917" t="str">
        <f>IF(AE917="","",IF(AE917="[FÓRMULA MANUAL]","",IFERROR(AVERAGEIFS(nNOTA,nNIA,AE917,nCUENTA,1,nASIG,"Música de Cámara"),"")))</f>
        <v/>
      </c>
      <c r="AI917" t="str">
        <f>IF(AE917="","",IF(AE917="[FÓRMULA MANUAL]","",IFERROR(SUMPRODUCT((nNIA=AE917)*(nCUENTA=1)*(COUNTIF(CONFIG_ASIGNATURAS!$B$7:$B$27,nASIG)&gt;0)*(nNOTA))/SUMPRODUCT((nNIA=AE917)*(nCUENTA=1)*(COUNTIF(CONFIG_ASIGNATURAS!$B$7:$B$27,nASIG)&gt;0)*1),"")))</f>
        <v/>
      </c>
    </row>
    <row r="918" spans="2:35" x14ac:dyDescent="0.2">
      <c r="B918" t="str">
        <f>IF(A918="","",IF(A918="[FÓRMULA MANUAL]","",IFERROR(AVERAGEIFS(nNOTA,nNIA,A918,nCUENTA,1,nASIG,"Lenguaje Musical"),"")))</f>
        <v/>
      </c>
      <c r="C918" t="str">
        <f>IF(A918="","",IF(A918="[FÓRMULA MANUAL]","",IFERROR(AVERAGEIFS(nNOTA,nNIA,A918,nCUENTA,1,nASIG,"Orquesta/Banda/Conjunto"),"")))</f>
        <v/>
      </c>
      <c r="D918" t="str">
        <f>IF(A918="","",IF(A918="[FÓRMULA MANUAL]","",IFERROR(AVERAGEIFS(nNOTA,nNIA,A918,nCUENTA,1,nASIG,"Conjunto"),"")))</f>
        <v/>
      </c>
      <c r="E918" t="str">
        <f>IF(A918="","",IF(A918="[FÓRMULA MANUAL]","",IFERROR(SUMPRODUCT((nNIA=A918)*(nCUENTA=1)*(COUNTIF(CONFIG_ASIGNATURAS!$B$7:$B$27,nASIG)&gt;0)*(nNOTA))/SUMPRODUCT((nNIA=A918)*(nCUENTA=1)*(COUNTIF(CONFIG_ASIGNATURAS!$B$7:$B$27,nASIG)&gt;0)*1),"")))</f>
        <v/>
      </c>
      <c r="H918" t="str">
        <f>IF(G918="","",IF(G918="[FÓRMULA MANUAL]","",IFERROR(AVERAGEIFS(nNOTA,nNIA,G918,nCUENTA,1,nASIG,"Lenguaje Musical"),"")))</f>
        <v/>
      </c>
      <c r="I918" t="str">
        <f>IF(G918="","",IF(G918="[FÓRMULA MANUAL]","",IFERROR(AVERAGEIFS(nNOTA,nNIA,G918,nCUENTA,1,nASIG,"Orquesta/Banda/Conjunto"),"")))</f>
        <v/>
      </c>
      <c r="J918" t="str">
        <f>IF(G918="","",IF(G918="[FÓRMULA MANUAL]","",IFERROR(AVERAGEIFS(nNOTA,nNIA,G918,nCUENTA,1,nASIG,"Conjunto"),"")))</f>
        <v/>
      </c>
      <c r="K918" t="str">
        <f>IF(G918="","",IF(G918="[FÓRMULA MANUAL]","",IFERROR(SUMPRODUCT((nNIA=G918)*(nCUENTA=1)*(COUNTIF(CONFIG_ASIGNATURAS!$B$7:$B$27,nASIG)&gt;0)*(nNOTA))/SUMPRODUCT((nNIA=G918)*(nCUENTA=1)*(COUNTIF(CONFIG_ASIGNATURAS!$B$7:$B$27,nASIG)&gt;0)*1),"")))</f>
        <v/>
      </c>
      <c r="N918" t="str">
        <f>IF(M918="","",IF(M918="[FÓRMULA MANUAL]","",IFERROR(AVERAGEIFS(nNOTA,nNIA,M918,nCUENTA,1,nASIG,"Armonía"),"")))</f>
        <v/>
      </c>
      <c r="O918" t="str">
        <f>IF(M918="","",IF(M918="[FÓRMULA MANUAL]","",IFERROR(AVERAGEIFS(nNOTA,nNIA,M918,nCUENTA,1,nASIG,"Orquesta/Banda/Conjunto"),"")))</f>
        <v/>
      </c>
      <c r="P918" t="str">
        <f>IF(M918="","",IF(M918="[FÓRMULA MANUAL]","",IFERROR(AVERAGEIFS(nNOTA,nNIA,M918,nCUENTA,1,nASIG,"Música de Cámara"),"")))</f>
        <v/>
      </c>
      <c r="Q918" t="str">
        <f>IF(M918="","",IF(M918="[FÓRMULA MANUAL]","",IFERROR(SUMPRODUCT((nNIA=M918)*(nCUENTA=1)*(COUNTIF(CONFIG_ASIGNATURAS!$B$7:$B$27,nASIG)&gt;0)*(nNOTA))/SUMPRODUCT((nNIA=M918)*(nCUENTA=1)*(COUNTIF(CONFIG_ASIGNATURAS!$B$7:$B$27,nASIG)&gt;0)*1),"")))</f>
        <v/>
      </c>
      <c r="T918" t="str">
        <f>IF(S918="","",IF(S918="[FÓRMULA MANUAL]","",IFERROR(AVERAGEIFS(nNOTA,nNIA,S918,nCUENTA,1,nASIG,"Armonía"),"")))</f>
        <v/>
      </c>
      <c r="U918" t="str">
        <f>IF(S918="","",IF(S918="[FÓRMULA MANUAL]","",IFERROR(AVERAGEIFS(nNOTA,nNIA,S918,nCUENTA,1,nASIG,"Orquesta/Banda/Conjunto"),"")))</f>
        <v/>
      </c>
      <c r="V918" t="str">
        <f>IF(S918="","",IF(S918="[FÓRMULA MANUAL]","",IFERROR(AVERAGEIFS(nNOTA,nNIA,S918,nCUENTA,1,nASIG,"Música de Cámara"),"")))</f>
        <v/>
      </c>
      <c r="W918" t="str">
        <f>IF(S918="","",IF(S918="[FÓRMULA MANUAL]","",IFERROR(SUMPRODUCT((nNIA=S918)*(nCUENTA=1)*(COUNTIF(CONFIG_ASIGNATURAS!$B$7:$B$27,nASIG)&gt;0)*(nNOTA))/SUMPRODUCT((nNIA=S918)*(nCUENTA=1)*(COUNTIF(CONFIG_ASIGNATURAS!$B$7:$B$27,nASIG)&gt;0)*1),"")))</f>
        <v/>
      </c>
      <c r="Z918" t="str">
        <f>IF(Y918="","",IF(Y918="[FÓRMULA MANUAL]","",IFERROR(AVERAGEIFS(nNOTA,nNIA,Y918,nCUENTA,1,nASIG,"Análisis"),"")))</f>
        <v/>
      </c>
      <c r="AA918" t="str">
        <f>IF(Y918="","",IF(Y918="[FÓRMULA MANUAL]","",IFERROR(AVERAGEIFS(nNOTA,nNIA,Y918,nCUENTA,1,nASIG,"Orquesta/Banda/Conjunto"),"")))</f>
        <v/>
      </c>
      <c r="AB918" t="str">
        <f>IF(Y918="","",IF(Y918="[FÓRMULA MANUAL]","",IFERROR(AVERAGEIFS(nNOTA,nNIA,Y918,nCUENTA,1,nASIG,"Música de Cámara"),"")))</f>
        <v/>
      </c>
      <c r="AC918" t="str">
        <f>IF(Y918="","",IF(Y918="[FÓRMULA MANUAL]","",IFERROR(SUMPRODUCT((nNIA=Y918)*(nCUENTA=1)*(COUNTIF(CONFIG_ASIGNATURAS!$B$7:$B$27,nASIG)&gt;0)*(nNOTA))/SUMPRODUCT((nNIA=Y918)*(nCUENTA=1)*(COUNTIF(CONFIG_ASIGNATURAS!$B$7:$B$27,nASIG)&gt;0)*1),"")))</f>
        <v/>
      </c>
      <c r="AF918" t="str">
        <f>IF(AE918="","",IF(AE918="[FÓRMULA MANUAL]","",IFERROR(AVERAGEIFS(nNOTA,nNIA,AE918,nCUENTA,1,nASIG,"Análisis"),"")))</f>
        <v/>
      </c>
      <c r="AG918" t="str">
        <f>IF(AE918="","",IF(AE918="[FÓRMULA MANUAL]","",IFERROR(AVERAGEIFS(nNOTA,nNIA,AE918,nCUENTA,1,nASIG,"Orquesta/Banda/Conjunto"),"")))</f>
        <v/>
      </c>
      <c r="AH918" t="str">
        <f>IF(AE918="","",IF(AE918="[FÓRMULA MANUAL]","",IFERROR(AVERAGEIFS(nNOTA,nNIA,AE918,nCUENTA,1,nASIG,"Música de Cámara"),"")))</f>
        <v/>
      </c>
      <c r="AI918" t="str">
        <f>IF(AE918="","",IF(AE918="[FÓRMULA MANUAL]","",IFERROR(SUMPRODUCT((nNIA=AE918)*(nCUENTA=1)*(COUNTIF(CONFIG_ASIGNATURAS!$B$7:$B$27,nASIG)&gt;0)*(nNOTA))/SUMPRODUCT((nNIA=AE918)*(nCUENTA=1)*(COUNTIF(CONFIG_ASIGNATURAS!$B$7:$B$27,nASIG)&gt;0)*1),"")))</f>
        <v/>
      </c>
    </row>
    <row r="919" spans="2:35" x14ac:dyDescent="0.2">
      <c r="B919" t="str">
        <f>IF(A919="","",IF(A919="[FÓRMULA MANUAL]","",IFERROR(AVERAGEIFS(nNOTA,nNIA,A919,nCUENTA,1,nASIG,"Lenguaje Musical"),"")))</f>
        <v/>
      </c>
      <c r="C919" t="str">
        <f>IF(A919="","",IF(A919="[FÓRMULA MANUAL]","",IFERROR(AVERAGEIFS(nNOTA,nNIA,A919,nCUENTA,1,nASIG,"Orquesta/Banda/Conjunto"),"")))</f>
        <v/>
      </c>
      <c r="D919" t="str">
        <f>IF(A919="","",IF(A919="[FÓRMULA MANUAL]","",IFERROR(AVERAGEIFS(nNOTA,nNIA,A919,nCUENTA,1,nASIG,"Conjunto"),"")))</f>
        <v/>
      </c>
      <c r="E919" t="str">
        <f>IF(A919="","",IF(A919="[FÓRMULA MANUAL]","",IFERROR(SUMPRODUCT((nNIA=A919)*(nCUENTA=1)*(COUNTIF(CONFIG_ASIGNATURAS!$B$7:$B$27,nASIG)&gt;0)*(nNOTA))/SUMPRODUCT((nNIA=A919)*(nCUENTA=1)*(COUNTIF(CONFIG_ASIGNATURAS!$B$7:$B$27,nASIG)&gt;0)*1),"")))</f>
        <v/>
      </c>
      <c r="H919" t="str">
        <f>IF(G919="","",IF(G919="[FÓRMULA MANUAL]","",IFERROR(AVERAGEIFS(nNOTA,nNIA,G919,nCUENTA,1,nASIG,"Lenguaje Musical"),"")))</f>
        <v/>
      </c>
      <c r="I919" t="str">
        <f>IF(G919="","",IF(G919="[FÓRMULA MANUAL]","",IFERROR(AVERAGEIFS(nNOTA,nNIA,G919,nCUENTA,1,nASIG,"Orquesta/Banda/Conjunto"),"")))</f>
        <v/>
      </c>
      <c r="J919" t="str">
        <f>IF(G919="","",IF(G919="[FÓRMULA MANUAL]","",IFERROR(AVERAGEIFS(nNOTA,nNIA,G919,nCUENTA,1,nASIG,"Conjunto"),"")))</f>
        <v/>
      </c>
      <c r="K919" t="str">
        <f>IF(G919="","",IF(G919="[FÓRMULA MANUAL]","",IFERROR(SUMPRODUCT((nNIA=G919)*(nCUENTA=1)*(COUNTIF(CONFIG_ASIGNATURAS!$B$7:$B$27,nASIG)&gt;0)*(nNOTA))/SUMPRODUCT((nNIA=G919)*(nCUENTA=1)*(COUNTIF(CONFIG_ASIGNATURAS!$B$7:$B$27,nASIG)&gt;0)*1),"")))</f>
        <v/>
      </c>
      <c r="N919" t="str">
        <f>IF(M919="","",IF(M919="[FÓRMULA MANUAL]","",IFERROR(AVERAGEIFS(nNOTA,nNIA,M919,nCUENTA,1,nASIG,"Armonía"),"")))</f>
        <v/>
      </c>
      <c r="O919" t="str">
        <f>IF(M919="","",IF(M919="[FÓRMULA MANUAL]","",IFERROR(AVERAGEIFS(nNOTA,nNIA,M919,nCUENTA,1,nASIG,"Orquesta/Banda/Conjunto"),"")))</f>
        <v/>
      </c>
      <c r="P919" t="str">
        <f>IF(M919="","",IF(M919="[FÓRMULA MANUAL]","",IFERROR(AVERAGEIFS(nNOTA,nNIA,M919,nCUENTA,1,nASIG,"Música de Cámara"),"")))</f>
        <v/>
      </c>
      <c r="Q919" t="str">
        <f>IF(M919="","",IF(M919="[FÓRMULA MANUAL]","",IFERROR(SUMPRODUCT((nNIA=M919)*(nCUENTA=1)*(COUNTIF(CONFIG_ASIGNATURAS!$B$7:$B$27,nASIG)&gt;0)*(nNOTA))/SUMPRODUCT((nNIA=M919)*(nCUENTA=1)*(COUNTIF(CONFIG_ASIGNATURAS!$B$7:$B$27,nASIG)&gt;0)*1),"")))</f>
        <v/>
      </c>
      <c r="T919" t="str">
        <f>IF(S919="","",IF(S919="[FÓRMULA MANUAL]","",IFERROR(AVERAGEIFS(nNOTA,nNIA,S919,nCUENTA,1,nASIG,"Armonía"),"")))</f>
        <v/>
      </c>
      <c r="U919" t="str">
        <f>IF(S919="","",IF(S919="[FÓRMULA MANUAL]","",IFERROR(AVERAGEIFS(nNOTA,nNIA,S919,nCUENTA,1,nASIG,"Orquesta/Banda/Conjunto"),"")))</f>
        <v/>
      </c>
      <c r="V919" t="str">
        <f>IF(S919="","",IF(S919="[FÓRMULA MANUAL]","",IFERROR(AVERAGEIFS(nNOTA,nNIA,S919,nCUENTA,1,nASIG,"Música de Cámara"),"")))</f>
        <v/>
      </c>
      <c r="W919" t="str">
        <f>IF(S919="","",IF(S919="[FÓRMULA MANUAL]","",IFERROR(SUMPRODUCT((nNIA=S919)*(nCUENTA=1)*(COUNTIF(CONFIG_ASIGNATURAS!$B$7:$B$27,nASIG)&gt;0)*(nNOTA))/SUMPRODUCT((nNIA=S919)*(nCUENTA=1)*(COUNTIF(CONFIG_ASIGNATURAS!$B$7:$B$27,nASIG)&gt;0)*1),"")))</f>
        <v/>
      </c>
      <c r="Z919" t="str">
        <f>IF(Y919="","",IF(Y919="[FÓRMULA MANUAL]","",IFERROR(AVERAGEIFS(nNOTA,nNIA,Y919,nCUENTA,1,nASIG,"Análisis"),"")))</f>
        <v/>
      </c>
      <c r="AA919" t="str">
        <f>IF(Y919="","",IF(Y919="[FÓRMULA MANUAL]","",IFERROR(AVERAGEIFS(nNOTA,nNIA,Y919,nCUENTA,1,nASIG,"Orquesta/Banda/Conjunto"),"")))</f>
        <v/>
      </c>
      <c r="AB919" t="str">
        <f>IF(Y919="","",IF(Y919="[FÓRMULA MANUAL]","",IFERROR(AVERAGEIFS(nNOTA,nNIA,Y919,nCUENTA,1,nASIG,"Música de Cámara"),"")))</f>
        <v/>
      </c>
      <c r="AC919" t="str">
        <f>IF(Y919="","",IF(Y919="[FÓRMULA MANUAL]","",IFERROR(SUMPRODUCT((nNIA=Y919)*(nCUENTA=1)*(COUNTIF(CONFIG_ASIGNATURAS!$B$7:$B$27,nASIG)&gt;0)*(nNOTA))/SUMPRODUCT((nNIA=Y919)*(nCUENTA=1)*(COUNTIF(CONFIG_ASIGNATURAS!$B$7:$B$27,nASIG)&gt;0)*1),"")))</f>
        <v/>
      </c>
      <c r="AF919" t="str">
        <f>IF(AE919="","",IF(AE919="[FÓRMULA MANUAL]","",IFERROR(AVERAGEIFS(nNOTA,nNIA,AE919,nCUENTA,1,nASIG,"Análisis"),"")))</f>
        <v/>
      </c>
      <c r="AG919" t="str">
        <f>IF(AE919="","",IF(AE919="[FÓRMULA MANUAL]","",IFERROR(AVERAGEIFS(nNOTA,nNIA,AE919,nCUENTA,1,nASIG,"Orquesta/Banda/Conjunto"),"")))</f>
        <v/>
      </c>
      <c r="AH919" t="str">
        <f>IF(AE919="","",IF(AE919="[FÓRMULA MANUAL]","",IFERROR(AVERAGEIFS(nNOTA,nNIA,AE919,nCUENTA,1,nASIG,"Música de Cámara"),"")))</f>
        <v/>
      </c>
      <c r="AI919" t="str">
        <f>IF(AE919="","",IF(AE919="[FÓRMULA MANUAL]","",IFERROR(SUMPRODUCT((nNIA=AE919)*(nCUENTA=1)*(COUNTIF(CONFIG_ASIGNATURAS!$B$7:$B$27,nASIG)&gt;0)*(nNOTA))/SUMPRODUCT((nNIA=AE919)*(nCUENTA=1)*(COUNTIF(CONFIG_ASIGNATURAS!$B$7:$B$27,nASIG)&gt;0)*1),"")))</f>
        <v/>
      </c>
    </row>
    <row r="920" spans="2:35" x14ac:dyDescent="0.2">
      <c r="B920" t="str">
        <f>IF(A920="","",IF(A920="[FÓRMULA MANUAL]","",IFERROR(AVERAGEIFS(nNOTA,nNIA,A920,nCUENTA,1,nASIG,"Lenguaje Musical"),"")))</f>
        <v/>
      </c>
      <c r="C920" t="str">
        <f>IF(A920="","",IF(A920="[FÓRMULA MANUAL]","",IFERROR(AVERAGEIFS(nNOTA,nNIA,A920,nCUENTA,1,nASIG,"Orquesta/Banda/Conjunto"),"")))</f>
        <v/>
      </c>
      <c r="D920" t="str">
        <f>IF(A920="","",IF(A920="[FÓRMULA MANUAL]","",IFERROR(AVERAGEIFS(nNOTA,nNIA,A920,nCUENTA,1,nASIG,"Conjunto"),"")))</f>
        <v/>
      </c>
      <c r="E920" t="str">
        <f>IF(A920="","",IF(A920="[FÓRMULA MANUAL]","",IFERROR(SUMPRODUCT((nNIA=A920)*(nCUENTA=1)*(COUNTIF(CONFIG_ASIGNATURAS!$B$7:$B$27,nASIG)&gt;0)*(nNOTA))/SUMPRODUCT((nNIA=A920)*(nCUENTA=1)*(COUNTIF(CONFIG_ASIGNATURAS!$B$7:$B$27,nASIG)&gt;0)*1),"")))</f>
        <v/>
      </c>
      <c r="H920" t="str">
        <f>IF(G920="","",IF(G920="[FÓRMULA MANUAL]","",IFERROR(AVERAGEIFS(nNOTA,nNIA,G920,nCUENTA,1,nASIG,"Lenguaje Musical"),"")))</f>
        <v/>
      </c>
      <c r="I920" t="str">
        <f>IF(G920="","",IF(G920="[FÓRMULA MANUAL]","",IFERROR(AVERAGEIFS(nNOTA,nNIA,G920,nCUENTA,1,nASIG,"Orquesta/Banda/Conjunto"),"")))</f>
        <v/>
      </c>
      <c r="J920" t="str">
        <f>IF(G920="","",IF(G920="[FÓRMULA MANUAL]","",IFERROR(AVERAGEIFS(nNOTA,nNIA,G920,nCUENTA,1,nASIG,"Conjunto"),"")))</f>
        <v/>
      </c>
      <c r="K920" t="str">
        <f>IF(G920="","",IF(G920="[FÓRMULA MANUAL]","",IFERROR(SUMPRODUCT((nNIA=G920)*(nCUENTA=1)*(COUNTIF(CONFIG_ASIGNATURAS!$B$7:$B$27,nASIG)&gt;0)*(nNOTA))/SUMPRODUCT((nNIA=G920)*(nCUENTA=1)*(COUNTIF(CONFIG_ASIGNATURAS!$B$7:$B$27,nASIG)&gt;0)*1),"")))</f>
        <v/>
      </c>
      <c r="N920" t="str">
        <f>IF(M920="","",IF(M920="[FÓRMULA MANUAL]","",IFERROR(AVERAGEIFS(nNOTA,nNIA,M920,nCUENTA,1,nASIG,"Armonía"),"")))</f>
        <v/>
      </c>
      <c r="O920" t="str">
        <f>IF(M920="","",IF(M920="[FÓRMULA MANUAL]","",IFERROR(AVERAGEIFS(nNOTA,nNIA,M920,nCUENTA,1,nASIG,"Orquesta/Banda/Conjunto"),"")))</f>
        <v/>
      </c>
      <c r="P920" t="str">
        <f>IF(M920="","",IF(M920="[FÓRMULA MANUAL]","",IFERROR(AVERAGEIFS(nNOTA,nNIA,M920,nCUENTA,1,nASIG,"Música de Cámara"),"")))</f>
        <v/>
      </c>
      <c r="Q920" t="str">
        <f>IF(M920="","",IF(M920="[FÓRMULA MANUAL]","",IFERROR(SUMPRODUCT((nNIA=M920)*(nCUENTA=1)*(COUNTIF(CONFIG_ASIGNATURAS!$B$7:$B$27,nASIG)&gt;0)*(nNOTA))/SUMPRODUCT((nNIA=M920)*(nCUENTA=1)*(COUNTIF(CONFIG_ASIGNATURAS!$B$7:$B$27,nASIG)&gt;0)*1),"")))</f>
        <v/>
      </c>
      <c r="T920" t="str">
        <f>IF(S920="","",IF(S920="[FÓRMULA MANUAL]","",IFERROR(AVERAGEIFS(nNOTA,nNIA,S920,nCUENTA,1,nASIG,"Armonía"),"")))</f>
        <v/>
      </c>
      <c r="U920" t="str">
        <f>IF(S920="","",IF(S920="[FÓRMULA MANUAL]","",IFERROR(AVERAGEIFS(nNOTA,nNIA,S920,nCUENTA,1,nASIG,"Orquesta/Banda/Conjunto"),"")))</f>
        <v/>
      </c>
      <c r="V920" t="str">
        <f>IF(S920="","",IF(S920="[FÓRMULA MANUAL]","",IFERROR(AVERAGEIFS(nNOTA,nNIA,S920,nCUENTA,1,nASIG,"Música de Cámara"),"")))</f>
        <v/>
      </c>
      <c r="W920" t="str">
        <f>IF(S920="","",IF(S920="[FÓRMULA MANUAL]","",IFERROR(SUMPRODUCT((nNIA=S920)*(nCUENTA=1)*(COUNTIF(CONFIG_ASIGNATURAS!$B$7:$B$27,nASIG)&gt;0)*(nNOTA))/SUMPRODUCT((nNIA=S920)*(nCUENTA=1)*(COUNTIF(CONFIG_ASIGNATURAS!$B$7:$B$27,nASIG)&gt;0)*1),"")))</f>
        <v/>
      </c>
      <c r="Z920" t="str">
        <f>IF(Y920="","",IF(Y920="[FÓRMULA MANUAL]","",IFERROR(AVERAGEIFS(nNOTA,nNIA,Y920,nCUENTA,1,nASIG,"Análisis"),"")))</f>
        <v/>
      </c>
      <c r="AA920" t="str">
        <f>IF(Y920="","",IF(Y920="[FÓRMULA MANUAL]","",IFERROR(AVERAGEIFS(nNOTA,nNIA,Y920,nCUENTA,1,nASIG,"Orquesta/Banda/Conjunto"),"")))</f>
        <v/>
      </c>
      <c r="AB920" t="str">
        <f>IF(Y920="","",IF(Y920="[FÓRMULA MANUAL]","",IFERROR(AVERAGEIFS(nNOTA,nNIA,Y920,nCUENTA,1,nASIG,"Música de Cámara"),"")))</f>
        <v/>
      </c>
      <c r="AC920" t="str">
        <f>IF(Y920="","",IF(Y920="[FÓRMULA MANUAL]","",IFERROR(SUMPRODUCT((nNIA=Y920)*(nCUENTA=1)*(COUNTIF(CONFIG_ASIGNATURAS!$B$7:$B$27,nASIG)&gt;0)*(nNOTA))/SUMPRODUCT((nNIA=Y920)*(nCUENTA=1)*(COUNTIF(CONFIG_ASIGNATURAS!$B$7:$B$27,nASIG)&gt;0)*1),"")))</f>
        <v/>
      </c>
      <c r="AF920" t="str">
        <f>IF(AE920="","",IF(AE920="[FÓRMULA MANUAL]","",IFERROR(AVERAGEIFS(nNOTA,nNIA,AE920,nCUENTA,1,nASIG,"Análisis"),"")))</f>
        <v/>
      </c>
      <c r="AG920" t="str">
        <f>IF(AE920="","",IF(AE920="[FÓRMULA MANUAL]","",IFERROR(AVERAGEIFS(nNOTA,nNIA,AE920,nCUENTA,1,nASIG,"Orquesta/Banda/Conjunto"),"")))</f>
        <v/>
      </c>
      <c r="AH920" t="str">
        <f>IF(AE920="","",IF(AE920="[FÓRMULA MANUAL]","",IFERROR(AVERAGEIFS(nNOTA,nNIA,AE920,nCUENTA,1,nASIG,"Música de Cámara"),"")))</f>
        <v/>
      </c>
      <c r="AI920" t="str">
        <f>IF(AE920="","",IF(AE920="[FÓRMULA MANUAL]","",IFERROR(SUMPRODUCT((nNIA=AE920)*(nCUENTA=1)*(COUNTIF(CONFIG_ASIGNATURAS!$B$7:$B$27,nASIG)&gt;0)*(nNOTA))/SUMPRODUCT((nNIA=AE920)*(nCUENTA=1)*(COUNTIF(CONFIG_ASIGNATURAS!$B$7:$B$27,nASIG)&gt;0)*1),"")))</f>
        <v/>
      </c>
    </row>
    <row r="921" spans="2:35" x14ac:dyDescent="0.2">
      <c r="B921" t="str">
        <f>IF(A921="","",IF(A921="[FÓRMULA MANUAL]","",IFERROR(AVERAGEIFS(nNOTA,nNIA,A921,nCUENTA,1,nASIG,"Lenguaje Musical"),"")))</f>
        <v/>
      </c>
      <c r="C921" t="str">
        <f>IF(A921="","",IF(A921="[FÓRMULA MANUAL]","",IFERROR(AVERAGEIFS(nNOTA,nNIA,A921,nCUENTA,1,nASIG,"Orquesta/Banda/Conjunto"),"")))</f>
        <v/>
      </c>
      <c r="D921" t="str">
        <f>IF(A921="","",IF(A921="[FÓRMULA MANUAL]","",IFERROR(AVERAGEIFS(nNOTA,nNIA,A921,nCUENTA,1,nASIG,"Conjunto"),"")))</f>
        <v/>
      </c>
      <c r="E921" t="str">
        <f>IF(A921="","",IF(A921="[FÓRMULA MANUAL]","",IFERROR(SUMPRODUCT((nNIA=A921)*(nCUENTA=1)*(COUNTIF(CONFIG_ASIGNATURAS!$B$7:$B$27,nASIG)&gt;0)*(nNOTA))/SUMPRODUCT((nNIA=A921)*(nCUENTA=1)*(COUNTIF(CONFIG_ASIGNATURAS!$B$7:$B$27,nASIG)&gt;0)*1),"")))</f>
        <v/>
      </c>
      <c r="H921" t="str">
        <f>IF(G921="","",IF(G921="[FÓRMULA MANUAL]","",IFERROR(AVERAGEIFS(nNOTA,nNIA,G921,nCUENTA,1,nASIG,"Lenguaje Musical"),"")))</f>
        <v/>
      </c>
      <c r="I921" t="str">
        <f>IF(G921="","",IF(G921="[FÓRMULA MANUAL]","",IFERROR(AVERAGEIFS(nNOTA,nNIA,G921,nCUENTA,1,nASIG,"Orquesta/Banda/Conjunto"),"")))</f>
        <v/>
      </c>
      <c r="J921" t="str">
        <f>IF(G921="","",IF(G921="[FÓRMULA MANUAL]","",IFERROR(AVERAGEIFS(nNOTA,nNIA,G921,nCUENTA,1,nASIG,"Conjunto"),"")))</f>
        <v/>
      </c>
      <c r="K921" t="str">
        <f>IF(G921="","",IF(G921="[FÓRMULA MANUAL]","",IFERROR(SUMPRODUCT((nNIA=G921)*(nCUENTA=1)*(COUNTIF(CONFIG_ASIGNATURAS!$B$7:$B$27,nASIG)&gt;0)*(nNOTA))/SUMPRODUCT((nNIA=G921)*(nCUENTA=1)*(COUNTIF(CONFIG_ASIGNATURAS!$B$7:$B$27,nASIG)&gt;0)*1),"")))</f>
        <v/>
      </c>
      <c r="N921" t="str">
        <f>IF(M921="","",IF(M921="[FÓRMULA MANUAL]","",IFERROR(AVERAGEIFS(nNOTA,nNIA,M921,nCUENTA,1,nASIG,"Armonía"),"")))</f>
        <v/>
      </c>
      <c r="O921" t="str">
        <f>IF(M921="","",IF(M921="[FÓRMULA MANUAL]","",IFERROR(AVERAGEIFS(nNOTA,nNIA,M921,nCUENTA,1,nASIG,"Orquesta/Banda/Conjunto"),"")))</f>
        <v/>
      </c>
      <c r="P921" t="str">
        <f>IF(M921="","",IF(M921="[FÓRMULA MANUAL]","",IFERROR(AVERAGEIFS(nNOTA,nNIA,M921,nCUENTA,1,nASIG,"Música de Cámara"),"")))</f>
        <v/>
      </c>
      <c r="Q921" t="str">
        <f>IF(M921="","",IF(M921="[FÓRMULA MANUAL]","",IFERROR(SUMPRODUCT((nNIA=M921)*(nCUENTA=1)*(COUNTIF(CONFIG_ASIGNATURAS!$B$7:$B$27,nASIG)&gt;0)*(nNOTA))/SUMPRODUCT((nNIA=M921)*(nCUENTA=1)*(COUNTIF(CONFIG_ASIGNATURAS!$B$7:$B$27,nASIG)&gt;0)*1),"")))</f>
        <v/>
      </c>
      <c r="T921" t="str">
        <f>IF(S921="","",IF(S921="[FÓRMULA MANUAL]","",IFERROR(AVERAGEIFS(nNOTA,nNIA,S921,nCUENTA,1,nASIG,"Armonía"),"")))</f>
        <v/>
      </c>
      <c r="U921" t="str">
        <f>IF(S921="","",IF(S921="[FÓRMULA MANUAL]","",IFERROR(AVERAGEIFS(nNOTA,nNIA,S921,nCUENTA,1,nASIG,"Orquesta/Banda/Conjunto"),"")))</f>
        <v/>
      </c>
      <c r="V921" t="str">
        <f>IF(S921="","",IF(S921="[FÓRMULA MANUAL]","",IFERROR(AVERAGEIFS(nNOTA,nNIA,S921,nCUENTA,1,nASIG,"Música de Cámara"),"")))</f>
        <v/>
      </c>
      <c r="W921" t="str">
        <f>IF(S921="","",IF(S921="[FÓRMULA MANUAL]","",IFERROR(SUMPRODUCT((nNIA=S921)*(nCUENTA=1)*(COUNTIF(CONFIG_ASIGNATURAS!$B$7:$B$27,nASIG)&gt;0)*(nNOTA))/SUMPRODUCT((nNIA=S921)*(nCUENTA=1)*(COUNTIF(CONFIG_ASIGNATURAS!$B$7:$B$27,nASIG)&gt;0)*1),"")))</f>
        <v/>
      </c>
      <c r="Z921" t="str">
        <f>IF(Y921="","",IF(Y921="[FÓRMULA MANUAL]","",IFERROR(AVERAGEIFS(nNOTA,nNIA,Y921,nCUENTA,1,nASIG,"Análisis"),"")))</f>
        <v/>
      </c>
      <c r="AA921" t="str">
        <f>IF(Y921="","",IF(Y921="[FÓRMULA MANUAL]","",IFERROR(AVERAGEIFS(nNOTA,nNIA,Y921,nCUENTA,1,nASIG,"Orquesta/Banda/Conjunto"),"")))</f>
        <v/>
      </c>
      <c r="AB921" t="str">
        <f>IF(Y921="","",IF(Y921="[FÓRMULA MANUAL]","",IFERROR(AVERAGEIFS(nNOTA,nNIA,Y921,nCUENTA,1,nASIG,"Música de Cámara"),"")))</f>
        <v/>
      </c>
      <c r="AC921" t="str">
        <f>IF(Y921="","",IF(Y921="[FÓRMULA MANUAL]","",IFERROR(SUMPRODUCT((nNIA=Y921)*(nCUENTA=1)*(COUNTIF(CONFIG_ASIGNATURAS!$B$7:$B$27,nASIG)&gt;0)*(nNOTA))/SUMPRODUCT((nNIA=Y921)*(nCUENTA=1)*(COUNTIF(CONFIG_ASIGNATURAS!$B$7:$B$27,nASIG)&gt;0)*1),"")))</f>
        <v/>
      </c>
      <c r="AF921" t="str">
        <f>IF(AE921="","",IF(AE921="[FÓRMULA MANUAL]","",IFERROR(AVERAGEIFS(nNOTA,nNIA,AE921,nCUENTA,1,nASIG,"Análisis"),"")))</f>
        <v/>
      </c>
      <c r="AG921" t="str">
        <f>IF(AE921="","",IF(AE921="[FÓRMULA MANUAL]","",IFERROR(AVERAGEIFS(nNOTA,nNIA,AE921,nCUENTA,1,nASIG,"Orquesta/Banda/Conjunto"),"")))</f>
        <v/>
      </c>
      <c r="AH921" t="str">
        <f>IF(AE921="","",IF(AE921="[FÓRMULA MANUAL]","",IFERROR(AVERAGEIFS(nNOTA,nNIA,AE921,nCUENTA,1,nASIG,"Música de Cámara"),"")))</f>
        <v/>
      </c>
      <c r="AI921" t="str">
        <f>IF(AE921="","",IF(AE921="[FÓRMULA MANUAL]","",IFERROR(SUMPRODUCT((nNIA=AE921)*(nCUENTA=1)*(COUNTIF(CONFIG_ASIGNATURAS!$B$7:$B$27,nASIG)&gt;0)*(nNOTA))/SUMPRODUCT((nNIA=AE921)*(nCUENTA=1)*(COUNTIF(CONFIG_ASIGNATURAS!$B$7:$B$27,nASIG)&gt;0)*1),"")))</f>
        <v/>
      </c>
    </row>
    <row r="922" spans="2:35" x14ac:dyDescent="0.2">
      <c r="B922" t="str">
        <f>IF(A922="","",IF(A922="[FÓRMULA MANUAL]","",IFERROR(AVERAGEIFS(nNOTA,nNIA,A922,nCUENTA,1,nASIG,"Lenguaje Musical"),"")))</f>
        <v/>
      </c>
      <c r="C922" t="str">
        <f>IF(A922="","",IF(A922="[FÓRMULA MANUAL]","",IFERROR(AVERAGEIFS(nNOTA,nNIA,A922,nCUENTA,1,nASIG,"Orquesta/Banda/Conjunto"),"")))</f>
        <v/>
      </c>
      <c r="D922" t="str">
        <f>IF(A922="","",IF(A922="[FÓRMULA MANUAL]","",IFERROR(AVERAGEIFS(nNOTA,nNIA,A922,nCUENTA,1,nASIG,"Conjunto"),"")))</f>
        <v/>
      </c>
      <c r="E922" t="str">
        <f>IF(A922="","",IF(A922="[FÓRMULA MANUAL]","",IFERROR(SUMPRODUCT((nNIA=A922)*(nCUENTA=1)*(COUNTIF(CONFIG_ASIGNATURAS!$B$7:$B$27,nASIG)&gt;0)*(nNOTA))/SUMPRODUCT((nNIA=A922)*(nCUENTA=1)*(COUNTIF(CONFIG_ASIGNATURAS!$B$7:$B$27,nASIG)&gt;0)*1),"")))</f>
        <v/>
      </c>
      <c r="H922" t="str">
        <f>IF(G922="","",IF(G922="[FÓRMULA MANUAL]","",IFERROR(AVERAGEIFS(nNOTA,nNIA,G922,nCUENTA,1,nASIG,"Lenguaje Musical"),"")))</f>
        <v/>
      </c>
      <c r="I922" t="str">
        <f>IF(G922="","",IF(G922="[FÓRMULA MANUAL]","",IFERROR(AVERAGEIFS(nNOTA,nNIA,G922,nCUENTA,1,nASIG,"Orquesta/Banda/Conjunto"),"")))</f>
        <v/>
      </c>
      <c r="J922" t="str">
        <f>IF(G922="","",IF(G922="[FÓRMULA MANUAL]","",IFERROR(AVERAGEIFS(nNOTA,nNIA,G922,nCUENTA,1,nASIG,"Conjunto"),"")))</f>
        <v/>
      </c>
      <c r="K922" t="str">
        <f>IF(G922="","",IF(G922="[FÓRMULA MANUAL]","",IFERROR(SUMPRODUCT((nNIA=G922)*(nCUENTA=1)*(COUNTIF(CONFIG_ASIGNATURAS!$B$7:$B$27,nASIG)&gt;0)*(nNOTA))/SUMPRODUCT((nNIA=G922)*(nCUENTA=1)*(COUNTIF(CONFIG_ASIGNATURAS!$B$7:$B$27,nASIG)&gt;0)*1),"")))</f>
        <v/>
      </c>
      <c r="N922" t="str">
        <f>IF(M922="","",IF(M922="[FÓRMULA MANUAL]","",IFERROR(AVERAGEIFS(nNOTA,nNIA,M922,nCUENTA,1,nASIG,"Armonía"),"")))</f>
        <v/>
      </c>
      <c r="O922" t="str">
        <f>IF(M922="","",IF(M922="[FÓRMULA MANUAL]","",IFERROR(AVERAGEIFS(nNOTA,nNIA,M922,nCUENTA,1,nASIG,"Orquesta/Banda/Conjunto"),"")))</f>
        <v/>
      </c>
      <c r="P922" t="str">
        <f>IF(M922="","",IF(M922="[FÓRMULA MANUAL]","",IFERROR(AVERAGEIFS(nNOTA,nNIA,M922,nCUENTA,1,nASIG,"Música de Cámara"),"")))</f>
        <v/>
      </c>
      <c r="Q922" t="str">
        <f>IF(M922="","",IF(M922="[FÓRMULA MANUAL]","",IFERROR(SUMPRODUCT((nNIA=M922)*(nCUENTA=1)*(COUNTIF(CONFIG_ASIGNATURAS!$B$7:$B$27,nASIG)&gt;0)*(nNOTA))/SUMPRODUCT((nNIA=M922)*(nCUENTA=1)*(COUNTIF(CONFIG_ASIGNATURAS!$B$7:$B$27,nASIG)&gt;0)*1),"")))</f>
        <v/>
      </c>
      <c r="T922" t="str">
        <f>IF(S922="","",IF(S922="[FÓRMULA MANUAL]","",IFERROR(AVERAGEIFS(nNOTA,nNIA,S922,nCUENTA,1,nASIG,"Armonía"),"")))</f>
        <v/>
      </c>
      <c r="U922" t="str">
        <f>IF(S922="","",IF(S922="[FÓRMULA MANUAL]","",IFERROR(AVERAGEIFS(nNOTA,nNIA,S922,nCUENTA,1,nASIG,"Orquesta/Banda/Conjunto"),"")))</f>
        <v/>
      </c>
      <c r="V922" t="str">
        <f>IF(S922="","",IF(S922="[FÓRMULA MANUAL]","",IFERROR(AVERAGEIFS(nNOTA,nNIA,S922,nCUENTA,1,nASIG,"Música de Cámara"),"")))</f>
        <v/>
      </c>
      <c r="W922" t="str">
        <f>IF(S922="","",IF(S922="[FÓRMULA MANUAL]","",IFERROR(SUMPRODUCT((nNIA=S922)*(nCUENTA=1)*(COUNTIF(CONFIG_ASIGNATURAS!$B$7:$B$27,nASIG)&gt;0)*(nNOTA))/SUMPRODUCT((nNIA=S922)*(nCUENTA=1)*(COUNTIF(CONFIG_ASIGNATURAS!$B$7:$B$27,nASIG)&gt;0)*1),"")))</f>
        <v/>
      </c>
      <c r="Z922" t="str">
        <f>IF(Y922="","",IF(Y922="[FÓRMULA MANUAL]","",IFERROR(AVERAGEIFS(nNOTA,nNIA,Y922,nCUENTA,1,nASIG,"Análisis"),"")))</f>
        <v/>
      </c>
      <c r="AA922" t="str">
        <f>IF(Y922="","",IF(Y922="[FÓRMULA MANUAL]","",IFERROR(AVERAGEIFS(nNOTA,nNIA,Y922,nCUENTA,1,nASIG,"Orquesta/Banda/Conjunto"),"")))</f>
        <v/>
      </c>
      <c r="AB922" t="str">
        <f>IF(Y922="","",IF(Y922="[FÓRMULA MANUAL]","",IFERROR(AVERAGEIFS(nNOTA,nNIA,Y922,nCUENTA,1,nASIG,"Música de Cámara"),"")))</f>
        <v/>
      </c>
      <c r="AC922" t="str">
        <f>IF(Y922="","",IF(Y922="[FÓRMULA MANUAL]","",IFERROR(SUMPRODUCT((nNIA=Y922)*(nCUENTA=1)*(COUNTIF(CONFIG_ASIGNATURAS!$B$7:$B$27,nASIG)&gt;0)*(nNOTA))/SUMPRODUCT((nNIA=Y922)*(nCUENTA=1)*(COUNTIF(CONFIG_ASIGNATURAS!$B$7:$B$27,nASIG)&gt;0)*1),"")))</f>
        <v/>
      </c>
      <c r="AF922" t="str">
        <f>IF(AE922="","",IF(AE922="[FÓRMULA MANUAL]","",IFERROR(AVERAGEIFS(nNOTA,nNIA,AE922,nCUENTA,1,nASIG,"Análisis"),"")))</f>
        <v/>
      </c>
      <c r="AG922" t="str">
        <f>IF(AE922="","",IF(AE922="[FÓRMULA MANUAL]","",IFERROR(AVERAGEIFS(nNOTA,nNIA,AE922,nCUENTA,1,nASIG,"Orquesta/Banda/Conjunto"),"")))</f>
        <v/>
      </c>
      <c r="AH922" t="str">
        <f>IF(AE922="","",IF(AE922="[FÓRMULA MANUAL]","",IFERROR(AVERAGEIFS(nNOTA,nNIA,AE922,nCUENTA,1,nASIG,"Música de Cámara"),"")))</f>
        <v/>
      </c>
      <c r="AI922" t="str">
        <f>IF(AE922="","",IF(AE922="[FÓRMULA MANUAL]","",IFERROR(SUMPRODUCT((nNIA=AE922)*(nCUENTA=1)*(COUNTIF(CONFIG_ASIGNATURAS!$B$7:$B$27,nASIG)&gt;0)*(nNOTA))/SUMPRODUCT((nNIA=AE922)*(nCUENTA=1)*(COUNTIF(CONFIG_ASIGNATURAS!$B$7:$B$27,nASIG)&gt;0)*1),"")))</f>
        <v/>
      </c>
    </row>
    <row r="923" spans="2:35" x14ac:dyDescent="0.2">
      <c r="B923" t="str">
        <f>IF(A923="","",IF(A923="[FÓRMULA MANUAL]","",IFERROR(AVERAGEIFS(nNOTA,nNIA,A923,nCUENTA,1,nASIG,"Lenguaje Musical"),"")))</f>
        <v/>
      </c>
      <c r="C923" t="str">
        <f>IF(A923="","",IF(A923="[FÓRMULA MANUAL]","",IFERROR(AVERAGEIFS(nNOTA,nNIA,A923,nCUENTA,1,nASIG,"Orquesta/Banda/Conjunto"),"")))</f>
        <v/>
      </c>
      <c r="D923" t="str">
        <f>IF(A923="","",IF(A923="[FÓRMULA MANUAL]","",IFERROR(AVERAGEIFS(nNOTA,nNIA,A923,nCUENTA,1,nASIG,"Conjunto"),"")))</f>
        <v/>
      </c>
      <c r="E923" t="str">
        <f>IF(A923="","",IF(A923="[FÓRMULA MANUAL]","",IFERROR(SUMPRODUCT((nNIA=A923)*(nCUENTA=1)*(COUNTIF(CONFIG_ASIGNATURAS!$B$7:$B$27,nASIG)&gt;0)*(nNOTA))/SUMPRODUCT((nNIA=A923)*(nCUENTA=1)*(COUNTIF(CONFIG_ASIGNATURAS!$B$7:$B$27,nASIG)&gt;0)*1),"")))</f>
        <v/>
      </c>
      <c r="H923" t="str">
        <f>IF(G923="","",IF(G923="[FÓRMULA MANUAL]","",IFERROR(AVERAGEIFS(nNOTA,nNIA,G923,nCUENTA,1,nASIG,"Lenguaje Musical"),"")))</f>
        <v/>
      </c>
      <c r="I923" t="str">
        <f>IF(G923="","",IF(G923="[FÓRMULA MANUAL]","",IFERROR(AVERAGEIFS(nNOTA,nNIA,G923,nCUENTA,1,nASIG,"Orquesta/Banda/Conjunto"),"")))</f>
        <v/>
      </c>
      <c r="J923" t="str">
        <f>IF(G923="","",IF(G923="[FÓRMULA MANUAL]","",IFERROR(AVERAGEIFS(nNOTA,nNIA,G923,nCUENTA,1,nASIG,"Conjunto"),"")))</f>
        <v/>
      </c>
      <c r="K923" t="str">
        <f>IF(G923="","",IF(G923="[FÓRMULA MANUAL]","",IFERROR(SUMPRODUCT((nNIA=G923)*(nCUENTA=1)*(COUNTIF(CONFIG_ASIGNATURAS!$B$7:$B$27,nASIG)&gt;0)*(nNOTA))/SUMPRODUCT((nNIA=G923)*(nCUENTA=1)*(COUNTIF(CONFIG_ASIGNATURAS!$B$7:$B$27,nASIG)&gt;0)*1),"")))</f>
        <v/>
      </c>
      <c r="N923" t="str">
        <f>IF(M923="","",IF(M923="[FÓRMULA MANUAL]","",IFERROR(AVERAGEIFS(nNOTA,nNIA,M923,nCUENTA,1,nASIG,"Armonía"),"")))</f>
        <v/>
      </c>
      <c r="O923" t="str">
        <f>IF(M923="","",IF(M923="[FÓRMULA MANUAL]","",IFERROR(AVERAGEIFS(nNOTA,nNIA,M923,nCUENTA,1,nASIG,"Orquesta/Banda/Conjunto"),"")))</f>
        <v/>
      </c>
      <c r="P923" t="str">
        <f>IF(M923="","",IF(M923="[FÓRMULA MANUAL]","",IFERROR(AVERAGEIFS(nNOTA,nNIA,M923,nCUENTA,1,nASIG,"Música de Cámara"),"")))</f>
        <v/>
      </c>
      <c r="Q923" t="str">
        <f>IF(M923="","",IF(M923="[FÓRMULA MANUAL]","",IFERROR(SUMPRODUCT((nNIA=M923)*(nCUENTA=1)*(COUNTIF(CONFIG_ASIGNATURAS!$B$7:$B$27,nASIG)&gt;0)*(nNOTA))/SUMPRODUCT((nNIA=M923)*(nCUENTA=1)*(COUNTIF(CONFIG_ASIGNATURAS!$B$7:$B$27,nASIG)&gt;0)*1),"")))</f>
        <v/>
      </c>
      <c r="T923" t="str">
        <f>IF(S923="","",IF(S923="[FÓRMULA MANUAL]","",IFERROR(AVERAGEIFS(nNOTA,nNIA,S923,nCUENTA,1,nASIG,"Armonía"),"")))</f>
        <v/>
      </c>
      <c r="U923" t="str">
        <f>IF(S923="","",IF(S923="[FÓRMULA MANUAL]","",IFERROR(AVERAGEIFS(nNOTA,nNIA,S923,nCUENTA,1,nASIG,"Orquesta/Banda/Conjunto"),"")))</f>
        <v/>
      </c>
      <c r="V923" t="str">
        <f>IF(S923="","",IF(S923="[FÓRMULA MANUAL]","",IFERROR(AVERAGEIFS(nNOTA,nNIA,S923,nCUENTA,1,nASIG,"Música de Cámara"),"")))</f>
        <v/>
      </c>
      <c r="W923" t="str">
        <f>IF(S923="","",IF(S923="[FÓRMULA MANUAL]","",IFERROR(SUMPRODUCT((nNIA=S923)*(nCUENTA=1)*(COUNTIF(CONFIG_ASIGNATURAS!$B$7:$B$27,nASIG)&gt;0)*(nNOTA))/SUMPRODUCT((nNIA=S923)*(nCUENTA=1)*(COUNTIF(CONFIG_ASIGNATURAS!$B$7:$B$27,nASIG)&gt;0)*1),"")))</f>
        <v/>
      </c>
      <c r="Z923" t="str">
        <f>IF(Y923="","",IF(Y923="[FÓRMULA MANUAL]","",IFERROR(AVERAGEIFS(nNOTA,nNIA,Y923,nCUENTA,1,nASIG,"Análisis"),"")))</f>
        <v/>
      </c>
      <c r="AA923" t="str">
        <f>IF(Y923="","",IF(Y923="[FÓRMULA MANUAL]","",IFERROR(AVERAGEIFS(nNOTA,nNIA,Y923,nCUENTA,1,nASIG,"Orquesta/Banda/Conjunto"),"")))</f>
        <v/>
      </c>
      <c r="AB923" t="str">
        <f>IF(Y923="","",IF(Y923="[FÓRMULA MANUAL]","",IFERROR(AVERAGEIFS(nNOTA,nNIA,Y923,nCUENTA,1,nASIG,"Música de Cámara"),"")))</f>
        <v/>
      </c>
      <c r="AC923" t="str">
        <f>IF(Y923="","",IF(Y923="[FÓRMULA MANUAL]","",IFERROR(SUMPRODUCT((nNIA=Y923)*(nCUENTA=1)*(COUNTIF(CONFIG_ASIGNATURAS!$B$7:$B$27,nASIG)&gt;0)*(nNOTA))/SUMPRODUCT((nNIA=Y923)*(nCUENTA=1)*(COUNTIF(CONFIG_ASIGNATURAS!$B$7:$B$27,nASIG)&gt;0)*1),"")))</f>
        <v/>
      </c>
      <c r="AF923" t="str">
        <f>IF(AE923="","",IF(AE923="[FÓRMULA MANUAL]","",IFERROR(AVERAGEIFS(nNOTA,nNIA,AE923,nCUENTA,1,nASIG,"Análisis"),"")))</f>
        <v/>
      </c>
      <c r="AG923" t="str">
        <f>IF(AE923="","",IF(AE923="[FÓRMULA MANUAL]","",IFERROR(AVERAGEIFS(nNOTA,nNIA,AE923,nCUENTA,1,nASIG,"Orquesta/Banda/Conjunto"),"")))</f>
        <v/>
      </c>
      <c r="AH923" t="str">
        <f>IF(AE923="","",IF(AE923="[FÓRMULA MANUAL]","",IFERROR(AVERAGEIFS(nNOTA,nNIA,AE923,nCUENTA,1,nASIG,"Música de Cámara"),"")))</f>
        <v/>
      </c>
      <c r="AI923" t="str">
        <f>IF(AE923="","",IF(AE923="[FÓRMULA MANUAL]","",IFERROR(SUMPRODUCT((nNIA=AE923)*(nCUENTA=1)*(COUNTIF(CONFIG_ASIGNATURAS!$B$7:$B$27,nASIG)&gt;0)*(nNOTA))/SUMPRODUCT((nNIA=AE923)*(nCUENTA=1)*(COUNTIF(CONFIG_ASIGNATURAS!$B$7:$B$27,nASIG)&gt;0)*1),"")))</f>
        <v/>
      </c>
    </row>
    <row r="924" spans="2:35" x14ac:dyDescent="0.2">
      <c r="B924" t="str">
        <f>IF(A924="","",IF(A924="[FÓRMULA MANUAL]","",IFERROR(AVERAGEIFS(nNOTA,nNIA,A924,nCUENTA,1,nASIG,"Lenguaje Musical"),"")))</f>
        <v/>
      </c>
      <c r="C924" t="str">
        <f>IF(A924="","",IF(A924="[FÓRMULA MANUAL]","",IFERROR(AVERAGEIFS(nNOTA,nNIA,A924,nCUENTA,1,nASIG,"Orquesta/Banda/Conjunto"),"")))</f>
        <v/>
      </c>
      <c r="D924" t="str">
        <f>IF(A924="","",IF(A924="[FÓRMULA MANUAL]","",IFERROR(AVERAGEIFS(nNOTA,nNIA,A924,nCUENTA,1,nASIG,"Conjunto"),"")))</f>
        <v/>
      </c>
      <c r="E924" t="str">
        <f>IF(A924="","",IF(A924="[FÓRMULA MANUAL]","",IFERROR(SUMPRODUCT((nNIA=A924)*(nCUENTA=1)*(COUNTIF(CONFIG_ASIGNATURAS!$B$7:$B$27,nASIG)&gt;0)*(nNOTA))/SUMPRODUCT((nNIA=A924)*(nCUENTA=1)*(COUNTIF(CONFIG_ASIGNATURAS!$B$7:$B$27,nASIG)&gt;0)*1),"")))</f>
        <v/>
      </c>
      <c r="H924" t="str">
        <f>IF(G924="","",IF(G924="[FÓRMULA MANUAL]","",IFERROR(AVERAGEIFS(nNOTA,nNIA,G924,nCUENTA,1,nASIG,"Lenguaje Musical"),"")))</f>
        <v/>
      </c>
      <c r="I924" t="str">
        <f>IF(G924="","",IF(G924="[FÓRMULA MANUAL]","",IFERROR(AVERAGEIFS(nNOTA,nNIA,G924,nCUENTA,1,nASIG,"Orquesta/Banda/Conjunto"),"")))</f>
        <v/>
      </c>
      <c r="J924" t="str">
        <f>IF(G924="","",IF(G924="[FÓRMULA MANUAL]","",IFERROR(AVERAGEIFS(nNOTA,nNIA,G924,nCUENTA,1,nASIG,"Conjunto"),"")))</f>
        <v/>
      </c>
      <c r="K924" t="str">
        <f>IF(G924="","",IF(G924="[FÓRMULA MANUAL]","",IFERROR(SUMPRODUCT((nNIA=G924)*(nCUENTA=1)*(COUNTIF(CONFIG_ASIGNATURAS!$B$7:$B$27,nASIG)&gt;0)*(nNOTA))/SUMPRODUCT((nNIA=G924)*(nCUENTA=1)*(COUNTIF(CONFIG_ASIGNATURAS!$B$7:$B$27,nASIG)&gt;0)*1),"")))</f>
        <v/>
      </c>
      <c r="N924" t="str">
        <f>IF(M924="","",IF(M924="[FÓRMULA MANUAL]","",IFERROR(AVERAGEIFS(nNOTA,nNIA,M924,nCUENTA,1,nASIG,"Armonía"),"")))</f>
        <v/>
      </c>
      <c r="O924" t="str">
        <f>IF(M924="","",IF(M924="[FÓRMULA MANUAL]","",IFERROR(AVERAGEIFS(nNOTA,nNIA,M924,nCUENTA,1,nASIG,"Orquesta/Banda/Conjunto"),"")))</f>
        <v/>
      </c>
      <c r="P924" t="str">
        <f>IF(M924="","",IF(M924="[FÓRMULA MANUAL]","",IFERROR(AVERAGEIFS(nNOTA,nNIA,M924,nCUENTA,1,nASIG,"Música de Cámara"),"")))</f>
        <v/>
      </c>
      <c r="Q924" t="str">
        <f>IF(M924="","",IF(M924="[FÓRMULA MANUAL]","",IFERROR(SUMPRODUCT((nNIA=M924)*(nCUENTA=1)*(COUNTIF(CONFIG_ASIGNATURAS!$B$7:$B$27,nASIG)&gt;0)*(nNOTA))/SUMPRODUCT((nNIA=M924)*(nCUENTA=1)*(COUNTIF(CONFIG_ASIGNATURAS!$B$7:$B$27,nASIG)&gt;0)*1),"")))</f>
        <v/>
      </c>
      <c r="T924" t="str">
        <f>IF(S924="","",IF(S924="[FÓRMULA MANUAL]","",IFERROR(AVERAGEIFS(nNOTA,nNIA,S924,nCUENTA,1,nASIG,"Armonía"),"")))</f>
        <v/>
      </c>
      <c r="U924" t="str">
        <f>IF(S924="","",IF(S924="[FÓRMULA MANUAL]","",IFERROR(AVERAGEIFS(nNOTA,nNIA,S924,nCUENTA,1,nASIG,"Orquesta/Banda/Conjunto"),"")))</f>
        <v/>
      </c>
      <c r="V924" t="str">
        <f>IF(S924="","",IF(S924="[FÓRMULA MANUAL]","",IFERROR(AVERAGEIFS(nNOTA,nNIA,S924,nCUENTA,1,nASIG,"Música de Cámara"),"")))</f>
        <v/>
      </c>
      <c r="W924" t="str">
        <f>IF(S924="","",IF(S924="[FÓRMULA MANUAL]","",IFERROR(SUMPRODUCT((nNIA=S924)*(nCUENTA=1)*(COUNTIF(CONFIG_ASIGNATURAS!$B$7:$B$27,nASIG)&gt;0)*(nNOTA))/SUMPRODUCT((nNIA=S924)*(nCUENTA=1)*(COUNTIF(CONFIG_ASIGNATURAS!$B$7:$B$27,nASIG)&gt;0)*1),"")))</f>
        <v/>
      </c>
      <c r="Z924" t="str">
        <f>IF(Y924="","",IF(Y924="[FÓRMULA MANUAL]","",IFERROR(AVERAGEIFS(nNOTA,nNIA,Y924,nCUENTA,1,nASIG,"Análisis"),"")))</f>
        <v/>
      </c>
      <c r="AA924" t="str">
        <f>IF(Y924="","",IF(Y924="[FÓRMULA MANUAL]","",IFERROR(AVERAGEIFS(nNOTA,nNIA,Y924,nCUENTA,1,nASIG,"Orquesta/Banda/Conjunto"),"")))</f>
        <v/>
      </c>
      <c r="AB924" t="str">
        <f>IF(Y924="","",IF(Y924="[FÓRMULA MANUAL]","",IFERROR(AVERAGEIFS(nNOTA,nNIA,Y924,nCUENTA,1,nASIG,"Música de Cámara"),"")))</f>
        <v/>
      </c>
      <c r="AC924" t="str">
        <f>IF(Y924="","",IF(Y924="[FÓRMULA MANUAL]","",IFERROR(SUMPRODUCT((nNIA=Y924)*(nCUENTA=1)*(COUNTIF(CONFIG_ASIGNATURAS!$B$7:$B$27,nASIG)&gt;0)*(nNOTA))/SUMPRODUCT((nNIA=Y924)*(nCUENTA=1)*(COUNTIF(CONFIG_ASIGNATURAS!$B$7:$B$27,nASIG)&gt;0)*1),"")))</f>
        <v/>
      </c>
      <c r="AF924" t="str">
        <f>IF(AE924="","",IF(AE924="[FÓRMULA MANUAL]","",IFERROR(AVERAGEIFS(nNOTA,nNIA,AE924,nCUENTA,1,nASIG,"Análisis"),"")))</f>
        <v/>
      </c>
      <c r="AG924" t="str">
        <f>IF(AE924="","",IF(AE924="[FÓRMULA MANUAL]","",IFERROR(AVERAGEIFS(nNOTA,nNIA,AE924,nCUENTA,1,nASIG,"Orquesta/Banda/Conjunto"),"")))</f>
        <v/>
      </c>
      <c r="AH924" t="str">
        <f>IF(AE924="","",IF(AE924="[FÓRMULA MANUAL]","",IFERROR(AVERAGEIFS(nNOTA,nNIA,AE924,nCUENTA,1,nASIG,"Música de Cámara"),"")))</f>
        <v/>
      </c>
      <c r="AI924" t="str">
        <f>IF(AE924="","",IF(AE924="[FÓRMULA MANUAL]","",IFERROR(SUMPRODUCT((nNIA=AE924)*(nCUENTA=1)*(COUNTIF(CONFIG_ASIGNATURAS!$B$7:$B$27,nASIG)&gt;0)*(nNOTA))/SUMPRODUCT((nNIA=AE924)*(nCUENTA=1)*(COUNTIF(CONFIG_ASIGNATURAS!$B$7:$B$27,nASIG)&gt;0)*1),"")))</f>
        <v/>
      </c>
    </row>
    <row r="925" spans="2:35" x14ac:dyDescent="0.2">
      <c r="B925" t="str">
        <f>IF(A925="","",IF(A925="[FÓRMULA MANUAL]","",IFERROR(AVERAGEIFS(nNOTA,nNIA,A925,nCUENTA,1,nASIG,"Lenguaje Musical"),"")))</f>
        <v/>
      </c>
      <c r="C925" t="str">
        <f>IF(A925="","",IF(A925="[FÓRMULA MANUAL]","",IFERROR(AVERAGEIFS(nNOTA,nNIA,A925,nCUENTA,1,nASIG,"Orquesta/Banda/Conjunto"),"")))</f>
        <v/>
      </c>
      <c r="D925" t="str">
        <f>IF(A925="","",IF(A925="[FÓRMULA MANUAL]","",IFERROR(AVERAGEIFS(nNOTA,nNIA,A925,nCUENTA,1,nASIG,"Conjunto"),"")))</f>
        <v/>
      </c>
      <c r="E925" t="str">
        <f>IF(A925="","",IF(A925="[FÓRMULA MANUAL]","",IFERROR(SUMPRODUCT((nNIA=A925)*(nCUENTA=1)*(COUNTIF(CONFIG_ASIGNATURAS!$B$7:$B$27,nASIG)&gt;0)*(nNOTA))/SUMPRODUCT((nNIA=A925)*(nCUENTA=1)*(COUNTIF(CONFIG_ASIGNATURAS!$B$7:$B$27,nASIG)&gt;0)*1),"")))</f>
        <v/>
      </c>
      <c r="H925" t="str">
        <f>IF(G925="","",IF(G925="[FÓRMULA MANUAL]","",IFERROR(AVERAGEIFS(nNOTA,nNIA,G925,nCUENTA,1,nASIG,"Lenguaje Musical"),"")))</f>
        <v/>
      </c>
      <c r="I925" t="str">
        <f>IF(G925="","",IF(G925="[FÓRMULA MANUAL]","",IFERROR(AVERAGEIFS(nNOTA,nNIA,G925,nCUENTA,1,nASIG,"Orquesta/Banda/Conjunto"),"")))</f>
        <v/>
      </c>
      <c r="J925" t="str">
        <f>IF(G925="","",IF(G925="[FÓRMULA MANUAL]","",IFERROR(AVERAGEIFS(nNOTA,nNIA,G925,nCUENTA,1,nASIG,"Conjunto"),"")))</f>
        <v/>
      </c>
      <c r="K925" t="str">
        <f>IF(G925="","",IF(G925="[FÓRMULA MANUAL]","",IFERROR(SUMPRODUCT((nNIA=G925)*(nCUENTA=1)*(COUNTIF(CONFIG_ASIGNATURAS!$B$7:$B$27,nASIG)&gt;0)*(nNOTA))/SUMPRODUCT((nNIA=G925)*(nCUENTA=1)*(COUNTIF(CONFIG_ASIGNATURAS!$B$7:$B$27,nASIG)&gt;0)*1),"")))</f>
        <v/>
      </c>
      <c r="N925" t="str">
        <f>IF(M925="","",IF(M925="[FÓRMULA MANUAL]","",IFERROR(AVERAGEIFS(nNOTA,nNIA,M925,nCUENTA,1,nASIG,"Armonía"),"")))</f>
        <v/>
      </c>
      <c r="O925" t="str">
        <f>IF(M925="","",IF(M925="[FÓRMULA MANUAL]","",IFERROR(AVERAGEIFS(nNOTA,nNIA,M925,nCUENTA,1,nASIG,"Orquesta/Banda/Conjunto"),"")))</f>
        <v/>
      </c>
      <c r="P925" t="str">
        <f>IF(M925="","",IF(M925="[FÓRMULA MANUAL]","",IFERROR(AVERAGEIFS(nNOTA,nNIA,M925,nCUENTA,1,nASIG,"Música de Cámara"),"")))</f>
        <v/>
      </c>
      <c r="Q925" t="str">
        <f>IF(M925="","",IF(M925="[FÓRMULA MANUAL]","",IFERROR(SUMPRODUCT((nNIA=M925)*(nCUENTA=1)*(COUNTIF(CONFIG_ASIGNATURAS!$B$7:$B$27,nASIG)&gt;0)*(nNOTA))/SUMPRODUCT((nNIA=M925)*(nCUENTA=1)*(COUNTIF(CONFIG_ASIGNATURAS!$B$7:$B$27,nASIG)&gt;0)*1),"")))</f>
        <v/>
      </c>
      <c r="T925" t="str">
        <f>IF(S925="","",IF(S925="[FÓRMULA MANUAL]","",IFERROR(AVERAGEIFS(nNOTA,nNIA,S925,nCUENTA,1,nASIG,"Armonía"),"")))</f>
        <v/>
      </c>
      <c r="U925" t="str">
        <f>IF(S925="","",IF(S925="[FÓRMULA MANUAL]","",IFERROR(AVERAGEIFS(nNOTA,nNIA,S925,nCUENTA,1,nASIG,"Orquesta/Banda/Conjunto"),"")))</f>
        <v/>
      </c>
      <c r="V925" t="str">
        <f>IF(S925="","",IF(S925="[FÓRMULA MANUAL]","",IFERROR(AVERAGEIFS(nNOTA,nNIA,S925,nCUENTA,1,nASIG,"Música de Cámara"),"")))</f>
        <v/>
      </c>
      <c r="W925" t="str">
        <f>IF(S925="","",IF(S925="[FÓRMULA MANUAL]","",IFERROR(SUMPRODUCT((nNIA=S925)*(nCUENTA=1)*(COUNTIF(CONFIG_ASIGNATURAS!$B$7:$B$27,nASIG)&gt;0)*(nNOTA))/SUMPRODUCT((nNIA=S925)*(nCUENTA=1)*(COUNTIF(CONFIG_ASIGNATURAS!$B$7:$B$27,nASIG)&gt;0)*1),"")))</f>
        <v/>
      </c>
      <c r="Z925" t="str">
        <f>IF(Y925="","",IF(Y925="[FÓRMULA MANUAL]","",IFERROR(AVERAGEIFS(nNOTA,nNIA,Y925,nCUENTA,1,nASIG,"Análisis"),"")))</f>
        <v/>
      </c>
      <c r="AA925" t="str">
        <f>IF(Y925="","",IF(Y925="[FÓRMULA MANUAL]","",IFERROR(AVERAGEIFS(nNOTA,nNIA,Y925,nCUENTA,1,nASIG,"Orquesta/Banda/Conjunto"),"")))</f>
        <v/>
      </c>
      <c r="AB925" t="str">
        <f>IF(Y925="","",IF(Y925="[FÓRMULA MANUAL]","",IFERROR(AVERAGEIFS(nNOTA,nNIA,Y925,nCUENTA,1,nASIG,"Música de Cámara"),"")))</f>
        <v/>
      </c>
      <c r="AC925" t="str">
        <f>IF(Y925="","",IF(Y925="[FÓRMULA MANUAL]","",IFERROR(SUMPRODUCT((nNIA=Y925)*(nCUENTA=1)*(COUNTIF(CONFIG_ASIGNATURAS!$B$7:$B$27,nASIG)&gt;0)*(nNOTA))/SUMPRODUCT((nNIA=Y925)*(nCUENTA=1)*(COUNTIF(CONFIG_ASIGNATURAS!$B$7:$B$27,nASIG)&gt;0)*1),"")))</f>
        <v/>
      </c>
      <c r="AF925" t="str">
        <f>IF(AE925="","",IF(AE925="[FÓRMULA MANUAL]","",IFERROR(AVERAGEIFS(nNOTA,nNIA,AE925,nCUENTA,1,nASIG,"Análisis"),"")))</f>
        <v/>
      </c>
      <c r="AG925" t="str">
        <f>IF(AE925="","",IF(AE925="[FÓRMULA MANUAL]","",IFERROR(AVERAGEIFS(nNOTA,nNIA,AE925,nCUENTA,1,nASIG,"Orquesta/Banda/Conjunto"),"")))</f>
        <v/>
      </c>
      <c r="AH925" t="str">
        <f>IF(AE925="","",IF(AE925="[FÓRMULA MANUAL]","",IFERROR(AVERAGEIFS(nNOTA,nNIA,AE925,nCUENTA,1,nASIG,"Música de Cámara"),"")))</f>
        <v/>
      </c>
      <c r="AI925" t="str">
        <f>IF(AE925="","",IF(AE925="[FÓRMULA MANUAL]","",IFERROR(SUMPRODUCT((nNIA=AE925)*(nCUENTA=1)*(COUNTIF(CONFIG_ASIGNATURAS!$B$7:$B$27,nASIG)&gt;0)*(nNOTA))/SUMPRODUCT((nNIA=AE925)*(nCUENTA=1)*(COUNTIF(CONFIG_ASIGNATURAS!$B$7:$B$27,nASIG)&gt;0)*1),"")))</f>
        <v/>
      </c>
    </row>
    <row r="926" spans="2:35" x14ac:dyDescent="0.2">
      <c r="B926" t="str">
        <f>IF(A926="","",IF(A926="[FÓRMULA MANUAL]","",IFERROR(AVERAGEIFS(nNOTA,nNIA,A926,nCUENTA,1,nASIG,"Lenguaje Musical"),"")))</f>
        <v/>
      </c>
      <c r="C926" t="str">
        <f>IF(A926="","",IF(A926="[FÓRMULA MANUAL]","",IFERROR(AVERAGEIFS(nNOTA,nNIA,A926,nCUENTA,1,nASIG,"Orquesta/Banda/Conjunto"),"")))</f>
        <v/>
      </c>
      <c r="D926" t="str">
        <f>IF(A926="","",IF(A926="[FÓRMULA MANUAL]","",IFERROR(AVERAGEIFS(nNOTA,nNIA,A926,nCUENTA,1,nASIG,"Conjunto"),"")))</f>
        <v/>
      </c>
      <c r="E926" t="str">
        <f>IF(A926="","",IF(A926="[FÓRMULA MANUAL]","",IFERROR(SUMPRODUCT((nNIA=A926)*(nCUENTA=1)*(COUNTIF(CONFIG_ASIGNATURAS!$B$7:$B$27,nASIG)&gt;0)*(nNOTA))/SUMPRODUCT((nNIA=A926)*(nCUENTA=1)*(COUNTIF(CONFIG_ASIGNATURAS!$B$7:$B$27,nASIG)&gt;0)*1),"")))</f>
        <v/>
      </c>
      <c r="H926" t="str">
        <f>IF(G926="","",IF(G926="[FÓRMULA MANUAL]","",IFERROR(AVERAGEIFS(nNOTA,nNIA,G926,nCUENTA,1,nASIG,"Lenguaje Musical"),"")))</f>
        <v/>
      </c>
      <c r="I926" t="str">
        <f>IF(G926="","",IF(G926="[FÓRMULA MANUAL]","",IFERROR(AVERAGEIFS(nNOTA,nNIA,G926,nCUENTA,1,nASIG,"Orquesta/Banda/Conjunto"),"")))</f>
        <v/>
      </c>
      <c r="J926" t="str">
        <f>IF(G926="","",IF(G926="[FÓRMULA MANUAL]","",IFERROR(AVERAGEIFS(nNOTA,nNIA,G926,nCUENTA,1,nASIG,"Conjunto"),"")))</f>
        <v/>
      </c>
      <c r="K926" t="str">
        <f>IF(G926="","",IF(G926="[FÓRMULA MANUAL]","",IFERROR(SUMPRODUCT((nNIA=G926)*(nCUENTA=1)*(COUNTIF(CONFIG_ASIGNATURAS!$B$7:$B$27,nASIG)&gt;0)*(nNOTA))/SUMPRODUCT((nNIA=G926)*(nCUENTA=1)*(COUNTIF(CONFIG_ASIGNATURAS!$B$7:$B$27,nASIG)&gt;0)*1),"")))</f>
        <v/>
      </c>
      <c r="N926" t="str">
        <f>IF(M926="","",IF(M926="[FÓRMULA MANUAL]","",IFERROR(AVERAGEIFS(nNOTA,nNIA,M926,nCUENTA,1,nASIG,"Armonía"),"")))</f>
        <v/>
      </c>
      <c r="O926" t="str">
        <f>IF(M926="","",IF(M926="[FÓRMULA MANUAL]","",IFERROR(AVERAGEIFS(nNOTA,nNIA,M926,nCUENTA,1,nASIG,"Orquesta/Banda/Conjunto"),"")))</f>
        <v/>
      </c>
      <c r="P926" t="str">
        <f>IF(M926="","",IF(M926="[FÓRMULA MANUAL]","",IFERROR(AVERAGEIFS(nNOTA,nNIA,M926,nCUENTA,1,nASIG,"Música de Cámara"),"")))</f>
        <v/>
      </c>
      <c r="Q926" t="str">
        <f>IF(M926="","",IF(M926="[FÓRMULA MANUAL]","",IFERROR(SUMPRODUCT((nNIA=M926)*(nCUENTA=1)*(COUNTIF(CONFIG_ASIGNATURAS!$B$7:$B$27,nASIG)&gt;0)*(nNOTA))/SUMPRODUCT((nNIA=M926)*(nCUENTA=1)*(COUNTIF(CONFIG_ASIGNATURAS!$B$7:$B$27,nASIG)&gt;0)*1),"")))</f>
        <v/>
      </c>
      <c r="T926" t="str">
        <f>IF(S926="","",IF(S926="[FÓRMULA MANUAL]","",IFERROR(AVERAGEIFS(nNOTA,nNIA,S926,nCUENTA,1,nASIG,"Armonía"),"")))</f>
        <v/>
      </c>
      <c r="U926" t="str">
        <f>IF(S926="","",IF(S926="[FÓRMULA MANUAL]","",IFERROR(AVERAGEIFS(nNOTA,nNIA,S926,nCUENTA,1,nASIG,"Orquesta/Banda/Conjunto"),"")))</f>
        <v/>
      </c>
      <c r="V926" t="str">
        <f>IF(S926="","",IF(S926="[FÓRMULA MANUAL]","",IFERROR(AVERAGEIFS(nNOTA,nNIA,S926,nCUENTA,1,nASIG,"Música de Cámara"),"")))</f>
        <v/>
      </c>
      <c r="W926" t="str">
        <f>IF(S926="","",IF(S926="[FÓRMULA MANUAL]","",IFERROR(SUMPRODUCT((nNIA=S926)*(nCUENTA=1)*(COUNTIF(CONFIG_ASIGNATURAS!$B$7:$B$27,nASIG)&gt;0)*(nNOTA))/SUMPRODUCT((nNIA=S926)*(nCUENTA=1)*(COUNTIF(CONFIG_ASIGNATURAS!$B$7:$B$27,nASIG)&gt;0)*1),"")))</f>
        <v/>
      </c>
      <c r="Z926" t="str">
        <f>IF(Y926="","",IF(Y926="[FÓRMULA MANUAL]","",IFERROR(AVERAGEIFS(nNOTA,nNIA,Y926,nCUENTA,1,nASIG,"Análisis"),"")))</f>
        <v/>
      </c>
      <c r="AA926" t="str">
        <f>IF(Y926="","",IF(Y926="[FÓRMULA MANUAL]","",IFERROR(AVERAGEIFS(nNOTA,nNIA,Y926,nCUENTA,1,nASIG,"Orquesta/Banda/Conjunto"),"")))</f>
        <v/>
      </c>
      <c r="AB926" t="str">
        <f>IF(Y926="","",IF(Y926="[FÓRMULA MANUAL]","",IFERROR(AVERAGEIFS(nNOTA,nNIA,Y926,nCUENTA,1,nASIG,"Música de Cámara"),"")))</f>
        <v/>
      </c>
      <c r="AC926" t="str">
        <f>IF(Y926="","",IF(Y926="[FÓRMULA MANUAL]","",IFERROR(SUMPRODUCT((nNIA=Y926)*(nCUENTA=1)*(COUNTIF(CONFIG_ASIGNATURAS!$B$7:$B$27,nASIG)&gt;0)*(nNOTA))/SUMPRODUCT((nNIA=Y926)*(nCUENTA=1)*(COUNTIF(CONFIG_ASIGNATURAS!$B$7:$B$27,nASIG)&gt;0)*1),"")))</f>
        <v/>
      </c>
      <c r="AF926" t="str">
        <f>IF(AE926="","",IF(AE926="[FÓRMULA MANUAL]","",IFERROR(AVERAGEIFS(nNOTA,nNIA,AE926,nCUENTA,1,nASIG,"Análisis"),"")))</f>
        <v/>
      </c>
      <c r="AG926" t="str">
        <f>IF(AE926="","",IF(AE926="[FÓRMULA MANUAL]","",IFERROR(AVERAGEIFS(nNOTA,nNIA,AE926,nCUENTA,1,nASIG,"Orquesta/Banda/Conjunto"),"")))</f>
        <v/>
      </c>
      <c r="AH926" t="str">
        <f>IF(AE926="","",IF(AE926="[FÓRMULA MANUAL]","",IFERROR(AVERAGEIFS(nNOTA,nNIA,AE926,nCUENTA,1,nASIG,"Música de Cámara"),"")))</f>
        <v/>
      </c>
      <c r="AI926" t="str">
        <f>IF(AE926="","",IF(AE926="[FÓRMULA MANUAL]","",IFERROR(SUMPRODUCT((nNIA=AE926)*(nCUENTA=1)*(COUNTIF(CONFIG_ASIGNATURAS!$B$7:$B$27,nASIG)&gt;0)*(nNOTA))/SUMPRODUCT((nNIA=AE926)*(nCUENTA=1)*(COUNTIF(CONFIG_ASIGNATURAS!$B$7:$B$27,nASIG)&gt;0)*1),"")))</f>
        <v/>
      </c>
    </row>
    <row r="927" spans="2:35" x14ac:dyDescent="0.2">
      <c r="B927" t="str">
        <f>IF(A927="","",IF(A927="[FÓRMULA MANUAL]","",IFERROR(AVERAGEIFS(nNOTA,nNIA,A927,nCUENTA,1,nASIG,"Lenguaje Musical"),"")))</f>
        <v/>
      </c>
      <c r="C927" t="str">
        <f>IF(A927="","",IF(A927="[FÓRMULA MANUAL]","",IFERROR(AVERAGEIFS(nNOTA,nNIA,A927,nCUENTA,1,nASIG,"Orquesta/Banda/Conjunto"),"")))</f>
        <v/>
      </c>
      <c r="D927" t="str">
        <f>IF(A927="","",IF(A927="[FÓRMULA MANUAL]","",IFERROR(AVERAGEIFS(nNOTA,nNIA,A927,nCUENTA,1,nASIG,"Conjunto"),"")))</f>
        <v/>
      </c>
      <c r="E927" t="str">
        <f>IF(A927="","",IF(A927="[FÓRMULA MANUAL]","",IFERROR(SUMPRODUCT((nNIA=A927)*(nCUENTA=1)*(COUNTIF(CONFIG_ASIGNATURAS!$B$7:$B$27,nASIG)&gt;0)*(nNOTA))/SUMPRODUCT((nNIA=A927)*(nCUENTA=1)*(COUNTIF(CONFIG_ASIGNATURAS!$B$7:$B$27,nASIG)&gt;0)*1),"")))</f>
        <v/>
      </c>
      <c r="H927" t="str">
        <f>IF(G927="","",IF(G927="[FÓRMULA MANUAL]","",IFERROR(AVERAGEIFS(nNOTA,nNIA,G927,nCUENTA,1,nASIG,"Lenguaje Musical"),"")))</f>
        <v/>
      </c>
      <c r="I927" t="str">
        <f>IF(G927="","",IF(G927="[FÓRMULA MANUAL]","",IFERROR(AVERAGEIFS(nNOTA,nNIA,G927,nCUENTA,1,nASIG,"Orquesta/Banda/Conjunto"),"")))</f>
        <v/>
      </c>
      <c r="J927" t="str">
        <f>IF(G927="","",IF(G927="[FÓRMULA MANUAL]","",IFERROR(AVERAGEIFS(nNOTA,nNIA,G927,nCUENTA,1,nASIG,"Conjunto"),"")))</f>
        <v/>
      </c>
      <c r="K927" t="str">
        <f>IF(G927="","",IF(G927="[FÓRMULA MANUAL]","",IFERROR(SUMPRODUCT((nNIA=G927)*(nCUENTA=1)*(COUNTIF(CONFIG_ASIGNATURAS!$B$7:$B$27,nASIG)&gt;0)*(nNOTA))/SUMPRODUCT((nNIA=G927)*(nCUENTA=1)*(COUNTIF(CONFIG_ASIGNATURAS!$B$7:$B$27,nASIG)&gt;0)*1),"")))</f>
        <v/>
      </c>
      <c r="N927" t="str">
        <f>IF(M927="","",IF(M927="[FÓRMULA MANUAL]","",IFERROR(AVERAGEIFS(nNOTA,nNIA,M927,nCUENTA,1,nASIG,"Armonía"),"")))</f>
        <v/>
      </c>
      <c r="O927" t="str">
        <f>IF(M927="","",IF(M927="[FÓRMULA MANUAL]","",IFERROR(AVERAGEIFS(nNOTA,nNIA,M927,nCUENTA,1,nASIG,"Orquesta/Banda/Conjunto"),"")))</f>
        <v/>
      </c>
      <c r="P927" t="str">
        <f>IF(M927="","",IF(M927="[FÓRMULA MANUAL]","",IFERROR(AVERAGEIFS(nNOTA,nNIA,M927,nCUENTA,1,nASIG,"Música de Cámara"),"")))</f>
        <v/>
      </c>
      <c r="Q927" t="str">
        <f>IF(M927="","",IF(M927="[FÓRMULA MANUAL]","",IFERROR(SUMPRODUCT((nNIA=M927)*(nCUENTA=1)*(COUNTIF(CONFIG_ASIGNATURAS!$B$7:$B$27,nASIG)&gt;0)*(nNOTA))/SUMPRODUCT((nNIA=M927)*(nCUENTA=1)*(COUNTIF(CONFIG_ASIGNATURAS!$B$7:$B$27,nASIG)&gt;0)*1),"")))</f>
        <v/>
      </c>
      <c r="T927" t="str">
        <f>IF(S927="","",IF(S927="[FÓRMULA MANUAL]","",IFERROR(AVERAGEIFS(nNOTA,nNIA,S927,nCUENTA,1,nASIG,"Armonía"),"")))</f>
        <v/>
      </c>
      <c r="U927" t="str">
        <f>IF(S927="","",IF(S927="[FÓRMULA MANUAL]","",IFERROR(AVERAGEIFS(nNOTA,nNIA,S927,nCUENTA,1,nASIG,"Orquesta/Banda/Conjunto"),"")))</f>
        <v/>
      </c>
      <c r="V927" t="str">
        <f>IF(S927="","",IF(S927="[FÓRMULA MANUAL]","",IFERROR(AVERAGEIFS(nNOTA,nNIA,S927,nCUENTA,1,nASIG,"Música de Cámara"),"")))</f>
        <v/>
      </c>
      <c r="W927" t="str">
        <f>IF(S927="","",IF(S927="[FÓRMULA MANUAL]","",IFERROR(SUMPRODUCT((nNIA=S927)*(nCUENTA=1)*(COUNTIF(CONFIG_ASIGNATURAS!$B$7:$B$27,nASIG)&gt;0)*(nNOTA))/SUMPRODUCT((nNIA=S927)*(nCUENTA=1)*(COUNTIF(CONFIG_ASIGNATURAS!$B$7:$B$27,nASIG)&gt;0)*1),"")))</f>
        <v/>
      </c>
      <c r="Z927" t="str">
        <f>IF(Y927="","",IF(Y927="[FÓRMULA MANUAL]","",IFERROR(AVERAGEIFS(nNOTA,nNIA,Y927,nCUENTA,1,nASIG,"Análisis"),"")))</f>
        <v/>
      </c>
      <c r="AA927" t="str">
        <f>IF(Y927="","",IF(Y927="[FÓRMULA MANUAL]","",IFERROR(AVERAGEIFS(nNOTA,nNIA,Y927,nCUENTA,1,nASIG,"Orquesta/Banda/Conjunto"),"")))</f>
        <v/>
      </c>
      <c r="AB927" t="str">
        <f>IF(Y927="","",IF(Y927="[FÓRMULA MANUAL]","",IFERROR(AVERAGEIFS(nNOTA,nNIA,Y927,nCUENTA,1,nASIG,"Música de Cámara"),"")))</f>
        <v/>
      </c>
      <c r="AC927" t="str">
        <f>IF(Y927="","",IF(Y927="[FÓRMULA MANUAL]","",IFERROR(SUMPRODUCT((nNIA=Y927)*(nCUENTA=1)*(COUNTIF(CONFIG_ASIGNATURAS!$B$7:$B$27,nASIG)&gt;0)*(nNOTA))/SUMPRODUCT((nNIA=Y927)*(nCUENTA=1)*(COUNTIF(CONFIG_ASIGNATURAS!$B$7:$B$27,nASIG)&gt;0)*1),"")))</f>
        <v/>
      </c>
      <c r="AF927" t="str">
        <f>IF(AE927="","",IF(AE927="[FÓRMULA MANUAL]","",IFERROR(AVERAGEIFS(nNOTA,nNIA,AE927,nCUENTA,1,nASIG,"Análisis"),"")))</f>
        <v/>
      </c>
      <c r="AG927" t="str">
        <f>IF(AE927="","",IF(AE927="[FÓRMULA MANUAL]","",IFERROR(AVERAGEIFS(nNOTA,nNIA,AE927,nCUENTA,1,nASIG,"Orquesta/Banda/Conjunto"),"")))</f>
        <v/>
      </c>
      <c r="AH927" t="str">
        <f>IF(AE927="","",IF(AE927="[FÓRMULA MANUAL]","",IFERROR(AVERAGEIFS(nNOTA,nNIA,AE927,nCUENTA,1,nASIG,"Música de Cámara"),"")))</f>
        <v/>
      </c>
      <c r="AI927" t="str">
        <f>IF(AE927="","",IF(AE927="[FÓRMULA MANUAL]","",IFERROR(SUMPRODUCT((nNIA=AE927)*(nCUENTA=1)*(COUNTIF(CONFIG_ASIGNATURAS!$B$7:$B$27,nASIG)&gt;0)*(nNOTA))/SUMPRODUCT((nNIA=AE927)*(nCUENTA=1)*(COUNTIF(CONFIG_ASIGNATURAS!$B$7:$B$27,nASIG)&gt;0)*1),"")))</f>
        <v/>
      </c>
    </row>
    <row r="928" spans="2:35" x14ac:dyDescent="0.2">
      <c r="B928" t="str">
        <f>IF(A928="","",IF(A928="[FÓRMULA MANUAL]","",IFERROR(AVERAGEIFS(nNOTA,nNIA,A928,nCUENTA,1,nASIG,"Lenguaje Musical"),"")))</f>
        <v/>
      </c>
      <c r="C928" t="str">
        <f>IF(A928="","",IF(A928="[FÓRMULA MANUAL]","",IFERROR(AVERAGEIFS(nNOTA,nNIA,A928,nCUENTA,1,nASIG,"Orquesta/Banda/Conjunto"),"")))</f>
        <v/>
      </c>
      <c r="D928" t="str">
        <f>IF(A928="","",IF(A928="[FÓRMULA MANUAL]","",IFERROR(AVERAGEIFS(nNOTA,nNIA,A928,nCUENTA,1,nASIG,"Conjunto"),"")))</f>
        <v/>
      </c>
      <c r="E928" t="str">
        <f>IF(A928="","",IF(A928="[FÓRMULA MANUAL]","",IFERROR(SUMPRODUCT((nNIA=A928)*(nCUENTA=1)*(COUNTIF(CONFIG_ASIGNATURAS!$B$7:$B$27,nASIG)&gt;0)*(nNOTA))/SUMPRODUCT((nNIA=A928)*(nCUENTA=1)*(COUNTIF(CONFIG_ASIGNATURAS!$B$7:$B$27,nASIG)&gt;0)*1),"")))</f>
        <v/>
      </c>
      <c r="H928" t="str">
        <f>IF(G928="","",IF(G928="[FÓRMULA MANUAL]","",IFERROR(AVERAGEIFS(nNOTA,nNIA,G928,nCUENTA,1,nASIG,"Lenguaje Musical"),"")))</f>
        <v/>
      </c>
      <c r="I928" t="str">
        <f>IF(G928="","",IF(G928="[FÓRMULA MANUAL]","",IFERROR(AVERAGEIFS(nNOTA,nNIA,G928,nCUENTA,1,nASIG,"Orquesta/Banda/Conjunto"),"")))</f>
        <v/>
      </c>
      <c r="J928" t="str">
        <f>IF(G928="","",IF(G928="[FÓRMULA MANUAL]","",IFERROR(AVERAGEIFS(nNOTA,nNIA,G928,nCUENTA,1,nASIG,"Conjunto"),"")))</f>
        <v/>
      </c>
      <c r="K928" t="str">
        <f>IF(G928="","",IF(G928="[FÓRMULA MANUAL]","",IFERROR(SUMPRODUCT((nNIA=G928)*(nCUENTA=1)*(COUNTIF(CONFIG_ASIGNATURAS!$B$7:$B$27,nASIG)&gt;0)*(nNOTA))/SUMPRODUCT((nNIA=G928)*(nCUENTA=1)*(COUNTIF(CONFIG_ASIGNATURAS!$B$7:$B$27,nASIG)&gt;0)*1),"")))</f>
        <v/>
      </c>
      <c r="N928" t="str">
        <f>IF(M928="","",IF(M928="[FÓRMULA MANUAL]","",IFERROR(AVERAGEIFS(nNOTA,nNIA,M928,nCUENTA,1,nASIG,"Armonía"),"")))</f>
        <v/>
      </c>
      <c r="O928" t="str">
        <f>IF(M928="","",IF(M928="[FÓRMULA MANUAL]","",IFERROR(AVERAGEIFS(nNOTA,nNIA,M928,nCUENTA,1,nASIG,"Orquesta/Banda/Conjunto"),"")))</f>
        <v/>
      </c>
      <c r="P928" t="str">
        <f>IF(M928="","",IF(M928="[FÓRMULA MANUAL]","",IFERROR(AVERAGEIFS(nNOTA,nNIA,M928,nCUENTA,1,nASIG,"Música de Cámara"),"")))</f>
        <v/>
      </c>
      <c r="Q928" t="str">
        <f>IF(M928="","",IF(M928="[FÓRMULA MANUAL]","",IFERROR(SUMPRODUCT((nNIA=M928)*(nCUENTA=1)*(COUNTIF(CONFIG_ASIGNATURAS!$B$7:$B$27,nASIG)&gt;0)*(nNOTA))/SUMPRODUCT((nNIA=M928)*(nCUENTA=1)*(COUNTIF(CONFIG_ASIGNATURAS!$B$7:$B$27,nASIG)&gt;0)*1),"")))</f>
        <v/>
      </c>
      <c r="T928" t="str">
        <f>IF(S928="","",IF(S928="[FÓRMULA MANUAL]","",IFERROR(AVERAGEIFS(nNOTA,nNIA,S928,nCUENTA,1,nASIG,"Armonía"),"")))</f>
        <v/>
      </c>
      <c r="U928" t="str">
        <f>IF(S928="","",IF(S928="[FÓRMULA MANUAL]","",IFERROR(AVERAGEIFS(nNOTA,nNIA,S928,nCUENTA,1,nASIG,"Orquesta/Banda/Conjunto"),"")))</f>
        <v/>
      </c>
      <c r="V928" t="str">
        <f>IF(S928="","",IF(S928="[FÓRMULA MANUAL]","",IFERROR(AVERAGEIFS(nNOTA,nNIA,S928,nCUENTA,1,nASIG,"Música de Cámara"),"")))</f>
        <v/>
      </c>
      <c r="W928" t="str">
        <f>IF(S928="","",IF(S928="[FÓRMULA MANUAL]","",IFERROR(SUMPRODUCT((nNIA=S928)*(nCUENTA=1)*(COUNTIF(CONFIG_ASIGNATURAS!$B$7:$B$27,nASIG)&gt;0)*(nNOTA))/SUMPRODUCT((nNIA=S928)*(nCUENTA=1)*(COUNTIF(CONFIG_ASIGNATURAS!$B$7:$B$27,nASIG)&gt;0)*1),"")))</f>
        <v/>
      </c>
      <c r="Z928" t="str">
        <f>IF(Y928="","",IF(Y928="[FÓRMULA MANUAL]","",IFERROR(AVERAGEIFS(nNOTA,nNIA,Y928,nCUENTA,1,nASIG,"Análisis"),"")))</f>
        <v/>
      </c>
      <c r="AA928" t="str">
        <f>IF(Y928="","",IF(Y928="[FÓRMULA MANUAL]","",IFERROR(AVERAGEIFS(nNOTA,nNIA,Y928,nCUENTA,1,nASIG,"Orquesta/Banda/Conjunto"),"")))</f>
        <v/>
      </c>
      <c r="AB928" t="str">
        <f>IF(Y928="","",IF(Y928="[FÓRMULA MANUAL]","",IFERROR(AVERAGEIFS(nNOTA,nNIA,Y928,nCUENTA,1,nASIG,"Música de Cámara"),"")))</f>
        <v/>
      </c>
      <c r="AC928" t="str">
        <f>IF(Y928="","",IF(Y928="[FÓRMULA MANUAL]","",IFERROR(SUMPRODUCT((nNIA=Y928)*(nCUENTA=1)*(COUNTIF(CONFIG_ASIGNATURAS!$B$7:$B$27,nASIG)&gt;0)*(nNOTA))/SUMPRODUCT((nNIA=Y928)*(nCUENTA=1)*(COUNTIF(CONFIG_ASIGNATURAS!$B$7:$B$27,nASIG)&gt;0)*1),"")))</f>
        <v/>
      </c>
      <c r="AF928" t="str">
        <f>IF(AE928="","",IF(AE928="[FÓRMULA MANUAL]","",IFERROR(AVERAGEIFS(nNOTA,nNIA,AE928,nCUENTA,1,nASIG,"Análisis"),"")))</f>
        <v/>
      </c>
      <c r="AG928" t="str">
        <f>IF(AE928="","",IF(AE928="[FÓRMULA MANUAL]","",IFERROR(AVERAGEIFS(nNOTA,nNIA,AE928,nCUENTA,1,nASIG,"Orquesta/Banda/Conjunto"),"")))</f>
        <v/>
      </c>
      <c r="AH928" t="str">
        <f>IF(AE928="","",IF(AE928="[FÓRMULA MANUAL]","",IFERROR(AVERAGEIFS(nNOTA,nNIA,AE928,nCUENTA,1,nASIG,"Música de Cámara"),"")))</f>
        <v/>
      </c>
      <c r="AI928" t="str">
        <f>IF(AE928="","",IF(AE928="[FÓRMULA MANUAL]","",IFERROR(SUMPRODUCT((nNIA=AE928)*(nCUENTA=1)*(COUNTIF(CONFIG_ASIGNATURAS!$B$7:$B$27,nASIG)&gt;0)*(nNOTA))/SUMPRODUCT((nNIA=AE928)*(nCUENTA=1)*(COUNTIF(CONFIG_ASIGNATURAS!$B$7:$B$27,nASIG)&gt;0)*1),"")))</f>
        <v/>
      </c>
    </row>
    <row r="929" spans="2:35" x14ac:dyDescent="0.2">
      <c r="B929" t="str">
        <f>IF(A929="","",IF(A929="[FÓRMULA MANUAL]","",IFERROR(AVERAGEIFS(nNOTA,nNIA,A929,nCUENTA,1,nASIG,"Lenguaje Musical"),"")))</f>
        <v/>
      </c>
      <c r="C929" t="str">
        <f>IF(A929="","",IF(A929="[FÓRMULA MANUAL]","",IFERROR(AVERAGEIFS(nNOTA,nNIA,A929,nCUENTA,1,nASIG,"Orquesta/Banda/Conjunto"),"")))</f>
        <v/>
      </c>
      <c r="D929" t="str">
        <f>IF(A929="","",IF(A929="[FÓRMULA MANUAL]","",IFERROR(AVERAGEIFS(nNOTA,nNIA,A929,nCUENTA,1,nASIG,"Conjunto"),"")))</f>
        <v/>
      </c>
      <c r="E929" t="str">
        <f>IF(A929="","",IF(A929="[FÓRMULA MANUAL]","",IFERROR(SUMPRODUCT((nNIA=A929)*(nCUENTA=1)*(COUNTIF(CONFIG_ASIGNATURAS!$B$7:$B$27,nASIG)&gt;0)*(nNOTA))/SUMPRODUCT((nNIA=A929)*(nCUENTA=1)*(COUNTIF(CONFIG_ASIGNATURAS!$B$7:$B$27,nASIG)&gt;0)*1),"")))</f>
        <v/>
      </c>
      <c r="H929" t="str">
        <f>IF(G929="","",IF(G929="[FÓRMULA MANUAL]","",IFERROR(AVERAGEIFS(nNOTA,nNIA,G929,nCUENTA,1,nASIG,"Lenguaje Musical"),"")))</f>
        <v/>
      </c>
      <c r="I929" t="str">
        <f>IF(G929="","",IF(G929="[FÓRMULA MANUAL]","",IFERROR(AVERAGEIFS(nNOTA,nNIA,G929,nCUENTA,1,nASIG,"Orquesta/Banda/Conjunto"),"")))</f>
        <v/>
      </c>
      <c r="J929" t="str">
        <f>IF(G929="","",IF(G929="[FÓRMULA MANUAL]","",IFERROR(AVERAGEIFS(nNOTA,nNIA,G929,nCUENTA,1,nASIG,"Conjunto"),"")))</f>
        <v/>
      </c>
      <c r="K929" t="str">
        <f>IF(G929="","",IF(G929="[FÓRMULA MANUAL]","",IFERROR(SUMPRODUCT((nNIA=G929)*(nCUENTA=1)*(COUNTIF(CONFIG_ASIGNATURAS!$B$7:$B$27,nASIG)&gt;0)*(nNOTA))/SUMPRODUCT((nNIA=G929)*(nCUENTA=1)*(COUNTIF(CONFIG_ASIGNATURAS!$B$7:$B$27,nASIG)&gt;0)*1),"")))</f>
        <v/>
      </c>
      <c r="N929" t="str">
        <f>IF(M929="","",IF(M929="[FÓRMULA MANUAL]","",IFERROR(AVERAGEIFS(nNOTA,nNIA,M929,nCUENTA,1,nASIG,"Armonía"),"")))</f>
        <v/>
      </c>
      <c r="O929" t="str">
        <f>IF(M929="","",IF(M929="[FÓRMULA MANUAL]","",IFERROR(AVERAGEIFS(nNOTA,nNIA,M929,nCUENTA,1,nASIG,"Orquesta/Banda/Conjunto"),"")))</f>
        <v/>
      </c>
      <c r="P929" t="str">
        <f>IF(M929="","",IF(M929="[FÓRMULA MANUAL]","",IFERROR(AVERAGEIFS(nNOTA,nNIA,M929,nCUENTA,1,nASIG,"Música de Cámara"),"")))</f>
        <v/>
      </c>
      <c r="Q929" t="str">
        <f>IF(M929="","",IF(M929="[FÓRMULA MANUAL]","",IFERROR(SUMPRODUCT((nNIA=M929)*(nCUENTA=1)*(COUNTIF(CONFIG_ASIGNATURAS!$B$7:$B$27,nASIG)&gt;0)*(nNOTA))/SUMPRODUCT((nNIA=M929)*(nCUENTA=1)*(COUNTIF(CONFIG_ASIGNATURAS!$B$7:$B$27,nASIG)&gt;0)*1),"")))</f>
        <v/>
      </c>
      <c r="T929" t="str">
        <f>IF(S929="","",IF(S929="[FÓRMULA MANUAL]","",IFERROR(AVERAGEIFS(nNOTA,nNIA,S929,nCUENTA,1,nASIG,"Armonía"),"")))</f>
        <v/>
      </c>
      <c r="U929" t="str">
        <f>IF(S929="","",IF(S929="[FÓRMULA MANUAL]","",IFERROR(AVERAGEIFS(nNOTA,nNIA,S929,nCUENTA,1,nASIG,"Orquesta/Banda/Conjunto"),"")))</f>
        <v/>
      </c>
      <c r="V929" t="str">
        <f>IF(S929="","",IF(S929="[FÓRMULA MANUAL]","",IFERROR(AVERAGEIFS(nNOTA,nNIA,S929,nCUENTA,1,nASIG,"Música de Cámara"),"")))</f>
        <v/>
      </c>
      <c r="W929" t="str">
        <f>IF(S929="","",IF(S929="[FÓRMULA MANUAL]","",IFERROR(SUMPRODUCT((nNIA=S929)*(nCUENTA=1)*(COUNTIF(CONFIG_ASIGNATURAS!$B$7:$B$27,nASIG)&gt;0)*(nNOTA))/SUMPRODUCT((nNIA=S929)*(nCUENTA=1)*(COUNTIF(CONFIG_ASIGNATURAS!$B$7:$B$27,nASIG)&gt;0)*1),"")))</f>
        <v/>
      </c>
      <c r="Z929" t="str">
        <f>IF(Y929="","",IF(Y929="[FÓRMULA MANUAL]","",IFERROR(AVERAGEIFS(nNOTA,nNIA,Y929,nCUENTA,1,nASIG,"Análisis"),"")))</f>
        <v/>
      </c>
      <c r="AA929" t="str">
        <f>IF(Y929="","",IF(Y929="[FÓRMULA MANUAL]","",IFERROR(AVERAGEIFS(nNOTA,nNIA,Y929,nCUENTA,1,nASIG,"Orquesta/Banda/Conjunto"),"")))</f>
        <v/>
      </c>
      <c r="AB929" t="str">
        <f>IF(Y929="","",IF(Y929="[FÓRMULA MANUAL]","",IFERROR(AVERAGEIFS(nNOTA,nNIA,Y929,nCUENTA,1,nASIG,"Música de Cámara"),"")))</f>
        <v/>
      </c>
      <c r="AC929" t="str">
        <f>IF(Y929="","",IF(Y929="[FÓRMULA MANUAL]","",IFERROR(SUMPRODUCT((nNIA=Y929)*(nCUENTA=1)*(COUNTIF(CONFIG_ASIGNATURAS!$B$7:$B$27,nASIG)&gt;0)*(nNOTA))/SUMPRODUCT((nNIA=Y929)*(nCUENTA=1)*(COUNTIF(CONFIG_ASIGNATURAS!$B$7:$B$27,nASIG)&gt;0)*1),"")))</f>
        <v/>
      </c>
      <c r="AF929" t="str">
        <f>IF(AE929="","",IF(AE929="[FÓRMULA MANUAL]","",IFERROR(AVERAGEIFS(nNOTA,nNIA,AE929,nCUENTA,1,nASIG,"Análisis"),"")))</f>
        <v/>
      </c>
      <c r="AG929" t="str">
        <f>IF(AE929="","",IF(AE929="[FÓRMULA MANUAL]","",IFERROR(AVERAGEIFS(nNOTA,nNIA,AE929,nCUENTA,1,nASIG,"Orquesta/Banda/Conjunto"),"")))</f>
        <v/>
      </c>
      <c r="AH929" t="str">
        <f>IF(AE929="","",IF(AE929="[FÓRMULA MANUAL]","",IFERROR(AVERAGEIFS(nNOTA,nNIA,AE929,nCUENTA,1,nASIG,"Música de Cámara"),"")))</f>
        <v/>
      </c>
      <c r="AI929" t="str">
        <f>IF(AE929="","",IF(AE929="[FÓRMULA MANUAL]","",IFERROR(SUMPRODUCT((nNIA=AE929)*(nCUENTA=1)*(COUNTIF(CONFIG_ASIGNATURAS!$B$7:$B$27,nASIG)&gt;0)*(nNOTA))/SUMPRODUCT((nNIA=AE929)*(nCUENTA=1)*(COUNTIF(CONFIG_ASIGNATURAS!$B$7:$B$27,nASIG)&gt;0)*1),"")))</f>
        <v/>
      </c>
    </row>
    <row r="930" spans="2:35" x14ac:dyDescent="0.2">
      <c r="B930" t="str">
        <f>IF(A930="","",IF(A930="[FÓRMULA MANUAL]","",IFERROR(AVERAGEIFS(nNOTA,nNIA,A930,nCUENTA,1,nASIG,"Lenguaje Musical"),"")))</f>
        <v/>
      </c>
      <c r="C930" t="str">
        <f>IF(A930="","",IF(A930="[FÓRMULA MANUAL]","",IFERROR(AVERAGEIFS(nNOTA,nNIA,A930,nCUENTA,1,nASIG,"Orquesta/Banda/Conjunto"),"")))</f>
        <v/>
      </c>
      <c r="D930" t="str">
        <f>IF(A930="","",IF(A930="[FÓRMULA MANUAL]","",IFERROR(AVERAGEIFS(nNOTA,nNIA,A930,nCUENTA,1,nASIG,"Conjunto"),"")))</f>
        <v/>
      </c>
      <c r="E930" t="str">
        <f>IF(A930="","",IF(A930="[FÓRMULA MANUAL]","",IFERROR(SUMPRODUCT((nNIA=A930)*(nCUENTA=1)*(COUNTIF(CONFIG_ASIGNATURAS!$B$7:$B$27,nASIG)&gt;0)*(nNOTA))/SUMPRODUCT((nNIA=A930)*(nCUENTA=1)*(COUNTIF(CONFIG_ASIGNATURAS!$B$7:$B$27,nASIG)&gt;0)*1),"")))</f>
        <v/>
      </c>
      <c r="H930" t="str">
        <f>IF(G930="","",IF(G930="[FÓRMULA MANUAL]","",IFERROR(AVERAGEIFS(nNOTA,nNIA,G930,nCUENTA,1,nASIG,"Lenguaje Musical"),"")))</f>
        <v/>
      </c>
      <c r="I930" t="str">
        <f>IF(G930="","",IF(G930="[FÓRMULA MANUAL]","",IFERROR(AVERAGEIFS(nNOTA,nNIA,G930,nCUENTA,1,nASIG,"Orquesta/Banda/Conjunto"),"")))</f>
        <v/>
      </c>
      <c r="J930" t="str">
        <f>IF(G930="","",IF(G930="[FÓRMULA MANUAL]","",IFERROR(AVERAGEIFS(nNOTA,nNIA,G930,nCUENTA,1,nASIG,"Conjunto"),"")))</f>
        <v/>
      </c>
      <c r="K930" t="str">
        <f>IF(G930="","",IF(G930="[FÓRMULA MANUAL]","",IFERROR(SUMPRODUCT((nNIA=G930)*(nCUENTA=1)*(COUNTIF(CONFIG_ASIGNATURAS!$B$7:$B$27,nASIG)&gt;0)*(nNOTA))/SUMPRODUCT((nNIA=G930)*(nCUENTA=1)*(COUNTIF(CONFIG_ASIGNATURAS!$B$7:$B$27,nASIG)&gt;0)*1),"")))</f>
        <v/>
      </c>
      <c r="N930" t="str">
        <f>IF(M930="","",IF(M930="[FÓRMULA MANUAL]","",IFERROR(AVERAGEIFS(nNOTA,nNIA,M930,nCUENTA,1,nASIG,"Armonía"),"")))</f>
        <v/>
      </c>
      <c r="O930" t="str">
        <f>IF(M930="","",IF(M930="[FÓRMULA MANUAL]","",IFERROR(AVERAGEIFS(nNOTA,nNIA,M930,nCUENTA,1,nASIG,"Orquesta/Banda/Conjunto"),"")))</f>
        <v/>
      </c>
      <c r="P930" t="str">
        <f>IF(M930="","",IF(M930="[FÓRMULA MANUAL]","",IFERROR(AVERAGEIFS(nNOTA,nNIA,M930,nCUENTA,1,nASIG,"Música de Cámara"),"")))</f>
        <v/>
      </c>
      <c r="Q930" t="str">
        <f>IF(M930="","",IF(M930="[FÓRMULA MANUAL]","",IFERROR(SUMPRODUCT((nNIA=M930)*(nCUENTA=1)*(COUNTIF(CONFIG_ASIGNATURAS!$B$7:$B$27,nASIG)&gt;0)*(nNOTA))/SUMPRODUCT((nNIA=M930)*(nCUENTA=1)*(COUNTIF(CONFIG_ASIGNATURAS!$B$7:$B$27,nASIG)&gt;0)*1),"")))</f>
        <v/>
      </c>
      <c r="T930" t="str">
        <f>IF(S930="","",IF(S930="[FÓRMULA MANUAL]","",IFERROR(AVERAGEIFS(nNOTA,nNIA,S930,nCUENTA,1,nASIG,"Armonía"),"")))</f>
        <v/>
      </c>
      <c r="U930" t="str">
        <f>IF(S930="","",IF(S930="[FÓRMULA MANUAL]","",IFERROR(AVERAGEIFS(nNOTA,nNIA,S930,nCUENTA,1,nASIG,"Orquesta/Banda/Conjunto"),"")))</f>
        <v/>
      </c>
      <c r="V930" t="str">
        <f>IF(S930="","",IF(S930="[FÓRMULA MANUAL]","",IFERROR(AVERAGEIFS(nNOTA,nNIA,S930,nCUENTA,1,nASIG,"Música de Cámara"),"")))</f>
        <v/>
      </c>
      <c r="W930" t="str">
        <f>IF(S930="","",IF(S930="[FÓRMULA MANUAL]","",IFERROR(SUMPRODUCT((nNIA=S930)*(nCUENTA=1)*(COUNTIF(CONFIG_ASIGNATURAS!$B$7:$B$27,nASIG)&gt;0)*(nNOTA))/SUMPRODUCT((nNIA=S930)*(nCUENTA=1)*(COUNTIF(CONFIG_ASIGNATURAS!$B$7:$B$27,nASIG)&gt;0)*1),"")))</f>
        <v/>
      </c>
      <c r="Z930" t="str">
        <f>IF(Y930="","",IF(Y930="[FÓRMULA MANUAL]","",IFERROR(AVERAGEIFS(nNOTA,nNIA,Y930,nCUENTA,1,nASIG,"Análisis"),"")))</f>
        <v/>
      </c>
      <c r="AA930" t="str">
        <f>IF(Y930="","",IF(Y930="[FÓRMULA MANUAL]","",IFERROR(AVERAGEIFS(nNOTA,nNIA,Y930,nCUENTA,1,nASIG,"Orquesta/Banda/Conjunto"),"")))</f>
        <v/>
      </c>
      <c r="AB930" t="str">
        <f>IF(Y930="","",IF(Y930="[FÓRMULA MANUAL]","",IFERROR(AVERAGEIFS(nNOTA,nNIA,Y930,nCUENTA,1,nASIG,"Música de Cámara"),"")))</f>
        <v/>
      </c>
      <c r="AC930" t="str">
        <f>IF(Y930="","",IF(Y930="[FÓRMULA MANUAL]","",IFERROR(SUMPRODUCT((nNIA=Y930)*(nCUENTA=1)*(COUNTIF(CONFIG_ASIGNATURAS!$B$7:$B$27,nASIG)&gt;0)*(nNOTA))/SUMPRODUCT((nNIA=Y930)*(nCUENTA=1)*(COUNTIF(CONFIG_ASIGNATURAS!$B$7:$B$27,nASIG)&gt;0)*1),"")))</f>
        <v/>
      </c>
      <c r="AF930" t="str">
        <f>IF(AE930="","",IF(AE930="[FÓRMULA MANUAL]","",IFERROR(AVERAGEIFS(nNOTA,nNIA,AE930,nCUENTA,1,nASIG,"Análisis"),"")))</f>
        <v/>
      </c>
      <c r="AG930" t="str">
        <f>IF(AE930="","",IF(AE930="[FÓRMULA MANUAL]","",IFERROR(AVERAGEIFS(nNOTA,nNIA,AE930,nCUENTA,1,nASIG,"Orquesta/Banda/Conjunto"),"")))</f>
        <v/>
      </c>
      <c r="AH930" t="str">
        <f>IF(AE930="","",IF(AE930="[FÓRMULA MANUAL]","",IFERROR(AVERAGEIFS(nNOTA,nNIA,AE930,nCUENTA,1,nASIG,"Música de Cámara"),"")))</f>
        <v/>
      </c>
      <c r="AI930" t="str">
        <f>IF(AE930="","",IF(AE930="[FÓRMULA MANUAL]","",IFERROR(SUMPRODUCT((nNIA=AE930)*(nCUENTA=1)*(COUNTIF(CONFIG_ASIGNATURAS!$B$7:$B$27,nASIG)&gt;0)*(nNOTA))/SUMPRODUCT((nNIA=AE930)*(nCUENTA=1)*(COUNTIF(CONFIG_ASIGNATURAS!$B$7:$B$27,nASIG)&gt;0)*1),"")))</f>
        <v/>
      </c>
    </row>
    <row r="931" spans="2:35" x14ac:dyDescent="0.2">
      <c r="B931" t="str">
        <f>IF(A931="","",IF(A931="[FÓRMULA MANUAL]","",IFERROR(AVERAGEIFS(nNOTA,nNIA,A931,nCUENTA,1,nASIG,"Lenguaje Musical"),"")))</f>
        <v/>
      </c>
      <c r="C931" t="str">
        <f>IF(A931="","",IF(A931="[FÓRMULA MANUAL]","",IFERROR(AVERAGEIFS(nNOTA,nNIA,A931,nCUENTA,1,nASIG,"Orquesta/Banda/Conjunto"),"")))</f>
        <v/>
      </c>
      <c r="D931" t="str">
        <f>IF(A931="","",IF(A931="[FÓRMULA MANUAL]","",IFERROR(AVERAGEIFS(nNOTA,nNIA,A931,nCUENTA,1,nASIG,"Conjunto"),"")))</f>
        <v/>
      </c>
      <c r="E931" t="str">
        <f>IF(A931="","",IF(A931="[FÓRMULA MANUAL]","",IFERROR(SUMPRODUCT((nNIA=A931)*(nCUENTA=1)*(COUNTIF(CONFIG_ASIGNATURAS!$B$7:$B$27,nASIG)&gt;0)*(nNOTA))/SUMPRODUCT((nNIA=A931)*(nCUENTA=1)*(COUNTIF(CONFIG_ASIGNATURAS!$B$7:$B$27,nASIG)&gt;0)*1),"")))</f>
        <v/>
      </c>
      <c r="H931" t="str">
        <f>IF(G931="","",IF(G931="[FÓRMULA MANUAL]","",IFERROR(AVERAGEIFS(nNOTA,nNIA,G931,nCUENTA,1,nASIG,"Lenguaje Musical"),"")))</f>
        <v/>
      </c>
      <c r="I931" t="str">
        <f>IF(G931="","",IF(G931="[FÓRMULA MANUAL]","",IFERROR(AVERAGEIFS(nNOTA,nNIA,G931,nCUENTA,1,nASIG,"Orquesta/Banda/Conjunto"),"")))</f>
        <v/>
      </c>
      <c r="J931" t="str">
        <f>IF(G931="","",IF(G931="[FÓRMULA MANUAL]","",IFERROR(AVERAGEIFS(nNOTA,nNIA,G931,nCUENTA,1,nASIG,"Conjunto"),"")))</f>
        <v/>
      </c>
      <c r="K931" t="str">
        <f>IF(G931="","",IF(G931="[FÓRMULA MANUAL]","",IFERROR(SUMPRODUCT((nNIA=G931)*(nCUENTA=1)*(COUNTIF(CONFIG_ASIGNATURAS!$B$7:$B$27,nASIG)&gt;0)*(nNOTA))/SUMPRODUCT((nNIA=G931)*(nCUENTA=1)*(COUNTIF(CONFIG_ASIGNATURAS!$B$7:$B$27,nASIG)&gt;0)*1),"")))</f>
        <v/>
      </c>
      <c r="N931" t="str">
        <f>IF(M931="","",IF(M931="[FÓRMULA MANUAL]","",IFERROR(AVERAGEIFS(nNOTA,nNIA,M931,nCUENTA,1,nASIG,"Armonía"),"")))</f>
        <v/>
      </c>
      <c r="O931" t="str">
        <f>IF(M931="","",IF(M931="[FÓRMULA MANUAL]","",IFERROR(AVERAGEIFS(nNOTA,nNIA,M931,nCUENTA,1,nASIG,"Orquesta/Banda/Conjunto"),"")))</f>
        <v/>
      </c>
      <c r="P931" t="str">
        <f>IF(M931="","",IF(M931="[FÓRMULA MANUAL]","",IFERROR(AVERAGEIFS(nNOTA,nNIA,M931,nCUENTA,1,nASIG,"Música de Cámara"),"")))</f>
        <v/>
      </c>
      <c r="Q931" t="str">
        <f>IF(M931="","",IF(M931="[FÓRMULA MANUAL]","",IFERROR(SUMPRODUCT((nNIA=M931)*(nCUENTA=1)*(COUNTIF(CONFIG_ASIGNATURAS!$B$7:$B$27,nASIG)&gt;0)*(nNOTA))/SUMPRODUCT((nNIA=M931)*(nCUENTA=1)*(COUNTIF(CONFIG_ASIGNATURAS!$B$7:$B$27,nASIG)&gt;0)*1),"")))</f>
        <v/>
      </c>
      <c r="T931" t="str">
        <f>IF(S931="","",IF(S931="[FÓRMULA MANUAL]","",IFERROR(AVERAGEIFS(nNOTA,nNIA,S931,nCUENTA,1,nASIG,"Armonía"),"")))</f>
        <v/>
      </c>
      <c r="U931" t="str">
        <f>IF(S931="","",IF(S931="[FÓRMULA MANUAL]","",IFERROR(AVERAGEIFS(nNOTA,nNIA,S931,nCUENTA,1,nASIG,"Orquesta/Banda/Conjunto"),"")))</f>
        <v/>
      </c>
      <c r="V931" t="str">
        <f>IF(S931="","",IF(S931="[FÓRMULA MANUAL]","",IFERROR(AVERAGEIFS(nNOTA,nNIA,S931,nCUENTA,1,nASIG,"Música de Cámara"),"")))</f>
        <v/>
      </c>
      <c r="W931" t="str">
        <f>IF(S931="","",IF(S931="[FÓRMULA MANUAL]","",IFERROR(SUMPRODUCT((nNIA=S931)*(nCUENTA=1)*(COUNTIF(CONFIG_ASIGNATURAS!$B$7:$B$27,nASIG)&gt;0)*(nNOTA))/SUMPRODUCT((nNIA=S931)*(nCUENTA=1)*(COUNTIF(CONFIG_ASIGNATURAS!$B$7:$B$27,nASIG)&gt;0)*1),"")))</f>
        <v/>
      </c>
      <c r="Z931" t="str">
        <f>IF(Y931="","",IF(Y931="[FÓRMULA MANUAL]","",IFERROR(AVERAGEIFS(nNOTA,nNIA,Y931,nCUENTA,1,nASIG,"Análisis"),"")))</f>
        <v/>
      </c>
      <c r="AA931" t="str">
        <f>IF(Y931="","",IF(Y931="[FÓRMULA MANUAL]","",IFERROR(AVERAGEIFS(nNOTA,nNIA,Y931,nCUENTA,1,nASIG,"Orquesta/Banda/Conjunto"),"")))</f>
        <v/>
      </c>
      <c r="AB931" t="str">
        <f>IF(Y931="","",IF(Y931="[FÓRMULA MANUAL]","",IFERROR(AVERAGEIFS(nNOTA,nNIA,Y931,nCUENTA,1,nASIG,"Música de Cámara"),"")))</f>
        <v/>
      </c>
      <c r="AC931" t="str">
        <f>IF(Y931="","",IF(Y931="[FÓRMULA MANUAL]","",IFERROR(SUMPRODUCT((nNIA=Y931)*(nCUENTA=1)*(COUNTIF(CONFIG_ASIGNATURAS!$B$7:$B$27,nASIG)&gt;0)*(nNOTA))/SUMPRODUCT((nNIA=Y931)*(nCUENTA=1)*(COUNTIF(CONFIG_ASIGNATURAS!$B$7:$B$27,nASIG)&gt;0)*1),"")))</f>
        <v/>
      </c>
      <c r="AF931" t="str">
        <f>IF(AE931="","",IF(AE931="[FÓRMULA MANUAL]","",IFERROR(AVERAGEIFS(nNOTA,nNIA,AE931,nCUENTA,1,nASIG,"Análisis"),"")))</f>
        <v/>
      </c>
      <c r="AG931" t="str">
        <f>IF(AE931="","",IF(AE931="[FÓRMULA MANUAL]","",IFERROR(AVERAGEIFS(nNOTA,nNIA,AE931,nCUENTA,1,nASIG,"Orquesta/Banda/Conjunto"),"")))</f>
        <v/>
      </c>
      <c r="AH931" t="str">
        <f>IF(AE931="","",IF(AE931="[FÓRMULA MANUAL]","",IFERROR(AVERAGEIFS(nNOTA,nNIA,AE931,nCUENTA,1,nASIG,"Música de Cámara"),"")))</f>
        <v/>
      </c>
      <c r="AI931" t="str">
        <f>IF(AE931="","",IF(AE931="[FÓRMULA MANUAL]","",IFERROR(SUMPRODUCT((nNIA=AE931)*(nCUENTA=1)*(COUNTIF(CONFIG_ASIGNATURAS!$B$7:$B$27,nASIG)&gt;0)*(nNOTA))/SUMPRODUCT((nNIA=AE931)*(nCUENTA=1)*(COUNTIF(CONFIG_ASIGNATURAS!$B$7:$B$27,nASIG)&gt;0)*1),"")))</f>
        <v/>
      </c>
    </row>
    <row r="932" spans="2:35" x14ac:dyDescent="0.2">
      <c r="B932" t="str">
        <f>IF(A932="","",IF(A932="[FÓRMULA MANUAL]","",IFERROR(AVERAGEIFS(nNOTA,nNIA,A932,nCUENTA,1,nASIG,"Lenguaje Musical"),"")))</f>
        <v/>
      </c>
      <c r="C932" t="str">
        <f>IF(A932="","",IF(A932="[FÓRMULA MANUAL]","",IFERROR(AVERAGEIFS(nNOTA,nNIA,A932,nCUENTA,1,nASIG,"Orquesta/Banda/Conjunto"),"")))</f>
        <v/>
      </c>
      <c r="D932" t="str">
        <f>IF(A932="","",IF(A932="[FÓRMULA MANUAL]","",IFERROR(AVERAGEIFS(nNOTA,nNIA,A932,nCUENTA,1,nASIG,"Conjunto"),"")))</f>
        <v/>
      </c>
      <c r="E932" t="str">
        <f>IF(A932="","",IF(A932="[FÓRMULA MANUAL]","",IFERROR(SUMPRODUCT((nNIA=A932)*(nCUENTA=1)*(COUNTIF(CONFIG_ASIGNATURAS!$B$7:$B$27,nASIG)&gt;0)*(nNOTA))/SUMPRODUCT((nNIA=A932)*(nCUENTA=1)*(COUNTIF(CONFIG_ASIGNATURAS!$B$7:$B$27,nASIG)&gt;0)*1),"")))</f>
        <v/>
      </c>
      <c r="H932" t="str">
        <f>IF(G932="","",IF(G932="[FÓRMULA MANUAL]","",IFERROR(AVERAGEIFS(nNOTA,nNIA,G932,nCUENTA,1,nASIG,"Lenguaje Musical"),"")))</f>
        <v/>
      </c>
      <c r="I932" t="str">
        <f>IF(G932="","",IF(G932="[FÓRMULA MANUAL]","",IFERROR(AVERAGEIFS(nNOTA,nNIA,G932,nCUENTA,1,nASIG,"Orquesta/Banda/Conjunto"),"")))</f>
        <v/>
      </c>
      <c r="J932" t="str">
        <f>IF(G932="","",IF(G932="[FÓRMULA MANUAL]","",IFERROR(AVERAGEIFS(nNOTA,nNIA,G932,nCUENTA,1,nASIG,"Conjunto"),"")))</f>
        <v/>
      </c>
      <c r="K932" t="str">
        <f>IF(G932="","",IF(G932="[FÓRMULA MANUAL]","",IFERROR(SUMPRODUCT((nNIA=G932)*(nCUENTA=1)*(COUNTIF(CONFIG_ASIGNATURAS!$B$7:$B$27,nASIG)&gt;0)*(nNOTA))/SUMPRODUCT((nNIA=G932)*(nCUENTA=1)*(COUNTIF(CONFIG_ASIGNATURAS!$B$7:$B$27,nASIG)&gt;0)*1),"")))</f>
        <v/>
      </c>
      <c r="N932" t="str">
        <f>IF(M932="","",IF(M932="[FÓRMULA MANUAL]","",IFERROR(AVERAGEIFS(nNOTA,nNIA,M932,nCUENTA,1,nASIG,"Armonía"),"")))</f>
        <v/>
      </c>
      <c r="O932" t="str">
        <f>IF(M932="","",IF(M932="[FÓRMULA MANUAL]","",IFERROR(AVERAGEIFS(nNOTA,nNIA,M932,nCUENTA,1,nASIG,"Orquesta/Banda/Conjunto"),"")))</f>
        <v/>
      </c>
      <c r="P932" t="str">
        <f>IF(M932="","",IF(M932="[FÓRMULA MANUAL]","",IFERROR(AVERAGEIFS(nNOTA,nNIA,M932,nCUENTA,1,nASIG,"Música de Cámara"),"")))</f>
        <v/>
      </c>
      <c r="Q932" t="str">
        <f>IF(M932="","",IF(M932="[FÓRMULA MANUAL]","",IFERROR(SUMPRODUCT((nNIA=M932)*(nCUENTA=1)*(COUNTIF(CONFIG_ASIGNATURAS!$B$7:$B$27,nASIG)&gt;0)*(nNOTA))/SUMPRODUCT((nNIA=M932)*(nCUENTA=1)*(COUNTIF(CONFIG_ASIGNATURAS!$B$7:$B$27,nASIG)&gt;0)*1),"")))</f>
        <v/>
      </c>
      <c r="T932" t="str">
        <f>IF(S932="","",IF(S932="[FÓRMULA MANUAL]","",IFERROR(AVERAGEIFS(nNOTA,nNIA,S932,nCUENTA,1,nASIG,"Armonía"),"")))</f>
        <v/>
      </c>
      <c r="U932" t="str">
        <f>IF(S932="","",IF(S932="[FÓRMULA MANUAL]","",IFERROR(AVERAGEIFS(nNOTA,nNIA,S932,nCUENTA,1,nASIG,"Orquesta/Banda/Conjunto"),"")))</f>
        <v/>
      </c>
      <c r="V932" t="str">
        <f>IF(S932="","",IF(S932="[FÓRMULA MANUAL]","",IFERROR(AVERAGEIFS(nNOTA,nNIA,S932,nCUENTA,1,nASIG,"Música de Cámara"),"")))</f>
        <v/>
      </c>
      <c r="W932" t="str">
        <f>IF(S932="","",IF(S932="[FÓRMULA MANUAL]","",IFERROR(SUMPRODUCT((nNIA=S932)*(nCUENTA=1)*(COUNTIF(CONFIG_ASIGNATURAS!$B$7:$B$27,nASIG)&gt;0)*(nNOTA))/SUMPRODUCT((nNIA=S932)*(nCUENTA=1)*(COUNTIF(CONFIG_ASIGNATURAS!$B$7:$B$27,nASIG)&gt;0)*1),"")))</f>
        <v/>
      </c>
      <c r="Z932" t="str">
        <f>IF(Y932="","",IF(Y932="[FÓRMULA MANUAL]","",IFERROR(AVERAGEIFS(nNOTA,nNIA,Y932,nCUENTA,1,nASIG,"Análisis"),"")))</f>
        <v/>
      </c>
      <c r="AA932" t="str">
        <f>IF(Y932="","",IF(Y932="[FÓRMULA MANUAL]","",IFERROR(AVERAGEIFS(nNOTA,nNIA,Y932,nCUENTA,1,nASIG,"Orquesta/Banda/Conjunto"),"")))</f>
        <v/>
      </c>
      <c r="AB932" t="str">
        <f>IF(Y932="","",IF(Y932="[FÓRMULA MANUAL]","",IFERROR(AVERAGEIFS(nNOTA,nNIA,Y932,nCUENTA,1,nASIG,"Música de Cámara"),"")))</f>
        <v/>
      </c>
      <c r="AC932" t="str">
        <f>IF(Y932="","",IF(Y932="[FÓRMULA MANUAL]","",IFERROR(SUMPRODUCT((nNIA=Y932)*(nCUENTA=1)*(COUNTIF(CONFIG_ASIGNATURAS!$B$7:$B$27,nASIG)&gt;0)*(nNOTA))/SUMPRODUCT((nNIA=Y932)*(nCUENTA=1)*(COUNTIF(CONFIG_ASIGNATURAS!$B$7:$B$27,nASIG)&gt;0)*1),"")))</f>
        <v/>
      </c>
      <c r="AF932" t="str">
        <f>IF(AE932="","",IF(AE932="[FÓRMULA MANUAL]","",IFERROR(AVERAGEIFS(nNOTA,nNIA,AE932,nCUENTA,1,nASIG,"Análisis"),"")))</f>
        <v/>
      </c>
      <c r="AG932" t="str">
        <f>IF(AE932="","",IF(AE932="[FÓRMULA MANUAL]","",IFERROR(AVERAGEIFS(nNOTA,nNIA,AE932,nCUENTA,1,nASIG,"Orquesta/Banda/Conjunto"),"")))</f>
        <v/>
      </c>
      <c r="AH932" t="str">
        <f>IF(AE932="","",IF(AE932="[FÓRMULA MANUAL]","",IFERROR(AVERAGEIFS(nNOTA,nNIA,AE932,nCUENTA,1,nASIG,"Música de Cámara"),"")))</f>
        <v/>
      </c>
      <c r="AI932" t="str">
        <f>IF(AE932="","",IF(AE932="[FÓRMULA MANUAL]","",IFERROR(SUMPRODUCT((nNIA=AE932)*(nCUENTA=1)*(COUNTIF(CONFIG_ASIGNATURAS!$B$7:$B$27,nASIG)&gt;0)*(nNOTA))/SUMPRODUCT((nNIA=AE932)*(nCUENTA=1)*(COUNTIF(CONFIG_ASIGNATURAS!$B$7:$B$27,nASIG)&gt;0)*1),"")))</f>
        <v/>
      </c>
    </row>
    <row r="933" spans="2:35" x14ac:dyDescent="0.2">
      <c r="B933" t="str">
        <f>IF(A933="","",IF(A933="[FÓRMULA MANUAL]","",IFERROR(AVERAGEIFS(nNOTA,nNIA,A933,nCUENTA,1,nASIG,"Lenguaje Musical"),"")))</f>
        <v/>
      </c>
      <c r="C933" t="str">
        <f>IF(A933="","",IF(A933="[FÓRMULA MANUAL]","",IFERROR(AVERAGEIFS(nNOTA,nNIA,A933,nCUENTA,1,nASIG,"Orquesta/Banda/Conjunto"),"")))</f>
        <v/>
      </c>
      <c r="D933" t="str">
        <f>IF(A933="","",IF(A933="[FÓRMULA MANUAL]","",IFERROR(AVERAGEIFS(nNOTA,nNIA,A933,nCUENTA,1,nASIG,"Conjunto"),"")))</f>
        <v/>
      </c>
      <c r="E933" t="str">
        <f>IF(A933="","",IF(A933="[FÓRMULA MANUAL]","",IFERROR(SUMPRODUCT((nNIA=A933)*(nCUENTA=1)*(COUNTIF(CONFIG_ASIGNATURAS!$B$7:$B$27,nASIG)&gt;0)*(nNOTA))/SUMPRODUCT((nNIA=A933)*(nCUENTA=1)*(COUNTIF(CONFIG_ASIGNATURAS!$B$7:$B$27,nASIG)&gt;0)*1),"")))</f>
        <v/>
      </c>
      <c r="H933" t="str">
        <f>IF(G933="","",IF(G933="[FÓRMULA MANUAL]","",IFERROR(AVERAGEIFS(nNOTA,nNIA,G933,nCUENTA,1,nASIG,"Lenguaje Musical"),"")))</f>
        <v/>
      </c>
      <c r="I933" t="str">
        <f>IF(G933="","",IF(G933="[FÓRMULA MANUAL]","",IFERROR(AVERAGEIFS(nNOTA,nNIA,G933,nCUENTA,1,nASIG,"Orquesta/Banda/Conjunto"),"")))</f>
        <v/>
      </c>
      <c r="J933" t="str">
        <f>IF(G933="","",IF(G933="[FÓRMULA MANUAL]","",IFERROR(AVERAGEIFS(nNOTA,nNIA,G933,nCUENTA,1,nASIG,"Conjunto"),"")))</f>
        <v/>
      </c>
      <c r="K933" t="str">
        <f>IF(G933="","",IF(G933="[FÓRMULA MANUAL]","",IFERROR(SUMPRODUCT((nNIA=G933)*(nCUENTA=1)*(COUNTIF(CONFIG_ASIGNATURAS!$B$7:$B$27,nASIG)&gt;0)*(nNOTA))/SUMPRODUCT((nNIA=G933)*(nCUENTA=1)*(COUNTIF(CONFIG_ASIGNATURAS!$B$7:$B$27,nASIG)&gt;0)*1),"")))</f>
        <v/>
      </c>
      <c r="N933" t="str">
        <f>IF(M933="","",IF(M933="[FÓRMULA MANUAL]","",IFERROR(AVERAGEIFS(nNOTA,nNIA,M933,nCUENTA,1,nASIG,"Armonía"),"")))</f>
        <v/>
      </c>
      <c r="O933" t="str">
        <f>IF(M933="","",IF(M933="[FÓRMULA MANUAL]","",IFERROR(AVERAGEIFS(nNOTA,nNIA,M933,nCUENTA,1,nASIG,"Orquesta/Banda/Conjunto"),"")))</f>
        <v/>
      </c>
      <c r="P933" t="str">
        <f>IF(M933="","",IF(M933="[FÓRMULA MANUAL]","",IFERROR(AVERAGEIFS(nNOTA,nNIA,M933,nCUENTA,1,nASIG,"Música de Cámara"),"")))</f>
        <v/>
      </c>
      <c r="Q933" t="str">
        <f>IF(M933="","",IF(M933="[FÓRMULA MANUAL]","",IFERROR(SUMPRODUCT((nNIA=M933)*(nCUENTA=1)*(COUNTIF(CONFIG_ASIGNATURAS!$B$7:$B$27,nASIG)&gt;0)*(nNOTA))/SUMPRODUCT((nNIA=M933)*(nCUENTA=1)*(COUNTIF(CONFIG_ASIGNATURAS!$B$7:$B$27,nASIG)&gt;0)*1),"")))</f>
        <v/>
      </c>
      <c r="T933" t="str">
        <f>IF(S933="","",IF(S933="[FÓRMULA MANUAL]","",IFERROR(AVERAGEIFS(nNOTA,nNIA,S933,nCUENTA,1,nASIG,"Armonía"),"")))</f>
        <v/>
      </c>
      <c r="U933" t="str">
        <f>IF(S933="","",IF(S933="[FÓRMULA MANUAL]","",IFERROR(AVERAGEIFS(nNOTA,nNIA,S933,nCUENTA,1,nASIG,"Orquesta/Banda/Conjunto"),"")))</f>
        <v/>
      </c>
      <c r="V933" t="str">
        <f>IF(S933="","",IF(S933="[FÓRMULA MANUAL]","",IFERROR(AVERAGEIFS(nNOTA,nNIA,S933,nCUENTA,1,nASIG,"Música de Cámara"),"")))</f>
        <v/>
      </c>
      <c r="W933" t="str">
        <f>IF(S933="","",IF(S933="[FÓRMULA MANUAL]","",IFERROR(SUMPRODUCT((nNIA=S933)*(nCUENTA=1)*(COUNTIF(CONFIG_ASIGNATURAS!$B$7:$B$27,nASIG)&gt;0)*(nNOTA))/SUMPRODUCT((nNIA=S933)*(nCUENTA=1)*(COUNTIF(CONFIG_ASIGNATURAS!$B$7:$B$27,nASIG)&gt;0)*1),"")))</f>
        <v/>
      </c>
      <c r="Z933" t="str">
        <f>IF(Y933="","",IF(Y933="[FÓRMULA MANUAL]","",IFERROR(AVERAGEIFS(nNOTA,nNIA,Y933,nCUENTA,1,nASIG,"Análisis"),"")))</f>
        <v/>
      </c>
      <c r="AA933" t="str">
        <f>IF(Y933="","",IF(Y933="[FÓRMULA MANUAL]","",IFERROR(AVERAGEIFS(nNOTA,nNIA,Y933,nCUENTA,1,nASIG,"Orquesta/Banda/Conjunto"),"")))</f>
        <v/>
      </c>
      <c r="AB933" t="str">
        <f>IF(Y933="","",IF(Y933="[FÓRMULA MANUAL]","",IFERROR(AVERAGEIFS(nNOTA,nNIA,Y933,nCUENTA,1,nASIG,"Música de Cámara"),"")))</f>
        <v/>
      </c>
      <c r="AC933" t="str">
        <f>IF(Y933="","",IF(Y933="[FÓRMULA MANUAL]","",IFERROR(SUMPRODUCT((nNIA=Y933)*(nCUENTA=1)*(COUNTIF(CONFIG_ASIGNATURAS!$B$7:$B$27,nASIG)&gt;0)*(nNOTA))/SUMPRODUCT((nNIA=Y933)*(nCUENTA=1)*(COUNTIF(CONFIG_ASIGNATURAS!$B$7:$B$27,nASIG)&gt;0)*1),"")))</f>
        <v/>
      </c>
      <c r="AF933" t="str">
        <f>IF(AE933="","",IF(AE933="[FÓRMULA MANUAL]","",IFERROR(AVERAGEIFS(nNOTA,nNIA,AE933,nCUENTA,1,nASIG,"Análisis"),"")))</f>
        <v/>
      </c>
      <c r="AG933" t="str">
        <f>IF(AE933="","",IF(AE933="[FÓRMULA MANUAL]","",IFERROR(AVERAGEIFS(nNOTA,nNIA,AE933,nCUENTA,1,nASIG,"Orquesta/Banda/Conjunto"),"")))</f>
        <v/>
      </c>
      <c r="AH933" t="str">
        <f>IF(AE933="","",IF(AE933="[FÓRMULA MANUAL]","",IFERROR(AVERAGEIFS(nNOTA,nNIA,AE933,nCUENTA,1,nASIG,"Música de Cámara"),"")))</f>
        <v/>
      </c>
      <c r="AI933" t="str">
        <f>IF(AE933="","",IF(AE933="[FÓRMULA MANUAL]","",IFERROR(SUMPRODUCT((nNIA=AE933)*(nCUENTA=1)*(COUNTIF(CONFIG_ASIGNATURAS!$B$7:$B$27,nASIG)&gt;0)*(nNOTA))/SUMPRODUCT((nNIA=AE933)*(nCUENTA=1)*(COUNTIF(CONFIG_ASIGNATURAS!$B$7:$B$27,nASIG)&gt;0)*1),"")))</f>
        <v/>
      </c>
    </row>
    <row r="934" spans="2:35" x14ac:dyDescent="0.2">
      <c r="B934" t="str">
        <f>IF(A934="","",IF(A934="[FÓRMULA MANUAL]","",IFERROR(AVERAGEIFS(nNOTA,nNIA,A934,nCUENTA,1,nASIG,"Lenguaje Musical"),"")))</f>
        <v/>
      </c>
      <c r="C934" t="str">
        <f>IF(A934="","",IF(A934="[FÓRMULA MANUAL]","",IFERROR(AVERAGEIFS(nNOTA,nNIA,A934,nCUENTA,1,nASIG,"Orquesta/Banda/Conjunto"),"")))</f>
        <v/>
      </c>
      <c r="D934" t="str">
        <f>IF(A934="","",IF(A934="[FÓRMULA MANUAL]","",IFERROR(AVERAGEIFS(nNOTA,nNIA,A934,nCUENTA,1,nASIG,"Conjunto"),"")))</f>
        <v/>
      </c>
      <c r="E934" t="str">
        <f>IF(A934="","",IF(A934="[FÓRMULA MANUAL]","",IFERROR(SUMPRODUCT((nNIA=A934)*(nCUENTA=1)*(COUNTIF(CONFIG_ASIGNATURAS!$B$7:$B$27,nASIG)&gt;0)*(nNOTA))/SUMPRODUCT((nNIA=A934)*(nCUENTA=1)*(COUNTIF(CONFIG_ASIGNATURAS!$B$7:$B$27,nASIG)&gt;0)*1),"")))</f>
        <v/>
      </c>
      <c r="H934" t="str">
        <f>IF(G934="","",IF(G934="[FÓRMULA MANUAL]","",IFERROR(AVERAGEIFS(nNOTA,nNIA,G934,nCUENTA,1,nASIG,"Lenguaje Musical"),"")))</f>
        <v/>
      </c>
      <c r="I934" t="str">
        <f>IF(G934="","",IF(G934="[FÓRMULA MANUAL]","",IFERROR(AVERAGEIFS(nNOTA,nNIA,G934,nCUENTA,1,nASIG,"Orquesta/Banda/Conjunto"),"")))</f>
        <v/>
      </c>
      <c r="J934" t="str">
        <f>IF(G934="","",IF(G934="[FÓRMULA MANUAL]","",IFERROR(AVERAGEIFS(nNOTA,nNIA,G934,nCUENTA,1,nASIG,"Conjunto"),"")))</f>
        <v/>
      </c>
      <c r="K934" t="str">
        <f>IF(G934="","",IF(G934="[FÓRMULA MANUAL]","",IFERROR(SUMPRODUCT((nNIA=G934)*(nCUENTA=1)*(COUNTIF(CONFIG_ASIGNATURAS!$B$7:$B$27,nASIG)&gt;0)*(nNOTA))/SUMPRODUCT((nNIA=G934)*(nCUENTA=1)*(COUNTIF(CONFIG_ASIGNATURAS!$B$7:$B$27,nASIG)&gt;0)*1),"")))</f>
        <v/>
      </c>
      <c r="N934" t="str">
        <f>IF(M934="","",IF(M934="[FÓRMULA MANUAL]","",IFERROR(AVERAGEIFS(nNOTA,nNIA,M934,nCUENTA,1,nASIG,"Armonía"),"")))</f>
        <v/>
      </c>
      <c r="O934" t="str">
        <f>IF(M934="","",IF(M934="[FÓRMULA MANUAL]","",IFERROR(AVERAGEIFS(nNOTA,nNIA,M934,nCUENTA,1,nASIG,"Orquesta/Banda/Conjunto"),"")))</f>
        <v/>
      </c>
      <c r="P934" t="str">
        <f>IF(M934="","",IF(M934="[FÓRMULA MANUAL]","",IFERROR(AVERAGEIFS(nNOTA,nNIA,M934,nCUENTA,1,nASIG,"Música de Cámara"),"")))</f>
        <v/>
      </c>
      <c r="Q934" t="str">
        <f>IF(M934="","",IF(M934="[FÓRMULA MANUAL]","",IFERROR(SUMPRODUCT((nNIA=M934)*(nCUENTA=1)*(COUNTIF(CONFIG_ASIGNATURAS!$B$7:$B$27,nASIG)&gt;0)*(nNOTA))/SUMPRODUCT((nNIA=M934)*(nCUENTA=1)*(COUNTIF(CONFIG_ASIGNATURAS!$B$7:$B$27,nASIG)&gt;0)*1),"")))</f>
        <v/>
      </c>
      <c r="T934" t="str">
        <f>IF(S934="","",IF(S934="[FÓRMULA MANUAL]","",IFERROR(AVERAGEIFS(nNOTA,nNIA,S934,nCUENTA,1,nASIG,"Armonía"),"")))</f>
        <v/>
      </c>
      <c r="U934" t="str">
        <f>IF(S934="","",IF(S934="[FÓRMULA MANUAL]","",IFERROR(AVERAGEIFS(nNOTA,nNIA,S934,nCUENTA,1,nASIG,"Orquesta/Banda/Conjunto"),"")))</f>
        <v/>
      </c>
      <c r="V934" t="str">
        <f>IF(S934="","",IF(S934="[FÓRMULA MANUAL]","",IFERROR(AVERAGEIFS(nNOTA,nNIA,S934,nCUENTA,1,nASIG,"Música de Cámara"),"")))</f>
        <v/>
      </c>
      <c r="W934" t="str">
        <f>IF(S934="","",IF(S934="[FÓRMULA MANUAL]","",IFERROR(SUMPRODUCT((nNIA=S934)*(nCUENTA=1)*(COUNTIF(CONFIG_ASIGNATURAS!$B$7:$B$27,nASIG)&gt;0)*(nNOTA))/SUMPRODUCT((nNIA=S934)*(nCUENTA=1)*(COUNTIF(CONFIG_ASIGNATURAS!$B$7:$B$27,nASIG)&gt;0)*1),"")))</f>
        <v/>
      </c>
      <c r="Z934" t="str">
        <f>IF(Y934="","",IF(Y934="[FÓRMULA MANUAL]","",IFERROR(AVERAGEIFS(nNOTA,nNIA,Y934,nCUENTA,1,nASIG,"Análisis"),"")))</f>
        <v/>
      </c>
      <c r="AA934" t="str">
        <f>IF(Y934="","",IF(Y934="[FÓRMULA MANUAL]","",IFERROR(AVERAGEIFS(nNOTA,nNIA,Y934,nCUENTA,1,nASIG,"Orquesta/Banda/Conjunto"),"")))</f>
        <v/>
      </c>
      <c r="AB934" t="str">
        <f>IF(Y934="","",IF(Y934="[FÓRMULA MANUAL]","",IFERROR(AVERAGEIFS(nNOTA,nNIA,Y934,nCUENTA,1,nASIG,"Música de Cámara"),"")))</f>
        <v/>
      </c>
      <c r="AC934" t="str">
        <f>IF(Y934="","",IF(Y934="[FÓRMULA MANUAL]","",IFERROR(SUMPRODUCT((nNIA=Y934)*(nCUENTA=1)*(COUNTIF(CONFIG_ASIGNATURAS!$B$7:$B$27,nASIG)&gt;0)*(nNOTA))/SUMPRODUCT((nNIA=Y934)*(nCUENTA=1)*(COUNTIF(CONFIG_ASIGNATURAS!$B$7:$B$27,nASIG)&gt;0)*1),"")))</f>
        <v/>
      </c>
      <c r="AF934" t="str">
        <f>IF(AE934="","",IF(AE934="[FÓRMULA MANUAL]","",IFERROR(AVERAGEIFS(nNOTA,nNIA,AE934,nCUENTA,1,nASIG,"Análisis"),"")))</f>
        <v/>
      </c>
      <c r="AG934" t="str">
        <f>IF(AE934="","",IF(AE934="[FÓRMULA MANUAL]","",IFERROR(AVERAGEIFS(nNOTA,nNIA,AE934,nCUENTA,1,nASIG,"Orquesta/Banda/Conjunto"),"")))</f>
        <v/>
      </c>
      <c r="AH934" t="str">
        <f>IF(AE934="","",IF(AE934="[FÓRMULA MANUAL]","",IFERROR(AVERAGEIFS(nNOTA,nNIA,AE934,nCUENTA,1,nASIG,"Música de Cámara"),"")))</f>
        <v/>
      </c>
      <c r="AI934" t="str">
        <f>IF(AE934="","",IF(AE934="[FÓRMULA MANUAL]","",IFERROR(SUMPRODUCT((nNIA=AE934)*(nCUENTA=1)*(COUNTIF(CONFIG_ASIGNATURAS!$B$7:$B$27,nASIG)&gt;0)*(nNOTA))/SUMPRODUCT((nNIA=AE934)*(nCUENTA=1)*(COUNTIF(CONFIG_ASIGNATURAS!$B$7:$B$27,nASIG)&gt;0)*1),"")))</f>
        <v/>
      </c>
    </row>
    <row r="935" spans="2:35" x14ac:dyDescent="0.2">
      <c r="B935" t="str">
        <f>IF(A935="","",IF(A935="[FÓRMULA MANUAL]","",IFERROR(AVERAGEIFS(nNOTA,nNIA,A935,nCUENTA,1,nASIG,"Lenguaje Musical"),"")))</f>
        <v/>
      </c>
      <c r="C935" t="str">
        <f>IF(A935="","",IF(A935="[FÓRMULA MANUAL]","",IFERROR(AVERAGEIFS(nNOTA,nNIA,A935,nCUENTA,1,nASIG,"Orquesta/Banda/Conjunto"),"")))</f>
        <v/>
      </c>
      <c r="D935" t="str">
        <f>IF(A935="","",IF(A935="[FÓRMULA MANUAL]","",IFERROR(AVERAGEIFS(nNOTA,nNIA,A935,nCUENTA,1,nASIG,"Conjunto"),"")))</f>
        <v/>
      </c>
      <c r="E935" t="str">
        <f>IF(A935="","",IF(A935="[FÓRMULA MANUAL]","",IFERROR(SUMPRODUCT((nNIA=A935)*(nCUENTA=1)*(COUNTIF(CONFIG_ASIGNATURAS!$B$7:$B$27,nASIG)&gt;0)*(nNOTA))/SUMPRODUCT((nNIA=A935)*(nCUENTA=1)*(COUNTIF(CONFIG_ASIGNATURAS!$B$7:$B$27,nASIG)&gt;0)*1),"")))</f>
        <v/>
      </c>
      <c r="H935" t="str">
        <f>IF(G935="","",IF(G935="[FÓRMULA MANUAL]","",IFERROR(AVERAGEIFS(nNOTA,nNIA,G935,nCUENTA,1,nASIG,"Lenguaje Musical"),"")))</f>
        <v/>
      </c>
      <c r="I935" t="str">
        <f>IF(G935="","",IF(G935="[FÓRMULA MANUAL]","",IFERROR(AVERAGEIFS(nNOTA,nNIA,G935,nCUENTA,1,nASIG,"Orquesta/Banda/Conjunto"),"")))</f>
        <v/>
      </c>
      <c r="J935" t="str">
        <f>IF(G935="","",IF(G935="[FÓRMULA MANUAL]","",IFERROR(AVERAGEIFS(nNOTA,nNIA,G935,nCUENTA,1,nASIG,"Conjunto"),"")))</f>
        <v/>
      </c>
      <c r="K935" t="str">
        <f>IF(G935="","",IF(G935="[FÓRMULA MANUAL]","",IFERROR(SUMPRODUCT((nNIA=G935)*(nCUENTA=1)*(COUNTIF(CONFIG_ASIGNATURAS!$B$7:$B$27,nASIG)&gt;0)*(nNOTA))/SUMPRODUCT((nNIA=G935)*(nCUENTA=1)*(COUNTIF(CONFIG_ASIGNATURAS!$B$7:$B$27,nASIG)&gt;0)*1),"")))</f>
        <v/>
      </c>
      <c r="N935" t="str">
        <f>IF(M935="","",IF(M935="[FÓRMULA MANUAL]","",IFERROR(AVERAGEIFS(nNOTA,nNIA,M935,nCUENTA,1,nASIG,"Armonía"),"")))</f>
        <v/>
      </c>
      <c r="O935" t="str">
        <f>IF(M935="","",IF(M935="[FÓRMULA MANUAL]","",IFERROR(AVERAGEIFS(nNOTA,nNIA,M935,nCUENTA,1,nASIG,"Orquesta/Banda/Conjunto"),"")))</f>
        <v/>
      </c>
      <c r="P935" t="str">
        <f>IF(M935="","",IF(M935="[FÓRMULA MANUAL]","",IFERROR(AVERAGEIFS(nNOTA,nNIA,M935,nCUENTA,1,nASIG,"Música de Cámara"),"")))</f>
        <v/>
      </c>
      <c r="Q935" t="str">
        <f>IF(M935="","",IF(M935="[FÓRMULA MANUAL]","",IFERROR(SUMPRODUCT((nNIA=M935)*(nCUENTA=1)*(COUNTIF(CONFIG_ASIGNATURAS!$B$7:$B$27,nASIG)&gt;0)*(nNOTA))/SUMPRODUCT((nNIA=M935)*(nCUENTA=1)*(COUNTIF(CONFIG_ASIGNATURAS!$B$7:$B$27,nASIG)&gt;0)*1),"")))</f>
        <v/>
      </c>
      <c r="T935" t="str">
        <f>IF(S935="","",IF(S935="[FÓRMULA MANUAL]","",IFERROR(AVERAGEIFS(nNOTA,nNIA,S935,nCUENTA,1,nASIG,"Armonía"),"")))</f>
        <v/>
      </c>
      <c r="U935" t="str">
        <f>IF(S935="","",IF(S935="[FÓRMULA MANUAL]","",IFERROR(AVERAGEIFS(nNOTA,nNIA,S935,nCUENTA,1,nASIG,"Orquesta/Banda/Conjunto"),"")))</f>
        <v/>
      </c>
      <c r="V935" t="str">
        <f>IF(S935="","",IF(S935="[FÓRMULA MANUAL]","",IFERROR(AVERAGEIFS(nNOTA,nNIA,S935,nCUENTA,1,nASIG,"Música de Cámara"),"")))</f>
        <v/>
      </c>
      <c r="W935" t="str">
        <f>IF(S935="","",IF(S935="[FÓRMULA MANUAL]","",IFERROR(SUMPRODUCT((nNIA=S935)*(nCUENTA=1)*(COUNTIF(CONFIG_ASIGNATURAS!$B$7:$B$27,nASIG)&gt;0)*(nNOTA))/SUMPRODUCT((nNIA=S935)*(nCUENTA=1)*(COUNTIF(CONFIG_ASIGNATURAS!$B$7:$B$27,nASIG)&gt;0)*1),"")))</f>
        <v/>
      </c>
      <c r="Z935" t="str">
        <f>IF(Y935="","",IF(Y935="[FÓRMULA MANUAL]","",IFERROR(AVERAGEIFS(nNOTA,nNIA,Y935,nCUENTA,1,nASIG,"Análisis"),"")))</f>
        <v/>
      </c>
      <c r="AA935" t="str">
        <f>IF(Y935="","",IF(Y935="[FÓRMULA MANUAL]","",IFERROR(AVERAGEIFS(nNOTA,nNIA,Y935,nCUENTA,1,nASIG,"Orquesta/Banda/Conjunto"),"")))</f>
        <v/>
      </c>
      <c r="AB935" t="str">
        <f>IF(Y935="","",IF(Y935="[FÓRMULA MANUAL]","",IFERROR(AVERAGEIFS(nNOTA,nNIA,Y935,nCUENTA,1,nASIG,"Música de Cámara"),"")))</f>
        <v/>
      </c>
      <c r="AC935" t="str">
        <f>IF(Y935="","",IF(Y935="[FÓRMULA MANUAL]","",IFERROR(SUMPRODUCT((nNIA=Y935)*(nCUENTA=1)*(COUNTIF(CONFIG_ASIGNATURAS!$B$7:$B$27,nASIG)&gt;0)*(nNOTA))/SUMPRODUCT((nNIA=Y935)*(nCUENTA=1)*(COUNTIF(CONFIG_ASIGNATURAS!$B$7:$B$27,nASIG)&gt;0)*1),"")))</f>
        <v/>
      </c>
      <c r="AF935" t="str">
        <f>IF(AE935="","",IF(AE935="[FÓRMULA MANUAL]","",IFERROR(AVERAGEIFS(nNOTA,nNIA,AE935,nCUENTA,1,nASIG,"Análisis"),"")))</f>
        <v/>
      </c>
      <c r="AG935" t="str">
        <f>IF(AE935="","",IF(AE935="[FÓRMULA MANUAL]","",IFERROR(AVERAGEIFS(nNOTA,nNIA,AE935,nCUENTA,1,nASIG,"Orquesta/Banda/Conjunto"),"")))</f>
        <v/>
      </c>
      <c r="AH935" t="str">
        <f>IF(AE935="","",IF(AE935="[FÓRMULA MANUAL]","",IFERROR(AVERAGEIFS(nNOTA,nNIA,AE935,nCUENTA,1,nASIG,"Música de Cámara"),"")))</f>
        <v/>
      </c>
      <c r="AI935" t="str">
        <f>IF(AE935="","",IF(AE935="[FÓRMULA MANUAL]","",IFERROR(SUMPRODUCT((nNIA=AE935)*(nCUENTA=1)*(COUNTIF(CONFIG_ASIGNATURAS!$B$7:$B$27,nASIG)&gt;0)*(nNOTA))/SUMPRODUCT((nNIA=AE935)*(nCUENTA=1)*(COUNTIF(CONFIG_ASIGNATURAS!$B$7:$B$27,nASIG)&gt;0)*1),"")))</f>
        <v/>
      </c>
    </row>
    <row r="936" spans="2:35" x14ac:dyDescent="0.2">
      <c r="B936" t="str">
        <f>IF(A936="","",IF(A936="[FÓRMULA MANUAL]","",IFERROR(AVERAGEIFS(nNOTA,nNIA,A936,nCUENTA,1,nASIG,"Lenguaje Musical"),"")))</f>
        <v/>
      </c>
      <c r="C936" t="str">
        <f>IF(A936="","",IF(A936="[FÓRMULA MANUAL]","",IFERROR(AVERAGEIFS(nNOTA,nNIA,A936,nCUENTA,1,nASIG,"Orquesta/Banda/Conjunto"),"")))</f>
        <v/>
      </c>
      <c r="D936" t="str">
        <f>IF(A936="","",IF(A936="[FÓRMULA MANUAL]","",IFERROR(AVERAGEIFS(nNOTA,nNIA,A936,nCUENTA,1,nASIG,"Conjunto"),"")))</f>
        <v/>
      </c>
      <c r="E936" t="str">
        <f>IF(A936="","",IF(A936="[FÓRMULA MANUAL]","",IFERROR(SUMPRODUCT((nNIA=A936)*(nCUENTA=1)*(COUNTIF(CONFIG_ASIGNATURAS!$B$7:$B$27,nASIG)&gt;0)*(nNOTA))/SUMPRODUCT((nNIA=A936)*(nCUENTA=1)*(COUNTIF(CONFIG_ASIGNATURAS!$B$7:$B$27,nASIG)&gt;0)*1),"")))</f>
        <v/>
      </c>
      <c r="H936" t="str">
        <f>IF(G936="","",IF(G936="[FÓRMULA MANUAL]","",IFERROR(AVERAGEIFS(nNOTA,nNIA,G936,nCUENTA,1,nASIG,"Lenguaje Musical"),"")))</f>
        <v/>
      </c>
      <c r="I936" t="str">
        <f>IF(G936="","",IF(G936="[FÓRMULA MANUAL]","",IFERROR(AVERAGEIFS(nNOTA,nNIA,G936,nCUENTA,1,nASIG,"Orquesta/Banda/Conjunto"),"")))</f>
        <v/>
      </c>
      <c r="J936" t="str">
        <f>IF(G936="","",IF(G936="[FÓRMULA MANUAL]","",IFERROR(AVERAGEIFS(nNOTA,nNIA,G936,nCUENTA,1,nASIG,"Conjunto"),"")))</f>
        <v/>
      </c>
      <c r="K936" t="str">
        <f>IF(G936="","",IF(G936="[FÓRMULA MANUAL]","",IFERROR(SUMPRODUCT((nNIA=G936)*(nCUENTA=1)*(COUNTIF(CONFIG_ASIGNATURAS!$B$7:$B$27,nASIG)&gt;0)*(nNOTA))/SUMPRODUCT((nNIA=G936)*(nCUENTA=1)*(COUNTIF(CONFIG_ASIGNATURAS!$B$7:$B$27,nASIG)&gt;0)*1),"")))</f>
        <v/>
      </c>
      <c r="N936" t="str">
        <f>IF(M936="","",IF(M936="[FÓRMULA MANUAL]","",IFERROR(AVERAGEIFS(nNOTA,nNIA,M936,nCUENTA,1,nASIG,"Armonía"),"")))</f>
        <v/>
      </c>
      <c r="O936" t="str">
        <f>IF(M936="","",IF(M936="[FÓRMULA MANUAL]","",IFERROR(AVERAGEIFS(nNOTA,nNIA,M936,nCUENTA,1,nASIG,"Orquesta/Banda/Conjunto"),"")))</f>
        <v/>
      </c>
      <c r="P936" t="str">
        <f>IF(M936="","",IF(M936="[FÓRMULA MANUAL]","",IFERROR(AVERAGEIFS(nNOTA,nNIA,M936,nCUENTA,1,nASIG,"Música de Cámara"),"")))</f>
        <v/>
      </c>
      <c r="Q936" t="str">
        <f>IF(M936="","",IF(M936="[FÓRMULA MANUAL]","",IFERROR(SUMPRODUCT((nNIA=M936)*(nCUENTA=1)*(COUNTIF(CONFIG_ASIGNATURAS!$B$7:$B$27,nASIG)&gt;0)*(nNOTA))/SUMPRODUCT((nNIA=M936)*(nCUENTA=1)*(COUNTIF(CONFIG_ASIGNATURAS!$B$7:$B$27,nASIG)&gt;0)*1),"")))</f>
        <v/>
      </c>
      <c r="T936" t="str">
        <f>IF(S936="","",IF(S936="[FÓRMULA MANUAL]","",IFERROR(AVERAGEIFS(nNOTA,nNIA,S936,nCUENTA,1,nASIG,"Armonía"),"")))</f>
        <v/>
      </c>
      <c r="U936" t="str">
        <f>IF(S936="","",IF(S936="[FÓRMULA MANUAL]","",IFERROR(AVERAGEIFS(nNOTA,nNIA,S936,nCUENTA,1,nASIG,"Orquesta/Banda/Conjunto"),"")))</f>
        <v/>
      </c>
      <c r="V936" t="str">
        <f>IF(S936="","",IF(S936="[FÓRMULA MANUAL]","",IFERROR(AVERAGEIFS(nNOTA,nNIA,S936,nCUENTA,1,nASIG,"Música de Cámara"),"")))</f>
        <v/>
      </c>
      <c r="W936" t="str">
        <f>IF(S936="","",IF(S936="[FÓRMULA MANUAL]","",IFERROR(SUMPRODUCT((nNIA=S936)*(nCUENTA=1)*(COUNTIF(CONFIG_ASIGNATURAS!$B$7:$B$27,nASIG)&gt;0)*(nNOTA))/SUMPRODUCT((nNIA=S936)*(nCUENTA=1)*(COUNTIF(CONFIG_ASIGNATURAS!$B$7:$B$27,nASIG)&gt;0)*1),"")))</f>
        <v/>
      </c>
      <c r="Z936" t="str">
        <f>IF(Y936="","",IF(Y936="[FÓRMULA MANUAL]","",IFERROR(AVERAGEIFS(nNOTA,nNIA,Y936,nCUENTA,1,nASIG,"Análisis"),"")))</f>
        <v/>
      </c>
      <c r="AA936" t="str">
        <f>IF(Y936="","",IF(Y936="[FÓRMULA MANUAL]","",IFERROR(AVERAGEIFS(nNOTA,nNIA,Y936,nCUENTA,1,nASIG,"Orquesta/Banda/Conjunto"),"")))</f>
        <v/>
      </c>
      <c r="AB936" t="str">
        <f>IF(Y936="","",IF(Y936="[FÓRMULA MANUAL]","",IFERROR(AVERAGEIFS(nNOTA,nNIA,Y936,nCUENTA,1,nASIG,"Música de Cámara"),"")))</f>
        <v/>
      </c>
      <c r="AC936" t="str">
        <f>IF(Y936="","",IF(Y936="[FÓRMULA MANUAL]","",IFERROR(SUMPRODUCT((nNIA=Y936)*(nCUENTA=1)*(COUNTIF(CONFIG_ASIGNATURAS!$B$7:$B$27,nASIG)&gt;0)*(nNOTA))/SUMPRODUCT((nNIA=Y936)*(nCUENTA=1)*(COUNTIF(CONFIG_ASIGNATURAS!$B$7:$B$27,nASIG)&gt;0)*1),"")))</f>
        <v/>
      </c>
      <c r="AF936" t="str">
        <f>IF(AE936="","",IF(AE936="[FÓRMULA MANUAL]","",IFERROR(AVERAGEIFS(nNOTA,nNIA,AE936,nCUENTA,1,nASIG,"Análisis"),"")))</f>
        <v/>
      </c>
      <c r="AG936" t="str">
        <f>IF(AE936="","",IF(AE936="[FÓRMULA MANUAL]","",IFERROR(AVERAGEIFS(nNOTA,nNIA,AE936,nCUENTA,1,nASIG,"Orquesta/Banda/Conjunto"),"")))</f>
        <v/>
      </c>
      <c r="AH936" t="str">
        <f>IF(AE936="","",IF(AE936="[FÓRMULA MANUAL]","",IFERROR(AVERAGEIFS(nNOTA,nNIA,AE936,nCUENTA,1,nASIG,"Música de Cámara"),"")))</f>
        <v/>
      </c>
      <c r="AI936" t="str">
        <f>IF(AE936="","",IF(AE936="[FÓRMULA MANUAL]","",IFERROR(SUMPRODUCT((nNIA=AE936)*(nCUENTA=1)*(COUNTIF(CONFIG_ASIGNATURAS!$B$7:$B$27,nASIG)&gt;0)*(nNOTA))/SUMPRODUCT((nNIA=AE936)*(nCUENTA=1)*(COUNTIF(CONFIG_ASIGNATURAS!$B$7:$B$27,nASIG)&gt;0)*1),"")))</f>
        <v/>
      </c>
    </row>
    <row r="937" spans="2:35" x14ac:dyDescent="0.2">
      <c r="B937" t="str">
        <f>IF(A937="","",IF(A937="[FÓRMULA MANUAL]","",IFERROR(AVERAGEIFS(nNOTA,nNIA,A937,nCUENTA,1,nASIG,"Lenguaje Musical"),"")))</f>
        <v/>
      </c>
      <c r="C937" t="str">
        <f>IF(A937="","",IF(A937="[FÓRMULA MANUAL]","",IFERROR(AVERAGEIFS(nNOTA,nNIA,A937,nCUENTA,1,nASIG,"Orquesta/Banda/Conjunto"),"")))</f>
        <v/>
      </c>
      <c r="D937" t="str">
        <f>IF(A937="","",IF(A937="[FÓRMULA MANUAL]","",IFERROR(AVERAGEIFS(nNOTA,nNIA,A937,nCUENTA,1,nASIG,"Conjunto"),"")))</f>
        <v/>
      </c>
      <c r="E937" t="str">
        <f>IF(A937="","",IF(A937="[FÓRMULA MANUAL]","",IFERROR(SUMPRODUCT((nNIA=A937)*(nCUENTA=1)*(COUNTIF(CONFIG_ASIGNATURAS!$B$7:$B$27,nASIG)&gt;0)*(nNOTA))/SUMPRODUCT((nNIA=A937)*(nCUENTA=1)*(COUNTIF(CONFIG_ASIGNATURAS!$B$7:$B$27,nASIG)&gt;0)*1),"")))</f>
        <v/>
      </c>
      <c r="H937" t="str">
        <f>IF(G937="","",IF(G937="[FÓRMULA MANUAL]","",IFERROR(AVERAGEIFS(nNOTA,nNIA,G937,nCUENTA,1,nASIG,"Lenguaje Musical"),"")))</f>
        <v/>
      </c>
      <c r="I937" t="str">
        <f>IF(G937="","",IF(G937="[FÓRMULA MANUAL]","",IFERROR(AVERAGEIFS(nNOTA,nNIA,G937,nCUENTA,1,nASIG,"Orquesta/Banda/Conjunto"),"")))</f>
        <v/>
      </c>
      <c r="J937" t="str">
        <f>IF(G937="","",IF(G937="[FÓRMULA MANUAL]","",IFERROR(AVERAGEIFS(nNOTA,nNIA,G937,nCUENTA,1,nASIG,"Conjunto"),"")))</f>
        <v/>
      </c>
      <c r="K937" t="str">
        <f>IF(G937="","",IF(G937="[FÓRMULA MANUAL]","",IFERROR(SUMPRODUCT((nNIA=G937)*(nCUENTA=1)*(COUNTIF(CONFIG_ASIGNATURAS!$B$7:$B$27,nASIG)&gt;0)*(nNOTA))/SUMPRODUCT((nNIA=G937)*(nCUENTA=1)*(COUNTIF(CONFIG_ASIGNATURAS!$B$7:$B$27,nASIG)&gt;0)*1),"")))</f>
        <v/>
      </c>
      <c r="N937" t="str">
        <f>IF(M937="","",IF(M937="[FÓRMULA MANUAL]","",IFERROR(AVERAGEIFS(nNOTA,nNIA,M937,nCUENTA,1,nASIG,"Armonía"),"")))</f>
        <v/>
      </c>
      <c r="O937" t="str">
        <f>IF(M937="","",IF(M937="[FÓRMULA MANUAL]","",IFERROR(AVERAGEIFS(nNOTA,nNIA,M937,nCUENTA,1,nASIG,"Orquesta/Banda/Conjunto"),"")))</f>
        <v/>
      </c>
      <c r="P937" t="str">
        <f>IF(M937="","",IF(M937="[FÓRMULA MANUAL]","",IFERROR(AVERAGEIFS(nNOTA,nNIA,M937,nCUENTA,1,nASIG,"Música de Cámara"),"")))</f>
        <v/>
      </c>
      <c r="Q937" t="str">
        <f>IF(M937="","",IF(M937="[FÓRMULA MANUAL]","",IFERROR(SUMPRODUCT((nNIA=M937)*(nCUENTA=1)*(COUNTIF(CONFIG_ASIGNATURAS!$B$7:$B$27,nASIG)&gt;0)*(nNOTA))/SUMPRODUCT((nNIA=M937)*(nCUENTA=1)*(COUNTIF(CONFIG_ASIGNATURAS!$B$7:$B$27,nASIG)&gt;0)*1),"")))</f>
        <v/>
      </c>
      <c r="T937" t="str">
        <f>IF(S937="","",IF(S937="[FÓRMULA MANUAL]","",IFERROR(AVERAGEIFS(nNOTA,nNIA,S937,nCUENTA,1,nASIG,"Armonía"),"")))</f>
        <v/>
      </c>
      <c r="U937" t="str">
        <f>IF(S937="","",IF(S937="[FÓRMULA MANUAL]","",IFERROR(AVERAGEIFS(nNOTA,nNIA,S937,nCUENTA,1,nASIG,"Orquesta/Banda/Conjunto"),"")))</f>
        <v/>
      </c>
      <c r="V937" t="str">
        <f>IF(S937="","",IF(S937="[FÓRMULA MANUAL]","",IFERROR(AVERAGEIFS(nNOTA,nNIA,S937,nCUENTA,1,nASIG,"Música de Cámara"),"")))</f>
        <v/>
      </c>
      <c r="W937" t="str">
        <f>IF(S937="","",IF(S937="[FÓRMULA MANUAL]","",IFERROR(SUMPRODUCT((nNIA=S937)*(nCUENTA=1)*(COUNTIF(CONFIG_ASIGNATURAS!$B$7:$B$27,nASIG)&gt;0)*(nNOTA))/SUMPRODUCT((nNIA=S937)*(nCUENTA=1)*(COUNTIF(CONFIG_ASIGNATURAS!$B$7:$B$27,nASIG)&gt;0)*1),"")))</f>
        <v/>
      </c>
      <c r="Z937" t="str">
        <f>IF(Y937="","",IF(Y937="[FÓRMULA MANUAL]","",IFERROR(AVERAGEIFS(nNOTA,nNIA,Y937,nCUENTA,1,nASIG,"Análisis"),"")))</f>
        <v/>
      </c>
      <c r="AA937" t="str">
        <f>IF(Y937="","",IF(Y937="[FÓRMULA MANUAL]","",IFERROR(AVERAGEIFS(nNOTA,nNIA,Y937,nCUENTA,1,nASIG,"Orquesta/Banda/Conjunto"),"")))</f>
        <v/>
      </c>
      <c r="AB937" t="str">
        <f>IF(Y937="","",IF(Y937="[FÓRMULA MANUAL]","",IFERROR(AVERAGEIFS(nNOTA,nNIA,Y937,nCUENTA,1,nASIG,"Música de Cámara"),"")))</f>
        <v/>
      </c>
      <c r="AC937" t="str">
        <f>IF(Y937="","",IF(Y937="[FÓRMULA MANUAL]","",IFERROR(SUMPRODUCT((nNIA=Y937)*(nCUENTA=1)*(COUNTIF(CONFIG_ASIGNATURAS!$B$7:$B$27,nASIG)&gt;0)*(nNOTA))/SUMPRODUCT((nNIA=Y937)*(nCUENTA=1)*(COUNTIF(CONFIG_ASIGNATURAS!$B$7:$B$27,nASIG)&gt;0)*1),"")))</f>
        <v/>
      </c>
      <c r="AF937" t="str">
        <f>IF(AE937="","",IF(AE937="[FÓRMULA MANUAL]","",IFERROR(AVERAGEIFS(nNOTA,nNIA,AE937,nCUENTA,1,nASIG,"Análisis"),"")))</f>
        <v/>
      </c>
      <c r="AG937" t="str">
        <f>IF(AE937="","",IF(AE937="[FÓRMULA MANUAL]","",IFERROR(AVERAGEIFS(nNOTA,nNIA,AE937,nCUENTA,1,nASIG,"Orquesta/Banda/Conjunto"),"")))</f>
        <v/>
      </c>
      <c r="AH937" t="str">
        <f>IF(AE937="","",IF(AE937="[FÓRMULA MANUAL]","",IFERROR(AVERAGEIFS(nNOTA,nNIA,AE937,nCUENTA,1,nASIG,"Música de Cámara"),"")))</f>
        <v/>
      </c>
      <c r="AI937" t="str">
        <f>IF(AE937="","",IF(AE937="[FÓRMULA MANUAL]","",IFERROR(SUMPRODUCT((nNIA=AE937)*(nCUENTA=1)*(COUNTIF(CONFIG_ASIGNATURAS!$B$7:$B$27,nASIG)&gt;0)*(nNOTA))/SUMPRODUCT((nNIA=AE937)*(nCUENTA=1)*(COUNTIF(CONFIG_ASIGNATURAS!$B$7:$B$27,nASIG)&gt;0)*1),"")))</f>
        <v/>
      </c>
    </row>
    <row r="938" spans="2:35" x14ac:dyDescent="0.2">
      <c r="B938" t="str">
        <f>IF(A938="","",IF(A938="[FÓRMULA MANUAL]","",IFERROR(AVERAGEIFS(nNOTA,nNIA,A938,nCUENTA,1,nASIG,"Lenguaje Musical"),"")))</f>
        <v/>
      </c>
      <c r="C938" t="str">
        <f>IF(A938="","",IF(A938="[FÓRMULA MANUAL]","",IFERROR(AVERAGEIFS(nNOTA,nNIA,A938,nCUENTA,1,nASIG,"Orquesta/Banda/Conjunto"),"")))</f>
        <v/>
      </c>
      <c r="D938" t="str">
        <f>IF(A938="","",IF(A938="[FÓRMULA MANUAL]","",IFERROR(AVERAGEIFS(nNOTA,nNIA,A938,nCUENTA,1,nASIG,"Conjunto"),"")))</f>
        <v/>
      </c>
      <c r="E938" t="str">
        <f>IF(A938="","",IF(A938="[FÓRMULA MANUAL]","",IFERROR(SUMPRODUCT((nNIA=A938)*(nCUENTA=1)*(COUNTIF(CONFIG_ASIGNATURAS!$B$7:$B$27,nASIG)&gt;0)*(nNOTA))/SUMPRODUCT((nNIA=A938)*(nCUENTA=1)*(COUNTIF(CONFIG_ASIGNATURAS!$B$7:$B$27,nASIG)&gt;0)*1),"")))</f>
        <v/>
      </c>
      <c r="H938" t="str">
        <f>IF(G938="","",IF(G938="[FÓRMULA MANUAL]","",IFERROR(AVERAGEIFS(nNOTA,nNIA,G938,nCUENTA,1,nASIG,"Lenguaje Musical"),"")))</f>
        <v/>
      </c>
      <c r="I938" t="str">
        <f>IF(G938="","",IF(G938="[FÓRMULA MANUAL]","",IFERROR(AVERAGEIFS(nNOTA,nNIA,G938,nCUENTA,1,nASIG,"Orquesta/Banda/Conjunto"),"")))</f>
        <v/>
      </c>
      <c r="J938" t="str">
        <f>IF(G938="","",IF(G938="[FÓRMULA MANUAL]","",IFERROR(AVERAGEIFS(nNOTA,nNIA,G938,nCUENTA,1,nASIG,"Conjunto"),"")))</f>
        <v/>
      </c>
      <c r="K938" t="str">
        <f>IF(G938="","",IF(G938="[FÓRMULA MANUAL]","",IFERROR(SUMPRODUCT((nNIA=G938)*(nCUENTA=1)*(COUNTIF(CONFIG_ASIGNATURAS!$B$7:$B$27,nASIG)&gt;0)*(nNOTA))/SUMPRODUCT((nNIA=G938)*(nCUENTA=1)*(COUNTIF(CONFIG_ASIGNATURAS!$B$7:$B$27,nASIG)&gt;0)*1),"")))</f>
        <v/>
      </c>
      <c r="N938" t="str">
        <f>IF(M938="","",IF(M938="[FÓRMULA MANUAL]","",IFERROR(AVERAGEIFS(nNOTA,nNIA,M938,nCUENTA,1,nASIG,"Armonía"),"")))</f>
        <v/>
      </c>
      <c r="O938" t="str">
        <f>IF(M938="","",IF(M938="[FÓRMULA MANUAL]","",IFERROR(AVERAGEIFS(nNOTA,nNIA,M938,nCUENTA,1,nASIG,"Orquesta/Banda/Conjunto"),"")))</f>
        <v/>
      </c>
      <c r="P938" t="str">
        <f>IF(M938="","",IF(M938="[FÓRMULA MANUAL]","",IFERROR(AVERAGEIFS(nNOTA,nNIA,M938,nCUENTA,1,nASIG,"Música de Cámara"),"")))</f>
        <v/>
      </c>
      <c r="Q938" t="str">
        <f>IF(M938="","",IF(M938="[FÓRMULA MANUAL]","",IFERROR(SUMPRODUCT((nNIA=M938)*(nCUENTA=1)*(COUNTIF(CONFIG_ASIGNATURAS!$B$7:$B$27,nASIG)&gt;0)*(nNOTA))/SUMPRODUCT((nNIA=M938)*(nCUENTA=1)*(COUNTIF(CONFIG_ASIGNATURAS!$B$7:$B$27,nASIG)&gt;0)*1),"")))</f>
        <v/>
      </c>
      <c r="T938" t="str">
        <f>IF(S938="","",IF(S938="[FÓRMULA MANUAL]","",IFERROR(AVERAGEIFS(nNOTA,nNIA,S938,nCUENTA,1,nASIG,"Armonía"),"")))</f>
        <v/>
      </c>
      <c r="U938" t="str">
        <f>IF(S938="","",IF(S938="[FÓRMULA MANUAL]","",IFERROR(AVERAGEIFS(nNOTA,nNIA,S938,nCUENTA,1,nASIG,"Orquesta/Banda/Conjunto"),"")))</f>
        <v/>
      </c>
      <c r="V938" t="str">
        <f>IF(S938="","",IF(S938="[FÓRMULA MANUAL]","",IFERROR(AVERAGEIFS(nNOTA,nNIA,S938,nCUENTA,1,nASIG,"Música de Cámara"),"")))</f>
        <v/>
      </c>
      <c r="W938" t="str">
        <f>IF(S938="","",IF(S938="[FÓRMULA MANUAL]","",IFERROR(SUMPRODUCT((nNIA=S938)*(nCUENTA=1)*(COUNTIF(CONFIG_ASIGNATURAS!$B$7:$B$27,nASIG)&gt;0)*(nNOTA))/SUMPRODUCT((nNIA=S938)*(nCUENTA=1)*(COUNTIF(CONFIG_ASIGNATURAS!$B$7:$B$27,nASIG)&gt;0)*1),"")))</f>
        <v/>
      </c>
      <c r="Z938" t="str">
        <f>IF(Y938="","",IF(Y938="[FÓRMULA MANUAL]","",IFERROR(AVERAGEIFS(nNOTA,nNIA,Y938,nCUENTA,1,nASIG,"Análisis"),"")))</f>
        <v/>
      </c>
      <c r="AA938" t="str">
        <f>IF(Y938="","",IF(Y938="[FÓRMULA MANUAL]","",IFERROR(AVERAGEIFS(nNOTA,nNIA,Y938,nCUENTA,1,nASIG,"Orquesta/Banda/Conjunto"),"")))</f>
        <v/>
      </c>
      <c r="AB938" t="str">
        <f>IF(Y938="","",IF(Y938="[FÓRMULA MANUAL]","",IFERROR(AVERAGEIFS(nNOTA,nNIA,Y938,nCUENTA,1,nASIG,"Música de Cámara"),"")))</f>
        <v/>
      </c>
      <c r="AC938" t="str">
        <f>IF(Y938="","",IF(Y938="[FÓRMULA MANUAL]","",IFERROR(SUMPRODUCT((nNIA=Y938)*(nCUENTA=1)*(COUNTIF(CONFIG_ASIGNATURAS!$B$7:$B$27,nASIG)&gt;0)*(nNOTA))/SUMPRODUCT((nNIA=Y938)*(nCUENTA=1)*(COUNTIF(CONFIG_ASIGNATURAS!$B$7:$B$27,nASIG)&gt;0)*1),"")))</f>
        <v/>
      </c>
      <c r="AF938" t="str">
        <f>IF(AE938="","",IF(AE938="[FÓRMULA MANUAL]","",IFERROR(AVERAGEIFS(nNOTA,nNIA,AE938,nCUENTA,1,nASIG,"Análisis"),"")))</f>
        <v/>
      </c>
      <c r="AG938" t="str">
        <f>IF(AE938="","",IF(AE938="[FÓRMULA MANUAL]","",IFERROR(AVERAGEIFS(nNOTA,nNIA,AE938,nCUENTA,1,nASIG,"Orquesta/Banda/Conjunto"),"")))</f>
        <v/>
      </c>
      <c r="AH938" t="str">
        <f>IF(AE938="","",IF(AE938="[FÓRMULA MANUAL]","",IFERROR(AVERAGEIFS(nNOTA,nNIA,AE938,nCUENTA,1,nASIG,"Música de Cámara"),"")))</f>
        <v/>
      </c>
      <c r="AI938" t="str">
        <f>IF(AE938="","",IF(AE938="[FÓRMULA MANUAL]","",IFERROR(SUMPRODUCT((nNIA=AE938)*(nCUENTA=1)*(COUNTIF(CONFIG_ASIGNATURAS!$B$7:$B$27,nASIG)&gt;0)*(nNOTA))/SUMPRODUCT((nNIA=AE938)*(nCUENTA=1)*(COUNTIF(CONFIG_ASIGNATURAS!$B$7:$B$27,nASIG)&gt;0)*1),"")))</f>
        <v/>
      </c>
    </row>
    <row r="939" spans="2:35" x14ac:dyDescent="0.2">
      <c r="B939" t="str">
        <f>IF(A939="","",IF(A939="[FÓRMULA MANUAL]","",IFERROR(AVERAGEIFS(nNOTA,nNIA,A939,nCUENTA,1,nASIG,"Lenguaje Musical"),"")))</f>
        <v/>
      </c>
      <c r="C939" t="str">
        <f>IF(A939="","",IF(A939="[FÓRMULA MANUAL]","",IFERROR(AVERAGEIFS(nNOTA,nNIA,A939,nCUENTA,1,nASIG,"Orquesta/Banda/Conjunto"),"")))</f>
        <v/>
      </c>
      <c r="D939" t="str">
        <f>IF(A939="","",IF(A939="[FÓRMULA MANUAL]","",IFERROR(AVERAGEIFS(nNOTA,nNIA,A939,nCUENTA,1,nASIG,"Conjunto"),"")))</f>
        <v/>
      </c>
      <c r="E939" t="str">
        <f>IF(A939="","",IF(A939="[FÓRMULA MANUAL]","",IFERROR(SUMPRODUCT((nNIA=A939)*(nCUENTA=1)*(COUNTIF(CONFIG_ASIGNATURAS!$B$7:$B$27,nASIG)&gt;0)*(nNOTA))/SUMPRODUCT((nNIA=A939)*(nCUENTA=1)*(COUNTIF(CONFIG_ASIGNATURAS!$B$7:$B$27,nASIG)&gt;0)*1),"")))</f>
        <v/>
      </c>
      <c r="H939" t="str">
        <f>IF(G939="","",IF(G939="[FÓRMULA MANUAL]","",IFERROR(AVERAGEIFS(nNOTA,nNIA,G939,nCUENTA,1,nASIG,"Lenguaje Musical"),"")))</f>
        <v/>
      </c>
      <c r="I939" t="str">
        <f>IF(G939="","",IF(G939="[FÓRMULA MANUAL]","",IFERROR(AVERAGEIFS(nNOTA,nNIA,G939,nCUENTA,1,nASIG,"Orquesta/Banda/Conjunto"),"")))</f>
        <v/>
      </c>
      <c r="J939" t="str">
        <f>IF(G939="","",IF(G939="[FÓRMULA MANUAL]","",IFERROR(AVERAGEIFS(nNOTA,nNIA,G939,nCUENTA,1,nASIG,"Conjunto"),"")))</f>
        <v/>
      </c>
      <c r="K939" t="str">
        <f>IF(G939="","",IF(G939="[FÓRMULA MANUAL]","",IFERROR(SUMPRODUCT((nNIA=G939)*(nCUENTA=1)*(COUNTIF(CONFIG_ASIGNATURAS!$B$7:$B$27,nASIG)&gt;0)*(nNOTA))/SUMPRODUCT((nNIA=G939)*(nCUENTA=1)*(COUNTIF(CONFIG_ASIGNATURAS!$B$7:$B$27,nASIG)&gt;0)*1),"")))</f>
        <v/>
      </c>
      <c r="N939" t="str">
        <f>IF(M939="","",IF(M939="[FÓRMULA MANUAL]","",IFERROR(AVERAGEIFS(nNOTA,nNIA,M939,nCUENTA,1,nASIG,"Armonía"),"")))</f>
        <v/>
      </c>
      <c r="O939" t="str">
        <f>IF(M939="","",IF(M939="[FÓRMULA MANUAL]","",IFERROR(AVERAGEIFS(nNOTA,nNIA,M939,nCUENTA,1,nASIG,"Orquesta/Banda/Conjunto"),"")))</f>
        <v/>
      </c>
      <c r="P939" t="str">
        <f>IF(M939="","",IF(M939="[FÓRMULA MANUAL]","",IFERROR(AVERAGEIFS(nNOTA,nNIA,M939,nCUENTA,1,nASIG,"Música de Cámara"),"")))</f>
        <v/>
      </c>
      <c r="Q939" t="str">
        <f>IF(M939="","",IF(M939="[FÓRMULA MANUAL]","",IFERROR(SUMPRODUCT((nNIA=M939)*(nCUENTA=1)*(COUNTIF(CONFIG_ASIGNATURAS!$B$7:$B$27,nASIG)&gt;0)*(nNOTA))/SUMPRODUCT((nNIA=M939)*(nCUENTA=1)*(COUNTIF(CONFIG_ASIGNATURAS!$B$7:$B$27,nASIG)&gt;0)*1),"")))</f>
        <v/>
      </c>
      <c r="T939" t="str">
        <f>IF(S939="","",IF(S939="[FÓRMULA MANUAL]","",IFERROR(AVERAGEIFS(nNOTA,nNIA,S939,nCUENTA,1,nASIG,"Armonía"),"")))</f>
        <v/>
      </c>
      <c r="U939" t="str">
        <f>IF(S939="","",IF(S939="[FÓRMULA MANUAL]","",IFERROR(AVERAGEIFS(nNOTA,nNIA,S939,nCUENTA,1,nASIG,"Orquesta/Banda/Conjunto"),"")))</f>
        <v/>
      </c>
      <c r="V939" t="str">
        <f>IF(S939="","",IF(S939="[FÓRMULA MANUAL]","",IFERROR(AVERAGEIFS(nNOTA,nNIA,S939,nCUENTA,1,nASIG,"Música de Cámara"),"")))</f>
        <v/>
      </c>
      <c r="W939" t="str">
        <f>IF(S939="","",IF(S939="[FÓRMULA MANUAL]","",IFERROR(SUMPRODUCT((nNIA=S939)*(nCUENTA=1)*(COUNTIF(CONFIG_ASIGNATURAS!$B$7:$B$27,nASIG)&gt;0)*(nNOTA))/SUMPRODUCT((nNIA=S939)*(nCUENTA=1)*(COUNTIF(CONFIG_ASIGNATURAS!$B$7:$B$27,nASIG)&gt;0)*1),"")))</f>
        <v/>
      </c>
      <c r="Z939" t="str">
        <f>IF(Y939="","",IF(Y939="[FÓRMULA MANUAL]","",IFERROR(AVERAGEIFS(nNOTA,nNIA,Y939,nCUENTA,1,nASIG,"Análisis"),"")))</f>
        <v/>
      </c>
      <c r="AA939" t="str">
        <f>IF(Y939="","",IF(Y939="[FÓRMULA MANUAL]","",IFERROR(AVERAGEIFS(nNOTA,nNIA,Y939,nCUENTA,1,nASIG,"Orquesta/Banda/Conjunto"),"")))</f>
        <v/>
      </c>
      <c r="AB939" t="str">
        <f>IF(Y939="","",IF(Y939="[FÓRMULA MANUAL]","",IFERROR(AVERAGEIFS(nNOTA,nNIA,Y939,nCUENTA,1,nASIG,"Música de Cámara"),"")))</f>
        <v/>
      </c>
      <c r="AC939" t="str">
        <f>IF(Y939="","",IF(Y939="[FÓRMULA MANUAL]","",IFERROR(SUMPRODUCT((nNIA=Y939)*(nCUENTA=1)*(COUNTIF(CONFIG_ASIGNATURAS!$B$7:$B$27,nASIG)&gt;0)*(nNOTA))/SUMPRODUCT((nNIA=Y939)*(nCUENTA=1)*(COUNTIF(CONFIG_ASIGNATURAS!$B$7:$B$27,nASIG)&gt;0)*1),"")))</f>
        <v/>
      </c>
      <c r="AF939" t="str">
        <f>IF(AE939="","",IF(AE939="[FÓRMULA MANUAL]","",IFERROR(AVERAGEIFS(nNOTA,nNIA,AE939,nCUENTA,1,nASIG,"Análisis"),"")))</f>
        <v/>
      </c>
      <c r="AG939" t="str">
        <f>IF(AE939="","",IF(AE939="[FÓRMULA MANUAL]","",IFERROR(AVERAGEIFS(nNOTA,nNIA,AE939,nCUENTA,1,nASIG,"Orquesta/Banda/Conjunto"),"")))</f>
        <v/>
      </c>
      <c r="AH939" t="str">
        <f>IF(AE939="","",IF(AE939="[FÓRMULA MANUAL]","",IFERROR(AVERAGEIFS(nNOTA,nNIA,AE939,nCUENTA,1,nASIG,"Música de Cámara"),"")))</f>
        <v/>
      </c>
      <c r="AI939" t="str">
        <f>IF(AE939="","",IF(AE939="[FÓRMULA MANUAL]","",IFERROR(SUMPRODUCT((nNIA=AE939)*(nCUENTA=1)*(COUNTIF(CONFIG_ASIGNATURAS!$B$7:$B$27,nASIG)&gt;0)*(nNOTA))/SUMPRODUCT((nNIA=AE939)*(nCUENTA=1)*(COUNTIF(CONFIG_ASIGNATURAS!$B$7:$B$27,nASIG)&gt;0)*1),"")))</f>
        <v/>
      </c>
    </row>
    <row r="940" spans="2:35" x14ac:dyDescent="0.2">
      <c r="B940" t="str">
        <f>IF(A940="","",IF(A940="[FÓRMULA MANUAL]","",IFERROR(AVERAGEIFS(nNOTA,nNIA,A940,nCUENTA,1,nASIG,"Lenguaje Musical"),"")))</f>
        <v/>
      </c>
      <c r="C940" t="str">
        <f>IF(A940="","",IF(A940="[FÓRMULA MANUAL]","",IFERROR(AVERAGEIFS(nNOTA,nNIA,A940,nCUENTA,1,nASIG,"Orquesta/Banda/Conjunto"),"")))</f>
        <v/>
      </c>
      <c r="D940" t="str">
        <f>IF(A940="","",IF(A940="[FÓRMULA MANUAL]","",IFERROR(AVERAGEIFS(nNOTA,nNIA,A940,nCUENTA,1,nASIG,"Conjunto"),"")))</f>
        <v/>
      </c>
      <c r="E940" t="str">
        <f>IF(A940="","",IF(A940="[FÓRMULA MANUAL]","",IFERROR(SUMPRODUCT((nNIA=A940)*(nCUENTA=1)*(COUNTIF(CONFIG_ASIGNATURAS!$B$7:$B$27,nASIG)&gt;0)*(nNOTA))/SUMPRODUCT((nNIA=A940)*(nCUENTA=1)*(COUNTIF(CONFIG_ASIGNATURAS!$B$7:$B$27,nASIG)&gt;0)*1),"")))</f>
        <v/>
      </c>
      <c r="H940" t="str">
        <f>IF(G940="","",IF(G940="[FÓRMULA MANUAL]","",IFERROR(AVERAGEIFS(nNOTA,nNIA,G940,nCUENTA,1,nASIG,"Lenguaje Musical"),"")))</f>
        <v/>
      </c>
      <c r="I940" t="str">
        <f>IF(G940="","",IF(G940="[FÓRMULA MANUAL]","",IFERROR(AVERAGEIFS(nNOTA,nNIA,G940,nCUENTA,1,nASIG,"Orquesta/Banda/Conjunto"),"")))</f>
        <v/>
      </c>
      <c r="J940" t="str">
        <f>IF(G940="","",IF(G940="[FÓRMULA MANUAL]","",IFERROR(AVERAGEIFS(nNOTA,nNIA,G940,nCUENTA,1,nASIG,"Conjunto"),"")))</f>
        <v/>
      </c>
      <c r="K940" t="str">
        <f>IF(G940="","",IF(G940="[FÓRMULA MANUAL]","",IFERROR(SUMPRODUCT((nNIA=G940)*(nCUENTA=1)*(COUNTIF(CONFIG_ASIGNATURAS!$B$7:$B$27,nASIG)&gt;0)*(nNOTA))/SUMPRODUCT((nNIA=G940)*(nCUENTA=1)*(COUNTIF(CONFIG_ASIGNATURAS!$B$7:$B$27,nASIG)&gt;0)*1),"")))</f>
        <v/>
      </c>
      <c r="N940" t="str">
        <f>IF(M940="","",IF(M940="[FÓRMULA MANUAL]","",IFERROR(AVERAGEIFS(nNOTA,nNIA,M940,nCUENTA,1,nASIG,"Armonía"),"")))</f>
        <v/>
      </c>
      <c r="O940" t="str">
        <f>IF(M940="","",IF(M940="[FÓRMULA MANUAL]","",IFERROR(AVERAGEIFS(nNOTA,nNIA,M940,nCUENTA,1,nASIG,"Orquesta/Banda/Conjunto"),"")))</f>
        <v/>
      </c>
      <c r="P940" t="str">
        <f>IF(M940="","",IF(M940="[FÓRMULA MANUAL]","",IFERROR(AVERAGEIFS(nNOTA,nNIA,M940,nCUENTA,1,nASIG,"Música de Cámara"),"")))</f>
        <v/>
      </c>
      <c r="Q940" t="str">
        <f>IF(M940="","",IF(M940="[FÓRMULA MANUAL]","",IFERROR(SUMPRODUCT((nNIA=M940)*(nCUENTA=1)*(COUNTIF(CONFIG_ASIGNATURAS!$B$7:$B$27,nASIG)&gt;0)*(nNOTA))/SUMPRODUCT((nNIA=M940)*(nCUENTA=1)*(COUNTIF(CONFIG_ASIGNATURAS!$B$7:$B$27,nASIG)&gt;0)*1),"")))</f>
        <v/>
      </c>
      <c r="T940" t="str">
        <f>IF(S940="","",IF(S940="[FÓRMULA MANUAL]","",IFERROR(AVERAGEIFS(nNOTA,nNIA,S940,nCUENTA,1,nASIG,"Armonía"),"")))</f>
        <v/>
      </c>
      <c r="U940" t="str">
        <f>IF(S940="","",IF(S940="[FÓRMULA MANUAL]","",IFERROR(AVERAGEIFS(nNOTA,nNIA,S940,nCUENTA,1,nASIG,"Orquesta/Banda/Conjunto"),"")))</f>
        <v/>
      </c>
      <c r="V940" t="str">
        <f>IF(S940="","",IF(S940="[FÓRMULA MANUAL]","",IFERROR(AVERAGEIFS(nNOTA,nNIA,S940,nCUENTA,1,nASIG,"Música de Cámara"),"")))</f>
        <v/>
      </c>
      <c r="W940" t="str">
        <f>IF(S940="","",IF(S940="[FÓRMULA MANUAL]","",IFERROR(SUMPRODUCT((nNIA=S940)*(nCUENTA=1)*(COUNTIF(CONFIG_ASIGNATURAS!$B$7:$B$27,nASIG)&gt;0)*(nNOTA))/SUMPRODUCT((nNIA=S940)*(nCUENTA=1)*(COUNTIF(CONFIG_ASIGNATURAS!$B$7:$B$27,nASIG)&gt;0)*1),"")))</f>
        <v/>
      </c>
      <c r="Z940" t="str">
        <f>IF(Y940="","",IF(Y940="[FÓRMULA MANUAL]","",IFERROR(AVERAGEIFS(nNOTA,nNIA,Y940,nCUENTA,1,nASIG,"Análisis"),"")))</f>
        <v/>
      </c>
      <c r="AA940" t="str">
        <f>IF(Y940="","",IF(Y940="[FÓRMULA MANUAL]","",IFERROR(AVERAGEIFS(nNOTA,nNIA,Y940,nCUENTA,1,nASIG,"Orquesta/Banda/Conjunto"),"")))</f>
        <v/>
      </c>
      <c r="AB940" t="str">
        <f>IF(Y940="","",IF(Y940="[FÓRMULA MANUAL]","",IFERROR(AVERAGEIFS(nNOTA,nNIA,Y940,nCUENTA,1,nASIG,"Música de Cámara"),"")))</f>
        <v/>
      </c>
      <c r="AC940" t="str">
        <f>IF(Y940="","",IF(Y940="[FÓRMULA MANUAL]","",IFERROR(SUMPRODUCT((nNIA=Y940)*(nCUENTA=1)*(COUNTIF(CONFIG_ASIGNATURAS!$B$7:$B$27,nASIG)&gt;0)*(nNOTA))/SUMPRODUCT((nNIA=Y940)*(nCUENTA=1)*(COUNTIF(CONFIG_ASIGNATURAS!$B$7:$B$27,nASIG)&gt;0)*1),"")))</f>
        <v/>
      </c>
      <c r="AF940" t="str">
        <f>IF(AE940="","",IF(AE940="[FÓRMULA MANUAL]","",IFERROR(AVERAGEIFS(nNOTA,nNIA,AE940,nCUENTA,1,nASIG,"Análisis"),"")))</f>
        <v/>
      </c>
      <c r="AG940" t="str">
        <f>IF(AE940="","",IF(AE940="[FÓRMULA MANUAL]","",IFERROR(AVERAGEIFS(nNOTA,nNIA,AE940,nCUENTA,1,nASIG,"Orquesta/Banda/Conjunto"),"")))</f>
        <v/>
      </c>
      <c r="AH940" t="str">
        <f>IF(AE940="","",IF(AE940="[FÓRMULA MANUAL]","",IFERROR(AVERAGEIFS(nNOTA,nNIA,AE940,nCUENTA,1,nASIG,"Música de Cámara"),"")))</f>
        <v/>
      </c>
      <c r="AI940" t="str">
        <f>IF(AE940="","",IF(AE940="[FÓRMULA MANUAL]","",IFERROR(SUMPRODUCT((nNIA=AE940)*(nCUENTA=1)*(COUNTIF(CONFIG_ASIGNATURAS!$B$7:$B$27,nASIG)&gt;0)*(nNOTA))/SUMPRODUCT((nNIA=AE940)*(nCUENTA=1)*(COUNTIF(CONFIG_ASIGNATURAS!$B$7:$B$27,nASIG)&gt;0)*1),"")))</f>
        <v/>
      </c>
    </row>
    <row r="941" spans="2:35" x14ac:dyDescent="0.2">
      <c r="B941" t="str">
        <f>IF(A941="","",IF(A941="[FÓRMULA MANUAL]","",IFERROR(AVERAGEIFS(nNOTA,nNIA,A941,nCUENTA,1,nASIG,"Lenguaje Musical"),"")))</f>
        <v/>
      </c>
      <c r="C941" t="str">
        <f>IF(A941="","",IF(A941="[FÓRMULA MANUAL]","",IFERROR(AVERAGEIFS(nNOTA,nNIA,A941,nCUENTA,1,nASIG,"Orquesta/Banda/Conjunto"),"")))</f>
        <v/>
      </c>
      <c r="D941" t="str">
        <f>IF(A941="","",IF(A941="[FÓRMULA MANUAL]","",IFERROR(AVERAGEIFS(nNOTA,nNIA,A941,nCUENTA,1,nASIG,"Conjunto"),"")))</f>
        <v/>
      </c>
      <c r="E941" t="str">
        <f>IF(A941="","",IF(A941="[FÓRMULA MANUAL]","",IFERROR(SUMPRODUCT((nNIA=A941)*(nCUENTA=1)*(COUNTIF(CONFIG_ASIGNATURAS!$B$7:$B$27,nASIG)&gt;0)*(nNOTA))/SUMPRODUCT((nNIA=A941)*(nCUENTA=1)*(COUNTIF(CONFIG_ASIGNATURAS!$B$7:$B$27,nASIG)&gt;0)*1),"")))</f>
        <v/>
      </c>
      <c r="H941" t="str">
        <f>IF(G941="","",IF(G941="[FÓRMULA MANUAL]","",IFERROR(AVERAGEIFS(nNOTA,nNIA,G941,nCUENTA,1,nASIG,"Lenguaje Musical"),"")))</f>
        <v/>
      </c>
      <c r="I941" t="str">
        <f>IF(G941="","",IF(G941="[FÓRMULA MANUAL]","",IFERROR(AVERAGEIFS(nNOTA,nNIA,G941,nCUENTA,1,nASIG,"Orquesta/Banda/Conjunto"),"")))</f>
        <v/>
      </c>
      <c r="J941" t="str">
        <f>IF(G941="","",IF(G941="[FÓRMULA MANUAL]","",IFERROR(AVERAGEIFS(nNOTA,nNIA,G941,nCUENTA,1,nASIG,"Conjunto"),"")))</f>
        <v/>
      </c>
      <c r="K941" t="str">
        <f>IF(G941="","",IF(G941="[FÓRMULA MANUAL]","",IFERROR(SUMPRODUCT((nNIA=G941)*(nCUENTA=1)*(COUNTIF(CONFIG_ASIGNATURAS!$B$7:$B$27,nASIG)&gt;0)*(nNOTA))/SUMPRODUCT((nNIA=G941)*(nCUENTA=1)*(COUNTIF(CONFIG_ASIGNATURAS!$B$7:$B$27,nASIG)&gt;0)*1),"")))</f>
        <v/>
      </c>
      <c r="N941" t="str">
        <f>IF(M941="","",IF(M941="[FÓRMULA MANUAL]","",IFERROR(AVERAGEIFS(nNOTA,nNIA,M941,nCUENTA,1,nASIG,"Armonía"),"")))</f>
        <v/>
      </c>
      <c r="O941" t="str">
        <f>IF(M941="","",IF(M941="[FÓRMULA MANUAL]","",IFERROR(AVERAGEIFS(nNOTA,nNIA,M941,nCUENTA,1,nASIG,"Orquesta/Banda/Conjunto"),"")))</f>
        <v/>
      </c>
      <c r="P941" t="str">
        <f>IF(M941="","",IF(M941="[FÓRMULA MANUAL]","",IFERROR(AVERAGEIFS(nNOTA,nNIA,M941,nCUENTA,1,nASIG,"Música de Cámara"),"")))</f>
        <v/>
      </c>
      <c r="Q941" t="str">
        <f>IF(M941="","",IF(M941="[FÓRMULA MANUAL]","",IFERROR(SUMPRODUCT((nNIA=M941)*(nCUENTA=1)*(COUNTIF(CONFIG_ASIGNATURAS!$B$7:$B$27,nASIG)&gt;0)*(nNOTA))/SUMPRODUCT((nNIA=M941)*(nCUENTA=1)*(COUNTIF(CONFIG_ASIGNATURAS!$B$7:$B$27,nASIG)&gt;0)*1),"")))</f>
        <v/>
      </c>
      <c r="T941" t="str">
        <f>IF(S941="","",IF(S941="[FÓRMULA MANUAL]","",IFERROR(AVERAGEIFS(nNOTA,nNIA,S941,nCUENTA,1,nASIG,"Armonía"),"")))</f>
        <v/>
      </c>
      <c r="U941" t="str">
        <f>IF(S941="","",IF(S941="[FÓRMULA MANUAL]","",IFERROR(AVERAGEIFS(nNOTA,nNIA,S941,nCUENTA,1,nASIG,"Orquesta/Banda/Conjunto"),"")))</f>
        <v/>
      </c>
      <c r="V941" t="str">
        <f>IF(S941="","",IF(S941="[FÓRMULA MANUAL]","",IFERROR(AVERAGEIFS(nNOTA,nNIA,S941,nCUENTA,1,nASIG,"Música de Cámara"),"")))</f>
        <v/>
      </c>
      <c r="W941" t="str">
        <f>IF(S941="","",IF(S941="[FÓRMULA MANUAL]","",IFERROR(SUMPRODUCT((nNIA=S941)*(nCUENTA=1)*(COUNTIF(CONFIG_ASIGNATURAS!$B$7:$B$27,nASIG)&gt;0)*(nNOTA))/SUMPRODUCT((nNIA=S941)*(nCUENTA=1)*(COUNTIF(CONFIG_ASIGNATURAS!$B$7:$B$27,nASIG)&gt;0)*1),"")))</f>
        <v/>
      </c>
      <c r="Z941" t="str">
        <f>IF(Y941="","",IF(Y941="[FÓRMULA MANUAL]","",IFERROR(AVERAGEIFS(nNOTA,nNIA,Y941,nCUENTA,1,nASIG,"Análisis"),"")))</f>
        <v/>
      </c>
      <c r="AA941" t="str">
        <f>IF(Y941="","",IF(Y941="[FÓRMULA MANUAL]","",IFERROR(AVERAGEIFS(nNOTA,nNIA,Y941,nCUENTA,1,nASIG,"Orquesta/Banda/Conjunto"),"")))</f>
        <v/>
      </c>
      <c r="AB941" t="str">
        <f>IF(Y941="","",IF(Y941="[FÓRMULA MANUAL]","",IFERROR(AVERAGEIFS(nNOTA,nNIA,Y941,nCUENTA,1,nASIG,"Música de Cámara"),"")))</f>
        <v/>
      </c>
      <c r="AC941" t="str">
        <f>IF(Y941="","",IF(Y941="[FÓRMULA MANUAL]","",IFERROR(SUMPRODUCT((nNIA=Y941)*(nCUENTA=1)*(COUNTIF(CONFIG_ASIGNATURAS!$B$7:$B$27,nASIG)&gt;0)*(nNOTA))/SUMPRODUCT((nNIA=Y941)*(nCUENTA=1)*(COUNTIF(CONFIG_ASIGNATURAS!$B$7:$B$27,nASIG)&gt;0)*1),"")))</f>
        <v/>
      </c>
      <c r="AF941" t="str">
        <f>IF(AE941="","",IF(AE941="[FÓRMULA MANUAL]","",IFERROR(AVERAGEIFS(nNOTA,nNIA,AE941,nCUENTA,1,nASIG,"Análisis"),"")))</f>
        <v/>
      </c>
      <c r="AG941" t="str">
        <f>IF(AE941="","",IF(AE941="[FÓRMULA MANUAL]","",IFERROR(AVERAGEIFS(nNOTA,nNIA,AE941,nCUENTA,1,nASIG,"Orquesta/Banda/Conjunto"),"")))</f>
        <v/>
      </c>
      <c r="AH941" t="str">
        <f>IF(AE941="","",IF(AE941="[FÓRMULA MANUAL]","",IFERROR(AVERAGEIFS(nNOTA,nNIA,AE941,nCUENTA,1,nASIG,"Música de Cámara"),"")))</f>
        <v/>
      </c>
      <c r="AI941" t="str">
        <f>IF(AE941="","",IF(AE941="[FÓRMULA MANUAL]","",IFERROR(SUMPRODUCT((nNIA=AE941)*(nCUENTA=1)*(COUNTIF(CONFIG_ASIGNATURAS!$B$7:$B$27,nASIG)&gt;0)*(nNOTA))/SUMPRODUCT((nNIA=AE941)*(nCUENTA=1)*(COUNTIF(CONFIG_ASIGNATURAS!$B$7:$B$27,nASIG)&gt;0)*1),"")))</f>
        <v/>
      </c>
    </row>
    <row r="942" spans="2:35" x14ac:dyDescent="0.2">
      <c r="B942" t="str">
        <f>IF(A942="","",IF(A942="[FÓRMULA MANUAL]","",IFERROR(AVERAGEIFS(nNOTA,nNIA,A942,nCUENTA,1,nASIG,"Lenguaje Musical"),"")))</f>
        <v/>
      </c>
      <c r="C942" t="str">
        <f>IF(A942="","",IF(A942="[FÓRMULA MANUAL]","",IFERROR(AVERAGEIFS(nNOTA,nNIA,A942,nCUENTA,1,nASIG,"Orquesta/Banda/Conjunto"),"")))</f>
        <v/>
      </c>
      <c r="D942" t="str">
        <f>IF(A942="","",IF(A942="[FÓRMULA MANUAL]","",IFERROR(AVERAGEIFS(nNOTA,nNIA,A942,nCUENTA,1,nASIG,"Conjunto"),"")))</f>
        <v/>
      </c>
      <c r="E942" t="str">
        <f>IF(A942="","",IF(A942="[FÓRMULA MANUAL]","",IFERROR(SUMPRODUCT((nNIA=A942)*(nCUENTA=1)*(COUNTIF(CONFIG_ASIGNATURAS!$B$7:$B$27,nASIG)&gt;0)*(nNOTA))/SUMPRODUCT((nNIA=A942)*(nCUENTA=1)*(COUNTIF(CONFIG_ASIGNATURAS!$B$7:$B$27,nASIG)&gt;0)*1),"")))</f>
        <v/>
      </c>
      <c r="H942" t="str">
        <f>IF(G942="","",IF(G942="[FÓRMULA MANUAL]","",IFERROR(AVERAGEIFS(nNOTA,nNIA,G942,nCUENTA,1,nASIG,"Lenguaje Musical"),"")))</f>
        <v/>
      </c>
      <c r="I942" t="str">
        <f>IF(G942="","",IF(G942="[FÓRMULA MANUAL]","",IFERROR(AVERAGEIFS(nNOTA,nNIA,G942,nCUENTA,1,nASIG,"Orquesta/Banda/Conjunto"),"")))</f>
        <v/>
      </c>
      <c r="J942" t="str">
        <f>IF(G942="","",IF(G942="[FÓRMULA MANUAL]","",IFERROR(AVERAGEIFS(nNOTA,nNIA,G942,nCUENTA,1,nASIG,"Conjunto"),"")))</f>
        <v/>
      </c>
      <c r="K942" t="str">
        <f>IF(G942="","",IF(G942="[FÓRMULA MANUAL]","",IFERROR(SUMPRODUCT((nNIA=G942)*(nCUENTA=1)*(COUNTIF(CONFIG_ASIGNATURAS!$B$7:$B$27,nASIG)&gt;0)*(nNOTA))/SUMPRODUCT((nNIA=G942)*(nCUENTA=1)*(COUNTIF(CONFIG_ASIGNATURAS!$B$7:$B$27,nASIG)&gt;0)*1),"")))</f>
        <v/>
      </c>
      <c r="N942" t="str">
        <f>IF(M942="","",IF(M942="[FÓRMULA MANUAL]","",IFERROR(AVERAGEIFS(nNOTA,nNIA,M942,nCUENTA,1,nASIG,"Armonía"),"")))</f>
        <v/>
      </c>
      <c r="O942" t="str">
        <f>IF(M942="","",IF(M942="[FÓRMULA MANUAL]","",IFERROR(AVERAGEIFS(nNOTA,nNIA,M942,nCUENTA,1,nASIG,"Orquesta/Banda/Conjunto"),"")))</f>
        <v/>
      </c>
      <c r="P942" t="str">
        <f>IF(M942="","",IF(M942="[FÓRMULA MANUAL]","",IFERROR(AVERAGEIFS(nNOTA,nNIA,M942,nCUENTA,1,nASIG,"Música de Cámara"),"")))</f>
        <v/>
      </c>
      <c r="Q942" t="str">
        <f>IF(M942="","",IF(M942="[FÓRMULA MANUAL]","",IFERROR(SUMPRODUCT((nNIA=M942)*(nCUENTA=1)*(COUNTIF(CONFIG_ASIGNATURAS!$B$7:$B$27,nASIG)&gt;0)*(nNOTA))/SUMPRODUCT((nNIA=M942)*(nCUENTA=1)*(COUNTIF(CONFIG_ASIGNATURAS!$B$7:$B$27,nASIG)&gt;0)*1),"")))</f>
        <v/>
      </c>
      <c r="T942" t="str">
        <f>IF(S942="","",IF(S942="[FÓRMULA MANUAL]","",IFERROR(AVERAGEIFS(nNOTA,nNIA,S942,nCUENTA,1,nASIG,"Armonía"),"")))</f>
        <v/>
      </c>
      <c r="U942" t="str">
        <f>IF(S942="","",IF(S942="[FÓRMULA MANUAL]","",IFERROR(AVERAGEIFS(nNOTA,nNIA,S942,nCUENTA,1,nASIG,"Orquesta/Banda/Conjunto"),"")))</f>
        <v/>
      </c>
      <c r="V942" t="str">
        <f>IF(S942="","",IF(S942="[FÓRMULA MANUAL]","",IFERROR(AVERAGEIFS(nNOTA,nNIA,S942,nCUENTA,1,nASIG,"Música de Cámara"),"")))</f>
        <v/>
      </c>
      <c r="W942" t="str">
        <f>IF(S942="","",IF(S942="[FÓRMULA MANUAL]","",IFERROR(SUMPRODUCT((nNIA=S942)*(nCUENTA=1)*(COUNTIF(CONFIG_ASIGNATURAS!$B$7:$B$27,nASIG)&gt;0)*(nNOTA))/SUMPRODUCT((nNIA=S942)*(nCUENTA=1)*(COUNTIF(CONFIG_ASIGNATURAS!$B$7:$B$27,nASIG)&gt;0)*1),"")))</f>
        <v/>
      </c>
      <c r="Z942" t="str">
        <f>IF(Y942="","",IF(Y942="[FÓRMULA MANUAL]","",IFERROR(AVERAGEIFS(nNOTA,nNIA,Y942,nCUENTA,1,nASIG,"Análisis"),"")))</f>
        <v/>
      </c>
      <c r="AA942" t="str">
        <f>IF(Y942="","",IF(Y942="[FÓRMULA MANUAL]","",IFERROR(AVERAGEIFS(nNOTA,nNIA,Y942,nCUENTA,1,nASIG,"Orquesta/Banda/Conjunto"),"")))</f>
        <v/>
      </c>
      <c r="AB942" t="str">
        <f>IF(Y942="","",IF(Y942="[FÓRMULA MANUAL]","",IFERROR(AVERAGEIFS(nNOTA,nNIA,Y942,nCUENTA,1,nASIG,"Música de Cámara"),"")))</f>
        <v/>
      </c>
      <c r="AC942" t="str">
        <f>IF(Y942="","",IF(Y942="[FÓRMULA MANUAL]","",IFERROR(SUMPRODUCT((nNIA=Y942)*(nCUENTA=1)*(COUNTIF(CONFIG_ASIGNATURAS!$B$7:$B$27,nASIG)&gt;0)*(nNOTA))/SUMPRODUCT((nNIA=Y942)*(nCUENTA=1)*(COUNTIF(CONFIG_ASIGNATURAS!$B$7:$B$27,nASIG)&gt;0)*1),"")))</f>
        <v/>
      </c>
      <c r="AF942" t="str">
        <f>IF(AE942="","",IF(AE942="[FÓRMULA MANUAL]","",IFERROR(AVERAGEIFS(nNOTA,nNIA,AE942,nCUENTA,1,nASIG,"Análisis"),"")))</f>
        <v/>
      </c>
      <c r="AG942" t="str">
        <f>IF(AE942="","",IF(AE942="[FÓRMULA MANUAL]","",IFERROR(AVERAGEIFS(nNOTA,nNIA,AE942,nCUENTA,1,nASIG,"Orquesta/Banda/Conjunto"),"")))</f>
        <v/>
      </c>
      <c r="AH942" t="str">
        <f>IF(AE942="","",IF(AE942="[FÓRMULA MANUAL]","",IFERROR(AVERAGEIFS(nNOTA,nNIA,AE942,nCUENTA,1,nASIG,"Música de Cámara"),"")))</f>
        <v/>
      </c>
      <c r="AI942" t="str">
        <f>IF(AE942="","",IF(AE942="[FÓRMULA MANUAL]","",IFERROR(SUMPRODUCT((nNIA=AE942)*(nCUENTA=1)*(COUNTIF(CONFIG_ASIGNATURAS!$B$7:$B$27,nASIG)&gt;0)*(nNOTA))/SUMPRODUCT((nNIA=AE942)*(nCUENTA=1)*(COUNTIF(CONFIG_ASIGNATURAS!$B$7:$B$27,nASIG)&gt;0)*1),"")))</f>
        <v/>
      </c>
    </row>
    <row r="943" spans="2:35" x14ac:dyDescent="0.2">
      <c r="B943" t="str">
        <f>IF(A943="","",IF(A943="[FÓRMULA MANUAL]","",IFERROR(AVERAGEIFS(nNOTA,nNIA,A943,nCUENTA,1,nASIG,"Lenguaje Musical"),"")))</f>
        <v/>
      </c>
      <c r="C943" t="str">
        <f>IF(A943="","",IF(A943="[FÓRMULA MANUAL]","",IFERROR(AVERAGEIFS(nNOTA,nNIA,A943,nCUENTA,1,nASIG,"Orquesta/Banda/Conjunto"),"")))</f>
        <v/>
      </c>
      <c r="D943" t="str">
        <f>IF(A943="","",IF(A943="[FÓRMULA MANUAL]","",IFERROR(AVERAGEIFS(nNOTA,nNIA,A943,nCUENTA,1,nASIG,"Conjunto"),"")))</f>
        <v/>
      </c>
      <c r="E943" t="str">
        <f>IF(A943="","",IF(A943="[FÓRMULA MANUAL]","",IFERROR(SUMPRODUCT((nNIA=A943)*(nCUENTA=1)*(COUNTIF(CONFIG_ASIGNATURAS!$B$7:$B$27,nASIG)&gt;0)*(nNOTA))/SUMPRODUCT((nNIA=A943)*(nCUENTA=1)*(COUNTIF(CONFIG_ASIGNATURAS!$B$7:$B$27,nASIG)&gt;0)*1),"")))</f>
        <v/>
      </c>
      <c r="H943" t="str">
        <f>IF(G943="","",IF(G943="[FÓRMULA MANUAL]","",IFERROR(AVERAGEIFS(nNOTA,nNIA,G943,nCUENTA,1,nASIG,"Lenguaje Musical"),"")))</f>
        <v/>
      </c>
      <c r="I943" t="str">
        <f>IF(G943="","",IF(G943="[FÓRMULA MANUAL]","",IFERROR(AVERAGEIFS(nNOTA,nNIA,G943,nCUENTA,1,nASIG,"Orquesta/Banda/Conjunto"),"")))</f>
        <v/>
      </c>
      <c r="J943" t="str">
        <f>IF(G943="","",IF(G943="[FÓRMULA MANUAL]","",IFERROR(AVERAGEIFS(nNOTA,nNIA,G943,nCUENTA,1,nASIG,"Conjunto"),"")))</f>
        <v/>
      </c>
      <c r="K943" t="str">
        <f>IF(G943="","",IF(G943="[FÓRMULA MANUAL]","",IFERROR(SUMPRODUCT((nNIA=G943)*(nCUENTA=1)*(COUNTIF(CONFIG_ASIGNATURAS!$B$7:$B$27,nASIG)&gt;0)*(nNOTA))/SUMPRODUCT((nNIA=G943)*(nCUENTA=1)*(COUNTIF(CONFIG_ASIGNATURAS!$B$7:$B$27,nASIG)&gt;0)*1),"")))</f>
        <v/>
      </c>
      <c r="N943" t="str">
        <f>IF(M943="","",IF(M943="[FÓRMULA MANUAL]","",IFERROR(AVERAGEIFS(nNOTA,nNIA,M943,nCUENTA,1,nASIG,"Armonía"),"")))</f>
        <v/>
      </c>
      <c r="O943" t="str">
        <f>IF(M943="","",IF(M943="[FÓRMULA MANUAL]","",IFERROR(AVERAGEIFS(nNOTA,nNIA,M943,nCUENTA,1,nASIG,"Orquesta/Banda/Conjunto"),"")))</f>
        <v/>
      </c>
      <c r="P943" t="str">
        <f>IF(M943="","",IF(M943="[FÓRMULA MANUAL]","",IFERROR(AVERAGEIFS(nNOTA,nNIA,M943,nCUENTA,1,nASIG,"Música de Cámara"),"")))</f>
        <v/>
      </c>
      <c r="Q943" t="str">
        <f>IF(M943="","",IF(M943="[FÓRMULA MANUAL]","",IFERROR(SUMPRODUCT((nNIA=M943)*(nCUENTA=1)*(COUNTIF(CONFIG_ASIGNATURAS!$B$7:$B$27,nASIG)&gt;0)*(nNOTA))/SUMPRODUCT((nNIA=M943)*(nCUENTA=1)*(COUNTIF(CONFIG_ASIGNATURAS!$B$7:$B$27,nASIG)&gt;0)*1),"")))</f>
        <v/>
      </c>
      <c r="T943" t="str">
        <f>IF(S943="","",IF(S943="[FÓRMULA MANUAL]","",IFERROR(AVERAGEIFS(nNOTA,nNIA,S943,nCUENTA,1,nASIG,"Armonía"),"")))</f>
        <v/>
      </c>
      <c r="U943" t="str">
        <f>IF(S943="","",IF(S943="[FÓRMULA MANUAL]","",IFERROR(AVERAGEIFS(nNOTA,nNIA,S943,nCUENTA,1,nASIG,"Orquesta/Banda/Conjunto"),"")))</f>
        <v/>
      </c>
      <c r="V943" t="str">
        <f>IF(S943="","",IF(S943="[FÓRMULA MANUAL]","",IFERROR(AVERAGEIFS(nNOTA,nNIA,S943,nCUENTA,1,nASIG,"Música de Cámara"),"")))</f>
        <v/>
      </c>
      <c r="W943" t="str">
        <f>IF(S943="","",IF(S943="[FÓRMULA MANUAL]","",IFERROR(SUMPRODUCT((nNIA=S943)*(nCUENTA=1)*(COUNTIF(CONFIG_ASIGNATURAS!$B$7:$B$27,nASIG)&gt;0)*(nNOTA))/SUMPRODUCT((nNIA=S943)*(nCUENTA=1)*(COUNTIF(CONFIG_ASIGNATURAS!$B$7:$B$27,nASIG)&gt;0)*1),"")))</f>
        <v/>
      </c>
      <c r="Z943" t="str">
        <f>IF(Y943="","",IF(Y943="[FÓRMULA MANUAL]","",IFERROR(AVERAGEIFS(nNOTA,nNIA,Y943,nCUENTA,1,nASIG,"Análisis"),"")))</f>
        <v/>
      </c>
      <c r="AA943" t="str">
        <f>IF(Y943="","",IF(Y943="[FÓRMULA MANUAL]","",IFERROR(AVERAGEIFS(nNOTA,nNIA,Y943,nCUENTA,1,nASIG,"Orquesta/Banda/Conjunto"),"")))</f>
        <v/>
      </c>
      <c r="AB943" t="str">
        <f>IF(Y943="","",IF(Y943="[FÓRMULA MANUAL]","",IFERROR(AVERAGEIFS(nNOTA,nNIA,Y943,nCUENTA,1,nASIG,"Música de Cámara"),"")))</f>
        <v/>
      </c>
      <c r="AC943" t="str">
        <f>IF(Y943="","",IF(Y943="[FÓRMULA MANUAL]","",IFERROR(SUMPRODUCT((nNIA=Y943)*(nCUENTA=1)*(COUNTIF(CONFIG_ASIGNATURAS!$B$7:$B$27,nASIG)&gt;0)*(nNOTA))/SUMPRODUCT((nNIA=Y943)*(nCUENTA=1)*(COUNTIF(CONFIG_ASIGNATURAS!$B$7:$B$27,nASIG)&gt;0)*1),"")))</f>
        <v/>
      </c>
      <c r="AF943" t="str">
        <f>IF(AE943="","",IF(AE943="[FÓRMULA MANUAL]","",IFERROR(AVERAGEIFS(nNOTA,nNIA,AE943,nCUENTA,1,nASIG,"Análisis"),"")))</f>
        <v/>
      </c>
      <c r="AG943" t="str">
        <f>IF(AE943="","",IF(AE943="[FÓRMULA MANUAL]","",IFERROR(AVERAGEIFS(nNOTA,nNIA,AE943,nCUENTA,1,nASIG,"Orquesta/Banda/Conjunto"),"")))</f>
        <v/>
      </c>
      <c r="AH943" t="str">
        <f>IF(AE943="","",IF(AE943="[FÓRMULA MANUAL]","",IFERROR(AVERAGEIFS(nNOTA,nNIA,AE943,nCUENTA,1,nASIG,"Música de Cámara"),"")))</f>
        <v/>
      </c>
      <c r="AI943" t="str">
        <f>IF(AE943="","",IF(AE943="[FÓRMULA MANUAL]","",IFERROR(SUMPRODUCT((nNIA=AE943)*(nCUENTA=1)*(COUNTIF(CONFIG_ASIGNATURAS!$B$7:$B$27,nASIG)&gt;0)*(nNOTA))/SUMPRODUCT((nNIA=AE943)*(nCUENTA=1)*(COUNTIF(CONFIG_ASIGNATURAS!$B$7:$B$27,nASIG)&gt;0)*1),"")))</f>
        <v/>
      </c>
    </row>
    <row r="944" spans="2:35" x14ac:dyDescent="0.2">
      <c r="B944" t="str">
        <f>IF(A944="","",IF(A944="[FÓRMULA MANUAL]","",IFERROR(AVERAGEIFS(nNOTA,nNIA,A944,nCUENTA,1,nASIG,"Lenguaje Musical"),"")))</f>
        <v/>
      </c>
      <c r="C944" t="str">
        <f>IF(A944="","",IF(A944="[FÓRMULA MANUAL]","",IFERROR(AVERAGEIFS(nNOTA,nNIA,A944,nCUENTA,1,nASIG,"Orquesta/Banda/Conjunto"),"")))</f>
        <v/>
      </c>
      <c r="D944" t="str">
        <f>IF(A944="","",IF(A944="[FÓRMULA MANUAL]","",IFERROR(AVERAGEIFS(nNOTA,nNIA,A944,nCUENTA,1,nASIG,"Conjunto"),"")))</f>
        <v/>
      </c>
      <c r="E944" t="str">
        <f>IF(A944="","",IF(A944="[FÓRMULA MANUAL]","",IFERROR(SUMPRODUCT((nNIA=A944)*(nCUENTA=1)*(COUNTIF(CONFIG_ASIGNATURAS!$B$7:$B$27,nASIG)&gt;0)*(nNOTA))/SUMPRODUCT((nNIA=A944)*(nCUENTA=1)*(COUNTIF(CONFIG_ASIGNATURAS!$B$7:$B$27,nASIG)&gt;0)*1),"")))</f>
        <v/>
      </c>
      <c r="H944" t="str">
        <f>IF(G944="","",IF(G944="[FÓRMULA MANUAL]","",IFERROR(AVERAGEIFS(nNOTA,nNIA,G944,nCUENTA,1,nASIG,"Lenguaje Musical"),"")))</f>
        <v/>
      </c>
      <c r="I944" t="str">
        <f>IF(G944="","",IF(G944="[FÓRMULA MANUAL]","",IFERROR(AVERAGEIFS(nNOTA,nNIA,G944,nCUENTA,1,nASIG,"Orquesta/Banda/Conjunto"),"")))</f>
        <v/>
      </c>
      <c r="J944" t="str">
        <f>IF(G944="","",IF(G944="[FÓRMULA MANUAL]","",IFERROR(AVERAGEIFS(nNOTA,nNIA,G944,nCUENTA,1,nASIG,"Conjunto"),"")))</f>
        <v/>
      </c>
      <c r="K944" t="str">
        <f>IF(G944="","",IF(G944="[FÓRMULA MANUAL]","",IFERROR(SUMPRODUCT((nNIA=G944)*(nCUENTA=1)*(COUNTIF(CONFIG_ASIGNATURAS!$B$7:$B$27,nASIG)&gt;0)*(nNOTA))/SUMPRODUCT((nNIA=G944)*(nCUENTA=1)*(COUNTIF(CONFIG_ASIGNATURAS!$B$7:$B$27,nASIG)&gt;0)*1),"")))</f>
        <v/>
      </c>
      <c r="N944" t="str">
        <f>IF(M944="","",IF(M944="[FÓRMULA MANUAL]","",IFERROR(AVERAGEIFS(nNOTA,nNIA,M944,nCUENTA,1,nASIG,"Armonía"),"")))</f>
        <v/>
      </c>
      <c r="O944" t="str">
        <f>IF(M944="","",IF(M944="[FÓRMULA MANUAL]","",IFERROR(AVERAGEIFS(nNOTA,nNIA,M944,nCUENTA,1,nASIG,"Orquesta/Banda/Conjunto"),"")))</f>
        <v/>
      </c>
      <c r="P944" t="str">
        <f>IF(M944="","",IF(M944="[FÓRMULA MANUAL]","",IFERROR(AVERAGEIFS(nNOTA,nNIA,M944,nCUENTA,1,nASIG,"Música de Cámara"),"")))</f>
        <v/>
      </c>
      <c r="Q944" t="str">
        <f>IF(M944="","",IF(M944="[FÓRMULA MANUAL]","",IFERROR(SUMPRODUCT((nNIA=M944)*(nCUENTA=1)*(COUNTIF(CONFIG_ASIGNATURAS!$B$7:$B$27,nASIG)&gt;0)*(nNOTA))/SUMPRODUCT((nNIA=M944)*(nCUENTA=1)*(COUNTIF(CONFIG_ASIGNATURAS!$B$7:$B$27,nASIG)&gt;0)*1),"")))</f>
        <v/>
      </c>
      <c r="T944" t="str">
        <f>IF(S944="","",IF(S944="[FÓRMULA MANUAL]","",IFERROR(AVERAGEIFS(nNOTA,nNIA,S944,nCUENTA,1,nASIG,"Armonía"),"")))</f>
        <v/>
      </c>
      <c r="U944" t="str">
        <f>IF(S944="","",IF(S944="[FÓRMULA MANUAL]","",IFERROR(AVERAGEIFS(nNOTA,nNIA,S944,nCUENTA,1,nASIG,"Orquesta/Banda/Conjunto"),"")))</f>
        <v/>
      </c>
      <c r="V944" t="str">
        <f>IF(S944="","",IF(S944="[FÓRMULA MANUAL]","",IFERROR(AVERAGEIFS(nNOTA,nNIA,S944,nCUENTA,1,nASIG,"Música de Cámara"),"")))</f>
        <v/>
      </c>
      <c r="W944" t="str">
        <f>IF(S944="","",IF(S944="[FÓRMULA MANUAL]","",IFERROR(SUMPRODUCT((nNIA=S944)*(nCUENTA=1)*(COUNTIF(CONFIG_ASIGNATURAS!$B$7:$B$27,nASIG)&gt;0)*(nNOTA))/SUMPRODUCT((nNIA=S944)*(nCUENTA=1)*(COUNTIF(CONFIG_ASIGNATURAS!$B$7:$B$27,nASIG)&gt;0)*1),"")))</f>
        <v/>
      </c>
      <c r="Z944" t="str">
        <f>IF(Y944="","",IF(Y944="[FÓRMULA MANUAL]","",IFERROR(AVERAGEIFS(nNOTA,nNIA,Y944,nCUENTA,1,nASIG,"Análisis"),"")))</f>
        <v/>
      </c>
      <c r="AA944" t="str">
        <f>IF(Y944="","",IF(Y944="[FÓRMULA MANUAL]","",IFERROR(AVERAGEIFS(nNOTA,nNIA,Y944,nCUENTA,1,nASIG,"Orquesta/Banda/Conjunto"),"")))</f>
        <v/>
      </c>
      <c r="AB944" t="str">
        <f>IF(Y944="","",IF(Y944="[FÓRMULA MANUAL]","",IFERROR(AVERAGEIFS(nNOTA,nNIA,Y944,nCUENTA,1,nASIG,"Música de Cámara"),"")))</f>
        <v/>
      </c>
      <c r="AC944" t="str">
        <f>IF(Y944="","",IF(Y944="[FÓRMULA MANUAL]","",IFERROR(SUMPRODUCT((nNIA=Y944)*(nCUENTA=1)*(COUNTIF(CONFIG_ASIGNATURAS!$B$7:$B$27,nASIG)&gt;0)*(nNOTA))/SUMPRODUCT((nNIA=Y944)*(nCUENTA=1)*(COUNTIF(CONFIG_ASIGNATURAS!$B$7:$B$27,nASIG)&gt;0)*1),"")))</f>
        <v/>
      </c>
      <c r="AF944" t="str">
        <f>IF(AE944="","",IF(AE944="[FÓRMULA MANUAL]","",IFERROR(AVERAGEIFS(nNOTA,nNIA,AE944,nCUENTA,1,nASIG,"Análisis"),"")))</f>
        <v/>
      </c>
      <c r="AG944" t="str">
        <f>IF(AE944="","",IF(AE944="[FÓRMULA MANUAL]","",IFERROR(AVERAGEIFS(nNOTA,nNIA,AE944,nCUENTA,1,nASIG,"Orquesta/Banda/Conjunto"),"")))</f>
        <v/>
      </c>
      <c r="AH944" t="str">
        <f>IF(AE944="","",IF(AE944="[FÓRMULA MANUAL]","",IFERROR(AVERAGEIFS(nNOTA,nNIA,AE944,nCUENTA,1,nASIG,"Música de Cámara"),"")))</f>
        <v/>
      </c>
      <c r="AI944" t="str">
        <f>IF(AE944="","",IF(AE944="[FÓRMULA MANUAL]","",IFERROR(SUMPRODUCT((nNIA=AE944)*(nCUENTA=1)*(COUNTIF(CONFIG_ASIGNATURAS!$B$7:$B$27,nASIG)&gt;0)*(nNOTA))/SUMPRODUCT((nNIA=AE944)*(nCUENTA=1)*(COUNTIF(CONFIG_ASIGNATURAS!$B$7:$B$27,nASIG)&gt;0)*1),"")))</f>
        <v/>
      </c>
    </row>
    <row r="945" spans="2:35" x14ac:dyDescent="0.2">
      <c r="B945" t="str">
        <f>IF(A945="","",IF(A945="[FÓRMULA MANUAL]","",IFERROR(AVERAGEIFS(nNOTA,nNIA,A945,nCUENTA,1,nASIG,"Lenguaje Musical"),"")))</f>
        <v/>
      </c>
      <c r="C945" t="str">
        <f>IF(A945="","",IF(A945="[FÓRMULA MANUAL]","",IFERROR(AVERAGEIFS(nNOTA,nNIA,A945,nCUENTA,1,nASIG,"Orquesta/Banda/Conjunto"),"")))</f>
        <v/>
      </c>
      <c r="D945" t="str">
        <f>IF(A945="","",IF(A945="[FÓRMULA MANUAL]","",IFERROR(AVERAGEIFS(nNOTA,nNIA,A945,nCUENTA,1,nASIG,"Conjunto"),"")))</f>
        <v/>
      </c>
      <c r="E945" t="str">
        <f>IF(A945="","",IF(A945="[FÓRMULA MANUAL]","",IFERROR(SUMPRODUCT((nNIA=A945)*(nCUENTA=1)*(COUNTIF(CONFIG_ASIGNATURAS!$B$7:$B$27,nASIG)&gt;0)*(nNOTA))/SUMPRODUCT((nNIA=A945)*(nCUENTA=1)*(COUNTIF(CONFIG_ASIGNATURAS!$B$7:$B$27,nASIG)&gt;0)*1),"")))</f>
        <v/>
      </c>
      <c r="H945" t="str">
        <f>IF(G945="","",IF(G945="[FÓRMULA MANUAL]","",IFERROR(AVERAGEIFS(nNOTA,nNIA,G945,nCUENTA,1,nASIG,"Lenguaje Musical"),"")))</f>
        <v/>
      </c>
      <c r="I945" t="str">
        <f>IF(G945="","",IF(G945="[FÓRMULA MANUAL]","",IFERROR(AVERAGEIFS(nNOTA,nNIA,G945,nCUENTA,1,nASIG,"Orquesta/Banda/Conjunto"),"")))</f>
        <v/>
      </c>
      <c r="J945" t="str">
        <f>IF(G945="","",IF(G945="[FÓRMULA MANUAL]","",IFERROR(AVERAGEIFS(nNOTA,nNIA,G945,nCUENTA,1,nASIG,"Conjunto"),"")))</f>
        <v/>
      </c>
      <c r="K945" t="str">
        <f>IF(G945="","",IF(G945="[FÓRMULA MANUAL]","",IFERROR(SUMPRODUCT((nNIA=G945)*(nCUENTA=1)*(COUNTIF(CONFIG_ASIGNATURAS!$B$7:$B$27,nASIG)&gt;0)*(nNOTA))/SUMPRODUCT((nNIA=G945)*(nCUENTA=1)*(COUNTIF(CONFIG_ASIGNATURAS!$B$7:$B$27,nASIG)&gt;0)*1),"")))</f>
        <v/>
      </c>
      <c r="N945" t="str">
        <f>IF(M945="","",IF(M945="[FÓRMULA MANUAL]","",IFERROR(AVERAGEIFS(nNOTA,nNIA,M945,nCUENTA,1,nASIG,"Armonía"),"")))</f>
        <v/>
      </c>
      <c r="O945" t="str">
        <f>IF(M945="","",IF(M945="[FÓRMULA MANUAL]","",IFERROR(AVERAGEIFS(nNOTA,nNIA,M945,nCUENTA,1,nASIG,"Orquesta/Banda/Conjunto"),"")))</f>
        <v/>
      </c>
      <c r="P945" t="str">
        <f>IF(M945="","",IF(M945="[FÓRMULA MANUAL]","",IFERROR(AVERAGEIFS(nNOTA,nNIA,M945,nCUENTA,1,nASIG,"Música de Cámara"),"")))</f>
        <v/>
      </c>
      <c r="Q945" t="str">
        <f>IF(M945="","",IF(M945="[FÓRMULA MANUAL]","",IFERROR(SUMPRODUCT((nNIA=M945)*(nCUENTA=1)*(COUNTIF(CONFIG_ASIGNATURAS!$B$7:$B$27,nASIG)&gt;0)*(nNOTA))/SUMPRODUCT((nNIA=M945)*(nCUENTA=1)*(COUNTIF(CONFIG_ASIGNATURAS!$B$7:$B$27,nASIG)&gt;0)*1),"")))</f>
        <v/>
      </c>
      <c r="T945" t="str">
        <f>IF(S945="","",IF(S945="[FÓRMULA MANUAL]","",IFERROR(AVERAGEIFS(nNOTA,nNIA,S945,nCUENTA,1,nASIG,"Armonía"),"")))</f>
        <v/>
      </c>
      <c r="U945" t="str">
        <f>IF(S945="","",IF(S945="[FÓRMULA MANUAL]","",IFERROR(AVERAGEIFS(nNOTA,nNIA,S945,nCUENTA,1,nASIG,"Orquesta/Banda/Conjunto"),"")))</f>
        <v/>
      </c>
      <c r="V945" t="str">
        <f>IF(S945="","",IF(S945="[FÓRMULA MANUAL]","",IFERROR(AVERAGEIFS(nNOTA,nNIA,S945,nCUENTA,1,nASIG,"Música de Cámara"),"")))</f>
        <v/>
      </c>
      <c r="W945" t="str">
        <f>IF(S945="","",IF(S945="[FÓRMULA MANUAL]","",IFERROR(SUMPRODUCT((nNIA=S945)*(nCUENTA=1)*(COUNTIF(CONFIG_ASIGNATURAS!$B$7:$B$27,nASIG)&gt;0)*(nNOTA))/SUMPRODUCT((nNIA=S945)*(nCUENTA=1)*(COUNTIF(CONFIG_ASIGNATURAS!$B$7:$B$27,nASIG)&gt;0)*1),"")))</f>
        <v/>
      </c>
      <c r="Z945" t="str">
        <f>IF(Y945="","",IF(Y945="[FÓRMULA MANUAL]","",IFERROR(AVERAGEIFS(nNOTA,nNIA,Y945,nCUENTA,1,nASIG,"Análisis"),"")))</f>
        <v/>
      </c>
      <c r="AA945" t="str">
        <f>IF(Y945="","",IF(Y945="[FÓRMULA MANUAL]","",IFERROR(AVERAGEIFS(nNOTA,nNIA,Y945,nCUENTA,1,nASIG,"Orquesta/Banda/Conjunto"),"")))</f>
        <v/>
      </c>
      <c r="AB945" t="str">
        <f>IF(Y945="","",IF(Y945="[FÓRMULA MANUAL]","",IFERROR(AVERAGEIFS(nNOTA,nNIA,Y945,nCUENTA,1,nASIG,"Música de Cámara"),"")))</f>
        <v/>
      </c>
      <c r="AC945" t="str">
        <f>IF(Y945="","",IF(Y945="[FÓRMULA MANUAL]","",IFERROR(SUMPRODUCT((nNIA=Y945)*(nCUENTA=1)*(COUNTIF(CONFIG_ASIGNATURAS!$B$7:$B$27,nASIG)&gt;0)*(nNOTA))/SUMPRODUCT((nNIA=Y945)*(nCUENTA=1)*(COUNTIF(CONFIG_ASIGNATURAS!$B$7:$B$27,nASIG)&gt;0)*1),"")))</f>
        <v/>
      </c>
      <c r="AF945" t="str">
        <f>IF(AE945="","",IF(AE945="[FÓRMULA MANUAL]","",IFERROR(AVERAGEIFS(nNOTA,nNIA,AE945,nCUENTA,1,nASIG,"Análisis"),"")))</f>
        <v/>
      </c>
      <c r="AG945" t="str">
        <f>IF(AE945="","",IF(AE945="[FÓRMULA MANUAL]","",IFERROR(AVERAGEIFS(nNOTA,nNIA,AE945,nCUENTA,1,nASIG,"Orquesta/Banda/Conjunto"),"")))</f>
        <v/>
      </c>
      <c r="AH945" t="str">
        <f>IF(AE945="","",IF(AE945="[FÓRMULA MANUAL]","",IFERROR(AVERAGEIFS(nNOTA,nNIA,AE945,nCUENTA,1,nASIG,"Música de Cámara"),"")))</f>
        <v/>
      </c>
      <c r="AI945" t="str">
        <f>IF(AE945="","",IF(AE945="[FÓRMULA MANUAL]","",IFERROR(SUMPRODUCT((nNIA=AE945)*(nCUENTA=1)*(COUNTIF(CONFIG_ASIGNATURAS!$B$7:$B$27,nASIG)&gt;0)*(nNOTA))/SUMPRODUCT((nNIA=AE945)*(nCUENTA=1)*(COUNTIF(CONFIG_ASIGNATURAS!$B$7:$B$27,nASIG)&gt;0)*1),"")))</f>
        <v/>
      </c>
    </row>
    <row r="946" spans="2:35" x14ac:dyDescent="0.2">
      <c r="B946" t="str">
        <f>IF(A946="","",IF(A946="[FÓRMULA MANUAL]","",IFERROR(AVERAGEIFS(nNOTA,nNIA,A946,nCUENTA,1,nASIG,"Lenguaje Musical"),"")))</f>
        <v/>
      </c>
      <c r="C946" t="str">
        <f>IF(A946="","",IF(A946="[FÓRMULA MANUAL]","",IFERROR(AVERAGEIFS(nNOTA,nNIA,A946,nCUENTA,1,nASIG,"Orquesta/Banda/Conjunto"),"")))</f>
        <v/>
      </c>
      <c r="D946" t="str">
        <f>IF(A946="","",IF(A946="[FÓRMULA MANUAL]","",IFERROR(AVERAGEIFS(nNOTA,nNIA,A946,nCUENTA,1,nASIG,"Conjunto"),"")))</f>
        <v/>
      </c>
      <c r="E946" t="str">
        <f>IF(A946="","",IF(A946="[FÓRMULA MANUAL]","",IFERROR(SUMPRODUCT((nNIA=A946)*(nCUENTA=1)*(COUNTIF(CONFIG_ASIGNATURAS!$B$7:$B$27,nASIG)&gt;0)*(nNOTA))/SUMPRODUCT((nNIA=A946)*(nCUENTA=1)*(COUNTIF(CONFIG_ASIGNATURAS!$B$7:$B$27,nASIG)&gt;0)*1),"")))</f>
        <v/>
      </c>
      <c r="H946" t="str">
        <f>IF(G946="","",IF(G946="[FÓRMULA MANUAL]","",IFERROR(AVERAGEIFS(nNOTA,nNIA,G946,nCUENTA,1,nASIG,"Lenguaje Musical"),"")))</f>
        <v/>
      </c>
      <c r="I946" t="str">
        <f>IF(G946="","",IF(G946="[FÓRMULA MANUAL]","",IFERROR(AVERAGEIFS(nNOTA,nNIA,G946,nCUENTA,1,nASIG,"Orquesta/Banda/Conjunto"),"")))</f>
        <v/>
      </c>
      <c r="J946" t="str">
        <f>IF(G946="","",IF(G946="[FÓRMULA MANUAL]","",IFERROR(AVERAGEIFS(nNOTA,nNIA,G946,nCUENTA,1,nASIG,"Conjunto"),"")))</f>
        <v/>
      </c>
      <c r="K946" t="str">
        <f>IF(G946="","",IF(G946="[FÓRMULA MANUAL]","",IFERROR(SUMPRODUCT((nNIA=G946)*(nCUENTA=1)*(COUNTIF(CONFIG_ASIGNATURAS!$B$7:$B$27,nASIG)&gt;0)*(nNOTA))/SUMPRODUCT((nNIA=G946)*(nCUENTA=1)*(COUNTIF(CONFIG_ASIGNATURAS!$B$7:$B$27,nASIG)&gt;0)*1),"")))</f>
        <v/>
      </c>
      <c r="N946" t="str">
        <f>IF(M946="","",IF(M946="[FÓRMULA MANUAL]","",IFERROR(AVERAGEIFS(nNOTA,nNIA,M946,nCUENTA,1,nASIG,"Armonía"),"")))</f>
        <v/>
      </c>
      <c r="O946" t="str">
        <f>IF(M946="","",IF(M946="[FÓRMULA MANUAL]","",IFERROR(AVERAGEIFS(nNOTA,nNIA,M946,nCUENTA,1,nASIG,"Orquesta/Banda/Conjunto"),"")))</f>
        <v/>
      </c>
      <c r="P946" t="str">
        <f>IF(M946="","",IF(M946="[FÓRMULA MANUAL]","",IFERROR(AVERAGEIFS(nNOTA,nNIA,M946,nCUENTA,1,nASIG,"Música de Cámara"),"")))</f>
        <v/>
      </c>
      <c r="Q946" t="str">
        <f>IF(M946="","",IF(M946="[FÓRMULA MANUAL]","",IFERROR(SUMPRODUCT((nNIA=M946)*(nCUENTA=1)*(COUNTIF(CONFIG_ASIGNATURAS!$B$7:$B$27,nASIG)&gt;0)*(nNOTA))/SUMPRODUCT((nNIA=M946)*(nCUENTA=1)*(COUNTIF(CONFIG_ASIGNATURAS!$B$7:$B$27,nASIG)&gt;0)*1),"")))</f>
        <v/>
      </c>
      <c r="T946" t="str">
        <f>IF(S946="","",IF(S946="[FÓRMULA MANUAL]","",IFERROR(AVERAGEIFS(nNOTA,nNIA,S946,nCUENTA,1,nASIG,"Armonía"),"")))</f>
        <v/>
      </c>
      <c r="U946" t="str">
        <f>IF(S946="","",IF(S946="[FÓRMULA MANUAL]","",IFERROR(AVERAGEIFS(nNOTA,nNIA,S946,nCUENTA,1,nASIG,"Orquesta/Banda/Conjunto"),"")))</f>
        <v/>
      </c>
      <c r="V946" t="str">
        <f>IF(S946="","",IF(S946="[FÓRMULA MANUAL]","",IFERROR(AVERAGEIFS(nNOTA,nNIA,S946,nCUENTA,1,nASIG,"Música de Cámara"),"")))</f>
        <v/>
      </c>
      <c r="W946" t="str">
        <f>IF(S946="","",IF(S946="[FÓRMULA MANUAL]","",IFERROR(SUMPRODUCT((nNIA=S946)*(nCUENTA=1)*(COUNTIF(CONFIG_ASIGNATURAS!$B$7:$B$27,nASIG)&gt;0)*(nNOTA))/SUMPRODUCT((nNIA=S946)*(nCUENTA=1)*(COUNTIF(CONFIG_ASIGNATURAS!$B$7:$B$27,nASIG)&gt;0)*1),"")))</f>
        <v/>
      </c>
      <c r="Z946" t="str">
        <f>IF(Y946="","",IF(Y946="[FÓRMULA MANUAL]","",IFERROR(AVERAGEIFS(nNOTA,nNIA,Y946,nCUENTA,1,nASIG,"Análisis"),"")))</f>
        <v/>
      </c>
      <c r="AA946" t="str">
        <f>IF(Y946="","",IF(Y946="[FÓRMULA MANUAL]","",IFERROR(AVERAGEIFS(nNOTA,nNIA,Y946,nCUENTA,1,nASIG,"Orquesta/Banda/Conjunto"),"")))</f>
        <v/>
      </c>
      <c r="AB946" t="str">
        <f>IF(Y946="","",IF(Y946="[FÓRMULA MANUAL]","",IFERROR(AVERAGEIFS(nNOTA,nNIA,Y946,nCUENTA,1,nASIG,"Música de Cámara"),"")))</f>
        <v/>
      </c>
      <c r="AC946" t="str">
        <f>IF(Y946="","",IF(Y946="[FÓRMULA MANUAL]","",IFERROR(SUMPRODUCT((nNIA=Y946)*(nCUENTA=1)*(COUNTIF(CONFIG_ASIGNATURAS!$B$7:$B$27,nASIG)&gt;0)*(nNOTA))/SUMPRODUCT((nNIA=Y946)*(nCUENTA=1)*(COUNTIF(CONFIG_ASIGNATURAS!$B$7:$B$27,nASIG)&gt;0)*1),"")))</f>
        <v/>
      </c>
      <c r="AF946" t="str">
        <f>IF(AE946="","",IF(AE946="[FÓRMULA MANUAL]","",IFERROR(AVERAGEIFS(nNOTA,nNIA,AE946,nCUENTA,1,nASIG,"Análisis"),"")))</f>
        <v/>
      </c>
      <c r="AG946" t="str">
        <f>IF(AE946="","",IF(AE946="[FÓRMULA MANUAL]","",IFERROR(AVERAGEIFS(nNOTA,nNIA,AE946,nCUENTA,1,nASIG,"Orquesta/Banda/Conjunto"),"")))</f>
        <v/>
      </c>
      <c r="AH946" t="str">
        <f>IF(AE946="","",IF(AE946="[FÓRMULA MANUAL]","",IFERROR(AVERAGEIFS(nNOTA,nNIA,AE946,nCUENTA,1,nASIG,"Música de Cámara"),"")))</f>
        <v/>
      </c>
      <c r="AI946" t="str">
        <f>IF(AE946="","",IF(AE946="[FÓRMULA MANUAL]","",IFERROR(SUMPRODUCT((nNIA=AE946)*(nCUENTA=1)*(COUNTIF(CONFIG_ASIGNATURAS!$B$7:$B$27,nASIG)&gt;0)*(nNOTA))/SUMPRODUCT((nNIA=AE946)*(nCUENTA=1)*(COUNTIF(CONFIG_ASIGNATURAS!$B$7:$B$27,nASIG)&gt;0)*1),"")))</f>
        <v/>
      </c>
    </row>
    <row r="947" spans="2:35" x14ac:dyDescent="0.2">
      <c r="B947" t="str">
        <f>IF(A947="","",IF(A947="[FÓRMULA MANUAL]","",IFERROR(AVERAGEIFS(nNOTA,nNIA,A947,nCUENTA,1,nASIG,"Lenguaje Musical"),"")))</f>
        <v/>
      </c>
      <c r="C947" t="str">
        <f>IF(A947="","",IF(A947="[FÓRMULA MANUAL]","",IFERROR(AVERAGEIFS(nNOTA,nNIA,A947,nCUENTA,1,nASIG,"Orquesta/Banda/Conjunto"),"")))</f>
        <v/>
      </c>
      <c r="D947" t="str">
        <f>IF(A947="","",IF(A947="[FÓRMULA MANUAL]","",IFERROR(AVERAGEIFS(nNOTA,nNIA,A947,nCUENTA,1,nASIG,"Conjunto"),"")))</f>
        <v/>
      </c>
      <c r="E947" t="str">
        <f>IF(A947="","",IF(A947="[FÓRMULA MANUAL]","",IFERROR(SUMPRODUCT((nNIA=A947)*(nCUENTA=1)*(COUNTIF(CONFIG_ASIGNATURAS!$B$7:$B$27,nASIG)&gt;0)*(nNOTA))/SUMPRODUCT((nNIA=A947)*(nCUENTA=1)*(COUNTIF(CONFIG_ASIGNATURAS!$B$7:$B$27,nASIG)&gt;0)*1),"")))</f>
        <v/>
      </c>
      <c r="H947" t="str">
        <f>IF(G947="","",IF(G947="[FÓRMULA MANUAL]","",IFERROR(AVERAGEIFS(nNOTA,nNIA,G947,nCUENTA,1,nASIG,"Lenguaje Musical"),"")))</f>
        <v/>
      </c>
      <c r="I947" t="str">
        <f>IF(G947="","",IF(G947="[FÓRMULA MANUAL]","",IFERROR(AVERAGEIFS(nNOTA,nNIA,G947,nCUENTA,1,nASIG,"Orquesta/Banda/Conjunto"),"")))</f>
        <v/>
      </c>
      <c r="J947" t="str">
        <f>IF(G947="","",IF(G947="[FÓRMULA MANUAL]","",IFERROR(AVERAGEIFS(nNOTA,nNIA,G947,nCUENTA,1,nASIG,"Conjunto"),"")))</f>
        <v/>
      </c>
      <c r="K947" t="str">
        <f>IF(G947="","",IF(G947="[FÓRMULA MANUAL]","",IFERROR(SUMPRODUCT((nNIA=G947)*(nCUENTA=1)*(COUNTIF(CONFIG_ASIGNATURAS!$B$7:$B$27,nASIG)&gt;0)*(nNOTA))/SUMPRODUCT((nNIA=G947)*(nCUENTA=1)*(COUNTIF(CONFIG_ASIGNATURAS!$B$7:$B$27,nASIG)&gt;0)*1),"")))</f>
        <v/>
      </c>
      <c r="N947" t="str">
        <f>IF(M947="","",IF(M947="[FÓRMULA MANUAL]","",IFERROR(AVERAGEIFS(nNOTA,nNIA,M947,nCUENTA,1,nASIG,"Armonía"),"")))</f>
        <v/>
      </c>
      <c r="O947" t="str">
        <f>IF(M947="","",IF(M947="[FÓRMULA MANUAL]","",IFERROR(AVERAGEIFS(nNOTA,nNIA,M947,nCUENTA,1,nASIG,"Orquesta/Banda/Conjunto"),"")))</f>
        <v/>
      </c>
      <c r="P947" t="str">
        <f>IF(M947="","",IF(M947="[FÓRMULA MANUAL]","",IFERROR(AVERAGEIFS(nNOTA,nNIA,M947,nCUENTA,1,nASIG,"Música de Cámara"),"")))</f>
        <v/>
      </c>
      <c r="Q947" t="str">
        <f>IF(M947="","",IF(M947="[FÓRMULA MANUAL]","",IFERROR(SUMPRODUCT((nNIA=M947)*(nCUENTA=1)*(COUNTIF(CONFIG_ASIGNATURAS!$B$7:$B$27,nASIG)&gt;0)*(nNOTA))/SUMPRODUCT((nNIA=M947)*(nCUENTA=1)*(COUNTIF(CONFIG_ASIGNATURAS!$B$7:$B$27,nASIG)&gt;0)*1),"")))</f>
        <v/>
      </c>
      <c r="T947" t="str">
        <f>IF(S947="","",IF(S947="[FÓRMULA MANUAL]","",IFERROR(AVERAGEIFS(nNOTA,nNIA,S947,nCUENTA,1,nASIG,"Armonía"),"")))</f>
        <v/>
      </c>
      <c r="U947" t="str">
        <f>IF(S947="","",IF(S947="[FÓRMULA MANUAL]","",IFERROR(AVERAGEIFS(nNOTA,nNIA,S947,nCUENTA,1,nASIG,"Orquesta/Banda/Conjunto"),"")))</f>
        <v/>
      </c>
      <c r="V947" t="str">
        <f>IF(S947="","",IF(S947="[FÓRMULA MANUAL]","",IFERROR(AVERAGEIFS(nNOTA,nNIA,S947,nCUENTA,1,nASIG,"Música de Cámara"),"")))</f>
        <v/>
      </c>
      <c r="W947" t="str">
        <f>IF(S947="","",IF(S947="[FÓRMULA MANUAL]","",IFERROR(SUMPRODUCT((nNIA=S947)*(nCUENTA=1)*(COUNTIF(CONFIG_ASIGNATURAS!$B$7:$B$27,nASIG)&gt;0)*(nNOTA))/SUMPRODUCT((nNIA=S947)*(nCUENTA=1)*(COUNTIF(CONFIG_ASIGNATURAS!$B$7:$B$27,nASIG)&gt;0)*1),"")))</f>
        <v/>
      </c>
      <c r="Z947" t="str">
        <f>IF(Y947="","",IF(Y947="[FÓRMULA MANUAL]","",IFERROR(AVERAGEIFS(nNOTA,nNIA,Y947,nCUENTA,1,nASIG,"Análisis"),"")))</f>
        <v/>
      </c>
      <c r="AA947" t="str">
        <f>IF(Y947="","",IF(Y947="[FÓRMULA MANUAL]","",IFERROR(AVERAGEIFS(nNOTA,nNIA,Y947,nCUENTA,1,nASIG,"Orquesta/Banda/Conjunto"),"")))</f>
        <v/>
      </c>
      <c r="AB947" t="str">
        <f>IF(Y947="","",IF(Y947="[FÓRMULA MANUAL]","",IFERROR(AVERAGEIFS(nNOTA,nNIA,Y947,nCUENTA,1,nASIG,"Música de Cámara"),"")))</f>
        <v/>
      </c>
      <c r="AC947" t="str">
        <f>IF(Y947="","",IF(Y947="[FÓRMULA MANUAL]","",IFERROR(SUMPRODUCT((nNIA=Y947)*(nCUENTA=1)*(COUNTIF(CONFIG_ASIGNATURAS!$B$7:$B$27,nASIG)&gt;0)*(nNOTA))/SUMPRODUCT((nNIA=Y947)*(nCUENTA=1)*(COUNTIF(CONFIG_ASIGNATURAS!$B$7:$B$27,nASIG)&gt;0)*1),"")))</f>
        <v/>
      </c>
      <c r="AF947" t="str">
        <f>IF(AE947="","",IF(AE947="[FÓRMULA MANUAL]","",IFERROR(AVERAGEIFS(nNOTA,nNIA,AE947,nCUENTA,1,nASIG,"Análisis"),"")))</f>
        <v/>
      </c>
      <c r="AG947" t="str">
        <f>IF(AE947="","",IF(AE947="[FÓRMULA MANUAL]","",IFERROR(AVERAGEIFS(nNOTA,nNIA,AE947,nCUENTA,1,nASIG,"Orquesta/Banda/Conjunto"),"")))</f>
        <v/>
      </c>
      <c r="AH947" t="str">
        <f>IF(AE947="","",IF(AE947="[FÓRMULA MANUAL]","",IFERROR(AVERAGEIFS(nNOTA,nNIA,AE947,nCUENTA,1,nASIG,"Música de Cámara"),"")))</f>
        <v/>
      </c>
      <c r="AI947" t="str">
        <f>IF(AE947="","",IF(AE947="[FÓRMULA MANUAL]","",IFERROR(SUMPRODUCT((nNIA=AE947)*(nCUENTA=1)*(COUNTIF(CONFIG_ASIGNATURAS!$B$7:$B$27,nASIG)&gt;0)*(nNOTA))/SUMPRODUCT((nNIA=AE947)*(nCUENTA=1)*(COUNTIF(CONFIG_ASIGNATURAS!$B$7:$B$27,nASIG)&gt;0)*1),"")))</f>
        <v/>
      </c>
    </row>
    <row r="948" spans="2:35" x14ac:dyDescent="0.2">
      <c r="B948" t="str">
        <f>IF(A948="","",IF(A948="[FÓRMULA MANUAL]","",IFERROR(AVERAGEIFS(nNOTA,nNIA,A948,nCUENTA,1,nASIG,"Lenguaje Musical"),"")))</f>
        <v/>
      </c>
      <c r="C948" t="str">
        <f>IF(A948="","",IF(A948="[FÓRMULA MANUAL]","",IFERROR(AVERAGEIFS(nNOTA,nNIA,A948,nCUENTA,1,nASIG,"Orquesta/Banda/Conjunto"),"")))</f>
        <v/>
      </c>
      <c r="D948" t="str">
        <f>IF(A948="","",IF(A948="[FÓRMULA MANUAL]","",IFERROR(AVERAGEIFS(nNOTA,nNIA,A948,nCUENTA,1,nASIG,"Conjunto"),"")))</f>
        <v/>
      </c>
      <c r="E948" t="str">
        <f>IF(A948="","",IF(A948="[FÓRMULA MANUAL]","",IFERROR(SUMPRODUCT((nNIA=A948)*(nCUENTA=1)*(COUNTIF(CONFIG_ASIGNATURAS!$B$7:$B$27,nASIG)&gt;0)*(nNOTA))/SUMPRODUCT((nNIA=A948)*(nCUENTA=1)*(COUNTIF(CONFIG_ASIGNATURAS!$B$7:$B$27,nASIG)&gt;0)*1),"")))</f>
        <v/>
      </c>
      <c r="H948" t="str">
        <f>IF(G948="","",IF(G948="[FÓRMULA MANUAL]","",IFERROR(AVERAGEIFS(nNOTA,nNIA,G948,nCUENTA,1,nASIG,"Lenguaje Musical"),"")))</f>
        <v/>
      </c>
      <c r="I948" t="str">
        <f>IF(G948="","",IF(G948="[FÓRMULA MANUAL]","",IFERROR(AVERAGEIFS(nNOTA,nNIA,G948,nCUENTA,1,nASIG,"Orquesta/Banda/Conjunto"),"")))</f>
        <v/>
      </c>
      <c r="J948" t="str">
        <f>IF(G948="","",IF(G948="[FÓRMULA MANUAL]","",IFERROR(AVERAGEIFS(nNOTA,nNIA,G948,nCUENTA,1,nASIG,"Conjunto"),"")))</f>
        <v/>
      </c>
      <c r="K948" t="str">
        <f>IF(G948="","",IF(G948="[FÓRMULA MANUAL]","",IFERROR(SUMPRODUCT((nNIA=G948)*(nCUENTA=1)*(COUNTIF(CONFIG_ASIGNATURAS!$B$7:$B$27,nASIG)&gt;0)*(nNOTA))/SUMPRODUCT((nNIA=G948)*(nCUENTA=1)*(COUNTIF(CONFIG_ASIGNATURAS!$B$7:$B$27,nASIG)&gt;0)*1),"")))</f>
        <v/>
      </c>
      <c r="N948" t="str">
        <f>IF(M948="","",IF(M948="[FÓRMULA MANUAL]","",IFERROR(AVERAGEIFS(nNOTA,nNIA,M948,nCUENTA,1,nASIG,"Armonía"),"")))</f>
        <v/>
      </c>
      <c r="O948" t="str">
        <f>IF(M948="","",IF(M948="[FÓRMULA MANUAL]","",IFERROR(AVERAGEIFS(nNOTA,nNIA,M948,nCUENTA,1,nASIG,"Orquesta/Banda/Conjunto"),"")))</f>
        <v/>
      </c>
      <c r="P948" t="str">
        <f>IF(M948="","",IF(M948="[FÓRMULA MANUAL]","",IFERROR(AVERAGEIFS(nNOTA,nNIA,M948,nCUENTA,1,nASIG,"Música de Cámara"),"")))</f>
        <v/>
      </c>
      <c r="Q948" t="str">
        <f>IF(M948="","",IF(M948="[FÓRMULA MANUAL]","",IFERROR(SUMPRODUCT((nNIA=M948)*(nCUENTA=1)*(COUNTIF(CONFIG_ASIGNATURAS!$B$7:$B$27,nASIG)&gt;0)*(nNOTA))/SUMPRODUCT((nNIA=M948)*(nCUENTA=1)*(COUNTIF(CONFIG_ASIGNATURAS!$B$7:$B$27,nASIG)&gt;0)*1),"")))</f>
        <v/>
      </c>
      <c r="T948" t="str">
        <f>IF(S948="","",IF(S948="[FÓRMULA MANUAL]","",IFERROR(AVERAGEIFS(nNOTA,nNIA,S948,nCUENTA,1,nASIG,"Armonía"),"")))</f>
        <v/>
      </c>
      <c r="U948" t="str">
        <f>IF(S948="","",IF(S948="[FÓRMULA MANUAL]","",IFERROR(AVERAGEIFS(nNOTA,nNIA,S948,nCUENTA,1,nASIG,"Orquesta/Banda/Conjunto"),"")))</f>
        <v/>
      </c>
      <c r="V948" t="str">
        <f>IF(S948="","",IF(S948="[FÓRMULA MANUAL]","",IFERROR(AVERAGEIFS(nNOTA,nNIA,S948,nCUENTA,1,nASIG,"Música de Cámara"),"")))</f>
        <v/>
      </c>
      <c r="W948" t="str">
        <f>IF(S948="","",IF(S948="[FÓRMULA MANUAL]","",IFERROR(SUMPRODUCT((nNIA=S948)*(nCUENTA=1)*(COUNTIF(CONFIG_ASIGNATURAS!$B$7:$B$27,nASIG)&gt;0)*(nNOTA))/SUMPRODUCT((nNIA=S948)*(nCUENTA=1)*(COUNTIF(CONFIG_ASIGNATURAS!$B$7:$B$27,nASIG)&gt;0)*1),"")))</f>
        <v/>
      </c>
      <c r="Z948" t="str">
        <f>IF(Y948="","",IF(Y948="[FÓRMULA MANUAL]","",IFERROR(AVERAGEIFS(nNOTA,nNIA,Y948,nCUENTA,1,nASIG,"Análisis"),"")))</f>
        <v/>
      </c>
      <c r="AA948" t="str">
        <f>IF(Y948="","",IF(Y948="[FÓRMULA MANUAL]","",IFERROR(AVERAGEIFS(nNOTA,nNIA,Y948,nCUENTA,1,nASIG,"Orquesta/Banda/Conjunto"),"")))</f>
        <v/>
      </c>
      <c r="AB948" t="str">
        <f>IF(Y948="","",IF(Y948="[FÓRMULA MANUAL]","",IFERROR(AVERAGEIFS(nNOTA,nNIA,Y948,nCUENTA,1,nASIG,"Música de Cámara"),"")))</f>
        <v/>
      </c>
      <c r="AC948" t="str">
        <f>IF(Y948="","",IF(Y948="[FÓRMULA MANUAL]","",IFERROR(SUMPRODUCT((nNIA=Y948)*(nCUENTA=1)*(COUNTIF(CONFIG_ASIGNATURAS!$B$7:$B$27,nASIG)&gt;0)*(nNOTA))/SUMPRODUCT((nNIA=Y948)*(nCUENTA=1)*(COUNTIF(CONFIG_ASIGNATURAS!$B$7:$B$27,nASIG)&gt;0)*1),"")))</f>
        <v/>
      </c>
      <c r="AF948" t="str">
        <f>IF(AE948="","",IF(AE948="[FÓRMULA MANUAL]","",IFERROR(AVERAGEIFS(nNOTA,nNIA,AE948,nCUENTA,1,nASIG,"Análisis"),"")))</f>
        <v/>
      </c>
      <c r="AG948" t="str">
        <f>IF(AE948="","",IF(AE948="[FÓRMULA MANUAL]","",IFERROR(AVERAGEIFS(nNOTA,nNIA,AE948,nCUENTA,1,nASIG,"Orquesta/Banda/Conjunto"),"")))</f>
        <v/>
      </c>
      <c r="AH948" t="str">
        <f>IF(AE948="","",IF(AE948="[FÓRMULA MANUAL]","",IFERROR(AVERAGEIFS(nNOTA,nNIA,AE948,nCUENTA,1,nASIG,"Música de Cámara"),"")))</f>
        <v/>
      </c>
      <c r="AI948" t="str">
        <f>IF(AE948="","",IF(AE948="[FÓRMULA MANUAL]","",IFERROR(SUMPRODUCT((nNIA=AE948)*(nCUENTA=1)*(COUNTIF(CONFIG_ASIGNATURAS!$B$7:$B$27,nASIG)&gt;0)*(nNOTA))/SUMPRODUCT((nNIA=AE948)*(nCUENTA=1)*(COUNTIF(CONFIG_ASIGNATURAS!$B$7:$B$27,nASIG)&gt;0)*1),"")))</f>
        <v/>
      </c>
    </row>
    <row r="949" spans="2:35" x14ac:dyDescent="0.2">
      <c r="B949" t="str">
        <f>IF(A949="","",IF(A949="[FÓRMULA MANUAL]","",IFERROR(AVERAGEIFS(nNOTA,nNIA,A949,nCUENTA,1,nASIG,"Lenguaje Musical"),"")))</f>
        <v/>
      </c>
      <c r="C949" t="str">
        <f>IF(A949="","",IF(A949="[FÓRMULA MANUAL]","",IFERROR(AVERAGEIFS(nNOTA,nNIA,A949,nCUENTA,1,nASIG,"Orquesta/Banda/Conjunto"),"")))</f>
        <v/>
      </c>
      <c r="D949" t="str">
        <f>IF(A949="","",IF(A949="[FÓRMULA MANUAL]","",IFERROR(AVERAGEIFS(nNOTA,nNIA,A949,nCUENTA,1,nASIG,"Conjunto"),"")))</f>
        <v/>
      </c>
      <c r="E949" t="str">
        <f>IF(A949="","",IF(A949="[FÓRMULA MANUAL]","",IFERROR(SUMPRODUCT((nNIA=A949)*(nCUENTA=1)*(COUNTIF(CONFIG_ASIGNATURAS!$B$7:$B$27,nASIG)&gt;0)*(nNOTA))/SUMPRODUCT((nNIA=A949)*(nCUENTA=1)*(COUNTIF(CONFIG_ASIGNATURAS!$B$7:$B$27,nASIG)&gt;0)*1),"")))</f>
        <v/>
      </c>
      <c r="H949" t="str">
        <f>IF(G949="","",IF(G949="[FÓRMULA MANUAL]","",IFERROR(AVERAGEIFS(nNOTA,nNIA,G949,nCUENTA,1,nASIG,"Lenguaje Musical"),"")))</f>
        <v/>
      </c>
      <c r="I949" t="str">
        <f>IF(G949="","",IF(G949="[FÓRMULA MANUAL]","",IFERROR(AVERAGEIFS(nNOTA,nNIA,G949,nCUENTA,1,nASIG,"Orquesta/Banda/Conjunto"),"")))</f>
        <v/>
      </c>
      <c r="J949" t="str">
        <f>IF(G949="","",IF(G949="[FÓRMULA MANUAL]","",IFERROR(AVERAGEIFS(nNOTA,nNIA,G949,nCUENTA,1,nASIG,"Conjunto"),"")))</f>
        <v/>
      </c>
      <c r="K949" t="str">
        <f>IF(G949="","",IF(G949="[FÓRMULA MANUAL]","",IFERROR(SUMPRODUCT((nNIA=G949)*(nCUENTA=1)*(COUNTIF(CONFIG_ASIGNATURAS!$B$7:$B$27,nASIG)&gt;0)*(nNOTA))/SUMPRODUCT((nNIA=G949)*(nCUENTA=1)*(COUNTIF(CONFIG_ASIGNATURAS!$B$7:$B$27,nASIG)&gt;0)*1),"")))</f>
        <v/>
      </c>
      <c r="N949" t="str">
        <f>IF(M949="","",IF(M949="[FÓRMULA MANUAL]","",IFERROR(AVERAGEIFS(nNOTA,nNIA,M949,nCUENTA,1,nASIG,"Armonía"),"")))</f>
        <v/>
      </c>
      <c r="O949" t="str">
        <f>IF(M949="","",IF(M949="[FÓRMULA MANUAL]","",IFERROR(AVERAGEIFS(nNOTA,nNIA,M949,nCUENTA,1,nASIG,"Orquesta/Banda/Conjunto"),"")))</f>
        <v/>
      </c>
      <c r="P949" t="str">
        <f>IF(M949="","",IF(M949="[FÓRMULA MANUAL]","",IFERROR(AVERAGEIFS(nNOTA,nNIA,M949,nCUENTA,1,nASIG,"Música de Cámara"),"")))</f>
        <v/>
      </c>
      <c r="Q949" t="str">
        <f>IF(M949="","",IF(M949="[FÓRMULA MANUAL]","",IFERROR(SUMPRODUCT((nNIA=M949)*(nCUENTA=1)*(COUNTIF(CONFIG_ASIGNATURAS!$B$7:$B$27,nASIG)&gt;0)*(nNOTA))/SUMPRODUCT((nNIA=M949)*(nCUENTA=1)*(COUNTIF(CONFIG_ASIGNATURAS!$B$7:$B$27,nASIG)&gt;0)*1),"")))</f>
        <v/>
      </c>
      <c r="T949" t="str">
        <f>IF(S949="","",IF(S949="[FÓRMULA MANUAL]","",IFERROR(AVERAGEIFS(nNOTA,nNIA,S949,nCUENTA,1,nASIG,"Armonía"),"")))</f>
        <v/>
      </c>
      <c r="U949" t="str">
        <f>IF(S949="","",IF(S949="[FÓRMULA MANUAL]","",IFERROR(AVERAGEIFS(nNOTA,nNIA,S949,nCUENTA,1,nASIG,"Orquesta/Banda/Conjunto"),"")))</f>
        <v/>
      </c>
      <c r="V949" t="str">
        <f>IF(S949="","",IF(S949="[FÓRMULA MANUAL]","",IFERROR(AVERAGEIFS(nNOTA,nNIA,S949,nCUENTA,1,nASIG,"Música de Cámara"),"")))</f>
        <v/>
      </c>
      <c r="W949" t="str">
        <f>IF(S949="","",IF(S949="[FÓRMULA MANUAL]","",IFERROR(SUMPRODUCT((nNIA=S949)*(nCUENTA=1)*(COUNTIF(CONFIG_ASIGNATURAS!$B$7:$B$27,nASIG)&gt;0)*(nNOTA))/SUMPRODUCT((nNIA=S949)*(nCUENTA=1)*(COUNTIF(CONFIG_ASIGNATURAS!$B$7:$B$27,nASIG)&gt;0)*1),"")))</f>
        <v/>
      </c>
      <c r="Z949" t="str">
        <f>IF(Y949="","",IF(Y949="[FÓRMULA MANUAL]","",IFERROR(AVERAGEIFS(nNOTA,nNIA,Y949,nCUENTA,1,nASIG,"Análisis"),"")))</f>
        <v/>
      </c>
      <c r="AA949" t="str">
        <f>IF(Y949="","",IF(Y949="[FÓRMULA MANUAL]","",IFERROR(AVERAGEIFS(nNOTA,nNIA,Y949,nCUENTA,1,nASIG,"Orquesta/Banda/Conjunto"),"")))</f>
        <v/>
      </c>
      <c r="AB949" t="str">
        <f>IF(Y949="","",IF(Y949="[FÓRMULA MANUAL]","",IFERROR(AVERAGEIFS(nNOTA,nNIA,Y949,nCUENTA,1,nASIG,"Música de Cámara"),"")))</f>
        <v/>
      </c>
      <c r="AC949" t="str">
        <f>IF(Y949="","",IF(Y949="[FÓRMULA MANUAL]","",IFERROR(SUMPRODUCT((nNIA=Y949)*(nCUENTA=1)*(COUNTIF(CONFIG_ASIGNATURAS!$B$7:$B$27,nASIG)&gt;0)*(nNOTA))/SUMPRODUCT((nNIA=Y949)*(nCUENTA=1)*(COUNTIF(CONFIG_ASIGNATURAS!$B$7:$B$27,nASIG)&gt;0)*1),"")))</f>
        <v/>
      </c>
      <c r="AF949" t="str">
        <f>IF(AE949="","",IF(AE949="[FÓRMULA MANUAL]","",IFERROR(AVERAGEIFS(nNOTA,nNIA,AE949,nCUENTA,1,nASIG,"Análisis"),"")))</f>
        <v/>
      </c>
      <c r="AG949" t="str">
        <f>IF(AE949="","",IF(AE949="[FÓRMULA MANUAL]","",IFERROR(AVERAGEIFS(nNOTA,nNIA,AE949,nCUENTA,1,nASIG,"Orquesta/Banda/Conjunto"),"")))</f>
        <v/>
      </c>
      <c r="AH949" t="str">
        <f>IF(AE949="","",IF(AE949="[FÓRMULA MANUAL]","",IFERROR(AVERAGEIFS(nNOTA,nNIA,AE949,nCUENTA,1,nASIG,"Música de Cámara"),"")))</f>
        <v/>
      </c>
      <c r="AI949" t="str">
        <f>IF(AE949="","",IF(AE949="[FÓRMULA MANUAL]","",IFERROR(SUMPRODUCT((nNIA=AE949)*(nCUENTA=1)*(COUNTIF(CONFIG_ASIGNATURAS!$B$7:$B$27,nASIG)&gt;0)*(nNOTA))/SUMPRODUCT((nNIA=AE949)*(nCUENTA=1)*(COUNTIF(CONFIG_ASIGNATURAS!$B$7:$B$27,nASIG)&gt;0)*1),"")))</f>
        <v/>
      </c>
    </row>
    <row r="950" spans="2:35" x14ac:dyDescent="0.2">
      <c r="B950" t="str">
        <f>IF(A950="","",IF(A950="[FÓRMULA MANUAL]","",IFERROR(AVERAGEIFS(nNOTA,nNIA,A950,nCUENTA,1,nASIG,"Lenguaje Musical"),"")))</f>
        <v/>
      </c>
      <c r="C950" t="str">
        <f>IF(A950="","",IF(A950="[FÓRMULA MANUAL]","",IFERROR(AVERAGEIFS(nNOTA,nNIA,A950,nCUENTA,1,nASIG,"Orquesta/Banda/Conjunto"),"")))</f>
        <v/>
      </c>
      <c r="D950" t="str">
        <f>IF(A950="","",IF(A950="[FÓRMULA MANUAL]","",IFERROR(AVERAGEIFS(nNOTA,nNIA,A950,nCUENTA,1,nASIG,"Conjunto"),"")))</f>
        <v/>
      </c>
      <c r="E950" t="str">
        <f>IF(A950="","",IF(A950="[FÓRMULA MANUAL]","",IFERROR(SUMPRODUCT((nNIA=A950)*(nCUENTA=1)*(COUNTIF(CONFIG_ASIGNATURAS!$B$7:$B$27,nASIG)&gt;0)*(nNOTA))/SUMPRODUCT((nNIA=A950)*(nCUENTA=1)*(COUNTIF(CONFIG_ASIGNATURAS!$B$7:$B$27,nASIG)&gt;0)*1),"")))</f>
        <v/>
      </c>
      <c r="H950" t="str">
        <f>IF(G950="","",IF(G950="[FÓRMULA MANUAL]","",IFERROR(AVERAGEIFS(nNOTA,nNIA,G950,nCUENTA,1,nASIG,"Lenguaje Musical"),"")))</f>
        <v/>
      </c>
      <c r="I950" t="str">
        <f>IF(G950="","",IF(G950="[FÓRMULA MANUAL]","",IFERROR(AVERAGEIFS(nNOTA,nNIA,G950,nCUENTA,1,nASIG,"Orquesta/Banda/Conjunto"),"")))</f>
        <v/>
      </c>
      <c r="J950" t="str">
        <f>IF(G950="","",IF(G950="[FÓRMULA MANUAL]","",IFERROR(AVERAGEIFS(nNOTA,nNIA,G950,nCUENTA,1,nASIG,"Conjunto"),"")))</f>
        <v/>
      </c>
      <c r="K950" t="str">
        <f>IF(G950="","",IF(G950="[FÓRMULA MANUAL]","",IFERROR(SUMPRODUCT((nNIA=G950)*(nCUENTA=1)*(COUNTIF(CONFIG_ASIGNATURAS!$B$7:$B$27,nASIG)&gt;0)*(nNOTA))/SUMPRODUCT((nNIA=G950)*(nCUENTA=1)*(COUNTIF(CONFIG_ASIGNATURAS!$B$7:$B$27,nASIG)&gt;0)*1),"")))</f>
        <v/>
      </c>
      <c r="N950" t="str">
        <f>IF(M950="","",IF(M950="[FÓRMULA MANUAL]","",IFERROR(AVERAGEIFS(nNOTA,nNIA,M950,nCUENTA,1,nASIG,"Armonía"),"")))</f>
        <v/>
      </c>
      <c r="O950" t="str">
        <f>IF(M950="","",IF(M950="[FÓRMULA MANUAL]","",IFERROR(AVERAGEIFS(nNOTA,nNIA,M950,nCUENTA,1,nASIG,"Orquesta/Banda/Conjunto"),"")))</f>
        <v/>
      </c>
      <c r="P950" t="str">
        <f>IF(M950="","",IF(M950="[FÓRMULA MANUAL]","",IFERROR(AVERAGEIFS(nNOTA,nNIA,M950,nCUENTA,1,nASIG,"Música de Cámara"),"")))</f>
        <v/>
      </c>
      <c r="Q950" t="str">
        <f>IF(M950="","",IF(M950="[FÓRMULA MANUAL]","",IFERROR(SUMPRODUCT((nNIA=M950)*(nCUENTA=1)*(COUNTIF(CONFIG_ASIGNATURAS!$B$7:$B$27,nASIG)&gt;0)*(nNOTA))/SUMPRODUCT((nNIA=M950)*(nCUENTA=1)*(COUNTIF(CONFIG_ASIGNATURAS!$B$7:$B$27,nASIG)&gt;0)*1),"")))</f>
        <v/>
      </c>
      <c r="T950" t="str">
        <f>IF(S950="","",IF(S950="[FÓRMULA MANUAL]","",IFERROR(AVERAGEIFS(nNOTA,nNIA,S950,nCUENTA,1,nASIG,"Armonía"),"")))</f>
        <v/>
      </c>
      <c r="U950" t="str">
        <f>IF(S950="","",IF(S950="[FÓRMULA MANUAL]","",IFERROR(AVERAGEIFS(nNOTA,nNIA,S950,nCUENTA,1,nASIG,"Orquesta/Banda/Conjunto"),"")))</f>
        <v/>
      </c>
      <c r="V950" t="str">
        <f>IF(S950="","",IF(S950="[FÓRMULA MANUAL]","",IFERROR(AVERAGEIFS(nNOTA,nNIA,S950,nCUENTA,1,nASIG,"Música de Cámara"),"")))</f>
        <v/>
      </c>
      <c r="W950" t="str">
        <f>IF(S950="","",IF(S950="[FÓRMULA MANUAL]","",IFERROR(SUMPRODUCT((nNIA=S950)*(nCUENTA=1)*(COUNTIF(CONFIG_ASIGNATURAS!$B$7:$B$27,nASIG)&gt;0)*(nNOTA))/SUMPRODUCT((nNIA=S950)*(nCUENTA=1)*(COUNTIF(CONFIG_ASIGNATURAS!$B$7:$B$27,nASIG)&gt;0)*1),"")))</f>
        <v/>
      </c>
      <c r="Z950" t="str">
        <f>IF(Y950="","",IF(Y950="[FÓRMULA MANUAL]","",IFERROR(AVERAGEIFS(nNOTA,nNIA,Y950,nCUENTA,1,nASIG,"Análisis"),"")))</f>
        <v/>
      </c>
      <c r="AA950" t="str">
        <f>IF(Y950="","",IF(Y950="[FÓRMULA MANUAL]","",IFERROR(AVERAGEIFS(nNOTA,nNIA,Y950,nCUENTA,1,nASIG,"Orquesta/Banda/Conjunto"),"")))</f>
        <v/>
      </c>
      <c r="AB950" t="str">
        <f>IF(Y950="","",IF(Y950="[FÓRMULA MANUAL]","",IFERROR(AVERAGEIFS(nNOTA,nNIA,Y950,nCUENTA,1,nASIG,"Música de Cámara"),"")))</f>
        <v/>
      </c>
      <c r="AC950" t="str">
        <f>IF(Y950="","",IF(Y950="[FÓRMULA MANUAL]","",IFERROR(SUMPRODUCT((nNIA=Y950)*(nCUENTA=1)*(COUNTIF(CONFIG_ASIGNATURAS!$B$7:$B$27,nASIG)&gt;0)*(nNOTA))/SUMPRODUCT((nNIA=Y950)*(nCUENTA=1)*(COUNTIF(CONFIG_ASIGNATURAS!$B$7:$B$27,nASIG)&gt;0)*1),"")))</f>
        <v/>
      </c>
      <c r="AF950" t="str">
        <f>IF(AE950="","",IF(AE950="[FÓRMULA MANUAL]","",IFERROR(AVERAGEIFS(nNOTA,nNIA,AE950,nCUENTA,1,nASIG,"Análisis"),"")))</f>
        <v/>
      </c>
      <c r="AG950" t="str">
        <f>IF(AE950="","",IF(AE950="[FÓRMULA MANUAL]","",IFERROR(AVERAGEIFS(nNOTA,nNIA,AE950,nCUENTA,1,nASIG,"Orquesta/Banda/Conjunto"),"")))</f>
        <v/>
      </c>
      <c r="AH950" t="str">
        <f>IF(AE950="","",IF(AE950="[FÓRMULA MANUAL]","",IFERROR(AVERAGEIFS(nNOTA,nNIA,AE950,nCUENTA,1,nASIG,"Música de Cámara"),"")))</f>
        <v/>
      </c>
      <c r="AI950" t="str">
        <f>IF(AE950="","",IF(AE950="[FÓRMULA MANUAL]","",IFERROR(SUMPRODUCT((nNIA=AE950)*(nCUENTA=1)*(COUNTIF(CONFIG_ASIGNATURAS!$B$7:$B$27,nASIG)&gt;0)*(nNOTA))/SUMPRODUCT((nNIA=AE950)*(nCUENTA=1)*(COUNTIF(CONFIG_ASIGNATURAS!$B$7:$B$27,nASIG)&gt;0)*1),"")))</f>
        <v/>
      </c>
    </row>
    <row r="951" spans="2:35" x14ac:dyDescent="0.2">
      <c r="B951" t="str">
        <f>IF(A951="","",IF(A951="[FÓRMULA MANUAL]","",IFERROR(AVERAGEIFS(nNOTA,nNIA,A951,nCUENTA,1,nASIG,"Lenguaje Musical"),"")))</f>
        <v/>
      </c>
      <c r="C951" t="str">
        <f>IF(A951="","",IF(A951="[FÓRMULA MANUAL]","",IFERROR(AVERAGEIFS(nNOTA,nNIA,A951,nCUENTA,1,nASIG,"Orquesta/Banda/Conjunto"),"")))</f>
        <v/>
      </c>
      <c r="D951" t="str">
        <f>IF(A951="","",IF(A951="[FÓRMULA MANUAL]","",IFERROR(AVERAGEIFS(nNOTA,nNIA,A951,nCUENTA,1,nASIG,"Conjunto"),"")))</f>
        <v/>
      </c>
      <c r="E951" t="str">
        <f>IF(A951="","",IF(A951="[FÓRMULA MANUAL]","",IFERROR(SUMPRODUCT((nNIA=A951)*(nCUENTA=1)*(COUNTIF(CONFIG_ASIGNATURAS!$B$7:$B$27,nASIG)&gt;0)*(nNOTA))/SUMPRODUCT((nNIA=A951)*(nCUENTA=1)*(COUNTIF(CONFIG_ASIGNATURAS!$B$7:$B$27,nASIG)&gt;0)*1),"")))</f>
        <v/>
      </c>
      <c r="H951" t="str">
        <f>IF(G951="","",IF(G951="[FÓRMULA MANUAL]","",IFERROR(AVERAGEIFS(nNOTA,nNIA,G951,nCUENTA,1,nASIG,"Lenguaje Musical"),"")))</f>
        <v/>
      </c>
      <c r="I951" t="str">
        <f>IF(G951="","",IF(G951="[FÓRMULA MANUAL]","",IFERROR(AVERAGEIFS(nNOTA,nNIA,G951,nCUENTA,1,nASIG,"Orquesta/Banda/Conjunto"),"")))</f>
        <v/>
      </c>
      <c r="J951" t="str">
        <f>IF(G951="","",IF(G951="[FÓRMULA MANUAL]","",IFERROR(AVERAGEIFS(nNOTA,nNIA,G951,nCUENTA,1,nASIG,"Conjunto"),"")))</f>
        <v/>
      </c>
      <c r="K951" t="str">
        <f>IF(G951="","",IF(G951="[FÓRMULA MANUAL]","",IFERROR(SUMPRODUCT((nNIA=G951)*(nCUENTA=1)*(COUNTIF(CONFIG_ASIGNATURAS!$B$7:$B$27,nASIG)&gt;0)*(nNOTA))/SUMPRODUCT((nNIA=G951)*(nCUENTA=1)*(COUNTIF(CONFIG_ASIGNATURAS!$B$7:$B$27,nASIG)&gt;0)*1),"")))</f>
        <v/>
      </c>
      <c r="N951" t="str">
        <f>IF(M951="","",IF(M951="[FÓRMULA MANUAL]","",IFERROR(AVERAGEIFS(nNOTA,nNIA,M951,nCUENTA,1,nASIG,"Armonía"),"")))</f>
        <v/>
      </c>
      <c r="O951" t="str">
        <f>IF(M951="","",IF(M951="[FÓRMULA MANUAL]","",IFERROR(AVERAGEIFS(nNOTA,nNIA,M951,nCUENTA,1,nASIG,"Orquesta/Banda/Conjunto"),"")))</f>
        <v/>
      </c>
      <c r="P951" t="str">
        <f>IF(M951="","",IF(M951="[FÓRMULA MANUAL]","",IFERROR(AVERAGEIFS(nNOTA,nNIA,M951,nCUENTA,1,nASIG,"Música de Cámara"),"")))</f>
        <v/>
      </c>
      <c r="Q951" t="str">
        <f>IF(M951="","",IF(M951="[FÓRMULA MANUAL]","",IFERROR(SUMPRODUCT((nNIA=M951)*(nCUENTA=1)*(COUNTIF(CONFIG_ASIGNATURAS!$B$7:$B$27,nASIG)&gt;0)*(nNOTA))/SUMPRODUCT((nNIA=M951)*(nCUENTA=1)*(COUNTIF(CONFIG_ASIGNATURAS!$B$7:$B$27,nASIG)&gt;0)*1),"")))</f>
        <v/>
      </c>
      <c r="T951" t="str">
        <f>IF(S951="","",IF(S951="[FÓRMULA MANUAL]","",IFERROR(AVERAGEIFS(nNOTA,nNIA,S951,nCUENTA,1,nASIG,"Armonía"),"")))</f>
        <v/>
      </c>
      <c r="U951" t="str">
        <f>IF(S951="","",IF(S951="[FÓRMULA MANUAL]","",IFERROR(AVERAGEIFS(nNOTA,nNIA,S951,nCUENTA,1,nASIG,"Orquesta/Banda/Conjunto"),"")))</f>
        <v/>
      </c>
      <c r="V951" t="str">
        <f>IF(S951="","",IF(S951="[FÓRMULA MANUAL]","",IFERROR(AVERAGEIFS(nNOTA,nNIA,S951,nCUENTA,1,nASIG,"Música de Cámara"),"")))</f>
        <v/>
      </c>
      <c r="W951" t="str">
        <f>IF(S951="","",IF(S951="[FÓRMULA MANUAL]","",IFERROR(SUMPRODUCT((nNIA=S951)*(nCUENTA=1)*(COUNTIF(CONFIG_ASIGNATURAS!$B$7:$B$27,nASIG)&gt;0)*(nNOTA))/SUMPRODUCT((nNIA=S951)*(nCUENTA=1)*(COUNTIF(CONFIG_ASIGNATURAS!$B$7:$B$27,nASIG)&gt;0)*1),"")))</f>
        <v/>
      </c>
      <c r="Z951" t="str">
        <f>IF(Y951="","",IF(Y951="[FÓRMULA MANUAL]","",IFERROR(AVERAGEIFS(nNOTA,nNIA,Y951,nCUENTA,1,nASIG,"Análisis"),"")))</f>
        <v/>
      </c>
      <c r="AA951" t="str">
        <f>IF(Y951="","",IF(Y951="[FÓRMULA MANUAL]","",IFERROR(AVERAGEIFS(nNOTA,nNIA,Y951,nCUENTA,1,nASIG,"Orquesta/Banda/Conjunto"),"")))</f>
        <v/>
      </c>
      <c r="AB951" t="str">
        <f>IF(Y951="","",IF(Y951="[FÓRMULA MANUAL]","",IFERROR(AVERAGEIFS(nNOTA,nNIA,Y951,nCUENTA,1,nASIG,"Música de Cámara"),"")))</f>
        <v/>
      </c>
      <c r="AC951" t="str">
        <f>IF(Y951="","",IF(Y951="[FÓRMULA MANUAL]","",IFERROR(SUMPRODUCT((nNIA=Y951)*(nCUENTA=1)*(COUNTIF(CONFIG_ASIGNATURAS!$B$7:$B$27,nASIG)&gt;0)*(nNOTA))/SUMPRODUCT((nNIA=Y951)*(nCUENTA=1)*(COUNTIF(CONFIG_ASIGNATURAS!$B$7:$B$27,nASIG)&gt;0)*1),"")))</f>
        <v/>
      </c>
      <c r="AF951" t="str">
        <f>IF(AE951="","",IF(AE951="[FÓRMULA MANUAL]","",IFERROR(AVERAGEIFS(nNOTA,nNIA,AE951,nCUENTA,1,nASIG,"Análisis"),"")))</f>
        <v/>
      </c>
      <c r="AG951" t="str">
        <f>IF(AE951="","",IF(AE951="[FÓRMULA MANUAL]","",IFERROR(AVERAGEIFS(nNOTA,nNIA,AE951,nCUENTA,1,nASIG,"Orquesta/Banda/Conjunto"),"")))</f>
        <v/>
      </c>
      <c r="AH951" t="str">
        <f>IF(AE951="","",IF(AE951="[FÓRMULA MANUAL]","",IFERROR(AVERAGEIFS(nNOTA,nNIA,AE951,nCUENTA,1,nASIG,"Música de Cámara"),"")))</f>
        <v/>
      </c>
      <c r="AI951" t="str">
        <f>IF(AE951="","",IF(AE951="[FÓRMULA MANUAL]","",IFERROR(SUMPRODUCT((nNIA=AE951)*(nCUENTA=1)*(COUNTIF(CONFIG_ASIGNATURAS!$B$7:$B$27,nASIG)&gt;0)*(nNOTA))/SUMPRODUCT((nNIA=AE951)*(nCUENTA=1)*(COUNTIF(CONFIG_ASIGNATURAS!$B$7:$B$27,nASIG)&gt;0)*1),"")))</f>
        <v/>
      </c>
    </row>
    <row r="952" spans="2:35" x14ac:dyDescent="0.2">
      <c r="B952" t="str">
        <f>IF(A952="","",IF(A952="[FÓRMULA MANUAL]","",IFERROR(AVERAGEIFS(nNOTA,nNIA,A952,nCUENTA,1,nASIG,"Lenguaje Musical"),"")))</f>
        <v/>
      </c>
      <c r="C952" t="str">
        <f>IF(A952="","",IF(A952="[FÓRMULA MANUAL]","",IFERROR(AVERAGEIFS(nNOTA,nNIA,A952,nCUENTA,1,nASIG,"Orquesta/Banda/Conjunto"),"")))</f>
        <v/>
      </c>
      <c r="D952" t="str">
        <f>IF(A952="","",IF(A952="[FÓRMULA MANUAL]","",IFERROR(AVERAGEIFS(nNOTA,nNIA,A952,nCUENTA,1,nASIG,"Conjunto"),"")))</f>
        <v/>
      </c>
      <c r="E952" t="str">
        <f>IF(A952="","",IF(A952="[FÓRMULA MANUAL]","",IFERROR(SUMPRODUCT((nNIA=A952)*(nCUENTA=1)*(COUNTIF(CONFIG_ASIGNATURAS!$B$7:$B$27,nASIG)&gt;0)*(nNOTA))/SUMPRODUCT((nNIA=A952)*(nCUENTA=1)*(COUNTIF(CONFIG_ASIGNATURAS!$B$7:$B$27,nASIG)&gt;0)*1),"")))</f>
        <v/>
      </c>
      <c r="H952" t="str">
        <f>IF(G952="","",IF(G952="[FÓRMULA MANUAL]","",IFERROR(AVERAGEIFS(nNOTA,nNIA,G952,nCUENTA,1,nASIG,"Lenguaje Musical"),"")))</f>
        <v/>
      </c>
      <c r="I952" t="str">
        <f>IF(G952="","",IF(G952="[FÓRMULA MANUAL]","",IFERROR(AVERAGEIFS(nNOTA,nNIA,G952,nCUENTA,1,nASIG,"Orquesta/Banda/Conjunto"),"")))</f>
        <v/>
      </c>
      <c r="J952" t="str">
        <f>IF(G952="","",IF(G952="[FÓRMULA MANUAL]","",IFERROR(AVERAGEIFS(nNOTA,nNIA,G952,nCUENTA,1,nASIG,"Conjunto"),"")))</f>
        <v/>
      </c>
      <c r="K952" t="str">
        <f>IF(G952="","",IF(G952="[FÓRMULA MANUAL]","",IFERROR(SUMPRODUCT((nNIA=G952)*(nCUENTA=1)*(COUNTIF(CONFIG_ASIGNATURAS!$B$7:$B$27,nASIG)&gt;0)*(nNOTA))/SUMPRODUCT((nNIA=G952)*(nCUENTA=1)*(COUNTIF(CONFIG_ASIGNATURAS!$B$7:$B$27,nASIG)&gt;0)*1),"")))</f>
        <v/>
      </c>
      <c r="N952" t="str">
        <f>IF(M952="","",IF(M952="[FÓRMULA MANUAL]","",IFERROR(AVERAGEIFS(nNOTA,nNIA,M952,nCUENTA,1,nASIG,"Armonía"),"")))</f>
        <v/>
      </c>
      <c r="O952" t="str">
        <f>IF(M952="","",IF(M952="[FÓRMULA MANUAL]","",IFERROR(AVERAGEIFS(nNOTA,nNIA,M952,nCUENTA,1,nASIG,"Orquesta/Banda/Conjunto"),"")))</f>
        <v/>
      </c>
      <c r="P952" t="str">
        <f>IF(M952="","",IF(M952="[FÓRMULA MANUAL]","",IFERROR(AVERAGEIFS(nNOTA,nNIA,M952,nCUENTA,1,nASIG,"Música de Cámara"),"")))</f>
        <v/>
      </c>
      <c r="Q952" t="str">
        <f>IF(M952="","",IF(M952="[FÓRMULA MANUAL]","",IFERROR(SUMPRODUCT((nNIA=M952)*(nCUENTA=1)*(COUNTIF(CONFIG_ASIGNATURAS!$B$7:$B$27,nASIG)&gt;0)*(nNOTA))/SUMPRODUCT((nNIA=M952)*(nCUENTA=1)*(COUNTIF(CONFIG_ASIGNATURAS!$B$7:$B$27,nASIG)&gt;0)*1),"")))</f>
        <v/>
      </c>
      <c r="T952" t="str">
        <f>IF(S952="","",IF(S952="[FÓRMULA MANUAL]","",IFERROR(AVERAGEIFS(nNOTA,nNIA,S952,nCUENTA,1,nASIG,"Armonía"),"")))</f>
        <v/>
      </c>
      <c r="U952" t="str">
        <f>IF(S952="","",IF(S952="[FÓRMULA MANUAL]","",IFERROR(AVERAGEIFS(nNOTA,nNIA,S952,nCUENTA,1,nASIG,"Orquesta/Banda/Conjunto"),"")))</f>
        <v/>
      </c>
      <c r="V952" t="str">
        <f>IF(S952="","",IF(S952="[FÓRMULA MANUAL]","",IFERROR(AVERAGEIFS(nNOTA,nNIA,S952,nCUENTA,1,nASIG,"Música de Cámara"),"")))</f>
        <v/>
      </c>
      <c r="W952" t="str">
        <f>IF(S952="","",IF(S952="[FÓRMULA MANUAL]","",IFERROR(SUMPRODUCT((nNIA=S952)*(nCUENTA=1)*(COUNTIF(CONFIG_ASIGNATURAS!$B$7:$B$27,nASIG)&gt;0)*(nNOTA))/SUMPRODUCT((nNIA=S952)*(nCUENTA=1)*(COUNTIF(CONFIG_ASIGNATURAS!$B$7:$B$27,nASIG)&gt;0)*1),"")))</f>
        <v/>
      </c>
      <c r="Z952" t="str">
        <f>IF(Y952="","",IF(Y952="[FÓRMULA MANUAL]","",IFERROR(AVERAGEIFS(nNOTA,nNIA,Y952,nCUENTA,1,nASIG,"Análisis"),"")))</f>
        <v/>
      </c>
      <c r="AA952" t="str">
        <f>IF(Y952="","",IF(Y952="[FÓRMULA MANUAL]","",IFERROR(AVERAGEIFS(nNOTA,nNIA,Y952,nCUENTA,1,nASIG,"Orquesta/Banda/Conjunto"),"")))</f>
        <v/>
      </c>
      <c r="AB952" t="str">
        <f>IF(Y952="","",IF(Y952="[FÓRMULA MANUAL]","",IFERROR(AVERAGEIFS(nNOTA,nNIA,Y952,nCUENTA,1,nASIG,"Música de Cámara"),"")))</f>
        <v/>
      </c>
      <c r="AC952" t="str">
        <f>IF(Y952="","",IF(Y952="[FÓRMULA MANUAL]","",IFERROR(SUMPRODUCT((nNIA=Y952)*(nCUENTA=1)*(COUNTIF(CONFIG_ASIGNATURAS!$B$7:$B$27,nASIG)&gt;0)*(nNOTA))/SUMPRODUCT((nNIA=Y952)*(nCUENTA=1)*(COUNTIF(CONFIG_ASIGNATURAS!$B$7:$B$27,nASIG)&gt;0)*1),"")))</f>
        <v/>
      </c>
      <c r="AF952" t="str">
        <f>IF(AE952="","",IF(AE952="[FÓRMULA MANUAL]","",IFERROR(AVERAGEIFS(nNOTA,nNIA,AE952,nCUENTA,1,nASIG,"Análisis"),"")))</f>
        <v/>
      </c>
      <c r="AG952" t="str">
        <f>IF(AE952="","",IF(AE952="[FÓRMULA MANUAL]","",IFERROR(AVERAGEIFS(nNOTA,nNIA,AE952,nCUENTA,1,nASIG,"Orquesta/Banda/Conjunto"),"")))</f>
        <v/>
      </c>
      <c r="AH952" t="str">
        <f>IF(AE952="","",IF(AE952="[FÓRMULA MANUAL]","",IFERROR(AVERAGEIFS(nNOTA,nNIA,AE952,nCUENTA,1,nASIG,"Música de Cámara"),"")))</f>
        <v/>
      </c>
      <c r="AI952" t="str">
        <f>IF(AE952="","",IF(AE952="[FÓRMULA MANUAL]","",IFERROR(SUMPRODUCT((nNIA=AE952)*(nCUENTA=1)*(COUNTIF(CONFIG_ASIGNATURAS!$B$7:$B$27,nASIG)&gt;0)*(nNOTA))/SUMPRODUCT((nNIA=AE952)*(nCUENTA=1)*(COUNTIF(CONFIG_ASIGNATURAS!$B$7:$B$27,nASIG)&gt;0)*1),"")))</f>
        <v/>
      </c>
    </row>
    <row r="953" spans="2:35" x14ac:dyDescent="0.2">
      <c r="B953" t="str">
        <f>IF(A953="","",IF(A953="[FÓRMULA MANUAL]","",IFERROR(AVERAGEIFS(nNOTA,nNIA,A953,nCUENTA,1,nASIG,"Lenguaje Musical"),"")))</f>
        <v/>
      </c>
      <c r="C953" t="str">
        <f>IF(A953="","",IF(A953="[FÓRMULA MANUAL]","",IFERROR(AVERAGEIFS(nNOTA,nNIA,A953,nCUENTA,1,nASIG,"Orquesta/Banda/Conjunto"),"")))</f>
        <v/>
      </c>
      <c r="D953" t="str">
        <f>IF(A953="","",IF(A953="[FÓRMULA MANUAL]","",IFERROR(AVERAGEIFS(nNOTA,nNIA,A953,nCUENTA,1,nASIG,"Conjunto"),"")))</f>
        <v/>
      </c>
      <c r="E953" t="str">
        <f>IF(A953="","",IF(A953="[FÓRMULA MANUAL]","",IFERROR(SUMPRODUCT((nNIA=A953)*(nCUENTA=1)*(COUNTIF(CONFIG_ASIGNATURAS!$B$7:$B$27,nASIG)&gt;0)*(nNOTA))/SUMPRODUCT((nNIA=A953)*(nCUENTA=1)*(COUNTIF(CONFIG_ASIGNATURAS!$B$7:$B$27,nASIG)&gt;0)*1),"")))</f>
        <v/>
      </c>
      <c r="H953" t="str">
        <f>IF(G953="","",IF(G953="[FÓRMULA MANUAL]","",IFERROR(AVERAGEIFS(nNOTA,nNIA,G953,nCUENTA,1,nASIG,"Lenguaje Musical"),"")))</f>
        <v/>
      </c>
      <c r="I953" t="str">
        <f>IF(G953="","",IF(G953="[FÓRMULA MANUAL]","",IFERROR(AVERAGEIFS(nNOTA,nNIA,G953,nCUENTA,1,nASIG,"Orquesta/Banda/Conjunto"),"")))</f>
        <v/>
      </c>
      <c r="J953" t="str">
        <f>IF(G953="","",IF(G953="[FÓRMULA MANUAL]","",IFERROR(AVERAGEIFS(nNOTA,nNIA,G953,nCUENTA,1,nASIG,"Conjunto"),"")))</f>
        <v/>
      </c>
      <c r="K953" t="str">
        <f>IF(G953="","",IF(G953="[FÓRMULA MANUAL]","",IFERROR(SUMPRODUCT((nNIA=G953)*(nCUENTA=1)*(COUNTIF(CONFIG_ASIGNATURAS!$B$7:$B$27,nASIG)&gt;0)*(nNOTA))/SUMPRODUCT((nNIA=G953)*(nCUENTA=1)*(COUNTIF(CONFIG_ASIGNATURAS!$B$7:$B$27,nASIG)&gt;0)*1),"")))</f>
        <v/>
      </c>
      <c r="N953" t="str">
        <f>IF(M953="","",IF(M953="[FÓRMULA MANUAL]","",IFERROR(AVERAGEIFS(nNOTA,nNIA,M953,nCUENTA,1,nASIG,"Armonía"),"")))</f>
        <v/>
      </c>
      <c r="O953" t="str">
        <f>IF(M953="","",IF(M953="[FÓRMULA MANUAL]","",IFERROR(AVERAGEIFS(nNOTA,nNIA,M953,nCUENTA,1,nASIG,"Orquesta/Banda/Conjunto"),"")))</f>
        <v/>
      </c>
      <c r="P953" t="str">
        <f>IF(M953="","",IF(M953="[FÓRMULA MANUAL]","",IFERROR(AVERAGEIFS(nNOTA,nNIA,M953,nCUENTA,1,nASIG,"Música de Cámara"),"")))</f>
        <v/>
      </c>
      <c r="Q953" t="str">
        <f>IF(M953="","",IF(M953="[FÓRMULA MANUAL]","",IFERROR(SUMPRODUCT((nNIA=M953)*(nCUENTA=1)*(COUNTIF(CONFIG_ASIGNATURAS!$B$7:$B$27,nASIG)&gt;0)*(nNOTA))/SUMPRODUCT((nNIA=M953)*(nCUENTA=1)*(COUNTIF(CONFIG_ASIGNATURAS!$B$7:$B$27,nASIG)&gt;0)*1),"")))</f>
        <v/>
      </c>
      <c r="T953" t="str">
        <f>IF(S953="","",IF(S953="[FÓRMULA MANUAL]","",IFERROR(AVERAGEIFS(nNOTA,nNIA,S953,nCUENTA,1,nASIG,"Armonía"),"")))</f>
        <v/>
      </c>
      <c r="U953" t="str">
        <f>IF(S953="","",IF(S953="[FÓRMULA MANUAL]","",IFERROR(AVERAGEIFS(nNOTA,nNIA,S953,nCUENTA,1,nASIG,"Orquesta/Banda/Conjunto"),"")))</f>
        <v/>
      </c>
      <c r="V953" t="str">
        <f>IF(S953="","",IF(S953="[FÓRMULA MANUAL]","",IFERROR(AVERAGEIFS(nNOTA,nNIA,S953,nCUENTA,1,nASIG,"Música de Cámara"),"")))</f>
        <v/>
      </c>
      <c r="W953" t="str">
        <f>IF(S953="","",IF(S953="[FÓRMULA MANUAL]","",IFERROR(SUMPRODUCT((nNIA=S953)*(nCUENTA=1)*(COUNTIF(CONFIG_ASIGNATURAS!$B$7:$B$27,nASIG)&gt;0)*(nNOTA))/SUMPRODUCT((nNIA=S953)*(nCUENTA=1)*(COUNTIF(CONFIG_ASIGNATURAS!$B$7:$B$27,nASIG)&gt;0)*1),"")))</f>
        <v/>
      </c>
      <c r="Z953" t="str">
        <f>IF(Y953="","",IF(Y953="[FÓRMULA MANUAL]","",IFERROR(AVERAGEIFS(nNOTA,nNIA,Y953,nCUENTA,1,nASIG,"Análisis"),"")))</f>
        <v/>
      </c>
      <c r="AA953" t="str">
        <f>IF(Y953="","",IF(Y953="[FÓRMULA MANUAL]","",IFERROR(AVERAGEIFS(nNOTA,nNIA,Y953,nCUENTA,1,nASIG,"Orquesta/Banda/Conjunto"),"")))</f>
        <v/>
      </c>
      <c r="AB953" t="str">
        <f>IF(Y953="","",IF(Y953="[FÓRMULA MANUAL]","",IFERROR(AVERAGEIFS(nNOTA,nNIA,Y953,nCUENTA,1,nASIG,"Música de Cámara"),"")))</f>
        <v/>
      </c>
      <c r="AC953" t="str">
        <f>IF(Y953="","",IF(Y953="[FÓRMULA MANUAL]","",IFERROR(SUMPRODUCT((nNIA=Y953)*(nCUENTA=1)*(COUNTIF(CONFIG_ASIGNATURAS!$B$7:$B$27,nASIG)&gt;0)*(nNOTA))/SUMPRODUCT((nNIA=Y953)*(nCUENTA=1)*(COUNTIF(CONFIG_ASIGNATURAS!$B$7:$B$27,nASIG)&gt;0)*1),"")))</f>
        <v/>
      </c>
      <c r="AF953" t="str">
        <f>IF(AE953="","",IF(AE953="[FÓRMULA MANUAL]","",IFERROR(AVERAGEIFS(nNOTA,nNIA,AE953,nCUENTA,1,nASIG,"Análisis"),"")))</f>
        <v/>
      </c>
      <c r="AG953" t="str">
        <f>IF(AE953="","",IF(AE953="[FÓRMULA MANUAL]","",IFERROR(AVERAGEIFS(nNOTA,nNIA,AE953,nCUENTA,1,nASIG,"Orquesta/Banda/Conjunto"),"")))</f>
        <v/>
      </c>
      <c r="AH953" t="str">
        <f>IF(AE953="","",IF(AE953="[FÓRMULA MANUAL]","",IFERROR(AVERAGEIFS(nNOTA,nNIA,AE953,nCUENTA,1,nASIG,"Música de Cámara"),"")))</f>
        <v/>
      </c>
      <c r="AI953" t="str">
        <f>IF(AE953="","",IF(AE953="[FÓRMULA MANUAL]","",IFERROR(SUMPRODUCT((nNIA=AE953)*(nCUENTA=1)*(COUNTIF(CONFIG_ASIGNATURAS!$B$7:$B$27,nASIG)&gt;0)*(nNOTA))/SUMPRODUCT((nNIA=AE953)*(nCUENTA=1)*(COUNTIF(CONFIG_ASIGNATURAS!$B$7:$B$27,nASIG)&gt;0)*1),"")))</f>
        <v/>
      </c>
    </row>
    <row r="954" spans="2:35" x14ac:dyDescent="0.2">
      <c r="B954" t="str">
        <f>IF(A954="","",IF(A954="[FÓRMULA MANUAL]","",IFERROR(AVERAGEIFS(nNOTA,nNIA,A954,nCUENTA,1,nASIG,"Lenguaje Musical"),"")))</f>
        <v/>
      </c>
      <c r="C954" t="str">
        <f>IF(A954="","",IF(A954="[FÓRMULA MANUAL]","",IFERROR(AVERAGEIFS(nNOTA,nNIA,A954,nCUENTA,1,nASIG,"Orquesta/Banda/Conjunto"),"")))</f>
        <v/>
      </c>
      <c r="D954" t="str">
        <f>IF(A954="","",IF(A954="[FÓRMULA MANUAL]","",IFERROR(AVERAGEIFS(nNOTA,nNIA,A954,nCUENTA,1,nASIG,"Conjunto"),"")))</f>
        <v/>
      </c>
      <c r="E954" t="str">
        <f>IF(A954="","",IF(A954="[FÓRMULA MANUAL]","",IFERROR(SUMPRODUCT((nNIA=A954)*(nCUENTA=1)*(COUNTIF(CONFIG_ASIGNATURAS!$B$7:$B$27,nASIG)&gt;0)*(nNOTA))/SUMPRODUCT((nNIA=A954)*(nCUENTA=1)*(COUNTIF(CONFIG_ASIGNATURAS!$B$7:$B$27,nASIG)&gt;0)*1),"")))</f>
        <v/>
      </c>
      <c r="H954" t="str">
        <f>IF(G954="","",IF(G954="[FÓRMULA MANUAL]","",IFERROR(AVERAGEIFS(nNOTA,nNIA,G954,nCUENTA,1,nASIG,"Lenguaje Musical"),"")))</f>
        <v/>
      </c>
      <c r="I954" t="str">
        <f>IF(G954="","",IF(G954="[FÓRMULA MANUAL]","",IFERROR(AVERAGEIFS(nNOTA,nNIA,G954,nCUENTA,1,nASIG,"Orquesta/Banda/Conjunto"),"")))</f>
        <v/>
      </c>
      <c r="J954" t="str">
        <f>IF(G954="","",IF(G954="[FÓRMULA MANUAL]","",IFERROR(AVERAGEIFS(nNOTA,nNIA,G954,nCUENTA,1,nASIG,"Conjunto"),"")))</f>
        <v/>
      </c>
      <c r="K954" t="str">
        <f>IF(G954="","",IF(G954="[FÓRMULA MANUAL]","",IFERROR(SUMPRODUCT((nNIA=G954)*(nCUENTA=1)*(COUNTIF(CONFIG_ASIGNATURAS!$B$7:$B$27,nASIG)&gt;0)*(nNOTA))/SUMPRODUCT((nNIA=G954)*(nCUENTA=1)*(COUNTIF(CONFIG_ASIGNATURAS!$B$7:$B$27,nASIG)&gt;0)*1),"")))</f>
        <v/>
      </c>
      <c r="N954" t="str">
        <f>IF(M954="","",IF(M954="[FÓRMULA MANUAL]","",IFERROR(AVERAGEIFS(nNOTA,nNIA,M954,nCUENTA,1,nASIG,"Armonía"),"")))</f>
        <v/>
      </c>
      <c r="O954" t="str">
        <f>IF(M954="","",IF(M954="[FÓRMULA MANUAL]","",IFERROR(AVERAGEIFS(nNOTA,nNIA,M954,nCUENTA,1,nASIG,"Orquesta/Banda/Conjunto"),"")))</f>
        <v/>
      </c>
      <c r="P954" t="str">
        <f>IF(M954="","",IF(M954="[FÓRMULA MANUAL]","",IFERROR(AVERAGEIFS(nNOTA,nNIA,M954,nCUENTA,1,nASIG,"Música de Cámara"),"")))</f>
        <v/>
      </c>
      <c r="Q954" t="str">
        <f>IF(M954="","",IF(M954="[FÓRMULA MANUAL]","",IFERROR(SUMPRODUCT((nNIA=M954)*(nCUENTA=1)*(COUNTIF(CONFIG_ASIGNATURAS!$B$7:$B$27,nASIG)&gt;0)*(nNOTA))/SUMPRODUCT((nNIA=M954)*(nCUENTA=1)*(COUNTIF(CONFIG_ASIGNATURAS!$B$7:$B$27,nASIG)&gt;0)*1),"")))</f>
        <v/>
      </c>
      <c r="T954" t="str">
        <f>IF(S954="","",IF(S954="[FÓRMULA MANUAL]","",IFERROR(AVERAGEIFS(nNOTA,nNIA,S954,nCUENTA,1,nASIG,"Armonía"),"")))</f>
        <v/>
      </c>
      <c r="U954" t="str">
        <f>IF(S954="","",IF(S954="[FÓRMULA MANUAL]","",IFERROR(AVERAGEIFS(nNOTA,nNIA,S954,nCUENTA,1,nASIG,"Orquesta/Banda/Conjunto"),"")))</f>
        <v/>
      </c>
      <c r="V954" t="str">
        <f>IF(S954="","",IF(S954="[FÓRMULA MANUAL]","",IFERROR(AVERAGEIFS(nNOTA,nNIA,S954,nCUENTA,1,nASIG,"Música de Cámara"),"")))</f>
        <v/>
      </c>
      <c r="W954" t="str">
        <f>IF(S954="","",IF(S954="[FÓRMULA MANUAL]","",IFERROR(SUMPRODUCT((nNIA=S954)*(nCUENTA=1)*(COUNTIF(CONFIG_ASIGNATURAS!$B$7:$B$27,nASIG)&gt;0)*(nNOTA))/SUMPRODUCT((nNIA=S954)*(nCUENTA=1)*(COUNTIF(CONFIG_ASIGNATURAS!$B$7:$B$27,nASIG)&gt;0)*1),"")))</f>
        <v/>
      </c>
      <c r="Z954" t="str">
        <f>IF(Y954="","",IF(Y954="[FÓRMULA MANUAL]","",IFERROR(AVERAGEIFS(nNOTA,nNIA,Y954,nCUENTA,1,nASIG,"Análisis"),"")))</f>
        <v/>
      </c>
      <c r="AA954" t="str">
        <f>IF(Y954="","",IF(Y954="[FÓRMULA MANUAL]","",IFERROR(AVERAGEIFS(nNOTA,nNIA,Y954,nCUENTA,1,nASIG,"Orquesta/Banda/Conjunto"),"")))</f>
        <v/>
      </c>
      <c r="AB954" t="str">
        <f>IF(Y954="","",IF(Y954="[FÓRMULA MANUAL]","",IFERROR(AVERAGEIFS(nNOTA,nNIA,Y954,nCUENTA,1,nASIG,"Música de Cámara"),"")))</f>
        <v/>
      </c>
      <c r="AC954" t="str">
        <f>IF(Y954="","",IF(Y954="[FÓRMULA MANUAL]","",IFERROR(SUMPRODUCT((nNIA=Y954)*(nCUENTA=1)*(COUNTIF(CONFIG_ASIGNATURAS!$B$7:$B$27,nASIG)&gt;0)*(nNOTA))/SUMPRODUCT((nNIA=Y954)*(nCUENTA=1)*(COUNTIF(CONFIG_ASIGNATURAS!$B$7:$B$27,nASIG)&gt;0)*1),"")))</f>
        <v/>
      </c>
      <c r="AF954" t="str">
        <f>IF(AE954="","",IF(AE954="[FÓRMULA MANUAL]","",IFERROR(AVERAGEIFS(nNOTA,nNIA,AE954,nCUENTA,1,nASIG,"Análisis"),"")))</f>
        <v/>
      </c>
      <c r="AG954" t="str">
        <f>IF(AE954="","",IF(AE954="[FÓRMULA MANUAL]","",IFERROR(AVERAGEIFS(nNOTA,nNIA,AE954,nCUENTA,1,nASIG,"Orquesta/Banda/Conjunto"),"")))</f>
        <v/>
      </c>
      <c r="AH954" t="str">
        <f>IF(AE954="","",IF(AE954="[FÓRMULA MANUAL]","",IFERROR(AVERAGEIFS(nNOTA,nNIA,AE954,nCUENTA,1,nASIG,"Música de Cámara"),"")))</f>
        <v/>
      </c>
      <c r="AI954" t="str">
        <f>IF(AE954="","",IF(AE954="[FÓRMULA MANUAL]","",IFERROR(SUMPRODUCT((nNIA=AE954)*(nCUENTA=1)*(COUNTIF(CONFIG_ASIGNATURAS!$B$7:$B$27,nASIG)&gt;0)*(nNOTA))/SUMPRODUCT((nNIA=AE954)*(nCUENTA=1)*(COUNTIF(CONFIG_ASIGNATURAS!$B$7:$B$27,nASIG)&gt;0)*1),"")))</f>
        <v/>
      </c>
    </row>
    <row r="955" spans="2:35" x14ac:dyDescent="0.2">
      <c r="B955" t="str">
        <f>IF(A955="","",IF(A955="[FÓRMULA MANUAL]","",IFERROR(AVERAGEIFS(nNOTA,nNIA,A955,nCUENTA,1,nASIG,"Lenguaje Musical"),"")))</f>
        <v/>
      </c>
      <c r="C955" t="str">
        <f>IF(A955="","",IF(A955="[FÓRMULA MANUAL]","",IFERROR(AVERAGEIFS(nNOTA,nNIA,A955,nCUENTA,1,nASIG,"Orquesta/Banda/Conjunto"),"")))</f>
        <v/>
      </c>
      <c r="D955" t="str">
        <f>IF(A955="","",IF(A955="[FÓRMULA MANUAL]","",IFERROR(AVERAGEIFS(nNOTA,nNIA,A955,nCUENTA,1,nASIG,"Conjunto"),"")))</f>
        <v/>
      </c>
      <c r="E955" t="str">
        <f>IF(A955="","",IF(A955="[FÓRMULA MANUAL]","",IFERROR(SUMPRODUCT((nNIA=A955)*(nCUENTA=1)*(COUNTIF(CONFIG_ASIGNATURAS!$B$7:$B$27,nASIG)&gt;0)*(nNOTA))/SUMPRODUCT((nNIA=A955)*(nCUENTA=1)*(COUNTIF(CONFIG_ASIGNATURAS!$B$7:$B$27,nASIG)&gt;0)*1),"")))</f>
        <v/>
      </c>
      <c r="H955" t="str">
        <f>IF(G955="","",IF(G955="[FÓRMULA MANUAL]","",IFERROR(AVERAGEIFS(nNOTA,nNIA,G955,nCUENTA,1,nASIG,"Lenguaje Musical"),"")))</f>
        <v/>
      </c>
      <c r="I955" t="str">
        <f>IF(G955="","",IF(G955="[FÓRMULA MANUAL]","",IFERROR(AVERAGEIFS(nNOTA,nNIA,G955,nCUENTA,1,nASIG,"Orquesta/Banda/Conjunto"),"")))</f>
        <v/>
      </c>
      <c r="J955" t="str">
        <f>IF(G955="","",IF(G955="[FÓRMULA MANUAL]","",IFERROR(AVERAGEIFS(nNOTA,nNIA,G955,nCUENTA,1,nASIG,"Conjunto"),"")))</f>
        <v/>
      </c>
      <c r="K955" t="str">
        <f>IF(G955="","",IF(G955="[FÓRMULA MANUAL]","",IFERROR(SUMPRODUCT((nNIA=G955)*(nCUENTA=1)*(COUNTIF(CONFIG_ASIGNATURAS!$B$7:$B$27,nASIG)&gt;0)*(nNOTA))/SUMPRODUCT((nNIA=G955)*(nCUENTA=1)*(COUNTIF(CONFIG_ASIGNATURAS!$B$7:$B$27,nASIG)&gt;0)*1),"")))</f>
        <v/>
      </c>
      <c r="N955" t="str">
        <f>IF(M955="","",IF(M955="[FÓRMULA MANUAL]","",IFERROR(AVERAGEIFS(nNOTA,nNIA,M955,nCUENTA,1,nASIG,"Armonía"),"")))</f>
        <v/>
      </c>
      <c r="O955" t="str">
        <f>IF(M955="","",IF(M955="[FÓRMULA MANUAL]","",IFERROR(AVERAGEIFS(nNOTA,nNIA,M955,nCUENTA,1,nASIG,"Orquesta/Banda/Conjunto"),"")))</f>
        <v/>
      </c>
      <c r="P955" t="str">
        <f>IF(M955="","",IF(M955="[FÓRMULA MANUAL]","",IFERROR(AVERAGEIFS(nNOTA,nNIA,M955,nCUENTA,1,nASIG,"Música de Cámara"),"")))</f>
        <v/>
      </c>
      <c r="Q955" t="str">
        <f>IF(M955="","",IF(M955="[FÓRMULA MANUAL]","",IFERROR(SUMPRODUCT((nNIA=M955)*(nCUENTA=1)*(COUNTIF(CONFIG_ASIGNATURAS!$B$7:$B$27,nASIG)&gt;0)*(nNOTA))/SUMPRODUCT((nNIA=M955)*(nCUENTA=1)*(COUNTIF(CONFIG_ASIGNATURAS!$B$7:$B$27,nASIG)&gt;0)*1),"")))</f>
        <v/>
      </c>
      <c r="T955" t="str">
        <f>IF(S955="","",IF(S955="[FÓRMULA MANUAL]","",IFERROR(AVERAGEIFS(nNOTA,nNIA,S955,nCUENTA,1,nASIG,"Armonía"),"")))</f>
        <v/>
      </c>
      <c r="U955" t="str">
        <f>IF(S955="","",IF(S955="[FÓRMULA MANUAL]","",IFERROR(AVERAGEIFS(nNOTA,nNIA,S955,nCUENTA,1,nASIG,"Orquesta/Banda/Conjunto"),"")))</f>
        <v/>
      </c>
      <c r="V955" t="str">
        <f>IF(S955="","",IF(S955="[FÓRMULA MANUAL]","",IFERROR(AVERAGEIFS(nNOTA,nNIA,S955,nCUENTA,1,nASIG,"Música de Cámara"),"")))</f>
        <v/>
      </c>
      <c r="W955" t="str">
        <f>IF(S955="","",IF(S955="[FÓRMULA MANUAL]","",IFERROR(SUMPRODUCT((nNIA=S955)*(nCUENTA=1)*(COUNTIF(CONFIG_ASIGNATURAS!$B$7:$B$27,nASIG)&gt;0)*(nNOTA))/SUMPRODUCT((nNIA=S955)*(nCUENTA=1)*(COUNTIF(CONFIG_ASIGNATURAS!$B$7:$B$27,nASIG)&gt;0)*1),"")))</f>
        <v/>
      </c>
      <c r="Z955" t="str">
        <f>IF(Y955="","",IF(Y955="[FÓRMULA MANUAL]","",IFERROR(AVERAGEIFS(nNOTA,nNIA,Y955,nCUENTA,1,nASIG,"Análisis"),"")))</f>
        <v/>
      </c>
      <c r="AA955" t="str">
        <f>IF(Y955="","",IF(Y955="[FÓRMULA MANUAL]","",IFERROR(AVERAGEIFS(nNOTA,nNIA,Y955,nCUENTA,1,nASIG,"Orquesta/Banda/Conjunto"),"")))</f>
        <v/>
      </c>
      <c r="AB955" t="str">
        <f>IF(Y955="","",IF(Y955="[FÓRMULA MANUAL]","",IFERROR(AVERAGEIFS(nNOTA,nNIA,Y955,nCUENTA,1,nASIG,"Música de Cámara"),"")))</f>
        <v/>
      </c>
      <c r="AC955" t="str">
        <f>IF(Y955="","",IF(Y955="[FÓRMULA MANUAL]","",IFERROR(SUMPRODUCT((nNIA=Y955)*(nCUENTA=1)*(COUNTIF(CONFIG_ASIGNATURAS!$B$7:$B$27,nASIG)&gt;0)*(nNOTA))/SUMPRODUCT((nNIA=Y955)*(nCUENTA=1)*(COUNTIF(CONFIG_ASIGNATURAS!$B$7:$B$27,nASIG)&gt;0)*1),"")))</f>
        <v/>
      </c>
      <c r="AF955" t="str">
        <f>IF(AE955="","",IF(AE955="[FÓRMULA MANUAL]","",IFERROR(AVERAGEIFS(nNOTA,nNIA,AE955,nCUENTA,1,nASIG,"Análisis"),"")))</f>
        <v/>
      </c>
      <c r="AG955" t="str">
        <f>IF(AE955="","",IF(AE955="[FÓRMULA MANUAL]","",IFERROR(AVERAGEIFS(nNOTA,nNIA,AE955,nCUENTA,1,nASIG,"Orquesta/Banda/Conjunto"),"")))</f>
        <v/>
      </c>
      <c r="AH955" t="str">
        <f>IF(AE955="","",IF(AE955="[FÓRMULA MANUAL]","",IFERROR(AVERAGEIFS(nNOTA,nNIA,AE955,nCUENTA,1,nASIG,"Música de Cámara"),"")))</f>
        <v/>
      </c>
      <c r="AI955" t="str">
        <f>IF(AE955="","",IF(AE955="[FÓRMULA MANUAL]","",IFERROR(SUMPRODUCT((nNIA=AE955)*(nCUENTA=1)*(COUNTIF(CONFIG_ASIGNATURAS!$B$7:$B$27,nASIG)&gt;0)*(nNOTA))/SUMPRODUCT((nNIA=AE955)*(nCUENTA=1)*(COUNTIF(CONFIG_ASIGNATURAS!$B$7:$B$27,nASIG)&gt;0)*1),"")))</f>
        <v/>
      </c>
    </row>
    <row r="956" spans="2:35" x14ac:dyDescent="0.2">
      <c r="B956" t="str">
        <f>IF(A956="","",IF(A956="[FÓRMULA MANUAL]","",IFERROR(AVERAGEIFS(nNOTA,nNIA,A956,nCUENTA,1,nASIG,"Lenguaje Musical"),"")))</f>
        <v/>
      </c>
      <c r="C956" t="str">
        <f>IF(A956="","",IF(A956="[FÓRMULA MANUAL]","",IFERROR(AVERAGEIFS(nNOTA,nNIA,A956,nCUENTA,1,nASIG,"Orquesta/Banda/Conjunto"),"")))</f>
        <v/>
      </c>
      <c r="D956" t="str">
        <f>IF(A956="","",IF(A956="[FÓRMULA MANUAL]","",IFERROR(AVERAGEIFS(nNOTA,nNIA,A956,nCUENTA,1,nASIG,"Conjunto"),"")))</f>
        <v/>
      </c>
      <c r="E956" t="str">
        <f>IF(A956="","",IF(A956="[FÓRMULA MANUAL]","",IFERROR(SUMPRODUCT((nNIA=A956)*(nCUENTA=1)*(COUNTIF(CONFIG_ASIGNATURAS!$B$7:$B$27,nASIG)&gt;0)*(nNOTA))/SUMPRODUCT((nNIA=A956)*(nCUENTA=1)*(COUNTIF(CONFIG_ASIGNATURAS!$B$7:$B$27,nASIG)&gt;0)*1),"")))</f>
        <v/>
      </c>
      <c r="H956" t="str">
        <f>IF(G956="","",IF(G956="[FÓRMULA MANUAL]","",IFERROR(AVERAGEIFS(nNOTA,nNIA,G956,nCUENTA,1,nASIG,"Lenguaje Musical"),"")))</f>
        <v/>
      </c>
      <c r="I956" t="str">
        <f>IF(G956="","",IF(G956="[FÓRMULA MANUAL]","",IFERROR(AVERAGEIFS(nNOTA,nNIA,G956,nCUENTA,1,nASIG,"Orquesta/Banda/Conjunto"),"")))</f>
        <v/>
      </c>
      <c r="J956" t="str">
        <f>IF(G956="","",IF(G956="[FÓRMULA MANUAL]","",IFERROR(AVERAGEIFS(nNOTA,nNIA,G956,nCUENTA,1,nASIG,"Conjunto"),"")))</f>
        <v/>
      </c>
      <c r="K956" t="str">
        <f>IF(G956="","",IF(G956="[FÓRMULA MANUAL]","",IFERROR(SUMPRODUCT((nNIA=G956)*(nCUENTA=1)*(COUNTIF(CONFIG_ASIGNATURAS!$B$7:$B$27,nASIG)&gt;0)*(nNOTA))/SUMPRODUCT((nNIA=G956)*(nCUENTA=1)*(COUNTIF(CONFIG_ASIGNATURAS!$B$7:$B$27,nASIG)&gt;0)*1),"")))</f>
        <v/>
      </c>
      <c r="N956" t="str">
        <f>IF(M956="","",IF(M956="[FÓRMULA MANUAL]","",IFERROR(AVERAGEIFS(nNOTA,nNIA,M956,nCUENTA,1,nASIG,"Armonía"),"")))</f>
        <v/>
      </c>
      <c r="O956" t="str">
        <f>IF(M956="","",IF(M956="[FÓRMULA MANUAL]","",IFERROR(AVERAGEIFS(nNOTA,nNIA,M956,nCUENTA,1,nASIG,"Orquesta/Banda/Conjunto"),"")))</f>
        <v/>
      </c>
      <c r="P956" t="str">
        <f>IF(M956="","",IF(M956="[FÓRMULA MANUAL]","",IFERROR(AVERAGEIFS(nNOTA,nNIA,M956,nCUENTA,1,nASIG,"Música de Cámara"),"")))</f>
        <v/>
      </c>
      <c r="Q956" t="str">
        <f>IF(M956="","",IF(M956="[FÓRMULA MANUAL]","",IFERROR(SUMPRODUCT((nNIA=M956)*(nCUENTA=1)*(COUNTIF(CONFIG_ASIGNATURAS!$B$7:$B$27,nASIG)&gt;0)*(nNOTA))/SUMPRODUCT((nNIA=M956)*(nCUENTA=1)*(COUNTIF(CONFIG_ASIGNATURAS!$B$7:$B$27,nASIG)&gt;0)*1),"")))</f>
        <v/>
      </c>
      <c r="T956" t="str">
        <f>IF(S956="","",IF(S956="[FÓRMULA MANUAL]","",IFERROR(AVERAGEIFS(nNOTA,nNIA,S956,nCUENTA,1,nASIG,"Armonía"),"")))</f>
        <v/>
      </c>
      <c r="U956" t="str">
        <f>IF(S956="","",IF(S956="[FÓRMULA MANUAL]","",IFERROR(AVERAGEIFS(nNOTA,nNIA,S956,nCUENTA,1,nASIG,"Orquesta/Banda/Conjunto"),"")))</f>
        <v/>
      </c>
      <c r="V956" t="str">
        <f>IF(S956="","",IF(S956="[FÓRMULA MANUAL]","",IFERROR(AVERAGEIFS(nNOTA,nNIA,S956,nCUENTA,1,nASIG,"Música de Cámara"),"")))</f>
        <v/>
      </c>
      <c r="W956" t="str">
        <f>IF(S956="","",IF(S956="[FÓRMULA MANUAL]","",IFERROR(SUMPRODUCT((nNIA=S956)*(nCUENTA=1)*(COUNTIF(CONFIG_ASIGNATURAS!$B$7:$B$27,nASIG)&gt;0)*(nNOTA))/SUMPRODUCT((nNIA=S956)*(nCUENTA=1)*(COUNTIF(CONFIG_ASIGNATURAS!$B$7:$B$27,nASIG)&gt;0)*1),"")))</f>
        <v/>
      </c>
      <c r="Z956" t="str">
        <f>IF(Y956="","",IF(Y956="[FÓRMULA MANUAL]","",IFERROR(AVERAGEIFS(nNOTA,nNIA,Y956,nCUENTA,1,nASIG,"Análisis"),"")))</f>
        <v/>
      </c>
      <c r="AA956" t="str">
        <f>IF(Y956="","",IF(Y956="[FÓRMULA MANUAL]","",IFERROR(AVERAGEIFS(nNOTA,nNIA,Y956,nCUENTA,1,nASIG,"Orquesta/Banda/Conjunto"),"")))</f>
        <v/>
      </c>
      <c r="AB956" t="str">
        <f>IF(Y956="","",IF(Y956="[FÓRMULA MANUAL]","",IFERROR(AVERAGEIFS(nNOTA,nNIA,Y956,nCUENTA,1,nASIG,"Música de Cámara"),"")))</f>
        <v/>
      </c>
      <c r="AC956" t="str">
        <f>IF(Y956="","",IF(Y956="[FÓRMULA MANUAL]","",IFERROR(SUMPRODUCT((nNIA=Y956)*(nCUENTA=1)*(COUNTIF(CONFIG_ASIGNATURAS!$B$7:$B$27,nASIG)&gt;0)*(nNOTA))/SUMPRODUCT((nNIA=Y956)*(nCUENTA=1)*(COUNTIF(CONFIG_ASIGNATURAS!$B$7:$B$27,nASIG)&gt;0)*1),"")))</f>
        <v/>
      </c>
      <c r="AF956" t="str">
        <f>IF(AE956="","",IF(AE956="[FÓRMULA MANUAL]","",IFERROR(AVERAGEIFS(nNOTA,nNIA,AE956,nCUENTA,1,nASIG,"Análisis"),"")))</f>
        <v/>
      </c>
      <c r="AG956" t="str">
        <f>IF(AE956="","",IF(AE956="[FÓRMULA MANUAL]","",IFERROR(AVERAGEIFS(nNOTA,nNIA,AE956,nCUENTA,1,nASIG,"Orquesta/Banda/Conjunto"),"")))</f>
        <v/>
      </c>
      <c r="AH956" t="str">
        <f>IF(AE956="","",IF(AE956="[FÓRMULA MANUAL]","",IFERROR(AVERAGEIFS(nNOTA,nNIA,AE956,nCUENTA,1,nASIG,"Música de Cámara"),"")))</f>
        <v/>
      </c>
      <c r="AI956" t="str">
        <f>IF(AE956="","",IF(AE956="[FÓRMULA MANUAL]","",IFERROR(SUMPRODUCT((nNIA=AE956)*(nCUENTA=1)*(COUNTIF(CONFIG_ASIGNATURAS!$B$7:$B$27,nASIG)&gt;0)*(nNOTA))/SUMPRODUCT((nNIA=AE956)*(nCUENTA=1)*(COUNTIF(CONFIG_ASIGNATURAS!$B$7:$B$27,nASIG)&gt;0)*1),"")))</f>
        <v/>
      </c>
    </row>
    <row r="957" spans="2:35" x14ac:dyDescent="0.2">
      <c r="B957" t="str">
        <f>IF(A957="","",IF(A957="[FÓRMULA MANUAL]","",IFERROR(AVERAGEIFS(nNOTA,nNIA,A957,nCUENTA,1,nASIG,"Lenguaje Musical"),"")))</f>
        <v/>
      </c>
      <c r="C957" t="str">
        <f>IF(A957="","",IF(A957="[FÓRMULA MANUAL]","",IFERROR(AVERAGEIFS(nNOTA,nNIA,A957,nCUENTA,1,nASIG,"Orquesta/Banda/Conjunto"),"")))</f>
        <v/>
      </c>
      <c r="D957" t="str">
        <f>IF(A957="","",IF(A957="[FÓRMULA MANUAL]","",IFERROR(AVERAGEIFS(nNOTA,nNIA,A957,nCUENTA,1,nASIG,"Conjunto"),"")))</f>
        <v/>
      </c>
      <c r="E957" t="str">
        <f>IF(A957="","",IF(A957="[FÓRMULA MANUAL]","",IFERROR(SUMPRODUCT((nNIA=A957)*(nCUENTA=1)*(COUNTIF(CONFIG_ASIGNATURAS!$B$7:$B$27,nASIG)&gt;0)*(nNOTA))/SUMPRODUCT((nNIA=A957)*(nCUENTA=1)*(COUNTIF(CONFIG_ASIGNATURAS!$B$7:$B$27,nASIG)&gt;0)*1),"")))</f>
        <v/>
      </c>
      <c r="H957" t="str">
        <f>IF(G957="","",IF(G957="[FÓRMULA MANUAL]","",IFERROR(AVERAGEIFS(nNOTA,nNIA,G957,nCUENTA,1,nASIG,"Lenguaje Musical"),"")))</f>
        <v/>
      </c>
      <c r="I957" t="str">
        <f>IF(G957="","",IF(G957="[FÓRMULA MANUAL]","",IFERROR(AVERAGEIFS(nNOTA,nNIA,G957,nCUENTA,1,nASIG,"Orquesta/Banda/Conjunto"),"")))</f>
        <v/>
      </c>
      <c r="J957" t="str">
        <f>IF(G957="","",IF(G957="[FÓRMULA MANUAL]","",IFERROR(AVERAGEIFS(nNOTA,nNIA,G957,nCUENTA,1,nASIG,"Conjunto"),"")))</f>
        <v/>
      </c>
      <c r="K957" t="str">
        <f>IF(G957="","",IF(G957="[FÓRMULA MANUAL]","",IFERROR(SUMPRODUCT((nNIA=G957)*(nCUENTA=1)*(COUNTIF(CONFIG_ASIGNATURAS!$B$7:$B$27,nASIG)&gt;0)*(nNOTA))/SUMPRODUCT((nNIA=G957)*(nCUENTA=1)*(COUNTIF(CONFIG_ASIGNATURAS!$B$7:$B$27,nASIG)&gt;0)*1),"")))</f>
        <v/>
      </c>
      <c r="N957" t="str">
        <f>IF(M957="","",IF(M957="[FÓRMULA MANUAL]","",IFERROR(AVERAGEIFS(nNOTA,nNIA,M957,nCUENTA,1,nASIG,"Armonía"),"")))</f>
        <v/>
      </c>
      <c r="O957" t="str">
        <f>IF(M957="","",IF(M957="[FÓRMULA MANUAL]","",IFERROR(AVERAGEIFS(nNOTA,nNIA,M957,nCUENTA,1,nASIG,"Orquesta/Banda/Conjunto"),"")))</f>
        <v/>
      </c>
      <c r="P957" t="str">
        <f>IF(M957="","",IF(M957="[FÓRMULA MANUAL]","",IFERROR(AVERAGEIFS(nNOTA,nNIA,M957,nCUENTA,1,nASIG,"Música de Cámara"),"")))</f>
        <v/>
      </c>
      <c r="Q957" t="str">
        <f>IF(M957="","",IF(M957="[FÓRMULA MANUAL]","",IFERROR(SUMPRODUCT((nNIA=M957)*(nCUENTA=1)*(COUNTIF(CONFIG_ASIGNATURAS!$B$7:$B$27,nASIG)&gt;0)*(nNOTA))/SUMPRODUCT((nNIA=M957)*(nCUENTA=1)*(COUNTIF(CONFIG_ASIGNATURAS!$B$7:$B$27,nASIG)&gt;0)*1),"")))</f>
        <v/>
      </c>
      <c r="T957" t="str">
        <f>IF(S957="","",IF(S957="[FÓRMULA MANUAL]","",IFERROR(AVERAGEIFS(nNOTA,nNIA,S957,nCUENTA,1,nASIG,"Armonía"),"")))</f>
        <v/>
      </c>
      <c r="U957" t="str">
        <f>IF(S957="","",IF(S957="[FÓRMULA MANUAL]","",IFERROR(AVERAGEIFS(nNOTA,nNIA,S957,nCUENTA,1,nASIG,"Orquesta/Banda/Conjunto"),"")))</f>
        <v/>
      </c>
      <c r="V957" t="str">
        <f>IF(S957="","",IF(S957="[FÓRMULA MANUAL]","",IFERROR(AVERAGEIFS(nNOTA,nNIA,S957,nCUENTA,1,nASIG,"Música de Cámara"),"")))</f>
        <v/>
      </c>
      <c r="W957" t="str">
        <f>IF(S957="","",IF(S957="[FÓRMULA MANUAL]","",IFERROR(SUMPRODUCT((nNIA=S957)*(nCUENTA=1)*(COUNTIF(CONFIG_ASIGNATURAS!$B$7:$B$27,nASIG)&gt;0)*(nNOTA))/SUMPRODUCT((nNIA=S957)*(nCUENTA=1)*(COUNTIF(CONFIG_ASIGNATURAS!$B$7:$B$27,nASIG)&gt;0)*1),"")))</f>
        <v/>
      </c>
      <c r="Z957" t="str">
        <f>IF(Y957="","",IF(Y957="[FÓRMULA MANUAL]","",IFERROR(AVERAGEIFS(nNOTA,nNIA,Y957,nCUENTA,1,nASIG,"Análisis"),"")))</f>
        <v/>
      </c>
      <c r="AA957" t="str">
        <f>IF(Y957="","",IF(Y957="[FÓRMULA MANUAL]","",IFERROR(AVERAGEIFS(nNOTA,nNIA,Y957,nCUENTA,1,nASIG,"Orquesta/Banda/Conjunto"),"")))</f>
        <v/>
      </c>
      <c r="AB957" t="str">
        <f>IF(Y957="","",IF(Y957="[FÓRMULA MANUAL]","",IFERROR(AVERAGEIFS(nNOTA,nNIA,Y957,nCUENTA,1,nASIG,"Música de Cámara"),"")))</f>
        <v/>
      </c>
      <c r="AC957" t="str">
        <f>IF(Y957="","",IF(Y957="[FÓRMULA MANUAL]","",IFERROR(SUMPRODUCT((nNIA=Y957)*(nCUENTA=1)*(COUNTIF(CONFIG_ASIGNATURAS!$B$7:$B$27,nASIG)&gt;0)*(nNOTA))/SUMPRODUCT((nNIA=Y957)*(nCUENTA=1)*(COUNTIF(CONFIG_ASIGNATURAS!$B$7:$B$27,nASIG)&gt;0)*1),"")))</f>
        <v/>
      </c>
      <c r="AF957" t="str">
        <f>IF(AE957="","",IF(AE957="[FÓRMULA MANUAL]","",IFERROR(AVERAGEIFS(nNOTA,nNIA,AE957,nCUENTA,1,nASIG,"Análisis"),"")))</f>
        <v/>
      </c>
      <c r="AG957" t="str">
        <f>IF(AE957="","",IF(AE957="[FÓRMULA MANUAL]","",IFERROR(AVERAGEIFS(nNOTA,nNIA,AE957,nCUENTA,1,nASIG,"Orquesta/Banda/Conjunto"),"")))</f>
        <v/>
      </c>
      <c r="AH957" t="str">
        <f>IF(AE957="","",IF(AE957="[FÓRMULA MANUAL]","",IFERROR(AVERAGEIFS(nNOTA,nNIA,AE957,nCUENTA,1,nASIG,"Música de Cámara"),"")))</f>
        <v/>
      </c>
      <c r="AI957" t="str">
        <f>IF(AE957="","",IF(AE957="[FÓRMULA MANUAL]","",IFERROR(SUMPRODUCT((nNIA=AE957)*(nCUENTA=1)*(COUNTIF(CONFIG_ASIGNATURAS!$B$7:$B$27,nASIG)&gt;0)*(nNOTA))/SUMPRODUCT((nNIA=AE957)*(nCUENTA=1)*(COUNTIF(CONFIG_ASIGNATURAS!$B$7:$B$27,nASIG)&gt;0)*1),"")))</f>
        <v/>
      </c>
    </row>
    <row r="958" spans="2:35" x14ac:dyDescent="0.2">
      <c r="B958" t="str">
        <f>IF(A958="","",IF(A958="[FÓRMULA MANUAL]","",IFERROR(AVERAGEIFS(nNOTA,nNIA,A958,nCUENTA,1,nASIG,"Lenguaje Musical"),"")))</f>
        <v/>
      </c>
      <c r="C958" t="str">
        <f>IF(A958="","",IF(A958="[FÓRMULA MANUAL]","",IFERROR(AVERAGEIFS(nNOTA,nNIA,A958,nCUENTA,1,nASIG,"Orquesta/Banda/Conjunto"),"")))</f>
        <v/>
      </c>
      <c r="D958" t="str">
        <f>IF(A958="","",IF(A958="[FÓRMULA MANUAL]","",IFERROR(AVERAGEIFS(nNOTA,nNIA,A958,nCUENTA,1,nASIG,"Conjunto"),"")))</f>
        <v/>
      </c>
      <c r="E958" t="str">
        <f>IF(A958="","",IF(A958="[FÓRMULA MANUAL]","",IFERROR(SUMPRODUCT((nNIA=A958)*(nCUENTA=1)*(COUNTIF(CONFIG_ASIGNATURAS!$B$7:$B$27,nASIG)&gt;0)*(nNOTA))/SUMPRODUCT((nNIA=A958)*(nCUENTA=1)*(COUNTIF(CONFIG_ASIGNATURAS!$B$7:$B$27,nASIG)&gt;0)*1),"")))</f>
        <v/>
      </c>
      <c r="H958" t="str">
        <f>IF(G958="","",IF(G958="[FÓRMULA MANUAL]","",IFERROR(AVERAGEIFS(nNOTA,nNIA,G958,nCUENTA,1,nASIG,"Lenguaje Musical"),"")))</f>
        <v/>
      </c>
      <c r="I958" t="str">
        <f>IF(G958="","",IF(G958="[FÓRMULA MANUAL]","",IFERROR(AVERAGEIFS(nNOTA,nNIA,G958,nCUENTA,1,nASIG,"Orquesta/Banda/Conjunto"),"")))</f>
        <v/>
      </c>
      <c r="J958" t="str">
        <f>IF(G958="","",IF(G958="[FÓRMULA MANUAL]","",IFERROR(AVERAGEIFS(nNOTA,nNIA,G958,nCUENTA,1,nASIG,"Conjunto"),"")))</f>
        <v/>
      </c>
      <c r="K958" t="str">
        <f>IF(G958="","",IF(G958="[FÓRMULA MANUAL]","",IFERROR(SUMPRODUCT((nNIA=G958)*(nCUENTA=1)*(COUNTIF(CONFIG_ASIGNATURAS!$B$7:$B$27,nASIG)&gt;0)*(nNOTA))/SUMPRODUCT((nNIA=G958)*(nCUENTA=1)*(COUNTIF(CONFIG_ASIGNATURAS!$B$7:$B$27,nASIG)&gt;0)*1),"")))</f>
        <v/>
      </c>
      <c r="N958" t="str">
        <f>IF(M958="","",IF(M958="[FÓRMULA MANUAL]","",IFERROR(AVERAGEIFS(nNOTA,nNIA,M958,nCUENTA,1,nASIG,"Armonía"),"")))</f>
        <v/>
      </c>
      <c r="O958" t="str">
        <f>IF(M958="","",IF(M958="[FÓRMULA MANUAL]","",IFERROR(AVERAGEIFS(nNOTA,nNIA,M958,nCUENTA,1,nASIG,"Orquesta/Banda/Conjunto"),"")))</f>
        <v/>
      </c>
      <c r="P958" t="str">
        <f>IF(M958="","",IF(M958="[FÓRMULA MANUAL]","",IFERROR(AVERAGEIFS(nNOTA,nNIA,M958,nCUENTA,1,nASIG,"Música de Cámara"),"")))</f>
        <v/>
      </c>
      <c r="Q958" t="str">
        <f>IF(M958="","",IF(M958="[FÓRMULA MANUAL]","",IFERROR(SUMPRODUCT((nNIA=M958)*(nCUENTA=1)*(COUNTIF(CONFIG_ASIGNATURAS!$B$7:$B$27,nASIG)&gt;0)*(nNOTA))/SUMPRODUCT((nNIA=M958)*(nCUENTA=1)*(COUNTIF(CONFIG_ASIGNATURAS!$B$7:$B$27,nASIG)&gt;0)*1),"")))</f>
        <v/>
      </c>
      <c r="T958" t="str">
        <f>IF(S958="","",IF(S958="[FÓRMULA MANUAL]","",IFERROR(AVERAGEIFS(nNOTA,nNIA,S958,nCUENTA,1,nASIG,"Armonía"),"")))</f>
        <v/>
      </c>
      <c r="U958" t="str">
        <f>IF(S958="","",IF(S958="[FÓRMULA MANUAL]","",IFERROR(AVERAGEIFS(nNOTA,nNIA,S958,nCUENTA,1,nASIG,"Orquesta/Banda/Conjunto"),"")))</f>
        <v/>
      </c>
      <c r="V958" t="str">
        <f>IF(S958="","",IF(S958="[FÓRMULA MANUAL]","",IFERROR(AVERAGEIFS(nNOTA,nNIA,S958,nCUENTA,1,nASIG,"Música de Cámara"),"")))</f>
        <v/>
      </c>
      <c r="W958" t="str">
        <f>IF(S958="","",IF(S958="[FÓRMULA MANUAL]","",IFERROR(SUMPRODUCT((nNIA=S958)*(nCUENTA=1)*(COUNTIF(CONFIG_ASIGNATURAS!$B$7:$B$27,nASIG)&gt;0)*(nNOTA))/SUMPRODUCT((nNIA=S958)*(nCUENTA=1)*(COUNTIF(CONFIG_ASIGNATURAS!$B$7:$B$27,nASIG)&gt;0)*1),"")))</f>
        <v/>
      </c>
      <c r="Z958" t="str">
        <f>IF(Y958="","",IF(Y958="[FÓRMULA MANUAL]","",IFERROR(AVERAGEIFS(nNOTA,nNIA,Y958,nCUENTA,1,nASIG,"Análisis"),"")))</f>
        <v/>
      </c>
      <c r="AA958" t="str">
        <f>IF(Y958="","",IF(Y958="[FÓRMULA MANUAL]","",IFERROR(AVERAGEIFS(nNOTA,nNIA,Y958,nCUENTA,1,nASIG,"Orquesta/Banda/Conjunto"),"")))</f>
        <v/>
      </c>
      <c r="AB958" t="str">
        <f>IF(Y958="","",IF(Y958="[FÓRMULA MANUAL]","",IFERROR(AVERAGEIFS(nNOTA,nNIA,Y958,nCUENTA,1,nASIG,"Música de Cámara"),"")))</f>
        <v/>
      </c>
      <c r="AC958" t="str">
        <f>IF(Y958="","",IF(Y958="[FÓRMULA MANUAL]","",IFERROR(SUMPRODUCT((nNIA=Y958)*(nCUENTA=1)*(COUNTIF(CONFIG_ASIGNATURAS!$B$7:$B$27,nASIG)&gt;0)*(nNOTA))/SUMPRODUCT((nNIA=Y958)*(nCUENTA=1)*(COUNTIF(CONFIG_ASIGNATURAS!$B$7:$B$27,nASIG)&gt;0)*1),"")))</f>
        <v/>
      </c>
      <c r="AF958" t="str">
        <f>IF(AE958="","",IF(AE958="[FÓRMULA MANUAL]","",IFERROR(AVERAGEIFS(nNOTA,nNIA,AE958,nCUENTA,1,nASIG,"Análisis"),"")))</f>
        <v/>
      </c>
      <c r="AG958" t="str">
        <f>IF(AE958="","",IF(AE958="[FÓRMULA MANUAL]","",IFERROR(AVERAGEIFS(nNOTA,nNIA,AE958,nCUENTA,1,nASIG,"Orquesta/Banda/Conjunto"),"")))</f>
        <v/>
      </c>
      <c r="AH958" t="str">
        <f>IF(AE958="","",IF(AE958="[FÓRMULA MANUAL]","",IFERROR(AVERAGEIFS(nNOTA,nNIA,AE958,nCUENTA,1,nASIG,"Música de Cámara"),"")))</f>
        <v/>
      </c>
      <c r="AI958" t="str">
        <f>IF(AE958="","",IF(AE958="[FÓRMULA MANUAL]","",IFERROR(SUMPRODUCT((nNIA=AE958)*(nCUENTA=1)*(COUNTIF(CONFIG_ASIGNATURAS!$B$7:$B$27,nASIG)&gt;0)*(nNOTA))/SUMPRODUCT((nNIA=AE958)*(nCUENTA=1)*(COUNTIF(CONFIG_ASIGNATURAS!$B$7:$B$27,nASIG)&gt;0)*1),"")))</f>
        <v/>
      </c>
    </row>
    <row r="959" spans="2:35" x14ac:dyDescent="0.2">
      <c r="B959" t="str">
        <f>IF(A959="","",IF(A959="[FÓRMULA MANUAL]","",IFERROR(AVERAGEIFS(nNOTA,nNIA,A959,nCUENTA,1,nASIG,"Lenguaje Musical"),"")))</f>
        <v/>
      </c>
      <c r="C959" t="str">
        <f>IF(A959="","",IF(A959="[FÓRMULA MANUAL]","",IFERROR(AVERAGEIFS(nNOTA,nNIA,A959,nCUENTA,1,nASIG,"Orquesta/Banda/Conjunto"),"")))</f>
        <v/>
      </c>
      <c r="D959" t="str">
        <f>IF(A959="","",IF(A959="[FÓRMULA MANUAL]","",IFERROR(AVERAGEIFS(nNOTA,nNIA,A959,nCUENTA,1,nASIG,"Conjunto"),"")))</f>
        <v/>
      </c>
      <c r="E959" t="str">
        <f>IF(A959="","",IF(A959="[FÓRMULA MANUAL]","",IFERROR(SUMPRODUCT((nNIA=A959)*(nCUENTA=1)*(COUNTIF(CONFIG_ASIGNATURAS!$B$7:$B$27,nASIG)&gt;0)*(nNOTA))/SUMPRODUCT((nNIA=A959)*(nCUENTA=1)*(COUNTIF(CONFIG_ASIGNATURAS!$B$7:$B$27,nASIG)&gt;0)*1),"")))</f>
        <v/>
      </c>
      <c r="H959" t="str">
        <f>IF(G959="","",IF(G959="[FÓRMULA MANUAL]","",IFERROR(AVERAGEIFS(nNOTA,nNIA,G959,nCUENTA,1,nASIG,"Lenguaje Musical"),"")))</f>
        <v/>
      </c>
      <c r="I959" t="str">
        <f>IF(G959="","",IF(G959="[FÓRMULA MANUAL]","",IFERROR(AVERAGEIFS(nNOTA,nNIA,G959,nCUENTA,1,nASIG,"Orquesta/Banda/Conjunto"),"")))</f>
        <v/>
      </c>
      <c r="J959" t="str">
        <f>IF(G959="","",IF(G959="[FÓRMULA MANUAL]","",IFERROR(AVERAGEIFS(nNOTA,nNIA,G959,nCUENTA,1,nASIG,"Conjunto"),"")))</f>
        <v/>
      </c>
      <c r="K959" t="str">
        <f>IF(G959="","",IF(G959="[FÓRMULA MANUAL]","",IFERROR(SUMPRODUCT((nNIA=G959)*(nCUENTA=1)*(COUNTIF(CONFIG_ASIGNATURAS!$B$7:$B$27,nASIG)&gt;0)*(nNOTA))/SUMPRODUCT((nNIA=G959)*(nCUENTA=1)*(COUNTIF(CONFIG_ASIGNATURAS!$B$7:$B$27,nASIG)&gt;0)*1),"")))</f>
        <v/>
      </c>
      <c r="N959" t="str">
        <f>IF(M959="","",IF(M959="[FÓRMULA MANUAL]","",IFERROR(AVERAGEIFS(nNOTA,nNIA,M959,nCUENTA,1,nASIG,"Armonía"),"")))</f>
        <v/>
      </c>
      <c r="O959" t="str">
        <f>IF(M959="","",IF(M959="[FÓRMULA MANUAL]","",IFERROR(AVERAGEIFS(nNOTA,nNIA,M959,nCUENTA,1,nASIG,"Orquesta/Banda/Conjunto"),"")))</f>
        <v/>
      </c>
      <c r="P959" t="str">
        <f>IF(M959="","",IF(M959="[FÓRMULA MANUAL]","",IFERROR(AVERAGEIFS(nNOTA,nNIA,M959,nCUENTA,1,nASIG,"Música de Cámara"),"")))</f>
        <v/>
      </c>
      <c r="Q959" t="str">
        <f>IF(M959="","",IF(M959="[FÓRMULA MANUAL]","",IFERROR(SUMPRODUCT((nNIA=M959)*(nCUENTA=1)*(COUNTIF(CONFIG_ASIGNATURAS!$B$7:$B$27,nASIG)&gt;0)*(nNOTA))/SUMPRODUCT((nNIA=M959)*(nCUENTA=1)*(COUNTIF(CONFIG_ASIGNATURAS!$B$7:$B$27,nASIG)&gt;0)*1),"")))</f>
        <v/>
      </c>
      <c r="T959" t="str">
        <f>IF(S959="","",IF(S959="[FÓRMULA MANUAL]","",IFERROR(AVERAGEIFS(nNOTA,nNIA,S959,nCUENTA,1,nASIG,"Armonía"),"")))</f>
        <v/>
      </c>
      <c r="U959" t="str">
        <f>IF(S959="","",IF(S959="[FÓRMULA MANUAL]","",IFERROR(AVERAGEIFS(nNOTA,nNIA,S959,nCUENTA,1,nASIG,"Orquesta/Banda/Conjunto"),"")))</f>
        <v/>
      </c>
      <c r="V959" t="str">
        <f>IF(S959="","",IF(S959="[FÓRMULA MANUAL]","",IFERROR(AVERAGEIFS(nNOTA,nNIA,S959,nCUENTA,1,nASIG,"Música de Cámara"),"")))</f>
        <v/>
      </c>
      <c r="W959" t="str">
        <f>IF(S959="","",IF(S959="[FÓRMULA MANUAL]","",IFERROR(SUMPRODUCT((nNIA=S959)*(nCUENTA=1)*(COUNTIF(CONFIG_ASIGNATURAS!$B$7:$B$27,nASIG)&gt;0)*(nNOTA))/SUMPRODUCT((nNIA=S959)*(nCUENTA=1)*(COUNTIF(CONFIG_ASIGNATURAS!$B$7:$B$27,nASIG)&gt;0)*1),"")))</f>
        <v/>
      </c>
      <c r="Z959" t="str">
        <f>IF(Y959="","",IF(Y959="[FÓRMULA MANUAL]","",IFERROR(AVERAGEIFS(nNOTA,nNIA,Y959,nCUENTA,1,nASIG,"Análisis"),"")))</f>
        <v/>
      </c>
      <c r="AA959" t="str">
        <f>IF(Y959="","",IF(Y959="[FÓRMULA MANUAL]","",IFERROR(AVERAGEIFS(nNOTA,nNIA,Y959,nCUENTA,1,nASIG,"Orquesta/Banda/Conjunto"),"")))</f>
        <v/>
      </c>
      <c r="AB959" t="str">
        <f>IF(Y959="","",IF(Y959="[FÓRMULA MANUAL]","",IFERROR(AVERAGEIFS(nNOTA,nNIA,Y959,nCUENTA,1,nASIG,"Música de Cámara"),"")))</f>
        <v/>
      </c>
      <c r="AC959" t="str">
        <f>IF(Y959="","",IF(Y959="[FÓRMULA MANUAL]","",IFERROR(SUMPRODUCT((nNIA=Y959)*(nCUENTA=1)*(COUNTIF(CONFIG_ASIGNATURAS!$B$7:$B$27,nASIG)&gt;0)*(nNOTA))/SUMPRODUCT((nNIA=Y959)*(nCUENTA=1)*(COUNTIF(CONFIG_ASIGNATURAS!$B$7:$B$27,nASIG)&gt;0)*1),"")))</f>
        <v/>
      </c>
      <c r="AF959" t="str">
        <f>IF(AE959="","",IF(AE959="[FÓRMULA MANUAL]","",IFERROR(AVERAGEIFS(nNOTA,nNIA,AE959,nCUENTA,1,nASIG,"Análisis"),"")))</f>
        <v/>
      </c>
      <c r="AG959" t="str">
        <f>IF(AE959="","",IF(AE959="[FÓRMULA MANUAL]","",IFERROR(AVERAGEIFS(nNOTA,nNIA,AE959,nCUENTA,1,nASIG,"Orquesta/Banda/Conjunto"),"")))</f>
        <v/>
      </c>
      <c r="AH959" t="str">
        <f>IF(AE959="","",IF(AE959="[FÓRMULA MANUAL]","",IFERROR(AVERAGEIFS(nNOTA,nNIA,AE959,nCUENTA,1,nASIG,"Música de Cámara"),"")))</f>
        <v/>
      </c>
      <c r="AI959" t="str">
        <f>IF(AE959="","",IF(AE959="[FÓRMULA MANUAL]","",IFERROR(SUMPRODUCT((nNIA=AE959)*(nCUENTA=1)*(COUNTIF(CONFIG_ASIGNATURAS!$B$7:$B$27,nASIG)&gt;0)*(nNOTA))/SUMPRODUCT((nNIA=AE959)*(nCUENTA=1)*(COUNTIF(CONFIG_ASIGNATURAS!$B$7:$B$27,nASIG)&gt;0)*1),"")))</f>
        <v/>
      </c>
    </row>
    <row r="960" spans="2:35" x14ac:dyDescent="0.2">
      <c r="B960" t="str">
        <f>IF(A960="","",IF(A960="[FÓRMULA MANUAL]","",IFERROR(AVERAGEIFS(nNOTA,nNIA,A960,nCUENTA,1,nASIG,"Lenguaje Musical"),"")))</f>
        <v/>
      </c>
      <c r="C960" t="str">
        <f>IF(A960="","",IF(A960="[FÓRMULA MANUAL]","",IFERROR(AVERAGEIFS(nNOTA,nNIA,A960,nCUENTA,1,nASIG,"Orquesta/Banda/Conjunto"),"")))</f>
        <v/>
      </c>
      <c r="D960" t="str">
        <f>IF(A960="","",IF(A960="[FÓRMULA MANUAL]","",IFERROR(AVERAGEIFS(nNOTA,nNIA,A960,nCUENTA,1,nASIG,"Conjunto"),"")))</f>
        <v/>
      </c>
      <c r="E960" t="str">
        <f>IF(A960="","",IF(A960="[FÓRMULA MANUAL]","",IFERROR(SUMPRODUCT((nNIA=A960)*(nCUENTA=1)*(COUNTIF(CONFIG_ASIGNATURAS!$B$7:$B$27,nASIG)&gt;0)*(nNOTA))/SUMPRODUCT((nNIA=A960)*(nCUENTA=1)*(COUNTIF(CONFIG_ASIGNATURAS!$B$7:$B$27,nASIG)&gt;0)*1),"")))</f>
        <v/>
      </c>
      <c r="H960" t="str">
        <f>IF(G960="","",IF(G960="[FÓRMULA MANUAL]","",IFERROR(AVERAGEIFS(nNOTA,nNIA,G960,nCUENTA,1,nASIG,"Lenguaje Musical"),"")))</f>
        <v/>
      </c>
      <c r="I960" t="str">
        <f>IF(G960="","",IF(G960="[FÓRMULA MANUAL]","",IFERROR(AVERAGEIFS(nNOTA,nNIA,G960,nCUENTA,1,nASIG,"Orquesta/Banda/Conjunto"),"")))</f>
        <v/>
      </c>
      <c r="J960" t="str">
        <f>IF(G960="","",IF(G960="[FÓRMULA MANUAL]","",IFERROR(AVERAGEIFS(nNOTA,nNIA,G960,nCUENTA,1,nASIG,"Conjunto"),"")))</f>
        <v/>
      </c>
      <c r="K960" t="str">
        <f>IF(G960="","",IF(G960="[FÓRMULA MANUAL]","",IFERROR(SUMPRODUCT((nNIA=G960)*(nCUENTA=1)*(COUNTIF(CONFIG_ASIGNATURAS!$B$7:$B$27,nASIG)&gt;0)*(nNOTA))/SUMPRODUCT((nNIA=G960)*(nCUENTA=1)*(COUNTIF(CONFIG_ASIGNATURAS!$B$7:$B$27,nASIG)&gt;0)*1),"")))</f>
        <v/>
      </c>
      <c r="N960" t="str">
        <f>IF(M960="","",IF(M960="[FÓRMULA MANUAL]","",IFERROR(AVERAGEIFS(nNOTA,nNIA,M960,nCUENTA,1,nASIG,"Armonía"),"")))</f>
        <v/>
      </c>
      <c r="O960" t="str">
        <f>IF(M960="","",IF(M960="[FÓRMULA MANUAL]","",IFERROR(AVERAGEIFS(nNOTA,nNIA,M960,nCUENTA,1,nASIG,"Orquesta/Banda/Conjunto"),"")))</f>
        <v/>
      </c>
      <c r="P960" t="str">
        <f>IF(M960="","",IF(M960="[FÓRMULA MANUAL]","",IFERROR(AVERAGEIFS(nNOTA,nNIA,M960,nCUENTA,1,nASIG,"Música de Cámara"),"")))</f>
        <v/>
      </c>
      <c r="Q960" t="str">
        <f>IF(M960="","",IF(M960="[FÓRMULA MANUAL]","",IFERROR(SUMPRODUCT((nNIA=M960)*(nCUENTA=1)*(COUNTIF(CONFIG_ASIGNATURAS!$B$7:$B$27,nASIG)&gt;0)*(nNOTA))/SUMPRODUCT((nNIA=M960)*(nCUENTA=1)*(COUNTIF(CONFIG_ASIGNATURAS!$B$7:$B$27,nASIG)&gt;0)*1),"")))</f>
        <v/>
      </c>
      <c r="T960" t="str">
        <f>IF(S960="","",IF(S960="[FÓRMULA MANUAL]","",IFERROR(AVERAGEIFS(nNOTA,nNIA,S960,nCUENTA,1,nASIG,"Armonía"),"")))</f>
        <v/>
      </c>
      <c r="U960" t="str">
        <f>IF(S960="","",IF(S960="[FÓRMULA MANUAL]","",IFERROR(AVERAGEIFS(nNOTA,nNIA,S960,nCUENTA,1,nASIG,"Orquesta/Banda/Conjunto"),"")))</f>
        <v/>
      </c>
      <c r="V960" t="str">
        <f>IF(S960="","",IF(S960="[FÓRMULA MANUAL]","",IFERROR(AVERAGEIFS(nNOTA,nNIA,S960,nCUENTA,1,nASIG,"Música de Cámara"),"")))</f>
        <v/>
      </c>
      <c r="W960" t="str">
        <f>IF(S960="","",IF(S960="[FÓRMULA MANUAL]","",IFERROR(SUMPRODUCT((nNIA=S960)*(nCUENTA=1)*(COUNTIF(CONFIG_ASIGNATURAS!$B$7:$B$27,nASIG)&gt;0)*(nNOTA))/SUMPRODUCT((nNIA=S960)*(nCUENTA=1)*(COUNTIF(CONFIG_ASIGNATURAS!$B$7:$B$27,nASIG)&gt;0)*1),"")))</f>
        <v/>
      </c>
      <c r="Z960" t="str">
        <f>IF(Y960="","",IF(Y960="[FÓRMULA MANUAL]","",IFERROR(AVERAGEIFS(nNOTA,nNIA,Y960,nCUENTA,1,nASIG,"Análisis"),"")))</f>
        <v/>
      </c>
      <c r="AA960" t="str">
        <f>IF(Y960="","",IF(Y960="[FÓRMULA MANUAL]","",IFERROR(AVERAGEIFS(nNOTA,nNIA,Y960,nCUENTA,1,nASIG,"Orquesta/Banda/Conjunto"),"")))</f>
        <v/>
      </c>
      <c r="AB960" t="str">
        <f>IF(Y960="","",IF(Y960="[FÓRMULA MANUAL]","",IFERROR(AVERAGEIFS(nNOTA,nNIA,Y960,nCUENTA,1,nASIG,"Música de Cámara"),"")))</f>
        <v/>
      </c>
      <c r="AC960" t="str">
        <f>IF(Y960="","",IF(Y960="[FÓRMULA MANUAL]","",IFERROR(SUMPRODUCT((nNIA=Y960)*(nCUENTA=1)*(COUNTIF(CONFIG_ASIGNATURAS!$B$7:$B$27,nASIG)&gt;0)*(nNOTA))/SUMPRODUCT((nNIA=Y960)*(nCUENTA=1)*(COUNTIF(CONFIG_ASIGNATURAS!$B$7:$B$27,nASIG)&gt;0)*1),"")))</f>
        <v/>
      </c>
      <c r="AF960" t="str">
        <f>IF(AE960="","",IF(AE960="[FÓRMULA MANUAL]","",IFERROR(AVERAGEIFS(nNOTA,nNIA,AE960,nCUENTA,1,nASIG,"Análisis"),"")))</f>
        <v/>
      </c>
      <c r="AG960" t="str">
        <f>IF(AE960="","",IF(AE960="[FÓRMULA MANUAL]","",IFERROR(AVERAGEIFS(nNOTA,nNIA,AE960,nCUENTA,1,nASIG,"Orquesta/Banda/Conjunto"),"")))</f>
        <v/>
      </c>
      <c r="AH960" t="str">
        <f>IF(AE960="","",IF(AE960="[FÓRMULA MANUAL]","",IFERROR(AVERAGEIFS(nNOTA,nNIA,AE960,nCUENTA,1,nASIG,"Música de Cámara"),"")))</f>
        <v/>
      </c>
      <c r="AI960" t="str">
        <f>IF(AE960="","",IF(AE960="[FÓRMULA MANUAL]","",IFERROR(SUMPRODUCT((nNIA=AE960)*(nCUENTA=1)*(COUNTIF(CONFIG_ASIGNATURAS!$B$7:$B$27,nASIG)&gt;0)*(nNOTA))/SUMPRODUCT((nNIA=AE960)*(nCUENTA=1)*(COUNTIF(CONFIG_ASIGNATURAS!$B$7:$B$27,nASIG)&gt;0)*1),"")))</f>
        <v/>
      </c>
    </row>
    <row r="961" spans="2:35" x14ac:dyDescent="0.2">
      <c r="B961" t="str">
        <f>IF(A961="","",IF(A961="[FÓRMULA MANUAL]","",IFERROR(AVERAGEIFS(nNOTA,nNIA,A961,nCUENTA,1,nASIG,"Lenguaje Musical"),"")))</f>
        <v/>
      </c>
      <c r="C961" t="str">
        <f>IF(A961="","",IF(A961="[FÓRMULA MANUAL]","",IFERROR(AVERAGEIFS(nNOTA,nNIA,A961,nCUENTA,1,nASIG,"Orquesta/Banda/Conjunto"),"")))</f>
        <v/>
      </c>
      <c r="D961" t="str">
        <f>IF(A961="","",IF(A961="[FÓRMULA MANUAL]","",IFERROR(AVERAGEIFS(nNOTA,nNIA,A961,nCUENTA,1,nASIG,"Conjunto"),"")))</f>
        <v/>
      </c>
      <c r="E961" t="str">
        <f>IF(A961="","",IF(A961="[FÓRMULA MANUAL]","",IFERROR(SUMPRODUCT((nNIA=A961)*(nCUENTA=1)*(COUNTIF(CONFIG_ASIGNATURAS!$B$7:$B$27,nASIG)&gt;0)*(nNOTA))/SUMPRODUCT((nNIA=A961)*(nCUENTA=1)*(COUNTIF(CONFIG_ASIGNATURAS!$B$7:$B$27,nASIG)&gt;0)*1),"")))</f>
        <v/>
      </c>
      <c r="H961" t="str">
        <f>IF(G961="","",IF(G961="[FÓRMULA MANUAL]","",IFERROR(AVERAGEIFS(nNOTA,nNIA,G961,nCUENTA,1,nASIG,"Lenguaje Musical"),"")))</f>
        <v/>
      </c>
      <c r="I961" t="str">
        <f>IF(G961="","",IF(G961="[FÓRMULA MANUAL]","",IFERROR(AVERAGEIFS(nNOTA,nNIA,G961,nCUENTA,1,nASIG,"Orquesta/Banda/Conjunto"),"")))</f>
        <v/>
      </c>
      <c r="J961" t="str">
        <f>IF(G961="","",IF(G961="[FÓRMULA MANUAL]","",IFERROR(AVERAGEIFS(nNOTA,nNIA,G961,nCUENTA,1,nASIG,"Conjunto"),"")))</f>
        <v/>
      </c>
      <c r="K961" t="str">
        <f>IF(G961="","",IF(G961="[FÓRMULA MANUAL]","",IFERROR(SUMPRODUCT((nNIA=G961)*(nCUENTA=1)*(COUNTIF(CONFIG_ASIGNATURAS!$B$7:$B$27,nASIG)&gt;0)*(nNOTA))/SUMPRODUCT((nNIA=G961)*(nCUENTA=1)*(COUNTIF(CONFIG_ASIGNATURAS!$B$7:$B$27,nASIG)&gt;0)*1),"")))</f>
        <v/>
      </c>
      <c r="N961" t="str">
        <f>IF(M961="","",IF(M961="[FÓRMULA MANUAL]","",IFERROR(AVERAGEIFS(nNOTA,nNIA,M961,nCUENTA,1,nASIG,"Armonía"),"")))</f>
        <v/>
      </c>
      <c r="O961" t="str">
        <f>IF(M961="","",IF(M961="[FÓRMULA MANUAL]","",IFERROR(AVERAGEIFS(nNOTA,nNIA,M961,nCUENTA,1,nASIG,"Orquesta/Banda/Conjunto"),"")))</f>
        <v/>
      </c>
      <c r="P961" t="str">
        <f>IF(M961="","",IF(M961="[FÓRMULA MANUAL]","",IFERROR(AVERAGEIFS(nNOTA,nNIA,M961,nCUENTA,1,nASIG,"Música de Cámara"),"")))</f>
        <v/>
      </c>
      <c r="Q961" t="str">
        <f>IF(M961="","",IF(M961="[FÓRMULA MANUAL]","",IFERROR(SUMPRODUCT((nNIA=M961)*(nCUENTA=1)*(COUNTIF(CONFIG_ASIGNATURAS!$B$7:$B$27,nASIG)&gt;0)*(nNOTA))/SUMPRODUCT((nNIA=M961)*(nCUENTA=1)*(COUNTIF(CONFIG_ASIGNATURAS!$B$7:$B$27,nASIG)&gt;0)*1),"")))</f>
        <v/>
      </c>
      <c r="T961" t="str">
        <f>IF(S961="","",IF(S961="[FÓRMULA MANUAL]","",IFERROR(AVERAGEIFS(nNOTA,nNIA,S961,nCUENTA,1,nASIG,"Armonía"),"")))</f>
        <v/>
      </c>
      <c r="U961" t="str">
        <f>IF(S961="","",IF(S961="[FÓRMULA MANUAL]","",IFERROR(AVERAGEIFS(nNOTA,nNIA,S961,nCUENTA,1,nASIG,"Orquesta/Banda/Conjunto"),"")))</f>
        <v/>
      </c>
      <c r="V961" t="str">
        <f>IF(S961="","",IF(S961="[FÓRMULA MANUAL]","",IFERROR(AVERAGEIFS(nNOTA,nNIA,S961,nCUENTA,1,nASIG,"Música de Cámara"),"")))</f>
        <v/>
      </c>
      <c r="W961" t="str">
        <f>IF(S961="","",IF(S961="[FÓRMULA MANUAL]","",IFERROR(SUMPRODUCT((nNIA=S961)*(nCUENTA=1)*(COUNTIF(CONFIG_ASIGNATURAS!$B$7:$B$27,nASIG)&gt;0)*(nNOTA))/SUMPRODUCT((nNIA=S961)*(nCUENTA=1)*(COUNTIF(CONFIG_ASIGNATURAS!$B$7:$B$27,nASIG)&gt;0)*1),"")))</f>
        <v/>
      </c>
      <c r="Z961" t="str">
        <f>IF(Y961="","",IF(Y961="[FÓRMULA MANUAL]","",IFERROR(AVERAGEIFS(nNOTA,nNIA,Y961,nCUENTA,1,nASIG,"Análisis"),"")))</f>
        <v/>
      </c>
      <c r="AA961" t="str">
        <f>IF(Y961="","",IF(Y961="[FÓRMULA MANUAL]","",IFERROR(AVERAGEIFS(nNOTA,nNIA,Y961,nCUENTA,1,nASIG,"Orquesta/Banda/Conjunto"),"")))</f>
        <v/>
      </c>
      <c r="AB961" t="str">
        <f>IF(Y961="","",IF(Y961="[FÓRMULA MANUAL]","",IFERROR(AVERAGEIFS(nNOTA,nNIA,Y961,nCUENTA,1,nASIG,"Música de Cámara"),"")))</f>
        <v/>
      </c>
      <c r="AC961" t="str">
        <f>IF(Y961="","",IF(Y961="[FÓRMULA MANUAL]","",IFERROR(SUMPRODUCT((nNIA=Y961)*(nCUENTA=1)*(COUNTIF(CONFIG_ASIGNATURAS!$B$7:$B$27,nASIG)&gt;0)*(nNOTA))/SUMPRODUCT((nNIA=Y961)*(nCUENTA=1)*(COUNTIF(CONFIG_ASIGNATURAS!$B$7:$B$27,nASIG)&gt;0)*1),"")))</f>
        <v/>
      </c>
      <c r="AF961" t="str">
        <f>IF(AE961="","",IF(AE961="[FÓRMULA MANUAL]","",IFERROR(AVERAGEIFS(nNOTA,nNIA,AE961,nCUENTA,1,nASIG,"Análisis"),"")))</f>
        <v/>
      </c>
      <c r="AG961" t="str">
        <f>IF(AE961="","",IF(AE961="[FÓRMULA MANUAL]","",IFERROR(AVERAGEIFS(nNOTA,nNIA,AE961,nCUENTA,1,nASIG,"Orquesta/Banda/Conjunto"),"")))</f>
        <v/>
      </c>
      <c r="AH961" t="str">
        <f>IF(AE961="","",IF(AE961="[FÓRMULA MANUAL]","",IFERROR(AVERAGEIFS(nNOTA,nNIA,AE961,nCUENTA,1,nASIG,"Música de Cámara"),"")))</f>
        <v/>
      </c>
      <c r="AI961" t="str">
        <f>IF(AE961="","",IF(AE961="[FÓRMULA MANUAL]","",IFERROR(SUMPRODUCT((nNIA=AE961)*(nCUENTA=1)*(COUNTIF(CONFIG_ASIGNATURAS!$B$7:$B$27,nASIG)&gt;0)*(nNOTA))/SUMPRODUCT((nNIA=AE961)*(nCUENTA=1)*(COUNTIF(CONFIG_ASIGNATURAS!$B$7:$B$27,nASIG)&gt;0)*1),"")))</f>
        <v/>
      </c>
    </row>
    <row r="962" spans="2:35" x14ac:dyDescent="0.2">
      <c r="B962" t="str">
        <f>IF(A962="","",IF(A962="[FÓRMULA MANUAL]","",IFERROR(AVERAGEIFS(nNOTA,nNIA,A962,nCUENTA,1,nASIG,"Lenguaje Musical"),"")))</f>
        <v/>
      </c>
      <c r="C962" t="str">
        <f>IF(A962="","",IF(A962="[FÓRMULA MANUAL]","",IFERROR(AVERAGEIFS(nNOTA,nNIA,A962,nCUENTA,1,nASIG,"Orquesta/Banda/Conjunto"),"")))</f>
        <v/>
      </c>
      <c r="D962" t="str">
        <f>IF(A962="","",IF(A962="[FÓRMULA MANUAL]","",IFERROR(AVERAGEIFS(nNOTA,nNIA,A962,nCUENTA,1,nASIG,"Conjunto"),"")))</f>
        <v/>
      </c>
      <c r="E962" t="str">
        <f>IF(A962="","",IF(A962="[FÓRMULA MANUAL]","",IFERROR(SUMPRODUCT((nNIA=A962)*(nCUENTA=1)*(COUNTIF(CONFIG_ASIGNATURAS!$B$7:$B$27,nASIG)&gt;0)*(nNOTA))/SUMPRODUCT((nNIA=A962)*(nCUENTA=1)*(COUNTIF(CONFIG_ASIGNATURAS!$B$7:$B$27,nASIG)&gt;0)*1),"")))</f>
        <v/>
      </c>
      <c r="H962" t="str">
        <f>IF(G962="","",IF(G962="[FÓRMULA MANUAL]","",IFERROR(AVERAGEIFS(nNOTA,nNIA,G962,nCUENTA,1,nASIG,"Lenguaje Musical"),"")))</f>
        <v/>
      </c>
      <c r="I962" t="str">
        <f>IF(G962="","",IF(G962="[FÓRMULA MANUAL]","",IFERROR(AVERAGEIFS(nNOTA,nNIA,G962,nCUENTA,1,nASIG,"Orquesta/Banda/Conjunto"),"")))</f>
        <v/>
      </c>
      <c r="J962" t="str">
        <f>IF(G962="","",IF(G962="[FÓRMULA MANUAL]","",IFERROR(AVERAGEIFS(nNOTA,nNIA,G962,nCUENTA,1,nASIG,"Conjunto"),"")))</f>
        <v/>
      </c>
      <c r="K962" t="str">
        <f>IF(G962="","",IF(G962="[FÓRMULA MANUAL]","",IFERROR(SUMPRODUCT((nNIA=G962)*(nCUENTA=1)*(COUNTIF(CONFIG_ASIGNATURAS!$B$7:$B$27,nASIG)&gt;0)*(nNOTA))/SUMPRODUCT((nNIA=G962)*(nCUENTA=1)*(COUNTIF(CONFIG_ASIGNATURAS!$B$7:$B$27,nASIG)&gt;0)*1),"")))</f>
        <v/>
      </c>
      <c r="N962" t="str">
        <f>IF(M962="","",IF(M962="[FÓRMULA MANUAL]","",IFERROR(AVERAGEIFS(nNOTA,nNIA,M962,nCUENTA,1,nASIG,"Armonía"),"")))</f>
        <v/>
      </c>
      <c r="O962" t="str">
        <f>IF(M962="","",IF(M962="[FÓRMULA MANUAL]","",IFERROR(AVERAGEIFS(nNOTA,nNIA,M962,nCUENTA,1,nASIG,"Orquesta/Banda/Conjunto"),"")))</f>
        <v/>
      </c>
      <c r="P962" t="str">
        <f>IF(M962="","",IF(M962="[FÓRMULA MANUAL]","",IFERROR(AVERAGEIFS(nNOTA,nNIA,M962,nCUENTA,1,nASIG,"Música de Cámara"),"")))</f>
        <v/>
      </c>
      <c r="Q962" t="str">
        <f>IF(M962="","",IF(M962="[FÓRMULA MANUAL]","",IFERROR(SUMPRODUCT((nNIA=M962)*(nCUENTA=1)*(COUNTIF(CONFIG_ASIGNATURAS!$B$7:$B$27,nASIG)&gt;0)*(nNOTA))/SUMPRODUCT((nNIA=M962)*(nCUENTA=1)*(COUNTIF(CONFIG_ASIGNATURAS!$B$7:$B$27,nASIG)&gt;0)*1),"")))</f>
        <v/>
      </c>
      <c r="T962" t="str">
        <f>IF(S962="","",IF(S962="[FÓRMULA MANUAL]","",IFERROR(AVERAGEIFS(nNOTA,nNIA,S962,nCUENTA,1,nASIG,"Armonía"),"")))</f>
        <v/>
      </c>
      <c r="U962" t="str">
        <f>IF(S962="","",IF(S962="[FÓRMULA MANUAL]","",IFERROR(AVERAGEIFS(nNOTA,nNIA,S962,nCUENTA,1,nASIG,"Orquesta/Banda/Conjunto"),"")))</f>
        <v/>
      </c>
      <c r="V962" t="str">
        <f>IF(S962="","",IF(S962="[FÓRMULA MANUAL]","",IFERROR(AVERAGEIFS(nNOTA,nNIA,S962,nCUENTA,1,nASIG,"Música de Cámara"),"")))</f>
        <v/>
      </c>
      <c r="W962" t="str">
        <f>IF(S962="","",IF(S962="[FÓRMULA MANUAL]","",IFERROR(SUMPRODUCT((nNIA=S962)*(nCUENTA=1)*(COUNTIF(CONFIG_ASIGNATURAS!$B$7:$B$27,nASIG)&gt;0)*(nNOTA))/SUMPRODUCT((nNIA=S962)*(nCUENTA=1)*(COUNTIF(CONFIG_ASIGNATURAS!$B$7:$B$27,nASIG)&gt;0)*1),"")))</f>
        <v/>
      </c>
      <c r="Z962" t="str">
        <f>IF(Y962="","",IF(Y962="[FÓRMULA MANUAL]","",IFERROR(AVERAGEIFS(nNOTA,nNIA,Y962,nCUENTA,1,nASIG,"Análisis"),"")))</f>
        <v/>
      </c>
      <c r="AA962" t="str">
        <f>IF(Y962="","",IF(Y962="[FÓRMULA MANUAL]","",IFERROR(AVERAGEIFS(nNOTA,nNIA,Y962,nCUENTA,1,nASIG,"Orquesta/Banda/Conjunto"),"")))</f>
        <v/>
      </c>
      <c r="AB962" t="str">
        <f>IF(Y962="","",IF(Y962="[FÓRMULA MANUAL]","",IFERROR(AVERAGEIFS(nNOTA,nNIA,Y962,nCUENTA,1,nASIG,"Música de Cámara"),"")))</f>
        <v/>
      </c>
      <c r="AC962" t="str">
        <f>IF(Y962="","",IF(Y962="[FÓRMULA MANUAL]","",IFERROR(SUMPRODUCT((nNIA=Y962)*(nCUENTA=1)*(COUNTIF(CONFIG_ASIGNATURAS!$B$7:$B$27,nASIG)&gt;0)*(nNOTA))/SUMPRODUCT((nNIA=Y962)*(nCUENTA=1)*(COUNTIF(CONFIG_ASIGNATURAS!$B$7:$B$27,nASIG)&gt;0)*1),"")))</f>
        <v/>
      </c>
      <c r="AF962" t="str">
        <f>IF(AE962="","",IF(AE962="[FÓRMULA MANUAL]","",IFERROR(AVERAGEIFS(nNOTA,nNIA,AE962,nCUENTA,1,nASIG,"Análisis"),"")))</f>
        <v/>
      </c>
      <c r="AG962" t="str">
        <f>IF(AE962="","",IF(AE962="[FÓRMULA MANUAL]","",IFERROR(AVERAGEIFS(nNOTA,nNIA,AE962,nCUENTA,1,nASIG,"Orquesta/Banda/Conjunto"),"")))</f>
        <v/>
      </c>
      <c r="AH962" t="str">
        <f>IF(AE962="","",IF(AE962="[FÓRMULA MANUAL]","",IFERROR(AVERAGEIFS(nNOTA,nNIA,AE962,nCUENTA,1,nASIG,"Música de Cámara"),"")))</f>
        <v/>
      </c>
      <c r="AI962" t="str">
        <f>IF(AE962="","",IF(AE962="[FÓRMULA MANUAL]","",IFERROR(SUMPRODUCT((nNIA=AE962)*(nCUENTA=1)*(COUNTIF(CONFIG_ASIGNATURAS!$B$7:$B$27,nASIG)&gt;0)*(nNOTA))/SUMPRODUCT((nNIA=AE962)*(nCUENTA=1)*(COUNTIF(CONFIG_ASIGNATURAS!$B$7:$B$27,nASIG)&gt;0)*1),"")))</f>
        <v/>
      </c>
    </row>
    <row r="963" spans="2:35" x14ac:dyDescent="0.2">
      <c r="B963" t="str">
        <f>IF(A963="","",IF(A963="[FÓRMULA MANUAL]","",IFERROR(AVERAGEIFS(nNOTA,nNIA,A963,nCUENTA,1,nASIG,"Lenguaje Musical"),"")))</f>
        <v/>
      </c>
      <c r="C963" t="str">
        <f>IF(A963="","",IF(A963="[FÓRMULA MANUAL]","",IFERROR(AVERAGEIFS(nNOTA,nNIA,A963,nCUENTA,1,nASIG,"Orquesta/Banda/Conjunto"),"")))</f>
        <v/>
      </c>
      <c r="D963" t="str">
        <f>IF(A963="","",IF(A963="[FÓRMULA MANUAL]","",IFERROR(AVERAGEIFS(nNOTA,nNIA,A963,nCUENTA,1,nASIG,"Conjunto"),"")))</f>
        <v/>
      </c>
      <c r="E963" t="str">
        <f>IF(A963="","",IF(A963="[FÓRMULA MANUAL]","",IFERROR(SUMPRODUCT((nNIA=A963)*(nCUENTA=1)*(COUNTIF(CONFIG_ASIGNATURAS!$B$7:$B$27,nASIG)&gt;0)*(nNOTA))/SUMPRODUCT((nNIA=A963)*(nCUENTA=1)*(COUNTIF(CONFIG_ASIGNATURAS!$B$7:$B$27,nASIG)&gt;0)*1),"")))</f>
        <v/>
      </c>
      <c r="H963" t="str">
        <f>IF(G963="","",IF(G963="[FÓRMULA MANUAL]","",IFERROR(AVERAGEIFS(nNOTA,nNIA,G963,nCUENTA,1,nASIG,"Lenguaje Musical"),"")))</f>
        <v/>
      </c>
      <c r="I963" t="str">
        <f>IF(G963="","",IF(G963="[FÓRMULA MANUAL]","",IFERROR(AVERAGEIFS(nNOTA,nNIA,G963,nCUENTA,1,nASIG,"Orquesta/Banda/Conjunto"),"")))</f>
        <v/>
      </c>
      <c r="J963" t="str">
        <f>IF(G963="","",IF(G963="[FÓRMULA MANUAL]","",IFERROR(AVERAGEIFS(nNOTA,nNIA,G963,nCUENTA,1,nASIG,"Conjunto"),"")))</f>
        <v/>
      </c>
      <c r="K963" t="str">
        <f>IF(G963="","",IF(G963="[FÓRMULA MANUAL]","",IFERROR(SUMPRODUCT((nNIA=G963)*(nCUENTA=1)*(COUNTIF(CONFIG_ASIGNATURAS!$B$7:$B$27,nASIG)&gt;0)*(nNOTA))/SUMPRODUCT((nNIA=G963)*(nCUENTA=1)*(COUNTIF(CONFIG_ASIGNATURAS!$B$7:$B$27,nASIG)&gt;0)*1),"")))</f>
        <v/>
      </c>
      <c r="N963" t="str">
        <f>IF(M963="","",IF(M963="[FÓRMULA MANUAL]","",IFERROR(AVERAGEIFS(nNOTA,nNIA,M963,nCUENTA,1,nASIG,"Armonía"),"")))</f>
        <v/>
      </c>
      <c r="O963" t="str">
        <f>IF(M963="","",IF(M963="[FÓRMULA MANUAL]","",IFERROR(AVERAGEIFS(nNOTA,nNIA,M963,nCUENTA,1,nASIG,"Orquesta/Banda/Conjunto"),"")))</f>
        <v/>
      </c>
      <c r="P963" t="str">
        <f>IF(M963="","",IF(M963="[FÓRMULA MANUAL]","",IFERROR(AVERAGEIFS(nNOTA,nNIA,M963,nCUENTA,1,nASIG,"Música de Cámara"),"")))</f>
        <v/>
      </c>
      <c r="Q963" t="str">
        <f>IF(M963="","",IF(M963="[FÓRMULA MANUAL]","",IFERROR(SUMPRODUCT((nNIA=M963)*(nCUENTA=1)*(COUNTIF(CONFIG_ASIGNATURAS!$B$7:$B$27,nASIG)&gt;0)*(nNOTA))/SUMPRODUCT((nNIA=M963)*(nCUENTA=1)*(COUNTIF(CONFIG_ASIGNATURAS!$B$7:$B$27,nASIG)&gt;0)*1),"")))</f>
        <v/>
      </c>
      <c r="T963" t="str">
        <f>IF(S963="","",IF(S963="[FÓRMULA MANUAL]","",IFERROR(AVERAGEIFS(nNOTA,nNIA,S963,nCUENTA,1,nASIG,"Armonía"),"")))</f>
        <v/>
      </c>
      <c r="U963" t="str">
        <f>IF(S963="","",IF(S963="[FÓRMULA MANUAL]","",IFERROR(AVERAGEIFS(nNOTA,nNIA,S963,nCUENTA,1,nASIG,"Orquesta/Banda/Conjunto"),"")))</f>
        <v/>
      </c>
      <c r="V963" t="str">
        <f>IF(S963="","",IF(S963="[FÓRMULA MANUAL]","",IFERROR(AVERAGEIFS(nNOTA,nNIA,S963,nCUENTA,1,nASIG,"Música de Cámara"),"")))</f>
        <v/>
      </c>
      <c r="W963" t="str">
        <f>IF(S963="","",IF(S963="[FÓRMULA MANUAL]","",IFERROR(SUMPRODUCT((nNIA=S963)*(nCUENTA=1)*(COUNTIF(CONFIG_ASIGNATURAS!$B$7:$B$27,nASIG)&gt;0)*(nNOTA))/SUMPRODUCT((nNIA=S963)*(nCUENTA=1)*(COUNTIF(CONFIG_ASIGNATURAS!$B$7:$B$27,nASIG)&gt;0)*1),"")))</f>
        <v/>
      </c>
      <c r="Z963" t="str">
        <f>IF(Y963="","",IF(Y963="[FÓRMULA MANUAL]","",IFERROR(AVERAGEIFS(nNOTA,nNIA,Y963,nCUENTA,1,nASIG,"Análisis"),"")))</f>
        <v/>
      </c>
      <c r="AA963" t="str">
        <f>IF(Y963="","",IF(Y963="[FÓRMULA MANUAL]","",IFERROR(AVERAGEIFS(nNOTA,nNIA,Y963,nCUENTA,1,nASIG,"Orquesta/Banda/Conjunto"),"")))</f>
        <v/>
      </c>
      <c r="AB963" t="str">
        <f>IF(Y963="","",IF(Y963="[FÓRMULA MANUAL]","",IFERROR(AVERAGEIFS(nNOTA,nNIA,Y963,nCUENTA,1,nASIG,"Música de Cámara"),"")))</f>
        <v/>
      </c>
      <c r="AC963" t="str">
        <f>IF(Y963="","",IF(Y963="[FÓRMULA MANUAL]","",IFERROR(SUMPRODUCT((nNIA=Y963)*(nCUENTA=1)*(COUNTIF(CONFIG_ASIGNATURAS!$B$7:$B$27,nASIG)&gt;0)*(nNOTA))/SUMPRODUCT((nNIA=Y963)*(nCUENTA=1)*(COUNTIF(CONFIG_ASIGNATURAS!$B$7:$B$27,nASIG)&gt;0)*1),"")))</f>
        <v/>
      </c>
      <c r="AF963" t="str">
        <f>IF(AE963="","",IF(AE963="[FÓRMULA MANUAL]","",IFERROR(AVERAGEIFS(nNOTA,nNIA,AE963,nCUENTA,1,nASIG,"Análisis"),"")))</f>
        <v/>
      </c>
      <c r="AG963" t="str">
        <f>IF(AE963="","",IF(AE963="[FÓRMULA MANUAL]","",IFERROR(AVERAGEIFS(nNOTA,nNIA,AE963,nCUENTA,1,nASIG,"Orquesta/Banda/Conjunto"),"")))</f>
        <v/>
      </c>
      <c r="AH963" t="str">
        <f>IF(AE963="","",IF(AE963="[FÓRMULA MANUAL]","",IFERROR(AVERAGEIFS(nNOTA,nNIA,AE963,nCUENTA,1,nASIG,"Música de Cámara"),"")))</f>
        <v/>
      </c>
      <c r="AI963" t="str">
        <f>IF(AE963="","",IF(AE963="[FÓRMULA MANUAL]","",IFERROR(SUMPRODUCT((nNIA=AE963)*(nCUENTA=1)*(COUNTIF(CONFIG_ASIGNATURAS!$B$7:$B$27,nASIG)&gt;0)*(nNOTA))/SUMPRODUCT((nNIA=AE963)*(nCUENTA=1)*(COUNTIF(CONFIG_ASIGNATURAS!$B$7:$B$27,nASIG)&gt;0)*1),"")))</f>
        <v/>
      </c>
    </row>
    <row r="964" spans="2:35" x14ac:dyDescent="0.2">
      <c r="B964" t="str">
        <f>IF(A964="","",IF(A964="[FÓRMULA MANUAL]","",IFERROR(AVERAGEIFS(nNOTA,nNIA,A964,nCUENTA,1,nASIG,"Lenguaje Musical"),"")))</f>
        <v/>
      </c>
      <c r="C964" t="str">
        <f>IF(A964="","",IF(A964="[FÓRMULA MANUAL]","",IFERROR(AVERAGEIFS(nNOTA,nNIA,A964,nCUENTA,1,nASIG,"Orquesta/Banda/Conjunto"),"")))</f>
        <v/>
      </c>
      <c r="D964" t="str">
        <f>IF(A964="","",IF(A964="[FÓRMULA MANUAL]","",IFERROR(AVERAGEIFS(nNOTA,nNIA,A964,nCUENTA,1,nASIG,"Conjunto"),"")))</f>
        <v/>
      </c>
      <c r="E964" t="str">
        <f>IF(A964="","",IF(A964="[FÓRMULA MANUAL]","",IFERROR(SUMPRODUCT((nNIA=A964)*(nCUENTA=1)*(COUNTIF(CONFIG_ASIGNATURAS!$B$7:$B$27,nASIG)&gt;0)*(nNOTA))/SUMPRODUCT((nNIA=A964)*(nCUENTA=1)*(COUNTIF(CONFIG_ASIGNATURAS!$B$7:$B$27,nASIG)&gt;0)*1),"")))</f>
        <v/>
      </c>
      <c r="H964" t="str">
        <f>IF(G964="","",IF(G964="[FÓRMULA MANUAL]","",IFERROR(AVERAGEIFS(nNOTA,nNIA,G964,nCUENTA,1,nASIG,"Lenguaje Musical"),"")))</f>
        <v/>
      </c>
      <c r="I964" t="str">
        <f>IF(G964="","",IF(G964="[FÓRMULA MANUAL]","",IFERROR(AVERAGEIFS(nNOTA,nNIA,G964,nCUENTA,1,nASIG,"Orquesta/Banda/Conjunto"),"")))</f>
        <v/>
      </c>
      <c r="J964" t="str">
        <f>IF(G964="","",IF(G964="[FÓRMULA MANUAL]","",IFERROR(AVERAGEIFS(nNOTA,nNIA,G964,nCUENTA,1,nASIG,"Conjunto"),"")))</f>
        <v/>
      </c>
      <c r="K964" t="str">
        <f>IF(G964="","",IF(G964="[FÓRMULA MANUAL]","",IFERROR(SUMPRODUCT((nNIA=G964)*(nCUENTA=1)*(COUNTIF(CONFIG_ASIGNATURAS!$B$7:$B$27,nASIG)&gt;0)*(nNOTA))/SUMPRODUCT((nNIA=G964)*(nCUENTA=1)*(COUNTIF(CONFIG_ASIGNATURAS!$B$7:$B$27,nASIG)&gt;0)*1),"")))</f>
        <v/>
      </c>
      <c r="N964" t="str">
        <f>IF(M964="","",IF(M964="[FÓRMULA MANUAL]","",IFERROR(AVERAGEIFS(nNOTA,nNIA,M964,nCUENTA,1,nASIG,"Armonía"),"")))</f>
        <v/>
      </c>
      <c r="O964" t="str">
        <f>IF(M964="","",IF(M964="[FÓRMULA MANUAL]","",IFERROR(AVERAGEIFS(nNOTA,nNIA,M964,nCUENTA,1,nASIG,"Orquesta/Banda/Conjunto"),"")))</f>
        <v/>
      </c>
      <c r="P964" t="str">
        <f>IF(M964="","",IF(M964="[FÓRMULA MANUAL]","",IFERROR(AVERAGEIFS(nNOTA,nNIA,M964,nCUENTA,1,nASIG,"Música de Cámara"),"")))</f>
        <v/>
      </c>
      <c r="Q964" t="str">
        <f>IF(M964="","",IF(M964="[FÓRMULA MANUAL]","",IFERROR(SUMPRODUCT((nNIA=M964)*(nCUENTA=1)*(COUNTIF(CONFIG_ASIGNATURAS!$B$7:$B$27,nASIG)&gt;0)*(nNOTA))/SUMPRODUCT((nNIA=M964)*(nCUENTA=1)*(COUNTIF(CONFIG_ASIGNATURAS!$B$7:$B$27,nASIG)&gt;0)*1),"")))</f>
        <v/>
      </c>
      <c r="T964" t="str">
        <f>IF(S964="","",IF(S964="[FÓRMULA MANUAL]","",IFERROR(AVERAGEIFS(nNOTA,nNIA,S964,nCUENTA,1,nASIG,"Armonía"),"")))</f>
        <v/>
      </c>
      <c r="U964" t="str">
        <f>IF(S964="","",IF(S964="[FÓRMULA MANUAL]","",IFERROR(AVERAGEIFS(nNOTA,nNIA,S964,nCUENTA,1,nASIG,"Orquesta/Banda/Conjunto"),"")))</f>
        <v/>
      </c>
      <c r="V964" t="str">
        <f>IF(S964="","",IF(S964="[FÓRMULA MANUAL]","",IFERROR(AVERAGEIFS(nNOTA,nNIA,S964,nCUENTA,1,nASIG,"Música de Cámara"),"")))</f>
        <v/>
      </c>
      <c r="W964" t="str">
        <f>IF(S964="","",IF(S964="[FÓRMULA MANUAL]","",IFERROR(SUMPRODUCT((nNIA=S964)*(nCUENTA=1)*(COUNTIF(CONFIG_ASIGNATURAS!$B$7:$B$27,nASIG)&gt;0)*(nNOTA))/SUMPRODUCT((nNIA=S964)*(nCUENTA=1)*(COUNTIF(CONFIG_ASIGNATURAS!$B$7:$B$27,nASIG)&gt;0)*1),"")))</f>
        <v/>
      </c>
      <c r="Z964" t="str">
        <f>IF(Y964="","",IF(Y964="[FÓRMULA MANUAL]","",IFERROR(AVERAGEIFS(nNOTA,nNIA,Y964,nCUENTA,1,nASIG,"Análisis"),"")))</f>
        <v/>
      </c>
      <c r="AA964" t="str">
        <f>IF(Y964="","",IF(Y964="[FÓRMULA MANUAL]","",IFERROR(AVERAGEIFS(nNOTA,nNIA,Y964,nCUENTA,1,nASIG,"Orquesta/Banda/Conjunto"),"")))</f>
        <v/>
      </c>
      <c r="AB964" t="str">
        <f>IF(Y964="","",IF(Y964="[FÓRMULA MANUAL]","",IFERROR(AVERAGEIFS(nNOTA,nNIA,Y964,nCUENTA,1,nASIG,"Música de Cámara"),"")))</f>
        <v/>
      </c>
      <c r="AC964" t="str">
        <f>IF(Y964="","",IF(Y964="[FÓRMULA MANUAL]","",IFERROR(SUMPRODUCT((nNIA=Y964)*(nCUENTA=1)*(COUNTIF(CONFIG_ASIGNATURAS!$B$7:$B$27,nASIG)&gt;0)*(nNOTA))/SUMPRODUCT((nNIA=Y964)*(nCUENTA=1)*(COUNTIF(CONFIG_ASIGNATURAS!$B$7:$B$27,nASIG)&gt;0)*1),"")))</f>
        <v/>
      </c>
      <c r="AF964" t="str">
        <f>IF(AE964="","",IF(AE964="[FÓRMULA MANUAL]","",IFERROR(AVERAGEIFS(nNOTA,nNIA,AE964,nCUENTA,1,nASIG,"Análisis"),"")))</f>
        <v/>
      </c>
      <c r="AG964" t="str">
        <f>IF(AE964="","",IF(AE964="[FÓRMULA MANUAL]","",IFERROR(AVERAGEIFS(nNOTA,nNIA,AE964,nCUENTA,1,nASIG,"Orquesta/Banda/Conjunto"),"")))</f>
        <v/>
      </c>
      <c r="AH964" t="str">
        <f>IF(AE964="","",IF(AE964="[FÓRMULA MANUAL]","",IFERROR(AVERAGEIFS(nNOTA,nNIA,AE964,nCUENTA,1,nASIG,"Música de Cámara"),"")))</f>
        <v/>
      </c>
      <c r="AI964" t="str">
        <f>IF(AE964="","",IF(AE964="[FÓRMULA MANUAL]","",IFERROR(SUMPRODUCT((nNIA=AE964)*(nCUENTA=1)*(COUNTIF(CONFIG_ASIGNATURAS!$B$7:$B$27,nASIG)&gt;0)*(nNOTA))/SUMPRODUCT((nNIA=AE964)*(nCUENTA=1)*(COUNTIF(CONFIG_ASIGNATURAS!$B$7:$B$27,nASIG)&gt;0)*1),"")))</f>
        <v/>
      </c>
    </row>
    <row r="965" spans="2:35" x14ac:dyDescent="0.2">
      <c r="B965" t="str">
        <f>IF(A965="","",IF(A965="[FÓRMULA MANUAL]","",IFERROR(AVERAGEIFS(nNOTA,nNIA,A965,nCUENTA,1,nASIG,"Lenguaje Musical"),"")))</f>
        <v/>
      </c>
      <c r="C965" t="str">
        <f>IF(A965="","",IF(A965="[FÓRMULA MANUAL]","",IFERROR(AVERAGEIFS(nNOTA,nNIA,A965,nCUENTA,1,nASIG,"Orquesta/Banda/Conjunto"),"")))</f>
        <v/>
      </c>
      <c r="D965" t="str">
        <f>IF(A965="","",IF(A965="[FÓRMULA MANUAL]","",IFERROR(AVERAGEIFS(nNOTA,nNIA,A965,nCUENTA,1,nASIG,"Conjunto"),"")))</f>
        <v/>
      </c>
      <c r="E965" t="str">
        <f>IF(A965="","",IF(A965="[FÓRMULA MANUAL]","",IFERROR(SUMPRODUCT((nNIA=A965)*(nCUENTA=1)*(COUNTIF(CONFIG_ASIGNATURAS!$B$7:$B$27,nASIG)&gt;0)*(nNOTA))/SUMPRODUCT((nNIA=A965)*(nCUENTA=1)*(COUNTIF(CONFIG_ASIGNATURAS!$B$7:$B$27,nASIG)&gt;0)*1),"")))</f>
        <v/>
      </c>
      <c r="H965" t="str">
        <f>IF(G965="","",IF(G965="[FÓRMULA MANUAL]","",IFERROR(AVERAGEIFS(nNOTA,nNIA,G965,nCUENTA,1,nASIG,"Lenguaje Musical"),"")))</f>
        <v/>
      </c>
      <c r="I965" t="str">
        <f>IF(G965="","",IF(G965="[FÓRMULA MANUAL]","",IFERROR(AVERAGEIFS(nNOTA,nNIA,G965,nCUENTA,1,nASIG,"Orquesta/Banda/Conjunto"),"")))</f>
        <v/>
      </c>
      <c r="J965" t="str">
        <f>IF(G965="","",IF(G965="[FÓRMULA MANUAL]","",IFERROR(AVERAGEIFS(nNOTA,nNIA,G965,nCUENTA,1,nASIG,"Conjunto"),"")))</f>
        <v/>
      </c>
      <c r="K965" t="str">
        <f>IF(G965="","",IF(G965="[FÓRMULA MANUAL]","",IFERROR(SUMPRODUCT((nNIA=G965)*(nCUENTA=1)*(COUNTIF(CONFIG_ASIGNATURAS!$B$7:$B$27,nASIG)&gt;0)*(nNOTA))/SUMPRODUCT((nNIA=G965)*(nCUENTA=1)*(COUNTIF(CONFIG_ASIGNATURAS!$B$7:$B$27,nASIG)&gt;0)*1),"")))</f>
        <v/>
      </c>
      <c r="N965" t="str">
        <f>IF(M965="","",IF(M965="[FÓRMULA MANUAL]","",IFERROR(AVERAGEIFS(nNOTA,nNIA,M965,nCUENTA,1,nASIG,"Armonía"),"")))</f>
        <v/>
      </c>
      <c r="O965" t="str">
        <f>IF(M965="","",IF(M965="[FÓRMULA MANUAL]","",IFERROR(AVERAGEIFS(nNOTA,nNIA,M965,nCUENTA,1,nASIG,"Orquesta/Banda/Conjunto"),"")))</f>
        <v/>
      </c>
      <c r="P965" t="str">
        <f>IF(M965="","",IF(M965="[FÓRMULA MANUAL]","",IFERROR(AVERAGEIFS(nNOTA,nNIA,M965,nCUENTA,1,nASIG,"Música de Cámara"),"")))</f>
        <v/>
      </c>
      <c r="Q965" t="str">
        <f>IF(M965="","",IF(M965="[FÓRMULA MANUAL]","",IFERROR(SUMPRODUCT((nNIA=M965)*(nCUENTA=1)*(COUNTIF(CONFIG_ASIGNATURAS!$B$7:$B$27,nASIG)&gt;0)*(nNOTA))/SUMPRODUCT((nNIA=M965)*(nCUENTA=1)*(COUNTIF(CONFIG_ASIGNATURAS!$B$7:$B$27,nASIG)&gt;0)*1),"")))</f>
        <v/>
      </c>
      <c r="T965" t="str">
        <f>IF(S965="","",IF(S965="[FÓRMULA MANUAL]","",IFERROR(AVERAGEIFS(nNOTA,nNIA,S965,nCUENTA,1,nASIG,"Armonía"),"")))</f>
        <v/>
      </c>
      <c r="U965" t="str">
        <f>IF(S965="","",IF(S965="[FÓRMULA MANUAL]","",IFERROR(AVERAGEIFS(nNOTA,nNIA,S965,nCUENTA,1,nASIG,"Orquesta/Banda/Conjunto"),"")))</f>
        <v/>
      </c>
      <c r="V965" t="str">
        <f>IF(S965="","",IF(S965="[FÓRMULA MANUAL]","",IFERROR(AVERAGEIFS(nNOTA,nNIA,S965,nCUENTA,1,nASIG,"Música de Cámara"),"")))</f>
        <v/>
      </c>
      <c r="W965" t="str">
        <f>IF(S965="","",IF(S965="[FÓRMULA MANUAL]","",IFERROR(SUMPRODUCT((nNIA=S965)*(nCUENTA=1)*(COUNTIF(CONFIG_ASIGNATURAS!$B$7:$B$27,nASIG)&gt;0)*(nNOTA))/SUMPRODUCT((nNIA=S965)*(nCUENTA=1)*(COUNTIF(CONFIG_ASIGNATURAS!$B$7:$B$27,nASIG)&gt;0)*1),"")))</f>
        <v/>
      </c>
      <c r="Z965" t="str">
        <f>IF(Y965="","",IF(Y965="[FÓRMULA MANUAL]","",IFERROR(AVERAGEIFS(nNOTA,nNIA,Y965,nCUENTA,1,nASIG,"Análisis"),"")))</f>
        <v/>
      </c>
      <c r="AA965" t="str">
        <f>IF(Y965="","",IF(Y965="[FÓRMULA MANUAL]","",IFERROR(AVERAGEIFS(nNOTA,nNIA,Y965,nCUENTA,1,nASIG,"Orquesta/Banda/Conjunto"),"")))</f>
        <v/>
      </c>
      <c r="AB965" t="str">
        <f>IF(Y965="","",IF(Y965="[FÓRMULA MANUAL]","",IFERROR(AVERAGEIFS(nNOTA,nNIA,Y965,nCUENTA,1,nASIG,"Música de Cámara"),"")))</f>
        <v/>
      </c>
      <c r="AC965" t="str">
        <f>IF(Y965="","",IF(Y965="[FÓRMULA MANUAL]","",IFERROR(SUMPRODUCT((nNIA=Y965)*(nCUENTA=1)*(COUNTIF(CONFIG_ASIGNATURAS!$B$7:$B$27,nASIG)&gt;0)*(nNOTA))/SUMPRODUCT((nNIA=Y965)*(nCUENTA=1)*(COUNTIF(CONFIG_ASIGNATURAS!$B$7:$B$27,nASIG)&gt;0)*1),"")))</f>
        <v/>
      </c>
      <c r="AF965" t="str">
        <f>IF(AE965="","",IF(AE965="[FÓRMULA MANUAL]","",IFERROR(AVERAGEIFS(nNOTA,nNIA,AE965,nCUENTA,1,nASIG,"Análisis"),"")))</f>
        <v/>
      </c>
      <c r="AG965" t="str">
        <f>IF(AE965="","",IF(AE965="[FÓRMULA MANUAL]","",IFERROR(AVERAGEIFS(nNOTA,nNIA,AE965,nCUENTA,1,nASIG,"Orquesta/Banda/Conjunto"),"")))</f>
        <v/>
      </c>
      <c r="AH965" t="str">
        <f>IF(AE965="","",IF(AE965="[FÓRMULA MANUAL]","",IFERROR(AVERAGEIFS(nNOTA,nNIA,AE965,nCUENTA,1,nASIG,"Música de Cámara"),"")))</f>
        <v/>
      </c>
      <c r="AI965" t="str">
        <f>IF(AE965="","",IF(AE965="[FÓRMULA MANUAL]","",IFERROR(SUMPRODUCT((nNIA=AE965)*(nCUENTA=1)*(COUNTIF(CONFIG_ASIGNATURAS!$B$7:$B$27,nASIG)&gt;0)*(nNOTA))/SUMPRODUCT((nNIA=AE965)*(nCUENTA=1)*(COUNTIF(CONFIG_ASIGNATURAS!$B$7:$B$27,nASIG)&gt;0)*1),"")))</f>
        <v/>
      </c>
    </row>
    <row r="966" spans="2:35" x14ac:dyDescent="0.2">
      <c r="B966" t="str">
        <f>IF(A966="","",IF(A966="[FÓRMULA MANUAL]","",IFERROR(AVERAGEIFS(nNOTA,nNIA,A966,nCUENTA,1,nASIG,"Lenguaje Musical"),"")))</f>
        <v/>
      </c>
      <c r="C966" t="str">
        <f>IF(A966="","",IF(A966="[FÓRMULA MANUAL]","",IFERROR(AVERAGEIFS(nNOTA,nNIA,A966,nCUENTA,1,nASIG,"Orquesta/Banda/Conjunto"),"")))</f>
        <v/>
      </c>
      <c r="D966" t="str">
        <f>IF(A966="","",IF(A966="[FÓRMULA MANUAL]","",IFERROR(AVERAGEIFS(nNOTA,nNIA,A966,nCUENTA,1,nASIG,"Conjunto"),"")))</f>
        <v/>
      </c>
      <c r="E966" t="str">
        <f>IF(A966="","",IF(A966="[FÓRMULA MANUAL]","",IFERROR(SUMPRODUCT((nNIA=A966)*(nCUENTA=1)*(COUNTIF(CONFIG_ASIGNATURAS!$B$7:$B$27,nASIG)&gt;0)*(nNOTA))/SUMPRODUCT((nNIA=A966)*(nCUENTA=1)*(COUNTIF(CONFIG_ASIGNATURAS!$B$7:$B$27,nASIG)&gt;0)*1),"")))</f>
        <v/>
      </c>
      <c r="H966" t="str">
        <f>IF(G966="","",IF(G966="[FÓRMULA MANUAL]","",IFERROR(AVERAGEIFS(nNOTA,nNIA,G966,nCUENTA,1,nASIG,"Lenguaje Musical"),"")))</f>
        <v/>
      </c>
      <c r="I966" t="str">
        <f>IF(G966="","",IF(G966="[FÓRMULA MANUAL]","",IFERROR(AVERAGEIFS(nNOTA,nNIA,G966,nCUENTA,1,nASIG,"Orquesta/Banda/Conjunto"),"")))</f>
        <v/>
      </c>
      <c r="J966" t="str">
        <f>IF(G966="","",IF(G966="[FÓRMULA MANUAL]","",IFERROR(AVERAGEIFS(nNOTA,nNIA,G966,nCUENTA,1,nASIG,"Conjunto"),"")))</f>
        <v/>
      </c>
      <c r="K966" t="str">
        <f>IF(G966="","",IF(G966="[FÓRMULA MANUAL]","",IFERROR(SUMPRODUCT((nNIA=G966)*(nCUENTA=1)*(COUNTIF(CONFIG_ASIGNATURAS!$B$7:$B$27,nASIG)&gt;0)*(nNOTA))/SUMPRODUCT((nNIA=G966)*(nCUENTA=1)*(COUNTIF(CONFIG_ASIGNATURAS!$B$7:$B$27,nASIG)&gt;0)*1),"")))</f>
        <v/>
      </c>
      <c r="N966" t="str">
        <f>IF(M966="","",IF(M966="[FÓRMULA MANUAL]","",IFERROR(AVERAGEIFS(nNOTA,nNIA,M966,nCUENTA,1,nASIG,"Armonía"),"")))</f>
        <v/>
      </c>
      <c r="O966" t="str">
        <f>IF(M966="","",IF(M966="[FÓRMULA MANUAL]","",IFERROR(AVERAGEIFS(nNOTA,nNIA,M966,nCUENTA,1,nASIG,"Orquesta/Banda/Conjunto"),"")))</f>
        <v/>
      </c>
      <c r="P966" t="str">
        <f>IF(M966="","",IF(M966="[FÓRMULA MANUAL]","",IFERROR(AVERAGEIFS(nNOTA,nNIA,M966,nCUENTA,1,nASIG,"Música de Cámara"),"")))</f>
        <v/>
      </c>
      <c r="Q966" t="str">
        <f>IF(M966="","",IF(M966="[FÓRMULA MANUAL]","",IFERROR(SUMPRODUCT((nNIA=M966)*(nCUENTA=1)*(COUNTIF(CONFIG_ASIGNATURAS!$B$7:$B$27,nASIG)&gt;0)*(nNOTA))/SUMPRODUCT((nNIA=M966)*(nCUENTA=1)*(COUNTIF(CONFIG_ASIGNATURAS!$B$7:$B$27,nASIG)&gt;0)*1),"")))</f>
        <v/>
      </c>
      <c r="T966" t="str">
        <f>IF(S966="","",IF(S966="[FÓRMULA MANUAL]","",IFERROR(AVERAGEIFS(nNOTA,nNIA,S966,nCUENTA,1,nASIG,"Armonía"),"")))</f>
        <v/>
      </c>
      <c r="U966" t="str">
        <f>IF(S966="","",IF(S966="[FÓRMULA MANUAL]","",IFERROR(AVERAGEIFS(nNOTA,nNIA,S966,nCUENTA,1,nASIG,"Orquesta/Banda/Conjunto"),"")))</f>
        <v/>
      </c>
      <c r="V966" t="str">
        <f>IF(S966="","",IF(S966="[FÓRMULA MANUAL]","",IFERROR(AVERAGEIFS(nNOTA,nNIA,S966,nCUENTA,1,nASIG,"Música de Cámara"),"")))</f>
        <v/>
      </c>
      <c r="W966" t="str">
        <f>IF(S966="","",IF(S966="[FÓRMULA MANUAL]","",IFERROR(SUMPRODUCT((nNIA=S966)*(nCUENTA=1)*(COUNTIF(CONFIG_ASIGNATURAS!$B$7:$B$27,nASIG)&gt;0)*(nNOTA))/SUMPRODUCT((nNIA=S966)*(nCUENTA=1)*(COUNTIF(CONFIG_ASIGNATURAS!$B$7:$B$27,nASIG)&gt;0)*1),"")))</f>
        <v/>
      </c>
      <c r="Z966" t="str">
        <f>IF(Y966="","",IF(Y966="[FÓRMULA MANUAL]","",IFERROR(AVERAGEIFS(nNOTA,nNIA,Y966,nCUENTA,1,nASIG,"Análisis"),"")))</f>
        <v/>
      </c>
      <c r="AA966" t="str">
        <f>IF(Y966="","",IF(Y966="[FÓRMULA MANUAL]","",IFERROR(AVERAGEIFS(nNOTA,nNIA,Y966,nCUENTA,1,nASIG,"Orquesta/Banda/Conjunto"),"")))</f>
        <v/>
      </c>
      <c r="AB966" t="str">
        <f>IF(Y966="","",IF(Y966="[FÓRMULA MANUAL]","",IFERROR(AVERAGEIFS(nNOTA,nNIA,Y966,nCUENTA,1,nASIG,"Música de Cámara"),"")))</f>
        <v/>
      </c>
      <c r="AC966" t="str">
        <f>IF(Y966="","",IF(Y966="[FÓRMULA MANUAL]","",IFERROR(SUMPRODUCT((nNIA=Y966)*(nCUENTA=1)*(COUNTIF(CONFIG_ASIGNATURAS!$B$7:$B$27,nASIG)&gt;0)*(nNOTA))/SUMPRODUCT((nNIA=Y966)*(nCUENTA=1)*(COUNTIF(CONFIG_ASIGNATURAS!$B$7:$B$27,nASIG)&gt;0)*1),"")))</f>
        <v/>
      </c>
      <c r="AF966" t="str">
        <f>IF(AE966="","",IF(AE966="[FÓRMULA MANUAL]","",IFERROR(AVERAGEIFS(nNOTA,nNIA,AE966,nCUENTA,1,nASIG,"Análisis"),"")))</f>
        <v/>
      </c>
      <c r="AG966" t="str">
        <f>IF(AE966="","",IF(AE966="[FÓRMULA MANUAL]","",IFERROR(AVERAGEIFS(nNOTA,nNIA,AE966,nCUENTA,1,nASIG,"Orquesta/Banda/Conjunto"),"")))</f>
        <v/>
      </c>
      <c r="AH966" t="str">
        <f>IF(AE966="","",IF(AE966="[FÓRMULA MANUAL]","",IFERROR(AVERAGEIFS(nNOTA,nNIA,AE966,nCUENTA,1,nASIG,"Música de Cámara"),"")))</f>
        <v/>
      </c>
      <c r="AI966" t="str">
        <f>IF(AE966="","",IF(AE966="[FÓRMULA MANUAL]","",IFERROR(SUMPRODUCT((nNIA=AE966)*(nCUENTA=1)*(COUNTIF(CONFIG_ASIGNATURAS!$B$7:$B$27,nASIG)&gt;0)*(nNOTA))/SUMPRODUCT((nNIA=AE966)*(nCUENTA=1)*(COUNTIF(CONFIG_ASIGNATURAS!$B$7:$B$27,nASIG)&gt;0)*1),"")))</f>
        <v/>
      </c>
    </row>
    <row r="967" spans="2:35" x14ac:dyDescent="0.2">
      <c r="B967" t="str">
        <f>IF(A967="","",IF(A967="[FÓRMULA MANUAL]","",IFERROR(AVERAGEIFS(nNOTA,nNIA,A967,nCUENTA,1,nASIG,"Lenguaje Musical"),"")))</f>
        <v/>
      </c>
      <c r="C967" t="str">
        <f>IF(A967="","",IF(A967="[FÓRMULA MANUAL]","",IFERROR(AVERAGEIFS(nNOTA,nNIA,A967,nCUENTA,1,nASIG,"Orquesta/Banda/Conjunto"),"")))</f>
        <v/>
      </c>
      <c r="D967" t="str">
        <f>IF(A967="","",IF(A967="[FÓRMULA MANUAL]","",IFERROR(AVERAGEIFS(nNOTA,nNIA,A967,nCUENTA,1,nASIG,"Conjunto"),"")))</f>
        <v/>
      </c>
      <c r="E967" t="str">
        <f>IF(A967="","",IF(A967="[FÓRMULA MANUAL]","",IFERROR(SUMPRODUCT((nNIA=A967)*(nCUENTA=1)*(COUNTIF(CONFIG_ASIGNATURAS!$B$7:$B$27,nASIG)&gt;0)*(nNOTA))/SUMPRODUCT((nNIA=A967)*(nCUENTA=1)*(COUNTIF(CONFIG_ASIGNATURAS!$B$7:$B$27,nASIG)&gt;0)*1),"")))</f>
        <v/>
      </c>
      <c r="H967" t="str">
        <f>IF(G967="","",IF(G967="[FÓRMULA MANUAL]","",IFERROR(AVERAGEIFS(nNOTA,nNIA,G967,nCUENTA,1,nASIG,"Lenguaje Musical"),"")))</f>
        <v/>
      </c>
      <c r="I967" t="str">
        <f>IF(G967="","",IF(G967="[FÓRMULA MANUAL]","",IFERROR(AVERAGEIFS(nNOTA,nNIA,G967,nCUENTA,1,nASIG,"Orquesta/Banda/Conjunto"),"")))</f>
        <v/>
      </c>
      <c r="J967" t="str">
        <f>IF(G967="","",IF(G967="[FÓRMULA MANUAL]","",IFERROR(AVERAGEIFS(nNOTA,nNIA,G967,nCUENTA,1,nASIG,"Conjunto"),"")))</f>
        <v/>
      </c>
      <c r="K967" t="str">
        <f>IF(G967="","",IF(G967="[FÓRMULA MANUAL]","",IFERROR(SUMPRODUCT((nNIA=G967)*(nCUENTA=1)*(COUNTIF(CONFIG_ASIGNATURAS!$B$7:$B$27,nASIG)&gt;0)*(nNOTA))/SUMPRODUCT((nNIA=G967)*(nCUENTA=1)*(COUNTIF(CONFIG_ASIGNATURAS!$B$7:$B$27,nASIG)&gt;0)*1),"")))</f>
        <v/>
      </c>
      <c r="N967" t="str">
        <f>IF(M967="","",IF(M967="[FÓRMULA MANUAL]","",IFERROR(AVERAGEIFS(nNOTA,nNIA,M967,nCUENTA,1,nASIG,"Armonía"),"")))</f>
        <v/>
      </c>
      <c r="O967" t="str">
        <f>IF(M967="","",IF(M967="[FÓRMULA MANUAL]","",IFERROR(AVERAGEIFS(nNOTA,nNIA,M967,nCUENTA,1,nASIG,"Orquesta/Banda/Conjunto"),"")))</f>
        <v/>
      </c>
      <c r="P967" t="str">
        <f>IF(M967="","",IF(M967="[FÓRMULA MANUAL]","",IFERROR(AVERAGEIFS(nNOTA,nNIA,M967,nCUENTA,1,nASIG,"Música de Cámara"),"")))</f>
        <v/>
      </c>
      <c r="Q967" t="str">
        <f>IF(M967="","",IF(M967="[FÓRMULA MANUAL]","",IFERROR(SUMPRODUCT((nNIA=M967)*(nCUENTA=1)*(COUNTIF(CONFIG_ASIGNATURAS!$B$7:$B$27,nASIG)&gt;0)*(nNOTA))/SUMPRODUCT((nNIA=M967)*(nCUENTA=1)*(COUNTIF(CONFIG_ASIGNATURAS!$B$7:$B$27,nASIG)&gt;0)*1),"")))</f>
        <v/>
      </c>
      <c r="T967" t="str">
        <f>IF(S967="","",IF(S967="[FÓRMULA MANUAL]","",IFERROR(AVERAGEIFS(nNOTA,nNIA,S967,nCUENTA,1,nASIG,"Armonía"),"")))</f>
        <v/>
      </c>
      <c r="U967" t="str">
        <f>IF(S967="","",IF(S967="[FÓRMULA MANUAL]","",IFERROR(AVERAGEIFS(nNOTA,nNIA,S967,nCUENTA,1,nASIG,"Orquesta/Banda/Conjunto"),"")))</f>
        <v/>
      </c>
      <c r="V967" t="str">
        <f>IF(S967="","",IF(S967="[FÓRMULA MANUAL]","",IFERROR(AVERAGEIFS(nNOTA,nNIA,S967,nCUENTA,1,nASIG,"Música de Cámara"),"")))</f>
        <v/>
      </c>
      <c r="W967" t="str">
        <f>IF(S967="","",IF(S967="[FÓRMULA MANUAL]","",IFERROR(SUMPRODUCT((nNIA=S967)*(nCUENTA=1)*(COUNTIF(CONFIG_ASIGNATURAS!$B$7:$B$27,nASIG)&gt;0)*(nNOTA))/SUMPRODUCT((nNIA=S967)*(nCUENTA=1)*(COUNTIF(CONFIG_ASIGNATURAS!$B$7:$B$27,nASIG)&gt;0)*1),"")))</f>
        <v/>
      </c>
      <c r="Z967" t="str">
        <f>IF(Y967="","",IF(Y967="[FÓRMULA MANUAL]","",IFERROR(AVERAGEIFS(nNOTA,nNIA,Y967,nCUENTA,1,nASIG,"Análisis"),"")))</f>
        <v/>
      </c>
      <c r="AA967" t="str">
        <f>IF(Y967="","",IF(Y967="[FÓRMULA MANUAL]","",IFERROR(AVERAGEIFS(nNOTA,nNIA,Y967,nCUENTA,1,nASIG,"Orquesta/Banda/Conjunto"),"")))</f>
        <v/>
      </c>
      <c r="AB967" t="str">
        <f>IF(Y967="","",IF(Y967="[FÓRMULA MANUAL]","",IFERROR(AVERAGEIFS(nNOTA,nNIA,Y967,nCUENTA,1,nASIG,"Música de Cámara"),"")))</f>
        <v/>
      </c>
      <c r="AC967" t="str">
        <f>IF(Y967="","",IF(Y967="[FÓRMULA MANUAL]","",IFERROR(SUMPRODUCT((nNIA=Y967)*(nCUENTA=1)*(COUNTIF(CONFIG_ASIGNATURAS!$B$7:$B$27,nASIG)&gt;0)*(nNOTA))/SUMPRODUCT((nNIA=Y967)*(nCUENTA=1)*(COUNTIF(CONFIG_ASIGNATURAS!$B$7:$B$27,nASIG)&gt;0)*1),"")))</f>
        <v/>
      </c>
      <c r="AF967" t="str">
        <f>IF(AE967="","",IF(AE967="[FÓRMULA MANUAL]","",IFERROR(AVERAGEIFS(nNOTA,nNIA,AE967,nCUENTA,1,nASIG,"Análisis"),"")))</f>
        <v/>
      </c>
      <c r="AG967" t="str">
        <f>IF(AE967="","",IF(AE967="[FÓRMULA MANUAL]","",IFERROR(AVERAGEIFS(nNOTA,nNIA,AE967,nCUENTA,1,nASIG,"Orquesta/Banda/Conjunto"),"")))</f>
        <v/>
      </c>
      <c r="AH967" t="str">
        <f>IF(AE967="","",IF(AE967="[FÓRMULA MANUAL]","",IFERROR(AVERAGEIFS(nNOTA,nNIA,AE967,nCUENTA,1,nASIG,"Música de Cámara"),"")))</f>
        <v/>
      </c>
      <c r="AI967" t="str">
        <f>IF(AE967="","",IF(AE967="[FÓRMULA MANUAL]","",IFERROR(SUMPRODUCT((nNIA=AE967)*(nCUENTA=1)*(COUNTIF(CONFIG_ASIGNATURAS!$B$7:$B$27,nASIG)&gt;0)*(nNOTA))/SUMPRODUCT((nNIA=AE967)*(nCUENTA=1)*(COUNTIF(CONFIG_ASIGNATURAS!$B$7:$B$27,nASIG)&gt;0)*1),"")))</f>
        <v/>
      </c>
    </row>
    <row r="968" spans="2:35" x14ac:dyDescent="0.2">
      <c r="B968" t="str">
        <f>IF(A968="","",IF(A968="[FÓRMULA MANUAL]","",IFERROR(AVERAGEIFS(nNOTA,nNIA,A968,nCUENTA,1,nASIG,"Lenguaje Musical"),"")))</f>
        <v/>
      </c>
      <c r="C968" t="str">
        <f>IF(A968="","",IF(A968="[FÓRMULA MANUAL]","",IFERROR(AVERAGEIFS(nNOTA,nNIA,A968,nCUENTA,1,nASIG,"Orquesta/Banda/Conjunto"),"")))</f>
        <v/>
      </c>
      <c r="D968" t="str">
        <f>IF(A968="","",IF(A968="[FÓRMULA MANUAL]","",IFERROR(AVERAGEIFS(nNOTA,nNIA,A968,nCUENTA,1,nASIG,"Conjunto"),"")))</f>
        <v/>
      </c>
      <c r="E968" t="str">
        <f>IF(A968="","",IF(A968="[FÓRMULA MANUAL]","",IFERROR(SUMPRODUCT((nNIA=A968)*(nCUENTA=1)*(COUNTIF(CONFIG_ASIGNATURAS!$B$7:$B$27,nASIG)&gt;0)*(nNOTA))/SUMPRODUCT((nNIA=A968)*(nCUENTA=1)*(COUNTIF(CONFIG_ASIGNATURAS!$B$7:$B$27,nASIG)&gt;0)*1),"")))</f>
        <v/>
      </c>
      <c r="H968" t="str">
        <f>IF(G968="","",IF(G968="[FÓRMULA MANUAL]","",IFERROR(AVERAGEIFS(nNOTA,nNIA,G968,nCUENTA,1,nASIG,"Lenguaje Musical"),"")))</f>
        <v/>
      </c>
      <c r="I968" t="str">
        <f>IF(G968="","",IF(G968="[FÓRMULA MANUAL]","",IFERROR(AVERAGEIFS(nNOTA,nNIA,G968,nCUENTA,1,nASIG,"Orquesta/Banda/Conjunto"),"")))</f>
        <v/>
      </c>
      <c r="J968" t="str">
        <f>IF(G968="","",IF(G968="[FÓRMULA MANUAL]","",IFERROR(AVERAGEIFS(nNOTA,nNIA,G968,nCUENTA,1,nASIG,"Conjunto"),"")))</f>
        <v/>
      </c>
      <c r="K968" t="str">
        <f>IF(G968="","",IF(G968="[FÓRMULA MANUAL]","",IFERROR(SUMPRODUCT((nNIA=G968)*(nCUENTA=1)*(COUNTIF(CONFIG_ASIGNATURAS!$B$7:$B$27,nASIG)&gt;0)*(nNOTA))/SUMPRODUCT((nNIA=G968)*(nCUENTA=1)*(COUNTIF(CONFIG_ASIGNATURAS!$B$7:$B$27,nASIG)&gt;0)*1),"")))</f>
        <v/>
      </c>
      <c r="N968" t="str">
        <f>IF(M968="","",IF(M968="[FÓRMULA MANUAL]","",IFERROR(AVERAGEIFS(nNOTA,nNIA,M968,nCUENTA,1,nASIG,"Armonía"),"")))</f>
        <v/>
      </c>
      <c r="O968" t="str">
        <f>IF(M968="","",IF(M968="[FÓRMULA MANUAL]","",IFERROR(AVERAGEIFS(nNOTA,nNIA,M968,nCUENTA,1,nASIG,"Orquesta/Banda/Conjunto"),"")))</f>
        <v/>
      </c>
      <c r="P968" t="str">
        <f>IF(M968="","",IF(M968="[FÓRMULA MANUAL]","",IFERROR(AVERAGEIFS(nNOTA,nNIA,M968,nCUENTA,1,nASIG,"Música de Cámara"),"")))</f>
        <v/>
      </c>
      <c r="Q968" t="str">
        <f>IF(M968="","",IF(M968="[FÓRMULA MANUAL]","",IFERROR(SUMPRODUCT((nNIA=M968)*(nCUENTA=1)*(COUNTIF(CONFIG_ASIGNATURAS!$B$7:$B$27,nASIG)&gt;0)*(nNOTA))/SUMPRODUCT((nNIA=M968)*(nCUENTA=1)*(COUNTIF(CONFIG_ASIGNATURAS!$B$7:$B$27,nASIG)&gt;0)*1),"")))</f>
        <v/>
      </c>
      <c r="T968" t="str">
        <f>IF(S968="","",IF(S968="[FÓRMULA MANUAL]","",IFERROR(AVERAGEIFS(nNOTA,nNIA,S968,nCUENTA,1,nASIG,"Armonía"),"")))</f>
        <v/>
      </c>
      <c r="U968" t="str">
        <f>IF(S968="","",IF(S968="[FÓRMULA MANUAL]","",IFERROR(AVERAGEIFS(nNOTA,nNIA,S968,nCUENTA,1,nASIG,"Orquesta/Banda/Conjunto"),"")))</f>
        <v/>
      </c>
      <c r="V968" t="str">
        <f>IF(S968="","",IF(S968="[FÓRMULA MANUAL]","",IFERROR(AVERAGEIFS(nNOTA,nNIA,S968,nCUENTA,1,nASIG,"Música de Cámara"),"")))</f>
        <v/>
      </c>
      <c r="W968" t="str">
        <f>IF(S968="","",IF(S968="[FÓRMULA MANUAL]","",IFERROR(SUMPRODUCT((nNIA=S968)*(nCUENTA=1)*(COUNTIF(CONFIG_ASIGNATURAS!$B$7:$B$27,nASIG)&gt;0)*(nNOTA))/SUMPRODUCT((nNIA=S968)*(nCUENTA=1)*(COUNTIF(CONFIG_ASIGNATURAS!$B$7:$B$27,nASIG)&gt;0)*1),"")))</f>
        <v/>
      </c>
      <c r="Z968" t="str">
        <f>IF(Y968="","",IF(Y968="[FÓRMULA MANUAL]","",IFERROR(AVERAGEIFS(nNOTA,nNIA,Y968,nCUENTA,1,nASIG,"Análisis"),"")))</f>
        <v/>
      </c>
      <c r="AA968" t="str">
        <f>IF(Y968="","",IF(Y968="[FÓRMULA MANUAL]","",IFERROR(AVERAGEIFS(nNOTA,nNIA,Y968,nCUENTA,1,nASIG,"Orquesta/Banda/Conjunto"),"")))</f>
        <v/>
      </c>
      <c r="AB968" t="str">
        <f>IF(Y968="","",IF(Y968="[FÓRMULA MANUAL]","",IFERROR(AVERAGEIFS(nNOTA,nNIA,Y968,nCUENTA,1,nASIG,"Música de Cámara"),"")))</f>
        <v/>
      </c>
      <c r="AC968" t="str">
        <f>IF(Y968="","",IF(Y968="[FÓRMULA MANUAL]","",IFERROR(SUMPRODUCT((nNIA=Y968)*(nCUENTA=1)*(COUNTIF(CONFIG_ASIGNATURAS!$B$7:$B$27,nASIG)&gt;0)*(nNOTA))/SUMPRODUCT((nNIA=Y968)*(nCUENTA=1)*(COUNTIF(CONFIG_ASIGNATURAS!$B$7:$B$27,nASIG)&gt;0)*1),"")))</f>
        <v/>
      </c>
      <c r="AF968" t="str">
        <f>IF(AE968="","",IF(AE968="[FÓRMULA MANUAL]","",IFERROR(AVERAGEIFS(nNOTA,nNIA,AE968,nCUENTA,1,nASIG,"Análisis"),"")))</f>
        <v/>
      </c>
      <c r="AG968" t="str">
        <f>IF(AE968="","",IF(AE968="[FÓRMULA MANUAL]","",IFERROR(AVERAGEIFS(nNOTA,nNIA,AE968,nCUENTA,1,nASIG,"Orquesta/Banda/Conjunto"),"")))</f>
        <v/>
      </c>
      <c r="AH968" t="str">
        <f>IF(AE968="","",IF(AE968="[FÓRMULA MANUAL]","",IFERROR(AVERAGEIFS(nNOTA,nNIA,AE968,nCUENTA,1,nASIG,"Música de Cámara"),"")))</f>
        <v/>
      </c>
      <c r="AI968" t="str">
        <f>IF(AE968="","",IF(AE968="[FÓRMULA MANUAL]","",IFERROR(SUMPRODUCT((nNIA=AE968)*(nCUENTA=1)*(COUNTIF(CONFIG_ASIGNATURAS!$B$7:$B$27,nASIG)&gt;0)*(nNOTA))/SUMPRODUCT((nNIA=AE968)*(nCUENTA=1)*(COUNTIF(CONFIG_ASIGNATURAS!$B$7:$B$27,nASIG)&gt;0)*1),"")))</f>
        <v/>
      </c>
    </row>
    <row r="969" spans="2:35" x14ac:dyDescent="0.2">
      <c r="B969" t="str">
        <f>IF(A969="","",IF(A969="[FÓRMULA MANUAL]","",IFERROR(AVERAGEIFS(nNOTA,nNIA,A969,nCUENTA,1,nASIG,"Lenguaje Musical"),"")))</f>
        <v/>
      </c>
      <c r="C969" t="str">
        <f>IF(A969="","",IF(A969="[FÓRMULA MANUAL]","",IFERROR(AVERAGEIFS(nNOTA,nNIA,A969,nCUENTA,1,nASIG,"Orquesta/Banda/Conjunto"),"")))</f>
        <v/>
      </c>
      <c r="D969" t="str">
        <f>IF(A969="","",IF(A969="[FÓRMULA MANUAL]","",IFERROR(AVERAGEIFS(nNOTA,nNIA,A969,nCUENTA,1,nASIG,"Conjunto"),"")))</f>
        <v/>
      </c>
      <c r="E969" t="str">
        <f>IF(A969="","",IF(A969="[FÓRMULA MANUAL]","",IFERROR(SUMPRODUCT((nNIA=A969)*(nCUENTA=1)*(COUNTIF(CONFIG_ASIGNATURAS!$B$7:$B$27,nASIG)&gt;0)*(nNOTA))/SUMPRODUCT((nNIA=A969)*(nCUENTA=1)*(COUNTIF(CONFIG_ASIGNATURAS!$B$7:$B$27,nASIG)&gt;0)*1),"")))</f>
        <v/>
      </c>
      <c r="H969" t="str">
        <f>IF(G969="","",IF(G969="[FÓRMULA MANUAL]","",IFERROR(AVERAGEIFS(nNOTA,nNIA,G969,nCUENTA,1,nASIG,"Lenguaje Musical"),"")))</f>
        <v/>
      </c>
      <c r="I969" t="str">
        <f>IF(G969="","",IF(G969="[FÓRMULA MANUAL]","",IFERROR(AVERAGEIFS(nNOTA,nNIA,G969,nCUENTA,1,nASIG,"Orquesta/Banda/Conjunto"),"")))</f>
        <v/>
      </c>
      <c r="J969" t="str">
        <f>IF(G969="","",IF(G969="[FÓRMULA MANUAL]","",IFERROR(AVERAGEIFS(nNOTA,nNIA,G969,nCUENTA,1,nASIG,"Conjunto"),"")))</f>
        <v/>
      </c>
      <c r="K969" t="str">
        <f>IF(G969="","",IF(G969="[FÓRMULA MANUAL]","",IFERROR(SUMPRODUCT((nNIA=G969)*(nCUENTA=1)*(COUNTIF(CONFIG_ASIGNATURAS!$B$7:$B$27,nASIG)&gt;0)*(nNOTA))/SUMPRODUCT((nNIA=G969)*(nCUENTA=1)*(COUNTIF(CONFIG_ASIGNATURAS!$B$7:$B$27,nASIG)&gt;0)*1),"")))</f>
        <v/>
      </c>
      <c r="N969" t="str">
        <f>IF(M969="","",IF(M969="[FÓRMULA MANUAL]","",IFERROR(AVERAGEIFS(nNOTA,nNIA,M969,nCUENTA,1,nASIG,"Armonía"),"")))</f>
        <v/>
      </c>
      <c r="O969" t="str">
        <f>IF(M969="","",IF(M969="[FÓRMULA MANUAL]","",IFERROR(AVERAGEIFS(nNOTA,nNIA,M969,nCUENTA,1,nASIG,"Orquesta/Banda/Conjunto"),"")))</f>
        <v/>
      </c>
      <c r="P969" t="str">
        <f>IF(M969="","",IF(M969="[FÓRMULA MANUAL]","",IFERROR(AVERAGEIFS(nNOTA,nNIA,M969,nCUENTA,1,nASIG,"Música de Cámara"),"")))</f>
        <v/>
      </c>
      <c r="Q969" t="str">
        <f>IF(M969="","",IF(M969="[FÓRMULA MANUAL]","",IFERROR(SUMPRODUCT((nNIA=M969)*(nCUENTA=1)*(COUNTIF(CONFIG_ASIGNATURAS!$B$7:$B$27,nASIG)&gt;0)*(nNOTA))/SUMPRODUCT((nNIA=M969)*(nCUENTA=1)*(COUNTIF(CONFIG_ASIGNATURAS!$B$7:$B$27,nASIG)&gt;0)*1),"")))</f>
        <v/>
      </c>
      <c r="T969" t="str">
        <f>IF(S969="","",IF(S969="[FÓRMULA MANUAL]","",IFERROR(AVERAGEIFS(nNOTA,nNIA,S969,nCUENTA,1,nASIG,"Armonía"),"")))</f>
        <v/>
      </c>
      <c r="U969" t="str">
        <f>IF(S969="","",IF(S969="[FÓRMULA MANUAL]","",IFERROR(AVERAGEIFS(nNOTA,nNIA,S969,nCUENTA,1,nASIG,"Orquesta/Banda/Conjunto"),"")))</f>
        <v/>
      </c>
      <c r="V969" t="str">
        <f>IF(S969="","",IF(S969="[FÓRMULA MANUAL]","",IFERROR(AVERAGEIFS(nNOTA,nNIA,S969,nCUENTA,1,nASIG,"Música de Cámara"),"")))</f>
        <v/>
      </c>
      <c r="W969" t="str">
        <f>IF(S969="","",IF(S969="[FÓRMULA MANUAL]","",IFERROR(SUMPRODUCT((nNIA=S969)*(nCUENTA=1)*(COUNTIF(CONFIG_ASIGNATURAS!$B$7:$B$27,nASIG)&gt;0)*(nNOTA))/SUMPRODUCT((nNIA=S969)*(nCUENTA=1)*(COUNTIF(CONFIG_ASIGNATURAS!$B$7:$B$27,nASIG)&gt;0)*1),"")))</f>
        <v/>
      </c>
      <c r="Z969" t="str">
        <f>IF(Y969="","",IF(Y969="[FÓRMULA MANUAL]","",IFERROR(AVERAGEIFS(nNOTA,nNIA,Y969,nCUENTA,1,nASIG,"Análisis"),"")))</f>
        <v/>
      </c>
      <c r="AA969" t="str">
        <f>IF(Y969="","",IF(Y969="[FÓRMULA MANUAL]","",IFERROR(AVERAGEIFS(nNOTA,nNIA,Y969,nCUENTA,1,nASIG,"Orquesta/Banda/Conjunto"),"")))</f>
        <v/>
      </c>
      <c r="AB969" t="str">
        <f>IF(Y969="","",IF(Y969="[FÓRMULA MANUAL]","",IFERROR(AVERAGEIFS(nNOTA,nNIA,Y969,nCUENTA,1,nASIG,"Música de Cámara"),"")))</f>
        <v/>
      </c>
      <c r="AC969" t="str">
        <f>IF(Y969="","",IF(Y969="[FÓRMULA MANUAL]","",IFERROR(SUMPRODUCT((nNIA=Y969)*(nCUENTA=1)*(COUNTIF(CONFIG_ASIGNATURAS!$B$7:$B$27,nASIG)&gt;0)*(nNOTA))/SUMPRODUCT((nNIA=Y969)*(nCUENTA=1)*(COUNTIF(CONFIG_ASIGNATURAS!$B$7:$B$27,nASIG)&gt;0)*1),"")))</f>
        <v/>
      </c>
      <c r="AF969" t="str">
        <f>IF(AE969="","",IF(AE969="[FÓRMULA MANUAL]","",IFERROR(AVERAGEIFS(nNOTA,nNIA,AE969,nCUENTA,1,nASIG,"Análisis"),"")))</f>
        <v/>
      </c>
      <c r="AG969" t="str">
        <f>IF(AE969="","",IF(AE969="[FÓRMULA MANUAL]","",IFERROR(AVERAGEIFS(nNOTA,nNIA,AE969,nCUENTA,1,nASIG,"Orquesta/Banda/Conjunto"),"")))</f>
        <v/>
      </c>
      <c r="AH969" t="str">
        <f>IF(AE969="","",IF(AE969="[FÓRMULA MANUAL]","",IFERROR(AVERAGEIFS(nNOTA,nNIA,AE969,nCUENTA,1,nASIG,"Música de Cámara"),"")))</f>
        <v/>
      </c>
      <c r="AI969" t="str">
        <f>IF(AE969="","",IF(AE969="[FÓRMULA MANUAL]","",IFERROR(SUMPRODUCT((nNIA=AE969)*(nCUENTA=1)*(COUNTIF(CONFIG_ASIGNATURAS!$B$7:$B$27,nASIG)&gt;0)*(nNOTA))/SUMPRODUCT((nNIA=AE969)*(nCUENTA=1)*(COUNTIF(CONFIG_ASIGNATURAS!$B$7:$B$27,nASIG)&gt;0)*1),"")))</f>
        <v/>
      </c>
    </row>
    <row r="970" spans="2:35" x14ac:dyDescent="0.2">
      <c r="B970" t="str">
        <f>IF(A970="","",IF(A970="[FÓRMULA MANUAL]","",IFERROR(AVERAGEIFS(nNOTA,nNIA,A970,nCUENTA,1,nASIG,"Lenguaje Musical"),"")))</f>
        <v/>
      </c>
      <c r="C970" t="str">
        <f>IF(A970="","",IF(A970="[FÓRMULA MANUAL]","",IFERROR(AVERAGEIFS(nNOTA,nNIA,A970,nCUENTA,1,nASIG,"Orquesta/Banda/Conjunto"),"")))</f>
        <v/>
      </c>
      <c r="D970" t="str">
        <f>IF(A970="","",IF(A970="[FÓRMULA MANUAL]","",IFERROR(AVERAGEIFS(nNOTA,nNIA,A970,nCUENTA,1,nASIG,"Conjunto"),"")))</f>
        <v/>
      </c>
      <c r="E970" t="str">
        <f>IF(A970="","",IF(A970="[FÓRMULA MANUAL]","",IFERROR(SUMPRODUCT((nNIA=A970)*(nCUENTA=1)*(COUNTIF(CONFIG_ASIGNATURAS!$B$7:$B$27,nASIG)&gt;0)*(nNOTA))/SUMPRODUCT((nNIA=A970)*(nCUENTA=1)*(COUNTIF(CONFIG_ASIGNATURAS!$B$7:$B$27,nASIG)&gt;0)*1),"")))</f>
        <v/>
      </c>
      <c r="H970" t="str">
        <f>IF(G970="","",IF(G970="[FÓRMULA MANUAL]","",IFERROR(AVERAGEIFS(nNOTA,nNIA,G970,nCUENTA,1,nASIG,"Lenguaje Musical"),"")))</f>
        <v/>
      </c>
      <c r="I970" t="str">
        <f>IF(G970="","",IF(G970="[FÓRMULA MANUAL]","",IFERROR(AVERAGEIFS(nNOTA,nNIA,G970,nCUENTA,1,nASIG,"Orquesta/Banda/Conjunto"),"")))</f>
        <v/>
      </c>
      <c r="J970" t="str">
        <f>IF(G970="","",IF(G970="[FÓRMULA MANUAL]","",IFERROR(AVERAGEIFS(nNOTA,nNIA,G970,nCUENTA,1,nASIG,"Conjunto"),"")))</f>
        <v/>
      </c>
      <c r="K970" t="str">
        <f>IF(G970="","",IF(G970="[FÓRMULA MANUAL]","",IFERROR(SUMPRODUCT((nNIA=G970)*(nCUENTA=1)*(COUNTIF(CONFIG_ASIGNATURAS!$B$7:$B$27,nASIG)&gt;0)*(nNOTA))/SUMPRODUCT((nNIA=G970)*(nCUENTA=1)*(COUNTIF(CONFIG_ASIGNATURAS!$B$7:$B$27,nASIG)&gt;0)*1),"")))</f>
        <v/>
      </c>
      <c r="N970" t="str">
        <f>IF(M970="","",IF(M970="[FÓRMULA MANUAL]","",IFERROR(AVERAGEIFS(nNOTA,nNIA,M970,nCUENTA,1,nASIG,"Armonía"),"")))</f>
        <v/>
      </c>
      <c r="O970" t="str">
        <f>IF(M970="","",IF(M970="[FÓRMULA MANUAL]","",IFERROR(AVERAGEIFS(nNOTA,nNIA,M970,nCUENTA,1,nASIG,"Orquesta/Banda/Conjunto"),"")))</f>
        <v/>
      </c>
      <c r="P970" t="str">
        <f>IF(M970="","",IF(M970="[FÓRMULA MANUAL]","",IFERROR(AVERAGEIFS(nNOTA,nNIA,M970,nCUENTA,1,nASIG,"Música de Cámara"),"")))</f>
        <v/>
      </c>
      <c r="Q970" t="str">
        <f>IF(M970="","",IF(M970="[FÓRMULA MANUAL]","",IFERROR(SUMPRODUCT((nNIA=M970)*(nCUENTA=1)*(COUNTIF(CONFIG_ASIGNATURAS!$B$7:$B$27,nASIG)&gt;0)*(nNOTA))/SUMPRODUCT((nNIA=M970)*(nCUENTA=1)*(COUNTIF(CONFIG_ASIGNATURAS!$B$7:$B$27,nASIG)&gt;0)*1),"")))</f>
        <v/>
      </c>
      <c r="T970" t="str">
        <f>IF(S970="","",IF(S970="[FÓRMULA MANUAL]","",IFERROR(AVERAGEIFS(nNOTA,nNIA,S970,nCUENTA,1,nASIG,"Armonía"),"")))</f>
        <v/>
      </c>
      <c r="U970" t="str">
        <f>IF(S970="","",IF(S970="[FÓRMULA MANUAL]","",IFERROR(AVERAGEIFS(nNOTA,nNIA,S970,nCUENTA,1,nASIG,"Orquesta/Banda/Conjunto"),"")))</f>
        <v/>
      </c>
      <c r="V970" t="str">
        <f>IF(S970="","",IF(S970="[FÓRMULA MANUAL]","",IFERROR(AVERAGEIFS(nNOTA,nNIA,S970,nCUENTA,1,nASIG,"Música de Cámara"),"")))</f>
        <v/>
      </c>
      <c r="W970" t="str">
        <f>IF(S970="","",IF(S970="[FÓRMULA MANUAL]","",IFERROR(SUMPRODUCT((nNIA=S970)*(nCUENTA=1)*(COUNTIF(CONFIG_ASIGNATURAS!$B$7:$B$27,nASIG)&gt;0)*(nNOTA))/SUMPRODUCT((nNIA=S970)*(nCUENTA=1)*(COUNTIF(CONFIG_ASIGNATURAS!$B$7:$B$27,nASIG)&gt;0)*1),"")))</f>
        <v/>
      </c>
      <c r="Z970" t="str">
        <f>IF(Y970="","",IF(Y970="[FÓRMULA MANUAL]","",IFERROR(AVERAGEIFS(nNOTA,nNIA,Y970,nCUENTA,1,nASIG,"Análisis"),"")))</f>
        <v/>
      </c>
      <c r="AA970" t="str">
        <f>IF(Y970="","",IF(Y970="[FÓRMULA MANUAL]","",IFERROR(AVERAGEIFS(nNOTA,nNIA,Y970,nCUENTA,1,nASIG,"Orquesta/Banda/Conjunto"),"")))</f>
        <v/>
      </c>
      <c r="AB970" t="str">
        <f>IF(Y970="","",IF(Y970="[FÓRMULA MANUAL]","",IFERROR(AVERAGEIFS(nNOTA,nNIA,Y970,nCUENTA,1,nASIG,"Música de Cámara"),"")))</f>
        <v/>
      </c>
      <c r="AC970" t="str">
        <f>IF(Y970="","",IF(Y970="[FÓRMULA MANUAL]","",IFERROR(SUMPRODUCT((nNIA=Y970)*(nCUENTA=1)*(COUNTIF(CONFIG_ASIGNATURAS!$B$7:$B$27,nASIG)&gt;0)*(nNOTA))/SUMPRODUCT((nNIA=Y970)*(nCUENTA=1)*(COUNTIF(CONFIG_ASIGNATURAS!$B$7:$B$27,nASIG)&gt;0)*1),"")))</f>
        <v/>
      </c>
      <c r="AF970" t="str">
        <f>IF(AE970="","",IF(AE970="[FÓRMULA MANUAL]","",IFERROR(AVERAGEIFS(nNOTA,nNIA,AE970,nCUENTA,1,nASIG,"Análisis"),"")))</f>
        <v/>
      </c>
      <c r="AG970" t="str">
        <f>IF(AE970="","",IF(AE970="[FÓRMULA MANUAL]","",IFERROR(AVERAGEIFS(nNOTA,nNIA,AE970,nCUENTA,1,nASIG,"Orquesta/Banda/Conjunto"),"")))</f>
        <v/>
      </c>
      <c r="AH970" t="str">
        <f>IF(AE970="","",IF(AE970="[FÓRMULA MANUAL]","",IFERROR(AVERAGEIFS(nNOTA,nNIA,AE970,nCUENTA,1,nASIG,"Música de Cámara"),"")))</f>
        <v/>
      </c>
      <c r="AI970" t="str">
        <f>IF(AE970="","",IF(AE970="[FÓRMULA MANUAL]","",IFERROR(SUMPRODUCT((nNIA=AE970)*(nCUENTA=1)*(COUNTIF(CONFIG_ASIGNATURAS!$B$7:$B$27,nASIG)&gt;0)*(nNOTA))/SUMPRODUCT((nNIA=AE970)*(nCUENTA=1)*(COUNTIF(CONFIG_ASIGNATURAS!$B$7:$B$27,nASIG)&gt;0)*1),"")))</f>
        <v/>
      </c>
    </row>
    <row r="971" spans="2:35" x14ac:dyDescent="0.2">
      <c r="B971" t="str">
        <f>IF(A971="","",IF(A971="[FÓRMULA MANUAL]","",IFERROR(AVERAGEIFS(nNOTA,nNIA,A971,nCUENTA,1,nASIG,"Lenguaje Musical"),"")))</f>
        <v/>
      </c>
      <c r="C971" t="str">
        <f>IF(A971="","",IF(A971="[FÓRMULA MANUAL]","",IFERROR(AVERAGEIFS(nNOTA,nNIA,A971,nCUENTA,1,nASIG,"Orquesta/Banda/Conjunto"),"")))</f>
        <v/>
      </c>
      <c r="D971" t="str">
        <f>IF(A971="","",IF(A971="[FÓRMULA MANUAL]","",IFERROR(AVERAGEIFS(nNOTA,nNIA,A971,nCUENTA,1,nASIG,"Conjunto"),"")))</f>
        <v/>
      </c>
      <c r="E971" t="str">
        <f>IF(A971="","",IF(A971="[FÓRMULA MANUAL]","",IFERROR(SUMPRODUCT((nNIA=A971)*(nCUENTA=1)*(COUNTIF(CONFIG_ASIGNATURAS!$B$7:$B$27,nASIG)&gt;0)*(nNOTA))/SUMPRODUCT((nNIA=A971)*(nCUENTA=1)*(COUNTIF(CONFIG_ASIGNATURAS!$B$7:$B$27,nASIG)&gt;0)*1),"")))</f>
        <v/>
      </c>
      <c r="H971" t="str">
        <f>IF(G971="","",IF(G971="[FÓRMULA MANUAL]","",IFERROR(AVERAGEIFS(nNOTA,nNIA,G971,nCUENTA,1,nASIG,"Lenguaje Musical"),"")))</f>
        <v/>
      </c>
      <c r="I971" t="str">
        <f>IF(G971="","",IF(G971="[FÓRMULA MANUAL]","",IFERROR(AVERAGEIFS(nNOTA,nNIA,G971,nCUENTA,1,nASIG,"Orquesta/Banda/Conjunto"),"")))</f>
        <v/>
      </c>
      <c r="J971" t="str">
        <f>IF(G971="","",IF(G971="[FÓRMULA MANUAL]","",IFERROR(AVERAGEIFS(nNOTA,nNIA,G971,nCUENTA,1,nASIG,"Conjunto"),"")))</f>
        <v/>
      </c>
      <c r="K971" t="str">
        <f>IF(G971="","",IF(G971="[FÓRMULA MANUAL]","",IFERROR(SUMPRODUCT((nNIA=G971)*(nCUENTA=1)*(COUNTIF(CONFIG_ASIGNATURAS!$B$7:$B$27,nASIG)&gt;0)*(nNOTA))/SUMPRODUCT((nNIA=G971)*(nCUENTA=1)*(COUNTIF(CONFIG_ASIGNATURAS!$B$7:$B$27,nASIG)&gt;0)*1),"")))</f>
        <v/>
      </c>
      <c r="N971" t="str">
        <f>IF(M971="","",IF(M971="[FÓRMULA MANUAL]","",IFERROR(AVERAGEIFS(nNOTA,nNIA,M971,nCUENTA,1,nASIG,"Armonía"),"")))</f>
        <v/>
      </c>
      <c r="O971" t="str">
        <f>IF(M971="","",IF(M971="[FÓRMULA MANUAL]","",IFERROR(AVERAGEIFS(nNOTA,nNIA,M971,nCUENTA,1,nASIG,"Orquesta/Banda/Conjunto"),"")))</f>
        <v/>
      </c>
      <c r="P971" t="str">
        <f>IF(M971="","",IF(M971="[FÓRMULA MANUAL]","",IFERROR(AVERAGEIFS(nNOTA,nNIA,M971,nCUENTA,1,nASIG,"Música de Cámara"),"")))</f>
        <v/>
      </c>
      <c r="Q971" t="str">
        <f>IF(M971="","",IF(M971="[FÓRMULA MANUAL]","",IFERROR(SUMPRODUCT((nNIA=M971)*(nCUENTA=1)*(COUNTIF(CONFIG_ASIGNATURAS!$B$7:$B$27,nASIG)&gt;0)*(nNOTA))/SUMPRODUCT((nNIA=M971)*(nCUENTA=1)*(COUNTIF(CONFIG_ASIGNATURAS!$B$7:$B$27,nASIG)&gt;0)*1),"")))</f>
        <v/>
      </c>
      <c r="T971" t="str">
        <f>IF(S971="","",IF(S971="[FÓRMULA MANUAL]","",IFERROR(AVERAGEIFS(nNOTA,nNIA,S971,nCUENTA,1,nASIG,"Armonía"),"")))</f>
        <v/>
      </c>
      <c r="U971" t="str">
        <f>IF(S971="","",IF(S971="[FÓRMULA MANUAL]","",IFERROR(AVERAGEIFS(nNOTA,nNIA,S971,nCUENTA,1,nASIG,"Orquesta/Banda/Conjunto"),"")))</f>
        <v/>
      </c>
      <c r="V971" t="str">
        <f>IF(S971="","",IF(S971="[FÓRMULA MANUAL]","",IFERROR(AVERAGEIFS(nNOTA,nNIA,S971,nCUENTA,1,nASIG,"Música de Cámara"),"")))</f>
        <v/>
      </c>
      <c r="W971" t="str">
        <f>IF(S971="","",IF(S971="[FÓRMULA MANUAL]","",IFERROR(SUMPRODUCT((nNIA=S971)*(nCUENTA=1)*(COUNTIF(CONFIG_ASIGNATURAS!$B$7:$B$27,nASIG)&gt;0)*(nNOTA))/SUMPRODUCT((nNIA=S971)*(nCUENTA=1)*(COUNTIF(CONFIG_ASIGNATURAS!$B$7:$B$27,nASIG)&gt;0)*1),"")))</f>
        <v/>
      </c>
      <c r="Z971" t="str">
        <f>IF(Y971="","",IF(Y971="[FÓRMULA MANUAL]","",IFERROR(AVERAGEIFS(nNOTA,nNIA,Y971,nCUENTA,1,nASIG,"Análisis"),"")))</f>
        <v/>
      </c>
      <c r="AA971" t="str">
        <f>IF(Y971="","",IF(Y971="[FÓRMULA MANUAL]","",IFERROR(AVERAGEIFS(nNOTA,nNIA,Y971,nCUENTA,1,nASIG,"Orquesta/Banda/Conjunto"),"")))</f>
        <v/>
      </c>
      <c r="AB971" t="str">
        <f>IF(Y971="","",IF(Y971="[FÓRMULA MANUAL]","",IFERROR(AVERAGEIFS(nNOTA,nNIA,Y971,nCUENTA,1,nASIG,"Música de Cámara"),"")))</f>
        <v/>
      </c>
      <c r="AC971" t="str">
        <f>IF(Y971="","",IF(Y971="[FÓRMULA MANUAL]","",IFERROR(SUMPRODUCT((nNIA=Y971)*(nCUENTA=1)*(COUNTIF(CONFIG_ASIGNATURAS!$B$7:$B$27,nASIG)&gt;0)*(nNOTA))/SUMPRODUCT((nNIA=Y971)*(nCUENTA=1)*(COUNTIF(CONFIG_ASIGNATURAS!$B$7:$B$27,nASIG)&gt;0)*1),"")))</f>
        <v/>
      </c>
      <c r="AF971" t="str">
        <f>IF(AE971="","",IF(AE971="[FÓRMULA MANUAL]","",IFERROR(AVERAGEIFS(nNOTA,nNIA,AE971,nCUENTA,1,nASIG,"Análisis"),"")))</f>
        <v/>
      </c>
      <c r="AG971" t="str">
        <f>IF(AE971="","",IF(AE971="[FÓRMULA MANUAL]","",IFERROR(AVERAGEIFS(nNOTA,nNIA,AE971,nCUENTA,1,nASIG,"Orquesta/Banda/Conjunto"),"")))</f>
        <v/>
      </c>
      <c r="AH971" t="str">
        <f>IF(AE971="","",IF(AE971="[FÓRMULA MANUAL]","",IFERROR(AVERAGEIFS(nNOTA,nNIA,AE971,nCUENTA,1,nASIG,"Música de Cámara"),"")))</f>
        <v/>
      </c>
      <c r="AI971" t="str">
        <f>IF(AE971="","",IF(AE971="[FÓRMULA MANUAL]","",IFERROR(SUMPRODUCT((nNIA=AE971)*(nCUENTA=1)*(COUNTIF(CONFIG_ASIGNATURAS!$B$7:$B$27,nASIG)&gt;0)*(nNOTA))/SUMPRODUCT((nNIA=AE971)*(nCUENTA=1)*(COUNTIF(CONFIG_ASIGNATURAS!$B$7:$B$27,nASIG)&gt;0)*1),"")))</f>
        <v/>
      </c>
    </row>
    <row r="972" spans="2:35" x14ac:dyDescent="0.2">
      <c r="B972" t="str">
        <f>IF(A972="","",IF(A972="[FÓRMULA MANUAL]","",IFERROR(AVERAGEIFS(nNOTA,nNIA,A972,nCUENTA,1,nASIG,"Lenguaje Musical"),"")))</f>
        <v/>
      </c>
      <c r="C972" t="str">
        <f>IF(A972="","",IF(A972="[FÓRMULA MANUAL]","",IFERROR(AVERAGEIFS(nNOTA,nNIA,A972,nCUENTA,1,nASIG,"Orquesta/Banda/Conjunto"),"")))</f>
        <v/>
      </c>
      <c r="D972" t="str">
        <f>IF(A972="","",IF(A972="[FÓRMULA MANUAL]","",IFERROR(AVERAGEIFS(nNOTA,nNIA,A972,nCUENTA,1,nASIG,"Conjunto"),"")))</f>
        <v/>
      </c>
      <c r="E972" t="str">
        <f>IF(A972="","",IF(A972="[FÓRMULA MANUAL]","",IFERROR(SUMPRODUCT((nNIA=A972)*(nCUENTA=1)*(COUNTIF(CONFIG_ASIGNATURAS!$B$7:$B$27,nASIG)&gt;0)*(nNOTA))/SUMPRODUCT((nNIA=A972)*(nCUENTA=1)*(COUNTIF(CONFIG_ASIGNATURAS!$B$7:$B$27,nASIG)&gt;0)*1),"")))</f>
        <v/>
      </c>
      <c r="H972" t="str">
        <f>IF(G972="","",IF(G972="[FÓRMULA MANUAL]","",IFERROR(AVERAGEIFS(nNOTA,nNIA,G972,nCUENTA,1,nASIG,"Lenguaje Musical"),"")))</f>
        <v/>
      </c>
      <c r="I972" t="str">
        <f>IF(G972="","",IF(G972="[FÓRMULA MANUAL]","",IFERROR(AVERAGEIFS(nNOTA,nNIA,G972,nCUENTA,1,nASIG,"Orquesta/Banda/Conjunto"),"")))</f>
        <v/>
      </c>
      <c r="J972" t="str">
        <f>IF(G972="","",IF(G972="[FÓRMULA MANUAL]","",IFERROR(AVERAGEIFS(nNOTA,nNIA,G972,nCUENTA,1,nASIG,"Conjunto"),"")))</f>
        <v/>
      </c>
      <c r="K972" t="str">
        <f>IF(G972="","",IF(G972="[FÓRMULA MANUAL]","",IFERROR(SUMPRODUCT((nNIA=G972)*(nCUENTA=1)*(COUNTIF(CONFIG_ASIGNATURAS!$B$7:$B$27,nASIG)&gt;0)*(nNOTA))/SUMPRODUCT((nNIA=G972)*(nCUENTA=1)*(COUNTIF(CONFIG_ASIGNATURAS!$B$7:$B$27,nASIG)&gt;0)*1),"")))</f>
        <v/>
      </c>
      <c r="N972" t="str">
        <f>IF(M972="","",IF(M972="[FÓRMULA MANUAL]","",IFERROR(AVERAGEIFS(nNOTA,nNIA,M972,nCUENTA,1,nASIG,"Armonía"),"")))</f>
        <v/>
      </c>
      <c r="O972" t="str">
        <f>IF(M972="","",IF(M972="[FÓRMULA MANUAL]","",IFERROR(AVERAGEIFS(nNOTA,nNIA,M972,nCUENTA,1,nASIG,"Orquesta/Banda/Conjunto"),"")))</f>
        <v/>
      </c>
      <c r="P972" t="str">
        <f>IF(M972="","",IF(M972="[FÓRMULA MANUAL]","",IFERROR(AVERAGEIFS(nNOTA,nNIA,M972,nCUENTA,1,nASIG,"Música de Cámara"),"")))</f>
        <v/>
      </c>
      <c r="Q972" t="str">
        <f>IF(M972="","",IF(M972="[FÓRMULA MANUAL]","",IFERROR(SUMPRODUCT((nNIA=M972)*(nCUENTA=1)*(COUNTIF(CONFIG_ASIGNATURAS!$B$7:$B$27,nASIG)&gt;0)*(nNOTA))/SUMPRODUCT((nNIA=M972)*(nCUENTA=1)*(COUNTIF(CONFIG_ASIGNATURAS!$B$7:$B$27,nASIG)&gt;0)*1),"")))</f>
        <v/>
      </c>
      <c r="T972" t="str">
        <f>IF(S972="","",IF(S972="[FÓRMULA MANUAL]","",IFERROR(AVERAGEIFS(nNOTA,nNIA,S972,nCUENTA,1,nASIG,"Armonía"),"")))</f>
        <v/>
      </c>
      <c r="U972" t="str">
        <f>IF(S972="","",IF(S972="[FÓRMULA MANUAL]","",IFERROR(AVERAGEIFS(nNOTA,nNIA,S972,nCUENTA,1,nASIG,"Orquesta/Banda/Conjunto"),"")))</f>
        <v/>
      </c>
      <c r="V972" t="str">
        <f>IF(S972="","",IF(S972="[FÓRMULA MANUAL]","",IFERROR(AVERAGEIFS(nNOTA,nNIA,S972,nCUENTA,1,nASIG,"Música de Cámara"),"")))</f>
        <v/>
      </c>
      <c r="W972" t="str">
        <f>IF(S972="","",IF(S972="[FÓRMULA MANUAL]","",IFERROR(SUMPRODUCT((nNIA=S972)*(nCUENTA=1)*(COUNTIF(CONFIG_ASIGNATURAS!$B$7:$B$27,nASIG)&gt;0)*(nNOTA))/SUMPRODUCT((nNIA=S972)*(nCUENTA=1)*(COUNTIF(CONFIG_ASIGNATURAS!$B$7:$B$27,nASIG)&gt;0)*1),"")))</f>
        <v/>
      </c>
      <c r="Z972" t="str">
        <f>IF(Y972="","",IF(Y972="[FÓRMULA MANUAL]","",IFERROR(AVERAGEIFS(nNOTA,nNIA,Y972,nCUENTA,1,nASIG,"Análisis"),"")))</f>
        <v/>
      </c>
      <c r="AA972" t="str">
        <f>IF(Y972="","",IF(Y972="[FÓRMULA MANUAL]","",IFERROR(AVERAGEIFS(nNOTA,nNIA,Y972,nCUENTA,1,nASIG,"Orquesta/Banda/Conjunto"),"")))</f>
        <v/>
      </c>
      <c r="AB972" t="str">
        <f>IF(Y972="","",IF(Y972="[FÓRMULA MANUAL]","",IFERROR(AVERAGEIFS(nNOTA,nNIA,Y972,nCUENTA,1,nASIG,"Música de Cámara"),"")))</f>
        <v/>
      </c>
      <c r="AC972" t="str">
        <f>IF(Y972="","",IF(Y972="[FÓRMULA MANUAL]","",IFERROR(SUMPRODUCT((nNIA=Y972)*(nCUENTA=1)*(COUNTIF(CONFIG_ASIGNATURAS!$B$7:$B$27,nASIG)&gt;0)*(nNOTA))/SUMPRODUCT((nNIA=Y972)*(nCUENTA=1)*(COUNTIF(CONFIG_ASIGNATURAS!$B$7:$B$27,nASIG)&gt;0)*1),"")))</f>
        <v/>
      </c>
      <c r="AF972" t="str">
        <f>IF(AE972="","",IF(AE972="[FÓRMULA MANUAL]","",IFERROR(AVERAGEIFS(nNOTA,nNIA,AE972,nCUENTA,1,nASIG,"Análisis"),"")))</f>
        <v/>
      </c>
      <c r="AG972" t="str">
        <f>IF(AE972="","",IF(AE972="[FÓRMULA MANUAL]","",IFERROR(AVERAGEIFS(nNOTA,nNIA,AE972,nCUENTA,1,nASIG,"Orquesta/Banda/Conjunto"),"")))</f>
        <v/>
      </c>
      <c r="AH972" t="str">
        <f>IF(AE972="","",IF(AE972="[FÓRMULA MANUAL]","",IFERROR(AVERAGEIFS(nNOTA,nNIA,AE972,nCUENTA,1,nASIG,"Música de Cámara"),"")))</f>
        <v/>
      </c>
      <c r="AI972" t="str">
        <f>IF(AE972="","",IF(AE972="[FÓRMULA MANUAL]","",IFERROR(SUMPRODUCT((nNIA=AE972)*(nCUENTA=1)*(COUNTIF(CONFIG_ASIGNATURAS!$B$7:$B$27,nASIG)&gt;0)*(nNOTA))/SUMPRODUCT((nNIA=AE972)*(nCUENTA=1)*(COUNTIF(CONFIG_ASIGNATURAS!$B$7:$B$27,nASIG)&gt;0)*1),"")))</f>
        <v/>
      </c>
    </row>
    <row r="973" spans="2:35" x14ac:dyDescent="0.2">
      <c r="B973" t="str">
        <f>IF(A973="","",IF(A973="[FÓRMULA MANUAL]","",IFERROR(AVERAGEIFS(nNOTA,nNIA,A973,nCUENTA,1,nASIG,"Lenguaje Musical"),"")))</f>
        <v/>
      </c>
      <c r="C973" t="str">
        <f>IF(A973="","",IF(A973="[FÓRMULA MANUAL]","",IFERROR(AVERAGEIFS(nNOTA,nNIA,A973,nCUENTA,1,nASIG,"Orquesta/Banda/Conjunto"),"")))</f>
        <v/>
      </c>
      <c r="D973" t="str">
        <f>IF(A973="","",IF(A973="[FÓRMULA MANUAL]","",IFERROR(AVERAGEIFS(nNOTA,nNIA,A973,nCUENTA,1,nASIG,"Conjunto"),"")))</f>
        <v/>
      </c>
      <c r="E973" t="str">
        <f>IF(A973="","",IF(A973="[FÓRMULA MANUAL]","",IFERROR(SUMPRODUCT((nNIA=A973)*(nCUENTA=1)*(COUNTIF(CONFIG_ASIGNATURAS!$B$7:$B$27,nASIG)&gt;0)*(nNOTA))/SUMPRODUCT((nNIA=A973)*(nCUENTA=1)*(COUNTIF(CONFIG_ASIGNATURAS!$B$7:$B$27,nASIG)&gt;0)*1),"")))</f>
        <v/>
      </c>
      <c r="H973" t="str">
        <f>IF(G973="","",IF(G973="[FÓRMULA MANUAL]","",IFERROR(AVERAGEIFS(nNOTA,nNIA,G973,nCUENTA,1,nASIG,"Lenguaje Musical"),"")))</f>
        <v/>
      </c>
      <c r="I973" t="str">
        <f>IF(G973="","",IF(G973="[FÓRMULA MANUAL]","",IFERROR(AVERAGEIFS(nNOTA,nNIA,G973,nCUENTA,1,nASIG,"Orquesta/Banda/Conjunto"),"")))</f>
        <v/>
      </c>
      <c r="J973" t="str">
        <f>IF(G973="","",IF(G973="[FÓRMULA MANUAL]","",IFERROR(AVERAGEIFS(nNOTA,nNIA,G973,nCUENTA,1,nASIG,"Conjunto"),"")))</f>
        <v/>
      </c>
      <c r="K973" t="str">
        <f>IF(G973="","",IF(G973="[FÓRMULA MANUAL]","",IFERROR(SUMPRODUCT((nNIA=G973)*(nCUENTA=1)*(COUNTIF(CONFIG_ASIGNATURAS!$B$7:$B$27,nASIG)&gt;0)*(nNOTA))/SUMPRODUCT((nNIA=G973)*(nCUENTA=1)*(COUNTIF(CONFIG_ASIGNATURAS!$B$7:$B$27,nASIG)&gt;0)*1),"")))</f>
        <v/>
      </c>
      <c r="N973" t="str">
        <f>IF(M973="","",IF(M973="[FÓRMULA MANUAL]","",IFERROR(AVERAGEIFS(nNOTA,nNIA,M973,nCUENTA,1,nASIG,"Armonía"),"")))</f>
        <v/>
      </c>
      <c r="O973" t="str">
        <f>IF(M973="","",IF(M973="[FÓRMULA MANUAL]","",IFERROR(AVERAGEIFS(nNOTA,nNIA,M973,nCUENTA,1,nASIG,"Orquesta/Banda/Conjunto"),"")))</f>
        <v/>
      </c>
      <c r="P973" t="str">
        <f>IF(M973="","",IF(M973="[FÓRMULA MANUAL]","",IFERROR(AVERAGEIFS(nNOTA,nNIA,M973,nCUENTA,1,nASIG,"Música de Cámara"),"")))</f>
        <v/>
      </c>
      <c r="Q973" t="str">
        <f>IF(M973="","",IF(M973="[FÓRMULA MANUAL]","",IFERROR(SUMPRODUCT((nNIA=M973)*(nCUENTA=1)*(COUNTIF(CONFIG_ASIGNATURAS!$B$7:$B$27,nASIG)&gt;0)*(nNOTA))/SUMPRODUCT((nNIA=M973)*(nCUENTA=1)*(COUNTIF(CONFIG_ASIGNATURAS!$B$7:$B$27,nASIG)&gt;0)*1),"")))</f>
        <v/>
      </c>
      <c r="T973" t="str">
        <f>IF(S973="","",IF(S973="[FÓRMULA MANUAL]","",IFERROR(AVERAGEIFS(nNOTA,nNIA,S973,nCUENTA,1,nASIG,"Armonía"),"")))</f>
        <v/>
      </c>
      <c r="U973" t="str">
        <f>IF(S973="","",IF(S973="[FÓRMULA MANUAL]","",IFERROR(AVERAGEIFS(nNOTA,nNIA,S973,nCUENTA,1,nASIG,"Orquesta/Banda/Conjunto"),"")))</f>
        <v/>
      </c>
      <c r="V973" t="str">
        <f>IF(S973="","",IF(S973="[FÓRMULA MANUAL]","",IFERROR(AVERAGEIFS(nNOTA,nNIA,S973,nCUENTA,1,nASIG,"Música de Cámara"),"")))</f>
        <v/>
      </c>
      <c r="W973" t="str">
        <f>IF(S973="","",IF(S973="[FÓRMULA MANUAL]","",IFERROR(SUMPRODUCT((nNIA=S973)*(nCUENTA=1)*(COUNTIF(CONFIG_ASIGNATURAS!$B$7:$B$27,nASIG)&gt;0)*(nNOTA))/SUMPRODUCT((nNIA=S973)*(nCUENTA=1)*(COUNTIF(CONFIG_ASIGNATURAS!$B$7:$B$27,nASIG)&gt;0)*1),"")))</f>
        <v/>
      </c>
      <c r="Z973" t="str">
        <f>IF(Y973="","",IF(Y973="[FÓRMULA MANUAL]","",IFERROR(AVERAGEIFS(nNOTA,nNIA,Y973,nCUENTA,1,nASIG,"Análisis"),"")))</f>
        <v/>
      </c>
      <c r="AA973" t="str">
        <f>IF(Y973="","",IF(Y973="[FÓRMULA MANUAL]","",IFERROR(AVERAGEIFS(nNOTA,nNIA,Y973,nCUENTA,1,nASIG,"Orquesta/Banda/Conjunto"),"")))</f>
        <v/>
      </c>
      <c r="AB973" t="str">
        <f>IF(Y973="","",IF(Y973="[FÓRMULA MANUAL]","",IFERROR(AVERAGEIFS(nNOTA,nNIA,Y973,nCUENTA,1,nASIG,"Música de Cámara"),"")))</f>
        <v/>
      </c>
      <c r="AC973" t="str">
        <f>IF(Y973="","",IF(Y973="[FÓRMULA MANUAL]","",IFERROR(SUMPRODUCT((nNIA=Y973)*(nCUENTA=1)*(COUNTIF(CONFIG_ASIGNATURAS!$B$7:$B$27,nASIG)&gt;0)*(nNOTA))/SUMPRODUCT((nNIA=Y973)*(nCUENTA=1)*(COUNTIF(CONFIG_ASIGNATURAS!$B$7:$B$27,nASIG)&gt;0)*1),"")))</f>
        <v/>
      </c>
      <c r="AF973" t="str">
        <f>IF(AE973="","",IF(AE973="[FÓRMULA MANUAL]","",IFERROR(AVERAGEIFS(nNOTA,nNIA,AE973,nCUENTA,1,nASIG,"Análisis"),"")))</f>
        <v/>
      </c>
      <c r="AG973" t="str">
        <f>IF(AE973="","",IF(AE973="[FÓRMULA MANUAL]","",IFERROR(AVERAGEIFS(nNOTA,nNIA,AE973,nCUENTA,1,nASIG,"Orquesta/Banda/Conjunto"),"")))</f>
        <v/>
      </c>
      <c r="AH973" t="str">
        <f>IF(AE973="","",IF(AE973="[FÓRMULA MANUAL]","",IFERROR(AVERAGEIFS(nNOTA,nNIA,AE973,nCUENTA,1,nASIG,"Música de Cámara"),"")))</f>
        <v/>
      </c>
      <c r="AI973" t="str">
        <f>IF(AE973="","",IF(AE973="[FÓRMULA MANUAL]","",IFERROR(SUMPRODUCT((nNIA=AE973)*(nCUENTA=1)*(COUNTIF(CONFIG_ASIGNATURAS!$B$7:$B$27,nASIG)&gt;0)*(nNOTA))/SUMPRODUCT((nNIA=AE973)*(nCUENTA=1)*(COUNTIF(CONFIG_ASIGNATURAS!$B$7:$B$27,nASIG)&gt;0)*1),"")))</f>
        <v/>
      </c>
    </row>
    <row r="974" spans="2:35" x14ac:dyDescent="0.2">
      <c r="B974" t="str">
        <f>IF(A974="","",IF(A974="[FÓRMULA MANUAL]","",IFERROR(AVERAGEIFS(nNOTA,nNIA,A974,nCUENTA,1,nASIG,"Lenguaje Musical"),"")))</f>
        <v/>
      </c>
      <c r="C974" t="str">
        <f>IF(A974="","",IF(A974="[FÓRMULA MANUAL]","",IFERROR(AVERAGEIFS(nNOTA,nNIA,A974,nCUENTA,1,nASIG,"Orquesta/Banda/Conjunto"),"")))</f>
        <v/>
      </c>
      <c r="D974" t="str">
        <f>IF(A974="","",IF(A974="[FÓRMULA MANUAL]","",IFERROR(AVERAGEIFS(nNOTA,nNIA,A974,nCUENTA,1,nASIG,"Conjunto"),"")))</f>
        <v/>
      </c>
      <c r="E974" t="str">
        <f>IF(A974="","",IF(A974="[FÓRMULA MANUAL]","",IFERROR(SUMPRODUCT((nNIA=A974)*(nCUENTA=1)*(COUNTIF(CONFIG_ASIGNATURAS!$B$7:$B$27,nASIG)&gt;0)*(nNOTA))/SUMPRODUCT((nNIA=A974)*(nCUENTA=1)*(COUNTIF(CONFIG_ASIGNATURAS!$B$7:$B$27,nASIG)&gt;0)*1),"")))</f>
        <v/>
      </c>
      <c r="H974" t="str">
        <f>IF(G974="","",IF(G974="[FÓRMULA MANUAL]","",IFERROR(AVERAGEIFS(nNOTA,nNIA,G974,nCUENTA,1,nASIG,"Lenguaje Musical"),"")))</f>
        <v/>
      </c>
      <c r="I974" t="str">
        <f>IF(G974="","",IF(G974="[FÓRMULA MANUAL]","",IFERROR(AVERAGEIFS(nNOTA,nNIA,G974,nCUENTA,1,nASIG,"Orquesta/Banda/Conjunto"),"")))</f>
        <v/>
      </c>
      <c r="J974" t="str">
        <f>IF(G974="","",IF(G974="[FÓRMULA MANUAL]","",IFERROR(AVERAGEIFS(nNOTA,nNIA,G974,nCUENTA,1,nASIG,"Conjunto"),"")))</f>
        <v/>
      </c>
      <c r="K974" t="str">
        <f>IF(G974="","",IF(G974="[FÓRMULA MANUAL]","",IFERROR(SUMPRODUCT((nNIA=G974)*(nCUENTA=1)*(COUNTIF(CONFIG_ASIGNATURAS!$B$7:$B$27,nASIG)&gt;0)*(nNOTA))/SUMPRODUCT((nNIA=G974)*(nCUENTA=1)*(COUNTIF(CONFIG_ASIGNATURAS!$B$7:$B$27,nASIG)&gt;0)*1),"")))</f>
        <v/>
      </c>
      <c r="N974" t="str">
        <f>IF(M974="","",IF(M974="[FÓRMULA MANUAL]","",IFERROR(AVERAGEIFS(nNOTA,nNIA,M974,nCUENTA,1,nASIG,"Armonía"),"")))</f>
        <v/>
      </c>
      <c r="O974" t="str">
        <f>IF(M974="","",IF(M974="[FÓRMULA MANUAL]","",IFERROR(AVERAGEIFS(nNOTA,nNIA,M974,nCUENTA,1,nASIG,"Orquesta/Banda/Conjunto"),"")))</f>
        <v/>
      </c>
      <c r="P974" t="str">
        <f>IF(M974="","",IF(M974="[FÓRMULA MANUAL]","",IFERROR(AVERAGEIFS(nNOTA,nNIA,M974,nCUENTA,1,nASIG,"Música de Cámara"),"")))</f>
        <v/>
      </c>
      <c r="Q974" t="str">
        <f>IF(M974="","",IF(M974="[FÓRMULA MANUAL]","",IFERROR(SUMPRODUCT((nNIA=M974)*(nCUENTA=1)*(COUNTIF(CONFIG_ASIGNATURAS!$B$7:$B$27,nASIG)&gt;0)*(nNOTA))/SUMPRODUCT((nNIA=M974)*(nCUENTA=1)*(COUNTIF(CONFIG_ASIGNATURAS!$B$7:$B$27,nASIG)&gt;0)*1),"")))</f>
        <v/>
      </c>
      <c r="T974" t="str">
        <f>IF(S974="","",IF(S974="[FÓRMULA MANUAL]","",IFERROR(AVERAGEIFS(nNOTA,nNIA,S974,nCUENTA,1,nASIG,"Armonía"),"")))</f>
        <v/>
      </c>
      <c r="U974" t="str">
        <f>IF(S974="","",IF(S974="[FÓRMULA MANUAL]","",IFERROR(AVERAGEIFS(nNOTA,nNIA,S974,nCUENTA,1,nASIG,"Orquesta/Banda/Conjunto"),"")))</f>
        <v/>
      </c>
      <c r="V974" t="str">
        <f>IF(S974="","",IF(S974="[FÓRMULA MANUAL]","",IFERROR(AVERAGEIFS(nNOTA,nNIA,S974,nCUENTA,1,nASIG,"Música de Cámara"),"")))</f>
        <v/>
      </c>
      <c r="W974" t="str">
        <f>IF(S974="","",IF(S974="[FÓRMULA MANUAL]","",IFERROR(SUMPRODUCT((nNIA=S974)*(nCUENTA=1)*(COUNTIF(CONFIG_ASIGNATURAS!$B$7:$B$27,nASIG)&gt;0)*(nNOTA))/SUMPRODUCT((nNIA=S974)*(nCUENTA=1)*(COUNTIF(CONFIG_ASIGNATURAS!$B$7:$B$27,nASIG)&gt;0)*1),"")))</f>
        <v/>
      </c>
      <c r="Z974" t="str">
        <f>IF(Y974="","",IF(Y974="[FÓRMULA MANUAL]","",IFERROR(AVERAGEIFS(nNOTA,nNIA,Y974,nCUENTA,1,nASIG,"Análisis"),"")))</f>
        <v/>
      </c>
      <c r="AA974" t="str">
        <f>IF(Y974="","",IF(Y974="[FÓRMULA MANUAL]","",IFERROR(AVERAGEIFS(nNOTA,nNIA,Y974,nCUENTA,1,nASIG,"Orquesta/Banda/Conjunto"),"")))</f>
        <v/>
      </c>
      <c r="AB974" t="str">
        <f>IF(Y974="","",IF(Y974="[FÓRMULA MANUAL]","",IFERROR(AVERAGEIFS(nNOTA,nNIA,Y974,nCUENTA,1,nASIG,"Música de Cámara"),"")))</f>
        <v/>
      </c>
      <c r="AC974" t="str">
        <f>IF(Y974="","",IF(Y974="[FÓRMULA MANUAL]","",IFERROR(SUMPRODUCT((nNIA=Y974)*(nCUENTA=1)*(COUNTIF(CONFIG_ASIGNATURAS!$B$7:$B$27,nASIG)&gt;0)*(nNOTA))/SUMPRODUCT((nNIA=Y974)*(nCUENTA=1)*(COUNTIF(CONFIG_ASIGNATURAS!$B$7:$B$27,nASIG)&gt;0)*1),"")))</f>
        <v/>
      </c>
      <c r="AF974" t="str">
        <f>IF(AE974="","",IF(AE974="[FÓRMULA MANUAL]","",IFERROR(AVERAGEIFS(nNOTA,nNIA,AE974,nCUENTA,1,nASIG,"Análisis"),"")))</f>
        <v/>
      </c>
      <c r="AG974" t="str">
        <f>IF(AE974="","",IF(AE974="[FÓRMULA MANUAL]","",IFERROR(AVERAGEIFS(nNOTA,nNIA,AE974,nCUENTA,1,nASIG,"Orquesta/Banda/Conjunto"),"")))</f>
        <v/>
      </c>
      <c r="AH974" t="str">
        <f>IF(AE974="","",IF(AE974="[FÓRMULA MANUAL]","",IFERROR(AVERAGEIFS(nNOTA,nNIA,AE974,nCUENTA,1,nASIG,"Música de Cámara"),"")))</f>
        <v/>
      </c>
      <c r="AI974" t="str">
        <f>IF(AE974="","",IF(AE974="[FÓRMULA MANUAL]","",IFERROR(SUMPRODUCT((nNIA=AE974)*(nCUENTA=1)*(COUNTIF(CONFIG_ASIGNATURAS!$B$7:$B$27,nASIG)&gt;0)*(nNOTA))/SUMPRODUCT((nNIA=AE974)*(nCUENTA=1)*(COUNTIF(CONFIG_ASIGNATURAS!$B$7:$B$27,nASIG)&gt;0)*1),"")))</f>
        <v/>
      </c>
    </row>
    <row r="975" spans="2:35" x14ac:dyDescent="0.2">
      <c r="B975" t="str">
        <f>IF(A975="","",IF(A975="[FÓRMULA MANUAL]","",IFERROR(AVERAGEIFS(nNOTA,nNIA,A975,nCUENTA,1,nASIG,"Lenguaje Musical"),"")))</f>
        <v/>
      </c>
      <c r="C975" t="str">
        <f>IF(A975="","",IF(A975="[FÓRMULA MANUAL]","",IFERROR(AVERAGEIFS(nNOTA,nNIA,A975,nCUENTA,1,nASIG,"Orquesta/Banda/Conjunto"),"")))</f>
        <v/>
      </c>
      <c r="D975" t="str">
        <f>IF(A975="","",IF(A975="[FÓRMULA MANUAL]","",IFERROR(AVERAGEIFS(nNOTA,nNIA,A975,nCUENTA,1,nASIG,"Conjunto"),"")))</f>
        <v/>
      </c>
      <c r="E975" t="str">
        <f>IF(A975="","",IF(A975="[FÓRMULA MANUAL]","",IFERROR(SUMPRODUCT((nNIA=A975)*(nCUENTA=1)*(COUNTIF(CONFIG_ASIGNATURAS!$B$7:$B$27,nASIG)&gt;0)*(nNOTA))/SUMPRODUCT((nNIA=A975)*(nCUENTA=1)*(COUNTIF(CONFIG_ASIGNATURAS!$B$7:$B$27,nASIG)&gt;0)*1),"")))</f>
        <v/>
      </c>
      <c r="H975" t="str">
        <f>IF(G975="","",IF(G975="[FÓRMULA MANUAL]","",IFERROR(AVERAGEIFS(nNOTA,nNIA,G975,nCUENTA,1,nASIG,"Lenguaje Musical"),"")))</f>
        <v/>
      </c>
      <c r="I975" t="str">
        <f>IF(G975="","",IF(G975="[FÓRMULA MANUAL]","",IFERROR(AVERAGEIFS(nNOTA,nNIA,G975,nCUENTA,1,nASIG,"Orquesta/Banda/Conjunto"),"")))</f>
        <v/>
      </c>
      <c r="J975" t="str">
        <f>IF(G975="","",IF(G975="[FÓRMULA MANUAL]","",IFERROR(AVERAGEIFS(nNOTA,nNIA,G975,nCUENTA,1,nASIG,"Conjunto"),"")))</f>
        <v/>
      </c>
      <c r="K975" t="str">
        <f>IF(G975="","",IF(G975="[FÓRMULA MANUAL]","",IFERROR(SUMPRODUCT((nNIA=G975)*(nCUENTA=1)*(COUNTIF(CONFIG_ASIGNATURAS!$B$7:$B$27,nASIG)&gt;0)*(nNOTA))/SUMPRODUCT((nNIA=G975)*(nCUENTA=1)*(COUNTIF(CONFIG_ASIGNATURAS!$B$7:$B$27,nASIG)&gt;0)*1),"")))</f>
        <v/>
      </c>
      <c r="N975" t="str">
        <f>IF(M975="","",IF(M975="[FÓRMULA MANUAL]","",IFERROR(AVERAGEIFS(nNOTA,nNIA,M975,nCUENTA,1,nASIG,"Armonía"),"")))</f>
        <v/>
      </c>
      <c r="O975" t="str">
        <f>IF(M975="","",IF(M975="[FÓRMULA MANUAL]","",IFERROR(AVERAGEIFS(nNOTA,nNIA,M975,nCUENTA,1,nASIG,"Orquesta/Banda/Conjunto"),"")))</f>
        <v/>
      </c>
      <c r="P975" t="str">
        <f>IF(M975="","",IF(M975="[FÓRMULA MANUAL]","",IFERROR(AVERAGEIFS(nNOTA,nNIA,M975,nCUENTA,1,nASIG,"Música de Cámara"),"")))</f>
        <v/>
      </c>
      <c r="Q975" t="str">
        <f>IF(M975="","",IF(M975="[FÓRMULA MANUAL]","",IFERROR(SUMPRODUCT((nNIA=M975)*(nCUENTA=1)*(COUNTIF(CONFIG_ASIGNATURAS!$B$7:$B$27,nASIG)&gt;0)*(nNOTA))/SUMPRODUCT((nNIA=M975)*(nCUENTA=1)*(COUNTIF(CONFIG_ASIGNATURAS!$B$7:$B$27,nASIG)&gt;0)*1),"")))</f>
        <v/>
      </c>
      <c r="T975" t="str">
        <f>IF(S975="","",IF(S975="[FÓRMULA MANUAL]","",IFERROR(AVERAGEIFS(nNOTA,nNIA,S975,nCUENTA,1,nASIG,"Armonía"),"")))</f>
        <v/>
      </c>
      <c r="U975" t="str">
        <f>IF(S975="","",IF(S975="[FÓRMULA MANUAL]","",IFERROR(AVERAGEIFS(nNOTA,nNIA,S975,nCUENTA,1,nASIG,"Orquesta/Banda/Conjunto"),"")))</f>
        <v/>
      </c>
      <c r="V975" t="str">
        <f>IF(S975="","",IF(S975="[FÓRMULA MANUAL]","",IFERROR(AVERAGEIFS(nNOTA,nNIA,S975,nCUENTA,1,nASIG,"Música de Cámara"),"")))</f>
        <v/>
      </c>
      <c r="W975" t="str">
        <f>IF(S975="","",IF(S975="[FÓRMULA MANUAL]","",IFERROR(SUMPRODUCT((nNIA=S975)*(nCUENTA=1)*(COUNTIF(CONFIG_ASIGNATURAS!$B$7:$B$27,nASIG)&gt;0)*(nNOTA))/SUMPRODUCT((nNIA=S975)*(nCUENTA=1)*(COUNTIF(CONFIG_ASIGNATURAS!$B$7:$B$27,nASIG)&gt;0)*1),"")))</f>
        <v/>
      </c>
      <c r="Z975" t="str">
        <f>IF(Y975="","",IF(Y975="[FÓRMULA MANUAL]","",IFERROR(AVERAGEIFS(nNOTA,nNIA,Y975,nCUENTA,1,nASIG,"Análisis"),"")))</f>
        <v/>
      </c>
      <c r="AA975" t="str">
        <f>IF(Y975="","",IF(Y975="[FÓRMULA MANUAL]","",IFERROR(AVERAGEIFS(nNOTA,nNIA,Y975,nCUENTA,1,nASIG,"Orquesta/Banda/Conjunto"),"")))</f>
        <v/>
      </c>
      <c r="AB975" t="str">
        <f>IF(Y975="","",IF(Y975="[FÓRMULA MANUAL]","",IFERROR(AVERAGEIFS(nNOTA,nNIA,Y975,nCUENTA,1,nASIG,"Música de Cámara"),"")))</f>
        <v/>
      </c>
      <c r="AC975" t="str">
        <f>IF(Y975="","",IF(Y975="[FÓRMULA MANUAL]","",IFERROR(SUMPRODUCT((nNIA=Y975)*(nCUENTA=1)*(COUNTIF(CONFIG_ASIGNATURAS!$B$7:$B$27,nASIG)&gt;0)*(nNOTA))/SUMPRODUCT((nNIA=Y975)*(nCUENTA=1)*(COUNTIF(CONFIG_ASIGNATURAS!$B$7:$B$27,nASIG)&gt;0)*1),"")))</f>
        <v/>
      </c>
      <c r="AF975" t="str">
        <f>IF(AE975="","",IF(AE975="[FÓRMULA MANUAL]","",IFERROR(AVERAGEIFS(nNOTA,nNIA,AE975,nCUENTA,1,nASIG,"Análisis"),"")))</f>
        <v/>
      </c>
      <c r="AG975" t="str">
        <f>IF(AE975="","",IF(AE975="[FÓRMULA MANUAL]","",IFERROR(AVERAGEIFS(nNOTA,nNIA,AE975,nCUENTA,1,nASIG,"Orquesta/Banda/Conjunto"),"")))</f>
        <v/>
      </c>
      <c r="AH975" t="str">
        <f>IF(AE975="","",IF(AE975="[FÓRMULA MANUAL]","",IFERROR(AVERAGEIFS(nNOTA,nNIA,AE975,nCUENTA,1,nASIG,"Música de Cámara"),"")))</f>
        <v/>
      </c>
      <c r="AI975" t="str">
        <f>IF(AE975="","",IF(AE975="[FÓRMULA MANUAL]","",IFERROR(SUMPRODUCT((nNIA=AE975)*(nCUENTA=1)*(COUNTIF(CONFIG_ASIGNATURAS!$B$7:$B$27,nASIG)&gt;0)*(nNOTA))/SUMPRODUCT((nNIA=AE975)*(nCUENTA=1)*(COUNTIF(CONFIG_ASIGNATURAS!$B$7:$B$27,nASIG)&gt;0)*1),"")))</f>
        <v/>
      </c>
    </row>
    <row r="976" spans="2:35" x14ac:dyDescent="0.2">
      <c r="B976" t="str">
        <f>IF(A976="","",IF(A976="[FÓRMULA MANUAL]","",IFERROR(AVERAGEIFS(nNOTA,nNIA,A976,nCUENTA,1,nASIG,"Lenguaje Musical"),"")))</f>
        <v/>
      </c>
      <c r="C976" t="str">
        <f>IF(A976="","",IF(A976="[FÓRMULA MANUAL]","",IFERROR(AVERAGEIFS(nNOTA,nNIA,A976,nCUENTA,1,nASIG,"Orquesta/Banda/Conjunto"),"")))</f>
        <v/>
      </c>
      <c r="D976" t="str">
        <f>IF(A976="","",IF(A976="[FÓRMULA MANUAL]","",IFERROR(AVERAGEIFS(nNOTA,nNIA,A976,nCUENTA,1,nASIG,"Conjunto"),"")))</f>
        <v/>
      </c>
      <c r="E976" t="str">
        <f>IF(A976="","",IF(A976="[FÓRMULA MANUAL]","",IFERROR(SUMPRODUCT((nNIA=A976)*(nCUENTA=1)*(COUNTIF(CONFIG_ASIGNATURAS!$B$7:$B$27,nASIG)&gt;0)*(nNOTA))/SUMPRODUCT((nNIA=A976)*(nCUENTA=1)*(COUNTIF(CONFIG_ASIGNATURAS!$B$7:$B$27,nASIG)&gt;0)*1),"")))</f>
        <v/>
      </c>
      <c r="H976" t="str">
        <f>IF(G976="","",IF(G976="[FÓRMULA MANUAL]","",IFERROR(AVERAGEIFS(nNOTA,nNIA,G976,nCUENTA,1,nASIG,"Lenguaje Musical"),"")))</f>
        <v/>
      </c>
      <c r="I976" t="str">
        <f>IF(G976="","",IF(G976="[FÓRMULA MANUAL]","",IFERROR(AVERAGEIFS(nNOTA,nNIA,G976,nCUENTA,1,nASIG,"Orquesta/Banda/Conjunto"),"")))</f>
        <v/>
      </c>
      <c r="J976" t="str">
        <f>IF(G976="","",IF(G976="[FÓRMULA MANUAL]","",IFERROR(AVERAGEIFS(nNOTA,nNIA,G976,nCUENTA,1,nASIG,"Conjunto"),"")))</f>
        <v/>
      </c>
      <c r="K976" t="str">
        <f>IF(G976="","",IF(G976="[FÓRMULA MANUAL]","",IFERROR(SUMPRODUCT((nNIA=G976)*(nCUENTA=1)*(COUNTIF(CONFIG_ASIGNATURAS!$B$7:$B$27,nASIG)&gt;0)*(nNOTA))/SUMPRODUCT((nNIA=G976)*(nCUENTA=1)*(COUNTIF(CONFIG_ASIGNATURAS!$B$7:$B$27,nASIG)&gt;0)*1),"")))</f>
        <v/>
      </c>
      <c r="N976" t="str">
        <f>IF(M976="","",IF(M976="[FÓRMULA MANUAL]","",IFERROR(AVERAGEIFS(nNOTA,nNIA,M976,nCUENTA,1,nASIG,"Armonía"),"")))</f>
        <v/>
      </c>
      <c r="O976" t="str">
        <f>IF(M976="","",IF(M976="[FÓRMULA MANUAL]","",IFERROR(AVERAGEIFS(nNOTA,nNIA,M976,nCUENTA,1,nASIG,"Orquesta/Banda/Conjunto"),"")))</f>
        <v/>
      </c>
      <c r="P976" t="str">
        <f>IF(M976="","",IF(M976="[FÓRMULA MANUAL]","",IFERROR(AVERAGEIFS(nNOTA,nNIA,M976,nCUENTA,1,nASIG,"Música de Cámara"),"")))</f>
        <v/>
      </c>
      <c r="Q976" t="str">
        <f>IF(M976="","",IF(M976="[FÓRMULA MANUAL]","",IFERROR(SUMPRODUCT((nNIA=M976)*(nCUENTA=1)*(COUNTIF(CONFIG_ASIGNATURAS!$B$7:$B$27,nASIG)&gt;0)*(nNOTA))/SUMPRODUCT((nNIA=M976)*(nCUENTA=1)*(COUNTIF(CONFIG_ASIGNATURAS!$B$7:$B$27,nASIG)&gt;0)*1),"")))</f>
        <v/>
      </c>
      <c r="T976" t="str">
        <f>IF(S976="","",IF(S976="[FÓRMULA MANUAL]","",IFERROR(AVERAGEIFS(nNOTA,nNIA,S976,nCUENTA,1,nASIG,"Armonía"),"")))</f>
        <v/>
      </c>
      <c r="U976" t="str">
        <f>IF(S976="","",IF(S976="[FÓRMULA MANUAL]","",IFERROR(AVERAGEIFS(nNOTA,nNIA,S976,nCUENTA,1,nASIG,"Orquesta/Banda/Conjunto"),"")))</f>
        <v/>
      </c>
      <c r="V976" t="str">
        <f>IF(S976="","",IF(S976="[FÓRMULA MANUAL]","",IFERROR(AVERAGEIFS(nNOTA,nNIA,S976,nCUENTA,1,nASIG,"Música de Cámara"),"")))</f>
        <v/>
      </c>
      <c r="W976" t="str">
        <f>IF(S976="","",IF(S976="[FÓRMULA MANUAL]","",IFERROR(SUMPRODUCT((nNIA=S976)*(nCUENTA=1)*(COUNTIF(CONFIG_ASIGNATURAS!$B$7:$B$27,nASIG)&gt;0)*(nNOTA))/SUMPRODUCT((nNIA=S976)*(nCUENTA=1)*(COUNTIF(CONFIG_ASIGNATURAS!$B$7:$B$27,nASIG)&gt;0)*1),"")))</f>
        <v/>
      </c>
      <c r="Z976" t="str">
        <f>IF(Y976="","",IF(Y976="[FÓRMULA MANUAL]","",IFERROR(AVERAGEIFS(nNOTA,nNIA,Y976,nCUENTA,1,nASIG,"Análisis"),"")))</f>
        <v/>
      </c>
      <c r="AA976" t="str">
        <f>IF(Y976="","",IF(Y976="[FÓRMULA MANUAL]","",IFERROR(AVERAGEIFS(nNOTA,nNIA,Y976,nCUENTA,1,nASIG,"Orquesta/Banda/Conjunto"),"")))</f>
        <v/>
      </c>
      <c r="AB976" t="str">
        <f>IF(Y976="","",IF(Y976="[FÓRMULA MANUAL]","",IFERROR(AVERAGEIFS(nNOTA,nNIA,Y976,nCUENTA,1,nASIG,"Música de Cámara"),"")))</f>
        <v/>
      </c>
      <c r="AC976" t="str">
        <f>IF(Y976="","",IF(Y976="[FÓRMULA MANUAL]","",IFERROR(SUMPRODUCT((nNIA=Y976)*(nCUENTA=1)*(COUNTIF(CONFIG_ASIGNATURAS!$B$7:$B$27,nASIG)&gt;0)*(nNOTA))/SUMPRODUCT((nNIA=Y976)*(nCUENTA=1)*(COUNTIF(CONFIG_ASIGNATURAS!$B$7:$B$27,nASIG)&gt;0)*1),"")))</f>
        <v/>
      </c>
      <c r="AF976" t="str">
        <f>IF(AE976="","",IF(AE976="[FÓRMULA MANUAL]","",IFERROR(AVERAGEIFS(nNOTA,nNIA,AE976,nCUENTA,1,nASIG,"Análisis"),"")))</f>
        <v/>
      </c>
      <c r="AG976" t="str">
        <f>IF(AE976="","",IF(AE976="[FÓRMULA MANUAL]","",IFERROR(AVERAGEIFS(nNOTA,nNIA,AE976,nCUENTA,1,nASIG,"Orquesta/Banda/Conjunto"),"")))</f>
        <v/>
      </c>
      <c r="AH976" t="str">
        <f>IF(AE976="","",IF(AE976="[FÓRMULA MANUAL]","",IFERROR(AVERAGEIFS(nNOTA,nNIA,AE976,nCUENTA,1,nASIG,"Música de Cámara"),"")))</f>
        <v/>
      </c>
      <c r="AI976" t="str">
        <f>IF(AE976="","",IF(AE976="[FÓRMULA MANUAL]","",IFERROR(SUMPRODUCT((nNIA=AE976)*(nCUENTA=1)*(COUNTIF(CONFIG_ASIGNATURAS!$B$7:$B$27,nASIG)&gt;0)*(nNOTA))/SUMPRODUCT((nNIA=AE976)*(nCUENTA=1)*(COUNTIF(CONFIG_ASIGNATURAS!$B$7:$B$27,nASIG)&gt;0)*1),"")))</f>
        <v/>
      </c>
    </row>
    <row r="977" spans="2:35" x14ac:dyDescent="0.2">
      <c r="B977" t="str">
        <f>IF(A977="","",IF(A977="[FÓRMULA MANUAL]","",IFERROR(AVERAGEIFS(nNOTA,nNIA,A977,nCUENTA,1,nASIG,"Lenguaje Musical"),"")))</f>
        <v/>
      </c>
      <c r="C977" t="str">
        <f>IF(A977="","",IF(A977="[FÓRMULA MANUAL]","",IFERROR(AVERAGEIFS(nNOTA,nNIA,A977,nCUENTA,1,nASIG,"Orquesta/Banda/Conjunto"),"")))</f>
        <v/>
      </c>
      <c r="D977" t="str">
        <f>IF(A977="","",IF(A977="[FÓRMULA MANUAL]","",IFERROR(AVERAGEIFS(nNOTA,nNIA,A977,nCUENTA,1,nASIG,"Conjunto"),"")))</f>
        <v/>
      </c>
      <c r="E977" t="str">
        <f>IF(A977="","",IF(A977="[FÓRMULA MANUAL]","",IFERROR(SUMPRODUCT((nNIA=A977)*(nCUENTA=1)*(COUNTIF(CONFIG_ASIGNATURAS!$B$7:$B$27,nASIG)&gt;0)*(nNOTA))/SUMPRODUCT((nNIA=A977)*(nCUENTA=1)*(COUNTIF(CONFIG_ASIGNATURAS!$B$7:$B$27,nASIG)&gt;0)*1),"")))</f>
        <v/>
      </c>
      <c r="H977" t="str">
        <f>IF(G977="","",IF(G977="[FÓRMULA MANUAL]","",IFERROR(AVERAGEIFS(nNOTA,nNIA,G977,nCUENTA,1,nASIG,"Lenguaje Musical"),"")))</f>
        <v/>
      </c>
      <c r="I977" t="str">
        <f>IF(G977="","",IF(G977="[FÓRMULA MANUAL]","",IFERROR(AVERAGEIFS(nNOTA,nNIA,G977,nCUENTA,1,nASIG,"Orquesta/Banda/Conjunto"),"")))</f>
        <v/>
      </c>
      <c r="J977" t="str">
        <f>IF(G977="","",IF(G977="[FÓRMULA MANUAL]","",IFERROR(AVERAGEIFS(nNOTA,nNIA,G977,nCUENTA,1,nASIG,"Conjunto"),"")))</f>
        <v/>
      </c>
      <c r="K977" t="str">
        <f>IF(G977="","",IF(G977="[FÓRMULA MANUAL]","",IFERROR(SUMPRODUCT((nNIA=G977)*(nCUENTA=1)*(COUNTIF(CONFIG_ASIGNATURAS!$B$7:$B$27,nASIG)&gt;0)*(nNOTA))/SUMPRODUCT((nNIA=G977)*(nCUENTA=1)*(COUNTIF(CONFIG_ASIGNATURAS!$B$7:$B$27,nASIG)&gt;0)*1),"")))</f>
        <v/>
      </c>
      <c r="N977" t="str">
        <f>IF(M977="","",IF(M977="[FÓRMULA MANUAL]","",IFERROR(AVERAGEIFS(nNOTA,nNIA,M977,nCUENTA,1,nASIG,"Armonía"),"")))</f>
        <v/>
      </c>
      <c r="O977" t="str">
        <f>IF(M977="","",IF(M977="[FÓRMULA MANUAL]","",IFERROR(AVERAGEIFS(nNOTA,nNIA,M977,nCUENTA,1,nASIG,"Orquesta/Banda/Conjunto"),"")))</f>
        <v/>
      </c>
      <c r="P977" t="str">
        <f>IF(M977="","",IF(M977="[FÓRMULA MANUAL]","",IFERROR(AVERAGEIFS(nNOTA,nNIA,M977,nCUENTA,1,nASIG,"Música de Cámara"),"")))</f>
        <v/>
      </c>
      <c r="Q977" t="str">
        <f>IF(M977="","",IF(M977="[FÓRMULA MANUAL]","",IFERROR(SUMPRODUCT((nNIA=M977)*(nCUENTA=1)*(COUNTIF(CONFIG_ASIGNATURAS!$B$7:$B$27,nASIG)&gt;0)*(nNOTA))/SUMPRODUCT((nNIA=M977)*(nCUENTA=1)*(COUNTIF(CONFIG_ASIGNATURAS!$B$7:$B$27,nASIG)&gt;0)*1),"")))</f>
        <v/>
      </c>
      <c r="T977" t="str">
        <f>IF(S977="","",IF(S977="[FÓRMULA MANUAL]","",IFERROR(AVERAGEIFS(nNOTA,nNIA,S977,nCUENTA,1,nASIG,"Armonía"),"")))</f>
        <v/>
      </c>
      <c r="U977" t="str">
        <f>IF(S977="","",IF(S977="[FÓRMULA MANUAL]","",IFERROR(AVERAGEIFS(nNOTA,nNIA,S977,nCUENTA,1,nASIG,"Orquesta/Banda/Conjunto"),"")))</f>
        <v/>
      </c>
      <c r="V977" t="str">
        <f>IF(S977="","",IF(S977="[FÓRMULA MANUAL]","",IFERROR(AVERAGEIFS(nNOTA,nNIA,S977,nCUENTA,1,nASIG,"Música de Cámara"),"")))</f>
        <v/>
      </c>
      <c r="W977" t="str">
        <f>IF(S977="","",IF(S977="[FÓRMULA MANUAL]","",IFERROR(SUMPRODUCT((nNIA=S977)*(nCUENTA=1)*(COUNTIF(CONFIG_ASIGNATURAS!$B$7:$B$27,nASIG)&gt;0)*(nNOTA))/SUMPRODUCT((nNIA=S977)*(nCUENTA=1)*(COUNTIF(CONFIG_ASIGNATURAS!$B$7:$B$27,nASIG)&gt;0)*1),"")))</f>
        <v/>
      </c>
      <c r="Z977" t="str">
        <f>IF(Y977="","",IF(Y977="[FÓRMULA MANUAL]","",IFERROR(AVERAGEIFS(nNOTA,nNIA,Y977,nCUENTA,1,nASIG,"Análisis"),"")))</f>
        <v/>
      </c>
      <c r="AA977" t="str">
        <f>IF(Y977="","",IF(Y977="[FÓRMULA MANUAL]","",IFERROR(AVERAGEIFS(nNOTA,nNIA,Y977,nCUENTA,1,nASIG,"Orquesta/Banda/Conjunto"),"")))</f>
        <v/>
      </c>
      <c r="AB977" t="str">
        <f>IF(Y977="","",IF(Y977="[FÓRMULA MANUAL]","",IFERROR(AVERAGEIFS(nNOTA,nNIA,Y977,nCUENTA,1,nASIG,"Música de Cámara"),"")))</f>
        <v/>
      </c>
      <c r="AC977" t="str">
        <f>IF(Y977="","",IF(Y977="[FÓRMULA MANUAL]","",IFERROR(SUMPRODUCT((nNIA=Y977)*(nCUENTA=1)*(COUNTIF(CONFIG_ASIGNATURAS!$B$7:$B$27,nASIG)&gt;0)*(nNOTA))/SUMPRODUCT((nNIA=Y977)*(nCUENTA=1)*(COUNTIF(CONFIG_ASIGNATURAS!$B$7:$B$27,nASIG)&gt;0)*1),"")))</f>
        <v/>
      </c>
      <c r="AF977" t="str">
        <f>IF(AE977="","",IF(AE977="[FÓRMULA MANUAL]","",IFERROR(AVERAGEIFS(nNOTA,nNIA,AE977,nCUENTA,1,nASIG,"Análisis"),"")))</f>
        <v/>
      </c>
      <c r="AG977" t="str">
        <f>IF(AE977="","",IF(AE977="[FÓRMULA MANUAL]","",IFERROR(AVERAGEIFS(nNOTA,nNIA,AE977,nCUENTA,1,nASIG,"Orquesta/Banda/Conjunto"),"")))</f>
        <v/>
      </c>
      <c r="AH977" t="str">
        <f>IF(AE977="","",IF(AE977="[FÓRMULA MANUAL]","",IFERROR(AVERAGEIFS(nNOTA,nNIA,AE977,nCUENTA,1,nASIG,"Música de Cámara"),"")))</f>
        <v/>
      </c>
      <c r="AI977" t="str">
        <f>IF(AE977="","",IF(AE977="[FÓRMULA MANUAL]","",IFERROR(SUMPRODUCT((nNIA=AE977)*(nCUENTA=1)*(COUNTIF(CONFIG_ASIGNATURAS!$B$7:$B$27,nASIG)&gt;0)*(nNOTA))/SUMPRODUCT((nNIA=AE977)*(nCUENTA=1)*(COUNTIF(CONFIG_ASIGNATURAS!$B$7:$B$27,nASIG)&gt;0)*1),"")))</f>
        <v/>
      </c>
    </row>
    <row r="978" spans="2:35" x14ac:dyDescent="0.2">
      <c r="B978" t="str">
        <f>IF(A978="","",IF(A978="[FÓRMULA MANUAL]","",IFERROR(AVERAGEIFS(nNOTA,nNIA,A978,nCUENTA,1,nASIG,"Lenguaje Musical"),"")))</f>
        <v/>
      </c>
      <c r="C978" t="str">
        <f>IF(A978="","",IF(A978="[FÓRMULA MANUAL]","",IFERROR(AVERAGEIFS(nNOTA,nNIA,A978,nCUENTA,1,nASIG,"Orquesta/Banda/Conjunto"),"")))</f>
        <v/>
      </c>
      <c r="D978" t="str">
        <f>IF(A978="","",IF(A978="[FÓRMULA MANUAL]","",IFERROR(AVERAGEIFS(nNOTA,nNIA,A978,nCUENTA,1,nASIG,"Conjunto"),"")))</f>
        <v/>
      </c>
      <c r="E978" t="str">
        <f>IF(A978="","",IF(A978="[FÓRMULA MANUAL]","",IFERROR(SUMPRODUCT((nNIA=A978)*(nCUENTA=1)*(COUNTIF(CONFIG_ASIGNATURAS!$B$7:$B$27,nASIG)&gt;0)*(nNOTA))/SUMPRODUCT((nNIA=A978)*(nCUENTA=1)*(COUNTIF(CONFIG_ASIGNATURAS!$B$7:$B$27,nASIG)&gt;0)*1),"")))</f>
        <v/>
      </c>
      <c r="H978" t="str">
        <f>IF(G978="","",IF(G978="[FÓRMULA MANUAL]","",IFERROR(AVERAGEIFS(nNOTA,nNIA,G978,nCUENTA,1,nASIG,"Lenguaje Musical"),"")))</f>
        <v/>
      </c>
      <c r="I978" t="str">
        <f>IF(G978="","",IF(G978="[FÓRMULA MANUAL]","",IFERROR(AVERAGEIFS(nNOTA,nNIA,G978,nCUENTA,1,nASIG,"Orquesta/Banda/Conjunto"),"")))</f>
        <v/>
      </c>
      <c r="J978" t="str">
        <f>IF(G978="","",IF(G978="[FÓRMULA MANUAL]","",IFERROR(AVERAGEIFS(nNOTA,nNIA,G978,nCUENTA,1,nASIG,"Conjunto"),"")))</f>
        <v/>
      </c>
      <c r="K978" t="str">
        <f>IF(G978="","",IF(G978="[FÓRMULA MANUAL]","",IFERROR(SUMPRODUCT((nNIA=G978)*(nCUENTA=1)*(COUNTIF(CONFIG_ASIGNATURAS!$B$7:$B$27,nASIG)&gt;0)*(nNOTA))/SUMPRODUCT((nNIA=G978)*(nCUENTA=1)*(COUNTIF(CONFIG_ASIGNATURAS!$B$7:$B$27,nASIG)&gt;0)*1),"")))</f>
        <v/>
      </c>
      <c r="N978" t="str">
        <f>IF(M978="","",IF(M978="[FÓRMULA MANUAL]","",IFERROR(AVERAGEIFS(nNOTA,nNIA,M978,nCUENTA,1,nASIG,"Armonía"),"")))</f>
        <v/>
      </c>
      <c r="O978" t="str">
        <f>IF(M978="","",IF(M978="[FÓRMULA MANUAL]","",IFERROR(AVERAGEIFS(nNOTA,nNIA,M978,nCUENTA,1,nASIG,"Orquesta/Banda/Conjunto"),"")))</f>
        <v/>
      </c>
      <c r="P978" t="str">
        <f>IF(M978="","",IF(M978="[FÓRMULA MANUAL]","",IFERROR(AVERAGEIFS(nNOTA,nNIA,M978,nCUENTA,1,nASIG,"Música de Cámara"),"")))</f>
        <v/>
      </c>
      <c r="Q978" t="str">
        <f>IF(M978="","",IF(M978="[FÓRMULA MANUAL]","",IFERROR(SUMPRODUCT((nNIA=M978)*(nCUENTA=1)*(COUNTIF(CONFIG_ASIGNATURAS!$B$7:$B$27,nASIG)&gt;0)*(nNOTA))/SUMPRODUCT((nNIA=M978)*(nCUENTA=1)*(COUNTIF(CONFIG_ASIGNATURAS!$B$7:$B$27,nASIG)&gt;0)*1),"")))</f>
        <v/>
      </c>
      <c r="T978" t="str">
        <f>IF(S978="","",IF(S978="[FÓRMULA MANUAL]","",IFERROR(AVERAGEIFS(nNOTA,nNIA,S978,nCUENTA,1,nASIG,"Armonía"),"")))</f>
        <v/>
      </c>
      <c r="U978" t="str">
        <f>IF(S978="","",IF(S978="[FÓRMULA MANUAL]","",IFERROR(AVERAGEIFS(nNOTA,nNIA,S978,nCUENTA,1,nASIG,"Orquesta/Banda/Conjunto"),"")))</f>
        <v/>
      </c>
      <c r="V978" t="str">
        <f>IF(S978="","",IF(S978="[FÓRMULA MANUAL]","",IFERROR(AVERAGEIFS(nNOTA,nNIA,S978,nCUENTA,1,nASIG,"Música de Cámara"),"")))</f>
        <v/>
      </c>
      <c r="W978" t="str">
        <f>IF(S978="","",IF(S978="[FÓRMULA MANUAL]","",IFERROR(SUMPRODUCT((nNIA=S978)*(nCUENTA=1)*(COUNTIF(CONFIG_ASIGNATURAS!$B$7:$B$27,nASIG)&gt;0)*(nNOTA))/SUMPRODUCT((nNIA=S978)*(nCUENTA=1)*(COUNTIF(CONFIG_ASIGNATURAS!$B$7:$B$27,nASIG)&gt;0)*1),"")))</f>
        <v/>
      </c>
      <c r="Z978" t="str">
        <f>IF(Y978="","",IF(Y978="[FÓRMULA MANUAL]","",IFERROR(AVERAGEIFS(nNOTA,nNIA,Y978,nCUENTA,1,nASIG,"Análisis"),"")))</f>
        <v/>
      </c>
      <c r="AA978" t="str">
        <f>IF(Y978="","",IF(Y978="[FÓRMULA MANUAL]","",IFERROR(AVERAGEIFS(nNOTA,nNIA,Y978,nCUENTA,1,nASIG,"Orquesta/Banda/Conjunto"),"")))</f>
        <v/>
      </c>
      <c r="AB978" t="str">
        <f>IF(Y978="","",IF(Y978="[FÓRMULA MANUAL]","",IFERROR(AVERAGEIFS(nNOTA,nNIA,Y978,nCUENTA,1,nASIG,"Música de Cámara"),"")))</f>
        <v/>
      </c>
      <c r="AC978" t="str">
        <f>IF(Y978="","",IF(Y978="[FÓRMULA MANUAL]","",IFERROR(SUMPRODUCT((nNIA=Y978)*(nCUENTA=1)*(COUNTIF(CONFIG_ASIGNATURAS!$B$7:$B$27,nASIG)&gt;0)*(nNOTA))/SUMPRODUCT((nNIA=Y978)*(nCUENTA=1)*(COUNTIF(CONFIG_ASIGNATURAS!$B$7:$B$27,nASIG)&gt;0)*1),"")))</f>
        <v/>
      </c>
      <c r="AF978" t="str">
        <f>IF(AE978="","",IF(AE978="[FÓRMULA MANUAL]","",IFERROR(AVERAGEIFS(nNOTA,nNIA,AE978,nCUENTA,1,nASIG,"Análisis"),"")))</f>
        <v/>
      </c>
      <c r="AG978" t="str">
        <f>IF(AE978="","",IF(AE978="[FÓRMULA MANUAL]","",IFERROR(AVERAGEIFS(nNOTA,nNIA,AE978,nCUENTA,1,nASIG,"Orquesta/Banda/Conjunto"),"")))</f>
        <v/>
      </c>
      <c r="AH978" t="str">
        <f>IF(AE978="","",IF(AE978="[FÓRMULA MANUAL]","",IFERROR(AVERAGEIFS(nNOTA,nNIA,AE978,nCUENTA,1,nASIG,"Música de Cámara"),"")))</f>
        <v/>
      </c>
      <c r="AI978" t="str">
        <f>IF(AE978="","",IF(AE978="[FÓRMULA MANUAL]","",IFERROR(SUMPRODUCT((nNIA=AE978)*(nCUENTA=1)*(COUNTIF(CONFIG_ASIGNATURAS!$B$7:$B$27,nASIG)&gt;0)*(nNOTA))/SUMPRODUCT((nNIA=AE978)*(nCUENTA=1)*(COUNTIF(CONFIG_ASIGNATURAS!$B$7:$B$27,nASIG)&gt;0)*1),"")))</f>
        <v/>
      </c>
    </row>
    <row r="979" spans="2:35" x14ac:dyDescent="0.2">
      <c r="B979" t="str">
        <f>IF(A979="","",IF(A979="[FÓRMULA MANUAL]","",IFERROR(AVERAGEIFS(nNOTA,nNIA,A979,nCUENTA,1,nASIG,"Lenguaje Musical"),"")))</f>
        <v/>
      </c>
      <c r="C979" t="str">
        <f>IF(A979="","",IF(A979="[FÓRMULA MANUAL]","",IFERROR(AVERAGEIFS(nNOTA,nNIA,A979,nCUENTA,1,nASIG,"Orquesta/Banda/Conjunto"),"")))</f>
        <v/>
      </c>
      <c r="D979" t="str">
        <f>IF(A979="","",IF(A979="[FÓRMULA MANUAL]","",IFERROR(AVERAGEIFS(nNOTA,nNIA,A979,nCUENTA,1,nASIG,"Conjunto"),"")))</f>
        <v/>
      </c>
      <c r="E979" t="str">
        <f>IF(A979="","",IF(A979="[FÓRMULA MANUAL]","",IFERROR(SUMPRODUCT((nNIA=A979)*(nCUENTA=1)*(COUNTIF(CONFIG_ASIGNATURAS!$B$7:$B$27,nASIG)&gt;0)*(nNOTA))/SUMPRODUCT((nNIA=A979)*(nCUENTA=1)*(COUNTIF(CONFIG_ASIGNATURAS!$B$7:$B$27,nASIG)&gt;0)*1),"")))</f>
        <v/>
      </c>
      <c r="H979" t="str">
        <f>IF(G979="","",IF(G979="[FÓRMULA MANUAL]","",IFERROR(AVERAGEIFS(nNOTA,nNIA,G979,nCUENTA,1,nASIG,"Lenguaje Musical"),"")))</f>
        <v/>
      </c>
      <c r="I979" t="str">
        <f>IF(G979="","",IF(G979="[FÓRMULA MANUAL]","",IFERROR(AVERAGEIFS(nNOTA,nNIA,G979,nCUENTA,1,nASIG,"Orquesta/Banda/Conjunto"),"")))</f>
        <v/>
      </c>
      <c r="J979" t="str">
        <f>IF(G979="","",IF(G979="[FÓRMULA MANUAL]","",IFERROR(AVERAGEIFS(nNOTA,nNIA,G979,nCUENTA,1,nASIG,"Conjunto"),"")))</f>
        <v/>
      </c>
      <c r="K979" t="str">
        <f>IF(G979="","",IF(G979="[FÓRMULA MANUAL]","",IFERROR(SUMPRODUCT((nNIA=G979)*(nCUENTA=1)*(COUNTIF(CONFIG_ASIGNATURAS!$B$7:$B$27,nASIG)&gt;0)*(nNOTA))/SUMPRODUCT((nNIA=G979)*(nCUENTA=1)*(COUNTIF(CONFIG_ASIGNATURAS!$B$7:$B$27,nASIG)&gt;0)*1),"")))</f>
        <v/>
      </c>
      <c r="N979" t="str">
        <f>IF(M979="","",IF(M979="[FÓRMULA MANUAL]","",IFERROR(AVERAGEIFS(nNOTA,nNIA,M979,nCUENTA,1,nASIG,"Armonía"),"")))</f>
        <v/>
      </c>
      <c r="O979" t="str">
        <f>IF(M979="","",IF(M979="[FÓRMULA MANUAL]","",IFERROR(AVERAGEIFS(nNOTA,nNIA,M979,nCUENTA,1,nASIG,"Orquesta/Banda/Conjunto"),"")))</f>
        <v/>
      </c>
      <c r="P979" t="str">
        <f>IF(M979="","",IF(M979="[FÓRMULA MANUAL]","",IFERROR(AVERAGEIFS(nNOTA,nNIA,M979,nCUENTA,1,nASIG,"Música de Cámara"),"")))</f>
        <v/>
      </c>
      <c r="Q979" t="str">
        <f>IF(M979="","",IF(M979="[FÓRMULA MANUAL]","",IFERROR(SUMPRODUCT((nNIA=M979)*(nCUENTA=1)*(COUNTIF(CONFIG_ASIGNATURAS!$B$7:$B$27,nASIG)&gt;0)*(nNOTA))/SUMPRODUCT((nNIA=M979)*(nCUENTA=1)*(COUNTIF(CONFIG_ASIGNATURAS!$B$7:$B$27,nASIG)&gt;0)*1),"")))</f>
        <v/>
      </c>
      <c r="T979" t="str">
        <f>IF(S979="","",IF(S979="[FÓRMULA MANUAL]","",IFERROR(AVERAGEIFS(nNOTA,nNIA,S979,nCUENTA,1,nASIG,"Armonía"),"")))</f>
        <v/>
      </c>
      <c r="U979" t="str">
        <f>IF(S979="","",IF(S979="[FÓRMULA MANUAL]","",IFERROR(AVERAGEIFS(nNOTA,nNIA,S979,nCUENTA,1,nASIG,"Orquesta/Banda/Conjunto"),"")))</f>
        <v/>
      </c>
      <c r="V979" t="str">
        <f>IF(S979="","",IF(S979="[FÓRMULA MANUAL]","",IFERROR(AVERAGEIFS(nNOTA,nNIA,S979,nCUENTA,1,nASIG,"Música de Cámara"),"")))</f>
        <v/>
      </c>
      <c r="W979" t="str">
        <f>IF(S979="","",IF(S979="[FÓRMULA MANUAL]","",IFERROR(SUMPRODUCT((nNIA=S979)*(nCUENTA=1)*(COUNTIF(CONFIG_ASIGNATURAS!$B$7:$B$27,nASIG)&gt;0)*(nNOTA))/SUMPRODUCT((nNIA=S979)*(nCUENTA=1)*(COUNTIF(CONFIG_ASIGNATURAS!$B$7:$B$27,nASIG)&gt;0)*1),"")))</f>
        <v/>
      </c>
      <c r="Z979" t="str">
        <f>IF(Y979="","",IF(Y979="[FÓRMULA MANUAL]","",IFERROR(AVERAGEIFS(nNOTA,nNIA,Y979,nCUENTA,1,nASIG,"Análisis"),"")))</f>
        <v/>
      </c>
      <c r="AA979" t="str">
        <f>IF(Y979="","",IF(Y979="[FÓRMULA MANUAL]","",IFERROR(AVERAGEIFS(nNOTA,nNIA,Y979,nCUENTA,1,nASIG,"Orquesta/Banda/Conjunto"),"")))</f>
        <v/>
      </c>
      <c r="AB979" t="str">
        <f>IF(Y979="","",IF(Y979="[FÓRMULA MANUAL]","",IFERROR(AVERAGEIFS(nNOTA,nNIA,Y979,nCUENTA,1,nASIG,"Música de Cámara"),"")))</f>
        <v/>
      </c>
      <c r="AC979" t="str">
        <f>IF(Y979="","",IF(Y979="[FÓRMULA MANUAL]","",IFERROR(SUMPRODUCT((nNIA=Y979)*(nCUENTA=1)*(COUNTIF(CONFIG_ASIGNATURAS!$B$7:$B$27,nASIG)&gt;0)*(nNOTA))/SUMPRODUCT((nNIA=Y979)*(nCUENTA=1)*(COUNTIF(CONFIG_ASIGNATURAS!$B$7:$B$27,nASIG)&gt;0)*1),"")))</f>
        <v/>
      </c>
      <c r="AF979" t="str">
        <f>IF(AE979="","",IF(AE979="[FÓRMULA MANUAL]","",IFERROR(AVERAGEIFS(nNOTA,nNIA,AE979,nCUENTA,1,nASIG,"Análisis"),"")))</f>
        <v/>
      </c>
      <c r="AG979" t="str">
        <f>IF(AE979="","",IF(AE979="[FÓRMULA MANUAL]","",IFERROR(AVERAGEIFS(nNOTA,nNIA,AE979,nCUENTA,1,nASIG,"Orquesta/Banda/Conjunto"),"")))</f>
        <v/>
      </c>
      <c r="AH979" t="str">
        <f>IF(AE979="","",IF(AE979="[FÓRMULA MANUAL]","",IFERROR(AVERAGEIFS(nNOTA,nNIA,AE979,nCUENTA,1,nASIG,"Música de Cámara"),"")))</f>
        <v/>
      </c>
      <c r="AI979" t="str">
        <f>IF(AE979="","",IF(AE979="[FÓRMULA MANUAL]","",IFERROR(SUMPRODUCT((nNIA=AE979)*(nCUENTA=1)*(COUNTIF(CONFIG_ASIGNATURAS!$B$7:$B$27,nASIG)&gt;0)*(nNOTA))/SUMPRODUCT((nNIA=AE979)*(nCUENTA=1)*(COUNTIF(CONFIG_ASIGNATURAS!$B$7:$B$27,nASIG)&gt;0)*1),"")))</f>
        <v/>
      </c>
    </row>
    <row r="980" spans="2:35" x14ac:dyDescent="0.2">
      <c r="B980" t="str">
        <f>IF(A980="","",IF(A980="[FÓRMULA MANUAL]","",IFERROR(AVERAGEIFS(nNOTA,nNIA,A980,nCUENTA,1,nASIG,"Lenguaje Musical"),"")))</f>
        <v/>
      </c>
      <c r="C980" t="str">
        <f>IF(A980="","",IF(A980="[FÓRMULA MANUAL]","",IFERROR(AVERAGEIFS(nNOTA,nNIA,A980,nCUENTA,1,nASIG,"Orquesta/Banda/Conjunto"),"")))</f>
        <v/>
      </c>
      <c r="D980" t="str">
        <f>IF(A980="","",IF(A980="[FÓRMULA MANUAL]","",IFERROR(AVERAGEIFS(nNOTA,nNIA,A980,nCUENTA,1,nASIG,"Conjunto"),"")))</f>
        <v/>
      </c>
      <c r="E980" t="str">
        <f>IF(A980="","",IF(A980="[FÓRMULA MANUAL]","",IFERROR(SUMPRODUCT((nNIA=A980)*(nCUENTA=1)*(COUNTIF(CONFIG_ASIGNATURAS!$B$7:$B$27,nASIG)&gt;0)*(nNOTA))/SUMPRODUCT((nNIA=A980)*(nCUENTA=1)*(COUNTIF(CONFIG_ASIGNATURAS!$B$7:$B$27,nASIG)&gt;0)*1),"")))</f>
        <v/>
      </c>
      <c r="H980" t="str">
        <f>IF(G980="","",IF(G980="[FÓRMULA MANUAL]","",IFERROR(AVERAGEIFS(nNOTA,nNIA,G980,nCUENTA,1,nASIG,"Lenguaje Musical"),"")))</f>
        <v/>
      </c>
      <c r="I980" t="str">
        <f>IF(G980="","",IF(G980="[FÓRMULA MANUAL]","",IFERROR(AVERAGEIFS(nNOTA,nNIA,G980,nCUENTA,1,nASIG,"Orquesta/Banda/Conjunto"),"")))</f>
        <v/>
      </c>
      <c r="J980" t="str">
        <f>IF(G980="","",IF(G980="[FÓRMULA MANUAL]","",IFERROR(AVERAGEIFS(nNOTA,nNIA,G980,nCUENTA,1,nASIG,"Conjunto"),"")))</f>
        <v/>
      </c>
      <c r="K980" t="str">
        <f>IF(G980="","",IF(G980="[FÓRMULA MANUAL]","",IFERROR(SUMPRODUCT((nNIA=G980)*(nCUENTA=1)*(COUNTIF(CONFIG_ASIGNATURAS!$B$7:$B$27,nASIG)&gt;0)*(nNOTA))/SUMPRODUCT((nNIA=G980)*(nCUENTA=1)*(COUNTIF(CONFIG_ASIGNATURAS!$B$7:$B$27,nASIG)&gt;0)*1),"")))</f>
        <v/>
      </c>
      <c r="N980" t="str">
        <f>IF(M980="","",IF(M980="[FÓRMULA MANUAL]","",IFERROR(AVERAGEIFS(nNOTA,nNIA,M980,nCUENTA,1,nASIG,"Armonía"),"")))</f>
        <v/>
      </c>
      <c r="O980" t="str">
        <f>IF(M980="","",IF(M980="[FÓRMULA MANUAL]","",IFERROR(AVERAGEIFS(nNOTA,nNIA,M980,nCUENTA,1,nASIG,"Orquesta/Banda/Conjunto"),"")))</f>
        <v/>
      </c>
      <c r="P980" t="str">
        <f>IF(M980="","",IF(M980="[FÓRMULA MANUAL]","",IFERROR(AVERAGEIFS(nNOTA,nNIA,M980,nCUENTA,1,nASIG,"Música de Cámara"),"")))</f>
        <v/>
      </c>
      <c r="Q980" t="str">
        <f>IF(M980="","",IF(M980="[FÓRMULA MANUAL]","",IFERROR(SUMPRODUCT((nNIA=M980)*(nCUENTA=1)*(COUNTIF(CONFIG_ASIGNATURAS!$B$7:$B$27,nASIG)&gt;0)*(nNOTA))/SUMPRODUCT((nNIA=M980)*(nCUENTA=1)*(COUNTIF(CONFIG_ASIGNATURAS!$B$7:$B$27,nASIG)&gt;0)*1),"")))</f>
        <v/>
      </c>
      <c r="T980" t="str">
        <f>IF(S980="","",IF(S980="[FÓRMULA MANUAL]","",IFERROR(AVERAGEIFS(nNOTA,nNIA,S980,nCUENTA,1,nASIG,"Armonía"),"")))</f>
        <v/>
      </c>
      <c r="U980" t="str">
        <f>IF(S980="","",IF(S980="[FÓRMULA MANUAL]","",IFERROR(AVERAGEIFS(nNOTA,nNIA,S980,nCUENTA,1,nASIG,"Orquesta/Banda/Conjunto"),"")))</f>
        <v/>
      </c>
      <c r="V980" t="str">
        <f>IF(S980="","",IF(S980="[FÓRMULA MANUAL]","",IFERROR(AVERAGEIFS(nNOTA,nNIA,S980,nCUENTA,1,nASIG,"Música de Cámara"),"")))</f>
        <v/>
      </c>
      <c r="W980" t="str">
        <f>IF(S980="","",IF(S980="[FÓRMULA MANUAL]","",IFERROR(SUMPRODUCT((nNIA=S980)*(nCUENTA=1)*(COUNTIF(CONFIG_ASIGNATURAS!$B$7:$B$27,nASIG)&gt;0)*(nNOTA))/SUMPRODUCT((nNIA=S980)*(nCUENTA=1)*(COUNTIF(CONFIG_ASIGNATURAS!$B$7:$B$27,nASIG)&gt;0)*1),"")))</f>
        <v/>
      </c>
      <c r="Z980" t="str">
        <f>IF(Y980="","",IF(Y980="[FÓRMULA MANUAL]","",IFERROR(AVERAGEIFS(nNOTA,nNIA,Y980,nCUENTA,1,nASIG,"Análisis"),"")))</f>
        <v/>
      </c>
      <c r="AA980" t="str">
        <f>IF(Y980="","",IF(Y980="[FÓRMULA MANUAL]","",IFERROR(AVERAGEIFS(nNOTA,nNIA,Y980,nCUENTA,1,nASIG,"Orquesta/Banda/Conjunto"),"")))</f>
        <v/>
      </c>
      <c r="AB980" t="str">
        <f>IF(Y980="","",IF(Y980="[FÓRMULA MANUAL]","",IFERROR(AVERAGEIFS(nNOTA,nNIA,Y980,nCUENTA,1,nASIG,"Música de Cámara"),"")))</f>
        <v/>
      </c>
      <c r="AC980" t="str">
        <f>IF(Y980="","",IF(Y980="[FÓRMULA MANUAL]","",IFERROR(SUMPRODUCT((nNIA=Y980)*(nCUENTA=1)*(COUNTIF(CONFIG_ASIGNATURAS!$B$7:$B$27,nASIG)&gt;0)*(nNOTA))/SUMPRODUCT((nNIA=Y980)*(nCUENTA=1)*(COUNTIF(CONFIG_ASIGNATURAS!$B$7:$B$27,nASIG)&gt;0)*1),"")))</f>
        <v/>
      </c>
      <c r="AF980" t="str">
        <f>IF(AE980="","",IF(AE980="[FÓRMULA MANUAL]","",IFERROR(AVERAGEIFS(nNOTA,nNIA,AE980,nCUENTA,1,nASIG,"Análisis"),"")))</f>
        <v/>
      </c>
      <c r="AG980" t="str">
        <f>IF(AE980="","",IF(AE980="[FÓRMULA MANUAL]","",IFERROR(AVERAGEIFS(nNOTA,nNIA,AE980,nCUENTA,1,nASIG,"Orquesta/Banda/Conjunto"),"")))</f>
        <v/>
      </c>
      <c r="AH980" t="str">
        <f>IF(AE980="","",IF(AE980="[FÓRMULA MANUAL]","",IFERROR(AVERAGEIFS(nNOTA,nNIA,AE980,nCUENTA,1,nASIG,"Música de Cámara"),"")))</f>
        <v/>
      </c>
      <c r="AI980" t="str">
        <f>IF(AE980="","",IF(AE980="[FÓRMULA MANUAL]","",IFERROR(SUMPRODUCT((nNIA=AE980)*(nCUENTA=1)*(COUNTIF(CONFIG_ASIGNATURAS!$B$7:$B$27,nASIG)&gt;0)*(nNOTA))/SUMPRODUCT((nNIA=AE980)*(nCUENTA=1)*(COUNTIF(CONFIG_ASIGNATURAS!$B$7:$B$27,nASIG)&gt;0)*1),"")))</f>
        <v/>
      </c>
    </row>
    <row r="981" spans="2:35" x14ac:dyDescent="0.2">
      <c r="B981" t="str">
        <f>IF(A981="","",IF(A981="[FÓRMULA MANUAL]","",IFERROR(AVERAGEIFS(nNOTA,nNIA,A981,nCUENTA,1,nASIG,"Lenguaje Musical"),"")))</f>
        <v/>
      </c>
      <c r="C981" t="str">
        <f>IF(A981="","",IF(A981="[FÓRMULA MANUAL]","",IFERROR(AVERAGEIFS(nNOTA,nNIA,A981,nCUENTA,1,nASIG,"Orquesta/Banda/Conjunto"),"")))</f>
        <v/>
      </c>
      <c r="D981" t="str">
        <f>IF(A981="","",IF(A981="[FÓRMULA MANUAL]","",IFERROR(AVERAGEIFS(nNOTA,nNIA,A981,nCUENTA,1,nASIG,"Conjunto"),"")))</f>
        <v/>
      </c>
      <c r="E981" t="str">
        <f>IF(A981="","",IF(A981="[FÓRMULA MANUAL]","",IFERROR(SUMPRODUCT((nNIA=A981)*(nCUENTA=1)*(COUNTIF(CONFIG_ASIGNATURAS!$B$7:$B$27,nASIG)&gt;0)*(nNOTA))/SUMPRODUCT((nNIA=A981)*(nCUENTA=1)*(COUNTIF(CONFIG_ASIGNATURAS!$B$7:$B$27,nASIG)&gt;0)*1),"")))</f>
        <v/>
      </c>
      <c r="H981" t="str">
        <f>IF(G981="","",IF(G981="[FÓRMULA MANUAL]","",IFERROR(AVERAGEIFS(nNOTA,nNIA,G981,nCUENTA,1,nASIG,"Lenguaje Musical"),"")))</f>
        <v/>
      </c>
      <c r="I981" t="str">
        <f>IF(G981="","",IF(G981="[FÓRMULA MANUAL]","",IFERROR(AVERAGEIFS(nNOTA,nNIA,G981,nCUENTA,1,nASIG,"Orquesta/Banda/Conjunto"),"")))</f>
        <v/>
      </c>
      <c r="J981" t="str">
        <f>IF(G981="","",IF(G981="[FÓRMULA MANUAL]","",IFERROR(AVERAGEIFS(nNOTA,nNIA,G981,nCUENTA,1,nASIG,"Conjunto"),"")))</f>
        <v/>
      </c>
      <c r="K981" t="str">
        <f>IF(G981="","",IF(G981="[FÓRMULA MANUAL]","",IFERROR(SUMPRODUCT((nNIA=G981)*(nCUENTA=1)*(COUNTIF(CONFIG_ASIGNATURAS!$B$7:$B$27,nASIG)&gt;0)*(nNOTA))/SUMPRODUCT((nNIA=G981)*(nCUENTA=1)*(COUNTIF(CONFIG_ASIGNATURAS!$B$7:$B$27,nASIG)&gt;0)*1),"")))</f>
        <v/>
      </c>
      <c r="N981" t="str">
        <f>IF(M981="","",IF(M981="[FÓRMULA MANUAL]","",IFERROR(AVERAGEIFS(nNOTA,nNIA,M981,nCUENTA,1,nASIG,"Armonía"),"")))</f>
        <v/>
      </c>
      <c r="O981" t="str">
        <f>IF(M981="","",IF(M981="[FÓRMULA MANUAL]","",IFERROR(AVERAGEIFS(nNOTA,nNIA,M981,nCUENTA,1,nASIG,"Orquesta/Banda/Conjunto"),"")))</f>
        <v/>
      </c>
      <c r="P981" t="str">
        <f>IF(M981="","",IF(M981="[FÓRMULA MANUAL]","",IFERROR(AVERAGEIFS(nNOTA,nNIA,M981,nCUENTA,1,nASIG,"Música de Cámara"),"")))</f>
        <v/>
      </c>
      <c r="Q981" t="str">
        <f>IF(M981="","",IF(M981="[FÓRMULA MANUAL]","",IFERROR(SUMPRODUCT((nNIA=M981)*(nCUENTA=1)*(COUNTIF(CONFIG_ASIGNATURAS!$B$7:$B$27,nASIG)&gt;0)*(nNOTA))/SUMPRODUCT((nNIA=M981)*(nCUENTA=1)*(COUNTIF(CONFIG_ASIGNATURAS!$B$7:$B$27,nASIG)&gt;0)*1),"")))</f>
        <v/>
      </c>
      <c r="T981" t="str">
        <f>IF(S981="","",IF(S981="[FÓRMULA MANUAL]","",IFERROR(AVERAGEIFS(nNOTA,nNIA,S981,nCUENTA,1,nASIG,"Armonía"),"")))</f>
        <v/>
      </c>
      <c r="U981" t="str">
        <f>IF(S981="","",IF(S981="[FÓRMULA MANUAL]","",IFERROR(AVERAGEIFS(nNOTA,nNIA,S981,nCUENTA,1,nASIG,"Orquesta/Banda/Conjunto"),"")))</f>
        <v/>
      </c>
      <c r="V981" t="str">
        <f>IF(S981="","",IF(S981="[FÓRMULA MANUAL]","",IFERROR(AVERAGEIFS(nNOTA,nNIA,S981,nCUENTA,1,nASIG,"Música de Cámara"),"")))</f>
        <v/>
      </c>
      <c r="W981" t="str">
        <f>IF(S981="","",IF(S981="[FÓRMULA MANUAL]","",IFERROR(SUMPRODUCT((nNIA=S981)*(nCUENTA=1)*(COUNTIF(CONFIG_ASIGNATURAS!$B$7:$B$27,nASIG)&gt;0)*(nNOTA))/SUMPRODUCT((nNIA=S981)*(nCUENTA=1)*(COUNTIF(CONFIG_ASIGNATURAS!$B$7:$B$27,nASIG)&gt;0)*1),"")))</f>
        <v/>
      </c>
      <c r="Z981" t="str">
        <f>IF(Y981="","",IF(Y981="[FÓRMULA MANUAL]","",IFERROR(AVERAGEIFS(nNOTA,nNIA,Y981,nCUENTA,1,nASIG,"Análisis"),"")))</f>
        <v/>
      </c>
      <c r="AA981" t="str">
        <f>IF(Y981="","",IF(Y981="[FÓRMULA MANUAL]","",IFERROR(AVERAGEIFS(nNOTA,nNIA,Y981,nCUENTA,1,nASIG,"Orquesta/Banda/Conjunto"),"")))</f>
        <v/>
      </c>
      <c r="AB981" t="str">
        <f>IF(Y981="","",IF(Y981="[FÓRMULA MANUAL]","",IFERROR(AVERAGEIFS(nNOTA,nNIA,Y981,nCUENTA,1,nASIG,"Música de Cámara"),"")))</f>
        <v/>
      </c>
      <c r="AC981" t="str">
        <f>IF(Y981="","",IF(Y981="[FÓRMULA MANUAL]","",IFERROR(SUMPRODUCT((nNIA=Y981)*(nCUENTA=1)*(COUNTIF(CONFIG_ASIGNATURAS!$B$7:$B$27,nASIG)&gt;0)*(nNOTA))/SUMPRODUCT((nNIA=Y981)*(nCUENTA=1)*(COUNTIF(CONFIG_ASIGNATURAS!$B$7:$B$27,nASIG)&gt;0)*1),"")))</f>
        <v/>
      </c>
      <c r="AF981" t="str">
        <f>IF(AE981="","",IF(AE981="[FÓRMULA MANUAL]","",IFERROR(AVERAGEIFS(nNOTA,nNIA,AE981,nCUENTA,1,nASIG,"Análisis"),"")))</f>
        <v/>
      </c>
      <c r="AG981" t="str">
        <f>IF(AE981="","",IF(AE981="[FÓRMULA MANUAL]","",IFERROR(AVERAGEIFS(nNOTA,nNIA,AE981,nCUENTA,1,nASIG,"Orquesta/Banda/Conjunto"),"")))</f>
        <v/>
      </c>
      <c r="AH981" t="str">
        <f>IF(AE981="","",IF(AE981="[FÓRMULA MANUAL]","",IFERROR(AVERAGEIFS(nNOTA,nNIA,AE981,nCUENTA,1,nASIG,"Música de Cámara"),"")))</f>
        <v/>
      </c>
      <c r="AI981" t="str">
        <f>IF(AE981="","",IF(AE981="[FÓRMULA MANUAL]","",IFERROR(SUMPRODUCT((nNIA=AE981)*(nCUENTA=1)*(COUNTIF(CONFIG_ASIGNATURAS!$B$7:$B$27,nASIG)&gt;0)*(nNOTA))/SUMPRODUCT((nNIA=AE981)*(nCUENTA=1)*(COUNTIF(CONFIG_ASIGNATURAS!$B$7:$B$27,nASIG)&gt;0)*1),"")))</f>
        <v/>
      </c>
    </row>
    <row r="982" spans="2:35" x14ac:dyDescent="0.2">
      <c r="B982" t="str">
        <f>IF(A982="","",IF(A982="[FÓRMULA MANUAL]","",IFERROR(AVERAGEIFS(nNOTA,nNIA,A982,nCUENTA,1,nASIG,"Lenguaje Musical"),"")))</f>
        <v/>
      </c>
      <c r="C982" t="str">
        <f>IF(A982="","",IF(A982="[FÓRMULA MANUAL]","",IFERROR(AVERAGEIFS(nNOTA,nNIA,A982,nCUENTA,1,nASIG,"Orquesta/Banda/Conjunto"),"")))</f>
        <v/>
      </c>
      <c r="D982" t="str">
        <f>IF(A982="","",IF(A982="[FÓRMULA MANUAL]","",IFERROR(AVERAGEIFS(nNOTA,nNIA,A982,nCUENTA,1,nASIG,"Conjunto"),"")))</f>
        <v/>
      </c>
      <c r="E982" t="str">
        <f>IF(A982="","",IF(A982="[FÓRMULA MANUAL]","",IFERROR(SUMPRODUCT((nNIA=A982)*(nCUENTA=1)*(COUNTIF(CONFIG_ASIGNATURAS!$B$7:$B$27,nASIG)&gt;0)*(nNOTA))/SUMPRODUCT((nNIA=A982)*(nCUENTA=1)*(COUNTIF(CONFIG_ASIGNATURAS!$B$7:$B$27,nASIG)&gt;0)*1),"")))</f>
        <v/>
      </c>
      <c r="H982" t="str">
        <f>IF(G982="","",IF(G982="[FÓRMULA MANUAL]","",IFERROR(AVERAGEIFS(nNOTA,nNIA,G982,nCUENTA,1,nASIG,"Lenguaje Musical"),"")))</f>
        <v/>
      </c>
      <c r="I982" t="str">
        <f>IF(G982="","",IF(G982="[FÓRMULA MANUAL]","",IFERROR(AVERAGEIFS(nNOTA,nNIA,G982,nCUENTA,1,nASIG,"Orquesta/Banda/Conjunto"),"")))</f>
        <v/>
      </c>
      <c r="J982" t="str">
        <f>IF(G982="","",IF(G982="[FÓRMULA MANUAL]","",IFERROR(AVERAGEIFS(nNOTA,nNIA,G982,nCUENTA,1,nASIG,"Conjunto"),"")))</f>
        <v/>
      </c>
      <c r="K982" t="str">
        <f>IF(G982="","",IF(G982="[FÓRMULA MANUAL]","",IFERROR(SUMPRODUCT((nNIA=G982)*(nCUENTA=1)*(COUNTIF(CONFIG_ASIGNATURAS!$B$7:$B$27,nASIG)&gt;0)*(nNOTA))/SUMPRODUCT((nNIA=G982)*(nCUENTA=1)*(COUNTIF(CONFIG_ASIGNATURAS!$B$7:$B$27,nASIG)&gt;0)*1),"")))</f>
        <v/>
      </c>
      <c r="N982" t="str">
        <f>IF(M982="","",IF(M982="[FÓRMULA MANUAL]","",IFERROR(AVERAGEIFS(nNOTA,nNIA,M982,nCUENTA,1,nASIG,"Armonía"),"")))</f>
        <v/>
      </c>
      <c r="O982" t="str">
        <f>IF(M982="","",IF(M982="[FÓRMULA MANUAL]","",IFERROR(AVERAGEIFS(nNOTA,nNIA,M982,nCUENTA,1,nASIG,"Orquesta/Banda/Conjunto"),"")))</f>
        <v/>
      </c>
      <c r="P982" t="str">
        <f>IF(M982="","",IF(M982="[FÓRMULA MANUAL]","",IFERROR(AVERAGEIFS(nNOTA,nNIA,M982,nCUENTA,1,nASIG,"Música de Cámara"),"")))</f>
        <v/>
      </c>
      <c r="Q982" t="str">
        <f>IF(M982="","",IF(M982="[FÓRMULA MANUAL]","",IFERROR(SUMPRODUCT((nNIA=M982)*(nCUENTA=1)*(COUNTIF(CONFIG_ASIGNATURAS!$B$7:$B$27,nASIG)&gt;0)*(nNOTA))/SUMPRODUCT((nNIA=M982)*(nCUENTA=1)*(COUNTIF(CONFIG_ASIGNATURAS!$B$7:$B$27,nASIG)&gt;0)*1),"")))</f>
        <v/>
      </c>
      <c r="T982" t="str">
        <f>IF(S982="","",IF(S982="[FÓRMULA MANUAL]","",IFERROR(AVERAGEIFS(nNOTA,nNIA,S982,nCUENTA,1,nASIG,"Armonía"),"")))</f>
        <v/>
      </c>
      <c r="U982" t="str">
        <f>IF(S982="","",IF(S982="[FÓRMULA MANUAL]","",IFERROR(AVERAGEIFS(nNOTA,nNIA,S982,nCUENTA,1,nASIG,"Orquesta/Banda/Conjunto"),"")))</f>
        <v/>
      </c>
      <c r="V982" t="str">
        <f>IF(S982="","",IF(S982="[FÓRMULA MANUAL]","",IFERROR(AVERAGEIFS(nNOTA,nNIA,S982,nCUENTA,1,nASIG,"Música de Cámara"),"")))</f>
        <v/>
      </c>
      <c r="W982" t="str">
        <f>IF(S982="","",IF(S982="[FÓRMULA MANUAL]","",IFERROR(SUMPRODUCT((nNIA=S982)*(nCUENTA=1)*(COUNTIF(CONFIG_ASIGNATURAS!$B$7:$B$27,nASIG)&gt;0)*(nNOTA))/SUMPRODUCT((nNIA=S982)*(nCUENTA=1)*(COUNTIF(CONFIG_ASIGNATURAS!$B$7:$B$27,nASIG)&gt;0)*1),"")))</f>
        <v/>
      </c>
      <c r="Z982" t="str">
        <f>IF(Y982="","",IF(Y982="[FÓRMULA MANUAL]","",IFERROR(AVERAGEIFS(nNOTA,nNIA,Y982,nCUENTA,1,nASIG,"Análisis"),"")))</f>
        <v/>
      </c>
      <c r="AA982" t="str">
        <f>IF(Y982="","",IF(Y982="[FÓRMULA MANUAL]","",IFERROR(AVERAGEIFS(nNOTA,nNIA,Y982,nCUENTA,1,nASIG,"Orquesta/Banda/Conjunto"),"")))</f>
        <v/>
      </c>
      <c r="AB982" t="str">
        <f>IF(Y982="","",IF(Y982="[FÓRMULA MANUAL]","",IFERROR(AVERAGEIFS(nNOTA,nNIA,Y982,nCUENTA,1,nASIG,"Música de Cámara"),"")))</f>
        <v/>
      </c>
      <c r="AC982" t="str">
        <f>IF(Y982="","",IF(Y982="[FÓRMULA MANUAL]","",IFERROR(SUMPRODUCT((nNIA=Y982)*(nCUENTA=1)*(COUNTIF(CONFIG_ASIGNATURAS!$B$7:$B$27,nASIG)&gt;0)*(nNOTA))/SUMPRODUCT((nNIA=Y982)*(nCUENTA=1)*(COUNTIF(CONFIG_ASIGNATURAS!$B$7:$B$27,nASIG)&gt;0)*1),"")))</f>
        <v/>
      </c>
      <c r="AF982" t="str">
        <f>IF(AE982="","",IF(AE982="[FÓRMULA MANUAL]","",IFERROR(AVERAGEIFS(nNOTA,nNIA,AE982,nCUENTA,1,nASIG,"Análisis"),"")))</f>
        <v/>
      </c>
      <c r="AG982" t="str">
        <f>IF(AE982="","",IF(AE982="[FÓRMULA MANUAL]","",IFERROR(AVERAGEIFS(nNOTA,nNIA,AE982,nCUENTA,1,nASIG,"Orquesta/Banda/Conjunto"),"")))</f>
        <v/>
      </c>
      <c r="AH982" t="str">
        <f>IF(AE982="","",IF(AE982="[FÓRMULA MANUAL]","",IFERROR(AVERAGEIFS(nNOTA,nNIA,AE982,nCUENTA,1,nASIG,"Música de Cámara"),"")))</f>
        <v/>
      </c>
      <c r="AI982" t="str">
        <f>IF(AE982="","",IF(AE982="[FÓRMULA MANUAL]","",IFERROR(SUMPRODUCT((nNIA=AE982)*(nCUENTA=1)*(COUNTIF(CONFIG_ASIGNATURAS!$B$7:$B$27,nASIG)&gt;0)*(nNOTA))/SUMPRODUCT((nNIA=AE982)*(nCUENTA=1)*(COUNTIF(CONFIG_ASIGNATURAS!$B$7:$B$27,nASIG)&gt;0)*1),"")))</f>
        <v/>
      </c>
    </row>
    <row r="983" spans="2:35" x14ac:dyDescent="0.2">
      <c r="B983" t="str">
        <f>IF(A983="","",IF(A983="[FÓRMULA MANUAL]","",IFERROR(AVERAGEIFS(nNOTA,nNIA,A983,nCUENTA,1,nASIG,"Lenguaje Musical"),"")))</f>
        <v/>
      </c>
      <c r="C983" t="str">
        <f>IF(A983="","",IF(A983="[FÓRMULA MANUAL]","",IFERROR(AVERAGEIFS(nNOTA,nNIA,A983,nCUENTA,1,nASIG,"Orquesta/Banda/Conjunto"),"")))</f>
        <v/>
      </c>
      <c r="D983" t="str">
        <f>IF(A983="","",IF(A983="[FÓRMULA MANUAL]","",IFERROR(AVERAGEIFS(nNOTA,nNIA,A983,nCUENTA,1,nASIG,"Conjunto"),"")))</f>
        <v/>
      </c>
      <c r="E983" t="str">
        <f>IF(A983="","",IF(A983="[FÓRMULA MANUAL]","",IFERROR(SUMPRODUCT((nNIA=A983)*(nCUENTA=1)*(COUNTIF(CONFIG_ASIGNATURAS!$B$7:$B$27,nASIG)&gt;0)*(nNOTA))/SUMPRODUCT((nNIA=A983)*(nCUENTA=1)*(COUNTIF(CONFIG_ASIGNATURAS!$B$7:$B$27,nASIG)&gt;0)*1),"")))</f>
        <v/>
      </c>
      <c r="H983" t="str">
        <f>IF(G983="","",IF(G983="[FÓRMULA MANUAL]","",IFERROR(AVERAGEIFS(nNOTA,nNIA,G983,nCUENTA,1,nASIG,"Lenguaje Musical"),"")))</f>
        <v/>
      </c>
      <c r="I983" t="str">
        <f>IF(G983="","",IF(G983="[FÓRMULA MANUAL]","",IFERROR(AVERAGEIFS(nNOTA,nNIA,G983,nCUENTA,1,nASIG,"Orquesta/Banda/Conjunto"),"")))</f>
        <v/>
      </c>
      <c r="J983" t="str">
        <f>IF(G983="","",IF(G983="[FÓRMULA MANUAL]","",IFERROR(AVERAGEIFS(nNOTA,nNIA,G983,nCUENTA,1,nASIG,"Conjunto"),"")))</f>
        <v/>
      </c>
      <c r="K983" t="str">
        <f>IF(G983="","",IF(G983="[FÓRMULA MANUAL]","",IFERROR(SUMPRODUCT((nNIA=G983)*(nCUENTA=1)*(COUNTIF(CONFIG_ASIGNATURAS!$B$7:$B$27,nASIG)&gt;0)*(nNOTA))/SUMPRODUCT((nNIA=G983)*(nCUENTA=1)*(COUNTIF(CONFIG_ASIGNATURAS!$B$7:$B$27,nASIG)&gt;0)*1),"")))</f>
        <v/>
      </c>
      <c r="N983" t="str">
        <f>IF(M983="","",IF(M983="[FÓRMULA MANUAL]","",IFERROR(AVERAGEIFS(nNOTA,nNIA,M983,nCUENTA,1,nASIG,"Armonía"),"")))</f>
        <v/>
      </c>
      <c r="O983" t="str">
        <f>IF(M983="","",IF(M983="[FÓRMULA MANUAL]","",IFERROR(AVERAGEIFS(nNOTA,nNIA,M983,nCUENTA,1,nASIG,"Orquesta/Banda/Conjunto"),"")))</f>
        <v/>
      </c>
      <c r="P983" t="str">
        <f>IF(M983="","",IF(M983="[FÓRMULA MANUAL]","",IFERROR(AVERAGEIFS(nNOTA,nNIA,M983,nCUENTA,1,nASIG,"Música de Cámara"),"")))</f>
        <v/>
      </c>
      <c r="Q983" t="str">
        <f>IF(M983="","",IF(M983="[FÓRMULA MANUAL]","",IFERROR(SUMPRODUCT((nNIA=M983)*(nCUENTA=1)*(COUNTIF(CONFIG_ASIGNATURAS!$B$7:$B$27,nASIG)&gt;0)*(nNOTA))/SUMPRODUCT((nNIA=M983)*(nCUENTA=1)*(COUNTIF(CONFIG_ASIGNATURAS!$B$7:$B$27,nASIG)&gt;0)*1),"")))</f>
        <v/>
      </c>
      <c r="T983" t="str">
        <f>IF(S983="","",IF(S983="[FÓRMULA MANUAL]","",IFERROR(AVERAGEIFS(nNOTA,nNIA,S983,nCUENTA,1,nASIG,"Armonía"),"")))</f>
        <v/>
      </c>
      <c r="U983" t="str">
        <f>IF(S983="","",IF(S983="[FÓRMULA MANUAL]","",IFERROR(AVERAGEIFS(nNOTA,nNIA,S983,nCUENTA,1,nASIG,"Orquesta/Banda/Conjunto"),"")))</f>
        <v/>
      </c>
      <c r="V983" t="str">
        <f>IF(S983="","",IF(S983="[FÓRMULA MANUAL]","",IFERROR(AVERAGEIFS(nNOTA,nNIA,S983,nCUENTA,1,nASIG,"Música de Cámara"),"")))</f>
        <v/>
      </c>
      <c r="W983" t="str">
        <f>IF(S983="","",IF(S983="[FÓRMULA MANUAL]","",IFERROR(SUMPRODUCT((nNIA=S983)*(nCUENTA=1)*(COUNTIF(CONFIG_ASIGNATURAS!$B$7:$B$27,nASIG)&gt;0)*(nNOTA))/SUMPRODUCT((nNIA=S983)*(nCUENTA=1)*(COUNTIF(CONFIG_ASIGNATURAS!$B$7:$B$27,nASIG)&gt;0)*1),"")))</f>
        <v/>
      </c>
      <c r="Z983" t="str">
        <f>IF(Y983="","",IF(Y983="[FÓRMULA MANUAL]","",IFERROR(AVERAGEIFS(nNOTA,nNIA,Y983,nCUENTA,1,nASIG,"Análisis"),"")))</f>
        <v/>
      </c>
      <c r="AA983" t="str">
        <f>IF(Y983="","",IF(Y983="[FÓRMULA MANUAL]","",IFERROR(AVERAGEIFS(nNOTA,nNIA,Y983,nCUENTA,1,nASIG,"Orquesta/Banda/Conjunto"),"")))</f>
        <v/>
      </c>
      <c r="AB983" t="str">
        <f>IF(Y983="","",IF(Y983="[FÓRMULA MANUAL]","",IFERROR(AVERAGEIFS(nNOTA,nNIA,Y983,nCUENTA,1,nASIG,"Música de Cámara"),"")))</f>
        <v/>
      </c>
      <c r="AC983" t="str">
        <f>IF(Y983="","",IF(Y983="[FÓRMULA MANUAL]","",IFERROR(SUMPRODUCT((nNIA=Y983)*(nCUENTA=1)*(COUNTIF(CONFIG_ASIGNATURAS!$B$7:$B$27,nASIG)&gt;0)*(nNOTA))/SUMPRODUCT((nNIA=Y983)*(nCUENTA=1)*(COUNTIF(CONFIG_ASIGNATURAS!$B$7:$B$27,nASIG)&gt;0)*1),"")))</f>
        <v/>
      </c>
      <c r="AF983" t="str">
        <f>IF(AE983="","",IF(AE983="[FÓRMULA MANUAL]","",IFERROR(AVERAGEIFS(nNOTA,nNIA,AE983,nCUENTA,1,nASIG,"Análisis"),"")))</f>
        <v/>
      </c>
      <c r="AG983" t="str">
        <f>IF(AE983="","",IF(AE983="[FÓRMULA MANUAL]","",IFERROR(AVERAGEIFS(nNOTA,nNIA,AE983,nCUENTA,1,nASIG,"Orquesta/Banda/Conjunto"),"")))</f>
        <v/>
      </c>
      <c r="AH983" t="str">
        <f>IF(AE983="","",IF(AE983="[FÓRMULA MANUAL]","",IFERROR(AVERAGEIFS(nNOTA,nNIA,AE983,nCUENTA,1,nASIG,"Música de Cámara"),"")))</f>
        <v/>
      </c>
      <c r="AI983" t="str">
        <f>IF(AE983="","",IF(AE983="[FÓRMULA MANUAL]","",IFERROR(SUMPRODUCT((nNIA=AE983)*(nCUENTA=1)*(COUNTIF(CONFIG_ASIGNATURAS!$B$7:$B$27,nASIG)&gt;0)*(nNOTA))/SUMPRODUCT((nNIA=AE983)*(nCUENTA=1)*(COUNTIF(CONFIG_ASIGNATURAS!$B$7:$B$27,nASIG)&gt;0)*1),"")))</f>
        <v/>
      </c>
    </row>
    <row r="984" spans="2:35" x14ac:dyDescent="0.2">
      <c r="B984" t="str">
        <f>IF(A984="","",IF(A984="[FÓRMULA MANUAL]","",IFERROR(AVERAGEIFS(nNOTA,nNIA,A984,nCUENTA,1,nASIG,"Lenguaje Musical"),"")))</f>
        <v/>
      </c>
      <c r="C984" t="str">
        <f>IF(A984="","",IF(A984="[FÓRMULA MANUAL]","",IFERROR(AVERAGEIFS(nNOTA,nNIA,A984,nCUENTA,1,nASIG,"Orquesta/Banda/Conjunto"),"")))</f>
        <v/>
      </c>
      <c r="D984" t="str">
        <f>IF(A984="","",IF(A984="[FÓRMULA MANUAL]","",IFERROR(AVERAGEIFS(nNOTA,nNIA,A984,nCUENTA,1,nASIG,"Conjunto"),"")))</f>
        <v/>
      </c>
      <c r="E984" t="str">
        <f>IF(A984="","",IF(A984="[FÓRMULA MANUAL]","",IFERROR(SUMPRODUCT((nNIA=A984)*(nCUENTA=1)*(COUNTIF(CONFIG_ASIGNATURAS!$B$7:$B$27,nASIG)&gt;0)*(nNOTA))/SUMPRODUCT((nNIA=A984)*(nCUENTA=1)*(COUNTIF(CONFIG_ASIGNATURAS!$B$7:$B$27,nASIG)&gt;0)*1),"")))</f>
        <v/>
      </c>
      <c r="H984" t="str">
        <f>IF(G984="","",IF(G984="[FÓRMULA MANUAL]","",IFERROR(AVERAGEIFS(nNOTA,nNIA,G984,nCUENTA,1,nASIG,"Lenguaje Musical"),"")))</f>
        <v/>
      </c>
      <c r="I984" t="str">
        <f>IF(G984="","",IF(G984="[FÓRMULA MANUAL]","",IFERROR(AVERAGEIFS(nNOTA,nNIA,G984,nCUENTA,1,nASIG,"Orquesta/Banda/Conjunto"),"")))</f>
        <v/>
      </c>
      <c r="J984" t="str">
        <f>IF(G984="","",IF(G984="[FÓRMULA MANUAL]","",IFERROR(AVERAGEIFS(nNOTA,nNIA,G984,nCUENTA,1,nASIG,"Conjunto"),"")))</f>
        <v/>
      </c>
      <c r="K984" t="str">
        <f>IF(G984="","",IF(G984="[FÓRMULA MANUAL]","",IFERROR(SUMPRODUCT((nNIA=G984)*(nCUENTA=1)*(COUNTIF(CONFIG_ASIGNATURAS!$B$7:$B$27,nASIG)&gt;0)*(nNOTA))/SUMPRODUCT((nNIA=G984)*(nCUENTA=1)*(COUNTIF(CONFIG_ASIGNATURAS!$B$7:$B$27,nASIG)&gt;0)*1),"")))</f>
        <v/>
      </c>
      <c r="N984" t="str">
        <f>IF(M984="","",IF(M984="[FÓRMULA MANUAL]","",IFERROR(AVERAGEIFS(nNOTA,nNIA,M984,nCUENTA,1,nASIG,"Armonía"),"")))</f>
        <v/>
      </c>
      <c r="O984" t="str">
        <f>IF(M984="","",IF(M984="[FÓRMULA MANUAL]","",IFERROR(AVERAGEIFS(nNOTA,nNIA,M984,nCUENTA,1,nASIG,"Orquesta/Banda/Conjunto"),"")))</f>
        <v/>
      </c>
      <c r="P984" t="str">
        <f>IF(M984="","",IF(M984="[FÓRMULA MANUAL]","",IFERROR(AVERAGEIFS(nNOTA,nNIA,M984,nCUENTA,1,nASIG,"Música de Cámara"),"")))</f>
        <v/>
      </c>
      <c r="Q984" t="str">
        <f>IF(M984="","",IF(M984="[FÓRMULA MANUAL]","",IFERROR(SUMPRODUCT((nNIA=M984)*(nCUENTA=1)*(COUNTIF(CONFIG_ASIGNATURAS!$B$7:$B$27,nASIG)&gt;0)*(nNOTA))/SUMPRODUCT((nNIA=M984)*(nCUENTA=1)*(COUNTIF(CONFIG_ASIGNATURAS!$B$7:$B$27,nASIG)&gt;0)*1),"")))</f>
        <v/>
      </c>
      <c r="T984" t="str">
        <f>IF(S984="","",IF(S984="[FÓRMULA MANUAL]","",IFERROR(AVERAGEIFS(nNOTA,nNIA,S984,nCUENTA,1,nASIG,"Armonía"),"")))</f>
        <v/>
      </c>
      <c r="U984" t="str">
        <f>IF(S984="","",IF(S984="[FÓRMULA MANUAL]","",IFERROR(AVERAGEIFS(nNOTA,nNIA,S984,nCUENTA,1,nASIG,"Orquesta/Banda/Conjunto"),"")))</f>
        <v/>
      </c>
      <c r="V984" t="str">
        <f>IF(S984="","",IF(S984="[FÓRMULA MANUAL]","",IFERROR(AVERAGEIFS(nNOTA,nNIA,S984,nCUENTA,1,nASIG,"Música de Cámara"),"")))</f>
        <v/>
      </c>
      <c r="W984" t="str">
        <f>IF(S984="","",IF(S984="[FÓRMULA MANUAL]","",IFERROR(SUMPRODUCT((nNIA=S984)*(nCUENTA=1)*(COUNTIF(CONFIG_ASIGNATURAS!$B$7:$B$27,nASIG)&gt;0)*(nNOTA))/SUMPRODUCT((nNIA=S984)*(nCUENTA=1)*(COUNTIF(CONFIG_ASIGNATURAS!$B$7:$B$27,nASIG)&gt;0)*1),"")))</f>
        <v/>
      </c>
      <c r="Z984" t="str">
        <f>IF(Y984="","",IF(Y984="[FÓRMULA MANUAL]","",IFERROR(AVERAGEIFS(nNOTA,nNIA,Y984,nCUENTA,1,nASIG,"Análisis"),"")))</f>
        <v/>
      </c>
      <c r="AA984" t="str">
        <f>IF(Y984="","",IF(Y984="[FÓRMULA MANUAL]","",IFERROR(AVERAGEIFS(nNOTA,nNIA,Y984,nCUENTA,1,nASIG,"Orquesta/Banda/Conjunto"),"")))</f>
        <v/>
      </c>
      <c r="AB984" t="str">
        <f>IF(Y984="","",IF(Y984="[FÓRMULA MANUAL]","",IFERROR(AVERAGEIFS(nNOTA,nNIA,Y984,nCUENTA,1,nASIG,"Música de Cámara"),"")))</f>
        <v/>
      </c>
      <c r="AC984" t="str">
        <f>IF(Y984="","",IF(Y984="[FÓRMULA MANUAL]","",IFERROR(SUMPRODUCT((nNIA=Y984)*(nCUENTA=1)*(COUNTIF(CONFIG_ASIGNATURAS!$B$7:$B$27,nASIG)&gt;0)*(nNOTA))/SUMPRODUCT((nNIA=Y984)*(nCUENTA=1)*(COUNTIF(CONFIG_ASIGNATURAS!$B$7:$B$27,nASIG)&gt;0)*1),"")))</f>
        <v/>
      </c>
      <c r="AF984" t="str">
        <f>IF(AE984="","",IF(AE984="[FÓRMULA MANUAL]","",IFERROR(AVERAGEIFS(nNOTA,nNIA,AE984,nCUENTA,1,nASIG,"Análisis"),"")))</f>
        <v/>
      </c>
      <c r="AG984" t="str">
        <f>IF(AE984="","",IF(AE984="[FÓRMULA MANUAL]","",IFERROR(AVERAGEIFS(nNOTA,nNIA,AE984,nCUENTA,1,nASIG,"Orquesta/Banda/Conjunto"),"")))</f>
        <v/>
      </c>
      <c r="AH984" t="str">
        <f>IF(AE984="","",IF(AE984="[FÓRMULA MANUAL]","",IFERROR(AVERAGEIFS(nNOTA,nNIA,AE984,nCUENTA,1,nASIG,"Música de Cámara"),"")))</f>
        <v/>
      </c>
      <c r="AI984" t="str">
        <f>IF(AE984="","",IF(AE984="[FÓRMULA MANUAL]","",IFERROR(SUMPRODUCT((nNIA=AE984)*(nCUENTA=1)*(COUNTIF(CONFIG_ASIGNATURAS!$B$7:$B$27,nASIG)&gt;0)*(nNOTA))/SUMPRODUCT((nNIA=AE984)*(nCUENTA=1)*(COUNTIF(CONFIG_ASIGNATURAS!$B$7:$B$27,nASIG)&gt;0)*1),"")))</f>
        <v/>
      </c>
    </row>
    <row r="985" spans="2:35" x14ac:dyDescent="0.2">
      <c r="B985" t="str">
        <f>IF(A985="","",IF(A985="[FÓRMULA MANUAL]","",IFERROR(AVERAGEIFS(nNOTA,nNIA,A985,nCUENTA,1,nASIG,"Lenguaje Musical"),"")))</f>
        <v/>
      </c>
      <c r="C985" t="str">
        <f>IF(A985="","",IF(A985="[FÓRMULA MANUAL]","",IFERROR(AVERAGEIFS(nNOTA,nNIA,A985,nCUENTA,1,nASIG,"Orquesta/Banda/Conjunto"),"")))</f>
        <v/>
      </c>
      <c r="D985" t="str">
        <f>IF(A985="","",IF(A985="[FÓRMULA MANUAL]","",IFERROR(AVERAGEIFS(nNOTA,nNIA,A985,nCUENTA,1,nASIG,"Conjunto"),"")))</f>
        <v/>
      </c>
      <c r="E985" t="str">
        <f>IF(A985="","",IF(A985="[FÓRMULA MANUAL]","",IFERROR(SUMPRODUCT((nNIA=A985)*(nCUENTA=1)*(COUNTIF(CONFIG_ASIGNATURAS!$B$7:$B$27,nASIG)&gt;0)*(nNOTA))/SUMPRODUCT((nNIA=A985)*(nCUENTA=1)*(COUNTIF(CONFIG_ASIGNATURAS!$B$7:$B$27,nASIG)&gt;0)*1),"")))</f>
        <v/>
      </c>
      <c r="H985" t="str">
        <f>IF(G985="","",IF(G985="[FÓRMULA MANUAL]","",IFERROR(AVERAGEIFS(nNOTA,nNIA,G985,nCUENTA,1,nASIG,"Lenguaje Musical"),"")))</f>
        <v/>
      </c>
      <c r="I985" t="str">
        <f>IF(G985="","",IF(G985="[FÓRMULA MANUAL]","",IFERROR(AVERAGEIFS(nNOTA,nNIA,G985,nCUENTA,1,nASIG,"Orquesta/Banda/Conjunto"),"")))</f>
        <v/>
      </c>
      <c r="J985" t="str">
        <f>IF(G985="","",IF(G985="[FÓRMULA MANUAL]","",IFERROR(AVERAGEIFS(nNOTA,nNIA,G985,nCUENTA,1,nASIG,"Conjunto"),"")))</f>
        <v/>
      </c>
      <c r="K985" t="str">
        <f>IF(G985="","",IF(G985="[FÓRMULA MANUAL]","",IFERROR(SUMPRODUCT((nNIA=G985)*(nCUENTA=1)*(COUNTIF(CONFIG_ASIGNATURAS!$B$7:$B$27,nASIG)&gt;0)*(nNOTA))/SUMPRODUCT((nNIA=G985)*(nCUENTA=1)*(COUNTIF(CONFIG_ASIGNATURAS!$B$7:$B$27,nASIG)&gt;0)*1),"")))</f>
        <v/>
      </c>
      <c r="N985" t="str">
        <f>IF(M985="","",IF(M985="[FÓRMULA MANUAL]","",IFERROR(AVERAGEIFS(nNOTA,nNIA,M985,nCUENTA,1,nASIG,"Armonía"),"")))</f>
        <v/>
      </c>
      <c r="O985" t="str">
        <f>IF(M985="","",IF(M985="[FÓRMULA MANUAL]","",IFERROR(AVERAGEIFS(nNOTA,nNIA,M985,nCUENTA,1,nASIG,"Orquesta/Banda/Conjunto"),"")))</f>
        <v/>
      </c>
      <c r="P985" t="str">
        <f>IF(M985="","",IF(M985="[FÓRMULA MANUAL]","",IFERROR(AVERAGEIFS(nNOTA,nNIA,M985,nCUENTA,1,nASIG,"Música de Cámara"),"")))</f>
        <v/>
      </c>
      <c r="Q985" t="str">
        <f>IF(M985="","",IF(M985="[FÓRMULA MANUAL]","",IFERROR(SUMPRODUCT((nNIA=M985)*(nCUENTA=1)*(COUNTIF(CONFIG_ASIGNATURAS!$B$7:$B$27,nASIG)&gt;0)*(nNOTA))/SUMPRODUCT((nNIA=M985)*(nCUENTA=1)*(COUNTIF(CONFIG_ASIGNATURAS!$B$7:$B$27,nASIG)&gt;0)*1),"")))</f>
        <v/>
      </c>
      <c r="T985" t="str">
        <f>IF(S985="","",IF(S985="[FÓRMULA MANUAL]","",IFERROR(AVERAGEIFS(nNOTA,nNIA,S985,nCUENTA,1,nASIG,"Armonía"),"")))</f>
        <v/>
      </c>
      <c r="U985" t="str">
        <f>IF(S985="","",IF(S985="[FÓRMULA MANUAL]","",IFERROR(AVERAGEIFS(nNOTA,nNIA,S985,nCUENTA,1,nASIG,"Orquesta/Banda/Conjunto"),"")))</f>
        <v/>
      </c>
      <c r="V985" t="str">
        <f>IF(S985="","",IF(S985="[FÓRMULA MANUAL]","",IFERROR(AVERAGEIFS(nNOTA,nNIA,S985,nCUENTA,1,nASIG,"Música de Cámara"),"")))</f>
        <v/>
      </c>
      <c r="W985" t="str">
        <f>IF(S985="","",IF(S985="[FÓRMULA MANUAL]","",IFERROR(SUMPRODUCT((nNIA=S985)*(nCUENTA=1)*(COUNTIF(CONFIG_ASIGNATURAS!$B$7:$B$27,nASIG)&gt;0)*(nNOTA))/SUMPRODUCT((nNIA=S985)*(nCUENTA=1)*(COUNTIF(CONFIG_ASIGNATURAS!$B$7:$B$27,nASIG)&gt;0)*1),"")))</f>
        <v/>
      </c>
      <c r="Z985" t="str">
        <f>IF(Y985="","",IF(Y985="[FÓRMULA MANUAL]","",IFERROR(AVERAGEIFS(nNOTA,nNIA,Y985,nCUENTA,1,nASIG,"Análisis"),"")))</f>
        <v/>
      </c>
      <c r="AA985" t="str">
        <f>IF(Y985="","",IF(Y985="[FÓRMULA MANUAL]","",IFERROR(AVERAGEIFS(nNOTA,nNIA,Y985,nCUENTA,1,nASIG,"Orquesta/Banda/Conjunto"),"")))</f>
        <v/>
      </c>
      <c r="AB985" t="str">
        <f>IF(Y985="","",IF(Y985="[FÓRMULA MANUAL]","",IFERROR(AVERAGEIFS(nNOTA,nNIA,Y985,nCUENTA,1,nASIG,"Música de Cámara"),"")))</f>
        <v/>
      </c>
      <c r="AC985" t="str">
        <f>IF(Y985="","",IF(Y985="[FÓRMULA MANUAL]","",IFERROR(SUMPRODUCT((nNIA=Y985)*(nCUENTA=1)*(COUNTIF(CONFIG_ASIGNATURAS!$B$7:$B$27,nASIG)&gt;0)*(nNOTA))/SUMPRODUCT((nNIA=Y985)*(nCUENTA=1)*(COUNTIF(CONFIG_ASIGNATURAS!$B$7:$B$27,nASIG)&gt;0)*1),"")))</f>
        <v/>
      </c>
      <c r="AF985" t="str">
        <f>IF(AE985="","",IF(AE985="[FÓRMULA MANUAL]","",IFERROR(AVERAGEIFS(nNOTA,nNIA,AE985,nCUENTA,1,nASIG,"Análisis"),"")))</f>
        <v/>
      </c>
      <c r="AG985" t="str">
        <f>IF(AE985="","",IF(AE985="[FÓRMULA MANUAL]","",IFERROR(AVERAGEIFS(nNOTA,nNIA,AE985,nCUENTA,1,nASIG,"Orquesta/Banda/Conjunto"),"")))</f>
        <v/>
      </c>
      <c r="AH985" t="str">
        <f>IF(AE985="","",IF(AE985="[FÓRMULA MANUAL]","",IFERROR(AVERAGEIFS(nNOTA,nNIA,AE985,nCUENTA,1,nASIG,"Música de Cámara"),"")))</f>
        <v/>
      </c>
      <c r="AI985" t="str">
        <f>IF(AE985="","",IF(AE985="[FÓRMULA MANUAL]","",IFERROR(SUMPRODUCT((nNIA=AE985)*(nCUENTA=1)*(COUNTIF(CONFIG_ASIGNATURAS!$B$7:$B$27,nASIG)&gt;0)*(nNOTA))/SUMPRODUCT((nNIA=AE985)*(nCUENTA=1)*(COUNTIF(CONFIG_ASIGNATURAS!$B$7:$B$27,nASIG)&gt;0)*1),"")))</f>
        <v/>
      </c>
    </row>
    <row r="986" spans="2:35" x14ac:dyDescent="0.2">
      <c r="B986" t="str">
        <f>IF(A986="","",IF(A986="[FÓRMULA MANUAL]","",IFERROR(AVERAGEIFS(nNOTA,nNIA,A986,nCUENTA,1,nASIG,"Lenguaje Musical"),"")))</f>
        <v/>
      </c>
      <c r="C986" t="str">
        <f>IF(A986="","",IF(A986="[FÓRMULA MANUAL]","",IFERROR(AVERAGEIFS(nNOTA,nNIA,A986,nCUENTA,1,nASIG,"Orquesta/Banda/Conjunto"),"")))</f>
        <v/>
      </c>
      <c r="D986" t="str">
        <f>IF(A986="","",IF(A986="[FÓRMULA MANUAL]","",IFERROR(AVERAGEIFS(nNOTA,nNIA,A986,nCUENTA,1,nASIG,"Conjunto"),"")))</f>
        <v/>
      </c>
      <c r="E986" t="str">
        <f>IF(A986="","",IF(A986="[FÓRMULA MANUAL]","",IFERROR(SUMPRODUCT((nNIA=A986)*(nCUENTA=1)*(COUNTIF(CONFIG_ASIGNATURAS!$B$7:$B$27,nASIG)&gt;0)*(nNOTA))/SUMPRODUCT((nNIA=A986)*(nCUENTA=1)*(COUNTIF(CONFIG_ASIGNATURAS!$B$7:$B$27,nASIG)&gt;0)*1),"")))</f>
        <v/>
      </c>
      <c r="H986" t="str">
        <f>IF(G986="","",IF(G986="[FÓRMULA MANUAL]","",IFERROR(AVERAGEIFS(nNOTA,nNIA,G986,nCUENTA,1,nASIG,"Lenguaje Musical"),"")))</f>
        <v/>
      </c>
      <c r="I986" t="str">
        <f>IF(G986="","",IF(G986="[FÓRMULA MANUAL]","",IFERROR(AVERAGEIFS(nNOTA,nNIA,G986,nCUENTA,1,nASIG,"Orquesta/Banda/Conjunto"),"")))</f>
        <v/>
      </c>
      <c r="J986" t="str">
        <f>IF(G986="","",IF(G986="[FÓRMULA MANUAL]","",IFERROR(AVERAGEIFS(nNOTA,nNIA,G986,nCUENTA,1,nASIG,"Conjunto"),"")))</f>
        <v/>
      </c>
      <c r="K986" t="str">
        <f>IF(G986="","",IF(G986="[FÓRMULA MANUAL]","",IFERROR(SUMPRODUCT((nNIA=G986)*(nCUENTA=1)*(COUNTIF(CONFIG_ASIGNATURAS!$B$7:$B$27,nASIG)&gt;0)*(nNOTA))/SUMPRODUCT((nNIA=G986)*(nCUENTA=1)*(COUNTIF(CONFIG_ASIGNATURAS!$B$7:$B$27,nASIG)&gt;0)*1),"")))</f>
        <v/>
      </c>
      <c r="N986" t="str">
        <f>IF(M986="","",IF(M986="[FÓRMULA MANUAL]","",IFERROR(AVERAGEIFS(nNOTA,nNIA,M986,nCUENTA,1,nASIG,"Armonía"),"")))</f>
        <v/>
      </c>
      <c r="O986" t="str">
        <f>IF(M986="","",IF(M986="[FÓRMULA MANUAL]","",IFERROR(AVERAGEIFS(nNOTA,nNIA,M986,nCUENTA,1,nASIG,"Orquesta/Banda/Conjunto"),"")))</f>
        <v/>
      </c>
      <c r="P986" t="str">
        <f>IF(M986="","",IF(M986="[FÓRMULA MANUAL]","",IFERROR(AVERAGEIFS(nNOTA,nNIA,M986,nCUENTA,1,nASIG,"Música de Cámara"),"")))</f>
        <v/>
      </c>
      <c r="Q986" t="str">
        <f>IF(M986="","",IF(M986="[FÓRMULA MANUAL]","",IFERROR(SUMPRODUCT((nNIA=M986)*(nCUENTA=1)*(COUNTIF(CONFIG_ASIGNATURAS!$B$7:$B$27,nASIG)&gt;0)*(nNOTA))/SUMPRODUCT((nNIA=M986)*(nCUENTA=1)*(COUNTIF(CONFIG_ASIGNATURAS!$B$7:$B$27,nASIG)&gt;0)*1),"")))</f>
        <v/>
      </c>
      <c r="T986" t="str">
        <f>IF(S986="","",IF(S986="[FÓRMULA MANUAL]","",IFERROR(AVERAGEIFS(nNOTA,nNIA,S986,nCUENTA,1,nASIG,"Armonía"),"")))</f>
        <v/>
      </c>
      <c r="U986" t="str">
        <f>IF(S986="","",IF(S986="[FÓRMULA MANUAL]","",IFERROR(AVERAGEIFS(nNOTA,nNIA,S986,nCUENTA,1,nASIG,"Orquesta/Banda/Conjunto"),"")))</f>
        <v/>
      </c>
      <c r="V986" t="str">
        <f>IF(S986="","",IF(S986="[FÓRMULA MANUAL]","",IFERROR(AVERAGEIFS(nNOTA,nNIA,S986,nCUENTA,1,nASIG,"Música de Cámara"),"")))</f>
        <v/>
      </c>
      <c r="W986" t="str">
        <f>IF(S986="","",IF(S986="[FÓRMULA MANUAL]","",IFERROR(SUMPRODUCT((nNIA=S986)*(nCUENTA=1)*(COUNTIF(CONFIG_ASIGNATURAS!$B$7:$B$27,nASIG)&gt;0)*(nNOTA))/SUMPRODUCT((nNIA=S986)*(nCUENTA=1)*(COUNTIF(CONFIG_ASIGNATURAS!$B$7:$B$27,nASIG)&gt;0)*1),"")))</f>
        <v/>
      </c>
      <c r="Z986" t="str">
        <f>IF(Y986="","",IF(Y986="[FÓRMULA MANUAL]","",IFERROR(AVERAGEIFS(nNOTA,nNIA,Y986,nCUENTA,1,nASIG,"Análisis"),"")))</f>
        <v/>
      </c>
      <c r="AA986" t="str">
        <f>IF(Y986="","",IF(Y986="[FÓRMULA MANUAL]","",IFERROR(AVERAGEIFS(nNOTA,nNIA,Y986,nCUENTA,1,nASIG,"Orquesta/Banda/Conjunto"),"")))</f>
        <v/>
      </c>
      <c r="AB986" t="str">
        <f>IF(Y986="","",IF(Y986="[FÓRMULA MANUAL]","",IFERROR(AVERAGEIFS(nNOTA,nNIA,Y986,nCUENTA,1,nASIG,"Música de Cámara"),"")))</f>
        <v/>
      </c>
      <c r="AC986" t="str">
        <f>IF(Y986="","",IF(Y986="[FÓRMULA MANUAL]","",IFERROR(SUMPRODUCT((nNIA=Y986)*(nCUENTA=1)*(COUNTIF(CONFIG_ASIGNATURAS!$B$7:$B$27,nASIG)&gt;0)*(nNOTA))/SUMPRODUCT((nNIA=Y986)*(nCUENTA=1)*(COUNTIF(CONFIG_ASIGNATURAS!$B$7:$B$27,nASIG)&gt;0)*1),"")))</f>
        <v/>
      </c>
      <c r="AF986" t="str">
        <f>IF(AE986="","",IF(AE986="[FÓRMULA MANUAL]","",IFERROR(AVERAGEIFS(nNOTA,nNIA,AE986,nCUENTA,1,nASIG,"Análisis"),"")))</f>
        <v/>
      </c>
      <c r="AG986" t="str">
        <f>IF(AE986="","",IF(AE986="[FÓRMULA MANUAL]","",IFERROR(AVERAGEIFS(nNOTA,nNIA,AE986,nCUENTA,1,nASIG,"Orquesta/Banda/Conjunto"),"")))</f>
        <v/>
      </c>
      <c r="AH986" t="str">
        <f>IF(AE986="","",IF(AE986="[FÓRMULA MANUAL]","",IFERROR(AVERAGEIFS(nNOTA,nNIA,AE986,nCUENTA,1,nASIG,"Música de Cámara"),"")))</f>
        <v/>
      </c>
      <c r="AI986" t="str">
        <f>IF(AE986="","",IF(AE986="[FÓRMULA MANUAL]","",IFERROR(SUMPRODUCT((nNIA=AE986)*(nCUENTA=1)*(COUNTIF(CONFIG_ASIGNATURAS!$B$7:$B$27,nASIG)&gt;0)*(nNOTA))/SUMPRODUCT((nNIA=AE986)*(nCUENTA=1)*(COUNTIF(CONFIG_ASIGNATURAS!$B$7:$B$27,nASIG)&gt;0)*1),"")))</f>
        <v/>
      </c>
    </row>
    <row r="987" spans="2:35" x14ac:dyDescent="0.2">
      <c r="B987" t="str">
        <f>IF(A987="","",IF(A987="[FÓRMULA MANUAL]","",IFERROR(AVERAGEIFS(nNOTA,nNIA,A987,nCUENTA,1,nASIG,"Lenguaje Musical"),"")))</f>
        <v/>
      </c>
      <c r="C987" t="str">
        <f>IF(A987="","",IF(A987="[FÓRMULA MANUAL]","",IFERROR(AVERAGEIFS(nNOTA,nNIA,A987,nCUENTA,1,nASIG,"Orquesta/Banda/Conjunto"),"")))</f>
        <v/>
      </c>
      <c r="D987" t="str">
        <f>IF(A987="","",IF(A987="[FÓRMULA MANUAL]","",IFERROR(AVERAGEIFS(nNOTA,nNIA,A987,nCUENTA,1,nASIG,"Conjunto"),"")))</f>
        <v/>
      </c>
      <c r="E987" t="str">
        <f>IF(A987="","",IF(A987="[FÓRMULA MANUAL]","",IFERROR(SUMPRODUCT((nNIA=A987)*(nCUENTA=1)*(COUNTIF(CONFIG_ASIGNATURAS!$B$7:$B$27,nASIG)&gt;0)*(nNOTA))/SUMPRODUCT((nNIA=A987)*(nCUENTA=1)*(COUNTIF(CONFIG_ASIGNATURAS!$B$7:$B$27,nASIG)&gt;0)*1),"")))</f>
        <v/>
      </c>
      <c r="H987" t="str">
        <f>IF(G987="","",IF(G987="[FÓRMULA MANUAL]","",IFERROR(AVERAGEIFS(nNOTA,nNIA,G987,nCUENTA,1,nASIG,"Lenguaje Musical"),"")))</f>
        <v/>
      </c>
      <c r="I987" t="str">
        <f>IF(G987="","",IF(G987="[FÓRMULA MANUAL]","",IFERROR(AVERAGEIFS(nNOTA,nNIA,G987,nCUENTA,1,nASIG,"Orquesta/Banda/Conjunto"),"")))</f>
        <v/>
      </c>
      <c r="J987" t="str">
        <f>IF(G987="","",IF(G987="[FÓRMULA MANUAL]","",IFERROR(AVERAGEIFS(nNOTA,nNIA,G987,nCUENTA,1,nASIG,"Conjunto"),"")))</f>
        <v/>
      </c>
      <c r="K987" t="str">
        <f>IF(G987="","",IF(G987="[FÓRMULA MANUAL]","",IFERROR(SUMPRODUCT((nNIA=G987)*(nCUENTA=1)*(COUNTIF(CONFIG_ASIGNATURAS!$B$7:$B$27,nASIG)&gt;0)*(nNOTA))/SUMPRODUCT((nNIA=G987)*(nCUENTA=1)*(COUNTIF(CONFIG_ASIGNATURAS!$B$7:$B$27,nASIG)&gt;0)*1),"")))</f>
        <v/>
      </c>
      <c r="N987" t="str">
        <f>IF(M987="","",IF(M987="[FÓRMULA MANUAL]","",IFERROR(AVERAGEIFS(nNOTA,nNIA,M987,nCUENTA,1,nASIG,"Armonía"),"")))</f>
        <v/>
      </c>
      <c r="O987" t="str">
        <f>IF(M987="","",IF(M987="[FÓRMULA MANUAL]","",IFERROR(AVERAGEIFS(nNOTA,nNIA,M987,nCUENTA,1,nASIG,"Orquesta/Banda/Conjunto"),"")))</f>
        <v/>
      </c>
      <c r="P987" t="str">
        <f>IF(M987="","",IF(M987="[FÓRMULA MANUAL]","",IFERROR(AVERAGEIFS(nNOTA,nNIA,M987,nCUENTA,1,nASIG,"Música de Cámara"),"")))</f>
        <v/>
      </c>
      <c r="Q987" t="str">
        <f>IF(M987="","",IF(M987="[FÓRMULA MANUAL]","",IFERROR(SUMPRODUCT((nNIA=M987)*(nCUENTA=1)*(COUNTIF(CONFIG_ASIGNATURAS!$B$7:$B$27,nASIG)&gt;0)*(nNOTA))/SUMPRODUCT((nNIA=M987)*(nCUENTA=1)*(COUNTIF(CONFIG_ASIGNATURAS!$B$7:$B$27,nASIG)&gt;0)*1),"")))</f>
        <v/>
      </c>
      <c r="T987" t="str">
        <f>IF(S987="","",IF(S987="[FÓRMULA MANUAL]","",IFERROR(AVERAGEIFS(nNOTA,nNIA,S987,nCUENTA,1,nASIG,"Armonía"),"")))</f>
        <v/>
      </c>
      <c r="U987" t="str">
        <f>IF(S987="","",IF(S987="[FÓRMULA MANUAL]","",IFERROR(AVERAGEIFS(nNOTA,nNIA,S987,nCUENTA,1,nASIG,"Orquesta/Banda/Conjunto"),"")))</f>
        <v/>
      </c>
      <c r="V987" t="str">
        <f>IF(S987="","",IF(S987="[FÓRMULA MANUAL]","",IFERROR(AVERAGEIFS(nNOTA,nNIA,S987,nCUENTA,1,nASIG,"Música de Cámara"),"")))</f>
        <v/>
      </c>
      <c r="W987" t="str">
        <f>IF(S987="","",IF(S987="[FÓRMULA MANUAL]","",IFERROR(SUMPRODUCT((nNIA=S987)*(nCUENTA=1)*(COUNTIF(CONFIG_ASIGNATURAS!$B$7:$B$27,nASIG)&gt;0)*(nNOTA))/SUMPRODUCT((nNIA=S987)*(nCUENTA=1)*(COUNTIF(CONFIG_ASIGNATURAS!$B$7:$B$27,nASIG)&gt;0)*1),"")))</f>
        <v/>
      </c>
      <c r="Z987" t="str">
        <f>IF(Y987="","",IF(Y987="[FÓRMULA MANUAL]","",IFERROR(AVERAGEIFS(nNOTA,nNIA,Y987,nCUENTA,1,nASIG,"Análisis"),"")))</f>
        <v/>
      </c>
      <c r="AA987" t="str">
        <f>IF(Y987="","",IF(Y987="[FÓRMULA MANUAL]","",IFERROR(AVERAGEIFS(nNOTA,nNIA,Y987,nCUENTA,1,nASIG,"Orquesta/Banda/Conjunto"),"")))</f>
        <v/>
      </c>
      <c r="AB987" t="str">
        <f>IF(Y987="","",IF(Y987="[FÓRMULA MANUAL]","",IFERROR(AVERAGEIFS(nNOTA,nNIA,Y987,nCUENTA,1,nASIG,"Música de Cámara"),"")))</f>
        <v/>
      </c>
      <c r="AC987" t="str">
        <f>IF(Y987="","",IF(Y987="[FÓRMULA MANUAL]","",IFERROR(SUMPRODUCT((nNIA=Y987)*(nCUENTA=1)*(COUNTIF(CONFIG_ASIGNATURAS!$B$7:$B$27,nASIG)&gt;0)*(nNOTA))/SUMPRODUCT((nNIA=Y987)*(nCUENTA=1)*(COUNTIF(CONFIG_ASIGNATURAS!$B$7:$B$27,nASIG)&gt;0)*1),"")))</f>
        <v/>
      </c>
      <c r="AF987" t="str">
        <f>IF(AE987="","",IF(AE987="[FÓRMULA MANUAL]","",IFERROR(AVERAGEIFS(nNOTA,nNIA,AE987,nCUENTA,1,nASIG,"Análisis"),"")))</f>
        <v/>
      </c>
      <c r="AG987" t="str">
        <f>IF(AE987="","",IF(AE987="[FÓRMULA MANUAL]","",IFERROR(AVERAGEIFS(nNOTA,nNIA,AE987,nCUENTA,1,nASIG,"Orquesta/Banda/Conjunto"),"")))</f>
        <v/>
      </c>
      <c r="AH987" t="str">
        <f>IF(AE987="","",IF(AE987="[FÓRMULA MANUAL]","",IFERROR(AVERAGEIFS(nNOTA,nNIA,AE987,nCUENTA,1,nASIG,"Música de Cámara"),"")))</f>
        <v/>
      </c>
      <c r="AI987" t="str">
        <f>IF(AE987="","",IF(AE987="[FÓRMULA MANUAL]","",IFERROR(SUMPRODUCT((nNIA=AE987)*(nCUENTA=1)*(COUNTIF(CONFIG_ASIGNATURAS!$B$7:$B$27,nASIG)&gt;0)*(nNOTA))/SUMPRODUCT((nNIA=AE987)*(nCUENTA=1)*(COUNTIF(CONFIG_ASIGNATURAS!$B$7:$B$27,nASIG)&gt;0)*1),"")))</f>
        <v/>
      </c>
    </row>
    <row r="988" spans="2:35" x14ac:dyDescent="0.2">
      <c r="B988" t="str">
        <f>IF(A988="","",IF(A988="[FÓRMULA MANUAL]","",IFERROR(AVERAGEIFS(nNOTA,nNIA,A988,nCUENTA,1,nASIG,"Lenguaje Musical"),"")))</f>
        <v/>
      </c>
      <c r="C988" t="str">
        <f>IF(A988="","",IF(A988="[FÓRMULA MANUAL]","",IFERROR(AVERAGEIFS(nNOTA,nNIA,A988,nCUENTA,1,nASIG,"Orquesta/Banda/Conjunto"),"")))</f>
        <v/>
      </c>
      <c r="D988" t="str">
        <f>IF(A988="","",IF(A988="[FÓRMULA MANUAL]","",IFERROR(AVERAGEIFS(nNOTA,nNIA,A988,nCUENTA,1,nASIG,"Conjunto"),"")))</f>
        <v/>
      </c>
      <c r="E988" t="str">
        <f>IF(A988="","",IF(A988="[FÓRMULA MANUAL]","",IFERROR(SUMPRODUCT((nNIA=A988)*(nCUENTA=1)*(COUNTIF(CONFIG_ASIGNATURAS!$B$7:$B$27,nASIG)&gt;0)*(nNOTA))/SUMPRODUCT((nNIA=A988)*(nCUENTA=1)*(COUNTIF(CONFIG_ASIGNATURAS!$B$7:$B$27,nASIG)&gt;0)*1),"")))</f>
        <v/>
      </c>
      <c r="H988" t="str">
        <f>IF(G988="","",IF(G988="[FÓRMULA MANUAL]","",IFERROR(AVERAGEIFS(nNOTA,nNIA,G988,nCUENTA,1,nASIG,"Lenguaje Musical"),"")))</f>
        <v/>
      </c>
      <c r="I988" t="str">
        <f>IF(G988="","",IF(G988="[FÓRMULA MANUAL]","",IFERROR(AVERAGEIFS(nNOTA,nNIA,G988,nCUENTA,1,nASIG,"Orquesta/Banda/Conjunto"),"")))</f>
        <v/>
      </c>
      <c r="J988" t="str">
        <f>IF(G988="","",IF(G988="[FÓRMULA MANUAL]","",IFERROR(AVERAGEIFS(nNOTA,nNIA,G988,nCUENTA,1,nASIG,"Conjunto"),"")))</f>
        <v/>
      </c>
      <c r="K988" t="str">
        <f>IF(G988="","",IF(G988="[FÓRMULA MANUAL]","",IFERROR(SUMPRODUCT((nNIA=G988)*(nCUENTA=1)*(COUNTIF(CONFIG_ASIGNATURAS!$B$7:$B$27,nASIG)&gt;0)*(nNOTA))/SUMPRODUCT((nNIA=G988)*(nCUENTA=1)*(COUNTIF(CONFIG_ASIGNATURAS!$B$7:$B$27,nASIG)&gt;0)*1),"")))</f>
        <v/>
      </c>
      <c r="N988" t="str">
        <f>IF(M988="","",IF(M988="[FÓRMULA MANUAL]","",IFERROR(AVERAGEIFS(nNOTA,nNIA,M988,nCUENTA,1,nASIG,"Armonía"),"")))</f>
        <v/>
      </c>
      <c r="O988" t="str">
        <f>IF(M988="","",IF(M988="[FÓRMULA MANUAL]","",IFERROR(AVERAGEIFS(nNOTA,nNIA,M988,nCUENTA,1,nASIG,"Orquesta/Banda/Conjunto"),"")))</f>
        <v/>
      </c>
      <c r="P988" t="str">
        <f>IF(M988="","",IF(M988="[FÓRMULA MANUAL]","",IFERROR(AVERAGEIFS(nNOTA,nNIA,M988,nCUENTA,1,nASIG,"Música de Cámara"),"")))</f>
        <v/>
      </c>
      <c r="Q988" t="str">
        <f>IF(M988="","",IF(M988="[FÓRMULA MANUAL]","",IFERROR(SUMPRODUCT((nNIA=M988)*(nCUENTA=1)*(COUNTIF(CONFIG_ASIGNATURAS!$B$7:$B$27,nASIG)&gt;0)*(nNOTA))/SUMPRODUCT((nNIA=M988)*(nCUENTA=1)*(COUNTIF(CONFIG_ASIGNATURAS!$B$7:$B$27,nASIG)&gt;0)*1),"")))</f>
        <v/>
      </c>
      <c r="T988" t="str">
        <f>IF(S988="","",IF(S988="[FÓRMULA MANUAL]","",IFERROR(AVERAGEIFS(nNOTA,nNIA,S988,nCUENTA,1,nASIG,"Armonía"),"")))</f>
        <v/>
      </c>
      <c r="U988" t="str">
        <f>IF(S988="","",IF(S988="[FÓRMULA MANUAL]","",IFERROR(AVERAGEIFS(nNOTA,nNIA,S988,nCUENTA,1,nASIG,"Orquesta/Banda/Conjunto"),"")))</f>
        <v/>
      </c>
      <c r="V988" t="str">
        <f>IF(S988="","",IF(S988="[FÓRMULA MANUAL]","",IFERROR(AVERAGEIFS(nNOTA,nNIA,S988,nCUENTA,1,nASIG,"Música de Cámara"),"")))</f>
        <v/>
      </c>
      <c r="W988" t="str">
        <f>IF(S988="","",IF(S988="[FÓRMULA MANUAL]","",IFERROR(SUMPRODUCT((nNIA=S988)*(nCUENTA=1)*(COUNTIF(CONFIG_ASIGNATURAS!$B$7:$B$27,nASIG)&gt;0)*(nNOTA))/SUMPRODUCT((nNIA=S988)*(nCUENTA=1)*(COUNTIF(CONFIG_ASIGNATURAS!$B$7:$B$27,nASIG)&gt;0)*1),"")))</f>
        <v/>
      </c>
      <c r="Z988" t="str">
        <f>IF(Y988="","",IF(Y988="[FÓRMULA MANUAL]","",IFERROR(AVERAGEIFS(nNOTA,nNIA,Y988,nCUENTA,1,nASIG,"Análisis"),"")))</f>
        <v/>
      </c>
      <c r="AA988" t="str">
        <f>IF(Y988="","",IF(Y988="[FÓRMULA MANUAL]","",IFERROR(AVERAGEIFS(nNOTA,nNIA,Y988,nCUENTA,1,nASIG,"Orquesta/Banda/Conjunto"),"")))</f>
        <v/>
      </c>
      <c r="AB988" t="str">
        <f>IF(Y988="","",IF(Y988="[FÓRMULA MANUAL]","",IFERROR(AVERAGEIFS(nNOTA,nNIA,Y988,nCUENTA,1,nASIG,"Música de Cámara"),"")))</f>
        <v/>
      </c>
      <c r="AC988" t="str">
        <f>IF(Y988="","",IF(Y988="[FÓRMULA MANUAL]","",IFERROR(SUMPRODUCT((nNIA=Y988)*(nCUENTA=1)*(COUNTIF(CONFIG_ASIGNATURAS!$B$7:$B$27,nASIG)&gt;0)*(nNOTA))/SUMPRODUCT((nNIA=Y988)*(nCUENTA=1)*(COUNTIF(CONFIG_ASIGNATURAS!$B$7:$B$27,nASIG)&gt;0)*1),"")))</f>
        <v/>
      </c>
      <c r="AF988" t="str">
        <f>IF(AE988="","",IF(AE988="[FÓRMULA MANUAL]","",IFERROR(AVERAGEIFS(nNOTA,nNIA,AE988,nCUENTA,1,nASIG,"Análisis"),"")))</f>
        <v/>
      </c>
      <c r="AG988" t="str">
        <f>IF(AE988="","",IF(AE988="[FÓRMULA MANUAL]","",IFERROR(AVERAGEIFS(nNOTA,nNIA,AE988,nCUENTA,1,nASIG,"Orquesta/Banda/Conjunto"),"")))</f>
        <v/>
      </c>
      <c r="AH988" t="str">
        <f>IF(AE988="","",IF(AE988="[FÓRMULA MANUAL]","",IFERROR(AVERAGEIFS(nNOTA,nNIA,AE988,nCUENTA,1,nASIG,"Música de Cámara"),"")))</f>
        <v/>
      </c>
      <c r="AI988" t="str">
        <f>IF(AE988="","",IF(AE988="[FÓRMULA MANUAL]","",IFERROR(SUMPRODUCT((nNIA=AE988)*(nCUENTA=1)*(COUNTIF(CONFIG_ASIGNATURAS!$B$7:$B$27,nASIG)&gt;0)*(nNOTA))/SUMPRODUCT((nNIA=AE988)*(nCUENTA=1)*(COUNTIF(CONFIG_ASIGNATURAS!$B$7:$B$27,nASIG)&gt;0)*1),"")))</f>
        <v/>
      </c>
    </row>
    <row r="989" spans="2:35" x14ac:dyDescent="0.2">
      <c r="B989" t="str">
        <f>IF(A989="","",IF(A989="[FÓRMULA MANUAL]","",IFERROR(AVERAGEIFS(nNOTA,nNIA,A989,nCUENTA,1,nASIG,"Lenguaje Musical"),"")))</f>
        <v/>
      </c>
      <c r="C989" t="str">
        <f>IF(A989="","",IF(A989="[FÓRMULA MANUAL]","",IFERROR(AVERAGEIFS(nNOTA,nNIA,A989,nCUENTA,1,nASIG,"Orquesta/Banda/Conjunto"),"")))</f>
        <v/>
      </c>
      <c r="D989" t="str">
        <f>IF(A989="","",IF(A989="[FÓRMULA MANUAL]","",IFERROR(AVERAGEIFS(nNOTA,nNIA,A989,nCUENTA,1,nASIG,"Conjunto"),"")))</f>
        <v/>
      </c>
      <c r="E989" t="str">
        <f>IF(A989="","",IF(A989="[FÓRMULA MANUAL]","",IFERROR(SUMPRODUCT((nNIA=A989)*(nCUENTA=1)*(COUNTIF(CONFIG_ASIGNATURAS!$B$7:$B$27,nASIG)&gt;0)*(nNOTA))/SUMPRODUCT((nNIA=A989)*(nCUENTA=1)*(COUNTIF(CONFIG_ASIGNATURAS!$B$7:$B$27,nASIG)&gt;0)*1),"")))</f>
        <v/>
      </c>
      <c r="H989" t="str">
        <f>IF(G989="","",IF(G989="[FÓRMULA MANUAL]","",IFERROR(AVERAGEIFS(nNOTA,nNIA,G989,nCUENTA,1,nASIG,"Lenguaje Musical"),"")))</f>
        <v/>
      </c>
      <c r="I989" t="str">
        <f>IF(G989="","",IF(G989="[FÓRMULA MANUAL]","",IFERROR(AVERAGEIFS(nNOTA,nNIA,G989,nCUENTA,1,nASIG,"Orquesta/Banda/Conjunto"),"")))</f>
        <v/>
      </c>
      <c r="J989" t="str">
        <f>IF(G989="","",IF(G989="[FÓRMULA MANUAL]","",IFERROR(AVERAGEIFS(nNOTA,nNIA,G989,nCUENTA,1,nASIG,"Conjunto"),"")))</f>
        <v/>
      </c>
      <c r="K989" t="str">
        <f>IF(G989="","",IF(G989="[FÓRMULA MANUAL]","",IFERROR(SUMPRODUCT((nNIA=G989)*(nCUENTA=1)*(COUNTIF(CONFIG_ASIGNATURAS!$B$7:$B$27,nASIG)&gt;0)*(nNOTA))/SUMPRODUCT((nNIA=G989)*(nCUENTA=1)*(COUNTIF(CONFIG_ASIGNATURAS!$B$7:$B$27,nASIG)&gt;0)*1),"")))</f>
        <v/>
      </c>
      <c r="N989" t="str">
        <f>IF(M989="","",IF(M989="[FÓRMULA MANUAL]","",IFERROR(AVERAGEIFS(nNOTA,nNIA,M989,nCUENTA,1,nASIG,"Armonía"),"")))</f>
        <v/>
      </c>
      <c r="O989" t="str">
        <f>IF(M989="","",IF(M989="[FÓRMULA MANUAL]","",IFERROR(AVERAGEIFS(nNOTA,nNIA,M989,nCUENTA,1,nASIG,"Orquesta/Banda/Conjunto"),"")))</f>
        <v/>
      </c>
      <c r="P989" t="str">
        <f>IF(M989="","",IF(M989="[FÓRMULA MANUAL]","",IFERROR(AVERAGEIFS(nNOTA,nNIA,M989,nCUENTA,1,nASIG,"Música de Cámara"),"")))</f>
        <v/>
      </c>
      <c r="Q989" t="str">
        <f>IF(M989="","",IF(M989="[FÓRMULA MANUAL]","",IFERROR(SUMPRODUCT((nNIA=M989)*(nCUENTA=1)*(COUNTIF(CONFIG_ASIGNATURAS!$B$7:$B$27,nASIG)&gt;0)*(nNOTA))/SUMPRODUCT((nNIA=M989)*(nCUENTA=1)*(COUNTIF(CONFIG_ASIGNATURAS!$B$7:$B$27,nASIG)&gt;0)*1),"")))</f>
        <v/>
      </c>
      <c r="T989" t="str">
        <f>IF(S989="","",IF(S989="[FÓRMULA MANUAL]","",IFERROR(AVERAGEIFS(nNOTA,nNIA,S989,nCUENTA,1,nASIG,"Armonía"),"")))</f>
        <v/>
      </c>
      <c r="U989" t="str">
        <f>IF(S989="","",IF(S989="[FÓRMULA MANUAL]","",IFERROR(AVERAGEIFS(nNOTA,nNIA,S989,nCUENTA,1,nASIG,"Orquesta/Banda/Conjunto"),"")))</f>
        <v/>
      </c>
      <c r="V989" t="str">
        <f>IF(S989="","",IF(S989="[FÓRMULA MANUAL]","",IFERROR(AVERAGEIFS(nNOTA,nNIA,S989,nCUENTA,1,nASIG,"Música de Cámara"),"")))</f>
        <v/>
      </c>
      <c r="W989" t="str">
        <f>IF(S989="","",IF(S989="[FÓRMULA MANUAL]","",IFERROR(SUMPRODUCT((nNIA=S989)*(nCUENTA=1)*(COUNTIF(CONFIG_ASIGNATURAS!$B$7:$B$27,nASIG)&gt;0)*(nNOTA))/SUMPRODUCT((nNIA=S989)*(nCUENTA=1)*(COUNTIF(CONFIG_ASIGNATURAS!$B$7:$B$27,nASIG)&gt;0)*1),"")))</f>
        <v/>
      </c>
      <c r="Z989" t="str">
        <f>IF(Y989="","",IF(Y989="[FÓRMULA MANUAL]","",IFERROR(AVERAGEIFS(nNOTA,nNIA,Y989,nCUENTA,1,nASIG,"Análisis"),"")))</f>
        <v/>
      </c>
      <c r="AA989" t="str">
        <f>IF(Y989="","",IF(Y989="[FÓRMULA MANUAL]","",IFERROR(AVERAGEIFS(nNOTA,nNIA,Y989,nCUENTA,1,nASIG,"Orquesta/Banda/Conjunto"),"")))</f>
        <v/>
      </c>
      <c r="AB989" t="str">
        <f>IF(Y989="","",IF(Y989="[FÓRMULA MANUAL]","",IFERROR(AVERAGEIFS(nNOTA,nNIA,Y989,nCUENTA,1,nASIG,"Música de Cámara"),"")))</f>
        <v/>
      </c>
      <c r="AC989" t="str">
        <f>IF(Y989="","",IF(Y989="[FÓRMULA MANUAL]","",IFERROR(SUMPRODUCT((nNIA=Y989)*(nCUENTA=1)*(COUNTIF(CONFIG_ASIGNATURAS!$B$7:$B$27,nASIG)&gt;0)*(nNOTA))/SUMPRODUCT((nNIA=Y989)*(nCUENTA=1)*(COUNTIF(CONFIG_ASIGNATURAS!$B$7:$B$27,nASIG)&gt;0)*1),"")))</f>
        <v/>
      </c>
      <c r="AF989" t="str">
        <f>IF(AE989="","",IF(AE989="[FÓRMULA MANUAL]","",IFERROR(AVERAGEIFS(nNOTA,nNIA,AE989,nCUENTA,1,nASIG,"Análisis"),"")))</f>
        <v/>
      </c>
      <c r="AG989" t="str">
        <f>IF(AE989="","",IF(AE989="[FÓRMULA MANUAL]","",IFERROR(AVERAGEIFS(nNOTA,nNIA,AE989,nCUENTA,1,nASIG,"Orquesta/Banda/Conjunto"),"")))</f>
        <v/>
      </c>
      <c r="AH989" t="str">
        <f>IF(AE989="","",IF(AE989="[FÓRMULA MANUAL]","",IFERROR(AVERAGEIFS(nNOTA,nNIA,AE989,nCUENTA,1,nASIG,"Música de Cámara"),"")))</f>
        <v/>
      </c>
      <c r="AI989" t="str">
        <f>IF(AE989="","",IF(AE989="[FÓRMULA MANUAL]","",IFERROR(SUMPRODUCT((nNIA=AE989)*(nCUENTA=1)*(COUNTIF(CONFIG_ASIGNATURAS!$B$7:$B$27,nASIG)&gt;0)*(nNOTA))/SUMPRODUCT((nNIA=AE989)*(nCUENTA=1)*(COUNTIF(CONFIG_ASIGNATURAS!$B$7:$B$27,nASIG)&gt;0)*1),"")))</f>
        <v/>
      </c>
    </row>
    <row r="990" spans="2:35" x14ac:dyDescent="0.2">
      <c r="B990" t="str">
        <f>IF(A990="","",IF(A990="[FÓRMULA MANUAL]","",IFERROR(AVERAGEIFS(nNOTA,nNIA,A990,nCUENTA,1,nASIG,"Lenguaje Musical"),"")))</f>
        <v/>
      </c>
      <c r="C990" t="str">
        <f>IF(A990="","",IF(A990="[FÓRMULA MANUAL]","",IFERROR(AVERAGEIFS(nNOTA,nNIA,A990,nCUENTA,1,nASIG,"Orquesta/Banda/Conjunto"),"")))</f>
        <v/>
      </c>
      <c r="D990" t="str">
        <f>IF(A990="","",IF(A990="[FÓRMULA MANUAL]","",IFERROR(AVERAGEIFS(nNOTA,nNIA,A990,nCUENTA,1,nASIG,"Conjunto"),"")))</f>
        <v/>
      </c>
      <c r="E990" t="str">
        <f>IF(A990="","",IF(A990="[FÓRMULA MANUAL]","",IFERROR(SUMPRODUCT((nNIA=A990)*(nCUENTA=1)*(COUNTIF(CONFIG_ASIGNATURAS!$B$7:$B$27,nASIG)&gt;0)*(nNOTA))/SUMPRODUCT((nNIA=A990)*(nCUENTA=1)*(COUNTIF(CONFIG_ASIGNATURAS!$B$7:$B$27,nASIG)&gt;0)*1),"")))</f>
        <v/>
      </c>
      <c r="H990" t="str">
        <f>IF(G990="","",IF(G990="[FÓRMULA MANUAL]","",IFERROR(AVERAGEIFS(nNOTA,nNIA,G990,nCUENTA,1,nASIG,"Lenguaje Musical"),"")))</f>
        <v/>
      </c>
      <c r="I990" t="str">
        <f>IF(G990="","",IF(G990="[FÓRMULA MANUAL]","",IFERROR(AVERAGEIFS(nNOTA,nNIA,G990,nCUENTA,1,nASIG,"Orquesta/Banda/Conjunto"),"")))</f>
        <v/>
      </c>
      <c r="J990" t="str">
        <f>IF(G990="","",IF(G990="[FÓRMULA MANUAL]","",IFERROR(AVERAGEIFS(nNOTA,nNIA,G990,nCUENTA,1,nASIG,"Conjunto"),"")))</f>
        <v/>
      </c>
      <c r="K990" t="str">
        <f>IF(G990="","",IF(G990="[FÓRMULA MANUAL]","",IFERROR(SUMPRODUCT((nNIA=G990)*(nCUENTA=1)*(COUNTIF(CONFIG_ASIGNATURAS!$B$7:$B$27,nASIG)&gt;0)*(nNOTA))/SUMPRODUCT((nNIA=G990)*(nCUENTA=1)*(COUNTIF(CONFIG_ASIGNATURAS!$B$7:$B$27,nASIG)&gt;0)*1),"")))</f>
        <v/>
      </c>
      <c r="N990" t="str">
        <f>IF(M990="","",IF(M990="[FÓRMULA MANUAL]","",IFERROR(AVERAGEIFS(nNOTA,nNIA,M990,nCUENTA,1,nASIG,"Armonía"),"")))</f>
        <v/>
      </c>
      <c r="O990" t="str">
        <f>IF(M990="","",IF(M990="[FÓRMULA MANUAL]","",IFERROR(AVERAGEIFS(nNOTA,nNIA,M990,nCUENTA,1,nASIG,"Orquesta/Banda/Conjunto"),"")))</f>
        <v/>
      </c>
      <c r="P990" t="str">
        <f>IF(M990="","",IF(M990="[FÓRMULA MANUAL]","",IFERROR(AVERAGEIFS(nNOTA,nNIA,M990,nCUENTA,1,nASIG,"Música de Cámara"),"")))</f>
        <v/>
      </c>
      <c r="Q990" t="str">
        <f>IF(M990="","",IF(M990="[FÓRMULA MANUAL]","",IFERROR(SUMPRODUCT((nNIA=M990)*(nCUENTA=1)*(COUNTIF(CONFIG_ASIGNATURAS!$B$7:$B$27,nASIG)&gt;0)*(nNOTA))/SUMPRODUCT((nNIA=M990)*(nCUENTA=1)*(COUNTIF(CONFIG_ASIGNATURAS!$B$7:$B$27,nASIG)&gt;0)*1),"")))</f>
        <v/>
      </c>
      <c r="T990" t="str">
        <f>IF(S990="","",IF(S990="[FÓRMULA MANUAL]","",IFERROR(AVERAGEIFS(nNOTA,nNIA,S990,nCUENTA,1,nASIG,"Armonía"),"")))</f>
        <v/>
      </c>
      <c r="U990" t="str">
        <f>IF(S990="","",IF(S990="[FÓRMULA MANUAL]","",IFERROR(AVERAGEIFS(nNOTA,nNIA,S990,nCUENTA,1,nASIG,"Orquesta/Banda/Conjunto"),"")))</f>
        <v/>
      </c>
      <c r="V990" t="str">
        <f>IF(S990="","",IF(S990="[FÓRMULA MANUAL]","",IFERROR(AVERAGEIFS(nNOTA,nNIA,S990,nCUENTA,1,nASIG,"Música de Cámara"),"")))</f>
        <v/>
      </c>
      <c r="W990" t="str">
        <f>IF(S990="","",IF(S990="[FÓRMULA MANUAL]","",IFERROR(SUMPRODUCT((nNIA=S990)*(nCUENTA=1)*(COUNTIF(CONFIG_ASIGNATURAS!$B$7:$B$27,nASIG)&gt;0)*(nNOTA))/SUMPRODUCT((nNIA=S990)*(nCUENTA=1)*(COUNTIF(CONFIG_ASIGNATURAS!$B$7:$B$27,nASIG)&gt;0)*1),"")))</f>
        <v/>
      </c>
      <c r="Z990" t="str">
        <f>IF(Y990="","",IF(Y990="[FÓRMULA MANUAL]","",IFERROR(AVERAGEIFS(nNOTA,nNIA,Y990,nCUENTA,1,nASIG,"Análisis"),"")))</f>
        <v/>
      </c>
      <c r="AA990" t="str">
        <f>IF(Y990="","",IF(Y990="[FÓRMULA MANUAL]","",IFERROR(AVERAGEIFS(nNOTA,nNIA,Y990,nCUENTA,1,nASIG,"Orquesta/Banda/Conjunto"),"")))</f>
        <v/>
      </c>
      <c r="AB990" t="str">
        <f>IF(Y990="","",IF(Y990="[FÓRMULA MANUAL]","",IFERROR(AVERAGEIFS(nNOTA,nNIA,Y990,nCUENTA,1,nASIG,"Música de Cámara"),"")))</f>
        <v/>
      </c>
      <c r="AC990" t="str">
        <f>IF(Y990="","",IF(Y990="[FÓRMULA MANUAL]","",IFERROR(SUMPRODUCT((nNIA=Y990)*(nCUENTA=1)*(COUNTIF(CONFIG_ASIGNATURAS!$B$7:$B$27,nASIG)&gt;0)*(nNOTA))/SUMPRODUCT((nNIA=Y990)*(nCUENTA=1)*(COUNTIF(CONFIG_ASIGNATURAS!$B$7:$B$27,nASIG)&gt;0)*1),"")))</f>
        <v/>
      </c>
      <c r="AF990" t="str">
        <f>IF(AE990="","",IF(AE990="[FÓRMULA MANUAL]","",IFERROR(AVERAGEIFS(nNOTA,nNIA,AE990,nCUENTA,1,nASIG,"Análisis"),"")))</f>
        <v/>
      </c>
      <c r="AG990" t="str">
        <f>IF(AE990="","",IF(AE990="[FÓRMULA MANUAL]","",IFERROR(AVERAGEIFS(nNOTA,nNIA,AE990,nCUENTA,1,nASIG,"Orquesta/Banda/Conjunto"),"")))</f>
        <v/>
      </c>
      <c r="AH990" t="str">
        <f>IF(AE990="","",IF(AE990="[FÓRMULA MANUAL]","",IFERROR(AVERAGEIFS(nNOTA,nNIA,AE990,nCUENTA,1,nASIG,"Música de Cámara"),"")))</f>
        <v/>
      </c>
      <c r="AI990" t="str">
        <f>IF(AE990="","",IF(AE990="[FÓRMULA MANUAL]","",IFERROR(SUMPRODUCT((nNIA=AE990)*(nCUENTA=1)*(COUNTIF(CONFIG_ASIGNATURAS!$B$7:$B$27,nASIG)&gt;0)*(nNOTA))/SUMPRODUCT((nNIA=AE990)*(nCUENTA=1)*(COUNTIF(CONFIG_ASIGNATURAS!$B$7:$B$27,nASIG)&gt;0)*1),"")))</f>
        <v/>
      </c>
    </row>
    <row r="991" spans="2:35" x14ac:dyDescent="0.2">
      <c r="B991" t="str">
        <f>IF(A991="","",IF(A991="[FÓRMULA MANUAL]","",IFERROR(AVERAGEIFS(nNOTA,nNIA,A991,nCUENTA,1,nASIG,"Lenguaje Musical"),"")))</f>
        <v/>
      </c>
      <c r="C991" t="str">
        <f>IF(A991="","",IF(A991="[FÓRMULA MANUAL]","",IFERROR(AVERAGEIFS(nNOTA,nNIA,A991,nCUENTA,1,nASIG,"Orquesta/Banda/Conjunto"),"")))</f>
        <v/>
      </c>
      <c r="D991" t="str">
        <f>IF(A991="","",IF(A991="[FÓRMULA MANUAL]","",IFERROR(AVERAGEIFS(nNOTA,nNIA,A991,nCUENTA,1,nASIG,"Conjunto"),"")))</f>
        <v/>
      </c>
      <c r="E991" t="str">
        <f>IF(A991="","",IF(A991="[FÓRMULA MANUAL]","",IFERROR(SUMPRODUCT((nNIA=A991)*(nCUENTA=1)*(COUNTIF(CONFIG_ASIGNATURAS!$B$7:$B$27,nASIG)&gt;0)*(nNOTA))/SUMPRODUCT((nNIA=A991)*(nCUENTA=1)*(COUNTIF(CONFIG_ASIGNATURAS!$B$7:$B$27,nASIG)&gt;0)*1),"")))</f>
        <v/>
      </c>
      <c r="H991" t="str">
        <f>IF(G991="","",IF(G991="[FÓRMULA MANUAL]","",IFERROR(AVERAGEIFS(nNOTA,nNIA,G991,nCUENTA,1,nASIG,"Lenguaje Musical"),"")))</f>
        <v/>
      </c>
      <c r="I991" t="str">
        <f>IF(G991="","",IF(G991="[FÓRMULA MANUAL]","",IFERROR(AVERAGEIFS(nNOTA,nNIA,G991,nCUENTA,1,nASIG,"Orquesta/Banda/Conjunto"),"")))</f>
        <v/>
      </c>
      <c r="J991" t="str">
        <f>IF(G991="","",IF(G991="[FÓRMULA MANUAL]","",IFERROR(AVERAGEIFS(nNOTA,nNIA,G991,nCUENTA,1,nASIG,"Conjunto"),"")))</f>
        <v/>
      </c>
      <c r="K991" t="str">
        <f>IF(G991="","",IF(G991="[FÓRMULA MANUAL]","",IFERROR(SUMPRODUCT((nNIA=G991)*(nCUENTA=1)*(COUNTIF(CONFIG_ASIGNATURAS!$B$7:$B$27,nASIG)&gt;0)*(nNOTA))/SUMPRODUCT((nNIA=G991)*(nCUENTA=1)*(COUNTIF(CONFIG_ASIGNATURAS!$B$7:$B$27,nASIG)&gt;0)*1),"")))</f>
        <v/>
      </c>
      <c r="N991" t="str">
        <f>IF(M991="","",IF(M991="[FÓRMULA MANUAL]","",IFERROR(AVERAGEIFS(nNOTA,nNIA,M991,nCUENTA,1,nASIG,"Armonía"),"")))</f>
        <v/>
      </c>
      <c r="O991" t="str">
        <f>IF(M991="","",IF(M991="[FÓRMULA MANUAL]","",IFERROR(AVERAGEIFS(nNOTA,nNIA,M991,nCUENTA,1,nASIG,"Orquesta/Banda/Conjunto"),"")))</f>
        <v/>
      </c>
      <c r="P991" t="str">
        <f>IF(M991="","",IF(M991="[FÓRMULA MANUAL]","",IFERROR(AVERAGEIFS(nNOTA,nNIA,M991,nCUENTA,1,nASIG,"Música de Cámara"),"")))</f>
        <v/>
      </c>
      <c r="Q991" t="str">
        <f>IF(M991="","",IF(M991="[FÓRMULA MANUAL]","",IFERROR(SUMPRODUCT((nNIA=M991)*(nCUENTA=1)*(COUNTIF(CONFIG_ASIGNATURAS!$B$7:$B$27,nASIG)&gt;0)*(nNOTA))/SUMPRODUCT((nNIA=M991)*(nCUENTA=1)*(COUNTIF(CONFIG_ASIGNATURAS!$B$7:$B$27,nASIG)&gt;0)*1),"")))</f>
        <v/>
      </c>
      <c r="T991" t="str">
        <f>IF(S991="","",IF(S991="[FÓRMULA MANUAL]","",IFERROR(AVERAGEIFS(nNOTA,nNIA,S991,nCUENTA,1,nASIG,"Armonía"),"")))</f>
        <v/>
      </c>
      <c r="U991" t="str">
        <f>IF(S991="","",IF(S991="[FÓRMULA MANUAL]","",IFERROR(AVERAGEIFS(nNOTA,nNIA,S991,nCUENTA,1,nASIG,"Orquesta/Banda/Conjunto"),"")))</f>
        <v/>
      </c>
      <c r="V991" t="str">
        <f>IF(S991="","",IF(S991="[FÓRMULA MANUAL]","",IFERROR(AVERAGEIFS(nNOTA,nNIA,S991,nCUENTA,1,nASIG,"Música de Cámara"),"")))</f>
        <v/>
      </c>
      <c r="W991" t="str">
        <f>IF(S991="","",IF(S991="[FÓRMULA MANUAL]","",IFERROR(SUMPRODUCT((nNIA=S991)*(nCUENTA=1)*(COUNTIF(CONFIG_ASIGNATURAS!$B$7:$B$27,nASIG)&gt;0)*(nNOTA))/SUMPRODUCT((nNIA=S991)*(nCUENTA=1)*(COUNTIF(CONFIG_ASIGNATURAS!$B$7:$B$27,nASIG)&gt;0)*1),"")))</f>
        <v/>
      </c>
      <c r="Z991" t="str">
        <f>IF(Y991="","",IF(Y991="[FÓRMULA MANUAL]","",IFERROR(AVERAGEIFS(nNOTA,nNIA,Y991,nCUENTA,1,nASIG,"Análisis"),"")))</f>
        <v/>
      </c>
      <c r="AA991" t="str">
        <f>IF(Y991="","",IF(Y991="[FÓRMULA MANUAL]","",IFERROR(AVERAGEIFS(nNOTA,nNIA,Y991,nCUENTA,1,nASIG,"Orquesta/Banda/Conjunto"),"")))</f>
        <v/>
      </c>
      <c r="AB991" t="str">
        <f>IF(Y991="","",IF(Y991="[FÓRMULA MANUAL]","",IFERROR(AVERAGEIFS(nNOTA,nNIA,Y991,nCUENTA,1,nASIG,"Música de Cámara"),"")))</f>
        <v/>
      </c>
      <c r="AC991" t="str">
        <f>IF(Y991="","",IF(Y991="[FÓRMULA MANUAL]","",IFERROR(SUMPRODUCT((nNIA=Y991)*(nCUENTA=1)*(COUNTIF(CONFIG_ASIGNATURAS!$B$7:$B$27,nASIG)&gt;0)*(nNOTA))/SUMPRODUCT((nNIA=Y991)*(nCUENTA=1)*(COUNTIF(CONFIG_ASIGNATURAS!$B$7:$B$27,nASIG)&gt;0)*1),"")))</f>
        <v/>
      </c>
      <c r="AF991" t="str">
        <f>IF(AE991="","",IF(AE991="[FÓRMULA MANUAL]","",IFERROR(AVERAGEIFS(nNOTA,nNIA,AE991,nCUENTA,1,nASIG,"Análisis"),"")))</f>
        <v/>
      </c>
      <c r="AG991" t="str">
        <f>IF(AE991="","",IF(AE991="[FÓRMULA MANUAL]","",IFERROR(AVERAGEIFS(nNOTA,nNIA,AE991,nCUENTA,1,nASIG,"Orquesta/Banda/Conjunto"),"")))</f>
        <v/>
      </c>
      <c r="AH991" t="str">
        <f>IF(AE991="","",IF(AE991="[FÓRMULA MANUAL]","",IFERROR(AVERAGEIFS(nNOTA,nNIA,AE991,nCUENTA,1,nASIG,"Música de Cámara"),"")))</f>
        <v/>
      </c>
      <c r="AI991" t="str">
        <f>IF(AE991="","",IF(AE991="[FÓRMULA MANUAL]","",IFERROR(SUMPRODUCT((nNIA=AE991)*(nCUENTA=1)*(COUNTIF(CONFIG_ASIGNATURAS!$B$7:$B$27,nASIG)&gt;0)*(nNOTA))/SUMPRODUCT((nNIA=AE991)*(nCUENTA=1)*(COUNTIF(CONFIG_ASIGNATURAS!$B$7:$B$27,nASIG)&gt;0)*1),"")))</f>
        <v/>
      </c>
    </row>
    <row r="992" spans="2:35" x14ac:dyDescent="0.2">
      <c r="B992" t="str">
        <f>IF(A992="","",IF(A992="[FÓRMULA MANUAL]","",IFERROR(AVERAGEIFS(nNOTA,nNIA,A992,nCUENTA,1,nASIG,"Lenguaje Musical"),"")))</f>
        <v/>
      </c>
      <c r="C992" t="str">
        <f>IF(A992="","",IF(A992="[FÓRMULA MANUAL]","",IFERROR(AVERAGEIFS(nNOTA,nNIA,A992,nCUENTA,1,nASIG,"Orquesta/Banda/Conjunto"),"")))</f>
        <v/>
      </c>
      <c r="D992" t="str">
        <f>IF(A992="","",IF(A992="[FÓRMULA MANUAL]","",IFERROR(AVERAGEIFS(nNOTA,nNIA,A992,nCUENTA,1,nASIG,"Conjunto"),"")))</f>
        <v/>
      </c>
      <c r="E992" t="str">
        <f>IF(A992="","",IF(A992="[FÓRMULA MANUAL]","",IFERROR(SUMPRODUCT((nNIA=A992)*(nCUENTA=1)*(COUNTIF(CONFIG_ASIGNATURAS!$B$7:$B$27,nASIG)&gt;0)*(nNOTA))/SUMPRODUCT((nNIA=A992)*(nCUENTA=1)*(COUNTIF(CONFIG_ASIGNATURAS!$B$7:$B$27,nASIG)&gt;0)*1),"")))</f>
        <v/>
      </c>
      <c r="H992" t="str">
        <f>IF(G992="","",IF(G992="[FÓRMULA MANUAL]","",IFERROR(AVERAGEIFS(nNOTA,nNIA,G992,nCUENTA,1,nASIG,"Lenguaje Musical"),"")))</f>
        <v/>
      </c>
      <c r="I992" t="str">
        <f>IF(G992="","",IF(G992="[FÓRMULA MANUAL]","",IFERROR(AVERAGEIFS(nNOTA,nNIA,G992,nCUENTA,1,nASIG,"Orquesta/Banda/Conjunto"),"")))</f>
        <v/>
      </c>
      <c r="J992" t="str">
        <f>IF(G992="","",IF(G992="[FÓRMULA MANUAL]","",IFERROR(AVERAGEIFS(nNOTA,nNIA,G992,nCUENTA,1,nASIG,"Conjunto"),"")))</f>
        <v/>
      </c>
      <c r="K992" t="str">
        <f>IF(G992="","",IF(G992="[FÓRMULA MANUAL]","",IFERROR(SUMPRODUCT((nNIA=G992)*(nCUENTA=1)*(COUNTIF(CONFIG_ASIGNATURAS!$B$7:$B$27,nASIG)&gt;0)*(nNOTA))/SUMPRODUCT((nNIA=G992)*(nCUENTA=1)*(COUNTIF(CONFIG_ASIGNATURAS!$B$7:$B$27,nASIG)&gt;0)*1),"")))</f>
        <v/>
      </c>
      <c r="N992" t="str">
        <f>IF(M992="","",IF(M992="[FÓRMULA MANUAL]","",IFERROR(AVERAGEIFS(nNOTA,nNIA,M992,nCUENTA,1,nASIG,"Armonía"),"")))</f>
        <v/>
      </c>
      <c r="O992" t="str">
        <f>IF(M992="","",IF(M992="[FÓRMULA MANUAL]","",IFERROR(AVERAGEIFS(nNOTA,nNIA,M992,nCUENTA,1,nASIG,"Orquesta/Banda/Conjunto"),"")))</f>
        <v/>
      </c>
      <c r="P992" t="str">
        <f>IF(M992="","",IF(M992="[FÓRMULA MANUAL]","",IFERROR(AVERAGEIFS(nNOTA,nNIA,M992,nCUENTA,1,nASIG,"Música de Cámara"),"")))</f>
        <v/>
      </c>
      <c r="Q992" t="str">
        <f>IF(M992="","",IF(M992="[FÓRMULA MANUAL]","",IFERROR(SUMPRODUCT((nNIA=M992)*(nCUENTA=1)*(COUNTIF(CONFIG_ASIGNATURAS!$B$7:$B$27,nASIG)&gt;0)*(nNOTA))/SUMPRODUCT((nNIA=M992)*(nCUENTA=1)*(COUNTIF(CONFIG_ASIGNATURAS!$B$7:$B$27,nASIG)&gt;0)*1),"")))</f>
        <v/>
      </c>
      <c r="T992" t="str">
        <f>IF(S992="","",IF(S992="[FÓRMULA MANUAL]","",IFERROR(AVERAGEIFS(nNOTA,nNIA,S992,nCUENTA,1,nASIG,"Armonía"),"")))</f>
        <v/>
      </c>
      <c r="U992" t="str">
        <f>IF(S992="","",IF(S992="[FÓRMULA MANUAL]","",IFERROR(AVERAGEIFS(nNOTA,nNIA,S992,nCUENTA,1,nASIG,"Orquesta/Banda/Conjunto"),"")))</f>
        <v/>
      </c>
      <c r="V992" t="str">
        <f>IF(S992="","",IF(S992="[FÓRMULA MANUAL]","",IFERROR(AVERAGEIFS(nNOTA,nNIA,S992,nCUENTA,1,nASIG,"Música de Cámara"),"")))</f>
        <v/>
      </c>
      <c r="W992" t="str">
        <f>IF(S992="","",IF(S992="[FÓRMULA MANUAL]","",IFERROR(SUMPRODUCT((nNIA=S992)*(nCUENTA=1)*(COUNTIF(CONFIG_ASIGNATURAS!$B$7:$B$27,nASIG)&gt;0)*(nNOTA))/SUMPRODUCT((nNIA=S992)*(nCUENTA=1)*(COUNTIF(CONFIG_ASIGNATURAS!$B$7:$B$27,nASIG)&gt;0)*1),"")))</f>
        <v/>
      </c>
      <c r="Z992" t="str">
        <f>IF(Y992="","",IF(Y992="[FÓRMULA MANUAL]","",IFERROR(AVERAGEIFS(nNOTA,nNIA,Y992,nCUENTA,1,nASIG,"Análisis"),"")))</f>
        <v/>
      </c>
      <c r="AA992" t="str">
        <f>IF(Y992="","",IF(Y992="[FÓRMULA MANUAL]","",IFERROR(AVERAGEIFS(nNOTA,nNIA,Y992,nCUENTA,1,nASIG,"Orquesta/Banda/Conjunto"),"")))</f>
        <v/>
      </c>
      <c r="AB992" t="str">
        <f>IF(Y992="","",IF(Y992="[FÓRMULA MANUAL]","",IFERROR(AVERAGEIFS(nNOTA,nNIA,Y992,nCUENTA,1,nASIG,"Música de Cámara"),"")))</f>
        <v/>
      </c>
      <c r="AC992" t="str">
        <f>IF(Y992="","",IF(Y992="[FÓRMULA MANUAL]","",IFERROR(SUMPRODUCT((nNIA=Y992)*(nCUENTA=1)*(COUNTIF(CONFIG_ASIGNATURAS!$B$7:$B$27,nASIG)&gt;0)*(nNOTA))/SUMPRODUCT((nNIA=Y992)*(nCUENTA=1)*(COUNTIF(CONFIG_ASIGNATURAS!$B$7:$B$27,nASIG)&gt;0)*1),"")))</f>
        <v/>
      </c>
      <c r="AF992" t="str">
        <f>IF(AE992="","",IF(AE992="[FÓRMULA MANUAL]","",IFERROR(AVERAGEIFS(nNOTA,nNIA,AE992,nCUENTA,1,nASIG,"Análisis"),"")))</f>
        <v/>
      </c>
      <c r="AG992" t="str">
        <f>IF(AE992="","",IF(AE992="[FÓRMULA MANUAL]","",IFERROR(AVERAGEIFS(nNOTA,nNIA,AE992,nCUENTA,1,nASIG,"Orquesta/Banda/Conjunto"),"")))</f>
        <v/>
      </c>
      <c r="AH992" t="str">
        <f>IF(AE992="","",IF(AE992="[FÓRMULA MANUAL]","",IFERROR(AVERAGEIFS(nNOTA,nNIA,AE992,nCUENTA,1,nASIG,"Música de Cámara"),"")))</f>
        <v/>
      </c>
      <c r="AI992" t="str">
        <f>IF(AE992="","",IF(AE992="[FÓRMULA MANUAL]","",IFERROR(SUMPRODUCT((nNIA=AE992)*(nCUENTA=1)*(COUNTIF(CONFIG_ASIGNATURAS!$B$7:$B$27,nASIG)&gt;0)*(nNOTA))/SUMPRODUCT((nNIA=AE992)*(nCUENTA=1)*(COUNTIF(CONFIG_ASIGNATURAS!$B$7:$B$27,nASIG)&gt;0)*1),"")))</f>
        <v/>
      </c>
    </row>
    <row r="993" spans="2:35" x14ac:dyDescent="0.2">
      <c r="B993" t="str">
        <f>IF(A993="","",IF(A993="[FÓRMULA MANUAL]","",IFERROR(AVERAGEIFS(nNOTA,nNIA,A993,nCUENTA,1,nASIG,"Lenguaje Musical"),"")))</f>
        <v/>
      </c>
      <c r="C993" t="str">
        <f>IF(A993="","",IF(A993="[FÓRMULA MANUAL]","",IFERROR(AVERAGEIFS(nNOTA,nNIA,A993,nCUENTA,1,nASIG,"Orquesta/Banda/Conjunto"),"")))</f>
        <v/>
      </c>
      <c r="D993" t="str">
        <f>IF(A993="","",IF(A993="[FÓRMULA MANUAL]","",IFERROR(AVERAGEIFS(nNOTA,nNIA,A993,nCUENTA,1,nASIG,"Conjunto"),"")))</f>
        <v/>
      </c>
      <c r="E993" t="str">
        <f>IF(A993="","",IF(A993="[FÓRMULA MANUAL]","",IFERROR(SUMPRODUCT((nNIA=A993)*(nCUENTA=1)*(COUNTIF(CONFIG_ASIGNATURAS!$B$7:$B$27,nASIG)&gt;0)*(nNOTA))/SUMPRODUCT((nNIA=A993)*(nCUENTA=1)*(COUNTIF(CONFIG_ASIGNATURAS!$B$7:$B$27,nASIG)&gt;0)*1),"")))</f>
        <v/>
      </c>
      <c r="H993" t="str">
        <f>IF(G993="","",IF(G993="[FÓRMULA MANUAL]","",IFERROR(AVERAGEIFS(nNOTA,nNIA,G993,nCUENTA,1,nASIG,"Lenguaje Musical"),"")))</f>
        <v/>
      </c>
      <c r="I993" t="str">
        <f>IF(G993="","",IF(G993="[FÓRMULA MANUAL]","",IFERROR(AVERAGEIFS(nNOTA,nNIA,G993,nCUENTA,1,nASIG,"Orquesta/Banda/Conjunto"),"")))</f>
        <v/>
      </c>
      <c r="J993" t="str">
        <f>IF(G993="","",IF(G993="[FÓRMULA MANUAL]","",IFERROR(AVERAGEIFS(nNOTA,nNIA,G993,nCUENTA,1,nASIG,"Conjunto"),"")))</f>
        <v/>
      </c>
      <c r="K993" t="str">
        <f>IF(G993="","",IF(G993="[FÓRMULA MANUAL]","",IFERROR(SUMPRODUCT((nNIA=G993)*(nCUENTA=1)*(COUNTIF(CONFIG_ASIGNATURAS!$B$7:$B$27,nASIG)&gt;0)*(nNOTA))/SUMPRODUCT((nNIA=G993)*(nCUENTA=1)*(COUNTIF(CONFIG_ASIGNATURAS!$B$7:$B$27,nASIG)&gt;0)*1),"")))</f>
        <v/>
      </c>
      <c r="N993" t="str">
        <f>IF(M993="","",IF(M993="[FÓRMULA MANUAL]","",IFERROR(AVERAGEIFS(nNOTA,nNIA,M993,nCUENTA,1,nASIG,"Armonía"),"")))</f>
        <v/>
      </c>
      <c r="O993" t="str">
        <f>IF(M993="","",IF(M993="[FÓRMULA MANUAL]","",IFERROR(AVERAGEIFS(nNOTA,nNIA,M993,nCUENTA,1,nASIG,"Orquesta/Banda/Conjunto"),"")))</f>
        <v/>
      </c>
      <c r="P993" t="str">
        <f>IF(M993="","",IF(M993="[FÓRMULA MANUAL]","",IFERROR(AVERAGEIFS(nNOTA,nNIA,M993,nCUENTA,1,nASIG,"Música de Cámara"),"")))</f>
        <v/>
      </c>
      <c r="Q993" t="str">
        <f>IF(M993="","",IF(M993="[FÓRMULA MANUAL]","",IFERROR(SUMPRODUCT((nNIA=M993)*(nCUENTA=1)*(COUNTIF(CONFIG_ASIGNATURAS!$B$7:$B$27,nASIG)&gt;0)*(nNOTA))/SUMPRODUCT((nNIA=M993)*(nCUENTA=1)*(COUNTIF(CONFIG_ASIGNATURAS!$B$7:$B$27,nASIG)&gt;0)*1),"")))</f>
        <v/>
      </c>
      <c r="T993" t="str">
        <f>IF(S993="","",IF(S993="[FÓRMULA MANUAL]","",IFERROR(AVERAGEIFS(nNOTA,nNIA,S993,nCUENTA,1,nASIG,"Armonía"),"")))</f>
        <v/>
      </c>
      <c r="U993" t="str">
        <f>IF(S993="","",IF(S993="[FÓRMULA MANUAL]","",IFERROR(AVERAGEIFS(nNOTA,nNIA,S993,nCUENTA,1,nASIG,"Orquesta/Banda/Conjunto"),"")))</f>
        <v/>
      </c>
      <c r="V993" t="str">
        <f>IF(S993="","",IF(S993="[FÓRMULA MANUAL]","",IFERROR(AVERAGEIFS(nNOTA,nNIA,S993,nCUENTA,1,nASIG,"Música de Cámara"),"")))</f>
        <v/>
      </c>
      <c r="W993" t="str">
        <f>IF(S993="","",IF(S993="[FÓRMULA MANUAL]","",IFERROR(SUMPRODUCT((nNIA=S993)*(nCUENTA=1)*(COUNTIF(CONFIG_ASIGNATURAS!$B$7:$B$27,nASIG)&gt;0)*(nNOTA))/SUMPRODUCT((nNIA=S993)*(nCUENTA=1)*(COUNTIF(CONFIG_ASIGNATURAS!$B$7:$B$27,nASIG)&gt;0)*1),"")))</f>
        <v/>
      </c>
      <c r="Z993" t="str">
        <f>IF(Y993="","",IF(Y993="[FÓRMULA MANUAL]","",IFERROR(AVERAGEIFS(nNOTA,nNIA,Y993,nCUENTA,1,nASIG,"Análisis"),"")))</f>
        <v/>
      </c>
      <c r="AA993" t="str">
        <f>IF(Y993="","",IF(Y993="[FÓRMULA MANUAL]","",IFERROR(AVERAGEIFS(nNOTA,nNIA,Y993,nCUENTA,1,nASIG,"Orquesta/Banda/Conjunto"),"")))</f>
        <v/>
      </c>
      <c r="AB993" t="str">
        <f>IF(Y993="","",IF(Y993="[FÓRMULA MANUAL]","",IFERROR(AVERAGEIFS(nNOTA,nNIA,Y993,nCUENTA,1,nASIG,"Música de Cámara"),"")))</f>
        <v/>
      </c>
      <c r="AC993" t="str">
        <f>IF(Y993="","",IF(Y993="[FÓRMULA MANUAL]","",IFERROR(SUMPRODUCT((nNIA=Y993)*(nCUENTA=1)*(COUNTIF(CONFIG_ASIGNATURAS!$B$7:$B$27,nASIG)&gt;0)*(nNOTA))/SUMPRODUCT((nNIA=Y993)*(nCUENTA=1)*(COUNTIF(CONFIG_ASIGNATURAS!$B$7:$B$27,nASIG)&gt;0)*1),"")))</f>
        <v/>
      </c>
      <c r="AF993" t="str">
        <f>IF(AE993="","",IF(AE993="[FÓRMULA MANUAL]","",IFERROR(AVERAGEIFS(nNOTA,nNIA,AE993,nCUENTA,1,nASIG,"Análisis"),"")))</f>
        <v/>
      </c>
      <c r="AG993" t="str">
        <f>IF(AE993="","",IF(AE993="[FÓRMULA MANUAL]","",IFERROR(AVERAGEIFS(nNOTA,nNIA,AE993,nCUENTA,1,nASIG,"Orquesta/Banda/Conjunto"),"")))</f>
        <v/>
      </c>
      <c r="AH993" t="str">
        <f>IF(AE993="","",IF(AE993="[FÓRMULA MANUAL]","",IFERROR(AVERAGEIFS(nNOTA,nNIA,AE993,nCUENTA,1,nASIG,"Música de Cámara"),"")))</f>
        <v/>
      </c>
      <c r="AI993" t="str">
        <f>IF(AE993="","",IF(AE993="[FÓRMULA MANUAL]","",IFERROR(SUMPRODUCT((nNIA=AE993)*(nCUENTA=1)*(COUNTIF(CONFIG_ASIGNATURAS!$B$7:$B$27,nASIG)&gt;0)*(nNOTA))/SUMPRODUCT((nNIA=AE993)*(nCUENTA=1)*(COUNTIF(CONFIG_ASIGNATURAS!$B$7:$B$27,nASIG)&gt;0)*1),"")))</f>
        <v/>
      </c>
    </row>
    <row r="994" spans="2:35" x14ac:dyDescent="0.2">
      <c r="B994" t="str">
        <f>IF(A994="","",IF(A994="[FÓRMULA MANUAL]","",IFERROR(AVERAGEIFS(nNOTA,nNIA,A994,nCUENTA,1,nASIG,"Lenguaje Musical"),"")))</f>
        <v/>
      </c>
      <c r="C994" t="str">
        <f>IF(A994="","",IF(A994="[FÓRMULA MANUAL]","",IFERROR(AVERAGEIFS(nNOTA,nNIA,A994,nCUENTA,1,nASIG,"Orquesta/Banda/Conjunto"),"")))</f>
        <v/>
      </c>
      <c r="D994" t="str">
        <f>IF(A994="","",IF(A994="[FÓRMULA MANUAL]","",IFERROR(AVERAGEIFS(nNOTA,nNIA,A994,nCUENTA,1,nASIG,"Conjunto"),"")))</f>
        <v/>
      </c>
      <c r="E994" t="str">
        <f>IF(A994="","",IF(A994="[FÓRMULA MANUAL]","",IFERROR(SUMPRODUCT((nNIA=A994)*(nCUENTA=1)*(COUNTIF(CONFIG_ASIGNATURAS!$B$7:$B$27,nASIG)&gt;0)*(nNOTA))/SUMPRODUCT((nNIA=A994)*(nCUENTA=1)*(COUNTIF(CONFIG_ASIGNATURAS!$B$7:$B$27,nASIG)&gt;0)*1),"")))</f>
        <v/>
      </c>
      <c r="H994" t="str">
        <f>IF(G994="","",IF(G994="[FÓRMULA MANUAL]","",IFERROR(AVERAGEIFS(nNOTA,nNIA,G994,nCUENTA,1,nASIG,"Lenguaje Musical"),"")))</f>
        <v/>
      </c>
      <c r="I994" t="str">
        <f>IF(G994="","",IF(G994="[FÓRMULA MANUAL]","",IFERROR(AVERAGEIFS(nNOTA,nNIA,G994,nCUENTA,1,nASIG,"Orquesta/Banda/Conjunto"),"")))</f>
        <v/>
      </c>
      <c r="J994" t="str">
        <f>IF(G994="","",IF(G994="[FÓRMULA MANUAL]","",IFERROR(AVERAGEIFS(nNOTA,nNIA,G994,nCUENTA,1,nASIG,"Conjunto"),"")))</f>
        <v/>
      </c>
      <c r="K994" t="str">
        <f>IF(G994="","",IF(G994="[FÓRMULA MANUAL]","",IFERROR(SUMPRODUCT((nNIA=G994)*(nCUENTA=1)*(COUNTIF(CONFIG_ASIGNATURAS!$B$7:$B$27,nASIG)&gt;0)*(nNOTA))/SUMPRODUCT((nNIA=G994)*(nCUENTA=1)*(COUNTIF(CONFIG_ASIGNATURAS!$B$7:$B$27,nASIG)&gt;0)*1),"")))</f>
        <v/>
      </c>
      <c r="N994" t="str">
        <f>IF(M994="","",IF(M994="[FÓRMULA MANUAL]","",IFERROR(AVERAGEIFS(nNOTA,nNIA,M994,nCUENTA,1,nASIG,"Armonía"),"")))</f>
        <v/>
      </c>
      <c r="O994" t="str">
        <f>IF(M994="","",IF(M994="[FÓRMULA MANUAL]","",IFERROR(AVERAGEIFS(nNOTA,nNIA,M994,nCUENTA,1,nASIG,"Orquesta/Banda/Conjunto"),"")))</f>
        <v/>
      </c>
      <c r="P994" t="str">
        <f>IF(M994="","",IF(M994="[FÓRMULA MANUAL]","",IFERROR(AVERAGEIFS(nNOTA,nNIA,M994,nCUENTA,1,nASIG,"Música de Cámara"),"")))</f>
        <v/>
      </c>
      <c r="Q994" t="str">
        <f>IF(M994="","",IF(M994="[FÓRMULA MANUAL]","",IFERROR(SUMPRODUCT((nNIA=M994)*(nCUENTA=1)*(COUNTIF(CONFIG_ASIGNATURAS!$B$7:$B$27,nASIG)&gt;0)*(nNOTA))/SUMPRODUCT((nNIA=M994)*(nCUENTA=1)*(COUNTIF(CONFIG_ASIGNATURAS!$B$7:$B$27,nASIG)&gt;0)*1),"")))</f>
        <v/>
      </c>
      <c r="T994" t="str">
        <f>IF(S994="","",IF(S994="[FÓRMULA MANUAL]","",IFERROR(AVERAGEIFS(nNOTA,nNIA,S994,nCUENTA,1,nASIG,"Armonía"),"")))</f>
        <v/>
      </c>
      <c r="U994" t="str">
        <f>IF(S994="","",IF(S994="[FÓRMULA MANUAL]","",IFERROR(AVERAGEIFS(nNOTA,nNIA,S994,nCUENTA,1,nASIG,"Orquesta/Banda/Conjunto"),"")))</f>
        <v/>
      </c>
      <c r="V994" t="str">
        <f>IF(S994="","",IF(S994="[FÓRMULA MANUAL]","",IFERROR(AVERAGEIFS(nNOTA,nNIA,S994,nCUENTA,1,nASIG,"Música de Cámara"),"")))</f>
        <v/>
      </c>
      <c r="W994" t="str">
        <f>IF(S994="","",IF(S994="[FÓRMULA MANUAL]","",IFERROR(SUMPRODUCT((nNIA=S994)*(nCUENTA=1)*(COUNTIF(CONFIG_ASIGNATURAS!$B$7:$B$27,nASIG)&gt;0)*(nNOTA))/SUMPRODUCT((nNIA=S994)*(nCUENTA=1)*(COUNTIF(CONFIG_ASIGNATURAS!$B$7:$B$27,nASIG)&gt;0)*1),"")))</f>
        <v/>
      </c>
      <c r="Z994" t="str">
        <f>IF(Y994="","",IF(Y994="[FÓRMULA MANUAL]","",IFERROR(AVERAGEIFS(nNOTA,nNIA,Y994,nCUENTA,1,nASIG,"Análisis"),"")))</f>
        <v/>
      </c>
      <c r="AA994" t="str">
        <f>IF(Y994="","",IF(Y994="[FÓRMULA MANUAL]","",IFERROR(AVERAGEIFS(nNOTA,nNIA,Y994,nCUENTA,1,nASIG,"Orquesta/Banda/Conjunto"),"")))</f>
        <v/>
      </c>
      <c r="AB994" t="str">
        <f>IF(Y994="","",IF(Y994="[FÓRMULA MANUAL]","",IFERROR(AVERAGEIFS(nNOTA,nNIA,Y994,nCUENTA,1,nASIG,"Música de Cámara"),"")))</f>
        <v/>
      </c>
      <c r="AC994" t="str">
        <f>IF(Y994="","",IF(Y994="[FÓRMULA MANUAL]","",IFERROR(SUMPRODUCT((nNIA=Y994)*(nCUENTA=1)*(COUNTIF(CONFIG_ASIGNATURAS!$B$7:$B$27,nASIG)&gt;0)*(nNOTA))/SUMPRODUCT((nNIA=Y994)*(nCUENTA=1)*(COUNTIF(CONFIG_ASIGNATURAS!$B$7:$B$27,nASIG)&gt;0)*1),"")))</f>
        <v/>
      </c>
      <c r="AF994" t="str">
        <f>IF(AE994="","",IF(AE994="[FÓRMULA MANUAL]","",IFERROR(AVERAGEIFS(nNOTA,nNIA,AE994,nCUENTA,1,nASIG,"Análisis"),"")))</f>
        <v/>
      </c>
      <c r="AG994" t="str">
        <f>IF(AE994="","",IF(AE994="[FÓRMULA MANUAL]","",IFERROR(AVERAGEIFS(nNOTA,nNIA,AE994,nCUENTA,1,nASIG,"Orquesta/Banda/Conjunto"),"")))</f>
        <v/>
      </c>
      <c r="AH994" t="str">
        <f>IF(AE994="","",IF(AE994="[FÓRMULA MANUAL]","",IFERROR(AVERAGEIFS(nNOTA,nNIA,AE994,nCUENTA,1,nASIG,"Música de Cámara"),"")))</f>
        <v/>
      </c>
      <c r="AI994" t="str">
        <f>IF(AE994="","",IF(AE994="[FÓRMULA MANUAL]","",IFERROR(SUMPRODUCT((nNIA=AE994)*(nCUENTA=1)*(COUNTIF(CONFIG_ASIGNATURAS!$B$7:$B$27,nASIG)&gt;0)*(nNOTA))/SUMPRODUCT((nNIA=AE994)*(nCUENTA=1)*(COUNTIF(CONFIG_ASIGNATURAS!$B$7:$B$27,nASIG)&gt;0)*1),"")))</f>
        <v/>
      </c>
    </row>
    <row r="995" spans="2:35" x14ac:dyDescent="0.2">
      <c r="B995" t="str">
        <f>IF(A995="","",IF(A995="[FÓRMULA MANUAL]","",IFERROR(AVERAGEIFS(nNOTA,nNIA,A995,nCUENTA,1,nASIG,"Lenguaje Musical"),"")))</f>
        <v/>
      </c>
      <c r="C995" t="str">
        <f>IF(A995="","",IF(A995="[FÓRMULA MANUAL]","",IFERROR(AVERAGEIFS(nNOTA,nNIA,A995,nCUENTA,1,nASIG,"Orquesta/Banda/Conjunto"),"")))</f>
        <v/>
      </c>
      <c r="D995" t="str">
        <f>IF(A995="","",IF(A995="[FÓRMULA MANUAL]","",IFERROR(AVERAGEIFS(nNOTA,nNIA,A995,nCUENTA,1,nASIG,"Conjunto"),"")))</f>
        <v/>
      </c>
      <c r="E995" t="str">
        <f>IF(A995="","",IF(A995="[FÓRMULA MANUAL]","",IFERROR(SUMPRODUCT((nNIA=A995)*(nCUENTA=1)*(COUNTIF(CONFIG_ASIGNATURAS!$B$7:$B$27,nASIG)&gt;0)*(nNOTA))/SUMPRODUCT((nNIA=A995)*(nCUENTA=1)*(COUNTIF(CONFIG_ASIGNATURAS!$B$7:$B$27,nASIG)&gt;0)*1),"")))</f>
        <v/>
      </c>
      <c r="H995" t="str">
        <f>IF(G995="","",IF(G995="[FÓRMULA MANUAL]","",IFERROR(AVERAGEIFS(nNOTA,nNIA,G995,nCUENTA,1,nASIG,"Lenguaje Musical"),"")))</f>
        <v/>
      </c>
      <c r="I995" t="str">
        <f>IF(G995="","",IF(G995="[FÓRMULA MANUAL]","",IFERROR(AVERAGEIFS(nNOTA,nNIA,G995,nCUENTA,1,nASIG,"Orquesta/Banda/Conjunto"),"")))</f>
        <v/>
      </c>
      <c r="J995" t="str">
        <f>IF(G995="","",IF(G995="[FÓRMULA MANUAL]","",IFERROR(AVERAGEIFS(nNOTA,nNIA,G995,nCUENTA,1,nASIG,"Conjunto"),"")))</f>
        <v/>
      </c>
      <c r="K995" t="str">
        <f>IF(G995="","",IF(G995="[FÓRMULA MANUAL]","",IFERROR(SUMPRODUCT((nNIA=G995)*(nCUENTA=1)*(COUNTIF(CONFIG_ASIGNATURAS!$B$7:$B$27,nASIG)&gt;0)*(nNOTA))/SUMPRODUCT((nNIA=G995)*(nCUENTA=1)*(COUNTIF(CONFIG_ASIGNATURAS!$B$7:$B$27,nASIG)&gt;0)*1),"")))</f>
        <v/>
      </c>
      <c r="N995" t="str">
        <f>IF(M995="","",IF(M995="[FÓRMULA MANUAL]","",IFERROR(AVERAGEIFS(nNOTA,nNIA,M995,nCUENTA,1,nASIG,"Armonía"),"")))</f>
        <v/>
      </c>
      <c r="O995" t="str">
        <f>IF(M995="","",IF(M995="[FÓRMULA MANUAL]","",IFERROR(AVERAGEIFS(nNOTA,nNIA,M995,nCUENTA,1,nASIG,"Orquesta/Banda/Conjunto"),"")))</f>
        <v/>
      </c>
      <c r="P995" t="str">
        <f>IF(M995="","",IF(M995="[FÓRMULA MANUAL]","",IFERROR(AVERAGEIFS(nNOTA,nNIA,M995,nCUENTA,1,nASIG,"Música de Cámara"),"")))</f>
        <v/>
      </c>
      <c r="Q995" t="str">
        <f>IF(M995="","",IF(M995="[FÓRMULA MANUAL]","",IFERROR(SUMPRODUCT((nNIA=M995)*(nCUENTA=1)*(COUNTIF(CONFIG_ASIGNATURAS!$B$7:$B$27,nASIG)&gt;0)*(nNOTA))/SUMPRODUCT((nNIA=M995)*(nCUENTA=1)*(COUNTIF(CONFIG_ASIGNATURAS!$B$7:$B$27,nASIG)&gt;0)*1),"")))</f>
        <v/>
      </c>
      <c r="T995" t="str">
        <f>IF(S995="","",IF(S995="[FÓRMULA MANUAL]","",IFERROR(AVERAGEIFS(nNOTA,nNIA,S995,nCUENTA,1,nASIG,"Armonía"),"")))</f>
        <v/>
      </c>
      <c r="U995" t="str">
        <f>IF(S995="","",IF(S995="[FÓRMULA MANUAL]","",IFERROR(AVERAGEIFS(nNOTA,nNIA,S995,nCUENTA,1,nASIG,"Orquesta/Banda/Conjunto"),"")))</f>
        <v/>
      </c>
      <c r="V995" t="str">
        <f>IF(S995="","",IF(S995="[FÓRMULA MANUAL]","",IFERROR(AVERAGEIFS(nNOTA,nNIA,S995,nCUENTA,1,nASIG,"Música de Cámara"),"")))</f>
        <v/>
      </c>
      <c r="W995" t="str">
        <f>IF(S995="","",IF(S995="[FÓRMULA MANUAL]","",IFERROR(SUMPRODUCT((nNIA=S995)*(nCUENTA=1)*(COUNTIF(CONFIG_ASIGNATURAS!$B$7:$B$27,nASIG)&gt;0)*(nNOTA))/SUMPRODUCT((nNIA=S995)*(nCUENTA=1)*(COUNTIF(CONFIG_ASIGNATURAS!$B$7:$B$27,nASIG)&gt;0)*1),"")))</f>
        <v/>
      </c>
      <c r="Z995" t="str">
        <f>IF(Y995="","",IF(Y995="[FÓRMULA MANUAL]","",IFERROR(AVERAGEIFS(nNOTA,nNIA,Y995,nCUENTA,1,nASIG,"Análisis"),"")))</f>
        <v/>
      </c>
      <c r="AA995" t="str">
        <f>IF(Y995="","",IF(Y995="[FÓRMULA MANUAL]","",IFERROR(AVERAGEIFS(nNOTA,nNIA,Y995,nCUENTA,1,nASIG,"Orquesta/Banda/Conjunto"),"")))</f>
        <v/>
      </c>
      <c r="AB995" t="str">
        <f>IF(Y995="","",IF(Y995="[FÓRMULA MANUAL]","",IFERROR(AVERAGEIFS(nNOTA,nNIA,Y995,nCUENTA,1,nASIG,"Música de Cámara"),"")))</f>
        <v/>
      </c>
      <c r="AC995" t="str">
        <f>IF(Y995="","",IF(Y995="[FÓRMULA MANUAL]","",IFERROR(SUMPRODUCT((nNIA=Y995)*(nCUENTA=1)*(COUNTIF(CONFIG_ASIGNATURAS!$B$7:$B$27,nASIG)&gt;0)*(nNOTA))/SUMPRODUCT((nNIA=Y995)*(nCUENTA=1)*(COUNTIF(CONFIG_ASIGNATURAS!$B$7:$B$27,nASIG)&gt;0)*1),"")))</f>
        <v/>
      </c>
      <c r="AF995" t="str">
        <f>IF(AE995="","",IF(AE995="[FÓRMULA MANUAL]","",IFERROR(AVERAGEIFS(nNOTA,nNIA,AE995,nCUENTA,1,nASIG,"Análisis"),"")))</f>
        <v/>
      </c>
      <c r="AG995" t="str">
        <f>IF(AE995="","",IF(AE995="[FÓRMULA MANUAL]","",IFERROR(AVERAGEIFS(nNOTA,nNIA,AE995,nCUENTA,1,nASIG,"Orquesta/Banda/Conjunto"),"")))</f>
        <v/>
      </c>
      <c r="AH995" t="str">
        <f>IF(AE995="","",IF(AE995="[FÓRMULA MANUAL]","",IFERROR(AVERAGEIFS(nNOTA,nNIA,AE995,nCUENTA,1,nASIG,"Música de Cámara"),"")))</f>
        <v/>
      </c>
      <c r="AI995" t="str">
        <f>IF(AE995="","",IF(AE995="[FÓRMULA MANUAL]","",IFERROR(SUMPRODUCT((nNIA=AE995)*(nCUENTA=1)*(COUNTIF(CONFIG_ASIGNATURAS!$B$7:$B$27,nASIG)&gt;0)*(nNOTA))/SUMPRODUCT((nNIA=AE995)*(nCUENTA=1)*(COUNTIF(CONFIG_ASIGNATURAS!$B$7:$B$27,nASIG)&gt;0)*1),"")))</f>
        <v/>
      </c>
    </row>
    <row r="996" spans="2:35" x14ac:dyDescent="0.2">
      <c r="B996" t="str">
        <f>IF(A996="","",IF(A996="[FÓRMULA MANUAL]","",IFERROR(AVERAGEIFS(nNOTA,nNIA,A996,nCUENTA,1,nASIG,"Lenguaje Musical"),"")))</f>
        <v/>
      </c>
      <c r="C996" t="str">
        <f>IF(A996="","",IF(A996="[FÓRMULA MANUAL]","",IFERROR(AVERAGEIFS(nNOTA,nNIA,A996,nCUENTA,1,nASIG,"Orquesta/Banda/Conjunto"),"")))</f>
        <v/>
      </c>
      <c r="D996" t="str">
        <f>IF(A996="","",IF(A996="[FÓRMULA MANUAL]","",IFERROR(AVERAGEIFS(nNOTA,nNIA,A996,nCUENTA,1,nASIG,"Conjunto"),"")))</f>
        <v/>
      </c>
      <c r="E996" t="str">
        <f>IF(A996="","",IF(A996="[FÓRMULA MANUAL]","",IFERROR(SUMPRODUCT((nNIA=A996)*(nCUENTA=1)*(COUNTIF(CONFIG_ASIGNATURAS!$B$7:$B$27,nASIG)&gt;0)*(nNOTA))/SUMPRODUCT((nNIA=A996)*(nCUENTA=1)*(COUNTIF(CONFIG_ASIGNATURAS!$B$7:$B$27,nASIG)&gt;0)*1),"")))</f>
        <v/>
      </c>
      <c r="H996" t="str">
        <f>IF(G996="","",IF(G996="[FÓRMULA MANUAL]","",IFERROR(AVERAGEIFS(nNOTA,nNIA,G996,nCUENTA,1,nASIG,"Lenguaje Musical"),"")))</f>
        <v/>
      </c>
      <c r="I996" t="str">
        <f>IF(G996="","",IF(G996="[FÓRMULA MANUAL]","",IFERROR(AVERAGEIFS(nNOTA,nNIA,G996,nCUENTA,1,nASIG,"Orquesta/Banda/Conjunto"),"")))</f>
        <v/>
      </c>
      <c r="J996" t="str">
        <f>IF(G996="","",IF(G996="[FÓRMULA MANUAL]","",IFERROR(AVERAGEIFS(nNOTA,nNIA,G996,nCUENTA,1,nASIG,"Conjunto"),"")))</f>
        <v/>
      </c>
      <c r="K996" t="str">
        <f>IF(G996="","",IF(G996="[FÓRMULA MANUAL]","",IFERROR(SUMPRODUCT((nNIA=G996)*(nCUENTA=1)*(COUNTIF(CONFIG_ASIGNATURAS!$B$7:$B$27,nASIG)&gt;0)*(nNOTA))/SUMPRODUCT((nNIA=G996)*(nCUENTA=1)*(COUNTIF(CONFIG_ASIGNATURAS!$B$7:$B$27,nASIG)&gt;0)*1),"")))</f>
        <v/>
      </c>
      <c r="N996" t="str">
        <f>IF(M996="","",IF(M996="[FÓRMULA MANUAL]","",IFERROR(AVERAGEIFS(nNOTA,nNIA,M996,nCUENTA,1,nASIG,"Armonía"),"")))</f>
        <v/>
      </c>
      <c r="O996" t="str">
        <f>IF(M996="","",IF(M996="[FÓRMULA MANUAL]","",IFERROR(AVERAGEIFS(nNOTA,nNIA,M996,nCUENTA,1,nASIG,"Orquesta/Banda/Conjunto"),"")))</f>
        <v/>
      </c>
      <c r="P996" t="str">
        <f>IF(M996="","",IF(M996="[FÓRMULA MANUAL]","",IFERROR(AVERAGEIFS(nNOTA,nNIA,M996,nCUENTA,1,nASIG,"Música de Cámara"),"")))</f>
        <v/>
      </c>
      <c r="Q996" t="str">
        <f>IF(M996="","",IF(M996="[FÓRMULA MANUAL]","",IFERROR(SUMPRODUCT((nNIA=M996)*(nCUENTA=1)*(COUNTIF(CONFIG_ASIGNATURAS!$B$7:$B$27,nASIG)&gt;0)*(nNOTA))/SUMPRODUCT((nNIA=M996)*(nCUENTA=1)*(COUNTIF(CONFIG_ASIGNATURAS!$B$7:$B$27,nASIG)&gt;0)*1),"")))</f>
        <v/>
      </c>
      <c r="T996" t="str">
        <f>IF(S996="","",IF(S996="[FÓRMULA MANUAL]","",IFERROR(AVERAGEIFS(nNOTA,nNIA,S996,nCUENTA,1,nASIG,"Armonía"),"")))</f>
        <v/>
      </c>
      <c r="U996" t="str">
        <f>IF(S996="","",IF(S996="[FÓRMULA MANUAL]","",IFERROR(AVERAGEIFS(nNOTA,nNIA,S996,nCUENTA,1,nASIG,"Orquesta/Banda/Conjunto"),"")))</f>
        <v/>
      </c>
      <c r="V996" t="str">
        <f>IF(S996="","",IF(S996="[FÓRMULA MANUAL]","",IFERROR(AVERAGEIFS(nNOTA,nNIA,S996,nCUENTA,1,nASIG,"Música de Cámara"),"")))</f>
        <v/>
      </c>
      <c r="W996" t="str">
        <f>IF(S996="","",IF(S996="[FÓRMULA MANUAL]","",IFERROR(SUMPRODUCT((nNIA=S996)*(nCUENTA=1)*(COUNTIF(CONFIG_ASIGNATURAS!$B$7:$B$27,nASIG)&gt;0)*(nNOTA))/SUMPRODUCT((nNIA=S996)*(nCUENTA=1)*(COUNTIF(CONFIG_ASIGNATURAS!$B$7:$B$27,nASIG)&gt;0)*1),"")))</f>
        <v/>
      </c>
      <c r="Z996" t="str">
        <f>IF(Y996="","",IF(Y996="[FÓRMULA MANUAL]","",IFERROR(AVERAGEIFS(nNOTA,nNIA,Y996,nCUENTA,1,nASIG,"Análisis"),"")))</f>
        <v/>
      </c>
      <c r="AA996" t="str">
        <f>IF(Y996="","",IF(Y996="[FÓRMULA MANUAL]","",IFERROR(AVERAGEIFS(nNOTA,nNIA,Y996,nCUENTA,1,nASIG,"Orquesta/Banda/Conjunto"),"")))</f>
        <v/>
      </c>
      <c r="AB996" t="str">
        <f>IF(Y996="","",IF(Y996="[FÓRMULA MANUAL]","",IFERROR(AVERAGEIFS(nNOTA,nNIA,Y996,nCUENTA,1,nASIG,"Música de Cámara"),"")))</f>
        <v/>
      </c>
      <c r="AC996" t="str">
        <f>IF(Y996="","",IF(Y996="[FÓRMULA MANUAL]","",IFERROR(SUMPRODUCT((nNIA=Y996)*(nCUENTA=1)*(COUNTIF(CONFIG_ASIGNATURAS!$B$7:$B$27,nASIG)&gt;0)*(nNOTA))/SUMPRODUCT((nNIA=Y996)*(nCUENTA=1)*(COUNTIF(CONFIG_ASIGNATURAS!$B$7:$B$27,nASIG)&gt;0)*1),"")))</f>
        <v/>
      </c>
      <c r="AF996" t="str">
        <f>IF(AE996="","",IF(AE996="[FÓRMULA MANUAL]","",IFERROR(AVERAGEIFS(nNOTA,nNIA,AE996,nCUENTA,1,nASIG,"Análisis"),"")))</f>
        <v/>
      </c>
      <c r="AG996" t="str">
        <f>IF(AE996="","",IF(AE996="[FÓRMULA MANUAL]","",IFERROR(AVERAGEIFS(nNOTA,nNIA,AE996,nCUENTA,1,nASIG,"Orquesta/Banda/Conjunto"),"")))</f>
        <v/>
      </c>
      <c r="AH996" t="str">
        <f>IF(AE996="","",IF(AE996="[FÓRMULA MANUAL]","",IFERROR(AVERAGEIFS(nNOTA,nNIA,AE996,nCUENTA,1,nASIG,"Música de Cámara"),"")))</f>
        <v/>
      </c>
      <c r="AI996" t="str">
        <f>IF(AE996="","",IF(AE996="[FÓRMULA MANUAL]","",IFERROR(SUMPRODUCT((nNIA=AE996)*(nCUENTA=1)*(COUNTIF(CONFIG_ASIGNATURAS!$B$7:$B$27,nASIG)&gt;0)*(nNOTA))/SUMPRODUCT((nNIA=AE996)*(nCUENTA=1)*(COUNTIF(CONFIG_ASIGNATURAS!$B$7:$B$27,nASIG)&gt;0)*1),"")))</f>
        <v/>
      </c>
    </row>
    <row r="997" spans="2:35" x14ac:dyDescent="0.2">
      <c r="B997" t="str">
        <f>IF(A997="","",IF(A997="[FÓRMULA MANUAL]","",IFERROR(AVERAGEIFS(nNOTA,nNIA,A997,nCUENTA,1,nASIG,"Lenguaje Musical"),"")))</f>
        <v/>
      </c>
      <c r="C997" t="str">
        <f>IF(A997="","",IF(A997="[FÓRMULA MANUAL]","",IFERROR(AVERAGEIFS(nNOTA,nNIA,A997,nCUENTA,1,nASIG,"Orquesta/Banda/Conjunto"),"")))</f>
        <v/>
      </c>
      <c r="D997" t="str">
        <f>IF(A997="","",IF(A997="[FÓRMULA MANUAL]","",IFERROR(AVERAGEIFS(nNOTA,nNIA,A997,nCUENTA,1,nASIG,"Conjunto"),"")))</f>
        <v/>
      </c>
      <c r="E997" t="str">
        <f>IF(A997="","",IF(A997="[FÓRMULA MANUAL]","",IFERROR(SUMPRODUCT((nNIA=A997)*(nCUENTA=1)*(COUNTIF(CONFIG_ASIGNATURAS!$B$7:$B$27,nASIG)&gt;0)*(nNOTA))/SUMPRODUCT((nNIA=A997)*(nCUENTA=1)*(COUNTIF(CONFIG_ASIGNATURAS!$B$7:$B$27,nASIG)&gt;0)*1),"")))</f>
        <v/>
      </c>
      <c r="H997" t="str">
        <f>IF(G997="","",IF(G997="[FÓRMULA MANUAL]","",IFERROR(AVERAGEIFS(nNOTA,nNIA,G997,nCUENTA,1,nASIG,"Lenguaje Musical"),"")))</f>
        <v/>
      </c>
      <c r="I997" t="str">
        <f>IF(G997="","",IF(G997="[FÓRMULA MANUAL]","",IFERROR(AVERAGEIFS(nNOTA,nNIA,G997,nCUENTA,1,nASIG,"Orquesta/Banda/Conjunto"),"")))</f>
        <v/>
      </c>
      <c r="J997" t="str">
        <f>IF(G997="","",IF(G997="[FÓRMULA MANUAL]","",IFERROR(AVERAGEIFS(nNOTA,nNIA,G997,nCUENTA,1,nASIG,"Conjunto"),"")))</f>
        <v/>
      </c>
      <c r="K997" t="str">
        <f>IF(G997="","",IF(G997="[FÓRMULA MANUAL]","",IFERROR(SUMPRODUCT((nNIA=G997)*(nCUENTA=1)*(COUNTIF(CONFIG_ASIGNATURAS!$B$7:$B$27,nASIG)&gt;0)*(nNOTA))/SUMPRODUCT((nNIA=G997)*(nCUENTA=1)*(COUNTIF(CONFIG_ASIGNATURAS!$B$7:$B$27,nASIG)&gt;0)*1),"")))</f>
        <v/>
      </c>
      <c r="N997" t="str">
        <f>IF(M997="","",IF(M997="[FÓRMULA MANUAL]","",IFERROR(AVERAGEIFS(nNOTA,nNIA,M997,nCUENTA,1,nASIG,"Armonía"),"")))</f>
        <v/>
      </c>
      <c r="O997" t="str">
        <f>IF(M997="","",IF(M997="[FÓRMULA MANUAL]","",IFERROR(AVERAGEIFS(nNOTA,nNIA,M997,nCUENTA,1,nASIG,"Orquesta/Banda/Conjunto"),"")))</f>
        <v/>
      </c>
      <c r="P997" t="str">
        <f>IF(M997="","",IF(M997="[FÓRMULA MANUAL]","",IFERROR(AVERAGEIFS(nNOTA,nNIA,M997,nCUENTA,1,nASIG,"Música de Cámara"),"")))</f>
        <v/>
      </c>
      <c r="Q997" t="str">
        <f>IF(M997="","",IF(M997="[FÓRMULA MANUAL]","",IFERROR(SUMPRODUCT((nNIA=M997)*(nCUENTA=1)*(COUNTIF(CONFIG_ASIGNATURAS!$B$7:$B$27,nASIG)&gt;0)*(nNOTA))/SUMPRODUCT((nNIA=M997)*(nCUENTA=1)*(COUNTIF(CONFIG_ASIGNATURAS!$B$7:$B$27,nASIG)&gt;0)*1),"")))</f>
        <v/>
      </c>
      <c r="T997" t="str">
        <f>IF(S997="","",IF(S997="[FÓRMULA MANUAL]","",IFERROR(AVERAGEIFS(nNOTA,nNIA,S997,nCUENTA,1,nASIG,"Armonía"),"")))</f>
        <v/>
      </c>
      <c r="U997" t="str">
        <f>IF(S997="","",IF(S997="[FÓRMULA MANUAL]","",IFERROR(AVERAGEIFS(nNOTA,nNIA,S997,nCUENTA,1,nASIG,"Orquesta/Banda/Conjunto"),"")))</f>
        <v/>
      </c>
      <c r="V997" t="str">
        <f>IF(S997="","",IF(S997="[FÓRMULA MANUAL]","",IFERROR(AVERAGEIFS(nNOTA,nNIA,S997,nCUENTA,1,nASIG,"Música de Cámara"),"")))</f>
        <v/>
      </c>
      <c r="W997" t="str">
        <f>IF(S997="","",IF(S997="[FÓRMULA MANUAL]","",IFERROR(SUMPRODUCT((nNIA=S997)*(nCUENTA=1)*(COUNTIF(CONFIG_ASIGNATURAS!$B$7:$B$27,nASIG)&gt;0)*(nNOTA))/SUMPRODUCT((nNIA=S997)*(nCUENTA=1)*(COUNTIF(CONFIG_ASIGNATURAS!$B$7:$B$27,nASIG)&gt;0)*1),"")))</f>
        <v/>
      </c>
      <c r="Z997" t="str">
        <f>IF(Y997="","",IF(Y997="[FÓRMULA MANUAL]","",IFERROR(AVERAGEIFS(nNOTA,nNIA,Y997,nCUENTA,1,nASIG,"Análisis"),"")))</f>
        <v/>
      </c>
      <c r="AA997" t="str">
        <f>IF(Y997="","",IF(Y997="[FÓRMULA MANUAL]","",IFERROR(AVERAGEIFS(nNOTA,nNIA,Y997,nCUENTA,1,nASIG,"Orquesta/Banda/Conjunto"),"")))</f>
        <v/>
      </c>
      <c r="AB997" t="str">
        <f>IF(Y997="","",IF(Y997="[FÓRMULA MANUAL]","",IFERROR(AVERAGEIFS(nNOTA,nNIA,Y997,nCUENTA,1,nASIG,"Música de Cámara"),"")))</f>
        <v/>
      </c>
      <c r="AC997" t="str">
        <f>IF(Y997="","",IF(Y997="[FÓRMULA MANUAL]","",IFERROR(SUMPRODUCT((nNIA=Y997)*(nCUENTA=1)*(COUNTIF(CONFIG_ASIGNATURAS!$B$7:$B$27,nASIG)&gt;0)*(nNOTA))/SUMPRODUCT((nNIA=Y997)*(nCUENTA=1)*(COUNTIF(CONFIG_ASIGNATURAS!$B$7:$B$27,nASIG)&gt;0)*1),"")))</f>
        <v/>
      </c>
      <c r="AF997" t="str">
        <f>IF(AE997="","",IF(AE997="[FÓRMULA MANUAL]","",IFERROR(AVERAGEIFS(nNOTA,nNIA,AE997,nCUENTA,1,nASIG,"Análisis"),"")))</f>
        <v/>
      </c>
      <c r="AG997" t="str">
        <f>IF(AE997="","",IF(AE997="[FÓRMULA MANUAL]","",IFERROR(AVERAGEIFS(nNOTA,nNIA,AE997,nCUENTA,1,nASIG,"Orquesta/Banda/Conjunto"),"")))</f>
        <v/>
      </c>
      <c r="AH997" t="str">
        <f>IF(AE997="","",IF(AE997="[FÓRMULA MANUAL]","",IFERROR(AVERAGEIFS(nNOTA,nNIA,AE997,nCUENTA,1,nASIG,"Música de Cámara"),"")))</f>
        <v/>
      </c>
      <c r="AI997" t="str">
        <f>IF(AE997="","",IF(AE997="[FÓRMULA MANUAL]","",IFERROR(SUMPRODUCT((nNIA=AE997)*(nCUENTA=1)*(COUNTIF(CONFIG_ASIGNATURAS!$B$7:$B$27,nASIG)&gt;0)*(nNOTA))/SUMPRODUCT((nNIA=AE997)*(nCUENTA=1)*(COUNTIF(CONFIG_ASIGNATURAS!$B$7:$B$27,nASIG)&gt;0)*1),"")))</f>
        <v/>
      </c>
    </row>
    <row r="998" spans="2:35" x14ac:dyDescent="0.2">
      <c r="B998" t="str">
        <f>IF(A998="","",IF(A998="[FÓRMULA MANUAL]","",IFERROR(AVERAGEIFS(nNOTA,nNIA,A998,nCUENTA,1,nASIG,"Lenguaje Musical"),"")))</f>
        <v/>
      </c>
      <c r="C998" t="str">
        <f>IF(A998="","",IF(A998="[FÓRMULA MANUAL]","",IFERROR(AVERAGEIFS(nNOTA,nNIA,A998,nCUENTA,1,nASIG,"Orquesta/Banda/Conjunto"),"")))</f>
        <v/>
      </c>
      <c r="D998" t="str">
        <f>IF(A998="","",IF(A998="[FÓRMULA MANUAL]","",IFERROR(AVERAGEIFS(nNOTA,nNIA,A998,nCUENTA,1,nASIG,"Conjunto"),"")))</f>
        <v/>
      </c>
      <c r="E998" t="str">
        <f>IF(A998="","",IF(A998="[FÓRMULA MANUAL]","",IFERROR(SUMPRODUCT((nNIA=A998)*(nCUENTA=1)*(COUNTIF(CONFIG_ASIGNATURAS!$B$7:$B$27,nASIG)&gt;0)*(nNOTA))/SUMPRODUCT((nNIA=A998)*(nCUENTA=1)*(COUNTIF(CONFIG_ASIGNATURAS!$B$7:$B$27,nASIG)&gt;0)*1),"")))</f>
        <v/>
      </c>
      <c r="H998" t="str">
        <f>IF(G998="","",IF(G998="[FÓRMULA MANUAL]","",IFERROR(AVERAGEIFS(nNOTA,nNIA,G998,nCUENTA,1,nASIG,"Lenguaje Musical"),"")))</f>
        <v/>
      </c>
      <c r="I998" t="str">
        <f>IF(G998="","",IF(G998="[FÓRMULA MANUAL]","",IFERROR(AVERAGEIFS(nNOTA,nNIA,G998,nCUENTA,1,nASIG,"Orquesta/Banda/Conjunto"),"")))</f>
        <v/>
      </c>
      <c r="J998" t="str">
        <f>IF(G998="","",IF(G998="[FÓRMULA MANUAL]","",IFERROR(AVERAGEIFS(nNOTA,nNIA,G998,nCUENTA,1,nASIG,"Conjunto"),"")))</f>
        <v/>
      </c>
      <c r="K998" t="str">
        <f>IF(G998="","",IF(G998="[FÓRMULA MANUAL]","",IFERROR(SUMPRODUCT((nNIA=G998)*(nCUENTA=1)*(COUNTIF(CONFIG_ASIGNATURAS!$B$7:$B$27,nASIG)&gt;0)*(nNOTA))/SUMPRODUCT((nNIA=G998)*(nCUENTA=1)*(COUNTIF(CONFIG_ASIGNATURAS!$B$7:$B$27,nASIG)&gt;0)*1),"")))</f>
        <v/>
      </c>
      <c r="N998" t="str">
        <f>IF(M998="","",IF(M998="[FÓRMULA MANUAL]","",IFERROR(AVERAGEIFS(nNOTA,nNIA,M998,nCUENTA,1,nASIG,"Armonía"),"")))</f>
        <v/>
      </c>
      <c r="O998" t="str">
        <f>IF(M998="","",IF(M998="[FÓRMULA MANUAL]","",IFERROR(AVERAGEIFS(nNOTA,nNIA,M998,nCUENTA,1,nASIG,"Orquesta/Banda/Conjunto"),"")))</f>
        <v/>
      </c>
      <c r="P998" t="str">
        <f>IF(M998="","",IF(M998="[FÓRMULA MANUAL]","",IFERROR(AVERAGEIFS(nNOTA,nNIA,M998,nCUENTA,1,nASIG,"Música de Cámara"),"")))</f>
        <v/>
      </c>
      <c r="Q998" t="str">
        <f>IF(M998="","",IF(M998="[FÓRMULA MANUAL]","",IFERROR(SUMPRODUCT((nNIA=M998)*(nCUENTA=1)*(COUNTIF(CONFIG_ASIGNATURAS!$B$7:$B$27,nASIG)&gt;0)*(nNOTA))/SUMPRODUCT((nNIA=M998)*(nCUENTA=1)*(COUNTIF(CONFIG_ASIGNATURAS!$B$7:$B$27,nASIG)&gt;0)*1),"")))</f>
        <v/>
      </c>
      <c r="T998" t="str">
        <f>IF(S998="","",IF(S998="[FÓRMULA MANUAL]","",IFERROR(AVERAGEIFS(nNOTA,nNIA,S998,nCUENTA,1,nASIG,"Armonía"),"")))</f>
        <v/>
      </c>
      <c r="U998" t="str">
        <f>IF(S998="","",IF(S998="[FÓRMULA MANUAL]","",IFERROR(AVERAGEIFS(nNOTA,nNIA,S998,nCUENTA,1,nASIG,"Orquesta/Banda/Conjunto"),"")))</f>
        <v/>
      </c>
      <c r="V998" t="str">
        <f>IF(S998="","",IF(S998="[FÓRMULA MANUAL]","",IFERROR(AVERAGEIFS(nNOTA,nNIA,S998,nCUENTA,1,nASIG,"Música de Cámara"),"")))</f>
        <v/>
      </c>
      <c r="W998" t="str">
        <f>IF(S998="","",IF(S998="[FÓRMULA MANUAL]","",IFERROR(SUMPRODUCT((nNIA=S998)*(nCUENTA=1)*(COUNTIF(CONFIG_ASIGNATURAS!$B$7:$B$27,nASIG)&gt;0)*(nNOTA))/SUMPRODUCT((nNIA=S998)*(nCUENTA=1)*(COUNTIF(CONFIG_ASIGNATURAS!$B$7:$B$27,nASIG)&gt;0)*1),"")))</f>
        <v/>
      </c>
      <c r="Z998" t="str">
        <f>IF(Y998="","",IF(Y998="[FÓRMULA MANUAL]","",IFERROR(AVERAGEIFS(nNOTA,nNIA,Y998,nCUENTA,1,nASIG,"Análisis"),"")))</f>
        <v/>
      </c>
      <c r="AA998" t="str">
        <f>IF(Y998="","",IF(Y998="[FÓRMULA MANUAL]","",IFERROR(AVERAGEIFS(nNOTA,nNIA,Y998,nCUENTA,1,nASIG,"Orquesta/Banda/Conjunto"),"")))</f>
        <v/>
      </c>
      <c r="AB998" t="str">
        <f>IF(Y998="","",IF(Y998="[FÓRMULA MANUAL]","",IFERROR(AVERAGEIFS(nNOTA,nNIA,Y998,nCUENTA,1,nASIG,"Música de Cámara"),"")))</f>
        <v/>
      </c>
      <c r="AC998" t="str">
        <f>IF(Y998="","",IF(Y998="[FÓRMULA MANUAL]","",IFERROR(SUMPRODUCT((nNIA=Y998)*(nCUENTA=1)*(COUNTIF(CONFIG_ASIGNATURAS!$B$7:$B$27,nASIG)&gt;0)*(nNOTA))/SUMPRODUCT((nNIA=Y998)*(nCUENTA=1)*(COUNTIF(CONFIG_ASIGNATURAS!$B$7:$B$27,nASIG)&gt;0)*1),"")))</f>
        <v/>
      </c>
      <c r="AF998" t="str">
        <f>IF(AE998="","",IF(AE998="[FÓRMULA MANUAL]","",IFERROR(AVERAGEIFS(nNOTA,nNIA,AE998,nCUENTA,1,nASIG,"Análisis"),"")))</f>
        <v/>
      </c>
      <c r="AG998" t="str">
        <f>IF(AE998="","",IF(AE998="[FÓRMULA MANUAL]","",IFERROR(AVERAGEIFS(nNOTA,nNIA,AE998,nCUENTA,1,nASIG,"Orquesta/Banda/Conjunto"),"")))</f>
        <v/>
      </c>
      <c r="AH998" t="str">
        <f>IF(AE998="","",IF(AE998="[FÓRMULA MANUAL]","",IFERROR(AVERAGEIFS(nNOTA,nNIA,AE998,nCUENTA,1,nASIG,"Música de Cámara"),"")))</f>
        <v/>
      </c>
      <c r="AI998" t="str">
        <f>IF(AE998="","",IF(AE998="[FÓRMULA MANUAL]","",IFERROR(SUMPRODUCT((nNIA=AE998)*(nCUENTA=1)*(COUNTIF(CONFIG_ASIGNATURAS!$B$7:$B$27,nASIG)&gt;0)*(nNOTA))/SUMPRODUCT((nNIA=AE998)*(nCUENTA=1)*(COUNTIF(CONFIG_ASIGNATURAS!$B$7:$B$27,nASIG)&gt;0)*1),"")))</f>
        <v/>
      </c>
    </row>
    <row r="999" spans="2:35" x14ac:dyDescent="0.2">
      <c r="B999" t="str">
        <f>IF(A999="","",IF(A999="[FÓRMULA MANUAL]","",IFERROR(AVERAGEIFS(nNOTA,nNIA,A999,nCUENTA,1,nASIG,"Lenguaje Musical"),"")))</f>
        <v/>
      </c>
      <c r="C999" t="str">
        <f>IF(A999="","",IF(A999="[FÓRMULA MANUAL]","",IFERROR(AVERAGEIFS(nNOTA,nNIA,A999,nCUENTA,1,nASIG,"Orquesta/Banda/Conjunto"),"")))</f>
        <v/>
      </c>
      <c r="D999" t="str">
        <f>IF(A999="","",IF(A999="[FÓRMULA MANUAL]","",IFERROR(AVERAGEIFS(nNOTA,nNIA,A999,nCUENTA,1,nASIG,"Conjunto"),"")))</f>
        <v/>
      </c>
      <c r="E999" t="str">
        <f>IF(A999="","",IF(A999="[FÓRMULA MANUAL]","",IFERROR(SUMPRODUCT((nNIA=A999)*(nCUENTA=1)*(COUNTIF(CONFIG_ASIGNATURAS!$B$7:$B$27,nASIG)&gt;0)*(nNOTA))/SUMPRODUCT((nNIA=A999)*(nCUENTA=1)*(COUNTIF(CONFIG_ASIGNATURAS!$B$7:$B$27,nASIG)&gt;0)*1),"")))</f>
        <v/>
      </c>
      <c r="H999" t="str">
        <f>IF(G999="","",IF(G999="[FÓRMULA MANUAL]","",IFERROR(AVERAGEIFS(nNOTA,nNIA,G999,nCUENTA,1,nASIG,"Lenguaje Musical"),"")))</f>
        <v/>
      </c>
      <c r="I999" t="str">
        <f>IF(G999="","",IF(G999="[FÓRMULA MANUAL]","",IFERROR(AVERAGEIFS(nNOTA,nNIA,G999,nCUENTA,1,nASIG,"Orquesta/Banda/Conjunto"),"")))</f>
        <v/>
      </c>
      <c r="J999" t="str">
        <f>IF(G999="","",IF(G999="[FÓRMULA MANUAL]","",IFERROR(AVERAGEIFS(nNOTA,nNIA,G999,nCUENTA,1,nASIG,"Conjunto"),"")))</f>
        <v/>
      </c>
      <c r="K999" t="str">
        <f>IF(G999="","",IF(G999="[FÓRMULA MANUAL]","",IFERROR(SUMPRODUCT((nNIA=G999)*(nCUENTA=1)*(COUNTIF(CONFIG_ASIGNATURAS!$B$7:$B$27,nASIG)&gt;0)*(nNOTA))/SUMPRODUCT((nNIA=G999)*(nCUENTA=1)*(COUNTIF(CONFIG_ASIGNATURAS!$B$7:$B$27,nASIG)&gt;0)*1),"")))</f>
        <v/>
      </c>
      <c r="N999" t="str">
        <f>IF(M999="","",IF(M999="[FÓRMULA MANUAL]","",IFERROR(AVERAGEIFS(nNOTA,nNIA,M999,nCUENTA,1,nASIG,"Armonía"),"")))</f>
        <v/>
      </c>
      <c r="O999" t="str">
        <f>IF(M999="","",IF(M999="[FÓRMULA MANUAL]","",IFERROR(AVERAGEIFS(nNOTA,nNIA,M999,nCUENTA,1,nASIG,"Orquesta/Banda/Conjunto"),"")))</f>
        <v/>
      </c>
      <c r="P999" t="str">
        <f>IF(M999="","",IF(M999="[FÓRMULA MANUAL]","",IFERROR(AVERAGEIFS(nNOTA,nNIA,M999,nCUENTA,1,nASIG,"Música de Cámara"),"")))</f>
        <v/>
      </c>
      <c r="Q999" t="str">
        <f>IF(M999="","",IF(M999="[FÓRMULA MANUAL]","",IFERROR(SUMPRODUCT((nNIA=M999)*(nCUENTA=1)*(COUNTIF(CONFIG_ASIGNATURAS!$B$7:$B$27,nASIG)&gt;0)*(nNOTA))/SUMPRODUCT((nNIA=M999)*(nCUENTA=1)*(COUNTIF(CONFIG_ASIGNATURAS!$B$7:$B$27,nASIG)&gt;0)*1),"")))</f>
        <v/>
      </c>
      <c r="T999" t="str">
        <f>IF(S999="","",IF(S999="[FÓRMULA MANUAL]","",IFERROR(AVERAGEIFS(nNOTA,nNIA,S999,nCUENTA,1,nASIG,"Armonía"),"")))</f>
        <v/>
      </c>
      <c r="U999" t="str">
        <f>IF(S999="","",IF(S999="[FÓRMULA MANUAL]","",IFERROR(AVERAGEIFS(nNOTA,nNIA,S999,nCUENTA,1,nASIG,"Orquesta/Banda/Conjunto"),"")))</f>
        <v/>
      </c>
      <c r="V999" t="str">
        <f>IF(S999="","",IF(S999="[FÓRMULA MANUAL]","",IFERROR(AVERAGEIFS(nNOTA,nNIA,S999,nCUENTA,1,nASIG,"Música de Cámara"),"")))</f>
        <v/>
      </c>
      <c r="W999" t="str">
        <f>IF(S999="","",IF(S999="[FÓRMULA MANUAL]","",IFERROR(SUMPRODUCT((nNIA=S999)*(nCUENTA=1)*(COUNTIF(CONFIG_ASIGNATURAS!$B$7:$B$27,nASIG)&gt;0)*(nNOTA))/SUMPRODUCT((nNIA=S999)*(nCUENTA=1)*(COUNTIF(CONFIG_ASIGNATURAS!$B$7:$B$27,nASIG)&gt;0)*1),"")))</f>
        <v/>
      </c>
      <c r="Z999" t="str">
        <f>IF(Y999="","",IF(Y999="[FÓRMULA MANUAL]","",IFERROR(AVERAGEIFS(nNOTA,nNIA,Y999,nCUENTA,1,nASIG,"Análisis"),"")))</f>
        <v/>
      </c>
      <c r="AA999" t="str">
        <f>IF(Y999="","",IF(Y999="[FÓRMULA MANUAL]","",IFERROR(AVERAGEIFS(nNOTA,nNIA,Y999,nCUENTA,1,nASIG,"Orquesta/Banda/Conjunto"),"")))</f>
        <v/>
      </c>
      <c r="AB999" t="str">
        <f>IF(Y999="","",IF(Y999="[FÓRMULA MANUAL]","",IFERROR(AVERAGEIFS(nNOTA,nNIA,Y999,nCUENTA,1,nASIG,"Música de Cámara"),"")))</f>
        <v/>
      </c>
      <c r="AC999" t="str">
        <f>IF(Y999="","",IF(Y999="[FÓRMULA MANUAL]","",IFERROR(SUMPRODUCT((nNIA=Y999)*(nCUENTA=1)*(COUNTIF(CONFIG_ASIGNATURAS!$B$7:$B$27,nASIG)&gt;0)*(nNOTA))/SUMPRODUCT((nNIA=Y999)*(nCUENTA=1)*(COUNTIF(CONFIG_ASIGNATURAS!$B$7:$B$27,nASIG)&gt;0)*1),"")))</f>
        <v/>
      </c>
      <c r="AF999" t="str">
        <f>IF(AE999="","",IF(AE999="[FÓRMULA MANUAL]","",IFERROR(AVERAGEIFS(nNOTA,nNIA,AE999,nCUENTA,1,nASIG,"Análisis"),"")))</f>
        <v/>
      </c>
      <c r="AG999" t="str">
        <f>IF(AE999="","",IF(AE999="[FÓRMULA MANUAL]","",IFERROR(AVERAGEIFS(nNOTA,nNIA,AE999,nCUENTA,1,nASIG,"Orquesta/Banda/Conjunto"),"")))</f>
        <v/>
      </c>
      <c r="AH999" t="str">
        <f>IF(AE999="","",IF(AE999="[FÓRMULA MANUAL]","",IFERROR(AVERAGEIFS(nNOTA,nNIA,AE999,nCUENTA,1,nASIG,"Música de Cámara"),"")))</f>
        <v/>
      </c>
      <c r="AI999" t="str">
        <f>IF(AE999="","",IF(AE999="[FÓRMULA MANUAL]","",IFERROR(SUMPRODUCT((nNIA=AE999)*(nCUENTA=1)*(COUNTIF(CONFIG_ASIGNATURAS!$B$7:$B$27,nASIG)&gt;0)*(nNOTA))/SUMPRODUCT((nNIA=AE999)*(nCUENTA=1)*(COUNTIF(CONFIG_ASIGNATURAS!$B$7:$B$27,nASIG)&gt;0)*1),"")))</f>
        <v/>
      </c>
    </row>
    <row r="1000" spans="2:35" x14ac:dyDescent="0.2">
      <c r="B1000" t="str">
        <f>IF(A1000="","",IF(A1000="[FÓRMULA MANUAL]","",IFERROR(AVERAGEIFS(nNOTA,nNIA,A1000,nCUENTA,1,nASIG,"Lenguaje Musical"),"")))</f>
        <v/>
      </c>
      <c r="C1000" t="str">
        <f>IF(A1000="","",IF(A1000="[FÓRMULA MANUAL]","",IFERROR(AVERAGEIFS(nNOTA,nNIA,A1000,nCUENTA,1,nASIG,"Orquesta/Banda/Conjunto"),"")))</f>
        <v/>
      </c>
      <c r="D1000" t="str">
        <f>IF(A1000="","",IF(A1000="[FÓRMULA MANUAL]","",IFERROR(AVERAGEIFS(nNOTA,nNIA,A1000,nCUENTA,1,nASIG,"Conjunto"),"")))</f>
        <v/>
      </c>
      <c r="E1000" t="str">
        <f>IF(A1000="","",IF(A1000="[FÓRMULA MANUAL]","",IFERROR(SUMPRODUCT((nNIA=A1000)*(nCUENTA=1)*(COUNTIF(CONFIG_ASIGNATURAS!$B$7:$B$27,nASIG)&gt;0)*(nNOTA))/SUMPRODUCT((nNIA=A1000)*(nCUENTA=1)*(COUNTIF(CONFIG_ASIGNATURAS!$B$7:$B$27,nASIG)&gt;0)*1),"")))</f>
        <v/>
      </c>
      <c r="H1000" t="str">
        <f>IF(G1000="","",IF(G1000="[FÓRMULA MANUAL]","",IFERROR(AVERAGEIFS(nNOTA,nNIA,G1000,nCUENTA,1,nASIG,"Lenguaje Musical"),"")))</f>
        <v/>
      </c>
      <c r="I1000" t="str">
        <f>IF(G1000="","",IF(G1000="[FÓRMULA MANUAL]","",IFERROR(AVERAGEIFS(nNOTA,nNIA,G1000,nCUENTA,1,nASIG,"Orquesta/Banda/Conjunto"),"")))</f>
        <v/>
      </c>
      <c r="J1000" t="str">
        <f>IF(G1000="","",IF(G1000="[FÓRMULA MANUAL]","",IFERROR(AVERAGEIFS(nNOTA,nNIA,G1000,nCUENTA,1,nASIG,"Conjunto"),"")))</f>
        <v/>
      </c>
      <c r="K1000" t="str">
        <f>IF(G1000="","",IF(G1000="[FÓRMULA MANUAL]","",IFERROR(SUMPRODUCT((nNIA=G1000)*(nCUENTA=1)*(COUNTIF(CONFIG_ASIGNATURAS!$B$7:$B$27,nASIG)&gt;0)*(nNOTA))/SUMPRODUCT((nNIA=G1000)*(nCUENTA=1)*(COUNTIF(CONFIG_ASIGNATURAS!$B$7:$B$27,nASIG)&gt;0)*1),"")))</f>
        <v/>
      </c>
      <c r="N1000" t="str">
        <f>IF(M1000="","",IF(M1000="[FÓRMULA MANUAL]","",IFERROR(AVERAGEIFS(nNOTA,nNIA,M1000,nCUENTA,1,nASIG,"Armonía"),"")))</f>
        <v/>
      </c>
      <c r="O1000" t="str">
        <f>IF(M1000="","",IF(M1000="[FÓRMULA MANUAL]","",IFERROR(AVERAGEIFS(nNOTA,nNIA,M1000,nCUENTA,1,nASIG,"Orquesta/Banda/Conjunto"),"")))</f>
        <v/>
      </c>
      <c r="P1000" t="str">
        <f>IF(M1000="","",IF(M1000="[FÓRMULA MANUAL]","",IFERROR(AVERAGEIFS(nNOTA,nNIA,M1000,nCUENTA,1,nASIG,"Música de Cámara"),"")))</f>
        <v/>
      </c>
      <c r="Q1000" t="str">
        <f>IF(M1000="","",IF(M1000="[FÓRMULA MANUAL]","",IFERROR(SUMPRODUCT((nNIA=M1000)*(nCUENTA=1)*(COUNTIF(CONFIG_ASIGNATURAS!$B$7:$B$27,nASIG)&gt;0)*(nNOTA))/SUMPRODUCT((nNIA=M1000)*(nCUENTA=1)*(COUNTIF(CONFIG_ASIGNATURAS!$B$7:$B$27,nASIG)&gt;0)*1),"")))</f>
        <v/>
      </c>
      <c r="T1000" t="str">
        <f>IF(S1000="","",IF(S1000="[FÓRMULA MANUAL]","",IFERROR(AVERAGEIFS(nNOTA,nNIA,S1000,nCUENTA,1,nASIG,"Armonía"),"")))</f>
        <v/>
      </c>
      <c r="U1000" t="str">
        <f>IF(S1000="","",IF(S1000="[FÓRMULA MANUAL]","",IFERROR(AVERAGEIFS(nNOTA,nNIA,S1000,nCUENTA,1,nASIG,"Orquesta/Banda/Conjunto"),"")))</f>
        <v/>
      </c>
      <c r="V1000" t="str">
        <f>IF(S1000="","",IF(S1000="[FÓRMULA MANUAL]","",IFERROR(AVERAGEIFS(nNOTA,nNIA,S1000,nCUENTA,1,nASIG,"Música de Cámara"),"")))</f>
        <v/>
      </c>
      <c r="W1000" t="str">
        <f>IF(S1000="","",IF(S1000="[FÓRMULA MANUAL]","",IFERROR(SUMPRODUCT((nNIA=S1000)*(nCUENTA=1)*(COUNTIF(CONFIG_ASIGNATURAS!$B$7:$B$27,nASIG)&gt;0)*(nNOTA))/SUMPRODUCT((nNIA=S1000)*(nCUENTA=1)*(COUNTIF(CONFIG_ASIGNATURAS!$B$7:$B$27,nASIG)&gt;0)*1),"")))</f>
        <v/>
      </c>
      <c r="Z1000" t="str">
        <f>IF(Y1000="","",IF(Y1000="[FÓRMULA MANUAL]","",IFERROR(AVERAGEIFS(nNOTA,nNIA,Y1000,nCUENTA,1,nASIG,"Análisis"),"")))</f>
        <v/>
      </c>
      <c r="AA1000" t="str">
        <f>IF(Y1000="","",IF(Y1000="[FÓRMULA MANUAL]","",IFERROR(AVERAGEIFS(nNOTA,nNIA,Y1000,nCUENTA,1,nASIG,"Orquesta/Banda/Conjunto"),"")))</f>
        <v/>
      </c>
      <c r="AB1000" t="str">
        <f>IF(Y1000="","",IF(Y1000="[FÓRMULA MANUAL]","",IFERROR(AVERAGEIFS(nNOTA,nNIA,Y1000,nCUENTA,1,nASIG,"Música de Cámara"),"")))</f>
        <v/>
      </c>
      <c r="AC1000" t="str">
        <f>IF(Y1000="","",IF(Y1000="[FÓRMULA MANUAL]","",IFERROR(SUMPRODUCT((nNIA=Y1000)*(nCUENTA=1)*(COUNTIF(CONFIG_ASIGNATURAS!$B$7:$B$27,nASIG)&gt;0)*(nNOTA))/SUMPRODUCT((nNIA=Y1000)*(nCUENTA=1)*(COUNTIF(CONFIG_ASIGNATURAS!$B$7:$B$27,nASIG)&gt;0)*1),"")))</f>
        <v/>
      </c>
      <c r="AF1000" t="str">
        <f>IF(AE1000="","",IF(AE1000="[FÓRMULA MANUAL]","",IFERROR(AVERAGEIFS(nNOTA,nNIA,AE1000,nCUENTA,1,nASIG,"Análisis"),"")))</f>
        <v/>
      </c>
      <c r="AG1000" t="str">
        <f>IF(AE1000="","",IF(AE1000="[FÓRMULA MANUAL]","",IFERROR(AVERAGEIFS(nNOTA,nNIA,AE1000,nCUENTA,1,nASIG,"Orquesta/Banda/Conjunto"),"")))</f>
        <v/>
      </c>
      <c r="AH1000" t="str">
        <f>IF(AE1000="","",IF(AE1000="[FÓRMULA MANUAL]","",IFERROR(AVERAGEIFS(nNOTA,nNIA,AE1000,nCUENTA,1,nASIG,"Música de Cámara"),"")))</f>
        <v/>
      </c>
      <c r="AI1000" t="str">
        <f>IF(AE1000="","",IF(AE1000="[FÓRMULA MANUAL]","",IFERROR(SUMPRODUCT((nNIA=AE1000)*(nCUENTA=1)*(COUNTIF(CONFIG_ASIGNATURAS!$B$7:$B$27,nASIG)&gt;0)*(nNOTA))/SUMPRODUCT((nNIA=AE1000)*(nCUENTA=1)*(COUNTIF(CONFIG_ASIGNATURAS!$B$7:$B$27,nASIG)&gt;0)*1),"")))</f>
        <v/>
      </c>
    </row>
    <row r="1001" spans="2:35" x14ac:dyDescent="0.2">
      <c r="B1001" t="str">
        <f>IF(A1001="","",IF(A1001="[FÓRMULA MANUAL]","",IFERROR(AVERAGEIFS(nNOTA,nNIA,A1001,nCUENTA,1,nASIG,"Lenguaje Musical"),"")))</f>
        <v/>
      </c>
      <c r="C1001" t="str">
        <f>IF(A1001="","",IF(A1001="[FÓRMULA MANUAL]","",IFERROR(AVERAGEIFS(nNOTA,nNIA,A1001,nCUENTA,1,nASIG,"Orquesta/Banda/Conjunto"),"")))</f>
        <v/>
      </c>
      <c r="D1001" t="str">
        <f>IF(A1001="","",IF(A1001="[FÓRMULA MANUAL]","",IFERROR(AVERAGEIFS(nNOTA,nNIA,A1001,nCUENTA,1,nASIG,"Conjunto"),"")))</f>
        <v/>
      </c>
      <c r="E1001" t="str">
        <f>IF(A1001="","",IF(A1001="[FÓRMULA MANUAL]","",IFERROR(SUMPRODUCT((nNIA=A1001)*(nCUENTA=1)*(COUNTIF(CONFIG_ASIGNATURAS!$B$7:$B$27,nASIG)&gt;0)*(nNOTA))/SUMPRODUCT((nNIA=A1001)*(nCUENTA=1)*(COUNTIF(CONFIG_ASIGNATURAS!$B$7:$B$27,nASIG)&gt;0)*1),"")))</f>
        <v/>
      </c>
      <c r="H1001" t="str">
        <f>IF(G1001="","",IF(G1001="[FÓRMULA MANUAL]","",IFERROR(AVERAGEIFS(nNOTA,nNIA,G1001,nCUENTA,1,nASIG,"Lenguaje Musical"),"")))</f>
        <v/>
      </c>
      <c r="I1001" t="str">
        <f>IF(G1001="","",IF(G1001="[FÓRMULA MANUAL]","",IFERROR(AVERAGEIFS(nNOTA,nNIA,G1001,nCUENTA,1,nASIG,"Orquesta/Banda/Conjunto"),"")))</f>
        <v/>
      </c>
      <c r="J1001" t="str">
        <f>IF(G1001="","",IF(G1001="[FÓRMULA MANUAL]","",IFERROR(AVERAGEIFS(nNOTA,nNIA,G1001,nCUENTA,1,nASIG,"Conjunto"),"")))</f>
        <v/>
      </c>
      <c r="K1001" t="str">
        <f>IF(G1001="","",IF(G1001="[FÓRMULA MANUAL]","",IFERROR(SUMPRODUCT((nNIA=G1001)*(nCUENTA=1)*(COUNTIF(CONFIG_ASIGNATURAS!$B$7:$B$27,nASIG)&gt;0)*(nNOTA))/SUMPRODUCT((nNIA=G1001)*(nCUENTA=1)*(COUNTIF(CONFIG_ASIGNATURAS!$B$7:$B$27,nASIG)&gt;0)*1),"")))</f>
        <v/>
      </c>
      <c r="N1001" t="str">
        <f>IF(M1001="","",IF(M1001="[FÓRMULA MANUAL]","",IFERROR(AVERAGEIFS(nNOTA,nNIA,M1001,nCUENTA,1,nASIG,"Armonía"),"")))</f>
        <v/>
      </c>
      <c r="O1001" t="str">
        <f>IF(M1001="","",IF(M1001="[FÓRMULA MANUAL]","",IFERROR(AVERAGEIFS(nNOTA,nNIA,M1001,nCUENTA,1,nASIG,"Orquesta/Banda/Conjunto"),"")))</f>
        <v/>
      </c>
      <c r="P1001" t="str">
        <f>IF(M1001="","",IF(M1001="[FÓRMULA MANUAL]","",IFERROR(AVERAGEIFS(nNOTA,nNIA,M1001,nCUENTA,1,nASIG,"Música de Cámara"),"")))</f>
        <v/>
      </c>
      <c r="Q1001" t="str">
        <f>IF(M1001="","",IF(M1001="[FÓRMULA MANUAL]","",IFERROR(SUMPRODUCT((nNIA=M1001)*(nCUENTA=1)*(COUNTIF(CONFIG_ASIGNATURAS!$B$7:$B$27,nASIG)&gt;0)*(nNOTA))/SUMPRODUCT((nNIA=M1001)*(nCUENTA=1)*(COUNTIF(CONFIG_ASIGNATURAS!$B$7:$B$27,nASIG)&gt;0)*1),"")))</f>
        <v/>
      </c>
      <c r="T1001" t="str">
        <f>IF(S1001="","",IF(S1001="[FÓRMULA MANUAL]","",IFERROR(AVERAGEIFS(nNOTA,nNIA,S1001,nCUENTA,1,nASIG,"Armonía"),"")))</f>
        <v/>
      </c>
      <c r="U1001" t="str">
        <f>IF(S1001="","",IF(S1001="[FÓRMULA MANUAL]","",IFERROR(AVERAGEIFS(nNOTA,nNIA,S1001,nCUENTA,1,nASIG,"Orquesta/Banda/Conjunto"),"")))</f>
        <v/>
      </c>
      <c r="V1001" t="str">
        <f>IF(S1001="","",IF(S1001="[FÓRMULA MANUAL]","",IFERROR(AVERAGEIFS(nNOTA,nNIA,S1001,nCUENTA,1,nASIG,"Música de Cámara"),"")))</f>
        <v/>
      </c>
      <c r="W1001" t="str">
        <f>IF(S1001="","",IF(S1001="[FÓRMULA MANUAL]","",IFERROR(SUMPRODUCT((nNIA=S1001)*(nCUENTA=1)*(COUNTIF(CONFIG_ASIGNATURAS!$B$7:$B$27,nASIG)&gt;0)*(nNOTA))/SUMPRODUCT((nNIA=S1001)*(nCUENTA=1)*(COUNTIF(CONFIG_ASIGNATURAS!$B$7:$B$27,nASIG)&gt;0)*1),"")))</f>
        <v/>
      </c>
      <c r="Z1001" t="str">
        <f>IF(Y1001="","",IF(Y1001="[FÓRMULA MANUAL]","",IFERROR(AVERAGEIFS(nNOTA,nNIA,Y1001,nCUENTA,1,nASIG,"Análisis"),"")))</f>
        <v/>
      </c>
      <c r="AA1001" t="str">
        <f>IF(Y1001="","",IF(Y1001="[FÓRMULA MANUAL]","",IFERROR(AVERAGEIFS(nNOTA,nNIA,Y1001,nCUENTA,1,nASIG,"Orquesta/Banda/Conjunto"),"")))</f>
        <v/>
      </c>
      <c r="AB1001" t="str">
        <f>IF(Y1001="","",IF(Y1001="[FÓRMULA MANUAL]","",IFERROR(AVERAGEIFS(nNOTA,nNIA,Y1001,nCUENTA,1,nASIG,"Música de Cámara"),"")))</f>
        <v/>
      </c>
      <c r="AC1001" t="str">
        <f>IF(Y1001="","",IF(Y1001="[FÓRMULA MANUAL]","",IFERROR(SUMPRODUCT((nNIA=Y1001)*(nCUENTA=1)*(COUNTIF(CONFIG_ASIGNATURAS!$B$7:$B$27,nASIG)&gt;0)*(nNOTA))/SUMPRODUCT((nNIA=Y1001)*(nCUENTA=1)*(COUNTIF(CONFIG_ASIGNATURAS!$B$7:$B$27,nASIG)&gt;0)*1),"")))</f>
        <v/>
      </c>
      <c r="AF1001" t="str">
        <f>IF(AE1001="","",IF(AE1001="[FÓRMULA MANUAL]","",IFERROR(AVERAGEIFS(nNOTA,nNIA,AE1001,nCUENTA,1,nASIG,"Análisis"),"")))</f>
        <v/>
      </c>
      <c r="AG1001" t="str">
        <f>IF(AE1001="","",IF(AE1001="[FÓRMULA MANUAL]","",IFERROR(AVERAGEIFS(nNOTA,nNIA,AE1001,nCUENTA,1,nASIG,"Orquesta/Banda/Conjunto"),"")))</f>
        <v/>
      </c>
      <c r="AH1001" t="str">
        <f>IF(AE1001="","",IF(AE1001="[FÓRMULA MANUAL]","",IFERROR(AVERAGEIFS(nNOTA,nNIA,AE1001,nCUENTA,1,nASIG,"Música de Cámara"),"")))</f>
        <v/>
      </c>
      <c r="AI1001" t="str">
        <f>IF(AE1001="","",IF(AE1001="[FÓRMULA MANUAL]","",IFERROR(SUMPRODUCT((nNIA=AE1001)*(nCUENTA=1)*(COUNTIF(CONFIG_ASIGNATURAS!$B$7:$B$27,nASIG)&gt;0)*(nNOTA))/SUMPRODUCT((nNIA=AE1001)*(nCUENTA=1)*(COUNTIF(CONFIG_ASIGNATURAS!$B$7:$B$27,nASIG)&gt;0)*1),"")))</f>
        <v/>
      </c>
    </row>
    <row r="1002" spans="2:35" x14ac:dyDescent="0.2">
      <c r="B1002" t="str">
        <f>IF(A1002="","",IF(A1002="[FÓRMULA MANUAL]","",IFERROR(AVERAGEIFS(nNOTA,nNIA,A1002,nCUENTA,1,nASIG,"Lenguaje Musical"),"")))</f>
        <v/>
      </c>
      <c r="C1002" t="str">
        <f>IF(A1002="","",IF(A1002="[FÓRMULA MANUAL]","",IFERROR(AVERAGEIFS(nNOTA,nNIA,A1002,nCUENTA,1,nASIG,"Orquesta/Banda/Conjunto"),"")))</f>
        <v/>
      </c>
      <c r="D1002" t="str">
        <f>IF(A1002="","",IF(A1002="[FÓRMULA MANUAL]","",IFERROR(AVERAGEIFS(nNOTA,nNIA,A1002,nCUENTA,1,nASIG,"Conjunto"),"")))</f>
        <v/>
      </c>
      <c r="E1002" t="str">
        <f>IF(A1002="","",IF(A1002="[FÓRMULA MANUAL]","",IFERROR(SUMPRODUCT((nNIA=A1002)*(nCUENTA=1)*(COUNTIF(CONFIG_ASIGNATURAS!$B$7:$B$27,nASIG)&gt;0)*(nNOTA))/SUMPRODUCT((nNIA=A1002)*(nCUENTA=1)*(COUNTIF(CONFIG_ASIGNATURAS!$B$7:$B$27,nASIG)&gt;0)*1),"")))</f>
        <v/>
      </c>
      <c r="H1002" t="str">
        <f>IF(G1002="","",IF(G1002="[FÓRMULA MANUAL]","",IFERROR(AVERAGEIFS(nNOTA,nNIA,G1002,nCUENTA,1,nASIG,"Lenguaje Musical"),"")))</f>
        <v/>
      </c>
      <c r="I1002" t="str">
        <f>IF(G1002="","",IF(G1002="[FÓRMULA MANUAL]","",IFERROR(AVERAGEIFS(nNOTA,nNIA,G1002,nCUENTA,1,nASIG,"Orquesta/Banda/Conjunto"),"")))</f>
        <v/>
      </c>
      <c r="J1002" t="str">
        <f>IF(G1002="","",IF(G1002="[FÓRMULA MANUAL]","",IFERROR(AVERAGEIFS(nNOTA,nNIA,G1002,nCUENTA,1,nASIG,"Conjunto"),"")))</f>
        <v/>
      </c>
      <c r="K1002" t="str">
        <f>IF(G1002="","",IF(G1002="[FÓRMULA MANUAL]","",IFERROR(SUMPRODUCT((nNIA=G1002)*(nCUENTA=1)*(COUNTIF(CONFIG_ASIGNATURAS!$B$7:$B$27,nASIG)&gt;0)*(nNOTA))/SUMPRODUCT((nNIA=G1002)*(nCUENTA=1)*(COUNTIF(CONFIG_ASIGNATURAS!$B$7:$B$27,nASIG)&gt;0)*1),"")))</f>
        <v/>
      </c>
      <c r="N1002" t="str">
        <f>IF(M1002="","",IF(M1002="[FÓRMULA MANUAL]","",IFERROR(AVERAGEIFS(nNOTA,nNIA,M1002,nCUENTA,1,nASIG,"Armonía"),"")))</f>
        <v/>
      </c>
      <c r="O1002" t="str">
        <f>IF(M1002="","",IF(M1002="[FÓRMULA MANUAL]","",IFERROR(AVERAGEIFS(nNOTA,nNIA,M1002,nCUENTA,1,nASIG,"Orquesta/Banda/Conjunto"),"")))</f>
        <v/>
      </c>
      <c r="P1002" t="str">
        <f>IF(M1002="","",IF(M1002="[FÓRMULA MANUAL]","",IFERROR(AVERAGEIFS(nNOTA,nNIA,M1002,nCUENTA,1,nASIG,"Música de Cámara"),"")))</f>
        <v/>
      </c>
      <c r="Q1002" t="str">
        <f>IF(M1002="","",IF(M1002="[FÓRMULA MANUAL]","",IFERROR(SUMPRODUCT((nNIA=M1002)*(nCUENTA=1)*(COUNTIF(CONFIG_ASIGNATURAS!$B$7:$B$27,nASIG)&gt;0)*(nNOTA))/SUMPRODUCT((nNIA=M1002)*(nCUENTA=1)*(COUNTIF(CONFIG_ASIGNATURAS!$B$7:$B$27,nASIG)&gt;0)*1),"")))</f>
        <v/>
      </c>
      <c r="T1002" t="str">
        <f>IF(S1002="","",IF(S1002="[FÓRMULA MANUAL]","",IFERROR(AVERAGEIFS(nNOTA,nNIA,S1002,nCUENTA,1,nASIG,"Armonía"),"")))</f>
        <v/>
      </c>
      <c r="U1002" t="str">
        <f>IF(S1002="","",IF(S1002="[FÓRMULA MANUAL]","",IFERROR(AVERAGEIFS(nNOTA,nNIA,S1002,nCUENTA,1,nASIG,"Orquesta/Banda/Conjunto"),"")))</f>
        <v/>
      </c>
      <c r="V1002" t="str">
        <f>IF(S1002="","",IF(S1002="[FÓRMULA MANUAL]","",IFERROR(AVERAGEIFS(nNOTA,nNIA,S1002,nCUENTA,1,nASIG,"Música de Cámara"),"")))</f>
        <v/>
      </c>
      <c r="W1002" t="str">
        <f>IF(S1002="","",IF(S1002="[FÓRMULA MANUAL]","",IFERROR(SUMPRODUCT((nNIA=S1002)*(nCUENTA=1)*(COUNTIF(CONFIG_ASIGNATURAS!$B$7:$B$27,nASIG)&gt;0)*(nNOTA))/SUMPRODUCT((nNIA=S1002)*(nCUENTA=1)*(COUNTIF(CONFIG_ASIGNATURAS!$B$7:$B$27,nASIG)&gt;0)*1),"")))</f>
        <v/>
      </c>
      <c r="Z1002" t="str">
        <f>IF(Y1002="","",IF(Y1002="[FÓRMULA MANUAL]","",IFERROR(AVERAGEIFS(nNOTA,nNIA,Y1002,nCUENTA,1,nASIG,"Análisis"),"")))</f>
        <v/>
      </c>
      <c r="AA1002" t="str">
        <f>IF(Y1002="","",IF(Y1002="[FÓRMULA MANUAL]","",IFERROR(AVERAGEIFS(nNOTA,nNIA,Y1002,nCUENTA,1,nASIG,"Orquesta/Banda/Conjunto"),"")))</f>
        <v/>
      </c>
      <c r="AB1002" t="str">
        <f>IF(Y1002="","",IF(Y1002="[FÓRMULA MANUAL]","",IFERROR(AVERAGEIFS(nNOTA,nNIA,Y1002,nCUENTA,1,nASIG,"Música de Cámara"),"")))</f>
        <v/>
      </c>
      <c r="AC1002" t="str">
        <f>IF(Y1002="","",IF(Y1002="[FÓRMULA MANUAL]","",IFERROR(SUMPRODUCT((nNIA=Y1002)*(nCUENTA=1)*(COUNTIF(CONFIG_ASIGNATURAS!$B$7:$B$27,nASIG)&gt;0)*(nNOTA))/SUMPRODUCT((nNIA=Y1002)*(nCUENTA=1)*(COUNTIF(CONFIG_ASIGNATURAS!$B$7:$B$27,nASIG)&gt;0)*1),"")))</f>
        <v/>
      </c>
      <c r="AF1002" t="str">
        <f>IF(AE1002="","",IF(AE1002="[FÓRMULA MANUAL]","",IFERROR(AVERAGEIFS(nNOTA,nNIA,AE1002,nCUENTA,1,nASIG,"Análisis"),"")))</f>
        <v/>
      </c>
      <c r="AG1002" t="str">
        <f>IF(AE1002="","",IF(AE1002="[FÓRMULA MANUAL]","",IFERROR(AVERAGEIFS(nNOTA,nNIA,AE1002,nCUENTA,1,nASIG,"Orquesta/Banda/Conjunto"),"")))</f>
        <v/>
      </c>
      <c r="AH1002" t="str">
        <f>IF(AE1002="","",IF(AE1002="[FÓRMULA MANUAL]","",IFERROR(AVERAGEIFS(nNOTA,nNIA,AE1002,nCUENTA,1,nASIG,"Música de Cámara"),"")))</f>
        <v/>
      </c>
      <c r="AI1002" t="str">
        <f>IF(AE1002="","",IF(AE1002="[FÓRMULA MANUAL]","",IFERROR(SUMPRODUCT((nNIA=AE1002)*(nCUENTA=1)*(COUNTIF(CONFIG_ASIGNATURAS!$B$7:$B$27,nASIG)&gt;0)*(nNOTA))/SUMPRODUCT((nNIA=AE1002)*(nCUENTA=1)*(COUNTIF(CONFIG_ASIGNATURAS!$B$7:$B$27,nASIG)&gt;0)*1),"")))</f>
        <v/>
      </c>
    </row>
    <row r="1003" spans="2:35" x14ac:dyDescent="0.2">
      <c r="B1003" t="str">
        <f>IF(A1003="","",IF(A1003="[FÓRMULA MANUAL]","",IFERROR(AVERAGEIFS(nNOTA,nNIA,A1003,nCUENTA,1,nASIG,"Lenguaje Musical"),"")))</f>
        <v/>
      </c>
      <c r="C1003" t="str">
        <f>IF(A1003="","",IF(A1003="[FÓRMULA MANUAL]","",IFERROR(AVERAGEIFS(nNOTA,nNIA,A1003,nCUENTA,1,nASIG,"Orquesta/Banda/Conjunto"),"")))</f>
        <v/>
      </c>
      <c r="D1003" t="str">
        <f>IF(A1003="","",IF(A1003="[FÓRMULA MANUAL]","",IFERROR(AVERAGEIFS(nNOTA,nNIA,A1003,nCUENTA,1,nASIG,"Conjunto"),"")))</f>
        <v/>
      </c>
      <c r="E1003" t="str">
        <f>IF(A1003="","",IF(A1003="[FÓRMULA MANUAL]","",IFERROR(SUMPRODUCT((nNIA=A1003)*(nCUENTA=1)*(COUNTIF(CONFIG_ASIGNATURAS!$B$7:$B$27,nASIG)&gt;0)*(nNOTA))/SUMPRODUCT((nNIA=A1003)*(nCUENTA=1)*(COUNTIF(CONFIG_ASIGNATURAS!$B$7:$B$27,nASIG)&gt;0)*1),"")))</f>
        <v/>
      </c>
      <c r="H1003" t="str">
        <f>IF(G1003="","",IF(G1003="[FÓRMULA MANUAL]","",IFERROR(AVERAGEIFS(nNOTA,nNIA,G1003,nCUENTA,1,nASIG,"Lenguaje Musical"),"")))</f>
        <v/>
      </c>
      <c r="I1003" t="str">
        <f>IF(G1003="","",IF(G1003="[FÓRMULA MANUAL]","",IFERROR(AVERAGEIFS(nNOTA,nNIA,G1003,nCUENTA,1,nASIG,"Orquesta/Banda/Conjunto"),"")))</f>
        <v/>
      </c>
      <c r="J1003" t="str">
        <f>IF(G1003="","",IF(G1003="[FÓRMULA MANUAL]","",IFERROR(AVERAGEIFS(nNOTA,nNIA,G1003,nCUENTA,1,nASIG,"Conjunto"),"")))</f>
        <v/>
      </c>
      <c r="K1003" t="str">
        <f>IF(G1003="","",IF(G1003="[FÓRMULA MANUAL]","",IFERROR(SUMPRODUCT((nNIA=G1003)*(nCUENTA=1)*(COUNTIF(CONFIG_ASIGNATURAS!$B$7:$B$27,nASIG)&gt;0)*(nNOTA))/SUMPRODUCT((nNIA=G1003)*(nCUENTA=1)*(COUNTIF(CONFIG_ASIGNATURAS!$B$7:$B$27,nASIG)&gt;0)*1),"")))</f>
        <v/>
      </c>
      <c r="N1003" t="str">
        <f>IF(M1003="","",IF(M1003="[FÓRMULA MANUAL]","",IFERROR(AVERAGEIFS(nNOTA,nNIA,M1003,nCUENTA,1,nASIG,"Armonía"),"")))</f>
        <v/>
      </c>
      <c r="O1003" t="str">
        <f>IF(M1003="","",IF(M1003="[FÓRMULA MANUAL]","",IFERROR(AVERAGEIFS(nNOTA,nNIA,M1003,nCUENTA,1,nASIG,"Orquesta/Banda/Conjunto"),"")))</f>
        <v/>
      </c>
      <c r="P1003" t="str">
        <f>IF(M1003="","",IF(M1003="[FÓRMULA MANUAL]","",IFERROR(AVERAGEIFS(nNOTA,nNIA,M1003,nCUENTA,1,nASIG,"Música de Cámara"),"")))</f>
        <v/>
      </c>
      <c r="Q1003" t="str">
        <f>IF(M1003="","",IF(M1003="[FÓRMULA MANUAL]","",IFERROR(SUMPRODUCT((nNIA=M1003)*(nCUENTA=1)*(COUNTIF(CONFIG_ASIGNATURAS!$B$7:$B$27,nASIG)&gt;0)*(nNOTA))/SUMPRODUCT((nNIA=M1003)*(nCUENTA=1)*(COUNTIF(CONFIG_ASIGNATURAS!$B$7:$B$27,nASIG)&gt;0)*1),"")))</f>
        <v/>
      </c>
      <c r="T1003" t="str">
        <f>IF(S1003="","",IF(S1003="[FÓRMULA MANUAL]","",IFERROR(AVERAGEIFS(nNOTA,nNIA,S1003,nCUENTA,1,nASIG,"Armonía"),"")))</f>
        <v/>
      </c>
      <c r="U1003" t="str">
        <f>IF(S1003="","",IF(S1003="[FÓRMULA MANUAL]","",IFERROR(AVERAGEIFS(nNOTA,nNIA,S1003,nCUENTA,1,nASIG,"Orquesta/Banda/Conjunto"),"")))</f>
        <v/>
      </c>
      <c r="V1003" t="str">
        <f>IF(S1003="","",IF(S1003="[FÓRMULA MANUAL]","",IFERROR(AVERAGEIFS(nNOTA,nNIA,S1003,nCUENTA,1,nASIG,"Música de Cámara"),"")))</f>
        <v/>
      </c>
      <c r="W1003" t="str">
        <f>IF(S1003="","",IF(S1003="[FÓRMULA MANUAL]","",IFERROR(SUMPRODUCT((nNIA=S1003)*(nCUENTA=1)*(COUNTIF(CONFIG_ASIGNATURAS!$B$7:$B$27,nASIG)&gt;0)*(nNOTA))/SUMPRODUCT((nNIA=S1003)*(nCUENTA=1)*(COUNTIF(CONFIG_ASIGNATURAS!$B$7:$B$27,nASIG)&gt;0)*1),"")))</f>
        <v/>
      </c>
      <c r="Z1003" t="str">
        <f>IF(Y1003="","",IF(Y1003="[FÓRMULA MANUAL]","",IFERROR(AVERAGEIFS(nNOTA,nNIA,Y1003,nCUENTA,1,nASIG,"Análisis"),"")))</f>
        <v/>
      </c>
      <c r="AA1003" t="str">
        <f>IF(Y1003="","",IF(Y1003="[FÓRMULA MANUAL]","",IFERROR(AVERAGEIFS(nNOTA,nNIA,Y1003,nCUENTA,1,nASIG,"Orquesta/Banda/Conjunto"),"")))</f>
        <v/>
      </c>
      <c r="AB1003" t="str">
        <f>IF(Y1003="","",IF(Y1003="[FÓRMULA MANUAL]","",IFERROR(AVERAGEIFS(nNOTA,nNIA,Y1003,nCUENTA,1,nASIG,"Música de Cámara"),"")))</f>
        <v/>
      </c>
      <c r="AC1003" t="str">
        <f>IF(Y1003="","",IF(Y1003="[FÓRMULA MANUAL]","",IFERROR(SUMPRODUCT((nNIA=Y1003)*(nCUENTA=1)*(COUNTIF(CONFIG_ASIGNATURAS!$B$7:$B$27,nASIG)&gt;0)*(nNOTA))/SUMPRODUCT((nNIA=Y1003)*(nCUENTA=1)*(COUNTIF(CONFIG_ASIGNATURAS!$B$7:$B$27,nASIG)&gt;0)*1),"")))</f>
        <v/>
      </c>
      <c r="AF1003" t="str">
        <f>IF(AE1003="","",IF(AE1003="[FÓRMULA MANUAL]","",IFERROR(AVERAGEIFS(nNOTA,nNIA,AE1003,nCUENTA,1,nASIG,"Análisis"),"")))</f>
        <v/>
      </c>
      <c r="AG1003" t="str">
        <f>IF(AE1003="","",IF(AE1003="[FÓRMULA MANUAL]","",IFERROR(AVERAGEIFS(nNOTA,nNIA,AE1003,nCUENTA,1,nASIG,"Orquesta/Banda/Conjunto"),"")))</f>
        <v/>
      </c>
      <c r="AH1003" t="str">
        <f>IF(AE1003="","",IF(AE1003="[FÓRMULA MANUAL]","",IFERROR(AVERAGEIFS(nNOTA,nNIA,AE1003,nCUENTA,1,nASIG,"Música de Cámara"),"")))</f>
        <v/>
      </c>
      <c r="AI1003" t="str">
        <f>IF(AE1003="","",IF(AE1003="[FÓRMULA MANUAL]","",IFERROR(SUMPRODUCT((nNIA=AE1003)*(nCUENTA=1)*(COUNTIF(CONFIG_ASIGNATURAS!$B$7:$B$27,nASIG)&gt;0)*(nNOTA))/SUMPRODUCT((nNIA=AE1003)*(nCUENTA=1)*(COUNTIF(CONFIG_ASIGNATURAS!$B$7:$B$27,nASIG)&gt;0)*1),"")))</f>
        <v/>
      </c>
    </row>
    <row r="1004" spans="2:35" x14ac:dyDescent="0.2">
      <c r="B1004" t="str">
        <f>IF(A1004="","",IF(A1004="[FÓRMULA MANUAL]","",IFERROR(AVERAGEIFS(nNOTA,nNIA,A1004,nCUENTA,1,nASIG,"Lenguaje Musical"),"")))</f>
        <v/>
      </c>
      <c r="C1004" t="str">
        <f>IF(A1004="","",IF(A1004="[FÓRMULA MANUAL]","",IFERROR(AVERAGEIFS(nNOTA,nNIA,A1004,nCUENTA,1,nASIG,"Orquesta/Banda/Conjunto"),"")))</f>
        <v/>
      </c>
      <c r="D1004" t="str">
        <f>IF(A1004="","",IF(A1004="[FÓRMULA MANUAL]","",IFERROR(AVERAGEIFS(nNOTA,nNIA,A1004,nCUENTA,1,nASIG,"Conjunto"),"")))</f>
        <v/>
      </c>
      <c r="E1004" t="str">
        <f>IF(A1004="","",IF(A1004="[FÓRMULA MANUAL]","",IFERROR(SUMPRODUCT((nNIA=A1004)*(nCUENTA=1)*(COUNTIF(CONFIG_ASIGNATURAS!$B$7:$B$27,nASIG)&gt;0)*(nNOTA))/SUMPRODUCT((nNIA=A1004)*(nCUENTA=1)*(COUNTIF(CONFIG_ASIGNATURAS!$B$7:$B$27,nASIG)&gt;0)*1),"")))</f>
        <v/>
      </c>
      <c r="H1004" t="str">
        <f>IF(G1004="","",IF(G1004="[FÓRMULA MANUAL]","",IFERROR(AVERAGEIFS(nNOTA,nNIA,G1004,nCUENTA,1,nASIG,"Lenguaje Musical"),"")))</f>
        <v/>
      </c>
      <c r="I1004" t="str">
        <f>IF(G1004="","",IF(G1004="[FÓRMULA MANUAL]","",IFERROR(AVERAGEIFS(nNOTA,nNIA,G1004,nCUENTA,1,nASIG,"Orquesta/Banda/Conjunto"),"")))</f>
        <v/>
      </c>
      <c r="J1004" t="str">
        <f>IF(G1004="","",IF(G1004="[FÓRMULA MANUAL]","",IFERROR(AVERAGEIFS(nNOTA,nNIA,G1004,nCUENTA,1,nASIG,"Conjunto"),"")))</f>
        <v/>
      </c>
      <c r="K1004" t="str">
        <f>IF(G1004="","",IF(G1004="[FÓRMULA MANUAL]","",IFERROR(SUMPRODUCT((nNIA=G1004)*(nCUENTA=1)*(COUNTIF(CONFIG_ASIGNATURAS!$B$7:$B$27,nASIG)&gt;0)*(nNOTA))/SUMPRODUCT((nNIA=G1004)*(nCUENTA=1)*(COUNTIF(CONFIG_ASIGNATURAS!$B$7:$B$27,nASIG)&gt;0)*1),"")))</f>
        <v/>
      </c>
      <c r="N1004" t="str">
        <f>IF(M1004="","",IF(M1004="[FÓRMULA MANUAL]","",IFERROR(AVERAGEIFS(nNOTA,nNIA,M1004,nCUENTA,1,nASIG,"Armonía"),"")))</f>
        <v/>
      </c>
      <c r="O1004" t="str">
        <f>IF(M1004="","",IF(M1004="[FÓRMULA MANUAL]","",IFERROR(AVERAGEIFS(nNOTA,nNIA,M1004,nCUENTA,1,nASIG,"Orquesta/Banda/Conjunto"),"")))</f>
        <v/>
      </c>
      <c r="P1004" t="str">
        <f>IF(M1004="","",IF(M1004="[FÓRMULA MANUAL]","",IFERROR(AVERAGEIFS(nNOTA,nNIA,M1004,nCUENTA,1,nASIG,"Música de Cámara"),"")))</f>
        <v/>
      </c>
      <c r="Q1004" t="str">
        <f>IF(M1004="","",IF(M1004="[FÓRMULA MANUAL]","",IFERROR(SUMPRODUCT((nNIA=M1004)*(nCUENTA=1)*(COUNTIF(CONFIG_ASIGNATURAS!$B$7:$B$27,nASIG)&gt;0)*(nNOTA))/SUMPRODUCT((nNIA=M1004)*(nCUENTA=1)*(COUNTIF(CONFIG_ASIGNATURAS!$B$7:$B$27,nASIG)&gt;0)*1),"")))</f>
        <v/>
      </c>
      <c r="T1004" t="str">
        <f>IF(S1004="","",IF(S1004="[FÓRMULA MANUAL]","",IFERROR(AVERAGEIFS(nNOTA,nNIA,S1004,nCUENTA,1,nASIG,"Armonía"),"")))</f>
        <v/>
      </c>
      <c r="U1004" t="str">
        <f>IF(S1004="","",IF(S1004="[FÓRMULA MANUAL]","",IFERROR(AVERAGEIFS(nNOTA,nNIA,S1004,nCUENTA,1,nASIG,"Orquesta/Banda/Conjunto"),"")))</f>
        <v/>
      </c>
      <c r="V1004" t="str">
        <f>IF(S1004="","",IF(S1004="[FÓRMULA MANUAL]","",IFERROR(AVERAGEIFS(nNOTA,nNIA,S1004,nCUENTA,1,nASIG,"Música de Cámara"),"")))</f>
        <v/>
      </c>
      <c r="W1004" t="str">
        <f>IF(S1004="","",IF(S1004="[FÓRMULA MANUAL]","",IFERROR(SUMPRODUCT((nNIA=S1004)*(nCUENTA=1)*(COUNTIF(CONFIG_ASIGNATURAS!$B$7:$B$27,nASIG)&gt;0)*(nNOTA))/SUMPRODUCT((nNIA=S1004)*(nCUENTA=1)*(COUNTIF(CONFIG_ASIGNATURAS!$B$7:$B$27,nASIG)&gt;0)*1),"")))</f>
        <v/>
      </c>
      <c r="Z1004" t="str">
        <f>IF(Y1004="","",IF(Y1004="[FÓRMULA MANUAL]","",IFERROR(AVERAGEIFS(nNOTA,nNIA,Y1004,nCUENTA,1,nASIG,"Análisis"),"")))</f>
        <v/>
      </c>
      <c r="AA1004" t="str">
        <f>IF(Y1004="","",IF(Y1004="[FÓRMULA MANUAL]","",IFERROR(AVERAGEIFS(nNOTA,nNIA,Y1004,nCUENTA,1,nASIG,"Orquesta/Banda/Conjunto"),"")))</f>
        <v/>
      </c>
      <c r="AB1004" t="str">
        <f>IF(Y1004="","",IF(Y1004="[FÓRMULA MANUAL]","",IFERROR(AVERAGEIFS(nNOTA,nNIA,Y1004,nCUENTA,1,nASIG,"Música de Cámara"),"")))</f>
        <v/>
      </c>
      <c r="AC1004" t="str">
        <f>IF(Y1004="","",IF(Y1004="[FÓRMULA MANUAL]","",IFERROR(SUMPRODUCT((nNIA=Y1004)*(nCUENTA=1)*(COUNTIF(CONFIG_ASIGNATURAS!$B$7:$B$27,nASIG)&gt;0)*(nNOTA))/SUMPRODUCT((nNIA=Y1004)*(nCUENTA=1)*(COUNTIF(CONFIG_ASIGNATURAS!$B$7:$B$27,nASIG)&gt;0)*1),"")))</f>
        <v/>
      </c>
      <c r="AF1004" t="str">
        <f>IF(AE1004="","",IF(AE1004="[FÓRMULA MANUAL]","",IFERROR(AVERAGEIFS(nNOTA,nNIA,AE1004,nCUENTA,1,nASIG,"Análisis"),"")))</f>
        <v/>
      </c>
      <c r="AG1004" t="str">
        <f>IF(AE1004="","",IF(AE1004="[FÓRMULA MANUAL]","",IFERROR(AVERAGEIFS(nNOTA,nNIA,AE1004,nCUENTA,1,nASIG,"Orquesta/Banda/Conjunto"),"")))</f>
        <v/>
      </c>
      <c r="AH1004" t="str">
        <f>IF(AE1004="","",IF(AE1004="[FÓRMULA MANUAL]","",IFERROR(AVERAGEIFS(nNOTA,nNIA,AE1004,nCUENTA,1,nASIG,"Música de Cámara"),"")))</f>
        <v/>
      </c>
      <c r="AI1004" t="str">
        <f>IF(AE1004="","",IF(AE1004="[FÓRMULA MANUAL]","",IFERROR(SUMPRODUCT((nNIA=AE1004)*(nCUENTA=1)*(COUNTIF(CONFIG_ASIGNATURAS!$B$7:$B$27,nASIG)&gt;0)*(nNOTA))/SUMPRODUCT((nNIA=AE1004)*(nCUENTA=1)*(COUNTIF(CONFIG_ASIGNATURAS!$B$7:$B$27,nASIG)&gt;0)*1),"")))</f>
        <v/>
      </c>
    </row>
    <row r="1005" spans="2:35" x14ac:dyDescent="0.2">
      <c r="B1005" t="str">
        <f>IF(A1005="","",IF(A1005="[FÓRMULA MANUAL]","",IFERROR(AVERAGEIFS(nNOTA,nNIA,A1005,nCUENTA,1,nASIG,"Lenguaje Musical"),"")))</f>
        <v/>
      </c>
      <c r="C1005" t="str">
        <f>IF(A1005="","",IF(A1005="[FÓRMULA MANUAL]","",IFERROR(AVERAGEIFS(nNOTA,nNIA,A1005,nCUENTA,1,nASIG,"Orquesta/Banda/Conjunto"),"")))</f>
        <v/>
      </c>
      <c r="D1005" t="str">
        <f>IF(A1005="","",IF(A1005="[FÓRMULA MANUAL]","",IFERROR(AVERAGEIFS(nNOTA,nNIA,A1005,nCUENTA,1,nASIG,"Conjunto"),"")))</f>
        <v/>
      </c>
      <c r="E1005" t="str">
        <f>IF(A1005="","",IF(A1005="[FÓRMULA MANUAL]","",IFERROR(SUMPRODUCT((nNIA=A1005)*(nCUENTA=1)*(COUNTIF(CONFIG_ASIGNATURAS!$B$7:$B$27,nASIG)&gt;0)*(nNOTA))/SUMPRODUCT((nNIA=A1005)*(nCUENTA=1)*(COUNTIF(CONFIG_ASIGNATURAS!$B$7:$B$27,nASIG)&gt;0)*1),"")))</f>
        <v/>
      </c>
      <c r="H1005" t="str">
        <f>IF(G1005="","",IF(G1005="[FÓRMULA MANUAL]","",IFERROR(AVERAGEIFS(nNOTA,nNIA,G1005,nCUENTA,1,nASIG,"Lenguaje Musical"),"")))</f>
        <v/>
      </c>
      <c r="I1005" t="str">
        <f>IF(G1005="","",IF(G1005="[FÓRMULA MANUAL]","",IFERROR(AVERAGEIFS(nNOTA,nNIA,G1005,nCUENTA,1,nASIG,"Orquesta/Banda/Conjunto"),"")))</f>
        <v/>
      </c>
      <c r="J1005" t="str">
        <f>IF(G1005="","",IF(G1005="[FÓRMULA MANUAL]","",IFERROR(AVERAGEIFS(nNOTA,nNIA,G1005,nCUENTA,1,nASIG,"Conjunto"),"")))</f>
        <v/>
      </c>
      <c r="K1005" t="str">
        <f>IF(G1005="","",IF(G1005="[FÓRMULA MANUAL]","",IFERROR(SUMPRODUCT((nNIA=G1005)*(nCUENTA=1)*(COUNTIF(CONFIG_ASIGNATURAS!$B$7:$B$27,nASIG)&gt;0)*(nNOTA))/SUMPRODUCT((nNIA=G1005)*(nCUENTA=1)*(COUNTIF(CONFIG_ASIGNATURAS!$B$7:$B$27,nASIG)&gt;0)*1),"")))</f>
        <v/>
      </c>
      <c r="N1005" t="str">
        <f>IF(M1005="","",IF(M1005="[FÓRMULA MANUAL]","",IFERROR(AVERAGEIFS(nNOTA,nNIA,M1005,nCUENTA,1,nASIG,"Armonía"),"")))</f>
        <v/>
      </c>
      <c r="O1005" t="str">
        <f>IF(M1005="","",IF(M1005="[FÓRMULA MANUAL]","",IFERROR(AVERAGEIFS(nNOTA,nNIA,M1005,nCUENTA,1,nASIG,"Orquesta/Banda/Conjunto"),"")))</f>
        <v/>
      </c>
      <c r="P1005" t="str">
        <f>IF(M1005="","",IF(M1005="[FÓRMULA MANUAL]","",IFERROR(AVERAGEIFS(nNOTA,nNIA,M1005,nCUENTA,1,nASIG,"Música de Cámara"),"")))</f>
        <v/>
      </c>
      <c r="Q1005" t="str">
        <f>IF(M1005="","",IF(M1005="[FÓRMULA MANUAL]","",IFERROR(SUMPRODUCT((nNIA=M1005)*(nCUENTA=1)*(COUNTIF(CONFIG_ASIGNATURAS!$B$7:$B$27,nASIG)&gt;0)*(nNOTA))/SUMPRODUCT((nNIA=M1005)*(nCUENTA=1)*(COUNTIF(CONFIG_ASIGNATURAS!$B$7:$B$27,nASIG)&gt;0)*1),"")))</f>
        <v/>
      </c>
      <c r="T1005" t="str">
        <f>IF(S1005="","",IF(S1005="[FÓRMULA MANUAL]","",IFERROR(AVERAGEIFS(nNOTA,nNIA,S1005,nCUENTA,1,nASIG,"Armonía"),"")))</f>
        <v/>
      </c>
      <c r="U1005" t="str">
        <f>IF(S1005="","",IF(S1005="[FÓRMULA MANUAL]","",IFERROR(AVERAGEIFS(nNOTA,nNIA,S1005,nCUENTA,1,nASIG,"Orquesta/Banda/Conjunto"),"")))</f>
        <v/>
      </c>
      <c r="V1005" t="str">
        <f>IF(S1005="","",IF(S1005="[FÓRMULA MANUAL]","",IFERROR(AVERAGEIFS(nNOTA,nNIA,S1005,nCUENTA,1,nASIG,"Música de Cámara"),"")))</f>
        <v/>
      </c>
      <c r="W1005" t="str">
        <f>IF(S1005="","",IF(S1005="[FÓRMULA MANUAL]","",IFERROR(SUMPRODUCT((nNIA=S1005)*(nCUENTA=1)*(COUNTIF(CONFIG_ASIGNATURAS!$B$7:$B$27,nASIG)&gt;0)*(nNOTA))/SUMPRODUCT((nNIA=S1005)*(nCUENTA=1)*(COUNTIF(CONFIG_ASIGNATURAS!$B$7:$B$27,nASIG)&gt;0)*1),"")))</f>
        <v/>
      </c>
      <c r="Z1005" t="str">
        <f>IF(Y1005="","",IF(Y1005="[FÓRMULA MANUAL]","",IFERROR(AVERAGEIFS(nNOTA,nNIA,Y1005,nCUENTA,1,nASIG,"Análisis"),"")))</f>
        <v/>
      </c>
      <c r="AA1005" t="str">
        <f>IF(Y1005="","",IF(Y1005="[FÓRMULA MANUAL]","",IFERROR(AVERAGEIFS(nNOTA,nNIA,Y1005,nCUENTA,1,nASIG,"Orquesta/Banda/Conjunto"),"")))</f>
        <v/>
      </c>
      <c r="AB1005" t="str">
        <f>IF(Y1005="","",IF(Y1005="[FÓRMULA MANUAL]","",IFERROR(AVERAGEIFS(nNOTA,nNIA,Y1005,nCUENTA,1,nASIG,"Música de Cámara"),"")))</f>
        <v/>
      </c>
      <c r="AC1005" t="str">
        <f>IF(Y1005="","",IF(Y1005="[FÓRMULA MANUAL]","",IFERROR(SUMPRODUCT((nNIA=Y1005)*(nCUENTA=1)*(COUNTIF(CONFIG_ASIGNATURAS!$B$7:$B$27,nASIG)&gt;0)*(nNOTA))/SUMPRODUCT((nNIA=Y1005)*(nCUENTA=1)*(COUNTIF(CONFIG_ASIGNATURAS!$B$7:$B$27,nASIG)&gt;0)*1),"")))</f>
        <v/>
      </c>
      <c r="AF1005" t="str">
        <f>IF(AE1005="","",IF(AE1005="[FÓRMULA MANUAL]","",IFERROR(AVERAGEIFS(nNOTA,nNIA,AE1005,nCUENTA,1,nASIG,"Análisis"),"")))</f>
        <v/>
      </c>
      <c r="AG1005" t="str">
        <f>IF(AE1005="","",IF(AE1005="[FÓRMULA MANUAL]","",IFERROR(AVERAGEIFS(nNOTA,nNIA,AE1005,nCUENTA,1,nASIG,"Orquesta/Banda/Conjunto"),"")))</f>
        <v/>
      </c>
      <c r="AH1005" t="str">
        <f>IF(AE1005="","",IF(AE1005="[FÓRMULA MANUAL]","",IFERROR(AVERAGEIFS(nNOTA,nNIA,AE1005,nCUENTA,1,nASIG,"Música de Cámara"),"")))</f>
        <v/>
      </c>
      <c r="AI1005" t="str">
        <f>IF(AE1005="","",IF(AE1005="[FÓRMULA MANUAL]","",IFERROR(SUMPRODUCT((nNIA=AE1005)*(nCUENTA=1)*(COUNTIF(CONFIG_ASIGNATURAS!$B$7:$B$27,nASIG)&gt;0)*(nNOTA))/SUMPRODUCT((nNIA=AE1005)*(nCUENTA=1)*(COUNTIF(CONFIG_ASIGNATURAS!$B$7:$B$27,nASIG)&gt;0)*1),"")))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586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>
      <c r="A1" t="inlineStr">
        <is>
          <t xml:space="preserve">#METADATA</t>
        </is>
      </c>
    </row>
    <row r="2">
      <c r="A2" t="inlineStr">
        <is>
          <t xml:space="preserve">Campo</t>
        </is>
      </c>
      <c r="B2" t="inlineStr">
        <is>
          <t xml:space="preserve">Valor</t>
        </is>
      </c>
    </row>
    <row r="3">
      <c r="A3" t="inlineStr">
        <is>
          <t xml:space="preserve">Centro</t>
        </is>
      </c>
      <c r="B3">
        <f>CONFIG_METADATA!B2</f>
      </c>
    </row>
    <row r="4">
      <c r="A4" t="inlineStr">
        <is>
          <t xml:space="preserve">CursoAcademico</t>
        </is>
      </c>
      <c r="B4">
        <f>CONFIG_METADATA!B3</f>
      </c>
    </row>
    <row r="5">
      <c r="A5" t="inlineStr">
        <is>
          <t xml:space="preserve">Trimestre</t>
        </is>
      </c>
      <c r="B5">
        <f>CONFIG_METADATA!B4</f>
      </c>
    </row>
    <row r="6">
      <c r="A6" t="inlineStr">
        <is>
          <t xml:space="preserve">ExtraordinariaSinOrdinaria</t>
        </is>
      </c>
      <c r="B6">
        <f>CONFIG_METADATA!B6</f>
      </c>
    </row>
    <row r="7">
      <c r="A7" t="inlineStr">
        <is>
          <t xml:space="preserve">FilasConDatos</t>
        </is>
      </c>
      <c r="B7">
        <f>CONFIG_METADATA!B8</f>
      </c>
    </row>
    <row r="8">
      <c r="A8" t="inlineStr">
        <is>
          <t xml:space="preserve">DobleEspecialidad</t>
        </is>
      </c>
      <c r="B8">
        <f>CONFIG_METADATA!B9</f>
      </c>
    </row>
    <row r="9">
      <c r="A9" t="inlineStr">
        <is>
          <t xml:space="preserve">FueraDeLasCifras</t>
        </is>
      </c>
      <c r="B9">
        <f>CONFIG_METADATA!B10</f>
      </c>
    </row>
    <row r="11">
      <c r="A11" t="inlineStr">
        <is>
          <t xml:space="preserve">#ESTADISTICAS</t>
        </is>
      </c>
    </row>
    <row r="12" spans="1:21" x14ac:dyDescent="0.2">
      <c r="A12" s="2" t="s">
        <v>150</v>
      </c>
      <c r="B12" s="2" t="s">
        <v>96</v>
      </c>
      <c r="C12" s="2" t="s">
        <v>2</v>
      </c>
      <c r="D12" s="2" t="s">
        <v>98</v>
      </c>
      <c r="E12" s="2" t="s">
        <v>99</v>
      </c>
      <c r="F12" s="2" t="s">
        <v>100</v>
      </c>
      <c r="G12" s="2" t="s">
        <v>101</v>
      </c>
      <c r="H12" s="2" t="s">
        <v>102</v>
      </c>
      <c r="I12" s="2" t="s">
        <v>103</v>
      </c>
      <c r="J12" s="2" t="s">
        <v>104</v>
      </c>
      <c r="K12" s="2" t="s">
        <v>105</v>
      </c>
      <c r="L12" s="2" t="s">
        <v>106</v>
      </c>
      <c r="M12" s="2" t="s">
        <v>107</v>
      </c>
      <c r="N12" s="2" t="s">
        <v>108</v>
      </c>
      <c r="O12" s="2" t="s">
        <v>109</v>
      </c>
      <c r="P12" s="2" t="s">
        <v>110</v>
      </c>
      <c r="Q12" s="2" t="s">
        <v>111</v>
      </c>
      <c r="R12" s="2" t="s">
        <v>112</v>
      </c>
      <c r="S12" s="2" t="s">
        <v>113</v>
      </c>
      <c r="T12" s="2" t="s">
        <v>114</v>
      </c>
      <c r="U12" s="2" t="s">
        <v>115</v>
      </c>
    </row>
    <row r="13">
      <c r="A13" t="str">
        <f>IF(CALC_EPM!$B2="","",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)</f>
      </c>
      <c r="B13" t="str">
        <f>IF(CALC_EPM!$B2="","",CALC_EPM!A2)</f>
      </c>
      <c r="C13" t="str">
        <f>IF(CALC_EPM!$B2="","",CALC_EPM!B2)</f>
      </c>
      <c r="D13">
        <f>IF(CALC_EPM!$B2="","",CALC_EPM!D2)</f>
      </c>
      <c r="E13" s="10" t="str">
        <f>IF(CALC_EPM!$B2="","",CALC_EPM!E2)</f>
      </c>
      <c r="F13" s="10" t="str">
        <f>IF(CALC_EPM!$B2="","",CALC_EPM!F2)</f>
      </c>
      <c r="G13" t="str">
        <f>IF(CALC_EPM!$B2="","",CALC_EPM!G2)</f>
      </c>
      <c r="H13" s="11" t="str">
        <f>IF(CALC_EPM!$B2="","",CALC_EPM!H2)</f>
      </c>
      <c r="I13" s="11" t="str">
        <f>IF(CALC_EPM!$B2="","",CALC_EPM!I2)</f>
      </c>
      <c r="J13" t="str">
        <f>IF(CALC_EPM!$B2="","",CALC_EPM!J2)</f>
      </c>
      <c r="K13" t="str">
        <f>IF(CALC_EPM!$B2="","",CALC_EPM!K2)</f>
      </c>
      <c r="L13">
        <f>IF(CALC_EPM!$B2="","",CALC_EPM!L2)</f>
      </c>
      <c r="M13">
        <f>IF(CALC_EPM!$B2="","",CALC_EPM!M2)</f>
      </c>
      <c r="N13">
        <f>IF(CALC_EPM!$B2="","",CALC_EPM!N2)</f>
      </c>
      <c r="O13">
        <f>IF(CALC_EPM!$B2="","",CALC_EPM!O2)</f>
      </c>
      <c r="P13">
        <f>IF(CALC_EPM!$B2="","",CALC_EPM!P2)</f>
      </c>
      <c r="Q13">
        <f>IF(CALC_EPM!$B2="","",CALC_EPM!Q2)</f>
      </c>
      <c r="R13">
        <f>IF(CALC_EPM!$B2="","",CALC_EPM!R2)</f>
      </c>
      <c r="S13">
        <f>IF(CALC_EPM!$B2="","",CALC_EPM!S2)</f>
      </c>
      <c r="T13">
        <f>IF(CALC_EPM!$B2="","",CALC_EPM!T2)</f>
      </c>
      <c r="U13">
        <f>IF(CALC_EPM!$B2="","",CALC_EPM!U2)</f>
      </c>
    </row>
    <row r="14">
      <c r="A14" t="str">
        <f>IF(CALC_EPM!$B3="","",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)</f>
      </c>
      <c r="B14" t="str">
        <f>IF(CALC_EPM!$B3="","",CALC_EPM!A3)</f>
      </c>
      <c r="C14" t="str">
        <f>IF(CALC_EPM!$B3="","",CALC_EPM!B3)</f>
      </c>
      <c r="D14">
        <f>IF(CALC_EPM!$B3="","",CALC_EPM!D3)</f>
      </c>
      <c r="E14" s="10" t="str">
        <f>IF(CALC_EPM!$B3="","",CALC_EPM!E3)</f>
      </c>
      <c r="F14" s="10" t="str">
        <f>IF(CALC_EPM!$B3="","",CALC_EPM!F3)</f>
      </c>
      <c r="G14" t="str">
        <f>IF(CALC_EPM!$B3="","",CALC_EPM!G3)</f>
      </c>
      <c r="H14" s="11" t="str">
        <f>IF(CALC_EPM!$B3="","",CALC_EPM!H3)</f>
      </c>
      <c r="I14" s="11" t="str">
        <f>IF(CALC_EPM!$B3="","",CALC_EPM!I3)</f>
      </c>
      <c r="J14" t="str">
        <f>IF(CALC_EPM!$B3="","",CALC_EPM!J3)</f>
      </c>
      <c r="K14" t="str">
        <f>IF(CALC_EPM!$B3="","",CALC_EPM!K3)</f>
      </c>
      <c r="L14">
        <f>IF(CALC_EPM!$B3="","",CALC_EPM!L3)</f>
      </c>
      <c r="M14">
        <f>IF(CALC_EPM!$B3="","",CALC_EPM!M3)</f>
      </c>
      <c r="N14">
        <f>IF(CALC_EPM!$B3="","",CALC_EPM!N3)</f>
      </c>
      <c r="O14">
        <f>IF(CALC_EPM!$B3="","",CALC_EPM!O3)</f>
      </c>
      <c r="P14">
        <f>IF(CALC_EPM!$B3="","",CALC_EPM!P3)</f>
      </c>
      <c r="Q14">
        <f>IF(CALC_EPM!$B3="","",CALC_EPM!Q3)</f>
      </c>
      <c r="R14">
        <f>IF(CALC_EPM!$B3="","",CALC_EPM!R3)</f>
      </c>
      <c r="S14">
        <f>IF(CALC_EPM!$B3="","",CALC_EPM!S3)</f>
      </c>
      <c r="T14">
        <f>IF(CALC_EPM!$B3="","",CALC_EPM!T3)</f>
      </c>
      <c r="U14">
        <f>IF(CALC_EPM!$B3="","",CALC_EPM!U3)</f>
      </c>
    </row>
    <row r="15">
      <c r="A15" t="str">
        <f>IF(CALC_EPM!$B4="","",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)</f>
      </c>
      <c r="B15" t="str">
        <f>IF(CALC_EPM!$B4="","",CALC_EPM!A4)</f>
      </c>
      <c r="C15" t="str">
        <f>IF(CALC_EPM!$B4="","",CALC_EPM!B4)</f>
      </c>
      <c r="D15">
        <f>IF(CALC_EPM!$B4="","",CALC_EPM!D4)</f>
      </c>
      <c r="E15" s="10" t="str">
        <f>IF(CALC_EPM!$B4="","",CALC_EPM!E4)</f>
      </c>
      <c r="F15" s="10" t="str">
        <f>IF(CALC_EPM!$B4="","",CALC_EPM!F4)</f>
      </c>
      <c r="G15" t="str">
        <f>IF(CALC_EPM!$B4="","",CALC_EPM!G4)</f>
      </c>
      <c r="H15" s="11" t="str">
        <f>IF(CALC_EPM!$B4="","",CALC_EPM!H4)</f>
      </c>
      <c r="I15" s="11" t="str">
        <f>IF(CALC_EPM!$B4="","",CALC_EPM!I4)</f>
      </c>
      <c r="J15" t="str">
        <f>IF(CALC_EPM!$B4="","",CALC_EPM!J4)</f>
      </c>
      <c r="K15" t="str">
        <f>IF(CALC_EPM!$B4="","",CALC_EPM!K4)</f>
      </c>
      <c r="L15">
        <f>IF(CALC_EPM!$B4="","",CALC_EPM!L4)</f>
      </c>
      <c r="M15">
        <f>IF(CALC_EPM!$B4="","",CALC_EPM!M4)</f>
      </c>
      <c r="N15">
        <f>IF(CALC_EPM!$B4="","",CALC_EPM!N4)</f>
      </c>
      <c r="O15">
        <f>IF(CALC_EPM!$B4="","",CALC_EPM!O4)</f>
      </c>
      <c r="P15">
        <f>IF(CALC_EPM!$B4="","",CALC_EPM!P4)</f>
      </c>
      <c r="Q15">
        <f>IF(CALC_EPM!$B4="","",CALC_EPM!Q4)</f>
      </c>
      <c r="R15">
        <f>IF(CALC_EPM!$B4="","",CALC_EPM!R4)</f>
      </c>
      <c r="S15">
        <f>IF(CALC_EPM!$B4="","",CALC_EPM!S4)</f>
      </c>
      <c r="T15">
        <f>IF(CALC_EPM!$B4="","",CALC_EPM!T4)</f>
      </c>
      <c r="U15">
        <f>IF(CALC_EPM!$B4="","",CALC_EPM!U4)</f>
      </c>
    </row>
    <row r="16">
      <c r="A16" t="str">
        <f>IF(CALC_EPM!$B5="","",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)</f>
      </c>
      <c r="B16" t="str">
        <f>IF(CALC_EPM!$B5="","",CALC_EPM!A5)</f>
      </c>
      <c r="C16" t="str">
        <f>IF(CALC_EPM!$B5="","",CALC_EPM!B5)</f>
      </c>
      <c r="D16">
        <f>IF(CALC_EPM!$B5="","",CALC_EPM!D5)</f>
      </c>
      <c r="E16" s="10" t="str">
        <f>IF(CALC_EPM!$B5="","",CALC_EPM!E5)</f>
      </c>
      <c r="F16" s="10" t="str">
        <f>IF(CALC_EPM!$B5="","",CALC_EPM!F5)</f>
      </c>
      <c r="G16" t="str">
        <f>IF(CALC_EPM!$B5="","",CALC_EPM!G5)</f>
      </c>
      <c r="H16" s="11" t="str">
        <f>IF(CALC_EPM!$B5="","",CALC_EPM!H5)</f>
      </c>
      <c r="I16" s="11" t="str">
        <f>IF(CALC_EPM!$B5="","",CALC_EPM!I5)</f>
      </c>
      <c r="J16" t="str">
        <f>IF(CALC_EPM!$B5="","",CALC_EPM!J5)</f>
      </c>
      <c r="K16" t="str">
        <f>IF(CALC_EPM!$B5="","",CALC_EPM!K5)</f>
      </c>
      <c r="L16">
        <f>IF(CALC_EPM!$B5="","",CALC_EPM!L5)</f>
      </c>
      <c r="M16">
        <f>IF(CALC_EPM!$B5="","",CALC_EPM!M5)</f>
      </c>
      <c r="N16">
        <f>IF(CALC_EPM!$B5="","",CALC_EPM!N5)</f>
      </c>
      <c r="O16">
        <f>IF(CALC_EPM!$B5="","",CALC_EPM!O5)</f>
      </c>
      <c r="P16">
        <f>IF(CALC_EPM!$B5="","",CALC_EPM!P5)</f>
      </c>
      <c r="Q16">
        <f>IF(CALC_EPM!$B5="","",CALC_EPM!Q5)</f>
      </c>
      <c r="R16">
        <f>IF(CALC_EPM!$B5="","",CALC_EPM!R5)</f>
      </c>
      <c r="S16">
        <f>IF(CALC_EPM!$B5="","",CALC_EPM!S5)</f>
      </c>
      <c r="T16">
        <f>IF(CALC_EPM!$B5="","",CALC_EPM!T5)</f>
      </c>
      <c r="U16">
        <f>IF(CALC_EPM!$B5="","",CALC_EPM!U5)</f>
      </c>
    </row>
    <row r="17">
      <c r="A17" t="str">
        <f>IF(CALC_EPM!$B6="","",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)</f>
      </c>
      <c r="B17" t="str">
        <f>IF(CALC_EPM!$B6="","",CALC_EPM!A6)</f>
      </c>
      <c r="C17" t="str">
        <f>IF(CALC_EPM!$B6="","",CALC_EPM!B6)</f>
      </c>
      <c r="D17">
        <f>IF(CALC_EPM!$B6="","",CALC_EPM!D6)</f>
      </c>
      <c r="E17" s="10" t="str">
        <f>IF(CALC_EPM!$B6="","",CALC_EPM!E6)</f>
      </c>
      <c r="F17" s="10" t="str">
        <f>IF(CALC_EPM!$B6="","",CALC_EPM!F6)</f>
      </c>
      <c r="G17" t="str">
        <f>IF(CALC_EPM!$B6="","",CALC_EPM!G6)</f>
      </c>
      <c r="H17" s="11" t="str">
        <f>IF(CALC_EPM!$B6="","",CALC_EPM!H6)</f>
      </c>
      <c r="I17" s="11" t="str">
        <f>IF(CALC_EPM!$B6="","",CALC_EPM!I6)</f>
      </c>
      <c r="J17" t="str">
        <f>IF(CALC_EPM!$B6="","",CALC_EPM!J6)</f>
      </c>
      <c r="K17" t="str">
        <f>IF(CALC_EPM!$B6="","",CALC_EPM!K6)</f>
      </c>
      <c r="L17">
        <f>IF(CALC_EPM!$B6="","",CALC_EPM!L6)</f>
      </c>
      <c r="M17">
        <f>IF(CALC_EPM!$B6="","",CALC_EPM!M6)</f>
      </c>
      <c r="N17">
        <f>IF(CALC_EPM!$B6="","",CALC_EPM!N6)</f>
      </c>
      <c r="O17">
        <f>IF(CALC_EPM!$B6="","",CALC_EPM!O6)</f>
      </c>
      <c r="P17">
        <f>IF(CALC_EPM!$B6="","",CALC_EPM!P6)</f>
      </c>
      <c r="Q17">
        <f>IF(CALC_EPM!$B6="","",CALC_EPM!Q6)</f>
      </c>
      <c r="R17">
        <f>IF(CALC_EPM!$B6="","",CALC_EPM!R6)</f>
      </c>
      <c r="S17">
        <f>IF(CALC_EPM!$B6="","",CALC_EPM!S6)</f>
      </c>
      <c r="T17">
        <f>IF(CALC_EPM!$B6="","",CALC_EPM!T6)</f>
      </c>
      <c r="U17">
        <f>IF(CALC_EPM!$B6="","",CALC_EPM!U6)</f>
      </c>
    </row>
    <row r="18">
      <c r="A18" t="str">
        <f>IF(CALC_EPM!$B7="","",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)</f>
      </c>
      <c r="B18" t="str">
        <f>IF(CALC_EPM!$B7="","",CALC_EPM!A7)</f>
      </c>
      <c r="C18" t="str">
        <f>IF(CALC_EPM!$B7="","",CALC_EPM!B7)</f>
      </c>
      <c r="D18">
        <f>IF(CALC_EPM!$B7="","",CALC_EPM!D7)</f>
      </c>
      <c r="E18" s="10" t="str">
        <f>IF(CALC_EPM!$B7="","",CALC_EPM!E7)</f>
      </c>
      <c r="F18" s="10" t="str">
        <f>IF(CALC_EPM!$B7="","",CALC_EPM!F7)</f>
      </c>
      <c r="G18" t="str">
        <f>IF(CALC_EPM!$B7="","",CALC_EPM!G7)</f>
      </c>
      <c r="H18" s="11" t="str">
        <f>IF(CALC_EPM!$B7="","",CALC_EPM!H7)</f>
      </c>
      <c r="I18" s="11" t="str">
        <f>IF(CALC_EPM!$B7="","",CALC_EPM!I7)</f>
      </c>
      <c r="J18" t="str">
        <f>IF(CALC_EPM!$B7="","",CALC_EPM!J7)</f>
      </c>
      <c r="K18" t="str">
        <f>IF(CALC_EPM!$B7="","",CALC_EPM!K7)</f>
      </c>
      <c r="L18">
        <f>IF(CALC_EPM!$B7="","",CALC_EPM!L7)</f>
      </c>
      <c r="M18">
        <f>IF(CALC_EPM!$B7="","",CALC_EPM!M7)</f>
      </c>
      <c r="N18">
        <f>IF(CALC_EPM!$B7="","",CALC_EPM!N7)</f>
      </c>
      <c r="O18">
        <f>IF(CALC_EPM!$B7="","",CALC_EPM!O7)</f>
      </c>
      <c r="P18">
        <f>IF(CALC_EPM!$B7="","",CALC_EPM!P7)</f>
      </c>
      <c r="Q18">
        <f>IF(CALC_EPM!$B7="","",CALC_EPM!Q7)</f>
      </c>
      <c r="R18">
        <f>IF(CALC_EPM!$B7="","",CALC_EPM!R7)</f>
      </c>
      <c r="S18">
        <f>IF(CALC_EPM!$B7="","",CALC_EPM!S7)</f>
      </c>
      <c r="T18">
        <f>IF(CALC_EPM!$B7="","",CALC_EPM!T7)</f>
      </c>
      <c r="U18">
        <f>IF(CALC_EPM!$B7="","",CALC_EPM!U7)</f>
      </c>
    </row>
    <row r="19">
      <c r="A19" t="str">
        <f>IF(CALC_EPM!$B8="","",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)</f>
      </c>
      <c r="B19" t="str">
        <f>IF(CALC_EPM!$B8="","",CALC_EPM!A8)</f>
      </c>
      <c r="C19" t="str">
        <f>IF(CALC_EPM!$B8="","",CALC_EPM!B8)</f>
      </c>
      <c r="D19">
        <f>IF(CALC_EPM!$B8="","",CALC_EPM!D8)</f>
      </c>
      <c r="E19" s="10" t="str">
        <f>IF(CALC_EPM!$B8="","",CALC_EPM!E8)</f>
      </c>
      <c r="F19" s="10" t="str">
        <f>IF(CALC_EPM!$B8="","",CALC_EPM!F8)</f>
      </c>
      <c r="G19" t="str">
        <f>IF(CALC_EPM!$B8="","",CALC_EPM!G8)</f>
      </c>
      <c r="H19" s="11" t="str">
        <f>IF(CALC_EPM!$B8="","",CALC_EPM!H8)</f>
      </c>
      <c r="I19" s="11" t="str">
        <f>IF(CALC_EPM!$B8="","",CALC_EPM!I8)</f>
      </c>
      <c r="J19" t="str">
        <f>IF(CALC_EPM!$B8="","",CALC_EPM!J8)</f>
      </c>
      <c r="K19" t="str">
        <f>IF(CALC_EPM!$B8="","",CALC_EPM!K8)</f>
      </c>
      <c r="L19">
        <f>IF(CALC_EPM!$B8="","",CALC_EPM!L8)</f>
      </c>
      <c r="M19">
        <f>IF(CALC_EPM!$B8="","",CALC_EPM!M8)</f>
      </c>
      <c r="N19">
        <f>IF(CALC_EPM!$B8="","",CALC_EPM!N8)</f>
      </c>
      <c r="O19">
        <f>IF(CALC_EPM!$B8="","",CALC_EPM!O8)</f>
      </c>
      <c r="P19">
        <f>IF(CALC_EPM!$B8="","",CALC_EPM!P8)</f>
      </c>
      <c r="Q19">
        <f>IF(CALC_EPM!$B8="","",CALC_EPM!Q8)</f>
      </c>
      <c r="R19">
        <f>IF(CALC_EPM!$B8="","",CALC_EPM!R8)</f>
      </c>
      <c r="S19">
        <f>IF(CALC_EPM!$B8="","",CALC_EPM!S8)</f>
      </c>
      <c r="T19">
        <f>IF(CALC_EPM!$B8="","",CALC_EPM!T8)</f>
      </c>
      <c r="U19">
        <f>IF(CALC_EPM!$B8="","",CALC_EPM!U8)</f>
      </c>
    </row>
    <row r="20">
      <c r="A20" t="str">
        <f>IF(CALC_EPM!$B9="","",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)</f>
      </c>
      <c r="B20" t="str">
        <f>IF(CALC_EPM!$B9="","",CALC_EPM!A9)</f>
      </c>
      <c r="C20" t="str">
        <f>IF(CALC_EPM!$B9="","",CALC_EPM!B9)</f>
      </c>
      <c r="D20">
        <f>IF(CALC_EPM!$B9="","",CALC_EPM!D9)</f>
      </c>
      <c r="E20" s="10" t="str">
        <f>IF(CALC_EPM!$B9="","",CALC_EPM!E9)</f>
      </c>
      <c r="F20" s="10" t="str">
        <f>IF(CALC_EPM!$B9="","",CALC_EPM!F9)</f>
      </c>
      <c r="G20" t="str">
        <f>IF(CALC_EPM!$B9="","",CALC_EPM!G9)</f>
      </c>
      <c r="H20" s="11" t="str">
        <f>IF(CALC_EPM!$B9="","",CALC_EPM!H9)</f>
      </c>
      <c r="I20" s="11" t="str">
        <f>IF(CALC_EPM!$B9="","",CALC_EPM!I9)</f>
      </c>
      <c r="J20" t="str">
        <f>IF(CALC_EPM!$B9="","",CALC_EPM!J9)</f>
      </c>
      <c r="K20" t="str">
        <f>IF(CALC_EPM!$B9="","",CALC_EPM!K9)</f>
      </c>
      <c r="L20">
        <f>IF(CALC_EPM!$B9="","",CALC_EPM!L9)</f>
      </c>
      <c r="M20">
        <f>IF(CALC_EPM!$B9="","",CALC_EPM!M9)</f>
      </c>
      <c r="N20">
        <f>IF(CALC_EPM!$B9="","",CALC_EPM!N9)</f>
      </c>
      <c r="O20">
        <f>IF(CALC_EPM!$B9="","",CALC_EPM!O9)</f>
      </c>
      <c r="P20">
        <f>IF(CALC_EPM!$B9="","",CALC_EPM!P9)</f>
      </c>
      <c r="Q20">
        <f>IF(CALC_EPM!$B9="","",CALC_EPM!Q9)</f>
      </c>
      <c r="R20">
        <f>IF(CALC_EPM!$B9="","",CALC_EPM!R9)</f>
      </c>
      <c r="S20">
        <f>IF(CALC_EPM!$B9="","",CALC_EPM!S9)</f>
      </c>
      <c r="T20">
        <f>IF(CALC_EPM!$B9="","",CALC_EPM!T9)</f>
      </c>
      <c r="U20">
        <f>IF(CALC_EPM!$B9="","",CALC_EPM!U9)</f>
      </c>
    </row>
    <row r="21">
      <c r="A21" t="str">
        <f>IF(CALC_EPM!$B10="","",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)</f>
      </c>
      <c r="B21" t="str">
        <f>IF(CALC_EPM!$B10="","",CALC_EPM!A10)</f>
      </c>
      <c r="C21" t="str">
        <f>IF(CALC_EPM!$B10="","",CALC_EPM!B10)</f>
      </c>
      <c r="D21">
        <f>IF(CALC_EPM!$B10="","",CALC_EPM!D10)</f>
      </c>
      <c r="E21" s="10" t="str">
        <f>IF(CALC_EPM!$B10="","",CALC_EPM!E10)</f>
      </c>
      <c r="F21" s="10" t="str">
        <f>IF(CALC_EPM!$B10="","",CALC_EPM!F10)</f>
      </c>
      <c r="G21" t="str">
        <f>IF(CALC_EPM!$B10="","",CALC_EPM!G10)</f>
      </c>
      <c r="H21" s="11" t="str">
        <f>IF(CALC_EPM!$B10="","",CALC_EPM!H10)</f>
      </c>
      <c r="I21" s="11" t="str">
        <f>IF(CALC_EPM!$B10="","",CALC_EPM!I10)</f>
      </c>
      <c r="J21" t="str">
        <f>IF(CALC_EPM!$B10="","",CALC_EPM!J10)</f>
      </c>
      <c r="K21" t="str">
        <f>IF(CALC_EPM!$B10="","",CALC_EPM!K10)</f>
      </c>
      <c r="L21">
        <f>IF(CALC_EPM!$B10="","",CALC_EPM!L10)</f>
      </c>
      <c r="M21">
        <f>IF(CALC_EPM!$B10="","",CALC_EPM!M10)</f>
      </c>
      <c r="N21">
        <f>IF(CALC_EPM!$B10="","",CALC_EPM!N10)</f>
      </c>
      <c r="O21">
        <f>IF(CALC_EPM!$B10="","",CALC_EPM!O10)</f>
      </c>
      <c r="P21">
        <f>IF(CALC_EPM!$B10="","",CALC_EPM!P10)</f>
      </c>
      <c r="Q21">
        <f>IF(CALC_EPM!$B10="","",CALC_EPM!Q10)</f>
      </c>
      <c r="R21">
        <f>IF(CALC_EPM!$B10="","",CALC_EPM!R10)</f>
      </c>
      <c r="S21">
        <f>IF(CALC_EPM!$B10="","",CALC_EPM!S10)</f>
      </c>
      <c r="T21">
        <f>IF(CALC_EPM!$B10="","",CALC_EPM!T10)</f>
      </c>
      <c r="U21">
        <f>IF(CALC_EPM!$B10="","",CALC_EPM!U10)</f>
      </c>
    </row>
    <row r="22">
      <c r="A22" t="str">
        <f>IF(CALC_EPM!$B11="","",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)</f>
      </c>
      <c r="B22" t="str">
        <f>IF(CALC_EPM!$B11="","",CALC_EPM!A11)</f>
      </c>
      <c r="C22" t="str">
        <f>IF(CALC_EPM!$B11="","",CALC_EPM!B11)</f>
      </c>
      <c r="D22">
        <f>IF(CALC_EPM!$B11="","",CALC_EPM!D11)</f>
      </c>
      <c r="E22" s="10" t="str">
        <f>IF(CALC_EPM!$B11="","",CALC_EPM!E11)</f>
      </c>
      <c r="F22" s="10" t="str">
        <f>IF(CALC_EPM!$B11="","",CALC_EPM!F11)</f>
      </c>
      <c r="G22" t="str">
        <f>IF(CALC_EPM!$B11="","",CALC_EPM!G11)</f>
      </c>
      <c r="H22" s="11" t="str">
        <f>IF(CALC_EPM!$B11="","",CALC_EPM!H11)</f>
      </c>
      <c r="I22" s="11" t="str">
        <f>IF(CALC_EPM!$B11="","",CALC_EPM!I11)</f>
      </c>
      <c r="J22" t="str">
        <f>IF(CALC_EPM!$B11="","",CALC_EPM!J11)</f>
      </c>
      <c r="K22" t="str">
        <f>IF(CALC_EPM!$B11="","",CALC_EPM!K11)</f>
      </c>
      <c r="L22">
        <f>IF(CALC_EPM!$B11="","",CALC_EPM!L11)</f>
      </c>
      <c r="M22">
        <f>IF(CALC_EPM!$B11="","",CALC_EPM!M11)</f>
      </c>
      <c r="N22">
        <f>IF(CALC_EPM!$B11="","",CALC_EPM!N11)</f>
      </c>
      <c r="O22">
        <f>IF(CALC_EPM!$B11="","",CALC_EPM!O11)</f>
      </c>
      <c r="P22">
        <f>IF(CALC_EPM!$B11="","",CALC_EPM!P11)</f>
      </c>
      <c r="Q22">
        <f>IF(CALC_EPM!$B11="","",CALC_EPM!Q11)</f>
      </c>
      <c r="R22">
        <f>IF(CALC_EPM!$B11="","",CALC_EPM!R11)</f>
      </c>
      <c r="S22">
        <f>IF(CALC_EPM!$B11="","",CALC_EPM!S11)</f>
      </c>
      <c r="T22">
        <f>IF(CALC_EPM!$B11="","",CALC_EPM!T11)</f>
      </c>
      <c r="U22">
        <f>IF(CALC_EPM!$B11="","",CALC_EPM!U11)</f>
      </c>
    </row>
    <row r="23">
      <c r="A23" t="str">
        <f>IF(CALC_EPM!$B12="","",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)</f>
      </c>
      <c r="B23" t="str">
        <f>IF(CALC_EPM!$B12="","",CALC_EPM!A12)</f>
      </c>
      <c r="C23" t="str">
        <f>IF(CALC_EPM!$B12="","",CALC_EPM!B12)</f>
      </c>
      <c r="D23">
        <f>IF(CALC_EPM!$B12="","",CALC_EPM!D12)</f>
      </c>
      <c r="E23" s="10" t="str">
        <f>IF(CALC_EPM!$B12="","",CALC_EPM!E12)</f>
      </c>
      <c r="F23" s="10" t="str">
        <f>IF(CALC_EPM!$B12="","",CALC_EPM!F12)</f>
      </c>
      <c r="G23" t="str">
        <f>IF(CALC_EPM!$B12="","",CALC_EPM!G12)</f>
      </c>
      <c r="H23" s="11" t="str">
        <f>IF(CALC_EPM!$B12="","",CALC_EPM!H12)</f>
      </c>
      <c r="I23" s="11" t="str">
        <f>IF(CALC_EPM!$B12="","",CALC_EPM!I12)</f>
      </c>
      <c r="J23" t="str">
        <f>IF(CALC_EPM!$B12="","",CALC_EPM!J12)</f>
      </c>
      <c r="K23" t="str">
        <f>IF(CALC_EPM!$B12="","",CALC_EPM!K12)</f>
      </c>
      <c r="L23">
        <f>IF(CALC_EPM!$B12="","",CALC_EPM!L12)</f>
      </c>
      <c r="M23">
        <f>IF(CALC_EPM!$B12="","",CALC_EPM!M12)</f>
      </c>
      <c r="N23">
        <f>IF(CALC_EPM!$B12="","",CALC_EPM!N12)</f>
      </c>
      <c r="O23">
        <f>IF(CALC_EPM!$B12="","",CALC_EPM!O12)</f>
      </c>
      <c r="P23">
        <f>IF(CALC_EPM!$B12="","",CALC_EPM!P12)</f>
      </c>
      <c r="Q23">
        <f>IF(CALC_EPM!$B12="","",CALC_EPM!Q12)</f>
      </c>
      <c r="R23">
        <f>IF(CALC_EPM!$B12="","",CALC_EPM!R12)</f>
      </c>
      <c r="S23">
        <f>IF(CALC_EPM!$B12="","",CALC_EPM!S12)</f>
      </c>
      <c r="T23">
        <f>IF(CALC_EPM!$B12="","",CALC_EPM!T12)</f>
      </c>
      <c r="U23">
        <f>IF(CALC_EPM!$B12="","",CALC_EPM!U12)</f>
      </c>
    </row>
    <row r="24">
      <c r="A24" t="str">
        <f>IF(CALC_EPM!$B13="","",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)</f>
      </c>
      <c r="B24" t="str">
        <f>IF(CALC_EPM!$B13="","",CALC_EPM!A13)</f>
      </c>
      <c r="C24" t="str">
        <f>IF(CALC_EPM!$B13="","",CALC_EPM!B13)</f>
      </c>
      <c r="D24">
        <f>IF(CALC_EPM!$B13="","",CALC_EPM!D13)</f>
      </c>
      <c r="E24" s="10" t="str">
        <f>IF(CALC_EPM!$B13="","",CALC_EPM!E13)</f>
      </c>
      <c r="F24" s="10" t="str">
        <f>IF(CALC_EPM!$B13="","",CALC_EPM!F13)</f>
      </c>
      <c r="G24" t="str">
        <f>IF(CALC_EPM!$B13="","",CALC_EPM!G13)</f>
      </c>
      <c r="H24" s="11" t="str">
        <f>IF(CALC_EPM!$B13="","",CALC_EPM!H13)</f>
      </c>
      <c r="I24" s="11" t="str">
        <f>IF(CALC_EPM!$B13="","",CALC_EPM!I13)</f>
      </c>
      <c r="J24" t="str">
        <f>IF(CALC_EPM!$B13="","",CALC_EPM!J13)</f>
      </c>
      <c r="K24" t="str">
        <f>IF(CALC_EPM!$B13="","",CALC_EPM!K13)</f>
      </c>
      <c r="L24">
        <f>IF(CALC_EPM!$B13="","",CALC_EPM!L13)</f>
      </c>
      <c r="M24">
        <f>IF(CALC_EPM!$B13="","",CALC_EPM!M13)</f>
      </c>
      <c r="N24">
        <f>IF(CALC_EPM!$B13="","",CALC_EPM!N13)</f>
      </c>
      <c r="O24">
        <f>IF(CALC_EPM!$B13="","",CALC_EPM!O13)</f>
      </c>
      <c r="P24">
        <f>IF(CALC_EPM!$B13="","",CALC_EPM!P13)</f>
      </c>
      <c r="Q24">
        <f>IF(CALC_EPM!$B13="","",CALC_EPM!Q13)</f>
      </c>
      <c r="R24">
        <f>IF(CALC_EPM!$B13="","",CALC_EPM!R13)</f>
      </c>
      <c r="S24">
        <f>IF(CALC_EPM!$B13="","",CALC_EPM!S13)</f>
      </c>
      <c r="T24">
        <f>IF(CALC_EPM!$B13="","",CALC_EPM!T13)</f>
      </c>
      <c r="U24">
        <f>IF(CALC_EPM!$B13="","",CALC_EPM!U13)</f>
      </c>
    </row>
    <row r="25">
      <c r="A25" t="str">
        <f>IF(CALC_EPM!$B14="","",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)</f>
      </c>
      <c r="B25" t="str">
        <f>IF(CALC_EPM!$B14="","",CALC_EPM!A14)</f>
      </c>
      <c r="C25" t="str">
        <f>IF(CALC_EPM!$B14="","",CALC_EPM!B14)</f>
      </c>
      <c r="D25">
        <f>IF(CALC_EPM!$B14="","",CALC_EPM!D14)</f>
      </c>
      <c r="E25" s="10" t="str">
        <f>IF(CALC_EPM!$B14="","",CALC_EPM!E14)</f>
      </c>
      <c r="F25" s="10" t="str">
        <f>IF(CALC_EPM!$B14="","",CALC_EPM!F14)</f>
      </c>
      <c r="G25" t="str">
        <f>IF(CALC_EPM!$B14="","",CALC_EPM!G14)</f>
      </c>
      <c r="H25" s="11" t="str">
        <f>IF(CALC_EPM!$B14="","",CALC_EPM!H14)</f>
      </c>
      <c r="I25" s="11" t="str">
        <f>IF(CALC_EPM!$B14="","",CALC_EPM!I14)</f>
      </c>
      <c r="J25" t="str">
        <f>IF(CALC_EPM!$B14="","",CALC_EPM!J14)</f>
      </c>
      <c r="K25" t="str">
        <f>IF(CALC_EPM!$B14="","",CALC_EPM!K14)</f>
      </c>
      <c r="L25">
        <f>IF(CALC_EPM!$B14="","",CALC_EPM!L14)</f>
      </c>
      <c r="M25">
        <f>IF(CALC_EPM!$B14="","",CALC_EPM!M14)</f>
      </c>
      <c r="N25">
        <f>IF(CALC_EPM!$B14="","",CALC_EPM!N14)</f>
      </c>
      <c r="O25">
        <f>IF(CALC_EPM!$B14="","",CALC_EPM!O14)</f>
      </c>
      <c r="P25">
        <f>IF(CALC_EPM!$B14="","",CALC_EPM!P14)</f>
      </c>
      <c r="Q25">
        <f>IF(CALC_EPM!$B14="","",CALC_EPM!Q14)</f>
      </c>
      <c r="R25">
        <f>IF(CALC_EPM!$B14="","",CALC_EPM!R14)</f>
      </c>
      <c r="S25">
        <f>IF(CALC_EPM!$B14="","",CALC_EPM!S14)</f>
      </c>
      <c r="T25">
        <f>IF(CALC_EPM!$B14="","",CALC_EPM!T14)</f>
      </c>
      <c r="U25">
        <f>IF(CALC_EPM!$B14="","",CALC_EPM!U14)</f>
      </c>
    </row>
    <row r="26">
      <c r="A26" t="str">
        <f>IF(CALC_EPM!$B15="","",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)</f>
      </c>
      <c r="B26" t="str">
        <f>IF(CALC_EPM!$B15="","",CALC_EPM!A15)</f>
      </c>
      <c r="C26" t="str">
        <f>IF(CALC_EPM!$B15="","",CALC_EPM!B15)</f>
      </c>
      <c r="D26">
        <f>IF(CALC_EPM!$B15="","",CALC_EPM!D15)</f>
      </c>
      <c r="E26" s="10" t="str">
        <f>IF(CALC_EPM!$B15="","",CALC_EPM!E15)</f>
      </c>
      <c r="F26" s="10" t="str">
        <f>IF(CALC_EPM!$B15="","",CALC_EPM!F15)</f>
      </c>
      <c r="G26" t="str">
        <f>IF(CALC_EPM!$B15="","",CALC_EPM!G15)</f>
      </c>
      <c r="H26" s="11" t="str">
        <f>IF(CALC_EPM!$B15="","",CALC_EPM!H15)</f>
      </c>
      <c r="I26" s="11" t="str">
        <f>IF(CALC_EPM!$B15="","",CALC_EPM!I15)</f>
      </c>
      <c r="J26" t="str">
        <f>IF(CALC_EPM!$B15="","",CALC_EPM!J15)</f>
      </c>
      <c r="K26" t="str">
        <f>IF(CALC_EPM!$B15="","",CALC_EPM!K15)</f>
      </c>
      <c r="L26">
        <f>IF(CALC_EPM!$B15="","",CALC_EPM!L15)</f>
      </c>
      <c r="M26">
        <f>IF(CALC_EPM!$B15="","",CALC_EPM!M15)</f>
      </c>
      <c r="N26">
        <f>IF(CALC_EPM!$B15="","",CALC_EPM!N15)</f>
      </c>
      <c r="O26">
        <f>IF(CALC_EPM!$B15="","",CALC_EPM!O15)</f>
      </c>
      <c r="P26">
        <f>IF(CALC_EPM!$B15="","",CALC_EPM!P15)</f>
      </c>
      <c r="Q26">
        <f>IF(CALC_EPM!$B15="","",CALC_EPM!Q15)</f>
      </c>
      <c r="R26">
        <f>IF(CALC_EPM!$B15="","",CALC_EPM!R15)</f>
      </c>
      <c r="S26">
        <f>IF(CALC_EPM!$B15="","",CALC_EPM!S15)</f>
      </c>
      <c r="T26">
        <f>IF(CALC_EPM!$B15="","",CALC_EPM!T15)</f>
      </c>
      <c r="U26">
        <f>IF(CALC_EPM!$B15="","",CALC_EPM!U15)</f>
      </c>
    </row>
    <row r="27">
      <c r="A27" t="str">
        <f>IF(CALC_EPM!$B16="","",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)</f>
      </c>
      <c r="B27" t="str">
        <f>IF(CALC_EPM!$B16="","",CALC_EPM!A16)</f>
      </c>
      <c r="C27" t="str">
        <f>IF(CALC_EPM!$B16="","",CALC_EPM!B16)</f>
      </c>
      <c r="D27">
        <f>IF(CALC_EPM!$B16="","",CALC_EPM!D16)</f>
      </c>
      <c r="E27" s="10" t="str">
        <f>IF(CALC_EPM!$B16="","",CALC_EPM!E16)</f>
      </c>
      <c r="F27" s="10" t="str">
        <f>IF(CALC_EPM!$B16="","",CALC_EPM!F16)</f>
      </c>
      <c r="G27" t="str">
        <f>IF(CALC_EPM!$B16="","",CALC_EPM!G16)</f>
      </c>
      <c r="H27" s="11" t="str">
        <f>IF(CALC_EPM!$B16="","",CALC_EPM!H16)</f>
      </c>
      <c r="I27" s="11" t="str">
        <f>IF(CALC_EPM!$B16="","",CALC_EPM!I16)</f>
      </c>
      <c r="J27" t="str">
        <f>IF(CALC_EPM!$B16="","",CALC_EPM!J16)</f>
      </c>
      <c r="K27" t="str">
        <f>IF(CALC_EPM!$B16="","",CALC_EPM!K16)</f>
      </c>
      <c r="L27">
        <f>IF(CALC_EPM!$B16="","",CALC_EPM!L16)</f>
      </c>
      <c r="M27">
        <f>IF(CALC_EPM!$B16="","",CALC_EPM!M16)</f>
      </c>
      <c r="N27">
        <f>IF(CALC_EPM!$B16="","",CALC_EPM!N16)</f>
      </c>
      <c r="O27">
        <f>IF(CALC_EPM!$B16="","",CALC_EPM!O16)</f>
      </c>
      <c r="P27">
        <f>IF(CALC_EPM!$B16="","",CALC_EPM!P16)</f>
      </c>
      <c r="Q27">
        <f>IF(CALC_EPM!$B16="","",CALC_EPM!Q16)</f>
      </c>
      <c r="R27">
        <f>IF(CALC_EPM!$B16="","",CALC_EPM!R16)</f>
      </c>
      <c r="S27">
        <f>IF(CALC_EPM!$B16="","",CALC_EPM!S16)</f>
      </c>
      <c r="T27">
        <f>IF(CALC_EPM!$B16="","",CALC_EPM!T16)</f>
      </c>
      <c r="U27">
        <f>IF(CALC_EPM!$B16="","",CALC_EPM!U16)</f>
      </c>
    </row>
    <row r="28">
      <c r="A28" t="str">
        <f>IF(CALC_EPM!$B17="","",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)</f>
      </c>
      <c r="B28" t="str">
        <f>IF(CALC_EPM!$B17="","",CALC_EPM!A17)</f>
      </c>
      <c r="C28" t="str">
        <f>IF(CALC_EPM!$B17="","",CALC_EPM!B17)</f>
      </c>
      <c r="D28">
        <f>IF(CALC_EPM!$B17="","",CALC_EPM!D17)</f>
      </c>
      <c r="E28" s="10" t="str">
        <f>IF(CALC_EPM!$B17="","",CALC_EPM!E17)</f>
      </c>
      <c r="F28" s="10" t="str">
        <f>IF(CALC_EPM!$B17="","",CALC_EPM!F17)</f>
      </c>
      <c r="G28" t="str">
        <f>IF(CALC_EPM!$B17="","",CALC_EPM!G17)</f>
      </c>
      <c r="H28" s="11" t="str">
        <f>IF(CALC_EPM!$B17="","",CALC_EPM!H17)</f>
      </c>
      <c r="I28" s="11" t="str">
        <f>IF(CALC_EPM!$B17="","",CALC_EPM!I17)</f>
      </c>
      <c r="J28" t="str">
        <f>IF(CALC_EPM!$B17="","",CALC_EPM!J17)</f>
      </c>
      <c r="K28" t="str">
        <f>IF(CALC_EPM!$B17="","",CALC_EPM!K17)</f>
      </c>
      <c r="L28">
        <f>IF(CALC_EPM!$B17="","",CALC_EPM!L17)</f>
      </c>
      <c r="M28">
        <f>IF(CALC_EPM!$B17="","",CALC_EPM!M17)</f>
      </c>
      <c r="N28">
        <f>IF(CALC_EPM!$B17="","",CALC_EPM!N17)</f>
      </c>
      <c r="O28">
        <f>IF(CALC_EPM!$B17="","",CALC_EPM!O17)</f>
      </c>
      <c r="P28">
        <f>IF(CALC_EPM!$B17="","",CALC_EPM!P17)</f>
      </c>
      <c r="Q28">
        <f>IF(CALC_EPM!$B17="","",CALC_EPM!Q17)</f>
      </c>
      <c r="R28">
        <f>IF(CALC_EPM!$B17="","",CALC_EPM!R17)</f>
      </c>
      <c r="S28">
        <f>IF(CALC_EPM!$B17="","",CALC_EPM!S17)</f>
      </c>
      <c r="T28">
        <f>IF(CALC_EPM!$B17="","",CALC_EPM!T17)</f>
      </c>
      <c r="U28">
        <f>IF(CALC_EPM!$B17="","",CALC_EPM!U17)</f>
      </c>
    </row>
    <row r="29">
      <c r="A29" t="str">
        <f>IF(CALC_EPM!$B18="","",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)</f>
      </c>
      <c r="B29" t="str">
        <f>IF(CALC_EPM!$B18="","",CALC_EPM!A18)</f>
      </c>
      <c r="C29" t="str">
        <f>IF(CALC_EPM!$B18="","",CALC_EPM!B18)</f>
      </c>
      <c r="D29">
        <f>IF(CALC_EPM!$B18="","",CALC_EPM!D18)</f>
      </c>
      <c r="E29" s="10" t="str">
        <f>IF(CALC_EPM!$B18="","",CALC_EPM!E18)</f>
      </c>
      <c r="F29" s="10" t="str">
        <f>IF(CALC_EPM!$B18="","",CALC_EPM!F18)</f>
      </c>
      <c r="G29" t="str">
        <f>IF(CALC_EPM!$B18="","",CALC_EPM!G18)</f>
      </c>
      <c r="H29" s="11" t="str">
        <f>IF(CALC_EPM!$B18="","",CALC_EPM!H18)</f>
      </c>
      <c r="I29" s="11" t="str">
        <f>IF(CALC_EPM!$B18="","",CALC_EPM!I18)</f>
      </c>
      <c r="J29" t="str">
        <f>IF(CALC_EPM!$B18="","",CALC_EPM!J18)</f>
      </c>
      <c r="K29" t="str">
        <f>IF(CALC_EPM!$B18="","",CALC_EPM!K18)</f>
      </c>
      <c r="L29">
        <f>IF(CALC_EPM!$B18="","",CALC_EPM!L18)</f>
      </c>
      <c r="M29">
        <f>IF(CALC_EPM!$B18="","",CALC_EPM!M18)</f>
      </c>
      <c r="N29">
        <f>IF(CALC_EPM!$B18="","",CALC_EPM!N18)</f>
      </c>
      <c r="O29">
        <f>IF(CALC_EPM!$B18="","",CALC_EPM!O18)</f>
      </c>
      <c r="P29">
        <f>IF(CALC_EPM!$B18="","",CALC_EPM!P18)</f>
      </c>
      <c r="Q29">
        <f>IF(CALC_EPM!$B18="","",CALC_EPM!Q18)</f>
      </c>
      <c r="R29">
        <f>IF(CALC_EPM!$B18="","",CALC_EPM!R18)</f>
      </c>
      <c r="S29">
        <f>IF(CALC_EPM!$B18="","",CALC_EPM!S18)</f>
      </c>
      <c r="T29">
        <f>IF(CALC_EPM!$B18="","",CALC_EPM!T18)</f>
      </c>
      <c r="U29">
        <f>IF(CALC_EPM!$B18="","",CALC_EPM!U18)</f>
      </c>
    </row>
    <row r="30">
      <c r="A30" t="str">
        <f>IF(CALC_EPM!$B19="","",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)</f>
      </c>
      <c r="B30" t="str">
        <f>IF(CALC_EPM!$B19="","",CALC_EPM!A19)</f>
      </c>
      <c r="C30" t="str">
        <f>IF(CALC_EPM!$B19="","",CALC_EPM!B19)</f>
      </c>
      <c r="D30">
        <f>IF(CALC_EPM!$B19="","",CALC_EPM!D19)</f>
      </c>
      <c r="E30" s="10" t="str">
        <f>IF(CALC_EPM!$B19="","",CALC_EPM!E19)</f>
      </c>
      <c r="F30" s="10" t="str">
        <f>IF(CALC_EPM!$B19="","",CALC_EPM!F19)</f>
      </c>
      <c r="G30" t="str">
        <f>IF(CALC_EPM!$B19="","",CALC_EPM!G19)</f>
      </c>
      <c r="H30" s="11" t="str">
        <f>IF(CALC_EPM!$B19="","",CALC_EPM!H19)</f>
      </c>
      <c r="I30" s="11" t="str">
        <f>IF(CALC_EPM!$B19="","",CALC_EPM!I19)</f>
      </c>
      <c r="J30" t="str">
        <f>IF(CALC_EPM!$B19="","",CALC_EPM!J19)</f>
      </c>
      <c r="K30" t="str">
        <f>IF(CALC_EPM!$B19="","",CALC_EPM!K19)</f>
      </c>
      <c r="L30">
        <f>IF(CALC_EPM!$B19="","",CALC_EPM!L19)</f>
      </c>
      <c r="M30">
        <f>IF(CALC_EPM!$B19="","",CALC_EPM!M19)</f>
      </c>
      <c r="N30">
        <f>IF(CALC_EPM!$B19="","",CALC_EPM!N19)</f>
      </c>
      <c r="O30">
        <f>IF(CALC_EPM!$B19="","",CALC_EPM!O19)</f>
      </c>
      <c r="P30">
        <f>IF(CALC_EPM!$B19="","",CALC_EPM!P19)</f>
      </c>
      <c r="Q30">
        <f>IF(CALC_EPM!$B19="","",CALC_EPM!Q19)</f>
      </c>
      <c r="R30">
        <f>IF(CALC_EPM!$B19="","",CALC_EPM!R19)</f>
      </c>
      <c r="S30">
        <f>IF(CALC_EPM!$B19="","",CALC_EPM!S19)</f>
      </c>
      <c r="T30">
        <f>IF(CALC_EPM!$B19="","",CALC_EPM!T19)</f>
      </c>
      <c r="U30">
        <f>IF(CALC_EPM!$B19="","",CALC_EPM!U19)</f>
      </c>
    </row>
    <row r="31">
      <c r="A31" t="str">
        <f>IF(CALC_EPM!$B20="","",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)</f>
      </c>
      <c r="B31" t="str">
        <f>IF(CALC_EPM!$B20="","",CALC_EPM!A20)</f>
      </c>
      <c r="C31" t="str">
        <f>IF(CALC_EPM!$B20="","",CALC_EPM!B20)</f>
      </c>
      <c r="D31">
        <f>IF(CALC_EPM!$B20="","",CALC_EPM!D20)</f>
      </c>
      <c r="E31" s="10" t="str">
        <f>IF(CALC_EPM!$B20="","",CALC_EPM!E20)</f>
      </c>
      <c r="F31" s="10" t="str">
        <f>IF(CALC_EPM!$B20="","",CALC_EPM!F20)</f>
      </c>
      <c r="G31" t="str">
        <f>IF(CALC_EPM!$B20="","",CALC_EPM!G20)</f>
      </c>
      <c r="H31" s="11" t="str">
        <f>IF(CALC_EPM!$B20="","",CALC_EPM!H20)</f>
      </c>
      <c r="I31" s="11" t="str">
        <f>IF(CALC_EPM!$B20="","",CALC_EPM!I20)</f>
      </c>
      <c r="J31" t="str">
        <f>IF(CALC_EPM!$B20="","",CALC_EPM!J20)</f>
      </c>
      <c r="K31" t="str">
        <f>IF(CALC_EPM!$B20="","",CALC_EPM!K20)</f>
      </c>
      <c r="L31">
        <f>IF(CALC_EPM!$B20="","",CALC_EPM!L20)</f>
      </c>
      <c r="M31">
        <f>IF(CALC_EPM!$B20="","",CALC_EPM!M20)</f>
      </c>
      <c r="N31">
        <f>IF(CALC_EPM!$B20="","",CALC_EPM!N20)</f>
      </c>
      <c r="O31">
        <f>IF(CALC_EPM!$B20="","",CALC_EPM!O20)</f>
      </c>
      <c r="P31">
        <f>IF(CALC_EPM!$B20="","",CALC_EPM!P20)</f>
      </c>
      <c r="Q31">
        <f>IF(CALC_EPM!$B20="","",CALC_EPM!Q20)</f>
      </c>
      <c r="R31">
        <f>IF(CALC_EPM!$B20="","",CALC_EPM!R20)</f>
      </c>
      <c r="S31">
        <f>IF(CALC_EPM!$B20="","",CALC_EPM!S20)</f>
      </c>
      <c r="T31">
        <f>IF(CALC_EPM!$B20="","",CALC_EPM!T20)</f>
      </c>
      <c r="U31">
        <f>IF(CALC_EPM!$B20="","",CALC_EPM!U20)</f>
      </c>
    </row>
    <row r="32">
      <c r="A32" t="str">
        <f>IF(CALC_EPM!$B21="","",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)</f>
      </c>
      <c r="B32" t="str">
        <f>IF(CALC_EPM!$B21="","",CALC_EPM!A21)</f>
      </c>
      <c r="C32" t="str">
        <f>IF(CALC_EPM!$B21="","",CALC_EPM!B21)</f>
      </c>
      <c r="D32">
        <f>IF(CALC_EPM!$B21="","",CALC_EPM!D21)</f>
      </c>
      <c r="E32" s="10" t="str">
        <f>IF(CALC_EPM!$B21="","",CALC_EPM!E21)</f>
      </c>
      <c r="F32" s="10" t="str">
        <f>IF(CALC_EPM!$B21="","",CALC_EPM!F21)</f>
      </c>
      <c r="G32" t="str">
        <f>IF(CALC_EPM!$B21="","",CALC_EPM!G21)</f>
      </c>
      <c r="H32" s="11" t="str">
        <f>IF(CALC_EPM!$B21="","",CALC_EPM!H21)</f>
      </c>
      <c r="I32" s="11" t="str">
        <f>IF(CALC_EPM!$B21="","",CALC_EPM!I21)</f>
      </c>
      <c r="J32" t="str">
        <f>IF(CALC_EPM!$B21="","",CALC_EPM!J21)</f>
      </c>
      <c r="K32" t="str">
        <f>IF(CALC_EPM!$B21="","",CALC_EPM!K21)</f>
      </c>
      <c r="L32">
        <f>IF(CALC_EPM!$B21="","",CALC_EPM!L21)</f>
      </c>
      <c r="M32">
        <f>IF(CALC_EPM!$B21="","",CALC_EPM!M21)</f>
      </c>
      <c r="N32">
        <f>IF(CALC_EPM!$B21="","",CALC_EPM!N21)</f>
      </c>
      <c r="O32">
        <f>IF(CALC_EPM!$B21="","",CALC_EPM!O21)</f>
      </c>
      <c r="P32">
        <f>IF(CALC_EPM!$B21="","",CALC_EPM!P21)</f>
      </c>
      <c r="Q32">
        <f>IF(CALC_EPM!$B21="","",CALC_EPM!Q21)</f>
      </c>
      <c r="R32">
        <f>IF(CALC_EPM!$B21="","",CALC_EPM!R21)</f>
      </c>
      <c r="S32">
        <f>IF(CALC_EPM!$B21="","",CALC_EPM!S21)</f>
      </c>
      <c r="T32">
        <f>IF(CALC_EPM!$B21="","",CALC_EPM!T21)</f>
      </c>
      <c r="U32">
        <f>IF(CALC_EPM!$B21="","",CALC_EPM!U21)</f>
      </c>
    </row>
    <row r="33">
      <c r="A33" t="str">
        <f>IF(CALC_EPM!$B22="","",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)</f>
      </c>
      <c r="B33" t="str">
        <f>IF(CALC_EPM!$B22="","",CALC_EPM!A22)</f>
      </c>
      <c r="C33" t="str">
        <f>IF(CALC_EPM!$B22="","",CALC_EPM!B22)</f>
      </c>
      <c r="D33">
        <f>IF(CALC_EPM!$B22="","",CALC_EPM!D22)</f>
      </c>
      <c r="E33" s="10" t="str">
        <f>IF(CALC_EPM!$B22="","",CALC_EPM!E22)</f>
      </c>
      <c r="F33" s="10" t="str">
        <f>IF(CALC_EPM!$B22="","",CALC_EPM!F22)</f>
      </c>
      <c r="G33" t="str">
        <f>IF(CALC_EPM!$B22="","",CALC_EPM!G22)</f>
      </c>
      <c r="H33" s="11" t="str">
        <f>IF(CALC_EPM!$B22="","",CALC_EPM!H22)</f>
      </c>
      <c r="I33" s="11" t="str">
        <f>IF(CALC_EPM!$B22="","",CALC_EPM!I22)</f>
      </c>
      <c r="J33" t="str">
        <f>IF(CALC_EPM!$B22="","",CALC_EPM!J22)</f>
      </c>
      <c r="K33" t="str">
        <f>IF(CALC_EPM!$B22="","",CALC_EPM!K22)</f>
      </c>
      <c r="L33">
        <f>IF(CALC_EPM!$B22="","",CALC_EPM!L22)</f>
      </c>
      <c r="M33">
        <f>IF(CALC_EPM!$B22="","",CALC_EPM!M22)</f>
      </c>
      <c r="N33">
        <f>IF(CALC_EPM!$B22="","",CALC_EPM!N22)</f>
      </c>
      <c r="O33">
        <f>IF(CALC_EPM!$B22="","",CALC_EPM!O22)</f>
      </c>
      <c r="P33">
        <f>IF(CALC_EPM!$B22="","",CALC_EPM!P22)</f>
      </c>
      <c r="Q33">
        <f>IF(CALC_EPM!$B22="","",CALC_EPM!Q22)</f>
      </c>
      <c r="R33">
        <f>IF(CALC_EPM!$B22="","",CALC_EPM!R22)</f>
      </c>
      <c r="S33">
        <f>IF(CALC_EPM!$B22="","",CALC_EPM!S22)</f>
      </c>
      <c r="T33">
        <f>IF(CALC_EPM!$B22="","",CALC_EPM!T22)</f>
      </c>
      <c r="U33">
        <f>IF(CALC_EPM!$B22="","",CALC_EPM!U22)</f>
      </c>
    </row>
    <row r="34">
      <c r="A34" t="str">
        <f>IF(CALC_EPM!$B23="","",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)</f>
      </c>
      <c r="B34" t="str">
        <f>IF(CALC_EPM!$B23="","",CALC_EPM!A23)</f>
      </c>
      <c r="C34" t="str">
        <f>IF(CALC_EPM!$B23="","",CALC_EPM!B23)</f>
      </c>
      <c r="D34">
        <f>IF(CALC_EPM!$B23="","",CALC_EPM!D23)</f>
      </c>
      <c r="E34" s="10" t="str">
        <f>IF(CALC_EPM!$B23="","",CALC_EPM!E23)</f>
      </c>
      <c r="F34" s="10" t="str">
        <f>IF(CALC_EPM!$B23="","",CALC_EPM!F23)</f>
      </c>
      <c r="G34" t="str">
        <f>IF(CALC_EPM!$B23="","",CALC_EPM!G23)</f>
      </c>
      <c r="H34" s="11" t="str">
        <f>IF(CALC_EPM!$B23="","",CALC_EPM!H23)</f>
      </c>
      <c r="I34" s="11" t="str">
        <f>IF(CALC_EPM!$B23="","",CALC_EPM!I23)</f>
      </c>
      <c r="J34" t="str">
        <f>IF(CALC_EPM!$B23="","",CALC_EPM!J23)</f>
      </c>
      <c r="K34" t="str">
        <f>IF(CALC_EPM!$B23="","",CALC_EPM!K23)</f>
      </c>
      <c r="L34">
        <f>IF(CALC_EPM!$B23="","",CALC_EPM!L23)</f>
      </c>
      <c r="M34">
        <f>IF(CALC_EPM!$B23="","",CALC_EPM!M23)</f>
      </c>
      <c r="N34">
        <f>IF(CALC_EPM!$B23="","",CALC_EPM!N23)</f>
      </c>
      <c r="O34">
        <f>IF(CALC_EPM!$B23="","",CALC_EPM!O23)</f>
      </c>
      <c r="P34">
        <f>IF(CALC_EPM!$B23="","",CALC_EPM!P23)</f>
      </c>
      <c r="Q34">
        <f>IF(CALC_EPM!$B23="","",CALC_EPM!Q23)</f>
      </c>
      <c r="R34">
        <f>IF(CALC_EPM!$B23="","",CALC_EPM!R23)</f>
      </c>
      <c r="S34">
        <f>IF(CALC_EPM!$B23="","",CALC_EPM!S23)</f>
      </c>
      <c r="T34">
        <f>IF(CALC_EPM!$B23="","",CALC_EPM!T23)</f>
      </c>
      <c r="U34">
        <f>IF(CALC_EPM!$B23="","",CALC_EPM!U23)</f>
      </c>
    </row>
    <row r="35">
      <c r="A35" t="str">
        <f>IF(CALC_EPM!$B24="","",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)</f>
      </c>
      <c r="B35" t="str">
        <f>IF(CALC_EPM!$B24="","",CALC_EPM!A24)</f>
      </c>
      <c r="C35" t="str">
        <f>IF(CALC_EPM!$B24="","",CALC_EPM!B24)</f>
      </c>
      <c r="D35">
        <f>IF(CALC_EPM!$B24="","",CALC_EPM!D24)</f>
      </c>
      <c r="E35" s="10" t="str">
        <f>IF(CALC_EPM!$B24="","",CALC_EPM!E24)</f>
      </c>
      <c r="F35" s="10" t="str">
        <f>IF(CALC_EPM!$B24="","",CALC_EPM!F24)</f>
      </c>
      <c r="G35" t="str">
        <f>IF(CALC_EPM!$B24="","",CALC_EPM!G24)</f>
      </c>
      <c r="H35" s="11" t="str">
        <f>IF(CALC_EPM!$B24="","",CALC_EPM!H24)</f>
      </c>
      <c r="I35" s="11" t="str">
        <f>IF(CALC_EPM!$B24="","",CALC_EPM!I24)</f>
      </c>
      <c r="J35" t="str">
        <f>IF(CALC_EPM!$B24="","",CALC_EPM!J24)</f>
      </c>
      <c r="K35" t="str">
        <f>IF(CALC_EPM!$B24="","",CALC_EPM!K24)</f>
      </c>
      <c r="L35">
        <f>IF(CALC_EPM!$B24="","",CALC_EPM!L24)</f>
      </c>
      <c r="M35">
        <f>IF(CALC_EPM!$B24="","",CALC_EPM!M24)</f>
      </c>
      <c r="N35">
        <f>IF(CALC_EPM!$B24="","",CALC_EPM!N24)</f>
      </c>
      <c r="O35">
        <f>IF(CALC_EPM!$B24="","",CALC_EPM!O24)</f>
      </c>
      <c r="P35">
        <f>IF(CALC_EPM!$B24="","",CALC_EPM!P24)</f>
      </c>
      <c r="Q35">
        <f>IF(CALC_EPM!$B24="","",CALC_EPM!Q24)</f>
      </c>
      <c r="R35">
        <f>IF(CALC_EPM!$B24="","",CALC_EPM!R24)</f>
      </c>
      <c r="S35">
        <f>IF(CALC_EPM!$B24="","",CALC_EPM!S24)</f>
      </c>
      <c r="T35">
        <f>IF(CALC_EPM!$B24="","",CALC_EPM!T24)</f>
      </c>
      <c r="U35">
        <f>IF(CALC_EPM!$B24="","",CALC_EPM!U24)</f>
      </c>
    </row>
    <row r="36">
      <c r="A36" t="str">
        <f>IF(CALC_EPM!$B25="","",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)</f>
      </c>
      <c r="B36" t="str">
        <f>IF(CALC_EPM!$B25="","",CALC_EPM!A25)</f>
      </c>
      <c r="C36" t="str">
        <f>IF(CALC_EPM!$B25="","",CALC_EPM!B25)</f>
      </c>
      <c r="D36">
        <f>IF(CALC_EPM!$B25="","",CALC_EPM!D25)</f>
      </c>
      <c r="E36" s="10" t="str">
        <f>IF(CALC_EPM!$B25="","",CALC_EPM!E25)</f>
      </c>
      <c r="F36" s="10" t="str">
        <f>IF(CALC_EPM!$B25="","",CALC_EPM!F25)</f>
      </c>
      <c r="G36" t="str">
        <f>IF(CALC_EPM!$B25="","",CALC_EPM!G25)</f>
      </c>
      <c r="H36" s="11" t="str">
        <f>IF(CALC_EPM!$B25="","",CALC_EPM!H25)</f>
      </c>
      <c r="I36" s="11" t="str">
        <f>IF(CALC_EPM!$B25="","",CALC_EPM!I25)</f>
      </c>
      <c r="J36" t="str">
        <f>IF(CALC_EPM!$B25="","",CALC_EPM!J25)</f>
      </c>
      <c r="K36" t="str">
        <f>IF(CALC_EPM!$B25="","",CALC_EPM!K25)</f>
      </c>
      <c r="L36">
        <f>IF(CALC_EPM!$B25="","",CALC_EPM!L25)</f>
      </c>
      <c r="M36">
        <f>IF(CALC_EPM!$B25="","",CALC_EPM!M25)</f>
      </c>
      <c r="N36">
        <f>IF(CALC_EPM!$B25="","",CALC_EPM!N25)</f>
      </c>
      <c r="O36">
        <f>IF(CALC_EPM!$B25="","",CALC_EPM!O25)</f>
      </c>
      <c r="P36">
        <f>IF(CALC_EPM!$B25="","",CALC_EPM!P25)</f>
      </c>
      <c r="Q36">
        <f>IF(CALC_EPM!$B25="","",CALC_EPM!Q25)</f>
      </c>
      <c r="R36">
        <f>IF(CALC_EPM!$B25="","",CALC_EPM!R25)</f>
      </c>
      <c r="S36">
        <f>IF(CALC_EPM!$B25="","",CALC_EPM!S25)</f>
      </c>
      <c r="T36">
        <f>IF(CALC_EPM!$B25="","",CALC_EPM!T25)</f>
      </c>
      <c r="U36">
        <f>IF(CALC_EPM!$B25="","",CALC_EPM!U25)</f>
      </c>
    </row>
    <row r="37">
      <c r="A37" t="str">
        <f>IF(CALC_EPM!$B26="","",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)</f>
      </c>
      <c r="B37" t="str">
        <f>IF(CALC_EPM!$B26="","",CALC_EPM!A26)</f>
      </c>
      <c r="C37" t="str">
        <f>IF(CALC_EPM!$B26="","",CALC_EPM!B26)</f>
      </c>
      <c r="D37">
        <f>IF(CALC_EPM!$B26="","",CALC_EPM!D26)</f>
      </c>
      <c r="E37" s="10" t="str">
        <f>IF(CALC_EPM!$B26="","",CALC_EPM!E26)</f>
      </c>
      <c r="F37" s="10" t="str">
        <f>IF(CALC_EPM!$B26="","",CALC_EPM!F26)</f>
      </c>
      <c r="G37" t="str">
        <f>IF(CALC_EPM!$B26="","",CALC_EPM!G26)</f>
      </c>
      <c r="H37" s="11" t="str">
        <f>IF(CALC_EPM!$B26="","",CALC_EPM!H26)</f>
      </c>
      <c r="I37" s="11" t="str">
        <f>IF(CALC_EPM!$B26="","",CALC_EPM!I26)</f>
      </c>
      <c r="J37" t="str">
        <f>IF(CALC_EPM!$B26="","",CALC_EPM!J26)</f>
      </c>
      <c r="K37" t="str">
        <f>IF(CALC_EPM!$B26="","",CALC_EPM!K26)</f>
      </c>
      <c r="L37">
        <f>IF(CALC_EPM!$B26="","",CALC_EPM!L26)</f>
      </c>
      <c r="M37">
        <f>IF(CALC_EPM!$B26="","",CALC_EPM!M26)</f>
      </c>
      <c r="N37">
        <f>IF(CALC_EPM!$B26="","",CALC_EPM!N26)</f>
      </c>
      <c r="O37">
        <f>IF(CALC_EPM!$B26="","",CALC_EPM!O26)</f>
      </c>
      <c r="P37">
        <f>IF(CALC_EPM!$B26="","",CALC_EPM!P26)</f>
      </c>
      <c r="Q37">
        <f>IF(CALC_EPM!$B26="","",CALC_EPM!Q26)</f>
      </c>
      <c r="R37">
        <f>IF(CALC_EPM!$B26="","",CALC_EPM!R26)</f>
      </c>
      <c r="S37">
        <f>IF(CALC_EPM!$B26="","",CALC_EPM!S26)</f>
      </c>
      <c r="T37">
        <f>IF(CALC_EPM!$B26="","",CALC_EPM!T26)</f>
      </c>
      <c r="U37">
        <f>IF(CALC_EPM!$B26="","",CALC_EPM!U26)</f>
      </c>
    </row>
    <row r="38">
      <c r="A38" t="str">
        <f>IF(CALC_EPM!$B27="","",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)</f>
      </c>
      <c r="B38" t="str">
        <f>IF(CALC_EPM!$B27="","",CALC_EPM!A27)</f>
      </c>
      <c r="C38" t="str">
        <f>IF(CALC_EPM!$B27="","",CALC_EPM!B27)</f>
      </c>
      <c r="D38">
        <f>IF(CALC_EPM!$B27="","",CALC_EPM!D27)</f>
      </c>
      <c r="E38" s="10" t="str">
        <f>IF(CALC_EPM!$B27="","",CALC_EPM!E27)</f>
      </c>
      <c r="F38" s="10" t="str">
        <f>IF(CALC_EPM!$B27="","",CALC_EPM!F27)</f>
      </c>
      <c r="G38" t="str">
        <f>IF(CALC_EPM!$B27="","",CALC_EPM!G27)</f>
      </c>
      <c r="H38" s="11" t="str">
        <f>IF(CALC_EPM!$B27="","",CALC_EPM!H27)</f>
      </c>
      <c r="I38" s="11" t="str">
        <f>IF(CALC_EPM!$B27="","",CALC_EPM!I27)</f>
      </c>
      <c r="J38" t="str">
        <f>IF(CALC_EPM!$B27="","",CALC_EPM!J27)</f>
      </c>
      <c r="K38" t="str">
        <f>IF(CALC_EPM!$B27="","",CALC_EPM!K27)</f>
      </c>
      <c r="L38">
        <f>IF(CALC_EPM!$B27="","",CALC_EPM!L27)</f>
      </c>
      <c r="M38">
        <f>IF(CALC_EPM!$B27="","",CALC_EPM!M27)</f>
      </c>
      <c r="N38">
        <f>IF(CALC_EPM!$B27="","",CALC_EPM!N27)</f>
      </c>
      <c r="O38">
        <f>IF(CALC_EPM!$B27="","",CALC_EPM!O27)</f>
      </c>
      <c r="P38">
        <f>IF(CALC_EPM!$B27="","",CALC_EPM!P27)</f>
      </c>
      <c r="Q38">
        <f>IF(CALC_EPM!$B27="","",CALC_EPM!Q27)</f>
      </c>
      <c r="R38">
        <f>IF(CALC_EPM!$B27="","",CALC_EPM!R27)</f>
      </c>
      <c r="S38">
        <f>IF(CALC_EPM!$B27="","",CALC_EPM!S27)</f>
      </c>
      <c r="T38">
        <f>IF(CALC_EPM!$B27="","",CALC_EPM!T27)</f>
      </c>
      <c r="U38">
        <f>IF(CALC_EPM!$B27="","",CALC_EPM!U27)</f>
      </c>
    </row>
    <row r="39">
      <c r="A39" t="str">
        <f>IF(CALC_EPM!$B28="","",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)</f>
      </c>
      <c r="B39" t="str">
        <f>IF(CALC_EPM!$B28="","",CALC_EPM!A28)</f>
      </c>
      <c r="C39" t="str">
        <f>IF(CALC_EPM!$B28="","",CALC_EPM!B28)</f>
      </c>
      <c r="D39">
        <f>IF(CALC_EPM!$B28="","",CALC_EPM!D28)</f>
      </c>
      <c r="E39" s="10" t="str">
        <f>IF(CALC_EPM!$B28="","",CALC_EPM!E28)</f>
      </c>
      <c r="F39" s="10" t="str">
        <f>IF(CALC_EPM!$B28="","",CALC_EPM!F28)</f>
      </c>
      <c r="G39" t="str">
        <f>IF(CALC_EPM!$B28="","",CALC_EPM!G28)</f>
      </c>
      <c r="H39" s="11" t="str">
        <f>IF(CALC_EPM!$B28="","",CALC_EPM!H28)</f>
      </c>
      <c r="I39" s="11" t="str">
        <f>IF(CALC_EPM!$B28="","",CALC_EPM!I28)</f>
      </c>
      <c r="J39" t="str">
        <f>IF(CALC_EPM!$B28="","",CALC_EPM!J28)</f>
      </c>
      <c r="K39" t="str">
        <f>IF(CALC_EPM!$B28="","",CALC_EPM!K28)</f>
      </c>
      <c r="L39">
        <f>IF(CALC_EPM!$B28="","",CALC_EPM!L28)</f>
      </c>
      <c r="M39">
        <f>IF(CALC_EPM!$B28="","",CALC_EPM!M28)</f>
      </c>
      <c r="N39">
        <f>IF(CALC_EPM!$B28="","",CALC_EPM!N28)</f>
      </c>
      <c r="O39">
        <f>IF(CALC_EPM!$B28="","",CALC_EPM!O28)</f>
      </c>
      <c r="P39">
        <f>IF(CALC_EPM!$B28="","",CALC_EPM!P28)</f>
      </c>
      <c r="Q39">
        <f>IF(CALC_EPM!$B28="","",CALC_EPM!Q28)</f>
      </c>
      <c r="R39">
        <f>IF(CALC_EPM!$B28="","",CALC_EPM!R28)</f>
      </c>
      <c r="S39">
        <f>IF(CALC_EPM!$B28="","",CALC_EPM!S28)</f>
      </c>
      <c r="T39">
        <f>IF(CALC_EPM!$B28="","",CALC_EPM!T28)</f>
      </c>
      <c r="U39">
        <f>IF(CALC_EPM!$B28="","",CALC_EPM!U28)</f>
      </c>
    </row>
    <row r="40">
      <c r="A40" t="str">
        <f>IF(CALC_EPM!$B29="","",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)</f>
      </c>
      <c r="B40" t="str">
        <f>IF(CALC_EPM!$B29="","",CALC_EPM!A29)</f>
      </c>
      <c r="C40" t="str">
        <f>IF(CALC_EPM!$B29="","",CALC_EPM!B29)</f>
      </c>
      <c r="D40">
        <f>IF(CALC_EPM!$B29="","",CALC_EPM!D29)</f>
      </c>
      <c r="E40" s="10" t="str">
        <f>IF(CALC_EPM!$B29="","",CALC_EPM!E29)</f>
      </c>
      <c r="F40" s="10" t="str">
        <f>IF(CALC_EPM!$B29="","",CALC_EPM!F29)</f>
      </c>
      <c r="G40" t="str">
        <f>IF(CALC_EPM!$B29="","",CALC_EPM!G29)</f>
      </c>
      <c r="H40" s="11" t="str">
        <f>IF(CALC_EPM!$B29="","",CALC_EPM!H29)</f>
      </c>
      <c r="I40" s="11" t="str">
        <f>IF(CALC_EPM!$B29="","",CALC_EPM!I29)</f>
      </c>
      <c r="J40" t="str">
        <f>IF(CALC_EPM!$B29="","",CALC_EPM!J29)</f>
      </c>
      <c r="K40" t="str">
        <f>IF(CALC_EPM!$B29="","",CALC_EPM!K29)</f>
      </c>
      <c r="L40">
        <f>IF(CALC_EPM!$B29="","",CALC_EPM!L29)</f>
      </c>
      <c r="M40">
        <f>IF(CALC_EPM!$B29="","",CALC_EPM!M29)</f>
      </c>
      <c r="N40">
        <f>IF(CALC_EPM!$B29="","",CALC_EPM!N29)</f>
      </c>
      <c r="O40">
        <f>IF(CALC_EPM!$B29="","",CALC_EPM!O29)</f>
      </c>
      <c r="P40">
        <f>IF(CALC_EPM!$B29="","",CALC_EPM!P29)</f>
      </c>
      <c r="Q40">
        <f>IF(CALC_EPM!$B29="","",CALC_EPM!Q29)</f>
      </c>
      <c r="R40">
        <f>IF(CALC_EPM!$B29="","",CALC_EPM!R29)</f>
      </c>
      <c r="S40">
        <f>IF(CALC_EPM!$B29="","",CALC_EPM!S29)</f>
      </c>
      <c r="T40">
        <f>IF(CALC_EPM!$B29="","",CALC_EPM!T29)</f>
      </c>
      <c r="U40">
        <f>IF(CALC_EPM!$B29="","",CALC_EPM!U29)</f>
      </c>
    </row>
    <row r="41">
      <c r="A41" t="str">
        <f>IF(CALC_EPM!$B30="","",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)</f>
      </c>
      <c r="B41" t="str">
        <f>IF(CALC_EPM!$B30="","",CALC_EPM!A30)</f>
      </c>
      <c r="C41" t="str">
        <f>IF(CALC_EPM!$B30="","",CALC_EPM!B30)</f>
      </c>
      <c r="D41">
        <f>IF(CALC_EPM!$B30="","",CALC_EPM!D30)</f>
      </c>
      <c r="E41" s="10" t="str">
        <f>IF(CALC_EPM!$B30="","",CALC_EPM!E30)</f>
      </c>
      <c r="F41" s="10" t="str">
        <f>IF(CALC_EPM!$B30="","",CALC_EPM!F30)</f>
      </c>
      <c r="G41" t="str">
        <f>IF(CALC_EPM!$B30="","",CALC_EPM!G30)</f>
      </c>
      <c r="H41" s="11" t="str">
        <f>IF(CALC_EPM!$B30="","",CALC_EPM!H30)</f>
      </c>
      <c r="I41" s="11" t="str">
        <f>IF(CALC_EPM!$B30="","",CALC_EPM!I30)</f>
      </c>
      <c r="J41" t="str">
        <f>IF(CALC_EPM!$B30="","",CALC_EPM!J30)</f>
      </c>
      <c r="K41" t="str">
        <f>IF(CALC_EPM!$B30="","",CALC_EPM!K30)</f>
      </c>
      <c r="L41">
        <f>IF(CALC_EPM!$B30="","",CALC_EPM!L30)</f>
      </c>
      <c r="M41">
        <f>IF(CALC_EPM!$B30="","",CALC_EPM!M30)</f>
      </c>
      <c r="N41">
        <f>IF(CALC_EPM!$B30="","",CALC_EPM!N30)</f>
      </c>
      <c r="O41">
        <f>IF(CALC_EPM!$B30="","",CALC_EPM!O30)</f>
      </c>
      <c r="P41">
        <f>IF(CALC_EPM!$B30="","",CALC_EPM!P30)</f>
      </c>
      <c r="Q41">
        <f>IF(CALC_EPM!$B30="","",CALC_EPM!Q30)</f>
      </c>
      <c r="R41">
        <f>IF(CALC_EPM!$B30="","",CALC_EPM!R30)</f>
      </c>
      <c r="S41">
        <f>IF(CALC_EPM!$B30="","",CALC_EPM!S30)</f>
      </c>
      <c r="T41">
        <f>IF(CALC_EPM!$B30="","",CALC_EPM!T30)</f>
      </c>
      <c r="U41">
        <f>IF(CALC_EPM!$B30="","",CALC_EPM!U30)</f>
      </c>
    </row>
    <row r="42">
      <c r="A42" t="str">
        <f>IF(CALC_EPM!$B31="","",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)</f>
      </c>
      <c r="B42" t="str">
        <f>IF(CALC_EPM!$B31="","",CALC_EPM!A31)</f>
      </c>
      <c r="C42" t="str">
        <f>IF(CALC_EPM!$B31="","",CALC_EPM!B31)</f>
      </c>
      <c r="D42">
        <f>IF(CALC_EPM!$B31="","",CALC_EPM!D31)</f>
      </c>
      <c r="E42" s="10" t="str">
        <f>IF(CALC_EPM!$B31="","",CALC_EPM!E31)</f>
      </c>
      <c r="F42" s="10" t="str">
        <f>IF(CALC_EPM!$B31="","",CALC_EPM!F31)</f>
      </c>
      <c r="G42" t="str">
        <f>IF(CALC_EPM!$B31="","",CALC_EPM!G31)</f>
      </c>
      <c r="H42" s="11" t="str">
        <f>IF(CALC_EPM!$B31="","",CALC_EPM!H31)</f>
      </c>
      <c r="I42" s="11" t="str">
        <f>IF(CALC_EPM!$B31="","",CALC_EPM!I31)</f>
      </c>
      <c r="J42" t="str">
        <f>IF(CALC_EPM!$B31="","",CALC_EPM!J31)</f>
      </c>
      <c r="K42" t="str">
        <f>IF(CALC_EPM!$B31="","",CALC_EPM!K31)</f>
      </c>
      <c r="L42">
        <f>IF(CALC_EPM!$B31="","",CALC_EPM!L31)</f>
      </c>
      <c r="M42">
        <f>IF(CALC_EPM!$B31="","",CALC_EPM!M31)</f>
      </c>
      <c r="N42">
        <f>IF(CALC_EPM!$B31="","",CALC_EPM!N31)</f>
      </c>
      <c r="O42">
        <f>IF(CALC_EPM!$B31="","",CALC_EPM!O31)</f>
      </c>
      <c r="P42">
        <f>IF(CALC_EPM!$B31="","",CALC_EPM!P31)</f>
      </c>
      <c r="Q42">
        <f>IF(CALC_EPM!$B31="","",CALC_EPM!Q31)</f>
      </c>
      <c r="R42">
        <f>IF(CALC_EPM!$B31="","",CALC_EPM!R31)</f>
      </c>
      <c r="S42">
        <f>IF(CALC_EPM!$B31="","",CALC_EPM!S31)</f>
      </c>
      <c r="T42">
        <f>IF(CALC_EPM!$B31="","",CALC_EPM!T31)</f>
      </c>
      <c r="U42">
        <f>IF(CALC_EPM!$B31="","",CALC_EPM!U31)</f>
      </c>
    </row>
    <row r="43">
      <c r="A43" t="str">
        <f>IF(CALC_EPM!$B32="","",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)</f>
      </c>
      <c r="B43" t="str">
        <f>IF(CALC_EPM!$B32="","",CALC_EPM!A32)</f>
      </c>
      <c r="C43" t="str">
        <f>IF(CALC_EPM!$B32="","",CALC_EPM!B32)</f>
      </c>
      <c r="D43">
        <f>IF(CALC_EPM!$B32="","",CALC_EPM!D32)</f>
      </c>
      <c r="E43" s="10" t="str">
        <f>IF(CALC_EPM!$B32="","",CALC_EPM!E32)</f>
      </c>
      <c r="F43" s="10" t="str">
        <f>IF(CALC_EPM!$B32="","",CALC_EPM!F32)</f>
      </c>
      <c r="G43" t="str">
        <f>IF(CALC_EPM!$B32="","",CALC_EPM!G32)</f>
      </c>
      <c r="H43" s="11" t="str">
        <f>IF(CALC_EPM!$B32="","",CALC_EPM!H32)</f>
      </c>
      <c r="I43" s="11" t="str">
        <f>IF(CALC_EPM!$B32="","",CALC_EPM!I32)</f>
      </c>
      <c r="J43" t="str">
        <f>IF(CALC_EPM!$B32="","",CALC_EPM!J32)</f>
      </c>
      <c r="K43" t="str">
        <f>IF(CALC_EPM!$B32="","",CALC_EPM!K32)</f>
      </c>
      <c r="L43">
        <f>IF(CALC_EPM!$B32="","",CALC_EPM!L32)</f>
      </c>
      <c r="M43">
        <f>IF(CALC_EPM!$B32="","",CALC_EPM!M32)</f>
      </c>
      <c r="N43">
        <f>IF(CALC_EPM!$B32="","",CALC_EPM!N32)</f>
      </c>
      <c r="O43">
        <f>IF(CALC_EPM!$B32="","",CALC_EPM!O32)</f>
      </c>
      <c r="P43">
        <f>IF(CALC_EPM!$B32="","",CALC_EPM!P32)</f>
      </c>
      <c r="Q43">
        <f>IF(CALC_EPM!$B32="","",CALC_EPM!Q32)</f>
      </c>
      <c r="R43">
        <f>IF(CALC_EPM!$B32="","",CALC_EPM!R32)</f>
      </c>
      <c r="S43">
        <f>IF(CALC_EPM!$B32="","",CALC_EPM!S32)</f>
      </c>
      <c r="T43">
        <f>IF(CALC_EPM!$B32="","",CALC_EPM!T32)</f>
      </c>
      <c r="U43">
        <f>IF(CALC_EPM!$B32="","",CALC_EPM!U32)</f>
      </c>
    </row>
    <row r="44">
      <c r="A44" t="str">
        <f>IF(CALC_EPM!$B33="","",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)</f>
      </c>
      <c r="B44" t="str">
        <f>IF(CALC_EPM!$B33="","",CALC_EPM!A33)</f>
      </c>
      <c r="C44" t="str">
        <f>IF(CALC_EPM!$B33="","",CALC_EPM!B33)</f>
      </c>
      <c r="D44">
        <f>IF(CALC_EPM!$B33="","",CALC_EPM!D33)</f>
      </c>
      <c r="E44" s="10" t="str">
        <f>IF(CALC_EPM!$B33="","",CALC_EPM!E33)</f>
      </c>
      <c r="F44" s="10" t="str">
        <f>IF(CALC_EPM!$B33="","",CALC_EPM!F33)</f>
      </c>
      <c r="G44" t="str">
        <f>IF(CALC_EPM!$B33="","",CALC_EPM!G33)</f>
      </c>
      <c r="H44" s="11" t="str">
        <f>IF(CALC_EPM!$B33="","",CALC_EPM!H33)</f>
      </c>
      <c r="I44" s="11" t="str">
        <f>IF(CALC_EPM!$B33="","",CALC_EPM!I33)</f>
      </c>
      <c r="J44" t="str">
        <f>IF(CALC_EPM!$B33="","",CALC_EPM!J33)</f>
      </c>
      <c r="K44" t="str">
        <f>IF(CALC_EPM!$B33="","",CALC_EPM!K33)</f>
      </c>
      <c r="L44">
        <f>IF(CALC_EPM!$B33="","",CALC_EPM!L33)</f>
      </c>
      <c r="M44">
        <f>IF(CALC_EPM!$B33="","",CALC_EPM!M33)</f>
      </c>
      <c r="N44">
        <f>IF(CALC_EPM!$B33="","",CALC_EPM!N33)</f>
      </c>
      <c r="O44">
        <f>IF(CALC_EPM!$B33="","",CALC_EPM!O33)</f>
      </c>
      <c r="P44">
        <f>IF(CALC_EPM!$B33="","",CALC_EPM!P33)</f>
      </c>
      <c r="Q44">
        <f>IF(CALC_EPM!$B33="","",CALC_EPM!Q33)</f>
      </c>
      <c r="R44">
        <f>IF(CALC_EPM!$B33="","",CALC_EPM!R33)</f>
      </c>
      <c r="S44">
        <f>IF(CALC_EPM!$B33="","",CALC_EPM!S33)</f>
      </c>
      <c r="T44">
        <f>IF(CALC_EPM!$B33="","",CALC_EPM!T33)</f>
      </c>
      <c r="U44">
        <f>IF(CALC_EPM!$B33="","",CALC_EPM!U33)</f>
      </c>
    </row>
    <row r="45">
      <c r="A45" t="str">
        <f>IF(CALC_EPM!$B34="","",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)</f>
      </c>
      <c r="B45" t="str">
        <f>IF(CALC_EPM!$B34="","",CALC_EPM!A34)</f>
      </c>
      <c r="C45" t="str">
        <f>IF(CALC_EPM!$B34="","",CALC_EPM!B34)</f>
      </c>
      <c r="D45">
        <f>IF(CALC_EPM!$B34="","",CALC_EPM!D34)</f>
      </c>
      <c r="E45" s="10" t="str">
        <f>IF(CALC_EPM!$B34="","",CALC_EPM!E34)</f>
      </c>
      <c r="F45" s="10" t="str">
        <f>IF(CALC_EPM!$B34="","",CALC_EPM!F34)</f>
      </c>
      <c r="G45" t="str">
        <f>IF(CALC_EPM!$B34="","",CALC_EPM!G34)</f>
      </c>
      <c r="H45" s="11" t="str">
        <f>IF(CALC_EPM!$B34="","",CALC_EPM!H34)</f>
      </c>
      <c r="I45" s="11" t="str">
        <f>IF(CALC_EPM!$B34="","",CALC_EPM!I34)</f>
      </c>
      <c r="J45" t="str">
        <f>IF(CALC_EPM!$B34="","",CALC_EPM!J34)</f>
      </c>
      <c r="K45" t="str">
        <f>IF(CALC_EPM!$B34="","",CALC_EPM!K34)</f>
      </c>
      <c r="L45">
        <f>IF(CALC_EPM!$B34="","",CALC_EPM!L34)</f>
      </c>
      <c r="M45">
        <f>IF(CALC_EPM!$B34="","",CALC_EPM!M34)</f>
      </c>
      <c r="N45">
        <f>IF(CALC_EPM!$B34="","",CALC_EPM!N34)</f>
      </c>
      <c r="O45">
        <f>IF(CALC_EPM!$B34="","",CALC_EPM!O34)</f>
      </c>
      <c r="P45">
        <f>IF(CALC_EPM!$B34="","",CALC_EPM!P34)</f>
      </c>
      <c r="Q45">
        <f>IF(CALC_EPM!$B34="","",CALC_EPM!Q34)</f>
      </c>
      <c r="R45">
        <f>IF(CALC_EPM!$B34="","",CALC_EPM!R34)</f>
      </c>
      <c r="S45">
        <f>IF(CALC_EPM!$B34="","",CALC_EPM!S34)</f>
      </c>
      <c r="T45">
        <f>IF(CALC_EPM!$B34="","",CALC_EPM!T34)</f>
      </c>
      <c r="U45">
        <f>IF(CALC_EPM!$B34="","",CALC_EPM!U34)</f>
      </c>
    </row>
    <row r="46">
      <c r="A46" t="str">
        <f>IF(CALC_EPM!$B35="","",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)</f>
      </c>
      <c r="B46" t="str">
        <f>IF(CALC_EPM!$B35="","",CALC_EPM!A35)</f>
      </c>
      <c r="C46" t="str">
        <f>IF(CALC_EPM!$B35="","",CALC_EPM!B35)</f>
      </c>
      <c r="D46">
        <f>IF(CALC_EPM!$B35="","",CALC_EPM!D35)</f>
      </c>
      <c r="E46" s="10" t="str">
        <f>IF(CALC_EPM!$B35="","",CALC_EPM!E35)</f>
      </c>
      <c r="F46" s="10" t="str">
        <f>IF(CALC_EPM!$B35="","",CALC_EPM!F35)</f>
      </c>
      <c r="G46" t="str">
        <f>IF(CALC_EPM!$B35="","",CALC_EPM!G35)</f>
      </c>
      <c r="H46" s="11" t="str">
        <f>IF(CALC_EPM!$B35="","",CALC_EPM!H35)</f>
      </c>
      <c r="I46" s="11" t="str">
        <f>IF(CALC_EPM!$B35="","",CALC_EPM!I35)</f>
      </c>
      <c r="J46" t="str">
        <f>IF(CALC_EPM!$B35="","",CALC_EPM!J35)</f>
      </c>
      <c r="K46" t="str">
        <f>IF(CALC_EPM!$B35="","",CALC_EPM!K35)</f>
      </c>
      <c r="L46">
        <f>IF(CALC_EPM!$B35="","",CALC_EPM!L35)</f>
      </c>
      <c r="M46">
        <f>IF(CALC_EPM!$B35="","",CALC_EPM!M35)</f>
      </c>
      <c r="N46">
        <f>IF(CALC_EPM!$B35="","",CALC_EPM!N35)</f>
      </c>
      <c r="O46">
        <f>IF(CALC_EPM!$B35="","",CALC_EPM!O35)</f>
      </c>
      <c r="P46">
        <f>IF(CALC_EPM!$B35="","",CALC_EPM!P35)</f>
      </c>
      <c r="Q46">
        <f>IF(CALC_EPM!$B35="","",CALC_EPM!Q35)</f>
      </c>
      <c r="R46">
        <f>IF(CALC_EPM!$B35="","",CALC_EPM!R35)</f>
      </c>
      <c r="S46">
        <f>IF(CALC_EPM!$B35="","",CALC_EPM!S35)</f>
      </c>
      <c r="T46">
        <f>IF(CALC_EPM!$B35="","",CALC_EPM!T35)</f>
      </c>
      <c r="U46">
        <f>IF(CALC_EPM!$B35="","",CALC_EPM!U35)</f>
      </c>
    </row>
    <row r="47">
      <c r="A47" t="str">
        <f>IF(CALC_EPM!$B36="","",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)</f>
      </c>
      <c r="B47" t="str">
        <f>IF(CALC_EPM!$B36="","",CALC_EPM!A36)</f>
      </c>
      <c r="C47" t="str">
        <f>IF(CALC_EPM!$B36="","",CALC_EPM!B36)</f>
      </c>
      <c r="D47">
        <f>IF(CALC_EPM!$B36="","",CALC_EPM!D36)</f>
      </c>
      <c r="E47" s="10" t="str">
        <f>IF(CALC_EPM!$B36="","",CALC_EPM!E36)</f>
      </c>
      <c r="F47" s="10" t="str">
        <f>IF(CALC_EPM!$B36="","",CALC_EPM!F36)</f>
      </c>
      <c r="G47" t="str">
        <f>IF(CALC_EPM!$B36="","",CALC_EPM!G36)</f>
      </c>
      <c r="H47" s="11" t="str">
        <f>IF(CALC_EPM!$B36="","",CALC_EPM!H36)</f>
      </c>
      <c r="I47" s="11" t="str">
        <f>IF(CALC_EPM!$B36="","",CALC_EPM!I36)</f>
      </c>
      <c r="J47" t="str">
        <f>IF(CALC_EPM!$B36="","",CALC_EPM!J36)</f>
      </c>
      <c r="K47" t="str">
        <f>IF(CALC_EPM!$B36="","",CALC_EPM!K36)</f>
      </c>
      <c r="L47">
        <f>IF(CALC_EPM!$B36="","",CALC_EPM!L36)</f>
      </c>
      <c r="M47">
        <f>IF(CALC_EPM!$B36="","",CALC_EPM!M36)</f>
      </c>
      <c r="N47">
        <f>IF(CALC_EPM!$B36="","",CALC_EPM!N36)</f>
      </c>
      <c r="O47">
        <f>IF(CALC_EPM!$B36="","",CALC_EPM!O36)</f>
      </c>
      <c r="P47">
        <f>IF(CALC_EPM!$B36="","",CALC_EPM!P36)</f>
      </c>
      <c r="Q47">
        <f>IF(CALC_EPM!$B36="","",CALC_EPM!Q36)</f>
      </c>
      <c r="R47">
        <f>IF(CALC_EPM!$B36="","",CALC_EPM!R36)</f>
      </c>
      <c r="S47">
        <f>IF(CALC_EPM!$B36="","",CALC_EPM!S36)</f>
      </c>
      <c r="T47">
        <f>IF(CALC_EPM!$B36="","",CALC_EPM!T36)</f>
      </c>
      <c r="U47">
        <f>IF(CALC_EPM!$B36="","",CALC_EPM!U36)</f>
      </c>
    </row>
    <row r="48">
      <c r="A48" t="str">
        <f>IF(CALC_EPM!$B37="","",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)</f>
      </c>
      <c r="B48" t="str">
        <f>IF(CALC_EPM!$B37="","",CALC_EPM!A37)</f>
      </c>
      <c r="C48" t="str">
        <f>IF(CALC_EPM!$B37="","",CALC_EPM!B37)</f>
      </c>
      <c r="D48">
        <f>IF(CALC_EPM!$B37="","",CALC_EPM!D37)</f>
      </c>
      <c r="E48" s="10" t="str">
        <f>IF(CALC_EPM!$B37="","",CALC_EPM!E37)</f>
      </c>
      <c r="F48" s="10" t="str">
        <f>IF(CALC_EPM!$B37="","",CALC_EPM!F37)</f>
      </c>
      <c r="G48" t="str">
        <f>IF(CALC_EPM!$B37="","",CALC_EPM!G37)</f>
      </c>
      <c r="H48" s="11" t="str">
        <f>IF(CALC_EPM!$B37="","",CALC_EPM!H37)</f>
      </c>
      <c r="I48" s="11" t="str">
        <f>IF(CALC_EPM!$B37="","",CALC_EPM!I37)</f>
      </c>
      <c r="J48" t="str">
        <f>IF(CALC_EPM!$B37="","",CALC_EPM!J37)</f>
      </c>
      <c r="K48" t="str">
        <f>IF(CALC_EPM!$B37="","",CALC_EPM!K37)</f>
      </c>
      <c r="L48">
        <f>IF(CALC_EPM!$B37="","",CALC_EPM!L37)</f>
      </c>
      <c r="M48">
        <f>IF(CALC_EPM!$B37="","",CALC_EPM!M37)</f>
      </c>
      <c r="N48">
        <f>IF(CALC_EPM!$B37="","",CALC_EPM!N37)</f>
      </c>
      <c r="O48">
        <f>IF(CALC_EPM!$B37="","",CALC_EPM!O37)</f>
      </c>
      <c r="P48">
        <f>IF(CALC_EPM!$B37="","",CALC_EPM!P37)</f>
      </c>
      <c r="Q48">
        <f>IF(CALC_EPM!$B37="","",CALC_EPM!Q37)</f>
      </c>
      <c r="R48">
        <f>IF(CALC_EPM!$B37="","",CALC_EPM!R37)</f>
      </c>
      <c r="S48">
        <f>IF(CALC_EPM!$B37="","",CALC_EPM!S37)</f>
      </c>
      <c r="T48">
        <f>IF(CALC_EPM!$B37="","",CALC_EPM!T37)</f>
      </c>
      <c r="U48">
        <f>IF(CALC_EPM!$B37="","",CALC_EPM!U37)</f>
      </c>
    </row>
    <row r="49">
      <c r="A49" t="str">
        <f>IF(CALC_EPM!$B38="","",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)</f>
      </c>
      <c r="B49" t="str">
        <f>IF(CALC_EPM!$B38="","",CALC_EPM!A38)</f>
      </c>
      <c r="C49" t="str">
        <f>IF(CALC_EPM!$B38="","",CALC_EPM!B38)</f>
      </c>
      <c r="D49">
        <f>IF(CALC_EPM!$B38="","",CALC_EPM!D38)</f>
      </c>
      <c r="E49" s="10" t="str">
        <f>IF(CALC_EPM!$B38="","",CALC_EPM!E38)</f>
      </c>
      <c r="F49" s="10" t="str">
        <f>IF(CALC_EPM!$B38="","",CALC_EPM!F38)</f>
      </c>
      <c r="G49" t="str">
        <f>IF(CALC_EPM!$B38="","",CALC_EPM!G38)</f>
      </c>
      <c r="H49" s="11" t="str">
        <f>IF(CALC_EPM!$B38="","",CALC_EPM!H38)</f>
      </c>
      <c r="I49" s="11" t="str">
        <f>IF(CALC_EPM!$B38="","",CALC_EPM!I38)</f>
      </c>
      <c r="J49" t="str">
        <f>IF(CALC_EPM!$B38="","",CALC_EPM!J38)</f>
      </c>
      <c r="K49" t="str">
        <f>IF(CALC_EPM!$B38="","",CALC_EPM!K38)</f>
      </c>
      <c r="L49">
        <f>IF(CALC_EPM!$B38="","",CALC_EPM!L38)</f>
      </c>
      <c r="M49">
        <f>IF(CALC_EPM!$B38="","",CALC_EPM!M38)</f>
      </c>
      <c r="N49">
        <f>IF(CALC_EPM!$B38="","",CALC_EPM!N38)</f>
      </c>
      <c r="O49">
        <f>IF(CALC_EPM!$B38="","",CALC_EPM!O38)</f>
      </c>
      <c r="P49">
        <f>IF(CALC_EPM!$B38="","",CALC_EPM!P38)</f>
      </c>
      <c r="Q49">
        <f>IF(CALC_EPM!$B38="","",CALC_EPM!Q38)</f>
      </c>
      <c r="R49">
        <f>IF(CALC_EPM!$B38="","",CALC_EPM!R38)</f>
      </c>
      <c r="S49">
        <f>IF(CALC_EPM!$B38="","",CALC_EPM!S38)</f>
      </c>
      <c r="T49">
        <f>IF(CALC_EPM!$B38="","",CALC_EPM!T38)</f>
      </c>
      <c r="U49">
        <f>IF(CALC_EPM!$B38="","",CALC_EPM!U38)</f>
      </c>
    </row>
    <row r="50">
      <c r="A50" t="str">
        <f>IF(CALC_EPM!$B39="","",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)</f>
      </c>
      <c r="B50" t="str">
        <f>IF(CALC_EPM!$B39="","",CALC_EPM!A39)</f>
      </c>
      <c r="C50" t="str">
        <f>IF(CALC_EPM!$B39="","",CALC_EPM!B39)</f>
      </c>
      <c r="D50">
        <f>IF(CALC_EPM!$B39="","",CALC_EPM!D39)</f>
      </c>
      <c r="E50" s="10" t="str">
        <f>IF(CALC_EPM!$B39="","",CALC_EPM!E39)</f>
      </c>
      <c r="F50" s="10" t="str">
        <f>IF(CALC_EPM!$B39="","",CALC_EPM!F39)</f>
      </c>
      <c r="G50" t="str">
        <f>IF(CALC_EPM!$B39="","",CALC_EPM!G39)</f>
      </c>
      <c r="H50" s="11" t="str">
        <f>IF(CALC_EPM!$B39="","",CALC_EPM!H39)</f>
      </c>
      <c r="I50" s="11" t="str">
        <f>IF(CALC_EPM!$B39="","",CALC_EPM!I39)</f>
      </c>
      <c r="J50" t="str">
        <f>IF(CALC_EPM!$B39="","",CALC_EPM!J39)</f>
      </c>
      <c r="K50" t="str">
        <f>IF(CALC_EPM!$B39="","",CALC_EPM!K39)</f>
      </c>
      <c r="L50">
        <f>IF(CALC_EPM!$B39="","",CALC_EPM!L39)</f>
      </c>
      <c r="M50">
        <f>IF(CALC_EPM!$B39="","",CALC_EPM!M39)</f>
      </c>
      <c r="N50">
        <f>IF(CALC_EPM!$B39="","",CALC_EPM!N39)</f>
      </c>
      <c r="O50">
        <f>IF(CALC_EPM!$B39="","",CALC_EPM!O39)</f>
      </c>
      <c r="P50">
        <f>IF(CALC_EPM!$B39="","",CALC_EPM!P39)</f>
      </c>
      <c r="Q50">
        <f>IF(CALC_EPM!$B39="","",CALC_EPM!Q39)</f>
      </c>
      <c r="R50">
        <f>IF(CALC_EPM!$B39="","",CALC_EPM!R39)</f>
      </c>
      <c r="S50">
        <f>IF(CALC_EPM!$B39="","",CALC_EPM!S39)</f>
      </c>
      <c r="T50">
        <f>IF(CALC_EPM!$B39="","",CALC_EPM!T39)</f>
      </c>
      <c r="U50">
        <f>IF(CALC_EPM!$B39="","",CALC_EPM!U39)</f>
      </c>
    </row>
    <row r="51">
      <c r="A51" t="str">
        <f>IF(CALC_EPM!$B40="","",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)</f>
      </c>
      <c r="B51" t="str">
        <f>IF(CALC_EPM!$B40="","",CALC_EPM!A40)</f>
      </c>
      <c r="C51" t="str">
        <f>IF(CALC_EPM!$B40="","",CALC_EPM!B40)</f>
      </c>
      <c r="D51">
        <f>IF(CALC_EPM!$B40="","",CALC_EPM!D40)</f>
      </c>
      <c r="E51" s="10" t="str">
        <f>IF(CALC_EPM!$B40="","",CALC_EPM!E40)</f>
      </c>
      <c r="F51" s="10" t="str">
        <f>IF(CALC_EPM!$B40="","",CALC_EPM!F40)</f>
      </c>
      <c r="G51" t="str">
        <f>IF(CALC_EPM!$B40="","",CALC_EPM!G40)</f>
      </c>
      <c r="H51" s="11" t="str">
        <f>IF(CALC_EPM!$B40="","",CALC_EPM!H40)</f>
      </c>
      <c r="I51" s="11" t="str">
        <f>IF(CALC_EPM!$B40="","",CALC_EPM!I40)</f>
      </c>
      <c r="J51" t="str">
        <f>IF(CALC_EPM!$B40="","",CALC_EPM!J40)</f>
      </c>
      <c r="K51" t="str">
        <f>IF(CALC_EPM!$B40="","",CALC_EPM!K40)</f>
      </c>
      <c r="L51">
        <f>IF(CALC_EPM!$B40="","",CALC_EPM!L40)</f>
      </c>
      <c r="M51">
        <f>IF(CALC_EPM!$B40="","",CALC_EPM!M40)</f>
      </c>
      <c r="N51">
        <f>IF(CALC_EPM!$B40="","",CALC_EPM!N40)</f>
      </c>
      <c r="O51">
        <f>IF(CALC_EPM!$B40="","",CALC_EPM!O40)</f>
      </c>
      <c r="P51">
        <f>IF(CALC_EPM!$B40="","",CALC_EPM!P40)</f>
      </c>
      <c r="Q51">
        <f>IF(CALC_EPM!$B40="","",CALC_EPM!Q40)</f>
      </c>
      <c r="R51">
        <f>IF(CALC_EPM!$B40="","",CALC_EPM!R40)</f>
      </c>
      <c r="S51">
        <f>IF(CALC_EPM!$B40="","",CALC_EPM!S40)</f>
      </c>
      <c r="T51">
        <f>IF(CALC_EPM!$B40="","",CALC_EPM!T40)</f>
      </c>
      <c r="U51">
        <f>IF(CALC_EPM!$B40="","",CALC_EPM!U40)</f>
      </c>
    </row>
    <row r="52">
      <c r="A52" t="str">
        <f>IF(CALC_EPM!$B41="","",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)</f>
      </c>
      <c r="B52" t="str">
        <f>IF(CALC_EPM!$B41="","",CALC_EPM!A41)</f>
      </c>
      <c r="C52" t="str">
        <f>IF(CALC_EPM!$B41="","",CALC_EPM!B41)</f>
      </c>
      <c r="D52">
        <f>IF(CALC_EPM!$B41="","",CALC_EPM!D41)</f>
      </c>
      <c r="E52" s="10" t="str">
        <f>IF(CALC_EPM!$B41="","",CALC_EPM!E41)</f>
      </c>
      <c r="F52" s="10" t="str">
        <f>IF(CALC_EPM!$B41="","",CALC_EPM!F41)</f>
      </c>
      <c r="G52" t="str">
        <f>IF(CALC_EPM!$B41="","",CALC_EPM!G41)</f>
      </c>
      <c r="H52" s="11" t="str">
        <f>IF(CALC_EPM!$B41="","",CALC_EPM!H41)</f>
      </c>
      <c r="I52" s="11" t="str">
        <f>IF(CALC_EPM!$B41="","",CALC_EPM!I41)</f>
      </c>
      <c r="J52" t="str">
        <f>IF(CALC_EPM!$B41="","",CALC_EPM!J41)</f>
      </c>
      <c r="K52" t="str">
        <f>IF(CALC_EPM!$B41="","",CALC_EPM!K41)</f>
      </c>
      <c r="L52">
        <f>IF(CALC_EPM!$B41="","",CALC_EPM!L41)</f>
      </c>
      <c r="M52">
        <f>IF(CALC_EPM!$B41="","",CALC_EPM!M41)</f>
      </c>
      <c r="N52">
        <f>IF(CALC_EPM!$B41="","",CALC_EPM!N41)</f>
      </c>
      <c r="O52">
        <f>IF(CALC_EPM!$B41="","",CALC_EPM!O41)</f>
      </c>
      <c r="P52">
        <f>IF(CALC_EPM!$B41="","",CALC_EPM!P41)</f>
      </c>
      <c r="Q52">
        <f>IF(CALC_EPM!$B41="","",CALC_EPM!Q41)</f>
      </c>
      <c r="R52">
        <f>IF(CALC_EPM!$B41="","",CALC_EPM!R41)</f>
      </c>
      <c r="S52">
        <f>IF(CALC_EPM!$B41="","",CALC_EPM!S41)</f>
      </c>
      <c r="T52">
        <f>IF(CALC_EPM!$B41="","",CALC_EPM!T41)</f>
      </c>
      <c r="U52">
        <f>IF(CALC_EPM!$B41="","",CALC_EPM!U41)</f>
      </c>
    </row>
    <row r="53">
      <c r="A53" t="str">
        <f>IF(CALC_EPM!$B42="","",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)</f>
      </c>
      <c r="B53" t="str">
        <f>IF(CALC_EPM!$B42="","",CALC_EPM!A42)</f>
      </c>
      <c r="C53" t="str">
        <f>IF(CALC_EPM!$B42="","",CALC_EPM!B42)</f>
      </c>
      <c r="D53">
        <f>IF(CALC_EPM!$B42="","",CALC_EPM!D42)</f>
      </c>
      <c r="E53" s="10" t="str">
        <f>IF(CALC_EPM!$B42="","",CALC_EPM!E42)</f>
      </c>
      <c r="F53" s="10" t="str">
        <f>IF(CALC_EPM!$B42="","",CALC_EPM!F42)</f>
      </c>
      <c r="G53" t="str">
        <f>IF(CALC_EPM!$B42="","",CALC_EPM!G42)</f>
      </c>
      <c r="H53" s="11" t="str">
        <f>IF(CALC_EPM!$B42="","",CALC_EPM!H42)</f>
      </c>
      <c r="I53" s="11" t="str">
        <f>IF(CALC_EPM!$B42="","",CALC_EPM!I42)</f>
      </c>
      <c r="J53" t="str">
        <f>IF(CALC_EPM!$B42="","",CALC_EPM!J42)</f>
      </c>
      <c r="K53" t="str">
        <f>IF(CALC_EPM!$B42="","",CALC_EPM!K42)</f>
      </c>
      <c r="L53">
        <f>IF(CALC_EPM!$B42="","",CALC_EPM!L42)</f>
      </c>
      <c r="M53">
        <f>IF(CALC_EPM!$B42="","",CALC_EPM!M42)</f>
      </c>
      <c r="N53">
        <f>IF(CALC_EPM!$B42="","",CALC_EPM!N42)</f>
      </c>
      <c r="O53">
        <f>IF(CALC_EPM!$B42="","",CALC_EPM!O42)</f>
      </c>
      <c r="P53">
        <f>IF(CALC_EPM!$B42="","",CALC_EPM!P42)</f>
      </c>
      <c r="Q53">
        <f>IF(CALC_EPM!$B42="","",CALC_EPM!Q42)</f>
      </c>
      <c r="R53">
        <f>IF(CALC_EPM!$B42="","",CALC_EPM!R42)</f>
      </c>
      <c r="S53">
        <f>IF(CALC_EPM!$B42="","",CALC_EPM!S42)</f>
      </c>
      <c r="T53">
        <f>IF(CALC_EPM!$B42="","",CALC_EPM!T42)</f>
      </c>
      <c r="U53">
        <f>IF(CALC_EPM!$B42="","",CALC_EPM!U42)</f>
      </c>
    </row>
    <row r="54">
      <c r="A54" t="str">
        <f>IF(CALC_EPM!$B43="","",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)</f>
      </c>
      <c r="B54" t="str">
        <f>IF(CALC_EPM!$B43="","",CALC_EPM!A43)</f>
      </c>
      <c r="C54" t="str">
        <f>IF(CALC_EPM!$B43="","",CALC_EPM!B43)</f>
      </c>
      <c r="D54">
        <f>IF(CALC_EPM!$B43="","",CALC_EPM!D43)</f>
      </c>
      <c r="E54" s="10" t="str">
        <f>IF(CALC_EPM!$B43="","",CALC_EPM!E43)</f>
      </c>
      <c r="F54" s="10" t="str">
        <f>IF(CALC_EPM!$B43="","",CALC_EPM!F43)</f>
      </c>
      <c r="G54" t="str">
        <f>IF(CALC_EPM!$B43="","",CALC_EPM!G43)</f>
      </c>
      <c r="H54" s="11" t="str">
        <f>IF(CALC_EPM!$B43="","",CALC_EPM!H43)</f>
      </c>
      <c r="I54" s="11" t="str">
        <f>IF(CALC_EPM!$B43="","",CALC_EPM!I43)</f>
      </c>
      <c r="J54" t="str">
        <f>IF(CALC_EPM!$B43="","",CALC_EPM!J43)</f>
      </c>
      <c r="K54" t="str">
        <f>IF(CALC_EPM!$B43="","",CALC_EPM!K43)</f>
      </c>
      <c r="L54">
        <f>IF(CALC_EPM!$B43="","",CALC_EPM!L43)</f>
      </c>
      <c r="M54">
        <f>IF(CALC_EPM!$B43="","",CALC_EPM!M43)</f>
      </c>
      <c r="N54">
        <f>IF(CALC_EPM!$B43="","",CALC_EPM!N43)</f>
      </c>
      <c r="O54">
        <f>IF(CALC_EPM!$B43="","",CALC_EPM!O43)</f>
      </c>
      <c r="P54">
        <f>IF(CALC_EPM!$B43="","",CALC_EPM!P43)</f>
      </c>
      <c r="Q54">
        <f>IF(CALC_EPM!$B43="","",CALC_EPM!Q43)</f>
      </c>
      <c r="R54">
        <f>IF(CALC_EPM!$B43="","",CALC_EPM!R43)</f>
      </c>
      <c r="S54">
        <f>IF(CALC_EPM!$B43="","",CALC_EPM!S43)</f>
      </c>
      <c r="T54">
        <f>IF(CALC_EPM!$B43="","",CALC_EPM!T43)</f>
      </c>
      <c r="U54">
        <f>IF(CALC_EPM!$B43="","",CALC_EPM!U43)</f>
      </c>
    </row>
    <row r="55">
      <c r="A55" t="str">
        <f>IF(CALC_EPM!$B44="","",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)</f>
      </c>
      <c r="B55" t="str">
        <f>IF(CALC_EPM!$B44="","",CALC_EPM!A44)</f>
      </c>
      <c r="C55" t="str">
        <f>IF(CALC_EPM!$B44="","",CALC_EPM!B44)</f>
      </c>
      <c r="D55">
        <f>IF(CALC_EPM!$B44="","",CALC_EPM!D44)</f>
      </c>
      <c r="E55" s="10" t="str">
        <f>IF(CALC_EPM!$B44="","",CALC_EPM!E44)</f>
      </c>
      <c r="F55" s="10" t="str">
        <f>IF(CALC_EPM!$B44="","",CALC_EPM!F44)</f>
      </c>
      <c r="G55" t="str">
        <f>IF(CALC_EPM!$B44="","",CALC_EPM!G44)</f>
      </c>
      <c r="H55" s="11" t="str">
        <f>IF(CALC_EPM!$B44="","",CALC_EPM!H44)</f>
      </c>
      <c r="I55" s="11" t="str">
        <f>IF(CALC_EPM!$B44="","",CALC_EPM!I44)</f>
      </c>
      <c r="J55" t="str">
        <f>IF(CALC_EPM!$B44="","",CALC_EPM!J44)</f>
      </c>
      <c r="K55" t="str">
        <f>IF(CALC_EPM!$B44="","",CALC_EPM!K44)</f>
      </c>
      <c r="L55">
        <f>IF(CALC_EPM!$B44="","",CALC_EPM!L44)</f>
      </c>
      <c r="M55">
        <f>IF(CALC_EPM!$B44="","",CALC_EPM!M44)</f>
      </c>
      <c r="N55">
        <f>IF(CALC_EPM!$B44="","",CALC_EPM!N44)</f>
      </c>
      <c r="O55">
        <f>IF(CALC_EPM!$B44="","",CALC_EPM!O44)</f>
      </c>
      <c r="P55">
        <f>IF(CALC_EPM!$B44="","",CALC_EPM!P44)</f>
      </c>
      <c r="Q55">
        <f>IF(CALC_EPM!$B44="","",CALC_EPM!Q44)</f>
      </c>
      <c r="R55">
        <f>IF(CALC_EPM!$B44="","",CALC_EPM!R44)</f>
      </c>
      <c r="S55">
        <f>IF(CALC_EPM!$B44="","",CALC_EPM!S44)</f>
      </c>
      <c r="T55">
        <f>IF(CALC_EPM!$B44="","",CALC_EPM!T44)</f>
      </c>
      <c r="U55">
        <f>IF(CALC_EPM!$B44="","",CALC_EPM!U44)</f>
      </c>
    </row>
    <row r="56">
      <c r="A56" t="str">
        <f>IF(CALC_EPM!$B45="","",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)</f>
      </c>
      <c r="B56" t="str">
        <f>IF(CALC_EPM!$B45="","",CALC_EPM!A45)</f>
      </c>
      <c r="C56" t="str">
        <f>IF(CALC_EPM!$B45="","",CALC_EPM!B45)</f>
      </c>
      <c r="D56">
        <f>IF(CALC_EPM!$B45="","",CALC_EPM!D45)</f>
      </c>
      <c r="E56" s="10" t="str">
        <f>IF(CALC_EPM!$B45="","",CALC_EPM!E45)</f>
      </c>
      <c r="F56" s="10" t="str">
        <f>IF(CALC_EPM!$B45="","",CALC_EPM!F45)</f>
      </c>
      <c r="G56" t="str">
        <f>IF(CALC_EPM!$B45="","",CALC_EPM!G45)</f>
      </c>
      <c r="H56" s="11" t="str">
        <f>IF(CALC_EPM!$B45="","",CALC_EPM!H45)</f>
      </c>
      <c r="I56" s="11" t="str">
        <f>IF(CALC_EPM!$B45="","",CALC_EPM!I45)</f>
      </c>
      <c r="J56" t="str">
        <f>IF(CALC_EPM!$B45="","",CALC_EPM!J45)</f>
      </c>
      <c r="K56" t="str">
        <f>IF(CALC_EPM!$B45="","",CALC_EPM!K45)</f>
      </c>
      <c r="L56">
        <f>IF(CALC_EPM!$B45="","",CALC_EPM!L45)</f>
      </c>
      <c r="M56">
        <f>IF(CALC_EPM!$B45="","",CALC_EPM!M45)</f>
      </c>
      <c r="N56">
        <f>IF(CALC_EPM!$B45="","",CALC_EPM!N45)</f>
      </c>
      <c r="O56">
        <f>IF(CALC_EPM!$B45="","",CALC_EPM!O45)</f>
      </c>
      <c r="P56">
        <f>IF(CALC_EPM!$B45="","",CALC_EPM!P45)</f>
      </c>
      <c r="Q56">
        <f>IF(CALC_EPM!$B45="","",CALC_EPM!Q45)</f>
      </c>
      <c r="R56">
        <f>IF(CALC_EPM!$B45="","",CALC_EPM!R45)</f>
      </c>
      <c r="S56">
        <f>IF(CALC_EPM!$B45="","",CALC_EPM!S45)</f>
      </c>
      <c r="T56">
        <f>IF(CALC_EPM!$B45="","",CALC_EPM!T45)</f>
      </c>
      <c r="U56">
        <f>IF(CALC_EPM!$B45="","",CALC_EPM!U45)</f>
      </c>
    </row>
    <row r="57">
      <c r="A57" t="str">
        <f>IF(CALC_EPM!$B46="","",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)</f>
      </c>
      <c r="B57" t="str">
        <f>IF(CALC_EPM!$B46="","",CALC_EPM!A46)</f>
      </c>
      <c r="C57" t="str">
        <f>IF(CALC_EPM!$B46="","",CALC_EPM!B46)</f>
      </c>
      <c r="D57">
        <f>IF(CALC_EPM!$B46="","",CALC_EPM!D46)</f>
      </c>
      <c r="E57" s="10" t="str">
        <f>IF(CALC_EPM!$B46="","",CALC_EPM!E46)</f>
      </c>
      <c r="F57" s="10" t="str">
        <f>IF(CALC_EPM!$B46="","",CALC_EPM!F46)</f>
      </c>
      <c r="G57" t="str">
        <f>IF(CALC_EPM!$B46="","",CALC_EPM!G46)</f>
      </c>
      <c r="H57" s="11" t="str">
        <f>IF(CALC_EPM!$B46="","",CALC_EPM!H46)</f>
      </c>
      <c r="I57" s="11" t="str">
        <f>IF(CALC_EPM!$B46="","",CALC_EPM!I46)</f>
      </c>
      <c r="J57" t="str">
        <f>IF(CALC_EPM!$B46="","",CALC_EPM!J46)</f>
      </c>
      <c r="K57" t="str">
        <f>IF(CALC_EPM!$B46="","",CALC_EPM!K46)</f>
      </c>
      <c r="L57">
        <f>IF(CALC_EPM!$B46="","",CALC_EPM!L46)</f>
      </c>
      <c r="M57">
        <f>IF(CALC_EPM!$B46="","",CALC_EPM!M46)</f>
      </c>
      <c r="N57">
        <f>IF(CALC_EPM!$B46="","",CALC_EPM!N46)</f>
      </c>
      <c r="O57">
        <f>IF(CALC_EPM!$B46="","",CALC_EPM!O46)</f>
      </c>
      <c r="P57">
        <f>IF(CALC_EPM!$B46="","",CALC_EPM!P46)</f>
      </c>
      <c r="Q57">
        <f>IF(CALC_EPM!$B46="","",CALC_EPM!Q46)</f>
      </c>
      <c r="R57">
        <f>IF(CALC_EPM!$B46="","",CALC_EPM!R46)</f>
      </c>
      <c r="S57">
        <f>IF(CALC_EPM!$B46="","",CALC_EPM!S46)</f>
      </c>
      <c r="T57">
        <f>IF(CALC_EPM!$B46="","",CALC_EPM!T46)</f>
      </c>
      <c r="U57">
        <f>IF(CALC_EPM!$B46="","",CALC_EPM!U46)</f>
      </c>
    </row>
    <row r="58">
      <c r="A58" t="str">
        <f>IF(CALC_EPM!$B47="","",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)</f>
      </c>
      <c r="B58" t="str">
        <f>IF(CALC_EPM!$B47="","",CALC_EPM!A47)</f>
      </c>
      <c r="C58" t="str">
        <f>IF(CALC_EPM!$B47="","",CALC_EPM!B47)</f>
      </c>
      <c r="D58">
        <f>IF(CALC_EPM!$B47="","",CALC_EPM!D47)</f>
      </c>
      <c r="E58" s="10" t="str">
        <f>IF(CALC_EPM!$B47="","",CALC_EPM!E47)</f>
      </c>
      <c r="F58" s="10" t="str">
        <f>IF(CALC_EPM!$B47="","",CALC_EPM!F47)</f>
      </c>
      <c r="G58" t="str">
        <f>IF(CALC_EPM!$B47="","",CALC_EPM!G47)</f>
      </c>
      <c r="H58" s="11" t="str">
        <f>IF(CALC_EPM!$B47="","",CALC_EPM!H47)</f>
      </c>
      <c r="I58" s="11" t="str">
        <f>IF(CALC_EPM!$B47="","",CALC_EPM!I47)</f>
      </c>
      <c r="J58" t="str">
        <f>IF(CALC_EPM!$B47="","",CALC_EPM!J47)</f>
      </c>
      <c r="K58" t="str">
        <f>IF(CALC_EPM!$B47="","",CALC_EPM!K47)</f>
      </c>
      <c r="L58">
        <f>IF(CALC_EPM!$B47="","",CALC_EPM!L47)</f>
      </c>
      <c r="M58">
        <f>IF(CALC_EPM!$B47="","",CALC_EPM!M47)</f>
      </c>
      <c r="N58">
        <f>IF(CALC_EPM!$B47="","",CALC_EPM!N47)</f>
      </c>
      <c r="O58">
        <f>IF(CALC_EPM!$B47="","",CALC_EPM!O47)</f>
      </c>
      <c r="P58">
        <f>IF(CALC_EPM!$B47="","",CALC_EPM!P47)</f>
      </c>
      <c r="Q58">
        <f>IF(CALC_EPM!$B47="","",CALC_EPM!Q47)</f>
      </c>
      <c r="R58">
        <f>IF(CALC_EPM!$B47="","",CALC_EPM!R47)</f>
      </c>
      <c r="S58">
        <f>IF(CALC_EPM!$B47="","",CALC_EPM!S47)</f>
      </c>
      <c r="T58">
        <f>IF(CALC_EPM!$B47="","",CALC_EPM!T47)</f>
      </c>
      <c r="U58">
        <f>IF(CALC_EPM!$B47="","",CALC_EPM!U47)</f>
      </c>
    </row>
    <row r="59">
      <c r="A59" t="str">
        <f>IF(CALC_EPM!$B48="","",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)</f>
      </c>
      <c r="B59" t="str">
        <f>IF(CALC_EPM!$B48="","",CALC_EPM!A48)</f>
      </c>
      <c r="C59" t="str">
        <f>IF(CALC_EPM!$B48="","",CALC_EPM!B48)</f>
      </c>
      <c r="D59">
        <f>IF(CALC_EPM!$B48="","",CALC_EPM!D48)</f>
      </c>
      <c r="E59" s="10" t="str">
        <f>IF(CALC_EPM!$B48="","",CALC_EPM!E48)</f>
      </c>
      <c r="F59" s="10" t="str">
        <f>IF(CALC_EPM!$B48="","",CALC_EPM!F48)</f>
      </c>
      <c r="G59" t="str">
        <f>IF(CALC_EPM!$B48="","",CALC_EPM!G48)</f>
      </c>
      <c r="H59" s="11" t="str">
        <f>IF(CALC_EPM!$B48="","",CALC_EPM!H48)</f>
      </c>
      <c r="I59" s="11" t="str">
        <f>IF(CALC_EPM!$B48="","",CALC_EPM!I48)</f>
      </c>
      <c r="J59" t="str">
        <f>IF(CALC_EPM!$B48="","",CALC_EPM!J48)</f>
      </c>
      <c r="K59" t="str">
        <f>IF(CALC_EPM!$B48="","",CALC_EPM!K48)</f>
      </c>
      <c r="L59">
        <f>IF(CALC_EPM!$B48="","",CALC_EPM!L48)</f>
      </c>
      <c r="M59">
        <f>IF(CALC_EPM!$B48="","",CALC_EPM!M48)</f>
      </c>
      <c r="N59">
        <f>IF(CALC_EPM!$B48="","",CALC_EPM!N48)</f>
      </c>
      <c r="O59">
        <f>IF(CALC_EPM!$B48="","",CALC_EPM!O48)</f>
      </c>
      <c r="P59">
        <f>IF(CALC_EPM!$B48="","",CALC_EPM!P48)</f>
      </c>
      <c r="Q59">
        <f>IF(CALC_EPM!$B48="","",CALC_EPM!Q48)</f>
      </c>
      <c r="R59">
        <f>IF(CALC_EPM!$B48="","",CALC_EPM!R48)</f>
      </c>
      <c r="S59">
        <f>IF(CALC_EPM!$B48="","",CALC_EPM!S48)</f>
      </c>
      <c r="T59">
        <f>IF(CALC_EPM!$B48="","",CALC_EPM!T48)</f>
      </c>
      <c r="U59">
        <f>IF(CALC_EPM!$B48="","",CALC_EPM!U48)</f>
      </c>
    </row>
    <row r="60">
      <c r="A60" t="str">
        <f>IF(CALC_EPM!$B49="","",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)</f>
      </c>
      <c r="B60" t="str">
        <f>IF(CALC_EPM!$B49="","",CALC_EPM!A49)</f>
      </c>
      <c r="C60" t="str">
        <f>IF(CALC_EPM!$B49="","",CALC_EPM!B49)</f>
      </c>
      <c r="D60">
        <f>IF(CALC_EPM!$B49="","",CALC_EPM!D49)</f>
      </c>
      <c r="E60" s="10" t="str">
        <f>IF(CALC_EPM!$B49="","",CALC_EPM!E49)</f>
      </c>
      <c r="F60" s="10" t="str">
        <f>IF(CALC_EPM!$B49="","",CALC_EPM!F49)</f>
      </c>
      <c r="G60" t="str">
        <f>IF(CALC_EPM!$B49="","",CALC_EPM!G49)</f>
      </c>
      <c r="H60" s="11" t="str">
        <f>IF(CALC_EPM!$B49="","",CALC_EPM!H49)</f>
      </c>
      <c r="I60" s="11" t="str">
        <f>IF(CALC_EPM!$B49="","",CALC_EPM!I49)</f>
      </c>
      <c r="J60" t="str">
        <f>IF(CALC_EPM!$B49="","",CALC_EPM!J49)</f>
      </c>
      <c r="K60" t="str">
        <f>IF(CALC_EPM!$B49="","",CALC_EPM!K49)</f>
      </c>
      <c r="L60">
        <f>IF(CALC_EPM!$B49="","",CALC_EPM!L49)</f>
      </c>
      <c r="M60">
        <f>IF(CALC_EPM!$B49="","",CALC_EPM!M49)</f>
      </c>
      <c r="N60">
        <f>IF(CALC_EPM!$B49="","",CALC_EPM!N49)</f>
      </c>
      <c r="O60">
        <f>IF(CALC_EPM!$B49="","",CALC_EPM!O49)</f>
      </c>
      <c r="P60">
        <f>IF(CALC_EPM!$B49="","",CALC_EPM!P49)</f>
      </c>
      <c r="Q60">
        <f>IF(CALC_EPM!$B49="","",CALC_EPM!Q49)</f>
      </c>
      <c r="R60">
        <f>IF(CALC_EPM!$B49="","",CALC_EPM!R49)</f>
      </c>
      <c r="S60">
        <f>IF(CALC_EPM!$B49="","",CALC_EPM!S49)</f>
      </c>
      <c r="T60">
        <f>IF(CALC_EPM!$B49="","",CALC_EPM!T49)</f>
      </c>
      <c r="U60">
        <f>IF(CALC_EPM!$B49="","",CALC_EPM!U49)</f>
      </c>
    </row>
    <row r="61">
      <c r="A61" t="str">
        <f>IF(CALC_EPM!$B50="","",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)</f>
      </c>
      <c r="B61" t="str">
        <f>IF(CALC_EPM!$B50="","",CALC_EPM!A50)</f>
      </c>
      <c r="C61" t="str">
        <f>IF(CALC_EPM!$B50="","",CALC_EPM!B50)</f>
      </c>
      <c r="D61">
        <f>IF(CALC_EPM!$B50="","",CALC_EPM!D50)</f>
      </c>
      <c r="E61" s="10" t="str">
        <f>IF(CALC_EPM!$B50="","",CALC_EPM!E50)</f>
      </c>
      <c r="F61" s="10" t="str">
        <f>IF(CALC_EPM!$B50="","",CALC_EPM!F50)</f>
      </c>
      <c r="G61" t="str">
        <f>IF(CALC_EPM!$B50="","",CALC_EPM!G50)</f>
      </c>
      <c r="H61" s="11" t="str">
        <f>IF(CALC_EPM!$B50="","",CALC_EPM!H50)</f>
      </c>
      <c r="I61" s="11" t="str">
        <f>IF(CALC_EPM!$B50="","",CALC_EPM!I50)</f>
      </c>
      <c r="J61" t="str">
        <f>IF(CALC_EPM!$B50="","",CALC_EPM!J50)</f>
      </c>
      <c r="K61" t="str">
        <f>IF(CALC_EPM!$B50="","",CALC_EPM!K50)</f>
      </c>
      <c r="L61">
        <f>IF(CALC_EPM!$B50="","",CALC_EPM!L50)</f>
      </c>
      <c r="M61">
        <f>IF(CALC_EPM!$B50="","",CALC_EPM!M50)</f>
      </c>
      <c r="N61">
        <f>IF(CALC_EPM!$B50="","",CALC_EPM!N50)</f>
      </c>
      <c r="O61">
        <f>IF(CALC_EPM!$B50="","",CALC_EPM!O50)</f>
      </c>
      <c r="P61">
        <f>IF(CALC_EPM!$B50="","",CALC_EPM!P50)</f>
      </c>
      <c r="Q61">
        <f>IF(CALC_EPM!$B50="","",CALC_EPM!Q50)</f>
      </c>
      <c r="R61">
        <f>IF(CALC_EPM!$B50="","",CALC_EPM!R50)</f>
      </c>
      <c r="S61">
        <f>IF(CALC_EPM!$B50="","",CALC_EPM!S50)</f>
      </c>
      <c r="T61">
        <f>IF(CALC_EPM!$B50="","",CALC_EPM!T50)</f>
      </c>
      <c r="U61">
        <f>IF(CALC_EPM!$B50="","",CALC_EPM!U50)</f>
      </c>
    </row>
    <row r="62">
      <c r="A62" t="str">
        <f>IF(CALC_EPM!$B51="","",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)</f>
      </c>
      <c r="B62" t="str">
        <f>IF(CALC_EPM!$B51="","",CALC_EPM!A51)</f>
      </c>
      <c r="C62" t="str">
        <f>IF(CALC_EPM!$B51="","",CALC_EPM!B51)</f>
      </c>
      <c r="D62">
        <f>IF(CALC_EPM!$B51="","",CALC_EPM!D51)</f>
      </c>
      <c r="E62" s="10" t="str">
        <f>IF(CALC_EPM!$B51="","",CALC_EPM!E51)</f>
      </c>
      <c r="F62" s="10" t="str">
        <f>IF(CALC_EPM!$B51="","",CALC_EPM!F51)</f>
      </c>
      <c r="G62" t="str">
        <f>IF(CALC_EPM!$B51="","",CALC_EPM!G51)</f>
      </c>
      <c r="H62" s="11" t="str">
        <f>IF(CALC_EPM!$B51="","",CALC_EPM!H51)</f>
      </c>
      <c r="I62" s="11" t="str">
        <f>IF(CALC_EPM!$B51="","",CALC_EPM!I51)</f>
      </c>
      <c r="J62" t="str">
        <f>IF(CALC_EPM!$B51="","",CALC_EPM!J51)</f>
      </c>
      <c r="K62" t="str">
        <f>IF(CALC_EPM!$B51="","",CALC_EPM!K51)</f>
      </c>
      <c r="L62">
        <f>IF(CALC_EPM!$B51="","",CALC_EPM!L51)</f>
      </c>
      <c r="M62">
        <f>IF(CALC_EPM!$B51="","",CALC_EPM!M51)</f>
      </c>
      <c r="N62">
        <f>IF(CALC_EPM!$B51="","",CALC_EPM!N51)</f>
      </c>
      <c r="O62">
        <f>IF(CALC_EPM!$B51="","",CALC_EPM!O51)</f>
      </c>
      <c r="P62">
        <f>IF(CALC_EPM!$B51="","",CALC_EPM!P51)</f>
      </c>
      <c r="Q62">
        <f>IF(CALC_EPM!$B51="","",CALC_EPM!Q51)</f>
      </c>
      <c r="R62">
        <f>IF(CALC_EPM!$B51="","",CALC_EPM!R51)</f>
      </c>
      <c r="S62">
        <f>IF(CALC_EPM!$B51="","",CALC_EPM!S51)</f>
      </c>
      <c r="T62">
        <f>IF(CALC_EPM!$B51="","",CALC_EPM!T51)</f>
      </c>
      <c r="U62">
        <f>IF(CALC_EPM!$B51="","",CALC_EPM!U51)</f>
      </c>
    </row>
    <row r="63">
      <c r="A63" t="str">
        <f>IF(CALC_EPM!$B52="","",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)</f>
      </c>
      <c r="B63" t="str">
        <f>IF(CALC_EPM!$B52="","",CALC_EPM!A52)</f>
      </c>
      <c r="C63" t="str">
        <f>IF(CALC_EPM!$B52="","",CALC_EPM!B52)</f>
      </c>
      <c r="D63">
        <f>IF(CALC_EPM!$B52="","",CALC_EPM!D52)</f>
      </c>
      <c r="E63" s="10" t="str">
        <f>IF(CALC_EPM!$B52="","",CALC_EPM!E52)</f>
      </c>
      <c r="F63" s="10" t="str">
        <f>IF(CALC_EPM!$B52="","",CALC_EPM!F52)</f>
      </c>
      <c r="G63" t="str">
        <f>IF(CALC_EPM!$B52="","",CALC_EPM!G52)</f>
      </c>
      <c r="H63" s="11" t="str">
        <f>IF(CALC_EPM!$B52="","",CALC_EPM!H52)</f>
      </c>
      <c r="I63" s="11" t="str">
        <f>IF(CALC_EPM!$B52="","",CALC_EPM!I52)</f>
      </c>
      <c r="J63" t="str">
        <f>IF(CALC_EPM!$B52="","",CALC_EPM!J52)</f>
      </c>
      <c r="K63" t="str">
        <f>IF(CALC_EPM!$B52="","",CALC_EPM!K52)</f>
      </c>
      <c r="L63">
        <f>IF(CALC_EPM!$B52="","",CALC_EPM!L52)</f>
      </c>
      <c r="M63">
        <f>IF(CALC_EPM!$B52="","",CALC_EPM!M52)</f>
      </c>
      <c r="N63">
        <f>IF(CALC_EPM!$B52="","",CALC_EPM!N52)</f>
      </c>
      <c r="O63">
        <f>IF(CALC_EPM!$B52="","",CALC_EPM!O52)</f>
      </c>
      <c r="P63">
        <f>IF(CALC_EPM!$B52="","",CALC_EPM!P52)</f>
      </c>
      <c r="Q63">
        <f>IF(CALC_EPM!$B52="","",CALC_EPM!Q52)</f>
      </c>
      <c r="R63">
        <f>IF(CALC_EPM!$B52="","",CALC_EPM!R52)</f>
      </c>
      <c r="S63">
        <f>IF(CALC_EPM!$B52="","",CALC_EPM!S52)</f>
      </c>
      <c r="T63">
        <f>IF(CALC_EPM!$B52="","",CALC_EPM!T52)</f>
      </c>
      <c r="U63">
        <f>IF(CALC_EPM!$B52="","",CALC_EPM!U52)</f>
      </c>
    </row>
    <row r="64">
      <c r="A64" t="str">
        <f>IF(CALC_EPM!$B53="","",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)</f>
      </c>
      <c r="B64" t="str">
        <f>IF(CALC_EPM!$B53="","",CALC_EPM!A53)</f>
      </c>
      <c r="C64" t="str">
        <f>IF(CALC_EPM!$B53="","",CALC_EPM!B53)</f>
      </c>
      <c r="D64">
        <f>IF(CALC_EPM!$B53="","",CALC_EPM!D53)</f>
      </c>
      <c r="E64" s="10" t="str">
        <f>IF(CALC_EPM!$B53="","",CALC_EPM!E53)</f>
      </c>
      <c r="F64" s="10" t="str">
        <f>IF(CALC_EPM!$B53="","",CALC_EPM!F53)</f>
      </c>
      <c r="G64" t="str">
        <f>IF(CALC_EPM!$B53="","",CALC_EPM!G53)</f>
      </c>
      <c r="H64" s="11" t="str">
        <f>IF(CALC_EPM!$B53="","",CALC_EPM!H53)</f>
      </c>
      <c r="I64" s="11" t="str">
        <f>IF(CALC_EPM!$B53="","",CALC_EPM!I53)</f>
      </c>
      <c r="J64" t="str">
        <f>IF(CALC_EPM!$B53="","",CALC_EPM!J53)</f>
      </c>
      <c r="K64" t="str">
        <f>IF(CALC_EPM!$B53="","",CALC_EPM!K53)</f>
      </c>
      <c r="L64">
        <f>IF(CALC_EPM!$B53="","",CALC_EPM!L53)</f>
      </c>
      <c r="M64">
        <f>IF(CALC_EPM!$B53="","",CALC_EPM!M53)</f>
      </c>
      <c r="N64">
        <f>IF(CALC_EPM!$B53="","",CALC_EPM!N53)</f>
      </c>
      <c r="O64">
        <f>IF(CALC_EPM!$B53="","",CALC_EPM!O53)</f>
      </c>
      <c r="P64">
        <f>IF(CALC_EPM!$B53="","",CALC_EPM!P53)</f>
      </c>
      <c r="Q64">
        <f>IF(CALC_EPM!$B53="","",CALC_EPM!Q53)</f>
      </c>
      <c r="R64">
        <f>IF(CALC_EPM!$B53="","",CALC_EPM!R53)</f>
      </c>
      <c r="S64">
        <f>IF(CALC_EPM!$B53="","",CALC_EPM!S53)</f>
      </c>
      <c r="T64">
        <f>IF(CALC_EPM!$B53="","",CALC_EPM!T53)</f>
      </c>
      <c r="U64">
        <f>IF(CALC_EPM!$B53="","",CALC_EPM!U53)</f>
      </c>
    </row>
    <row r="65">
      <c r="A65" t="str">
        <f>IF(CALC_EPM!$B54="","",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)</f>
      </c>
      <c r="B65" t="str">
        <f>IF(CALC_EPM!$B54="","",CALC_EPM!A54)</f>
      </c>
      <c r="C65" t="str">
        <f>IF(CALC_EPM!$B54="","",CALC_EPM!B54)</f>
      </c>
      <c r="D65">
        <f>IF(CALC_EPM!$B54="","",CALC_EPM!D54)</f>
      </c>
      <c r="E65" s="10" t="str">
        <f>IF(CALC_EPM!$B54="","",CALC_EPM!E54)</f>
      </c>
      <c r="F65" s="10" t="str">
        <f>IF(CALC_EPM!$B54="","",CALC_EPM!F54)</f>
      </c>
      <c r="G65" t="str">
        <f>IF(CALC_EPM!$B54="","",CALC_EPM!G54)</f>
      </c>
      <c r="H65" s="11" t="str">
        <f>IF(CALC_EPM!$B54="","",CALC_EPM!H54)</f>
      </c>
      <c r="I65" s="11" t="str">
        <f>IF(CALC_EPM!$B54="","",CALC_EPM!I54)</f>
      </c>
      <c r="J65" t="str">
        <f>IF(CALC_EPM!$B54="","",CALC_EPM!J54)</f>
      </c>
      <c r="K65" t="str">
        <f>IF(CALC_EPM!$B54="","",CALC_EPM!K54)</f>
      </c>
      <c r="L65">
        <f>IF(CALC_EPM!$B54="","",CALC_EPM!L54)</f>
      </c>
      <c r="M65">
        <f>IF(CALC_EPM!$B54="","",CALC_EPM!M54)</f>
      </c>
      <c r="N65">
        <f>IF(CALC_EPM!$B54="","",CALC_EPM!N54)</f>
      </c>
      <c r="O65">
        <f>IF(CALC_EPM!$B54="","",CALC_EPM!O54)</f>
      </c>
      <c r="P65">
        <f>IF(CALC_EPM!$B54="","",CALC_EPM!P54)</f>
      </c>
      <c r="Q65">
        <f>IF(CALC_EPM!$B54="","",CALC_EPM!Q54)</f>
      </c>
      <c r="R65">
        <f>IF(CALC_EPM!$B54="","",CALC_EPM!R54)</f>
      </c>
      <c r="S65">
        <f>IF(CALC_EPM!$B54="","",CALC_EPM!S54)</f>
      </c>
      <c r="T65">
        <f>IF(CALC_EPM!$B54="","",CALC_EPM!T54)</f>
      </c>
      <c r="U65">
        <f>IF(CALC_EPM!$B54="","",CALC_EPM!U54)</f>
      </c>
    </row>
    <row r="66">
      <c r="A66" t="str">
        <f>IF(CALC_EPM!$B55="","",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)</f>
      </c>
      <c r="B66" t="str">
        <f>IF(CALC_EPM!$B55="","",CALC_EPM!A55)</f>
      </c>
      <c r="C66" t="str">
        <f>IF(CALC_EPM!$B55="","",CALC_EPM!B55)</f>
      </c>
      <c r="D66">
        <f>IF(CALC_EPM!$B55="","",CALC_EPM!D55)</f>
      </c>
      <c r="E66" s="10" t="str">
        <f>IF(CALC_EPM!$B55="","",CALC_EPM!E55)</f>
      </c>
      <c r="F66" s="10" t="str">
        <f>IF(CALC_EPM!$B55="","",CALC_EPM!F55)</f>
      </c>
      <c r="G66" t="str">
        <f>IF(CALC_EPM!$B55="","",CALC_EPM!G55)</f>
      </c>
      <c r="H66" s="11" t="str">
        <f>IF(CALC_EPM!$B55="","",CALC_EPM!H55)</f>
      </c>
      <c r="I66" s="11" t="str">
        <f>IF(CALC_EPM!$B55="","",CALC_EPM!I55)</f>
      </c>
      <c r="J66" t="str">
        <f>IF(CALC_EPM!$B55="","",CALC_EPM!J55)</f>
      </c>
      <c r="K66" t="str">
        <f>IF(CALC_EPM!$B55="","",CALC_EPM!K55)</f>
      </c>
      <c r="L66">
        <f>IF(CALC_EPM!$B55="","",CALC_EPM!L55)</f>
      </c>
      <c r="M66">
        <f>IF(CALC_EPM!$B55="","",CALC_EPM!M55)</f>
      </c>
      <c r="N66">
        <f>IF(CALC_EPM!$B55="","",CALC_EPM!N55)</f>
      </c>
      <c r="O66">
        <f>IF(CALC_EPM!$B55="","",CALC_EPM!O55)</f>
      </c>
      <c r="P66">
        <f>IF(CALC_EPM!$B55="","",CALC_EPM!P55)</f>
      </c>
      <c r="Q66">
        <f>IF(CALC_EPM!$B55="","",CALC_EPM!Q55)</f>
      </c>
      <c r="R66">
        <f>IF(CALC_EPM!$B55="","",CALC_EPM!R55)</f>
      </c>
      <c r="S66">
        <f>IF(CALC_EPM!$B55="","",CALC_EPM!S55)</f>
      </c>
      <c r="T66">
        <f>IF(CALC_EPM!$B55="","",CALC_EPM!T55)</f>
      </c>
      <c r="U66">
        <f>IF(CALC_EPM!$B55="","",CALC_EPM!U55)</f>
      </c>
    </row>
    <row r="67">
      <c r="A67" t="str">
        <f>IF(CALC_EPM!$B56="","",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)</f>
      </c>
      <c r="B67" t="str">
        <f>IF(CALC_EPM!$B56="","",CALC_EPM!A56)</f>
      </c>
      <c r="C67" t="str">
        <f>IF(CALC_EPM!$B56="","",CALC_EPM!B56)</f>
      </c>
      <c r="D67">
        <f>IF(CALC_EPM!$B56="","",CALC_EPM!D56)</f>
      </c>
      <c r="E67" s="10" t="str">
        <f>IF(CALC_EPM!$B56="","",CALC_EPM!E56)</f>
      </c>
      <c r="F67" s="10" t="str">
        <f>IF(CALC_EPM!$B56="","",CALC_EPM!F56)</f>
      </c>
      <c r="G67" t="str">
        <f>IF(CALC_EPM!$B56="","",CALC_EPM!G56)</f>
      </c>
      <c r="H67" s="11" t="str">
        <f>IF(CALC_EPM!$B56="","",CALC_EPM!H56)</f>
      </c>
      <c r="I67" s="11" t="str">
        <f>IF(CALC_EPM!$B56="","",CALC_EPM!I56)</f>
      </c>
      <c r="J67" t="str">
        <f>IF(CALC_EPM!$B56="","",CALC_EPM!J56)</f>
      </c>
      <c r="K67" t="str">
        <f>IF(CALC_EPM!$B56="","",CALC_EPM!K56)</f>
      </c>
      <c r="L67">
        <f>IF(CALC_EPM!$B56="","",CALC_EPM!L56)</f>
      </c>
      <c r="M67">
        <f>IF(CALC_EPM!$B56="","",CALC_EPM!M56)</f>
      </c>
      <c r="N67">
        <f>IF(CALC_EPM!$B56="","",CALC_EPM!N56)</f>
      </c>
      <c r="O67">
        <f>IF(CALC_EPM!$B56="","",CALC_EPM!O56)</f>
      </c>
      <c r="P67">
        <f>IF(CALC_EPM!$B56="","",CALC_EPM!P56)</f>
      </c>
      <c r="Q67">
        <f>IF(CALC_EPM!$B56="","",CALC_EPM!Q56)</f>
      </c>
      <c r="R67">
        <f>IF(CALC_EPM!$B56="","",CALC_EPM!R56)</f>
      </c>
      <c r="S67">
        <f>IF(CALC_EPM!$B56="","",CALC_EPM!S56)</f>
      </c>
      <c r="T67">
        <f>IF(CALC_EPM!$B56="","",CALC_EPM!T56)</f>
      </c>
      <c r="U67">
        <f>IF(CALC_EPM!$B56="","",CALC_EPM!U56)</f>
      </c>
    </row>
    <row r="68">
      <c r="A68" t="str">
        <f>IF(CALC_EPM!$B57="","",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)</f>
      </c>
      <c r="B68" t="str">
        <f>IF(CALC_EPM!$B57="","",CALC_EPM!A57)</f>
      </c>
      <c r="C68" t="str">
        <f>IF(CALC_EPM!$B57="","",CALC_EPM!B57)</f>
      </c>
      <c r="D68">
        <f>IF(CALC_EPM!$B57="","",CALC_EPM!D57)</f>
      </c>
      <c r="E68" s="10" t="str">
        <f>IF(CALC_EPM!$B57="","",CALC_EPM!E57)</f>
      </c>
      <c r="F68" s="10" t="str">
        <f>IF(CALC_EPM!$B57="","",CALC_EPM!F57)</f>
      </c>
      <c r="G68" t="str">
        <f>IF(CALC_EPM!$B57="","",CALC_EPM!G57)</f>
      </c>
      <c r="H68" s="11" t="str">
        <f>IF(CALC_EPM!$B57="","",CALC_EPM!H57)</f>
      </c>
      <c r="I68" s="11" t="str">
        <f>IF(CALC_EPM!$B57="","",CALC_EPM!I57)</f>
      </c>
      <c r="J68" t="str">
        <f>IF(CALC_EPM!$B57="","",CALC_EPM!J57)</f>
      </c>
      <c r="K68" t="str">
        <f>IF(CALC_EPM!$B57="","",CALC_EPM!K57)</f>
      </c>
      <c r="L68">
        <f>IF(CALC_EPM!$B57="","",CALC_EPM!L57)</f>
      </c>
      <c r="M68">
        <f>IF(CALC_EPM!$B57="","",CALC_EPM!M57)</f>
      </c>
      <c r="N68">
        <f>IF(CALC_EPM!$B57="","",CALC_EPM!N57)</f>
      </c>
      <c r="O68">
        <f>IF(CALC_EPM!$B57="","",CALC_EPM!O57)</f>
      </c>
      <c r="P68">
        <f>IF(CALC_EPM!$B57="","",CALC_EPM!P57)</f>
      </c>
      <c r="Q68">
        <f>IF(CALC_EPM!$B57="","",CALC_EPM!Q57)</f>
      </c>
      <c r="R68">
        <f>IF(CALC_EPM!$B57="","",CALC_EPM!R57)</f>
      </c>
      <c r="S68">
        <f>IF(CALC_EPM!$B57="","",CALC_EPM!S57)</f>
      </c>
      <c r="T68">
        <f>IF(CALC_EPM!$B57="","",CALC_EPM!T57)</f>
      </c>
      <c r="U68">
        <f>IF(CALC_EPM!$B57="","",CALC_EPM!U57)</f>
      </c>
    </row>
    <row r="69">
      <c r="A69" t="str">
        <f>IF(CALC_EPM!$B58="","",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)</f>
      </c>
      <c r="B69" t="str">
        <f>IF(CALC_EPM!$B58="","",CALC_EPM!A58)</f>
      </c>
      <c r="C69" t="str">
        <f>IF(CALC_EPM!$B58="","",CALC_EPM!B58)</f>
      </c>
      <c r="D69">
        <f>IF(CALC_EPM!$B58="","",CALC_EPM!D58)</f>
      </c>
      <c r="E69" s="10" t="str">
        <f>IF(CALC_EPM!$B58="","",CALC_EPM!E58)</f>
      </c>
      <c r="F69" s="10" t="str">
        <f>IF(CALC_EPM!$B58="","",CALC_EPM!F58)</f>
      </c>
      <c r="G69" t="str">
        <f>IF(CALC_EPM!$B58="","",CALC_EPM!G58)</f>
      </c>
      <c r="H69" s="11" t="str">
        <f>IF(CALC_EPM!$B58="","",CALC_EPM!H58)</f>
      </c>
      <c r="I69" s="11" t="str">
        <f>IF(CALC_EPM!$B58="","",CALC_EPM!I58)</f>
      </c>
      <c r="J69" t="str">
        <f>IF(CALC_EPM!$B58="","",CALC_EPM!J58)</f>
      </c>
      <c r="K69" t="str">
        <f>IF(CALC_EPM!$B58="","",CALC_EPM!K58)</f>
      </c>
      <c r="L69">
        <f>IF(CALC_EPM!$B58="","",CALC_EPM!L58)</f>
      </c>
      <c r="M69">
        <f>IF(CALC_EPM!$B58="","",CALC_EPM!M58)</f>
      </c>
      <c r="N69">
        <f>IF(CALC_EPM!$B58="","",CALC_EPM!N58)</f>
      </c>
      <c r="O69">
        <f>IF(CALC_EPM!$B58="","",CALC_EPM!O58)</f>
      </c>
      <c r="P69">
        <f>IF(CALC_EPM!$B58="","",CALC_EPM!P58)</f>
      </c>
      <c r="Q69">
        <f>IF(CALC_EPM!$B58="","",CALC_EPM!Q58)</f>
      </c>
      <c r="R69">
        <f>IF(CALC_EPM!$B58="","",CALC_EPM!R58)</f>
      </c>
      <c r="S69">
        <f>IF(CALC_EPM!$B58="","",CALC_EPM!S58)</f>
      </c>
      <c r="T69">
        <f>IF(CALC_EPM!$B58="","",CALC_EPM!T58)</f>
      </c>
      <c r="U69">
        <f>IF(CALC_EPM!$B58="","",CALC_EPM!U58)</f>
      </c>
    </row>
    <row r="70">
      <c r="A70" t="str">
        <f>IF(CALC_EPM!$B59="","",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)</f>
      </c>
      <c r="B70" t="str">
        <f>IF(CALC_EPM!$B59="","",CALC_EPM!A59)</f>
      </c>
      <c r="C70" t="str">
        <f>IF(CALC_EPM!$B59="","",CALC_EPM!B59)</f>
      </c>
      <c r="D70">
        <f>IF(CALC_EPM!$B59="","",CALC_EPM!D59)</f>
      </c>
      <c r="E70" s="10" t="str">
        <f>IF(CALC_EPM!$B59="","",CALC_EPM!E59)</f>
      </c>
      <c r="F70" s="10" t="str">
        <f>IF(CALC_EPM!$B59="","",CALC_EPM!F59)</f>
      </c>
      <c r="G70" t="str">
        <f>IF(CALC_EPM!$B59="","",CALC_EPM!G59)</f>
      </c>
      <c r="H70" s="11" t="str">
        <f>IF(CALC_EPM!$B59="","",CALC_EPM!H59)</f>
      </c>
      <c r="I70" s="11" t="str">
        <f>IF(CALC_EPM!$B59="","",CALC_EPM!I59)</f>
      </c>
      <c r="J70" t="str">
        <f>IF(CALC_EPM!$B59="","",CALC_EPM!J59)</f>
      </c>
      <c r="K70" t="str">
        <f>IF(CALC_EPM!$B59="","",CALC_EPM!K59)</f>
      </c>
      <c r="L70">
        <f>IF(CALC_EPM!$B59="","",CALC_EPM!L59)</f>
      </c>
      <c r="M70">
        <f>IF(CALC_EPM!$B59="","",CALC_EPM!M59)</f>
      </c>
      <c r="N70">
        <f>IF(CALC_EPM!$B59="","",CALC_EPM!N59)</f>
      </c>
      <c r="O70">
        <f>IF(CALC_EPM!$B59="","",CALC_EPM!O59)</f>
      </c>
      <c r="P70">
        <f>IF(CALC_EPM!$B59="","",CALC_EPM!P59)</f>
      </c>
      <c r="Q70">
        <f>IF(CALC_EPM!$B59="","",CALC_EPM!Q59)</f>
      </c>
      <c r="R70">
        <f>IF(CALC_EPM!$B59="","",CALC_EPM!R59)</f>
      </c>
      <c r="S70">
        <f>IF(CALC_EPM!$B59="","",CALC_EPM!S59)</f>
      </c>
      <c r="T70">
        <f>IF(CALC_EPM!$B59="","",CALC_EPM!T59)</f>
      </c>
      <c r="U70">
        <f>IF(CALC_EPM!$B59="","",CALC_EPM!U59)</f>
      </c>
    </row>
    <row r="71">
      <c r="A71" t="str">
        <f>IF(CALC_EPM!$B60="","",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)</f>
      </c>
      <c r="B71" t="str">
        <f>IF(CALC_EPM!$B60="","",CALC_EPM!A60)</f>
      </c>
      <c r="C71" t="str">
        <f>IF(CALC_EPM!$B60="","",CALC_EPM!B60)</f>
      </c>
      <c r="D71">
        <f>IF(CALC_EPM!$B60="","",CALC_EPM!D60)</f>
      </c>
      <c r="E71" s="10" t="str">
        <f>IF(CALC_EPM!$B60="","",CALC_EPM!E60)</f>
      </c>
      <c r="F71" s="10" t="str">
        <f>IF(CALC_EPM!$B60="","",CALC_EPM!F60)</f>
      </c>
      <c r="G71" t="str">
        <f>IF(CALC_EPM!$B60="","",CALC_EPM!G60)</f>
      </c>
      <c r="H71" s="11" t="str">
        <f>IF(CALC_EPM!$B60="","",CALC_EPM!H60)</f>
      </c>
      <c r="I71" s="11" t="str">
        <f>IF(CALC_EPM!$B60="","",CALC_EPM!I60)</f>
      </c>
      <c r="J71" t="str">
        <f>IF(CALC_EPM!$B60="","",CALC_EPM!J60)</f>
      </c>
      <c r="K71" t="str">
        <f>IF(CALC_EPM!$B60="","",CALC_EPM!K60)</f>
      </c>
      <c r="L71">
        <f>IF(CALC_EPM!$B60="","",CALC_EPM!L60)</f>
      </c>
      <c r="M71">
        <f>IF(CALC_EPM!$B60="","",CALC_EPM!M60)</f>
      </c>
      <c r="N71">
        <f>IF(CALC_EPM!$B60="","",CALC_EPM!N60)</f>
      </c>
      <c r="O71">
        <f>IF(CALC_EPM!$B60="","",CALC_EPM!O60)</f>
      </c>
      <c r="P71">
        <f>IF(CALC_EPM!$B60="","",CALC_EPM!P60)</f>
      </c>
      <c r="Q71">
        <f>IF(CALC_EPM!$B60="","",CALC_EPM!Q60)</f>
      </c>
      <c r="R71">
        <f>IF(CALC_EPM!$B60="","",CALC_EPM!R60)</f>
      </c>
      <c r="S71">
        <f>IF(CALC_EPM!$B60="","",CALC_EPM!S60)</f>
      </c>
      <c r="T71">
        <f>IF(CALC_EPM!$B60="","",CALC_EPM!T60)</f>
      </c>
      <c r="U71">
        <f>IF(CALC_EPM!$B60="","",CALC_EPM!U60)</f>
      </c>
    </row>
    <row r="72">
      <c r="A72" t="str">
        <f>IF(CALC_EPM!$B61="","",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)</f>
      </c>
      <c r="B72" t="str">
        <f>IF(CALC_EPM!$B61="","",CALC_EPM!A61)</f>
      </c>
      <c r="C72" t="str">
        <f>IF(CALC_EPM!$B61="","",CALC_EPM!B61)</f>
      </c>
      <c r="D72">
        <f>IF(CALC_EPM!$B61="","",CALC_EPM!D61)</f>
      </c>
      <c r="E72" s="10" t="str">
        <f>IF(CALC_EPM!$B61="","",CALC_EPM!E61)</f>
      </c>
      <c r="F72" s="10" t="str">
        <f>IF(CALC_EPM!$B61="","",CALC_EPM!F61)</f>
      </c>
      <c r="G72" t="str">
        <f>IF(CALC_EPM!$B61="","",CALC_EPM!G61)</f>
      </c>
      <c r="H72" s="11" t="str">
        <f>IF(CALC_EPM!$B61="","",CALC_EPM!H61)</f>
      </c>
      <c r="I72" s="11" t="str">
        <f>IF(CALC_EPM!$B61="","",CALC_EPM!I61)</f>
      </c>
      <c r="J72" t="str">
        <f>IF(CALC_EPM!$B61="","",CALC_EPM!J61)</f>
      </c>
      <c r="K72" t="str">
        <f>IF(CALC_EPM!$B61="","",CALC_EPM!K61)</f>
      </c>
      <c r="L72">
        <f>IF(CALC_EPM!$B61="","",CALC_EPM!L61)</f>
      </c>
      <c r="M72">
        <f>IF(CALC_EPM!$B61="","",CALC_EPM!M61)</f>
      </c>
      <c r="N72">
        <f>IF(CALC_EPM!$B61="","",CALC_EPM!N61)</f>
      </c>
      <c r="O72">
        <f>IF(CALC_EPM!$B61="","",CALC_EPM!O61)</f>
      </c>
      <c r="P72">
        <f>IF(CALC_EPM!$B61="","",CALC_EPM!P61)</f>
      </c>
      <c r="Q72">
        <f>IF(CALC_EPM!$B61="","",CALC_EPM!Q61)</f>
      </c>
      <c r="R72">
        <f>IF(CALC_EPM!$B61="","",CALC_EPM!R61)</f>
      </c>
      <c r="S72">
        <f>IF(CALC_EPM!$B61="","",CALC_EPM!S61)</f>
      </c>
      <c r="T72">
        <f>IF(CALC_EPM!$B61="","",CALC_EPM!T61)</f>
      </c>
      <c r="U72">
        <f>IF(CALC_EPM!$B61="","",CALC_EPM!U61)</f>
      </c>
    </row>
    <row r="73">
      <c r="A73" t="str">
        <f>IF(CALC_EPM!$B62="","",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)</f>
      </c>
      <c r="B73" t="str">
        <f>IF(CALC_EPM!$B62="","",CALC_EPM!A62)</f>
      </c>
      <c r="C73" t="str">
        <f>IF(CALC_EPM!$B62="","",CALC_EPM!B62)</f>
      </c>
      <c r="D73">
        <f>IF(CALC_EPM!$B62="","",CALC_EPM!D62)</f>
      </c>
      <c r="E73" s="10" t="str">
        <f>IF(CALC_EPM!$B62="","",CALC_EPM!E62)</f>
      </c>
      <c r="F73" s="10" t="str">
        <f>IF(CALC_EPM!$B62="","",CALC_EPM!F62)</f>
      </c>
      <c r="G73" t="str">
        <f>IF(CALC_EPM!$B62="","",CALC_EPM!G62)</f>
      </c>
      <c r="H73" s="11" t="str">
        <f>IF(CALC_EPM!$B62="","",CALC_EPM!H62)</f>
      </c>
      <c r="I73" s="11" t="str">
        <f>IF(CALC_EPM!$B62="","",CALC_EPM!I62)</f>
      </c>
      <c r="J73" t="str">
        <f>IF(CALC_EPM!$B62="","",CALC_EPM!J62)</f>
      </c>
      <c r="K73" t="str">
        <f>IF(CALC_EPM!$B62="","",CALC_EPM!K62)</f>
      </c>
      <c r="L73">
        <f>IF(CALC_EPM!$B62="","",CALC_EPM!L62)</f>
      </c>
      <c r="M73">
        <f>IF(CALC_EPM!$B62="","",CALC_EPM!M62)</f>
      </c>
      <c r="N73">
        <f>IF(CALC_EPM!$B62="","",CALC_EPM!N62)</f>
      </c>
      <c r="O73">
        <f>IF(CALC_EPM!$B62="","",CALC_EPM!O62)</f>
      </c>
      <c r="P73">
        <f>IF(CALC_EPM!$B62="","",CALC_EPM!P62)</f>
      </c>
      <c r="Q73">
        <f>IF(CALC_EPM!$B62="","",CALC_EPM!Q62)</f>
      </c>
      <c r="R73">
        <f>IF(CALC_EPM!$B62="","",CALC_EPM!R62)</f>
      </c>
      <c r="S73">
        <f>IF(CALC_EPM!$B62="","",CALC_EPM!S62)</f>
      </c>
      <c r="T73">
        <f>IF(CALC_EPM!$B62="","",CALC_EPM!T62)</f>
      </c>
      <c r="U73">
        <f>IF(CALC_EPM!$B62="","",CALC_EPM!U62)</f>
      </c>
    </row>
    <row r="74">
      <c r="A74" t="str">
        <f>IF(CALC_EPM!$B63="","",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)</f>
      </c>
      <c r="B74" t="str">
        <f>IF(CALC_EPM!$B63="","",CALC_EPM!A63)</f>
      </c>
      <c r="C74" t="str">
        <f>IF(CALC_EPM!$B63="","",CALC_EPM!B63)</f>
      </c>
      <c r="D74">
        <f>IF(CALC_EPM!$B63="","",CALC_EPM!D63)</f>
      </c>
      <c r="E74" s="10" t="str">
        <f>IF(CALC_EPM!$B63="","",CALC_EPM!E63)</f>
      </c>
      <c r="F74" s="10" t="str">
        <f>IF(CALC_EPM!$B63="","",CALC_EPM!F63)</f>
      </c>
      <c r="G74" t="str">
        <f>IF(CALC_EPM!$B63="","",CALC_EPM!G63)</f>
      </c>
      <c r="H74" s="11" t="str">
        <f>IF(CALC_EPM!$B63="","",CALC_EPM!H63)</f>
      </c>
      <c r="I74" s="11" t="str">
        <f>IF(CALC_EPM!$B63="","",CALC_EPM!I63)</f>
      </c>
      <c r="J74" t="str">
        <f>IF(CALC_EPM!$B63="","",CALC_EPM!J63)</f>
      </c>
      <c r="K74" t="str">
        <f>IF(CALC_EPM!$B63="","",CALC_EPM!K63)</f>
      </c>
      <c r="L74">
        <f>IF(CALC_EPM!$B63="","",CALC_EPM!L63)</f>
      </c>
      <c r="M74">
        <f>IF(CALC_EPM!$B63="","",CALC_EPM!M63)</f>
      </c>
      <c r="N74">
        <f>IF(CALC_EPM!$B63="","",CALC_EPM!N63)</f>
      </c>
      <c r="O74">
        <f>IF(CALC_EPM!$B63="","",CALC_EPM!O63)</f>
      </c>
      <c r="P74">
        <f>IF(CALC_EPM!$B63="","",CALC_EPM!P63)</f>
      </c>
      <c r="Q74">
        <f>IF(CALC_EPM!$B63="","",CALC_EPM!Q63)</f>
      </c>
      <c r="R74">
        <f>IF(CALC_EPM!$B63="","",CALC_EPM!R63)</f>
      </c>
      <c r="S74">
        <f>IF(CALC_EPM!$B63="","",CALC_EPM!S63)</f>
      </c>
      <c r="T74">
        <f>IF(CALC_EPM!$B63="","",CALC_EPM!T63)</f>
      </c>
      <c r="U74">
        <f>IF(CALC_EPM!$B63="","",CALC_EPM!U63)</f>
      </c>
    </row>
    <row r="75">
      <c r="A75" t="str">
        <f>IF(CALC_EPM!$B64="","",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)</f>
      </c>
      <c r="B75" t="str">
        <f>IF(CALC_EPM!$B64="","",CALC_EPM!A64)</f>
      </c>
      <c r="C75" t="str">
        <f>IF(CALC_EPM!$B64="","",CALC_EPM!B64)</f>
      </c>
      <c r="D75">
        <f>IF(CALC_EPM!$B64="","",CALC_EPM!D64)</f>
      </c>
      <c r="E75" s="10" t="str">
        <f>IF(CALC_EPM!$B64="","",CALC_EPM!E64)</f>
      </c>
      <c r="F75" s="10" t="str">
        <f>IF(CALC_EPM!$B64="","",CALC_EPM!F64)</f>
      </c>
      <c r="G75" t="str">
        <f>IF(CALC_EPM!$B64="","",CALC_EPM!G64)</f>
      </c>
      <c r="H75" s="11" t="str">
        <f>IF(CALC_EPM!$B64="","",CALC_EPM!H64)</f>
      </c>
      <c r="I75" s="11" t="str">
        <f>IF(CALC_EPM!$B64="","",CALC_EPM!I64)</f>
      </c>
      <c r="J75" t="str">
        <f>IF(CALC_EPM!$B64="","",CALC_EPM!J64)</f>
      </c>
      <c r="K75" t="str">
        <f>IF(CALC_EPM!$B64="","",CALC_EPM!K64)</f>
      </c>
      <c r="L75">
        <f>IF(CALC_EPM!$B64="","",CALC_EPM!L64)</f>
      </c>
      <c r="M75">
        <f>IF(CALC_EPM!$B64="","",CALC_EPM!M64)</f>
      </c>
      <c r="N75">
        <f>IF(CALC_EPM!$B64="","",CALC_EPM!N64)</f>
      </c>
      <c r="O75">
        <f>IF(CALC_EPM!$B64="","",CALC_EPM!O64)</f>
      </c>
      <c r="P75">
        <f>IF(CALC_EPM!$B64="","",CALC_EPM!P64)</f>
      </c>
      <c r="Q75">
        <f>IF(CALC_EPM!$B64="","",CALC_EPM!Q64)</f>
      </c>
      <c r="R75">
        <f>IF(CALC_EPM!$B64="","",CALC_EPM!R64)</f>
      </c>
      <c r="S75">
        <f>IF(CALC_EPM!$B64="","",CALC_EPM!S64)</f>
      </c>
      <c r="T75">
        <f>IF(CALC_EPM!$B64="","",CALC_EPM!T64)</f>
      </c>
      <c r="U75">
        <f>IF(CALC_EPM!$B64="","",CALC_EPM!U64)</f>
      </c>
    </row>
    <row r="76">
      <c r="A76" t="str">
        <f>IF(CALC_EPM!$B65="","",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)</f>
      </c>
      <c r="B76" t="str">
        <f>IF(CALC_EPM!$B65="","",CALC_EPM!A65)</f>
      </c>
      <c r="C76" t="str">
        <f>IF(CALC_EPM!$B65="","",CALC_EPM!B65)</f>
      </c>
      <c r="D76">
        <f>IF(CALC_EPM!$B65="","",CALC_EPM!D65)</f>
      </c>
      <c r="E76" s="10" t="str">
        <f>IF(CALC_EPM!$B65="","",CALC_EPM!E65)</f>
      </c>
      <c r="F76" s="10" t="str">
        <f>IF(CALC_EPM!$B65="","",CALC_EPM!F65)</f>
      </c>
      <c r="G76" t="str">
        <f>IF(CALC_EPM!$B65="","",CALC_EPM!G65)</f>
      </c>
      <c r="H76" s="11" t="str">
        <f>IF(CALC_EPM!$B65="","",CALC_EPM!H65)</f>
      </c>
      <c r="I76" s="11" t="str">
        <f>IF(CALC_EPM!$B65="","",CALC_EPM!I65)</f>
      </c>
      <c r="J76" t="str">
        <f>IF(CALC_EPM!$B65="","",CALC_EPM!J65)</f>
      </c>
      <c r="K76" t="str">
        <f>IF(CALC_EPM!$B65="","",CALC_EPM!K65)</f>
      </c>
      <c r="L76">
        <f>IF(CALC_EPM!$B65="","",CALC_EPM!L65)</f>
      </c>
      <c r="M76">
        <f>IF(CALC_EPM!$B65="","",CALC_EPM!M65)</f>
      </c>
      <c r="N76">
        <f>IF(CALC_EPM!$B65="","",CALC_EPM!N65)</f>
      </c>
      <c r="O76">
        <f>IF(CALC_EPM!$B65="","",CALC_EPM!O65)</f>
      </c>
      <c r="P76">
        <f>IF(CALC_EPM!$B65="","",CALC_EPM!P65)</f>
      </c>
      <c r="Q76">
        <f>IF(CALC_EPM!$B65="","",CALC_EPM!Q65)</f>
      </c>
      <c r="R76">
        <f>IF(CALC_EPM!$B65="","",CALC_EPM!R65)</f>
      </c>
      <c r="S76">
        <f>IF(CALC_EPM!$B65="","",CALC_EPM!S65)</f>
      </c>
      <c r="T76">
        <f>IF(CALC_EPM!$B65="","",CALC_EPM!T65)</f>
      </c>
      <c r="U76">
        <f>IF(CALC_EPM!$B65="","",CALC_EPM!U65)</f>
      </c>
    </row>
    <row r="77">
      <c r="A77" t="str">
        <f>IF(CALC_EPM!$B66="","",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)</f>
      </c>
      <c r="B77" t="str">
        <f>IF(CALC_EPM!$B66="","",CALC_EPM!A66)</f>
      </c>
      <c r="C77" t="str">
        <f>IF(CALC_EPM!$B66="","",CALC_EPM!B66)</f>
      </c>
      <c r="D77">
        <f>IF(CALC_EPM!$B66="","",CALC_EPM!D66)</f>
      </c>
      <c r="E77" s="10" t="str">
        <f>IF(CALC_EPM!$B66="","",CALC_EPM!E66)</f>
      </c>
      <c r="F77" s="10" t="str">
        <f>IF(CALC_EPM!$B66="","",CALC_EPM!F66)</f>
      </c>
      <c r="G77" t="str">
        <f>IF(CALC_EPM!$B66="","",CALC_EPM!G66)</f>
      </c>
      <c r="H77" s="11" t="str">
        <f>IF(CALC_EPM!$B66="","",CALC_EPM!H66)</f>
      </c>
      <c r="I77" s="11" t="str">
        <f>IF(CALC_EPM!$B66="","",CALC_EPM!I66)</f>
      </c>
      <c r="J77" t="str">
        <f>IF(CALC_EPM!$B66="","",CALC_EPM!J66)</f>
      </c>
      <c r="K77" t="str">
        <f>IF(CALC_EPM!$B66="","",CALC_EPM!K66)</f>
      </c>
      <c r="L77">
        <f>IF(CALC_EPM!$B66="","",CALC_EPM!L66)</f>
      </c>
      <c r="M77">
        <f>IF(CALC_EPM!$B66="","",CALC_EPM!M66)</f>
      </c>
      <c r="N77">
        <f>IF(CALC_EPM!$B66="","",CALC_EPM!N66)</f>
      </c>
      <c r="O77">
        <f>IF(CALC_EPM!$B66="","",CALC_EPM!O66)</f>
      </c>
      <c r="P77">
        <f>IF(CALC_EPM!$B66="","",CALC_EPM!P66)</f>
      </c>
      <c r="Q77">
        <f>IF(CALC_EPM!$B66="","",CALC_EPM!Q66)</f>
      </c>
      <c r="R77">
        <f>IF(CALC_EPM!$B66="","",CALC_EPM!R66)</f>
      </c>
      <c r="S77">
        <f>IF(CALC_EPM!$B66="","",CALC_EPM!S66)</f>
      </c>
      <c r="T77">
        <f>IF(CALC_EPM!$B66="","",CALC_EPM!T66)</f>
      </c>
      <c r="U77">
        <f>IF(CALC_EPM!$B66="","",CALC_EPM!U66)</f>
      </c>
    </row>
    <row r="78">
      <c r="A78" t="str">
        <f>IF(CALC_EPM!$B67="","",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)</f>
      </c>
      <c r="B78" t="str">
        <f>IF(CALC_EPM!$B67="","",CALC_EPM!A67)</f>
      </c>
      <c r="C78" t="str">
        <f>IF(CALC_EPM!$B67="","",CALC_EPM!B67)</f>
      </c>
      <c r="D78">
        <f>IF(CALC_EPM!$B67="","",CALC_EPM!D67)</f>
      </c>
      <c r="E78" s="10" t="str">
        <f>IF(CALC_EPM!$B67="","",CALC_EPM!E67)</f>
      </c>
      <c r="F78" s="10" t="str">
        <f>IF(CALC_EPM!$B67="","",CALC_EPM!F67)</f>
      </c>
      <c r="G78" t="str">
        <f>IF(CALC_EPM!$B67="","",CALC_EPM!G67)</f>
      </c>
      <c r="H78" s="11" t="str">
        <f>IF(CALC_EPM!$B67="","",CALC_EPM!H67)</f>
      </c>
      <c r="I78" s="11" t="str">
        <f>IF(CALC_EPM!$B67="","",CALC_EPM!I67)</f>
      </c>
      <c r="J78" t="str">
        <f>IF(CALC_EPM!$B67="","",CALC_EPM!J67)</f>
      </c>
      <c r="K78" t="str">
        <f>IF(CALC_EPM!$B67="","",CALC_EPM!K67)</f>
      </c>
      <c r="L78">
        <f>IF(CALC_EPM!$B67="","",CALC_EPM!L67)</f>
      </c>
      <c r="M78">
        <f>IF(CALC_EPM!$B67="","",CALC_EPM!M67)</f>
      </c>
      <c r="N78">
        <f>IF(CALC_EPM!$B67="","",CALC_EPM!N67)</f>
      </c>
      <c r="O78">
        <f>IF(CALC_EPM!$B67="","",CALC_EPM!O67)</f>
      </c>
      <c r="P78">
        <f>IF(CALC_EPM!$B67="","",CALC_EPM!P67)</f>
      </c>
      <c r="Q78">
        <f>IF(CALC_EPM!$B67="","",CALC_EPM!Q67)</f>
      </c>
      <c r="R78">
        <f>IF(CALC_EPM!$B67="","",CALC_EPM!R67)</f>
      </c>
      <c r="S78">
        <f>IF(CALC_EPM!$B67="","",CALC_EPM!S67)</f>
      </c>
      <c r="T78">
        <f>IF(CALC_EPM!$B67="","",CALC_EPM!T67)</f>
      </c>
      <c r="U78">
        <f>IF(CALC_EPM!$B67="","",CALC_EPM!U67)</f>
      </c>
    </row>
    <row r="79">
      <c r="A79" t="str">
        <f>IF(CALC_EPM!$B68="","",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)</f>
      </c>
      <c r="B79" t="str">
        <f>IF(CALC_EPM!$B68="","",CALC_EPM!A68)</f>
      </c>
      <c r="C79" t="str">
        <f>IF(CALC_EPM!$B68="","",CALC_EPM!B68)</f>
      </c>
      <c r="D79">
        <f>IF(CALC_EPM!$B68="","",CALC_EPM!D68)</f>
      </c>
      <c r="E79" s="10" t="str">
        <f>IF(CALC_EPM!$B68="","",CALC_EPM!E68)</f>
      </c>
      <c r="F79" s="10" t="str">
        <f>IF(CALC_EPM!$B68="","",CALC_EPM!F68)</f>
      </c>
      <c r="G79" t="str">
        <f>IF(CALC_EPM!$B68="","",CALC_EPM!G68)</f>
      </c>
      <c r="H79" s="11" t="str">
        <f>IF(CALC_EPM!$B68="","",CALC_EPM!H68)</f>
      </c>
      <c r="I79" s="11" t="str">
        <f>IF(CALC_EPM!$B68="","",CALC_EPM!I68)</f>
      </c>
      <c r="J79" t="str">
        <f>IF(CALC_EPM!$B68="","",CALC_EPM!J68)</f>
      </c>
      <c r="K79" t="str">
        <f>IF(CALC_EPM!$B68="","",CALC_EPM!K68)</f>
      </c>
      <c r="L79">
        <f>IF(CALC_EPM!$B68="","",CALC_EPM!L68)</f>
      </c>
      <c r="M79">
        <f>IF(CALC_EPM!$B68="","",CALC_EPM!M68)</f>
      </c>
      <c r="N79">
        <f>IF(CALC_EPM!$B68="","",CALC_EPM!N68)</f>
      </c>
      <c r="O79">
        <f>IF(CALC_EPM!$B68="","",CALC_EPM!O68)</f>
      </c>
      <c r="P79">
        <f>IF(CALC_EPM!$B68="","",CALC_EPM!P68)</f>
      </c>
      <c r="Q79">
        <f>IF(CALC_EPM!$B68="","",CALC_EPM!Q68)</f>
      </c>
      <c r="R79">
        <f>IF(CALC_EPM!$B68="","",CALC_EPM!R68)</f>
      </c>
      <c r="S79">
        <f>IF(CALC_EPM!$B68="","",CALC_EPM!S68)</f>
      </c>
      <c r="T79">
        <f>IF(CALC_EPM!$B68="","",CALC_EPM!T68)</f>
      </c>
      <c r="U79">
        <f>IF(CALC_EPM!$B68="","",CALC_EPM!U68)</f>
      </c>
    </row>
    <row r="80">
      <c r="A80" t="str">
        <f>IF(CALC_EPM!$B69="","",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)</f>
      </c>
      <c r="B80" t="str">
        <f>IF(CALC_EPM!$B69="","",CALC_EPM!A69)</f>
      </c>
      <c r="C80" t="str">
        <f>IF(CALC_EPM!$B69="","",CALC_EPM!B69)</f>
      </c>
      <c r="D80">
        <f>IF(CALC_EPM!$B69="","",CALC_EPM!D69)</f>
      </c>
      <c r="E80" s="10" t="str">
        <f>IF(CALC_EPM!$B69="","",CALC_EPM!E69)</f>
      </c>
      <c r="F80" s="10" t="str">
        <f>IF(CALC_EPM!$B69="","",CALC_EPM!F69)</f>
      </c>
      <c r="G80" t="str">
        <f>IF(CALC_EPM!$B69="","",CALC_EPM!G69)</f>
      </c>
      <c r="H80" s="11" t="str">
        <f>IF(CALC_EPM!$B69="","",CALC_EPM!H69)</f>
      </c>
      <c r="I80" s="11" t="str">
        <f>IF(CALC_EPM!$B69="","",CALC_EPM!I69)</f>
      </c>
      <c r="J80" t="str">
        <f>IF(CALC_EPM!$B69="","",CALC_EPM!J69)</f>
      </c>
      <c r="K80" t="str">
        <f>IF(CALC_EPM!$B69="","",CALC_EPM!K69)</f>
      </c>
      <c r="L80">
        <f>IF(CALC_EPM!$B69="","",CALC_EPM!L69)</f>
      </c>
      <c r="M80">
        <f>IF(CALC_EPM!$B69="","",CALC_EPM!M69)</f>
      </c>
      <c r="N80">
        <f>IF(CALC_EPM!$B69="","",CALC_EPM!N69)</f>
      </c>
      <c r="O80">
        <f>IF(CALC_EPM!$B69="","",CALC_EPM!O69)</f>
      </c>
      <c r="P80">
        <f>IF(CALC_EPM!$B69="","",CALC_EPM!P69)</f>
      </c>
      <c r="Q80">
        <f>IF(CALC_EPM!$B69="","",CALC_EPM!Q69)</f>
      </c>
      <c r="R80">
        <f>IF(CALC_EPM!$B69="","",CALC_EPM!R69)</f>
      </c>
      <c r="S80">
        <f>IF(CALC_EPM!$B69="","",CALC_EPM!S69)</f>
      </c>
      <c r="T80">
        <f>IF(CALC_EPM!$B69="","",CALC_EPM!T69)</f>
      </c>
      <c r="U80">
        <f>IF(CALC_EPM!$B69="","",CALC_EPM!U69)</f>
      </c>
    </row>
    <row r="81">
      <c r="A81" t="str">
        <f>IF(CALC_EPM!$B70="","",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)</f>
      </c>
      <c r="B81" t="str">
        <f>IF(CALC_EPM!$B70="","",CALC_EPM!A70)</f>
      </c>
      <c r="C81" t="str">
        <f>IF(CALC_EPM!$B70="","",CALC_EPM!B70)</f>
      </c>
      <c r="D81">
        <f>IF(CALC_EPM!$B70="","",CALC_EPM!D70)</f>
      </c>
      <c r="E81" s="10" t="str">
        <f>IF(CALC_EPM!$B70="","",CALC_EPM!E70)</f>
      </c>
      <c r="F81" s="10" t="str">
        <f>IF(CALC_EPM!$B70="","",CALC_EPM!F70)</f>
      </c>
      <c r="G81" t="str">
        <f>IF(CALC_EPM!$B70="","",CALC_EPM!G70)</f>
      </c>
      <c r="H81" s="11" t="str">
        <f>IF(CALC_EPM!$B70="","",CALC_EPM!H70)</f>
      </c>
      <c r="I81" s="11" t="str">
        <f>IF(CALC_EPM!$B70="","",CALC_EPM!I70)</f>
      </c>
      <c r="J81" t="str">
        <f>IF(CALC_EPM!$B70="","",CALC_EPM!J70)</f>
      </c>
      <c r="K81" t="str">
        <f>IF(CALC_EPM!$B70="","",CALC_EPM!K70)</f>
      </c>
      <c r="L81">
        <f>IF(CALC_EPM!$B70="","",CALC_EPM!L70)</f>
      </c>
      <c r="M81">
        <f>IF(CALC_EPM!$B70="","",CALC_EPM!M70)</f>
      </c>
      <c r="N81">
        <f>IF(CALC_EPM!$B70="","",CALC_EPM!N70)</f>
      </c>
      <c r="O81">
        <f>IF(CALC_EPM!$B70="","",CALC_EPM!O70)</f>
      </c>
      <c r="P81">
        <f>IF(CALC_EPM!$B70="","",CALC_EPM!P70)</f>
      </c>
      <c r="Q81">
        <f>IF(CALC_EPM!$B70="","",CALC_EPM!Q70)</f>
      </c>
      <c r="R81">
        <f>IF(CALC_EPM!$B70="","",CALC_EPM!R70)</f>
      </c>
      <c r="S81">
        <f>IF(CALC_EPM!$B70="","",CALC_EPM!S70)</f>
      </c>
      <c r="T81">
        <f>IF(CALC_EPM!$B70="","",CALC_EPM!T70)</f>
      </c>
      <c r="U81">
        <f>IF(CALC_EPM!$B70="","",CALC_EPM!U70)</f>
      </c>
    </row>
    <row r="82">
      <c r="A82" t="str">
        <f>IF(CALC_EPM!$B71="","",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)</f>
      </c>
      <c r="B82" t="str">
        <f>IF(CALC_EPM!$B71="","",CALC_EPM!A71)</f>
      </c>
      <c r="C82" t="str">
        <f>IF(CALC_EPM!$B71="","",CALC_EPM!B71)</f>
      </c>
      <c r="D82">
        <f>IF(CALC_EPM!$B71="","",CALC_EPM!D71)</f>
      </c>
      <c r="E82" s="10" t="str">
        <f>IF(CALC_EPM!$B71="","",CALC_EPM!E71)</f>
      </c>
      <c r="F82" s="10" t="str">
        <f>IF(CALC_EPM!$B71="","",CALC_EPM!F71)</f>
      </c>
      <c r="G82" t="str">
        <f>IF(CALC_EPM!$B71="","",CALC_EPM!G71)</f>
      </c>
      <c r="H82" s="11" t="str">
        <f>IF(CALC_EPM!$B71="","",CALC_EPM!H71)</f>
      </c>
      <c r="I82" s="11" t="str">
        <f>IF(CALC_EPM!$B71="","",CALC_EPM!I71)</f>
      </c>
      <c r="J82" t="str">
        <f>IF(CALC_EPM!$B71="","",CALC_EPM!J71)</f>
      </c>
      <c r="K82" t="str">
        <f>IF(CALC_EPM!$B71="","",CALC_EPM!K71)</f>
      </c>
      <c r="L82">
        <f>IF(CALC_EPM!$B71="","",CALC_EPM!L71)</f>
      </c>
      <c r="M82">
        <f>IF(CALC_EPM!$B71="","",CALC_EPM!M71)</f>
      </c>
      <c r="N82">
        <f>IF(CALC_EPM!$B71="","",CALC_EPM!N71)</f>
      </c>
      <c r="O82">
        <f>IF(CALC_EPM!$B71="","",CALC_EPM!O71)</f>
      </c>
      <c r="P82">
        <f>IF(CALC_EPM!$B71="","",CALC_EPM!P71)</f>
      </c>
      <c r="Q82">
        <f>IF(CALC_EPM!$B71="","",CALC_EPM!Q71)</f>
      </c>
      <c r="R82">
        <f>IF(CALC_EPM!$B71="","",CALC_EPM!R71)</f>
      </c>
      <c r="S82">
        <f>IF(CALC_EPM!$B71="","",CALC_EPM!S71)</f>
      </c>
      <c r="T82">
        <f>IF(CALC_EPM!$B71="","",CALC_EPM!T71)</f>
      </c>
      <c r="U82">
        <f>IF(CALC_EPM!$B71="","",CALC_EPM!U71)</f>
      </c>
    </row>
    <row r="83">
      <c r="A83" t="str">
        <f>IF(CALC_EPM!$B72="","",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)</f>
      </c>
      <c r="B83" t="str">
        <f>IF(CALC_EPM!$B72="","",CALC_EPM!A72)</f>
      </c>
      <c r="C83" t="str">
        <f>IF(CALC_EPM!$B72="","",CALC_EPM!B72)</f>
      </c>
      <c r="D83">
        <f>IF(CALC_EPM!$B72="","",CALC_EPM!D72)</f>
      </c>
      <c r="E83" s="10" t="str">
        <f>IF(CALC_EPM!$B72="","",CALC_EPM!E72)</f>
      </c>
      <c r="F83" s="10" t="str">
        <f>IF(CALC_EPM!$B72="","",CALC_EPM!F72)</f>
      </c>
      <c r="G83" t="str">
        <f>IF(CALC_EPM!$B72="","",CALC_EPM!G72)</f>
      </c>
      <c r="H83" s="11" t="str">
        <f>IF(CALC_EPM!$B72="","",CALC_EPM!H72)</f>
      </c>
      <c r="I83" s="11" t="str">
        <f>IF(CALC_EPM!$B72="","",CALC_EPM!I72)</f>
      </c>
      <c r="J83" t="str">
        <f>IF(CALC_EPM!$B72="","",CALC_EPM!J72)</f>
      </c>
      <c r="K83" t="str">
        <f>IF(CALC_EPM!$B72="","",CALC_EPM!K72)</f>
      </c>
      <c r="L83">
        <f>IF(CALC_EPM!$B72="","",CALC_EPM!L72)</f>
      </c>
      <c r="M83">
        <f>IF(CALC_EPM!$B72="","",CALC_EPM!M72)</f>
      </c>
      <c r="N83">
        <f>IF(CALC_EPM!$B72="","",CALC_EPM!N72)</f>
      </c>
      <c r="O83">
        <f>IF(CALC_EPM!$B72="","",CALC_EPM!O72)</f>
      </c>
      <c r="P83">
        <f>IF(CALC_EPM!$B72="","",CALC_EPM!P72)</f>
      </c>
      <c r="Q83">
        <f>IF(CALC_EPM!$B72="","",CALC_EPM!Q72)</f>
      </c>
      <c r="R83">
        <f>IF(CALC_EPM!$B72="","",CALC_EPM!R72)</f>
      </c>
      <c r="S83">
        <f>IF(CALC_EPM!$B72="","",CALC_EPM!S72)</f>
      </c>
      <c r="T83">
        <f>IF(CALC_EPM!$B72="","",CALC_EPM!T72)</f>
      </c>
      <c r="U83">
        <f>IF(CALC_EPM!$B72="","",CALC_EPM!U72)</f>
      </c>
    </row>
    <row r="84">
      <c r="A84" t="str">
        <f>IF(CALC_EPM!$B73="","",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)</f>
      </c>
      <c r="B84" t="str">
        <f>IF(CALC_EPM!$B73="","",CALC_EPM!A73)</f>
      </c>
      <c r="C84" t="str">
        <f>IF(CALC_EPM!$B73="","",CALC_EPM!B73)</f>
      </c>
      <c r="D84">
        <f>IF(CALC_EPM!$B73="","",CALC_EPM!D73)</f>
      </c>
      <c r="E84" s="10" t="str">
        <f>IF(CALC_EPM!$B73="","",CALC_EPM!E73)</f>
      </c>
      <c r="F84" s="10" t="str">
        <f>IF(CALC_EPM!$B73="","",CALC_EPM!F73)</f>
      </c>
      <c r="G84" t="str">
        <f>IF(CALC_EPM!$B73="","",CALC_EPM!G73)</f>
      </c>
      <c r="H84" s="11" t="str">
        <f>IF(CALC_EPM!$B73="","",CALC_EPM!H73)</f>
      </c>
      <c r="I84" s="11" t="str">
        <f>IF(CALC_EPM!$B73="","",CALC_EPM!I73)</f>
      </c>
      <c r="J84" t="str">
        <f>IF(CALC_EPM!$B73="","",CALC_EPM!J73)</f>
      </c>
      <c r="K84" t="str">
        <f>IF(CALC_EPM!$B73="","",CALC_EPM!K73)</f>
      </c>
      <c r="L84">
        <f>IF(CALC_EPM!$B73="","",CALC_EPM!L73)</f>
      </c>
      <c r="M84">
        <f>IF(CALC_EPM!$B73="","",CALC_EPM!M73)</f>
      </c>
      <c r="N84">
        <f>IF(CALC_EPM!$B73="","",CALC_EPM!N73)</f>
      </c>
      <c r="O84">
        <f>IF(CALC_EPM!$B73="","",CALC_EPM!O73)</f>
      </c>
      <c r="P84">
        <f>IF(CALC_EPM!$B73="","",CALC_EPM!P73)</f>
      </c>
      <c r="Q84">
        <f>IF(CALC_EPM!$B73="","",CALC_EPM!Q73)</f>
      </c>
      <c r="R84">
        <f>IF(CALC_EPM!$B73="","",CALC_EPM!R73)</f>
      </c>
      <c r="S84">
        <f>IF(CALC_EPM!$B73="","",CALC_EPM!S73)</f>
      </c>
      <c r="T84">
        <f>IF(CALC_EPM!$B73="","",CALC_EPM!T73)</f>
      </c>
      <c r="U84">
        <f>IF(CALC_EPM!$B73="","",CALC_EPM!U73)</f>
      </c>
    </row>
    <row r="85">
      <c r="A85" t="str">
        <f>IF(CALC_EPM!$B74="","",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)</f>
      </c>
      <c r="B85" t="str">
        <f>IF(CALC_EPM!$B74="","",CALC_EPM!A74)</f>
      </c>
      <c r="C85" t="str">
        <f>IF(CALC_EPM!$B74="","",CALC_EPM!B74)</f>
      </c>
      <c r="D85">
        <f>IF(CALC_EPM!$B74="","",CALC_EPM!D74)</f>
      </c>
      <c r="E85" s="10" t="str">
        <f>IF(CALC_EPM!$B74="","",CALC_EPM!E74)</f>
      </c>
      <c r="F85" s="10" t="str">
        <f>IF(CALC_EPM!$B74="","",CALC_EPM!F74)</f>
      </c>
      <c r="G85" t="str">
        <f>IF(CALC_EPM!$B74="","",CALC_EPM!G74)</f>
      </c>
      <c r="H85" s="11" t="str">
        <f>IF(CALC_EPM!$B74="","",CALC_EPM!H74)</f>
      </c>
      <c r="I85" s="11" t="str">
        <f>IF(CALC_EPM!$B74="","",CALC_EPM!I74)</f>
      </c>
      <c r="J85" t="str">
        <f>IF(CALC_EPM!$B74="","",CALC_EPM!J74)</f>
      </c>
      <c r="K85" t="str">
        <f>IF(CALC_EPM!$B74="","",CALC_EPM!K74)</f>
      </c>
      <c r="L85">
        <f>IF(CALC_EPM!$B74="","",CALC_EPM!L74)</f>
      </c>
      <c r="M85">
        <f>IF(CALC_EPM!$B74="","",CALC_EPM!M74)</f>
      </c>
      <c r="N85">
        <f>IF(CALC_EPM!$B74="","",CALC_EPM!N74)</f>
      </c>
      <c r="O85">
        <f>IF(CALC_EPM!$B74="","",CALC_EPM!O74)</f>
      </c>
      <c r="P85">
        <f>IF(CALC_EPM!$B74="","",CALC_EPM!P74)</f>
      </c>
      <c r="Q85">
        <f>IF(CALC_EPM!$B74="","",CALC_EPM!Q74)</f>
      </c>
      <c r="R85">
        <f>IF(CALC_EPM!$B74="","",CALC_EPM!R74)</f>
      </c>
      <c r="S85">
        <f>IF(CALC_EPM!$B74="","",CALC_EPM!S74)</f>
      </c>
      <c r="T85">
        <f>IF(CALC_EPM!$B74="","",CALC_EPM!T74)</f>
      </c>
      <c r="U85">
        <f>IF(CALC_EPM!$B74="","",CALC_EPM!U74)</f>
      </c>
    </row>
    <row r="86">
      <c r="A86" t="str">
        <f>IF(CALC_EPM!$B75="","",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)</f>
      </c>
      <c r="B86" t="str">
        <f>IF(CALC_EPM!$B75="","",CALC_EPM!A75)</f>
      </c>
      <c r="C86" t="str">
        <f>IF(CALC_EPM!$B75="","",CALC_EPM!B75)</f>
      </c>
      <c r="D86">
        <f>IF(CALC_EPM!$B75="","",CALC_EPM!D75)</f>
      </c>
      <c r="E86" s="10" t="str">
        <f>IF(CALC_EPM!$B75="","",CALC_EPM!E75)</f>
      </c>
      <c r="F86" s="10" t="str">
        <f>IF(CALC_EPM!$B75="","",CALC_EPM!F75)</f>
      </c>
      <c r="G86" t="str">
        <f>IF(CALC_EPM!$B75="","",CALC_EPM!G75)</f>
      </c>
      <c r="H86" s="11" t="str">
        <f>IF(CALC_EPM!$B75="","",CALC_EPM!H75)</f>
      </c>
      <c r="I86" s="11" t="str">
        <f>IF(CALC_EPM!$B75="","",CALC_EPM!I75)</f>
      </c>
      <c r="J86" t="str">
        <f>IF(CALC_EPM!$B75="","",CALC_EPM!J75)</f>
      </c>
      <c r="K86" t="str">
        <f>IF(CALC_EPM!$B75="","",CALC_EPM!K75)</f>
      </c>
      <c r="L86">
        <f>IF(CALC_EPM!$B75="","",CALC_EPM!L75)</f>
      </c>
      <c r="M86">
        <f>IF(CALC_EPM!$B75="","",CALC_EPM!M75)</f>
      </c>
      <c r="N86">
        <f>IF(CALC_EPM!$B75="","",CALC_EPM!N75)</f>
      </c>
      <c r="O86">
        <f>IF(CALC_EPM!$B75="","",CALC_EPM!O75)</f>
      </c>
      <c r="P86">
        <f>IF(CALC_EPM!$B75="","",CALC_EPM!P75)</f>
      </c>
      <c r="Q86">
        <f>IF(CALC_EPM!$B75="","",CALC_EPM!Q75)</f>
      </c>
      <c r="R86">
        <f>IF(CALC_EPM!$B75="","",CALC_EPM!R75)</f>
      </c>
      <c r="S86">
        <f>IF(CALC_EPM!$B75="","",CALC_EPM!S75)</f>
      </c>
      <c r="T86">
        <f>IF(CALC_EPM!$B75="","",CALC_EPM!T75)</f>
      </c>
      <c r="U86">
        <f>IF(CALC_EPM!$B75="","",CALC_EPM!U75)</f>
      </c>
    </row>
    <row r="87">
      <c r="A87" t="str">
        <f>IF(CALC_EPM!$B76="","",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)</f>
      </c>
      <c r="B87" t="str">
        <f>IF(CALC_EPM!$B76="","",CALC_EPM!A76)</f>
      </c>
      <c r="C87" t="str">
        <f>IF(CALC_EPM!$B76="","",CALC_EPM!B76)</f>
      </c>
      <c r="D87">
        <f>IF(CALC_EPM!$B76="","",CALC_EPM!D76)</f>
      </c>
      <c r="E87" s="10" t="str">
        <f>IF(CALC_EPM!$B76="","",CALC_EPM!E76)</f>
      </c>
      <c r="F87" s="10" t="str">
        <f>IF(CALC_EPM!$B76="","",CALC_EPM!F76)</f>
      </c>
      <c r="G87" t="str">
        <f>IF(CALC_EPM!$B76="","",CALC_EPM!G76)</f>
      </c>
      <c r="H87" s="11" t="str">
        <f>IF(CALC_EPM!$B76="","",CALC_EPM!H76)</f>
      </c>
      <c r="I87" s="11" t="str">
        <f>IF(CALC_EPM!$B76="","",CALC_EPM!I76)</f>
      </c>
      <c r="J87" t="str">
        <f>IF(CALC_EPM!$B76="","",CALC_EPM!J76)</f>
      </c>
      <c r="K87" t="str">
        <f>IF(CALC_EPM!$B76="","",CALC_EPM!K76)</f>
      </c>
      <c r="L87">
        <f>IF(CALC_EPM!$B76="","",CALC_EPM!L76)</f>
      </c>
      <c r="M87">
        <f>IF(CALC_EPM!$B76="","",CALC_EPM!M76)</f>
      </c>
      <c r="N87">
        <f>IF(CALC_EPM!$B76="","",CALC_EPM!N76)</f>
      </c>
      <c r="O87">
        <f>IF(CALC_EPM!$B76="","",CALC_EPM!O76)</f>
      </c>
      <c r="P87">
        <f>IF(CALC_EPM!$B76="","",CALC_EPM!P76)</f>
      </c>
      <c r="Q87">
        <f>IF(CALC_EPM!$B76="","",CALC_EPM!Q76)</f>
      </c>
      <c r="R87">
        <f>IF(CALC_EPM!$B76="","",CALC_EPM!R76)</f>
      </c>
      <c r="S87">
        <f>IF(CALC_EPM!$B76="","",CALC_EPM!S76)</f>
      </c>
      <c r="T87">
        <f>IF(CALC_EPM!$B76="","",CALC_EPM!T76)</f>
      </c>
      <c r="U87">
        <f>IF(CALC_EPM!$B76="","",CALC_EPM!U76)</f>
      </c>
    </row>
    <row r="88">
      <c r="A88" t="str">
        <f>IF(CALC_EPM!$B77="","",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)</f>
      </c>
      <c r="B88" t="str">
        <f>IF(CALC_EPM!$B77="","",CALC_EPM!A77)</f>
      </c>
      <c r="C88" t="str">
        <f>IF(CALC_EPM!$B77="","",CALC_EPM!B77)</f>
      </c>
      <c r="D88">
        <f>IF(CALC_EPM!$B77="","",CALC_EPM!D77)</f>
      </c>
      <c r="E88" s="10" t="str">
        <f>IF(CALC_EPM!$B77="","",CALC_EPM!E77)</f>
      </c>
      <c r="F88" s="10" t="str">
        <f>IF(CALC_EPM!$B77="","",CALC_EPM!F77)</f>
      </c>
      <c r="G88" t="str">
        <f>IF(CALC_EPM!$B77="","",CALC_EPM!G77)</f>
      </c>
      <c r="H88" s="11" t="str">
        <f>IF(CALC_EPM!$B77="","",CALC_EPM!H77)</f>
      </c>
      <c r="I88" s="11" t="str">
        <f>IF(CALC_EPM!$B77="","",CALC_EPM!I77)</f>
      </c>
      <c r="J88" t="str">
        <f>IF(CALC_EPM!$B77="","",CALC_EPM!J77)</f>
      </c>
      <c r="K88" t="str">
        <f>IF(CALC_EPM!$B77="","",CALC_EPM!K77)</f>
      </c>
      <c r="L88">
        <f>IF(CALC_EPM!$B77="","",CALC_EPM!L77)</f>
      </c>
      <c r="M88">
        <f>IF(CALC_EPM!$B77="","",CALC_EPM!M77)</f>
      </c>
      <c r="N88">
        <f>IF(CALC_EPM!$B77="","",CALC_EPM!N77)</f>
      </c>
      <c r="O88">
        <f>IF(CALC_EPM!$B77="","",CALC_EPM!O77)</f>
      </c>
      <c r="P88">
        <f>IF(CALC_EPM!$B77="","",CALC_EPM!P77)</f>
      </c>
      <c r="Q88">
        <f>IF(CALC_EPM!$B77="","",CALC_EPM!Q77)</f>
      </c>
      <c r="R88">
        <f>IF(CALC_EPM!$B77="","",CALC_EPM!R77)</f>
      </c>
      <c r="S88">
        <f>IF(CALC_EPM!$B77="","",CALC_EPM!S77)</f>
      </c>
      <c r="T88">
        <f>IF(CALC_EPM!$B77="","",CALC_EPM!T77)</f>
      </c>
      <c r="U88">
        <f>IF(CALC_EPM!$B77="","",CALC_EPM!U77)</f>
      </c>
    </row>
    <row r="89">
      <c r="A89" t="str">
        <f>IF(CALC_EPM!$B78="","",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)</f>
      </c>
      <c r="B89" t="str">
        <f>IF(CALC_EPM!$B78="","",CALC_EPM!A78)</f>
      </c>
      <c r="C89" t="str">
        <f>IF(CALC_EPM!$B78="","",CALC_EPM!B78)</f>
      </c>
      <c r="D89">
        <f>IF(CALC_EPM!$B78="","",CALC_EPM!D78)</f>
      </c>
      <c r="E89" s="10" t="str">
        <f>IF(CALC_EPM!$B78="","",CALC_EPM!E78)</f>
      </c>
      <c r="F89" s="10" t="str">
        <f>IF(CALC_EPM!$B78="","",CALC_EPM!F78)</f>
      </c>
      <c r="G89" t="str">
        <f>IF(CALC_EPM!$B78="","",CALC_EPM!G78)</f>
      </c>
      <c r="H89" s="11" t="str">
        <f>IF(CALC_EPM!$B78="","",CALC_EPM!H78)</f>
      </c>
      <c r="I89" s="11" t="str">
        <f>IF(CALC_EPM!$B78="","",CALC_EPM!I78)</f>
      </c>
      <c r="J89" t="str">
        <f>IF(CALC_EPM!$B78="","",CALC_EPM!J78)</f>
      </c>
      <c r="K89" t="str">
        <f>IF(CALC_EPM!$B78="","",CALC_EPM!K78)</f>
      </c>
      <c r="L89">
        <f>IF(CALC_EPM!$B78="","",CALC_EPM!L78)</f>
      </c>
      <c r="M89">
        <f>IF(CALC_EPM!$B78="","",CALC_EPM!M78)</f>
      </c>
      <c r="N89">
        <f>IF(CALC_EPM!$B78="","",CALC_EPM!N78)</f>
      </c>
      <c r="O89">
        <f>IF(CALC_EPM!$B78="","",CALC_EPM!O78)</f>
      </c>
      <c r="P89">
        <f>IF(CALC_EPM!$B78="","",CALC_EPM!P78)</f>
      </c>
      <c r="Q89">
        <f>IF(CALC_EPM!$B78="","",CALC_EPM!Q78)</f>
      </c>
      <c r="R89">
        <f>IF(CALC_EPM!$B78="","",CALC_EPM!R78)</f>
      </c>
      <c r="S89">
        <f>IF(CALC_EPM!$B78="","",CALC_EPM!S78)</f>
      </c>
      <c r="T89">
        <f>IF(CALC_EPM!$B78="","",CALC_EPM!T78)</f>
      </c>
      <c r="U89">
        <f>IF(CALC_EPM!$B78="","",CALC_EPM!U78)</f>
      </c>
    </row>
    <row r="90">
      <c r="A90" t="str">
        <f>IF(CALC_EPM!$B79="","",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)</f>
      </c>
      <c r="B90" t="str">
        <f>IF(CALC_EPM!$B79="","",CALC_EPM!A79)</f>
      </c>
      <c r="C90" t="str">
        <f>IF(CALC_EPM!$B79="","",CALC_EPM!B79)</f>
      </c>
      <c r="D90">
        <f>IF(CALC_EPM!$B79="","",CALC_EPM!D79)</f>
      </c>
      <c r="E90" s="10" t="str">
        <f>IF(CALC_EPM!$B79="","",CALC_EPM!E79)</f>
      </c>
      <c r="F90" s="10" t="str">
        <f>IF(CALC_EPM!$B79="","",CALC_EPM!F79)</f>
      </c>
      <c r="G90" t="str">
        <f>IF(CALC_EPM!$B79="","",CALC_EPM!G79)</f>
      </c>
      <c r="H90" s="11" t="str">
        <f>IF(CALC_EPM!$B79="","",CALC_EPM!H79)</f>
      </c>
      <c r="I90" s="11" t="str">
        <f>IF(CALC_EPM!$B79="","",CALC_EPM!I79)</f>
      </c>
      <c r="J90" t="str">
        <f>IF(CALC_EPM!$B79="","",CALC_EPM!J79)</f>
      </c>
      <c r="K90" t="str">
        <f>IF(CALC_EPM!$B79="","",CALC_EPM!K79)</f>
      </c>
      <c r="L90">
        <f>IF(CALC_EPM!$B79="","",CALC_EPM!L79)</f>
      </c>
      <c r="M90">
        <f>IF(CALC_EPM!$B79="","",CALC_EPM!M79)</f>
      </c>
      <c r="N90">
        <f>IF(CALC_EPM!$B79="","",CALC_EPM!N79)</f>
      </c>
      <c r="O90">
        <f>IF(CALC_EPM!$B79="","",CALC_EPM!O79)</f>
      </c>
      <c r="P90">
        <f>IF(CALC_EPM!$B79="","",CALC_EPM!P79)</f>
      </c>
      <c r="Q90">
        <f>IF(CALC_EPM!$B79="","",CALC_EPM!Q79)</f>
      </c>
      <c r="R90">
        <f>IF(CALC_EPM!$B79="","",CALC_EPM!R79)</f>
      </c>
      <c r="S90">
        <f>IF(CALC_EPM!$B79="","",CALC_EPM!S79)</f>
      </c>
      <c r="T90">
        <f>IF(CALC_EPM!$B79="","",CALC_EPM!T79)</f>
      </c>
      <c r="U90">
        <f>IF(CALC_EPM!$B79="","",CALC_EPM!U79)</f>
      </c>
    </row>
    <row r="91">
      <c r="A91" t="str">
        <f>IF(CALC_EPM!$B80="","",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)</f>
      </c>
      <c r="B91" t="str">
        <f>IF(CALC_EPM!$B80="","",CALC_EPM!A80)</f>
      </c>
      <c r="C91" t="str">
        <f>IF(CALC_EPM!$B80="","",CALC_EPM!B80)</f>
      </c>
      <c r="D91">
        <f>IF(CALC_EPM!$B80="","",CALC_EPM!D80)</f>
      </c>
      <c r="E91" s="10" t="str">
        <f>IF(CALC_EPM!$B80="","",CALC_EPM!E80)</f>
      </c>
      <c r="F91" s="10" t="str">
        <f>IF(CALC_EPM!$B80="","",CALC_EPM!F80)</f>
      </c>
      <c r="G91" t="str">
        <f>IF(CALC_EPM!$B80="","",CALC_EPM!G80)</f>
      </c>
      <c r="H91" s="11" t="str">
        <f>IF(CALC_EPM!$B80="","",CALC_EPM!H80)</f>
      </c>
      <c r="I91" s="11" t="str">
        <f>IF(CALC_EPM!$B80="","",CALC_EPM!I80)</f>
      </c>
      <c r="J91" t="str">
        <f>IF(CALC_EPM!$B80="","",CALC_EPM!J80)</f>
      </c>
      <c r="K91" t="str">
        <f>IF(CALC_EPM!$B80="","",CALC_EPM!K80)</f>
      </c>
      <c r="L91">
        <f>IF(CALC_EPM!$B80="","",CALC_EPM!L80)</f>
      </c>
      <c r="M91">
        <f>IF(CALC_EPM!$B80="","",CALC_EPM!M80)</f>
      </c>
      <c r="N91">
        <f>IF(CALC_EPM!$B80="","",CALC_EPM!N80)</f>
      </c>
      <c r="O91">
        <f>IF(CALC_EPM!$B80="","",CALC_EPM!O80)</f>
      </c>
      <c r="P91">
        <f>IF(CALC_EPM!$B80="","",CALC_EPM!P80)</f>
      </c>
      <c r="Q91">
        <f>IF(CALC_EPM!$B80="","",CALC_EPM!Q80)</f>
      </c>
      <c r="R91">
        <f>IF(CALC_EPM!$B80="","",CALC_EPM!R80)</f>
      </c>
      <c r="S91">
        <f>IF(CALC_EPM!$B80="","",CALC_EPM!S80)</f>
      </c>
      <c r="T91">
        <f>IF(CALC_EPM!$B80="","",CALC_EPM!T80)</f>
      </c>
      <c r="U91">
        <f>IF(CALC_EPM!$B80="","",CALC_EPM!U80)</f>
      </c>
    </row>
    <row r="92">
      <c r="A92" t="str">
        <f>IF(CALC_EPM!$B81="","",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)</f>
      </c>
      <c r="B92" t="str">
        <f>IF(CALC_EPM!$B81="","",CALC_EPM!A81)</f>
      </c>
      <c r="C92" t="str">
        <f>IF(CALC_EPM!$B81="","",CALC_EPM!B81)</f>
      </c>
      <c r="D92">
        <f>IF(CALC_EPM!$B81="","",CALC_EPM!D81)</f>
      </c>
      <c r="E92" s="10" t="str">
        <f>IF(CALC_EPM!$B81="","",CALC_EPM!E81)</f>
      </c>
      <c r="F92" s="10" t="str">
        <f>IF(CALC_EPM!$B81="","",CALC_EPM!F81)</f>
      </c>
      <c r="G92" t="str">
        <f>IF(CALC_EPM!$B81="","",CALC_EPM!G81)</f>
      </c>
      <c r="H92" s="11" t="str">
        <f>IF(CALC_EPM!$B81="","",CALC_EPM!H81)</f>
      </c>
      <c r="I92" s="11" t="str">
        <f>IF(CALC_EPM!$B81="","",CALC_EPM!I81)</f>
      </c>
      <c r="J92" t="str">
        <f>IF(CALC_EPM!$B81="","",CALC_EPM!J81)</f>
      </c>
      <c r="K92" t="str">
        <f>IF(CALC_EPM!$B81="","",CALC_EPM!K81)</f>
      </c>
      <c r="L92">
        <f>IF(CALC_EPM!$B81="","",CALC_EPM!L81)</f>
      </c>
      <c r="M92">
        <f>IF(CALC_EPM!$B81="","",CALC_EPM!M81)</f>
      </c>
      <c r="N92">
        <f>IF(CALC_EPM!$B81="","",CALC_EPM!N81)</f>
      </c>
      <c r="O92">
        <f>IF(CALC_EPM!$B81="","",CALC_EPM!O81)</f>
      </c>
      <c r="P92">
        <f>IF(CALC_EPM!$B81="","",CALC_EPM!P81)</f>
      </c>
      <c r="Q92">
        <f>IF(CALC_EPM!$B81="","",CALC_EPM!Q81)</f>
      </c>
      <c r="R92">
        <f>IF(CALC_EPM!$B81="","",CALC_EPM!R81)</f>
      </c>
      <c r="S92">
        <f>IF(CALC_EPM!$B81="","",CALC_EPM!S81)</f>
      </c>
      <c r="T92">
        <f>IF(CALC_EPM!$B81="","",CALC_EPM!T81)</f>
      </c>
      <c r="U92">
        <f>IF(CALC_EPM!$B81="","",CALC_EPM!U81)</f>
      </c>
    </row>
    <row r="93">
      <c r="A93" t="str">
        <f>IF(CALC_EPM!$B82="","",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)</f>
      </c>
      <c r="B93" t="str">
        <f>IF(CALC_EPM!$B82="","",CALC_EPM!A82)</f>
      </c>
      <c r="C93" t="str">
        <f>IF(CALC_EPM!$B82="","",CALC_EPM!B82)</f>
      </c>
      <c r="D93">
        <f>IF(CALC_EPM!$B82="","",CALC_EPM!D82)</f>
      </c>
      <c r="E93" s="10" t="str">
        <f>IF(CALC_EPM!$B82="","",CALC_EPM!E82)</f>
      </c>
      <c r="F93" s="10" t="str">
        <f>IF(CALC_EPM!$B82="","",CALC_EPM!F82)</f>
      </c>
      <c r="G93" t="str">
        <f>IF(CALC_EPM!$B82="","",CALC_EPM!G82)</f>
      </c>
      <c r="H93" s="11" t="str">
        <f>IF(CALC_EPM!$B82="","",CALC_EPM!H82)</f>
      </c>
      <c r="I93" s="11" t="str">
        <f>IF(CALC_EPM!$B82="","",CALC_EPM!I82)</f>
      </c>
      <c r="J93" t="str">
        <f>IF(CALC_EPM!$B82="","",CALC_EPM!J82)</f>
      </c>
      <c r="K93" t="str">
        <f>IF(CALC_EPM!$B82="","",CALC_EPM!K82)</f>
      </c>
      <c r="L93">
        <f>IF(CALC_EPM!$B82="","",CALC_EPM!L82)</f>
      </c>
      <c r="M93">
        <f>IF(CALC_EPM!$B82="","",CALC_EPM!M82)</f>
      </c>
      <c r="N93">
        <f>IF(CALC_EPM!$B82="","",CALC_EPM!N82)</f>
      </c>
      <c r="O93">
        <f>IF(CALC_EPM!$B82="","",CALC_EPM!O82)</f>
      </c>
      <c r="P93">
        <f>IF(CALC_EPM!$B82="","",CALC_EPM!P82)</f>
      </c>
      <c r="Q93">
        <f>IF(CALC_EPM!$B82="","",CALC_EPM!Q82)</f>
      </c>
      <c r="R93">
        <f>IF(CALC_EPM!$B82="","",CALC_EPM!R82)</f>
      </c>
      <c r="S93">
        <f>IF(CALC_EPM!$B82="","",CALC_EPM!S82)</f>
      </c>
      <c r="T93">
        <f>IF(CALC_EPM!$B82="","",CALC_EPM!T82)</f>
      </c>
      <c r="U93">
        <f>IF(CALC_EPM!$B82="","",CALC_EPM!U82)</f>
      </c>
    </row>
    <row r="94">
      <c r="A94" t="str">
        <f>IF(CALC_EPM!$B83="","",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)</f>
      </c>
      <c r="B94" t="str">
        <f>IF(CALC_EPM!$B83="","",CALC_EPM!A83)</f>
      </c>
      <c r="C94" t="str">
        <f>IF(CALC_EPM!$B83="","",CALC_EPM!B83)</f>
      </c>
      <c r="D94">
        <f>IF(CALC_EPM!$B83="","",CALC_EPM!D83)</f>
      </c>
      <c r="E94" s="10" t="str">
        <f>IF(CALC_EPM!$B83="","",CALC_EPM!E83)</f>
      </c>
      <c r="F94" s="10" t="str">
        <f>IF(CALC_EPM!$B83="","",CALC_EPM!F83)</f>
      </c>
      <c r="G94" t="str">
        <f>IF(CALC_EPM!$B83="","",CALC_EPM!G83)</f>
      </c>
      <c r="H94" s="11" t="str">
        <f>IF(CALC_EPM!$B83="","",CALC_EPM!H83)</f>
      </c>
      <c r="I94" s="11" t="str">
        <f>IF(CALC_EPM!$B83="","",CALC_EPM!I83)</f>
      </c>
      <c r="J94" t="str">
        <f>IF(CALC_EPM!$B83="","",CALC_EPM!J83)</f>
      </c>
      <c r="K94" t="str">
        <f>IF(CALC_EPM!$B83="","",CALC_EPM!K83)</f>
      </c>
      <c r="L94">
        <f>IF(CALC_EPM!$B83="","",CALC_EPM!L83)</f>
      </c>
      <c r="M94">
        <f>IF(CALC_EPM!$B83="","",CALC_EPM!M83)</f>
      </c>
      <c r="N94">
        <f>IF(CALC_EPM!$B83="","",CALC_EPM!N83)</f>
      </c>
      <c r="O94">
        <f>IF(CALC_EPM!$B83="","",CALC_EPM!O83)</f>
      </c>
      <c r="P94">
        <f>IF(CALC_EPM!$B83="","",CALC_EPM!P83)</f>
      </c>
      <c r="Q94">
        <f>IF(CALC_EPM!$B83="","",CALC_EPM!Q83)</f>
      </c>
      <c r="R94">
        <f>IF(CALC_EPM!$B83="","",CALC_EPM!R83)</f>
      </c>
      <c r="S94">
        <f>IF(CALC_EPM!$B83="","",CALC_EPM!S83)</f>
      </c>
      <c r="T94">
        <f>IF(CALC_EPM!$B83="","",CALC_EPM!T83)</f>
      </c>
      <c r="U94">
        <f>IF(CALC_EPM!$B83="","",CALC_EPM!U83)</f>
      </c>
    </row>
    <row r="95">
      <c r="A95" t="str">
        <f>IF(CALC_EPM!$B84="","",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)</f>
      </c>
      <c r="B95" t="str">
        <f>IF(CALC_EPM!$B84="","",CALC_EPM!A84)</f>
      </c>
      <c r="C95" t="str">
        <f>IF(CALC_EPM!$B84="","",CALC_EPM!B84)</f>
      </c>
      <c r="D95">
        <f>IF(CALC_EPM!$B84="","",CALC_EPM!D84)</f>
      </c>
      <c r="E95" s="10" t="str">
        <f>IF(CALC_EPM!$B84="","",CALC_EPM!E84)</f>
      </c>
      <c r="F95" s="10" t="str">
        <f>IF(CALC_EPM!$B84="","",CALC_EPM!F84)</f>
      </c>
      <c r="G95" t="str">
        <f>IF(CALC_EPM!$B84="","",CALC_EPM!G84)</f>
      </c>
      <c r="H95" s="11" t="str">
        <f>IF(CALC_EPM!$B84="","",CALC_EPM!H84)</f>
      </c>
      <c r="I95" s="11" t="str">
        <f>IF(CALC_EPM!$B84="","",CALC_EPM!I84)</f>
      </c>
      <c r="J95" t="str">
        <f>IF(CALC_EPM!$B84="","",CALC_EPM!J84)</f>
      </c>
      <c r="K95" t="str">
        <f>IF(CALC_EPM!$B84="","",CALC_EPM!K84)</f>
      </c>
      <c r="L95">
        <f>IF(CALC_EPM!$B84="","",CALC_EPM!L84)</f>
      </c>
      <c r="M95">
        <f>IF(CALC_EPM!$B84="","",CALC_EPM!M84)</f>
      </c>
      <c r="N95">
        <f>IF(CALC_EPM!$B84="","",CALC_EPM!N84)</f>
      </c>
      <c r="O95">
        <f>IF(CALC_EPM!$B84="","",CALC_EPM!O84)</f>
      </c>
      <c r="P95">
        <f>IF(CALC_EPM!$B84="","",CALC_EPM!P84)</f>
      </c>
      <c r="Q95">
        <f>IF(CALC_EPM!$B84="","",CALC_EPM!Q84)</f>
      </c>
      <c r="R95">
        <f>IF(CALC_EPM!$B84="","",CALC_EPM!R84)</f>
      </c>
      <c r="S95">
        <f>IF(CALC_EPM!$B84="","",CALC_EPM!S84)</f>
      </c>
      <c r="T95">
        <f>IF(CALC_EPM!$B84="","",CALC_EPM!T84)</f>
      </c>
      <c r="U95">
        <f>IF(CALC_EPM!$B84="","",CALC_EPM!U84)</f>
      </c>
    </row>
    <row r="96">
      <c r="A96" t="str">
        <f>IF(CALC_EPM!$B85="","",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)</f>
      </c>
      <c r="B96" t="str">
        <f>IF(CALC_EPM!$B85="","",CALC_EPM!A85)</f>
      </c>
      <c r="C96" t="str">
        <f>IF(CALC_EPM!$B85="","",CALC_EPM!B85)</f>
      </c>
      <c r="D96">
        <f>IF(CALC_EPM!$B85="","",CALC_EPM!D85)</f>
      </c>
      <c r="E96" s="10" t="str">
        <f>IF(CALC_EPM!$B85="","",CALC_EPM!E85)</f>
      </c>
      <c r="F96" s="10" t="str">
        <f>IF(CALC_EPM!$B85="","",CALC_EPM!F85)</f>
      </c>
      <c r="G96" t="str">
        <f>IF(CALC_EPM!$B85="","",CALC_EPM!G85)</f>
      </c>
      <c r="H96" s="11" t="str">
        <f>IF(CALC_EPM!$B85="","",CALC_EPM!H85)</f>
      </c>
      <c r="I96" s="11" t="str">
        <f>IF(CALC_EPM!$B85="","",CALC_EPM!I85)</f>
      </c>
      <c r="J96" t="str">
        <f>IF(CALC_EPM!$B85="","",CALC_EPM!J85)</f>
      </c>
      <c r="K96" t="str">
        <f>IF(CALC_EPM!$B85="","",CALC_EPM!K85)</f>
      </c>
      <c r="L96">
        <f>IF(CALC_EPM!$B85="","",CALC_EPM!L85)</f>
      </c>
      <c r="M96">
        <f>IF(CALC_EPM!$B85="","",CALC_EPM!M85)</f>
      </c>
      <c r="N96">
        <f>IF(CALC_EPM!$B85="","",CALC_EPM!N85)</f>
      </c>
      <c r="O96">
        <f>IF(CALC_EPM!$B85="","",CALC_EPM!O85)</f>
      </c>
      <c r="P96">
        <f>IF(CALC_EPM!$B85="","",CALC_EPM!P85)</f>
      </c>
      <c r="Q96">
        <f>IF(CALC_EPM!$B85="","",CALC_EPM!Q85)</f>
      </c>
      <c r="R96">
        <f>IF(CALC_EPM!$B85="","",CALC_EPM!R85)</f>
      </c>
      <c r="S96">
        <f>IF(CALC_EPM!$B85="","",CALC_EPM!S85)</f>
      </c>
      <c r="T96">
        <f>IF(CALC_EPM!$B85="","",CALC_EPM!T85)</f>
      </c>
      <c r="U96">
        <f>IF(CALC_EPM!$B85="","",CALC_EPM!U85)</f>
      </c>
    </row>
    <row r="97">
      <c r="A97" t="str">
        <f>IF(CALC_EPM!$B86="","",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)</f>
      </c>
      <c r="B97" t="str">
        <f>IF(CALC_EPM!$B86="","",CALC_EPM!A86)</f>
      </c>
      <c r="C97" t="str">
        <f>IF(CALC_EPM!$B86="","",CALC_EPM!B86)</f>
      </c>
      <c r="D97">
        <f>IF(CALC_EPM!$B86="","",CALC_EPM!D86)</f>
      </c>
      <c r="E97" s="10" t="str">
        <f>IF(CALC_EPM!$B86="","",CALC_EPM!E86)</f>
      </c>
      <c r="F97" s="10" t="str">
        <f>IF(CALC_EPM!$B86="","",CALC_EPM!F86)</f>
      </c>
      <c r="G97" t="str">
        <f>IF(CALC_EPM!$B86="","",CALC_EPM!G86)</f>
      </c>
      <c r="H97" s="11" t="str">
        <f>IF(CALC_EPM!$B86="","",CALC_EPM!H86)</f>
      </c>
      <c r="I97" s="11" t="str">
        <f>IF(CALC_EPM!$B86="","",CALC_EPM!I86)</f>
      </c>
      <c r="J97" t="str">
        <f>IF(CALC_EPM!$B86="","",CALC_EPM!J86)</f>
      </c>
      <c r="K97" t="str">
        <f>IF(CALC_EPM!$B86="","",CALC_EPM!K86)</f>
      </c>
      <c r="L97">
        <f>IF(CALC_EPM!$B86="","",CALC_EPM!L86)</f>
      </c>
      <c r="M97">
        <f>IF(CALC_EPM!$B86="","",CALC_EPM!M86)</f>
      </c>
      <c r="N97">
        <f>IF(CALC_EPM!$B86="","",CALC_EPM!N86)</f>
      </c>
      <c r="O97">
        <f>IF(CALC_EPM!$B86="","",CALC_EPM!O86)</f>
      </c>
      <c r="P97">
        <f>IF(CALC_EPM!$B86="","",CALC_EPM!P86)</f>
      </c>
      <c r="Q97">
        <f>IF(CALC_EPM!$B86="","",CALC_EPM!Q86)</f>
      </c>
      <c r="R97">
        <f>IF(CALC_EPM!$B86="","",CALC_EPM!R86)</f>
      </c>
      <c r="S97">
        <f>IF(CALC_EPM!$B86="","",CALC_EPM!S86)</f>
      </c>
      <c r="T97">
        <f>IF(CALC_EPM!$B86="","",CALC_EPM!T86)</f>
      </c>
      <c r="U97">
        <f>IF(CALC_EPM!$B86="","",CALC_EPM!U86)</f>
      </c>
    </row>
    <row r="98">
      <c r="A98" t="str">
        <f>IF(CALC_EPM!$B87="","",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)</f>
      </c>
      <c r="B98" t="str">
        <f>IF(CALC_EPM!$B87="","",CALC_EPM!A87)</f>
      </c>
      <c r="C98" t="str">
        <f>IF(CALC_EPM!$B87="","",CALC_EPM!B87)</f>
      </c>
      <c r="D98">
        <f>IF(CALC_EPM!$B87="","",CALC_EPM!D87)</f>
      </c>
      <c r="E98" s="10" t="str">
        <f>IF(CALC_EPM!$B87="","",CALC_EPM!E87)</f>
      </c>
      <c r="F98" s="10" t="str">
        <f>IF(CALC_EPM!$B87="","",CALC_EPM!F87)</f>
      </c>
      <c r="G98" t="str">
        <f>IF(CALC_EPM!$B87="","",CALC_EPM!G87)</f>
      </c>
      <c r="H98" s="11" t="str">
        <f>IF(CALC_EPM!$B87="","",CALC_EPM!H87)</f>
      </c>
      <c r="I98" s="11" t="str">
        <f>IF(CALC_EPM!$B87="","",CALC_EPM!I87)</f>
      </c>
      <c r="J98" t="str">
        <f>IF(CALC_EPM!$B87="","",CALC_EPM!J87)</f>
      </c>
      <c r="K98" t="str">
        <f>IF(CALC_EPM!$B87="","",CALC_EPM!K87)</f>
      </c>
      <c r="L98">
        <f>IF(CALC_EPM!$B87="","",CALC_EPM!L87)</f>
      </c>
      <c r="M98">
        <f>IF(CALC_EPM!$B87="","",CALC_EPM!M87)</f>
      </c>
      <c r="N98">
        <f>IF(CALC_EPM!$B87="","",CALC_EPM!N87)</f>
      </c>
      <c r="O98">
        <f>IF(CALC_EPM!$B87="","",CALC_EPM!O87)</f>
      </c>
      <c r="P98">
        <f>IF(CALC_EPM!$B87="","",CALC_EPM!P87)</f>
      </c>
      <c r="Q98">
        <f>IF(CALC_EPM!$B87="","",CALC_EPM!Q87)</f>
      </c>
      <c r="R98">
        <f>IF(CALC_EPM!$B87="","",CALC_EPM!R87)</f>
      </c>
      <c r="S98">
        <f>IF(CALC_EPM!$B87="","",CALC_EPM!S87)</f>
      </c>
      <c r="T98">
        <f>IF(CALC_EPM!$B87="","",CALC_EPM!T87)</f>
      </c>
      <c r="U98">
        <f>IF(CALC_EPM!$B87="","",CALC_EPM!U87)</f>
      </c>
    </row>
    <row r="99">
      <c r="A99" t="str">
        <f>IF(CALC_EPM!$B88="","",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)</f>
      </c>
      <c r="B99" t="str">
        <f>IF(CALC_EPM!$B88="","",CALC_EPM!A88)</f>
      </c>
      <c r="C99" t="str">
        <f>IF(CALC_EPM!$B88="","",CALC_EPM!B88)</f>
      </c>
      <c r="D99">
        <f>IF(CALC_EPM!$B88="","",CALC_EPM!D88)</f>
      </c>
      <c r="E99" s="10" t="str">
        <f>IF(CALC_EPM!$B88="","",CALC_EPM!E88)</f>
      </c>
      <c r="F99" s="10" t="str">
        <f>IF(CALC_EPM!$B88="","",CALC_EPM!F88)</f>
      </c>
      <c r="G99" t="str">
        <f>IF(CALC_EPM!$B88="","",CALC_EPM!G88)</f>
      </c>
      <c r="H99" s="11" t="str">
        <f>IF(CALC_EPM!$B88="","",CALC_EPM!H88)</f>
      </c>
      <c r="I99" s="11" t="str">
        <f>IF(CALC_EPM!$B88="","",CALC_EPM!I88)</f>
      </c>
      <c r="J99" t="str">
        <f>IF(CALC_EPM!$B88="","",CALC_EPM!J88)</f>
      </c>
      <c r="K99" t="str">
        <f>IF(CALC_EPM!$B88="","",CALC_EPM!K88)</f>
      </c>
      <c r="L99">
        <f>IF(CALC_EPM!$B88="","",CALC_EPM!L88)</f>
      </c>
      <c r="M99">
        <f>IF(CALC_EPM!$B88="","",CALC_EPM!M88)</f>
      </c>
      <c r="N99">
        <f>IF(CALC_EPM!$B88="","",CALC_EPM!N88)</f>
      </c>
      <c r="O99">
        <f>IF(CALC_EPM!$B88="","",CALC_EPM!O88)</f>
      </c>
      <c r="P99">
        <f>IF(CALC_EPM!$B88="","",CALC_EPM!P88)</f>
      </c>
      <c r="Q99">
        <f>IF(CALC_EPM!$B88="","",CALC_EPM!Q88)</f>
      </c>
      <c r="R99">
        <f>IF(CALC_EPM!$B88="","",CALC_EPM!R88)</f>
      </c>
      <c r="S99">
        <f>IF(CALC_EPM!$B88="","",CALC_EPM!S88)</f>
      </c>
      <c r="T99">
        <f>IF(CALC_EPM!$B88="","",CALC_EPM!T88)</f>
      </c>
      <c r="U99">
        <f>IF(CALC_EPM!$B88="","",CALC_EPM!U88)</f>
      </c>
    </row>
    <row r="100">
      <c r="A100" t="str">
        <f>IF(CALC_EPM!$B89="","",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)</f>
      </c>
      <c r="B100" t="str">
        <f>IF(CALC_EPM!$B89="","",CALC_EPM!A89)</f>
      </c>
      <c r="C100" t="str">
        <f>IF(CALC_EPM!$B89="","",CALC_EPM!B89)</f>
      </c>
      <c r="D100">
        <f>IF(CALC_EPM!$B89="","",CALC_EPM!D89)</f>
      </c>
      <c r="E100" s="10" t="str">
        <f>IF(CALC_EPM!$B89="","",CALC_EPM!E89)</f>
      </c>
      <c r="F100" s="10" t="str">
        <f>IF(CALC_EPM!$B89="","",CALC_EPM!F89)</f>
      </c>
      <c r="G100" t="str">
        <f>IF(CALC_EPM!$B89="","",CALC_EPM!G89)</f>
      </c>
      <c r="H100" s="11" t="str">
        <f>IF(CALC_EPM!$B89="","",CALC_EPM!H89)</f>
      </c>
      <c r="I100" s="11" t="str">
        <f>IF(CALC_EPM!$B89="","",CALC_EPM!I89)</f>
      </c>
      <c r="J100" t="str">
        <f>IF(CALC_EPM!$B89="","",CALC_EPM!J89)</f>
      </c>
      <c r="K100" t="str">
        <f>IF(CALC_EPM!$B89="","",CALC_EPM!K89)</f>
      </c>
      <c r="L100">
        <f>IF(CALC_EPM!$B89="","",CALC_EPM!L89)</f>
      </c>
      <c r="M100">
        <f>IF(CALC_EPM!$B89="","",CALC_EPM!M89)</f>
      </c>
      <c r="N100">
        <f>IF(CALC_EPM!$B89="","",CALC_EPM!N89)</f>
      </c>
      <c r="O100">
        <f>IF(CALC_EPM!$B89="","",CALC_EPM!O89)</f>
      </c>
      <c r="P100">
        <f>IF(CALC_EPM!$B89="","",CALC_EPM!P89)</f>
      </c>
      <c r="Q100">
        <f>IF(CALC_EPM!$B89="","",CALC_EPM!Q89)</f>
      </c>
      <c r="R100">
        <f>IF(CALC_EPM!$B89="","",CALC_EPM!R89)</f>
      </c>
      <c r="S100">
        <f>IF(CALC_EPM!$B89="","",CALC_EPM!S89)</f>
      </c>
      <c r="T100">
        <f>IF(CALC_EPM!$B89="","",CALC_EPM!T89)</f>
      </c>
      <c r="U100">
        <f>IF(CALC_EPM!$B89="","",CALC_EPM!U89)</f>
      </c>
    </row>
    <row r="101">
      <c r="A101" t="str">
        <f>IF(CALC_EPM!$B90="","",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)</f>
      </c>
      <c r="B101" t="str">
        <f>IF(CALC_EPM!$B90="","",CALC_EPM!A90)</f>
      </c>
      <c r="C101" t="str">
        <f>IF(CALC_EPM!$B90="","",CALC_EPM!B90)</f>
      </c>
      <c r="D101">
        <f>IF(CALC_EPM!$B90="","",CALC_EPM!D90)</f>
      </c>
      <c r="E101" s="10" t="str">
        <f>IF(CALC_EPM!$B90="","",CALC_EPM!E90)</f>
      </c>
      <c r="F101" s="10" t="str">
        <f>IF(CALC_EPM!$B90="","",CALC_EPM!F90)</f>
      </c>
      <c r="G101" t="str">
        <f>IF(CALC_EPM!$B90="","",CALC_EPM!G90)</f>
      </c>
      <c r="H101" s="11" t="str">
        <f>IF(CALC_EPM!$B90="","",CALC_EPM!H90)</f>
      </c>
      <c r="I101" s="11" t="str">
        <f>IF(CALC_EPM!$B90="","",CALC_EPM!I90)</f>
      </c>
      <c r="J101" t="str">
        <f>IF(CALC_EPM!$B90="","",CALC_EPM!J90)</f>
      </c>
      <c r="K101" t="str">
        <f>IF(CALC_EPM!$B90="","",CALC_EPM!K90)</f>
      </c>
      <c r="L101">
        <f>IF(CALC_EPM!$B90="","",CALC_EPM!L90)</f>
      </c>
      <c r="M101">
        <f>IF(CALC_EPM!$B90="","",CALC_EPM!M90)</f>
      </c>
      <c r="N101">
        <f>IF(CALC_EPM!$B90="","",CALC_EPM!N90)</f>
      </c>
      <c r="O101">
        <f>IF(CALC_EPM!$B90="","",CALC_EPM!O90)</f>
      </c>
      <c r="P101">
        <f>IF(CALC_EPM!$B90="","",CALC_EPM!P90)</f>
      </c>
      <c r="Q101">
        <f>IF(CALC_EPM!$B90="","",CALC_EPM!Q90)</f>
      </c>
      <c r="R101">
        <f>IF(CALC_EPM!$B90="","",CALC_EPM!R90)</f>
      </c>
      <c r="S101">
        <f>IF(CALC_EPM!$B90="","",CALC_EPM!S90)</f>
      </c>
      <c r="T101">
        <f>IF(CALC_EPM!$B90="","",CALC_EPM!T90)</f>
      </c>
      <c r="U101">
        <f>IF(CALC_EPM!$B90="","",CALC_EPM!U90)</f>
      </c>
    </row>
    <row r="102">
      <c r="A102" t="str">
        <f>IF(CALC_EPM!$B91="","",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)</f>
      </c>
      <c r="B102" t="str">
        <f>IF(CALC_EPM!$B91="","",CALC_EPM!A91)</f>
      </c>
      <c r="C102" t="str">
        <f>IF(CALC_EPM!$B91="","",CALC_EPM!B91)</f>
      </c>
      <c r="D102">
        <f>IF(CALC_EPM!$B91="","",CALC_EPM!D91)</f>
      </c>
      <c r="E102" s="10" t="str">
        <f>IF(CALC_EPM!$B91="","",CALC_EPM!E91)</f>
      </c>
      <c r="F102" s="10" t="str">
        <f>IF(CALC_EPM!$B91="","",CALC_EPM!F91)</f>
      </c>
      <c r="G102" t="str">
        <f>IF(CALC_EPM!$B91="","",CALC_EPM!G91)</f>
      </c>
      <c r="H102" s="11" t="str">
        <f>IF(CALC_EPM!$B91="","",CALC_EPM!H91)</f>
      </c>
      <c r="I102" s="11" t="str">
        <f>IF(CALC_EPM!$B91="","",CALC_EPM!I91)</f>
      </c>
      <c r="J102" t="str">
        <f>IF(CALC_EPM!$B91="","",CALC_EPM!J91)</f>
      </c>
      <c r="K102" t="str">
        <f>IF(CALC_EPM!$B91="","",CALC_EPM!K91)</f>
      </c>
      <c r="L102">
        <f>IF(CALC_EPM!$B91="","",CALC_EPM!L91)</f>
      </c>
      <c r="M102">
        <f>IF(CALC_EPM!$B91="","",CALC_EPM!M91)</f>
      </c>
      <c r="N102">
        <f>IF(CALC_EPM!$B91="","",CALC_EPM!N91)</f>
      </c>
      <c r="O102">
        <f>IF(CALC_EPM!$B91="","",CALC_EPM!O91)</f>
      </c>
      <c r="P102">
        <f>IF(CALC_EPM!$B91="","",CALC_EPM!P91)</f>
      </c>
      <c r="Q102">
        <f>IF(CALC_EPM!$B91="","",CALC_EPM!Q91)</f>
      </c>
      <c r="R102">
        <f>IF(CALC_EPM!$B91="","",CALC_EPM!R91)</f>
      </c>
      <c r="S102">
        <f>IF(CALC_EPM!$B91="","",CALC_EPM!S91)</f>
      </c>
      <c r="T102">
        <f>IF(CALC_EPM!$B91="","",CALC_EPM!T91)</f>
      </c>
      <c r="U102">
        <f>IF(CALC_EPM!$B91="","",CALC_EPM!U91)</f>
      </c>
    </row>
    <row r="103">
      <c r="A103" t="str">
        <f>IF(CALC_EPM!$B92="","",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)</f>
      </c>
      <c r="B103" t="str">
        <f>IF(CALC_EPM!$B92="","",CALC_EPM!A92)</f>
      </c>
      <c r="C103" t="str">
        <f>IF(CALC_EPM!$B92="","",CALC_EPM!B92)</f>
      </c>
      <c r="D103">
        <f>IF(CALC_EPM!$B92="","",CALC_EPM!D92)</f>
      </c>
      <c r="E103" s="10" t="str">
        <f>IF(CALC_EPM!$B92="","",CALC_EPM!E92)</f>
      </c>
      <c r="F103" s="10" t="str">
        <f>IF(CALC_EPM!$B92="","",CALC_EPM!F92)</f>
      </c>
      <c r="G103" t="str">
        <f>IF(CALC_EPM!$B92="","",CALC_EPM!G92)</f>
      </c>
      <c r="H103" s="11" t="str">
        <f>IF(CALC_EPM!$B92="","",CALC_EPM!H92)</f>
      </c>
      <c r="I103" s="11" t="str">
        <f>IF(CALC_EPM!$B92="","",CALC_EPM!I92)</f>
      </c>
      <c r="J103" t="str">
        <f>IF(CALC_EPM!$B92="","",CALC_EPM!J92)</f>
      </c>
      <c r="K103" t="str">
        <f>IF(CALC_EPM!$B92="","",CALC_EPM!K92)</f>
      </c>
      <c r="L103">
        <f>IF(CALC_EPM!$B92="","",CALC_EPM!L92)</f>
      </c>
      <c r="M103">
        <f>IF(CALC_EPM!$B92="","",CALC_EPM!M92)</f>
      </c>
      <c r="N103">
        <f>IF(CALC_EPM!$B92="","",CALC_EPM!N92)</f>
      </c>
      <c r="O103">
        <f>IF(CALC_EPM!$B92="","",CALC_EPM!O92)</f>
      </c>
      <c r="P103">
        <f>IF(CALC_EPM!$B92="","",CALC_EPM!P92)</f>
      </c>
      <c r="Q103">
        <f>IF(CALC_EPM!$B92="","",CALC_EPM!Q92)</f>
      </c>
      <c r="R103">
        <f>IF(CALC_EPM!$B92="","",CALC_EPM!R92)</f>
      </c>
      <c r="S103">
        <f>IF(CALC_EPM!$B92="","",CALC_EPM!S92)</f>
      </c>
      <c r="T103">
        <f>IF(CALC_EPM!$B92="","",CALC_EPM!T92)</f>
      </c>
      <c r="U103">
        <f>IF(CALC_EPM!$B92="","",CALC_EPM!U92)</f>
      </c>
    </row>
    <row r="104">
      <c r="A104" t="str">
        <f>IF(CALC_EPM!$B93="","",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)</f>
      </c>
      <c r="B104" t="str">
        <f>IF(CALC_EPM!$B93="","",CALC_EPM!A93)</f>
      </c>
      <c r="C104" t="str">
        <f>IF(CALC_EPM!$B93="","",CALC_EPM!B93)</f>
      </c>
      <c r="D104">
        <f>IF(CALC_EPM!$B93="","",CALC_EPM!D93)</f>
      </c>
      <c r="E104" s="10" t="str">
        <f>IF(CALC_EPM!$B93="","",CALC_EPM!E93)</f>
      </c>
      <c r="F104" s="10" t="str">
        <f>IF(CALC_EPM!$B93="","",CALC_EPM!F93)</f>
      </c>
      <c r="G104" t="str">
        <f>IF(CALC_EPM!$B93="","",CALC_EPM!G93)</f>
      </c>
      <c r="H104" s="11" t="str">
        <f>IF(CALC_EPM!$B93="","",CALC_EPM!H93)</f>
      </c>
      <c r="I104" s="11" t="str">
        <f>IF(CALC_EPM!$B93="","",CALC_EPM!I93)</f>
      </c>
      <c r="J104" t="str">
        <f>IF(CALC_EPM!$B93="","",CALC_EPM!J93)</f>
      </c>
      <c r="K104" t="str">
        <f>IF(CALC_EPM!$B93="","",CALC_EPM!K93)</f>
      </c>
      <c r="L104">
        <f>IF(CALC_EPM!$B93="","",CALC_EPM!L93)</f>
      </c>
      <c r="M104">
        <f>IF(CALC_EPM!$B93="","",CALC_EPM!M93)</f>
      </c>
      <c r="N104">
        <f>IF(CALC_EPM!$B93="","",CALC_EPM!N93)</f>
      </c>
      <c r="O104">
        <f>IF(CALC_EPM!$B93="","",CALC_EPM!O93)</f>
      </c>
      <c r="P104">
        <f>IF(CALC_EPM!$B93="","",CALC_EPM!P93)</f>
      </c>
      <c r="Q104">
        <f>IF(CALC_EPM!$B93="","",CALC_EPM!Q93)</f>
      </c>
      <c r="R104">
        <f>IF(CALC_EPM!$B93="","",CALC_EPM!R93)</f>
      </c>
      <c r="S104">
        <f>IF(CALC_EPM!$B93="","",CALC_EPM!S93)</f>
      </c>
      <c r="T104">
        <f>IF(CALC_EPM!$B93="","",CALC_EPM!T93)</f>
      </c>
      <c r="U104">
        <f>IF(CALC_EPM!$B93="","",CALC_EPM!U93)</f>
      </c>
    </row>
    <row r="105">
      <c r="A105" t="str">
        <f>IF(CALC_EPM!$B94="","",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)</f>
      </c>
      <c r="B105" t="str">
        <f>IF(CALC_EPM!$B94="","",CALC_EPM!A94)</f>
      </c>
      <c r="C105" t="str">
        <f>IF(CALC_EPM!$B94="","",CALC_EPM!B94)</f>
      </c>
      <c r="D105">
        <f>IF(CALC_EPM!$B94="","",CALC_EPM!D94)</f>
      </c>
      <c r="E105" s="10" t="str">
        <f>IF(CALC_EPM!$B94="","",CALC_EPM!E94)</f>
      </c>
      <c r="F105" s="10" t="str">
        <f>IF(CALC_EPM!$B94="","",CALC_EPM!F94)</f>
      </c>
      <c r="G105" t="str">
        <f>IF(CALC_EPM!$B94="","",CALC_EPM!G94)</f>
      </c>
      <c r="H105" s="11" t="str">
        <f>IF(CALC_EPM!$B94="","",CALC_EPM!H94)</f>
      </c>
      <c r="I105" s="11" t="str">
        <f>IF(CALC_EPM!$B94="","",CALC_EPM!I94)</f>
      </c>
      <c r="J105" t="str">
        <f>IF(CALC_EPM!$B94="","",CALC_EPM!J94)</f>
      </c>
      <c r="K105" t="str">
        <f>IF(CALC_EPM!$B94="","",CALC_EPM!K94)</f>
      </c>
      <c r="L105">
        <f>IF(CALC_EPM!$B94="","",CALC_EPM!L94)</f>
      </c>
      <c r="M105">
        <f>IF(CALC_EPM!$B94="","",CALC_EPM!M94)</f>
      </c>
      <c r="N105">
        <f>IF(CALC_EPM!$B94="","",CALC_EPM!N94)</f>
      </c>
      <c r="O105">
        <f>IF(CALC_EPM!$B94="","",CALC_EPM!O94)</f>
      </c>
      <c r="P105">
        <f>IF(CALC_EPM!$B94="","",CALC_EPM!P94)</f>
      </c>
      <c r="Q105">
        <f>IF(CALC_EPM!$B94="","",CALC_EPM!Q94)</f>
      </c>
      <c r="R105">
        <f>IF(CALC_EPM!$B94="","",CALC_EPM!R94)</f>
      </c>
      <c r="S105">
        <f>IF(CALC_EPM!$B94="","",CALC_EPM!S94)</f>
      </c>
      <c r="T105">
        <f>IF(CALC_EPM!$B94="","",CALC_EPM!T94)</f>
      </c>
      <c r="U105">
        <f>IF(CALC_EPM!$B94="","",CALC_EPM!U94)</f>
      </c>
    </row>
    <row r="106">
      <c r="A106" t="str">
        <f>IF(CALC_EPM!$B95="","",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)</f>
      </c>
      <c r="B106" t="str">
        <f>IF(CALC_EPM!$B95="","",CALC_EPM!A95)</f>
      </c>
      <c r="C106" t="str">
        <f>IF(CALC_EPM!$B95="","",CALC_EPM!B95)</f>
      </c>
      <c r="D106">
        <f>IF(CALC_EPM!$B95="","",CALC_EPM!D95)</f>
      </c>
      <c r="E106" s="10" t="str">
        <f>IF(CALC_EPM!$B95="","",CALC_EPM!E95)</f>
      </c>
      <c r="F106" s="10" t="str">
        <f>IF(CALC_EPM!$B95="","",CALC_EPM!F95)</f>
      </c>
      <c r="G106" t="str">
        <f>IF(CALC_EPM!$B95="","",CALC_EPM!G95)</f>
      </c>
      <c r="H106" s="11" t="str">
        <f>IF(CALC_EPM!$B95="","",CALC_EPM!H95)</f>
      </c>
      <c r="I106" s="11" t="str">
        <f>IF(CALC_EPM!$B95="","",CALC_EPM!I95)</f>
      </c>
      <c r="J106" t="str">
        <f>IF(CALC_EPM!$B95="","",CALC_EPM!J95)</f>
      </c>
      <c r="K106" t="str">
        <f>IF(CALC_EPM!$B95="","",CALC_EPM!K95)</f>
      </c>
      <c r="L106">
        <f>IF(CALC_EPM!$B95="","",CALC_EPM!L95)</f>
      </c>
      <c r="M106">
        <f>IF(CALC_EPM!$B95="","",CALC_EPM!M95)</f>
      </c>
      <c r="N106">
        <f>IF(CALC_EPM!$B95="","",CALC_EPM!N95)</f>
      </c>
      <c r="O106">
        <f>IF(CALC_EPM!$B95="","",CALC_EPM!O95)</f>
      </c>
      <c r="P106">
        <f>IF(CALC_EPM!$B95="","",CALC_EPM!P95)</f>
      </c>
      <c r="Q106">
        <f>IF(CALC_EPM!$B95="","",CALC_EPM!Q95)</f>
      </c>
      <c r="R106">
        <f>IF(CALC_EPM!$B95="","",CALC_EPM!R95)</f>
      </c>
      <c r="S106">
        <f>IF(CALC_EPM!$B95="","",CALC_EPM!S95)</f>
      </c>
      <c r="T106">
        <f>IF(CALC_EPM!$B95="","",CALC_EPM!T95)</f>
      </c>
      <c r="U106">
        <f>IF(CALC_EPM!$B95="","",CALC_EPM!U95)</f>
      </c>
    </row>
    <row r="107">
      <c r="A107" t="str">
        <f>IF(CALC_EPM!$B96="","",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)</f>
      </c>
      <c r="B107" t="str">
        <f>IF(CALC_EPM!$B96="","",CALC_EPM!A96)</f>
      </c>
      <c r="C107" t="str">
        <f>IF(CALC_EPM!$B96="","",CALC_EPM!B96)</f>
      </c>
      <c r="D107">
        <f>IF(CALC_EPM!$B96="","",CALC_EPM!D96)</f>
      </c>
      <c r="E107" s="10" t="str">
        <f>IF(CALC_EPM!$B96="","",CALC_EPM!E96)</f>
      </c>
      <c r="F107" s="10" t="str">
        <f>IF(CALC_EPM!$B96="","",CALC_EPM!F96)</f>
      </c>
      <c r="G107" t="str">
        <f>IF(CALC_EPM!$B96="","",CALC_EPM!G96)</f>
      </c>
      <c r="H107" s="11" t="str">
        <f>IF(CALC_EPM!$B96="","",CALC_EPM!H96)</f>
      </c>
      <c r="I107" s="11" t="str">
        <f>IF(CALC_EPM!$B96="","",CALC_EPM!I96)</f>
      </c>
      <c r="J107" t="str">
        <f>IF(CALC_EPM!$B96="","",CALC_EPM!J96)</f>
      </c>
      <c r="K107" t="str">
        <f>IF(CALC_EPM!$B96="","",CALC_EPM!K96)</f>
      </c>
      <c r="L107">
        <f>IF(CALC_EPM!$B96="","",CALC_EPM!L96)</f>
      </c>
      <c r="M107">
        <f>IF(CALC_EPM!$B96="","",CALC_EPM!M96)</f>
      </c>
      <c r="N107">
        <f>IF(CALC_EPM!$B96="","",CALC_EPM!N96)</f>
      </c>
      <c r="O107">
        <f>IF(CALC_EPM!$B96="","",CALC_EPM!O96)</f>
      </c>
      <c r="P107">
        <f>IF(CALC_EPM!$B96="","",CALC_EPM!P96)</f>
      </c>
      <c r="Q107">
        <f>IF(CALC_EPM!$B96="","",CALC_EPM!Q96)</f>
      </c>
      <c r="R107">
        <f>IF(CALC_EPM!$B96="","",CALC_EPM!R96)</f>
      </c>
      <c r="S107">
        <f>IF(CALC_EPM!$B96="","",CALC_EPM!S96)</f>
      </c>
      <c r="T107">
        <f>IF(CALC_EPM!$B96="","",CALC_EPM!T96)</f>
      </c>
      <c r="U107">
        <f>IF(CALC_EPM!$B96="","",CALC_EPM!U96)</f>
      </c>
    </row>
    <row r="108">
      <c r="A108" t="str">
        <f>IF(CALC_EPM!$B97="","",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)</f>
      </c>
      <c r="B108" t="str">
        <f>IF(CALC_EPM!$B97="","",CALC_EPM!A97)</f>
      </c>
      <c r="C108" t="str">
        <f>IF(CALC_EPM!$B97="","",CALC_EPM!B97)</f>
      </c>
      <c r="D108">
        <f>IF(CALC_EPM!$B97="","",CALC_EPM!D97)</f>
      </c>
      <c r="E108" s="10" t="str">
        <f>IF(CALC_EPM!$B97="","",CALC_EPM!E97)</f>
      </c>
      <c r="F108" s="10" t="str">
        <f>IF(CALC_EPM!$B97="","",CALC_EPM!F97)</f>
      </c>
      <c r="G108" t="str">
        <f>IF(CALC_EPM!$B97="","",CALC_EPM!G97)</f>
      </c>
      <c r="H108" s="11" t="str">
        <f>IF(CALC_EPM!$B97="","",CALC_EPM!H97)</f>
      </c>
      <c r="I108" s="11" t="str">
        <f>IF(CALC_EPM!$B97="","",CALC_EPM!I97)</f>
      </c>
      <c r="J108" t="str">
        <f>IF(CALC_EPM!$B97="","",CALC_EPM!J97)</f>
      </c>
      <c r="K108" t="str">
        <f>IF(CALC_EPM!$B97="","",CALC_EPM!K97)</f>
      </c>
      <c r="L108">
        <f>IF(CALC_EPM!$B97="","",CALC_EPM!L97)</f>
      </c>
      <c r="M108">
        <f>IF(CALC_EPM!$B97="","",CALC_EPM!M97)</f>
      </c>
      <c r="N108">
        <f>IF(CALC_EPM!$B97="","",CALC_EPM!N97)</f>
      </c>
      <c r="O108">
        <f>IF(CALC_EPM!$B97="","",CALC_EPM!O97)</f>
      </c>
      <c r="P108">
        <f>IF(CALC_EPM!$B97="","",CALC_EPM!P97)</f>
      </c>
      <c r="Q108">
        <f>IF(CALC_EPM!$B97="","",CALC_EPM!Q97)</f>
      </c>
      <c r="R108">
        <f>IF(CALC_EPM!$B97="","",CALC_EPM!R97)</f>
      </c>
      <c r="S108">
        <f>IF(CALC_EPM!$B97="","",CALC_EPM!S97)</f>
      </c>
      <c r="T108">
        <f>IF(CALC_EPM!$B97="","",CALC_EPM!T97)</f>
      </c>
      <c r="U108">
        <f>IF(CALC_EPM!$B97="","",CALC_EPM!U97)</f>
      </c>
    </row>
    <row r="109">
      <c r="A109" t="str">
        <f>IF(CALC_EPM!$B98="","",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)</f>
      </c>
      <c r="B109" t="str">
        <f>IF(CALC_EPM!$B98="","",CALC_EPM!A98)</f>
      </c>
      <c r="C109" t="str">
        <f>IF(CALC_EPM!$B98="","",CALC_EPM!B98)</f>
      </c>
      <c r="D109">
        <f>IF(CALC_EPM!$B98="","",CALC_EPM!D98)</f>
      </c>
      <c r="E109" s="10" t="str">
        <f>IF(CALC_EPM!$B98="","",CALC_EPM!E98)</f>
      </c>
      <c r="F109" s="10" t="str">
        <f>IF(CALC_EPM!$B98="","",CALC_EPM!F98)</f>
      </c>
      <c r="G109" t="str">
        <f>IF(CALC_EPM!$B98="","",CALC_EPM!G98)</f>
      </c>
      <c r="H109" s="11" t="str">
        <f>IF(CALC_EPM!$B98="","",CALC_EPM!H98)</f>
      </c>
      <c r="I109" s="11" t="str">
        <f>IF(CALC_EPM!$B98="","",CALC_EPM!I98)</f>
      </c>
      <c r="J109" t="str">
        <f>IF(CALC_EPM!$B98="","",CALC_EPM!J98)</f>
      </c>
      <c r="K109" t="str">
        <f>IF(CALC_EPM!$B98="","",CALC_EPM!K98)</f>
      </c>
      <c r="L109">
        <f>IF(CALC_EPM!$B98="","",CALC_EPM!L98)</f>
      </c>
      <c r="M109">
        <f>IF(CALC_EPM!$B98="","",CALC_EPM!M98)</f>
      </c>
      <c r="N109">
        <f>IF(CALC_EPM!$B98="","",CALC_EPM!N98)</f>
      </c>
      <c r="O109">
        <f>IF(CALC_EPM!$B98="","",CALC_EPM!O98)</f>
      </c>
      <c r="P109">
        <f>IF(CALC_EPM!$B98="","",CALC_EPM!P98)</f>
      </c>
      <c r="Q109">
        <f>IF(CALC_EPM!$B98="","",CALC_EPM!Q98)</f>
      </c>
      <c r="R109">
        <f>IF(CALC_EPM!$B98="","",CALC_EPM!R98)</f>
      </c>
      <c r="S109">
        <f>IF(CALC_EPM!$B98="","",CALC_EPM!S98)</f>
      </c>
      <c r="T109">
        <f>IF(CALC_EPM!$B98="","",CALC_EPM!T98)</f>
      </c>
      <c r="U109">
        <f>IF(CALC_EPM!$B98="","",CALC_EPM!U98)</f>
      </c>
    </row>
    <row r="110">
      <c r="A110" t="str">
        <f>IF(CALC_EPM!$B99="","",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)</f>
      </c>
      <c r="B110" t="str">
        <f>IF(CALC_EPM!$B99="","",CALC_EPM!A99)</f>
      </c>
      <c r="C110" t="str">
        <f>IF(CALC_EPM!$B99="","",CALC_EPM!B99)</f>
      </c>
      <c r="D110">
        <f>IF(CALC_EPM!$B99="","",CALC_EPM!D99)</f>
      </c>
      <c r="E110" s="10" t="str">
        <f>IF(CALC_EPM!$B99="","",CALC_EPM!E99)</f>
      </c>
      <c r="F110" s="10" t="str">
        <f>IF(CALC_EPM!$B99="","",CALC_EPM!F99)</f>
      </c>
      <c r="G110" t="str">
        <f>IF(CALC_EPM!$B99="","",CALC_EPM!G99)</f>
      </c>
      <c r="H110" s="11" t="str">
        <f>IF(CALC_EPM!$B99="","",CALC_EPM!H99)</f>
      </c>
      <c r="I110" s="11" t="str">
        <f>IF(CALC_EPM!$B99="","",CALC_EPM!I99)</f>
      </c>
      <c r="J110" t="str">
        <f>IF(CALC_EPM!$B99="","",CALC_EPM!J99)</f>
      </c>
      <c r="K110" t="str">
        <f>IF(CALC_EPM!$B99="","",CALC_EPM!K99)</f>
      </c>
      <c r="L110">
        <f>IF(CALC_EPM!$B99="","",CALC_EPM!L99)</f>
      </c>
      <c r="M110">
        <f>IF(CALC_EPM!$B99="","",CALC_EPM!M99)</f>
      </c>
      <c r="N110">
        <f>IF(CALC_EPM!$B99="","",CALC_EPM!N99)</f>
      </c>
      <c r="O110">
        <f>IF(CALC_EPM!$B99="","",CALC_EPM!O99)</f>
      </c>
      <c r="P110">
        <f>IF(CALC_EPM!$B99="","",CALC_EPM!P99)</f>
      </c>
      <c r="Q110">
        <f>IF(CALC_EPM!$B99="","",CALC_EPM!Q99)</f>
      </c>
      <c r="R110">
        <f>IF(CALC_EPM!$B99="","",CALC_EPM!R99)</f>
      </c>
      <c r="S110">
        <f>IF(CALC_EPM!$B99="","",CALC_EPM!S99)</f>
      </c>
      <c r="T110">
        <f>IF(CALC_EPM!$B99="","",CALC_EPM!T99)</f>
      </c>
      <c r="U110">
        <f>IF(CALC_EPM!$B99="","",CALC_EPM!U99)</f>
      </c>
    </row>
    <row r="111">
      <c r="A111" t="str">
        <f>IF(CALC_EPM!$B100="","",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)</f>
      </c>
      <c r="B111" t="str">
        <f>IF(CALC_EPM!$B100="","",CALC_EPM!A100)</f>
      </c>
      <c r="C111" t="str">
        <f>IF(CALC_EPM!$B100="","",CALC_EPM!B100)</f>
      </c>
      <c r="D111">
        <f>IF(CALC_EPM!$B100="","",CALC_EPM!D100)</f>
      </c>
      <c r="E111" s="10" t="str">
        <f>IF(CALC_EPM!$B100="","",CALC_EPM!E100)</f>
      </c>
      <c r="F111" s="10" t="str">
        <f>IF(CALC_EPM!$B100="","",CALC_EPM!F100)</f>
      </c>
      <c r="G111" t="str">
        <f>IF(CALC_EPM!$B100="","",CALC_EPM!G100)</f>
      </c>
      <c r="H111" s="11" t="str">
        <f>IF(CALC_EPM!$B100="","",CALC_EPM!H100)</f>
      </c>
      <c r="I111" s="11" t="str">
        <f>IF(CALC_EPM!$B100="","",CALC_EPM!I100)</f>
      </c>
      <c r="J111" t="str">
        <f>IF(CALC_EPM!$B100="","",CALC_EPM!J100)</f>
      </c>
      <c r="K111" t="str">
        <f>IF(CALC_EPM!$B100="","",CALC_EPM!K100)</f>
      </c>
      <c r="L111">
        <f>IF(CALC_EPM!$B100="","",CALC_EPM!L100)</f>
      </c>
      <c r="M111">
        <f>IF(CALC_EPM!$B100="","",CALC_EPM!M100)</f>
      </c>
      <c r="N111">
        <f>IF(CALC_EPM!$B100="","",CALC_EPM!N100)</f>
      </c>
      <c r="O111">
        <f>IF(CALC_EPM!$B100="","",CALC_EPM!O100)</f>
      </c>
      <c r="P111">
        <f>IF(CALC_EPM!$B100="","",CALC_EPM!P100)</f>
      </c>
      <c r="Q111">
        <f>IF(CALC_EPM!$B100="","",CALC_EPM!Q100)</f>
      </c>
      <c r="R111">
        <f>IF(CALC_EPM!$B100="","",CALC_EPM!R100)</f>
      </c>
      <c r="S111">
        <f>IF(CALC_EPM!$B100="","",CALC_EPM!S100)</f>
      </c>
      <c r="T111">
        <f>IF(CALC_EPM!$B100="","",CALC_EPM!T100)</f>
      </c>
      <c r="U111">
        <f>IF(CALC_EPM!$B100="","",CALC_EPM!U100)</f>
      </c>
    </row>
    <row r="112">
      <c r="A112" t="str">
        <f>IF(CALC_EPM!$B101="","",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)</f>
      </c>
      <c r="B112" t="str">
        <f>IF(CALC_EPM!$B101="","",CALC_EPM!A101)</f>
      </c>
      <c r="C112" t="str">
        <f>IF(CALC_EPM!$B101="","",CALC_EPM!B101)</f>
      </c>
      <c r="D112">
        <f>IF(CALC_EPM!$B101="","",CALC_EPM!D101)</f>
      </c>
      <c r="E112" s="10" t="str">
        <f>IF(CALC_EPM!$B101="","",CALC_EPM!E101)</f>
      </c>
      <c r="F112" s="10" t="str">
        <f>IF(CALC_EPM!$B101="","",CALC_EPM!F101)</f>
      </c>
      <c r="G112" t="str">
        <f>IF(CALC_EPM!$B101="","",CALC_EPM!G101)</f>
      </c>
      <c r="H112" s="11" t="str">
        <f>IF(CALC_EPM!$B101="","",CALC_EPM!H101)</f>
      </c>
      <c r="I112" s="11" t="str">
        <f>IF(CALC_EPM!$B101="","",CALC_EPM!I101)</f>
      </c>
      <c r="J112" t="str">
        <f>IF(CALC_EPM!$B101="","",CALC_EPM!J101)</f>
      </c>
      <c r="K112" t="str">
        <f>IF(CALC_EPM!$B101="","",CALC_EPM!K101)</f>
      </c>
      <c r="L112">
        <f>IF(CALC_EPM!$B101="","",CALC_EPM!L101)</f>
      </c>
      <c r="M112">
        <f>IF(CALC_EPM!$B101="","",CALC_EPM!M101)</f>
      </c>
      <c r="N112">
        <f>IF(CALC_EPM!$B101="","",CALC_EPM!N101)</f>
      </c>
      <c r="O112">
        <f>IF(CALC_EPM!$B101="","",CALC_EPM!O101)</f>
      </c>
      <c r="P112">
        <f>IF(CALC_EPM!$B101="","",CALC_EPM!P101)</f>
      </c>
      <c r="Q112">
        <f>IF(CALC_EPM!$B101="","",CALC_EPM!Q101)</f>
      </c>
      <c r="R112">
        <f>IF(CALC_EPM!$B101="","",CALC_EPM!R101)</f>
      </c>
      <c r="S112">
        <f>IF(CALC_EPM!$B101="","",CALC_EPM!S101)</f>
      </c>
      <c r="T112">
        <f>IF(CALC_EPM!$B101="","",CALC_EPM!T101)</f>
      </c>
      <c r="U112">
        <f>IF(CALC_EPM!$B101="","",CALC_EPM!U101)</f>
      </c>
    </row>
    <row r="113">
      <c r="A113" t="str">
        <f>IF(CALC_EPM!$B102="","",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)</f>
      </c>
      <c r="B113" t="str">
        <f>IF(CALC_EPM!$B102="","",CALC_EPM!A102)</f>
      </c>
      <c r="C113" t="str">
        <f>IF(CALC_EPM!$B102="","",CALC_EPM!B102)</f>
      </c>
      <c r="D113">
        <f>IF(CALC_EPM!$B102="","",CALC_EPM!D102)</f>
      </c>
      <c r="E113" s="10" t="str">
        <f>IF(CALC_EPM!$B102="","",CALC_EPM!E102)</f>
      </c>
      <c r="F113" s="10" t="str">
        <f>IF(CALC_EPM!$B102="","",CALC_EPM!F102)</f>
      </c>
      <c r="G113" t="str">
        <f>IF(CALC_EPM!$B102="","",CALC_EPM!G102)</f>
      </c>
      <c r="H113" s="11" t="str">
        <f>IF(CALC_EPM!$B102="","",CALC_EPM!H102)</f>
      </c>
      <c r="I113" s="11" t="str">
        <f>IF(CALC_EPM!$B102="","",CALC_EPM!I102)</f>
      </c>
      <c r="J113" t="str">
        <f>IF(CALC_EPM!$B102="","",CALC_EPM!J102)</f>
      </c>
      <c r="K113" t="str">
        <f>IF(CALC_EPM!$B102="","",CALC_EPM!K102)</f>
      </c>
      <c r="L113">
        <f>IF(CALC_EPM!$B102="","",CALC_EPM!L102)</f>
      </c>
      <c r="M113">
        <f>IF(CALC_EPM!$B102="","",CALC_EPM!M102)</f>
      </c>
      <c r="N113">
        <f>IF(CALC_EPM!$B102="","",CALC_EPM!N102)</f>
      </c>
      <c r="O113">
        <f>IF(CALC_EPM!$B102="","",CALC_EPM!O102)</f>
      </c>
      <c r="P113">
        <f>IF(CALC_EPM!$B102="","",CALC_EPM!P102)</f>
      </c>
      <c r="Q113">
        <f>IF(CALC_EPM!$B102="","",CALC_EPM!Q102)</f>
      </c>
      <c r="R113">
        <f>IF(CALC_EPM!$B102="","",CALC_EPM!R102)</f>
      </c>
      <c r="S113">
        <f>IF(CALC_EPM!$B102="","",CALC_EPM!S102)</f>
      </c>
      <c r="T113">
        <f>IF(CALC_EPM!$B102="","",CALC_EPM!T102)</f>
      </c>
      <c r="U113">
        <f>IF(CALC_EPM!$B102="","",CALC_EPM!U102)</f>
      </c>
    </row>
    <row r="114">
      <c r="A114" t="str">
        <f>IF(CALC_EPM!$B103="","",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)</f>
      </c>
      <c r="B114" t="str">
        <f>IF(CALC_EPM!$B103="","",CALC_EPM!A103)</f>
      </c>
      <c r="C114" t="str">
        <f>IF(CALC_EPM!$B103="","",CALC_EPM!B103)</f>
      </c>
      <c r="D114">
        <f>IF(CALC_EPM!$B103="","",CALC_EPM!D103)</f>
      </c>
      <c r="E114" s="10" t="str">
        <f>IF(CALC_EPM!$B103="","",CALC_EPM!E103)</f>
      </c>
      <c r="F114" s="10" t="str">
        <f>IF(CALC_EPM!$B103="","",CALC_EPM!F103)</f>
      </c>
      <c r="G114" t="str">
        <f>IF(CALC_EPM!$B103="","",CALC_EPM!G103)</f>
      </c>
      <c r="H114" s="11" t="str">
        <f>IF(CALC_EPM!$B103="","",CALC_EPM!H103)</f>
      </c>
      <c r="I114" s="11" t="str">
        <f>IF(CALC_EPM!$B103="","",CALC_EPM!I103)</f>
      </c>
      <c r="J114" t="str">
        <f>IF(CALC_EPM!$B103="","",CALC_EPM!J103)</f>
      </c>
      <c r="K114" t="str">
        <f>IF(CALC_EPM!$B103="","",CALC_EPM!K103)</f>
      </c>
      <c r="L114">
        <f>IF(CALC_EPM!$B103="","",CALC_EPM!L103)</f>
      </c>
      <c r="M114">
        <f>IF(CALC_EPM!$B103="","",CALC_EPM!M103)</f>
      </c>
      <c r="N114">
        <f>IF(CALC_EPM!$B103="","",CALC_EPM!N103)</f>
      </c>
      <c r="O114">
        <f>IF(CALC_EPM!$B103="","",CALC_EPM!O103)</f>
      </c>
      <c r="P114">
        <f>IF(CALC_EPM!$B103="","",CALC_EPM!P103)</f>
      </c>
      <c r="Q114">
        <f>IF(CALC_EPM!$B103="","",CALC_EPM!Q103)</f>
      </c>
      <c r="R114">
        <f>IF(CALC_EPM!$B103="","",CALC_EPM!R103)</f>
      </c>
      <c r="S114">
        <f>IF(CALC_EPM!$B103="","",CALC_EPM!S103)</f>
      </c>
      <c r="T114">
        <f>IF(CALC_EPM!$B103="","",CALC_EPM!T103)</f>
      </c>
      <c r="U114">
        <f>IF(CALC_EPM!$B103="","",CALC_EPM!U103)</f>
      </c>
    </row>
    <row r="115">
      <c r="A115" t="str">
        <f>IF(CALC_EPM!$B104="","",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)</f>
      </c>
      <c r="B115" t="str">
        <f>IF(CALC_EPM!$B104="","",CALC_EPM!A104)</f>
      </c>
      <c r="C115" t="str">
        <f>IF(CALC_EPM!$B104="","",CALC_EPM!B104)</f>
      </c>
      <c r="D115">
        <f>IF(CALC_EPM!$B104="","",CALC_EPM!D104)</f>
      </c>
      <c r="E115" s="10" t="str">
        <f>IF(CALC_EPM!$B104="","",CALC_EPM!E104)</f>
      </c>
      <c r="F115" s="10" t="str">
        <f>IF(CALC_EPM!$B104="","",CALC_EPM!F104)</f>
      </c>
      <c r="G115" t="str">
        <f>IF(CALC_EPM!$B104="","",CALC_EPM!G104)</f>
      </c>
      <c r="H115" s="11" t="str">
        <f>IF(CALC_EPM!$B104="","",CALC_EPM!H104)</f>
      </c>
      <c r="I115" s="11" t="str">
        <f>IF(CALC_EPM!$B104="","",CALC_EPM!I104)</f>
      </c>
      <c r="J115" t="str">
        <f>IF(CALC_EPM!$B104="","",CALC_EPM!J104)</f>
      </c>
      <c r="K115" t="str">
        <f>IF(CALC_EPM!$B104="","",CALC_EPM!K104)</f>
      </c>
      <c r="L115">
        <f>IF(CALC_EPM!$B104="","",CALC_EPM!L104)</f>
      </c>
      <c r="M115">
        <f>IF(CALC_EPM!$B104="","",CALC_EPM!M104)</f>
      </c>
      <c r="N115">
        <f>IF(CALC_EPM!$B104="","",CALC_EPM!N104)</f>
      </c>
      <c r="O115">
        <f>IF(CALC_EPM!$B104="","",CALC_EPM!O104)</f>
      </c>
      <c r="P115">
        <f>IF(CALC_EPM!$B104="","",CALC_EPM!P104)</f>
      </c>
      <c r="Q115">
        <f>IF(CALC_EPM!$B104="","",CALC_EPM!Q104)</f>
      </c>
      <c r="R115">
        <f>IF(CALC_EPM!$B104="","",CALC_EPM!R104)</f>
      </c>
      <c r="S115">
        <f>IF(CALC_EPM!$B104="","",CALC_EPM!S104)</f>
      </c>
      <c r="T115">
        <f>IF(CALC_EPM!$B104="","",CALC_EPM!T104)</f>
      </c>
      <c r="U115">
        <f>IF(CALC_EPM!$B104="","",CALC_EPM!U104)</f>
      </c>
    </row>
    <row r="116">
      <c r="A116" t="str">
        <f>IF(CALC_EPM!$B105="","",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)</f>
      </c>
      <c r="B116" t="str">
        <f>IF(CALC_EPM!$B105="","",CALC_EPM!A105)</f>
      </c>
      <c r="C116" t="str">
        <f>IF(CALC_EPM!$B105="","",CALC_EPM!B105)</f>
      </c>
      <c r="D116">
        <f>IF(CALC_EPM!$B105="","",CALC_EPM!D105)</f>
      </c>
      <c r="E116" s="10" t="str">
        <f>IF(CALC_EPM!$B105="","",CALC_EPM!E105)</f>
      </c>
      <c r="F116" s="10" t="str">
        <f>IF(CALC_EPM!$B105="","",CALC_EPM!F105)</f>
      </c>
      <c r="G116" t="str">
        <f>IF(CALC_EPM!$B105="","",CALC_EPM!G105)</f>
      </c>
      <c r="H116" s="11" t="str">
        <f>IF(CALC_EPM!$B105="","",CALC_EPM!H105)</f>
      </c>
      <c r="I116" s="11" t="str">
        <f>IF(CALC_EPM!$B105="","",CALC_EPM!I105)</f>
      </c>
      <c r="J116" t="str">
        <f>IF(CALC_EPM!$B105="","",CALC_EPM!J105)</f>
      </c>
      <c r="K116" t="str">
        <f>IF(CALC_EPM!$B105="","",CALC_EPM!K105)</f>
      </c>
      <c r="L116">
        <f>IF(CALC_EPM!$B105="","",CALC_EPM!L105)</f>
      </c>
      <c r="M116">
        <f>IF(CALC_EPM!$B105="","",CALC_EPM!M105)</f>
      </c>
      <c r="N116">
        <f>IF(CALC_EPM!$B105="","",CALC_EPM!N105)</f>
      </c>
      <c r="O116">
        <f>IF(CALC_EPM!$B105="","",CALC_EPM!O105)</f>
      </c>
      <c r="P116">
        <f>IF(CALC_EPM!$B105="","",CALC_EPM!P105)</f>
      </c>
      <c r="Q116">
        <f>IF(CALC_EPM!$B105="","",CALC_EPM!Q105)</f>
      </c>
      <c r="R116">
        <f>IF(CALC_EPM!$B105="","",CALC_EPM!R105)</f>
      </c>
      <c r="S116">
        <f>IF(CALC_EPM!$B105="","",CALC_EPM!S105)</f>
      </c>
      <c r="T116">
        <f>IF(CALC_EPM!$B105="","",CALC_EPM!T105)</f>
      </c>
      <c r="U116">
        <f>IF(CALC_EPM!$B105="","",CALC_EPM!U105)</f>
      </c>
    </row>
    <row r="117">
      <c r="A117" t="str">
        <f>IF(CALC_EPM!$B106="","",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)</f>
      </c>
      <c r="B117" t="str">
        <f>IF(CALC_EPM!$B106="","",CALC_EPM!A106)</f>
      </c>
      <c r="C117" t="str">
        <f>IF(CALC_EPM!$B106="","",CALC_EPM!B106)</f>
      </c>
      <c r="D117">
        <f>IF(CALC_EPM!$B106="","",CALC_EPM!D106)</f>
      </c>
      <c r="E117" s="10" t="str">
        <f>IF(CALC_EPM!$B106="","",CALC_EPM!E106)</f>
      </c>
      <c r="F117" s="10" t="str">
        <f>IF(CALC_EPM!$B106="","",CALC_EPM!F106)</f>
      </c>
      <c r="G117" t="str">
        <f>IF(CALC_EPM!$B106="","",CALC_EPM!G106)</f>
      </c>
      <c r="H117" s="11" t="str">
        <f>IF(CALC_EPM!$B106="","",CALC_EPM!H106)</f>
      </c>
      <c r="I117" s="11" t="str">
        <f>IF(CALC_EPM!$B106="","",CALC_EPM!I106)</f>
      </c>
      <c r="J117" t="str">
        <f>IF(CALC_EPM!$B106="","",CALC_EPM!J106)</f>
      </c>
      <c r="K117" t="str">
        <f>IF(CALC_EPM!$B106="","",CALC_EPM!K106)</f>
      </c>
      <c r="L117">
        <f>IF(CALC_EPM!$B106="","",CALC_EPM!L106)</f>
      </c>
      <c r="M117">
        <f>IF(CALC_EPM!$B106="","",CALC_EPM!M106)</f>
      </c>
      <c r="N117">
        <f>IF(CALC_EPM!$B106="","",CALC_EPM!N106)</f>
      </c>
      <c r="O117">
        <f>IF(CALC_EPM!$B106="","",CALC_EPM!O106)</f>
      </c>
      <c r="P117">
        <f>IF(CALC_EPM!$B106="","",CALC_EPM!P106)</f>
      </c>
      <c r="Q117">
        <f>IF(CALC_EPM!$B106="","",CALC_EPM!Q106)</f>
      </c>
      <c r="R117">
        <f>IF(CALC_EPM!$B106="","",CALC_EPM!R106)</f>
      </c>
      <c r="S117">
        <f>IF(CALC_EPM!$B106="","",CALC_EPM!S106)</f>
      </c>
      <c r="T117">
        <f>IF(CALC_EPM!$B106="","",CALC_EPM!T106)</f>
      </c>
      <c r="U117">
        <f>IF(CALC_EPM!$B106="","",CALC_EPM!U106)</f>
      </c>
    </row>
    <row r="118">
      <c r="A118" t="str">
        <f>IF(CALC_EPM!$B107="","",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)</f>
      </c>
      <c r="B118" t="str">
        <f>IF(CALC_EPM!$B107="","",CALC_EPM!A107)</f>
      </c>
      <c r="C118" t="str">
        <f>IF(CALC_EPM!$B107="","",CALC_EPM!B107)</f>
      </c>
      <c r="D118">
        <f>IF(CALC_EPM!$B107="","",CALC_EPM!D107)</f>
      </c>
      <c r="E118" s="10" t="str">
        <f>IF(CALC_EPM!$B107="","",CALC_EPM!E107)</f>
      </c>
      <c r="F118" s="10" t="str">
        <f>IF(CALC_EPM!$B107="","",CALC_EPM!F107)</f>
      </c>
      <c r="G118" t="str">
        <f>IF(CALC_EPM!$B107="","",CALC_EPM!G107)</f>
      </c>
      <c r="H118" s="11" t="str">
        <f>IF(CALC_EPM!$B107="","",CALC_EPM!H107)</f>
      </c>
      <c r="I118" s="11" t="str">
        <f>IF(CALC_EPM!$B107="","",CALC_EPM!I107)</f>
      </c>
      <c r="J118" t="str">
        <f>IF(CALC_EPM!$B107="","",CALC_EPM!J107)</f>
      </c>
      <c r="K118" t="str">
        <f>IF(CALC_EPM!$B107="","",CALC_EPM!K107)</f>
      </c>
      <c r="L118">
        <f>IF(CALC_EPM!$B107="","",CALC_EPM!L107)</f>
      </c>
      <c r="M118">
        <f>IF(CALC_EPM!$B107="","",CALC_EPM!M107)</f>
      </c>
      <c r="N118">
        <f>IF(CALC_EPM!$B107="","",CALC_EPM!N107)</f>
      </c>
      <c r="O118">
        <f>IF(CALC_EPM!$B107="","",CALC_EPM!O107)</f>
      </c>
      <c r="P118">
        <f>IF(CALC_EPM!$B107="","",CALC_EPM!P107)</f>
      </c>
      <c r="Q118">
        <f>IF(CALC_EPM!$B107="","",CALC_EPM!Q107)</f>
      </c>
      <c r="R118">
        <f>IF(CALC_EPM!$B107="","",CALC_EPM!R107)</f>
      </c>
      <c r="S118">
        <f>IF(CALC_EPM!$B107="","",CALC_EPM!S107)</f>
      </c>
      <c r="T118">
        <f>IF(CALC_EPM!$B107="","",CALC_EPM!T107)</f>
      </c>
      <c r="U118">
        <f>IF(CALC_EPM!$B107="","",CALC_EPM!U107)</f>
      </c>
    </row>
    <row r="119">
      <c r="A119" t="str">
        <f>IF(CALC_EPM!$B108="","",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)</f>
      </c>
      <c r="B119" t="str">
        <f>IF(CALC_EPM!$B108="","",CALC_EPM!A108)</f>
      </c>
      <c r="C119" t="str">
        <f>IF(CALC_EPM!$B108="","",CALC_EPM!B108)</f>
      </c>
      <c r="D119">
        <f>IF(CALC_EPM!$B108="","",CALC_EPM!D108)</f>
      </c>
      <c r="E119" s="10" t="str">
        <f>IF(CALC_EPM!$B108="","",CALC_EPM!E108)</f>
      </c>
      <c r="F119" s="10" t="str">
        <f>IF(CALC_EPM!$B108="","",CALC_EPM!F108)</f>
      </c>
      <c r="G119" t="str">
        <f>IF(CALC_EPM!$B108="","",CALC_EPM!G108)</f>
      </c>
      <c r="H119" s="11" t="str">
        <f>IF(CALC_EPM!$B108="","",CALC_EPM!H108)</f>
      </c>
      <c r="I119" s="11" t="str">
        <f>IF(CALC_EPM!$B108="","",CALC_EPM!I108)</f>
      </c>
      <c r="J119" t="str">
        <f>IF(CALC_EPM!$B108="","",CALC_EPM!J108)</f>
      </c>
      <c r="K119" t="str">
        <f>IF(CALC_EPM!$B108="","",CALC_EPM!K108)</f>
      </c>
      <c r="L119">
        <f>IF(CALC_EPM!$B108="","",CALC_EPM!L108)</f>
      </c>
      <c r="M119">
        <f>IF(CALC_EPM!$B108="","",CALC_EPM!M108)</f>
      </c>
      <c r="N119">
        <f>IF(CALC_EPM!$B108="","",CALC_EPM!N108)</f>
      </c>
      <c r="O119">
        <f>IF(CALC_EPM!$B108="","",CALC_EPM!O108)</f>
      </c>
      <c r="P119">
        <f>IF(CALC_EPM!$B108="","",CALC_EPM!P108)</f>
      </c>
      <c r="Q119">
        <f>IF(CALC_EPM!$B108="","",CALC_EPM!Q108)</f>
      </c>
      <c r="R119">
        <f>IF(CALC_EPM!$B108="","",CALC_EPM!R108)</f>
      </c>
      <c r="S119">
        <f>IF(CALC_EPM!$B108="","",CALC_EPM!S108)</f>
      </c>
      <c r="T119">
        <f>IF(CALC_EPM!$B108="","",CALC_EPM!T108)</f>
      </c>
      <c r="U119">
        <f>IF(CALC_EPM!$B108="","",CALC_EPM!U108)</f>
      </c>
    </row>
    <row r="120">
      <c r="A120" t="str">
        <f>IF(CALC_EPM!$B109="","",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)</f>
      </c>
      <c r="B120" t="str">
        <f>IF(CALC_EPM!$B109="","",CALC_EPM!A109)</f>
      </c>
      <c r="C120" t="str">
        <f>IF(CALC_EPM!$B109="","",CALC_EPM!B109)</f>
      </c>
      <c r="D120">
        <f>IF(CALC_EPM!$B109="","",CALC_EPM!D109)</f>
      </c>
      <c r="E120" s="10" t="str">
        <f>IF(CALC_EPM!$B109="","",CALC_EPM!E109)</f>
      </c>
      <c r="F120" s="10" t="str">
        <f>IF(CALC_EPM!$B109="","",CALC_EPM!F109)</f>
      </c>
      <c r="G120" t="str">
        <f>IF(CALC_EPM!$B109="","",CALC_EPM!G109)</f>
      </c>
      <c r="H120" s="11" t="str">
        <f>IF(CALC_EPM!$B109="","",CALC_EPM!H109)</f>
      </c>
      <c r="I120" s="11" t="str">
        <f>IF(CALC_EPM!$B109="","",CALC_EPM!I109)</f>
      </c>
      <c r="J120" t="str">
        <f>IF(CALC_EPM!$B109="","",CALC_EPM!J109)</f>
      </c>
      <c r="K120" t="str">
        <f>IF(CALC_EPM!$B109="","",CALC_EPM!K109)</f>
      </c>
      <c r="L120">
        <f>IF(CALC_EPM!$B109="","",CALC_EPM!L109)</f>
      </c>
      <c r="M120">
        <f>IF(CALC_EPM!$B109="","",CALC_EPM!M109)</f>
      </c>
      <c r="N120">
        <f>IF(CALC_EPM!$B109="","",CALC_EPM!N109)</f>
      </c>
      <c r="O120">
        <f>IF(CALC_EPM!$B109="","",CALC_EPM!O109)</f>
      </c>
      <c r="P120">
        <f>IF(CALC_EPM!$B109="","",CALC_EPM!P109)</f>
      </c>
      <c r="Q120">
        <f>IF(CALC_EPM!$B109="","",CALC_EPM!Q109)</f>
      </c>
      <c r="R120">
        <f>IF(CALC_EPM!$B109="","",CALC_EPM!R109)</f>
      </c>
      <c r="S120">
        <f>IF(CALC_EPM!$B109="","",CALC_EPM!S109)</f>
      </c>
      <c r="T120">
        <f>IF(CALC_EPM!$B109="","",CALC_EPM!T109)</f>
      </c>
      <c r="U120">
        <f>IF(CALC_EPM!$B109="","",CALC_EPM!U109)</f>
      </c>
    </row>
    <row r="121">
      <c r="A121" t="str">
        <f>IF(CALC_EPM!$B110="","",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)</f>
      </c>
      <c r="B121" t="str">
        <f>IF(CALC_EPM!$B110="","",CALC_EPM!A110)</f>
      </c>
      <c r="C121" t="str">
        <f>IF(CALC_EPM!$B110="","",CALC_EPM!B110)</f>
      </c>
      <c r="D121">
        <f>IF(CALC_EPM!$B110="","",CALC_EPM!D110)</f>
      </c>
      <c r="E121" s="10" t="str">
        <f>IF(CALC_EPM!$B110="","",CALC_EPM!E110)</f>
      </c>
      <c r="F121" s="10" t="str">
        <f>IF(CALC_EPM!$B110="","",CALC_EPM!F110)</f>
      </c>
      <c r="G121" t="str">
        <f>IF(CALC_EPM!$B110="","",CALC_EPM!G110)</f>
      </c>
      <c r="H121" s="11" t="str">
        <f>IF(CALC_EPM!$B110="","",CALC_EPM!H110)</f>
      </c>
      <c r="I121" s="11" t="str">
        <f>IF(CALC_EPM!$B110="","",CALC_EPM!I110)</f>
      </c>
      <c r="J121" t="str">
        <f>IF(CALC_EPM!$B110="","",CALC_EPM!J110)</f>
      </c>
      <c r="K121" t="str">
        <f>IF(CALC_EPM!$B110="","",CALC_EPM!K110)</f>
      </c>
      <c r="L121">
        <f>IF(CALC_EPM!$B110="","",CALC_EPM!L110)</f>
      </c>
      <c r="M121">
        <f>IF(CALC_EPM!$B110="","",CALC_EPM!M110)</f>
      </c>
      <c r="N121">
        <f>IF(CALC_EPM!$B110="","",CALC_EPM!N110)</f>
      </c>
      <c r="O121">
        <f>IF(CALC_EPM!$B110="","",CALC_EPM!O110)</f>
      </c>
      <c r="P121">
        <f>IF(CALC_EPM!$B110="","",CALC_EPM!P110)</f>
      </c>
      <c r="Q121">
        <f>IF(CALC_EPM!$B110="","",CALC_EPM!Q110)</f>
      </c>
      <c r="R121">
        <f>IF(CALC_EPM!$B110="","",CALC_EPM!R110)</f>
      </c>
      <c r="S121">
        <f>IF(CALC_EPM!$B110="","",CALC_EPM!S110)</f>
      </c>
      <c r="T121">
        <f>IF(CALC_EPM!$B110="","",CALC_EPM!T110)</f>
      </c>
      <c r="U121">
        <f>IF(CALC_EPM!$B110="","",CALC_EPM!U110)</f>
      </c>
    </row>
    <row r="122">
      <c r="A122" t="str">
        <f>IF(CALC_EPM!$B111="","",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)</f>
      </c>
      <c r="B122" t="str">
        <f>IF(CALC_EPM!$B111="","",CALC_EPM!A111)</f>
      </c>
      <c r="C122" t="str">
        <f>IF(CALC_EPM!$B111="","",CALC_EPM!B111)</f>
      </c>
      <c r="D122">
        <f>IF(CALC_EPM!$B111="","",CALC_EPM!D111)</f>
      </c>
      <c r="E122" s="10" t="str">
        <f>IF(CALC_EPM!$B111="","",CALC_EPM!E111)</f>
      </c>
      <c r="F122" s="10" t="str">
        <f>IF(CALC_EPM!$B111="","",CALC_EPM!F111)</f>
      </c>
      <c r="G122" t="str">
        <f>IF(CALC_EPM!$B111="","",CALC_EPM!G111)</f>
      </c>
      <c r="H122" s="11" t="str">
        <f>IF(CALC_EPM!$B111="","",CALC_EPM!H111)</f>
      </c>
      <c r="I122" s="11" t="str">
        <f>IF(CALC_EPM!$B111="","",CALC_EPM!I111)</f>
      </c>
      <c r="J122" t="str">
        <f>IF(CALC_EPM!$B111="","",CALC_EPM!J111)</f>
      </c>
      <c r="K122" t="str">
        <f>IF(CALC_EPM!$B111="","",CALC_EPM!K111)</f>
      </c>
      <c r="L122">
        <f>IF(CALC_EPM!$B111="","",CALC_EPM!L111)</f>
      </c>
      <c r="M122">
        <f>IF(CALC_EPM!$B111="","",CALC_EPM!M111)</f>
      </c>
      <c r="N122">
        <f>IF(CALC_EPM!$B111="","",CALC_EPM!N111)</f>
      </c>
      <c r="O122">
        <f>IF(CALC_EPM!$B111="","",CALC_EPM!O111)</f>
      </c>
      <c r="P122">
        <f>IF(CALC_EPM!$B111="","",CALC_EPM!P111)</f>
      </c>
      <c r="Q122">
        <f>IF(CALC_EPM!$B111="","",CALC_EPM!Q111)</f>
      </c>
      <c r="R122">
        <f>IF(CALC_EPM!$B111="","",CALC_EPM!R111)</f>
      </c>
      <c r="S122">
        <f>IF(CALC_EPM!$B111="","",CALC_EPM!S111)</f>
      </c>
      <c r="T122">
        <f>IF(CALC_EPM!$B111="","",CALC_EPM!T111)</f>
      </c>
      <c r="U122">
        <f>IF(CALC_EPM!$B111="","",CALC_EPM!U111)</f>
      </c>
    </row>
    <row r="123">
      <c r="A123" t="str">
        <f>IF(CALC_EPM!$B112="","",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)</f>
      </c>
      <c r="B123" t="str">
        <f>IF(CALC_EPM!$B112="","",CALC_EPM!A112)</f>
      </c>
      <c r="C123" t="str">
        <f>IF(CALC_EPM!$B112="","",CALC_EPM!B112)</f>
      </c>
      <c r="D123">
        <f>IF(CALC_EPM!$B112="","",CALC_EPM!D112)</f>
      </c>
      <c r="E123" s="10" t="str">
        <f>IF(CALC_EPM!$B112="","",CALC_EPM!E112)</f>
      </c>
      <c r="F123" s="10" t="str">
        <f>IF(CALC_EPM!$B112="","",CALC_EPM!F112)</f>
      </c>
      <c r="G123" t="str">
        <f>IF(CALC_EPM!$B112="","",CALC_EPM!G112)</f>
      </c>
      <c r="H123" s="11" t="str">
        <f>IF(CALC_EPM!$B112="","",CALC_EPM!H112)</f>
      </c>
      <c r="I123" s="11" t="str">
        <f>IF(CALC_EPM!$B112="","",CALC_EPM!I112)</f>
      </c>
      <c r="J123" t="str">
        <f>IF(CALC_EPM!$B112="","",CALC_EPM!J112)</f>
      </c>
      <c r="K123" t="str">
        <f>IF(CALC_EPM!$B112="","",CALC_EPM!K112)</f>
      </c>
      <c r="L123">
        <f>IF(CALC_EPM!$B112="","",CALC_EPM!L112)</f>
      </c>
      <c r="M123">
        <f>IF(CALC_EPM!$B112="","",CALC_EPM!M112)</f>
      </c>
      <c r="N123">
        <f>IF(CALC_EPM!$B112="","",CALC_EPM!N112)</f>
      </c>
      <c r="O123">
        <f>IF(CALC_EPM!$B112="","",CALC_EPM!O112)</f>
      </c>
      <c r="P123">
        <f>IF(CALC_EPM!$B112="","",CALC_EPM!P112)</f>
      </c>
      <c r="Q123">
        <f>IF(CALC_EPM!$B112="","",CALC_EPM!Q112)</f>
      </c>
      <c r="R123">
        <f>IF(CALC_EPM!$B112="","",CALC_EPM!R112)</f>
      </c>
      <c r="S123">
        <f>IF(CALC_EPM!$B112="","",CALC_EPM!S112)</f>
      </c>
      <c r="T123">
        <f>IF(CALC_EPM!$B112="","",CALC_EPM!T112)</f>
      </c>
      <c r="U123">
        <f>IF(CALC_EPM!$B112="","",CALC_EPM!U112)</f>
      </c>
    </row>
    <row r="124">
      <c r="A124" t="str">
        <f>IF(CALC_EPM!$B113="","",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)</f>
      </c>
      <c r="B124" t="str">
        <f>IF(CALC_EPM!$B113="","",CALC_EPM!A113)</f>
      </c>
      <c r="C124" t="str">
        <f>IF(CALC_EPM!$B113="","",CALC_EPM!B113)</f>
      </c>
      <c r="D124">
        <f>IF(CALC_EPM!$B113="","",CALC_EPM!D113)</f>
      </c>
      <c r="E124" s="10" t="str">
        <f>IF(CALC_EPM!$B113="","",CALC_EPM!E113)</f>
      </c>
      <c r="F124" s="10" t="str">
        <f>IF(CALC_EPM!$B113="","",CALC_EPM!F113)</f>
      </c>
      <c r="G124" t="str">
        <f>IF(CALC_EPM!$B113="","",CALC_EPM!G113)</f>
      </c>
      <c r="H124" s="11" t="str">
        <f>IF(CALC_EPM!$B113="","",CALC_EPM!H113)</f>
      </c>
      <c r="I124" s="11" t="str">
        <f>IF(CALC_EPM!$B113="","",CALC_EPM!I113)</f>
      </c>
      <c r="J124" t="str">
        <f>IF(CALC_EPM!$B113="","",CALC_EPM!J113)</f>
      </c>
      <c r="K124" t="str">
        <f>IF(CALC_EPM!$B113="","",CALC_EPM!K113)</f>
      </c>
      <c r="L124">
        <f>IF(CALC_EPM!$B113="","",CALC_EPM!L113)</f>
      </c>
      <c r="M124">
        <f>IF(CALC_EPM!$B113="","",CALC_EPM!M113)</f>
      </c>
      <c r="N124">
        <f>IF(CALC_EPM!$B113="","",CALC_EPM!N113)</f>
      </c>
      <c r="O124">
        <f>IF(CALC_EPM!$B113="","",CALC_EPM!O113)</f>
      </c>
      <c r="P124">
        <f>IF(CALC_EPM!$B113="","",CALC_EPM!P113)</f>
      </c>
      <c r="Q124">
        <f>IF(CALC_EPM!$B113="","",CALC_EPM!Q113)</f>
      </c>
      <c r="R124">
        <f>IF(CALC_EPM!$B113="","",CALC_EPM!R113)</f>
      </c>
      <c r="S124">
        <f>IF(CALC_EPM!$B113="","",CALC_EPM!S113)</f>
      </c>
      <c r="T124">
        <f>IF(CALC_EPM!$B113="","",CALC_EPM!T113)</f>
      </c>
      <c r="U124">
        <f>IF(CALC_EPM!$B113="","",CALC_EPM!U113)</f>
      </c>
    </row>
    <row r="125">
      <c r="A125" t="str">
        <f>IF(CALC_EPM!$B114="","",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)</f>
      </c>
      <c r="B125" t="str">
        <f>IF(CALC_EPM!$B114="","",CALC_EPM!A114)</f>
      </c>
      <c r="C125" t="str">
        <f>IF(CALC_EPM!$B114="","",CALC_EPM!B114)</f>
      </c>
      <c r="D125">
        <f>IF(CALC_EPM!$B114="","",CALC_EPM!D114)</f>
      </c>
      <c r="E125" s="10" t="str">
        <f>IF(CALC_EPM!$B114="","",CALC_EPM!E114)</f>
      </c>
      <c r="F125" s="10" t="str">
        <f>IF(CALC_EPM!$B114="","",CALC_EPM!F114)</f>
      </c>
      <c r="G125" t="str">
        <f>IF(CALC_EPM!$B114="","",CALC_EPM!G114)</f>
      </c>
      <c r="H125" s="11" t="str">
        <f>IF(CALC_EPM!$B114="","",CALC_EPM!H114)</f>
      </c>
      <c r="I125" s="11" t="str">
        <f>IF(CALC_EPM!$B114="","",CALC_EPM!I114)</f>
      </c>
      <c r="J125" t="str">
        <f>IF(CALC_EPM!$B114="","",CALC_EPM!J114)</f>
      </c>
      <c r="K125" t="str">
        <f>IF(CALC_EPM!$B114="","",CALC_EPM!K114)</f>
      </c>
      <c r="L125">
        <f>IF(CALC_EPM!$B114="","",CALC_EPM!L114)</f>
      </c>
      <c r="M125">
        <f>IF(CALC_EPM!$B114="","",CALC_EPM!M114)</f>
      </c>
      <c r="N125">
        <f>IF(CALC_EPM!$B114="","",CALC_EPM!N114)</f>
      </c>
      <c r="O125">
        <f>IF(CALC_EPM!$B114="","",CALC_EPM!O114)</f>
      </c>
      <c r="P125">
        <f>IF(CALC_EPM!$B114="","",CALC_EPM!P114)</f>
      </c>
      <c r="Q125">
        <f>IF(CALC_EPM!$B114="","",CALC_EPM!Q114)</f>
      </c>
      <c r="R125">
        <f>IF(CALC_EPM!$B114="","",CALC_EPM!R114)</f>
      </c>
      <c r="S125">
        <f>IF(CALC_EPM!$B114="","",CALC_EPM!S114)</f>
      </c>
      <c r="T125">
        <f>IF(CALC_EPM!$B114="","",CALC_EPM!T114)</f>
      </c>
      <c r="U125">
        <f>IF(CALC_EPM!$B114="","",CALC_EPM!U114)</f>
      </c>
    </row>
    <row r="126">
      <c r="A126" t="str">
        <f>IF(CALC_EPM!$B115="","",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)</f>
      </c>
      <c r="B126" t="str">
        <f>IF(CALC_EPM!$B115="","",CALC_EPM!A115)</f>
      </c>
      <c r="C126" t="str">
        <f>IF(CALC_EPM!$B115="","",CALC_EPM!B115)</f>
      </c>
      <c r="D126">
        <f>IF(CALC_EPM!$B115="","",CALC_EPM!D115)</f>
      </c>
      <c r="E126" s="10" t="str">
        <f>IF(CALC_EPM!$B115="","",CALC_EPM!E115)</f>
      </c>
      <c r="F126" s="10" t="str">
        <f>IF(CALC_EPM!$B115="","",CALC_EPM!F115)</f>
      </c>
      <c r="G126" t="str">
        <f>IF(CALC_EPM!$B115="","",CALC_EPM!G115)</f>
      </c>
      <c r="H126" s="11" t="str">
        <f>IF(CALC_EPM!$B115="","",CALC_EPM!H115)</f>
      </c>
      <c r="I126" s="11" t="str">
        <f>IF(CALC_EPM!$B115="","",CALC_EPM!I115)</f>
      </c>
      <c r="J126" t="str">
        <f>IF(CALC_EPM!$B115="","",CALC_EPM!J115)</f>
      </c>
      <c r="K126" t="str">
        <f>IF(CALC_EPM!$B115="","",CALC_EPM!K115)</f>
      </c>
      <c r="L126">
        <f>IF(CALC_EPM!$B115="","",CALC_EPM!L115)</f>
      </c>
      <c r="M126">
        <f>IF(CALC_EPM!$B115="","",CALC_EPM!M115)</f>
      </c>
      <c r="N126">
        <f>IF(CALC_EPM!$B115="","",CALC_EPM!N115)</f>
      </c>
      <c r="O126">
        <f>IF(CALC_EPM!$B115="","",CALC_EPM!O115)</f>
      </c>
      <c r="P126">
        <f>IF(CALC_EPM!$B115="","",CALC_EPM!P115)</f>
      </c>
      <c r="Q126">
        <f>IF(CALC_EPM!$B115="","",CALC_EPM!Q115)</f>
      </c>
      <c r="R126">
        <f>IF(CALC_EPM!$B115="","",CALC_EPM!R115)</f>
      </c>
      <c r="S126">
        <f>IF(CALC_EPM!$B115="","",CALC_EPM!S115)</f>
      </c>
      <c r="T126">
        <f>IF(CALC_EPM!$B115="","",CALC_EPM!T115)</f>
      </c>
      <c r="U126">
        <f>IF(CALC_EPM!$B115="","",CALC_EPM!U115)</f>
      </c>
    </row>
    <row r="127">
      <c r="A127" t="str">
        <f>IF(CALC_EPM!$B116="","",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)</f>
      </c>
      <c r="B127" t="str">
        <f>IF(CALC_EPM!$B116="","",CALC_EPM!A116)</f>
      </c>
      <c r="C127" t="str">
        <f>IF(CALC_EPM!$B116="","",CALC_EPM!B116)</f>
      </c>
      <c r="D127">
        <f>IF(CALC_EPM!$B116="","",CALC_EPM!D116)</f>
      </c>
      <c r="E127" s="10" t="str">
        <f>IF(CALC_EPM!$B116="","",CALC_EPM!E116)</f>
      </c>
      <c r="F127" s="10" t="str">
        <f>IF(CALC_EPM!$B116="","",CALC_EPM!F116)</f>
      </c>
      <c r="G127" t="str">
        <f>IF(CALC_EPM!$B116="","",CALC_EPM!G116)</f>
      </c>
      <c r="H127" s="11" t="str">
        <f>IF(CALC_EPM!$B116="","",CALC_EPM!H116)</f>
      </c>
      <c r="I127" s="11" t="str">
        <f>IF(CALC_EPM!$B116="","",CALC_EPM!I116)</f>
      </c>
      <c r="J127" t="str">
        <f>IF(CALC_EPM!$B116="","",CALC_EPM!J116)</f>
      </c>
      <c r="K127" t="str">
        <f>IF(CALC_EPM!$B116="","",CALC_EPM!K116)</f>
      </c>
      <c r="L127">
        <f>IF(CALC_EPM!$B116="","",CALC_EPM!L116)</f>
      </c>
      <c r="M127">
        <f>IF(CALC_EPM!$B116="","",CALC_EPM!M116)</f>
      </c>
      <c r="N127">
        <f>IF(CALC_EPM!$B116="","",CALC_EPM!N116)</f>
      </c>
      <c r="O127">
        <f>IF(CALC_EPM!$B116="","",CALC_EPM!O116)</f>
      </c>
      <c r="P127">
        <f>IF(CALC_EPM!$B116="","",CALC_EPM!P116)</f>
      </c>
      <c r="Q127">
        <f>IF(CALC_EPM!$B116="","",CALC_EPM!Q116)</f>
      </c>
      <c r="R127">
        <f>IF(CALC_EPM!$B116="","",CALC_EPM!R116)</f>
      </c>
      <c r="S127">
        <f>IF(CALC_EPM!$B116="","",CALC_EPM!S116)</f>
      </c>
      <c r="T127">
        <f>IF(CALC_EPM!$B116="","",CALC_EPM!T116)</f>
      </c>
      <c r="U127">
        <f>IF(CALC_EPM!$B116="","",CALC_EPM!U116)</f>
      </c>
    </row>
    <row r="128">
      <c r="A128" t="str">
        <f>IF(CALC_EPM!$B117="","",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)</f>
      </c>
      <c r="B128" t="str">
        <f>IF(CALC_EPM!$B117="","",CALC_EPM!A117)</f>
      </c>
      <c r="C128" t="str">
        <f>IF(CALC_EPM!$B117="","",CALC_EPM!B117)</f>
      </c>
      <c r="D128">
        <f>IF(CALC_EPM!$B117="","",CALC_EPM!D117)</f>
      </c>
      <c r="E128" s="10" t="str">
        <f>IF(CALC_EPM!$B117="","",CALC_EPM!E117)</f>
      </c>
      <c r="F128" s="10" t="str">
        <f>IF(CALC_EPM!$B117="","",CALC_EPM!F117)</f>
      </c>
      <c r="G128" t="str">
        <f>IF(CALC_EPM!$B117="","",CALC_EPM!G117)</f>
      </c>
      <c r="H128" s="11" t="str">
        <f>IF(CALC_EPM!$B117="","",CALC_EPM!H117)</f>
      </c>
      <c r="I128" s="11" t="str">
        <f>IF(CALC_EPM!$B117="","",CALC_EPM!I117)</f>
      </c>
      <c r="J128" t="str">
        <f>IF(CALC_EPM!$B117="","",CALC_EPM!J117)</f>
      </c>
      <c r="K128" t="str">
        <f>IF(CALC_EPM!$B117="","",CALC_EPM!K117)</f>
      </c>
      <c r="L128">
        <f>IF(CALC_EPM!$B117="","",CALC_EPM!L117)</f>
      </c>
      <c r="M128">
        <f>IF(CALC_EPM!$B117="","",CALC_EPM!M117)</f>
      </c>
      <c r="N128">
        <f>IF(CALC_EPM!$B117="","",CALC_EPM!N117)</f>
      </c>
      <c r="O128">
        <f>IF(CALC_EPM!$B117="","",CALC_EPM!O117)</f>
      </c>
      <c r="P128">
        <f>IF(CALC_EPM!$B117="","",CALC_EPM!P117)</f>
      </c>
      <c r="Q128">
        <f>IF(CALC_EPM!$B117="","",CALC_EPM!Q117)</f>
      </c>
      <c r="R128">
        <f>IF(CALC_EPM!$B117="","",CALC_EPM!R117)</f>
      </c>
      <c r="S128">
        <f>IF(CALC_EPM!$B117="","",CALC_EPM!S117)</f>
      </c>
      <c r="T128">
        <f>IF(CALC_EPM!$B117="","",CALC_EPM!T117)</f>
      </c>
      <c r="U128">
        <f>IF(CALC_EPM!$B117="","",CALC_EPM!U117)</f>
      </c>
    </row>
    <row r="129">
      <c r="A129" t="str">
        <f>IF(CALC_EPM!$B118="","",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)</f>
      </c>
      <c r="B129" t="str">
        <f>IF(CALC_EPM!$B118="","",CALC_EPM!A118)</f>
      </c>
      <c r="C129" t="str">
        <f>IF(CALC_EPM!$B118="","",CALC_EPM!B118)</f>
      </c>
      <c r="D129">
        <f>IF(CALC_EPM!$B118="","",CALC_EPM!D118)</f>
      </c>
      <c r="E129" s="10" t="str">
        <f>IF(CALC_EPM!$B118="","",CALC_EPM!E118)</f>
      </c>
      <c r="F129" s="10" t="str">
        <f>IF(CALC_EPM!$B118="","",CALC_EPM!F118)</f>
      </c>
      <c r="G129" t="str">
        <f>IF(CALC_EPM!$B118="","",CALC_EPM!G118)</f>
      </c>
      <c r="H129" s="11" t="str">
        <f>IF(CALC_EPM!$B118="","",CALC_EPM!H118)</f>
      </c>
      <c r="I129" s="11" t="str">
        <f>IF(CALC_EPM!$B118="","",CALC_EPM!I118)</f>
      </c>
      <c r="J129" t="str">
        <f>IF(CALC_EPM!$B118="","",CALC_EPM!J118)</f>
      </c>
      <c r="K129" t="str">
        <f>IF(CALC_EPM!$B118="","",CALC_EPM!K118)</f>
      </c>
      <c r="L129">
        <f>IF(CALC_EPM!$B118="","",CALC_EPM!L118)</f>
      </c>
      <c r="M129">
        <f>IF(CALC_EPM!$B118="","",CALC_EPM!M118)</f>
      </c>
      <c r="N129">
        <f>IF(CALC_EPM!$B118="","",CALC_EPM!N118)</f>
      </c>
      <c r="O129">
        <f>IF(CALC_EPM!$B118="","",CALC_EPM!O118)</f>
      </c>
      <c r="P129">
        <f>IF(CALC_EPM!$B118="","",CALC_EPM!P118)</f>
      </c>
      <c r="Q129">
        <f>IF(CALC_EPM!$B118="","",CALC_EPM!Q118)</f>
      </c>
      <c r="R129">
        <f>IF(CALC_EPM!$B118="","",CALC_EPM!R118)</f>
      </c>
      <c r="S129">
        <f>IF(CALC_EPM!$B118="","",CALC_EPM!S118)</f>
      </c>
      <c r="T129">
        <f>IF(CALC_EPM!$B118="","",CALC_EPM!T118)</f>
      </c>
      <c r="U129">
        <f>IF(CALC_EPM!$B118="","",CALC_EPM!U118)</f>
      </c>
    </row>
    <row r="130">
      <c r="A130" t="str">
        <f>IF(CALC_EPM!$B119="","",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)</f>
      </c>
      <c r="B130" t="str">
        <f>IF(CALC_EPM!$B119="","",CALC_EPM!A119)</f>
      </c>
      <c r="C130" t="str">
        <f>IF(CALC_EPM!$B119="","",CALC_EPM!B119)</f>
      </c>
      <c r="D130">
        <f>IF(CALC_EPM!$B119="","",CALC_EPM!D119)</f>
      </c>
      <c r="E130" s="10" t="str">
        <f>IF(CALC_EPM!$B119="","",CALC_EPM!E119)</f>
      </c>
      <c r="F130" s="10" t="str">
        <f>IF(CALC_EPM!$B119="","",CALC_EPM!F119)</f>
      </c>
      <c r="G130" t="str">
        <f>IF(CALC_EPM!$B119="","",CALC_EPM!G119)</f>
      </c>
      <c r="H130" s="11" t="str">
        <f>IF(CALC_EPM!$B119="","",CALC_EPM!H119)</f>
      </c>
      <c r="I130" s="11" t="str">
        <f>IF(CALC_EPM!$B119="","",CALC_EPM!I119)</f>
      </c>
      <c r="J130" t="str">
        <f>IF(CALC_EPM!$B119="","",CALC_EPM!J119)</f>
      </c>
      <c r="K130" t="str">
        <f>IF(CALC_EPM!$B119="","",CALC_EPM!K119)</f>
      </c>
      <c r="L130">
        <f>IF(CALC_EPM!$B119="","",CALC_EPM!L119)</f>
      </c>
      <c r="M130">
        <f>IF(CALC_EPM!$B119="","",CALC_EPM!M119)</f>
      </c>
      <c r="N130">
        <f>IF(CALC_EPM!$B119="","",CALC_EPM!N119)</f>
      </c>
      <c r="O130">
        <f>IF(CALC_EPM!$B119="","",CALC_EPM!O119)</f>
      </c>
      <c r="P130">
        <f>IF(CALC_EPM!$B119="","",CALC_EPM!P119)</f>
      </c>
      <c r="Q130">
        <f>IF(CALC_EPM!$B119="","",CALC_EPM!Q119)</f>
      </c>
      <c r="R130">
        <f>IF(CALC_EPM!$B119="","",CALC_EPM!R119)</f>
      </c>
      <c r="S130">
        <f>IF(CALC_EPM!$B119="","",CALC_EPM!S119)</f>
      </c>
      <c r="T130">
        <f>IF(CALC_EPM!$B119="","",CALC_EPM!T119)</f>
      </c>
      <c r="U130">
        <f>IF(CALC_EPM!$B119="","",CALC_EPM!U119)</f>
      </c>
    </row>
    <row r="131">
      <c r="A131" t="str">
        <f>IF(CALC_EPM!$B120="","",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)</f>
      </c>
      <c r="B131" t="str">
        <f>IF(CALC_EPM!$B120="","",CALC_EPM!A120)</f>
      </c>
      <c r="C131" t="str">
        <f>IF(CALC_EPM!$B120="","",CALC_EPM!B120)</f>
      </c>
      <c r="D131">
        <f>IF(CALC_EPM!$B120="","",CALC_EPM!D120)</f>
      </c>
      <c r="E131" s="10" t="str">
        <f>IF(CALC_EPM!$B120="","",CALC_EPM!E120)</f>
      </c>
      <c r="F131" s="10" t="str">
        <f>IF(CALC_EPM!$B120="","",CALC_EPM!F120)</f>
      </c>
      <c r="G131" t="str">
        <f>IF(CALC_EPM!$B120="","",CALC_EPM!G120)</f>
      </c>
      <c r="H131" s="11" t="str">
        <f>IF(CALC_EPM!$B120="","",CALC_EPM!H120)</f>
      </c>
      <c r="I131" s="11" t="str">
        <f>IF(CALC_EPM!$B120="","",CALC_EPM!I120)</f>
      </c>
      <c r="J131" t="str">
        <f>IF(CALC_EPM!$B120="","",CALC_EPM!J120)</f>
      </c>
      <c r="K131" t="str">
        <f>IF(CALC_EPM!$B120="","",CALC_EPM!K120)</f>
      </c>
      <c r="L131">
        <f>IF(CALC_EPM!$B120="","",CALC_EPM!L120)</f>
      </c>
      <c r="M131">
        <f>IF(CALC_EPM!$B120="","",CALC_EPM!M120)</f>
      </c>
      <c r="N131">
        <f>IF(CALC_EPM!$B120="","",CALC_EPM!N120)</f>
      </c>
      <c r="O131">
        <f>IF(CALC_EPM!$B120="","",CALC_EPM!O120)</f>
      </c>
      <c r="P131">
        <f>IF(CALC_EPM!$B120="","",CALC_EPM!P120)</f>
      </c>
      <c r="Q131">
        <f>IF(CALC_EPM!$B120="","",CALC_EPM!Q120)</f>
      </c>
      <c r="R131">
        <f>IF(CALC_EPM!$B120="","",CALC_EPM!R120)</f>
      </c>
      <c r="S131">
        <f>IF(CALC_EPM!$B120="","",CALC_EPM!S120)</f>
      </c>
      <c r="T131">
        <f>IF(CALC_EPM!$B120="","",CALC_EPM!T120)</f>
      </c>
      <c r="U131">
        <f>IF(CALC_EPM!$B120="","",CALC_EPM!U120)</f>
      </c>
    </row>
    <row r="132">
      <c r="A132" t="str">
        <f>IF(CALC_EPM!$B121="","",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)</f>
      </c>
      <c r="B132" t="str">
        <f>IF(CALC_EPM!$B121="","",CALC_EPM!A121)</f>
      </c>
      <c r="C132" t="str">
        <f>IF(CALC_EPM!$B121="","",CALC_EPM!B121)</f>
      </c>
      <c r="D132">
        <f>IF(CALC_EPM!$B121="","",CALC_EPM!D121)</f>
      </c>
      <c r="E132" s="10" t="str">
        <f>IF(CALC_EPM!$B121="","",CALC_EPM!E121)</f>
      </c>
      <c r="F132" s="10" t="str">
        <f>IF(CALC_EPM!$B121="","",CALC_EPM!F121)</f>
      </c>
      <c r="G132" t="str">
        <f>IF(CALC_EPM!$B121="","",CALC_EPM!G121)</f>
      </c>
      <c r="H132" s="11" t="str">
        <f>IF(CALC_EPM!$B121="","",CALC_EPM!H121)</f>
      </c>
      <c r="I132" s="11" t="str">
        <f>IF(CALC_EPM!$B121="","",CALC_EPM!I121)</f>
      </c>
      <c r="J132" t="str">
        <f>IF(CALC_EPM!$B121="","",CALC_EPM!J121)</f>
      </c>
      <c r="K132" t="str">
        <f>IF(CALC_EPM!$B121="","",CALC_EPM!K121)</f>
      </c>
      <c r="L132">
        <f>IF(CALC_EPM!$B121="","",CALC_EPM!L121)</f>
      </c>
      <c r="M132">
        <f>IF(CALC_EPM!$B121="","",CALC_EPM!M121)</f>
      </c>
      <c r="N132">
        <f>IF(CALC_EPM!$B121="","",CALC_EPM!N121)</f>
      </c>
      <c r="O132">
        <f>IF(CALC_EPM!$B121="","",CALC_EPM!O121)</f>
      </c>
      <c r="P132">
        <f>IF(CALC_EPM!$B121="","",CALC_EPM!P121)</f>
      </c>
      <c r="Q132">
        <f>IF(CALC_EPM!$B121="","",CALC_EPM!Q121)</f>
      </c>
      <c r="R132">
        <f>IF(CALC_EPM!$B121="","",CALC_EPM!R121)</f>
      </c>
      <c r="S132">
        <f>IF(CALC_EPM!$B121="","",CALC_EPM!S121)</f>
      </c>
      <c r="T132">
        <f>IF(CALC_EPM!$B121="","",CALC_EPM!T121)</f>
      </c>
      <c r="U132">
        <f>IF(CALC_EPM!$B121="","",CALC_EPM!U121)</f>
      </c>
    </row>
    <row r="133">
      <c r="A133" t="str">
        <f>IF(CALC_EPM!$B122="","",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)</f>
      </c>
      <c r="B133" t="str">
        <f>IF(CALC_EPM!$B122="","",CALC_EPM!A122)</f>
      </c>
      <c r="C133" t="str">
        <f>IF(CALC_EPM!$B122="","",CALC_EPM!B122)</f>
      </c>
      <c r="D133">
        <f>IF(CALC_EPM!$B122="","",CALC_EPM!D122)</f>
      </c>
      <c r="E133" s="10" t="str">
        <f>IF(CALC_EPM!$B122="","",CALC_EPM!E122)</f>
      </c>
      <c r="F133" s="10" t="str">
        <f>IF(CALC_EPM!$B122="","",CALC_EPM!F122)</f>
      </c>
      <c r="G133" t="str">
        <f>IF(CALC_EPM!$B122="","",CALC_EPM!G122)</f>
      </c>
      <c r="H133" s="11" t="str">
        <f>IF(CALC_EPM!$B122="","",CALC_EPM!H122)</f>
      </c>
      <c r="I133" s="11" t="str">
        <f>IF(CALC_EPM!$B122="","",CALC_EPM!I122)</f>
      </c>
      <c r="J133" t="str">
        <f>IF(CALC_EPM!$B122="","",CALC_EPM!J122)</f>
      </c>
      <c r="K133" t="str">
        <f>IF(CALC_EPM!$B122="","",CALC_EPM!K122)</f>
      </c>
      <c r="L133">
        <f>IF(CALC_EPM!$B122="","",CALC_EPM!L122)</f>
      </c>
      <c r="M133">
        <f>IF(CALC_EPM!$B122="","",CALC_EPM!M122)</f>
      </c>
      <c r="N133">
        <f>IF(CALC_EPM!$B122="","",CALC_EPM!N122)</f>
      </c>
      <c r="O133">
        <f>IF(CALC_EPM!$B122="","",CALC_EPM!O122)</f>
      </c>
      <c r="P133">
        <f>IF(CALC_EPM!$B122="","",CALC_EPM!P122)</f>
      </c>
      <c r="Q133">
        <f>IF(CALC_EPM!$B122="","",CALC_EPM!Q122)</f>
      </c>
      <c r="R133">
        <f>IF(CALC_EPM!$B122="","",CALC_EPM!R122)</f>
      </c>
      <c r="S133">
        <f>IF(CALC_EPM!$B122="","",CALC_EPM!S122)</f>
      </c>
      <c r="T133">
        <f>IF(CALC_EPM!$B122="","",CALC_EPM!T122)</f>
      </c>
      <c r="U133">
        <f>IF(CALC_EPM!$B122="","",CALC_EPM!U122)</f>
      </c>
    </row>
    <row r="134">
      <c r="A134" t="str">
        <f>IF(CALC_EPM!$B123="","",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)</f>
      </c>
      <c r="B134" t="str">
        <f>IF(CALC_EPM!$B123="","",CALC_EPM!A123)</f>
      </c>
      <c r="C134" t="str">
        <f>IF(CALC_EPM!$B123="","",CALC_EPM!B123)</f>
      </c>
      <c r="D134">
        <f>IF(CALC_EPM!$B123="","",CALC_EPM!D123)</f>
      </c>
      <c r="E134" s="10" t="str">
        <f>IF(CALC_EPM!$B123="","",CALC_EPM!E123)</f>
      </c>
      <c r="F134" s="10" t="str">
        <f>IF(CALC_EPM!$B123="","",CALC_EPM!F123)</f>
      </c>
      <c r="G134" t="str">
        <f>IF(CALC_EPM!$B123="","",CALC_EPM!G123)</f>
      </c>
      <c r="H134" s="11" t="str">
        <f>IF(CALC_EPM!$B123="","",CALC_EPM!H123)</f>
      </c>
      <c r="I134" s="11" t="str">
        <f>IF(CALC_EPM!$B123="","",CALC_EPM!I123)</f>
      </c>
      <c r="J134" t="str">
        <f>IF(CALC_EPM!$B123="","",CALC_EPM!J123)</f>
      </c>
      <c r="K134" t="str">
        <f>IF(CALC_EPM!$B123="","",CALC_EPM!K123)</f>
      </c>
      <c r="L134">
        <f>IF(CALC_EPM!$B123="","",CALC_EPM!L123)</f>
      </c>
      <c r="M134">
        <f>IF(CALC_EPM!$B123="","",CALC_EPM!M123)</f>
      </c>
      <c r="N134">
        <f>IF(CALC_EPM!$B123="","",CALC_EPM!N123)</f>
      </c>
      <c r="O134">
        <f>IF(CALC_EPM!$B123="","",CALC_EPM!O123)</f>
      </c>
      <c r="P134">
        <f>IF(CALC_EPM!$B123="","",CALC_EPM!P123)</f>
      </c>
      <c r="Q134">
        <f>IF(CALC_EPM!$B123="","",CALC_EPM!Q123)</f>
      </c>
      <c r="R134">
        <f>IF(CALC_EPM!$B123="","",CALC_EPM!R123)</f>
      </c>
      <c r="S134">
        <f>IF(CALC_EPM!$B123="","",CALC_EPM!S123)</f>
      </c>
      <c r="T134">
        <f>IF(CALC_EPM!$B123="","",CALC_EPM!T123)</f>
      </c>
      <c r="U134">
        <f>IF(CALC_EPM!$B123="","",CALC_EPM!U123)</f>
      </c>
    </row>
    <row r="135">
      <c r="A135" t="str">
        <f>IF(CALC_EPM!$B124="","",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)</f>
      </c>
      <c r="B135" t="str">
        <f>IF(CALC_EPM!$B124="","",CALC_EPM!A124)</f>
      </c>
      <c r="C135" t="str">
        <f>IF(CALC_EPM!$B124="","",CALC_EPM!B124)</f>
      </c>
      <c r="D135">
        <f>IF(CALC_EPM!$B124="","",CALC_EPM!D124)</f>
      </c>
      <c r="E135" s="10" t="str">
        <f>IF(CALC_EPM!$B124="","",CALC_EPM!E124)</f>
      </c>
      <c r="F135" s="10" t="str">
        <f>IF(CALC_EPM!$B124="","",CALC_EPM!F124)</f>
      </c>
      <c r="G135" t="str">
        <f>IF(CALC_EPM!$B124="","",CALC_EPM!G124)</f>
      </c>
      <c r="H135" s="11" t="str">
        <f>IF(CALC_EPM!$B124="","",CALC_EPM!H124)</f>
      </c>
      <c r="I135" s="11" t="str">
        <f>IF(CALC_EPM!$B124="","",CALC_EPM!I124)</f>
      </c>
      <c r="J135" t="str">
        <f>IF(CALC_EPM!$B124="","",CALC_EPM!J124)</f>
      </c>
      <c r="K135" t="str">
        <f>IF(CALC_EPM!$B124="","",CALC_EPM!K124)</f>
      </c>
      <c r="L135">
        <f>IF(CALC_EPM!$B124="","",CALC_EPM!L124)</f>
      </c>
      <c r="M135">
        <f>IF(CALC_EPM!$B124="","",CALC_EPM!M124)</f>
      </c>
      <c r="N135">
        <f>IF(CALC_EPM!$B124="","",CALC_EPM!N124)</f>
      </c>
      <c r="O135">
        <f>IF(CALC_EPM!$B124="","",CALC_EPM!O124)</f>
      </c>
      <c r="P135">
        <f>IF(CALC_EPM!$B124="","",CALC_EPM!P124)</f>
      </c>
      <c r="Q135">
        <f>IF(CALC_EPM!$B124="","",CALC_EPM!Q124)</f>
      </c>
      <c r="R135">
        <f>IF(CALC_EPM!$B124="","",CALC_EPM!R124)</f>
      </c>
      <c r="S135">
        <f>IF(CALC_EPM!$B124="","",CALC_EPM!S124)</f>
      </c>
      <c r="T135">
        <f>IF(CALC_EPM!$B124="","",CALC_EPM!T124)</f>
      </c>
      <c r="U135">
        <f>IF(CALC_EPM!$B124="","",CALC_EPM!U124)</f>
      </c>
    </row>
    <row r="136">
      <c r="A136" t="str">
        <f>IF(CALC_EPM!$B125="","",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)</f>
      </c>
      <c r="B136" t="str">
        <f>IF(CALC_EPM!$B125="","",CALC_EPM!A125)</f>
      </c>
      <c r="C136" t="str">
        <f>IF(CALC_EPM!$B125="","",CALC_EPM!B125)</f>
      </c>
      <c r="D136">
        <f>IF(CALC_EPM!$B125="","",CALC_EPM!D125)</f>
      </c>
      <c r="E136" s="10" t="str">
        <f>IF(CALC_EPM!$B125="","",CALC_EPM!E125)</f>
      </c>
      <c r="F136" s="10" t="str">
        <f>IF(CALC_EPM!$B125="","",CALC_EPM!F125)</f>
      </c>
      <c r="G136" t="str">
        <f>IF(CALC_EPM!$B125="","",CALC_EPM!G125)</f>
      </c>
      <c r="H136" s="11" t="str">
        <f>IF(CALC_EPM!$B125="","",CALC_EPM!H125)</f>
      </c>
      <c r="I136" s="11" t="str">
        <f>IF(CALC_EPM!$B125="","",CALC_EPM!I125)</f>
      </c>
      <c r="J136" t="str">
        <f>IF(CALC_EPM!$B125="","",CALC_EPM!J125)</f>
      </c>
      <c r="K136" t="str">
        <f>IF(CALC_EPM!$B125="","",CALC_EPM!K125)</f>
      </c>
      <c r="L136">
        <f>IF(CALC_EPM!$B125="","",CALC_EPM!L125)</f>
      </c>
      <c r="M136">
        <f>IF(CALC_EPM!$B125="","",CALC_EPM!M125)</f>
      </c>
      <c r="N136">
        <f>IF(CALC_EPM!$B125="","",CALC_EPM!N125)</f>
      </c>
      <c r="O136">
        <f>IF(CALC_EPM!$B125="","",CALC_EPM!O125)</f>
      </c>
      <c r="P136">
        <f>IF(CALC_EPM!$B125="","",CALC_EPM!P125)</f>
      </c>
      <c r="Q136">
        <f>IF(CALC_EPM!$B125="","",CALC_EPM!Q125)</f>
      </c>
      <c r="R136">
        <f>IF(CALC_EPM!$B125="","",CALC_EPM!R125)</f>
      </c>
      <c r="S136">
        <f>IF(CALC_EPM!$B125="","",CALC_EPM!S125)</f>
      </c>
      <c r="T136">
        <f>IF(CALC_EPM!$B125="","",CALC_EPM!T125)</f>
      </c>
      <c r="U136">
        <f>IF(CALC_EPM!$B125="","",CALC_EPM!U125)</f>
      </c>
    </row>
    <row r="137">
      <c r="A137" t="str">
        <f>IF(CALC_EPM!$B126="","",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)</f>
      </c>
      <c r="B137" t="str">
        <f>IF(CALC_EPM!$B126="","",CALC_EPM!A126)</f>
      </c>
      <c r="C137" t="str">
        <f>IF(CALC_EPM!$B126="","",CALC_EPM!B126)</f>
      </c>
      <c r="D137">
        <f>IF(CALC_EPM!$B126="","",CALC_EPM!D126)</f>
      </c>
      <c r="E137" s="10" t="str">
        <f>IF(CALC_EPM!$B126="","",CALC_EPM!E126)</f>
      </c>
      <c r="F137" s="10" t="str">
        <f>IF(CALC_EPM!$B126="","",CALC_EPM!F126)</f>
      </c>
      <c r="G137" t="str">
        <f>IF(CALC_EPM!$B126="","",CALC_EPM!G126)</f>
      </c>
      <c r="H137" s="11" t="str">
        <f>IF(CALC_EPM!$B126="","",CALC_EPM!H126)</f>
      </c>
      <c r="I137" s="11" t="str">
        <f>IF(CALC_EPM!$B126="","",CALC_EPM!I126)</f>
      </c>
      <c r="J137" t="str">
        <f>IF(CALC_EPM!$B126="","",CALC_EPM!J126)</f>
      </c>
      <c r="K137" t="str">
        <f>IF(CALC_EPM!$B126="","",CALC_EPM!K126)</f>
      </c>
      <c r="L137">
        <f>IF(CALC_EPM!$B126="","",CALC_EPM!L126)</f>
      </c>
      <c r="M137">
        <f>IF(CALC_EPM!$B126="","",CALC_EPM!M126)</f>
      </c>
      <c r="N137">
        <f>IF(CALC_EPM!$B126="","",CALC_EPM!N126)</f>
      </c>
      <c r="O137">
        <f>IF(CALC_EPM!$B126="","",CALC_EPM!O126)</f>
      </c>
      <c r="P137">
        <f>IF(CALC_EPM!$B126="","",CALC_EPM!P126)</f>
      </c>
      <c r="Q137">
        <f>IF(CALC_EPM!$B126="","",CALC_EPM!Q126)</f>
      </c>
      <c r="R137">
        <f>IF(CALC_EPM!$B126="","",CALC_EPM!R126)</f>
      </c>
      <c r="S137">
        <f>IF(CALC_EPM!$B126="","",CALC_EPM!S126)</f>
      </c>
      <c r="T137">
        <f>IF(CALC_EPM!$B126="","",CALC_EPM!T126)</f>
      </c>
      <c r="U137">
        <f>IF(CALC_EPM!$B126="","",CALC_EPM!U126)</f>
      </c>
    </row>
    <row r="138">
      <c r="A138" t="str">
        <f>IF(CALC_EPM!$B127="","",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)</f>
      </c>
      <c r="B138" t="str">
        <f>IF(CALC_EPM!$B127="","",CALC_EPM!A127)</f>
      </c>
      <c r="C138" t="str">
        <f>IF(CALC_EPM!$B127="","",CALC_EPM!B127)</f>
      </c>
      <c r="D138">
        <f>IF(CALC_EPM!$B127="","",CALC_EPM!D127)</f>
      </c>
      <c r="E138" s="10" t="str">
        <f>IF(CALC_EPM!$B127="","",CALC_EPM!E127)</f>
      </c>
      <c r="F138" s="10" t="str">
        <f>IF(CALC_EPM!$B127="","",CALC_EPM!F127)</f>
      </c>
      <c r="G138" t="str">
        <f>IF(CALC_EPM!$B127="","",CALC_EPM!G127)</f>
      </c>
      <c r="H138" s="11" t="str">
        <f>IF(CALC_EPM!$B127="","",CALC_EPM!H127)</f>
      </c>
      <c r="I138" s="11" t="str">
        <f>IF(CALC_EPM!$B127="","",CALC_EPM!I127)</f>
      </c>
      <c r="J138" t="str">
        <f>IF(CALC_EPM!$B127="","",CALC_EPM!J127)</f>
      </c>
      <c r="K138" t="str">
        <f>IF(CALC_EPM!$B127="","",CALC_EPM!K127)</f>
      </c>
      <c r="L138">
        <f>IF(CALC_EPM!$B127="","",CALC_EPM!L127)</f>
      </c>
      <c r="M138">
        <f>IF(CALC_EPM!$B127="","",CALC_EPM!M127)</f>
      </c>
      <c r="N138">
        <f>IF(CALC_EPM!$B127="","",CALC_EPM!N127)</f>
      </c>
      <c r="O138">
        <f>IF(CALC_EPM!$B127="","",CALC_EPM!O127)</f>
      </c>
      <c r="P138">
        <f>IF(CALC_EPM!$B127="","",CALC_EPM!P127)</f>
      </c>
      <c r="Q138">
        <f>IF(CALC_EPM!$B127="","",CALC_EPM!Q127)</f>
      </c>
      <c r="R138">
        <f>IF(CALC_EPM!$B127="","",CALC_EPM!R127)</f>
      </c>
      <c r="S138">
        <f>IF(CALC_EPM!$B127="","",CALC_EPM!S127)</f>
      </c>
      <c r="T138">
        <f>IF(CALC_EPM!$B127="","",CALC_EPM!T127)</f>
      </c>
      <c r="U138">
        <f>IF(CALC_EPM!$B127="","",CALC_EPM!U127)</f>
      </c>
    </row>
    <row r="139">
      <c r="A139" t="str">
        <f>IF(CALC_EPM!$B128="","",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)</f>
      </c>
      <c r="B139" t="str">
        <f>IF(CALC_EPM!$B128="","",CALC_EPM!A128)</f>
      </c>
      <c r="C139" t="str">
        <f>IF(CALC_EPM!$B128="","",CALC_EPM!B128)</f>
      </c>
      <c r="D139">
        <f>IF(CALC_EPM!$B128="","",CALC_EPM!D128)</f>
      </c>
      <c r="E139" s="10" t="str">
        <f>IF(CALC_EPM!$B128="","",CALC_EPM!E128)</f>
      </c>
      <c r="F139" s="10" t="str">
        <f>IF(CALC_EPM!$B128="","",CALC_EPM!F128)</f>
      </c>
      <c r="G139" t="str">
        <f>IF(CALC_EPM!$B128="","",CALC_EPM!G128)</f>
      </c>
      <c r="H139" s="11" t="str">
        <f>IF(CALC_EPM!$B128="","",CALC_EPM!H128)</f>
      </c>
      <c r="I139" s="11" t="str">
        <f>IF(CALC_EPM!$B128="","",CALC_EPM!I128)</f>
      </c>
      <c r="J139" t="str">
        <f>IF(CALC_EPM!$B128="","",CALC_EPM!J128)</f>
      </c>
      <c r="K139" t="str">
        <f>IF(CALC_EPM!$B128="","",CALC_EPM!K128)</f>
      </c>
      <c r="L139">
        <f>IF(CALC_EPM!$B128="","",CALC_EPM!L128)</f>
      </c>
      <c r="M139">
        <f>IF(CALC_EPM!$B128="","",CALC_EPM!M128)</f>
      </c>
      <c r="N139">
        <f>IF(CALC_EPM!$B128="","",CALC_EPM!N128)</f>
      </c>
      <c r="O139">
        <f>IF(CALC_EPM!$B128="","",CALC_EPM!O128)</f>
      </c>
      <c r="P139">
        <f>IF(CALC_EPM!$B128="","",CALC_EPM!P128)</f>
      </c>
      <c r="Q139">
        <f>IF(CALC_EPM!$B128="","",CALC_EPM!Q128)</f>
      </c>
      <c r="R139">
        <f>IF(CALC_EPM!$B128="","",CALC_EPM!R128)</f>
      </c>
      <c r="S139">
        <f>IF(CALC_EPM!$B128="","",CALC_EPM!S128)</f>
      </c>
      <c r="T139">
        <f>IF(CALC_EPM!$B128="","",CALC_EPM!T128)</f>
      </c>
      <c r="U139">
        <f>IF(CALC_EPM!$B128="","",CALC_EPM!U128)</f>
      </c>
    </row>
    <row r="140">
      <c r="A140" t="str">
        <f>IF(CALC_EPM!$B129="","",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)</f>
      </c>
      <c r="B140" t="str">
        <f>IF(CALC_EPM!$B129="","",CALC_EPM!A129)</f>
      </c>
      <c r="C140" t="str">
        <f>IF(CALC_EPM!$B129="","",CALC_EPM!B129)</f>
      </c>
      <c r="D140">
        <f>IF(CALC_EPM!$B129="","",CALC_EPM!D129)</f>
      </c>
      <c r="E140" s="10" t="str">
        <f>IF(CALC_EPM!$B129="","",CALC_EPM!E129)</f>
      </c>
      <c r="F140" s="10" t="str">
        <f>IF(CALC_EPM!$B129="","",CALC_EPM!F129)</f>
      </c>
      <c r="G140" t="str">
        <f>IF(CALC_EPM!$B129="","",CALC_EPM!G129)</f>
      </c>
      <c r="H140" s="11" t="str">
        <f>IF(CALC_EPM!$B129="","",CALC_EPM!H129)</f>
      </c>
      <c r="I140" s="11" t="str">
        <f>IF(CALC_EPM!$B129="","",CALC_EPM!I129)</f>
      </c>
      <c r="J140" t="str">
        <f>IF(CALC_EPM!$B129="","",CALC_EPM!J129)</f>
      </c>
      <c r="K140" t="str">
        <f>IF(CALC_EPM!$B129="","",CALC_EPM!K129)</f>
      </c>
      <c r="L140">
        <f>IF(CALC_EPM!$B129="","",CALC_EPM!L129)</f>
      </c>
      <c r="M140">
        <f>IF(CALC_EPM!$B129="","",CALC_EPM!M129)</f>
      </c>
      <c r="N140">
        <f>IF(CALC_EPM!$B129="","",CALC_EPM!N129)</f>
      </c>
      <c r="O140">
        <f>IF(CALC_EPM!$B129="","",CALC_EPM!O129)</f>
      </c>
      <c r="P140">
        <f>IF(CALC_EPM!$B129="","",CALC_EPM!P129)</f>
      </c>
      <c r="Q140">
        <f>IF(CALC_EPM!$B129="","",CALC_EPM!Q129)</f>
      </c>
      <c r="R140">
        <f>IF(CALC_EPM!$B129="","",CALC_EPM!R129)</f>
      </c>
      <c r="S140">
        <f>IF(CALC_EPM!$B129="","",CALC_EPM!S129)</f>
      </c>
      <c r="T140">
        <f>IF(CALC_EPM!$B129="","",CALC_EPM!T129)</f>
      </c>
      <c r="U140">
        <f>IF(CALC_EPM!$B129="","",CALC_EPM!U129)</f>
      </c>
    </row>
    <row r="141">
      <c r="A141" t="str">
        <f>IF(CALC_EPM!$B130="","",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)</f>
      </c>
      <c r="B141" t="str">
        <f>IF(CALC_EPM!$B130="","",CALC_EPM!A130)</f>
      </c>
      <c r="C141" t="str">
        <f>IF(CALC_EPM!$B130="","",CALC_EPM!B130)</f>
      </c>
      <c r="D141">
        <f>IF(CALC_EPM!$B130="","",CALC_EPM!D130)</f>
      </c>
      <c r="E141" s="10" t="str">
        <f>IF(CALC_EPM!$B130="","",CALC_EPM!E130)</f>
      </c>
      <c r="F141" s="10" t="str">
        <f>IF(CALC_EPM!$B130="","",CALC_EPM!F130)</f>
      </c>
      <c r="G141" t="str">
        <f>IF(CALC_EPM!$B130="","",CALC_EPM!G130)</f>
      </c>
      <c r="H141" s="11" t="str">
        <f>IF(CALC_EPM!$B130="","",CALC_EPM!H130)</f>
      </c>
      <c r="I141" s="11" t="str">
        <f>IF(CALC_EPM!$B130="","",CALC_EPM!I130)</f>
      </c>
      <c r="J141" t="str">
        <f>IF(CALC_EPM!$B130="","",CALC_EPM!J130)</f>
      </c>
      <c r="K141" t="str">
        <f>IF(CALC_EPM!$B130="","",CALC_EPM!K130)</f>
      </c>
      <c r="L141">
        <f>IF(CALC_EPM!$B130="","",CALC_EPM!L130)</f>
      </c>
      <c r="M141">
        <f>IF(CALC_EPM!$B130="","",CALC_EPM!M130)</f>
      </c>
      <c r="N141">
        <f>IF(CALC_EPM!$B130="","",CALC_EPM!N130)</f>
      </c>
      <c r="O141">
        <f>IF(CALC_EPM!$B130="","",CALC_EPM!O130)</f>
      </c>
      <c r="P141">
        <f>IF(CALC_EPM!$B130="","",CALC_EPM!P130)</f>
      </c>
      <c r="Q141">
        <f>IF(CALC_EPM!$B130="","",CALC_EPM!Q130)</f>
      </c>
      <c r="R141">
        <f>IF(CALC_EPM!$B130="","",CALC_EPM!R130)</f>
      </c>
      <c r="S141">
        <f>IF(CALC_EPM!$B130="","",CALC_EPM!S130)</f>
      </c>
      <c r="T141">
        <f>IF(CALC_EPM!$B130="","",CALC_EPM!T130)</f>
      </c>
      <c r="U141">
        <f>IF(CALC_EPM!$B130="","",CALC_EPM!U130)</f>
      </c>
    </row>
    <row r="142">
      <c r="A142" t="str">
        <f>IF(CALC_EPM!$B131="","",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)</f>
      </c>
      <c r="B142" t="str">
        <f>IF(CALC_EPM!$B131="","",CALC_EPM!A131)</f>
      </c>
      <c r="C142" t="str">
        <f>IF(CALC_EPM!$B131="","",CALC_EPM!B131)</f>
      </c>
      <c r="D142">
        <f>IF(CALC_EPM!$B131="","",CALC_EPM!D131)</f>
      </c>
      <c r="E142" s="10" t="str">
        <f>IF(CALC_EPM!$B131="","",CALC_EPM!E131)</f>
      </c>
      <c r="F142" s="10" t="str">
        <f>IF(CALC_EPM!$B131="","",CALC_EPM!F131)</f>
      </c>
      <c r="G142" t="str">
        <f>IF(CALC_EPM!$B131="","",CALC_EPM!G131)</f>
      </c>
      <c r="H142" s="11" t="str">
        <f>IF(CALC_EPM!$B131="","",CALC_EPM!H131)</f>
      </c>
      <c r="I142" s="11" t="str">
        <f>IF(CALC_EPM!$B131="","",CALC_EPM!I131)</f>
      </c>
      <c r="J142" t="str">
        <f>IF(CALC_EPM!$B131="","",CALC_EPM!J131)</f>
      </c>
      <c r="K142" t="str">
        <f>IF(CALC_EPM!$B131="","",CALC_EPM!K131)</f>
      </c>
      <c r="L142">
        <f>IF(CALC_EPM!$B131="","",CALC_EPM!L131)</f>
      </c>
      <c r="M142">
        <f>IF(CALC_EPM!$B131="","",CALC_EPM!M131)</f>
      </c>
      <c r="N142">
        <f>IF(CALC_EPM!$B131="","",CALC_EPM!N131)</f>
      </c>
      <c r="O142">
        <f>IF(CALC_EPM!$B131="","",CALC_EPM!O131)</f>
      </c>
      <c r="P142">
        <f>IF(CALC_EPM!$B131="","",CALC_EPM!P131)</f>
      </c>
      <c r="Q142">
        <f>IF(CALC_EPM!$B131="","",CALC_EPM!Q131)</f>
      </c>
      <c r="R142">
        <f>IF(CALC_EPM!$B131="","",CALC_EPM!R131)</f>
      </c>
      <c r="S142">
        <f>IF(CALC_EPM!$B131="","",CALC_EPM!S131)</f>
      </c>
      <c r="T142">
        <f>IF(CALC_EPM!$B131="","",CALC_EPM!T131)</f>
      </c>
      <c r="U142">
        <f>IF(CALC_EPM!$B131="","",CALC_EPM!U131)</f>
      </c>
    </row>
    <row r="143">
      <c r="A143" t="str">
        <f>IF(CALC_EPM!$B132="","",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)</f>
      </c>
      <c r="B143" t="str">
        <f>IF(CALC_EPM!$B132="","",CALC_EPM!A132)</f>
      </c>
      <c r="C143" t="str">
        <f>IF(CALC_EPM!$B132="","",CALC_EPM!B132)</f>
      </c>
      <c r="D143">
        <f>IF(CALC_EPM!$B132="","",CALC_EPM!D132)</f>
      </c>
      <c r="E143" s="10" t="str">
        <f>IF(CALC_EPM!$B132="","",CALC_EPM!E132)</f>
      </c>
      <c r="F143" s="10" t="str">
        <f>IF(CALC_EPM!$B132="","",CALC_EPM!F132)</f>
      </c>
      <c r="G143" t="str">
        <f>IF(CALC_EPM!$B132="","",CALC_EPM!G132)</f>
      </c>
      <c r="H143" s="11" t="str">
        <f>IF(CALC_EPM!$B132="","",CALC_EPM!H132)</f>
      </c>
      <c r="I143" s="11" t="str">
        <f>IF(CALC_EPM!$B132="","",CALC_EPM!I132)</f>
      </c>
      <c r="J143" t="str">
        <f>IF(CALC_EPM!$B132="","",CALC_EPM!J132)</f>
      </c>
      <c r="K143" t="str">
        <f>IF(CALC_EPM!$B132="","",CALC_EPM!K132)</f>
      </c>
      <c r="L143">
        <f>IF(CALC_EPM!$B132="","",CALC_EPM!L132)</f>
      </c>
      <c r="M143">
        <f>IF(CALC_EPM!$B132="","",CALC_EPM!M132)</f>
      </c>
      <c r="N143">
        <f>IF(CALC_EPM!$B132="","",CALC_EPM!N132)</f>
      </c>
      <c r="O143">
        <f>IF(CALC_EPM!$B132="","",CALC_EPM!O132)</f>
      </c>
      <c r="P143">
        <f>IF(CALC_EPM!$B132="","",CALC_EPM!P132)</f>
      </c>
      <c r="Q143">
        <f>IF(CALC_EPM!$B132="","",CALC_EPM!Q132)</f>
      </c>
      <c r="R143">
        <f>IF(CALC_EPM!$B132="","",CALC_EPM!R132)</f>
      </c>
      <c r="S143">
        <f>IF(CALC_EPM!$B132="","",CALC_EPM!S132)</f>
      </c>
      <c r="T143">
        <f>IF(CALC_EPM!$B132="","",CALC_EPM!T132)</f>
      </c>
      <c r="U143">
        <f>IF(CALC_EPM!$B132="","",CALC_EPM!U132)</f>
      </c>
    </row>
    <row r="144">
      <c r="A144" t="str">
        <f>IF(CALC_EPM!$B133="","",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)</f>
      </c>
      <c r="B144" t="str">
        <f>IF(CALC_EPM!$B133="","",CALC_EPM!A133)</f>
      </c>
      <c r="C144" t="str">
        <f>IF(CALC_EPM!$B133="","",CALC_EPM!B133)</f>
      </c>
      <c r="D144">
        <f>IF(CALC_EPM!$B133="","",CALC_EPM!D133)</f>
      </c>
      <c r="E144" s="10" t="str">
        <f>IF(CALC_EPM!$B133="","",CALC_EPM!E133)</f>
      </c>
      <c r="F144" s="10" t="str">
        <f>IF(CALC_EPM!$B133="","",CALC_EPM!F133)</f>
      </c>
      <c r="G144" t="str">
        <f>IF(CALC_EPM!$B133="","",CALC_EPM!G133)</f>
      </c>
      <c r="H144" s="11" t="str">
        <f>IF(CALC_EPM!$B133="","",CALC_EPM!H133)</f>
      </c>
      <c r="I144" s="11" t="str">
        <f>IF(CALC_EPM!$B133="","",CALC_EPM!I133)</f>
      </c>
      <c r="J144" t="str">
        <f>IF(CALC_EPM!$B133="","",CALC_EPM!J133)</f>
      </c>
      <c r="K144" t="str">
        <f>IF(CALC_EPM!$B133="","",CALC_EPM!K133)</f>
      </c>
      <c r="L144">
        <f>IF(CALC_EPM!$B133="","",CALC_EPM!L133)</f>
      </c>
      <c r="M144">
        <f>IF(CALC_EPM!$B133="","",CALC_EPM!M133)</f>
      </c>
      <c r="N144">
        <f>IF(CALC_EPM!$B133="","",CALC_EPM!N133)</f>
      </c>
      <c r="O144">
        <f>IF(CALC_EPM!$B133="","",CALC_EPM!O133)</f>
      </c>
      <c r="P144">
        <f>IF(CALC_EPM!$B133="","",CALC_EPM!P133)</f>
      </c>
      <c r="Q144">
        <f>IF(CALC_EPM!$B133="","",CALC_EPM!Q133)</f>
      </c>
      <c r="R144">
        <f>IF(CALC_EPM!$B133="","",CALC_EPM!R133)</f>
      </c>
      <c r="S144">
        <f>IF(CALC_EPM!$B133="","",CALC_EPM!S133)</f>
      </c>
      <c r="T144">
        <f>IF(CALC_EPM!$B133="","",CALC_EPM!T133)</f>
      </c>
      <c r="U144">
        <f>IF(CALC_EPM!$B133="","",CALC_EPM!U133)</f>
      </c>
    </row>
    <row r="145">
      <c r="A145" t="str">
        <f>IF(CALC_EPM!$B134="","",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)</f>
      </c>
      <c r="B145" t="str">
        <f>IF(CALC_EPM!$B134="","",CALC_EPM!A134)</f>
      </c>
      <c r="C145" t="str">
        <f>IF(CALC_EPM!$B134="","",CALC_EPM!B134)</f>
      </c>
      <c r="D145">
        <f>IF(CALC_EPM!$B134="","",CALC_EPM!D134)</f>
      </c>
      <c r="E145" s="10" t="str">
        <f>IF(CALC_EPM!$B134="","",CALC_EPM!E134)</f>
      </c>
      <c r="F145" s="10" t="str">
        <f>IF(CALC_EPM!$B134="","",CALC_EPM!F134)</f>
      </c>
      <c r="G145" t="str">
        <f>IF(CALC_EPM!$B134="","",CALC_EPM!G134)</f>
      </c>
      <c r="H145" s="11" t="str">
        <f>IF(CALC_EPM!$B134="","",CALC_EPM!H134)</f>
      </c>
      <c r="I145" s="11" t="str">
        <f>IF(CALC_EPM!$B134="","",CALC_EPM!I134)</f>
      </c>
      <c r="J145" t="str">
        <f>IF(CALC_EPM!$B134="","",CALC_EPM!J134)</f>
      </c>
      <c r="K145" t="str">
        <f>IF(CALC_EPM!$B134="","",CALC_EPM!K134)</f>
      </c>
      <c r="L145">
        <f>IF(CALC_EPM!$B134="","",CALC_EPM!L134)</f>
      </c>
      <c r="M145">
        <f>IF(CALC_EPM!$B134="","",CALC_EPM!M134)</f>
      </c>
      <c r="N145">
        <f>IF(CALC_EPM!$B134="","",CALC_EPM!N134)</f>
      </c>
      <c r="O145">
        <f>IF(CALC_EPM!$B134="","",CALC_EPM!O134)</f>
      </c>
      <c r="P145">
        <f>IF(CALC_EPM!$B134="","",CALC_EPM!P134)</f>
      </c>
      <c r="Q145">
        <f>IF(CALC_EPM!$B134="","",CALC_EPM!Q134)</f>
      </c>
      <c r="R145">
        <f>IF(CALC_EPM!$B134="","",CALC_EPM!R134)</f>
      </c>
      <c r="S145">
        <f>IF(CALC_EPM!$B134="","",CALC_EPM!S134)</f>
      </c>
      <c r="T145">
        <f>IF(CALC_EPM!$B134="","",CALC_EPM!T134)</f>
      </c>
      <c r="U145">
        <f>IF(CALC_EPM!$B134="","",CALC_EPM!U134)</f>
      </c>
    </row>
    <row r="146">
      <c r="A146" t="str">
        <f>IF(CALC_EPM!$B135="","",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)</f>
      </c>
      <c r="B146" t="str">
        <f>IF(CALC_EPM!$B135="","",CALC_EPM!A135)</f>
      </c>
      <c r="C146" t="str">
        <f>IF(CALC_EPM!$B135="","",CALC_EPM!B135)</f>
      </c>
      <c r="D146">
        <f>IF(CALC_EPM!$B135="","",CALC_EPM!D135)</f>
      </c>
      <c r="E146" s="10" t="str">
        <f>IF(CALC_EPM!$B135="","",CALC_EPM!E135)</f>
      </c>
      <c r="F146" s="10" t="str">
        <f>IF(CALC_EPM!$B135="","",CALC_EPM!F135)</f>
      </c>
      <c r="G146" t="str">
        <f>IF(CALC_EPM!$B135="","",CALC_EPM!G135)</f>
      </c>
      <c r="H146" s="11" t="str">
        <f>IF(CALC_EPM!$B135="","",CALC_EPM!H135)</f>
      </c>
      <c r="I146" s="11" t="str">
        <f>IF(CALC_EPM!$B135="","",CALC_EPM!I135)</f>
      </c>
      <c r="J146" t="str">
        <f>IF(CALC_EPM!$B135="","",CALC_EPM!J135)</f>
      </c>
      <c r="K146" t="str">
        <f>IF(CALC_EPM!$B135="","",CALC_EPM!K135)</f>
      </c>
      <c r="L146">
        <f>IF(CALC_EPM!$B135="","",CALC_EPM!L135)</f>
      </c>
      <c r="M146">
        <f>IF(CALC_EPM!$B135="","",CALC_EPM!M135)</f>
      </c>
      <c r="N146">
        <f>IF(CALC_EPM!$B135="","",CALC_EPM!N135)</f>
      </c>
      <c r="O146">
        <f>IF(CALC_EPM!$B135="","",CALC_EPM!O135)</f>
      </c>
      <c r="P146">
        <f>IF(CALC_EPM!$B135="","",CALC_EPM!P135)</f>
      </c>
      <c r="Q146">
        <f>IF(CALC_EPM!$B135="","",CALC_EPM!Q135)</f>
      </c>
      <c r="R146">
        <f>IF(CALC_EPM!$B135="","",CALC_EPM!R135)</f>
      </c>
      <c r="S146">
        <f>IF(CALC_EPM!$B135="","",CALC_EPM!S135)</f>
      </c>
      <c r="T146">
        <f>IF(CALC_EPM!$B135="","",CALC_EPM!T135)</f>
      </c>
      <c r="U146">
        <f>IF(CALC_EPM!$B135="","",CALC_EPM!U135)</f>
      </c>
    </row>
    <row r="147">
      <c r="A147" t="str">
        <f>IF(CALC_EPM!$B136="","",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)</f>
      </c>
      <c r="B147" t="str">
        <f>IF(CALC_EPM!$B136="","",CALC_EPM!A136)</f>
      </c>
      <c r="C147" t="str">
        <f>IF(CALC_EPM!$B136="","",CALC_EPM!B136)</f>
      </c>
      <c r="D147">
        <f>IF(CALC_EPM!$B136="","",CALC_EPM!D136)</f>
      </c>
      <c r="E147" s="10" t="str">
        <f>IF(CALC_EPM!$B136="","",CALC_EPM!E136)</f>
      </c>
      <c r="F147" s="10" t="str">
        <f>IF(CALC_EPM!$B136="","",CALC_EPM!F136)</f>
      </c>
      <c r="G147" t="str">
        <f>IF(CALC_EPM!$B136="","",CALC_EPM!G136)</f>
      </c>
      <c r="H147" s="11" t="str">
        <f>IF(CALC_EPM!$B136="","",CALC_EPM!H136)</f>
      </c>
      <c r="I147" s="11" t="str">
        <f>IF(CALC_EPM!$B136="","",CALC_EPM!I136)</f>
      </c>
      <c r="J147" t="str">
        <f>IF(CALC_EPM!$B136="","",CALC_EPM!J136)</f>
      </c>
      <c r="K147" t="str">
        <f>IF(CALC_EPM!$B136="","",CALC_EPM!K136)</f>
      </c>
      <c r="L147">
        <f>IF(CALC_EPM!$B136="","",CALC_EPM!L136)</f>
      </c>
      <c r="M147">
        <f>IF(CALC_EPM!$B136="","",CALC_EPM!M136)</f>
      </c>
      <c r="N147">
        <f>IF(CALC_EPM!$B136="","",CALC_EPM!N136)</f>
      </c>
      <c r="O147">
        <f>IF(CALC_EPM!$B136="","",CALC_EPM!O136)</f>
      </c>
      <c r="P147">
        <f>IF(CALC_EPM!$B136="","",CALC_EPM!P136)</f>
      </c>
      <c r="Q147">
        <f>IF(CALC_EPM!$B136="","",CALC_EPM!Q136)</f>
      </c>
      <c r="R147">
        <f>IF(CALC_EPM!$B136="","",CALC_EPM!R136)</f>
      </c>
      <c r="S147">
        <f>IF(CALC_EPM!$B136="","",CALC_EPM!S136)</f>
      </c>
      <c r="T147">
        <f>IF(CALC_EPM!$B136="","",CALC_EPM!T136)</f>
      </c>
      <c r="U147">
        <f>IF(CALC_EPM!$B136="","",CALC_EPM!U136)</f>
      </c>
    </row>
    <row r="148">
      <c r="A148" t="str">
        <f>IF(CALC_EPM!$B137="","",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)</f>
      </c>
      <c r="B148" t="str">
        <f>IF(CALC_EPM!$B137="","",CALC_EPM!A137)</f>
      </c>
      <c r="C148" t="str">
        <f>IF(CALC_EPM!$B137="","",CALC_EPM!B137)</f>
      </c>
      <c r="D148">
        <f>IF(CALC_EPM!$B137="","",CALC_EPM!D137)</f>
      </c>
      <c r="E148" s="10" t="str">
        <f>IF(CALC_EPM!$B137="","",CALC_EPM!E137)</f>
      </c>
      <c r="F148" s="10" t="str">
        <f>IF(CALC_EPM!$B137="","",CALC_EPM!F137)</f>
      </c>
      <c r="G148" t="str">
        <f>IF(CALC_EPM!$B137="","",CALC_EPM!G137)</f>
      </c>
      <c r="H148" s="11" t="str">
        <f>IF(CALC_EPM!$B137="","",CALC_EPM!H137)</f>
      </c>
      <c r="I148" s="11" t="str">
        <f>IF(CALC_EPM!$B137="","",CALC_EPM!I137)</f>
      </c>
      <c r="J148" t="str">
        <f>IF(CALC_EPM!$B137="","",CALC_EPM!J137)</f>
      </c>
      <c r="K148" t="str">
        <f>IF(CALC_EPM!$B137="","",CALC_EPM!K137)</f>
      </c>
      <c r="L148">
        <f>IF(CALC_EPM!$B137="","",CALC_EPM!L137)</f>
      </c>
      <c r="M148">
        <f>IF(CALC_EPM!$B137="","",CALC_EPM!M137)</f>
      </c>
      <c r="N148">
        <f>IF(CALC_EPM!$B137="","",CALC_EPM!N137)</f>
      </c>
      <c r="O148">
        <f>IF(CALC_EPM!$B137="","",CALC_EPM!O137)</f>
      </c>
      <c r="P148">
        <f>IF(CALC_EPM!$B137="","",CALC_EPM!P137)</f>
      </c>
      <c r="Q148">
        <f>IF(CALC_EPM!$B137="","",CALC_EPM!Q137)</f>
      </c>
      <c r="R148">
        <f>IF(CALC_EPM!$B137="","",CALC_EPM!R137)</f>
      </c>
      <c r="S148">
        <f>IF(CALC_EPM!$B137="","",CALC_EPM!S137)</f>
      </c>
      <c r="T148">
        <f>IF(CALC_EPM!$B137="","",CALC_EPM!T137)</f>
      </c>
      <c r="U148">
        <f>IF(CALC_EPM!$B137="","",CALC_EPM!U137)</f>
      </c>
    </row>
    <row r="149">
      <c r="A149" t="str">
        <f>IF(CALC_EPM!$B138="","",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)</f>
      </c>
      <c r="B149" t="str">
        <f>IF(CALC_EPM!$B138="","",CALC_EPM!A138)</f>
      </c>
      <c r="C149" t="str">
        <f>IF(CALC_EPM!$B138="","",CALC_EPM!B138)</f>
      </c>
      <c r="D149">
        <f>IF(CALC_EPM!$B138="","",CALC_EPM!D138)</f>
      </c>
      <c r="E149" s="10" t="str">
        <f>IF(CALC_EPM!$B138="","",CALC_EPM!E138)</f>
      </c>
      <c r="F149" s="10" t="str">
        <f>IF(CALC_EPM!$B138="","",CALC_EPM!F138)</f>
      </c>
      <c r="G149" t="str">
        <f>IF(CALC_EPM!$B138="","",CALC_EPM!G138)</f>
      </c>
      <c r="H149" s="11" t="str">
        <f>IF(CALC_EPM!$B138="","",CALC_EPM!H138)</f>
      </c>
      <c r="I149" s="11" t="str">
        <f>IF(CALC_EPM!$B138="","",CALC_EPM!I138)</f>
      </c>
      <c r="J149" t="str">
        <f>IF(CALC_EPM!$B138="","",CALC_EPM!J138)</f>
      </c>
      <c r="K149" t="str">
        <f>IF(CALC_EPM!$B138="","",CALC_EPM!K138)</f>
      </c>
      <c r="L149">
        <f>IF(CALC_EPM!$B138="","",CALC_EPM!L138)</f>
      </c>
      <c r="M149">
        <f>IF(CALC_EPM!$B138="","",CALC_EPM!M138)</f>
      </c>
      <c r="N149">
        <f>IF(CALC_EPM!$B138="","",CALC_EPM!N138)</f>
      </c>
      <c r="O149">
        <f>IF(CALC_EPM!$B138="","",CALC_EPM!O138)</f>
      </c>
      <c r="P149">
        <f>IF(CALC_EPM!$B138="","",CALC_EPM!P138)</f>
      </c>
      <c r="Q149">
        <f>IF(CALC_EPM!$B138="","",CALC_EPM!Q138)</f>
      </c>
      <c r="R149">
        <f>IF(CALC_EPM!$B138="","",CALC_EPM!R138)</f>
      </c>
      <c r="S149">
        <f>IF(CALC_EPM!$B138="","",CALC_EPM!S138)</f>
      </c>
      <c r="T149">
        <f>IF(CALC_EPM!$B138="","",CALC_EPM!T138)</f>
      </c>
      <c r="U149">
        <f>IF(CALC_EPM!$B138="","",CALC_EPM!U138)</f>
      </c>
    </row>
    <row r="150">
      <c r="A150" t="str">
        <f>IF(CALC_EPM!$B139="","",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)</f>
      </c>
      <c r="B150" t="str">
        <f>IF(CALC_EPM!$B139="","",CALC_EPM!A139)</f>
      </c>
      <c r="C150" t="str">
        <f>IF(CALC_EPM!$B139="","",CALC_EPM!B139)</f>
      </c>
      <c r="D150">
        <f>IF(CALC_EPM!$B139="","",CALC_EPM!D139)</f>
      </c>
      <c r="E150" s="10" t="str">
        <f>IF(CALC_EPM!$B139="","",CALC_EPM!E139)</f>
      </c>
      <c r="F150" s="10" t="str">
        <f>IF(CALC_EPM!$B139="","",CALC_EPM!F139)</f>
      </c>
      <c r="G150" t="str">
        <f>IF(CALC_EPM!$B139="","",CALC_EPM!G139)</f>
      </c>
      <c r="H150" s="11" t="str">
        <f>IF(CALC_EPM!$B139="","",CALC_EPM!H139)</f>
      </c>
      <c r="I150" s="11" t="str">
        <f>IF(CALC_EPM!$B139="","",CALC_EPM!I139)</f>
      </c>
      <c r="J150" t="str">
        <f>IF(CALC_EPM!$B139="","",CALC_EPM!J139)</f>
      </c>
      <c r="K150" t="str">
        <f>IF(CALC_EPM!$B139="","",CALC_EPM!K139)</f>
      </c>
      <c r="L150">
        <f>IF(CALC_EPM!$B139="","",CALC_EPM!L139)</f>
      </c>
      <c r="M150">
        <f>IF(CALC_EPM!$B139="","",CALC_EPM!M139)</f>
      </c>
      <c r="N150">
        <f>IF(CALC_EPM!$B139="","",CALC_EPM!N139)</f>
      </c>
      <c r="O150">
        <f>IF(CALC_EPM!$B139="","",CALC_EPM!O139)</f>
      </c>
      <c r="P150">
        <f>IF(CALC_EPM!$B139="","",CALC_EPM!P139)</f>
      </c>
      <c r="Q150">
        <f>IF(CALC_EPM!$B139="","",CALC_EPM!Q139)</f>
      </c>
      <c r="R150">
        <f>IF(CALC_EPM!$B139="","",CALC_EPM!R139)</f>
      </c>
      <c r="S150">
        <f>IF(CALC_EPM!$B139="","",CALC_EPM!S139)</f>
      </c>
      <c r="T150">
        <f>IF(CALC_EPM!$B139="","",CALC_EPM!T139)</f>
      </c>
      <c r="U150">
        <f>IF(CALC_EPM!$B139="","",CALC_EPM!U139)</f>
      </c>
    </row>
    <row r="151">
      <c r="A151" t="str">
        <f>IF(CALC_EPM!$B140="","",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)</f>
      </c>
      <c r="B151" t="str">
        <f>IF(CALC_EPM!$B140="","",CALC_EPM!A140)</f>
      </c>
      <c r="C151" t="str">
        <f>IF(CALC_EPM!$B140="","",CALC_EPM!B140)</f>
      </c>
      <c r="D151">
        <f>IF(CALC_EPM!$B140="","",CALC_EPM!D140)</f>
      </c>
      <c r="E151" s="10" t="str">
        <f>IF(CALC_EPM!$B140="","",CALC_EPM!E140)</f>
      </c>
      <c r="F151" s="10" t="str">
        <f>IF(CALC_EPM!$B140="","",CALC_EPM!F140)</f>
      </c>
      <c r="G151" t="str">
        <f>IF(CALC_EPM!$B140="","",CALC_EPM!G140)</f>
      </c>
      <c r="H151" s="11" t="str">
        <f>IF(CALC_EPM!$B140="","",CALC_EPM!H140)</f>
      </c>
      <c r="I151" s="11" t="str">
        <f>IF(CALC_EPM!$B140="","",CALC_EPM!I140)</f>
      </c>
      <c r="J151" t="str">
        <f>IF(CALC_EPM!$B140="","",CALC_EPM!J140)</f>
      </c>
      <c r="K151" t="str">
        <f>IF(CALC_EPM!$B140="","",CALC_EPM!K140)</f>
      </c>
      <c r="L151">
        <f>IF(CALC_EPM!$B140="","",CALC_EPM!L140)</f>
      </c>
      <c r="M151">
        <f>IF(CALC_EPM!$B140="","",CALC_EPM!M140)</f>
      </c>
      <c r="N151">
        <f>IF(CALC_EPM!$B140="","",CALC_EPM!N140)</f>
      </c>
      <c r="O151">
        <f>IF(CALC_EPM!$B140="","",CALC_EPM!O140)</f>
      </c>
      <c r="P151">
        <f>IF(CALC_EPM!$B140="","",CALC_EPM!P140)</f>
      </c>
      <c r="Q151">
        <f>IF(CALC_EPM!$B140="","",CALC_EPM!Q140)</f>
      </c>
      <c r="R151">
        <f>IF(CALC_EPM!$B140="","",CALC_EPM!R140)</f>
      </c>
      <c r="S151">
        <f>IF(CALC_EPM!$B140="","",CALC_EPM!S140)</f>
      </c>
      <c r="T151">
        <f>IF(CALC_EPM!$B140="","",CALC_EPM!T140)</f>
      </c>
      <c r="U151">
        <f>IF(CALC_EPM!$B140="","",CALC_EPM!U140)</f>
      </c>
    </row>
    <row r="152">
      <c r="A152" t="str">
        <f>IF(CALC_EPM!$B141="","",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)</f>
      </c>
      <c r="B152" t="str">
        <f>IF(CALC_EPM!$B141="","",CALC_EPM!A141)</f>
      </c>
      <c r="C152" t="str">
        <f>IF(CALC_EPM!$B141="","",CALC_EPM!B141)</f>
      </c>
      <c r="D152">
        <f>IF(CALC_EPM!$B141="","",CALC_EPM!D141)</f>
      </c>
      <c r="E152" s="10" t="str">
        <f>IF(CALC_EPM!$B141="","",CALC_EPM!E141)</f>
      </c>
      <c r="F152" s="10" t="str">
        <f>IF(CALC_EPM!$B141="","",CALC_EPM!F141)</f>
      </c>
      <c r="G152" t="str">
        <f>IF(CALC_EPM!$B141="","",CALC_EPM!G141)</f>
      </c>
      <c r="H152" s="11" t="str">
        <f>IF(CALC_EPM!$B141="","",CALC_EPM!H141)</f>
      </c>
      <c r="I152" s="11" t="str">
        <f>IF(CALC_EPM!$B141="","",CALC_EPM!I141)</f>
      </c>
      <c r="J152" t="str">
        <f>IF(CALC_EPM!$B141="","",CALC_EPM!J141)</f>
      </c>
      <c r="K152" t="str">
        <f>IF(CALC_EPM!$B141="","",CALC_EPM!K141)</f>
      </c>
      <c r="L152">
        <f>IF(CALC_EPM!$B141="","",CALC_EPM!L141)</f>
      </c>
      <c r="M152">
        <f>IF(CALC_EPM!$B141="","",CALC_EPM!M141)</f>
      </c>
      <c r="N152">
        <f>IF(CALC_EPM!$B141="","",CALC_EPM!N141)</f>
      </c>
      <c r="O152">
        <f>IF(CALC_EPM!$B141="","",CALC_EPM!O141)</f>
      </c>
      <c r="P152">
        <f>IF(CALC_EPM!$B141="","",CALC_EPM!P141)</f>
      </c>
      <c r="Q152">
        <f>IF(CALC_EPM!$B141="","",CALC_EPM!Q141)</f>
      </c>
      <c r="R152">
        <f>IF(CALC_EPM!$B141="","",CALC_EPM!R141)</f>
      </c>
      <c r="S152">
        <f>IF(CALC_EPM!$B141="","",CALC_EPM!S141)</f>
      </c>
      <c r="T152">
        <f>IF(CALC_EPM!$B141="","",CALC_EPM!T141)</f>
      </c>
      <c r="U152">
        <f>IF(CALC_EPM!$B141="","",CALC_EPM!U141)</f>
      </c>
    </row>
    <row r="153">
      <c r="A153" t="str">
        <f>IF(CALC_EPM!$B142="","",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)</f>
      </c>
      <c r="B153" t="str">
        <f>IF(CALC_EPM!$B142="","",CALC_EPM!A142)</f>
      </c>
      <c r="C153" t="str">
        <f>IF(CALC_EPM!$B142="","",CALC_EPM!B142)</f>
      </c>
      <c r="D153">
        <f>IF(CALC_EPM!$B142="","",CALC_EPM!D142)</f>
      </c>
      <c r="E153" s="10" t="str">
        <f>IF(CALC_EPM!$B142="","",CALC_EPM!E142)</f>
      </c>
      <c r="F153" s="10" t="str">
        <f>IF(CALC_EPM!$B142="","",CALC_EPM!F142)</f>
      </c>
      <c r="G153" t="str">
        <f>IF(CALC_EPM!$B142="","",CALC_EPM!G142)</f>
      </c>
      <c r="H153" s="11" t="str">
        <f>IF(CALC_EPM!$B142="","",CALC_EPM!H142)</f>
      </c>
      <c r="I153" s="11" t="str">
        <f>IF(CALC_EPM!$B142="","",CALC_EPM!I142)</f>
      </c>
      <c r="J153" t="str">
        <f>IF(CALC_EPM!$B142="","",CALC_EPM!J142)</f>
      </c>
      <c r="K153" t="str">
        <f>IF(CALC_EPM!$B142="","",CALC_EPM!K142)</f>
      </c>
      <c r="L153">
        <f>IF(CALC_EPM!$B142="","",CALC_EPM!L142)</f>
      </c>
      <c r="M153">
        <f>IF(CALC_EPM!$B142="","",CALC_EPM!M142)</f>
      </c>
      <c r="N153">
        <f>IF(CALC_EPM!$B142="","",CALC_EPM!N142)</f>
      </c>
      <c r="O153">
        <f>IF(CALC_EPM!$B142="","",CALC_EPM!O142)</f>
      </c>
      <c r="P153">
        <f>IF(CALC_EPM!$B142="","",CALC_EPM!P142)</f>
      </c>
      <c r="Q153">
        <f>IF(CALC_EPM!$B142="","",CALC_EPM!Q142)</f>
      </c>
      <c r="R153">
        <f>IF(CALC_EPM!$B142="","",CALC_EPM!R142)</f>
      </c>
      <c r="S153">
        <f>IF(CALC_EPM!$B142="","",CALC_EPM!S142)</f>
      </c>
      <c r="T153">
        <f>IF(CALC_EPM!$B142="","",CALC_EPM!T142)</f>
      </c>
      <c r="U153">
        <f>IF(CALC_EPM!$B142="","",CALC_EPM!U142)</f>
      </c>
    </row>
    <row r="154">
      <c r="A154" t="str">
        <f>IF(CALC_EPM!$B143="","",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)</f>
      </c>
      <c r="B154" t="str">
        <f>IF(CALC_EPM!$B143="","",CALC_EPM!A143)</f>
      </c>
      <c r="C154" t="str">
        <f>IF(CALC_EPM!$B143="","",CALC_EPM!B143)</f>
      </c>
      <c r="D154">
        <f>IF(CALC_EPM!$B143="","",CALC_EPM!D143)</f>
      </c>
      <c r="E154" s="10" t="str">
        <f>IF(CALC_EPM!$B143="","",CALC_EPM!E143)</f>
      </c>
      <c r="F154" s="10" t="str">
        <f>IF(CALC_EPM!$B143="","",CALC_EPM!F143)</f>
      </c>
      <c r="G154" t="str">
        <f>IF(CALC_EPM!$B143="","",CALC_EPM!G143)</f>
      </c>
      <c r="H154" s="11" t="str">
        <f>IF(CALC_EPM!$B143="","",CALC_EPM!H143)</f>
      </c>
      <c r="I154" s="11" t="str">
        <f>IF(CALC_EPM!$B143="","",CALC_EPM!I143)</f>
      </c>
      <c r="J154" t="str">
        <f>IF(CALC_EPM!$B143="","",CALC_EPM!J143)</f>
      </c>
      <c r="K154" t="str">
        <f>IF(CALC_EPM!$B143="","",CALC_EPM!K143)</f>
      </c>
      <c r="L154">
        <f>IF(CALC_EPM!$B143="","",CALC_EPM!L143)</f>
      </c>
      <c r="M154">
        <f>IF(CALC_EPM!$B143="","",CALC_EPM!M143)</f>
      </c>
      <c r="N154">
        <f>IF(CALC_EPM!$B143="","",CALC_EPM!N143)</f>
      </c>
      <c r="O154">
        <f>IF(CALC_EPM!$B143="","",CALC_EPM!O143)</f>
      </c>
      <c r="P154">
        <f>IF(CALC_EPM!$B143="","",CALC_EPM!P143)</f>
      </c>
      <c r="Q154">
        <f>IF(CALC_EPM!$B143="","",CALC_EPM!Q143)</f>
      </c>
      <c r="R154">
        <f>IF(CALC_EPM!$B143="","",CALC_EPM!R143)</f>
      </c>
      <c r="S154">
        <f>IF(CALC_EPM!$B143="","",CALC_EPM!S143)</f>
      </c>
      <c r="T154">
        <f>IF(CALC_EPM!$B143="","",CALC_EPM!T143)</f>
      </c>
      <c r="U154">
        <f>IF(CALC_EPM!$B143="","",CALC_EPM!U143)</f>
      </c>
    </row>
    <row r="155">
      <c r="A155" t="str">
        <f>IF(CALC_EPM!$B144="","",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)</f>
      </c>
      <c r="B155" t="str">
        <f>IF(CALC_EPM!$B144="","",CALC_EPM!A144)</f>
      </c>
      <c r="C155" t="str">
        <f>IF(CALC_EPM!$B144="","",CALC_EPM!B144)</f>
      </c>
      <c r="D155">
        <f>IF(CALC_EPM!$B144="","",CALC_EPM!D144)</f>
      </c>
      <c r="E155" s="10" t="str">
        <f>IF(CALC_EPM!$B144="","",CALC_EPM!E144)</f>
      </c>
      <c r="F155" s="10" t="str">
        <f>IF(CALC_EPM!$B144="","",CALC_EPM!F144)</f>
      </c>
      <c r="G155" t="str">
        <f>IF(CALC_EPM!$B144="","",CALC_EPM!G144)</f>
      </c>
      <c r="H155" s="11" t="str">
        <f>IF(CALC_EPM!$B144="","",CALC_EPM!H144)</f>
      </c>
      <c r="I155" s="11" t="str">
        <f>IF(CALC_EPM!$B144="","",CALC_EPM!I144)</f>
      </c>
      <c r="J155" t="str">
        <f>IF(CALC_EPM!$B144="","",CALC_EPM!J144)</f>
      </c>
      <c r="K155" t="str">
        <f>IF(CALC_EPM!$B144="","",CALC_EPM!K144)</f>
      </c>
      <c r="L155">
        <f>IF(CALC_EPM!$B144="","",CALC_EPM!L144)</f>
      </c>
      <c r="M155">
        <f>IF(CALC_EPM!$B144="","",CALC_EPM!M144)</f>
      </c>
      <c r="N155">
        <f>IF(CALC_EPM!$B144="","",CALC_EPM!N144)</f>
      </c>
      <c r="O155">
        <f>IF(CALC_EPM!$B144="","",CALC_EPM!O144)</f>
      </c>
      <c r="P155">
        <f>IF(CALC_EPM!$B144="","",CALC_EPM!P144)</f>
      </c>
      <c r="Q155">
        <f>IF(CALC_EPM!$B144="","",CALC_EPM!Q144)</f>
      </c>
      <c r="R155">
        <f>IF(CALC_EPM!$B144="","",CALC_EPM!R144)</f>
      </c>
      <c r="S155">
        <f>IF(CALC_EPM!$B144="","",CALC_EPM!S144)</f>
      </c>
      <c r="T155">
        <f>IF(CALC_EPM!$B144="","",CALC_EPM!T144)</f>
      </c>
      <c r="U155">
        <f>IF(CALC_EPM!$B144="","",CALC_EPM!U144)</f>
      </c>
    </row>
    <row r="156">
      <c r="A156" t="str">
        <f>IF(CALC_EPM!$B145="","",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)</f>
      </c>
      <c r="B156" t="str">
        <f>IF(CALC_EPM!$B145="","",CALC_EPM!A145)</f>
      </c>
      <c r="C156" t="str">
        <f>IF(CALC_EPM!$B145="","",CALC_EPM!B145)</f>
      </c>
      <c r="D156">
        <f>IF(CALC_EPM!$B145="","",CALC_EPM!D145)</f>
      </c>
      <c r="E156" s="10" t="str">
        <f>IF(CALC_EPM!$B145="","",CALC_EPM!E145)</f>
      </c>
      <c r="F156" s="10" t="str">
        <f>IF(CALC_EPM!$B145="","",CALC_EPM!F145)</f>
      </c>
      <c r="G156" t="str">
        <f>IF(CALC_EPM!$B145="","",CALC_EPM!G145)</f>
      </c>
      <c r="H156" s="11" t="str">
        <f>IF(CALC_EPM!$B145="","",CALC_EPM!H145)</f>
      </c>
      <c r="I156" s="11" t="str">
        <f>IF(CALC_EPM!$B145="","",CALC_EPM!I145)</f>
      </c>
      <c r="J156" t="str">
        <f>IF(CALC_EPM!$B145="","",CALC_EPM!J145)</f>
      </c>
      <c r="K156" t="str">
        <f>IF(CALC_EPM!$B145="","",CALC_EPM!K145)</f>
      </c>
      <c r="L156">
        <f>IF(CALC_EPM!$B145="","",CALC_EPM!L145)</f>
      </c>
      <c r="M156">
        <f>IF(CALC_EPM!$B145="","",CALC_EPM!M145)</f>
      </c>
      <c r="N156">
        <f>IF(CALC_EPM!$B145="","",CALC_EPM!N145)</f>
      </c>
      <c r="O156">
        <f>IF(CALC_EPM!$B145="","",CALC_EPM!O145)</f>
      </c>
      <c r="P156">
        <f>IF(CALC_EPM!$B145="","",CALC_EPM!P145)</f>
      </c>
      <c r="Q156">
        <f>IF(CALC_EPM!$B145="","",CALC_EPM!Q145)</f>
      </c>
      <c r="R156">
        <f>IF(CALC_EPM!$B145="","",CALC_EPM!R145)</f>
      </c>
      <c r="S156">
        <f>IF(CALC_EPM!$B145="","",CALC_EPM!S145)</f>
      </c>
      <c r="T156">
        <f>IF(CALC_EPM!$B145="","",CALC_EPM!T145)</f>
      </c>
      <c r="U156">
        <f>IF(CALC_EPM!$B145="","",CALC_EPM!U145)</f>
      </c>
    </row>
    <row r="157">
      <c r="A157" t="str">
        <f>IF(CALC_EPM!$B146="","",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)</f>
      </c>
      <c r="B157" t="str">
        <f>IF(CALC_EPM!$B146="","",CALC_EPM!A146)</f>
      </c>
      <c r="C157" t="str">
        <f>IF(CALC_EPM!$B146="","",CALC_EPM!B146)</f>
      </c>
      <c r="D157">
        <f>IF(CALC_EPM!$B146="","",CALC_EPM!D146)</f>
      </c>
      <c r="E157" s="10" t="str">
        <f>IF(CALC_EPM!$B146="","",CALC_EPM!E146)</f>
      </c>
      <c r="F157" s="10" t="str">
        <f>IF(CALC_EPM!$B146="","",CALC_EPM!F146)</f>
      </c>
      <c r="G157" t="str">
        <f>IF(CALC_EPM!$B146="","",CALC_EPM!G146)</f>
      </c>
      <c r="H157" s="11" t="str">
        <f>IF(CALC_EPM!$B146="","",CALC_EPM!H146)</f>
      </c>
      <c r="I157" s="11" t="str">
        <f>IF(CALC_EPM!$B146="","",CALC_EPM!I146)</f>
      </c>
      <c r="J157" t="str">
        <f>IF(CALC_EPM!$B146="","",CALC_EPM!J146)</f>
      </c>
      <c r="K157" t="str">
        <f>IF(CALC_EPM!$B146="","",CALC_EPM!K146)</f>
      </c>
      <c r="L157">
        <f>IF(CALC_EPM!$B146="","",CALC_EPM!L146)</f>
      </c>
      <c r="M157">
        <f>IF(CALC_EPM!$B146="","",CALC_EPM!M146)</f>
      </c>
      <c r="N157">
        <f>IF(CALC_EPM!$B146="","",CALC_EPM!N146)</f>
      </c>
      <c r="O157">
        <f>IF(CALC_EPM!$B146="","",CALC_EPM!O146)</f>
      </c>
      <c r="P157">
        <f>IF(CALC_EPM!$B146="","",CALC_EPM!P146)</f>
      </c>
      <c r="Q157">
        <f>IF(CALC_EPM!$B146="","",CALC_EPM!Q146)</f>
      </c>
      <c r="R157">
        <f>IF(CALC_EPM!$B146="","",CALC_EPM!R146)</f>
      </c>
      <c r="S157">
        <f>IF(CALC_EPM!$B146="","",CALC_EPM!S146)</f>
      </c>
      <c r="T157">
        <f>IF(CALC_EPM!$B146="","",CALC_EPM!T146)</f>
      </c>
      <c r="U157">
        <f>IF(CALC_EPM!$B146="","",CALC_EPM!U146)</f>
      </c>
    </row>
    <row r="158">
      <c r="A158" t="str">
        <f>IF(CALC_EPM!$B147="","",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)</f>
      </c>
      <c r="B158" t="str">
        <f>IF(CALC_EPM!$B147="","",CALC_EPM!A147)</f>
      </c>
      <c r="C158" t="str">
        <f>IF(CALC_EPM!$B147="","",CALC_EPM!B147)</f>
      </c>
      <c r="D158">
        <f>IF(CALC_EPM!$B147="","",CALC_EPM!D147)</f>
      </c>
      <c r="E158" s="10" t="str">
        <f>IF(CALC_EPM!$B147="","",CALC_EPM!E147)</f>
      </c>
      <c r="F158" s="10" t="str">
        <f>IF(CALC_EPM!$B147="","",CALC_EPM!F147)</f>
      </c>
      <c r="G158" t="str">
        <f>IF(CALC_EPM!$B147="","",CALC_EPM!G147)</f>
      </c>
      <c r="H158" s="11" t="str">
        <f>IF(CALC_EPM!$B147="","",CALC_EPM!H147)</f>
      </c>
      <c r="I158" s="11" t="str">
        <f>IF(CALC_EPM!$B147="","",CALC_EPM!I147)</f>
      </c>
      <c r="J158" t="str">
        <f>IF(CALC_EPM!$B147="","",CALC_EPM!J147)</f>
      </c>
      <c r="K158" t="str">
        <f>IF(CALC_EPM!$B147="","",CALC_EPM!K147)</f>
      </c>
      <c r="L158">
        <f>IF(CALC_EPM!$B147="","",CALC_EPM!L147)</f>
      </c>
      <c r="M158">
        <f>IF(CALC_EPM!$B147="","",CALC_EPM!M147)</f>
      </c>
      <c r="N158">
        <f>IF(CALC_EPM!$B147="","",CALC_EPM!N147)</f>
      </c>
      <c r="O158">
        <f>IF(CALC_EPM!$B147="","",CALC_EPM!O147)</f>
      </c>
      <c r="P158">
        <f>IF(CALC_EPM!$B147="","",CALC_EPM!P147)</f>
      </c>
      <c r="Q158">
        <f>IF(CALC_EPM!$B147="","",CALC_EPM!Q147)</f>
      </c>
      <c r="R158">
        <f>IF(CALC_EPM!$B147="","",CALC_EPM!R147)</f>
      </c>
      <c r="S158">
        <f>IF(CALC_EPM!$B147="","",CALC_EPM!S147)</f>
      </c>
      <c r="T158">
        <f>IF(CALC_EPM!$B147="","",CALC_EPM!T147)</f>
      </c>
      <c r="U158">
        <f>IF(CALC_EPM!$B147="","",CALC_EPM!U147)</f>
      </c>
    </row>
    <row r="159">
      <c r="A159" t="str">
        <f>IF(CALC_EPM!$B148="","",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)</f>
      </c>
      <c r="B159" t="str">
        <f>IF(CALC_EPM!$B148="","",CALC_EPM!A148)</f>
      </c>
      <c r="C159" t="str">
        <f>IF(CALC_EPM!$B148="","",CALC_EPM!B148)</f>
      </c>
      <c r="D159">
        <f>IF(CALC_EPM!$B148="","",CALC_EPM!D148)</f>
      </c>
      <c r="E159" s="10" t="str">
        <f>IF(CALC_EPM!$B148="","",CALC_EPM!E148)</f>
      </c>
      <c r="F159" s="10" t="str">
        <f>IF(CALC_EPM!$B148="","",CALC_EPM!F148)</f>
      </c>
      <c r="G159" t="str">
        <f>IF(CALC_EPM!$B148="","",CALC_EPM!G148)</f>
      </c>
      <c r="H159" s="11" t="str">
        <f>IF(CALC_EPM!$B148="","",CALC_EPM!H148)</f>
      </c>
      <c r="I159" s="11" t="str">
        <f>IF(CALC_EPM!$B148="","",CALC_EPM!I148)</f>
      </c>
      <c r="J159" t="str">
        <f>IF(CALC_EPM!$B148="","",CALC_EPM!J148)</f>
      </c>
      <c r="K159" t="str">
        <f>IF(CALC_EPM!$B148="","",CALC_EPM!K148)</f>
      </c>
      <c r="L159">
        <f>IF(CALC_EPM!$B148="","",CALC_EPM!L148)</f>
      </c>
      <c r="M159">
        <f>IF(CALC_EPM!$B148="","",CALC_EPM!M148)</f>
      </c>
      <c r="N159">
        <f>IF(CALC_EPM!$B148="","",CALC_EPM!N148)</f>
      </c>
      <c r="O159">
        <f>IF(CALC_EPM!$B148="","",CALC_EPM!O148)</f>
      </c>
      <c r="P159">
        <f>IF(CALC_EPM!$B148="","",CALC_EPM!P148)</f>
      </c>
      <c r="Q159">
        <f>IF(CALC_EPM!$B148="","",CALC_EPM!Q148)</f>
      </c>
      <c r="R159">
        <f>IF(CALC_EPM!$B148="","",CALC_EPM!R148)</f>
      </c>
      <c r="S159">
        <f>IF(CALC_EPM!$B148="","",CALC_EPM!S148)</f>
      </c>
      <c r="T159">
        <f>IF(CALC_EPM!$B148="","",CALC_EPM!T148)</f>
      </c>
      <c r="U159">
        <f>IF(CALC_EPM!$B148="","",CALC_EPM!U148)</f>
      </c>
    </row>
    <row r="160">
      <c r="A160" t="str">
        <f>IF(CALC_EPM!$B149="","",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)</f>
      </c>
      <c r="B160" t="str">
        <f>IF(CALC_EPM!$B149="","",CALC_EPM!A149)</f>
      </c>
      <c r="C160" t="str">
        <f>IF(CALC_EPM!$B149="","",CALC_EPM!B149)</f>
      </c>
      <c r="D160">
        <f>IF(CALC_EPM!$B149="","",CALC_EPM!D149)</f>
      </c>
      <c r="E160" s="10" t="str">
        <f>IF(CALC_EPM!$B149="","",CALC_EPM!E149)</f>
      </c>
      <c r="F160" s="10" t="str">
        <f>IF(CALC_EPM!$B149="","",CALC_EPM!F149)</f>
      </c>
      <c r="G160" t="str">
        <f>IF(CALC_EPM!$B149="","",CALC_EPM!G149)</f>
      </c>
      <c r="H160" s="11" t="str">
        <f>IF(CALC_EPM!$B149="","",CALC_EPM!H149)</f>
      </c>
      <c r="I160" s="11" t="str">
        <f>IF(CALC_EPM!$B149="","",CALC_EPM!I149)</f>
      </c>
      <c r="J160" t="str">
        <f>IF(CALC_EPM!$B149="","",CALC_EPM!J149)</f>
      </c>
      <c r="K160" t="str">
        <f>IF(CALC_EPM!$B149="","",CALC_EPM!K149)</f>
      </c>
      <c r="L160">
        <f>IF(CALC_EPM!$B149="","",CALC_EPM!L149)</f>
      </c>
      <c r="M160">
        <f>IF(CALC_EPM!$B149="","",CALC_EPM!M149)</f>
      </c>
      <c r="N160">
        <f>IF(CALC_EPM!$B149="","",CALC_EPM!N149)</f>
      </c>
      <c r="O160">
        <f>IF(CALC_EPM!$B149="","",CALC_EPM!O149)</f>
      </c>
      <c r="P160">
        <f>IF(CALC_EPM!$B149="","",CALC_EPM!P149)</f>
      </c>
      <c r="Q160">
        <f>IF(CALC_EPM!$B149="","",CALC_EPM!Q149)</f>
      </c>
      <c r="R160">
        <f>IF(CALC_EPM!$B149="","",CALC_EPM!R149)</f>
      </c>
      <c r="S160">
        <f>IF(CALC_EPM!$B149="","",CALC_EPM!S149)</f>
      </c>
      <c r="T160">
        <f>IF(CALC_EPM!$B149="","",CALC_EPM!T149)</f>
      </c>
      <c r="U160">
        <f>IF(CALC_EPM!$B149="","",CALC_EPM!U149)</f>
      </c>
    </row>
    <row r="161">
      <c r="A161" t="str">
        <f>IF(CALC_EPM!$B150="","",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)</f>
      </c>
      <c r="B161" t="str">
        <f>IF(CALC_EPM!$B150="","",CALC_EPM!A150)</f>
      </c>
      <c r="C161" t="str">
        <f>IF(CALC_EPM!$B150="","",CALC_EPM!B150)</f>
      </c>
      <c r="D161">
        <f>IF(CALC_EPM!$B150="","",CALC_EPM!D150)</f>
      </c>
      <c r="E161" s="10" t="str">
        <f>IF(CALC_EPM!$B150="","",CALC_EPM!E150)</f>
      </c>
      <c r="F161" s="10" t="str">
        <f>IF(CALC_EPM!$B150="","",CALC_EPM!F150)</f>
      </c>
      <c r="G161" t="str">
        <f>IF(CALC_EPM!$B150="","",CALC_EPM!G150)</f>
      </c>
      <c r="H161" s="11" t="str">
        <f>IF(CALC_EPM!$B150="","",CALC_EPM!H150)</f>
      </c>
      <c r="I161" s="11" t="str">
        <f>IF(CALC_EPM!$B150="","",CALC_EPM!I150)</f>
      </c>
      <c r="J161" t="str">
        <f>IF(CALC_EPM!$B150="","",CALC_EPM!J150)</f>
      </c>
      <c r="K161" t="str">
        <f>IF(CALC_EPM!$B150="","",CALC_EPM!K150)</f>
      </c>
      <c r="L161">
        <f>IF(CALC_EPM!$B150="","",CALC_EPM!L150)</f>
      </c>
      <c r="M161">
        <f>IF(CALC_EPM!$B150="","",CALC_EPM!M150)</f>
      </c>
      <c r="N161">
        <f>IF(CALC_EPM!$B150="","",CALC_EPM!N150)</f>
      </c>
      <c r="O161">
        <f>IF(CALC_EPM!$B150="","",CALC_EPM!O150)</f>
      </c>
      <c r="P161">
        <f>IF(CALC_EPM!$B150="","",CALC_EPM!P150)</f>
      </c>
      <c r="Q161">
        <f>IF(CALC_EPM!$B150="","",CALC_EPM!Q150)</f>
      </c>
      <c r="R161">
        <f>IF(CALC_EPM!$B150="","",CALC_EPM!R150)</f>
      </c>
      <c r="S161">
        <f>IF(CALC_EPM!$B150="","",CALC_EPM!S150)</f>
      </c>
      <c r="T161">
        <f>IF(CALC_EPM!$B150="","",CALC_EPM!T150)</f>
      </c>
      <c r="U161">
        <f>IF(CALC_EPM!$B150="","",CALC_EPM!U150)</f>
      </c>
    </row>
    <row r="162">
      <c r="A162" t="str">
        <f>IF(CALC_EPM!$B151="","",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)</f>
      </c>
      <c r="B162" t="str">
        <f>IF(CALC_EPM!$B151="","",CALC_EPM!A151)</f>
      </c>
      <c r="C162" t="str">
        <f>IF(CALC_EPM!$B151="","",CALC_EPM!B151)</f>
      </c>
      <c r="D162">
        <f>IF(CALC_EPM!$B151="","",CALC_EPM!D151)</f>
      </c>
      <c r="E162" s="10" t="str">
        <f>IF(CALC_EPM!$B151="","",CALC_EPM!E151)</f>
      </c>
      <c r="F162" s="10" t="str">
        <f>IF(CALC_EPM!$B151="","",CALC_EPM!F151)</f>
      </c>
      <c r="G162" t="str">
        <f>IF(CALC_EPM!$B151="","",CALC_EPM!G151)</f>
      </c>
      <c r="H162" s="11" t="str">
        <f>IF(CALC_EPM!$B151="","",CALC_EPM!H151)</f>
      </c>
      <c r="I162" s="11" t="str">
        <f>IF(CALC_EPM!$B151="","",CALC_EPM!I151)</f>
      </c>
      <c r="J162" t="str">
        <f>IF(CALC_EPM!$B151="","",CALC_EPM!J151)</f>
      </c>
      <c r="K162" t="str">
        <f>IF(CALC_EPM!$B151="","",CALC_EPM!K151)</f>
      </c>
      <c r="L162">
        <f>IF(CALC_EPM!$B151="","",CALC_EPM!L151)</f>
      </c>
      <c r="M162">
        <f>IF(CALC_EPM!$B151="","",CALC_EPM!M151)</f>
      </c>
      <c r="N162">
        <f>IF(CALC_EPM!$B151="","",CALC_EPM!N151)</f>
      </c>
      <c r="O162">
        <f>IF(CALC_EPM!$B151="","",CALC_EPM!O151)</f>
      </c>
      <c r="P162">
        <f>IF(CALC_EPM!$B151="","",CALC_EPM!P151)</f>
      </c>
      <c r="Q162">
        <f>IF(CALC_EPM!$B151="","",CALC_EPM!Q151)</f>
      </c>
      <c r="R162">
        <f>IF(CALC_EPM!$B151="","",CALC_EPM!R151)</f>
      </c>
      <c r="S162">
        <f>IF(CALC_EPM!$B151="","",CALC_EPM!S151)</f>
      </c>
      <c r="T162">
        <f>IF(CALC_EPM!$B151="","",CALC_EPM!T151)</f>
      </c>
      <c r="U162">
        <f>IF(CALC_EPM!$B151="","",CALC_EPM!U151)</f>
      </c>
    </row>
    <row r="163">
      <c r="A163" t="str">
        <f>IF(CALC_EPM!$B152="","",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)</f>
      </c>
      <c r="B163" t="str">
        <f>IF(CALC_EPM!$B152="","",CALC_EPM!A152)</f>
      </c>
      <c r="C163" t="str">
        <f>IF(CALC_EPM!$B152="","",CALC_EPM!B152)</f>
      </c>
      <c r="D163">
        <f>IF(CALC_EPM!$B152="","",CALC_EPM!D152)</f>
      </c>
      <c r="E163" s="10" t="str">
        <f>IF(CALC_EPM!$B152="","",CALC_EPM!E152)</f>
      </c>
      <c r="F163" s="10" t="str">
        <f>IF(CALC_EPM!$B152="","",CALC_EPM!F152)</f>
      </c>
      <c r="G163" t="str">
        <f>IF(CALC_EPM!$B152="","",CALC_EPM!G152)</f>
      </c>
      <c r="H163" s="11" t="str">
        <f>IF(CALC_EPM!$B152="","",CALC_EPM!H152)</f>
      </c>
      <c r="I163" s="11" t="str">
        <f>IF(CALC_EPM!$B152="","",CALC_EPM!I152)</f>
      </c>
      <c r="J163" t="str">
        <f>IF(CALC_EPM!$B152="","",CALC_EPM!J152)</f>
      </c>
      <c r="K163" t="str">
        <f>IF(CALC_EPM!$B152="","",CALC_EPM!K152)</f>
      </c>
      <c r="L163">
        <f>IF(CALC_EPM!$B152="","",CALC_EPM!L152)</f>
      </c>
      <c r="M163">
        <f>IF(CALC_EPM!$B152="","",CALC_EPM!M152)</f>
      </c>
      <c r="N163">
        <f>IF(CALC_EPM!$B152="","",CALC_EPM!N152)</f>
      </c>
      <c r="O163">
        <f>IF(CALC_EPM!$B152="","",CALC_EPM!O152)</f>
      </c>
      <c r="P163">
        <f>IF(CALC_EPM!$B152="","",CALC_EPM!P152)</f>
      </c>
      <c r="Q163">
        <f>IF(CALC_EPM!$B152="","",CALC_EPM!Q152)</f>
      </c>
      <c r="R163">
        <f>IF(CALC_EPM!$B152="","",CALC_EPM!R152)</f>
      </c>
      <c r="S163">
        <f>IF(CALC_EPM!$B152="","",CALC_EPM!S152)</f>
      </c>
      <c r="T163">
        <f>IF(CALC_EPM!$B152="","",CALC_EPM!T152)</f>
      </c>
      <c r="U163">
        <f>IF(CALC_EPM!$B152="","",CALC_EPM!U152)</f>
      </c>
    </row>
    <row r="164">
      <c r="A164" t="str">
        <f>IF(CALC_EPM!$B153="","",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)</f>
      </c>
      <c r="B164" t="str">
        <f>IF(CALC_EPM!$B153="","",CALC_EPM!A153)</f>
      </c>
      <c r="C164" t="str">
        <f>IF(CALC_EPM!$B153="","",CALC_EPM!B153)</f>
      </c>
      <c r="D164">
        <f>IF(CALC_EPM!$B153="","",CALC_EPM!D153)</f>
      </c>
      <c r="E164" s="10" t="str">
        <f>IF(CALC_EPM!$B153="","",CALC_EPM!E153)</f>
      </c>
      <c r="F164" s="10" t="str">
        <f>IF(CALC_EPM!$B153="","",CALC_EPM!F153)</f>
      </c>
      <c r="G164" t="str">
        <f>IF(CALC_EPM!$B153="","",CALC_EPM!G153)</f>
      </c>
      <c r="H164" s="11" t="str">
        <f>IF(CALC_EPM!$B153="","",CALC_EPM!H153)</f>
      </c>
      <c r="I164" s="11" t="str">
        <f>IF(CALC_EPM!$B153="","",CALC_EPM!I153)</f>
      </c>
      <c r="J164" t="str">
        <f>IF(CALC_EPM!$B153="","",CALC_EPM!J153)</f>
      </c>
      <c r="K164" t="str">
        <f>IF(CALC_EPM!$B153="","",CALC_EPM!K153)</f>
      </c>
      <c r="L164">
        <f>IF(CALC_EPM!$B153="","",CALC_EPM!L153)</f>
      </c>
      <c r="M164">
        <f>IF(CALC_EPM!$B153="","",CALC_EPM!M153)</f>
      </c>
      <c r="N164">
        <f>IF(CALC_EPM!$B153="","",CALC_EPM!N153)</f>
      </c>
      <c r="O164">
        <f>IF(CALC_EPM!$B153="","",CALC_EPM!O153)</f>
      </c>
      <c r="P164">
        <f>IF(CALC_EPM!$B153="","",CALC_EPM!P153)</f>
      </c>
      <c r="Q164">
        <f>IF(CALC_EPM!$B153="","",CALC_EPM!Q153)</f>
      </c>
      <c r="R164">
        <f>IF(CALC_EPM!$B153="","",CALC_EPM!R153)</f>
      </c>
      <c r="S164">
        <f>IF(CALC_EPM!$B153="","",CALC_EPM!S153)</f>
      </c>
      <c r="T164">
        <f>IF(CALC_EPM!$B153="","",CALC_EPM!T153)</f>
      </c>
      <c r="U164">
        <f>IF(CALC_EPM!$B153="","",CALC_EPM!U153)</f>
      </c>
    </row>
    <row r="165">
      <c r="A165" t="str">
        <f>IF(CALC_EPM!$B154="","",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)</f>
      </c>
      <c r="B165" t="str">
        <f>IF(CALC_EPM!$B154="","",CALC_EPM!A154)</f>
      </c>
      <c r="C165" t="str">
        <f>IF(CALC_EPM!$B154="","",CALC_EPM!B154)</f>
      </c>
      <c r="D165">
        <f>IF(CALC_EPM!$B154="","",CALC_EPM!D154)</f>
      </c>
      <c r="E165" s="10" t="str">
        <f>IF(CALC_EPM!$B154="","",CALC_EPM!E154)</f>
      </c>
      <c r="F165" s="10" t="str">
        <f>IF(CALC_EPM!$B154="","",CALC_EPM!F154)</f>
      </c>
      <c r="G165" t="str">
        <f>IF(CALC_EPM!$B154="","",CALC_EPM!G154)</f>
      </c>
      <c r="H165" s="11" t="str">
        <f>IF(CALC_EPM!$B154="","",CALC_EPM!H154)</f>
      </c>
      <c r="I165" s="11" t="str">
        <f>IF(CALC_EPM!$B154="","",CALC_EPM!I154)</f>
      </c>
      <c r="J165" t="str">
        <f>IF(CALC_EPM!$B154="","",CALC_EPM!J154)</f>
      </c>
      <c r="K165" t="str">
        <f>IF(CALC_EPM!$B154="","",CALC_EPM!K154)</f>
      </c>
      <c r="L165">
        <f>IF(CALC_EPM!$B154="","",CALC_EPM!L154)</f>
      </c>
      <c r="M165">
        <f>IF(CALC_EPM!$B154="","",CALC_EPM!M154)</f>
      </c>
      <c r="N165">
        <f>IF(CALC_EPM!$B154="","",CALC_EPM!N154)</f>
      </c>
      <c r="O165">
        <f>IF(CALC_EPM!$B154="","",CALC_EPM!O154)</f>
      </c>
      <c r="P165">
        <f>IF(CALC_EPM!$B154="","",CALC_EPM!P154)</f>
      </c>
      <c r="Q165">
        <f>IF(CALC_EPM!$B154="","",CALC_EPM!Q154)</f>
      </c>
      <c r="R165">
        <f>IF(CALC_EPM!$B154="","",CALC_EPM!R154)</f>
      </c>
      <c r="S165">
        <f>IF(CALC_EPM!$B154="","",CALC_EPM!S154)</f>
      </c>
      <c r="T165">
        <f>IF(CALC_EPM!$B154="","",CALC_EPM!T154)</f>
      </c>
      <c r="U165">
        <f>IF(CALC_EPM!$B154="","",CALC_EPM!U154)</f>
      </c>
    </row>
    <row r="166">
      <c r="A166" t="str">
        <f>IF(CALC_EPM!$B155="","",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)</f>
      </c>
      <c r="B166" t="str">
        <f>IF(CALC_EPM!$B155="","",CALC_EPM!A155)</f>
      </c>
      <c r="C166" t="str">
        <f>IF(CALC_EPM!$B155="","",CALC_EPM!B155)</f>
      </c>
      <c r="D166">
        <f>IF(CALC_EPM!$B155="","",CALC_EPM!D155)</f>
      </c>
      <c r="E166" s="10" t="str">
        <f>IF(CALC_EPM!$B155="","",CALC_EPM!E155)</f>
      </c>
      <c r="F166" s="10" t="str">
        <f>IF(CALC_EPM!$B155="","",CALC_EPM!F155)</f>
      </c>
      <c r="G166" t="str">
        <f>IF(CALC_EPM!$B155="","",CALC_EPM!G155)</f>
      </c>
      <c r="H166" s="11" t="str">
        <f>IF(CALC_EPM!$B155="","",CALC_EPM!H155)</f>
      </c>
      <c r="I166" s="11" t="str">
        <f>IF(CALC_EPM!$B155="","",CALC_EPM!I155)</f>
      </c>
      <c r="J166" t="str">
        <f>IF(CALC_EPM!$B155="","",CALC_EPM!J155)</f>
      </c>
      <c r="K166" t="str">
        <f>IF(CALC_EPM!$B155="","",CALC_EPM!K155)</f>
      </c>
      <c r="L166">
        <f>IF(CALC_EPM!$B155="","",CALC_EPM!L155)</f>
      </c>
      <c r="M166">
        <f>IF(CALC_EPM!$B155="","",CALC_EPM!M155)</f>
      </c>
      <c r="N166">
        <f>IF(CALC_EPM!$B155="","",CALC_EPM!N155)</f>
      </c>
      <c r="O166">
        <f>IF(CALC_EPM!$B155="","",CALC_EPM!O155)</f>
      </c>
      <c r="P166">
        <f>IF(CALC_EPM!$B155="","",CALC_EPM!P155)</f>
      </c>
      <c r="Q166">
        <f>IF(CALC_EPM!$B155="","",CALC_EPM!Q155)</f>
      </c>
      <c r="R166">
        <f>IF(CALC_EPM!$B155="","",CALC_EPM!R155)</f>
      </c>
      <c r="S166">
        <f>IF(CALC_EPM!$B155="","",CALC_EPM!S155)</f>
      </c>
      <c r="T166">
        <f>IF(CALC_EPM!$B155="","",CALC_EPM!T155)</f>
      </c>
      <c r="U166">
        <f>IF(CALC_EPM!$B155="","",CALC_EPM!U155)</f>
      </c>
    </row>
    <row r="167">
      <c r="A167" t="str">
        <f>IF(CALC_EPM!$B156="","",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)</f>
      </c>
      <c r="B167" t="str">
        <f>IF(CALC_EPM!$B156="","",CALC_EPM!A156)</f>
      </c>
      <c r="C167" t="str">
        <f>IF(CALC_EPM!$B156="","",CALC_EPM!B156)</f>
      </c>
      <c r="D167">
        <f>IF(CALC_EPM!$B156="","",CALC_EPM!D156)</f>
      </c>
      <c r="E167" s="10" t="str">
        <f>IF(CALC_EPM!$B156="","",CALC_EPM!E156)</f>
      </c>
      <c r="F167" s="10" t="str">
        <f>IF(CALC_EPM!$B156="","",CALC_EPM!F156)</f>
      </c>
      <c r="G167" t="str">
        <f>IF(CALC_EPM!$B156="","",CALC_EPM!G156)</f>
      </c>
      <c r="H167" s="11" t="str">
        <f>IF(CALC_EPM!$B156="","",CALC_EPM!H156)</f>
      </c>
      <c r="I167" s="11" t="str">
        <f>IF(CALC_EPM!$B156="","",CALC_EPM!I156)</f>
      </c>
      <c r="J167" t="str">
        <f>IF(CALC_EPM!$B156="","",CALC_EPM!J156)</f>
      </c>
      <c r="K167" t="str">
        <f>IF(CALC_EPM!$B156="","",CALC_EPM!K156)</f>
      </c>
      <c r="L167">
        <f>IF(CALC_EPM!$B156="","",CALC_EPM!L156)</f>
      </c>
      <c r="M167">
        <f>IF(CALC_EPM!$B156="","",CALC_EPM!M156)</f>
      </c>
      <c r="N167">
        <f>IF(CALC_EPM!$B156="","",CALC_EPM!N156)</f>
      </c>
      <c r="O167">
        <f>IF(CALC_EPM!$B156="","",CALC_EPM!O156)</f>
      </c>
      <c r="P167">
        <f>IF(CALC_EPM!$B156="","",CALC_EPM!P156)</f>
      </c>
      <c r="Q167">
        <f>IF(CALC_EPM!$B156="","",CALC_EPM!Q156)</f>
      </c>
      <c r="R167">
        <f>IF(CALC_EPM!$B156="","",CALC_EPM!R156)</f>
      </c>
      <c r="S167">
        <f>IF(CALC_EPM!$B156="","",CALC_EPM!S156)</f>
      </c>
      <c r="T167">
        <f>IF(CALC_EPM!$B156="","",CALC_EPM!T156)</f>
      </c>
      <c r="U167">
        <f>IF(CALC_EPM!$B156="","",CALC_EPM!U156)</f>
      </c>
    </row>
    <row r="168">
      <c r="A168" t="str">
        <f>IF(CALC_EPM!$B157="","",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)</f>
      </c>
      <c r="B168" t="str">
        <f>IF(CALC_EPM!$B157="","",CALC_EPM!A157)</f>
      </c>
      <c r="C168" t="str">
        <f>IF(CALC_EPM!$B157="","",CALC_EPM!B157)</f>
      </c>
      <c r="D168">
        <f>IF(CALC_EPM!$B157="","",CALC_EPM!D157)</f>
      </c>
      <c r="E168" s="10" t="str">
        <f>IF(CALC_EPM!$B157="","",CALC_EPM!E157)</f>
      </c>
      <c r="F168" s="10" t="str">
        <f>IF(CALC_EPM!$B157="","",CALC_EPM!F157)</f>
      </c>
      <c r="G168" t="str">
        <f>IF(CALC_EPM!$B157="","",CALC_EPM!G157)</f>
      </c>
      <c r="H168" s="11" t="str">
        <f>IF(CALC_EPM!$B157="","",CALC_EPM!H157)</f>
      </c>
      <c r="I168" s="11" t="str">
        <f>IF(CALC_EPM!$B157="","",CALC_EPM!I157)</f>
      </c>
      <c r="J168" t="str">
        <f>IF(CALC_EPM!$B157="","",CALC_EPM!J157)</f>
      </c>
      <c r="K168" t="str">
        <f>IF(CALC_EPM!$B157="","",CALC_EPM!K157)</f>
      </c>
      <c r="L168">
        <f>IF(CALC_EPM!$B157="","",CALC_EPM!L157)</f>
      </c>
      <c r="M168">
        <f>IF(CALC_EPM!$B157="","",CALC_EPM!M157)</f>
      </c>
      <c r="N168">
        <f>IF(CALC_EPM!$B157="","",CALC_EPM!N157)</f>
      </c>
      <c r="O168">
        <f>IF(CALC_EPM!$B157="","",CALC_EPM!O157)</f>
      </c>
      <c r="P168">
        <f>IF(CALC_EPM!$B157="","",CALC_EPM!P157)</f>
      </c>
      <c r="Q168">
        <f>IF(CALC_EPM!$B157="","",CALC_EPM!Q157)</f>
      </c>
      <c r="R168">
        <f>IF(CALC_EPM!$B157="","",CALC_EPM!R157)</f>
      </c>
      <c r="S168">
        <f>IF(CALC_EPM!$B157="","",CALC_EPM!S157)</f>
      </c>
      <c r="T168">
        <f>IF(CALC_EPM!$B157="","",CALC_EPM!T157)</f>
      </c>
      <c r="U168">
        <f>IF(CALC_EPM!$B157="","",CALC_EPM!U157)</f>
      </c>
    </row>
    <row r="169">
      <c r="A169" t="str">
        <f>IF(CALC_EPM!$B158="","",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)</f>
      </c>
      <c r="B169" t="str">
        <f>IF(CALC_EPM!$B158="","",CALC_EPM!A158)</f>
      </c>
      <c r="C169" t="str">
        <f>IF(CALC_EPM!$B158="","",CALC_EPM!B158)</f>
      </c>
      <c r="D169">
        <f>IF(CALC_EPM!$B158="","",CALC_EPM!D158)</f>
      </c>
      <c r="E169" s="10" t="str">
        <f>IF(CALC_EPM!$B158="","",CALC_EPM!E158)</f>
      </c>
      <c r="F169" s="10" t="str">
        <f>IF(CALC_EPM!$B158="","",CALC_EPM!F158)</f>
      </c>
      <c r="G169" t="str">
        <f>IF(CALC_EPM!$B158="","",CALC_EPM!G158)</f>
      </c>
      <c r="H169" s="11" t="str">
        <f>IF(CALC_EPM!$B158="","",CALC_EPM!H158)</f>
      </c>
      <c r="I169" s="11" t="str">
        <f>IF(CALC_EPM!$B158="","",CALC_EPM!I158)</f>
      </c>
      <c r="J169" t="str">
        <f>IF(CALC_EPM!$B158="","",CALC_EPM!J158)</f>
      </c>
      <c r="K169" t="str">
        <f>IF(CALC_EPM!$B158="","",CALC_EPM!K158)</f>
      </c>
      <c r="L169">
        <f>IF(CALC_EPM!$B158="","",CALC_EPM!L158)</f>
      </c>
      <c r="M169">
        <f>IF(CALC_EPM!$B158="","",CALC_EPM!M158)</f>
      </c>
      <c r="N169">
        <f>IF(CALC_EPM!$B158="","",CALC_EPM!N158)</f>
      </c>
      <c r="O169">
        <f>IF(CALC_EPM!$B158="","",CALC_EPM!O158)</f>
      </c>
      <c r="P169">
        <f>IF(CALC_EPM!$B158="","",CALC_EPM!P158)</f>
      </c>
      <c r="Q169">
        <f>IF(CALC_EPM!$B158="","",CALC_EPM!Q158)</f>
      </c>
      <c r="R169">
        <f>IF(CALC_EPM!$B158="","",CALC_EPM!R158)</f>
      </c>
      <c r="S169">
        <f>IF(CALC_EPM!$B158="","",CALC_EPM!S158)</f>
      </c>
      <c r="T169">
        <f>IF(CALC_EPM!$B158="","",CALC_EPM!T158)</f>
      </c>
      <c r="U169">
        <f>IF(CALC_EPM!$B158="","",CALC_EPM!U158)</f>
      </c>
    </row>
    <row r="170">
      <c r="A170" t="str">
        <f>IF(CALC_EPM!$B159="","",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)</f>
      </c>
      <c r="B170" t="str">
        <f>IF(CALC_EPM!$B159="","",CALC_EPM!A159)</f>
      </c>
      <c r="C170" t="str">
        <f>IF(CALC_EPM!$B159="","",CALC_EPM!B159)</f>
      </c>
      <c r="D170">
        <f>IF(CALC_EPM!$B159="","",CALC_EPM!D159)</f>
      </c>
      <c r="E170" s="10" t="str">
        <f>IF(CALC_EPM!$B159="","",CALC_EPM!E159)</f>
      </c>
      <c r="F170" s="10" t="str">
        <f>IF(CALC_EPM!$B159="","",CALC_EPM!F159)</f>
      </c>
      <c r="G170" t="str">
        <f>IF(CALC_EPM!$B159="","",CALC_EPM!G159)</f>
      </c>
      <c r="H170" s="11" t="str">
        <f>IF(CALC_EPM!$B159="","",CALC_EPM!H159)</f>
      </c>
      <c r="I170" s="11" t="str">
        <f>IF(CALC_EPM!$B159="","",CALC_EPM!I159)</f>
      </c>
      <c r="J170" t="str">
        <f>IF(CALC_EPM!$B159="","",CALC_EPM!J159)</f>
      </c>
      <c r="K170" t="str">
        <f>IF(CALC_EPM!$B159="","",CALC_EPM!K159)</f>
      </c>
      <c r="L170">
        <f>IF(CALC_EPM!$B159="","",CALC_EPM!L159)</f>
      </c>
      <c r="M170">
        <f>IF(CALC_EPM!$B159="","",CALC_EPM!M159)</f>
      </c>
      <c r="N170">
        <f>IF(CALC_EPM!$B159="","",CALC_EPM!N159)</f>
      </c>
      <c r="O170">
        <f>IF(CALC_EPM!$B159="","",CALC_EPM!O159)</f>
      </c>
      <c r="P170">
        <f>IF(CALC_EPM!$B159="","",CALC_EPM!P159)</f>
      </c>
      <c r="Q170">
        <f>IF(CALC_EPM!$B159="","",CALC_EPM!Q159)</f>
      </c>
      <c r="R170">
        <f>IF(CALC_EPM!$B159="","",CALC_EPM!R159)</f>
      </c>
      <c r="S170">
        <f>IF(CALC_EPM!$B159="","",CALC_EPM!S159)</f>
      </c>
      <c r="T170">
        <f>IF(CALC_EPM!$B159="","",CALC_EPM!T159)</f>
      </c>
      <c r="U170">
        <f>IF(CALC_EPM!$B159="","",CALC_EPM!U159)</f>
      </c>
    </row>
    <row r="171">
      <c r="A171" t="str">
        <f>IF(CALC_EPM!$B160="","",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)</f>
      </c>
      <c r="B171" t="str">
        <f>IF(CALC_EPM!$B160="","",CALC_EPM!A160)</f>
      </c>
      <c r="C171" t="str">
        <f>IF(CALC_EPM!$B160="","",CALC_EPM!B160)</f>
      </c>
      <c r="D171">
        <f>IF(CALC_EPM!$B160="","",CALC_EPM!D160)</f>
      </c>
      <c r="E171" s="10" t="str">
        <f>IF(CALC_EPM!$B160="","",CALC_EPM!E160)</f>
      </c>
      <c r="F171" s="10" t="str">
        <f>IF(CALC_EPM!$B160="","",CALC_EPM!F160)</f>
      </c>
      <c r="G171" t="str">
        <f>IF(CALC_EPM!$B160="","",CALC_EPM!G160)</f>
      </c>
      <c r="H171" s="11" t="str">
        <f>IF(CALC_EPM!$B160="","",CALC_EPM!H160)</f>
      </c>
      <c r="I171" s="11" t="str">
        <f>IF(CALC_EPM!$B160="","",CALC_EPM!I160)</f>
      </c>
      <c r="J171" t="str">
        <f>IF(CALC_EPM!$B160="","",CALC_EPM!J160)</f>
      </c>
      <c r="K171" t="str">
        <f>IF(CALC_EPM!$B160="","",CALC_EPM!K160)</f>
      </c>
      <c r="L171">
        <f>IF(CALC_EPM!$B160="","",CALC_EPM!L160)</f>
      </c>
      <c r="M171">
        <f>IF(CALC_EPM!$B160="","",CALC_EPM!M160)</f>
      </c>
      <c r="N171">
        <f>IF(CALC_EPM!$B160="","",CALC_EPM!N160)</f>
      </c>
      <c r="O171">
        <f>IF(CALC_EPM!$B160="","",CALC_EPM!O160)</f>
      </c>
      <c r="P171">
        <f>IF(CALC_EPM!$B160="","",CALC_EPM!P160)</f>
      </c>
      <c r="Q171">
        <f>IF(CALC_EPM!$B160="","",CALC_EPM!Q160)</f>
      </c>
      <c r="R171">
        <f>IF(CALC_EPM!$B160="","",CALC_EPM!R160)</f>
      </c>
      <c r="S171">
        <f>IF(CALC_EPM!$B160="","",CALC_EPM!S160)</f>
      </c>
      <c r="T171">
        <f>IF(CALC_EPM!$B160="","",CALC_EPM!T160)</f>
      </c>
      <c r="U171">
        <f>IF(CALC_EPM!$B160="","",CALC_EPM!U160)</f>
      </c>
    </row>
    <row r="172">
      <c r="A172" t="str">
        <f>IF(CALC_EPM!$B161="","",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)</f>
      </c>
      <c r="B172" t="str">
        <f>IF(CALC_EPM!$B161="","",CALC_EPM!A161)</f>
      </c>
      <c r="C172" t="str">
        <f>IF(CALC_EPM!$B161="","",CALC_EPM!B161)</f>
      </c>
      <c r="D172">
        <f>IF(CALC_EPM!$B161="","",CALC_EPM!D161)</f>
      </c>
      <c r="E172" s="10" t="str">
        <f>IF(CALC_EPM!$B161="","",CALC_EPM!E161)</f>
      </c>
      <c r="F172" s="10" t="str">
        <f>IF(CALC_EPM!$B161="","",CALC_EPM!F161)</f>
      </c>
      <c r="G172" t="str">
        <f>IF(CALC_EPM!$B161="","",CALC_EPM!G161)</f>
      </c>
      <c r="H172" s="11" t="str">
        <f>IF(CALC_EPM!$B161="","",CALC_EPM!H161)</f>
      </c>
      <c r="I172" s="11" t="str">
        <f>IF(CALC_EPM!$B161="","",CALC_EPM!I161)</f>
      </c>
      <c r="J172" t="str">
        <f>IF(CALC_EPM!$B161="","",CALC_EPM!J161)</f>
      </c>
      <c r="K172" t="str">
        <f>IF(CALC_EPM!$B161="","",CALC_EPM!K161)</f>
      </c>
      <c r="L172">
        <f>IF(CALC_EPM!$B161="","",CALC_EPM!L161)</f>
      </c>
      <c r="M172">
        <f>IF(CALC_EPM!$B161="","",CALC_EPM!M161)</f>
      </c>
      <c r="N172">
        <f>IF(CALC_EPM!$B161="","",CALC_EPM!N161)</f>
      </c>
      <c r="O172">
        <f>IF(CALC_EPM!$B161="","",CALC_EPM!O161)</f>
      </c>
      <c r="P172">
        <f>IF(CALC_EPM!$B161="","",CALC_EPM!P161)</f>
      </c>
      <c r="Q172">
        <f>IF(CALC_EPM!$B161="","",CALC_EPM!Q161)</f>
      </c>
      <c r="R172">
        <f>IF(CALC_EPM!$B161="","",CALC_EPM!R161)</f>
      </c>
      <c r="S172">
        <f>IF(CALC_EPM!$B161="","",CALC_EPM!S161)</f>
      </c>
      <c r="T172">
        <f>IF(CALC_EPM!$B161="","",CALC_EPM!T161)</f>
      </c>
      <c r="U172">
        <f>IF(CALC_EPM!$B161="","",CALC_EPM!U161)</f>
      </c>
    </row>
    <row r="173">
      <c r="A173" t="str">
        <f>IF(CALC_EPM!$B162="","",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)</f>
      </c>
      <c r="B173" t="str">
        <f>IF(CALC_EPM!$B162="","",CALC_EPM!A162)</f>
      </c>
      <c r="C173" t="str">
        <f>IF(CALC_EPM!$B162="","",CALC_EPM!B162)</f>
      </c>
      <c r="D173">
        <f>IF(CALC_EPM!$B162="","",CALC_EPM!D162)</f>
      </c>
      <c r="E173" s="10" t="str">
        <f>IF(CALC_EPM!$B162="","",CALC_EPM!E162)</f>
      </c>
      <c r="F173" s="10" t="str">
        <f>IF(CALC_EPM!$B162="","",CALC_EPM!F162)</f>
      </c>
      <c r="G173" t="str">
        <f>IF(CALC_EPM!$B162="","",CALC_EPM!G162)</f>
      </c>
      <c r="H173" s="11" t="str">
        <f>IF(CALC_EPM!$B162="","",CALC_EPM!H162)</f>
      </c>
      <c r="I173" s="11" t="str">
        <f>IF(CALC_EPM!$B162="","",CALC_EPM!I162)</f>
      </c>
      <c r="J173" t="str">
        <f>IF(CALC_EPM!$B162="","",CALC_EPM!J162)</f>
      </c>
      <c r="K173" t="str">
        <f>IF(CALC_EPM!$B162="","",CALC_EPM!K162)</f>
      </c>
      <c r="L173">
        <f>IF(CALC_EPM!$B162="","",CALC_EPM!L162)</f>
      </c>
      <c r="M173">
        <f>IF(CALC_EPM!$B162="","",CALC_EPM!M162)</f>
      </c>
      <c r="N173">
        <f>IF(CALC_EPM!$B162="","",CALC_EPM!N162)</f>
      </c>
      <c r="O173">
        <f>IF(CALC_EPM!$B162="","",CALC_EPM!O162)</f>
      </c>
      <c r="P173">
        <f>IF(CALC_EPM!$B162="","",CALC_EPM!P162)</f>
      </c>
      <c r="Q173">
        <f>IF(CALC_EPM!$B162="","",CALC_EPM!Q162)</f>
      </c>
      <c r="R173">
        <f>IF(CALC_EPM!$B162="","",CALC_EPM!R162)</f>
      </c>
      <c r="S173">
        <f>IF(CALC_EPM!$B162="","",CALC_EPM!S162)</f>
      </c>
      <c r="T173">
        <f>IF(CALC_EPM!$B162="","",CALC_EPM!T162)</f>
      </c>
      <c r="U173">
        <f>IF(CALC_EPM!$B162="","",CALC_EPM!U162)</f>
      </c>
    </row>
    <row r="174">
      <c r="A174" t="str">
        <f>IF(CALC_EPM!$B163="","",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)</f>
      </c>
      <c r="B174" t="str">
        <f>IF(CALC_EPM!$B163="","",CALC_EPM!A163)</f>
      </c>
      <c r="C174" t="str">
        <f>IF(CALC_EPM!$B163="","",CALC_EPM!B163)</f>
      </c>
      <c r="D174">
        <f>IF(CALC_EPM!$B163="","",CALC_EPM!D163)</f>
      </c>
      <c r="E174" s="10" t="str">
        <f>IF(CALC_EPM!$B163="","",CALC_EPM!E163)</f>
      </c>
      <c r="F174" s="10" t="str">
        <f>IF(CALC_EPM!$B163="","",CALC_EPM!F163)</f>
      </c>
      <c r="G174" t="str">
        <f>IF(CALC_EPM!$B163="","",CALC_EPM!G163)</f>
      </c>
      <c r="H174" s="11" t="str">
        <f>IF(CALC_EPM!$B163="","",CALC_EPM!H163)</f>
      </c>
      <c r="I174" s="11" t="str">
        <f>IF(CALC_EPM!$B163="","",CALC_EPM!I163)</f>
      </c>
      <c r="J174" t="str">
        <f>IF(CALC_EPM!$B163="","",CALC_EPM!J163)</f>
      </c>
      <c r="K174" t="str">
        <f>IF(CALC_EPM!$B163="","",CALC_EPM!K163)</f>
      </c>
      <c r="L174">
        <f>IF(CALC_EPM!$B163="","",CALC_EPM!L163)</f>
      </c>
      <c r="M174">
        <f>IF(CALC_EPM!$B163="","",CALC_EPM!M163)</f>
      </c>
      <c r="N174">
        <f>IF(CALC_EPM!$B163="","",CALC_EPM!N163)</f>
      </c>
      <c r="O174">
        <f>IF(CALC_EPM!$B163="","",CALC_EPM!O163)</f>
      </c>
      <c r="P174">
        <f>IF(CALC_EPM!$B163="","",CALC_EPM!P163)</f>
      </c>
      <c r="Q174">
        <f>IF(CALC_EPM!$B163="","",CALC_EPM!Q163)</f>
      </c>
      <c r="R174">
        <f>IF(CALC_EPM!$B163="","",CALC_EPM!R163)</f>
      </c>
      <c r="S174">
        <f>IF(CALC_EPM!$B163="","",CALC_EPM!S163)</f>
      </c>
      <c r="T174">
        <f>IF(CALC_EPM!$B163="","",CALC_EPM!T163)</f>
      </c>
      <c r="U174">
        <f>IF(CALC_EPM!$B163="","",CALC_EPM!U163)</f>
      </c>
    </row>
    <row r="175">
      <c r="A175" t="str">
        <f>IF(CALC_EPM!$B164="","",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)</f>
      </c>
      <c r="B175" t="str">
        <f>IF(CALC_EPM!$B164="","",CALC_EPM!A164)</f>
      </c>
      <c r="C175" t="str">
        <f>IF(CALC_EPM!$B164="","",CALC_EPM!B164)</f>
      </c>
      <c r="D175">
        <f>IF(CALC_EPM!$B164="","",CALC_EPM!D164)</f>
      </c>
      <c r="E175" s="10" t="str">
        <f>IF(CALC_EPM!$B164="","",CALC_EPM!E164)</f>
      </c>
      <c r="F175" s="10" t="str">
        <f>IF(CALC_EPM!$B164="","",CALC_EPM!F164)</f>
      </c>
      <c r="G175" t="str">
        <f>IF(CALC_EPM!$B164="","",CALC_EPM!G164)</f>
      </c>
      <c r="H175" s="11" t="str">
        <f>IF(CALC_EPM!$B164="","",CALC_EPM!H164)</f>
      </c>
      <c r="I175" s="11" t="str">
        <f>IF(CALC_EPM!$B164="","",CALC_EPM!I164)</f>
      </c>
      <c r="J175" t="str">
        <f>IF(CALC_EPM!$B164="","",CALC_EPM!J164)</f>
      </c>
      <c r="K175" t="str">
        <f>IF(CALC_EPM!$B164="","",CALC_EPM!K164)</f>
      </c>
      <c r="L175">
        <f>IF(CALC_EPM!$B164="","",CALC_EPM!L164)</f>
      </c>
      <c r="M175">
        <f>IF(CALC_EPM!$B164="","",CALC_EPM!M164)</f>
      </c>
      <c r="N175">
        <f>IF(CALC_EPM!$B164="","",CALC_EPM!N164)</f>
      </c>
      <c r="O175">
        <f>IF(CALC_EPM!$B164="","",CALC_EPM!O164)</f>
      </c>
      <c r="P175">
        <f>IF(CALC_EPM!$B164="","",CALC_EPM!P164)</f>
      </c>
      <c r="Q175">
        <f>IF(CALC_EPM!$B164="","",CALC_EPM!Q164)</f>
      </c>
      <c r="R175">
        <f>IF(CALC_EPM!$B164="","",CALC_EPM!R164)</f>
      </c>
      <c r="S175">
        <f>IF(CALC_EPM!$B164="","",CALC_EPM!S164)</f>
      </c>
      <c r="T175">
        <f>IF(CALC_EPM!$B164="","",CALC_EPM!T164)</f>
      </c>
      <c r="U175">
        <f>IF(CALC_EPM!$B164="","",CALC_EPM!U164)</f>
      </c>
    </row>
    <row r="176">
      <c r="A176" t="str">
        <f>IF(CALC_EPM!$B165="","",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)</f>
      </c>
      <c r="B176" t="str">
        <f>IF(CALC_EPM!$B165="","",CALC_EPM!A165)</f>
      </c>
      <c r="C176" t="str">
        <f>IF(CALC_EPM!$B165="","",CALC_EPM!B165)</f>
      </c>
      <c r="D176">
        <f>IF(CALC_EPM!$B165="","",CALC_EPM!D165)</f>
      </c>
      <c r="E176" s="10" t="str">
        <f>IF(CALC_EPM!$B165="","",CALC_EPM!E165)</f>
      </c>
      <c r="F176" s="10" t="str">
        <f>IF(CALC_EPM!$B165="","",CALC_EPM!F165)</f>
      </c>
      <c r="G176" t="str">
        <f>IF(CALC_EPM!$B165="","",CALC_EPM!G165)</f>
      </c>
      <c r="H176" s="11" t="str">
        <f>IF(CALC_EPM!$B165="","",CALC_EPM!H165)</f>
      </c>
      <c r="I176" s="11" t="str">
        <f>IF(CALC_EPM!$B165="","",CALC_EPM!I165)</f>
      </c>
      <c r="J176" t="str">
        <f>IF(CALC_EPM!$B165="","",CALC_EPM!J165)</f>
      </c>
      <c r="K176" t="str">
        <f>IF(CALC_EPM!$B165="","",CALC_EPM!K165)</f>
      </c>
      <c r="L176">
        <f>IF(CALC_EPM!$B165="","",CALC_EPM!L165)</f>
      </c>
      <c r="M176">
        <f>IF(CALC_EPM!$B165="","",CALC_EPM!M165)</f>
      </c>
      <c r="N176">
        <f>IF(CALC_EPM!$B165="","",CALC_EPM!N165)</f>
      </c>
      <c r="O176">
        <f>IF(CALC_EPM!$B165="","",CALC_EPM!O165)</f>
      </c>
      <c r="P176">
        <f>IF(CALC_EPM!$B165="","",CALC_EPM!P165)</f>
      </c>
      <c r="Q176">
        <f>IF(CALC_EPM!$B165="","",CALC_EPM!Q165)</f>
      </c>
      <c r="R176">
        <f>IF(CALC_EPM!$B165="","",CALC_EPM!R165)</f>
      </c>
      <c r="S176">
        <f>IF(CALC_EPM!$B165="","",CALC_EPM!S165)</f>
      </c>
      <c r="T176">
        <f>IF(CALC_EPM!$B165="","",CALC_EPM!T165)</f>
      </c>
      <c r="U176">
        <f>IF(CALC_EPM!$B165="","",CALC_EPM!U165)</f>
      </c>
    </row>
    <row r="177">
      <c r="A177" t="str">
        <f>IF(CALC_EPM!$B166="","",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)</f>
      </c>
      <c r="B177" t="str">
        <f>IF(CALC_EPM!$B166="","",CALC_EPM!A166)</f>
      </c>
      <c r="C177" t="str">
        <f>IF(CALC_EPM!$B166="","",CALC_EPM!B166)</f>
      </c>
      <c r="D177">
        <f>IF(CALC_EPM!$B166="","",CALC_EPM!D166)</f>
      </c>
      <c r="E177" s="10" t="str">
        <f>IF(CALC_EPM!$B166="","",CALC_EPM!E166)</f>
      </c>
      <c r="F177" s="10" t="str">
        <f>IF(CALC_EPM!$B166="","",CALC_EPM!F166)</f>
      </c>
      <c r="G177" t="str">
        <f>IF(CALC_EPM!$B166="","",CALC_EPM!G166)</f>
      </c>
      <c r="H177" s="11" t="str">
        <f>IF(CALC_EPM!$B166="","",CALC_EPM!H166)</f>
      </c>
      <c r="I177" s="11" t="str">
        <f>IF(CALC_EPM!$B166="","",CALC_EPM!I166)</f>
      </c>
      <c r="J177" t="str">
        <f>IF(CALC_EPM!$B166="","",CALC_EPM!J166)</f>
      </c>
      <c r="K177" t="str">
        <f>IF(CALC_EPM!$B166="","",CALC_EPM!K166)</f>
      </c>
      <c r="L177">
        <f>IF(CALC_EPM!$B166="","",CALC_EPM!L166)</f>
      </c>
      <c r="M177">
        <f>IF(CALC_EPM!$B166="","",CALC_EPM!M166)</f>
      </c>
      <c r="N177">
        <f>IF(CALC_EPM!$B166="","",CALC_EPM!N166)</f>
      </c>
      <c r="O177">
        <f>IF(CALC_EPM!$B166="","",CALC_EPM!O166)</f>
      </c>
      <c r="P177">
        <f>IF(CALC_EPM!$B166="","",CALC_EPM!P166)</f>
      </c>
      <c r="Q177">
        <f>IF(CALC_EPM!$B166="","",CALC_EPM!Q166)</f>
      </c>
      <c r="R177">
        <f>IF(CALC_EPM!$B166="","",CALC_EPM!R166)</f>
      </c>
      <c r="S177">
        <f>IF(CALC_EPM!$B166="","",CALC_EPM!S166)</f>
      </c>
      <c r="T177">
        <f>IF(CALC_EPM!$B166="","",CALC_EPM!T166)</f>
      </c>
      <c r="U177">
        <f>IF(CALC_EPM!$B166="","",CALC_EPM!U166)</f>
      </c>
    </row>
    <row r="178">
      <c r="A178" t="str">
        <f>IF(CALC_EPM!$B167="","",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)</f>
      </c>
      <c r="B178" t="str">
        <f>IF(CALC_EPM!$B167="","",CALC_EPM!A167)</f>
      </c>
      <c r="C178" t="str">
        <f>IF(CALC_EPM!$B167="","",CALC_EPM!B167)</f>
      </c>
      <c r="D178">
        <f>IF(CALC_EPM!$B167="","",CALC_EPM!D167)</f>
      </c>
      <c r="E178" s="10" t="str">
        <f>IF(CALC_EPM!$B167="","",CALC_EPM!E167)</f>
      </c>
      <c r="F178" s="10" t="str">
        <f>IF(CALC_EPM!$B167="","",CALC_EPM!F167)</f>
      </c>
      <c r="G178" t="str">
        <f>IF(CALC_EPM!$B167="","",CALC_EPM!G167)</f>
      </c>
      <c r="H178" s="11" t="str">
        <f>IF(CALC_EPM!$B167="","",CALC_EPM!H167)</f>
      </c>
      <c r="I178" s="11" t="str">
        <f>IF(CALC_EPM!$B167="","",CALC_EPM!I167)</f>
      </c>
      <c r="J178" t="str">
        <f>IF(CALC_EPM!$B167="","",CALC_EPM!J167)</f>
      </c>
      <c r="K178" t="str">
        <f>IF(CALC_EPM!$B167="","",CALC_EPM!K167)</f>
      </c>
      <c r="L178">
        <f>IF(CALC_EPM!$B167="","",CALC_EPM!L167)</f>
      </c>
      <c r="M178">
        <f>IF(CALC_EPM!$B167="","",CALC_EPM!M167)</f>
      </c>
      <c r="N178">
        <f>IF(CALC_EPM!$B167="","",CALC_EPM!N167)</f>
      </c>
      <c r="O178">
        <f>IF(CALC_EPM!$B167="","",CALC_EPM!O167)</f>
      </c>
      <c r="P178">
        <f>IF(CALC_EPM!$B167="","",CALC_EPM!P167)</f>
      </c>
      <c r="Q178">
        <f>IF(CALC_EPM!$B167="","",CALC_EPM!Q167)</f>
      </c>
      <c r="R178">
        <f>IF(CALC_EPM!$B167="","",CALC_EPM!R167)</f>
      </c>
      <c r="S178">
        <f>IF(CALC_EPM!$B167="","",CALC_EPM!S167)</f>
      </c>
      <c r="T178">
        <f>IF(CALC_EPM!$B167="","",CALC_EPM!T167)</f>
      </c>
      <c r="U178">
        <f>IF(CALC_EPM!$B167="","",CALC_EPM!U167)</f>
      </c>
    </row>
    <row r="179">
      <c r="A179" t="str">
        <f>IF(CALC_EPM!$B168="","",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)</f>
      </c>
      <c r="B179" t="str">
        <f>IF(CALC_EPM!$B168="","",CALC_EPM!A168)</f>
      </c>
      <c r="C179" t="str">
        <f>IF(CALC_EPM!$B168="","",CALC_EPM!B168)</f>
      </c>
      <c r="D179">
        <f>IF(CALC_EPM!$B168="","",CALC_EPM!D168)</f>
      </c>
      <c r="E179" s="10" t="str">
        <f>IF(CALC_EPM!$B168="","",CALC_EPM!E168)</f>
      </c>
      <c r="F179" s="10" t="str">
        <f>IF(CALC_EPM!$B168="","",CALC_EPM!F168)</f>
      </c>
      <c r="G179" t="str">
        <f>IF(CALC_EPM!$B168="","",CALC_EPM!G168)</f>
      </c>
      <c r="H179" s="11" t="str">
        <f>IF(CALC_EPM!$B168="","",CALC_EPM!H168)</f>
      </c>
      <c r="I179" s="11" t="str">
        <f>IF(CALC_EPM!$B168="","",CALC_EPM!I168)</f>
      </c>
      <c r="J179" t="str">
        <f>IF(CALC_EPM!$B168="","",CALC_EPM!J168)</f>
      </c>
      <c r="K179" t="str">
        <f>IF(CALC_EPM!$B168="","",CALC_EPM!K168)</f>
      </c>
      <c r="L179">
        <f>IF(CALC_EPM!$B168="","",CALC_EPM!L168)</f>
      </c>
      <c r="M179">
        <f>IF(CALC_EPM!$B168="","",CALC_EPM!M168)</f>
      </c>
      <c r="N179">
        <f>IF(CALC_EPM!$B168="","",CALC_EPM!N168)</f>
      </c>
      <c r="O179">
        <f>IF(CALC_EPM!$B168="","",CALC_EPM!O168)</f>
      </c>
      <c r="P179">
        <f>IF(CALC_EPM!$B168="","",CALC_EPM!P168)</f>
      </c>
      <c r="Q179">
        <f>IF(CALC_EPM!$B168="","",CALC_EPM!Q168)</f>
      </c>
      <c r="R179">
        <f>IF(CALC_EPM!$B168="","",CALC_EPM!R168)</f>
      </c>
      <c r="S179">
        <f>IF(CALC_EPM!$B168="","",CALC_EPM!S168)</f>
      </c>
      <c r="T179">
        <f>IF(CALC_EPM!$B168="","",CALC_EPM!T168)</f>
      </c>
      <c r="U179">
        <f>IF(CALC_EPM!$B168="","",CALC_EPM!U168)</f>
      </c>
    </row>
    <row r="180">
      <c r="A180" t="str">
        <f>IF(CALC_EPM!$B169="","",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)</f>
      </c>
      <c r="B180" t="str">
        <f>IF(CALC_EPM!$B169="","",CALC_EPM!A169)</f>
      </c>
      <c r="C180" t="str">
        <f>IF(CALC_EPM!$B169="","",CALC_EPM!B169)</f>
      </c>
      <c r="D180">
        <f>IF(CALC_EPM!$B169="","",CALC_EPM!D169)</f>
      </c>
      <c r="E180" s="10" t="str">
        <f>IF(CALC_EPM!$B169="","",CALC_EPM!E169)</f>
      </c>
      <c r="F180" s="10" t="str">
        <f>IF(CALC_EPM!$B169="","",CALC_EPM!F169)</f>
      </c>
      <c r="G180" t="str">
        <f>IF(CALC_EPM!$B169="","",CALC_EPM!G169)</f>
      </c>
      <c r="H180" s="11" t="str">
        <f>IF(CALC_EPM!$B169="","",CALC_EPM!H169)</f>
      </c>
      <c r="I180" s="11" t="str">
        <f>IF(CALC_EPM!$B169="","",CALC_EPM!I169)</f>
      </c>
      <c r="J180" t="str">
        <f>IF(CALC_EPM!$B169="","",CALC_EPM!J169)</f>
      </c>
      <c r="K180" t="str">
        <f>IF(CALC_EPM!$B169="","",CALC_EPM!K169)</f>
      </c>
      <c r="L180">
        <f>IF(CALC_EPM!$B169="","",CALC_EPM!L169)</f>
      </c>
      <c r="M180">
        <f>IF(CALC_EPM!$B169="","",CALC_EPM!M169)</f>
      </c>
      <c r="N180">
        <f>IF(CALC_EPM!$B169="","",CALC_EPM!N169)</f>
      </c>
      <c r="O180">
        <f>IF(CALC_EPM!$B169="","",CALC_EPM!O169)</f>
      </c>
      <c r="P180">
        <f>IF(CALC_EPM!$B169="","",CALC_EPM!P169)</f>
      </c>
      <c r="Q180">
        <f>IF(CALC_EPM!$B169="","",CALC_EPM!Q169)</f>
      </c>
      <c r="R180">
        <f>IF(CALC_EPM!$B169="","",CALC_EPM!R169)</f>
      </c>
      <c r="S180">
        <f>IF(CALC_EPM!$B169="","",CALC_EPM!S169)</f>
      </c>
      <c r="T180">
        <f>IF(CALC_EPM!$B169="","",CALC_EPM!T169)</f>
      </c>
      <c r="U180">
        <f>IF(CALC_EPM!$B169="","",CALC_EPM!U169)</f>
      </c>
    </row>
    <row r="181">
      <c r="A181" t="str">
        <f>IF(CALC_EPM!$B170="","",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)</f>
      </c>
      <c r="B181" t="str">
        <f>IF(CALC_EPM!$B170="","",CALC_EPM!A170)</f>
      </c>
      <c r="C181" t="str">
        <f>IF(CALC_EPM!$B170="","",CALC_EPM!B170)</f>
      </c>
      <c r="D181">
        <f>IF(CALC_EPM!$B170="","",CALC_EPM!D170)</f>
      </c>
      <c r="E181" s="10" t="str">
        <f>IF(CALC_EPM!$B170="","",CALC_EPM!E170)</f>
      </c>
      <c r="F181" s="10" t="str">
        <f>IF(CALC_EPM!$B170="","",CALC_EPM!F170)</f>
      </c>
      <c r="G181" t="str">
        <f>IF(CALC_EPM!$B170="","",CALC_EPM!G170)</f>
      </c>
      <c r="H181" s="11" t="str">
        <f>IF(CALC_EPM!$B170="","",CALC_EPM!H170)</f>
      </c>
      <c r="I181" s="11" t="str">
        <f>IF(CALC_EPM!$B170="","",CALC_EPM!I170)</f>
      </c>
      <c r="J181" t="str">
        <f>IF(CALC_EPM!$B170="","",CALC_EPM!J170)</f>
      </c>
      <c r="K181" t="str">
        <f>IF(CALC_EPM!$B170="","",CALC_EPM!K170)</f>
      </c>
      <c r="L181">
        <f>IF(CALC_EPM!$B170="","",CALC_EPM!L170)</f>
      </c>
      <c r="M181">
        <f>IF(CALC_EPM!$B170="","",CALC_EPM!M170)</f>
      </c>
      <c r="N181">
        <f>IF(CALC_EPM!$B170="","",CALC_EPM!N170)</f>
      </c>
      <c r="O181">
        <f>IF(CALC_EPM!$B170="","",CALC_EPM!O170)</f>
      </c>
      <c r="P181">
        <f>IF(CALC_EPM!$B170="","",CALC_EPM!P170)</f>
      </c>
      <c r="Q181">
        <f>IF(CALC_EPM!$B170="","",CALC_EPM!Q170)</f>
      </c>
      <c r="R181">
        <f>IF(CALC_EPM!$B170="","",CALC_EPM!R170)</f>
      </c>
      <c r="S181">
        <f>IF(CALC_EPM!$B170="","",CALC_EPM!S170)</f>
      </c>
      <c r="T181">
        <f>IF(CALC_EPM!$B170="","",CALC_EPM!T170)</f>
      </c>
      <c r="U181">
        <f>IF(CALC_EPM!$B170="","",CALC_EPM!U170)</f>
      </c>
    </row>
    <row r="182">
      <c r="A182" t="str">
        <f>IF(CALC_EPM!$B171="","",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)</f>
      </c>
      <c r="B182" t="str">
        <f>IF(CALC_EPM!$B171="","",CALC_EPM!A171)</f>
      </c>
      <c r="C182" t="str">
        <f>IF(CALC_EPM!$B171="","",CALC_EPM!B171)</f>
      </c>
      <c r="D182">
        <f>IF(CALC_EPM!$B171="","",CALC_EPM!D171)</f>
      </c>
      <c r="E182" s="10" t="str">
        <f>IF(CALC_EPM!$B171="","",CALC_EPM!E171)</f>
      </c>
      <c r="F182" s="10" t="str">
        <f>IF(CALC_EPM!$B171="","",CALC_EPM!F171)</f>
      </c>
      <c r="G182" t="str">
        <f>IF(CALC_EPM!$B171="","",CALC_EPM!G171)</f>
      </c>
      <c r="H182" s="11" t="str">
        <f>IF(CALC_EPM!$B171="","",CALC_EPM!H171)</f>
      </c>
      <c r="I182" s="11" t="str">
        <f>IF(CALC_EPM!$B171="","",CALC_EPM!I171)</f>
      </c>
      <c r="J182" t="str">
        <f>IF(CALC_EPM!$B171="","",CALC_EPM!J171)</f>
      </c>
      <c r="K182" t="str">
        <f>IF(CALC_EPM!$B171="","",CALC_EPM!K171)</f>
      </c>
      <c r="L182">
        <f>IF(CALC_EPM!$B171="","",CALC_EPM!L171)</f>
      </c>
      <c r="M182">
        <f>IF(CALC_EPM!$B171="","",CALC_EPM!M171)</f>
      </c>
      <c r="N182">
        <f>IF(CALC_EPM!$B171="","",CALC_EPM!N171)</f>
      </c>
      <c r="O182">
        <f>IF(CALC_EPM!$B171="","",CALC_EPM!O171)</f>
      </c>
      <c r="P182">
        <f>IF(CALC_EPM!$B171="","",CALC_EPM!P171)</f>
      </c>
      <c r="Q182">
        <f>IF(CALC_EPM!$B171="","",CALC_EPM!Q171)</f>
      </c>
      <c r="R182">
        <f>IF(CALC_EPM!$B171="","",CALC_EPM!R171)</f>
      </c>
      <c r="S182">
        <f>IF(CALC_EPM!$B171="","",CALC_EPM!S171)</f>
      </c>
      <c r="T182">
        <f>IF(CALC_EPM!$B171="","",CALC_EPM!T171)</f>
      </c>
      <c r="U182">
        <f>IF(CALC_EPM!$B171="","",CALC_EPM!U171)</f>
      </c>
    </row>
    <row r="183">
      <c r="A183" t="str">
        <f>IF(CALC_EPM!$B172="","",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)</f>
      </c>
      <c r="B183" t="str">
        <f>IF(CALC_EPM!$B172="","",CALC_EPM!A172)</f>
      </c>
      <c r="C183" t="str">
        <f>IF(CALC_EPM!$B172="","",CALC_EPM!B172)</f>
      </c>
      <c r="D183">
        <f>IF(CALC_EPM!$B172="","",CALC_EPM!D172)</f>
      </c>
      <c r="E183" s="10" t="str">
        <f>IF(CALC_EPM!$B172="","",CALC_EPM!E172)</f>
      </c>
      <c r="F183" s="10" t="str">
        <f>IF(CALC_EPM!$B172="","",CALC_EPM!F172)</f>
      </c>
      <c r="G183" t="str">
        <f>IF(CALC_EPM!$B172="","",CALC_EPM!G172)</f>
      </c>
      <c r="H183" s="11" t="str">
        <f>IF(CALC_EPM!$B172="","",CALC_EPM!H172)</f>
      </c>
      <c r="I183" s="11" t="str">
        <f>IF(CALC_EPM!$B172="","",CALC_EPM!I172)</f>
      </c>
      <c r="J183" t="str">
        <f>IF(CALC_EPM!$B172="","",CALC_EPM!J172)</f>
      </c>
      <c r="K183" t="str">
        <f>IF(CALC_EPM!$B172="","",CALC_EPM!K172)</f>
      </c>
      <c r="L183">
        <f>IF(CALC_EPM!$B172="","",CALC_EPM!L172)</f>
      </c>
      <c r="M183">
        <f>IF(CALC_EPM!$B172="","",CALC_EPM!M172)</f>
      </c>
      <c r="N183">
        <f>IF(CALC_EPM!$B172="","",CALC_EPM!N172)</f>
      </c>
      <c r="O183">
        <f>IF(CALC_EPM!$B172="","",CALC_EPM!O172)</f>
      </c>
      <c r="P183">
        <f>IF(CALC_EPM!$B172="","",CALC_EPM!P172)</f>
      </c>
      <c r="Q183">
        <f>IF(CALC_EPM!$B172="","",CALC_EPM!Q172)</f>
      </c>
      <c r="R183">
        <f>IF(CALC_EPM!$B172="","",CALC_EPM!R172)</f>
      </c>
      <c r="S183">
        <f>IF(CALC_EPM!$B172="","",CALC_EPM!S172)</f>
      </c>
      <c r="T183">
        <f>IF(CALC_EPM!$B172="","",CALC_EPM!T172)</f>
      </c>
      <c r="U183">
        <f>IF(CALC_EPM!$B172="","",CALC_EPM!U172)</f>
      </c>
    </row>
    <row r="184">
      <c r="A184" t="str">
        <f>IF(CALC_EPM!$B173="","",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)</f>
      </c>
      <c r="B184" t="str">
        <f>IF(CALC_EPM!$B173="","",CALC_EPM!A173)</f>
      </c>
      <c r="C184" t="str">
        <f>IF(CALC_EPM!$B173="","",CALC_EPM!B173)</f>
      </c>
      <c r="D184">
        <f>IF(CALC_EPM!$B173="","",CALC_EPM!D173)</f>
      </c>
      <c r="E184" s="10" t="str">
        <f>IF(CALC_EPM!$B173="","",CALC_EPM!E173)</f>
      </c>
      <c r="F184" s="10" t="str">
        <f>IF(CALC_EPM!$B173="","",CALC_EPM!F173)</f>
      </c>
      <c r="G184" t="str">
        <f>IF(CALC_EPM!$B173="","",CALC_EPM!G173)</f>
      </c>
      <c r="H184" s="11" t="str">
        <f>IF(CALC_EPM!$B173="","",CALC_EPM!H173)</f>
      </c>
      <c r="I184" s="11" t="str">
        <f>IF(CALC_EPM!$B173="","",CALC_EPM!I173)</f>
      </c>
      <c r="J184" t="str">
        <f>IF(CALC_EPM!$B173="","",CALC_EPM!J173)</f>
      </c>
      <c r="K184" t="str">
        <f>IF(CALC_EPM!$B173="","",CALC_EPM!K173)</f>
      </c>
      <c r="L184">
        <f>IF(CALC_EPM!$B173="","",CALC_EPM!L173)</f>
      </c>
      <c r="M184">
        <f>IF(CALC_EPM!$B173="","",CALC_EPM!M173)</f>
      </c>
      <c r="N184">
        <f>IF(CALC_EPM!$B173="","",CALC_EPM!N173)</f>
      </c>
      <c r="O184">
        <f>IF(CALC_EPM!$B173="","",CALC_EPM!O173)</f>
      </c>
      <c r="P184">
        <f>IF(CALC_EPM!$B173="","",CALC_EPM!P173)</f>
      </c>
      <c r="Q184">
        <f>IF(CALC_EPM!$B173="","",CALC_EPM!Q173)</f>
      </c>
      <c r="R184">
        <f>IF(CALC_EPM!$B173="","",CALC_EPM!R173)</f>
      </c>
      <c r="S184">
        <f>IF(CALC_EPM!$B173="","",CALC_EPM!S173)</f>
      </c>
      <c r="T184">
        <f>IF(CALC_EPM!$B173="","",CALC_EPM!T173)</f>
      </c>
      <c r="U184">
        <f>IF(CALC_EPM!$B173="","",CALC_EPM!U173)</f>
      </c>
    </row>
    <row r="185">
      <c r="A185" t="str">
        <f>IF(CALC_EPM!$B174="","",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)</f>
      </c>
      <c r="B185" t="str">
        <f>IF(CALC_EPM!$B174="","",CALC_EPM!A174)</f>
      </c>
      <c r="C185" t="str">
        <f>IF(CALC_EPM!$B174="","",CALC_EPM!B174)</f>
      </c>
      <c r="D185">
        <f>IF(CALC_EPM!$B174="","",CALC_EPM!D174)</f>
      </c>
      <c r="E185" s="10" t="str">
        <f>IF(CALC_EPM!$B174="","",CALC_EPM!E174)</f>
      </c>
      <c r="F185" s="10" t="str">
        <f>IF(CALC_EPM!$B174="","",CALC_EPM!F174)</f>
      </c>
      <c r="G185" t="str">
        <f>IF(CALC_EPM!$B174="","",CALC_EPM!G174)</f>
      </c>
      <c r="H185" s="11" t="str">
        <f>IF(CALC_EPM!$B174="","",CALC_EPM!H174)</f>
      </c>
      <c r="I185" s="11" t="str">
        <f>IF(CALC_EPM!$B174="","",CALC_EPM!I174)</f>
      </c>
      <c r="J185" t="str">
        <f>IF(CALC_EPM!$B174="","",CALC_EPM!J174)</f>
      </c>
      <c r="K185" t="str">
        <f>IF(CALC_EPM!$B174="","",CALC_EPM!K174)</f>
      </c>
      <c r="L185">
        <f>IF(CALC_EPM!$B174="","",CALC_EPM!L174)</f>
      </c>
      <c r="M185">
        <f>IF(CALC_EPM!$B174="","",CALC_EPM!M174)</f>
      </c>
      <c r="N185">
        <f>IF(CALC_EPM!$B174="","",CALC_EPM!N174)</f>
      </c>
      <c r="O185">
        <f>IF(CALC_EPM!$B174="","",CALC_EPM!O174)</f>
      </c>
      <c r="P185">
        <f>IF(CALC_EPM!$B174="","",CALC_EPM!P174)</f>
      </c>
      <c r="Q185">
        <f>IF(CALC_EPM!$B174="","",CALC_EPM!Q174)</f>
      </c>
      <c r="R185">
        <f>IF(CALC_EPM!$B174="","",CALC_EPM!R174)</f>
      </c>
      <c r="S185">
        <f>IF(CALC_EPM!$B174="","",CALC_EPM!S174)</f>
      </c>
      <c r="T185">
        <f>IF(CALC_EPM!$B174="","",CALC_EPM!T174)</f>
      </c>
      <c r="U185">
        <f>IF(CALC_EPM!$B174="","",CALC_EPM!U174)</f>
      </c>
    </row>
    <row r="186">
      <c r="A186" t="str">
        <f>IF(CALC_EPM!$B175="","",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)</f>
      </c>
      <c r="B186" t="str">
        <f>IF(CALC_EPM!$B175="","",CALC_EPM!A175)</f>
      </c>
      <c r="C186" t="str">
        <f>IF(CALC_EPM!$B175="","",CALC_EPM!B175)</f>
      </c>
      <c r="D186">
        <f>IF(CALC_EPM!$B175="","",CALC_EPM!D175)</f>
      </c>
      <c r="E186" s="10" t="str">
        <f>IF(CALC_EPM!$B175="","",CALC_EPM!E175)</f>
      </c>
      <c r="F186" s="10" t="str">
        <f>IF(CALC_EPM!$B175="","",CALC_EPM!F175)</f>
      </c>
      <c r="G186" t="str">
        <f>IF(CALC_EPM!$B175="","",CALC_EPM!G175)</f>
      </c>
      <c r="H186" s="11" t="str">
        <f>IF(CALC_EPM!$B175="","",CALC_EPM!H175)</f>
      </c>
      <c r="I186" s="11" t="str">
        <f>IF(CALC_EPM!$B175="","",CALC_EPM!I175)</f>
      </c>
      <c r="J186" t="str">
        <f>IF(CALC_EPM!$B175="","",CALC_EPM!J175)</f>
      </c>
      <c r="K186" t="str">
        <f>IF(CALC_EPM!$B175="","",CALC_EPM!K175)</f>
      </c>
      <c r="L186">
        <f>IF(CALC_EPM!$B175="","",CALC_EPM!L175)</f>
      </c>
      <c r="M186">
        <f>IF(CALC_EPM!$B175="","",CALC_EPM!M175)</f>
      </c>
      <c r="N186">
        <f>IF(CALC_EPM!$B175="","",CALC_EPM!N175)</f>
      </c>
      <c r="O186">
        <f>IF(CALC_EPM!$B175="","",CALC_EPM!O175)</f>
      </c>
      <c r="P186">
        <f>IF(CALC_EPM!$B175="","",CALC_EPM!P175)</f>
      </c>
      <c r="Q186">
        <f>IF(CALC_EPM!$B175="","",CALC_EPM!Q175)</f>
      </c>
      <c r="R186">
        <f>IF(CALC_EPM!$B175="","",CALC_EPM!R175)</f>
      </c>
      <c r="S186">
        <f>IF(CALC_EPM!$B175="","",CALC_EPM!S175)</f>
      </c>
      <c r="T186">
        <f>IF(CALC_EPM!$B175="","",CALC_EPM!T175)</f>
      </c>
      <c r="U186">
        <f>IF(CALC_EPM!$B175="","",CALC_EPM!U175)</f>
      </c>
    </row>
    <row r="187">
      <c r="A187" t="str">
        <f>IF(CALC_EPM!$B176="","",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)</f>
      </c>
      <c r="B187" t="str">
        <f>IF(CALC_EPM!$B176="","",CALC_EPM!A176)</f>
      </c>
      <c r="C187" t="str">
        <f>IF(CALC_EPM!$B176="","",CALC_EPM!B176)</f>
      </c>
      <c r="D187">
        <f>IF(CALC_EPM!$B176="","",CALC_EPM!D176)</f>
      </c>
      <c r="E187" s="10" t="str">
        <f>IF(CALC_EPM!$B176="","",CALC_EPM!E176)</f>
      </c>
      <c r="F187" s="10" t="str">
        <f>IF(CALC_EPM!$B176="","",CALC_EPM!F176)</f>
      </c>
      <c r="G187" t="str">
        <f>IF(CALC_EPM!$B176="","",CALC_EPM!G176)</f>
      </c>
      <c r="H187" s="11" t="str">
        <f>IF(CALC_EPM!$B176="","",CALC_EPM!H176)</f>
      </c>
      <c r="I187" s="11" t="str">
        <f>IF(CALC_EPM!$B176="","",CALC_EPM!I176)</f>
      </c>
      <c r="J187" t="str">
        <f>IF(CALC_EPM!$B176="","",CALC_EPM!J176)</f>
      </c>
      <c r="K187" t="str">
        <f>IF(CALC_EPM!$B176="","",CALC_EPM!K176)</f>
      </c>
      <c r="L187">
        <f>IF(CALC_EPM!$B176="","",CALC_EPM!L176)</f>
      </c>
      <c r="M187">
        <f>IF(CALC_EPM!$B176="","",CALC_EPM!M176)</f>
      </c>
      <c r="N187">
        <f>IF(CALC_EPM!$B176="","",CALC_EPM!N176)</f>
      </c>
      <c r="O187">
        <f>IF(CALC_EPM!$B176="","",CALC_EPM!O176)</f>
      </c>
      <c r="P187">
        <f>IF(CALC_EPM!$B176="","",CALC_EPM!P176)</f>
      </c>
      <c r="Q187">
        <f>IF(CALC_EPM!$B176="","",CALC_EPM!Q176)</f>
      </c>
      <c r="R187">
        <f>IF(CALC_EPM!$B176="","",CALC_EPM!R176)</f>
      </c>
      <c r="S187">
        <f>IF(CALC_EPM!$B176="","",CALC_EPM!S176)</f>
      </c>
      <c r="T187">
        <f>IF(CALC_EPM!$B176="","",CALC_EPM!T176)</f>
      </c>
      <c r="U187">
        <f>IF(CALC_EPM!$B176="","",CALC_EPM!U176)</f>
      </c>
    </row>
    <row r="188">
      <c r="A188" t="str">
        <f>IF(CALC_EPM!$B177="","",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)</f>
      </c>
      <c r="B188" t="str">
        <f>IF(CALC_EPM!$B177="","",CALC_EPM!A177)</f>
      </c>
      <c r="C188" t="str">
        <f>IF(CALC_EPM!$B177="","",CALC_EPM!B177)</f>
      </c>
      <c r="D188">
        <f>IF(CALC_EPM!$B177="","",CALC_EPM!D177)</f>
      </c>
      <c r="E188" s="10" t="str">
        <f>IF(CALC_EPM!$B177="","",CALC_EPM!E177)</f>
      </c>
      <c r="F188" s="10" t="str">
        <f>IF(CALC_EPM!$B177="","",CALC_EPM!F177)</f>
      </c>
      <c r="G188" t="str">
        <f>IF(CALC_EPM!$B177="","",CALC_EPM!G177)</f>
      </c>
      <c r="H188" s="11" t="str">
        <f>IF(CALC_EPM!$B177="","",CALC_EPM!H177)</f>
      </c>
      <c r="I188" s="11" t="str">
        <f>IF(CALC_EPM!$B177="","",CALC_EPM!I177)</f>
      </c>
      <c r="J188" t="str">
        <f>IF(CALC_EPM!$B177="","",CALC_EPM!J177)</f>
      </c>
      <c r="K188" t="str">
        <f>IF(CALC_EPM!$B177="","",CALC_EPM!K177)</f>
      </c>
      <c r="L188">
        <f>IF(CALC_EPM!$B177="","",CALC_EPM!L177)</f>
      </c>
      <c r="M188">
        <f>IF(CALC_EPM!$B177="","",CALC_EPM!M177)</f>
      </c>
      <c r="N188">
        <f>IF(CALC_EPM!$B177="","",CALC_EPM!N177)</f>
      </c>
      <c r="O188">
        <f>IF(CALC_EPM!$B177="","",CALC_EPM!O177)</f>
      </c>
      <c r="P188">
        <f>IF(CALC_EPM!$B177="","",CALC_EPM!P177)</f>
      </c>
      <c r="Q188">
        <f>IF(CALC_EPM!$B177="","",CALC_EPM!Q177)</f>
      </c>
      <c r="R188">
        <f>IF(CALC_EPM!$B177="","",CALC_EPM!R177)</f>
      </c>
      <c r="S188">
        <f>IF(CALC_EPM!$B177="","",CALC_EPM!S177)</f>
      </c>
      <c r="T188">
        <f>IF(CALC_EPM!$B177="","",CALC_EPM!T177)</f>
      </c>
      <c r="U188">
        <f>IF(CALC_EPM!$B177="","",CALC_EPM!U177)</f>
      </c>
    </row>
    <row r="189">
      <c r="A189" t="str">
        <f>IF(CALC_EPM!$B178="","",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)</f>
      </c>
      <c r="B189" t="str">
        <f>IF(CALC_EPM!$B178="","",CALC_EPM!A178)</f>
      </c>
      <c r="C189" t="str">
        <f>IF(CALC_EPM!$B178="","",CALC_EPM!B178)</f>
      </c>
      <c r="D189">
        <f>IF(CALC_EPM!$B178="","",CALC_EPM!D178)</f>
      </c>
      <c r="E189" s="10" t="str">
        <f>IF(CALC_EPM!$B178="","",CALC_EPM!E178)</f>
      </c>
      <c r="F189" s="10" t="str">
        <f>IF(CALC_EPM!$B178="","",CALC_EPM!F178)</f>
      </c>
      <c r="G189" t="str">
        <f>IF(CALC_EPM!$B178="","",CALC_EPM!G178)</f>
      </c>
      <c r="H189" s="11" t="str">
        <f>IF(CALC_EPM!$B178="","",CALC_EPM!H178)</f>
      </c>
      <c r="I189" s="11" t="str">
        <f>IF(CALC_EPM!$B178="","",CALC_EPM!I178)</f>
      </c>
      <c r="J189" t="str">
        <f>IF(CALC_EPM!$B178="","",CALC_EPM!J178)</f>
      </c>
      <c r="K189" t="str">
        <f>IF(CALC_EPM!$B178="","",CALC_EPM!K178)</f>
      </c>
      <c r="L189">
        <f>IF(CALC_EPM!$B178="","",CALC_EPM!L178)</f>
      </c>
      <c r="M189">
        <f>IF(CALC_EPM!$B178="","",CALC_EPM!M178)</f>
      </c>
      <c r="N189">
        <f>IF(CALC_EPM!$B178="","",CALC_EPM!N178)</f>
      </c>
      <c r="O189">
        <f>IF(CALC_EPM!$B178="","",CALC_EPM!O178)</f>
      </c>
      <c r="P189">
        <f>IF(CALC_EPM!$B178="","",CALC_EPM!P178)</f>
      </c>
      <c r="Q189">
        <f>IF(CALC_EPM!$B178="","",CALC_EPM!Q178)</f>
      </c>
      <c r="R189">
        <f>IF(CALC_EPM!$B178="","",CALC_EPM!R178)</f>
      </c>
      <c r="S189">
        <f>IF(CALC_EPM!$B178="","",CALC_EPM!S178)</f>
      </c>
      <c r="T189">
        <f>IF(CALC_EPM!$B178="","",CALC_EPM!T178)</f>
      </c>
      <c r="U189">
        <f>IF(CALC_EPM!$B178="","",CALC_EPM!U178)</f>
      </c>
    </row>
    <row r="190">
      <c r="A190" t="str">
        <f>IF(CALC_EPM!$B179="","",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)</f>
      </c>
      <c r="B190" t="str">
        <f>IF(CALC_EPM!$B179="","",CALC_EPM!A179)</f>
      </c>
      <c r="C190" t="str">
        <f>IF(CALC_EPM!$B179="","",CALC_EPM!B179)</f>
      </c>
      <c r="D190">
        <f>IF(CALC_EPM!$B179="","",CALC_EPM!D179)</f>
      </c>
      <c r="E190" s="10" t="str">
        <f>IF(CALC_EPM!$B179="","",CALC_EPM!E179)</f>
      </c>
      <c r="F190" s="10" t="str">
        <f>IF(CALC_EPM!$B179="","",CALC_EPM!F179)</f>
      </c>
      <c r="G190" t="str">
        <f>IF(CALC_EPM!$B179="","",CALC_EPM!G179)</f>
      </c>
      <c r="H190" s="11" t="str">
        <f>IF(CALC_EPM!$B179="","",CALC_EPM!H179)</f>
      </c>
      <c r="I190" s="11" t="str">
        <f>IF(CALC_EPM!$B179="","",CALC_EPM!I179)</f>
      </c>
      <c r="J190" t="str">
        <f>IF(CALC_EPM!$B179="","",CALC_EPM!J179)</f>
      </c>
      <c r="K190" t="str">
        <f>IF(CALC_EPM!$B179="","",CALC_EPM!K179)</f>
      </c>
      <c r="L190">
        <f>IF(CALC_EPM!$B179="","",CALC_EPM!L179)</f>
      </c>
      <c r="M190">
        <f>IF(CALC_EPM!$B179="","",CALC_EPM!M179)</f>
      </c>
      <c r="N190">
        <f>IF(CALC_EPM!$B179="","",CALC_EPM!N179)</f>
      </c>
      <c r="O190">
        <f>IF(CALC_EPM!$B179="","",CALC_EPM!O179)</f>
      </c>
      <c r="P190">
        <f>IF(CALC_EPM!$B179="","",CALC_EPM!P179)</f>
      </c>
      <c r="Q190">
        <f>IF(CALC_EPM!$B179="","",CALC_EPM!Q179)</f>
      </c>
      <c r="R190">
        <f>IF(CALC_EPM!$B179="","",CALC_EPM!R179)</f>
      </c>
      <c r="S190">
        <f>IF(CALC_EPM!$B179="","",CALC_EPM!S179)</f>
      </c>
      <c r="T190">
        <f>IF(CALC_EPM!$B179="","",CALC_EPM!T179)</f>
      </c>
      <c r="U190">
        <f>IF(CALC_EPM!$B179="","",CALC_EPM!U179)</f>
      </c>
    </row>
    <row r="191">
      <c r="A191" t="str">
        <f>IF(CALC_EPM!$B180="","",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)</f>
      </c>
      <c r="B191" t="str">
        <f>IF(CALC_EPM!$B180="","",CALC_EPM!A180)</f>
      </c>
      <c r="C191" t="str">
        <f>IF(CALC_EPM!$B180="","",CALC_EPM!B180)</f>
      </c>
      <c r="D191">
        <f>IF(CALC_EPM!$B180="","",CALC_EPM!D180)</f>
      </c>
      <c r="E191" s="10" t="str">
        <f>IF(CALC_EPM!$B180="","",CALC_EPM!E180)</f>
      </c>
      <c r="F191" s="10" t="str">
        <f>IF(CALC_EPM!$B180="","",CALC_EPM!F180)</f>
      </c>
      <c r="G191" t="str">
        <f>IF(CALC_EPM!$B180="","",CALC_EPM!G180)</f>
      </c>
      <c r="H191" s="11" t="str">
        <f>IF(CALC_EPM!$B180="","",CALC_EPM!H180)</f>
      </c>
      <c r="I191" s="11" t="str">
        <f>IF(CALC_EPM!$B180="","",CALC_EPM!I180)</f>
      </c>
      <c r="J191" t="str">
        <f>IF(CALC_EPM!$B180="","",CALC_EPM!J180)</f>
      </c>
      <c r="K191" t="str">
        <f>IF(CALC_EPM!$B180="","",CALC_EPM!K180)</f>
      </c>
      <c r="L191">
        <f>IF(CALC_EPM!$B180="","",CALC_EPM!L180)</f>
      </c>
      <c r="M191">
        <f>IF(CALC_EPM!$B180="","",CALC_EPM!M180)</f>
      </c>
      <c r="N191">
        <f>IF(CALC_EPM!$B180="","",CALC_EPM!N180)</f>
      </c>
      <c r="O191">
        <f>IF(CALC_EPM!$B180="","",CALC_EPM!O180)</f>
      </c>
      <c r="P191">
        <f>IF(CALC_EPM!$B180="","",CALC_EPM!P180)</f>
      </c>
      <c r="Q191">
        <f>IF(CALC_EPM!$B180="","",CALC_EPM!Q180)</f>
      </c>
      <c r="R191">
        <f>IF(CALC_EPM!$B180="","",CALC_EPM!R180)</f>
      </c>
      <c r="S191">
        <f>IF(CALC_EPM!$B180="","",CALC_EPM!S180)</f>
      </c>
      <c r="T191">
        <f>IF(CALC_EPM!$B180="","",CALC_EPM!T180)</f>
      </c>
      <c r="U191">
        <f>IF(CALC_EPM!$B180="","",CALC_EPM!U180)</f>
      </c>
    </row>
    <row r="192">
      <c r="A192" t="str">
        <f>IF(CALC_EPM!$B181="","",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)</f>
      </c>
      <c r="B192" t="str">
        <f>IF(CALC_EPM!$B181="","",CALC_EPM!A181)</f>
      </c>
      <c r="C192" t="str">
        <f>IF(CALC_EPM!$B181="","",CALC_EPM!B181)</f>
      </c>
      <c r="D192">
        <f>IF(CALC_EPM!$B181="","",CALC_EPM!D181)</f>
      </c>
      <c r="E192" s="10" t="str">
        <f>IF(CALC_EPM!$B181="","",CALC_EPM!E181)</f>
      </c>
      <c r="F192" s="10" t="str">
        <f>IF(CALC_EPM!$B181="","",CALC_EPM!F181)</f>
      </c>
      <c r="G192" t="str">
        <f>IF(CALC_EPM!$B181="","",CALC_EPM!G181)</f>
      </c>
      <c r="H192" s="11" t="str">
        <f>IF(CALC_EPM!$B181="","",CALC_EPM!H181)</f>
      </c>
      <c r="I192" s="11" t="str">
        <f>IF(CALC_EPM!$B181="","",CALC_EPM!I181)</f>
      </c>
      <c r="J192" t="str">
        <f>IF(CALC_EPM!$B181="","",CALC_EPM!J181)</f>
      </c>
      <c r="K192" t="str">
        <f>IF(CALC_EPM!$B181="","",CALC_EPM!K181)</f>
      </c>
      <c r="L192">
        <f>IF(CALC_EPM!$B181="","",CALC_EPM!L181)</f>
      </c>
      <c r="M192">
        <f>IF(CALC_EPM!$B181="","",CALC_EPM!M181)</f>
      </c>
      <c r="N192">
        <f>IF(CALC_EPM!$B181="","",CALC_EPM!N181)</f>
      </c>
      <c r="O192">
        <f>IF(CALC_EPM!$B181="","",CALC_EPM!O181)</f>
      </c>
      <c r="P192">
        <f>IF(CALC_EPM!$B181="","",CALC_EPM!P181)</f>
      </c>
      <c r="Q192">
        <f>IF(CALC_EPM!$B181="","",CALC_EPM!Q181)</f>
      </c>
      <c r="R192">
        <f>IF(CALC_EPM!$B181="","",CALC_EPM!R181)</f>
      </c>
      <c r="S192">
        <f>IF(CALC_EPM!$B181="","",CALC_EPM!S181)</f>
      </c>
      <c r="T192">
        <f>IF(CALC_EPM!$B181="","",CALC_EPM!T181)</f>
      </c>
      <c r="U192">
        <f>IF(CALC_EPM!$B181="","",CALC_EPM!U181)</f>
      </c>
    </row>
    <row r="193">
      <c r="A193" t="str">
        <f>IF(CALC_EPM!$B182="","",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)</f>
      </c>
      <c r="B193" t="str">
        <f>IF(CALC_EPM!$B182="","",CALC_EPM!A182)</f>
      </c>
      <c r="C193" t="str">
        <f>IF(CALC_EPM!$B182="","",CALC_EPM!B182)</f>
      </c>
      <c r="D193">
        <f>IF(CALC_EPM!$B182="","",CALC_EPM!D182)</f>
      </c>
      <c r="E193" s="10" t="str">
        <f>IF(CALC_EPM!$B182="","",CALC_EPM!E182)</f>
      </c>
      <c r="F193" s="10" t="str">
        <f>IF(CALC_EPM!$B182="","",CALC_EPM!F182)</f>
      </c>
      <c r="G193" t="str">
        <f>IF(CALC_EPM!$B182="","",CALC_EPM!G182)</f>
      </c>
      <c r="H193" s="11" t="str">
        <f>IF(CALC_EPM!$B182="","",CALC_EPM!H182)</f>
      </c>
      <c r="I193" s="11" t="str">
        <f>IF(CALC_EPM!$B182="","",CALC_EPM!I182)</f>
      </c>
      <c r="J193" t="str">
        <f>IF(CALC_EPM!$B182="","",CALC_EPM!J182)</f>
      </c>
      <c r="K193" t="str">
        <f>IF(CALC_EPM!$B182="","",CALC_EPM!K182)</f>
      </c>
      <c r="L193">
        <f>IF(CALC_EPM!$B182="","",CALC_EPM!L182)</f>
      </c>
      <c r="M193">
        <f>IF(CALC_EPM!$B182="","",CALC_EPM!M182)</f>
      </c>
      <c r="N193">
        <f>IF(CALC_EPM!$B182="","",CALC_EPM!N182)</f>
      </c>
      <c r="O193">
        <f>IF(CALC_EPM!$B182="","",CALC_EPM!O182)</f>
      </c>
      <c r="P193">
        <f>IF(CALC_EPM!$B182="","",CALC_EPM!P182)</f>
      </c>
      <c r="Q193">
        <f>IF(CALC_EPM!$B182="","",CALC_EPM!Q182)</f>
      </c>
      <c r="R193">
        <f>IF(CALC_EPM!$B182="","",CALC_EPM!R182)</f>
      </c>
      <c r="S193">
        <f>IF(CALC_EPM!$B182="","",CALC_EPM!S182)</f>
      </c>
      <c r="T193">
        <f>IF(CALC_EPM!$B182="","",CALC_EPM!T182)</f>
      </c>
      <c r="U193">
        <f>IF(CALC_EPM!$B182="","",CALC_EPM!U182)</f>
      </c>
    </row>
    <row r="194">
      <c r="A194" t="str">
        <f>IF(CALC_EPM!$B183="","",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)</f>
      </c>
      <c r="B194" t="str">
        <f>IF(CALC_EPM!$B183="","",CALC_EPM!A183)</f>
      </c>
      <c r="C194" t="str">
        <f>IF(CALC_EPM!$B183="","",CALC_EPM!B183)</f>
      </c>
      <c r="D194">
        <f>IF(CALC_EPM!$B183="","",CALC_EPM!D183)</f>
      </c>
      <c r="E194" s="10" t="str">
        <f>IF(CALC_EPM!$B183="","",CALC_EPM!E183)</f>
      </c>
      <c r="F194" s="10" t="str">
        <f>IF(CALC_EPM!$B183="","",CALC_EPM!F183)</f>
      </c>
      <c r="G194" t="str">
        <f>IF(CALC_EPM!$B183="","",CALC_EPM!G183)</f>
      </c>
      <c r="H194" s="11" t="str">
        <f>IF(CALC_EPM!$B183="","",CALC_EPM!H183)</f>
      </c>
      <c r="I194" s="11" t="str">
        <f>IF(CALC_EPM!$B183="","",CALC_EPM!I183)</f>
      </c>
      <c r="J194" t="str">
        <f>IF(CALC_EPM!$B183="","",CALC_EPM!J183)</f>
      </c>
      <c r="K194" t="str">
        <f>IF(CALC_EPM!$B183="","",CALC_EPM!K183)</f>
      </c>
      <c r="L194">
        <f>IF(CALC_EPM!$B183="","",CALC_EPM!L183)</f>
      </c>
      <c r="M194">
        <f>IF(CALC_EPM!$B183="","",CALC_EPM!M183)</f>
      </c>
      <c r="N194">
        <f>IF(CALC_EPM!$B183="","",CALC_EPM!N183)</f>
      </c>
      <c r="O194">
        <f>IF(CALC_EPM!$B183="","",CALC_EPM!O183)</f>
      </c>
      <c r="P194">
        <f>IF(CALC_EPM!$B183="","",CALC_EPM!P183)</f>
      </c>
      <c r="Q194">
        <f>IF(CALC_EPM!$B183="","",CALC_EPM!Q183)</f>
      </c>
      <c r="R194">
        <f>IF(CALC_EPM!$B183="","",CALC_EPM!R183)</f>
      </c>
      <c r="S194">
        <f>IF(CALC_EPM!$B183="","",CALC_EPM!S183)</f>
      </c>
      <c r="T194">
        <f>IF(CALC_EPM!$B183="","",CALC_EPM!T183)</f>
      </c>
      <c r="U194">
        <f>IF(CALC_EPM!$B183="","",CALC_EPM!U183)</f>
      </c>
    </row>
    <row r="195">
      <c r="A195" t="str">
        <f>IF(CALC_EPM!$B184="","",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)</f>
      </c>
      <c r="B195" t="str">
        <f>IF(CALC_EPM!$B184="","",CALC_EPM!A184)</f>
      </c>
      <c r="C195" t="str">
        <f>IF(CALC_EPM!$B184="","",CALC_EPM!B184)</f>
      </c>
      <c r="D195">
        <f>IF(CALC_EPM!$B184="","",CALC_EPM!D184)</f>
      </c>
      <c r="E195" s="10" t="str">
        <f>IF(CALC_EPM!$B184="","",CALC_EPM!E184)</f>
      </c>
      <c r="F195" s="10" t="str">
        <f>IF(CALC_EPM!$B184="","",CALC_EPM!F184)</f>
      </c>
      <c r="G195" t="str">
        <f>IF(CALC_EPM!$B184="","",CALC_EPM!G184)</f>
      </c>
      <c r="H195" s="11" t="str">
        <f>IF(CALC_EPM!$B184="","",CALC_EPM!H184)</f>
      </c>
      <c r="I195" s="11" t="str">
        <f>IF(CALC_EPM!$B184="","",CALC_EPM!I184)</f>
      </c>
      <c r="J195" t="str">
        <f>IF(CALC_EPM!$B184="","",CALC_EPM!J184)</f>
      </c>
      <c r="K195" t="str">
        <f>IF(CALC_EPM!$B184="","",CALC_EPM!K184)</f>
      </c>
      <c r="L195">
        <f>IF(CALC_EPM!$B184="","",CALC_EPM!L184)</f>
      </c>
      <c r="M195">
        <f>IF(CALC_EPM!$B184="","",CALC_EPM!M184)</f>
      </c>
      <c r="N195">
        <f>IF(CALC_EPM!$B184="","",CALC_EPM!N184)</f>
      </c>
      <c r="O195">
        <f>IF(CALC_EPM!$B184="","",CALC_EPM!O184)</f>
      </c>
      <c r="P195">
        <f>IF(CALC_EPM!$B184="","",CALC_EPM!P184)</f>
      </c>
      <c r="Q195">
        <f>IF(CALC_EPM!$B184="","",CALC_EPM!Q184)</f>
      </c>
      <c r="R195">
        <f>IF(CALC_EPM!$B184="","",CALC_EPM!R184)</f>
      </c>
      <c r="S195">
        <f>IF(CALC_EPM!$B184="","",CALC_EPM!S184)</f>
      </c>
      <c r="T195">
        <f>IF(CALC_EPM!$B184="","",CALC_EPM!T184)</f>
      </c>
      <c r="U195">
        <f>IF(CALC_EPM!$B184="","",CALC_EPM!U184)</f>
      </c>
    </row>
    <row r="196">
      <c r="A196" t="str">
        <f>IF(CALC_EPM!$B185="","",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)</f>
      </c>
      <c r="B196" t="str">
        <f>IF(CALC_EPM!$B185="","",CALC_EPM!A185)</f>
      </c>
      <c r="C196" t="str">
        <f>IF(CALC_EPM!$B185="","",CALC_EPM!B185)</f>
      </c>
      <c r="D196">
        <f>IF(CALC_EPM!$B185="","",CALC_EPM!D185)</f>
      </c>
      <c r="E196" s="10" t="str">
        <f>IF(CALC_EPM!$B185="","",CALC_EPM!E185)</f>
      </c>
      <c r="F196" s="10" t="str">
        <f>IF(CALC_EPM!$B185="","",CALC_EPM!F185)</f>
      </c>
      <c r="G196" t="str">
        <f>IF(CALC_EPM!$B185="","",CALC_EPM!G185)</f>
      </c>
      <c r="H196" s="11" t="str">
        <f>IF(CALC_EPM!$B185="","",CALC_EPM!H185)</f>
      </c>
      <c r="I196" s="11" t="str">
        <f>IF(CALC_EPM!$B185="","",CALC_EPM!I185)</f>
      </c>
      <c r="J196" t="str">
        <f>IF(CALC_EPM!$B185="","",CALC_EPM!J185)</f>
      </c>
      <c r="K196" t="str">
        <f>IF(CALC_EPM!$B185="","",CALC_EPM!K185)</f>
      </c>
      <c r="L196">
        <f>IF(CALC_EPM!$B185="","",CALC_EPM!L185)</f>
      </c>
      <c r="M196">
        <f>IF(CALC_EPM!$B185="","",CALC_EPM!M185)</f>
      </c>
      <c r="N196">
        <f>IF(CALC_EPM!$B185="","",CALC_EPM!N185)</f>
      </c>
      <c r="O196">
        <f>IF(CALC_EPM!$B185="","",CALC_EPM!O185)</f>
      </c>
      <c r="P196">
        <f>IF(CALC_EPM!$B185="","",CALC_EPM!P185)</f>
      </c>
      <c r="Q196">
        <f>IF(CALC_EPM!$B185="","",CALC_EPM!Q185)</f>
      </c>
      <c r="R196">
        <f>IF(CALC_EPM!$B185="","",CALC_EPM!R185)</f>
      </c>
      <c r="S196">
        <f>IF(CALC_EPM!$B185="","",CALC_EPM!S185)</f>
      </c>
      <c r="T196">
        <f>IF(CALC_EPM!$B185="","",CALC_EPM!T185)</f>
      </c>
      <c r="U196">
        <f>IF(CALC_EPM!$B185="","",CALC_EPM!U185)</f>
      </c>
    </row>
    <row r="197">
      <c r="A197" t="str">
        <f>IF(CALC_EPM!$B186="","",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)</f>
      </c>
      <c r="B197" t="str">
        <f>IF(CALC_EPM!$B186="","",CALC_EPM!A186)</f>
      </c>
      <c r="C197" t="str">
        <f>IF(CALC_EPM!$B186="","",CALC_EPM!B186)</f>
      </c>
      <c r="D197">
        <f>IF(CALC_EPM!$B186="","",CALC_EPM!D186)</f>
      </c>
      <c r="E197" s="10" t="str">
        <f>IF(CALC_EPM!$B186="","",CALC_EPM!E186)</f>
      </c>
      <c r="F197" s="10" t="str">
        <f>IF(CALC_EPM!$B186="","",CALC_EPM!F186)</f>
      </c>
      <c r="G197" t="str">
        <f>IF(CALC_EPM!$B186="","",CALC_EPM!G186)</f>
      </c>
      <c r="H197" s="11" t="str">
        <f>IF(CALC_EPM!$B186="","",CALC_EPM!H186)</f>
      </c>
      <c r="I197" s="11" t="str">
        <f>IF(CALC_EPM!$B186="","",CALC_EPM!I186)</f>
      </c>
      <c r="J197" t="str">
        <f>IF(CALC_EPM!$B186="","",CALC_EPM!J186)</f>
      </c>
      <c r="K197" t="str">
        <f>IF(CALC_EPM!$B186="","",CALC_EPM!K186)</f>
      </c>
      <c r="L197">
        <f>IF(CALC_EPM!$B186="","",CALC_EPM!L186)</f>
      </c>
      <c r="M197">
        <f>IF(CALC_EPM!$B186="","",CALC_EPM!M186)</f>
      </c>
      <c r="N197">
        <f>IF(CALC_EPM!$B186="","",CALC_EPM!N186)</f>
      </c>
      <c r="O197">
        <f>IF(CALC_EPM!$B186="","",CALC_EPM!O186)</f>
      </c>
      <c r="P197">
        <f>IF(CALC_EPM!$B186="","",CALC_EPM!P186)</f>
      </c>
      <c r="Q197">
        <f>IF(CALC_EPM!$B186="","",CALC_EPM!Q186)</f>
      </c>
      <c r="R197">
        <f>IF(CALC_EPM!$B186="","",CALC_EPM!R186)</f>
      </c>
      <c r="S197">
        <f>IF(CALC_EPM!$B186="","",CALC_EPM!S186)</f>
      </c>
      <c r="T197">
        <f>IF(CALC_EPM!$B186="","",CALC_EPM!T186)</f>
      </c>
      <c r="U197">
        <f>IF(CALC_EPM!$B186="","",CALC_EPM!U186)</f>
      </c>
    </row>
    <row r="198">
      <c r="A198" t="str">
        <f>IF(CALC_EPM!$B187="","",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)</f>
      </c>
      <c r="B198" t="str">
        <f>IF(CALC_EPM!$B187="","",CALC_EPM!A187)</f>
      </c>
      <c r="C198" t="str">
        <f>IF(CALC_EPM!$B187="","",CALC_EPM!B187)</f>
      </c>
      <c r="D198">
        <f>IF(CALC_EPM!$B187="","",CALC_EPM!D187)</f>
      </c>
      <c r="E198" s="10" t="str">
        <f>IF(CALC_EPM!$B187="","",CALC_EPM!E187)</f>
      </c>
      <c r="F198" s="10" t="str">
        <f>IF(CALC_EPM!$B187="","",CALC_EPM!F187)</f>
      </c>
      <c r="G198" t="str">
        <f>IF(CALC_EPM!$B187="","",CALC_EPM!G187)</f>
      </c>
      <c r="H198" s="11" t="str">
        <f>IF(CALC_EPM!$B187="","",CALC_EPM!H187)</f>
      </c>
      <c r="I198" s="11" t="str">
        <f>IF(CALC_EPM!$B187="","",CALC_EPM!I187)</f>
      </c>
      <c r="J198" t="str">
        <f>IF(CALC_EPM!$B187="","",CALC_EPM!J187)</f>
      </c>
      <c r="K198" t="str">
        <f>IF(CALC_EPM!$B187="","",CALC_EPM!K187)</f>
      </c>
      <c r="L198">
        <f>IF(CALC_EPM!$B187="","",CALC_EPM!L187)</f>
      </c>
      <c r="M198">
        <f>IF(CALC_EPM!$B187="","",CALC_EPM!M187)</f>
      </c>
      <c r="N198">
        <f>IF(CALC_EPM!$B187="","",CALC_EPM!N187)</f>
      </c>
      <c r="O198">
        <f>IF(CALC_EPM!$B187="","",CALC_EPM!O187)</f>
      </c>
      <c r="P198">
        <f>IF(CALC_EPM!$B187="","",CALC_EPM!P187)</f>
      </c>
      <c r="Q198">
        <f>IF(CALC_EPM!$B187="","",CALC_EPM!Q187)</f>
      </c>
      <c r="R198">
        <f>IF(CALC_EPM!$B187="","",CALC_EPM!R187)</f>
      </c>
      <c r="S198">
        <f>IF(CALC_EPM!$B187="","",CALC_EPM!S187)</f>
      </c>
      <c r="T198">
        <f>IF(CALC_EPM!$B187="","",CALC_EPM!T187)</f>
      </c>
      <c r="U198">
        <f>IF(CALC_EPM!$B187="","",CALC_EPM!U187)</f>
      </c>
    </row>
    <row r="199">
      <c r="A199" t="str">
        <f>IF(CALC_EPM!$B188="","",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)</f>
      </c>
      <c r="B199" t="str">
        <f>IF(CALC_EPM!$B188="","",CALC_EPM!A188)</f>
      </c>
      <c r="C199" t="str">
        <f>IF(CALC_EPM!$B188="","",CALC_EPM!B188)</f>
      </c>
      <c r="D199">
        <f>IF(CALC_EPM!$B188="","",CALC_EPM!D188)</f>
      </c>
      <c r="E199" s="10" t="str">
        <f>IF(CALC_EPM!$B188="","",CALC_EPM!E188)</f>
      </c>
      <c r="F199" s="10" t="str">
        <f>IF(CALC_EPM!$B188="","",CALC_EPM!F188)</f>
      </c>
      <c r="G199" t="str">
        <f>IF(CALC_EPM!$B188="","",CALC_EPM!G188)</f>
      </c>
      <c r="H199" s="11" t="str">
        <f>IF(CALC_EPM!$B188="","",CALC_EPM!H188)</f>
      </c>
      <c r="I199" s="11" t="str">
        <f>IF(CALC_EPM!$B188="","",CALC_EPM!I188)</f>
      </c>
      <c r="J199" t="str">
        <f>IF(CALC_EPM!$B188="","",CALC_EPM!J188)</f>
      </c>
      <c r="K199" t="str">
        <f>IF(CALC_EPM!$B188="","",CALC_EPM!K188)</f>
      </c>
      <c r="L199">
        <f>IF(CALC_EPM!$B188="","",CALC_EPM!L188)</f>
      </c>
      <c r="M199">
        <f>IF(CALC_EPM!$B188="","",CALC_EPM!M188)</f>
      </c>
      <c r="N199">
        <f>IF(CALC_EPM!$B188="","",CALC_EPM!N188)</f>
      </c>
      <c r="O199">
        <f>IF(CALC_EPM!$B188="","",CALC_EPM!O188)</f>
      </c>
      <c r="P199">
        <f>IF(CALC_EPM!$B188="","",CALC_EPM!P188)</f>
      </c>
      <c r="Q199">
        <f>IF(CALC_EPM!$B188="","",CALC_EPM!Q188)</f>
      </c>
      <c r="R199">
        <f>IF(CALC_EPM!$B188="","",CALC_EPM!R188)</f>
      </c>
      <c r="S199">
        <f>IF(CALC_EPM!$B188="","",CALC_EPM!S188)</f>
      </c>
      <c r="T199">
        <f>IF(CALC_EPM!$B188="","",CALC_EPM!T188)</f>
      </c>
      <c r="U199">
        <f>IF(CALC_EPM!$B188="","",CALC_EPM!U188)</f>
      </c>
    </row>
    <row r="200">
      <c r="A200" t="str">
        <f>IF(CALC_EPM!$B189="","",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)</f>
      </c>
      <c r="B200" t="str">
        <f>IF(CALC_EPM!$B189="","",CALC_EPM!A189)</f>
      </c>
      <c r="C200" t="str">
        <f>IF(CALC_EPM!$B189="","",CALC_EPM!B189)</f>
      </c>
      <c r="D200">
        <f>IF(CALC_EPM!$B189="","",CALC_EPM!D189)</f>
      </c>
      <c r="E200" s="10" t="str">
        <f>IF(CALC_EPM!$B189="","",CALC_EPM!E189)</f>
      </c>
      <c r="F200" s="10" t="str">
        <f>IF(CALC_EPM!$B189="","",CALC_EPM!F189)</f>
      </c>
      <c r="G200" t="str">
        <f>IF(CALC_EPM!$B189="","",CALC_EPM!G189)</f>
      </c>
      <c r="H200" s="11" t="str">
        <f>IF(CALC_EPM!$B189="","",CALC_EPM!H189)</f>
      </c>
      <c r="I200" s="11" t="str">
        <f>IF(CALC_EPM!$B189="","",CALC_EPM!I189)</f>
      </c>
      <c r="J200" t="str">
        <f>IF(CALC_EPM!$B189="","",CALC_EPM!J189)</f>
      </c>
      <c r="K200" t="str">
        <f>IF(CALC_EPM!$B189="","",CALC_EPM!K189)</f>
      </c>
      <c r="L200">
        <f>IF(CALC_EPM!$B189="","",CALC_EPM!L189)</f>
      </c>
      <c r="M200">
        <f>IF(CALC_EPM!$B189="","",CALC_EPM!M189)</f>
      </c>
      <c r="N200">
        <f>IF(CALC_EPM!$B189="","",CALC_EPM!N189)</f>
      </c>
      <c r="O200">
        <f>IF(CALC_EPM!$B189="","",CALC_EPM!O189)</f>
      </c>
      <c r="P200">
        <f>IF(CALC_EPM!$B189="","",CALC_EPM!P189)</f>
      </c>
      <c r="Q200">
        <f>IF(CALC_EPM!$B189="","",CALC_EPM!Q189)</f>
      </c>
      <c r="R200">
        <f>IF(CALC_EPM!$B189="","",CALC_EPM!R189)</f>
      </c>
      <c r="S200">
        <f>IF(CALC_EPM!$B189="","",CALC_EPM!S189)</f>
      </c>
      <c r="T200">
        <f>IF(CALC_EPM!$B189="","",CALC_EPM!T189)</f>
      </c>
      <c r="U200">
        <f>IF(CALC_EPM!$B189="","",CALC_EPM!U189)</f>
      </c>
    </row>
    <row r="201">
      <c r="A201" t="str">
        <f>IF(CALC_EPM!$B190="","",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)</f>
      </c>
      <c r="B201" t="str">
        <f>IF(CALC_EPM!$B190="","",CALC_EPM!A190)</f>
      </c>
      <c r="C201" t="str">
        <f>IF(CALC_EPM!$B190="","",CALC_EPM!B190)</f>
      </c>
      <c r="D201">
        <f>IF(CALC_EPM!$B190="","",CALC_EPM!D190)</f>
      </c>
      <c r="E201" s="10" t="str">
        <f>IF(CALC_EPM!$B190="","",CALC_EPM!E190)</f>
      </c>
      <c r="F201" s="10" t="str">
        <f>IF(CALC_EPM!$B190="","",CALC_EPM!F190)</f>
      </c>
      <c r="G201" t="str">
        <f>IF(CALC_EPM!$B190="","",CALC_EPM!G190)</f>
      </c>
      <c r="H201" s="11" t="str">
        <f>IF(CALC_EPM!$B190="","",CALC_EPM!H190)</f>
      </c>
      <c r="I201" s="11" t="str">
        <f>IF(CALC_EPM!$B190="","",CALC_EPM!I190)</f>
      </c>
      <c r="J201" t="str">
        <f>IF(CALC_EPM!$B190="","",CALC_EPM!J190)</f>
      </c>
      <c r="K201" t="str">
        <f>IF(CALC_EPM!$B190="","",CALC_EPM!K190)</f>
      </c>
      <c r="L201">
        <f>IF(CALC_EPM!$B190="","",CALC_EPM!L190)</f>
      </c>
      <c r="M201">
        <f>IF(CALC_EPM!$B190="","",CALC_EPM!M190)</f>
      </c>
      <c r="N201">
        <f>IF(CALC_EPM!$B190="","",CALC_EPM!N190)</f>
      </c>
      <c r="O201">
        <f>IF(CALC_EPM!$B190="","",CALC_EPM!O190)</f>
      </c>
      <c r="P201">
        <f>IF(CALC_EPM!$B190="","",CALC_EPM!P190)</f>
      </c>
      <c r="Q201">
        <f>IF(CALC_EPM!$B190="","",CALC_EPM!Q190)</f>
      </c>
      <c r="R201">
        <f>IF(CALC_EPM!$B190="","",CALC_EPM!R190)</f>
      </c>
      <c r="S201">
        <f>IF(CALC_EPM!$B190="","",CALC_EPM!S190)</f>
      </c>
      <c r="T201">
        <f>IF(CALC_EPM!$B190="","",CALC_EPM!T190)</f>
      </c>
      <c r="U201">
        <f>IF(CALC_EPM!$B190="","",CALC_EPM!U190)</f>
      </c>
    </row>
    <row r="202">
      <c r="A202" t="str">
        <f>IF(CALC_EPM!$B191="","",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)</f>
      </c>
      <c r="B202" t="str">
        <f>IF(CALC_EPM!$B191="","",CALC_EPM!A191)</f>
      </c>
      <c r="C202" t="str">
        <f>IF(CALC_EPM!$B191="","",CALC_EPM!B191)</f>
      </c>
      <c r="D202">
        <f>IF(CALC_EPM!$B191="","",CALC_EPM!D191)</f>
      </c>
      <c r="E202" s="10" t="str">
        <f>IF(CALC_EPM!$B191="","",CALC_EPM!E191)</f>
      </c>
      <c r="F202" s="10" t="str">
        <f>IF(CALC_EPM!$B191="","",CALC_EPM!F191)</f>
      </c>
      <c r="G202" t="str">
        <f>IF(CALC_EPM!$B191="","",CALC_EPM!G191)</f>
      </c>
      <c r="H202" s="11" t="str">
        <f>IF(CALC_EPM!$B191="","",CALC_EPM!H191)</f>
      </c>
      <c r="I202" s="11" t="str">
        <f>IF(CALC_EPM!$B191="","",CALC_EPM!I191)</f>
      </c>
      <c r="J202" t="str">
        <f>IF(CALC_EPM!$B191="","",CALC_EPM!J191)</f>
      </c>
      <c r="K202" t="str">
        <f>IF(CALC_EPM!$B191="","",CALC_EPM!K191)</f>
      </c>
      <c r="L202">
        <f>IF(CALC_EPM!$B191="","",CALC_EPM!L191)</f>
      </c>
      <c r="M202">
        <f>IF(CALC_EPM!$B191="","",CALC_EPM!M191)</f>
      </c>
      <c r="N202">
        <f>IF(CALC_EPM!$B191="","",CALC_EPM!N191)</f>
      </c>
      <c r="O202">
        <f>IF(CALC_EPM!$B191="","",CALC_EPM!O191)</f>
      </c>
      <c r="P202">
        <f>IF(CALC_EPM!$B191="","",CALC_EPM!P191)</f>
      </c>
      <c r="Q202">
        <f>IF(CALC_EPM!$B191="","",CALC_EPM!Q191)</f>
      </c>
      <c r="R202">
        <f>IF(CALC_EPM!$B191="","",CALC_EPM!R191)</f>
      </c>
      <c r="S202">
        <f>IF(CALC_EPM!$B191="","",CALC_EPM!S191)</f>
      </c>
      <c r="T202">
        <f>IF(CALC_EPM!$B191="","",CALC_EPM!T191)</f>
      </c>
      <c r="U202">
        <f>IF(CALC_EPM!$B191="","",CALC_EPM!U191)</f>
      </c>
    </row>
    <row r="203">
      <c r="A203" t="str">
        <f>IF(CALC_EPM!$B192="","",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)</f>
      </c>
      <c r="B203" t="str">
        <f>IF(CALC_EPM!$B192="","",CALC_EPM!A192)</f>
      </c>
      <c r="C203" t="str">
        <f>IF(CALC_EPM!$B192="","",CALC_EPM!B192)</f>
      </c>
      <c r="D203">
        <f>IF(CALC_EPM!$B192="","",CALC_EPM!D192)</f>
      </c>
      <c r="E203" s="10" t="str">
        <f>IF(CALC_EPM!$B192="","",CALC_EPM!E192)</f>
      </c>
      <c r="F203" s="10" t="str">
        <f>IF(CALC_EPM!$B192="","",CALC_EPM!F192)</f>
      </c>
      <c r="G203" t="str">
        <f>IF(CALC_EPM!$B192="","",CALC_EPM!G192)</f>
      </c>
      <c r="H203" s="11" t="str">
        <f>IF(CALC_EPM!$B192="","",CALC_EPM!H192)</f>
      </c>
      <c r="I203" s="11" t="str">
        <f>IF(CALC_EPM!$B192="","",CALC_EPM!I192)</f>
      </c>
      <c r="J203" t="str">
        <f>IF(CALC_EPM!$B192="","",CALC_EPM!J192)</f>
      </c>
      <c r="K203" t="str">
        <f>IF(CALC_EPM!$B192="","",CALC_EPM!K192)</f>
      </c>
      <c r="L203">
        <f>IF(CALC_EPM!$B192="","",CALC_EPM!L192)</f>
      </c>
      <c r="M203">
        <f>IF(CALC_EPM!$B192="","",CALC_EPM!M192)</f>
      </c>
      <c r="N203">
        <f>IF(CALC_EPM!$B192="","",CALC_EPM!N192)</f>
      </c>
      <c r="O203">
        <f>IF(CALC_EPM!$B192="","",CALC_EPM!O192)</f>
      </c>
      <c r="P203">
        <f>IF(CALC_EPM!$B192="","",CALC_EPM!P192)</f>
      </c>
      <c r="Q203">
        <f>IF(CALC_EPM!$B192="","",CALC_EPM!Q192)</f>
      </c>
      <c r="R203">
        <f>IF(CALC_EPM!$B192="","",CALC_EPM!R192)</f>
      </c>
      <c r="S203">
        <f>IF(CALC_EPM!$B192="","",CALC_EPM!S192)</f>
      </c>
      <c r="T203">
        <f>IF(CALC_EPM!$B192="","",CALC_EPM!T192)</f>
      </c>
      <c r="U203">
        <f>IF(CALC_EPM!$B192="","",CALC_EPM!U192)</f>
      </c>
    </row>
    <row r="204">
      <c r="A204" t="str">
        <f>IF(CALC_EPM!$B193="","",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)</f>
      </c>
      <c r="B204" t="str">
        <f>IF(CALC_EPM!$B193="","",CALC_EPM!A193)</f>
      </c>
      <c r="C204" t="str">
        <f>IF(CALC_EPM!$B193="","",CALC_EPM!B193)</f>
      </c>
      <c r="D204">
        <f>IF(CALC_EPM!$B193="","",CALC_EPM!D193)</f>
      </c>
      <c r="E204" s="10" t="str">
        <f>IF(CALC_EPM!$B193="","",CALC_EPM!E193)</f>
      </c>
      <c r="F204" s="10" t="str">
        <f>IF(CALC_EPM!$B193="","",CALC_EPM!F193)</f>
      </c>
      <c r="G204" t="str">
        <f>IF(CALC_EPM!$B193="","",CALC_EPM!G193)</f>
      </c>
      <c r="H204" s="11" t="str">
        <f>IF(CALC_EPM!$B193="","",CALC_EPM!H193)</f>
      </c>
      <c r="I204" s="11" t="str">
        <f>IF(CALC_EPM!$B193="","",CALC_EPM!I193)</f>
      </c>
      <c r="J204" t="str">
        <f>IF(CALC_EPM!$B193="","",CALC_EPM!J193)</f>
      </c>
      <c r="K204" t="str">
        <f>IF(CALC_EPM!$B193="","",CALC_EPM!K193)</f>
      </c>
      <c r="L204">
        <f>IF(CALC_EPM!$B193="","",CALC_EPM!L193)</f>
      </c>
      <c r="M204">
        <f>IF(CALC_EPM!$B193="","",CALC_EPM!M193)</f>
      </c>
      <c r="N204">
        <f>IF(CALC_EPM!$B193="","",CALC_EPM!N193)</f>
      </c>
      <c r="O204">
        <f>IF(CALC_EPM!$B193="","",CALC_EPM!O193)</f>
      </c>
      <c r="P204">
        <f>IF(CALC_EPM!$B193="","",CALC_EPM!P193)</f>
      </c>
      <c r="Q204">
        <f>IF(CALC_EPM!$B193="","",CALC_EPM!Q193)</f>
      </c>
      <c r="R204">
        <f>IF(CALC_EPM!$B193="","",CALC_EPM!R193)</f>
      </c>
      <c r="S204">
        <f>IF(CALC_EPM!$B193="","",CALC_EPM!S193)</f>
      </c>
      <c r="T204">
        <f>IF(CALC_EPM!$B193="","",CALC_EPM!T193)</f>
      </c>
      <c r="U204">
        <f>IF(CALC_EPM!$B193="","",CALC_EPM!U193)</f>
      </c>
    </row>
    <row r="205">
      <c r="A205" t="str">
        <f>IF(CALC_EPM!$B194="","",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)</f>
      </c>
      <c r="B205" t="str">
        <f>IF(CALC_EPM!$B194="","",CALC_EPM!A194)</f>
      </c>
      <c r="C205" t="str">
        <f>IF(CALC_EPM!$B194="","",CALC_EPM!B194)</f>
      </c>
      <c r="D205">
        <f>IF(CALC_EPM!$B194="","",CALC_EPM!D194)</f>
      </c>
      <c r="E205" s="10" t="str">
        <f>IF(CALC_EPM!$B194="","",CALC_EPM!E194)</f>
      </c>
      <c r="F205" s="10" t="str">
        <f>IF(CALC_EPM!$B194="","",CALC_EPM!F194)</f>
      </c>
      <c r="G205" t="str">
        <f>IF(CALC_EPM!$B194="","",CALC_EPM!G194)</f>
      </c>
      <c r="H205" s="11" t="str">
        <f>IF(CALC_EPM!$B194="","",CALC_EPM!H194)</f>
      </c>
      <c r="I205" s="11" t="str">
        <f>IF(CALC_EPM!$B194="","",CALC_EPM!I194)</f>
      </c>
      <c r="J205" t="str">
        <f>IF(CALC_EPM!$B194="","",CALC_EPM!J194)</f>
      </c>
      <c r="K205" t="str">
        <f>IF(CALC_EPM!$B194="","",CALC_EPM!K194)</f>
      </c>
      <c r="L205">
        <f>IF(CALC_EPM!$B194="","",CALC_EPM!L194)</f>
      </c>
      <c r="M205">
        <f>IF(CALC_EPM!$B194="","",CALC_EPM!M194)</f>
      </c>
      <c r="N205">
        <f>IF(CALC_EPM!$B194="","",CALC_EPM!N194)</f>
      </c>
      <c r="O205">
        <f>IF(CALC_EPM!$B194="","",CALC_EPM!O194)</f>
      </c>
      <c r="P205">
        <f>IF(CALC_EPM!$B194="","",CALC_EPM!P194)</f>
      </c>
      <c r="Q205">
        <f>IF(CALC_EPM!$B194="","",CALC_EPM!Q194)</f>
      </c>
      <c r="R205">
        <f>IF(CALC_EPM!$B194="","",CALC_EPM!R194)</f>
      </c>
      <c r="S205">
        <f>IF(CALC_EPM!$B194="","",CALC_EPM!S194)</f>
      </c>
      <c r="T205">
        <f>IF(CALC_EPM!$B194="","",CALC_EPM!T194)</f>
      </c>
      <c r="U205">
        <f>IF(CALC_EPM!$B194="","",CALC_EPM!U194)</f>
      </c>
    </row>
    <row r="206">
      <c r="A206" t="str">
        <f>IF(CALC_EPM!$B195="","",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)</f>
      </c>
      <c r="B206" t="str">
        <f>IF(CALC_EPM!$B195="","",CALC_EPM!A195)</f>
      </c>
      <c r="C206" t="str">
        <f>IF(CALC_EPM!$B195="","",CALC_EPM!B195)</f>
      </c>
      <c r="D206">
        <f>IF(CALC_EPM!$B195="","",CALC_EPM!D195)</f>
      </c>
      <c r="E206" s="10" t="str">
        <f>IF(CALC_EPM!$B195="","",CALC_EPM!E195)</f>
      </c>
      <c r="F206" s="10" t="str">
        <f>IF(CALC_EPM!$B195="","",CALC_EPM!F195)</f>
      </c>
      <c r="G206" t="str">
        <f>IF(CALC_EPM!$B195="","",CALC_EPM!G195)</f>
      </c>
      <c r="H206" s="11" t="str">
        <f>IF(CALC_EPM!$B195="","",CALC_EPM!H195)</f>
      </c>
      <c r="I206" s="11" t="str">
        <f>IF(CALC_EPM!$B195="","",CALC_EPM!I195)</f>
      </c>
      <c r="J206" t="str">
        <f>IF(CALC_EPM!$B195="","",CALC_EPM!J195)</f>
      </c>
      <c r="K206" t="str">
        <f>IF(CALC_EPM!$B195="","",CALC_EPM!K195)</f>
      </c>
      <c r="L206">
        <f>IF(CALC_EPM!$B195="","",CALC_EPM!L195)</f>
      </c>
      <c r="M206">
        <f>IF(CALC_EPM!$B195="","",CALC_EPM!M195)</f>
      </c>
      <c r="N206">
        <f>IF(CALC_EPM!$B195="","",CALC_EPM!N195)</f>
      </c>
      <c r="O206">
        <f>IF(CALC_EPM!$B195="","",CALC_EPM!O195)</f>
      </c>
      <c r="P206">
        <f>IF(CALC_EPM!$B195="","",CALC_EPM!P195)</f>
      </c>
      <c r="Q206">
        <f>IF(CALC_EPM!$B195="","",CALC_EPM!Q195)</f>
      </c>
      <c r="R206">
        <f>IF(CALC_EPM!$B195="","",CALC_EPM!R195)</f>
      </c>
      <c r="S206">
        <f>IF(CALC_EPM!$B195="","",CALC_EPM!S195)</f>
      </c>
      <c r="T206">
        <f>IF(CALC_EPM!$B195="","",CALC_EPM!T195)</f>
      </c>
      <c r="U206">
        <f>IF(CALC_EPM!$B195="","",CALC_EPM!U195)</f>
      </c>
    </row>
    <row r="207">
      <c r="A207" t="str">
        <f>IF(CALC_EPM!$B196="","",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)</f>
      </c>
      <c r="B207" t="str">
        <f>IF(CALC_EPM!$B196="","",CALC_EPM!A196)</f>
      </c>
      <c r="C207" t="str">
        <f>IF(CALC_EPM!$B196="","",CALC_EPM!B196)</f>
      </c>
      <c r="D207">
        <f>IF(CALC_EPM!$B196="","",CALC_EPM!D196)</f>
      </c>
      <c r="E207" s="10" t="str">
        <f>IF(CALC_EPM!$B196="","",CALC_EPM!E196)</f>
      </c>
      <c r="F207" s="10" t="str">
        <f>IF(CALC_EPM!$B196="","",CALC_EPM!F196)</f>
      </c>
      <c r="G207" t="str">
        <f>IF(CALC_EPM!$B196="","",CALC_EPM!G196)</f>
      </c>
      <c r="H207" s="11" t="str">
        <f>IF(CALC_EPM!$B196="","",CALC_EPM!H196)</f>
      </c>
      <c r="I207" s="11" t="str">
        <f>IF(CALC_EPM!$B196="","",CALC_EPM!I196)</f>
      </c>
      <c r="J207" t="str">
        <f>IF(CALC_EPM!$B196="","",CALC_EPM!J196)</f>
      </c>
      <c r="K207" t="str">
        <f>IF(CALC_EPM!$B196="","",CALC_EPM!K196)</f>
      </c>
      <c r="L207">
        <f>IF(CALC_EPM!$B196="","",CALC_EPM!L196)</f>
      </c>
      <c r="M207">
        <f>IF(CALC_EPM!$B196="","",CALC_EPM!M196)</f>
      </c>
      <c r="N207">
        <f>IF(CALC_EPM!$B196="","",CALC_EPM!N196)</f>
      </c>
      <c r="O207">
        <f>IF(CALC_EPM!$B196="","",CALC_EPM!O196)</f>
      </c>
      <c r="P207">
        <f>IF(CALC_EPM!$B196="","",CALC_EPM!P196)</f>
      </c>
      <c r="Q207">
        <f>IF(CALC_EPM!$B196="","",CALC_EPM!Q196)</f>
      </c>
      <c r="R207">
        <f>IF(CALC_EPM!$B196="","",CALC_EPM!R196)</f>
      </c>
      <c r="S207">
        <f>IF(CALC_EPM!$B196="","",CALC_EPM!S196)</f>
      </c>
      <c r="T207">
        <f>IF(CALC_EPM!$B196="","",CALC_EPM!T196)</f>
      </c>
      <c r="U207">
        <f>IF(CALC_EPM!$B196="","",CALC_EPM!U196)</f>
      </c>
    </row>
    <row r="208">
      <c r="A208" t="str">
        <f>IF(CALC_EPM!$B197="","",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)</f>
      </c>
      <c r="B208" t="str">
        <f>IF(CALC_EPM!$B197="","",CALC_EPM!A197)</f>
      </c>
      <c r="C208" t="str">
        <f>IF(CALC_EPM!$B197="","",CALC_EPM!B197)</f>
      </c>
      <c r="D208">
        <f>IF(CALC_EPM!$B197="","",CALC_EPM!D197)</f>
      </c>
      <c r="E208" s="10" t="str">
        <f>IF(CALC_EPM!$B197="","",CALC_EPM!E197)</f>
      </c>
      <c r="F208" s="10" t="str">
        <f>IF(CALC_EPM!$B197="","",CALC_EPM!F197)</f>
      </c>
      <c r="G208" t="str">
        <f>IF(CALC_EPM!$B197="","",CALC_EPM!G197)</f>
      </c>
      <c r="H208" s="11" t="str">
        <f>IF(CALC_EPM!$B197="","",CALC_EPM!H197)</f>
      </c>
      <c r="I208" s="11" t="str">
        <f>IF(CALC_EPM!$B197="","",CALC_EPM!I197)</f>
      </c>
      <c r="J208" t="str">
        <f>IF(CALC_EPM!$B197="","",CALC_EPM!J197)</f>
      </c>
      <c r="K208" t="str">
        <f>IF(CALC_EPM!$B197="","",CALC_EPM!K197)</f>
      </c>
      <c r="L208">
        <f>IF(CALC_EPM!$B197="","",CALC_EPM!L197)</f>
      </c>
      <c r="M208">
        <f>IF(CALC_EPM!$B197="","",CALC_EPM!M197)</f>
      </c>
      <c r="N208">
        <f>IF(CALC_EPM!$B197="","",CALC_EPM!N197)</f>
      </c>
      <c r="O208">
        <f>IF(CALC_EPM!$B197="","",CALC_EPM!O197)</f>
      </c>
      <c r="P208">
        <f>IF(CALC_EPM!$B197="","",CALC_EPM!P197)</f>
      </c>
      <c r="Q208">
        <f>IF(CALC_EPM!$B197="","",CALC_EPM!Q197)</f>
      </c>
      <c r="R208">
        <f>IF(CALC_EPM!$B197="","",CALC_EPM!R197)</f>
      </c>
      <c r="S208">
        <f>IF(CALC_EPM!$B197="","",CALC_EPM!S197)</f>
      </c>
      <c r="T208">
        <f>IF(CALC_EPM!$B197="","",CALC_EPM!T197)</f>
      </c>
      <c r="U208">
        <f>IF(CALC_EPM!$B197="","",CALC_EPM!U197)</f>
      </c>
    </row>
    <row r="209">
      <c r="A209" t="str">
        <f>IF(CALC_EPM!$B198="","",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)</f>
      </c>
      <c r="B209" t="str">
        <f>IF(CALC_EPM!$B198="","",CALC_EPM!A198)</f>
      </c>
      <c r="C209" t="str">
        <f>IF(CALC_EPM!$B198="","",CALC_EPM!B198)</f>
      </c>
      <c r="D209">
        <f>IF(CALC_EPM!$B198="","",CALC_EPM!D198)</f>
      </c>
      <c r="E209" s="10" t="str">
        <f>IF(CALC_EPM!$B198="","",CALC_EPM!E198)</f>
      </c>
      <c r="F209" s="10" t="str">
        <f>IF(CALC_EPM!$B198="","",CALC_EPM!F198)</f>
      </c>
      <c r="G209" t="str">
        <f>IF(CALC_EPM!$B198="","",CALC_EPM!G198)</f>
      </c>
      <c r="H209" s="11" t="str">
        <f>IF(CALC_EPM!$B198="","",CALC_EPM!H198)</f>
      </c>
      <c r="I209" s="11" t="str">
        <f>IF(CALC_EPM!$B198="","",CALC_EPM!I198)</f>
      </c>
      <c r="J209" t="str">
        <f>IF(CALC_EPM!$B198="","",CALC_EPM!J198)</f>
      </c>
      <c r="K209" t="str">
        <f>IF(CALC_EPM!$B198="","",CALC_EPM!K198)</f>
      </c>
      <c r="L209">
        <f>IF(CALC_EPM!$B198="","",CALC_EPM!L198)</f>
      </c>
      <c r="M209">
        <f>IF(CALC_EPM!$B198="","",CALC_EPM!M198)</f>
      </c>
      <c r="N209">
        <f>IF(CALC_EPM!$B198="","",CALC_EPM!N198)</f>
      </c>
      <c r="O209">
        <f>IF(CALC_EPM!$B198="","",CALC_EPM!O198)</f>
      </c>
      <c r="P209">
        <f>IF(CALC_EPM!$B198="","",CALC_EPM!P198)</f>
      </c>
      <c r="Q209">
        <f>IF(CALC_EPM!$B198="","",CALC_EPM!Q198)</f>
      </c>
      <c r="R209">
        <f>IF(CALC_EPM!$B198="","",CALC_EPM!R198)</f>
      </c>
      <c r="S209">
        <f>IF(CALC_EPM!$B198="","",CALC_EPM!S198)</f>
      </c>
      <c r="T209">
        <f>IF(CALC_EPM!$B198="","",CALC_EPM!T198)</f>
      </c>
      <c r="U209">
        <f>IF(CALC_EPM!$B198="","",CALC_EPM!U198)</f>
      </c>
    </row>
    <row r="210">
      <c r="A210" t="str">
        <f>IF(CALC_EPM!$B199="","",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)</f>
      </c>
      <c r="B210" t="str">
        <f>IF(CALC_EPM!$B199="","",CALC_EPM!A199)</f>
      </c>
      <c r="C210" t="str">
        <f>IF(CALC_EPM!$B199="","",CALC_EPM!B199)</f>
      </c>
      <c r="D210">
        <f>IF(CALC_EPM!$B199="","",CALC_EPM!D199)</f>
      </c>
      <c r="E210" s="10" t="str">
        <f>IF(CALC_EPM!$B199="","",CALC_EPM!E199)</f>
      </c>
      <c r="F210" s="10" t="str">
        <f>IF(CALC_EPM!$B199="","",CALC_EPM!F199)</f>
      </c>
      <c r="G210" t="str">
        <f>IF(CALC_EPM!$B199="","",CALC_EPM!G199)</f>
      </c>
      <c r="H210" s="11" t="str">
        <f>IF(CALC_EPM!$B199="","",CALC_EPM!H199)</f>
      </c>
      <c r="I210" s="11" t="str">
        <f>IF(CALC_EPM!$B199="","",CALC_EPM!I199)</f>
      </c>
      <c r="J210" t="str">
        <f>IF(CALC_EPM!$B199="","",CALC_EPM!J199)</f>
      </c>
      <c r="K210" t="str">
        <f>IF(CALC_EPM!$B199="","",CALC_EPM!K199)</f>
      </c>
      <c r="L210">
        <f>IF(CALC_EPM!$B199="","",CALC_EPM!L199)</f>
      </c>
      <c r="M210">
        <f>IF(CALC_EPM!$B199="","",CALC_EPM!M199)</f>
      </c>
      <c r="N210">
        <f>IF(CALC_EPM!$B199="","",CALC_EPM!N199)</f>
      </c>
      <c r="O210">
        <f>IF(CALC_EPM!$B199="","",CALC_EPM!O199)</f>
      </c>
      <c r="P210">
        <f>IF(CALC_EPM!$B199="","",CALC_EPM!P199)</f>
      </c>
      <c r="Q210">
        <f>IF(CALC_EPM!$B199="","",CALC_EPM!Q199)</f>
      </c>
      <c r="R210">
        <f>IF(CALC_EPM!$B199="","",CALC_EPM!R199)</f>
      </c>
      <c r="S210">
        <f>IF(CALC_EPM!$B199="","",CALC_EPM!S199)</f>
      </c>
      <c r="T210">
        <f>IF(CALC_EPM!$B199="","",CALC_EPM!T199)</f>
      </c>
      <c r="U210">
        <f>IF(CALC_EPM!$B199="","",CALC_EPM!U199)</f>
      </c>
    </row>
    <row r="211">
      <c r="A211" t="str">
        <f>IF(CALC_EPM!$B200="","",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)</f>
      </c>
      <c r="B211" t="str">
        <f>IF(CALC_EPM!$B200="","",CALC_EPM!A200)</f>
      </c>
      <c r="C211" t="str">
        <f>IF(CALC_EPM!$B200="","",CALC_EPM!B200)</f>
      </c>
      <c r="D211">
        <f>IF(CALC_EPM!$B200="","",CALC_EPM!D200)</f>
      </c>
      <c r="E211" s="10" t="str">
        <f>IF(CALC_EPM!$B200="","",CALC_EPM!E200)</f>
      </c>
      <c r="F211" s="10" t="str">
        <f>IF(CALC_EPM!$B200="","",CALC_EPM!F200)</f>
      </c>
      <c r="G211" t="str">
        <f>IF(CALC_EPM!$B200="","",CALC_EPM!G200)</f>
      </c>
      <c r="H211" s="11" t="str">
        <f>IF(CALC_EPM!$B200="","",CALC_EPM!H200)</f>
      </c>
      <c r="I211" s="11" t="str">
        <f>IF(CALC_EPM!$B200="","",CALC_EPM!I200)</f>
      </c>
      <c r="J211" t="str">
        <f>IF(CALC_EPM!$B200="","",CALC_EPM!J200)</f>
      </c>
      <c r="K211" t="str">
        <f>IF(CALC_EPM!$B200="","",CALC_EPM!K200)</f>
      </c>
      <c r="L211">
        <f>IF(CALC_EPM!$B200="","",CALC_EPM!L200)</f>
      </c>
      <c r="M211">
        <f>IF(CALC_EPM!$B200="","",CALC_EPM!M200)</f>
      </c>
      <c r="N211">
        <f>IF(CALC_EPM!$B200="","",CALC_EPM!N200)</f>
      </c>
      <c r="O211">
        <f>IF(CALC_EPM!$B200="","",CALC_EPM!O200)</f>
      </c>
      <c r="P211">
        <f>IF(CALC_EPM!$B200="","",CALC_EPM!P200)</f>
      </c>
      <c r="Q211">
        <f>IF(CALC_EPM!$B200="","",CALC_EPM!Q200)</f>
      </c>
      <c r="R211">
        <f>IF(CALC_EPM!$B200="","",CALC_EPM!R200)</f>
      </c>
      <c r="S211">
        <f>IF(CALC_EPM!$B200="","",CALC_EPM!S200)</f>
      </c>
      <c r="T211">
        <f>IF(CALC_EPM!$B200="","",CALC_EPM!T200)</f>
      </c>
      <c r="U211">
        <f>IF(CALC_EPM!$B200="","",CALC_EPM!U200)</f>
      </c>
    </row>
    <row r="212">
      <c r="A212" t="str">
        <f>IF(CALC_EPM!$B201="","",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)</f>
      </c>
      <c r="B212" t="str">
        <f>IF(CALC_EPM!$B201="","",CALC_EPM!A201)</f>
      </c>
      <c r="C212" t="str">
        <f>IF(CALC_EPM!$B201="","",CALC_EPM!B201)</f>
      </c>
      <c r="D212">
        <f>IF(CALC_EPM!$B201="","",CALC_EPM!D201)</f>
      </c>
      <c r="E212" s="10" t="str">
        <f>IF(CALC_EPM!$B201="","",CALC_EPM!E201)</f>
      </c>
      <c r="F212" s="10" t="str">
        <f>IF(CALC_EPM!$B201="","",CALC_EPM!F201)</f>
      </c>
      <c r="G212" t="str">
        <f>IF(CALC_EPM!$B201="","",CALC_EPM!G201)</f>
      </c>
      <c r="H212" s="11" t="str">
        <f>IF(CALC_EPM!$B201="","",CALC_EPM!H201)</f>
      </c>
      <c r="I212" s="11" t="str">
        <f>IF(CALC_EPM!$B201="","",CALC_EPM!I201)</f>
      </c>
      <c r="J212" t="str">
        <f>IF(CALC_EPM!$B201="","",CALC_EPM!J201)</f>
      </c>
      <c r="K212" t="str">
        <f>IF(CALC_EPM!$B201="","",CALC_EPM!K201)</f>
      </c>
      <c r="L212">
        <f>IF(CALC_EPM!$B201="","",CALC_EPM!L201)</f>
      </c>
      <c r="M212">
        <f>IF(CALC_EPM!$B201="","",CALC_EPM!M201)</f>
      </c>
      <c r="N212">
        <f>IF(CALC_EPM!$B201="","",CALC_EPM!N201)</f>
      </c>
      <c r="O212">
        <f>IF(CALC_EPM!$B201="","",CALC_EPM!O201)</f>
      </c>
      <c r="P212">
        <f>IF(CALC_EPM!$B201="","",CALC_EPM!P201)</f>
      </c>
      <c r="Q212">
        <f>IF(CALC_EPM!$B201="","",CALC_EPM!Q201)</f>
      </c>
      <c r="R212">
        <f>IF(CALC_EPM!$B201="","",CALC_EPM!R201)</f>
      </c>
      <c r="S212">
        <f>IF(CALC_EPM!$B201="","",CALC_EPM!S201)</f>
      </c>
      <c r="T212">
        <f>IF(CALC_EPM!$B201="","",CALC_EPM!T201)</f>
      </c>
      <c r="U212">
        <f>IF(CALC_EPM!$B201="","",CALC_EPM!U201)</f>
      </c>
    </row>
    <row r="213">
      <c r="A213" t="str">
        <f>IF(CALC_EPM!$B202="","",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)</f>
      </c>
      <c r="B213" t="str">
        <f>IF(CALC_EPM!$B202="","",CALC_EPM!A202)</f>
      </c>
      <c r="C213" t="str">
        <f>IF(CALC_EPM!$B202="","",CALC_EPM!B202)</f>
      </c>
      <c r="D213">
        <f>IF(CALC_EPM!$B202="","",CALC_EPM!D202)</f>
      </c>
      <c r="E213" s="10" t="str">
        <f>IF(CALC_EPM!$B202="","",CALC_EPM!E202)</f>
      </c>
      <c r="F213" s="10" t="str">
        <f>IF(CALC_EPM!$B202="","",CALC_EPM!F202)</f>
      </c>
      <c r="G213" t="str">
        <f>IF(CALC_EPM!$B202="","",CALC_EPM!G202)</f>
      </c>
      <c r="H213" s="11" t="str">
        <f>IF(CALC_EPM!$B202="","",CALC_EPM!H202)</f>
      </c>
      <c r="I213" s="11" t="str">
        <f>IF(CALC_EPM!$B202="","",CALC_EPM!I202)</f>
      </c>
      <c r="J213" t="str">
        <f>IF(CALC_EPM!$B202="","",CALC_EPM!J202)</f>
      </c>
      <c r="K213" t="str">
        <f>IF(CALC_EPM!$B202="","",CALC_EPM!K202)</f>
      </c>
      <c r="L213">
        <f>IF(CALC_EPM!$B202="","",CALC_EPM!L202)</f>
      </c>
      <c r="M213">
        <f>IF(CALC_EPM!$B202="","",CALC_EPM!M202)</f>
      </c>
      <c r="N213">
        <f>IF(CALC_EPM!$B202="","",CALC_EPM!N202)</f>
      </c>
      <c r="O213">
        <f>IF(CALC_EPM!$B202="","",CALC_EPM!O202)</f>
      </c>
      <c r="P213">
        <f>IF(CALC_EPM!$B202="","",CALC_EPM!P202)</f>
      </c>
      <c r="Q213">
        <f>IF(CALC_EPM!$B202="","",CALC_EPM!Q202)</f>
      </c>
      <c r="R213">
        <f>IF(CALC_EPM!$B202="","",CALC_EPM!R202)</f>
      </c>
      <c r="S213">
        <f>IF(CALC_EPM!$B202="","",CALC_EPM!S202)</f>
      </c>
      <c r="T213">
        <f>IF(CALC_EPM!$B202="","",CALC_EPM!T202)</f>
      </c>
      <c r="U213">
        <f>IF(CALC_EPM!$B202="","",CALC_EPM!U202)</f>
      </c>
    </row>
    <row r="214">
      <c r="A214" t="str">
        <f>IF(CALC_EPM!$B203="","",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)</f>
      </c>
      <c r="B214" t="str">
        <f>IF(CALC_EPM!$B203="","",CALC_EPM!A203)</f>
      </c>
      <c r="C214" t="str">
        <f>IF(CALC_EPM!$B203="","",CALC_EPM!B203)</f>
      </c>
      <c r="D214">
        <f>IF(CALC_EPM!$B203="","",CALC_EPM!D203)</f>
      </c>
      <c r="E214" s="10" t="str">
        <f>IF(CALC_EPM!$B203="","",CALC_EPM!E203)</f>
      </c>
      <c r="F214" s="10" t="str">
        <f>IF(CALC_EPM!$B203="","",CALC_EPM!F203)</f>
      </c>
      <c r="G214" t="str">
        <f>IF(CALC_EPM!$B203="","",CALC_EPM!G203)</f>
      </c>
      <c r="H214" s="11" t="str">
        <f>IF(CALC_EPM!$B203="","",CALC_EPM!H203)</f>
      </c>
      <c r="I214" s="11" t="str">
        <f>IF(CALC_EPM!$B203="","",CALC_EPM!I203)</f>
      </c>
      <c r="J214" t="str">
        <f>IF(CALC_EPM!$B203="","",CALC_EPM!J203)</f>
      </c>
      <c r="K214" t="str">
        <f>IF(CALC_EPM!$B203="","",CALC_EPM!K203)</f>
      </c>
      <c r="L214">
        <f>IF(CALC_EPM!$B203="","",CALC_EPM!L203)</f>
      </c>
      <c r="M214">
        <f>IF(CALC_EPM!$B203="","",CALC_EPM!M203)</f>
      </c>
      <c r="N214">
        <f>IF(CALC_EPM!$B203="","",CALC_EPM!N203)</f>
      </c>
      <c r="O214">
        <f>IF(CALC_EPM!$B203="","",CALC_EPM!O203)</f>
      </c>
      <c r="P214">
        <f>IF(CALC_EPM!$B203="","",CALC_EPM!P203)</f>
      </c>
      <c r="Q214">
        <f>IF(CALC_EPM!$B203="","",CALC_EPM!Q203)</f>
      </c>
      <c r="R214">
        <f>IF(CALC_EPM!$B203="","",CALC_EPM!R203)</f>
      </c>
      <c r="S214">
        <f>IF(CALC_EPM!$B203="","",CALC_EPM!S203)</f>
      </c>
      <c r="T214">
        <f>IF(CALC_EPM!$B203="","",CALC_EPM!T203)</f>
      </c>
      <c r="U214">
        <f>IF(CALC_EPM!$B203="","",CALC_EPM!U203)</f>
      </c>
    </row>
    <row r="215">
      <c r="A215" t="str">
        <f>IF(CALC_EPM!$B204="","",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)</f>
      </c>
      <c r="B215" t="str">
        <f>IF(CALC_EPM!$B204="","",CALC_EPM!A204)</f>
      </c>
      <c r="C215" t="str">
        <f>IF(CALC_EPM!$B204="","",CALC_EPM!B204)</f>
      </c>
      <c r="D215">
        <f>IF(CALC_EPM!$B204="","",CALC_EPM!D204)</f>
      </c>
      <c r="E215" s="10" t="str">
        <f>IF(CALC_EPM!$B204="","",CALC_EPM!E204)</f>
      </c>
      <c r="F215" s="10" t="str">
        <f>IF(CALC_EPM!$B204="","",CALC_EPM!F204)</f>
      </c>
      <c r="G215" t="str">
        <f>IF(CALC_EPM!$B204="","",CALC_EPM!G204)</f>
      </c>
      <c r="H215" s="11" t="str">
        <f>IF(CALC_EPM!$B204="","",CALC_EPM!H204)</f>
      </c>
      <c r="I215" s="11" t="str">
        <f>IF(CALC_EPM!$B204="","",CALC_EPM!I204)</f>
      </c>
      <c r="J215" t="str">
        <f>IF(CALC_EPM!$B204="","",CALC_EPM!J204)</f>
      </c>
      <c r="K215" t="str">
        <f>IF(CALC_EPM!$B204="","",CALC_EPM!K204)</f>
      </c>
      <c r="L215">
        <f>IF(CALC_EPM!$B204="","",CALC_EPM!L204)</f>
      </c>
      <c r="M215">
        <f>IF(CALC_EPM!$B204="","",CALC_EPM!M204)</f>
      </c>
      <c r="N215">
        <f>IF(CALC_EPM!$B204="","",CALC_EPM!N204)</f>
      </c>
      <c r="O215">
        <f>IF(CALC_EPM!$B204="","",CALC_EPM!O204)</f>
      </c>
      <c r="P215">
        <f>IF(CALC_EPM!$B204="","",CALC_EPM!P204)</f>
      </c>
      <c r="Q215">
        <f>IF(CALC_EPM!$B204="","",CALC_EPM!Q204)</f>
      </c>
      <c r="R215">
        <f>IF(CALC_EPM!$B204="","",CALC_EPM!R204)</f>
      </c>
      <c r="S215">
        <f>IF(CALC_EPM!$B204="","",CALC_EPM!S204)</f>
      </c>
      <c r="T215">
        <f>IF(CALC_EPM!$B204="","",CALC_EPM!T204)</f>
      </c>
      <c r="U215">
        <f>IF(CALC_EPM!$B204="","",CALC_EPM!U204)</f>
      </c>
    </row>
    <row r="216">
      <c r="A216" t="str">
        <f>IF(CALC_EPM!$B205="","",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)</f>
      </c>
      <c r="B216" t="str">
        <f>IF(CALC_EPM!$B205="","",CALC_EPM!A205)</f>
      </c>
      <c r="C216" t="str">
        <f>IF(CALC_EPM!$B205="","",CALC_EPM!B205)</f>
      </c>
      <c r="D216">
        <f>IF(CALC_EPM!$B205="","",CALC_EPM!D205)</f>
      </c>
      <c r="E216" s="10" t="str">
        <f>IF(CALC_EPM!$B205="","",CALC_EPM!E205)</f>
      </c>
      <c r="F216" s="10" t="str">
        <f>IF(CALC_EPM!$B205="","",CALC_EPM!F205)</f>
      </c>
      <c r="G216" t="str">
        <f>IF(CALC_EPM!$B205="","",CALC_EPM!G205)</f>
      </c>
      <c r="H216" s="11" t="str">
        <f>IF(CALC_EPM!$B205="","",CALC_EPM!H205)</f>
      </c>
      <c r="I216" s="11" t="str">
        <f>IF(CALC_EPM!$B205="","",CALC_EPM!I205)</f>
      </c>
      <c r="J216" t="str">
        <f>IF(CALC_EPM!$B205="","",CALC_EPM!J205)</f>
      </c>
      <c r="K216" t="str">
        <f>IF(CALC_EPM!$B205="","",CALC_EPM!K205)</f>
      </c>
      <c r="L216">
        <f>IF(CALC_EPM!$B205="","",CALC_EPM!L205)</f>
      </c>
      <c r="M216">
        <f>IF(CALC_EPM!$B205="","",CALC_EPM!M205)</f>
      </c>
      <c r="N216">
        <f>IF(CALC_EPM!$B205="","",CALC_EPM!N205)</f>
      </c>
      <c r="O216">
        <f>IF(CALC_EPM!$B205="","",CALC_EPM!O205)</f>
      </c>
      <c r="P216">
        <f>IF(CALC_EPM!$B205="","",CALC_EPM!P205)</f>
      </c>
      <c r="Q216">
        <f>IF(CALC_EPM!$B205="","",CALC_EPM!Q205)</f>
      </c>
      <c r="R216">
        <f>IF(CALC_EPM!$B205="","",CALC_EPM!R205)</f>
      </c>
      <c r="S216">
        <f>IF(CALC_EPM!$B205="","",CALC_EPM!S205)</f>
      </c>
      <c r="T216">
        <f>IF(CALC_EPM!$B205="","",CALC_EPM!T205)</f>
      </c>
      <c r="U216">
        <f>IF(CALC_EPM!$B205="","",CALC_EPM!U205)</f>
      </c>
    </row>
    <row r="217">
      <c r="A217" t="str">
        <f>IF(CALC_EPM!$B206="","",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)</f>
      </c>
      <c r="B217" t="str">
        <f>IF(CALC_EPM!$B206="","",CALC_EPM!A206)</f>
      </c>
      <c r="C217" t="str">
        <f>IF(CALC_EPM!$B206="","",CALC_EPM!B206)</f>
      </c>
      <c r="D217">
        <f>IF(CALC_EPM!$B206="","",CALC_EPM!D206)</f>
      </c>
      <c r="E217" s="10" t="str">
        <f>IF(CALC_EPM!$B206="","",CALC_EPM!E206)</f>
      </c>
      <c r="F217" s="10" t="str">
        <f>IF(CALC_EPM!$B206="","",CALC_EPM!F206)</f>
      </c>
      <c r="G217" t="str">
        <f>IF(CALC_EPM!$B206="","",CALC_EPM!G206)</f>
      </c>
      <c r="H217" s="11" t="str">
        <f>IF(CALC_EPM!$B206="","",CALC_EPM!H206)</f>
      </c>
      <c r="I217" s="11" t="str">
        <f>IF(CALC_EPM!$B206="","",CALC_EPM!I206)</f>
      </c>
      <c r="J217" t="str">
        <f>IF(CALC_EPM!$B206="","",CALC_EPM!J206)</f>
      </c>
      <c r="K217" t="str">
        <f>IF(CALC_EPM!$B206="","",CALC_EPM!K206)</f>
      </c>
      <c r="L217">
        <f>IF(CALC_EPM!$B206="","",CALC_EPM!L206)</f>
      </c>
      <c r="M217">
        <f>IF(CALC_EPM!$B206="","",CALC_EPM!M206)</f>
      </c>
      <c r="N217">
        <f>IF(CALC_EPM!$B206="","",CALC_EPM!N206)</f>
      </c>
      <c r="O217">
        <f>IF(CALC_EPM!$B206="","",CALC_EPM!O206)</f>
      </c>
      <c r="P217">
        <f>IF(CALC_EPM!$B206="","",CALC_EPM!P206)</f>
      </c>
      <c r="Q217">
        <f>IF(CALC_EPM!$B206="","",CALC_EPM!Q206)</f>
      </c>
      <c r="R217">
        <f>IF(CALC_EPM!$B206="","",CALC_EPM!R206)</f>
      </c>
      <c r="S217">
        <f>IF(CALC_EPM!$B206="","",CALC_EPM!S206)</f>
      </c>
      <c r="T217">
        <f>IF(CALC_EPM!$B206="","",CALC_EPM!T206)</f>
      </c>
      <c r="U217">
        <f>IF(CALC_EPM!$B206="","",CALC_EPM!U206)</f>
      </c>
    </row>
    <row r="218">
      <c r="A218" t="str">
        <f>IF(CALC_EPM!$B207="","",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)</f>
      </c>
      <c r="B218" t="str">
        <f>IF(CALC_EPM!$B207="","",CALC_EPM!A207)</f>
      </c>
      <c r="C218" t="str">
        <f>IF(CALC_EPM!$B207="","",CALC_EPM!B207)</f>
      </c>
      <c r="D218">
        <f>IF(CALC_EPM!$B207="","",CALC_EPM!D207)</f>
      </c>
      <c r="E218" s="10" t="str">
        <f>IF(CALC_EPM!$B207="","",CALC_EPM!E207)</f>
      </c>
      <c r="F218" s="10" t="str">
        <f>IF(CALC_EPM!$B207="","",CALC_EPM!F207)</f>
      </c>
      <c r="G218" t="str">
        <f>IF(CALC_EPM!$B207="","",CALC_EPM!G207)</f>
      </c>
      <c r="H218" s="11" t="str">
        <f>IF(CALC_EPM!$B207="","",CALC_EPM!H207)</f>
      </c>
      <c r="I218" s="11" t="str">
        <f>IF(CALC_EPM!$B207="","",CALC_EPM!I207)</f>
      </c>
      <c r="J218" t="str">
        <f>IF(CALC_EPM!$B207="","",CALC_EPM!J207)</f>
      </c>
      <c r="K218" t="str">
        <f>IF(CALC_EPM!$B207="","",CALC_EPM!K207)</f>
      </c>
      <c r="L218">
        <f>IF(CALC_EPM!$B207="","",CALC_EPM!L207)</f>
      </c>
      <c r="M218">
        <f>IF(CALC_EPM!$B207="","",CALC_EPM!M207)</f>
      </c>
      <c r="N218">
        <f>IF(CALC_EPM!$B207="","",CALC_EPM!N207)</f>
      </c>
      <c r="O218">
        <f>IF(CALC_EPM!$B207="","",CALC_EPM!O207)</f>
      </c>
      <c r="P218">
        <f>IF(CALC_EPM!$B207="","",CALC_EPM!P207)</f>
      </c>
      <c r="Q218">
        <f>IF(CALC_EPM!$B207="","",CALC_EPM!Q207)</f>
      </c>
      <c r="R218">
        <f>IF(CALC_EPM!$B207="","",CALC_EPM!R207)</f>
      </c>
      <c r="S218">
        <f>IF(CALC_EPM!$B207="","",CALC_EPM!S207)</f>
      </c>
      <c r="T218">
        <f>IF(CALC_EPM!$B207="","",CALC_EPM!T207)</f>
      </c>
      <c r="U218">
        <f>IF(CALC_EPM!$B207="","",CALC_EPM!U207)</f>
      </c>
    </row>
    <row r="219">
      <c r="A219" t="str">
        <f>IF(CALC_EPM!$B208="","",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)</f>
      </c>
      <c r="B219" t="str">
        <f>IF(CALC_EPM!$B208="","",CALC_EPM!A208)</f>
      </c>
      <c r="C219" t="str">
        <f>IF(CALC_EPM!$B208="","",CALC_EPM!B208)</f>
      </c>
      <c r="D219">
        <f>IF(CALC_EPM!$B208="","",CALC_EPM!D208)</f>
      </c>
      <c r="E219" s="10" t="str">
        <f>IF(CALC_EPM!$B208="","",CALC_EPM!E208)</f>
      </c>
      <c r="F219" s="10" t="str">
        <f>IF(CALC_EPM!$B208="","",CALC_EPM!F208)</f>
      </c>
      <c r="G219" t="str">
        <f>IF(CALC_EPM!$B208="","",CALC_EPM!G208)</f>
      </c>
      <c r="H219" s="11" t="str">
        <f>IF(CALC_EPM!$B208="","",CALC_EPM!H208)</f>
      </c>
      <c r="I219" s="11" t="str">
        <f>IF(CALC_EPM!$B208="","",CALC_EPM!I208)</f>
      </c>
      <c r="J219" t="str">
        <f>IF(CALC_EPM!$B208="","",CALC_EPM!J208)</f>
      </c>
      <c r="K219" t="str">
        <f>IF(CALC_EPM!$B208="","",CALC_EPM!K208)</f>
      </c>
      <c r="L219">
        <f>IF(CALC_EPM!$B208="","",CALC_EPM!L208)</f>
      </c>
      <c r="M219">
        <f>IF(CALC_EPM!$B208="","",CALC_EPM!M208)</f>
      </c>
      <c r="N219">
        <f>IF(CALC_EPM!$B208="","",CALC_EPM!N208)</f>
      </c>
      <c r="O219">
        <f>IF(CALC_EPM!$B208="","",CALC_EPM!O208)</f>
      </c>
      <c r="P219">
        <f>IF(CALC_EPM!$B208="","",CALC_EPM!P208)</f>
      </c>
      <c r="Q219">
        <f>IF(CALC_EPM!$B208="","",CALC_EPM!Q208)</f>
      </c>
      <c r="R219">
        <f>IF(CALC_EPM!$B208="","",CALC_EPM!R208)</f>
      </c>
      <c r="S219">
        <f>IF(CALC_EPM!$B208="","",CALC_EPM!S208)</f>
      </c>
      <c r="T219">
        <f>IF(CALC_EPM!$B208="","",CALC_EPM!T208)</f>
      </c>
      <c r="U219">
        <f>IF(CALC_EPM!$B208="","",CALC_EPM!U208)</f>
      </c>
    </row>
    <row r="220">
      <c r="A220" t="str">
        <f>IF(CALC_EPM!$B209="","",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)</f>
      </c>
      <c r="B220" t="str">
        <f>IF(CALC_EPM!$B209="","",CALC_EPM!A209)</f>
      </c>
      <c r="C220" t="str">
        <f>IF(CALC_EPM!$B209="","",CALC_EPM!B209)</f>
      </c>
      <c r="D220">
        <f>IF(CALC_EPM!$B209="","",CALC_EPM!D209)</f>
      </c>
      <c r="E220" s="10" t="str">
        <f>IF(CALC_EPM!$B209="","",CALC_EPM!E209)</f>
      </c>
      <c r="F220" s="10" t="str">
        <f>IF(CALC_EPM!$B209="","",CALC_EPM!F209)</f>
      </c>
      <c r="G220" t="str">
        <f>IF(CALC_EPM!$B209="","",CALC_EPM!G209)</f>
      </c>
      <c r="H220" s="11" t="str">
        <f>IF(CALC_EPM!$B209="","",CALC_EPM!H209)</f>
      </c>
      <c r="I220" s="11" t="str">
        <f>IF(CALC_EPM!$B209="","",CALC_EPM!I209)</f>
      </c>
      <c r="J220" t="str">
        <f>IF(CALC_EPM!$B209="","",CALC_EPM!J209)</f>
      </c>
      <c r="K220" t="str">
        <f>IF(CALC_EPM!$B209="","",CALC_EPM!K209)</f>
      </c>
      <c r="L220">
        <f>IF(CALC_EPM!$B209="","",CALC_EPM!L209)</f>
      </c>
      <c r="M220">
        <f>IF(CALC_EPM!$B209="","",CALC_EPM!M209)</f>
      </c>
      <c r="N220">
        <f>IF(CALC_EPM!$B209="","",CALC_EPM!N209)</f>
      </c>
      <c r="O220">
        <f>IF(CALC_EPM!$B209="","",CALC_EPM!O209)</f>
      </c>
      <c r="P220">
        <f>IF(CALC_EPM!$B209="","",CALC_EPM!P209)</f>
      </c>
      <c r="Q220">
        <f>IF(CALC_EPM!$B209="","",CALC_EPM!Q209)</f>
      </c>
      <c r="R220">
        <f>IF(CALC_EPM!$B209="","",CALC_EPM!R209)</f>
      </c>
      <c r="S220">
        <f>IF(CALC_EPM!$B209="","",CALC_EPM!S209)</f>
      </c>
      <c r="T220">
        <f>IF(CALC_EPM!$B209="","",CALC_EPM!T209)</f>
      </c>
      <c r="U220">
        <f>IF(CALC_EPM!$B209="","",CALC_EPM!U209)</f>
      </c>
    </row>
    <row r="221">
      <c r="A221" t="str">
        <f>IF(CALC_EPM!$B210="","",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)</f>
      </c>
      <c r="B221" t="str">
        <f>IF(CALC_EPM!$B210="","",CALC_EPM!A210)</f>
      </c>
      <c r="C221" t="str">
        <f>IF(CALC_EPM!$B210="","",CALC_EPM!B210)</f>
      </c>
      <c r="D221">
        <f>IF(CALC_EPM!$B210="","",CALC_EPM!D210)</f>
      </c>
      <c r="E221" s="10" t="str">
        <f>IF(CALC_EPM!$B210="","",CALC_EPM!E210)</f>
      </c>
      <c r="F221" s="10" t="str">
        <f>IF(CALC_EPM!$B210="","",CALC_EPM!F210)</f>
      </c>
      <c r="G221" t="str">
        <f>IF(CALC_EPM!$B210="","",CALC_EPM!G210)</f>
      </c>
      <c r="H221" s="11" t="str">
        <f>IF(CALC_EPM!$B210="","",CALC_EPM!H210)</f>
      </c>
      <c r="I221" s="11" t="str">
        <f>IF(CALC_EPM!$B210="","",CALC_EPM!I210)</f>
      </c>
      <c r="J221" t="str">
        <f>IF(CALC_EPM!$B210="","",CALC_EPM!J210)</f>
      </c>
      <c r="K221" t="str">
        <f>IF(CALC_EPM!$B210="","",CALC_EPM!K210)</f>
      </c>
      <c r="L221">
        <f>IF(CALC_EPM!$B210="","",CALC_EPM!L210)</f>
      </c>
      <c r="M221">
        <f>IF(CALC_EPM!$B210="","",CALC_EPM!M210)</f>
      </c>
      <c r="N221">
        <f>IF(CALC_EPM!$B210="","",CALC_EPM!N210)</f>
      </c>
      <c r="O221">
        <f>IF(CALC_EPM!$B210="","",CALC_EPM!O210)</f>
      </c>
      <c r="P221">
        <f>IF(CALC_EPM!$B210="","",CALC_EPM!P210)</f>
      </c>
      <c r="Q221">
        <f>IF(CALC_EPM!$B210="","",CALC_EPM!Q210)</f>
      </c>
      <c r="R221">
        <f>IF(CALC_EPM!$B210="","",CALC_EPM!R210)</f>
      </c>
      <c r="S221">
        <f>IF(CALC_EPM!$B210="","",CALC_EPM!S210)</f>
      </c>
      <c r="T221">
        <f>IF(CALC_EPM!$B210="","",CALC_EPM!T210)</f>
      </c>
      <c r="U221">
        <f>IF(CALC_EPM!$B210="","",CALC_EPM!U210)</f>
      </c>
    </row>
    <row r="222">
      <c r="A222" t="str">
        <f>IF(CALC_EPM!$B211="","",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)</f>
      </c>
      <c r="B222" t="str">
        <f>IF(CALC_EPM!$B211="","",CALC_EPM!A211)</f>
      </c>
      <c r="C222" t="str">
        <f>IF(CALC_EPM!$B211="","",CALC_EPM!B211)</f>
      </c>
      <c r="D222">
        <f>IF(CALC_EPM!$B211="","",CALC_EPM!D211)</f>
      </c>
      <c r="E222" s="10" t="str">
        <f>IF(CALC_EPM!$B211="","",CALC_EPM!E211)</f>
      </c>
      <c r="F222" s="10" t="str">
        <f>IF(CALC_EPM!$B211="","",CALC_EPM!F211)</f>
      </c>
      <c r="G222" t="str">
        <f>IF(CALC_EPM!$B211="","",CALC_EPM!G211)</f>
      </c>
      <c r="H222" s="11" t="str">
        <f>IF(CALC_EPM!$B211="","",CALC_EPM!H211)</f>
      </c>
      <c r="I222" s="11" t="str">
        <f>IF(CALC_EPM!$B211="","",CALC_EPM!I211)</f>
      </c>
      <c r="J222" t="str">
        <f>IF(CALC_EPM!$B211="","",CALC_EPM!J211)</f>
      </c>
      <c r="K222" t="str">
        <f>IF(CALC_EPM!$B211="","",CALC_EPM!K211)</f>
      </c>
      <c r="L222">
        <f>IF(CALC_EPM!$B211="","",CALC_EPM!L211)</f>
      </c>
      <c r="M222">
        <f>IF(CALC_EPM!$B211="","",CALC_EPM!M211)</f>
      </c>
      <c r="N222">
        <f>IF(CALC_EPM!$B211="","",CALC_EPM!N211)</f>
      </c>
      <c r="O222">
        <f>IF(CALC_EPM!$B211="","",CALC_EPM!O211)</f>
      </c>
      <c r="P222">
        <f>IF(CALC_EPM!$B211="","",CALC_EPM!P211)</f>
      </c>
      <c r="Q222">
        <f>IF(CALC_EPM!$B211="","",CALC_EPM!Q211)</f>
      </c>
      <c r="R222">
        <f>IF(CALC_EPM!$B211="","",CALC_EPM!R211)</f>
      </c>
      <c r="S222">
        <f>IF(CALC_EPM!$B211="","",CALC_EPM!S211)</f>
      </c>
      <c r="T222">
        <f>IF(CALC_EPM!$B211="","",CALC_EPM!T211)</f>
      </c>
      <c r="U222">
        <f>IF(CALC_EPM!$B211="","",CALC_EPM!U211)</f>
      </c>
    </row>
    <row r="223">
      <c r="A223" t="str">
        <f>IF(CALC_EPM!$B212="","",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)</f>
      </c>
      <c r="B223" t="str">
        <f>IF(CALC_EPM!$B212="","",CALC_EPM!A212)</f>
      </c>
      <c r="C223" t="str">
        <f>IF(CALC_EPM!$B212="","",CALC_EPM!B212)</f>
      </c>
      <c r="D223">
        <f>IF(CALC_EPM!$B212="","",CALC_EPM!D212)</f>
      </c>
      <c r="E223" s="10" t="str">
        <f>IF(CALC_EPM!$B212="","",CALC_EPM!E212)</f>
      </c>
      <c r="F223" s="10" t="str">
        <f>IF(CALC_EPM!$B212="","",CALC_EPM!F212)</f>
      </c>
      <c r="G223" t="str">
        <f>IF(CALC_EPM!$B212="","",CALC_EPM!G212)</f>
      </c>
      <c r="H223" s="11" t="str">
        <f>IF(CALC_EPM!$B212="","",CALC_EPM!H212)</f>
      </c>
      <c r="I223" s="11" t="str">
        <f>IF(CALC_EPM!$B212="","",CALC_EPM!I212)</f>
      </c>
      <c r="J223" t="str">
        <f>IF(CALC_EPM!$B212="","",CALC_EPM!J212)</f>
      </c>
      <c r="K223" t="str">
        <f>IF(CALC_EPM!$B212="","",CALC_EPM!K212)</f>
      </c>
      <c r="L223">
        <f>IF(CALC_EPM!$B212="","",CALC_EPM!L212)</f>
      </c>
      <c r="M223">
        <f>IF(CALC_EPM!$B212="","",CALC_EPM!M212)</f>
      </c>
      <c r="N223">
        <f>IF(CALC_EPM!$B212="","",CALC_EPM!N212)</f>
      </c>
      <c r="O223">
        <f>IF(CALC_EPM!$B212="","",CALC_EPM!O212)</f>
      </c>
      <c r="P223">
        <f>IF(CALC_EPM!$B212="","",CALC_EPM!P212)</f>
      </c>
      <c r="Q223">
        <f>IF(CALC_EPM!$B212="","",CALC_EPM!Q212)</f>
      </c>
      <c r="R223">
        <f>IF(CALC_EPM!$B212="","",CALC_EPM!R212)</f>
      </c>
      <c r="S223">
        <f>IF(CALC_EPM!$B212="","",CALC_EPM!S212)</f>
      </c>
      <c r="T223">
        <f>IF(CALC_EPM!$B212="","",CALC_EPM!T212)</f>
      </c>
      <c r="U223">
        <f>IF(CALC_EPM!$B212="","",CALC_EPM!U212)</f>
      </c>
    </row>
    <row r="224">
      <c r="A224" t="str">
        <f>IF(CALC_EPM!$B213="","",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)</f>
      </c>
      <c r="B224" t="str">
        <f>IF(CALC_EPM!$B213="","",CALC_EPM!A213)</f>
      </c>
      <c r="C224" t="str">
        <f>IF(CALC_EPM!$B213="","",CALC_EPM!B213)</f>
      </c>
      <c r="D224">
        <f>IF(CALC_EPM!$B213="","",CALC_EPM!D213)</f>
      </c>
      <c r="E224" s="10" t="str">
        <f>IF(CALC_EPM!$B213="","",CALC_EPM!E213)</f>
      </c>
      <c r="F224" s="10" t="str">
        <f>IF(CALC_EPM!$B213="","",CALC_EPM!F213)</f>
      </c>
      <c r="G224" t="str">
        <f>IF(CALC_EPM!$B213="","",CALC_EPM!G213)</f>
      </c>
      <c r="H224" s="11" t="str">
        <f>IF(CALC_EPM!$B213="","",CALC_EPM!H213)</f>
      </c>
      <c r="I224" s="11" t="str">
        <f>IF(CALC_EPM!$B213="","",CALC_EPM!I213)</f>
      </c>
      <c r="J224" t="str">
        <f>IF(CALC_EPM!$B213="","",CALC_EPM!J213)</f>
      </c>
      <c r="K224" t="str">
        <f>IF(CALC_EPM!$B213="","",CALC_EPM!K213)</f>
      </c>
      <c r="L224">
        <f>IF(CALC_EPM!$B213="","",CALC_EPM!L213)</f>
      </c>
      <c r="M224">
        <f>IF(CALC_EPM!$B213="","",CALC_EPM!M213)</f>
      </c>
      <c r="N224">
        <f>IF(CALC_EPM!$B213="","",CALC_EPM!N213)</f>
      </c>
      <c r="O224">
        <f>IF(CALC_EPM!$B213="","",CALC_EPM!O213)</f>
      </c>
      <c r="P224">
        <f>IF(CALC_EPM!$B213="","",CALC_EPM!P213)</f>
      </c>
      <c r="Q224">
        <f>IF(CALC_EPM!$B213="","",CALC_EPM!Q213)</f>
      </c>
      <c r="R224">
        <f>IF(CALC_EPM!$B213="","",CALC_EPM!R213)</f>
      </c>
      <c r="S224">
        <f>IF(CALC_EPM!$B213="","",CALC_EPM!S213)</f>
      </c>
      <c r="T224">
        <f>IF(CALC_EPM!$B213="","",CALC_EPM!T213)</f>
      </c>
      <c r="U224">
        <f>IF(CALC_EPM!$B213="","",CALC_EPM!U213)</f>
      </c>
    </row>
    <row r="225">
      <c r="A225" t="str">
        <f>IF(CALC_EPM!$B214="","",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)</f>
      </c>
      <c r="B225" t="str">
        <f>IF(CALC_EPM!$B214="","",CALC_EPM!A214)</f>
      </c>
      <c r="C225" t="str">
        <f>IF(CALC_EPM!$B214="","",CALC_EPM!B214)</f>
      </c>
      <c r="D225">
        <f>IF(CALC_EPM!$B214="","",CALC_EPM!D214)</f>
      </c>
      <c r="E225" s="10" t="str">
        <f>IF(CALC_EPM!$B214="","",CALC_EPM!E214)</f>
      </c>
      <c r="F225" s="10" t="str">
        <f>IF(CALC_EPM!$B214="","",CALC_EPM!F214)</f>
      </c>
      <c r="G225" t="str">
        <f>IF(CALC_EPM!$B214="","",CALC_EPM!G214)</f>
      </c>
      <c r="H225" s="11" t="str">
        <f>IF(CALC_EPM!$B214="","",CALC_EPM!H214)</f>
      </c>
      <c r="I225" s="11" t="str">
        <f>IF(CALC_EPM!$B214="","",CALC_EPM!I214)</f>
      </c>
      <c r="J225" t="str">
        <f>IF(CALC_EPM!$B214="","",CALC_EPM!J214)</f>
      </c>
      <c r="K225" t="str">
        <f>IF(CALC_EPM!$B214="","",CALC_EPM!K214)</f>
      </c>
      <c r="L225">
        <f>IF(CALC_EPM!$B214="","",CALC_EPM!L214)</f>
      </c>
      <c r="M225">
        <f>IF(CALC_EPM!$B214="","",CALC_EPM!M214)</f>
      </c>
      <c r="N225">
        <f>IF(CALC_EPM!$B214="","",CALC_EPM!N214)</f>
      </c>
      <c r="O225">
        <f>IF(CALC_EPM!$B214="","",CALC_EPM!O214)</f>
      </c>
      <c r="P225">
        <f>IF(CALC_EPM!$B214="","",CALC_EPM!P214)</f>
      </c>
      <c r="Q225">
        <f>IF(CALC_EPM!$B214="","",CALC_EPM!Q214)</f>
      </c>
      <c r="R225">
        <f>IF(CALC_EPM!$B214="","",CALC_EPM!R214)</f>
      </c>
      <c r="S225">
        <f>IF(CALC_EPM!$B214="","",CALC_EPM!S214)</f>
      </c>
      <c r="T225">
        <f>IF(CALC_EPM!$B214="","",CALC_EPM!T214)</f>
      </c>
      <c r="U225">
        <f>IF(CALC_EPM!$B214="","",CALC_EPM!U214)</f>
      </c>
    </row>
    <row r="226">
      <c r="A226" t="str">
        <f>IF(CALC_EPM!$B215="","",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)</f>
      </c>
      <c r="B226" t="str">
        <f>IF(CALC_EPM!$B215="","",CALC_EPM!A215)</f>
      </c>
      <c r="C226" t="str">
        <f>IF(CALC_EPM!$B215="","",CALC_EPM!B215)</f>
      </c>
      <c r="D226">
        <f>IF(CALC_EPM!$B215="","",CALC_EPM!D215)</f>
      </c>
      <c r="E226" s="10" t="str">
        <f>IF(CALC_EPM!$B215="","",CALC_EPM!E215)</f>
      </c>
      <c r="F226" s="10" t="str">
        <f>IF(CALC_EPM!$B215="","",CALC_EPM!F215)</f>
      </c>
      <c r="G226" t="str">
        <f>IF(CALC_EPM!$B215="","",CALC_EPM!G215)</f>
      </c>
      <c r="H226" s="11" t="str">
        <f>IF(CALC_EPM!$B215="","",CALC_EPM!H215)</f>
      </c>
      <c r="I226" s="11" t="str">
        <f>IF(CALC_EPM!$B215="","",CALC_EPM!I215)</f>
      </c>
      <c r="J226" t="str">
        <f>IF(CALC_EPM!$B215="","",CALC_EPM!J215)</f>
      </c>
      <c r="K226" t="str">
        <f>IF(CALC_EPM!$B215="","",CALC_EPM!K215)</f>
      </c>
      <c r="L226">
        <f>IF(CALC_EPM!$B215="","",CALC_EPM!L215)</f>
      </c>
      <c r="M226">
        <f>IF(CALC_EPM!$B215="","",CALC_EPM!M215)</f>
      </c>
      <c r="N226">
        <f>IF(CALC_EPM!$B215="","",CALC_EPM!N215)</f>
      </c>
      <c r="O226">
        <f>IF(CALC_EPM!$B215="","",CALC_EPM!O215)</f>
      </c>
      <c r="P226">
        <f>IF(CALC_EPM!$B215="","",CALC_EPM!P215)</f>
      </c>
      <c r="Q226">
        <f>IF(CALC_EPM!$B215="","",CALC_EPM!Q215)</f>
      </c>
      <c r="R226">
        <f>IF(CALC_EPM!$B215="","",CALC_EPM!R215)</f>
      </c>
      <c r="S226">
        <f>IF(CALC_EPM!$B215="","",CALC_EPM!S215)</f>
      </c>
      <c r="T226">
        <f>IF(CALC_EPM!$B215="","",CALC_EPM!T215)</f>
      </c>
      <c r="U226">
        <f>IF(CALC_EPM!$B215="","",CALC_EPM!U215)</f>
      </c>
    </row>
    <row r="227">
      <c r="A227" t="str">
        <f>IF(CALC_EPM!$B216="","",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)</f>
      </c>
      <c r="B227" t="str">
        <f>IF(CALC_EPM!$B216="","",CALC_EPM!A216)</f>
      </c>
      <c r="C227" t="str">
        <f>IF(CALC_EPM!$B216="","",CALC_EPM!B216)</f>
      </c>
      <c r="D227">
        <f>IF(CALC_EPM!$B216="","",CALC_EPM!D216)</f>
      </c>
      <c r="E227" s="10" t="str">
        <f>IF(CALC_EPM!$B216="","",CALC_EPM!E216)</f>
      </c>
      <c r="F227" s="10" t="str">
        <f>IF(CALC_EPM!$B216="","",CALC_EPM!F216)</f>
      </c>
      <c r="G227" t="str">
        <f>IF(CALC_EPM!$B216="","",CALC_EPM!G216)</f>
      </c>
      <c r="H227" s="11" t="str">
        <f>IF(CALC_EPM!$B216="","",CALC_EPM!H216)</f>
      </c>
      <c r="I227" s="11" t="str">
        <f>IF(CALC_EPM!$B216="","",CALC_EPM!I216)</f>
      </c>
      <c r="J227" t="str">
        <f>IF(CALC_EPM!$B216="","",CALC_EPM!J216)</f>
      </c>
      <c r="K227" t="str">
        <f>IF(CALC_EPM!$B216="","",CALC_EPM!K216)</f>
      </c>
      <c r="L227">
        <f>IF(CALC_EPM!$B216="","",CALC_EPM!L216)</f>
      </c>
      <c r="M227">
        <f>IF(CALC_EPM!$B216="","",CALC_EPM!M216)</f>
      </c>
      <c r="N227">
        <f>IF(CALC_EPM!$B216="","",CALC_EPM!N216)</f>
      </c>
      <c r="O227">
        <f>IF(CALC_EPM!$B216="","",CALC_EPM!O216)</f>
      </c>
      <c r="P227">
        <f>IF(CALC_EPM!$B216="","",CALC_EPM!P216)</f>
      </c>
      <c r="Q227">
        <f>IF(CALC_EPM!$B216="","",CALC_EPM!Q216)</f>
      </c>
      <c r="R227">
        <f>IF(CALC_EPM!$B216="","",CALC_EPM!R216)</f>
      </c>
      <c r="S227">
        <f>IF(CALC_EPM!$B216="","",CALC_EPM!S216)</f>
      </c>
      <c r="T227">
        <f>IF(CALC_EPM!$B216="","",CALC_EPM!T216)</f>
      </c>
      <c r="U227">
        <f>IF(CALC_EPM!$B216="","",CALC_EPM!U216)</f>
      </c>
    </row>
    <row r="228">
      <c r="A228" t="str">
        <f>IF(CALC_EPM!$B217="","",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)</f>
      </c>
      <c r="B228" t="str">
        <f>IF(CALC_EPM!$B217="","",CALC_EPM!A217)</f>
      </c>
      <c r="C228" t="str">
        <f>IF(CALC_EPM!$B217="","",CALC_EPM!B217)</f>
      </c>
      <c r="D228">
        <f>IF(CALC_EPM!$B217="","",CALC_EPM!D217)</f>
      </c>
      <c r="E228" s="10" t="str">
        <f>IF(CALC_EPM!$B217="","",CALC_EPM!E217)</f>
      </c>
      <c r="F228" s="10" t="str">
        <f>IF(CALC_EPM!$B217="","",CALC_EPM!F217)</f>
      </c>
      <c r="G228" t="str">
        <f>IF(CALC_EPM!$B217="","",CALC_EPM!G217)</f>
      </c>
      <c r="H228" s="11" t="str">
        <f>IF(CALC_EPM!$B217="","",CALC_EPM!H217)</f>
      </c>
      <c r="I228" s="11" t="str">
        <f>IF(CALC_EPM!$B217="","",CALC_EPM!I217)</f>
      </c>
      <c r="J228" t="str">
        <f>IF(CALC_EPM!$B217="","",CALC_EPM!J217)</f>
      </c>
      <c r="K228" t="str">
        <f>IF(CALC_EPM!$B217="","",CALC_EPM!K217)</f>
      </c>
      <c r="L228">
        <f>IF(CALC_EPM!$B217="","",CALC_EPM!L217)</f>
      </c>
      <c r="M228">
        <f>IF(CALC_EPM!$B217="","",CALC_EPM!M217)</f>
      </c>
      <c r="N228">
        <f>IF(CALC_EPM!$B217="","",CALC_EPM!N217)</f>
      </c>
      <c r="O228">
        <f>IF(CALC_EPM!$B217="","",CALC_EPM!O217)</f>
      </c>
      <c r="P228">
        <f>IF(CALC_EPM!$B217="","",CALC_EPM!P217)</f>
      </c>
      <c r="Q228">
        <f>IF(CALC_EPM!$B217="","",CALC_EPM!Q217)</f>
      </c>
      <c r="R228">
        <f>IF(CALC_EPM!$B217="","",CALC_EPM!R217)</f>
      </c>
      <c r="S228">
        <f>IF(CALC_EPM!$B217="","",CALC_EPM!S217)</f>
      </c>
      <c r="T228">
        <f>IF(CALC_EPM!$B217="","",CALC_EPM!T217)</f>
      </c>
      <c r="U228">
        <f>IF(CALC_EPM!$B217="","",CALC_EPM!U217)</f>
      </c>
    </row>
    <row r="229">
      <c r="A229" t="str">
        <f>IF(CALC_EPM!$B218="","",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)</f>
      </c>
      <c r="B229" t="str">
        <f>IF(CALC_EPM!$B218="","",CALC_EPM!A218)</f>
      </c>
      <c r="C229" t="str">
        <f>IF(CALC_EPM!$B218="","",CALC_EPM!B218)</f>
      </c>
      <c r="D229">
        <f>IF(CALC_EPM!$B218="","",CALC_EPM!D218)</f>
      </c>
      <c r="E229" s="10" t="str">
        <f>IF(CALC_EPM!$B218="","",CALC_EPM!E218)</f>
      </c>
      <c r="F229" s="10" t="str">
        <f>IF(CALC_EPM!$B218="","",CALC_EPM!F218)</f>
      </c>
      <c r="G229" t="str">
        <f>IF(CALC_EPM!$B218="","",CALC_EPM!G218)</f>
      </c>
      <c r="H229" s="11" t="str">
        <f>IF(CALC_EPM!$B218="","",CALC_EPM!H218)</f>
      </c>
      <c r="I229" s="11" t="str">
        <f>IF(CALC_EPM!$B218="","",CALC_EPM!I218)</f>
      </c>
      <c r="J229" t="str">
        <f>IF(CALC_EPM!$B218="","",CALC_EPM!J218)</f>
      </c>
      <c r="K229" t="str">
        <f>IF(CALC_EPM!$B218="","",CALC_EPM!K218)</f>
      </c>
      <c r="L229">
        <f>IF(CALC_EPM!$B218="","",CALC_EPM!L218)</f>
      </c>
      <c r="M229">
        <f>IF(CALC_EPM!$B218="","",CALC_EPM!M218)</f>
      </c>
      <c r="N229">
        <f>IF(CALC_EPM!$B218="","",CALC_EPM!N218)</f>
      </c>
      <c r="O229">
        <f>IF(CALC_EPM!$B218="","",CALC_EPM!O218)</f>
      </c>
      <c r="P229">
        <f>IF(CALC_EPM!$B218="","",CALC_EPM!P218)</f>
      </c>
      <c r="Q229">
        <f>IF(CALC_EPM!$B218="","",CALC_EPM!Q218)</f>
      </c>
      <c r="R229">
        <f>IF(CALC_EPM!$B218="","",CALC_EPM!R218)</f>
      </c>
      <c r="S229">
        <f>IF(CALC_EPM!$B218="","",CALC_EPM!S218)</f>
      </c>
      <c r="T229">
        <f>IF(CALC_EPM!$B218="","",CALC_EPM!T218)</f>
      </c>
      <c r="U229">
        <f>IF(CALC_EPM!$B218="","",CALC_EPM!U218)</f>
      </c>
    </row>
    <row r="230">
      <c r="A230" t="str">
        <f>IF(CALC_EPM!$B219="","",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)</f>
      </c>
      <c r="B230" t="str">
        <f>IF(CALC_EPM!$B219="","",CALC_EPM!A219)</f>
      </c>
      <c r="C230" t="str">
        <f>IF(CALC_EPM!$B219="","",CALC_EPM!B219)</f>
      </c>
      <c r="D230">
        <f>IF(CALC_EPM!$B219="","",CALC_EPM!D219)</f>
      </c>
      <c r="E230" s="10" t="str">
        <f>IF(CALC_EPM!$B219="","",CALC_EPM!E219)</f>
      </c>
      <c r="F230" s="10" t="str">
        <f>IF(CALC_EPM!$B219="","",CALC_EPM!F219)</f>
      </c>
      <c r="G230" t="str">
        <f>IF(CALC_EPM!$B219="","",CALC_EPM!G219)</f>
      </c>
      <c r="H230" s="11" t="str">
        <f>IF(CALC_EPM!$B219="","",CALC_EPM!H219)</f>
      </c>
      <c r="I230" s="11" t="str">
        <f>IF(CALC_EPM!$B219="","",CALC_EPM!I219)</f>
      </c>
      <c r="J230" t="str">
        <f>IF(CALC_EPM!$B219="","",CALC_EPM!J219)</f>
      </c>
      <c r="K230" t="str">
        <f>IF(CALC_EPM!$B219="","",CALC_EPM!K219)</f>
      </c>
      <c r="L230">
        <f>IF(CALC_EPM!$B219="","",CALC_EPM!L219)</f>
      </c>
      <c r="M230">
        <f>IF(CALC_EPM!$B219="","",CALC_EPM!M219)</f>
      </c>
      <c r="N230">
        <f>IF(CALC_EPM!$B219="","",CALC_EPM!N219)</f>
      </c>
      <c r="O230">
        <f>IF(CALC_EPM!$B219="","",CALC_EPM!O219)</f>
      </c>
      <c r="P230">
        <f>IF(CALC_EPM!$B219="","",CALC_EPM!P219)</f>
      </c>
      <c r="Q230">
        <f>IF(CALC_EPM!$B219="","",CALC_EPM!Q219)</f>
      </c>
      <c r="R230">
        <f>IF(CALC_EPM!$B219="","",CALC_EPM!R219)</f>
      </c>
      <c r="S230">
        <f>IF(CALC_EPM!$B219="","",CALC_EPM!S219)</f>
      </c>
      <c r="T230">
        <f>IF(CALC_EPM!$B219="","",CALC_EPM!T219)</f>
      </c>
      <c r="U230">
        <f>IF(CALC_EPM!$B219="","",CALC_EPM!U219)</f>
      </c>
    </row>
    <row r="231">
      <c r="A231" t="str">
        <f>IF(CALC_EPM!$B220="","",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)</f>
      </c>
      <c r="B231" t="str">
        <f>IF(CALC_EPM!$B220="","",CALC_EPM!A220)</f>
      </c>
      <c r="C231" t="str">
        <f>IF(CALC_EPM!$B220="","",CALC_EPM!B220)</f>
      </c>
      <c r="D231">
        <f>IF(CALC_EPM!$B220="","",CALC_EPM!D220)</f>
      </c>
      <c r="E231" s="10" t="str">
        <f>IF(CALC_EPM!$B220="","",CALC_EPM!E220)</f>
      </c>
      <c r="F231" s="10" t="str">
        <f>IF(CALC_EPM!$B220="","",CALC_EPM!F220)</f>
      </c>
      <c r="G231" t="str">
        <f>IF(CALC_EPM!$B220="","",CALC_EPM!G220)</f>
      </c>
      <c r="H231" s="11" t="str">
        <f>IF(CALC_EPM!$B220="","",CALC_EPM!H220)</f>
      </c>
      <c r="I231" s="11" t="str">
        <f>IF(CALC_EPM!$B220="","",CALC_EPM!I220)</f>
      </c>
      <c r="J231" t="str">
        <f>IF(CALC_EPM!$B220="","",CALC_EPM!J220)</f>
      </c>
      <c r="K231" t="str">
        <f>IF(CALC_EPM!$B220="","",CALC_EPM!K220)</f>
      </c>
      <c r="L231">
        <f>IF(CALC_EPM!$B220="","",CALC_EPM!L220)</f>
      </c>
      <c r="M231">
        <f>IF(CALC_EPM!$B220="","",CALC_EPM!M220)</f>
      </c>
      <c r="N231">
        <f>IF(CALC_EPM!$B220="","",CALC_EPM!N220)</f>
      </c>
      <c r="O231">
        <f>IF(CALC_EPM!$B220="","",CALC_EPM!O220)</f>
      </c>
      <c r="P231">
        <f>IF(CALC_EPM!$B220="","",CALC_EPM!P220)</f>
      </c>
      <c r="Q231">
        <f>IF(CALC_EPM!$B220="","",CALC_EPM!Q220)</f>
      </c>
      <c r="R231">
        <f>IF(CALC_EPM!$B220="","",CALC_EPM!R220)</f>
      </c>
      <c r="S231">
        <f>IF(CALC_EPM!$B220="","",CALC_EPM!S220)</f>
      </c>
      <c r="T231">
        <f>IF(CALC_EPM!$B220="","",CALC_EPM!T220)</f>
      </c>
      <c r="U231">
        <f>IF(CALC_EPM!$B220="","",CALC_EPM!U220)</f>
      </c>
    </row>
    <row r="232">
      <c r="A232" t="str">
        <f>IF(CALC_EPM!$B221="","",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)</f>
      </c>
      <c r="B232" t="str">
        <f>IF(CALC_EPM!$B221="","",CALC_EPM!A221)</f>
      </c>
      <c r="C232" t="str">
        <f>IF(CALC_EPM!$B221="","",CALC_EPM!B221)</f>
      </c>
      <c r="D232">
        <f>IF(CALC_EPM!$B221="","",CALC_EPM!D221)</f>
      </c>
      <c r="E232" s="10" t="str">
        <f>IF(CALC_EPM!$B221="","",CALC_EPM!E221)</f>
      </c>
      <c r="F232" s="10" t="str">
        <f>IF(CALC_EPM!$B221="","",CALC_EPM!F221)</f>
      </c>
      <c r="G232" t="str">
        <f>IF(CALC_EPM!$B221="","",CALC_EPM!G221)</f>
      </c>
      <c r="H232" s="11" t="str">
        <f>IF(CALC_EPM!$B221="","",CALC_EPM!H221)</f>
      </c>
      <c r="I232" s="11" t="str">
        <f>IF(CALC_EPM!$B221="","",CALC_EPM!I221)</f>
      </c>
      <c r="J232" t="str">
        <f>IF(CALC_EPM!$B221="","",CALC_EPM!J221)</f>
      </c>
      <c r="K232" t="str">
        <f>IF(CALC_EPM!$B221="","",CALC_EPM!K221)</f>
      </c>
      <c r="L232">
        <f>IF(CALC_EPM!$B221="","",CALC_EPM!L221)</f>
      </c>
      <c r="M232">
        <f>IF(CALC_EPM!$B221="","",CALC_EPM!M221)</f>
      </c>
      <c r="N232">
        <f>IF(CALC_EPM!$B221="","",CALC_EPM!N221)</f>
      </c>
      <c r="O232">
        <f>IF(CALC_EPM!$B221="","",CALC_EPM!O221)</f>
      </c>
      <c r="P232">
        <f>IF(CALC_EPM!$B221="","",CALC_EPM!P221)</f>
      </c>
      <c r="Q232">
        <f>IF(CALC_EPM!$B221="","",CALC_EPM!Q221)</f>
      </c>
      <c r="R232">
        <f>IF(CALC_EPM!$B221="","",CALC_EPM!R221)</f>
      </c>
      <c r="S232">
        <f>IF(CALC_EPM!$B221="","",CALC_EPM!S221)</f>
      </c>
      <c r="T232">
        <f>IF(CALC_EPM!$B221="","",CALC_EPM!T221)</f>
      </c>
      <c r="U232">
        <f>IF(CALC_EPM!$B221="","",CALC_EPM!U221)</f>
      </c>
    </row>
    <row r="233">
      <c r="A233" t="str">
        <f>IF(CALC_EPM!$B222="","",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)</f>
      </c>
      <c r="B233" t="str">
        <f>IF(CALC_EPM!$B222="","",CALC_EPM!A222)</f>
      </c>
      <c r="C233" t="str">
        <f>IF(CALC_EPM!$B222="","",CALC_EPM!B222)</f>
      </c>
      <c r="D233">
        <f>IF(CALC_EPM!$B222="","",CALC_EPM!D222)</f>
      </c>
      <c r="E233" s="10" t="str">
        <f>IF(CALC_EPM!$B222="","",CALC_EPM!E222)</f>
      </c>
      <c r="F233" s="10" t="str">
        <f>IF(CALC_EPM!$B222="","",CALC_EPM!F222)</f>
      </c>
      <c r="G233" t="str">
        <f>IF(CALC_EPM!$B222="","",CALC_EPM!G222)</f>
      </c>
      <c r="H233" s="11" t="str">
        <f>IF(CALC_EPM!$B222="","",CALC_EPM!H222)</f>
      </c>
      <c r="I233" s="11" t="str">
        <f>IF(CALC_EPM!$B222="","",CALC_EPM!I222)</f>
      </c>
      <c r="J233" t="str">
        <f>IF(CALC_EPM!$B222="","",CALC_EPM!J222)</f>
      </c>
      <c r="K233" t="str">
        <f>IF(CALC_EPM!$B222="","",CALC_EPM!K222)</f>
      </c>
      <c r="L233">
        <f>IF(CALC_EPM!$B222="","",CALC_EPM!L222)</f>
      </c>
      <c r="M233">
        <f>IF(CALC_EPM!$B222="","",CALC_EPM!M222)</f>
      </c>
      <c r="N233">
        <f>IF(CALC_EPM!$B222="","",CALC_EPM!N222)</f>
      </c>
      <c r="O233">
        <f>IF(CALC_EPM!$B222="","",CALC_EPM!O222)</f>
      </c>
      <c r="P233">
        <f>IF(CALC_EPM!$B222="","",CALC_EPM!P222)</f>
      </c>
      <c r="Q233">
        <f>IF(CALC_EPM!$B222="","",CALC_EPM!Q222)</f>
      </c>
      <c r="R233">
        <f>IF(CALC_EPM!$B222="","",CALC_EPM!R222)</f>
      </c>
      <c r="S233">
        <f>IF(CALC_EPM!$B222="","",CALC_EPM!S222)</f>
      </c>
      <c r="T233">
        <f>IF(CALC_EPM!$B222="","",CALC_EPM!T222)</f>
      </c>
      <c r="U233">
        <f>IF(CALC_EPM!$B222="","",CALC_EPM!U222)</f>
      </c>
    </row>
    <row r="234">
      <c r="A234" t="str">
        <f>IF(CALC_EPM!$B223="","",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)</f>
      </c>
      <c r="B234" t="str">
        <f>IF(CALC_EPM!$B223="","",CALC_EPM!A223)</f>
      </c>
      <c r="C234" t="str">
        <f>IF(CALC_EPM!$B223="","",CALC_EPM!B223)</f>
      </c>
      <c r="D234">
        <f>IF(CALC_EPM!$B223="","",CALC_EPM!D223)</f>
      </c>
      <c r="E234" s="10" t="str">
        <f>IF(CALC_EPM!$B223="","",CALC_EPM!E223)</f>
      </c>
      <c r="F234" s="10" t="str">
        <f>IF(CALC_EPM!$B223="","",CALC_EPM!F223)</f>
      </c>
      <c r="G234" t="str">
        <f>IF(CALC_EPM!$B223="","",CALC_EPM!G223)</f>
      </c>
      <c r="H234" s="11" t="str">
        <f>IF(CALC_EPM!$B223="","",CALC_EPM!H223)</f>
      </c>
      <c r="I234" s="11" t="str">
        <f>IF(CALC_EPM!$B223="","",CALC_EPM!I223)</f>
      </c>
      <c r="J234" t="str">
        <f>IF(CALC_EPM!$B223="","",CALC_EPM!J223)</f>
      </c>
      <c r="K234" t="str">
        <f>IF(CALC_EPM!$B223="","",CALC_EPM!K223)</f>
      </c>
      <c r="L234">
        <f>IF(CALC_EPM!$B223="","",CALC_EPM!L223)</f>
      </c>
      <c r="M234">
        <f>IF(CALC_EPM!$B223="","",CALC_EPM!M223)</f>
      </c>
      <c r="N234">
        <f>IF(CALC_EPM!$B223="","",CALC_EPM!N223)</f>
      </c>
      <c r="O234">
        <f>IF(CALC_EPM!$B223="","",CALC_EPM!O223)</f>
      </c>
      <c r="P234">
        <f>IF(CALC_EPM!$B223="","",CALC_EPM!P223)</f>
      </c>
      <c r="Q234">
        <f>IF(CALC_EPM!$B223="","",CALC_EPM!Q223)</f>
      </c>
      <c r="R234">
        <f>IF(CALC_EPM!$B223="","",CALC_EPM!R223)</f>
      </c>
      <c r="S234">
        <f>IF(CALC_EPM!$B223="","",CALC_EPM!S223)</f>
      </c>
      <c r="T234">
        <f>IF(CALC_EPM!$B223="","",CALC_EPM!T223)</f>
      </c>
      <c r="U234">
        <f>IF(CALC_EPM!$B223="","",CALC_EPM!U223)</f>
      </c>
    </row>
    <row r="235">
      <c r="A235" t="str">
        <f>IF(CALC_EPM!$B224="","",IF(CALC_EPM!A224="GLOBAL",IF(CALC_EPM!C224="Total","GLOBAL",IF(CALC_EPM!C224="TotalEsp","GLOBAL_ESP",IF(CALC_EPM!C224="TotalNoEsp","GLOBAL_NOESP","GLOBAL_ASIG"))),IF(CALC_EPM!C224="Total","CURSO_TOTAL",IF(CALC_EPM!C224="TotalEsp","CURSO_ESP",IF(CALC_EPM!C224="TotalNoEsp","CURSO_NOESP","CURSO_ASIG")))))</f>
      </c>
      <c r="B235" t="str">
        <f>IF(CALC_EPM!$B224="","",CALC_EPM!A224)</f>
      </c>
      <c r="C235" t="str">
        <f>IF(CALC_EPM!$B224="","",CALC_EPM!B224)</f>
      </c>
      <c r="D235">
        <f>IF(CALC_EPM!$B224="","",CALC_EPM!D224)</f>
      </c>
      <c r="E235" s="10" t="str">
        <f>IF(CALC_EPM!$B224="","",CALC_EPM!E224)</f>
      </c>
      <c r="F235" s="10" t="str">
        <f>IF(CALC_EPM!$B224="","",CALC_EPM!F224)</f>
      </c>
      <c r="G235" t="str">
        <f>IF(CALC_EPM!$B224="","",CALC_EPM!G224)</f>
      </c>
      <c r="H235" s="11" t="str">
        <f>IF(CALC_EPM!$B224="","",CALC_EPM!H224)</f>
      </c>
      <c r="I235" s="11" t="str">
        <f>IF(CALC_EPM!$B224="","",CALC_EPM!I224)</f>
      </c>
      <c r="J235" t="str">
        <f>IF(CALC_EPM!$B224="","",CALC_EPM!J224)</f>
      </c>
      <c r="K235" t="str">
        <f>IF(CALC_EPM!$B224="","",CALC_EPM!K224)</f>
      </c>
      <c r="L235">
        <f>IF(CALC_EPM!$B224="","",CALC_EPM!L224)</f>
      </c>
      <c r="M235">
        <f>IF(CALC_EPM!$B224="","",CALC_EPM!M224)</f>
      </c>
      <c r="N235">
        <f>IF(CALC_EPM!$B224="","",CALC_EPM!N224)</f>
      </c>
      <c r="O235">
        <f>IF(CALC_EPM!$B224="","",CALC_EPM!O224)</f>
      </c>
      <c r="P235">
        <f>IF(CALC_EPM!$B224="","",CALC_EPM!P224)</f>
      </c>
      <c r="Q235">
        <f>IF(CALC_EPM!$B224="","",CALC_EPM!Q224)</f>
      </c>
      <c r="R235">
        <f>IF(CALC_EPM!$B224="","",CALC_EPM!R224)</f>
      </c>
      <c r="S235">
        <f>IF(CALC_EPM!$B224="","",CALC_EPM!S224)</f>
      </c>
      <c r="T235">
        <f>IF(CALC_EPM!$B224="","",CALC_EPM!T224)</f>
      </c>
      <c r="U235">
        <f>IF(CALC_EPM!$B224="","",CALC_EPM!U224)</f>
      </c>
    </row>
    <row r="236">
      <c r="A236" t="str">
        <f>IF(CALC_EPM!$B225="","",IF(CALC_EPM!A225="GLOBAL",IF(CALC_EPM!C225="Total","GLOBAL",IF(CALC_EPM!C225="TotalEsp","GLOBAL_ESP",IF(CALC_EPM!C225="TotalNoEsp","GLOBAL_NOESP","GLOBAL_ASIG"))),IF(CALC_EPM!C225="Total","CURSO_TOTAL",IF(CALC_EPM!C225="TotalEsp","CURSO_ESP",IF(CALC_EPM!C225="TotalNoEsp","CURSO_NOESP","CURSO_ASIG")))))</f>
      </c>
      <c r="B236" t="str">
        <f>IF(CALC_EPM!$B225="","",CALC_EPM!A225)</f>
      </c>
      <c r="C236" t="str">
        <f>IF(CALC_EPM!$B225="","",CALC_EPM!B225)</f>
      </c>
      <c r="D236">
        <f>IF(CALC_EPM!$B225="","",CALC_EPM!D225)</f>
      </c>
      <c r="E236" s="10" t="str">
        <f>IF(CALC_EPM!$B225="","",CALC_EPM!E225)</f>
      </c>
      <c r="F236" s="10" t="str">
        <f>IF(CALC_EPM!$B225="","",CALC_EPM!F225)</f>
      </c>
      <c r="G236" t="str">
        <f>IF(CALC_EPM!$B225="","",CALC_EPM!G225)</f>
      </c>
      <c r="H236" s="11" t="str">
        <f>IF(CALC_EPM!$B225="","",CALC_EPM!H225)</f>
      </c>
      <c r="I236" s="11" t="str">
        <f>IF(CALC_EPM!$B225="","",CALC_EPM!I225)</f>
      </c>
      <c r="J236" t="str">
        <f>IF(CALC_EPM!$B225="","",CALC_EPM!J225)</f>
      </c>
      <c r="K236" t="str">
        <f>IF(CALC_EPM!$B225="","",CALC_EPM!K225)</f>
      </c>
      <c r="L236">
        <f>IF(CALC_EPM!$B225="","",CALC_EPM!L225)</f>
      </c>
      <c r="M236">
        <f>IF(CALC_EPM!$B225="","",CALC_EPM!M225)</f>
      </c>
      <c r="N236">
        <f>IF(CALC_EPM!$B225="","",CALC_EPM!N225)</f>
      </c>
      <c r="O236">
        <f>IF(CALC_EPM!$B225="","",CALC_EPM!O225)</f>
      </c>
      <c r="P236">
        <f>IF(CALC_EPM!$B225="","",CALC_EPM!P225)</f>
      </c>
      <c r="Q236">
        <f>IF(CALC_EPM!$B225="","",CALC_EPM!Q225)</f>
      </c>
      <c r="R236">
        <f>IF(CALC_EPM!$B225="","",CALC_EPM!R225)</f>
      </c>
      <c r="S236">
        <f>IF(CALC_EPM!$B225="","",CALC_EPM!S225)</f>
      </c>
      <c r="T236">
        <f>IF(CALC_EPM!$B225="","",CALC_EPM!T225)</f>
      </c>
      <c r="U236">
        <f>IF(CALC_EPM!$B225="","",CALC_EPM!U225)</f>
      </c>
    </row>
    <row r="237">
      <c r="A237" t="str">
        <f>IF(CALC_EPM!$B226="","",IF(CALC_EPM!A226="GLOBAL",IF(CALC_EPM!C226="Total","GLOBAL",IF(CALC_EPM!C226="TotalEsp","GLOBAL_ESP",IF(CALC_EPM!C226="TotalNoEsp","GLOBAL_NOESP","GLOBAL_ASIG"))),IF(CALC_EPM!C226="Total","CURSO_TOTAL",IF(CALC_EPM!C226="TotalEsp","CURSO_ESP",IF(CALC_EPM!C226="TotalNoEsp","CURSO_NOESP","CURSO_ASIG")))))</f>
      </c>
      <c r="B237" t="str">
        <f>IF(CALC_EPM!$B226="","",CALC_EPM!A226)</f>
      </c>
      <c r="C237" t="str">
        <f>IF(CALC_EPM!$B226="","",CALC_EPM!B226)</f>
      </c>
      <c r="D237">
        <f>IF(CALC_EPM!$B226="","",CALC_EPM!D226)</f>
      </c>
      <c r="E237" s="10" t="str">
        <f>IF(CALC_EPM!$B226="","",CALC_EPM!E226)</f>
      </c>
      <c r="F237" s="10" t="str">
        <f>IF(CALC_EPM!$B226="","",CALC_EPM!F226)</f>
      </c>
      <c r="G237" t="str">
        <f>IF(CALC_EPM!$B226="","",CALC_EPM!G226)</f>
      </c>
      <c r="H237" s="11" t="str">
        <f>IF(CALC_EPM!$B226="","",CALC_EPM!H226)</f>
      </c>
      <c r="I237" s="11" t="str">
        <f>IF(CALC_EPM!$B226="","",CALC_EPM!I226)</f>
      </c>
      <c r="J237" t="str">
        <f>IF(CALC_EPM!$B226="","",CALC_EPM!J226)</f>
      </c>
      <c r="K237" t="str">
        <f>IF(CALC_EPM!$B226="","",CALC_EPM!K226)</f>
      </c>
      <c r="L237">
        <f>IF(CALC_EPM!$B226="","",CALC_EPM!L226)</f>
      </c>
      <c r="M237">
        <f>IF(CALC_EPM!$B226="","",CALC_EPM!M226)</f>
      </c>
      <c r="N237">
        <f>IF(CALC_EPM!$B226="","",CALC_EPM!N226)</f>
      </c>
      <c r="O237">
        <f>IF(CALC_EPM!$B226="","",CALC_EPM!O226)</f>
      </c>
      <c r="P237">
        <f>IF(CALC_EPM!$B226="","",CALC_EPM!P226)</f>
      </c>
      <c r="Q237">
        <f>IF(CALC_EPM!$B226="","",CALC_EPM!Q226)</f>
      </c>
      <c r="R237">
        <f>IF(CALC_EPM!$B226="","",CALC_EPM!R226)</f>
      </c>
      <c r="S237">
        <f>IF(CALC_EPM!$B226="","",CALC_EPM!S226)</f>
      </c>
      <c r="T237">
        <f>IF(CALC_EPM!$B226="","",CALC_EPM!T226)</f>
      </c>
      <c r="U237">
        <f>IF(CALC_EPM!$B226="","",CALC_EPM!U226)</f>
      </c>
    </row>
    <row r="238">
      <c r="A238" t="str">
        <f>IF(CALC_EPM!$B227="","",IF(CALC_EPM!A227="GLOBAL",IF(CALC_EPM!C227="Total","GLOBAL",IF(CALC_EPM!C227="TotalEsp","GLOBAL_ESP",IF(CALC_EPM!C227="TotalNoEsp","GLOBAL_NOESP","GLOBAL_ASIG"))),IF(CALC_EPM!C227="Total","CURSO_TOTAL",IF(CALC_EPM!C227="TotalEsp","CURSO_ESP",IF(CALC_EPM!C227="TotalNoEsp","CURSO_NOESP","CURSO_ASIG")))))</f>
      </c>
      <c r="B238" t="str">
        <f>IF(CALC_EPM!$B227="","",CALC_EPM!A227)</f>
      </c>
      <c r="C238" t="str">
        <f>IF(CALC_EPM!$B227="","",CALC_EPM!B227)</f>
      </c>
      <c r="D238">
        <f>IF(CALC_EPM!$B227="","",CALC_EPM!D227)</f>
      </c>
      <c r="E238" s="10" t="str">
        <f>IF(CALC_EPM!$B227="","",CALC_EPM!E227)</f>
      </c>
      <c r="F238" s="10" t="str">
        <f>IF(CALC_EPM!$B227="","",CALC_EPM!F227)</f>
      </c>
      <c r="G238" t="str">
        <f>IF(CALC_EPM!$B227="","",CALC_EPM!G227)</f>
      </c>
      <c r="H238" s="11" t="str">
        <f>IF(CALC_EPM!$B227="","",CALC_EPM!H227)</f>
      </c>
      <c r="I238" s="11" t="str">
        <f>IF(CALC_EPM!$B227="","",CALC_EPM!I227)</f>
      </c>
      <c r="J238" t="str">
        <f>IF(CALC_EPM!$B227="","",CALC_EPM!J227)</f>
      </c>
      <c r="K238" t="str">
        <f>IF(CALC_EPM!$B227="","",CALC_EPM!K227)</f>
      </c>
      <c r="L238">
        <f>IF(CALC_EPM!$B227="","",CALC_EPM!L227)</f>
      </c>
      <c r="M238">
        <f>IF(CALC_EPM!$B227="","",CALC_EPM!M227)</f>
      </c>
      <c r="N238">
        <f>IF(CALC_EPM!$B227="","",CALC_EPM!N227)</f>
      </c>
      <c r="O238">
        <f>IF(CALC_EPM!$B227="","",CALC_EPM!O227)</f>
      </c>
      <c r="P238">
        <f>IF(CALC_EPM!$B227="","",CALC_EPM!P227)</f>
      </c>
      <c r="Q238">
        <f>IF(CALC_EPM!$B227="","",CALC_EPM!Q227)</f>
      </c>
      <c r="R238">
        <f>IF(CALC_EPM!$B227="","",CALC_EPM!R227)</f>
      </c>
      <c r="S238">
        <f>IF(CALC_EPM!$B227="","",CALC_EPM!S227)</f>
      </c>
      <c r="T238">
        <f>IF(CALC_EPM!$B227="","",CALC_EPM!T227)</f>
      </c>
      <c r="U238">
        <f>IF(CALC_EPM!$B227="","",CALC_EPM!U227)</f>
      </c>
    </row>
    <row r="239">
      <c r="A239" t="str">
        <f>IF(CALC_EPM!$B228="","",IF(CALC_EPM!A228="GLOBAL",IF(CALC_EPM!C228="Total","GLOBAL",IF(CALC_EPM!C228="TotalEsp","GLOBAL_ESP",IF(CALC_EPM!C228="TotalNoEsp","GLOBAL_NOESP","GLOBAL_ASIG"))),IF(CALC_EPM!C228="Total","CURSO_TOTAL",IF(CALC_EPM!C228="TotalEsp","CURSO_ESP",IF(CALC_EPM!C228="TotalNoEsp","CURSO_NOESP","CURSO_ASIG")))))</f>
      </c>
      <c r="B239" t="str">
        <f>IF(CALC_EPM!$B228="","",CALC_EPM!A228)</f>
      </c>
      <c r="C239" t="str">
        <f>IF(CALC_EPM!$B228="","",CALC_EPM!B228)</f>
      </c>
      <c r="D239">
        <f>IF(CALC_EPM!$B228="","",CALC_EPM!D228)</f>
      </c>
      <c r="E239" s="10" t="str">
        <f>IF(CALC_EPM!$B228="","",CALC_EPM!E228)</f>
      </c>
      <c r="F239" s="10" t="str">
        <f>IF(CALC_EPM!$B228="","",CALC_EPM!F228)</f>
      </c>
      <c r="G239" t="str">
        <f>IF(CALC_EPM!$B228="","",CALC_EPM!G228)</f>
      </c>
      <c r="H239" s="11" t="str">
        <f>IF(CALC_EPM!$B228="","",CALC_EPM!H228)</f>
      </c>
      <c r="I239" s="11" t="str">
        <f>IF(CALC_EPM!$B228="","",CALC_EPM!I228)</f>
      </c>
      <c r="J239" t="str">
        <f>IF(CALC_EPM!$B228="","",CALC_EPM!J228)</f>
      </c>
      <c r="K239" t="str">
        <f>IF(CALC_EPM!$B228="","",CALC_EPM!K228)</f>
      </c>
      <c r="L239">
        <f>IF(CALC_EPM!$B228="","",CALC_EPM!L228)</f>
      </c>
      <c r="M239">
        <f>IF(CALC_EPM!$B228="","",CALC_EPM!M228)</f>
      </c>
      <c r="N239">
        <f>IF(CALC_EPM!$B228="","",CALC_EPM!N228)</f>
      </c>
      <c r="O239">
        <f>IF(CALC_EPM!$B228="","",CALC_EPM!O228)</f>
      </c>
      <c r="P239">
        <f>IF(CALC_EPM!$B228="","",CALC_EPM!P228)</f>
      </c>
      <c r="Q239">
        <f>IF(CALC_EPM!$B228="","",CALC_EPM!Q228)</f>
      </c>
      <c r="R239">
        <f>IF(CALC_EPM!$B228="","",CALC_EPM!R228)</f>
      </c>
      <c r="S239">
        <f>IF(CALC_EPM!$B228="","",CALC_EPM!S228)</f>
      </c>
      <c r="T239">
        <f>IF(CALC_EPM!$B228="","",CALC_EPM!T228)</f>
      </c>
      <c r="U239">
        <f>IF(CALC_EPM!$B228="","",CALC_EPM!U228)</f>
      </c>
    </row>
    <row r="240">
      <c r="A240" t="str">
        <f>IF(CALC_EPM!$B229="","",IF(CALC_EPM!A229="GLOBAL",IF(CALC_EPM!C229="Total","GLOBAL",IF(CALC_EPM!C229="TotalEsp","GLOBAL_ESP",IF(CALC_EPM!C229="TotalNoEsp","GLOBAL_NOESP","GLOBAL_ASIG"))),IF(CALC_EPM!C229="Total","CURSO_TOTAL",IF(CALC_EPM!C229="TotalEsp","CURSO_ESP",IF(CALC_EPM!C229="TotalNoEsp","CURSO_NOESP","CURSO_ASIG")))))</f>
      </c>
      <c r="B240" t="str">
        <f>IF(CALC_EPM!$B229="","",CALC_EPM!A229)</f>
      </c>
      <c r="C240" t="str">
        <f>IF(CALC_EPM!$B229="","",CALC_EPM!B229)</f>
      </c>
      <c r="D240">
        <f>IF(CALC_EPM!$B229="","",CALC_EPM!D229)</f>
      </c>
      <c r="E240" s="10" t="str">
        <f>IF(CALC_EPM!$B229="","",CALC_EPM!E229)</f>
      </c>
      <c r="F240" s="10" t="str">
        <f>IF(CALC_EPM!$B229="","",CALC_EPM!F229)</f>
      </c>
      <c r="G240" t="str">
        <f>IF(CALC_EPM!$B229="","",CALC_EPM!G229)</f>
      </c>
      <c r="H240" s="11" t="str">
        <f>IF(CALC_EPM!$B229="","",CALC_EPM!H229)</f>
      </c>
      <c r="I240" s="11" t="str">
        <f>IF(CALC_EPM!$B229="","",CALC_EPM!I229)</f>
      </c>
      <c r="J240" t="str">
        <f>IF(CALC_EPM!$B229="","",CALC_EPM!J229)</f>
      </c>
      <c r="K240" t="str">
        <f>IF(CALC_EPM!$B229="","",CALC_EPM!K229)</f>
      </c>
      <c r="L240">
        <f>IF(CALC_EPM!$B229="","",CALC_EPM!L229)</f>
      </c>
      <c r="M240">
        <f>IF(CALC_EPM!$B229="","",CALC_EPM!M229)</f>
      </c>
      <c r="N240">
        <f>IF(CALC_EPM!$B229="","",CALC_EPM!N229)</f>
      </c>
      <c r="O240">
        <f>IF(CALC_EPM!$B229="","",CALC_EPM!O229)</f>
      </c>
      <c r="P240">
        <f>IF(CALC_EPM!$B229="","",CALC_EPM!P229)</f>
      </c>
      <c r="Q240">
        <f>IF(CALC_EPM!$B229="","",CALC_EPM!Q229)</f>
      </c>
      <c r="R240">
        <f>IF(CALC_EPM!$B229="","",CALC_EPM!R229)</f>
      </c>
      <c r="S240">
        <f>IF(CALC_EPM!$B229="","",CALC_EPM!S229)</f>
      </c>
      <c r="T240">
        <f>IF(CALC_EPM!$B229="","",CALC_EPM!T229)</f>
      </c>
      <c r="U240">
        <f>IF(CALC_EPM!$B229="","",CALC_EPM!U229)</f>
      </c>
    </row>
    <row r="241">
      <c r="A241" t="str">
        <f>IF(CALC_EPM!$B230="","",IF(CALC_EPM!A230="GLOBAL",IF(CALC_EPM!C230="Total","GLOBAL",IF(CALC_EPM!C230="TotalEsp","GLOBAL_ESP",IF(CALC_EPM!C230="TotalNoEsp","GLOBAL_NOESP","GLOBAL_ASIG"))),IF(CALC_EPM!C230="Total","CURSO_TOTAL",IF(CALC_EPM!C230="TotalEsp","CURSO_ESP",IF(CALC_EPM!C230="TotalNoEsp","CURSO_NOESP","CURSO_ASIG")))))</f>
      </c>
      <c r="B241" t="str">
        <f>IF(CALC_EPM!$B230="","",CALC_EPM!A230)</f>
      </c>
      <c r="C241" t="str">
        <f>IF(CALC_EPM!$B230="","",CALC_EPM!B230)</f>
      </c>
      <c r="D241">
        <f>IF(CALC_EPM!$B230="","",CALC_EPM!D230)</f>
      </c>
      <c r="E241" s="10" t="str">
        <f>IF(CALC_EPM!$B230="","",CALC_EPM!E230)</f>
      </c>
      <c r="F241" s="10" t="str">
        <f>IF(CALC_EPM!$B230="","",CALC_EPM!F230)</f>
      </c>
      <c r="G241" t="str">
        <f>IF(CALC_EPM!$B230="","",CALC_EPM!G230)</f>
      </c>
      <c r="H241" s="11" t="str">
        <f>IF(CALC_EPM!$B230="","",CALC_EPM!H230)</f>
      </c>
      <c r="I241" s="11" t="str">
        <f>IF(CALC_EPM!$B230="","",CALC_EPM!I230)</f>
      </c>
      <c r="J241" t="str">
        <f>IF(CALC_EPM!$B230="","",CALC_EPM!J230)</f>
      </c>
      <c r="K241" t="str">
        <f>IF(CALC_EPM!$B230="","",CALC_EPM!K230)</f>
      </c>
      <c r="L241">
        <f>IF(CALC_EPM!$B230="","",CALC_EPM!L230)</f>
      </c>
      <c r="M241">
        <f>IF(CALC_EPM!$B230="","",CALC_EPM!M230)</f>
      </c>
      <c r="N241">
        <f>IF(CALC_EPM!$B230="","",CALC_EPM!N230)</f>
      </c>
      <c r="O241">
        <f>IF(CALC_EPM!$B230="","",CALC_EPM!O230)</f>
      </c>
      <c r="P241">
        <f>IF(CALC_EPM!$B230="","",CALC_EPM!P230)</f>
      </c>
      <c r="Q241">
        <f>IF(CALC_EPM!$B230="","",CALC_EPM!Q230)</f>
      </c>
      <c r="R241">
        <f>IF(CALC_EPM!$B230="","",CALC_EPM!R230)</f>
      </c>
      <c r="S241">
        <f>IF(CALC_EPM!$B230="","",CALC_EPM!S230)</f>
      </c>
      <c r="T241">
        <f>IF(CALC_EPM!$B230="","",CALC_EPM!T230)</f>
      </c>
      <c r="U241">
        <f>IF(CALC_EPM!$B230="","",CALC_EPM!U230)</f>
      </c>
    </row>
    <row r="242">
      <c r="A242" t="str">
        <f>IF(CALC_EPM!$B231="","",IF(CALC_EPM!A231="GLOBAL",IF(CALC_EPM!C231="Total","GLOBAL",IF(CALC_EPM!C231="TotalEsp","GLOBAL_ESP",IF(CALC_EPM!C231="TotalNoEsp","GLOBAL_NOESP","GLOBAL_ASIG"))),IF(CALC_EPM!C231="Total","CURSO_TOTAL",IF(CALC_EPM!C231="TotalEsp","CURSO_ESP",IF(CALC_EPM!C231="TotalNoEsp","CURSO_NOESP","CURSO_ASIG")))))</f>
      </c>
      <c r="B242" t="str">
        <f>IF(CALC_EPM!$B231="","",CALC_EPM!A231)</f>
      </c>
      <c r="C242" t="str">
        <f>IF(CALC_EPM!$B231="","",CALC_EPM!B231)</f>
      </c>
      <c r="D242">
        <f>IF(CALC_EPM!$B231="","",CALC_EPM!D231)</f>
      </c>
      <c r="E242" s="10" t="str">
        <f>IF(CALC_EPM!$B231="","",CALC_EPM!E231)</f>
      </c>
      <c r="F242" s="10" t="str">
        <f>IF(CALC_EPM!$B231="","",CALC_EPM!F231)</f>
      </c>
      <c r="G242" t="str">
        <f>IF(CALC_EPM!$B231="","",CALC_EPM!G231)</f>
      </c>
      <c r="H242" s="11" t="str">
        <f>IF(CALC_EPM!$B231="","",CALC_EPM!H231)</f>
      </c>
      <c r="I242" s="11" t="str">
        <f>IF(CALC_EPM!$B231="","",CALC_EPM!I231)</f>
      </c>
      <c r="J242" t="str">
        <f>IF(CALC_EPM!$B231="","",CALC_EPM!J231)</f>
      </c>
      <c r="K242" t="str">
        <f>IF(CALC_EPM!$B231="","",CALC_EPM!K231)</f>
      </c>
      <c r="L242">
        <f>IF(CALC_EPM!$B231="","",CALC_EPM!L231)</f>
      </c>
      <c r="M242">
        <f>IF(CALC_EPM!$B231="","",CALC_EPM!M231)</f>
      </c>
      <c r="N242">
        <f>IF(CALC_EPM!$B231="","",CALC_EPM!N231)</f>
      </c>
      <c r="O242">
        <f>IF(CALC_EPM!$B231="","",CALC_EPM!O231)</f>
      </c>
      <c r="P242">
        <f>IF(CALC_EPM!$B231="","",CALC_EPM!P231)</f>
      </c>
      <c r="Q242">
        <f>IF(CALC_EPM!$B231="","",CALC_EPM!Q231)</f>
      </c>
      <c r="R242">
        <f>IF(CALC_EPM!$B231="","",CALC_EPM!R231)</f>
      </c>
      <c r="S242">
        <f>IF(CALC_EPM!$B231="","",CALC_EPM!S231)</f>
      </c>
      <c r="T242">
        <f>IF(CALC_EPM!$B231="","",CALC_EPM!T231)</f>
      </c>
      <c r="U242">
        <f>IF(CALC_EPM!$B231="","",CALC_EPM!U231)</f>
      </c>
    </row>
    <row r="243">
      <c r="A243" t="str">
        <f>IF(CALC_EPM!$B232="","",IF(CALC_EPM!A232="GLOBAL",IF(CALC_EPM!C232="Total","GLOBAL",IF(CALC_EPM!C232="TotalEsp","GLOBAL_ESP",IF(CALC_EPM!C232="TotalNoEsp","GLOBAL_NOESP","GLOBAL_ASIG"))),IF(CALC_EPM!C232="Total","CURSO_TOTAL",IF(CALC_EPM!C232="TotalEsp","CURSO_ESP",IF(CALC_EPM!C232="TotalNoEsp","CURSO_NOESP","CURSO_ASIG")))))</f>
      </c>
      <c r="B243" t="str">
        <f>IF(CALC_EPM!$B232="","",CALC_EPM!A232)</f>
      </c>
      <c r="C243" t="str">
        <f>IF(CALC_EPM!$B232="","",CALC_EPM!B232)</f>
      </c>
      <c r="D243">
        <f>IF(CALC_EPM!$B232="","",CALC_EPM!D232)</f>
      </c>
      <c r="E243" s="10" t="str">
        <f>IF(CALC_EPM!$B232="","",CALC_EPM!E232)</f>
      </c>
      <c r="F243" s="10" t="str">
        <f>IF(CALC_EPM!$B232="","",CALC_EPM!F232)</f>
      </c>
      <c r="G243" t="str">
        <f>IF(CALC_EPM!$B232="","",CALC_EPM!G232)</f>
      </c>
      <c r="H243" s="11" t="str">
        <f>IF(CALC_EPM!$B232="","",CALC_EPM!H232)</f>
      </c>
      <c r="I243" s="11" t="str">
        <f>IF(CALC_EPM!$B232="","",CALC_EPM!I232)</f>
      </c>
      <c r="J243" t="str">
        <f>IF(CALC_EPM!$B232="","",CALC_EPM!J232)</f>
      </c>
      <c r="K243" t="str">
        <f>IF(CALC_EPM!$B232="","",CALC_EPM!K232)</f>
      </c>
      <c r="L243">
        <f>IF(CALC_EPM!$B232="","",CALC_EPM!L232)</f>
      </c>
      <c r="M243">
        <f>IF(CALC_EPM!$B232="","",CALC_EPM!M232)</f>
      </c>
      <c r="N243">
        <f>IF(CALC_EPM!$B232="","",CALC_EPM!N232)</f>
      </c>
      <c r="O243">
        <f>IF(CALC_EPM!$B232="","",CALC_EPM!O232)</f>
      </c>
      <c r="P243">
        <f>IF(CALC_EPM!$B232="","",CALC_EPM!P232)</f>
      </c>
      <c r="Q243">
        <f>IF(CALC_EPM!$B232="","",CALC_EPM!Q232)</f>
      </c>
      <c r="R243">
        <f>IF(CALC_EPM!$B232="","",CALC_EPM!R232)</f>
      </c>
      <c r="S243">
        <f>IF(CALC_EPM!$B232="","",CALC_EPM!S232)</f>
      </c>
      <c r="T243">
        <f>IF(CALC_EPM!$B232="","",CALC_EPM!T232)</f>
      </c>
      <c r="U243">
        <f>IF(CALC_EPM!$B232="","",CALC_EPM!U232)</f>
      </c>
    </row>
    <row r="244">
      <c r="A244" t="str">
        <f>IF(CALC_EPM!$B233="","",IF(CALC_EPM!A233="GLOBAL",IF(CALC_EPM!C233="Total","GLOBAL",IF(CALC_EPM!C233="TotalEsp","GLOBAL_ESP",IF(CALC_EPM!C233="TotalNoEsp","GLOBAL_NOESP","GLOBAL_ASIG"))),IF(CALC_EPM!C233="Total","CURSO_TOTAL",IF(CALC_EPM!C233="TotalEsp","CURSO_ESP",IF(CALC_EPM!C233="TotalNoEsp","CURSO_NOESP","CURSO_ASIG")))))</f>
      </c>
      <c r="B244" t="str">
        <f>IF(CALC_EPM!$B233="","",CALC_EPM!A233)</f>
      </c>
      <c r="C244" t="str">
        <f>IF(CALC_EPM!$B233="","",CALC_EPM!B233)</f>
      </c>
      <c r="D244">
        <f>IF(CALC_EPM!$B233="","",CALC_EPM!D233)</f>
      </c>
      <c r="E244" s="10" t="str">
        <f>IF(CALC_EPM!$B233="","",CALC_EPM!E233)</f>
      </c>
      <c r="F244" s="10" t="str">
        <f>IF(CALC_EPM!$B233="","",CALC_EPM!F233)</f>
      </c>
      <c r="G244" t="str">
        <f>IF(CALC_EPM!$B233="","",CALC_EPM!G233)</f>
      </c>
      <c r="H244" s="11" t="str">
        <f>IF(CALC_EPM!$B233="","",CALC_EPM!H233)</f>
      </c>
      <c r="I244" s="11" t="str">
        <f>IF(CALC_EPM!$B233="","",CALC_EPM!I233)</f>
      </c>
      <c r="J244" t="str">
        <f>IF(CALC_EPM!$B233="","",CALC_EPM!J233)</f>
      </c>
      <c r="K244" t="str">
        <f>IF(CALC_EPM!$B233="","",CALC_EPM!K233)</f>
      </c>
      <c r="L244">
        <f>IF(CALC_EPM!$B233="","",CALC_EPM!L233)</f>
      </c>
      <c r="M244">
        <f>IF(CALC_EPM!$B233="","",CALC_EPM!M233)</f>
      </c>
      <c r="N244">
        <f>IF(CALC_EPM!$B233="","",CALC_EPM!N233)</f>
      </c>
      <c r="O244">
        <f>IF(CALC_EPM!$B233="","",CALC_EPM!O233)</f>
      </c>
      <c r="P244">
        <f>IF(CALC_EPM!$B233="","",CALC_EPM!P233)</f>
      </c>
      <c r="Q244">
        <f>IF(CALC_EPM!$B233="","",CALC_EPM!Q233)</f>
      </c>
      <c r="R244">
        <f>IF(CALC_EPM!$B233="","",CALC_EPM!R233)</f>
      </c>
      <c r="S244">
        <f>IF(CALC_EPM!$B233="","",CALC_EPM!S233)</f>
      </c>
      <c r="T244">
        <f>IF(CALC_EPM!$B233="","",CALC_EPM!T233)</f>
      </c>
      <c r="U244">
        <f>IF(CALC_EPM!$B233="","",CALC_EPM!U233)</f>
      </c>
    </row>
    <row r="245">
      <c r="A245" t="str">
        <f>IF(CALC_EPM!$B234="","",IF(CALC_EPM!A234="GLOBAL",IF(CALC_EPM!C234="Total","GLOBAL",IF(CALC_EPM!C234="TotalEsp","GLOBAL_ESP",IF(CALC_EPM!C234="TotalNoEsp","GLOBAL_NOESP","GLOBAL_ASIG"))),IF(CALC_EPM!C234="Total","CURSO_TOTAL",IF(CALC_EPM!C234="TotalEsp","CURSO_ESP",IF(CALC_EPM!C234="TotalNoEsp","CURSO_NOESP","CURSO_ASIG")))))</f>
      </c>
      <c r="B245" t="str">
        <f>IF(CALC_EPM!$B234="","",CALC_EPM!A234)</f>
      </c>
      <c r="C245" t="str">
        <f>IF(CALC_EPM!$B234="","",CALC_EPM!B234)</f>
      </c>
      <c r="D245">
        <f>IF(CALC_EPM!$B234="","",CALC_EPM!D234)</f>
      </c>
      <c r="E245" s="10" t="str">
        <f>IF(CALC_EPM!$B234="","",CALC_EPM!E234)</f>
      </c>
      <c r="F245" s="10" t="str">
        <f>IF(CALC_EPM!$B234="","",CALC_EPM!F234)</f>
      </c>
      <c r="G245" t="str">
        <f>IF(CALC_EPM!$B234="","",CALC_EPM!G234)</f>
      </c>
      <c r="H245" s="11" t="str">
        <f>IF(CALC_EPM!$B234="","",CALC_EPM!H234)</f>
      </c>
      <c r="I245" s="11" t="str">
        <f>IF(CALC_EPM!$B234="","",CALC_EPM!I234)</f>
      </c>
      <c r="J245" t="str">
        <f>IF(CALC_EPM!$B234="","",CALC_EPM!J234)</f>
      </c>
      <c r="K245" t="str">
        <f>IF(CALC_EPM!$B234="","",CALC_EPM!K234)</f>
      </c>
      <c r="L245">
        <f>IF(CALC_EPM!$B234="","",CALC_EPM!L234)</f>
      </c>
      <c r="M245">
        <f>IF(CALC_EPM!$B234="","",CALC_EPM!M234)</f>
      </c>
      <c r="N245">
        <f>IF(CALC_EPM!$B234="","",CALC_EPM!N234)</f>
      </c>
      <c r="O245">
        <f>IF(CALC_EPM!$B234="","",CALC_EPM!O234)</f>
      </c>
      <c r="P245">
        <f>IF(CALC_EPM!$B234="","",CALC_EPM!P234)</f>
      </c>
      <c r="Q245">
        <f>IF(CALC_EPM!$B234="","",CALC_EPM!Q234)</f>
      </c>
      <c r="R245">
        <f>IF(CALC_EPM!$B234="","",CALC_EPM!R234)</f>
      </c>
      <c r="S245">
        <f>IF(CALC_EPM!$B234="","",CALC_EPM!S234)</f>
      </c>
      <c r="T245">
        <f>IF(CALC_EPM!$B234="","",CALC_EPM!T234)</f>
      </c>
      <c r="U245">
        <f>IF(CALC_EPM!$B234="","",CALC_EPM!U234)</f>
      </c>
    </row>
    <row r="246">
      <c r="A246" t="str">
        <f>IF(CALC_EPM!$B235="","",IF(CALC_EPM!A235="GLOBAL",IF(CALC_EPM!C235="Total","GLOBAL",IF(CALC_EPM!C235="TotalEsp","GLOBAL_ESP",IF(CALC_EPM!C235="TotalNoEsp","GLOBAL_NOESP","GLOBAL_ASIG"))),IF(CALC_EPM!C235="Total","CURSO_TOTAL",IF(CALC_EPM!C235="TotalEsp","CURSO_ESP",IF(CALC_EPM!C235="TotalNoEsp","CURSO_NOESP","CURSO_ASIG")))))</f>
      </c>
      <c r="B246" t="str">
        <f>IF(CALC_EPM!$B235="","",CALC_EPM!A235)</f>
      </c>
      <c r="C246" t="str">
        <f>IF(CALC_EPM!$B235="","",CALC_EPM!B235)</f>
      </c>
      <c r="D246">
        <f>IF(CALC_EPM!$B235="","",CALC_EPM!D235)</f>
      </c>
      <c r="E246" s="10" t="str">
        <f>IF(CALC_EPM!$B235="","",CALC_EPM!E235)</f>
      </c>
      <c r="F246" s="10" t="str">
        <f>IF(CALC_EPM!$B235="","",CALC_EPM!F235)</f>
      </c>
      <c r="G246" t="str">
        <f>IF(CALC_EPM!$B235="","",CALC_EPM!G235)</f>
      </c>
      <c r="H246" s="11" t="str">
        <f>IF(CALC_EPM!$B235="","",CALC_EPM!H235)</f>
      </c>
      <c r="I246" s="11" t="str">
        <f>IF(CALC_EPM!$B235="","",CALC_EPM!I235)</f>
      </c>
      <c r="J246" t="str">
        <f>IF(CALC_EPM!$B235="","",CALC_EPM!J235)</f>
      </c>
      <c r="K246" t="str">
        <f>IF(CALC_EPM!$B235="","",CALC_EPM!K235)</f>
      </c>
      <c r="L246">
        <f>IF(CALC_EPM!$B235="","",CALC_EPM!L235)</f>
      </c>
      <c r="M246">
        <f>IF(CALC_EPM!$B235="","",CALC_EPM!M235)</f>
      </c>
      <c r="N246">
        <f>IF(CALC_EPM!$B235="","",CALC_EPM!N235)</f>
      </c>
      <c r="O246">
        <f>IF(CALC_EPM!$B235="","",CALC_EPM!O235)</f>
      </c>
      <c r="P246">
        <f>IF(CALC_EPM!$B235="","",CALC_EPM!P235)</f>
      </c>
      <c r="Q246">
        <f>IF(CALC_EPM!$B235="","",CALC_EPM!Q235)</f>
      </c>
      <c r="R246">
        <f>IF(CALC_EPM!$B235="","",CALC_EPM!R235)</f>
      </c>
      <c r="S246">
        <f>IF(CALC_EPM!$B235="","",CALC_EPM!S235)</f>
      </c>
      <c r="T246">
        <f>IF(CALC_EPM!$B235="","",CALC_EPM!T235)</f>
      </c>
      <c r="U246">
        <f>IF(CALC_EPM!$B235="","",CALC_EPM!U235)</f>
      </c>
    </row>
    <row r="247">
      <c r="A247" t="str">
        <f>IF(CALC_EPM!$B236="","",IF(CALC_EPM!A236="GLOBAL",IF(CALC_EPM!C236="Total","GLOBAL",IF(CALC_EPM!C236="TotalEsp","GLOBAL_ESP",IF(CALC_EPM!C236="TotalNoEsp","GLOBAL_NOESP","GLOBAL_ASIG"))),IF(CALC_EPM!C236="Total","CURSO_TOTAL",IF(CALC_EPM!C236="TotalEsp","CURSO_ESP",IF(CALC_EPM!C236="TotalNoEsp","CURSO_NOESP","CURSO_ASIG")))))</f>
      </c>
      <c r="B247" t="str">
        <f>IF(CALC_EPM!$B236="","",CALC_EPM!A236)</f>
      </c>
      <c r="C247" t="str">
        <f>IF(CALC_EPM!$B236="","",CALC_EPM!B236)</f>
      </c>
      <c r="D247">
        <f>IF(CALC_EPM!$B236="","",CALC_EPM!D236)</f>
      </c>
      <c r="E247" s="10" t="str">
        <f>IF(CALC_EPM!$B236="","",CALC_EPM!E236)</f>
      </c>
      <c r="F247" s="10" t="str">
        <f>IF(CALC_EPM!$B236="","",CALC_EPM!F236)</f>
      </c>
      <c r="G247" t="str">
        <f>IF(CALC_EPM!$B236="","",CALC_EPM!G236)</f>
      </c>
      <c r="H247" s="11" t="str">
        <f>IF(CALC_EPM!$B236="","",CALC_EPM!H236)</f>
      </c>
      <c r="I247" s="11" t="str">
        <f>IF(CALC_EPM!$B236="","",CALC_EPM!I236)</f>
      </c>
      <c r="J247" t="str">
        <f>IF(CALC_EPM!$B236="","",CALC_EPM!J236)</f>
      </c>
      <c r="K247" t="str">
        <f>IF(CALC_EPM!$B236="","",CALC_EPM!K236)</f>
      </c>
      <c r="L247">
        <f>IF(CALC_EPM!$B236="","",CALC_EPM!L236)</f>
      </c>
      <c r="M247">
        <f>IF(CALC_EPM!$B236="","",CALC_EPM!M236)</f>
      </c>
      <c r="N247">
        <f>IF(CALC_EPM!$B236="","",CALC_EPM!N236)</f>
      </c>
      <c r="O247">
        <f>IF(CALC_EPM!$B236="","",CALC_EPM!O236)</f>
      </c>
      <c r="P247">
        <f>IF(CALC_EPM!$B236="","",CALC_EPM!P236)</f>
      </c>
      <c r="Q247">
        <f>IF(CALC_EPM!$B236="","",CALC_EPM!Q236)</f>
      </c>
      <c r="R247">
        <f>IF(CALC_EPM!$B236="","",CALC_EPM!R236)</f>
      </c>
      <c r="S247">
        <f>IF(CALC_EPM!$B236="","",CALC_EPM!S236)</f>
      </c>
      <c r="T247">
        <f>IF(CALC_EPM!$B236="","",CALC_EPM!T236)</f>
      </c>
      <c r="U247">
        <f>IF(CALC_EPM!$B236="","",CALC_EPM!U236)</f>
      </c>
    </row>
    <row r="248">
      <c r="A248" t="str">
        <f>IF(CALC_EPM!$B237="","",IF(CALC_EPM!A237="GLOBAL",IF(CALC_EPM!C237="Total","GLOBAL",IF(CALC_EPM!C237="TotalEsp","GLOBAL_ESP",IF(CALC_EPM!C237="TotalNoEsp","GLOBAL_NOESP","GLOBAL_ASIG"))),IF(CALC_EPM!C237="Total","CURSO_TOTAL",IF(CALC_EPM!C237="TotalEsp","CURSO_ESP",IF(CALC_EPM!C237="TotalNoEsp","CURSO_NOESP","CURSO_ASIG")))))</f>
      </c>
      <c r="B248" t="str">
        <f>IF(CALC_EPM!$B237="","",CALC_EPM!A237)</f>
      </c>
      <c r="C248" t="str">
        <f>IF(CALC_EPM!$B237="","",CALC_EPM!B237)</f>
      </c>
      <c r="D248">
        <f>IF(CALC_EPM!$B237="","",CALC_EPM!D237)</f>
      </c>
      <c r="E248" s="10" t="str">
        <f>IF(CALC_EPM!$B237="","",CALC_EPM!E237)</f>
      </c>
      <c r="F248" s="10" t="str">
        <f>IF(CALC_EPM!$B237="","",CALC_EPM!F237)</f>
      </c>
      <c r="G248" t="str">
        <f>IF(CALC_EPM!$B237="","",CALC_EPM!G237)</f>
      </c>
      <c r="H248" s="11" t="str">
        <f>IF(CALC_EPM!$B237="","",CALC_EPM!H237)</f>
      </c>
      <c r="I248" s="11" t="str">
        <f>IF(CALC_EPM!$B237="","",CALC_EPM!I237)</f>
      </c>
      <c r="J248" t="str">
        <f>IF(CALC_EPM!$B237="","",CALC_EPM!J237)</f>
      </c>
      <c r="K248" t="str">
        <f>IF(CALC_EPM!$B237="","",CALC_EPM!K237)</f>
      </c>
      <c r="L248">
        <f>IF(CALC_EPM!$B237="","",CALC_EPM!L237)</f>
      </c>
      <c r="M248">
        <f>IF(CALC_EPM!$B237="","",CALC_EPM!M237)</f>
      </c>
      <c r="N248">
        <f>IF(CALC_EPM!$B237="","",CALC_EPM!N237)</f>
      </c>
      <c r="O248">
        <f>IF(CALC_EPM!$B237="","",CALC_EPM!O237)</f>
      </c>
      <c r="P248">
        <f>IF(CALC_EPM!$B237="","",CALC_EPM!P237)</f>
      </c>
      <c r="Q248">
        <f>IF(CALC_EPM!$B237="","",CALC_EPM!Q237)</f>
      </c>
      <c r="R248">
        <f>IF(CALC_EPM!$B237="","",CALC_EPM!R237)</f>
      </c>
      <c r="S248">
        <f>IF(CALC_EPM!$B237="","",CALC_EPM!S237)</f>
      </c>
      <c r="T248">
        <f>IF(CALC_EPM!$B237="","",CALC_EPM!T237)</f>
      </c>
      <c r="U248">
        <f>IF(CALC_EPM!$B237="","",CALC_EPM!U237)</f>
      </c>
    </row>
    <row r="249">
      <c r="A249" t="str">
        <f>IF(CALC_EPM!$B238="","",IF(CALC_EPM!A238="GLOBAL",IF(CALC_EPM!C238="Total","GLOBAL",IF(CALC_EPM!C238="TotalEsp","GLOBAL_ESP",IF(CALC_EPM!C238="TotalNoEsp","GLOBAL_NOESP","GLOBAL_ASIG"))),IF(CALC_EPM!C238="Total","CURSO_TOTAL",IF(CALC_EPM!C238="TotalEsp","CURSO_ESP",IF(CALC_EPM!C238="TotalNoEsp","CURSO_NOESP","CURSO_ASIG")))))</f>
      </c>
      <c r="B249" t="str">
        <f>IF(CALC_EPM!$B238="","",CALC_EPM!A238)</f>
      </c>
      <c r="C249" t="str">
        <f>IF(CALC_EPM!$B238="","",CALC_EPM!B238)</f>
      </c>
      <c r="D249">
        <f>IF(CALC_EPM!$B238="","",CALC_EPM!D238)</f>
      </c>
      <c r="E249" s="10" t="str">
        <f>IF(CALC_EPM!$B238="","",CALC_EPM!E238)</f>
      </c>
      <c r="F249" s="10" t="str">
        <f>IF(CALC_EPM!$B238="","",CALC_EPM!F238)</f>
      </c>
      <c r="G249" t="str">
        <f>IF(CALC_EPM!$B238="","",CALC_EPM!G238)</f>
      </c>
      <c r="H249" s="11" t="str">
        <f>IF(CALC_EPM!$B238="","",CALC_EPM!H238)</f>
      </c>
      <c r="I249" s="11" t="str">
        <f>IF(CALC_EPM!$B238="","",CALC_EPM!I238)</f>
      </c>
      <c r="J249" t="str">
        <f>IF(CALC_EPM!$B238="","",CALC_EPM!J238)</f>
      </c>
      <c r="K249" t="str">
        <f>IF(CALC_EPM!$B238="","",CALC_EPM!K238)</f>
      </c>
      <c r="L249">
        <f>IF(CALC_EPM!$B238="","",CALC_EPM!L238)</f>
      </c>
      <c r="M249">
        <f>IF(CALC_EPM!$B238="","",CALC_EPM!M238)</f>
      </c>
      <c r="N249">
        <f>IF(CALC_EPM!$B238="","",CALC_EPM!N238)</f>
      </c>
      <c r="O249">
        <f>IF(CALC_EPM!$B238="","",CALC_EPM!O238)</f>
      </c>
      <c r="P249">
        <f>IF(CALC_EPM!$B238="","",CALC_EPM!P238)</f>
      </c>
      <c r="Q249">
        <f>IF(CALC_EPM!$B238="","",CALC_EPM!Q238)</f>
      </c>
      <c r="R249">
        <f>IF(CALC_EPM!$B238="","",CALC_EPM!R238)</f>
      </c>
      <c r="S249">
        <f>IF(CALC_EPM!$B238="","",CALC_EPM!S238)</f>
      </c>
      <c r="T249">
        <f>IF(CALC_EPM!$B238="","",CALC_EPM!T238)</f>
      </c>
      <c r="U249">
        <f>IF(CALC_EPM!$B238="","",CALC_EPM!U238)</f>
      </c>
    </row>
    <row r="250">
      <c r="A250" t="str">
        <f>IF(CALC_EPM!$B239="","",IF(CALC_EPM!A239="GLOBAL",IF(CALC_EPM!C239="Total","GLOBAL",IF(CALC_EPM!C239="TotalEsp","GLOBAL_ESP",IF(CALC_EPM!C239="TotalNoEsp","GLOBAL_NOESP","GLOBAL_ASIG"))),IF(CALC_EPM!C239="Total","CURSO_TOTAL",IF(CALC_EPM!C239="TotalEsp","CURSO_ESP",IF(CALC_EPM!C239="TotalNoEsp","CURSO_NOESP","CURSO_ASIG")))))</f>
      </c>
      <c r="B250" t="str">
        <f>IF(CALC_EPM!$B239="","",CALC_EPM!A239)</f>
      </c>
      <c r="C250" t="str">
        <f>IF(CALC_EPM!$B239="","",CALC_EPM!B239)</f>
      </c>
      <c r="D250">
        <f>IF(CALC_EPM!$B239="","",CALC_EPM!D239)</f>
      </c>
      <c r="E250" s="10" t="str">
        <f>IF(CALC_EPM!$B239="","",CALC_EPM!E239)</f>
      </c>
      <c r="F250" s="10" t="str">
        <f>IF(CALC_EPM!$B239="","",CALC_EPM!F239)</f>
      </c>
      <c r="G250" t="str">
        <f>IF(CALC_EPM!$B239="","",CALC_EPM!G239)</f>
      </c>
      <c r="H250" s="11" t="str">
        <f>IF(CALC_EPM!$B239="","",CALC_EPM!H239)</f>
      </c>
      <c r="I250" s="11" t="str">
        <f>IF(CALC_EPM!$B239="","",CALC_EPM!I239)</f>
      </c>
      <c r="J250" t="str">
        <f>IF(CALC_EPM!$B239="","",CALC_EPM!J239)</f>
      </c>
      <c r="K250" t="str">
        <f>IF(CALC_EPM!$B239="","",CALC_EPM!K239)</f>
      </c>
      <c r="L250">
        <f>IF(CALC_EPM!$B239="","",CALC_EPM!L239)</f>
      </c>
      <c r="M250">
        <f>IF(CALC_EPM!$B239="","",CALC_EPM!M239)</f>
      </c>
      <c r="N250">
        <f>IF(CALC_EPM!$B239="","",CALC_EPM!N239)</f>
      </c>
      <c r="O250">
        <f>IF(CALC_EPM!$B239="","",CALC_EPM!O239)</f>
      </c>
      <c r="P250">
        <f>IF(CALC_EPM!$B239="","",CALC_EPM!P239)</f>
      </c>
      <c r="Q250">
        <f>IF(CALC_EPM!$B239="","",CALC_EPM!Q239)</f>
      </c>
      <c r="R250">
        <f>IF(CALC_EPM!$B239="","",CALC_EPM!R239)</f>
      </c>
      <c r="S250">
        <f>IF(CALC_EPM!$B239="","",CALC_EPM!S239)</f>
      </c>
      <c r="T250">
        <f>IF(CALC_EPM!$B239="","",CALC_EPM!T239)</f>
      </c>
      <c r="U250">
        <f>IF(CALC_EPM!$B239="","",CALC_EPM!U239)</f>
      </c>
    </row>
    <row r="251">
      <c r="A251" t="str">
        <f>IF(CALC_EPM!$B240="","",IF(CALC_EPM!A240="GLOBAL",IF(CALC_EPM!C240="Total","GLOBAL",IF(CALC_EPM!C240="TotalEsp","GLOBAL_ESP",IF(CALC_EPM!C240="TotalNoEsp","GLOBAL_NOESP","GLOBAL_ASIG"))),IF(CALC_EPM!C240="Total","CURSO_TOTAL",IF(CALC_EPM!C240="TotalEsp","CURSO_ESP",IF(CALC_EPM!C240="TotalNoEsp","CURSO_NOESP","CURSO_ASIG")))))</f>
      </c>
      <c r="B251" t="str">
        <f>IF(CALC_EPM!$B240="","",CALC_EPM!A240)</f>
      </c>
      <c r="C251" t="str">
        <f>IF(CALC_EPM!$B240="","",CALC_EPM!B240)</f>
      </c>
      <c r="D251">
        <f>IF(CALC_EPM!$B240="","",CALC_EPM!D240)</f>
      </c>
      <c r="E251" s="10" t="str">
        <f>IF(CALC_EPM!$B240="","",CALC_EPM!E240)</f>
      </c>
      <c r="F251" s="10" t="str">
        <f>IF(CALC_EPM!$B240="","",CALC_EPM!F240)</f>
      </c>
      <c r="G251" t="str">
        <f>IF(CALC_EPM!$B240="","",CALC_EPM!G240)</f>
      </c>
      <c r="H251" s="11" t="str">
        <f>IF(CALC_EPM!$B240="","",CALC_EPM!H240)</f>
      </c>
      <c r="I251" s="11" t="str">
        <f>IF(CALC_EPM!$B240="","",CALC_EPM!I240)</f>
      </c>
      <c r="J251" t="str">
        <f>IF(CALC_EPM!$B240="","",CALC_EPM!J240)</f>
      </c>
      <c r="K251" t="str">
        <f>IF(CALC_EPM!$B240="","",CALC_EPM!K240)</f>
      </c>
      <c r="L251">
        <f>IF(CALC_EPM!$B240="","",CALC_EPM!L240)</f>
      </c>
      <c r="M251">
        <f>IF(CALC_EPM!$B240="","",CALC_EPM!M240)</f>
      </c>
      <c r="N251">
        <f>IF(CALC_EPM!$B240="","",CALC_EPM!N240)</f>
      </c>
      <c r="O251">
        <f>IF(CALC_EPM!$B240="","",CALC_EPM!O240)</f>
      </c>
      <c r="P251">
        <f>IF(CALC_EPM!$B240="","",CALC_EPM!P240)</f>
      </c>
      <c r="Q251">
        <f>IF(CALC_EPM!$B240="","",CALC_EPM!Q240)</f>
      </c>
      <c r="R251">
        <f>IF(CALC_EPM!$B240="","",CALC_EPM!R240)</f>
      </c>
      <c r="S251">
        <f>IF(CALC_EPM!$B240="","",CALC_EPM!S240)</f>
      </c>
      <c r="T251">
        <f>IF(CALC_EPM!$B240="","",CALC_EPM!T240)</f>
      </c>
      <c r="U251">
        <f>IF(CALC_EPM!$B240="","",CALC_EPM!U240)</f>
      </c>
    </row>
    <row r="252">
      <c r="A252" t="str">
        <f>IF(CALC_EPM!$B241="","",IF(CALC_EPM!A241="GLOBAL",IF(CALC_EPM!C241="Total","GLOBAL",IF(CALC_EPM!C241="TotalEsp","GLOBAL_ESP",IF(CALC_EPM!C241="TotalNoEsp","GLOBAL_NOESP","GLOBAL_ASIG"))),IF(CALC_EPM!C241="Total","CURSO_TOTAL",IF(CALC_EPM!C241="TotalEsp","CURSO_ESP",IF(CALC_EPM!C241="TotalNoEsp","CURSO_NOESP","CURSO_ASIG")))))</f>
      </c>
      <c r="B252" t="str">
        <f>IF(CALC_EPM!$B241="","",CALC_EPM!A241)</f>
      </c>
      <c r="C252" t="str">
        <f>IF(CALC_EPM!$B241="","",CALC_EPM!B241)</f>
      </c>
      <c r="D252">
        <f>IF(CALC_EPM!$B241="","",CALC_EPM!D241)</f>
      </c>
      <c r="E252" s="10" t="str">
        <f>IF(CALC_EPM!$B241="","",CALC_EPM!E241)</f>
      </c>
      <c r="F252" s="10" t="str">
        <f>IF(CALC_EPM!$B241="","",CALC_EPM!F241)</f>
      </c>
      <c r="G252" t="str">
        <f>IF(CALC_EPM!$B241="","",CALC_EPM!G241)</f>
      </c>
      <c r="H252" s="11" t="str">
        <f>IF(CALC_EPM!$B241="","",CALC_EPM!H241)</f>
      </c>
      <c r="I252" s="11" t="str">
        <f>IF(CALC_EPM!$B241="","",CALC_EPM!I241)</f>
      </c>
      <c r="J252" t="str">
        <f>IF(CALC_EPM!$B241="","",CALC_EPM!J241)</f>
      </c>
      <c r="K252" t="str">
        <f>IF(CALC_EPM!$B241="","",CALC_EPM!K241)</f>
      </c>
      <c r="L252">
        <f>IF(CALC_EPM!$B241="","",CALC_EPM!L241)</f>
      </c>
      <c r="M252">
        <f>IF(CALC_EPM!$B241="","",CALC_EPM!M241)</f>
      </c>
      <c r="N252">
        <f>IF(CALC_EPM!$B241="","",CALC_EPM!N241)</f>
      </c>
      <c r="O252">
        <f>IF(CALC_EPM!$B241="","",CALC_EPM!O241)</f>
      </c>
      <c r="P252">
        <f>IF(CALC_EPM!$B241="","",CALC_EPM!P241)</f>
      </c>
      <c r="Q252">
        <f>IF(CALC_EPM!$B241="","",CALC_EPM!Q241)</f>
      </c>
      <c r="R252">
        <f>IF(CALC_EPM!$B241="","",CALC_EPM!R241)</f>
      </c>
      <c r="S252">
        <f>IF(CALC_EPM!$B241="","",CALC_EPM!S241)</f>
      </c>
      <c r="T252">
        <f>IF(CALC_EPM!$B241="","",CALC_EPM!T241)</f>
      </c>
      <c r="U252">
        <f>IF(CALC_EPM!$B241="","",CALC_EPM!U241)</f>
      </c>
    </row>
    <row r="253">
      <c r="A253" t="str">
        <f>IF(CALC_EPM!$B242="","",IF(CALC_EPM!A242="GLOBAL",IF(CALC_EPM!C242="Total","GLOBAL",IF(CALC_EPM!C242="TotalEsp","GLOBAL_ESP",IF(CALC_EPM!C242="TotalNoEsp","GLOBAL_NOESP","GLOBAL_ASIG"))),IF(CALC_EPM!C242="Total","CURSO_TOTAL",IF(CALC_EPM!C242="TotalEsp","CURSO_ESP",IF(CALC_EPM!C242="TotalNoEsp","CURSO_NOESP","CURSO_ASIG")))))</f>
      </c>
      <c r="B253" t="str">
        <f>IF(CALC_EPM!$B242="","",CALC_EPM!A242)</f>
      </c>
      <c r="C253" t="str">
        <f>IF(CALC_EPM!$B242="","",CALC_EPM!B242)</f>
      </c>
      <c r="D253">
        <f>IF(CALC_EPM!$B242="","",CALC_EPM!D242)</f>
      </c>
      <c r="E253" s="10" t="str">
        <f>IF(CALC_EPM!$B242="","",CALC_EPM!E242)</f>
      </c>
      <c r="F253" s="10" t="str">
        <f>IF(CALC_EPM!$B242="","",CALC_EPM!F242)</f>
      </c>
      <c r="G253" t="str">
        <f>IF(CALC_EPM!$B242="","",CALC_EPM!G242)</f>
      </c>
      <c r="H253" s="11" t="str">
        <f>IF(CALC_EPM!$B242="","",CALC_EPM!H242)</f>
      </c>
      <c r="I253" s="11" t="str">
        <f>IF(CALC_EPM!$B242="","",CALC_EPM!I242)</f>
      </c>
      <c r="J253" t="str">
        <f>IF(CALC_EPM!$B242="","",CALC_EPM!J242)</f>
      </c>
      <c r="K253" t="str">
        <f>IF(CALC_EPM!$B242="","",CALC_EPM!K242)</f>
      </c>
      <c r="L253">
        <f>IF(CALC_EPM!$B242="","",CALC_EPM!L242)</f>
      </c>
      <c r="M253">
        <f>IF(CALC_EPM!$B242="","",CALC_EPM!M242)</f>
      </c>
      <c r="N253">
        <f>IF(CALC_EPM!$B242="","",CALC_EPM!N242)</f>
      </c>
      <c r="O253">
        <f>IF(CALC_EPM!$B242="","",CALC_EPM!O242)</f>
      </c>
      <c r="P253">
        <f>IF(CALC_EPM!$B242="","",CALC_EPM!P242)</f>
      </c>
      <c r="Q253">
        <f>IF(CALC_EPM!$B242="","",CALC_EPM!Q242)</f>
      </c>
      <c r="R253">
        <f>IF(CALC_EPM!$B242="","",CALC_EPM!R242)</f>
      </c>
      <c r="S253">
        <f>IF(CALC_EPM!$B242="","",CALC_EPM!S242)</f>
      </c>
      <c r="T253">
        <f>IF(CALC_EPM!$B242="","",CALC_EPM!T242)</f>
      </c>
      <c r="U253">
        <f>IF(CALC_EPM!$B242="","",CALC_EPM!U242)</f>
      </c>
    </row>
    <row r="254">
      <c r="A254" t="str">
        <f>IF(CALC_EPM!$B243="","",IF(CALC_EPM!A243="GLOBAL",IF(CALC_EPM!C243="Total","GLOBAL",IF(CALC_EPM!C243="TotalEsp","GLOBAL_ESP",IF(CALC_EPM!C243="TotalNoEsp","GLOBAL_NOESP","GLOBAL_ASIG"))),IF(CALC_EPM!C243="Total","CURSO_TOTAL",IF(CALC_EPM!C243="TotalEsp","CURSO_ESP",IF(CALC_EPM!C243="TotalNoEsp","CURSO_NOESP","CURSO_ASIG")))))</f>
      </c>
      <c r="B254" t="str">
        <f>IF(CALC_EPM!$B243="","",CALC_EPM!A243)</f>
      </c>
      <c r="C254" t="str">
        <f>IF(CALC_EPM!$B243="","",CALC_EPM!B243)</f>
      </c>
      <c r="D254">
        <f>IF(CALC_EPM!$B243="","",CALC_EPM!D243)</f>
      </c>
      <c r="E254" s="10" t="str">
        <f>IF(CALC_EPM!$B243="","",CALC_EPM!E243)</f>
      </c>
      <c r="F254" s="10" t="str">
        <f>IF(CALC_EPM!$B243="","",CALC_EPM!F243)</f>
      </c>
      <c r="G254" t="str">
        <f>IF(CALC_EPM!$B243="","",CALC_EPM!G243)</f>
      </c>
      <c r="H254" s="11" t="str">
        <f>IF(CALC_EPM!$B243="","",CALC_EPM!H243)</f>
      </c>
      <c r="I254" s="11" t="str">
        <f>IF(CALC_EPM!$B243="","",CALC_EPM!I243)</f>
      </c>
      <c r="J254" t="str">
        <f>IF(CALC_EPM!$B243="","",CALC_EPM!J243)</f>
      </c>
      <c r="K254" t="str">
        <f>IF(CALC_EPM!$B243="","",CALC_EPM!K243)</f>
      </c>
      <c r="L254">
        <f>IF(CALC_EPM!$B243="","",CALC_EPM!L243)</f>
      </c>
      <c r="M254">
        <f>IF(CALC_EPM!$B243="","",CALC_EPM!M243)</f>
      </c>
      <c r="N254">
        <f>IF(CALC_EPM!$B243="","",CALC_EPM!N243)</f>
      </c>
      <c r="O254">
        <f>IF(CALC_EPM!$B243="","",CALC_EPM!O243)</f>
      </c>
      <c r="P254">
        <f>IF(CALC_EPM!$B243="","",CALC_EPM!P243)</f>
      </c>
      <c r="Q254">
        <f>IF(CALC_EPM!$B243="","",CALC_EPM!Q243)</f>
      </c>
      <c r="R254">
        <f>IF(CALC_EPM!$B243="","",CALC_EPM!R243)</f>
      </c>
      <c r="S254">
        <f>IF(CALC_EPM!$B243="","",CALC_EPM!S243)</f>
      </c>
      <c r="T254">
        <f>IF(CALC_EPM!$B243="","",CALC_EPM!T243)</f>
      </c>
      <c r="U254">
        <f>IF(CALC_EPM!$B243="","",CALC_EPM!U243)</f>
      </c>
    </row>
    <row r="255">
      <c r="A255" t="str">
        <f>IF(CALC_EPM!$B244="","",IF(CALC_EPM!A244="GLOBAL",IF(CALC_EPM!C244="Total","GLOBAL",IF(CALC_EPM!C244="TotalEsp","GLOBAL_ESP",IF(CALC_EPM!C244="TotalNoEsp","GLOBAL_NOESP","GLOBAL_ASIG"))),IF(CALC_EPM!C244="Total","CURSO_TOTAL",IF(CALC_EPM!C244="TotalEsp","CURSO_ESP",IF(CALC_EPM!C244="TotalNoEsp","CURSO_NOESP","CURSO_ASIG")))))</f>
      </c>
      <c r="B255" t="str">
        <f>IF(CALC_EPM!$B244="","",CALC_EPM!A244)</f>
      </c>
      <c r="C255" t="str">
        <f>IF(CALC_EPM!$B244="","",CALC_EPM!B244)</f>
      </c>
      <c r="D255">
        <f>IF(CALC_EPM!$B244="","",CALC_EPM!D244)</f>
      </c>
      <c r="E255" s="10" t="str">
        <f>IF(CALC_EPM!$B244="","",CALC_EPM!E244)</f>
      </c>
      <c r="F255" s="10" t="str">
        <f>IF(CALC_EPM!$B244="","",CALC_EPM!F244)</f>
      </c>
      <c r="G255" t="str">
        <f>IF(CALC_EPM!$B244="","",CALC_EPM!G244)</f>
      </c>
      <c r="H255" s="11" t="str">
        <f>IF(CALC_EPM!$B244="","",CALC_EPM!H244)</f>
      </c>
      <c r="I255" s="11" t="str">
        <f>IF(CALC_EPM!$B244="","",CALC_EPM!I244)</f>
      </c>
      <c r="J255" t="str">
        <f>IF(CALC_EPM!$B244="","",CALC_EPM!J244)</f>
      </c>
      <c r="K255" t="str">
        <f>IF(CALC_EPM!$B244="","",CALC_EPM!K244)</f>
      </c>
      <c r="L255">
        <f>IF(CALC_EPM!$B244="","",CALC_EPM!L244)</f>
      </c>
      <c r="M255">
        <f>IF(CALC_EPM!$B244="","",CALC_EPM!M244)</f>
      </c>
      <c r="N255">
        <f>IF(CALC_EPM!$B244="","",CALC_EPM!N244)</f>
      </c>
      <c r="O255">
        <f>IF(CALC_EPM!$B244="","",CALC_EPM!O244)</f>
      </c>
      <c r="P255">
        <f>IF(CALC_EPM!$B244="","",CALC_EPM!P244)</f>
      </c>
      <c r="Q255">
        <f>IF(CALC_EPM!$B244="","",CALC_EPM!Q244)</f>
      </c>
      <c r="R255">
        <f>IF(CALC_EPM!$B244="","",CALC_EPM!R244)</f>
      </c>
      <c r="S255">
        <f>IF(CALC_EPM!$B244="","",CALC_EPM!S244)</f>
      </c>
      <c r="T255">
        <f>IF(CALC_EPM!$B244="","",CALC_EPM!T244)</f>
      </c>
      <c r="U255">
        <f>IF(CALC_EPM!$B244="","",CALC_EPM!U244)</f>
      </c>
    </row>
    <row r="256">
      <c r="A256" t="str">
        <f>IF(CALC_EPM!$B245="","",IF(CALC_EPM!A245="GLOBAL",IF(CALC_EPM!C245="Total","GLOBAL",IF(CALC_EPM!C245="TotalEsp","GLOBAL_ESP",IF(CALC_EPM!C245="TotalNoEsp","GLOBAL_NOESP","GLOBAL_ASIG"))),IF(CALC_EPM!C245="Total","CURSO_TOTAL",IF(CALC_EPM!C245="TotalEsp","CURSO_ESP",IF(CALC_EPM!C245="TotalNoEsp","CURSO_NOESP","CURSO_ASIG")))))</f>
      </c>
      <c r="B256" t="str">
        <f>IF(CALC_EPM!$B245="","",CALC_EPM!A245)</f>
      </c>
      <c r="C256" t="str">
        <f>IF(CALC_EPM!$B245="","",CALC_EPM!B245)</f>
      </c>
      <c r="D256">
        <f>IF(CALC_EPM!$B245="","",CALC_EPM!D245)</f>
      </c>
      <c r="E256" s="10" t="str">
        <f>IF(CALC_EPM!$B245="","",CALC_EPM!E245)</f>
      </c>
      <c r="F256" s="10" t="str">
        <f>IF(CALC_EPM!$B245="","",CALC_EPM!F245)</f>
      </c>
      <c r="G256" t="str">
        <f>IF(CALC_EPM!$B245="","",CALC_EPM!G245)</f>
      </c>
      <c r="H256" s="11" t="str">
        <f>IF(CALC_EPM!$B245="","",CALC_EPM!H245)</f>
      </c>
      <c r="I256" s="11" t="str">
        <f>IF(CALC_EPM!$B245="","",CALC_EPM!I245)</f>
      </c>
      <c r="J256" t="str">
        <f>IF(CALC_EPM!$B245="","",CALC_EPM!J245)</f>
      </c>
      <c r="K256" t="str">
        <f>IF(CALC_EPM!$B245="","",CALC_EPM!K245)</f>
      </c>
      <c r="L256">
        <f>IF(CALC_EPM!$B245="","",CALC_EPM!L245)</f>
      </c>
      <c r="M256">
        <f>IF(CALC_EPM!$B245="","",CALC_EPM!M245)</f>
      </c>
      <c r="N256">
        <f>IF(CALC_EPM!$B245="","",CALC_EPM!N245)</f>
      </c>
      <c r="O256">
        <f>IF(CALC_EPM!$B245="","",CALC_EPM!O245)</f>
      </c>
      <c r="P256">
        <f>IF(CALC_EPM!$B245="","",CALC_EPM!P245)</f>
      </c>
      <c r="Q256">
        <f>IF(CALC_EPM!$B245="","",CALC_EPM!Q245)</f>
      </c>
      <c r="R256">
        <f>IF(CALC_EPM!$B245="","",CALC_EPM!R245)</f>
      </c>
      <c r="S256">
        <f>IF(CALC_EPM!$B245="","",CALC_EPM!S245)</f>
      </c>
      <c r="T256">
        <f>IF(CALC_EPM!$B245="","",CALC_EPM!T245)</f>
      </c>
      <c r="U256">
        <f>IF(CALC_EPM!$B245="","",CALC_EPM!U245)</f>
      </c>
    </row>
    <row r="257">
      <c r="A257" t="str">
        <f>IF(CALC_EPM!$B246="","",IF(CALC_EPM!A246="GLOBAL",IF(CALC_EPM!C246="Total","GLOBAL",IF(CALC_EPM!C246="TotalEsp","GLOBAL_ESP",IF(CALC_EPM!C246="TotalNoEsp","GLOBAL_NOESP","GLOBAL_ASIG"))),IF(CALC_EPM!C246="Total","CURSO_TOTAL",IF(CALC_EPM!C246="TotalEsp","CURSO_ESP",IF(CALC_EPM!C246="TotalNoEsp","CURSO_NOESP","CURSO_ASIG")))))</f>
      </c>
      <c r="B257" t="str">
        <f>IF(CALC_EPM!$B246="","",CALC_EPM!A246)</f>
      </c>
      <c r="C257" t="str">
        <f>IF(CALC_EPM!$B246="","",CALC_EPM!B246)</f>
      </c>
      <c r="D257">
        <f>IF(CALC_EPM!$B246="","",CALC_EPM!D246)</f>
      </c>
      <c r="E257" s="10" t="str">
        <f>IF(CALC_EPM!$B246="","",CALC_EPM!E246)</f>
      </c>
      <c r="F257" s="10" t="str">
        <f>IF(CALC_EPM!$B246="","",CALC_EPM!F246)</f>
      </c>
      <c r="G257" t="str">
        <f>IF(CALC_EPM!$B246="","",CALC_EPM!G246)</f>
      </c>
      <c r="H257" s="11" t="str">
        <f>IF(CALC_EPM!$B246="","",CALC_EPM!H246)</f>
      </c>
      <c r="I257" s="11" t="str">
        <f>IF(CALC_EPM!$B246="","",CALC_EPM!I246)</f>
      </c>
      <c r="J257" t="str">
        <f>IF(CALC_EPM!$B246="","",CALC_EPM!J246)</f>
      </c>
      <c r="K257" t="str">
        <f>IF(CALC_EPM!$B246="","",CALC_EPM!K246)</f>
      </c>
      <c r="L257">
        <f>IF(CALC_EPM!$B246="","",CALC_EPM!L246)</f>
      </c>
      <c r="M257">
        <f>IF(CALC_EPM!$B246="","",CALC_EPM!M246)</f>
      </c>
      <c r="N257">
        <f>IF(CALC_EPM!$B246="","",CALC_EPM!N246)</f>
      </c>
      <c r="O257">
        <f>IF(CALC_EPM!$B246="","",CALC_EPM!O246)</f>
      </c>
      <c r="P257">
        <f>IF(CALC_EPM!$B246="","",CALC_EPM!P246)</f>
      </c>
      <c r="Q257">
        <f>IF(CALC_EPM!$B246="","",CALC_EPM!Q246)</f>
      </c>
      <c r="R257">
        <f>IF(CALC_EPM!$B246="","",CALC_EPM!R246)</f>
      </c>
      <c r="S257">
        <f>IF(CALC_EPM!$B246="","",CALC_EPM!S246)</f>
      </c>
      <c r="T257">
        <f>IF(CALC_EPM!$B246="","",CALC_EPM!T246)</f>
      </c>
      <c r="U257">
        <f>IF(CALC_EPM!$B246="","",CALC_EPM!U246)</f>
      </c>
    </row>
    <row r="258">
      <c r="A258" t="str">
        <f>IF(CALC_EPM!$B247="","",IF(CALC_EPM!A247="GLOBAL",IF(CALC_EPM!C247="Total","GLOBAL",IF(CALC_EPM!C247="TotalEsp","GLOBAL_ESP",IF(CALC_EPM!C247="TotalNoEsp","GLOBAL_NOESP","GLOBAL_ASIG"))),IF(CALC_EPM!C247="Total","CURSO_TOTAL",IF(CALC_EPM!C247="TotalEsp","CURSO_ESP",IF(CALC_EPM!C247="TotalNoEsp","CURSO_NOESP","CURSO_ASIG")))))</f>
      </c>
      <c r="B258" t="str">
        <f>IF(CALC_EPM!$B247="","",CALC_EPM!A247)</f>
      </c>
      <c r="C258" t="str">
        <f>IF(CALC_EPM!$B247="","",CALC_EPM!B247)</f>
      </c>
      <c r="D258">
        <f>IF(CALC_EPM!$B247="","",CALC_EPM!D247)</f>
      </c>
      <c r="E258" s="10" t="str">
        <f>IF(CALC_EPM!$B247="","",CALC_EPM!E247)</f>
      </c>
      <c r="F258" s="10" t="str">
        <f>IF(CALC_EPM!$B247="","",CALC_EPM!F247)</f>
      </c>
      <c r="G258" t="str">
        <f>IF(CALC_EPM!$B247="","",CALC_EPM!G247)</f>
      </c>
      <c r="H258" s="11" t="str">
        <f>IF(CALC_EPM!$B247="","",CALC_EPM!H247)</f>
      </c>
      <c r="I258" s="11" t="str">
        <f>IF(CALC_EPM!$B247="","",CALC_EPM!I247)</f>
      </c>
      <c r="J258" t="str">
        <f>IF(CALC_EPM!$B247="","",CALC_EPM!J247)</f>
      </c>
      <c r="K258" t="str">
        <f>IF(CALC_EPM!$B247="","",CALC_EPM!K247)</f>
      </c>
      <c r="L258">
        <f>IF(CALC_EPM!$B247="","",CALC_EPM!L247)</f>
      </c>
      <c r="M258">
        <f>IF(CALC_EPM!$B247="","",CALC_EPM!M247)</f>
      </c>
      <c r="N258">
        <f>IF(CALC_EPM!$B247="","",CALC_EPM!N247)</f>
      </c>
      <c r="O258">
        <f>IF(CALC_EPM!$B247="","",CALC_EPM!O247)</f>
      </c>
      <c r="P258">
        <f>IF(CALC_EPM!$B247="","",CALC_EPM!P247)</f>
      </c>
      <c r="Q258">
        <f>IF(CALC_EPM!$B247="","",CALC_EPM!Q247)</f>
      </c>
      <c r="R258">
        <f>IF(CALC_EPM!$B247="","",CALC_EPM!R247)</f>
      </c>
      <c r="S258">
        <f>IF(CALC_EPM!$B247="","",CALC_EPM!S247)</f>
      </c>
      <c r="T258">
        <f>IF(CALC_EPM!$B247="","",CALC_EPM!T247)</f>
      </c>
      <c r="U258">
        <f>IF(CALC_EPM!$B247="","",CALC_EPM!U247)</f>
      </c>
    </row>
    <row r="259">
      <c r="A259" t="str">
        <f>IF(CALC_EPM!$B248="","",IF(CALC_EPM!A248="GLOBAL",IF(CALC_EPM!C248="Total","GLOBAL",IF(CALC_EPM!C248="TotalEsp","GLOBAL_ESP",IF(CALC_EPM!C248="TotalNoEsp","GLOBAL_NOESP","GLOBAL_ASIG"))),IF(CALC_EPM!C248="Total","CURSO_TOTAL",IF(CALC_EPM!C248="TotalEsp","CURSO_ESP",IF(CALC_EPM!C248="TotalNoEsp","CURSO_NOESP","CURSO_ASIG")))))</f>
      </c>
      <c r="B259" t="str">
        <f>IF(CALC_EPM!$B248="","",CALC_EPM!A248)</f>
      </c>
      <c r="C259" t="str">
        <f>IF(CALC_EPM!$B248="","",CALC_EPM!B248)</f>
      </c>
      <c r="D259">
        <f>IF(CALC_EPM!$B248="","",CALC_EPM!D248)</f>
      </c>
      <c r="E259" s="10" t="str">
        <f>IF(CALC_EPM!$B248="","",CALC_EPM!E248)</f>
      </c>
      <c r="F259" s="10" t="str">
        <f>IF(CALC_EPM!$B248="","",CALC_EPM!F248)</f>
      </c>
      <c r="G259" t="str">
        <f>IF(CALC_EPM!$B248="","",CALC_EPM!G248)</f>
      </c>
      <c r="H259" s="11" t="str">
        <f>IF(CALC_EPM!$B248="","",CALC_EPM!H248)</f>
      </c>
      <c r="I259" s="11" t="str">
        <f>IF(CALC_EPM!$B248="","",CALC_EPM!I248)</f>
      </c>
      <c r="J259" t="str">
        <f>IF(CALC_EPM!$B248="","",CALC_EPM!J248)</f>
      </c>
      <c r="K259" t="str">
        <f>IF(CALC_EPM!$B248="","",CALC_EPM!K248)</f>
      </c>
      <c r="L259">
        <f>IF(CALC_EPM!$B248="","",CALC_EPM!L248)</f>
      </c>
      <c r="M259">
        <f>IF(CALC_EPM!$B248="","",CALC_EPM!M248)</f>
      </c>
      <c r="N259">
        <f>IF(CALC_EPM!$B248="","",CALC_EPM!N248)</f>
      </c>
      <c r="O259">
        <f>IF(CALC_EPM!$B248="","",CALC_EPM!O248)</f>
      </c>
      <c r="P259">
        <f>IF(CALC_EPM!$B248="","",CALC_EPM!P248)</f>
      </c>
      <c r="Q259">
        <f>IF(CALC_EPM!$B248="","",CALC_EPM!Q248)</f>
      </c>
      <c r="R259">
        <f>IF(CALC_EPM!$B248="","",CALC_EPM!R248)</f>
      </c>
      <c r="S259">
        <f>IF(CALC_EPM!$B248="","",CALC_EPM!S248)</f>
      </c>
      <c r="T259">
        <f>IF(CALC_EPM!$B248="","",CALC_EPM!T248)</f>
      </c>
      <c r="U259">
        <f>IF(CALC_EPM!$B248="","",CALC_EPM!U248)</f>
      </c>
    </row>
    <row r="260">
      <c r="A260" t="str">
        <f>IF(CALC_EPM!$B249="","",IF(CALC_EPM!A249="GLOBAL",IF(CALC_EPM!C249="Total","GLOBAL",IF(CALC_EPM!C249="TotalEsp","GLOBAL_ESP",IF(CALC_EPM!C249="TotalNoEsp","GLOBAL_NOESP","GLOBAL_ASIG"))),IF(CALC_EPM!C249="Total","CURSO_TOTAL",IF(CALC_EPM!C249="TotalEsp","CURSO_ESP",IF(CALC_EPM!C249="TotalNoEsp","CURSO_NOESP","CURSO_ASIG")))))</f>
      </c>
      <c r="B260" t="str">
        <f>IF(CALC_EPM!$B249="","",CALC_EPM!A249)</f>
      </c>
      <c r="C260" t="str">
        <f>IF(CALC_EPM!$B249="","",CALC_EPM!B249)</f>
      </c>
      <c r="D260">
        <f>IF(CALC_EPM!$B249="","",CALC_EPM!D249)</f>
      </c>
      <c r="E260" s="10" t="str">
        <f>IF(CALC_EPM!$B249="","",CALC_EPM!E249)</f>
      </c>
      <c r="F260" s="10" t="str">
        <f>IF(CALC_EPM!$B249="","",CALC_EPM!F249)</f>
      </c>
      <c r="G260" t="str">
        <f>IF(CALC_EPM!$B249="","",CALC_EPM!G249)</f>
      </c>
      <c r="H260" s="11" t="str">
        <f>IF(CALC_EPM!$B249="","",CALC_EPM!H249)</f>
      </c>
      <c r="I260" s="11" t="str">
        <f>IF(CALC_EPM!$B249="","",CALC_EPM!I249)</f>
      </c>
      <c r="J260" t="str">
        <f>IF(CALC_EPM!$B249="","",CALC_EPM!J249)</f>
      </c>
      <c r="K260" t="str">
        <f>IF(CALC_EPM!$B249="","",CALC_EPM!K249)</f>
      </c>
      <c r="L260">
        <f>IF(CALC_EPM!$B249="","",CALC_EPM!L249)</f>
      </c>
      <c r="M260">
        <f>IF(CALC_EPM!$B249="","",CALC_EPM!M249)</f>
      </c>
      <c r="N260">
        <f>IF(CALC_EPM!$B249="","",CALC_EPM!N249)</f>
      </c>
      <c r="O260">
        <f>IF(CALC_EPM!$B249="","",CALC_EPM!O249)</f>
      </c>
      <c r="P260">
        <f>IF(CALC_EPM!$B249="","",CALC_EPM!P249)</f>
      </c>
      <c r="Q260">
        <f>IF(CALC_EPM!$B249="","",CALC_EPM!Q249)</f>
      </c>
      <c r="R260">
        <f>IF(CALC_EPM!$B249="","",CALC_EPM!R249)</f>
      </c>
      <c r="S260">
        <f>IF(CALC_EPM!$B249="","",CALC_EPM!S249)</f>
      </c>
      <c r="T260">
        <f>IF(CALC_EPM!$B249="","",CALC_EPM!T249)</f>
      </c>
      <c r="U260">
        <f>IF(CALC_EPM!$B249="","",CALC_EPM!U249)</f>
      </c>
    </row>
    <row r="261">
      <c r="A261" t="str">
        <f>IF(CALC_EPM!$B250="","",IF(CALC_EPM!A250="GLOBAL",IF(CALC_EPM!C250="Total","GLOBAL",IF(CALC_EPM!C250="TotalEsp","GLOBAL_ESP",IF(CALC_EPM!C250="TotalNoEsp","GLOBAL_NOESP","GLOBAL_ASIG"))),IF(CALC_EPM!C250="Total","CURSO_TOTAL",IF(CALC_EPM!C250="TotalEsp","CURSO_ESP",IF(CALC_EPM!C250="TotalNoEsp","CURSO_NOESP","CURSO_ASIG")))))</f>
      </c>
      <c r="B261" t="str">
        <f>IF(CALC_EPM!$B250="","",CALC_EPM!A250)</f>
      </c>
      <c r="C261" t="str">
        <f>IF(CALC_EPM!$B250="","",CALC_EPM!B250)</f>
      </c>
      <c r="D261">
        <f>IF(CALC_EPM!$B250="","",CALC_EPM!D250)</f>
      </c>
      <c r="E261" s="10" t="str">
        <f>IF(CALC_EPM!$B250="","",CALC_EPM!E250)</f>
      </c>
      <c r="F261" s="10" t="str">
        <f>IF(CALC_EPM!$B250="","",CALC_EPM!F250)</f>
      </c>
      <c r="G261" t="str">
        <f>IF(CALC_EPM!$B250="","",CALC_EPM!G250)</f>
      </c>
      <c r="H261" s="11" t="str">
        <f>IF(CALC_EPM!$B250="","",CALC_EPM!H250)</f>
      </c>
      <c r="I261" s="11" t="str">
        <f>IF(CALC_EPM!$B250="","",CALC_EPM!I250)</f>
      </c>
      <c r="J261" t="str">
        <f>IF(CALC_EPM!$B250="","",CALC_EPM!J250)</f>
      </c>
      <c r="K261" t="str">
        <f>IF(CALC_EPM!$B250="","",CALC_EPM!K250)</f>
      </c>
      <c r="L261">
        <f>IF(CALC_EPM!$B250="","",CALC_EPM!L250)</f>
      </c>
      <c r="M261">
        <f>IF(CALC_EPM!$B250="","",CALC_EPM!M250)</f>
      </c>
      <c r="N261">
        <f>IF(CALC_EPM!$B250="","",CALC_EPM!N250)</f>
      </c>
      <c r="O261">
        <f>IF(CALC_EPM!$B250="","",CALC_EPM!O250)</f>
      </c>
      <c r="P261">
        <f>IF(CALC_EPM!$B250="","",CALC_EPM!P250)</f>
      </c>
      <c r="Q261">
        <f>IF(CALC_EPM!$B250="","",CALC_EPM!Q250)</f>
      </c>
      <c r="R261">
        <f>IF(CALC_EPM!$B250="","",CALC_EPM!R250)</f>
      </c>
      <c r="S261">
        <f>IF(CALC_EPM!$B250="","",CALC_EPM!S250)</f>
      </c>
      <c r="T261">
        <f>IF(CALC_EPM!$B250="","",CALC_EPM!T250)</f>
      </c>
      <c r="U261">
        <f>IF(CALC_EPM!$B250="","",CALC_EPM!U250)</f>
      </c>
    </row>
    <row r="262">
      <c r="A262" t="str">
        <f>IF(CALC_EPM!$B251="","",IF(CALC_EPM!A251="GLOBAL",IF(CALC_EPM!C251="Total","GLOBAL",IF(CALC_EPM!C251="TotalEsp","GLOBAL_ESP",IF(CALC_EPM!C251="TotalNoEsp","GLOBAL_NOESP","GLOBAL_ASIG"))),IF(CALC_EPM!C251="Total","CURSO_TOTAL",IF(CALC_EPM!C251="TotalEsp","CURSO_ESP",IF(CALC_EPM!C251="TotalNoEsp","CURSO_NOESP","CURSO_ASIG")))))</f>
      </c>
      <c r="B262" t="str">
        <f>IF(CALC_EPM!$B251="","",CALC_EPM!A251)</f>
      </c>
      <c r="C262" t="str">
        <f>IF(CALC_EPM!$B251="","",CALC_EPM!B251)</f>
      </c>
      <c r="D262">
        <f>IF(CALC_EPM!$B251="","",CALC_EPM!D251)</f>
      </c>
      <c r="E262" s="10" t="str">
        <f>IF(CALC_EPM!$B251="","",CALC_EPM!E251)</f>
      </c>
      <c r="F262" s="10" t="str">
        <f>IF(CALC_EPM!$B251="","",CALC_EPM!F251)</f>
      </c>
      <c r="G262" t="str">
        <f>IF(CALC_EPM!$B251="","",CALC_EPM!G251)</f>
      </c>
      <c r="H262" s="11" t="str">
        <f>IF(CALC_EPM!$B251="","",CALC_EPM!H251)</f>
      </c>
      <c r="I262" s="11" t="str">
        <f>IF(CALC_EPM!$B251="","",CALC_EPM!I251)</f>
      </c>
      <c r="J262" t="str">
        <f>IF(CALC_EPM!$B251="","",CALC_EPM!J251)</f>
      </c>
      <c r="K262" t="str">
        <f>IF(CALC_EPM!$B251="","",CALC_EPM!K251)</f>
      </c>
      <c r="L262">
        <f>IF(CALC_EPM!$B251="","",CALC_EPM!L251)</f>
      </c>
      <c r="M262">
        <f>IF(CALC_EPM!$B251="","",CALC_EPM!M251)</f>
      </c>
      <c r="N262">
        <f>IF(CALC_EPM!$B251="","",CALC_EPM!N251)</f>
      </c>
      <c r="O262">
        <f>IF(CALC_EPM!$B251="","",CALC_EPM!O251)</f>
      </c>
      <c r="P262">
        <f>IF(CALC_EPM!$B251="","",CALC_EPM!P251)</f>
      </c>
      <c r="Q262">
        <f>IF(CALC_EPM!$B251="","",CALC_EPM!Q251)</f>
      </c>
      <c r="R262">
        <f>IF(CALC_EPM!$B251="","",CALC_EPM!R251)</f>
      </c>
      <c r="S262">
        <f>IF(CALC_EPM!$B251="","",CALC_EPM!S251)</f>
      </c>
      <c r="T262">
        <f>IF(CALC_EPM!$B251="","",CALC_EPM!T251)</f>
      </c>
      <c r="U262">
        <f>IF(CALC_EPM!$B251="","",CALC_EPM!U251)</f>
      </c>
    </row>
    <row r="263">
      <c r="A263" t="str">
        <f>IF(CALC_EPM!$B252="","",IF(CALC_EPM!A252="GLOBAL",IF(CALC_EPM!C252="Total","GLOBAL",IF(CALC_EPM!C252="TotalEsp","GLOBAL_ESP",IF(CALC_EPM!C252="TotalNoEsp","GLOBAL_NOESP","GLOBAL_ASIG"))),IF(CALC_EPM!C252="Total","CURSO_TOTAL",IF(CALC_EPM!C252="TotalEsp","CURSO_ESP",IF(CALC_EPM!C252="TotalNoEsp","CURSO_NOESP","CURSO_ASIG")))))</f>
      </c>
      <c r="B263" t="str">
        <f>IF(CALC_EPM!$B252="","",CALC_EPM!A252)</f>
      </c>
      <c r="C263" t="str">
        <f>IF(CALC_EPM!$B252="","",CALC_EPM!B252)</f>
      </c>
      <c r="D263">
        <f>IF(CALC_EPM!$B252="","",CALC_EPM!D252)</f>
      </c>
      <c r="E263" s="10" t="str">
        <f>IF(CALC_EPM!$B252="","",CALC_EPM!E252)</f>
      </c>
      <c r="F263" s="10" t="str">
        <f>IF(CALC_EPM!$B252="","",CALC_EPM!F252)</f>
      </c>
      <c r="G263" t="str">
        <f>IF(CALC_EPM!$B252="","",CALC_EPM!G252)</f>
      </c>
      <c r="H263" s="11" t="str">
        <f>IF(CALC_EPM!$B252="","",CALC_EPM!H252)</f>
      </c>
      <c r="I263" s="11" t="str">
        <f>IF(CALC_EPM!$B252="","",CALC_EPM!I252)</f>
      </c>
      <c r="J263" t="str">
        <f>IF(CALC_EPM!$B252="","",CALC_EPM!J252)</f>
      </c>
      <c r="K263" t="str">
        <f>IF(CALC_EPM!$B252="","",CALC_EPM!K252)</f>
      </c>
      <c r="L263">
        <f>IF(CALC_EPM!$B252="","",CALC_EPM!L252)</f>
      </c>
      <c r="M263">
        <f>IF(CALC_EPM!$B252="","",CALC_EPM!M252)</f>
      </c>
      <c r="N263">
        <f>IF(CALC_EPM!$B252="","",CALC_EPM!N252)</f>
      </c>
      <c r="O263">
        <f>IF(CALC_EPM!$B252="","",CALC_EPM!O252)</f>
      </c>
      <c r="P263">
        <f>IF(CALC_EPM!$B252="","",CALC_EPM!P252)</f>
      </c>
      <c r="Q263">
        <f>IF(CALC_EPM!$B252="","",CALC_EPM!Q252)</f>
      </c>
      <c r="R263">
        <f>IF(CALC_EPM!$B252="","",CALC_EPM!R252)</f>
      </c>
      <c r="S263">
        <f>IF(CALC_EPM!$B252="","",CALC_EPM!S252)</f>
      </c>
      <c r="T263">
        <f>IF(CALC_EPM!$B252="","",CALC_EPM!T252)</f>
      </c>
      <c r="U263">
        <f>IF(CALC_EPM!$B252="","",CALC_EPM!U252)</f>
      </c>
    </row>
    <row r="264">
      <c r="A264" t="str">
        <f>IF(CALC_EPM!$B253="","",IF(CALC_EPM!A253="GLOBAL",IF(CALC_EPM!C253="Total","GLOBAL",IF(CALC_EPM!C253="TotalEsp","GLOBAL_ESP",IF(CALC_EPM!C253="TotalNoEsp","GLOBAL_NOESP","GLOBAL_ASIG"))),IF(CALC_EPM!C253="Total","CURSO_TOTAL",IF(CALC_EPM!C253="TotalEsp","CURSO_ESP",IF(CALC_EPM!C253="TotalNoEsp","CURSO_NOESP","CURSO_ASIG")))))</f>
      </c>
      <c r="B264" t="str">
        <f>IF(CALC_EPM!$B253="","",CALC_EPM!A253)</f>
      </c>
      <c r="C264" t="str">
        <f>IF(CALC_EPM!$B253="","",CALC_EPM!B253)</f>
      </c>
      <c r="D264">
        <f>IF(CALC_EPM!$B253="","",CALC_EPM!D253)</f>
      </c>
      <c r="E264" s="10" t="str">
        <f>IF(CALC_EPM!$B253="","",CALC_EPM!E253)</f>
      </c>
      <c r="F264" s="10" t="str">
        <f>IF(CALC_EPM!$B253="","",CALC_EPM!F253)</f>
      </c>
      <c r="G264" t="str">
        <f>IF(CALC_EPM!$B253="","",CALC_EPM!G253)</f>
      </c>
      <c r="H264" s="11" t="str">
        <f>IF(CALC_EPM!$B253="","",CALC_EPM!H253)</f>
      </c>
      <c r="I264" s="11" t="str">
        <f>IF(CALC_EPM!$B253="","",CALC_EPM!I253)</f>
      </c>
      <c r="J264" t="str">
        <f>IF(CALC_EPM!$B253="","",CALC_EPM!J253)</f>
      </c>
      <c r="K264" t="str">
        <f>IF(CALC_EPM!$B253="","",CALC_EPM!K253)</f>
      </c>
      <c r="L264">
        <f>IF(CALC_EPM!$B253="","",CALC_EPM!L253)</f>
      </c>
      <c r="M264">
        <f>IF(CALC_EPM!$B253="","",CALC_EPM!M253)</f>
      </c>
      <c r="N264">
        <f>IF(CALC_EPM!$B253="","",CALC_EPM!N253)</f>
      </c>
      <c r="O264">
        <f>IF(CALC_EPM!$B253="","",CALC_EPM!O253)</f>
      </c>
      <c r="P264">
        <f>IF(CALC_EPM!$B253="","",CALC_EPM!P253)</f>
      </c>
      <c r="Q264">
        <f>IF(CALC_EPM!$B253="","",CALC_EPM!Q253)</f>
      </c>
      <c r="R264">
        <f>IF(CALC_EPM!$B253="","",CALC_EPM!R253)</f>
      </c>
      <c r="S264">
        <f>IF(CALC_EPM!$B253="","",CALC_EPM!S253)</f>
      </c>
      <c r="T264">
        <f>IF(CALC_EPM!$B253="","",CALC_EPM!T253)</f>
      </c>
      <c r="U264">
        <f>IF(CALC_EPM!$B253="","",CALC_EPM!U253)</f>
      </c>
    </row>
    <row r="265">
      <c r="A265" t="str">
        <f>IF(CALC_EPM!$B254="","",IF(CALC_EPM!A254="GLOBAL",IF(CALC_EPM!C254="Total","GLOBAL",IF(CALC_EPM!C254="TotalEsp","GLOBAL_ESP",IF(CALC_EPM!C254="TotalNoEsp","GLOBAL_NOESP","GLOBAL_ASIG"))),IF(CALC_EPM!C254="Total","CURSO_TOTAL",IF(CALC_EPM!C254="TotalEsp","CURSO_ESP",IF(CALC_EPM!C254="TotalNoEsp","CURSO_NOESP","CURSO_ASIG")))))</f>
      </c>
      <c r="B265" t="str">
        <f>IF(CALC_EPM!$B254="","",CALC_EPM!A254)</f>
      </c>
      <c r="C265" t="str">
        <f>IF(CALC_EPM!$B254="","",CALC_EPM!B254)</f>
      </c>
      <c r="D265">
        <f>IF(CALC_EPM!$B254="","",CALC_EPM!D254)</f>
      </c>
      <c r="E265" s="10" t="str">
        <f>IF(CALC_EPM!$B254="","",CALC_EPM!E254)</f>
      </c>
      <c r="F265" s="10" t="str">
        <f>IF(CALC_EPM!$B254="","",CALC_EPM!F254)</f>
      </c>
      <c r="G265" t="str">
        <f>IF(CALC_EPM!$B254="","",CALC_EPM!G254)</f>
      </c>
      <c r="H265" s="11" t="str">
        <f>IF(CALC_EPM!$B254="","",CALC_EPM!H254)</f>
      </c>
      <c r="I265" s="11" t="str">
        <f>IF(CALC_EPM!$B254="","",CALC_EPM!I254)</f>
      </c>
      <c r="J265" t="str">
        <f>IF(CALC_EPM!$B254="","",CALC_EPM!J254)</f>
      </c>
      <c r="K265" t="str">
        <f>IF(CALC_EPM!$B254="","",CALC_EPM!K254)</f>
      </c>
      <c r="L265">
        <f>IF(CALC_EPM!$B254="","",CALC_EPM!L254)</f>
      </c>
      <c r="M265">
        <f>IF(CALC_EPM!$B254="","",CALC_EPM!M254)</f>
      </c>
      <c r="N265">
        <f>IF(CALC_EPM!$B254="","",CALC_EPM!N254)</f>
      </c>
      <c r="O265">
        <f>IF(CALC_EPM!$B254="","",CALC_EPM!O254)</f>
      </c>
      <c r="P265">
        <f>IF(CALC_EPM!$B254="","",CALC_EPM!P254)</f>
      </c>
      <c r="Q265">
        <f>IF(CALC_EPM!$B254="","",CALC_EPM!Q254)</f>
      </c>
      <c r="R265">
        <f>IF(CALC_EPM!$B254="","",CALC_EPM!R254)</f>
      </c>
      <c r="S265">
        <f>IF(CALC_EPM!$B254="","",CALC_EPM!S254)</f>
      </c>
      <c r="T265">
        <f>IF(CALC_EPM!$B254="","",CALC_EPM!T254)</f>
      </c>
      <c r="U265">
        <f>IF(CALC_EPM!$B254="","",CALC_EPM!U254)</f>
      </c>
    </row>
    <row r="266">
      <c r="A266" t="str">
        <f>IF(CALC_EPM!$B255="","",IF(CALC_EPM!A255="GLOBAL",IF(CALC_EPM!C255="Total","GLOBAL",IF(CALC_EPM!C255="TotalEsp","GLOBAL_ESP",IF(CALC_EPM!C255="TotalNoEsp","GLOBAL_NOESP","GLOBAL_ASIG"))),IF(CALC_EPM!C255="Total","CURSO_TOTAL",IF(CALC_EPM!C255="TotalEsp","CURSO_ESP",IF(CALC_EPM!C255="TotalNoEsp","CURSO_NOESP","CURSO_ASIG")))))</f>
      </c>
      <c r="B266" t="str">
        <f>IF(CALC_EPM!$B255="","",CALC_EPM!A255)</f>
      </c>
      <c r="C266" t="str">
        <f>IF(CALC_EPM!$B255="","",CALC_EPM!B255)</f>
      </c>
      <c r="D266">
        <f>IF(CALC_EPM!$B255="","",CALC_EPM!D255)</f>
      </c>
      <c r="E266" s="10" t="str">
        <f>IF(CALC_EPM!$B255="","",CALC_EPM!E255)</f>
      </c>
      <c r="F266" s="10" t="str">
        <f>IF(CALC_EPM!$B255="","",CALC_EPM!F255)</f>
      </c>
      <c r="G266" t="str">
        <f>IF(CALC_EPM!$B255="","",CALC_EPM!G255)</f>
      </c>
      <c r="H266" s="11" t="str">
        <f>IF(CALC_EPM!$B255="","",CALC_EPM!H255)</f>
      </c>
      <c r="I266" s="11" t="str">
        <f>IF(CALC_EPM!$B255="","",CALC_EPM!I255)</f>
      </c>
      <c r="J266" t="str">
        <f>IF(CALC_EPM!$B255="","",CALC_EPM!J255)</f>
      </c>
      <c r="K266" t="str">
        <f>IF(CALC_EPM!$B255="","",CALC_EPM!K255)</f>
      </c>
      <c r="L266">
        <f>IF(CALC_EPM!$B255="","",CALC_EPM!L255)</f>
      </c>
      <c r="M266">
        <f>IF(CALC_EPM!$B255="","",CALC_EPM!M255)</f>
      </c>
      <c r="N266">
        <f>IF(CALC_EPM!$B255="","",CALC_EPM!N255)</f>
      </c>
      <c r="O266">
        <f>IF(CALC_EPM!$B255="","",CALC_EPM!O255)</f>
      </c>
      <c r="P266">
        <f>IF(CALC_EPM!$B255="","",CALC_EPM!P255)</f>
      </c>
      <c r="Q266">
        <f>IF(CALC_EPM!$B255="","",CALC_EPM!Q255)</f>
      </c>
      <c r="R266">
        <f>IF(CALC_EPM!$B255="","",CALC_EPM!R255)</f>
      </c>
      <c r="S266">
        <f>IF(CALC_EPM!$B255="","",CALC_EPM!S255)</f>
      </c>
      <c r="T266">
        <f>IF(CALC_EPM!$B255="","",CALC_EPM!T255)</f>
      </c>
      <c r="U266">
        <f>IF(CALC_EPM!$B255="","",CALC_EPM!U255)</f>
      </c>
    </row>
    <row r="267">
      <c r="A267" t="str">
        <f>IF(CALC_EPM!$B256="","",IF(CALC_EPM!A256="GLOBAL",IF(CALC_EPM!C256="Total","GLOBAL",IF(CALC_EPM!C256="TotalEsp","GLOBAL_ESP",IF(CALC_EPM!C256="TotalNoEsp","GLOBAL_NOESP","GLOBAL_ASIG"))),IF(CALC_EPM!C256="Total","CURSO_TOTAL",IF(CALC_EPM!C256="TotalEsp","CURSO_ESP",IF(CALC_EPM!C256="TotalNoEsp","CURSO_NOESP","CURSO_ASIG")))))</f>
      </c>
      <c r="B267" t="str">
        <f>IF(CALC_EPM!$B256="","",CALC_EPM!A256)</f>
      </c>
      <c r="C267" t="str">
        <f>IF(CALC_EPM!$B256="","",CALC_EPM!B256)</f>
      </c>
      <c r="D267">
        <f>IF(CALC_EPM!$B256="","",CALC_EPM!D256)</f>
      </c>
      <c r="E267" s="10" t="str">
        <f>IF(CALC_EPM!$B256="","",CALC_EPM!E256)</f>
      </c>
      <c r="F267" s="10" t="str">
        <f>IF(CALC_EPM!$B256="","",CALC_EPM!F256)</f>
      </c>
      <c r="G267" t="str">
        <f>IF(CALC_EPM!$B256="","",CALC_EPM!G256)</f>
      </c>
      <c r="H267" s="11" t="str">
        <f>IF(CALC_EPM!$B256="","",CALC_EPM!H256)</f>
      </c>
      <c r="I267" s="11" t="str">
        <f>IF(CALC_EPM!$B256="","",CALC_EPM!I256)</f>
      </c>
      <c r="J267" t="str">
        <f>IF(CALC_EPM!$B256="","",CALC_EPM!J256)</f>
      </c>
      <c r="K267" t="str">
        <f>IF(CALC_EPM!$B256="","",CALC_EPM!K256)</f>
      </c>
      <c r="L267">
        <f>IF(CALC_EPM!$B256="","",CALC_EPM!L256)</f>
      </c>
      <c r="M267">
        <f>IF(CALC_EPM!$B256="","",CALC_EPM!M256)</f>
      </c>
      <c r="N267">
        <f>IF(CALC_EPM!$B256="","",CALC_EPM!N256)</f>
      </c>
      <c r="O267">
        <f>IF(CALC_EPM!$B256="","",CALC_EPM!O256)</f>
      </c>
      <c r="P267">
        <f>IF(CALC_EPM!$B256="","",CALC_EPM!P256)</f>
      </c>
      <c r="Q267">
        <f>IF(CALC_EPM!$B256="","",CALC_EPM!Q256)</f>
      </c>
      <c r="R267">
        <f>IF(CALC_EPM!$B256="","",CALC_EPM!R256)</f>
      </c>
      <c r="S267">
        <f>IF(CALC_EPM!$B256="","",CALC_EPM!S256)</f>
      </c>
      <c r="T267">
        <f>IF(CALC_EPM!$B256="","",CALC_EPM!T256)</f>
      </c>
      <c r="U267">
        <f>IF(CALC_EPM!$B256="","",CALC_EPM!U256)</f>
      </c>
    </row>
    <row r="268">
      <c r="A268" t="str">
        <f>IF(CALC_EPM!$B257="","",IF(CALC_EPM!A257="GLOBAL",IF(CALC_EPM!C257="Total","GLOBAL",IF(CALC_EPM!C257="TotalEsp","GLOBAL_ESP",IF(CALC_EPM!C257="TotalNoEsp","GLOBAL_NOESP","GLOBAL_ASIG"))),IF(CALC_EPM!C257="Total","CURSO_TOTAL",IF(CALC_EPM!C257="TotalEsp","CURSO_ESP",IF(CALC_EPM!C257="TotalNoEsp","CURSO_NOESP","CURSO_ASIG")))))</f>
      </c>
      <c r="B268" t="str">
        <f>IF(CALC_EPM!$B257="","",CALC_EPM!A257)</f>
      </c>
      <c r="C268" t="str">
        <f>IF(CALC_EPM!$B257="","",CALC_EPM!B257)</f>
      </c>
      <c r="D268">
        <f>IF(CALC_EPM!$B257="","",CALC_EPM!D257)</f>
      </c>
      <c r="E268" s="10" t="str">
        <f>IF(CALC_EPM!$B257="","",CALC_EPM!E257)</f>
      </c>
      <c r="F268" s="10" t="str">
        <f>IF(CALC_EPM!$B257="","",CALC_EPM!F257)</f>
      </c>
      <c r="G268" t="str">
        <f>IF(CALC_EPM!$B257="","",CALC_EPM!G257)</f>
      </c>
      <c r="H268" s="11" t="str">
        <f>IF(CALC_EPM!$B257="","",CALC_EPM!H257)</f>
      </c>
      <c r="I268" s="11" t="str">
        <f>IF(CALC_EPM!$B257="","",CALC_EPM!I257)</f>
      </c>
      <c r="J268" t="str">
        <f>IF(CALC_EPM!$B257="","",CALC_EPM!J257)</f>
      </c>
      <c r="K268" t="str">
        <f>IF(CALC_EPM!$B257="","",CALC_EPM!K257)</f>
      </c>
      <c r="L268">
        <f>IF(CALC_EPM!$B257="","",CALC_EPM!L257)</f>
      </c>
      <c r="M268">
        <f>IF(CALC_EPM!$B257="","",CALC_EPM!M257)</f>
      </c>
      <c r="N268">
        <f>IF(CALC_EPM!$B257="","",CALC_EPM!N257)</f>
      </c>
      <c r="O268">
        <f>IF(CALC_EPM!$B257="","",CALC_EPM!O257)</f>
      </c>
      <c r="P268">
        <f>IF(CALC_EPM!$B257="","",CALC_EPM!P257)</f>
      </c>
      <c r="Q268">
        <f>IF(CALC_EPM!$B257="","",CALC_EPM!Q257)</f>
      </c>
      <c r="R268">
        <f>IF(CALC_EPM!$B257="","",CALC_EPM!R257)</f>
      </c>
      <c r="S268">
        <f>IF(CALC_EPM!$B257="","",CALC_EPM!S257)</f>
      </c>
      <c r="T268">
        <f>IF(CALC_EPM!$B257="","",CALC_EPM!T257)</f>
      </c>
      <c r="U268">
        <f>IF(CALC_EPM!$B257="","",CALC_EPM!U257)</f>
      </c>
    </row>
    <row r="269">
      <c r="A269" t="str">
        <f>IF(CALC_EPM!$B258="","",IF(CALC_EPM!A258="GLOBAL",IF(CALC_EPM!C258="Total","GLOBAL",IF(CALC_EPM!C258="TotalEsp","GLOBAL_ESP",IF(CALC_EPM!C258="TotalNoEsp","GLOBAL_NOESP","GLOBAL_ASIG"))),IF(CALC_EPM!C258="Total","CURSO_TOTAL",IF(CALC_EPM!C258="TotalEsp","CURSO_ESP",IF(CALC_EPM!C258="TotalNoEsp","CURSO_NOESP","CURSO_ASIG")))))</f>
      </c>
      <c r="B269" t="str">
        <f>IF(CALC_EPM!$B258="","",CALC_EPM!A258)</f>
      </c>
      <c r="C269" t="str">
        <f>IF(CALC_EPM!$B258="","",CALC_EPM!B258)</f>
      </c>
      <c r="D269">
        <f>IF(CALC_EPM!$B258="","",CALC_EPM!D258)</f>
      </c>
      <c r="E269" s="10" t="str">
        <f>IF(CALC_EPM!$B258="","",CALC_EPM!E258)</f>
      </c>
      <c r="F269" s="10" t="str">
        <f>IF(CALC_EPM!$B258="","",CALC_EPM!F258)</f>
      </c>
      <c r="G269" t="str">
        <f>IF(CALC_EPM!$B258="","",CALC_EPM!G258)</f>
      </c>
      <c r="H269" s="11" t="str">
        <f>IF(CALC_EPM!$B258="","",CALC_EPM!H258)</f>
      </c>
      <c r="I269" s="11" t="str">
        <f>IF(CALC_EPM!$B258="","",CALC_EPM!I258)</f>
      </c>
      <c r="J269" t="str">
        <f>IF(CALC_EPM!$B258="","",CALC_EPM!J258)</f>
      </c>
      <c r="K269" t="str">
        <f>IF(CALC_EPM!$B258="","",CALC_EPM!K258)</f>
      </c>
      <c r="L269">
        <f>IF(CALC_EPM!$B258="","",CALC_EPM!L258)</f>
      </c>
      <c r="M269">
        <f>IF(CALC_EPM!$B258="","",CALC_EPM!M258)</f>
      </c>
      <c r="N269">
        <f>IF(CALC_EPM!$B258="","",CALC_EPM!N258)</f>
      </c>
      <c r="O269">
        <f>IF(CALC_EPM!$B258="","",CALC_EPM!O258)</f>
      </c>
      <c r="P269">
        <f>IF(CALC_EPM!$B258="","",CALC_EPM!P258)</f>
      </c>
      <c r="Q269">
        <f>IF(CALC_EPM!$B258="","",CALC_EPM!Q258)</f>
      </c>
      <c r="R269">
        <f>IF(CALC_EPM!$B258="","",CALC_EPM!R258)</f>
      </c>
      <c r="S269">
        <f>IF(CALC_EPM!$B258="","",CALC_EPM!S258)</f>
      </c>
      <c r="T269">
        <f>IF(CALC_EPM!$B258="","",CALC_EPM!T258)</f>
      </c>
      <c r="U269">
        <f>IF(CALC_EPM!$B258="","",CALC_EPM!U258)</f>
      </c>
    </row>
    <row r="270">
      <c r="A270" t="str">
        <f>IF(CALC_EPM!$B259="","",IF(CALC_EPM!A259="GLOBAL",IF(CALC_EPM!C259="Total","GLOBAL",IF(CALC_EPM!C259="TotalEsp","GLOBAL_ESP",IF(CALC_EPM!C259="TotalNoEsp","GLOBAL_NOESP","GLOBAL_ASIG"))),IF(CALC_EPM!C259="Total","CURSO_TOTAL",IF(CALC_EPM!C259="TotalEsp","CURSO_ESP",IF(CALC_EPM!C259="TotalNoEsp","CURSO_NOESP","CURSO_ASIG")))))</f>
      </c>
      <c r="B270" t="str">
        <f>IF(CALC_EPM!$B259="","",CALC_EPM!A259)</f>
      </c>
      <c r="C270" t="str">
        <f>IF(CALC_EPM!$B259="","",CALC_EPM!B259)</f>
      </c>
      <c r="D270">
        <f>IF(CALC_EPM!$B259="","",CALC_EPM!D259)</f>
      </c>
      <c r="E270" s="10" t="str">
        <f>IF(CALC_EPM!$B259="","",CALC_EPM!E259)</f>
      </c>
      <c r="F270" s="10" t="str">
        <f>IF(CALC_EPM!$B259="","",CALC_EPM!F259)</f>
      </c>
      <c r="G270" t="str">
        <f>IF(CALC_EPM!$B259="","",CALC_EPM!G259)</f>
      </c>
      <c r="H270" s="11" t="str">
        <f>IF(CALC_EPM!$B259="","",CALC_EPM!H259)</f>
      </c>
      <c r="I270" s="11" t="str">
        <f>IF(CALC_EPM!$B259="","",CALC_EPM!I259)</f>
      </c>
      <c r="J270" t="str">
        <f>IF(CALC_EPM!$B259="","",CALC_EPM!J259)</f>
      </c>
      <c r="K270" t="str">
        <f>IF(CALC_EPM!$B259="","",CALC_EPM!K259)</f>
      </c>
      <c r="L270">
        <f>IF(CALC_EPM!$B259="","",CALC_EPM!L259)</f>
      </c>
      <c r="M270">
        <f>IF(CALC_EPM!$B259="","",CALC_EPM!M259)</f>
      </c>
      <c r="N270">
        <f>IF(CALC_EPM!$B259="","",CALC_EPM!N259)</f>
      </c>
      <c r="O270">
        <f>IF(CALC_EPM!$B259="","",CALC_EPM!O259)</f>
      </c>
      <c r="P270">
        <f>IF(CALC_EPM!$B259="","",CALC_EPM!P259)</f>
      </c>
      <c r="Q270">
        <f>IF(CALC_EPM!$B259="","",CALC_EPM!Q259)</f>
      </c>
      <c r="R270">
        <f>IF(CALC_EPM!$B259="","",CALC_EPM!R259)</f>
      </c>
      <c r="S270">
        <f>IF(CALC_EPM!$B259="","",CALC_EPM!S259)</f>
      </c>
      <c r="T270">
        <f>IF(CALC_EPM!$B259="","",CALC_EPM!T259)</f>
      </c>
      <c r="U270">
        <f>IF(CALC_EPM!$B259="","",CALC_EPM!U259)</f>
      </c>
    </row>
    <row r="271">
      <c r="A271" t="str">
        <f>IF(CALC_EPM!$B260="","",IF(CALC_EPM!A260="GLOBAL",IF(CALC_EPM!C260="Total","GLOBAL",IF(CALC_EPM!C260="TotalEsp","GLOBAL_ESP",IF(CALC_EPM!C260="TotalNoEsp","GLOBAL_NOESP","GLOBAL_ASIG"))),IF(CALC_EPM!C260="Total","CURSO_TOTAL",IF(CALC_EPM!C260="TotalEsp","CURSO_ESP",IF(CALC_EPM!C260="TotalNoEsp","CURSO_NOESP","CURSO_ASIG")))))</f>
      </c>
      <c r="B271" t="str">
        <f>IF(CALC_EPM!$B260="","",CALC_EPM!A260)</f>
      </c>
      <c r="C271" t="str">
        <f>IF(CALC_EPM!$B260="","",CALC_EPM!B260)</f>
      </c>
      <c r="D271">
        <f>IF(CALC_EPM!$B260="","",CALC_EPM!D260)</f>
      </c>
      <c r="E271" s="10" t="str">
        <f>IF(CALC_EPM!$B260="","",CALC_EPM!E260)</f>
      </c>
      <c r="F271" s="10" t="str">
        <f>IF(CALC_EPM!$B260="","",CALC_EPM!F260)</f>
      </c>
      <c r="G271" t="str">
        <f>IF(CALC_EPM!$B260="","",CALC_EPM!G260)</f>
      </c>
      <c r="H271" s="11" t="str">
        <f>IF(CALC_EPM!$B260="","",CALC_EPM!H260)</f>
      </c>
      <c r="I271" s="11" t="str">
        <f>IF(CALC_EPM!$B260="","",CALC_EPM!I260)</f>
      </c>
      <c r="J271" t="str">
        <f>IF(CALC_EPM!$B260="","",CALC_EPM!J260)</f>
      </c>
      <c r="K271" t="str">
        <f>IF(CALC_EPM!$B260="","",CALC_EPM!K260)</f>
      </c>
      <c r="L271">
        <f>IF(CALC_EPM!$B260="","",CALC_EPM!L260)</f>
      </c>
      <c r="M271">
        <f>IF(CALC_EPM!$B260="","",CALC_EPM!M260)</f>
      </c>
      <c r="N271">
        <f>IF(CALC_EPM!$B260="","",CALC_EPM!N260)</f>
      </c>
      <c r="O271">
        <f>IF(CALC_EPM!$B260="","",CALC_EPM!O260)</f>
      </c>
      <c r="P271">
        <f>IF(CALC_EPM!$B260="","",CALC_EPM!P260)</f>
      </c>
      <c r="Q271">
        <f>IF(CALC_EPM!$B260="","",CALC_EPM!Q260)</f>
      </c>
      <c r="R271">
        <f>IF(CALC_EPM!$B260="","",CALC_EPM!R260)</f>
      </c>
      <c r="S271">
        <f>IF(CALC_EPM!$B260="","",CALC_EPM!S260)</f>
      </c>
      <c r="T271">
        <f>IF(CALC_EPM!$B260="","",CALC_EPM!T260)</f>
      </c>
      <c r="U271">
        <f>IF(CALC_EPM!$B260="","",CALC_EPM!U260)</f>
      </c>
    </row>
    <row r="272">
      <c r="A272" t="str">
        <f>IF(CALC_EPM!$B261="","",IF(CALC_EPM!A261="GLOBAL",IF(CALC_EPM!C261="Total","GLOBAL",IF(CALC_EPM!C261="TotalEsp","GLOBAL_ESP",IF(CALC_EPM!C261="TotalNoEsp","GLOBAL_NOESP","GLOBAL_ASIG"))),IF(CALC_EPM!C261="Total","CURSO_TOTAL",IF(CALC_EPM!C261="TotalEsp","CURSO_ESP",IF(CALC_EPM!C261="TotalNoEsp","CURSO_NOESP","CURSO_ASIG")))))</f>
      </c>
      <c r="B272" t="str">
        <f>IF(CALC_EPM!$B261="","",CALC_EPM!A261)</f>
      </c>
      <c r="C272" t="str">
        <f>IF(CALC_EPM!$B261="","",CALC_EPM!B261)</f>
      </c>
      <c r="D272">
        <f>IF(CALC_EPM!$B261="","",CALC_EPM!D261)</f>
      </c>
      <c r="E272" s="10" t="str">
        <f>IF(CALC_EPM!$B261="","",CALC_EPM!E261)</f>
      </c>
      <c r="F272" s="10" t="str">
        <f>IF(CALC_EPM!$B261="","",CALC_EPM!F261)</f>
      </c>
      <c r="G272" t="str">
        <f>IF(CALC_EPM!$B261="","",CALC_EPM!G261)</f>
      </c>
      <c r="H272" s="11" t="str">
        <f>IF(CALC_EPM!$B261="","",CALC_EPM!H261)</f>
      </c>
      <c r="I272" s="11" t="str">
        <f>IF(CALC_EPM!$B261="","",CALC_EPM!I261)</f>
      </c>
      <c r="J272" t="str">
        <f>IF(CALC_EPM!$B261="","",CALC_EPM!J261)</f>
      </c>
      <c r="K272" t="str">
        <f>IF(CALC_EPM!$B261="","",CALC_EPM!K261)</f>
      </c>
      <c r="L272">
        <f>IF(CALC_EPM!$B261="","",CALC_EPM!L261)</f>
      </c>
      <c r="M272">
        <f>IF(CALC_EPM!$B261="","",CALC_EPM!M261)</f>
      </c>
      <c r="N272">
        <f>IF(CALC_EPM!$B261="","",CALC_EPM!N261)</f>
      </c>
      <c r="O272">
        <f>IF(CALC_EPM!$B261="","",CALC_EPM!O261)</f>
      </c>
      <c r="P272">
        <f>IF(CALC_EPM!$B261="","",CALC_EPM!P261)</f>
      </c>
      <c r="Q272">
        <f>IF(CALC_EPM!$B261="","",CALC_EPM!Q261)</f>
      </c>
      <c r="R272">
        <f>IF(CALC_EPM!$B261="","",CALC_EPM!R261)</f>
      </c>
      <c r="S272">
        <f>IF(CALC_EPM!$B261="","",CALC_EPM!S261)</f>
      </c>
      <c r="T272">
        <f>IF(CALC_EPM!$B261="","",CALC_EPM!T261)</f>
      </c>
      <c r="U272">
        <f>IF(CALC_EPM!$B261="","",CALC_EPM!U261)</f>
      </c>
    </row>
    <row r="273">
      <c r="A273" t="str">
        <f>IF(CALC_EPM!$B262="","",IF(CALC_EPM!A262="GLOBAL",IF(CALC_EPM!C262="Total","GLOBAL",IF(CALC_EPM!C262="TotalEsp","GLOBAL_ESP",IF(CALC_EPM!C262="TotalNoEsp","GLOBAL_NOESP","GLOBAL_ASIG"))),IF(CALC_EPM!C262="Total","CURSO_TOTAL",IF(CALC_EPM!C262="TotalEsp","CURSO_ESP",IF(CALC_EPM!C262="TotalNoEsp","CURSO_NOESP","CURSO_ASIG")))))</f>
      </c>
      <c r="B273" t="str">
        <f>IF(CALC_EPM!$B262="","",CALC_EPM!A262)</f>
      </c>
      <c r="C273" t="str">
        <f>IF(CALC_EPM!$B262="","",CALC_EPM!B262)</f>
      </c>
      <c r="D273">
        <f>IF(CALC_EPM!$B262="","",CALC_EPM!D262)</f>
      </c>
      <c r="E273" s="10" t="str">
        <f>IF(CALC_EPM!$B262="","",CALC_EPM!E262)</f>
      </c>
      <c r="F273" s="10" t="str">
        <f>IF(CALC_EPM!$B262="","",CALC_EPM!F262)</f>
      </c>
      <c r="G273" t="str">
        <f>IF(CALC_EPM!$B262="","",CALC_EPM!G262)</f>
      </c>
      <c r="H273" s="11" t="str">
        <f>IF(CALC_EPM!$B262="","",CALC_EPM!H262)</f>
      </c>
      <c r="I273" s="11" t="str">
        <f>IF(CALC_EPM!$B262="","",CALC_EPM!I262)</f>
      </c>
      <c r="J273" t="str">
        <f>IF(CALC_EPM!$B262="","",CALC_EPM!J262)</f>
      </c>
      <c r="K273" t="str">
        <f>IF(CALC_EPM!$B262="","",CALC_EPM!K262)</f>
      </c>
      <c r="L273">
        <f>IF(CALC_EPM!$B262="","",CALC_EPM!L262)</f>
      </c>
      <c r="M273">
        <f>IF(CALC_EPM!$B262="","",CALC_EPM!M262)</f>
      </c>
      <c r="N273">
        <f>IF(CALC_EPM!$B262="","",CALC_EPM!N262)</f>
      </c>
      <c r="O273">
        <f>IF(CALC_EPM!$B262="","",CALC_EPM!O262)</f>
      </c>
      <c r="P273">
        <f>IF(CALC_EPM!$B262="","",CALC_EPM!P262)</f>
      </c>
      <c r="Q273">
        <f>IF(CALC_EPM!$B262="","",CALC_EPM!Q262)</f>
      </c>
      <c r="R273">
        <f>IF(CALC_EPM!$B262="","",CALC_EPM!R262)</f>
      </c>
      <c r="S273">
        <f>IF(CALC_EPM!$B262="","",CALC_EPM!S262)</f>
      </c>
      <c r="T273">
        <f>IF(CALC_EPM!$B262="","",CALC_EPM!T262)</f>
      </c>
      <c r="U273">
        <f>IF(CALC_EPM!$B262="","",CALC_EPM!U262)</f>
      </c>
    </row>
    <row r="274">
      <c r="A274" t="str">
        <f>IF(CALC_EPM!$B263="","",IF(CALC_EPM!A263="GLOBAL",IF(CALC_EPM!C263="Total","GLOBAL",IF(CALC_EPM!C263="TotalEsp","GLOBAL_ESP",IF(CALC_EPM!C263="TotalNoEsp","GLOBAL_NOESP","GLOBAL_ASIG"))),IF(CALC_EPM!C263="Total","CURSO_TOTAL",IF(CALC_EPM!C263="TotalEsp","CURSO_ESP",IF(CALC_EPM!C263="TotalNoEsp","CURSO_NOESP","CURSO_ASIG")))))</f>
      </c>
      <c r="B274" t="str">
        <f>IF(CALC_EPM!$B263="","",CALC_EPM!A263)</f>
      </c>
      <c r="C274" t="str">
        <f>IF(CALC_EPM!$B263="","",CALC_EPM!B263)</f>
      </c>
      <c r="D274">
        <f>IF(CALC_EPM!$B263="","",CALC_EPM!D263)</f>
      </c>
      <c r="E274" s="10" t="str">
        <f>IF(CALC_EPM!$B263="","",CALC_EPM!E263)</f>
      </c>
      <c r="F274" s="10" t="str">
        <f>IF(CALC_EPM!$B263="","",CALC_EPM!F263)</f>
      </c>
      <c r="G274" t="str">
        <f>IF(CALC_EPM!$B263="","",CALC_EPM!G263)</f>
      </c>
      <c r="H274" s="11" t="str">
        <f>IF(CALC_EPM!$B263="","",CALC_EPM!H263)</f>
      </c>
      <c r="I274" s="11" t="str">
        <f>IF(CALC_EPM!$B263="","",CALC_EPM!I263)</f>
      </c>
      <c r="J274" t="str">
        <f>IF(CALC_EPM!$B263="","",CALC_EPM!J263)</f>
      </c>
      <c r="K274" t="str">
        <f>IF(CALC_EPM!$B263="","",CALC_EPM!K263)</f>
      </c>
      <c r="L274">
        <f>IF(CALC_EPM!$B263="","",CALC_EPM!L263)</f>
      </c>
      <c r="M274">
        <f>IF(CALC_EPM!$B263="","",CALC_EPM!M263)</f>
      </c>
      <c r="N274">
        <f>IF(CALC_EPM!$B263="","",CALC_EPM!N263)</f>
      </c>
      <c r="O274">
        <f>IF(CALC_EPM!$B263="","",CALC_EPM!O263)</f>
      </c>
      <c r="P274">
        <f>IF(CALC_EPM!$B263="","",CALC_EPM!P263)</f>
      </c>
      <c r="Q274">
        <f>IF(CALC_EPM!$B263="","",CALC_EPM!Q263)</f>
      </c>
      <c r="R274">
        <f>IF(CALC_EPM!$B263="","",CALC_EPM!R263)</f>
      </c>
      <c r="S274">
        <f>IF(CALC_EPM!$B263="","",CALC_EPM!S263)</f>
      </c>
      <c r="T274">
        <f>IF(CALC_EPM!$B263="","",CALC_EPM!T263)</f>
      </c>
      <c r="U274">
        <f>IF(CALC_EPM!$B263="","",CALC_EPM!U263)</f>
      </c>
    </row>
    <row r="275">
      <c r="A275" t="str">
        <f>IF(CALC_EPM!$B264="","",IF(CALC_EPM!A264="GLOBAL",IF(CALC_EPM!C264="Total","GLOBAL",IF(CALC_EPM!C264="TotalEsp","GLOBAL_ESP",IF(CALC_EPM!C264="TotalNoEsp","GLOBAL_NOESP","GLOBAL_ASIG"))),IF(CALC_EPM!C264="Total","CURSO_TOTAL",IF(CALC_EPM!C264="TotalEsp","CURSO_ESP",IF(CALC_EPM!C264="TotalNoEsp","CURSO_NOESP","CURSO_ASIG")))))</f>
      </c>
      <c r="B275" t="str">
        <f>IF(CALC_EPM!$B264="","",CALC_EPM!A264)</f>
      </c>
      <c r="C275" t="str">
        <f>IF(CALC_EPM!$B264="","",CALC_EPM!B264)</f>
      </c>
      <c r="D275">
        <f>IF(CALC_EPM!$B264="","",CALC_EPM!D264)</f>
      </c>
      <c r="E275" s="10" t="str">
        <f>IF(CALC_EPM!$B264="","",CALC_EPM!E264)</f>
      </c>
      <c r="F275" s="10" t="str">
        <f>IF(CALC_EPM!$B264="","",CALC_EPM!F264)</f>
      </c>
      <c r="G275" t="str">
        <f>IF(CALC_EPM!$B264="","",CALC_EPM!G264)</f>
      </c>
      <c r="H275" s="11" t="str">
        <f>IF(CALC_EPM!$B264="","",CALC_EPM!H264)</f>
      </c>
      <c r="I275" s="11" t="str">
        <f>IF(CALC_EPM!$B264="","",CALC_EPM!I264)</f>
      </c>
      <c r="J275" t="str">
        <f>IF(CALC_EPM!$B264="","",CALC_EPM!J264)</f>
      </c>
      <c r="K275" t="str">
        <f>IF(CALC_EPM!$B264="","",CALC_EPM!K264)</f>
      </c>
      <c r="L275">
        <f>IF(CALC_EPM!$B264="","",CALC_EPM!L264)</f>
      </c>
      <c r="M275">
        <f>IF(CALC_EPM!$B264="","",CALC_EPM!M264)</f>
      </c>
      <c r="N275">
        <f>IF(CALC_EPM!$B264="","",CALC_EPM!N264)</f>
      </c>
      <c r="O275">
        <f>IF(CALC_EPM!$B264="","",CALC_EPM!O264)</f>
      </c>
      <c r="P275">
        <f>IF(CALC_EPM!$B264="","",CALC_EPM!P264)</f>
      </c>
      <c r="Q275">
        <f>IF(CALC_EPM!$B264="","",CALC_EPM!Q264)</f>
      </c>
      <c r="R275">
        <f>IF(CALC_EPM!$B264="","",CALC_EPM!R264)</f>
      </c>
      <c r="S275">
        <f>IF(CALC_EPM!$B264="","",CALC_EPM!S264)</f>
      </c>
      <c r="T275">
        <f>IF(CALC_EPM!$B264="","",CALC_EPM!T264)</f>
      </c>
      <c r="U275">
        <f>IF(CALC_EPM!$B264="","",CALC_EPM!U264)</f>
      </c>
    </row>
    <row r="276">
      <c r="A276" t="str">
        <f>IF(CALC_EPM!$B265="","",IF(CALC_EPM!A265="GLOBAL",IF(CALC_EPM!C265="Total","GLOBAL",IF(CALC_EPM!C265="TotalEsp","GLOBAL_ESP",IF(CALC_EPM!C265="TotalNoEsp","GLOBAL_NOESP","GLOBAL_ASIG"))),IF(CALC_EPM!C265="Total","CURSO_TOTAL",IF(CALC_EPM!C265="TotalEsp","CURSO_ESP",IF(CALC_EPM!C265="TotalNoEsp","CURSO_NOESP","CURSO_ASIG")))))</f>
      </c>
      <c r="B276" t="str">
        <f>IF(CALC_EPM!$B265="","",CALC_EPM!A265)</f>
      </c>
      <c r="C276" t="str">
        <f>IF(CALC_EPM!$B265="","",CALC_EPM!B265)</f>
      </c>
      <c r="D276">
        <f>IF(CALC_EPM!$B265="","",CALC_EPM!D265)</f>
      </c>
      <c r="E276" s="10" t="str">
        <f>IF(CALC_EPM!$B265="","",CALC_EPM!E265)</f>
      </c>
      <c r="F276" s="10" t="str">
        <f>IF(CALC_EPM!$B265="","",CALC_EPM!F265)</f>
      </c>
      <c r="G276" t="str">
        <f>IF(CALC_EPM!$B265="","",CALC_EPM!G265)</f>
      </c>
      <c r="H276" s="11" t="str">
        <f>IF(CALC_EPM!$B265="","",CALC_EPM!H265)</f>
      </c>
      <c r="I276" s="11" t="str">
        <f>IF(CALC_EPM!$B265="","",CALC_EPM!I265)</f>
      </c>
      <c r="J276" t="str">
        <f>IF(CALC_EPM!$B265="","",CALC_EPM!J265)</f>
      </c>
      <c r="K276" t="str">
        <f>IF(CALC_EPM!$B265="","",CALC_EPM!K265)</f>
      </c>
      <c r="L276">
        <f>IF(CALC_EPM!$B265="","",CALC_EPM!L265)</f>
      </c>
      <c r="M276">
        <f>IF(CALC_EPM!$B265="","",CALC_EPM!M265)</f>
      </c>
      <c r="N276">
        <f>IF(CALC_EPM!$B265="","",CALC_EPM!N265)</f>
      </c>
      <c r="O276">
        <f>IF(CALC_EPM!$B265="","",CALC_EPM!O265)</f>
      </c>
      <c r="P276">
        <f>IF(CALC_EPM!$B265="","",CALC_EPM!P265)</f>
      </c>
      <c r="Q276">
        <f>IF(CALC_EPM!$B265="","",CALC_EPM!Q265)</f>
      </c>
      <c r="R276">
        <f>IF(CALC_EPM!$B265="","",CALC_EPM!R265)</f>
      </c>
      <c r="S276">
        <f>IF(CALC_EPM!$B265="","",CALC_EPM!S265)</f>
      </c>
      <c r="T276">
        <f>IF(CALC_EPM!$B265="","",CALC_EPM!T265)</f>
      </c>
      <c r="U276">
        <f>IF(CALC_EPM!$B265="","",CALC_EPM!U265)</f>
      </c>
    </row>
    <row r="277">
      <c r="A277" t="str">
        <f>IF(CALC_EPM!$B266="","",IF(CALC_EPM!A266="GLOBAL",IF(CALC_EPM!C266="Total","GLOBAL",IF(CALC_EPM!C266="TotalEsp","GLOBAL_ESP",IF(CALC_EPM!C266="TotalNoEsp","GLOBAL_NOESP","GLOBAL_ASIG"))),IF(CALC_EPM!C266="Total","CURSO_TOTAL",IF(CALC_EPM!C266="TotalEsp","CURSO_ESP",IF(CALC_EPM!C266="TotalNoEsp","CURSO_NOESP","CURSO_ASIG")))))</f>
      </c>
      <c r="B277" t="str">
        <f>IF(CALC_EPM!$B266="","",CALC_EPM!A266)</f>
      </c>
      <c r="C277" t="str">
        <f>IF(CALC_EPM!$B266="","",CALC_EPM!B266)</f>
      </c>
      <c r="D277">
        <f>IF(CALC_EPM!$B266="","",CALC_EPM!D266)</f>
      </c>
      <c r="E277" s="10" t="str">
        <f>IF(CALC_EPM!$B266="","",CALC_EPM!E266)</f>
      </c>
      <c r="F277" s="10" t="str">
        <f>IF(CALC_EPM!$B266="","",CALC_EPM!F266)</f>
      </c>
      <c r="G277" t="str">
        <f>IF(CALC_EPM!$B266="","",CALC_EPM!G266)</f>
      </c>
      <c r="H277" s="11" t="str">
        <f>IF(CALC_EPM!$B266="","",CALC_EPM!H266)</f>
      </c>
      <c r="I277" s="11" t="str">
        <f>IF(CALC_EPM!$B266="","",CALC_EPM!I266)</f>
      </c>
      <c r="J277" t="str">
        <f>IF(CALC_EPM!$B266="","",CALC_EPM!J266)</f>
      </c>
      <c r="K277" t="str">
        <f>IF(CALC_EPM!$B266="","",CALC_EPM!K266)</f>
      </c>
      <c r="L277">
        <f>IF(CALC_EPM!$B266="","",CALC_EPM!L266)</f>
      </c>
      <c r="M277">
        <f>IF(CALC_EPM!$B266="","",CALC_EPM!M266)</f>
      </c>
      <c r="N277">
        <f>IF(CALC_EPM!$B266="","",CALC_EPM!N266)</f>
      </c>
      <c r="O277">
        <f>IF(CALC_EPM!$B266="","",CALC_EPM!O266)</f>
      </c>
      <c r="P277">
        <f>IF(CALC_EPM!$B266="","",CALC_EPM!P266)</f>
      </c>
      <c r="Q277">
        <f>IF(CALC_EPM!$B266="","",CALC_EPM!Q266)</f>
      </c>
      <c r="R277">
        <f>IF(CALC_EPM!$B266="","",CALC_EPM!R266)</f>
      </c>
      <c r="S277">
        <f>IF(CALC_EPM!$B266="","",CALC_EPM!S266)</f>
      </c>
      <c r="T277">
        <f>IF(CALC_EPM!$B266="","",CALC_EPM!T266)</f>
      </c>
      <c r="U277">
        <f>IF(CALC_EPM!$B266="","",CALC_EPM!U266)</f>
      </c>
    </row>
    <row r="278">
      <c r="A278" t="str">
        <f>IF(CALC_EPM!$B267="","",IF(CALC_EPM!A267="GLOBAL",IF(CALC_EPM!C267="Total","GLOBAL",IF(CALC_EPM!C267="TotalEsp","GLOBAL_ESP",IF(CALC_EPM!C267="TotalNoEsp","GLOBAL_NOESP","GLOBAL_ASIG"))),IF(CALC_EPM!C267="Total","CURSO_TOTAL",IF(CALC_EPM!C267="TotalEsp","CURSO_ESP",IF(CALC_EPM!C267="TotalNoEsp","CURSO_NOESP","CURSO_ASIG")))))</f>
      </c>
      <c r="B278" t="str">
        <f>IF(CALC_EPM!$B267="","",CALC_EPM!A267)</f>
      </c>
      <c r="C278" t="str">
        <f>IF(CALC_EPM!$B267="","",CALC_EPM!B267)</f>
      </c>
      <c r="D278">
        <f>IF(CALC_EPM!$B267="","",CALC_EPM!D267)</f>
      </c>
      <c r="E278" s="10" t="str">
        <f>IF(CALC_EPM!$B267="","",CALC_EPM!E267)</f>
      </c>
      <c r="F278" s="10" t="str">
        <f>IF(CALC_EPM!$B267="","",CALC_EPM!F267)</f>
      </c>
      <c r="G278" t="str">
        <f>IF(CALC_EPM!$B267="","",CALC_EPM!G267)</f>
      </c>
      <c r="H278" s="11" t="str">
        <f>IF(CALC_EPM!$B267="","",CALC_EPM!H267)</f>
      </c>
      <c r="I278" s="11" t="str">
        <f>IF(CALC_EPM!$B267="","",CALC_EPM!I267)</f>
      </c>
      <c r="J278" t="str">
        <f>IF(CALC_EPM!$B267="","",CALC_EPM!J267)</f>
      </c>
      <c r="K278" t="str">
        <f>IF(CALC_EPM!$B267="","",CALC_EPM!K267)</f>
      </c>
      <c r="L278">
        <f>IF(CALC_EPM!$B267="","",CALC_EPM!L267)</f>
      </c>
      <c r="M278">
        <f>IF(CALC_EPM!$B267="","",CALC_EPM!M267)</f>
      </c>
      <c r="N278">
        <f>IF(CALC_EPM!$B267="","",CALC_EPM!N267)</f>
      </c>
      <c r="O278">
        <f>IF(CALC_EPM!$B267="","",CALC_EPM!O267)</f>
      </c>
      <c r="P278">
        <f>IF(CALC_EPM!$B267="","",CALC_EPM!P267)</f>
      </c>
      <c r="Q278">
        <f>IF(CALC_EPM!$B267="","",CALC_EPM!Q267)</f>
      </c>
      <c r="R278">
        <f>IF(CALC_EPM!$B267="","",CALC_EPM!R267)</f>
      </c>
      <c r="S278">
        <f>IF(CALC_EPM!$B267="","",CALC_EPM!S267)</f>
      </c>
      <c r="T278">
        <f>IF(CALC_EPM!$B267="","",CALC_EPM!T267)</f>
      </c>
      <c r="U278">
        <f>IF(CALC_EPM!$B267="","",CALC_EPM!U267)</f>
      </c>
    </row>
    <row r="279">
      <c r="A279" t="str">
        <f>IF(CALC_EPM!$B268="","",IF(CALC_EPM!A268="GLOBAL",IF(CALC_EPM!C268="Total","GLOBAL",IF(CALC_EPM!C268="TotalEsp","GLOBAL_ESP",IF(CALC_EPM!C268="TotalNoEsp","GLOBAL_NOESP","GLOBAL_ASIG"))),IF(CALC_EPM!C268="Total","CURSO_TOTAL",IF(CALC_EPM!C268="TotalEsp","CURSO_ESP",IF(CALC_EPM!C268="TotalNoEsp","CURSO_NOESP","CURSO_ASIG")))))</f>
      </c>
      <c r="B279" t="str">
        <f>IF(CALC_EPM!$B268="","",CALC_EPM!A268)</f>
      </c>
      <c r="C279" t="str">
        <f>IF(CALC_EPM!$B268="","",CALC_EPM!B268)</f>
      </c>
      <c r="D279">
        <f>IF(CALC_EPM!$B268="","",CALC_EPM!D268)</f>
      </c>
      <c r="E279" s="10" t="str">
        <f>IF(CALC_EPM!$B268="","",CALC_EPM!E268)</f>
      </c>
      <c r="F279" s="10" t="str">
        <f>IF(CALC_EPM!$B268="","",CALC_EPM!F268)</f>
      </c>
      <c r="G279" t="str">
        <f>IF(CALC_EPM!$B268="","",CALC_EPM!G268)</f>
      </c>
      <c r="H279" s="11" t="str">
        <f>IF(CALC_EPM!$B268="","",CALC_EPM!H268)</f>
      </c>
      <c r="I279" s="11" t="str">
        <f>IF(CALC_EPM!$B268="","",CALC_EPM!I268)</f>
      </c>
      <c r="J279" t="str">
        <f>IF(CALC_EPM!$B268="","",CALC_EPM!J268)</f>
      </c>
      <c r="K279" t="str">
        <f>IF(CALC_EPM!$B268="","",CALC_EPM!K268)</f>
      </c>
      <c r="L279">
        <f>IF(CALC_EPM!$B268="","",CALC_EPM!L268)</f>
      </c>
      <c r="M279">
        <f>IF(CALC_EPM!$B268="","",CALC_EPM!M268)</f>
      </c>
      <c r="N279">
        <f>IF(CALC_EPM!$B268="","",CALC_EPM!N268)</f>
      </c>
      <c r="O279">
        <f>IF(CALC_EPM!$B268="","",CALC_EPM!O268)</f>
      </c>
      <c r="P279">
        <f>IF(CALC_EPM!$B268="","",CALC_EPM!P268)</f>
      </c>
      <c r="Q279">
        <f>IF(CALC_EPM!$B268="","",CALC_EPM!Q268)</f>
      </c>
      <c r="R279">
        <f>IF(CALC_EPM!$B268="","",CALC_EPM!R268)</f>
      </c>
      <c r="S279">
        <f>IF(CALC_EPM!$B268="","",CALC_EPM!S268)</f>
      </c>
      <c r="T279">
        <f>IF(CALC_EPM!$B268="","",CALC_EPM!T268)</f>
      </c>
      <c r="U279">
        <f>IF(CALC_EPM!$B268="","",CALC_EPM!U268)</f>
      </c>
    </row>
    <row r="280">
      <c r="A280" t="str">
        <f>IF(CALC_EPM!$B269="","",IF(CALC_EPM!A269="GLOBAL",IF(CALC_EPM!C269="Total","GLOBAL",IF(CALC_EPM!C269="TotalEsp","GLOBAL_ESP",IF(CALC_EPM!C269="TotalNoEsp","GLOBAL_NOESP","GLOBAL_ASIG"))),IF(CALC_EPM!C269="Total","CURSO_TOTAL",IF(CALC_EPM!C269="TotalEsp","CURSO_ESP",IF(CALC_EPM!C269="TotalNoEsp","CURSO_NOESP","CURSO_ASIG")))))</f>
      </c>
      <c r="B280" t="str">
        <f>IF(CALC_EPM!$B269="","",CALC_EPM!A269)</f>
      </c>
      <c r="C280" t="str">
        <f>IF(CALC_EPM!$B269="","",CALC_EPM!B269)</f>
      </c>
      <c r="D280">
        <f>IF(CALC_EPM!$B269="","",CALC_EPM!D269)</f>
      </c>
      <c r="E280" s="10" t="str">
        <f>IF(CALC_EPM!$B269="","",CALC_EPM!E269)</f>
      </c>
      <c r="F280" s="10" t="str">
        <f>IF(CALC_EPM!$B269="","",CALC_EPM!F269)</f>
      </c>
      <c r="G280" t="str">
        <f>IF(CALC_EPM!$B269="","",CALC_EPM!G269)</f>
      </c>
      <c r="H280" s="11" t="str">
        <f>IF(CALC_EPM!$B269="","",CALC_EPM!H269)</f>
      </c>
      <c r="I280" s="11" t="str">
        <f>IF(CALC_EPM!$B269="","",CALC_EPM!I269)</f>
      </c>
      <c r="J280" t="str">
        <f>IF(CALC_EPM!$B269="","",CALC_EPM!J269)</f>
      </c>
      <c r="K280" t="str">
        <f>IF(CALC_EPM!$B269="","",CALC_EPM!K269)</f>
      </c>
      <c r="L280">
        <f>IF(CALC_EPM!$B269="","",CALC_EPM!L269)</f>
      </c>
      <c r="M280">
        <f>IF(CALC_EPM!$B269="","",CALC_EPM!M269)</f>
      </c>
      <c r="N280">
        <f>IF(CALC_EPM!$B269="","",CALC_EPM!N269)</f>
      </c>
      <c r="O280">
        <f>IF(CALC_EPM!$B269="","",CALC_EPM!O269)</f>
      </c>
      <c r="P280">
        <f>IF(CALC_EPM!$B269="","",CALC_EPM!P269)</f>
      </c>
      <c r="Q280">
        <f>IF(CALC_EPM!$B269="","",CALC_EPM!Q269)</f>
      </c>
      <c r="R280">
        <f>IF(CALC_EPM!$B269="","",CALC_EPM!R269)</f>
      </c>
      <c r="S280">
        <f>IF(CALC_EPM!$B269="","",CALC_EPM!S269)</f>
      </c>
      <c r="T280">
        <f>IF(CALC_EPM!$B269="","",CALC_EPM!T269)</f>
      </c>
      <c r="U280">
        <f>IF(CALC_EPM!$B269="","",CALC_EPM!U269)</f>
      </c>
    </row>
    <row r="281">
      <c r="A281" t="str">
        <f>IF(CALC_EPM!$B270="","",IF(CALC_EPM!A270="GLOBAL",IF(CALC_EPM!C270="Total","GLOBAL",IF(CALC_EPM!C270="TotalEsp","GLOBAL_ESP",IF(CALC_EPM!C270="TotalNoEsp","GLOBAL_NOESP","GLOBAL_ASIG"))),IF(CALC_EPM!C270="Total","CURSO_TOTAL",IF(CALC_EPM!C270="TotalEsp","CURSO_ESP",IF(CALC_EPM!C270="TotalNoEsp","CURSO_NOESP","CURSO_ASIG")))))</f>
      </c>
      <c r="B281" t="str">
        <f>IF(CALC_EPM!$B270="","",CALC_EPM!A270)</f>
      </c>
      <c r="C281" t="str">
        <f>IF(CALC_EPM!$B270="","",CALC_EPM!B270)</f>
      </c>
      <c r="D281">
        <f>IF(CALC_EPM!$B270="","",CALC_EPM!D270)</f>
      </c>
      <c r="E281" s="10" t="str">
        <f>IF(CALC_EPM!$B270="","",CALC_EPM!E270)</f>
      </c>
      <c r="F281" s="10" t="str">
        <f>IF(CALC_EPM!$B270="","",CALC_EPM!F270)</f>
      </c>
      <c r="G281" t="str">
        <f>IF(CALC_EPM!$B270="","",CALC_EPM!G270)</f>
      </c>
      <c r="H281" s="11" t="str">
        <f>IF(CALC_EPM!$B270="","",CALC_EPM!H270)</f>
      </c>
      <c r="I281" s="11" t="str">
        <f>IF(CALC_EPM!$B270="","",CALC_EPM!I270)</f>
      </c>
      <c r="J281" t="str">
        <f>IF(CALC_EPM!$B270="","",CALC_EPM!J270)</f>
      </c>
      <c r="K281" t="str">
        <f>IF(CALC_EPM!$B270="","",CALC_EPM!K270)</f>
      </c>
      <c r="L281">
        <f>IF(CALC_EPM!$B270="","",CALC_EPM!L270)</f>
      </c>
      <c r="M281">
        <f>IF(CALC_EPM!$B270="","",CALC_EPM!M270)</f>
      </c>
      <c r="N281">
        <f>IF(CALC_EPM!$B270="","",CALC_EPM!N270)</f>
      </c>
      <c r="O281">
        <f>IF(CALC_EPM!$B270="","",CALC_EPM!O270)</f>
      </c>
      <c r="P281">
        <f>IF(CALC_EPM!$B270="","",CALC_EPM!P270)</f>
      </c>
      <c r="Q281">
        <f>IF(CALC_EPM!$B270="","",CALC_EPM!Q270)</f>
      </c>
      <c r="R281">
        <f>IF(CALC_EPM!$B270="","",CALC_EPM!R270)</f>
      </c>
      <c r="S281">
        <f>IF(CALC_EPM!$B270="","",CALC_EPM!S270)</f>
      </c>
      <c r="T281">
        <f>IF(CALC_EPM!$B270="","",CALC_EPM!T270)</f>
      </c>
      <c r="U281">
        <f>IF(CALC_EPM!$B270="","",CALC_EPM!U270)</f>
      </c>
    </row>
    <row r="282">
      <c r="A282" t="str">
        <f>IF(CALC_EPM!$B271="","",IF(CALC_EPM!A271="GLOBAL",IF(CALC_EPM!C271="Total","GLOBAL",IF(CALC_EPM!C271="TotalEsp","GLOBAL_ESP",IF(CALC_EPM!C271="TotalNoEsp","GLOBAL_NOESP","GLOBAL_ASIG"))),IF(CALC_EPM!C271="Total","CURSO_TOTAL",IF(CALC_EPM!C271="TotalEsp","CURSO_ESP",IF(CALC_EPM!C271="TotalNoEsp","CURSO_NOESP","CURSO_ASIG")))))</f>
      </c>
      <c r="B282" t="str">
        <f>IF(CALC_EPM!$B271="","",CALC_EPM!A271)</f>
      </c>
      <c r="C282" t="str">
        <f>IF(CALC_EPM!$B271="","",CALC_EPM!B271)</f>
      </c>
      <c r="D282">
        <f>IF(CALC_EPM!$B271="","",CALC_EPM!D271)</f>
      </c>
      <c r="E282" s="10" t="str">
        <f>IF(CALC_EPM!$B271="","",CALC_EPM!E271)</f>
      </c>
      <c r="F282" s="10" t="str">
        <f>IF(CALC_EPM!$B271="","",CALC_EPM!F271)</f>
      </c>
      <c r="G282" t="str">
        <f>IF(CALC_EPM!$B271="","",CALC_EPM!G271)</f>
      </c>
      <c r="H282" s="11" t="str">
        <f>IF(CALC_EPM!$B271="","",CALC_EPM!H271)</f>
      </c>
      <c r="I282" s="11" t="str">
        <f>IF(CALC_EPM!$B271="","",CALC_EPM!I271)</f>
      </c>
      <c r="J282" t="str">
        <f>IF(CALC_EPM!$B271="","",CALC_EPM!J271)</f>
      </c>
      <c r="K282" t="str">
        <f>IF(CALC_EPM!$B271="","",CALC_EPM!K271)</f>
      </c>
      <c r="L282">
        <f>IF(CALC_EPM!$B271="","",CALC_EPM!L271)</f>
      </c>
      <c r="M282">
        <f>IF(CALC_EPM!$B271="","",CALC_EPM!M271)</f>
      </c>
      <c r="N282">
        <f>IF(CALC_EPM!$B271="","",CALC_EPM!N271)</f>
      </c>
      <c r="O282">
        <f>IF(CALC_EPM!$B271="","",CALC_EPM!O271)</f>
      </c>
      <c r="P282">
        <f>IF(CALC_EPM!$B271="","",CALC_EPM!P271)</f>
      </c>
      <c r="Q282">
        <f>IF(CALC_EPM!$B271="","",CALC_EPM!Q271)</f>
      </c>
      <c r="R282">
        <f>IF(CALC_EPM!$B271="","",CALC_EPM!R271)</f>
      </c>
      <c r="S282">
        <f>IF(CALC_EPM!$B271="","",CALC_EPM!S271)</f>
      </c>
      <c r="T282">
        <f>IF(CALC_EPM!$B271="","",CALC_EPM!T271)</f>
      </c>
      <c r="U282">
        <f>IF(CALC_EPM!$B271="","",CALC_EPM!U271)</f>
      </c>
    </row>
    <row r="283">
      <c r="A283" t="str">
        <f>IF(CALC_EPM!$B272="","",IF(CALC_EPM!A272="GLOBAL",IF(CALC_EPM!C272="Total","GLOBAL",IF(CALC_EPM!C272="TotalEsp","GLOBAL_ESP",IF(CALC_EPM!C272="TotalNoEsp","GLOBAL_NOESP","GLOBAL_ASIG"))),IF(CALC_EPM!C272="Total","CURSO_TOTAL",IF(CALC_EPM!C272="TotalEsp","CURSO_ESP",IF(CALC_EPM!C272="TotalNoEsp","CURSO_NOESP","CURSO_ASIG")))))</f>
      </c>
      <c r="B283" t="str">
        <f>IF(CALC_EPM!$B272="","",CALC_EPM!A272)</f>
      </c>
      <c r="C283" t="str">
        <f>IF(CALC_EPM!$B272="","",CALC_EPM!B272)</f>
      </c>
      <c r="D283">
        <f>IF(CALC_EPM!$B272="","",CALC_EPM!D272)</f>
      </c>
      <c r="E283" s="10" t="str">
        <f>IF(CALC_EPM!$B272="","",CALC_EPM!E272)</f>
      </c>
      <c r="F283" s="10" t="str">
        <f>IF(CALC_EPM!$B272="","",CALC_EPM!F272)</f>
      </c>
      <c r="G283" t="str">
        <f>IF(CALC_EPM!$B272="","",CALC_EPM!G272)</f>
      </c>
      <c r="H283" s="11" t="str">
        <f>IF(CALC_EPM!$B272="","",CALC_EPM!H272)</f>
      </c>
      <c r="I283" s="11" t="str">
        <f>IF(CALC_EPM!$B272="","",CALC_EPM!I272)</f>
      </c>
      <c r="J283" t="str">
        <f>IF(CALC_EPM!$B272="","",CALC_EPM!J272)</f>
      </c>
      <c r="K283" t="str">
        <f>IF(CALC_EPM!$B272="","",CALC_EPM!K272)</f>
      </c>
      <c r="L283">
        <f>IF(CALC_EPM!$B272="","",CALC_EPM!L272)</f>
      </c>
      <c r="M283">
        <f>IF(CALC_EPM!$B272="","",CALC_EPM!M272)</f>
      </c>
      <c r="N283">
        <f>IF(CALC_EPM!$B272="","",CALC_EPM!N272)</f>
      </c>
      <c r="O283">
        <f>IF(CALC_EPM!$B272="","",CALC_EPM!O272)</f>
      </c>
      <c r="P283">
        <f>IF(CALC_EPM!$B272="","",CALC_EPM!P272)</f>
      </c>
      <c r="Q283">
        <f>IF(CALC_EPM!$B272="","",CALC_EPM!Q272)</f>
      </c>
      <c r="R283">
        <f>IF(CALC_EPM!$B272="","",CALC_EPM!R272)</f>
      </c>
      <c r="S283">
        <f>IF(CALC_EPM!$B272="","",CALC_EPM!S272)</f>
      </c>
      <c r="T283">
        <f>IF(CALC_EPM!$B272="","",CALC_EPM!T272)</f>
      </c>
      <c r="U283">
        <f>IF(CALC_EPM!$B272="","",CALC_EPM!U272)</f>
      </c>
    </row>
    <row r="284">
      <c r="A284" t="str">
        <f>IF(CALC_EPM!$B273="","",IF(CALC_EPM!A273="GLOBAL",IF(CALC_EPM!C273="Total","GLOBAL",IF(CALC_EPM!C273="TotalEsp","GLOBAL_ESP",IF(CALC_EPM!C273="TotalNoEsp","GLOBAL_NOESP","GLOBAL_ASIG"))),IF(CALC_EPM!C273="Total","CURSO_TOTAL",IF(CALC_EPM!C273="TotalEsp","CURSO_ESP",IF(CALC_EPM!C273="TotalNoEsp","CURSO_NOESP","CURSO_ASIG")))))</f>
      </c>
      <c r="B284" t="str">
        <f>IF(CALC_EPM!$B273="","",CALC_EPM!A273)</f>
      </c>
      <c r="C284" t="str">
        <f>IF(CALC_EPM!$B273="","",CALC_EPM!B273)</f>
      </c>
      <c r="D284">
        <f>IF(CALC_EPM!$B273="","",CALC_EPM!D273)</f>
      </c>
      <c r="E284" s="10" t="str">
        <f>IF(CALC_EPM!$B273="","",CALC_EPM!E273)</f>
      </c>
      <c r="F284" s="10" t="str">
        <f>IF(CALC_EPM!$B273="","",CALC_EPM!F273)</f>
      </c>
      <c r="G284" t="str">
        <f>IF(CALC_EPM!$B273="","",CALC_EPM!G273)</f>
      </c>
      <c r="H284" s="11" t="str">
        <f>IF(CALC_EPM!$B273="","",CALC_EPM!H273)</f>
      </c>
      <c r="I284" s="11" t="str">
        <f>IF(CALC_EPM!$B273="","",CALC_EPM!I273)</f>
      </c>
      <c r="J284" t="str">
        <f>IF(CALC_EPM!$B273="","",CALC_EPM!J273)</f>
      </c>
      <c r="K284" t="str">
        <f>IF(CALC_EPM!$B273="","",CALC_EPM!K273)</f>
      </c>
      <c r="L284">
        <f>IF(CALC_EPM!$B273="","",CALC_EPM!L273)</f>
      </c>
      <c r="M284">
        <f>IF(CALC_EPM!$B273="","",CALC_EPM!M273)</f>
      </c>
      <c r="N284">
        <f>IF(CALC_EPM!$B273="","",CALC_EPM!N273)</f>
      </c>
      <c r="O284">
        <f>IF(CALC_EPM!$B273="","",CALC_EPM!O273)</f>
      </c>
      <c r="P284">
        <f>IF(CALC_EPM!$B273="","",CALC_EPM!P273)</f>
      </c>
      <c r="Q284">
        <f>IF(CALC_EPM!$B273="","",CALC_EPM!Q273)</f>
      </c>
      <c r="R284">
        <f>IF(CALC_EPM!$B273="","",CALC_EPM!R273)</f>
      </c>
      <c r="S284">
        <f>IF(CALC_EPM!$B273="","",CALC_EPM!S273)</f>
      </c>
      <c r="T284">
        <f>IF(CALC_EPM!$B273="","",CALC_EPM!T273)</f>
      </c>
      <c r="U284">
        <f>IF(CALC_EPM!$B273="","",CALC_EPM!U273)</f>
      </c>
    </row>
    <row r="285">
      <c r="A285" t="str">
        <f>IF(CALC_EPM!$B274="","",IF(CALC_EPM!A274="GLOBAL",IF(CALC_EPM!C274="Total","GLOBAL",IF(CALC_EPM!C274="TotalEsp","GLOBAL_ESP",IF(CALC_EPM!C274="TotalNoEsp","GLOBAL_NOESP","GLOBAL_ASIG"))),IF(CALC_EPM!C274="Total","CURSO_TOTAL",IF(CALC_EPM!C274="TotalEsp","CURSO_ESP",IF(CALC_EPM!C274="TotalNoEsp","CURSO_NOESP","CURSO_ASIG")))))</f>
      </c>
      <c r="B285" t="str">
        <f>IF(CALC_EPM!$B274="","",CALC_EPM!A274)</f>
      </c>
      <c r="C285" t="str">
        <f>IF(CALC_EPM!$B274="","",CALC_EPM!B274)</f>
      </c>
      <c r="D285">
        <f>IF(CALC_EPM!$B274="","",CALC_EPM!D274)</f>
      </c>
      <c r="E285" s="10" t="str">
        <f>IF(CALC_EPM!$B274="","",CALC_EPM!E274)</f>
      </c>
      <c r="F285" s="10" t="str">
        <f>IF(CALC_EPM!$B274="","",CALC_EPM!F274)</f>
      </c>
      <c r="G285" t="str">
        <f>IF(CALC_EPM!$B274="","",CALC_EPM!G274)</f>
      </c>
      <c r="H285" s="11" t="str">
        <f>IF(CALC_EPM!$B274="","",CALC_EPM!H274)</f>
      </c>
      <c r="I285" s="11" t="str">
        <f>IF(CALC_EPM!$B274="","",CALC_EPM!I274)</f>
      </c>
      <c r="J285" t="str">
        <f>IF(CALC_EPM!$B274="","",CALC_EPM!J274)</f>
      </c>
      <c r="K285" t="str">
        <f>IF(CALC_EPM!$B274="","",CALC_EPM!K274)</f>
      </c>
      <c r="L285">
        <f>IF(CALC_EPM!$B274="","",CALC_EPM!L274)</f>
      </c>
      <c r="M285">
        <f>IF(CALC_EPM!$B274="","",CALC_EPM!M274)</f>
      </c>
      <c r="N285">
        <f>IF(CALC_EPM!$B274="","",CALC_EPM!N274)</f>
      </c>
      <c r="O285">
        <f>IF(CALC_EPM!$B274="","",CALC_EPM!O274)</f>
      </c>
      <c r="P285">
        <f>IF(CALC_EPM!$B274="","",CALC_EPM!P274)</f>
      </c>
      <c r="Q285">
        <f>IF(CALC_EPM!$B274="","",CALC_EPM!Q274)</f>
      </c>
      <c r="R285">
        <f>IF(CALC_EPM!$B274="","",CALC_EPM!R274)</f>
      </c>
      <c r="S285">
        <f>IF(CALC_EPM!$B274="","",CALC_EPM!S274)</f>
      </c>
      <c r="T285">
        <f>IF(CALC_EPM!$B274="","",CALC_EPM!T274)</f>
      </c>
      <c r="U285">
        <f>IF(CALC_EPM!$B274="","",CALC_EPM!U274)</f>
      </c>
    </row>
    <row r="286">
      <c r="A286" t="str">
        <f>IF(CALC_EPM!$B275="","",IF(CALC_EPM!A275="GLOBAL",IF(CALC_EPM!C275="Total","GLOBAL",IF(CALC_EPM!C275="TotalEsp","GLOBAL_ESP",IF(CALC_EPM!C275="TotalNoEsp","GLOBAL_NOESP","GLOBAL_ASIG"))),IF(CALC_EPM!C275="Total","CURSO_TOTAL",IF(CALC_EPM!C275="TotalEsp","CURSO_ESP",IF(CALC_EPM!C275="TotalNoEsp","CURSO_NOESP","CURSO_ASIG")))))</f>
      </c>
      <c r="B286" t="str">
        <f>IF(CALC_EPM!$B275="","",CALC_EPM!A275)</f>
      </c>
      <c r="C286" t="str">
        <f>IF(CALC_EPM!$B275="","",CALC_EPM!B275)</f>
      </c>
      <c r="D286">
        <f>IF(CALC_EPM!$B275="","",CALC_EPM!D275)</f>
      </c>
      <c r="E286" s="10" t="str">
        <f>IF(CALC_EPM!$B275="","",CALC_EPM!E275)</f>
      </c>
      <c r="F286" s="10" t="str">
        <f>IF(CALC_EPM!$B275="","",CALC_EPM!F275)</f>
      </c>
      <c r="G286" t="str">
        <f>IF(CALC_EPM!$B275="","",CALC_EPM!G275)</f>
      </c>
      <c r="H286" s="11" t="str">
        <f>IF(CALC_EPM!$B275="","",CALC_EPM!H275)</f>
      </c>
      <c r="I286" s="11" t="str">
        <f>IF(CALC_EPM!$B275="","",CALC_EPM!I275)</f>
      </c>
      <c r="J286" t="str">
        <f>IF(CALC_EPM!$B275="","",CALC_EPM!J275)</f>
      </c>
      <c r="K286" t="str">
        <f>IF(CALC_EPM!$B275="","",CALC_EPM!K275)</f>
      </c>
      <c r="L286">
        <f>IF(CALC_EPM!$B275="","",CALC_EPM!L275)</f>
      </c>
      <c r="M286">
        <f>IF(CALC_EPM!$B275="","",CALC_EPM!M275)</f>
      </c>
      <c r="N286">
        <f>IF(CALC_EPM!$B275="","",CALC_EPM!N275)</f>
      </c>
      <c r="O286">
        <f>IF(CALC_EPM!$B275="","",CALC_EPM!O275)</f>
      </c>
      <c r="P286">
        <f>IF(CALC_EPM!$B275="","",CALC_EPM!P275)</f>
      </c>
      <c r="Q286">
        <f>IF(CALC_EPM!$B275="","",CALC_EPM!Q275)</f>
      </c>
      <c r="R286">
        <f>IF(CALC_EPM!$B275="","",CALC_EPM!R275)</f>
      </c>
      <c r="S286">
        <f>IF(CALC_EPM!$B275="","",CALC_EPM!S275)</f>
      </c>
      <c r="T286">
        <f>IF(CALC_EPM!$B275="","",CALC_EPM!T275)</f>
      </c>
      <c r="U286">
        <f>IF(CALC_EPM!$B275="","",CALC_EPM!U275)</f>
      </c>
    </row>
    <row r="287">
      <c r="A287" t="str">
        <f>IF(CALC_EPM!$B276="","",IF(CALC_EPM!A276="GLOBAL",IF(CALC_EPM!C276="Total","GLOBAL",IF(CALC_EPM!C276="TotalEsp","GLOBAL_ESP",IF(CALC_EPM!C276="TotalNoEsp","GLOBAL_NOESP","GLOBAL_ASIG"))),IF(CALC_EPM!C276="Total","CURSO_TOTAL",IF(CALC_EPM!C276="TotalEsp","CURSO_ESP",IF(CALC_EPM!C276="TotalNoEsp","CURSO_NOESP","CURSO_ASIG")))))</f>
      </c>
      <c r="B287" t="str">
        <f>IF(CALC_EPM!$B276="","",CALC_EPM!A276)</f>
      </c>
      <c r="C287" t="str">
        <f>IF(CALC_EPM!$B276="","",CALC_EPM!B276)</f>
      </c>
      <c r="D287">
        <f>IF(CALC_EPM!$B276="","",CALC_EPM!D276)</f>
      </c>
      <c r="E287" s="10" t="str">
        <f>IF(CALC_EPM!$B276="","",CALC_EPM!E276)</f>
      </c>
      <c r="F287" s="10" t="str">
        <f>IF(CALC_EPM!$B276="","",CALC_EPM!F276)</f>
      </c>
      <c r="G287" t="str">
        <f>IF(CALC_EPM!$B276="","",CALC_EPM!G276)</f>
      </c>
      <c r="H287" s="11" t="str">
        <f>IF(CALC_EPM!$B276="","",CALC_EPM!H276)</f>
      </c>
      <c r="I287" s="11" t="str">
        <f>IF(CALC_EPM!$B276="","",CALC_EPM!I276)</f>
      </c>
      <c r="J287" t="str">
        <f>IF(CALC_EPM!$B276="","",CALC_EPM!J276)</f>
      </c>
      <c r="K287" t="str">
        <f>IF(CALC_EPM!$B276="","",CALC_EPM!K276)</f>
      </c>
      <c r="L287">
        <f>IF(CALC_EPM!$B276="","",CALC_EPM!L276)</f>
      </c>
      <c r="M287">
        <f>IF(CALC_EPM!$B276="","",CALC_EPM!M276)</f>
      </c>
      <c r="N287">
        <f>IF(CALC_EPM!$B276="","",CALC_EPM!N276)</f>
      </c>
      <c r="O287">
        <f>IF(CALC_EPM!$B276="","",CALC_EPM!O276)</f>
      </c>
      <c r="P287">
        <f>IF(CALC_EPM!$B276="","",CALC_EPM!P276)</f>
      </c>
      <c r="Q287">
        <f>IF(CALC_EPM!$B276="","",CALC_EPM!Q276)</f>
      </c>
      <c r="R287">
        <f>IF(CALC_EPM!$B276="","",CALC_EPM!R276)</f>
      </c>
      <c r="S287">
        <f>IF(CALC_EPM!$B276="","",CALC_EPM!S276)</f>
      </c>
      <c r="T287">
        <f>IF(CALC_EPM!$B276="","",CALC_EPM!T276)</f>
      </c>
      <c r="U287">
        <f>IF(CALC_EPM!$B276="","",CALC_EPM!U276)</f>
      </c>
    </row>
    <row r="288">
      <c r="A288" t="str">
        <f>IF(CALC_EPM!$B277="","",IF(CALC_EPM!A277="GLOBAL",IF(CALC_EPM!C277="Total","GLOBAL",IF(CALC_EPM!C277="TotalEsp","GLOBAL_ESP",IF(CALC_EPM!C277="TotalNoEsp","GLOBAL_NOESP","GLOBAL_ASIG"))),IF(CALC_EPM!C277="Total","CURSO_TOTAL",IF(CALC_EPM!C277="TotalEsp","CURSO_ESP",IF(CALC_EPM!C277="TotalNoEsp","CURSO_NOESP","CURSO_ASIG")))))</f>
      </c>
      <c r="B288" t="str">
        <f>IF(CALC_EPM!$B277="","",CALC_EPM!A277)</f>
      </c>
      <c r="C288" t="str">
        <f>IF(CALC_EPM!$B277="","",CALC_EPM!B277)</f>
      </c>
      <c r="D288">
        <f>IF(CALC_EPM!$B277="","",CALC_EPM!D277)</f>
      </c>
      <c r="E288" s="10" t="str">
        <f>IF(CALC_EPM!$B277="","",CALC_EPM!E277)</f>
      </c>
      <c r="F288" s="10" t="str">
        <f>IF(CALC_EPM!$B277="","",CALC_EPM!F277)</f>
      </c>
      <c r="G288" t="str">
        <f>IF(CALC_EPM!$B277="","",CALC_EPM!G277)</f>
      </c>
      <c r="H288" s="11" t="str">
        <f>IF(CALC_EPM!$B277="","",CALC_EPM!H277)</f>
      </c>
      <c r="I288" s="11" t="str">
        <f>IF(CALC_EPM!$B277="","",CALC_EPM!I277)</f>
      </c>
      <c r="J288" t="str">
        <f>IF(CALC_EPM!$B277="","",CALC_EPM!J277)</f>
      </c>
      <c r="K288" t="str">
        <f>IF(CALC_EPM!$B277="","",CALC_EPM!K277)</f>
      </c>
      <c r="L288">
        <f>IF(CALC_EPM!$B277="","",CALC_EPM!L277)</f>
      </c>
      <c r="M288">
        <f>IF(CALC_EPM!$B277="","",CALC_EPM!M277)</f>
      </c>
      <c r="N288">
        <f>IF(CALC_EPM!$B277="","",CALC_EPM!N277)</f>
      </c>
      <c r="O288">
        <f>IF(CALC_EPM!$B277="","",CALC_EPM!O277)</f>
      </c>
      <c r="P288">
        <f>IF(CALC_EPM!$B277="","",CALC_EPM!P277)</f>
      </c>
      <c r="Q288">
        <f>IF(CALC_EPM!$B277="","",CALC_EPM!Q277)</f>
      </c>
      <c r="R288">
        <f>IF(CALC_EPM!$B277="","",CALC_EPM!R277)</f>
      </c>
      <c r="S288">
        <f>IF(CALC_EPM!$B277="","",CALC_EPM!S277)</f>
      </c>
      <c r="T288">
        <f>IF(CALC_EPM!$B277="","",CALC_EPM!T277)</f>
      </c>
      <c r="U288">
        <f>IF(CALC_EPM!$B277="","",CALC_EPM!U277)</f>
      </c>
    </row>
    <row r="289">
      <c r="A289" t="str">
        <f>IF(CALC_EPM!$B278="","",IF(CALC_EPM!A278="GLOBAL",IF(CALC_EPM!C278="Total","GLOBAL",IF(CALC_EPM!C278="TotalEsp","GLOBAL_ESP",IF(CALC_EPM!C278="TotalNoEsp","GLOBAL_NOESP","GLOBAL_ASIG"))),IF(CALC_EPM!C278="Total","CURSO_TOTAL",IF(CALC_EPM!C278="TotalEsp","CURSO_ESP",IF(CALC_EPM!C278="TotalNoEsp","CURSO_NOESP","CURSO_ASIG")))))</f>
      </c>
      <c r="B289" t="str">
        <f>IF(CALC_EPM!$B278="","",CALC_EPM!A278)</f>
      </c>
      <c r="C289" t="str">
        <f>IF(CALC_EPM!$B278="","",CALC_EPM!B278)</f>
      </c>
      <c r="D289">
        <f>IF(CALC_EPM!$B278="","",CALC_EPM!D278)</f>
      </c>
      <c r="E289" s="10" t="str">
        <f>IF(CALC_EPM!$B278="","",CALC_EPM!E278)</f>
      </c>
      <c r="F289" s="10" t="str">
        <f>IF(CALC_EPM!$B278="","",CALC_EPM!F278)</f>
      </c>
      <c r="G289" t="str">
        <f>IF(CALC_EPM!$B278="","",CALC_EPM!G278)</f>
      </c>
      <c r="H289" s="11" t="str">
        <f>IF(CALC_EPM!$B278="","",CALC_EPM!H278)</f>
      </c>
      <c r="I289" s="11" t="str">
        <f>IF(CALC_EPM!$B278="","",CALC_EPM!I278)</f>
      </c>
      <c r="J289" t="str">
        <f>IF(CALC_EPM!$B278="","",CALC_EPM!J278)</f>
      </c>
      <c r="K289" t="str">
        <f>IF(CALC_EPM!$B278="","",CALC_EPM!K278)</f>
      </c>
      <c r="L289">
        <f>IF(CALC_EPM!$B278="","",CALC_EPM!L278)</f>
      </c>
      <c r="M289">
        <f>IF(CALC_EPM!$B278="","",CALC_EPM!M278)</f>
      </c>
      <c r="N289">
        <f>IF(CALC_EPM!$B278="","",CALC_EPM!N278)</f>
      </c>
      <c r="O289">
        <f>IF(CALC_EPM!$B278="","",CALC_EPM!O278)</f>
      </c>
      <c r="P289">
        <f>IF(CALC_EPM!$B278="","",CALC_EPM!P278)</f>
      </c>
      <c r="Q289">
        <f>IF(CALC_EPM!$B278="","",CALC_EPM!Q278)</f>
      </c>
      <c r="R289">
        <f>IF(CALC_EPM!$B278="","",CALC_EPM!R278)</f>
      </c>
      <c r="S289">
        <f>IF(CALC_EPM!$B278="","",CALC_EPM!S278)</f>
      </c>
      <c r="T289">
        <f>IF(CALC_EPM!$B278="","",CALC_EPM!T278)</f>
      </c>
      <c r="U289">
        <f>IF(CALC_EPM!$B278="","",CALC_EPM!U278)</f>
      </c>
    </row>
    <row r="290">
      <c r="A290" t="str">
        <f>IF(CALC_EPM!$B279="","",IF(CALC_EPM!A279="GLOBAL",IF(CALC_EPM!C279="Total","GLOBAL",IF(CALC_EPM!C279="TotalEsp","GLOBAL_ESP",IF(CALC_EPM!C279="TotalNoEsp","GLOBAL_NOESP","GLOBAL_ASIG"))),IF(CALC_EPM!C279="Total","CURSO_TOTAL",IF(CALC_EPM!C279="TotalEsp","CURSO_ESP",IF(CALC_EPM!C279="TotalNoEsp","CURSO_NOESP","CURSO_ASIG")))))</f>
      </c>
      <c r="B290" t="str">
        <f>IF(CALC_EPM!$B279="","",CALC_EPM!A279)</f>
      </c>
      <c r="C290" t="str">
        <f>IF(CALC_EPM!$B279="","",CALC_EPM!B279)</f>
      </c>
      <c r="D290">
        <f>IF(CALC_EPM!$B279="","",CALC_EPM!D279)</f>
      </c>
      <c r="E290" s="10" t="str">
        <f>IF(CALC_EPM!$B279="","",CALC_EPM!E279)</f>
      </c>
      <c r="F290" s="10" t="str">
        <f>IF(CALC_EPM!$B279="","",CALC_EPM!F279)</f>
      </c>
      <c r="G290" t="str">
        <f>IF(CALC_EPM!$B279="","",CALC_EPM!G279)</f>
      </c>
      <c r="H290" s="11" t="str">
        <f>IF(CALC_EPM!$B279="","",CALC_EPM!H279)</f>
      </c>
      <c r="I290" s="11" t="str">
        <f>IF(CALC_EPM!$B279="","",CALC_EPM!I279)</f>
      </c>
      <c r="J290" t="str">
        <f>IF(CALC_EPM!$B279="","",CALC_EPM!J279)</f>
      </c>
      <c r="K290" t="str">
        <f>IF(CALC_EPM!$B279="","",CALC_EPM!K279)</f>
      </c>
      <c r="L290">
        <f>IF(CALC_EPM!$B279="","",CALC_EPM!L279)</f>
      </c>
      <c r="M290">
        <f>IF(CALC_EPM!$B279="","",CALC_EPM!M279)</f>
      </c>
      <c r="N290">
        <f>IF(CALC_EPM!$B279="","",CALC_EPM!N279)</f>
      </c>
      <c r="O290">
        <f>IF(CALC_EPM!$B279="","",CALC_EPM!O279)</f>
      </c>
      <c r="P290">
        <f>IF(CALC_EPM!$B279="","",CALC_EPM!P279)</f>
      </c>
      <c r="Q290">
        <f>IF(CALC_EPM!$B279="","",CALC_EPM!Q279)</f>
      </c>
      <c r="R290">
        <f>IF(CALC_EPM!$B279="","",CALC_EPM!R279)</f>
      </c>
      <c r="S290">
        <f>IF(CALC_EPM!$B279="","",CALC_EPM!S279)</f>
      </c>
      <c r="T290">
        <f>IF(CALC_EPM!$B279="","",CALC_EPM!T279)</f>
      </c>
      <c r="U290">
        <f>IF(CALC_EPM!$B279="","",CALC_EPM!U279)</f>
      </c>
    </row>
    <row r="291">
      <c r="A291" t="str">
        <f>IF(CALC_EPM!$B280="","",IF(CALC_EPM!A280="GLOBAL",IF(CALC_EPM!C280="Total","GLOBAL",IF(CALC_EPM!C280="TotalEsp","GLOBAL_ESP",IF(CALC_EPM!C280="TotalNoEsp","GLOBAL_NOESP","GLOBAL_ASIG"))),IF(CALC_EPM!C280="Total","CURSO_TOTAL",IF(CALC_EPM!C280="TotalEsp","CURSO_ESP",IF(CALC_EPM!C280="TotalNoEsp","CURSO_NOESP","CURSO_ASIG")))))</f>
      </c>
      <c r="B291" t="str">
        <f>IF(CALC_EPM!$B280="","",CALC_EPM!A280)</f>
      </c>
      <c r="C291" t="str">
        <f>IF(CALC_EPM!$B280="","",CALC_EPM!B280)</f>
      </c>
      <c r="D291">
        <f>IF(CALC_EPM!$B280="","",CALC_EPM!D280)</f>
      </c>
      <c r="E291" s="10" t="str">
        <f>IF(CALC_EPM!$B280="","",CALC_EPM!E280)</f>
      </c>
      <c r="F291" s="10" t="str">
        <f>IF(CALC_EPM!$B280="","",CALC_EPM!F280)</f>
      </c>
      <c r="G291" t="str">
        <f>IF(CALC_EPM!$B280="","",CALC_EPM!G280)</f>
      </c>
      <c r="H291" s="11" t="str">
        <f>IF(CALC_EPM!$B280="","",CALC_EPM!H280)</f>
      </c>
      <c r="I291" s="11" t="str">
        <f>IF(CALC_EPM!$B280="","",CALC_EPM!I280)</f>
      </c>
      <c r="J291" t="str">
        <f>IF(CALC_EPM!$B280="","",CALC_EPM!J280)</f>
      </c>
      <c r="K291" t="str">
        <f>IF(CALC_EPM!$B280="","",CALC_EPM!K280)</f>
      </c>
      <c r="L291">
        <f>IF(CALC_EPM!$B280="","",CALC_EPM!L280)</f>
      </c>
      <c r="M291">
        <f>IF(CALC_EPM!$B280="","",CALC_EPM!M280)</f>
      </c>
      <c r="N291">
        <f>IF(CALC_EPM!$B280="","",CALC_EPM!N280)</f>
      </c>
      <c r="O291">
        <f>IF(CALC_EPM!$B280="","",CALC_EPM!O280)</f>
      </c>
      <c r="P291">
        <f>IF(CALC_EPM!$B280="","",CALC_EPM!P280)</f>
      </c>
      <c r="Q291">
        <f>IF(CALC_EPM!$B280="","",CALC_EPM!Q280)</f>
      </c>
      <c r="R291">
        <f>IF(CALC_EPM!$B280="","",CALC_EPM!R280)</f>
      </c>
      <c r="S291">
        <f>IF(CALC_EPM!$B280="","",CALC_EPM!S280)</f>
      </c>
      <c r="T291">
        <f>IF(CALC_EPM!$B280="","",CALC_EPM!T280)</f>
      </c>
      <c r="U291">
        <f>IF(CALC_EPM!$B280="","",CALC_EPM!U280)</f>
      </c>
    </row>
    <row r="292">
      <c r="A292" t="str">
        <f>IF(CALC_EPM!$B281="","",IF(CALC_EPM!A281="GLOBAL",IF(CALC_EPM!C281="Total","GLOBAL",IF(CALC_EPM!C281="TotalEsp","GLOBAL_ESP",IF(CALC_EPM!C281="TotalNoEsp","GLOBAL_NOESP","GLOBAL_ASIG"))),IF(CALC_EPM!C281="Total","CURSO_TOTAL",IF(CALC_EPM!C281="TotalEsp","CURSO_ESP",IF(CALC_EPM!C281="TotalNoEsp","CURSO_NOESP","CURSO_ASIG")))))</f>
      </c>
      <c r="B292" t="str">
        <f>IF(CALC_EPM!$B281="","",CALC_EPM!A281)</f>
      </c>
      <c r="C292" t="str">
        <f>IF(CALC_EPM!$B281="","",CALC_EPM!B281)</f>
      </c>
      <c r="D292">
        <f>IF(CALC_EPM!$B281="","",CALC_EPM!D281)</f>
      </c>
      <c r="E292" s="10" t="str">
        <f>IF(CALC_EPM!$B281="","",CALC_EPM!E281)</f>
      </c>
      <c r="F292" s="10" t="str">
        <f>IF(CALC_EPM!$B281="","",CALC_EPM!F281)</f>
      </c>
      <c r="G292" t="str">
        <f>IF(CALC_EPM!$B281="","",CALC_EPM!G281)</f>
      </c>
      <c r="H292" s="11" t="str">
        <f>IF(CALC_EPM!$B281="","",CALC_EPM!H281)</f>
      </c>
      <c r="I292" s="11" t="str">
        <f>IF(CALC_EPM!$B281="","",CALC_EPM!I281)</f>
      </c>
      <c r="J292" t="str">
        <f>IF(CALC_EPM!$B281="","",CALC_EPM!J281)</f>
      </c>
      <c r="K292" t="str">
        <f>IF(CALC_EPM!$B281="","",CALC_EPM!K281)</f>
      </c>
      <c r="L292">
        <f>IF(CALC_EPM!$B281="","",CALC_EPM!L281)</f>
      </c>
      <c r="M292">
        <f>IF(CALC_EPM!$B281="","",CALC_EPM!M281)</f>
      </c>
      <c r="N292">
        <f>IF(CALC_EPM!$B281="","",CALC_EPM!N281)</f>
      </c>
      <c r="O292">
        <f>IF(CALC_EPM!$B281="","",CALC_EPM!O281)</f>
      </c>
      <c r="P292">
        <f>IF(CALC_EPM!$B281="","",CALC_EPM!P281)</f>
      </c>
      <c r="Q292">
        <f>IF(CALC_EPM!$B281="","",CALC_EPM!Q281)</f>
      </c>
      <c r="R292">
        <f>IF(CALC_EPM!$B281="","",CALC_EPM!R281)</f>
      </c>
      <c r="S292">
        <f>IF(CALC_EPM!$B281="","",CALC_EPM!S281)</f>
      </c>
      <c r="T292">
        <f>IF(CALC_EPM!$B281="","",CALC_EPM!T281)</f>
      </c>
      <c r="U292">
        <f>IF(CALC_EPM!$B281="","",CALC_EPM!U281)</f>
      </c>
    </row>
    <row r="293">
      <c r="A293" t="str">
        <f>IF(CALC_EPM!$B282="","",IF(CALC_EPM!A282="GLOBAL",IF(CALC_EPM!C282="Total","GLOBAL",IF(CALC_EPM!C282="TotalEsp","GLOBAL_ESP",IF(CALC_EPM!C282="TotalNoEsp","GLOBAL_NOESP","GLOBAL_ASIG"))),IF(CALC_EPM!C282="Total","CURSO_TOTAL",IF(CALC_EPM!C282="TotalEsp","CURSO_ESP",IF(CALC_EPM!C282="TotalNoEsp","CURSO_NOESP","CURSO_ASIG")))))</f>
      </c>
      <c r="B293" t="str">
        <f>IF(CALC_EPM!$B282="","",CALC_EPM!A282)</f>
      </c>
      <c r="C293" t="str">
        <f>IF(CALC_EPM!$B282="","",CALC_EPM!B282)</f>
      </c>
      <c r="D293">
        <f>IF(CALC_EPM!$B282="","",CALC_EPM!D282)</f>
      </c>
      <c r="E293" s="10" t="str">
        <f>IF(CALC_EPM!$B282="","",CALC_EPM!E282)</f>
      </c>
      <c r="F293" s="10" t="str">
        <f>IF(CALC_EPM!$B282="","",CALC_EPM!F282)</f>
      </c>
      <c r="G293" t="str">
        <f>IF(CALC_EPM!$B282="","",CALC_EPM!G282)</f>
      </c>
      <c r="H293" s="11" t="str">
        <f>IF(CALC_EPM!$B282="","",CALC_EPM!H282)</f>
      </c>
      <c r="I293" s="11" t="str">
        <f>IF(CALC_EPM!$B282="","",CALC_EPM!I282)</f>
      </c>
      <c r="J293" t="str">
        <f>IF(CALC_EPM!$B282="","",CALC_EPM!J282)</f>
      </c>
      <c r="K293" t="str">
        <f>IF(CALC_EPM!$B282="","",CALC_EPM!K282)</f>
      </c>
      <c r="L293">
        <f>IF(CALC_EPM!$B282="","",CALC_EPM!L282)</f>
      </c>
      <c r="M293">
        <f>IF(CALC_EPM!$B282="","",CALC_EPM!M282)</f>
      </c>
      <c r="N293">
        <f>IF(CALC_EPM!$B282="","",CALC_EPM!N282)</f>
      </c>
      <c r="O293">
        <f>IF(CALC_EPM!$B282="","",CALC_EPM!O282)</f>
      </c>
      <c r="P293">
        <f>IF(CALC_EPM!$B282="","",CALC_EPM!P282)</f>
      </c>
      <c r="Q293">
        <f>IF(CALC_EPM!$B282="","",CALC_EPM!Q282)</f>
      </c>
      <c r="R293">
        <f>IF(CALC_EPM!$B282="","",CALC_EPM!R282)</f>
      </c>
      <c r="S293">
        <f>IF(CALC_EPM!$B282="","",CALC_EPM!S282)</f>
      </c>
      <c r="T293">
        <f>IF(CALC_EPM!$B282="","",CALC_EPM!T282)</f>
      </c>
      <c r="U293">
        <f>IF(CALC_EPM!$B282="","",CALC_EPM!U282)</f>
      </c>
    </row>
    <row r="294">
      <c r="A294" t="str">
        <f>IF(CALC_EPM!$B283="","",IF(CALC_EPM!A283="GLOBAL",IF(CALC_EPM!C283="Total","GLOBAL",IF(CALC_EPM!C283="TotalEsp","GLOBAL_ESP",IF(CALC_EPM!C283="TotalNoEsp","GLOBAL_NOESP","GLOBAL_ASIG"))),IF(CALC_EPM!C283="Total","CURSO_TOTAL",IF(CALC_EPM!C283="TotalEsp","CURSO_ESP",IF(CALC_EPM!C283="TotalNoEsp","CURSO_NOESP","CURSO_ASIG")))))</f>
      </c>
      <c r="B294" t="str">
        <f>IF(CALC_EPM!$B283="","",CALC_EPM!A283)</f>
      </c>
      <c r="C294" t="str">
        <f>IF(CALC_EPM!$B283="","",CALC_EPM!B283)</f>
      </c>
      <c r="D294">
        <f>IF(CALC_EPM!$B283="","",CALC_EPM!D283)</f>
      </c>
      <c r="E294" s="10" t="str">
        <f>IF(CALC_EPM!$B283="","",CALC_EPM!E283)</f>
      </c>
      <c r="F294" s="10" t="str">
        <f>IF(CALC_EPM!$B283="","",CALC_EPM!F283)</f>
      </c>
      <c r="G294" t="str">
        <f>IF(CALC_EPM!$B283="","",CALC_EPM!G283)</f>
      </c>
      <c r="H294" s="11" t="str">
        <f>IF(CALC_EPM!$B283="","",CALC_EPM!H283)</f>
      </c>
      <c r="I294" s="11" t="str">
        <f>IF(CALC_EPM!$B283="","",CALC_EPM!I283)</f>
      </c>
      <c r="J294" t="str">
        <f>IF(CALC_EPM!$B283="","",CALC_EPM!J283)</f>
      </c>
      <c r="K294" t="str">
        <f>IF(CALC_EPM!$B283="","",CALC_EPM!K283)</f>
      </c>
      <c r="L294">
        <f>IF(CALC_EPM!$B283="","",CALC_EPM!L283)</f>
      </c>
      <c r="M294">
        <f>IF(CALC_EPM!$B283="","",CALC_EPM!M283)</f>
      </c>
      <c r="N294">
        <f>IF(CALC_EPM!$B283="","",CALC_EPM!N283)</f>
      </c>
      <c r="O294">
        <f>IF(CALC_EPM!$B283="","",CALC_EPM!O283)</f>
      </c>
      <c r="P294">
        <f>IF(CALC_EPM!$B283="","",CALC_EPM!P283)</f>
      </c>
      <c r="Q294">
        <f>IF(CALC_EPM!$B283="","",CALC_EPM!Q283)</f>
      </c>
      <c r="R294">
        <f>IF(CALC_EPM!$B283="","",CALC_EPM!R283)</f>
      </c>
      <c r="S294">
        <f>IF(CALC_EPM!$B283="","",CALC_EPM!S283)</f>
      </c>
      <c r="T294">
        <f>IF(CALC_EPM!$B283="","",CALC_EPM!T283)</f>
      </c>
      <c r="U294">
        <f>IF(CALC_EPM!$B283="","",CALC_EPM!U283)</f>
      </c>
    </row>
    <row r="295">
      <c r="A295" t="str">
        <f>IF(CALC_EPM!$B284="","",IF(CALC_EPM!A284="GLOBAL",IF(CALC_EPM!C284="Total","GLOBAL",IF(CALC_EPM!C284="TotalEsp","GLOBAL_ESP",IF(CALC_EPM!C284="TotalNoEsp","GLOBAL_NOESP","GLOBAL_ASIG"))),IF(CALC_EPM!C284="Total","CURSO_TOTAL",IF(CALC_EPM!C284="TotalEsp","CURSO_ESP",IF(CALC_EPM!C284="TotalNoEsp","CURSO_NOESP","CURSO_ASIG")))))</f>
      </c>
      <c r="B295" t="str">
        <f>IF(CALC_EPM!$B284="","",CALC_EPM!A284)</f>
      </c>
      <c r="C295" t="str">
        <f>IF(CALC_EPM!$B284="","",CALC_EPM!B284)</f>
      </c>
      <c r="D295">
        <f>IF(CALC_EPM!$B284="","",CALC_EPM!D284)</f>
      </c>
      <c r="E295" s="10" t="str">
        <f>IF(CALC_EPM!$B284="","",CALC_EPM!E284)</f>
      </c>
      <c r="F295" s="10" t="str">
        <f>IF(CALC_EPM!$B284="","",CALC_EPM!F284)</f>
      </c>
      <c r="G295" t="str">
        <f>IF(CALC_EPM!$B284="","",CALC_EPM!G284)</f>
      </c>
      <c r="H295" s="11" t="str">
        <f>IF(CALC_EPM!$B284="","",CALC_EPM!H284)</f>
      </c>
      <c r="I295" s="11" t="str">
        <f>IF(CALC_EPM!$B284="","",CALC_EPM!I284)</f>
      </c>
      <c r="J295" t="str">
        <f>IF(CALC_EPM!$B284="","",CALC_EPM!J284)</f>
      </c>
      <c r="K295" t="str">
        <f>IF(CALC_EPM!$B284="","",CALC_EPM!K284)</f>
      </c>
      <c r="L295">
        <f>IF(CALC_EPM!$B284="","",CALC_EPM!L284)</f>
      </c>
      <c r="M295">
        <f>IF(CALC_EPM!$B284="","",CALC_EPM!M284)</f>
      </c>
      <c r="N295">
        <f>IF(CALC_EPM!$B284="","",CALC_EPM!N284)</f>
      </c>
      <c r="O295">
        <f>IF(CALC_EPM!$B284="","",CALC_EPM!O284)</f>
      </c>
      <c r="P295">
        <f>IF(CALC_EPM!$B284="","",CALC_EPM!P284)</f>
      </c>
      <c r="Q295">
        <f>IF(CALC_EPM!$B284="","",CALC_EPM!Q284)</f>
      </c>
      <c r="R295">
        <f>IF(CALC_EPM!$B284="","",CALC_EPM!R284)</f>
      </c>
      <c r="S295">
        <f>IF(CALC_EPM!$B284="","",CALC_EPM!S284)</f>
      </c>
      <c r="T295">
        <f>IF(CALC_EPM!$B284="","",CALC_EPM!T284)</f>
      </c>
      <c r="U295">
        <f>IF(CALC_EPM!$B284="","",CALC_EPM!U284)</f>
      </c>
    </row>
    <row r="296">
      <c r="A296" t="str">
        <f>IF(CALC_EPM!$B285="","",IF(CALC_EPM!A285="GLOBAL",IF(CALC_EPM!C285="Total","GLOBAL",IF(CALC_EPM!C285="TotalEsp","GLOBAL_ESP",IF(CALC_EPM!C285="TotalNoEsp","GLOBAL_NOESP","GLOBAL_ASIG"))),IF(CALC_EPM!C285="Total","CURSO_TOTAL",IF(CALC_EPM!C285="TotalEsp","CURSO_ESP",IF(CALC_EPM!C285="TotalNoEsp","CURSO_NOESP","CURSO_ASIG")))))</f>
      </c>
      <c r="B296" t="str">
        <f>IF(CALC_EPM!$B285="","",CALC_EPM!A285)</f>
      </c>
      <c r="C296" t="str">
        <f>IF(CALC_EPM!$B285="","",CALC_EPM!B285)</f>
      </c>
      <c r="D296">
        <f>IF(CALC_EPM!$B285="","",CALC_EPM!D285)</f>
      </c>
      <c r="E296" s="10" t="str">
        <f>IF(CALC_EPM!$B285="","",CALC_EPM!E285)</f>
      </c>
      <c r="F296" s="10" t="str">
        <f>IF(CALC_EPM!$B285="","",CALC_EPM!F285)</f>
      </c>
      <c r="G296" t="str">
        <f>IF(CALC_EPM!$B285="","",CALC_EPM!G285)</f>
      </c>
      <c r="H296" s="11" t="str">
        <f>IF(CALC_EPM!$B285="","",CALC_EPM!H285)</f>
      </c>
      <c r="I296" s="11" t="str">
        <f>IF(CALC_EPM!$B285="","",CALC_EPM!I285)</f>
      </c>
      <c r="J296" t="str">
        <f>IF(CALC_EPM!$B285="","",CALC_EPM!J285)</f>
      </c>
      <c r="K296" t="str">
        <f>IF(CALC_EPM!$B285="","",CALC_EPM!K285)</f>
      </c>
      <c r="L296">
        <f>IF(CALC_EPM!$B285="","",CALC_EPM!L285)</f>
      </c>
      <c r="M296">
        <f>IF(CALC_EPM!$B285="","",CALC_EPM!M285)</f>
      </c>
      <c r="N296">
        <f>IF(CALC_EPM!$B285="","",CALC_EPM!N285)</f>
      </c>
      <c r="O296">
        <f>IF(CALC_EPM!$B285="","",CALC_EPM!O285)</f>
      </c>
      <c r="P296">
        <f>IF(CALC_EPM!$B285="","",CALC_EPM!P285)</f>
      </c>
      <c r="Q296">
        <f>IF(CALC_EPM!$B285="","",CALC_EPM!Q285)</f>
      </c>
      <c r="R296">
        <f>IF(CALC_EPM!$B285="","",CALC_EPM!R285)</f>
      </c>
      <c r="S296">
        <f>IF(CALC_EPM!$B285="","",CALC_EPM!S285)</f>
      </c>
      <c r="T296">
        <f>IF(CALC_EPM!$B285="","",CALC_EPM!T285)</f>
      </c>
      <c r="U296">
        <f>IF(CALC_EPM!$B285="","",CALC_EPM!U285)</f>
      </c>
    </row>
    <row r="297">
      <c r="A297" t="str">
        <f>IF(CALC_EPM!$B286="","",IF(CALC_EPM!A286="GLOBAL",IF(CALC_EPM!C286="Total","GLOBAL",IF(CALC_EPM!C286="TotalEsp","GLOBAL_ESP",IF(CALC_EPM!C286="TotalNoEsp","GLOBAL_NOESP","GLOBAL_ASIG"))),IF(CALC_EPM!C286="Total","CURSO_TOTAL",IF(CALC_EPM!C286="TotalEsp","CURSO_ESP",IF(CALC_EPM!C286="TotalNoEsp","CURSO_NOESP","CURSO_ASIG")))))</f>
      </c>
      <c r="B297" t="str">
        <f>IF(CALC_EPM!$B286="","",CALC_EPM!A286)</f>
      </c>
      <c r="C297" t="str">
        <f>IF(CALC_EPM!$B286="","",CALC_EPM!B286)</f>
      </c>
      <c r="D297">
        <f>IF(CALC_EPM!$B286="","",CALC_EPM!D286)</f>
      </c>
      <c r="E297" s="10" t="str">
        <f>IF(CALC_EPM!$B286="","",CALC_EPM!E286)</f>
      </c>
      <c r="F297" s="10" t="str">
        <f>IF(CALC_EPM!$B286="","",CALC_EPM!F286)</f>
      </c>
      <c r="G297" t="str">
        <f>IF(CALC_EPM!$B286="","",CALC_EPM!G286)</f>
      </c>
      <c r="H297" s="11" t="str">
        <f>IF(CALC_EPM!$B286="","",CALC_EPM!H286)</f>
      </c>
      <c r="I297" s="11" t="str">
        <f>IF(CALC_EPM!$B286="","",CALC_EPM!I286)</f>
      </c>
      <c r="J297" t="str">
        <f>IF(CALC_EPM!$B286="","",CALC_EPM!J286)</f>
      </c>
      <c r="K297" t="str">
        <f>IF(CALC_EPM!$B286="","",CALC_EPM!K286)</f>
      </c>
      <c r="L297">
        <f>IF(CALC_EPM!$B286="","",CALC_EPM!L286)</f>
      </c>
      <c r="M297">
        <f>IF(CALC_EPM!$B286="","",CALC_EPM!M286)</f>
      </c>
      <c r="N297">
        <f>IF(CALC_EPM!$B286="","",CALC_EPM!N286)</f>
      </c>
      <c r="O297">
        <f>IF(CALC_EPM!$B286="","",CALC_EPM!O286)</f>
      </c>
      <c r="P297">
        <f>IF(CALC_EPM!$B286="","",CALC_EPM!P286)</f>
      </c>
      <c r="Q297">
        <f>IF(CALC_EPM!$B286="","",CALC_EPM!Q286)</f>
      </c>
      <c r="R297">
        <f>IF(CALC_EPM!$B286="","",CALC_EPM!R286)</f>
      </c>
      <c r="S297">
        <f>IF(CALC_EPM!$B286="","",CALC_EPM!S286)</f>
      </c>
      <c r="T297">
        <f>IF(CALC_EPM!$B286="","",CALC_EPM!T286)</f>
      </c>
      <c r="U297">
        <f>IF(CALC_EPM!$B286="","",CALC_EPM!U286)</f>
      </c>
    </row>
    <row r="298">
      <c r="A298" t="str">
        <f>IF(CALC_EPM!$B287="","",IF(CALC_EPM!A287="GLOBAL",IF(CALC_EPM!C287="Total","GLOBAL",IF(CALC_EPM!C287="TotalEsp","GLOBAL_ESP",IF(CALC_EPM!C287="TotalNoEsp","GLOBAL_NOESP","GLOBAL_ASIG"))),IF(CALC_EPM!C287="Total","CURSO_TOTAL",IF(CALC_EPM!C287="TotalEsp","CURSO_ESP",IF(CALC_EPM!C287="TotalNoEsp","CURSO_NOESP","CURSO_ASIG")))))</f>
      </c>
      <c r="B298" t="str">
        <f>IF(CALC_EPM!$B287="","",CALC_EPM!A287)</f>
      </c>
      <c r="C298" t="str">
        <f>IF(CALC_EPM!$B287="","",CALC_EPM!B287)</f>
      </c>
      <c r="D298">
        <f>IF(CALC_EPM!$B287="","",CALC_EPM!D287)</f>
      </c>
      <c r="E298" s="10" t="str">
        <f>IF(CALC_EPM!$B287="","",CALC_EPM!E287)</f>
      </c>
      <c r="F298" s="10" t="str">
        <f>IF(CALC_EPM!$B287="","",CALC_EPM!F287)</f>
      </c>
      <c r="G298" t="str">
        <f>IF(CALC_EPM!$B287="","",CALC_EPM!G287)</f>
      </c>
      <c r="H298" s="11" t="str">
        <f>IF(CALC_EPM!$B287="","",CALC_EPM!H287)</f>
      </c>
      <c r="I298" s="11" t="str">
        <f>IF(CALC_EPM!$B287="","",CALC_EPM!I287)</f>
      </c>
      <c r="J298" t="str">
        <f>IF(CALC_EPM!$B287="","",CALC_EPM!J287)</f>
      </c>
      <c r="K298" t="str">
        <f>IF(CALC_EPM!$B287="","",CALC_EPM!K287)</f>
      </c>
      <c r="L298">
        <f>IF(CALC_EPM!$B287="","",CALC_EPM!L287)</f>
      </c>
      <c r="M298">
        <f>IF(CALC_EPM!$B287="","",CALC_EPM!M287)</f>
      </c>
      <c r="N298">
        <f>IF(CALC_EPM!$B287="","",CALC_EPM!N287)</f>
      </c>
      <c r="O298">
        <f>IF(CALC_EPM!$B287="","",CALC_EPM!O287)</f>
      </c>
      <c r="P298">
        <f>IF(CALC_EPM!$B287="","",CALC_EPM!P287)</f>
      </c>
      <c r="Q298">
        <f>IF(CALC_EPM!$B287="","",CALC_EPM!Q287)</f>
      </c>
      <c r="R298">
        <f>IF(CALC_EPM!$B287="","",CALC_EPM!R287)</f>
      </c>
      <c r="S298">
        <f>IF(CALC_EPM!$B287="","",CALC_EPM!S287)</f>
      </c>
      <c r="T298">
        <f>IF(CALC_EPM!$B287="","",CALC_EPM!T287)</f>
      </c>
      <c r="U298">
        <f>IF(CALC_EPM!$B287="","",CALC_EPM!U287)</f>
      </c>
    </row>
    <row r="299">
      <c r="A299" t="str">
        <f>IF(CALC_EPM!$B288="","",IF(CALC_EPM!A288="GLOBAL",IF(CALC_EPM!C288="Total","GLOBAL",IF(CALC_EPM!C288="TotalEsp","GLOBAL_ESP",IF(CALC_EPM!C288="TotalNoEsp","GLOBAL_NOESP","GLOBAL_ASIG"))),IF(CALC_EPM!C288="Total","CURSO_TOTAL",IF(CALC_EPM!C288="TotalEsp","CURSO_ESP",IF(CALC_EPM!C288="TotalNoEsp","CURSO_NOESP","CURSO_ASIG")))))</f>
      </c>
      <c r="B299" t="str">
        <f>IF(CALC_EPM!$B288="","",CALC_EPM!A288)</f>
      </c>
      <c r="C299" t="str">
        <f>IF(CALC_EPM!$B288="","",CALC_EPM!B288)</f>
      </c>
      <c r="D299">
        <f>IF(CALC_EPM!$B288="","",CALC_EPM!D288)</f>
      </c>
      <c r="E299" s="10" t="str">
        <f>IF(CALC_EPM!$B288="","",CALC_EPM!E288)</f>
      </c>
      <c r="F299" s="10" t="str">
        <f>IF(CALC_EPM!$B288="","",CALC_EPM!F288)</f>
      </c>
      <c r="G299" t="str">
        <f>IF(CALC_EPM!$B288="","",CALC_EPM!G288)</f>
      </c>
      <c r="H299" s="11" t="str">
        <f>IF(CALC_EPM!$B288="","",CALC_EPM!H288)</f>
      </c>
      <c r="I299" s="11" t="str">
        <f>IF(CALC_EPM!$B288="","",CALC_EPM!I288)</f>
      </c>
      <c r="J299" t="str">
        <f>IF(CALC_EPM!$B288="","",CALC_EPM!J288)</f>
      </c>
      <c r="K299" t="str">
        <f>IF(CALC_EPM!$B288="","",CALC_EPM!K288)</f>
      </c>
      <c r="L299">
        <f>IF(CALC_EPM!$B288="","",CALC_EPM!L288)</f>
      </c>
      <c r="M299">
        <f>IF(CALC_EPM!$B288="","",CALC_EPM!M288)</f>
      </c>
      <c r="N299">
        <f>IF(CALC_EPM!$B288="","",CALC_EPM!N288)</f>
      </c>
      <c r="O299">
        <f>IF(CALC_EPM!$B288="","",CALC_EPM!O288)</f>
      </c>
      <c r="P299">
        <f>IF(CALC_EPM!$B288="","",CALC_EPM!P288)</f>
      </c>
      <c r="Q299">
        <f>IF(CALC_EPM!$B288="","",CALC_EPM!Q288)</f>
      </c>
      <c r="R299">
        <f>IF(CALC_EPM!$B288="","",CALC_EPM!R288)</f>
      </c>
      <c r="S299">
        <f>IF(CALC_EPM!$B288="","",CALC_EPM!S288)</f>
      </c>
      <c r="T299">
        <f>IF(CALC_EPM!$B288="","",CALC_EPM!T288)</f>
      </c>
      <c r="U299">
        <f>IF(CALC_EPM!$B288="","",CALC_EPM!U288)</f>
      </c>
    </row>
    <row r="300">
      <c r="A300" t="str">
        <f>IF(CALC_EPM!$B289="","",IF(CALC_EPM!A289="GLOBAL",IF(CALC_EPM!C289="Total","GLOBAL",IF(CALC_EPM!C289="TotalEsp","GLOBAL_ESP",IF(CALC_EPM!C289="TotalNoEsp","GLOBAL_NOESP","GLOBAL_ASIG"))),IF(CALC_EPM!C289="Total","CURSO_TOTAL",IF(CALC_EPM!C289="TotalEsp","CURSO_ESP",IF(CALC_EPM!C289="TotalNoEsp","CURSO_NOESP","CURSO_ASIG")))))</f>
      </c>
      <c r="B300" t="str">
        <f>IF(CALC_EPM!$B289="","",CALC_EPM!A289)</f>
      </c>
      <c r="C300" t="str">
        <f>IF(CALC_EPM!$B289="","",CALC_EPM!B289)</f>
      </c>
      <c r="D300">
        <f>IF(CALC_EPM!$B289="","",CALC_EPM!D289)</f>
      </c>
      <c r="E300" s="10" t="str">
        <f>IF(CALC_EPM!$B289="","",CALC_EPM!E289)</f>
      </c>
      <c r="F300" s="10" t="str">
        <f>IF(CALC_EPM!$B289="","",CALC_EPM!F289)</f>
      </c>
      <c r="G300" t="str">
        <f>IF(CALC_EPM!$B289="","",CALC_EPM!G289)</f>
      </c>
      <c r="H300" s="11" t="str">
        <f>IF(CALC_EPM!$B289="","",CALC_EPM!H289)</f>
      </c>
      <c r="I300" s="11" t="str">
        <f>IF(CALC_EPM!$B289="","",CALC_EPM!I289)</f>
      </c>
      <c r="J300" t="str">
        <f>IF(CALC_EPM!$B289="","",CALC_EPM!J289)</f>
      </c>
      <c r="K300" t="str">
        <f>IF(CALC_EPM!$B289="","",CALC_EPM!K289)</f>
      </c>
      <c r="L300">
        <f>IF(CALC_EPM!$B289="","",CALC_EPM!L289)</f>
      </c>
      <c r="M300">
        <f>IF(CALC_EPM!$B289="","",CALC_EPM!M289)</f>
      </c>
      <c r="N300">
        <f>IF(CALC_EPM!$B289="","",CALC_EPM!N289)</f>
      </c>
      <c r="O300">
        <f>IF(CALC_EPM!$B289="","",CALC_EPM!O289)</f>
      </c>
      <c r="P300">
        <f>IF(CALC_EPM!$B289="","",CALC_EPM!P289)</f>
      </c>
      <c r="Q300">
        <f>IF(CALC_EPM!$B289="","",CALC_EPM!Q289)</f>
      </c>
      <c r="R300">
        <f>IF(CALC_EPM!$B289="","",CALC_EPM!R289)</f>
      </c>
      <c r="S300">
        <f>IF(CALC_EPM!$B289="","",CALC_EPM!S289)</f>
      </c>
      <c r="T300">
        <f>IF(CALC_EPM!$B289="","",CALC_EPM!T289)</f>
      </c>
      <c r="U300">
        <f>IF(CALC_EPM!$B289="","",CALC_EPM!U289)</f>
      </c>
    </row>
    <row r="301">
      <c r="A301" t="str">
        <f>IF(CALC_EPM!$B290="","",IF(CALC_EPM!A290="GLOBAL",IF(CALC_EPM!C290="Total","GLOBAL",IF(CALC_EPM!C290="TotalEsp","GLOBAL_ESP",IF(CALC_EPM!C290="TotalNoEsp","GLOBAL_NOESP","GLOBAL_ASIG"))),IF(CALC_EPM!C290="Total","CURSO_TOTAL",IF(CALC_EPM!C290="TotalEsp","CURSO_ESP",IF(CALC_EPM!C290="TotalNoEsp","CURSO_NOESP","CURSO_ASIG")))))</f>
      </c>
      <c r="B301" t="str">
        <f>IF(CALC_EPM!$B290="","",CALC_EPM!A290)</f>
      </c>
      <c r="C301" t="str">
        <f>IF(CALC_EPM!$B290="","",CALC_EPM!B290)</f>
      </c>
      <c r="D301">
        <f>IF(CALC_EPM!$B290="","",CALC_EPM!D290)</f>
      </c>
      <c r="E301" s="10" t="str">
        <f>IF(CALC_EPM!$B290="","",CALC_EPM!E290)</f>
      </c>
      <c r="F301" s="10" t="str">
        <f>IF(CALC_EPM!$B290="","",CALC_EPM!F290)</f>
      </c>
      <c r="G301" t="str">
        <f>IF(CALC_EPM!$B290="","",CALC_EPM!G290)</f>
      </c>
      <c r="H301" s="11" t="str">
        <f>IF(CALC_EPM!$B290="","",CALC_EPM!H290)</f>
      </c>
      <c r="I301" s="11" t="str">
        <f>IF(CALC_EPM!$B290="","",CALC_EPM!I290)</f>
      </c>
      <c r="J301" t="str">
        <f>IF(CALC_EPM!$B290="","",CALC_EPM!J290)</f>
      </c>
      <c r="K301" t="str">
        <f>IF(CALC_EPM!$B290="","",CALC_EPM!K290)</f>
      </c>
      <c r="L301">
        <f>IF(CALC_EPM!$B290="","",CALC_EPM!L290)</f>
      </c>
      <c r="M301">
        <f>IF(CALC_EPM!$B290="","",CALC_EPM!M290)</f>
      </c>
      <c r="N301">
        <f>IF(CALC_EPM!$B290="","",CALC_EPM!N290)</f>
      </c>
      <c r="O301">
        <f>IF(CALC_EPM!$B290="","",CALC_EPM!O290)</f>
      </c>
      <c r="P301">
        <f>IF(CALC_EPM!$B290="","",CALC_EPM!P290)</f>
      </c>
      <c r="Q301">
        <f>IF(CALC_EPM!$B290="","",CALC_EPM!Q290)</f>
      </c>
      <c r="R301">
        <f>IF(CALC_EPM!$B290="","",CALC_EPM!R290)</f>
      </c>
      <c r="S301">
        <f>IF(CALC_EPM!$B290="","",CALC_EPM!S290)</f>
      </c>
      <c r="T301">
        <f>IF(CALC_EPM!$B290="","",CALC_EPM!T290)</f>
      </c>
      <c r="U301">
        <f>IF(CALC_EPM!$B290="","",CALC_EPM!U290)</f>
      </c>
    </row>
    <row r="302">
      <c r="A302" t="str">
        <f>IF(CALC_EPM!$B291="","",IF(CALC_EPM!A291="GLOBAL",IF(CALC_EPM!C291="Total","GLOBAL",IF(CALC_EPM!C291="TotalEsp","GLOBAL_ESP",IF(CALC_EPM!C291="TotalNoEsp","GLOBAL_NOESP","GLOBAL_ASIG"))),IF(CALC_EPM!C291="Total","CURSO_TOTAL",IF(CALC_EPM!C291="TotalEsp","CURSO_ESP",IF(CALC_EPM!C291="TotalNoEsp","CURSO_NOESP","CURSO_ASIG")))))</f>
      </c>
      <c r="B302" t="str">
        <f>IF(CALC_EPM!$B291="","",CALC_EPM!A291)</f>
      </c>
      <c r="C302" t="str">
        <f>IF(CALC_EPM!$B291="","",CALC_EPM!B291)</f>
      </c>
      <c r="D302">
        <f>IF(CALC_EPM!$B291="","",CALC_EPM!D291)</f>
      </c>
      <c r="E302" s="10" t="str">
        <f>IF(CALC_EPM!$B291="","",CALC_EPM!E291)</f>
      </c>
      <c r="F302" s="10" t="str">
        <f>IF(CALC_EPM!$B291="","",CALC_EPM!F291)</f>
      </c>
      <c r="G302" t="str">
        <f>IF(CALC_EPM!$B291="","",CALC_EPM!G291)</f>
      </c>
      <c r="H302" s="11" t="str">
        <f>IF(CALC_EPM!$B291="","",CALC_EPM!H291)</f>
      </c>
      <c r="I302" s="11" t="str">
        <f>IF(CALC_EPM!$B291="","",CALC_EPM!I291)</f>
      </c>
      <c r="J302" t="str">
        <f>IF(CALC_EPM!$B291="","",CALC_EPM!J291)</f>
      </c>
      <c r="K302" t="str">
        <f>IF(CALC_EPM!$B291="","",CALC_EPM!K291)</f>
      </c>
      <c r="L302">
        <f>IF(CALC_EPM!$B291="","",CALC_EPM!L291)</f>
      </c>
      <c r="M302">
        <f>IF(CALC_EPM!$B291="","",CALC_EPM!M291)</f>
      </c>
      <c r="N302">
        <f>IF(CALC_EPM!$B291="","",CALC_EPM!N291)</f>
      </c>
      <c r="O302">
        <f>IF(CALC_EPM!$B291="","",CALC_EPM!O291)</f>
      </c>
      <c r="P302">
        <f>IF(CALC_EPM!$B291="","",CALC_EPM!P291)</f>
      </c>
      <c r="Q302">
        <f>IF(CALC_EPM!$B291="","",CALC_EPM!Q291)</f>
      </c>
      <c r="R302">
        <f>IF(CALC_EPM!$B291="","",CALC_EPM!R291)</f>
      </c>
      <c r="S302">
        <f>IF(CALC_EPM!$B291="","",CALC_EPM!S291)</f>
      </c>
      <c r="T302">
        <f>IF(CALC_EPM!$B291="","",CALC_EPM!T291)</f>
      </c>
      <c r="U302">
        <f>IF(CALC_EPM!$B291="","",CALC_EPM!U291)</f>
      </c>
    </row>
    <row r="303">
      <c r="A303" t="str">
        <f>IF(CALC_EPM!$B292="","",IF(CALC_EPM!A292="GLOBAL",IF(CALC_EPM!C292="Total","GLOBAL",IF(CALC_EPM!C292="TotalEsp","GLOBAL_ESP",IF(CALC_EPM!C292="TotalNoEsp","GLOBAL_NOESP","GLOBAL_ASIG"))),IF(CALC_EPM!C292="Total","CURSO_TOTAL",IF(CALC_EPM!C292="TotalEsp","CURSO_ESP",IF(CALC_EPM!C292="TotalNoEsp","CURSO_NOESP","CURSO_ASIG")))))</f>
      </c>
      <c r="B303" t="str">
        <f>IF(CALC_EPM!$B292="","",CALC_EPM!A292)</f>
      </c>
      <c r="C303" t="str">
        <f>IF(CALC_EPM!$B292="","",CALC_EPM!B292)</f>
      </c>
      <c r="D303">
        <f>IF(CALC_EPM!$B292="","",CALC_EPM!D292)</f>
      </c>
      <c r="E303" s="10" t="str">
        <f>IF(CALC_EPM!$B292="","",CALC_EPM!E292)</f>
      </c>
      <c r="F303" s="10" t="str">
        <f>IF(CALC_EPM!$B292="","",CALC_EPM!F292)</f>
      </c>
      <c r="G303" t="str">
        <f>IF(CALC_EPM!$B292="","",CALC_EPM!G292)</f>
      </c>
      <c r="H303" s="11" t="str">
        <f>IF(CALC_EPM!$B292="","",CALC_EPM!H292)</f>
      </c>
      <c r="I303" s="11" t="str">
        <f>IF(CALC_EPM!$B292="","",CALC_EPM!I292)</f>
      </c>
      <c r="J303" t="str">
        <f>IF(CALC_EPM!$B292="","",CALC_EPM!J292)</f>
      </c>
      <c r="K303" t="str">
        <f>IF(CALC_EPM!$B292="","",CALC_EPM!K292)</f>
      </c>
      <c r="L303">
        <f>IF(CALC_EPM!$B292="","",CALC_EPM!L292)</f>
      </c>
      <c r="M303">
        <f>IF(CALC_EPM!$B292="","",CALC_EPM!M292)</f>
      </c>
      <c r="N303">
        <f>IF(CALC_EPM!$B292="","",CALC_EPM!N292)</f>
      </c>
      <c r="O303">
        <f>IF(CALC_EPM!$B292="","",CALC_EPM!O292)</f>
      </c>
      <c r="P303">
        <f>IF(CALC_EPM!$B292="","",CALC_EPM!P292)</f>
      </c>
      <c r="Q303">
        <f>IF(CALC_EPM!$B292="","",CALC_EPM!Q292)</f>
      </c>
      <c r="R303">
        <f>IF(CALC_EPM!$B292="","",CALC_EPM!R292)</f>
      </c>
      <c r="S303">
        <f>IF(CALC_EPM!$B292="","",CALC_EPM!S292)</f>
      </c>
      <c r="T303">
        <f>IF(CALC_EPM!$B292="","",CALC_EPM!T292)</f>
      </c>
      <c r="U303">
        <f>IF(CALC_EPM!$B292="","",CALC_EPM!U292)</f>
      </c>
    </row>
    <row r="304">
      <c r="A304" t="str">
        <f>IF(CALC_EPM!$B293="","",IF(CALC_EPM!A293="GLOBAL",IF(CALC_EPM!C293="Total","GLOBAL",IF(CALC_EPM!C293="TotalEsp","GLOBAL_ESP",IF(CALC_EPM!C293="TotalNoEsp","GLOBAL_NOESP","GLOBAL_ASIG"))),IF(CALC_EPM!C293="Total","CURSO_TOTAL",IF(CALC_EPM!C293="TotalEsp","CURSO_ESP",IF(CALC_EPM!C293="TotalNoEsp","CURSO_NOESP","CURSO_ASIG")))))</f>
      </c>
      <c r="B304" t="str">
        <f>IF(CALC_EPM!$B293="","",CALC_EPM!A293)</f>
      </c>
      <c r="C304" t="str">
        <f>IF(CALC_EPM!$B293="","",CALC_EPM!B293)</f>
      </c>
      <c r="D304">
        <f>IF(CALC_EPM!$B293="","",CALC_EPM!D293)</f>
      </c>
      <c r="E304" s="10" t="str">
        <f>IF(CALC_EPM!$B293="","",CALC_EPM!E293)</f>
      </c>
      <c r="F304" s="10" t="str">
        <f>IF(CALC_EPM!$B293="","",CALC_EPM!F293)</f>
      </c>
      <c r="G304" t="str">
        <f>IF(CALC_EPM!$B293="","",CALC_EPM!G293)</f>
      </c>
      <c r="H304" s="11" t="str">
        <f>IF(CALC_EPM!$B293="","",CALC_EPM!H293)</f>
      </c>
      <c r="I304" s="11" t="str">
        <f>IF(CALC_EPM!$B293="","",CALC_EPM!I293)</f>
      </c>
      <c r="J304" t="str">
        <f>IF(CALC_EPM!$B293="","",CALC_EPM!J293)</f>
      </c>
      <c r="K304" t="str">
        <f>IF(CALC_EPM!$B293="","",CALC_EPM!K293)</f>
      </c>
      <c r="L304">
        <f>IF(CALC_EPM!$B293="","",CALC_EPM!L293)</f>
      </c>
      <c r="M304">
        <f>IF(CALC_EPM!$B293="","",CALC_EPM!M293)</f>
      </c>
      <c r="N304">
        <f>IF(CALC_EPM!$B293="","",CALC_EPM!N293)</f>
      </c>
      <c r="O304">
        <f>IF(CALC_EPM!$B293="","",CALC_EPM!O293)</f>
      </c>
      <c r="P304">
        <f>IF(CALC_EPM!$B293="","",CALC_EPM!P293)</f>
      </c>
      <c r="Q304">
        <f>IF(CALC_EPM!$B293="","",CALC_EPM!Q293)</f>
      </c>
      <c r="R304">
        <f>IF(CALC_EPM!$B293="","",CALC_EPM!R293)</f>
      </c>
      <c r="S304">
        <f>IF(CALC_EPM!$B293="","",CALC_EPM!S293)</f>
      </c>
      <c r="T304">
        <f>IF(CALC_EPM!$B293="","",CALC_EPM!T293)</f>
      </c>
      <c r="U304">
        <f>IF(CALC_EPM!$B293="","",CALC_EPM!U293)</f>
      </c>
    </row>
    <row r="305">
      <c r="A305" t="str">
        <f>IF(CALC_EPM!$B294="","",IF(CALC_EPM!A294="GLOBAL",IF(CALC_EPM!C294="Total","GLOBAL",IF(CALC_EPM!C294="TotalEsp","GLOBAL_ESP",IF(CALC_EPM!C294="TotalNoEsp","GLOBAL_NOESP","GLOBAL_ASIG"))),IF(CALC_EPM!C294="Total","CURSO_TOTAL",IF(CALC_EPM!C294="TotalEsp","CURSO_ESP",IF(CALC_EPM!C294="TotalNoEsp","CURSO_NOESP","CURSO_ASIG")))))</f>
      </c>
      <c r="B305" t="str">
        <f>IF(CALC_EPM!$B294="","",CALC_EPM!A294)</f>
      </c>
      <c r="C305" t="str">
        <f>IF(CALC_EPM!$B294="","",CALC_EPM!B294)</f>
      </c>
      <c r="D305">
        <f>IF(CALC_EPM!$B294="","",CALC_EPM!D294)</f>
      </c>
      <c r="E305" s="10" t="str">
        <f>IF(CALC_EPM!$B294="","",CALC_EPM!E294)</f>
      </c>
      <c r="F305" s="10" t="str">
        <f>IF(CALC_EPM!$B294="","",CALC_EPM!F294)</f>
      </c>
      <c r="G305" t="str">
        <f>IF(CALC_EPM!$B294="","",CALC_EPM!G294)</f>
      </c>
      <c r="H305" s="11" t="str">
        <f>IF(CALC_EPM!$B294="","",CALC_EPM!H294)</f>
      </c>
      <c r="I305" s="11" t="str">
        <f>IF(CALC_EPM!$B294="","",CALC_EPM!I294)</f>
      </c>
      <c r="J305" t="str">
        <f>IF(CALC_EPM!$B294="","",CALC_EPM!J294)</f>
      </c>
      <c r="K305" t="str">
        <f>IF(CALC_EPM!$B294="","",CALC_EPM!K294)</f>
      </c>
      <c r="L305">
        <f>IF(CALC_EPM!$B294="","",CALC_EPM!L294)</f>
      </c>
      <c r="M305">
        <f>IF(CALC_EPM!$B294="","",CALC_EPM!M294)</f>
      </c>
      <c r="N305">
        <f>IF(CALC_EPM!$B294="","",CALC_EPM!N294)</f>
      </c>
      <c r="O305">
        <f>IF(CALC_EPM!$B294="","",CALC_EPM!O294)</f>
      </c>
      <c r="P305">
        <f>IF(CALC_EPM!$B294="","",CALC_EPM!P294)</f>
      </c>
      <c r="Q305">
        <f>IF(CALC_EPM!$B294="","",CALC_EPM!Q294)</f>
      </c>
      <c r="R305">
        <f>IF(CALC_EPM!$B294="","",CALC_EPM!R294)</f>
      </c>
      <c r="S305">
        <f>IF(CALC_EPM!$B294="","",CALC_EPM!S294)</f>
      </c>
      <c r="T305">
        <f>IF(CALC_EPM!$B294="","",CALC_EPM!T294)</f>
      </c>
      <c r="U305">
        <f>IF(CALC_EPM!$B294="","",CALC_EPM!U294)</f>
      </c>
    </row>
    <row r="306">
      <c r="A306" t="str">
        <f>IF(CALC_EPM!$B295="","",IF(CALC_EPM!A295="GLOBAL",IF(CALC_EPM!C295="Total","GLOBAL",IF(CALC_EPM!C295="TotalEsp","GLOBAL_ESP",IF(CALC_EPM!C295="TotalNoEsp","GLOBAL_NOESP","GLOBAL_ASIG"))),IF(CALC_EPM!C295="Total","CURSO_TOTAL",IF(CALC_EPM!C295="TotalEsp","CURSO_ESP",IF(CALC_EPM!C295="TotalNoEsp","CURSO_NOESP","CURSO_ASIG")))))</f>
      </c>
      <c r="B306" t="str">
        <f>IF(CALC_EPM!$B295="","",CALC_EPM!A295)</f>
      </c>
      <c r="C306" t="str">
        <f>IF(CALC_EPM!$B295="","",CALC_EPM!B295)</f>
      </c>
      <c r="D306">
        <f>IF(CALC_EPM!$B295="","",CALC_EPM!D295)</f>
      </c>
      <c r="E306" s="10" t="str">
        <f>IF(CALC_EPM!$B295="","",CALC_EPM!E295)</f>
      </c>
      <c r="F306" s="10" t="str">
        <f>IF(CALC_EPM!$B295="","",CALC_EPM!F295)</f>
      </c>
      <c r="G306" t="str">
        <f>IF(CALC_EPM!$B295="","",CALC_EPM!G295)</f>
      </c>
      <c r="H306" s="11" t="str">
        <f>IF(CALC_EPM!$B295="","",CALC_EPM!H295)</f>
      </c>
      <c r="I306" s="11" t="str">
        <f>IF(CALC_EPM!$B295="","",CALC_EPM!I295)</f>
      </c>
      <c r="J306" t="str">
        <f>IF(CALC_EPM!$B295="","",CALC_EPM!J295)</f>
      </c>
      <c r="K306" t="str">
        <f>IF(CALC_EPM!$B295="","",CALC_EPM!K295)</f>
      </c>
      <c r="L306">
        <f>IF(CALC_EPM!$B295="","",CALC_EPM!L295)</f>
      </c>
      <c r="M306">
        <f>IF(CALC_EPM!$B295="","",CALC_EPM!M295)</f>
      </c>
      <c r="N306">
        <f>IF(CALC_EPM!$B295="","",CALC_EPM!N295)</f>
      </c>
      <c r="O306">
        <f>IF(CALC_EPM!$B295="","",CALC_EPM!O295)</f>
      </c>
      <c r="P306">
        <f>IF(CALC_EPM!$B295="","",CALC_EPM!P295)</f>
      </c>
      <c r="Q306">
        <f>IF(CALC_EPM!$B295="","",CALC_EPM!Q295)</f>
      </c>
      <c r="R306">
        <f>IF(CALC_EPM!$B295="","",CALC_EPM!R295)</f>
      </c>
      <c r="S306">
        <f>IF(CALC_EPM!$B295="","",CALC_EPM!S295)</f>
      </c>
      <c r="T306">
        <f>IF(CALC_EPM!$B295="","",CALC_EPM!T295)</f>
      </c>
      <c r="U306">
        <f>IF(CALC_EPM!$B295="","",CALC_EPM!U295)</f>
      </c>
    </row>
    <row r="307">
      <c r="A307" t="str">
        <f>IF(CALC_EPM!$B296="","",IF(CALC_EPM!A296="GLOBAL",IF(CALC_EPM!C296="Total","GLOBAL",IF(CALC_EPM!C296="TotalEsp","GLOBAL_ESP",IF(CALC_EPM!C296="TotalNoEsp","GLOBAL_NOESP","GLOBAL_ASIG"))),IF(CALC_EPM!C296="Total","CURSO_TOTAL",IF(CALC_EPM!C296="TotalEsp","CURSO_ESP",IF(CALC_EPM!C296="TotalNoEsp","CURSO_NOESP","CURSO_ASIG")))))</f>
      </c>
      <c r="B307" t="str">
        <f>IF(CALC_EPM!$B296="","",CALC_EPM!A296)</f>
      </c>
      <c r="C307" t="str">
        <f>IF(CALC_EPM!$B296="","",CALC_EPM!B296)</f>
      </c>
      <c r="D307">
        <f>IF(CALC_EPM!$B296="","",CALC_EPM!D296)</f>
      </c>
      <c r="E307" s="10" t="str">
        <f>IF(CALC_EPM!$B296="","",CALC_EPM!E296)</f>
      </c>
      <c r="F307" s="10" t="str">
        <f>IF(CALC_EPM!$B296="","",CALC_EPM!F296)</f>
      </c>
      <c r="G307" t="str">
        <f>IF(CALC_EPM!$B296="","",CALC_EPM!G296)</f>
      </c>
      <c r="H307" s="11" t="str">
        <f>IF(CALC_EPM!$B296="","",CALC_EPM!H296)</f>
      </c>
      <c r="I307" s="11" t="str">
        <f>IF(CALC_EPM!$B296="","",CALC_EPM!I296)</f>
      </c>
      <c r="J307" t="str">
        <f>IF(CALC_EPM!$B296="","",CALC_EPM!J296)</f>
      </c>
      <c r="K307" t="str">
        <f>IF(CALC_EPM!$B296="","",CALC_EPM!K296)</f>
      </c>
      <c r="L307">
        <f>IF(CALC_EPM!$B296="","",CALC_EPM!L296)</f>
      </c>
      <c r="M307">
        <f>IF(CALC_EPM!$B296="","",CALC_EPM!M296)</f>
      </c>
      <c r="N307">
        <f>IF(CALC_EPM!$B296="","",CALC_EPM!N296)</f>
      </c>
      <c r="O307">
        <f>IF(CALC_EPM!$B296="","",CALC_EPM!O296)</f>
      </c>
      <c r="P307">
        <f>IF(CALC_EPM!$B296="","",CALC_EPM!P296)</f>
      </c>
      <c r="Q307">
        <f>IF(CALC_EPM!$B296="","",CALC_EPM!Q296)</f>
      </c>
      <c r="R307">
        <f>IF(CALC_EPM!$B296="","",CALC_EPM!R296)</f>
      </c>
      <c r="S307">
        <f>IF(CALC_EPM!$B296="","",CALC_EPM!S296)</f>
      </c>
      <c r="T307">
        <f>IF(CALC_EPM!$B296="","",CALC_EPM!T296)</f>
      </c>
      <c r="U307">
        <f>IF(CALC_EPM!$B296="","",CALC_EPM!U296)</f>
      </c>
    </row>
    <row r="308">
      <c r="A308" t="str">
        <f>IF(CALC_EPM!$B297="","",IF(CALC_EPM!A297="GLOBAL",IF(CALC_EPM!C297="Total","GLOBAL",IF(CALC_EPM!C297="TotalEsp","GLOBAL_ESP",IF(CALC_EPM!C297="TotalNoEsp","GLOBAL_NOESP","GLOBAL_ASIG"))),IF(CALC_EPM!C297="Total","CURSO_TOTAL",IF(CALC_EPM!C297="TotalEsp","CURSO_ESP",IF(CALC_EPM!C297="TotalNoEsp","CURSO_NOESP","CURSO_ASIG")))))</f>
      </c>
      <c r="B308" t="str">
        <f>IF(CALC_EPM!$B297="","",CALC_EPM!A297)</f>
      </c>
      <c r="C308" t="str">
        <f>IF(CALC_EPM!$B297="","",CALC_EPM!B297)</f>
      </c>
      <c r="D308">
        <f>IF(CALC_EPM!$B297="","",CALC_EPM!D297)</f>
      </c>
      <c r="E308" s="10" t="str">
        <f>IF(CALC_EPM!$B297="","",CALC_EPM!E297)</f>
      </c>
      <c r="F308" s="10" t="str">
        <f>IF(CALC_EPM!$B297="","",CALC_EPM!F297)</f>
      </c>
      <c r="G308" t="str">
        <f>IF(CALC_EPM!$B297="","",CALC_EPM!G297)</f>
      </c>
      <c r="H308" s="11" t="str">
        <f>IF(CALC_EPM!$B297="","",CALC_EPM!H297)</f>
      </c>
      <c r="I308" s="11" t="str">
        <f>IF(CALC_EPM!$B297="","",CALC_EPM!I297)</f>
      </c>
      <c r="J308" t="str">
        <f>IF(CALC_EPM!$B297="","",CALC_EPM!J297)</f>
      </c>
      <c r="K308" t="str">
        <f>IF(CALC_EPM!$B297="","",CALC_EPM!K297)</f>
      </c>
      <c r="L308">
        <f>IF(CALC_EPM!$B297="","",CALC_EPM!L297)</f>
      </c>
      <c r="M308">
        <f>IF(CALC_EPM!$B297="","",CALC_EPM!M297)</f>
      </c>
      <c r="N308">
        <f>IF(CALC_EPM!$B297="","",CALC_EPM!N297)</f>
      </c>
      <c r="O308">
        <f>IF(CALC_EPM!$B297="","",CALC_EPM!O297)</f>
      </c>
      <c r="P308">
        <f>IF(CALC_EPM!$B297="","",CALC_EPM!P297)</f>
      </c>
      <c r="Q308">
        <f>IF(CALC_EPM!$B297="","",CALC_EPM!Q297)</f>
      </c>
      <c r="R308">
        <f>IF(CALC_EPM!$B297="","",CALC_EPM!R297)</f>
      </c>
      <c r="S308">
        <f>IF(CALC_EPM!$B297="","",CALC_EPM!S297)</f>
      </c>
      <c r="T308">
        <f>IF(CALC_EPM!$B297="","",CALC_EPM!T297)</f>
      </c>
      <c r="U308">
        <f>IF(CALC_EPM!$B297="","",CALC_EPM!U297)</f>
      </c>
    </row>
    <row r="309">
      <c r="A309" t="str">
        <f>IF(CALC_EPM!$B298="","",IF(CALC_EPM!A298="GLOBAL",IF(CALC_EPM!C298="Total","GLOBAL",IF(CALC_EPM!C298="TotalEsp","GLOBAL_ESP",IF(CALC_EPM!C298="TotalNoEsp","GLOBAL_NOESP","GLOBAL_ASIG"))),IF(CALC_EPM!C298="Total","CURSO_TOTAL",IF(CALC_EPM!C298="TotalEsp","CURSO_ESP",IF(CALC_EPM!C298="TotalNoEsp","CURSO_NOESP","CURSO_ASIG")))))</f>
      </c>
      <c r="B309" t="str">
        <f>IF(CALC_EPM!$B298="","",CALC_EPM!A298)</f>
      </c>
      <c r="C309" t="str">
        <f>IF(CALC_EPM!$B298="","",CALC_EPM!B298)</f>
      </c>
      <c r="D309">
        <f>IF(CALC_EPM!$B298="","",CALC_EPM!D298)</f>
      </c>
      <c r="E309" s="10" t="str">
        <f>IF(CALC_EPM!$B298="","",CALC_EPM!E298)</f>
      </c>
      <c r="F309" s="10" t="str">
        <f>IF(CALC_EPM!$B298="","",CALC_EPM!F298)</f>
      </c>
      <c r="G309" t="str">
        <f>IF(CALC_EPM!$B298="","",CALC_EPM!G298)</f>
      </c>
      <c r="H309" s="11" t="str">
        <f>IF(CALC_EPM!$B298="","",CALC_EPM!H298)</f>
      </c>
      <c r="I309" s="11" t="str">
        <f>IF(CALC_EPM!$B298="","",CALC_EPM!I298)</f>
      </c>
      <c r="J309" t="str">
        <f>IF(CALC_EPM!$B298="","",CALC_EPM!J298)</f>
      </c>
      <c r="K309" t="str">
        <f>IF(CALC_EPM!$B298="","",CALC_EPM!K298)</f>
      </c>
      <c r="L309">
        <f>IF(CALC_EPM!$B298="","",CALC_EPM!L298)</f>
      </c>
      <c r="M309">
        <f>IF(CALC_EPM!$B298="","",CALC_EPM!M298)</f>
      </c>
      <c r="N309">
        <f>IF(CALC_EPM!$B298="","",CALC_EPM!N298)</f>
      </c>
      <c r="O309">
        <f>IF(CALC_EPM!$B298="","",CALC_EPM!O298)</f>
      </c>
      <c r="P309">
        <f>IF(CALC_EPM!$B298="","",CALC_EPM!P298)</f>
      </c>
      <c r="Q309">
        <f>IF(CALC_EPM!$B298="","",CALC_EPM!Q298)</f>
      </c>
      <c r="R309">
        <f>IF(CALC_EPM!$B298="","",CALC_EPM!R298)</f>
      </c>
      <c r="S309">
        <f>IF(CALC_EPM!$B298="","",CALC_EPM!S298)</f>
      </c>
      <c r="T309">
        <f>IF(CALC_EPM!$B298="","",CALC_EPM!T298)</f>
      </c>
      <c r="U309">
        <f>IF(CALC_EPM!$B298="","",CALC_EPM!U298)</f>
      </c>
    </row>
    <row r="310">
      <c r="A310" t="str">
        <f>IF(CALC_EPM!$B299="","",IF(CALC_EPM!A299="GLOBAL",IF(CALC_EPM!C299="Total","GLOBAL",IF(CALC_EPM!C299="TotalEsp","GLOBAL_ESP",IF(CALC_EPM!C299="TotalNoEsp","GLOBAL_NOESP","GLOBAL_ASIG"))),IF(CALC_EPM!C299="Total","CURSO_TOTAL",IF(CALC_EPM!C299="TotalEsp","CURSO_ESP",IF(CALC_EPM!C299="TotalNoEsp","CURSO_NOESP","CURSO_ASIG")))))</f>
      </c>
      <c r="B310" t="str">
        <f>IF(CALC_EPM!$B299="","",CALC_EPM!A299)</f>
      </c>
      <c r="C310" t="str">
        <f>IF(CALC_EPM!$B299="","",CALC_EPM!B299)</f>
      </c>
      <c r="D310">
        <f>IF(CALC_EPM!$B299="","",CALC_EPM!D299)</f>
      </c>
      <c r="E310" s="10" t="str">
        <f>IF(CALC_EPM!$B299="","",CALC_EPM!E299)</f>
      </c>
      <c r="F310" s="10" t="str">
        <f>IF(CALC_EPM!$B299="","",CALC_EPM!F299)</f>
      </c>
      <c r="G310" t="str">
        <f>IF(CALC_EPM!$B299="","",CALC_EPM!G299)</f>
      </c>
      <c r="H310" s="11" t="str">
        <f>IF(CALC_EPM!$B299="","",CALC_EPM!H299)</f>
      </c>
      <c r="I310" s="11" t="str">
        <f>IF(CALC_EPM!$B299="","",CALC_EPM!I299)</f>
      </c>
      <c r="J310" t="str">
        <f>IF(CALC_EPM!$B299="","",CALC_EPM!J299)</f>
      </c>
      <c r="K310" t="str">
        <f>IF(CALC_EPM!$B299="","",CALC_EPM!K299)</f>
      </c>
      <c r="L310">
        <f>IF(CALC_EPM!$B299="","",CALC_EPM!L299)</f>
      </c>
      <c r="M310">
        <f>IF(CALC_EPM!$B299="","",CALC_EPM!M299)</f>
      </c>
      <c r="N310">
        <f>IF(CALC_EPM!$B299="","",CALC_EPM!N299)</f>
      </c>
      <c r="O310">
        <f>IF(CALC_EPM!$B299="","",CALC_EPM!O299)</f>
      </c>
      <c r="P310">
        <f>IF(CALC_EPM!$B299="","",CALC_EPM!P299)</f>
      </c>
      <c r="Q310">
        <f>IF(CALC_EPM!$B299="","",CALC_EPM!Q299)</f>
      </c>
      <c r="R310">
        <f>IF(CALC_EPM!$B299="","",CALC_EPM!R299)</f>
      </c>
      <c r="S310">
        <f>IF(CALC_EPM!$B299="","",CALC_EPM!S299)</f>
      </c>
      <c r="T310">
        <f>IF(CALC_EPM!$B299="","",CALC_EPM!T299)</f>
      </c>
      <c r="U310">
        <f>IF(CALC_EPM!$B299="","",CALC_EPM!U299)</f>
      </c>
    </row>
    <row r="311">
      <c r="A311" t="str">
        <f>IF(CALC_EPM!$B300="","",IF(CALC_EPM!A300="GLOBAL",IF(CALC_EPM!C300="Total","GLOBAL",IF(CALC_EPM!C300="TotalEsp","GLOBAL_ESP",IF(CALC_EPM!C300="TotalNoEsp","GLOBAL_NOESP","GLOBAL_ASIG"))),IF(CALC_EPM!C300="Total","CURSO_TOTAL",IF(CALC_EPM!C300="TotalEsp","CURSO_ESP",IF(CALC_EPM!C300="TotalNoEsp","CURSO_NOESP","CURSO_ASIG")))))</f>
      </c>
      <c r="B311" t="str">
        <f>IF(CALC_EPM!$B300="","",CALC_EPM!A300)</f>
      </c>
      <c r="C311" t="str">
        <f>IF(CALC_EPM!$B300="","",CALC_EPM!B300)</f>
      </c>
      <c r="D311">
        <f>IF(CALC_EPM!$B300="","",CALC_EPM!D300)</f>
      </c>
      <c r="E311" s="10" t="str">
        <f>IF(CALC_EPM!$B300="","",CALC_EPM!E300)</f>
      </c>
      <c r="F311" s="10" t="str">
        <f>IF(CALC_EPM!$B300="","",CALC_EPM!F300)</f>
      </c>
      <c r="G311" t="str">
        <f>IF(CALC_EPM!$B300="","",CALC_EPM!G300)</f>
      </c>
      <c r="H311" s="11" t="str">
        <f>IF(CALC_EPM!$B300="","",CALC_EPM!H300)</f>
      </c>
      <c r="I311" s="11" t="str">
        <f>IF(CALC_EPM!$B300="","",CALC_EPM!I300)</f>
      </c>
      <c r="J311" t="str">
        <f>IF(CALC_EPM!$B300="","",CALC_EPM!J300)</f>
      </c>
      <c r="K311" t="str">
        <f>IF(CALC_EPM!$B300="","",CALC_EPM!K300)</f>
      </c>
      <c r="L311">
        <f>IF(CALC_EPM!$B300="","",CALC_EPM!L300)</f>
      </c>
      <c r="M311">
        <f>IF(CALC_EPM!$B300="","",CALC_EPM!M300)</f>
      </c>
      <c r="N311">
        <f>IF(CALC_EPM!$B300="","",CALC_EPM!N300)</f>
      </c>
      <c r="O311">
        <f>IF(CALC_EPM!$B300="","",CALC_EPM!O300)</f>
      </c>
      <c r="P311">
        <f>IF(CALC_EPM!$B300="","",CALC_EPM!P300)</f>
      </c>
      <c r="Q311">
        <f>IF(CALC_EPM!$B300="","",CALC_EPM!Q300)</f>
      </c>
      <c r="R311">
        <f>IF(CALC_EPM!$B300="","",CALC_EPM!R300)</f>
      </c>
      <c r="S311">
        <f>IF(CALC_EPM!$B300="","",CALC_EPM!S300)</f>
      </c>
      <c r="T311">
        <f>IF(CALC_EPM!$B300="","",CALC_EPM!T300)</f>
      </c>
      <c r="U311">
        <f>IF(CALC_EPM!$B300="","",CALC_EPM!U300)</f>
      </c>
    </row>
    <row r="312">
      <c r="A312" t="str">
        <f>IF(CALC_EPM!$B301="","",IF(CALC_EPM!A301="GLOBAL",IF(CALC_EPM!C301="Total","GLOBAL",IF(CALC_EPM!C301="TotalEsp","GLOBAL_ESP",IF(CALC_EPM!C301="TotalNoEsp","GLOBAL_NOESP","GLOBAL_ASIG"))),IF(CALC_EPM!C301="Total","CURSO_TOTAL",IF(CALC_EPM!C301="TotalEsp","CURSO_ESP",IF(CALC_EPM!C301="TotalNoEsp","CURSO_NOESP","CURSO_ASIG")))))</f>
      </c>
      <c r="B312" t="str">
        <f>IF(CALC_EPM!$B301="","",CALC_EPM!A301)</f>
      </c>
      <c r="C312" t="str">
        <f>IF(CALC_EPM!$B301="","",CALC_EPM!B301)</f>
      </c>
      <c r="D312">
        <f>IF(CALC_EPM!$B301="","",CALC_EPM!D301)</f>
      </c>
      <c r="E312" s="10" t="str">
        <f>IF(CALC_EPM!$B301="","",CALC_EPM!E301)</f>
      </c>
      <c r="F312" s="10" t="str">
        <f>IF(CALC_EPM!$B301="","",CALC_EPM!F301)</f>
      </c>
      <c r="G312" t="str">
        <f>IF(CALC_EPM!$B301="","",CALC_EPM!G301)</f>
      </c>
      <c r="H312" s="11" t="str">
        <f>IF(CALC_EPM!$B301="","",CALC_EPM!H301)</f>
      </c>
      <c r="I312" s="11" t="str">
        <f>IF(CALC_EPM!$B301="","",CALC_EPM!I301)</f>
      </c>
      <c r="J312" t="str">
        <f>IF(CALC_EPM!$B301="","",CALC_EPM!J301)</f>
      </c>
      <c r="K312" t="str">
        <f>IF(CALC_EPM!$B301="","",CALC_EPM!K301)</f>
      </c>
      <c r="L312">
        <f>IF(CALC_EPM!$B301="","",CALC_EPM!L301)</f>
      </c>
      <c r="M312">
        <f>IF(CALC_EPM!$B301="","",CALC_EPM!M301)</f>
      </c>
      <c r="N312">
        <f>IF(CALC_EPM!$B301="","",CALC_EPM!N301)</f>
      </c>
      <c r="O312">
        <f>IF(CALC_EPM!$B301="","",CALC_EPM!O301)</f>
      </c>
      <c r="P312">
        <f>IF(CALC_EPM!$B301="","",CALC_EPM!P301)</f>
      </c>
      <c r="Q312">
        <f>IF(CALC_EPM!$B301="","",CALC_EPM!Q301)</f>
      </c>
      <c r="R312">
        <f>IF(CALC_EPM!$B301="","",CALC_EPM!R301)</f>
      </c>
      <c r="S312">
        <f>IF(CALC_EPM!$B301="","",CALC_EPM!S301)</f>
      </c>
      <c r="T312">
        <f>IF(CALC_EPM!$B301="","",CALC_EPM!T301)</f>
      </c>
      <c r="U312">
        <f>IF(CALC_EPM!$B301="","",CALC_EPM!U301)</f>
      </c>
    </row>
    <row r="313">
      <c r="A313" t="str">
        <f>IF(CALC_EPM!$B302="","",IF(CALC_EPM!A302="GLOBAL",IF(CALC_EPM!C302="Total","GLOBAL",IF(CALC_EPM!C302="TotalEsp","GLOBAL_ESP",IF(CALC_EPM!C302="TotalNoEsp","GLOBAL_NOESP","GLOBAL_ASIG"))),IF(CALC_EPM!C302="Total","CURSO_TOTAL",IF(CALC_EPM!C302="TotalEsp","CURSO_ESP",IF(CALC_EPM!C302="TotalNoEsp","CURSO_NOESP","CURSO_ASIG")))))</f>
      </c>
      <c r="B313" t="str">
        <f>IF(CALC_EPM!$B302="","",CALC_EPM!A302)</f>
      </c>
      <c r="C313" t="str">
        <f>IF(CALC_EPM!$B302="","",CALC_EPM!B302)</f>
      </c>
      <c r="D313">
        <f>IF(CALC_EPM!$B302="","",CALC_EPM!D302)</f>
      </c>
      <c r="E313" s="10" t="str">
        <f>IF(CALC_EPM!$B302="","",CALC_EPM!E302)</f>
      </c>
      <c r="F313" s="10" t="str">
        <f>IF(CALC_EPM!$B302="","",CALC_EPM!F302)</f>
      </c>
      <c r="G313" t="str">
        <f>IF(CALC_EPM!$B302="","",CALC_EPM!G302)</f>
      </c>
      <c r="H313" s="11" t="str">
        <f>IF(CALC_EPM!$B302="","",CALC_EPM!H302)</f>
      </c>
      <c r="I313" s="11" t="str">
        <f>IF(CALC_EPM!$B302="","",CALC_EPM!I302)</f>
      </c>
      <c r="J313" t="str">
        <f>IF(CALC_EPM!$B302="","",CALC_EPM!J302)</f>
      </c>
      <c r="K313" t="str">
        <f>IF(CALC_EPM!$B302="","",CALC_EPM!K302)</f>
      </c>
      <c r="L313">
        <f>IF(CALC_EPM!$B302="","",CALC_EPM!L302)</f>
      </c>
      <c r="M313">
        <f>IF(CALC_EPM!$B302="","",CALC_EPM!M302)</f>
      </c>
      <c r="N313">
        <f>IF(CALC_EPM!$B302="","",CALC_EPM!N302)</f>
      </c>
      <c r="O313">
        <f>IF(CALC_EPM!$B302="","",CALC_EPM!O302)</f>
      </c>
      <c r="P313">
        <f>IF(CALC_EPM!$B302="","",CALC_EPM!P302)</f>
      </c>
      <c r="Q313">
        <f>IF(CALC_EPM!$B302="","",CALC_EPM!Q302)</f>
      </c>
      <c r="R313">
        <f>IF(CALC_EPM!$B302="","",CALC_EPM!R302)</f>
      </c>
      <c r="S313">
        <f>IF(CALC_EPM!$B302="","",CALC_EPM!S302)</f>
      </c>
      <c r="T313">
        <f>IF(CALC_EPM!$B302="","",CALC_EPM!T302)</f>
      </c>
      <c r="U313">
        <f>IF(CALC_EPM!$B302="","",CALC_EPM!U302)</f>
      </c>
    </row>
    <row r="314">
      <c r="A314" t="str">
        <f>IF(CALC_EPM!$B303="","",IF(CALC_EPM!A303="GLOBAL",IF(CALC_EPM!C303="Total","GLOBAL",IF(CALC_EPM!C303="TotalEsp","GLOBAL_ESP",IF(CALC_EPM!C303="TotalNoEsp","GLOBAL_NOESP","GLOBAL_ASIG"))),IF(CALC_EPM!C303="Total","CURSO_TOTAL",IF(CALC_EPM!C303="TotalEsp","CURSO_ESP",IF(CALC_EPM!C303="TotalNoEsp","CURSO_NOESP","CURSO_ASIG")))))</f>
      </c>
      <c r="B314" t="str">
        <f>IF(CALC_EPM!$B303="","",CALC_EPM!A303)</f>
      </c>
      <c r="C314" t="str">
        <f>IF(CALC_EPM!$B303="","",CALC_EPM!B303)</f>
      </c>
      <c r="D314">
        <f>IF(CALC_EPM!$B303="","",CALC_EPM!D303)</f>
      </c>
      <c r="E314" s="10" t="str">
        <f>IF(CALC_EPM!$B303="","",CALC_EPM!E303)</f>
      </c>
      <c r="F314" s="10" t="str">
        <f>IF(CALC_EPM!$B303="","",CALC_EPM!F303)</f>
      </c>
      <c r="G314" t="str">
        <f>IF(CALC_EPM!$B303="","",CALC_EPM!G303)</f>
      </c>
      <c r="H314" s="11" t="str">
        <f>IF(CALC_EPM!$B303="","",CALC_EPM!H303)</f>
      </c>
      <c r="I314" s="11" t="str">
        <f>IF(CALC_EPM!$B303="","",CALC_EPM!I303)</f>
      </c>
      <c r="J314" t="str">
        <f>IF(CALC_EPM!$B303="","",CALC_EPM!J303)</f>
      </c>
      <c r="K314" t="str">
        <f>IF(CALC_EPM!$B303="","",CALC_EPM!K303)</f>
      </c>
      <c r="L314">
        <f>IF(CALC_EPM!$B303="","",CALC_EPM!L303)</f>
      </c>
      <c r="M314">
        <f>IF(CALC_EPM!$B303="","",CALC_EPM!M303)</f>
      </c>
      <c r="N314">
        <f>IF(CALC_EPM!$B303="","",CALC_EPM!N303)</f>
      </c>
      <c r="O314">
        <f>IF(CALC_EPM!$B303="","",CALC_EPM!O303)</f>
      </c>
      <c r="P314">
        <f>IF(CALC_EPM!$B303="","",CALC_EPM!P303)</f>
      </c>
      <c r="Q314">
        <f>IF(CALC_EPM!$B303="","",CALC_EPM!Q303)</f>
      </c>
      <c r="R314">
        <f>IF(CALC_EPM!$B303="","",CALC_EPM!R303)</f>
      </c>
      <c r="S314">
        <f>IF(CALC_EPM!$B303="","",CALC_EPM!S303)</f>
      </c>
      <c r="T314">
        <f>IF(CALC_EPM!$B303="","",CALC_EPM!T303)</f>
      </c>
      <c r="U314">
        <f>IF(CALC_EPM!$B303="","",CALC_EPM!U303)</f>
      </c>
    </row>
    <row r="315">
      <c r="A315" t="str">
        <f>IF(CALC_EPM!$B304="","",IF(CALC_EPM!A304="GLOBAL",IF(CALC_EPM!C304="Total","GLOBAL",IF(CALC_EPM!C304="TotalEsp","GLOBAL_ESP",IF(CALC_EPM!C304="TotalNoEsp","GLOBAL_NOESP","GLOBAL_ASIG"))),IF(CALC_EPM!C304="Total","CURSO_TOTAL",IF(CALC_EPM!C304="TotalEsp","CURSO_ESP",IF(CALC_EPM!C304="TotalNoEsp","CURSO_NOESP","CURSO_ASIG")))))</f>
      </c>
      <c r="B315" t="str">
        <f>IF(CALC_EPM!$B304="","",CALC_EPM!A304)</f>
      </c>
      <c r="C315" t="str">
        <f>IF(CALC_EPM!$B304="","",CALC_EPM!B304)</f>
      </c>
      <c r="D315">
        <f>IF(CALC_EPM!$B304="","",CALC_EPM!D304)</f>
      </c>
      <c r="E315" s="10" t="str">
        <f>IF(CALC_EPM!$B304="","",CALC_EPM!E304)</f>
      </c>
      <c r="F315" s="10" t="str">
        <f>IF(CALC_EPM!$B304="","",CALC_EPM!F304)</f>
      </c>
      <c r="G315" t="str">
        <f>IF(CALC_EPM!$B304="","",CALC_EPM!G304)</f>
      </c>
      <c r="H315" s="11" t="str">
        <f>IF(CALC_EPM!$B304="","",CALC_EPM!H304)</f>
      </c>
      <c r="I315" s="11" t="str">
        <f>IF(CALC_EPM!$B304="","",CALC_EPM!I304)</f>
      </c>
      <c r="J315" t="str">
        <f>IF(CALC_EPM!$B304="","",CALC_EPM!J304)</f>
      </c>
      <c r="K315" t="str">
        <f>IF(CALC_EPM!$B304="","",CALC_EPM!K304)</f>
      </c>
      <c r="L315">
        <f>IF(CALC_EPM!$B304="","",CALC_EPM!L304)</f>
      </c>
      <c r="M315">
        <f>IF(CALC_EPM!$B304="","",CALC_EPM!M304)</f>
      </c>
      <c r="N315">
        <f>IF(CALC_EPM!$B304="","",CALC_EPM!N304)</f>
      </c>
      <c r="O315">
        <f>IF(CALC_EPM!$B304="","",CALC_EPM!O304)</f>
      </c>
      <c r="P315">
        <f>IF(CALC_EPM!$B304="","",CALC_EPM!P304)</f>
      </c>
      <c r="Q315">
        <f>IF(CALC_EPM!$B304="","",CALC_EPM!Q304)</f>
      </c>
      <c r="R315">
        <f>IF(CALC_EPM!$B304="","",CALC_EPM!R304)</f>
      </c>
      <c r="S315">
        <f>IF(CALC_EPM!$B304="","",CALC_EPM!S304)</f>
      </c>
      <c r="T315">
        <f>IF(CALC_EPM!$B304="","",CALC_EPM!T304)</f>
      </c>
      <c r="U315">
        <f>IF(CALC_EPM!$B304="","",CALC_EPM!U304)</f>
      </c>
    </row>
    <row r="316">
      <c r="A316" t="str">
        <f>IF(CALC_EPM!$B305="","",IF(CALC_EPM!A305="GLOBAL",IF(CALC_EPM!C305="Total","GLOBAL",IF(CALC_EPM!C305="TotalEsp","GLOBAL_ESP",IF(CALC_EPM!C305="TotalNoEsp","GLOBAL_NOESP","GLOBAL_ASIG"))),IF(CALC_EPM!C305="Total","CURSO_TOTAL",IF(CALC_EPM!C305="TotalEsp","CURSO_ESP",IF(CALC_EPM!C305="TotalNoEsp","CURSO_NOESP","CURSO_ASIG")))))</f>
      </c>
      <c r="B316" t="str">
        <f>IF(CALC_EPM!$B305="","",CALC_EPM!A305)</f>
      </c>
      <c r="C316" t="str">
        <f>IF(CALC_EPM!$B305="","",CALC_EPM!B305)</f>
      </c>
      <c r="D316">
        <f>IF(CALC_EPM!$B305="","",CALC_EPM!D305)</f>
      </c>
      <c r="E316" s="10" t="str">
        <f>IF(CALC_EPM!$B305="","",CALC_EPM!E305)</f>
      </c>
      <c r="F316" s="10" t="str">
        <f>IF(CALC_EPM!$B305="","",CALC_EPM!F305)</f>
      </c>
      <c r="G316" t="str">
        <f>IF(CALC_EPM!$B305="","",CALC_EPM!G305)</f>
      </c>
      <c r="H316" s="11" t="str">
        <f>IF(CALC_EPM!$B305="","",CALC_EPM!H305)</f>
      </c>
      <c r="I316" s="11" t="str">
        <f>IF(CALC_EPM!$B305="","",CALC_EPM!I305)</f>
      </c>
      <c r="J316" t="str">
        <f>IF(CALC_EPM!$B305="","",CALC_EPM!J305)</f>
      </c>
      <c r="K316" t="str">
        <f>IF(CALC_EPM!$B305="","",CALC_EPM!K305)</f>
      </c>
      <c r="L316">
        <f>IF(CALC_EPM!$B305="","",CALC_EPM!L305)</f>
      </c>
      <c r="M316">
        <f>IF(CALC_EPM!$B305="","",CALC_EPM!M305)</f>
      </c>
      <c r="N316">
        <f>IF(CALC_EPM!$B305="","",CALC_EPM!N305)</f>
      </c>
      <c r="O316">
        <f>IF(CALC_EPM!$B305="","",CALC_EPM!O305)</f>
      </c>
      <c r="P316">
        <f>IF(CALC_EPM!$B305="","",CALC_EPM!P305)</f>
      </c>
      <c r="Q316">
        <f>IF(CALC_EPM!$B305="","",CALC_EPM!Q305)</f>
      </c>
      <c r="R316">
        <f>IF(CALC_EPM!$B305="","",CALC_EPM!R305)</f>
      </c>
      <c r="S316">
        <f>IF(CALC_EPM!$B305="","",CALC_EPM!S305)</f>
      </c>
      <c r="T316">
        <f>IF(CALC_EPM!$B305="","",CALC_EPM!T305)</f>
      </c>
      <c r="U316">
        <f>IF(CALC_EPM!$B305="","",CALC_EPM!U305)</f>
      </c>
    </row>
    <row r="317">
      <c r="A317" t="str">
        <f>IF(CALC_EPM!$B306="","",IF(CALC_EPM!A306="GLOBAL",IF(CALC_EPM!C306="Total","GLOBAL",IF(CALC_EPM!C306="TotalEsp","GLOBAL_ESP",IF(CALC_EPM!C306="TotalNoEsp","GLOBAL_NOESP","GLOBAL_ASIG"))),IF(CALC_EPM!C306="Total","CURSO_TOTAL",IF(CALC_EPM!C306="TotalEsp","CURSO_ESP",IF(CALC_EPM!C306="TotalNoEsp","CURSO_NOESP","CURSO_ASIG")))))</f>
      </c>
      <c r="B317" t="str">
        <f>IF(CALC_EPM!$B306="","",CALC_EPM!A306)</f>
      </c>
      <c r="C317" t="str">
        <f>IF(CALC_EPM!$B306="","",CALC_EPM!B306)</f>
      </c>
      <c r="D317">
        <f>IF(CALC_EPM!$B306="","",CALC_EPM!D306)</f>
      </c>
      <c r="E317" s="10" t="str">
        <f>IF(CALC_EPM!$B306="","",CALC_EPM!E306)</f>
      </c>
      <c r="F317" s="10" t="str">
        <f>IF(CALC_EPM!$B306="","",CALC_EPM!F306)</f>
      </c>
      <c r="G317" t="str">
        <f>IF(CALC_EPM!$B306="","",CALC_EPM!G306)</f>
      </c>
      <c r="H317" s="11" t="str">
        <f>IF(CALC_EPM!$B306="","",CALC_EPM!H306)</f>
      </c>
      <c r="I317" s="11" t="str">
        <f>IF(CALC_EPM!$B306="","",CALC_EPM!I306)</f>
      </c>
      <c r="J317" t="str">
        <f>IF(CALC_EPM!$B306="","",CALC_EPM!J306)</f>
      </c>
      <c r="K317" t="str">
        <f>IF(CALC_EPM!$B306="","",CALC_EPM!K306)</f>
      </c>
      <c r="L317">
        <f>IF(CALC_EPM!$B306="","",CALC_EPM!L306)</f>
      </c>
      <c r="M317">
        <f>IF(CALC_EPM!$B306="","",CALC_EPM!M306)</f>
      </c>
      <c r="N317">
        <f>IF(CALC_EPM!$B306="","",CALC_EPM!N306)</f>
      </c>
      <c r="O317">
        <f>IF(CALC_EPM!$B306="","",CALC_EPM!O306)</f>
      </c>
      <c r="P317">
        <f>IF(CALC_EPM!$B306="","",CALC_EPM!P306)</f>
      </c>
      <c r="Q317">
        <f>IF(CALC_EPM!$B306="","",CALC_EPM!Q306)</f>
      </c>
      <c r="R317">
        <f>IF(CALC_EPM!$B306="","",CALC_EPM!R306)</f>
      </c>
      <c r="S317">
        <f>IF(CALC_EPM!$B306="","",CALC_EPM!S306)</f>
      </c>
      <c r="T317">
        <f>IF(CALC_EPM!$B306="","",CALC_EPM!T306)</f>
      </c>
      <c r="U317">
        <f>IF(CALC_EPM!$B306="","",CALC_EPM!U306)</f>
      </c>
    </row>
    <row r="318">
      <c r="A318" t="str">
        <f>IF(CALC_EPM!$B307="","",IF(CALC_EPM!A307="GLOBAL",IF(CALC_EPM!C307="Total","GLOBAL",IF(CALC_EPM!C307="TotalEsp","GLOBAL_ESP",IF(CALC_EPM!C307="TotalNoEsp","GLOBAL_NOESP","GLOBAL_ASIG"))),IF(CALC_EPM!C307="Total","CURSO_TOTAL",IF(CALC_EPM!C307="TotalEsp","CURSO_ESP",IF(CALC_EPM!C307="TotalNoEsp","CURSO_NOESP","CURSO_ASIG")))))</f>
      </c>
      <c r="B318" t="str">
        <f>IF(CALC_EPM!$B307="","",CALC_EPM!A307)</f>
      </c>
      <c r="C318" t="str">
        <f>IF(CALC_EPM!$B307="","",CALC_EPM!B307)</f>
      </c>
      <c r="D318">
        <f>IF(CALC_EPM!$B307="","",CALC_EPM!D307)</f>
      </c>
      <c r="E318" s="10" t="str">
        <f>IF(CALC_EPM!$B307="","",CALC_EPM!E307)</f>
      </c>
      <c r="F318" s="10" t="str">
        <f>IF(CALC_EPM!$B307="","",CALC_EPM!F307)</f>
      </c>
      <c r="G318" t="str">
        <f>IF(CALC_EPM!$B307="","",CALC_EPM!G307)</f>
      </c>
      <c r="H318" s="11" t="str">
        <f>IF(CALC_EPM!$B307="","",CALC_EPM!H307)</f>
      </c>
      <c r="I318" s="11" t="str">
        <f>IF(CALC_EPM!$B307="","",CALC_EPM!I307)</f>
      </c>
      <c r="J318" t="str">
        <f>IF(CALC_EPM!$B307="","",CALC_EPM!J307)</f>
      </c>
      <c r="K318" t="str">
        <f>IF(CALC_EPM!$B307="","",CALC_EPM!K307)</f>
      </c>
      <c r="L318">
        <f>IF(CALC_EPM!$B307="","",CALC_EPM!L307)</f>
      </c>
      <c r="M318">
        <f>IF(CALC_EPM!$B307="","",CALC_EPM!M307)</f>
      </c>
      <c r="N318">
        <f>IF(CALC_EPM!$B307="","",CALC_EPM!N307)</f>
      </c>
      <c r="O318">
        <f>IF(CALC_EPM!$B307="","",CALC_EPM!O307)</f>
      </c>
      <c r="P318">
        <f>IF(CALC_EPM!$B307="","",CALC_EPM!P307)</f>
      </c>
      <c r="Q318">
        <f>IF(CALC_EPM!$B307="","",CALC_EPM!Q307)</f>
      </c>
      <c r="R318">
        <f>IF(CALC_EPM!$B307="","",CALC_EPM!R307)</f>
      </c>
      <c r="S318">
        <f>IF(CALC_EPM!$B307="","",CALC_EPM!S307)</f>
      </c>
      <c r="T318">
        <f>IF(CALC_EPM!$B307="","",CALC_EPM!T307)</f>
      </c>
      <c r="U318">
        <f>IF(CALC_EPM!$B307="","",CALC_EPM!U307)</f>
      </c>
    </row>
    <row r="319">
      <c r="A319" t="str">
        <f>IF(CALC_EPM!$B308="","",IF(CALC_EPM!A308="GLOBAL",IF(CALC_EPM!C308="Total","GLOBAL",IF(CALC_EPM!C308="TotalEsp","GLOBAL_ESP",IF(CALC_EPM!C308="TotalNoEsp","GLOBAL_NOESP","GLOBAL_ASIG"))),IF(CALC_EPM!C308="Total","CURSO_TOTAL",IF(CALC_EPM!C308="TotalEsp","CURSO_ESP",IF(CALC_EPM!C308="TotalNoEsp","CURSO_NOESP","CURSO_ASIG")))))</f>
      </c>
      <c r="B319" t="str">
        <f>IF(CALC_EPM!$B308="","",CALC_EPM!A308)</f>
      </c>
      <c r="C319" t="str">
        <f>IF(CALC_EPM!$B308="","",CALC_EPM!B308)</f>
      </c>
      <c r="D319">
        <f>IF(CALC_EPM!$B308="","",CALC_EPM!D308)</f>
      </c>
      <c r="E319" s="10" t="str">
        <f>IF(CALC_EPM!$B308="","",CALC_EPM!E308)</f>
      </c>
      <c r="F319" s="10" t="str">
        <f>IF(CALC_EPM!$B308="","",CALC_EPM!F308)</f>
      </c>
      <c r="G319" t="str">
        <f>IF(CALC_EPM!$B308="","",CALC_EPM!G308)</f>
      </c>
      <c r="H319" s="11" t="str">
        <f>IF(CALC_EPM!$B308="","",CALC_EPM!H308)</f>
      </c>
      <c r="I319" s="11" t="str">
        <f>IF(CALC_EPM!$B308="","",CALC_EPM!I308)</f>
      </c>
      <c r="J319" t="str">
        <f>IF(CALC_EPM!$B308="","",CALC_EPM!J308)</f>
      </c>
      <c r="K319" t="str">
        <f>IF(CALC_EPM!$B308="","",CALC_EPM!K308)</f>
      </c>
      <c r="L319">
        <f>IF(CALC_EPM!$B308="","",CALC_EPM!L308)</f>
      </c>
      <c r="M319">
        <f>IF(CALC_EPM!$B308="","",CALC_EPM!M308)</f>
      </c>
      <c r="N319">
        <f>IF(CALC_EPM!$B308="","",CALC_EPM!N308)</f>
      </c>
      <c r="O319">
        <f>IF(CALC_EPM!$B308="","",CALC_EPM!O308)</f>
      </c>
      <c r="P319">
        <f>IF(CALC_EPM!$B308="","",CALC_EPM!P308)</f>
      </c>
      <c r="Q319">
        <f>IF(CALC_EPM!$B308="","",CALC_EPM!Q308)</f>
      </c>
      <c r="R319">
        <f>IF(CALC_EPM!$B308="","",CALC_EPM!R308)</f>
      </c>
      <c r="S319">
        <f>IF(CALC_EPM!$B308="","",CALC_EPM!S308)</f>
      </c>
      <c r="T319">
        <f>IF(CALC_EPM!$B308="","",CALC_EPM!T308)</f>
      </c>
      <c r="U319">
        <f>IF(CALC_EPM!$B308="","",CALC_EPM!U308)</f>
      </c>
    </row>
    <row r="320">
      <c r="A320" t="str">
        <f>IF(CALC_EPM!$B309="","",IF(CALC_EPM!A309="GLOBAL",IF(CALC_EPM!C309="Total","GLOBAL",IF(CALC_EPM!C309="TotalEsp","GLOBAL_ESP",IF(CALC_EPM!C309="TotalNoEsp","GLOBAL_NOESP","GLOBAL_ASIG"))),IF(CALC_EPM!C309="Total","CURSO_TOTAL",IF(CALC_EPM!C309="TotalEsp","CURSO_ESP",IF(CALC_EPM!C309="TotalNoEsp","CURSO_NOESP","CURSO_ASIG")))))</f>
      </c>
      <c r="B320" t="str">
        <f>IF(CALC_EPM!$B309="","",CALC_EPM!A309)</f>
      </c>
      <c r="C320" t="str">
        <f>IF(CALC_EPM!$B309="","",CALC_EPM!B309)</f>
      </c>
      <c r="D320">
        <f>IF(CALC_EPM!$B309="","",CALC_EPM!D309)</f>
      </c>
      <c r="E320" s="10" t="str">
        <f>IF(CALC_EPM!$B309="","",CALC_EPM!E309)</f>
      </c>
      <c r="F320" s="10" t="str">
        <f>IF(CALC_EPM!$B309="","",CALC_EPM!F309)</f>
      </c>
      <c r="G320" t="str">
        <f>IF(CALC_EPM!$B309="","",CALC_EPM!G309)</f>
      </c>
      <c r="H320" s="11" t="str">
        <f>IF(CALC_EPM!$B309="","",CALC_EPM!H309)</f>
      </c>
      <c r="I320" s="11" t="str">
        <f>IF(CALC_EPM!$B309="","",CALC_EPM!I309)</f>
      </c>
      <c r="J320" t="str">
        <f>IF(CALC_EPM!$B309="","",CALC_EPM!J309)</f>
      </c>
      <c r="K320" t="str">
        <f>IF(CALC_EPM!$B309="","",CALC_EPM!K309)</f>
      </c>
      <c r="L320">
        <f>IF(CALC_EPM!$B309="","",CALC_EPM!L309)</f>
      </c>
      <c r="M320">
        <f>IF(CALC_EPM!$B309="","",CALC_EPM!M309)</f>
      </c>
      <c r="N320">
        <f>IF(CALC_EPM!$B309="","",CALC_EPM!N309)</f>
      </c>
      <c r="O320">
        <f>IF(CALC_EPM!$B309="","",CALC_EPM!O309)</f>
      </c>
      <c r="P320">
        <f>IF(CALC_EPM!$B309="","",CALC_EPM!P309)</f>
      </c>
      <c r="Q320">
        <f>IF(CALC_EPM!$B309="","",CALC_EPM!Q309)</f>
      </c>
      <c r="R320">
        <f>IF(CALC_EPM!$B309="","",CALC_EPM!R309)</f>
      </c>
      <c r="S320">
        <f>IF(CALC_EPM!$B309="","",CALC_EPM!S309)</f>
      </c>
      <c r="T320">
        <f>IF(CALC_EPM!$B309="","",CALC_EPM!T309)</f>
      </c>
      <c r="U320">
        <f>IF(CALC_EPM!$B309="","",CALC_EPM!U309)</f>
      </c>
    </row>
    <row r="321">
      <c r="A321" t="str">
        <f>IF(CALC_EPM!$B310="","",IF(CALC_EPM!A310="GLOBAL",IF(CALC_EPM!C310="Total","GLOBAL",IF(CALC_EPM!C310="TotalEsp","GLOBAL_ESP",IF(CALC_EPM!C310="TotalNoEsp","GLOBAL_NOESP","GLOBAL_ASIG"))),IF(CALC_EPM!C310="Total","CURSO_TOTAL",IF(CALC_EPM!C310="TotalEsp","CURSO_ESP",IF(CALC_EPM!C310="TotalNoEsp","CURSO_NOESP","CURSO_ASIG")))))</f>
      </c>
      <c r="B321" t="str">
        <f>IF(CALC_EPM!$B310="","",CALC_EPM!A310)</f>
      </c>
      <c r="C321" t="str">
        <f>IF(CALC_EPM!$B310="","",CALC_EPM!B310)</f>
      </c>
      <c r="D321">
        <f>IF(CALC_EPM!$B310="","",CALC_EPM!D310)</f>
      </c>
      <c r="E321" s="10" t="str">
        <f>IF(CALC_EPM!$B310="","",CALC_EPM!E310)</f>
      </c>
      <c r="F321" s="10" t="str">
        <f>IF(CALC_EPM!$B310="","",CALC_EPM!F310)</f>
      </c>
      <c r="G321" t="str">
        <f>IF(CALC_EPM!$B310="","",CALC_EPM!G310)</f>
      </c>
      <c r="H321" s="11" t="str">
        <f>IF(CALC_EPM!$B310="","",CALC_EPM!H310)</f>
      </c>
      <c r="I321" s="11" t="str">
        <f>IF(CALC_EPM!$B310="","",CALC_EPM!I310)</f>
      </c>
      <c r="J321" t="str">
        <f>IF(CALC_EPM!$B310="","",CALC_EPM!J310)</f>
      </c>
      <c r="K321" t="str">
        <f>IF(CALC_EPM!$B310="","",CALC_EPM!K310)</f>
      </c>
      <c r="L321">
        <f>IF(CALC_EPM!$B310="","",CALC_EPM!L310)</f>
      </c>
      <c r="M321">
        <f>IF(CALC_EPM!$B310="","",CALC_EPM!M310)</f>
      </c>
      <c r="N321">
        <f>IF(CALC_EPM!$B310="","",CALC_EPM!N310)</f>
      </c>
      <c r="O321">
        <f>IF(CALC_EPM!$B310="","",CALC_EPM!O310)</f>
      </c>
      <c r="P321">
        <f>IF(CALC_EPM!$B310="","",CALC_EPM!P310)</f>
      </c>
      <c r="Q321">
        <f>IF(CALC_EPM!$B310="","",CALC_EPM!Q310)</f>
      </c>
      <c r="R321">
        <f>IF(CALC_EPM!$B310="","",CALC_EPM!R310)</f>
      </c>
      <c r="S321">
        <f>IF(CALC_EPM!$B310="","",CALC_EPM!S310)</f>
      </c>
      <c r="T321">
        <f>IF(CALC_EPM!$B310="","",CALC_EPM!T310)</f>
      </c>
      <c r="U321">
        <f>IF(CALC_EPM!$B310="","",CALC_EPM!U310)</f>
      </c>
    </row>
    <row r="322">
      <c r="A322" t="str">
        <f>IF(CALC_EPM!$B311="","",IF(CALC_EPM!A311="GLOBAL",IF(CALC_EPM!C311="Total","GLOBAL",IF(CALC_EPM!C311="TotalEsp","GLOBAL_ESP",IF(CALC_EPM!C311="TotalNoEsp","GLOBAL_NOESP","GLOBAL_ASIG"))),IF(CALC_EPM!C311="Total","CURSO_TOTAL",IF(CALC_EPM!C311="TotalEsp","CURSO_ESP",IF(CALC_EPM!C311="TotalNoEsp","CURSO_NOESP","CURSO_ASIG")))))</f>
      </c>
      <c r="B322" t="str">
        <f>IF(CALC_EPM!$B311="","",CALC_EPM!A311)</f>
      </c>
      <c r="C322" t="str">
        <f>IF(CALC_EPM!$B311="","",CALC_EPM!B311)</f>
      </c>
      <c r="D322">
        <f>IF(CALC_EPM!$B311="","",CALC_EPM!D311)</f>
      </c>
      <c r="E322" s="10" t="str">
        <f>IF(CALC_EPM!$B311="","",CALC_EPM!E311)</f>
      </c>
      <c r="F322" s="10" t="str">
        <f>IF(CALC_EPM!$B311="","",CALC_EPM!F311)</f>
      </c>
      <c r="G322" t="str">
        <f>IF(CALC_EPM!$B311="","",CALC_EPM!G311)</f>
      </c>
      <c r="H322" s="11" t="str">
        <f>IF(CALC_EPM!$B311="","",CALC_EPM!H311)</f>
      </c>
      <c r="I322" s="11" t="str">
        <f>IF(CALC_EPM!$B311="","",CALC_EPM!I311)</f>
      </c>
      <c r="J322" t="str">
        <f>IF(CALC_EPM!$B311="","",CALC_EPM!J311)</f>
      </c>
      <c r="K322" t="str">
        <f>IF(CALC_EPM!$B311="","",CALC_EPM!K311)</f>
      </c>
      <c r="L322">
        <f>IF(CALC_EPM!$B311="","",CALC_EPM!L311)</f>
      </c>
      <c r="M322">
        <f>IF(CALC_EPM!$B311="","",CALC_EPM!M311)</f>
      </c>
      <c r="N322">
        <f>IF(CALC_EPM!$B311="","",CALC_EPM!N311)</f>
      </c>
      <c r="O322">
        <f>IF(CALC_EPM!$B311="","",CALC_EPM!O311)</f>
      </c>
      <c r="P322">
        <f>IF(CALC_EPM!$B311="","",CALC_EPM!P311)</f>
      </c>
      <c r="Q322">
        <f>IF(CALC_EPM!$B311="","",CALC_EPM!Q311)</f>
      </c>
      <c r="R322">
        <f>IF(CALC_EPM!$B311="","",CALC_EPM!R311)</f>
      </c>
      <c r="S322">
        <f>IF(CALC_EPM!$B311="","",CALC_EPM!S311)</f>
      </c>
      <c r="T322">
        <f>IF(CALC_EPM!$B311="","",CALC_EPM!T311)</f>
      </c>
      <c r="U322">
        <f>IF(CALC_EPM!$B311="","",CALC_EPM!U311)</f>
      </c>
    </row>
    <row r="323">
      <c r="A323" t="str">
        <f>IF(CALC_EPM!$B312="","",IF(CALC_EPM!A312="GLOBAL",IF(CALC_EPM!C312="Total","GLOBAL",IF(CALC_EPM!C312="TotalEsp","GLOBAL_ESP",IF(CALC_EPM!C312="TotalNoEsp","GLOBAL_NOESP","GLOBAL_ASIG"))),IF(CALC_EPM!C312="Total","CURSO_TOTAL",IF(CALC_EPM!C312="TotalEsp","CURSO_ESP",IF(CALC_EPM!C312="TotalNoEsp","CURSO_NOESP","CURSO_ASIG")))))</f>
      </c>
      <c r="B323" t="str">
        <f>IF(CALC_EPM!$B312="","",CALC_EPM!A312)</f>
      </c>
      <c r="C323" t="str">
        <f>IF(CALC_EPM!$B312="","",CALC_EPM!B312)</f>
      </c>
      <c r="D323">
        <f>IF(CALC_EPM!$B312="","",CALC_EPM!D312)</f>
      </c>
      <c r="E323" s="10" t="str">
        <f>IF(CALC_EPM!$B312="","",CALC_EPM!E312)</f>
      </c>
      <c r="F323" s="10" t="str">
        <f>IF(CALC_EPM!$B312="","",CALC_EPM!F312)</f>
      </c>
      <c r="G323" t="str">
        <f>IF(CALC_EPM!$B312="","",CALC_EPM!G312)</f>
      </c>
      <c r="H323" s="11" t="str">
        <f>IF(CALC_EPM!$B312="","",CALC_EPM!H312)</f>
      </c>
      <c r="I323" s="11" t="str">
        <f>IF(CALC_EPM!$B312="","",CALC_EPM!I312)</f>
      </c>
      <c r="J323" t="str">
        <f>IF(CALC_EPM!$B312="","",CALC_EPM!J312)</f>
      </c>
      <c r="K323" t="str">
        <f>IF(CALC_EPM!$B312="","",CALC_EPM!K312)</f>
      </c>
      <c r="L323">
        <f>IF(CALC_EPM!$B312="","",CALC_EPM!L312)</f>
      </c>
      <c r="M323">
        <f>IF(CALC_EPM!$B312="","",CALC_EPM!M312)</f>
      </c>
      <c r="N323">
        <f>IF(CALC_EPM!$B312="","",CALC_EPM!N312)</f>
      </c>
      <c r="O323">
        <f>IF(CALC_EPM!$B312="","",CALC_EPM!O312)</f>
      </c>
      <c r="P323">
        <f>IF(CALC_EPM!$B312="","",CALC_EPM!P312)</f>
      </c>
      <c r="Q323">
        <f>IF(CALC_EPM!$B312="","",CALC_EPM!Q312)</f>
      </c>
      <c r="R323">
        <f>IF(CALC_EPM!$B312="","",CALC_EPM!R312)</f>
      </c>
      <c r="S323">
        <f>IF(CALC_EPM!$B312="","",CALC_EPM!S312)</f>
      </c>
      <c r="T323">
        <f>IF(CALC_EPM!$B312="","",CALC_EPM!T312)</f>
      </c>
      <c r="U323">
        <f>IF(CALC_EPM!$B312="","",CALC_EPM!U312)</f>
      </c>
    </row>
    <row r="324">
      <c r="A324" t="str">
        <f>IF(CALC_EPM!$B313="","",IF(CALC_EPM!A313="GLOBAL",IF(CALC_EPM!C313="Total","GLOBAL",IF(CALC_EPM!C313="TotalEsp","GLOBAL_ESP",IF(CALC_EPM!C313="TotalNoEsp","GLOBAL_NOESP","GLOBAL_ASIG"))),IF(CALC_EPM!C313="Total","CURSO_TOTAL",IF(CALC_EPM!C313="TotalEsp","CURSO_ESP",IF(CALC_EPM!C313="TotalNoEsp","CURSO_NOESP","CURSO_ASIG")))))</f>
      </c>
      <c r="B324" t="str">
        <f>IF(CALC_EPM!$B313="","",CALC_EPM!A313)</f>
      </c>
      <c r="C324" t="str">
        <f>IF(CALC_EPM!$B313="","",CALC_EPM!B313)</f>
      </c>
      <c r="D324">
        <f>IF(CALC_EPM!$B313="","",CALC_EPM!D313)</f>
      </c>
      <c r="E324" s="10" t="str">
        <f>IF(CALC_EPM!$B313="","",CALC_EPM!E313)</f>
      </c>
      <c r="F324" s="10" t="str">
        <f>IF(CALC_EPM!$B313="","",CALC_EPM!F313)</f>
      </c>
      <c r="G324" t="str">
        <f>IF(CALC_EPM!$B313="","",CALC_EPM!G313)</f>
      </c>
      <c r="H324" s="11" t="str">
        <f>IF(CALC_EPM!$B313="","",CALC_EPM!H313)</f>
      </c>
      <c r="I324" s="11" t="str">
        <f>IF(CALC_EPM!$B313="","",CALC_EPM!I313)</f>
      </c>
      <c r="J324" t="str">
        <f>IF(CALC_EPM!$B313="","",CALC_EPM!J313)</f>
      </c>
      <c r="K324" t="str">
        <f>IF(CALC_EPM!$B313="","",CALC_EPM!K313)</f>
      </c>
      <c r="L324">
        <f>IF(CALC_EPM!$B313="","",CALC_EPM!L313)</f>
      </c>
      <c r="M324">
        <f>IF(CALC_EPM!$B313="","",CALC_EPM!M313)</f>
      </c>
      <c r="N324">
        <f>IF(CALC_EPM!$B313="","",CALC_EPM!N313)</f>
      </c>
      <c r="O324">
        <f>IF(CALC_EPM!$B313="","",CALC_EPM!O313)</f>
      </c>
      <c r="P324">
        <f>IF(CALC_EPM!$B313="","",CALC_EPM!P313)</f>
      </c>
      <c r="Q324">
        <f>IF(CALC_EPM!$B313="","",CALC_EPM!Q313)</f>
      </c>
      <c r="R324">
        <f>IF(CALC_EPM!$B313="","",CALC_EPM!R313)</f>
      </c>
      <c r="S324">
        <f>IF(CALC_EPM!$B313="","",CALC_EPM!S313)</f>
      </c>
      <c r="T324">
        <f>IF(CALC_EPM!$B313="","",CALC_EPM!T313)</f>
      </c>
      <c r="U324">
        <f>IF(CALC_EPM!$B313="","",CALC_EPM!U313)</f>
      </c>
    </row>
    <row r="325">
      <c r="A325" t="str">
        <f>IF(CALC_EPM!$B314="","",IF(CALC_EPM!A314="GLOBAL",IF(CALC_EPM!C314="Total","GLOBAL",IF(CALC_EPM!C314="TotalEsp","GLOBAL_ESP",IF(CALC_EPM!C314="TotalNoEsp","GLOBAL_NOESP","GLOBAL_ASIG"))),IF(CALC_EPM!C314="Total","CURSO_TOTAL",IF(CALC_EPM!C314="TotalEsp","CURSO_ESP",IF(CALC_EPM!C314="TotalNoEsp","CURSO_NOESP","CURSO_ASIG")))))</f>
      </c>
      <c r="B325" t="str">
        <f>IF(CALC_EPM!$B314="","",CALC_EPM!A314)</f>
      </c>
      <c r="C325" t="str">
        <f>IF(CALC_EPM!$B314="","",CALC_EPM!B314)</f>
      </c>
      <c r="D325">
        <f>IF(CALC_EPM!$B314="","",CALC_EPM!D314)</f>
      </c>
      <c r="E325" s="10" t="str">
        <f>IF(CALC_EPM!$B314="","",CALC_EPM!E314)</f>
      </c>
      <c r="F325" s="10" t="str">
        <f>IF(CALC_EPM!$B314="","",CALC_EPM!F314)</f>
      </c>
      <c r="G325" t="str">
        <f>IF(CALC_EPM!$B314="","",CALC_EPM!G314)</f>
      </c>
      <c r="H325" s="11" t="str">
        <f>IF(CALC_EPM!$B314="","",CALC_EPM!H314)</f>
      </c>
      <c r="I325" s="11" t="str">
        <f>IF(CALC_EPM!$B314="","",CALC_EPM!I314)</f>
      </c>
      <c r="J325" t="str">
        <f>IF(CALC_EPM!$B314="","",CALC_EPM!J314)</f>
      </c>
      <c r="K325" t="str">
        <f>IF(CALC_EPM!$B314="","",CALC_EPM!K314)</f>
      </c>
      <c r="L325">
        <f>IF(CALC_EPM!$B314="","",CALC_EPM!L314)</f>
      </c>
      <c r="M325">
        <f>IF(CALC_EPM!$B314="","",CALC_EPM!M314)</f>
      </c>
      <c r="N325">
        <f>IF(CALC_EPM!$B314="","",CALC_EPM!N314)</f>
      </c>
      <c r="O325">
        <f>IF(CALC_EPM!$B314="","",CALC_EPM!O314)</f>
      </c>
      <c r="P325">
        <f>IF(CALC_EPM!$B314="","",CALC_EPM!P314)</f>
      </c>
      <c r="Q325">
        <f>IF(CALC_EPM!$B314="","",CALC_EPM!Q314)</f>
      </c>
      <c r="R325">
        <f>IF(CALC_EPM!$B314="","",CALC_EPM!R314)</f>
      </c>
      <c r="S325">
        <f>IF(CALC_EPM!$B314="","",CALC_EPM!S314)</f>
      </c>
      <c r="T325">
        <f>IF(CALC_EPM!$B314="","",CALC_EPM!T314)</f>
      </c>
      <c r="U325">
        <f>IF(CALC_EPM!$B314="","",CALC_EPM!U314)</f>
      </c>
    </row>
    <row r="326">
      <c r="A326" t="str">
        <f>IF(CALC_EPM!$B315="","",IF(CALC_EPM!A315="GLOBAL",IF(CALC_EPM!C315="Total","GLOBAL",IF(CALC_EPM!C315="TotalEsp","GLOBAL_ESP",IF(CALC_EPM!C315="TotalNoEsp","GLOBAL_NOESP","GLOBAL_ASIG"))),IF(CALC_EPM!C315="Total","CURSO_TOTAL",IF(CALC_EPM!C315="TotalEsp","CURSO_ESP",IF(CALC_EPM!C315="TotalNoEsp","CURSO_NOESP","CURSO_ASIG")))))</f>
      </c>
      <c r="B326" t="str">
        <f>IF(CALC_EPM!$B315="","",CALC_EPM!A315)</f>
      </c>
      <c r="C326" t="str">
        <f>IF(CALC_EPM!$B315="","",CALC_EPM!B315)</f>
      </c>
      <c r="D326">
        <f>IF(CALC_EPM!$B315="","",CALC_EPM!D315)</f>
      </c>
      <c r="E326" s="10" t="str">
        <f>IF(CALC_EPM!$B315="","",CALC_EPM!E315)</f>
      </c>
      <c r="F326" s="10" t="str">
        <f>IF(CALC_EPM!$B315="","",CALC_EPM!F315)</f>
      </c>
      <c r="G326" t="str">
        <f>IF(CALC_EPM!$B315="","",CALC_EPM!G315)</f>
      </c>
      <c r="H326" s="11" t="str">
        <f>IF(CALC_EPM!$B315="","",CALC_EPM!H315)</f>
      </c>
      <c r="I326" s="11" t="str">
        <f>IF(CALC_EPM!$B315="","",CALC_EPM!I315)</f>
      </c>
      <c r="J326" t="str">
        <f>IF(CALC_EPM!$B315="","",CALC_EPM!J315)</f>
      </c>
      <c r="K326" t="str">
        <f>IF(CALC_EPM!$B315="","",CALC_EPM!K315)</f>
      </c>
      <c r="L326">
        <f>IF(CALC_EPM!$B315="","",CALC_EPM!L315)</f>
      </c>
      <c r="M326">
        <f>IF(CALC_EPM!$B315="","",CALC_EPM!M315)</f>
      </c>
      <c r="N326">
        <f>IF(CALC_EPM!$B315="","",CALC_EPM!N315)</f>
      </c>
      <c r="O326">
        <f>IF(CALC_EPM!$B315="","",CALC_EPM!O315)</f>
      </c>
      <c r="P326">
        <f>IF(CALC_EPM!$B315="","",CALC_EPM!P315)</f>
      </c>
      <c r="Q326">
        <f>IF(CALC_EPM!$B315="","",CALC_EPM!Q315)</f>
      </c>
      <c r="R326">
        <f>IF(CALC_EPM!$B315="","",CALC_EPM!R315)</f>
      </c>
      <c r="S326">
        <f>IF(CALC_EPM!$B315="","",CALC_EPM!S315)</f>
      </c>
      <c r="T326">
        <f>IF(CALC_EPM!$B315="","",CALC_EPM!T315)</f>
      </c>
      <c r="U326">
        <f>IF(CALC_EPM!$B315="","",CALC_EPM!U315)</f>
      </c>
    </row>
    <row r="327">
      <c r="A327" t="str">
        <f>IF(CALC_EPM!$B316="","",IF(CALC_EPM!A316="GLOBAL",IF(CALC_EPM!C316="Total","GLOBAL",IF(CALC_EPM!C316="TotalEsp","GLOBAL_ESP",IF(CALC_EPM!C316="TotalNoEsp","GLOBAL_NOESP","GLOBAL_ASIG"))),IF(CALC_EPM!C316="Total","CURSO_TOTAL",IF(CALC_EPM!C316="TotalEsp","CURSO_ESP",IF(CALC_EPM!C316="TotalNoEsp","CURSO_NOESP","CURSO_ASIG")))))</f>
      </c>
      <c r="B327" t="str">
        <f>IF(CALC_EPM!$B316="","",CALC_EPM!A316)</f>
      </c>
      <c r="C327" t="str">
        <f>IF(CALC_EPM!$B316="","",CALC_EPM!B316)</f>
      </c>
      <c r="D327">
        <f>IF(CALC_EPM!$B316="","",CALC_EPM!D316)</f>
      </c>
      <c r="E327" s="10" t="str">
        <f>IF(CALC_EPM!$B316="","",CALC_EPM!E316)</f>
      </c>
      <c r="F327" s="10" t="str">
        <f>IF(CALC_EPM!$B316="","",CALC_EPM!F316)</f>
      </c>
      <c r="G327" t="str">
        <f>IF(CALC_EPM!$B316="","",CALC_EPM!G316)</f>
      </c>
      <c r="H327" s="11" t="str">
        <f>IF(CALC_EPM!$B316="","",CALC_EPM!H316)</f>
      </c>
      <c r="I327" s="11" t="str">
        <f>IF(CALC_EPM!$B316="","",CALC_EPM!I316)</f>
      </c>
      <c r="J327" t="str">
        <f>IF(CALC_EPM!$B316="","",CALC_EPM!J316)</f>
      </c>
      <c r="K327" t="str">
        <f>IF(CALC_EPM!$B316="","",CALC_EPM!K316)</f>
      </c>
      <c r="L327">
        <f>IF(CALC_EPM!$B316="","",CALC_EPM!L316)</f>
      </c>
      <c r="M327">
        <f>IF(CALC_EPM!$B316="","",CALC_EPM!M316)</f>
      </c>
      <c r="N327">
        <f>IF(CALC_EPM!$B316="","",CALC_EPM!N316)</f>
      </c>
      <c r="O327">
        <f>IF(CALC_EPM!$B316="","",CALC_EPM!O316)</f>
      </c>
      <c r="P327">
        <f>IF(CALC_EPM!$B316="","",CALC_EPM!P316)</f>
      </c>
      <c r="Q327">
        <f>IF(CALC_EPM!$B316="","",CALC_EPM!Q316)</f>
      </c>
      <c r="R327">
        <f>IF(CALC_EPM!$B316="","",CALC_EPM!R316)</f>
      </c>
      <c r="S327">
        <f>IF(CALC_EPM!$B316="","",CALC_EPM!S316)</f>
      </c>
      <c r="T327">
        <f>IF(CALC_EPM!$B316="","",CALC_EPM!T316)</f>
      </c>
      <c r="U327">
        <f>IF(CALC_EPM!$B316="","",CALC_EPM!U316)</f>
      </c>
    </row>
    <row r="328">
      <c r="A328" t="str">
        <f>IF(CALC_EPM!$B317="","",IF(CALC_EPM!A317="GLOBAL",IF(CALC_EPM!C317="Total","GLOBAL",IF(CALC_EPM!C317="TotalEsp","GLOBAL_ESP",IF(CALC_EPM!C317="TotalNoEsp","GLOBAL_NOESP","GLOBAL_ASIG"))),IF(CALC_EPM!C317="Total","CURSO_TOTAL",IF(CALC_EPM!C317="TotalEsp","CURSO_ESP",IF(CALC_EPM!C317="TotalNoEsp","CURSO_NOESP","CURSO_ASIG")))))</f>
      </c>
      <c r="B328" t="str">
        <f>IF(CALC_EPM!$B317="","",CALC_EPM!A317)</f>
      </c>
      <c r="C328" t="str">
        <f>IF(CALC_EPM!$B317="","",CALC_EPM!B317)</f>
      </c>
      <c r="D328">
        <f>IF(CALC_EPM!$B317="","",CALC_EPM!D317)</f>
      </c>
      <c r="E328" s="10" t="str">
        <f>IF(CALC_EPM!$B317="","",CALC_EPM!E317)</f>
      </c>
      <c r="F328" s="10" t="str">
        <f>IF(CALC_EPM!$B317="","",CALC_EPM!F317)</f>
      </c>
      <c r="G328" t="str">
        <f>IF(CALC_EPM!$B317="","",CALC_EPM!G317)</f>
      </c>
      <c r="H328" s="11" t="str">
        <f>IF(CALC_EPM!$B317="","",CALC_EPM!H317)</f>
      </c>
      <c r="I328" s="11" t="str">
        <f>IF(CALC_EPM!$B317="","",CALC_EPM!I317)</f>
      </c>
      <c r="J328" t="str">
        <f>IF(CALC_EPM!$B317="","",CALC_EPM!J317)</f>
      </c>
      <c r="K328" t="str">
        <f>IF(CALC_EPM!$B317="","",CALC_EPM!K317)</f>
      </c>
      <c r="L328">
        <f>IF(CALC_EPM!$B317="","",CALC_EPM!L317)</f>
      </c>
      <c r="M328">
        <f>IF(CALC_EPM!$B317="","",CALC_EPM!M317)</f>
      </c>
      <c r="N328">
        <f>IF(CALC_EPM!$B317="","",CALC_EPM!N317)</f>
      </c>
      <c r="O328">
        <f>IF(CALC_EPM!$B317="","",CALC_EPM!O317)</f>
      </c>
      <c r="P328">
        <f>IF(CALC_EPM!$B317="","",CALC_EPM!P317)</f>
      </c>
      <c r="Q328">
        <f>IF(CALC_EPM!$B317="","",CALC_EPM!Q317)</f>
      </c>
      <c r="R328">
        <f>IF(CALC_EPM!$B317="","",CALC_EPM!R317)</f>
      </c>
      <c r="S328">
        <f>IF(CALC_EPM!$B317="","",CALC_EPM!S317)</f>
      </c>
      <c r="T328">
        <f>IF(CALC_EPM!$B317="","",CALC_EPM!T317)</f>
      </c>
      <c r="U328">
        <f>IF(CALC_EPM!$B317="","",CALC_EPM!U317)</f>
      </c>
    </row>
    <row r="329">
      <c r="A329" t="str">
        <f>IF(CALC_EPM!$B318="","",IF(CALC_EPM!A318="GLOBAL",IF(CALC_EPM!C318="Total","GLOBAL",IF(CALC_EPM!C318="TotalEsp","GLOBAL_ESP",IF(CALC_EPM!C318="TotalNoEsp","GLOBAL_NOESP","GLOBAL_ASIG"))),IF(CALC_EPM!C318="Total","CURSO_TOTAL",IF(CALC_EPM!C318="TotalEsp","CURSO_ESP",IF(CALC_EPM!C318="TotalNoEsp","CURSO_NOESP","CURSO_ASIG")))))</f>
      </c>
      <c r="B329" t="str">
        <f>IF(CALC_EPM!$B318="","",CALC_EPM!A318)</f>
      </c>
      <c r="C329" t="str">
        <f>IF(CALC_EPM!$B318="","",CALC_EPM!B318)</f>
      </c>
      <c r="D329">
        <f>IF(CALC_EPM!$B318="","",CALC_EPM!D318)</f>
      </c>
      <c r="E329" s="10" t="str">
        <f>IF(CALC_EPM!$B318="","",CALC_EPM!E318)</f>
      </c>
      <c r="F329" s="10" t="str">
        <f>IF(CALC_EPM!$B318="","",CALC_EPM!F318)</f>
      </c>
      <c r="G329" t="str">
        <f>IF(CALC_EPM!$B318="","",CALC_EPM!G318)</f>
      </c>
      <c r="H329" s="11" t="str">
        <f>IF(CALC_EPM!$B318="","",CALC_EPM!H318)</f>
      </c>
      <c r="I329" s="11" t="str">
        <f>IF(CALC_EPM!$B318="","",CALC_EPM!I318)</f>
      </c>
      <c r="J329" t="str">
        <f>IF(CALC_EPM!$B318="","",CALC_EPM!J318)</f>
      </c>
      <c r="K329" t="str">
        <f>IF(CALC_EPM!$B318="","",CALC_EPM!K318)</f>
      </c>
      <c r="L329">
        <f>IF(CALC_EPM!$B318="","",CALC_EPM!L318)</f>
      </c>
      <c r="M329">
        <f>IF(CALC_EPM!$B318="","",CALC_EPM!M318)</f>
      </c>
      <c r="N329">
        <f>IF(CALC_EPM!$B318="","",CALC_EPM!N318)</f>
      </c>
      <c r="O329">
        <f>IF(CALC_EPM!$B318="","",CALC_EPM!O318)</f>
      </c>
      <c r="P329">
        <f>IF(CALC_EPM!$B318="","",CALC_EPM!P318)</f>
      </c>
      <c r="Q329">
        <f>IF(CALC_EPM!$B318="","",CALC_EPM!Q318)</f>
      </c>
      <c r="R329">
        <f>IF(CALC_EPM!$B318="","",CALC_EPM!R318)</f>
      </c>
      <c r="S329">
        <f>IF(CALC_EPM!$B318="","",CALC_EPM!S318)</f>
      </c>
      <c r="T329">
        <f>IF(CALC_EPM!$B318="","",CALC_EPM!T318)</f>
      </c>
      <c r="U329">
        <f>IF(CALC_EPM!$B318="","",CALC_EPM!U318)</f>
      </c>
    </row>
    <row r="330">
      <c r="A330" t="str">
        <f>IF(CALC_EPM!$B319="","",IF(CALC_EPM!A319="GLOBAL",IF(CALC_EPM!C319="Total","GLOBAL",IF(CALC_EPM!C319="TotalEsp","GLOBAL_ESP",IF(CALC_EPM!C319="TotalNoEsp","GLOBAL_NOESP","GLOBAL_ASIG"))),IF(CALC_EPM!C319="Total","CURSO_TOTAL",IF(CALC_EPM!C319="TotalEsp","CURSO_ESP",IF(CALC_EPM!C319="TotalNoEsp","CURSO_NOESP","CURSO_ASIG")))))</f>
      </c>
      <c r="B330" t="str">
        <f>IF(CALC_EPM!$B319="","",CALC_EPM!A319)</f>
      </c>
      <c r="C330" t="str">
        <f>IF(CALC_EPM!$B319="","",CALC_EPM!B319)</f>
      </c>
      <c r="D330">
        <f>IF(CALC_EPM!$B319="","",CALC_EPM!D319)</f>
      </c>
      <c r="E330" s="10" t="str">
        <f>IF(CALC_EPM!$B319="","",CALC_EPM!E319)</f>
      </c>
      <c r="F330" s="10" t="str">
        <f>IF(CALC_EPM!$B319="","",CALC_EPM!F319)</f>
      </c>
      <c r="G330" t="str">
        <f>IF(CALC_EPM!$B319="","",CALC_EPM!G319)</f>
      </c>
      <c r="H330" s="11" t="str">
        <f>IF(CALC_EPM!$B319="","",CALC_EPM!H319)</f>
      </c>
      <c r="I330" s="11" t="str">
        <f>IF(CALC_EPM!$B319="","",CALC_EPM!I319)</f>
      </c>
      <c r="J330" t="str">
        <f>IF(CALC_EPM!$B319="","",CALC_EPM!J319)</f>
      </c>
      <c r="K330" t="str">
        <f>IF(CALC_EPM!$B319="","",CALC_EPM!K319)</f>
      </c>
      <c r="L330">
        <f>IF(CALC_EPM!$B319="","",CALC_EPM!L319)</f>
      </c>
      <c r="M330">
        <f>IF(CALC_EPM!$B319="","",CALC_EPM!M319)</f>
      </c>
      <c r="N330">
        <f>IF(CALC_EPM!$B319="","",CALC_EPM!N319)</f>
      </c>
      <c r="O330">
        <f>IF(CALC_EPM!$B319="","",CALC_EPM!O319)</f>
      </c>
      <c r="P330">
        <f>IF(CALC_EPM!$B319="","",CALC_EPM!P319)</f>
      </c>
      <c r="Q330">
        <f>IF(CALC_EPM!$B319="","",CALC_EPM!Q319)</f>
      </c>
      <c r="R330">
        <f>IF(CALC_EPM!$B319="","",CALC_EPM!R319)</f>
      </c>
      <c r="S330">
        <f>IF(CALC_EPM!$B319="","",CALC_EPM!S319)</f>
      </c>
      <c r="T330">
        <f>IF(CALC_EPM!$B319="","",CALC_EPM!T319)</f>
      </c>
      <c r="U330">
        <f>IF(CALC_EPM!$B319="","",CALC_EPM!U319)</f>
      </c>
    </row>
    <row r="331">
      <c r="A331" t="str">
        <f>IF(CALC_EPM!$B320="","",IF(CALC_EPM!A320="GLOBAL",IF(CALC_EPM!C320="Total","GLOBAL",IF(CALC_EPM!C320="TotalEsp","GLOBAL_ESP",IF(CALC_EPM!C320="TotalNoEsp","GLOBAL_NOESP","GLOBAL_ASIG"))),IF(CALC_EPM!C320="Total","CURSO_TOTAL",IF(CALC_EPM!C320="TotalEsp","CURSO_ESP",IF(CALC_EPM!C320="TotalNoEsp","CURSO_NOESP","CURSO_ASIG")))))</f>
      </c>
      <c r="B331" t="str">
        <f>IF(CALC_EPM!$B320="","",CALC_EPM!A320)</f>
      </c>
      <c r="C331" t="str">
        <f>IF(CALC_EPM!$B320="","",CALC_EPM!B320)</f>
      </c>
      <c r="D331">
        <f>IF(CALC_EPM!$B320="","",CALC_EPM!D320)</f>
      </c>
      <c r="E331" s="10" t="str">
        <f>IF(CALC_EPM!$B320="","",CALC_EPM!E320)</f>
      </c>
      <c r="F331" s="10" t="str">
        <f>IF(CALC_EPM!$B320="","",CALC_EPM!F320)</f>
      </c>
      <c r="G331" t="str">
        <f>IF(CALC_EPM!$B320="","",CALC_EPM!G320)</f>
      </c>
      <c r="H331" s="11" t="str">
        <f>IF(CALC_EPM!$B320="","",CALC_EPM!H320)</f>
      </c>
      <c r="I331" s="11" t="str">
        <f>IF(CALC_EPM!$B320="","",CALC_EPM!I320)</f>
      </c>
      <c r="J331" t="str">
        <f>IF(CALC_EPM!$B320="","",CALC_EPM!J320)</f>
      </c>
      <c r="K331" t="str">
        <f>IF(CALC_EPM!$B320="","",CALC_EPM!K320)</f>
      </c>
      <c r="L331">
        <f>IF(CALC_EPM!$B320="","",CALC_EPM!L320)</f>
      </c>
      <c r="M331">
        <f>IF(CALC_EPM!$B320="","",CALC_EPM!M320)</f>
      </c>
      <c r="N331">
        <f>IF(CALC_EPM!$B320="","",CALC_EPM!N320)</f>
      </c>
      <c r="O331">
        <f>IF(CALC_EPM!$B320="","",CALC_EPM!O320)</f>
      </c>
      <c r="P331">
        <f>IF(CALC_EPM!$B320="","",CALC_EPM!P320)</f>
      </c>
      <c r="Q331">
        <f>IF(CALC_EPM!$B320="","",CALC_EPM!Q320)</f>
      </c>
      <c r="R331">
        <f>IF(CALC_EPM!$B320="","",CALC_EPM!R320)</f>
      </c>
      <c r="S331">
        <f>IF(CALC_EPM!$B320="","",CALC_EPM!S320)</f>
      </c>
      <c r="T331">
        <f>IF(CALC_EPM!$B320="","",CALC_EPM!T320)</f>
      </c>
      <c r="U331">
        <f>IF(CALC_EPM!$B320="","",CALC_EPM!U320)</f>
      </c>
    </row>
    <row r="332">
      <c r="A332" t="str">
        <f>IF(CALC_EPM!$B321="","",IF(CALC_EPM!A321="GLOBAL",IF(CALC_EPM!C321="Total","GLOBAL",IF(CALC_EPM!C321="TotalEsp","GLOBAL_ESP",IF(CALC_EPM!C321="TotalNoEsp","GLOBAL_NOESP","GLOBAL_ASIG"))),IF(CALC_EPM!C321="Total","CURSO_TOTAL",IF(CALC_EPM!C321="TotalEsp","CURSO_ESP",IF(CALC_EPM!C321="TotalNoEsp","CURSO_NOESP","CURSO_ASIG")))))</f>
      </c>
      <c r="B332" t="str">
        <f>IF(CALC_EPM!$B321="","",CALC_EPM!A321)</f>
      </c>
      <c r="C332" t="str">
        <f>IF(CALC_EPM!$B321="","",CALC_EPM!B321)</f>
      </c>
      <c r="D332">
        <f>IF(CALC_EPM!$B321="","",CALC_EPM!D321)</f>
      </c>
      <c r="E332" s="10" t="str">
        <f>IF(CALC_EPM!$B321="","",CALC_EPM!E321)</f>
      </c>
      <c r="F332" s="10" t="str">
        <f>IF(CALC_EPM!$B321="","",CALC_EPM!F321)</f>
      </c>
      <c r="G332" t="str">
        <f>IF(CALC_EPM!$B321="","",CALC_EPM!G321)</f>
      </c>
      <c r="H332" s="11" t="str">
        <f>IF(CALC_EPM!$B321="","",CALC_EPM!H321)</f>
      </c>
      <c r="I332" s="11" t="str">
        <f>IF(CALC_EPM!$B321="","",CALC_EPM!I321)</f>
      </c>
      <c r="J332" t="str">
        <f>IF(CALC_EPM!$B321="","",CALC_EPM!J321)</f>
      </c>
      <c r="K332" t="str">
        <f>IF(CALC_EPM!$B321="","",CALC_EPM!K321)</f>
      </c>
      <c r="L332">
        <f>IF(CALC_EPM!$B321="","",CALC_EPM!L321)</f>
      </c>
      <c r="M332">
        <f>IF(CALC_EPM!$B321="","",CALC_EPM!M321)</f>
      </c>
      <c r="N332">
        <f>IF(CALC_EPM!$B321="","",CALC_EPM!N321)</f>
      </c>
      <c r="O332">
        <f>IF(CALC_EPM!$B321="","",CALC_EPM!O321)</f>
      </c>
      <c r="P332">
        <f>IF(CALC_EPM!$B321="","",CALC_EPM!P321)</f>
      </c>
      <c r="Q332">
        <f>IF(CALC_EPM!$B321="","",CALC_EPM!Q321)</f>
      </c>
      <c r="R332">
        <f>IF(CALC_EPM!$B321="","",CALC_EPM!R321)</f>
      </c>
      <c r="S332">
        <f>IF(CALC_EPM!$B321="","",CALC_EPM!S321)</f>
      </c>
      <c r="T332">
        <f>IF(CALC_EPM!$B321="","",CALC_EPM!T321)</f>
      </c>
      <c r="U332">
        <f>IF(CALC_EPM!$B321="","",CALC_EPM!U321)</f>
      </c>
    </row>
    <row r="333">
      <c r="A333" t="str">
        <f>IF(CALC_EPM!$B322="","",IF(CALC_EPM!A322="GLOBAL",IF(CALC_EPM!C322="Total","GLOBAL",IF(CALC_EPM!C322="TotalEsp","GLOBAL_ESP",IF(CALC_EPM!C322="TotalNoEsp","GLOBAL_NOESP","GLOBAL_ASIG"))),IF(CALC_EPM!C322="Total","CURSO_TOTAL",IF(CALC_EPM!C322="TotalEsp","CURSO_ESP",IF(CALC_EPM!C322="TotalNoEsp","CURSO_NOESP","CURSO_ASIG")))))</f>
      </c>
      <c r="B333" t="str">
        <f>IF(CALC_EPM!$B322="","",CALC_EPM!A322)</f>
      </c>
      <c r="C333" t="str">
        <f>IF(CALC_EPM!$B322="","",CALC_EPM!B322)</f>
      </c>
      <c r="D333">
        <f>IF(CALC_EPM!$B322="","",CALC_EPM!D322)</f>
      </c>
      <c r="E333" s="10" t="str">
        <f>IF(CALC_EPM!$B322="","",CALC_EPM!E322)</f>
      </c>
      <c r="F333" s="10" t="str">
        <f>IF(CALC_EPM!$B322="","",CALC_EPM!F322)</f>
      </c>
      <c r="G333" t="str">
        <f>IF(CALC_EPM!$B322="","",CALC_EPM!G322)</f>
      </c>
      <c r="H333" s="11" t="str">
        <f>IF(CALC_EPM!$B322="","",CALC_EPM!H322)</f>
      </c>
      <c r="I333" s="11" t="str">
        <f>IF(CALC_EPM!$B322="","",CALC_EPM!I322)</f>
      </c>
      <c r="J333" t="str">
        <f>IF(CALC_EPM!$B322="","",CALC_EPM!J322)</f>
      </c>
      <c r="K333" t="str">
        <f>IF(CALC_EPM!$B322="","",CALC_EPM!K322)</f>
      </c>
      <c r="L333">
        <f>IF(CALC_EPM!$B322="","",CALC_EPM!L322)</f>
      </c>
      <c r="M333">
        <f>IF(CALC_EPM!$B322="","",CALC_EPM!M322)</f>
      </c>
      <c r="N333">
        <f>IF(CALC_EPM!$B322="","",CALC_EPM!N322)</f>
      </c>
      <c r="O333">
        <f>IF(CALC_EPM!$B322="","",CALC_EPM!O322)</f>
      </c>
      <c r="P333">
        <f>IF(CALC_EPM!$B322="","",CALC_EPM!P322)</f>
      </c>
      <c r="Q333">
        <f>IF(CALC_EPM!$B322="","",CALC_EPM!Q322)</f>
      </c>
      <c r="R333">
        <f>IF(CALC_EPM!$B322="","",CALC_EPM!R322)</f>
      </c>
      <c r="S333">
        <f>IF(CALC_EPM!$B322="","",CALC_EPM!S322)</f>
      </c>
      <c r="T333">
        <f>IF(CALC_EPM!$B322="","",CALC_EPM!T322)</f>
      </c>
      <c r="U333">
        <f>IF(CALC_EPM!$B322="","",CALC_EPM!U322)</f>
      </c>
    </row>
    <row r="334">
      <c r="A334" t="str">
        <f>IF(CALC_EPM!$B323="","",IF(CALC_EPM!A323="GLOBAL",IF(CALC_EPM!C323="Total","GLOBAL",IF(CALC_EPM!C323="TotalEsp","GLOBAL_ESP",IF(CALC_EPM!C323="TotalNoEsp","GLOBAL_NOESP","GLOBAL_ASIG"))),IF(CALC_EPM!C323="Total","CURSO_TOTAL",IF(CALC_EPM!C323="TotalEsp","CURSO_ESP",IF(CALC_EPM!C323="TotalNoEsp","CURSO_NOESP","CURSO_ASIG")))))</f>
      </c>
      <c r="B334" t="str">
        <f>IF(CALC_EPM!$B323="","",CALC_EPM!A323)</f>
      </c>
      <c r="C334" t="str">
        <f>IF(CALC_EPM!$B323="","",CALC_EPM!B323)</f>
      </c>
      <c r="D334">
        <f>IF(CALC_EPM!$B323="","",CALC_EPM!D323)</f>
      </c>
      <c r="E334" s="10" t="str">
        <f>IF(CALC_EPM!$B323="","",CALC_EPM!E323)</f>
      </c>
      <c r="F334" s="10" t="str">
        <f>IF(CALC_EPM!$B323="","",CALC_EPM!F323)</f>
      </c>
      <c r="G334" t="str">
        <f>IF(CALC_EPM!$B323="","",CALC_EPM!G323)</f>
      </c>
      <c r="H334" s="11" t="str">
        <f>IF(CALC_EPM!$B323="","",CALC_EPM!H323)</f>
      </c>
      <c r="I334" s="11" t="str">
        <f>IF(CALC_EPM!$B323="","",CALC_EPM!I323)</f>
      </c>
      <c r="J334" t="str">
        <f>IF(CALC_EPM!$B323="","",CALC_EPM!J323)</f>
      </c>
      <c r="K334" t="str">
        <f>IF(CALC_EPM!$B323="","",CALC_EPM!K323)</f>
      </c>
      <c r="L334">
        <f>IF(CALC_EPM!$B323="","",CALC_EPM!L323)</f>
      </c>
      <c r="M334">
        <f>IF(CALC_EPM!$B323="","",CALC_EPM!M323)</f>
      </c>
      <c r="N334">
        <f>IF(CALC_EPM!$B323="","",CALC_EPM!N323)</f>
      </c>
      <c r="O334">
        <f>IF(CALC_EPM!$B323="","",CALC_EPM!O323)</f>
      </c>
      <c r="P334">
        <f>IF(CALC_EPM!$B323="","",CALC_EPM!P323)</f>
      </c>
      <c r="Q334">
        <f>IF(CALC_EPM!$B323="","",CALC_EPM!Q323)</f>
      </c>
      <c r="R334">
        <f>IF(CALC_EPM!$B323="","",CALC_EPM!R323)</f>
      </c>
      <c r="S334">
        <f>IF(CALC_EPM!$B323="","",CALC_EPM!S323)</f>
      </c>
      <c r="T334">
        <f>IF(CALC_EPM!$B323="","",CALC_EPM!T323)</f>
      </c>
      <c r="U334">
        <f>IF(CALC_EPM!$B323="","",CALC_EPM!U323)</f>
      </c>
    </row>
    <row r="335">
      <c r="A335" t="str">
        <f>IF(CALC_EPM!$B324="","",IF(CALC_EPM!A324="GLOBAL",IF(CALC_EPM!C324="Total","GLOBAL",IF(CALC_EPM!C324="TotalEsp","GLOBAL_ESP",IF(CALC_EPM!C324="TotalNoEsp","GLOBAL_NOESP","GLOBAL_ASIG"))),IF(CALC_EPM!C324="Total","CURSO_TOTAL",IF(CALC_EPM!C324="TotalEsp","CURSO_ESP",IF(CALC_EPM!C324="TotalNoEsp","CURSO_NOESP","CURSO_ASIG")))))</f>
      </c>
      <c r="B335" t="str">
        <f>IF(CALC_EPM!$B324="","",CALC_EPM!A324)</f>
      </c>
      <c r="C335" t="str">
        <f>IF(CALC_EPM!$B324="","",CALC_EPM!B324)</f>
      </c>
      <c r="D335">
        <f>IF(CALC_EPM!$B324="","",CALC_EPM!D324)</f>
      </c>
      <c r="E335" s="10" t="str">
        <f>IF(CALC_EPM!$B324="","",CALC_EPM!E324)</f>
      </c>
      <c r="F335" s="10" t="str">
        <f>IF(CALC_EPM!$B324="","",CALC_EPM!F324)</f>
      </c>
      <c r="G335" t="str">
        <f>IF(CALC_EPM!$B324="","",CALC_EPM!G324)</f>
      </c>
      <c r="H335" s="11" t="str">
        <f>IF(CALC_EPM!$B324="","",CALC_EPM!H324)</f>
      </c>
      <c r="I335" s="11" t="str">
        <f>IF(CALC_EPM!$B324="","",CALC_EPM!I324)</f>
      </c>
      <c r="J335" t="str">
        <f>IF(CALC_EPM!$B324="","",CALC_EPM!J324)</f>
      </c>
      <c r="K335" t="str">
        <f>IF(CALC_EPM!$B324="","",CALC_EPM!K324)</f>
      </c>
      <c r="L335">
        <f>IF(CALC_EPM!$B324="","",CALC_EPM!L324)</f>
      </c>
      <c r="M335">
        <f>IF(CALC_EPM!$B324="","",CALC_EPM!M324)</f>
      </c>
      <c r="N335">
        <f>IF(CALC_EPM!$B324="","",CALC_EPM!N324)</f>
      </c>
      <c r="O335">
        <f>IF(CALC_EPM!$B324="","",CALC_EPM!O324)</f>
      </c>
      <c r="P335">
        <f>IF(CALC_EPM!$B324="","",CALC_EPM!P324)</f>
      </c>
      <c r="Q335">
        <f>IF(CALC_EPM!$B324="","",CALC_EPM!Q324)</f>
      </c>
      <c r="R335">
        <f>IF(CALC_EPM!$B324="","",CALC_EPM!R324)</f>
      </c>
      <c r="S335">
        <f>IF(CALC_EPM!$B324="","",CALC_EPM!S324)</f>
      </c>
      <c r="T335">
        <f>IF(CALC_EPM!$B324="","",CALC_EPM!T324)</f>
      </c>
      <c r="U335">
        <f>IF(CALC_EPM!$B324="","",CALC_EPM!U324)</f>
      </c>
    </row>
    <row r="336">
      <c r="A336" t="str">
        <f>IF(CALC_EPM!$B325="","",IF(CALC_EPM!A325="GLOBAL",IF(CALC_EPM!C325="Total","GLOBAL",IF(CALC_EPM!C325="TotalEsp","GLOBAL_ESP",IF(CALC_EPM!C325="TotalNoEsp","GLOBAL_NOESP","GLOBAL_ASIG"))),IF(CALC_EPM!C325="Total","CURSO_TOTAL",IF(CALC_EPM!C325="TotalEsp","CURSO_ESP",IF(CALC_EPM!C325="TotalNoEsp","CURSO_NOESP","CURSO_ASIG")))))</f>
      </c>
      <c r="B336" t="str">
        <f>IF(CALC_EPM!$B325="","",CALC_EPM!A325)</f>
      </c>
      <c r="C336" t="str">
        <f>IF(CALC_EPM!$B325="","",CALC_EPM!B325)</f>
      </c>
      <c r="D336">
        <f>IF(CALC_EPM!$B325="","",CALC_EPM!D325)</f>
      </c>
      <c r="E336" s="10" t="str">
        <f>IF(CALC_EPM!$B325="","",CALC_EPM!E325)</f>
      </c>
      <c r="F336" s="10" t="str">
        <f>IF(CALC_EPM!$B325="","",CALC_EPM!F325)</f>
      </c>
      <c r="G336" t="str">
        <f>IF(CALC_EPM!$B325="","",CALC_EPM!G325)</f>
      </c>
      <c r="H336" s="11" t="str">
        <f>IF(CALC_EPM!$B325="","",CALC_EPM!H325)</f>
      </c>
      <c r="I336" s="11" t="str">
        <f>IF(CALC_EPM!$B325="","",CALC_EPM!I325)</f>
      </c>
      <c r="J336" t="str">
        <f>IF(CALC_EPM!$B325="","",CALC_EPM!J325)</f>
      </c>
      <c r="K336" t="str">
        <f>IF(CALC_EPM!$B325="","",CALC_EPM!K325)</f>
      </c>
      <c r="L336">
        <f>IF(CALC_EPM!$B325="","",CALC_EPM!L325)</f>
      </c>
      <c r="M336">
        <f>IF(CALC_EPM!$B325="","",CALC_EPM!M325)</f>
      </c>
      <c r="N336">
        <f>IF(CALC_EPM!$B325="","",CALC_EPM!N325)</f>
      </c>
      <c r="O336">
        <f>IF(CALC_EPM!$B325="","",CALC_EPM!O325)</f>
      </c>
      <c r="P336">
        <f>IF(CALC_EPM!$B325="","",CALC_EPM!P325)</f>
      </c>
      <c r="Q336">
        <f>IF(CALC_EPM!$B325="","",CALC_EPM!Q325)</f>
      </c>
      <c r="R336">
        <f>IF(CALC_EPM!$B325="","",CALC_EPM!R325)</f>
      </c>
      <c r="S336">
        <f>IF(CALC_EPM!$B325="","",CALC_EPM!S325)</f>
      </c>
      <c r="T336">
        <f>IF(CALC_EPM!$B325="","",CALC_EPM!T325)</f>
      </c>
      <c r="U336">
        <f>IF(CALC_EPM!$B325="","",CALC_EPM!U325)</f>
      </c>
    </row>
    <row r="337">
      <c r="A337" t="str">
        <f>IF(CALC_EPM!$B326="","",IF(CALC_EPM!A326="GLOBAL",IF(CALC_EPM!C326="Total","GLOBAL",IF(CALC_EPM!C326="TotalEsp","GLOBAL_ESP",IF(CALC_EPM!C326="TotalNoEsp","GLOBAL_NOESP","GLOBAL_ASIG"))),IF(CALC_EPM!C326="Total","CURSO_TOTAL",IF(CALC_EPM!C326="TotalEsp","CURSO_ESP",IF(CALC_EPM!C326="TotalNoEsp","CURSO_NOESP","CURSO_ASIG")))))</f>
      </c>
      <c r="B337" t="str">
        <f>IF(CALC_EPM!$B326="","",CALC_EPM!A326)</f>
      </c>
      <c r="C337" t="str">
        <f>IF(CALC_EPM!$B326="","",CALC_EPM!B326)</f>
      </c>
      <c r="D337">
        <f>IF(CALC_EPM!$B326="","",CALC_EPM!D326)</f>
      </c>
      <c r="E337" s="10" t="str">
        <f>IF(CALC_EPM!$B326="","",CALC_EPM!E326)</f>
      </c>
      <c r="F337" s="10" t="str">
        <f>IF(CALC_EPM!$B326="","",CALC_EPM!F326)</f>
      </c>
      <c r="G337" t="str">
        <f>IF(CALC_EPM!$B326="","",CALC_EPM!G326)</f>
      </c>
      <c r="H337" s="11" t="str">
        <f>IF(CALC_EPM!$B326="","",CALC_EPM!H326)</f>
      </c>
      <c r="I337" s="11" t="str">
        <f>IF(CALC_EPM!$B326="","",CALC_EPM!I326)</f>
      </c>
      <c r="J337" t="str">
        <f>IF(CALC_EPM!$B326="","",CALC_EPM!J326)</f>
      </c>
      <c r="K337" t="str">
        <f>IF(CALC_EPM!$B326="","",CALC_EPM!K326)</f>
      </c>
      <c r="L337">
        <f>IF(CALC_EPM!$B326="","",CALC_EPM!L326)</f>
      </c>
      <c r="M337">
        <f>IF(CALC_EPM!$B326="","",CALC_EPM!M326)</f>
      </c>
      <c r="N337">
        <f>IF(CALC_EPM!$B326="","",CALC_EPM!N326)</f>
      </c>
      <c r="O337">
        <f>IF(CALC_EPM!$B326="","",CALC_EPM!O326)</f>
      </c>
      <c r="P337">
        <f>IF(CALC_EPM!$B326="","",CALC_EPM!P326)</f>
      </c>
      <c r="Q337">
        <f>IF(CALC_EPM!$B326="","",CALC_EPM!Q326)</f>
      </c>
      <c r="R337">
        <f>IF(CALC_EPM!$B326="","",CALC_EPM!R326)</f>
      </c>
      <c r="S337">
        <f>IF(CALC_EPM!$B326="","",CALC_EPM!S326)</f>
      </c>
      <c r="T337">
        <f>IF(CALC_EPM!$B326="","",CALC_EPM!T326)</f>
      </c>
      <c r="U337">
        <f>IF(CALC_EPM!$B326="","",CALC_EPM!U326)</f>
      </c>
    </row>
    <row r="338">
      <c r="A338" t="str">
        <f>IF(CALC_EPM!$B327="","",IF(CALC_EPM!A327="GLOBAL",IF(CALC_EPM!C327="Total","GLOBAL",IF(CALC_EPM!C327="TotalEsp","GLOBAL_ESP",IF(CALC_EPM!C327="TotalNoEsp","GLOBAL_NOESP","GLOBAL_ASIG"))),IF(CALC_EPM!C327="Total","CURSO_TOTAL",IF(CALC_EPM!C327="TotalEsp","CURSO_ESP",IF(CALC_EPM!C327="TotalNoEsp","CURSO_NOESP","CURSO_ASIG")))))</f>
      </c>
      <c r="B338" t="str">
        <f>IF(CALC_EPM!$B327="","",CALC_EPM!A327)</f>
      </c>
      <c r="C338" t="str">
        <f>IF(CALC_EPM!$B327="","",CALC_EPM!B327)</f>
      </c>
      <c r="D338">
        <f>IF(CALC_EPM!$B327="","",CALC_EPM!D327)</f>
      </c>
      <c r="E338" s="10" t="str">
        <f>IF(CALC_EPM!$B327="","",CALC_EPM!E327)</f>
      </c>
      <c r="F338" s="10" t="str">
        <f>IF(CALC_EPM!$B327="","",CALC_EPM!F327)</f>
      </c>
      <c r="G338" t="str">
        <f>IF(CALC_EPM!$B327="","",CALC_EPM!G327)</f>
      </c>
      <c r="H338" s="11" t="str">
        <f>IF(CALC_EPM!$B327="","",CALC_EPM!H327)</f>
      </c>
      <c r="I338" s="11" t="str">
        <f>IF(CALC_EPM!$B327="","",CALC_EPM!I327)</f>
      </c>
      <c r="J338" t="str">
        <f>IF(CALC_EPM!$B327="","",CALC_EPM!J327)</f>
      </c>
      <c r="K338" t="str">
        <f>IF(CALC_EPM!$B327="","",CALC_EPM!K327)</f>
      </c>
      <c r="L338">
        <f>IF(CALC_EPM!$B327="","",CALC_EPM!L327)</f>
      </c>
      <c r="M338">
        <f>IF(CALC_EPM!$B327="","",CALC_EPM!M327)</f>
      </c>
      <c r="N338">
        <f>IF(CALC_EPM!$B327="","",CALC_EPM!N327)</f>
      </c>
      <c r="O338">
        <f>IF(CALC_EPM!$B327="","",CALC_EPM!O327)</f>
      </c>
      <c r="P338">
        <f>IF(CALC_EPM!$B327="","",CALC_EPM!P327)</f>
      </c>
      <c r="Q338">
        <f>IF(CALC_EPM!$B327="","",CALC_EPM!Q327)</f>
      </c>
      <c r="R338">
        <f>IF(CALC_EPM!$B327="","",CALC_EPM!R327)</f>
      </c>
      <c r="S338">
        <f>IF(CALC_EPM!$B327="","",CALC_EPM!S327)</f>
      </c>
      <c r="T338">
        <f>IF(CALC_EPM!$B327="","",CALC_EPM!T327)</f>
      </c>
      <c r="U338">
        <f>IF(CALC_EPM!$B327="","",CALC_EPM!U327)</f>
      </c>
    </row>
    <row r="339">
      <c r="A339" t="str">
        <f>IF(CALC_EPM!$B328="","",IF(CALC_EPM!A328="GLOBAL",IF(CALC_EPM!C328="Total","GLOBAL",IF(CALC_EPM!C328="TotalEsp","GLOBAL_ESP",IF(CALC_EPM!C328="TotalNoEsp","GLOBAL_NOESP","GLOBAL_ASIG"))),IF(CALC_EPM!C328="Total","CURSO_TOTAL",IF(CALC_EPM!C328="TotalEsp","CURSO_ESP",IF(CALC_EPM!C328="TotalNoEsp","CURSO_NOESP","CURSO_ASIG")))))</f>
      </c>
      <c r="B339" t="str">
        <f>IF(CALC_EPM!$B328="","",CALC_EPM!A328)</f>
      </c>
      <c r="C339" t="str">
        <f>IF(CALC_EPM!$B328="","",CALC_EPM!B328)</f>
      </c>
      <c r="D339">
        <f>IF(CALC_EPM!$B328="","",CALC_EPM!D328)</f>
      </c>
      <c r="E339" s="10" t="str">
        <f>IF(CALC_EPM!$B328="","",CALC_EPM!E328)</f>
      </c>
      <c r="F339" s="10" t="str">
        <f>IF(CALC_EPM!$B328="","",CALC_EPM!F328)</f>
      </c>
      <c r="G339" t="str">
        <f>IF(CALC_EPM!$B328="","",CALC_EPM!G328)</f>
      </c>
      <c r="H339" s="11" t="str">
        <f>IF(CALC_EPM!$B328="","",CALC_EPM!H328)</f>
      </c>
      <c r="I339" s="11" t="str">
        <f>IF(CALC_EPM!$B328="","",CALC_EPM!I328)</f>
      </c>
      <c r="J339" t="str">
        <f>IF(CALC_EPM!$B328="","",CALC_EPM!J328)</f>
      </c>
      <c r="K339" t="str">
        <f>IF(CALC_EPM!$B328="","",CALC_EPM!K328)</f>
      </c>
      <c r="L339">
        <f>IF(CALC_EPM!$B328="","",CALC_EPM!L328)</f>
      </c>
      <c r="M339">
        <f>IF(CALC_EPM!$B328="","",CALC_EPM!M328)</f>
      </c>
      <c r="N339">
        <f>IF(CALC_EPM!$B328="","",CALC_EPM!N328)</f>
      </c>
      <c r="O339">
        <f>IF(CALC_EPM!$B328="","",CALC_EPM!O328)</f>
      </c>
      <c r="P339">
        <f>IF(CALC_EPM!$B328="","",CALC_EPM!P328)</f>
      </c>
      <c r="Q339">
        <f>IF(CALC_EPM!$B328="","",CALC_EPM!Q328)</f>
      </c>
      <c r="R339">
        <f>IF(CALC_EPM!$B328="","",CALC_EPM!R328)</f>
      </c>
      <c r="S339">
        <f>IF(CALC_EPM!$B328="","",CALC_EPM!S328)</f>
      </c>
      <c r="T339">
        <f>IF(CALC_EPM!$B328="","",CALC_EPM!T328)</f>
      </c>
      <c r="U339">
        <f>IF(CALC_EPM!$B328="","",CALC_EPM!U328)</f>
      </c>
    </row>
    <row r="340">
      <c r="A340" t="str">
        <f>IF(CALC_EPM!$B329="","",IF(CALC_EPM!A329="GLOBAL",IF(CALC_EPM!C329="Total","GLOBAL",IF(CALC_EPM!C329="TotalEsp","GLOBAL_ESP",IF(CALC_EPM!C329="TotalNoEsp","GLOBAL_NOESP","GLOBAL_ASIG"))),IF(CALC_EPM!C329="Total","CURSO_TOTAL",IF(CALC_EPM!C329="TotalEsp","CURSO_ESP",IF(CALC_EPM!C329="TotalNoEsp","CURSO_NOESP","CURSO_ASIG")))))</f>
      </c>
      <c r="B340" t="str">
        <f>IF(CALC_EPM!$B329="","",CALC_EPM!A329)</f>
      </c>
      <c r="C340" t="str">
        <f>IF(CALC_EPM!$B329="","",CALC_EPM!B329)</f>
      </c>
      <c r="D340">
        <f>IF(CALC_EPM!$B329="","",CALC_EPM!D329)</f>
      </c>
      <c r="E340" s="10" t="str">
        <f>IF(CALC_EPM!$B329="","",CALC_EPM!E329)</f>
      </c>
      <c r="F340" s="10" t="str">
        <f>IF(CALC_EPM!$B329="","",CALC_EPM!F329)</f>
      </c>
      <c r="G340" t="str">
        <f>IF(CALC_EPM!$B329="","",CALC_EPM!G329)</f>
      </c>
      <c r="H340" s="11" t="str">
        <f>IF(CALC_EPM!$B329="","",CALC_EPM!H329)</f>
      </c>
      <c r="I340" s="11" t="str">
        <f>IF(CALC_EPM!$B329="","",CALC_EPM!I329)</f>
      </c>
      <c r="J340" t="str">
        <f>IF(CALC_EPM!$B329="","",CALC_EPM!J329)</f>
      </c>
      <c r="K340" t="str">
        <f>IF(CALC_EPM!$B329="","",CALC_EPM!K329)</f>
      </c>
      <c r="L340">
        <f>IF(CALC_EPM!$B329="","",CALC_EPM!L329)</f>
      </c>
      <c r="M340">
        <f>IF(CALC_EPM!$B329="","",CALC_EPM!M329)</f>
      </c>
      <c r="N340">
        <f>IF(CALC_EPM!$B329="","",CALC_EPM!N329)</f>
      </c>
      <c r="O340">
        <f>IF(CALC_EPM!$B329="","",CALC_EPM!O329)</f>
      </c>
      <c r="P340">
        <f>IF(CALC_EPM!$B329="","",CALC_EPM!P329)</f>
      </c>
      <c r="Q340">
        <f>IF(CALC_EPM!$B329="","",CALC_EPM!Q329)</f>
      </c>
      <c r="R340">
        <f>IF(CALC_EPM!$B329="","",CALC_EPM!R329)</f>
      </c>
      <c r="S340">
        <f>IF(CALC_EPM!$B329="","",CALC_EPM!S329)</f>
      </c>
      <c r="T340">
        <f>IF(CALC_EPM!$B329="","",CALC_EPM!T329)</f>
      </c>
      <c r="U340">
        <f>IF(CALC_EPM!$B329="","",CALC_EPM!U329)</f>
      </c>
    </row>
    <row r="341">
      <c r="A341" t="str">
        <f>IF(CALC_EPM!$B330="","",IF(CALC_EPM!A330="GLOBAL",IF(CALC_EPM!C330="Total","GLOBAL",IF(CALC_EPM!C330="TotalEsp","GLOBAL_ESP",IF(CALC_EPM!C330="TotalNoEsp","GLOBAL_NOESP","GLOBAL_ASIG"))),IF(CALC_EPM!C330="Total","CURSO_TOTAL",IF(CALC_EPM!C330="TotalEsp","CURSO_ESP",IF(CALC_EPM!C330="TotalNoEsp","CURSO_NOESP","CURSO_ASIG")))))</f>
      </c>
      <c r="B341" t="str">
        <f>IF(CALC_EPM!$B330="","",CALC_EPM!A330)</f>
      </c>
      <c r="C341" t="str">
        <f>IF(CALC_EPM!$B330="","",CALC_EPM!B330)</f>
      </c>
      <c r="D341">
        <f>IF(CALC_EPM!$B330="","",CALC_EPM!D330)</f>
      </c>
      <c r="E341" s="10" t="str">
        <f>IF(CALC_EPM!$B330="","",CALC_EPM!E330)</f>
      </c>
      <c r="F341" s="10" t="str">
        <f>IF(CALC_EPM!$B330="","",CALC_EPM!F330)</f>
      </c>
      <c r="G341" t="str">
        <f>IF(CALC_EPM!$B330="","",CALC_EPM!G330)</f>
      </c>
      <c r="H341" s="11" t="str">
        <f>IF(CALC_EPM!$B330="","",CALC_EPM!H330)</f>
      </c>
      <c r="I341" s="11" t="str">
        <f>IF(CALC_EPM!$B330="","",CALC_EPM!I330)</f>
      </c>
      <c r="J341" t="str">
        <f>IF(CALC_EPM!$B330="","",CALC_EPM!J330)</f>
      </c>
      <c r="K341" t="str">
        <f>IF(CALC_EPM!$B330="","",CALC_EPM!K330)</f>
      </c>
      <c r="L341">
        <f>IF(CALC_EPM!$B330="","",CALC_EPM!L330)</f>
      </c>
      <c r="M341">
        <f>IF(CALC_EPM!$B330="","",CALC_EPM!M330)</f>
      </c>
      <c r="N341">
        <f>IF(CALC_EPM!$B330="","",CALC_EPM!N330)</f>
      </c>
      <c r="O341">
        <f>IF(CALC_EPM!$B330="","",CALC_EPM!O330)</f>
      </c>
      <c r="P341">
        <f>IF(CALC_EPM!$B330="","",CALC_EPM!P330)</f>
      </c>
      <c r="Q341">
        <f>IF(CALC_EPM!$B330="","",CALC_EPM!Q330)</f>
      </c>
      <c r="R341">
        <f>IF(CALC_EPM!$B330="","",CALC_EPM!R330)</f>
      </c>
      <c r="S341">
        <f>IF(CALC_EPM!$B330="","",CALC_EPM!S330)</f>
      </c>
      <c r="T341">
        <f>IF(CALC_EPM!$B330="","",CALC_EPM!T330)</f>
      </c>
      <c r="U341">
        <f>IF(CALC_EPM!$B330="","",CALC_EPM!U330)</f>
      </c>
    </row>
    <row r="342">
      <c r="A342" t="str">
        <f>IF(CALC_EPM!$B331="","",IF(CALC_EPM!A331="GLOBAL",IF(CALC_EPM!C331="Total","GLOBAL",IF(CALC_EPM!C331="TotalEsp","GLOBAL_ESP",IF(CALC_EPM!C331="TotalNoEsp","GLOBAL_NOESP","GLOBAL_ASIG"))),IF(CALC_EPM!C331="Total","CURSO_TOTAL",IF(CALC_EPM!C331="TotalEsp","CURSO_ESP",IF(CALC_EPM!C331="TotalNoEsp","CURSO_NOESP","CURSO_ASIG")))))</f>
      </c>
      <c r="B342" t="str">
        <f>IF(CALC_EPM!$B331="","",CALC_EPM!A331)</f>
      </c>
      <c r="C342" t="str">
        <f>IF(CALC_EPM!$B331="","",CALC_EPM!B331)</f>
      </c>
      <c r="D342">
        <f>IF(CALC_EPM!$B331="","",CALC_EPM!D331)</f>
      </c>
      <c r="E342" s="10" t="str">
        <f>IF(CALC_EPM!$B331="","",CALC_EPM!E331)</f>
      </c>
      <c r="F342" s="10" t="str">
        <f>IF(CALC_EPM!$B331="","",CALC_EPM!F331)</f>
      </c>
      <c r="G342" t="str">
        <f>IF(CALC_EPM!$B331="","",CALC_EPM!G331)</f>
      </c>
      <c r="H342" s="11" t="str">
        <f>IF(CALC_EPM!$B331="","",CALC_EPM!H331)</f>
      </c>
      <c r="I342" s="11" t="str">
        <f>IF(CALC_EPM!$B331="","",CALC_EPM!I331)</f>
      </c>
      <c r="J342" t="str">
        <f>IF(CALC_EPM!$B331="","",CALC_EPM!J331)</f>
      </c>
      <c r="K342" t="str">
        <f>IF(CALC_EPM!$B331="","",CALC_EPM!K331)</f>
      </c>
      <c r="L342">
        <f>IF(CALC_EPM!$B331="","",CALC_EPM!L331)</f>
      </c>
      <c r="M342">
        <f>IF(CALC_EPM!$B331="","",CALC_EPM!M331)</f>
      </c>
      <c r="N342">
        <f>IF(CALC_EPM!$B331="","",CALC_EPM!N331)</f>
      </c>
      <c r="O342">
        <f>IF(CALC_EPM!$B331="","",CALC_EPM!O331)</f>
      </c>
      <c r="P342">
        <f>IF(CALC_EPM!$B331="","",CALC_EPM!P331)</f>
      </c>
      <c r="Q342">
        <f>IF(CALC_EPM!$B331="","",CALC_EPM!Q331)</f>
      </c>
      <c r="R342">
        <f>IF(CALC_EPM!$B331="","",CALC_EPM!R331)</f>
      </c>
      <c r="S342">
        <f>IF(CALC_EPM!$B331="","",CALC_EPM!S331)</f>
      </c>
      <c r="T342">
        <f>IF(CALC_EPM!$B331="","",CALC_EPM!T331)</f>
      </c>
      <c r="U342">
        <f>IF(CALC_EPM!$B331="","",CALC_EPM!U331)</f>
      </c>
    </row>
    <row r="343">
      <c r="A343" t="str">
        <f>IF(CALC_EPM!$B332="","",IF(CALC_EPM!A332="GLOBAL",IF(CALC_EPM!C332="Total","GLOBAL",IF(CALC_EPM!C332="TotalEsp","GLOBAL_ESP",IF(CALC_EPM!C332="TotalNoEsp","GLOBAL_NOESP","GLOBAL_ASIG"))),IF(CALC_EPM!C332="Total","CURSO_TOTAL",IF(CALC_EPM!C332="TotalEsp","CURSO_ESP",IF(CALC_EPM!C332="TotalNoEsp","CURSO_NOESP","CURSO_ASIG")))))</f>
      </c>
      <c r="B343" t="str">
        <f>IF(CALC_EPM!$B332="","",CALC_EPM!A332)</f>
      </c>
      <c r="C343" t="str">
        <f>IF(CALC_EPM!$B332="","",CALC_EPM!B332)</f>
      </c>
      <c r="D343">
        <f>IF(CALC_EPM!$B332="","",CALC_EPM!D332)</f>
      </c>
      <c r="E343" s="10" t="str">
        <f>IF(CALC_EPM!$B332="","",CALC_EPM!E332)</f>
      </c>
      <c r="F343" s="10" t="str">
        <f>IF(CALC_EPM!$B332="","",CALC_EPM!F332)</f>
      </c>
      <c r="G343" t="str">
        <f>IF(CALC_EPM!$B332="","",CALC_EPM!G332)</f>
      </c>
      <c r="H343" s="11" t="str">
        <f>IF(CALC_EPM!$B332="","",CALC_EPM!H332)</f>
      </c>
      <c r="I343" s="11" t="str">
        <f>IF(CALC_EPM!$B332="","",CALC_EPM!I332)</f>
      </c>
      <c r="J343" t="str">
        <f>IF(CALC_EPM!$B332="","",CALC_EPM!J332)</f>
      </c>
      <c r="K343" t="str">
        <f>IF(CALC_EPM!$B332="","",CALC_EPM!K332)</f>
      </c>
      <c r="L343">
        <f>IF(CALC_EPM!$B332="","",CALC_EPM!L332)</f>
      </c>
      <c r="M343">
        <f>IF(CALC_EPM!$B332="","",CALC_EPM!M332)</f>
      </c>
      <c r="N343">
        <f>IF(CALC_EPM!$B332="","",CALC_EPM!N332)</f>
      </c>
      <c r="O343">
        <f>IF(CALC_EPM!$B332="","",CALC_EPM!O332)</f>
      </c>
      <c r="P343">
        <f>IF(CALC_EPM!$B332="","",CALC_EPM!P332)</f>
      </c>
      <c r="Q343">
        <f>IF(CALC_EPM!$B332="","",CALC_EPM!Q332)</f>
      </c>
      <c r="R343">
        <f>IF(CALC_EPM!$B332="","",CALC_EPM!R332)</f>
      </c>
      <c r="S343">
        <f>IF(CALC_EPM!$B332="","",CALC_EPM!S332)</f>
      </c>
      <c r="T343">
        <f>IF(CALC_EPM!$B332="","",CALC_EPM!T332)</f>
      </c>
      <c r="U343">
        <f>IF(CALC_EPM!$B332="","",CALC_EPM!U332)</f>
      </c>
    </row>
    <row r="344">
      <c r="A344" t="str">
        <f>IF(CALC_EPM!$B333="","",IF(CALC_EPM!A333="GLOBAL",IF(CALC_EPM!C333="Total","GLOBAL",IF(CALC_EPM!C333="TotalEsp","GLOBAL_ESP",IF(CALC_EPM!C333="TotalNoEsp","GLOBAL_NOESP","GLOBAL_ASIG"))),IF(CALC_EPM!C333="Total","CURSO_TOTAL",IF(CALC_EPM!C333="TotalEsp","CURSO_ESP",IF(CALC_EPM!C333="TotalNoEsp","CURSO_NOESP","CURSO_ASIG")))))</f>
      </c>
      <c r="B344" t="str">
        <f>IF(CALC_EPM!$B333="","",CALC_EPM!A333)</f>
      </c>
      <c r="C344" t="str">
        <f>IF(CALC_EPM!$B333="","",CALC_EPM!B333)</f>
      </c>
      <c r="D344">
        <f>IF(CALC_EPM!$B333="","",CALC_EPM!D333)</f>
      </c>
      <c r="E344" s="10" t="str">
        <f>IF(CALC_EPM!$B333="","",CALC_EPM!E333)</f>
      </c>
      <c r="F344" s="10" t="str">
        <f>IF(CALC_EPM!$B333="","",CALC_EPM!F333)</f>
      </c>
      <c r="G344" t="str">
        <f>IF(CALC_EPM!$B333="","",CALC_EPM!G333)</f>
      </c>
      <c r="H344" s="11" t="str">
        <f>IF(CALC_EPM!$B333="","",CALC_EPM!H333)</f>
      </c>
      <c r="I344" s="11" t="str">
        <f>IF(CALC_EPM!$B333="","",CALC_EPM!I333)</f>
      </c>
      <c r="J344" t="str">
        <f>IF(CALC_EPM!$B333="","",CALC_EPM!J333)</f>
      </c>
      <c r="K344" t="str">
        <f>IF(CALC_EPM!$B333="","",CALC_EPM!K333)</f>
      </c>
      <c r="L344">
        <f>IF(CALC_EPM!$B333="","",CALC_EPM!L333)</f>
      </c>
      <c r="M344">
        <f>IF(CALC_EPM!$B333="","",CALC_EPM!M333)</f>
      </c>
      <c r="N344">
        <f>IF(CALC_EPM!$B333="","",CALC_EPM!N333)</f>
      </c>
      <c r="O344">
        <f>IF(CALC_EPM!$B333="","",CALC_EPM!O333)</f>
      </c>
      <c r="P344">
        <f>IF(CALC_EPM!$B333="","",CALC_EPM!P333)</f>
      </c>
      <c r="Q344">
        <f>IF(CALC_EPM!$B333="","",CALC_EPM!Q333)</f>
      </c>
      <c r="R344">
        <f>IF(CALC_EPM!$B333="","",CALC_EPM!R333)</f>
      </c>
      <c r="S344">
        <f>IF(CALC_EPM!$B333="","",CALC_EPM!S333)</f>
      </c>
      <c r="T344">
        <f>IF(CALC_EPM!$B333="","",CALC_EPM!T333)</f>
      </c>
      <c r="U344">
        <f>IF(CALC_EPM!$B333="","",CALC_EPM!U333)</f>
      </c>
    </row>
    <row r="345">
      <c r="A345" t="str">
        <f>IF(CALC_EPM!$B334="","",IF(CALC_EPM!A334="GLOBAL",IF(CALC_EPM!C334="Total","GLOBAL",IF(CALC_EPM!C334="TotalEsp","GLOBAL_ESP",IF(CALC_EPM!C334="TotalNoEsp","GLOBAL_NOESP","GLOBAL_ASIG"))),IF(CALC_EPM!C334="Total","CURSO_TOTAL",IF(CALC_EPM!C334="TotalEsp","CURSO_ESP",IF(CALC_EPM!C334="TotalNoEsp","CURSO_NOESP","CURSO_ASIG")))))</f>
      </c>
      <c r="B345" t="str">
        <f>IF(CALC_EPM!$B334="","",CALC_EPM!A334)</f>
      </c>
      <c r="C345" t="str">
        <f>IF(CALC_EPM!$B334="","",CALC_EPM!B334)</f>
      </c>
      <c r="D345">
        <f>IF(CALC_EPM!$B334="","",CALC_EPM!D334)</f>
      </c>
      <c r="E345" s="10" t="str">
        <f>IF(CALC_EPM!$B334="","",CALC_EPM!E334)</f>
      </c>
      <c r="F345" s="10" t="str">
        <f>IF(CALC_EPM!$B334="","",CALC_EPM!F334)</f>
      </c>
      <c r="G345" t="str">
        <f>IF(CALC_EPM!$B334="","",CALC_EPM!G334)</f>
      </c>
      <c r="H345" s="11" t="str">
        <f>IF(CALC_EPM!$B334="","",CALC_EPM!H334)</f>
      </c>
      <c r="I345" s="11" t="str">
        <f>IF(CALC_EPM!$B334="","",CALC_EPM!I334)</f>
      </c>
      <c r="J345" t="str">
        <f>IF(CALC_EPM!$B334="","",CALC_EPM!J334)</f>
      </c>
      <c r="K345" t="str">
        <f>IF(CALC_EPM!$B334="","",CALC_EPM!K334)</f>
      </c>
      <c r="L345">
        <f>IF(CALC_EPM!$B334="","",CALC_EPM!L334)</f>
      </c>
      <c r="M345">
        <f>IF(CALC_EPM!$B334="","",CALC_EPM!M334)</f>
      </c>
      <c r="N345">
        <f>IF(CALC_EPM!$B334="","",CALC_EPM!N334)</f>
      </c>
      <c r="O345">
        <f>IF(CALC_EPM!$B334="","",CALC_EPM!O334)</f>
      </c>
      <c r="P345">
        <f>IF(CALC_EPM!$B334="","",CALC_EPM!P334)</f>
      </c>
      <c r="Q345">
        <f>IF(CALC_EPM!$B334="","",CALC_EPM!Q334)</f>
      </c>
      <c r="R345">
        <f>IF(CALC_EPM!$B334="","",CALC_EPM!R334)</f>
      </c>
      <c r="S345">
        <f>IF(CALC_EPM!$B334="","",CALC_EPM!S334)</f>
      </c>
      <c r="T345">
        <f>IF(CALC_EPM!$B334="","",CALC_EPM!T334)</f>
      </c>
      <c r="U345">
        <f>IF(CALC_EPM!$B334="","",CALC_EPM!U334)</f>
      </c>
    </row>
    <row r="346">
      <c r="A346" t="str">
        <f>IF(CALC_EPM!$B335="","",IF(CALC_EPM!A335="GLOBAL",IF(CALC_EPM!C335="Total","GLOBAL",IF(CALC_EPM!C335="TotalEsp","GLOBAL_ESP",IF(CALC_EPM!C335="TotalNoEsp","GLOBAL_NOESP","GLOBAL_ASIG"))),IF(CALC_EPM!C335="Total","CURSO_TOTAL",IF(CALC_EPM!C335="TotalEsp","CURSO_ESP",IF(CALC_EPM!C335="TotalNoEsp","CURSO_NOESP","CURSO_ASIG")))))</f>
      </c>
      <c r="B346" t="str">
        <f>IF(CALC_EPM!$B335="","",CALC_EPM!A335)</f>
      </c>
      <c r="C346" t="str">
        <f>IF(CALC_EPM!$B335="","",CALC_EPM!B335)</f>
      </c>
      <c r="D346">
        <f>IF(CALC_EPM!$B335="","",CALC_EPM!D335)</f>
      </c>
      <c r="E346" s="10" t="str">
        <f>IF(CALC_EPM!$B335="","",CALC_EPM!E335)</f>
      </c>
      <c r="F346" s="10" t="str">
        <f>IF(CALC_EPM!$B335="","",CALC_EPM!F335)</f>
      </c>
      <c r="G346" t="str">
        <f>IF(CALC_EPM!$B335="","",CALC_EPM!G335)</f>
      </c>
      <c r="H346" s="11" t="str">
        <f>IF(CALC_EPM!$B335="","",CALC_EPM!H335)</f>
      </c>
      <c r="I346" s="11" t="str">
        <f>IF(CALC_EPM!$B335="","",CALC_EPM!I335)</f>
      </c>
      <c r="J346" t="str">
        <f>IF(CALC_EPM!$B335="","",CALC_EPM!J335)</f>
      </c>
      <c r="K346" t="str">
        <f>IF(CALC_EPM!$B335="","",CALC_EPM!K335)</f>
      </c>
      <c r="L346">
        <f>IF(CALC_EPM!$B335="","",CALC_EPM!L335)</f>
      </c>
      <c r="M346">
        <f>IF(CALC_EPM!$B335="","",CALC_EPM!M335)</f>
      </c>
      <c r="N346">
        <f>IF(CALC_EPM!$B335="","",CALC_EPM!N335)</f>
      </c>
      <c r="O346">
        <f>IF(CALC_EPM!$B335="","",CALC_EPM!O335)</f>
      </c>
      <c r="P346">
        <f>IF(CALC_EPM!$B335="","",CALC_EPM!P335)</f>
      </c>
      <c r="Q346">
        <f>IF(CALC_EPM!$B335="","",CALC_EPM!Q335)</f>
      </c>
      <c r="R346">
        <f>IF(CALC_EPM!$B335="","",CALC_EPM!R335)</f>
      </c>
      <c r="S346">
        <f>IF(CALC_EPM!$B335="","",CALC_EPM!S335)</f>
      </c>
      <c r="T346">
        <f>IF(CALC_EPM!$B335="","",CALC_EPM!T335)</f>
      </c>
      <c r="U346">
        <f>IF(CALC_EPM!$B335="","",CALC_EPM!U335)</f>
      </c>
    </row>
    <row r="347">
      <c r="A347" t="str">
        <f>IF(CALC_EPM!$B336="","",IF(CALC_EPM!A336="GLOBAL",IF(CALC_EPM!C336="Total","GLOBAL",IF(CALC_EPM!C336="TotalEsp","GLOBAL_ESP",IF(CALC_EPM!C336="TotalNoEsp","GLOBAL_NOESP","GLOBAL_ASIG"))),IF(CALC_EPM!C336="Total","CURSO_TOTAL",IF(CALC_EPM!C336="TotalEsp","CURSO_ESP",IF(CALC_EPM!C336="TotalNoEsp","CURSO_NOESP","CURSO_ASIG")))))</f>
      </c>
      <c r="B347" t="str">
        <f>IF(CALC_EPM!$B336="","",CALC_EPM!A336)</f>
      </c>
      <c r="C347" t="str">
        <f>IF(CALC_EPM!$B336="","",CALC_EPM!B336)</f>
      </c>
      <c r="D347">
        <f>IF(CALC_EPM!$B336="","",CALC_EPM!D336)</f>
      </c>
      <c r="E347" s="10" t="str">
        <f>IF(CALC_EPM!$B336="","",CALC_EPM!E336)</f>
      </c>
      <c r="F347" s="10" t="str">
        <f>IF(CALC_EPM!$B336="","",CALC_EPM!F336)</f>
      </c>
      <c r="G347" t="str">
        <f>IF(CALC_EPM!$B336="","",CALC_EPM!G336)</f>
      </c>
      <c r="H347" s="11" t="str">
        <f>IF(CALC_EPM!$B336="","",CALC_EPM!H336)</f>
      </c>
      <c r="I347" s="11" t="str">
        <f>IF(CALC_EPM!$B336="","",CALC_EPM!I336)</f>
      </c>
      <c r="J347" t="str">
        <f>IF(CALC_EPM!$B336="","",CALC_EPM!J336)</f>
      </c>
      <c r="K347" t="str">
        <f>IF(CALC_EPM!$B336="","",CALC_EPM!K336)</f>
      </c>
      <c r="L347">
        <f>IF(CALC_EPM!$B336="","",CALC_EPM!L336)</f>
      </c>
      <c r="M347">
        <f>IF(CALC_EPM!$B336="","",CALC_EPM!M336)</f>
      </c>
      <c r="N347">
        <f>IF(CALC_EPM!$B336="","",CALC_EPM!N336)</f>
      </c>
      <c r="O347">
        <f>IF(CALC_EPM!$B336="","",CALC_EPM!O336)</f>
      </c>
      <c r="P347">
        <f>IF(CALC_EPM!$B336="","",CALC_EPM!P336)</f>
      </c>
      <c r="Q347">
        <f>IF(CALC_EPM!$B336="","",CALC_EPM!Q336)</f>
      </c>
      <c r="R347">
        <f>IF(CALC_EPM!$B336="","",CALC_EPM!R336)</f>
      </c>
      <c r="S347">
        <f>IF(CALC_EPM!$B336="","",CALC_EPM!S336)</f>
      </c>
      <c r="T347">
        <f>IF(CALC_EPM!$B336="","",CALC_EPM!T336)</f>
      </c>
      <c r="U347">
        <f>IF(CALC_EPM!$B336="","",CALC_EPM!U336)</f>
      </c>
    </row>
    <row r="348">
      <c r="A348" t="str">
        <f>IF(CALC_EPM!$B337="","",IF(CALC_EPM!A337="GLOBAL",IF(CALC_EPM!C337="Total","GLOBAL",IF(CALC_EPM!C337="TotalEsp","GLOBAL_ESP",IF(CALC_EPM!C337="TotalNoEsp","GLOBAL_NOESP","GLOBAL_ASIG"))),IF(CALC_EPM!C337="Total","CURSO_TOTAL",IF(CALC_EPM!C337="TotalEsp","CURSO_ESP",IF(CALC_EPM!C337="TotalNoEsp","CURSO_NOESP","CURSO_ASIG")))))</f>
      </c>
      <c r="B348" t="str">
        <f>IF(CALC_EPM!$B337="","",CALC_EPM!A337)</f>
      </c>
      <c r="C348" t="str">
        <f>IF(CALC_EPM!$B337="","",CALC_EPM!B337)</f>
      </c>
      <c r="D348">
        <f>IF(CALC_EPM!$B337="","",CALC_EPM!D337)</f>
      </c>
      <c r="E348" s="10" t="str">
        <f>IF(CALC_EPM!$B337="","",CALC_EPM!E337)</f>
      </c>
      <c r="F348" s="10" t="str">
        <f>IF(CALC_EPM!$B337="","",CALC_EPM!F337)</f>
      </c>
      <c r="G348" t="str">
        <f>IF(CALC_EPM!$B337="","",CALC_EPM!G337)</f>
      </c>
      <c r="H348" s="11" t="str">
        <f>IF(CALC_EPM!$B337="","",CALC_EPM!H337)</f>
      </c>
      <c r="I348" s="11" t="str">
        <f>IF(CALC_EPM!$B337="","",CALC_EPM!I337)</f>
      </c>
      <c r="J348" t="str">
        <f>IF(CALC_EPM!$B337="","",CALC_EPM!J337)</f>
      </c>
      <c r="K348" t="str">
        <f>IF(CALC_EPM!$B337="","",CALC_EPM!K337)</f>
      </c>
      <c r="L348">
        <f>IF(CALC_EPM!$B337="","",CALC_EPM!L337)</f>
      </c>
      <c r="M348">
        <f>IF(CALC_EPM!$B337="","",CALC_EPM!M337)</f>
      </c>
      <c r="N348">
        <f>IF(CALC_EPM!$B337="","",CALC_EPM!N337)</f>
      </c>
      <c r="O348">
        <f>IF(CALC_EPM!$B337="","",CALC_EPM!O337)</f>
      </c>
      <c r="P348">
        <f>IF(CALC_EPM!$B337="","",CALC_EPM!P337)</f>
      </c>
      <c r="Q348">
        <f>IF(CALC_EPM!$B337="","",CALC_EPM!Q337)</f>
      </c>
      <c r="R348">
        <f>IF(CALC_EPM!$B337="","",CALC_EPM!R337)</f>
      </c>
      <c r="S348">
        <f>IF(CALC_EPM!$B337="","",CALC_EPM!S337)</f>
      </c>
      <c r="T348">
        <f>IF(CALC_EPM!$B337="","",CALC_EPM!T337)</f>
      </c>
      <c r="U348">
        <f>IF(CALC_EPM!$B337="","",CALC_EPM!U337)</f>
      </c>
    </row>
    <row r="349">
      <c r="A349" t="str">
        <f>IF(CALC_EPM!$B338="","",IF(CALC_EPM!A338="GLOBAL",IF(CALC_EPM!C338="Total","GLOBAL",IF(CALC_EPM!C338="TotalEsp","GLOBAL_ESP",IF(CALC_EPM!C338="TotalNoEsp","GLOBAL_NOESP","GLOBAL_ASIG"))),IF(CALC_EPM!C338="Total","CURSO_TOTAL",IF(CALC_EPM!C338="TotalEsp","CURSO_ESP",IF(CALC_EPM!C338="TotalNoEsp","CURSO_NOESP","CURSO_ASIG")))))</f>
      </c>
      <c r="B349" t="str">
        <f>IF(CALC_EPM!$B338="","",CALC_EPM!A338)</f>
      </c>
      <c r="C349" t="str">
        <f>IF(CALC_EPM!$B338="","",CALC_EPM!B338)</f>
      </c>
      <c r="D349">
        <f>IF(CALC_EPM!$B338="","",CALC_EPM!D338)</f>
      </c>
      <c r="E349" s="10" t="str">
        <f>IF(CALC_EPM!$B338="","",CALC_EPM!E338)</f>
      </c>
      <c r="F349" s="10" t="str">
        <f>IF(CALC_EPM!$B338="","",CALC_EPM!F338)</f>
      </c>
      <c r="G349" t="str">
        <f>IF(CALC_EPM!$B338="","",CALC_EPM!G338)</f>
      </c>
      <c r="H349" s="11" t="str">
        <f>IF(CALC_EPM!$B338="","",CALC_EPM!H338)</f>
      </c>
      <c r="I349" s="11" t="str">
        <f>IF(CALC_EPM!$B338="","",CALC_EPM!I338)</f>
      </c>
      <c r="J349" t="str">
        <f>IF(CALC_EPM!$B338="","",CALC_EPM!J338)</f>
      </c>
      <c r="K349" t="str">
        <f>IF(CALC_EPM!$B338="","",CALC_EPM!K338)</f>
      </c>
      <c r="L349">
        <f>IF(CALC_EPM!$B338="","",CALC_EPM!L338)</f>
      </c>
      <c r="M349">
        <f>IF(CALC_EPM!$B338="","",CALC_EPM!M338)</f>
      </c>
      <c r="N349">
        <f>IF(CALC_EPM!$B338="","",CALC_EPM!N338)</f>
      </c>
      <c r="O349">
        <f>IF(CALC_EPM!$B338="","",CALC_EPM!O338)</f>
      </c>
      <c r="P349">
        <f>IF(CALC_EPM!$B338="","",CALC_EPM!P338)</f>
      </c>
      <c r="Q349">
        <f>IF(CALC_EPM!$B338="","",CALC_EPM!Q338)</f>
      </c>
      <c r="R349">
        <f>IF(CALC_EPM!$B338="","",CALC_EPM!R338)</f>
      </c>
      <c r="S349">
        <f>IF(CALC_EPM!$B338="","",CALC_EPM!S338)</f>
      </c>
      <c r="T349">
        <f>IF(CALC_EPM!$B338="","",CALC_EPM!T338)</f>
      </c>
      <c r="U349">
        <f>IF(CALC_EPM!$B338="","",CALC_EPM!U338)</f>
      </c>
    </row>
    <row r="350">
      <c r="A350" t="str">
        <f>IF(CALC_EPM!$B339="","",IF(CALC_EPM!A339="GLOBAL",IF(CALC_EPM!C339="Total","GLOBAL",IF(CALC_EPM!C339="TotalEsp","GLOBAL_ESP",IF(CALC_EPM!C339="TotalNoEsp","GLOBAL_NOESP","GLOBAL_ASIG"))),IF(CALC_EPM!C339="Total","CURSO_TOTAL",IF(CALC_EPM!C339="TotalEsp","CURSO_ESP",IF(CALC_EPM!C339="TotalNoEsp","CURSO_NOESP","CURSO_ASIG")))))</f>
      </c>
      <c r="B350" t="str">
        <f>IF(CALC_EPM!$B339="","",CALC_EPM!A339)</f>
      </c>
      <c r="C350" t="str">
        <f>IF(CALC_EPM!$B339="","",CALC_EPM!B339)</f>
      </c>
      <c r="D350">
        <f>IF(CALC_EPM!$B339="","",CALC_EPM!D339)</f>
      </c>
      <c r="E350" s="10" t="str">
        <f>IF(CALC_EPM!$B339="","",CALC_EPM!E339)</f>
      </c>
      <c r="F350" s="10" t="str">
        <f>IF(CALC_EPM!$B339="","",CALC_EPM!F339)</f>
      </c>
      <c r="G350" t="str">
        <f>IF(CALC_EPM!$B339="","",CALC_EPM!G339)</f>
      </c>
      <c r="H350" s="11" t="str">
        <f>IF(CALC_EPM!$B339="","",CALC_EPM!H339)</f>
      </c>
      <c r="I350" s="11" t="str">
        <f>IF(CALC_EPM!$B339="","",CALC_EPM!I339)</f>
      </c>
      <c r="J350" t="str">
        <f>IF(CALC_EPM!$B339="","",CALC_EPM!J339)</f>
      </c>
      <c r="K350" t="str">
        <f>IF(CALC_EPM!$B339="","",CALC_EPM!K339)</f>
      </c>
      <c r="L350">
        <f>IF(CALC_EPM!$B339="","",CALC_EPM!L339)</f>
      </c>
      <c r="M350">
        <f>IF(CALC_EPM!$B339="","",CALC_EPM!M339)</f>
      </c>
      <c r="N350">
        <f>IF(CALC_EPM!$B339="","",CALC_EPM!N339)</f>
      </c>
      <c r="O350">
        <f>IF(CALC_EPM!$B339="","",CALC_EPM!O339)</f>
      </c>
      <c r="P350">
        <f>IF(CALC_EPM!$B339="","",CALC_EPM!P339)</f>
      </c>
      <c r="Q350">
        <f>IF(CALC_EPM!$B339="","",CALC_EPM!Q339)</f>
      </c>
      <c r="R350">
        <f>IF(CALC_EPM!$B339="","",CALC_EPM!R339)</f>
      </c>
      <c r="S350">
        <f>IF(CALC_EPM!$B339="","",CALC_EPM!S339)</f>
      </c>
      <c r="T350">
        <f>IF(CALC_EPM!$B339="","",CALC_EPM!T339)</f>
      </c>
      <c r="U350">
        <f>IF(CALC_EPM!$B339="","",CALC_EPM!U339)</f>
      </c>
    </row>
    <row r="351">
      <c r="A351" t="str">
        <f>IF(CALC_EPM!$B340="","",IF(CALC_EPM!A340="GLOBAL",IF(CALC_EPM!C340="Total","GLOBAL",IF(CALC_EPM!C340="TotalEsp","GLOBAL_ESP",IF(CALC_EPM!C340="TotalNoEsp","GLOBAL_NOESP","GLOBAL_ASIG"))),IF(CALC_EPM!C340="Total","CURSO_TOTAL",IF(CALC_EPM!C340="TotalEsp","CURSO_ESP",IF(CALC_EPM!C340="TotalNoEsp","CURSO_NOESP","CURSO_ASIG")))))</f>
      </c>
      <c r="B351" t="str">
        <f>IF(CALC_EPM!$B340="","",CALC_EPM!A340)</f>
      </c>
      <c r="C351" t="str">
        <f>IF(CALC_EPM!$B340="","",CALC_EPM!B340)</f>
      </c>
      <c r="D351">
        <f>IF(CALC_EPM!$B340="","",CALC_EPM!D340)</f>
      </c>
      <c r="E351" s="10" t="str">
        <f>IF(CALC_EPM!$B340="","",CALC_EPM!E340)</f>
      </c>
      <c r="F351" s="10" t="str">
        <f>IF(CALC_EPM!$B340="","",CALC_EPM!F340)</f>
      </c>
      <c r="G351" t="str">
        <f>IF(CALC_EPM!$B340="","",CALC_EPM!G340)</f>
      </c>
      <c r="H351" s="11" t="str">
        <f>IF(CALC_EPM!$B340="","",CALC_EPM!H340)</f>
      </c>
      <c r="I351" s="11" t="str">
        <f>IF(CALC_EPM!$B340="","",CALC_EPM!I340)</f>
      </c>
      <c r="J351" t="str">
        <f>IF(CALC_EPM!$B340="","",CALC_EPM!J340)</f>
      </c>
      <c r="K351" t="str">
        <f>IF(CALC_EPM!$B340="","",CALC_EPM!K340)</f>
      </c>
      <c r="L351">
        <f>IF(CALC_EPM!$B340="","",CALC_EPM!L340)</f>
      </c>
      <c r="M351">
        <f>IF(CALC_EPM!$B340="","",CALC_EPM!M340)</f>
      </c>
      <c r="N351">
        <f>IF(CALC_EPM!$B340="","",CALC_EPM!N340)</f>
      </c>
      <c r="O351">
        <f>IF(CALC_EPM!$B340="","",CALC_EPM!O340)</f>
      </c>
      <c r="P351">
        <f>IF(CALC_EPM!$B340="","",CALC_EPM!P340)</f>
      </c>
      <c r="Q351">
        <f>IF(CALC_EPM!$B340="","",CALC_EPM!Q340)</f>
      </c>
      <c r="R351">
        <f>IF(CALC_EPM!$B340="","",CALC_EPM!R340)</f>
      </c>
      <c r="S351">
        <f>IF(CALC_EPM!$B340="","",CALC_EPM!S340)</f>
      </c>
      <c r="T351">
        <f>IF(CALC_EPM!$B340="","",CALC_EPM!T340)</f>
      </c>
      <c r="U351">
        <f>IF(CALC_EPM!$B340="","",CALC_EPM!U340)</f>
      </c>
    </row>
    <row r="352">
      <c r="A352" t="str">
        <f>IF(CALC_EPM!$B341="","",IF(CALC_EPM!A341="GLOBAL",IF(CALC_EPM!C341="Total","GLOBAL",IF(CALC_EPM!C341="TotalEsp","GLOBAL_ESP",IF(CALC_EPM!C341="TotalNoEsp","GLOBAL_NOESP","GLOBAL_ASIG"))),IF(CALC_EPM!C341="Total","CURSO_TOTAL",IF(CALC_EPM!C341="TotalEsp","CURSO_ESP",IF(CALC_EPM!C341="TotalNoEsp","CURSO_NOESP","CURSO_ASIG")))))</f>
      </c>
      <c r="B352" t="str">
        <f>IF(CALC_EPM!$B341="","",CALC_EPM!A341)</f>
      </c>
      <c r="C352" t="str">
        <f>IF(CALC_EPM!$B341="","",CALC_EPM!B341)</f>
      </c>
      <c r="D352">
        <f>IF(CALC_EPM!$B341="","",CALC_EPM!D341)</f>
      </c>
      <c r="E352" s="10" t="str">
        <f>IF(CALC_EPM!$B341="","",CALC_EPM!E341)</f>
      </c>
      <c r="F352" s="10" t="str">
        <f>IF(CALC_EPM!$B341="","",CALC_EPM!F341)</f>
      </c>
      <c r="G352" t="str">
        <f>IF(CALC_EPM!$B341="","",CALC_EPM!G341)</f>
      </c>
      <c r="H352" s="11" t="str">
        <f>IF(CALC_EPM!$B341="","",CALC_EPM!H341)</f>
      </c>
      <c r="I352" s="11" t="str">
        <f>IF(CALC_EPM!$B341="","",CALC_EPM!I341)</f>
      </c>
      <c r="J352" t="str">
        <f>IF(CALC_EPM!$B341="","",CALC_EPM!J341)</f>
      </c>
      <c r="K352" t="str">
        <f>IF(CALC_EPM!$B341="","",CALC_EPM!K341)</f>
      </c>
      <c r="L352">
        <f>IF(CALC_EPM!$B341="","",CALC_EPM!L341)</f>
      </c>
      <c r="M352">
        <f>IF(CALC_EPM!$B341="","",CALC_EPM!M341)</f>
      </c>
      <c r="N352">
        <f>IF(CALC_EPM!$B341="","",CALC_EPM!N341)</f>
      </c>
      <c r="O352">
        <f>IF(CALC_EPM!$B341="","",CALC_EPM!O341)</f>
      </c>
      <c r="P352">
        <f>IF(CALC_EPM!$B341="","",CALC_EPM!P341)</f>
      </c>
      <c r="Q352">
        <f>IF(CALC_EPM!$B341="","",CALC_EPM!Q341)</f>
      </c>
      <c r="R352">
        <f>IF(CALC_EPM!$B341="","",CALC_EPM!R341)</f>
      </c>
      <c r="S352">
        <f>IF(CALC_EPM!$B341="","",CALC_EPM!S341)</f>
      </c>
      <c r="T352">
        <f>IF(CALC_EPM!$B341="","",CALC_EPM!T341)</f>
      </c>
      <c r="U352">
        <f>IF(CALC_EPM!$B341="","",CALC_EPM!U341)</f>
      </c>
    </row>
    <row r="353">
      <c r="A353" t="str">
        <f>IF(CALC_EPM!$B342="","",IF(CALC_EPM!A342="GLOBAL",IF(CALC_EPM!C342="Total","GLOBAL",IF(CALC_EPM!C342="TotalEsp","GLOBAL_ESP",IF(CALC_EPM!C342="TotalNoEsp","GLOBAL_NOESP","GLOBAL_ASIG"))),IF(CALC_EPM!C342="Total","CURSO_TOTAL",IF(CALC_EPM!C342="TotalEsp","CURSO_ESP",IF(CALC_EPM!C342="TotalNoEsp","CURSO_NOESP","CURSO_ASIG")))))</f>
      </c>
      <c r="B353" t="str">
        <f>IF(CALC_EPM!$B342="","",CALC_EPM!A342)</f>
      </c>
      <c r="C353" t="str">
        <f>IF(CALC_EPM!$B342="","",CALC_EPM!B342)</f>
      </c>
      <c r="D353">
        <f>IF(CALC_EPM!$B342="","",CALC_EPM!D342)</f>
      </c>
      <c r="E353" s="10" t="str">
        <f>IF(CALC_EPM!$B342="","",CALC_EPM!E342)</f>
      </c>
      <c r="F353" s="10" t="str">
        <f>IF(CALC_EPM!$B342="","",CALC_EPM!F342)</f>
      </c>
      <c r="G353" t="str">
        <f>IF(CALC_EPM!$B342="","",CALC_EPM!G342)</f>
      </c>
      <c r="H353" s="11" t="str">
        <f>IF(CALC_EPM!$B342="","",CALC_EPM!H342)</f>
      </c>
      <c r="I353" s="11" t="str">
        <f>IF(CALC_EPM!$B342="","",CALC_EPM!I342)</f>
      </c>
      <c r="J353" t="str">
        <f>IF(CALC_EPM!$B342="","",CALC_EPM!J342)</f>
      </c>
      <c r="K353" t="str">
        <f>IF(CALC_EPM!$B342="","",CALC_EPM!K342)</f>
      </c>
      <c r="L353">
        <f>IF(CALC_EPM!$B342="","",CALC_EPM!L342)</f>
      </c>
      <c r="M353">
        <f>IF(CALC_EPM!$B342="","",CALC_EPM!M342)</f>
      </c>
      <c r="N353">
        <f>IF(CALC_EPM!$B342="","",CALC_EPM!N342)</f>
      </c>
      <c r="O353">
        <f>IF(CALC_EPM!$B342="","",CALC_EPM!O342)</f>
      </c>
      <c r="P353">
        <f>IF(CALC_EPM!$B342="","",CALC_EPM!P342)</f>
      </c>
      <c r="Q353">
        <f>IF(CALC_EPM!$B342="","",CALC_EPM!Q342)</f>
      </c>
      <c r="R353">
        <f>IF(CALC_EPM!$B342="","",CALC_EPM!R342)</f>
      </c>
      <c r="S353">
        <f>IF(CALC_EPM!$B342="","",CALC_EPM!S342)</f>
      </c>
      <c r="T353">
        <f>IF(CALC_EPM!$B342="","",CALC_EPM!T342)</f>
      </c>
      <c r="U353">
        <f>IF(CALC_EPM!$B342="","",CALC_EPM!U342)</f>
      </c>
    </row>
    <row r="354">
      <c r="A354" t="str">
        <f>IF(CALC_EPM!$B343="","",IF(CALC_EPM!A343="GLOBAL",IF(CALC_EPM!C343="Total","GLOBAL",IF(CALC_EPM!C343="TotalEsp","GLOBAL_ESP",IF(CALC_EPM!C343="TotalNoEsp","GLOBAL_NOESP","GLOBAL_ASIG"))),IF(CALC_EPM!C343="Total","CURSO_TOTAL",IF(CALC_EPM!C343="TotalEsp","CURSO_ESP",IF(CALC_EPM!C343="TotalNoEsp","CURSO_NOESP","CURSO_ASIG")))))</f>
      </c>
      <c r="B354" t="str">
        <f>IF(CALC_EPM!$B343="","",CALC_EPM!A343)</f>
      </c>
      <c r="C354" t="str">
        <f>IF(CALC_EPM!$B343="","",CALC_EPM!B343)</f>
      </c>
      <c r="D354">
        <f>IF(CALC_EPM!$B343="","",CALC_EPM!D343)</f>
      </c>
      <c r="E354" s="10" t="str">
        <f>IF(CALC_EPM!$B343="","",CALC_EPM!E343)</f>
      </c>
      <c r="F354" s="10" t="str">
        <f>IF(CALC_EPM!$B343="","",CALC_EPM!F343)</f>
      </c>
      <c r="G354" t="str">
        <f>IF(CALC_EPM!$B343="","",CALC_EPM!G343)</f>
      </c>
      <c r="H354" s="11" t="str">
        <f>IF(CALC_EPM!$B343="","",CALC_EPM!H343)</f>
      </c>
      <c r="I354" s="11" t="str">
        <f>IF(CALC_EPM!$B343="","",CALC_EPM!I343)</f>
      </c>
      <c r="J354" t="str">
        <f>IF(CALC_EPM!$B343="","",CALC_EPM!J343)</f>
      </c>
      <c r="K354" t="str">
        <f>IF(CALC_EPM!$B343="","",CALC_EPM!K343)</f>
      </c>
      <c r="L354">
        <f>IF(CALC_EPM!$B343="","",CALC_EPM!L343)</f>
      </c>
      <c r="M354">
        <f>IF(CALC_EPM!$B343="","",CALC_EPM!M343)</f>
      </c>
      <c r="N354">
        <f>IF(CALC_EPM!$B343="","",CALC_EPM!N343)</f>
      </c>
      <c r="O354">
        <f>IF(CALC_EPM!$B343="","",CALC_EPM!O343)</f>
      </c>
      <c r="P354">
        <f>IF(CALC_EPM!$B343="","",CALC_EPM!P343)</f>
      </c>
      <c r="Q354">
        <f>IF(CALC_EPM!$B343="","",CALC_EPM!Q343)</f>
      </c>
      <c r="R354">
        <f>IF(CALC_EPM!$B343="","",CALC_EPM!R343)</f>
      </c>
      <c r="S354">
        <f>IF(CALC_EPM!$B343="","",CALC_EPM!S343)</f>
      </c>
      <c r="T354">
        <f>IF(CALC_EPM!$B343="","",CALC_EPM!T343)</f>
      </c>
      <c r="U354">
        <f>IF(CALC_EPM!$B343="","",CALC_EPM!U343)</f>
      </c>
    </row>
    <row r="355">
      <c r="A355" t="str">
        <f>IF(CALC_EPM!$B344="","",IF(CALC_EPM!A344="GLOBAL",IF(CALC_EPM!C344="Total","GLOBAL",IF(CALC_EPM!C344="TotalEsp","GLOBAL_ESP",IF(CALC_EPM!C344="TotalNoEsp","GLOBAL_NOESP","GLOBAL_ASIG"))),IF(CALC_EPM!C344="Total","CURSO_TOTAL",IF(CALC_EPM!C344="TotalEsp","CURSO_ESP",IF(CALC_EPM!C344="TotalNoEsp","CURSO_NOESP","CURSO_ASIG")))))</f>
      </c>
      <c r="B355" t="str">
        <f>IF(CALC_EPM!$B344="","",CALC_EPM!A344)</f>
      </c>
      <c r="C355" t="str">
        <f>IF(CALC_EPM!$B344="","",CALC_EPM!B344)</f>
      </c>
      <c r="D355">
        <f>IF(CALC_EPM!$B344="","",CALC_EPM!D344)</f>
      </c>
      <c r="E355" s="10" t="str">
        <f>IF(CALC_EPM!$B344="","",CALC_EPM!E344)</f>
      </c>
      <c r="F355" s="10" t="str">
        <f>IF(CALC_EPM!$B344="","",CALC_EPM!F344)</f>
      </c>
      <c r="G355" t="str">
        <f>IF(CALC_EPM!$B344="","",CALC_EPM!G344)</f>
      </c>
      <c r="H355" s="11" t="str">
        <f>IF(CALC_EPM!$B344="","",CALC_EPM!H344)</f>
      </c>
      <c r="I355" s="11" t="str">
        <f>IF(CALC_EPM!$B344="","",CALC_EPM!I344)</f>
      </c>
      <c r="J355" t="str">
        <f>IF(CALC_EPM!$B344="","",CALC_EPM!J344)</f>
      </c>
      <c r="K355" t="str">
        <f>IF(CALC_EPM!$B344="","",CALC_EPM!K344)</f>
      </c>
      <c r="L355">
        <f>IF(CALC_EPM!$B344="","",CALC_EPM!L344)</f>
      </c>
      <c r="M355">
        <f>IF(CALC_EPM!$B344="","",CALC_EPM!M344)</f>
      </c>
      <c r="N355">
        <f>IF(CALC_EPM!$B344="","",CALC_EPM!N344)</f>
      </c>
      <c r="O355">
        <f>IF(CALC_EPM!$B344="","",CALC_EPM!O344)</f>
      </c>
      <c r="P355">
        <f>IF(CALC_EPM!$B344="","",CALC_EPM!P344)</f>
      </c>
      <c r="Q355">
        <f>IF(CALC_EPM!$B344="","",CALC_EPM!Q344)</f>
      </c>
      <c r="R355">
        <f>IF(CALC_EPM!$B344="","",CALC_EPM!R344)</f>
      </c>
      <c r="S355">
        <f>IF(CALC_EPM!$B344="","",CALC_EPM!S344)</f>
      </c>
      <c r="T355">
        <f>IF(CALC_EPM!$B344="","",CALC_EPM!T344)</f>
      </c>
      <c r="U355">
        <f>IF(CALC_EPM!$B344="","",CALC_EPM!U344)</f>
      </c>
    </row>
    <row r="356">
      <c r="A356" t="str">
        <f>IF(CALC_EPM!$B345="","",IF(CALC_EPM!A345="GLOBAL",IF(CALC_EPM!C345="Total","GLOBAL",IF(CALC_EPM!C345="TotalEsp","GLOBAL_ESP",IF(CALC_EPM!C345="TotalNoEsp","GLOBAL_NOESP","GLOBAL_ASIG"))),IF(CALC_EPM!C345="Total","CURSO_TOTAL",IF(CALC_EPM!C345="TotalEsp","CURSO_ESP",IF(CALC_EPM!C345="TotalNoEsp","CURSO_NOESP","CURSO_ASIG")))))</f>
      </c>
      <c r="B356" t="str">
        <f>IF(CALC_EPM!$B345="","",CALC_EPM!A345)</f>
      </c>
      <c r="C356" t="str">
        <f>IF(CALC_EPM!$B345="","",CALC_EPM!B345)</f>
      </c>
      <c r="D356">
        <f>IF(CALC_EPM!$B345="","",CALC_EPM!D345)</f>
      </c>
      <c r="E356" s="10" t="str">
        <f>IF(CALC_EPM!$B345="","",CALC_EPM!E345)</f>
      </c>
      <c r="F356" s="10" t="str">
        <f>IF(CALC_EPM!$B345="","",CALC_EPM!F345)</f>
      </c>
      <c r="G356" t="str">
        <f>IF(CALC_EPM!$B345="","",CALC_EPM!G345)</f>
      </c>
      <c r="H356" s="11" t="str">
        <f>IF(CALC_EPM!$B345="","",CALC_EPM!H345)</f>
      </c>
      <c r="I356" s="11" t="str">
        <f>IF(CALC_EPM!$B345="","",CALC_EPM!I345)</f>
      </c>
      <c r="J356" t="str">
        <f>IF(CALC_EPM!$B345="","",CALC_EPM!J345)</f>
      </c>
      <c r="K356" t="str">
        <f>IF(CALC_EPM!$B345="","",CALC_EPM!K345)</f>
      </c>
      <c r="L356">
        <f>IF(CALC_EPM!$B345="","",CALC_EPM!L345)</f>
      </c>
      <c r="M356">
        <f>IF(CALC_EPM!$B345="","",CALC_EPM!M345)</f>
      </c>
      <c r="N356">
        <f>IF(CALC_EPM!$B345="","",CALC_EPM!N345)</f>
      </c>
      <c r="O356">
        <f>IF(CALC_EPM!$B345="","",CALC_EPM!O345)</f>
      </c>
      <c r="P356">
        <f>IF(CALC_EPM!$B345="","",CALC_EPM!P345)</f>
      </c>
      <c r="Q356">
        <f>IF(CALC_EPM!$B345="","",CALC_EPM!Q345)</f>
      </c>
      <c r="R356">
        <f>IF(CALC_EPM!$B345="","",CALC_EPM!R345)</f>
      </c>
      <c r="S356">
        <f>IF(CALC_EPM!$B345="","",CALC_EPM!S345)</f>
      </c>
      <c r="T356">
        <f>IF(CALC_EPM!$B345="","",CALC_EPM!T345)</f>
      </c>
      <c r="U356">
        <f>IF(CALC_EPM!$B345="","",CALC_EPM!U345)</f>
      </c>
    </row>
    <row r="357">
      <c r="A357" t="str">
        <f>IF(CALC_EPM!$B346="","",IF(CALC_EPM!A346="GLOBAL",IF(CALC_EPM!C346="Total","GLOBAL",IF(CALC_EPM!C346="TotalEsp","GLOBAL_ESP",IF(CALC_EPM!C346="TotalNoEsp","GLOBAL_NOESP","GLOBAL_ASIG"))),IF(CALC_EPM!C346="Total","CURSO_TOTAL",IF(CALC_EPM!C346="TotalEsp","CURSO_ESP",IF(CALC_EPM!C346="TotalNoEsp","CURSO_NOESP","CURSO_ASIG")))))</f>
      </c>
      <c r="B357" t="str">
        <f>IF(CALC_EPM!$B346="","",CALC_EPM!A346)</f>
      </c>
      <c r="C357" t="str">
        <f>IF(CALC_EPM!$B346="","",CALC_EPM!B346)</f>
      </c>
      <c r="D357">
        <f>IF(CALC_EPM!$B346="","",CALC_EPM!D346)</f>
      </c>
      <c r="E357" s="10" t="str">
        <f>IF(CALC_EPM!$B346="","",CALC_EPM!E346)</f>
      </c>
      <c r="F357" s="10" t="str">
        <f>IF(CALC_EPM!$B346="","",CALC_EPM!F346)</f>
      </c>
      <c r="G357" t="str">
        <f>IF(CALC_EPM!$B346="","",CALC_EPM!G346)</f>
      </c>
      <c r="H357" s="11" t="str">
        <f>IF(CALC_EPM!$B346="","",CALC_EPM!H346)</f>
      </c>
      <c r="I357" s="11" t="str">
        <f>IF(CALC_EPM!$B346="","",CALC_EPM!I346)</f>
      </c>
      <c r="J357" t="str">
        <f>IF(CALC_EPM!$B346="","",CALC_EPM!J346)</f>
      </c>
      <c r="K357" t="str">
        <f>IF(CALC_EPM!$B346="","",CALC_EPM!K346)</f>
      </c>
      <c r="L357">
        <f>IF(CALC_EPM!$B346="","",CALC_EPM!L346)</f>
      </c>
      <c r="M357">
        <f>IF(CALC_EPM!$B346="","",CALC_EPM!M346)</f>
      </c>
      <c r="N357">
        <f>IF(CALC_EPM!$B346="","",CALC_EPM!N346)</f>
      </c>
      <c r="O357">
        <f>IF(CALC_EPM!$B346="","",CALC_EPM!O346)</f>
      </c>
      <c r="P357">
        <f>IF(CALC_EPM!$B346="","",CALC_EPM!P346)</f>
      </c>
      <c r="Q357">
        <f>IF(CALC_EPM!$B346="","",CALC_EPM!Q346)</f>
      </c>
      <c r="R357">
        <f>IF(CALC_EPM!$B346="","",CALC_EPM!R346)</f>
      </c>
      <c r="S357">
        <f>IF(CALC_EPM!$B346="","",CALC_EPM!S346)</f>
      </c>
      <c r="T357">
        <f>IF(CALC_EPM!$B346="","",CALC_EPM!T346)</f>
      </c>
      <c r="U357">
        <f>IF(CALC_EPM!$B346="","",CALC_EPM!U346)</f>
      </c>
    </row>
    <row r="358">
      <c r="A358" t="str">
        <f>IF(CALC_EPM!$B347="","",IF(CALC_EPM!A347="GLOBAL",IF(CALC_EPM!C347="Total","GLOBAL",IF(CALC_EPM!C347="TotalEsp","GLOBAL_ESP",IF(CALC_EPM!C347="TotalNoEsp","GLOBAL_NOESP","GLOBAL_ASIG"))),IF(CALC_EPM!C347="Total","CURSO_TOTAL",IF(CALC_EPM!C347="TotalEsp","CURSO_ESP",IF(CALC_EPM!C347="TotalNoEsp","CURSO_NOESP","CURSO_ASIG")))))</f>
      </c>
      <c r="B358" t="str">
        <f>IF(CALC_EPM!$B347="","",CALC_EPM!A347)</f>
      </c>
      <c r="C358" t="str">
        <f>IF(CALC_EPM!$B347="","",CALC_EPM!B347)</f>
      </c>
      <c r="D358">
        <f>IF(CALC_EPM!$B347="","",CALC_EPM!D347)</f>
      </c>
      <c r="E358" s="10" t="str">
        <f>IF(CALC_EPM!$B347="","",CALC_EPM!E347)</f>
      </c>
      <c r="F358" s="10" t="str">
        <f>IF(CALC_EPM!$B347="","",CALC_EPM!F347)</f>
      </c>
      <c r="G358" t="str">
        <f>IF(CALC_EPM!$B347="","",CALC_EPM!G347)</f>
      </c>
      <c r="H358" s="11" t="str">
        <f>IF(CALC_EPM!$B347="","",CALC_EPM!H347)</f>
      </c>
      <c r="I358" s="11" t="str">
        <f>IF(CALC_EPM!$B347="","",CALC_EPM!I347)</f>
      </c>
      <c r="J358" t="str">
        <f>IF(CALC_EPM!$B347="","",CALC_EPM!J347)</f>
      </c>
      <c r="K358" t="str">
        <f>IF(CALC_EPM!$B347="","",CALC_EPM!K347)</f>
      </c>
      <c r="L358">
        <f>IF(CALC_EPM!$B347="","",CALC_EPM!L347)</f>
      </c>
      <c r="M358">
        <f>IF(CALC_EPM!$B347="","",CALC_EPM!M347)</f>
      </c>
      <c r="N358">
        <f>IF(CALC_EPM!$B347="","",CALC_EPM!N347)</f>
      </c>
      <c r="O358">
        <f>IF(CALC_EPM!$B347="","",CALC_EPM!O347)</f>
      </c>
      <c r="P358">
        <f>IF(CALC_EPM!$B347="","",CALC_EPM!P347)</f>
      </c>
      <c r="Q358">
        <f>IF(CALC_EPM!$B347="","",CALC_EPM!Q347)</f>
      </c>
      <c r="R358">
        <f>IF(CALC_EPM!$B347="","",CALC_EPM!R347)</f>
      </c>
      <c r="S358">
        <f>IF(CALC_EPM!$B347="","",CALC_EPM!S347)</f>
      </c>
      <c r="T358">
        <f>IF(CALC_EPM!$B347="","",CALC_EPM!T347)</f>
      </c>
      <c r="U358">
        <f>IF(CALC_EPM!$B347="","",CALC_EPM!U347)</f>
      </c>
    </row>
    <row r="359">
      <c r="A359" t="str">
        <f>IF(CALC_EPM!$B348="","",IF(CALC_EPM!A348="GLOBAL",IF(CALC_EPM!C348="Total","GLOBAL",IF(CALC_EPM!C348="TotalEsp","GLOBAL_ESP",IF(CALC_EPM!C348="TotalNoEsp","GLOBAL_NOESP","GLOBAL_ASIG"))),IF(CALC_EPM!C348="Total","CURSO_TOTAL",IF(CALC_EPM!C348="TotalEsp","CURSO_ESP",IF(CALC_EPM!C348="TotalNoEsp","CURSO_NOESP","CURSO_ASIG")))))</f>
      </c>
      <c r="B359" t="str">
        <f>IF(CALC_EPM!$B348="","",CALC_EPM!A348)</f>
      </c>
      <c r="C359" t="str">
        <f>IF(CALC_EPM!$B348="","",CALC_EPM!B348)</f>
      </c>
      <c r="D359">
        <f>IF(CALC_EPM!$B348="","",CALC_EPM!D348)</f>
      </c>
      <c r="E359" s="10" t="str">
        <f>IF(CALC_EPM!$B348="","",CALC_EPM!E348)</f>
      </c>
      <c r="F359" s="10" t="str">
        <f>IF(CALC_EPM!$B348="","",CALC_EPM!F348)</f>
      </c>
      <c r="G359" t="str">
        <f>IF(CALC_EPM!$B348="","",CALC_EPM!G348)</f>
      </c>
      <c r="H359" s="11" t="str">
        <f>IF(CALC_EPM!$B348="","",CALC_EPM!H348)</f>
      </c>
      <c r="I359" s="11" t="str">
        <f>IF(CALC_EPM!$B348="","",CALC_EPM!I348)</f>
      </c>
      <c r="J359" t="str">
        <f>IF(CALC_EPM!$B348="","",CALC_EPM!J348)</f>
      </c>
      <c r="K359" t="str">
        <f>IF(CALC_EPM!$B348="","",CALC_EPM!K348)</f>
      </c>
      <c r="L359">
        <f>IF(CALC_EPM!$B348="","",CALC_EPM!L348)</f>
      </c>
      <c r="M359">
        <f>IF(CALC_EPM!$B348="","",CALC_EPM!M348)</f>
      </c>
      <c r="N359">
        <f>IF(CALC_EPM!$B348="","",CALC_EPM!N348)</f>
      </c>
      <c r="O359">
        <f>IF(CALC_EPM!$B348="","",CALC_EPM!O348)</f>
      </c>
      <c r="P359">
        <f>IF(CALC_EPM!$B348="","",CALC_EPM!P348)</f>
      </c>
      <c r="Q359">
        <f>IF(CALC_EPM!$B348="","",CALC_EPM!Q348)</f>
      </c>
      <c r="R359">
        <f>IF(CALC_EPM!$B348="","",CALC_EPM!R348)</f>
      </c>
      <c r="S359">
        <f>IF(CALC_EPM!$B348="","",CALC_EPM!S348)</f>
      </c>
      <c r="T359">
        <f>IF(CALC_EPM!$B348="","",CALC_EPM!T348)</f>
      </c>
      <c r="U359">
        <f>IF(CALC_EPM!$B348="","",CALC_EPM!U348)</f>
      </c>
    </row>
    <row r="360">
      <c r="A360" t="str">
        <f>IF(CALC_EPM!$B349="","",IF(CALC_EPM!A349="GLOBAL",IF(CALC_EPM!C349="Total","GLOBAL",IF(CALC_EPM!C349="TotalEsp","GLOBAL_ESP",IF(CALC_EPM!C349="TotalNoEsp","GLOBAL_NOESP","GLOBAL_ASIG"))),IF(CALC_EPM!C349="Total","CURSO_TOTAL",IF(CALC_EPM!C349="TotalEsp","CURSO_ESP",IF(CALC_EPM!C349="TotalNoEsp","CURSO_NOESP","CURSO_ASIG")))))</f>
      </c>
      <c r="B360" t="str">
        <f>IF(CALC_EPM!$B349="","",CALC_EPM!A349)</f>
      </c>
      <c r="C360" t="str">
        <f>IF(CALC_EPM!$B349="","",CALC_EPM!B349)</f>
      </c>
      <c r="D360">
        <f>IF(CALC_EPM!$B349="","",CALC_EPM!D349)</f>
      </c>
      <c r="E360" s="10" t="str">
        <f>IF(CALC_EPM!$B349="","",CALC_EPM!E349)</f>
      </c>
      <c r="F360" s="10" t="str">
        <f>IF(CALC_EPM!$B349="","",CALC_EPM!F349)</f>
      </c>
      <c r="G360" t="str">
        <f>IF(CALC_EPM!$B349="","",CALC_EPM!G349)</f>
      </c>
      <c r="H360" s="11" t="str">
        <f>IF(CALC_EPM!$B349="","",CALC_EPM!H349)</f>
      </c>
      <c r="I360" s="11" t="str">
        <f>IF(CALC_EPM!$B349="","",CALC_EPM!I349)</f>
      </c>
      <c r="J360" t="str">
        <f>IF(CALC_EPM!$B349="","",CALC_EPM!J349)</f>
      </c>
      <c r="K360" t="str">
        <f>IF(CALC_EPM!$B349="","",CALC_EPM!K349)</f>
      </c>
      <c r="L360">
        <f>IF(CALC_EPM!$B349="","",CALC_EPM!L349)</f>
      </c>
      <c r="M360">
        <f>IF(CALC_EPM!$B349="","",CALC_EPM!M349)</f>
      </c>
      <c r="N360">
        <f>IF(CALC_EPM!$B349="","",CALC_EPM!N349)</f>
      </c>
      <c r="O360">
        <f>IF(CALC_EPM!$B349="","",CALC_EPM!O349)</f>
      </c>
      <c r="P360">
        <f>IF(CALC_EPM!$B349="","",CALC_EPM!P349)</f>
      </c>
      <c r="Q360">
        <f>IF(CALC_EPM!$B349="","",CALC_EPM!Q349)</f>
      </c>
      <c r="R360">
        <f>IF(CALC_EPM!$B349="","",CALC_EPM!R349)</f>
      </c>
      <c r="S360">
        <f>IF(CALC_EPM!$B349="","",CALC_EPM!S349)</f>
      </c>
      <c r="T360">
        <f>IF(CALC_EPM!$B349="","",CALC_EPM!T349)</f>
      </c>
      <c r="U360">
        <f>IF(CALC_EPM!$B349="","",CALC_EPM!U349)</f>
      </c>
    </row>
    <row r="361">
      <c r="A361" t="str">
        <f>IF(CALC_EPM!$B350="","",IF(CALC_EPM!A350="GLOBAL",IF(CALC_EPM!C350="Total","GLOBAL",IF(CALC_EPM!C350="TotalEsp","GLOBAL_ESP",IF(CALC_EPM!C350="TotalNoEsp","GLOBAL_NOESP","GLOBAL_ASIG"))),IF(CALC_EPM!C350="Total","CURSO_TOTAL",IF(CALC_EPM!C350="TotalEsp","CURSO_ESP",IF(CALC_EPM!C350="TotalNoEsp","CURSO_NOESP","CURSO_ASIG")))))</f>
      </c>
      <c r="B361" t="str">
        <f>IF(CALC_EPM!$B350="","",CALC_EPM!A350)</f>
      </c>
      <c r="C361" t="str">
        <f>IF(CALC_EPM!$B350="","",CALC_EPM!B350)</f>
      </c>
      <c r="D361">
        <f>IF(CALC_EPM!$B350="","",CALC_EPM!D350)</f>
      </c>
      <c r="E361" s="10" t="str">
        <f>IF(CALC_EPM!$B350="","",CALC_EPM!E350)</f>
      </c>
      <c r="F361" s="10" t="str">
        <f>IF(CALC_EPM!$B350="","",CALC_EPM!F350)</f>
      </c>
      <c r="G361" t="str">
        <f>IF(CALC_EPM!$B350="","",CALC_EPM!G350)</f>
      </c>
      <c r="H361" s="11" t="str">
        <f>IF(CALC_EPM!$B350="","",CALC_EPM!H350)</f>
      </c>
      <c r="I361" s="11" t="str">
        <f>IF(CALC_EPM!$B350="","",CALC_EPM!I350)</f>
      </c>
      <c r="J361" t="str">
        <f>IF(CALC_EPM!$B350="","",CALC_EPM!J350)</f>
      </c>
      <c r="K361" t="str">
        <f>IF(CALC_EPM!$B350="","",CALC_EPM!K350)</f>
      </c>
      <c r="L361">
        <f>IF(CALC_EPM!$B350="","",CALC_EPM!L350)</f>
      </c>
      <c r="M361">
        <f>IF(CALC_EPM!$B350="","",CALC_EPM!M350)</f>
      </c>
      <c r="N361">
        <f>IF(CALC_EPM!$B350="","",CALC_EPM!N350)</f>
      </c>
      <c r="O361">
        <f>IF(CALC_EPM!$B350="","",CALC_EPM!O350)</f>
      </c>
      <c r="P361">
        <f>IF(CALC_EPM!$B350="","",CALC_EPM!P350)</f>
      </c>
      <c r="Q361">
        <f>IF(CALC_EPM!$B350="","",CALC_EPM!Q350)</f>
      </c>
      <c r="R361">
        <f>IF(CALC_EPM!$B350="","",CALC_EPM!R350)</f>
      </c>
      <c r="S361">
        <f>IF(CALC_EPM!$B350="","",CALC_EPM!S350)</f>
      </c>
      <c r="T361">
        <f>IF(CALC_EPM!$B350="","",CALC_EPM!T350)</f>
      </c>
      <c r="U361">
        <f>IF(CALC_EPM!$B350="","",CALC_EPM!U350)</f>
      </c>
    </row>
    <row r="362">
      <c r="A362" t="str">
        <f>IF(CALC_EPM!$B351="","",IF(CALC_EPM!A351="GLOBAL",IF(CALC_EPM!C351="Total","GLOBAL",IF(CALC_EPM!C351="TotalEsp","GLOBAL_ESP",IF(CALC_EPM!C351="TotalNoEsp","GLOBAL_NOESP","GLOBAL_ASIG"))),IF(CALC_EPM!C351="Total","CURSO_TOTAL",IF(CALC_EPM!C351="TotalEsp","CURSO_ESP",IF(CALC_EPM!C351="TotalNoEsp","CURSO_NOESP","CURSO_ASIG")))))</f>
      </c>
      <c r="B362" t="str">
        <f>IF(CALC_EPM!$B351="","",CALC_EPM!A351)</f>
      </c>
      <c r="C362" t="str">
        <f>IF(CALC_EPM!$B351="","",CALC_EPM!B351)</f>
      </c>
      <c r="D362">
        <f>IF(CALC_EPM!$B351="","",CALC_EPM!D351)</f>
      </c>
      <c r="E362" s="10" t="str">
        <f>IF(CALC_EPM!$B351="","",CALC_EPM!E351)</f>
      </c>
      <c r="F362" s="10" t="str">
        <f>IF(CALC_EPM!$B351="","",CALC_EPM!F351)</f>
      </c>
      <c r="G362" t="str">
        <f>IF(CALC_EPM!$B351="","",CALC_EPM!G351)</f>
      </c>
      <c r="H362" s="11" t="str">
        <f>IF(CALC_EPM!$B351="","",CALC_EPM!H351)</f>
      </c>
      <c r="I362" s="11" t="str">
        <f>IF(CALC_EPM!$B351="","",CALC_EPM!I351)</f>
      </c>
      <c r="J362" t="str">
        <f>IF(CALC_EPM!$B351="","",CALC_EPM!J351)</f>
      </c>
      <c r="K362" t="str">
        <f>IF(CALC_EPM!$B351="","",CALC_EPM!K351)</f>
      </c>
      <c r="L362">
        <f>IF(CALC_EPM!$B351="","",CALC_EPM!L351)</f>
      </c>
      <c r="M362">
        <f>IF(CALC_EPM!$B351="","",CALC_EPM!M351)</f>
      </c>
      <c r="N362">
        <f>IF(CALC_EPM!$B351="","",CALC_EPM!N351)</f>
      </c>
      <c r="O362">
        <f>IF(CALC_EPM!$B351="","",CALC_EPM!O351)</f>
      </c>
      <c r="P362">
        <f>IF(CALC_EPM!$B351="","",CALC_EPM!P351)</f>
      </c>
      <c r="Q362">
        <f>IF(CALC_EPM!$B351="","",CALC_EPM!Q351)</f>
      </c>
      <c r="R362">
        <f>IF(CALC_EPM!$B351="","",CALC_EPM!R351)</f>
      </c>
      <c r="S362">
        <f>IF(CALC_EPM!$B351="","",CALC_EPM!S351)</f>
      </c>
      <c r="T362">
        <f>IF(CALC_EPM!$B351="","",CALC_EPM!T351)</f>
      </c>
      <c r="U362">
        <f>IF(CALC_EPM!$B351="","",CALC_EPM!U351)</f>
      </c>
    </row>
    <row r="363">
      <c r="A363" t="str">
        <f>IF(CALC_EPM!$B352="","",IF(CALC_EPM!A352="GLOBAL",IF(CALC_EPM!C352="Total","GLOBAL",IF(CALC_EPM!C352="TotalEsp","GLOBAL_ESP",IF(CALC_EPM!C352="TotalNoEsp","GLOBAL_NOESP","GLOBAL_ASIG"))),IF(CALC_EPM!C352="Total","CURSO_TOTAL",IF(CALC_EPM!C352="TotalEsp","CURSO_ESP",IF(CALC_EPM!C352="TotalNoEsp","CURSO_NOESP","CURSO_ASIG")))))</f>
      </c>
      <c r="B363" t="str">
        <f>IF(CALC_EPM!$B352="","",CALC_EPM!A352)</f>
      </c>
      <c r="C363" t="str">
        <f>IF(CALC_EPM!$B352="","",CALC_EPM!B352)</f>
      </c>
      <c r="D363">
        <f>IF(CALC_EPM!$B352="","",CALC_EPM!D352)</f>
      </c>
      <c r="E363" s="10" t="str">
        <f>IF(CALC_EPM!$B352="","",CALC_EPM!E352)</f>
      </c>
      <c r="F363" s="10" t="str">
        <f>IF(CALC_EPM!$B352="","",CALC_EPM!F352)</f>
      </c>
      <c r="G363" t="str">
        <f>IF(CALC_EPM!$B352="","",CALC_EPM!G352)</f>
      </c>
      <c r="H363" s="11" t="str">
        <f>IF(CALC_EPM!$B352="","",CALC_EPM!H352)</f>
      </c>
      <c r="I363" s="11" t="str">
        <f>IF(CALC_EPM!$B352="","",CALC_EPM!I352)</f>
      </c>
      <c r="J363" t="str">
        <f>IF(CALC_EPM!$B352="","",CALC_EPM!J352)</f>
      </c>
      <c r="K363" t="str">
        <f>IF(CALC_EPM!$B352="","",CALC_EPM!K352)</f>
      </c>
      <c r="L363">
        <f>IF(CALC_EPM!$B352="","",CALC_EPM!L352)</f>
      </c>
      <c r="M363">
        <f>IF(CALC_EPM!$B352="","",CALC_EPM!M352)</f>
      </c>
      <c r="N363">
        <f>IF(CALC_EPM!$B352="","",CALC_EPM!N352)</f>
      </c>
      <c r="O363">
        <f>IF(CALC_EPM!$B352="","",CALC_EPM!O352)</f>
      </c>
      <c r="P363">
        <f>IF(CALC_EPM!$B352="","",CALC_EPM!P352)</f>
      </c>
      <c r="Q363">
        <f>IF(CALC_EPM!$B352="","",CALC_EPM!Q352)</f>
      </c>
      <c r="R363">
        <f>IF(CALC_EPM!$B352="","",CALC_EPM!R352)</f>
      </c>
      <c r="S363">
        <f>IF(CALC_EPM!$B352="","",CALC_EPM!S352)</f>
      </c>
      <c r="T363">
        <f>IF(CALC_EPM!$B352="","",CALC_EPM!T352)</f>
      </c>
      <c r="U363">
        <f>IF(CALC_EPM!$B352="","",CALC_EPM!U352)</f>
      </c>
    </row>
    <row r="364">
      <c r="A364" t="str">
        <f>IF(CALC_EPM!$B353="","",IF(CALC_EPM!A353="GLOBAL",IF(CALC_EPM!C353="Total","GLOBAL",IF(CALC_EPM!C353="TotalEsp","GLOBAL_ESP",IF(CALC_EPM!C353="TotalNoEsp","GLOBAL_NOESP","GLOBAL_ASIG"))),IF(CALC_EPM!C353="Total","CURSO_TOTAL",IF(CALC_EPM!C353="TotalEsp","CURSO_ESP",IF(CALC_EPM!C353="TotalNoEsp","CURSO_NOESP","CURSO_ASIG")))))</f>
      </c>
      <c r="B364" t="str">
        <f>IF(CALC_EPM!$B353="","",CALC_EPM!A353)</f>
      </c>
      <c r="C364" t="str">
        <f>IF(CALC_EPM!$B353="","",CALC_EPM!B353)</f>
      </c>
      <c r="D364">
        <f>IF(CALC_EPM!$B353="","",CALC_EPM!D353)</f>
      </c>
      <c r="E364" s="10" t="str">
        <f>IF(CALC_EPM!$B353="","",CALC_EPM!E353)</f>
      </c>
      <c r="F364" s="10" t="str">
        <f>IF(CALC_EPM!$B353="","",CALC_EPM!F353)</f>
      </c>
      <c r="G364" t="str">
        <f>IF(CALC_EPM!$B353="","",CALC_EPM!G353)</f>
      </c>
      <c r="H364" s="11" t="str">
        <f>IF(CALC_EPM!$B353="","",CALC_EPM!H353)</f>
      </c>
      <c r="I364" s="11" t="str">
        <f>IF(CALC_EPM!$B353="","",CALC_EPM!I353)</f>
      </c>
      <c r="J364" t="str">
        <f>IF(CALC_EPM!$B353="","",CALC_EPM!J353)</f>
      </c>
      <c r="K364" t="str">
        <f>IF(CALC_EPM!$B353="","",CALC_EPM!K353)</f>
      </c>
      <c r="L364">
        <f>IF(CALC_EPM!$B353="","",CALC_EPM!L353)</f>
      </c>
      <c r="M364">
        <f>IF(CALC_EPM!$B353="","",CALC_EPM!M353)</f>
      </c>
      <c r="N364">
        <f>IF(CALC_EPM!$B353="","",CALC_EPM!N353)</f>
      </c>
      <c r="O364">
        <f>IF(CALC_EPM!$B353="","",CALC_EPM!O353)</f>
      </c>
      <c r="P364">
        <f>IF(CALC_EPM!$B353="","",CALC_EPM!P353)</f>
      </c>
      <c r="Q364">
        <f>IF(CALC_EPM!$B353="","",CALC_EPM!Q353)</f>
      </c>
      <c r="R364">
        <f>IF(CALC_EPM!$B353="","",CALC_EPM!R353)</f>
      </c>
      <c r="S364">
        <f>IF(CALC_EPM!$B353="","",CALC_EPM!S353)</f>
      </c>
      <c r="T364">
        <f>IF(CALC_EPM!$B353="","",CALC_EPM!T353)</f>
      </c>
      <c r="U364">
        <f>IF(CALC_EPM!$B353="","",CALC_EPM!U353)</f>
      </c>
    </row>
    <row r="365">
      <c r="A365" t="str">
        <f>IF(CALC_EPM!$B354="","",IF(CALC_EPM!A354="GLOBAL",IF(CALC_EPM!C354="Total","GLOBAL",IF(CALC_EPM!C354="TotalEsp","GLOBAL_ESP",IF(CALC_EPM!C354="TotalNoEsp","GLOBAL_NOESP","GLOBAL_ASIG"))),IF(CALC_EPM!C354="Total","CURSO_TOTAL",IF(CALC_EPM!C354="TotalEsp","CURSO_ESP",IF(CALC_EPM!C354="TotalNoEsp","CURSO_NOESP","CURSO_ASIG")))))</f>
      </c>
      <c r="B365" t="str">
        <f>IF(CALC_EPM!$B354="","",CALC_EPM!A354)</f>
      </c>
      <c r="C365" t="str">
        <f>IF(CALC_EPM!$B354="","",CALC_EPM!B354)</f>
      </c>
      <c r="D365">
        <f>IF(CALC_EPM!$B354="","",CALC_EPM!D354)</f>
      </c>
      <c r="E365" s="10" t="str">
        <f>IF(CALC_EPM!$B354="","",CALC_EPM!E354)</f>
      </c>
      <c r="F365" s="10" t="str">
        <f>IF(CALC_EPM!$B354="","",CALC_EPM!F354)</f>
      </c>
      <c r="G365" t="str">
        <f>IF(CALC_EPM!$B354="","",CALC_EPM!G354)</f>
      </c>
      <c r="H365" s="11" t="str">
        <f>IF(CALC_EPM!$B354="","",CALC_EPM!H354)</f>
      </c>
      <c r="I365" s="11" t="str">
        <f>IF(CALC_EPM!$B354="","",CALC_EPM!I354)</f>
      </c>
      <c r="J365" t="str">
        <f>IF(CALC_EPM!$B354="","",CALC_EPM!J354)</f>
      </c>
      <c r="K365" t="str">
        <f>IF(CALC_EPM!$B354="","",CALC_EPM!K354)</f>
      </c>
      <c r="L365">
        <f>IF(CALC_EPM!$B354="","",CALC_EPM!L354)</f>
      </c>
      <c r="M365">
        <f>IF(CALC_EPM!$B354="","",CALC_EPM!M354)</f>
      </c>
      <c r="N365">
        <f>IF(CALC_EPM!$B354="","",CALC_EPM!N354)</f>
      </c>
      <c r="O365">
        <f>IF(CALC_EPM!$B354="","",CALC_EPM!O354)</f>
      </c>
      <c r="P365">
        <f>IF(CALC_EPM!$B354="","",CALC_EPM!P354)</f>
      </c>
      <c r="Q365">
        <f>IF(CALC_EPM!$B354="","",CALC_EPM!Q354)</f>
      </c>
      <c r="R365">
        <f>IF(CALC_EPM!$B354="","",CALC_EPM!R354)</f>
      </c>
      <c r="S365">
        <f>IF(CALC_EPM!$B354="","",CALC_EPM!S354)</f>
      </c>
      <c r="T365">
        <f>IF(CALC_EPM!$B354="","",CALC_EPM!T354)</f>
      </c>
      <c r="U365">
        <f>IF(CALC_EPM!$B354="","",CALC_EPM!U354)</f>
      </c>
    </row>
    <row r="366">
      <c r="A366" t="str">
        <f>IF(CALC_EPM!$B355="","",IF(CALC_EPM!A355="GLOBAL",IF(CALC_EPM!C355="Total","GLOBAL",IF(CALC_EPM!C355="TotalEsp","GLOBAL_ESP",IF(CALC_EPM!C355="TotalNoEsp","GLOBAL_NOESP","GLOBAL_ASIG"))),IF(CALC_EPM!C355="Total","CURSO_TOTAL",IF(CALC_EPM!C355="TotalEsp","CURSO_ESP",IF(CALC_EPM!C355="TotalNoEsp","CURSO_NOESP","CURSO_ASIG")))))</f>
      </c>
      <c r="B366" t="str">
        <f>IF(CALC_EPM!$B355="","",CALC_EPM!A355)</f>
      </c>
      <c r="C366" t="str">
        <f>IF(CALC_EPM!$B355="","",CALC_EPM!B355)</f>
      </c>
      <c r="D366">
        <f>IF(CALC_EPM!$B355="","",CALC_EPM!D355)</f>
      </c>
      <c r="E366" s="10" t="str">
        <f>IF(CALC_EPM!$B355="","",CALC_EPM!E355)</f>
      </c>
      <c r="F366" s="10" t="str">
        <f>IF(CALC_EPM!$B355="","",CALC_EPM!F355)</f>
      </c>
      <c r="G366" t="str">
        <f>IF(CALC_EPM!$B355="","",CALC_EPM!G355)</f>
      </c>
      <c r="H366" s="11" t="str">
        <f>IF(CALC_EPM!$B355="","",CALC_EPM!H355)</f>
      </c>
      <c r="I366" s="11" t="str">
        <f>IF(CALC_EPM!$B355="","",CALC_EPM!I355)</f>
      </c>
      <c r="J366" t="str">
        <f>IF(CALC_EPM!$B355="","",CALC_EPM!J355)</f>
      </c>
      <c r="K366" t="str">
        <f>IF(CALC_EPM!$B355="","",CALC_EPM!K355)</f>
      </c>
      <c r="L366">
        <f>IF(CALC_EPM!$B355="","",CALC_EPM!L355)</f>
      </c>
      <c r="M366">
        <f>IF(CALC_EPM!$B355="","",CALC_EPM!M355)</f>
      </c>
      <c r="N366">
        <f>IF(CALC_EPM!$B355="","",CALC_EPM!N355)</f>
      </c>
      <c r="O366">
        <f>IF(CALC_EPM!$B355="","",CALC_EPM!O355)</f>
      </c>
      <c r="P366">
        <f>IF(CALC_EPM!$B355="","",CALC_EPM!P355)</f>
      </c>
      <c r="Q366">
        <f>IF(CALC_EPM!$B355="","",CALC_EPM!Q355)</f>
      </c>
      <c r="R366">
        <f>IF(CALC_EPM!$B355="","",CALC_EPM!R355)</f>
      </c>
      <c r="S366">
        <f>IF(CALC_EPM!$B355="","",CALC_EPM!S355)</f>
      </c>
      <c r="T366">
        <f>IF(CALC_EPM!$B355="","",CALC_EPM!T355)</f>
      </c>
      <c r="U366">
        <f>IF(CALC_EPM!$B355="","",CALC_EPM!U355)</f>
      </c>
    </row>
    <row r="367">
      <c r="A367" t="str">
        <f>IF(CALC_EPM!$B356="","",IF(CALC_EPM!A356="GLOBAL",IF(CALC_EPM!C356="Total","GLOBAL",IF(CALC_EPM!C356="TotalEsp","GLOBAL_ESP",IF(CALC_EPM!C356="TotalNoEsp","GLOBAL_NOESP","GLOBAL_ASIG"))),IF(CALC_EPM!C356="Total","CURSO_TOTAL",IF(CALC_EPM!C356="TotalEsp","CURSO_ESP",IF(CALC_EPM!C356="TotalNoEsp","CURSO_NOESP","CURSO_ASIG")))))</f>
      </c>
      <c r="B367" t="str">
        <f>IF(CALC_EPM!$B356="","",CALC_EPM!A356)</f>
      </c>
      <c r="C367" t="str">
        <f>IF(CALC_EPM!$B356="","",CALC_EPM!B356)</f>
      </c>
      <c r="D367">
        <f>IF(CALC_EPM!$B356="","",CALC_EPM!D356)</f>
      </c>
      <c r="E367" s="10" t="str">
        <f>IF(CALC_EPM!$B356="","",CALC_EPM!E356)</f>
      </c>
      <c r="F367" s="10" t="str">
        <f>IF(CALC_EPM!$B356="","",CALC_EPM!F356)</f>
      </c>
      <c r="G367" t="str">
        <f>IF(CALC_EPM!$B356="","",CALC_EPM!G356)</f>
      </c>
      <c r="H367" s="11" t="str">
        <f>IF(CALC_EPM!$B356="","",CALC_EPM!H356)</f>
      </c>
      <c r="I367" s="11" t="str">
        <f>IF(CALC_EPM!$B356="","",CALC_EPM!I356)</f>
      </c>
      <c r="J367" t="str">
        <f>IF(CALC_EPM!$B356="","",CALC_EPM!J356)</f>
      </c>
      <c r="K367" t="str">
        <f>IF(CALC_EPM!$B356="","",CALC_EPM!K356)</f>
      </c>
      <c r="L367">
        <f>IF(CALC_EPM!$B356="","",CALC_EPM!L356)</f>
      </c>
      <c r="M367">
        <f>IF(CALC_EPM!$B356="","",CALC_EPM!M356)</f>
      </c>
      <c r="N367">
        <f>IF(CALC_EPM!$B356="","",CALC_EPM!N356)</f>
      </c>
      <c r="O367">
        <f>IF(CALC_EPM!$B356="","",CALC_EPM!O356)</f>
      </c>
      <c r="P367">
        <f>IF(CALC_EPM!$B356="","",CALC_EPM!P356)</f>
      </c>
      <c r="Q367">
        <f>IF(CALC_EPM!$B356="","",CALC_EPM!Q356)</f>
      </c>
      <c r="R367">
        <f>IF(CALC_EPM!$B356="","",CALC_EPM!R356)</f>
      </c>
      <c r="S367">
        <f>IF(CALC_EPM!$B356="","",CALC_EPM!S356)</f>
      </c>
      <c r="T367">
        <f>IF(CALC_EPM!$B356="","",CALC_EPM!T356)</f>
      </c>
      <c r="U367">
        <f>IF(CALC_EPM!$B356="","",CALC_EPM!U356)</f>
      </c>
    </row>
    <row r="368">
      <c r="A368" t="str">
        <f>IF(CALC_EPM!$B357="","",IF(CALC_EPM!A357="GLOBAL",IF(CALC_EPM!C357="Total","GLOBAL",IF(CALC_EPM!C357="TotalEsp","GLOBAL_ESP",IF(CALC_EPM!C357="TotalNoEsp","GLOBAL_NOESP","GLOBAL_ASIG"))),IF(CALC_EPM!C357="Total","CURSO_TOTAL",IF(CALC_EPM!C357="TotalEsp","CURSO_ESP",IF(CALC_EPM!C357="TotalNoEsp","CURSO_NOESP","CURSO_ASIG")))))</f>
      </c>
      <c r="B368" t="str">
        <f>IF(CALC_EPM!$B357="","",CALC_EPM!A357)</f>
      </c>
      <c r="C368" t="str">
        <f>IF(CALC_EPM!$B357="","",CALC_EPM!B357)</f>
      </c>
      <c r="D368">
        <f>IF(CALC_EPM!$B357="","",CALC_EPM!D357)</f>
      </c>
      <c r="E368" s="10" t="str">
        <f>IF(CALC_EPM!$B357="","",CALC_EPM!E357)</f>
      </c>
      <c r="F368" s="10" t="str">
        <f>IF(CALC_EPM!$B357="","",CALC_EPM!F357)</f>
      </c>
      <c r="G368" t="str">
        <f>IF(CALC_EPM!$B357="","",CALC_EPM!G357)</f>
      </c>
      <c r="H368" s="11" t="str">
        <f>IF(CALC_EPM!$B357="","",CALC_EPM!H357)</f>
      </c>
      <c r="I368" s="11" t="str">
        <f>IF(CALC_EPM!$B357="","",CALC_EPM!I357)</f>
      </c>
      <c r="J368" t="str">
        <f>IF(CALC_EPM!$B357="","",CALC_EPM!J357)</f>
      </c>
      <c r="K368" t="str">
        <f>IF(CALC_EPM!$B357="","",CALC_EPM!K357)</f>
      </c>
      <c r="L368">
        <f>IF(CALC_EPM!$B357="","",CALC_EPM!L357)</f>
      </c>
      <c r="M368">
        <f>IF(CALC_EPM!$B357="","",CALC_EPM!M357)</f>
      </c>
      <c r="N368">
        <f>IF(CALC_EPM!$B357="","",CALC_EPM!N357)</f>
      </c>
      <c r="O368">
        <f>IF(CALC_EPM!$B357="","",CALC_EPM!O357)</f>
      </c>
      <c r="P368">
        <f>IF(CALC_EPM!$B357="","",CALC_EPM!P357)</f>
      </c>
      <c r="Q368">
        <f>IF(CALC_EPM!$B357="","",CALC_EPM!Q357)</f>
      </c>
      <c r="R368">
        <f>IF(CALC_EPM!$B357="","",CALC_EPM!R357)</f>
      </c>
      <c r="S368">
        <f>IF(CALC_EPM!$B357="","",CALC_EPM!S357)</f>
      </c>
      <c r="T368">
        <f>IF(CALC_EPM!$B357="","",CALC_EPM!T357)</f>
      </c>
      <c r="U368">
        <f>IF(CALC_EPM!$B357="","",CALC_EPM!U357)</f>
      </c>
    </row>
    <row r="369">
      <c r="A369" t="str">
        <f>IF(CALC_EPM!$B358="","",IF(CALC_EPM!A358="GLOBAL",IF(CALC_EPM!C358="Total","GLOBAL",IF(CALC_EPM!C358="TotalEsp","GLOBAL_ESP",IF(CALC_EPM!C358="TotalNoEsp","GLOBAL_NOESP","GLOBAL_ASIG"))),IF(CALC_EPM!C358="Total","CURSO_TOTAL",IF(CALC_EPM!C358="TotalEsp","CURSO_ESP",IF(CALC_EPM!C358="TotalNoEsp","CURSO_NOESP","CURSO_ASIG")))))</f>
      </c>
      <c r="B369" t="str">
        <f>IF(CALC_EPM!$B358="","",CALC_EPM!A358)</f>
      </c>
      <c r="C369" t="str">
        <f>IF(CALC_EPM!$B358="","",CALC_EPM!B358)</f>
      </c>
      <c r="D369">
        <f>IF(CALC_EPM!$B358="","",CALC_EPM!D358)</f>
      </c>
      <c r="E369" s="10" t="str">
        <f>IF(CALC_EPM!$B358="","",CALC_EPM!E358)</f>
      </c>
      <c r="F369" s="10" t="str">
        <f>IF(CALC_EPM!$B358="","",CALC_EPM!F358)</f>
      </c>
      <c r="G369" t="str">
        <f>IF(CALC_EPM!$B358="","",CALC_EPM!G358)</f>
      </c>
      <c r="H369" s="11" t="str">
        <f>IF(CALC_EPM!$B358="","",CALC_EPM!H358)</f>
      </c>
      <c r="I369" s="11" t="str">
        <f>IF(CALC_EPM!$B358="","",CALC_EPM!I358)</f>
      </c>
      <c r="J369" t="str">
        <f>IF(CALC_EPM!$B358="","",CALC_EPM!J358)</f>
      </c>
      <c r="K369" t="str">
        <f>IF(CALC_EPM!$B358="","",CALC_EPM!K358)</f>
      </c>
      <c r="L369">
        <f>IF(CALC_EPM!$B358="","",CALC_EPM!L358)</f>
      </c>
      <c r="M369">
        <f>IF(CALC_EPM!$B358="","",CALC_EPM!M358)</f>
      </c>
      <c r="N369">
        <f>IF(CALC_EPM!$B358="","",CALC_EPM!N358)</f>
      </c>
      <c r="O369">
        <f>IF(CALC_EPM!$B358="","",CALC_EPM!O358)</f>
      </c>
      <c r="P369">
        <f>IF(CALC_EPM!$B358="","",CALC_EPM!P358)</f>
      </c>
      <c r="Q369">
        <f>IF(CALC_EPM!$B358="","",CALC_EPM!Q358)</f>
      </c>
      <c r="R369">
        <f>IF(CALC_EPM!$B358="","",CALC_EPM!R358)</f>
      </c>
      <c r="S369">
        <f>IF(CALC_EPM!$B358="","",CALC_EPM!S358)</f>
      </c>
      <c r="T369">
        <f>IF(CALC_EPM!$B358="","",CALC_EPM!T358)</f>
      </c>
      <c r="U369">
        <f>IF(CALC_EPM!$B358="","",CALC_EPM!U358)</f>
      </c>
    </row>
    <row r="370">
      <c r="A370" t="str">
        <f>IF(CALC_EPM!$B359="","",IF(CALC_EPM!A359="GLOBAL",IF(CALC_EPM!C359="Total","GLOBAL",IF(CALC_EPM!C359="TotalEsp","GLOBAL_ESP",IF(CALC_EPM!C359="TotalNoEsp","GLOBAL_NOESP","GLOBAL_ASIG"))),IF(CALC_EPM!C359="Total","CURSO_TOTAL",IF(CALC_EPM!C359="TotalEsp","CURSO_ESP",IF(CALC_EPM!C359="TotalNoEsp","CURSO_NOESP","CURSO_ASIG")))))</f>
      </c>
      <c r="B370" t="str">
        <f>IF(CALC_EPM!$B359="","",CALC_EPM!A359)</f>
      </c>
      <c r="C370" t="str">
        <f>IF(CALC_EPM!$B359="","",CALC_EPM!B359)</f>
      </c>
      <c r="D370">
        <f>IF(CALC_EPM!$B359="","",CALC_EPM!D359)</f>
      </c>
      <c r="E370" s="10" t="str">
        <f>IF(CALC_EPM!$B359="","",CALC_EPM!E359)</f>
      </c>
      <c r="F370" s="10" t="str">
        <f>IF(CALC_EPM!$B359="","",CALC_EPM!F359)</f>
      </c>
      <c r="G370" t="str">
        <f>IF(CALC_EPM!$B359="","",CALC_EPM!G359)</f>
      </c>
      <c r="H370" s="11" t="str">
        <f>IF(CALC_EPM!$B359="","",CALC_EPM!H359)</f>
      </c>
      <c r="I370" s="11" t="str">
        <f>IF(CALC_EPM!$B359="","",CALC_EPM!I359)</f>
      </c>
      <c r="J370" t="str">
        <f>IF(CALC_EPM!$B359="","",CALC_EPM!J359)</f>
      </c>
      <c r="K370" t="str">
        <f>IF(CALC_EPM!$B359="","",CALC_EPM!K359)</f>
      </c>
      <c r="L370">
        <f>IF(CALC_EPM!$B359="","",CALC_EPM!L359)</f>
      </c>
      <c r="M370">
        <f>IF(CALC_EPM!$B359="","",CALC_EPM!M359)</f>
      </c>
      <c r="N370">
        <f>IF(CALC_EPM!$B359="","",CALC_EPM!N359)</f>
      </c>
      <c r="O370">
        <f>IF(CALC_EPM!$B359="","",CALC_EPM!O359)</f>
      </c>
      <c r="P370">
        <f>IF(CALC_EPM!$B359="","",CALC_EPM!P359)</f>
      </c>
      <c r="Q370">
        <f>IF(CALC_EPM!$B359="","",CALC_EPM!Q359)</f>
      </c>
      <c r="R370">
        <f>IF(CALC_EPM!$B359="","",CALC_EPM!R359)</f>
      </c>
      <c r="S370">
        <f>IF(CALC_EPM!$B359="","",CALC_EPM!S359)</f>
      </c>
      <c r="T370">
        <f>IF(CALC_EPM!$B359="","",CALC_EPM!T359)</f>
      </c>
      <c r="U370">
        <f>IF(CALC_EPM!$B359="","",CALC_EPM!U359)</f>
      </c>
    </row>
    <row r="371">
      <c r="A371" t="str">
        <f>IF(CALC_EPM!$B360="","",IF(CALC_EPM!A360="GLOBAL",IF(CALC_EPM!C360="Total","GLOBAL",IF(CALC_EPM!C360="TotalEsp","GLOBAL_ESP",IF(CALC_EPM!C360="TotalNoEsp","GLOBAL_NOESP","GLOBAL_ASIG"))),IF(CALC_EPM!C360="Total","CURSO_TOTAL",IF(CALC_EPM!C360="TotalEsp","CURSO_ESP",IF(CALC_EPM!C360="TotalNoEsp","CURSO_NOESP","CURSO_ASIG")))))</f>
      </c>
      <c r="B371" t="str">
        <f>IF(CALC_EPM!$B360="","",CALC_EPM!A360)</f>
      </c>
      <c r="C371" t="str">
        <f>IF(CALC_EPM!$B360="","",CALC_EPM!B360)</f>
      </c>
      <c r="D371">
        <f>IF(CALC_EPM!$B360="","",CALC_EPM!D360)</f>
      </c>
      <c r="E371" s="10" t="str">
        <f>IF(CALC_EPM!$B360="","",CALC_EPM!E360)</f>
      </c>
      <c r="F371" s="10" t="str">
        <f>IF(CALC_EPM!$B360="","",CALC_EPM!F360)</f>
      </c>
      <c r="G371" t="str">
        <f>IF(CALC_EPM!$B360="","",CALC_EPM!G360)</f>
      </c>
      <c r="H371" s="11" t="str">
        <f>IF(CALC_EPM!$B360="","",CALC_EPM!H360)</f>
      </c>
      <c r="I371" s="11" t="str">
        <f>IF(CALC_EPM!$B360="","",CALC_EPM!I360)</f>
      </c>
      <c r="J371" t="str">
        <f>IF(CALC_EPM!$B360="","",CALC_EPM!J360)</f>
      </c>
      <c r="K371" t="str">
        <f>IF(CALC_EPM!$B360="","",CALC_EPM!K360)</f>
      </c>
      <c r="L371">
        <f>IF(CALC_EPM!$B360="","",CALC_EPM!L360)</f>
      </c>
      <c r="M371">
        <f>IF(CALC_EPM!$B360="","",CALC_EPM!M360)</f>
      </c>
      <c r="N371">
        <f>IF(CALC_EPM!$B360="","",CALC_EPM!N360)</f>
      </c>
      <c r="O371">
        <f>IF(CALC_EPM!$B360="","",CALC_EPM!O360)</f>
      </c>
      <c r="P371">
        <f>IF(CALC_EPM!$B360="","",CALC_EPM!P360)</f>
      </c>
      <c r="Q371">
        <f>IF(CALC_EPM!$B360="","",CALC_EPM!Q360)</f>
      </c>
      <c r="R371">
        <f>IF(CALC_EPM!$B360="","",CALC_EPM!R360)</f>
      </c>
      <c r="S371">
        <f>IF(CALC_EPM!$B360="","",CALC_EPM!S360)</f>
      </c>
      <c r="T371">
        <f>IF(CALC_EPM!$B360="","",CALC_EPM!T360)</f>
      </c>
      <c r="U371">
        <f>IF(CALC_EPM!$B360="","",CALC_EPM!U360)</f>
      </c>
    </row>
    <row r="372">
      <c r="A372" t="str">
        <f>IF(CALC_EPM!$B361="","",IF(CALC_EPM!A361="GLOBAL",IF(CALC_EPM!C361="Total","GLOBAL",IF(CALC_EPM!C361="TotalEsp","GLOBAL_ESP",IF(CALC_EPM!C361="TotalNoEsp","GLOBAL_NOESP","GLOBAL_ASIG"))),IF(CALC_EPM!C361="Total","CURSO_TOTAL",IF(CALC_EPM!C361="TotalEsp","CURSO_ESP",IF(CALC_EPM!C361="TotalNoEsp","CURSO_NOESP","CURSO_ASIG")))))</f>
      </c>
      <c r="B372" t="str">
        <f>IF(CALC_EPM!$B361="","",CALC_EPM!A361)</f>
      </c>
      <c r="C372" t="str">
        <f>IF(CALC_EPM!$B361="","",CALC_EPM!B361)</f>
      </c>
      <c r="D372">
        <f>IF(CALC_EPM!$B361="","",CALC_EPM!D361)</f>
      </c>
      <c r="E372" s="10" t="str">
        <f>IF(CALC_EPM!$B361="","",CALC_EPM!E361)</f>
      </c>
      <c r="F372" s="10" t="str">
        <f>IF(CALC_EPM!$B361="","",CALC_EPM!F361)</f>
      </c>
      <c r="G372" t="str">
        <f>IF(CALC_EPM!$B361="","",CALC_EPM!G361)</f>
      </c>
      <c r="H372" s="11" t="str">
        <f>IF(CALC_EPM!$B361="","",CALC_EPM!H361)</f>
      </c>
      <c r="I372" s="11" t="str">
        <f>IF(CALC_EPM!$B361="","",CALC_EPM!I361)</f>
      </c>
      <c r="J372" t="str">
        <f>IF(CALC_EPM!$B361="","",CALC_EPM!J361)</f>
      </c>
      <c r="K372" t="str">
        <f>IF(CALC_EPM!$B361="","",CALC_EPM!K361)</f>
      </c>
      <c r="L372">
        <f>IF(CALC_EPM!$B361="","",CALC_EPM!L361)</f>
      </c>
      <c r="M372">
        <f>IF(CALC_EPM!$B361="","",CALC_EPM!M361)</f>
      </c>
      <c r="N372">
        <f>IF(CALC_EPM!$B361="","",CALC_EPM!N361)</f>
      </c>
      <c r="O372">
        <f>IF(CALC_EPM!$B361="","",CALC_EPM!O361)</f>
      </c>
      <c r="P372">
        <f>IF(CALC_EPM!$B361="","",CALC_EPM!P361)</f>
      </c>
      <c r="Q372">
        <f>IF(CALC_EPM!$B361="","",CALC_EPM!Q361)</f>
      </c>
      <c r="R372">
        <f>IF(CALC_EPM!$B361="","",CALC_EPM!R361)</f>
      </c>
      <c r="S372">
        <f>IF(CALC_EPM!$B361="","",CALC_EPM!S361)</f>
      </c>
      <c r="T372">
        <f>IF(CALC_EPM!$B361="","",CALC_EPM!T361)</f>
      </c>
      <c r="U372">
        <f>IF(CALC_EPM!$B361="","",CALC_EPM!U361)</f>
      </c>
    </row>
    <row r="373">
      <c r="A373" t="str">
        <f>IF(CALC_EPM!$B362="","",IF(CALC_EPM!A362="GLOBAL",IF(CALC_EPM!C362="Total","GLOBAL",IF(CALC_EPM!C362="TotalEsp","GLOBAL_ESP",IF(CALC_EPM!C362="TotalNoEsp","GLOBAL_NOESP","GLOBAL_ASIG"))),IF(CALC_EPM!C362="Total","CURSO_TOTAL",IF(CALC_EPM!C362="TotalEsp","CURSO_ESP",IF(CALC_EPM!C362="TotalNoEsp","CURSO_NOESP","CURSO_ASIG")))))</f>
      </c>
      <c r="B373" t="str">
        <f>IF(CALC_EPM!$B362="","",CALC_EPM!A362)</f>
      </c>
      <c r="C373" t="str">
        <f>IF(CALC_EPM!$B362="","",CALC_EPM!B362)</f>
      </c>
      <c r="D373">
        <f>IF(CALC_EPM!$B362="","",CALC_EPM!D362)</f>
      </c>
      <c r="E373" s="10" t="str">
        <f>IF(CALC_EPM!$B362="","",CALC_EPM!E362)</f>
      </c>
      <c r="F373" s="10" t="str">
        <f>IF(CALC_EPM!$B362="","",CALC_EPM!F362)</f>
      </c>
      <c r="G373" t="str">
        <f>IF(CALC_EPM!$B362="","",CALC_EPM!G362)</f>
      </c>
      <c r="H373" s="11" t="str">
        <f>IF(CALC_EPM!$B362="","",CALC_EPM!H362)</f>
      </c>
      <c r="I373" s="11" t="str">
        <f>IF(CALC_EPM!$B362="","",CALC_EPM!I362)</f>
      </c>
      <c r="J373" t="str">
        <f>IF(CALC_EPM!$B362="","",CALC_EPM!J362)</f>
      </c>
      <c r="K373" t="str">
        <f>IF(CALC_EPM!$B362="","",CALC_EPM!K362)</f>
      </c>
      <c r="L373">
        <f>IF(CALC_EPM!$B362="","",CALC_EPM!L362)</f>
      </c>
      <c r="M373">
        <f>IF(CALC_EPM!$B362="","",CALC_EPM!M362)</f>
      </c>
      <c r="N373">
        <f>IF(CALC_EPM!$B362="","",CALC_EPM!N362)</f>
      </c>
      <c r="O373">
        <f>IF(CALC_EPM!$B362="","",CALC_EPM!O362)</f>
      </c>
      <c r="P373">
        <f>IF(CALC_EPM!$B362="","",CALC_EPM!P362)</f>
      </c>
      <c r="Q373">
        <f>IF(CALC_EPM!$B362="","",CALC_EPM!Q362)</f>
      </c>
      <c r="R373">
        <f>IF(CALC_EPM!$B362="","",CALC_EPM!R362)</f>
      </c>
      <c r="S373">
        <f>IF(CALC_EPM!$B362="","",CALC_EPM!S362)</f>
      </c>
      <c r="T373">
        <f>IF(CALC_EPM!$B362="","",CALC_EPM!T362)</f>
      </c>
      <c r="U373">
        <f>IF(CALC_EPM!$B362="","",CALC_EPM!U362)</f>
      </c>
    </row>
    <row r="374">
      <c r="A374" t="str">
        <f>IF(CALC_EPM!$B363="","",IF(CALC_EPM!A363="GLOBAL",IF(CALC_EPM!C363="Total","GLOBAL",IF(CALC_EPM!C363="TotalEsp","GLOBAL_ESP",IF(CALC_EPM!C363="TotalNoEsp","GLOBAL_NOESP","GLOBAL_ASIG"))),IF(CALC_EPM!C363="Total","CURSO_TOTAL",IF(CALC_EPM!C363="TotalEsp","CURSO_ESP",IF(CALC_EPM!C363="TotalNoEsp","CURSO_NOESP","CURSO_ASIG")))))</f>
      </c>
      <c r="B374" t="str">
        <f>IF(CALC_EPM!$B363="","",CALC_EPM!A363)</f>
      </c>
      <c r="C374" t="str">
        <f>IF(CALC_EPM!$B363="","",CALC_EPM!B363)</f>
      </c>
      <c r="D374">
        <f>IF(CALC_EPM!$B363="","",CALC_EPM!D363)</f>
      </c>
      <c r="E374" s="10" t="str">
        <f>IF(CALC_EPM!$B363="","",CALC_EPM!E363)</f>
      </c>
      <c r="F374" s="10" t="str">
        <f>IF(CALC_EPM!$B363="","",CALC_EPM!F363)</f>
      </c>
      <c r="G374" t="str">
        <f>IF(CALC_EPM!$B363="","",CALC_EPM!G363)</f>
      </c>
      <c r="H374" s="11" t="str">
        <f>IF(CALC_EPM!$B363="","",CALC_EPM!H363)</f>
      </c>
      <c r="I374" s="11" t="str">
        <f>IF(CALC_EPM!$B363="","",CALC_EPM!I363)</f>
      </c>
      <c r="J374" t="str">
        <f>IF(CALC_EPM!$B363="","",CALC_EPM!J363)</f>
      </c>
      <c r="K374" t="str">
        <f>IF(CALC_EPM!$B363="","",CALC_EPM!K363)</f>
      </c>
      <c r="L374">
        <f>IF(CALC_EPM!$B363="","",CALC_EPM!L363)</f>
      </c>
      <c r="M374">
        <f>IF(CALC_EPM!$B363="","",CALC_EPM!M363)</f>
      </c>
      <c r="N374">
        <f>IF(CALC_EPM!$B363="","",CALC_EPM!N363)</f>
      </c>
      <c r="O374">
        <f>IF(CALC_EPM!$B363="","",CALC_EPM!O363)</f>
      </c>
      <c r="P374">
        <f>IF(CALC_EPM!$B363="","",CALC_EPM!P363)</f>
      </c>
      <c r="Q374">
        <f>IF(CALC_EPM!$B363="","",CALC_EPM!Q363)</f>
      </c>
      <c r="R374">
        <f>IF(CALC_EPM!$B363="","",CALC_EPM!R363)</f>
      </c>
      <c r="S374">
        <f>IF(CALC_EPM!$B363="","",CALC_EPM!S363)</f>
      </c>
      <c r="T374">
        <f>IF(CALC_EPM!$B363="","",CALC_EPM!T363)</f>
      </c>
      <c r="U374">
        <f>IF(CALC_EPM!$B363="","",CALC_EPM!U363)</f>
      </c>
    </row>
    <row r="375">
      <c r="A375" t="str">
        <f>IF(CALC_EPM!$B364="","",IF(CALC_EPM!A364="GLOBAL",IF(CALC_EPM!C364="Total","GLOBAL",IF(CALC_EPM!C364="TotalEsp","GLOBAL_ESP",IF(CALC_EPM!C364="TotalNoEsp","GLOBAL_NOESP","GLOBAL_ASIG"))),IF(CALC_EPM!C364="Total","CURSO_TOTAL",IF(CALC_EPM!C364="TotalEsp","CURSO_ESP",IF(CALC_EPM!C364="TotalNoEsp","CURSO_NOESP","CURSO_ASIG")))))</f>
      </c>
      <c r="B375" t="str">
        <f>IF(CALC_EPM!$B364="","",CALC_EPM!A364)</f>
      </c>
      <c r="C375" t="str">
        <f>IF(CALC_EPM!$B364="","",CALC_EPM!B364)</f>
      </c>
      <c r="D375">
        <f>IF(CALC_EPM!$B364="","",CALC_EPM!D364)</f>
      </c>
      <c r="E375" s="10" t="str">
        <f>IF(CALC_EPM!$B364="","",CALC_EPM!E364)</f>
      </c>
      <c r="F375" s="10" t="str">
        <f>IF(CALC_EPM!$B364="","",CALC_EPM!F364)</f>
      </c>
      <c r="G375" t="str">
        <f>IF(CALC_EPM!$B364="","",CALC_EPM!G364)</f>
      </c>
      <c r="H375" s="11" t="str">
        <f>IF(CALC_EPM!$B364="","",CALC_EPM!H364)</f>
      </c>
      <c r="I375" s="11" t="str">
        <f>IF(CALC_EPM!$B364="","",CALC_EPM!I364)</f>
      </c>
      <c r="J375" t="str">
        <f>IF(CALC_EPM!$B364="","",CALC_EPM!J364)</f>
      </c>
      <c r="K375" t="str">
        <f>IF(CALC_EPM!$B364="","",CALC_EPM!K364)</f>
      </c>
      <c r="L375">
        <f>IF(CALC_EPM!$B364="","",CALC_EPM!L364)</f>
      </c>
      <c r="M375">
        <f>IF(CALC_EPM!$B364="","",CALC_EPM!M364)</f>
      </c>
      <c r="N375">
        <f>IF(CALC_EPM!$B364="","",CALC_EPM!N364)</f>
      </c>
      <c r="O375">
        <f>IF(CALC_EPM!$B364="","",CALC_EPM!O364)</f>
      </c>
      <c r="P375">
        <f>IF(CALC_EPM!$B364="","",CALC_EPM!P364)</f>
      </c>
      <c r="Q375">
        <f>IF(CALC_EPM!$B364="","",CALC_EPM!Q364)</f>
      </c>
      <c r="R375">
        <f>IF(CALC_EPM!$B364="","",CALC_EPM!R364)</f>
      </c>
      <c r="S375">
        <f>IF(CALC_EPM!$B364="","",CALC_EPM!S364)</f>
      </c>
      <c r="T375">
        <f>IF(CALC_EPM!$B364="","",CALC_EPM!T364)</f>
      </c>
      <c r="U375">
        <f>IF(CALC_EPM!$B364="","",CALC_EPM!U364)</f>
      </c>
    </row>
    <row r="376">
      <c r="A376" t="str">
        <f>IF(CALC_EPM!$B365="","",IF(CALC_EPM!A365="GLOBAL",IF(CALC_EPM!C365="Total","GLOBAL",IF(CALC_EPM!C365="TotalEsp","GLOBAL_ESP",IF(CALC_EPM!C365="TotalNoEsp","GLOBAL_NOESP","GLOBAL_ASIG"))),IF(CALC_EPM!C365="Total","CURSO_TOTAL",IF(CALC_EPM!C365="TotalEsp","CURSO_ESP",IF(CALC_EPM!C365="TotalNoEsp","CURSO_NOESP","CURSO_ASIG")))))</f>
      </c>
      <c r="B376" t="str">
        <f>IF(CALC_EPM!$B365="","",CALC_EPM!A365)</f>
      </c>
      <c r="C376" t="str">
        <f>IF(CALC_EPM!$B365="","",CALC_EPM!B365)</f>
      </c>
      <c r="D376">
        <f>IF(CALC_EPM!$B365="","",CALC_EPM!D365)</f>
      </c>
      <c r="E376" s="10" t="str">
        <f>IF(CALC_EPM!$B365="","",CALC_EPM!E365)</f>
      </c>
      <c r="F376" s="10" t="str">
        <f>IF(CALC_EPM!$B365="","",CALC_EPM!F365)</f>
      </c>
      <c r="G376" t="str">
        <f>IF(CALC_EPM!$B365="","",CALC_EPM!G365)</f>
      </c>
      <c r="H376" s="11" t="str">
        <f>IF(CALC_EPM!$B365="","",CALC_EPM!H365)</f>
      </c>
      <c r="I376" s="11" t="str">
        <f>IF(CALC_EPM!$B365="","",CALC_EPM!I365)</f>
      </c>
      <c r="J376" t="str">
        <f>IF(CALC_EPM!$B365="","",CALC_EPM!J365)</f>
      </c>
      <c r="K376" t="str">
        <f>IF(CALC_EPM!$B365="","",CALC_EPM!K365)</f>
      </c>
      <c r="L376">
        <f>IF(CALC_EPM!$B365="","",CALC_EPM!L365)</f>
      </c>
      <c r="M376">
        <f>IF(CALC_EPM!$B365="","",CALC_EPM!M365)</f>
      </c>
      <c r="N376">
        <f>IF(CALC_EPM!$B365="","",CALC_EPM!N365)</f>
      </c>
      <c r="O376">
        <f>IF(CALC_EPM!$B365="","",CALC_EPM!O365)</f>
      </c>
      <c r="P376">
        <f>IF(CALC_EPM!$B365="","",CALC_EPM!P365)</f>
      </c>
      <c r="Q376">
        <f>IF(CALC_EPM!$B365="","",CALC_EPM!Q365)</f>
      </c>
      <c r="R376">
        <f>IF(CALC_EPM!$B365="","",CALC_EPM!R365)</f>
      </c>
      <c r="S376">
        <f>IF(CALC_EPM!$B365="","",CALC_EPM!S365)</f>
      </c>
      <c r="T376">
        <f>IF(CALC_EPM!$B365="","",CALC_EPM!T365)</f>
      </c>
      <c r="U376">
        <f>IF(CALC_EPM!$B365="","",CALC_EPM!U365)</f>
      </c>
    </row>
    <row r="377">
      <c r="A377" t="str">
        <f>IF(CALC_EPM!$B366="","",IF(CALC_EPM!A366="GLOBAL",IF(CALC_EPM!C366="Total","GLOBAL",IF(CALC_EPM!C366="TotalEsp","GLOBAL_ESP",IF(CALC_EPM!C366="TotalNoEsp","GLOBAL_NOESP","GLOBAL_ASIG"))),IF(CALC_EPM!C366="Total","CURSO_TOTAL",IF(CALC_EPM!C366="TotalEsp","CURSO_ESP",IF(CALC_EPM!C366="TotalNoEsp","CURSO_NOESP","CURSO_ASIG")))))</f>
      </c>
      <c r="B377" t="str">
        <f>IF(CALC_EPM!$B366="","",CALC_EPM!A366)</f>
      </c>
      <c r="C377" t="str">
        <f>IF(CALC_EPM!$B366="","",CALC_EPM!B366)</f>
      </c>
      <c r="D377">
        <f>IF(CALC_EPM!$B366="","",CALC_EPM!D366)</f>
      </c>
      <c r="E377" s="10" t="str">
        <f>IF(CALC_EPM!$B366="","",CALC_EPM!E366)</f>
      </c>
      <c r="F377" s="10" t="str">
        <f>IF(CALC_EPM!$B366="","",CALC_EPM!F366)</f>
      </c>
      <c r="G377" t="str">
        <f>IF(CALC_EPM!$B366="","",CALC_EPM!G366)</f>
      </c>
      <c r="H377" s="11" t="str">
        <f>IF(CALC_EPM!$B366="","",CALC_EPM!H366)</f>
      </c>
      <c r="I377" s="11" t="str">
        <f>IF(CALC_EPM!$B366="","",CALC_EPM!I366)</f>
      </c>
      <c r="J377" t="str">
        <f>IF(CALC_EPM!$B366="","",CALC_EPM!J366)</f>
      </c>
      <c r="K377" t="str">
        <f>IF(CALC_EPM!$B366="","",CALC_EPM!K366)</f>
      </c>
      <c r="L377">
        <f>IF(CALC_EPM!$B366="","",CALC_EPM!L366)</f>
      </c>
      <c r="M377">
        <f>IF(CALC_EPM!$B366="","",CALC_EPM!M366)</f>
      </c>
      <c r="N377">
        <f>IF(CALC_EPM!$B366="","",CALC_EPM!N366)</f>
      </c>
      <c r="O377">
        <f>IF(CALC_EPM!$B366="","",CALC_EPM!O366)</f>
      </c>
      <c r="P377">
        <f>IF(CALC_EPM!$B366="","",CALC_EPM!P366)</f>
      </c>
      <c r="Q377">
        <f>IF(CALC_EPM!$B366="","",CALC_EPM!Q366)</f>
      </c>
      <c r="R377">
        <f>IF(CALC_EPM!$B366="","",CALC_EPM!R366)</f>
      </c>
      <c r="S377">
        <f>IF(CALC_EPM!$B366="","",CALC_EPM!S366)</f>
      </c>
      <c r="T377">
        <f>IF(CALC_EPM!$B366="","",CALC_EPM!T366)</f>
      </c>
      <c r="U377">
        <f>IF(CALC_EPM!$B366="","",CALC_EPM!U366)</f>
      </c>
    </row>
    <row r="378">
      <c r="A378" t="str">
        <f>IF(CALC_EPM!$B367="","",IF(CALC_EPM!A367="GLOBAL",IF(CALC_EPM!C367="Total","GLOBAL",IF(CALC_EPM!C367="TotalEsp","GLOBAL_ESP",IF(CALC_EPM!C367="TotalNoEsp","GLOBAL_NOESP","GLOBAL_ASIG"))),IF(CALC_EPM!C367="Total","CURSO_TOTAL",IF(CALC_EPM!C367="TotalEsp","CURSO_ESP",IF(CALC_EPM!C367="TotalNoEsp","CURSO_NOESP","CURSO_ASIG")))))</f>
      </c>
      <c r="B378" t="str">
        <f>IF(CALC_EPM!$B367="","",CALC_EPM!A367)</f>
      </c>
      <c r="C378" t="str">
        <f>IF(CALC_EPM!$B367="","",CALC_EPM!B367)</f>
      </c>
      <c r="D378">
        <f>IF(CALC_EPM!$B367="","",CALC_EPM!D367)</f>
      </c>
      <c r="E378" s="10" t="str">
        <f>IF(CALC_EPM!$B367="","",CALC_EPM!E367)</f>
      </c>
      <c r="F378" s="10" t="str">
        <f>IF(CALC_EPM!$B367="","",CALC_EPM!F367)</f>
      </c>
      <c r="G378" t="str">
        <f>IF(CALC_EPM!$B367="","",CALC_EPM!G367)</f>
      </c>
      <c r="H378" s="11" t="str">
        <f>IF(CALC_EPM!$B367="","",CALC_EPM!H367)</f>
      </c>
      <c r="I378" s="11" t="str">
        <f>IF(CALC_EPM!$B367="","",CALC_EPM!I367)</f>
      </c>
      <c r="J378" t="str">
        <f>IF(CALC_EPM!$B367="","",CALC_EPM!J367)</f>
      </c>
      <c r="K378" t="str">
        <f>IF(CALC_EPM!$B367="","",CALC_EPM!K367)</f>
      </c>
      <c r="L378">
        <f>IF(CALC_EPM!$B367="","",CALC_EPM!L367)</f>
      </c>
      <c r="M378">
        <f>IF(CALC_EPM!$B367="","",CALC_EPM!M367)</f>
      </c>
      <c r="N378">
        <f>IF(CALC_EPM!$B367="","",CALC_EPM!N367)</f>
      </c>
      <c r="O378">
        <f>IF(CALC_EPM!$B367="","",CALC_EPM!O367)</f>
      </c>
      <c r="P378">
        <f>IF(CALC_EPM!$B367="","",CALC_EPM!P367)</f>
      </c>
      <c r="Q378">
        <f>IF(CALC_EPM!$B367="","",CALC_EPM!Q367)</f>
      </c>
      <c r="R378">
        <f>IF(CALC_EPM!$B367="","",CALC_EPM!R367)</f>
      </c>
      <c r="S378">
        <f>IF(CALC_EPM!$B367="","",CALC_EPM!S367)</f>
      </c>
      <c r="T378">
        <f>IF(CALC_EPM!$B367="","",CALC_EPM!T367)</f>
      </c>
      <c r="U378">
        <f>IF(CALC_EPM!$B367="","",CALC_EPM!U367)</f>
      </c>
    </row>
    <row r="379">
      <c r="A379" t="str">
        <f>IF(CALC_EPM!$B368="","",IF(CALC_EPM!A368="GLOBAL",IF(CALC_EPM!C368="Total","GLOBAL",IF(CALC_EPM!C368="TotalEsp","GLOBAL_ESP",IF(CALC_EPM!C368="TotalNoEsp","GLOBAL_NOESP","GLOBAL_ASIG"))),IF(CALC_EPM!C368="Total","CURSO_TOTAL",IF(CALC_EPM!C368="TotalEsp","CURSO_ESP",IF(CALC_EPM!C368="TotalNoEsp","CURSO_NOESP","CURSO_ASIG")))))</f>
      </c>
      <c r="B379" t="str">
        <f>IF(CALC_EPM!$B368="","",CALC_EPM!A368)</f>
      </c>
      <c r="C379" t="str">
        <f>IF(CALC_EPM!$B368="","",CALC_EPM!B368)</f>
      </c>
      <c r="D379">
        <f>IF(CALC_EPM!$B368="","",CALC_EPM!D368)</f>
      </c>
      <c r="E379" s="10" t="str">
        <f>IF(CALC_EPM!$B368="","",CALC_EPM!E368)</f>
      </c>
      <c r="F379" s="10" t="str">
        <f>IF(CALC_EPM!$B368="","",CALC_EPM!F368)</f>
      </c>
      <c r="G379" t="str">
        <f>IF(CALC_EPM!$B368="","",CALC_EPM!G368)</f>
      </c>
      <c r="H379" s="11" t="str">
        <f>IF(CALC_EPM!$B368="","",CALC_EPM!H368)</f>
      </c>
      <c r="I379" s="11" t="str">
        <f>IF(CALC_EPM!$B368="","",CALC_EPM!I368)</f>
      </c>
      <c r="J379" t="str">
        <f>IF(CALC_EPM!$B368="","",CALC_EPM!J368)</f>
      </c>
      <c r="K379" t="str">
        <f>IF(CALC_EPM!$B368="","",CALC_EPM!K368)</f>
      </c>
      <c r="L379">
        <f>IF(CALC_EPM!$B368="","",CALC_EPM!L368)</f>
      </c>
      <c r="M379">
        <f>IF(CALC_EPM!$B368="","",CALC_EPM!M368)</f>
      </c>
      <c r="N379">
        <f>IF(CALC_EPM!$B368="","",CALC_EPM!N368)</f>
      </c>
      <c r="O379">
        <f>IF(CALC_EPM!$B368="","",CALC_EPM!O368)</f>
      </c>
      <c r="P379">
        <f>IF(CALC_EPM!$B368="","",CALC_EPM!P368)</f>
      </c>
      <c r="Q379">
        <f>IF(CALC_EPM!$B368="","",CALC_EPM!Q368)</f>
      </c>
      <c r="R379">
        <f>IF(CALC_EPM!$B368="","",CALC_EPM!R368)</f>
      </c>
      <c r="S379">
        <f>IF(CALC_EPM!$B368="","",CALC_EPM!S368)</f>
      </c>
      <c r="T379">
        <f>IF(CALC_EPM!$B368="","",CALC_EPM!T368)</f>
      </c>
      <c r="U379">
        <f>IF(CALC_EPM!$B368="","",CALC_EPM!U368)</f>
      </c>
    </row>
    <row r="380">
      <c r="A380" t="str">
        <f>IF(CALC_EPM!$B369="","",IF(CALC_EPM!A369="GLOBAL",IF(CALC_EPM!C369="Total","GLOBAL",IF(CALC_EPM!C369="TotalEsp","GLOBAL_ESP",IF(CALC_EPM!C369="TotalNoEsp","GLOBAL_NOESP","GLOBAL_ASIG"))),IF(CALC_EPM!C369="Total","CURSO_TOTAL",IF(CALC_EPM!C369="TotalEsp","CURSO_ESP",IF(CALC_EPM!C369="TotalNoEsp","CURSO_NOESP","CURSO_ASIG")))))</f>
      </c>
      <c r="B380" t="str">
        <f>IF(CALC_EPM!$B369="","",CALC_EPM!A369)</f>
      </c>
      <c r="C380" t="str">
        <f>IF(CALC_EPM!$B369="","",CALC_EPM!B369)</f>
      </c>
      <c r="D380">
        <f>IF(CALC_EPM!$B369="","",CALC_EPM!D369)</f>
      </c>
      <c r="E380" s="10" t="str">
        <f>IF(CALC_EPM!$B369="","",CALC_EPM!E369)</f>
      </c>
      <c r="F380" s="10" t="str">
        <f>IF(CALC_EPM!$B369="","",CALC_EPM!F369)</f>
      </c>
      <c r="G380" t="str">
        <f>IF(CALC_EPM!$B369="","",CALC_EPM!G369)</f>
      </c>
      <c r="H380" s="11" t="str">
        <f>IF(CALC_EPM!$B369="","",CALC_EPM!H369)</f>
      </c>
      <c r="I380" s="11" t="str">
        <f>IF(CALC_EPM!$B369="","",CALC_EPM!I369)</f>
      </c>
      <c r="J380" t="str">
        <f>IF(CALC_EPM!$B369="","",CALC_EPM!J369)</f>
      </c>
      <c r="K380" t="str">
        <f>IF(CALC_EPM!$B369="","",CALC_EPM!K369)</f>
      </c>
      <c r="L380">
        <f>IF(CALC_EPM!$B369="","",CALC_EPM!L369)</f>
      </c>
      <c r="M380">
        <f>IF(CALC_EPM!$B369="","",CALC_EPM!M369)</f>
      </c>
      <c r="N380">
        <f>IF(CALC_EPM!$B369="","",CALC_EPM!N369)</f>
      </c>
      <c r="O380">
        <f>IF(CALC_EPM!$B369="","",CALC_EPM!O369)</f>
      </c>
      <c r="P380">
        <f>IF(CALC_EPM!$B369="","",CALC_EPM!P369)</f>
      </c>
      <c r="Q380">
        <f>IF(CALC_EPM!$B369="","",CALC_EPM!Q369)</f>
      </c>
      <c r="R380">
        <f>IF(CALC_EPM!$B369="","",CALC_EPM!R369)</f>
      </c>
      <c r="S380">
        <f>IF(CALC_EPM!$B369="","",CALC_EPM!S369)</f>
      </c>
      <c r="T380">
        <f>IF(CALC_EPM!$B369="","",CALC_EPM!T369)</f>
      </c>
      <c r="U380">
        <f>IF(CALC_EPM!$B369="","",CALC_EPM!U369)</f>
      </c>
    </row>
    <row r="381">
      <c r="A381" t="str">
        <f>IF(CALC_EPM!$B370="","",IF(CALC_EPM!A370="GLOBAL",IF(CALC_EPM!C370="Total","GLOBAL",IF(CALC_EPM!C370="TotalEsp","GLOBAL_ESP",IF(CALC_EPM!C370="TotalNoEsp","GLOBAL_NOESP","GLOBAL_ASIG"))),IF(CALC_EPM!C370="Total","CURSO_TOTAL",IF(CALC_EPM!C370="TotalEsp","CURSO_ESP",IF(CALC_EPM!C370="TotalNoEsp","CURSO_NOESP","CURSO_ASIG")))))</f>
      </c>
      <c r="B381" t="str">
        <f>IF(CALC_EPM!$B370="","",CALC_EPM!A370)</f>
      </c>
      <c r="C381" t="str">
        <f>IF(CALC_EPM!$B370="","",CALC_EPM!B370)</f>
      </c>
      <c r="D381">
        <f>IF(CALC_EPM!$B370="","",CALC_EPM!D370)</f>
      </c>
      <c r="E381" s="10" t="str">
        <f>IF(CALC_EPM!$B370="","",CALC_EPM!E370)</f>
      </c>
      <c r="F381" s="10" t="str">
        <f>IF(CALC_EPM!$B370="","",CALC_EPM!F370)</f>
      </c>
      <c r="G381" t="str">
        <f>IF(CALC_EPM!$B370="","",CALC_EPM!G370)</f>
      </c>
      <c r="H381" s="11" t="str">
        <f>IF(CALC_EPM!$B370="","",CALC_EPM!H370)</f>
      </c>
      <c r="I381" s="11" t="str">
        <f>IF(CALC_EPM!$B370="","",CALC_EPM!I370)</f>
      </c>
      <c r="J381" t="str">
        <f>IF(CALC_EPM!$B370="","",CALC_EPM!J370)</f>
      </c>
      <c r="K381" t="str">
        <f>IF(CALC_EPM!$B370="","",CALC_EPM!K370)</f>
      </c>
      <c r="L381">
        <f>IF(CALC_EPM!$B370="","",CALC_EPM!L370)</f>
      </c>
      <c r="M381">
        <f>IF(CALC_EPM!$B370="","",CALC_EPM!M370)</f>
      </c>
      <c r="N381">
        <f>IF(CALC_EPM!$B370="","",CALC_EPM!N370)</f>
      </c>
      <c r="O381">
        <f>IF(CALC_EPM!$B370="","",CALC_EPM!O370)</f>
      </c>
      <c r="P381">
        <f>IF(CALC_EPM!$B370="","",CALC_EPM!P370)</f>
      </c>
      <c r="Q381">
        <f>IF(CALC_EPM!$B370="","",CALC_EPM!Q370)</f>
      </c>
      <c r="R381">
        <f>IF(CALC_EPM!$B370="","",CALC_EPM!R370)</f>
      </c>
      <c r="S381">
        <f>IF(CALC_EPM!$B370="","",CALC_EPM!S370)</f>
      </c>
      <c r="T381">
        <f>IF(CALC_EPM!$B370="","",CALC_EPM!T370)</f>
      </c>
      <c r="U381">
        <f>IF(CALC_EPM!$B370="","",CALC_EPM!U370)</f>
      </c>
    </row>
    <row r="382">
      <c r="A382" t="str">
        <f>IF(CALC_EPM!$B371="","",IF(CALC_EPM!A371="GLOBAL",IF(CALC_EPM!C371="Total","GLOBAL",IF(CALC_EPM!C371="TotalEsp","GLOBAL_ESP",IF(CALC_EPM!C371="TotalNoEsp","GLOBAL_NOESP","GLOBAL_ASIG"))),IF(CALC_EPM!C371="Total","CURSO_TOTAL",IF(CALC_EPM!C371="TotalEsp","CURSO_ESP",IF(CALC_EPM!C371="TotalNoEsp","CURSO_NOESP","CURSO_ASIG")))))</f>
      </c>
      <c r="B382" t="str">
        <f>IF(CALC_EPM!$B371="","",CALC_EPM!A371)</f>
      </c>
      <c r="C382" t="str">
        <f>IF(CALC_EPM!$B371="","",CALC_EPM!B371)</f>
      </c>
      <c r="D382">
        <f>IF(CALC_EPM!$B371="","",CALC_EPM!D371)</f>
      </c>
      <c r="E382" s="10" t="str">
        <f>IF(CALC_EPM!$B371="","",CALC_EPM!E371)</f>
      </c>
      <c r="F382" s="10" t="str">
        <f>IF(CALC_EPM!$B371="","",CALC_EPM!F371)</f>
      </c>
      <c r="G382" t="str">
        <f>IF(CALC_EPM!$B371="","",CALC_EPM!G371)</f>
      </c>
      <c r="H382" s="11" t="str">
        <f>IF(CALC_EPM!$B371="","",CALC_EPM!H371)</f>
      </c>
      <c r="I382" s="11" t="str">
        <f>IF(CALC_EPM!$B371="","",CALC_EPM!I371)</f>
      </c>
      <c r="J382" t="str">
        <f>IF(CALC_EPM!$B371="","",CALC_EPM!J371)</f>
      </c>
      <c r="K382" t="str">
        <f>IF(CALC_EPM!$B371="","",CALC_EPM!K371)</f>
      </c>
      <c r="L382">
        <f>IF(CALC_EPM!$B371="","",CALC_EPM!L371)</f>
      </c>
      <c r="M382">
        <f>IF(CALC_EPM!$B371="","",CALC_EPM!M371)</f>
      </c>
      <c r="N382">
        <f>IF(CALC_EPM!$B371="","",CALC_EPM!N371)</f>
      </c>
      <c r="O382">
        <f>IF(CALC_EPM!$B371="","",CALC_EPM!O371)</f>
      </c>
      <c r="P382">
        <f>IF(CALC_EPM!$B371="","",CALC_EPM!P371)</f>
      </c>
      <c r="Q382">
        <f>IF(CALC_EPM!$B371="","",CALC_EPM!Q371)</f>
      </c>
      <c r="R382">
        <f>IF(CALC_EPM!$B371="","",CALC_EPM!R371)</f>
      </c>
      <c r="S382">
        <f>IF(CALC_EPM!$B371="","",CALC_EPM!S371)</f>
      </c>
      <c r="T382">
        <f>IF(CALC_EPM!$B371="","",CALC_EPM!T371)</f>
      </c>
      <c r="U382">
        <f>IF(CALC_EPM!$B371="","",CALC_EPM!U371)</f>
      </c>
    </row>
    <row r="383">
      <c r="A383" t="str">
        <f>IF(CALC_EPM!$B372="","",IF(CALC_EPM!A372="GLOBAL",IF(CALC_EPM!C372="Total","GLOBAL",IF(CALC_EPM!C372="TotalEsp","GLOBAL_ESP",IF(CALC_EPM!C372="TotalNoEsp","GLOBAL_NOESP","GLOBAL_ASIG"))),IF(CALC_EPM!C372="Total","CURSO_TOTAL",IF(CALC_EPM!C372="TotalEsp","CURSO_ESP",IF(CALC_EPM!C372="TotalNoEsp","CURSO_NOESP","CURSO_ASIG")))))</f>
      </c>
      <c r="B383" t="str">
        <f>IF(CALC_EPM!$B372="","",CALC_EPM!A372)</f>
      </c>
      <c r="C383" t="str">
        <f>IF(CALC_EPM!$B372="","",CALC_EPM!B372)</f>
      </c>
      <c r="D383">
        <f>IF(CALC_EPM!$B372="","",CALC_EPM!D372)</f>
      </c>
      <c r="E383" s="10" t="str">
        <f>IF(CALC_EPM!$B372="","",CALC_EPM!E372)</f>
      </c>
      <c r="F383" s="10" t="str">
        <f>IF(CALC_EPM!$B372="","",CALC_EPM!F372)</f>
      </c>
      <c r="G383" t="str">
        <f>IF(CALC_EPM!$B372="","",CALC_EPM!G372)</f>
      </c>
      <c r="H383" s="11" t="str">
        <f>IF(CALC_EPM!$B372="","",CALC_EPM!H372)</f>
      </c>
      <c r="I383" s="11" t="str">
        <f>IF(CALC_EPM!$B372="","",CALC_EPM!I372)</f>
      </c>
      <c r="J383" t="str">
        <f>IF(CALC_EPM!$B372="","",CALC_EPM!J372)</f>
      </c>
      <c r="K383" t="str">
        <f>IF(CALC_EPM!$B372="","",CALC_EPM!K372)</f>
      </c>
      <c r="L383">
        <f>IF(CALC_EPM!$B372="","",CALC_EPM!L372)</f>
      </c>
      <c r="M383">
        <f>IF(CALC_EPM!$B372="","",CALC_EPM!M372)</f>
      </c>
      <c r="N383">
        <f>IF(CALC_EPM!$B372="","",CALC_EPM!N372)</f>
      </c>
      <c r="O383">
        <f>IF(CALC_EPM!$B372="","",CALC_EPM!O372)</f>
      </c>
      <c r="P383">
        <f>IF(CALC_EPM!$B372="","",CALC_EPM!P372)</f>
      </c>
      <c r="Q383">
        <f>IF(CALC_EPM!$B372="","",CALC_EPM!Q372)</f>
      </c>
      <c r="R383">
        <f>IF(CALC_EPM!$B372="","",CALC_EPM!R372)</f>
      </c>
      <c r="S383">
        <f>IF(CALC_EPM!$B372="","",CALC_EPM!S372)</f>
      </c>
      <c r="T383">
        <f>IF(CALC_EPM!$B372="","",CALC_EPM!T372)</f>
      </c>
      <c r="U383">
        <f>IF(CALC_EPM!$B372="","",CALC_EPM!U372)</f>
      </c>
    </row>
    <row r="384">
      <c r="A384" t="str">
        <f>IF(CALC_EPM!$B373="","",IF(CALC_EPM!A373="GLOBAL",IF(CALC_EPM!C373="Total","GLOBAL",IF(CALC_EPM!C373="TotalEsp","GLOBAL_ESP",IF(CALC_EPM!C373="TotalNoEsp","GLOBAL_NOESP","GLOBAL_ASIG"))),IF(CALC_EPM!C373="Total","CURSO_TOTAL",IF(CALC_EPM!C373="TotalEsp","CURSO_ESP",IF(CALC_EPM!C373="TotalNoEsp","CURSO_NOESP","CURSO_ASIG")))))</f>
      </c>
      <c r="B384" t="str">
        <f>IF(CALC_EPM!$B373="","",CALC_EPM!A373)</f>
      </c>
      <c r="C384" t="str">
        <f>IF(CALC_EPM!$B373="","",CALC_EPM!B373)</f>
      </c>
      <c r="D384">
        <f>IF(CALC_EPM!$B373="","",CALC_EPM!D373)</f>
      </c>
      <c r="E384" s="10" t="str">
        <f>IF(CALC_EPM!$B373="","",CALC_EPM!E373)</f>
      </c>
      <c r="F384" s="10" t="str">
        <f>IF(CALC_EPM!$B373="","",CALC_EPM!F373)</f>
      </c>
      <c r="G384" t="str">
        <f>IF(CALC_EPM!$B373="","",CALC_EPM!G373)</f>
      </c>
      <c r="H384" s="11" t="str">
        <f>IF(CALC_EPM!$B373="","",CALC_EPM!H373)</f>
      </c>
      <c r="I384" s="11" t="str">
        <f>IF(CALC_EPM!$B373="","",CALC_EPM!I373)</f>
      </c>
      <c r="J384" t="str">
        <f>IF(CALC_EPM!$B373="","",CALC_EPM!J373)</f>
      </c>
      <c r="K384" t="str">
        <f>IF(CALC_EPM!$B373="","",CALC_EPM!K373)</f>
      </c>
      <c r="L384">
        <f>IF(CALC_EPM!$B373="","",CALC_EPM!L373)</f>
      </c>
      <c r="M384">
        <f>IF(CALC_EPM!$B373="","",CALC_EPM!M373)</f>
      </c>
      <c r="N384">
        <f>IF(CALC_EPM!$B373="","",CALC_EPM!N373)</f>
      </c>
      <c r="O384">
        <f>IF(CALC_EPM!$B373="","",CALC_EPM!O373)</f>
      </c>
      <c r="P384">
        <f>IF(CALC_EPM!$B373="","",CALC_EPM!P373)</f>
      </c>
      <c r="Q384">
        <f>IF(CALC_EPM!$B373="","",CALC_EPM!Q373)</f>
      </c>
      <c r="R384">
        <f>IF(CALC_EPM!$B373="","",CALC_EPM!R373)</f>
      </c>
      <c r="S384">
        <f>IF(CALC_EPM!$B373="","",CALC_EPM!S373)</f>
      </c>
      <c r="T384">
        <f>IF(CALC_EPM!$B373="","",CALC_EPM!T373)</f>
      </c>
      <c r="U384">
        <f>IF(CALC_EPM!$B373="","",CALC_EPM!U373)</f>
      </c>
    </row>
    <row r="385">
      <c r="A385" t="str">
        <f>IF(CALC_EPM!$B374="","",IF(CALC_EPM!A374="GLOBAL",IF(CALC_EPM!C374="Total","GLOBAL",IF(CALC_EPM!C374="TotalEsp","GLOBAL_ESP",IF(CALC_EPM!C374="TotalNoEsp","GLOBAL_NOESP","GLOBAL_ASIG"))),IF(CALC_EPM!C374="Total","CURSO_TOTAL",IF(CALC_EPM!C374="TotalEsp","CURSO_ESP",IF(CALC_EPM!C374="TotalNoEsp","CURSO_NOESP","CURSO_ASIG")))))</f>
      </c>
      <c r="B385" t="str">
        <f>IF(CALC_EPM!$B374="","",CALC_EPM!A374)</f>
      </c>
      <c r="C385" t="str">
        <f>IF(CALC_EPM!$B374="","",CALC_EPM!B374)</f>
      </c>
      <c r="D385">
        <f>IF(CALC_EPM!$B374="","",CALC_EPM!D374)</f>
      </c>
      <c r="E385" s="10" t="str">
        <f>IF(CALC_EPM!$B374="","",CALC_EPM!E374)</f>
      </c>
      <c r="F385" s="10" t="str">
        <f>IF(CALC_EPM!$B374="","",CALC_EPM!F374)</f>
      </c>
      <c r="G385" t="str">
        <f>IF(CALC_EPM!$B374="","",CALC_EPM!G374)</f>
      </c>
      <c r="H385" s="11" t="str">
        <f>IF(CALC_EPM!$B374="","",CALC_EPM!H374)</f>
      </c>
      <c r="I385" s="11" t="str">
        <f>IF(CALC_EPM!$B374="","",CALC_EPM!I374)</f>
      </c>
      <c r="J385" t="str">
        <f>IF(CALC_EPM!$B374="","",CALC_EPM!J374)</f>
      </c>
      <c r="K385" t="str">
        <f>IF(CALC_EPM!$B374="","",CALC_EPM!K374)</f>
      </c>
      <c r="L385">
        <f>IF(CALC_EPM!$B374="","",CALC_EPM!L374)</f>
      </c>
      <c r="M385">
        <f>IF(CALC_EPM!$B374="","",CALC_EPM!M374)</f>
      </c>
      <c r="N385">
        <f>IF(CALC_EPM!$B374="","",CALC_EPM!N374)</f>
      </c>
      <c r="O385">
        <f>IF(CALC_EPM!$B374="","",CALC_EPM!O374)</f>
      </c>
      <c r="P385">
        <f>IF(CALC_EPM!$B374="","",CALC_EPM!P374)</f>
      </c>
      <c r="Q385">
        <f>IF(CALC_EPM!$B374="","",CALC_EPM!Q374)</f>
      </c>
      <c r="R385">
        <f>IF(CALC_EPM!$B374="","",CALC_EPM!R374)</f>
      </c>
      <c r="S385">
        <f>IF(CALC_EPM!$B374="","",CALC_EPM!S374)</f>
      </c>
      <c r="T385">
        <f>IF(CALC_EPM!$B374="","",CALC_EPM!T374)</f>
      </c>
      <c r="U385">
        <f>IF(CALC_EPM!$B374="","",CALC_EPM!U374)</f>
      </c>
    </row>
    <row r="386">
      <c r="A386" t="str">
        <f>IF(CALC_EPM!$B375="","",IF(CALC_EPM!A375="GLOBAL",IF(CALC_EPM!C375="Total","GLOBAL",IF(CALC_EPM!C375="TotalEsp","GLOBAL_ESP",IF(CALC_EPM!C375="TotalNoEsp","GLOBAL_NOESP","GLOBAL_ASIG"))),IF(CALC_EPM!C375="Total","CURSO_TOTAL",IF(CALC_EPM!C375="TotalEsp","CURSO_ESP",IF(CALC_EPM!C375="TotalNoEsp","CURSO_NOESP","CURSO_ASIG")))))</f>
      </c>
      <c r="B386" t="str">
        <f>IF(CALC_EPM!$B375="","",CALC_EPM!A375)</f>
      </c>
      <c r="C386" t="str">
        <f>IF(CALC_EPM!$B375="","",CALC_EPM!B375)</f>
      </c>
      <c r="D386">
        <f>IF(CALC_EPM!$B375="","",CALC_EPM!D375)</f>
      </c>
      <c r="E386" s="10" t="str">
        <f>IF(CALC_EPM!$B375="","",CALC_EPM!E375)</f>
      </c>
      <c r="F386" s="10" t="str">
        <f>IF(CALC_EPM!$B375="","",CALC_EPM!F375)</f>
      </c>
      <c r="G386" t="str">
        <f>IF(CALC_EPM!$B375="","",CALC_EPM!G375)</f>
      </c>
      <c r="H386" s="11" t="str">
        <f>IF(CALC_EPM!$B375="","",CALC_EPM!H375)</f>
      </c>
      <c r="I386" s="11" t="str">
        <f>IF(CALC_EPM!$B375="","",CALC_EPM!I375)</f>
      </c>
      <c r="J386" t="str">
        <f>IF(CALC_EPM!$B375="","",CALC_EPM!J375)</f>
      </c>
      <c r="K386" t="str">
        <f>IF(CALC_EPM!$B375="","",CALC_EPM!K375)</f>
      </c>
      <c r="L386">
        <f>IF(CALC_EPM!$B375="","",CALC_EPM!L375)</f>
      </c>
      <c r="M386">
        <f>IF(CALC_EPM!$B375="","",CALC_EPM!M375)</f>
      </c>
      <c r="N386">
        <f>IF(CALC_EPM!$B375="","",CALC_EPM!N375)</f>
      </c>
      <c r="O386">
        <f>IF(CALC_EPM!$B375="","",CALC_EPM!O375)</f>
      </c>
      <c r="P386">
        <f>IF(CALC_EPM!$B375="","",CALC_EPM!P375)</f>
      </c>
      <c r="Q386">
        <f>IF(CALC_EPM!$B375="","",CALC_EPM!Q375)</f>
      </c>
      <c r="R386">
        <f>IF(CALC_EPM!$B375="","",CALC_EPM!R375)</f>
      </c>
      <c r="S386">
        <f>IF(CALC_EPM!$B375="","",CALC_EPM!S375)</f>
      </c>
      <c r="T386">
        <f>IF(CALC_EPM!$B375="","",CALC_EPM!T375)</f>
      </c>
      <c r="U386">
        <f>IF(CALC_EPM!$B375="","",CALC_EPM!U375)</f>
      </c>
    </row>
    <row r="387">
      <c r="A387" t="str">
        <f>IF(CALC_EPM!$B376="","",IF(CALC_EPM!A376="GLOBAL",IF(CALC_EPM!C376="Total","GLOBAL",IF(CALC_EPM!C376="TotalEsp","GLOBAL_ESP",IF(CALC_EPM!C376="TotalNoEsp","GLOBAL_NOESP","GLOBAL_ASIG"))),IF(CALC_EPM!C376="Total","CURSO_TOTAL",IF(CALC_EPM!C376="TotalEsp","CURSO_ESP",IF(CALC_EPM!C376="TotalNoEsp","CURSO_NOESP","CURSO_ASIG")))))</f>
      </c>
      <c r="B387" t="str">
        <f>IF(CALC_EPM!$B376="","",CALC_EPM!A376)</f>
      </c>
      <c r="C387" t="str">
        <f>IF(CALC_EPM!$B376="","",CALC_EPM!B376)</f>
      </c>
      <c r="D387">
        <f>IF(CALC_EPM!$B376="","",CALC_EPM!D376)</f>
      </c>
      <c r="E387" s="10" t="str">
        <f>IF(CALC_EPM!$B376="","",CALC_EPM!E376)</f>
      </c>
      <c r="F387" s="10" t="str">
        <f>IF(CALC_EPM!$B376="","",CALC_EPM!F376)</f>
      </c>
      <c r="G387" t="str">
        <f>IF(CALC_EPM!$B376="","",CALC_EPM!G376)</f>
      </c>
      <c r="H387" s="11" t="str">
        <f>IF(CALC_EPM!$B376="","",CALC_EPM!H376)</f>
      </c>
      <c r="I387" s="11" t="str">
        <f>IF(CALC_EPM!$B376="","",CALC_EPM!I376)</f>
      </c>
      <c r="J387" t="str">
        <f>IF(CALC_EPM!$B376="","",CALC_EPM!J376)</f>
      </c>
      <c r="K387" t="str">
        <f>IF(CALC_EPM!$B376="","",CALC_EPM!K376)</f>
      </c>
      <c r="L387">
        <f>IF(CALC_EPM!$B376="","",CALC_EPM!L376)</f>
      </c>
      <c r="M387">
        <f>IF(CALC_EPM!$B376="","",CALC_EPM!M376)</f>
      </c>
      <c r="N387">
        <f>IF(CALC_EPM!$B376="","",CALC_EPM!N376)</f>
      </c>
      <c r="O387">
        <f>IF(CALC_EPM!$B376="","",CALC_EPM!O376)</f>
      </c>
      <c r="P387">
        <f>IF(CALC_EPM!$B376="","",CALC_EPM!P376)</f>
      </c>
      <c r="Q387">
        <f>IF(CALC_EPM!$B376="","",CALC_EPM!Q376)</f>
      </c>
      <c r="R387">
        <f>IF(CALC_EPM!$B376="","",CALC_EPM!R376)</f>
      </c>
      <c r="S387">
        <f>IF(CALC_EPM!$B376="","",CALC_EPM!S376)</f>
      </c>
      <c r="T387">
        <f>IF(CALC_EPM!$B376="","",CALC_EPM!T376)</f>
      </c>
      <c r="U387">
        <f>IF(CALC_EPM!$B376="","",CALC_EPM!U376)</f>
      </c>
    </row>
    <row r="388">
      <c r="A388" t="str">
        <f>IF(CALC_EPM!$B377="","",IF(CALC_EPM!A377="GLOBAL",IF(CALC_EPM!C377="Total","GLOBAL",IF(CALC_EPM!C377="TotalEsp","GLOBAL_ESP",IF(CALC_EPM!C377="TotalNoEsp","GLOBAL_NOESP","GLOBAL_ASIG"))),IF(CALC_EPM!C377="Total","CURSO_TOTAL",IF(CALC_EPM!C377="TotalEsp","CURSO_ESP",IF(CALC_EPM!C377="TotalNoEsp","CURSO_NOESP","CURSO_ASIG")))))</f>
      </c>
      <c r="B388" t="str">
        <f>IF(CALC_EPM!$B377="","",CALC_EPM!A377)</f>
      </c>
      <c r="C388" t="str">
        <f>IF(CALC_EPM!$B377="","",CALC_EPM!B377)</f>
      </c>
      <c r="D388">
        <f>IF(CALC_EPM!$B377="","",CALC_EPM!D377)</f>
      </c>
      <c r="E388" s="10" t="str">
        <f>IF(CALC_EPM!$B377="","",CALC_EPM!E377)</f>
      </c>
      <c r="F388" s="10" t="str">
        <f>IF(CALC_EPM!$B377="","",CALC_EPM!F377)</f>
      </c>
      <c r="G388" t="str">
        <f>IF(CALC_EPM!$B377="","",CALC_EPM!G377)</f>
      </c>
      <c r="H388" s="11" t="str">
        <f>IF(CALC_EPM!$B377="","",CALC_EPM!H377)</f>
      </c>
      <c r="I388" s="11" t="str">
        <f>IF(CALC_EPM!$B377="","",CALC_EPM!I377)</f>
      </c>
      <c r="J388" t="str">
        <f>IF(CALC_EPM!$B377="","",CALC_EPM!J377)</f>
      </c>
      <c r="K388" t="str">
        <f>IF(CALC_EPM!$B377="","",CALC_EPM!K377)</f>
      </c>
      <c r="L388">
        <f>IF(CALC_EPM!$B377="","",CALC_EPM!L377)</f>
      </c>
      <c r="M388">
        <f>IF(CALC_EPM!$B377="","",CALC_EPM!M377)</f>
      </c>
      <c r="N388">
        <f>IF(CALC_EPM!$B377="","",CALC_EPM!N377)</f>
      </c>
      <c r="O388">
        <f>IF(CALC_EPM!$B377="","",CALC_EPM!O377)</f>
      </c>
      <c r="P388">
        <f>IF(CALC_EPM!$B377="","",CALC_EPM!P377)</f>
      </c>
      <c r="Q388">
        <f>IF(CALC_EPM!$B377="","",CALC_EPM!Q377)</f>
      </c>
      <c r="R388">
        <f>IF(CALC_EPM!$B377="","",CALC_EPM!R377)</f>
      </c>
      <c r="S388">
        <f>IF(CALC_EPM!$B377="","",CALC_EPM!S377)</f>
      </c>
      <c r="T388">
        <f>IF(CALC_EPM!$B377="","",CALC_EPM!T377)</f>
      </c>
      <c r="U388">
        <f>IF(CALC_EPM!$B377="","",CALC_EPM!U377)</f>
      </c>
    </row>
    <row r="389">
      <c r="A389" t="str">
        <f>IF(CALC_EPM!$B378="","",IF(CALC_EPM!A378="GLOBAL",IF(CALC_EPM!C378="Total","GLOBAL",IF(CALC_EPM!C378="TotalEsp","GLOBAL_ESP",IF(CALC_EPM!C378="TotalNoEsp","GLOBAL_NOESP","GLOBAL_ASIG"))),IF(CALC_EPM!C378="Total","CURSO_TOTAL",IF(CALC_EPM!C378="TotalEsp","CURSO_ESP",IF(CALC_EPM!C378="TotalNoEsp","CURSO_NOESP","CURSO_ASIG")))))</f>
      </c>
      <c r="B389" t="str">
        <f>IF(CALC_EPM!$B378="","",CALC_EPM!A378)</f>
      </c>
      <c r="C389" t="str">
        <f>IF(CALC_EPM!$B378="","",CALC_EPM!B378)</f>
      </c>
      <c r="D389">
        <f>IF(CALC_EPM!$B378="","",CALC_EPM!D378)</f>
      </c>
      <c r="E389" s="10" t="str">
        <f>IF(CALC_EPM!$B378="","",CALC_EPM!E378)</f>
      </c>
      <c r="F389" s="10" t="str">
        <f>IF(CALC_EPM!$B378="","",CALC_EPM!F378)</f>
      </c>
      <c r="G389" t="str">
        <f>IF(CALC_EPM!$B378="","",CALC_EPM!G378)</f>
      </c>
      <c r="H389" s="11" t="str">
        <f>IF(CALC_EPM!$B378="","",CALC_EPM!H378)</f>
      </c>
      <c r="I389" s="11" t="str">
        <f>IF(CALC_EPM!$B378="","",CALC_EPM!I378)</f>
      </c>
      <c r="J389" t="str">
        <f>IF(CALC_EPM!$B378="","",CALC_EPM!J378)</f>
      </c>
      <c r="K389" t="str">
        <f>IF(CALC_EPM!$B378="","",CALC_EPM!K378)</f>
      </c>
      <c r="L389">
        <f>IF(CALC_EPM!$B378="","",CALC_EPM!L378)</f>
      </c>
      <c r="M389">
        <f>IF(CALC_EPM!$B378="","",CALC_EPM!M378)</f>
      </c>
      <c r="N389">
        <f>IF(CALC_EPM!$B378="","",CALC_EPM!N378)</f>
      </c>
      <c r="O389">
        <f>IF(CALC_EPM!$B378="","",CALC_EPM!O378)</f>
      </c>
      <c r="P389">
        <f>IF(CALC_EPM!$B378="","",CALC_EPM!P378)</f>
      </c>
      <c r="Q389">
        <f>IF(CALC_EPM!$B378="","",CALC_EPM!Q378)</f>
      </c>
      <c r="R389">
        <f>IF(CALC_EPM!$B378="","",CALC_EPM!R378)</f>
      </c>
      <c r="S389">
        <f>IF(CALC_EPM!$B378="","",CALC_EPM!S378)</f>
      </c>
      <c r="T389">
        <f>IF(CALC_EPM!$B378="","",CALC_EPM!T378)</f>
      </c>
      <c r="U389">
        <f>IF(CALC_EPM!$B378="","",CALC_EPM!U378)</f>
      </c>
    </row>
    <row r="390">
      <c r="A390" t="str">
        <f>IF(CALC_EPM!$B379="","",IF(CALC_EPM!A379="GLOBAL",IF(CALC_EPM!C379="Total","GLOBAL",IF(CALC_EPM!C379="TotalEsp","GLOBAL_ESP",IF(CALC_EPM!C379="TotalNoEsp","GLOBAL_NOESP","GLOBAL_ASIG"))),IF(CALC_EPM!C379="Total","CURSO_TOTAL",IF(CALC_EPM!C379="TotalEsp","CURSO_ESP",IF(CALC_EPM!C379="TotalNoEsp","CURSO_NOESP","CURSO_ASIG")))))</f>
      </c>
      <c r="B390" t="str">
        <f>IF(CALC_EPM!$B379="","",CALC_EPM!A379)</f>
      </c>
      <c r="C390" t="str">
        <f>IF(CALC_EPM!$B379="","",CALC_EPM!B379)</f>
      </c>
      <c r="D390">
        <f>IF(CALC_EPM!$B379="","",CALC_EPM!D379)</f>
      </c>
      <c r="E390" s="10" t="str">
        <f>IF(CALC_EPM!$B379="","",CALC_EPM!E379)</f>
      </c>
      <c r="F390" s="10" t="str">
        <f>IF(CALC_EPM!$B379="","",CALC_EPM!F379)</f>
      </c>
      <c r="G390" t="str">
        <f>IF(CALC_EPM!$B379="","",CALC_EPM!G379)</f>
      </c>
      <c r="H390" s="11" t="str">
        <f>IF(CALC_EPM!$B379="","",CALC_EPM!H379)</f>
      </c>
      <c r="I390" s="11" t="str">
        <f>IF(CALC_EPM!$B379="","",CALC_EPM!I379)</f>
      </c>
      <c r="J390" t="str">
        <f>IF(CALC_EPM!$B379="","",CALC_EPM!J379)</f>
      </c>
      <c r="K390" t="str">
        <f>IF(CALC_EPM!$B379="","",CALC_EPM!K379)</f>
      </c>
      <c r="L390">
        <f>IF(CALC_EPM!$B379="","",CALC_EPM!L379)</f>
      </c>
      <c r="M390">
        <f>IF(CALC_EPM!$B379="","",CALC_EPM!M379)</f>
      </c>
      <c r="N390">
        <f>IF(CALC_EPM!$B379="","",CALC_EPM!N379)</f>
      </c>
      <c r="O390">
        <f>IF(CALC_EPM!$B379="","",CALC_EPM!O379)</f>
      </c>
      <c r="P390">
        <f>IF(CALC_EPM!$B379="","",CALC_EPM!P379)</f>
      </c>
      <c r="Q390">
        <f>IF(CALC_EPM!$B379="","",CALC_EPM!Q379)</f>
      </c>
      <c r="R390">
        <f>IF(CALC_EPM!$B379="","",CALC_EPM!R379)</f>
      </c>
      <c r="S390">
        <f>IF(CALC_EPM!$B379="","",CALC_EPM!S379)</f>
      </c>
      <c r="T390">
        <f>IF(CALC_EPM!$B379="","",CALC_EPM!T379)</f>
      </c>
      <c r="U390">
        <f>IF(CALC_EPM!$B379="","",CALC_EPM!U379)</f>
      </c>
    </row>
    <row r="391">
      <c r="A391" t="str">
        <f>IF(CALC_EPM!$B380="","",IF(CALC_EPM!A380="GLOBAL",IF(CALC_EPM!C380="Total","GLOBAL",IF(CALC_EPM!C380="TotalEsp","GLOBAL_ESP",IF(CALC_EPM!C380="TotalNoEsp","GLOBAL_NOESP","GLOBAL_ASIG"))),IF(CALC_EPM!C380="Total","CURSO_TOTAL",IF(CALC_EPM!C380="TotalEsp","CURSO_ESP",IF(CALC_EPM!C380="TotalNoEsp","CURSO_NOESP","CURSO_ASIG")))))</f>
      </c>
      <c r="B391" t="str">
        <f>IF(CALC_EPM!$B380="","",CALC_EPM!A380)</f>
      </c>
      <c r="C391" t="str">
        <f>IF(CALC_EPM!$B380="","",CALC_EPM!B380)</f>
      </c>
      <c r="D391">
        <f>IF(CALC_EPM!$B380="","",CALC_EPM!D380)</f>
      </c>
      <c r="E391" s="10" t="str">
        <f>IF(CALC_EPM!$B380="","",CALC_EPM!E380)</f>
      </c>
      <c r="F391" s="10" t="str">
        <f>IF(CALC_EPM!$B380="","",CALC_EPM!F380)</f>
      </c>
      <c r="G391" t="str">
        <f>IF(CALC_EPM!$B380="","",CALC_EPM!G380)</f>
      </c>
      <c r="H391" s="11" t="str">
        <f>IF(CALC_EPM!$B380="","",CALC_EPM!H380)</f>
      </c>
      <c r="I391" s="11" t="str">
        <f>IF(CALC_EPM!$B380="","",CALC_EPM!I380)</f>
      </c>
      <c r="J391" t="str">
        <f>IF(CALC_EPM!$B380="","",CALC_EPM!J380)</f>
      </c>
      <c r="K391" t="str">
        <f>IF(CALC_EPM!$B380="","",CALC_EPM!K380)</f>
      </c>
      <c r="L391">
        <f>IF(CALC_EPM!$B380="","",CALC_EPM!L380)</f>
      </c>
      <c r="M391">
        <f>IF(CALC_EPM!$B380="","",CALC_EPM!M380)</f>
      </c>
      <c r="N391">
        <f>IF(CALC_EPM!$B380="","",CALC_EPM!N380)</f>
      </c>
      <c r="O391">
        <f>IF(CALC_EPM!$B380="","",CALC_EPM!O380)</f>
      </c>
      <c r="P391">
        <f>IF(CALC_EPM!$B380="","",CALC_EPM!P380)</f>
      </c>
      <c r="Q391">
        <f>IF(CALC_EPM!$B380="","",CALC_EPM!Q380)</f>
      </c>
      <c r="R391">
        <f>IF(CALC_EPM!$B380="","",CALC_EPM!R380)</f>
      </c>
      <c r="S391">
        <f>IF(CALC_EPM!$B380="","",CALC_EPM!S380)</f>
      </c>
      <c r="T391">
        <f>IF(CALC_EPM!$B380="","",CALC_EPM!T380)</f>
      </c>
      <c r="U391">
        <f>IF(CALC_EPM!$B380="","",CALC_EPM!U380)</f>
      </c>
    </row>
    <row r="392">
      <c r="A392" t="str">
        <f>IF(CALC_EPM!$B381="","",IF(CALC_EPM!A381="GLOBAL",IF(CALC_EPM!C381="Total","GLOBAL",IF(CALC_EPM!C381="TotalEsp","GLOBAL_ESP",IF(CALC_EPM!C381="TotalNoEsp","GLOBAL_NOESP","GLOBAL_ASIG"))),IF(CALC_EPM!C381="Total","CURSO_TOTAL",IF(CALC_EPM!C381="TotalEsp","CURSO_ESP",IF(CALC_EPM!C381="TotalNoEsp","CURSO_NOESP","CURSO_ASIG")))))</f>
      </c>
      <c r="B392" t="str">
        <f>IF(CALC_EPM!$B381="","",CALC_EPM!A381)</f>
      </c>
      <c r="C392" t="str">
        <f>IF(CALC_EPM!$B381="","",CALC_EPM!B381)</f>
      </c>
      <c r="D392">
        <f>IF(CALC_EPM!$B381="","",CALC_EPM!D381)</f>
      </c>
      <c r="E392" s="10" t="str">
        <f>IF(CALC_EPM!$B381="","",CALC_EPM!E381)</f>
      </c>
      <c r="F392" s="10" t="str">
        <f>IF(CALC_EPM!$B381="","",CALC_EPM!F381)</f>
      </c>
      <c r="G392" t="str">
        <f>IF(CALC_EPM!$B381="","",CALC_EPM!G381)</f>
      </c>
      <c r="H392" s="11" t="str">
        <f>IF(CALC_EPM!$B381="","",CALC_EPM!H381)</f>
      </c>
      <c r="I392" s="11" t="str">
        <f>IF(CALC_EPM!$B381="","",CALC_EPM!I381)</f>
      </c>
      <c r="J392" t="str">
        <f>IF(CALC_EPM!$B381="","",CALC_EPM!J381)</f>
      </c>
      <c r="K392" t="str">
        <f>IF(CALC_EPM!$B381="","",CALC_EPM!K381)</f>
      </c>
      <c r="L392">
        <f>IF(CALC_EPM!$B381="","",CALC_EPM!L381)</f>
      </c>
      <c r="M392">
        <f>IF(CALC_EPM!$B381="","",CALC_EPM!M381)</f>
      </c>
      <c r="N392">
        <f>IF(CALC_EPM!$B381="","",CALC_EPM!N381)</f>
      </c>
      <c r="O392">
        <f>IF(CALC_EPM!$B381="","",CALC_EPM!O381)</f>
      </c>
      <c r="P392">
        <f>IF(CALC_EPM!$B381="","",CALC_EPM!P381)</f>
      </c>
      <c r="Q392">
        <f>IF(CALC_EPM!$B381="","",CALC_EPM!Q381)</f>
      </c>
      <c r="R392">
        <f>IF(CALC_EPM!$B381="","",CALC_EPM!R381)</f>
      </c>
      <c r="S392">
        <f>IF(CALC_EPM!$B381="","",CALC_EPM!S381)</f>
      </c>
      <c r="T392">
        <f>IF(CALC_EPM!$B381="","",CALC_EPM!T381)</f>
      </c>
      <c r="U392">
        <f>IF(CALC_EPM!$B381="","",CALC_EPM!U381)</f>
      </c>
    </row>
    <row r="393">
      <c r="A393" t="str">
        <f>IF(CALC_EPM!$B382="","",IF(CALC_EPM!A382="GLOBAL",IF(CALC_EPM!C382="Total","GLOBAL",IF(CALC_EPM!C382="TotalEsp","GLOBAL_ESP",IF(CALC_EPM!C382="TotalNoEsp","GLOBAL_NOESP","GLOBAL_ASIG"))),IF(CALC_EPM!C382="Total","CURSO_TOTAL",IF(CALC_EPM!C382="TotalEsp","CURSO_ESP",IF(CALC_EPM!C382="TotalNoEsp","CURSO_NOESP","CURSO_ASIG")))))</f>
      </c>
      <c r="B393" t="str">
        <f>IF(CALC_EPM!$B382="","",CALC_EPM!A382)</f>
      </c>
      <c r="C393" t="str">
        <f>IF(CALC_EPM!$B382="","",CALC_EPM!B382)</f>
      </c>
      <c r="D393">
        <f>IF(CALC_EPM!$B382="","",CALC_EPM!D382)</f>
      </c>
      <c r="E393" s="10" t="str">
        <f>IF(CALC_EPM!$B382="","",CALC_EPM!E382)</f>
      </c>
      <c r="F393" s="10" t="str">
        <f>IF(CALC_EPM!$B382="","",CALC_EPM!F382)</f>
      </c>
      <c r="G393" t="str">
        <f>IF(CALC_EPM!$B382="","",CALC_EPM!G382)</f>
      </c>
      <c r="H393" s="11" t="str">
        <f>IF(CALC_EPM!$B382="","",CALC_EPM!H382)</f>
      </c>
      <c r="I393" s="11" t="str">
        <f>IF(CALC_EPM!$B382="","",CALC_EPM!I382)</f>
      </c>
      <c r="J393" t="str">
        <f>IF(CALC_EPM!$B382="","",CALC_EPM!J382)</f>
      </c>
      <c r="K393" t="str">
        <f>IF(CALC_EPM!$B382="","",CALC_EPM!K382)</f>
      </c>
      <c r="L393">
        <f>IF(CALC_EPM!$B382="","",CALC_EPM!L382)</f>
      </c>
      <c r="M393">
        <f>IF(CALC_EPM!$B382="","",CALC_EPM!M382)</f>
      </c>
      <c r="N393">
        <f>IF(CALC_EPM!$B382="","",CALC_EPM!N382)</f>
      </c>
      <c r="O393">
        <f>IF(CALC_EPM!$B382="","",CALC_EPM!O382)</f>
      </c>
      <c r="P393">
        <f>IF(CALC_EPM!$B382="","",CALC_EPM!P382)</f>
      </c>
      <c r="Q393">
        <f>IF(CALC_EPM!$B382="","",CALC_EPM!Q382)</f>
      </c>
      <c r="R393">
        <f>IF(CALC_EPM!$B382="","",CALC_EPM!R382)</f>
      </c>
      <c r="S393">
        <f>IF(CALC_EPM!$B382="","",CALC_EPM!S382)</f>
      </c>
      <c r="T393">
        <f>IF(CALC_EPM!$B382="","",CALC_EPM!T382)</f>
      </c>
      <c r="U393">
        <f>IF(CALC_EPM!$B382="","",CALC_EPM!U382)</f>
      </c>
    </row>
    <row r="394">
      <c r="A394" t="str">
        <f>IF(CALC_EPM!$B383="","",IF(CALC_EPM!A383="GLOBAL",IF(CALC_EPM!C383="Total","GLOBAL",IF(CALC_EPM!C383="TotalEsp","GLOBAL_ESP",IF(CALC_EPM!C383="TotalNoEsp","GLOBAL_NOESP","GLOBAL_ASIG"))),IF(CALC_EPM!C383="Total","CURSO_TOTAL",IF(CALC_EPM!C383="TotalEsp","CURSO_ESP",IF(CALC_EPM!C383="TotalNoEsp","CURSO_NOESP","CURSO_ASIG")))))</f>
      </c>
      <c r="B394" t="str">
        <f>IF(CALC_EPM!$B383="","",CALC_EPM!A383)</f>
      </c>
      <c r="C394" t="str">
        <f>IF(CALC_EPM!$B383="","",CALC_EPM!B383)</f>
      </c>
      <c r="D394">
        <f>IF(CALC_EPM!$B383="","",CALC_EPM!D383)</f>
      </c>
      <c r="E394" s="10" t="str">
        <f>IF(CALC_EPM!$B383="","",CALC_EPM!E383)</f>
      </c>
      <c r="F394" s="10" t="str">
        <f>IF(CALC_EPM!$B383="","",CALC_EPM!F383)</f>
      </c>
      <c r="G394" t="str">
        <f>IF(CALC_EPM!$B383="","",CALC_EPM!G383)</f>
      </c>
      <c r="H394" s="11" t="str">
        <f>IF(CALC_EPM!$B383="","",CALC_EPM!H383)</f>
      </c>
      <c r="I394" s="11" t="str">
        <f>IF(CALC_EPM!$B383="","",CALC_EPM!I383)</f>
      </c>
      <c r="J394" t="str">
        <f>IF(CALC_EPM!$B383="","",CALC_EPM!J383)</f>
      </c>
      <c r="K394" t="str">
        <f>IF(CALC_EPM!$B383="","",CALC_EPM!K383)</f>
      </c>
      <c r="L394">
        <f>IF(CALC_EPM!$B383="","",CALC_EPM!L383)</f>
      </c>
      <c r="M394">
        <f>IF(CALC_EPM!$B383="","",CALC_EPM!M383)</f>
      </c>
      <c r="N394">
        <f>IF(CALC_EPM!$B383="","",CALC_EPM!N383)</f>
      </c>
      <c r="O394">
        <f>IF(CALC_EPM!$B383="","",CALC_EPM!O383)</f>
      </c>
      <c r="P394">
        <f>IF(CALC_EPM!$B383="","",CALC_EPM!P383)</f>
      </c>
      <c r="Q394">
        <f>IF(CALC_EPM!$B383="","",CALC_EPM!Q383)</f>
      </c>
      <c r="R394">
        <f>IF(CALC_EPM!$B383="","",CALC_EPM!R383)</f>
      </c>
      <c r="S394">
        <f>IF(CALC_EPM!$B383="","",CALC_EPM!S383)</f>
      </c>
      <c r="T394">
        <f>IF(CALC_EPM!$B383="","",CALC_EPM!T383)</f>
      </c>
      <c r="U394">
        <f>IF(CALC_EPM!$B383="","",CALC_EPM!U383)</f>
      </c>
    </row>
    <row r="395">
      <c r="A395" t="str">
        <f>IF(CALC_EPM!$B384="","",IF(CALC_EPM!A384="GLOBAL",IF(CALC_EPM!C384="Total","GLOBAL",IF(CALC_EPM!C384="TotalEsp","GLOBAL_ESP",IF(CALC_EPM!C384="TotalNoEsp","GLOBAL_NOESP","GLOBAL_ASIG"))),IF(CALC_EPM!C384="Total","CURSO_TOTAL",IF(CALC_EPM!C384="TotalEsp","CURSO_ESP",IF(CALC_EPM!C384="TotalNoEsp","CURSO_NOESP","CURSO_ASIG")))))</f>
      </c>
      <c r="B395" t="str">
        <f>IF(CALC_EPM!$B384="","",CALC_EPM!A384)</f>
      </c>
      <c r="C395" t="str">
        <f>IF(CALC_EPM!$B384="","",CALC_EPM!B384)</f>
      </c>
      <c r="D395">
        <f>IF(CALC_EPM!$B384="","",CALC_EPM!D384)</f>
      </c>
      <c r="E395" s="10" t="str">
        <f>IF(CALC_EPM!$B384="","",CALC_EPM!E384)</f>
      </c>
      <c r="F395" s="10" t="str">
        <f>IF(CALC_EPM!$B384="","",CALC_EPM!F384)</f>
      </c>
      <c r="G395" t="str">
        <f>IF(CALC_EPM!$B384="","",CALC_EPM!G384)</f>
      </c>
      <c r="H395" s="11" t="str">
        <f>IF(CALC_EPM!$B384="","",CALC_EPM!H384)</f>
      </c>
      <c r="I395" s="11" t="str">
        <f>IF(CALC_EPM!$B384="","",CALC_EPM!I384)</f>
      </c>
      <c r="J395" t="str">
        <f>IF(CALC_EPM!$B384="","",CALC_EPM!J384)</f>
      </c>
      <c r="K395" t="str">
        <f>IF(CALC_EPM!$B384="","",CALC_EPM!K384)</f>
      </c>
      <c r="L395">
        <f>IF(CALC_EPM!$B384="","",CALC_EPM!L384)</f>
      </c>
      <c r="M395">
        <f>IF(CALC_EPM!$B384="","",CALC_EPM!M384)</f>
      </c>
      <c r="N395">
        <f>IF(CALC_EPM!$B384="","",CALC_EPM!N384)</f>
      </c>
      <c r="O395">
        <f>IF(CALC_EPM!$B384="","",CALC_EPM!O384)</f>
      </c>
      <c r="P395">
        <f>IF(CALC_EPM!$B384="","",CALC_EPM!P384)</f>
      </c>
      <c r="Q395">
        <f>IF(CALC_EPM!$B384="","",CALC_EPM!Q384)</f>
      </c>
      <c r="R395">
        <f>IF(CALC_EPM!$B384="","",CALC_EPM!R384)</f>
      </c>
      <c r="S395">
        <f>IF(CALC_EPM!$B384="","",CALC_EPM!S384)</f>
      </c>
      <c r="T395">
        <f>IF(CALC_EPM!$B384="","",CALC_EPM!T384)</f>
      </c>
      <c r="U395">
        <f>IF(CALC_EPM!$B384="","",CALC_EPM!U384)</f>
      </c>
    </row>
    <row r="396">
      <c r="A396" t="str">
        <f>IF(CALC_EPM!$B385="","",IF(CALC_EPM!A385="GLOBAL",IF(CALC_EPM!C385="Total","GLOBAL",IF(CALC_EPM!C385="TotalEsp","GLOBAL_ESP",IF(CALC_EPM!C385="TotalNoEsp","GLOBAL_NOESP","GLOBAL_ASIG"))),IF(CALC_EPM!C385="Total","CURSO_TOTAL",IF(CALC_EPM!C385="TotalEsp","CURSO_ESP",IF(CALC_EPM!C385="TotalNoEsp","CURSO_NOESP","CURSO_ASIG")))))</f>
      </c>
      <c r="B396" t="str">
        <f>IF(CALC_EPM!$B385="","",CALC_EPM!A385)</f>
      </c>
      <c r="C396" t="str">
        <f>IF(CALC_EPM!$B385="","",CALC_EPM!B385)</f>
      </c>
      <c r="D396">
        <f>IF(CALC_EPM!$B385="","",CALC_EPM!D385)</f>
      </c>
      <c r="E396" s="10" t="str">
        <f>IF(CALC_EPM!$B385="","",CALC_EPM!E385)</f>
      </c>
      <c r="F396" s="10" t="str">
        <f>IF(CALC_EPM!$B385="","",CALC_EPM!F385)</f>
      </c>
      <c r="G396" t="str">
        <f>IF(CALC_EPM!$B385="","",CALC_EPM!G385)</f>
      </c>
      <c r="H396" s="11" t="str">
        <f>IF(CALC_EPM!$B385="","",CALC_EPM!H385)</f>
      </c>
      <c r="I396" s="11" t="str">
        <f>IF(CALC_EPM!$B385="","",CALC_EPM!I385)</f>
      </c>
      <c r="J396" t="str">
        <f>IF(CALC_EPM!$B385="","",CALC_EPM!J385)</f>
      </c>
      <c r="K396" t="str">
        <f>IF(CALC_EPM!$B385="","",CALC_EPM!K385)</f>
      </c>
      <c r="L396">
        <f>IF(CALC_EPM!$B385="","",CALC_EPM!L385)</f>
      </c>
      <c r="M396">
        <f>IF(CALC_EPM!$B385="","",CALC_EPM!M385)</f>
      </c>
      <c r="N396">
        <f>IF(CALC_EPM!$B385="","",CALC_EPM!N385)</f>
      </c>
      <c r="O396">
        <f>IF(CALC_EPM!$B385="","",CALC_EPM!O385)</f>
      </c>
      <c r="P396">
        <f>IF(CALC_EPM!$B385="","",CALC_EPM!P385)</f>
      </c>
      <c r="Q396">
        <f>IF(CALC_EPM!$B385="","",CALC_EPM!Q385)</f>
      </c>
      <c r="R396">
        <f>IF(CALC_EPM!$B385="","",CALC_EPM!R385)</f>
      </c>
      <c r="S396">
        <f>IF(CALC_EPM!$B385="","",CALC_EPM!S385)</f>
      </c>
      <c r="T396">
        <f>IF(CALC_EPM!$B385="","",CALC_EPM!T385)</f>
      </c>
      <c r="U396">
        <f>IF(CALC_EPM!$B385="","",CALC_EPM!U385)</f>
      </c>
    </row>
    <row r="397">
      <c r="A397" t="str">
        <f>IF(CALC_EPM!$B386="","",IF(CALC_EPM!A386="GLOBAL",IF(CALC_EPM!C386="Total","GLOBAL",IF(CALC_EPM!C386="TotalEsp","GLOBAL_ESP",IF(CALC_EPM!C386="TotalNoEsp","GLOBAL_NOESP","GLOBAL_ASIG"))),IF(CALC_EPM!C386="Total","CURSO_TOTAL",IF(CALC_EPM!C386="TotalEsp","CURSO_ESP",IF(CALC_EPM!C386="TotalNoEsp","CURSO_NOESP","CURSO_ASIG")))))</f>
      </c>
      <c r="B397" t="str">
        <f>IF(CALC_EPM!$B386="","",CALC_EPM!A386)</f>
      </c>
      <c r="C397" t="str">
        <f>IF(CALC_EPM!$B386="","",CALC_EPM!B386)</f>
      </c>
      <c r="D397">
        <f>IF(CALC_EPM!$B386="","",CALC_EPM!D386)</f>
      </c>
      <c r="E397" s="10" t="str">
        <f>IF(CALC_EPM!$B386="","",CALC_EPM!E386)</f>
      </c>
      <c r="F397" s="10" t="str">
        <f>IF(CALC_EPM!$B386="","",CALC_EPM!F386)</f>
      </c>
      <c r="G397" t="str">
        <f>IF(CALC_EPM!$B386="","",CALC_EPM!G386)</f>
      </c>
      <c r="H397" s="11" t="str">
        <f>IF(CALC_EPM!$B386="","",CALC_EPM!H386)</f>
      </c>
      <c r="I397" s="11" t="str">
        <f>IF(CALC_EPM!$B386="","",CALC_EPM!I386)</f>
      </c>
      <c r="J397" t="str">
        <f>IF(CALC_EPM!$B386="","",CALC_EPM!J386)</f>
      </c>
      <c r="K397" t="str">
        <f>IF(CALC_EPM!$B386="","",CALC_EPM!K386)</f>
      </c>
      <c r="L397">
        <f>IF(CALC_EPM!$B386="","",CALC_EPM!L386)</f>
      </c>
      <c r="M397">
        <f>IF(CALC_EPM!$B386="","",CALC_EPM!M386)</f>
      </c>
      <c r="N397">
        <f>IF(CALC_EPM!$B386="","",CALC_EPM!N386)</f>
      </c>
      <c r="O397">
        <f>IF(CALC_EPM!$B386="","",CALC_EPM!O386)</f>
      </c>
      <c r="P397">
        <f>IF(CALC_EPM!$B386="","",CALC_EPM!P386)</f>
      </c>
      <c r="Q397">
        <f>IF(CALC_EPM!$B386="","",CALC_EPM!Q386)</f>
      </c>
      <c r="R397">
        <f>IF(CALC_EPM!$B386="","",CALC_EPM!R386)</f>
      </c>
      <c r="S397">
        <f>IF(CALC_EPM!$B386="","",CALC_EPM!S386)</f>
      </c>
      <c r="T397">
        <f>IF(CALC_EPM!$B386="","",CALC_EPM!T386)</f>
      </c>
      <c r="U397">
        <f>IF(CALC_EPM!$B386="","",CALC_EPM!U386)</f>
      </c>
    </row>
    <row r="398">
      <c r="A398" t="str">
        <f>IF(CALC_EPM!$B387="","",IF(CALC_EPM!A387="GLOBAL",IF(CALC_EPM!C387="Total","GLOBAL",IF(CALC_EPM!C387="TotalEsp","GLOBAL_ESP",IF(CALC_EPM!C387="TotalNoEsp","GLOBAL_NOESP","GLOBAL_ASIG"))),IF(CALC_EPM!C387="Total","CURSO_TOTAL",IF(CALC_EPM!C387="TotalEsp","CURSO_ESP",IF(CALC_EPM!C387="TotalNoEsp","CURSO_NOESP","CURSO_ASIG")))))</f>
      </c>
      <c r="B398" t="str">
        <f>IF(CALC_EPM!$B387="","",CALC_EPM!A387)</f>
      </c>
      <c r="C398" t="str">
        <f>IF(CALC_EPM!$B387="","",CALC_EPM!B387)</f>
      </c>
      <c r="D398">
        <f>IF(CALC_EPM!$B387="","",CALC_EPM!D387)</f>
      </c>
      <c r="E398" s="10" t="str">
        <f>IF(CALC_EPM!$B387="","",CALC_EPM!E387)</f>
      </c>
      <c r="F398" s="10" t="str">
        <f>IF(CALC_EPM!$B387="","",CALC_EPM!F387)</f>
      </c>
      <c r="G398" t="str">
        <f>IF(CALC_EPM!$B387="","",CALC_EPM!G387)</f>
      </c>
      <c r="H398" s="11" t="str">
        <f>IF(CALC_EPM!$B387="","",CALC_EPM!H387)</f>
      </c>
      <c r="I398" s="11" t="str">
        <f>IF(CALC_EPM!$B387="","",CALC_EPM!I387)</f>
      </c>
      <c r="J398" t="str">
        <f>IF(CALC_EPM!$B387="","",CALC_EPM!J387)</f>
      </c>
      <c r="K398" t="str">
        <f>IF(CALC_EPM!$B387="","",CALC_EPM!K387)</f>
      </c>
      <c r="L398">
        <f>IF(CALC_EPM!$B387="","",CALC_EPM!L387)</f>
      </c>
      <c r="M398">
        <f>IF(CALC_EPM!$B387="","",CALC_EPM!M387)</f>
      </c>
      <c r="N398">
        <f>IF(CALC_EPM!$B387="","",CALC_EPM!N387)</f>
      </c>
      <c r="O398">
        <f>IF(CALC_EPM!$B387="","",CALC_EPM!O387)</f>
      </c>
      <c r="P398">
        <f>IF(CALC_EPM!$B387="","",CALC_EPM!P387)</f>
      </c>
      <c r="Q398">
        <f>IF(CALC_EPM!$B387="","",CALC_EPM!Q387)</f>
      </c>
      <c r="R398">
        <f>IF(CALC_EPM!$B387="","",CALC_EPM!R387)</f>
      </c>
      <c r="S398">
        <f>IF(CALC_EPM!$B387="","",CALC_EPM!S387)</f>
      </c>
      <c r="T398">
        <f>IF(CALC_EPM!$B387="","",CALC_EPM!T387)</f>
      </c>
      <c r="U398">
        <f>IF(CALC_EPM!$B387="","",CALC_EPM!U387)</f>
      </c>
    </row>
    <row r="399">
      <c r="A399" t="str">
        <f>IF(CALC_EPM!$B388="","",IF(CALC_EPM!A388="GLOBAL",IF(CALC_EPM!C388="Total","GLOBAL",IF(CALC_EPM!C388="TotalEsp","GLOBAL_ESP",IF(CALC_EPM!C388="TotalNoEsp","GLOBAL_NOESP","GLOBAL_ASIG"))),IF(CALC_EPM!C388="Total","CURSO_TOTAL",IF(CALC_EPM!C388="TotalEsp","CURSO_ESP",IF(CALC_EPM!C388="TotalNoEsp","CURSO_NOESP","CURSO_ASIG")))))</f>
      </c>
      <c r="B399" t="str">
        <f>IF(CALC_EPM!$B388="","",CALC_EPM!A388)</f>
      </c>
      <c r="C399" t="str">
        <f>IF(CALC_EPM!$B388="","",CALC_EPM!B388)</f>
      </c>
      <c r="D399">
        <f>IF(CALC_EPM!$B388="","",CALC_EPM!D388)</f>
      </c>
      <c r="E399" s="10" t="str">
        <f>IF(CALC_EPM!$B388="","",CALC_EPM!E388)</f>
      </c>
      <c r="F399" s="10" t="str">
        <f>IF(CALC_EPM!$B388="","",CALC_EPM!F388)</f>
      </c>
      <c r="G399" t="str">
        <f>IF(CALC_EPM!$B388="","",CALC_EPM!G388)</f>
      </c>
      <c r="H399" s="11" t="str">
        <f>IF(CALC_EPM!$B388="","",CALC_EPM!H388)</f>
      </c>
      <c r="I399" s="11" t="str">
        <f>IF(CALC_EPM!$B388="","",CALC_EPM!I388)</f>
      </c>
      <c r="J399" t="str">
        <f>IF(CALC_EPM!$B388="","",CALC_EPM!J388)</f>
      </c>
      <c r="K399" t="str">
        <f>IF(CALC_EPM!$B388="","",CALC_EPM!K388)</f>
      </c>
      <c r="L399">
        <f>IF(CALC_EPM!$B388="","",CALC_EPM!L388)</f>
      </c>
      <c r="M399">
        <f>IF(CALC_EPM!$B388="","",CALC_EPM!M388)</f>
      </c>
      <c r="N399">
        <f>IF(CALC_EPM!$B388="","",CALC_EPM!N388)</f>
      </c>
      <c r="O399">
        <f>IF(CALC_EPM!$B388="","",CALC_EPM!O388)</f>
      </c>
      <c r="P399">
        <f>IF(CALC_EPM!$B388="","",CALC_EPM!P388)</f>
      </c>
      <c r="Q399">
        <f>IF(CALC_EPM!$B388="","",CALC_EPM!Q388)</f>
      </c>
      <c r="R399">
        <f>IF(CALC_EPM!$B388="","",CALC_EPM!R388)</f>
      </c>
      <c r="S399">
        <f>IF(CALC_EPM!$B388="","",CALC_EPM!S388)</f>
      </c>
      <c r="T399">
        <f>IF(CALC_EPM!$B388="","",CALC_EPM!T388)</f>
      </c>
      <c r="U399">
        <f>IF(CALC_EPM!$B388="","",CALC_EPM!U388)</f>
      </c>
    </row>
    <row r="400">
      <c r="A400" t="str">
        <f>IF(CALC_EPM!$B389="","",IF(CALC_EPM!A389="GLOBAL",IF(CALC_EPM!C389="Total","GLOBAL",IF(CALC_EPM!C389="TotalEsp","GLOBAL_ESP",IF(CALC_EPM!C389="TotalNoEsp","GLOBAL_NOESP","GLOBAL_ASIG"))),IF(CALC_EPM!C389="Total","CURSO_TOTAL",IF(CALC_EPM!C389="TotalEsp","CURSO_ESP",IF(CALC_EPM!C389="TotalNoEsp","CURSO_NOESP","CURSO_ASIG")))))</f>
      </c>
      <c r="B400" t="str">
        <f>IF(CALC_EPM!$B389="","",CALC_EPM!A389)</f>
      </c>
      <c r="C400" t="str">
        <f>IF(CALC_EPM!$B389="","",CALC_EPM!B389)</f>
      </c>
      <c r="D400">
        <f>IF(CALC_EPM!$B389="","",CALC_EPM!D389)</f>
      </c>
      <c r="E400" s="10" t="str">
        <f>IF(CALC_EPM!$B389="","",CALC_EPM!E389)</f>
      </c>
      <c r="F400" s="10" t="str">
        <f>IF(CALC_EPM!$B389="","",CALC_EPM!F389)</f>
      </c>
      <c r="G400" t="str">
        <f>IF(CALC_EPM!$B389="","",CALC_EPM!G389)</f>
      </c>
      <c r="H400" s="11" t="str">
        <f>IF(CALC_EPM!$B389="","",CALC_EPM!H389)</f>
      </c>
      <c r="I400" s="11" t="str">
        <f>IF(CALC_EPM!$B389="","",CALC_EPM!I389)</f>
      </c>
      <c r="J400" t="str">
        <f>IF(CALC_EPM!$B389="","",CALC_EPM!J389)</f>
      </c>
      <c r="K400" t="str">
        <f>IF(CALC_EPM!$B389="","",CALC_EPM!K389)</f>
      </c>
      <c r="L400">
        <f>IF(CALC_EPM!$B389="","",CALC_EPM!L389)</f>
      </c>
      <c r="M400">
        <f>IF(CALC_EPM!$B389="","",CALC_EPM!M389)</f>
      </c>
      <c r="N400">
        <f>IF(CALC_EPM!$B389="","",CALC_EPM!N389)</f>
      </c>
      <c r="O400">
        <f>IF(CALC_EPM!$B389="","",CALC_EPM!O389)</f>
      </c>
      <c r="P400">
        <f>IF(CALC_EPM!$B389="","",CALC_EPM!P389)</f>
      </c>
      <c r="Q400">
        <f>IF(CALC_EPM!$B389="","",CALC_EPM!Q389)</f>
      </c>
      <c r="R400">
        <f>IF(CALC_EPM!$B389="","",CALC_EPM!R389)</f>
      </c>
      <c r="S400">
        <f>IF(CALC_EPM!$B389="","",CALC_EPM!S389)</f>
      </c>
      <c r="T400">
        <f>IF(CALC_EPM!$B389="","",CALC_EPM!T389)</f>
      </c>
      <c r="U400">
        <f>IF(CALC_EPM!$B389="","",CALC_EPM!U389)</f>
      </c>
    </row>
    <row r="401">
      <c r="A401" t="str">
        <f>IF(CALC_EPM!$B390="","",IF(CALC_EPM!A390="GLOBAL",IF(CALC_EPM!C390="Total","GLOBAL",IF(CALC_EPM!C390="TotalEsp","GLOBAL_ESP",IF(CALC_EPM!C390="TotalNoEsp","GLOBAL_NOESP","GLOBAL_ASIG"))),IF(CALC_EPM!C390="Total","CURSO_TOTAL",IF(CALC_EPM!C390="TotalEsp","CURSO_ESP",IF(CALC_EPM!C390="TotalNoEsp","CURSO_NOESP","CURSO_ASIG")))))</f>
      </c>
      <c r="B401" t="str">
        <f>IF(CALC_EPM!$B390="","",CALC_EPM!A390)</f>
      </c>
      <c r="C401" t="str">
        <f>IF(CALC_EPM!$B390="","",CALC_EPM!B390)</f>
      </c>
      <c r="D401">
        <f>IF(CALC_EPM!$B390="","",CALC_EPM!D390)</f>
      </c>
      <c r="E401" s="10" t="str">
        <f>IF(CALC_EPM!$B390="","",CALC_EPM!E390)</f>
      </c>
      <c r="F401" s="10" t="str">
        <f>IF(CALC_EPM!$B390="","",CALC_EPM!F390)</f>
      </c>
      <c r="G401" t="str">
        <f>IF(CALC_EPM!$B390="","",CALC_EPM!G390)</f>
      </c>
      <c r="H401" s="11" t="str">
        <f>IF(CALC_EPM!$B390="","",CALC_EPM!H390)</f>
      </c>
      <c r="I401" s="11" t="str">
        <f>IF(CALC_EPM!$B390="","",CALC_EPM!I390)</f>
      </c>
      <c r="J401" t="str">
        <f>IF(CALC_EPM!$B390="","",CALC_EPM!J390)</f>
      </c>
      <c r="K401" t="str">
        <f>IF(CALC_EPM!$B390="","",CALC_EPM!K390)</f>
      </c>
      <c r="L401">
        <f>IF(CALC_EPM!$B390="","",CALC_EPM!L390)</f>
      </c>
      <c r="M401">
        <f>IF(CALC_EPM!$B390="","",CALC_EPM!M390)</f>
      </c>
      <c r="N401">
        <f>IF(CALC_EPM!$B390="","",CALC_EPM!N390)</f>
      </c>
      <c r="O401">
        <f>IF(CALC_EPM!$B390="","",CALC_EPM!O390)</f>
      </c>
      <c r="P401">
        <f>IF(CALC_EPM!$B390="","",CALC_EPM!P390)</f>
      </c>
      <c r="Q401">
        <f>IF(CALC_EPM!$B390="","",CALC_EPM!Q390)</f>
      </c>
      <c r="R401">
        <f>IF(CALC_EPM!$B390="","",CALC_EPM!R390)</f>
      </c>
      <c r="S401">
        <f>IF(CALC_EPM!$B390="","",CALC_EPM!S390)</f>
      </c>
      <c r="T401">
        <f>IF(CALC_EPM!$B390="","",CALC_EPM!T390)</f>
      </c>
      <c r="U401">
        <f>IF(CALC_EPM!$B390="","",CALC_EPM!U390)</f>
      </c>
    </row>
    <row r="402">
      <c r="A402" t="str">
        <f>IF(CALC_EPM!$B391="","",IF(CALC_EPM!A391="GLOBAL",IF(CALC_EPM!C391="Total","GLOBAL",IF(CALC_EPM!C391="TotalEsp","GLOBAL_ESP",IF(CALC_EPM!C391="TotalNoEsp","GLOBAL_NOESP","GLOBAL_ASIG"))),IF(CALC_EPM!C391="Total","CURSO_TOTAL",IF(CALC_EPM!C391="TotalEsp","CURSO_ESP",IF(CALC_EPM!C391="TotalNoEsp","CURSO_NOESP","CURSO_ASIG")))))</f>
      </c>
      <c r="B402" t="str">
        <f>IF(CALC_EPM!$B391="","",CALC_EPM!A391)</f>
      </c>
      <c r="C402" t="str">
        <f>IF(CALC_EPM!$B391="","",CALC_EPM!B391)</f>
      </c>
      <c r="D402">
        <f>IF(CALC_EPM!$B391="","",CALC_EPM!D391)</f>
      </c>
      <c r="E402" s="10" t="str">
        <f>IF(CALC_EPM!$B391="","",CALC_EPM!E391)</f>
      </c>
      <c r="F402" s="10" t="str">
        <f>IF(CALC_EPM!$B391="","",CALC_EPM!F391)</f>
      </c>
      <c r="G402" t="str">
        <f>IF(CALC_EPM!$B391="","",CALC_EPM!G391)</f>
      </c>
      <c r="H402" s="11" t="str">
        <f>IF(CALC_EPM!$B391="","",CALC_EPM!H391)</f>
      </c>
      <c r="I402" s="11" t="str">
        <f>IF(CALC_EPM!$B391="","",CALC_EPM!I391)</f>
      </c>
      <c r="J402" t="str">
        <f>IF(CALC_EPM!$B391="","",CALC_EPM!J391)</f>
      </c>
      <c r="K402" t="str">
        <f>IF(CALC_EPM!$B391="","",CALC_EPM!K391)</f>
      </c>
      <c r="L402">
        <f>IF(CALC_EPM!$B391="","",CALC_EPM!L391)</f>
      </c>
      <c r="M402">
        <f>IF(CALC_EPM!$B391="","",CALC_EPM!M391)</f>
      </c>
      <c r="N402">
        <f>IF(CALC_EPM!$B391="","",CALC_EPM!N391)</f>
      </c>
      <c r="O402">
        <f>IF(CALC_EPM!$B391="","",CALC_EPM!O391)</f>
      </c>
      <c r="P402">
        <f>IF(CALC_EPM!$B391="","",CALC_EPM!P391)</f>
      </c>
      <c r="Q402">
        <f>IF(CALC_EPM!$B391="","",CALC_EPM!Q391)</f>
      </c>
      <c r="R402">
        <f>IF(CALC_EPM!$B391="","",CALC_EPM!R391)</f>
      </c>
      <c r="S402">
        <f>IF(CALC_EPM!$B391="","",CALC_EPM!S391)</f>
      </c>
      <c r="T402">
        <f>IF(CALC_EPM!$B391="","",CALC_EPM!T391)</f>
      </c>
      <c r="U402">
        <f>IF(CALC_EPM!$B391="","",CALC_EPM!U391)</f>
      </c>
    </row>
    <row r="403">
      <c r="A403" t="str">
        <f>IF(CALC_EPM!$B392="","",IF(CALC_EPM!A392="GLOBAL",IF(CALC_EPM!C392="Total","GLOBAL",IF(CALC_EPM!C392="TotalEsp","GLOBAL_ESP",IF(CALC_EPM!C392="TotalNoEsp","GLOBAL_NOESP","GLOBAL_ASIG"))),IF(CALC_EPM!C392="Total","CURSO_TOTAL",IF(CALC_EPM!C392="TotalEsp","CURSO_ESP",IF(CALC_EPM!C392="TotalNoEsp","CURSO_NOESP","CURSO_ASIG")))))</f>
      </c>
      <c r="B403" t="str">
        <f>IF(CALC_EPM!$B392="","",CALC_EPM!A392)</f>
      </c>
      <c r="C403" t="str">
        <f>IF(CALC_EPM!$B392="","",CALC_EPM!B392)</f>
      </c>
      <c r="D403">
        <f>IF(CALC_EPM!$B392="","",CALC_EPM!D392)</f>
      </c>
      <c r="E403" s="10" t="str">
        <f>IF(CALC_EPM!$B392="","",CALC_EPM!E392)</f>
      </c>
      <c r="F403" s="10" t="str">
        <f>IF(CALC_EPM!$B392="","",CALC_EPM!F392)</f>
      </c>
      <c r="G403" t="str">
        <f>IF(CALC_EPM!$B392="","",CALC_EPM!G392)</f>
      </c>
      <c r="H403" s="11" t="str">
        <f>IF(CALC_EPM!$B392="","",CALC_EPM!H392)</f>
      </c>
      <c r="I403" s="11" t="str">
        <f>IF(CALC_EPM!$B392="","",CALC_EPM!I392)</f>
      </c>
      <c r="J403" t="str">
        <f>IF(CALC_EPM!$B392="","",CALC_EPM!J392)</f>
      </c>
      <c r="K403" t="str">
        <f>IF(CALC_EPM!$B392="","",CALC_EPM!K392)</f>
      </c>
      <c r="L403">
        <f>IF(CALC_EPM!$B392="","",CALC_EPM!L392)</f>
      </c>
      <c r="M403">
        <f>IF(CALC_EPM!$B392="","",CALC_EPM!M392)</f>
      </c>
      <c r="N403">
        <f>IF(CALC_EPM!$B392="","",CALC_EPM!N392)</f>
      </c>
      <c r="O403">
        <f>IF(CALC_EPM!$B392="","",CALC_EPM!O392)</f>
      </c>
      <c r="P403">
        <f>IF(CALC_EPM!$B392="","",CALC_EPM!P392)</f>
      </c>
      <c r="Q403">
        <f>IF(CALC_EPM!$B392="","",CALC_EPM!Q392)</f>
      </c>
      <c r="R403">
        <f>IF(CALC_EPM!$B392="","",CALC_EPM!R392)</f>
      </c>
      <c r="S403">
        <f>IF(CALC_EPM!$B392="","",CALC_EPM!S392)</f>
      </c>
      <c r="T403">
        <f>IF(CALC_EPM!$B392="","",CALC_EPM!T392)</f>
      </c>
      <c r="U403">
        <f>IF(CALC_EPM!$B392="","",CALC_EPM!U392)</f>
      </c>
    </row>
    <row r="404">
      <c r="A404" t="str">
        <f>IF(CALC_EPM!$B393="","",IF(CALC_EPM!A393="GLOBAL",IF(CALC_EPM!C393="Total","GLOBAL",IF(CALC_EPM!C393="TotalEsp","GLOBAL_ESP",IF(CALC_EPM!C393="TotalNoEsp","GLOBAL_NOESP","GLOBAL_ASIG"))),IF(CALC_EPM!C393="Total","CURSO_TOTAL",IF(CALC_EPM!C393="TotalEsp","CURSO_ESP",IF(CALC_EPM!C393="TotalNoEsp","CURSO_NOESP","CURSO_ASIG")))))</f>
      </c>
      <c r="B404" t="str">
        <f>IF(CALC_EPM!$B393="","",CALC_EPM!A393)</f>
      </c>
      <c r="C404" t="str">
        <f>IF(CALC_EPM!$B393="","",CALC_EPM!B393)</f>
      </c>
      <c r="D404">
        <f>IF(CALC_EPM!$B393="","",CALC_EPM!D393)</f>
      </c>
      <c r="E404" s="10" t="str">
        <f>IF(CALC_EPM!$B393="","",CALC_EPM!E393)</f>
      </c>
      <c r="F404" s="10" t="str">
        <f>IF(CALC_EPM!$B393="","",CALC_EPM!F393)</f>
      </c>
      <c r="G404" t="str">
        <f>IF(CALC_EPM!$B393="","",CALC_EPM!G393)</f>
      </c>
      <c r="H404" s="11" t="str">
        <f>IF(CALC_EPM!$B393="","",CALC_EPM!H393)</f>
      </c>
      <c r="I404" s="11" t="str">
        <f>IF(CALC_EPM!$B393="","",CALC_EPM!I393)</f>
      </c>
      <c r="J404" t="str">
        <f>IF(CALC_EPM!$B393="","",CALC_EPM!J393)</f>
      </c>
      <c r="K404" t="str">
        <f>IF(CALC_EPM!$B393="","",CALC_EPM!K393)</f>
      </c>
      <c r="L404">
        <f>IF(CALC_EPM!$B393="","",CALC_EPM!L393)</f>
      </c>
      <c r="M404">
        <f>IF(CALC_EPM!$B393="","",CALC_EPM!M393)</f>
      </c>
      <c r="N404">
        <f>IF(CALC_EPM!$B393="","",CALC_EPM!N393)</f>
      </c>
      <c r="O404">
        <f>IF(CALC_EPM!$B393="","",CALC_EPM!O393)</f>
      </c>
      <c r="P404">
        <f>IF(CALC_EPM!$B393="","",CALC_EPM!P393)</f>
      </c>
      <c r="Q404">
        <f>IF(CALC_EPM!$B393="","",CALC_EPM!Q393)</f>
      </c>
      <c r="R404">
        <f>IF(CALC_EPM!$B393="","",CALC_EPM!R393)</f>
      </c>
      <c r="S404">
        <f>IF(CALC_EPM!$B393="","",CALC_EPM!S393)</f>
      </c>
      <c r="T404">
        <f>IF(CALC_EPM!$B393="","",CALC_EPM!T393)</f>
      </c>
      <c r="U404">
        <f>IF(CALC_EPM!$B393="","",CALC_EPM!U393)</f>
      </c>
    </row>
    <row r="405">
      <c r="A405" t="str">
        <f>IF(CALC_EPM!$B394="","",IF(CALC_EPM!A394="GLOBAL",IF(CALC_EPM!C394="Total","GLOBAL",IF(CALC_EPM!C394="TotalEsp","GLOBAL_ESP",IF(CALC_EPM!C394="TotalNoEsp","GLOBAL_NOESP","GLOBAL_ASIG"))),IF(CALC_EPM!C394="Total","CURSO_TOTAL",IF(CALC_EPM!C394="TotalEsp","CURSO_ESP",IF(CALC_EPM!C394="TotalNoEsp","CURSO_NOESP","CURSO_ASIG")))))</f>
      </c>
      <c r="B405" t="str">
        <f>IF(CALC_EPM!$B394="","",CALC_EPM!A394)</f>
      </c>
      <c r="C405" t="str">
        <f>IF(CALC_EPM!$B394="","",CALC_EPM!B394)</f>
      </c>
      <c r="D405">
        <f>IF(CALC_EPM!$B394="","",CALC_EPM!D394)</f>
      </c>
      <c r="E405" s="10" t="str">
        <f>IF(CALC_EPM!$B394="","",CALC_EPM!E394)</f>
      </c>
      <c r="F405" s="10" t="str">
        <f>IF(CALC_EPM!$B394="","",CALC_EPM!F394)</f>
      </c>
      <c r="G405" t="str">
        <f>IF(CALC_EPM!$B394="","",CALC_EPM!G394)</f>
      </c>
      <c r="H405" s="11" t="str">
        <f>IF(CALC_EPM!$B394="","",CALC_EPM!H394)</f>
      </c>
      <c r="I405" s="11" t="str">
        <f>IF(CALC_EPM!$B394="","",CALC_EPM!I394)</f>
      </c>
      <c r="J405" t="str">
        <f>IF(CALC_EPM!$B394="","",CALC_EPM!J394)</f>
      </c>
      <c r="K405" t="str">
        <f>IF(CALC_EPM!$B394="","",CALC_EPM!K394)</f>
      </c>
      <c r="L405">
        <f>IF(CALC_EPM!$B394="","",CALC_EPM!L394)</f>
      </c>
      <c r="M405">
        <f>IF(CALC_EPM!$B394="","",CALC_EPM!M394)</f>
      </c>
      <c r="N405">
        <f>IF(CALC_EPM!$B394="","",CALC_EPM!N394)</f>
      </c>
      <c r="O405">
        <f>IF(CALC_EPM!$B394="","",CALC_EPM!O394)</f>
      </c>
      <c r="P405">
        <f>IF(CALC_EPM!$B394="","",CALC_EPM!P394)</f>
      </c>
      <c r="Q405">
        <f>IF(CALC_EPM!$B394="","",CALC_EPM!Q394)</f>
      </c>
      <c r="R405">
        <f>IF(CALC_EPM!$B394="","",CALC_EPM!R394)</f>
      </c>
      <c r="S405">
        <f>IF(CALC_EPM!$B394="","",CALC_EPM!S394)</f>
      </c>
      <c r="T405">
        <f>IF(CALC_EPM!$B394="","",CALC_EPM!T394)</f>
      </c>
      <c r="U405">
        <f>IF(CALC_EPM!$B394="","",CALC_EPM!U394)</f>
      </c>
    </row>
    <row r="406">
      <c r="A406" t="str">
        <f>IF(CALC_EPM!$B395="","",IF(CALC_EPM!A395="GLOBAL",IF(CALC_EPM!C395="Total","GLOBAL",IF(CALC_EPM!C395="TotalEsp","GLOBAL_ESP",IF(CALC_EPM!C395="TotalNoEsp","GLOBAL_NOESP","GLOBAL_ASIG"))),IF(CALC_EPM!C395="Total","CURSO_TOTAL",IF(CALC_EPM!C395="TotalEsp","CURSO_ESP",IF(CALC_EPM!C395="TotalNoEsp","CURSO_NOESP","CURSO_ASIG")))))</f>
      </c>
      <c r="B406" t="str">
        <f>IF(CALC_EPM!$B395="","",CALC_EPM!A395)</f>
      </c>
      <c r="C406" t="str">
        <f>IF(CALC_EPM!$B395="","",CALC_EPM!B395)</f>
      </c>
      <c r="D406">
        <f>IF(CALC_EPM!$B395="","",CALC_EPM!D395)</f>
      </c>
      <c r="E406" s="10" t="str">
        <f>IF(CALC_EPM!$B395="","",CALC_EPM!E395)</f>
      </c>
      <c r="F406" s="10" t="str">
        <f>IF(CALC_EPM!$B395="","",CALC_EPM!F395)</f>
      </c>
      <c r="G406" t="str">
        <f>IF(CALC_EPM!$B395="","",CALC_EPM!G395)</f>
      </c>
      <c r="H406" s="11" t="str">
        <f>IF(CALC_EPM!$B395="","",CALC_EPM!H395)</f>
      </c>
      <c r="I406" s="11" t="str">
        <f>IF(CALC_EPM!$B395="","",CALC_EPM!I395)</f>
      </c>
      <c r="J406" t="str">
        <f>IF(CALC_EPM!$B395="","",CALC_EPM!J395)</f>
      </c>
      <c r="K406" t="str">
        <f>IF(CALC_EPM!$B395="","",CALC_EPM!K395)</f>
      </c>
      <c r="L406">
        <f>IF(CALC_EPM!$B395="","",CALC_EPM!L395)</f>
      </c>
      <c r="M406">
        <f>IF(CALC_EPM!$B395="","",CALC_EPM!M395)</f>
      </c>
      <c r="N406">
        <f>IF(CALC_EPM!$B395="","",CALC_EPM!N395)</f>
      </c>
      <c r="O406">
        <f>IF(CALC_EPM!$B395="","",CALC_EPM!O395)</f>
      </c>
      <c r="P406">
        <f>IF(CALC_EPM!$B395="","",CALC_EPM!P395)</f>
      </c>
      <c r="Q406">
        <f>IF(CALC_EPM!$B395="","",CALC_EPM!Q395)</f>
      </c>
      <c r="R406">
        <f>IF(CALC_EPM!$B395="","",CALC_EPM!R395)</f>
      </c>
      <c r="S406">
        <f>IF(CALC_EPM!$B395="","",CALC_EPM!S395)</f>
      </c>
      <c r="T406">
        <f>IF(CALC_EPM!$B395="","",CALC_EPM!T395)</f>
      </c>
      <c r="U406">
        <f>IF(CALC_EPM!$B395="","",CALC_EPM!U395)</f>
      </c>
    </row>
    <row r="407">
      <c r="A407" t="str">
        <f>IF(CALC_EPM!$B396="","",IF(CALC_EPM!A396="GLOBAL",IF(CALC_EPM!C396="Total","GLOBAL",IF(CALC_EPM!C396="TotalEsp","GLOBAL_ESP",IF(CALC_EPM!C396="TotalNoEsp","GLOBAL_NOESP","GLOBAL_ASIG"))),IF(CALC_EPM!C396="Total","CURSO_TOTAL",IF(CALC_EPM!C396="TotalEsp","CURSO_ESP",IF(CALC_EPM!C396="TotalNoEsp","CURSO_NOESP","CURSO_ASIG")))))</f>
      </c>
      <c r="B407" t="str">
        <f>IF(CALC_EPM!$B396="","",CALC_EPM!A396)</f>
      </c>
      <c r="C407" t="str">
        <f>IF(CALC_EPM!$B396="","",CALC_EPM!B396)</f>
      </c>
      <c r="D407">
        <f>IF(CALC_EPM!$B396="","",CALC_EPM!D396)</f>
      </c>
      <c r="E407" s="10" t="str">
        <f>IF(CALC_EPM!$B396="","",CALC_EPM!E396)</f>
      </c>
      <c r="F407" s="10" t="str">
        <f>IF(CALC_EPM!$B396="","",CALC_EPM!F396)</f>
      </c>
      <c r="G407" t="str">
        <f>IF(CALC_EPM!$B396="","",CALC_EPM!G396)</f>
      </c>
      <c r="H407" s="11" t="str">
        <f>IF(CALC_EPM!$B396="","",CALC_EPM!H396)</f>
      </c>
      <c r="I407" s="11" t="str">
        <f>IF(CALC_EPM!$B396="","",CALC_EPM!I396)</f>
      </c>
      <c r="J407" t="str">
        <f>IF(CALC_EPM!$B396="","",CALC_EPM!J396)</f>
      </c>
      <c r="K407" t="str">
        <f>IF(CALC_EPM!$B396="","",CALC_EPM!K396)</f>
      </c>
      <c r="L407">
        <f>IF(CALC_EPM!$B396="","",CALC_EPM!L396)</f>
      </c>
      <c r="M407">
        <f>IF(CALC_EPM!$B396="","",CALC_EPM!M396)</f>
      </c>
      <c r="N407">
        <f>IF(CALC_EPM!$B396="","",CALC_EPM!N396)</f>
      </c>
      <c r="O407">
        <f>IF(CALC_EPM!$B396="","",CALC_EPM!O396)</f>
      </c>
      <c r="P407">
        <f>IF(CALC_EPM!$B396="","",CALC_EPM!P396)</f>
      </c>
      <c r="Q407">
        <f>IF(CALC_EPM!$B396="","",CALC_EPM!Q396)</f>
      </c>
      <c r="R407">
        <f>IF(CALC_EPM!$B396="","",CALC_EPM!R396)</f>
      </c>
      <c r="S407">
        <f>IF(CALC_EPM!$B396="","",CALC_EPM!S396)</f>
      </c>
      <c r="T407">
        <f>IF(CALC_EPM!$B396="","",CALC_EPM!T396)</f>
      </c>
      <c r="U407">
        <f>IF(CALC_EPM!$B396="","",CALC_EPM!U396)</f>
      </c>
    </row>
    <row r="408">
      <c r="A408" t="str">
        <f>IF(CALC_EPM!$B397="","",IF(CALC_EPM!A397="GLOBAL",IF(CALC_EPM!C397="Total","GLOBAL",IF(CALC_EPM!C397="TotalEsp","GLOBAL_ESP",IF(CALC_EPM!C397="TotalNoEsp","GLOBAL_NOESP","GLOBAL_ASIG"))),IF(CALC_EPM!C397="Total","CURSO_TOTAL",IF(CALC_EPM!C397="TotalEsp","CURSO_ESP",IF(CALC_EPM!C397="TotalNoEsp","CURSO_NOESP","CURSO_ASIG")))))</f>
      </c>
      <c r="B408" t="str">
        <f>IF(CALC_EPM!$B397="","",CALC_EPM!A397)</f>
      </c>
      <c r="C408" t="str">
        <f>IF(CALC_EPM!$B397="","",CALC_EPM!B397)</f>
      </c>
      <c r="D408">
        <f>IF(CALC_EPM!$B397="","",CALC_EPM!D397)</f>
      </c>
      <c r="E408" s="10" t="str">
        <f>IF(CALC_EPM!$B397="","",CALC_EPM!E397)</f>
      </c>
      <c r="F408" s="10" t="str">
        <f>IF(CALC_EPM!$B397="","",CALC_EPM!F397)</f>
      </c>
      <c r="G408" t="str">
        <f>IF(CALC_EPM!$B397="","",CALC_EPM!G397)</f>
      </c>
      <c r="H408" s="11" t="str">
        <f>IF(CALC_EPM!$B397="","",CALC_EPM!H397)</f>
      </c>
      <c r="I408" s="11" t="str">
        <f>IF(CALC_EPM!$B397="","",CALC_EPM!I397)</f>
      </c>
      <c r="J408" t="str">
        <f>IF(CALC_EPM!$B397="","",CALC_EPM!J397)</f>
      </c>
      <c r="K408" t="str">
        <f>IF(CALC_EPM!$B397="","",CALC_EPM!K397)</f>
      </c>
      <c r="L408">
        <f>IF(CALC_EPM!$B397="","",CALC_EPM!L397)</f>
      </c>
      <c r="M408">
        <f>IF(CALC_EPM!$B397="","",CALC_EPM!M397)</f>
      </c>
      <c r="N408">
        <f>IF(CALC_EPM!$B397="","",CALC_EPM!N397)</f>
      </c>
      <c r="O408">
        <f>IF(CALC_EPM!$B397="","",CALC_EPM!O397)</f>
      </c>
      <c r="P408">
        <f>IF(CALC_EPM!$B397="","",CALC_EPM!P397)</f>
      </c>
      <c r="Q408">
        <f>IF(CALC_EPM!$B397="","",CALC_EPM!Q397)</f>
      </c>
      <c r="R408">
        <f>IF(CALC_EPM!$B397="","",CALC_EPM!R397)</f>
      </c>
      <c r="S408">
        <f>IF(CALC_EPM!$B397="","",CALC_EPM!S397)</f>
      </c>
      <c r="T408">
        <f>IF(CALC_EPM!$B397="","",CALC_EPM!T397)</f>
      </c>
      <c r="U408">
        <f>IF(CALC_EPM!$B397="","",CALC_EPM!U397)</f>
      </c>
    </row>
    <row r="409">
      <c r="A409" t="str">
        <f>IF(CALC_EPM!$B398="","",IF(CALC_EPM!A398="GLOBAL",IF(CALC_EPM!C398="Total","GLOBAL",IF(CALC_EPM!C398="TotalEsp","GLOBAL_ESP",IF(CALC_EPM!C398="TotalNoEsp","GLOBAL_NOESP","GLOBAL_ASIG"))),IF(CALC_EPM!C398="Total","CURSO_TOTAL",IF(CALC_EPM!C398="TotalEsp","CURSO_ESP",IF(CALC_EPM!C398="TotalNoEsp","CURSO_NOESP","CURSO_ASIG")))))</f>
      </c>
      <c r="B409" t="str">
        <f>IF(CALC_EPM!$B398="","",CALC_EPM!A398)</f>
      </c>
      <c r="C409" t="str">
        <f>IF(CALC_EPM!$B398="","",CALC_EPM!B398)</f>
      </c>
      <c r="D409">
        <f>IF(CALC_EPM!$B398="","",CALC_EPM!D398)</f>
      </c>
      <c r="E409" s="10" t="str">
        <f>IF(CALC_EPM!$B398="","",CALC_EPM!E398)</f>
      </c>
      <c r="F409" s="10" t="str">
        <f>IF(CALC_EPM!$B398="","",CALC_EPM!F398)</f>
      </c>
      <c r="G409" t="str">
        <f>IF(CALC_EPM!$B398="","",CALC_EPM!G398)</f>
      </c>
      <c r="H409" s="11" t="str">
        <f>IF(CALC_EPM!$B398="","",CALC_EPM!H398)</f>
      </c>
      <c r="I409" s="11" t="str">
        <f>IF(CALC_EPM!$B398="","",CALC_EPM!I398)</f>
      </c>
      <c r="J409" t="str">
        <f>IF(CALC_EPM!$B398="","",CALC_EPM!J398)</f>
      </c>
      <c r="K409" t="str">
        <f>IF(CALC_EPM!$B398="","",CALC_EPM!K398)</f>
      </c>
      <c r="L409">
        <f>IF(CALC_EPM!$B398="","",CALC_EPM!L398)</f>
      </c>
      <c r="M409">
        <f>IF(CALC_EPM!$B398="","",CALC_EPM!M398)</f>
      </c>
      <c r="N409">
        <f>IF(CALC_EPM!$B398="","",CALC_EPM!N398)</f>
      </c>
      <c r="O409">
        <f>IF(CALC_EPM!$B398="","",CALC_EPM!O398)</f>
      </c>
      <c r="P409">
        <f>IF(CALC_EPM!$B398="","",CALC_EPM!P398)</f>
      </c>
      <c r="Q409">
        <f>IF(CALC_EPM!$B398="","",CALC_EPM!Q398)</f>
      </c>
      <c r="R409">
        <f>IF(CALC_EPM!$B398="","",CALC_EPM!R398)</f>
      </c>
      <c r="S409">
        <f>IF(CALC_EPM!$B398="","",CALC_EPM!S398)</f>
      </c>
      <c r="T409">
        <f>IF(CALC_EPM!$B398="","",CALC_EPM!T398)</f>
      </c>
      <c r="U409">
        <f>IF(CALC_EPM!$B398="","",CALC_EPM!U398)</f>
      </c>
    </row>
    <row r="410">
      <c r="A410" t="str">
        <f>IF(CALC_EPM!$B399="","",IF(CALC_EPM!A399="GLOBAL",IF(CALC_EPM!C399="Total","GLOBAL",IF(CALC_EPM!C399="TotalEsp","GLOBAL_ESP",IF(CALC_EPM!C399="TotalNoEsp","GLOBAL_NOESP","GLOBAL_ASIG"))),IF(CALC_EPM!C399="Total","CURSO_TOTAL",IF(CALC_EPM!C399="TotalEsp","CURSO_ESP",IF(CALC_EPM!C399="TotalNoEsp","CURSO_NOESP","CURSO_ASIG")))))</f>
      </c>
      <c r="B410" t="str">
        <f>IF(CALC_EPM!$B399="","",CALC_EPM!A399)</f>
      </c>
      <c r="C410" t="str">
        <f>IF(CALC_EPM!$B399="","",CALC_EPM!B399)</f>
      </c>
      <c r="D410">
        <f>IF(CALC_EPM!$B399="","",CALC_EPM!D399)</f>
      </c>
      <c r="E410" s="10" t="str">
        <f>IF(CALC_EPM!$B399="","",CALC_EPM!E399)</f>
      </c>
      <c r="F410" s="10" t="str">
        <f>IF(CALC_EPM!$B399="","",CALC_EPM!F399)</f>
      </c>
      <c r="G410" t="str">
        <f>IF(CALC_EPM!$B399="","",CALC_EPM!G399)</f>
      </c>
      <c r="H410" s="11" t="str">
        <f>IF(CALC_EPM!$B399="","",CALC_EPM!H399)</f>
      </c>
      <c r="I410" s="11" t="str">
        <f>IF(CALC_EPM!$B399="","",CALC_EPM!I399)</f>
      </c>
      <c r="J410" t="str">
        <f>IF(CALC_EPM!$B399="","",CALC_EPM!J399)</f>
      </c>
      <c r="K410" t="str">
        <f>IF(CALC_EPM!$B399="","",CALC_EPM!K399)</f>
      </c>
      <c r="L410">
        <f>IF(CALC_EPM!$B399="","",CALC_EPM!L399)</f>
      </c>
      <c r="M410">
        <f>IF(CALC_EPM!$B399="","",CALC_EPM!M399)</f>
      </c>
      <c r="N410">
        <f>IF(CALC_EPM!$B399="","",CALC_EPM!N399)</f>
      </c>
      <c r="O410">
        <f>IF(CALC_EPM!$B399="","",CALC_EPM!O399)</f>
      </c>
      <c r="P410">
        <f>IF(CALC_EPM!$B399="","",CALC_EPM!P399)</f>
      </c>
      <c r="Q410">
        <f>IF(CALC_EPM!$B399="","",CALC_EPM!Q399)</f>
      </c>
      <c r="R410">
        <f>IF(CALC_EPM!$B399="","",CALC_EPM!R399)</f>
      </c>
      <c r="S410">
        <f>IF(CALC_EPM!$B399="","",CALC_EPM!S399)</f>
      </c>
      <c r="T410">
        <f>IF(CALC_EPM!$B399="","",CALC_EPM!T399)</f>
      </c>
      <c r="U410">
        <f>IF(CALC_EPM!$B399="","",CALC_EPM!U399)</f>
      </c>
    </row>
    <row r="411">
      <c r="A411" t="str">
        <f>IF(CALC_EPM!$B400="","",IF(CALC_EPM!A400="GLOBAL",IF(CALC_EPM!C400="Total","GLOBAL",IF(CALC_EPM!C400="TotalEsp","GLOBAL_ESP",IF(CALC_EPM!C400="TotalNoEsp","GLOBAL_NOESP","GLOBAL_ASIG"))),IF(CALC_EPM!C400="Total","CURSO_TOTAL",IF(CALC_EPM!C400="TotalEsp","CURSO_ESP",IF(CALC_EPM!C400="TotalNoEsp","CURSO_NOESP","CURSO_ASIG")))))</f>
      </c>
      <c r="B411" t="str">
        <f>IF(CALC_EPM!$B400="","",CALC_EPM!A400)</f>
      </c>
      <c r="C411" t="str">
        <f>IF(CALC_EPM!$B400="","",CALC_EPM!B400)</f>
      </c>
      <c r="D411">
        <f>IF(CALC_EPM!$B400="","",CALC_EPM!D400)</f>
      </c>
      <c r="E411" s="10" t="str">
        <f>IF(CALC_EPM!$B400="","",CALC_EPM!E400)</f>
      </c>
      <c r="F411" s="10" t="str">
        <f>IF(CALC_EPM!$B400="","",CALC_EPM!F400)</f>
      </c>
      <c r="G411" t="str">
        <f>IF(CALC_EPM!$B400="","",CALC_EPM!G400)</f>
      </c>
      <c r="H411" s="11" t="str">
        <f>IF(CALC_EPM!$B400="","",CALC_EPM!H400)</f>
      </c>
      <c r="I411" s="11" t="str">
        <f>IF(CALC_EPM!$B400="","",CALC_EPM!I400)</f>
      </c>
      <c r="J411" t="str">
        <f>IF(CALC_EPM!$B400="","",CALC_EPM!J400)</f>
      </c>
      <c r="K411" t="str">
        <f>IF(CALC_EPM!$B400="","",CALC_EPM!K400)</f>
      </c>
      <c r="L411">
        <f>IF(CALC_EPM!$B400="","",CALC_EPM!L400)</f>
      </c>
      <c r="M411">
        <f>IF(CALC_EPM!$B400="","",CALC_EPM!M400)</f>
      </c>
      <c r="N411">
        <f>IF(CALC_EPM!$B400="","",CALC_EPM!N400)</f>
      </c>
      <c r="O411">
        <f>IF(CALC_EPM!$B400="","",CALC_EPM!O400)</f>
      </c>
      <c r="P411">
        <f>IF(CALC_EPM!$B400="","",CALC_EPM!P400)</f>
      </c>
      <c r="Q411">
        <f>IF(CALC_EPM!$B400="","",CALC_EPM!Q400)</f>
      </c>
      <c r="R411">
        <f>IF(CALC_EPM!$B400="","",CALC_EPM!R400)</f>
      </c>
      <c r="S411">
        <f>IF(CALC_EPM!$B400="","",CALC_EPM!S400)</f>
      </c>
      <c r="T411">
        <f>IF(CALC_EPM!$B400="","",CALC_EPM!T400)</f>
      </c>
      <c r="U411">
        <f>IF(CALC_EPM!$B400="","",CALC_EPM!U400)</f>
      </c>
    </row>
    <row r="412">
      <c r="A412" t="str">
        <f>IF(CALC_EPM!$B401="","",IF(CALC_EPM!A401="GLOBAL",IF(CALC_EPM!C401="Total","GLOBAL",IF(CALC_EPM!C401="TotalEsp","GLOBAL_ESP",IF(CALC_EPM!C401="TotalNoEsp","GLOBAL_NOESP","GLOBAL_ASIG"))),IF(CALC_EPM!C401="Total","CURSO_TOTAL",IF(CALC_EPM!C401="TotalEsp","CURSO_ESP",IF(CALC_EPM!C401="TotalNoEsp","CURSO_NOESP","CURSO_ASIG")))))</f>
      </c>
      <c r="B412" t="str">
        <f>IF(CALC_EPM!$B401="","",CALC_EPM!A401)</f>
      </c>
      <c r="C412" t="str">
        <f>IF(CALC_EPM!$B401="","",CALC_EPM!B401)</f>
      </c>
      <c r="D412">
        <f>IF(CALC_EPM!$B401="","",CALC_EPM!D401)</f>
      </c>
      <c r="E412" s="10" t="str">
        <f>IF(CALC_EPM!$B401="","",CALC_EPM!E401)</f>
      </c>
      <c r="F412" s="10" t="str">
        <f>IF(CALC_EPM!$B401="","",CALC_EPM!F401)</f>
      </c>
      <c r="G412" t="str">
        <f>IF(CALC_EPM!$B401="","",CALC_EPM!G401)</f>
      </c>
      <c r="H412" s="11" t="str">
        <f>IF(CALC_EPM!$B401="","",CALC_EPM!H401)</f>
      </c>
      <c r="I412" s="11" t="str">
        <f>IF(CALC_EPM!$B401="","",CALC_EPM!I401)</f>
      </c>
      <c r="J412" t="str">
        <f>IF(CALC_EPM!$B401="","",CALC_EPM!J401)</f>
      </c>
      <c r="K412" t="str">
        <f>IF(CALC_EPM!$B401="","",CALC_EPM!K401)</f>
      </c>
      <c r="L412">
        <f>IF(CALC_EPM!$B401="","",CALC_EPM!L401)</f>
      </c>
      <c r="M412">
        <f>IF(CALC_EPM!$B401="","",CALC_EPM!M401)</f>
      </c>
      <c r="N412">
        <f>IF(CALC_EPM!$B401="","",CALC_EPM!N401)</f>
      </c>
      <c r="O412">
        <f>IF(CALC_EPM!$B401="","",CALC_EPM!O401)</f>
      </c>
      <c r="P412">
        <f>IF(CALC_EPM!$B401="","",CALC_EPM!P401)</f>
      </c>
      <c r="Q412">
        <f>IF(CALC_EPM!$B401="","",CALC_EPM!Q401)</f>
      </c>
      <c r="R412">
        <f>IF(CALC_EPM!$B401="","",CALC_EPM!R401)</f>
      </c>
      <c r="S412">
        <f>IF(CALC_EPM!$B401="","",CALC_EPM!S401)</f>
      </c>
      <c r="T412">
        <f>IF(CALC_EPM!$B401="","",CALC_EPM!T401)</f>
      </c>
      <c r="U412">
        <f>IF(CALC_EPM!$B401="","",CALC_EPM!U401)</f>
      </c>
    </row>
    <row r="413">
      <c r="A413" t="str">
        <f>IF(CALC_EPM!$B402="","",IF(CALC_EPM!A402="GLOBAL",IF(CALC_EPM!C402="Total","GLOBAL",IF(CALC_EPM!C402="TotalEsp","GLOBAL_ESP",IF(CALC_EPM!C402="TotalNoEsp","GLOBAL_NOESP","GLOBAL_ASIG"))),IF(CALC_EPM!C402="Total","CURSO_TOTAL",IF(CALC_EPM!C402="TotalEsp","CURSO_ESP",IF(CALC_EPM!C402="TotalNoEsp","CURSO_NOESP","CURSO_ASIG")))))</f>
      </c>
      <c r="B413" t="str">
        <f>IF(CALC_EPM!$B402="","",CALC_EPM!A402)</f>
      </c>
      <c r="C413" t="str">
        <f>IF(CALC_EPM!$B402="","",CALC_EPM!B402)</f>
      </c>
      <c r="D413">
        <f>IF(CALC_EPM!$B402="","",CALC_EPM!D402)</f>
      </c>
      <c r="E413" s="10" t="str">
        <f>IF(CALC_EPM!$B402="","",CALC_EPM!E402)</f>
      </c>
      <c r="F413" s="10" t="str">
        <f>IF(CALC_EPM!$B402="","",CALC_EPM!F402)</f>
      </c>
      <c r="G413" t="str">
        <f>IF(CALC_EPM!$B402="","",CALC_EPM!G402)</f>
      </c>
      <c r="H413" s="11" t="str">
        <f>IF(CALC_EPM!$B402="","",CALC_EPM!H402)</f>
      </c>
      <c r="I413" s="11" t="str">
        <f>IF(CALC_EPM!$B402="","",CALC_EPM!I402)</f>
      </c>
      <c r="J413" t="str">
        <f>IF(CALC_EPM!$B402="","",CALC_EPM!J402)</f>
      </c>
      <c r="K413" t="str">
        <f>IF(CALC_EPM!$B402="","",CALC_EPM!K402)</f>
      </c>
      <c r="L413">
        <f>IF(CALC_EPM!$B402="","",CALC_EPM!L402)</f>
      </c>
      <c r="M413">
        <f>IF(CALC_EPM!$B402="","",CALC_EPM!M402)</f>
      </c>
      <c r="N413">
        <f>IF(CALC_EPM!$B402="","",CALC_EPM!N402)</f>
      </c>
      <c r="O413">
        <f>IF(CALC_EPM!$B402="","",CALC_EPM!O402)</f>
      </c>
      <c r="P413">
        <f>IF(CALC_EPM!$B402="","",CALC_EPM!P402)</f>
      </c>
      <c r="Q413">
        <f>IF(CALC_EPM!$B402="","",CALC_EPM!Q402)</f>
      </c>
      <c r="R413">
        <f>IF(CALC_EPM!$B402="","",CALC_EPM!R402)</f>
      </c>
      <c r="S413">
        <f>IF(CALC_EPM!$B402="","",CALC_EPM!S402)</f>
      </c>
      <c r="T413">
        <f>IF(CALC_EPM!$B402="","",CALC_EPM!T402)</f>
      </c>
      <c r="U413">
        <f>IF(CALC_EPM!$B402="","",CALC_EPM!U402)</f>
      </c>
    </row>
    <row r="414">
      <c r="A414" t="str">
        <f>IF(CALC_EPM!$B403="","",IF(CALC_EPM!A403="GLOBAL",IF(CALC_EPM!C403="Total","GLOBAL",IF(CALC_EPM!C403="TotalEsp","GLOBAL_ESP",IF(CALC_EPM!C403="TotalNoEsp","GLOBAL_NOESP","GLOBAL_ASIG"))),IF(CALC_EPM!C403="Total","CURSO_TOTAL",IF(CALC_EPM!C403="TotalEsp","CURSO_ESP",IF(CALC_EPM!C403="TotalNoEsp","CURSO_NOESP","CURSO_ASIG")))))</f>
      </c>
      <c r="B414" t="str">
        <f>IF(CALC_EPM!$B403="","",CALC_EPM!A403)</f>
      </c>
      <c r="C414" t="str">
        <f>IF(CALC_EPM!$B403="","",CALC_EPM!B403)</f>
      </c>
      <c r="D414">
        <f>IF(CALC_EPM!$B403="","",CALC_EPM!D403)</f>
      </c>
      <c r="E414" s="10" t="str">
        <f>IF(CALC_EPM!$B403="","",CALC_EPM!E403)</f>
      </c>
      <c r="F414" s="10" t="str">
        <f>IF(CALC_EPM!$B403="","",CALC_EPM!F403)</f>
      </c>
      <c r="G414" t="str">
        <f>IF(CALC_EPM!$B403="","",CALC_EPM!G403)</f>
      </c>
      <c r="H414" s="11" t="str">
        <f>IF(CALC_EPM!$B403="","",CALC_EPM!H403)</f>
      </c>
      <c r="I414" s="11" t="str">
        <f>IF(CALC_EPM!$B403="","",CALC_EPM!I403)</f>
      </c>
      <c r="J414" t="str">
        <f>IF(CALC_EPM!$B403="","",CALC_EPM!J403)</f>
      </c>
      <c r="K414" t="str">
        <f>IF(CALC_EPM!$B403="","",CALC_EPM!K403)</f>
      </c>
      <c r="L414">
        <f>IF(CALC_EPM!$B403="","",CALC_EPM!L403)</f>
      </c>
      <c r="M414">
        <f>IF(CALC_EPM!$B403="","",CALC_EPM!M403)</f>
      </c>
      <c r="N414">
        <f>IF(CALC_EPM!$B403="","",CALC_EPM!N403)</f>
      </c>
      <c r="O414">
        <f>IF(CALC_EPM!$B403="","",CALC_EPM!O403)</f>
      </c>
      <c r="P414">
        <f>IF(CALC_EPM!$B403="","",CALC_EPM!P403)</f>
      </c>
      <c r="Q414">
        <f>IF(CALC_EPM!$B403="","",CALC_EPM!Q403)</f>
      </c>
      <c r="R414">
        <f>IF(CALC_EPM!$B403="","",CALC_EPM!R403)</f>
      </c>
      <c r="S414">
        <f>IF(CALC_EPM!$B403="","",CALC_EPM!S403)</f>
      </c>
      <c r="T414">
        <f>IF(CALC_EPM!$B403="","",CALC_EPM!T403)</f>
      </c>
      <c r="U414">
        <f>IF(CALC_EPM!$B403="","",CALC_EPM!U403)</f>
      </c>
    </row>
    <row r="415">
      <c r="A415" t="str">
        <f>IF(CALC_EPM!$B404="","",IF(CALC_EPM!A404="GLOBAL",IF(CALC_EPM!C404="Total","GLOBAL",IF(CALC_EPM!C404="TotalEsp","GLOBAL_ESP",IF(CALC_EPM!C404="TotalNoEsp","GLOBAL_NOESP","GLOBAL_ASIG"))),IF(CALC_EPM!C404="Total","CURSO_TOTAL",IF(CALC_EPM!C404="TotalEsp","CURSO_ESP",IF(CALC_EPM!C404="TotalNoEsp","CURSO_NOESP","CURSO_ASIG")))))</f>
      </c>
      <c r="B415" t="str">
        <f>IF(CALC_EPM!$B404="","",CALC_EPM!A404)</f>
      </c>
      <c r="C415" t="str">
        <f>IF(CALC_EPM!$B404="","",CALC_EPM!B404)</f>
      </c>
      <c r="D415">
        <f>IF(CALC_EPM!$B404="","",CALC_EPM!D404)</f>
      </c>
      <c r="E415" s="10" t="str">
        <f>IF(CALC_EPM!$B404="","",CALC_EPM!E404)</f>
      </c>
      <c r="F415" s="10" t="str">
        <f>IF(CALC_EPM!$B404="","",CALC_EPM!F404)</f>
      </c>
      <c r="G415" t="str">
        <f>IF(CALC_EPM!$B404="","",CALC_EPM!G404)</f>
      </c>
      <c r="H415" s="11" t="str">
        <f>IF(CALC_EPM!$B404="","",CALC_EPM!H404)</f>
      </c>
      <c r="I415" s="11" t="str">
        <f>IF(CALC_EPM!$B404="","",CALC_EPM!I404)</f>
      </c>
      <c r="J415" t="str">
        <f>IF(CALC_EPM!$B404="","",CALC_EPM!J404)</f>
      </c>
      <c r="K415" t="str">
        <f>IF(CALC_EPM!$B404="","",CALC_EPM!K404)</f>
      </c>
      <c r="L415">
        <f>IF(CALC_EPM!$B404="","",CALC_EPM!L404)</f>
      </c>
      <c r="M415">
        <f>IF(CALC_EPM!$B404="","",CALC_EPM!M404)</f>
      </c>
      <c r="N415">
        <f>IF(CALC_EPM!$B404="","",CALC_EPM!N404)</f>
      </c>
      <c r="O415">
        <f>IF(CALC_EPM!$B404="","",CALC_EPM!O404)</f>
      </c>
      <c r="P415">
        <f>IF(CALC_EPM!$B404="","",CALC_EPM!P404)</f>
      </c>
      <c r="Q415">
        <f>IF(CALC_EPM!$B404="","",CALC_EPM!Q404)</f>
      </c>
      <c r="R415">
        <f>IF(CALC_EPM!$B404="","",CALC_EPM!R404)</f>
      </c>
      <c r="S415">
        <f>IF(CALC_EPM!$B404="","",CALC_EPM!S404)</f>
      </c>
      <c r="T415">
        <f>IF(CALC_EPM!$B404="","",CALC_EPM!T404)</f>
      </c>
      <c r="U415">
        <f>IF(CALC_EPM!$B404="","",CALC_EPM!U404)</f>
      </c>
    </row>
    <row r="416">
      <c r="A416" t="str">
        <f>IF(CALC_EPM!$B405="","",IF(CALC_EPM!A405="GLOBAL",IF(CALC_EPM!C405="Total","GLOBAL",IF(CALC_EPM!C405="TotalEsp","GLOBAL_ESP",IF(CALC_EPM!C405="TotalNoEsp","GLOBAL_NOESP","GLOBAL_ASIG"))),IF(CALC_EPM!C405="Total","CURSO_TOTAL",IF(CALC_EPM!C405="TotalEsp","CURSO_ESP",IF(CALC_EPM!C405="TotalNoEsp","CURSO_NOESP","CURSO_ASIG")))))</f>
      </c>
      <c r="B416" t="str">
        <f>IF(CALC_EPM!$B405="","",CALC_EPM!A405)</f>
      </c>
      <c r="C416" t="str">
        <f>IF(CALC_EPM!$B405="","",CALC_EPM!B405)</f>
      </c>
      <c r="D416">
        <f>IF(CALC_EPM!$B405="","",CALC_EPM!D405)</f>
      </c>
      <c r="E416" s="10" t="str">
        <f>IF(CALC_EPM!$B405="","",CALC_EPM!E405)</f>
      </c>
      <c r="F416" s="10" t="str">
        <f>IF(CALC_EPM!$B405="","",CALC_EPM!F405)</f>
      </c>
      <c r="G416" t="str">
        <f>IF(CALC_EPM!$B405="","",CALC_EPM!G405)</f>
      </c>
      <c r="H416" s="11" t="str">
        <f>IF(CALC_EPM!$B405="","",CALC_EPM!H405)</f>
      </c>
      <c r="I416" s="11" t="str">
        <f>IF(CALC_EPM!$B405="","",CALC_EPM!I405)</f>
      </c>
      <c r="J416" t="str">
        <f>IF(CALC_EPM!$B405="","",CALC_EPM!J405)</f>
      </c>
      <c r="K416" t="str">
        <f>IF(CALC_EPM!$B405="","",CALC_EPM!K405)</f>
      </c>
      <c r="L416">
        <f>IF(CALC_EPM!$B405="","",CALC_EPM!L405)</f>
      </c>
      <c r="M416">
        <f>IF(CALC_EPM!$B405="","",CALC_EPM!M405)</f>
      </c>
      <c r="N416">
        <f>IF(CALC_EPM!$B405="","",CALC_EPM!N405)</f>
      </c>
      <c r="O416">
        <f>IF(CALC_EPM!$B405="","",CALC_EPM!O405)</f>
      </c>
      <c r="P416">
        <f>IF(CALC_EPM!$B405="","",CALC_EPM!P405)</f>
      </c>
      <c r="Q416">
        <f>IF(CALC_EPM!$B405="","",CALC_EPM!Q405)</f>
      </c>
      <c r="R416">
        <f>IF(CALC_EPM!$B405="","",CALC_EPM!R405)</f>
      </c>
      <c r="S416">
        <f>IF(CALC_EPM!$B405="","",CALC_EPM!S405)</f>
      </c>
      <c r="T416">
        <f>IF(CALC_EPM!$B405="","",CALC_EPM!T405)</f>
      </c>
      <c r="U416">
        <f>IF(CALC_EPM!$B405="","",CALC_EPM!U405)</f>
      </c>
    </row>
    <row r="417">
      <c r="A417" t="str">
        <f>IF(CALC_EPM!$B406="","",IF(CALC_EPM!A406="GLOBAL",IF(CALC_EPM!C406="Total","GLOBAL",IF(CALC_EPM!C406="TotalEsp","GLOBAL_ESP",IF(CALC_EPM!C406="TotalNoEsp","GLOBAL_NOESP","GLOBAL_ASIG"))),IF(CALC_EPM!C406="Total","CURSO_TOTAL",IF(CALC_EPM!C406="TotalEsp","CURSO_ESP",IF(CALC_EPM!C406="TotalNoEsp","CURSO_NOESP","CURSO_ASIG")))))</f>
      </c>
      <c r="B417" t="str">
        <f>IF(CALC_EPM!$B406="","",CALC_EPM!A406)</f>
      </c>
      <c r="C417" t="str">
        <f>IF(CALC_EPM!$B406="","",CALC_EPM!B406)</f>
      </c>
      <c r="D417">
        <f>IF(CALC_EPM!$B406="","",CALC_EPM!D406)</f>
      </c>
      <c r="E417" s="10" t="str">
        <f>IF(CALC_EPM!$B406="","",CALC_EPM!E406)</f>
      </c>
      <c r="F417" s="10" t="str">
        <f>IF(CALC_EPM!$B406="","",CALC_EPM!F406)</f>
      </c>
      <c r="G417" t="str">
        <f>IF(CALC_EPM!$B406="","",CALC_EPM!G406)</f>
      </c>
      <c r="H417" s="11" t="str">
        <f>IF(CALC_EPM!$B406="","",CALC_EPM!H406)</f>
      </c>
      <c r="I417" s="11" t="str">
        <f>IF(CALC_EPM!$B406="","",CALC_EPM!I406)</f>
      </c>
      <c r="J417" t="str">
        <f>IF(CALC_EPM!$B406="","",CALC_EPM!J406)</f>
      </c>
      <c r="K417" t="str">
        <f>IF(CALC_EPM!$B406="","",CALC_EPM!K406)</f>
      </c>
      <c r="L417">
        <f>IF(CALC_EPM!$B406="","",CALC_EPM!L406)</f>
      </c>
      <c r="M417">
        <f>IF(CALC_EPM!$B406="","",CALC_EPM!M406)</f>
      </c>
      <c r="N417">
        <f>IF(CALC_EPM!$B406="","",CALC_EPM!N406)</f>
      </c>
      <c r="O417">
        <f>IF(CALC_EPM!$B406="","",CALC_EPM!O406)</f>
      </c>
      <c r="P417">
        <f>IF(CALC_EPM!$B406="","",CALC_EPM!P406)</f>
      </c>
      <c r="Q417">
        <f>IF(CALC_EPM!$B406="","",CALC_EPM!Q406)</f>
      </c>
      <c r="R417">
        <f>IF(CALC_EPM!$B406="","",CALC_EPM!R406)</f>
      </c>
      <c r="S417">
        <f>IF(CALC_EPM!$B406="","",CALC_EPM!S406)</f>
      </c>
      <c r="T417">
        <f>IF(CALC_EPM!$B406="","",CALC_EPM!T406)</f>
      </c>
      <c r="U417">
        <f>IF(CALC_EPM!$B406="","",CALC_EPM!U406)</f>
      </c>
    </row>
    <row r="418">
      <c r="A418" t="str">
        <f>IF(CALC_EPM!$B407="","",IF(CALC_EPM!A407="GLOBAL",IF(CALC_EPM!C407="Total","GLOBAL",IF(CALC_EPM!C407="TotalEsp","GLOBAL_ESP",IF(CALC_EPM!C407="TotalNoEsp","GLOBAL_NOESP","GLOBAL_ASIG"))),IF(CALC_EPM!C407="Total","CURSO_TOTAL",IF(CALC_EPM!C407="TotalEsp","CURSO_ESP",IF(CALC_EPM!C407="TotalNoEsp","CURSO_NOESP","CURSO_ASIG")))))</f>
      </c>
      <c r="B418" t="str">
        <f>IF(CALC_EPM!$B407="","",CALC_EPM!A407)</f>
      </c>
      <c r="C418" t="str">
        <f>IF(CALC_EPM!$B407="","",CALC_EPM!B407)</f>
      </c>
      <c r="D418">
        <f>IF(CALC_EPM!$B407="","",CALC_EPM!D407)</f>
      </c>
      <c r="E418" s="10" t="str">
        <f>IF(CALC_EPM!$B407="","",CALC_EPM!E407)</f>
      </c>
      <c r="F418" s="10" t="str">
        <f>IF(CALC_EPM!$B407="","",CALC_EPM!F407)</f>
      </c>
      <c r="G418" t="str">
        <f>IF(CALC_EPM!$B407="","",CALC_EPM!G407)</f>
      </c>
      <c r="H418" s="11" t="str">
        <f>IF(CALC_EPM!$B407="","",CALC_EPM!H407)</f>
      </c>
      <c r="I418" s="11" t="str">
        <f>IF(CALC_EPM!$B407="","",CALC_EPM!I407)</f>
      </c>
      <c r="J418" t="str">
        <f>IF(CALC_EPM!$B407="","",CALC_EPM!J407)</f>
      </c>
      <c r="K418" t="str">
        <f>IF(CALC_EPM!$B407="","",CALC_EPM!K407)</f>
      </c>
      <c r="L418">
        <f>IF(CALC_EPM!$B407="","",CALC_EPM!L407)</f>
      </c>
      <c r="M418">
        <f>IF(CALC_EPM!$B407="","",CALC_EPM!M407)</f>
      </c>
      <c r="N418">
        <f>IF(CALC_EPM!$B407="","",CALC_EPM!N407)</f>
      </c>
      <c r="O418">
        <f>IF(CALC_EPM!$B407="","",CALC_EPM!O407)</f>
      </c>
      <c r="P418">
        <f>IF(CALC_EPM!$B407="","",CALC_EPM!P407)</f>
      </c>
      <c r="Q418">
        <f>IF(CALC_EPM!$B407="","",CALC_EPM!Q407)</f>
      </c>
      <c r="R418">
        <f>IF(CALC_EPM!$B407="","",CALC_EPM!R407)</f>
      </c>
      <c r="S418">
        <f>IF(CALC_EPM!$B407="","",CALC_EPM!S407)</f>
      </c>
      <c r="T418">
        <f>IF(CALC_EPM!$B407="","",CALC_EPM!T407)</f>
      </c>
      <c r="U418">
        <f>IF(CALC_EPM!$B407="","",CALC_EPM!U407)</f>
      </c>
    </row>
    <row r="419">
      <c r="A419" t="str">
        <f>IF(CALC_EPM!$B408="","",IF(CALC_EPM!A408="GLOBAL",IF(CALC_EPM!C408="Total","GLOBAL",IF(CALC_EPM!C408="TotalEsp","GLOBAL_ESP",IF(CALC_EPM!C408="TotalNoEsp","GLOBAL_NOESP","GLOBAL_ASIG"))),IF(CALC_EPM!C408="Total","CURSO_TOTAL",IF(CALC_EPM!C408="TotalEsp","CURSO_ESP",IF(CALC_EPM!C408="TotalNoEsp","CURSO_NOESP","CURSO_ASIG")))))</f>
      </c>
      <c r="B419" t="str">
        <f>IF(CALC_EPM!$B408="","",CALC_EPM!A408)</f>
      </c>
      <c r="C419" t="str">
        <f>IF(CALC_EPM!$B408="","",CALC_EPM!B408)</f>
      </c>
      <c r="D419">
        <f>IF(CALC_EPM!$B408="","",CALC_EPM!D408)</f>
      </c>
      <c r="E419" s="10" t="str">
        <f>IF(CALC_EPM!$B408="","",CALC_EPM!E408)</f>
      </c>
      <c r="F419" s="10" t="str">
        <f>IF(CALC_EPM!$B408="","",CALC_EPM!F408)</f>
      </c>
      <c r="G419" t="str">
        <f>IF(CALC_EPM!$B408="","",CALC_EPM!G408)</f>
      </c>
      <c r="H419" s="11" t="str">
        <f>IF(CALC_EPM!$B408="","",CALC_EPM!H408)</f>
      </c>
      <c r="I419" s="11" t="str">
        <f>IF(CALC_EPM!$B408="","",CALC_EPM!I408)</f>
      </c>
      <c r="J419" t="str">
        <f>IF(CALC_EPM!$B408="","",CALC_EPM!J408)</f>
      </c>
      <c r="K419" t="str">
        <f>IF(CALC_EPM!$B408="","",CALC_EPM!K408)</f>
      </c>
      <c r="L419">
        <f>IF(CALC_EPM!$B408="","",CALC_EPM!L408)</f>
      </c>
      <c r="M419">
        <f>IF(CALC_EPM!$B408="","",CALC_EPM!M408)</f>
      </c>
      <c r="N419">
        <f>IF(CALC_EPM!$B408="","",CALC_EPM!N408)</f>
      </c>
      <c r="O419">
        <f>IF(CALC_EPM!$B408="","",CALC_EPM!O408)</f>
      </c>
      <c r="P419">
        <f>IF(CALC_EPM!$B408="","",CALC_EPM!P408)</f>
      </c>
      <c r="Q419">
        <f>IF(CALC_EPM!$B408="","",CALC_EPM!Q408)</f>
      </c>
      <c r="R419">
        <f>IF(CALC_EPM!$B408="","",CALC_EPM!R408)</f>
      </c>
      <c r="S419">
        <f>IF(CALC_EPM!$B408="","",CALC_EPM!S408)</f>
      </c>
      <c r="T419">
        <f>IF(CALC_EPM!$B408="","",CALC_EPM!T408)</f>
      </c>
      <c r="U419">
        <f>IF(CALC_EPM!$B408="","",CALC_EPM!U408)</f>
      </c>
    </row>
    <row r="420">
      <c r="A420" t="str">
        <f>IF(CALC_EPM!$B409="","",IF(CALC_EPM!A409="GLOBAL",IF(CALC_EPM!C409="Total","GLOBAL",IF(CALC_EPM!C409="TotalEsp","GLOBAL_ESP",IF(CALC_EPM!C409="TotalNoEsp","GLOBAL_NOESP","GLOBAL_ASIG"))),IF(CALC_EPM!C409="Total","CURSO_TOTAL",IF(CALC_EPM!C409="TotalEsp","CURSO_ESP",IF(CALC_EPM!C409="TotalNoEsp","CURSO_NOESP","CURSO_ASIG")))))</f>
      </c>
      <c r="B420" t="str">
        <f>IF(CALC_EPM!$B409="","",CALC_EPM!A409)</f>
      </c>
      <c r="C420" t="str">
        <f>IF(CALC_EPM!$B409="","",CALC_EPM!B409)</f>
      </c>
      <c r="D420">
        <f>IF(CALC_EPM!$B409="","",CALC_EPM!D409)</f>
      </c>
      <c r="E420" s="10" t="str">
        <f>IF(CALC_EPM!$B409="","",CALC_EPM!E409)</f>
      </c>
      <c r="F420" s="10" t="str">
        <f>IF(CALC_EPM!$B409="","",CALC_EPM!F409)</f>
      </c>
      <c r="G420" t="str">
        <f>IF(CALC_EPM!$B409="","",CALC_EPM!G409)</f>
      </c>
      <c r="H420" s="11" t="str">
        <f>IF(CALC_EPM!$B409="","",CALC_EPM!H409)</f>
      </c>
      <c r="I420" s="11" t="str">
        <f>IF(CALC_EPM!$B409="","",CALC_EPM!I409)</f>
      </c>
      <c r="J420" t="str">
        <f>IF(CALC_EPM!$B409="","",CALC_EPM!J409)</f>
      </c>
      <c r="K420" t="str">
        <f>IF(CALC_EPM!$B409="","",CALC_EPM!K409)</f>
      </c>
      <c r="L420">
        <f>IF(CALC_EPM!$B409="","",CALC_EPM!L409)</f>
      </c>
      <c r="M420">
        <f>IF(CALC_EPM!$B409="","",CALC_EPM!M409)</f>
      </c>
      <c r="N420">
        <f>IF(CALC_EPM!$B409="","",CALC_EPM!N409)</f>
      </c>
      <c r="O420">
        <f>IF(CALC_EPM!$B409="","",CALC_EPM!O409)</f>
      </c>
      <c r="P420">
        <f>IF(CALC_EPM!$B409="","",CALC_EPM!P409)</f>
      </c>
      <c r="Q420">
        <f>IF(CALC_EPM!$B409="","",CALC_EPM!Q409)</f>
      </c>
      <c r="R420">
        <f>IF(CALC_EPM!$B409="","",CALC_EPM!R409)</f>
      </c>
      <c r="S420">
        <f>IF(CALC_EPM!$B409="","",CALC_EPM!S409)</f>
      </c>
      <c r="T420">
        <f>IF(CALC_EPM!$B409="","",CALC_EPM!T409)</f>
      </c>
      <c r="U420">
        <f>IF(CALC_EPM!$B409="","",CALC_EPM!U409)</f>
      </c>
    </row>
    <row r="421">
      <c r="A421" t="str">
        <f>IF(CALC_EPM!$B410="","",IF(CALC_EPM!A410="GLOBAL",IF(CALC_EPM!C410="Total","GLOBAL",IF(CALC_EPM!C410="TotalEsp","GLOBAL_ESP",IF(CALC_EPM!C410="TotalNoEsp","GLOBAL_NOESP","GLOBAL_ASIG"))),IF(CALC_EPM!C410="Total","CURSO_TOTAL",IF(CALC_EPM!C410="TotalEsp","CURSO_ESP",IF(CALC_EPM!C410="TotalNoEsp","CURSO_NOESP","CURSO_ASIG")))))</f>
      </c>
      <c r="B421" t="str">
        <f>IF(CALC_EPM!$B410="","",CALC_EPM!A410)</f>
      </c>
      <c r="C421" t="str">
        <f>IF(CALC_EPM!$B410="","",CALC_EPM!B410)</f>
      </c>
      <c r="D421">
        <f>IF(CALC_EPM!$B410="","",CALC_EPM!D410)</f>
      </c>
      <c r="E421" s="10" t="str">
        <f>IF(CALC_EPM!$B410="","",CALC_EPM!E410)</f>
      </c>
      <c r="F421" s="10" t="str">
        <f>IF(CALC_EPM!$B410="","",CALC_EPM!F410)</f>
      </c>
      <c r="G421" t="str">
        <f>IF(CALC_EPM!$B410="","",CALC_EPM!G410)</f>
      </c>
      <c r="H421" s="11" t="str">
        <f>IF(CALC_EPM!$B410="","",CALC_EPM!H410)</f>
      </c>
      <c r="I421" s="11" t="str">
        <f>IF(CALC_EPM!$B410="","",CALC_EPM!I410)</f>
      </c>
      <c r="J421" t="str">
        <f>IF(CALC_EPM!$B410="","",CALC_EPM!J410)</f>
      </c>
      <c r="K421" t="str">
        <f>IF(CALC_EPM!$B410="","",CALC_EPM!K410)</f>
      </c>
      <c r="L421">
        <f>IF(CALC_EPM!$B410="","",CALC_EPM!L410)</f>
      </c>
      <c r="M421">
        <f>IF(CALC_EPM!$B410="","",CALC_EPM!M410)</f>
      </c>
      <c r="N421">
        <f>IF(CALC_EPM!$B410="","",CALC_EPM!N410)</f>
      </c>
      <c r="O421">
        <f>IF(CALC_EPM!$B410="","",CALC_EPM!O410)</f>
      </c>
      <c r="P421">
        <f>IF(CALC_EPM!$B410="","",CALC_EPM!P410)</f>
      </c>
      <c r="Q421">
        <f>IF(CALC_EPM!$B410="","",CALC_EPM!Q410)</f>
      </c>
      <c r="R421">
        <f>IF(CALC_EPM!$B410="","",CALC_EPM!R410)</f>
      </c>
      <c r="S421">
        <f>IF(CALC_EPM!$B410="","",CALC_EPM!S410)</f>
      </c>
      <c r="T421">
        <f>IF(CALC_EPM!$B410="","",CALC_EPM!T410)</f>
      </c>
      <c r="U421">
        <f>IF(CALC_EPM!$B410="","",CALC_EPM!U410)</f>
      </c>
    </row>
    <row r="422">
      <c r="A422" t="str">
        <f>IF(CALC_EPM!$B411="","",IF(CALC_EPM!A411="GLOBAL",IF(CALC_EPM!C411="Total","GLOBAL",IF(CALC_EPM!C411="TotalEsp","GLOBAL_ESP",IF(CALC_EPM!C411="TotalNoEsp","GLOBAL_NOESP","GLOBAL_ASIG"))),IF(CALC_EPM!C411="Total","CURSO_TOTAL",IF(CALC_EPM!C411="TotalEsp","CURSO_ESP",IF(CALC_EPM!C411="TotalNoEsp","CURSO_NOESP","CURSO_ASIG")))))</f>
      </c>
      <c r="B422" t="str">
        <f>IF(CALC_EPM!$B411="","",CALC_EPM!A411)</f>
      </c>
      <c r="C422" t="str">
        <f>IF(CALC_EPM!$B411="","",CALC_EPM!B411)</f>
      </c>
      <c r="D422">
        <f>IF(CALC_EPM!$B411="","",CALC_EPM!D411)</f>
      </c>
      <c r="E422" s="10" t="str">
        <f>IF(CALC_EPM!$B411="","",CALC_EPM!E411)</f>
      </c>
      <c r="F422" s="10" t="str">
        <f>IF(CALC_EPM!$B411="","",CALC_EPM!F411)</f>
      </c>
      <c r="G422" t="str">
        <f>IF(CALC_EPM!$B411="","",CALC_EPM!G411)</f>
      </c>
      <c r="H422" s="11" t="str">
        <f>IF(CALC_EPM!$B411="","",CALC_EPM!H411)</f>
      </c>
      <c r="I422" s="11" t="str">
        <f>IF(CALC_EPM!$B411="","",CALC_EPM!I411)</f>
      </c>
      <c r="J422" t="str">
        <f>IF(CALC_EPM!$B411="","",CALC_EPM!J411)</f>
      </c>
      <c r="K422" t="str">
        <f>IF(CALC_EPM!$B411="","",CALC_EPM!K411)</f>
      </c>
      <c r="L422">
        <f>IF(CALC_EPM!$B411="","",CALC_EPM!L411)</f>
      </c>
      <c r="M422">
        <f>IF(CALC_EPM!$B411="","",CALC_EPM!M411)</f>
      </c>
      <c r="N422">
        <f>IF(CALC_EPM!$B411="","",CALC_EPM!N411)</f>
      </c>
      <c r="O422">
        <f>IF(CALC_EPM!$B411="","",CALC_EPM!O411)</f>
      </c>
      <c r="P422">
        <f>IF(CALC_EPM!$B411="","",CALC_EPM!P411)</f>
      </c>
      <c r="Q422">
        <f>IF(CALC_EPM!$B411="","",CALC_EPM!Q411)</f>
      </c>
      <c r="R422">
        <f>IF(CALC_EPM!$B411="","",CALC_EPM!R411)</f>
      </c>
      <c r="S422">
        <f>IF(CALC_EPM!$B411="","",CALC_EPM!S411)</f>
      </c>
      <c r="T422">
        <f>IF(CALC_EPM!$B411="","",CALC_EPM!T411)</f>
      </c>
      <c r="U422">
        <f>IF(CALC_EPM!$B411="","",CALC_EPM!U411)</f>
      </c>
    </row>
    <row r="423">
      <c r="A423" t="str">
        <f>IF(CALC_EPM!$B412="","",IF(CALC_EPM!A412="GLOBAL",IF(CALC_EPM!C412="Total","GLOBAL",IF(CALC_EPM!C412="TotalEsp","GLOBAL_ESP",IF(CALC_EPM!C412="TotalNoEsp","GLOBAL_NOESP","GLOBAL_ASIG"))),IF(CALC_EPM!C412="Total","CURSO_TOTAL",IF(CALC_EPM!C412="TotalEsp","CURSO_ESP",IF(CALC_EPM!C412="TotalNoEsp","CURSO_NOESP","CURSO_ASIG")))))</f>
      </c>
      <c r="B423" t="str">
        <f>IF(CALC_EPM!$B412="","",CALC_EPM!A412)</f>
      </c>
      <c r="C423" t="str">
        <f>IF(CALC_EPM!$B412="","",CALC_EPM!B412)</f>
      </c>
      <c r="D423">
        <f>IF(CALC_EPM!$B412="","",CALC_EPM!D412)</f>
      </c>
      <c r="E423" s="10" t="str">
        <f>IF(CALC_EPM!$B412="","",CALC_EPM!E412)</f>
      </c>
      <c r="F423" s="10" t="str">
        <f>IF(CALC_EPM!$B412="","",CALC_EPM!F412)</f>
      </c>
      <c r="G423" t="str">
        <f>IF(CALC_EPM!$B412="","",CALC_EPM!G412)</f>
      </c>
      <c r="H423" s="11" t="str">
        <f>IF(CALC_EPM!$B412="","",CALC_EPM!H412)</f>
      </c>
      <c r="I423" s="11" t="str">
        <f>IF(CALC_EPM!$B412="","",CALC_EPM!I412)</f>
      </c>
      <c r="J423" t="str">
        <f>IF(CALC_EPM!$B412="","",CALC_EPM!J412)</f>
      </c>
      <c r="K423" t="str">
        <f>IF(CALC_EPM!$B412="","",CALC_EPM!K412)</f>
      </c>
      <c r="L423">
        <f>IF(CALC_EPM!$B412="","",CALC_EPM!L412)</f>
      </c>
      <c r="M423">
        <f>IF(CALC_EPM!$B412="","",CALC_EPM!M412)</f>
      </c>
      <c r="N423">
        <f>IF(CALC_EPM!$B412="","",CALC_EPM!N412)</f>
      </c>
      <c r="O423">
        <f>IF(CALC_EPM!$B412="","",CALC_EPM!O412)</f>
      </c>
      <c r="P423">
        <f>IF(CALC_EPM!$B412="","",CALC_EPM!P412)</f>
      </c>
      <c r="Q423">
        <f>IF(CALC_EPM!$B412="","",CALC_EPM!Q412)</f>
      </c>
      <c r="R423">
        <f>IF(CALC_EPM!$B412="","",CALC_EPM!R412)</f>
      </c>
      <c r="S423">
        <f>IF(CALC_EPM!$B412="","",CALC_EPM!S412)</f>
      </c>
      <c r="T423">
        <f>IF(CALC_EPM!$B412="","",CALC_EPM!T412)</f>
      </c>
      <c r="U423">
        <f>IF(CALC_EPM!$B412="","",CALC_EPM!U412)</f>
      </c>
    </row>
    <row r="424">
      <c r="A424" t="str">
        <f>IF(CALC_EPM!$B413="","",IF(CALC_EPM!A413="GLOBAL",IF(CALC_EPM!C413="Total","GLOBAL",IF(CALC_EPM!C413="TotalEsp","GLOBAL_ESP",IF(CALC_EPM!C413="TotalNoEsp","GLOBAL_NOESP","GLOBAL_ASIG"))),IF(CALC_EPM!C413="Total","CURSO_TOTAL",IF(CALC_EPM!C413="TotalEsp","CURSO_ESP",IF(CALC_EPM!C413="TotalNoEsp","CURSO_NOESP","CURSO_ASIG")))))</f>
      </c>
      <c r="B424" t="str">
        <f>IF(CALC_EPM!$B413="","",CALC_EPM!A413)</f>
      </c>
      <c r="C424" t="str">
        <f>IF(CALC_EPM!$B413="","",CALC_EPM!B413)</f>
      </c>
      <c r="D424">
        <f>IF(CALC_EPM!$B413="","",CALC_EPM!D413)</f>
      </c>
      <c r="E424" s="10" t="str">
        <f>IF(CALC_EPM!$B413="","",CALC_EPM!E413)</f>
      </c>
      <c r="F424" s="10" t="str">
        <f>IF(CALC_EPM!$B413="","",CALC_EPM!F413)</f>
      </c>
      <c r="G424" t="str">
        <f>IF(CALC_EPM!$B413="","",CALC_EPM!G413)</f>
      </c>
      <c r="H424" s="11" t="str">
        <f>IF(CALC_EPM!$B413="","",CALC_EPM!H413)</f>
      </c>
      <c r="I424" s="11" t="str">
        <f>IF(CALC_EPM!$B413="","",CALC_EPM!I413)</f>
      </c>
      <c r="J424" t="str">
        <f>IF(CALC_EPM!$B413="","",CALC_EPM!J413)</f>
      </c>
      <c r="K424" t="str">
        <f>IF(CALC_EPM!$B413="","",CALC_EPM!K413)</f>
      </c>
      <c r="L424">
        <f>IF(CALC_EPM!$B413="","",CALC_EPM!L413)</f>
      </c>
      <c r="M424">
        <f>IF(CALC_EPM!$B413="","",CALC_EPM!M413)</f>
      </c>
      <c r="N424">
        <f>IF(CALC_EPM!$B413="","",CALC_EPM!N413)</f>
      </c>
      <c r="O424">
        <f>IF(CALC_EPM!$B413="","",CALC_EPM!O413)</f>
      </c>
      <c r="P424">
        <f>IF(CALC_EPM!$B413="","",CALC_EPM!P413)</f>
      </c>
      <c r="Q424">
        <f>IF(CALC_EPM!$B413="","",CALC_EPM!Q413)</f>
      </c>
      <c r="R424">
        <f>IF(CALC_EPM!$B413="","",CALC_EPM!R413)</f>
      </c>
      <c r="S424">
        <f>IF(CALC_EPM!$B413="","",CALC_EPM!S413)</f>
      </c>
      <c r="T424">
        <f>IF(CALC_EPM!$B413="","",CALC_EPM!T413)</f>
      </c>
      <c r="U424">
        <f>IF(CALC_EPM!$B413="","",CALC_EPM!U413)</f>
      </c>
    </row>
    <row r="425">
      <c r="A425" t="str">
        <f>IF(CALC_EPM!$B414="","",IF(CALC_EPM!A414="GLOBAL",IF(CALC_EPM!C414="Total","GLOBAL",IF(CALC_EPM!C414="TotalEsp","GLOBAL_ESP",IF(CALC_EPM!C414="TotalNoEsp","GLOBAL_NOESP","GLOBAL_ASIG"))),IF(CALC_EPM!C414="Total","CURSO_TOTAL",IF(CALC_EPM!C414="TotalEsp","CURSO_ESP",IF(CALC_EPM!C414="TotalNoEsp","CURSO_NOESP","CURSO_ASIG")))))</f>
      </c>
      <c r="B425" t="str">
        <f>IF(CALC_EPM!$B414="","",CALC_EPM!A414)</f>
      </c>
      <c r="C425" t="str">
        <f>IF(CALC_EPM!$B414="","",CALC_EPM!B414)</f>
      </c>
      <c r="D425">
        <f>IF(CALC_EPM!$B414="","",CALC_EPM!D414)</f>
      </c>
      <c r="E425" s="10" t="str">
        <f>IF(CALC_EPM!$B414="","",CALC_EPM!E414)</f>
      </c>
      <c r="F425" s="10" t="str">
        <f>IF(CALC_EPM!$B414="","",CALC_EPM!F414)</f>
      </c>
      <c r="G425" t="str">
        <f>IF(CALC_EPM!$B414="","",CALC_EPM!G414)</f>
      </c>
      <c r="H425" s="11" t="str">
        <f>IF(CALC_EPM!$B414="","",CALC_EPM!H414)</f>
      </c>
      <c r="I425" s="11" t="str">
        <f>IF(CALC_EPM!$B414="","",CALC_EPM!I414)</f>
      </c>
      <c r="J425" t="str">
        <f>IF(CALC_EPM!$B414="","",CALC_EPM!J414)</f>
      </c>
      <c r="K425" t="str">
        <f>IF(CALC_EPM!$B414="","",CALC_EPM!K414)</f>
      </c>
      <c r="L425">
        <f>IF(CALC_EPM!$B414="","",CALC_EPM!L414)</f>
      </c>
      <c r="M425">
        <f>IF(CALC_EPM!$B414="","",CALC_EPM!M414)</f>
      </c>
      <c r="N425">
        <f>IF(CALC_EPM!$B414="","",CALC_EPM!N414)</f>
      </c>
      <c r="O425">
        <f>IF(CALC_EPM!$B414="","",CALC_EPM!O414)</f>
      </c>
      <c r="P425">
        <f>IF(CALC_EPM!$B414="","",CALC_EPM!P414)</f>
      </c>
      <c r="Q425">
        <f>IF(CALC_EPM!$B414="","",CALC_EPM!Q414)</f>
      </c>
      <c r="R425">
        <f>IF(CALC_EPM!$B414="","",CALC_EPM!R414)</f>
      </c>
      <c r="S425">
        <f>IF(CALC_EPM!$B414="","",CALC_EPM!S414)</f>
      </c>
      <c r="T425">
        <f>IF(CALC_EPM!$B414="","",CALC_EPM!T414)</f>
      </c>
      <c r="U425">
        <f>IF(CALC_EPM!$B414="","",CALC_EPM!U414)</f>
      </c>
    </row>
    <row r="426">
      <c r="A426" t="str">
        <f>IF(CALC_EPM!$B415="","",IF(CALC_EPM!A415="GLOBAL",IF(CALC_EPM!C415="Total","GLOBAL",IF(CALC_EPM!C415="TotalEsp","GLOBAL_ESP",IF(CALC_EPM!C415="TotalNoEsp","GLOBAL_NOESP","GLOBAL_ASIG"))),IF(CALC_EPM!C415="Total","CURSO_TOTAL",IF(CALC_EPM!C415="TotalEsp","CURSO_ESP",IF(CALC_EPM!C415="TotalNoEsp","CURSO_NOESP","CURSO_ASIG")))))</f>
      </c>
      <c r="B426" t="str">
        <f>IF(CALC_EPM!$B415="","",CALC_EPM!A415)</f>
      </c>
      <c r="C426" t="str">
        <f>IF(CALC_EPM!$B415="","",CALC_EPM!B415)</f>
      </c>
      <c r="D426">
        <f>IF(CALC_EPM!$B415="","",CALC_EPM!D415)</f>
      </c>
      <c r="E426" s="10" t="str">
        <f>IF(CALC_EPM!$B415="","",CALC_EPM!E415)</f>
      </c>
      <c r="F426" s="10" t="str">
        <f>IF(CALC_EPM!$B415="","",CALC_EPM!F415)</f>
      </c>
      <c r="G426" t="str">
        <f>IF(CALC_EPM!$B415="","",CALC_EPM!G415)</f>
      </c>
      <c r="H426" s="11" t="str">
        <f>IF(CALC_EPM!$B415="","",CALC_EPM!H415)</f>
      </c>
      <c r="I426" s="11" t="str">
        <f>IF(CALC_EPM!$B415="","",CALC_EPM!I415)</f>
      </c>
      <c r="J426" t="str">
        <f>IF(CALC_EPM!$B415="","",CALC_EPM!J415)</f>
      </c>
      <c r="K426" t="str">
        <f>IF(CALC_EPM!$B415="","",CALC_EPM!K415)</f>
      </c>
      <c r="L426">
        <f>IF(CALC_EPM!$B415="","",CALC_EPM!L415)</f>
      </c>
      <c r="M426">
        <f>IF(CALC_EPM!$B415="","",CALC_EPM!M415)</f>
      </c>
      <c r="N426">
        <f>IF(CALC_EPM!$B415="","",CALC_EPM!N415)</f>
      </c>
      <c r="O426">
        <f>IF(CALC_EPM!$B415="","",CALC_EPM!O415)</f>
      </c>
      <c r="P426">
        <f>IF(CALC_EPM!$B415="","",CALC_EPM!P415)</f>
      </c>
      <c r="Q426">
        <f>IF(CALC_EPM!$B415="","",CALC_EPM!Q415)</f>
      </c>
      <c r="R426">
        <f>IF(CALC_EPM!$B415="","",CALC_EPM!R415)</f>
      </c>
      <c r="S426">
        <f>IF(CALC_EPM!$B415="","",CALC_EPM!S415)</f>
      </c>
      <c r="T426">
        <f>IF(CALC_EPM!$B415="","",CALC_EPM!T415)</f>
      </c>
      <c r="U426">
        <f>IF(CALC_EPM!$B415="","",CALC_EPM!U415)</f>
      </c>
    </row>
    <row r="427">
      <c r="A427" t="str">
        <f>IF(CALC_EPM!$B416="","",IF(CALC_EPM!A416="GLOBAL",IF(CALC_EPM!C416="Total","GLOBAL",IF(CALC_EPM!C416="TotalEsp","GLOBAL_ESP",IF(CALC_EPM!C416="TotalNoEsp","GLOBAL_NOESP","GLOBAL_ASIG"))),IF(CALC_EPM!C416="Total","CURSO_TOTAL",IF(CALC_EPM!C416="TotalEsp","CURSO_ESP",IF(CALC_EPM!C416="TotalNoEsp","CURSO_NOESP","CURSO_ASIG")))))</f>
      </c>
      <c r="B427" t="str">
        <f>IF(CALC_EPM!$B416="","",CALC_EPM!A416)</f>
      </c>
      <c r="C427" t="str">
        <f>IF(CALC_EPM!$B416="","",CALC_EPM!B416)</f>
      </c>
      <c r="D427">
        <f>IF(CALC_EPM!$B416="","",CALC_EPM!D416)</f>
      </c>
      <c r="E427" s="10" t="str">
        <f>IF(CALC_EPM!$B416="","",CALC_EPM!E416)</f>
      </c>
      <c r="F427" s="10" t="str">
        <f>IF(CALC_EPM!$B416="","",CALC_EPM!F416)</f>
      </c>
      <c r="G427" t="str">
        <f>IF(CALC_EPM!$B416="","",CALC_EPM!G416)</f>
      </c>
      <c r="H427" s="11" t="str">
        <f>IF(CALC_EPM!$B416="","",CALC_EPM!H416)</f>
      </c>
      <c r="I427" s="11" t="str">
        <f>IF(CALC_EPM!$B416="","",CALC_EPM!I416)</f>
      </c>
      <c r="J427" t="str">
        <f>IF(CALC_EPM!$B416="","",CALC_EPM!J416)</f>
      </c>
      <c r="K427" t="str">
        <f>IF(CALC_EPM!$B416="","",CALC_EPM!K416)</f>
      </c>
      <c r="L427">
        <f>IF(CALC_EPM!$B416="","",CALC_EPM!L416)</f>
      </c>
      <c r="M427">
        <f>IF(CALC_EPM!$B416="","",CALC_EPM!M416)</f>
      </c>
      <c r="N427">
        <f>IF(CALC_EPM!$B416="","",CALC_EPM!N416)</f>
      </c>
      <c r="O427">
        <f>IF(CALC_EPM!$B416="","",CALC_EPM!O416)</f>
      </c>
      <c r="P427">
        <f>IF(CALC_EPM!$B416="","",CALC_EPM!P416)</f>
      </c>
      <c r="Q427">
        <f>IF(CALC_EPM!$B416="","",CALC_EPM!Q416)</f>
      </c>
      <c r="R427">
        <f>IF(CALC_EPM!$B416="","",CALC_EPM!R416)</f>
      </c>
      <c r="S427">
        <f>IF(CALC_EPM!$B416="","",CALC_EPM!S416)</f>
      </c>
      <c r="T427">
        <f>IF(CALC_EPM!$B416="","",CALC_EPM!T416)</f>
      </c>
      <c r="U427">
        <f>IF(CALC_EPM!$B416="","",CALC_EPM!U416)</f>
      </c>
    </row>
    <row r="428">
      <c r="A428" t="str">
        <f>IF(CALC_EPM!$B417="","",IF(CALC_EPM!A417="GLOBAL",IF(CALC_EPM!C417="Total","GLOBAL",IF(CALC_EPM!C417="TotalEsp","GLOBAL_ESP",IF(CALC_EPM!C417="TotalNoEsp","GLOBAL_NOESP","GLOBAL_ASIG"))),IF(CALC_EPM!C417="Total","CURSO_TOTAL",IF(CALC_EPM!C417="TotalEsp","CURSO_ESP",IF(CALC_EPM!C417="TotalNoEsp","CURSO_NOESP","CURSO_ASIG")))))</f>
      </c>
      <c r="B428" t="str">
        <f>IF(CALC_EPM!$B417="","",CALC_EPM!A417)</f>
      </c>
      <c r="C428" t="str">
        <f>IF(CALC_EPM!$B417="","",CALC_EPM!B417)</f>
      </c>
      <c r="D428">
        <f>IF(CALC_EPM!$B417="","",CALC_EPM!D417)</f>
      </c>
      <c r="E428" s="10" t="str">
        <f>IF(CALC_EPM!$B417="","",CALC_EPM!E417)</f>
      </c>
      <c r="F428" s="10" t="str">
        <f>IF(CALC_EPM!$B417="","",CALC_EPM!F417)</f>
      </c>
      <c r="G428" t="str">
        <f>IF(CALC_EPM!$B417="","",CALC_EPM!G417)</f>
      </c>
      <c r="H428" s="11" t="str">
        <f>IF(CALC_EPM!$B417="","",CALC_EPM!H417)</f>
      </c>
      <c r="I428" s="11" t="str">
        <f>IF(CALC_EPM!$B417="","",CALC_EPM!I417)</f>
      </c>
      <c r="J428" t="str">
        <f>IF(CALC_EPM!$B417="","",CALC_EPM!J417)</f>
      </c>
      <c r="K428" t="str">
        <f>IF(CALC_EPM!$B417="","",CALC_EPM!K417)</f>
      </c>
      <c r="L428">
        <f>IF(CALC_EPM!$B417="","",CALC_EPM!L417)</f>
      </c>
      <c r="M428">
        <f>IF(CALC_EPM!$B417="","",CALC_EPM!M417)</f>
      </c>
      <c r="N428">
        <f>IF(CALC_EPM!$B417="","",CALC_EPM!N417)</f>
      </c>
      <c r="O428">
        <f>IF(CALC_EPM!$B417="","",CALC_EPM!O417)</f>
      </c>
      <c r="P428">
        <f>IF(CALC_EPM!$B417="","",CALC_EPM!P417)</f>
      </c>
      <c r="Q428">
        <f>IF(CALC_EPM!$B417="","",CALC_EPM!Q417)</f>
      </c>
      <c r="R428">
        <f>IF(CALC_EPM!$B417="","",CALC_EPM!R417)</f>
      </c>
      <c r="S428">
        <f>IF(CALC_EPM!$B417="","",CALC_EPM!S417)</f>
      </c>
      <c r="T428">
        <f>IF(CALC_EPM!$B417="","",CALC_EPM!T417)</f>
      </c>
      <c r="U428">
        <f>IF(CALC_EPM!$B417="","",CALC_EPM!U417)</f>
      </c>
    </row>
    <row r="429">
      <c r="A429" t="str">
        <f>IF(CALC_EPM!$B418="","",IF(CALC_EPM!A418="GLOBAL",IF(CALC_EPM!C418="Total","GLOBAL",IF(CALC_EPM!C418="TotalEsp","GLOBAL_ESP",IF(CALC_EPM!C418="TotalNoEsp","GLOBAL_NOESP","GLOBAL_ASIG"))),IF(CALC_EPM!C418="Total","CURSO_TOTAL",IF(CALC_EPM!C418="TotalEsp","CURSO_ESP",IF(CALC_EPM!C418="TotalNoEsp","CURSO_NOESP","CURSO_ASIG")))))</f>
      </c>
      <c r="B429" t="str">
        <f>IF(CALC_EPM!$B418="","",CALC_EPM!A418)</f>
      </c>
      <c r="C429" t="str">
        <f>IF(CALC_EPM!$B418="","",CALC_EPM!B418)</f>
      </c>
      <c r="D429">
        <f>IF(CALC_EPM!$B418="","",CALC_EPM!D418)</f>
      </c>
      <c r="E429" s="10" t="str">
        <f>IF(CALC_EPM!$B418="","",CALC_EPM!E418)</f>
      </c>
      <c r="F429" s="10" t="str">
        <f>IF(CALC_EPM!$B418="","",CALC_EPM!F418)</f>
      </c>
      <c r="G429" t="str">
        <f>IF(CALC_EPM!$B418="","",CALC_EPM!G418)</f>
      </c>
      <c r="H429" s="11" t="str">
        <f>IF(CALC_EPM!$B418="","",CALC_EPM!H418)</f>
      </c>
      <c r="I429" s="11" t="str">
        <f>IF(CALC_EPM!$B418="","",CALC_EPM!I418)</f>
      </c>
      <c r="J429" t="str">
        <f>IF(CALC_EPM!$B418="","",CALC_EPM!J418)</f>
      </c>
      <c r="K429" t="str">
        <f>IF(CALC_EPM!$B418="","",CALC_EPM!K418)</f>
      </c>
      <c r="L429">
        <f>IF(CALC_EPM!$B418="","",CALC_EPM!L418)</f>
      </c>
      <c r="M429">
        <f>IF(CALC_EPM!$B418="","",CALC_EPM!M418)</f>
      </c>
      <c r="N429">
        <f>IF(CALC_EPM!$B418="","",CALC_EPM!N418)</f>
      </c>
      <c r="O429">
        <f>IF(CALC_EPM!$B418="","",CALC_EPM!O418)</f>
      </c>
      <c r="P429">
        <f>IF(CALC_EPM!$B418="","",CALC_EPM!P418)</f>
      </c>
      <c r="Q429">
        <f>IF(CALC_EPM!$B418="","",CALC_EPM!Q418)</f>
      </c>
      <c r="R429">
        <f>IF(CALC_EPM!$B418="","",CALC_EPM!R418)</f>
      </c>
      <c r="S429">
        <f>IF(CALC_EPM!$B418="","",CALC_EPM!S418)</f>
      </c>
      <c r="T429">
        <f>IF(CALC_EPM!$B418="","",CALC_EPM!T418)</f>
      </c>
      <c r="U429">
        <f>IF(CALC_EPM!$B418="","",CALC_EPM!U418)</f>
      </c>
    </row>
    <row r="430">
      <c r="A430" t="str">
        <f>IF(CALC_EPM!$B419="","",IF(CALC_EPM!A419="GLOBAL",IF(CALC_EPM!C419="Total","GLOBAL",IF(CALC_EPM!C419="TotalEsp","GLOBAL_ESP",IF(CALC_EPM!C419="TotalNoEsp","GLOBAL_NOESP","GLOBAL_ASIG"))),IF(CALC_EPM!C419="Total","CURSO_TOTAL",IF(CALC_EPM!C419="TotalEsp","CURSO_ESP",IF(CALC_EPM!C419="TotalNoEsp","CURSO_NOESP","CURSO_ASIG")))))</f>
      </c>
      <c r="B430" t="str">
        <f>IF(CALC_EPM!$B419="","",CALC_EPM!A419)</f>
      </c>
      <c r="C430" t="str">
        <f>IF(CALC_EPM!$B419="","",CALC_EPM!B419)</f>
      </c>
      <c r="D430">
        <f>IF(CALC_EPM!$B419="","",CALC_EPM!D419)</f>
      </c>
      <c r="E430" s="10" t="str">
        <f>IF(CALC_EPM!$B419="","",CALC_EPM!E419)</f>
      </c>
      <c r="F430" s="10" t="str">
        <f>IF(CALC_EPM!$B419="","",CALC_EPM!F419)</f>
      </c>
      <c r="G430" t="str">
        <f>IF(CALC_EPM!$B419="","",CALC_EPM!G419)</f>
      </c>
      <c r="H430" s="11" t="str">
        <f>IF(CALC_EPM!$B419="","",CALC_EPM!H419)</f>
      </c>
      <c r="I430" s="11" t="str">
        <f>IF(CALC_EPM!$B419="","",CALC_EPM!I419)</f>
      </c>
      <c r="J430" t="str">
        <f>IF(CALC_EPM!$B419="","",CALC_EPM!J419)</f>
      </c>
      <c r="K430" t="str">
        <f>IF(CALC_EPM!$B419="","",CALC_EPM!K419)</f>
      </c>
      <c r="L430">
        <f>IF(CALC_EPM!$B419="","",CALC_EPM!L419)</f>
      </c>
      <c r="M430">
        <f>IF(CALC_EPM!$B419="","",CALC_EPM!M419)</f>
      </c>
      <c r="N430">
        <f>IF(CALC_EPM!$B419="","",CALC_EPM!N419)</f>
      </c>
      <c r="O430">
        <f>IF(CALC_EPM!$B419="","",CALC_EPM!O419)</f>
      </c>
      <c r="P430">
        <f>IF(CALC_EPM!$B419="","",CALC_EPM!P419)</f>
      </c>
      <c r="Q430">
        <f>IF(CALC_EPM!$B419="","",CALC_EPM!Q419)</f>
      </c>
      <c r="R430">
        <f>IF(CALC_EPM!$B419="","",CALC_EPM!R419)</f>
      </c>
      <c r="S430">
        <f>IF(CALC_EPM!$B419="","",CALC_EPM!S419)</f>
      </c>
      <c r="T430">
        <f>IF(CALC_EPM!$B419="","",CALC_EPM!T419)</f>
      </c>
      <c r="U430">
        <f>IF(CALC_EPM!$B419="","",CALC_EPM!U419)</f>
      </c>
    </row>
    <row r="431">
      <c r="A431" t="str">
        <f>IF(CALC_EPM!$B420="","",IF(CALC_EPM!A420="GLOBAL",IF(CALC_EPM!C420="Total","GLOBAL",IF(CALC_EPM!C420="TotalEsp","GLOBAL_ESP",IF(CALC_EPM!C420="TotalNoEsp","GLOBAL_NOESP","GLOBAL_ASIG"))),IF(CALC_EPM!C420="Total","CURSO_TOTAL",IF(CALC_EPM!C420="TotalEsp","CURSO_ESP",IF(CALC_EPM!C420="TotalNoEsp","CURSO_NOESP","CURSO_ASIG")))))</f>
      </c>
      <c r="B431" t="str">
        <f>IF(CALC_EPM!$B420="","",CALC_EPM!A420)</f>
      </c>
      <c r="C431" t="str">
        <f>IF(CALC_EPM!$B420="","",CALC_EPM!B420)</f>
      </c>
      <c r="D431">
        <f>IF(CALC_EPM!$B420="","",CALC_EPM!D420)</f>
      </c>
      <c r="E431" s="10" t="str">
        <f>IF(CALC_EPM!$B420="","",CALC_EPM!E420)</f>
      </c>
      <c r="F431" s="10" t="str">
        <f>IF(CALC_EPM!$B420="","",CALC_EPM!F420)</f>
      </c>
      <c r="G431" t="str">
        <f>IF(CALC_EPM!$B420="","",CALC_EPM!G420)</f>
      </c>
      <c r="H431" s="11" t="str">
        <f>IF(CALC_EPM!$B420="","",CALC_EPM!H420)</f>
      </c>
      <c r="I431" s="11" t="str">
        <f>IF(CALC_EPM!$B420="","",CALC_EPM!I420)</f>
      </c>
      <c r="J431" t="str">
        <f>IF(CALC_EPM!$B420="","",CALC_EPM!J420)</f>
      </c>
      <c r="K431" t="str">
        <f>IF(CALC_EPM!$B420="","",CALC_EPM!K420)</f>
      </c>
      <c r="L431">
        <f>IF(CALC_EPM!$B420="","",CALC_EPM!L420)</f>
      </c>
      <c r="M431">
        <f>IF(CALC_EPM!$B420="","",CALC_EPM!M420)</f>
      </c>
      <c r="N431">
        <f>IF(CALC_EPM!$B420="","",CALC_EPM!N420)</f>
      </c>
      <c r="O431">
        <f>IF(CALC_EPM!$B420="","",CALC_EPM!O420)</f>
      </c>
      <c r="P431">
        <f>IF(CALC_EPM!$B420="","",CALC_EPM!P420)</f>
      </c>
      <c r="Q431">
        <f>IF(CALC_EPM!$B420="","",CALC_EPM!Q420)</f>
      </c>
      <c r="R431">
        <f>IF(CALC_EPM!$B420="","",CALC_EPM!R420)</f>
      </c>
      <c r="S431">
        <f>IF(CALC_EPM!$B420="","",CALC_EPM!S420)</f>
      </c>
      <c r="T431">
        <f>IF(CALC_EPM!$B420="","",CALC_EPM!T420)</f>
      </c>
      <c r="U431">
        <f>IF(CALC_EPM!$B420="","",CALC_EPM!U420)</f>
      </c>
    </row>
    <row r="432">
      <c r="A432" t="str">
        <f>IF(CALC_EPM!$B421="","",IF(CALC_EPM!A421="GLOBAL",IF(CALC_EPM!C421="Total","GLOBAL",IF(CALC_EPM!C421="TotalEsp","GLOBAL_ESP",IF(CALC_EPM!C421="TotalNoEsp","GLOBAL_NOESP","GLOBAL_ASIG"))),IF(CALC_EPM!C421="Total","CURSO_TOTAL",IF(CALC_EPM!C421="TotalEsp","CURSO_ESP",IF(CALC_EPM!C421="TotalNoEsp","CURSO_NOESP","CURSO_ASIG")))))</f>
      </c>
      <c r="B432" t="str">
        <f>IF(CALC_EPM!$B421="","",CALC_EPM!A421)</f>
      </c>
      <c r="C432" t="str">
        <f>IF(CALC_EPM!$B421="","",CALC_EPM!B421)</f>
      </c>
      <c r="D432">
        <f>IF(CALC_EPM!$B421="","",CALC_EPM!D421)</f>
      </c>
      <c r="E432" s="10" t="str">
        <f>IF(CALC_EPM!$B421="","",CALC_EPM!E421)</f>
      </c>
      <c r="F432" s="10" t="str">
        <f>IF(CALC_EPM!$B421="","",CALC_EPM!F421)</f>
      </c>
      <c r="G432" t="str">
        <f>IF(CALC_EPM!$B421="","",CALC_EPM!G421)</f>
      </c>
      <c r="H432" s="11" t="str">
        <f>IF(CALC_EPM!$B421="","",CALC_EPM!H421)</f>
      </c>
      <c r="I432" s="11" t="str">
        <f>IF(CALC_EPM!$B421="","",CALC_EPM!I421)</f>
      </c>
      <c r="J432" t="str">
        <f>IF(CALC_EPM!$B421="","",CALC_EPM!J421)</f>
      </c>
      <c r="K432" t="str">
        <f>IF(CALC_EPM!$B421="","",CALC_EPM!K421)</f>
      </c>
      <c r="L432">
        <f>IF(CALC_EPM!$B421="","",CALC_EPM!L421)</f>
      </c>
      <c r="M432">
        <f>IF(CALC_EPM!$B421="","",CALC_EPM!M421)</f>
      </c>
      <c r="N432">
        <f>IF(CALC_EPM!$B421="","",CALC_EPM!N421)</f>
      </c>
      <c r="O432">
        <f>IF(CALC_EPM!$B421="","",CALC_EPM!O421)</f>
      </c>
      <c r="P432">
        <f>IF(CALC_EPM!$B421="","",CALC_EPM!P421)</f>
      </c>
      <c r="Q432">
        <f>IF(CALC_EPM!$B421="","",CALC_EPM!Q421)</f>
      </c>
      <c r="R432">
        <f>IF(CALC_EPM!$B421="","",CALC_EPM!R421)</f>
      </c>
      <c r="S432">
        <f>IF(CALC_EPM!$B421="","",CALC_EPM!S421)</f>
      </c>
      <c r="T432">
        <f>IF(CALC_EPM!$B421="","",CALC_EPM!T421)</f>
      </c>
      <c r="U432">
        <f>IF(CALC_EPM!$B421="","",CALC_EPM!U421)</f>
      </c>
    </row>
    <row r="433">
      <c r="A433" t="str">
        <f>IF(CALC_EPM!$B422="","",IF(CALC_EPM!A422="GLOBAL",IF(CALC_EPM!C422="Total","GLOBAL",IF(CALC_EPM!C422="TotalEsp","GLOBAL_ESP",IF(CALC_EPM!C422="TotalNoEsp","GLOBAL_NOESP","GLOBAL_ASIG"))),IF(CALC_EPM!C422="Total","CURSO_TOTAL",IF(CALC_EPM!C422="TotalEsp","CURSO_ESP",IF(CALC_EPM!C422="TotalNoEsp","CURSO_NOESP","CURSO_ASIG")))))</f>
      </c>
      <c r="B433" t="str">
        <f>IF(CALC_EPM!$B422="","",CALC_EPM!A422)</f>
      </c>
      <c r="C433" t="str">
        <f>IF(CALC_EPM!$B422="","",CALC_EPM!B422)</f>
      </c>
      <c r="D433">
        <f>IF(CALC_EPM!$B422="","",CALC_EPM!D422)</f>
      </c>
      <c r="E433" s="10" t="str">
        <f>IF(CALC_EPM!$B422="","",CALC_EPM!E422)</f>
      </c>
      <c r="F433" s="10" t="str">
        <f>IF(CALC_EPM!$B422="","",CALC_EPM!F422)</f>
      </c>
      <c r="G433" t="str">
        <f>IF(CALC_EPM!$B422="","",CALC_EPM!G422)</f>
      </c>
      <c r="H433" s="11" t="str">
        <f>IF(CALC_EPM!$B422="","",CALC_EPM!H422)</f>
      </c>
      <c r="I433" s="11" t="str">
        <f>IF(CALC_EPM!$B422="","",CALC_EPM!I422)</f>
      </c>
      <c r="J433" t="str">
        <f>IF(CALC_EPM!$B422="","",CALC_EPM!J422)</f>
      </c>
      <c r="K433" t="str">
        <f>IF(CALC_EPM!$B422="","",CALC_EPM!K422)</f>
      </c>
      <c r="L433">
        <f>IF(CALC_EPM!$B422="","",CALC_EPM!L422)</f>
      </c>
      <c r="M433">
        <f>IF(CALC_EPM!$B422="","",CALC_EPM!M422)</f>
      </c>
      <c r="N433">
        <f>IF(CALC_EPM!$B422="","",CALC_EPM!N422)</f>
      </c>
      <c r="O433">
        <f>IF(CALC_EPM!$B422="","",CALC_EPM!O422)</f>
      </c>
      <c r="P433">
        <f>IF(CALC_EPM!$B422="","",CALC_EPM!P422)</f>
      </c>
      <c r="Q433">
        <f>IF(CALC_EPM!$B422="","",CALC_EPM!Q422)</f>
      </c>
      <c r="R433">
        <f>IF(CALC_EPM!$B422="","",CALC_EPM!R422)</f>
      </c>
      <c r="S433">
        <f>IF(CALC_EPM!$B422="","",CALC_EPM!S422)</f>
      </c>
      <c r="T433">
        <f>IF(CALC_EPM!$B422="","",CALC_EPM!T422)</f>
      </c>
      <c r="U433">
        <f>IF(CALC_EPM!$B422="","",CALC_EPM!U422)</f>
      </c>
    </row>
    <row r="434">
      <c r="A434" t="str">
        <f>IF(CALC_EPM!$B423="","",IF(CALC_EPM!A423="GLOBAL",IF(CALC_EPM!C423="Total","GLOBAL",IF(CALC_EPM!C423="TotalEsp","GLOBAL_ESP",IF(CALC_EPM!C423="TotalNoEsp","GLOBAL_NOESP","GLOBAL_ASIG"))),IF(CALC_EPM!C423="Total","CURSO_TOTAL",IF(CALC_EPM!C423="TotalEsp","CURSO_ESP",IF(CALC_EPM!C423="TotalNoEsp","CURSO_NOESP","CURSO_ASIG")))))</f>
      </c>
      <c r="B434" t="str">
        <f>IF(CALC_EPM!$B423="","",CALC_EPM!A423)</f>
      </c>
      <c r="C434" t="str">
        <f>IF(CALC_EPM!$B423="","",CALC_EPM!B423)</f>
      </c>
      <c r="D434">
        <f>IF(CALC_EPM!$B423="","",CALC_EPM!D423)</f>
      </c>
      <c r="E434" s="10" t="str">
        <f>IF(CALC_EPM!$B423="","",CALC_EPM!E423)</f>
      </c>
      <c r="F434" s="10" t="str">
        <f>IF(CALC_EPM!$B423="","",CALC_EPM!F423)</f>
      </c>
      <c r="G434" t="str">
        <f>IF(CALC_EPM!$B423="","",CALC_EPM!G423)</f>
      </c>
      <c r="H434" s="11" t="str">
        <f>IF(CALC_EPM!$B423="","",CALC_EPM!H423)</f>
      </c>
      <c r="I434" s="11" t="str">
        <f>IF(CALC_EPM!$B423="","",CALC_EPM!I423)</f>
      </c>
      <c r="J434" t="str">
        <f>IF(CALC_EPM!$B423="","",CALC_EPM!J423)</f>
      </c>
      <c r="K434" t="str">
        <f>IF(CALC_EPM!$B423="","",CALC_EPM!K423)</f>
      </c>
      <c r="L434">
        <f>IF(CALC_EPM!$B423="","",CALC_EPM!L423)</f>
      </c>
      <c r="M434">
        <f>IF(CALC_EPM!$B423="","",CALC_EPM!M423)</f>
      </c>
      <c r="N434">
        <f>IF(CALC_EPM!$B423="","",CALC_EPM!N423)</f>
      </c>
      <c r="O434">
        <f>IF(CALC_EPM!$B423="","",CALC_EPM!O423)</f>
      </c>
      <c r="P434">
        <f>IF(CALC_EPM!$B423="","",CALC_EPM!P423)</f>
      </c>
      <c r="Q434">
        <f>IF(CALC_EPM!$B423="","",CALC_EPM!Q423)</f>
      </c>
      <c r="R434">
        <f>IF(CALC_EPM!$B423="","",CALC_EPM!R423)</f>
      </c>
      <c r="S434">
        <f>IF(CALC_EPM!$B423="","",CALC_EPM!S423)</f>
      </c>
      <c r="T434">
        <f>IF(CALC_EPM!$B423="","",CALC_EPM!T423)</f>
      </c>
      <c r="U434">
        <f>IF(CALC_EPM!$B423="","",CALC_EPM!U423)</f>
      </c>
    </row>
    <row r="435">
      <c r="A435" t="str">
        <f>IF(CALC_EPM!$B424="","",IF(CALC_EPM!A424="GLOBAL",IF(CALC_EPM!C424="Total","GLOBAL",IF(CALC_EPM!C424="TotalEsp","GLOBAL_ESP",IF(CALC_EPM!C424="TotalNoEsp","GLOBAL_NOESP","GLOBAL_ASIG"))),IF(CALC_EPM!C424="Total","CURSO_TOTAL",IF(CALC_EPM!C424="TotalEsp","CURSO_ESP",IF(CALC_EPM!C424="TotalNoEsp","CURSO_NOESP","CURSO_ASIG")))))</f>
      </c>
      <c r="B435" t="str">
        <f>IF(CALC_EPM!$B424="","",CALC_EPM!A424)</f>
      </c>
      <c r="C435" t="str">
        <f>IF(CALC_EPM!$B424="","",CALC_EPM!B424)</f>
      </c>
      <c r="D435">
        <f>IF(CALC_EPM!$B424="","",CALC_EPM!D424)</f>
      </c>
      <c r="E435" s="10" t="str">
        <f>IF(CALC_EPM!$B424="","",CALC_EPM!E424)</f>
      </c>
      <c r="F435" s="10" t="str">
        <f>IF(CALC_EPM!$B424="","",CALC_EPM!F424)</f>
      </c>
      <c r="G435" t="str">
        <f>IF(CALC_EPM!$B424="","",CALC_EPM!G424)</f>
      </c>
      <c r="H435" s="11" t="str">
        <f>IF(CALC_EPM!$B424="","",CALC_EPM!H424)</f>
      </c>
      <c r="I435" s="11" t="str">
        <f>IF(CALC_EPM!$B424="","",CALC_EPM!I424)</f>
      </c>
      <c r="J435" t="str">
        <f>IF(CALC_EPM!$B424="","",CALC_EPM!J424)</f>
      </c>
      <c r="K435" t="str">
        <f>IF(CALC_EPM!$B424="","",CALC_EPM!K424)</f>
      </c>
      <c r="L435">
        <f>IF(CALC_EPM!$B424="","",CALC_EPM!L424)</f>
      </c>
      <c r="M435">
        <f>IF(CALC_EPM!$B424="","",CALC_EPM!M424)</f>
      </c>
      <c r="N435">
        <f>IF(CALC_EPM!$B424="","",CALC_EPM!N424)</f>
      </c>
      <c r="O435">
        <f>IF(CALC_EPM!$B424="","",CALC_EPM!O424)</f>
      </c>
      <c r="P435">
        <f>IF(CALC_EPM!$B424="","",CALC_EPM!P424)</f>
      </c>
      <c r="Q435">
        <f>IF(CALC_EPM!$B424="","",CALC_EPM!Q424)</f>
      </c>
      <c r="R435">
        <f>IF(CALC_EPM!$B424="","",CALC_EPM!R424)</f>
      </c>
      <c r="S435">
        <f>IF(CALC_EPM!$B424="","",CALC_EPM!S424)</f>
      </c>
      <c r="T435">
        <f>IF(CALC_EPM!$B424="","",CALC_EPM!T424)</f>
      </c>
      <c r="U435">
        <f>IF(CALC_EPM!$B424="","",CALC_EPM!U424)</f>
      </c>
    </row>
    <row r="436">
      <c r="A436" t="str">
        <f>IF(CALC_EPM!$B425="","",IF(CALC_EPM!A425="GLOBAL",IF(CALC_EPM!C425="Total","GLOBAL",IF(CALC_EPM!C425="TotalEsp","GLOBAL_ESP",IF(CALC_EPM!C425="TotalNoEsp","GLOBAL_NOESP","GLOBAL_ASIG"))),IF(CALC_EPM!C425="Total","CURSO_TOTAL",IF(CALC_EPM!C425="TotalEsp","CURSO_ESP",IF(CALC_EPM!C425="TotalNoEsp","CURSO_NOESP","CURSO_ASIG")))))</f>
      </c>
      <c r="B436" t="str">
        <f>IF(CALC_EPM!$B425="","",CALC_EPM!A425)</f>
      </c>
      <c r="C436" t="str">
        <f>IF(CALC_EPM!$B425="","",CALC_EPM!B425)</f>
      </c>
      <c r="D436">
        <f>IF(CALC_EPM!$B425="","",CALC_EPM!D425)</f>
      </c>
      <c r="E436" s="10" t="str">
        <f>IF(CALC_EPM!$B425="","",CALC_EPM!E425)</f>
      </c>
      <c r="F436" s="10" t="str">
        <f>IF(CALC_EPM!$B425="","",CALC_EPM!F425)</f>
      </c>
      <c r="G436" t="str">
        <f>IF(CALC_EPM!$B425="","",CALC_EPM!G425)</f>
      </c>
      <c r="H436" s="11" t="str">
        <f>IF(CALC_EPM!$B425="","",CALC_EPM!H425)</f>
      </c>
      <c r="I436" s="11" t="str">
        <f>IF(CALC_EPM!$B425="","",CALC_EPM!I425)</f>
      </c>
      <c r="J436" t="str">
        <f>IF(CALC_EPM!$B425="","",CALC_EPM!J425)</f>
      </c>
      <c r="K436" t="str">
        <f>IF(CALC_EPM!$B425="","",CALC_EPM!K425)</f>
      </c>
      <c r="L436">
        <f>IF(CALC_EPM!$B425="","",CALC_EPM!L425)</f>
      </c>
      <c r="M436">
        <f>IF(CALC_EPM!$B425="","",CALC_EPM!M425)</f>
      </c>
      <c r="N436">
        <f>IF(CALC_EPM!$B425="","",CALC_EPM!N425)</f>
      </c>
      <c r="O436">
        <f>IF(CALC_EPM!$B425="","",CALC_EPM!O425)</f>
      </c>
      <c r="P436">
        <f>IF(CALC_EPM!$B425="","",CALC_EPM!P425)</f>
      </c>
      <c r="Q436">
        <f>IF(CALC_EPM!$B425="","",CALC_EPM!Q425)</f>
      </c>
      <c r="R436">
        <f>IF(CALC_EPM!$B425="","",CALC_EPM!R425)</f>
      </c>
      <c r="S436">
        <f>IF(CALC_EPM!$B425="","",CALC_EPM!S425)</f>
      </c>
      <c r="T436">
        <f>IF(CALC_EPM!$B425="","",CALC_EPM!T425)</f>
      </c>
      <c r="U436">
        <f>IF(CALC_EPM!$B425="","",CALC_EPM!U425)</f>
      </c>
    </row>
    <row r="437">
      <c r="A437" t="str">
        <f>IF(CALC_EPM!$B426="","",IF(CALC_EPM!A426="GLOBAL",IF(CALC_EPM!C426="Total","GLOBAL",IF(CALC_EPM!C426="TotalEsp","GLOBAL_ESP",IF(CALC_EPM!C426="TotalNoEsp","GLOBAL_NOESP","GLOBAL_ASIG"))),IF(CALC_EPM!C426="Total","CURSO_TOTAL",IF(CALC_EPM!C426="TotalEsp","CURSO_ESP",IF(CALC_EPM!C426="TotalNoEsp","CURSO_NOESP","CURSO_ASIG")))))</f>
      </c>
      <c r="B437" t="str">
        <f>IF(CALC_EPM!$B426="","",CALC_EPM!A426)</f>
      </c>
      <c r="C437" t="str">
        <f>IF(CALC_EPM!$B426="","",CALC_EPM!B426)</f>
      </c>
      <c r="D437">
        <f>IF(CALC_EPM!$B426="","",CALC_EPM!D426)</f>
      </c>
      <c r="E437" s="10" t="str">
        <f>IF(CALC_EPM!$B426="","",CALC_EPM!E426)</f>
      </c>
      <c r="F437" s="10" t="str">
        <f>IF(CALC_EPM!$B426="","",CALC_EPM!F426)</f>
      </c>
      <c r="G437" t="str">
        <f>IF(CALC_EPM!$B426="","",CALC_EPM!G426)</f>
      </c>
      <c r="H437" s="11" t="str">
        <f>IF(CALC_EPM!$B426="","",CALC_EPM!H426)</f>
      </c>
      <c r="I437" s="11" t="str">
        <f>IF(CALC_EPM!$B426="","",CALC_EPM!I426)</f>
      </c>
      <c r="J437" t="str">
        <f>IF(CALC_EPM!$B426="","",CALC_EPM!J426)</f>
      </c>
      <c r="K437" t="str">
        <f>IF(CALC_EPM!$B426="","",CALC_EPM!K426)</f>
      </c>
      <c r="L437">
        <f>IF(CALC_EPM!$B426="","",CALC_EPM!L426)</f>
      </c>
      <c r="M437">
        <f>IF(CALC_EPM!$B426="","",CALC_EPM!M426)</f>
      </c>
      <c r="N437">
        <f>IF(CALC_EPM!$B426="","",CALC_EPM!N426)</f>
      </c>
      <c r="O437">
        <f>IF(CALC_EPM!$B426="","",CALC_EPM!O426)</f>
      </c>
      <c r="P437">
        <f>IF(CALC_EPM!$B426="","",CALC_EPM!P426)</f>
      </c>
      <c r="Q437">
        <f>IF(CALC_EPM!$B426="","",CALC_EPM!Q426)</f>
      </c>
      <c r="R437">
        <f>IF(CALC_EPM!$B426="","",CALC_EPM!R426)</f>
      </c>
      <c r="S437">
        <f>IF(CALC_EPM!$B426="","",CALC_EPM!S426)</f>
      </c>
      <c r="T437">
        <f>IF(CALC_EPM!$B426="","",CALC_EPM!T426)</f>
      </c>
      <c r="U437">
        <f>IF(CALC_EPM!$B426="","",CALC_EPM!U426)</f>
      </c>
    </row>
    <row r="438">
      <c r="A438" t="str">
        <f>IF(CALC_EPM!$B427="","",IF(CALC_EPM!A427="GLOBAL",IF(CALC_EPM!C427="Total","GLOBAL",IF(CALC_EPM!C427="TotalEsp","GLOBAL_ESP",IF(CALC_EPM!C427="TotalNoEsp","GLOBAL_NOESP","GLOBAL_ASIG"))),IF(CALC_EPM!C427="Total","CURSO_TOTAL",IF(CALC_EPM!C427="TotalEsp","CURSO_ESP",IF(CALC_EPM!C427="TotalNoEsp","CURSO_NOESP","CURSO_ASIG")))))</f>
      </c>
      <c r="B438" t="str">
        <f>IF(CALC_EPM!$B427="","",CALC_EPM!A427)</f>
      </c>
      <c r="C438" t="str">
        <f>IF(CALC_EPM!$B427="","",CALC_EPM!B427)</f>
      </c>
      <c r="D438">
        <f>IF(CALC_EPM!$B427="","",CALC_EPM!D427)</f>
      </c>
      <c r="E438" s="10" t="str">
        <f>IF(CALC_EPM!$B427="","",CALC_EPM!E427)</f>
      </c>
      <c r="F438" s="10" t="str">
        <f>IF(CALC_EPM!$B427="","",CALC_EPM!F427)</f>
      </c>
      <c r="G438" t="str">
        <f>IF(CALC_EPM!$B427="","",CALC_EPM!G427)</f>
      </c>
      <c r="H438" s="11" t="str">
        <f>IF(CALC_EPM!$B427="","",CALC_EPM!H427)</f>
      </c>
      <c r="I438" s="11" t="str">
        <f>IF(CALC_EPM!$B427="","",CALC_EPM!I427)</f>
      </c>
      <c r="J438" t="str">
        <f>IF(CALC_EPM!$B427="","",CALC_EPM!J427)</f>
      </c>
      <c r="K438" t="str">
        <f>IF(CALC_EPM!$B427="","",CALC_EPM!K427)</f>
      </c>
      <c r="L438">
        <f>IF(CALC_EPM!$B427="","",CALC_EPM!L427)</f>
      </c>
      <c r="M438">
        <f>IF(CALC_EPM!$B427="","",CALC_EPM!M427)</f>
      </c>
      <c r="N438">
        <f>IF(CALC_EPM!$B427="","",CALC_EPM!N427)</f>
      </c>
      <c r="O438">
        <f>IF(CALC_EPM!$B427="","",CALC_EPM!O427)</f>
      </c>
      <c r="P438">
        <f>IF(CALC_EPM!$B427="","",CALC_EPM!P427)</f>
      </c>
      <c r="Q438">
        <f>IF(CALC_EPM!$B427="","",CALC_EPM!Q427)</f>
      </c>
      <c r="R438">
        <f>IF(CALC_EPM!$B427="","",CALC_EPM!R427)</f>
      </c>
      <c r="S438">
        <f>IF(CALC_EPM!$B427="","",CALC_EPM!S427)</f>
      </c>
      <c r="T438">
        <f>IF(CALC_EPM!$B427="","",CALC_EPM!T427)</f>
      </c>
      <c r="U438">
        <f>IF(CALC_EPM!$B427="","",CALC_EPM!U427)</f>
      </c>
    </row>
    <row r="439">
      <c r="A439" t="str">
        <f>IF(CALC_EPM!$B428="","",IF(CALC_EPM!A428="GLOBAL",IF(CALC_EPM!C428="Total","GLOBAL",IF(CALC_EPM!C428="TotalEsp","GLOBAL_ESP",IF(CALC_EPM!C428="TotalNoEsp","GLOBAL_NOESP","GLOBAL_ASIG"))),IF(CALC_EPM!C428="Total","CURSO_TOTAL",IF(CALC_EPM!C428="TotalEsp","CURSO_ESP",IF(CALC_EPM!C428="TotalNoEsp","CURSO_NOESP","CURSO_ASIG")))))</f>
      </c>
      <c r="B439" t="str">
        <f>IF(CALC_EPM!$B428="","",CALC_EPM!A428)</f>
      </c>
      <c r="C439" t="str">
        <f>IF(CALC_EPM!$B428="","",CALC_EPM!B428)</f>
      </c>
      <c r="D439">
        <f>IF(CALC_EPM!$B428="","",CALC_EPM!D428)</f>
      </c>
      <c r="E439" s="10" t="str">
        <f>IF(CALC_EPM!$B428="","",CALC_EPM!E428)</f>
      </c>
      <c r="F439" s="10" t="str">
        <f>IF(CALC_EPM!$B428="","",CALC_EPM!F428)</f>
      </c>
      <c r="G439" t="str">
        <f>IF(CALC_EPM!$B428="","",CALC_EPM!G428)</f>
      </c>
      <c r="H439" s="11" t="str">
        <f>IF(CALC_EPM!$B428="","",CALC_EPM!H428)</f>
      </c>
      <c r="I439" s="11" t="str">
        <f>IF(CALC_EPM!$B428="","",CALC_EPM!I428)</f>
      </c>
      <c r="J439" t="str">
        <f>IF(CALC_EPM!$B428="","",CALC_EPM!J428)</f>
      </c>
      <c r="K439" t="str">
        <f>IF(CALC_EPM!$B428="","",CALC_EPM!K428)</f>
      </c>
      <c r="L439">
        <f>IF(CALC_EPM!$B428="","",CALC_EPM!L428)</f>
      </c>
      <c r="M439">
        <f>IF(CALC_EPM!$B428="","",CALC_EPM!M428)</f>
      </c>
      <c r="N439">
        <f>IF(CALC_EPM!$B428="","",CALC_EPM!N428)</f>
      </c>
      <c r="O439">
        <f>IF(CALC_EPM!$B428="","",CALC_EPM!O428)</f>
      </c>
      <c r="P439">
        <f>IF(CALC_EPM!$B428="","",CALC_EPM!P428)</f>
      </c>
      <c r="Q439">
        <f>IF(CALC_EPM!$B428="","",CALC_EPM!Q428)</f>
      </c>
      <c r="R439">
        <f>IF(CALC_EPM!$B428="","",CALC_EPM!R428)</f>
      </c>
      <c r="S439">
        <f>IF(CALC_EPM!$B428="","",CALC_EPM!S428)</f>
      </c>
      <c r="T439">
        <f>IF(CALC_EPM!$B428="","",CALC_EPM!T428)</f>
      </c>
      <c r="U439">
        <f>IF(CALC_EPM!$B428="","",CALC_EPM!U428)</f>
      </c>
    </row>
    <row r="440">
      <c r="A440" t="str">
        <f>IF(CALC_EPM!$B429="","",IF(CALC_EPM!A429="GLOBAL",IF(CALC_EPM!C429="Total","GLOBAL",IF(CALC_EPM!C429="TotalEsp","GLOBAL_ESP",IF(CALC_EPM!C429="TotalNoEsp","GLOBAL_NOESP","GLOBAL_ASIG"))),IF(CALC_EPM!C429="Total","CURSO_TOTAL",IF(CALC_EPM!C429="TotalEsp","CURSO_ESP",IF(CALC_EPM!C429="TotalNoEsp","CURSO_NOESP","CURSO_ASIG")))))</f>
      </c>
      <c r="B440" t="str">
        <f>IF(CALC_EPM!$B429="","",CALC_EPM!A429)</f>
      </c>
      <c r="C440" t="str">
        <f>IF(CALC_EPM!$B429="","",CALC_EPM!B429)</f>
      </c>
      <c r="D440">
        <f>IF(CALC_EPM!$B429="","",CALC_EPM!D429)</f>
      </c>
      <c r="E440" s="10" t="str">
        <f>IF(CALC_EPM!$B429="","",CALC_EPM!E429)</f>
      </c>
      <c r="F440" s="10" t="str">
        <f>IF(CALC_EPM!$B429="","",CALC_EPM!F429)</f>
      </c>
      <c r="G440" t="str">
        <f>IF(CALC_EPM!$B429="","",CALC_EPM!G429)</f>
      </c>
      <c r="H440" s="11" t="str">
        <f>IF(CALC_EPM!$B429="","",CALC_EPM!H429)</f>
      </c>
      <c r="I440" s="11" t="str">
        <f>IF(CALC_EPM!$B429="","",CALC_EPM!I429)</f>
      </c>
      <c r="J440" t="str">
        <f>IF(CALC_EPM!$B429="","",CALC_EPM!J429)</f>
      </c>
      <c r="K440" t="str">
        <f>IF(CALC_EPM!$B429="","",CALC_EPM!K429)</f>
      </c>
      <c r="L440">
        <f>IF(CALC_EPM!$B429="","",CALC_EPM!L429)</f>
      </c>
      <c r="M440">
        <f>IF(CALC_EPM!$B429="","",CALC_EPM!M429)</f>
      </c>
      <c r="N440">
        <f>IF(CALC_EPM!$B429="","",CALC_EPM!N429)</f>
      </c>
      <c r="O440">
        <f>IF(CALC_EPM!$B429="","",CALC_EPM!O429)</f>
      </c>
      <c r="P440">
        <f>IF(CALC_EPM!$B429="","",CALC_EPM!P429)</f>
      </c>
      <c r="Q440">
        <f>IF(CALC_EPM!$B429="","",CALC_EPM!Q429)</f>
      </c>
      <c r="R440">
        <f>IF(CALC_EPM!$B429="","",CALC_EPM!R429)</f>
      </c>
      <c r="S440">
        <f>IF(CALC_EPM!$B429="","",CALC_EPM!S429)</f>
      </c>
      <c r="T440">
        <f>IF(CALC_EPM!$B429="","",CALC_EPM!T429)</f>
      </c>
      <c r="U440">
        <f>IF(CALC_EPM!$B429="","",CALC_EPM!U429)</f>
      </c>
    </row>
    <row r="441">
      <c r="A441" t="str">
        <f>IF(CALC_EPM!$B430="","",IF(CALC_EPM!A430="GLOBAL",IF(CALC_EPM!C430="Total","GLOBAL",IF(CALC_EPM!C430="TotalEsp","GLOBAL_ESP",IF(CALC_EPM!C430="TotalNoEsp","GLOBAL_NOESP","GLOBAL_ASIG"))),IF(CALC_EPM!C430="Total","CURSO_TOTAL",IF(CALC_EPM!C430="TotalEsp","CURSO_ESP",IF(CALC_EPM!C430="TotalNoEsp","CURSO_NOESP","CURSO_ASIG")))))</f>
      </c>
      <c r="B441" t="str">
        <f>IF(CALC_EPM!$B430="","",CALC_EPM!A430)</f>
      </c>
      <c r="C441" t="str">
        <f>IF(CALC_EPM!$B430="","",CALC_EPM!B430)</f>
      </c>
      <c r="D441">
        <f>IF(CALC_EPM!$B430="","",CALC_EPM!D430)</f>
      </c>
      <c r="E441" s="10" t="str">
        <f>IF(CALC_EPM!$B430="","",CALC_EPM!E430)</f>
      </c>
      <c r="F441" s="10" t="str">
        <f>IF(CALC_EPM!$B430="","",CALC_EPM!F430)</f>
      </c>
      <c r="G441" t="str">
        <f>IF(CALC_EPM!$B430="","",CALC_EPM!G430)</f>
      </c>
      <c r="H441" s="11" t="str">
        <f>IF(CALC_EPM!$B430="","",CALC_EPM!H430)</f>
      </c>
      <c r="I441" s="11" t="str">
        <f>IF(CALC_EPM!$B430="","",CALC_EPM!I430)</f>
      </c>
      <c r="J441" t="str">
        <f>IF(CALC_EPM!$B430="","",CALC_EPM!J430)</f>
      </c>
      <c r="K441" t="str">
        <f>IF(CALC_EPM!$B430="","",CALC_EPM!K430)</f>
      </c>
      <c r="L441">
        <f>IF(CALC_EPM!$B430="","",CALC_EPM!L430)</f>
      </c>
      <c r="M441">
        <f>IF(CALC_EPM!$B430="","",CALC_EPM!M430)</f>
      </c>
      <c r="N441">
        <f>IF(CALC_EPM!$B430="","",CALC_EPM!N430)</f>
      </c>
      <c r="O441">
        <f>IF(CALC_EPM!$B430="","",CALC_EPM!O430)</f>
      </c>
      <c r="P441">
        <f>IF(CALC_EPM!$B430="","",CALC_EPM!P430)</f>
      </c>
      <c r="Q441">
        <f>IF(CALC_EPM!$B430="","",CALC_EPM!Q430)</f>
      </c>
      <c r="R441">
        <f>IF(CALC_EPM!$B430="","",CALC_EPM!R430)</f>
      </c>
      <c r="S441">
        <f>IF(CALC_EPM!$B430="","",CALC_EPM!S430)</f>
      </c>
      <c r="T441">
        <f>IF(CALC_EPM!$B430="","",CALC_EPM!T430)</f>
      </c>
      <c r="U441">
        <f>IF(CALC_EPM!$B430="","",CALC_EPM!U430)</f>
      </c>
    </row>
    <row r="442">
      <c r="A442" t="str">
        <f>IF(CALC_EPM!$B431="","",IF(CALC_EPM!A431="GLOBAL",IF(CALC_EPM!C431="Total","GLOBAL",IF(CALC_EPM!C431="TotalEsp","GLOBAL_ESP",IF(CALC_EPM!C431="TotalNoEsp","GLOBAL_NOESP","GLOBAL_ASIG"))),IF(CALC_EPM!C431="Total","CURSO_TOTAL",IF(CALC_EPM!C431="TotalEsp","CURSO_ESP",IF(CALC_EPM!C431="TotalNoEsp","CURSO_NOESP","CURSO_ASIG")))))</f>
      </c>
      <c r="B442" t="str">
        <f>IF(CALC_EPM!$B431="","",CALC_EPM!A431)</f>
      </c>
      <c r="C442" t="str">
        <f>IF(CALC_EPM!$B431="","",CALC_EPM!B431)</f>
      </c>
      <c r="D442">
        <f>IF(CALC_EPM!$B431="","",CALC_EPM!D431)</f>
      </c>
      <c r="E442" s="10" t="str">
        <f>IF(CALC_EPM!$B431="","",CALC_EPM!E431)</f>
      </c>
      <c r="F442" s="10" t="str">
        <f>IF(CALC_EPM!$B431="","",CALC_EPM!F431)</f>
      </c>
      <c r="G442" t="str">
        <f>IF(CALC_EPM!$B431="","",CALC_EPM!G431)</f>
      </c>
      <c r="H442" s="11" t="str">
        <f>IF(CALC_EPM!$B431="","",CALC_EPM!H431)</f>
      </c>
      <c r="I442" s="11" t="str">
        <f>IF(CALC_EPM!$B431="","",CALC_EPM!I431)</f>
      </c>
      <c r="J442" t="str">
        <f>IF(CALC_EPM!$B431="","",CALC_EPM!J431)</f>
      </c>
      <c r="K442" t="str">
        <f>IF(CALC_EPM!$B431="","",CALC_EPM!K431)</f>
      </c>
      <c r="L442">
        <f>IF(CALC_EPM!$B431="","",CALC_EPM!L431)</f>
      </c>
      <c r="M442">
        <f>IF(CALC_EPM!$B431="","",CALC_EPM!M431)</f>
      </c>
      <c r="N442">
        <f>IF(CALC_EPM!$B431="","",CALC_EPM!N431)</f>
      </c>
      <c r="O442">
        <f>IF(CALC_EPM!$B431="","",CALC_EPM!O431)</f>
      </c>
      <c r="P442">
        <f>IF(CALC_EPM!$B431="","",CALC_EPM!P431)</f>
      </c>
      <c r="Q442">
        <f>IF(CALC_EPM!$B431="","",CALC_EPM!Q431)</f>
      </c>
      <c r="R442">
        <f>IF(CALC_EPM!$B431="","",CALC_EPM!R431)</f>
      </c>
      <c r="S442">
        <f>IF(CALC_EPM!$B431="","",CALC_EPM!S431)</f>
      </c>
      <c r="T442">
        <f>IF(CALC_EPM!$B431="","",CALC_EPM!T431)</f>
      </c>
      <c r="U442">
        <f>IF(CALC_EPM!$B431="","",CALC_EPM!U431)</f>
      </c>
    </row>
    <row r="443">
      <c r="A443" t="str">
        <f>IF(CALC_EPM!$B432="","",IF(CALC_EPM!A432="GLOBAL",IF(CALC_EPM!C432="Total","GLOBAL",IF(CALC_EPM!C432="TotalEsp","GLOBAL_ESP",IF(CALC_EPM!C432="TotalNoEsp","GLOBAL_NOESP","GLOBAL_ASIG"))),IF(CALC_EPM!C432="Total","CURSO_TOTAL",IF(CALC_EPM!C432="TotalEsp","CURSO_ESP",IF(CALC_EPM!C432="TotalNoEsp","CURSO_NOESP","CURSO_ASIG")))))</f>
      </c>
      <c r="B443" t="str">
        <f>IF(CALC_EPM!$B432="","",CALC_EPM!A432)</f>
      </c>
      <c r="C443" t="str">
        <f>IF(CALC_EPM!$B432="","",CALC_EPM!B432)</f>
      </c>
      <c r="D443">
        <f>IF(CALC_EPM!$B432="","",CALC_EPM!D432)</f>
      </c>
      <c r="E443" s="10" t="str">
        <f>IF(CALC_EPM!$B432="","",CALC_EPM!E432)</f>
      </c>
      <c r="F443" s="10" t="str">
        <f>IF(CALC_EPM!$B432="","",CALC_EPM!F432)</f>
      </c>
      <c r="G443" t="str">
        <f>IF(CALC_EPM!$B432="","",CALC_EPM!G432)</f>
      </c>
      <c r="H443" s="11" t="str">
        <f>IF(CALC_EPM!$B432="","",CALC_EPM!H432)</f>
      </c>
      <c r="I443" s="11" t="str">
        <f>IF(CALC_EPM!$B432="","",CALC_EPM!I432)</f>
      </c>
      <c r="J443" t="str">
        <f>IF(CALC_EPM!$B432="","",CALC_EPM!J432)</f>
      </c>
      <c r="K443" t="str">
        <f>IF(CALC_EPM!$B432="","",CALC_EPM!K432)</f>
      </c>
      <c r="L443">
        <f>IF(CALC_EPM!$B432="","",CALC_EPM!L432)</f>
      </c>
      <c r="M443">
        <f>IF(CALC_EPM!$B432="","",CALC_EPM!M432)</f>
      </c>
      <c r="N443">
        <f>IF(CALC_EPM!$B432="","",CALC_EPM!N432)</f>
      </c>
      <c r="O443">
        <f>IF(CALC_EPM!$B432="","",CALC_EPM!O432)</f>
      </c>
      <c r="P443">
        <f>IF(CALC_EPM!$B432="","",CALC_EPM!P432)</f>
      </c>
      <c r="Q443">
        <f>IF(CALC_EPM!$B432="","",CALC_EPM!Q432)</f>
      </c>
      <c r="R443">
        <f>IF(CALC_EPM!$B432="","",CALC_EPM!R432)</f>
      </c>
      <c r="S443">
        <f>IF(CALC_EPM!$B432="","",CALC_EPM!S432)</f>
      </c>
      <c r="T443">
        <f>IF(CALC_EPM!$B432="","",CALC_EPM!T432)</f>
      </c>
      <c r="U443">
        <f>IF(CALC_EPM!$B432="","",CALC_EPM!U432)</f>
      </c>
    </row>
    <row r="444">
      <c r="A444" t="str">
        <f>IF(CALC_EPM!$B433="","",IF(CALC_EPM!A433="GLOBAL",IF(CALC_EPM!C433="Total","GLOBAL",IF(CALC_EPM!C433="TotalEsp","GLOBAL_ESP",IF(CALC_EPM!C433="TotalNoEsp","GLOBAL_NOESP","GLOBAL_ASIG"))),IF(CALC_EPM!C433="Total","CURSO_TOTAL",IF(CALC_EPM!C433="TotalEsp","CURSO_ESP",IF(CALC_EPM!C433="TotalNoEsp","CURSO_NOESP","CURSO_ASIG")))))</f>
      </c>
      <c r="B444" t="str">
        <f>IF(CALC_EPM!$B433="","",CALC_EPM!A433)</f>
      </c>
      <c r="C444" t="str">
        <f>IF(CALC_EPM!$B433="","",CALC_EPM!B433)</f>
      </c>
      <c r="D444">
        <f>IF(CALC_EPM!$B433="","",CALC_EPM!D433)</f>
      </c>
      <c r="E444" s="10" t="str">
        <f>IF(CALC_EPM!$B433="","",CALC_EPM!E433)</f>
      </c>
      <c r="F444" s="10" t="str">
        <f>IF(CALC_EPM!$B433="","",CALC_EPM!F433)</f>
      </c>
      <c r="G444" t="str">
        <f>IF(CALC_EPM!$B433="","",CALC_EPM!G433)</f>
      </c>
      <c r="H444" s="11" t="str">
        <f>IF(CALC_EPM!$B433="","",CALC_EPM!H433)</f>
      </c>
      <c r="I444" s="11" t="str">
        <f>IF(CALC_EPM!$B433="","",CALC_EPM!I433)</f>
      </c>
      <c r="J444" t="str">
        <f>IF(CALC_EPM!$B433="","",CALC_EPM!J433)</f>
      </c>
      <c r="K444" t="str">
        <f>IF(CALC_EPM!$B433="","",CALC_EPM!K433)</f>
      </c>
      <c r="L444">
        <f>IF(CALC_EPM!$B433="","",CALC_EPM!L433)</f>
      </c>
      <c r="M444">
        <f>IF(CALC_EPM!$B433="","",CALC_EPM!M433)</f>
      </c>
      <c r="N444">
        <f>IF(CALC_EPM!$B433="","",CALC_EPM!N433)</f>
      </c>
      <c r="O444">
        <f>IF(CALC_EPM!$B433="","",CALC_EPM!O433)</f>
      </c>
      <c r="P444">
        <f>IF(CALC_EPM!$B433="","",CALC_EPM!P433)</f>
      </c>
      <c r="Q444">
        <f>IF(CALC_EPM!$B433="","",CALC_EPM!Q433)</f>
      </c>
      <c r="R444">
        <f>IF(CALC_EPM!$B433="","",CALC_EPM!R433)</f>
      </c>
      <c r="S444">
        <f>IF(CALC_EPM!$B433="","",CALC_EPM!S433)</f>
      </c>
      <c r="T444">
        <f>IF(CALC_EPM!$B433="","",CALC_EPM!T433)</f>
      </c>
      <c r="U444">
        <f>IF(CALC_EPM!$B433="","",CALC_EPM!U433)</f>
      </c>
    </row>
    <row r="445">
      <c r="A445" t="str">
        <f>IF(CALC_EPM!$B434="","",IF(CALC_EPM!A434="GLOBAL",IF(CALC_EPM!C434="Total","GLOBAL",IF(CALC_EPM!C434="TotalEsp","GLOBAL_ESP",IF(CALC_EPM!C434="TotalNoEsp","GLOBAL_NOESP","GLOBAL_ASIG"))),IF(CALC_EPM!C434="Total","CURSO_TOTAL",IF(CALC_EPM!C434="TotalEsp","CURSO_ESP",IF(CALC_EPM!C434="TotalNoEsp","CURSO_NOESP","CURSO_ASIG")))))</f>
      </c>
      <c r="B445" t="str">
        <f>IF(CALC_EPM!$B434="","",CALC_EPM!A434)</f>
      </c>
      <c r="C445" t="str">
        <f>IF(CALC_EPM!$B434="","",CALC_EPM!B434)</f>
      </c>
      <c r="D445">
        <f>IF(CALC_EPM!$B434="","",CALC_EPM!D434)</f>
      </c>
      <c r="E445" s="10" t="str">
        <f>IF(CALC_EPM!$B434="","",CALC_EPM!E434)</f>
      </c>
      <c r="F445" s="10" t="str">
        <f>IF(CALC_EPM!$B434="","",CALC_EPM!F434)</f>
      </c>
      <c r="G445" t="str">
        <f>IF(CALC_EPM!$B434="","",CALC_EPM!G434)</f>
      </c>
      <c r="H445" s="11" t="str">
        <f>IF(CALC_EPM!$B434="","",CALC_EPM!H434)</f>
      </c>
      <c r="I445" s="11" t="str">
        <f>IF(CALC_EPM!$B434="","",CALC_EPM!I434)</f>
      </c>
      <c r="J445" t="str">
        <f>IF(CALC_EPM!$B434="","",CALC_EPM!J434)</f>
      </c>
      <c r="K445" t="str">
        <f>IF(CALC_EPM!$B434="","",CALC_EPM!K434)</f>
      </c>
      <c r="L445">
        <f>IF(CALC_EPM!$B434="","",CALC_EPM!L434)</f>
      </c>
      <c r="M445">
        <f>IF(CALC_EPM!$B434="","",CALC_EPM!M434)</f>
      </c>
      <c r="N445">
        <f>IF(CALC_EPM!$B434="","",CALC_EPM!N434)</f>
      </c>
      <c r="O445">
        <f>IF(CALC_EPM!$B434="","",CALC_EPM!O434)</f>
      </c>
      <c r="P445">
        <f>IF(CALC_EPM!$B434="","",CALC_EPM!P434)</f>
      </c>
      <c r="Q445">
        <f>IF(CALC_EPM!$B434="","",CALC_EPM!Q434)</f>
      </c>
      <c r="R445">
        <f>IF(CALC_EPM!$B434="","",CALC_EPM!R434)</f>
      </c>
      <c r="S445">
        <f>IF(CALC_EPM!$B434="","",CALC_EPM!S434)</f>
      </c>
      <c r="T445">
        <f>IF(CALC_EPM!$B434="","",CALC_EPM!T434)</f>
      </c>
      <c r="U445">
        <f>IF(CALC_EPM!$B434="","",CALC_EPM!U434)</f>
      </c>
    </row>
    <row r="446">
      <c r="A446" t="str">
        <f>IF(CALC_EPM!$B435="","",IF(CALC_EPM!A435="GLOBAL",IF(CALC_EPM!C435="Total","GLOBAL",IF(CALC_EPM!C435="TotalEsp","GLOBAL_ESP",IF(CALC_EPM!C435="TotalNoEsp","GLOBAL_NOESP","GLOBAL_ASIG"))),IF(CALC_EPM!C435="Total","CURSO_TOTAL",IF(CALC_EPM!C435="TotalEsp","CURSO_ESP",IF(CALC_EPM!C435="TotalNoEsp","CURSO_NOESP","CURSO_ASIG")))))</f>
      </c>
      <c r="B446" t="str">
        <f>IF(CALC_EPM!$B435="","",CALC_EPM!A435)</f>
      </c>
      <c r="C446" t="str">
        <f>IF(CALC_EPM!$B435="","",CALC_EPM!B435)</f>
      </c>
      <c r="D446">
        <f>IF(CALC_EPM!$B435="","",CALC_EPM!D435)</f>
      </c>
      <c r="E446" s="10" t="str">
        <f>IF(CALC_EPM!$B435="","",CALC_EPM!E435)</f>
      </c>
      <c r="F446" s="10" t="str">
        <f>IF(CALC_EPM!$B435="","",CALC_EPM!F435)</f>
      </c>
      <c r="G446" t="str">
        <f>IF(CALC_EPM!$B435="","",CALC_EPM!G435)</f>
      </c>
      <c r="H446" s="11" t="str">
        <f>IF(CALC_EPM!$B435="","",CALC_EPM!H435)</f>
      </c>
      <c r="I446" s="11" t="str">
        <f>IF(CALC_EPM!$B435="","",CALC_EPM!I435)</f>
      </c>
      <c r="J446" t="str">
        <f>IF(CALC_EPM!$B435="","",CALC_EPM!J435)</f>
      </c>
      <c r="K446" t="str">
        <f>IF(CALC_EPM!$B435="","",CALC_EPM!K435)</f>
      </c>
      <c r="L446">
        <f>IF(CALC_EPM!$B435="","",CALC_EPM!L435)</f>
      </c>
      <c r="M446">
        <f>IF(CALC_EPM!$B435="","",CALC_EPM!M435)</f>
      </c>
      <c r="N446">
        <f>IF(CALC_EPM!$B435="","",CALC_EPM!N435)</f>
      </c>
      <c r="O446">
        <f>IF(CALC_EPM!$B435="","",CALC_EPM!O435)</f>
      </c>
      <c r="P446">
        <f>IF(CALC_EPM!$B435="","",CALC_EPM!P435)</f>
      </c>
      <c r="Q446">
        <f>IF(CALC_EPM!$B435="","",CALC_EPM!Q435)</f>
      </c>
      <c r="R446">
        <f>IF(CALC_EPM!$B435="","",CALC_EPM!R435)</f>
      </c>
      <c r="S446">
        <f>IF(CALC_EPM!$B435="","",CALC_EPM!S435)</f>
      </c>
      <c r="T446">
        <f>IF(CALC_EPM!$B435="","",CALC_EPM!T435)</f>
      </c>
      <c r="U446">
        <f>IF(CALC_EPM!$B435="","",CALC_EPM!U435)</f>
      </c>
    </row>
    <row r="447">
      <c r="A447" t="str">
        <f>IF(CALC_EPM!$B436="","",IF(CALC_EPM!A436="GLOBAL",IF(CALC_EPM!C436="Total","GLOBAL",IF(CALC_EPM!C436="TotalEsp","GLOBAL_ESP",IF(CALC_EPM!C436="TotalNoEsp","GLOBAL_NOESP","GLOBAL_ASIG"))),IF(CALC_EPM!C436="Total","CURSO_TOTAL",IF(CALC_EPM!C436="TotalEsp","CURSO_ESP",IF(CALC_EPM!C436="TotalNoEsp","CURSO_NOESP","CURSO_ASIG")))))</f>
      </c>
      <c r="B447" t="str">
        <f>IF(CALC_EPM!$B436="","",CALC_EPM!A436)</f>
      </c>
      <c r="C447" t="str">
        <f>IF(CALC_EPM!$B436="","",CALC_EPM!B436)</f>
      </c>
      <c r="D447">
        <f>IF(CALC_EPM!$B436="","",CALC_EPM!D436)</f>
      </c>
      <c r="E447" s="10" t="str">
        <f>IF(CALC_EPM!$B436="","",CALC_EPM!E436)</f>
      </c>
      <c r="F447" s="10" t="str">
        <f>IF(CALC_EPM!$B436="","",CALC_EPM!F436)</f>
      </c>
      <c r="G447" t="str">
        <f>IF(CALC_EPM!$B436="","",CALC_EPM!G436)</f>
      </c>
      <c r="H447" s="11" t="str">
        <f>IF(CALC_EPM!$B436="","",CALC_EPM!H436)</f>
      </c>
      <c r="I447" s="11" t="str">
        <f>IF(CALC_EPM!$B436="","",CALC_EPM!I436)</f>
      </c>
      <c r="J447" t="str">
        <f>IF(CALC_EPM!$B436="","",CALC_EPM!J436)</f>
      </c>
      <c r="K447" t="str">
        <f>IF(CALC_EPM!$B436="","",CALC_EPM!K436)</f>
      </c>
      <c r="L447">
        <f>IF(CALC_EPM!$B436="","",CALC_EPM!L436)</f>
      </c>
      <c r="M447">
        <f>IF(CALC_EPM!$B436="","",CALC_EPM!M436)</f>
      </c>
      <c r="N447">
        <f>IF(CALC_EPM!$B436="","",CALC_EPM!N436)</f>
      </c>
      <c r="O447">
        <f>IF(CALC_EPM!$B436="","",CALC_EPM!O436)</f>
      </c>
      <c r="P447">
        <f>IF(CALC_EPM!$B436="","",CALC_EPM!P436)</f>
      </c>
      <c r="Q447">
        <f>IF(CALC_EPM!$B436="","",CALC_EPM!Q436)</f>
      </c>
      <c r="R447">
        <f>IF(CALC_EPM!$B436="","",CALC_EPM!R436)</f>
      </c>
      <c r="S447">
        <f>IF(CALC_EPM!$B436="","",CALC_EPM!S436)</f>
      </c>
      <c r="T447">
        <f>IF(CALC_EPM!$B436="","",CALC_EPM!T436)</f>
      </c>
      <c r="U447">
        <f>IF(CALC_EPM!$B436="","",CALC_EPM!U436)</f>
      </c>
    </row>
    <row r="448">
      <c r="A448" t="str">
        <f>IF(CALC_EPM!$B437="","",IF(CALC_EPM!A437="GLOBAL",IF(CALC_EPM!C437="Total","GLOBAL",IF(CALC_EPM!C437="TotalEsp","GLOBAL_ESP",IF(CALC_EPM!C437="TotalNoEsp","GLOBAL_NOESP","GLOBAL_ASIG"))),IF(CALC_EPM!C437="Total","CURSO_TOTAL",IF(CALC_EPM!C437="TotalEsp","CURSO_ESP",IF(CALC_EPM!C437="TotalNoEsp","CURSO_NOESP","CURSO_ASIG")))))</f>
      </c>
      <c r="B448" t="str">
        <f>IF(CALC_EPM!$B437="","",CALC_EPM!A437)</f>
      </c>
      <c r="C448" t="str">
        <f>IF(CALC_EPM!$B437="","",CALC_EPM!B437)</f>
      </c>
      <c r="D448">
        <f>IF(CALC_EPM!$B437="","",CALC_EPM!D437)</f>
      </c>
      <c r="E448" s="10" t="str">
        <f>IF(CALC_EPM!$B437="","",CALC_EPM!E437)</f>
      </c>
      <c r="F448" s="10" t="str">
        <f>IF(CALC_EPM!$B437="","",CALC_EPM!F437)</f>
      </c>
      <c r="G448" t="str">
        <f>IF(CALC_EPM!$B437="","",CALC_EPM!G437)</f>
      </c>
      <c r="H448" s="11" t="str">
        <f>IF(CALC_EPM!$B437="","",CALC_EPM!H437)</f>
      </c>
      <c r="I448" s="11" t="str">
        <f>IF(CALC_EPM!$B437="","",CALC_EPM!I437)</f>
      </c>
      <c r="J448" t="str">
        <f>IF(CALC_EPM!$B437="","",CALC_EPM!J437)</f>
      </c>
      <c r="K448" t="str">
        <f>IF(CALC_EPM!$B437="","",CALC_EPM!K437)</f>
      </c>
      <c r="L448">
        <f>IF(CALC_EPM!$B437="","",CALC_EPM!L437)</f>
      </c>
      <c r="M448">
        <f>IF(CALC_EPM!$B437="","",CALC_EPM!M437)</f>
      </c>
      <c r="N448">
        <f>IF(CALC_EPM!$B437="","",CALC_EPM!N437)</f>
      </c>
      <c r="O448">
        <f>IF(CALC_EPM!$B437="","",CALC_EPM!O437)</f>
      </c>
      <c r="P448">
        <f>IF(CALC_EPM!$B437="","",CALC_EPM!P437)</f>
      </c>
      <c r="Q448">
        <f>IF(CALC_EPM!$B437="","",CALC_EPM!Q437)</f>
      </c>
      <c r="R448">
        <f>IF(CALC_EPM!$B437="","",CALC_EPM!R437)</f>
      </c>
      <c r="S448">
        <f>IF(CALC_EPM!$B437="","",CALC_EPM!S437)</f>
      </c>
      <c r="T448">
        <f>IF(CALC_EPM!$B437="","",CALC_EPM!T437)</f>
      </c>
      <c r="U448">
        <f>IF(CALC_EPM!$B437="","",CALC_EPM!U437)</f>
      </c>
    </row>
    <row r="449">
      <c r="A449" t="str">
        <f>IF(CALC_EPM!$B438="","",IF(CALC_EPM!A438="GLOBAL",IF(CALC_EPM!C438="Total","GLOBAL",IF(CALC_EPM!C438="TotalEsp","GLOBAL_ESP",IF(CALC_EPM!C438="TotalNoEsp","GLOBAL_NOESP","GLOBAL_ASIG"))),IF(CALC_EPM!C438="Total","CURSO_TOTAL",IF(CALC_EPM!C438="TotalEsp","CURSO_ESP",IF(CALC_EPM!C438="TotalNoEsp","CURSO_NOESP","CURSO_ASIG")))))</f>
      </c>
      <c r="B449" t="str">
        <f>IF(CALC_EPM!$B438="","",CALC_EPM!A438)</f>
      </c>
      <c r="C449" t="str">
        <f>IF(CALC_EPM!$B438="","",CALC_EPM!B438)</f>
      </c>
      <c r="D449">
        <f>IF(CALC_EPM!$B438="","",CALC_EPM!D438)</f>
      </c>
      <c r="E449" s="10" t="str">
        <f>IF(CALC_EPM!$B438="","",CALC_EPM!E438)</f>
      </c>
      <c r="F449" s="10" t="str">
        <f>IF(CALC_EPM!$B438="","",CALC_EPM!F438)</f>
      </c>
      <c r="G449" t="str">
        <f>IF(CALC_EPM!$B438="","",CALC_EPM!G438)</f>
      </c>
      <c r="H449" s="11" t="str">
        <f>IF(CALC_EPM!$B438="","",CALC_EPM!H438)</f>
      </c>
      <c r="I449" s="11" t="str">
        <f>IF(CALC_EPM!$B438="","",CALC_EPM!I438)</f>
      </c>
      <c r="J449" t="str">
        <f>IF(CALC_EPM!$B438="","",CALC_EPM!J438)</f>
      </c>
      <c r="K449" t="str">
        <f>IF(CALC_EPM!$B438="","",CALC_EPM!K438)</f>
      </c>
      <c r="L449">
        <f>IF(CALC_EPM!$B438="","",CALC_EPM!L438)</f>
      </c>
      <c r="M449">
        <f>IF(CALC_EPM!$B438="","",CALC_EPM!M438)</f>
      </c>
      <c r="N449">
        <f>IF(CALC_EPM!$B438="","",CALC_EPM!N438)</f>
      </c>
      <c r="O449">
        <f>IF(CALC_EPM!$B438="","",CALC_EPM!O438)</f>
      </c>
      <c r="P449">
        <f>IF(CALC_EPM!$B438="","",CALC_EPM!P438)</f>
      </c>
      <c r="Q449">
        <f>IF(CALC_EPM!$B438="","",CALC_EPM!Q438)</f>
      </c>
      <c r="R449">
        <f>IF(CALC_EPM!$B438="","",CALC_EPM!R438)</f>
      </c>
      <c r="S449">
        <f>IF(CALC_EPM!$B438="","",CALC_EPM!S438)</f>
      </c>
      <c r="T449">
        <f>IF(CALC_EPM!$B438="","",CALC_EPM!T438)</f>
      </c>
      <c r="U449">
        <f>IF(CALC_EPM!$B438="","",CALC_EPM!U438)</f>
      </c>
    </row>
    <row r="450">
      <c r="A450" t="str">
        <f>IF(CALC_EPM!$B439="","",IF(CALC_EPM!A439="GLOBAL",IF(CALC_EPM!C439="Total","GLOBAL",IF(CALC_EPM!C439="TotalEsp","GLOBAL_ESP",IF(CALC_EPM!C439="TotalNoEsp","GLOBAL_NOESP","GLOBAL_ASIG"))),IF(CALC_EPM!C439="Total","CURSO_TOTAL",IF(CALC_EPM!C439="TotalEsp","CURSO_ESP",IF(CALC_EPM!C439="TotalNoEsp","CURSO_NOESP","CURSO_ASIG")))))</f>
      </c>
      <c r="B450" t="str">
        <f>IF(CALC_EPM!$B439="","",CALC_EPM!A439)</f>
      </c>
      <c r="C450" t="str">
        <f>IF(CALC_EPM!$B439="","",CALC_EPM!B439)</f>
      </c>
      <c r="D450">
        <f>IF(CALC_EPM!$B439="","",CALC_EPM!D439)</f>
      </c>
      <c r="E450" s="10" t="str">
        <f>IF(CALC_EPM!$B439="","",CALC_EPM!E439)</f>
      </c>
      <c r="F450" s="10" t="str">
        <f>IF(CALC_EPM!$B439="","",CALC_EPM!F439)</f>
      </c>
      <c r="G450" t="str">
        <f>IF(CALC_EPM!$B439="","",CALC_EPM!G439)</f>
      </c>
      <c r="H450" s="11" t="str">
        <f>IF(CALC_EPM!$B439="","",CALC_EPM!H439)</f>
      </c>
      <c r="I450" s="11" t="str">
        <f>IF(CALC_EPM!$B439="","",CALC_EPM!I439)</f>
      </c>
      <c r="J450" t="str">
        <f>IF(CALC_EPM!$B439="","",CALC_EPM!J439)</f>
      </c>
      <c r="K450" t="str">
        <f>IF(CALC_EPM!$B439="","",CALC_EPM!K439)</f>
      </c>
      <c r="L450">
        <f>IF(CALC_EPM!$B439="","",CALC_EPM!L439)</f>
      </c>
      <c r="M450">
        <f>IF(CALC_EPM!$B439="","",CALC_EPM!M439)</f>
      </c>
      <c r="N450">
        <f>IF(CALC_EPM!$B439="","",CALC_EPM!N439)</f>
      </c>
      <c r="O450">
        <f>IF(CALC_EPM!$B439="","",CALC_EPM!O439)</f>
      </c>
      <c r="P450">
        <f>IF(CALC_EPM!$B439="","",CALC_EPM!P439)</f>
      </c>
      <c r="Q450">
        <f>IF(CALC_EPM!$B439="","",CALC_EPM!Q439)</f>
      </c>
      <c r="R450">
        <f>IF(CALC_EPM!$B439="","",CALC_EPM!R439)</f>
      </c>
      <c r="S450">
        <f>IF(CALC_EPM!$B439="","",CALC_EPM!S439)</f>
      </c>
      <c r="T450">
        <f>IF(CALC_EPM!$B439="","",CALC_EPM!T439)</f>
      </c>
      <c r="U450">
        <f>IF(CALC_EPM!$B439="","",CALC_EPM!U439)</f>
      </c>
    </row>
    <row r="451">
      <c r="A451" t="str">
        <f>IF(CALC_EPM!$B440="","",IF(CALC_EPM!A440="GLOBAL",IF(CALC_EPM!C440="Total","GLOBAL",IF(CALC_EPM!C440="TotalEsp","GLOBAL_ESP",IF(CALC_EPM!C440="TotalNoEsp","GLOBAL_NOESP","GLOBAL_ASIG"))),IF(CALC_EPM!C440="Total","CURSO_TOTAL",IF(CALC_EPM!C440="TotalEsp","CURSO_ESP",IF(CALC_EPM!C440="TotalNoEsp","CURSO_NOESP","CURSO_ASIG")))))</f>
      </c>
      <c r="B451" t="str">
        <f>IF(CALC_EPM!$B440="","",CALC_EPM!A440)</f>
      </c>
      <c r="C451" t="str">
        <f>IF(CALC_EPM!$B440="","",CALC_EPM!B440)</f>
      </c>
      <c r="D451">
        <f>IF(CALC_EPM!$B440="","",CALC_EPM!D440)</f>
      </c>
      <c r="E451" s="10" t="str">
        <f>IF(CALC_EPM!$B440="","",CALC_EPM!E440)</f>
      </c>
      <c r="F451" s="10" t="str">
        <f>IF(CALC_EPM!$B440="","",CALC_EPM!F440)</f>
      </c>
      <c r="G451" t="str">
        <f>IF(CALC_EPM!$B440="","",CALC_EPM!G440)</f>
      </c>
      <c r="H451" s="11" t="str">
        <f>IF(CALC_EPM!$B440="","",CALC_EPM!H440)</f>
      </c>
      <c r="I451" s="11" t="str">
        <f>IF(CALC_EPM!$B440="","",CALC_EPM!I440)</f>
      </c>
      <c r="J451" t="str">
        <f>IF(CALC_EPM!$B440="","",CALC_EPM!J440)</f>
      </c>
      <c r="K451" t="str">
        <f>IF(CALC_EPM!$B440="","",CALC_EPM!K440)</f>
      </c>
      <c r="L451">
        <f>IF(CALC_EPM!$B440="","",CALC_EPM!L440)</f>
      </c>
      <c r="M451">
        <f>IF(CALC_EPM!$B440="","",CALC_EPM!M440)</f>
      </c>
      <c r="N451">
        <f>IF(CALC_EPM!$B440="","",CALC_EPM!N440)</f>
      </c>
      <c r="O451">
        <f>IF(CALC_EPM!$B440="","",CALC_EPM!O440)</f>
      </c>
      <c r="P451">
        <f>IF(CALC_EPM!$B440="","",CALC_EPM!P440)</f>
      </c>
      <c r="Q451">
        <f>IF(CALC_EPM!$B440="","",CALC_EPM!Q440)</f>
      </c>
      <c r="R451">
        <f>IF(CALC_EPM!$B440="","",CALC_EPM!R440)</f>
      </c>
      <c r="S451">
        <f>IF(CALC_EPM!$B440="","",CALC_EPM!S440)</f>
      </c>
      <c r="T451">
        <f>IF(CALC_EPM!$B440="","",CALC_EPM!T440)</f>
      </c>
      <c r="U451">
        <f>IF(CALC_EPM!$B440="","",CALC_EPM!U440)</f>
      </c>
    </row>
    <row r="452">
      <c r="A452" t="str">
        <f>IF(CALC_EPM!$B441="","",IF(CALC_EPM!A441="GLOBAL",IF(CALC_EPM!C441="Total","GLOBAL",IF(CALC_EPM!C441="TotalEsp","GLOBAL_ESP",IF(CALC_EPM!C441="TotalNoEsp","GLOBAL_NOESP","GLOBAL_ASIG"))),IF(CALC_EPM!C441="Total","CURSO_TOTAL",IF(CALC_EPM!C441="TotalEsp","CURSO_ESP",IF(CALC_EPM!C441="TotalNoEsp","CURSO_NOESP","CURSO_ASIG")))))</f>
      </c>
      <c r="B452" t="str">
        <f>IF(CALC_EPM!$B441="","",CALC_EPM!A441)</f>
      </c>
      <c r="C452" t="str">
        <f>IF(CALC_EPM!$B441="","",CALC_EPM!B441)</f>
      </c>
      <c r="D452">
        <f>IF(CALC_EPM!$B441="","",CALC_EPM!D441)</f>
      </c>
      <c r="E452" s="10" t="str">
        <f>IF(CALC_EPM!$B441="","",CALC_EPM!E441)</f>
      </c>
      <c r="F452" s="10" t="str">
        <f>IF(CALC_EPM!$B441="","",CALC_EPM!F441)</f>
      </c>
      <c r="G452" t="str">
        <f>IF(CALC_EPM!$B441="","",CALC_EPM!G441)</f>
      </c>
      <c r="H452" s="11" t="str">
        <f>IF(CALC_EPM!$B441="","",CALC_EPM!H441)</f>
      </c>
      <c r="I452" s="11" t="str">
        <f>IF(CALC_EPM!$B441="","",CALC_EPM!I441)</f>
      </c>
      <c r="J452" t="str">
        <f>IF(CALC_EPM!$B441="","",CALC_EPM!J441)</f>
      </c>
      <c r="K452" t="str">
        <f>IF(CALC_EPM!$B441="","",CALC_EPM!K441)</f>
      </c>
      <c r="L452">
        <f>IF(CALC_EPM!$B441="","",CALC_EPM!L441)</f>
      </c>
      <c r="M452">
        <f>IF(CALC_EPM!$B441="","",CALC_EPM!M441)</f>
      </c>
      <c r="N452">
        <f>IF(CALC_EPM!$B441="","",CALC_EPM!N441)</f>
      </c>
      <c r="O452">
        <f>IF(CALC_EPM!$B441="","",CALC_EPM!O441)</f>
      </c>
      <c r="P452">
        <f>IF(CALC_EPM!$B441="","",CALC_EPM!P441)</f>
      </c>
      <c r="Q452">
        <f>IF(CALC_EPM!$B441="","",CALC_EPM!Q441)</f>
      </c>
      <c r="R452">
        <f>IF(CALC_EPM!$B441="","",CALC_EPM!R441)</f>
      </c>
      <c r="S452">
        <f>IF(CALC_EPM!$B441="","",CALC_EPM!S441)</f>
      </c>
      <c r="T452">
        <f>IF(CALC_EPM!$B441="","",CALC_EPM!T441)</f>
      </c>
      <c r="U452">
        <f>IF(CALC_EPM!$B441="","",CALC_EPM!U441)</f>
      </c>
    </row>
    <row r="453">
      <c r="A453" t="str">
        <f>IF(CALC_EPM!$B442="","",IF(CALC_EPM!A442="GLOBAL",IF(CALC_EPM!C442="Total","GLOBAL",IF(CALC_EPM!C442="TotalEsp","GLOBAL_ESP",IF(CALC_EPM!C442="TotalNoEsp","GLOBAL_NOESP","GLOBAL_ASIG"))),IF(CALC_EPM!C442="Total","CURSO_TOTAL",IF(CALC_EPM!C442="TotalEsp","CURSO_ESP",IF(CALC_EPM!C442="TotalNoEsp","CURSO_NOESP","CURSO_ASIG")))))</f>
      </c>
      <c r="B453" t="str">
        <f>IF(CALC_EPM!$B442="","",CALC_EPM!A442)</f>
      </c>
      <c r="C453" t="str">
        <f>IF(CALC_EPM!$B442="","",CALC_EPM!B442)</f>
      </c>
      <c r="D453">
        <f>IF(CALC_EPM!$B442="","",CALC_EPM!D442)</f>
      </c>
      <c r="E453" s="10" t="str">
        <f>IF(CALC_EPM!$B442="","",CALC_EPM!E442)</f>
      </c>
      <c r="F453" s="10" t="str">
        <f>IF(CALC_EPM!$B442="","",CALC_EPM!F442)</f>
      </c>
      <c r="G453" t="str">
        <f>IF(CALC_EPM!$B442="","",CALC_EPM!G442)</f>
      </c>
      <c r="H453" s="11" t="str">
        <f>IF(CALC_EPM!$B442="","",CALC_EPM!H442)</f>
      </c>
      <c r="I453" s="11" t="str">
        <f>IF(CALC_EPM!$B442="","",CALC_EPM!I442)</f>
      </c>
      <c r="J453" t="str">
        <f>IF(CALC_EPM!$B442="","",CALC_EPM!J442)</f>
      </c>
      <c r="K453" t="str">
        <f>IF(CALC_EPM!$B442="","",CALC_EPM!K442)</f>
      </c>
      <c r="L453">
        <f>IF(CALC_EPM!$B442="","",CALC_EPM!L442)</f>
      </c>
      <c r="M453">
        <f>IF(CALC_EPM!$B442="","",CALC_EPM!M442)</f>
      </c>
      <c r="N453">
        <f>IF(CALC_EPM!$B442="","",CALC_EPM!N442)</f>
      </c>
      <c r="O453">
        <f>IF(CALC_EPM!$B442="","",CALC_EPM!O442)</f>
      </c>
      <c r="P453">
        <f>IF(CALC_EPM!$B442="","",CALC_EPM!P442)</f>
      </c>
      <c r="Q453">
        <f>IF(CALC_EPM!$B442="","",CALC_EPM!Q442)</f>
      </c>
      <c r="R453">
        <f>IF(CALC_EPM!$B442="","",CALC_EPM!R442)</f>
      </c>
      <c r="S453">
        <f>IF(CALC_EPM!$B442="","",CALC_EPM!S442)</f>
      </c>
      <c r="T453">
        <f>IF(CALC_EPM!$B442="","",CALC_EPM!T442)</f>
      </c>
      <c r="U453">
        <f>IF(CALC_EPM!$B442="","",CALC_EPM!U442)</f>
      </c>
    </row>
    <row r="454">
      <c r="A454" t="str">
        <f>IF(CALC_EPM!$B443="","",IF(CALC_EPM!A443="GLOBAL",IF(CALC_EPM!C443="Total","GLOBAL",IF(CALC_EPM!C443="TotalEsp","GLOBAL_ESP",IF(CALC_EPM!C443="TotalNoEsp","GLOBAL_NOESP","GLOBAL_ASIG"))),IF(CALC_EPM!C443="Total","CURSO_TOTAL",IF(CALC_EPM!C443="TotalEsp","CURSO_ESP",IF(CALC_EPM!C443="TotalNoEsp","CURSO_NOESP","CURSO_ASIG")))))</f>
      </c>
      <c r="B454" t="str">
        <f>IF(CALC_EPM!$B443="","",CALC_EPM!A443)</f>
      </c>
      <c r="C454" t="str">
        <f>IF(CALC_EPM!$B443="","",CALC_EPM!B443)</f>
      </c>
      <c r="D454">
        <f>IF(CALC_EPM!$B443="","",CALC_EPM!D443)</f>
      </c>
      <c r="E454" s="10" t="str">
        <f>IF(CALC_EPM!$B443="","",CALC_EPM!E443)</f>
      </c>
      <c r="F454" s="10" t="str">
        <f>IF(CALC_EPM!$B443="","",CALC_EPM!F443)</f>
      </c>
      <c r="G454" t="str">
        <f>IF(CALC_EPM!$B443="","",CALC_EPM!G443)</f>
      </c>
      <c r="H454" s="11" t="str">
        <f>IF(CALC_EPM!$B443="","",CALC_EPM!H443)</f>
      </c>
      <c r="I454" s="11" t="str">
        <f>IF(CALC_EPM!$B443="","",CALC_EPM!I443)</f>
      </c>
      <c r="J454" t="str">
        <f>IF(CALC_EPM!$B443="","",CALC_EPM!J443)</f>
      </c>
      <c r="K454" t="str">
        <f>IF(CALC_EPM!$B443="","",CALC_EPM!K443)</f>
      </c>
      <c r="L454">
        <f>IF(CALC_EPM!$B443="","",CALC_EPM!L443)</f>
      </c>
      <c r="M454">
        <f>IF(CALC_EPM!$B443="","",CALC_EPM!M443)</f>
      </c>
      <c r="N454">
        <f>IF(CALC_EPM!$B443="","",CALC_EPM!N443)</f>
      </c>
      <c r="O454">
        <f>IF(CALC_EPM!$B443="","",CALC_EPM!O443)</f>
      </c>
      <c r="P454">
        <f>IF(CALC_EPM!$B443="","",CALC_EPM!P443)</f>
      </c>
      <c r="Q454">
        <f>IF(CALC_EPM!$B443="","",CALC_EPM!Q443)</f>
      </c>
      <c r="R454">
        <f>IF(CALC_EPM!$B443="","",CALC_EPM!R443)</f>
      </c>
      <c r="S454">
        <f>IF(CALC_EPM!$B443="","",CALC_EPM!S443)</f>
      </c>
      <c r="T454">
        <f>IF(CALC_EPM!$B443="","",CALC_EPM!T443)</f>
      </c>
      <c r="U454">
        <f>IF(CALC_EPM!$B443="","",CALC_EPM!U443)</f>
      </c>
    </row>
    <row r="456">
      <c r="A456" t="inlineStr">
        <is>
          <t xml:space="preserve">#AGRUPACIONES</t>
        </is>
      </c>
    </row>
    <row r="457">
      <c r="A457" t="inlineStr">
        <is>
          <t xml:space="preserve">Tipo</t>
        </is>
      </c>
      <c r="B457" t="inlineStr">
        <is>
          <t xml:space="preserve">Asignatura</t>
        </is>
      </c>
      <c r="C457" t="inlineStr">
        <is>
          <t xml:space="preserve">Grupos</t>
        </is>
      </c>
    </row>
    <row r="458">
      <c r="A458" t="inlineStr">
        <is>
          <t xml:space="preserve">AGR</t>
        </is>
      </c>
      <c r="B458">
        <f>IF(CONFIG_ASIGNATURAS!B2="","",CONFIG_ASIGNATURAS!B2)</f>
      </c>
      <c r="C458">
        <f>IF(CONFIG_ASIGNATURAS!B2="","",IF(CONFIG_ASIGNATURAS!E2="",CONFIG_ASIGNATURAS!D2,CONFIG_ASIGNATURAS!D2&amp;";"&amp;CONFIG_ASIGNATURAS!E2))</f>
      </c>
    </row>
    <row r="459">
      <c r="A459" t="inlineStr">
        <is>
          <t xml:space="preserve">AGR</t>
        </is>
      </c>
      <c r="B459">
        <f>IF(CONFIG_ASIGNATURAS!B3="","",CONFIG_ASIGNATURAS!B3)</f>
      </c>
      <c r="C459">
        <f>IF(CONFIG_ASIGNATURAS!B3="","",IF(CONFIG_ASIGNATURAS!E3="",CONFIG_ASIGNATURAS!D3,CONFIG_ASIGNATURAS!D3&amp;";"&amp;CONFIG_ASIGNATURAS!E3))</f>
      </c>
    </row>
    <row r="460">
      <c r="A460" t="inlineStr">
        <is>
          <t xml:space="preserve">AGR</t>
        </is>
      </c>
      <c r="B460">
        <f>IF(CONFIG_ASIGNATURAS!B4="","",CONFIG_ASIGNATURAS!B4)</f>
      </c>
      <c r="C460">
        <f>IF(CONFIG_ASIGNATURAS!B4="","",IF(CONFIG_ASIGNATURAS!E4="",CONFIG_ASIGNATURAS!D4,CONFIG_ASIGNATURAS!D4&amp;";"&amp;CONFIG_ASIGNATURAS!E4))</f>
      </c>
    </row>
    <row r="461">
      <c r="A461" t="inlineStr">
        <is>
          <t xml:space="preserve">AGR</t>
        </is>
      </c>
      <c r="B461">
        <f>IF(CONFIG_ASIGNATURAS!B5="","",CONFIG_ASIGNATURAS!B5)</f>
      </c>
      <c r="C461">
        <f>IF(CONFIG_ASIGNATURAS!B5="","",IF(CONFIG_ASIGNATURAS!E5="",CONFIG_ASIGNATURAS!D5,CONFIG_ASIGNATURAS!D5&amp;";"&amp;CONFIG_ASIGNATURAS!E5))</f>
      </c>
    </row>
    <row r="462">
      <c r="A462" t="inlineStr">
        <is>
          <t xml:space="preserve">AGR</t>
        </is>
      </c>
      <c r="B462">
        <f>IF(CONFIG_ASIGNATURAS!B6="","",CONFIG_ASIGNATURAS!B6)</f>
      </c>
      <c r="C462">
        <f>IF(CONFIG_ASIGNATURAS!B6="","",IF(CONFIG_ASIGNATURAS!E6="",CONFIG_ASIGNATURAS!D6,CONFIG_ASIGNATURAS!D6&amp;";"&amp;CONFIG_ASIGNATURAS!E6))</f>
      </c>
    </row>
    <row r="463">
      <c r="A463" t="inlineStr">
        <is>
          <t xml:space="preserve">AGR</t>
        </is>
      </c>
      <c r="B463">
        <f>IF(CONFIG_ASIGNATURAS!B7="","",CONFIG_ASIGNATURAS!B7)</f>
      </c>
      <c r="C463">
        <f>IF(CONFIG_ASIGNATURAS!B7="","",IF(CONFIG_ASIGNATURAS!E7="",CONFIG_ASIGNATURAS!D7,CONFIG_ASIGNATURAS!D7&amp;";"&amp;CONFIG_ASIGNATURAS!E7))</f>
      </c>
    </row>
    <row r="464">
      <c r="A464" t="inlineStr">
        <is>
          <t xml:space="preserve">AGR</t>
        </is>
      </c>
      <c r="B464">
        <f>IF(CONFIG_ASIGNATURAS!B8="","",CONFIG_ASIGNATURAS!B8)</f>
      </c>
      <c r="C464">
        <f>IF(CONFIG_ASIGNATURAS!B8="","",IF(CONFIG_ASIGNATURAS!E8="",CONFIG_ASIGNATURAS!D8,CONFIG_ASIGNATURAS!D8&amp;";"&amp;CONFIG_ASIGNATURAS!E8))</f>
      </c>
    </row>
    <row r="465">
      <c r="A465" t="inlineStr">
        <is>
          <t xml:space="preserve">AGR</t>
        </is>
      </c>
      <c r="B465">
        <f>IF(CONFIG_ASIGNATURAS!B9="","",CONFIG_ASIGNATURAS!B9)</f>
      </c>
      <c r="C465">
        <f>IF(CONFIG_ASIGNATURAS!B9="","",IF(CONFIG_ASIGNATURAS!E9="",CONFIG_ASIGNATURAS!D9,CONFIG_ASIGNATURAS!D9&amp;";"&amp;CONFIG_ASIGNATURAS!E9))</f>
      </c>
    </row>
    <row r="466">
      <c r="A466" t="inlineStr">
        <is>
          <t xml:space="preserve">AGR</t>
        </is>
      </c>
      <c r="B466">
        <f>IF(CONFIG_ASIGNATURAS!B10="","",CONFIG_ASIGNATURAS!B10)</f>
      </c>
      <c r="C466">
        <f>IF(CONFIG_ASIGNATURAS!B10="","",IF(CONFIG_ASIGNATURAS!E10="",CONFIG_ASIGNATURAS!D10,CONFIG_ASIGNATURAS!D10&amp;";"&amp;CONFIG_ASIGNATURAS!E10))</f>
      </c>
    </row>
    <row r="467">
      <c r="A467" t="inlineStr">
        <is>
          <t xml:space="preserve">AGR</t>
        </is>
      </c>
      <c r="B467">
        <f>IF(CONFIG_ASIGNATURAS!B11="","",CONFIG_ASIGNATURAS!B11)</f>
      </c>
      <c r="C467">
        <f>IF(CONFIG_ASIGNATURAS!B11="","",IF(CONFIG_ASIGNATURAS!E11="",CONFIG_ASIGNATURAS!D11,CONFIG_ASIGNATURAS!D11&amp;";"&amp;CONFIG_ASIGNATURAS!E11))</f>
      </c>
    </row>
    <row r="468">
      <c r="A468" t="inlineStr">
        <is>
          <t xml:space="preserve">AGR</t>
        </is>
      </c>
      <c r="B468">
        <f>IF(CONFIG_ASIGNATURAS!B12="","",CONFIG_ASIGNATURAS!B12)</f>
      </c>
      <c r="C468">
        <f>IF(CONFIG_ASIGNATURAS!B12="","",IF(CONFIG_ASIGNATURAS!E12="",CONFIG_ASIGNATURAS!D12,CONFIG_ASIGNATURAS!D12&amp;";"&amp;CONFIG_ASIGNATURAS!E12))</f>
      </c>
    </row>
    <row r="469">
      <c r="A469" t="inlineStr">
        <is>
          <t xml:space="preserve">AGR</t>
        </is>
      </c>
      <c r="B469">
        <f>IF(CONFIG_ASIGNATURAS!B13="","",CONFIG_ASIGNATURAS!B13)</f>
      </c>
      <c r="C469">
        <f>IF(CONFIG_ASIGNATURAS!B13="","",IF(CONFIG_ASIGNATURAS!E13="",CONFIG_ASIGNATURAS!D13,CONFIG_ASIGNATURAS!D13&amp;";"&amp;CONFIG_ASIGNATURAS!E13))</f>
      </c>
    </row>
    <row r="470">
      <c r="A470" t="inlineStr">
        <is>
          <t xml:space="preserve">AGR</t>
        </is>
      </c>
      <c r="B470">
        <f>IF(CONFIG_ASIGNATURAS!B14="","",CONFIG_ASIGNATURAS!B14)</f>
      </c>
      <c r="C470">
        <f>IF(CONFIG_ASIGNATURAS!B14="","",IF(CONFIG_ASIGNATURAS!E14="",CONFIG_ASIGNATURAS!D14,CONFIG_ASIGNATURAS!D14&amp;";"&amp;CONFIG_ASIGNATURAS!E14))</f>
      </c>
    </row>
    <row r="471">
      <c r="A471" t="inlineStr">
        <is>
          <t xml:space="preserve">AGR</t>
        </is>
      </c>
      <c r="B471">
        <f>IF(CONFIG_ASIGNATURAS!B15="","",CONFIG_ASIGNATURAS!B15)</f>
      </c>
      <c r="C471">
        <f>IF(CONFIG_ASIGNATURAS!B15="","",IF(CONFIG_ASIGNATURAS!E15="",CONFIG_ASIGNATURAS!D15,CONFIG_ASIGNATURAS!D15&amp;";"&amp;CONFIG_ASIGNATURAS!E15))</f>
      </c>
    </row>
    <row r="472">
      <c r="A472" t="inlineStr">
        <is>
          <t xml:space="preserve">AGR</t>
        </is>
      </c>
      <c r="B472">
        <f>IF(CONFIG_ASIGNATURAS!B16="","",CONFIG_ASIGNATURAS!B16)</f>
      </c>
      <c r="C472">
        <f>IF(CONFIG_ASIGNATURAS!B16="","",IF(CONFIG_ASIGNATURAS!E16="",CONFIG_ASIGNATURAS!D16,CONFIG_ASIGNATURAS!D16&amp;";"&amp;CONFIG_ASIGNATURAS!E16))</f>
      </c>
    </row>
    <row r="473">
      <c r="A473" t="inlineStr">
        <is>
          <t xml:space="preserve">AGR</t>
        </is>
      </c>
      <c r="B473">
        <f>IF(CONFIG_ASIGNATURAS!B17="","",CONFIG_ASIGNATURAS!B17)</f>
      </c>
      <c r="C473">
        <f>IF(CONFIG_ASIGNATURAS!B17="","",IF(CONFIG_ASIGNATURAS!E17="",CONFIG_ASIGNATURAS!D17,CONFIG_ASIGNATURAS!D17&amp;";"&amp;CONFIG_ASIGNATURAS!E17))</f>
      </c>
    </row>
    <row r="474">
      <c r="A474" t="inlineStr">
        <is>
          <t xml:space="preserve">AGR</t>
        </is>
      </c>
      <c r="B474">
        <f>IF(CONFIG_ASIGNATURAS!B18="","",CONFIG_ASIGNATURAS!B18)</f>
      </c>
      <c r="C474">
        <f>IF(CONFIG_ASIGNATURAS!B18="","",IF(CONFIG_ASIGNATURAS!E18="",CONFIG_ASIGNATURAS!D18,CONFIG_ASIGNATURAS!D18&amp;";"&amp;CONFIG_ASIGNATURAS!E18))</f>
      </c>
    </row>
    <row r="475">
      <c r="A475" t="inlineStr">
        <is>
          <t xml:space="preserve">AGR</t>
        </is>
      </c>
      <c r="B475">
        <f>IF(CONFIG_ASIGNATURAS!B19="","",CONFIG_ASIGNATURAS!B19)</f>
      </c>
      <c r="C475">
        <f>IF(CONFIG_ASIGNATURAS!B19="","",IF(CONFIG_ASIGNATURAS!E19="",CONFIG_ASIGNATURAS!D19,CONFIG_ASIGNATURAS!D19&amp;";"&amp;CONFIG_ASIGNATURAS!E19))</f>
      </c>
    </row>
    <row r="476">
      <c r="A476" t="inlineStr">
        <is>
          <t xml:space="preserve">AGR</t>
        </is>
      </c>
      <c r="B476">
        <f>IF(CONFIG_ASIGNATURAS!B20="","",CONFIG_ASIGNATURAS!B20)</f>
      </c>
      <c r="C476">
        <f>IF(CONFIG_ASIGNATURAS!B20="","",IF(CONFIG_ASIGNATURAS!E20="",CONFIG_ASIGNATURAS!D20,CONFIG_ASIGNATURAS!D20&amp;";"&amp;CONFIG_ASIGNATURAS!E20))</f>
      </c>
    </row>
    <row r="477">
      <c r="A477" t="inlineStr">
        <is>
          <t xml:space="preserve">AGR</t>
        </is>
      </c>
      <c r="B477">
        <f>IF(CONFIG_ASIGNATURAS!B21="","",CONFIG_ASIGNATURAS!B21)</f>
      </c>
      <c r="C477">
        <f>IF(CONFIG_ASIGNATURAS!B21="","",IF(CONFIG_ASIGNATURAS!E21="",CONFIG_ASIGNATURAS!D21,CONFIG_ASIGNATURAS!D21&amp;";"&amp;CONFIG_ASIGNATURAS!E21))</f>
      </c>
    </row>
    <row r="478">
      <c r="A478" t="inlineStr">
        <is>
          <t xml:space="preserve">AGR</t>
        </is>
      </c>
      <c r="B478">
        <f>IF(CONFIG_ASIGNATURAS!B22="","",CONFIG_ASIGNATURAS!B22)</f>
      </c>
      <c r="C478">
        <f>IF(CONFIG_ASIGNATURAS!B22="","",IF(CONFIG_ASIGNATURAS!E22="",CONFIG_ASIGNATURAS!D22,CONFIG_ASIGNATURAS!D22&amp;";"&amp;CONFIG_ASIGNATURAS!E22))</f>
      </c>
    </row>
    <row r="479">
      <c r="A479" t="inlineStr">
        <is>
          <t xml:space="preserve">AGR</t>
        </is>
      </c>
      <c r="B479">
        <f>IF(CONFIG_ASIGNATURAS!B23="","",CONFIG_ASIGNATURAS!B23)</f>
      </c>
      <c r="C479">
        <f>IF(CONFIG_ASIGNATURAS!B23="","",IF(CONFIG_ASIGNATURAS!E23="",CONFIG_ASIGNATURAS!D23,CONFIG_ASIGNATURAS!D23&amp;";"&amp;CONFIG_ASIGNATURAS!E23))</f>
      </c>
    </row>
    <row r="480">
      <c r="A480" t="inlineStr">
        <is>
          <t xml:space="preserve">AGR</t>
        </is>
      </c>
      <c r="B480">
        <f>IF(CONFIG_ASIGNATURAS!B24="","",CONFIG_ASIGNATURAS!B24)</f>
      </c>
      <c r="C480">
        <f>IF(CONFIG_ASIGNATURAS!B24="","",IF(CONFIG_ASIGNATURAS!E24="",CONFIG_ASIGNATURAS!D24,CONFIG_ASIGNATURAS!D24&amp;";"&amp;CONFIG_ASIGNATURAS!E24))</f>
      </c>
    </row>
    <row r="481">
      <c r="A481" t="inlineStr">
        <is>
          <t xml:space="preserve">AGR</t>
        </is>
      </c>
      <c r="B481">
        <f>IF(CONFIG_ASIGNATURAS!B25="","",CONFIG_ASIGNATURAS!B25)</f>
      </c>
      <c r="C481">
        <f>IF(CONFIG_ASIGNATURAS!B25="","",IF(CONFIG_ASIGNATURAS!E25="",CONFIG_ASIGNATURAS!D25,CONFIG_ASIGNATURAS!D25&amp;";"&amp;CONFIG_ASIGNATURAS!E25))</f>
      </c>
    </row>
    <row r="482">
      <c r="A482" t="inlineStr">
        <is>
          <t xml:space="preserve">AGR</t>
        </is>
      </c>
      <c r="B482">
        <f>IF(CONFIG_ASIGNATURAS!B26="","",CONFIG_ASIGNATURAS!B26)</f>
      </c>
      <c r="C482">
        <f>IF(CONFIG_ASIGNATURAS!B26="","",IF(CONFIG_ASIGNATURAS!E26="",CONFIG_ASIGNATURAS!D26,CONFIG_ASIGNATURAS!D26&amp;";"&amp;CONFIG_ASIGNATURAS!E26))</f>
      </c>
    </row>
    <row r="483">
      <c r="A483" t="inlineStr">
        <is>
          <t xml:space="preserve">AGR</t>
        </is>
      </c>
      <c r="B483">
        <f>IF(CONFIG_ASIGNATURAS!B27="","",CONFIG_ASIGNATURAS!B27)</f>
      </c>
      <c r="C483">
        <f>IF(CONFIG_ASIGNATURAS!B27="","",IF(CONFIG_ASIGNATURAS!E27="",CONFIG_ASIGNATURAS!D27,CONFIG_ASIGNATURAS!D27&amp;";"&amp;CONFIG_ASIGNATURAS!E27))</f>
      </c>
    </row>
    <row r="484">
      <c r="A484" t="inlineStr">
        <is>
          <t xml:space="preserve">AGR</t>
        </is>
      </c>
      <c r="B484">
        <f>IF(CONFIG_ASIGNATURAS!B28="","",CONFIG_ASIGNATURAS!B28)</f>
      </c>
      <c r="C484">
        <f>IF(CONFIG_ASIGNATURAS!B28="","",IF(CONFIG_ASIGNATURAS!E28="",CONFIG_ASIGNATURAS!D28,CONFIG_ASIGNATURAS!D28&amp;";"&amp;CONFIG_ASIGNATURAS!E28))</f>
      </c>
    </row>
    <row r="485">
      <c r="A485" t="inlineStr">
        <is>
          <t xml:space="preserve">AGR</t>
        </is>
      </c>
      <c r="B485">
        <f>IF(CONFIG_ASIGNATURAS!B29="","",CONFIG_ASIGNATURAS!B29)</f>
      </c>
      <c r="C485">
        <f>IF(CONFIG_ASIGNATURAS!B29="","",IF(CONFIG_ASIGNATURAS!E29="",CONFIG_ASIGNATURAS!D29,CONFIG_ASIGNATURAS!D29&amp;";"&amp;CONFIG_ASIGNATURAS!E29))</f>
      </c>
    </row>
    <row r="486">
      <c r="A486" t="inlineStr">
        <is>
          <t xml:space="preserve">AGR</t>
        </is>
      </c>
      <c r="B486">
        <f>IF(CONFIG_ASIGNATURAS!B30="","",CONFIG_ASIGNATURAS!B30)</f>
      </c>
      <c r="C486">
        <f>IF(CONFIG_ASIGNATURAS!B30="","",IF(CONFIG_ASIGNATURAS!E30="",CONFIG_ASIGNATURAS!D30,CONFIG_ASIGNATURAS!D30&amp;";"&amp;CONFIG_ASIGNATURAS!E30))</f>
      </c>
    </row>
    <row r="487">
      <c r="A487" t="inlineStr">
        <is>
          <t xml:space="preserve">AGR</t>
        </is>
      </c>
      <c r="B487">
        <f>IF(CONFIG_ASIGNATURAS!B31="","",CONFIG_ASIGNATURAS!B31)</f>
      </c>
      <c r="C487">
        <f>IF(CONFIG_ASIGNATURAS!B31="","",IF(CONFIG_ASIGNATURAS!E31="",CONFIG_ASIGNATURAS!D31,CONFIG_ASIGNATURAS!D31&amp;";"&amp;CONFIG_ASIGNATURAS!E31))</f>
      </c>
    </row>
    <row r="488">
      <c r="A488" t="inlineStr">
        <is>
          <t xml:space="preserve">AGR</t>
        </is>
      </c>
      <c r="B488">
        <f>IF(CONFIG_ASIGNATURAS!B32="","",CONFIG_ASIGNATURAS!B32)</f>
      </c>
      <c r="C488">
        <f>IF(CONFIG_ASIGNATURAS!B32="","",IF(CONFIG_ASIGNATURAS!E32="",CONFIG_ASIGNATURAS!D32,CONFIG_ASIGNATURAS!D32&amp;";"&amp;CONFIG_ASIGNATURAS!E32))</f>
      </c>
    </row>
    <row r="489">
      <c r="A489" t="inlineStr">
        <is>
          <t xml:space="preserve">AGR</t>
        </is>
      </c>
      <c r="B489">
        <f>IF(CONFIG_ASIGNATURAS!B33="","",CONFIG_ASIGNATURAS!B33)</f>
      </c>
      <c r="C489">
        <f>IF(CONFIG_ASIGNATURAS!B33="","",IF(CONFIG_ASIGNATURAS!E33="",CONFIG_ASIGNATURAS!D33,CONFIG_ASIGNATURAS!D33&amp;";"&amp;CONFIG_ASIGNATURAS!E33))</f>
      </c>
    </row>
    <row r="490">
      <c r="A490" t="inlineStr">
        <is>
          <t xml:space="preserve">AGR</t>
        </is>
      </c>
      <c r="B490">
        <f>IF(CONFIG_ASIGNATURAS!B34="","",CONFIG_ASIGNATURAS!B34)</f>
      </c>
      <c r="C490">
        <f>IF(CONFIG_ASIGNATURAS!B34="","",IF(CONFIG_ASIGNATURAS!E34="",CONFIG_ASIGNATURAS!D34,CONFIG_ASIGNATURAS!D34&amp;";"&amp;CONFIG_ASIGNATURAS!E34))</f>
      </c>
    </row>
    <row r="491">
      <c r="A491" t="inlineStr">
        <is>
          <t xml:space="preserve">AGR</t>
        </is>
      </c>
      <c r="B491">
        <f>IF(CONFIG_ASIGNATURAS!B35="","",CONFIG_ASIGNATURAS!B35)</f>
      </c>
      <c r="C491">
        <f>IF(CONFIG_ASIGNATURAS!B35="","",IF(CONFIG_ASIGNATURAS!E35="",CONFIG_ASIGNATURAS!D35,CONFIG_ASIGNATURAS!D35&amp;";"&amp;CONFIG_ASIGNATURAS!E35))</f>
      </c>
    </row>
    <row r="492">
      <c r="A492" t="inlineStr">
        <is>
          <t xml:space="preserve">AGR</t>
        </is>
      </c>
      <c r="B492">
        <f>IF(CONFIG_ASIGNATURAS!B36="","",CONFIG_ASIGNATURAS!B36)</f>
      </c>
      <c r="C492">
        <f>IF(CONFIG_ASIGNATURAS!B36="","",IF(CONFIG_ASIGNATURAS!E36="",CONFIG_ASIGNATURAS!D36,CONFIG_ASIGNATURAS!D36&amp;";"&amp;CONFIG_ASIGNATURAS!E36))</f>
      </c>
    </row>
    <row r="493">
      <c r="A493" t="inlineStr">
        <is>
          <t xml:space="preserve">AGR</t>
        </is>
      </c>
      <c r="B493">
        <f>IF(CONFIG_ASIGNATURAS!B37="","",CONFIG_ASIGNATURAS!B37)</f>
      </c>
      <c r="C493">
        <f>IF(CONFIG_ASIGNATURAS!B37="","",IF(CONFIG_ASIGNATURAS!E37="",CONFIG_ASIGNATURAS!D37,CONFIG_ASIGNATURAS!D37&amp;";"&amp;CONFIG_ASIGNATURAS!E37))</f>
      </c>
    </row>
    <row r="494">
      <c r="A494" t="inlineStr">
        <is>
          <t xml:space="preserve">AGR</t>
        </is>
      </c>
      <c r="B494">
        <f>IF(CONFIG_ASIGNATURAS!B38="","",CONFIG_ASIGNATURAS!B38)</f>
      </c>
      <c r="C494">
        <f>IF(CONFIG_ASIGNATURAS!B38="","",IF(CONFIG_ASIGNATURAS!E38="",CONFIG_ASIGNATURAS!D38,CONFIG_ASIGNATURAS!D38&amp;";"&amp;CONFIG_ASIGNATURAS!E38))</f>
      </c>
    </row>
    <row r="495">
      <c r="A495" t="inlineStr">
        <is>
          <t xml:space="preserve">AGR</t>
        </is>
      </c>
      <c r="B495">
        <f>IF(CONFIG_ASIGNATURAS!B39="","",CONFIG_ASIGNATURAS!B39)</f>
      </c>
      <c r="C495">
        <f>IF(CONFIG_ASIGNATURAS!B39="","",IF(CONFIG_ASIGNATURAS!E39="",CONFIG_ASIGNATURAS!D39,CONFIG_ASIGNATURAS!D39&amp;";"&amp;CONFIG_ASIGNATURAS!E39))</f>
      </c>
    </row>
    <row r="496">
      <c r="A496" t="inlineStr">
        <is>
          <t xml:space="preserve">AGR</t>
        </is>
      </c>
      <c r="B496">
        <f>IF(CONFIG_ASIGNATURAS!B40="","",CONFIG_ASIGNATURAS!B40)</f>
      </c>
      <c r="C496">
        <f>IF(CONFIG_ASIGNATURAS!B40="","",IF(CONFIG_ASIGNATURAS!E40="",CONFIG_ASIGNATURAS!D40,CONFIG_ASIGNATURAS!D40&amp;";"&amp;CONFIG_ASIGNATURAS!E40))</f>
      </c>
    </row>
    <row r="497">
      <c r="A497" t="inlineStr">
        <is>
          <t xml:space="preserve">AGR</t>
        </is>
      </c>
      <c r="B497">
        <f>IF(CONFIG_ASIGNATURAS!B41="","",CONFIG_ASIGNATURAS!B41)</f>
      </c>
      <c r="C497">
        <f>IF(CONFIG_ASIGNATURAS!B41="","",IF(CONFIG_ASIGNATURAS!E41="",CONFIG_ASIGNATURAS!D41,CONFIG_ASIGNATURAS!D41&amp;";"&amp;CONFIG_ASIGNATURAS!E41))</f>
      </c>
    </row>
    <row r="498">
      <c r="A498" t="inlineStr">
        <is>
          <t xml:space="preserve">AGR</t>
        </is>
      </c>
      <c r="B498">
        <f>IF(CONFIG_ASIGNATURAS!B42="","",CONFIG_ASIGNATURAS!B42)</f>
      </c>
      <c r="C498">
        <f>IF(CONFIG_ASIGNATURAS!B42="","",IF(CONFIG_ASIGNATURAS!E42="",CONFIG_ASIGNATURAS!D42,CONFIG_ASIGNATURAS!D42&amp;";"&amp;CONFIG_ASIGNATURAS!E42))</f>
      </c>
    </row>
    <row r="499">
      <c r="A499" t="inlineStr">
        <is>
          <t xml:space="preserve">AGR</t>
        </is>
      </c>
      <c r="B499">
        <f>IF(CONFIG_ASIGNATURAS!B43="","",CONFIG_ASIGNATURAS!B43)</f>
      </c>
      <c r="C499">
        <f>IF(CONFIG_ASIGNATURAS!B43="","",IF(CONFIG_ASIGNATURAS!E43="",CONFIG_ASIGNATURAS!D43,CONFIG_ASIGNATURAS!D43&amp;";"&amp;CONFIG_ASIGNATURAS!E43))</f>
      </c>
    </row>
    <row r="500">
      <c r="A500" t="inlineStr">
        <is>
          <t xml:space="preserve">AGR</t>
        </is>
      </c>
      <c r="B500">
        <f>IF(CONFIG_ASIGNATURAS!B44="","",CONFIG_ASIGNATURAS!B44)</f>
      </c>
      <c r="C500">
        <f>IF(CONFIG_ASIGNATURAS!B44="","",IF(CONFIG_ASIGNATURAS!E44="",CONFIG_ASIGNATURAS!D44,CONFIG_ASIGNATURAS!D44&amp;";"&amp;CONFIG_ASIGNATURAS!E44))</f>
      </c>
    </row>
    <row r="501">
      <c r="A501" t="inlineStr">
        <is>
          <t xml:space="preserve">AGR</t>
        </is>
      </c>
      <c r="B501">
        <f>IF(CONFIG_ASIGNATURAS!B45="","",CONFIG_ASIGNATURAS!B45)</f>
      </c>
      <c r="C501">
        <f>IF(CONFIG_ASIGNATURAS!B45="","",IF(CONFIG_ASIGNATURAS!E45="",CONFIG_ASIGNATURAS!D45,CONFIG_ASIGNATURAS!D45&amp;";"&amp;CONFIG_ASIGNATURAS!E45))</f>
      </c>
    </row>
    <row r="502">
      <c r="A502" t="inlineStr">
        <is>
          <t xml:space="preserve">AGR</t>
        </is>
      </c>
      <c r="B502">
        <f>IF(CONFIG_ASIGNATURAS!B46="","",CONFIG_ASIGNATURAS!B46)</f>
      </c>
      <c r="C502">
        <f>IF(CONFIG_ASIGNATURAS!B46="","",IF(CONFIG_ASIGNATURAS!E46="",CONFIG_ASIGNATURAS!D46,CONFIG_ASIGNATURAS!D46&amp;";"&amp;CONFIG_ASIGNATURAS!E46))</f>
      </c>
    </row>
    <row r="503">
      <c r="A503" t="inlineStr">
        <is>
          <t xml:space="preserve">AGR</t>
        </is>
      </c>
      <c r="B503">
        <f>IF(CONFIG_ASIGNATURAS!B47="","",CONFIG_ASIGNATURAS!B47)</f>
      </c>
      <c r="C503">
        <f>IF(CONFIG_ASIGNATURAS!B47="","",IF(CONFIG_ASIGNATURAS!E47="",CONFIG_ASIGNATURAS!D47,CONFIG_ASIGNATURAS!D47&amp;";"&amp;CONFIG_ASIGNATURAS!E47))</f>
      </c>
    </row>
    <row r="504">
      <c r="A504" t="inlineStr">
        <is>
          <t xml:space="preserve">AGR</t>
        </is>
      </c>
      <c r="B504">
        <f>IF(CONFIG_ASIGNATURAS!B48="","",CONFIG_ASIGNATURAS!B48)</f>
      </c>
      <c r="C504">
        <f>IF(CONFIG_ASIGNATURAS!B48="","",IF(CONFIG_ASIGNATURAS!E48="",CONFIG_ASIGNATURAS!D48,CONFIG_ASIGNATURAS!D48&amp;";"&amp;CONFIG_ASIGNATURAS!E48))</f>
      </c>
    </row>
    <row r="505">
      <c r="A505" t="inlineStr">
        <is>
          <t xml:space="preserve">AGR</t>
        </is>
      </c>
      <c r="B505">
        <f>IF(CONFIG_ASIGNATURAS!B49="","",CONFIG_ASIGNATURAS!B49)</f>
      </c>
      <c r="C505">
        <f>IF(CONFIG_ASIGNATURAS!B49="","",IF(CONFIG_ASIGNATURAS!E49="",CONFIG_ASIGNATURAS!D49,CONFIG_ASIGNATURAS!D49&amp;";"&amp;CONFIG_ASIGNATURAS!E49))</f>
      </c>
    </row>
    <row r="506">
      <c r="A506" t="inlineStr">
        <is>
          <t xml:space="preserve">AGR</t>
        </is>
      </c>
      <c r="B506">
        <f>IF(CONFIG_ASIGNATURAS!B50="","",CONFIG_ASIGNATURAS!B50)</f>
      </c>
      <c r="C506">
        <f>IF(CONFIG_ASIGNATURAS!B50="","",IF(CONFIG_ASIGNATURAS!E50="",CONFIG_ASIGNATURAS!D50,CONFIG_ASIGNATURAS!D50&amp;";"&amp;CONFIG_ASIGNATURAS!E50))</f>
      </c>
    </row>
    <row r="507">
      <c r="A507" t="inlineStr">
        <is>
          <t xml:space="preserve">AGR</t>
        </is>
      </c>
      <c r="B507">
        <f>IF(CONFIG_ASIGNATURAS!B51="","",CONFIG_ASIGNATURAS!B51)</f>
      </c>
      <c r="C507">
        <f>IF(CONFIG_ASIGNATURAS!B51="","",IF(CONFIG_ASIGNATURAS!E51="",CONFIG_ASIGNATURAS!D51,CONFIG_ASIGNATURAS!D51&amp;";"&amp;CONFIG_ASIGNATURAS!E51))</f>
      </c>
    </row>
    <row r="508">
      <c r="A508" t="inlineStr">
        <is>
          <t xml:space="preserve">AGR</t>
        </is>
      </c>
      <c r="B508">
        <f>IF(CONFIG_ASIGNATURAS!B52="","",CONFIG_ASIGNATURAS!B52)</f>
      </c>
      <c r="C508">
        <f>IF(CONFIG_ASIGNATURAS!B52="","",IF(CONFIG_ASIGNATURAS!E52="",CONFIG_ASIGNATURAS!D52,CONFIG_ASIGNATURAS!D52&amp;";"&amp;CONFIG_ASIGNATURAS!E52))</f>
      </c>
    </row>
    <row r="509">
      <c r="A509" t="inlineStr">
        <is>
          <t xml:space="preserve">AGR</t>
        </is>
      </c>
      <c r="B509">
        <f>IF(CONFIG_ASIGNATURAS!B53="","",CONFIG_ASIGNATURAS!B53)</f>
      </c>
      <c r="C509">
        <f>IF(CONFIG_ASIGNATURAS!B53="","",IF(CONFIG_ASIGNATURAS!E53="",CONFIG_ASIGNATURAS!D53,CONFIG_ASIGNATURAS!D53&amp;";"&amp;CONFIG_ASIGNATURAS!E53))</f>
      </c>
    </row>
    <row r="510">
      <c r="A510" t="inlineStr">
        <is>
          <t xml:space="preserve">AGR</t>
        </is>
      </c>
      <c r="B510">
        <f>IF(CONFIG_ASIGNATURAS!B54="","",CONFIG_ASIGNATURAS!B54)</f>
      </c>
      <c r="C510">
        <f>IF(CONFIG_ASIGNATURAS!B54="","",IF(CONFIG_ASIGNATURAS!E54="",CONFIG_ASIGNATURAS!D54,CONFIG_ASIGNATURAS!D54&amp;";"&amp;CONFIG_ASIGNATURAS!E54))</f>
      </c>
    </row>
    <row r="511">
      <c r="A511" t="inlineStr">
        <is>
          <t xml:space="preserve">AGR</t>
        </is>
      </c>
      <c r="B511">
        <f>IF(CONFIG_ASIGNATURAS!B55="","",CONFIG_ASIGNATURAS!B55)</f>
      </c>
      <c r="C511">
        <f>IF(CONFIG_ASIGNATURAS!B55="","",IF(CONFIG_ASIGNATURAS!E55="",CONFIG_ASIGNATURAS!D55,CONFIG_ASIGNATURAS!D55&amp;";"&amp;CONFIG_ASIGNATURAS!E55))</f>
      </c>
    </row>
    <row r="512">
      <c r="A512" t="inlineStr">
        <is>
          <t xml:space="preserve">AGR</t>
        </is>
      </c>
      <c r="B512">
        <f>IF(CONFIG_ASIGNATURAS!B56="","",CONFIG_ASIGNATURAS!B56)</f>
      </c>
      <c r="C512">
        <f>IF(CONFIG_ASIGNATURAS!B56="","",IF(CONFIG_ASIGNATURAS!E56="",CONFIG_ASIGNATURAS!D56,CONFIG_ASIGNATURAS!D56&amp;";"&amp;CONFIG_ASIGNATURAS!E56))</f>
      </c>
    </row>
    <row r="513">
      <c r="A513" t="inlineStr">
        <is>
          <t xml:space="preserve">AGR</t>
        </is>
      </c>
      <c r="B513">
        <f>IF(CONFIG_ASIGNATURAS!B57="","",CONFIG_ASIGNATURAS!B57)</f>
      </c>
      <c r="C513">
        <f>IF(CONFIG_ASIGNATURAS!B57="","",IF(CONFIG_ASIGNATURAS!E57="",CONFIG_ASIGNATURAS!D57,CONFIG_ASIGNATURAS!D57&amp;";"&amp;CONFIG_ASIGNATURAS!E57))</f>
      </c>
    </row>
    <row r="514">
      <c r="A514" t="inlineStr">
        <is>
          <t xml:space="preserve">AGR</t>
        </is>
      </c>
      <c r="B514">
        <f>IF(CONFIG_ASIGNATURAS!B58="","",CONFIG_ASIGNATURAS!B58)</f>
      </c>
      <c r="C514">
        <f>IF(CONFIG_ASIGNATURAS!B58="","",IF(CONFIG_ASIGNATURAS!E58="",CONFIG_ASIGNATURAS!D58,CONFIG_ASIGNATURAS!D58&amp;";"&amp;CONFIG_ASIGNATURAS!E58))</f>
      </c>
    </row>
    <row r="515">
      <c r="A515" t="inlineStr">
        <is>
          <t xml:space="preserve">AGR</t>
        </is>
      </c>
      <c r="B515">
        <f>IF(CONFIG_ASIGNATURAS!B59="","",CONFIG_ASIGNATURAS!B59)</f>
      </c>
      <c r="C515">
        <f>IF(CONFIG_ASIGNATURAS!B59="","",IF(CONFIG_ASIGNATURAS!E59="",CONFIG_ASIGNATURAS!D59,CONFIG_ASIGNATURAS!D59&amp;";"&amp;CONFIG_ASIGNATURAS!E59))</f>
      </c>
    </row>
    <row r="516">
      <c r="A516" t="inlineStr">
        <is>
          <t xml:space="preserve">AGR</t>
        </is>
      </c>
      <c r="B516">
        <f>IF(CONFIG_ASIGNATURAS!B60="","",CONFIG_ASIGNATURAS!B60)</f>
      </c>
      <c r="C516">
        <f>IF(CONFIG_ASIGNATURAS!B60="","",IF(CONFIG_ASIGNATURAS!E60="",CONFIG_ASIGNATURAS!D60,CONFIG_ASIGNATURAS!D60&amp;";"&amp;CONFIG_ASIGNATURAS!E60))</f>
      </c>
    </row>
    <row r="517">
      <c r="A517" t="inlineStr">
        <is>
          <t xml:space="preserve">AGR</t>
        </is>
      </c>
      <c r="B517">
        <f>IF(CONFIG_ASIGNATURAS!B61="","",CONFIG_ASIGNATURAS!B61)</f>
      </c>
      <c r="C517">
        <f>IF(CONFIG_ASIGNATURAS!B61="","",IF(CONFIG_ASIGNATURAS!E61="",CONFIG_ASIGNATURAS!D61,CONFIG_ASIGNATURAS!D61&amp;";"&amp;CONFIG_ASIGNATURAS!E61))</f>
      </c>
    </row>
    <row r="518">
      <c r="A518" t="inlineStr">
        <is>
          <t xml:space="preserve">AGR</t>
        </is>
      </c>
      <c r="B518">
        <f>IF(CONFIG_ASIGNATURAS!B62="","",CONFIG_ASIGNATURAS!B62)</f>
      </c>
      <c r="C518">
        <f>IF(CONFIG_ASIGNATURAS!B62="","",IF(CONFIG_ASIGNATURAS!E62="",CONFIG_ASIGNATURAS!D62,CONFIG_ASIGNATURAS!D62&amp;";"&amp;CONFIG_ASIGNATURAS!E62))</f>
      </c>
    </row>
    <row r="519">
      <c r="A519" t="inlineStr">
        <is>
          <t xml:space="preserve">AGR</t>
        </is>
      </c>
      <c r="B519">
        <f>IF(CONFIG_ASIGNATURAS!B63="","",CONFIG_ASIGNATURAS!B63)</f>
      </c>
      <c r="C519">
        <f>IF(CONFIG_ASIGNATURAS!B63="","",IF(CONFIG_ASIGNATURAS!E63="",CONFIG_ASIGNATURAS!D63,CONFIG_ASIGNATURAS!D63&amp;";"&amp;CONFIG_ASIGNATURAS!E63))</f>
      </c>
    </row>
    <row r="520">
      <c r="A520" t="inlineStr">
        <is>
          <t xml:space="preserve">AGR</t>
        </is>
      </c>
      <c r="B520">
        <f>IF(CONFIG_ASIGNATURAS!B64="","",CONFIG_ASIGNATURAS!B64)</f>
      </c>
      <c r="C520">
        <f>IF(CONFIG_ASIGNATURAS!B64="","",IF(CONFIG_ASIGNATURAS!E64="",CONFIG_ASIGNATURAS!D64,CONFIG_ASIGNATURAS!D64&amp;";"&amp;CONFIG_ASIGNATURAS!E64))</f>
      </c>
    </row>
    <row r="521">
      <c r="A521" t="inlineStr">
        <is>
          <t xml:space="preserve">AGR</t>
        </is>
      </c>
      <c r="B521">
        <f>IF(CONFIG_ASIGNATURAS!B65="","",CONFIG_ASIGNATURAS!B65)</f>
      </c>
      <c r="C521">
        <f>IF(CONFIG_ASIGNATURAS!B65="","",IF(CONFIG_ASIGNATURAS!E65="",CONFIG_ASIGNATURAS!D65,CONFIG_ASIGNATURAS!D65&amp;";"&amp;CONFIG_ASIGNATURAS!E65))</f>
      </c>
    </row>
    <row r="522">
      <c r="A522" t="inlineStr">
        <is>
          <t xml:space="preserve">AGR</t>
        </is>
      </c>
      <c r="B522">
        <f>IF(CONFIG_ASIGNATURAS!B66="","",CONFIG_ASIGNATURAS!B66)</f>
      </c>
      <c r="C522">
        <f>IF(CONFIG_ASIGNATURAS!B66="","",IF(CONFIG_ASIGNATURAS!E66="",CONFIG_ASIGNATURAS!D66,CONFIG_ASIGNATURAS!D66&amp;";"&amp;CONFIG_ASIGNATURAS!E66))</f>
      </c>
    </row>
    <row r="523">
      <c r="A523" t="inlineStr">
        <is>
          <t xml:space="preserve">AGR</t>
        </is>
      </c>
      <c r="B523">
        <f>IF(CONFIG_ASIGNATURAS!B67="","",CONFIG_ASIGNATURAS!B67)</f>
      </c>
      <c r="C523">
        <f>IF(CONFIG_ASIGNATURAS!B67="","",IF(CONFIG_ASIGNATURAS!E67="",CONFIG_ASIGNATURAS!D67,CONFIG_ASIGNATURAS!D67&amp;";"&amp;CONFIG_ASIGNATURAS!E67))</f>
      </c>
    </row>
    <row r="524">
      <c r="A524" t="inlineStr">
        <is>
          <t xml:space="preserve">AGR</t>
        </is>
      </c>
      <c r="B524">
        <f>IF(CONFIG_ASIGNATURAS!B68="","",CONFIG_ASIGNATURAS!B68)</f>
      </c>
      <c r="C524">
        <f>IF(CONFIG_ASIGNATURAS!B68="","",IF(CONFIG_ASIGNATURAS!E68="",CONFIG_ASIGNATURAS!D68,CONFIG_ASIGNATURAS!D68&amp;";"&amp;CONFIG_ASIGNATURAS!E68))</f>
      </c>
    </row>
    <row r="525">
      <c r="A525" t="inlineStr">
        <is>
          <t xml:space="preserve">AGR</t>
        </is>
      </c>
      <c r="B525">
        <f>IF(CONFIG_ASIGNATURAS!B69="","",CONFIG_ASIGNATURAS!B69)</f>
      </c>
      <c r="C525">
        <f>IF(CONFIG_ASIGNATURAS!B69="","",IF(CONFIG_ASIGNATURAS!E69="",CONFIG_ASIGNATURAS!D69,CONFIG_ASIGNATURAS!D69&amp;";"&amp;CONFIG_ASIGNATURAS!E69))</f>
      </c>
    </row>
    <row r="526">
      <c r="A526" t="inlineStr">
        <is>
          <t xml:space="preserve">AGR</t>
        </is>
      </c>
      <c r="B526">
        <f>IF(CONFIG_ASIGNATURAS!B70="","",CONFIG_ASIGNATURAS!B70)</f>
      </c>
      <c r="C526">
        <f>IF(CONFIG_ASIGNATURAS!B70="","",IF(CONFIG_ASIGNATURAS!E70="",CONFIG_ASIGNATURAS!D70,CONFIG_ASIGNATURAS!D70&amp;";"&amp;CONFIG_ASIGNATURAS!E70))</f>
      </c>
    </row>
    <row r="527">
      <c r="A527" t="inlineStr">
        <is>
          <t xml:space="preserve">AGR</t>
        </is>
      </c>
      <c r="B527">
        <f>IF(CONFIG_ASIGNATURAS!B71="","",CONFIG_ASIGNATURAS!B71)</f>
      </c>
      <c r="C527">
        <f>IF(CONFIG_ASIGNATURAS!B71="","",IF(CONFIG_ASIGNATURAS!E71="",CONFIG_ASIGNATURAS!D71,CONFIG_ASIGNATURAS!D71&amp;";"&amp;CONFIG_ASIGNATURAS!E71))</f>
      </c>
    </row>
    <row r="528">
      <c r="A528" t="inlineStr">
        <is>
          <t xml:space="preserve">AGR</t>
        </is>
      </c>
      <c r="B528">
        <f>IF(CONFIG_ASIGNATURAS!B72="","",CONFIG_ASIGNATURAS!B72)</f>
      </c>
      <c r="C528">
        <f>IF(CONFIG_ASIGNATURAS!B72="","",IF(CONFIG_ASIGNATURAS!E72="",CONFIG_ASIGNATURAS!D72,CONFIG_ASIGNATURAS!D72&amp;";"&amp;CONFIG_ASIGNATURAS!E72))</f>
      </c>
    </row>
    <row r="529">
      <c r="A529" t="inlineStr">
        <is>
          <t xml:space="preserve">AGR</t>
        </is>
      </c>
      <c r="B529">
        <f>IF(CONFIG_ASIGNATURAS!B73="","",CONFIG_ASIGNATURAS!B73)</f>
      </c>
      <c r="C529">
        <f>IF(CONFIG_ASIGNATURAS!B73="","",IF(CONFIG_ASIGNATURAS!E73="",CONFIG_ASIGNATURAS!D73,CONFIG_ASIGNATURAS!D73&amp;";"&amp;CONFIG_ASIGNATURAS!E73))</f>
      </c>
    </row>
    <row r="530">
      <c r="A530" t="inlineStr">
        <is>
          <t xml:space="preserve">AGR</t>
        </is>
      </c>
      <c r="B530">
        <f>IF(CONFIG_ASIGNATURAS!B74="","",CONFIG_ASIGNATURAS!B74)</f>
      </c>
      <c r="C530">
        <f>IF(CONFIG_ASIGNATURAS!B74="","",IF(CONFIG_ASIGNATURAS!E74="",CONFIG_ASIGNATURAS!D74,CONFIG_ASIGNATURAS!D74&amp;";"&amp;CONFIG_ASIGNATURAS!E74))</f>
      </c>
    </row>
    <row r="531">
      <c r="A531" t="inlineStr">
        <is>
          <t xml:space="preserve">AGR</t>
        </is>
      </c>
      <c r="B531">
        <f>IF(CONFIG_ASIGNATURAS!B75="","",CONFIG_ASIGNATURAS!B75)</f>
      </c>
      <c r="C531">
        <f>IF(CONFIG_ASIGNATURAS!B75="","",IF(CONFIG_ASIGNATURAS!E75="",CONFIG_ASIGNATURAS!D75,CONFIG_ASIGNATURAS!D75&amp;";"&amp;CONFIG_ASIGNATURAS!E75))</f>
      </c>
    </row>
    <row r="532">
      <c r="A532" t="inlineStr">
        <is>
          <t xml:space="preserve">AGR</t>
        </is>
      </c>
      <c r="B532">
        <f>IF(CONFIG_ASIGNATURAS!B76="","",CONFIG_ASIGNATURAS!B76)</f>
      </c>
      <c r="C532">
        <f>IF(CONFIG_ASIGNATURAS!B76="","",IF(CONFIG_ASIGNATURAS!E76="",CONFIG_ASIGNATURAS!D76,CONFIG_ASIGNATURAS!D76&amp;";"&amp;CONFIG_ASIGNATURAS!E76))</f>
      </c>
    </row>
    <row r="533">
      <c r="A533" t="inlineStr">
        <is>
          <t xml:space="preserve">AGR</t>
        </is>
      </c>
      <c r="B533">
        <f>IF(CONFIG_ASIGNATURAS!B77="","",CONFIG_ASIGNATURAS!B77)</f>
      </c>
      <c r="C533">
        <f>IF(CONFIG_ASIGNATURAS!B77="","",IF(CONFIG_ASIGNATURAS!E77="",CONFIG_ASIGNATURAS!D77,CONFIG_ASIGNATURAS!D77&amp;";"&amp;CONFIG_ASIGNATURAS!E77))</f>
      </c>
    </row>
    <row r="534">
      <c r="A534" t="inlineStr">
        <is>
          <t xml:space="preserve">AGR</t>
        </is>
      </c>
      <c r="B534">
        <f>IF(CONFIG_ASIGNATURAS!B78="","",CONFIG_ASIGNATURAS!B78)</f>
      </c>
      <c r="C534">
        <f>IF(CONFIG_ASIGNATURAS!B78="","",IF(CONFIG_ASIGNATURAS!E78="",CONFIG_ASIGNATURAS!D78,CONFIG_ASIGNATURAS!D78&amp;";"&amp;CONFIG_ASIGNATURAS!E78))</f>
      </c>
    </row>
    <row r="535">
      <c r="A535" t="inlineStr">
        <is>
          <t xml:space="preserve">AGR</t>
        </is>
      </c>
      <c r="B535">
        <f>IF(CONFIG_ASIGNATURAS!B79="","",CONFIG_ASIGNATURAS!B79)</f>
      </c>
      <c r="C535">
        <f>IF(CONFIG_ASIGNATURAS!B79="","",IF(CONFIG_ASIGNATURAS!E79="",CONFIG_ASIGNATURAS!D79,CONFIG_ASIGNATURAS!D79&amp;";"&amp;CONFIG_ASIGNATURAS!E79))</f>
      </c>
    </row>
    <row r="536">
      <c r="A536" t="inlineStr">
        <is>
          <t xml:space="preserve">AGR</t>
        </is>
      </c>
      <c r="B536">
        <f>IF(CONFIG_ASIGNATURAS!B80="","",CONFIG_ASIGNATURAS!B80)</f>
      </c>
      <c r="C536">
        <f>IF(CONFIG_ASIGNATURAS!B80="","",IF(CONFIG_ASIGNATURAS!E80="",CONFIG_ASIGNATURAS!D80,CONFIG_ASIGNATURAS!D80&amp;";"&amp;CONFIG_ASIGNATURAS!E80))</f>
      </c>
    </row>
    <row r="537">
      <c r="A537" t="inlineStr">
        <is>
          <t xml:space="preserve">AGR</t>
        </is>
      </c>
      <c r="B537">
        <f>IF(CONFIG_ASIGNATURAS!B81="","",CONFIG_ASIGNATURAS!B81)</f>
      </c>
      <c r="C537">
        <f>IF(CONFIG_ASIGNATURAS!B81="","",IF(CONFIG_ASIGNATURAS!E81="",CONFIG_ASIGNATURAS!D81,CONFIG_ASIGNATURAS!D81&amp;";"&amp;CONFIG_ASIGNATURAS!E81))</f>
      </c>
    </row>
    <row r="538">
      <c r="A538" t="inlineStr">
        <is>
          <t xml:space="preserve">AGR</t>
        </is>
      </c>
      <c r="B538">
        <f>IF(CONFIG_ASIGNATURAS!B82="","",CONFIG_ASIGNATURAS!B82)</f>
      </c>
      <c r="C538">
        <f>IF(CONFIG_ASIGNATURAS!B82="","",IF(CONFIG_ASIGNATURAS!E82="",CONFIG_ASIGNATURAS!D82,CONFIG_ASIGNATURAS!D82&amp;";"&amp;CONFIG_ASIGNATURAS!E82))</f>
      </c>
    </row>
    <row r="539">
      <c r="A539" t="inlineStr">
        <is>
          <t xml:space="preserve">AGR</t>
        </is>
      </c>
      <c r="B539">
        <f>IF(CONFIG_ASIGNATURAS!B83="","",CONFIG_ASIGNATURAS!B83)</f>
      </c>
      <c r="C539">
        <f>IF(CONFIG_ASIGNATURAS!B83="","",IF(CONFIG_ASIGNATURAS!E83="",CONFIG_ASIGNATURAS!D83,CONFIG_ASIGNATURAS!D83&amp;";"&amp;CONFIG_ASIGNATURAS!E83))</f>
      </c>
    </row>
    <row r="540">
      <c r="A540" t="inlineStr">
        <is>
          <t xml:space="preserve">AGR</t>
        </is>
      </c>
      <c r="B540">
        <f>IF(CONFIG_ASIGNATURAS!B84="","",CONFIG_ASIGNATURAS!B84)</f>
      </c>
      <c r="C540">
        <f>IF(CONFIG_ASIGNATURAS!B84="","",IF(CONFIG_ASIGNATURAS!E84="",CONFIG_ASIGNATURAS!D84,CONFIG_ASIGNATURAS!D84&amp;";"&amp;CONFIG_ASIGNATURAS!E84))</f>
      </c>
    </row>
    <row r="541">
      <c r="A541" t="inlineStr">
        <is>
          <t xml:space="preserve">AGR</t>
        </is>
      </c>
      <c r="B541">
        <f>IF(CONFIG_ASIGNATURAS!B85="","",CONFIG_ASIGNATURAS!B85)</f>
      </c>
      <c r="C541">
        <f>IF(CONFIG_ASIGNATURAS!B85="","",IF(CONFIG_ASIGNATURAS!E85="",CONFIG_ASIGNATURAS!D85,CONFIG_ASIGNATURAS!D85&amp;";"&amp;CONFIG_ASIGNATURAS!E85))</f>
      </c>
    </row>
    <row r="542">
      <c r="A542" t="inlineStr">
        <is>
          <t xml:space="preserve">AGR</t>
        </is>
      </c>
      <c r="B542">
        <f>IF(CONFIG_ASIGNATURAS!B86="","",CONFIG_ASIGNATURAS!B86)</f>
      </c>
      <c r="C542">
        <f>IF(CONFIG_ASIGNATURAS!B86="","",IF(CONFIG_ASIGNATURAS!E86="",CONFIG_ASIGNATURAS!D86,CONFIG_ASIGNATURAS!D86&amp;";"&amp;CONFIG_ASIGNATURAS!E86))</f>
      </c>
    </row>
    <row r="543">
      <c r="A543" t="inlineStr">
        <is>
          <t xml:space="preserve">AGR</t>
        </is>
      </c>
      <c r="B543">
        <f>IF(CONFIG_ASIGNATURAS!B87="","",CONFIG_ASIGNATURAS!B87)</f>
      </c>
      <c r="C543">
        <f>IF(CONFIG_ASIGNATURAS!B87="","",IF(CONFIG_ASIGNATURAS!E87="",CONFIG_ASIGNATURAS!D87,CONFIG_ASIGNATURAS!D87&amp;";"&amp;CONFIG_ASIGNATURAS!E87))</f>
      </c>
    </row>
    <row r="544">
      <c r="A544" t="inlineStr">
        <is>
          <t xml:space="preserve">AGR</t>
        </is>
      </c>
      <c r="B544">
        <f>IF(CONFIG_ASIGNATURAS!B88="","",CONFIG_ASIGNATURAS!B88)</f>
      </c>
      <c r="C544">
        <f>IF(CONFIG_ASIGNATURAS!B88="","",IF(CONFIG_ASIGNATURAS!E88="",CONFIG_ASIGNATURAS!D88,CONFIG_ASIGNATURAS!D88&amp;";"&amp;CONFIG_ASIGNATURAS!E88))</f>
      </c>
    </row>
    <row r="545">
      <c r="A545" t="inlineStr">
        <is>
          <t xml:space="preserve">AGR</t>
        </is>
      </c>
      <c r="B545">
        <f>IF(CONFIG_ASIGNATURAS!B89="","",CONFIG_ASIGNATURAS!B89)</f>
      </c>
      <c r="C545">
        <f>IF(CONFIG_ASIGNATURAS!B89="","",IF(CONFIG_ASIGNATURAS!E89="",CONFIG_ASIGNATURAS!D89,CONFIG_ASIGNATURAS!D89&amp;";"&amp;CONFIG_ASIGNATURAS!E89))</f>
      </c>
    </row>
    <row r="546">
      <c r="A546" t="inlineStr">
        <is>
          <t xml:space="preserve">AGR</t>
        </is>
      </c>
      <c r="B546">
        <f>IF(CONFIG_ASIGNATURAS!B90="","",CONFIG_ASIGNATURAS!B90)</f>
      </c>
      <c r="C546">
        <f>IF(CONFIG_ASIGNATURAS!B90="","",IF(CONFIG_ASIGNATURAS!E90="",CONFIG_ASIGNATURAS!D90,CONFIG_ASIGNATURAS!D90&amp;";"&amp;CONFIG_ASIGNATURAS!E90))</f>
      </c>
    </row>
    <row r="547">
      <c r="A547" t="inlineStr">
        <is>
          <t xml:space="preserve">AGR</t>
        </is>
      </c>
      <c r="B547">
        <f>IF(CONFIG_ASIGNATURAS!B91="","",CONFIG_ASIGNATURAS!B91)</f>
      </c>
      <c r="C547">
        <f>IF(CONFIG_ASIGNATURAS!B91="","",IF(CONFIG_ASIGNATURAS!E91="",CONFIG_ASIGNATURAS!D91,CONFIG_ASIGNATURAS!D91&amp;";"&amp;CONFIG_ASIGNATURAS!E91))</f>
      </c>
    </row>
    <row r="549">
      <c r="A549" s="9" t="s">
        <v>151</v>
      </c>
    </row>
    <row r="550">
      <c r="A550" s="2" t="s">
        <v>150</v>
      </c>
      <c r="B550" s="2" t="s">
        <v>96</v>
      </c>
      <c r="C550" s="2" t="s">
        <v>76</v>
      </c>
      <c r="D550" s="2" t="s">
        <v>77</v>
      </c>
      <c r="E550" s="2" t="s">
        <v>131</v>
      </c>
      <c r="F550" s="2" t="s">
        <v>133</v>
      </c>
    </row>
    <row r="551">
      <c r="A551" t="s">
        <v>152</v>
      </c>
      <c r="B551" t="str">
        <f>CALC_CORRELACIONES!A2</f>
        <v>1EPM</v>
      </c>
      <c r="C551" t="str">
        <f>CALC_CORRELACIONES!B2</f>
        <v>Lenguaje Musical</v>
      </c>
      <c r="D551" t="str">
        <f>CALC_CORRELACIONES!C2</f>
        <v>Orquesta/Banda/Conjunto</v>
      </c>
      <c r="E551" t="str">
        <f>CALC_CORRELACIONES!D2</f>
        <v/>
      </c>
      <c r="F551" t="str">
        <f>CALC_CORRELACIONES!F2</f>
        <v/>
      </c>
    </row>
    <row r="552">
      <c r="A552" t="s">
        <v>152</v>
      </c>
      <c r="B552" t="str">
        <f>CALC_CORRELACIONES!A3</f>
        <v>1EPM</v>
      </c>
      <c r="C552" t="str">
        <f>CALC_CORRELACIONES!B3</f>
        <v>Lenguaje Musical</v>
      </c>
      <c r="D552" t="str">
        <f>CALC_CORRELACIONES!C3</f>
        <v>Conjunto</v>
      </c>
      <c r="E552" t="str">
        <f>CALC_CORRELACIONES!D3</f>
        <v/>
      </c>
      <c r="F552" t="str">
        <f>CALC_CORRELACIONES!F3</f>
        <v/>
      </c>
    </row>
    <row r="553">
      <c r="A553" t="s">
        <v>152</v>
      </c>
      <c r="B553" t="str">
        <f>CALC_CORRELACIONES!A4</f>
        <v>1EPM</v>
      </c>
      <c r="C553" t="str">
        <f>CALC_CORRELACIONES!B4</f>
        <v>Lenguaje Musical</v>
      </c>
      <c r="D553" t="str">
        <f>CALC_CORRELACIONES!C4</f>
        <v>Especialidad</v>
      </c>
      <c r="E553" t="str">
        <f>CALC_CORRELACIONES!D4</f>
        <v/>
      </c>
      <c r="F553" t="str">
        <f>CALC_CORRELACIONES!F4</f>
        <v/>
      </c>
    </row>
    <row r="554">
      <c r="A554" t="s">
        <v>152</v>
      </c>
      <c r="B554" t="str">
        <f>CALC_CORRELACIONES!A5</f>
        <v>1EPM</v>
      </c>
      <c r="C554" t="str">
        <f>CALC_CORRELACIONES!B5</f>
        <v>Orquesta/Banda/Conjunto</v>
      </c>
      <c r="D554" t="str">
        <f>CALC_CORRELACIONES!C5</f>
        <v>Conjunto</v>
      </c>
      <c r="E554" t="str">
        <f>CALC_CORRELACIONES!D5</f>
        <v/>
      </c>
      <c r="F554" t="str">
        <f>CALC_CORRELACIONES!F5</f>
        <v/>
      </c>
    </row>
    <row r="555">
      <c r="A555" t="s">
        <v>152</v>
      </c>
      <c r="B555" t="str">
        <f>CALC_CORRELACIONES!A6</f>
        <v>1EPM</v>
      </c>
      <c r="C555" t="str">
        <f>CALC_CORRELACIONES!B6</f>
        <v>Orquesta/Banda/Conjunto</v>
      </c>
      <c r="D555" t="str">
        <f>CALC_CORRELACIONES!C6</f>
        <v>Especialidad</v>
      </c>
      <c r="E555" t="str">
        <f>CALC_CORRELACIONES!D6</f>
        <v/>
      </c>
      <c r="F555" t="str">
        <f>CALC_CORRELACIONES!F6</f>
        <v/>
      </c>
    </row>
    <row r="556">
      <c r="A556" t="s">
        <v>152</v>
      </c>
      <c r="B556" t="str">
        <f>CALC_CORRELACIONES!A7</f>
        <v>1EPM</v>
      </c>
      <c r="C556" t="str">
        <f>CALC_CORRELACIONES!B7</f>
        <v>Conjunto</v>
      </c>
      <c r="D556" t="str">
        <f>CALC_CORRELACIONES!C7</f>
        <v>Especialidad</v>
      </c>
      <c r="E556" t="str">
        <f>CALC_CORRELACIONES!D7</f>
        <v/>
      </c>
      <c r="F556" t="str">
        <f>CALC_CORRELACIONES!F7</f>
        <v/>
      </c>
    </row>
    <row r="557">
      <c r="A557" t="s">
        <v>152</v>
      </c>
      <c r="B557" t="str">
        <f>CALC_CORRELACIONES!A8</f>
        <v>2EPM</v>
      </c>
      <c r="C557" t="str">
        <f>CALC_CORRELACIONES!B8</f>
        <v>Lenguaje Musical</v>
      </c>
      <c r="D557" t="str">
        <f>CALC_CORRELACIONES!C8</f>
        <v>Orquesta/Banda/Conjunto</v>
      </c>
      <c r="E557" t="str">
        <f>CALC_CORRELACIONES!D8</f>
        <v/>
      </c>
      <c r="F557" t="str">
        <f>CALC_CORRELACIONES!F8</f>
        <v/>
      </c>
    </row>
    <row r="558">
      <c r="A558" t="s">
        <v>152</v>
      </c>
      <c r="B558" t="str">
        <f>CALC_CORRELACIONES!A9</f>
        <v>2EPM</v>
      </c>
      <c r="C558" t="str">
        <f>CALC_CORRELACIONES!B9</f>
        <v>Lenguaje Musical</v>
      </c>
      <c r="D558" t="str">
        <f>CALC_CORRELACIONES!C9</f>
        <v>Conjunto</v>
      </c>
      <c r="E558" t="str">
        <f>CALC_CORRELACIONES!D9</f>
        <v/>
      </c>
      <c r="F558" t="str">
        <f>CALC_CORRELACIONES!F9</f>
        <v/>
      </c>
    </row>
    <row r="559">
      <c r="A559" t="s">
        <v>152</v>
      </c>
      <c r="B559" t="str">
        <f>CALC_CORRELACIONES!A10</f>
        <v>2EPM</v>
      </c>
      <c r="C559" t="str">
        <f>CALC_CORRELACIONES!B10</f>
        <v>Lenguaje Musical</v>
      </c>
      <c r="D559" t="str">
        <f>CALC_CORRELACIONES!C10</f>
        <v>Especialidad</v>
      </c>
      <c r="E559" t="str">
        <f>CALC_CORRELACIONES!D10</f>
        <v/>
      </c>
      <c r="F559" t="str">
        <f>CALC_CORRELACIONES!F10</f>
        <v/>
      </c>
    </row>
    <row r="560">
      <c r="A560" t="s">
        <v>152</v>
      </c>
      <c r="B560" t="str">
        <f>CALC_CORRELACIONES!A11</f>
        <v>2EPM</v>
      </c>
      <c r="C560" t="str">
        <f>CALC_CORRELACIONES!B11</f>
        <v>Orquesta/Banda/Conjunto</v>
      </c>
      <c r="D560" t="str">
        <f>CALC_CORRELACIONES!C11</f>
        <v>Conjunto</v>
      </c>
      <c r="E560" t="str">
        <f>CALC_CORRELACIONES!D11</f>
        <v/>
      </c>
      <c r="F560" t="str">
        <f>CALC_CORRELACIONES!F11</f>
        <v/>
      </c>
    </row>
    <row r="561">
      <c r="A561" t="s">
        <v>152</v>
      </c>
      <c r="B561" t="str">
        <f>CALC_CORRELACIONES!A12</f>
        <v>2EPM</v>
      </c>
      <c r="C561" t="str">
        <f>CALC_CORRELACIONES!B12</f>
        <v>Orquesta/Banda/Conjunto</v>
      </c>
      <c r="D561" t="str">
        <f>CALC_CORRELACIONES!C12</f>
        <v>Especialidad</v>
      </c>
      <c r="E561" t="str">
        <f>CALC_CORRELACIONES!D12</f>
        <v/>
      </c>
      <c r="F561" t="str">
        <f>CALC_CORRELACIONES!F12</f>
        <v/>
      </c>
    </row>
    <row r="562">
      <c r="A562" t="s">
        <v>152</v>
      </c>
      <c r="B562" t="str">
        <f>CALC_CORRELACIONES!A13</f>
        <v>2EPM</v>
      </c>
      <c r="C562" t="str">
        <f>CALC_CORRELACIONES!B13</f>
        <v>Conjunto</v>
      </c>
      <c r="D562" t="str">
        <f>CALC_CORRELACIONES!C13</f>
        <v>Especialidad</v>
      </c>
      <c r="E562" t="str">
        <f>CALC_CORRELACIONES!D13</f>
        <v/>
      </c>
      <c r="F562" t="str">
        <f>CALC_CORRELACIONES!F13</f>
        <v/>
      </c>
    </row>
    <row r="563">
      <c r="A563" t="s">
        <v>152</v>
      </c>
      <c r="B563" t="str">
        <f>CALC_CORRELACIONES!A14</f>
        <v>3EPM</v>
      </c>
      <c r="C563" t="str">
        <f>CALC_CORRELACIONES!B14</f>
        <v>Armonía</v>
      </c>
      <c r="D563" t="str">
        <f>CALC_CORRELACIONES!C14</f>
        <v>Orquesta/Banda/Conjunto</v>
      </c>
      <c r="E563" t="str">
        <f>CALC_CORRELACIONES!D14</f>
        <v/>
      </c>
      <c r="F563" t="str">
        <f>CALC_CORRELACIONES!F14</f>
        <v/>
      </c>
    </row>
    <row r="564">
      <c r="A564" t="s">
        <v>152</v>
      </c>
      <c r="B564" t="str">
        <f>CALC_CORRELACIONES!A15</f>
        <v>3EPM</v>
      </c>
      <c r="C564" t="str">
        <f>CALC_CORRELACIONES!B15</f>
        <v>Armonía</v>
      </c>
      <c r="D564" t="str">
        <f>CALC_CORRELACIONES!C15</f>
        <v>Música de Cámara</v>
      </c>
      <c r="E564" t="str">
        <f>CALC_CORRELACIONES!D15</f>
        <v/>
      </c>
      <c r="F564" t="str">
        <f>CALC_CORRELACIONES!F15</f>
        <v/>
      </c>
    </row>
    <row r="565">
      <c r="A565" t="s">
        <v>152</v>
      </c>
      <c r="B565" t="str">
        <f>CALC_CORRELACIONES!A16</f>
        <v>3EPM</v>
      </c>
      <c r="C565" t="str">
        <f>CALC_CORRELACIONES!B16</f>
        <v>Armonía</v>
      </c>
      <c r="D565" t="str">
        <f>CALC_CORRELACIONES!C16</f>
        <v>Especialidad</v>
      </c>
      <c r="E565" t="str">
        <f>CALC_CORRELACIONES!D16</f>
        <v/>
      </c>
      <c r="F565" t="str">
        <f>CALC_CORRELACIONES!F16</f>
        <v/>
      </c>
    </row>
    <row r="566">
      <c r="A566" t="s">
        <v>152</v>
      </c>
      <c r="B566" t="str">
        <f>CALC_CORRELACIONES!A17</f>
        <v>3EPM</v>
      </c>
      <c r="C566" t="str">
        <f>CALC_CORRELACIONES!B17</f>
        <v>Orquesta/Banda/Conjunto</v>
      </c>
      <c r="D566" t="str">
        <f>CALC_CORRELACIONES!C17</f>
        <v>Música de Cámara</v>
      </c>
      <c r="E566" t="str">
        <f>CALC_CORRELACIONES!D17</f>
        <v/>
      </c>
      <c r="F566" t="str">
        <f>CALC_CORRELACIONES!F17</f>
        <v/>
      </c>
    </row>
    <row r="567">
      <c r="A567" t="s">
        <v>152</v>
      </c>
      <c r="B567" t="str">
        <f>CALC_CORRELACIONES!A18</f>
        <v>3EPM</v>
      </c>
      <c r="C567" t="str">
        <f>CALC_CORRELACIONES!B18</f>
        <v>Orquesta/Banda/Conjunto</v>
      </c>
      <c r="D567" t="str">
        <f>CALC_CORRELACIONES!C18</f>
        <v>Especialidad</v>
      </c>
      <c r="E567" t="str">
        <f>CALC_CORRELACIONES!D18</f>
        <v/>
      </c>
      <c r="F567" t="str">
        <f>CALC_CORRELACIONES!F18</f>
        <v/>
      </c>
    </row>
    <row r="568">
      <c r="A568" t="s">
        <v>152</v>
      </c>
      <c r="B568" t="str">
        <f>CALC_CORRELACIONES!A19</f>
        <v>3EPM</v>
      </c>
      <c r="C568" t="str">
        <f>CALC_CORRELACIONES!B19</f>
        <v>Música de Cámara</v>
      </c>
      <c r="D568" t="str">
        <f>CALC_CORRELACIONES!C19</f>
        <v>Especialidad</v>
      </c>
      <c r="E568" t="str">
        <f>CALC_CORRELACIONES!D19</f>
        <v/>
      </c>
      <c r="F568" t="str">
        <f>CALC_CORRELACIONES!F19</f>
        <v/>
      </c>
    </row>
    <row r="569">
      <c r="A569" t="s">
        <v>152</v>
      </c>
      <c r="B569" t="str">
        <f>CALC_CORRELACIONES!A20</f>
        <v>4EPM</v>
      </c>
      <c r="C569" t="str">
        <f>CALC_CORRELACIONES!B20</f>
        <v>Armonía</v>
      </c>
      <c r="D569" t="str">
        <f>CALC_CORRELACIONES!C20</f>
        <v>Orquesta/Banda/Conjunto</v>
      </c>
      <c r="E569" t="str">
        <f>CALC_CORRELACIONES!D20</f>
        <v/>
      </c>
      <c r="F569" t="str">
        <f>CALC_CORRELACIONES!F20</f>
        <v/>
      </c>
    </row>
    <row r="570">
      <c r="A570" t="s">
        <v>152</v>
      </c>
      <c r="B570" t="str">
        <f>CALC_CORRELACIONES!A21</f>
        <v>4EPM</v>
      </c>
      <c r="C570" t="str">
        <f>CALC_CORRELACIONES!B21</f>
        <v>Armonía</v>
      </c>
      <c r="D570" t="str">
        <f>CALC_CORRELACIONES!C21</f>
        <v>Música de Cámara</v>
      </c>
      <c r="E570" t="str">
        <f>CALC_CORRELACIONES!D21</f>
        <v/>
      </c>
      <c r="F570" t="str">
        <f>CALC_CORRELACIONES!F21</f>
        <v/>
      </c>
    </row>
    <row r="571">
      <c r="A571" t="s">
        <v>152</v>
      </c>
      <c r="B571" t="str">
        <f>CALC_CORRELACIONES!A22</f>
        <v>4EPM</v>
      </c>
      <c r="C571" t="str">
        <f>CALC_CORRELACIONES!B22</f>
        <v>Armonía</v>
      </c>
      <c r="D571" t="str">
        <f>CALC_CORRELACIONES!C22</f>
        <v>Especialidad</v>
      </c>
      <c r="E571" t="str">
        <f>CALC_CORRELACIONES!D22</f>
        <v/>
      </c>
      <c r="F571" t="str">
        <f>CALC_CORRELACIONES!F22</f>
        <v/>
      </c>
    </row>
    <row r="572">
      <c r="A572" t="s">
        <v>152</v>
      </c>
      <c r="B572" t="str">
        <f>CALC_CORRELACIONES!A23</f>
        <v>4EPM</v>
      </c>
      <c r="C572" t="str">
        <f>CALC_CORRELACIONES!B23</f>
        <v>Orquesta/Banda/Conjunto</v>
      </c>
      <c r="D572" t="str">
        <f>CALC_CORRELACIONES!C23</f>
        <v>Música de Cámara</v>
      </c>
      <c r="E572" t="str">
        <f>CALC_CORRELACIONES!D23</f>
        <v/>
      </c>
      <c r="F572" t="str">
        <f>CALC_CORRELACIONES!F23</f>
        <v/>
      </c>
    </row>
    <row r="573">
      <c r="A573" t="s">
        <v>152</v>
      </c>
      <c r="B573" t="str">
        <f>CALC_CORRELACIONES!A24</f>
        <v>4EPM</v>
      </c>
      <c r="C573" t="str">
        <f>CALC_CORRELACIONES!B24</f>
        <v>Orquesta/Banda/Conjunto</v>
      </c>
      <c r="D573" t="str">
        <f>CALC_CORRELACIONES!C24</f>
        <v>Especialidad</v>
      </c>
      <c r="E573" t="str">
        <f>CALC_CORRELACIONES!D24</f>
        <v/>
      </c>
      <c r="F573" t="str">
        <f>CALC_CORRELACIONES!F24</f>
        <v/>
      </c>
    </row>
    <row r="574">
      <c r="A574" t="s">
        <v>152</v>
      </c>
      <c r="B574" t="str">
        <f>CALC_CORRELACIONES!A25</f>
        <v>4EPM</v>
      </c>
      <c r="C574" t="str">
        <f>CALC_CORRELACIONES!B25</f>
        <v>Música de Cámara</v>
      </c>
      <c r="D574" t="str">
        <f>CALC_CORRELACIONES!C25</f>
        <v>Especialidad</v>
      </c>
      <c r="E574" t="str">
        <f>CALC_CORRELACIONES!D25</f>
        <v/>
      </c>
      <c r="F574" t="str">
        <f>CALC_CORRELACIONES!F25</f>
        <v/>
      </c>
    </row>
    <row r="575">
      <c r="A575" t="s">
        <v>152</v>
      </c>
      <c r="B575" t="str">
        <f>CALC_CORRELACIONES!A26</f>
        <v>5EPM</v>
      </c>
      <c r="C575" t="str">
        <f>CALC_CORRELACIONES!B26</f>
        <v>Análisis</v>
      </c>
      <c r="D575" t="str">
        <f>CALC_CORRELACIONES!C26</f>
        <v>Orquesta/Banda/Conjunto</v>
      </c>
      <c r="E575" t="str">
        <f>CALC_CORRELACIONES!D26</f>
        <v/>
      </c>
      <c r="F575" t="str">
        <f>CALC_CORRELACIONES!F26</f>
        <v/>
      </c>
    </row>
    <row r="576">
      <c r="A576" t="s">
        <v>152</v>
      </c>
      <c r="B576" t="str">
        <f>CALC_CORRELACIONES!A27</f>
        <v>5EPM</v>
      </c>
      <c r="C576" t="str">
        <f>CALC_CORRELACIONES!B27</f>
        <v>Análisis</v>
      </c>
      <c r="D576" t="str">
        <f>CALC_CORRELACIONES!C27</f>
        <v>Música de Cámara</v>
      </c>
      <c r="E576" t="str">
        <f>CALC_CORRELACIONES!D27</f>
        <v/>
      </c>
      <c r="F576" t="str">
        <f>CALC_CORRELACIONES!F27</f>
        <v/>
      </c>
    </row>
    <row r="577">
      <c r="A577" t="s">
        <v>152</v>
      </c>
      <c r="B577" t="str">
        <f>CALC_CORRELACIONES!A28</f>
        <v>5EPM</v>
      </c>
      <c r="C577" t="str">
        <f>CALC_CORRELACIONES!B28</f>
        <v>Análisis</v>
      </c>
      <c r="D577" t="str">
        <f>CALC_CORRELACIONES!C28</f>
        <v>Especialidad</v>
      </c>
      <c r="E577" t="str">
        <f>CALC_CORRELACIONES!D28</f>
        <v/>
      </c>
      <c r="F577" t="str">
        <f>CALC_CORRELACIONES!F28</f>
        <v/>
      </c>
    </row>
    <row r="578">
      <c r="A578" t="s">
        <v>152</v>
      </c>
      <c r="B578" t="str">
        <f>CALC_CORRELACIONES!A29</f>
        <v>5EPM</v>
      </c>
      <c r="C578" t="str">
        <f>CALC_CORRELACIONES!B29</f>
        <v>Orquesta/Banda/Conjunto</v>
      </c>
      <c r="D578" t="str">
        <f>CALC_CORRELACIONES!C29</f>
        <v>Música de Cámara</v>
      </c>
      <c r="E578" t="str">
        <f>CALC_CORRELACIONES!D29</f>
        <v/>
      </c>
      <c r="F578" t="str">
        <f>CALC_CORRELACIONES!F29</f>
        <v/>
      </c>
    </row>
    <row r="579">
      <c r="A579" t="s">
        <v>152</v>
      </c>
      <c r="B579" t="str">
        <f>CALC_CORRELACIONES!A30</f>
        <v>5EPM</v>
      </c>
      <c r="C579" t="str">
        <f>CALC_CORRELACIONES!B30</f>
        <v>Orquesta/Banda/Conjunto</v>
      </c>
      <c r="D579" t="str">
        <f>CALC_CORRELACIONES!C30</f>
        <v>Especialidad</v>
      </c>
      <c r="E579" t="str">
        <f>CALC_CORRELACIONES!D30</f>
        <v/>
      </c>
      <c r="F579" t="str">
        <f>CALC_CORRELACIONES!F30</f>
        <v/>
      </c>
    </row>
    <row r="580">
      <c r="A580" t="s">
        <v>152</v>
      </c>
      <c r="B580" t="str">
        <f>CALC_CORRELACIONES!A31</f>
        <v>5EPM</v>
      </c>
      <c r="C580" t="str">
        <f>CALC_CORRELACIONES!B31</f>
        <v>Música de Cámara</v>
      </c>
      <c r="D580" t="str">
        <f>CALC_CORRELACIONES!C31</f>
        <v>Especialidad</v>
      </c>
      <c r="E580" t="str">
        <f>CALC_CORRELACIONES!D31</f>
        <v/>
      </c>
      <c r="F580" t="str">
        <f>CALC_CORRELACIONES!F31</f>
        <v/>
      </c>
    </row>
    <row r="581">
      <c r="A581" t="s">
        <v>152</v>
      </c>
      <c r="B581" t="str">
        <f>CALC_CORRELACIONES!A32</f>
        <v>6EPM</v>
      </c>
      <c r="C581" t="str">
        <f>CALC_CORRELACIONES!B32</f>
        <v>Análisis</v>
      </c>
      <c r="D581" t="str">
        <f>CALC_CORRELACIONES!C32</f>
        <v>Orquesta/Banda/Conjunto</v>
      </c>
      <c r="E581" t="str">
        <f>CALC_CORRELACIONES!D32</f>
        <v/>
      </c>
      <c r="F581" t="str">
        <f>CALC_CORRELACIONES!F32</f>
        <v/>
      </c>
    </row>
    <row r="582">
      <c r="A582" t="s">
        <v>152</v>
      </c>
      <c r="B582" t="str">
        <f>CALC_CORRELACIONES!A33</f>
        <v>6EPM</v>
      </c>
      <c r="C582" t="str">
        <f>CALC_CORRELACIONES!B33</f>
        <v>Análisis</v>
      </c>
      <c r="D582" t="str">
        <f>CALC_CORRELACIONES!C33</f>
        <v>Música de Cámara</v>
      </c>
      <c r="E582" t="str">
        <f>CALC_CORRELACIONES!D33</f>
        <v/>
      </c>
      <c r="F582" t="str">
        <f>CALC_CORRELACIONES!F33</f>
        <v/>
      </c>
    </row>
    <row r="583">
      <c r="A583" t="s">
        <v>152</v>
      </c>
      <c r="B583" t="str">
        <f>CALC_CORRELACIONES!A34</f>
        <v>6EPM</v>
      </c>
      <c r="C583" t="str">
        <f>CALC_CORRELACIONES!B34</f>
        <v>Análisis</v>
      </c>
      <c r="D583" t="str">
        <f>CALC_CORRELACIONES!C34</f>
        <v>Especialidad</v>
      </c>
      <c r="E583" t="str">
        <f>CALC_CORRELACIONES!D34</f>
        <v/>
      </c>
      <c r="F583" t="str">
        <f>CALC_CORRELACIONES!F34</f>
        <v/>
      </c>
    </row>
    <row r="584">
      <c r="A584" t="s">
        <v>152</v>
      </c>
      <c r="B584" t="str">
        <f>CALC_CORRELACIONES!A35</f>
        <v>6EPM</v>
      </c>
      <c r="C584" t="str">
        <f>CALC_CORRELACIONES!B35</f>
        <v>Orquesta/Banda/Conjunto</v>
      </c>
      <c r="D584" t="str">
        <f>CALC_CORRELACIONES!C35</f>
        <v>Música de Cámara</v>
      </c>
      <c r="E584" t="str">
        <f>CALC_CORRELACIONES!D35</f>
        <v/>
      </c>
      <c r="F584" t="str">
        <f>CALC_CORRELACIONES!F35</f>
        <v/>
      </c>
    </row>
    <row r="585">
      <c r="A585" t="s">
        <v>152</v>
      </c>
      <c r="B585" t="str">
        <f>CALC_CORRELACIONES!A36</f>
        <v>6EPM</v>
      </c>
      <c r="C585" t="str">
        <f>CALC_CORRELACIONES!B36</f>
        <v>Orquesta/Banda/Conjunto</v>
      </c>
      <c r="D585" t="str">
        <f>CALC_CORRELACIONES!C36</f>
        <v>Especialidad</v>
      </c>
      <c r="E585" t="str">
        <f>CALC_CORRELACIONES!D36</f>
        <v/>
      </c>
      <c r="F585" t="str">
        <f>CALC_CORRELACIONES!F36</f>
        <v/>
      </c>
    </row>
    <row r="586">
      <c r="A586" t="s">
        <v>152</v>
      </c>
      <c r="B586" t="str">
        <f>CALC_CORRELACIONES!A37</f>
        <v>6EPM</v>
      </c>
      <c r="C586" t="str">
        <f>CALC_CORRELACIONES!B37</f>
        <v>Música de Cámara</v>
      </c>
      <c r="D586" t="str">
        <f>CALC_CORRELACIONES!C37</f>
        <v>Especialidad</v>
      </c>
      <c r="E586" t="str">
        <f>CALC_CORRELACIONES!D37</f>
        <v/>
      </c>
      <c r="F586" t="str">
        <f>CALC_CORRELACIONES!F37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